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2.xml" ContentType="application/vnd.openxmlformats-officedocument.drawing+xml"/>
  <Override PartName="/xl/worksheets/sheet18.xml" ContentType="application/vnd.openxmlformats-officedocument.spreadsheetml.worksheet+xml"/>
  <Override PartName="/xl/drawings/drawing3.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4.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5.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6.xml" ContentType="application/vnd.openxmlformats-officedocument.drawing+xml"/>
  <Override PartName="/xl/worksheets/sheet27.xml" ContentType="application/vnd.openxmlformats-officedocument.spreadsheetml.worksheet+xml"/>
  <Override PartName="/xl/drawings/drawing7.xml" ContentType="application/vnd.openxmlformats-officedocument.drawing+xml"/>
  <Override PartName="/xl/worksheets/sheet28.xml" ContentType="application/vnd.openxmlformats-officedocument.spreadsheetml.worksheet+xml"/>
  <Override PartName="/xl/drawings/drawing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9.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drawings/drawing10.xml" ContentType="application/vnd.openxmlformats-officedocument.drawing+xml"/>
  <Override PartName="/xl/worksheets/sheet36.xml" ContentType="application/vnd.openxmlformats-officedocument.spreadsheetml.worksheet+xml"/>
  <Override PartName="/xl/drawings/drawing11.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drawings/drawing12.xml" ContentType="application/vnd.openxmlformats-officedocument.drawing+xml"/>
  <Override PartName="/xl/worksheets/sheet40.xml" ContentType="application/vnd.openxmlformats-officedocument.spreadsheetml.worksheet+xml"/>
  <Override PartName="/xl/drawings/drawing13.xml" ContentType="application/vnd.openxmlformats-officedocument.drawing+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drawings/drawing14.xml" ContentType="application/vnd.openxmlformats-officedocument.drawing+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drawings/drawing15.xml" ContentType="application/vnd.openxmlformats-officedocument.drawing+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drawings/drawing16.xml" ContentType="application/vnd.openxmlformats-officedocument.drawing+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drawings/drawing17.xml" ContentType="application/vnd.openxmlformats-officedocument.drawing+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drawings/drawing18.xml" ContentType="application/vnd.openxmlformats-officedocument.drawing+xml"/>
  <Override PartName="/xl/worksheets/sheet65.xml" ContentType="application/vnd.openxmlformats-officedocument.spreadsheetml.worksheet+xml"/>
  <Override PartName="/xl/worksheets/sheet6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6440" tabRatio="837" firstSheet="0" activeTab="0" autoFilterDateGrouping="1"/>
  </bookViews>
  <sheets>
    <sheet xmlns:r="http://schemas.openxmlformats.org/officeDocument/2006/relationships" name="1040" sheetId="1" state="visible" r:id="rId1"/>
    <sheet xmlns:r="http://schemas.openxmlformats.org/officeDocument/2006/relationships" name="Coversheet" sheetId="2" state="visible" r:id="rId2"/>
    <sheet xmlns:r="http://schemas.openxmlformats.org/officeDocument/2006/relationships" name="Table of Contents" sheetId="3" state="visible" r:id="rId3"/>
    <sheet xmlns:r="http://schemas.openxmlformats.org/officeDocument/2006/relationships" name="Instructions" sheetId="4" state="visible" r:id="rId4"/>
    <sheet xmlns:r="http://schemas.openxmlformats.org/officeDocument/2006/relationships" name="W-2s" sheetId="5" state="visible" r:id="rId5"/>
    <sheet xmlns:r="http://schemas.openxmlformats.org/officeDocument/2006/relationships" name="1099-INT" sheetId="6" state="visible" r:id="rId6"/>
    <sheet xmlns:r="http://schemas.openxmlformats.org/officeDocument/2006/relationships" name="1099-DIV" sheetId="7" state="visible" r:id="rId7"/>
    <sheet xmlns:r="http://schemas.openxmlformats.org/officeDocument/2006/relationships" name="1099-G" sheetId="8" state="visible" r:id="rId8"/>
    <sheet xmlns:r="http://schemas.openxmlformats.org/officeDocument/2006/relationships" name="1099-MISC" sheetId="9" state="visible" r:id="rId9"/>
    <sheet xmlns:r="http://schemas.openxmlformats.org/officeDocument/2006/relationships" name="1099-NEC" sheetId="10" state="visible" r:id="rId10"/>
    <sheet xmlns:r="http://schemas.openxmlformats.org/officeDocument/2006/relationships" name="1099-R" sheetId="11" state="visible" r:id="rId11"/>
    <sheet xmlns:r="http://schemas.openxmlformats.org/officeDocument/2006/relationships" name="Lines 4ab (IRA Dist.)" sheetId="12" state="visible" r:id="rId12"/>
    <sheet xmlns:r="http://schemas.openxmlformats.org/officeDocument/2006/relationships" name="SSA-1099" sheetId="13" state="visible" r:id="rId13"/>
    <sheet xmlns:r="http://schemas.openxmlformats.org/officeDocument/2006/relationships" name="Dependents" sheetId="14" state="visible" r:id="rId14"/>
    <sheet xmlns:r="http://schemas.openxmlformats.org/officeDocument/2006/relationships" name="Sch. 1" sheetId="15" state="visible" r:id="rId15"/>
    <sheet xmlns:r="http://schemas.openxmlformats.org/officeDocument/2006/relationships" name="Sch. 1-A" sheetId="16" state="visible" r:id="rId16"/>
    <sheet xmlns:r="http://schemas.openxmlformats.org/officeDocument/2006/relationships" name="Sch 1, Line 1 (SALT)" sheetId="17" state="visible" r:id="rId17"/>
    <sheet xmlns:r="http://schemas.openxmlformats.org/officeDocument/2006/relationships" name="Sch. 1, Line 20 (IRA)" sheetId="18" state="visible" r:id="rId18"/>
    <sheet xmlns:r="http://schemas.openxmlformats.org/officeDocument/2006/relationships" name="Sch. 1, Line 21 (Stu Loan)" sheetId="19" state="visible" r:id="rId19"/>
    <sheet xmlns:r="http://schemas.openxmlformats.org/officeDocument/2006/relationships" name="Sch. 2" sheetId="20" state="visible" r:id="rId20"/>
    <sheet xmlns:r="http://schemas.openxmlformats.org/officeDocument/2006/relationships" name="Sch. 3" sheetId="21" state="visible" r:id="rId21"/>
    <sheet xmlns:r="http://schemas.openxmlformats.org/officeDocument/2006/relationships" name="Earned Inc WS" sheetId="22" state="visible" r:id="rId22"/>
    <sheet xmlns:r="http://schemas.openxmlformats.org/officeDocument/2006/relationships" name="Lines 5ab (Simplified Meth WS)" sheetId="23" state="visible" r:id="rId23"/>
    <sheet xmlns:r="http://schemas.openxmlformats.org/officeDocument/2006/relationships" name="Line 6ab (SS Bene)" sheetId="24" state="visible" r:id="rId24"/>
    <sheet xmlns:r="http://schemas.openxmlformats.org/officeDocument/2006/relationships" name="Line 12e (SD Depnts)" sheetId="25" state="visible" r:id="rId25"/>
    <sheet xmlns:r="http://schemas.openxmlformats.org/officeDocument/2006/relationships" name="Line 16 (QDCG Tax)" sheetId="26" state="visible" r:id="rId26"/>
    <sheet xmlns:r="http://schemas.openxmlformats.org/officeDocument/2006/relationships" name="Line 27a (EIC)" sheetId="27" state="visible" r:id="rId27"/>
    <sheet xmlns:r="http://schemas.openxmlformats.org/officeDocument/2006/relationships" name="Sch. A" sheetId="28" state="visible" r:id="rId28"/>
    <sheet xmlns:r="http://schemas.openxmlformats.org/officeDocument/2006/relationships" name="Sch. B" sheetId="29" state="visible" r:id="rId29"/>
    <sheet xmlns:r="http://schemas.openxmlformats.org/officeDocument/2006/relationships" name="Sch. C" sheetId="30" state="visible" r:id="rId30"/>
    <sheet xmlns:r="http://schemas.openxmlformats.org/officeDocument/2006/relationships" name="Sch. D" sheetId="31" state="visible" r:id="rId31"/>
    <sheet xmlns:r="http://schemas.openxmlformats.org/officeDocument/2006/relationships" name="Sch. D WS" sheetId="32" state="visible" r:id="rId32"/>
    <sheet xmlns:r="http://schemas.openxmlformats.org/officeDocument/2006/relationships" name="Sch. E" sheetId="33" state="visible" r:id="rId33"/>
    <sheet xmlns:r="http://schemas.openxmlformats.org/officeDocument/2006/relationships" name="Sch. E (2)" sheetId="34" state="visible" r:id="rId34"/>
    <sheet xmlns:r="http://schemas.openxmlformats.org/officeDocument/2006/relationships" name="Sch. F" sheetId="35" state="visible" r:id="rId35"/>
    <sheet xmlns:r="http://schemas.openxmlformats.org/officeDocument/2006/relationships" name="Sch. R" sheetId="36" state="visible" r:id="rId36"/>
    <sheet xmlns:r="http://schemas.openxmlformats.org/officeDocument/2006/relationships" name="Sch. SE" sheetId="37" state="visible" r:id="rId37"/>
    <sheet xmlns:r="http://schemas.openxmlformats.org/officeDocument/2006/relationships" name="1116" sheetId="38" state="visible" r:id="rId38"/>
    <sheet xmlns:r="http://schemas.openxmlformats.org/officeDocument/2006/relationships" name="2210" sheetId="39" state="visible" r:id="rId39"/>
    <sheet xmlns:r="http://schemas.openxmlformats.org/officeDocument/2006/relationships" name="2441" sheetId="40" state="visible" r:id="rId40"/>
    <sheet xmlns:r="http://schemas.openxmlformats.org/officeDocument/2006/relationships" name="2555" sheetId="41" state="visible" r:id="rId41"/>
    <sheet xmlns:r="http://schemas.openxmlformats.org/officeDocument/2006/relationships" name="4137" sheetId="42" state="visible" r:id="rId42"/>
    <sheet xmlns:r="http://schemas.openxmlformats.org/officeDocument/2006/relationships" name="4562" sheetId="43" state="visible" r:id="rId43"/>
    <sheet xmlns:r="http://schemas.openxmlformats.org/officeDocument/2006/relationships" name="5695" sheetId="44" state="visible" r:id="rId44"/>
    <sheet xmlns:r="http://schemas.openxmlformats.org/officeDocument/2006/relationships" name="6251" sheetId="45" state="visible" r:id="rId45"/>
    <sheet xmlns:r="http://schemas.openxmlformats.org/officeDocument/2006/relationships" name="8283" sheetId="46" state="visible" r:id="rId46"/>
    <sheet xmlns:r="http://schemas.openxmlformats.org/officeDocument/2006/relationships" name="8582" sheetId="47" state="visible" r:id="rId47"/>
    <sheet xmlns:r="http://schemas.openxmlformats.org/officeDocument/2006/relationships" name="8606" sheetId="48" state="visible" r:id="rId48"/>
    <sheet xmlns:r="http://schemas.openxmlformats.org/officeDocument/2006/relationships" name="8801" sheetId="49" state="visible" r:id="rId49"/>
    <sheet xmlns:r="http://schemas.openxmlformats.org/officeDocument/2006/relationships" name="8812" sheetId="50" state="visible" r:id="rId50"/>
    <sheet xmlns:r="http://schemas.openxmlformats.org/officeDocument/2006/relationships" name="8829" sheetId="51" state="visible" r:id="rId51"/>
    <sheet xmlns:r="http://schemas.openxmlformats.org/officeDocument/2006/relationships" name="8863" sheetId="52" state="visible" r:id="rId52"/>
    <sheet xmlns:r="http://schemas.openxmlformats.org/officeDocument/2006/relationships" name="8880" sheetId="53" state="visible" r:id="rId53"/>
    <sheet xmlns:r="http://schemas.openxmlformats.org/officeDocument/2006/relationships" name="8889" sheetId="54" state="visible" r:id="rId54"/>
    <sheet xmlns:r="http://schemas.openxmlformats.org/officeDocument/2006/relationships" name="8919" sheetId="55" state="visible" r:id="rId55"/>
    <sheet xmlns:r="http://schemas.openxmlformats.org/officeDocument/2006/relationships" name="8949A" sheetId="56" state="visible" r:id="rId56"/>
    <sheet xmlns:r="http://schemas.openxmlformats.org/officeDocument/2006/relationships" name="8949B" sheetId="57" state="visible" r:id="rId57"/>
    <sheet xmlns:r="http://schemas.openxmlformats.org/officeDocument/2006/relationships" name="8949C" sheetId="58" state="visible" r:id="rId58"/>
    <sheet xmlns:r="http://schemas.openxmlformats.org/officeDocument/2006/relationships" name="8949D" sheetId="59" state="visible" r:id="rId59"/>
    <sheet xmlns:r="http://schemas.openxmlformats.org/officeDocument/2006/relationships" name="8959" sheetId="60" state="visible" r:id="rId60"/>
    <sheet xmlns:r="http://schemas.openxmlformats.org/officeDocument/2006/relationships" name="8960" sheetId="61" state="visible" r:id="rId61"/>
    <sheet xmlns:r="http://schemas.openxmlformats.org/officeDocument/2006/relationships" name="8962" sheetId="62" state="visible" r:id="rId62"/>
    <sheet xmlns:r="http://schemas.openxmlformats.org/officeDocument/2006/relationships" name="8995" sheetId="63" state="visible" r:id="rId63"/>
    <sheet xmlns:r="http://schemas.openxmlformats.org/officeDocument/2006/relationships" name="EIC Table" sheetId="64" state="visible" r:id="rId64"/>
    <sheet xmlns:r="http://schemas.openxmlformats.org/officeDocument/2006/relationships" name="Tax Table" sheetId="65" state="visible" r:id="rId65"/>
    <sheet xmlns:r="http://schemas.openxmlformats.org/officeDocument/2006/relationships" name="Changes" sheetId="66" state="visible" r:id="rId66"/>
  </sheets>
  <definedNames>
    <definedName name="Add_SALT">'Sch. A'!$AI$37</definedName>
    <definedName name="Additional_Income">'Sch. 1'!$AC$56</definedName>
    <definedName name="AdditionalCTC">'8812'!$AL$85</definedName>
    <definedName name="Address">'1040'!$B$13</definedName>
    <definedName name="Adj_Gross_Inc">'1040'!$AL$79</definedName>
    <definedName name="Adj_Gross_Inc_Pg2">'1040'!$AL$82</definedName>
    <definedName name="AdjustToIncome">'Sch. 1'!$AC$100</definedName>
    <definedName name="AdoptCredit">'Sch. 3'!$W$20</definedName>
    <definedName name="AgPMT_Disaster">'1099-G'!$J$31</definedName>
    <definedName name="AgPMT_Other">'1099-G'!$J$32</definedName>
    <definedName name="Alaska">'1040'!$BN$10</definedName>
    <definedName name="Alien_Spouse">'1040'!$F$27</definedName>
    <definedName name="AlienSpouseName">'1040'!$AA$28</definedName>
    <definedName name="AlimonyPaid">'Sch. 1'!$AJ$70</definedName>
    <definedName name="AlimonyRcvd">'Sch. 1'!$AC$16</definedName>
    <definedName name="AltMinTaxInc">'6251'!$M$39</definedName>
    <definedName name="AMT">'6251'!$R$64</definedName>
    <definedName name="AMTExemption">'6251'!$AC$172</definedName>
    <definedName name="AMTExemptionFlag">'6251'!$AH$80</definedName>
    <definedName name="AO_Credit">'8863'!$AE$33</definedName>
    <definedName name="AOC_1">'8863'!$AE$110</definedName>
    <definedName name="AOC_2">'8863'!$AE$168</definedName>
    <definedName name="AOC_3">'8863'!$AE$226</definedName>
    <definedName name="AOC_4">'8863'!$AE$284</definedName>
    <definedName name="Apt_No.">'1040'!$AD$13</definedName>
    <definedName name="ArcherMSADeduct">'Sch. 1'!$AC$77</definedName>
    <definedName name="BadBirthdate_Spouse">'1040'!$BK$144</definedName>
    <definedName name="BadBirthdate_Yours">'1040'!$BK$123</definedName>
    <definedName name="BadDeathDate">'1040'!$BR$144</definedName>
    <definedName name="BASE_A1">'Tax Table'!$U$7</definedName>
    <definedName name="BASE_A2">'Tax Table'!$U$8</definedName>
    <definedName name="BASE_A3">'Tax Table'!$U$9</definedName>
    <definedName name="BASE_A4">'Tax Table'!$U$10</definedName>
    <definedName name="BASE_A5">'Tax Table'!$U$11</definedName>
    <definedName name="BASE_A6">'Tax Table'!$U$12</definedName>
    <definedName name="BASE_A7">'Tax Table'!$U$13</definedName>
    <definedName name="BASE_B1">'Tax Table'!$U$17</definedName>
    <definedName name="BASE_B2">'Tax Table'!$U$18</definedName>
    <definedName name="BASE_B3">'Tax Table'!$U$19</definedName>
    <definedName name="BASE_B4">'Tax Table'!$U$20</definedName>
    <definedName name="BASE_B5">'Tax Table'!$U$21</definedName>
    <definedName name="BASE_B6">'Tax Table'!$U$22</definedName>
    <definedName name="BASE_B7">'Tax Table'!$U$23</definedName>
    <definedName name="BASE_C1">'Tax Table'!$U$27</definedName>
    <definedName name="BASE_C2">'Tax Table'!$U$28</definedName>
    <definedName name="BASE_C3">'Tax Table'!$U$29</definedName>
    <definedName name="BASE_C4">'Tax Table'!$U$30</definedName>
    <definedName name="BASE_C5">'Tax Table'!$U$31</definedName>
    <definedName name="BASE_C6">'Tax Table'!$U$32</definedName>
    <definedName name="BASE_C7">'Tax Table'!$U$33</definedName>
    <definedName name="BASE_D1">'Tax Table'!$U$38</definedName>
    <definedName name="BASE_D2">'Tax Table'!$U$39</definedName>
    <definedName name="BASE_D3">'Tax Table'!$U$40</definedName>
    <definedName name="BASE_D4">'Tax Table'!$U$41</definedName>
    <definedName name="BASE_D5">'Tax Table'!$U$42</definedName>
    <definedName name="BASE_D6">'Tax Table'!$U$43</definedName>
    <definedName name="BASE_D7">'Tax Table'!$U$44</definedName>
    <definedName name="BeginningOfTaxYear">'1040'!$BI$2</definedName>
    <definedName name="Birthday_Needed">'1040'!$BI$136</definedName>
    <definedName name="BOTT_A1">'Tax Table'!$T$7</definedName>
    <definedName name="BOTT_A2">'Tax Table'!$T$8</definedName>
    <definedName name="BOTT_A3">'Tax Table'!$T$9</definedName>
    <definedName name="BOTT_A4">'Tax Table'!$T$10</definedName>
    <definedName name="BOTT_A5">'Tax Table'!$T$11</definedName>
    <definedName name="BOTT_A6">'Tax Table'!$T$12</definedName>
    <definedName name="BOTT_A7">'Tax Table'!$T$13</definedName>
    <definedName name="BOTT_B1">'Tax Table'!$T$17</definedName>
    <definedName name="BOTT_B2">'Tax Table'!$T$18</definedName>
    <definedName name="BOTT_B3">'Tax Table'!$T$19</definedName>
    <definedName name="BOTT_B4">'Tax Table'!$T$20</definedName>
    <definedName name="BOTT_B5">'Tax Table'!$T$21</definedName>
    <definedName name="BOTT_B6">'Tax Table'!$T$22</definedName>
    <definedName name="BOTT_B7">'Tax Table'!$T$23</definedName>
    <definedName name="BOTT_C1">'Tax Table'!$T$27</definedName>
    <definedName name="BOTT_C2">'Tax Table'!$T$28</definedName>
    <definedName name="BOTT_C3">'Tax Table'!$T$29</definedName>
    <definedName name="BOTT_C4">'Tax Table'!$T$30</definedName>
    <definedName name="BOTT_C5">'Tax Table'!$T$31</definedName>
    <definedName name="BOTT_C6">'Tax Table'!$T$32</definedName>
    <definedName name="BOTT_C7">'Tax Table'!$T$33</definedName>
    <definedName name="BOTT_D1">'Tax Table'!$T$38</definedName>
    <definedName name="BOTT_D2">'Tax Table'!$T$39</definedName>
    <definedName name="BOTT_D3">'Tax Table'!$T$40</definedName>
    <definedName name="BOTT_D4">'Tax Table'!$T$41</definedName>
    <definedName name="BOTT_D5">'Tax Table'!$T$42</definedName>
    <definedName name="BOTT_D6">'Tax Table'!$T$43</definedName>
    <definedName name="BOTT_D7">'Tax Table'!$T$44</definedName>
    <definedName name="Business_Profit">'Sch. C'!$Y$67</definedName>
    <definedName name="BusinessIncomeLoss">'Sch. 1'!$AC$18</definedName>
    <definedName name="CapitalGains">'1040'!$AL$74</definedName>
    <definedName name="Care_Expenses">'Sch. 3'!$AC$12</definedName>
    <definedName name="CertainBusinessExp">'Sch. 1'!$AJ$62</definedName>
    <definedName name="CFOD_Other_Depend">Dependents!$BF$43</definedName>
    <definedName name="CFOD_QC_Under_17">Dependents!$BF$38</definedName>
    <definedName name="CGTW">'Line 16 (QDCG Tax)'!$R$10</definedName>
    <definedName name="CGTW_Line1">'Line 16 (QDCG Tax)'!$L$32</definedName>
    <definedName name="CGTW_Line13_HOH">'Line 16 (QDCG Tax)'!$N$56</definedName>
    <definedName name="CGTW_Line13_MFJQW">'Line 16 (QDCG Tax)'!$N$55</definedName>
    <definedName name="CGTW_Line13_MFS">'Line 16 (QDCG Tax)'!$N$54</definedName>
    <definedName name="CGTW_Line13_Single">'Line 16 (QDCG Tax)'!$N$53</definedName>
    <definedName name="CGTW_Line18_PCT">'Line 16 (QDCG Tax)'!$N$60</definedName>
    <definedName name="CGTW_Line21_PCT">'Line 16 (QDCG Tax)'!$N$63</definedName>
    <definedName name="CGTW_Line23">'Line 16 (QDCG Tax)'!$N$68</definedName>
    <definedName name="CGTW_Line24">'Line 16 (QDCG Tax)'!$N$71</definedName>
    <definedName name="CGTW_Line5">'Line 16 (QDCG Tax)'!$L$41</definedName>
    <definedName name="CGTW_Line6_HOH">'Line 16 (QDCG Tax)'!$N$45</definedName>
    <definedName name="CGTW_Line6_MFJQW">'Line 16 (QDCG Tax)'!$N$44</definedName>
    <definedName name="CGTW_Line6_SMFS">'Line 16 (QDCG Tax)'!$N$43</definedName>
    <definedName name="CGTW_Tax">'Line 16 (QDCG Tax)'!$N$75</definedName>
    <definedName name="Child_Tax_Credit">'8812'!$AL$21</definedName>
    <definedName name="ChildDepend_TaxCredit">'1040'!$AL$99</definedName>
    <definedName name="ChildUnder24">'6251'!$O$42</definedName>
    <definedName name="ChurchEmployee1">'Sch. SE'!$AE$12</definedName>
    <definedName name="ChurchEmployee2">'Sch. SE'!$AE$72</definedName>
    <definedName name="ChurchEmployeeInc1">'Sch. SE'!$AK$23</definedName>
    <definedName name="ChurchEmployeeInc2">'Sch. SE'!$AK$83</definedName>
    <definedName name="ChurchEmployeeIncome1">'Sch. SE'!$S$28</definedName>
    <definedName name="ChurchEmployeeIncome2">'Sch. SE'!$S$88</definedName>
    <definedName name="City_State_Zip">'1040'!$B$15</definedName>
    <definedName name="CombatPayNoTax">'1040'!$AG$59</definedName>
    <definedName name="CONV_FedTaxWH">'1099-R'!$F$62</definedName>
    <definedName name="CONV2ROTH">'1099-R'!$F$58</definedName>
    <definedName name="CopyWrite">'1040'!$AH$2</definedName>
    <definedName name="CredLimitWS_Line15">'8812'!$AK$223</definedName>
    <definedName name="CTC_AgeLimit">Dependents!$BZ$4</definedName>
    <definedName name="CTCorCOD">'8812'!$AL$41</definedName>
    <definedName name="DaysInTaxYear">'1040'!$BL$2</definedName>
    <definedName name="Deduct_Age_Bonus">'1040'!$BD$125</definedName>
    <definedName name="Deduct_New_AutoLoan_Interest">'1040'!$BC$150</definedName>
    <definedName name="Deduct_OT_Income">'1040'!$BC$141</definedName>
    <definedName name="Deduct_Tip_Income">'1040'!$BC$132</definedName>
    <definedName name="Deduction">'1040'!$AU$91</definedName>
    <definedName name="DeductionForSeniors">'Sch. 1-A'!$AD$102</definedName>
    <definedName name="Deductions">'1040'!$AL$91</definedName>
    <definedName name="DeferredIncomeNQ">'Earned Inc WS'!#REF!</definedName>
    <definedName name="DependCareBenefits">'W-2s'!$D$84</definedName>
    <definedName name="Dependent_Care">'2441'!$V$103</definedName>
    <definedName name="DependentCount">Dependents!$BK$45</definedName>
    <definedName name="DependentsGT4">Dependents!$BF$52</definedName>
    <definedName name="DependentSPOUSE">'1040'!$X$84</definedName>
    <definedName name="DependentYOU">'1040'!$O$84</definedName>
    <definedName name="DependOther">Dependents!$BF$48</definedName>
    <definedName name="DependUnder17SSN">Dependents!$BR$37</definedName>
    <definedName name="DigitalAsset_No">'1040'!$AQ$31</definedName>
    <definedName name="DigitalAsset_Yes">'1040'!$AM$31</definedName>
    <definedName name="Dividend_Inc">'Sch. B'!$I$66</definedName>
    <definedName name="Draft">'1040'!$BK$1</definedName>
    <definedName name="Dual_Status_Alien">'1040'!$X$86</definedName>
    <definedName name="Earned_Income">'Earned Inc WS'!$J$83</definedName>
    <definedName name="EarnedIncomeCredit">'Line 27a (EIC)'!$O$506</definedName>
    <definedName name="EarnedIncomeWSB">'Line 27a (EIC)'!$O$428</definedName>
    <definedName name="Education">'Sch. 3'!$AC$13</definedName>
    <definedName name="EducationCredits_NR">'8863'!$AE$55</definedName>
    <definedName name="EducatorExpenses">'Sch. 1'!$AJ$60</definedName>
    <definedName name="EEHI_CL_WKST">'5695'!$AE$321</definedName>
    <definedName name="EEHI_Credit">'5695'!$AD$240</definedName>
    <definedName name="EIC">'1040'!$AF$113</definedName>
    <definedName name="EIC_Check">'Line 27a (EIC)'!$A$41</definedName>
    <definedName name="EIC_EarnedIncome">'Line 27a (EIC)'!$K$270</definedName>
    <definedName name="EIC_Max_MFJ_NoChildren">'EIC Table'!$R$6</definedName>
    <definedName name="EIC_Max_MFJ_OneChild">'EIC Table'!$S$6</definedName>
    <definedName name="EIC_Max_MFJ_ThreeChildren">'EIC Table'!$U$6</definedName>
    <definedName name="EIC_Max_MFJ_TwoChildren">'EIC Table'!$T$6</definedName>
    <definedName name="EIC_Max_NoChildren">'EIC Table'!$N$6</definedName>
    <definedName name="EIC_Max_OneChild">'EIC Table'!$O$6</definedName>
    <definedName name="EIC_Max_ThreeChildren">'EIC Table'!$Q$6</definedName>
    <definedName name="EIC_Max_TwoChildren">'EIC Table'!$P$6</definedName>
    <definedName name="EIC_No">'Line 27a (EIC)'!$N$1</definedName>
    <definedName name="EIC_No_Box">'Line 27a (EIC)'!$O$1</definedName>
    <definedName name="EIC_Started">'Line 27a (EIC)'!$A$39</definedName>
    <definedName name="EIC_Step3_Line3_Yes">'Line 27a (EIC)'!$B$157</definedName>
    <definedName name="EIC_trigger">'Line 27a (EIC)'!$M$34</definedName>
    <definedName name="EIC_WB_Part5_Line7">'Line 27a (EIC)'!$O$462</definedName>
    <definedName name="EIC_WSA_Part3">'Line 27a (EIC)'!$N$354</definedName>
    <definedName name="EIC_WSB_Part7">'Line 27a (EIC)'!$O$496</definedName>
    <definedName name="EICNumQualChild">'Line 27a (EIC)'!$B$112</definedName>
    <definedName name="Elderly_Credit">'Sch. 3'!$AC$21</definedName>
    <definedName name="Elect_Def_to_501c18D">'W-2s'!$D$88</definedName>
    <definedName name="Elect_Def_to_501c18D_Spouse">'W-2s'!$J$52</definedName>
    <definedName name="Elect_Def_to_501c18D_You">'W-2s'!$J$15</definedName>
    <definedName name="Elect_Def_to_SIMPLE_Spouse">'W-2s'!$J$58</definedName>
    <definedName name="Elect_Def_to_SIMPLE_You">'W-2s'!$J$21</definedName>
    <definedName name="Emp_Contr_HSA_Spouse">'W-2s'!$J$59</definedName>
    <definedName name="Emp_Contr_HSA_You">'W-2s'!$J$22</definedName>
    <definedName name="EmployerCountSpouse">'W-2s'!$J$70</definedName>
    <definedName name="EmployerCountYou">'W-2s'!$J$33</definedName>
    <definedName name="EndOfTaxYear">'1040'!$BK$2</definedName>
    <definedName name="EstimatedTaxPayments">'1040'!$AL$110</definedName>
    <definedName name="Exception_QDCG_TW_SchD_TW">'Sch. D WS'!$AC$63</definedName>
    <definedName name="ExcessSSTax">'Sch. 3'!$AC$39</definedName>
    <definedName name="ExciseTaxGoldParachute">'W-2s'!$D$89</definedName>
    <definedName name="Exempt_Interest_DIV">'1099-DIV'!$H$108</definedName>
    <definedName name="F1040_Line1z">'1040'!$AL$60</definedName>
    <definedName name="F1099_FedTaxWH">'1040'!$AF$107</definedName>
    <definedName name="F1099DIV_FedTaxWH">'1099-DIV'!$H$100</definedName>
    <definedName name="F1099DIV_SPABI">'1099-DIV'!$H$109</definedName>
    <definedName name="F1099G_FedTaxWH">'1099-G'!$J$28</definedName>
    <definedName name="F1099G_MktGain">'1099-G'!$J$34</definedName>
    <definedName name="F1099G_StateTaxWH">'1099-G'!$J$37</definedName>
    <definedName name="F1099G_TaxGrants">'1099-G'!$J$30</definedName>
    <definedName name="F1099INT_FedTaxWH">'1099-INT'!$I$69</definedName>
    <definedName name="F1099INT_SPABI">'1099-INT'!$I$74</definedName>
    <definedName name="F1099NEC_FedTaxWH">'1099-NEC'!$J$22</definedName>
    <definedName name="F1099NEC_StateTaxWH">'1099-NEC'!$J$23</definedName>
    <definedName name="F1099R_CodeDTaxes">'1099-R'!$E$77</definedName>
    <definedName name="F2441_NonRefund">'2441'!$V$64</definedName>
    <definedName name="F2441_Refundable">'2441'!$V$61</definedName>
    <definedName name="F2555_Line43_Sp">'2555'!$AE$174</definedName>
    <definedName name="F2555_Line43_You">'2555'!$AE$173</definedName>
    <definedName name="F2555_Line45_1">'2555'!$AE$175</definedName>
    <definedName name="F2555_Line45_2">'2555'!$AE$364</definedName>
    <definedName name="F2555_Line45_Spouse">'2555'!$AO$393</definedName>
    <definedName name="F2555_Line45_Total">'2555'!$AM$394</definedName>
    <definedName name="F2555_Line45_You">'2555'!$AM$393</definedName>
    <definedName name="F2555_Line50_NotZero">'2555'!$AM$401</definedName>
    <definedName name="F4137_Line13_Spouse">'4137'!$AE$86</definedName>
    <definedName name="F4137_Line13_Total">'4137'!$AM$87</definedName>
    <definedName name="F4137_Line13_You">'4137'!$AE$43</definedName>
    <definedName name="F4952_Line_4g">'Sch. D WS'!$R$79</definedName>
    <definedName name="F5695_Line15">'5695'!$AD$65</definedName>
    <definedName name="F6251_Needed">'6251'!$P$1</definedName>
    <definedName name="F6251_PIII">'6251'!$R$54</definedName>
    <definedName name="F8582_Line9">'8582'!$AE$39</definedName>
    <definedName name="F8582_MAGI">'8582'!$AU$35</definedName>
    <definedName name="F8801_MinimumTaxCredit">'8801'!$AE$148</definedName>
    <definedName name="F8812_NoAdditionalCTC">'8812'!$AL$84</definedName>
    <definedName name="F8812_Skip_Part_II_A">'8812'!$AV$54</definedName>
    <definedName name="F8812_Skip_Part_II_B">'8812'!$AL$70</definedName>
    <definedName name="F8829_Deduction">'8829'!$AE$55</definedName>
    <definedName name="F8829_SchC_1">'8829'!$AS$24</definedName>
    <definedName name="F8829_SchC_2">'8829'!$AS$25</definedName>
    <definedName name="F8880_Credit">'8880'!$AE$48</definedName>
    <definedName name="F8889_Line1">'8889'!$Q$17</definedName>
    <definedName name="F8889_Line13">'8889'!$K$133</definedName>
    <definedName name="F8889_Line16">'8889'!$K$136</definedName>
    <definedName name="F8889_Line17b">'8889'!$K$139</definedName>
    <definedName name="F8889_Line20">'8889'!$K$142</definedName>
    <definedName name="F8889_Line21">'8889'!$K$145</definedName>
    <definedName name="F8919_Line13_Both">'8919'!$AN$119</definedName>
    <definedName name="F8919_Line6_Both">'8919'!$AN$108</definedName>
    <definedName name="F8949ALBOXD">'8949A'!$C$75</definedName>
    <definedName name="F8949ALBOXE">'8949A'!$C$77</definedName>
    <definedName name="F8949ALBOXF">'8949A'!$C$79</definedName>
    <definedName name="F8949ALBOXJ">'8949A'!$C$81</definedName>
    <definedName name="F8949ALBOXK">'8949A'!$C$83</definedName>
    <definedName name="F8949ALBOXL">'8949A'!$C$85</definedName>
    <definedName name="F8949ALT">'8949A'!$A$102</definedName>
    <definedName name="F8949ALTD">'8949A'!$Q$102</definedName>
    <definedName name="F8949ALTE">'8949A'!$U$102</definedName>
    <definedName name="F8949ALTG">'8949A'!$AA$102</definedName>
    <definedName name="F8949ALTH">'8949A'!$AC$102</definedName>
    <definedName name="F8949ASBOXA">'8949A'!$C$25</definedName>
    <definedName name="F8949ASBOXB">'8949A'!$C$27</definedName>
    <definedName name="F8949ASBOXC">'8949A'!$C$29</definedName>
    <definedName name="F8949ASBOXG">'8949A'!$C$31</definedName>
    <definedName name="F8949ASBOXH">'8949A'!$C$33</definedName>
    <definedName name="F8949ASBOXI">'8949A'!$C$35</definedName>
    <definedName name="F8949AST">'8949A'!$A$52</definedName>
    <definedName name="F8949ASTD">'8949A'!$Q$52</definedName>
    <definedName name="F8949ASTE">'8949A'!$U$52</definedName>
    <definedName name="F8949ASTG">'8949A'!$AA$52</definedName>
    <definedName name="F8949ASTH">'8949A'!$AC$52</definedName>
    <definedName name="F8949BLBOXD">'8949B'!$C$75</definedName>
    <definedName name="F8949BLBOXE">'8949B'!$C$77</definedName>
    <definedName name="F8949BLBOXF">'8949B'!$C$79</definedName>
    <definedName name="F8949BLBOXJ">'8949B'!$C$81</definedName>
    <definedName name="F8949BLBOXK">'8949B'!$C$83</definedName>
    <definedName name="F8949BLBOXL">'8949B'!$C$85</definedName>
    <definedName name="F8949BLT">'8949B'!$A$102</definedName>
    <definedName name="F8949BLTD">'8949B'!$Q$102</definedName>
    <definedName name="F8949BLTE">'8949B'!$U$102</definedName>
    <definedName name="F8949BLTG">'8949B'!$AA$102</definedName>
    <definedName name="F8949BLTH">'8949B'!$AC$102</definedName>
    <definedName name="F8949BSBOXA">'8949B'!$C$25</definedName>
    <definedName name="F8949BSBOXB">'8949B'!$C$27</definedName>
    <definedName name="F8949BSBOXC">'8949B'!$C$29</definedName>
    <definedName name="F8949BSBOXG">'8949B'!$C$31</definedName>
    <definedName name="F8949BSBOXH">'8949B'!$C$33</definedName>
    <definedName name="F8949BSBOXI">'8949B'!$C$35</definedName>
    <definedName name="F8949BST">'8949B'!$A$52</definedName>
    <definedName name="F8949BSTD">'8949B'!$Q$52</definedName>
    <definedName name="F8949BSTE">'8949B'!$U$52</definedName>
    <definedName name="F8949BSTG">'8949B'!$AA$52</definedName>
    <definedName name="F8949BSTH">'8949B'!$AC$52</definedName>
    <definedName name="F8949CBOXL">'8949C'!$C$85</definedName>
    <definedName name="F8949CLBOXD">'8949C'!$C$75</definedName>
    <definedName name="F8949CLBOXE">'8949C'!$C$77</definedName>
    <definedName name="F8949CLBOXF">'8949C'!$C$79</definedName>
    <definedName name="F8949CLBOXJ">'8949C'!$C$81</definedName>
    <definedName name="F8949CLBOXK">'8949C'!$C$83</definedName>
    <definedName name="F8949CLBOXL">'8949C'!$C$85</definedName>
    <definedName name="F8949CLT">'8949C'!$A$102</definedName>
    <definedName name="F8949CLTD">'8949C'!$Q$102</definedName>
    <definedName name="F8949CLTE">'8949C'!$U$102</definedName>
    <definedName name="F8949CLTG">'8949C'!$AA$102</definedName>
    <definedName name="F8949CLTH">'8949C'!$AC$102</definedName>
    <definedName name="F8949CSBOXA">'8949C'!$C$25</definedName>
    <definedName name="F8949CSBOXB">'8949C'!$C$27</definedName>
    <definedName name="F8949CSBOXC">'8949C'!$C$29</definedName>
    <definedName name="F8949CSBOXG">'8949C'!$C$31</definedName>
    <definedName name="F8949CSBOXH">'8949C'!$C$33</definedName>
    <definedName name="F8949CSBOXI">'8949C'!$C$35</definedName>
    <definedName name="F8949CST">'8949C'!$A$52</definedName>
    <definedName name="F8949CSTD">'8949C'!$Q$52</definedName>
    <definedName name="F8949CSTE">'8949C'!$U$52</definedName>
    <definedName name="F8949CSTG">'8949C'!$AA$52</definedName>
    <definedName name="F8949CSTH">'8949C'!$AC$52</definedName>
    <definedName name="F8949DLBOXD">'8949D'!$C$75</definedName>
    <definedName name="F8949DLBOXE">'8949D'!$C$77</definedName>
    <definedName name="F8949DLBOXF">'8949D'!$C$79</definedName>
    <definedName name="F8949DLBOXJ">'8949D'!$C$81</definedName>
    <definedName name="F8949DLBOXK">'8949D'!$C$83</definedName>
    <definedName name="F8949DLBOXL">'8949D'!$C$85</definedName>
    <definedName name="F8949DLT">'8949D'!$A$102</definedName>
    <definedName name="F8949DLTD">'8949D'!$Q$102</definedName>
    <definedName name="F8949DLTE">'8949D'!$U$102</definedName>
    <definedName name="F8949DLTG">'8949D'!$AA$102</definedName>
    <definedName name="F8949DLTH">'8949D'!$AC$102</definedName>
    <definedName name="F8949DSBOXA">'8949D'!$C$25</definedName>
    <definedName name="F8949DSBOXB">'8949D'!$C$27</definedName>
    <definedName name="F8949DSBOXC">'8949D'!$C$29</definedName>
    <definedName name="F8949DSBOXG">'8949D'!$C$31</definedName>
    <definedName name="F8949DSBOXH">'8949D'!$C$33</definedName>
    <definedName name="F8949DSBOXI">'8949D'!$C$35</definedName>
    <definedName name="F8949DST">'8949D'!$A$52</definedName>
    <definedName name="F8949DSTD">'8949D'!$Q$52</definedName>
    <definedName name="F8949DSTE">'8949D'!$U$52</definedName>
    <definedName name="F8949DSTG">'8949D'!$AA$52</definedName>
    <definedName name="F8949DSTH">'8949D'!$AC$52</definedName>
    <definedName name="F8959_Reqd">'8959'!$P$7</definedName>
    <definedName name="F8959_Tax">'8959'!$M$52</definedName>
    <definedName name="F8959_WH">'8959'!$M$65</definedName>
    <definedName name="F8960_Applicable">'8960'!$Q$2</definedName>
    <definedName name="F8960_Tax">'8960'!$N$48</definedName>
    <definedName name="F8978_Credit">'Sch. 3'!$W$29</definedName>
    <definedName name="FarmIncomeLoss">'Sch. 1'!$AC$21</definedName>
    <definedName name="FarmOptMeth1">'Sch. SE'!$X$51</definedName>
    <definedName name="FarmOptMeth2">'Sch. SE'!$X$111</definedName>
    <definedName name="FarmProfitNet">'Sch. F'!$AB$55</definedName>
    <definedName name="Fed_Inc_Tax_WH_Line_25d">'1040'!$AL$109</definedName>
    <definedName name="FedFuelTaxCredit">'Sch. 3'!$AC$40</definedName>
    <definedName name="FEI_Exclusion_Limit">'2555'!$AE$159</definedName>
    <definedName name="FEI_Exclusion_Max">'2555'!$AE$159</definedName>
    <definedName name="FEI_HousingDeduction">'2555'!$AO$405</definedName>
    <definedName name="FEI_HousingDeduction1">'2555'!$AE$189</definedName>
    <definedName name="FEI_HousingDeduction2">'2555'!$AE$378</definedName>
    <definedName name="FEI_HousingExclusion">'2555'!$AO$404</definedName>
    <definedName name="FEI_HousingExclusion1">'2555'!$AE$155</definedName>
    <definedName name="FEI_HousingExclusion2">'2555'!$AE$344</definedName>
    <definedName name="FEI_Tax_Worksheet">'Line 16 (QDCG Tax)'!$R$79</definedName>
    <definedName name="FEI_Tax_WS_Required">'2555'!$AO$406</definedName>
    <definedName name="FEI_TW_Line2c">'Line 16 (QDCG Tax)'!$N$87</definedName>
    <definedName name="FEI_TW_Line3">'Line 16 (QDCG Tax)'!$N$89</definedName>
    <definedName name="File_Head">'1040'!$AB$20</definedName>
    <definedName name="File_Marr_Joint">'1040'!$F$22</definedName>
    <definedName name="File_Marr_Sep">'1040'!$F$24</definedName>
    <definedName name="File_Qual_Widow">'1040'!$AB$22</definedName>
    <definedName name="File_Single">'1040'!$F$20</definedName>
    <definedName name="File8960">'8960'!$Q$3</definedName>
    <definedName name="FilingScheduleD">'Line 16 (QDCG Tax)'!$J$34</definedName>
    <definedName name="FilingStatusError">'1040'!$AU$11</definedName>
    <definedName name="Foreign_Tax_Credit">'Sch. 3'!$AC$11</definedName>
    <definedName name="ForeignCountry">'1040'!$B$17</definedName>
    <definedName name="ForeignEarnedIncome">'2555'!$AO$324</definedName>
    <definedName name="ForeignEarnedIncome1">'2555'!$AO$134</definedName>
    <definedName name="ForeignEarnedIncome2">'2555'!$AO$323</definedName>
    <definedName name="ForeignHousingDeduction1">'2555'!$AO$189</definedName>
    <definedName name="ForeignHousingDeduction2">'2555'!$AO$378</definedName>
    <definedName name="ForeignHousingDeductionSpouse">'2555'!$AO$399</definedName>
    <definedName name="ForeignHousingDeductionTotal">'2555'!$AM$400</definedName>
    <definedName name="ForeignHousingDeductionYou">'2555'!$AM$399</definedName>
    <definedName name="ForeignIncExclusion">'2555'!$AE$168</definedName>
    <definedName name="ForeignIncExclusion1">'2555'!$AE$168</definedName>
    <definedName name="ForeignIncExclusion2">'2555'!$AE$357</definedName>
    <definedName name="ForeignIncExclusionSpouse">'2555'!$AO$387</definedName>
    <definedName name="ForeignIncExclusionTotal">'2555'!$AM$388</definedName>
    <definedName name="ForeignIncExclusionYou">'2555'!$AM$387</definedName>
    <definedName name="ForeignPostalCode">'1040'!$AC$17</definedName>
    <definedName name="ForeignProvince">'1040'!$S$17</definedName>
    <definedName name="ForeignTaxCredit_1">'1116'!$AL$132</definedName>
    <definedName name="ForeignTaxCredit_2">'1116'!$AL$253</definedName>
    <definedName name="ForeignTaxCredit_3">'1116'!$AL$376</definedName>
    <definedName name="ForeignTaxPaid">'1116'!$AO$10</definedName>
    <definedName name="ForeignTaxPaid_DIV">'1099-DIV'!$H$103</definedName>
    <definedName name="ForeignTaxPaid_F1116">'1116'!$AQ$11</definedName>
    <definedName name="ForeignTaxPaid_INT">'1099-INT'!$I$71</definedName>
    <definedName name="ForeignTaxPaid_INT_DIV">'1099-DIV'!$I$92</definedName>
    <definedName name="ForeignTaxThreshold">'1116'!$AQ$10</definedName>
    <definedName name="Form2210_Line7">'2210'!$U$45</definedName>
    <definedName name="Form2555_Used">'2555'!$AM$190</definedName>
    <definedName name="Form4952_Filed">'Sch. D'!$P$78</definedName>
    <definedName name="Form4952_Line4e">'Sch. D WS'!$J$79</definedName>
    <definedName name="Form4952_Line4g">'Sch. D WS'!$J$78</definedName>
    <definedName name="Form8863">'1040'!$L$110</definedName>
    <definedName name="Form8960_Threshhold">'8960'!$N$45</definedName>
    <definedName name="Hawaii">'1040'!$BO$10</definedName>
    <definedName name="HSA_Deduct">'Sch. 1'!$AJ$63</definedName>
    <definedName name="InmateIncome">'Sch. 1'!$W$48</definedName>
    <definedName name="Interest_Inc">'Sch. B'!$I$43</definedName>
    <definedName name="InvExpDIV">'1099-DIV'!$H$102</definedName>
    <definedName name="InvExpINT">'1099-INT'!$I$70</definedName>
    <definedName name="IRA_CONV_SPOUSE">'1099-R'!$O$31</definedName>
    <definedName name="IRA_CONV_TAXABLE_SPOUSE">'1099-R'!$O$32</definedName>
    <definedName name="IRA_CONV_TAXABLE_YOU">'1099-R'!$O$5</definedName>
    <definedName name="IRA_CONV_YOU">'1099-R'!$O$4</definedName>
    <definedName name="IRA_Deduction">'Sch. 1, Line 20 (IRA)'!$L$100</definedName>
    <definedName name="IRA_Dist_SPOUSE">'1099-R'!$M$31</definedName>
    <definedName name="IRA_Dist_YOU">'1099-R'!$M$4</definedName>
    <definedName name="IRA_FedTaxWH">'1099-R'!$D$62</definedName>
    <definedName name="IRA_Gross">'1099-R'!$D$58</definedName>
    <definedName name="IRA_HFD">'Lines 4ab (IRA Dist.)'!$A$64</definedName>
    <definedName name="IRA_QCD">'Lines 4ab (IRA Dist.)'!$A$46</definedName>
    <definedName name="IRA_Rollover">'Lines 4ab (IRA Dist.)'!$A$13</definedName>
    <definedName name="IRA_Taxable">'1040'!$AL$65</definedName>
    <definedName name="IRA_Taxable_1099R">'1099-R'!$D$59</definedName>
    <definedName name="IRA_Taxable_Spouse">'1099-R'!$M$32</definedName>
    <definedName name="IRA_Taxable_You">'1099-R'!$M$5</definedName>
    <definedName name="IRAContrib_Taxable1">'8606'!$AE$72</definedName>
    <definedName name="IRAContrib_Taxable2">'8606'!$AE$184</definedName>
    <definedName name="IRAConvert_Taxable1">'8606'!$AM$82</definedName>
    <definedName name="IRAConvert_Taxable2">'8606'!$AM$194</definedName>
    <definedName name="IRADeduct">'Sch. 1'!$AC$74</definedName>
    <definedName name="Item_Deduct_Wks_L9">'Sch. A'!$AI$199</definedName>
    <definedName name="ItemizeAnyway">'Sch. A'!$B$66</definedName>
    <definedName name="ItemizedDeduct">'1040'!$BJ$65</definedName>
    <definedName name="LastYear">'1040'!$BF$3</definedName>
    <definedName name="LeapYear">'1040'!$BJ$2</definedName>
    <definedName name="Line33_NOT">'Sch. 1, Line 21 (Stu Loan)'!$L$9</definedName>
    <definedName name="LivedApart">'1040'!$BB$8</definedName>
    <definedName name="LivedApartAnswered">'1040'!$BB$7</definedName>
    <definedName name="LLC_1">'8863'!$AE$113</definedName>
    <definedName name="LLC_2">'8863'!$AE$171</definedName>
    <definedName name="LLC_3">'8863'!$AE$229</definedName>
    <definedName name="LLC_4">'8863'!$AE$287</definedName>
    <definedName name="LocalTaxIRA">'1099-R'!$D$76</definedName>
    <definedName name="LocalTaxPA">'1099-R'!$E$76</definedName>
    <definedName name="LocalTaxW2">'W-2s'!$D$104</definedName>
    <definedName name="MAGI_OBBBA">'1040'!$BD$91</definedName>
    <definedName name="MarketDiscount">'1099-INT'!$I$76</definedName>
    <definedName name="MaxSSTax">'W-2s'!$M$1</definedName>
    <definedName name="MaxSSTaxEarnings">'W-2s'!$H$1</definedName>
    <definedName name="MedCare_Tax_Withheld">'W-2s'!$D$81</definedName>
    <definedName name="MedCare_wages">'W-2s'!$D$80</definedName>
    <definedName name="MedicareTaxRate">'8959'!$K$57</definedName>
    <definedName name="MFS_Spouse_NotFiling">'1040'!$AV$9</definedName>
    <definedName name="ModAdjGrossInc">'8960'!$AC$76</definedName>
    <definedName name="MovExp_ArmedForces">'Sch. 1'!$AC$65</definedName>
    <definedName name="Name_1st_Sp">'1040'!$B$11</definedName>
    <definedName name="Name_1st_Yours">'1040'!$B$9</definedName>
    <definedName name="Name_Last_Sp">'1040'!$R$11</definedName>
    <definedName name="Name_Last_Yours">'1040'!$R$9</definedName>
    <definedName name="Names">'1040'!$BG$11</definedName>
    <definedName name="NameSpouse">'1040'!$BI$13</definedName>
    <definedName name="NameYours">'1040'!$BG$13</definedName>
    <definedName name="Needs_SALT">'Sch 1, Line 1 (SALT)'!$L$74</definedName>
    <definedName name="NetCapitalGain">'8995'!$AC$39</definedName>
    <definedName name="NextYear">'1040'!$BF$4</definedName>
    <definedName name="NoColor">'1040'!$BA$2</definedName>
    <definedName name="NoEICredit">'Line 27a (EIC)'!$A$1</definedName>
    <definedName name="NonEmployeeComp_Both">'1099-NEC'!$J$19</definedName>
    <definedName name="NonEmployeeComp_Spouse">'1099-NEC'!$I$19</definedName>
    <definedName name="NonEmployeeComp_You">'1099-NEC'!$J$6</definedName>
    <definedName name="NonFarmOptMeth1">'Sch. SE'!$X$57</definedName>
    <definedName name="NonFarmOptMeth2">'Sch. SE'!$X$117</definedName>
    <definedName name="NonQualAnnuity">'1099-R'!$E$65</definedName>
    <definedName name="NoOnLine66a">'Line 27a (EIC)'!$B$1</definedName>
    <definedName name="NoSSN">'1040'!$BA$3</definedName>
    <definedName name="NOT_MFJ">'1040'!$BL$142</definedName>
    <definedName name="NQDisasterLoss">'Sch. A'!$R$58</definedName>
    <definedName name="NumFileStatusBoxes">'1040'!$AU$10</definedName>
    <definedName name="OPRC">'Sch. 3'!$AC$51</definedName>
    <definedName name="OrdinaryDividends">'1040'!$AL$62</definedName>
    <definedName name="OtherGainsLosses">'Sch. 1'!$AJ$19</definedName>
    <definedName name="OtherIncome">'Sch. 1'!$AC$54</definedName>
    <definedName name="OtherIncome1040">'1040'!$AL$76</definedName>
    <definedName name="Over_65_or_Blind">'1040'!$BF$20</definedName>
    <definedName name="Overpaid">'1040'!$AL$125</definedName>
    <definedName name="PA_FedTaxWH">'1099-R'!$E$62</definedName>
    <definedName name="PA_Gross">'1099-R'!$E$58</definedName>
    <definedName name="PA_Taxable">'1040'!$AL$68</definedName>
    <definedName name="PA_Taxable_1099R">'1099-R'!$E$59</definedName>
    <definedName name="PA_Taxable_Spouse">'1099-R'!$N$32</definedName>
    <definedName name="PA_Taxable_You">'1099-R'!$N$5</definedName>
    <definedName name="Part_III_Completed">'8801'!$AM$175</definedName>
    <definedName name="PassiveIncomeLoss">'8582'!$AE$24</definedName>
    <definedName name="pc28RateGainWS">'Sch. D WS'!$O$51</definedName>
    <definedName name="PEC_Spouse">'1040'!$AQ$17</definedName>
    <definedName name="PEC_You">'1040'!$AM$17</definedName>
    <definedName name="Penalty4EW">'1099-INT'!$I$66</definedName>
    <definedName name="PenaltyEarlyWithdraw">'Sch. 1'!$AJ$69</definedName>
    <definedName name="PenaltyOwedFlag">'2210'!$W$48</definedName>
    <definedName name="Pension_taxable">'Lines 5ab (Simplified Meth WS)'!$L$62</definedName>
    <definedName name="Pension_total">'1099-R'!$I$58</definedName>
    <definedName name="PensionsAnnuities">'1040'!$S$68</definedName>
    <definedName name="POCV_Credit">'Sch. 3'!$AC$30</definedName>
    <definedName name="PTC_Excess">'8962'!$AE$72</definedName>
    <definedName name="PTC_ExcessAdv">'Sch. 2'!$Z$12</definedName>
    <definedName name="PTC_Net">'8962'!$AE$68</definedName>
    <definedName name="PTCNet">'Sch. 3'!$AC$37</definedName>
    <definedName name="PuertoRicoResident">'8812'!$AS$3</definedName>
    <definedName name="QBID">'8995'!$AC$43</definedName>
    <definedName name="QBID_1040">'1040'!$AL$92</definedName>
    <definedName name="QBID_Income2High">'8995'!$AL$10</definedName>
    <definedName name="QPIMV_Credit">'Sch. 3'!$AC$23</definedName>
    <definedName name="Qual_Child_Count">Dependents!$BK$39</definedName>
    <definedName name="Qual_Child_Name">'1040'!$T$25</definedName>
    <definedName name="Qual_Child_Number_EIC">Dependents!$BF$56</definedName>
    <definedName name="Qual_Childen_Under_17">Dependents!$BF$37</definedName>
    <definedName name="QualDiv_1099DIV">'1099-DIV'!$H$94</definedName>
    <definedName name="Qualified_Dividends">'1040'!$S$62</definedName>
    <definedName name="QualifiedTipsDeduction">'Sch. 1-A'!$AD$46</definedName>
    <definedName name="RATE_A1">'Tax Table'!$S$7</definedName>
    <definedName name="RATE_A2">'Tax Table'!$S$8</definedName>
    <definedName name="RATE_A3">'Tax Table'!$S$9</definedName>
    <definedName name="RATE_A4">'Tax Table'!$S$10</definedName>
    <definedName name="RATE_A5">'Tax Table'!$S$11</definedName>
    <definedName name="RATE_A6">'Tax Table'!$S$12</definedName>
    <definedName name="RATE_A7">'Tax Table'!$S$13</definedName>
    <definedName name="RATE_B1">'Tax Table'!$S$17</definedName>
    <definedName name="RATE_B2">'Tax Table'!$S$18</definedName>
    <definedName name="RATE_B3">'Tax Table'!$S$19</definedName>
    <definedName name="RATE_B4">'Tax Table'!$S$20</definedName>
    <definedName name="RATE_B5">'Tax Table'!$S$21</definedName>
    <definedName name="RATE_B6">'Tax Table'!$S$22</definedName>
    <definedName name="RATE_B7">'Tax Table'!$S$23</definedName>
    <definedName name="RATE_C1">'Tax Table'!$S$27</definedName>
    <definedName name="RATE_C2">'Tax Table'!$S$28</definedName>
    <definedName name="RATE_C3">'Tax Table'!$S$29</definedName>
    <definedName name="RATE_C4">'Tax Table'!$S$30</definedName>
    <definedName name="RATE_C5">'Tax Table'!$S$31</definedName>
    <definedName name="RATE_C6">'Tax Table'!$S$32</definedName>
    <definedName name="RATE_C7">'Tax Table'!$S$33</definedName>
    <definedName name="RATE_D1">'Tax Table'!$S$38</definedName>
    <definedName name="RATE_D2">'Tax Table'!$S$39</definedName>
    <definedName name="RATE_D3">'Tax Table'!$S$40</definedName>
    <definedName name="RATE_D4">'Tax Table'!$S$41</definedName>
    <definedName name="RATE_D5">'Tax Table'!$S$42</definedName>
    <definedName name="RATE_D6">'Tax Table'!$S$43</definedName>
    <definedName name="RATE_D7">'Tax Table'!$S$44</definedName>
    <definedName name="RCE_CL_WKST">'5695'!$AE$288</definedName>
    <definedName name="ResNRGCredit">'Sch. 3'!$AL$15</definedName>
    <definedName name="Retirement_Savings">'Sch. 3'!$AC$14</definedName>
    <definedName name="RevDateTime">Changes!$F$1</definedName>
    <definedName name="RothIRADist_Taxable1">'8606'!$AE$106</definedName>
    <definedName name="RothIRADist_Taxable2">'8606'!$AE$218</definedName>
    <definedName name="RRTA_Compensation">'W-2s'!$D$98</definedName>
    <definedName name="RRTA_TaxWH">'W-2s'!$D$99</definedName>
    <definedName name="RTAApayments">'1099-G'!$J$29</definedName>
    <definedName name="SALT_Deduct_Limit">'Sch. A'!$P$22</definedName>
    <definedName name="SALT_Limited">'Sch. A'!$P$33</definedName>
    <definedName name="SALT_Refund">'1099-G'!$J$26</definedName>
    <definedName name="Sch.B_Reqd">'1099-DIV'!$I$119</definedName>
    <definedName name="Sch1_Line1">'Sch. 1'!$AC$15</definedName>
    <definedName name="Sch1_Line11_19a">'Sch. 1'!$AJ$71</definedName>
    <definedName name="Sch1_Line8s">'Sch. 1'!$X$45</definedName>
    <definedName name="Sch1A_Deductions">'1040'!$AL$93</definedName>
    <definedName name="Sch2_Line1z">'Sch. 2'!$AD$33</definedName>
    <definedName name="Sch3_Line6d">'Sch. 3'!$W$21</definedName>
    <definedName name="Sch3_Line6f">'Sch. 3'!$W$23</definedName>
    <definedName name="Sch3_Line6g">'Sch. 3'!$W$24</definedName>
    <definedName name="Sch3_Line6h">'Sch. 3'!$W$25</definedName>
    <definedName name="Sch3_Line6m">'Sch. 3'!$W$30</definedName>
    <definedName name="Sch3_NonRefundCredits">'Sch. 3'!$AC$35</definedName>
    <definedName name="SchA_Blank">'Sch. A'!$P$74</definedName>
    <definedName name="SchA_Filed">'Sch. A'!$R$9</definedName>
    <definedName name="SchC_ProfitLoss1">'Sch. C'!$T$56</definedName>
    <definedName name="SchC_ProfitLoss2">'Sch. C'!$T$170</definedName>
    <definedName name="SchC_Sp_StatEmp_Inc">'Sch. C'!$Y$139</definedName>
    <definedName name="SchC_StatEmp_Inc">'Sch. C'!$Y$141</definedName>
    <definedName name="SchC_StatutoryEmp_1">'Sch. C'!$Q$23</definedName>
    <definedName name="SchC_StatutoryEmp_2">'Sch. C'!$Q$137</definedName>
    <definedName name="SchC_TentativeProfit1">'Sch. C'!$T$48</definedName>
    <definedName name="SchC_TentativeProfit2">'Sch. C'!$T$162</definedName>
    <definedName name="SchC_You_StatEmp_Inc">'Sch. C'!$Y$140</definedName>
    <definedName name="SchD_Line1516_GT_0">'Sch. D WS'!$AC$55</definedName>
    <definedName name="SchD_Line1819_GT_0">'Sch. D WS'!$AC$54</definedName>
    <definedName name="SchD_NotReqd">'1040'!$AY$75</definedName>
    <definedName name="SchD_Used">'Sch. D'!$O$56</definedName>
    <definedName name="SchDLine15">'Sch. D'!$O$49</definedName>
    <definedName name="SchDLine16">'Sch. D'!$O$57</definedName>
    <definedName name="SchDLine18">'Sch. D'!$O$72</definedName>
    <definedName name="SchDLine19">'Sch. D'!$O$75</definedName>
    <definedName name="SchDLine20No">'Sch. D'!$A$81</definedName>
    <definedName name="SchDLine20Yes">'Sch. D'!$A$78</definedName>
    <definedName name="SchDLine22Yes">'Sch. D'!$A$93</definedName>
    <definedName name="SchDTW_Line1">'Sch. D WS'!$R$74</definedName>
    <definedName name="SchDTW_Line15">'Sch. D WS'!$L$91</definedName>
    <definedName name="SchDTW_Line19">'Sch. D WS'!$L$98</definedName>
    <definedName name="SchDTW_Line21">'Sch. D WS'!$O$102</definedName>
    <definedName name="SchDTW_Line24">'Sch. D WS'!$L$110</definedName>
    <definedName name="SchDTW_Line26">'Sch. D WS'!$L$110</definedName>
    <definedName name="SchDTW_Line31Rate">'Sch. D WS'!$T$117</definedName>
    <definedName name="SchDTW_Line34Rate">'Sch. D WS'!$T$121</definedName>
    <definedName name="SchDTW_Line40Rate">'Sch. D WS'!$T$128</definedName>
    <definedName name="SchDTW_Line43Rate">'Sch. D WS'!$T$132</definedName>
    <definedName name="SchDTW_Line45">'Sch. D WS'!$R$141</definedName>
    <definedName name="SchDTW_Tax">'Sch. D WS'!$R$141</definedName>
    <definedName name="SchDTW_Used">'Sch. D WS'!$AC$65</definedName>
    <definedName name="SchE_IncomeLoss">'Sch. 1'!$AC$20</definedName>
    <definedName name="SchE1_Completed">'Sch. E'!$AV$123</definedName>
    <definedName name="SchE1_Line26">'Sch. E'!$AJ$63</definedName>
    <definedName name="SchE1_Line32">'Sch. E'!$AH$96</definedName>
    <definedName name="SchE1_Line37">'Sch. E'!$AJ$113</definedName>
    <definedName name="SchE1_Line39">'Sch. E'!$AJ$119</definedName>
    <definedName name="SchE1_Line40">'Sch. E'!$AJ$121</definedName>
    <definedName name="SchE1_Line41">'Sch. E'!$AJ$123</definedName>
    <definedName name="SchE2_Completed">'Sch. E'!$AV$255</definedName>
    <definedName name="SchE2_Line26">'Sch. E'!$AJ$195</definedName>
    <definedName name="SchE2_Line32">'Sch. E'!$AH$228</definedName>
    <definedName name="SchE2_Line37">'Sch. E'!$AJ$245</definedName>
    <definedName name="SchE2_Line39">'Sch. E'!$AJ$251</definedName>
    <definedName name="SchE2_Line40">'Sch. E'!$AJ$253</definedName>
    <definedName name="SchE2_Line41">'Sch. E'!$AJ$255</definedName>
    <definedName name="SchE3_Completed">'Sch. E (2)'!$AV$123</definedName>
    <definedName name="SchE3_Line26">'Sch. E (2)'!$AJ$63</definedName>
    <definedName name="SchE3_Line32">'Sch. E (2)'!$AH$96</definedName>
    <definedName name="SchE3_Line37">'Sch. E (2)'!$AJ$113</definedName>
    <definedName name="SchE3_Line39">'Sch. E (2)'!$AJ$119</definedName>
    <definedName name="SchE3_Line40">'Sch. E (2)'!$AJ$121</definedName>
    <definedName name="SchE3_Line41">'Sch. E (2)'!$AJ$123</definedName>
    <definedName name="SchE4_Completed">'Sch. E (2)'!$AV$255</definedName>
    <definedName name="SchE4_Line26">'Sch. E (2)'!$AJ$195</definedName>
    <definedName name="SchE4_Line32">'Sch. E (2)'!$AH$228</definedName>
    <definedName name="SchE4_Line37">'Sch. E (2)'!$AJ$245</definedName>
    <definedName name="SchE4_Line39">'Sch. E (2)'!$AJ$251</definedName>
    <definedName name="SchE4_Line40">'Sch. E (2)'!$AJ$253</definedName>
    <definedName name="SchE4_Line41">'Sch. E (2)'!$AJ$255</definedName>
    <definedName name="Schedule2_Tax">'Sch. 2'!$AD$35</definedName>
    <definedName name="ScheduleE1">'Sch. E'!$AV$124</definedName>
    <definedName name="ScheduleE2">'Sch. E'!$AV$256</definedName>
    <definedName name="ScheduleE3">'Sch. E (2)'!$AV$124</definedName>
    <definedName name="ScheduleE4">'Sch. E (2)'!$AV$256</definedName>
    <definedName name="ScheduleF_PartIII">'Sch. F'!$AB$94</definedName>
    <definedName name="SchF_SchSE_1">'Sch. F'!$AI$58</definedName>
    <definedName name="SchF_SchSE_2">'Sch. F'!$AI$61</definedName>
    <definedName name="SchF_SSN">'Sch. F'!$W$9</definedName>
    <definedName name="Scholarship_NotW2">'Earned Inc WS'!#REF!</definedName>
    <definedName name="SchR_Line22">'Sch. R'!$Y$125</definedName>
    <definedName name="SchRQualify">'Sch. R'!$R$12</definedName>
    <definedName name="SchSE_Clergy_CEI_Sp">'Sch. SE'!$AM$108</definedName>
    <definedName name="SchSE_Clergy_CEI_Total">'Sch. SE'!$AN$108</definedName>
    <definedName name="SchSE_Clergy_CEI_You">'Sch. SE'!$AL$108</definedName>
    <definedName name="SchSE_Clergy1_Sp">'Sch. SE'!$AL$12</definedName>
    <definedName name="SchSE_Clergy1_You">'Sch. SE'!$AJ$12</definedName>
    <definedName name="SchSE_Clergy2_Sp">'Sch. SE'!$AL$72</definedName>
    <definedName name="SchSE_Clergy2_You">'Sch. SE'!$AJ$72</definedName>
    <definedName name="SchSE_Deduction">'Sch. SE'!$AL$136</definedName>
    <definedName name="SchSE_Deduction_Both">'Sch. SE'!$AN$135</definedName>
    <definedName name="SchSE_Deduction_Sp">'Sch. SE'!$AM$135</definedName>
    <definedName name="SchSE_Deduction_You">'Sch. SE'!$AL$135</definedName>
    <definedName name="SchSE_Line3_Sp1">'Sch. SE'!$AM$41</definedName>
    <definedName name="SchSE_Line3_Sp2">'Sch. SE'!$AM$106</definedName>
    <definedName name="SchSE_Line3_You1">'Sch. SE'!$AL$41</definedName>
    <definedName name="SchSE_Line3_You2">'Sch. SE'!$AL$106</definedName>
    <definedName name="SchSE_Lines_3_4b_5a_Sp">'Sch. SE'!$AM$118</definedName>
    <definedName name="SchSE_Lines_3_4b_5a_You">'Sch. SE'!$AL$118</definedName>
    <definedName name="SchSE_Lines_3_4b_Sp">'Sch. SE'!$AM$113</definedName>
    <definedName name="SchSE_Lines_3_4b_You">'Sch. SE'!$AL$113</definedName>
    <definedName name="SchSE_Profit1">'Sch. SE'!$X$21</definedName>
    <definedName name="SchSE_Profit2">'Sch. SE'!$X$81</definedName>
    <definedName name="SchSE_Tax">'Sch. SE'!$AL$130</definedName>
    <definedName name="SchSE1_SSN">'Sch. SE'!$W$6</definedName>
    <definedName name="SchSEHalfTax1">'Sch. SE'!$S$46</definedName>
    <definedName name="SchSEHalfTax2">'Sch. SE'!$S$106</definedName>
    <definedName name="SchSELine4b1">'Sch. SE'!$X$24</definedName>
    <definedName name="SchSELine4b2">'Sch. SE'!$X$84</definedName>
    <definedName name="SD_Adj_HOH">'1040'!$BD$98</definedName>
    <definedName name="SD_Adj_MFJW">'1040'!$BB$98</definedName>
    <definedName name="SD_Adj_MFS">'1040'!$BC$98</definedName>
    <definedName name="SD_Adj_Single">'1040'!$BA$98</definedName>
    <definedName name="SD_AND_NQDL">'1040'!$BI$75</definedName>
    <definedName name="SD_Head">'1040'!$C$100</definedName>
    <definedName name="SD_Inc_Married">'1040'!$BB$90</definedName>
    <definedName name="SD_Inc_Single">'1040'!$BA$90</definedName>
    <definedName name="SD_MFJW">'1040'!$C$97</definedName>
    <definedName name="SD_Single">'1040'!$C$92</definedName>
    <definedName name="SDTW_15_HOH">'Sch. D WS'!$O$93</definedName>
    <definedName name="SDTW_15_MFJ_QW">'Sch. D WS'!$O$92</definedName>
    <definedName name="SDTW_15_Single">'Sch. D WS'!$O$91</definedName>
    <definedName name="SDTW_26_HOH">'Sch. D WS'!$O$112</definedName>
    <definedName name="SDTW_26_MFJ_QW">'Sch. D WS'!$O$111</definedName>
    <definedName name="SDTW_26_MFS">'Sch. D WS'!$O$110</definedName>
    <definedName name="SDTW_26_Single">'Sch. D WS'!$O$109</definedName>
    <definedName name="SE_Deduct">'Sch. 1'!$AJ$66</definedName>
    <definedName name="Sect199ADividends">'1099-DIV'!$H$101</definedName>
    <definedName name="SectA_a2">'Tax Table'!$J$8</definedName>
    <definedName name="SectA_a3">'Tax Table'!$J$9</definedName>
    <definedName name="SectA_a4">'Tax Table'!$J$10</definedName>
    <definedName name="SectA_a5">'Tax Table'!$J$11</definedName>
    <definedName name="SectA_a6">'Tax Table'!$J$12</definedName>
    <definedName name="SectA_b3">'Tax Table'!$K$9</definedName>
    <definedName name="SectA_b4">'Tax Table'!$K$10</definedName>
    <definedName name="SectA_b5">'Tax Table'!$K$11</definedName>
    <definedName name="SectA_b6">'Tax Table'!$K$12</definedName>
    <definedName name="SectA_b7">'Tax Table'!$K$13</definedName>
    <definedName name="SectA_d3">'Tax Table'!$L$9</definedName>
    <definedName name="SectA_d4">'Tax Table'!$L$10</definedName>
    <definedName name="SectA_d5">'Tax Table'!$L$11</definedName>
    <definedName name="SectA_d6">'Tax Table'!$L$12</definedName>
    <definedName name="SectA_d7">'Tax Table'!$L$13</definedName>
    <definedName name="SectB_a2">'Tax Table'!$J$19</definedName>
    <definedName name="SectB_a3">'Tax Table'!$J$20</definedName>
    <definedName name="SectB_a4">'Tax Table'!$J$21</definedName>
    <definedName name="SectB_a5">'Tax Table'!$J$22</definedName>
    <definedName name="SectB_a6">'Tax Table'!$J$23</definedName>
    <definedName name="SectB_b3">'Tax Table'!$K$20</definedName>
    <definedName name="SectB_b4">'Tax Table'!$K$21</definedName>
    <definedName name="SectB_b5">'Tax Table'!$K$22</definedName>
    <definedName name="SectB_b6">'Tax Table'!$K$23</definedName>
    <definedName name="SectB_b7">'Tax Table'!$K$24</definedName>
    <definedName name="SectB_d3">'Tax Table'!$L$20</definedName>
    <definedName name="SectB_d4">'Tax Table'!$L$21</definedName>
    <definedName name="SectB_d5">'Tax Table'!$L$22</definedName>
    <definedName name="SectB_d6">'Tax Table'!$L$23</definedName>
    <definedName name="SectB_d7">'Tax Table'!$L$24</definedName>
    <definedName name="SectC_a1">'Tax Table'!$J$30</definedName>
    <definedName name="SectC_a2">'Tax Table'!$J$31</definedName>
    <definedName name="SectC_a3">'Tax Table'!$J$32</definedName>
    <definedName name="SectC_a4">'Tax Table'!$J$33</definedName>
    <definedName name="SectC_a5">'Tax Table'!$J$34</definedName>
    <definedName name="SectC_b2">'Tax Table'!$K$31</definedName>
    <definedName name="SectC_b3">'Tax Table'!$K$32</definedName>
    <definedName name="SectC_b4">'Tax Table'!$K$33</definedName>
    <definedName name="SectC_b5">'Tax Table'!$K$34</definedName>
    <definedName name="SectC_b6">'Tax Table'!$K$35</definedName>
    <definedName name="SectC_d2">'Tax Table'!$L$31</definedName>
    <definedName name="SectC_d3">'Tax Table'!$L$32</definedName>
    <definedName name="SectC_d4">'Tax Table'!$L$33</definedName>
    <definedName name="SectC_d5">'Tax Table'!$L$34</definedName>
    <definedName name="SectC_d6">'Tax Table'!$L$35</definedName>
    <definedName name="SectD_a2">'Tax Table'!$J$41</definedName>
    <definedName name="SectD_a3">'Tax Table'!$J$42</definedName>
    <definedName name="SectD_a4">'Tax Table'!$J$43</definedName>
    <definedName name="SectD_a5">'Tax Table'!$J$44</definedName>
    <definedName name="SectD_a6">'Tax Table'!$J$45</definedName>
    <definedName name="SectD_b3">'Tax Table'!$K$42</definedName>
    <definedName name="SectD_b4">'Tax Table'!$K$43</definedName>
    <definedName name="SectD_b5">'Tax Table'!$K$44</definedName>
    <definedName name="SectD_b6">'Tax Table'!$K$45</definedName>
    <definedName name="SectD_b7">'Tax Table'!$K$46</definedName>
    <definedName name="SectD_d3">'Tax Table'!$L$42</definedName>
    <definedName name="SectD_d4">'Tax Table'!$L$43</definedName>
    <definedName name="SectD_d5">'Tax Table'!$L$44</definedName>
    <definedName name="SectD_d6">'Tax Table'!$L$45</definedName>
    <definedName name="SectD_d7">'Tax Table'!$L$46</definedName>
    <definedName name="SEHealthInsDeduct">'Sch. 1'!$AJ$68</definedName>
    <definedName name="SelfEmploymentTax">'Sch. 2'!$AD$38</definedName>
    <definedName name="SEP_Plan_Deduct">'Sch. 1'!$AJ$67</definedName>
    <definedName name="Skip2343">'Sch. D WS'!$U$104</definedName>
    <definedName name="Skip3343">'Sch. D WS'!$U$119</definedName>
    <definedName name="Skip3540">'Sch. D WS'!$U$122</definedName>
    <definedName name="Skip4143">'Sch. D WS'!$U$129</definedName>
    <definedName name="SocSecBenefits">'1040'!$S$71</definedName>
    <definedName name="SocSecBenefits_Taxable">'1040'!$AL$71</definedName>
    <definedName name="SocSecTips">'1040'!$BC$128</definedName>
    <definedName name="SocSecTips_Spouse">'W-2s'!$J$46</definedName>
    <definedName name="SocSecTips_You">'W-2s'!$J$9</definedName>
    <definedName name="SocSecTipsNotW2">'1040'!$AL$53</definedName>
    <definedName name="SocSecTipsW2">'W-2s'!$D$82</definedName>
    <definedName name="SocSecWages_Spouse">'W-2s'!$J$42</definedName>
    <definedName name="SocSecWages_You">'W-2s'!$J$5</definedName>
    <definedName name="sp_blind">'1040'!$AA$90</definedName>
    <definedName name="sp_over_64">'1040'!$K$90</definedName>
    <definedName name="SpaceUsed_8949A_LT">'8949A'!$AH$79</definedName>
    <definedName name="SpaceUsed_8949A_ST">'8949A'!$AH$29</definedName>
    <definedName name="SpaceUsed_8949B_LT">'8949B'!$AH$79</definedName>
    <definedName name="SpaceUsed_8949B_ST">'8949B'!$AH$29</definedName>
    <definedName name="SpaceUsed_8949C_LT">'8949C'!$AH$79</definedName>
    <definedName name="SpaceUsed_8949C_ST">'8949C'!$AH$29</definedName>
    <definedName name="SpaceUsed_8949D_LT">'8949D'!$AH$79</definedName>
    <definedName name="SpaceUsed_8949D_ST">'8949D'!$AH$29</definedName>
    <definedName name="Spouse">'1040'!$AU$84</definedName>
    <definedName name="Spouse_GE24">'1040'!$BL$149</definedName>
    <definedName name="Spouse_GT24">'1040'!$BL$150</definedName>
    <definedName name="Spouse_GT24LT65">'1040'!$BL$125</definedName>
    <definedName name="Spouse_LT65">'1040'!$BL$151</definedName>
    <definedName name="Spouse65onJan2">'1040'!$BN$147</definedName>
    <definedName name="SpouseAge">'1040'!$BJ$147</definedName>
    <definedName name="SpouseAgeDecimal">'1040'!$BJ$146</definedName>
    <definedName name="SpouseBirthDate">'1040'!$BJ$142</definedName>
    <definedName name="SpouseBirthDay">'1040'!$AY$17</definedName>
    <definedName name="SpouseBirthMonth">'1040'!$AX$17</definedName>
    <definedName name="SpouseBirthYear">'1040'!$AZ$17</definedName>
    <definedName name="SpouseDeathDate">'1040'!$BR$143</definedName>
    <definedName name="SpouseDeathDay">'1040'!$AY$22</definedName>
    <definedName name="SpouseDeathMonth">'1040'!$AX$22</definedName>
    <definedName name="SpouseDeathYear">'1040'!$AZ$22</definedName>
    <definedName name="SpouseDeceased">'1040'!$AV$17</definedName>
    <definedName name="SpouseIs65">'1040'!$BN$146</definedName>
    <definedName name="SpouseIs70Half">'1040'!$BN$145</definedName>
    <definedName name="SpouseSep_NoIncome">'1040'!$BI$20</definedName>
    <definedName name="SS_FedTaxWH_Spouse">'SSA-1099'!$G$12</definedName>
    <definedName name="SS_FedTaxWH_You">'SSA-1099'!$G$7</definedName>
    <definedName name="SS_Spouse">'1040'!$AH$11</definedName>
    <definedName name="SS_Yours">'1040'!$AH$9</definedName>
    <definedName name="SSNetBeneSpouse">'SSA-1099'!$D$11</definedName>
    <definedName name="SSNetBeneYou">'SSA-1099'!$D$6</definedName>
    <definedName name="SSTaxRate">'W-2s'!$J$1</definedName>
    <definedName name="Standard">'1040'!$BI$70</definedName>
    <definedName name="State">'1040'!$X$15</definedName>
    <definedName name="State_Local_Tax_Refund">'Sch 1, Line 1 (SALT)'!$L$79</definedName>
    <definedName name="StateLocalTaxesPaid">'Sch. A'!$T$23</definedName>
    <definedName name="StateTax_DIV">'1099-DIV'!$H$112</definedName>
    <definedName name="StateTax_INT">'1099-INT'!$I$83</definedName>
    <definedName name="StateTaxIRA">'1099-R'!$D$73</definedName>
    <definedName name="StateTaxPA">'1099-R'!$E$73</definedName>
    <definedName name="StateTaxW2">'W-2s'!$D$102</definedName>
    <definedName name="Std_Ded_Wrks_For_Dep">'Line 12e (SD Depnts)'!$N$32</definedName>
    <definedName name="StdDeduct">'1040'!$BK$65</definedName>
    <definedName name="StudentLoanIntDeduct">'Sch. 1'!$AC$75</definedName>
    <definedName name="StuLoanIntDeduct">'Sch. 1, Line 21 (Stu Loan)'!$L$34</definedName>
    <definedName name="Tax">'1040'!$AL$98</definedName>
    <definedName name="Tax_FEI_TW">'Line 16 (QDCG Tax)'!$N$102</definedName>
    <definedName name="Tax_SS_Benefits">'Line 6ab (SS Bene)'!$L$49</definedName>
    <definedName name="Tax_SubTotal">'1040'!$AL$96</definedName>
    <definedName name="Taxable_Inc">'1040'!$AL$95</definedName>
    <definedName name="Taxable_State_Local_Tax_Refund">'Sch 1, Line 1 (SALT)'!$L$79</definedName>
    <definedName name="TaxableInterest">'1040'!$AL$61</definedName>
    <definedName name="TaxDay">'1040'!$BK$138</definedName>
    <definedName name="TaxExemptInt">'1040'!$S$61</definedName>
    <definedName name="TaxExemptInterest">'1099-INT'!$I$73</definedName>
    <definedName name="TaxFamilySize">'1040'!$AZ$41</definedName>
    <definedName name="TaxLine_1040">'1040'!$AK$96</definedName>
    <definedName name="TaxPenalty">'1040'!$AD$132</definedName>
    <definedName name="TaxYear">'1040'!$X$3</definedName>
    <definedName name="TaxYear2">'1040'!$X$3</definedName>
    <definedName name="TaxYearEnd">'1040'!$AC$5</definedName>
    <definedName name="TaxYearStart">'1040'!$R$5</definedName>
    <definedName name="Tot_Exemptions">'1040'!$AZ$41</definedName>
    <definedName name="Tot_Item_Deduct">'Sch. A'!$P$64</definedName>
    <definedName name="Tot_Payments">'1040'!$AL$124</definedName>
    <definedName name="Tot_Tax">'1040'!$AL$104</definedName>
    <definedName name="Total_Income">'1040'!$AL$77</definedName>
    <definedName name="TotalDeductions">'1040'!$AL$94</definedName>
    <definedName name="TotalOtherAdjust">'Sch. 1'!$AC$98</definedName>
    <definedName name="TotalOtherTaxes">'Sch. 2'!$AD$91</definedName>
    <definedName name="TotalSocSecBenefits">'SSA-1099'!$G$22</definedName>
    <definedName name="UCE_Spouse">'1099-G'!$I$25</definedName>
    <definedName name="UCE_You">'1099-G'!$J$6</definedName>
    <definedName name="Unallowed_CRD">'8582'!$AM$23</definedName>
    <definedName name="Uncol_MC_Tax_onTips">'W-2s'!$D$87</definedName>
    <definedName name="Uncol_SS_Tax_onTips">'W-2s'!$D$86</definedName>
    <definedName name="UnemployComp">'1099-G'!$J$25</definedName>
    <definedName name="UnEmploymentComp">'Sch. 1'!$AC$23</definedName>
    <definedName name="W2_FedTaxWH">'1040'!$AF$106</definedName>
    <definedName name="W2_NonTaxCombatPay_Sp">'W-2s'!$J$57</definedName>
    <definedName name="W2_NonTaxCombatPay_You">'W-2s'!$J$20</definedName>
    <definedName name="W2_Other">'W-2s'!$D$97</definedName>
    <definedName name="W2_SS_Tax_Excess">'W-2s'!$K$79</definedName>
    <definedName name="W2_SS_Tax_Withheld">'W-2s'!$D$79</definedName>
    <definedName name="W2_SS_Wages">'W-2s'!$D$78</definedName>
    <definedName name="W2_Tax_Withheld">'W-2s'!$D$77</definedName>
    <definedName name="W2_Wages">'W-2s'!$D$76</definedName>
    <definedName name="W2_Wages_Spouse">'W-2s'!$J$40</definedName>
    <definedName name="W2_Wages_You">'W-2s'!$J$3</definedName>
    <definedName name="Wages">'1040'!$AL$51</definedName>
    <definedName name="you_blind">'1040'!$AA$88</definedName>
    <definedName name="You_GE24">'1040'!$BL$129</definedName>
    <definedName name="You_GT24">'1040'!$BL$130</definedName>
    <definedName name="You_GT24LT65">'1040'!$BL$132</definedName>
    <definedName name="You_LT65">'1040'!$BL$131</definedName>
    <definedName name="you_over_64">'1040'!$K$88</definedName>
    <definedName name="You_Owe">'1040'!$AL$131</definedName>
    <definedName name="You65onJan2">'1040'!$BN$127</definedName>
    <definedName name="YouR65">'1040'!$BN$126</definedName>
    <definedName name="YouR70Half">'1040'!$BN$124</definedName>
    <definedName name="YourAge">'1040'!$BJ$127</definedName>
    <definedName name="YourAgeDecimal">'1040'!$BJ$126</definedName>
    <definedName name="YourBirthDate">'1040'!$BJ$121</definedName>
    <definedName name="YourBirthDay">'1040'!$AY$15</definedName>
    <definedName name="YourBirthMonth">'1040'!$AX$15</definedName>
    <definedName name="YourBirthYear">'1040'!$AZ$15</definedName>
    <definedName name="Yourself">'1040'!$BC$10</definedName>
    <definedName name="ZIPCode">'1040'!$AC$15</definedName>
    <definedName name="_xlnm.Print_Area" localSheetId="0">'1040'!$B$3:$AS$150</definedName>
    <definedName name="_xlnm.Print_Area" localSheetId="1">'Coversheet'!$B$2:$K$71</definedName>
    <definedName name="_xlnm.Print_Titles" localSheetId="2">'Table of Contents'!$1:$1</definedName>
    <definedName name="_xlnm.Print_Area" localSheetId="2">'Table of Contents'!$B$2:$C$72</definedName>
    <definedName name="_xlnm.Print_Area" localSheetId="4">'W-2s'!$A$1:$N$104</definedName>
    <definedName name="_xlnm.Print_Area" localSheetId="5">'1099-INT'!$A$1:$J$83</definedName>
    <definedName name="_xlnm.Print_Area" localSheetId="6">'1099-DIV'!$A$1:$J$113</definedName>
    <definedName name="_xlnm.Print_Area" localSheetId="7">'1099-G'!$A$1:$L$38</definedName>
    <definedName name="_xlnm.Print_Area" localSheetId="8">'1099-MISC'!$B$2:$N$40</definedName>
    <definedName name="_xlnm.Print_Area" localSheetId="10">'1099-R'!$A$1:$P$78</definedName>
    <definedName name="_xlnm.Print_Area" localSheetId="11">'Lines 4ab (IRA Dist.)'!$B$2:$X$93</definedName>
    <definedName name="_xlnm.Print_Area" localSheetId="12">'SSA-1099'!$A$1:$K$36</definedName>
    <definedName name="_xlnm.Print_Area" localSheetId="13">'Dependents'!$B$4:$BL$30</definedName>
    <definedName name="_xlnm.Print_Area" localSheetId="14">'Sch. 1'!$B$2:$AG$102</definedName>
    <definedName name="_xlnm.Print_Area" localSheetId="15">'Sch. 1-A'!$B$2:$AH$106</definedName>
    <definedName name="_xlnm.Print_Area" localSheetId="16">'Sch 1, Line 1 (SALT)'!$B$22:$M$80</definedName>
    <definedName name="_xlnm.Print_Area" localSheetId="17">'Sch. 1, Line 20 (IRA)'!$B$2:$T$101</definedName>
    <definedName name="_xlnm.Print_Area" localSheetId="18">'Sch. 1, Line 21 (Stu Loan)'!$B$2:$M$35</definedName>
    <definedName name="_xlnm.Print_Area" localSheetId="19">'Sch. 2'!$B$2:$AH$92</definedName>
    <definedName name="_xlnm.Print_Area" localSheetId="20">'Sch. 3'!$B$2:$AG$52</definedName>
    <definedName name="_xlnm.Print_Area" localSheetId="21">'Earned Inc WS'!$B$2:$K$92</definedName>
    <definedName name="_xlnm.Print_Area" localSheetId="22">'Lines 5ab (Simplified Meth WS)'!$B$32:$M$94</definedName>
    <definedName name="_xlnm.Print_Area" localSheetId="23">'Line 6ab (SS Bene)'!$B$2:$M$52</definedName>
    <definedName name="_xlnm.Print_Area" localSheetId="24">'Line 12e (SD Depnts)'!$B$2:$O$37</definedName>
    <definedName name="_xlnm.Print_Area" localSheetId="25">'Line 16 (QDCG Tax)'!$B$23:$O$122</definedName>
    <definedName name="_xlnm.Print_Area" localSheetId="26">'Line 27a (EIC)'!$A$1:$Y$507</definedName>
    <definedName name="_xlnm.Print_Area" localSheetId="27">'Sch. A'!$B$9:$P$67</definedName>
    <definedName name="_xlnm.Print_Area" localSheetId="28">'Sch. B'!$B$14:$O$85</definedName>
    <definedName name="_xlnm.Print_Area" localSheetId="29">'Sch. C'!$B$2:$U$229</definedName>
    <definedName name="_xlnm.Print_Area" localSheetId="30">'Sch. D'!$B$2:$Q$98</definedName>
    <definedName name="_xlnm.Print_Area" localSheetId="31">'Sch. D WS'!$B$1:$S$146</definedName>
    <definedName name="_xlnm.Print_Area" localSheetId="32">'Sch. E'!$B$2:$AO$265</definedName>
    <definedName name="_xlnm.Print_Area" localSheetId="33">'Sch. E (2)'!$B$2:$AO$265</definedName>
    <definedName name="_xlnm.Print_Area" localSheetId="34">'Sch. F'!$B$3:$AE$122</definedName>
    <definedName name="_xlnm.Print_Area" localSheetId="35">'Sch. R'!$B$13:$AB$126</definedName>
    <definedName name="_xlnm.Print_Area" localSheetId="36">'Sch. SE'!$B$2:$Z$121</definedName>
    <definedName name="_xlnm.Print_Area" localSheetId="37">'1116'!$B$12:$AO$377</definedName>
    <definedName name="_xlnm.Print_Area" localSheetId="38">'2210'!$B$6:$W$169</definedName>
    <definedName name="_xlnm.Print_Area" localSheetId="39">'2441'!$B$3:$W$240</definedName>
    <definedName name="_xlnm.Print_Area" localSheetId="40">'2555'!$B$2:$AJ$190</definedName>
    <definedName name="_xlnm.Print_Area" localSheetId="41">'4137'!$B$2:$AJ$44</definedName>
    <definedName name="_xlnm.Print_Area" localSheetId="42">'4562'!$B$2:$AJ$131</definedName>
    <definedName name="_xlnm.Print_Area" localSheetId="43">'5695'!$B$2:$AJ$322</definedName>
    <definedName name="_xlnm.Print_Area" localSheetId="44">'6251'!$B$4:$M$127</definedName>
    <definedName name="_xlnm.Print_Area" localSheetId="45">'8283'!$B$2:$AO$132</definedName>
    <definedName name="_xlnm.Print_Area" localSheetId="46">'8582'!$B$2:$AJ$140</definedName>
    <definedName name="_xlnm.Print_Area" localSheetId="47">'8606'!$B$7:$AJ$230</definedName>
    <definedName name="_xlnm.Print_Area" localSheetId="48">'8801'!$B$1:$AJ$258</definedName>
    <definedName name="_xlnm.Print_Area" localSheetId="49">'8812'!$B$4:$AP$228</definedName>
    <definedName name="_xlnm.Print_Area" localSheetId="50">'8829'!$B$2:$AJ$66</definedName>
    <definedName name="_xlnm.Print_Area" localSheetId="51">'8863'!$B$2:$AJ$288</definedName>
    <definedName name="_xlnm.Print_Area" localSheetId="52">'8880'!$B$2:$AJ$52</definedName>
    <definedName name="_xlnm.Print_Area" localSheetId="53">'8889'!$B$4:$M$123</definedName>
    <definedName name="_xlnm.Print_Area" localSheetId="54">'8919'!$B$2:$AJ$119</definedName>
    <definedName name="_xlnm.Print_Area" localSheetId="55">'8949A'!$B$4:$AF$108</definedName>
    <definedName name="_xlnm.Print_Area" localSheetId="56">'8949B'!$B$4:$AF$108</definedName>
    <definedName name="_xlnm.Print_Area" localSheetId="57">'8949C'!$B$4:$AF$108</definedName>
    <definedName name="_xlnm.Print_Area" localSheetId="58">'8949D'!$B$4:$AF$108</definedName>
    <definedName name="_xlnm.Print_Area" localSheetId="59">'8959'!$B$8:$M$66</definedName>
    <definedName name="_xlnm.Print_Area" localSheetId="60">'8960'!$B$5:$N$61</definedName>
    <definedName name="_xlnm.Print_Area" localSheetId="61">'8962'!$B$4:$AJ$123</definedName>
    <definedName name="_xlnm.Print_Area" localSheetId="62">'8995'!$B$2:$AG$47</definedName>
    <definedName name="_xlnm.Print_Titles" localSheetId="64">'Tax Table'!$1:$1</definedName>
    <definedName name="_xlnm.Print_Area" localSheetId="64">'Tax Table'!$B$1:$G$2063</definedName>
  </definedNames>
  <calcPr calcId="191029" fullCalcOnLoad="1"/>
</workbook>
</file>

<file path=xl/styles.xml><?xml version="1.0" encoding="utf-8"?>
<styleSheet xmlns="http://schemas.openxmlformats.org/spreadsheetml/2006/main">
  <numFmts count="48">
    <numFmt numFmtId="164" formatCode="0."/>
    <numFmt numFmtId="165" formatCode="[&gt;9]&quot;X&quot;;#"/>
    <numFmt numFmtId="166" formatCode="m/d/yyyy;@"/>
    <numFmt numFmtId="167" formatCode="&quot;$&quot;#,##0"/>
    <numFmt numFmtId="168" formatCode="0.0%"/>
    <numFmt numFmtId="169" formatCode="dd\-mmm\-yyyy\ h:mm\ AM/PM"/>
    <numFmt numFmtId="170" formatCode="[$-409]d\-mmm\-yyyy;@"/>
    <numFmt numFmtId="171" formatCode="m/d/yy;@"/>
    <numFmt numFmtId="172" formatCode="0_);\(0\)"/>
    <numFmt numFmtId="173" formatCode="&quot;$&quot;#,##0.00_);[Red]\(&quot;$&quot;#,##0.00\)"/>
    <numFmt numFmtId="174" formatCode="&quot;$&quot;#,##0_);[Red]\(&quot;$&quot;#,##0\)"/>
    <numFmt numFmtId="175" formatCode="#,##0;[Red]#,##0"/>
    <numFmt numFmtId="176" formatCode="000\-00\-0000"/>
    <numFmt numFmtId="177" formatCode="0.000_);\(0.000\)"/>
    <numFmt numFmtId="178" formatCode="#,##0.000_);\(#,##0.000\)"/>
    <numFmt numFmtId="179" formatCode="0_);[Red]\(0\)"/>
    <numFmt numFmtId="180" formatCode="&quot;$&quot;#,##0_);\(&quot;$&quot;#,##0\)"/>
    <numFmt numFmtId="181" formatCode="0.000"/>
    <numFmt numFmtId="182" formatCode="0.0"/>
    <numFmt numFmtId="183" formatCode="#,##0.0000"/>
    <numFmt numFmtId="184" formatCode="0.0000"/>
    <numFmt numFmtId="185" formatCode="&quot;$&quot;#,##0.00"/>
    <numFmt numFmtId="186" formatCode="#,##0.000_);[Red]\(#,##0.000\)"/>
    <numFmt numFmtId="187" formatCode="[$-409]mmmm\ d\,\ yyyy;@"/>
    <numFmt numFmtId="188" formatCode=".00"/>
    <numFmt numFmtId="189" formatCode="0.00_);\(0.00\)"/>
    <numFmt numFmtId="190" formatCode="&quot;$&quot;0"/>
    <numFmt numFmtId="191" formatCode="dd\-mmm\-yyyy"/>
    <numFmt numFmtId="192" formatCode="[$-409]h:mm\ AM/PM;@"/>
    <numFmt numFmtId="193" formatCode="#,##0.0000_);\(#,##0.0000\)"/>
    <numFmt numFmtId="194" formatCode="mmmm"/>
    <numFmt numFmtId="195" formatCode="&quot;$&quot;#,##0.00_);\(&quot;$&quot;#,##0.00\)"/>
    <numFmt numFmtId="196" formatCode="#,##0.0_);\(#,##0.0\)"/>
    <numFmt numFmtId="197" formatCode="#,##0.00000_);\(#,##0.00000\)"/>
    <numFmt numFmtId="198" formatCode="#,##0.000"/>
    <numFmt numFmtId="199" formatCode="0.000%"/>
    <numFmt numFmtId="200" formatCode="00000"/>
    <numFmt numFmtId="201" formatCode="[&lt;=9999999]###\-####;\(###\)\ ###\-####"/>
    <numFmt numFmtId="202" formatCode="mmm\.\ d\,\ yyyy"/>
    <numFmt numFmtId="203" formatCode="mmmm\ d\,\ yyyy"/>
    <numFmt numFmtId="204" formatCode="#,##0.000000"/>
    <numFmt numFmtId="205" formatCode="_(* #,##0.0000_);_(* \(#,##0.0000\);_(* &quot;-&quot;????_);_(@_)"/>
    <numFmt numFmtId="206" formatCode="mm/dd/yy;@"/>
    <numFmt numFmtId="207" formatCode="mmm\-yyyy"/>
    <numFmt numFmtId="208" formatCode="mmm\,\ yyyy"/>
    <numFmt numFmtId="209" formatCode="0.00000_);\(0.00000\)"/>
    <numFmt numFmtId="210" formatCode="0.00000"/>
    <numFmt numFmtId="211" formatCode="0.0_);\(0.0\)"/>
  </numFmts>
  <fonts count="377">
    <font>
      <name val="Arial"/>
      <sz val="10"/>
    </font>
    <font>
      <name val="Calibri"/>
      <family val="2"/>
      <color theme="1"/>
      <sz val="11"/>
      <scheme val="minor"/>
    </font>
    <font>
      <name val="Calibri"/>
      <family val="2"/>
      <color theme="1"/>
      <sz val="11"/>
      <scheme val="minor"/>
    </font>
    <font>
      <name val="Calibri"/>
      <family val="2"/>
      <color theme="1"/>
      <sz val="11"/>
      <scheme val="minor"/>
    </font>
    <font>
      <name val="Arial"/>
      <family val="2"/>
      <b val="1"/>
      <sz val="10"/>
    </font>
    <font>
      <name val="Arial"/>
      <family val="2"/>
      <i val="1"/>
      <sz val="10"/>
    </font>
    <font>
      <name val="Arial"/>
      <family val="2"/>
      <sz val="10"/>
    </font>
    <font>
      <name val="Arial"/>
      <family val="2"/>
      <b val="1"/>
      <sz val="10"/>
    </font>
    <font>
      <name val="Arial"/>
      <family val="2"/>
      <sz val="9"/>
    </font>
    <font>
      <name val="Arial"/>
      <family val="2"/>
      <b val="1"/>
      <sz val="9"/>
    </font>
    <font>
      <name val="Arial"/>
      <family val="2"/>
      <sz val="8"/>
    </font>
    <font>
      <name val="Arial"/>
      <family val="2"/>
      <b val="1"/>
      <sz val="12"/>
    </font>
    <font>
      <name val="Arial"/>
      <family val="2"/>
      <b val="1"/>
      <sz val="8"/>
    </font>
    <font>
      <name val="Arial"/>
      <family val="2"/>
      <sz val="8"/>
    </font>
    <font>
      <name val="Arial"/>
      <family val="2"/>
      <sz val="12"/>
    </font>
    <font>
      <name val="Arial"/>
      <family val="2"/>
      <b val="1"/>
      <sz val="11"/>
    </font>
    <font>
      <name val="Arial"/>
      <family val="2"/>
      <sz val="7"/>
    </font>
    <font>
      <name val="Wingdings"/>
      <charset val="2"/>
      <sz val="10"/>
    </font>
    <font>
      <name val="Arial"/>
      <family val="2"/>
      <sz val="10"/>
    </font>
    <font>
      <name val="Arial"/>
      <family val="2"/>
      <b val="1"/>
      <sz val="7"/>
    </font>
    <font>
      <name val="Arial"/>
      <family val="2"/>
      <b val="1"/>
      <sz val="14"/>
    </font>
    <font>
      <name val="Arial"/>
      <family val="2"/>
      <b val="1"/>
      <sz val="20"/>
    </font>
    <font>
      <name val="Arial"/>
      <family val="2"/>
      <color indexed="9"/>
      <sz val="10"/>
    </font>
    <font>
      <name val="Arial"/>
      <family val="2"/>
      <i val="1"/>
      <sz val="12"/>
    </font>
    <font>
      <name val="Arial"/>
      <family val="2"/>
      <i val="1"/>
      <sz val="11"/>
    </font>
    <font>
      <name val="Arial"/>
      <family val="2"/>
      <sz val="10"/>
      <u val="single"/>
    </font>
    <font>
      <name val="Arial"/>
      <family val="2"/>
      <b val="1"/>
      <sz val="10"/>
      <u val="single"/>
    </font>
    <font>
      <name val="Wingdings"/>
      <charset val="2"/>
      <sz val="9"/>
    </font>
    <font>
      <name val="Arial"/>
      <family val="2"/>
      <b val="1"/>
      <i val="1"/>
      <sz val="11"/>
    </font>
    <font>
      <name val="Arial"/>
      <family val="2"/>
      <color indexed="9"/>
      <sz val="8"/>
    </font>
    <font>
      <name val="Arial"/>
      <family val="2"/>
      <b val="1"/>
      <color indexed="9"/>
      <sz val="9"/>
    </font>
    <font>
      <name val="Arial"/>
      <family val="2"/>
      <color indexed="8"/>
      <sz val="9"/>
    </font>
    <font>
      <name val="Arial"/>
      <family val="2"/>
      <b val="1"/>
      <color indexed="18"/>
      <sz val="12"/>
      <u val="single"/>
    </font>
    <font>
      <name val="Arial"/>
      <family val="2"/>
      <sz val="8"/>
      <u val="single"/>
    </font>
    <font>
      <name val="Arial"/>
      <family val="2"/>
      <b val="1"/>
      <sz val="12"/>
      <u val="single"/>
    </font>
    <font>
      <name val="Wingdings"/>
      <charset val="2"/>
      <sz val="8"/>
    </font>
    <font>
      <name val="Marlett"/>
      <charset val="2"/>
      <sz val="10"/>
    </font>
    <font>
      <name val="Arial"/>
      <family val="2"/>
      <i val="1"/>
      <sz val="9"/>
    </font>
    <font>
      <name val="Marlett"/>
      <charset val="2"/>
      <b val="1"/>
      <sz val="12"/>
    </font>
    <font>
      <name val="Marlett"/>
      <charset val="2"/>
      <b val="1"/>
      <sz val="8"/>
    </font>
    <font>
      <name val="Arial"/>
      <family val="2"/>
      <b val="1"/>
      <i val="1"/>
      <sz val="12"/>
    </font>
    <font>
      <name val="Marlett"/>
      <charset val="2"/>
      <b val="1"/>
      <sz val="9"/>
    </font>
    <font>
      <name val="Marlett"/>
      <charset val="2"/>
      <sz val="11"/>
    </font>
    <font>
      <name val="Arial"/>
      <family val="2"/>
      <color indexed="9"/>
      <sz val="9"/>
    </font>
    <font>
      <name val="Arial"/>
      <family val="2"/>
      <b val="1"/>
      <sz val="16"/>
    </font>
    <font>
      <name val="Wingdings"/>
      <charset val="2"/>
      <b val="1"/>
      <sz val="10"/>
    </font>
    <font>
      <name val="Arial"/>
      <family val="2"/>
      <sz val="6"/>
    </font>
    <font>
      <name val="Arial"/>
      <family val="2"/>
      <sz val="11"/>
    </font>
    <font>
      <name val="Wingdings"/>
      <charset val="2"/>
      <b val="1"/>
      <sz val="9"/>
    </font>
    <font>
      <name val="Arial"/>
      <family val="2"/>
      <b val="1"/>
      <color indexed="9"/>
      <sz val="11"/>
    </font>
    <font>
      <name val="Arial"/>
      <family val="2"/>
      <b val="1"/>
      <sz val="6"/>
    </font>
    <font>
      <name val="Arial"/>
      <family val="2"/>
      <b val="1"/>
      <color indexed="9"/>
      <sz val="10"/>
    </font>
    <font>
      <name val="Marlett"/>
      <charset val="2"/>
      <sz val="9"/>
    </font>
    <font>
      <name val="Marlett"/>
      <charset val="2"/>
      <b val="1"/>
      <sz val="14"/>
    </font>
    <font>
      <name val="Arial"/>
      <family val="2"/>
      <color indexed="9"/>
      <sz val="11"/>
    </font>
    <font>
      <name val="Arial"/>
      <family val="2"/>
      <b val="1"/>
      <i val="1"/>
      <sz val="9"/>
    </font>
    <font>
      <name val="Arial"/>
      <family val="2"/>
      <b val="1"/>
      <i val="1"/>
      <sz val="10"/>
    </font>
    <font>
      <name val="Arial"/>
      <family val="2"/>
      <b val="1"/>
      <color indexed="10"/>
      <sz val="10"/>
    </font>
    <font>
      <name val="Arial"/>
      <family val="2"/>
      <b val="1"/>
      <sz val="22"/>
    </font>
    <font>
      <name val="Symbol"/>
      <charset val="2"/>
      <family val="1"/>
      <sz val="10"/>
    </font>
    <font>
      <name val="Century Schoolbook"/>
      <family val="1"/>
      <i val="1"/>
      <sz val="12"/>
    </font>
    <font>
      <name val="Times New Roman"/>
      <family val="1"/>
      <b val="1"/>
      <i val="1"/>
      <sz val="14"/>
    </font>
    <font>
      <name val="Arial"/>
      <family val="2"/>
      <b val="1"/>
      <color indexed="10"/>
      <sz val="12"/>
    </font>
    <font>
      <name val="Arial"/>
      <family val="2"/>
      <b val="1"/>
      <color indexed="9"/>
      <sz val="8"/>
    </font>
    <font>
      <name val="Arial"/>
      <family val="2"/>
      <color indexed="8"/>
      <sz val="8"/>
    </font>
    <font>
      <name val="Arial"/>
      <family val="2"/>
      <b val="1"/>
      <color indexed="10"/>
      <sz val="9"/>
    </font>
    <font>
      <name val="Arial"/>
      <family val="2"/>
      <b val="1"/>
      <color indexed="10"/>
      <sz val="11"/>
    </font>
    <font>
      <name val="Arial"/>
      <family val="2"/>
      <color indexed="12"/>
      <sz val="10"/>
      <u val="single"/>
    </font>
    <font>
      <name val="Times New Roman"/>
      <family val="1"/>
      <i val="1"/>
      <sz val="12"/>
    </font>
    <font>
      <name val="Arial"/>
      <family val="2"/>
      <color indexed="10"/>
      <sz val="10"/>
    </font>
    <font>
      <name val="Symbol"/>
      <charset val="2"/>
      <family val="1"/>
      <b val="1"/>
      <color indexed="10"/>
      <sz val="12"/>
    </font>
    <font>
      <name val="Arial"/>
      <family val="2"/>
      <b val="1"/>
      <i val="1"/>
      <color indexed="10"/>
      <sz val="9"/>
    </font>
    <font>
      <name val="Arial"/>
      <family val="2"/>
      <b val="1"/>
      <sz val="26"/>
    </font>
    <font>
      <name val="Arial"/>
      <family val="2"/>
      <b val="1"/>
      <sz val="13"/>
    </font>
    <font>
      <name val="Arial"/>
      <family val="2"/>
      <sz val="14"/>
    </font>
    <font>
      <name val="Arial"/>
      <family val="2"/>
      <b val="1"/>
      <color indexed="9"/>
      <sz val="12"/>
    </font>
    <font>
      <name val="Arial"/>
      <family val="2"/>
      <b val="1"/>
      <color indexed="10"/>
      <sz val="8"/>
    </font>
    <font>
      <name val="Arial"/>
      <family val="2"/>
      <sz val="10"/>
      <vertAlign val="superscript"/>
    </font>
    <font>
      <name val="Arial"/>
      <family val="2"/>
      <color indexed="16"/>
      <sz val="7"/>
    </font>
    <font>
      <name val="Arial"/>
      <family val="2"/>
      <b val="1"/>
      <i val="1"/>
      <color indexed="10"/>
      <sz val="10"/>
    </font>
    <font>
      <name val="Arial"/>
      <family val="2"/>
      <b val="1"/>
      <color indexed="17"/>
      <sz val="10"/>
    </font>
    <font>
      <name val="Arial"/>
      <family val="2"/>
      <color indexed="22"/>
      <sz val="10"/>
    </font>
    <font>
      <name val="Wingdings 2"/>
      <charset val="2"/>
      <family val="1"/>
      <b val="1"/>
      <sz val="16"/>
    </font>
    <font>
      <name val="Arial"/>
      <family val="2"/>
      <color indexed="8"/>
      <sz val="10"/>
    </font>
    <font>
      <name val="Marlett"/>
      <charset val="2"/>
      <b val="1"/>
      <sz val="10"/>
    </font>
    <font>
      <name val="Arial"/>
      <family val="2"/>
      <b val="1"/>
      <sz val="18"/>
    </font>
    <font>
      <name val="Arial"/>
      <family val="2"/>
      <color indexed="9"/>
      <sz val="12"/>
    </font>
    <font>
      <name val="Arial"/>
      <family val="2"/>
      <b val="1"/>
      <color indexed="12"/>
      <sz val="10"/>
      <u val="single"/>
    </font>
    <font>
      <name val="Arial"/>
      <family val="2"/>
      <color indexed="10"/>
      <sz val="8"/>
    </font>
    <font>
      <name val="Arial"/>
      <family val="2"/>
      <color indexed="10"/>
      <sz val="9"/>
    </font>
    <font>
      <name val="Symbol"/>
      <charset val="2"/>
      <family val="1"/>
      <sz val="8"/>
    </font>
    <font>
      <name val="Arial"/>
      <family val="2"/>
      <b val="1"/>
      <sz val="28"/>
    </font>
    <font>
      <name val="Arial"/>
      <family val="2"/>
      <sz val="22"/>
    </font>
    <font>
      <name val="Symbol"/>
      <charset val="2"/>
      <family val="1"/>
      <b val="1"/>
      <sz val="10"/>
    </font>
    <font>
      <name val="Arial"/>
      <family val="2"/>
      <b val="1"/>
      <color indexed="8"/>
      <sz val="10"/>
    </font>
    <font>
      <name val="Marlett"/>
      <charset val="2"/>
      <b val="1"/>
      <color indexed="9"/>
      <sz val="10"/>
    </font>
    <font>
      <name val="Arial"/>
      <family val="2"/>
      <color indexed="17"/>
      <sz val="10"/>
    </font>
    <font>
      <name val="Arial"/>
      <family val="2"/>
      <sz val="10"/>
    </font>
    <font>
      <name val="Courier New"/>
      <family val="3"/>
      <sz val="12"/>
    </font>
    <font>
      <name val="Courier"/>
      <family val="3"/>
      <sz val="12"/>
    </font>
    <font>
      <name val="Courier New"/>
      <family val="3"/>
      <b val="1"/>
      <sz val="10"/>
    </font>
    <font>
      <name val="Arial"/>
      <family val="2"/>
      <color indexed="22"/>
      <sz val="8"/>
    </font>
    <font>
      <name val="Calibri"/>
      <family val="2"/>
      <b val="1"/>
      <sz val="12"/>
    </font>
    <font>
      <name val="Arial"/>
      <family val="2"/>
      <color indexed="9"/>
      <sz val="10"/>
    </font>
    <font>
      <name val="Arial"/>
      <family val="2"/>
      <b val="1"/>
      <sz val="24"/>
    </font>
    <font>
      <name val="Arial"/>
      <family val="2"/>
      <color indexed="12"/>
      <sz val="10"/>
      <u val="single"/>
    </font>
    <font>
      <name val="Arial"/>
      <family val="2"/>
      <b val="1"/>
      <color rgb="FFFF0000"/>
      <sz val="8"/>
    </font>
    <font>
      <name val="Arial"/>
      <family val="2"/>
      <b val="1"/>
      <color theme="0" tint="-0.499984740745262"/>
      <sz val="10"/>
    </font>
    <font>
      <name val="Arial"/>
      <family val="2"/>
      <color theme="0" tint="-0.499984740745262"/>
      <sz val="10"/>
    </font>
    <font>
      <name val="Arial"/>
      <family val="2"/>
      <color rgb="FFFF0000"/>
      <sz val="10"/>
    </font>
    <font>
      <name val="Arial"/>
      <family val="2"/>
      <color theme="0"/>
      <sz val="10"/>
    </font>
    <font>
      <name val="Arial"/>
      <family val="2"/>
      <color theme="0" tint="-0.249946592608417"/>
      <sz val="10"/>
    </font>
    <font>
      <name val="Arial"/>
      <family val="2"/>
      <color theme="0"/>
      <sz val="8"/>
    </font>
    <font>
      <name val="Arial"/>
      <family val="2"/>
      <color theme="0" tint="-0.249977111117893"/>
      <sz val="10"/>
    </font>
    <font>
      <name val="Arial"/>
      <family val="2"/>
      <b val="1"/>
      <i val="1"/>
      <sz val="8"/>
    </font>
    <font>
      <name val="Arial"/>
      <family val="2"/>
      <color rgb="FFFF0000"/>
      <sz val="9"/>
    </font>
    <font>
      <name val="Arial"/>
      <family val="2"/>
      <color theme="0"/>
      <sz val="9"/>
    </font>
    <font>
      <name val="Arial"/>
      <family val="2"/>
      <color rgb="FFFF0000"/>
      <sz val="8"/>
    </font>
    <font>
      <name val="Arial"/>
      <family val="2"/>
      <i val="1"/>
      <color rgb="FFFF0000"/>
      <sz val="9"/>
    </font>
    <font>
      <name val="Arial"/>
      <family val="2"/>
      <b val="1"/>
      <color rgb="FFFF0000"/>
      <sz val="9"/>
    </font>
    <font>
      <name val="Arial"/>
      <family val="2"/>
      <sz val="16"/>
    </font>
    <font>
      <name val="Arial"/>
      <family val="2"/>
      <b val="1"/>
      <color rgb="FFFF0000"/>
      <sz val="10"/>
    </font>
    <font>
      <name val="Arial"/>
      <family val="2"/>
      <b val="1"/>
      <color theme="0"/>
      <sz val="9"/>
    </font>
    <font>
      <name val="Arial"/>
      <family val="2"/>
      <b val="1"/>
      <color theme="0"/>
      <sz val="12"/>
    </font>
    <font>
      <name val="Arial"/>
      <family val="2"/>
      <sz val="26"/>
    </font>
    <font>
      <name val="Arial"/>
      <family val="2"/>
      <b val="1"/>
      <color theme="0"/>
      <sz val="10"/>
    </font>
    <font>
      <name val="Arial"/>
      <family val="2"/>
      <color theme="0" tint="-0.0499893185216834"/>
      <sz val="10"/>
    </font>
    <font>
      <name val="Arial"/>
      <family val="2"/>
      <color theme="0" tint="-0.249977111117893"/>
      <sz val="8"/>
    </font>
    <font>
      <name val="Courier New"/>
      <family val="3"/>
      <sz val="10"/>
    </font>
    <font>
      <name val="Arial"/>
      <family val="2"/>
      <color rgb="FFFF0000"/>
      <sz val="12"/>
    </font>
    <font>
      <name val="Arial"/>
      <family val="2"/>
      <b val="1"/>
      <i val="1"/>
      <sz val="14"/>
    </font>
    <font>
      <name val="Arial"/>
      <family val="2"/>
      <color theme="0" tint="-0.3499862666707358"/>
      <sz val="10"/>
    </font>
    <font>
      <name val="Arial"/>
      <family val="2"/>
      <i val="1"/>
      <sz val="8"/>
    </font>
    <font>
      <name val="Arial"/>
      <family val="2"/>
      <sz val="24"/>
    </font>
    <font>
      <name val="Arial"/>
      <family val="2"/>
      <color theme="0"/>
      <sz val="11"/>
    </font>
    <font>
      <name val="Courier New"/>
      <family val="3"/>
      <b val="1"/>
      <sz val="11"/>
    </font>
    <font>
      <name val="Courier New"/>
      <family val="3"/>
      <sz val="11"/>
    </font>
    <font>
      <name val="Arial"/>
      <family val="2"/>
      <b val="1"/>
      <color theme="0"/>
      <sz val="8"/>
    </font>
    <font>
      <name val="Arial"/>
      <family val="2"/>
      <color theme="0" tint="-0.0499893185216834"/>
      <sz val="8"/>
    </font>
    <font>
      <name val="Arial"/>
      <family val="2"/>
      <color rgb="FF000000"/>
      <sz val="8.5"/>
    </font>
    <font>
      <name val="Arial"/>
      <family val="2"/>
      <sz val="8.5"/>
    </font>
    <font>
      <name val="Arial"/>
      <family val="2"/>
      <b val="1"/>
      <sz val="8.5"/>
    </font>
    <font>
      <name val="Arial"/>
      <family val="2"/>
      <color indexed="12"/>
      <sz val="10"/>
      <u val="single"/>
    </font>
    <font>
      <name val="Arial"/>
      <family val="2"/>
      <b val="1"/>
      <color rgb="FFC00000"/>
      <sz val="10"/>
    </font>
    <font>
      <name val="Comic Sans MS"/>
      <family val="4"/>
      <color rgb="FF800000"/>
      <sz val="18"/>
    </font>
    <font>
      <name val="Comic Sans MS"/>
      <family val="4"/>
      <color rgb="FF800000"/>
      <sz val="11"/>
    </font>
    <font>
      <name val="Arial"/>
      <family val="2"/>
      <color rgb="FFC00000"/>
      <sz val="10"/>
    </font>
    <font>
      <name val="Arial"/>
      <family val="2"/>
      <b val="1"/>
      <sz val="30"/>
    </font>
    <font>
      <name val="Arial"/>
      <family val="2"/>
      <sz val="30"/>
    </font>
    <font>
      <name val="Arial"/>
      <family val="2"/>
      <b val="1"/>
      <color rgb="FF000000"/>
      <sz val="8.5"/>
    </font>
    <font>
      <name val="HelveticaWorld-Regular"/>
      <color rgb="FF000000"/>
      <sz val="8.5"/>
    </font>
    <font>
      <name val="Cambria"/>
      <family val="1"/>
      <sz val="10"/>
    </font>
    <font>
      <name val="Cambria"/>
      <family val="1"/>
      <b val="1"/>
      <sz val="10"/>
    </font>
    <font>
      <name val="Cambria"/>
      <family val="1"/>
      <sz val="9"/>
    </font>
    <font>
      <name val="Cambria"/>
      <family val="1"/>
      <i val="1"/>
      <sz val="9"/>
    </font>
    <font>
      <name val="Cambria"/>
      <family val="1"/>
      <sz val="8.5"/>
    </font>
    <font>
      <name val="Cambria"/>
      <family val="1"/>
      <b val="1"/>
      <sz val="8.5"/>
    </font>
    <font>
      <name val="Symbol"/>
      <charset val="2"/>
      <family val="1"/>
      <b val="1"/>
      <color theme="0"/>
      <sz val="12"/>
    </font>
    <font>
      <name val="Arial"/>
      <family val="2"/>
      <b val="1"/>
      <color rgb="FF008000"/>
      <sz val="10"/>
    </font>
    <font>
      <name val="Symbol"/>
      <charset val="2"/>
      <family val="1"/>
      <b val="1"/>
      <color indexed="17"/>
      <sz val="10"/>
    </font>
    <font>
      <name val="Symbol"/>
      <charset val="2"/>
      <family val="1"/>
      <b val="1"/>
      <color rgb="FF008000"/>
      <sz val="10"/>
    </font>
    <font>
      <name val="Arial"/>
      <family val="2"/>
      <b val="1"/>
      <color rgb="FFFF0000"/>
      <sz val="14"/>
    </font>
    <font>
      <name val="Arial"/>
      <family val="2"/>
      <b val="1"/>
      <color theme="4" tint="-0.249977111117893"/>
      <sz val="10"/>
    </font>
    <font>
      <name val="Arial"/>
      <family val="2"/>
      <b val="1"/>
      <color rgb="FF008000"/>
      <sz val="9"/>
    </font>
    <font>
      <name val="Arial"/>
      <family val="2"/>
      <b val="1"/>
      <color theme="0" tint="-0.249977111117893"/>
      <sz val="10"/>
    </font>
    <font>
      <name val="Wingdings"/>
      <charset val="2"/>
      <sz val="6"/>
    </font>
    <font>
      <name val="Arial"/>
      <family val="2"/>
      <b val="1"/>
      <color rgb="FFC00000"/>
      <sz val="12"/>
    </font>
    <font>
      <name val="Arial"/>
      <family val="2"/>
      <b val="1"/>
      <color rgb="FFC00000"/>
      <sz val="9"/>
    </font>
    <font>
      <name val="Arial"/>
      <family val="2"/>
      <b val="1"/>
      <color theme="0"/>
      <sz val="11"/>
    </font>
    <font>
      <name val="Tempus Sans ITC"/>
      <family val="5"/>
      <sz val="11"/>
    </font>
    <font>
      <name val="Symbol"/>
      <charset val="2"/>
      <family val="1"/>
      <b val="1"/>
      <color rgb="FFFF0000"/>
      <sz val="10"/>
    </font>
    <font>
      <name val="Symbol"/>
      <charset val="2"/>
      <family val="1"/>
      <b val="1"/>
      <sz val="9"/>
    </font>
    <font>
      <name val="Arial"/>
      <family val="2"/>
      <b val="1"/>
      <color rgb="FFC00000"/>
      <sz val="11"/>
    </font>
    <font>
      <name val="Arial"/>
      <family val="2"/>
      <b val="1"/>
      <color rgb="FFFF0000"/>
      <sz val="11"/>
    </font>
    <font>
      <name val="Arial Unicode MS"/>
      <family val="2"/>
      <sz val="9"/>
    </font>
    <font>
      <name val="Courier New"/>
      <family val="3"/>
      <color indexed="8"/>
      <sz val="9"/>
    </font>
    <font>
      <name val="Courier New"/>
      <family val="3"/>
      <color indexed="9"/>
      <sz val="10"/>
    </font>
    <font>
      <name val="Courier New"/>
      <family val="3"/>
      <color theme="0"/>
      <sz val="10"/>
    </font>
    <font>
      <name val="Courier New"/>
      <family val="3"/>
      <color theme="0"/>
      <sz val="12"/>
    </font>
    <font>
      <name val="Arial"/>
      <family val="2"/>
      <b val="1"/>
      <i val="1"/>
      <color rgb="FFC00000"/>
      <sz val="8"/>
    </font>
    <font>
      <name val="Arial"/>
      <family val="2"/>
      <color rgb="FFC00000"/>
      <sz val="9"/>
    </font>
    <font>
      <name val="Courier New"/>
      <family val="3"/>
      <b val="1"/>
      <color theme="0"/>
      <sz val="10"/>
    </font>
    <font>
      <name val="Arial"/>
      <family val="2"/>
      <sz val="9"/>
      <vertAlign val="superscript"/>
    </font>
    <font>
      <name val="Arial"/>
      <family val="2"/>
      <color rgb="FF008000"/>
      <sz val="9"/>
    </font>
    <font>
      <name val="Arial"/>
      <family val="2"/>
      <color theme="0" tint="-0.3499862666707358"/>
      <sz val="8"/>
    </font>
    <font>
      <name val="Courier New"/>
      <family val="3"/>
      <color rgb="FF00B050"/>
      <sz val="10"/>
    </font>
    <font>
      <name val="Arial"/>
      <family val="2"/>
      <color theme="4" tint="0.5999633777886288"/>
      <sz val="10"/>
    </font>
    <font>
      <name val="Arial"/>
      <family val="2"/>
      <color indexed="22"/>
      <sz val="11"/>
    </font>
    <font>
      <name val="Arial"/>
      <family val="2"/>
      <sz val="13"/>
    </font>
    <font>
      <name val="Arial"/>
      <family val="2"/>
      <color theme="0"/>
      <sz val="10"/>
      <u val="single"/>
    </font>
    <font>
      <name val="Inherit"/>
      <b val="1"/>
      <color rgb="FF555555"/>
      <sz val="9"/>
    </font>
    <font>
      <name val="Courier New"/>
      <family val="3"/>
      <sz val="9"/>
    </font>
    <font>
      <name val="Courier New"/>
      <family val="3"/>
      <color theme="0"/>
      <sz val="9"/>
    </font>
    <font>
      <name val="Arial"/>
      <family val="2"/>
      <color rgb="FF555555"/>
      <sz val="9"/>
    </font>
    <font>
      <name val="Courier New"/>
      <family val="3"/>
      <color rgb="FF555555"/>
      <sz val="9"/>
    </font>
    <font>
      <name val="Courier New"/>
      <family val="3"/>
      <b val="1"/>
      <color theme="0"/>
      <sz val="9"/>
    </font>
    <font>
      <name val="Symbol"/>
      <charset val="2"/>
      <family val="1"/>
      <b val="1"/>
      <color theme="0"/>
      <sz val="16"/>
    </font>
    <font>
      <name val="Arial"/>
      <family val="2"/>
      <color theme="0"/>
      <sz val="12"/>
    </font>
    <font>
      <name val="Times New Roman"/>
      <family val="1"/>
      <sz val="12"/>
    </font>
    <font>
      <name val="Arial"/>
      <family val="2"/>
      <color rgb="FFC00000"/>
      <sz val="8"/>
    </font>
    <font>
      <name val="Cambria"/>
      <family val="1"/>
      <b val="1"/>
      <sz val="12"/>
      <scheme val="major"/>
    </font>
    <font>
      <name val="Cambria"/>
      <family val="1"/>
      <sz val="11"/>
      <scheme val="major"/>
    </font>
    <font>
      <name val="Cambria"/>
      <family val="1"/>
      <b val="1"/>
      <sz val="11"/>
      <scheme val="major"/>
    </font>
    <font>
      <name val="Cambria"/>
      <family val="1"/>
      <sz val="12"/>
      <scheme val="major"/>
    </font>
    <font>
      <name val="Arial"/>
      <family val="2"/>
      <b val="1"/>
      <sz val="8"/>
      <u val="single"/>
    </font>
    <font>
      <name val="Arial"/>
      <family val="2"/>
      <b val="1"/>
      <color rgb="FFC00000"/>
      <sz val="8"/>
    </font>
    <font>
      <name val="Arial"/>
      <family val="2"/>
      <color rgb="FF008000"/>
      <sz val="10"/>
    </font>
    <font>
      <name val="Arial"/>
      <family val="2"/>
      <b val="1"/>
      <color rgb="FF008000"/>
      <sz val="8"/>
    </font>
    <font>
      <name val="Arial"/>
      <family val="2"/>
      <sz val="10.5"/>
    </font>
    <font>
      <name val="Arial"/>
      <family val="2"/>
      <b val="1"/>
      <sz val="10.5"/>
    </font>
    <font>
      <name val="Arial"/>
      <family val="2"/>
      <b val="1"/>
      <color rgb="FFFF0000"/>
      <sz val="12"/>
    </font>
    <font>
      <name val="Arial"/>
      <family val="2"/>
      <color theme="0"/>
      <sz val="7"/>
    </font>
    <font>
      <name val="Arial"/>
      <family val="2"/>
      <b val="1"/>
      <sz val="11"/>
      <u val="single"/>
    </font>
    <font>
      <name val="Arial"/>
      <family val="2"/>
      <b val="1"/>
      <i val="1"/>
      <color rgb="FFC00000"/>
      <sz val="12"/>
    </font>
    <font>
      <name val="Arial"/>
      <family val="2"/>
      <color theme="0" tint="-0.499984740745262"/>
      <sz val="8"/>
    </font>
    <font>
      <name val="Arial"/>
      <family val="2"/>
      <b val="1"/>
      <color theme="0" tint="-0.499984740745262"/>
      <sz val="8"/>
    </font>
    <font>
      <name val="Arial"/>
      <family val="2"/>
      <color rgb="FF008000"/>
      <sz val="10"/>
      <u val="single"/>
    </font>
    <font>
      <name val="Arial"/>
      <family val="2"/>
      <color theme="0"/>
      <sz val="6"/>
    </font>
    <font>
      <name val="Arial"/>
      <family val="2"/>
      <color theme="0" tint="-0.1499679555650502"/>
      <sz val="7"/>
    </font>
    <font>
      <name val="Arial"/>
      <family val="2"/>
      <color theme="0" tint="-0.249977111117893"/>
      <sz val="7"/>
    </font>
    <font>
      <name val="Arial"/>
      <family val="2"/>
      <b val="1"/>
      <color rgb="FF0070C0"/>
      <sz val="9"/>
    </font>
    <font>
      <name val="Comic Sans MS"/>
      <family val="4"/>
      <b val="1"/>
      <color rgb="FF800000"/>
      <sz val="10"/>
    </font>
    <font>
      <name val="Comic Sans MS"/>
      <family val="4"/>
      <b val="1"/>
      <color theme="9" tint="-0.499984740745262"/>
      <sz val="14"/>
    </font>
    <font>
      <name val="Arial"/>
      <family val="2"/>
      <b val="1"/>
      <color theme="0"/>
      <sz val="14"/>
    </font>
    <font>
      <name val="Arial"/>
      <family val="2"/>
      <color theme="0"/>
      <sz val="14"/>
    </font>
    <font>
      <name val="Arial"/>
      <family val="2"/>
      <b val="1"/>
      <color indexed="9"/>
      <sz val="14"/>
    </font>
    <font>
      <name val="Marlett"/>
      <charset val="2"/>
      <sz val="12"/>
    </font>
    <font>
      <name val="Arial"/>
      <family val="2"/>
      <color theme="0" tint="-0.1499984740745262"/>
      <sz val="8"/>
    </font>
    <font>
      <name val="Arial"/>
      <family val="2"/>
      <color theme="0" tint="-0.1499984740745262"/>
      <sz val="10"/>
    </font>
    <font>
      <name val="Arial"/>
      <family val="2"/>
      <color theme="0" tint="-0.1499984740745262"/>
      <sz val="12"/>
    </font>
    <font>
      <name val="Arial"/>
      <family val="2"/>
      <b val="1"/>
      <color theme="4" tint="-0.249977111117893"/>
      <sz val="9"/>
    </font>
    <font>
      <name val="Courier New"/>
      <family val="3"/>
      <b val="1"/>
      <color theme="4" tint="-0.249977111117893"/>
      <sz val="11"/>
    </font>
    <font>
      <name val="Courier New"/>
      <family val="3"/>
      <color indexed="12"/>
      <sz val="10"/>
      <u val="single"/>
    </font>
    <font>
      <name val="Arial"/>
      <family val="2"/>
      <color rgb="FF008000"/>
      <sz val="8"/>
    </font>
    <font>
      <name val="Times New Roman"/>
      <family val="1"/>
      <color rgb="FF000000"/>
      <sz val="10"/>
    </font>
    <font>
      <name val="Calibri"/>
      <family val="2"/>
      <color rgb="FF000000"/>
      <sz val="10"/>
      <scheme val="minor"/>
    </font>
    <font>
      <name val="Calibri"/>
      <family val="2"/>
      <color rgb="FF000000"/>
      <sz val="11"/>
      <scheme val="minor"/>
    </font>
    <font>
      <name val="Calibri"/>
      <family val="2"/>
      <b val="1"/>
      <color rgb="FF000000"/>
      <sz val="11"/>
      <scheme val="minor"/>
    </font>
    <font>
      <name val="Symbol"/>
      <charset val="2"/>
      <family val="1"/>
      <b val="1"/>
      <color theme="0" tint="-0.249977111117893"/>
      <sz val="12"/>
    </font>
    <font>
      <name val="Arial"/>
      <family val="2"/>
      <i val="1"/>
      <color indexed="22"/>
      <sz val="10"/>
    </font>
    <font>
      <name val="Symbol"/>
      <charset val="2"/>
      <family val="1"/>
      <b val="1"/>
      <i val="1"/>
      <color theme="0"/>
      <sz val="16"/>
    </font>
    <font>
      <name val="Arial"/>
      <family val="2"/>
      <i val="1"/>
      <sz val="13"/>
    </font>
    <font>
      <name val="Arial"/>
      <family val="2"/>
      <b val="1"/>
      <color theme="0" tint="-0.3499862666707358"/>
      <sz val="10"/>
    </font>
    <font>
      <name val="Arial"/>
      <family val="2"/>
      <color rgb="FF008000"/>
      <sz val="12"/>
    </font>
    <font>
      <name val="Arial"/>
      <family val="2"/>
      <b val="1"/>
      <color theme="9" tint="-0.249977111117893"/>
      <sz val="10"/>
    </font>
    <font>
      <name val="Arial"/>
      <family val="2"/>
      <color rgb="FF002060"/>
      <sz val="10"/>
    </font>
    <font>
      <name val="Arial"/>
      <family val="2"/>
      <color theme="0" tint="-0.1499679555650502"/>
      <sz val="10"/>
    </font>
    <font>
      <name val="Courier New"/>
      <family val="3"/>
      <b val="1"/>
      <sz val="9"/>
    </font>
    <font>
      <name val="Calibri"/>
      <family val="2"/>
      <b val="1"/>
      <sz val="11"/>
    </font>
    <font>
      <name val="Arial"/>
      <family val="2"/>
      <b val="1"/>
      <sz val="32"/>
    </font>
    <font>
      <name val="Arial"/>
      <family val="2"/>
      <sz val="32"/>
    </font>
    <font>
      <name val="Calibri"/>
      <family val="2"/>
      <b val="1"/>
      <sz val="12"/>
      <scheme val="minor"/>
    </font>
    <font>
      <name val="Calibri"/>
      <family val="2"/>
      <b val="1"/>
      <sz val="14"/>
      <scheme val="minor"/>
    </font>
    <font>
      <name val="Tempus Sans ITC"/>
      <family val="5"/>
      <sz val="12"/>
    </font>
    <font>
      <name val="Arial"/>
      <family val="2"/>
      <i val="1"/>
      <sz val="14"/>
    </font>
    <font>
      <name val="Arial"/>
      <family val="2"/>
      <b val="1"/>
      <color rgb="FF000000"/>
      <sz val="9"/>
    </font>
    <font>
      <name val="Arial"/>
      <family val="2"/>
      <b val="1"/>
      <color rgb="FF000000"/>
      <sz val="11"/>
    </font>
    <font>
      <name val="Arial"/>
      <family val="2"/>
      <color rgb="FFC00000"/>
      <sz val="11"/>
    </font>
    <font>
      <name val="Arial Narrow"/>
      <family val="2"/>
      <b val="1"/>
      <sz val="14"/>
    </font>
    <font>
      <name val="Microsoft YaHei Light"/>
      <family val="2"/>
      <sz val="11"/>
    </font>
    <font>
      <name val="Microsoft YaHei UI Light"/>
      <family val="2"/>
      <sz val="12"/>
    </font>
    <font>
      <name val="Harvest"/>
      <b val="1"/>
      <sz val="26"/>
    </font>
    <font>
      <name val="Harvest"/>
      <sz val="10"/>
    </font>
    <font>
      <name val="Cambria"/>
      <family val="1"/>
      <sz val="10"/>
      <scheme val="major"/>
    </font>
    <font>
      <name val="Cambria"/>
      <family val="1"/>
      <b val="1"/>
      <sz val="10"/>
      <scheme val="major"/>
    </font>
    <font>
      <name val="Arial"/>
      <family val="2"/>
      <b val="1"/>
      <color rgb="FF008000"/>
      <sz val="12"/>
    </font>
    <font>
      <name val="Arial"/>
      <family val="2"/>
      <b val="1"/>
      <color indexed="22"/>
      <sz val="10"/>
    </font>
    <font>
      <name val="Arial"/>
      <family val="2"/>
      <b val="1"/>
      <sz val="36"/>
    </font>
    <font>
      <name val="Arial"/>
      <family val="2"/>
      <sz val="36"/>
    </font>
    <font>
      <name val="Arial"/>
      <family val="2"/>
      <b val="1"/>
      <color rgb="FF008000"/>
      <sz val="12"/>
      <u val="single"/>
    </font>
    <font>
      <name val="Arial"/>
      <family val="2"/>
      <b val="1"/>
      <color theme="0" tint="-0.249977111117893"/>
      <sz val="8"/>
    </font>
    <font>
      <name val="Arial"/>
      <family val="2"/>
      <color theme="3" tint="-0.249977111117893"/>
      <sz val="8"/>
    </font>
    <font>
      <name val="Arial"/>
      <family val="2"/>
      <i val="1"/>
      <color rgb="FF000000"/>
      <sz val="8.5"/>
    </font>
    <font>
      <name val="Arial"/>
      <family val="2"/>
      <b val="1"/>
      <color indexed="8"/>
      <sz val="12"/>
    </font>
    <font>
      <name val="Arial"/>
      <family val="2"/>
      <color rgb="FFB9FFF2"/>
      <sz val="10"/>
    </font>
    <font>
      <name val="Times New Roman"/>
      <family val="1"/>
      <sz val="11"/>
    </font>
    <font>
      <name val="Cambria"/>
      <family val="1"/>
      <color theme="0"/>
      <sz val="10"/>
    </font>
    <font>
      <name val="Arial"/>
      <family val="2"/>
      <b val="1"/>
      <color indexed="12"/>
      <sz val="10"/>
    </font>
    <font>
      <name val="Arial"/>
      <family val="2"/>
      <color rgb="FF0070C0"/>
      <sz val="9"/>
    </font>
    <font>
      <name val="Arial"/>
      <family val="2"/>
      <color rgb="FF0070C0"/>
      <sz val="10"/>
    </font>
    <font>
      <name val="Cambria"/>
      <family val="1"/>
      <color rgb="FFC00000"/>
      <sz val="11"/>
    </font>
    <font>
      <name val="Arial"/>
      <family val="2"/>
      <b val="1"/>
      <sz val="9"/>
      <u val="single"/>
    </font>
    <font>
      <name val="Wingdings"/>
      <charset val="2"/>
      <sz val="12"/>
    </font>
    <font>
      <name val="Arial"/>
      <family val="2"/>
      <color theme="0" tint="-0.1499984740745262"/>
      <sz val="9"/>
    </font>
    <font>
      <name val="Arial"/>
      <family val="2"/>
      <b val="1"/>
      <color theme="0" tint="-0.1499984740745262"/>
      <sz val="9"/>
    </font>
    <font>
      <name val="Courier New"/>
      <family val="3"/>
      <b val="1"/>
      <sz val="12"/>
    </font>
    <font>
      <name val="Arial"/>
      <family val="2"/>
      <color rgb="FFC00000"/>
      <sz val="8.5"/>
    </font>
    <font>
      <name val="Arial"/>
      <family val="2"/>
      <b val="1"/>
      <color rgb="FFC00000"/>
      <sz val="14"/>
    </font>
    <font>
      <name val="Arial"/>
      <family val="2"/>
      <b val="1"/>
      <color rgb="FFC00000"/>
      <sz val="16"/>
    </font>
    <font>
      <name val="Arial"/>
      <family val="2"/>
      <b val="1"/>
      <sz val="14"/>
      <u val="single"/>
    </font>
    <font>
      <name val="Times New Roman"/>
      <family val="1"/>
      <b val="1"/>
      <color rgb="FF000000"/>
      <sz val="16"/>
    </font>
    <font>
      <name val="Times New Roman"/>
      <family val="1"/>
      <color theme="4" tint="-0.249977111117893"/>
      <sz val="18"/>
    </font>
    <font>
      <name val="Times New Roman"/>
      <family val="1"/>
      <b val="1"/>
      <color rgb="FFC00000"/>
      <sz val="12"/>
    </font>
    <font>
      <name val="Times New Roman"/>
      <family val="1"/>
      <b val="1"/>
      <color rgb="FF000000"/>
      <sz val="12"/>
    </font>
    <font>
      <name val="Times New Roman"/>
      <family val="1"/>
      <color rgb="FF000000"/>
      <sz val="11"/>
    </font>
    <font>
      <name val="Arial"/>
      <family val="2"/>
      <color rgb="FFC00000"/>
      <sz val="12"/>
    </font>
    <font>
      <name val="Times New Roman"/>
      <family val="1"/>
      <b val="1"/>
      <color rgb="FF008000"/>
      <sz val="16"/>
    </font>
    <font>
      <name val="Times New Roman"/>
      <family val="1"/>
      <b val="1"/>
      <color rgb="FF000000"/>
      <sz val="12"/>
      <u val="single"/>
    </font>
    <font>
      <name val="Symbol"/>
      <charset val="2"/>
      <family val="1"/>
      <color rgb="FF000000"/>
      <sz val="11"/>
    </font>
    <font>
      <name val="Times New Roman"/>
      <family val="1"/>
      <b val="1"/>
      <sz val="11"/>
    </font>
    <font>
      <name val="Times New Roman"/>
      <family val="1"/>
      <i val="1"/>
      <sz val="11"/>
    </font>
    <font>
      <name val="Cambria"/>
      <family val="1"/>
      <b val="1"/>
      <color theme="0"/>
      <sz val="10"/>
    </font>
    <font>
      <name val="Arial"/>
      <family val="2"/>
      <color rgb="FF221E1F"/>
      <sz val="9.5"/>
    </font>
    <font>
      <name val="Arial"/>
      <family val="2"/>
      <color rgb="FF221E1F"/>
      <sz val="10"/>
    </font>
    <font>
      <name val="HelveticaWorld-Regular"/>
      <color rgb="FF000000"/>
      <sz val="10"/>
    </font>
    <font>
      <name val="HelveticaWorld-Regular"/>
      <b val="1"/>
      <color rgb="FF000000"/>
      <sz val="12"/>
    </font>
    <font>
      <name val="HelveticaWorld-Regular"/>
      <color rgb="FF000000"/>
      <sz val="11"/>
    </font>
    <font>
      <name val="Arial"/>
      <family val="2"/>
      <color rgb="FF221E1F"/>
      <sz val="11"/>
    </font>
    <font>
      <name val="Arial"/>
      <family val="2"/>
      <color rgb="FFC00000"/>
      <sz val="7"/>
    </font>
    <font>
      <name val="Arial"/>
      <family val="2"/>
      <b val="1"/>
      <color rgb="FF0070C0"/>
      <sz val="8"/>
    </font>
    <font>
      <name val="Symbol"/>
      <charset val="2"/>
      <family val="1"/>
      <sz val="11"/>
    </font>
    <font>
      <name val="Arial"/>
      <family val="2"/>
      <color theme="4" tint="-0.249977111117893"/>
      <sz val="10"/>
    </font>
    <font>
      <name val="Arial"/>
      <family val="2"/>
      <b val="1"/>
      <color rgb="FF0070C0"/>
      <sz val="14"/>
    </font>
    <font>
      <name val="Arial"/>
      <family val="2"/>
      <color rgb="FF0070C0"/>
      <sz val="8"/>
    </font>
    <font>
      <name val="Arial"/>
      <family val="2"/>
      <b val="1"/>
      <color rgb="FF0070C0"/>
      <sz val="10"/>
    </font>
    <font>
      <name val="Arial"/>
      <family val="2"/>
      <sz val="20"/>
    </font>
    <font>
      <name val="Times New Roman"/>
      <family val="1"/>
      <b val="1"/>
      <i val="1"/>
      <color rgb="FF000000"/>
      <sz val="11"/>
    </font>
    <font>
      <name val="Times New Roman"/>
      <family val="1"/>
      <b val="1"/>
      <i val="1"/>
      <sz val="11"/>
    </font>
    <font>
      <name val="Times New Roman"/>
      <family val="1"/>
      <b val="1"/>
      <sz val="12"/>
    </font>
    <font>
      <name val="Arial"/>
      <family val="2"/>
      <color theme="0" tint="-0.249946592608417"/>
      <sz val="9"/>
    </font>
    <font>
      <name val="Arial"/>
      <family val="2"/>
      <color theme="0" tint="-0.249977111117893"/>
      <sz val="9"/>
    </font>
    <font>
      <name val="Arial"/>
      <family val="2"/>
      <b val="1"/>
      <color rgb="FFC00000"/>
      <sz val="10"/>
      <u val="single"/>
    </font>
    <font>
      <name val="Arial"/>
      <family val="2"/>
      <color rgb="FF000000"/>
      <sz val="10"/>
    </font>
    <font>
      <name val="Arial"/>
      <family val="2"/>
      <color rgb="FFFF0000"/>
      <sz val="11"/>
    </font>
    <font>
      <name val="Cambria"/>
      <family val="1"/>
      <color rgb="FFC00000"/>
      <sz val="10"/>
    </font>
    <font>
      <name val="Arial"/>
      <charset val="2"/>
      <family val="2"/>
      <sz val="10"/>
    </font>
    <font>
      <name val="Arial"/>
      <family val="2"/>
      <b val="1"/>
      <color theme="0" tint="-0.1499984740745262"/>
      <sz val="11"/>
    </font>
    <font>
      <name val="Courier New"/>
      <family val="3"/>
      <b val="1"/>
      <sz val="8"/>
    </font>
    <font>
      <name val="Courier New"/>
      <family val="3"/>
      <sz val="8"/>
    </font>
    <font>
      <name val="Arial"/>
      <family val="2"/>
      <sz val="11"/>
      <u val="single"/>
    </font>
    <font>
      <name val="Arial"/>
      <family val="2"/>
      <i val="1"/>
      <color indexed="22"/>
      <sz val="12"/>
    </font>
    <font>
      <name val="Arial"/>
      <family val="2"/>
      <color indexed="22"/>
      <sz val="12"/>
    </font>
    <font>
      <name val="Arial"/>
      <family val="2"/>
      <i val="1"/>
      <color theme="0"/>
      <sz val="10"/>
    </font>
    <font>
      <name val="Arial"/>
      <family val="2"/>
      <i val="1"/>
      <color theme="0"/>
      <sz val="12"/>
    </font>
    <font>
      <name val="Arial"/>
      <family val="2"/>
      <b val="1"/>
      <color rgb="FF0070C0"/>
      <sz val="11"/>
    </font>
    <font>
      <name val="Arial"/>
      <family val="2"/>
      <sz val="28"/>
    </font>
    <font>
      <name val="Courier New"/>
      <family val="3"/>
      <color rgb="FF008000"/>
      <sz val="10"/>
    </font>
    <font>
      <name val="Arial"/>
      <family val="2"/>
      <i val="1"/>
      <sz val="10"/>
      <u val="single"/>
    </font>
    <font>
      <name val="Arial"/>
      <family val="2"/>
      <color indexed="12"/>
      <sz val="12"/>
      <u val="single"/>
    </font>
    <font>
      <name val="Arial"/>
      <family val="2"/>
      <b val="1"/>
      <i val="1"/>
      <color rgb="FF008000"/>
      <sz val="10"/>
    </font>
    <font>
      <name val="Arial"/>
      <family val="2"/>
      <b val="1"/>
      <color theme="0" tint="-0.0499893185216834"/>
      <sz val="9"/>
    </font>
    <font>
      <name val="Arial"/>
      <family val="2"/>
      <b val="1"/>
      <color theme="0" tint="-0.249977111117893"/>
      <sz val="11"/>
    </font>
    <font>
      <name val="Cambria"/>
      <family val="1"/>
      <b val="1"/>
      <color rgb="FFC00000"/>
      <sz val="10"/>
    </font>
    <font>
      <name val="Arial"/>
      <family val="2"/>
      <color rgb="FF002060"/>
      <sz val="12"/>
    </font>
    <font>
      <name val="Arial"/>
      <family val="2"/>
      <b val="1"/>
      <color rgb="FF002060"/>
      <sz val="10"/>
    </font>
    <font>
      <name val="Arial"/>
      <family val="2"/>
      <b val="1"/>
      <color rgb="FF002060"/>
      <sz val="16"/>
    </font>
    <font>
      <name val="Marlett"/>
      <charset val="2"/>
      <b val="1"/>
      <color theme="0"/>
      <sz val="12"/>
    </font>
    <font>
      <name val="Arial"/>
      <family val="2"/>
      <b val="1"/>
      <color rgb="FF1B1B1B"/>
      <sz val="18"/>
    </font>
    <font>
      <name val="Arial"/>
      <family val="2"/>
      <color rgb="FF1B1B1B"/>
      <sz val="12"/>
    </font>
    <font>
      <name val="Arial"/>
      <family val="2"/>
      <b val="1"/>
      <color rgb="FF1B1B1B"/>
      <sz val="12"/>
    </font>
    <font>
      <name val="Arial"/>
      <family val="2"/>
      <color rgb="FF00599C"/>
      <sz val="12"/>
    </font>
    <font>
      <name val="Arial"/>
      <family val="2"/>
      <b val="1"/>
      <color rgb="FF1B1B1B"/>
      <sz val="14"/>
    </font>
    <font>
      <name val="Harvest"/>
      <b val="1"/>
      <sz val="28"/>
    </font>
    <font>
      <name val="Harvest"/>
      <sz val="28"/>
    </font>
    <font>
      <name val="Wingdings"/>
      <charset val="2"/>
      <sz val="16"/>
    </font>
    <font>
      <name val="Arial"/>
      <family val="2"/>
      <color indexed="8"/>
      <sz val="12"/>
    </font>
    <font>
      <name val="Arial"/>
      <family val="2"/>
      <b val="1"/>
      <color rgb="FF008000"/>
      <sz val="16"/>
    </font>
    <font>
      <name val="Wingdings 2"/>
      <charset val="2"/>
      <family val="1"/>
      <b val="1"/>
      <sz val="14"/>
    </font>
    <font>
      <name val="Arial"/>
      <family val="2"/>
      <color rgb="FF006C31"/>
      <sz val="9"/>
    </font>
    <font>
      <name val="Arial"/>
      <family val="2"/>
      <b val="1"/>
      <color rgb="FF006C31"/>
      <sz val="9"/>
    </font>
    <font>
      <name val="Wingdings 2"/>
      <charset val="2"/>
      <family val="1"/>
      <b val="1"/>
      <sz val="11"/>
    </font>
    <font>
      <name val="Arial"/>
      <family val="2"/>
      <b val="1"/>
      <color rgb="FF0070C0"/>
      <sz val="12"/>
    </font>
    <font>
      <name val="Arial"/>
      <family val="2"/>
      <b val="1"/>
      <color rgb="FF002060"/>
      <sz val="12"/>
    </font>
    <font>
      <name val="Arial"/>
      <family val="2"/>
      <b val="1"/>
      <color rgb="FF002060"/>
      <sz val="11"/>
    </font>
    <font>
      <name val="Arial"/>
      <family val="2"/>
      <color rgb="FF002060"/>
      <sz val="11"/>
    </font>
    <font>
      <name val="Arial"/>
      <family val="2"/>
      <color rgb="FF002060"/>
      <sz val="11"/>
      <u val="single"/>
    </font>
    <font>
      <name val="Arial"/>
      <family val="2"/>
      <b val="1"/>
      <color theme="0" tint="-0.0499893185216834"/>
      <sz val="8"/>
    </font>
    <font>
      <name val="Symbol"/>
      <charset val="2"/>
      <family val="1"/>
      <b val="1"/>
      <color rgb="FF008000"/>
      <sz val="11"/>
    </font>
    <font>
      <name val="Courier New"/>
      <family val="3"/>
      <color rgb="FFC00000"/>
      <sz val="10"/>
    </font>
    <font>
      <name val="Arial"/>
      <family val="2"/>
      <b val="1"/>
      <i val="1"/>
      <color rgb="FFFF0000"/>
      <sz val="12"/>
    </font>
    <font>
      <name val="Arial"/>
      <family val="2"/>
      <b val="1"/>
      <i val="1"/>
      <sz val="13"/>
    </font>
    <font>
      <name val="Arial"/>
      <family val="2"/>
      <color rgb="FFFF0000"/>
      <sz val="13"/>
    </font>
    <font>
      <name val="Arial"/>
      <family val="2"/>
      <color theme="0"/>
      <sz val="13"/>
    </font>
    <font>
      <name val="Arial"/>
      <family val="2"/>
      <b val="1"/>
      <color theme="0"/>
      <sz val="13"/>
    </font>
    <font>
      <name val="Arial"/>
      <family val="2"/>
      <color theme="0" tint="-0.0499893185216834"/>
      <sz val="9"/>
    </font>
    <font>
      <name val="Symbol"/>
      <charset val="2"/>
      <family val="1"/>
      <b val="1"/>
      <i val="1"/>
      <sz val="16"/>
    </font>
    <font>
      <name val="Arial"/>
      <charset val="2"/>
      <family val="2"/>
      <b val="1"/>
      <sz val="10"/>
    </font>
  </fonts>
  <fills count="46">
    <fill>
      <patternFill/>
    </fill>
    <fill>
      <patternFill patternType="gray125"/>
    </fill>
    <fill>
      <patternFill patternType="solid">
        <fgColor indexed="9"/>
        <bgColor indexed="64"/>
      </patternFill>
    </fill>
    <fill>
      <patternFill patternType="solid">
        <fgColor indexed="9"/>
        <bgColor indexed="9"/>
      </patternFill>
    </fill>
    <fill>
      <patternFill patternType="solid">
        <fgColor indexed="9"/>
        <bgColor indexed="26"/>
      </patternFill>
    </fill>
    <fill>
      <patternFill patternType="solid">
        <fgColor indexed="22"/>
        <bgColor indexed="64"/>
      </patternFill>
    </fill>
    <fill>
      <patternFill patternType="solid">
        <fgColor indexed="29"/>
        <bgColor indexed="64"/>
      </patternFill>
    </fill>
    <fill>
      <patternFill patternType="solid">
        <fgColor indexed="22"/>
        <bgColor indexed="9"/>
      </patternFill>
    </fill>
    <fill>
      <patternFill patternType="lightUp">
        <bgColor indexed="9"/>
      </patternFill>
    </fill>
    <fill>
      <patternFill patternType="solid">
        <fgColor indexed="8"/>
        <bgColor indexed="9"/>
      </patternFill>
    </fill>
    <fill>
      <patternFill patternType="lightUp"/>
    </fill>
    <fill>
      <patternFill patternType="solid">
        <fgColor indexed="47"/>
        <bgColor indexed="64"/>
      </patternFill>
    </fill>
    <fill>
      <patternFill patternType="solid">
        <fgColor indexed="22"/>
        <bgColor indexed="26"/>
      </patternFill>
    </fill>
    <fill>
      <patternFill patternType="solid">
        <fgColor indexed="8"/>
        <bgColor indexed="64"/>
      </patternFill>
    </fill>
    <fill>
      <patternFill patternType="solid">
        <fgColor theme="0"/>
        <bgColor indexed="9"/>
      </patternFill>
    </fill>
    <fill>
      <patternFill patternType="solid">
        <fgColor theme="0"/>
        <bgColor indexed="64"/>
      </patternFill>
    </fill>
    <fill>
      <patternFill patternType="solid">
        <fgColor theme="4" tint="0.7999816888943144"/>
        <bgColor indexed="64"/>
      </patternFill>
    </fill>
    <fill>
      <patternFill patternType="lightUp">
        <bgColor theme="0"/>
      </patternFill>
    </fill>
    <fill>
      <patternFill patternType="solid">
        <fgColor rgb="FFD1FFFF"/>
        <bgColor indexed="64"/>
      </patternFill>
    </fill>
    <fill>
      <patternFill patternType="solid">
        <fgColor theme="0" tint="-0.1499679555650502"/>
        <bgColor indexed="64"/>
      </patternFill>
    </fill>
    <fill>
      <patternFill patternType="solid">
        <fgColor theme="4" tint="0.7999816888943144"/>
        <bgColor indexed="9"/>
      </patternFill>
    </fill>
    <fill>
      <patternFill patternType="solid">
        <fgColor theme="0" tint="-0.249946592608417"/>
        <bgColor indexed="64"/>
      </patternFill>
    </fill>
    <fill>
      <patternFill patternType="solid">
        <fgColor theme="0" tint="-0.1499679555650502"/>
        <bgColor indexed="9"/>
      </patternFill>
    </fill>
    <fill>
      <patternFill patternType="solid">
        <fgColor theme="0" tint="-0.1499984740745262"/>
        <bgColor indexed="64"/>
      </patternFill>
    </fill>
    <fill>
      <patternFill patternType="solid">
        <fgColor theme="0" tint="-0.0499893185216834"/>
        <bgColor indexed="64"/>
      </patternFill>
    </fill>
    <fill>
      <patternFill patternType="solid">
        <fgColor theme="4" tint="0.5999938962981048"/>
        <bgColor indexed="64"/>
      </patternFill>
    </fill>
    <fill>
      <patternFill patternType="solid">
        <fgColor theme="4" tint="0.5999633777886288"/>
        <bgColor indexed="9"/>
      </patternFill>
    </fill>
    <fill>
      <patternFill patternType="solid">
        <fgColor theme="4" tint="0.5999633777886288"/>
        <bgColor indexed="64"/>
      </patternFill>
    </fill>
    <fill>
      <patternFill patternType="solid">
        <fgColor theme="4" tint="0.5999938962981048"/>
        <bgColor indexed="9"/>
      </patternFill>
    </fill>
    <fill>
      <patternFill patternType="solid">
        <fgColor theme="0" tint="-0.0499893185216834"/>
        <bgColor indexed="9"/>
      </patternFill>
    </fill>
    <fill>
      <patternFill patternType="solid">
        <fgColor theme="3" tint="0.5999938962981048"/>
        <bgColor indexed="64"/>
      </patternFill>
    </fill>
    <fill>
      <patternFill patternType="solid">
        <fgColor theme="1"/>
        <bgColor indexed="64"/>
      </patternFill>
    </fill>
    <fill>
      <patternFill patternType="solid">
        <fgColor theme="8" tint="0.7999816888943144"/>
        <bgColor indexed="64"/>
      </patternFill>
    </fill>
    <fill>
      <patternFill patternType="solid">
        <fgColor rgb="FFFEFEFE"/>
        <bgColor indexed="64"/>
      </patternFill>
    </fill>
    <fill>
      <patternFill patternType="solid">
        <fgColor rgb="FFF2F2F2"/>
        <bgColor indexed="64"/>
      </patternFill>
    </fill>
    <fill>
      <patternFill patternType="solid">
        <fgColor theme="0"/>
        <bgColor auto="1"/>
      </patternFill>
    </fill>
    <fill>
      <patternFill patternType="solid">
        <fgColor theme="0" tint="-0.249946592608417"/>
        <bgColor indexed="9"/>
      </patternFill>
    </fill>
    <fill>
      <patternFill patternType="solid">
        <fgColor theme="0" tint="-0.249977111117893"/>
        <bgColor indexed="64"/>
      </patternFill>
    </fill>
    <fill>
      <patternFill patternType="lightUp">
        <fgColor auto="1"/>
        <bgColor indexed="9"/>
      </patternFill>
    </fill>
    <fill>
      <patternFill patternType="solid">
        <fgColor rgb="FFDDFFF9"/>
        <bgColor indexed="64"/>
      </patternFill>
    </fill>
    <fill>
      <patternFill patternType="solid">
        <fgColor theme="4" tint="0.7999816888943144"/>
        <bgColor auto="1"/>
      </patternFill>
    </fill>
    <fill>
      <patternFill patternType="solid">
        <fgColor theme="0"/>
        <bgColor theme="0"/>
      </patternFill>
    </fill>
    <fill>
      <patternFill patternType="solid">
        <fgColor theme="0" tint="-0.249946592608417"/>
        <bgColor auto="1"/>
      </patternFill>
    </fill>
    <fill>
      <patternFill patternType="solid">
        <fgColor indexed="9"/>
        <bgColor theme="0"/>
      </patternFill>
    </fill>
    <fill>
      <patternFill patternType="solid">
        <fgColor rgb="FFFFFF00"/>
        <bgColor indexed="64"/>
      </patternFill>
    </fill>
    <fill>
      <patternFill patternType="solid">
        <fgColor theme="0" tint="-0.1499984740745262"/>
        <bgColor indexed="9"/>
      </patternFill>
    </fill>
  </fills>
  <borders count="264">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top/>
      <bottom style="medium">
        <color indexed="64"/>
      </bottom>
      <diagonal/>
    </border>
    <border>
      <left style="medium">
        <color indexed="64"/>
      </left>
      <right/>
      <top/>
      <bottom/>
      <diagonal/>
    </border>
    <border>
      <left style="thin">
        <color indexed="64"/>
      </left>
      <right style="thin">
        <color indexed="64"/>
      </right>
      <top/>
      <bottom/>
      <diagonal/>
    </border>
    <border>
      <left/>
      <right/>
      <top style="medium">
        <color indexed="64"/>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ck">
        <color indexed="64"/>
      </top>
      <bottom/>
      <diagonal/>
    </border>
    <border>
      <left/>
      <right style="thin">
        <color indexed="64"/>
      </right>
      <top/>
      <bottom style="thick">
        <color indexed="64"/>
      </bottom>
      <diagonal/>
    </border>
    <border>
      <left style="thin">
        <color indexed="64"/>
      </left>
      <right style="dotted">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thin">
        <color indexed="64"/>
      </right>
      <top/>
      <bottom/>
      <diagonal/>
    </border>
    <border>
      <left/>
      <right/>
      <top style="thin">
        <color indexed="64"/>
      </top>
      <bottom style="thin">
        <color indexed="64"/>
      </bottom>
      <diagonal/>
    </border>
    <border>
      <left style="medium">
        <color indexed="64"/>
      </left>
      <right/>
      <top/>
      <bottom style="thin">
        <color indexed="64"/>
      </bottom>
      <diagonal/>
    </border>
    <border>
      <left/>
      <right/>
      <top style="medium">
        <color indexed="64"/>
      </top>
      <bottom style="thin">
        <color indexed="64"/>
      </bottom>
      <diagonal/>
    </border>
    <border>
      <left style="thin">
        <color indexed="64"/>
      </left>
      <right style="thin">
        <color indexed="64"/>
      </right>
      <top/>
      <bottom style="medium">
        <color indexed="64"/>
      </bottom>
      <diagonal/>
    </border>
    <border>
      <left/>
      <right style="medium">
        <color indexed="64"/>
      </right>
      <top/>
      <bottom style="thin">
        <color indexed="64"/>
      </bottom>
      <diagonal/>
    </border>
    <border>
      <left style="thin">
        <color indexed="64"/>
      </left>
      <right/>
      <top style="thin">
        <color indexed="64"/>
      </top>
      <bottom/>
      <diagonal/>
    </border>
    <border>
      <left/>
      <right/>
      <top style="thin">
        <color indexed="64"/>
      </top>
      <bottom style="medium">
        <color indexed="64"/>
      </bottom>
      <diagonal/>
    </border>
    <border>
      <left/>
      <right style="thick">
        <color indexed="64"/>
      </right>
      <top style="thick">
        <color indexed="64"/>
      </top>
      <bottom/>
      <diagonal/>
    </border>
    <border>
      <left/>
      <right style="thick">
        <color indexed="64"/>
      </right>
      <top/>
      <bottom style="thick">
        <color indexed="64"/>
      </bottom>
      <diagonal/>
    </border>
    <border>
      <left/>
      <right/>
      <top style="thick">
        <color indexed="64"/>
      </top>
      <bottom style="thin">
        <color indexed="64"/>
      </bottom>
      <diagonal/>
    </border>
    <border>
      <left style="thin">
        <color indexed="64"/>
      </left>
      <right/>
      <top/>
      <bottom style="thick">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style="dashed">
        <color indexed="64"/>
      </bottom>
      <diagonal/>
    </border>
    <border>
      <left/>
      <right style="medium">
        <color indexed="64"/>
      </right>
      <top style="dashed">
        <color indexed="64"/>
      </top>
      <bottom style="dashed">
        <color indexed="64"/>
      </bottom>
      <diagonal/>
    </border>
    <border>
      <left/>
      <right style="medium">
        <color indexed="64"/>
      </right>
      <top style="dashed">
        <color indexed="64"/>
      </top>
      <bottom style="medium">
        <color indexed="64"/>
      </bottom>
      <diagonal/>
    </border>
    <border>
      <left style="thin">
        <color indexed="64"/>
      </left>
      <right style="thin">
        <color indexed="64"/>
      </right>
      <top style="medium">
        <color indexed="64"/>
      </top>
      <bottom style="thin">
        <color indexed="64"/>
      </bottom>
      <diagonal/>
    </border>
    <border>
      <left/>
      <right/>
      <top/>
      <bottom style="double">
        <color indexed="64"/>
      </bottom>
      <diagonal/>
    </border>
    <border>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diagonal/>
    </border>
    <border>
      <left style="thick">
        <color indexed="64"/>
      </left>
      <right style="thick">
        <color indexed="64"/>
      </right>
      <top style="thick">
        <color indexed="64"/>
      </top>
      <bottom style="thick">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style="dotted">
        <color indexed="64"/>
      </top>
      <bottom/>
      <diagonal/>
    </border>
    <border>
      <left/>
      <right/>
      <top/>
      <bottom style="dotted">
        <color indexed="22"/>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ck">
        <color indexed="64"/>
      </left>
      <right/>
      <top style="thick">
        <color indexed="64"/>
      </top>
      <bottom/>
      <diagonal/>
    </border>
    <border>
      <left style="thick">
        <color indexed="64"/>
      </left>
      <right/>
      <top/>
      <bottom style="thick">
        <color indexed="64"/>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right style="thick">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dott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right/>
      <top/>
      <bottom style="dashed">
        <color indexed="64"/>
      </bottom>
      <diagonal/>
    </border>
    <border>
      <left/>
      <right style="medium">
        <color indexed="64"/>
      </right>
      <top style="thin">
        <color indexed="64"/>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thin">
        <color indexed="64"/>
      </right>
      <top/>
      <bottom style="dash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ck">
        <color indexed="64"/>
      </right>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thin">
        <color indexed="64"/>
      </bottom>
      <diagonal/>
    </border>
    <border>
      <left/>
      <right/>
      <top style="thin">
        <color indexed="64"/>
      </top>
      <bottom style="thick">
        <color indexed="64"/>
      </bottom>
      <diagonal/>
    </border>
    <border>
      <left style="thick">
        <color indexed="64"/>
      </left>
      <right/>
      <top/>
      <bottom/>
      <diagonal/>
    </border>
    <border>
      <left style="thick">
        <color indexed="64"/>
      </left>
      <right/>
      <top/>
      <bottom style="thin">
        <color indexed="64"/>
      </bottom>
      <diagonal/>
    </border>
    <border>
      <left style="medium">
        <color indexed="64"/>
      </left>
      <right style="medium">
        <color indexed="64"/>
      </right>
      <top/>
      <bottom/>
      <diagonal/>
    </border>
    <border>
      <left style="thin">
        <color indexed="64"/>
      </left>
      <right style="dotted">
        <color indexed="64"/>
      </right>
      <top/>
      <bottom/>
      <diagonal/>
    </border>
    <border>
      <left style="dotted">
        <color indexed="64"/>
      </left>
      <right style="thin">
        <color indexed="64"/>
      </right>
      <top/>
      <bottom/>
      <diagonal/>
    </border>
    <border>
      <left style="dotted">
        <color indexed="64"/>
      </left>
      <right style="thin">
        <color indexed="64"/>
      </right>
      <top/>
      <bottom style="thin">
        <color indexed="64"/>
      </bottom>
      <diagonal/>
    </border>
    <border>
      <left/>
      <right/>
      <top style="dashed">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dashed">
        <color indexed="64"/>
      </top>
      <bottom style="dashed">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medium">
        <color theme="1"/>
      </top>
      <bottom style="dotted">
        <color indexed="22"/>
      </bottom>
      <diagonal/>
    </border>
    <border>
      <left/>
      <right/>
      <top/>
      <bottom style="medium">
        <color theme="1"/>
      </bottom>
      <diagonal/>
    </border>
    <border>
      <left/>
      <right style="thin">
        <color indexed="64"/>
      </right>
      <top style="dashed">
        <color indexed="64"/>
      </top>
      <bottom style="thin">
        <color indexed="64"/>
      </bottom>
      <diagonal/>
    </border>
    <border>
      <left style="thin">
        <color theme="1"/>
      </left>
      <right style="thin">
        <color theme="1"/>
      </right>
      <top/>
      <bottom style="thin">
        <color theme="1"/>
      </bottom>
      <diagonal/>
    </border>
    <border>
      <left/>
      <right/>
      <top style="double">
        <color auto="1"/>
      </top>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style="double">
        <color auto="1"/>
      </right>
      <top/>
      <bottom style="double">
        <color auto="1"/>
      </bottom>
      <diagonal/>
    </border>
    <border>
      <left style="medium">
        <color indexed="64"/>
      </left>
      <right style="medium">
        <color indexed="64"/>
      </right>
      <top style="double">
        <color indexed="64"/>
      </top>
      <bottom style="medium">
        <color indexed="64"/>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indexed="64"/>
      </right>
      <top style="dashed">
        <color indexed="64"/>
      </top>
      <bottom style="dashed">
        <color indexed="64"/>
      </bottom>
      <diagonal/>
    </border>
    <border>
      <left/>
      <right/>
      <top style="dashed">
        <color indexed="64"/>
      </top>
      <bottom style="thin">
        <color indexed="64"/>
      </bottom>
      <diagonal/>
    </border>
    <border>
      <left/>
      <right/>
      <top style="double">
        <color indexed="64"/>
      </top>
      <bottom style="thin">
        <color indexed="64"/>
      </bottom>
      <diagonal/>
    </border>
    <border>
      <left style="medium">
        <color indexed="64"/>
      </left>
      <right style="thin">
        <color indexed="64"/>
      </right>
      <top style="medium">
        <color indexed="64"/>
      </top>
      <bottom style="dashed">
        <color indexed="64"/>
      </bottom>
      <diagonal/>
    </border>
    <border>
      <left style="thin">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style="thin">
        <color indexed="64"/>
      </left>
      <right style="medium">
        <color indexed="64"/>
      </right>
      <top style="medium">
        <color indexed="64"/>
      </top>
      <bottom style="dashed">
        <color indexed="64"/>
      </bottom>
      <diagonal/>
    </border>
    <border>
      <left style="medium">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style="thin">
        <color indexed="64"/>
      </left>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right/>
      <top/>
      <bottom style="medium">
        <color rgb="FFCCCCCC"/>
      </bottom>
      <diagonal/>
    </border>
    <border>
      <left/>
      <right/>
      <top/>
      <bottom style="dotted">
        <color auto="1"/>
      </bottom>
      <diagonal/>
    </border>
    <border>
      <left style="thin">
        <color indexed="64"/>
      </left>
      <right/>
      <top/>
      <bottom style="medium">
        <color theme="1"/>
      </bottom>
      <diagonal/>
    </border>
    <border>
      <left/>
      <right/>
      <top style="medium">
        <color theme="1"/>
      </top>
      <bottom/>
      <diagonal/>
    </border>
    <border>
      <left style="thin">
        <color indexed="64"/>
      </left>
      <right/>
      <top/>
      <bottom style="dotted">
        <color indexed="64"/>
      </bottom>
      <diagonal/>
    </border>
    <border>
      <left/>
      <right style="medium">
        <color indexed="64"/>
      </right>
      <top/>
      <bottom style="thick">
        <color indexed="64"/>
      </bottom>
      <diagonal/>
    </border>
    <border>
      <left/>
      <right/>
      <top/>
      <bottom style="mediumDashed">
        <color auto="1"/>
      </bottom>
      <diagonal/>
    </border>
    <border>
      <left/>
      <right/>
      <top style="medium">
        <color indexed="64"/>
      </top>
      <bottom style="dashed">
        <color indexed="64"/>
      </bottom>
      <diagonal/>
    </border>
    <border>
      <left style="dashed">
        <color indexed="64"/>
      </left>
      <right/>
      <top style="dashed">
        <color indexed="64"/>
      </top>
      <bottom/>
      <diagonal/>
    </border>
    <border>
      <left style="dashed">
        <color indexed="64"/>
      </left>
      <right/>
      <top/>
      <bottom/>
      <diagonal/>
    </border>
    <border>
      <left style="dashed">
        <color indexed="64"/>
      </left>
      <right/>
      <top/>
      <bottom style="dashed">
        <color indexed="64"/>
      </bottom>
      <diagonal/>
    </border>
    <border>
      <left style="medium">
        <color indexed="64"/>
      </left>
      <right style="thick">
        <color indexed="64"/>
      </right>
      <top style="thick">
        <color indexed="64"/>
      </top>
      <bottom style="medium">
        <color indexed="64"/>
      </bottom>
      <diagonal/>
    </border>
    <border>
      <left style="medium">
        <color indexed="64"/>
      </left>
      <right style="medium">
        <color indexed="64"/>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ck">
        <color indexed="64"/>
      </right>
      <top style="medium">
        <color indexed="64"/>
      </top>
      <bottom style="thick">
        <color indexed="64"/>
      </bottom>
      <diagonal/>
    </border>
    <border>
      <left style="thick">
        <color indexed="64"/>
      </left>
      <right style="medium">
        <color indexed="64"/>
      </right>
      <top style="thick">
        <color indexed="64"/>
      </top>
      <bottom style="medium">
        <color indexed="64"/>
      </bottom>
      <diagonal/>
    </border>
    <border>
      <left/>
      <right style="dashed">
        <color auto="1"/>
      </right>
      <top style="dashed">
        <color auto="1"/>
      </top>
      <bottom/>
      <diagonal/>
    </border>
    <border>
      <left/>
      <right style="dashed">
        <color auto="1"/>
      </right>
      <top/>
      <bottom/>
      <diagonal/>
    </border>
    <border>
      <left/>
      <right style="dashed">
        <color auto="1"/>
      </right>
      <top/>
      <bottom style="dashed">
        <color auto="1"/>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ck">
        <color indexed="64"/>
      </bottom>
      <diagonal/>
    </border>
    <border>
      <left style="thin">
        <color indexed="64"/>
      </left>
      <right/>
      <top style="thick">
        <color indexed="64"/>
      </top>
      <bottom/>
      <diagonal/>
    </border>
    <border>
      <left style="medium">
        <color indexed="64"/>
      </left>
      <right/>
      <top/>
      <bottom style="dashed">
        <color indexed="64"/>
      </bottom>
      <diagonal/>
    </border>
    <border>
      <left/>
      <right style="medium">
        <color indexed="64"/>
      </right>
      <top/>
      <bottom style="dashed">
        <color indexed="64"/>
      </bottom>
      <diagonal/>
    </border>
    <border>
      <left style="medium">
        <color indexed="64"/>
      </left>
      <right/>
      <top style="dashed">
        <color indexed="64"/>
      </top>
      <bottom/>
      <diagonal/>
    </border>
    <border>
      <left/>
      <right style="medium">
        <color indexed="64"/>
      </right>
      <top style="dashed">
        <color indexed="64"/>
      </top>
      <bottom/>
      <diagonal/>
    </border>
    <border>
      <left style="medium">
        <color indexed="64"/>
      </left>
      <right/>
      <top style="medium">
        <color indexed="64"/>
      </top>
      <bottom style="dashed">
        <color indexed="64"/>
      </bottom>
      <diagonal/>
    </border>
    <border>
      <left/>
      <right/>
      <top style="mediumDashed">
        <color auto="1"/>
      </top>
      <bottom/>
      <diagonal/>
    </border>
    <border>
      <left style="medium">
        <color indexed="64"/>
      </left>
      <right/>
      <top style="dashed">
        <color indexed="64"/>
      </top>
      <bottom style="dashed">
        <color indexed="64"/>
      </bottom>
      <diagonal/>
    </border>
    <border>
      <left style="mediumDashed">
        <color auto="1"/>
      </left>
      <right/>
      <top style="mediumDashed">
        <color auto="1"/>
      </top>
      <bottom/>
      <diagonal/>
    </border>
    <border>
      <left/>
      <right style="mediumDashed">
        <color auto="1"/>
      </right>
      <top style="mediumDashed">
        <color auto="1"/>
      </top>
      <bottom/>
      <diagonal/>
    </border>
    <border>
      <left style="mediumDashed">
        <color auto="1"/>
      </left>
      <right/>
      <top/>
      <bottom/>
      <diagonal/>
    </border>
    <border>
      <left/>
      <right style="mediumDashed">
        <color auto="1"/>
      </right>
      <top/>
      <bottom/>
      <diagonal/>
    </border>
    <border>
      <left style="mediumDashed">
        <color auto="1"/>
      </left>
      <right/>
      <top/>
      <bottom style="mediumDashed">
        <color auto="1"/>
      </bottom>
      <diagonal/>
    </border>
    <border>
      <left/>
      <right style="mediumDashed">
        <color auto="1"/>
      </right>
      <top/>
      <bottom style="mediumDashed">
        <color auto="1"/>
      </bottom>
      <diagonal/>
    </border>
    <border>
      <left style="thin">
        <color indexed="64"/>
      </left>
      <right/>
      <top style="thick">
        <color indexed="64"/>
      </top>
      <bottom style="thin">
        <color indexed="64"/>
      </bottom>
      <diagonal/>
    </border>
    <border>
      <left style="thin">
        <color indexed="64"/>
      </left>
      <right style="thin">
        <color indexed="64"/>
      </right>
      <top style="medium">
        <color auto="1"/>
      </top>
      <bottom/>
      <diagonal/>
    </border>
    <border>
      <left style="thin">
        <color indexed="64"/>
      </left>
      <right/>
      <top style="thin">
        <color indexed="64"/>
      </top>
      <bottom style="thick">
        <color indexed="64"/>
      </bottom>
      <diagonal/>
    </border>
    <border>
      <left style="medium">
        <color auto="1"/>
      </left>
      <right style="thin">
        <color auto="1"/>
      </right>
      <top/>
      <bottom/>
      <diagonal/>
    </border>
    <border>
      <left style="medium">
        <color auto="1"/>
      </left>
      <right style="thin">
        <color auto="1"/>
      </right>
      <top/>
      <bottom style="medium">
        <color indexed="64"/>
      </bottom>
      <diagonal/>
    </border>
    <border>
      <left style="medium">
        <color auto="1"/>
      </left>
      <right style="thin">
        <color auto="1"/>
      </right>
      <top style="medium">
        <color auto="1"/>
      </top>
      <bottom/>
      <diagonal/>
    </border>
    <border>
      <left style="thin">
        <color indexed="64"/>
      </left>
      <right style="medium">
        <color indexed="64"/>
      </right>
      <top style="medium">
        <color auto="1"/>
      </top>
      <bottom/>
      <diagonal/>
    </border>
    <border>
      <left style="medium">
        <color indexed="64"/>
      </left>
      <right/>
      <top/>
      <bottom style="thick">
        <color indexed="64"/>
      </bottom>
      <diagonal/>
    </border>
    <border>
      <left style="thin">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bottom style="dashed">
        <color indexed="64"/>
      </bottom>
      <diagonal/>
    </border>
    <border>
      <left/>
      <right/>
      <top style="dashed">
        <color indexed="64"/>
      </top>
      <bottom style="medium">
        <color auto="1"/>
      </bottom>
      <diagonal/>
    </border>
    <border>
      <left/>
      <right style="thin">
        <color indexed="64"/>
      </right>
      <top style="dashed">
        <color indexed="64"/>
      </top>
      <bottom style="medium">
        <color auto="1"/>
      </bottom>
      <diagonal/>
    </border>
    <border>
      <left/>
      <right style="thin">
        <color indexed="64"/>
      </right>
      <top style="medium">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right style="thick">
        <color indexed="64"/>
      </right>
      <top/>
      <bottom style="medium">
        <color indexed="64"/>
      </bottom>
      <diagonal/>
    </border>
    <border>
      <left style="thick">
        <color indexed="64"/>
      </left>
      <right style="thick">
        <color indexed="64"/>
      </right>
      <top/>
      <bottom style="medium">
        <color indexed="64"/>
      </bottom>
      <diagonal/>
    </border>
    <border>
      <left style="thick">
        <color indexed="64"/>
      </left>
      <right style="thin">
        <color indexed="64"/>
      </right>
      <top/>
      <bottom/>
      <diagonal/>
    </border>
    <border>
      <left style="thick">
        <color indexed="64"/>
      </left>
      <right style="thin">
        <color indexed="64"/>
      </right>
      <top/>
      <bottom style="thick">
        <color indexed="64"/>
      </bottom>
      <diagonal/>
    </border>
    <border>
      <left/>
      <right style="thick">
        <color indexed="64"/>
      </right>
      <top style="thin">
        <color indexed="64"/>
      </top>
      <bottom/>
      <diagonal/>
    </border>
    <border>
      <left style="thick">
        <color indexed="64"/>
      </left>
      <right/>
      <top style="thin">
        <color indexed="64"/>
      </top>
      <bottom/>
      <diagonal/>
    </border>
    <border>
      <left style="hair">
        <color indexed="64"/>
      </left>
      <right style="hair">
        <color indexed="64"/>
      </right>
      <top style="dashed">
        <color indexed="64"/>
      </top>
      <bottom style="dashed">
        <color indexed="64"/>
      </bottom>
      <diagonal/>
    </border>
    <border>
      <left/>
      <right style="hair">
        <color indexed="64"/>
      </right>
      <top style="hair">
        <color indexed="64"/>
      </top>
      <bottom/>
      <diagonal/>
    </border>
    <border>
      <left style="hair">
        <color indexed="64"/>
      </left>
      <right style="thin">
        <color indexed="64"/>
      </right>
      <top style="dashed">
        <color indexed="64"/>
      </top>
      <bottom style="thin">
        <color indexed="64"/>
      </bottom>
      <diagonal/>
    </border>
    <border>
      <left/>
      <right/>
      <top/>
      <bottom style="dotted">
        <color indexed="64"/>
      </bottom>
      <diagonal/>
    </border>
    <border>
      <left style="dotted">
        <color indexed="64"/>
      </left>
      <right style="dotted">
        <color indexed="64"/>
      </right>
      <top/>
      <bottom style="thin">
        <color indexed="64"/>
      </bottom>
      <diagonal/>
    </border>
    <border>
      <left style="dotted">
        <color indexed="64"/>
      </left>
      <right/>
      <top/>
      <bottom style="thin">
        <color indexed="64"/>
      </bottom>
      <diagonal/>
    </border>
    <border>
      <left/>
      <right style="dotted">
        <color indexed="64"/>
      </right>
      <top/>
      <bottom style="thin">
        <color indexed="64"/>
      </bottom>
      <diagonal/>
    </border>
    <border>
      <left style="medium">
        <color auto="1"/>
      </left>
      <right style="thin">
        <color auto="1"/>
      </right>
      <top style="medium">
        <color auto="1"/>
      </top>
      <bottom style="dotted">
        <color indexed="64"/>
      </bottom>
      <diagonal/>
    </border>
    <border>
      <left style="medium">
        <color indexed="64"/>
      </left>
      <right/>
      <top style="dotted">
        <color indexed="64"/>
      </top>
      <bottom style="dotted">
        <color indexed="64"/>
      </bottom>
      <diagonal/>
    </border>
    <border>
      <left style="thin">
        <color indexed="64"/>
      </left>
      <right style="thin">
        <color indexed="64"/>
      </right>
      <top/>
      <bottom style="dotted">
        <color indexed="64"/>
      </bottom>
      <diagonal/>
    </border>
    <border>
      <left style="medium">
        <color indexed="64"/>
      </left>
      <right/>
      <top style="dotted">
        <color indexed="64"/>
      </top>
      <bottom style="thin">
        <color indexed="64"/>
      </bottom>
      <diagonal/>
    </border>
    <border>
      <left style="thick">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style="thin">
        <color indexed="64"/>
      </top>
      <bottom style="thin">
        <color indexed="64"/>
      </bottom>
      <diagonal/>
    </border>
    <border>
      <left style="medium">
        <color indexed="64"/>
      </left>
      <right/>
      <top style="thin">
        <color indexed="64"/>
      </top>
      <bottom style="thick">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top style="dashed">
        <color indexed="64"/>
      </top>
      <bottom/>
      <diagonal/>
    </border>
    <border>
      <left/>
      <right style="thin">
        <color indexed="64"/>
      </right>
      <top style="dashed">
        <color indexed="64"/>
      </top>
      <bottom/>
      <diagonal/>
    </border>
    <border>
      <left style="medium">
        <color indexed="64"/>
      </left>
      <right style="thin">
        <color indexed="64"/>
      </right>
      <top style="thin">
        <color indexed="64"/>
      </top>
      <bottom/>
      <diagonal/>
    </border>
    <border>
      <left style="mediumDashed">
        <color indexed="64"/>
      </left>
      <right style="mediumDashed">
        <color indexed="64"/>
      </right>
      <top style="mediumDashed">
        <color indexed="64"/>
      </top>
      <bottom style="mediumDashed">
        <color indexed="64"/>
      </bottom>
      <diagonal/>
    </border>
    <border>
      <left style="thin">
        <color indexed="64"/>
      </left>
      <right style="medium">
        <color indexed="64"/>
      </right>
      <top/>
      <bottom style="thick">
        <color indexed="64"/>
      </bottom>
      <diagonal/>
    </border>
    <border>
      <left style="thin">
        <color indexed="64"/>
      </left>
      <right style="thin">
        <color indexed="64"/>
      </right>
      <top style="medium">
        <color indexed="64"/>
      </top>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ck">
        <color indexed="64"/>
      </top>
      <bottom style="thin">
        <color indexed="64"/>
      </bottom>
      <diagonal/>
    </border>
    <border>
      <left style="medium">
        <color auto="1"/>
      </left>
      <right style="thin">
        <color auto="1"/>
      </right>
      <top style="medium">
        <color auto="1"/>
      </top>
      <bottom style="medium">
        <color indexed="64"/>
      </bottom>
      <diagonal/>
    </border>
    <border>
      <left style="medium">
        <color auto="1"/>
      </left>
      <right/>
      <top/>
      <bottom/>
      <diagonal/>
    </border>
    <border>
      <left style="thin">
        <color indexed="64"/>
      </left>
      <right style="medium">
        <color indexed="64"/>
      </right>
      <top style="medium">
        <color auto="1"/>
      </top>
      <bottom style="medium">
        <color indexed="64"/>
      </bottom>
      <diagonal/>
    </border>
    <border>
      <left/>
      <right style="thin">
        <color indexed="64"/>
      </right>
      <top/>
      <bottom style="dotted">
        <color auto="1"/>
      </bottom>
      <diagonal/>
    </border>
    <border>
      <left/>
      <right style="thin">
        <color indexed="64"/>
      </right>
      <top style="dotted">
        <color indexed="64"/>
      </top>
      <bottom/>
      <diagonal/>
    </border>
    <border>
      <left style="dotted">
        <color indexed="64"/>
      </left>
      <right/>
      <top/>
      <bottom/>
      <diagonal/>
    </border>
    <border>
      <left style="medium">
        <color indexed="64"/>
      </left>
      <right style="medium">
        <color indexed="64"/>
      </right>
      <top style="thin">
        <color indexed="64"/>
      </top>
      <bottom style="dashed">
        <color indexed="64"/>
      </bottom>
      <diagonal/>
    </border>
    <border>
      <left style="medium">
        <color indexed="64"/>
      </left>
      <right style="medium">
        <color indexed="64"/>
      </right>
      <top style="dashed">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medium">
        <color indexed="64"/>
      </left>
      <right style="medium">
        <color indexed="64"/>
      </right>
      <top/>
      <bottom style="thick">
        <color indexed="64"/>
      </bottom>
      <diagonal/>
    </border>
    <border>
      <left style="medium">
        <color indexed="64"/>
      </left>
      <right style="thin">
        <color indexed="64"/>
      </right>
      <top/>
      <bottom style="medium">
        <color indexed="64"/>
      </bottom>
      <diagonal/>
    </border>
    <border>
      <left style="thin">
        <color indexed="64"/>
      </left>
      <right style="thin">
        <color indexed="64"/>
      </right>
      <top style="medium">
        <color auto="1"/>
      </top>
      <bottom style="thin">
        <color indexed="64"/>
      </bottom>
      <diagonal/>
    </border>
    <border>
      <left/>
      <right style="dotted">
        <color indexed="64"/>
      </right>
      <top/>
      <bottom/>
      <diagonal/>
    </border>
  </borders>
  <cellStyleXfs count="12">
    <xf numFmtId="0" fontId="0" fillId="0" borderId="0"/>
    <xf numFmtId="44" fontId="97" fillId="0" borderId="0"/>
    <xf numFmtId="0" fontId="142" fillId="0" borderId="0" applyAlignment="1" applyProtection="1">
      <alignment vertical="top"/>
      <protection locked="0" hidden="0"/>
    </xf>
    <xf numFmtId="0" fontId="142" fillId="0" borderId="0" applyAlignment="1" applyProtection="1">
      <alignment vertical="top"/>
      <protection locked="0" hidden="0"/>
    </xf>
    <xf numFmtId="0" fontId="97" fillId="0" borderId="0"/>
    <xf numFmtId="0" fontId="142" fillId="0" borderId="0" applyAlignment="1" applyProtection="1">
      <alignment vertical="top"/>
      <protection locked="0" hidden="0"/>
    </xf>
    <xf numFmtId="0" fontId="3" fillId="0" borderId="0"/>
    <xf numFmtId="0" fontId="142" fillId="0" borderId="0" applyAlignment="1" applyProtection="1">
      <alignment vertical="top"/>
      <protection locked="0" hidden="0"/>
    </xf>
    <xf numFmtId="0" fontId="142" fillId="0" borderId="0" applyAlignment="1" applyProtection="1">
      <alignment vertical="top"/>
      <protection locked="0" hidden="0"/>
    </xf>
    <xf numFmtId="0" fontId="3" fillId="0" borderId="0"/>
    <xf numFmtId="0" fontId="3" fillId="0" borderId="0"/>
    <xf numFmtId="0" fontId="3" fillId="0" borderId="0"/>
  </cellStyleXfs>
  <cellXfs count="12894">
    <xf numFmtId="0" fontId="0" fillId="0" borderId="0" pivotButton="0" quotePrefix="0" xfId="0"/>
    <xf numFmtId="0" fontId="4" fillId="0" borderId="0" pivotButton="0" quotePrefix="0" xfId="0"/>
    <xf numFmtId="4" fontId="8" fillId="0" borderId="0" pivotButton="0" quotePrefix="0" xfId="0"/>
    <xf numFmtId="0" fontId="10" fillId="0" borderId="0" pivotButton="0" quotePrefix="0" xfId="0"/>
    <xf numFmtId="4" fontId="0" fillId="0" borderId="0" pivotButton="0" quotePrefix="0" xfId="0"/>
    <xf numFmtId="0" fontId="22" fillId="0" borderId="0" pivotButton="0" quotePrefix="0" xfId="0"/>
    <xf numFmtId="39" fontId="8" fillId="0" borderId="0" applyAlignment="1" applyProtection="1" pivotButton="0" quotePrefix="0" xfId="0">
      <alignment horizontal="right"/>
      <protection locked="1" hidden="1"/>
    </xf>
    <xf numFmtId="0" fontId="9" fillId="0" borderId="0" applyAlignment="1" applyProtection="1" pivotButton="0" quotePrefix="0" xfId="0">
      <alignment horizontal="right"/>
      <protection locked="1" hidden="1"/>
    </xf>
    <xf numFmtId="0" fontId="8" fillId="0" borderId="0" applyAlignment="1" applyProtection="1" pivotButton="0" quotePrefix="0" xfId="0">
      <alignment horizontal="left"/>
      <protection locked="1" hidden="1"/>
    </xf>
    <xf numFmtId="4" fontId="8" fillId="0" borderId="0" applyAlignment="1" applyProtection="1" pivotButton="0" quotePrefix="0" xfId="0">
      <alignment horizontal="left"/>
      <protection locked="1" hidden="1"/>
    </xf>
    <xf numFmtId="4" fontId="8" fillId="0" borderId="0" applyAlignment="1" applyProtection="1" pivotButton="0" quotePrefix="0" xfId="0">
      <alignment horizontal="center"/>
      <protection locked="1" hidden="1"/>
    </xf>
    <xf numFmtId="0" fontId="22" fillId="2" borderId="0" applyProtection="1" pivotButton="0" quotePrefix="0" xfId="0">
      <protection locked="1" hidden="1"/>
    </xf>
    <xf numFmtId="0" fontId="8" fillId="0" borderId="0" pivotButton="0" quotePrefix="0" xfId="0"/>
    <xf numFmtId="0" fontId="4" fillId="3" borderId="1" applyProtection="1" pivotButton="0" quotePrefix="0" xfId="0">
      <protection locked="1" hidden="1"/>
    </xf>
    <xf numFmtId="4" fontId="0" fillId="3" borderId="1" applyProtection="1" pivotButton="0" quotePrefix="0" xfId="0">
      <protection locked="1" hidden="1"/>
    </xf>
    <xf numFmtId="4" fontId="8" fillId="3" borderId="0" applyAlignment="1" applyProtection="1" pivotButton="0" quotePrefix="0" xfId="0">
      <alignment horizontal="right"/>
      <protection locked="1" hidden="1"/>
    </xf>
    <xf numFmtId="0" fontId="10" fillId="3" borderId="0" applyProtection="1" pivotButton="0" quotePrefix="0" xfId="0">
      <protection locked="1" hidden="1"/>
    </xf>
    <xf numFmtId="0" fontId="4" fillId="3" borderId="0" applyProtection="1" pivotButton="0" quotePrefix="0" xfId="0">
      <protection locked="1" hidden="1"/>
    </xf>
    <xf numFmtId="0" fontId="0" fillId="2" borderId="0" applyProtection="1" pivotButton="0" quotePrefix="0" xfId="0">
      <protection locked="1" hidden="1"/>
    </xf>
    <xf numFmtId="0" fontId="4" fillId="2" borderId="0" applyProtection="1" pivotButton="0" quotePrefix="0" xfId="0">
      <protection locked="1" hidden="1"/>
    </xf>
    <xf numFmtId="0" fontId="0" fillId="4" borderId="0" applyProtection="1" pivotButton="0" quotePrefix="0" xfId="0">
      <protection locked="0" hidden="0"/>
    </xf>
    <xf numFmtId="0" fontId="10" fillId="2" borderId="5" applyProtection="1" pivotButton="0" quotePrefix="0" xfId="0">
      <protection locked="1" hidden="1"/>
    </xf>
    <xf numFmtId="0" fontId="10" fillId="2" borderId="0" applyProtection="1" pivotButton="0" quotePrefix="0" xfId="0">
      <protection locked="1" hidden="1"/>
    </xf>
    <xf numFmtId="0" fontId="0" fillId="2" borderId="7" applyProtection="1" pivotButton="0" quotePrefix="0" xfId="0">
      <protection locked="1" hidden="1"/>
    </xf>
    <xf numFmtId="0" fontId="0" fillId="2" borderId="4" applyProtection="1" pivotButton="0" quotePrefix="0" xfId="0">
      <protection locked="1" hidden="1"/>
    </xf>
    <xf numFmtId="0" fontId="4" fillId="2" borderId="0" applyAlignment="1" applyProtection="1" pivotButton="0" quotePrefix="0" xfId="0">
      <alignment horizontal="center"/>
      <protection locked="1" hidden="1"/>
    </xf>
    <xf numFmtId="0" fontId="0" fillId="0" borderId="0" applyProtection="1" pivotButton="0" quotePrefix="0" xfId="0">
      <protection locked="1" hidden="1"/>
    </xf>
    <xf numFmtId="0" fontId="0" fillId="2" borderId="5" applyProtection="1" pivotButton="0" quotePrefix="0" xfId="0">
      <protection locked="1" hidden="1"/>
    </xf>
    <xf numFmtId="0" fontId="8" fillId="2" borderId="0" applyProtection="1" pivotButton="0" quotePrefix="0" xfId="0">
      <protection locked="1" hidden="1"/>
    </xf>
    <xf numFmtId="40" fontId="0" fillId="2" borderId="0" applyProtection="1" pivotButton="0" quotePrefix="0" xfId="0">
      <protection locked="1" hidden="1"/>
    </xf>
    <xf numFmtId="40" fontId="0" fillId="2" borderId="20" applyProtection="1" pivotButton="0" quotePrefix="0" xfId="0">
      <protection locked="1" hidden="1"/>
    </xf>
    <xf numFmtId="40" fontId="4" fillId="2" borderId="0" applyProtection="1" pivotButton="0" quotePrefix="0" xfId="0">
      <protection locked="1" hidden="1"/>
    </xf>
    <xf numFmtId="40" fontId="4" fillId="2" borderId="0" applyAlignment="1" applyProtection="1" pivotButton="0" quotePrefix="0" xfId="0">
      <alignment horizontal="right"/>
      <protection locked="1" hidden="1"/>
    </xf>
    <xf numFmtId="0" fontId="6" fillId="2" borderId="0" applyProtection="1" pivotButton="0" quotePrefix="0" xfId="0">
      <protection locked="1" hidden="1"/>
    </xf>
    <xf numFmtId="40" fontId="0" fillId="2" borderId="0" applyAlignment="1" applyProtection="1" pivotButton="0" quotePrefix="0" xfId="0">
      <alignment horizontal="right"/>
      <protection locked="1" hidden="1"/>
    </xf>
    <xf numFmtId="40" fontId="0" fillId="2" borderId="4" applyProtection="1" pivotButton="0" quotePrefix="0" xfId="0">
      <protection locked="1" hidden="1"/>
    </xf>
    <xf numFmtId="40" fontId="0" fillId="2" borderId="22" applyProtection="1" pivotButton="0" quotePrefix="0" xfId="0">
      <protection locked="1" hidden="1"/>
    </xf>
    <xf numFmtId="0" fontId="0" fillId="5" borderId="0" applyProtection="1" pivotButton="0" quotePrefix="0" xfId="0">
      <protection locked="1" hidden="1"/>
    </xf>
    <xf numFmtId="0" fontId="0" fillId="5" borderId="4" applyProtection="1" pivotButton="0" quotePrefix="0" xfId="0">
      <protection locked="1" hidden="1"/>
    </xf>
    <xf numFmtId="0" fontId="0" fillId="2" borderId="0" applyAlignment="1" applyProtection="1" pivotButton="0" quotePrefix="0" xfId="0">
      <alignment wrapText="1"/>
      <protection locked="1" hidden="1"/>
    </xf>
    <xf numFmtId="0" fontId="0" fillId="2" borderId="23" applyProtection="1" pivotButton="0" quotePrefix="0" xfId="0">
      <protection locked="1" hidden="1"/>
    </xf>
    <xf numFmtId="0" fontId="0" fillId="2" borderId="21" applyProtection="1" pivotButton="0" quotePrefix="0" xfId="0">
      <protection locked="1" hidden="1"/>
    </xf>
    <xf numFmtId="0" fontId="0" fillId="5" borderId="23" applyProtection="1" pivotButton="0" quotePrefix="0" xfId="0">
      <protection locked="1" hidden="1"/>
    </xf>
    <xf numFmtId="0" fontId="0" fillId="5" borderId="7" applyProtection="1" pivotButton="0" quotePrefix="0" xfId="0">
      <protection locked="1" hidden="1"/>
    </xf>
    <xf numFmtId="0" fontId="0" fillId="5" borderId="5" applyProtection="1" pivotButton="0" quotePrefix="0" xfId="0">
      <protection locked="1" hidden="1"/>
    </xf>
    <xf numFmtId="0" fontId="10" fillId="5" borderId="0" applyAlignment="1" applyProtection="1" pivotButton="0" quotePrefix="0" xfId="0">
      <alignment horizontal="center"/>
      <protection locked="1" hidden="1"/>
    </xf>
    <xf numFmtId="0" fontId="0" fillId="5" borderId="21" applyProtection="1" pivotButton="0" quotePrefix="0" xfId="0">
      <protection locked="1" hidden="1"/>
    </xf>
    <xf numFmtId="0" fontId="10" fillId="5" borderId="4" applyAlignment="1" applyProtection="1" pivotButton="0" quotePrefix="0" xfId="0">
      <alignment horizontal="center"/>
      <protection locked="1" hidden="1"/>
    </xf>
    <xf numFmtId="0" fontId="0" fillId="2" borderId="19" applyProtection="1" pivotButton="0" quotePrefix="0" xfId="0">
      <protection locked="1" hidden="1"/>
    </xf>
    <xf numFmtId="0" fontId="0" fillId="2" borderId="20" applyProtection="1" pivotButton="0" quotePrefix="0" xfId="0">
      <protection locked="1" hidden="1"/>
    </xf>
    <xf numFmtId="0" fontId="0" fillId="2" borderId="22" applyProtection="1" pivotButton="0" quotePrefix="0" xfId="0">
      <protection locked="1" hidden="1"/>
    </xf>
    <xf numFmtId="0" fontId="0" fillId="2" borderId="0" applyAlignment="1" applyProtection="1" pivotButton="0" quotePrefix="0" xfId="0">
      <alignment vertical="top"/>
      <protection locked="1" hidden="1"/>
    </xf>
    <xf numFmtId="40" fontId="0" fillId="2" borderId="1" applyProtection="1" pivotButton="0" quotePrefix="0" xfId="0">
      <protection locked="1" hidden="1"/>
    </xf>
    <xf numFmtId="40" fontId="0" fillId="2" borderId="0" applyAlignment="1" applyProtection="1" pivotButton="0" quotePrefix="0" xfId="0">
      <alignment horizontal="center"/>
      <protection locked="1" hidden="1"/>
    </xf>
    <xf numFmtId="38" fontId="0" fillId="2" borderId="0" applyAlignment="1" applyProtection="1" pivotButton="0" quotePrefix="0" xfId="0">
      <alignment horizontal="center"/>
      <protection locked="1" hidden="1"/>
    </xf>
    <xf numFmtId="38" fontId="0" fillId="2" borderId="20" applyAlignment="1" applyProtection="1" pivotButton="0" quotePrefix="0" xfId="0">
      <alignment horizontal="center"/>
      <protection locked="1" hidden="1"/>
    </xf>
    <xf numFmtId="40" fontId="0" fillId="2" borderId="0" applyAlignment="1" applyProtection="1" pivotButton="0" quotePrefix="0" xfId="0">
      <alignment horizontal="left"/>
      <protection locked="1" hidden="1"/>
    </xf>
    <xf numFmtId="40" fontId="0" fillId="2" borderId="5" applyAlignment="1" applyProtection="1" pivotButton="0" quotePrefix="0" xfId="0">
      <alignment horizontal="left"/>
      <protection locked="1" hidden="1"/>
    </xf>
    <xf numFmtId="40" fontId="4" fillId="2" borderId="0" applyAlignment="1" applyProtection="1" pivotButton="0" quotePrefix="0" xfId="0">
      <alignment horizontal="center"/>
      <protection locked="1" hidden="1"/>
    </xf>
    <xf numFmtId="40" fontId="6" fillId="2" borderId="0" applyProtection="1" pivotButton="0" quotePrefix="0" xfId="0">
      <protection locked="1" hidden="1"/>
    </xf>
    <xf numFmtId="4" fontId="0" fillId="2" borderId="0" applyProtection="1" pivotButton="0" quotePrefix="0" xfId="0">
      <protection locked="1" hidden="1"/>
    </xf>
    <xf numFmtId="0" fontId="0" fillId="3" borderId="0" applyProtection="1" pivotButton="0" quotePrefix="0" xfId="0">
      <protection locked="1" hidden="1"/>
    </xf>
    <xf numFmtId="4" fontId="0" fillId="3" borderId="0" applyProtection="1" pivotButton="0" quotePrefix="0" xfId="0">
      <protection locked="1" hidden="1"/>
    </xf>
    <xf numFmtId="0" fontId="12" fillId="3" borderId="0" applyProtection="1" pivotButton="0" quotePrefix="0" xfId="0">
      <protection locked="1" hidden="1"/>
    </xf>
    <xf numFmtId="0" fontId="10" fillId="3" borderId="1" applyProtection="1" pivotButton="0" quotePrefix="0" xfId="0">
      <protection locked="1" hidden="1"/>
    </xf>
    <xf numFmtId="4" fontId="8" fillId="3" borderId="0" applyProtection="1" pivotButton="0" quotePrefix="0" xfId="0">
      <protection locked="1" hidden="1"/>
    </xf>
    <xf numFmtId="0" fontId="4" fillId="0" borderId="0" applyProtection="1" pivotButton="0" quotePrefix="0" xfId="0">
      <protection locked="1" hidden="1"/>
    </xf>
    <xf numFmtId="4" fontId="0" fillId="3" borderId="14" applyProtection="1" pivotButton="0" quotePrefix="0" xfId="0">
      <protection locked="1" hidden="1"/>
    </xf>
    <xf numFmtId="0" fontId="10" fillId="3" borderId="25" applyProtection="1" pivotButton="0" quotePrefix="0" xfId="0">
      <protection locked="1" hidden="1"/>
    </xf>
    <xf numFmtId="4" fontId="0" fillId="3" borderId="8" applyProtection="1" pivotButton="0" quotePrefix="0" xfId="0">
      <protection locked="1" hidden="1"/>
    </xf>
    <xf numFmtId="0" fontId="4" fillId="3" borderId="0" applyAlignment="1" applyProtection="1" pivotButton="0" quotePrefix="0" xfId="0">
      <alignment horizontal="right"/>
      <protection locked="1" hidden="1"/>
    </xf>
    <xf numFmtId="0" fontId="4" fillId="3" borderId="4" applyProtection="1" pivotButton="0" quotePrefix="0" xfId="0">
      <protection locked="1" hidden="1"/>
    </xf>
    <xf numFmtId="0" fontId="10" fillId="3" borderId="4" applyProtection="1" pivotButton="0" quotePrefix="0" xfId="0">
      <protection locked="1" hidden="1"/>
    </xf>
    <xf numFmtId="0" fontId="4" fillId="3" borderId="7" applyProtection="1" pivotButton="0" quotePrefix="0" xfId="0">
      <protection locked="1" hidden="1"/>
    </xf>
    <xf numFmtId="0" fontId="9" fillId="3" borderId="0" applyProtection="1" pivotButton="0" quotePrefix="0" xfId="0">
      <protection locked="1" hidden="1"/>
    </xf>
    <xf numFmtId="0" fontId="9" fillId="3" borderId="0" applyAlignment="1" applyProtection="1" pivotButton="0" quotePrefix="0" xfId="0">
      <alignment horizontal="center"/>
      <protection locked="1" hidden="1"/>
    </xf>
    <xf numFmtId="0" fontId="8" fillId="3" borderId="0" applyProtection="1" pivotButton="0" quotePrefix="0" xfId="0">
      <protection locked="1" hidden="1"/>
    </xf>
    <xf numFmtId="4" fontId="0" fillId="3" borderId="24" applyProtection="1" pivotButton="0" quotePrefix="0" xfId="0">
      <protection locked="1" hidden="1"/>
    </xf>
    <xf numFmtId="0" fontId="47" fillId="3" borderId="25" applyProtection="1" pivotButton="0" quotePrefix="0" xfId="0">
      <protection locked="1" hidden="1"/>
    </xf>
    <xf numFmtId="39" fontId="19" fillId="3" borderId="0" applyProtection="1" pivotButton="0" quotePrefix="0" xfId="0">
      <protection locked="1" hidden="1"/>
    </xf>
    <xf numFmtId="0" fontId="18" fillId="0" borderId="0" pivotButton="0" quotePrefix="0" xfId="0"/>
    <xf numFmtId="0" fontId="36" fillId="3" borderId="0" applyProtection="1" pivotButton="0" quotePrefix="0" xfId="0">
      <protection locked="1" hidden="1"/>
    </xf>
    <xf numFmtId="0" fontId="12" fillId="3" borderId="7" applyProtection="1" pivotButton="0" quotePrefix="0" xfId="0">
      <protection locked="1" hidden="1"/>
    </xf>
    <xf numFmtId="0" fontId="10" fillId="2" borderId="20" applyProtection="1" pivotButton="0" quotePrefix="0" xfId="0">
      <protection locked="1" hidden="1"/>
    </xf>
    <xf numFmtId="0" fontId="0" fillId="0" borderId="0" applyAlignment="1" pivotButton="0" quotePrefix="0" xfId="0">
      <alignment horizontal="center"/>
    </xf>
    <xf numFmtId="0" fontId="8" fillId="3" borderId="0" applyAlignment="1" applyProtection="1" pivotButton="0" quotePrefix="0" xfId="0">
      <alignment horizontal="left"/>
      <protection locked="1" hidden="1"/>
    </xf>
    <xf numFmtId="0" fontId="9" fillId="2" borderId="0" applyProtection="1" pivotButton="0" quotePrefix="0" xfId="0">
      <protection locked="1" hidden="1"/>
    </xf>
    <xf numFmtId="0" fontId="8" fillId="2" borderId="0" applyAlignment="1" applyProtection="1" pivotButton="0" quotePrefix="0" xfId="0">
      <alignment horizontal="left"/>
      <protection locked="1" hidden="1"/>
    </xf>
    <xf numFmtId="0" fontId="0" fillId="2" borderId="0" pivotButton="0" quotePrefix="0" xfId="0"/>
    <xf numFmtId="0" fontId="0" fillId="2" borderId="7" pivotButton="0" quotePrefix="0" xfId="0"/>
    <xf numFmtId="0" fontId="0" fillId="2" borderId="20" pivotButton="0" quotePrefix="0" xfId="0"/>
    <xf numFmtId="0" fontId="0" fillId="2" borderId="4" pivotButton="0" quotePrefix="0" xfId="0"/>
    <xf numFmtId="40" fontId="60" fillId="2" borderId="0" applyAlignment="1" applyProtection="1" pivotButton="0" quotePrefix="0" xfId="0">
      <alignment horizontal="right"/>
      <protection locked="1" hidden="1"/>
    </xf>
    <xf numFmtId="0" fontId="0" fillId="2" borderId="0" applyAlignment="1" applyProtection="1" pivotButton="0" quotePrefix="0" xfId="0">
      <alignment horizontal="left" vertical="center"/>
      <protection locked="1" hidden="1"/>
    </xf>
    <xf numFmtId="0" fontId="0" fillId="0" borderId="0" applyAlignment="1" applyProtection="1" pivotButton="0" quotePrefix="0" xfId="0">
      <alignment horizontal="center"/>
      <protection locked="1" hidden="1"/>
    </xf>
    <xf numFmtId="1" fontId="63" fillId="2" borderId="0" applyProtection="1" pivotButton="0" quotePrefix="0" xfId="0">
      <protection locked="1" hidden="1"/>
    </xf>
    <xf numFmtId="0" fontId="47" fillId="3" borderId="0" applyProtection="1" pivotButton="0" quotePrefix="0" xfId="0">
      <protection locked="1" hidden="1"/>
    </xf>
    <xf numFmtId="38" fontId="8" fillId="2" borderId="0" applyProtection="1" pivotButton="0" quotePrefix="0" xfId="0">
      <protection locked="1" hidden="1"/>
    </xf>
    <xf numFmtId="0" fontId="4" fillId="3" borderId="10" applyAlignment="1" applyProtection="1" pivotButton="0" quotePrefix="0" xfId="0">
      <alignment horizontal="center"/>
      <protection locked="1" hidden="1"/>
    </xf>
    <xf numFmtId="0" fontId="4" fillId="3" borderId="15" applyAlignment="1" applyProtection="1" pivotButton="0" quotePrefix="0" xfId="0">
      <alignment horizontal="center"/>
      <protection locked="1" hidden="1"/>
    </xf>
    <xf numFmtId="0" fontId="4" fillId="3" borderId="6" applyAlignment="1" applyProtection="1" pivotButton="0" quotePrefix="0" xfId="0">
      <alignment horizontal="center"/>
      <protection locked="1" hidden="1"/>
    </xf>
    <xf numFmtId="0" fontId="4" fillId="3" borderId="12" applyAlignment="1" applyProtection="1" pivotButton="0" quotePrefix="0" xfId="0">
      <alignment horizontal="center"/>
      <protection locked="1" hidden="1"/>
    </xf>
    <xf numFmtId="0" fontId="16" fillId="2" borderId="0" applyProtection="1" pivotButton="0" quotePrefix="0" xfId="0">
      <protection locked="1" hidden="1"/>
    </xf>
    <xf numFmtId="0" fontId="15" fillId="2" borderId="0" applyAlignment="1" applyProtection="1" pivotButton="0" quotePrefix="0" xfId="0">
      <alignment horizontal="left"/>
      <protection locked="1" hidden="1"/>
    </xf>
    <xf numFmtId="0" fontId="0" fillId="0" borderId="0" applyAlignment="1" applyProtection="1" pivotButton="0" quotePrefix="0" xfId="0">
      <alignment wrapText="1"/>
      <protection locked="1" hidden="1"/>
    </xf>
    <xf numFmtId="0" fontId="9" fillId="3" borderId="0" applyAlignment="1" applyProtection="1" pivotButton="0" quotePrefix="0" xfId="0">
      <alignment vertical="center"/>
      <protection locked="1" hidden="1"/>
    </xf>
    <xf numFmtId="0" fontId="8" fillId="3" borderId="0" applyAlignment="1" applyProtection="1" pivotButton="0" quotePrefix="0" xfId="0">
      <alignment vertical="center"/>
      <protection locked="1" hidden="1"/>
    </xf>
    <xf numFmtId="4" fontId="8" fillId="3" borderId="0" applyAlignment="1" applyProtection="1" pivotButton="0" quotePrefix="0" xfId="0">
      <alignment vertical="center"/>
      <protection locked="1" hidden="1"/>
    </xf>
    <xf numFmtId="39" fontId="8" fillId="3" borderId="0" applyAlignment="1" applyProtection="1" pivotButton="0" quotePrefix="0" xfId="0">
      <alignment horizontal="right" vertical="center"/>
      <protection locked="1" hidden="1"/>
    </xf>
    <xf numFmtId="1" fontId="31" fillId="2" borderId="12" applyProtection="1" pivotButton="0" quotePrefix="0" xfId="0">
      <protection locked="0" hidden="0"/>
    </xf>
    <xf numFmtId="1" fontId="0" fillId="10" borderId="0" applyProtection="1" pivotButton="0" quotePrefix="0" xfId="0">
      <protection locked="1" hidden="1"/>
    </xf>
    <xf numFmtId="0" fontId="9" fillId="3" borderId="7" applyAlignment="1" applyProtection="1" pivotButton="0" quotePrefix="0" xfId="0">
      <alignment horizontal="right"/>
      <protection locked="1" hidden="1"/>
    </xf>
    <xf numFmtId="0" fontId="6" fillId="3" borderId="0" applyAlignment="1" applyProtection="1" pivotButton="0" quotePrefix="0" xfId="0">
      <alignment horizontal="left"/>
      <protection locked="1" hidden="1"/>
    </xf>
    <xf numFmtId="0" fontId="59" fillId="2" borderId="0" applyProtection="1" pivotButton="0" quotePrefix="0" xfId="0">
      <protection locked="1" hidden="1"/>
    </xf>
    <xf numFmtId="0" fontId="0" fillId="2" borderId="2" applyProtection="1" pivotButton="0" quotePrefix="0" xfId="0">
      <protection locked="0" hidden="0"/>
    </xf>
    <xf numFmtId="4" fontId="57" fillId="2" borderId="0" applyProtection="1" pivotButton="0" quotePrefix="0" xfId="0">
      <protection locked="1" hidden="1"/>
    </xf>
    <xf numFmtId="0" fontId="20" fillId="2" borderId="0" applyAlignment="1" applyProtection="1" pivotButton="0" quotePrefix="0" xfId="0">
      <alignment horizontal="left" vertical="center"/>
      <protection locked="1" hidden="1"/>
    </xf>
    <xf numFmtId="0" fontId="10" fillId="2" borderId="0" applyAlignment="1" applyProtection="1" pivotButton="0" quotePrefix="0" xfId="0">
      <alignment horizontal="center"/>
      <protection locked="1" hidden="1"/>
    </xf>
    <xf numFmtId="37" fontId="8" fillId="3" borderId="1" applyAlignment="1" applyProtection="1" pivotButton="0" quotePrefix="0" xfId="0">
      <alignment horizontal="right"/>
      <protection locked="0" hidden="0"/>
    </xf>
    <xf numFmtId="40" fontId="26" fillId="2" borderId="0" applyAlignment="1" applyProtection="1" pivotButton="0" quotePrefix="0" xfId="0">
      <alignment horizontal="center"/>
      <protection locked="1" hidden="1"/>
    </xf>
    <xf numFmtId="1" fontId="0" fillId="2" borderId="0" applyProtection="1" pivotButton="0" quotePrefix="0" xfId="0">
      <protection locked="1" hidden="1"/>
    </xf>
    <xf numFmtId="38" fontId="8" fillId="2" borderId="20" applyProtection="1" pivotButton="0" quotePrefix="0" xfId="0">
      <protection locked="1" hidden="1"/>
    </xf>
    <xf numFmtId="38" fontId="0" fillId="2" borderId="20" applyProtection="1" pivotButton="0" quotePrefix="0" xfId="0">
      <protection locked="0" hidden="0"/>
    </xf>
    <xf numFmtId="4" fontId="4" fillId="3" borderId="7" applyAlignment="1" applyProtection="1" pivotButton="0" quotePrefix="0" xfId="0">
      <alignment horizontal="right" vertical="top"/>
      <protection locked="1" hidden="1"/>
    </xf>
    <xf numFmtId="3" fontId="0" fillId="2" borderId="12" applyAlignment="1" applyProtection="1" pivotButton="0" quotePrefix="0" xfId="0">
      <alignment vertical="center"/>
      <protection locked="0" hidden="0"/>
    </xf>
    <xf numFmtId="0" fontId="9" fillId="2" borderId="2" applyAlignment="1" applyProtection="1" pivotButton="0" quotePrefix="0" xfId="0">
      <alignment horizontal="center" vertical="center"/>
      <protection locked="0" hidden="0"/>
    </xf>
    <xf numFmtId="0" fontId="22" fillId="4" borderId="0" applyAlignment="1" applyProtection="1" pivotButton="0" quotePrefix="0" xfId="0">
      <alignment horizontal="center"/>
      <protection locked="0" hidden="0"/>
    </xf>
    <xf numFmtId="0" fontId="16" fillId="3" borderId="7" applyProtection="1" pivotButton="0" quotePrefix="0" xfId="0">
      <protection locked="1" hidden="1"/>
    </xf>
    <xf numFmtId="4" fontId="0" fillId="3" borderId="11" applyProtection="1" pivotButton="0" quotePrefix="0" xfId="0">
      <protection locked="1" hidden="1"/>
    </xf>
    <xf numFmtId="0" fontId="9" fillId="0" borderId="0" applyAlignment="1" applyProtection="1" pivotButton="0" quotePrefix="0" xfId="0">
      <alignment horizontal="right" vertical="center"/>
      <protection locked="1" hidden="1"/>
    </xf>
    <xf numFmtId="0" fontId="8" fillId="0" borderId="0" applyAlignment="1" applyProtection="1" pivotButton="0" quotePrefix="0" xfId="0">
      <alignment horizontal="left" vertical="center"/>
      <protection locked="1" hidden="1"/>
    </xf>
    <xf numFmtId="39" fontId="8" fillId="0" borderId="0" applyAlignment="1" pivotButton="0" quotePrefix="0" xfId="0">
      <alignment horizontal="center" vertical="center"/>
    </xf>
    <xf numFmtId="0" fontId="8" fillId="5" borderId="0" applyProtection="1" pivotButton="0" quotePrefix="0" xfId="0">
      <protection locked="1" hidden="1"/>
    </xf>
    <xf numFmtId="0" fontId="9" fillId="3" borderId="0" applyAlignment="1" applyProtection="1" pivotButton="0" quotePrefix="0" xfId="0">
      <alignment horizontal="right"/>
      <protection locked="1" hidden="1"/>
    </xf>
    <xf numFmtId="3" fontId="8" fillId="2" borderId="1" applyProtection="1" pivotButton="0" quotePrefix="0" xfId="0">
      <protection locked="0" hidden="0"/>
    </xf>
    <xf numFmtId="0" fontId="0" fillId="5" borderId="19" applyProtection="1" pivotButton="0" quotePrefix="0" xfId="0">
      <protection locked="1" hidden="1"/>
    </xf>
    <xf numFmtId="0" fontId="10" fillId="5" borderId="20" applyAlignment="1" applyProtection="1" pivotButton="0" quotePrefix="0" xfId="0">
      <alignment horizontal="center"/>
      <protection locked="1" hidden="1"/>
    </xf>
    <xf numFmtId="0" fontId="10" fillId="5" borderId="22" applyAlignment="1" applyProtection="1" pivotButton="0" quotePrefix="0" xfId="0">
      <alignment horizontal="center"/>
      <protection locked="1" hidden="1"/>
    </xf>
    <xf numFmtId="0" fontId="0" fillId="0" borderId="0" applyAlignment="1" pivotButton="0" quotePrefix="0" xfId="0">
      <alignment vertical="top"/>
    </xf>
    <xf numFmtId="0" fontId="0" fillId="5" borderId="0" pivotButton="0" quotePrefix="0" xfId="0"/>
    <xf numFmtId="39" fontId="9" fillId="3" borderId="0" applyAlignment="1" applyProtection="1" pivotButton="0" quotePrefix="0" xfId="0">
      <alignment horizontal="right"/>
      <protection locked="1" hidden="1"/>
    </xf>
    <xf numFmtId="0" fontId="0" fillId="0" borderId="0" applyAlignment="1" pivotButton="0" quotePrefix="0" xfId="0">
      <alignment vertical="center"/>
    </xf>
    <xf numFmtId="0" fontId="8" fillId="3" borderId="1" applyAlignment="1" applyProtection="1" pivotButton="0" quotePrefix="0" xfId="0">
      <alignment horizontal="left"/>
      <protection locked="1" hidden="1"/>
    </xf>
    <xf numFmtId="0" fontId="67" fillId="0" borderId="0" applyAlignment="1" pivotButton="0" quotePrefix="0" xfId="2">
      <alignment horizontal="center"/>
    </xf>
    <xf numFmtId="0" fontId="0" fillId="5" borderId="0" applyAlignment="1" pivotButton="0" quotePrefix="0" xfId="0">
      <alignment vertical="center"/>
    </xf>
    <xf numFmtId="0" fontId="9" fillId="5" borderId="0" applyProtection="1" pivotButton="0" quotePrefix="0" xfId="0">
      <protection locked="1" hidden="1"/>
    </xf>
    <xf numFmtId="4" fontId="8" fillId="5" borderId="0" applyProtection="1" pivotButton="0" quotePrefix="0" xfId="0">
      <protection locked="1" hidden="1"/>
    </xf>
    <xf numFmtId="39" fontId="8" fillId="5" borderId="0" applyAlignment="1" applyProtection="1" pivotButton="0" quotePrefix="0" xfId="0">
      <alignment horizontal="right"/>
      <protection locked="1" hidden="1"/>
    </xf>
    <xf numFmtId="0" fontId="4" fillId="5" borderId="0" pivotButton="0" quotePrefix="0" xfId="0"/>
    <xf numFmtId="0" fontId="45" fillId="5" borderId="0" pivotButton="0" quotePrefix="0" xfId="0"/>
    <xf numFmtId="4" fontId="0" fillId="5" borderId="0" pivotButton="0" quotePrefix="0" xfId="0"/>
    <xf numFmtId="0" fontId="0" fillId="5" borderId="0" applyAlignment="1" pivotButton="0" quotePrefix="0" xfId="0">
      <alignment vertical="top"/>
    </xf>
    <xf numFmtId="0" fontId="10" fillId="5" borderId="0" applyAlignment="1" applyProtection="1" pivotButton="0" quotePrefix="0" xfId="0">
      <alignment wrapText="1"/>
      <protection locked="1" hidden="1"/>
    </xf>
    <xf numFmtId="0" fontId="10" fillId="5" borderId="0" applyAlignment="1" applyProtection="1" pivotButton="0" quotePrefix="0" xfId="0">
      <alignment horizontal="left"/>
      <protection locked="1" hidden="1"/>
    </xf>
    <xf numFmtId="0" fontId="16" fillId="3" borderId="0" applyAlignment="1" applyProtection="1" pivotButton="0" quotePrefix="0" xfId="0">
      <alignment horizontal="left"/>
      <protection locked="1" hidden="1"/>
    </xf>
    <xf numFmtId="0" fontId="10" fillId="0" borderId="0" applyAlignment="1" applyProtection="1" pivotButton="0" quotePrefix="0" xfId="0">
      <alignment horizontal="left"/>
      <protection locked="1" hidden="1"/>
    </xf>
    <xf numFmtId="40" fontId="70" fillId="2" borderId="20" applyAlignment="1" applyProtection="1" pivotButton="0" quotePrefix="0" xfId="0">
      <alignment horizontal="right"/>
      <protection locked="1" hidden="1"/>
    </xf>
    <xf numFmtId="40" fontId="60" fillId="5" borderId="0" applyAlignment="1" applyProtection="1" pivotButton="0" quotePrefix="0" xfId="0">
      <alignment horizontal="right"/>
      <protection locked="1" hidden="1"/>
    </xf>
    <xf numFmtId="40" fontId="0" fillId="5" borderId="0" applyProtection="1" pivotButton="0" quotePrefix="0" xfId="0">
      <protection locked="1" hidden="1"/>
    </xf>
    <xf numFmtId="38" fontId="8" fillId="5" borderId="0" applyProtection="1" pivotButton="0" quotePrefix="0" xfId="0">
      <protection locked="1" hidden="1"/>
    </xf>
    <xf numFmtId="38" fontId="0" fillId="5" borderId="0" applyAlignment="1" applyProtection="1" pivotButton="0" quotePrefix="0" xfId="0">
      <alignment horizontal="center"/>
      <protection locked="1" hidden="1"/>
    </xf>
    <xf numFmtId="0" fontId="93" fillId="2" borderId="0" applyProtection="1" pivotButton="0" quotePrefix="0" xfId="0">
      <protection locked="1" hidden="1"/>
    </xf>
    <xf numFmtId="164" fontId="69" fillId="2" borderId="0" applyAlignment="1" applyProtection="1" pivotButton="0" quotePrefix="0" xfId="0">
      <alignment horizontal="right"/>
      <protection locked="1" hidden="1"/>
    </xf>
    <xf numFmtId="38" fontId="22" fillId="2" borderId="0" applyAlignment="1" applyProtection="1" pivotButton="0" quotePrefix="0" xfId="0">
      <alignment horizontal="center"/>
      <protection locked="1" hidden="1"/>
    </xf>
    <xf numFmtId="38" fontId="22" fillId="2" borderId="4" applyAlignment="1" applyProtection="1" pivotButton="0" quotePrefix="0" xfId="0">
      <alignment horizontal="center"/>
      <protection locked="1" hidden="1"/>
    </xf>
    <xf numFmtId="14" fontId="22" fillId="2" borderId="4" applyAlignment="1" applyProtection="1" pivotButton="0" quotePrefix="0" xfId="0">
      <alignment horizontal="center"/>
      <protection locked="1" hidden="1"/>
    </xf>
    <xf numFmtId="1" fontId="94" fillId="2" borderId="0" applyProtection="1" pivotButton="0" quotePrefix="0" xfId="0">
      <protection locked="1" hidden="1"/>
    </xf>
    <xf numFmtId="0" fontId="10" fillId="5" borderId="19" applyAlignment="1" applyProtection="1" pivotButton="0" quotePrefix="0" xfId="0">
      <alignment horizontal="center"/>
      <protection locked="1" hidden="1"/>
    </xf>
    <xf numFmtId="40" fontId="69" fillId="2" borderId="0" applyAlignment="1" applyProtection="1" pivotButton="0" quotePrefix="0" xfId="0">
      <alignment horizontal="right"/>
      <protection locked="1" hidden="1"/>
    </xf>
    <xf numFmtId="0" fontId="10" fillId="5" borderId="5" applyAlignment="1" applyProtection="1" pivotButton="0" quotePrefix="0" xfId="0">
      <alignment horizontal="center"/>
      <protection locked="1" hidden="1"/>
    </xf>
    <xf numFmtId="0" fontId="10" fillId="5" borderId="7" applyAlignment="1" applyProtection="1" pivotButton="0" quotePrefix="0" xfId="0">
      <alignment horizontal="center"/>
      <protection locked="1" hidden="1"/>
    </xf>
    <xf numFmtId="164" fontId="69" fillId="2" borderId="0" applyAlignment="1" applyProtection="1" pivotButton="0" quotePrefix="0" xfId="0">
      <alignment horizontal="center"/>
      <protection locked="1" hidden="1"/>
    </xf>
    <xf numFmtId="40" fontId="70" fillId="2" borderId="20" applyAlignment="1" applyProtection="1" pivotButton="0" quotePrefix="0" xfId="0">
      <alignment horizontal="center"/>
      <protection locked="1" hidden="1"/>
    </xf>
    <xf numFmtId="1" fontId="8" fillId="0" borderId="60" applyAlignment="1" applyProtection="1" pivotButton="0" quotePrefix="0" xfId="0">
      <alignment horizontal="center"/>
      <protection locked="0" hidden="0"/>
    </xf>
    <xf numFmtId="1" fontId="43" fillId="2" borderId="0" applyProtection="1" pivotButton="0" quotePrefix="0" xfId="0">
      <protection locked="1" hidden="1"/>
    </xf>
    <xf numFmtId="0" fontId="25" fillId="2" borderId="0" applyProtection="1" pivotButton="0" quotePrefix="0" xfId="0">
      <protection locked="1" hidden="1"/>
    </xf>
    <xf numFmtId="0" fontId="8" fillId="2" borderId="20" applyAlignment="1" applyProtection="1" pivotButton="0" quotePrefix="0" xfId="0">
      <alignment horizontal="center"/>
      <protection locked="1" hidden="1"/>
    </xf>
    <xf numFmtId="0" fontId="61" fillId="5" borderId="0" applyAlignment="1" applyProtection="1" pivotButton="0" quotePrefix="0" xfId="0">
      <alignment horizontal="left"/>
      <protection locked="1" hidden="1"/>
    </xf>
    <xf numFmtId="0" fontId="0" fillId="5" borderId="0" applyAlignment="1" applyProtection="1" pivotButton="0" quotePrefix="0" xfId="0">
      <alignment wrapText="1"/>
      <protection locked="1" hidden="1"/>
    </xf>
    <xf numFmtId="38" fontId="0" fillId="5" borderId="0" applyProtection="1" pivotButton="0" quotePrefix="0" xfId="0">
      <protection locked="0" hidden="0"/>
    </xf>
    <xf numFmtId="40" fontId="4" fillId="2" borderId="0" applyAlignment="1" applyProtection="1" pivotButton="0" quotePrefix="0" xfId="0">
      <alignment horizontal="left"/>
      <protection locked="1" hidden="1"/>
    </xf>
    <xf numFmtId="0" fontId="0" fillId="4" borderId="0" applyAlignment="1" applyProtection="1" pivotButton="0" quotePrefix="0" xfId="0">
      <alignment vertical="center"/>
      <protection locked="0" hidden="0"/>
    </xf>
    <xf numFmtId="0" fontId="0" fillId="2" borderId="0" applyAlignment="1" pivotButton="0" quotePrefix="0" xfId="0">
      <alignment vertical="center"/>
    </xf>
    <xf numFmtId="0" fontId="0" fillId="2" borderId="5" applyAlignment="1" applyProtection="1" pivotButton="0" quotePrefix="0" xfId="0">
      <alignment horizontal="left" vertical="center"/>
      <protection locked="1" hidden="1"/>
    </xf>
    <xf numFmtId="0" fontId="67" fillId="0" borderId="0" pivotButton="0" quotePrefix="0" xfId="2"/>
    <xf numFmtId="0" fontId="4" fillId="0" borderId="0" applyAlignment="1" pivotButton="0" quotePrefix="0" xfId="0">
      <alignment horizontal="center"/>
    </xf>
    <xf numFmtId="0" fontId="22" fillId="4" borderId="0" applyProtection="1" pivotButton="0" quotePrefix="0" xfId="0">
      <protection locked="0" hidden="0"/>
    </xf>
    <xf numFmtId="3" fontId="0" fillId="2" borderId="1" applyProtection="1" pivotButton="0" quotePrefix="0" xfId="0">
      <protection locked="0" hidden="0"/>
    </xf>
    <xf numFmtId="38" fontId="8" fillId="2" borderId="0" applyProtection="1" pivotButton="0" quotePrefix="0" xfId="0">
      <protection locked="0" hidden="0"/>
    </xf>
    <xf numFmtId="1" fontId="31" fillId="2" borderId="0" applyProtection="1" pivotButton="0" quotePrefix="0" xfId="0">
      <protection locked="0" hidden="0"/>
    </xf>
    <xf numFmtId="40" fontId="9" fillId="2" borderId="0" applyProtection="1" pivotButton="0" quotePrefix="0" xfId="0">
      <protection locked="1" hidden="1"/>
    </xf>
    <xf numFmtId="0" fontId="8" fillId="2" borderId="0" applyAlignment="1" applyProtection="1" pivotButton="0" quotePrefix="0" xfId="0">
      <alignment horizontal="left" vertical="center"/>
      <protection locked="1" hidden="1"/>
    </xf>
    <xf numFmtId="0" fontId="4" fillId="3" borderId="0" applyProtection="1" pivotButton="0" quotePrefix="0" xfId="0">
      <protection locked="0" hidden="0"/>
    </xf>
    <xf numFmtId="0" fontId="0" fillId="0" borderId="0" applyAlignment="1" pivotButton="0" quotePrefix="0" xfId="0">
      <alignment horizontal="right"/>
    </xf>
    <xf numFmtId="0" fontId="0" fillId="0" borderId="0" applyProtection="1" pivotButton="0" quotePrefix="0" xfId="0">
      <protection locked="0" hidden="0"/>
    </xf>
    <xf numFmtId="0" fontId="0" fillId="0" borderId="0" applyAlignment="1" applyProtection="1" pivotButton="0" quotePrefix="0" xfId="0">
      <alignment horizontal="left"/>
      <protection locked="1" hidden="1"/>
    </xf>
    <xf numFmtId="0" fontId="67" fillId="11" borderId="61" applyAlignment="1" pivotButton="0" quotePrefix="0" xfId="2">
      <alignment horizontal="centerContinuous"/>
    </xf>
    <xf numFmtId="0" fontId="67" fillId="11" borderId="62" applyAlignment="1" pivotButton="0" quotePrefix="0" xfId="2">
      <alignment horizontal="centerContinuous"/>
    </xf>
    <xf numFmtId="0" fontId="67" fillId="11" borderId="63" applyAlignment="1" pivotButton="0" quotePrefix="0" xfId="2">
      <alignment horizontal="centerContinuous"/>
    </xf>
    <xf numFmtId="0" fontId="10" fillId="2" borderId="22" applyProtection="1" pivotButton="0" quotePrefix="0" xfId="0">
      <protection locked="1" hidden="1"/>
    </xf>
    <xf numFmtId="0" fontId="57" fillId="5" borderId="0" applyAlignment="1" pivotButton="0" quotePrefix="0" xfId="0">
      <alignment horizontal="center"/>
    </xf>
    <xf numFmtId="38" fontId="8" fillId="2" borderId="8" applyProtection="1" pivotButton="0" quotePrefix="0" xfId="0">
      <protection locked="1" hidden="1"/>
    </xf>
    <xf numFmtId="0" fontId="22" fillId="2" borderId="0" applyAlignment="1" pivotButton="0" quotePrefix="0" xfId="0">
      <alignment horizontal="right"/>
    </xf>
    <xf numFmtId="3" fontId="22" fillId="2" borderId="4" pivotButton="0" quotePrefix="0" xfId="0"/>
    <xf numFmtId="0" fontId="96" fillId="4" borderId="0" applyProtection="1" pivotButton="0" quotePrefix="0" xfId="0">
      <protection locked="0" hidden="0"/>
    </xf>
    <xf numFmtId="0" fontId="96" fillId="4" borderId="0" applyAlignment="1" applyProtection="1" pivotButton="0" quotePrefix="0" xfId="0">
      <alignment vertical="center"/>
      <protection locked="0" hidden="0"/>
    </xf>
    <xf numFmtId="0" fontId="57" fillId="5" borderId="0" pivotButton="0" quotePrefix="0" xfId="0"/>
    <xf numFmtId="0" fontId="0" fillId="0" borderId="65" pivotButton="0" quotePrefix="0" xfId="0"/>
    <xf numFmtId="0" fontId="0" fillId="0" borderId="0" applyAlignment="1" applyProtection="1" pivotButton="0" quotePrefix="0" xfId="0">
      <alignment vertical="top"/>
      <protection locked="1" hidden="1"/>
    </xf>
    <xf numFmtId="3" fontId="0" fillId="2" borderId="12" applyProtection="1" pivotButton="0" quotePrefix="0" xfId="0">
      <protection locked="0" hidden="0"/>
    </xf>
    <xf numFmtId="0" fontId="0" fillId="5" borderId="0" applyAlignment="1" pivotButton="0" quotePrefix="0" xfId="0">
      <alignment horizontal="centerContinuous"/>
    </xf>
    <xf numFmtId="0" fontId="57" fillId="5" borderId="0" applyAlignment="1" pivotButton="0" quotePrefix="0" xfId="0">
      <alignment horizontal="centerContinuous"/>
    </xf>
    <xf numFmtId="3" fontId="0" fillId="0" borderId="0" pivotButton="0" quotePrefix="0" xfId="0"/>
    <xf numFmtId="3" fontId="8" fillId="2" borderId="2" applyAlignment="1" applyProtection="1" pivotButton="0" quotePrefix="0" xfId="0">
      <alignment horizontal="center"/>
      <protection locked="0" hidden="0"/>
    </xf>
    <xf numFmtId="0" fontId="29" fillId="0" borderId="0" pivotButton="0" quotePrefix="0" xfId="0"/>
    <xf numFmtId="38" fontId="88" fillId="2" borderId="0" applyProtection="1" pivotButton="0" quotePrefix="0" xfId="0">
      <protection locked="1" hidden="1"/>
    </xf>
    <xf numFmtId="0" fontId="9" fillId="3" borderId="71" applyProtection="1" pivotButton="0" quotePrefix="0" xfId="0">
      <protection locked="1" hidden="1"/>
    </xf>
    <xf numFmtId="39" fontId="8" fillId="3" borderId="0" applyProtection="1" pivotButton="0" quotePrefix="0" xfId="0">
      <protection locked="1" hidden="1"/>
    </xf>
    <xf numFmtId="0" fontId="6" fillId="5" borderId="0" applyProtection="1" pivotButton="0" quotePrefix="0" xfId="0">
      <protection locked="1" hidden="1"/>
    </xf>
    <xf numFmtId="40" fontId="70" fillId="2" borderId="20" applyAlignment="1" applyProtection="1" pivotButton="0" quotePrefix="0" xfId="0">
      <alignment horizontal="left" vertical="center"/>
      <protection locked="1" hidden="1"/>
    </xf>
    <xf numFmtId="0" fontId="6" fillId="2" borderId="0" applyAlignment="1" pivotButton="0" quotePrefix="1" xfId="0">
      <alignment horizontal="right"/>
    </xf>
    <xf numFmtId="0" fontId="6" fillId="3" borderId="0" applyProtection="1" pivotButton="0" quotePrefix="0" xfId="0">
      <protection locked="1" hidden="1"/>
    </xf>
    <xf numFmtId="0" fontId="9" fillId="3" borderId="25" applyAlignment="1" applyProtection="1" pivotButton="0" quotePrefix="0" xfId="0">
      <alignment horizontal="right"/>
      <protection locked="1" hidden="1"/>
    </xf>
    <xf numFmtId="0" fontId="0" fillId="2" borderId="8" applyAlignment="1" pivotButton="0" quotePrefix="0" xfId="0">
      <alignment horizontal="center" wrapText="1"/>
    </xf>
    <xf numFmtId="0" fontId="98" fillId="0" borderId="0" applyProtection="1" pivotButton="0" quotePrefix="0" xfId="0">
      <protection locked="1" hidden="1"/>
    </xf>
    <xf numFmtId="0" fontId="6" fillId="2" borderId="25" applyProtection="1" pivotButton="0" quotePrefix="0" xfId="0">
      <protection locked="1" hidden="1"/>
    </xf>
    <xf numFmtId="0" fontId="4" fillId="2" borderId="0" pivotButton="0" quotePrefix="0" xfId="0"/>
    <xf numFmtId="4" fontId="8" fillId="2" borderId="0" pivotButton="0" quotePrefix="0" xfId="0"/>
    <xf numFmtId="0" fontId="4" fillId="2" borderId="0" applyAlignment="1" pivotButton="0" quotePrefix="0" xfId="0">
      <alignment horizontal="center"/>
    </xf>
    <xf numFmtId="0" fontId="10" fillId="2" borderId="0" pivotButton="0" quotePrefix="0" xfId="0"/>
    <xf numFmtId="0" fontId="12" fillId="3" borderId="0" applyAlignment="1" applyProtection="1" pivotButton="0" quotePrefix="0" xfId="0">
      <alignment horizontal="right"/>
      <protection locked="1" hidden="1"/>
    </xf>
    <xf numFmtId="4" fontId="0" fillId="3" borderId="3" applyProtection="1" pivotButton="0" quotePrefix="0" xfId="0">
      <protection locked="1" hidden="1"/>
    </xf>
    <xf numFmtId="0" fontId="10" fillId="3" borderId="0" applyAlignment="1" applyProtection="1" pivotButton="0" quotePrefix="0" xfId="0">
      <alignment vertical="top"/>
      <protection locked="1" hidden="1"/>
    </xf>
    <xf numFmtId="0" fontId="12" fillId="3" borderId="7" applyAlignment="1" applyProtection="1" pivotButton="0" quotePrefix="0" xfId="0">
      <alignment horizontal="right"/>
      <protection locked="1" hidden="1"/>
    </xf>
    <xf numFmtId="0" fontId="10" fillId="3" borderId="31" applyProtection="1" pivotButton="0" quotePrefix="0" xfId="0">
      <protection locked="1" hidden="1"/>
    </xf>
    <xf numFmtId="0" fontId="4" fillId="3" borderId="31" applyAlignment="1" applyProtection="1" pivotButton="0" quotePrefix="0" xfId="0">
      <alignment horizontal="center"/>
      <protection locked="1" hidden="1"/>
    </xf>
    <xf numFmtId="4" fontId="0" fillId="3" borderId="31" applyProtection="1" pivotButton="0" quotePrefix="0" xfId="0">
      <protection locked="1" hidden="1"/>
    </xf>
    <xf numFmtId="0" fontId="16" fillId="3" borderId="7" applyAlignment="1" applyProtection="1" pivotButton="0" quotePrefix="0" xfId="0">
      <alignment horizontal="right"/>
      <protection locked="1" hidden="1"/>
    </xf>
    <xf numFmtId="0" fontId="0" fillId="0" borderId="0" applyAlignment="1" applyProtection="1" pivotButton="0" quotePrefix="0" xfId="0">
      <alignment horizontal="left"/>
      <protection locked="0" hidden="0"/>
    </xf>
    <xf numFmtId="0" fontId="0" fillId="2" borderId="8" applyAlignment="1" applyProtection="1" pivotButton="0" quotePrefix="0" xfId="0">
      <alignment horizontal="left"/>
      <protection locked="0" hidden="0"/>
    </xf>
    <xf numFmtId="39" fontId="9" fillId="3" borderId="0" applyProtection="1" pivotButton="0" quotePrefix="0" xfId="0">
      <protection locked="1" hidden="1"/>
    </xf>
    <xf numFmtId="0" fontId="4" fillId="3" borderId="74" applyAlignment="1" applyProtection="1" pivotButton="0" quotePrefix="0" xfId="0">
      <alignment horizontal="center"/>
      <protection locked="0" hidden="0"/>
    </xf>
    <xf numFmtId="4" fontId="10" fillId="3" borderId="7" applyAlignment="1" applyProtection="1" pivotButton="0" quotePrefix="0" xfId="0">
      <alignment horizontal="center" vertical="top"/>
      <protection locked="1" hidden="1"/>
    </xf>
    <xf numFmtId="3" fontId="100" fillId="0" borderId="0" applyAlignment="1" applyProtection="1" pivotButton="0" quotePrefix="0" xfId="0">
      <alignment horizontal="center" wrapText="1"/>
      <protection locked="1" hidden="1"/>
    </xf>
    <xf numFmtId="3" fontId="100" fillId="0" borderId="7" applyAlignment="1" applyProtection="1" pivotButton="0" quotePrefix="0" xfId="0">
      <alignment horizontal="center" wrapText="1"/>
      <protection locked="1" hidden="1"/>
    </xf>
    <xf numFmtId="39" fontId="8" fillId="2" borderId="0" applyAlignment="1" applyProtection="1" pivotButton="0" quotePrefix="0" xfId="0">
      <alignment horizontal="right"/>
      <protection locked="0" hidden="0"/>
    </xf>
    <xf numFmtId="39" fontId="8" fillId="2" borderId="0" applyProtection="1" pivotButton="0" quotePrefix="0" xfId="0">
      <protection locked="0" hidden="0"/>
    </xf>
    <xf numFmtId="0" fontId="8" fillId="2" borderId="0" pivotButton="0" quotePrefix="0" xfId="0"/>
    <xf numFmtId="0" fontId="9" fillId="2" borderId="0" applyAlignment="1" pivotButton="0" quotePrefix="0" xfId="0">
      <alignment horizontal="right"/>
    </xf>
    <xf numFmtId="3" fontId="10" fillId="0" borderId="12" pivotButton="0" quotePrefix="0" xfId="0"/>
    <xf numFmtId="0" fontId="10" fillId="0" borderId="12" applyAlignment="1" pivotButton="0" quotePrefix="0" xfId="0">
      <alignment horizontal="center"/>
    </xf>
    <xf numFmtId="0" fontId="10" fillId="0" borderId="0" applyAlignment="1" pivotButton="0" quotePrefix="0" xfId="0">
      <alignment horizontal="right"/>
    </xf>
    <xf numFmtId="0" fontId="10" fillId="0" borderId="0" applyAlignment="1" applyProtection="1" pivotButton="0" quotePrefix="0" xfId="0">
      <alignment horizontal="right"/>
      <protection locked="1" hidden="1"/>
    </xf>
    <xf numFmtId="0" fontId="0" fillId="15" borderId="0" pivotButton="0" quotePrefix="0" xfId="0"/>
    <xf numFmtId="0" fontId="57" fillId="2" borderId="59" applyAlignment="1" applyProtection="1" pivotButton="0" quotePrefix="0" xfId="0">
      <alignment horizontal="right"/>
      <protection locked="1" hidden="1"/>
    </xf>
    <xf numFmtId="0" fontId="57" fillId="2" borderId="60" applyAlignment="1" applyProtection="1" pivotButton="0" quotePrefix="0" xfId="0">
      <alignment horizontal="right"/>
      <protection locked="1" hidden="1"/>
    </xf>
    <xf numFmtId="0" fontId="0" fillId="2" borderId="60" applyProtection="1" pivotButton="0" quotePrefix="0" xfId="0">
      <protection locked="1" hidden="1"/>
    </xf>
    <xf numFmtId="0" fontId="0" fillId="15" borderId="16" pivotButton="0" quotePrefix="0" xfId="0"/>
    <xf numFmtId="0" fontId="107" fillId="2" borderId="5" applyAlignment="1" applyProtection="1" pivotButton="0" quotePrefix="0" xfId="0">
      <alignment horizontal="right"/>
      <protection locked="1" hidden="1"/>
    </xf>
    <xf numFmtId="0" fontId="108" fillId="2" borderId="41" applyProtection="1" pivotButton="0" quotePrefix="0" xfId="0">
      <protection locked="1" hidden="1"/>
    </xf>
    <xf numFmtId="0" fontId="107" fillId="2" borderId="5" applyAlignment="1" applyProtection="1" pivotButton="0" quotePrefix="0" xfId="0">
      <alignment horizontal="right" vertical="top"/>
      <protection locked="1" hidden="1"/>
    </xf>
    <xf numFmtId="0" fontId="108" fillId="2" borderId="41" applyAlignment="1" applyProtection="1" pivotButton="0" quotePrefix="0" xfId="0">
      <alignment wrapText="1"/>
      <protection locked="1" hidden="1"/>
    </xf>
    <xf numFmtId="4" fontId="108" fillId="2" borderId="49" applyAlignment="1" applyProtection="1" pivotButton="0" quotePrefix="0" xfId="0">
      <alignment horizontal="center"/>
      <protection locked="1" hidden="1"/>
    </xf>
    <xf numFmtId="0" fontId="107" fillId="2" borderId="21" applyAlignment="1" applyProtection="1" pivotButton="0" quotePrefix="0" xfId="0">
      <alignment horizontal="right"/>
      <protection locked="1" hidden="1"/>
    </xf>
    <xf numFmtId="0" fontId="111" fillId="5" borderId="0" applyAlignment="1" applyProtection="1" pivotButton="0" quotePrefix="0" xfId="0">
      <alignment horizontal="center" vertical="center"/>
      <protection locked="0" hidden="0"/>
    </xf>
    <xf numFmtId="0" fontId="6" fillId="0" borderId="4" applyAlignment="1" applyProtection="1" pivotButton="0" quotePrefix="0" xfId="0">
      <alignment vertical="top"/>
      <protection locked="1" hidden="1"/>
    </xf>
    <xf numFmtId="4" fontId="0" fillId="3" borderId="69" applyProtection="1" pivotButton="0" quotePrefix="0" xfId="0">
      <protection locked="1" hidden="1"/>
    </xf>
    <xf numFmtId="4" fontId="0" fillId="15" borderId="3" applyProtection="1" pivotButton="0" quotePrefix="0" xfId="0">
      <protection locked="1" hidden="1"/>
    </xf>
    <xf numFmtId="4" fontId="0" fillId="15" borderId="0" applyProtection="1" pivotButton="0" quotePrefix="0" xfId="0">
      <protection locked="1" hidden="1"/>
    </xf>
    <xf numFmtId="4" fontId="0" fillId="15" borderId="24" applyProtection="1" pivotButton="0" quotePrefix="0" xfId="0">
      <protection locked="1" hidden="1"/>
    </xf>
    <xf numFmtId="4" fontId="0" fillId="3" borderId="70" applyProtection="1" pivotButton="0" quotePrefix="0" xfId="0">
      <protection locked="1" hidden="1"/>
    </xf>
    <xf numFmtId="0" fontId="112" fillId="3" borderId="25" applyProtection="1" pivotButton="0" quotePrefix="0" xfId="0">
      <protection locked="1" hidden="1"/>
    </xf>
    <xf numFmtId="0" fontId="112" fillId="3" borderId="31" applyProtection="1" pivotButton="0" quotePrefix="0" xfId="0">
      <protection locked="1" hidden="1"/>
    </xf>
    <xf numFmtId="0" fontId="110" fillId="2" borderId="0" applyProtection="1" pivotButton="0" quotePrefix="0" xfId="0">
      <protection locked="1" hidden="1"/>
    </xf>
    <xf numFmtId="3" fontId="0" fillId="2" borderId="12" applyAlignment="1" applyProtection="1" pivotButton="0" quotePrefix="0" xfId="0">
      <alignment horizontal="right" vertical="center"/>
      <protection locked="0" hidden="0"/>
    </xf>
    <xf numFmtId="0" fontId="0" fillId="15" borderId="0" applyProtection="1" pivotButton="0" quotePrefix="0" xfId="0">
      <protection locked="1" hidden="1"/>
    </xf>
    <xf numFmtId="0" fontId="4" fillId="16" borderId="12" applyAlignment="1" applyProtection="1" pivotButton="0" quotePrefix="0" xfId="0">
      <alignment horizontal="center" vertical="center"/>
      <protection locked="0" hidden="0"/>
    </xf>
    <xf numFmtId="0" fontId="4" fillId="16" borderId="2" applyAlignment="1" applyProtection="1" pivotButton="0" quotePrefix="0" xfId="0">
      <alignment horizontal="center" vertical="center"/>
      <protection locked="0" hidden="0"/>
    </xf>
    <xf numFmtId="0" fontId="9" fillId="16" borderId="12" applyAlignment="1" applyProtection="1" pivotButton="0" quotePrefix="0" xfId="0">
      <alignment horizontal="center" vertical="center"/>
      <protection locked="0" hidden="0"/>
    </xf>
    <xf numFmtId="165" fontId="9" fillId="16" borderId="12" applyAlignment="1" applyProtection="1" pivotButton="0" quotePrefix="0" xfId="0">
      <alignment horizontal="center"/>
      <protection locked="0" hidden="0"/>
    </xf>
    <xf numFmtId="0" fontId="9" fillId="16" borderId="2" applyAlignment="1" applyProtection="1" pivotButton="0" quotePrefix="0" xfId="0">
      <alignment horizontal="center" vertical="center"/>
      <protection locked="0" hidden="0"/>
    </xf>
    <xf numFmtId="0" fontId="10" fillId="15" borderId="0" applyProtection="1" pivotButton="0" quotePrefix="0" xfId="0">
      <protection locked="1" hidden="1"/>
    </xf>
    <xf numFmtId="0" fontId="4" fillId="20" borderId="2" applyAlignment="1" applyProtection="1" pivotButton="0" quotePrefix="0" xfId="0">
      <alignment horizontal="center" vertical="center"/>
      <protection locked="0" hidden="0"/>
    </xf>
    <xf numFmtId="0" fontId="8" fillId="3" borderId="8" applyProtection="1" pivotButton="0" quotePrefix="0" xfId="0">
      <protection locked="1" hidden="1"/>
    </xf>
    <xf numFmtId="49" fontId="4" fillId="20" borderId="10" applyAlignment="1" applyProtection="1" pivotButton="0" quotePrefix="0" xfId="0">
      <alignment horizontal="center" vertical="center"/>
      <protection locked="0" hidden="0"/>
    </xf>
    <xf numFmtId="49" fontId="4" fillId="20" borderId="18" applyAlignment="1" applyProtection="1" pivotButton="0" quotePrefix="0" xfId="0">
      <alignment horizontal="center" vertical="center"/>
      <protection locked="0" hidden="0"/>
    </xf>
    <xf numFmtId="49" fontId="4" fillId="20" borderId="11" applyAlignment="1" applyProtection="1" pivotButton="0" quotePrefix="0" xfId="0">
      <alignment horizontal="center" vertical="center"/>
      <protection locked="0" hidden="0"/>
    </xf>
    <xf numFmtId="37" fontId="9" fillId="20" borderId="10" applyAlignment="1" applyProtection="1" pivotButton="0" quotePrefix="0" xfId="0">
      <alignment horizontal="right"/>
      <protection locked="0" hidden="0"/>
    </xf>
    <xf numFmtId="37" fontId="9" fillId="16" borderId="10" applyAlignment="1" applyProtection="1" pivotButton="0" quotePrefix="0" xfId="0">
      <alignment horizontal="right"/>
      <protection locked="0" hidden="0"/>
    </xf>
    <xf numFmtId="0" fontId="0" fillId="21" borderId="0" pivotButton="0" quotePrefix="0" xfId="0"/>
    <xf numFmtId="39" fontId="8" fillId="21" borderId="0" applyAlignment="1" applyProtection="1" pivotButton="0" quotePrefix="0" xfId="0">
      <alignment horizontal="right"/>
      <protection locked="0" hidden="0"/>
    </xf>
    <xf numFmtId="39" fontId="8" fillId="21" borderId="0" applyProtection="1" pivotButton="0" quotePrefix="0" xfId="0">
      <protection locked="0" hidden="0"/>
    </xf>
    <xf numFmtId="0" fontId="6" fillId="2" borderId="1" applyProtection="1" pivotButton="0" quotePrefix="0" xfId="0">
      <protection locked="1" hidden="1"/>
    </xf>
    <xf numFmtId="0" fontId="9" fillId="0" borderId="12" applyAlignment="1" applyProtection="1" pivotButton="0" quotePrefix="0" xfId="0">
      <alignment horizontal="left" wrapText="1"/>
      <protection locked="0" hidden="0"/>
    </xf>
    <xf numFmtId="4" fontId="0" fillId="0" borderId="12" applyAlignment="1" applyProtection="1" pivotButton="0" quotePrefix="0" xfId="0">
      <alignment wrapText="1"/>
      <protection locked="0" hidden="0"/>
    </xf>
    <xf numFmtId="3" fontId="0" fillId="0" borderId="12" applyAlignment="1" applyProtection="1" pivotButton="0" quotePrefix="0" xfId="0">
      <alignment wrapText="1"/>
      <protection locked="0" hidden="0"/>
    </xf>
    <xf numFmtId="4" fontId="6" fillId="0" borderId="39" applyAlignment="1" applyProtection="1" pivotButton="0" quotePrefix="0" xfId="0">
      <alignment horizontal="center" wrapText="1"/>
      <protection locked="0" hidden="0"/>
    </xf>
    <xf numFmtId="166" fontId="0" fillId="0" borderId="12" applyAlignment="1" applyProtection="1" pivotButton="0" quotePrefix="0" xfId="0">
      <alignment horizontal="center" wrapText="1"/>
      <protection locked="0" hidden="0"/>
    </xf>
    <xf numFmtId="0" fontId="0" fillId="15" borderId="20" applyProtection="1" pivotButton="0" quotePrefix="0" xfId="0">
      <protection locked="1" hidden="1"/>
    </xf>
    <xf numFmtId="0" fontId="4" fillId="15" borderId="12" applyAlignment="1" applyProtection="1" pivotButton="0" quotePrefix="0" xfId="0">
      <alignment horizontal="center" vertical="center"/>
      <protection locked="0" hidden="0"/>
    </xf>
    <xf numFmtId="0" fontId="11" fillId="16" borderId="2" applyAlignment="1" applyProtection="1" pivotButton="0" quotePrefix="0" xfId="0">
      <alignment horizontal="center" vertical="center"/>
      <protection locked="0" hidden="0"/>
    </xf>
    <xf numFmtId="0" fontId="110" fillId="15" borderId="0" applyAlignment="1" applyProtection="1" pivotButton="0" quotePrefix="0" xfId="0">
      <alignment horizontal="center"/>
      <protection locked="1" hidden="1"/>
    </xf>
    <xf numFmtId="0" fontId="10" fillId="0" borderId="0" applyAlignment="1" pivotButton="0" quotePrefix="0" xfId="0">
      <alignment vertical="center"/>
    </xf>
    <xf numFmtId="164" fontId="4" fillId="2" borderId="2" applyAlignment="1" applyProtection="1" pivotButton="0" quotePrefix="0" xfId="0">
      <alignment horizontal="center" vertical="center"/>
      <protection locked="0" hidden="0"/>
    </xf>
    <xf numFmtId="0" fontId="110" fillId="0" borderId="0" pivotButton="0" quotePrefix="0" xfId="0"/>
    <xf numFmtId="40" fontId="57" fillId="2" borderId="0" applyAlignment="1" applyProtection="1" pivotButton="0" quotePrefix="0" xfId="0">
      <alignment horizontal="right" vertical="center"/>
      <protection locked="1" hidden="1"/>
    </xf>
    <xf numFmtId="0" fontId="0" fillId="15" borderId="23" applyProtection="1" pivotButton="0" quotePrefix="0" xfId="0">
      <protection locked="1" hidden="1"/>
    </xf>
    <xf numFmtId="0" fontId="0" fillId="15" borderId="7" applyProtection="1" pivotButton="0" quotePrefix="0" xfId="0">
      <protection locked="1" hidden="1"/>
    </xf>
    <xf numFmtId="0" fontId="0" fillId="15" borderId="19" applyProtection="1" pivotButton="0" quotePrefix="0" xfId="0">
      <protection locked="1" hidden="1"/>
    </xf>
    <xf numFmtId="0" fontId="6" fillId="15" borderId="0" applyProtection="1" pivotButton="0" quotePrefix="0" xfId="0">
      <protection locked="1" hidden="1"/>
    </xf>
    <xf numFmtId="0" fontId="0" fillId="15" borderId="5" applyProtection="1" pivotButton="0" quotePrefix="0" xfId="0">
      <protection locked="1" hidden="1"/>
    </xf>
    <xf numFmtId="0" fontId="0" fillId="15" borderId="21" applyProtection="1" pivotButton="0" quotePrefix="0" xfId="0">
      <protection locked="1" hidden="1"/>
    </xf>
    <xf numFmtId="0" fontId="0" fillId="15" borderId="4" applyProtection="1" pivotButton="0" quotePrefix="0" xfId="0">
      <protection locked="1" hidden="1"/>
    </xf>
    <xf numFmtId="0" fontId="0" fillId="15" borderId="22" applyProtection="1" pivotButton="0" quotePrefix="0" xfId="0">
      <protection locked="1" hidden="1"/>
    </xf>
    <xf numFmtId="0" fontId="6" fillId="0" borderId="0" applyAlignment="1" pivotButton="0" quotePrefix="0" xfId="0">
      <alignment horizontal="center"/>
    </xf>
    <xf numFmtId="0" fontId="113" fillId="5" borderId="0" applyProtection="1" pivotButton="0" quotePrefix="0" xfId="0">
      <protection locked="1" hidden="1"/>
    </xf>
    <xf numFmtId="0" fontId="11" fillId="26" borderId="1" applyProtection="1" pivotButton="0" quotePrefix="1" xfId="0">
      <protection locked="1" hidden="1"/>
    </xf>
    <xf numFmtId="0" fontId="4" fillId="26" borderId="1" applyProtection="1" pivotButton="0" quotePrefix="0" xfId="0">
      <protection locked="1" hidden="1"/>
    </xf>
    <xf numFmtId="0" fontId="110" fillId="0" borderId="0" applyAlignment="1" pivotButton="0" quotePrefix="0" xfId="0">
      <alignment horizontal="center"/>
    </xf>
    <xf numFmtId="0" fontId="8" fillId="15" borderId="0" applyAlignment="1" pivotButton="0" quotePrefix="0" xfId="0">
      <alignment horizontal="left" vertical="top"/>
    </xf>
    <xf numFmtId="0" fontId="6" fillId="15" borderId="3" applyAlignment="1" pivotButton="0" quotePrefix="0" xfId="0">
      <alignment horizontal="center"/>
    </xf>
    <xf numFmtId="0" fontId="6" fillId="15" borderId="24" applyAlignment="1" pivotButton="0" quotePrefix="0" xfId="0">
      <alignment horizontal="center"/>
    </xf>
    <xf numFmtId="0" fontId="16" fillId="15" borderId="0" pivotButton="0" quotePrefix="0" xfId="0"/>
    <xf numFmtId="39" fontId="6" fillId="3" borderId="0" applyProtection="1" pivotButton="0" quotePrefix="0" xfId="0">
      <protection locked="1" hidden="1"/>
    </xf>
    <xf numFmtId="37" fontId="6" fillId="2" borderId="1" applyProtection="1" pivotButton="0" quotePrefix="0" xfId="0">
      <protection locked="0" hidden="0"/>
    </xf>
    <xf numFmtId="0" fontId="4" fillId="16" borderId="12" applyAlignment="1" applyProtection="1" pivotButton="0" quotePrefix="0" xfId="0">
      <alignment horizontal="center"/>
      <protection locked="0" hidden="0"/>
    </xf>
    <xf numFmtId="0" fontId="125" fillId="2" borderId="0" applyAlignment="1" applyProtection="1" pivotButton="0" quotePrefix="0" xfId="0">
      <alignment horizontal="center"/>
      <protection locked="1" hidden="1"/>
    </xf>
    <xf numFmtId="0" fontId="15" fillId="2" borderId="2" applyAlignment="1" applyProtection="1" pivotButton="0" quotePrefix="0" xfId="0">
      <alignment horizontal="center" vertical="center"/>
      <protection locked="0" hidden="0"/>
    </xf>
    <xf numFmtId="0" fontId="0" fillId="2" borderId="4" applyAlignment="1" applyProtection="1" pivotButton="0" quotePrefix="0" xfId="0">
      <alignment vertical="top"/>
      <protection locked="1" hidden="1"/>
    </xf>
    <xf numFmtId="0" fontId="6" fillId="0" borderId="0" pivotButton="0" quotePrefix="0" xfId="0"/>
    <xf numFmtId="0" fontId="129" fillId="15" borderId="0" applyProtection="1" pivotButton="0" quotePrefix="0" xfId="0">
      <protection locked="1" hidden="1"/>
    </xf>
    <xf numFmtId="38" fontId="8" fillId="27" borderId="1" applyProtection="1" pivotButton="0" quotePrefix="0" xfId="0">
      <protection locked="1" hidden="1"/>
    </xf>
    <xf numFmtId="38" fontId="8" fillId="16" borderId="1" applyProtection="1" pivotButton="0" quotePrefix="0" xfId="0">
      <protection locked="0" hidden="0"/>
    </xf>
    <xf numFmtId="164" fontId="4" fillId="16" borderId="2" applyAlignment="1" applyProtection="1" pivotButton="0" quotePrefix="0" xfId="0">
      <alignment horizontal="center" vertical="center"/>
      <protection locked="0" hidden="0"/>
    </xf>
    <xf numFmtId="37" fontId="8" fillId="27" borderId="1" applyProtection="1" pivotButton="0" quotePrefix="0" xfId="0">
      <protection locked="1" hidden="1"/>
    </xf>
    <xf numFmtId="37" fontId="8" fillId="20" borderId="9" applyAlignment="1" applyProtection="1" pivotButton="0" quotePrefix="0" xfId="0">
      <alignment horizontal="right"/>
      <protection locked="0" hidden="0"/>
    </xf>
    <xf numFmtId="37" fontId="8" fillId="14" borderId="30" applyAlignment="1" applyProtection="1" pivotButton="0" quotePrefix="0" xfId="0">
      <alignment horizontal="right"/>
      <protection locked="0" hidden="0"/>
    </xf>
    <xf numFmtId="4" fontId="4" fillId="20" borderId="12" applyAlignment="1" applyProtection="1" pivotButton="0" quotePrefix="0" xfId="0">
      <alignment horizontal="center" vertical="center"/>
      <protection locked="0" hidden="0"/>
    </xf>
    <xf numFmtId="0" fontId="0" fillId="15" borderId="23" pivotButton="0" quotePrefix="0" xfId="0"/>
    <xf numFmtId="0" fontId="6" fillId="15" borderId="7" pivotButton="0" quotePrefix="0" xfId="0"/>
    <xf numFmtId="0" fontId="6" fillId="15" borderId="19" pivotButton="0" quotePrefix="0" xfId="0"/>
    <xf numFmtId="0" fontId="0" fillId="15" borderId="5" pivotButton="0" quotePrefix="0" xfId="0"/>
    <xf numFmtId="0" fontId="11" fillId="15" borderId="0" applyAlignment="1" pivotButton="0" quotePrefix="0" xfId="0">
      <alignment vertical="center"/>
    </xf>
    <xf numFmtId="0" fontId="10" fillId="15" borderId="0" pivotButton="0" quotePrefix="0" xfId="0"/>
    <xf numFmtId="0" fontId="6" fillId="15" borderId="0" pivotButton="0" quotePrefix="0" xfId="0"/>
    <xf numFmtId="0" fontId="4" fillId="15" borderId="0" applyAlignment="1" pivotButton="0" quotePrefix="1" xfId="0">
      <alignment horizontal="right"/>
    </xf>
    <xf numFmtId="0" fontId="6" fillId="15" borderId="20" pivotButton="0" quotePrefix="0" xfId="0"/>
    <xf numFmtId="0" fontId="0" fillId="15" borderId="21" pivotButton="0" quotePrefix="0" xfId="0"/>
    <xf numFmtId="0" fontId="10" fillId="15" borderId="4" pivotButton="0" quotePrefix="0" xfId="0"/>
    <xf numFmtId="0" fontId="4" fillId="15" borderId="0" pivotButton="0" quotePrefix="0" xfId="0"/>
    <xf numFmtId="0" fontId="6" fillId="15" borderId="0" pivotButton="0" quotePrefix="1" xfId="0"/>
    <xf numFmtId="0" fontId="6" fillId="15" borderId="0" applyAlignment="1" pivotButton="0" quotePrefix="1" xfId="0">
      <alignment horizontal="right"/>
    </xf>
    <xf numFmtId="37" fontId="8" fillId="20" borderId="1" applyAlignment="1" applyProtection="1" pivotButton="0" quotePrefix="0" xfId="0">
      <alignment horizontal="right"/>
      <protection locked="0" hidden="0"/>
    </xf>
    <xf numFmtId="37" fontId="116" fillId="14" borderId="30" applyAlignment="1" applyProtection="1" pivotButton="0" quotePrefix="0" xfId="0">
      <alignment horizontal="right"/>
      <protection locked="0" hidden="0"/>
    </xf>
    <xf numFmtId="37" fontId="116" fillId="14" borderId="3" applyAlignment="1" applyProtection="1" pivotButton="0" quotePrefix="0" xfId="0">
      <alignment horizontal="right"/>
      <protection locked="0" hidden="0"/>
    </xf>
    <xf numFmtId="37" fontId="8" fillId="3" borderId="38" applyAlignment="1" applyProtection="1" pivotButton="0" quotePrefix="0" xfId="0">
      <alignment horizontal="right"/>
      <protection locked="0" hidden="0"/>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4" fillId="0" borderId="4" applyAlignment="1" pivotButton="0" quotePrefix="0" xfId="0">
      <alignment horizontal="center" wrapText="1"/>
    </xf>
    <xf numFmtId="0" fontId="67" fillId="0" borderId="0" applyAlignment="1" pivotButton="0" quotePrefix="0" xfId="2">
      <alignment horizontal="center" wrapText="1"/>
    </xf>
    <xf numFmtId="0" fontId="6" fillId="3" borderId="25" applyProtection="1" pivotButton="0" quotePrefix="0" xfId="0">
      <protection locked="1" hidden="1"/>
    </xf>
    <xf numFmtId="39" fontId="8" fillId="14" borderId="0" applyAlignment="1" applyProtection="1" pivotButton="0" quotePrefix="0" xfId="0">
      <alignment horizontal="left"/>
      <protection locked="1" hidden="1"/>
    </xf>
    <xf numFmtId="0" fontId="0" fillId="15" borderId="0" applyAlignment="1" pivotButton="0" quotePrefix="0" xfId="0">
      <alignment horizontal="left"/>
    </xf>
    <xf numFmtId="0" fontId="9" fillId="3" borderId="0" applyAlignment="1" applyProtection="1" pivotButton="0" quotePrefix="0" xfId="0">
      <alignment horizontal="right" indent="1"/>
      <protection locked="1" hidden="1"/>
    </xf>
    <xf numFmtId="1" fontId="9" fillId="20" borderId="12" applyAlignment="1" applyProtection="1" pivotButton="0" quotePrefix="0" xfId="0">
      <alignment horizontal="center"/>
      <protection locked="0" hidden="0"/>
    </xf>
    <xf numFmtId="4" fontId="9" fillId="3" borderId="0" applyAlignment="1" applyProtection="1" pivotButton="0" quotePrefix="0" xfId="0">
      <alignment horizontal="right" vertical="center"/>
      <protection locked="1" hidden="1"/>
    </xf>
    <xf numFmtId="0" fontId="6" fillId="15" borderId="0" applyAlignment="1" pivotButton="0" quotePrefix="0" xfId="0">
      <alignment horizontal="centerContinuous" vertical="center"/>
    </xf>
    <xf numFmtId="0" fontId="12" fillId="14" borderId="26" applyAlignment="1" applyProtection="1" pivotButton="0" quotePrefix="0" xfId="0">
      <alignment horizontal="center"/>
      <protection locked="1" hidden="1"/>
    </xf>
    <xf numFmtId="0" fontId="0" fillId="15" borderId="1" applyAlignment="1" pivotButton="0" quotePrefix="0" xfId="0">
      <alignment horizontal="center"/>
    </xf>
    <xf numFmtId="1" fontId="9" fillId="3" borderId="0" applyAlignment="1" applyProtection="1" pivotButton="0" quotePrefix="0" xfId="0">
      <alignment horizontal="right"/>
      <protection locked="1" hidden="1"/>
    </xf>
    <xf numFmtId="0" fontId="12" fillId="3" borderId="3" applyProtection="1" pivotButton="0" quotePrefix="0" xfId="0">
      <protection locked="1" hidden="1"/>
    </xf>
    <xf numFmtId="39" fontId="8" fillId="3" borderId="13" applyAlignment="1" applyProtection="1" pivotButton="0" quotePrefix="0" xfId="0">
      <alignment horizontal="right"/>
      <protection locked="1" hidden="1"/>
    </xf>
    <xf numFmtId="39" fontId="11" fillId="3" borderId="13" applyAlignment="1" applyProtection="1" pivotButton="0" quotePrefix="0" xfId="0">
      <alignment horizontal="left"/>
      <protection locked="1" hidden="1"/>
    </xf>
    <xf numFmtId="0" fontId="47" fillId="3" borderId="34" applyProtection="1" pivotButton="0" quotePrefix="0" xfId="0">
      <protection locked="1" hidden="1"/>
    </xf>
    <xf numFmtId="0" fontId="15" fillId="3" borderId="34" applyAlignment="1" applyProtection="1" pivotButton="0" quotePrefix="0" xfId="0">
      <alignment vertical="center"/>
      <protection locked="1" hidden="1"/>
    </xf>
    <xf numFmtId="0" fontId="8" fillId="3" borderId="4" applyProtection="1" pivotButton="0" quotePrefix="0" xfId="0">
      <protection locked="1" hidden="1"/>
    </xf>
    <xf numFmtId="39" fontId="9" fillId="3" borderId="8" applyProtection="1" pivotButton="0" quotePrefix="0" xfId="0">
      <protection locked="1" hidden="1"/>
    </xf>
    <xf numFmtId="0" fontId="0" fillId="15" borderId="7" pivotButton="0" quotePrefix="0" xfId="0"/>
    <xf numFmtId="0" fontId="0" fillId="15" borderId="19" pivotButton="0" quotePrefix="0" xfId="0"/>
    <xf numFmtId="0" fontId="0" fillId="15" borderId="20" pivotButton="0" quotePrefix="0" xfId="0"/>
    <xf numFmtId="0" fontId="0" fillId="15" borderId="4" pivotButton="0" quotePrefix="0" xfId="0"/>
    <xf numFmtId="0" fontId="0" fillId="15" borderId="22" pivotButton="0" quotePrefix="0" xfId="0"/>
    <xf numFmtId="0" fontId="112" fillId="0" borderId="0" pivotButton="0" quotePrefix="0" xfId="0"/>
    <xf numFmtId="0" fontId="0" fillId="0" borderId="0" applyAlignment="1" pivotButton="0" quotePrefix="0" xfId="0">
      <alignment wrapText="1"/>
    </xf>
    <xf numFmtId="0" fontId="11" fillId="16" borderId="12" applyAlignment="1" applyProtection="1" pivotButton="0" quotePrefix="0" xfId="0">
      <alignment horizontal="center" vertical="center"/>
      <protection locked="0" hidden="0"/>
    </xf>
    <xf numFmtId="0" fontId="0" fillId="19" borderId="0" applyProtection="1" pivotButton="0" quotePrefix="0" xfId="0">
      <protection locked="1" hidden="1"/>
    </xf>
    <xf numFmtId="0" fontId="0" fillId="15" borderId="8" applyProtection="1" pivotButton="0" quotePrefix="0" xfId="0">
      <protection locked="1" hidden="1"/>
    </xf>
    <xf numFmtId="3" fontId="6" fillId="16" borderId="1" applyProtection="1" pivotButton="0" quotePrefix="0" xfId="0">
      <protection locked="0" hidden="0"/>
    </xf>
    <xf numFmtId="0" fontId="8" fillId="3" borderId="0" applyAlignment="1" applyProtection="1" pivotButton="0" quotePrefix="0" xfId="0">
      <alignment vertical="top"/>
      <protection locked="1" hidden="1"/>
    </xf>
    <xf numFmtId="0" fontId="0" fillId="2" borderId="23" pivotButton="0" quotePrefix="0" xfId="0"/>
    <xf numFmtId="0" fontId="20" fillId="3" borderId="0" applyAlignment="1" applyProtection="1" pivotButton="0" quotePrefix="0" xfId="0">
      <alignment vertical="center"/>
      <protection locked="1" hidden="1"/>
    </xf>
    <xf numFmtId="3" fontId="110" fillId="0" borderId="0" pivotButton="0" quotePrefix="0" xfId="0"/>
    <xf numFmtId="3" fontId="6" fillId="0" borderId="2" applyProtection="1" pivotButton="0" quotePrefix="0" xfId="0">
      <protection locked="0" hidden="0"/>
    </xf>
    <xf numFmtId="3" fontId="110" fillId="3" borderId="3" applyProtection="1" pivotButton="0" quotePrefix="0" xfId="0">
      <protection locked="0" hidden="0"/>
    </xf>
    <xf numFmtId="0" fontId="128" fillId="15" borderId="0" applyAlignment="1" pivotButton="0" quotePrefix="0" xfId="0">
      <alignment horizontal="center" vertical="center" wrapText="1"/>
    </xf>
    <xf numFmtId="0" fontId="110" fillId="15" borderId="7" applyAlignment="1" applyProtection="1" pivotButton="0" quotePrefix="0" xfId="0">
      <alignment horizontal="center" vertical="center"/>
      <protection locked="1" hidden="1"/>
    </xf>
    <xf numFmtId="167" fontId="0" fillId="15" borderId="0" applyProtection="1" pivotButton="0" quotePrefix="0" xfId="0">
      <protection locked="1" hidden="1"/>
    </xf>
    <xf numFmtId="3" fontId="0" fillId="15" borderId="0" applyProtection="1" pivotButton="0" quotePrefix="0" xfId="0">
      <protection locked="1" hidden="1"/>
    </xf>
    <xf numFmtId="0" fontId="129" fillId="15" borderId="0" applyAlignment="1" applyProtection="1" pivotButton="0" quotePrefix="0" xfId="0">
      <alignment horizontal="center"/>
      <protection locked="1" hidden="1"/>
    </xf>
    <xf numFmtId="168" fontId="0" fillId="15" borderId="0" applyAlignment="1" applyProtection="1" pivotButton="0" quotePrefix="0" xfId="0">
      <alignment horizontal="right"/>
      <protection locked="1" hidden="1"/>
    </xf>
    <xf numFmtId="0" fontId="6" fillId="15" borderId="5" applyAlignment="1" applyProtection="1" pivotButton="0" quotePrefix="0" xfId="0">
      <alignment horizontal="left" indent="1"/>
      <protection locked="1" hidden="1"/>
    </xf>
    <xf numFmtId="0" fontId="0" fillId="15" borderId="5" applyAlignment="1" applyProtection="1" pivotButton="0" quotePrefix="0" xfId="0">
      <alignment horizontal="left" indent="1"/>
      <protection locked="1" hidden="1"/>
    </xf>
    <xf numFmtId="0" fontId="0" fillId="15" borderId="21" applyAlignment="1" applyProtection="1" pivotButton="0" quotePrefix="0" xfId="0">
      <alignment horizontal="left" indent="1"/>
      <protection locked="1" hidden="1"/>
    </xf>
    <xf numFmtId="0" fontId="26" fillId="15" borderId="23" applyAlignment="1" applyProtection="1" pivotButton="0" quotePrefix="0" xfId="0">
      <alignment horizontal="left" indent="1"/>
      <protection locked="1" hidden="1"/>
    </xf>
    <xf numFmtId="0" fontId="0" fillId="15" borderId="0" applyAlignment="1" pivotButton="0" quotePrefix="0" xfId="0">
      <alignment vertical="top" wrapText="1"/>
    </xf>
    <xf numFmtId="0" fontId="0" fillId="15" borderId="30" pivotButton="0" quotePrefix="0" xfId="0"/>
    <xf numFmtId="0" fontId="0" fillId="15" borderId="8" pivotButton="0" quotePrefix="0" xfId="0"/>
    <xf numFmtId="0" fontId="0" fillId="15" borderId="14" pivotButton="0" quotePrefix="0" xfId="0"/>
    <xf numFmtId="0" fontId="0" fillId="15" borderId="3" pivotButton="0" quotePrefix="0" xfId="0"/>
    <xf numFmtId="0" fontId="0" fillId="15" borderId="24" pivotButton="0" quotePrefix="0" xfId="0"/>
    <xf numFmtId="0" fontId="0" fillId="15" borderId="3" applyAlignment="1" pivotButton="0" quotePrefix="0" xfId="0">
      <alignment vertical="center"/>
    </xf>
    <xf numFmtId="0" fontId="0" fillId="15" borderId="0" applyAlignment="1" pivotButton="0" quotePrefix="0" xfId="0">
      <alignment vertical="center"/>
    </xf>
    <xf numFmtId="0" fontId="0" fillId="15" borderId="9" pivotButton="0" quotePrefix="0" xfId="0"/>
    <xf numFmtId="0" fontId="0" fillId="15" borderId="1" pivotButton="0" quotePrefix="0" xfId="0"/>
    <xf numFmtId="0" fontId="0" fillId="15" borderId="11" pivotButton="0" quotePrefix="0" xfId="0"/>
    <xf numFmtId="0" fontId="67" fillId="15" borderId="5" applyAlignment="1" applyProtection="1" pivotButton="0" quotePrefix="0" xfId="2">
      <alignment horizontal="center"/>
      <protection locked="1" hidden="1"/>
    </xf>
    <xf numFmtId="0" fontId="0" fillId="15" borderId="0" applyAlignment="1" pivotButton="0" quotePrefix="0" xfId="0">
      <alignment horizontal="center"/>
    </xf>
    <xf numFmtId="0" fontId="0" fillId="15" borderId="20" applyAlignment="1" pivotButton="0" quotePrefix="0" xfId="0">
      <alignment horizontal="center"/>
    </xf>
    <xf numFmtId="1" fontId="0" fillId="15" borderId="12" applyProtection="1" pivotButton="0" quotePrefix="0" xfId="0">
      <protection locked="0" hidden="0"/>
    </xf>
    <xf numFmtId="1" fontId="0" fillId="15" borderId="24" applyProtection="1" pivotButton="0" quotePrefix="0" xfId="0">
      <protection locked="0" hidden="0"/>
    </xf>
    <xf numFmtId="3" fontId="6" fillId="0" borderId="0" applyProtection="1" pivotButton="0" quotePrefix="0" xfId="0">
      <protection locked="0" hidden="0"/>
    </xf>
    <xf numFmtId="0" fontId="150" fillId="0" borderId="0" applyAlignment="1" pivotButton="0" quotePrefix="0" xfId="0">
      <alignment vertical="center" wrapText="1"/>
    </xf>
    <xf numFmtId="0" fontId="0" fillId="0" borderId="0" applyAlignment="1" applyProtection="1" pivotButton="0" quotePrefix="0" xfId="0">
      <alignment horizontal="right"/>
      <protection locked="1" hidden="1"/>
    </xf>
    <xf numFmtId="0" fontId="4" fillId="2" borderId="0" applyAlignment="1" applyProtection="1" pivotButton="0" quotePrefix="0" xfId="0">
      <alignment horizontal="center"/>
      <protection locked="0" hidden="0"/>
    </xf>
    <xf numFmtId="3" fontId="4" fillId="2" borderId="1" applyProtection="1" pivotButton="0" quotePrefix="0" xfId="0">
      <protection locked="0" hidden="0"/>
    </xf>
    <xf numFmtId="0" fontId="5" fillId="2" borderId="0" applyProtection="1" pivotButton="0" quotePrefix="0" xfId="0">
      <protection locked="1" hidden="1"/>
    </xf>
    <xf numFmtId="0" fontId="12" fillId="0" borderId="1" applyAlignment="1" applyProtection="1" pivotButton="0" quotePrefix="0" xfId="0">
      <alignment horizontal="center"/>
      <protection locked="1" hidden="1"/>
    </xf>
    <xf numFmtId="0" fontId="10" fillId="0" borderId="21" applyAlignment="1" applyProtection="1" pivotButton="0" quotePrefix="0" xfId="0">
      <alignment horizontal="right"/>
      <protection locked="1" hidden="1"/>
    </xf>
    <xf numFmtId="0" fontId="10" fillId="0" borderId="22" applyAlignment="1" applyProtection="1" pivotButton="0" quotePrefix="0" xfId="0">
      <alignment horizontal="right"/>
      <protection locked="1" hidden="1"/>
    </xf>
    <xf numFmtId="0" fontId="10" fillId="0" borderId="4" applyAlignment="1" applyProtection="1" pivotButton="0" quotePrefix="0" xfId="0">
      <alignment horizontal="center"/>
      <protection locked="1" hidden="1"/>
    </xf>
    <xf numFmtId="0" fontId="10" fillId="0" borderId="22" applyAlignment="1" applyProtection="1" pivotButton="0" quotePrefix="0" xfId="0">
      <alignment horizontal="center"/>
      <protection locked="1" hidden="1"/>
    </xf>
    <xf numFmtId="0" fontId="0" fillId="0" borderId="20" applyAlignment="1" applyProtection="1" pivotButton="0" quotePrefix="0" xfId="0">
      <alignment horizontal="right"/>
      <protection locked="1" hidden="1"/>
    </xf>
    <xf numFmtId="0" fontId="6" fillId="2" borderId="0" applyAlignment="1" applyProtection="1" pivotButton="0" quotePrefix="0" xfId="0">
      <alignment horizontal="center"/>
      <protection locked="1" hidden="1"/>
    </xf>
    <xf numFmtId="3" fontId="151" fillId="15" borderId="0" applyProtection="1" pivotButton="0" quotePrefix="0" xfId="0">
      <protection locked="0" hidden="0"/>
    </xf>
    <xf numFmtId="1" fontId="151" fillId="15" borderId="0" applyProtection="1" pivotButton="0" quotePrefix="0" xfId="0">
      <protection locked="0" hidden="0"/>
    </xf>
    <xf numFmtId="0" fontId="4" fillId="15" borderId="0" applyAlignment="1" applyProtection="1" pivotButton="0" quotePrefix="0" xfId="0">
      <alignment horizontal="center"/>
      <protection locked="0" hidden="0"/>
    </xf>
    <xf numFmtId="0" fontId="0" fillId="15" borderId="1" applyAlignment="1" applyProtection="1" pivotButton="0" quotePrefix="0" xfId="0">
      <alignment vertical="top"/>
      <protection locked="1" hidden="1"/>
    </xf>
    <xf numFmtId="0" fontId="0" fillId="15" borderId="0" applyAlignment="1" applyProtection="1" pivotButton="0" quotePrefix="0" xfId="0">
      <alignment vertical="center"/>
      <protection locked="1" hidden="1"/>
    </xf>
    <xf numFmtId="3" fontId="0" fillId="0" borderId="2" applyProtection="1" pivotButton="0" quotePrefix="0" xfId="0">
      <protection locked="0" hidden="0"/>
    </xf>
    <xf numFmtId="0" fontId="151" fillId="15" borderId="2" applyProtection="1" pivotButton="0" quotePrefix="0" xfId="0">
      <protection locked="0" hidden="0"/>
    </xf>
    <xf numFmtId="0" fontId="151" fillId="15" borderId="2" applyAlignment="1" applyProtection="1" pivotButton="0" quotePrefix="0" xfId="0">
      <alignment horizontal="center"/>
      <protection locked="0" hidden="0"/>
    </xf>
    <xf numFmtId="0" fontId="110" fillId="2" borderId="0" pivotButton="0" quotePrefix="0" xfId="0"/>
    <xf numFmtId="38" fontId="8" fillId="16" borderId="1" applyAlignment="1" applyProtection="1" pivotButton="0" quotePrefix="0" xfId="0">
      <alignment horizontal="right"/>
      <protection locked="0" hidden="0"/>
    </xf>
    <xf numFmtId="37" fontId="0" fillId="16" borderId="1" applyProtection="1" pivotButton="0" quotePrefix="0" xfId="0">
      <protection locked="0" hidden="0"/>
    </xf>
    <xf numFmtId="0" fontId="136" fillId="0" borderId="0" applyProtection="1" pivotButton="0" quotePrefix="0" xfId="0">
      <protection locked="1" hidden="1"/>
    </xf>
    <xf numFmtId="3" fontId="136" fillId="0" borderId="0" applyProtection="1" pivotButton="0" quotePrefix="0" xfId="0">
      <protection locked="1" hidden="1"/>
    </xf>
    <xf numFmtId="3" fontId="135" fillId="0" borderId="0" applyProtection="1" pivotButton="0" quotePrefix="0" xfId="0">
      <protection locked="1" hidden="1"/>
    </xf>
    <xf numFmtId="3" fontId="128" fillId="0" borderId="20" applyAlignment="1" applyProtection="1" pivotButton="0" quotePrefix="0" xfId="0">
      <alignment horizontal="right"/>
      <protection locked="1" hidden="1"/>
    </xf>
    <xf numFmtId="3" fontId="128" fillId="0" borderId="0" applyAlignment="1" applyProtection="1" pivotButton="0" quotePrefix="0" xfId="0">
      <alignment horizontal="right"/>
      <protection locked="1" hidden="1"/>
    </xf>
    <xf numFmtId="3" fontId="151" fillId="15" borderId="2" applyProtection="1" pivotButton="0" quotePrefix="0" xfId="0">
      <protection locked="0" hidden="0"/>
    </xf>
    <xf numFmtId="3" fontId="9" fillId="16" borderId="1" applyProtection="1" pivotButton="0" quotePrefix="0" xfId="0">
      <protection locked="0" hidden="0"/>
    </xf>
    <xf numFmtId="169" fontId="4" fillId="0" borderId="4" applyAlignment="1" applyProtection="1" pivotButton="0" quotePrefix="0" xfId="0">
      <alignment horizontal="center" wrapText="1"/>
      <protection locked="1" hidden="1"/>
    </xf>
    <xf numFmtId="169" fontId="0" fillId="0" borderId="0" applyAlignment="1" applyProtection="1" pivotButton="0" quotePrefix="0" xfId="0">
      <alignment horizontal="center" vertical="top" wrapText="1"/>
      <protection locked="1" hidden="1"/>
    </xf>
    <xf numFmtId="1" fontId="151" fillId="15" borderId="2" applyAlignment="1" applyProtection="1" pivotButton="0" quotePrefix="0" xfId="0">
      <alignment horizontal="center"/>
      <protection locked="0" hidden="0"/>
    </xf>
    <xf numFmtId="0" fontId="6" fillId="5" borderId="0" applyAlignment="1" applyProtection="1" pivotButton="0" quotePrefix="0" xfId="0">
      <alignment horizontal="center"/>
      <protection locked="0" hidden="0"/>
    </xf>
    <xf numFmtId="0" fontId="4" fillId="3" borderId="7" applyAlignment="1" applyProtection="1" pivotButton="0" quotePrefix="0" xfId="0">
      <alignment horizontal="left" vertical="top"/>
      <protection locked="1" hidden="1"/>
    </xf>
    <xf numFmtId="39" fontId="6" fillId="3" borderId="1" applyProtection="1" pivotButton="0" quotePrefix="0" xfId="0">
      <protection locked="1" hidden="1"/>
    </xf>
    <xf numFmtId="40" fontId="110" fillId="2" borderId="0" applyProtection="1" pivotButton="0" quotePrefix="0" xfId="0">
      <protection locked="1" hidden="1"/>
    </xf>
    <xf numFmtId="0" fontId="4" fillId="32" borderId="0" applyAlignment="1" applyProtection="1" pivotButton="0" quotePrefix="0" xfId="0">
      <alignment horizontal="center" wrapText="1"/>
      <protection locked="0" hidden="0"/>
    </xf>
    <xf numFmtId="4" fontId="6" fillId="32" borderId="81" applyAlignment="1" applyProtection="1" pivotButton="0" quotePrefix="0" xfId="0">
      <alignment horizontal="center"/>
      <protection locked="0" hidden="0"/>
    </xf>
    <xf numFmtId="0" fontId="0" fillId="15" borderId="0" applyAlignment="1" applyProtection="1" pivotButton="0" quotePrefix="0" xfId="0">
      <alignment horizontal="center"/>
      <protection locked="1" hidden="1"/>
    </xf>
    <xf numFmtId="37" fontId="8" fillId="29" borderId="0" applyAlignment="1" applyProtection="1" pivotButton="0" quotePrefix="0" xfId="0">
      <alignment horizontal="right"/>
      <protection locked="0" hidden="0"/>
    </xf>
    <xf numFmtId="0" fontId="10" fillId="15" borderId="1" pivotButton="0" quotePrefix="0" xfId="0"/>
    <xf numFmtId="0" fontId="11" fillId="15" borderId="23" applyProtection="1" pivotButton="0" quotePrefix="0" xfId="0">
      <protection locked="1" hidden="1"/>
    </xf>
    <xf numFmtId="0" fontId="11" fillId="15" borderId="5" applyProtection="1" pivotButton="0" quotePrefix="0" xfId="0">
      <protection locked="1" hidden="1"/>
    </xf>
    <xf numFmtId="37" fontId="0" fillId="27" borderId="1" applyProtection="1" pivotButton="0" quotePrefix="0" xfId="0">
      <protection locked="1" hidden="1"/>
    </xf>
    <xf numFmtId="0" fontId="22" fillId="0" borderId="0" applyProtection="1" pivotButton="0" quotePrefix="0" xfId="0">
      <protection locked="1" hidden="1"/>
    </xf>
    <xf numFmtId="1" fontId="31" fillId="0" borderId="2" applyProtection="1" pivotButton="0" quotePrefix="0" xfId="0">
      <protection locked="0" hidden="0"/>
    </xf>
    <xf numFmtId="0" fontId="6" fillId="15" borderId="0" applyAlignment="1" applyProtection="1" pivotButton="0" quotePrefix="1" xfId="0">
      <alignment horizontal="right"/>
      <protection locked="1" hidden="1"/>
    </xf>
    <xf numFmtId="0" fontId="6" fillId="15" borderId="5" applyAlignment="1" applyProtection="1" pivotButton="0" quotePrefix="1" xfId="0">
      <alignment horizontal="right"/>
      <protection locked="1" hidden="1"/>
    </xf>
    <xf numFmtId="0" fontId="5" fillId="15" borderId="0" applyProtection="1" pivotButton="0" quotePrefix="0" xfId="0">
      <protection locked="1" hidden="1"/>
    </xf>
    <xf numFmtId="0" fontId="6" fillId="15" borderId="0" applyAlignment="1" applyProtection="1" pivotButton="0" quotePrefix="0" xfId="0">
      <alignment horizontal="center"/>
      <protection locked="1" hidden="1"/>
    </xf>
    <xf numFmtId="0" fontId="11" fillId="16" borderId="2" applyAlignment="1" applyProtection="1" pivotButton="0" quotePrefix="0" xfId="0">
      <alignment horizontal="center"/>
      <protection locked="0" hidden="0"/>
    </xf>
    <xf numFmtId="0" fontId="6" fillId="15" borderId="0" applyAlignment="1" applyProtection="1" pivotButton="0" quotePrefix="0" xfId="0">
      <alignment horizontal="right"/>
      <protection locked="1" hidden="1"/>
    </xf>
    <xf numFmtId="0" fontId="6" fillId="15" borderId="5" applyProtection="1" pivotButton="0" quotePrefix="0" xfId="4">
      <protection locked="1" hidden="1"/>
    </xf>
    <xf numFmtId="0" fontId="6" fillId="15" borderId="0" applyProtection="1" pivotButton="0" quotePrefix="0" xfId="4">
      <protection locked="1" hidden="1"/>
    </xf>
    <xf numFmtId="0" fontId="6" fillId="15" borderId="0" applyAlignment="1" applyProtection="1" pivotButton="0" quotePrefix="0" xfId="4">
      <alignment horizontal="right"/>
      <protection locked="1" hidden="1"/>
    </xf>
    <xf numFmtId="0" fontId="6" fillId="15" borderId="4" applyAlignment="1" applyProtection="1" pivotButton="0" quotePrefix="0" xfId="4">
      <alignment horizontal="center"/>
      <protection locked="1" hidden="1"/>
    </xf>
    <xf numFmtId="0" fontId="10" fillId="15" borderId="0" applyAlignment="1" applyProtection="1" pivotButton="0" quotePrefix="0" xfId="0">
      <alignment horizontal="center"/>
      <protection locked="1" hidden="1"/>
    </xf>
    <xf numFmtId="0" fontId="87" fillId="21" borderId="0" applyAlignment="1" pivotButton="0" quotePrefix="0" xfId="2">
      <alignment horizontal="center"/>
    </xf>
    <xf numFmtId="0" fontId="9" fillId="2" borderId="4" applyAlignment="1" applyProtection="1" pivotButton="0" quotePrefix="0" xfId="0">
      <alignment horizontal="center" vertical="center"/>
      <protection locked="0" hidden="0"/>
    </xf>
    <xf numFmtId="170" fontId="43" fillId="2" borderId="0" applyProtection="1" pivotButton="0" quotePrefix="0" xfId="0">
      <protection locked="1" hidden="1"/>
    </xf>
    <xf numFmtId="15" fontId="110" fillId="2" borderId="0" applyProtection="1" pivotButton="0" quotePrefix="0" xfId="0">
      <protection locked="1" hidden="1"/>
    </xf>
    <xf numFmtId="0" fontId="9" fillId="2" borderId="20" applyProtection="1" pivotButton="0" quotePrefix="0" xfId="0">
      <protection locked="1" hidden="1"/>
    </xf>
    <xf numFmtId="40" fontId="70" fillId="2" borderId="20" applyAlignment="1" applyProtection="1" pivotButton="0" quotePrefix="0" xfId="0">
      <alignment horizontal="right" vertical="center"/>
      <protection locked="1" hidden="1"/>
    </xf>
    <xf numFmtId="0" fontId="0" fillId="21" borderId="0" applyAlignment="1" applyProtection="1" pivotButton="0" quotePrefix="0" xfId="0">
      <alignment horizontal="center"/>
      <protection locked="1" hidden="1"/>
    </xf>
    <xf numFmtId="0" fontId="0" fillId="21" borderId="20" applyAlignment="1" applyProtection="1" pivotButton="0" quotePrefix="0" xfId="0">
      <alignment horizontal="center"/>
      <protection locked="1" hidden="1"/>
    </xf>
    <xf numFmtId="0" fontId="10" fillId="5" borderId="7" applyAlignment="1" applyProtection="1" pivotButton="0" quotePrefix="0" xfId="0">
      <alignment horizontal="left"/>
      <protection locked="1" hidden="1"/>
    </xf>
    <xf numFmtId="40" fontId="29" fillId="2" borderId="0" applyAlignment="1" applyProtection="1" pivotButton="0" quotePrefix="0" xfId="0">
      <alignment horizontal="right"/>
      <protection locked="1" hidden="1"/>
    </xf>
    <xf numFmtId="164" fontId="4" fillId="2" borderId="7" applyAlignment="1" applyProtection="1" pivotButton="0" quotePrefix="0" xfId="0">
      <alignment horizontal="center" vertical="center"/>
      <protection locked="0" hidden="0"/>
    </xf>
    <xf numFmtId="164" fontId="4" fillId="2" borderId="0" applyAlignment="1" applyProtection="1" pivotButton="0" quotePrefix="0" xfId="0">
      <alignment horizontal="center" vertical="center"/>
      <protection locked="0" hidden="0"/>
    </xf>
    <xf numFmtId="0" fontId="35" fillId="2" borderId="0" applyAlignment="1" applyProtection="1" pivotButton="0" quotePrefix="0" xfId="0">
      <alignment horizontal="right"/>
      <protection locked="1" hidden="1"/>
    </xf>
    <xf numFmtId="170" fontId="110" fillId="2" borderId="0" applyAlignment="1" applyProtection="1" pivotButton="0" quotePrefix="0" xfId="0">
      <alignment horizontal="center"/>
      <protection locked="1" hidden="1"/>
    </xf>
    <xf numFmtId="14" fontId="110" fillId="2" borderId="0" applyAlignment="1" applyProtection="1" pivotButton="0" quotePrefix="0" xfId="0">
      <alignment horizontal="center"/>
      <protection locked="1" hidden="1"/>
    </xf>
    <xf numFmtId="0" fontId="110" fillId="2" borderId="0" applyAlignment="1" applyProtection="1" pivotButton="0" quotePrefix="0" xfId="0">
      <alignment horizontal="center"/>
      <protection locked="1" hidden="1"/>
    </xf>
    <xf numFmtId="170" fontId="8" fillId="2" borderId="0" applyProtection="1" pivotButton="0" quotePrefix="0" xfId="0">
      <protection locked="0" hidden="0"/>
    </xf>
    <xf numFmtId="0" fontId="109" fillId="15" borderId="7" applyProtection="1" pivotButton="0" quotePrefix="0" xfId="0">
      <protection locked="0" hidden="0"/>
    </xf>
    <xf numFmtId="39" fontId="4" fillId="3" borderId="0" applyAlignment="1" applyProtection="1" pivotButton="0" quotePrefix="0" xfId="0">
      <alignment horizontal="center" vertical="center"/>
      <protection locked="0" hidden="0"/>
    </xf>
    <xf numFmtId="0" fontId="6" fillId="15" borderId="4" pivotButton="0" quotePrefix="0" xfId="0"/>
    <xf numFmtId="0" fontId="6" fillId="15" borderId="22" pivotButton="0" quotePrefix="0" xfId="0"/>
    <xf numFmtId="4" fontId="6" fillId="32" borderId="66" applyProtection="1" pivotButton="0" quotePrefix="0" xfId="0">
      <protection locked="0" hidden="0"/>
    </xf>
    <xf numFmtId="0" fontId="15" fillId="15" borderId="2" applyAlignment="1" applyProtection="1" pivotButton="0" quotePrefix="0" xfId="0">
      <alignment horizontal="center"/>
      <protection locked="0" hidden="0"/>
    </xf>
    <xf numFmtId="0" fontId="0" fillId="0" borderId="0" applyAlignment="1" pivotButton="0" quotePrefix="0" xfId="0">
      <alignment horizontal="center" vertical="center"/>
    </xf>
    <xf numFmtId="0" fontId="4" fillId="27" borderId="12" applyAlignment="1" applyProtection="1" pivotButton="0" quotePrefix="0" xfId="0">
      <alignment horizontal="center" vertical="center"/>
      <protection locked="1" hidden="1"/>
    </xf>
    <xf numFmtId="0" fontId="8" fillId="15" borderId="0" pivotButton="0" quotePrefix="0" xfId="0"/>
    <xf numFmtId="0" fontId="10" fillId="15" borderId="0" applyAlignment="1" pivotButton="0" quotePrefix="0" xfId="0">
      <alignment vertical="center"/>
    </xf>
    <xf numFmtId="0" fontId="47" fillId="0" borderId="0" pivotButton="0" quotePrefix="0" xfId="0"/>
    <xf numFmtId="0" fontId="6" fillId="15" borderId="1" applyAlignment="1" pivotButton="0" quotePrefix="0" xfId="0">
      <alignment horizontal="left" vertical="center"/>
    </xf>
    <xf numFmtId="0" fontId="15" fillId="15" borderId="0" applyAlignment="1" applyProtection="1" pivotButton="0" quotePrefix="0" xfId="0">
      <alignment horizontal="left" vertical="center"/>
      <protection locked="1" hidden="1"/>
    </xf>
    <xf numFmtId="0" fontId="6" fillId="15" borderId="0" applyAlignment="1" applyProtection="1" pivotButton="0" quotePrefix="0" xfId="0">
      <alignment horizontal="left" vertical="center"/>
      <protection locked="1" hidden="1"/>
    </xf>
    <xf numFmtId="0" fontId="0" fillId="15" borderId="8" applyAlignment="1" pivotButton="0" quotePrefix="0" xfId="0">
      <alignment vertical="center"/>
    </xf>
    <xf numFmtId="0" fontId="47" fillId="15" borderId="0" pivotButton="0" quotePrefix="0" xfId="0"/>
    <xf numFmtId="0" fontId="110" fillId="15" borderId="0" pivotButton="0" quotePrefix="0" xfId="0"/>
    <xf numFmtId="0" fontId="6" fillId="15" borderId="0" applyAlignment="1" applyProtection="1" pivotButton="0" quotePrefix="0" xfId="0">
      <alignment horizontal="left"/>
      <protection locked="1" hidden="1"/>
    </xf>
    <xf numFmtId="0" fontId="11" fillId="15" borderId="0" pivotButton="0" quotePrefix="0" xfId="0"/>
    <xf numFmtId="4" fontId="6" fillId="32" borderId="83" applyAlignment="1" applyProtection="1" pivotButton="0" quotePrefix="0" xfId="0">
      <alignment horizontal="center"/>
      <protection locked="0" hidden="0"/>
    </xf>
    <xf numFmtId="0" fontId="6" fillId="15" borderId="0" applyAlignment="1" pivotButton="0" quotePrefix="0" xfId="0">
      <alignment vertical="center"/>
    </xf>
    <xf numFmtId="0" fontId="110" fillId="15" borderId="0" applyAlignment="1" pivotButton="0" quotePrefix="0" xfId="0">
      <alignment wrapText="1"/>
    </xf>
    <xf numFmtId="3" fontId="8" fillId="0" borderId="2" applyProtection="1" pivotButton="0" quotePrefix="0" xfId="0">
      <protection locked="0" hidden="0"/>
    </xf>
    <xf numFmtId="167" fontId="8" fillId="16" borderId="43" applyAlignment="1" applyProtection="1" pivotButton="0" quotePrefix="0" xfId="0">
      <alignment horizontal="right" wrapText="1"/>
      <protection locked="0" hidden="0"/>
    </xf>
    <xf numFmtId="167" fontId="8" fillId="16" borderId="12" applyAlignment="1" applyProtection="1" pivotButton="0" quotePrefix="0" xfId="0">
      <alignment horizontal="right" wrapText="1"/>
      <protection locked="0" hidden="0"/>
    </xf>
    <xf numFmtId="167" fontId="8" fillId="16" borderId="51" applyAlignment="1" applyProtection="1" pivotButton="0" quotePrefix="0" xfId="0">
      <alignment horizontal="right" wrapText="1"/>
      <protection locked="0" hidden="0"/>
    </xf>
    <xf numFmtId="171" fontId="8" fillId="16" borderId="46" applyAlignment="1" applyProtection="1" pivotButton="0" quotePrefix="0" xfId="0">
      <alignment horizontal="center" wrapText="1"/>
      <protection locked="0" hidden="0"/>
    </xf>
    <xf numFmtId="171" fontId="8" fillId="16" borderId="50" applyAlignment="1" applyProtection="1" pivotButton="0" quotePrefix="0" xfId="0">
      <alignment horizontal="center" wrapText="1"/>
      <protection locked="0" hidden="0"/>
    </xf>
    <xf numFmtId="0" fontId="4" fillId="2" borderId="40" applyProtection="1" pivotButton="0" quotePrefix="0" xfId="0">
      <protection locked="1" hidden="1"/>
    </xf>
    <xf numFmtId="0" fontId="4" fillId="2" borderId="41" applyProtection="1" pivotButton="0" quotePrefix="0" xfId="0">
      <protection locked="1" hidden="1"/>
    </xf>
    <xf numFmtId="0" fontId="4" fillId="2" borderId="23" applyAlignment="1" applyProtection="1" pivotButton="0" quotePrefix="0" xfId="0">
      <alignment horizontal="right"/>
      <protection locked="1" hidden="1"/>
    </xf>
    <xf numFmtId="0" fontId="4" fillId="2" borderId="5" applyAlignment="1" applyProtection="1" pivotButton="0" quotePrefix="0" xfId="0">
      <alignment horizontal="right"/>
      <protection locked="1" hidden="1"/>
    </xf>
    <xf numFmtId="0" fontId="128" fillId="15" borderId="0" applyProtection="1" pivotButton="0" quotePrefix="0" xfId="0">
      <protection locked="1" hidden="1"/>
    </xf>
    <xf numFmtId="3" fontId="100" fillId="15" borderId="30" applyAlignment="1" applyProtection="1" pivotButton="0" quotePrefix="0" xfId="0">
      <alignment horizontal="center"/>
      <protection locked="1" hidden="1"/>
    </xf>
    <xf numFmtId="4" fontId="128" fillId="15" borderId="14" applyProtection="1" pivotButton="0" quotePrefix="0" xfId="0">
      <protection locked="1" hidden="1"/>
    </xf>
    <xf numFmtId="3" fontId="100" fillId="15" borderId="3" applyAlignment="1" applyProtection="1" pivotButton="0" quotePrefix="0" xfId="0">
      <alignment horizontal="center"/>
      <protection locked="1" hidden="1"/>
    </xf>
    <xf numFmtId="4" fontId="128" fillId="15" borderId="24" applyProtection="1" pivotButton="0" quotePrefix="0" xfId="0">
      <protection locked="1" hidden="1"/>
    </xf>
    <xf numFmtId="3" fontId="128" fillId="15" borderId="3" applyProtection="1" pivotButton="0" quotePrefix="0" xfId="0">
      <protection locked="1" hidden="1"/>
    </xf>
    <xf numFmtId="4" fontId="128" fillId="15" borderId="24" applyAlignment="1" applyProtection="1" pivotButton="0" quotePrefix="0" xfId="0">
      <alignment vertical="center"/>
      <protection locked="1" hidden="1"/>
    </xf>
    <xf numFmtId="3" fontId="128" fillId="15" borderId="9" applyProtection="1" pivotButton="0" quotePrefix="0" xfId="0">
      <protection locked="1" hidden="1"/>
    </xf>
    <xf numFmtId="4" fontId="128" fillId="15" borderId="11" applyProtection="1" pivotButton="0" quotePrefix="0" xfId="0">
      <protection locked="1" hidden="1"/>
    </xf>
    <xf numFmtId="0" fontId="128" fillId="15" borderId="8" applyAlignment="1" applyProtection="1" pivotButton="0" quotePrefix="0" xfId="0">
      <alignment horizontal="center"/>
      <protection locked="1" hidden="1"/>
    </xf>
    <xf numFmtId="0" fontId="128" fillId="15" borderId="0" applyAlignment="1" applyProtection="1" pivotButton="0" quotePrefix="0" xfId="0">
      <alignment horizontal="center"/>
      <protection locked="1" hidden="1"/>
    </xf>
    <xf numFmtId="0" fontId="128" fillId="15" borderId="1" applyAlignment="1" applyProtection="1" pivotButton="0" quotePrefix="0" xfId="0">
      <alignment horizontal="center"/>
      <protection locked="1" hidden="1"/>
    </xf>
    <xf numFmtId="4" fontId="175" fillId="15" borderId="0" applyProtection="1" pivotButton="0" quotePrefix="0" xfId="0">
      <protection locked="1" hidden="1"/>
    </xf>
    <xf numFmtId="4" fontId="175" fillId="15" borderId="0" applyAlignment="1" applyProtection="1" pivotButton="0" quotePrefix="0" xfId="0">
      <alignment horizontal="center"/>
      <protection locked="1" hidden="1"/>
    </xf>
    <xf numFmtId="0" fontId="128" fillId="15" borderId="125" applyProtection="1" pivotButton="0" quotePrefix="0" xfId="0">
      <protection locked="1" hidden="1"/>
    </xf>
    <xf numFmtId="0" fontId="98" fillId="15" borderId="126" applyProtection="1" pivotButton="0" quotePrefix="0" xfId="0">
      <protection locked="1" hidden="1"/>
    </xf>
    <xf numFmtId="0" fontId="128" fillId="15" borderId="127" applyProtection="1" pivotButton="0" quotePrefix="0" xfId="0">
      <protection locked="1" hidden="1"/>
    </xf>
    <xf numFmtId="0" fontId="128" fillId="15" borderId="0" applyAlignment="1" applyProtection="1" pivotButton="0" quotePrefix="1" xfId="0">
      <alignment horizontal="center"/>
      <protection locked="1" hidden="1"/>
    </xf>
    <xf numFmtId="0" fontId="98" fillId="15" borderId="128" applyProtection="1" pivotButton="0" quotePrefix="0" xfId="0">
      <protection locked="1" hidden="1"/>
    </xf>
    <xf numFmtId="4" fontId="128" fillId="15" borderId="0" applyAlignment="1" applyProtection="1" pivotButton="0" quotePrefix="0" xfId="0">
      <alignment horizontal="center"/>
      <protection locked="1" hidden="1"/>
    </xf>
    <xf numFmtId="0" fontId="176" fillId="15" borderId="0" applyProtection="1" pivotButton="0" quotePrefix="0" xfId="0">
      <protection locked="1" hidden="1"/>
    </xf>
    <xf numFmtId="0" fontId="176" fillId="15" borderId="0" applyAlignment="1" applyProtection="1" pivotButton="0" quotePrefix="0" xfId="0">
      <alignment horizontal="center"/>
      <protection locked="1" hidden="1"/>
    </xf>
    <xf numFmtId="0" fontId="98" fillId="15" borderId="44" applyProtection="1" pivotButton="0" quotePrefix="0" xfId="0">
      <protection locked="1" hidden="1"/>
    </xf>
    <xf numFmtId="0" fontId="98" fillId="15" borderId="130" applyProtection="1" pivotButton="0" quotePrefix="0" xfId="0">
      <protection locked="1" hidden="1"/>
    </xf>
    <xf numFmtId="0" fontId="98" fillId="15" borderId="133" applyAlignment="1" applyProtection="1" pivotButton="0" quotePrefix="0" xfId="0">
      <alignment horizontal="centerContinuous"/>
      <protection locked="1" hidden="1"/>
    </xf>
    <xf numFmtId="0" fontId="98" fillId="15" borderId="134" applyAlignment="1" applyProtection="1" pivotButton="0" quotePrefix="0" xfId="0">
      <alignment horizontal="centerContinuous"/>
      <protection locked="1" hidden="1"/>
    </xf>
    <xf numFmtId="0" fontId="135" fillId="0" borderId="0" applyAlignment="1" applyProtection="1" pivotButton="0" quotePrefix="0" xfId="0">
      <alignment vertical="center"/>
      <protection locked="1" hidden="1"/>
    </xf>
    <xf numFmtId="3" fontId="135" fillId="0" borderId="0" applyAlignment="1" applyProtection="1" pivotButton="0" quotePrefix="0" xfId="0">
      <alignment vertical="center"/>
      <protection locked="1" hidden="1"/>
    </xf>
    <xf numFmtId="3" fontId="136" fillId="0" borderId="0" applyAlignment="1" applyProtection="1" pivotButton="0" quotePrefix="0" xfId="0">
      <alignment vertical="center"/>
      <protection locked="1" hidden="1"/>
    </xf>
    <xf numFmtId="0" fontId="135" fillId="0" borderId="0" applyProtection="1" pivotButton="0" quotePrefix="0" xfId="0">
      <protection locked="1" hidden="1"/>
    </xf>
    <xf numFmtId="0" fontId="177" fillId="15" borderId="127" applyAlignment="1" applyProtection="1" pivotButton="0" quotePrefix="0" xfId="0">
      <alignment horizontal="right"/>
      <protection locked="1" hidden="1"/>
    </xf>
    <xf numFmtId="0" fontId="177" fillId="15" borderId="127" applyProtection="1" pivotButton="0" quotePrefix="0" xfId="0">
      <protection locked="1" hidden="1"/>
    </xf>
    <xf numFmtId="0" fontId="178" fillId="15" borderId="129" applyProtection="1" pivotButton="0" quotePrefix="0" xfId="0">
      <protection locked="1" hidden="1"/>
    </xf>
    <xf numFmtId="0" fontId="177" fillId="15" borderId="124" applyAlignment="1" applyProtection="1" pivotButton="0" quotePrefix="1" xfId="0">
      <alignment horizontal="center"/>
      <protection locked="1" hidden="1"/>
    </xf>
    <xf numFmtId="0" fontId="177" fillId="15" borderId="0" applyAlignment="1" applyProtection="1" pivotButton="0" quotePrefix="1" xfId="0">
      <alignment horizontal="center"/>
      <protection locked="1" hidden="1"/>
    </xf>
    <xf numFmtId="0" fontId="0" fillId="15" borderId="0" applyProtection="1" pivotButton="0" quotePrefix="0" xfId="0">
      <protection locked="0" hidden="0"/>
    </xf>
    <xf numFmtId="0" fontId="4" fillId="15" borderId="3" applyAlignment="1" applyProtection="1" pivotButton="0" quotePrefix="0" xfId="0">
      <alignment horizontal="center" vertical="center"/>
      <protection locked="0" hidden="0"/>
    </xf>
    <xf numFmtId="0" fontId="6" fillId="15" borderId="8" pivotButton="0" quotePrefix="0" xfId="0"/>
    <xf numFmtId="0" fontId="6" fillId="15" borderId="3" pivotButton="0" quotePrefix="0" xfId="0"/>
    <xf numFmtId="0" fontId="6" fillId="15" borderId="24" pivotButton="0" quotePrefix="0" xfId="0"/>
    <xf numFmtId="0" fontId="6" fillId="15" borderId="9" pivotButton="0" quotePrefix="0" xfId="0"/>
    <xf numFmtId="0" fontId="6" fillId="15" borderId="1" pivotButton="0" quotePrefix="0" xfId="0"/>
    <xf numFmtId="0" fontId="6" fillId="15" borderId="11" pivotButton="0" quotePrefix="0" xfId="0"/>
    <xf numFmtId="0" fontId="0" fillId="15" borderId="0" applyAlignment="1" pivotButton="0" quotePrefix="0" xfId="0">
      <alignment vertical="top"/>
    </xf>
    <xf numFmtId="0" fontId="4" fillId="20" borderId="12" applyAlignment="1" applyProtection="1" pivotButton="0" quotePrefix="0" xfId="0">
      <alignment horizontal="center" vertical="center"/>
      <protection locked="0" hidden="0"/>
    </xf>
    <xf numFmtId="0" fontId="4" fillId="14" borderId="0" applyAlignment="1" applyProtection="1" pivotButton="0" quotePrefix="0" xfId="0">
      <alignment horizontal="center" vertical="center"/>
      <protection locked="0" hidden="0"/>
    </xf>
    <xf numFmtId="3" fontId="181" fillId="0" borderId="7" applyAlignment="1" applyProtection="1" pivotButton="0" quotePrefix="0" xfId="0">
      <alignment horizontal="center" wrapText="1"/>
      <protection locked="1" hidden="1"/>
    </xf>
    <xf numFmtId="0" fontId="178" fillId="0" borderId="0" applyProtection="1" pivotButton="0" quotePrefix="0" xfId="0">
      <protection locked="1" hidden="1"/>
    </xf>
    <xf numFmtId="3" fontId="177" fillId="0" borderId="0" applyProtection="1" pivotButton="0" quotePrefix="0" xfId="0">
      <protection locked="1" hidden="1"/>
    </xf>
    <xf numFmtId="0" fontId="110" fillId="15" borderId="0" applyAlignment="1" applyProtection="1" pivotButton="0" quotePrefix="0" xfId="0">
      <alignment horizontal="center" vertical="center"/>
      <protection locked="1" hidden="1"/>
    </xf>
    <xf numFmtId="4" fontId="6" fillId="2" borderId="0" applyAlignment="1" applyProtection="1" pivotButton="0" quotePrefix="0" xfId="0">
      <alignment horizontal="left" indent="1"/>
      <protection locked="1" hidden="1"/>
    </xf>
    <xf numFmtId="0" fontId="109" fillId="0" borderId="0" pivotButton="0" quotePrefix="0" xfId="0"/>
    <xf numFmtId="0" fontId="109" fillId="15" borderId="0" pivotButton="0" quotePrefix="0" xfId="0"/>
    <xf numFmtId="4" fontId="109" fillId="0" borderId="0" applyAlignment="1" applyProtection="1" pivotButton="0" quotePrefix="0" xfId="0">
      <alignment vertical="top"/>
      <protection locked="1" hidden="1"/>
    </xf>
    <xf numFmtId="0" fontId="108" fillId="2" borderId="0" applyAlignment="1" applyProtection="1" pivotButton="0" quotePrefix="0" xfId="0">
      <alignment vertical="top"/>
      <protection locked="1" hidden="1"/>
    </xf>
    <xf numFmtId="0" fontId="21" fillId="15" borderId="137" applyAlignment="1" applyProtection="1" pivotButton="0" quotePrefix="0" xfId="0">
      <alignment horizontal="left" vertical="center"/>
      <protection locked="1" hidden="1"/>
    </xf>
    <xf numFmtId="0" fontId="121" fillId="15" borderId="137" applyAlignment="1" applyProtection="1" pivotButton="0" quotePrefix="0" xfId="0">
      <alignment horizontal="left"/>
      <protection locked="1" hidden="1"/>
    </xf>
    <xf numFmtId="0" fontId="0" fillId="15" borderId="137" applyAlignment="1" applyProtection="1" pivotButton="0" quotePrefix="0" xfId="0">
      <alignment vertical="center" wrapText="1"/>
      <protection locked="1" hidden="1"/>
    </xf>
    <xf numFmtId="0" fontId="0" fillId="15" borderId="137" pivotButton="0" quotePrefix="0" xfId="0"/>
    <xf numFmtId="0" fontId="20" fillId="2" borderId="45" applyAlignment="1" applyProtection="1" pivotButton="0" quotePrefix="0" xfId="0">
      <alignment horizontal="left" vertical="center" wrapText="1"/>
      <protection locked="1" hidden="1"/>
    </xf>
    <xf numFmtId="0" fontId="20" fillId="2" borderId="45" applyAlignment="1" applyProtection="1" pivotButton="0" quotePrefix="0" xfId="0">
      <alignment horizontal="center" vertical="center" wrapText="1"/>
      <protection locked="1" hidden="1"/>
    </xf>
    <xf numFmtId="0" fontId="74" fillId="2" borderId="0" applyAlignment="1" applyProtection="1" pivotButton="0" quotePrefix="0" xfId="0">
      <alignment vertical="center" wrapText="1"/>
      <protection locked="1" hidden="1"/>
    </xf>
    <xf numFmtId="0" fontId="74" fillId="0" borderId="0" applyAlignment="1" applyProtection="1" pivotButton="0" quotePrefix="0" xfId="0">
      <alignment vertical="center" wrapText="1"/>
      <protection locked="1" hidden="1"/>
    </xf>
    <xf numFmtId="0" fontId="74" fillId="0" borderId="0" pivotButton="0" quotePrefix="0" xfId="0"/>
    <xf numFmtId="0" fontId="20" fillId="2" borderId="44" applyAlignment="1" applyProtection="1" pivotButton="0" quotePrefix="0" xfId="0">
      <alignment horizontal="left"/>
      <protection locked="1" hidden="1"/>
    </xf>
    <xf numFmtId="0" fontId="20" fillId="15" borderId="137" applyAlignment="1" applyProtection="1" pivotButton="0" quotePrefix="0" xfId="0">
      <alignment horizontal="left"/>
      <protection locked="1" hidden="1"/>
    </xf>
    <xf numFmtId="0" fontId="11" fillId="2" borderId="0" applyAlignment="1" applyProtection="1" pivotButton="0" quotePrefix="0" xfId="0">
      <alignment horizontal="center" wrapText="1"/>
      <protection locked="1" hidden="1"/>
    </xf>
    <xf numFmtId="49" fontId="6" fillId="32" borderId="142" applyAlignment="1" applyProtection="1" pivotButton="0" quotePrefix="0" xfId="0">
      <alignment horizontal="right"/>
      <protection locked="0" hidden="0"/>
    </xf>
    <xf numFmtId="49" fontId="6" fillId="32" borderId="143" applyAlignment="1" applyProtection="1" pivotButton="0" quotePrefix="0" xfId="0">
      <alignment horizontal="right"/>
      <protection locked="0" hidden="0"/>
    </xf>
    <xf numFmtId="49" fontId="10" fillId="32" borderId="142" applyAlignment="1" applyProtection="1" pivotButton="0" quotePrefix="0" xfId="0">
      <alignment horizontal="right"/>
      <protection locked="0" hidden="0"/>
    </xf>
    <xf numFmtId="49" fontId="10" fillId="32" borderId="143" applyAlignment="1" applyProtection="1" pivotButton="0" quotePrefix="0" xfId="0">
      <alignment horizontal="right"/>
      <protection locked="0" hidden="0"/>
    </xf>
    <xf numFmtId="49" fontId="10" fillId="32" borderId="144" applyAlignment="1" applyProtection="1" pivotButton="0" quotePrefix="0" xfId="0">
      <alignment horizontal="right"/>
      <protection locked="0" hidden="0"/>
    </xf>
    <xf numFmtId="49" fontId="10" fillId="32" borderId="145" applyAlignment="1" applyProtection="1" pivotButton="0" quotePrefix="0" xfId="0">
      <alignment horizontal="right"/>
      <protection locked="0" hidden="0"/>
    </xf>
    <xf numFmtId="4" fontId="6" fillId="32" borderId="138" applyAlignment="1" applyProtection="1" pivotButton="0" quotePrefix="0" xfId="0">
      <alignment horizontal="center"/>
      <protection locked="0" hidden="0"/>
    </xf>
    <xf numFmtId="4" fontId="6" fillId="32" borderId="139" applyAlignment="1" applyProtection="1" pivotButton="0" quotePrefix="0" xfId="0">
      <alignment horizontal="center"/>
      <protection locked="0" hidden="0"/>
    </xf>
    <xf numFmtId="4" fontId="6" fillId="32" borderId="141" applyAlignment="1" applyProtection="1" pivotButton="0" quotePrefix="0" xfId="0">
      <alignment horizontal="center"/>
      <protection locked="0" hidden="0"/>
    </xf>
    <xf numFmtId="4" fontId="6" fillId="32" borderId="138" applyProtection="1" pivotButton="0" quotePrefix="0" xfId="0">
      <protection locked="0" hidden="0"/>
    </xf>
    <xf numFmtId="4" fontId="6" fillId="32" borderId="139" applyProtection="1" pivotButton="0" quotePrefix="0" xfId="0">
      <protection locked="0" hidden="0"/>
    </xf>
    <xf numFmtId="4" fontId="6" fillId="32" borderId="142" applyAlignment="1" applyProtection="1" pivotButton="0" quotePrefix="0" xfId="0">
      <alignment horizontal="right"/>
      <protection locked="0" hidden="0"/>
    </xf>
    <xf numFmtId="4" fontId="6" fillId="32" borderId="143" applyAlignment="1" applyProtection="1" pivotButton="0" quotePrefix="0" xfId="0">
      <alignment horizontal="right"/>
      <protection locked="0" hidden="0"/>
    </xf>
    <xf numFmtId="4" fontId="6" fillId="32" borderId="144" applyAlignment="1" applyProtection="1" pivotButton="0" quotePrefix="0" xfId="0">
      <alignment horizontal="right"/>
      <protection locked="0" hidden="0"/>
    </xf>
    <xf numFmtId="4" fontId="6" fillId="32" borderId="145" applyAlignment="1" applyProtection="1" pivotButton="0" quotePrefix="0" xfId="0">
      <alignment horizontal="right"/>
      <protection locked="0" hidden="0"/>
    </xf>
    <xf numFmtId="49" fontId="6" fillId="32" borderId="144" applyAlignment="1" applyProtection="1" pivotButton="0" quotePrefix="0" xfId="0">
      <alignment horizontal="right"/>
      <protection locked="0" hidden="0"/>
    </xf>
    <xf numFmtId="49" fontId="6" fillId="32" borderId="145" applyAlignment="1" applyProtection="1" pivotButton="0" quotePrefix="0" xfId="0">
      <alignment horizontal="right"/>
      <protection locked="0" hidden="0"/>
    </xf>
    <xf numFmtId="168" fontId="6" fillId="32" borderId="142" applyAlignment="1" applyProtection="1" pivotButton="0" quotePrefix="0" xfId="0">
      <alignment horizontal="right"/>
      <protection locked="0" hidden="0"/>
    </xf>
    <xf numFmtId="168" fontId="6" fillId="32" borderId="143" applyAlignment="1" applyProtection="1" pivotButton="0" quotePrefix="0" xfId="0">
      <alignment horizontal="right"/>
      <protection locked="0" hidden="0"/>
    </xf>
    <xf numFmtId="168" fontId="6" fillId="32" borderId="144" applyAlignment="1" applyProtection="1" pivotButton="0" quotePrefix="0" xfId="0">
      <alignment horizontal="right"/>
      <protection locked="0" hidden="0"/>
    </xf>
    <xf numFmtId="168" fontId="6" fillId="32" borderId="145" applyAlignment="1" applyProtection="1" pivotButton="0" quotePrefix="0" xfId="0">
      <alignment horizontal="right"/>
      <protection locked="0" hidden="0"/>
    </xf>
    <xf numFmtId="4" fontId="6" fillId="32" borderId="146" applyAlignment="1" applyProtection="1" pivotButton="0" quotePrefix="0" xfId="0">
      <alignment horizontal="right"/>
      <protection locked="0" hidden="0"/>
    </xf>
    <xf numFmtId="4" fontId="6" fillId="32" borderId="147" applyAlignment="1" applyProtection="1" pivotButton="0" quotePrefix="0" xfId="0">
      <alignment horizontal="right"/>
      <protection locked="0" hidden="0"/>
    </xf>
    <xf numFmtId="4" fontId="6" fillId="32" borderId="148" applyAlignment="1" applyProtection="1" pivotButton="0" quotePrefix="0" xfId="0">
      <alignment horizontal="right"/>
      <protection locked="0" hidden="0"/>
    </xf>
    <xf numFmtId="4" fontId="6" fillId="32" borderId="149" applyAlignment="1" applyProtection="1" pivotButton="0" quotePrefix="0" xfId="0">
      <alignment horizontal="right"/>
      <protection locked="0" hidden="0"/>
    </xf>
    <xf numFmtId="4" fontId="6" fillId="2" borderId="49" applyAlignment="1" applyProtection="1" pivotButton="0" quotePrefix="0" xfId="0">
      <alignment horizontal="center"/>
      <protection locked="1" hidden="1"/>
    </xf>
    <xf numFmtId="168" fontId="6" fillId="2" borderId="49" applyAlignment="1" applyProtection="1" pivotButton="0" quotePrefix="0" xfId="0">
      <alignment horizontal="right"/>
      <protection locked="1" hidden="1"/>
    </xf>
    <xf numFmtId="0" fontId="6" fillId="0" borderId="0" applyAlignment="1" pivotButton="0" quotePrefix="0" xfId="0">
      <alignment wrapText="1"/>
    </xf>
    <xf numFmtId="4" fontId="100" fillId="0" borderId="7" applyAlignment="1" applyProtection="1" pivotButton="0" quotePrefix="0" xfId="0">
      <alignment horizontal="center" wrapText="1"/>
      <protection locked="1" hidden="1"/>
    </xf>
    <xf numFmtId="4" fontId="128" fillId="0" borderId="0" applyProtection="1" pivotButton="0" quotePrefix="0" xfId="0">
      <protection locked="1" hidden="1"/>
    </xf>
    <xf numFmtId="0" fontId="98" fillId="0" borderId="0" applyAlignment="1" applyProtection="1" pivotButton="0" quotePrefix="0" xfId="0">
      <alignment horizontal="center"/>
      <protection locked="1" hidden="1"/>
    </xf>
    <xf numFmtId="0" fontId="110" fillId="15" borderId="0" applyAlignment="1" applyProtection="1" pivotButton="0" quotePrefix="0" xfId="0">
      <alignment horizontal="right"/>
      <protection locked="1" hidden="1"/>
    </xf>
    <xf numFmtId="4" fontId="4" fillId="2" borderId="5" applyAlignment="1" applyProtection="1" pivotButton="0" quotePrefix="0" xfId="0">
      <alignment horizontal="left" indent="1"/>
      <protection locked="1" hidden="1"/>
    </xf>
    <xf numFmtId="4" fontId="57" fillId="2" borderId="0" applyAlignment="1" applyProtection="1" pivotButton="0" quotePrefix="0" xfId="0">
      <alignment vertical="top"/>
      <protection locked="1" hidden="1"/>
    </xf>
    <xf numFmtId="49" fontId="6" fillId="32" borderId="142" applyAlignment="1" applyProtection="1" pivotButton="0" quotePrefix="0" xfId="0">
      <alignment horizontal="center"/>
      <protection locked="0" hidden="0"/>
    </xf>
    <xf numFmtId="49" fontId="6" fillId="32" borderId="143" applyAlignment="1" applyProtection="1" pivotButton="0" quotePrefix="0" xfId="0">
      <alignment horizontal="center"/>
      <protection locked="0" hidden="0"/>
    </xf>
    <xf numFmtId="49" fontId="6" fillId="32" borderId="145" applyAlignment="1" applyProtection="1" pivotButton="0" quotePrefix="0" xfId="0">
      <alignment horizontal="center"/>
      <protection locked="0" hidden="0"/>
    </xf>
    <xf numFmtId="49" fontId="6" fillId="32" borderId="146" applyAlignment="1" applyProtection="1" pivotButton="0" quotePrefix="0" xfId="0">
      <alignment horizontal="center"/>
      <protection locked="0" hidden="0"/>
    </xf>
    <xf numFmtId="49" fontId="6" fillId="32" borderId="147" applyAlignment="1" applyProtection="1" pivotButton="0" quotePrefix="0" xfId="0">
      <alignment horizontal="center"/>
      <protection locked="0" hidden="0"/>
    </xf>
    <xf numFmtId="49" fontId="6" fillId="32" borderId="149" applyAlignment="1" applyProtection="1" pivotButton="0" quotePrefix="0" xfId="0">
      <alignment horizontal="center"/>
      <protection locked="0" hidden="0"/>
    </xf>
    <xf numFmtId="0" fontId="4" fillId="0" borderId="0" applyAlignment="1" applyProtection="1" pivotButton="0" quotePrefix="0" xfId="0">
      <alignment horizontal="center" vertical="center"/>
      <protection locked="0" hidden="0"/>
    </xf>
    <xf numFmtId="0" fontId="112" fillId="15" borderId="0" applyAlignment="1" applyProtection="1" pivotButton="0" quotePrefix="0" xfId="0">
      <alignment horizontal="center"/>
      <protection locked="1" hidden="1"/>
    </xf>
    <xf numFmtId="4" fontId="185" fillId="0" borderId="0" applyProtection="1" pivotButton="0" quotePrefix="0" xfId="0">
      <protection locked="1" hidden="1"/>
    </xf>
    <xf numFmtId="0" fontId="4" fillId="2" borderId="0" applyAlignment="1" applyProtection="1" pivotButton="0" quotePrefix="0" xfId="0">
      <alignment horizontal="center" wrapText="1"/>
      <protection locked="1" hidden="1"/>
    </xf>
    <xf numFmtId="4" fontId="6" fillId="32" borderId="114" applyProtection="1" pivotButton="0" quotePrefix="0" xfId="0">
      <protection locked="0" hidden="0"/>
    </xf>
    <xf numFmtId="4" fontId="6" fillId="32" borderId="115" applyProtection="1" pivotButton="0" quotePrefix="0" xfId="0">
      <protection locked="0" hidden="0"/>
    </xf>
    <xf numFmtId="4" fontId="6" fillId="32" borderId="116" applyProtection="1" pivotButton="0" quotePrefix="0" xfId="0">
      <protection locked="0" hidden="0"/>
    </xf>
    <xf numFmtId="4" fontId="6" fillId="32" borderId="117" applyProtection="1" pivotButton="0" quotePrefix="0" xfId="0">
      <protection locked="0" hidden="0"/>
    </xf>
    <xf numFmtId="4" fontId="6" fillId="32" borderId="118" applyProtection="1" pivotButton="0" quotePrefix="0" xfId="0">
      <protection locked="0" hidden="0"/>
    </xf>
    <xf numFmtId="4" fontId="6" fillId="32" borderId="119" applyProtection="1" pivotButton="0" quotePrefix="0" xfId="0">
      <protection locked="0" hidden="0"/>
    </xf>
    <xf numFmtId="0" fontId="0" fillId="0" borderId="1" applyProtection="1" pivotButton="0" quotePrefix="0" xfId="0">
      <protection locked="1" hidden="1"/>
    </xf>
    <xf numFmtId="4" fontId="6" fillId="32" borderId="140" applyProtection="1" pivotButton="0" quotePrefix="0" xfId="0">
      <protection locked="0" hidden="0"/>
    </xf>
    <xf numFmtId="4" fontId="6" fillId="32" borderId="141" applyProtection="1" pivotButton="0" quotePrefix="0" xfId="0">
      <protection locked="0" hidden="0"/>
    </xf>
    <xf numFmtId="4" fontId="0" fillId="2" borderId="5" applyProtection="1" pivotButton="0" quotePrefix="0" xfId="0">
      <protection locked="1" hidden="1"/>
    </xf>
    <xf numFmtId="0" fontId="108" fillId="2" borderId="42" applyProtection="1" pivotButton="0" quotePrefix="0" xfId="0">
      <protection locked="1" hidden="1"/>
    </xf>
    <xf numFmtId="4" fontId="6" fillId="2" borderId="5" applyAlignment="1" applyProtection="1" pivotButton="0" quotePrefix="0" xfId="0">
      <alignment horizontal="left"/>
      <protection locked="1" hidden="1"/>
    </xf>
    <xf numFmtId="4" fontId="109" fillId="2" borderId="5" applyProtection="1" pivotButton="0" quotePrefix="0" xfId="0">
      <protection locked="1" hidden="1"/>
    </xf>
    <xf numFmtId="4" fontId="57" fillId="2" borderId="5" applyProtection="1" pivotButton="0" quotePrefix="0" xfId="0">
      <protection locked="1" hidden="1"/>
    </xf>
    <xf numFmtId="1" fontId="22" fillId="2" borderId="0" applyProtection="1" pivotButton="0" quotePrefix="0" xfId="0">
      <protection locked="1" hidden="1"/>
    </xf>
    <xf numFmtId="168" fontId="108" fillId="2" borderId="49" applyProtection="1" pivotButton="0" quotePrefix="0" xfId="0">
      <protection locked="1" hidden="1"/>
    </xf>
    <xf numFmtId="4" fontId="15" fillId="24" borderId="0" applyProtection="1" pivotButton="0" quotePrefix="0" xfId="0">
      <protection locked="0" hidden="0"/>
    </xf>
    <xf numFmtId="4" fontId="0" fillId="24" borderId="0" applyProtection="1" pivotButton="0" quotePrefix="0" xfId="0">
      <protection locked="0" hidden="0"/>
    </xf>
    <xf numFmtId="39" fontId="15" fillId="24" borderId="0" applyProtection="1" pivotButton="0" quotePrefix="0" xfId="0">
      <protection locked="0" hidden="0"/>
    </xf>
    <xf numFmtId="39" fontId="0" fillId="24" borderId="0" applyProtection="1" pivotButton="0" quotePrefix="0" xfId="0">
      <protection locked="0" hidden="0"/>
    </xf>
    <xf numFmtId="39" fontId="10" fillId="24" borderId="0" applyProtection="1" pivotButton="0" quotePrefix="0" xfId="0">
      <protection locked="0" hidden="0"/>
    </xf>
    <xf numFmtId="39" fontId="15" fillId="24" borderId="4" applyAlignment="1" applyProtection="1" pivotButton="0" quotePrefix="0" xfId="0">
      <alignment horizontal="left"/>
      <protection locked="0" hidden="0"/>
    </xf>
    <xf numFmtId="39" fontId="21" fillId="24" borderId="4" applyAlignment="1" applyProtection="1" pivotButton="0" quotePrefix="0" xfId="0">
      <alignment horizontal="left" vertical="center"/>
      <protection locked="0" hidden="0"/>
    </xf>
    <xf numFmtId="39" fontId="0" fillId="24" borderId="0" applyAlignment="1" applyProtection="1" pivotButton="0" quotePrefix="0" xfId="0">
      <alignment vertical="top"/>
      <protection locked="0" hidden="0"/>
    </xf>
    <xf numFmtId="39" fontId="74" fillId="24" borderId="0" applyProtection="1" pivotButton="0" quotePrefix="0" xfId="0">
      <protection locked="0" hidden="0"/>
    </xf>
    <xf numFmtId="39" fontId="6" fillId="24" borderId="0" applyProtection="1" pivotButton="0" quotePrefix="0" xfId="0">
      <protection locked="0" hidden="0"/>
    </xf>
    <xf numFmtId="39" fontId="0" fillId="24" borderId="0" applyAlignment="1" applyProtection="1" pivotButton="0" quotePrefix="0" xfId="0">
      <alignment vertical="center"/>
      <protection locked="0" hidden="0"/>
    </xf>
    <xf numFmtId="39" fontId="15" fillId="24" borderId="0" applyAlignment="1" applyProtection="1" pivotButton="0" quotePrefix="0" xfId="0">
      <alignment vertical="top"/>
      <protection locked="0" hidden="0"/>
    </xf>
    <xf numFmtId="39" fontId="22" fillId="24" borderId="0" applyAlignment="1" applyProtection="1" pivotButton="0" quotePrefix="0" xfId="0">
      <alignment vertical="center"/>
      <protection locked="0" hidden="0"/>
    </xf>
    <xf numFmtId="39" fontId="14" fillId="24" borderId="0" applyProtection="1" pivotButton="0" quotePrefix="0" xfId="0">
      <protection locked="0" hidden="0"/>
    </xf>
    <xf numFmtId="39" fontId="86" fillId="24" borderId="0" applyProtection="1" pivotButton="0" quotePrefix="0" xfId="0">
      <protection locked="0" hidden="0"/>
    </xf>
    <xf numFmtId="39" fontId="22" fillId="24" borderId="0" applyProtection="1" pivotButton="0" quotePrefix="0" xfId="0">
      <protection locked="0" hidden="0"/>
    </xf>
    <xf numFmtId="39" fontId="0" fillId="24" borderId="64" applyProtection="1" pivotButton="0" quotePrefix="0" xfId="0">
      <protection locked="0" hidden="0"/>
    </xf>
    <xf numFmtId="39" fontId="22" fillId="24" borderId="64" applyProtection="1" pivotButton="0" quotePrefix="0" xfId="0">
      <protection locked="0" hidden="0"/>
    </xf>
    <xf numFmtId="39" fontId="57" fillId="24" borderId="0" applyProtection="1" pivotButton="0" quotePrefix="0" xfId="0">
      <protection locked="0" hidden="0"/>
    </xf>
    <xf numFmtId="39" fontId="6" fillId="24" borderId="23" applyAlignment="1" applyProtection="1" pivotButton="0" quotePrefix="0" xfId="0">
      <alignment horizontal="right"/>
      <protection locked="0" hidden="0"/>
    </xf>
    <xf numFmtId="39" fontId="6" fillId="24" borderId="5" applyAlignment="1" applyProtection="1" pivotButton="0" quotePrefix="0" xfId="0">
      <alignment horizontal="right"/>
      <protection locked="0" hidden="0"/>
    </xf>
    <xf numFmtId="39" fontId="6" fillId="24" borderId="26" applyAlignment="1" applyProtection="1" pivotButton="0" quotePrefix="0" xfId="0">
      <alignment horizontal="center"/>
      <protection locked="0" hidden="0"/>
    </xf>
    <xf numFmtId="39" fontId="6" fillId="24" borderId="29" applyAlignment="1" applyProtection="1" pivotButton="0" quotePrefix="0" xfId="0">
      <alignment horizontal="center"/>
      <protection locked="0" hidden="0"/>
    </xf>
    <xf numFmtId="39" fontId="6" fillId="24" borderId="20" applyAlignment="1" applyProtection="1" pivotButton="0" quotePrefix="0" xfId="0">
      <alignment horizontal="center"/>
      <protection locked="0" hidden="0"/>
    </xf>
    <xf numFmtId="39" fontId="6" fillId="24" borderId="46" applyAlignment="1" applyProtection="1" pivotButton="0" quotePrefix="0" xfId="0">
      <alignment horizontal="right"/>
      <protection locked="0" hidden="0"/>
    </xf>
    <xf numFmtId="39" fontId="6" fillId="24" borderId="58" applyAlignment="1" applyProtection="1" pivotButton="0" quotePrefix="0" xfId="0">
      <alignment horizontal="right"/>
      <protection locked="0" hidden="0"/>
    </xf>
    <xf numFmtId="39" fontId="6" fillId="24" borderId="54" applyAlignment="1" applyProtection="1" pivotButton="0" quotePrefix="0" xfId="0">
      <alignment horizontal="right"/>
      <protection locked="0" hidden="0"/>
    </xf>
    <xf numFmtId="39" fontId="6" fillId="24" borderId="59" applyAlignment="1" applyProtection="1" pivotButton="0" quotePrefix="0" xfId="0">
      <alignment horizontal="right"/>
      <protection locked="0" hidden="0"/>
    </xf>
    <xf numFmtId="39" fontId="6" fillId="24" borderId="111" applyAlignment="1" applyProtection="1" pivotButton="0" quotePrefix="0" xfId="0">
      <alignment horizontal="right"/>
      <protection locked="0" hidden="0"/>
    </xf>
    <xf numFmtId="39" fontId="6" fillId="24" borderId="112" applyAlignment="1" applyProtection="1" pivotButton="0" quotePrefix="0" xfId="0">
      <alignment horizontal="right"/>
      <protection locked="0" hidden="0"/>
    </xf>
    <xf numFmtId="39" fontId="6" fillId="24" borderId="31" applyAlignment="1" applyProtection="1" pivotButton="0" quotePrefix="0" xfId="0">
      <alignment horizontal="right"/>
      <protection locked="0" hidden="0"/>
    </xf>
    <xf numFmtId="39" fontId="15" fillId="24" borderId="0" applyAlignment="1" applyProtection="1" pivotButton="0" quotePrefix="0" xfId="0">
      <alignment horizontal="left"/>
      <protection locked="0" hidden="0"/>
    </xf>
    <xf numFmtId="39" fontId="0" fillId="24" borderId="65" applyProtection="1" pivotButton="0" quotePrefix="0" xfId="0">
      <protection locked="0" hidden="0"/>
    </xf>
    <xf numFmtId="0" fontId="10" fillId="0" borderId="0" applyAlignment="1" pivotButton="0" quotePrefix="0" xfId="0">
      <alignment horizontal="center"/>
    </xf>
    <xf numFmtId="0" fontId="10" fillId="15" borderId="0" applyAlignment="1" pivotButton="0" quotePrefix="0" xfId="0">
      <alignment horizontal="center"/>
    </xf>
    <xf numFmtId="0" fontId="150" fillId="0" borderId="0" applyAlignment="1" pivotButton="0" quotePrefix="0" xfId="0">
      <alignment vertical="center"/>
    </xf>
    <xf numFmtId="0" fontId="115" fillId="2" borderId="0" applyProtection="1" pivotButton="0" quotePrefix="1" xfId="0">
      <protection locked="1" hidden="1"/>
    </xf>
    <xf numFmtId="164" fontId="4" fillId="2" borderId="5" applyAlignment="1" applyProtection="1" pivotButton="0" quotePrefix="1" xfId="0">
      <alignment horizontal="right"/>
      <protection locked="1" hidden="1"/>
    </xf>
    <xf numFmtId="164" fontId="4" fillId="2" borderId="0" applyAlignment="1" applyProtection="1" pivotButton="0" quotePrefix="1" xfId="0">
      <alignment horizontal="right"/>
      <protection locked="1" hidden="1"/>
    </xf>
    <xf numFmtId="38" fontId="8" fillId="15" borderId="0" applyProtection="1" pivotButton="0" quotePrefix="0" xfId="0">
      <protection locked="1" hidden="1"/>
    </xf>
    <xf numFmtId="0" fontId="121" fillId="2" borderId="0" applyAlignment="1" applyProtection="1" pivotButton="0" quotePrefix="0" xfId="0">
      <alignment horizontal="right"/>
      <protection locked="1" hidden="1"/>
    </xf>
    <xf numFmtId="172" fontId="112" fillId="3" borderId="0" applyAlignment="1" applyProtection="1" pivotButton="0" quotePrefix="0" xfId="0">
      <alignment horizontal="center"/>
      <protection locked="1" hidden="1"/>
    </xf>
    <xf numFmtId="39" fontId="116" fillId="3" borderId="0" applyAlignment="1" applyProtection="1" pivotButton="0" quotePrefix="0" xfId="0">
      <alignment horizontal="center"/>
      <protection locked="1" hidden="1"/>
    </xf>
    <xf numFmtId="0" fontId="67" fillId="15" borderId="0" applyProtection="1" pivotButton="0" quotePrefix="0" xfId="2">
      <protection locked="1" hidden="1"/>
    </xf>
    <xf numFmtId="0" fontId="67" fillId="15" borderId="4" applyAlignment="1" pivotButton="0" quotePrefix="0" xfId="2">
      <alignment horizontal="right"/>
    </xf>
    <xf numFmtId="0" fontId="191" fillId="0" borderId="0" applyAlignment="1" applyProtection="1" pivotButton="0" quotePrefix="0" xfId="0">
      <alignment horizontal="center" vertical="center"/>
      <protection locked="1" hidden="1"/>
    </xf>
    <xf numFmtId="0" fontId="191" fillId="0" borderId="0" applyProtection="1" pivotButton="0" quotePrefix="0" xfId="0">
      <protection locked="1" hidden="1"/>
    </xf>
    <xf numFmtId="0" fontId="191" fillId="0" borderId="0" applyAlignment="1" applyProtection="1" pivotButton="0" quotePrefix="0" xfId="0">
      <alignment horizontal="right"/>
      <protection locked="1" hidden="1"/>
    </xf>
    <xf numFmtId="0" fontId="192" fillId="0" borderId="0" applyAlignment="1" applyProtection="1" pivotButton="0" quotePrefix="0" xfId="0">
      <alignment horizontal="center"/>
      <protection locked="1" hidden="1"/>
    </xf>
    <xf numFmtId="0" fontId="190" fillId="33" borderId="153" applyAlignment="1" applyProtection="1" pivotButton="0" quotePrefix="0" xfId="0">
      <alignment horizontal="left" vertical="center"/>
      <protection locked="1" hidden="1"/>
    </xf>
    <xf numFmtId="0" fontId="194" fillId="34" borderId="153" applyAlignment="1" applyProtection="1" pivotButton="0" quotePrefix="0" xfId="0">
      <alignment vertical="center"/>
      <protection locked="1" hidden="1"/>
    </xf>
    <xf numFmtId="0" fontId="194" fillId="33" borderId="153" applyAlignment="1" applyProtection="1" pivotButton="0" quotePrefix="0" xfId="0">
      <alignment vertical="center"/>
      <protection locked="1" hidden="1"/>
    </xf>
    <xf numFmtId="0" fontId="194" fillId="34" borderId="153" applyAlignment="1" applyProtection="1" pivotButton="0" quotePrefix="0" xfId="0">
      <alignment vertical="center" wrapText="1"/>
      <protection locked="1" hidden="1"/>
    </xf>
    <xf numFmtId="3" fontId="195" fillId="0" borderId="7" applyAlignment="1" applyProtection="1" pivotButton="0" quotePrefix="0" xfId="0">
      <alignment horizontal="center" wrapText="1"/>
      <protection locked="1" hidden="1"/>
    </xf>
    <xf numFmtId="3" fontId="6" fillId="15" borderId="2" applyProtection="1" pivotButton="0" quotePrefix="0" xfId="0">
      <protection locked="0" hidden="0"/>
    </xf>
    <xf numFmtId="3" fontId="6" fillId="15" borderId="0" applyProtection="1" pivotButton="0" quotePrefix="0" xfId="0">
      <protection locked="0" hidden="0"/>
    </xf>
    <xf numFmtId="0" fontId="150" fillId="15" borderId="0" applyAlignment="1" pivotButton="0" quotePrefix="0" xfId="0">
      <alignment vertical="center" wrapText="1"/>
    </xf>
    <xf numFmtId="0" fontId="4" fillId="15" borderId="0" applyAlignment="1" applyProtection="1" pivotButton="0" quotePrefix="0" xfId="0">
      <alignment horizontal="center" vertical="center"/>
      <protection locked="0" hidden="0"/>
    </xf>
    <xf numFmtId="39" fontId="0" fillId="24" borderId="0" applyAlignment="1" applyProtection="1" pivotButton="0" quotePrefix="0" xfId="0">
      <alignment horizontal="left"/>
      <protection locked="0" hidden="0"/>
    </xf>
    <xf numFmtId="0" fontId="6" fillId="15" borderId="1" applyAlignment="1" applyProtection="1" pivotButton="0" quotePrefix="0" xfId="0">
      <alignment vertical="top"/>
      <protection locked="1" hidden="1"/>
    </xf>
    <xf numFmtId="4" fontId="6" fillId="24" borderId="0" applyAlignment="1" applyProtection="1" pivotButton="0" quotePrefix="0" xfId="0">
      <alignment wrapText="1"/>
      <protection locked="0" hidden="0"/>
    </xf>
    <xf numFmtId="0" fontId="0" fillId="15" borderId="71" pivotButton="0" quotePrefix="0" xfId="0"/>
    <xf numFmtId="0" fontId="0" fillId="15" borderId="32" pivotButton="0" quotePrefix="0" xfId="0"/>
    <xf numFmtId="0" fontId="0" fillId="15" borderId="100" pivotButton="0" quotePrefix="0" xfId="0"/>
    <xf numFmtId="0" fontId="0" fillId="15" borderId="75" pivotButton="0" quotePrefix="0" xfId="0"/>
    <xf numFmtId="0" fontId="0" fillId="15" borderId="72" pivotButton="0" quotePrefix="0" xfId="0"/>
    <xf numFmtId="0" fontId="0" fillId="15" borderId="13" pivotButton="0" quotePrefix="0" xfId="0"/>
    <xf numFmtId="0" fontId="0" fillId="15" borderId="33" pivotButton="0" quotePrefix="0" xfId="0"/>
    <xf numFmtId="0" fontId="0" fillId="19" borderId="0" pivotButton="0" quotePrefix="0" xfId="0"/>
    <xf numFmtId="0" fontId="146" fillId="15" borderId="0" pivotButton="0" quotePrefix="0" xfId="0"/>
    <xf numFmtId="0" fontId="67" fillId="15" borderId="0" pivotButton="0" quotePrefix="0" xfId="2"/>
    <xf numFmtId="0" fontId="0" fillId="15" borderId="6" pivotButton="0" quotePrefix="0" xfId="0"/>
    <xf numFmtId="4" fontId="4" fillId="21" borderId="0" applyAlignment="1" applyProtection="1" pivotButton="0" quotePrefix="0" xfId="0">
      <alignment horizontal="center" vertical="center"/>
      <protection locked="0" hidden="0"/>
    </xf>
    <xf numFmtId="0" fontId="6" fillId="2" borderId="0" applyAlignment="1" pivotButton="0" quotePrefix="0" xfId="0">
      <alignment horizontal="center"/>
    </xf>
    <xf numFmtId="0" fontId="22" fillId="2" borderId="0" applyAlignment="1" pivotButton="0" quotePrefix="0" xfId="0">
      <alignment horizontal="center"/>
    </xf>
    <xf numFmtId="0" fontId="6" fillId="15" borderId="0" applyAlignment="1" pivotButton="0" quotePrefix="0" xfId="0">
      <alignment horizontal="center"/>
    </xf>
    <xf numFmtId="37" fontId="31" fillId="2" borderId="10" applyProtection="1" pivotButton="0" quotePrefix="0" xfId="0">
      <protection locked="0" hidden="0"/>
    </xf>
    <xf numFmtId="37" fontId="31" fillId="2" borderId="12" applyProtection="1" pivotButton="0" quotePrefix="0" xfId="0">
      <protection locked="0" hidden="0"/>
    </xf>
    <xf numFmtId="0" fontId="9" fillId="15" borderId="0" applyAlignment="1" pivotButton="0" quotePrefix="0" xfId="0">
      <alignment horizontal="center"/>
    </xf>
    <xf numFmtId="0" fontId="15" fillId="15" borderId="0" applyAlignment="1" pivotButton="0" quotePrefix="1" xfId="0">
      <alignment horizontal="right" vertical="center"/>
    </xf>
    <xf numFmtId="3" fontId="110" fillId="15" borderId="0" applyAlignment="1" pivotButton="0" quotePrefix="0" xfId="0">
      <alignment wrapText="1"/>
    </xf>
    <xf numFmtId="4" fontId="4" fillId="32" borderId="142" applyAlignment="1" applyProtection="1" pivotButton="0" quotePrefix="0" xfId="0">
      <alignment horizontal="center"/>
      <protection locked="0" hidden="0"/>
    </xf>
    <xf numFmtId="4" fontId="4" fillId="32" borderId="143" applyAlignment="1" applyProtection="1" pivotButton="0" quotePrefix="0" xfId="0">
      <alignment horizontal="center"/>
      <protection locked="0" hidden="0"/>
    </xf>
    <xf numFmtId="4" fontId="4" fillId="32" borderId="144" applyAlignment="1" applyProtection="1" pivotButton="0" quotePrefix="0" xfId="0">
      <alignment horizontal="center"/>
      <protection locked="0" hidden="0"/>
    </xf>
    <xf numFmtId="4" fontId="4" fillId="32" borderId="145" applyAlignment="1" applyProtection="1" pivotButton="0" quotePrefix="0" xfId="0">
      <alignment horizontal="center"/>
      <protection locked="0" hidden="0"/>
    </xf>
    <xf numFmtId="4" fontId="0" fillId="15" borderId="0" pivotButton="0" quotePrefix="0" xfId="0"/>
    <xf numFmtId="49" fontId="4" fillId="32" borderId="142" applyAlignment="1" applyProtection="1" pivotButton="0" quotePrefix="0" xfId="0">
      <alignment horizontal="center"/>
      <protection locked="0" hidden="0"/>
    </xf>
    <xf numFmtId="49" fontId="4" fillId="32" borderId="143" applyAlignment="1" applyProtection="1" pivotButton="0" quotePrefix="0" xfId="0">
      <alignment horizontal="center"/>
      <protection locked="0" hidden="0"/>
    </xf>
    <xf numFmtId="49" fontId="4" fillId="32" borderId="144" applyAlignment="1" applyProtection="1" pivotButton="0" quotePrefix="0" xfId="0">
      <alignment horizontal="center"/>
      <protection locked="0" hidden="0"/>
    </xf>
    <xf numFmtId="49" fontId="4" fillId="32" borderId="145" applyAlignment="1" applyProtection="1" pivotButton="0" quotePrefix="0" xfId="0">
      <alignment horizontal="center"/>
      <protection locked="0" hidden="0"/>
    </xf>
    <xf numFmtId="4" fontId="109" fillId="15" borderId="0" applyAlignment="1" applyProtection="1" pivotButton="0" quotePrefix="0" xfId="0">
      <alignment vertical="top"/>
      <protection locked="1" hidden="1"/>
    </xf>
    <xf numFmtId="4" fontId="109" fillId="15" borderId="0" applyProtection="1" pivotButton="0" quotePrefix="0" xfId="0">
      <protection locked="1" hidden="1"/>
    </xf>
    <xf numFmtId="0" fontId="0" fillId="15" borderId="44" pivotButton="0" quotePrefix="0" xfId="0"/>
    <xf numFmtId="4" fontId="6" fillId="2" borderId="5" applyProtection="1" pivotButton="0" quotePrefix="0" xfId="0">
      <protection locked="1" hidden="1"/>
    </xf>
    <xf numFmtId="39" fontId="4" fillId="7" borderId="0" applyAlignment="1" applyProtection="1" pivotButton="0" quotePrefix="0" xfId="0">
      <alignment horizontal="center" vertical="center"/>
      <protection locked="0" hidden="0"/>
    </xf>
    <xf numFmtId="39" fontId="109" fillId="24" borderId="0" applyProtection="1" pivotButton="0" quotePrefix="0" xfId="0">
      <protection locked="0" hidden="0"/>
    </xf>
    <xf numFmtId="39" fontId="11" fillId="24" borderId="0" applyProtection="1" pivotButton="0" quotePrefix="0" xfId="0">
      <protection locked="0" hidden="0"/>
    </xf>
    <xf numFmtId="37" fontId="9" fillId="20" borderId="29" applyAlignment="1" applyProtection="1" pivotButton="0" quotePrefix="0" xfId="0">
      <alignment horizontal="right"/>
      <protection locked="0" hidden="0"/>
    </xf>
    <xf numFmtId="37" fontId="9" fillId="16" borderId="77" applyAlignment="1" applyProtection="1" pivotButton="0" quotePrefix="0" xfId="0">
      <alignment horizontal="right"/>
      <protection locked="0" hidden="0"/>
    </xf>
    <xf numFmtId="37" fontId="9" fillId="16" borderId="29" applyAlignment="1" applyProtection="1" pivotButton="0" quotePrefix="0" xfId="0">
      <alignment horizontal="right"/>
      <protection locked="0" hidden="0"/>
    </xf>
    <xf numFmtId="37" fontId="9" fillId="16" borderId="79" applyAlignment="1" applyProtection="1" pivotButton="0" quotePrefix="0" xfId="0">
      <alignment horizontal="right"/>
      <protection locked="0" hidden="0"/>
    </xf>
    <xf numFmtId="4" fontId="0" fillId="0" borderId="2" applyProtection="1" pivotButton="0" quotePrefix="0" xfId="0">
      <protection locked="0" hidden="0"/>
    </xf>
    <xf numFmtId="0" fontId="15" fillId="5" borderId="0" applyAlignment="1" applyProtection="1" pivotButton="0" quotePrefix="0" xfId="0">
      <alignment horizontal="center" vertical="center"/>
      <protection locked="0" hidden="0"/>
    </xf>
    <xf numFmtId="0" fontId="4" fillId="2" borderId="0" applyAlignment="1" applyProtection="1" pivotButton="0" quotePrefix="0" xfId="0">
      <alignment horizontal="center" wrapText="1"/>
      <protection locked="0" hidden="0"/>
    </xf>
    <xf numFmtId="0" fontId="6" fillId="15" borderId="0" applyAlignment="1" pivotButton="0" quotePrefix="0" xfId="0">
      <alignment horizontal="left"/>
    </xf>
    <xf numFmtId="173" fontId="194" fillId="34" borderId="12" applyAlignment="1" applyProtection="1" pivotButton="0" quotePrefix="0" xfId="0">
      <alignment horizontal="right" vertical="center"/>
      <protection locked="1" hidden="1"/>
    </xf>
    <xf numFmtId="173" fontId="194" fillId="33" borderId="12" applyAlignment="1" applyProtection="1" pivotButton="0" quotePrefix="0" xfId="0">
      <alignment horizontal="right" vertical="center"/>
      <protection locked="1" hidden="1"/>
    </xf>
    <xf numFmtId="0" fontId="4" fillId="3" borderId="0" applyAlignment="1" applyProtection="1" pivotButton="0" quotePrefix="0" xfId="0">
      <alignment horizontal="center" vertical="center"/>
      <protection locked="0" hidden="0"/>
    </xf>
    <xf numFmtId="9" fontId="193" fillId="34" borderId="12" applyAlignment="1" applyProtection="1" pivotButton="0" quotePrefix="0" xfId="0">
      <alignment horizontal="center" vertical="center"/>
      <protection locked="1" hidden="1"/>
    </xf>
    <xf numFmtId="9" fontId="193" fillId="33" borderId="12" applyAlignment="1" applyProtection="1" pivotButton="0" quotePrefix="0" xfId="0">
      <alignment horizontal="center" vertical="center"/>
      <protection locked="1" hidden="1"/>
    </xf>
    <xf numFmtId="0" fontId="0" fillId="15" borderId="21" applyAlignment="1" pivotButton="0" quotePrefix="0" xfId="0">
      <alignment horizontal="center" vertical="center" wrapText="1"/>
    </xf>
    <xf numFmtId="0" fontId="0" fillId="0" borderId="0" applyAlignment="1" pivotButton="0" quotePrefix="0" xfId="0">
      <alignment horizontal="centerContinuous"/>
    </xf>
    <xf numFmtId="0" fontId="0" fillId="0" borderId="20" applyAlignment="1" pivotButton="0" quotePrefix="0" xfId="0">
      <alignment horizontal="centerContinuous"/>
    </xf>
    <xf numFmtId="14" fontId="15" fillId="24" borderId="0" applyProtection="1" pivotButton="0" quotePrefix="0" xfId="0">
      <protection locked="0" hidden="0"/>
    </xf>
    <xf numFmtId="14" fontId="0" fillId="24" borderId="0" applyProtection="1" pivotButton="0" quotePrefix="0" xfId="0">
      <protection locked="0" hidden="0"/>
    </xf>
    <xf numFmtId="0" fontId="4" fillId="23" borderId="0" applyAlignment="1" applyProtection="1" pivotButton="0" quotePrefix="0" xfId="0">
      <alignment horizontal="center" vertical="center"/>
      <protection locked="0" hidden="0"/>
    </xf>
    <xf numFmtId="4" fontId="9" fillId="16" borderId="12" applyAlignment="1" applyProtection="1" pivotButton="0" quotePrefix="0" xfId="0">
      <alignment horizontal="center"/>
      <protection locked="0" hidden="0"/>
    </xf>
    <xf numFmtId="0" fontId="99" fillId="15" borderId="0" applyAlignment="1" pivotButton="0" quotePrefix="0" xfId="0">
      <alignment horizontal="center"/>
    </xf>
    <xf numFmtId="0" fontId="0" fillId="15" borderId="25" pivotButton="0" quotePrefix="0" xfId="0"/>
    <xf numFmtId="0" fontId="15" fillId="15" borderId="0" applyAlignment="1" applyProtection="1" pivotButton="0" quotePrefix="0" xfId="0">
      <alignment horizontal="left"/>
      <protection locked="1" hidden="1"/>
    </xf>
    <xf numFmtId="0" fontId="11" fillId="15" borderId="0" applyAlignment="1" pivotButton="0" quotePrefix="0" xfId="0">
      <alignment horizontal="center" vertical="center"/>
    </xf>
    <xf numFmtId="0" fontId="0" fillId="15" borderId="12" applyProtection="1" pivotButton="0" quotePrefix="0" xfId="0">
      <protection locked="0" hidden="0"/>
    </xf>
    <xf numFmtId="37" fontId="0" fillId="15" borderId="12" applyProtection="1" pivotButton="0" quotePrefix="0" xfId="0">
      <protection locked="0" hidden="0"/>
    </xf>
    <xf numFmtId="4" fontId="4" fillId="5" borderId="0" applyAlignment="1" applyProtection="1" pivotButton="0" quotePrefix="0" xfId="0">
      <alignment horizontal="center" vertical="center"/>
      <protection locked="0" hidden="0"/>
    </xf>
    <xf numFmtId="0" fontId="10" fillId="14" borderId="0" applyProtection="1" pivotButton="0" quotePrefix="0" xfId="0">
      <protection locked="0" hidden="0"/>
    </xf>
    <xf numFmtId="0" fontId="0" fillId="14" borderId="0" applyProtection="1" pivotButton="0" quotePrefix="0" xfId="0">
      <protection locked="0" hidden="0"/>
    </xf>
    <xf numFmtId="49" fontId="10" fillId="14" borderId="0" applyProtection="1" pivotButton="0" quotePrefix="0" xfId="1">
      <protection locked="0" hidden="0"/>
    </xf>
    <xf numFmtId="0" fontId="12" fillId="14" borderId="0" applyProtection="1" pivotButton="0" quotePrefix="0" xfId="0">
      <protection locked="1" hidden="1"/>
    </xf>
    <xf numFmtId="0" fontId="12" fillId="14" borderId="20" applyProtection="1" pivotButton="0" quotePrefix="0" xfId="0">
      <protection locked="1" hidden="1"/>
    </xf>
    <xf numFmtId="0" fontId="205" fillId="2" borderId="0" applyProtection="1" pivotButton="0" quotePrefix="0" xfId="0">
      <protection locked="1" hidden="1"/>
    </xf>
    <xf numFmtId="0" fontId="205" fillId="14" borderId="5" applyAlignment="1" applyProtection="1" pivotButton="0" quotePrefix="0" xfId="0">
      <alignment horizontal="center" vertical="center"/>
      <protection locked="1" hidden="1"/>
    </xf>
    <xf numFmtId="0" fontId="0" fillId="5" borderId="3" pivotButton="0" quotePrefix="0" xfId="0"/>
    <xf numFmtId="0" fontId="0" fillId="5" borderId="24" pivotButton="0" quotePrefix="0" xfId="0"/>
    <xf numFmtId="4" fontId="0" fillId="3" borderId="4" applyProtection="1" pivotButton="0" quotePrefix="0" xfId="0">
      <protection locked="1" hidden="1"/>
    </xf>
    <xf numFmtId="4" fontId="0" fillId="3" borderId="9" applyProtection="1" pivotButton="0" quotePrefix="0" xfId="0">
      <protection locked="1" hidden="1"/>
    </xf>
    <xf numFmtId="0" fontId="6" fillId="14" borderId="0" applyProtection="1" pivotButton="0" quotePrefix="0" xfId="0">
      <protection locked="1" hidden="1"/>
    </xf>
    <xf numFmtId="0" fontId="143" fillId="15" borderId="5" applyAlignment="1" applyProtection="1" pivotButton="0" quotePrefix="0" xfId="0">
      <alignment vertical="center"/>
      <protection locked="1" hidden="1"/>
    </xf>
    <xf numFmtId="0" fontId="143" fillId="15" borderId="0" applyAlignment="1" applyProtection="1" pivotButton="0" quotePrefix="0" xfId="0">
      <alignment horizontal="right"/>
      <protection locked="1" hidden="1"/>
    </xf>
    <xf numFmtId="39" fontId="119" fillId="14" borderId="0" applyProtection="1" pivotButton="0" quotePrefix="0" xfId="0">
      <protection locked="1" hidden="1"/>
    </xf>
    <xf numFmtId="0" fontId="121" fillId="15" borderId="0" pivotButton="0" quotePrefix="0" xfId="0"/>
    <xf numFmtId="14" fontId="6" fillId="24" borderId="0" applyProtection="1" pivotButton="0" quotePrefix="0" xfId="0">
      <protection locked="0" hidden="0"/>
    </xf>
    <xf numFmtId="164" fontId="11" fillId="2" borderId="0" applyProtection="1" pivotButton="0" quotePrefix="0" xfId="0">
      <protection locked="1" hidden="1"/>
    </xf>
    <xf numFmtId="0" fontId="15" fillId="2" borderId="0" applyAlignment="1" applyProtection="1" pivotButton="0" quotePrefix="0" xfId="0">
      <alignment horizontal="center" vertical="center"/>
      <protection locked="0" hidden="0"/>
    </xf>
    <xf numFmtId="0" fontId="12" fillId="2" borderId="15" applyAlignment="1" applyProtection="1" pivotButton="0" quotePrefix="0" xfId="0">
      <alignment horizontal="center" vertical="center" wrapText="1"/>
      <protection locked="0" hidden="0"/>
    </xf>
    <xf numFmtId="0" fontId="0" fillId="15" borderId="0" applyAlignment="1" pivotButton="0" quotePrefix="0" xfId="0">
      <alignment wrapText="1"/>
    </xf>
    <xf numFmtId="37" fontId="8" fillId="3" borderId="0" applyAlignment="1" applyProtection="1" pivotButton="0" quotePrefix="0" xfId="0">
      <alignment horizontal="right"/>
      <protection locked="0" hidden="0"/>
    </xf>
    <xf numFmtId="37" fontId="0" fillId="0" borderId="0" pivotButton="0" quotePrefix="0" xfId="0"/>
    <xf numFmtId="3" fontId="9" fillId="20" borderId="9" applyProtection="1" pivotButton="0" quotePrefix="0" xfId="0">
      <protection locked="0" hidden="0"/>
    </xf>
    <xf numFmtId="37" fontId="9" fillId="2" borderId="1" applyProtection="1" pivotButton="0" quotePrefix="0" xfId="0">
      <protection locked="0" hidden="0"/>
    </xf>
    <xf numFmtId="37" fontId="6" fillId="0" borderId="1" applyProtection="1" pivotButton="0" quotePrefix="0" xfId="0">
      <protection locked="0" hidden="0"/>
    </xf>
    <xf numFmtId="0" fontId="4" fillId="5" borderId="0" applyAlignment="1" applyProtection="1" pivotButton="0" quotePrefix="0" xfId="0">
      <alignment horizontal="center" vertical="center"/>
      <protection locked="0" hidden="0"/>
    </xf>
    <xf numFmtId="0" fontId="164" fillId="5" borderId="0" applyAlignment="1" applyProtection="1" pivotButton="0" quotePrefix="0" xfId="0">
      <alignment horizontal="center" vertical="center"/>
      <protection locked="1" hidden="1"/>
    </xf>
    <xf numFmtId="0" fontId="9" fillId="15" borderId="0" pivotButton="0" quotePrefix="0" xfId="0"/>
    <xf numFmtId="0" fontId="11" fillId="0" borderId="0" applyAlignment="1" pivotButton="0" quotePrefix="0" xfId="0">
      <alignment vertical="center"/>
    </xf>
    <xf numFmtId="0" fontId="0" fillId="15" borderId="20" applyAlignment="1" pivotButton="0" quotePrefix="0" xfId="0">
      <alignment wrapText="1"/>
    </xf>
    <xf numFmtId="0" fontId="15" fillId="15" borderId="0" pivotButton="0" quotePrefix="0" xfId="0"/>
    <xf numFmtId="37" fontId="0" fillId="2" borderId="2" applyProtection="1" pivotButton="0" quotePrefix="0" xfId="0">
      <protection locked="0" hidden="0"/>
    </xf>
    <xf numFmtId="0" fontId="172" fillId="2" borderId="0" applyProtection="1" pivotButton="0" quotePrefix="0" xfId="0">
      <protection locked="1" hidden="1"/>
    </xf>
    <xf numFmtId="0" fontId="172" fillId="2" borderId="0" pivotButton="0" quotePrefix="0" xfId="0"/>
    <xf numFmtId="0" fontId="4" fillId="3" borderId="0" applyAlignment="1" applyProtection="1" pivotButton="0" quotePrefix="0" xfId="0">
      <alignment horizontal="right" vertical="center"/>
      <protection locked="1" hidden="1"/>
    </xf>
    <xf numFmtId="39" fontId="0" fillId="0" borderId="0" applyProtection="1" pivotButton="0" quotePrefix="0" xfId="0">
      <protection locked="0" hidden="0"/>
    </xf>
    <xf numFmtId="14" fontId="0" fillId="0" borderId="0" applyProtection="1" pivotButton="0" quotePrefix="0" xfId="0">
      <protection locked="0" hidden="0"/>
    </xf>
    <xf numFmtId="0" fontId="4" fillId="15" borderId="0" applyAlignment="1" pivotButton="0" quotePrefix="0" xfId="0">
      <alignment horizontal="center"/>
    </xf>
    <xf numFmtId="0" fontId="0" fillId="19" borderId="4" pivotButton="0" quotePrefix="0" xfId="0"/>
    <xf numFmtId="14" fontId="0" fillId="24" borderId="0" applyAlignment="1" applyProtection="1" pivotButton="0" quotePrefix="0" xfId="0">
      <alignment horizontal="center"/>
      <protection locked="0" hidden="0"/>
    </xf>
    <xf numFmtId="1" fontId="6" fillId="15" borderId="0" applyProtection="1" pivotButton="0" quotePrefix="0" xfId="0">
      <protection locked="0" hidden="0"/>
    </xf>
    <xf numFmtId="1" fontId="15" fillId="16" borderId="2" applyAlignment="1" applyProtection="1" pivotButton="0" quotePrefix="0" xfId="0">
      <alignment horizontal="center"/>
      <protection locked="0" hidden="0"/>
    </xf>
    <xf numFmtId="3" fontId="12" fillId="16" borderId="1" applyProtection="1" pivotButton="0" quotePrefix="0" xfId="0">
      <protection locked="0" hidden="0"/>
    </xf>
    <xf numFmtId="0" fontId="6" fillId="15" borderId="0" applyProtection="1" pivotButton="0" quotePrefix="1" xfId="0">
      <protection locked="1" hidden="1"/>
    </xf>
    <xf numFmtId="0" fontId="4" fillId="15" borderId="5" applyAlignment="1" applyProtection="1" pivotButton="0" quotePrefix="0" xfId="0">
      <alignment horizontal="center" vertical="center"/>
      <protection locked="0" hidden="0"/>
    </xf>
    <xf numFmtId="170" fontId="15" fillId="24" borderId="0" applyProtection="1" pivotButton="0" quotePrefix="0" xfId="0">
      <protection locked="0" hidden="0"/>
    </xf>
    <xf numFmtId="170" fontId="6" fillId="24" borderId="0" applyProtection="1" pivotButton="0" quotePrefix="0" xfId="0">
      <protection locked="0" hidden="0"/>
    </xf>
    <xf numFmtId="170" fontId="0" fillId="24" borderId="0" applyProtection="1" pivotButton="0" quotePrefix="0" xfId="0">
      <protection locked="0" hidden="0"/>
    </xf>
    <xf numFmtId="164" fontId="4" fillId="2" borderId="0" applyProtection="1" pivotButton="0" quotePrefix="0" xfId="0">
      <protection locked="1" hidden="1"/>
    </xf>
    <xf numFmtId="0" fontId="4" fillId="0" borderId="161" pivotButton="0" quotePrefix="0" xfId="0"/>
    <xf numFmtId="0" fontId="0" fillId="0" borderId="106" pivotButton="0" quotePrefix="0" xfId="0"/>
    <xf numFmtId="0" fontId="4" fillId="0" borderId="162" applyAlignment="1" pivotButton="0" quotePrefix="1" xfId="0">
      <alignment horizontal="right"/>
    </xf>
    <xf numFmtId="0" fontId="0" fillId="0" borderId="170" pivotButton="0" quotePrefix="0" xfId="0"/>
    <xf numFmtId="0" fontId="6" fillId="0" borderId="162" applyAlignment="1" pivotButton="0" quotePrefix="1" xfId="0">
      <alignment horizontal="left" indent="2"/>
    </xf>
    <xf numFmtId="0" fontId="0" fillId="0" borderId="162" pivotButton="0" quotePrefix="1" xfId="0"/>
    <xf numFmtId="0" fontId="6" fillId="0" borderId="162" applyAlignment="1" pivotButton="0" quotePrefix="1" xfId="0">
      <alignment horizontal="right" indent="2"/>
    </xf>
    <xf numFmtId="2" fontId="0" fillId="0" borderId="170" applyAlignment="1" pivotButton="0" quotePrefix="0" xfId="0">
      <alignment horizontal="center"/>
    </xf>
    <xf numFmtId="0" fontId="6" fillId="0" borderId="162" pivotButton="0" quotePrefix="1" xfId="0"/>
    <xf numFmtId="0" fontId="0" fillId="0" borderId="170" applyAlignment="1" pivotButton="0" quotePrefix="0" xfId="0">
      <alignment horizontal="center"/>
    </xf>
    <xf numFmtId="0" fontId="4" fillId="0" borderId="163" applyAlignment="1" pivotButton="0" quotePrefix="1" xfId="0">
      <alignment horizontal="right"/>
    </xf>
    <xf numFmtId="0" fontId="6" fillId="0" borderId="87" pivotButton="0" quotePrefix="0" xfId="0"/>
    <xf numFmtId="0" fontId="0" fillId="0" borderId="87" pivotButton="0" quotePrefix="0" xfId="0"/>
    <xf numFmtId="0" fontId="0" fillId="0" borderId="171" pivotButton="0" quotePrefix="0" xfId="0"/>
    <xf numFmtId="0" fontId="6" fillId="0" borderId="169" pivotButton="0" quotePrefix="0" xfId="0"/>
    <xf numFmtId="0" fontId="158" fillId="5" borderId="0" applyAlignment="1" pivotButton="0" quotePrefix="0" xfId="0">
      <alignment vertical="center"/>
    </xf>
    <xf numFmtId="37" fontId="6" fillId="0" borderId="2" applyProtection="1" pivotButton="0" quotePrefix="0" xfId="0">
      <protection locked="0" hidden="0"/>
    </xf>
    <xf numFmtId="0" fontId="0" fillId="15" borderId="0" applyAlignment="1" pivotButton="0" quotePrefix="0" xfId="0">
      <alignment horizontal="left" vertical="top" wrapText="1"/>
    </xf>
    <xf numFmtId="4" fontId="206" fillId="2" borderId="5" applyAlignment="1" applyProtection="1" pivotButton="0" quotePrefix="0" xfId="0">
      <alignment horizontal="left" indent="1"/>
      <protection locked="1" hidden="1"/>
    </xf>
    <xf numFmtId="0" fontId="0" fillId="0" borderId="0" applyAlignment="1" applyProtection="1" pivotButton="0" quotePrefix="0" xfId="0">
      <alignment horizontal="right"/>
      <protection locked="0" hidden="0"/>
    </xf>
    <xf numFmtId="37" fontId="8" fillId="3" borderId="1" applyAlignment="1" applyProtection="1" pivotButton="0" quotePrefix="0" xfId="0">
      <alignment horizontal="right" vertical="center"/>
      <protection locked="0" hidden="0"/>
    </xf>
    <xf numFmtId="0" fontId="6" fillId="15" borderId="0" applyAlignment="1" pivotButton="0" quotePrefix="0" xfId="0">
      <alignment horizontal="center" vertical="center" wrapText="1"/>
    </xf>
    <xf numFmtId="37" fontId="0" fillId="15" borderId="0" pivotButton="0" quotePrefix="0" xfId="0"/>
    <xf numFmtId="1" fontId="183" fillId="10" borderId="0" applyAlignment="1" applyProtection="1" pivotButton="0" quotePrefix="0" xfId="0">
      <alignment horizontal="center" vertical="center" wrapText="1"/>
      <protection locked="1" hidden="1"/>
    </xf>
    <xf numFmtId="39" fontId="8" fillId="3" borderId="0" applyAlignment="1" applyProtection="1" pivotButton="0" quotePrefix="0" xfId="0">
      <alignment horizontal="left"/>
      <protection locked="1" hidden="1"/>
    </xf>
    <xf numFmtId="0" fontId="112" fillId="0" borderId="0" applyAlignment="1" pivotButton="0" quotePrefix="0" xfId="0">
      <alignment horizontal="center"/>
    </xf>
    <xf numFmtId="0" fontId="9" fillId="3" borderId="7" applyAlignment="1" applyProtection="1" pivotButton="0" quotePrefix="0" xfId="0">
      <alignment horizontal="left" vertical="top"/>
      <protection locked="1" hidden="1"/>
    </xf>
    <xf numFmtId="0" fontId="8" fillId="3" borderId="8" applyAlignment="1" applyProtection="1" pivotButton="0" quotePrefix="0" xfId="0">
      <alignment horizontal="left"/>
      <protection locked="1" hidden="1"/>
    </xf>
    <xf numFmtId="0" fontId="15" fillId="3" borderId="0" applyAlignment="1" applyProtection="1" pivotButton="0" quotePrefix="0" xfId="0">
      <alignment horizontal="right"/>
      <protection locked="1" hidden="1"/>
    </xf>
    <xf numFmtId="0" fontId="15" fillId="3" borderId="25" applyAlignment="1" applyProtection="1" pivotButton="0" quotePrefix="0" xfId="0">
      <alignment vertical="center"/>
      <protection locked="1" hidden="1"/>
    </xf>
    <xf numFmtId="39" fontId="4" fillId="3" borderId="25" applyProtection="1" pivotButton="0" quotePrefix="0" xfId="0">
      <protection locked="1" hidden="1"/>
    </xf>
    <xf numFmtId="39" fontId="9" fillId="3" borderId="25" applyProtection="1" pivotButton="0" quotePrefix="0" xfId="0">
      <protection locked="1" hidden="1"/>
    </xf>
    <xf numFmtId="39" fontId="9" fillId="3" borderId="25" applyAlignment="1" applyProtection="1" pivotButton="0" quotePrefix="0" xfId="0">
      <alignment horizontal="center"/>
      <protection locked="1" hidden="1"/>
    </xf>
    <xf numFmtId="39" fontId="9" fillId="3" borderId="25" applyAlignment="1" applyProtection="1" pivotButton="0" quotePrefix="0" xfId="0">
      <alignment horizontal="left"/>
      <protection locked="1" hidden="1"/>
    </xf>
    <xf numFmtId="172" fontId="137" fillId="3" borderId="25" applyAlignment="1" applyProtection="1" pivotButton="0" quotePrefix="0" xfId="0">
      <alignment horizontal="center"/>
      <protection locked="1" hidden="1"/>
    </xf>
    <xf numFmtId="39" fontId="122" fillId="3" borderId="25" applyAlignment="1" applyProtection="1" pivotButton="0" quotePrefix="0" xfId="0">
      <alignment horizontal="center"/>
      <protection locked="1" hidden="1"/>
    </xf>
    <xf numFmtId="172" fontId="12" fillId="3" borderId="25" applyAlignment="1" applyProtection="1" pivotButton="0" quotePrefix="0" xfId="0">
      <alignment horizontal="right"/>
      <protection locked="1" hidden="1"/>
    </xf>
    <xf numFmtId="39" fontId="9" fillId="3" borderId="0" applyAlignment="1" applyProtection="1" pivotButton="0" quotePrefix="1" xfId="0">
      <alignment horizontal="center"/>
      <protection locked="1" hidden="1"/>
    </xf>
    <xf numFmtId="172" fontId="112" fillId="3" borderId="1" applyAlignment="1" applyProtection="1" pivotButton="0" quotePrefix="0" xfId="0">
      <alignment horizontal="center"/>
      <protection locked="1" hidden="1"/>
    </xf>
    <xf numFmtId="39" fontId="116" fillId="3" borderId="1" applyAlignment="1" applyProtection="1" pivotButton="0" quotePrefix="0" xfId="0">
      <alignment horizontal="center"/>
      <protection locked="1" hidden="1"/>
    </xf>
    <xf numFmtId="39" fontId="6" fillId="3" borderId="8" applyProtection="1" pivotButton="0" quotePrefix="0" xfId="0">
      <protection locked="1" hidden="1"/>
    </xf>
    <xf numFmtId="172" fontId="112" fillId="3" borderId="8" applyAlignment="1" applyProtection="1" pivotButton="0" quotePrefix="0" xfId="0">
      <alignment horizontal="center"/>
      <protection locked="1" hidden="1"/>
    </xf>
    <xf numFmtId="39" fontId="116" fillId="3" borderId="8" applyAlignment="1" applyProtection="1" pivotButton="0" quotePrefix="0" xfId="0">
      <alignment horizontal="center"/>
      <protection locked="1" hidden="1"/>
    </xf>
    <xf numFmtId="0" fontId="8" fillId="14" borderId="0" applyAlignment="1" applyProtection="1" pivotButton="0" quotePrefix="0" xfId="0">
      <alignment horizontal="left"/>
      <protection locked="1" hidden="1"/>
    </xf>
    <xf numFmtId="0" fontId="6" fillId="15" borderId="0" applyAlignment="1" pivotButton="0" quotePrefix="0" xfId="0">
      <alignment horizontal="center" vertical="center"/>
    </xf>
    <xf numFmtId="0" fontId="15" fillId="14" borderId="0" applyAlignment="1" applyProtection="1" pivotButton="0" quotePrefix="0" xfId="0">
      <alignment vertical="center"/>
      <protection locked="1" hidden="1"/>
    </xf>
    <xf numFmtId="0" fontId="6" fillId="3" borderId="25" applyAlignment="1" applyProtection="1" pivotButton="0" quotePrefix="0" xfId="0">
      <alignment vertical="center"/>
      <protection locked="1" hidden="1"/>
    </xf>
    <xf numFmtId="0" fontId="4" fillId="14" borderId="0" applyAlignment="1" applyProtection="1" pivotButton="0" quotePrefix="0" xfId="0">
      <alignment horizontal="left"/>
      <protection locked="1" hidden="1"/>
    </xf>
    <xf numFmtId="0" fontId="6" fillId="14" borderId="0" applyAlignment="1" applyProtection="1" pivotButton="0" quotePrefix="0" xfId="0">
      <alignment vertical="center"/>
      <protection locked="1" hidden="1"/>
    </xf>
    <xf numFmtId="39" fontId="4" fillId="3" borderId="0" applyAlignment="1" applyProtection="1" pivotButton="0" quotePrefix="1" xfId="0">
      <alignment horizontal="center"/>
      <protection locked="1" hidden="1"/>
    </xf>
    <xf numFmtId="4" fontId="12" fillId="3" borderId="7" applyAlignment="1" applyProtection="1" pivotButton="0" quotePrefix="0" xfId="0">
      <alignment horizontal="right" vertical="top"/>
      <protection locked="1" hidden="1"/>
    </xf>
    <xf numFmtId="172" fontId="12" fillId="20" borderId="12" applyAlignment="1" applyProtection="1" pivotButton="0" quotePrefix="0" xfId="0">
      <alignment horizontal="center" vertical="center"/>
      <protection locked="0" hidden="0"/>
    </xf>
    <xf numFmtId="1" fontId="8" fillId="14" borderId="0" applyAlignment="1" applyProtection="1" pivotButton="0" quotePrefix="0" xfId="0">
      <alignment horizontal="right"/>
      <protection locked="1" hidden="1"/>
    </xf>
    <xf numFmtId="39" fontId="10" fillId="14" borderId="0" applyAlignment="1" applyProtection="1" pivotButton="0" quotePrefix="0" xfId="0">
      <alignment horizontal="center"/>
      <protection locked="1" hidden="1"/>
    </xf>
    <xf numFmtId="39" fontId="8" fillId="14" borderId="0" applyAlignment="1" applyProtection="1" pivotButton="0" quotePrefix="0" xfId="0">
      <alignment horizontal="right"/>
      <protection locked="1" hidden="1"/>
    </xf>
    <xf numFmtId="0" fontId="12" fillId="3" borderId="10" applyAlignment="1" applyProtection="1" pivotButton="0" quotePrefix="0" xfId="0">
      <alignment horizontal="center"/>
      <protection locked="1" hidden="1"/>
    </xf>
    <xf numFmtId="3" fontId="8" fillId="14" borderId="0" applyAlignment="1" applyProtection="1" pivotButton="0" quotePrefix="0" xfId="0">
      <alignment horizontal="right"/>
      <protection locked="1" hidden="1"/>
    </xf>
    <xf numFmtId="39" fontId="8" fillId="14" borderId="0" applyProtection="1" pivotButton="0" quotePrefix="0" xfId="0">
      <protection locked="1" hidden="1"/>
    </xf>
    <xf numFmtId="0" fontId="8" fillId="14" borderId="0" applyProtection="1" pivotButton="0" quotePrefix="0" xfId="0">
      <protection locked="1" hidden="1"/>
    </xf>
    <xf numFmtId="0" fontId="47" fillId="14" borderId="0" applyProtection="1" pivotButton="0" quotePrefix="0" xfId="0">
      <protection locked="1" hidden="1"/>
    </xf>
    <xf numFmtId="0" fontId="217" fillId="3" borderId="0" applyAlignment="1" applyProtection="1" pivotButton="0" quotePrefix="0" xfId="0">
      <alignment horizontal="center" vertical="center"/>
      <protection locked="1" hidden="1"/>
    </xf>
    <xf numFmtId="0" fontId="15" fillId="3" borderId="0" applyAlignment="1" applyProtection="1" pivotButton="0" quotePrefix="0" xfId="0">
      <alignment horizontal="right" vertical="center"/>
      <protection locked="1" hidden="1"/>
    </xf>
    <xf numFmtId="0" fontId="10" fillId="5" borderId="0" applyAlignment="1" applyProtection="1" pivotButton="0" quotePrefix="0" xfId="0">
      <alignment horizontal="right"/>
      <protection locked="1" hidden="1"/>
    </xf>
    <xf numFmtId="1" fontId="9" fillId="3" borderId="10" applyAlignment="1" applyProtection="1" pivotButton="0" quotePrefix="0" xfId="0">
      <alignment horizontal="center"/>
      <protection locked="1" hidden="1"/>
    </xf>
    <xf numFmtId="0" fontId="12" fillId="3" borderId="0" applyAlignment="1" applyProtection="1" pivotButton="0" quotePrefix="0" xfId="0">
      <alignment horizontal="right" vertical="center"/>
      <protection locked="1" hidden="1"/>
    </xf>
    <xf numFmtId="39" fontId="8" fillId="3" borderId="4" applyProtection="1" pivotButton="0" quotePrefix="0" xfId="0">
      <protection locked="1" hidden="1"/>
    </xf>
    <xf numFmtId="0" fontId="12" fillId="3" borderId="28" applyAlignment="1" applyProtection="1" pivotButton="0" quotePrefix="0" xfId="0">
      <alignment horizontal="center"/>
      <protection locked="1" hidden="1"/>
    </xf>
    <xf numFmtId="39" fontId="9" fillId="3" borderId="70" applyAlignment="1" applyProtection="1" pivotButton="0" quotePrefix="0" xfId="0">
      <alignment horizontal="right"/>
      <protection locked="1" hidden="1"/>
    </xf>
    <xf numFmtId="0" fontId="9" fillId="19" borderId="23" applyAlignment="1" applyProtection="1" pivotButton="0" quotePrefix="1" xfId="0">
      <alignment horizontal="right" vertical="center"/>
      <protection locked="1" hidden="1"/>
    </xf>
    <xf numFmtId="4" fontId="8" fillId="19" borderId="7" applyAlignment="1" applyProtection="1" pivotButton="0" quotePrefix="0" xfId="0">
      <alignment horizontal="left" vertical="center"/>
      <protection locked="1" hidden="1"/>
    </xf>
    <xf numFmtId="0" fontId="8" fillId="19" borderId="7" applyAlignment="1" applyProtection="1" pivotButton="0" quotePrefix="0" xfId="0">
      <alignment horizontal="left" vertical="center"/>
      <protection locked="1" hidden="1"/>
    </xf>
    <xf numFmtId="0" fontId="9" fillId="19" borderId="7" applyAlignment="1" applyProtection="1" pivotButton="0" quotePrefix="0" xfId="0">
      <alignment horizontal="right" vertical="center"/>
      <protection locked="1" hidden="1"/>
    </xf>
    <xf numFmtId="39" fontId="8" fillId="19" borderId="7" applyAlignment="1" applyProtection="1" pivotButton="0" quotePrefix="0" xfId="0">
      <alignment horizontal="center" vertical="center"/>
      <protection locked="1" hidden="1"/>
    </xf>
    <xf numFmtId="39" fontId="8" fillId="19" borderId="7" applyAlignment="1" applyProtection="1" pivotButton="0" quotePrefix="0" xfId="0">
      <alignment horizontal="right" vertical="center"/>
      <protection locked="1" hidden="1"/>
    </xf>
    <xf numFmtId="0" fontId="9" fillId="19" borderId="7" applyAlignment="1" applyProtection="1" pivotButton="0" quotePrefix="1" xfId="0">
      <alignment horizontal="right" vertical="center"/>
      <protection locked="1" hidden="1"/>
    </xf>
    <xf numFmtId="0" fontId="0" fillId="19" borderId="19" pivotButton="0" quotePrefix="0" xfId="0"/>
    <xf numFmtId="0" fontId="9" fillId="19" borderId="5" applyAlignment="1" applyProtection="1" pivotButton="0" quotePrefix="1" xfId="0">
      <alignment horizontal="right" vertical="center"/>
      <protection locked="1" hidden="1"/>
    </xf>
    <xf numFmtId="4" fontId="8" fillId="19" borderId="0" applyAlignment="1" applyProtection="1" pivotButton="0" quotePrefix="0" xfId="0">
      <alignment horizontal="left" vertical="center"/>
      <protection locked="1" hidden="1"/>
    </xf>
    <xf numFmtId="0" fontId="8" fillId="19" borderId="0" applyAlignment="1" applyProtection="1" pivotButton="0" quotePrefix="0" xfId="0">
      <alignment horizontal="left" vertical="center"/>
      <protection locked="1" hidden="1"/>
    </xf>
    <xf numFmtId="0" fontId="9" fillId="19" borderId="0" applyAlignment="1" applyProtection="1" pivotButton="0" quotePrefix="0" xfId="0">
      <alignment horizontal="right" vertical="center"/>
      <protection locked="1" hidden="1"/>
    </xf>
    <xf numFmtId="39" fontId="8" fillId="19" borderId="0" applyAlignment="1" applyProtection="1" pivotButton="0" quotePrefix="0" xfId="0">
      <alignment horizontal="center" vertical="center"/>
      <protection locked="1" hidden="1"/>
    </xf>
    <xf numFmtId="39" fontId="8" fillId="19" borderId="0" applyAlignment="1" applyProtection="1" pivotButton="0" quotePrefix="0" xfId="0">
      <alignment horizontal="right" vertical="center"/>
      <protection locked="1" hidden="1"/>
    </xf>
    <xf numFmtId="0" fontId="9" fillId="19" borderId="0" applyAlignment="1" applyProtection="1" pivotButton="0" quotePrefix="1" xfId="0">
      <alignment horizontal="right" vertical="center"/>
      <protection locked="1" hidden="1"/>
    </xf>
    <xf numFmtId="0" fontId="0" fillId="19" borderId="20" pivotButton="0" quotePrefix="0" xfId="0"/>
    <xf numFmtId="0" fontId="0" fillId="19" borderId="5" pivotButton="0" quotePrefix="0" xfId="0"/>
    <xf numFmtId="0" fontId="0" fillId="19" borderId="21" pivotButton="0" quotePrefix="0" xfId="0"/>
    <xf numFmtId="4" fontId="8" fillId="19" borderId="4" applyAlignment="1" applyProtection="1" pivotButton="0" quotePrefix="0" xfId="0">
      <alignment horizontal="left" vertical="center"/>
      <protection locked="1" hidden="1"/>
    </xf>
    <xf numFmtId="0" fontId="0" fillId="19" borderId="22" pivotButton="0" quotePrefix="0" xfId="0"/>
    <xf numFmtId="37" fontId="8" fillId="27" borderId="27" applyProtection="1" pivotButton="0" quotePrefix="0" xfId="0">
      <protection locked="1" hidden="1"/>
    </xf>
    <xf numFmtId="4" fontId="9" fillId="15" borderId="30" applyAlignment="1" applyProtection="1" pivotButton="0" quotePrefix="0" xfId="0">
      <alignment horizontal="left"/>
      <protection locked="1" hidden="1"/>
    </xf>
    <xf numFmtId="4" fontId="9" fillId="15" borderId="8" applyAlignment="1" applyProtection="1" pivotButton="0" quotePrefix="0" xfId="0">
      <alignment horizontal="left"/>
      <protection locked="1" hidden="1"/>
    </xf>
    <xf numFmtId="0" fontId="8" fillId="15" borderId="8" applyAlignment="1" applyProtection="1" pivotButton="0" quotePrefix="0" xfId="0">
      <alignment horizontal="left"/>
      <protection locked="1" hidden="1"/>
    </xf>
    <xf numFmtId="4" fontId="8" fillId="15" borderId="8" applyAlignment="1" applyProtection="1" pivotButton="0" quotePrefix="0" xfId="0">
      <alignment horizontal="left"/>
      <protection locked="1" hidden="1"/>
    </xf>
    <xf numFmtId="0" fontId="9" fillId="15" borderId="8" applyAlignment="1" applyProtection="1" pivotButton="0" quotePrefix="0" xfId="0">
      <alignment horizontal="right"/>
      <protection locked="1" hidden="1"/>
    </xf>
    <xf numFmtId="39" fontId="8" fillId="15" borderId="8" applyAlignment="1" applyProtection="1" pivotButton="0" quotePrefix="0" xfId="0">
      <alignment horizontal="center"/>
      <protection locked="1" hidden="1"/>
    </xf>
    <xf numFmtId="39" fontId="8" fillId="15" borderId="8" applyAlignment="1" applyProtection="1" pivotButton="0" quotePrefix="0" xfId="0">
      <alignment horizontal="right"/>
      <protection locked="1" hidden="1"/>
    </xf>
    <xf numFmtId="0" fontId="37" fillId="15" borderId="8" applyAlignment="1" applyProtection="1" pivotButton="0" quotePrefix="0" xfId="0">
      <alignment horizontal="right"/>
      <protection locked="1" hidden="1"/>
    </xf>
    <xf numFmtId="4" fontId="8" fillId="15" borderId="4" applyAlignment="1" applyProtection="1" pivotButton="0" quotePrefix="0" xfId="0">
      <alignment horizontal="left" vertical="center"/>
      <protection locked="1" hidden="1"/>
    </xf>
    <xf numFmtId="0" fontId="8" fillId="15" borderId="4" applyAlignment="1" applyProtection="1" pivotButton="0" quotePrefix="0" xfId="0">
      <alignment horizontal="left" vertical="center"/>
      <protection locked="1" hidden="1"/>
    </xf>
    <xf numFmtId="0" fontId="9" fillId="15" borderId="4" applyAlignment="1" applyProtection="1" pivotButton="0" quotePrefix="0" xfId="0">
      <alignment horizontal="right" vertical="center"/>
      <protection locked="1" hidden="1"/>
    </xf>
    <xf numFmtId="39" fontId="8" fillId="15" borderId="4" applyAlignment="1" pivotButton="0" quotePrefix="0" xfId="0">
      <alignment horizontal="center" vertical="center"/>
    </xf>
    <xf numFmtId="39" fontId="8" fillId="15" borderId="4" applyAlignment="1" applyProtection="1" pivotButton="0" quotePrefix="0" xfId="0">
      <alignment horizontal="right" vertical="center"/>
      <protection locked="1" hidden="1"/>
    </xf>
    <xf numFmtId="0" fontId="0" fillId="15" borderId="70" pivotButton="0" quotePrefix="0" xfId="0"/>
    <xf numFmtId="0" fontId="218" fillId="19" borderId="4" applyProtection="1" pivotButton="0" quotePrefix="0" xfId="0">
      <protection locked="1" hidden="1"/>
    </xf>
    <xf numFmtId="37" fontId="8" fillId="2" borderId="1" applyProtection="1" pivotButton="0" quotePrefix="0" xfId="0">
      <protection locked="0" hidden="0"/>
    </xf>
    <xf numFmtId="0" fontId="121" fillId="5" borderId="0" applyAlignment="1" applyProtection="1" pivotButton="0" quotePrefix="0" xfId="0">
      <alignment vertical="center"/>
      <protection locked="1" hidden="1"/>
    </xf>
    <xf numFmtId="167" fontId="128" fillId="0" borderId="0" applyAlignment="1" applyProtection="1" pivotButton="0" quotePrefix="0" xfId="0">
      <alignment horizontal="right"/>
      <protection locked="1" hidden="1"/>
    </xf>
    <xf numFmtId="167" fontId="128" fillId="0" borderId="20" applyAlignment="1" applyProtection="1" pivotButton="0" quotePrefix="0" xfId="0">
      <alignment horizontal="right"/>
      <protection locked="1" hidden="1"/>
    </xf>
    <xf numFmtId="1" fontId="4" fillId="15" borderId="0" applyAlignment="1" applyProtection="1" pivotButton="0" quotePrefix="0" xfId="0">
      <alignment horizontal="center"/>
      <protection locked="1" hidden="1"/>
    </xf>
    <xf numFmtId="1" fontId="6" fillId="15" borderId="0" applyAlignment="1" applyProtection="1" pivotButton="0" quotePrefix="0" xfId="0">
      <alignment horizontal="center"/>
      <protection locked="1" hidden="1"/>
    </xf>
    <xf numFmtId="0" fontId="109" fillId="5" borderId="0" applyProtection="1" pivotButton="0" quotePrefix="0" xfId="0">
      <protection locked="1" hidden="1"/>
    </xf>
    <xf numFmtId="0" fontId="219" fillId="5" borderId="0" applyAlignment="1" applyProtection="1" pivotButton="0" quotePrefix="0" xfId="0">
      <alignment horizontal="left"/>
      <protection locked="1" hidden="1"/>
    </xf>
    <xf numFmtId="0" fontId="219" fillId="5" borderId="0" applyProtection="1" pivotButton="0" quotePrefix="0" xfId="0">
      <protection locked="1" hidden="1"/>
    </xf>
    <xf numFmtId="0" fontId="113" fillId="5" borderId="0" applyAlignment="1" applyProtection="1" pivotButton="0" quotePrefix="0" xfId="0">
      <alignment horizontal="left"/>
      <protection locked="1" hidden="1"/>
    </xf>
    <xf numFmtId="164" fontId="4" fillId="2" borderId="0" applyAlignment="1" applyProtection="1" pivotButton="0" quotePrefix="0" xfId="0">
      <alignment horizontal="right"/>
      <protection locked="1" hidden="1"/>
    </xf>
    <xf numFmtId="164" fontId="6" fillId="2" borderId="0" applyAlignment="1" applyProtection="1" pivotButton="0" quotePrefix="0" xfId="0">
      <alignment horizontal="right"/>
      <protection locked="1" hidden="1"/>
    </xf>
    <xf numFmtId="14" fontId="0" fillId="15" borderId="0" applyProtection="1" pivotButton="0" quotePrefix="0" xfId="0">
      <protection locked="0" hidden="0"/>
    </xf>
    <xf numFmtId="39" fontId="0" fillId="15" borderId="0" applyProtection="1" pivotButton="0" quotePrefix="0" xfId="0">
      <protection locked="0" hidden="0"/>
    </xf>
    <xf numFmtId="37" fontId="0" fillId="2" borderId="12" applyAlignment="1" applyProtection="1" pivotButton="0" quotePrefix="0" xfId="0">
      <alignment horizontal="right" vertical="center"/>
      <protection locked="0" hidden="0"/>
    </xf>
    <xf numFmtId="14" fontId="4" fillId="24" borderId="0" applyProtection="1" pivotButton="0" quotePrefix="0" xfId="0">
      <protection locked="0" hidden="0"/>
    </xf>
    <xf numFmtId="37" fontId="0" fillId="2" borderId="1" applyProtection="1" pivotButton="0" quotePrefix="0" xfId="0">
      <protection locked="0" hidden="0"/>
    </xf>
    <xf numFmtId="39" fontId="0" fillId="0" borderId="0" applyAlignment="1" applyProtection="1" pivotButton="0" quotePrefix="0" xfId="0">
      <alignment horizontal="center"/>
      <protection locked="0" hidden="0"/>
    </xf>
    <xf numFmtId="39" fontId="11" fillId="24" borderId="0" applyAlignment="1" applyProtection="1" pivotButton="0" quotePrefix="0" xfId="0">
      <alignment horizontal="left"/>
      <protection locked="0" hidden="0"/>
    </xf>
    <xf numFmtId="14" fontId="4" fillId="24" borderId="0" applyAlignment="1" applyProtection="1" pivotButton="0" quotePrefix="0" xfId="0">
      <alignment horizontal="center"/>
      <protection locked="0" hidden="0"/>
    </xf>
    <xf numFmtId="0" fontId="5" fillId="3" borderId="0" applyProtection="1" pivotButton="0" quotePrefix="0" xfId="0">
      <protection locked="1" hidden="1"/>
    </xf>
    <xf numFmtId="0" fontId="221" fillId="15" borderId="0" pivotButton="0" quotePrefix="0" xfId="0"/>
    <xf numFmtId="0" fontId="26" fillId="15" borderId="0" applyAlignment="1" pivotButton="0" quotePrefix="0" xfId="0">
      <alignment horizontal="left"/>
    </xf>
    <xf numFmtId="0" fontId="67" fillId="15" borderId="5" applyProtection="1" pivotButton="0" quotePrefix="0" xfId="2">
      <protection locked="1" hidden="1"/>
    </xf>
    <xf numFmtId="0" fontId="67" fillId="15" borderId="20" pivotButton="0" quotePrefix="0" xfId="2"/>
    <xf numFmtId="0" fontId="222" fillId="15" borderId="0" pivotButton="0" quotePrefix="0" xfId="0"/>
    <xf numFmtId="0" fontId="222" fillId="15" borderId="20" pivotButton="0" quotePrefix="0" xfId="0"/>
    <xf numFmtId="0" fontId="145" fillId="15" borderId="0" pivotButton="0" quotePrefix="0" xfId="0"/>
    <xf numFmtId="0" fontId="6" fillId="0" borderId="0" applyAlignment="1" pivotButton="0" quotePrefix="0" xfId="0">
      <alignment vertical="center"/>
    </xf>
    <xf numFmtId="0" fontId="6" fillId="5" borderId="0" pivotButton="0" quotePrefix="0" xfId="0"/>
    <xf numFmtId="0" fontId="26" fillId="15" borderId="5" applyAlignment="1" applyProtection="1" pivotButton="0" quotePrefix="0" xfId="0">
      <alignment horizontal="left" indent="1"/>
      <protection locked="1" hidden="1"/>
    </xf>
    <xf numFmtId="37" fontId="0" fillId="24" borderId="0" applyProtection="1" pivotButton="0" quotePrefix="0" xfId="0">
      <protection locked="0" hidden="0"/>
    </xf>
    <xf numFmtId="37" fontId="0" fillId="24" borderId="0" applyAlignment="1" applyProtection="1" pivotButton="0" quotePrefix="0" xfId="0">
      <alignment vertical="top"/>
      <protection locked="0" hidden="0"/>
    </xf>
    <xf numFmtId="37" fontId="0" fillId="0" borderId="0" applyProtection="1" pivotButton="0" quotePrefix="0" xfId="0">
      <protection locked="0" hidden="0"/>
    </xf>
    <xf numFmtId="14" fontId="0" fillId="24" borderId="0" applyAlignment="1" applyProtection="1" pivotButton="0" quotePrefix="0" xfId="0">
      <alignment vertical="top"/>
      <protection locked="0" hidden="0"/>
    </xf>
    <xf numFmtId="14" fontId="6" fillId="24" borderId="1" applyAlignment="1" applyProtection="1" pivotButton="0" quotePrefix="0" xfId="0">
      <alignment horizontal="center"/>
      <protection locked="0" hidden="0"/>
    </xf>
    <xf numFmtId="37" fontId="6" fillId="24" borderId="0" applyProtection="1" pivotButton="0" quotePrefix="0" xfId="0">
      <protection locked="0" hidden="0"/>
    </xf>
    <xf numFmtId="37" fontId="6" fillId="24" borderId="0" applyAlignment="1" applyProtection="1" pivotButton="0" quotePrefix="0" xfId="0">
      <alignment vertical="top"/>
      <protection locked="0" hidden="0"/>
    </xf>
    <xf numFmtId="37" fontId="0" fillId="24" borderId="1" applyAlignment="1" applyProtection="1" pivotButton="0" quotePrefix="0" xfId="0">
      <alignment horizontal="center"/>
      <protection locked="0" hidden="0"/>
    </xf>
    <xf numFmtId="37" fontId="0" fillId="24" borderId="25" applyAlignment="1" applyProtection="1" pivotButton="0" quotePrefix="0" xfId="0">
      <alignment horizontal="center"/>
      <protection locked="0" hidden="0"/>
    </xf>
    <xf numFmtId="37" fontId="6" fillId="24" borderId="0" applyAlignment="1" applyProtection="1" pivotButton="0" quotePrefix="0" xfId="0">
      <alignment horizontal="left" indent="1"/>
      <protection locked="0" hidden="0"/>
    </xf>
    <xf numFmtId="0" fontId="4" fillId="15" borderId="11" applyAlignment="1" pivotButton="0" quotePrefix="0" xfId="0">
      <alignment horizontal="right" vertical="center"/>
    </xf>
    <xf numFmtId="0" fontId="11" fillId="15" borderId="3" applyAlignment="1" pivotButton="0" quotePrefix="0" xfId="0">
      <alignment vertical="center"/>
    </xf>
    <xf numFmtId="0" fontId="9" fillId="2" borderId="5" applyAlignment="1" applyProtection="1" pivotButton="0" quotePrefix="0" xfId="0">
      <alignment horizontal="left" indent="1"/>
      <protection locked="1" hidden="1"/>
    </xf>
    <xf numFmtId="0" fontId="8" fillId="2" borderId="25" applyProtection="1" pivotButton="0" quotePrefix="0" xfId="0">
      <protection locked="1" hidden="1"/>
    </xf>
    <xf numFmtId="0" fontId="10" fillId="2" borderId="25" applyProtection="1" pivotButton="0" quotePrefix="0" xfId="0">
      <protection locked="1" hidden="1"/>
    </xf>
    <xf numFmtId="0" fontId="6" fillId="15" borderId="0" applyAlignment="1" pivotButton="0" quotePrefix="0" xfId="0">
      <alignment vertical="top"/>
    </xf>
    <xf numFmtId="0" fontId="6" fillId="15" borderId="21" applyAlignment="1" pivotButton="0" quotePrefix="0" xfId="0">
      <alignment vertical="top"/>
    </xf>
    <xf numFmtId="0" fontId="6" fillId="15" borderId="4" applyAlignment="1" pivotButton="0" quotePrefix="0" xfId="0">
      <alignment vertical="top"/>
    </xf>
    <xf numFmtId="0" fontId="12" fillId="15" borderId="0" applyAlignment="1" applyProtection="1" pivotButton="0" quotePrefix="0" xfId="0">
      <alignment horizontal="center" vertical="center"/>
      <protection locked="0" hidden="0"/>
    </xf>
    <xf numFmtId="170" fontId="4" fillId="16" borderId="2" applyAlignment="1" applyProtection="1" pivotButton="0" quotePrefix="0" xfId="0">
      <alignment horizontal="center"/>
      <protection locked="0" hidden="0"/>
    </xf>
    <xf numFmtId="1" fontId="6" fillId="32" borderId="142" applyAlignment="1" applyProtection="1" pivotButton="0" quotePrefix="0" xfId="0">
      <alignment horizontal="center" vertical="center"/>
      <protection locked="0" hidden="0"/>
    </xf>
    <xf numFmtId="1" fontId="6" fillId="32" borderId="143" applyAlignment="1" applyProtection="1" pivotButton="0" quotePrefix="0" xfId="0">
      <alignment horizontal="center" vertical="center"/>
      <protection locked="0" hidden="0"/>
    </xf>
    <xf numFmtId="0" fontId="6" fillId="15" borderId="0" applyAlignment="1" pivotButton="0" quotePrefix="0" xfId="0">
      <alignment horizontal="left" vertical="top"/>
    </xf>
    <xf numFmtId="4" fontId="110" fillId="0" borderId="0" pivotButton="0" quotePrefix="0" xfId="0"/>
    <xf numFmtId="0" fontId="15" fillId="21" borderId="0" applyAlignment="1" applyProtection="1" pivotButton="0" quotePrefix="0" xfId="0">
      <alignment horizontal="center" vertical="center"/>
      <protection locked="0" hidden="0"/>
    </xf>
    <xf numFmtId="37" fontId="110" fillId="0" borderId="0" applyProtection="1" pivotButton="0" quotePrefix="0" xfId="0">
      <protection locked="0" hidden="0"/>
    </xf>
    <xf numFmtId="37" fontId="110" fillId="15" borderId="0" pivotButton="0" quotePrefix="0" xfId="0"/>
    <xf numFmtId="37" fontId="110" fillId="15" borderId="0" applyProtection="1" pivotButton="0" quotePrefix="0" xfId="0">
      <protection locked="1" hidden="1"/>
    </xf>
    <xf numFmtId="37" fontId="0" fillId="2" borderId="59" applyProtection="1" pivotButton="0" quotePrefix="0" xfId="0">
      <protection locked="0" hidden="0"/>
    </xf>
    <xf numFmtId="0" fontId="112" fillId="15" borderId="0" applyAlignment="1" pivotButton="0" quotePrefix="0" xfId="0">
      <alignment vertical="center"/>
    </xf>
    <xf numFmtId="0" fontId="11" fillId="15" borderId="0" applyAlignment="1" applyProtection="1" pivotButton="0" quotePrefix="0" xfId="0">
      <alignment horizontal="right" vertical="center"/>
      <protection locked="1" hidden="1"/>
    </xf>
    <xf numFmtId="0" fontId="11" fillId="15" borderId="0" applyProtection="1" pivotButton="0" quotePrefix="0" xfId="0">
      <protection locked="1" hidden="1"/>
    </xf>
    <xf numFmtId="0" fontId="0" fillId="0" borderId="0" applyAlignment="1" pivotButton="0" quotePrefix="0" xfId="0">
      <alignment horizontal="left" indent="1"/>
    </xf>
    <xf numFmtId="0" fontId="11" fillId="15" borderId="32" applyAlignment="1" pivotButton="0" quotePrefix="0" xfId="0">
      <alignment horizontal="left" indent="1"/>
    </xf>
    <xf numFmtId="0" fontId="4" fillId="15" borderId="75" applyAlignment="1" pivotButton="0" quotePrefix="0" xfId="0">
      <alignment horizontal="left" indent="1"/>
    </xf>
    <xf numFmtId="0" fontId="6" fillId="15" borderId="75" applyAlignment="1" pivotButton="0" quotePrefix="0" xfId="0">
      <alignment horizontal="left" indent="1"/>
    </xf>
    <xf numFmtId="0" fontId="0" fillId="15" borderId="33" applyAlignment="1" pivotButton="0" quotePrefix="0" xfId="0">
      <alignment horizontal="left" indent="1"/>
    </xf>
    <xf numFmtId="0" fontId="67" fillId="15" borderId="100" applyAlignment="1" pivotButton="0" quotePrefix="0" xfId="2">
      <alignment horizontal="right"/>
    </xf>
    <xf numFmtId="0" fontId="67" fillId="15" borderId="100" applyAlignment="1" pivotButton="0" quotePrefix="1" xfId="2">
      <alignment horizontal="right"/>
    </xf>
    <xf numFmtId="0" fontId="0" fillId="15" borderId="72" applyAlignment="1" pivotButton="0" quotePrefix="0" xfId="0">
      <alignment horizontal="right"/>
    </xf>
    <xf numFmtId="0" fontId="26" fillId="15" borderId="75" applyAlignment="1" pivotButton="0" quotePrefix="0" xfId="0">
      <alignment horizontal="left" indent="1"/>
    </xf>
    <xf numFmtId="0" fontId="67" fillId="15" borderId="102" applyAlignment="1" applyProtection="1" pivotButton="0" quotePrefix="0" xfId="2">
      <alignment horizontal="left" indent="1"/>
      <protection locked="1" hidden="1"/>
    </xf>
    <xf numFmtId="0" fontId="0" fillId="15" borderId="37" applyAlignment="1" applyProtection="1" pivotButton="0" quotePrefix="0" xfId="0">
      <alignment horizontal="left" indent="1"/>
      <protection locked="1" hidden="1"/>
    </xf>
    <xf numFmtId="0" fontId="0" fillId="15" borderId="38" applyAlignment="1" applyProtection="1" pivotButton="0" quotePrefix="0" xfId="0">
      <alignment horizontal="left" indent="1"/>
      <protection locked="1" hidden="1"/>
    </xf>
    <xf numFmtId="0" fontId="6" fillId="0" borderId="0" applyAlignment="1" pivotButton="0" quotePrefix="0" xfId="0">
      <alignment vertical="top" wrapText="1"/>
    </xf>
    <xf numFmtId="0" fontId="6" fillId="15" borderId="0" applyAlignment="1" pivotButton="0" quotePrefix="0" xfId="0">
      <alignment wrapText="1"/>
    </xf>
    <xf numFmtId="0" fontId="128" fillId="15" borderId="5" applyAlignment="1" pivotButton="0" quotePrefix="0" xfId="0">
      <alignment vertical="center" wrapText="1"/>
    </xf>
    <xf numFmtId="0" fontId="128" fillId="15" borderId="0" applyAlignment="1" pivotButton="0" quotePrefix="0" xfId="0">
      <alignment vertical="center" wrapText="1"/>
    </xf>
    <xf numFmtId="0" fontId="128" fillId="15" borderId="20" applyAlignment="1" pivotButton="0" quotePrefix="0" xfId="0">
      <alignment vertical="center" wrapText="1"/>
    </xf>
    <xf numFmtId="0" fontId="128" fillId="15" borderId="5" applyAlignment="1" pivotButton="0" quotePrefix="0" xfId="0">
      <alignment horizontal="centerContinuous" vertical="center" wrapText="1"/>
    </xf>
    <xf numFmtId="0" fontId="128" fillId="15" borderId="20" applyAlignment="1" pivotButton="0" quotePrefix="0" xfId="0">
      <alignment horizontal="centerContinuous" vertical="center" wrapText="1"/>
    </xf>
    <xf numFmtId="0" fontId="128" fillId="15" borderId="21" applyAlignment="1" pivotButton="0" quotePrefix="0" xfId="0">
      <alignment vertical="center" wrapText="1"/>
    </xf>
    <xf numFmtId="0" fontId="128" fillId="15" borderId="4" applyAlignment="1" pivotButton="0" quotePrefix="0" xfId="0">
      <alignment vertical="center" wrapText="1"/>
    </xf>
    <xf numFmtId="0" fontId="128" fillId="15" borderId="22" applyAlignment="1" pivotButton="0" quotePrefix="0" xfId="0">
      <alignment vertical="center" wrapText="1"/>
    </xf>
    <xf numFmtId="0" fontId="128" fillId="15" borderId="0" applyAlignment="1" applyProtection="1" pivotButton="0" quotePrefix="0" xfId="0">
      <alignment horizontal="centerContinuous"/>
      <protection locked="1" hidden="1"/>
    </xf>
    <xf numFmtId="0" fontId="232" fillId="15" borderId="4" applyAlignment="1" pivotButton="0" quotePrefix="0" xfId="2">
      <alignment horizontal="center" vertical="top"/>
    </xf>
    <xf numFmtId="0" fontId="232" fillId="15" borderId="0" applyAlignment="1" pivotButton="0" quotePrefix="0" xfId="2">
      <alignment horizontal="center" vertical="top"/>
    </xf>
    <xf numFmtId="4" fontId="0" fillId="0" borderId="0" applyProtection="1" pivotButton="0" quotePrefix="0" xfId="0">
      <protection locked="0" hidden="0"/>
    </xf>
    <xf numFmtId="0" fontId="0" fillId="24" borderId="0" pivotButton="0" quotePrefix="0" xfId="0"/>
    <xf numFmtId="0" fontId="4" fillId="0" borderId="0" applyAlignment="1" pivotButton="0" quotePrefix="1" xfId="0">
      <alignment horizontal="left"/>
    </xf>
    <xf numFmtId="169" fontId="4" fillId="0" borderId="2" applyAlignment="1" pivotButton="0" quotePrefix="0" xfId="0">
      <alignment horizontal="center" wrapText="1"/>
    </xf>
    <xf numFmtId="169" fontId="0" fillId="15" borderId="0" applyAlignment="1" applyProtection="1" pivotButton="0" quotePrefix="0" xfId="0">
      <alignment horizontal="center" vertical="center"/>
      <protection locked="1" hidden="1"/>
    </xf>
    <xf numFmtId="1" fontId="4" fillId="15" borderId="2" applyAlignment="1" applyProtection="1" pivotButton="0" quotePrefix="0" xfId="0">
      <alignment horizontal="center"/>
      <protection locked="0" hidden="0"/>
    </xf>
    <xf numFmtId="37" fontId="0" fillId="15" borderId="0" applyProtection="1" pivotButton="0" quotePrefix="0" xfId="0">
      <protection locked="0" hidden="0"/>
    </xf>
    <xf numFmtId="37" fontId="4" fillId="15" borderId="0" applyAlignment="1" applyProtection="1" pivotButton="0" quotePrefix="1" xfId="0">
      <alignment horizontal="right"/>
      <protection locked="0" hidden="0"/>
    </xf>
    <xf numFmtId="37" fontId="0" fillId="15" borderId="8" applyProtection="1" pivotButton="0" quotePrefix="0" xfId="0">
      <protection locked="0" hidden="0"/>
    </xf>
    <xf numFmtId="37" fontId="6" fillId="16" borderId="1" applyProtection="1" pivotButton="0" quotePrefix="0" xfId="0">
      <protection locked="0" hidden="0"/>
    </xf>
    <xf numFmtId="37" fontId="0" fillId="16" borderId="2" applyProtection="1" pivotButton="0" quotePrefix="0" xfId="0">
      <protection locked="0" hidden="0"/>
    </xf>
    <xf numFmtId="39" fontId="6" fillId="0" borderId="2" applyProtection="1" pivotButton="0" quotePrefix="0" xfId="0">
      <protection locked="0" hidden="0"/>
    </xf>
    <xf numFmtId="3" fontId="110" fillId="15" borderId="0" applyProtection="1" pivotButton="0" quotePrefix="0" xfId="0">
      <protection locked="0" hidden="0"/>
    </xf>
    <xf numFmtId="0" fontId="11" fillId="27" borderId="39" applyAlignment="1" applyProtection="1" pivotButton="0" quotePrefix="0" xfId="0">
      <alignment horizontal="center" vertical="center"/>
      <protection locked="1" hidden="1"/>
    </xf>
    <xf numFmtId="0" fontId="11" fillId="27" borderId="25" applyAlignment="1" applyProtection="1" pivotButton="0" quotePrefix="0" xfId="0">
      <alignment horizontal="center" vertical="center"/>
      <protection locked="1" hidden="1"/>
    </xf>
    <xf numFmtId="0" fontId="20" fillId="27" borderId="25" applyAlignment="1" applyProtection="1" pivotButton="0" quotePrefix="0" xfId="0">
      <alignment horizontal="center" vertical="center"/>
      <protection locked="1" hidden="1"/>
    </xf>
    <xf numFmtId="0" fontId="6" fillId="15" borderId="4" applyProtection="1" pivotButton="0" quotePrefix="0" xfId="4">
      <protection locked="1" hidden="1"/>
    </xf>
    <xf numFmtId="174" fontId="102" fillId="15" borderId="0" applyAlignment="1" applyProtection="1" pivotButton="0" quotePrefix="0" xfId="0">
      <alignment horizontal="center" vertical="center"/>
      <protection locked="1" hidden="1"/>
    </xf>
    <xf numFmtId="0" fontId="110" fillId="15" borderId="0" applyAlignment="1" pivotButton="0" quotePrefix="0" xfId="0">
      <alignment horizontal="center"/>
    </xf>
    <xf numFmtId="0" fontId="4" fillId="0" borderId="0" applyAlignment="1" pivotButton="0" quotePrefix="0" xfId="0">
      <alignment horizontal="right"/>
    </xf>
    <xf numFmtId="0" fontId="236" fillId="15" borderId="0" applyAlignment="1" applyProtection="1" pivotButton="0" quotePrefix="0" xfId="0">
      <alignment vertical="center"/>
      <protection locked="1" hidden="1"/>
    </xf>
    <xf numFmtId="0" fontId="234" fillId="15" borderId="0" applyAlignment="1" applyProtection="1" pivotButton="0" quotePrefix="0" xfId="0">
      <alignment vertical="center"/>
      <protection locked="1" hidden="1"/>
    </xf>
    <xf numFmtId="0" fontId="235" fillId="15" borderId="0" applyAlignment="1" applyProtection="1" pivotButton="0" quotePrefix="0" xfId="0">
      <alignment vertical="center"/>
      <protection locked="1" hidden="1"/>
    </xf>
    <xf numFmtId="0" fontId="47" fillId="14" borderId="0" applyAlignment="1" applyProtection="1" pivotButton="0" quotePrefix="0" xfId="0">
      <alignment vertical="center"/>
      <protection locked="1" hidden="1"/>
    </xf>
    <xf numFmtId="4" fontId="10" fillId="3" borderId="7" applyAlignment="1" applyProtection="1" pivotButton="0" quotePrefix="0" xfId="0">
      <alignment horizontal="left" vertical="top"/>
      <protection locked="1" hidden="1"/>
    </xf>
    <xf numFmtId="37" fontId="8" fillId="16" borderId="12" applyProtection="1" pivotButton="0" quotePrefix="0" xfId="0">
      <protection locked="0" hidden="0"/>
    </xf>
    <xf numFmtId="37" fontId="8" fillId="0" borderId="1" applyProtection="1" pivotButton="0" quotePrefix="0" xfId="0">
      <protection locked="0" hidden="0"/>
    </xf>
    <xf numFmtId="37" fontId="9" fillId="15" borderId="24" applyProtection="1" pivotButton="0" quotePrefix="0" xfId="0">
      <protection locked="0" hidden="0"/>
    </xf>
    <xf numFmtId="0" fontId="67" fillId="0" borderId="100" applyAlignment="1" pivotButton="0" quotePrefix="0" xfId="2">
      <alignment horizontal="right"/>
    </xf>
    <xf numFmtId="0" fontId="4" fillId="0" borderId="75" applyAlignment="1" pivotButton="0" quotePrefix="0" xfId="0">
      <alignment horizontal="left" indent="1"/>
    </xf>
    <xf numFmtId="0" fontId="6" fillId="14" borderId="0" applyProtection="1" pivotButton="0" quotePrefix="0" xfId="0">
      <protection locked="0" hidden="0"/>
    </xf>
    <xf numFmtId="0" fontId="8" fillId="15" borderId="0" applyAlignment="1" pivotButton="0" quotePrefix="0" xfId="0">
      <alignment vertical="center"/>
    </xf>
    <xf numFmtId="0" fontId="20" fillId="15" borderId="0" applyAlignment="1" pivotButton="0" quotePrefix="0" xfId="0">
      <alignment horizontal="center"/>
    </xf>
    <xf numFmtId="0" fontId="8" fillId="15" borderId="7" applyAlignment="1" pivotButton="0" quotePrefix="0" xfId="0">
      <alignment vertical="center"/>
    </xf>
    <xf numFmtId="0" fontId="8" fillId="15" borderId="1" applyAlignment="1" pivotButton="0" quotePrefix="0" xfId="0">
      <alignment vertical="center"/>
    </xf>
    <xf numFmtId="0" fontId="4" fillId="20" borderId="2" applyAlignment="1" applyProtection="1" pivotButton="0" quotePrefix="0" xfId="0">
      <alignment horizontal="centerContinuous"/>
      <protection locked="0" hidden="0"/>
    </xf>
    <xf numFmtId="4" fontId="6" fillId="32" borderId="181" applyProtection="1" pivotButton="0" quotePrefix="0" xfId="0">
      <protection locked="0" hidden="0"/>
    </xf>
    <xf numFmtId="4" fontId="6" fillId="32" borderId="183" applyAlignment="1" applyProtection="1" pivotButton="0" quotePrefix="0" xfId="0">
      <alignment horizontal="right"/>
      <protection locked="0" hidden="0"/>
    </xf>
    <xf numFmtId="0" fontId="4" fillId="15" borderId="0" applyAlignment="1" pivotButton="0" quotePrefix="0" xfId="0">
      <alignment vertical="center"/>
    </xf>
    <xf numFmtId="0" fontId="25" fillId="15" borderId="0" applyAlignment="1" pivotButton="0" quotePrefix="0" xfId="0">
      <alignment horizontal="center"/>
    </xf>
    <xf numFmtId="0" fontId="6" fillId="15" borderId="0" applyAlignment="1" pivotButton="0" quotePrefix="0" xfId="0">
      <alignment horizontal="right"/>
    </xf>
    <xf numFmtId="0" fontId="10" fillId="2" borderId="67" applyAlignment="1" applyProtection="1" pivotButton="0" quotePrefix="0" xfId="0">
      <alignment horizontal="left" vertical="center" indent="1"/>
      <protection locked="1" hidden="1"/>
    </xf>
    <xf numFmtId="37" fontId="83" fillId="2" borderId="12" applyProtection="1" pivotButton="0" quotePrefix="0" xfId="0">
      <protection locked="0" hidden="0"/>
    </xf>
    <xf numFmtId="175" fontId="31" fillId="2" borderId="3" applyProtection="1" pivotButton="0" quotePrefix="0" xfId="0">
      <protection locked="0" hidden="0"/>
    </xf>
    <xf numFmtId="37" fontId="31" fillId="2" borderId="9" applyProtection="1" pivotButton="0" quotePrefix="0" xfId="0">
      <protection locked="0" hidden="0"/>
    </xf>
    <xf numFmtId="0" fontId="0" fillId="0" borderId="20" pivotButton="0" quotePrefix="0" xfId="0"/>
    <xf numFmtId="37" fontId="31" fillId="2" borderId="0" applyProtection="1" pivotButton="0" quotePrefix="0" xfId="0">
      <protection locked="0" hidden="0"/>
    </xf>
    <xf numFmtId="0" fontId="11" fillId="15" borderId="21" applyProtection="1" pivotButton="0" quotePrefix="0" xfId="0">
      <protection locked="1" hidden="1"/>
    </xf>
    <xf numFmtId="0" fontId="11" fillId="15" borderId="4" applyProtection="1" pivotButton="0" quotePrefix="0" xfId="0">
      <protection locked="1" hidden="1"/>
    </xf>
    <xf numFmtId="0" fontId="44" fillId="15" borderId="5" applyProtection="1" pivotButton="0" quotePrefix="0" xfId="0">
      <protection locked="1" hidden="1"/>
    </xf>
    <xf numFmtId="0" fontId="56" fillId="15" borderId="5" applyProtection="1" pivotButton="0" quotePrefix="0" xfId="0">
      <protection locked="1" hidden="1"/>
    </xf>
    <xf numFmtId="0" fontId="6" fillId="15" borderId="5" applyAlignment="1" applyProtection="1" pivotButton="0" quotePrefix="1" xfId="0">
      <alignment horizontal="right" indent="1"/>
      <protection locked="1" hidden="1"/>
    </xf>
    <xf numFmtId="0" fontId="6" fillId="15" borderId="5" pivotButton="0" quotePrefix="0" xfId="0"/>
    <xf numFmtId="0" fontId="6" fillId="15" borderId="26" applyAlignment="1" applyProtection="1" pivotButton="0" quotePrefix="1" xfId="0">
      <alignment horizontal="right" vertical="top" indent="1"/>
      <protection locked="1" hidden="1"/>
    </xf>
    <xf numFmtId="0" fontId="0" fillId="15" borderId="29" applyAlignment="1" applyProtection="1" pivotButton="0" quotePrefix="0" xfId="0">
      <alignment vertical="top"/>
      <protection locked="1" hidden="1"/>
    </xf>
    <xf numFmtId="40" fontId="40" fillId="2" borderId="0" applyAlignment="1" applyProtection="1" pivotButton="0" quotePrefix="0" xfId="0">
      <alignment horizontal="right" vertical="center"/>
      <protection locked="1" hidden="1"/>
    </xf>
    <xf numFmtId="0" fontId="14" fillId="15" borderId="0" applyAlignment="1" applyProtection="1" pivotButton="0" quotePrefix="0" xfId="0">
      <alignment horizontal="right"/>
      <protection locked="1" hidden="1"/>
    </xf>
    <xf numFmtId="0" fontId="10" fillId="15" borderId="0" applyAlignment="1" applyProtection="1" pivotButton="0" quotePrefix="1" xfId="0">
      <alignment horizontal="right"/>
      <protection locked="1" hidden="1"/>
    </xf>
    <xf numFmtId="0" fontId="4" fillId="15" borderId="2" applyAlignment="1" applyProtection="1" pivotButton="0" quotePrefix="0" xfId="0">
      <alignment horizontal="center"/>
      <protection locked="0" hidden="0"/>
    </xf>
    <xf numFmtId="0" fontId="100" fillId="15" borderId="132" applyAlignment="1" applyProtection="1" pivotButton="0" quotePrefix="0" xfId="0">
      <alignment horizontal="centerContinuous" vertical="center"/>
      <protection locked="1" hidden="1"/>
    </xf>
    <xf numFmtId="0" fontId="190" fillId="15" borderId="153" applyAlignment="1" applyProtection="1" pivotButton="0" quotePrefix="0" xfId="0">
      <alignment horizontal="left" vertical="center"/>
      <protection locked="1" hidden="1"/>
    </xf>
    <xf numFmtId="0" fontId="190" fillId="15" borderId="1" applyAlignment="1" applyProtection="1" pivotButton="0" quotePrefix="0" xfId="0">
      <alignment horizontal="center" vertical="center"/>
      <protection locked="1" hidden="1"/>
    </xf>
    <xf numFmtId="0" fontId="190" fillId="33" borderId="1" applyAlignment="1" applyProtection="1" pivotButton="0" quotePrefix="0" xfId="0">
      <alignment horizontal="center" vertical="center"/>
      <protection locked="1" hidden="1"/>
    </xf>
    <xf numFmtId="0" fontId="190" fillId="33" borderId="0" applyAlignment="1" applyProtection="1" pivotButton="0" quotePrefix="0" xfId="0">
      <alignment horizontal="left"/>
      <protection locked="1" hidden="1"/>
    </xf>
    <xf numFmtId="0" fontId="190" fillId="33" borderId="0" applyAlignment="1" applyProtection="1" pivotButton="0" quotePrefix="0" xfId="0">
      <alignment horizontal="center"/>
      <protection locked="1" hidden="1"/>
    </xf>
    <xf numFmtId="0" fontId="192" fillId="15" borderId="184" applyAlignment="1" applyProtection="1" pivotButton="0" quotePrefix="0" xfId="0">
      <alignment horizontal="center"/>
      <protection locked="1" hidden="1"/>
    </xf>
    <xf numFmtId="0" fontId="191" fillId="15" borderId="182" applyAlignment="1" applyProtection="1" pivotButton="0" quotePrefix="0" xfId="0">
      <alignment horizontal="center" vertical="center"/>
      <protection locked="1" hidden="1"/>
    </xf>
    <xf numFmtId="0" fontId="191" fillId="15" borderId="182" applyProtection="1" pivotButton="0" quotePrefix="0" xfId="0">
      <protection locked="1" hidden="1"/>
    </xf>
    <xf numFmtId="0" fontId="191" fillId="15" borderId="182" applyAlignment="1" applyProtection="1" pivotButton="0" quotePrefix="0" xfId="0">
      <alignment horizontal="right"/>
      <protection locked="1" hidden="1"/>
    </xf>
    <xf numFmtId="0" fontId="98" fillId="15" borderId="185" applyProtection="1" pivotButton="0" quotePrefix="0" xfId="0">
      <protection locked="1" hidden="1"/>
    </xf>
    <xf numFmtId="0" fontId="192" fillId="15" borderId="186" applyAlignment="1" applyProtection="1" pivotButton="0" quotePrefix="0" xfId="0">
      <alignment horizontal="center"/>
      <protection locked="1" hidden="1"/>
    </xf>
    <xf numFmtId="0" fontId="191" fillId="15" borderId="0" applyAlignment="1" applyProtection="1" pivotButton="0" quotePrefix="0" xfId="0">
      <alignment horizontal="center" vertical="center"/>
      <protection locked="1" hidden="1"/>
    </xf>
    <xf numFmtId="0" fontId="191" fillId="15" borderId="0" applyProtection="1" pivotButton="0" quotePrefix="0" xfId="0">
      <protection locked="1" hidden="1"/>
    </xf>
    <xf numFmtId="0" fontId="191" fillId="15" borderId="0" applyAlignment="1" applyProtection="1" pivotButton="0" quotePrefix="0" xfId="0">
      <alignment horizontal="right"/>
      <protection locked="1" hidden="1"/>
    </xf>
    <xf numFmtId="0" fontId="98" fillId="15" borderId="187" applyProtection="1" pivotButton="0" quotePrefix="0" xfId="0">
      <protection locked="1" hidden="1"/>
    </xf>
    <xf numFmtId="0" fontId="192" fillId="15" borderId="0" applyAlignment="1" applyProtection="1" pivotButton="0" quotePrefix="0" xfId="0">
      <alignment horizontal="center" vertical="center"/>
      <protection locked="1" hidden="1"/>
    </xf>
    <xf numFmtId="0" fontId="192" fillId="15" borderId="0" applyAlignment="1" applyProtection="1" pivotButton="0" quotePrefix="0" xfId="0">
      <alignment horizontal="center"/>
      <protection locked="1" hidden="1"/>
    </xf>
    <xf numFmtId="0" fontId="190" fillId="33" borderId="0" applyAlignment="1" applyProtection="1" pivotButton="0" quotePrefix="0" xfId="0">
      <alignment horizontal="center" vertical="center"/>
      <protection locked="1" hidden="1"/>
    </xf>
    <xf numFmtId="0" fontId="190" fillId="15" borderId="0" applyAlignment="1" applyProtection="1" pivotButton="0" quotePrefix="0" xfId="0">
      <alignment horizontal="center" vertical="center"/>
      <protection locked="1" hidden="1"/>
    </xf>
    <xf numFmtId="0" fontId="192" fillId="15" borderId="188" applyAlignment="1" applyProtection="1" pivotButton="0" quotePrefix="0" xfId="0">
      <alignment horizontal="center"/>
      <protection locked="1" hidden="1"/>
    </xf>
    <xf numFmtId="0" fontId="191" fillId="15" borderId="159" applyAlignment="1" applyProtection="1" pivotButton="0" quotePrefix="0" xfId="0">
      <alignment horizontal="center" vertical="center"/>
      <protection locked="1" hidden="1"/>
    </xf>
    <xf numFmtId="0" fontId="191" fillId="15" borderId="159" applyProtection="1" pivotButton="0" quotePrefix="0" xfId="0">
      <protection locked="1" hidden="1"/>
    </xf>
    <xf numFmtId="0" fontId="191" fillId="15" borderId="159" applyAlignment="1" applyProtection="1" pivotButton="0" quotePrefix="0" xfId="0">
      <alignment horizontal="right"/>
      <protection locked="1" hidden="1"/>
    </xf>
    <xf numFmtId="0" fontId="98" fillId="15" borderId="189" applyProtection="1" pivotButton="0" quotePrefix="0" xfId="0">
      <protection locked="1" hidden="1"/>
    </xf>
    <xf numFmtId="0" fontId="190" fillId="33" borderId="159" applyAlignment="1" applyProtection="1" pivotButton="0" quotePrefix="0" xfId="0">
      <alignment horizontal="center"/>
      <protection locked="1" hidden="1"/>
    </xf>
    <xf numFmtId="0" fontId="190" fillId="33" borderId="159" applyAlignment="1" applyProtection="1" pivotButton="0" quotePrefix="0" xfId="0">
      <alignment horizontal="left"/>
      <protection locked="1" hidden="1"/>
    </xf>
    <xf numFmtId="169" fontId="6" fillId="0" borderId="0" applyAlignment="1" applyProtection="1" pivotButton="0" quotePrefix="0" xfId="0">
      <alignment horizontal="center" vertical="top" wrapText="1"/>
      <protection locked="1" hidden="1"/>
    </xf>
    <xf numFmtId="3" fontId="0" fillId="8" borderId="1" applyProtection="1" pivotButton="0" quotePrefix="0" xfId="0">
      <protection locked="0" hidden="0"/>
    </xf>
    <xf numFmtId="3" fontId="4" fillId="0" borderId="2" applyAlignment="1" applyProtection="1" pivotButton="0" quotePrefix="0" xfId="0">
      <alignment horizontal="center"/>
      <protection locked="0" hidden="0"/>
    </xf>
    <xf numFmtId="176" fontId="20" fillId="15" borderId="9" applyProtection="1" pivotButton="0" quotePrefix="0" xfId="0">
      <protection locked="0" hidden="0"/>
    </xf>
    <xf numFmtId="0" fontId="15" fillId="16" borderId="12" applyAlignment="1" applyProtection="1" pivotButton="0" quotePrefix="0" xfId="0">
      <alignment horizontal="center" vertical="center"/>
      <protection locked="0" hidden="0"/>
    </xf>
    <xf numFmtId="177" fontId="47" fillId="15" borderId="2" applyProtection="1" pivotButton="0" quotePrefix="0" xfId="0">
      <protection locked="0" hidden="0"/>
    </xf>
    <xf numFmtId="37" fontId="0" fillId="15" borderId="2" applyProtection="1" pivotButton="0" quotePrefix="0" xfId="0">
      <protection locked="0" hidden="0"/>
    </xf>
    <xf numFmtId="39" fontId="5" fillId="24" borderId="0" applyProtection="1" pivotButton="0" quotePrefix="0" xfId="0">
      <protection locked="0" hidden="0"/>
    </xf>
    <xf numFmtId="39" fontId="5" fillId="0" borderId="0" applyProtection="1" pivotButton="0" quotePrefix="0" xfId="0">
      <protection locked="0" hidden="0"/>
    </xf>
    <xf numFmtId="39" fontId="0" fillId="0" borderId="0" applyAlignment="1" applyProtection="1" pivotButton="0" quotePrefix="0" xfId="0">
      <alignment vertical="top"/>
      <protection locked="0" hidden="0"/>
    </xf>
    <xf numFmtId="39" fontId="14" fillId="15" borderId="0" applyProtection="1" pivotButton="0" quotePrefix="0" xfId="0">
      <protection locked="0" hidden="0"/>
    </xf>
    <xf numFmtId="39" fontId="14" fillId="15" borderId="0" applyAlignment="1" applyProtection="1" pivotButton="0" quotePrefix="0" xfId="0">
      <alignment vertical="top"/>
      <protection locked="0" hidden="0"/>
    </xf>
    <xf numFmtId="49" fontId="8" fillId="32" borderId="142" applyAlignment="1" applyProtection="1" pivotButton="0" quotePrefix="0" xfId="0">
      <alignment horizontal="right"/>
      <protection locked="0" hidden="0"/>
    </xf>
    <xf numFmtId="39" fontId="6" fillId="32" borderId="142" applyAlignment="1" applyProtection="1" pivotButton="0" quotePrefix="0" xfId="0">
      <alignment horizontal="right"/>
      <protection locked="0" hidden="0"/>
    </xf>
    <xf numFmtId="39" fontId="6" fillId="32" borderId="143" applyAlignment="1" applyProtection="1" pivotButton="0" quotePrefix="0" xfId="0">
      <alignment horizontal="right"/>
      <protection locked="0" hidden="0"/>
    </xf>
    <xf numFmtId="39" fontId="6" fillId="32" borderId="145" applyAlignment="1" applyProtection="1" pivotButton="0" quotePrefix="0" xfId="0">
      <alignment horizontal="right"/>
      <protection locked="0" hidden="0"/>
    </xf>
    <xf numFmtId="49" fontId="8" fillId="32" borderId="143" applyAlignment="1" applyProtection="1" pivotButton="0" quotePrefix="0" xfId="0">
      <alignment horizontal="right"/>
      <protection locked="0" hidden="0"/>
    </xf>
    <xf numFmtId="49" fontId="8" fillId="32" borderId="145" applyAlignment="1" applyProtection="1" pivotButton="0" quotePrefix="0" xfId="0">
      <alignment horizontal="right"/>
      <protection locked="0" hidden="0"/>
    </xf>
    <xf numFmtId="37" fontId="6" fillId="15" borderId="2" applyProtection="1" pivotButton="0" quotePrefix="0" xfId="0">
      <protection locked="0" hidden="0"/>
    </xf>
    <xf numFmtId="39" fontId="212" fillId="15" borderId="23" applyAlignment="1" applyProtection="1" pivotButton="0" quotePrefix="0" xfId="0">
      <alignment horizontal="centerContinuous" vertical="center"/>
      <protection locked="0" hidden="0"/>
    </xf>
    <xf numFmtId="39" fontId="0" fillId="15" borderId="7" applyAlignment="1" applyProtection="1" pivotButton="0" quotePrefix="0" xfId="0">
      <alignment horizontal="centerContinuous"/>
      <protection locked="0" hidden="0"/>
    </xf>
    <xf numFmtId="39" fontId="0" fillId="15" borderId="19" applyAlignment="1" applyProtection="1" pivotButton="0" quotePrefix="0" xfId="0">
      <alignment horizontal="centerContinuous"/>
      <protection locked="0" hidden="0"/>
    </xf>
    <xf numFmtId="39" fontId="6" fillId="15" borderId="5" applyAlignment="1" applyProtection="1" pivotButton="0" quotePrefix="0" xfId="0">
      <alignment horizontal="left" vertical="center" indent="1"/>
      <protection locked="0" hidden="0"/>
    </xf>
    <xf numFmtId="39" fontId="0" fillId="15" borderId="0" applyAlignment="1" applyProtection="1" pivotButton="0" quotePrefix="0" xfId="0">
      <alignment vertical="top"/>
      <protection locked="0" hidden="0"/>
    </xf>
    <xf numFmtId="39" fontId="0" fillId="15" borderId="20" applyAlignment="1" applyProtection="1" pivotButton="0" quotePrefix="0" xfId="0">
      <alignment vertical="top"/>
      <protection locked="0" hidden="0"/>
    </xf>
    <xf numFmtId="39" fontId="6" fillId="15" borderId="26" applyAlignment="1" applyProtection="1" pivotButton="0" quotePrefix="0" xfId="0">
      <alignment horizontal="left" vertical="center" indent="1"/>
      <protection locked="0" hidden="0"/>
    </xf>
    <xf numFmtId="39" fontId="0" fillId="15" borderId="1" applyProtection="1" pivotButton="0" quotePrefix="0" xfId="0">
      <protection locked="0" hidden="0"/>
    </xf>
    <xf numFmtId="39" fontId="0" fillId="15" borderId="29" applyProtection="1" pivotButton="0" quotePrefix="0" xfId="0">
      <protection locked="0" hidden="0"/>
    </xf>
    <xf numFmtId="39" fontId="6" fillId="15" borderId="5" applyAlignment="1" applyProtection="1" pivotButton="0" quotePrefix="0" xfId="0">
      <alignment horizontal="left" vertical="center"/>
      <protection locked="0" hidden="0"/>
    </xf>
    <xf numFmtId="39" fontId="0" fillId="15" borderId="20" applyProtection="1" pivotButton="0" quotePrefix="0" xfId="0">
      <protection locked="0" hidden="0"/>
    </xf>
    <xf numFmtId="39" fontId="4" fillId="15" borderId="5" applyAlignment="1" applyProtection="1" pivotButton="0" quotePrefix="1" xfId="0">
      <alignment horizontal="right"/>
      <protection locked="0" hidden="0"/>
    </xf>
    <xf numFmtId="39" fontId="6" fillId="15" borderId="0" applyProtection="1" pivotButton="0" quotePrefix="0" xfId="0">
      <protection locked="0" hidden="0"/>
    </xf>
    <xf numFmtId="39" fontId="5" fillId="15" borderId="20" applyProtection="1" pivotButton="0" quotePrefix="0" xfId="0">
      <protection locked="0" hidden="0"/>
    </xf>
    <xf numFmtId="39" fontId="5" fillId="15" borderId="5" applyProtection="1" pivotButton="0" quotePrefix="0" xfId="0">
      <protection locked="0" hidden="0"/>
    </xf>
    <xf numFmtId="39" fontId="5" fillId="15" borderId="0" applyProtection="1" pivotButton="0" quotePrefix="0" xfId="0">
      <protection locked="0" hidden="0"/>
    </xf>
    <xf numFmtId="39" fontId="0" fillId="15" borderId="21" applyProtection="1" pivotButton="0" quotePrefix="0" xfId="0">
      <protection locked="0" hidden="0"/>
    </xf>
    <xf numFmtId="39" fontId="6" fillId="15" borderId="4" applyProtection="1" pivotButton="0" quotePrefix="0" xfId="0">
      <protection locked="0" hidden="0"/>
    </xf>
    <xf numFmtId="39" fontId="0" fillId="15" borderId="4" applyProtection="1" pivotButton="0" quotePrefix="0" xfId="0">
      <protection locked="0" hidden="0"/>
    </xf>
    <xf numFmtId="39" fontId="0" fillId="15" borderId="22" applyProtection="1" pivotButton="0" quotePrefix="0" xfId="0">
      <protection locked="0" hidden="0"/>
    </xf>
    <xf numFmtId="0" fontId="242" fillId="2" borderId="41" applyProtection="1" pivotButton="0" quotePrefix="0" xfId="0">
      <protection locked="1" hidden="1"/>
    </xf>
    <xf numFmtId="0" fontId="4" fillId="16" borderId="2" applyAlignment="1" applyProtection="1" pivotButton="0" quotePrefix="0" xfId="0">
      <alignment horizontal="center"/>
      <protection locked="0" hidden="0"/>
    </xf>
    <xf numFmtId="0" fontId="47" fillId="15" borderId="0" applyAlignment="1" applyProtection="1" pivotButton="0" quotePrefix="0" xfId="0">
      <alignment horizontal="center" vertical="center"/>
      <protection locked="0" hidden="0"/>
    </xf>
    <xf numFmtId="0" fontId="8" fillId="15" borderId="39" applyAlignment="1" applyProtection="1" pivotButton="0" quotePrefix="0" xfId="0">
      <alignment horizontal="left" vertical="center"/>
      <protection locked="0" hidden="0"/>
    </xf>
    <xf numFmtId="0" fontId="47" fillId="15" borderId="25" applyAlignment="1" applyProtection="1" pivotButton="0" quotePrefix="0" xfId="0">
      <alignment horizontal="center" vertical="center"/>
      <protection locked="0" hidden="0"/>
    </xf>
    <xf numFmtId="39" fontId="6" fillId="24" borderId="0" applyAlignment="1" applyProtection="1" pivotButton="0" quotePrefix="0" xfId="0">
      <alignment vertical="top"/>
      <protection locked="0" hidden="0"/>
    </xf>
    <xf numFmtId="0" fontId="0" fillId="15" borderId="0" applyAlignment="1" pivotButton="0" quotePrefix="0" xfId="0">
      <alignment vertical="center" wrapText="1"/>
    </xf>
    <xf numFmtId="0" fontId="4" fillId="0" borderId="194" applyAlignment="1" pivotButton="0" quotePrefix="0" xfId="0">
      <alignment horizontal="center"/>
    </xf>
    <xf numFmtId="0" fontId="4" fillId="0" borderId="79" applyAlignment="1" pivotButton="0" quotePrefix="0" xfId="0">
      <alignment horizontal="center"/>
    </xf>
    <xf numFmtId="170" fontId="0" fillId="0" borderId="193" applyAlignment="1" pivotButton="0" quotePrefix="0" xfId="0">
      <alignment horizontal="center"/>
    </xf>
    <xf numFmtId="170" fontId="0" fillId="0" borderId="78" applyAlignment="1" pivotButton="0" quotePrefix="0" xfId="0">
      <alignment horizontal="center"/>
    </xf>
    <xf numFmtId="170" fontId="6" fillId="0" borderId="193" applyAlignment="1" pivotButton="0" quotePrefix="0" xfId="0">
      <alignment horizontal="center"/>
    </xf>
    <xf numFmtId="170" fontId="6" fillId="0" borderId="78" applyAlignment="1" pivotButton="0" quotePrefix="0" xfId="0">
      <alignment horizontal="center"/>
    </xf>
    <xf numFmtId="170" fontId="0" fillId="0" borderId="6" applyAlignment="1" pivotButton="0" quotePrefix="0" xfId="0">
      <alignment horizontal="center"/>
    </xf>
    <xf numFmtId="170" fontId="6" fillId="0" borderId="6" applyAlignment="1" pivotButton="0" quotePrefix="0" xfId="0">
      <alignment horizontal="center"/>
    </xf>
    <xf numFmtId="0" fontId="4" fillId="0" borderId="23" applyAlignment="1" pivotButton="0" quotePrefix="0" xfId="0">
      <alignment horizontal="center"/>
    </xf>
    <xf numFmtId="0" fontId="4" fillId="0" borderId="195" applyAlignment="1" pivotButton="0" quotePrefix="0" xfId="0">
      <alignment horizontal="center"/>
    </xf>
    <xf numFmtId="0" fontId="4" fillId="0" borderId="196" applyAlignment="1" pivotButton="0" quotePrefix="0" xfId="0">
      <alignment horizontal="center"/>
    </xf>
    <xf numFmtId="0" fontId="4" fillId="0" borderId="21" applyAlignment="1" pivotButton="0" quotePrefix="0" xfId="0">
      <alignment horizontal="center"/>
    </xf>
    <xf numFmtId="170" fontId="0" fillId="0" borderId="5" applyAlignment="1" pivotButton="0" quotePrefix="0" xfId="0">
      <alignment horizontal="center"/>
    </xf>
    <xf numFmtId="170" fontId="0" fillId="0" borderId="20" applyAlignment="1" pivotButton="0" quotePrefix="0" xfId="0">
      <alignment horizontal="center"/>
    </xf>
    <xf numFmtId="170" fontId="6" fillId="0" borderId="5" applyAlignment="1" pivotButton="0" quotePrefix="0" xfId="0">
      <alignment horizontal="right" indent="1"/>
    </xf>
    <xf numFmtId="170" fontId="6" fillId="0" borderId="20" applyAlignment="1" pivotButton="0" quotePrefix="0" xfId="0">
      <alignment horizontal="center"/>
    </xf>
    <xf numFmtId="170" fontId="0" fillId="0" borderId="21" applyAlignment="1" pivotButton="0" quotePrefix="0" xfId="0">
      <alignment horizontal="center"/>
    </xf>
    <xf numFmtId="4" fontId="10" fillId="3" borderId="7" applyAlignment="1" applyProtection="1" pivotButton="0" quotePrefix="0" xfId="0">
      <alignment horizontal="right" vertical="top"/>
      <protection locked="1" hidden="1"/>
    </xf>
    <xf numFmtId="0" fontId="8" fillId="15" borderId="0" applyAlignment="1" pivotButton="0" quotePrefix="0" xfId="0">
      <alignment horizontal="left" vertical="center"/>
    </xf>
    <xf numFmtId="0" fontId="4" fillId="16" borderId="198" applyAlignment="1" applyProtection="1" pivotButton="0" quotePrefix="0" xfId="0">
      <alignment horizontal="center" vertical="center"/>
      <protection locked="0" hidden="0"/>
    </xf>
    <xf numFmtId="0" fontId="11" fillId="27" borderId="192" applyAlignment="1" applyProtection="1" pivotButton="0" quotePrefix="0" xfId="0">
      <alignment horizontal="center" vertical="center"/>
      <protection locked="1" hidden="1"/>
    </xf>
    <xf numFmtId="0" fontId="11" fillId="27" borderId="99" applyAlignment="1" applyProtection="1" pivotButton="0" quotePrefix="0" xfId="0">
      <alignment horizontal="center" vertical="center"/>
      <protection locked="1" hidden="1"/>
    </xf>
    <xf numFmtId="0" fontId="20" fillId="27" borderId="99" applyAlignment="1" applyProtection="1" pivotButton="0" quotePrefix="0" xfId="0">
      <alignment horizontal="center" vertical="center"/>
      <protection locked="1" hidden="1"/>
    </xf>
    <xf numFmtId="37" fontId="9" fillId="16" borderId="3" applyProtection="1" pivotButton="0" quotePrefix="0" xfId="0">
      <protection locked="0" hidden="0"/>
    </xf>
    <xf numFmtId="37" fontId="9" fillId="16" borderId="0" applyProtection="1" pivotButton="0" quotePrefix="0" xfId="0">
      <protection locked="0" hidden="0"/>
    </xf>
    <xf numFmtId="37" fontId="4" fillId="16" borderId="0" applyProtection="1" pivotButton="0" quotePrefix="0" xfId="0">
      <protection locked="0" hidden="0"/>
    </xf>
    <xf numFmtId="0" fontId="6" fillId="2" borderId="26" applyProtection="1" pivotButton="0" quotePrefix="0" xfId="0">
      <protection locked="1" hidden="1"/>
    </xf>
    <xf numFmtId="0" fontId="6" fillId="2" borderId="5" applyProtection="1" pivotButton="0" quotePrefix="0" xfId="0">
      <protection locked="1" hidden="1"/>
    </xf>
    <xf numFmtId="0" fontId="4" fillId="19" borderId="0" applyAlignment="1" pivotButton="0" quotePrefix="0" xfId="0">
      <alignment horizontal="center"/>
    </xf>
    <xf numFmtId="167" fontId="9" fillId="2" borderId="2" applyAlignment="1" applyProtection="1" pivotButton="0" quotePrefix="0" xfId="0">
      <alignment horizontal="center"/>
      <protection locked="0" hidden="0"/>
    </xf>
    <xf numFmtId="0" fontId="9" fillId="2" borderId="0" pivotButton="0" quotePrefix="0" xfId="0"/>
    <xf numFmtId="39" fontId="4" fillId="3" borderId="0" applyProtection="1" pivotButton="0" quotePrefix="0" xfId="0">
      <protection locked="1" hidden="1"/>
    </xf>
    <xf numFmtId="0" fontId="6" fillId="0" borderId="162" applyAlignment="1" pivotButton="0" quotePrefix="1" xfId="0">
      <alignment horizontal="right" indent="1"/>
    </xf>
    <xf numFmtId="0" fontId="4" fillId="0" borderId="170" pivotButton="0" quotePrefix="0" xfId="0"/>
    <xf numFmtId="39" fontId="6" fillId="24" borderId="1" applyAlignment="1" applyProtection="1" pivotButton="0" quotePrefix="0" xfId="0">
      <alignment horizontal="center"/>
      <protection locked="0" hidden="0"/>
    </xf>
    <xf numFmtId="172" fontId="12" fillId="26" borderId="12" applyAlignment="1" applyProtection="1" pivotButton="0" quotePrefix="0" xfId="0">
      <alignment horizontal="center"/>
      <protection locked="1" hidden="1"/>
    </xf>
    <xf numFmtId="37" fontId="0" fillId="15" borderId="0" applyAlignment="1" applyProtection="1" pivotButton="0" quotePrefix="0" xfId="0">
      <alignment horizontal="right" vertical="center"/>
      <protection locked="0" hidden="0"/>
    </xf>
    <xf numFmtId="178" fontId="8" fillId="15" borderId="0" applyAlignment="1" applyProtection="1" pivotButton="0" quotePrefix="0" xfId="0">
      <alignment vertical="center"/>
      <protection locked="0" hidden="0"/>
    </xf>
    <xf numFmtId="37" fontId="8" fillId="15" borderId="0" applyAlignment="1" applyProtection="1" pivotButton="0" quotePrefix="0" xfId="0">
      <alignment vertical="center"/>
      <protection locked="0" hidden="0"/>
    </xf>
    <xf numFmtId="37" fontId="8" fillId="15" borderId="0" applyAlignment="1" applyProtection="1" pivotButton="0" quotePrefix="0" xfId="0">
      <alignment horizontal="right" vertical="center"/>
      <protection locked="0" hidden="0"/>
    </xf>
    <xf numFmtId="37" fontId="6" fillId="15" borderId="0" pivotButton="0" quotePrefix="0" xfId="0"/>
    <xf numFmtId="37" fontId="0" fillId="15" borderId="4" pivotButton="0" quotePrefix="0" xfId="0"/>
    <xf numFmtId="37" fontId="10" fillId="15" borderId="0" applyAlignment="1" applyProtection="1" pivotButton="0" quotePrefix="0" xfId="0">
      <alignment vertical="center"/>
      <protection locked="0" hidden="0"/>
    </xf>
    <xf numFmtId="0" fontId="6" fillId="15" borderId="0" applyAlignment="1" pivotButton="0" quotePrefix="0" xfId="0">
      <alignment vertical="center" wrapText="1"/>
    </xf>
    <xf numFmtId="0" fontId="6" fillId="15" borderId="21" pivotButton="0" quotePrefix="0" xfId="0"/>
    <xf numFmtId="0" fontId="110" fillId="15" borderId="0" applyAlignment="1" pivotButton="0" quotePrefix="0" xfId="0">
      <alignment vertical="center" wrapText="1"/>
    </xf>
    <xf numFmtId="0" fontId="0" fillId="15" borderId="7" applyAlignment="1" pivotButton="0" quotePrefix="0" xfId="0">
      <alignment vertical="center"/>
    </xf>
    <xf numFmtId="37" fontId="0" fillId="16" borderId="2" applyAlignment="1" applyProtection="1" pivotButton="0" quotePrefix="0" xfId="0">
      <alignment horizontal="right"/>
      <protection locked="0" hidden="0"/>
    </xf>
    <xf numFmtId="0" fontId="12" fillId="0" borderId="0" pivotButton="0" quotePrefix="0" xfId="0"/>
    <xf numFmtId="0" fontId="10" fillId="2" borderId="0" applyAlignment="1" applyProtection="1" pivotButton="0" quotePrefix="0" xfId="0">
      <alignment vertical="center" wrapText="1"/>
      <protection locked="1" hidden="1"/>
    </xf>
    <xf numFmtId="3" fontId="9" fillId="2" borderId="0" applyAlignment="1" applyProtection="1" pivotButton="0" quotePrefix="0" xfId="0">
      <alignment horizontal="center"/>
      <protection locked="0" hidden="0"/>
    </xf>
    <xf numFmtId="0" fontId="6" fillId="15" borderId="0" applyAlignment="1" pivotButton="0" quotePrefix="1" xfId="0">
      <alignment horizontal="center"/>
    </xf>
    <xf numFmtId="37" fontId="6" fillId="15" borderId="0" applyAlignment="1" pivotButton="0" quotePrefix="0" xfId="0">
      <alignment horizontal="center"/>
    </xf>
    <xf numFmtId="0" fontId="0" fillId="15" borderId="8" applyAlignment="1" pivotButton="0" quotePrefix="0" xfId="0">
      <alignment horizontal="center"/>
    </xf>
    <xf numFmtId="0" fontId="4" fillId="15" borderId="3" applyAlignment="1" pivotButton="0" quotePrefix="0" xfId="0">
      <alignment horizontal="center"/>
    </xf>
    <xf numFmtId="37" fontId="8" fillId="15" borderId="0" applyAlignment="1" applyProtection="1" pivotButton="0" quotePrefix="0" xfId="0">
      <alignment horizontal="center" vertical="center"/>
      <protection locked="0" hidden="0"/>
    </xf>
    <xf numFmtId="37" fontId="10" fillId="15" borderId="48" applyAlignment="1" applyProtection="1" pivotButton="0" quotePrefix="0" xfId="0">
      <alignment vertical="center"/>
      <protection locked="0" hidden="0"/>
    </xf>
    <xf numFmtId="37" fontId="8" fillId="15" borderId="53" applyAlignment="1" applyProtection="1" pivotButton="0" quotePrefix="0" xfId="0">
      <alignment vertical="center"/>
      <protection locked="0" hidden="0"/>
    </xf>
    <xf numFmtId="4" fontId="4" fillId="2" borderId="0" applyProtection="1" pivotButton="0" quotePrefix="0" xfId="0">
      <protection locked="1" hidden="1"/>
    </xf>
    <xf numFmtId="0" fontId="11" fillId="15" borderId="0" applyAlignment="1" pivotButton="0" quotePrefix="0" xfId="0">
      <alignment horizontal="left" indent="1"/>
    </xf>
    <xf numFmtId="0" fontId="20" fillId="15" borderId="0" applyAlignment="1" pivotButton="0" quotePrefix="0" xfId="0">
      <alignment horizontal="left" vertical="center"/>
    </xf>
    <xf numFmtId="0" fontId="20" fillId="15" borderId="0" applyAlignment="1" pivotButton="0" quotePrefix="1" xfId="0">
      <alignment horizontal="left" vertical="center"/>
    </xf>
    <xf numFmtId="0" fontId="0" fillId="15" borderId="0" applyAlignment="1" pivotButton="0" quotePrefix="0" xfId="0">
      <alignment horizontal="left" indent="1"/>
    </xf>
    <xf numFmtId="0" fontId="26" fillId="15" borderId="0" applyAlignment="1" pivotButton="0" quotePrefix="0" xfId="0">
      <alignment horizontal="left" indent="1"/>
    </xf>
    <xf numFmtId="0" fontId="6" fillId="15" borderId="0" applyAlignment="1" pivotButton="0" quotePrefix="0" xfId="0">
      <alignment horizontal="left" indent="1"/>
    </xf>
    <xf numFmtId="0" fontId="4" fillId="15" borderId="0" applyAlignment="1" pivotButton="0" quotePrefix="0" xfId="0">
      <alignment horizontal="left" indent="1"/>
    </xf>
    <xf numFmtId="0" fontId="4" fillId="0" borderId="0" applyAlignment="1" pivotButton="0" quotePrefix="0" xfId="0">
      <alignment horizontal="left" indent="1"/>
    </xf>
    <xf numFmtId="0" fontId="135" fillId="15" borderId="0" applyProtection="1" pivotButton="0" quotePrefix="0" xfId="0">
      <protection locked="1" hidden="1"/>
    </xf>
    <xf numFmtId="2" fontId="135" fillId="15" borderId="0" applyProtection="1" pivotButton="0" quotePrefix="0" xfId="0">
      <protection locked="1" hidden="1"/>
    </xf>
    <xf numFmtId="0" fontId="6" fillId="0" borderId="0" applyAlignment="1" pivotButton="0" quotePrefix="0" xfId="0">
      <alignment horizontal="center" vertical="top" wrapText="1"/>
    </xf>
    <xf numFmtId="0" fontId="20" fillId="3" borderId="0" applyProtection="1" pivotButton="0" quotePrefix="0" xfId="0">
      <protection locked="1" hidden="1"/>
    </xf>
    <xf numFmtId="0" fontId="146" fillId="0" borderId="0" pivotButton="0" quotePrefix="0" xfId="0"/>
    <xf numFmtId="0" fontId="0" fillId="15" borderId="75" applyAlignment="1" pivotButton="0" quotePrefix="0" xfId="0">
      <alignment horizontal="right" indent="1"/>
    </xf>
    <xf numFmtId="37" fontId="8" fillId="20" borderId="51" applyAlignment="1" applyProtection="1" pivotButton="0" quotePrefix="0" xfId="0">
      <alignment horizontal="right"/>
      <protection locked="0" hidden="0"/>
    </xf>
    <xf numFmtId="37" fontId="8" fillId="20" borderId="52" applyAlignment="1" applyProtection="1" pivotButton="0" quotePrefix="0" xfId="0">
      <alignment horizontal="right"/>
      <protection locked="0" hidden="0"/>
    </xf>
    <xf numFmtId="0" fontId="6" fillId="15" borderId="7" applyProtection="1" pivotButton="0" quotePrefix="0" xfId="4">
      <protection locked="1" hidden="1"/>
    </xf>
    <xf numFmtId="0" fontId="4" fillId="0" borderId="0" applyAlignment="1" applyProtection="1" pivotButton="0" quotePrefix="0" xfId="0">
      <alignment horizontal="center" vertical="center" wrapText="1"/>
      <protection locked="1" hidden="1"/>
    </xf>
    <xf numFmtId="4" fontId="4" fillId="2" borderId="82" applyAlignment="1" applyProtection="1" pivotButton="0" quotePrefix="0" xfId="0">
      <alignment horizontal="center"/>
      <protection locked="1" hidden="1"/>
    </xf>
    <xf numFmtId="4" fontId="6" fillId="32" borderId="82" applyAlignment="1" applyProtection="1" pivotButton="0" quotePrefix="0" xfId="0">
      <alignment horizontal="center"/>
      <protection locked="0" hidden="0"/>
    </xf>
    <xf numFmtId="2" fontId="4" fillId="2" borderId="37" applyAlignment="1" applyProtection="1" pivotButton="0" quotePrefix="0" xfId="0">
      <alignment horizontal="center"/>
      <protection locked="1" hidden="1"/>
    </xf>
    <xf numFmtId="39" fontId="11" fillId="15" borderId="0" applyAlignment="1" applyProtection="1" pivotButton="0" quotePrefix="0" xfId="0">
      <alignment horizontal="centerContinuous"/>
      <protection locked="0" hidden="0"/>
    </xf>
    <xf numFmtId="0" fontId="5" fillId="0" borderId="54" applyProtection="1" pivotButton="0" quotePrefix="0" xfId="0">
      <protection locked="0" hidden="0"/>
    </xf>
    <xf numFmtId="39" fontId="5" fillId="0" borderId="12" applyProtection="1" pivotButton="0" quotePrefix="0" xfId="0">
      <protection locked="0" hidden="0"/>
    </xf>
    <xf numFmtId="39" fontId="5" fillId="0" borderId="39" applyProtection="1" pivotButton="0" quotePrefix="0" xfId="0">
      <protection locked="0" hidden="0"/>
    </xf>
    <xf numFmtId="37" fontId="15" fillId="15" borderId="2" applyProtection="1" pivotButton="0" quotePrefix="0" xfId="0">
      <protection locked="0" hidden="0"/>
    </xf>
    <xf numFmtId="2" fontId="11" fillId="16" borderId="12" applyAlignment="1" applyProtection="1" pivotButton="0" quotePrefix="0" xfId="0">
      <alignment horizontal="center" vertical="center"/>
      <protection locked="0" hidden="0"/>
    </xf>
    <xf numFmtId="39" fontId="0" fillId="0" borderId="0" applyAlignment="1" applyProtection="1" pivotButton="0" quotePrefix="0" xfId="0">
      <alignment vertical="center"/>
      <protection locked="0" hidden="0"/>
    </xf>
    <xf numFmtId="0" fontId="14" fillId="15" borderId="0" applyAlignment="1" applyProtection="1" pivotButton="0" quotePrefix="0" xfId="0">
      <alignment horizontal="center" vertical="center"/>
      <protection locked="1" hidden="1"/>
    </xf>
    <xf numFmtId="0" fontId="0" fillId="15" borderId="2" applyProtection="1" pivotButton="0" quotePrefix="0" xfId="0">
      <protection locked="0" hidden="0"/>
    </xf>
    <xf numFmtId="39" fontId="47" fillId="24" borderId="0" applyProtection="1" pivotButton="0" quotePrefix="0" xfId="0">
      <protection locked="0" hidden="0"/>
    </xf>
    <xf numFmtId="1" fontId="110" fillId="15" borderId="0" applyAlignment="1" pivotButton="0" quotePrefix="0" xfId="0">
      <alignment horizontal="center"/>
    </xf>
    <xf numFmtId="4" fontId="15" fillId="5" borderId="0" applyAlignment="1" applyProtection="1" pivotButton="0" quotePrefix="0" xfId="0">
      <alignment horizontal="center" vertical="center"/>
      <protection locked="0" hidden="0"/>
    </xf>
    <xf numFmtId="0" fontId="239" fillId="15" borderId="12" applyAlignment="1" applyProtection="1" pivotButton="0" quotePrefix="0" xfId="0">
      <alignment horizontal="center"/>
      <protection locked="0" hidden="0"/>
    </xf>
    <xf numFmtId="1" fontId="0" fillId="10" borderId="0" applyAlignment="1" applyProtection="1" pivotButton="0" quotePrefix="0" xfId="0">
      <alignment vertical="top"/>
      <protection locked="1" hidden="1"/>
    </xf>
    <xf numFmtId="170" fontId="6" fillId="0" borderId="193" applyAlignment="1" pivotButton="0" quotePrefix="1" xfId="0">
      <alignment horizontal="center"/>
    </xf>
    <xf numFmtId="0" fontId="8" fillId="15" borderId="0" applyProtection="1" pivotButton="0" quotePrefix="0" xfId="0">
      <protection locked="0" hidden="0"/>
    </xf>
    <xf numFmtId="0" fontId="8" fillId="15" borderId="6" applyProtection="1" pivotButton="0" quotePrefix="0" xfId="0">
      <protection locked="0" hidden="0"/>
    </xf>
    <xf numFmtId="37" fontId="110" fillId="0" borderId="0" pivotButton="0" quotePrefix="0" xfId="0"/>
    <xf numFmtId="0" fontId="4" fillId="5" borderId="0" applyAlignment="1" applyProtection="1" pivotButton="0" quotePrefix="0" xfId="0">
      <alignment horizontal="center"/>
      <protection locked="0" hidden="0"/>
    </xf>
    <xf numFmtId="0" fontId="4" fillId="0" borderId="0" applyAlignment="1" pivotButton="0" quotePrefix="0" xfId="0">
      <alignment horizontal="center" vertical="center"/>
    </xf>
    <xf numFmtId="170" fontId="6" fillId="0" borderId="5" applyAlignment="1" pivotButton="0" quotePrefix="0" xfId="0">
      <alignment horizontal="right"/>
    </xf>
    <xf numFmtId="170" fontId="158" fillId="0" borderId="193" applyAlignment="1" pivotButton="0" quotePrefix="0" xfId="0">
      <alignment horizontal="center"/>
    </xf>
    <xf numFmtId="37" fontId="11" fillId="15" borderId="30" applyProtection="1" pivotButton="0" quotePrefix="0" xfId="0">
      <protection locked="0" hidden="0"/>
    </xf>
    <xf numFmtId="37" fontId="11" fillId="15" borderId="8" applyProtection="1" pivotButton="0" quotePrefix="0" xfId="0">
      <protection locked="0" hidden="0"/>
    </xf>
    <xf numFmtId="37" fontId="11" fillId="15" borderId="14" applyProtection="1" pivotButton="0" quotePrefix="0" xfId="0">
      <protection locked="0" hidden="0"/>
    </xf>
    <xf numFmtId="176" fontId="4" fillId="39" borderId="0" applyAlignment="1" applyProtection="1" pivotButton="0" quotePrefix="0" xfId="0">
      <alignment horizontal="right"/>
      <protection locked="0" hidden="0"/>
    </xf>
    <xf numFmtId="176" fontId="4" fillId="39" borderId="0" applyAlignment="1" applyProtection="1" pivotButton="0" quotePrefix="0" xfId="0">
      <alignment horizontal="right" indent="1"/>
      <protection locked="0" hidden="0"/>
    </xf>
    <xf numFmtId="0" fontId="8" fillId="39" borderId="0" applyAlignment="1" pivotButton="0" quotePrefix="0" xfId="0">
      <alignment horizontal="left"/>
    </xf>
    <xf numFmtId="0" fontId="10" fillId="39" borderId="0" applyAlignment="1" pivotButton="0" quotePrefix="0" xfId="0">
      <alignment horizontal="left" vertical="center"/>
    </xf>
    <xf numFmtId="0" fontId="10" fillId="39" borderId="0" applyAlignment="1" pivotButton="0" quotePrefix="0" xfId="0">
      <alignment horizontal="left" vertical="top" wrapText="1"/>
    </xf>
    <xf numFmtId="0" fontId="10" fillId="39" borderId="8" applyAlignment="1" pivotButton="0" quotePrefix="0" xfId="0">
      <alignment horizontal="left" vertical="top" wrapText="1"/>
    </xf>
    <xf numFmtId="0" fontId="10" fillId="39" borderId="14" applyAlignment="1" pivotButton="0" quotePrefix="0" xfId="0">
      <alignment horizontal="left" vertical="top" wrapText="1"/>
    </xf>
    <xf numFmtId="0" fontId="10" fillId="39" borderId="24" applyAlignment="1" pivotButton="0" quotePrefix="0" xfId="0">
      <alignment horizontal="left" vertical="center"/>
    </xf>
    <xf numFmtId="0" fontId="10" fillId="39" borderId="3" applyAlignment="1" pivotButton="0" quotePrefix="0" xfId="0">
      <alignment horizontal="left" vertical="center"/>
    </xf>
    <xf numFmtId="176" fontId="4" fillId="39" borderId="1" applyAlignment="1" applyProtection="1" pivotButton="0" quotePrefix="0" xfId="0">
      <alignment horizontal="right"/>
      <protection locked="0" hidden="0"/>
    </xf>
    <xf numFmtId="0" fontId="0" fillId="39" borderId="0" applyAlignment="1" pivotButton="0" quotePrefix="0" xfId="0">
      <alignment horizontal="center"/>
    </xf>
    <xf numFmtId="0" fontId="0" fillId="39" borderId="8" applyAlignment="1" pivotButton="0" quotePrefix="0" xfId="0">
      <alignment horizontal="center"/>
    </xf>
    <xf numFmtId="176" fontId="4" fillId="39" borderId="70" applyAlignment="1" applyProtection="1" pivotButton="0" quotePrefix="0" xfId="0">
      <alignment horizontal="right" indent="1"/>
      <protection locked="0" hidden="0"/>
    </xf>
    <xf numFmtId="176" fontId="4" fillId="39" borderId="14" applyAlignment="1" applyProtection="1" pivotButton="0" quotePrefix="0" xfId="0">
      <alignment horizontal="right" vertical="top" indent="1"/>
      <protection locked="0" hidden="0"/>
    </xf>
    <xf numFmtId="37" fontId="0" fillId="0" borderId="1" applyProtection="1" pivotButton="0" quotePrefix="0" xfId="0">
      <protection locked="0" hidden="0"/>
    </xf>
    <xf numFmtId="0" fontId="6" fillId="15" borderId="0" applyAlignment="1" applyProtection="1" pivotButton="0" quotePrefix="0" xfId="0">
      <alignment horizontal="left" vertical="center" wrapText="1"/>
      <protection locked="0" hidden="0"/>
    </xf>
    <xf numFmtId="0" fontId="10" fillId="39" borderId="30" applyAlignment="1" pivotButton="0" quotePrefix="0" xfId="0">
      <alignment horizontal="left" vertical="top" wrapText="1"/>
    </xf>
    <xf numFmtId="172" fontId="11" fillId="27" borderId="39" applyAlignment="1" applyProtection="1" pivotButton="0" quotePrefix="0" xfId="0">
      <alignment horizontal="center" vertical="center"/>
      <protection locked="1" hidden="1"/>
    </xf>
    <xf numFmtId="172" fontId="11" fillId="27" borderId="192" applyAlignment="1" applyProtection="1" pivotButton="0" quotePrefix="0" xfId="0">
      <alignment horizontal="center" vertical="center"/>
      <protection locked="1" hidden="1"/>
    </xf>
    <xf numFmtId="0" fontId="0" fillId="23" borderId="0" pivotButton="0" quotePrefix="0" xfId="0"/>
    <xf numFmtId="0" fontId="4" fillId="15" borderId="13" applyAlignment="1" applyProtection="1" pivotButton="0" quotePrefix="0" xfId="0">
      <alignment horizontal="center" vertical="center"/>
      <protection locked="1" hidden="1"/>
    </xf>
    <xf numFmtId="0" fontId="4" fillId="0" borderId="0" applyAlignment="1" pivotButton="0" quotePrefix="0" xfId="0">
      <alignment horizontal="center" wrapText="1"/>
    </xf>
    <xf numFmtId="0" fontId="6" fillId="15" borderId="0" applyAlignment="1" applyProtection="1" pivotButton="0" quotePrefix="0" xfId="0">
      <alignment vertical="center" wrapText="1"/>
      <protection locked="0" hidden="0"/>
    </xf>
    <xf numFmtId="0" fontId="0" fillId="0" borderId="48" applyAlignment="1" pivotButton="0" quotePrefix="0" xfId="0">
      <alignment horizontal="center"/>
    </xf>
    <xf numFmtId="0" fontId="0" fillId="0" borderId="49" applyAlignment="1" pivotButton="0" quotePrefix="0" xfId="0">
      <alignment horizontal="center"/>
    </xf>
    <xf numFmtId="0" fontId="0" fillId="0" borderId="53" applyAlignment="1" pivotButton="0" quotePrefix="0" xfId="0">
      <alignment horizontal="center"/>
    </xf>
    <xf numFmtId="0" fontId="0" fillId="0" borderId="8" applyAlignment="1" pivotButton="0" quotePrefix="0" xfId="0">
      <alignment horizontal="center"/>
    </xf>
    <xf numFmtId="0" fontId="4" fillId="27" borderId="198" applyAlignment="1" applyProtection="1" pivotButton="0" quotePrefix="0" xfId="0">
      <alignment horizontal="center" vertical="center"/>
      <protection locked="1" hidden="1"/>
    </xf>
    <xf numFmtId="0" fontId="0" fillId="0" borderId="124" applyAlignment="1" pivotButton="0" quotePrefix="0" xfId="0">
      <alignment horizontal="center"/>
    </xf>
    <xf numFmtId="170" fontId="6" fillId="0" borderId="78" applyAlignment="1" pivotButton="0" quotePrefix="1" xfId="0">
      <alignment horizontal="center"/>
    </xf>
    <xf numFmtId="1" fontId="6" fillId="0" borderId="5" applyAlignment="1" pivotButton="0" quotePrefix="0" xfId="0">
      <alignment horizontal="right" indent="1"/>
    </xf>
    <xf numFmtId="0" fontId="4" fillId="15" borderId="8" applyAlignment="1" pivotButton="0" quotePrefix="0" xfId="0">
      <alignment horizontal="center"/>
    </xf>
    <xf numFmtId="0" fontId="0" fillId="15" borderId="3" applyAlignment="1" pivotButton="0" quotePrefix="0" xfId="0">
      <alignment horizontal="center"/>
    </xf>
    <xf numFmtId="0" fontId="4" fillId="15" borderId="0" applyAlignment="1" pivotButton="0" quotePrefix="0" xfId="0">
      <alignment horizontal="center" wrapText="1"/>
    </xf>
    <xf numFmtId="0" fontId="4" fillId="15" borderId="1" applyAlignment="1" pivotButton="0" quotePrefix="0" xfId="0">
      <alignment horizontal="right"/>
    </xf>
    <xf numFmtId="0" fontId="4" fillId="15" borderId="1" applyAlignment="1" pivotButton="0" quotePrefix="0" xfId="0">
      <alignment horizontal="center"/>
    </xf>
    <xf numFmtId="164" fontId="6" fillId="2" borderId="0" applyAlignment="1" applyProtection="1" pivotButton="0" quotePrefix="0" xfId="0">
      <alignment horizontal="left"/>
      <protection locked="1" hidden="1"/>
    </xf>
    <xf numFmtId="0" fontId="11" fillId="15" borderId="0" applyAlignment="1" applyProtection="1" pivotButton="0" quotePrefix="0" xfId="0">
      <alignment vertical="top"/>
      <protection locked="1" hidden="1"/>
    </xf>
    <xf numFmtId="3" fontId="0" fillId="15" borderId="1" applyProtection="1" pivotButton="0" quotePrefix="0" xfId="0">
      <protection locked="0" hidden="0"/>
    </xf>
    <xf numFmtId="39" fontId="5" fillId="3" borderId="0" applyAlignment="1" applyProtection="1" pivotButton="0" quotePrefix="0" xfId="0">
      <alignment vertical="center"/>
      <protection locked="1" hidden="1"/>
    </xf>
    <xf numFmtId="0" fontId="47" fillId="22" borderId="6" applyProtection="1" pivotButton="0" quotePrefix="0" xfId="0">
      <protection locked="1" hidden="1"/>
    </xf>
    <xf numFmtId="49" fontId="6" fillId="16" borderId="9" applyAlignment="1" applyProtection="1" pivotButton="0" quotePrefix="0" xfId="0">
      <alignment vertical="center" wrapText="1"/>
      <protection locked="0" hidden="0"/>
    </xf>
    <xf numFmtId="49" fontId="6" fillId="16" borderId="1" applyAlignment="1" applyProtection="1" pivotButton="0" quotePrefix="0" xfId="0">
      <alignment vertical="center" wrapText="1"/>
      <protection locked="0" hidden="0"/>
    </xf>
    <xf numFmtId="49" fontId="6" fillId="16" borderId="11" applyAlignment="1" applyProtection="1" pivotButton="0" quotePrefix="0" xfId="0">
      <alignment vertical="center" wrapText="1"/>
      <protection locked="0" hidden="0"/>
    </xf>
    <xf numFmtId="37" fontId="6" fillId="16" borderId="1" applyAlignment="1" applyProtection="1" pivotButton="0" quotePrefix="0" xfId="0">
      <alignment horizontal="right"/>
      <protection locked="0" hidden="0"/>
    </xf>
    <xf numFmtId="1" fontId="6" fillId="16" borderId="12" applyAlignment="1" applyProtection="1" pivotButton="0" quotePrefix="0" xfId="0">
      <alignment horizontal="center" vertical="center"/>
      <protection locked="0" hidden="0"/>
    </xf>
    <xf numFmtId="0" fontId="107" fillId="16" borderId="0" applyAlignment="1" applyProtection="1" pivotButton="0" quotePrefix="0" xfId="0">
      <alignment horizontal="center" vertical="center"/>
      <protection locked="0" hidden="0"/>
    </xf>
    <xf numFmtId="37" fontId="112" fillId="0" borderId="0" pivotButton="0" quotePrefix="0" xfId="0"/>
    <xf numFmtId="0" fontId="4" fillId="0" borderId="20" applyAlignment="1" pivotButton="0" quotePrefix="0" xfId="0">
      <alignment horizontal="center"/>
    </xf>
    <xf numFmtId="170" fontId="0" fillId="24" borderId="0" applyAlignment="1" applyProtection="1" pivotButton="0" quotePrefix="0" xfId="0">
      <alignment vertical="center"/>
      <protection locked="0" hidden="0"/>
    </xf>
    <xf numFmtId="0" fontId="67" fillId="15" borderId="100" applyAlignment="1" pivotButton="0" quotePrefix="0" xfId="2">
      <alignment horizontal="right" vertical="center"/>
    </xf>
    <xf numFmtId="0" fontId="4" fillId="15" borderId="75" applyAlignment="1" pivotButton="0" quotePrefix="0" xfId="0">
      <alignment horizontal="left" wrapText="1" indent="1"/>
    </xf>
    <xf numFmtId="0" fontId="4" fillId="15" borderId="0" applyAlignment="1" pivotButton="0" quotePrefix="0" xfId="0">
      <alignment horizontal="left" wrapText="1" indent="1"/>
    </xf>
    <xf numFmtId="170" fontId="6" fillId="0" borderId="5" applyAlignment="1" pivotButton="0" quotePrefix="0" xfId="0">
      <alignment horizontal="right" vertical="center" indent="1"/>
    </xf>
    <xf numFmtId="170" fontId="6" fillId="0" borderId="193" applyAlignment="1" pivotButton="0" quotePrefix="0" xfId="0">
      <alignment horizontal="center" vertical="center"/>
    </xf>
    <xf numFmtId="170" fontId="6" fillId="0" borderId="6" applyAlignment="1" pivotButton="0" quotePrefix="0" xfId="0">
      <alignment horizontal="center" vertical="center"/>
    </xf>
    <xf numFmtId="170" fontId="6" fillId="0" borderId="78" applyAlignment="1" pivotButton="0" quotePrefix="0" xfId="0">
      <alignment horizontal="center" vertical="center"/>
    </xf>
    <xf numFmtId="170" fontId="6" fillId="0" borderId="20" applyAlignment="1" pivotButton="0" quotePrefix="0" xfId="0">
      <alignment horizontal="center" vertical="center"/>
    </xf>
    <xf numFmtId="0" fontId="151" fillId="16" borderId="2" applyAlignment="1" applyProtection="1" pivotButton="0" quotePrefix="0" xfId="0">
      <alignment horizontal="center"/>
      <protection locked="0" hidden="0"/>
    </xf>
    <xf numFmtId="0" fontId="0" fillId="16" borderId="1" applyProtection="1" pivotButton="0" quotePrefix="0" xfId="0">
      <protection locked="0" hidden="0"/>
    </xf>
    <xf numFmtId="0" fontId="112" fillId="15" borderId="0" applyAlignment="1" pivotButton="0" quotePrefix="0" xfId="0">
      <alignment horizontal="center"/>
    </xf>
    <xf numFmtId="39" fontId="4" fillId="14" borderId="54" applyAlignment="1" applyProtection="1" pivotButton="0" quotePrefix="0" xfId="0">
      <alignment horizontal="center" vertical="center"/>
      <protection locked="0" hidden="0"/>
    </xf>
    <xf numFmtId="0" fontId="8" fillId="15" borderId="8" applyAlignment="1" pivotButton="0" quotePrefix="0" xfId="0">
      <alignment vertical="center"/>
    </xf>
    <xf numFmtId="0" fontId="4" fillId="15" borderId="0" applyAlignment="1" pivotButton="0" quotePrefix="0" xfId="0">
      <alignment horizontal="right" vertical="center"/>
    </xf>
    <xf numFmtId="1" fontId="153" fillId="16" borderId="81" applyAlignment="1" applyProtection="1" pivotButton="0" quotePrefix="0" xfId="0">
      <alignment horizontal="center" vertical="center"/>
      <protection locked="0" hidden="0"/>
    </xf>
    <xf numFmtId="0" fontId="14" fillId="15" borderId="0" pivotButton="0" quotePrefix="0" xfId="0"/>
    <xf numFmtId="14" fontId="20" fillId="24" borderId="0" applyProtection="1" pivotButton="0" quotePrefix="0" xfId="0">
      <protection locked="0" hidden="0"/>
    </xf>
    <xf numFmtId="0" fontId="0" fillId="15" borderId="0" applyAlignment="1" pivotButton="0" quotePrefix="0" xfId="0">
      <alignment horizontal="right"/>
    </xf>
    <xf numFmtId="37" fontId="0" fillId="0" borderId="0" applyAlignment="1" applyProtection="1" pivotButton="0" quotePrefix="0" xfId="0">
      <alignment vertical="center"/>
      <protection locked="0" hidden="0"/>
    </xf>
    <xf numFmtId="37" fontId="123" fillId="15" borderId="3" applyProtection="1" pivotButton="0" quotePrefix="0" xfId="0">
      <protection locked="0" hidden="0"/>
    </xf>
    <xf numFmtId="37" fontId="123" fillId="15" borderId="0" applyProtection="1" pivotButton="0" quotePrefix="0" xfId="0">
      <protection locked="0" hidden="0"/>
    </xf>
    <xf numFmtId="37" fontId="273" fillId="2" borderId="12" applyProtection="1" pivotButton="0" quotePrefix="0" xfId="0">
      <protection locked="0" hidden="0"/>
    </xf>
    <xf numFmtId="0" fontId="110" fillId="0" borderId="0" applyAlignment="1" pivotButton="0" quotePrefix="0" xfId="0">
      <alignment horizontal="right"/>
    </xf>
    <xf numFmtId="0" fontId="4" fillId="32" borderId="25" applyAlignment="1" applyProtection="1" pivotButton="0" quotePrefix="0" xfId="0">
      <alignment horizontal="center" wrapText="1"/>
      <protection locked="0" hidden="0"/>
    </xf>
    <xf numFmtId="0" fontId="4" fillId="32" borderId="1" applyAlignment="1" applyProtection="1" pivotButton="0" quotePrefix="0" xfId="0">
      <alignment horizontal="center" wrapText="1"/>
      <protection locked="0" hidden="0"/>
    </xf>
    <xf numFmtId="39" fontId="22" fillId="24" borderId="0" applyAlignment="1" applyProtection="1" pivotButton="0" quotePrefix="0" xfId="0">
      <alignment horizontal="left"/>
      <protection locked="0" hidden="0"/>
    </xf>
    <xf numFmtId="0" fontId="166" fillId="15" borderId="0" applyAlignment="1" pivotButton="0" quotePrefix="0" xfId="0">
      <alignment horizontal="center"/>
    </xf>
    <xf numFmtId="4" fontId="274" fillId="32" borderId="142" applyAlignment="1" applyProtection="1" pivotButton="0" quotePrefix="0" xfId="0">
      <alignment horizontal="center"/>
      <protection locked="0" hidden="0"/>
    </xf>
    <xf numFmtId="4" fontId="274" fillId="32" borderId="143" applyAlignment="1" applyProtection="1" pivotButton="0" quotePrefix="0" xfId="0">
      <alignment horizontal="center"/>
      <protection locked="0" hidden="0"/>
    </xf>
    <xf numFmtId="0" fontId="123" fillId="15" borderId="0" pivotButton="0" quotePrefix="0" xfId="0"/>
    <xf numFmtId="1" fontId="4" fillId="16" borderId="87" applyAlignment="1" applyProtection="1" pivotButton="0" quotePrefix="0" xfId="0">
      <alignment horizontal="center"/>
      <protection locked="0" hidden="0"/>
    </xf>
    <xf numFmtId="37" fontId="9" fillId="26" borderId="1" applyAlignment="1" applyProtection="1" pivotButton="0" quotePrefix="0" xfId="0">
      <alignment horizontal="right"/>
      <protection locked="0" hidden="0"/>
    </xf>
    <xf numFmtId="0" fontId="277" fillId="5" borderId="2" applyAlignment="1" pivotButton="0" quotePrefix="0" xfId="2">
      <alignment horizontal="center" vertical="center"/>
    </xf>
    <xf numFmtId="37" fontId="31" fillId="2" borderId="15" applyProtection="1" pivotButton="0" quotePrefix="0" xfId="0">
      <protection locked="0" hidden="0"/>
    </xf>
    <xf numFmtId="37" fontId="10" fillId="15" borderId="49" applyAlignment="1" applyProtection="1" pivotButton="0" quotePrefix="0" xfId="0">
      <alignment vertical="center"/>
      <protection locked="0" hidden="0"/>
    </xf>
    <xf numFmtId="37" fontId="10" fillId="15" borderId="53" applyAlignment="1" applyProtection="1" pivotButton="0" quotePrefix="0" xfId="0">
      <alignment vertical="center"/>
      <protection locked="0" hidden="0"/>
    </xf>
    <xf numFmtId="0" fontId="4" fillId="0" borderId="12" applyProtection="1" pivotButton="0" quotePrefix="0" xfId="0">
      <protection locked="1" hidden="1"/>
    </xf>
    <xf numFmtId="168" fontId="6" fillId="2" borderId="12" applyAlignment="1" applyProtection="1" pivotButton="0" quotePrefix="0" xfId="0">
      <alignment horizontal="right"/>
      <protection locked="0" hidden="0"/>
    </xf>
    <xf numFmtId="3" fontId="6" fillId="2" borderId="49" applyProtection="1" pivotButton="0" quotePrefix="0" xfId="0">
      <protection locked="1" hidden="1"/>
    </xf>
    <xf numFmtId="3" fontId="6" fillId="2" borderId="53" applyProtection="1" pivotButton="0" quotePrefix="0" xfId="0">
      <protection locked="1" hidden="1"/>
    </xf>
    <xf numFmtId="4" fontId="4" fillId="2" borderId="2" applyAlignment="1" applyProtection="1" pivotButton="0" quotePrefix="0" xfId="0">
      <alignment horizontal="center"/>
      <protection locked="1" hidden="1"/>
    </xf>
    <xf numFmtId="3" fontId="6" fillId="2" borderId="48" applyProtection="1" pivotButton="0" quotePrefix="0" xfId="0">
      <protection locked="1" hidden="1"/>
    </xf>
    <xf numFmtId="3" fontId="108" fillId="2" borderId="49" applyProtection="1" pivotButton="0" quotePrefix="0" xfId="0">
      <protection locked="1" hidden="1"/>
    </xf>
    <xf numFmtId="3" fontId="108" fillId="2" borderId="49" applyAlignment="1" applyProtection="1" pivotButton="0" quotePrefix="0" xfId="0">
      <alignment horizontal="center"/>
      <protection locked="1" hidden="1"/>
    </xf>
    <xf numFmtId="3" fontId="242" fillId="2" borderId="49" applyProtection="1" pivotButton="0" quotePrefix="0" xfId="0">
      <protection locked="1" hidden="1"/>
    </xf>
    <xf numFmtId="3" fontId="108" fillId="2" borderId="53" applyProtection="1" pivotButton="0" quotePrefix="0" xfId="0">
      <protection locked="1" hidden="1"/>
    </xf>
    <xf numFmtId="170" fontId="6" fillId="24" borderId="0" applyAlignment="1" applyProtection="1" pivotButton="0" quotePrefix="0" xfId="0">
      <alignment wrapText="1"/>
      <protection locked="0" hidden="0"/>
    </xf>
    <xf numFmtId="170" fontId="4" fillId="24" borderId="0" applyAlignment="1" applyProtection="1" pivotButton="0" quotePrefix="0" xfId="0">
      <alignment horizontal="center"/>
      <protection locked="0" hidden="0"/>
    </xf>
    <xf numFmtId="170" fontId="15" fillId="24" borderId="0" applyAlignment="1" applyProtection="1" pivotButton="0" quotePrefix="0" xfId="0">
      <alignment horizontal="center"/>
      <protection locked="0" hidden="0"/>
    </xf>
    <xf numFmtId="170" fontId="0" fillId="24" borderId="0" applyAlignment="1" applyProtection="1" pivotButton="0" quotePrefix="0" xfId="0">
      <alignment horizontal="center"/>
      <protection locked="0" hidden="0"/>
    </xf>
    <xf numFmtId="170" fontId="109" fillId="24" borderId="0" applyAlignment="1" applyProtection="1" pivotButton="0" quotePrefix="0" xfId="0">
      <alignment horizontal="center"/>
      <protection locked="0" hidden="0"/>
    </xf>
    <xf numFmtId="170" fontId="6" fillId="24" borderId="0" applyAlignment="1" applyProtection="1" pivotButton="0" quotePrefix="0" xfId="0">
      <alignment horizontal="center" wrapText="1"/>
      <protection locked="0" hidden="0"/>
    </xf>
    <xf numFmtId="170" fontId="6" fillId="24" borderId="0" applyAlignment="1" applyProtection="1" pivotButton="0" quotePrefix="0" xfId="0">
      <alignment horizontal="center"/>
      <protection locked="0" hidden="0"/>
    </xf>
    <xf numFmtId="170" fontId="11" fillId="24" borderId="0" applyAlignment="1" applyProtection="1" pivotButton="0" quotePrefix="0" xfId="0">
      <alignment horizontal="center"/>
      <protection locked="0" hidden="0"/>
    </xf>
    <xf numFmtId="170" fontId="6" fillId="24" borderId="1" applyAlignment="1" applyProtection="1" pivotButton="0" quotePrefix="0" xfId="0">
      <alignment horizontal="center"/>
      <protection locked="0" hidden="0"/>
    </xf>
    <xf numFmtId="0" fontId="6" fillId="0" borderId="0" applyProtection="1" pivotButton="0" quotePrefix="0" xfId="0">
      <protection locked="0" hidden="0"/>
    </xf>
    <xf numFmtId="37" fontId="6" fillId="0" borderId="0" applyProtection="1" pivotButton="0" quotePrefix="0" xfId="0">
      <protection locked="0" hidden="0"/>
    </xf>
    <xf numFmtId="170" fontId="15" fillId="24" borderId="1" applyAlignment="1" applyProtection="1" pivotButton="0" quotePrefix="0" xfId="0">
      <alignment horizontal="center"/>
      <protection locked="0" hidden="0"/>
    </xf>
    <xf numFmtId="170" fontId="0" fillId="0" borderId="0" applyAlignment="1" applyProtection="1" pivotButton="0" quotePrefix="0" xfId="0">
      <alignment horizontal="center"/>
      <protection locked="0" hidden="0"/>
    </xf>
    <xf numFmtId="0" fontId="4" fillId="15" borderId="0" applyAlignment="1" applyProtection="1" pivotButton="0" quotePrefix="0" xfId="0">
      <alignment horizontal="left" vertical="center"/>
      <protection locked="0" hidden="0"/>
    </xf>
    <xf numFmtId="38" fontId="146" fillId="2" borderId="4" applyAlignment="1" applyProtection="1" pivotButton="0" quotePrefix="0" xfId="0">
      <alignment horizontal="center"/>
      <protection locked="1" hidden="1"/>
    </xf>
    <xf numFmtId="164" fontId="125" fillId="2" borderId="0" applyProtection="1" pivotButton="0" quotePrefix="0" xfId="0">
      <protection locked="1" hidden="1"/>
    </xf>
    <xf numFmtId="38" fontId="110" fillId="2" borderId="4" applyAlignment="1" applyProtection="1" pivotButton="0" quotePrefix="0" xfId="0">
      <alignment horizontal="center"/>
      <protection locked="1" hidden="1"/>
    </xf>
    <xf numFmtId="0" fontId="4" fillId="15" borderId="8" applyAlignment="1" applyProtection="1" pivotButton="0" quotePrefix="0" xfId="0">
      <alignment horizontal="left" vertical="center"/>
      <protection locked="0" hidden="0"/>
    </xf>
    <xf numFmtId="0" fontId="4" fillId="15" borderId="14" applyAlignment="1" applyProtection="1" pivotButton="0" quotePrefix="0" xfId="0">
      <alignment horizontal="left" vertical="center"/>
      <protection locked="0" hidden="0"/>
    </xf>
    <xf numFmtId="0" fontId="4" fillId="15" borderId="0" applyAlignment="1" applyProtection="1" pivotButton="0" quotePrefix="0" xfId="0">
      <alignment vertical="center"/>
      <protection locked="0" hidden="0"/>
    </xf>
    <xf numFmtId="3" fontId="4" fillId="16" borderId="12" applyProtection="1" pivotButton="0" quotePrefix="0" xfId="0">
      <protection locked="0" hidden="0"/>
    </xf>
    <xf numFmtId="167" fontId="128" fillId="0" borderId="23" applyAlignment="1" applyProtection="1" pivotButton="0" quotePrefix="0" xfId="0">
      <alignment horizontal="right"/>
      <protection locked="1" hidden="1"/>
    </xf>
    <xf numFmtId="167" fontId="128" fillId="0" borderId="7" applyAlignment="1" applyProtection="1" pivotButton="0" quotePrefix="0" xfId="0">
      <alignment horizontal="right"/>
      <protection locked="1" hidden="1"/>
    </xf>
    <xf numFmtId="167" fontId="128" fillId="0" borderId="19" applyAlignment="1" applyProtection="1" pivotButton="0" quotePrefix="0" xfId="0">
      <alignment horizontal="right"/>
      <protection locked="1" hidden="1"/>
    </xf>
    <xf numFmtId="3" fontId="128" fillId="0" borderId="5" applyAlignment="1" applyProtection="1" pivotButton="0" quotePrefix="0" xfId="0">
      <alignment horizontal="right"/>
      <protection locked="1" hidden="1"/>
    </xf>
    <xf numFmtId="0" fontId="11" fillId="0" borderId="2" applyAlignment="1" pivotButton="0" quotePrefix="0" xfId="0">
      <alignment horizontal="center"/>
    </xf>
    <xf numFmtId="3" fontId="10" fillId="0" borderId="4" applyAlignment="1" applyProtection="1" pivotButton="0" quotePrefix="0" xfId="0">
      <alignment horizontal="center"/>
      <protection locked="1" hidden="1"/>
    </xf>
    <xf numFmtId="3" fontId="10" fillId="0" borderId="22" applyAlignment="1" applyProtection="1" pivotButton="0" quotePrefix="0" xfId="0">
      <alignment horizontal="center"/>
      <protection locked="1" hidden="1"/>
    </xf>
    <xf numFmtId="3" fontId="0" fillId="0" borderId="0" applyAlignment="1" applyProtection="1" pivotButton="0" quotePrefix="0" xfId="0">
      <alignment horizontal="right"/>
      <protection locked="1" hidden="1"/>
    </xf>
    <xf numFmtId="3" fontId="0" fillId="0" borderId="20" applyAlignment="1" applyProtection="1" pivotButton="0" quotePrefix="0" xfId="0">
      <alignment horizontal="right"/>
      <protection locked="1" hidden="1"/>
    </xf>
    <xf numFmtId="14" fontId="0" fillId="15" borderId="23" applyProtection="1" pivotButton="0" quotePrefix="0" xfId="0">
      <protection locked="0" hidden="0"/>
    </xf>
    <xf numFmtId="37" fontId="0" fillId="15" borderId="7" applyProtection="1" pivotButton="0" quotePrefix="0" xfId="0">
      <protection locked="0" hidden="0"/>
    </xf>
    <xf numFmtId="37" fontId="0" fillId="15" borderId="19" applyProtection="1" pivotButton="0" quotePrefix="0" xfId="0">
      <protection locked="0" hidden="0"/>
    </xf>
    <xf numFmtId="14" fontId="6" fillId="15" borderId="5" applyAlignment="1" applyProtection="1" pivotButton="0" quotePrefix="0" xfId="0">
      <alignment horizontal="left" indent="1"/>
      <protection locked="0" hidden="0"/>
    </xf>
    <xf numFmtId="37" fontId="6" fillId="15" borderId="0" applyProtection="1" pivotButton="0" quotePrefix="0" xfId="0">
      <protection locked="0" hidden="0"/>
    </xf>
    <xf numFmtId="37" fontId="0" fillId="15" borderId="20" applyProtection="1" pivotButton="0" quotePrefix="0" xfId="0">
      <protection locked="0" hidden="0"/>
    </xf>
    <xf numFmtId="14" fontId="4" fillId="15" borderId="5" applyProtection="1" pivotButton="0" quotePrefix="0" xfId="0">
      <protection locked="0" hidden="0"/>
    </xf>
    <xf numFmtId="14" fontId="110" fillId="15" borderId="5" applyProtection="1" pivotButton="0" quotePrefix="0" xfId="0">
      <protection locked="0" hidden="0"/>
    </xf>
    <xf numFmtId="14" fontId="0" fillId="15" borderId="5" applyAlignment="1" applyProtection="1" pivotButton="0" quotePrefix="0" xfId="0">
      <alignment horizontal="left" indent="1"/>
      <protection locked="0" hidden="0"/>
    </xf>
    <xf numFmtId="14" fontId="6" fillId="15" borderId="21" applyAlignment="1" applyProtection="1" pivotButton="0" quotePrefix="0" xfId="0">
      <alignment horizontal="left" vertical="top" indent="1"/>
      <protection locked="0" hidden="0"/>
    </xf>
    <xf numFmtId="37" fontId="6" fillId="15" borderId="4" applyProtection="1" pivotButton="0" quotePrefix="0" xfId="0">
      <protection locked="0" hidden="0"/>
    </xf>
    <xf numFmtId="37" fontId="0" fillId="15" borderId="4" applyProtection="1" pivotButton="0" quotePrefix="0" xfId="0">
      <protection locked="0" hidden="0"/>
    </xf>
    <xf numFmtId="37" fontId="0" fillId="15" borderId="22" applyProtection="1" pivotButton="0" quotePrefix="0" xfId="0">
      <protection locked="0" hidden="0"/>
    </xf>
    <xf numFmtId="170" fontId="25" fillId="24" borderId="0" applyAlignment="1" applyProtection="1" pivotButton="0" quotePrefix="0" xfId="0">
      <alignment horizontal="center"/>
      <protection locked="0" hidden="0"/>
    </xf>
    <xf numFmtId="170" fontId="0" fillId="24" borderId="0" applyAlignment="1" applyProtection="1" pivotButton="0" quotePrefix="0" xfId="0">
      <alignment vertical="top"/>
      <protection locked="0" hidden="0"/>
    </xf>
    <xf numFmtId="168" fontId="6" fillId="2" borderId="0" applyAlignment="1" applyProtection="1" pivotButton="0" quotePrefix="0" xfId="0">
      <alignment horizontal="right"/>
      <protection locked="0" hidden="0"/>
    </xf>
    <xf numFmtId="0" fontId="4" fillId="15" borderId="0" applyAlignment="1" pivotButton="0" quotePrefix="1" xfId="0">
      <alignment horizontal="center"/>
    </xf>
    <xf numFmtId="0" fontId="4" fillId="15" borderId="0" applyAlignment="1" pivotButton="0" quotePrefix="0" xfId="0">
      <alignment horizontal="right"/>
    </xf>
    <xf numFmtId="37" fontId="0" fillId="16" borderId="25" applyProtection="1" pivotButton="0" quotePrefix="0" xfId="0">
      <protection locked="0" hidden="0"/>
    </xf>
    <xf numFmtId="3" fontId="0" fillId="16" borderId="1" applyProtection="1" pivotButton="0" quotePrefix="0" xfId="0">
      <protection locked="0" hidden="0"/>
    </xf>
    <xf numFmtId="10" fontId="0" fillId="16" borderId="1" applyProtection="1" pivotButton="0" quotePrefix="0" xfId="0">
      <protection locked="0" hidden="0"/>
    </xf>
    <xf numFmtId="0" fontId="14" fillId="0" borderId="0" pivotButton="0" quotePrefix="0" xfId="0"/>
    <xf numFmtId="0" fontId="15" fillId="15" borderId="30" applyProtection="1" pivotButton="0" quotePrefix="0" xfId="0">
      <protection locked="0" hidden="0"/>
    </xf>
    <xf numFmtId="0" fontId="15" fillId="15" borderId="8" applyProtection="1" pivotButton="0" quotePrefix="0" xfId="0">
      <protection locked="0" hidden="0"/>
    </xf>
    <xf numFmtId="0" fontId="15" fillId="15" borderId="3" applyProtection="1" pivotButton="0" quotePrefix="0" xfId="0">
      <protection locked="0" hidden="0"/>
    </xf>
    <xf numFmtId="0" fontId="15" fillId="15" borderId="0" applyProtection="1" pivotButton="0" quotePrefix="0" xfId="0">
      <protection locked="0" hidden="0"/>
    </xf>
    <xf numFmtId="37" fontId="0" fillId="15" borderId="1" applyProtection="1" pivotButton="0" quotePrefix="0" xfId="0">
      <protection locked="0" hidden="0"/>
    </xf>
    <xf numFmtId="4" fontId="4" fillId="15" borderId="60" applyAlignment="1" applyProtection="1" pivotButton="0" quotePrefix="0" xfId="0">
      <alignment horizontal="center"/>
      <protection locked="0" hidden="0"/>
    </xf>
    <xf numFmtId="170" fontId="6" fillId="0" borderId="194" applyAlignment="1" pivotButton="0" quotePrefix="0" xfId="0">
      <alignment horizontal="center"/>
    </xf>
    <xf numFmtId="170" fontId="6" fillId="0" borderId="28" applyAlignment="1" pivotButton="0" quotePrefix="0" xfId="0">
      <alignment horizontal="center"/>
    </xf>
    <xf numFmtId="170" fontId="6" fillId="0" borderId="79" applyAlignment="1" pivotButton="0" quotePrefix="0" xfId="0">
      <alignment horizontal="center"/>
    </xf>
    <xf numFmtId="170" fontId="6" fillId="0" borderId="22" applyAlignment="1" pivotButton="0" quotePrefix="0" xfId="0">
      <alignment horizontal="center"/>
    </xf>
    <xf numFmtId="3" fontId="12" fillId="39" borderId="0" applyAlignment="1" applyProtection="1" pivotButton="0" quotePrefix="0" xfId="0">
      <alignment horizontal="center"/>
      <protection locked="0" hidden="0"/>
    </xf>
    <xf numFmtId="0" fontId="4" fillId="39" borderId="0" pivotButton="0" quotePrefix="0" xfId="0"/>
    <xf numFmtId="37" fontId="83" fillId="2" borderId="39" applyProtection="1" pivotButton="0" quotePrefix="0" xfId="0">
      <protection locked="0" hidden="0"/>
    </xf>
    <xf numFmtId="176" fontId="4" fillId="39" borderId="11" applyAlignment="1" applyProtection="1" pivotButton="0" quotePrefix="0" xfId="0">
      <alignment horizontal="right"/>
      <protection locked="0" hidden="0"/>
    </xf>
    <xf numFmtId="176" fontId="4" fillId="39" borderId="24" applyAlignment="1" applyProtection="1" pivotButton="0" quotePrefix="0" xfId="0">
      <alignment horizontal="right" vertical="top"/>
      <protection locked="0" hidden="0"/>
    </xf>
    <xf numFmtId="0" fontId="0" fillId="0" borderId="8" applyAlignment="1" pivotButton="0" quotePrefix="0" xfId="0">
      <alignment horizontal="center" vertical="top"/>
    </xf>
    <xf numFmtId="0" fontId="0" fillId="0" borderId="44" pivotButton="0" quotePrefix="0" xfId="0"/>
    <xf numFmtId="0" fontId="11" fillId="16" borderId="82" applyAlignment="1" applyProtection="1" pivotButton="0" quotePrefix="0" xfId="0">
      <alignment horizontal="center"/>
      <protection locked="0" hidden="0"/>
    </xf>
    <xf numFmtId="0" fontId="11" fillId="3" borderId="0" applyAlignment="1" applyProtection="1" pivotButton="0" quotePrefix="0" xfId="0">
      <alignment vertical="center"/>
      <protection locked="1" hidden="1"/>
    </xf>
    <xf numFmtId="14" fontId="47" fillId="24" borderId="0" applyAlignment="1" applyProtection="1" pivotButton="0" quotePrefix="0" xfId="0">
      <alignment vertical="center"/>
      <protection locked="0" hidden="0"/>
    </xf>
    <xf numFmtId="39" fontId="47" fillId="24" borderId="0" applyAlignment="1" applyProtection="1" pivotButton="0" quotePrefix="0" xfId="0">
      <alignment vertical="center"/>
      <protection locked="0" hidden="0"/>
    </xf>
    <xf numFmtId="39" fontId="47" fillId="0" borderId="0" applyAlignment="1" applyProtection="1" pivotButton="0" quotePrefix="0" xfId="0">
      <alignment vertical="center"/>
      <protection locked="0" hidden="0"/>
    </xf>
    <xf numFmtId="49" fontId="0" fillId="16" borderId="1" applyAlignment="1" applyProtection="1" pivotButton="0" quotePrefix="0" xfId="0">
      <alignment horizontal="center" vertical="top" wrapText="1"/>
      <protection locked="0" hidden="0"/>
    </xf>
    <xf numFmtId="49" fontId="0" fillId="41" borderId="1" applyAlignment="1" applyProtection="1" pivotButton="0" quotePrefix="0" xfId="0">
      <alignment horizontal="center" vertical="top" wrapText="1"/>
      <protection locked="0" hidden="0"/>
    </xf>
    <xf numFmtId="39" fontId="8" fillId="3" borderId="0" applyAlignment="1" applyProtection="1" pivotButton="0" quotePrefix="0" xfId="0">
      <alignment vertical="center"/>
      <protection locked="1" hidden="1"/>
    </xf>
    <xf numFmtId="0" fontId="8" fillId="3" borderId="71" applyAlignment="1" applyProtection="1" pivotButton="0" quotePrefix="0" xfId="0">
      <alignment horizontal="left"/>
      <protection locked="1" hidden="1"/>
    </xf>
    <xf numFmtId="39" fontId="6" fillId="3" borderId="16" applyProtection="1" pivotButton="0" quotePrefix="0" xfId="0">
      <protection locked="1" hidden="1"/>
    </xf>
    <xf numFmtId="39" fontId="6" fillId="3" borderId="32" applyProtection="1" pivotButton="0" quotePrefix="0" xfId="0">
      <protection locked="1" hidden="1"/>
    </xf>
    <xf numFmtId="39" fontId="6" fillId="3" borderId="75" applyProtection="1" pivotButton="0" quotePrefix="0" xfId="0">
      <protection locked="1" hidden="1"/>
    </xf>
    <xf numFmtId="0" fontId="9" fillId="3" borderId="100" applyAlignment="1" applyProtection="1" pivotButton="0" quotePrefix="0" xfId="0">
      <alignment horizontal="left"/>
      <protection locked="1" hidden="1"/>
    </xf>
    <xf numFmtId="0" fontId="8" fillId="3" borderId="72" applyAlignment="1" applyProtection="1" pivotButton="0" quotePrefix="0" xfId="0">
      <alignment horizontal="left"/>
      <protection locked="1" hidden="1"/>
    </xf>
    <xf numFmtId="39" fontId="6" fillId="3" borderId="13" applyProtection="1" pivotButton="0" quotePrefix="0" xfId="0">
      <protection locked="1" hidden="1"/>
    </xf>
    <xf numFmtId="39" fontId="6" fillId="3" borderId="33" applyProtection="1" pivotButton="0" quotePrefix="0" xfId="0">
      <protection locked="1" hidden="1"/>
    </xf>
    <xf numFmtId="39" fontId="9" fillId="14" borderId="32" applyProtection="1" pivotButton="0" quotePrefix="0" xfId="0">
      <protection locked="1" hidden="1"/>
    </xf>
    <xf numFmtId="0" fontId="9" fillId="3" borderId="100" applyProtection="1" pivotButton="0" quotePrefix="0" xfId="0">
      <protection locked="1" hidden="1"/>
    </xf>
    <xf numFmtId="39" fontId="9" fillId="14" borderId="75" applyProtection="1" pivotButton="0" quotePrefix="0" xfId="0">
      <protection locked="1" hidden="1"/>
    </xf>
    <xf numFmtId="0" fontId="9" fillId="3" borderId="72" applyProtection="1" pivotButton="0" quotePrefix="0" xfId="0">
      <protection locked="1" hidden="1"/>
    </xf>
    <xf numFmtId="39" fontId="9" fillId="14" borderId="33" applyProtection="1" pivotButton="0" quotePrefix="0" xfId="0">
      <protection locked="1" hidden="1"/>
    </xf>
    <xf numFmtId="37" fontId="6" fillId="14" borderId="30" applyAlignment="1" applyProtection="1" pivotButton="0" quotePrefix="0" xfId="0">
      <alignment wrapText="1"/>
      <protection locked="0" hidden="0"/>
    </xf>
    <xf numFmtId="37" fontId="6" fillId="14" borderId="8" applyAlignment="1" applyProtection="1" pivotButton="0" quotePrefix="0" xfId="0">
      <alignment wrapText="1"/>
      <protection locked="0" hidden="0"/>
    </xf>
    <xf numFmtId="176" fontId="4" fillId="14" borderId="25" applyAlignment="1" applyProtection="1" pivotButton="0" quotePrefix="0" xfId="0">
      <alignment vertical="center"/>
      <protection locked="0" hidden="0"/>
    </xf>
    <xf numFmtId="176" fontId="4" fillId="14" borderId="54" applyAlignment="1" applyProtection="1" pivotButton="0" quotePrefix="0" xfId="0">
      <alignment vertical="center"/>
      <protection locked="0" hidden="0"/>
    </xf>
    <xf numFmtId="49" fontId="11" fillId="16" borderId="12" applyAlignment="1" applyProtection="1" pivotButton="0" quotePrefix="0" xfId="0">
      <alignment horizontal="center" vertical="center" wrapText="1"/>
      <protection locked="0" hidden="0"/>
    </xf>
    <xf numFmtId="14" fontId="0" fillId="0" borderId="0" pivotButton="0" quotePrefix="0" xfId="0"/>
    <xf numFmtId="0" fontId="0" fillId="15" borderId="24" applyAlignment="1" pivotButton="0" quotePrefix="0" xfId="0">
      <alignment vertical="center"/>
    </xf>
    <xf numFmtId="0" fontId="4" fillId="2" borderId="0" applyAlignment="1" applyProtection="1" pivotButton="0" quotePrefix="0" xfId="0">
      <alignment vertical="center"/>
      <protection locked="1" hidden="1"/>
    </xf>
    <xf numFmtId="0" fontId="15" fillId="15" borderId="11" applyProtection="1" pivotButton="0" quotePrefix="0" xfId="0">
      <protection locked="0" hidden="0"/>
    </xf>
    <xf numFmtId="0" fontId="8" fillId="3" borderId="7" applyAlignment="1" applyProtection="1" pivotButton="0" quotePrefix="0" xfId="0">
      <alignment vertical="top"/>
      <protection locked="1" hidden="1"/>
    </xf>
    <xf numFmtId="37" fontId="8" fillId="20" borderId="69" applyAlignment="1" applyProtection="1" pivotButton="0" quotePrefix="0" xfId="0">
      <alignment horizontal="right"/>
      <protection locked="0" hidden="0"/>
    </xf>
    <xf numFmtId="0" fontId="6" fillId="15" borderId="8" applyAlignment="1" applyProtection="1" pivotButton="0" quotePrefix="0" xfId="0">
      <alignment horizontal="center"/>
      <protection locked="1" hidden="1"/>
    </xf>
    <xf numFmtId="0" fontId="98" fillId="15" borderId="30" applyProtection="1" pivotButton="0" quotePrefix="0" xfId="0">
      <protection locked="1" hidden="1"/>
    </xf>
    <xf numFmtId="0" fontId="98" fillId="15" borderId="8" applyProtection="1" pivotButton="0" quotePrefix="0" xfId="0">
      <protection locked="1" hidden="1"/>
    </xf>
    <xf numFmtId="0" fontId="98" fillId="15" borderId="14" applyProtection="1" pivotButton="0" quotePrefix="0" xfId="0">
      <protection locked="1" hidden="1"/>
    </xf>
    <xf numFmtId="0" fontId="98" fillId="15" borderId="3" applyProtection="1" pivotButton="0" quotePrefix="0" xfId="0">
      <protection locked="1" hidden="1"/>
    </xf>
    <xf numFmtId="0" fontId="98" fillId="15" borderId="24" applyProtection="1" pivotButton="0" quotePrefix="0" xfId="0">
      <protection locked="1" hidden="1"/>
    </xf>
    <xf numFmtId="0" fontId="98" fillId="15" borderId="9" applyProtection="1" pivotButton="0" quotePrefix="0" xfId="0">
      <protection locked="1" hidden="1"/>
    </xf>
    <xf numFmtId="0" fontId="98" fillId="15" borderId="1" applyProtection="1" pivotButton="0" quotePrefix="0" xfId="0">
      <protection locked="1" hidden="1"/>
    </xf>
    <xf numFmtId="0" fontId="98" fillId="15" borderId="11" applyProtection="1" pivotButton="0" quotePrefix="0" xfId="0">
      <protection locked="1" hidden="1"/>
    </xf>
    <xf numFmtId="3" fontId="8" fillId="8" borderId="0" applyProtection="1" pivotButton="0" quotePrefix="0" xfId="0">
      <protection locked="0" hidden="0"/>
    </xf>
    <xf numFmtId="37" fontId="31" fillId="2" borderId="2" applyProtection="1" pivotButton="0" quotePrefix="0" xfId="0">
      <protection locked="0" hidden="0"/>
    </xf>
    <xf numFmtId="40" fontId="4" fillId="2" borderId="1" applyAlignment="1" applyProtection="1" pivotButton="0" quotePrefix="0" xfId="0">
      <alignment horizontal="left"/>
      <protection locked="1" hidden="1"/>
    </xf>
    <xf numFmtId="40" fontId="4" fillId="2" borderId="1" applyAlignment="1" applyProtection="1" pivotButton="0" quotePrefix="0" xfId="0">
      <alignment horizontal="center"/>
      <protection locked="1" hidden="1"/>
    </xf>
    <xf numFmtId="164" fontId="4" fillId="2" borderId="1" applyProtection="1" pivotButton="0" quotePrefix="0" xfId="0">
      <protection locked="1" hidden="1"/>
    </xf>
    <xf numFmtId="0" fontId="47" fillId="15" borderId="0" applyAlignment="1" pivotButton="0" quotePrefix="0" xfId="0">
      <alignment horizontal="right"/>
    </xf>
    <xf numFmtId="37" fontId="0" fillId="0" borderId="2" applyProtection="1" pivotButton="0" quotePrefix="0" xfId="0">
      <protection locked="0" hidden="0"/>
    </xf>
    <xf numFmtId="4" fontId="125" fillId="0" borderId="0" applyAlignment="1" applyProtection="1" pivotButton="0" quotePrefix="0" xfId="0">
      <alignment horizontal="center"/>
      <protection locked="0" hidden="0"/>
    </xf>
    <xf numFmtId="0" fontId="6" fillId="32" borderId="117" applyProtection="1" pivotButton="0" quotePrefix="0" xfId="0">
      <protection locked="0" hidden="0"/>
    </xf>
    <xf numFmtId="0" fontId="112" fillId="15" borderId="0" applyAlignment="1" pivotButton="0" quotePrefix="0" xfId="4">
      <alignment vertical="center"/>
    </xf>
    <xf numFmtId="0" fontId="199" fillId="15" borderId="0" pivotButton="0" quotePrefix="0" xfId="4"/>
    <xf numFmtId="0" fontId="47" fillId="15" borderId="0" pivotButton="0" quotePrefix="0" xfId="4"/>
    <xf numFmtId="0" fontId="47" fillId="0" borderId="0" pivotButton="0" quotePrefix="0" xfId="4"/>
    <xf numFmtId="0" fontId="199" fillId="15" borderId="0" applyAlignment="1" pivotButton="0" quotePrefix="0" xfId="4">
      <alignment vertical="center"/>
    </xf>
    <xf numFmtId="0" fontId="199" fillId="24" borderId="30" pivotButton="0" quotePrefix="0" xfId="4"/>
    <xf numFmtId="0" fontId="290" fillId="24" borderId="8" applyAlignment="1" pivotButton="0" quotePrefix="0" xfId="4">
      <alignment vertical="center"/>
    </xf>
    <xf numFmtId="0" fontId="47" fillId="24" borderId="8" pivotButton="0" quotePrefix="0" xfId="4"/>
    <xf numFmtId="0" fontId="47" fillId="24" borderId="14" pivotButton="0" quotePrefix="0" xfId="4"/>
    <xf numFmtId="0" fontId="199" fillId="24" borderId="3" pivotButton="0" quotePrefix="0" xfId="4"/>
    <xf numFmtId="0" fontId="290" fillId="24" borderId="0" applyAlignment="1" pivotButton="0" quotePrefix="0" xfId="4">
      <alignment vertical="center"/>
    </xf>
    <xf numFmtId="0" fontId="47" fillId="24" borderId="0" pivotButton="0" quotePrefix="0" xfId="4"/>
    <xf numFmtId="0" fontId="291" fillId="24" borderId="0" applyAlignment="1" pivotButton="0" quotePrefix="0" xfId="4">
      <alignment horizontal="left" vertical="center"/>
    </xf>
    <xf numFmtId="0" fontId="292" fillId="24" borderId="0" applyAlignment="1" pivotButton="0" quotePrefix="0" xfId="4">
      <alignment vertical="center"/>
    </xf>
    <xf numFmtId="0" fontId="47" fillId="24" borderId="24" pivotButton="0" quotePrefix="0" xfId="4"/>
    <xf numFmtId="0" fontId="293" fillId="24" borderId="0" applyAlignment="1" pivotButton="0" quotePrefix="0" xfId="4">
      <alignment vertical="center"/>
    </xf>
    <xf numFmtId="0" fontId="294" fillId="24" borderId="0" applyAlignment="1" pivotButton="0" quotePrefix="0" xfId="4">
      <alignment vertical="center"/>
    </xf>
    <xf numFmtId="0" fontId="295" fillId="24" borderId="3" pivotButton="0" quotePrefix="0" xfId="4"/>
    <xf numFmtId="0" fontId="14" fillId="24" borderId="24" pivotButton="0" quotePrefix="0" xfId="4"/>
    <xf numFmtId="0" fontId="14" fillId="15" borderId="0" pivotButton="0" quotePrefix="0" xfId="4"/>
    <xf numFmtId="0" fontId="14" fillId="0" borderId="0" pivotButton="0" quotePrefix="0" xfId="4"/>
    <xf numFmtId="0" fontId="11" fillId="27" borderId="12" applyAlignment="1" applyProtection="1" pivotButton="0" quotePrefix="0" xfId="4">
      <alignment horizontal="center"/>
      <protection locked="1" hidden="1"/>
    </xf>
    <xf numFmtId="0" fontId="297" fillId="24" borderId="0" applyAlignment="1" pivotButton="0" quotePrefix="0" xfId="4">
      <alignment horizontal="center" vertical="center"/>
    </xf>
    <xf numFmtId="0" fontId="275" fillId="24" borderId="0" pivotButton="0" quotePrefix="0" xfId="4"/>
    <xf numFmtId="0" fontId="11" fillId="24" borderId="3" applyAlignment="1" pivotButton="0" quotePrefix="0" xfId="4">
      <alignment horizontal="center"/>
    </xf>
    <xf numFmtId="0" fontId="11" fillId="24" borderId="0" applyAlignment="1" pivotButton="0" quotePrefix="0" xfId="4">
      <alignment horizontal="center"/>
    </xf>
    <xf numFmtId="0" fontId="298" fillId="24" borderId="0" applyAlignment="1" pivotButton="0" quotePrefix="0" xfId="4">
      <alignment horizontal="left" vertical="center" indent="4"/>
    </xf>
    <xf numFmtId="0" fontId="298" fillId="24" borderId="0" applyAlignment="1" pivotButton="0" quotePrefix="0" xfId="4">
      <alignment horizontal="left" vertical="center"/>
    </xf>
    <xf numFmtId="0" fontId="11" fillId="16" borderId="12" applyAlignment="1" applyProtection="1" pivotButton="0" quotePrefix="0" xfId="4">
      <alignment horizontal="center"/>
      <protection locked="0" hidden="0"/>
    </xf>
    <xf numFmtId="0" fontId="275" fillId="24" borderId="0" applyAlignment="1" pivotButton="0" quotePrefix="0" xfId="4">
      <alignment vertical="center"/>
    </xf>
    <xf numFmtId="0" fontId="275" fillId="24" borderId="0" applyAlignment="1" pivotButton="0" quotePrefix="0" xfId="4">
      <alignment horizontal="left" indent="1"/>
    </xf>
    <xf numFmtId="0" fontId="47" fillId="24" borderId="0" applyAlignment="1" pivotButton="0" quotePrefix="0" xfId="4">
      <alignment horizontal="left"/>
    </xf>
    <xf numFmtId="0" fontId="293" fillId="24" borderId="0" applyAlignment="1" pivotButton="0" quotePrefix="0" xfId="4">
      <alignment horizontal="center" vertical="center"/>
    </xf>
    <xf numFmtId="0" fontId="275" fillId="24" borderId="0" applyAlignment="1" pivotButton="0" quotePrefix="1" xfId="4">
      <alignment horizontal="right" vertical="center" indent="1"/>
    </xf>
    <xf numFmtId="0" fontId="275" fillId="24" borderId="0" applyAlignment="1" pivotButton="0" quotePrefix="0" xfId="4">
      <alignment horizontal="left" vertical="center"/>
    </xf>
    <xf numFmtId="0" fontId="275" fillId="24" borderId="0" applyAlignment="1" pivotButton="0" quotePrefix="0" xfId="4">
      <alignment horizontal="left" vertical="center" indent="6"/>
    </xf>
    <xf numFmtId="0" fontId="275" fillId="24" borderId="0" applyAlignment="1" pivotButton="0" quotePrefix="0" xfId="4">
      <alignment horizontal="left" vertical="top"/>
    </xf>
    <xf numFmtId="0" fontId="300" fillId="24" borderId="0" pivotButton="0" quotePrefix="0" xfId="4"/>
    <xf numFmtId="0" fontId="199" fillId="24" borderId="9" pivotButton="0" quotePrefix="0" xfId="4"/>
    <xf numFmtId="0" fontId="47" fillId="24" borderId="1" pivotButton="0" quotePrefix="0" xfId="4"/>
    <xf numFmtId="0" fontId="47" fillId="24" borderId="11" pivotButton="0" quotePrefix="0" xfId="4"/>
    <xf numFmtId="0" fontId="112" fillId="0" borderId="0" applyAlignment="1" pivotButton="0" quotePrefix="0" xfId="4">
      <alignment vertical="center"/>
    </xf>
    <xf numFmtId="0" fontId="199" fillId="0" borderId="0" pivotButton="0" quotePrefix="0" xfId="4"/>
    <xf numFmtId="0" fontId="6" fillId="32" borderId="214" applyProtection="1" pivotButton="0" quotePrefix="0" xfId="0">
      <protection locked="0" hidden="0"/>
    </xf>
    <xf numFmtId="172" fontId="6" fillId="0" borderId="117" applyAlignment="1" applyProtection="1" pivotButton="0" quotePrefix="0" xfId="0">
      <alignment horizontal="center"/>
      <protection locked="0" hidden="0"/>
    </xf>
    <xf numFmtId="0" fontId="6" fillId="15" borderId="0" applyProtection="1" pivotButton="0" quotePrefix="0" xfId="0">
      <protection locked="0" hidden="0"/>
    </xf>
    <xf numFmtId="0" fontId="110" fillId="4" borderId="0" applyProtection="1" pivotButton="0" quotePrefix="0" xfId="0">
      <protection locked="0" hidden="0"/>
    </xf>
    <xf numFmtId="39" fontId="4" fillId="3" borderId="2" applyAlignment="1" applyProtection="1" pivotButton="0" quotePrefix="0" xfId="0">
      <alignment horizontal="center" vertical="center"/>
      <protection locked="0" hidden="0"/>
    </xf>
    <xf numFmtId="37" fontId="4" fillId="16" borderId="12" applyAlignment="1" applyProtection="1" pivotButton="0" quotePrefix="0" xfId="0">
      <alignment horizontal="right"/>
      <protection locked="0" hidden="0"/>
    </xf>
    <xf numFmtId="0" fontId="11" fillId="15" borderId="8" applyAlignment="1" pivotButton="0" quotePrefix="0" xfId="0">
      <alignment horizontal="left" vertical="center"/>
    </xf>
    <xf numFmtId="0" fontId="11" fillId="15" borderId="0" applyAlignment="1" pivotButton="0" quotePrefix="0" xfId="0">
      <alignment horizontal="left" vertical="center"/>
    </xf>
    <xf numFmtId="0" fontId="15" fillId="15" borderId="0" applyAlignment="1" pivotButton="0" quotePrefix="0" xfId="0">
      <alignment horizontal="left" vertical="center"/>
    </xf>
    <xf numFmtId="0" fontId="206" fillId="0" borderId="0" applyAlignment="1" applyProtection="1" pivotButton="0" quotePrefix="0" xfId="0">
      <alignment horizontal="right"/>
      <protection locked="1" hidden="1"/>
    </xf>
    <xf numFmtId="0" fontId="158" fillId="0" borderId="0" applyAlignment="1" applyProtection="1" pivotButton="0" quotePrefix="0" xfId="0">
      <alignment horizontal="right"/>
      <protection locked="1" hidden="1"/>
    </xf>
    <xf numFmtId="3" fontId="12" fillId="39" borderId="0" applyProtection="1" pivotButton="0" quotePrefix="0" xfId="0">
      <protection locked="0" hidden="0"/>
    </xf>
    <xf numFmtId="4" fontId="4" fillId="2" borderId="0" applyAlignment="1" applyProtection="1" pivotButton="0" quotePrefix="0" xfId="0">
      <alignment horizontal="left" indent="1"/>
      <protection locked="1" hidden="1"/>
    </xf>
    <xf numFmtId="4" fontId="4" fillId="3" borderId="1" applyAlignment="1" applyProtection="1" pivotButton="0" quotePrefix="0" xfId="0">
      <alignment horizontal="center"/>
      <protection locked="1" hidden="1"/>
    </xf>
    <xf numFmtId="39" fontId="8" fillId="3" borderId="0" applyAlignment="1" applyProtection="1" pivotButton="0" quotePrefix="0" xfId="0">
      <alignment horizontal="center"/>
      <protection locked="1" hidden="1"/>
    </xf>
    <xf numFmtId="39" fontId="8" fillId="14" borderId="0" applyAlignment="1" applyProtection="1" pivotButton="0" quotePrefix="0" xfId="0">
      <alignment horizontal="center"/>
      <protection locked="1" hidden="1"/>
    </xf>
    <xf numFmtId="0" fontId="8" fillId="3" borderId="0" applyAlignment="1" applyProtection="1" pivotButton="0" quotePrefix="0" xfId="0">
      <alignment horizontal="center"/>
      <protection locked="1" hidden="1"/>
    </xf>
    <xf numFmtId="0" fontId="4" fillId="2" borderId="0" applyAlignment="1" applyProtection="1" pivotButton="0" quotePrefix="0" xfId="0">
      <alignment horizontal="left" wrapText="1"/>
      <protection locked="1" hidden="1"/>
    </xf>
    <xf numFmtId="0" fontId="11" fillId="2" borderId="0" applyAlignment="1" applyProtection="1" pivotButton="0" quotePrefix="0" xfId="0">
      <alignment horizontal="center" wrapText="1"/>
      <protection locked="0" hidden="0"/>
    </xf>
    <xf numFmtId="0" fontId="4" fillId="15" borderId="137" applyAlignment="1" applyProtection="1" pivotButton="0" quotePrefix="0" xfId="0">
      <alignment horizontal="left" vertical="center" wrapText="1"/>
      <protection locked="1" hidden="1"/>
    </xf>
    <xf numFmtId="0" fontId="4" fillId="15" borderId="137" applyAlignment="1" applyProtection="1" pivotButton="0" quotePrefix="0" xfId="0">
      <alignment horizontal="center" vertical="center" wrapText="1"/>
      <protection locked="1" hidden="1"/>
    </xf>
    <xf numFmtId="4" fontId="4" fillId="2" borderId="81" applyAlignment="1" applyProtection="1" pivotButton="0" quotePrefix="0" xfId="0">
      <alignment horizontal="center"/>
      <protection locked="1" hidden="1"/>
    </xf>
    <xf numFmtId="4" fontId="6" fillId="2" borderId="0" applyAlignment="1" applyProtection="1" pivotButton="0" quotePrefix="0" xfId="0">
      <alignment horizontal="right" vertical="top"/>
      <protection locked="1" hidden="1"/>
    </xf>
    <xf numFmtId="4" fontId="6" fillId="2" borderId="0" applyAlignment="1" applyProtection="1" pivotButton="0" quotePrefix="0" xfId="0">
      <alignment vertical="top"/>
      <protection locked="1" hidden="1"/>
    </xf>
    <xf numFmtId="0" fontId="4" fillId="0" borderId="0" applyAlignment="1" applyProtection="1" pivotButton="0" quotePrefix="0" xfId="0">
      <alignment vertical="top"/>
      <protection locked="1" hidden="1"/>
    </xf>
    <xf numFmtId="0" fontId="4" fillId="2" borderId="124" applyAlignment="1" applyProtection="1" pivotButton="0" quotePrefix="0" xfId="0">
      <alignment horizontal="left" wrapText="1"/>
      <protection locked="1" hidden="1"/>
    </xf>
    <xf numFmtId="0" fontId="4" fillId="2" borderId="124" applyAlignment="1" applyProtection="1" pivotButton="0" quotePrefix="0" xfId="0">
      <alignment horizontal="center" wrapText="1"/>
      <protection locked="1" hidden="1"/>
    </xf>
    <xf numFmtId="2" fontId="4" fillId="2" borderId="59" applyAlignment="1" applyProtection="1" pivotButton="0" quotePrefix="0" xfId="0">
      <alignment horizontal="center"/>
      <protection locked="1" hidden="1"/>
    </xf>
    <xf numFmtId="2" fontId="4" fillId="2" borderId="2" applyAlignment="1" applyProtection="1" pivotButton="0" quotePrefix="0" xfId="0">
      <alignment horizontal="center"/>
      <protection locked="1" hidden="1"/>
    </xf>
    <xf numFmtId="3" fontId="4" fillId="2" borderId="48" applyProtection="1" pivotButton="0" quotePrefix="0" xfId="0">
      <protection locked="1" hidden="1"/>
    </xf>
    <xf numFmtId="1" fontId="4" fillId="2" borderId="0" applyProtection="1" pivotButton="0" quotePrefix="0" xfId="0">
      <protection locked="1" hidden="1"/>
    </xf>
    <xf numFmtId="3" fontId="4" fillId="2" borderId="49" applyProtection="1" pivotButton="0" quotePrefix="0" xfId="0">
      <protection locked="1" hidden="1"/>
    </xf>
    <xf numFmtId="4" fontId="6" fillId="32" borderId="49" applyAlignment="1" applyProtection="1" pivotButton="0" quotePrefix="0" xfId="0">
      <alignment horizontal="right"/>
      <protection locked="0" hidden="0"/>
    </xf>
    <xf numFmtId="4" fontId="6" fillId="32" borderId="53" applyAlignment="1" applyProtection="1" pivotButton="0" quotePrefix="0" xfId="0">
      <alignment horizontal="right"/>
      <protection locked="0" hidden="0"/>
    </xf>
    <xf numFmtId="0" fontId="12" fillId="2" borderId="0" applyAlignment="1" pivotButton="0" quotePrefix="0" xfId="0">
      <alignment horizontal="center" wrapText="1"/>
    </xf>
    <xf numFmtId="0" fontId="12" fillId="2" borderId="8" applyAlignment="1" pivotButton="0" quotePrefix="0" xfId="0">
      <alignment horizontal="center" wrapText="1"/>
    </xf>
    <xf numFmtId="0" fontId="12" fillId="39" borderId="0" applyProtection="1" pivotButton="0" quotePrefix="0" xfId="0">
      <protection locked="0" hidden="0"/>
    </xf>
    <xf numFmtId="164" fontId="4" fillId="2" borderId="5" applyProtection="1" pivotButton="0" quotePrefix="0" xfId="0">
      <protection locked="1" hidden="1"/>
    </xf>
    <xf numFmtId="164" fontId="4" fillId="2" borderId="0" applyProtection="1" pivotButton="0" quotePrefix="1" xfId="0">
      <protection locked="1" hidden="1"/>
    </xf>
    <xf numFmtId="164" fontId="4" fillId="2" borderId="0" applyAlignment="1" applyProtection="1" pivotButton="0" quotePrefix="0" xfId="0">
      <alignment horizontal="center"/>
      <protection locked="0" hidden="0"/>
    </xf>
    <xf numFmtId="164" fontId="4" fillId="2" borderId="0" applyAlignment="1" applyProtection="1" pivotButton="0" quotePrefix="0" xfId="0">
      <alignment vertical="top"/>
      <protection locked="1" hidden="1"/>
    </xf>
    <xf numFmtId="164" fontId="6" fillId="2" borderId="0" applyProtection="1" pivotButton="0" quotePrefix="0" xfId="0">
      <protection locked="1" hidden="1"/>
    </xf>
    <xf numFmtId="40" fontId="6" fillId="2" borderId="20" applyProtection="1" pivotButton="0" quotePrefix="0" xfId="0">
      <protection locked="1" hidden="1"/>
    </xf>
    <xf numFmtId="40" fontId="6" fillId="5" borderId="0" applyProtection="1" pivotButton="0" quotePrefix="0" xfId="0">
      <protection locked="1" hidden="1"/>
    </xf>
    <xf numFmtId="0" fontId="6" fillId="2" borderId="0" pivotButton="0" quotePrefix="0" xfId="0"/>
    <xf numFmtId="164" fontId="51" fillId="2" borderId="4" applyProtection="1" pivotButton="0" quotePrefix="0" xfId="0">
      <protection locked="1" hidden="1"/>
    </xf>
    <xf numFmtId="0" fontId="4" fillId="5" borderId="0" applyAlignment="1" pivotButton="0" quotePrefix="0" xfId="0">
      <alignment horizontal="center"/>
    </xf>
    <xf numFmtId="1" fontId="51" fillId="2" borderId="0" applyProtection="1" pivotButton="0" quotePrefix="0" xfId="0">
      <protection locked="1" hidden="1"/>
    </xf>
    <xf numFmtId="164" fontId="4" fillId="2" borderId="4" applyProtection="1" pivotButton="0" quotePrefix="0" xfId="0">
      <protection locked="1" hidden="1"/>
    </xf>
    <xf numFmtId="0" fontId="33" fillId="2" borderId="5" applyProtection="1" pivotButton="0" quotePrefix="0" xfId="0">
      <protection locked="1" hidden="1"/>
    </xf>
    <xf numFmtId="40" fontId="11" fillId="2" borderId="0" applyAlignment="1" applyProtection="1" pivotButton="0" quotePrefix="0" xfId="0">
      <alignment horizontal="right"/>
      <protection locked="1" hidden="1"/>
    </xf>
    <xf numFmtId="0" fontId="6" fillId="2" borderId="19" applyProtection="1" pivotButton="0" quotePrefix="0" xfId="0">
      <protection locked="1" hidden="1"/>
    </xf>
    <xf numFmtId="0" fontId="28" fillId="2" borderId="0" applyProtection="1" pivotButton="0" quotePrefix="0" xfId="0">
      <protection locked="1" hidden="1"/>
    </xf>
    <xf numFmtId="0" fontId="6" fillId="2" borderId="20" applyProtection="1" pivotButton="0" quotePrefix="0" xfId="0">
      <protection locked="1" hidden="1"/>
    </xf>
    <xf numFmtId="0" fontId="5" fillId="2" borderId="1" applyProtection="1" pivotButton="0" quotePrefix="0" xfId="0">
      <protection locked="1" hidden="1"/>
    </xf>
    <xf numFmtId="40" fontId="6" fillId="2" borderId="1" applyProtection="1" pivotButton="0" quotePrefix="0" xfId="0">
      <protection locked="1" hidden="1"/>
    </xf>
    <xf numFmtId="40" fontId="6" fillId="2" borderId="29" applyProtection="1" pivotButton="0" quotePrefix="0" xfId="0">
      <protection locked="1" hidden="1"/>
    </xf>
    <xf numFmtId="0" fontId="5" fillId="2" borderId="25" applyProtection="1" pivotButton="0" quotePrefix="0" xfId="0">
      <protection locked="1" hidden="1"/>
    </xf>
    <xf numFmtId="40" fontId="6" fillId="2" borderId="25" applyProtection="1" pivotButton="0" quotePrefix="0" xfId="0">
      <protection locked="1" hidden="1"/>
    </xf>
    <xf numFmtId="40" fontId="6" fillId="2" borderId="68" applyProtection="1" pivotButton="0" quotePrefix="0" xfId="0">
      <protection locked="1" hidden="1"/>
    </xf>
    <xf numFmtId="164" fontId="4" fillId="2" borderId="5" applyAlignment="1" applyProtection="1" pivotButton="0" quotePrefix="0" xfId="0">
      <alignment horizontal="right"/>
      <protection locked="1" hidden="1"/>
    </xf>
    <xf numFmtId="38" fontId="9" fillId="2" borderId="0" applyProtection="1" pivotButton="0" quotePrefix="0" xfId="0">
      <protection locked="1" hidden="1"/>
    </xf>
    <xf numFmtId="164" fontId="4" fillId="2" borderId="0" applyAlignment="1" applyProtection="1" pivotButton="0" quotePrefix="0" xfId="0">
      <alignment horizontal="left" vertical="center"/>
      <protection locked="1" hidden="1"/>
    </xf>
    <xf numFmtId="38" fontId="9" fillId="2" borderId="0" applyAlignment="1" applyProtection="1" pivotButton="0" quotePrefix="0" xfId="0">
      <alignment horizontal="left" vertical="center"/>
      <protection locked="1" hidden="1"/>
    </xf>
    <xf numFmtId="179" fontId="6" fillId="2" borderId="0" applyAlignment="1" applyProtection="1" pivotButton="0" quotePrefix="0" xfId="0">
      <alignment horizontal="left"/>
      <protection locked="1" hidden="1"/>
    </xf>
    <xf numFmtId="164" fontId="4" fillId="2" borderId="21" applyProtection="1" pivotButton="0" quotePrefix="0" xfId="0">
      <protection locked="1" hidden="1"/>
    </xf>
    <xf numFmtId="38" fontId="6" fillId="2" borderId="0" applyAlignment="1" applyProtection="1" pivotButton="0" quotePrefix="0" xfId="0">
      <alignment horizontal="center"/>
      <protection locked="1" hidden="1"/>
    </xf>
    <xf numFmtId="164" fontId="6" fillId="2" borderId="1" applyAlignment="1" applyProtection="1" pivotButton="0" quotePrefix="0" xfId="0">
      <alignment horizontal="left"/>
      <protection locked="1" hidden="1"/>
    </xf>
    <xf numFmtId="164" fontId="6" fillId="2" borderId="1" applyAlignment="1" applyProtection="1" pivotButton="0" quotePrefix="0" xfId="0">
      <alignment horizontal="right"/>
      <protection locked="1" hidden="1"/>
    </xf>
    <xf numFmtId="164" fontId="6" fillId="2" borderId="1" applyProtection="1" pivotButton="0" quotePrefix="0" xfId="0">
      <protection locked="1" hidden="1"/>
    </xf>
    <xf numFmtId="164" fontId="4" fillId="5" borderId="0" applyProtection="1" pivotButton="0" quotePrefix="0" xfId="0">
      <protection locked="1" hidden="1"/>
    </xf>
    <xf numFmtId="164" fontId="6" fillId="5" borderId="0" applyProtection="1" pivotButton="0" quotePrefix="0" xfId="0">
      <protection locked="1" hidden="1"/>
    </xf>
    <xf numFmtId="164" fontId="4" fillId="2" borderId="0" applyAlignment="1" applyProtection="1" pivotButton="0" quotePrefix="0" xfId="0">
      <alignment horizontal="right" vertical="center"/>
      <protection locked="1" hidden="1"/>
    </xf>
    <xf numFmtId="40" fontId="6" fillId="2" borderId="5" applyAlignment="1" applyProtection="1" pivotButton="0" quotePrefix="0" xfId="0">
      <alignment horizontal="left"/>
      <protection locked="1" hidden="1"/>
    </xf>
    <xf numFmtId="164" fontId="4" fillId="2" borderId="20" applyProtection="1" pivotButton="0" quotePrefix="0" xfId="0">
      <protection locked="1" hidden="1"/>
    </xf>
    <xf numFmtId="164" fontId="4" fillId="5" borderId="0" applyAlignment="1" applyProtection="1" pivotButton="0" quotePrefix="0" xfId="0">
      <alignment vertical="top"/>
      <protection locked="1" hidden="1"/>
    </xf>
    <xf numFmtId="164" fontId="11" fillId="5" borderId="0" applyProtection="1" pivotButton="0" quotePrefix="0" xfId="0">
      <protection locked="1" hidden="1"/>
    </xf>
    <xf numFmtId="164" fontId="11" fillId="5" borderId="0" applyAlignment="1" applyProtection="1" pivotButton="0" quotePrefix="0" xfId="0">
      <alignment horizontal="center"/>
      <protection locked="1" hidden="1"/>
    </xf>
    <xf numFmtId="0" fontId="9" fillId="3" borderId="7" applyAlignment="1" applyProtection="1" pivotButton="0" quotePrefix="0" xfId="0">
      <alignment horizontal="left"/>
      <protection locked="1" hidden="1"/>
    </xf>
    <xf numFmtId="0" fontId="9" fillId="3" borderId="36" applyAlignment="1" applyProtection="1" pivotButton="0" quotePrefix="0" xfId="0">
      <alignment horizontal="left"/>
      <protection locked="1" hidden="1"/>
    </xf>
    <xf numFmtId="0" fontId="9" fillId="26" borderId="1" applyAlignment="1" applyProtection="1" pivotButton="0" quotePrefix="0" xfId="0">
      <alignment horizontal="left"/>
      <protection locked="1" hidden="1"/>
    </xf>
    <xf numFmtId="0" fontId="51" fillId="3" borderId="25" applyAlignment="1" applyProtection="1" pivotButton="0" quotePrefix="0" xfId="0">
      <alignment horizontal="center"/>
      <protection locked="1" hidden="1"/>
    </xf>
    <xf numFmtId="4" fontId="4" fillId="3" borderId="4" applyAlignment="1" applyProtection="1" pivotButton="0" quotePrefix="0" xfId="0">
      <alignment horizontal="right"/>
      <protection locked="1" hidden="1"/>
    </xf>
    <xf numFmtId="4" fontId="4" fillId="3" borderId="4" applyAlignment="1" applyProtection="1" pivotButton="0" quotePrefix="0" xfId="0">
      <alignment horizontal="center" vertical="center"/>
      <protection locked="0" hidden="0"/>
    </xf>
    <xf numFmtId="4" fontId="4" fillId="3" borderId="0" applyAlignment="1" applyProtection="1" pivotButton="0" quotePrefix="0" xfId="0">
      <alignment horizontal="center" vertical="center"/>
      <protection locked="0" hidden="0"/>
    </xf>
    <xf numFmtId="49" fontId="4" fillId="16" borderId="9" applyAlignment="1" applyProtection="1" pivotButton="0" quotePrefix="0" xfId="0">
      <alignment horizontal="center" vertical="center"/>
      <protection locked="0" hidden="0"/>
    </xf>
    <xf numFmtId="39" fontId="12" fillId="3" borderId="0" applyAlignment="1" applyProtection="1" pivotButton="0" quotePrefix="0" xfId="0">
      <alignment horizontal="left"/>
      <protection locked="0" hidden="0"/>
    </xf>
    <xf numFmtId="0" fontId="12" fillId="3" borderId="0" applyAlignment="1" applyProtection="1" pivotButton="0" quotePrefix="0" xfId="0">
      <alignment horizontal="center" vertical="center"/>
      <protection locked="0" hidden="0"/>
    </xf>
    <xf numFmtId="4" fontId="12" fillId="3" borderId="0" applyAlignment="1" applyProtection="1" pivotButton="0" quotePrefix="0" xfId="0">
      <alignment horizontal="center" vertical="center"/>
      <protection locked="0" hidden="0"/>
    </xf>
    <xf numFmtId="4" fontId="12" fillId="3" borderId="0" applyProtection="1" pivotButton="0" quotePrefix="0" xfId="0">
      <protection locked="0" hidden="0"/>
    </xf>
    <xf numFmtId="0" fontId="8" fillId="3" borderId="7" applyAlignment="1" applyProtection="1" pivotButton="0" quotePrefix="0" xfId="0">
      <alignment horizontal="center" vertical="top"/>
      <protection locked="1" hidden="1"/>
    </xf>
    <xf numFmtId="39" fontId="8" fillId="3" borderId="7" applyAlignment="1" applyProtection="1" pivotButton="0" quotePrefix="0" xfId="0">
      <alignment vertical="top"/>
      <protection locked="1" hidden="1"/>
    </xf>
    <xf numFmtId="0" fontId="9" fillId="3" borderId="7" applyAlignment="1" applyProtection="1" pivotButton="0" quotePrefix="0" xfId="0">
      <alignment horizontal="center" vertical="top"/>
      <protection locked="1" hidden="1"/>
    </xf>
    <xf numFmtId="39" fontId="8" fillId="3" borderId="1" applyProtection="1" pivotButton="0" quotePrefix="0" xfId="0">
      <protection locked="1" hidden="1"/>
    </xf>
    <xf numFmtId="39" fontId="6" fillId="24" borderId="0" applyAlignment="1" applyProtection="1" pivotButton="0" quotePrefix="0" xfId="0">
      <alignment vertical="center"/>
      <protection locked="0" hidden="0"/>
    </xf>
    <xf numFmtId="0" fontId="4" fillId="3" borderId="3" applyAlignment="1" applyProtection="1" pivotButton="0" quotePrefix="0" xfId="0">
      <alignment horizontal="center" vertical="center"/>
      <protection locked="0" hidden="0"/>
    </xf>
    <xf numFmtId="0" fontId="4" fillId="2" borderId="1" applyProtection="1" pivotButton="0" quotePrefix="0" xfId="0">
      <protection locked="0" hidden="0"/>
    </xf>
    <xf numFmtId="37" fontId="4" fillId="2" borderId="1" applyProtection="1" pivotButton="0" quotePrefix="0" xfId="0">
      <protection locked="0" hidden="0"/>
    </xf>
    <xf numFmtId="0" fontId="4" fillId="0" borderId="0" applyAlignment="1" pivotButton="0" quotePrefix="0" xfId="0">
      <alignment horizontal="left"/>
    </xf>
    <xf numFmtId="39" fontId="8" fillId="3" borderId="13" applyProtection="1" pivotButton="0" quotePrefix="0" xfId="0">
      <protection locked="1" hidden="1"/>
    </xf>
    <xf numFmtId="0" fontId="9" fillId="3" borderId="4" applyAlignment="1" applyProtection="1" pivotButton="0" quotePrefix="0" xfId="0">
      <alignment horizontal="center"/>
      <protection locked="1" hidden="1"/>
    </xf>
    <xf numFmtId="39" fontId="8" fillId="3" borderId="8" applyProtection="1" pivotButton="0" quotePrefix="0" xfId="0">
      <protection locked="1" hidden="1"/>
    </xf>
    <xf numFmtId="39" fontId="8" fillId="3" borderId="8" applyAlignment="1" applyProtection="1" pivotButton="0" quotePrefix="0" xfId="0">
      <alignment horizontal="center"/>
      <protection locked="1" hidden="1"/>
    </xf>
    <xf numFmtId="39" fontId="8" fillId="3" borderId="0" applyAlignment="1" applyProtection="1" pivotButton="0" quotePrefix="0" xfId="0">
      <alignment horizontal="left" vertical="top"/>
      <protection locked="1" hidden="1"/>
    </xf>
    <xf numFmtId="0" fontId="9" fillId="3" borderId="25" applyAlignment="1" applyProtection="1" pivotButton="0" quotePrefix="0" xfId="0">
      <alignment horizontal="left"/>
      <protection locked="1" hidden="1"/>
    </xf>
    <xf numFmtId="39" fontId="8" fillId="3" borderId="1" applyAlignment="1" applyProtection="1" pivotButton="0" quotePrefix="0" xfId="0">
      <alignment horizontal="center"/>
      <protection locked="1" hidden="1"/>
    </xf>
    <xf numFmtId="39" fontId="8" fillId="3" borderId="1" applyAlignment="1" applyProtection="1" pivotButton="0" quotePrefix="0" xfId="0">
      <alignment horizontal="left"/>
      <protection locked="1" hidden="1"/>
    </xf>
    <xf numFmtId="39" fontId="8" fillId="3" borderId="8" applyAlignment="1" applyProtection="1" pivotButton="0" quotePrefix="0" xfId="0">
      <alignment horizontal="left"/>
      <protection locked="1" hidden="1"/>
    </xf>
    <xf numFmtId="39" fontId="8" fillId="22" borderId="15" applyProtection="1" pivotButton="0" quotePrefix="0" xfId="0">
      <protection locked="1" hidden="1"/>
    </xf>
    <xf numFmtId="39" fontId="8" fillId="22" borderId="6" applyProtection="1" pivotButton="0" quotePrefix="0" xfId="0">
      <protection locked="1" hidden="1"/>
    </xf>
    <xf numFmtId="180" fontId="8" fillId="3" borderId="0" applyProtection="1" pivotButton="0" quotePrefix="0" xfId="0">
      <protection locked="1" hidden="1"/>
    </xf>
    <xf numFmtId="3" fontId="4" fillId="2" borderId="24" applyAlignment="1" applyProtection="1" pivotButton="0" quotePrefix="0" xfId="0">
      <alignment horizontal="right" vertical="center"/>
      <protection locked="0" hidden="0"/>
    </xf>
    <xf numFmtId="3" fontId="4" fillId="2" borderId="0" applyAlignment="1" applyProtection="1" pivotButton="0" quotePrefix="0" xfId="0">
      <alignment horizontal="right" vertical="center"/>
      <protection locked="0" hidden="0"/>
    </xf>
    <xf numFmtId="3" fontId="4" fillId="2" borderId="3" applyAlignment="1" applyProtection="1" pivotButton="0" quotePrefix="0" xfId="0">
      <alignment horizontal="right" vertical="center"/>
      <protection locked="0" hidden="0"/>
    </xf>
    <xf numFmtId="3" fontId="4" fillId="35" borderId="8" applyAlignment="1" applyProtection="1" pivotButton="0" quotePrefix="0" xfId="0">
      <alignment horizontal="right" vertical="center"/>
      <protection locked="0" hidden="0"/>
    </xf>
    <xf numFmtId="3" fontId="4" fillId="35" borderId="0" applyAlignment="1" applyProtection="1" pivotButton="0" quotePrefix="0" xfId="0">
      <alignment horizontal="right" vertical="center"/>
      <protection locked="0" hidden="0"/>
    </xf>
    <xf numFmtId="3" fontId="4" fillId="35" borderId="1" applyAlignment="1" applyProtection="1" pivotButton="0" quotePrefix="0" xfId="0">
      <alignment horizontal="right" vertical="center"/>
      <protection locked="0" hidden="0"/>
    </xf>
    <xf numFmtId="37" fontId="20" fillId="15" borderId="8" applyAlignment="1" applyProtection="1" pivotButton="0" quotePrefix="0" xfId="0">
      <alignment wrapText="1"/>
      <protection locked="0" hidden="0"/>
    </xf>
    <xf numFmtId="37" fontId="20" fillId="15" borderId="14" applyAlignment="1" applyProtection="1" pivotButton="0" quotePrefix="0" xfId="0">
      <alignment wrapText="1"/>
      <protection locked="0" hidden="0"/>
    </xf>
    <xf numFmtId="37" fontId="20" fillId="15" borderId="1" applyAlignment="1" applyProtection="1" pivotButton="0" quotePrefix="0" xfId="0">
      <alignment wrapText="1"/>
      <protection locked="0" hidden="0"/>
    </xf>
    <xf numFmtId="37" fontId="20" fillId="15" borderId="11" applyAlignment="1" applyProtection="1" pivotButton="0" quotePrefix="0" xfId="0">
      <alignment wrapText="1"/>
      <protection locked="0" hidden="0"/>
    </xf>
    <xf numFmtId="39" fontId="5" fillId="24" borderId="0" applyAlignment="1" applyProtection="1" pivotButton="0" quotePrefix="0" xfId="0">
      <alignment vertical="center"/>
      <protection locked="0" hidden="0"/>
    </xf>
    <xf numFmtId="37" fontId="11" fillId="15" borderId="2" applyAlignment="1" applyProtection="1" pivotButton="0" quotePrefix="0" xfId="0">
      <alignment horizontal="right" indent="1"/>
      <protection locked="0" hidden="0"/>
    </xf>
    <xf numFmtId="37" fontId="11" fillId="16" borderId="1" applyProtection="1" pivotButton="0" quotePrefix="0" xfId="0">
      <protection locked="0" hidden="0"/>
    </xf>
    <xf numFmtId="170" fontId="0" fillId="24" borderId="0" applyAlignment="1" applyProtection="1" pivotButton="0" quotePrefix="0" xfId="0">
      <alignment horizontal="left"/>
      <protection locked="0" hidden="0"/>
    </xf>
    <xf numFmtId="170" fontId="0" fillId="24" borderId="0" applyAlignment="1" applyProtection="1" pivotButton="0" quotePrefix="0" xfId="0">
      <alignment horizontal="left" vertical="center"/>
      <protection locked="0" hidden="0"/>
    </xf>
    <xf numFmtId="0" fontId="304" fillId="15" borderId="0" applyAlignment="1" applyProtection="1" pivotButton="0" quotePrefix="0" xfId="0">
      <alignment vertical="center" wrapText="1"/>
      <protection locked="0" hidden="0"/>
    </xf>
    <xf numFmtId="0" fontId="150" fillId="15" borderId="0" applyAlignment="1" applyProtection="1" pivotButton="0" quotePrefix="0" xfId="0">
      <alignment vertical="center" wrapText="1"/>
      <protection locked="0" hidden="0"/>
    </xf>
    <xf numFmtId="37" fontId="15" fillId="27" borderId="1" pivotButton="0" quotePrefix="0" xfId="0"/>
    <xf numFmtId="14" fontId="4" fillId="16" borderId="1" applyAlignment="1" applyProtection="1" pivotButton="0" quotePrefix="0" xfId="0">
      <alignment horizontal="center"/>
      <protection locked="0" hidden="0"/>
    </xf>
    <xf numFmtId="0" fontId="12" fillId="2" borderId="34" applyAlignment="1" pivotButton="0" quotePrefix="0" xfId="0">
      <alignment horizontal="center" wrapText="1"/>
    </xf>
    <xf numFmtId="0" fontId="8" fillId="39" borderId="0" applyAlignment="1" pivotButton="0" quotePrefix="0" xfId="0">
      <alignment horizontal="left" vertical="center"/>
    </xf>
    <xf numFmtId="0" fontId="6" fillId="3" borderId="1" applyAlignment="1" applyProtection="1" pivotButton="0" quotePrefix="0" xfId="0">
      <alignment vertical="top"/>
      <protection locked="1" hidden="1"/>
    </xf>
    <xf numFmtId="3" fontId="9" fillId="14" borderId="30" applyProtection="1" pivotButton="0" quotePrefix="0" xfId="0">
      <protection locked="0" hidden="0"/>
    </xf>
    <xf numFmtId="3" fontId="9" fillId="14" borderId="8" applyProtection="1" pivotButton="0" quotePrefix="0" xfId="0">
      <protection locked="0" hidden="0"/>
    </xf>
    <xf numFmtId="3" fontId="9" fillId="14" borderId="3" applyProtection="1" pivotButton="0" quotePrefix="0" xfId="0">
      <protection locked="0" hidden="0"/>
    </xf>
    <xf numFmtId="3" fontId="9" fillId="14" borderId="0" applyProtection="1" pivotButton="0" quotePrefix="0" xfId="0">
      <protection locked="0" hidden="0"/>
    </xf>
    <xf numFmtId="39" fontId="6" fillId="3" borderId="0" applyAlignment="1" applyProtection="1" pivotButton="0" quotePrefix="0" xfId="0">
      <alignment horizontal="left"/>
      <protection locked="1" hidden="1"/>
    </xf>
    <xf numFmtId="39" fontId="6" fillId="3" borderId="4" applyProtection="1" pivotButton="0" quotePrefix="0" xfId="0">
      <protection locked="1" hidden="1"/>
    </xf>
    <xf numFmtId="37" fontId="110" fillId="4" borderId="0" applyAlignment="1" applyProtection="1" pivotButton="0" quotePrefix="0" xfId="0">
      <alignment vertical="center"/>
      <protection locked="0" hidden="0"/>
    </xf>
    <xf numFmtId="37" fontId="110" fillId="4" borderId="0" applyProtection="1" pivotButton="0" quotePrefix="0" xfId="0">
      <protection locked="0" hidden="0"/>
    </xf>
    <xf numFmtId="0" fontId="4" fillId="15" borderId="24" applyAlignment="1" pivotButton="0" quotePrefix="0" xfId="0">
      <alignment horizontal="right"/>
    </xf>
    <xf numFmtId="0" fontId="4" fillId="15" borderId="70" applyAlignment="1" pivotButton="0" quotePrefix="0" xfId="0">
      <alignment horizontal="right"/>
    </xf>
    <xf numFmtId="49" fontId="15" fillId="20" borderId="17" applyAlignment="1" applyProtection="1" pivotButton="0" quotePrefix="0" xfId="0">
      <alignment horizontal="center" vertical="center"/>
      <protection locked="0" hidden="0"/>
    </xf>
    <xf numFmtId="0" fontId="12" fillId="15" borderId="0" pivotButton="0" quotePrefix="0" xfId="0"/>
    <xf numFmtId="37" fontId="6" fillId="0" borderId="0" pivotButton="0" quotePrefix="0" xfId="0"/>
    <xf numFmtId="37" fontId="8" fillId="15" borderId="38" applyAlignment="1" applyProtection="1" pivotButton="0" quotePrefix="0" xfId="0">
      <alignment vertical="center"/>
      <protection locked="0" hidden="0"/>
    </xf>
    <xf numFmtId="37" fontId="199" fillId="15" borderId="0" applyAlignment="1" applyProtection="1" pivotButton="0" quotePrefix="0" xfId="0">
      <alignment vertical="center"/>
      <protection locked="0" hidden="0"/>
    </xf>
    <xf numFmtId="37" fontId="11" fillId="15" borderId="0" pivotButton="0" quotePrefix="0" xfId="0"/>
    <xf numFmtId="0" fontId="10" fillId="15" borderId="0" applyAlignment="1" pivotButton="0" quotePrefix="0" xfId="0">
      <alignment horizontal="left"/>
    </xf>
    <xf numFmtId="0" fontId="0" fillId="39" borderId="16" applyAlignment="1" pivotButton="0" quotePrefix="0" xfId="0">
      <alignment horizontal="center"/>
    </xf>
    <xf numFmtId="0" fontId="0" fillId="39" borderId="16" applyAlignment="1" pivotButton="0" quotePrefix="0" xfId="0">
      <alignment horizontal="right" indent="1"/>
    </xf>
    <xf numFmtId="170" fontId="4" fillId="15" borderId="0" applyProtection="1" pivotButton="0" quotePrefix="0" xfId="0">
      <protection locked="0" hidden="0"/>
    </xf>
    <xf numFmtId="170" fontId="6" fillId="15" borderId="0" applyProtection="1" pivotButton="0" quotePrefix="0" xfId="0">
      <protection locked="0" hidden="0"/>
    </xf>
    <xf numFmtId="3" fontId="6" fillId="3" borderId="3" applyProtection="1" pivotButton="0" quotePrefix="0" xfId="0">
      <protection locked="0" hidden="0"/>
    </xf>
    <xf numFmtId="3" fontId="6" fillId="3" borderId="0" applyProtection="1" pivotButton="0" quotePrefix="0" xfId="0">
      <protection locked="0" hidden="0"/>
    </xf>
    <xf numFmtId="0" fontId="47" fillId="15" borderId="0" applyAlignment="1" pivotButton="0" quotePrefix="0" xfId="0">
      <alignment vertical="center"/>
    </xf>
    <xf numFmtId="0" fontId="20" fillId="24" borderId="0" applyAlignment="1" pivotButton="0" quotePrefix="0" xfId="4">
      <alignment horizontal="right"/>
    </xf>
    <xf numFmtId="0" fontId="254" fillId="24" borderId="0" pivotButton="0" quotePrefix="0" xfId="4"/>
    <xf numFmtId="0" fontId="68" fillId="24" borderId="0" applyAlignment="1" pivotButton="0" quotePrefix="0" xfId="4">
      <alignment vertical="center"/>
    </xf>
    <xf numFmtId="0" fontId="299" fillId="24" borderId="0" applyAlignment="1" pivotButton="0" quotePrefix="0" xfId="4">
      <alignment horizontal="right" vertical="center"/>
    </xf>
    <xf numFmtId="0" fontId="318" fillId="24" borderId="0" applyAlignment="1" pivotButton="0" quotePrefix="0" xfId="4">
      <alignment horizontal="right" vertical="center"/>
    </xf>
    <xf numFmtId="0" fontId="15" fillId="15" borderId="7" pivotButton="0" quotePrefix="0" xfId="0"/>
    <xf numFmtId="174" fontId="6" fillId="15" borderId="0" pivotButton="0" quotePrefix="0" xfId="0"/>
    <xf numFmtId="0" fontId="8" fillId="15" borderId="0" applyAlignment="1" pivotButton="0" quotePrefix="0" xfId="0">
      <alignment vertical="top"/>
    </xf>
    <xf numFmtId="0" fontId="6" fillId="23" borderId="0" applyProtection="1" pivotButton="0" quotePrefix="0" xfId="4">
      <protection locked="1" hidden="1"/>
    </xf>
    <xf numFmtId="0" fontId="6" fillId="0" borderId="0" applyProtection="1" pivotButton="0" quotePrefix="0" xfId="4">
      <protection locked="1" hidden="1"/>
    </xf>
    <xf numFmtId="39" fontId="15" fillId="24" borderId="0" applyProtection="1" pivotButton="0" quotePrefix="0" xfId="4">
      <protection locked="0" hidden="0"/>
    </xf>
    <xf numFmtId="39" fontId="6" fillId="24" borderId="0" applyProtection="1" pivotButton="0" quotePrefix="0" xfId="4">
      <protection locked="0" hidden="0"/>
    </xf>
    <xf numFmtId="0" fontId="44" fillId="15" borderId="0" applyProtection="1" pivotButton="0" quotePrefix="0" xfId="4">
      <protection locked="1" hidden="1"/>
    </xf>
    <xf numFmtId="0" fontId="10" fillId="15" borderId="0" applyProtection="1" pivotButton="0" quotePrefix="0" xfId="4">
      <protection locked="1" hidden="1"/>
    </xf>
    <xf numFmtId="0" fontId="6" fillId="15" borderId="21" applyProtection="1" pivotButton="0" quotePrefix="0" xfId="4">
      <protection locked="1" hidden="1"/>
    </xf>
    <xf numFmtId="0" fontId="6" fillId="15" borderId="23" applyProtection="1" pivotButton="0" quotePrefix="0" xfId="4">
      <protection locked="1" hidden="1"/>
    </xf>
    <xf numFmtId="0" fontId="47" fillId="15" borderId="25" applyProtection="1" pivotButton="0" quotePrefix="0" xfId="4">
      <protection locked="1" hidden="1"/>
    </xf>
    <xf numFmtId="0" fontId="6" fillId="15" borderId="25" applyProtection="1" pivotButton="0" quotePrefix="0" xfId="4">
      <protection locked="1" hidden="1"/>
    </xf>
    <xf numFmtId="0" fontId="188" fillId="15" borderId="0" applyProtection="1" pivotButton="0" quotePrefix="0" xfId="4">
      <protection locked="1" hidden="1"/>
    </xf>
    <xf numFmtId="0" fontId="14" fillId="15" borderId="0" applyProtection="1" pivotButton="0" quotePrefix="0" xfId="4">
      <protection locked="1" hidden="1"/>
    </xf>
    <xf numFmtId="0" fontId="14" fillId="23" borderId="0" applyProtection="1" pivotButton="0" quotePrefix="0" xfId="4">
      <protection locked="1" hidden="1"/>
    </xf>
    <xf numFmtId="0" fontId="14" fillId="15" borderId="25" applyProtection="1" pivotButton="0" quotePrefix="0" xfId="4">
      <protection locked="1" hidden="1"/>
    </xf>
    <xf numFmtId="0" fontId="14" fillId="0" borderId="0" applyProtection="1" pivotButton="0" quotePrefix="0" xfId="4">
      <protection locked="1" hidden="1"/>
    </xf>
    <xf numFmtId="0" fontId="6" fillId="15" borderId="8" applyAlignment="1" applyProtection="1" pivotButton="0" quotePrefix="0" xfId="4">
      <alignment horizontal="center" vertical="center" wrapText="1"/>
      <protection locked="1" hidden="1"/>
    </xf>
    <xf numFmtId="0" fontId="6" fillId="15" borderId="14" applyAlignment="1" applyProtection="1" pivotButton="0" quotePrefix="0" xfId="4">
      <alignment horizontal="center" vertical="center" wrapText="1"/>
      <protection locked="1" hidden="1"/>
    </xf>
    <xf numFmtId="0" fontId="6" fillId="15" borderId="0" applyAlignment="1" applyProtection="1" pivotButton="0" quotePrefix="0" xfId="4">
      <alignment horizontal="center" vertical="center" wrapText="1"/>
      <protection locked="1" hidden="1"/>
    </xf>
    <xf numFmtId="0" fontId="6" fillId="15" borderId="24" applyAlignment="1" applyProtection="1" pivotButton="0" quotePrefix="0" xfId="4">
      <alignment horizontal="center" vertical="center" wrapText="1"/>
      <protection locked="1" hidden="1"/>
    </xf>
    <xf numFmtId="0" fontId="6" fillId="15" borderId="3" applyAlignment="1" applyProtection="1" pivotButton="0" quotePrefix="0" xfId="4">
      <alignment horizontal="center" vertical="center" wrapText="1"/>
      <protection locked="1" hidden="1"/>
    </xf>
    <xf numFmtId="0" fontId="6" fillId="15" borderId="30" applyAlignment="1" applyProtection="1" pivotButton="0" quotePrefix="0" xfId="4">
      <alignment horizontal="center" vertical="center" wrapText="1"/>
      <protection locked="1" hidden="1"/>
    </xf>
    <xf numFmtId="0" fontId="6" fillId="15" borderId="3" applyProtection="1" pivotButton="0" quotePrefix="0" xfId="4">
      <protection locked="1" hidden="1"/>
    </xf>
    <xf numFmtId="0" fontId="4" fillId="16" borderId="15" applyAlignment="1" applyProtection="1" pivotButton="0" quotePrefix="0" xfId="4">
      <alignment horizontal="center" vertical="center"/>
      <protection locked="0" hidden="0"/>
    </xf>
    <xf numFmtId="0" fontId="6" fillId="15" borderId="24" applyProtection="1" pivotButton="0" quotePrefix="0" xfId="4">
      <protection locked="1" hidden="1"/>
    </xf>
    <xf numFmtId="0" fontId="4" fillId="15" borderId="0" applyProtection="1" pivotButton="0" quotePrefix="0" xfId="4">
      <protection locked="1" hidden="1"/>
    </xf>
    <xf numFmtId="0" fontId="9" fillId="16" borderId="57" applyAlignment="1" applyProtection="1" pivotButton="0" quotePrefix="0" xfId="4">
      <alignment horizontal="center"/>
      <protection locked="0" hidden="0"/>
    </xf>
    <xf numFmtId="0" fontId="6" fillId="23" borderId="0" applyAlignment="1" applyProtection="1" pivotButton="0" quotePrefix="0" xfId="4">
      <alignment vertical="center"/>
      <protection locked="1" hidden="1"/>
    </xf>
    <xf numFmtId="0" fontId="15" fillId="15" borderId="25" applyAlignment="1" applyProtection="1" pivotButton="0" quotePrefix="0" xfId="4">
      <alignment vertical="center"/>
      <protection locked="1" hidden="1"/>
    </xf>
    <xf numFmtId="0" fontId="6" fillId="15" borderId="25" applyAlignment="1" applyProtection="1" pivotButton="0" quotePrefix="0" xfId="4">
      <alignment vertical="center"/>
      <protection locked="1" hidden="1"/>
    </xf>
    <xf numFmtId="0" fontId="6" fillId="0" borderId="0" applyAlignment="1" applyProtection="1" pivotButton="0" quotePrefix="0" xfId="4">
      <alignment vertical="center"/>
      <protection locked="1" hidden="1"/>
    </xf>
    <xf numFmtId="39" fontId="6" fillId="24" borderId="0" applyAlignment="1" applyProtection="1" pivotButton="0" quotePrefix="0" xfId="4">
      <alignment vertical="center"/>
      <protection locked="0" hidden="0"/>
    </xf>
    <xf numFmtId="0" fontId="6" fillId="19" borderId="8" applyAlignment="1" applyProtection="1" pivotButton="0" quotePrefix="0" xfId="4">
      <alignment horizontal="center" vertical="center" wrapText="1"/>
      <protection locked="1" hidden="1"/>
    </xf>
    <xf numFmtId="0" fontId="6" fillId="19" borderId="14" applyAlignment="1" applyProtection="1" pivotButton="0" quotePrefix="0" xfId="4">
      <alignment horizontal="center" vertical="center" wrapText="1"/>
      <protection locked="1" hidden="1"/>
    </xf>
    <xf numFmtId="0" fontId="6" fillId="19" borderId="1" applyProtection="1" pivotButton="0" quotePrefix="0" xfId="4">
      <protection locked="1" hidden="1"/>
    </xf>
    <xf numFmtId="0" fontId="6" fillId="19" borderId="11" applyProtection="1" pivotButton="0" quotePrefix="0" xfId="4">
      <protection locked="1" hidden="1"/>
    </xf>
    <xf numFmtId="1" fontId="11" fillId="15" borderId="25" applyAlignment="1" applyProtection="1" pivotButton="0" quotePrefix="0" xfId="4">
      <alignment horizontal="center" vertical="center" wrapText="1"/>
      <protection locked="1" hidden="1"/>
    </xf>
    <xf numFmtId="0" fontId="15" fillId="15" borderId="0" applyProtection="1" pivotButton="0" quotePrefix="0" xfId="4">
      <protection locked="1" hidden="1"/>
    </xf>
    <xf numFmtId="0" fontId="47" fillId="15" borderId="0" applyProtection="1" pivotButton="0" quotePrefix="0" xfId="4">
      <protection locked="1" hidden="1"/>
    </xf>
    <xf numFmtId="0" fontId="11" fillId="15" borderId="25" applyAlignment="1" applyProtection="1" pivotButton="0" quotePrefix="0" xfId="4">
      <alignment vertical="center"/>
      <protection locked="1" hidden="1"/>
    </xf>
    <xf numFmtId="0" fontId="15" fillId="15" borderId="0" applyAlignment="1" applyProtection="1" pivotButton="0" quotePrefix="0" xfId="4">
      <alignment horizontal="right" vertical="center" wrapText="1" indent="1"/>
      <protection locked="1" hidden="1"/>
    </xf>
    <xf numFmtId="0" fontId="15" fillId="15" borderId="0" applyAlignment="1" pivotButton="0" quotePrefix="0" xfId="4">
      <alignment horizontal="right" vertical="center" wrapText="1" indent="1"/>
    </xf>
    <xf numFmtId="0" fontId="15" fillId="15" borderId="0" applyAlignment="1" applyProtection="1" pivotButton="0" quotePrefix="0" xfId="4">
      <alignment horizontal="center"/>
      <protection locked="1" hidden="1"/>
    </xf>
    <xf numFmtId="0" fontId="9" fillId="16" borderId="12" applyAlignment="1" applyProtection="1" pivotButton="0" quotePrefix="0" xfId="4">
      <alignment horizontal="center"/>
      <protection locked="0" hidden="0"/>
    </xf>
    <xf numFmtId="0" fontId="8" fillId="15" borderId="0" applyAlignment="1" applyProtection="1" pivotButton="0" quotePrefix="0" xfId="4">
      <alignment horizontal="left"/>
      <protection locked="1" hidden="1"/>
    </xf>
    <xf numFmtId="0" fontId="8" fillId="15" borderId="0" applyProtection="1" pivotButton="0" quotePrefix="0" xfId="4">
      <protection locked="1" hidden="1"/>
    </xf>
    <xf numFmtId="0" fontId="121" fillId="15" borderId="0" applyProtection="1" pivotButton="0" quotePrefix="0" xfId="4">
      <protection locked="1" hidden="1"/>
    </xf>
    <xf numFmtId="0" fontId="47" fillId="15" borderId="0" applyAlignment="1" applyProtection="1" pivotButton="0" quotePrefix="0" xfId="4">
      <alignment vertical="center"/>
      <protection locked="1" hidden="1"/>
    </xf>
    <xf numFmtId="0" fontId="6" fillId="15" borderId="0" applyAlignment="1" applyProtection="1" pivotButton="0" quotePrefix="0" xfId="4">
      <alignment vertical="center"/>
      <protection locked="1" hidden="1"/>
    </xf>
    <xf numFmtId="0" fontId="121" fillId="15" borderId="0" applyAlignment="1" applyProtection="1" pivotButton="0" quotePrefix="0" xfId="4">
      <alignment vertical="center"/>
      <protection locked="1" hidden="1"/>
    </xf>
    <xf numFmtId="0" fontId="4" fillId="15" borderId="0" applyAlignment="1" applyProtection="1" pivotButton="0" quotePrefix="0" xfId="4">
      <alignment vertical="center"/>
      <protection locked="1" hidden="1"/>
    </xf>
    <xf numFmtId="0" fontId="8" fillId="23" borderId="0" applyProtection="1" pivotButton="0" quotePrefix="0" xfId="4">
      <protection locked="1" hidden="1"/>
    </xf>
    <xf numFmtId="0" fontId="8" fillId="19" borderId="8" applyProtection="1" pivotButton="0" quotePrefix="0" xfId="4">
      <protection locked="1" hidden="1"/>
    </xf>
    <xf numFmtId="39" fontId="8" fillId="24" borderId="0" applyProtection="1" pivotButton="0" quotePrefix="0" xfId="4">
      <protection locked="0" hidden="0"/>
    </xf>
    <xf numFmtId="0" fontId="8" fillId="0" borderId="0" applyProtection="1" pivotButton="0" quotePrefix="0" xfId="4">
      <protection locked="1" hidden="1"/>
    </xf>
    <xf numFmtId="0" fontId="8" fillId="19" borderId="0" applyProtection="1" pivotButton="0" quotePrefix="0" xfId="4">
      <protection locked="1" hidden="1"/>
    </xf>
    <xf numFmtId="0" fontId="4" fillId="15" borderId="0" applyAlignment="1" applyProtection="1" pivotButton="0" quotePrefix="0" xfId="4">
      <alignment horizontal="left" vertical="center"/>
      <protection locked="1" hidden="1"/>
    </xf>
    <xf numFmtId="0" fontId="6" fillId="15" borderId="0" applyAlignment="1" applyProtection="1" pivotButton="0" quotePrefix="0" xfId="4">
      <alignment horizontal="right" vertical="center"/>
      <protection locked="1" hidden="1"/>
    </xf>
    <xf numFmtId="0" fontId="6" fillId="15" borderId="4" applyAlignment="1" applyProtection="1" pivotButton="0" quotePrefix="0" xfId="4">
      <alignment horizontal="right"/>
      <protection locked="1" hidden="1"/>
    </xf>
    <xf numFmtId="0" fontId="4" fillId="15" borderId="23" applyAlignment="1" applyProtection="1" pivotButton="0" quotePrefix="0" xfId="4">
      <alignment horizontal="left" indent="1"/>
      <protection locked="1" hidden="1"/>
    </xf>
    <xf numFmtId="0" fontId="14" fillId="15" borderId="8" applyProtection="1" pivotButton="0" quotePrefix="0" xfId="4">
      <protection locked="1" hidden="1"/>
    </xf>
    <xf numFmtId="0" fontId="11" fillId="15" borderId="8" applyProtection="1" pivotButton="0" quotePrefix="0" xfId="4">
      <protection locked="1" hidden="1"/>
    </xf>
    <xf numFmtId="0" fontId="6" fillId="15" borderId="1" applyProtection="1" pivotButton="0" quotePrefix="0" xfId="4">
      <protection locked="1" hidden="1"/>
    </xf>
    <xf numFmtId="0" fontId="14" fillId="15" borderId="1" applyProtection="1" pivotButton="0" quotePrefix="0" xfId="4">
      <protection locked="1" hidden="1"/>
    </xf>
    <xf numFmtId="0" fontId="6" fillId="15" borderId="0" applyAlignment="1" applyProtection="1" pivotButton="0" quotePrefix="0" xfId="4">
      <alignment horizontal="right" indent="1"/>
      <protection locked="1" hidden="1"/>
    </xf>
    <xf numFmtId="49" fontId="15" fillId="15" borderId="0" applyAlignment="1" applyProtection="1" pivotButton="0" quotePrefix="0" xfId="4">
      <alignment horizontal="right" vertical="center"/>
      <protection locked="1" hidden="1"/>
    </xf>
    <xf numFmtId="0" fontId="6" fillId="15" borderId="14" applyProtection="1" pivotButton="0" quotePrefix="0" xfId="4">
      <protection locked="1" hidden="1"/>
    </xf>
    <xf numFmtId="0" fontId="11" fillId="15" borderId="0" applyAlignment="1" applyProtection="1" pivotButton="0" quotePrefix="0" xfId="4">
      <alignment horizontal="right"/>
      <protection locked="1" hidden="1"/>
    </xf>
    <xf numFmtId="0" fontId="6" fillId="19" borderId="30" applyProtection="1" pivotButton="0" quotePrefix="0" xfId="4">
      <protection locked="1" hidden="1"/>
    </xf>
    <xf numFmtId="0" fontId="6" fillId="19" borderId="14" applyProtection="1" pivotButton="0" quotePrefix="0" xfId="4">
      <protection locked="1" hidden="1"/>
    </xf>
    <xf numFmtId="0" fontId="6" fillId="19" borderId="8" applyProtection="1" pivotButton="0" quotePrefix="0" xfId="4">
      <protection locked="1" hidden="1"/>
    </xf>
    <xf numFmtId="0" fontId="6" fillId="19" borderId="3" applyProtection="1" pivotButton="0" quotePrefix="0" xfId="4">
      <protection locked="1" hidden="1"/>
    </xf>
    <xf numFmtId="0" fontId="6" fillId="19" borderId="24" applyProtection="1" pivotButton="0" quotePrefix="0" xfId="4">
      <protection locked="1" hidden="1"/>
    </xf>
    <xf numFmtId="0" fontId="6" fillId="19" borderId="0" applyProtection="1" pivotButton="0" quotePrefix="0" xfId="4">
      <protection locked="1" hidden="1"/>
    </xf>
    <xf numFmtId="0" fontId="11" fillId="15" borderId="24" applyAlignment="1" applyProtection="1" pivotButton="0" quotePrefix="0" xfId="4">
      <alignment horizontal="right"/>
      <protection locked="1" hidden="1"/>
    </xf>
    <xf numFmtId="0" fontId="47" fillId="15" borderId="4" applyProtection="1" pivotButton="0" quotePrefix="0" xfId="4">
      <protection locked="1" hidden="1"/>
    </xf>
    <xf numFmtId="0" fontId="11" fillId="15" borderId="4" applyAlignment="1" applyProtection="1" pivotButton="0" quotePrefix="0" xfId="4">
      <alignment horizontal="right"/>
      <protection locked="1" hidden="1"/>
    </xf>
    <xf numFmtId="0" fontId="14" fillId="15" borderId="1" applyAlignment="1" applyProtection="1" pivotButton="0" quotePrefix="0" xfId="4">
      <alignment vertical="center"/>
      <protection locked="1" hidden="1"/>
    </xf>
    <xf numFmtId="0" fontId="121" fillId="15" borderId="1" applyProtection="1" pivotButton="0" quotePrefix="0" xfId="4">
      <protection locked="1" hidden="1"/>
    </xf>
    <xf numFmtId="0" fontId="4" fillId="15" borderId="0" applyAlignment="1" applyProtection="1" pivotButton="0" quotePrefix="0" xfId="4">
      <alignment wrapText="1"/>
      <protection locked="1" hidden="1"/>
    </xf>
    <xf numFmtId="0" fontId="4" fillId="15" borderId="0" applyAlignment="1" applyProtection="1" pivotButton="0" quotePrefix="0" xfId="4">
      <alignment horizontal="left"/>
      <protection locked="1" hidden="1"/>
    </xf>
    <xf numFmtId="0" fontId="4" fillId="15" borderId="0" applyAlignment="1" applyProtection="1" pivotButton="0" quotePrefix="0" xfId="4">
      <alignment horizontal="right"/>
      <protection locked="1" hidden="1"/>
    </xf>
    <xf numFmtId="0" fontId="11" fillId="15" borderId="25" applyProtection="1" pivotButton="0" quotePrefix="0" xfId="4">
      <protection locked="1" hidden="1"/>
    </xf>
    <xf numFmtId="0" fontId="6" fillId="23" borderId="0" applyAlignment="1" applyProtection="1" pivotButton="0" quotePrefix="0" xfId="4">
      <alignment horizontal="left"/>
      <protection locked="1" hidden="1"/>
    </xf>
    <xf numFmtId="0" fontId="6" fillId="0" borderId="0" applyAlignment="1" applyProtection="1" pivotButton="0" quotePrefix="0" xfId="4">
      <alignment horizontal="left"/>
      <protection locked="1" hidden="1"/>
    </xf>
    <xf numFmtId="39" fontId="6" fillId="24" borderId="0" applyAlignment="1" applyProtection="1" pivotButton="0" quotePrefix="0" xfId="4">
      <alignment horizontal="left"/>
      <protection locked="0" hidden="0"/>
    </xf>
    <xf numFmtId="0" fontId="6" fillId="15" borderId="9" applyProtection="1" pivotButton="0" quotePrefix="0" xfId="4">
      <protection locked="1" hidden="1"/>
    </xf>
    <xf numFmtId="0" fontId="4" fillId="15" borderId="1" applyAlignment="1" applyProtection="1" pivotButton="0" quotePrefix="0" xfId="4">
      <alignment horizontal="right"/>
      <protection locked="1" hidden="1"/>
    </xf>
    <xf numFmtId="0" fontId="6" fillId="15" borderId="39" applyProtection="1" pivotButton="0" quotePrefix="0" xfId="4">
      <protection locked="1" hidden="1"/>
    </xf>
    <xf numFmtId="0" fontId="6" fillId="15" borderId="54" applyProtection="1" pivotButton="0" quotePrefix="0" xfId="4">
      <protection locked="1" hidden="1"/>
    </xf>
    <xf numFmtId="0" fontId="121" fillId="15" borderId="39" applyProtection="1" pivotButton="0" quotePrefix="0" xfId="4">
      <protection locked="1" hidden="1"/>
    </xf>
    <xf numFmtId="0" fontId="4" fillId="15" borderId="25" applyAlignment="1" applyProtection="1" pivotButton="0" quotePrefix="0" xfId="4">
      <alignment horizontal="right"/>
      <protection locked="1" hidden="1"/>
    </xf>
    <xf numFmtId="0" fontId="6" fillId="15" borderId="8" applyProtection="1" pivotButton="0" quotePrefix="0" xfId="4">
      <protection locked="1" hidden="1"/>
    </xf>
    <xf numFmtId="0" fontId="4" fillId="15" borderId="30" applyAlignment="1" applyProtection="1" pivotButton="0" quotePrefix="0" xfId="4">
      <alignment horizontal="left" indent="1"/>
      <protection locked="1" hidden="1"/>
    </xf>
    <xf numFmtId="0" fontId="6" fillId="15" borderId="0" applyAlignment="1" applyProtection="1" pivotButton="0" quotePrefix="0" xfId="4">
      <alignment vertical="top"/>
      <protection locked="1" hidden="1"/>
    </xf>
    <xf numFmtId="0" fontId="121" fillId="15" borderId="0" applyAlignment="1" applyProtection="1" pivotButton="0" quotePrefix="0" xfId="4">
      <alignment horizontal="center"/>
      <protection locked="1" hidden="1"/>
    </xf>
    <xf numFmtId="0" fontId="4" fillId="16" borderId="12" applyAlignment="1" applyProtection="1" pivotButton="0" quotePrefix="0" xfId="4">
      <alignment horizontal="center" vertical="center"/>
      <protection locked="0" hidden="0"/>
    </xf>
    <xf numFmtId="0" fontId="4" fillId="15" borderId="0" applyAlignment="1" applyProtection="1" pivotButton="0" quotePrefix="0" xfId="4">
      <alignment horizontal="left" indent="1"/>
      <protection locked="1" hidden="1"/>
    </xf>
    <xf numFmtId="0" fontId="110" fillId="15" borderId="0" applyAlignment="1" applyProtection="1" pivotButton="0" quotePrefix="0" xfId="4">
      <alignment horizontal="center" vertical="center"/>
      <protection locked="1" hidden="1"/>
    </xf>
    <xf numFmtId="0" fontId="110" fillId="15" borderId="0" applyAlignment="1" applyProtection="1" pivotButton="0" quotePrefix="0" xfId="4">
      <alignment horizontal="center"/>
      <protection locked="1" hidden="1"/>
    </xf>
    <xf numFmtId="0" fontId="10" fillId="15" borderId="1" applyProtection="1" pivotButton="0" quotePrefix="0" xfId="4">
      <protection locked="1" hidden="1"/>
    </xf>
    <xf numFmtId="0" fontId="4" fillId="15" borderId="30" applyProtection="1" pivotButton="0" quotePrefix="0" xfId="4">
      <protection locked="1" hidden="1"/>
    </xf>
    <xf numFmtId="0" fontId="6" fillId="15" borderId="30" applyProtection="1" pivotButton="0" quotePrefix="0" xfId="4">
      <protection locked="1" hidden="1"/>
    </xf>
    <xf numFmtId="39" fontId="6" fillId="0" borderId="0" applyProtection="1" pivotButton="0" quotePrefix="0" xfId="4">
      <protection locked="0" hidden="0"/>
    </xf>
    <xf numFmtId="3" fontId="143" fillId="2" borderId="0" applyAlignment="1" applyProtection="1" pivotButton="0" quotePrefix="0" xfId="0">
      <alignment horizontal="right" vertical="center"/>
      <protection locked="0" hidden="0"/>
    </xf>
    <xf numFmtId="3" fontId="143" fillId="2" borderId="3" applyAlignment="1" applyProtection="1" pivotButton="0" quotePrefix="0" xfId="0">
      <alignment horizontal="right" vertical="center"/>
      <protection locked="0" hidden="0"/>
    </xf>
    <xf numFmtId="3" fontId="143" fillId="2" borderId="24" applyAlignment="1" applyProtection="1" pivotButton="0" quotePrefix="0" xfId="0">
      <alignment horizontal="right" vertical="center"/>
      <protection locked="0" hidden="0"/>
    </xf>
    <xf numFmtId="0" fontId="0" fillId="8" borderId="0" applyProtection="1" pivotButton="0" quotePrefix="0" xfId="0">
      <protection locked="0" hidden="0"/>
    </xf>
    <xf numFmtId="171" fontId="8" fillId="0" borderId="2" applyAlignment="1" applyProtection="1" pivotButton="0" quotePrefix="0" xfId="0">
      <alignment horizontal="center"/>
      <protection locked="0" hidden="0"/>
    </xf>
    <xf numFmtId="37" fontId="8" fillId="2" borderId="2" applyAlignment="1" applyProtection="1" pivotButton="0" quotePrefix="0" xfId="0">
      <alignment horizontal="right"/>
      <protection locked="0" hidden="0"/>
    </xf>
    <xf numFmtId="3" fontId="9" fillId="16" borderId="2" applyAlignment="1" applyProtection="1" pivotButton="0" quotePrefix="0" xfId="0">
      <alignment horizontal="right" indent="1"/>
      <protection locked="0" hidden="0"/>
    </xf>
    <xf numFmtId="0" fontId="4" fillId="0" borderId="0" applyAlignment="1" applyProtection="1" pivotButton="0" quotePrefix="0" xfId="0">
      <alignment horizontal="center"/>
      <protection locked="0" hidden="0"/>
    </xf>
    <xf numFmtId="0" fontId="143" fillId="0" borderId="0" applyAlignment="1" pivotButton="0" quotePrefix="0" xfId="0">
      <alignment horizontal="left"/>
    </xf>
    <xf numFmtId="0" fontId="15" fillId="15" borderId="54" applyAlignment="1" applyProtection="1" pivotButton="0" quotePrefix="0" xfId="0">
      <alignment horizontal="center" vertical="center"/>
      <protection locked="0" hidden="0"/>
    </xf>
    <xf numFmtId="37" fontId="10" fillId="15" borderId="2" applyAlignment="1" applyProtection="1" pivotButton="0" quotePrefix="0" xfId="0">
      <alignment vertical="center"/>
      <protection locked="0" hidden="0"/>
    </xf>
    <xf numFmtId="49" fontId="4" fillId="16" borderId="9" applyAlignment="1" applyProtection="1" pivotButton="0" quotePrefix="0" xfId="0">
      <alignment horizontal="left" vertical="center" indent="1"/>
      <protection locked="0" hidden="0"/>
    </xf>
    <xf numFmtId="0" fontId="11" fillId="5" borderId="0" applyAlignment="1" applyProtection="1" pivotButton="0" quotePrefix="0" xfId="0">
      <alignment horizontal="center" vertical="center"/>
      <protection locked="0" hidden="0"/>
    </xf>
    <xf numFmtId="0" fontId="6" fillId="20" borderId="1" applyAlignment="1" applyProtection="1" pivotButton="0" quotePrefix="0" xfId="0">
      <alignment horizontal="right"/>
      <protection locked="0" hidden="0"/>
    </xf>
    <xf numFmtId="0" fontId="11" fillId="5" borderId="0" applyAlignment="1" applyProtection="1" pivotButton="0" quotePrefix="0" xfId="0">
      <alignment horizontal="center" vertical="center" wrapText="1"/>
      <protection locked="0" hidden="0"/>
    </xf>
    <xf numFmtId="0" fontId="158" fillId="15" borderId="0" applyAlignment="1" pivotButton="0" quotePrefix="0" xfId="0">
      <alignment horizontal="center"/>
    </xf>
    <xf numFmtId="0" fontId="206" fillId="15" borderId="0" applyAlignment="1" pivotButton="0" quotePrefix="0" xfId="0">
      <alignment horizontal="center"/>
    </xf>
    <xf numFmtId="0" fontId="158" fillId="15" borderId="0" applyAlignment="1" pivotButton="0" quotePrefix="0" xfId="0">
      <alignment horizontal="center" vertical="center"/>
    </xf>
    <xf numFmtId="0" fontId="206" fillId="0" borderId="0" applyAlignment="1" pivotButton="0" quotePrefix="0" xfId="0">
      <alignment horizontal="center"/>
    </xf>
    <xf numFmtId="37" fontId="11" fillId="15" borderId="3" applyProtection="1" pivotButton="0" quotePrefix="0" xfId="0">
      <protection locked="0" hidden="0"/>
    </xf>
    <xf numFmtId="0" fontId="11" fillId="15" borderId="0" applyProtection="1" pivotButton="0" quotePrefix="0" xfId="0">
      <protection locked="0" hidden="0"/>
    </xf>
    <xf numFmtId="0" fontId="14" fillId="15" borderId="24" applyProtection="1" pivotButton="0" quotePrefix="0" xfId="0">
      <protection locked="0" hidden="0"/>
    </xf>
    <xf numFmtId="37" fontId="11" fillId="15" borderId="0" applyProtection="1" pivotButton="0" quotePrefix="0" xfId="0">
      <protection locked="0" hidden="0"/>
    </xf>
    <xf numFmtId="0" fontId="14" fillId="15" borderId="0" applyProtection="1" pivotButton="0" quotePrefix="0" xfId="0">
      <protection locked="0" hidden="0"/>
    </xf>
    <xf numFmtId="0" fontId="14" fillId="15" borderId="8" applyProtection="1" pivotButton="0" quotePrefix="0" xfId="0">
      <protection locked="0" hidden="0"/>
    </xf>
    <xf numFmtId="0" fontId="4" fillId="16" borderId="39" applyAlignment="1" applyProtection="1" pivotButton="0" quotePrefix="0" xfId="0">
      <alignment horizontal="center" vertical="center"/>
      <protection locked="0" hidden="0"/>
    </xf>
    <xf numFmtId="0" fontId="4" fillId="5" borderId="0" applyAlignment="1" pivotButton="0" quotePrefix="0" xfId="0">
      <alignment horizontal="center" vertical="center"/>
    </xf>
    <xf numFmtId="0" fontId="4" fillId="15" borderId="6" applyAlignment="1" applyProtection="1" pivotButton="0" quotePrefix="0" xfId="0">
      <alignment horizontal="center" vertical="center"/>
      <protection locked="0" hidden="0"/>
    </xf>
    <xf numFmtId="0" fontId="10" fillId="2" borderId="4" applyAlignment="1" applyProtection="1" pivotButton="0" quotePrefix="0" xfId="0">
      <alignment vertical="center" wrapText="1"/>
      <protection locked="1" hidden="1"/>
    </xf>
    <xf numFmtId="0" fontId="10" fillId="2" borderId="21" applyAlignment="1" applyProtection="1" pivotButton="0" quotePrefix="0" xfId="0">
      <alignment vertical="center"/>
      <protection locked="1" hidden="1"/>
    </xf>
    <xf numFmtId="0" fontId="10" fillId="2" borderId="5" applyAlignment="1" applyProtection="1" pivotButton="0" quotePrefix="0" xfId="0">
      <alignment vertical="center"/>
      <protection locked="1" hidden="1"/>
    </xf>
    <xf numFmtId="0" fontId="20" fillId="3" borderId="8" applyAlignment="1" applyProtection="1" pivotButton="0" quotePrefix="0" xfId="0">
      <alignment vertical="center"/>
      <protection locked="1" hidden="1"/>
    </xf>
    <xf numFmtId="0" fontId="4" fillId="3" borderId="31" applyAlignment="1" applyProtection="1" pivotButton="0" quotePrefix="0" xfId="0">
      <alignment horizontal="right"/>
      <protection locked="1" hidden="1"/>
    </xf>
    <xf numFmtId="0" fontId="6" fillId="3" borderId="31" applyProtection="1" pivotButton="0" quotePrefix="0" xfId="0">
      <protection locked="1" hidden="1"/>
    </xf>
    <xf numFmtId="4" fontId="9" fillId="21" borderId="0" applyAlignment="1" applyProtection="1" pivotButton="0" quotePrefix="0" xfId="0">
      <alignment horizontal="center" vertical="center"/>
      <protection locked="0" hidden="0"/>
    </xf>
    <xf numFmtId="39" fontId="327" fillId="0" borderId="7" applyAlignment="1" applyProtection="1" pivotButton="0" quotePrefix="0" xfId="0">
      <alignment horizontal="center" wrapText="1"/>
      <protection locked="1" hidden="1"/>
    </xf>
    <xf numFmtId="39" fontId="328" fillId="0" borderId="0" applyProtection="1" pivotButton="0" quotePrefix="0" xfId="0">
      <protection locked="1" hidden="1"/>
    </xf>
    <xf numFmtId="0" fontId="11" fillId="23" borderId="0" applyAlignment="1" applyProtection="1" pivotButton="0" quotePrefix="0" xfId="0">
      <alignment horizontal="center" vertical="center"/>
      <protection locked="0" hidden="0"/>
    </xf>
    <xf numFmtId="0" fontId="4" fillId="14" borderId="25" applyAlignment="1" applyProtection="1" pivotButton="0" quotePrefix="0" xfId="0">
      <alignment horizontal="center" vertical="center"/>
      <protection locked="0" hidden="0"/>
    </xf>
    <xf numFmtId="0" fontId="20" fillId="15" borderId="75" applyAlignment="1" pivotButton="0" quotePrefix="0" xfId="0">
      <alignment horizontal="center" vertical="center"/>
    </xf>
    <xf numFmtId="0" fontId="20" fillId="15" borderId="75" applyAlignment="1" pivotButton="0" quotePrefix="1" xfId="0">
      <alignment horizontal="center" vertical="center"/>
    </xf>
    <xf numFmtId="0" fontId="8" fillId="39" borderId="8" applyAlignment="1" pivotButton="0" quotePrefix="0" xfId="0">
      <alignment horizontal="center" vertical="center"/>
    </xf>
    <xf numFmtId="0" fontId="8" fillId="39" borderId="0" applyAlignment="1" pivotButton="0" quotePrefix="0" xfId="0">
      <alignment horizontal="center" vertical="center"/>
    </xf>
    <xf numFmtId="0" fontId="10" fillId="39" borderId="0" applyAlignment="1" pivotButton="0" quotePrefix="0" xfId="0">
      <alignment horizontal="center" vertical="center"/>
    </xf>
    <xf numFmtId="0" fontId="12" fillId="15" borderId="0" applyAlignment="1" pivotButton="0" quotePrefix="0" xfId="0">
      <alignment horizontal="center" vertical="center"/>
    </xf>
    <xf numFmtId="0" fontId="10" fillId="39" borderId="0" applyAlignment="1" pivotButton="0" quotePrefix="0" xfId="0">
      <alignment horizontal="left"/>
    </xf>
    <xf numFmtId="0" fontId="10" fillId="39" borderId="0" applyAlignment="1" pivotButton="0" quotePrefix="0" xfId="0">
      <alignment wrapText="1"/>
    </xf>
    <xf numFmtId="0" fontId="10" fillId="39" borderId="0" applyAlignment="1" pivotButton="0" quotePrefix="0" xfId="0">
      <alignment horizontal="center" wrapText="1"/>
    </xf>
    <xf numFmtId="0" fontId="8" fillId="2" borderId="34" applyAlignment="1" pivotButton="0" quotePrefix="0" xfId="0">
      <alignment vertical="center"/>
    </xf>
    <xf numFmtId="0" fontId="8" fillId="2" borderId="34" pivotButton="0" quotePrefix="0" xfId="0"/>
    <xf numFmtId="0" fontId="10" fillId="2" borderId="34" pivotButton="0" quotePrefix="0" xfId="0"/>
    <xf numFmtId="0" fontId="0" fillId="2" borderId="34" pivotButton="0" quotePrefix="0" xfId="0"/>
    <xf numFmtId="0" fontId="47" fillId="2" borderId="0" pivotButton="0" quotePrefix="0" xfId="0"/>
    <xf numFmtId="0" fontId="44" fillId="2" borderId="8" applyAlignment="1" pivotButton="0" quotePrefix="0" xfId="0">
      <alignment vertical="center"/>
    </xf>
    <xf numFmtId="0" fontId="10" fillId="2" borderId="8" pivotButton="0" quotePrefix="0" xfId="0"/>
    <xf numFmtId="0" fontId="0" fillId="2" borderId="8" pivotButton="0" quotePrefix="0" xfId="0"/>
    <xf numFmtId="0" fontId="10" fillId="2" borderId="14" pivotButton="0" quotePrefix="0" xfId="0"/>
    <xf numFmtId="0" fontId="8" fillId="2" borderId="8" pivotButton="0" quotePrefix="0" xfId="0"/>
    <xf numFmtId="0" fontId="12" fillId="2" borderId="0" applyAlignment="1" pivotButton="0" quotePrefix="0" xfId="0">
      <alignment horizontal="center" vertical="center" wrapText="1"/>
    </xf>
    <xf numFmtId="0" fontId="6" fillId="2" borderId="8" pivotButton="0" quotePrefix="0" xfId="0"/>
    <xf numFmtId="0" fontId="8" fillId="39" borderId="3" applyAlignment="1" pivotButton="0" quotePrefix="0" xfId="0">
      <alignment vertical="top"/>
    </xf>
    <xf numFmtId="0" fontId="6" fillId="39" borderId="0" applyAlignment="1" pivotButton="0" quotePrefix="0" xfId="0">
      <alignment horizontal="right" vertical="top"/>
    </xf>
    <xf numFmtId="0" fontId="4" fillId="27" borderId="12" applyAlignment="1" pivotButton="0" quotePrefix="0" xfId="0">
      <alignment horizontal="center" vertical="center"/>
    </xf>
    <xf numFmtId="0" fontId="9" fillId="39" borderId="0" applyAlignment="1" pivotButton="0" quotePrefix="0" xfId="0">
      <alignment horizontal="left" vertical="center"/>
    </xf>
    <xf numFmtId="0" fontId="8" fillId="39" borderId="9" applyAlignment="1" pivotButton="0" quotePrefix="0" xfId="0">
      <alignment vertical="top"/>
    </xf>
    <xf numFmtId="0" fontId="8" fillId="39" borderId="1" applyAlignment="1" pivotButton="0" quotePrefix="0" xfId="0">
      <alignment vertical="top"/>
    </xf>
    <xf numFmtId="0" fontId="10" fillId="39" borderId="1" applyAlignment="1" pivotButton="0" quotePrefix="0" xfId="0">
      <alignment horizontal="center" vertical="center"/>
    </xf>
    <xf numFmtId="49" fontId="91" fillId="15" borderId="0" applyAlignment="1" pivotButton="0" quotePrefix="0" xfId="0">
      <alignment horizontal="center" vertical="top" wrapText="1"/>
    </xf>
    <xf numFmtId="0" fontId="20" fillId="39" borderId="0" applyAlignment="1" pivotButton="0" quotePrefix="0" xfId="0">
      <alignment vertical="center"/>
    </xf>
    <xf numFmtId="0" fontId="11" fillId="39" borderId="0" applyAlignment="1" pivotButton="0" quotePrefix="0" xfId="0">
      <alignment horizontal="left"/>
    </xf>
    <xf numFmtId="0" fontId="16" fillId="39" borderId="0" applyAlignment="1" pivotButton="0" quotePrefix="0" xfId="0">
      <alignment horizontal="center"/>
    </xf>
    <xf numFmtId="0" fontId="20" fillId="15" borderId="0" applyAlignment="1" pivotButton="0" quotePrefix="0" xfId="0">
      <alignment horizontal="left" vertical="center" wrapText="1"/>
    </xf>
    <xf numFmtId="0" fontId="15" fillId="15" borderId="0" applyAlignment="1" pivotButton="0" quotePrefix="0" xfId="0">
      <alignment vertical="center"/>
    </xf>
    <xf numFmtId="0" fontId="47" fillId="39" borderId="3" applyAlignment="1" pivotButton="0" quotePrefix="0" xfId="0">
      <alignment horizontal="left" vertical="center"/>
    </xf>
    <xf numFmtId="0" fontId="6" fillId="39" borderId="0" applyAlignment="1" pivotButton="0" quotePrefix="0" xfId="0">
      <alignment horizontal="left"/>
    </xf>
    <xf numFmtId="0" fontId="6" fillId="39" borderId="0" applyAlignment="1" pivotButton="0" quotePrefix="0" xfId="0">
      <alignment horizontal="right"/>
    </xf>
    <xf numFmtId="0" fontId="47" fillId="39" borderId="0" applyAlignment="1" pivotButton="0" quotePrefix="0" xfId="0">
      <alignment horizontal="left"/>
    </xf>
    <xf numFmtId="0" fontId="10" fillId="15" borderId="0" applyAlignment="1" pivotButton="0" quotePrefix="0" xfId="0">
      <alignment horizontal="left" vertical="top"/>
    </xf>
    <xf numFmtId="0" fontId="6" fillId="39" borderId="0" applyAlignment="1" pivotButton="0" quotePrefix="0" xfId="0">
      <alignment horizontal="left" vertical="top"/>
    </xf>
    <xf numFmtId="0" fontId="10" fillId="15" borderId="1" applyAlignment="1" pivotButton="0" quotePrefix="0" xfId="0">
      <alignment horizontal="left"/>
    </xf>
    <xf numFmtId="0" fontId="8" fillId="15" borderId="1" applyAlignment="1" pivotButton="0" quotePrefix="0" xfId="0">
      <alignment horizontal="left" vertical="top"/>
    </xf>
    <xf numFmtId="0" fontId="10" fillId="15" borderId="1" applyAlignment="1" pivotButton="0" quotePrefix="0" xfId="0">
      <alignment horizontal="left" vertical="top"/>
    </xf>
    <xf numFmtId="0" fontId="6" fillId="39" borderId="1" applyAlignment="1" pivotButton="0" quotePrefix="0" xfId="0">
      <alignment horizontal="left" vertical="top"/>
    </xf>
    <xf numFmtId="0" fontId="10" fillId="39" borderId="1" applyAlignment="1" pivotButton="0" quotePrefix="0" xfId="0">
      <alignment horizontal="left"/>
    </xf>
    <xf numFmtId="0" fontId="8" fillId="39" borderId="0" applyAlignment="1" pivotButton="0" quotePrefix="0" xfId="0">
      <alignment vertical="top"/>
    </xf>
    <xf numFmtId="0" fontId="10" fillId="39" borderId="1" applyAlignment="1" pivotButton="0" quotePrefix="0" xfId="0">
      <alignment horizontal="centerContinuous" vertical="center"/>
    </xf>
    <xf numFmtId="0" fontId="6" fillId="39" borderId="1" applyAlignment="1" pivotButton="0" quotePrefix="0" xfId="0">
      <alignment horizontal="right" vertical="top"/>
    </xf>
    <xf numFmtId="0" fontId="10" fillId="15" borderId="0" applyAlignment="1" pivotButton="0" quotePrefix="0" xfId="0">
      <alignment horizontal="centerContinuous" vertical="center"/>
    </xf>
    <xf numFmtId="0" fontId="10" fillId="39" borderId="0" applyAlignment="1" pivotButton="0" quotePrefix="0" xfId="0">
      <alignment horizontal="centerContinuous" vertical="center"/>
    </xf>
    <xf numFmtId="0" fontId="20" fillId="15" borderId="0" applyAlignment="1" pivotButton="0" quotePrefix="0" xfId="0">
      <alignment horizontal="left" vertical="top" wrapText="1"/>
    </xf>
    <xf numFmtId="0" fontId="4" fillId="39" borderId="0" applyAlignment="1" pivotButton="0" quotePrefix="0" xfId="0">
      <alignment horizontal="right" vertical="center"/>
    </xf>
    <xf numFmtId="0" fontId="44" fillId="2" borderId="0" applyAlignment="1" pivotButton="0" quotePrefix="0" xfId="0">
      <alignment horizontal="left" vertical="center"/>
    </xf>
    <xf numFmtId="0" fontId="10" fillId="39" borderId="0" pivotButton="0" quotePrefix="0" xfId="0"/>
    <xf numFmtId="1" fontId="4" fillId="39" borderId="10" applyAlignment="1" pivotButton="0" quotePrefix="0" xfId="0">
      <alignment horizontal="center"/>
    </xf>
    <xf numFmtId="1" fontId="4" fillId="8" borderId="0" pivotButton="0" quotePrefix="0" xfId="0"/>
    <xf numFmtId="0" fontId="12" fillId="2" borderId="0" pivotButton="0" quotePrefix="0" xfId="0"/>
    <xf numFmtId="0" fontId="10" fillId="2" borderId="0" applyAlignment="1" pivotButton="0" quotePrefix="0" xfId="0">
      <alignment horizontal="left" vertical="center" wrapText="1"/>
    </xf>
    <xf numFmtId="1" fontId="4" fillId="39" borderId="6" applyAlignment="1" pivotButton="0" quotePrefix="0" xfId="0">
      <alignment horizontal="center"/>
    </xf>
    <xf numFmtId="1" fontId="4" fillId="19" borderId="191" applyAlignment="1" pivotButton="0" quotePrefix="0" xfId="0">
      <alignment horizontal="center" vertical="center"/>
    </xf>
    <xf numFmtId="37" fontId="4" fillId="15" borderId="56" pivotButton="0" quotePrefix="0" xfId="0"/>
    <xf numFmtId="37" fontId="4" fillId="15" borderId="7" pivotButton="0" quotePrefix="0" xfId="0"/>
    <xf numFmtId="0" fontId="10" fillId="2" borderId="1" applyAlignment="1" pivotButton="0" quotePrefix="0" xfId="0">
      <alignment horizontal="left" vertical="center" wrapText="1"/>
    </xf>
    <xf numFmtId="0" fontId="9" fillId="15" borderId="8" applyAlignment="1" pivotButton="0" quotePrefix="0" xfId="0">
      <alignment horizontal="left" vertical="center" wrapText="1" indent="1"/>
    </xf>
    <xf numFmtId="0" fontId="12" fillId="39" borderId="0" pivotButton="0" quotePrefix="0" xfId="0"/>
    <xf numFmtId="0" fontId="4" fillId="39" borderId="0" applyAlignment="1" pivotButton="0" quotePrefix="0" xfId="0">
      <alignment horizontal="right"/>
    </xf>
    <xf numFmtId="0" fontId="6" fillId="39" borderId="0" pivotButton="0" quotePrefix="0" xfId="0"/>
    <xf numFmtId="0" fontId="0" fillId="39" borderId="0" pivotButton="0" quotePrefix="0" xfId="0"/>
    <xf numFmtId="0" fontId="4" fillId="39" borderId="10" applyAlignment="1" pivotButton="0" quotePrefix="0" xfId="0">
      <alignment horizontal="center"/>
    </xf>
    <xf numFmtId="0" fontId="4" fillId="8" borderId="0" pivotButton="0" quotePrefix="0" xfId="0"/>
    <xf numFmtId="0" fontId="9" fillId="15" borderId="1" applyAlignment="1" pivotButton="0" quotePrefix="0" xfId="0">
      <alignment horizontal="left" vertical="center" wrapText="1" indent="1"/>
    </xf>
    <xf numFmtId="0" fontId="4" fillId="2" borderId="8" pivotButton="0" quotePrefix="0" xfId="0"/>
    <xf numFmtId="0" fontId="4" fillId="2" borderId="3" pivotButton="0" quotePrefix="0" xfId="0"/>
    <xf numFmtId="174" fontId="10" fillId="2" borderId="0" applyAlignment="1" pivotButton="0" quotePrefix="0" xfId="0">
      <alignment horizontal="left"/>
    </xf>
    <xf numFmtId="0" fontId="8" fillId="39" borderId="0" pivotButton="0" quotePrefix="0" xfId="0"/>
    <xf numFmtId="1" fontId="4" fillId="19" borderId="15" applyAlignment="1" pivotButton="0" quotePrefix="0" xfId="0">
      <alignment horizontal="center" vertical="center"/>
    </xf>
    <xf numFmtId="37" fontId="4" fillId="15" borderId="3" pivotButton="0" quotePrefix="0" xfId="0"/>
    <xf numFmtId="37" fontId="4" fillId="15" borderId="0" pivotButton="0" quotePrefix="0" xfId="0"/>
    <xf numFmtId="0" fontId="4" fillId="2" borderId="4" pivotButton="0" quotePrefix="0" xfId="0"/>
    <xf numFmtId="1" fontId="4" fillId="19" borderId="28" applyAlignment="1" pivotButton="0" quotePrefix="0" xfId="0">
      <alignment horizontal="center" vertical="center"/>
    </xf>
    <xf numFmtId="0" fontId="8" fillId="39" borderId="4" pivotButton="0" quotePrefix="0" xfId="0"/>
    <xf numFmtId="0" fontId="10" fillId="39" borderId="4" pivotButton="0" quotePrefix="0" xfId="0"/>
    <xf numFmtId="0" fontId="4" fillId="39" borderId="4" applyAlignment="1" pivotButton="0" quotePrefix="0" xfId="0">
      <alignment horizontal="right"/>
    </xf>
    <xf numFmtId="0" fontId="0" fillId="39" borderId="4" pivotButton="0" quotePrefix="0" xfId="0"/>
    <xf numFmtId="0" fontId="76" fillId="39" borderId="4" pivotButton="0" quotePrefix="0" xfId="0"/>
    <xf numFmtId="4" fontId="8" fillId="39" borderId="4" pivotButton="0" quotePrefix="0" xfId="0"/>
    <xf numFmtId="0" fontId="205" fillId="39" borderId="4" applyAlignment="1" pivotButton="0" quotePrefix="0" xfId="0">
      <alignment horizontal="right"/>
    </xf>
    <xf numFmtId="4" fontId="10" fillId="39" borderId="4" applyAlignment="1" pivotButton="0" quotePrefix="0" xfId="0">
      <alignment horizontal="right"/>
    </xf>
    <xf numFmtId="0" fontId="117" fillId="39" borderId="0" pivotButton="0" quotePrefix="0" xfId="0"/>
    <xf numFmtId="0" fontId="10" fillId="2" borderId="9" pivotButton="0" quotePrefix="0" xfId="0"/>
    <xf numFmtId="0" fontId="10" fillId="2" borderId="30" pivotButton="0" quotePrefix="0" xfId="0"/>
    <xf numFmtId="0" fontId="0" fillId="39" borderId="0" applyAlignment="1" pivotButton="0" quotePrefix="0" xfId="0">
      <alignment horizontal="right"/>
    </xf>
    <xf numFmtId="0" fontId="8" fillId="39" borderId="0" applyAlignment="1" pivotButton="0" quotePrefix="0" xfId="0">
      <alignment vertical="center"/>
    </xf>
    <xf numFmtId="0" fontId="10" fillId="2" borderId="7" pivotButton="0" quotePrefix="0" xfId="0"/>
    <xf numFmtId="0" fontId="10" fillId="39" borderId="7" pivotButton="0" quotePrefix="0" xfId="0"/>
    <xf numFmtId="0" fontId="10" fillId="8" borderId="0" pivotButton="0" quotePrefix="0" xfId="0"/>
    <xf numFmtId="0" fontId="6" fillId="39" borderId="0" applyAlignment="1" pivotButton="0" quotePrefix="0" xfId="0">
      <alignment horizontal="left" vertical="center"/>
    </xf>
    <xf numFmtId="0" fontId="4" fillId="39" borderId="0" applyAlignment="1" pivotButton="0" quotePrefix="1" xfId="0">
      <alignment horizontal="right"/>
    </xf>
    <xf numFmtId="0" fontId="10" fillId="39" borderId="0" applyAlignment="1" pivotButton="0" quotePrefix="0" xfId="0">
      <alignment horizontal="right" vertical="top"/>
    </xf>
    <xf numFmtId="0" fontId="6" fillId="39" borderId="0" applyAlignment="1" pivotButton="0" quotePrefix="1" xfId="0">
      <alignment horizontal="left"/>
    </xf>
    <xf numFmtId="0" fontId="4" fillId="39" borderId="0" applyAlignment="1" pivotButton="0" quotePrefix="1" xfId="0">
      <alignment horizontal="right" vertical="center"/>
    </xf>
    <xf numFmtId="0" fontId="10" fillId="39" borderId="0" applyAlignment="1" pivotButton="0" quotePrefix="1" xfId="0">
      <alignment horizontal="left"/>
    </xf>
    <xf numFmtId="0" fontId="10" fillId="39" borderId="0" applyAlignment="1" pivotButton="0" quotePrefix="1" xfId="0">
      <alignment horizontal="right"/>
    </xf>
    <xf numFmtId="1" fontId="4" fillId="39" borderId="12" applyAlignment="1" pivotButton="0" quotePrefix="0" xfId="0">
      <alignment horizontal="center"/>
    </xf>
    <xf numFmtId="0" fontId="10" fillId="39" borderId="0" applyAlignment="1" pivotButton="0" quotePrefix="0" xfId="0">
      <alignment horizontal="right"/>
    </xf>
    <xf numFmtId="0" fontId="26" fillId="39" borderId="0" applyAlignment="1" pivotButton="0" quotePrefix="0" xfId="0">
      <alignment horizontal="right"/>
    </xf>
    <xf numFmtId="0" fontId="4" fillId="39" borderId="0" applyAlignment="1" pivotButton="0" quotePrefix="0" xfId="0">
      <alignment horizontal="center"/>
    </xf>
    <xf numFmtId="0" fontId="4" fillId="39" borderId="0" applyAlignment="1" pivotButton="0" quotePrefix="0" xfId="0">
      <alignment horizontal="left"/>
    </xf>
    <xf numFmtId="0" fontId="10" fillId="2" borderId="1" pivotButton="0" quotePrefix="0" xfId="0"/>
    <xf numFmtId="0" fontId="4" fillId="39" borderId="1" pivotButton="0" quotePrefix="0" xfId="0"/>
    <xf numFmtId="0" fontId="10" fillId="39" borderId="1" pivotButton="0" quotePrefix="0" xfId="0"/>
    <xf numFmtId="37" fontId="4" fillId="15" borderId="30" applyAlignment="1" pivotButton="0" quotePrefix="0" xfId="0">
      <alignment horizontal="right"/>
    </xf>
    <xf numFmtId="37" fontId="4" fillId="15" borderId="8" applyAlignment="1" pivotButton="0" quotePrefix="0" xfId="0">
      <alignment horizontal="right"/>
    </xf>
    <xf numFmtId="0" fontId="20" fillId="2" borderId="0" applyAlignment="1" pivotButton="0" quotePrefix="0" xfId="0">
      <alignment horizontal="left"/>
    </xf>
    <xf numFmtId="37" fontId="4" fillId="15" borderId="3" applyAlignment="1" pivotButton="0" quotePrefix="0" xfId="0">
      <alignment horizontal="right"/>
    </xf>
    <xf numFmtId="37" fontId="4" fillId="15" borderId="0" applyAlignment="1" pivotButton="0" quotePrefix="0" xfId="0">
      <alignment horizontal="right"/>
    </xf>
    <xf numFmtId="0" fontId="10" fillId="2" borderId="0" applyAlignment="1" pivotButton="0" quotePrefix="0" xfId="0">
      <alignment vertical="top" wrapText="1"/>
    </xf>
    <xf numFmtId="0" fontId="10" fillId="2" borderId="25" pivotButton="0" quotePrefix="0" xfId="0"/>
    <xf numFmtId="1" fontId="4" fillId="19" borderId="6" applyAlignment="1" pivotButton="0" quotePrefix="0" xfId="0">
      <alignment horizontal="center" vertical="center"/>
    </xf>
    <xf numFmtId="0" fontId="10" fillId="2" borderId="0" applyAlignment="1" pivotButton="0" quotePrefix="0" xfId="0">
      <alignment vertical="center" wrapText="1"/>
    </xf>
    <xf numFmtId="0" fontId="9" fillId="39" borderId="0" applyAlignment="1" pivotButton="0" quotePrefix="0" xfId="0">
      <alignment horizontal="right"/>
    </xf>
    <xf numFmtId="165" fontId="8" fillId="39" borderId="0" applyAlignment="1" pivotButton="0" quotePrefix="0" xfId="0">
      <alignment horizontal="left"/>
    </xf>
    <xf numFmtId="4" fontId="10" fillId="39" borderId="0" pivotButton="0" quotePrefix="0" xfId="0"/>
    <xf numFmtId="0" fontId="4" fillId="19" borderId="15" applyAlignment="1" pivotButton="0" quotePrefix="0" xfId="0">
      <alignment horizontal="center"/>
    </xf>
    <xf numFmtId="0" fontId="4" fillId="19" borderId="6" applyAlignment="1" pivotButton="0" quotePrefix="0" xfId="0">
      <alignment horizontal="center"/>
    </xf>
    <xf numFmtId="0" fontId="0" fillId="11" borderId="9" pivotButton="0" quotePrefix="0" xfId="0"/>
    <xf numFmtId="0" fontId="0" fillId="11" borderId="11" pivotButton="0" quotePrefix="0" xfId="0"/>
    <xf numFmtId="0" fontId="11" fillId="2" borderId="8" applyAlignment="1" pivotButton="0" quotePrefix="0" xfId="0">
      <alignment horizontal="left" vertical="top" wrapText="1"/>
    </xf>
    <xf numFmtId="0" fontId="4" fillId="39" borderId="8" applyAlignment="1" pivotButton="0" quotePrefix="0" xfId="0">
      <alignment horizontal="right"/>
    </xf>
    <xf numFmtId="0" fontId="4" fillId="39" borderId="8" pivotButton="0" quotePrefix="0" xfId="0"/>
    <xf numFmtId="0" fontId="10" fillId="39" borderId="8" pivotButton="0" quotePrefix="0" xfId="0"/>
    <xf numFmtId="0" fontId="12" fillId="39" borderId="8" pivotButton="0" quotePrefix="0" xfId="0"/>
    <xf numFmtId="1" fontId="4" fillId="39" borderId="15" applyAlignment="1" pivotButton="0" quotePrefix="0" xfId="0">
      <alignment horizontal="center"/>
    </xf>
    <xf numFmtId="0" fontId="11" fillId="2" borderId="0" applyAlignment="1" pivotButton="0" quotePrefix="0" xfId="0">
      <alignment horizontal="left" vertical="top" wrapText="1"/>
    </xf>
    <xf numFmtId="0" fontId="11" fillId="2" borderId="4" applyAlignment="1" pivotButton="0" quotePrefix="0" xfId="0">
      <alignment horizontal="left" vertical="top" wrapText="1"/>
    </xf>
    <xf numFmtId="0" fontId="4" fillId="39" borderId="4" pivotButton="0" quotePrefix="0" xfId="0"/>
    <xf numFmtId="0" fontId="4" fillId="39" borderId="28" applyAlignment="1" pivotButton="0" quotePrefix="0" xfId="0">
      <alignment horizontal="center"/>
    </xf>
    <xf numFmtId="0" fontId="0" fillId="11" borderId="69" pivotButton="0" quotePrefix="0" xfId="0"/>
    <xf numFmtId="0" fontId="0" fillId="11" borderId="70" pivotButton="0" quotePrefix="0" xfId="0"/>
    <xf numFmtId="37" fontId="9" fillId="19" borderId="4" pivotButton="0" quotePrefix="0" xfId="0"/>
    <xf numFmtId="0" fontId="15" fillId="27" borderId="12" applyAlignment="1" pivotButton="0" quotePrefix="0" xfId="0">
      <alignment horizontal="center" vertical="center"/>
    </xf>
    <xf numFmtId="0" fontId="10" fillId="39" borderId="0" applyAlignment="1" pivotButton="0" quotePrefix="0" xfId="0">
      <alignment vertical="top"/>
    </xf>
    <xf numFmtId="0" fontId="10" fillId="15" borderId="3" pivotButton="0" quotePrefix="0" xfId="0"/>
    <xf numFmtId="0" fontId="10" fillId="15" borderId="24" pivotButton="0" quotePrefix="0" xfId="0"/>
    <xf numFmtId="0" fontId="10" fillId="15" borderId="0" applyAlignment="1" pivotButton="0" quotePrefix="0" xfId="0">
      <alignment vertical="top"/>
    </xf>
    <xf numFmtId="0" fontId="16" fillId="15" borderId="0" applyAlignment="1" pivotButton="0" quotePrefix="0" xfId="0">
      <alignment vertical="top"/>
    </xf>
    <xf numFmtId="0" fontId="16" fillId="15" borderId="0" applyAlignment="1" pivotButton="0" quotePrefix="0" xfId="0">
      <alignment vertical="top" wrapText="1"/>
    </xf>
    <xf numFmtId="0" fontId="16" fillId="15" borderId="4" applyAlignment="1" pivotButton="0" quotePrefix="0" xfId="0">
      <alignment vertical="top" wrapText="1"/>
    </xf>
    <xf numFmtId="0" fontId="10" fillId="15" borderId="4" applyAlignment="1" pivotButton="0" quotePrefix="0" xfId="0">
      <alignment vertical="center"/>
    </xf>
    <xf numFmtId="0" fontId="15" fillId="15" borderId="0" applyAlignment="1" pivotButton="0" quotePrefix="0" xfId="0">
      <alignment horizontal="left" vertical="center" wrapText="1"/>
    </xf>
    <xf numFmtId="14" fontId="10" fillId="2" borderId="0" pivotButton="0" quotePrefix="0" xfId="0"/>
    <xf numFmtId="0" fontId="10" fillId="2" borderId="0" applyAlignment="1" pivotButton="0" quotePrefix="0" xfId="0">
      <alignment horizontal="right" vertical="center"/>
    </xf>
    <xf numFmtId="0" fontId="4" fillId="39" borderId="16" applyAlignment="1" pivotButton="0" quotePrefix="0" xfId="0">
      <alignment horizontal="right"/>
    </xf>
    <xf numFmtId="0" fontId="4" fillId="39" borderId="16" pivotButton="0" quotePrefix="0" xfId="0"/>
    <xf numFmtId="0" fontId="8" fillId="39" borderId="16" pivotButton="0" quotePrefix="0" xfId="0"/>
    <xf numFmtId="0" fontId="10" fillId="39" borderId="16" pivotButton="0" quotePrefix="0" xfId="0"/>
    <xf numFmtId="0" fontId="12" fillId="39" borderId="16" pivotButton="0" quotePrefix="0" xfId="0"/>
    <xf numFmtId="0" fontId="8" fillId="39" borderId="16" applyAlignment="1" pivotButton="0" quotePrefix="0" xfId="0">
      <alignment horizontal="center" vertical="center"/>
    </xf>
    <xf numFmtId="0" fontId="10" fillId="39" borderId="24" applyAlignment="1" pivotButton="0" quotePrefix="0" xfId="0">
      <alignment horizontal="left" vertical="top" wrapText="1"/>
    </xf>
    <xf numFmtId="0" fontId="47" fillId="39" borderId="0" applyAlignment="1" pivotButton="0" quotePrefix="0" xfId="0">
      <alignment horizontal="left" vertical="center"/>
    </xf>
    <xf numFmtId="0" fontId="11" fillId="27" borderId="12" applyAlignment="1" pivotButton="0" quotePrefix="0" xfId="0">
      <alignment horizontal="center" vertical="center"/>
    </xf>
    <xf numFmtId="4" fontId="8" fillId="39" borderId="0" pivotButton="0" quotePrefix="0" xfId="0"/>
    <xf numFmtId="4" fontId="10" fillId="39" borderId="0" applyAlignment="1" pivotButton="0" quotePrefix="0" xfId="0">
      <alignment horizontal="right"/>
    </xf>
    <xf numFmtId="0" fontId="4" fillId="2" borderId="7" pivotButton="0" quotePrefix="0" xfId="0"/>
    <xf numFmtId="0" fontId="4" fillId="27" borderId="2" applyAlignment="1" pivotButton="0" quotePrefix="0" xfId="0">
      <alignment horizontal="center" vertical="center"/>
    </xf>
    <xf numFmtId="0" fontId="20" fillId="15" borderId="0" applyAlignment="1" pivotButton="0" quotePrefix="0" xfId="0">
      <alignment horizontal="left"/>
    </xf>
    <xf numFmtId="0" fontId="9" fillId="15" borderId="0" applyAlignment="1" pivotButton="0" quotePrefix="0" xfId="0">
      <alignment horizontal="right"/>
    </xf>
    <xf numFmtId="0" fontId="8" fillId="15" borderId="0" applyAlignment="1" pivotButton="0" quotePrefix="0" xfId="0">
      <alignment horizontal="center" vertical="center"/>
    </xf>
    <xf numFmtId="37" fontId="9" fillId="15" borderId="0" pivotButton="0" quotePrefix="0" xfId="0"/>
    <xf numFmtId="0" fontId="117" fillId="15" borderId="0" pivotButton="0" quotePrefix="0" xfId="0"/>
    <xf numFmtId="0" fontId="10" fillId="15" borderId="7" pivotButton="0" quotePrefix="0" xfId="0"/>
    <xf numFmtId="0" fontId="4" fillId="15" borderId="7" applyAlignment="1" pivotButton="0" quotePrefix="0" xfId="0">
      <alignment horizontal="right"/>
    </xf>
    <xf numFmtId="0" fontId="47" fillId="15" borderId="7" pivotButton="0" quotePrefix="0" xfId="0"/>
    <xf numFmtId="0" fontId="47" fillId="15" borderId="1" pivotButton="0" quotePrefix="0" xfId="0"/>
    <xf numFmtId="0" fontId="11" fillId="15" borderId="1" pivotButton="0" quotePrefix="0" xfId="0"/>
    <xf numFmtId="0" fontId="14" fillId="15" borderId="1" pivotButton="0" quotePrefix="0" xfId="0"/>
    <xf numFmtId="0" fontId="8" fillId="15" borderId="1" applyAlignment="1" pivotButton="0" quotePrefix="0" xfId="0">
      <alignment horizontal="center" vertical="center"/>
    </xf>
    <xf numFmtId="0" fontId="14" fillId="15" borderId="1" applyAlignment="1" pivotButton="0" quotePrefix="0" xfId="0">
      <alignment horizontal="center" vertical="center"/>
    </xf>
    <xf numFmtId="0" fontId="4" fillId="15" borderId="1" applyAlignment="1" pivotButton="0" quotePrefix="0" xfId="0">
      <alignment vertical="center"/>
    </xf>
    <xf numFmtId="0" fontId="6" fillId="15" borderId="1" applyAlignment="1" pivotButton="0" quotePrefix="0" xfId="0">
      <alignment vertical="center"/>
    </xf>
    <xf numFmtId="0" fontId="6" fillId="15" borderId="8" applyAlignment="1" pivotButton="0" quotePrefix="0" xfId="0">
      <alignment vertical="center"/>
    </xf>
    <xf numFmtId="0" fontId="9" fillId="15" borderId="0" applyAlignment="1" pivotButton="0" quotePrefix="0" xfId="0">
      <alignment horizontal="right" vertical="center"/>
    </xf>
    <xf numFmtId="0" fontId="4" fillId="15" borderId="0" applyAlignment="1" pivotButton="0" quotePrefix="0" xfId="0">
      <alignment horizontal="center" vertical="center"/>
    </xf>
    <xf numFmtId="0" fontId="14" fillId="15" borderId="0" applyAlignment="1" pivotButton="0" quotePrefix="0" xfId="0">
      <alignment vertical="top"/>
    </xf>
    <xf numFmtId="0" fontId="14" fillId="15" borderId="0" applyAlignment="1" pivotButton="0" quotePrefix="0" xfId="0">
      <alignment horizontal="center" vertical="center"/>
    </xf>
    <xf numFmtId="0" fontId="11" fillId="15" borderId="1" applyAlignment="1" pivotButton="0" quotePrefix="0" xfId="0">
      <alignment horizontal="center"/>
    </xf>
    <xf numFmtId="0" fontId="11" fillId="15" borderId="1" applyAlignment="1" pivotButton="0" quotePrefix="0" xfId="0">
      <alignment horizontal="left"/>
    </xf>
    <xf numFmtId="0" fontId="14" fillId="15" borderId="1" applyAlignment="1" pivotButton="0" quotePrefix="0" xfId="0">
      <alignment horizontal="left" vertical="center"/>
    </xf>
    <xf numFmtId="0" fontId="10" fillId="15" borderId="0" applyAlignment="1" pivotButton="0" quotePrefix="0" xfId="0">
      <alignment horizontal="left" vertical="top" wrapText="1"/>
    </xf>
    <xf numFmtId="0" fontId="116" fillId="15" borderId="0" pivotButton="0" quotePrefix="0" xfId="0"/>
    <xf numFmtId="0" fontId="81" fillId="5" borderId="0" applyAlignment="1" pivotButton="0" quotePrefix="0" xfId="0">
      <alignment horizontal="center"/>
    </xf>
    <xf numFmtId="0" fontId="151" fillId="15" borderId="0" pivotButton="0" quotePrefix="0" xfId="0"/>
    <xf numFmtId="0" fontId="47" fillId="15" borderId="4" pivotButton="0" quotePrefix="0" xfId="0"/>
    <xf numFmtId="0" fontId="0" fillId="15" borderId="74" pivotButton="0" quotePrefix="0" xfId="0"/>
    <xf numFmtId="0" fontId="20" fillId="15" borderId="74" applyAlignment="1" pivotButton="0" quotePrefix="0" xfId="0">
      <alignment horizontal="center"/>
    </xf>
    <xf numFmtId="0" fontId="4" fillId="15" borderId="3" pivotButton="0" quotePrefix="0" xfId="0"/>
    <xf numFmtId="0" fontId="6" fillId="15" borderId="0" applyAlignment="1" pivotButton="0" quotePrefix="0" xfId="0">
      <alignment horizontal="left" vertical="center" indent="1"/>
    </xf>
    <xf numFmtId="0" fontId="20" fillId="15" borderId="25" applyAlignment="1" pivotButton="0" quotePrefix="0" xfId="0">
      <alignment horizontal="left" vertical="center" indent="1"/>
    </xf>
    <xf numFmtId="0" fontId="8" fillId="15" borderId="25" applyAlignment="1" pivotButton="0" quotePrefix="0" xfId="0">
      <alignment horizontal="center" vertical="center"/>
    </xf>
    <xf numFmtId="0" fontId="15" fillId="15" borderId="0" applyAlignment="1" pivotButton="0" quotePrefix="1" xfId="0">
      <alignment horizontal="center"/>
    </xf>
    <xf numFmtId="0" fontId="15" fillId="15" borderId="3" applyAlignment="1" pivotButton="0" quotePrefix="1" xfId="0">
      <alignment horizontal="center"/>
    </xf>
    <xf numFmtId="0" fontId="6" fillId="15" borderId="0" applyAlignment="1" pivotButton="0" quotePrefix="0" xfId="0">
      <alignment horizontal="left" vertical="center" wrapText="1"/>
    </xf>
    <xf numFmtId="0" fontId="151" fillId="15" borderId="0" applyAlignment="1" pivotButton="0" quotePrefix="0" xfId="0">
      <alignment horizontal="left" vertical="center" wrapText="1"/>
    </xf>
    <xf numFmtId="0" fontId="15" fillId="15" borderId="0" applyAlignment="1" pivotButton="0" quotePrefix="1" xfId="0">
      <alignment horizontal="left" vertical="center"/>
    </xf>
    <xf numFmtId="0" fontId="155" fillId="15" borderId="0" applyAlignment="1" pivotButton="0" quotePrefix="0" xfId="0">
      <alignment vertical="center" wrapText="1"/>
    </xf>
    <xf numFmtId="0" fontId="152" fillId="15" borderId="0" applyAlignment="1" pivotButton="0" quotePrefix="1" xfId="0">
      <alignment horizontal="right"/>
    </xf>
    <xf numFmtId="0" fontId="153" fillId="15" borderId="0" pivotButton="0" quotePrefix="0" xfId="0"/>
    <xf numFmtId="0" fontId="0" fillId="15" borderId="88" pivotButton="0" quotePrefix="0" xfId="0"/>
    <xf numFmtId="4" fontId="4" fillId="3" borderId="24" applyAlignment="1" pivotButton="0" quotePrefix="0" xfId="0">
      <alignment horizontal="right"/>
    </xf>
    <xf numFmtId="181" fontId="151" fillId="15" borderId="0" applyAlignment="1" pivotButton="0" quotePrefix="0" xfId="0">
      <alignment horizontal="right"/>
    </xf>
    <xf numFmtId="0" fontId="74" fillId="15" borderId="0" pivotButton="0" quotePrefix="0" xfId="0"/>
    <xf numFmtId="0" fontId="151" fillId="15" borderId="0" applyAlignment="1" pivotButton="0" quotePrefix="0" xfId="0">
      <alignment horizontal="right"/>
    </xf>
    <xf numFmtId="0" fontId="153" fillId="15" borderId="0" applyAlignment="1" pivotButton="0" quotePrefix="0" xfId="0">
      <alignment vertical="top"/>
    </xf>
    <xf numFmtId="0" fontId="8" fillId="15" borderId="8" applyAlignment="1" pivotButton="0" quotePrefix="0" xfId="0">
      <alignment horizontal="center" vertical="center"/>
    </xf>
    <xf numFmtId="0" fontId="20" fillId="15" borderId="0" applyAlignment="1" pivotButton="0" quotePrefix="0" xfId="0">
      <alignment horizontal="left" indent="1"/>
    </xf>
    <xf numFmtId="0" fontId="14" fillId="15" borderId="0" applyAlignment="1" pivotButton="0" quotePrefix="0" xfId="0">
      <alignment horizontal="left" vertical="center"/>
    </xf>
    <xf numFmtId="0" fontId="11" fillId="15" borderId="0" applyAlignment="1" pivotButton="0" quotePrefix="0" xfId="0">
      <alignment horizontal="right"/>
    </xf>
    <xf numFmtId="3" fontId="151" fillId="15" borderId="0" pivotButton="0" quotePrefix="0" xfId="0"/>
    <xf numFmtId="0" fontId="154" fillId="15" borderId="0" applyAlignment="1" pivotButton="0" quotePrefix="0" xfId="0">
      <alignment horizontal="left" vertical="center" wrapText="1"/>
    </xf>
    <xf numFmtId="0" fontId="151" fillId="15" borderId="0" applyAlignment="1" pivotButton="0" quotePrefix="0" xfId="0">
      <alignment horizontal="center"/>
    </xf>
    <xf numFmtId="182" fontId="151" fillId="15" borderId="0" applyAlignment="1" pivotButton="0" quotePrefix="0" xfId="0">
      <alignment horizontal="right"/>
    </xf>
    <xf numFmtId="0" fontId="15" fillId="15" borderId="0" applyAlignment="1" pivotButton="0" quotePrefix="0" xfId="0">
      <alignment vertical="top"/>
    </xf>
    <xf numFmtId="0" fontId="153" fillId="15" borderId="0" applyAlignment="1" pivotButton="0" quotePrefix="0" xfId="0">
      <alignment horizontal="center"/>
    </xf>
    <xf numFmtId="0" fontId="47" fillId="15" borderId="0" applyAlignment="1" pivotButton="0" quotePrefix="0" xfId="0">
      <alignment vertical="top"/>
    </xf>
    <xf numFmtId="0" fontId="151" fillId="15" borderId="0" applyAlignment="1" pivotButton="0" quotePrefix="0" xfId="0">
      <alignment horizontal="center" wrapText="1"/>
    </xf>
    <xf numFmtId="3" fontId="151" fillId="15" borderId="0" applyAlignment="1" pivotButton="0" quotePrefix="0" xfId="0">
      <alignment horizontal="center"/>
    </xf>
    <xf numFmtId="0" fontId="156" fillId="15" borderId="0" applyAlignment="1" pivotButton="0" quotePrefix="0" xfId="0">
      <alignment horizontal="center" vertical="center"/>
    </xf>
    <xf numFmtId="49" fontId="151" fillId="15" borderId="0" applyAlignment="1" pivotButton="0" quotePrefix="0" xfId="0">
      <alignment horizontal="right"/>
    </xf>
    <xf numFmtId="0" fontId="155" fillId="15" borderId="0" applyAlignment="1" pivotButton="0" quotePrefix="0" xfId="0">
      <alignment horizontal="left" vertical="center"/>
    </xf>
    <xf numFmtId="0" fontId="6" fillId="2" borderId="0" applyAlignment="1" pivotButton="0" quotePrefix="0" xfId="0">
      <alignment horizontal="right"/>
    </xf>
    <xf numFmtId="0" fontId="0" fillId="15" borderId="13" applyAlignment="1" pivotButton="0" quotePrefix="0" xfId="0">
      <alignment horizontal="right"/>
    </xf>
    <xf numFmtId="0" fontId="20" fillId="15" borderId="13" applyAlignment="1" pivotButton="0" quotePrefix="0" xfId="0">
      <alignment horizontal="left"/>
    </xf>
    <xf numFmtId="0" fontId="20" fillId="15" borderId="0" applyAlignment="1" pivotButton="0" quotePrefix="0" xfId="0">
      <alignment horizontal="left" vertical="center" indent="1"/>
    </xf>
    <xf numFmtId="0" fontId="20" fillId="15" borderId="1" applyAlignment="1" pivotButton="0" quotePrefix="0" xfId="0">
      <alignment horizontal="left" vertical="center" indent="1"/>
    </xf>
    <xf numFmtId="0" fontId="156" fillId="15" borderId="0" applyAlignment="1" pivotButton="0" quotePrefix="0" xfId="0">
      <alignment vertical="center" wrapText="1"/>
    </xf>
    <xf numFmtId="0" fontId="155" fillId="15" borderId="0" applyAlignment="1" pivotButton="0" quotePrefix="0" xfId="0">
      <alignment horizontal="left" wrapText="1"/>
    </xf>
    <xf numFmtId="0" fontId="151" fillId="15" borderId="0" applyAlignment="1" pivotButton="0" quotePrefix="0" xfId="0">
      <alignment horizontal="left" wrapText="1"/>
    </xf>
    <xf numFmtId="0" fontId="155" fillId="15" borderId="0" applyAlignment="1" pivotButton="0" quotePrefix="0" xfId="0">
      <alignment horizontal="left" vertical="top" wrapText="1"/>
    </xf>
    <xf numFmtId="0" fontId="151" fillId="15" borderId="0" applyAlignment="1" pivotButton="0" quotePrefix="0" xfId="0">
      <alignment horizontal="left" vertical="top" wrapText="1"/>
    </xf>
    <xf numFmtId="0" fontId="11" fillId="15" borderId="0" applyAlignment="1" pivotButton="0" quotePrefix="0" xfId="0">
      <alignment horizontal="left" vertical="center" indent="1"/>
    </xf>
    <xf numFmtId="0" fontId="47" fillId="15" borderId="0" applyAlignment="1" pivotButton="0" quotePrefix="0" xfId="0">
      <alignment horizontal="left" indent="1"/>
    </xf>
    <xf numFmtId="0" fontId="155" fillId="15" borderId="0" applyAlignment="1" pivotButton="0" quotePrefix="0" xfId="0">
      <alignment horizontal="center" vertical="center" wrapText="1"/>
    </xf>
    <xf numFmtId="3" fontId="155" fillId="15" borderId="0" applyAlignment="1" pivotButton="0" quotePrefix="1" xfId="0">
      <alignment horizontal="center" vertical="center" wrapText="1"/>
    </xf>
    <xf numFmtId="3" fontId="155" fillId="15" borderId="0" applyAlignment="1" pivotButton="0" quotePrefix="0" xfId="0">
      <alignment vertical="center" wrapText="1"/>
    </xf>
    <xf numFmtId="0" fontId="81" fillId="5" borderId="0" applyAlignment="1" pivotButton="0" quotePrefix="0" xfId="0">
      <alignment horizontal="center" vertical="top"/>
    </xf>
    <xf numFmtId="0" fontId="0" fillId="15" borderId="1" applyAlignment="1" pivotButton="0" quotePrefix="0" xfId="0">
      <alignment vertical="top"/>
    </xf>
    <xf numFmtId="0" fontId="15" fillId="15" borderId="1" applyAlignment="1" pivotButton="0" quotePrefix="0" xfId="0">
      <alignment vertical="top"/>
    </xf>
    <xf numFmtId="0" fontId="4" fillId="15" borderId="1" applyAlignment="1" pivotButton="0" quotePrefix="0" xfId="0">
      <alignment vertical="top"/>
    </xf>
    <xf numFmtId="0" fontId="151" fillId="15" borderId="0" applyAlignment="1" pivotButton="0" quotePrefix="0" xfId="0">
      <alignment vertical="top"/>
    </xf>
    <xf numFmtId="0" fontId="155" fillId="15" borderId="0" applyAlignment="1" pivotButton="0" quotePrefix="0" xfId="0">
      <alignment vertical="top" wrapText="1"/>
    </xf>
    <xf numFmtId="0" fontId="0" fillId="19" borderId="3" pivotButton="0" quotePrefix="0" xfId="0"/>
    <xf numFmtId="0" fontId="0" fillId="19" borderId="24" pivotButton="0" quotePrefix="0" xfId="0"/>
    <xf numFmtId="4" fontId="4" fillId="3" borderId="0" applyAlignment="1" pivotButton="0" quotePrefix="0" xfId="0">
      <alignment horizontal="right"/>
    </xf>
    <xf numFmtId="4" fontId="4" fillId="3" borderId="17" applyAlignment="1" pivotButton="0" quotePrefix="0" xfId="0">
      <alignment horizontal="right"/>
    </xf>
    <xf numFmtId="0" fontId="15" fillId="15" borderId="16" applyAlignment="1" pivotButton="0" quotePrefix="0" xfId="0">
      <alignment horizontal="right"/>
    </xf>
    <xf numFmtId="0" fontId="0" fillId="15" borderId="16" applyAlignment="1" pivotButton="0" quotePrefix="0" xfId="0">
      <alignment horizontal="left"/>
    </xf>
    <xf numFmtId="0" fontId="0" fillId="15" borderId="16" applyAlignment="1" pivotButton="0" quotePrefix="0" xfId="0">
      <alignment horizontal="right"/>
    </xf>
    <xf numFmtId="0" fontId="6" fillId="15" borderId="13" pivotButton="0" quotePrefix="0" xfId="0"/>
    <xf numFmtId="0" fontId="11" fillId="15" borderId="34" applyAlignment="1" pivotButton="0" quotePrefix="0" xfId="0">
      <alignment horizontal="left" vertical="center" indent="1"/>
    </xf>
    <xf numFmtId="0" fontId="8" fillId="15" borderId="34" applyAlignment="1" pivotButton="0" quotePrefix="0" xfId="0">
      <alignment horizontal="center" vertical="center"/>
    </xf>
    <xf numFmtId="37" fontId="276" fillId="15" borderId="0" pivotButton="0" quotePrefix="0" xfId="0"/>
    <xf numFmtId="0" fontId="276" fillId="15" borderId="0" pivotButton="0" quotePrefix="0" xfId="0"/>
    <xf numFmtId="0" fontId="11" fillId="15" borderId="25" applyAlignment="1" pivotButton="0" quotePrefix="0" xfId="0">
      <alignment horizontal="left" vertical="center" indent="1"/>
    </xf>
    <xf numFmtId="0" fontId="151" fillId="15" borderId="0" applyAlignment="1" pivotButton="0" quotePrefix="1" xfId="0">
      <alignment horizontal="center"/>
    </xf>
    <xf numFmtId="37" fontId="151" fillId="15" borderId="0" pivotButton="0" quotePrefix="0" xfId="0"/>
    <xf numFmtId="3" fontId="4" fillId="15" borderId="1" applyAlignment="1" pivotButton="0" quotePrefix="0" xfId="0">
      <alignment horizontal="right" indent="1"/>
    </xf>
    <xf numFmtId="3" fontId="4" fillId="15" borderId="1" applyAlignment="1" pivotButton="0" quotePrefix="0" xfId="0">
      <alignment horizontal="center"/>
    </xf>
    <xf numFmtId="0" fontId="11" fillId="15" borderId="27" applyAlignment="1" pivotButton="0" quotePrefix="0" xfId="0">
      <alignment horizontal="left" vertical="center" indent="1"/>
    </xf>
    <xf numFmtId="0" fontId="8" fillId="15" borderId="27" applyAlignment="1" pivotButton="0" quotePrefix="0" xfId="0">
      <alignment horizontal="center" vertical="center"/>
    </xf>
    <xf numFmtId="0" fontId="36" fillId="15" borderId="0" applyAlignment="1" pivotButton="0" quotePrefix="0" xfId="0">
      <alignment horizontal="center"/>
    </xf>
    <xf numFmtId="0" fontId="121" fillId="15" borderId="0" applyAlignment="1" pivotButton="0" quotePrefix="0" xfId="0">
      <alignment horizontal="right"/>
    </xf>
    <xf numFmtId="0" fontId="0" fillId="19" borderId="30" pivotButton="0" quotePrefix="0" xfId="0"/>
    <xf numFmtId="0" fontId="0" fillId="19" borderId="14" pivotButton="0" quotePrefix="0" xfId="0"/>
    <xf numFmtId="0" fontId="15" fillId="15" borderId="24" pivotButton="0" quotePrefix="0" xfId="0"/>
    <xf numFmtId="0" fontId="123" fillId="31" borderId="8" applyAlignment="1" pivotButton="0" quotePrefix="0" xfId="0">
      <alignment vertical="center"/>
    </xf>
    <xf numFmtId="0" fontId="123" fillId="31" borderId="0" applyAlignment="1" pivotButton="0" quotePrefix="0" xfId="0">
      <alignment vertical="center"/>
    </xf>
    <xf numFmtId="0" fontId="276" fillId="15" borderId="0" applyAlignment="1" pivotButton="0" quotePrefix="0" xfId="0">
      <alignment vertical="center"/>
    </xf>
    <xf numFmtId="0" fontId="47" fillId="15" borderId="0" applyAlignment="1" pivotButton="0" quotePrefix="0" xfId="0">
      <alignment horizontal="left"/>
    </xf>
    <xf numFmtId="0" fontId="6" fillId="15" borderId="16" applyAlignment="1" pivotButton="0" quotePrefix="0" xfId="0">
      <alignment horizontal="right" vertical="center"/>
    </xf>
    <xf numFmtId="0" fontId="0" fillId="15" borderId="16" applyAlignment="1" pivotButton="0" quotePrefix="0" xfId="0">
      <alignment horizontal="right" vertical="center"/>
    </xf>
    <xf numFmtId="0" fontId="276" fillId="15" borderId="0" applyAlignment="1" pivotButton="0" quotePrefix="0" xfId="0">
      <alignment horizontal="center" vertical="center"/>
    </xf>
    <xf numFmtId="0" fontId="11" fillId="15" borderId="74" applyAlignment="1" pivotButton="0" quotePrefix="0" xfId="0">
      <alignment horizontal="center"/>
    </xf>
    <xf numFmtId="0" fontId="276" fillId="15" borderId="0" applyAlignment="1" pivotButton="0" quotePrefix="0" xfId="0">
      <alignment horizontal="center"/>
    </xf>
    <xf numFmtId="0" fontId="301" fillId="15" borderId="0" applyAlignment="1" pivotButton="0" quotePrefix="0" xfId="0">
      <alignment horizontal="center"/>
    </xf>
    <xf numFmtId="0" fontId="301" fillId="15" borderId="0" applyAlignment="1" pivotButton="0" quotePrefix="0" xfId="0">
      <alignment horizontal="left"/>
    </xf>
    <xf numFmtId="0" fontId="276" fillId="15" borderId="0" applyAlignment="1" pivotButton="0" quotePrefix="0" xfId="0">
      <alignment horizontal="right"/>
    </xf>
    <xf numFmtId="0" fontId="324" fillId="15" borderId="0" pivotButton="0" quotePrefix="0" xfId="0"/>
    <xf numFmtId="0" fontId="4" fillId="23" borderId="0" applyAlignment="1" pivotButton="0" quotePrefix="0" xfId="0">
      <alignment horizontal="center"/>
    </xf>
    <xf numFmtId="0" fontId="206" fillId="23" borderId="0" pivotButton="0" quotePrefix="0" xfId="0"/>
    <xf numFmtId="0" fontId="228" fillId="23" borderId="0" pivotButton="0" quotePrefix="0" xfId="0"/>
    <xf numFmtId="0" fontId="0" fillId="23" borderId="0" applyAlignment="1" pivotButton="0" quotePrefix="0" xfId="0">
      <alignment vertical="center"/>
    </xf>
    <xf numFmtId="0" fontId="228" fillId="23" borderId="0" applyAlignment="1" pivotButton="0" quotePrefix="0" xfId="0">
      <alignment vertical="center"/>
    </xf>
    <xf numFmtId="0" fontId="0" fillId="15" borderId="5" applyAlignment="1" pivotButton="0" quotePrefix="0" xfId="0">
      <alignment horizontal="left" vertical="center" wrapText="1" indent="2"/>
    </xf>
    <xf numFmtId="0" fontId="0" fillId="15" borderId="197" applyAlignment="1" pivotButton="0" quotePrefix="0" xfId="0">
      <alignment horizontal="left" vertical="center" wrapText="1" indent="2"/>
    </xf>
    <xf numFmtId="0" fontId="10" fillId="15" borderId="13" applyAlignment="1" pivotButton="0" quotePrefix="0" xfId="0">
      <alignment horizontal="left" vertical="top" wrapText="1"/>
    </xf>
    <xf numFmtId="0" fontId="12" fillId="15" borderId="5" pivotButton="0" quotePrefix="0" xfId="0"/>
    <xf numFmtId="0" fontId="14" fillId="23" borderId="0" pivotButton="0" quotePrefix="0" xfId="0"/>
    <xf numFmtId="0" fontId="14" fillId="15" borderId="25" pivotButton="0" quotePrefix="0" xfId="0"/>
    <xf numFmtId="0" fontId="73" fillId="15" borderId="25" pivotButton="0" quotePrefix="0" xfId="0"/>
    <xf numFmtId="0" fontId="4" fillId="15" borderId="0" applyAlignment="1" pivotButton="0" quotePrefix="1" xfId="0">
      <alignment horizontal="center" vertical="top" wrapText="1"/>
    </xf>
    <xf numFmtId="0" fontId="263" fillId="15" borderId="0" applyAlignment="1" pivotButton="0" quotePrefix="0" xfId="0">
      <alignment horizontal="left" vertical="center"/>
    </xf>
    <xf numFmtId="0" fontId="201" fillId="15" borderId="0" applyAlignment="1" pivotButton="0" quotePrefix="0" xfId="0">
      <alignment vertical="center"/>
    </xf>
    <xf numFmtId="0" fontId="201" fillId="15" borderId="0" applyAlignment="1" pivotButton="0" quotePrefix="0" xfId="0">
      <alignment horizontal="left" vertical="center"/>
    </xf>
    <xf numFmtId="0" fontId="6" fillId="15" borderId="0" applyAlignment="1" pivotButton="0" quotePrefix="0" xfId="0">
      <alignment horizontal="left" vertical="center"/>
    </xf>
    <xf numFmtId="0" fontId="201" fillId="15" borderId="0" applyAlignment="1" pivotButton="0" quotePrefix="0" xfId="0">
      <alignment horizontal="left"/>
    </xf>
    <xf numFmtId="0" fontId="4" fillId="19" borderId="3" applyAlignment="1" pivotButton="0" quotePrefix="0" xfId="0">
      <alignment horizontal="center" vertical="center"/>
    </xf>
    <xf numFmtId="0" fontId="4" fillId="19" borderId="24" applyAlignment="1" pivotButton="0" quotePrefix="0" xfId="0">
      <alignment horizontal="center" vertical="center"/>
    </xf>
    <xf numFmtId="3" fontId="4" fillId="15" borderId="3" applyAlignment="1" pivotButton="0" quotePrefix="0" xfId="0">
      <alignment vertical="center" wrapText="1"/>
    </xf>
    <xf numFmtId="3" fontId="0" fillId="15" borderId="0" applyAlignment="1" pivotButton="0" quotePrefix="0" xfId="0">
      <alignment vertical="center" wrapText="1"/>
    </xf>
    <xf numFmtId="0" fontId="201" fillId="15" borderId="0" pivotButton="0" quotePrefix="0" xfId="0"/>
    <xf numFmtId="0" fontId="201" fillId="15" borderId="0" applyAlignment="1" pivotButton="0" quotePrefix="0" xfId="0">
      <alignment horizontal="center" vertical="center"/>
    </xf>
    <xf numFmtId="0" fontId="0" fillId="15" borderId="30" applyAlignment="1" pivotButton="0" quotePrefix="0" xfId="0">
      <alignment vertical="center"/>
    </xf>
    <xf numFmtId="0" fontId="0" fillId="15" borderId="14" applyAlignment="1" pivotButton="0" quotePrefix="0" xfId="0">
      <alignment vertical="center"/>
    </xf>
    <xf numFmtId="0" fontId="4" fillId="15" borderId="0" applyAlignment="1" pivotButton="0" quotePrefix="0" xfId="0">
      <alignment horizontal="right" vertical="top" wrapText="1"/>
    </xf>
    <xf numFmtId="0" fontId="202" fillId="15" borderId="0" applyAlignment="1" pivotButton="0" quotePrefix="0" xfId="0">
      <alignment horizontal="center" vertical="center"/>
    </xf>
    <xf numFmtId="0" fontId="9" fillId="23" borderId="0" applyAlignment="1" pivotButton="0" quotePrefix="0" xfId="0">
      <alignment horizontal="center" vertical="center"/>
    </xf>
    <xf numFmtId="0" fontId="200" fillId="15" borderId="0" applyAlignment="1" pivotButton="0" quotePrefix="0" xfId="0">
      <alignment horizontal="right"/>
    </xf>
    <xf numFmtId="0" fontId="263" fillId="15" borderId="0" applyAlignment="1" pivotButton="0" quotePrefix="0" xfId="0">
      <alignment horizontal="left"/>
    </xf>
    <xf numFmtId="0" fontId="4" fillId="15" borderId="0" applyAlignment="1" pivotButton="0" quotePrefix="0" xfId="0">
      <alignment horizontal="center" vertical="top" wrapText="1"/>
    </xf>
    <xf numFmtId="0" fontId="4" fillId="15" borderId="0" applyAlignment="1" pivotButton="0" quotePrefix="1" xfId="0">
      <alignment horizontal="center" vertical="center" wrapText="1"/>
    </xf>
    <xf numFmtId="0" fontId="0" fillId="19" borderId="30" applyAlignment="1" pivotButton="0" quotePrefix="0" xfId="0">
      <alignment vertical="center"/>
    </xf>
    <xf numFmtId="0" fontId="0" fillId="19" borderId="14" applyAlignment="1" pivotButton="0" quotePrefix="0" xfId="0">
      <alignment vertical="center"/>
    </xf>
    <xf numFmtId="0" fontId="4" fillId="15" borderId="0" applyAlignment="1" pivotButton="0" quotePrefix="0" xfId="0">
      <alignment horizontal="center" vertical="center" wrapText="1"/>
    </xf>
    <xf numFmtId="0" fontId="0" fillId="19" borderId="3" applyAlignment="1" pivotButton="0" quotePrefix="0" xfId="0">
      <alignment vertical="center"/>
    </xf>
    <xf numFmtId="0" fontId="0" fillId="19" borderId="24" applyAlignment="1" pivotButton="0" quotePrefix="0" xfId="0">
      <alignment vertical="center"/>
    </xf>
    <xf numFmtId="0" fontId="110" fillId="15" borderId="3" applyAlignment="1" pivotButton="0" quotePrefix="0" xfId="0">
      <alignment horizontal="center" vertical="center"/>
    </xf>
    <xf numFmtId="0" fontId="110" fillId="15" borderId="0" applyAlignment="1" pivotButton="0" quotePrefix="0" xfId="0">
      <alignment horizontal="center" vertical="center"/>
    </xf>
    <xf numFmtId="0" fontId="6" fillId="19" borderId="3" applyAlignment="1" pivotButton="0" quotePrefix="0" xfId="0">
      <alignment horizontal="left" vertical="center"/>
    </xf>
    <xf numFmtId="0" fontId="6" fillId="19" borderId="24" applyAlignment="1" pivotButton="0" quotePrefix="0" xfId="0">
      <alignment horizontal="left" vertical="center"/>
    </xf>
    <xf numFmtId="0" fontId="263" fillId="15" borderId="0" pivotButton="0" quotePrefix="0" xfId="0"/>
    <xf numFmtId="0" fontId="6" fillId="23" borderId="0" pivotButton="0" quotePrefix="0" xfId="0"/>
    <xf numFmtId="0" fontId="4" fillId="15" borderId="0" applyAlignment="1" pivotButton="0" quotePrefix="1" xfId="0">
      <alignment horizontal="center" wrapText="1"/>
    </xf>
    <xf numFmtId="0" fontId="284" fillId="23" borderId="0" applyAlignment="1" pivotButton="0" quotePrefix="0" xfId="0">
      <alignment horizontal="center" vertical="center"/>
    </xf>
    <xf numFmtId="0" fontId="264" fillId="15" borderId="0" applyAlignment="1" pivotButton="0" quotePrefix="0" xfId="0">
      <alignment horizontal="left" vertical="center"/>
    </xf>
    <xf numFmtId="0" fontId="112" fillId="0" borderId="0" applyAlignment="1" pivotButton="0" quotePrefix="0" xfId="0">
      <alignment vertical="center"/>
    </xf>
    <xf numFmtId="0" fontId="110" fillId="15" borderId="0" applyAlignment="1" pivotButton="0" quotePrefix="0" xfId="0">
      <alignment vertical="center"/>
    </xf>
    <xf numFmtId="0" fontId="110" fillId="0" borderId="0" applyAlignment="1" pivotButton="0" quotePrefix="0" xfId="0">
      <alignment vertical="center"/>
    </xf>
    <xf numFmtId="0" fontId="110" fillId="15" borderId="24" applyAlignment="1" pivotButton="0" quotePrefix="0" xfId="0">
      <alignment vertical="center"/>
    </xf>
    <xf numFmtId="0" fontId="4" fillId="19" borderId="0" applyAlignment="1" pivotButton="0" quotePrefix="0" xfId="0">
      <alignment horizontal="center" vertical="center"/>
    </xf>
    <xf numFmtId="0" fontId="4" fillId="15" borderId="0" applyAlignment="1" pivotButton="0" quotePrefix="0" xfId="0">
      <alignment horizontal="left" vertical="center"/>
    </xf>
    <xf numFmtId="0" fontId="263" fillId="15" borderId="0" applyAlignment="1" pivotButton="0" quotePrefix="0" xfId="0">
      <alignment horizontal="center" vertical="center"/>
    </xf>
    <xf numFmtId="0" fontId="264" fillId="15" borderId="0" applyAlignment="1" pivotButton="0" quotePrefix="0" xfId="0">
      <alignment horizontal="center" vertical="center"/>
    </xf>
    <xf numFmtId="0" fontId="0" fillId="15" borderId="24" applyAlignment="1" pivotButton="0" quotePrefix="0" xfId="0">
      <alignment horizontal="center" vertical="center"/>
    </xf>
    <xf numFmtId="0" fontId="263" fillId="15" borderId="0" applyAlignment="1" pivotButton="0" quotePrefix="0" xfId="0">
      <alignment vertical="center"/>
    </xf>
    <xf numFmtId="0" fontId="6" fillId="15" borderId="7" applyAlignment="1" pivotButton="0" quotePrefix="0" xfId="0">
      <alignment horizontal="left" vertical="center"/>
    </xf>
    <xf numFmtId="0" fontId="264" fillId="15" borderId="7" applyAlignment="1" pivotButton="0" quotePrefix="0" xfId="0">
      <alignment horizontal="left" vertical="center"/>
    </xf>
    <xf numFmtId="0" fontId="263" fillId="15" borderId="7" applyAlignment="1" pivotButton="0" quotePrefix="0" xfId="0">
      <alignment horizontal="left" vertical="center"/>
    </xf>
    <xf numFmtId="0" fontId="263" fillId="15" borderId="7" applyAlignment="1" pivotButton="0" quotePrefix="0" xfId="0">
      <alignment horizontal="center" vertical="center"/>
    </xf>
    <xf numFmtId="0" fontId="201" fillId="15" borderId="7" applyAlignment="1" pivotButton="0" quotePrefix="0" xfId="0">
      <alignment horizontal="center" vertical="center"/>
    </xf>
    <xf numFmtId="0" fontId="110" fillId="15" borderId="7" applyAlignment="1" pivotButton="0" quotePrefix="0" xfId="0">
      <alignment vertical="center"/>
    </xf>
    <xf numFmtId="0" fontId="4" fillId="15" borderId="7" applyAlignment="1" pivotButton="0" quotePrefix="0" xfId="0">
      <alignment horizontal="center" vertical="center"/>
    </xf>
    <xf numFmtId="0" fontId="4" fillId="15" borderId="4" applyAlignment="1" pivotButton="0" quotePrefix="0" xfId="0">
      <alignment horizontal="center" vertical="center"/>
    </xf>
    <xf numFmtId="0" fontId="9" fillId="15" borderId="7" applyAlignment="1" pivotButton="0" quotePrefix="0" xfId="0">
      <alignment horizontal="left" vertical="center"/>
    </xf>
    <xf numFmtId="0" fontId="0" fillId="15" borderId="7" applyAlignment="1" pivotButton="0" quotePrefix="0" xfId="0">
      <alignment horizontal="right" vertical="center"/>
    </xf>
    <xf numFmtId="0" fontId="8" fillId="15" borderId="7" applyAlignment="1" pivotButton="0" quotePrefix="0" xfId="0">
      <alignment horizontal="center" vertical="center"/>
    </xf>
    <xf numFmtId="0" fontId="6" fillId="15" borderId="0" applyAlignment="1" pivotButton="0" quotePrefix="0" xfId="0">
      <alignment horizontal="right" vertical="center"/>
    </xf>
    <xf numFmtId="0" fontId="8" fillId="23" borderId="0" applyAlignment="1" pivotButton="0" quotePrefix="0" xfId="0">
      <alignment horizontal="center"/>
    </xf>
    <xf numFmtId="0" fontId="8" fillId="15" borderId="13" applyAlignment="1" pivotButton="0" quotePrefix="0" xfId="0">
      <alignment horizontal="left"/>
    </xf>
    <xf numFmtId="0" fontId="0" fillId="15" borderId="13" applyAlignment="1" pivotButton="0" quotePrefix="0" xfId="0">
      <alignment horizontal="right" vertical="center"/>
    </xf>
    <xf numFmtId="0" fontId="0" fillId="15" borderId="13" applyAlignment="1" pivotButton="0" quotePrefix="0" xfId="0">
      <alignment vertical="center"/>
    </xf>
    <xf numFmtId="0" fontId="8" fillId="15" borderId="13" applyAlignment="1" pivotButton="0" quotePrefix="0" xfId="0">
      <alignment vertical="center"/>
    </xf>
    <xf numFmtId="0" fontId="8" fillId="15" borderId="13" applyAlignment="1" pivotButton="0" quotePrefix="0" xfId="0">
      <alignment horizontal="center" vertical="center"/>
    </xf>
    <xf numFmtId="0" fontId="6" fillId="15" borderId="13" applyAlignment="1" pivotButton="0" quotePrefix="0" xfId="0">
      <alignment horizontal="right" vertical="center"/>
    </xf>
    <xf numFmtId="0" fontId="9" fillId="15" borderId="13" applyAlignment="1" pivotButton="0" quotePrefix="0" xfId="0">
      <alignment horizontal="right" vertical="center"/>
    </xf>
    <xf numFmtId="0" fontId="10" fillId="23" borderId="0" applyAlignment="1" pivotButton="0" quotePrefix="0" xfId="0">
      <alignment horizontal="center"/>
    </xf>
    <xf numFmtId="0" fontId="11" fillId="15" borderId="1" applyAlignment="1" pivotButton="0" quotePrefix="0" xfId="0">
      <alignment horizontal="left" indent="1"/>
    </xf>
    <xf numFmtId="0" fontId="14" fillId="15" borderId="27" pivotButton="0" quotePrefix="0" xfId="0"/>
    <xf numFmtId="0" fontId="158" fillId="23" borderId="0" applyAlignment="1" pivotButton="0" quotePrefix="0" xfId="0">
      <alignment horizontal="center"/>
    </xf>
    <xf numFmtId="0" fontId="264" fillId="15" borderId="25" applyAlignment="1" pivotButton="0" quotePrefix="0" xfId="0">
      <alignment horizontal="left" vertical="center"/>
    </xf>
    <xf numFmtId="0" fontId="0" fillId="15" borderId="25" applyAlignment="1" pivotButton="0" quotePrefix="0" xfId="0">
      <alignment horizontal="right" vertical="center"/>
    </xf>
    <xf numFmtId="0" fontId="0" fillId="15" borderId="25" applyAlignment="1" pivotButton="0" quotePrefix="0" xfId="0">
      <alignment vertical="center"/>
    </xf>
    <xf numFmtId="0" fontId="8" fillId="15" borderId="25" applyAlignment="1" pivotButton="0" quotePrefix="0" xfId="0">
      <alignment vertical="center"/>
    </xf>
    <xf numFmtId="0" fontId="15" fillId="23" borderId="0" applyAlignment="1" pivotButton="0" quotePrefix="0" xfId="0">
      <alignment horizontal="center"/>
    </xf>
    <xf numFmtId="0" fontId="0" fillId="15" borderId="8" applyAlignment="1" pivotButton="0" quotePrefix="0" xfId="0">
      <alignment horizontal="right" vertical="center"/>
    </xf>
    <xf numFmtId="0" fontId="0" fillId="15" borderId="0" applyAlignment="1" pivotButton="0" quotePrefix="0" xfId="0">
      <alignment horizontal="right" vertical="center"/>
    </xf>
    <xf numFmtId="0" fontId="4" fillId="15" borderId="24" applyAlignment="1" pivotButton="0" quotePrefix="0" xfId="0">
      <alignment horizontal="right" vertical="center"/>
    </xf>
    <xf numFmtId="37" fontId="8" fillId="15" borderId="0" applyAlignment="1" pivotButton="0" quotePrefix="0" xfId="0">
      <alignment vertical="center"/>
    </xf>
    <xf numFmtId="37" fontId="180" fillId="15" borderId="0" applyAlignment="1" pivotButton="0" quotePrefix="0" xfId="0">
      <alignment vertical="center"/>
    </xf>
    <xf numFmtId="0" fontId="146" fillId="15" borderId="0" applyAlignment="1" pivotButton="0" quotePrefix="0" xfId="0">
      <alignment vertical="center"/>
    </xf>
    <xf numFmtId="0" fontId="283" fillId="23" borderId="0" applyAlignment="1" pivotButton="0" quotePrefix="0" xfId="0">
      <alignment horizontal="center" vertical="center"/>
    </xf>
    <xf numFmtId="0" fontId="263" fillId="15" borderId="0" applyAlignment="1" pivotButton="0" quotePrefix="0" xfId="0">
      <alignment horizontal="right" vertical="center"/>
    </xf>
    <xf numFmtId="0" fontId="264" fillId="15" borderId="0" applyAlignment="1" pivotButton="0" quotePrefix="0" xfId="0">
      <alignment vertical="center"/>
    </xf>
    <xf numFmtId="0" fontId="0" fillId="19" borderId="3" applyAlignment="1" pivotButton="0" quotePrefix="0" xfId="0">
      <alignment horizontal="left" vertical="center"/>
    </xf>
    <xf numFmtId="0" fontId="0" fillId="19" borderId="24" applyAlignment="1" pivotButton="0" quotePrefix="0" xfId="0">
      <alignment horizontal="left" vertical="center"/>
    </xf>
    <xf numFmtId="0" fontId="4" fillId="15" borderId="0" applyAlignment="1" pivotButton="0" quotePrefix="1" xfId="0">
      <alignment horizontal="right" vertical="center"/>
    </xf>
    <xf numFmtId="0" fontId="0" fillId="19" borderId="30" applyAlignment="1" pivotButton="0" quotePrefix="0" xfId="0">
      <alignment horizontal="left" vertical="center"/>
    </xf>
    <xf numFmtId="0" fontId="0" fillId="19" borderId="14" applyAlignment="1" pivotButton="0" quotePrefix="0" xfId="0">
      <alignment horizontal="left" vertical="center"/>
    </xf>
    <xf numFmtId="0" fontId="116" fillId="15" borderId="0" applyAlignment="1" pivotButton="0" quotePrefix="0" xfId="0">
      <alignment vertical="center"/>
    </xf>
    <xf numFmtId="0" fontId="110" fillId="15" borderId="8" applyAlignment="1" pivotButton="0" quotePrefix="0" xfId="0">
      <alignment vertical="center"/>
    </xf>
    <xf numFmtId="0" fontId="0" fillId="19" borderId="8" applyAlignment="1" pivotButton="0" quotePrefix="0" xfId="0">
      <alignment vertical="center"/>
    </xf>
    <xf numFmtId="0" fontId="6" fillId="19" borderId="8" applyAlignment="1" pivotButton="0" quotePrefix="0" xfId="0">
      <alignment horizontal="right" vertical="center"/>
    </xf>
    <xf numFmtId="0" fontId="9" fillId="19" borderId="8" applyAlignment="1" pivotButton="0" quotePrefix="0" xfId="0">
      <alignment horizontal="right" vertical="center"/>
    </xf>
    <xf numFmtId="0" fontId="264" fillId="15" borderId="0" applyAlignment="1" pivotButton="0" quotePrefix="0" xfId="0">
      <alignment horizontal="left" vertical="center" indent="1"/>
    </xf>
    <xf numFmtId="0" fontId="0" fillId="19" borderId="0" applyAlignment="1" pivotButton="0" quotePrefix="0" xfId="0">
      <alignment vertical="center"/>
    </xf>
    <xf numFmtId="0" fontId="6" fillId="19" borderId="0" applyAlignment="1" pivotButton="0" quotePrefix="0" xfId="0">
      <alignment horizontal="right" vertical="center"/>
    </xf>
    <xf numFmtId="0" fontId="9" fillId="19" borderId="0" applyAlignment="1" pivotButton="0" quotePrefix="0" xfId="0">
      <alignment horizontal="right" vertical="center"/>
    </xf>
    <xf numFmtId="0" fontId="10" fillId="23" borderId="0" applyAlignment="1" pivotButton="0" quotePrefix="0" xfId="0">
      <alignment horizontal="center" vertical="top"/>
    </xf>
    <xf numFmtId="0" fontId="4" fillId="15" borderId="4" applyAlignment="1" pivotButton="0" quotePrefix="0" xfId="0">
      <alignment horizontal="right" vertical="center"/>
    </xf>
    <xf numFmtId="0" fontId="6" fillId="15" borderId="4" applyAlignment="1" pivotButton="0" quotePrefix="0" xfId="0">
      <alignment horizontal="right" vertical="center"/>
    </xf>
    <xf numFmtId="0" fontId="0" fillId="15" borderId="4" applyAlignment="1" pivotButton="0" quotePrefix="0" xfId="0">
      <alignment vertical="center"/>
    </xf>
    <xf numFmtId="0" fontId="263" fillId="15" borderId="4" applyAlignment="1" pivotButton="0" quotePrefix="0" xfId="0">
      <alignment vertical="center"/>
    </xf>
    <xf numFmtId="0" fontId="115" fillId="15" borderId="4" applyAlignment="1" pivotButton="0" quotePrefix="0" xfId="0">
      <alignment vertical="center"/>
    </xf>
    <xf numFmtId="0" fontId="115" fillId="15" borderId="4" applyAlignment="1" pivotButton="0" quotePrefix="0" xfId="0">
      <alignment horizontal="center" vertical="center"/>
    </xf>
    <xf numFmtId="0" fontId="109" fillId="15" borderId="4" applyAlignment="1" pivotButton="0" quotePrefix="0" xfId="0">
      <alignment vertical="center"/>
    </xf>
    <xf numFmtId="0" fontId="0" fillId="19" borderId="69" applyAlignment="1" pivotButton="0" quotePrefix="0" xfId="0">
      <alignment vertical="center"/>
    </xf>
    <xf numFmtId="0" fontId="0" fillId="19" borderId="4" applyAlignment="1" pivotButton="0" quotePrefix="0" xfId="0">
      <alignment vertical="center"/>
    </xf>
    <xf numFmtId="0" fontId="6" fillId="19" borderId="4" applyAlignment="1" pivotButton="0" quotePrefix="0" xfId="0">
      <alignment horizontal="right" vertical="center"/>
    </xf>
    <xf numFmtId="0" fontId="9" fillId="19" borderId="4" applyAlignment="1" pivotButton="0" quotePrefix="0" xfId="0">
      <alignment horizontal="right" vertical="center"/>
    </xf>
    <xf numFmtId="0" fontId="110" fillId="15" borderId="27" pivotButton="0" quotePrefix="0" xfId="0"/>
    <xf numFmtId="0" fontId="8" fillId="15" borderId="4" applyAlignment="1" pivotButton="0" quotePrefix="0" xfId="0">
      <alignment vertical="center"/>
    </xf>
    <xf numFmtId="0" fontId="8" fillId="15" borderId="4" applyAlignment="1" pivotButton="0" quotePrefix="0" xfId="0">
      <alignment horizontal="center" vertical="center"/>
    </xf>
    <xf numFmtId="0" fontId="0" fillId="19" borderId="52" applyAlignment="1" pivotButton="0" quotePrefix="0" xfId="0">
      <alignment vertical="center"/>
    </xf>
    <xf numFmtId="0" fontId="0" fillId="19" borderId="31" applyAlignment="1" pivotButton="0" quotePrefix="0" xfId="0">
      <alignment vertical="center"/>
    </xf>
    <xf numFmtId="0" fontId="4" fillId="15" borderId="99" applyAlignment="1" pivotButton="0" quotePrefix="1" xfId="0">
      <alignment horizontal="right" vertical="center"/>
    </xf>
    <xf numFmtId="0" fontId="6" fillId="15" borderId="99" applyAlignment="1" pivotButton="0" quotePrefix="0" xfId="0">
      <alignment horizontal="right" vertical="center"/>
    </xf>
    <xf numFmtId="0" fontId="264" fillId="15" borderId="99" applyAlignment="1" pivotButton="0" quotePrefix="0" xfId="0">
      <alignment vertical="center"/>
    </xf>
    <xf numFmtId="0" fontId="0" fillId="15" borderId="99" applyAlignment="1" pivotButton="0" quotePrefix="0" xfId="0">
      <alignment vertical="center"/>
    </xf>
    <xf numFmtId="0" fontId="8" fillId="15" borderId="99" applyAlignment="1" pivotButton="0" quotePrefix="0" xfId="0">
      <alignment vertical="center"/>
    </xf>
    <xf numFmtId="0" fontId="8" fillId="15" borderId="99" applyAlignment="1" pivotButton="0" quotePrefix="0" xfId="0">
      <alignment horizontal="center" vertical="center"/>
    </xf>
    <xf numFmtId="0" fontId="4" fillId="15" borderId="16" applyAlignment="1" pivotButton="0" quotePrefix="0" xfId="0">
      <alignment horizontal="right" vertical="center"/>
    </xf>
    <xf numFmtId="0" fontId="0" fillId="15" borderId="16" applyAlignment="1" pivotButton="0" quotePrefix="0" xfId="0">
      <alignment vertical="center"/>
    </xf>
    <xf numFmtId="0" fontId="8" fillId="15" borderId="16" applyAlignment="1" pivotButton="0" quotePrefix="0" xfId="0">
      <alignment vertical="center"/>
    </xf>
    <xf numFmtId="0" fontId="8" fillId="15" borderId="16" applyAlignment="1" pivotButton="0" quotePrefix="0" xfId="0">
      <alignment horizontal="center" vertical="center"/>
    </xf>
    <xf numFmtId="0" fontId="9" fillId="15" borderId="16" applyAlignment="1" pivotButton="0" quotePrefix="0" xfId="0">
      <alignment horizontal="right" vertical="center"/>
    </xf>
    <xf numFmtId="0" fontId="8" fillId="15" borderId="13" pivotButton="0" quotePrefix="0" xfId="0"/>
    <xf numFmtId="0" fontId="9" fillId="15" borderId="0" applyAlignment="1" pivotButton="0" quotePrefix="1" xfId="0">
      <alignment horizontal="center"/>
    </xf>
    <xf numFmtId="0" fontId="203" fillId="15" borderId="0" applyAlignment="1" pivotButton="0" quotePrefix="0" xfId="0">
      <alignment horizontal="right"/>
    </xf>
    <xf numFmtId="0" fontId="122" fillId="15" borderId="0" applyAlignment="1" pivotButton="0" quotePrefix="1" xfId="0">
      <alignment horizontal="center"/>
    </xf>
    <xf numFmtId="0" fontId="311" fillId="15" borderId="0" pivotButton="0" quotePrefix="0" xfId="0"/>
    <xf numFmtId="0" fontId="158" fillId="23" borderId="2" applyAlignment="1" pivotButton="0" quotePrefix="0" xfId="0">
      <alignment horizontal="center" vertical="center"/>
    </xf>
    <xf numFmtId="0" fontId="116" fillId="15" borderId="0" applyAlignment="1" pivotButton="0" quotePrefix="1" xfId="0">
      <alignment horizontal="center"/>
    </xf>
    <xf numFmtId="0" fontId="8" fillId="15" borderId="0" applyAlignment="1" pivotButton="0" quotePrefix="1" xfId="0">
      <alignment horizontal="center"/>
    </xf>
    <xf numFmtId="0" fontId="6" fillId="23" borderId="0" pivotButton="0" quotePrefix="1" xfId="0"/>
    <xf numFmtId="0" fontId="206" fillId="23" borderId="0" applyAlignment="1" pivotButton="0" quotePrefix="0" xfId="0">
      <alignment horizontal="center"/>
    </xf>
    <xf numFmtId="0" fontId="8" fillId="15" borderId="0" applyAlignment="1" pivotButton="0" quotePrefix="0" xfId="0">
      <alignment horizontal="center"/>
    </xf>
    <xf numFmtId="0" fontId="8" fillId="15" borderId="0" pivotButton="0" quotePrefix="1" xfId="0"/>
    <xf numFmtId="0" fontId="0" fillId="23" borderId="0" applyAlignment="1" pivotButton="0" quotePrefix="0" xfId="0">
      <alignment horizontal="center"/>
    </xf>
    <xf numFmtId="0" fontId="4" fillId="23" borderId="0" pivotButton="0" quotePrefix="0" xfId="0"/>
    <xf numFmtId="0" fontId="8" fillId="15" borderId="0" applyAlignment="1" pivotButton="0" quotePrefix="1" xfId="0">
      <alignment vertical="top"/>
    </xf>
    <xf numFmtId="0" fontId="9" fillId="15" borderId="13" applyAlignment="1" pivotButton="0" quotePrefix="1" xfId="0">
      <alignment horizontal="center"/>
    </xf>
    <xf numFmtId="0" fontId="8" fillId="15" borderId="8" pivotButton="0" quotePrefix="0" xfId="0"/>
    <xf numFmtId="0" fontId="9" fillId="15" borderId="0" pivotButton="0" quotePrefix="1" xfId="0"/>
    <xf numFmtId="0" fontId="11" fillId="15" borderId="4" applyAlignment="1" pivotButton="0" quotePrefix="0" xfId="0">
      <alignment vertical="top"/>
    </xf>
    <xf numFmtId="0" fontId="8" fillId="15" borderId="4" pivotButton="0" quotePrefix="0" xfId="0"/>
    <xf numFmtId="0" fontId="8" fillId="15" borderId="7" pivotButton="0" quotePrefix="0" xfId="0"/>
    <xf numFmtId="0" fontId="282" fillId="15" borderId="0" applyAlignment="1" pivotButton="0" quotePrefix="0" xfId="0">
      <alignment horizontal="center" vertical="center"/>
    </xf>
    <xf numFmtId="0" fontId="37" fillId="15" borderId="0" pivotButton="0" quotePrefix="0" xfId="0"/>
    <xf numFmtId="0" fontId="9" fillId="15" borderId="12" applyAlignment="1" pivotButton="0" quotePrefix="1" xfId="0">
      <alignment horizontal="center" vertical="center"/>
    </xf>
    <xf numFmtId="0" fontId="8" fillId="15" borderId="1" pivotButton="0" quotePrefix="0" xfId="0"/>
    <xf numFmtId="0" fontId="9" fillId="15" borderId="0" applyAlignment="1" pivotButton="0" quotePrefix="1" xfId="0">
      <alignment horizontal="center" vertical="center"/>
    </xf>
    <xf numFmtId="37" fontId="116" fillId="15" borderId="0" applyAlignment="1" pivotButton="0" quotePrefix="0" xfId="0">
      <alignment vertical="center"/>
    </xf>
    <xf numFmtId="0" fontId="4" fillId="15" borderId="2" applyAlignment="1" pivotButton="0" quotePrefix="0" xfId="0">
      <alignment horizontal="center" vertical="center"/>
    </xf>
    <xf numFmtId="0" fontId="10" fillId="15" borderId="0" applyAlignment="1" pivotButton="0" quotePrefix="0" xfId="0">
      <alignment vertical="center" wrapText="1"/>
    </xf>
    <xf numFmtId="37" fontId="9" fillId="23" borderId="0" applyAlignment="1" pivotButton="0" quotePrefix="0" xfId="0">
      <alignment horizontal="right"/>
    </xf>
    <xf numFmtId="0" fontId="11" fillId="15" borderId="0" applyAlignment="1" pivotButton="0" quotePrefix="0" xfId="0">
      <alignment vertical="top"/>
    </xf>
    <xf numFmtId="0" fontId="11" fillId="15" borderId="16" applyAlignment="1" pivotButton="0" quotePrefix="0" xfId="0">
      <alignment vertical="top"/>
    </xf>
    <xf numFmtId="0" fontId="8" fillId="15" borderId="16" pivotButton="0" quotePrefix="0" xfId="0"/>
    <xf numFmtId="37" fontId="9" fillId="15" borderId="0" applyAlignment="1" pivotButton="0" quotePrefix="0" xfId="0">
      <alignment vertical="center"/>
    </xf>
    <xf numFmtId="37" fontId="9" fillId="15" borderId="0" applyAlignment="1" pivotButton="0" quotePrefix="0" xfId="0">
      <alignment horizontal="right" vertical="center"/>
    </xf>
    <xf numFmtId="0" fontId="9" fillId="15" borderId="2" applyAlignment="1" pivotButton="0" quotePrefix="0" xfId="0">
      <alignment horizontal="center" vertical="center"/>
    </xf>
    <xf numFmtId="0" fontId="14" fillId="15" borderId="0" applyAlignment="1" pivotButton="0" quotePrefix="0" xfId="0">
      <alignment horizontal="center" vertical="top"/>
    </xf>
    <xf numFmtId="0" fontId="37" fillId="15" borderId="0" applyAlignment="1" pivotButton="0" quotePrefix="0" xfId="0">
      <alignment vertical="top"/>
    </xf>
    <xf numFmtId="0" fontId="9" fillId="23" borderId="0" applyAlignment="1" pivotButton="0" quotePrefix="0" xfId="0">
      <alignment horizontal="center"/>
    </xf>
    <xf numFmtId="0" fontId="4" fillId="3" borderId="100" applyAlignment="1" applyProtection="1" pivotButton="0" quotePrefix="0" xfId="0">
      <alignment horizontal="left" indent="1"/>
      <protection locked="1" hidden="1"/>
    </xf>
    <xf numFmtId="180" fontId="6" fillId="3" borderId="0" applyProtection="1" pivotButton="0" quotePrefix="0" xfId="0">
      <protection locked="1" hidden="1"/>
    </xf>
    <xf numFmtId="0" fontId="4" fillId="19" borderId="0" applyAlignment="1" pivotButton="0" quotePrefix="0" xfId="0">
      <alignment horizontal="right"/>
    </xf>
    <xf numFmtId="0" fontId="6" fillId="15" borderId="7" applyAlignment="1" pivotButton="0" quotePrefix="0" xfId="0">
      <alignment horizontal="left" vertical="center" indent="1"/>
    </xf>
    <xf numFmtId="0" fontId="239" fillId="5" borderId="0" applyAlignment="1" pivotButton="0" quotePrefix="0" xfId="0">
      <alignment horizontal="center"/>
    </xf>
    <xf numFmtId="0" fontId="241" fillId="15" borderId="8" applyAlignment="1" pivotButton="0" quotePrefix="0" xfId="0">
      <alignment vertical="center"/>
    </xf>
    <xf numFmtId="0" fontId="5" fillId="15" borderId="8" pivotButton="0" quotePrefix="0" xfId="0"/>
    <xf numFmtId="0" fontId="5" fillId="0" borderId="0" pivotButton="0" quotePrefix="0" xfId="0"/>
    <xf numFmtId="0" fontId="241" fillId="15" borderId="1" applyAlignment="1" pivotButton="0" quotePrefix="0" xfId="0">
      <alignment vertical="center"/>
    </xf>
    <xf numFmtId="39" fontId="23" fillId="15" borderId="1" applyAlignment="1" pivotButton="0" quotePrefix="0" xfId="0">
      <alignment horizontal="left" vertical="top"/>
    </xf>
    <xf numFmtId="0" fontId="188" fillId="15" borderId="1" applyAlignment="1" pivotButton="0" quotePrefix="0" xfId="0">
      <alignment vertical="center"/>
    </xf>
    <xf numFmtId="0" fontId="5" fillId="15" borderId="1" pivotButton="0" quotePrefix="0" xfId="0"/>
    <xf numFmtId="0" fontId="14" fillId="15" borderId="0" applyAlignment="1" pivotButton="0" quotePrefix="0" xfId="0">
      <alignment horizontal="left"/>
    </xf>
    <xf numFmtId="0" fontId="14" fillId="15" borderId="0" applyAlignment="1" pivotButton="0" quotePrefix="1" xfId="0">
      <alignment horizontal="left"/>
    </xf>
    <xf numFmtId="0" fontId="47" fillId="15" borderId="0" applyAlignment="1" pivotButton="0" quotePrefix="1" xfId="0">
      <alignment horizontal="center"/>
    </xf>
    <xf numFmtId="37" fontId="8" fillId="14" borderId="0" applyAlignment="1" pivotButton="0" quotePrefix="0" xfId="0">
      <alignment horizontal="right"/>
    </xf>
    <xf numFmtId="37" fontId="47" fillId="14" borderId="0" applyAlignment="1" pivotButton="0" quotePrefix="0" xfId="0">
      <alignment horizontal="right"/>
    </xf>
    <xf numFmtId="0" fontId="47" fillId="15" borderId="1" applyAlignment="1" pivotButton="0" quotePrefix="1" xfId="0">
      <alignment horizontal="left"/>
    </xf>
    <xf numFmtId="0" fontId="6" fillId="15" borderId="1" applyAlignment="1" pivotButton="0" quotePrefix="1" xfId="0">
      <alignment horizontal="center"/>
    </xf>
    <xf numFmtId="37" fontId="110" fillId="15" borderId="0" applyAlignment="1" pivotButton="0" quotePrefix="0" xfId="0">
      <alignment vertical="center"/>
    </xf>
    <xf numFmtId="0" fontId="81" fillId="5" borderId="0" applyAlignment="1" pivotButton="0" quotePrefix="0" xfId="0">
      <alignment horizontal="center" vertical="center"/>
    </xf>
    <xf numFmtId="0" fontId="47" fillId="15" borderId="4" applyAlignment="1" pivotButton="0" quotePrefix="0" xfId="0">
      <alignment horizontal="left"/>
    </xf>
    <xf numFmtId="0" fontId="47" fillId="15" borderId="4" applyAlignment="1" pivotButton="0" quotePrefix="0" xfId="0">
      <alignment horizontal="center"/>
    </xf>
    <xf numFmtId="0" fontId="6" fillId="2" borderId="4" applyAlignment="1" pivotButton="0" quotePrefix="0" xfId="0">
      <alignment horizontal="right"/>
    </xf>
    <xf numFmtId="0" fontId="188" fillId="15" borderId="8" applyAlignment="1" pivotButton="0" quotePrefix="0" xfId="0">
      <alignment vertical="center"/>
    </xf>
    <xf numFmtId="0" fontId="14" fillId="15" borderId="0" applyAlignment="1" pivotButton="0" quotePrefix="0" xfId="0">
      <alignment vertical="center"/>
    </xf>
    <xf numFmtId="0" fontId="11" fillId="15" borderId="8" applyAlignment="1" pivotButton="0" quotePrefix="0" xfId="0">
      <alignment horizontal="center" vertical="center"/>
    </xf>
    <xf numFmtId="0" fontId="14" fillId="15" borderId="0" applyAlignment="1" pivotButton="0" quotePrefix="0" xfId="0">
      <alignment horizontal="left" vertical="top"/>
    </xf>
    <xf numFmtId="0" fontId="15" fillId="15" borderId="56" applyAlignment="1" pivotButton="0" quotePrefix="0" xfId="0">
      <alignment horizontal="left"/>
    </xf>
    <xf numFmtId="39" fontId="23" fillId="15" borderId="0" applyAlignment="1" pivotButton="0" quotePrefix="0" xfId="0">
      <alignment horizontal="left"/>
    </xf>
    <xf numFmtId="0" fontId="73" fillId="15" borderId="0" applyAlignment="1" pivotButton="0" quotePrefix="0" xfId="0">
      <alignment vertical="center"/>
    </xf>
    <xf numFmtId="39" fontId="23" fillId="15" borderId="8" applyAlignment="1" pivotButton="0" quotePrefix="0" xfId="0">
      <alignment horizontal="left" vertical="top"/>
    </xf>
    <xf numFmtId="0" fontId="330" fillId="5" borderId="0" applyAlignment="1" pivotButton="0" quotePrefix="0" xfId="0">
      <alignment horizontal="center"/>
    </xf>
    <xf numFmtId="0" fontId="23" fillId="15" borderId="0" applyAlignment="1" pivotButton="0" quotePrefix="0" xfId="0">
      <alignment vertical="center"/>
    </xf>
    <xf numFmtId="0" fontId="23" fillId="15" borderId="0" pivotButton="0" quotePrefix="0" xfId="0"/>
    <xf numFmtId="39" fontId="23" fillId="0" borderId="0" applyProtection="1" pivotButton="0" quotePrefix="0" xfId="0">
      <protection locked="0" hidden="0"/>
    </xf>
    <xf numFmtId="0" fontId="23" fillId="0" borderId="0" pivotButton="0" quotePrefix="0" xfId="0"/>
    <xf numFmtId="0" fontId="44" fillId="15" borderId="0" applyAlignment="1" pivotButton="0" quotePrefix="0" xfId="0">
      <alignment vertical="center"/>
    </xf>
    <xf numFmtId="0" fontId="254" fillId="15" borderId="0" applyAlignment="1" pivotButton="0" quotePrefix="0" xfId="0">
      <alignment vertical="center"/>
    </xf>
    <xf numFmtId="0" fontId="74" fillId="15" borderId="0" applyAlignment="1" pivotButton="0" quotePrefix="0" xfId="0">
      <alignment vertical="center"/>
    </xf>
    <xf numFmtId="0" fontId="331" fillId="5" borderId="0" applyAlignment="1" pivotButton="0" quotePrefix="0" xfId="0">
      <alignment horizontal="center"/>
    </xf>
    <xf numFmtId="39" fontId="14" fillId="0" borderId="0" applyProtection="1" pivotButton="0" quotePrefix="0" xfId="0">
      <protection locked="0" hidden="0"/>
    </xf>
    <xf numFmtId="0" fontId="20" fillId="15" borderId="0" applyAlignment="1" pivotButton="0" quotePrefix="0" xfId="0">
      <alignment horizontal="right"/>
    </xf>
    <xf numFmtId="0" fontId="20" fillId="15" borderId="0" pivotButton="0" quotePrefix="0" xfId="0"/>
    <xf numFmtId="37" fontId="11" fillId="15" borderId="9" pivotButton="0" quotePrefix="0" xfId="0"/>
    <xf numFmtId="37" fontId="11" fillId="15" borderId="1" pivotButton="0" quotePrefix="0" xfId="0"/>
    <xf numFmtId="37" fontId="11" fillId="15" borderId="3" pivotButton="0" quotePrefix="0" xfId="0"/>
    <xf numFmtId="37" fontId="11" fillId="15" borderId="30" pivotButton="0" quotePrefix="0" xfId="0"/>
    <xf numFmtId="37" fontId="11" fillId="15" borderId="8" pivotButton="0" quotePrefix="0" xfId="0"/>
    <xf numFmtId="37" fontId="20" fillId="16" borderId="12" applyAlignment="1" applyProtection="1" pivotButton="0" quotePrefix="0" xfId="0">
      <alignment horizontal="center" vertical="center"/>
      <protection locked="0" hidden="0"/>
    </xf>
    <xf numFmtId="37" fontId="20" fillId="27" borderId="12" applyAlignment="1" pivotButton="0" quotePrefix="0" xfId="0">
      <alignment horizontal="center" vertical="center"/>
    </xf>
    <xf numFmtId="0" fontId="20" fillId="15" borderId="54" applyAlignment="1" applyProtection="1" pivotButton="0" quotePrefix="0" xfId="0">
      <alignment horizontal="center" vertical="center"/>
      <protection locked="0" hidden="0"/>
    </xf>
    <xf numFmtId="0" fontId="158" fillId="15" borderId="0" pivotButton="0" quotePrefix="0" xfId="0"/>
    <xf numFmtId="0" fontId="11" fillId="23" borderId="3" applyAlignment="1" pivotButton="0" quotePrefix="0" xfId="0">
      <alignment horizontal="center"/>
    </xf>
    <xf numFmtId="0" fontId="11" fillId="23" borderId="24" applyAlignment="1" pivotButton="0" quotePrefix="0" xfId="0">
      <alignment horizontal="center"/>
    </xf>
    <xf numFmtId="0" fontId="14" fillId="15" borderId="0" pivotButton="0" quotePrefix="1" xfId="0"/>
    <xf numFmtId="0" fontId="11" fillId="23" borderId="0" applyAlignment="1" pivotButton="0" quotePrefix="0" xfId="0">
      <alignment horizontal="center"/>
    </xf>
    <xf numFmtId="0" fontId="15" fillId="2" borderId="7" applyAlignment="1" pivotButton="0" quotePrefix="0" xfId="0">
      <alignment horizontal="left"/>
    </xf>
    <xf numFmtId="0" fontId="6" fillId="2" borderId="7" pivotButton="0" quotePrefix="0" xfId="0"/>
    <xf numFmtId="0" fontId="6" fillId="2" borderId="7" applyAlignment="1" pivotButton="0" quotePrefix="0" xfId="0">
      <alignment horizontal="right"/>
    </xf>
    <xf numFmtId="0" fontId="14" fillId="2" borderId="7" applyAlignment="1" pivotButton="0" quotePrefix="0" xfId="0">
      <alignment horizontal="right"/>
    </xf>
    <xf numFmtId="0" fontId="20" fillId="15" borderId="0" applyAlignment="1" pivotButton="0" quotePrefix="0" xfId="0">
      <alignment horizontal="center" vertical="center"/>
    </xf>
    <xf numFmtId="39" fontId="74" fillId="0" borderId="0" applyProtection="1" pivotButton="0" quotePrefix="0" xfId="0">
      <protection locked="0" hidden="0"/>
    </xf>
    <xf numFmtId="0" fontId="74" fillId="15" borderId="6" pivotButton="0" quotePrefix="0" xfId="0"/>
    <xf numFmtId="0" fontId="20" fillId="15" borderId="10" applyAlignment="1" pivotButton="0" quotePrefix="0" xfId="0">
      <alignment horizontal="center" vertical="center"/>
    </xf>
    <xf numFmtId="0" fontId="20" fillId="15" borderId="6" applyAlignment="1" pivotButton="0" quotePrefix="0" xfId="0">
      <alignment horizontal="center" vertical="center"/>
    </xf>
    <xf numFmtId="0" fontId="6" fillId="15" borderId="4" applyAlignment="1" pivotButton="0" quotePrefix="1" xfId="0">
      <alignment horizontal="left"/>
    </xf>
    <xf numFmtId="0" fontId="20" fillId="15" borderId="0" applyAlignment="1" pivotButton="0" quotePrefix="0" xfId="0">
      <alignment horizontal="right" vertical="center"/>
    </xf>
    <xf numFmtId="0" fontId="47" fillId="15" borderId="8" pivotButton="0" quotePrefix="0" xfId="0"/>
    <xf numFmtId="0" fontId="73" fillId="16" borderId="12" applyAlignment="1" applyProtection="1" pivotButton="0" quotePrefix="0" xfId="0">
      <alignment horizontal="center" vertical="center"/>
      <protection locked="0" hidden="0"/>
    </xf>
    <xf numFmtId="37" fontId="20" fillId="15" borderId="0" pivotButton="0" quotePrefix="1" xfId="0"/>
    <xf numFmtId="37" fontId="20" fillId="15" borderId="24" pivotButton="0" quotePrefix="1" xfId="0"/>
    <xf numFmtId="0" fontId="20" fillId="15" borderId="9" pivotButton="0" quotePrefix="0" xfId="0"/>
    <xf numFmtId="0" fontId="20" fillId="15" borderId="11" pivotButton="0" quotePrefix="0" xfId="0"/>
    <xf numFmtId="0" fontId="20" fillId="16" borderId="12" applyAlignment="1" applyProtection="1" pivotButton="0" quotePrefix="0" xfId="0">
      <alignment horizontal="center" vertical="center"/>
      <protection locked="0" hidden="0"/>
    </xf>
    <xf numFmtId="37" fontId="20" fillId="15" borderId="2" applyProtection="1" pivotButton="0" quotePrefix="0" xfId="0">
      <protection locked="0" hidden="0"/>
    </xf>
    <xf numFmtId="39" fontId="110" fillId="0" borderId="0" applyProtection="1" pivotButton="0" quotePrefix="0" xfId="0">
      <protection locked="0" hidden="0"/>
    </xf>
    <xf numFmtId="39" fontId="332" fillId="0" borderId="0" applyProtection="1" pivotButton="0" quotePrefix="0" xfId="0">
      <protection locked="0" hidden="0"/>
    </xf>
    <xf numFmtId="39" fontId="333" fillId="0" borderId="0" applyProtection="1" pivotButton="0" quotePrefix="0" xfId="0">
      <protection locked="0" hidden="0"/>
    </xf>
    <xf numFmtId="39" fontId="197" fillId="0" borderId="0" applyProtection="1" pivotButton="0" quotePrefix="0" xfId="0">
      <protection locked="0" hidden="0"/>
    </xf>
    <xf numFmtId="39" fontId="110" fillId="0" borderId="0" applyAlignment="1" applyProtection="1" pivotButton="0" quotePrefix="0" xfId="0">
      <alignment vertical="center"/>
      <protection locked="0" hidden="0"/>
    </xf>
    <xf numFmtId="0" fontId="125" fillId="2" borderId="0" pivotButton="0" quotePrefix="0" xfId="0"/>
    <xf numFmtId="0" fontId="0" fillId="37" borderId="0" pivotButton="0" quotePrefix="0" xfId="0"/>
    <xf numFmtId="164" fontId="11" fillId="15" borderId="0" applyAlignment="1" pivotButton="0" quotePrefix="0" xfId="0">
      <alignment horizontal="center"/>
    </xf>
    <xf numFmtId="0" fontId="44" fillId="15" borderId="0" pivotButton="0" quotePrefix="0" xfId="0"/>
    <xf numFmtId="0" fontId="74" fillId="15" borderId="0" applyAlignment="1" pivotButton="0" quotePrefix="1" xfId="0">
      <alignment horizontal="center"/>
    </xf>
    <xf numFmtId="0" fontId="40" fillId="15" borderId="0" pivotButton="0" quotePrefix="0" xfId="0"/>
    <xf numFmtId="0" fontId="0" fillId="15" borderId="0" applyAlignment="1" pivotButton="0" quotePrefix="0" xfId="0">
      <alignment horizontal="right" indent="1"/>
    </xf>
    <xf numFmtId="0" fontId="334" fillId="2" borderId="0" pivotButton="0" quotePrefix="0" xfId="0"/>
    <xf numFmtId="0" fontId="0" fillId="15" borderId="106" pivotButton="0" quotePrefix="0" xfId="0"/>
    <xf numFmtId="0" fontId="44" fillId="15" borderId="106" pivotButton="0" quotePrefix="0" xfId="0"/>
    <xf numFmtId="0" fontId="73" fillId="15" borderId="8" applyAlignment="1" pivotButton="0" quotePrefix="0" xfId="0">
      <alignment vertical="center"/>
    </xf>
    <xf numFmtId="0" fontId="73" fillId="16" borderId="217" applyAlignment="1" applyProtection="1" pivotButton="0" quotePrefix="0" xfId="0">
      <alignment horizontal="center" vertical="center"/>
      <protection locked="0" hidden="0"/>
    </xf>
    <xf numFmtId="0" fontId="74" fillId="15" borderId="0" applyAlignment="1" pivotButton="0" quotePrefix="0" xfId="0">
      <alignment horizontal="left"/>
    </xf>
    <xf numFmtId="0" fontId="74" fillId="15" borderId="0" applyAlignment="1" pivotButton="0" quotePrefix="1" xfId="0">
      <alignment horizontal="left"/>
    </xf>
    <xf numFmtId="0" fontId="14" fillId="15" borderId="0" applyAlignment="1" pivotButton="0" quotePrefix="1" xfId="0">
      <alignment horizontal="left" vertical="center"/>
    </xf>
    <xf numFmtId="39" fontId="6" fillId="24" borderId="0" applyProtection="1" pivotButton="0" quotePrefix="1" xfId="0">
      <protection locked="0" hidden="0"/>
    </xf>
    <xf numFmtId="164" fontId="11" fillId="15" borderId="0" pivotButton="0" quotePrefix="0" xfId="0"/>
    <xf numFmtId="39" fontId="116" fillId="0" borderId="0" applyProtection="1" pivotButton="0" quotePrefix="0" xfId="0">
      <protection locked="0" hidden="0"/>
    </xf>
    <xf numFmtId="0" fontId="116" fillId="0" borderId="0" pivotButton="0" quotePrefix="0" xfId="0"/>
    <xf numFmtId="0" fontId="20" fillId="5" borderId="0" applyAlignment="1" applyProtection="1" pivotButton="0" quotePrefix="0" xfId="0">
      <alignment horizontal="center" vertical="center"/>
      <protection locked="0" hidden="0"/>
    </xf>
    <xf numFmtId="3" fontId="0" fillId="0" borderId="0" applyProtection="1" pivotButton="0" quotePrefix="0" xfId="0">
      <protection locked="0" hidden="0"/>
    </xf>
    <xf numFmtId="0" fontId="11" fillId="16" borderId="12" applyAlignment="1" applyProtection="1" pivotButton="0" quotePrefix="0" xfId="0">
      <alignment horizontal="center"/>
      <protection locked="0" hidden="0"/>
    </xf>
    <xf numFmtId="0" fontId="11" fillId="5" borderId="0" applyAlignment="1" applyProtection="1" pivotButton="0" quotePrefix="0" xfId="0">
      <alignment horizontal="center"/>
      <protection locked="0" hidden="0"/>
    </xf>
    <xf numFmtId="0" fontId="0" fillId="0" borderId="0" applyAlignment="1" pivotButton="0" quotePrefix="0" xfId="0">
      <alignment horizontal="left"/>
    </xf>
    <xf numFmtId="0" fontId="166" fillId="2" borderId="0" applyAlignment="1" applyProtection="1" pivotButton="0" quotePrefix="0" xfId="0">
      <alignment horizontal="center"/>
      <protection locked="1" hidden="1"/>
    </xf>
    <xf numFmtId="0" fontId="143" fillId="5" borderId="0" applyAlignment="1" pivotButton="0" quotePrefix="0" xfId="0">
      <alignment horizontal="center"/>
    </xf>
    <xf numFmtId="40" fontId="0" fillId="2" borderId="0" pivotButton="0" quotePrefix="0" xfId="0"/>
    <xf numFmtId="164" fontId="11" fillId="2" borderId="4" pivotButton="0" quotePrefix="0" xfId="0"/>
    <xf numFmtId="164" fontId="4" fillId="2" borderId="4" pivotButton="0" quotePrefix="0" xfId="0"/>
    <xf numFmtId="40" fontId="14" fillId="2" borderId="4" applyAlignment="1" pivotButton="0" quotePrefix="0" xfId="0">
      <alignment horizontal="right"/>
    </xf>
    <xf numFmtId="40" fontId="68" fillId="2" borderId="4" applyAlignment="1" pivotButton="0" quotePrefix="0" xfId="0">
      <alignment horizontal="left"/>
    </xf>
    <xf numFmtId="40" fontId="68" fillId="2" borderId="4" applyAlignment="1" pivotButton="0" quotePrefix="0" xfId="0">
      <alignment horizontal="right"/>
    </xf>
    <xf numFmtId="40" fontId="5" fillId="2" borderId="0" applyAlignment="1" pivotButton="0" quotePrefix="0" xfId="0">
      <alignment horizontal="right"/>
    </xf>
    <xf numFmtId="40" fontId="5" fillId="5" borderId="0" applyAlignment="1" pivotButton="0" quotePrefix="0" xfId="0">
      <alignment horizontal="right"/>
    </xf>
    <xf numFmtId="0" fontId="14" fillId="5" borderId="0" pivotButton="0" quotePrefix="0" xfId="0"/>
    <xf numFmtId="0" fontId="14" fillId="2" borderId="23" pivotButton="0" quotePrefix="0" xfId="0"/>
    <xf numFmtId="164" fontId="11" fillId="2" borderId="0" pivotButton="0" quotePrefix="0" xfId="0"/>
    <xf numFmtId="0" fontId="14" fillId="2" borderId="0" applyAlignment="1" pivotButton="0" quotePrefix="0" xfId="0">
      <alignment wrapText="1"/>
    </xf>
    <xf numFmtId="40" fontId="14" fillId="2" borderId="0" applyAlignment="1" pivotButton="0" quotePrefix="0" xfId="0">
      <alignment horizontal="right"/>
    </xf>
    <xf numFmtId="40" fontId="14" fillId="2" borderId="0" applyAlignment="1" pivotButton="0" quotePrefix="0" xfId="0">
      <alignment horizontal="left"/>
    </xf>
    <xf numFmtId="40" fontId="0" fillId="2" borderId="19" pivotButton="0" quotePrefix="0" xfId="0"/>
    <xf numFmtId="40" fontId="0" fillId="5" borderId="0" pivotButton="0" quotePrefix="0" xfId="0"/>
    <xf numFmtId="0" fontId="0" fillId="2" borderId="30" pivotButton="0" quotePrefix="0" xfId="0"/>
    <xf numFmtId="0" fontId="89" fillId="2" borderId="0" pivotButton="0" quotePrefix="0" xfId="0"/>
    <xf numFmtId="0" fontId="0" fillId="2" borderId="14" pivotButton="0" quotePrefix="0" xfId="0"/>
    <xf numFmtId="0" fontId="0" fillId="2" borderId="5" pivotButton="0" quotePrefix="0" xfId="0"/>
    <xf numFmtId="164" fontId="59" fillId="2" borderId="0" applyAlignment="1" pivotButton="0" quotePrefix="0" xfId="0">
      <alignment horizontal="center"/>
    </xf>
    <xf numFmtId="164" fontId="4" fillId="2" borderId="0" pivotButton="0" quotePrefix="0" xfId="0"/>
    <xf numFmtId="0" fontId="6" fillId="2" borderId="0" applyAlignment="1" pivotButton="0" quotePrefix="0" xfId="0">
      <alignment horizontal="left"/>
    </xf>
    <xf numFmtId="164" fontId="4" fillId="2" borderId="0" applyAlignment="1" pivotButton="0" quotePrefix="0" xfId="0">
      <alignment horizontal="left"/>
    </xf>
    <xf numFmtId="40" fontId="6" fillId="2" borderId="0" applyAlignment="1" pivotButton="0" quotePrefix="0" xfId="0">
      <alignment horizontal="left"/>
    </xf>
    <xf numFmtId="40" fontId="0" fillId="2" borderId="20" pivotButton="0" quotePrefix="0" xfId="0"/>
    <xf numFmtId="0" fontId="110" fillId="2" borderId="3" pivotButton="0" quotePrefix="0" xfId="0"/>
    <xf numFmtId="0" fontId="65" fillId="2" borderId="0" pivotButton="0" quotePrefix="0" xfId="0"/>
    <xf numFmtId="0" fontId="57" fillId="2" borderId="24" applyAlignment="1" pivotButton="0" quotePrefix="0" xfId="0">
      <alignment vertical="center"/>
    </xf>
    <xf numFmtId="0" fontId="146" fillId="0" borderId="0" applyAlignment="1" pivotButton="0" quotePrefix="0" xfId="0">
      <alignment vertical="center"/>
    </xf>
    <xf numFmtId="0" fontId="0" fillId="2" borderId="0" applyAlignment="1" pivotButton="0" quotePrefix="0" xfId="0">
      <alignment horizontal="left"/>
    </xf>
    <xf numFmtId="40" fontId="57" fillId="2" borderId="0" applyAlignment="1" pivotButton="0" quotePrefix="0" xfId="0">
      <alignment horizontal="right"/>
    </xf>
    <xf numFmtId="40" fontId="55" fillId="2" borderId="0" applyAlignment="1" pivotButton="0" quotePrefix="0" xfId="0">
      <alignment horizontal="right"/>
    </xf>
    <xf numFmtId="40" fontId="71" fillId="2" borderId="0" applyAlignment="1" pivotButton="0" quotePrefix="0" xfId="0">
      <alignment horizontal="right" vertical="center"/>
    </xf>
    <xf numFmtId="40" fontId="55" fillId="2" borderId="20" applyAlignment="1" pivotButton="0" quotePrefix="0" xfId="0">
      <alignment horizontal="right"/>
    </xf>
    <xf numFmtId="40" fontId="55" fillId="5" borderId="0" applyAlignment="1" pivotButton="0" quotePrefix="0" xfId="0">
      <alignment horizontal="right"/>
    </xf>
    <xf numFmtId="0" fontId="0" fillId="2" borderId="3" pivotButton="0" quotePrefix="0" xfId="0"/>
    <xf numFmtId="0" fontId="57" fillId="2" borderId="0" applyAlignment="1" pivotButton="0" quotePrefix="0" xfId="0">
      <alignment vertical="center"/>
    </xf>
    <xf numFmtId="0" fontId="0" fillId="2" borderId="24" pivotButton="0" quotePrefix="0" xfId="0"/>
    <xf numFmtId="0" fontId="0" fillId="2" borderId="1" pivotButton="0" quotePrefix="0" xfId="0"/>
    <xf numFmtId="0" fontId="0" fillId="2" borderId="11" pivotButton="0" quotePrefix="0" xfId="0"/>
    <xf numFmtId="0" fontId="0" fillId="2" borderId="26" pivotButton="0" quotePrefix="0" xfId="0"/>
    <xf numFmtId="0" fontId="24" fillId="2" borderId="1" pivotButton="0" quotePrefix="0" xfId="0"/>
    <xf numFmtId="0" fontId="23" fillId="2" borderId="1" pivotButton="0" quotePrefix="0" xfId="0"/>
    <xf numFmtId="0" fontId="166" fillId="2" borderId="1" applyAlignment="1" pivotButton="0" quotePrefix="0" xfId="0">
      <alignment horizontal="center"/>
    </xf>
    <xf numFmtId="0" fontId="14" fillId="2" borderId="1" pivotButton="0" quotePrefix="0" xfId="0"/>
    <xf numFmtId="40" fontId="0" fillId="2" borderId="1" pivotButton="0" quotePrefix="0" xfId="0"/>
    <xf numFmtId="40" fontId="0" fillId="2" borderId="29" pivotButton="0" quotePrefix="0" xfId="0"/>
    <xf numFmtId="0" fontId="22" fillId="2" borderId="0" pivotButton="0" quotePrefix="0" xfId="0"/>
    <xf numFmtId="0" fontId="24" fillId="2" borderId="0" pivotButton="0" quotePrefix="0" xfId="0"/>
    <xf numFmtId="0" fontId="23" fillId="2" borderId="0" pivotButton="0" quotePrefix="0" xfId="0"/>
    <xf numFmtId="0" fontId="40" fillId="2" borderId="0" pivotButton="0" quotePrefix="0" xfId="0"/>
    <xf numFmtId="0" fontId="14" fillId="2" borderId="0" pivotButton="0" quotePrefix="0" xfId="0"/>
    <xf numFmtId="164" fontId="4" fillId="2" borderId="0" pivotButton="0" quotePrefix="1" xfId="0"/>
    <xf numFmtId="0" fontId="4" fillId="2" borderId="0" applyAlignment="1" pivotButton="0" quotePrefix="0" xfId="0">
      <alignment vertical="top"/>
    </xf>
    <xf numFmtId="164" fontId="4" fillId="2" borderId="0" applyAlignment="1" pivotButton="0" quotePrefix="0" xfId="0">
      <alignment vertical="top"/>
    </xf>
    <xf numFmtId="0" fontId="6" fillId="2" borderId="0" applyAlignment="1" pivotButton="0" quotePrefix="0" xfId="0">
      <alignment vertical="top"/>
    </xf>
    <xf numFmtId="164" fontId="4" fillId="2" borderId="0" applyAlignment="1" pivotButton="0" quotePrefix="0" xfId="0">
      <alignment horizontal="right"/>
    </xf>
    <xf numFmtId="40" fontId="4" fillId="2" borderId="0" applyAlignment="1" pivotButton="0" quotePrefix="0" xfId="0">
      <alignment horizontal="right"/>
    </xf>
    <xf numFmtId="37" fontId="6" fillId="27" borderId="1" applyAlignment="1" pivotButton="0" quotePrefix="0" xfId="0">
      <alignment horizontal="right"/>
    </xf>
    <xf numFmtId="40" fontId="6" fillId="2" borderId="0" applyAlignment="1" pivotButton="0" quotePrefix="0" xfId="0">
      <alignment horizontal="right"/>
    </xf>
    <xf numFmtId="40" fontId="112" fillId="2" borderId="0" pivotButton="0" quotePrefix="0" xfId="0"/>
    <xf numFmtId="38" fontId="6" fillId="2" borderId="20" applyAlignment="1" pivotButton="0" quotePrefix="0" xfId="0">
      <alignment horizontal="right"/>
    </xf>
    <xf numFmtId="38" fontId="6" fillId="5" borderId="0" applyAlignment="1" pivotButton="0" quotePrefix="0" xfId="0">
      <alignment horizontal="right"/>
    </xf>
    <xf numFmtId="38" fontId="6" fillId="2" borderId="0" applyAlignment="1" pivotButton="0" quotePrefix="0" xfId="0">
      <alignment horizontal="right"/>
    </xf>
    <xf numFmtId="40" fontId="6" fillId="2" borderId="20" pivotButton="0" quotePrefix="0" xfId="0"/>
    <xf numFmtId="40" fontId="6" fillId="5" borderId="0" pivotButton="0" quotePrefix="0" xfId="0"/>
    <xf numFmtId="40" fontId="6" fillId="2" borderId="0" pivotButton="0" quotePrefix="0" xfId="0"/>
    <xf numFmtId="0" fontId="6" fillId="2" borderId="0" pivotButton="0" quotePrefix="1" xfId="0"/>
    <xf numFmtId="40" fontId="4" fillId="2" borderId="2" applyAlignment="1" pivotButton="0" quotePrefix="0" xfId="0">
      <alignment horizontal="center"/>
    </xf>
    <xf numFmtId="0" fontId="4" fillId="2" borderId="2" applyAlignment="1" pivotButton="0" quotePrefix="0" xfId="0">
      <alignment horizontal="center"/>
    </xf>
    <xf numFmtId="40" fontId="4" fillId="2" borderId="0" applyAlignment="1" pivotButton="0" quotePrefix="0" xfId="0">
      <alignment vertical="center"/>
    </xf>
    <xf numFmtId="40" fontId="4" fillId="2" borderId="0" applyAlignment="1" pivotButton="0" quotePrefix="0" xfId="0">
      <alignment horizontal="right" vertical="center"/>
    </xf>
    <xf numFmtId="38" fontId="6" fillId="27" borderId="1" applyAlignment="1" pivotButton="0" quotePrefix="0" xfId="0">
      <alignment horizontal="right"/>
    </xf>
    <xf numFmtId="0" fontId="17" fillId="2" borderId="0" applyAlignment="1" pivotButton="0" quotePrefix="0" xfId="0">
      <alignment horizontal="center"/>
    </xf>
    <xf numFmtId="3" fontId="110" fillId="2" borderId="0" pivotButton="0" quotePrefix="0" xfId="0"/>
    <xf numFmtId="0" fontId="110" fillId="2" borderId="0" applyAlignment="1" pivotButton="0" quotePrefix="0" xfId="0">
      <alignment horizontal="right"/>
    </xf>
    <xf numFmtId="3" fontId="22" fillId="2" borderId="0" applyAlignment="1" pivotButton="0" quotePrefix="0" xfId="0">
      <alignment horizontal="right"/>
    </xf>
    <xf numFmtId="40" fontId="0" fillId="2" borderId="0" applyAlignment="1" pivotButton="0" quotePrefix="0" xfId="0">
      <alignment horizontal="left"/>
    </xf>
    <xf numFmtId="179" fontId="0" fillId="2" borderId="0" applyAlignment="1" pivotButton="0" quotePrefix="0" xfId="0">
      <alignment horizontal="left"/>
    </xf>
    <xf numFmtId="40" fontId="4" fillId="2" borderId="0" pivotButton="0" quotePrefix="0" xfId="0"/>
    <xf numFmtId="0" fontId="0" fillId="5" borderId="0" applyAlignment="1" pivotButton="0" quotePrefix="0" xfId="0">
      <alignment horizontal="left"/>
    </xf>
    <xf numFmtId="0" fontId="0" fillId="2" borderId="5" applyAlignment="1" pivotButton="0" quotePrefix="0" xfId="0">
      <alignment horizontal="left"/>
    </xf>
    <xf numFmtId="40" fontId="4" fillId="2" borderId="0" applyAlignment="1" pivotButton="0" quotePrefix="0" xfId="0">
      <alignment horizontal="left"/>
    </xf>
    <xf numFmtId="40" fontId="0" fillId="2" borderId="20" applyAlignment="1" pivotButton="0" quotePrefix="0" xfId="0">
      <alignment horizontal="left"/>
    </xf>
    <xf numFmtId="40" fontId="0" fillId="5" borderId="0" applyAlignment="1" pivotButton="0" quotePrefix="0" xfId="0">
      <alignment horizontal="left"/>
    </xf>
    <xf numFmtId="40" fontId="25" fillId="2" borderId="0" applyAlignment="1" pivotButton="0" quotePrefix="0" xfId="0">
      <alignment horizontal="center"/>
    </xf>
    <xf numFmtId="40" fontId="0" fillId="2" borderId="0" applyAlignment="1" pivotButton="0" quotePrefix="0" xfId="0">
      <alignment horizontal="center"/>
    </xf>
    <xf numFmtId="38" fontId="0" fillId="2" borderId="0" applyAlignment="1" pivotButton="0" quotePrefix="0" xfId="0">
      <alignment horizontal="center"/>
    </xf>
    <xf numFmtId="38" fontId="0" fillId="2" borderId="20" applyAlignment="1" pivotButton="0" quotePrefix="0" xfId="0">
      <alignment horizontal="right"/>
    </xf>
    <xf numFmtId="38" fontId="0" fillId="5" borderId="0" applyAlignment="1" pivotButton="0" quotePrefix="0" xfId="0">
      <alignment horizontal="right"/>
    </xf>
    <xf numFmtId="38" fontId="0" fillId="2" borderId="20" applyAlignment="1" pivotButton="0" quotePrefix="0" xfId="0">
      <alignment horizontal="center"/>
    </xf>
    <xf numFmtId="38" fontId="0" fillId="5" borderId="0" applyAlignment="1" pivotButton="0" quotePrefix="0" xfId="0">
      <alignment horizontal="center"/>
    </xf>
    <xf numFmtId="0" fontId="27" fillId="2" borderId="0" pivotButton="0" quotePrefix="0" xfId="0"/>
    <xf numFmtId="40" fontId="5" fillId="2" borderId="0" applyAlignment="1" pivotButton="0" quotePrefix="0" xfId="0">
      <alignment horizontal="left"/>
    </xf>
    <xf numFmtId="0" fontId="11" fillId="2" borderId="0" applyAlignment="1" pivotButton="0" quotePrefix="0" xfId="0">
      <alignment horizontal="right"/>
    </xf>
    <xf numFmtId="0" fontId="0" fillId="2" borderId="21" pivotButton="0" quotePrefix="0" xfId="0"/>
    <xf numFmtId="0" fontId="0" fillId="2" borderId="22" pivotButton="0" quotePrefix="0" xfId="0"/>
    <xf numFmtId="170" fontId="6" fillId="24" borderId="0" applyAlignment="1" applyProtection="1" pivotButton="0" quotePrefix="0" xfId="0">
      <alignment vertical="top"/>
      <protection locked="0" hidden="0"/>
    </xf>
    <xf numFmtId="170" fontId="4" fillId="24" borderId="0" applyProtection="1" pivotButton="0" quotePrefix="0" xfId="0">
      <protection locked="0" hidden="0"/>
    </xf>
    <xf numFmtId="170" fontId="0" fillId="0" borderId="0" applyProtection="1" pivotButton="0" quotePrefix="0" xfId="0">
      <protection locked="0" hidden="0"/>
    </xf>
    <xf numFmtId="39" fontId="0" fillId="24" borderId="0" pivotButton="0" quotePrefix="0" xfId="0"/>
    <xf numFmtId="39" fontId="0" fillId="24" borderId="0" applyAlignment="1" pivotButton="0" quotePrefix="0" xfId="0">
      <alignment horizontal="left"/>
    </xf>
    <xf numFmtId="39" fontId="0" fillId="0" borderId="0" pivotButton="0" quotePrefix="0" xfId="0"/>
    <xf numFmtId="0" fontId="10" fillId="2" borderId="0" applyAlignment="1" pivotButton="0" quotePrefix="0" xfId="0">
      <alignment horizontal="left"/>
    </xf>
    <xf numFmtId="0" fontId="8" fillId="2" borderId="0" applyAlignment="1" pivotButton="0" quotePrefix="0" xfId="0">
      <alignment horizontal="left"/>
    </xf>
    <xf numFmtId="37" fontId="0" fillId="27" borderId="1" pivotButton="0" quotePrefix="0" xfId="0"/>
    <xf numFmtId="0" fontId="0" fillId="0" borderId="20" applyAlignment="1" pivotButton="0" quotePrefix="0" xfId="0">
      <alignment horizontal="center"/>
    </xf>
    <xf numFmtId="0" fontId="4" fillId="2" borderId="8" applyAlignment="1" pivotButton="0" quotePrefix="0" xfId="0">
      <alignment horizontal="left"/>
    </xf>
    <xf numFmtId="0" fontId="4" fillId="2" borderId="0" applyAlignment="1" pivotButton="0" quotePrefix="0" xfId="0">
      <alignment horizontal="left"/>
    </xf>
    <xf numFmtId="0" fontId="0" fillId="0" borderId="4" pivotButton="0" quotePrefix="0" xfId="0"/>
    <xf numFmtId="0" fontId="6" fillId="15" borderId="26" applyAlignment="1" pivotButton="0" quotePrefix="0" xfId="0">
      <alignment horizontal="center"/>
    </xf>
    <xf numFmtId="0" fontId="166" fillId="15" borderId="0" applyAlignment="1" pivotButton="0" quotePrefix="0" xfId="0">
      <alignment horizontal="center" vertical="center"/>
    </xf>
    <xf numFmtId="0" fontId="0" fillId="0" borderId="7" pivotButton="0" quotePrefix="0" xfId="0"/>
    <xf numFmtId="49" fontId="9" fillId="5" borderId="0" applyAlignment="1" pivotButton="0" quotePrefix="0" xfId="0">
      <alignment horizontal="right"/>
    </xf>
    <xf numFmtId="0" fontId="111" fillId="5" borderId="0" pivotButton="0" quotePrefix="0" xfId="0"/>
    <xf numFmtId="49" fontId="9" fillId="15" borderId="7" applyAlignment="1" pivotButton="0" quotePrefix="0" xfId="0">
      <alignment horizontal="right"/>
    </xf>
    <xf numFmtId="0" fontId="113" fillId="5" borderId="0" pivotButton="0" quotePrefix="0" xfId="0"/>
    <xf numFmtId="49" fontId="9" fillId="15" borderId="4" applyAlignment="1" pivotButton="0" quotePrefix="0" xfId="0">
      <alignment horizontal="right"/>
    </xf>
    <xf numFmtId="0" fontId="325" fillId="15" borderId="0" pivotButton="0" quotePrefix="0" xfId="0"/>
    <xf numFmtId="49" fontId="9" fillId="15" borderId="0" applyAlignment="1" pivotButton="0" quotePrefix="0" xfId="0">
      <alignment horizontal="right"/>
    </xf>
    <xf numFmtId="0" fontId="325" fillId="15" borderId="4" pivotButton="0" quotePrefix="0" xfId="0"/>
    <xf numFmtId="0" fontId="36" fillId="15" borderId="0" applyAlignment="1" pivotButton="0" quotePrefix="0" xfId="0">
      <alignment vertical="center"/>
    </xf>
    <xf numFmtId="0" fontId="125" fillId="15" borderId="0" pivotButton="0" quotePrefix="0" xfId="0"/>
    <xf numFmtId="0" fontId="37" fillId="15" borderId="4" pivotButton="0" quotePrefix="0" xfId="0"/>
    <xf numFmtId="0" fontId="166" fillId="2" borderId="0" applyAlignment="1" pivotButton="0" quotePrefix="0" xfId="0">
      <alignment vertical="top"/>
    </xf>
    <xf numFmtId="49" fontId="9" fillId="2" borderId="0" applyAlignment="1" pivotButton="0" quotePrefix="0" xfId="0">
      <alignment horizontal="right"/>
    </xf>
    <xf numFmtId="0" fontId="11" fillId="2" borderId="4" pivotButton="0" quotePrefix="0" xfId="0"/>
    <xf numFmtId="49" fontId="9" fillId="2" borderId="4" applyAlignment="1" pivotButton="0" quotePrefix="0" xfId="0">
      <alignment horizontal="right"/>
    </xf>
    <xf numFmtId="49" fontId="24" fillId="2" borderId="4" applyAlignment="1" pivotButton="0" quotePrefix="0" xfId="0">
      <alignment horizontal="right"/>
    </xf>
    <xf numFmtId="40" fontId="68" fillId="2" borderId="0" applyAlignment="1" pivotButton="0" quotePrefix="0" xfId="0">
      <alignment horizontal="right"/>
    </xf>
    <xf numFmtId="40" fontId="68" fillId="2" borderId="0" applyAlignment="1" pivotButton="0" quotePrefix="0" xfId="0">
      <alignment horizontal="center"/>
    </xf>
    <xf numFmtId="40" fontId="20" fillId="2" borderId="4" applyAlignment="1" pivotButton="0" quotePrefix="0" xfId="0">
      <alignment horizontal="right"/>
    </xf>
    <xf numFmtId="0" fontId="0" fillId="5" borderId="0" applyAlignment="1" pivotButton="0" quotePrefix="0" xfId="0">
      <alignment horizontal="left" vertical="center"/>
    </xf>
    <xf numFmtId="49" fontId="9" fillId="2" borderId="23" applyAlignment="1" pivotButton="0" quotePrefix="0" xfId="0">
      <alignment horizontal="right"/>
    </xf>
    <xf numFmtId="0" fontId="40" fillId="2" borderId="7" pivotButton="0" quotePrefix="0" xfId="0"/>
    <xf numFmtId="0" fontId="82" fillId="2" borderId="0" applyAlignment="1" pivotButton="0" quotePrefix="0" xfId="0">
      <alignment horizontal="center"/>
    </xf>
    <xf numFmtId="49" fontId="9" fillId="2" borderId="7" applyAlignment="1" pivotButton="0" quotePrefix="0" xfId="0">
      <alignment horizontal="right"/>
    </xf>
    <xf numFmtId="49" fontId="24" fillId="2" borderId="7" applyAlignment="1" pivotButton="0" quotePrefix="0" xfId="0">
      <alignment horizontal="right"/>
    </xf>
    <xf numFmtId="40" fontId="20" fillId="2" borderId="7" applyAlignment="1" pivotButton="0" quotePrefix="0" xfId="0">
      <alignment horizontal="right"/>
    </xf>
    <xf numFmtId="40" fontId="20" fillId="2" borderId="19" applyAlignment="1" pivotButton="0" quotePrefix="0" xfId="0">
      <alignment horizontal="right"/>
    </xf>
    <xf numFmtId="49" fontId="9" fillId="2" borderId="5" applyAlignment="1" pivotButton="0" quotePrefix="0" xfId="0">
      <alignment horizontal="right"/>
    </xf>
    <xf numFmtId="0" fontId="6" fillId="2" borderId="0" applyAlignment="1" pivotButton="0" quotePrefix="0" xfId="0">
      <alignment horizontal="left" vertical="top"/>
    </xf>
    <xf numFmtId="49" fontId="24" fillId="2" borderId="0" applyAlignment="1" pivotButton="0" quotePrefix="0" xfId="0">
      <alignment horizontal="right"/>
    </xf>
    <xf numFmtId="40" fontId="20" fillId="2" borderId="0" applyAlignment="1" pivotButton="0" quotePrefix="0" xfId="0">
      <alignment horizontal="right"/>
    </xf>
    <xf numFmtId="40" fontId="20" fillId="2" borderId="20" applyAlignment="1" pivotButton="0" quotePrefix="0" xfId="0">
      <alignment horizontal="right"/>
    </xf>
    <xf numFmtId="0" fontId="11" fillId="2" borderId="0" pivotButton="0" quotePrefix="0" xfId="0"/>
    <xf numFmtId="40" fontId="62" fillId="2" borderId="0" applyAlignment="1" pivotButton="0" quotePrefix="0" xfId="0">
      <alignment horizontal="right"/>
    </xf>
    <xf numFmtId="49" fontId="9" fillId="2" borderId="21" applyAlignment="1" pivotButton="0" quotePrefix="0" xfId="0">
      <alignment horizontal="right"/>
    </xf>
    <xf numFmtId="0" fontId="82" fillId="2" borderId="4" applyAlignment="1" pivotButton="0" quotePrefix="0" xfId="0">
      <alignment horizontal="center"/>
    </xf>
    <xf numFmtId="0" fontId="6" fillId="2" borderId="4" pivotButton="0" quotePrefix="0" xfId="0"/>
    <xf numFmtId="40" fontId="57" fillId="2" borderId="4" applyAlignment="1" pivotButton="0" quotePrefix="0" xfId="0">
      <alignment horizontal="left"/>
    </xf>
    <xf numFmtId="40" fontId="57" fillId="2" borderId="4" applyAlignment="1" pivotButton="0" quotePrefix="0" xfId="0">
      <alignment horizontal="center"/>
    </xf>
    <xf numFmtId="40" fontId="57" fillId="2" borderId="4" applyAlignment="1" pivotButton="0" quotePrefix="0" xfId="0">
      <alignment horizontal="right"/>
    </xf>
    <xf numFmtId="40" fontId="20" fillId="2" borderId="22" applyAlignment="1" pivotButton="0" quotePrefix="0" xfId="0">
      <alignment horizontal="right"/>
    </xf>
    <xf numFmtId="49" fontId="9" fillId="2" borderId="5" applyAlignment="1" pivotButton="0" quotePrefix="0" xfId="0">
      <alignment horizontal="left" vertical="center"/>
    </xf>
    <xf numFmtId="0" fontId="0" fillId="2" borderId="0" applyAlignment="1" pivotButton="0" quotePrefix="0" xfId="0">
      <alignment horizontal="left" vertical="center"/>
    </xf>
    <xf numFmtId="0" fontId="0" fillId="2" borderId="20" applyAlignment="1" pivotButton="0" quotePrefix="0" xfId="0">
      <alignment horizontal="left" vertical="center"/>
    </xf>
    <xf numFmtId="0" fontId="4" fillId="5" borderId="0" applyAlignment="1" pivotButton="0" quotePrefix="0" xfId="0">
      <alignment horizontal="left"/>
    </xf>
    <xf numFmtId="37" fontId="8" fillId="27" borderId="1" pivotButton="0" quotePrefix="0" xfId="0"/>
    <xf numFmtId="0" fontId="8" fillId="2" borderId="20" pivotButton="0" quotePrefix="0" xfId="0"/>
    <xf numFmtId="37" fontId="116" fillId="2" borderId="8" pivotButton="0" quotePrefix="0" xfId="0"/>
    <xf numFmtId="0" fontId="9" fillId="27" borderId="2" applyAlignment="1" pivotButton="0" quotePrefix="0" xfId="0">
      <alignment horizontal="center" vertical="center"/>
    </xf>
    <xf numFmtId="0" fontId="6" fillId="0" borderId="0" applyAlignment="1" pivotButton="0" quotePrefix="0" xfId="0">
      <alignment horizontal="right"/>
    </xf>
    <xf numFmtId="0" fontId="9" fillId="2" borderId="0" applyAlignment="1" pivotButton="0" quotePrefix="0" xfId="0">
      <alignment horizontal="center"/>
    </xf>
    <xf numFmtId="37" fontId="8" fillId="27" borderId="0" pivotButton="0" quotePrefix="0" xfId="0"/>
    <xf numFmtId="37" fontId="8" fillId="2" borderId="8" pivotButton="0" quotePrefix="0" xfId="0"/>
    <xf numFmtId="37" fontId="8" fillId="2" borderId="0" pivotButton="0" quotePrefix="0" xfId="0"/>
    <xf numFmtId="0" fontId="8" fillId="2" borderId="0" applyAlignment="1" pivotButton="0" quotePrefix="0" xfId="0">
      <alignment horizontal="center"/>
    </xf>
    <xf numFmtId="0" fontId="29" fillId="2" borderId="0" pivotButton="0" quotePrefix="0" xfId="0"/>
    <xf numFmtId="49" fontId="39" fillId="2" borderId="0" applyAlignment="1" pivotButton="0" quotePrefix="0" xfId="0">
      <alignment horizontal="center"/>
    </xf>
    <xf numFmtId="3" fontId="116" fillId="2" borderId="0" pivotButton="0" quotePrefix="0" xfId="0"/>
    <xf numFmtId="3" fontId="8" fillId="2" borderId="20" pivotButton="0" quotePrefix="0" xfId="0"/>
    <xf numFmtId="49" fontId="9" fillId="2" borderId="0" applyAlignment="1" pivotButton="0" quotePrefix="1" xfId="0">
      <alignment horizontal="right"/>
    </xf>
    <xf numFmtId="4" fontId="8" fillId="2" borderId="20" pivotButton="0" quotePrefix="0" xfId="0"/>
    <xf numFmtId="0" fontId="8" fillId="2" borderId="5" pivotButton="0" quotePrefix="0" xfId="0"/>
    <xf numFmtId="3" fontId="43" fillId="2" borderId="0" pivotButton="0" quotePrefix="0" xfId="0"/>
    <xf numFmtId="0" fontId="52" fillId="2" borderId="0" pivotButton="0" quotePrefix="0" xfId="0"/>
    <xf numFmtId="0" fontId="9" fillId="2" borderId="20" applyAlignment="1" pivotButton="0" quotePrefix="0" xfId="0">
      <alignment horizontal="center"/>
    </xf>
    <xf numFmtId="3" fontId="6" fillId="15" borderId="165" applyAlignment="1" pivotButton="0" quotePrefix="0" xfId="0">
      <alignment horizontal="right"/>
    </xf>
    <xf numFmtId="3" fontId="6" fillId="15" borderId="164" applyAlignment="1" pivotButton="0" quotePrefix="0" xfId="0">
      <alignment horizontal="right"/>
    </xf>
    <xf numFmtId="3" fontId="6" fillId="15" borderId="2" applyAlignment="1" pivotButton="0" quotePrefix="0" xfId="0">
      <alignment horizontal="right"/>
    </xf>
    <xf numFmtId="3" fontId="6" fillId="15" borderId="166" applyAlignment="1" pivotButton="0" quotePrefix="0" xfId="0">
      <alignment horizontal="right"/>
    </xf>
    <xf numFmtId="3" fontId="6" fillId="15" borderId="100" applyAlignment="1" pivotButton="0" quotePrefix="0" xfId="0">
      <alignment horizontal="right"/>
    </xf>
    <xf numFmtId="0" fontId="6" fillId="15" borderId="75" applyAlignment="1" pivotButton="0" quotePrefix="0" xfId="0">
      <alignment horizontal="right"/>
    </xf>
    <xf numFmtId="39" fontId="116" fillId="2" borderId="0" pivotButton="0" quotePrefix="0" xfId="0"/>
    <xf numFmtId="3" fontId="6" fillId="15" borderId="72" applyAlignment="1" pivotButton="0" quotePrefix="0" xfId="0">
      <alignment horizontal="right"/>
    </xf>
    <xf numFmtId="0" fontId="6" fillId="15" borderId="13" applyAlignment="1" pivotButton="0" quotePrefix="0" xfId="0">
      <alignment horizontal="right"/>
    </xf>
    <xf numFmtId="3" fontId="6" fillId="15" borderId="167" applyAlignment="1" pivotButton="0" quotePrefix="0" xfId="0">
      <alignment horizontal="right"/>
    </xf>
    <xf numFmtId="49" fontId="37" fillId="2" borderId="0" applyAlignment="1" pivotButton="0" quotePrefix="1" xfId="0">
      <alignment horizontal="left"/>
    </xf>
    <xf numFmtId="0" fontId="10" fillId="2" borderId="4" pivotButton="0" quotePrefix="0" xfId="0"/>
    <xf numFmtId="0" fontId="8" fillId="2" borderId="4" pivotButton="0" quotePrefix="0" xfId="0"/>
    <xf numFmtId="3" fontId="43" fillId="2" borderId="4" pivotButton="0" quotePrefix="0" xfId="0"/>
    <xf numFmtId="4" fontId="43" fillId="2" borderId="22" pivotButton="0" quotePrefix="0" xfId="0"/>
    <xf numFmtId="0" fontId="11" fillId="2" borderId="1" applyAlignment="1" pivotButton="0" quotePrefix="0" xfId="0">
      <alignment horizontal="left"/>
    </xf>
    <xf numFmtId="0" fontId="11" fillId="15" borderId="1" applyAlignment="1" pivotButton="0" quotePrefix="0" xfId="0">
      <alignment horizontal="left" vertical="center"/>
    </xf>
    <xf numFmtId="0" fontId="11" fillId="2" borderId="1" applyAlignment="1" pivotButton="0" quotePrefix="0" xfId="0">
      <alignment horizontal="left" vertical="center"/>
    </xf>
    <xf numFmtId="0" fontId="0" fillId="15" borderId="1" applyAlignment="1" pivotButton="0" quotePrefix="0" xfId="0">
      <alignment horizontal="left" vertical="center"/>
    </xf>
    <xf numFmtId="0" fontId="121" fillId="15" borderId="1" applyAlignment="1" pivotButton="0" quotePrefix="0" xfId="0">
      <alignment horizontal="right" vertical="top"/>
    </xf>
    <xf numFmtId="0" fontId="23" fillId="2" borderId="1" applyAlignment="1" pivotButton="0" quotePrefix="0" xfId="0">
      <alignment horizontal="left"/>
    </xf>
    <xf numFmtId="0" fontId="25" fillId="15" borderId="1" pivotButton="0" quotePrefix="0" xfId="0"/>
    <xf numFmtId="0" fontId="6" fillId="2" borderId="1" pivotButton="0" quotePrefix="0" xfId="0"/>
    <xf numFmtId="0" fontId="4" fillId="15" borderId="5" pivotButton="0" quotePrefix="0" xfId="0"/>
    <xf numFmtId="0" fontId="113" fillId="37" borderId="0" applyAlignment="1" pivotButton="0" quotePrefix="0" xfId="0">
      <alignment horizontal="center" vertical="center"/>
    </xf>
    <xf numFmtId="0" fontId="4" fillId="15" borderId="26" pivotButton="0" quotePrefix="0" xfId="0"/>
    <xf numFmtId="0" fontId="121" fillId="2" borderId="1" pivotButton="0" quotePrefix="0" xfId="0"/>
    <xf numFmtId="0" fontId="5" fillId="2" borderId="1" applyAlignment="1" pivotButton="0" quotePrefix="0" xfId="0">
      <alignment horizontal="left" indent="1"/>
    </xf>
    <xf numFmtId="0" fontId="25" fillId="2" borderId="1" applyAlignment="1" pivotButton="0" quotePrefix="0" xfId="0">
      <alignment horizontal="center" vertical="center"/>
    </xf>
    <xf numFmtId="0" fontId="25" fillId="2" borderId="1" pivotButton="0" quotePrefix="0" xfId="0"/>
    <xf numFmtId="0" fontId="106" fillId="15" borderId="29" applyAlignment="1" pivotButton="0" quotePrefix="0" xfId="0">
      <alignment horizontal="right" vertical="top"/>
    </xf>
    <xf numFmtId="0" fontId="51" fillId="2" borderId="0" pivotButton="0" quotePrefix="0" xfId="0"/>
    <xf numFmtId="37" fontId="6" fillId="2" borderId="0" pivotButton="0" quotePrefix="0" xfId="0"/>
    <xf numFmtId="37" fontId="22" fillId="2" borderId="0" pivotButton="0" quotePrefix="0" xfId="0"/>
    <xf numFmtId="37" fontId="22" fillId="2" borderId="0" applyAlignment="1" pivotButton="0" quotePrefix="0" xfId="0">
      <alignment horizontal="right"/>
    </xf>
    <xf numFmtId="3" fontId="22" fillId="2" borderId="0" pivotButton="0" quotePrefix="0" xfId="0"/>
    <xf numFmtId="0" fontId="4" fillId="2" borderId="0" applyAlignment="1" pivotButton="0" quotePrefix="1" xfId="0">
      <alignment horizontal="right"/>
    </xf>
    <xf numFmtId="3" fontId="4" fillId="2" borderId="0" applyAlignment="1" pivotButton="0" quotePrefix="1" xfId="0">
      <alignment horizontal="right"/>
    </xf>
    <xf numFmtId="0" fontId="6" fillId="0" borderId="23" applyAlignment="1" pivotButton="0" quotePrefix="1" xfId="0">
      <alignment horizontal="center"/>
    </xf>
    <xf numFmtId="37" fontId="0" fillId="0" borderId="43" pivotButton="0" quotePrefix="0" xfId="0"/>
    <xf numFmtId="0" fontId="6" fillId="0" borderId="7" pivotButton="0" quotePrefix="0" xfId="0"/>
    <xf numFmtId="0" fontId="4" fillId="0" borderId="7" pivotButton="0" quotePrefix="0" xfId="0"/>
    <xf numFmtId="0" fontId="0" fillId="0" borderId="19" pivotButton="0" quotePrefix="0" xfId="0"/>
    <xf numFmtId="37" fontId="0" fillId="0" borderId="12" pivotButton="0" quotePrefix="0" xfId="0"/>
    <xf numFmtId="0" fontId="4" fillId="0" borderId="20" applyAlignment="1" pivotButton="0" quotePrefix="0" xfId="0">
      <alignment horizontal="right"/>
    </xf>
    <xf numFmtId="0" fontId="6" fillId="2" borderId="0" applyAlignment="1" pivotButton="0" quotePrefix="0" xfId="0">
      <alignment vertical="center"/>
    </xf>
    <xf numFmtId="0" fontId="6" fillId="0" borderId="5" applyAlignment="1" pivotButton="0" quotePrefix="1" xfId="0">
      <alignment horizontal="center"/>
    </xf>
    <xf numFmtId="37" fontId="6" fillId="0" borderId="0" applyAlignment="1" pivotButton="0" quotePrefix="0" xfId="0">
      <alignment horizontal="center"/>
    </xf>
    <xf numFmtId="0" fontId="6" fillId="0" borderId="20" pivotButton="0" quotePrefix="0" xfId="0"/>
    <xf numFmtId="0" fontId="4" fillId="5" borderId="20" pivotButton="0" quotePrefix="0" xfId="0"/>
    <xf numFmtId="0" fontId="37" fillId="2" borderId="5" applyAlignment="1" pivotButton="0" quotePrefix="1" xfId="0">
      <alignment horizontal="left" indent="1"/>
    </xf>
    <xf numFmtId="0" fontId="4" fillId="0" borderId="5" applyAlignment="1" pivotButton="0" quotePrefix="1" xfId="0">
      <alignment horizontal="right"/>
    </xf>
    <xf numFmtId="0" fontId="4" fillId="0" borderId="21" applyAlignment="1" pivotButton="0" quotePrefix="1" xfId="0">
      <alignment horizontal="right"/>
    </xf>
    <xf numFmtId="37" fontId="0" fillId="0" borderId="4" pivotButton="0" quotePrefix="0" xfId="0"/>
    <xf numFmtId="0" fontId="4" fillId="0" borderId="4" pivotButton="0" quotePrefix="0" xfId="0"/>
    <xf numFmtId="0" fontId="0" fillId="0" borderId="22" pivotButton="0" quotePrefix="0" xfId="0"/>
    <xf numFmtId="37" fontId="8" fillId="26" borderId="1" applyAlignment="1" pivotButton="0" quotePrefix="0" xfId="0">
      <alignment horizontal="right"/>
    </xf>
    <xf numFmtId="0" fontId="4" fillId="15" borderId="21" pivotButton="0" quotePrefix="0" xfId="0"/>
    <xf numFmtId="0" fontId="4" fillId="2" borderId="4" applyAlignment="1" pivotButton="0" quotePrefix="1" xfId="0">
      <alignment horizontal="right"/>
    </xf>
    <xf numFmtId="0" fontId="132" fillId="2" borderId="4" applyAlignment="1" pivotButton="0" quotePrefix="1" xfId="0">
      <alignment horizontal="left"/>
    </xf>
    <xf numFmtId="37" fontId="22" fillId="2" borderId="4" pivotButton="0" quotePrefix="0" xfId="0"/>
    <xf numFmtId="0" fontId="22" fillId="2" borderId="4" pivotButton="0" quotePrefix="0" xfId="0"/>
    <xf numFmtId="0" fontId="10" fillId="0" borderId="162" applyAlignment="1" pivotButton="0" quotePrefix="0" xfId="0">
      <alignment horizontal="center"/>
    </xf>
    <xf numFmtId="37" fontId="8" fillId="26" borderId="87" applyAlignment="1" pivotButton="0" quotePrefix="0" xfId="0">
      <alignment horizontal="right"/>
    </xf>
    <xf numFmtId="0" fontId="166" fillId="15" borderId="1" applyAlignment="1" pivotButton="0" quotePrefix="0" xfId="0">
      <alignment horizontal="center" vertical="center"/>
    </xf>
    <xf numFmtId="0" fontId="22" fillId="2" borderId="0" applyAlignment="1" pivotButton="0" quotePrefix="0" xfId="0">
      <alignment horizontal="center" vertical="center"/>
    </xf>
    <xf numFmtId="0" fontId="51" fillId="2" borderId="0" applyAlignment="1" pivotButton="0" quotePrefix="0" xfId="0">
      <alignment horizontal="center" vertical="center"/>
    </xf>
    <xf numFmtId="0" fontId="80" fillId="2" borderId="0" applyAlignment="1" pivotButton="0" quotePrefix="0" xfId="0">
      <alignment horizontal="left" vertical="center"/>
    </xf>
    <xf numFmtId="0" fontId="143" fillId="2" borderId="0" applyAlignment="1" pivotButton="0" quotePrefix="0" xfId="0">
      <alignment horizontal="center" vertical="center"/>
    </xf>
    <xf numFmtId="0" fontId="110" fillId="2" borderId="0" applyAlignment="1" pivotButton="0" quotePrefix="0" xfId="0">
      <alignment horizontal="center" vertical="center"/>
    </xf>
    <xf numFmtId="0" fontId="11" fillId="2" borderId="0" applyAlignment="1" pivotButton="0" quotePrefix="0" xfId="0">
      <alignment horizontal="left"/>
    </xf>
    <xf numFmtId="0" fontId="0" fillId="2" borderId="0" applyAlignment="1" pivotButton="0" quotePrefix="0" xfId="0">
      <alignment horizontal="right"/>
    </xf>
    <xf numFmtId="0" fontId="51" fillId="2" borderId="0" applyAlignment="1" pivotButton="0" quotePrefix="0" xfId="0">
      <alignment horizontal="right"/>
    </xf>
    <xf numFmtId="0" fontId="0" fillId="2" borderId="0" applyAlignment="1" pivotButton="0" quotePrefix="0" xfId="0">
      <alignment horizontal="center"/>
    </xf>
    <xf numFmtId="0" fontId="123" fillId="31" borderId="0" applyAlignment="1" pivotButton="0" quotePrefix="0" xfId="0">
      <alignment horizontal="center"/>
    </xf>
    <xf numFmtId="0" fontId="11" fillId="2" borderId="0" applyAlignment="1" pivotButton="0" quotePrefix="0" xfId="0">
      <alignment horizontal="left" indent="1"/>
    </xf>
    <xf numFmtId="0" fontId="0" fillId="2" borderId="0" applyAlignment="1" pivotButton="0" quotePrefix="1" xfId="0">
      <alignment horizontal="right"/>
    </xf>
    <xf numFmtId="0" fontId="206" fillId="2" borderId="0" pivotButton="0" quotePrefix="0" xfId="0"/>
    <xf numFmtId="0" fontId="160" fillId="2" borderId="0" applyAlignment="1" pivotButton="0" quotePrefix="0" xfId="0">
      <alignment horizontal="center"/>
    </xf>
    <xf numFmtId="0" fontId="110" fillId="2" borderId="0" applyAlignment="1" pivotButton="0" quotePrefix="0" xfId="0">
      <alignment horizontal="center"/>
    </xf>
    <xf numFmtId="0" fontId="80" fillId="2" borderId="0" applyAlignment="1" pivotButton="0" quotePrefix="0" xfId="0">
      <alignment horizontal="center"/>
    </xf>
    <xf numFmtId="0" fontId="4" fillId="27" borderId="12" applyAlignment="1" pivotButton="0" quotePrefix="0" xfId="0">
      <alignment horizontal="center"/>
    </xf>
    <xf numFmtId="0" fontId="22" fillId="2" borderId="1" pivotButton="0" quotePrefix="0" xfId="0"/>
    <xf numFmtId="0" fontId="146" fillId="2" borderId="0" pivotButton="0" quotePrefix="0" xfId="0"/>
    <xf numFmtId="0" fontId="22" fillId="2" borderId="8" pivotButton="0" quotePrefix="0" xfId="0"/>
    <xf numFmtId="0" fontId="121" fillId="2" borderId="0" pivotButton="0" quotePrefix="0" xfId="0"/>
    <xf numFmtId="0" fontId="4" fillId="25" borderId="12" applyAlignment="1" pivotButton="0" quotePrefix="0" xfId="0">
      <alignment horizontal="center"/>
    </xf>
    <xf numFmtId="0" fontId="0" fillId="2" borderId="64" pivotButton="0" quotePrefix="0" xfId="0"/>
    <xf numFmtId="0" fontId="4" fillId="2" borderId="64" applyAlignment="1" pivotButton="0" quotePrefix="0" xfId="0">
      <alignment horizontal="center"/>
    </xf>
    <xf numFmtId="0" fontId="22" fillId="2" borderId="64" pivotButton="0" quotePrefix="0" xfId="0"/>
    <xf numFmtId="0" fontId="86" fillId="2" borderId="0" pivotButton="0" quotePrefix="0" xfId="0"/>
    <xf numFmtId="3" fontId="4" fillId="2" borderId="1" pivotButton="0" quotePrefix="0" xfId="0"/>
    <xf numFmtId="0" fontId="80" fillId="2" borderId="0" applyAlignment="1" pivotButton="0" quotePrefix="0" xfId="0">
      <alignment horizontal="right"/>
    </xf>
    <xf numFmtId="0" fontId="80" fillId="0" borderId="0" applyAlignment="1" pivotButton="0" quotePrefix="0" xfId="0">
      <alignment horizontal="right"/>
    </xf>
    <xf numFmtId="0" fontId="10" fillId="2" borderId="3" pivotButton="0" quotePrefix="0" xfId="0"/>
    <xf numFmtId="40" fontId="110" fillId="2" borderId="0" applyAlignment="1" pivotButton="0" quotePrefix="0" xfId="0">
      <alignment horizontal="left"/>
    </xf>
    <xf numFmtId="40" fontId="157" fillId="2" borderId="0" applyAlignment="1" pivotButton="0" quotePrefix="0" xfId="0">
      <alignment horizontal="right"/>
    </xf>
    <xf numFmtId="0" fontId="5" fillId="2" borderId="0" pivotButton="0" quotePrefix="0" xfId="0"/>
    <xf numFmtId="0" fontId="125" fillId="31" borderId="0" applyAlignment="1" pivotButton="0" quotePrefix="0" xfId="0">
      <alignment horizontal="center"/>
    </xf>
    <xf numFmtId="0" fontId="132" fillId="2" borderId="0" applyAlignment="1" pivotButton="0" quotePrefix="0" xfId="0">
      <alignment horizontal="left" vertical="top" wrapText="1"/>
    </xf>
    <xf numFmtId="0" fontId="80" fillId="2" borderId="0" pivotButton="0" quotePrefix="0" xfId="0"/>
    <xf numFmtId="0" fontId="4" fillId="25" borderId="12" applyAlignment="1" applyProtection="1" pivotButton="0" quotePrefix="0" xfId="0">
      <alignment horizontal="center"/>
      <protection locked="0" hidden="0"/>
    </xf>
    <xf numFmtId="0" fontId="80" fillId="15" borderId="0" applyAlignment="1" pivotButton="0" quotePrefix="0" xfId="0">
      <alignment horizontal="right"/>
    </xf>
    <xf numFmtId="0" fontId="80" fillId="2" borderId="0" applyAlignment="1" pivotButton="0" quotePrefix="0" xfId="0">
      <alignment horizontal="center" vertical="center"/>
    </xf>
    <xf numFmtId="0" fontId="197" fillId="2" borderId="0" pivotButton="0" quotePrefix="0" xfId="0"/>
    <xf numFmtId="0" fontId="143" fillId="2" borderId="0" pivotButton="0" quotePrefix="0" xfId="0"/>
    <xf numFmtId="0" fontId="22" fillId="2" borderId="0" applyAlignment="1" pivotButton="0" quotePrefix="0" xfId="0">
      <alignment horizontal="left"/>
    </xf>
    <xf numFmtId="0" fontId="116" fillId="2" borderId="0" pivotButton="0" quotePrefix="0" xfId="0"/>
    <xf numFmtId="0" fontId="37" fillId="2" borderId="0" applyAlignment="1" pivotButton="0" quotePrefix="0" xfId="0">
      <alignment horizontal="left" vertical="center" wrapText="1"/>
    </xf>
    <xf numFmtId="0" fontId="37" fillId="2" borderId="0" applyAlignment="1" pivotButton="0" quotePrefix="0" xfId="0">
      <alignment horizontal="left"/>
    </xf>
    <xf numFmtId="0" fontId="159" fillId="2" borderId="0" applyAlignment="1" pivotButton="0" quotePrefix="0" xfId="0">
      <alignment horizontal="center"/>
    </xf>
    <xf numFmtId="0" fontId="146" fillId="2" borderId="0" applyAlignment="1" pivotButton="0" quotePrefix="0" xfId="0">
      <alignment horizontal="center"/>
    </xf>
    <xf numFmtId="0" fontId="23" fillId="2" borderId="0" applyAlignment="1" pivotButton="0" quotePrefix="0" xfId="0">
      <alignment horizontal="right"/>
    </xf>
    <xf numFmtId="0" fontId="6" fillId="15" borderId="46" applyAlignment="1" pivotButton="0" quotePrefix="0" xfId="0">
      <alignment horizontal="right"/>
    </xf>
    <xf numFmtId="0" fontId="6" fillId="15" borderId="58" applyAlignment="1" pivotButton="0" quotePrefix="0" xfId="0">
      <alignment horizontal="right"/>
    </xf>
    <xf numFmtId="0" fontId="6" fillId="15" borderId="54" applyAlignment="1" pivotButton="0" quotePrefix="0" xfId="0">
      <alignment horizontal="right"/>
    </xf>
    <xf numFmtId="0" fontId="11" fillId="2" borderId="0" applyAlignment="1" pivotButton="0" quotePrefix="1" xfId="0">
      <alignment horizontal="left"/>
    </xf>
    <xf numFmtId="3" fontId="0" fillId="2" borderId="0" pivotButton="0" quotePrefix="0" xfId="0"/>
    <xf numFmtId="0" fontId="67" fillId="2" borderId="0" pivotButton="0" quotePrefix="0" xfId="2"/>
    <xf numFmtId="0" fontId="67" fillId="2" borderId="8" pivotButton="0" quotePrefix="0" xfId="2"/>
    <xf numFmtId="0" fontId="37" fillId="2" borderId="0" pivotButton="0" quotePrefix="0" xfId="0"/>
    <xf numFmtId="0" fontId="0" fillId="2" borderId="106" pivotButton="0" quotePrefix="0" xfId="0"/>
    <xf numFmtId="0" fontId="4" fillId="2" borderId="106" applyAlignment="1" pivotButton="0" quotePrefix="0" xfId="0">
      <alignment horizontal="center"/>
    </xf>
    <xf numFmtId="0" fontId="22" fillId="2" borderId="106" pivotButton="0" quotePrefix="0" xfId="0"/>
    <xf numFmtId="0" fontId="24" fillId="2" borderId="0" applyAlignment="1" pivotButton="0" quotePrefix="0" xfId="0">
      <alignment horizontal="right"/>
    </xf>
    <xf numFmtId="0" fontId="93" fillId="2" borderId="0" pivotButton="0" quotePrefix="0" xfId="0"/>
    <xf numFmtId="0" fontId="15" fillId="2" borderId="0" applyAlignment="1" pivotButton="0" quotePrefix="1" xfId="0">
      <alignment horizontal="left"/>
    </xf>
    <xf numFmtId="0" fontId="143" fillId="2" borderId="0" applyAlignment="1" pivotButton="0" quotePrefix="0" xfId="0">
      <alignment horizontal="right"/>
    </xf>
    <xf numFmtId="0" fontId="57" fillId="2" borderId="0" pivotButton="0" quotePrefix="0" xfId="0"/>
    <xf numFmtId="0" fontId="57" fillId="2" borderId="0" applyAlignment="1" pivotButton="0" quotePrefix="0" xfId="0">
      <alignment horizontal="center"/>
    </xf>
    <xf numFmtId="0" fontId="51" fillId="2" borderId="0" applyAlignment="1" pivotButton="0" quotePrefix="0" xfId="0">
      <alignment horizontal="center"/>
    </xf>
    <xf numFmtId="0" fontId="180" fillId="2" borderId="0" pivotButton="0" quotePrefix="0" xfId="0"/>
    <xf numFmtId="3" fontId="6" fillId="15" borderId="23" applyAlignment="1" pivotButton="0" quotePrefix="0" xfId="0">
      <alignment horizontal="right"/>
    </xf>
    <xf numFmtId="3" fontId="6" fillId="15" borderId="5" applyAlignment="1" pivotButton="0" quotePrefix="0" xfId="0">
      <alignment horizontal="right"/>
    </xf>
    <xf numFmtId="0" fontId="6" fillId="15" borderId="29" applyAlignment="1" pivotButton="0" quotePrefix="0" xfId="0">
      <alignment horizontal="center"/>
    </xf>
    <xf numFmtId="0" fontId="6" fillId="15" borderId="20" applyAlignment="1" pivotButton="0" quotePrefix="0" xfId="0">
      <alignment horizontal="center"/>
    </xf>
    <xf numFmtId="0" fontId="6" fillId="15" borderId="5" applyAlignment="1" pivotButton="0" quotePrefix="0" xfId="0">
      <alignment horizontal="right"/>
    </xf>
    <xf numFmtId="3" fontId="6" fillId="15" borderId="59" applyAlignment="1" pivotButton="0" quotePrefix="0" xfId="0">
      <alignment horizontal="right"/>
    </xf>
    <xf numFmtId="0" fontId="6" fillId="15" borderId="111" applyAlignment="1" pivotButton="0" quotePrefix="0" xfId="0">
      <alignment horizontal="right"/>
    </xf>
    <xf numFmtId="0" fontId="6" fillId="15" borderId="112" applyAlignment="1" pivotButton="0" quotePrefix="0" xfId="0">
      <alignment horizontal="right"/>
    </xf>
    <xf numFmtId="0" fontId="6" fillId="15" borderId="31" applyAlignment="1" pivotButton="0" quotePrefix="0" xfId="0">
      <alignment horizontal="right"/>
    </xf>
    <xf numFmtId="37" fontId="110" fillId="2" borderId="0" pivotButton="0" quotePrefix="0" xfId="0"/>
    <xf numFmtId="0" fontId="93" fillId="2" borderId="0" applyAlignment="1" pivotButton="0" quotePrefix="0" xfId="0">
      <alignment horizontal="right"/>
    </xf>
    <xf numFmtId="0" fontId="4" fillId="2" borderId="0" applyAlignment="1" pivotButton="0" quotePrefix="0" xfId="0">
      <alignment horizontal="right"/>
    </xf>
    <xf numFmtId="37" fontId="6" fillId="2" borderId="2" pivotButton="0" quotePrefix="0" xfId="0"/>
    <xf numFmtId="0" fontId="158" fillId="15" borderId="0" applyAlignment="1" pivotButton="0" quotePrefix="0" xfId="0">
      <alignment horizontal="center" vertical="top"/>
    </xf>
    <xf numFmtId="0" fontId="4" fillId="15" borderId="0" applyAlignment="1" pivotButton="0" quotePrefix="0" xfId="0">
      <alignment horizontal="left" vertical="top"/>
    </xf>
    <xf numFmtId="170" fontId="6" fillId="0" borderId="5" applyAlignment="1" pivotButton="0" quotePrefix="0" xfId="0">
      <alignment horizontal="right" vertical="center"/>
    </xf>
    <xf numFmtId="37" fontId="9" fillId="20" borderId="9" applyAlignment="1" applyProtection="1" pivotButton="0" quotePrefix="0" xfId="0">
      <alignment horizontal="center"/>
      <protection locked="0" hidden="0"/>
    </xf>
    <xf numFmtId="0" fontId="6" fillId="15" borderId="0" applyAlignment="1" pivotButton="0" quotePrefix="0" xfId="0">
      <alignment horizontal="left" vertical="top" wrapText="1"/>
    </xf>
    <xf numFmtId="37" fontId="8" fillId="28" borderId="1" applyAlignment="1" pivotButton="0" quotePrefix="0" xfId="0">
      <alignment horizontal="right"/>
    </xf>
    <xf numFmtId="0" fontId="14" fillId="15" borderId="0" applyAlignment="1" pivotButton="0" quotePrefix="0" xfId="0">
      <alignment horizontal="center"/>
    </xf>
    <xf numFmtId="0" fontId="14" fillId="15" borderId="8" applyAlignment="1" pivotButton="0" quotePrefix="0" xfId="0">
      <alignment horizontal="center"/>
    </xf>
    <xf numFmtId="0" fontId="14" fillId="15" borderId="1" applyAlignment="1" pivotButton="0" quotePrefix="0" xfId="0">
      <alignment horizontal="center"/>
    </xf>
    <xf numFmtId="0" fontId="66" fillId="5" borderId="0" applyAlignment="1" pivotButton="0" quotePrefix="0" xfId="0">
      <alignment vertical="top"/>
    </xf>
    <xf numFmtId="0" fontId="57" fillId="5" borderId="0" applyAlignment="1" pivotButton="0" quotePrefix="0" xfId="0">
      <alignment vertical="top"/>
    </xf>
    <xf numFmtId="0" fontId="8" fillId="5" borderId="0" applyAlignment="1" pivotButton="0" quotePrefix="0" xfId="0">
      <alignment vertical="top"/>
    </xf>
    <xf numFmtId="0" fontId="6" fillId="15" borderId="23" applyAlignment="1" pivotButton="0" quotePrefix="0" xfId="0">
      <alignment vertical="top"/>
    </xf>
    <xf numFmtId="0" fontId="6" fillId="15" borderId="7" applyAlignment="1" pivotButton="0" quotePrefix="0" xfId="0">
      <alignment vertical="top" wrapText="1"/>
    </xf>
    <xf numFmtId="0" fontId="6" fillId="15" borderId="19" applyAlignment="1" pivotButton="0" quotePrefix="0" xfId="0">
      <alignment vertical="top" wrapText="1"/>
    </xf>
    <xf numFmtId="0" fontId="66" fillId="5" borderId="0" pivotButton="0" quotePrefix="0" xfId="0"/>
    <xf numFmtId="0" fontId="8" fillId="5" borderId="0" pivotButton="0" quotePrefix="0" xfId="0"/>
    <xf numFmtId="0" fontId="0" fillId="5" borderId="0" applyAlignment="1" pivotButton="0" quotePrefix="0" xfId="0">
      <alignment horizontal="right"/>
    </xf>
    <xf numFmtId="0" fontId="6" fillId="15" borderId="5" applyAlignment="1" pivotButton="0" quotePrefix="0" xfId="0">
      <alignment horizontal="left" vertical="center" indent="1"/>
    </xf>
    <xf numFmtId="0" fontId="6" fillId="15" borderId="20" applyAlignment="1" pivotButton="0" quotePrefix="0" xfId="0">
      <alignment vertical="top"/>
    </xf>
    <xf numFmtId="0" fontId="6" fillId="15" borderId="5" applyAlignment="1" pivotButton="0" quotePrefix="0" xfId="0">
      <alignment vertical="top"/>
    </xf>
    <xf numFmtId="0" fontId="172" fillId="15" borderId="0" applyAlignment="1" pivotButton="0" quotePrefix="0" xfId="0">
      <alignment horizontal="center"/>
    </xf>
    <xf numFmtId="170" fontId="143" fillId="15" borderId="0" applyAlignment="1" pivotButton="0" quotePrefix="0" xfId="0">
      <alignment horizontal="center"/>
    </xf>
    <xf numFmtId="0" fontId="121" fillId="15" borderId="0" applyAlignment="1" pivotButton="0" quotePrefix="0" xfId="0">
      <alignment horizontal="center"/>
    </xf>
    <xf numFmtId="0" fontId="143" fillId="15" borderId="0" pivotButton="0" quotePrefix="0" xfId="0"/>
    <xf numFmtId="0" fontId="172" fillId="2" borderId="0" applyAlignment="1" pivotButton="0" quotePrefix="0" xfId="0">
      <alignment horizontal="right" indent="2"/>
    </xf>
    <xf numFmtId="0" fontId="20" fillId="14" borderId="5" pivotButton="0" quotePrefix="0" xfId="0"/>
    <xf numFmtId="0" fontId="20" fillId="14" borderId="0" pivotButton="0" quotePrefix="0" xfId="0"/>
    <xf numFmtId="0" fontId="20" fillId="14" borderId="0" applyAlignment="1" pivotButton="0" quotePrefix="0" xfId="0">
      <alignment horizontal="center"/>
    </xf>
    <xf numFmtId="1" fontId="12" fillId="7" borderId="0" applyAlignment="1" pivotButton="0" quotePrefix="0" xfId="0">
      <alignment horizontal="center"/>
    </xf>
    <xf numFmtId="1" fontId="12" fillId="3" borderId="0" applyAlignment="1" pivotButton="0" quotePrefix="0" xfId="0">
      <alignment horizontal="center"/>
    </xf>
    <xf numFmtId="0" fontId="6" fillId="15" borderId="5" applyAlignment="1" pivotButton="0" quotePrefix="0" xfId="0">
      <alignment horizontal="left" vertical="top" indent="1"/>
    </xf>
    <xf numFmtId="1" fontId="20" fillId="7" borderId="0" applyAlignment="1" pivotButton="0" quotePrefix="0" xfId="0">
      <alignment horizontal="left"/>
    </xf>
    <xf numFmtId="1" fontId="20" fillId="3" borderId="0" applyAlignment="1" pivotButton="0" quotePrefix="0" xfId="0">
      <alignment horizontal="left"/>
    </xf>
    <xf numFmtId="0" fontId="10" fillId="3" borderId="0" applyAlignment="1" pivotButton="0" quotePrefix="0" xfId="0">
      <alignment horizontal="left"/>
    </xf>
    <xf numFmtId="0" fontId="4" fillId="15" borderId="5" applyAlignment="1" pivotButton="0" quotePrefix="0" xfId="0">
      <alignment horizontal="right" vertical="center"/>
    </xf>
    <xf numFmtId="0" fontId="10" fillId="3" borderId="0" pivotButton="0" quotePrefix="0" xfId="0"/>
    <xf numFmtId="0" fontId="9" fillId="3" borderId="0" pivotButton="0" quotePrefix="0" xfId="0"/>
    <xf numFmtId="0" fontId="0" fillId="3" borderId="0" pivotButton="0" quotePrefix="0" xfId="0"/>
    <xf numFmtId="4" fontId="0" fillId="3" borderId="0" pivotButton="0" quotePrefix="0" xfId="0"/>
    <xf numFmtId="4" fontId="0" fillId="3" borderId="0" applyAlignment="1" pivotButton="0" quotePrefix="0" xfId="0">
      <alignment horizontal="center"/>
    </xf>
    <xf numFmtId="4" fontId="8" fillId="15" borderId="0" pivotButton="0" quotePrefix="0" xfId="0"/>
    <xf numFmtId="0" fontId="49" fillId="9" borderId="8" applyAlignment="1" pivotButton="0" quotePrefix="0" xfId="0">
      <alignment horizontal="center" vertical="center"/>
    </xf>
    <xf numFmtId="0" fontId="8" fillId="15" borderId="30" pivotButton="0" quotePrefix="0" xfId="0"/>
    <xf numFmtId="0" fontId="14" fillId="15" borderId="8" pivotButton="0" quotePrefix="0" xfId="0"/>
    <xf numFmtId="1" fontId="4" fillId="7" borderId="0" applyAlignment="1" pivotButton="0" quotePrefix="0" xfId="0">
      <alignment horizontal="center"/>
    </xf>
    <xf numFmtId="1" fontId="4" fillId="3" borderId="0" applyAlignment="1" pivotButton="0" quotePrefix="0" xfId="0">
      <alignment horizontal="center"/>
    </xf>
    <xf numFmtId="0" fontId="8" fillId="15" borderId="3" pivotButton="0" quotePrefix="0" xfId="0"/>
    <xf numFmtId="0" fontId="0" fillId="15" borderId="1" applyAlignment="1" pivotButton="0" quotePrefix="0" xfId="0">
      <alignment horizontal="left" vertical="top"/>
    </xf>
    <xf numFmtId="0" fontId="0" fillId="15" borderId="11" applyAlignment="1" pivotButton="0" quotePrefix="0" xfId="0">
      <alignment horizontal="left" vertical="top"/>
    </xf>
    <xf numFmtId="0" fontId="8" fillId="15" borderId="9" pivotButton="0" quotePrefix="0" xfId="0"/>
    <xf numFmtId="0" fontId="4" fillId="3" borderId="0" applyAlignment="1" pivotButton="0" quotePrefix="0" xfId="0">
      <alignment horizontal="right"/>
    </xf>
    <xf numFmtId="0" fontId="6" fillId="3" borderId="0" applyAlignment="1" pivotButton="0" quotePrefix="0" xfId="0">
      <alignment horizontal="left"/>
    </xf>
    <xf numFmtId="0" fontId="8" fillId="3" borderId="0" applyAlignment="1" pivotButton="0" quotePrefix="0" xfId="0">
      <alignment horizontal="left"/>
    </xf>
    <xf numFmtId="4" fontId="10" fillId="3" borderId="0" applyAlignment="1" pivotButton="0" quotePrefix="0" xfId="0">
      <alignment horizontal="left"/>
    </xf>
    <xf numFmtId="4" fontId="10" fillId="3" borderId="0" applyAlignment="1" pivotButton="0" quotePrefix="0" xfId="0">
      <alignment horizontal="center"/>
    </xf>
    <xf numFmtId="0" fontId="4" fillId="3" borderId="10" applyAlignment="1" pivotButton="0" quotePrefix="0" xfId="0">
      <alignment horizontal="center"/>
    </xf>
    <xf numFmtId="37" fontId="8" fillId="28" borderId="9" applyAlignment="1" pivotButton="0" quotePrefix="0" xfId="0">
      <alignment horizontal="right"/>
    </xf>
    <xf numFmtId="39" fontId="6" fillId="7" borderId="0" applyAlignment="1" pivotButton="0" quotePrefix="0" xfId="0">
      <alignment horizontal="right"/>
    </xf>
    <xf numFmtId="39" fontId="6" fillId="3" borderId="0" applyAlignment="1" pivotButton="0" quotePrefix="0" xfId="0">
      <alignment horizontal="right"/>
    </xf>
    <xf numFmtId="0" fontId="6" fillId="15" borderId="22" applyAlignment="1" pivotButton="0" quotePrefix="0" xfId="0">
      <alignment vertical="top"/>
    </xf>
    <xf numFmtId="0" fontId="29" fillId="15" borderId="7" pivotButton="0" quotePrefix="0" xfId="0"/>
    <xf numFmtId="0" fontId="29" fillId="15" borderId="19" pivotButton="0" quotePrefix="0" xfId="0"/>
    <xf numFmtId="4" fontId="10" fillId="3" borderId="6" applyAlignment="1" pivotButton="0" quotePrefix="0" xfId="0">
      <alignment horizontal="center"/>
    </xf>
    <xf numFmtId="4" fontId="10" fillId="7" borderId="6" pivotButton="0" quotePrefix="0" xfId="0"/>
    <xf numFmtId="37" fontId="199" fillId="3" borderId="3" applyAlignment="1" pivotButton="0" quotePrefix="0" xfId="0">
      <alignment horizontal="left"/>
    </xf>
    <xf numFmtId="39" fontId="10" fillId="7" borderId="0" applyAlignment="1" pivotButton="0" quotePrefix="0" xfId="0">
      <alignment horizontal="right"/>
    </xf>
    <xf numFmtId="39" fontId="112" fillId="3" borderId="0" applyAlignment="1" pivotButton="0" quotePrefix="0" xfId="0">
      <alignment horizontal="right"/>
    </xf>
    <xf numFmtId="0" fontId="89" fillId="5" borderId="0" applyAlignment="1" pivotButton="0" quotePrefix="0" xfId="0">
      <alignment horizontal="center"/>
    </xf>
    <xf numFmtId="0" fontId="29" fillId="15" borderId="0" pivotButton="0" quotePrefix="0" xfId="0"/>
    <xf numFmtId="0" fontId="29" fillId="15" borderId="20" pivotButton="0" quotePrefix="0" xfId="0"/>
    <xf numFmtId="39" fontId="199" fillId="3" borderId="3" applyAlignment="1" pivotButton="0" quotePrefix="0" xfId="0">
      <alignment horizontal="left"/>
    </xf>
    <xf numFmtId="39" fontId="110" fillId="3" borderId="0" applyAlignment="1" pivotButton="0" quotePrefix="0" xfId="0">
      <alignment horizontal="right"/>
    </xf>
    <xf numFmtId="0" fontId="9" fillId="5" borderId="0" applyAlignment="1" pivotButton="0" quotePrefix="0" xfId="0">
      <alignment horizontal="left"/>
    </xf>
    <xf numFmtId="39" fontId="6" fillId="3" borderId="3" applyAlignment="1" pivotButton="0" quotePrefix="0" xfId="0">
      <alignment horizontal="right"/>
    </xf>
    <xf numFmtId="37" fontId="8" fillId="3" borderId="3" applyAlignment="1" pivotButton="0" quotePrefix="0" xfId="0">
      <alignment horizontal="right"/>
    </xf>
    <xf numFmtId="0" fontId="49" fillId="9" borderId="25" applyAlignment="1" pivotButton="0" quotePrefix="0" xfId="0">
      <alignment horizontal="center" vertical="center"/>
    </xf>
    <xf numFmtId="1" fontId="12" fillId="7" borderId="0" applyAlignment="1" pivotButton="0" quotePrefix="0" xfId="0">
      <alignment horizontal="center" vertical="center"/>
    </xf>
    <xf numFmtId="1" fontId="12" fillId="3" borderId="0" applyAlignment="1" pivotButton="0" quotePrefix="0" xfId="0">
      <alignment horizontal="center" vertical="center"/>
    </xf>
    <xf numFmtId="3" fontId="29" fillId="15" borderId="0" applyAlignment="1" pivotButton="0" quotePrefix="0" xfId="0">
      <alignment horizontal="right"/>
    </xf>
    <xf numFmtId="0" fontId="25" fillId="15" borderId="0" applyAlignment="1" pivotButton="0" quotePrefix="0" xfId="0">
      <alignment horizontal="left" vertical="top" wrapText="1"/>
    </xf>
    <xf numFmtId="0" fontId="121" fillId="15" borderId="0" applyAlignment="1" pivotButton="0" quotePrefix="0" xfId="0">
      <alignment horizontal="center" vertical="top"/>
    </xf>
    <xf numFmtId="39" fontId="6" fillId="3" borderId="30" applyAlignment="1" pivotButton="0" quotePrefix="0" xfId="0">
      <alignment horizontal="right"/>
    </xf>
    <xf numFmtId="0" fontId="121" fillId="15" borderId="0" applyAlignment="1" pivotButton="0" quotePrefix="0" xfId="0">
      <alignment horizontal="left" vertical="top" wrapText="1"/>
    </xf>
    <xf numFmtId="37" fontId="173" fillId="15" borderId="0" applyAlignment="1" pivotButton="0" quotePrefix="0" xfId="0">
      <alignment horizontal="right" vertical="top" wrapText="1"/>
    </xf>
    <xf numFmtId="0" fontId="4" fillId="3" borderId="3" applyAlignment="1" pivotButton="0" quotePrefix="0" xfId="0">
      <alignment horizontal="right"/>
    </xf>
    <xf numFmtId="178" fontId="110" fillId="3" borderId="3" applyAlignment="1" pivotButton="0" quotePrefix="0" xfId="0">
      <alignment horizontal="right"/>
    </xf>
    <xf numFmtId="37" fontId="6" fillId="15" borderId="0" applyAlignment="1" pivotButton="0" quotePrefix="0" xfId="0">
      <alignment horizontal="right" vertical="top" wrapText="1"/>
    </xf>
    <xf numFmtId="0" fontId="4" fillId="3" borderId="3" applyAlignment="1" pivotButton="0" quotePrefix="0" xfId="0">
      <alignment horizontal="center"/>
    </xf>
    <xf numFmtId="39" fontId="29" fillId="3" borderId="0" applyAlignment="1" pivotButton="0" quotePrefix="0" xfId="0">
      <alignment horizontal="right"/>
    </xf>
    <xf numFmtId="0" fontId="89" fillId="15" borderId="0" pivotButton="0" quotePrefix="0" xfId="0"/>
    <xf numFmtId="0" fontId="15" fillId="3" borderId="0" applyAlignment="1" pivotButton="0" quotePrefix="0" xfId="0">
      <alignment horizontal="left" vertical="top"/>
    </xf>
    <xf numFmtId="37" fontId="173" fillId="15" borderId="0" applyAlignment="1" pivotButton="0" quotePrefix="0" xfId="0">
      <alignment horizontal="left" vertical="top"/>
    </xf>
    <xf numFmtId="37" fontId="172" fillId="15" borderId="0" applyAlignment="1" pivotButton="0" quotePrefix="0" xfId="0">
      <alignment horizontal="right" vertical="top"/>
    </xf>
    <xf numFmtId="0" fontId="207" fillId="15" borderId="0" pivotButton="0" quotePrefix="0" xfId="0"/>
    <xf numFmtId="0" fontId="47" fillId="3" borderId="0" applyAlignment="1" pivotButton="0" quotePrefix="0" xfId="0">
      <alignment horizontal="left" vertical="top"/>
    </xf>
    <xf numFmtId="4" fontId="37" fillId="3" borderId="0" applyAlignment="1" pivotButton="0" quotePrefix="0" xfId="0">
      <alignment horizontal="left"/>
    </xf>
    <xf numFmtId="0" fontId="207" fillId="15" borderId="0" applyAlignment="1" pivotButton="0" quotePrefix="0" xfId="0">
      <alignment vertical="center"/>
    </xf>
    <xf numFmtId="0" fontId="11" fillId="3" borderId="0" applyAlignment="1" pivotButton="0" quotePrefix="0" xfId="0">
      <alignment horizontal="left"/>
    </xf>
    <xf numFmtId="37" fontId="8" fillId="26" borderId="9" applyAlignment="1" pivotButton="0" quotePrefix="0" xfId="0">
      <alignment horizontal="right"/>
    </xf>
    <xf numFmtId="39" fontId="6" fillId="14" borderId="3" applyAlignment="1" pivotButton="0" quotePrefix="0" xfId="0">
      <alignment horizontal="right"/>
    </xf>
    <xf numFmtId="0" fontId="207" fillId="15" borderId="0" applyAlignment="1" pivotButton="0" quotePrefix="0" xfId="0">
      <alignment vertical="top"/>
    </xf>
    <xf numFmtId="0" fontId="23" fillId="15" borderId="0" applyAlignment="1" pivotButton="0" quotePrefix="0" xfId="0">
      <alignment horizontal="center"/>
    </xf>
    <xf numFmtId="0" fontId="23" fillId="15" borderId="0" applyAlignment="1" pivotButton="0" quotePrefix="0" xfId="0">
      <alignment horizontal="right"/>
    </xf>
    <xf numFmtId="0" fontId="132" fillId="15" borderId="0" pivotButton="0" quotePrefix="0" xfId="0"/>
    <xf numFmtId="0" fontId="10" fillId="15" borderId="20" pivotButton="0" quotePrefix="0" xfId="0"/>
    <xf numFmtId="0" fontId="0" fillId="15" borderId="80" pivotButton="0" quotePrefix="0" xfId="0"/>
    <xf numFmtId="0" fontId="10" fillId="15" borderId="8" pivotButton="0" quotePrefix="0" xfId="0"/>
    <xf numFmtId="0" fontId="10" fillId="15" borderId="88" pivotButton="0" quotePrefix="0" xfId="0"/>
    <xf numFmtId="0" fontId="4" fillId="3" borderId="0" applyAlignment="1" pivotButton="0" quotePrefix="0" xfId="0">
      <alignment horizontal="left"/>
    </xf>
    <xf numFmtId="0" fontId="9" fillId="3" borderId="7" pivotButton="0" quotePrefix="0" xfId="0"/>
    <xf numFmtId="0" fontId="12" fillId="3" borderId="7" pivotButton="0" quotePrefix="0" xfId="0"/>
    <xf numFmtId="4" fontId="12" fillId="3" borderId="7" pivotButton="0" quotePrefix="0" xfId="0"/>
    <xf numFmtId="4" fontId="10" fillId="3" borderId="7" pivotButton="0" quotePrefix="0" xfId="0"/>
    <xf numFmtId="4" fontId="10" fillId="3" borderId="7" applyAlignment="1" pivotButton="0" quotePrefix="0" xfId="0">
      <alignment horizontal="center"/>
    </xf>
    <xf numFmtId="4" fontId="8" fillId="3" borderId="7" applyAlignment="1" pivotButton="0" quotePrefix="0" xfId="0">
      <alignment horizontal="right"/>
    </xf>
    <xf numFmtId="1" fontId="8" fillId="3" borderId="7" applyAlignment="1" pivotButton="0" quotePrefix="0" xfId="0">
      <alignment horizontal="left"/>
    </xf>
    <xf numFmtId="1" fontId="8" fillId="7" borderId="0" applyAlignment="1" pivotButton="0" quotePrefix="0" xfId="0">
      <alignment horizontal="center"/>
    </xf>
    <xf numFmtId="4" fontId="0" fillId="5" borderId="0" applyAlignment="1" pivotButton="0" quotePrefix="0" xfId="0">
      <alignment horizontal="center"/>
    </xf>
    <xf numFmtId="4" fontId="0" fillId="5" borderId="0" applyAlignment="1" pivotButton="0" quotePrefix="0" xfId="0">
      <alignment horizontal="right"/>
    </xf>
    <xf numFmtId="4" fontId="0" fillId="0" borderId="0" applyAlignment="1" pivotButton="0" quotePrefix="0" xfId="0">
      <alignment horizontal="center"/>
    </xf>
    <xf numFmtId="4" fontId="0" fillId="0" borderId="0" applyAlignment="1" pivotButton="0" quotePrefix="0" xfId="0">
      <alignment horizontal="right"/>
    </xf>
    <xf numFmtId="4" fontId="0" fillId="0" borderId="0" applyAlignment="1" pivotButton="0" quotePrefix="0" xfId="0">
      <alignment horizontal="left"/>
    </xf>
    <xf numFmtId="0" fontId="10" fillId="15" borderId="22" pivotButton="0" quotePrefix="0" xfId="0"/>
    <xf numFmtId="0" fontId="15" fillId="15" borderId="0" applyAlignment="1" pivotButton="0" quotePrefix="0" xfId="0">
      <alignment horizontal="left" indent="1"/>
    </xf>
    <xf numFmtId="0" fontId="212" fillId="15" borderId="0" applyAlignment="1" pivotButton="0" quotePrefix="0" xfId="0">
      <alignment horizontal="left" vertical="top"/>
    </xf>
    <xf numFmtId="0" fontId="15" fillId="15" borderId="0" applyAlignment="1" pivotButton="0" quotePrefix="0" xfId="0">
      <alignment horizontal="left" vertical="top" indent="1"/>
    </xf>
    <xf numFmtId="0" fontId="10" fillId="15" borderId="5" applyAlignment="1" pivotButton="0" quotePrefix="0" xfId="0">
      <alignment horizontal="left"/>
    </xf>
    <xf numFmtId="0" fontId="35" fillId="15" borderId="0" applyAlignment="1" pivotButton="0" quotePrefix="0" xfId="0">
      <alignment horizontal="left"/>
    </xf>
    <xf numFmtId="0" fontId="10" fillId="15" borderId="5" pivotButton="0" quotePrefix="0" xfId="0"/>
    <xf numFmtId="0" fontId="35" fillId="15" borderId="0" applyAlignment="1" pivotButton="0" quotePrefix="0" xfId="0">
      <alignment horizontal="left" indent="1"/>
    </xf>
    <xf numFmtId="174" fontId="6" fillId="15" borderId="5" pivotButton="0" quotePrefix="0" xfId="0"/>
    <xf numFmtId="0" fontId="15" fillId="15" borderId="23" applyAlignment="1" pivotButton="0" quotePrefix="0" xfId="0">
      <alignment horizontal="left" indent="1"/>
    </xf>
    <xf numFmtId="0" fontId="15" fillId="15" borderId="7" applyAlignment="1" pivotButton="0" quotePrefix="0" xfId="0">
      <alignment horizontal="left"/>
    </xf>
    <xf numFmtId="0" fontId="15" fillId="15" borderId="5" applyAlignment="1" pivotButton="0" quotePrefix="0" xfId="0">
      <alignment horizontal="left" vertical="top" indent="1"/>
    </xf>
    <xf numFmtId="0" fontId="6" fillId="15" borderId="5" applyAlignment="1" pivotButton="0" quotePrefix="0" xfId="0">
      <alignment horizontal="left" indent="1"/>
    </xf>
    <xf numFmtId="0" fontId="8" fillId="15" borderId="0" applyAlignment="1" pivotButton="0" quotePrefix="0" xfId="0">
      <alignment horizontal="left" indent="1"/>
    </xf>
    <xf numFmtId="0" fontId="35" fillId="15" borderId="5" applyAlignment="1" pivotButton="0" quotePrefix="0" xfId="0">
      <alignment horizontal="left" indent="1"/>
    </xf>
    <xf numFmtId="0" fontId="8" fillId="15" borderId="0" applyAlignment="1" pivotButton="0" quotePrefix="0" xfId="0">
      <alignment horizontal="left"/>
    </xf>
    <xf numFmtId="0" fontId="0" fillId="5" borderId="0" applyAlignment="1" applyProtection="1" pivotButton="0" quotePrefix="0" xfId="0">
      <alignment vertical="top"/>
      <protection locked="0" hidden="0"/>
    </xf>
    <xf numFmtId="0" fontId="15" fillId="5" borderId="0" applyAlignment="1" pivotButton="0" quotePrefix="0" xfId="0">
      <alignment horizontal="center" vertical="center"/>
    </xf>
    <xf numFmtId="0" fontId="0" fillId="0" borderId="0" applyAlignment="1" pivotButton="0" quotePrefix="0" xfId="0">
      <alignment horizontal="left" vertical="top" wrapText="1"/>
    </xf>
    <xf numFmtId="167" fontId="128" fillId="0" borderId="0" applyAlignment="1" applyProtection="1" pivotButton="0" quotePrefix="0" xfId="0">
      <alignment horizontal="center"/>
      <protection locked="1" hidden="1"/>
    </xf>
    <xf numFmtId="0" fontId="10" fillId="0" borderId="111" applyAlignment="1" applyProtection="1" pivotButton="0" quotePrefix="0" xfId="0">
      <alignment horizontal="center"/>
      <protection locked="1" hidden="1"/>
    </xf>
    <xf numFmtId="167" fontId="336" fillId="0" borderId="0" applyAlignment="1" applyProtection="1" pivotButton="0" quotePrefix="0" xfId="0">
      <alignment horizontal="right"/>
      <protection locked="1" hidden="1"/>
    </xf>
    <xf numFmtId="3" fontId="336" fillId="0" borderId="0" applyAlignment="1" applyProtection="1" pivotButton="0" quotePrefix="0" xfId="0">
      <alignment horizontal="right"/>
      <protection locked="1" hidden="1"/>
    </xf>
    <xf numFmtId="183" fontId="128" fillId="0" borderId="0" applyAlignment="1" applyProtection="1" pivotButton="0" quotePrefix="0" xfId="0">
      <alignment horizontal="right"/>
      <protection locked="1" hidden="1"/>
    </xf>
    <xf numFmtId="184" fontId="128" fillId="0" borderId="0" applyAlignment="1" applyProtection="1" pivotButton="0" quotePrefix="0" xfId="0">
      <alignment horizontal="right"/>
      <protection locked="1" hidden="1"/>
    </xf>
    <xf numFmtId="0" fontId="158" fillId="0" borderId="0" applyAlignment="1" applyProtection="1" pivotButton="0" quotePrefix="0" xfId="0">
      <alignment horizontal="left"/>
      <protection locked="1" hidden="1"/>
    </xf>
    <xf numFmtId="185" fontId="0" fillId="0" borderId="0" applyAlignment="1" applyProtection="1" pivotButton="0" quotePrefix="0" xfId="0">
      <alignment horizontal="right"/>
      <protection locked="1" hidden="1"/>
    </xf>
    <xf numFmtId="184" fontId="0" fillId="0" borderId="0" applyAlignment="1" applyProtection="1" pivotButton="0" quotePrefix="0" xfId="0">
      <alignment horizontal="right"/>
      <protection locked="1" hidden="1"/>
    </xf>
    <xf numFmtId="0" fontId="109" fillId="2" borderId="0" pivotButton="0" quotePrefix="0" xfId="0"/>
    <xf numFmtId="0" fontId="109" fillId="2" borderId="0" applyAlignment="1" pivotButton="0" quotePrefix="0" xfId="0">
      <alignment horizontal="right"/>
    </xf>
    <xf numFmtId="0" fontId="121" fillId="2" borderId="0" applyAlignment="1" pivotButton="0" quotePrefix="0" xfId="0">
      <alignment horizontal="left" indent="1"/>
    </xf>
    <xf numFmtId="0" fontId="6" fillId="0" borderId="0" applyAlignment="1" pivotButton="0" quotePrefix="0" xfId="0">
      <alignment horizontal="left" vertical="top" wrapText="1"/>
    </xf>
    <xf numFmtId="0" fontId="4" fillId="15" borderId="24" applyAlignment="1" pivotButton="0" quotePrefix="0" xfId="0">
      <alignment horizontal="center"/>
    </xf>
    <xf numFmtId="0" fontId="20" fillId="15" borderId="1" applyAlignment="1" pivotButton="0" quotePrefix="0" xfId="0">
      <alignment vertical="center"/>
    </xf>
    <xf numFmtId="0" fontId="20" fillId="15" borderId="0" applyAlignment="1" pivotButton="0" quotePrefix="0" xfId="0">
      <alignment vertical="center"/>
    </xf>
    <xf numFmtId="1" fontId="0" fillId="10" borderId="0" pivotButton="0" quotePrefix="0" xfId="0"/>
    <xf numFmtId="0" fontId="287" fillId="15" borderId="0" pivotButton="0" quotePrefix="0" xfId="0"/>
    <xf numFmtId="0" fontId="6" fillId="15" borderId="5" applyAlignment="1" pivotButton="0" quotePrefix="0" xfId="0">
      <alignment horizontal="left" indent="2"/>
    </xf>
    <xf numFmtId="0" fontId="0" fillId="15" borderId="0" applyAlignment="1" pivotButton="0" quotePrefix="0" xfId="0">
      <alignment horizontal="left" vertical="center" wrapText="1"/>
    </xf>
    <xf numFmtId="0" fontId="4" fillId="15" borderId="4" applyAlignment="1" pivotButton="0" quotePrefix="0" xfId="0">
      <alignment horizontal="centerContinuous"/>
    </xf>
    <xf numFmtId="0" fontId="0" fillId="15" borderId="4" applyAlignment="1" pivotButton="0" quotePrefix="0" xfId="0">
      <alignment horizontal="centerContinuous"/>
    </xf>
    <xf numFmtId="0" fontId="6" fillId="15" borderId="4" applyAlignment="1" pivotButton="0" quotePrefix="0" xfId="0">
      <alignment horizontal="centerContinuous"/>
    </xf>
    <xf numFmtId="0" fontId="6" fillId="15" borderId="21" applyAlignment="1" pivotButton="0" quotePrefix="0" xfId="0">
      <alignment horizontal="left" indent="2"/>
    </xf>
    <xf numFmtId="0" fontId="0" fillId="15" borderId="4" applyAlignment="1" pivotButton="0" quotePrefix="0" xfId="0">
      <alignment horizontal="left" vertical="center" wrapText="1"/>
    </xf>
    <xf numFmtId="0" fontId="12" fillId="15" borderId="56" pivotButton="0" quotePrefix="0" xfId="0"/>
    <xf numFmtId="0" fontId="9" fillId="15" borderId="56" applyAlignment="1" pivotButton="0" quotePrefix="0" xfId="0">
      <alignment horizontal="center"/>
    </xf>
    <xf numFmtId="1" fontId="12" fillId="10" borderId="0" pivotButton="0" quotePrefix="0" xfId="0"/>
    <xf numFmtId="0" fontId="117" fillId="0" borderId="0" pivotButton="0" quotePrefix="0" xfId="0"/>
    <xf numFmtId="0" fontId="0" fillId="23" borderId="0" applyAlignment="1" pivotButton="0" quotePrefix="0" xfId="0">
      <alignment vertical="top"/>
    </xf>
    <xf numFmtId="1" fontId="206" fillId="10" borderId="0" pivotButton="0" quotePrefix="0" xfId="0"/>
    <xf numFmtId="0" fontId="0" fillId="15" borderId="15" pivotButton="0" quotePrefix="0" xfId="0"/>
    <xf numFmtId="0" fontId="4" fillId="15" borderId="30" pivotButton="0" quotePrefix="0" xfId="0"/>
    <xf numFmtId="0" fontId="4" fillId="15" borderId="8" pivotButton="0" quotePrefix="0" xfId="0"/>
    <xf numFmtId="0" fontId="0" fillId="23" borderId="15" pivotButton="0" quotePrefix="0" xfId="0"/>
    <xf numFmtId="0" fontId="0" fillId="23" borderId="6" pivotButton="0" quotePrefix="0" xfId="0"/>
    <xf numFmtId="0" fontId="4" fillId="15" borderId="10" applyAlignment="1" pivotButton="0" quotePrefix="0" xfId="0">
      <alignment horizontal="center"/>
    </xf>
    <xf numFmtId="37" fontId="4" fillId="27" borderId="9" applyAlignment="1" pivotButton="0" quotePrefix="1" xfId="0">
      <alignment horizontal="center"/>
    </xf>
    <xf numFmtId="37" fontId="4" fillId="27" borderId="1" pivotButton="0" quotePrefix="1" xfId="0"/>
    <xf numFmtId="0" fontId="4" fillId="15" borderId="15" applyAlignment="1" pivotButton="0" quotePrefix="0" xfId="0">
      <alignment horizontal="center"/>
    </xf>
    <xf numFmtId="37" fontId="15" fillId="27" borderId="39" applyAlignment="1" pivotButton="0" quotePrefix="1" xfId="0">
      <alignment horizontal="center"/>
    </xf>
    <xf numFmtId="37" fontId="15" fillId="27" borderId="25" applyAlignment="1" pivotButton="0" quotePrefix="1" xfId="0">
      <alignment horizontal="center"/>
    </xf>
    <xf numFmtId="37" fontId="47" fillId="15" borderId="24" applyAlignment="1" pivotButton="0" quotePrefix="0" xfId="0">
      <alignment horizontal="right"/>
    </xf>
    <xf numFmtId="37" fontId="9" fillId="15" borderId="30" pivotButton="0" quotePrefix="0" xfId="0"/>
    <xf numFmtId="37" fontId="9" fillId="15" borderId="8" pivotButton="0" quotePrefix="0" xfId="0"/>
    <xf numFmtId="37" fontId="4" fillId="15" borderId="8" pivotButton="0" quotePrefix="0" xfId="0"/>
    <xf numFmtId="37" fontId="15" fillId="27" borderId="69" applyAlignment="1" pivotButton="0" quotePrefix="1" xfId="0">
      <alignment horizontal="center"/>
    </xf>
    <xf numFmtId="37" fontId="15" fillId="27" borderId="4" applyAlignment="1" pivotButton="0" quotePrefix="1" xfId="0">
      <alignment horizontal="center"/>
    </xf>
    <xf numFmtId="0" fontId="4" fillId="15" borderId="7" applyAlignment="1" pivotButton="0" quotePrefix="0" xfId="0">
      <alignment horizontal="left"/>
    </xf>
    <xf numFmtId="0" fontId="0" fillId="15" borderId="7" applyAlignment="1" pivotButton="0" quotePrefix="0" xfId="0">
      <alignment horizontal="right" indent="1"/>
    </xf>
    <xf numFmtId="0" fontId="8" fillId="15" borderId="7" applyAlignment="1" pivotButton="0" quotePrefix="0" xfId="0">
      <alignment horizontal="right"/>
    </xf>
    <xf numFmtId="0" fontId="143" fillId="2" borderId="0" applyAlignment="1" pivotButton="0" quotePrefix="0" xfId="0">
      <alignment horizontal="right" indent="2"/>
    </xf>
    <xf numFmtId="0" fontId="0" fillId="15" borderId="5" applyAlignment="1" pivotButton="0" quotePrefix="0" xfId="0">
      <alignment horizontal="left"/>
    </xf>
    <xf numFmtId="0" fontId="0" fillId="15" borderId="20" applyAlignment="1" pivotButton="0" quotePrefix="0" xfId="0">
      <alignment horizontal="left"/>
    </xf>
    <xf numFmtId="0" fontId="4" fillId="15" borderId="56" pivotButton="0" quotePrefix="0" xfId="0"/>
    <xf numFmtId="0" fontId="24" fillId="15" borderId="0" applyAlignment="1" pivotButton="0" quotePrefix="0" xfId="0">
      <alignment vertical="center"/>
    </xf>
    <xf numFmtId="0" fontId="24" fillId="15" borderId="0" applyAlignment="1" pivotButton="0" quotePrefix="0" xfId="0">
      <alignment vertical="top"/>
    </xf>
    <xf numFmtId="0" fontId="4" fillId="15" borderId="47" applyAlignment="1" pivotButton="0" quotePrefix="0" xfId="0">
      <alignment horizontal="center"/>
    </xf>
    <xf numFmtId="0" fontId="11" fillId="15" borderId="0" applyAlignment="1" pivotButton="0" quotePrefix="1" xfId="0">
      <alignment horizontal="center"/>
    </xf>
    <xf numFmtId="0" fontId="4" fillId="15" borderId="10" applyAlignment="1" pivotButton="0" quotePrefix="1" xfId="0">
      <alignment horizontal="center"/>
    </xf>
    <xf numFmtId="0" fontId="4" fillId="15" borderId="28" applyAlignment="1" pivotButton="0" quotePrefix="1" xfId="0">
      <alignment horizontal="center"/>
    </xf>
    <xf numFmtId="0" fontId="4" fillId="15" borderId="43" applyAlignment="1" pivotButton="0" quotePrefix="1" xfId="0">
      <alignment horizontal="center"/>
    </xf>
    <xf numFmtId="0" fontId="4" fillId="15" borderId="6" applyAlignment="1" pivotButton="0" quotePrefix="0" xfId="0">
      <alignment horizontal="center"/>
    </xf>
    <xf numFmtId="0" fontId="4" fillId="15" borderId="6" applyAlignment="1" pivotButton="0" quotePrefix="1" xfId="0">
      <alignment horizontal="center"/>
    </xf>
    <xf numFmtId="0" fontId="4" fillId="15" borderId="51" applyAlignment="1" pivotButton="0" quotePrefix="1" xfId="0">
      <alignment horizontal="center"/>
    </xf>
    <xf numFmtId="0" fontId="0" fillId="19" borderId="6" pivotButton="0" quotePrefix="0" xfId="0"/>
    <xf numFmtId="0" fontId="110" fillId="15" borderId="1" pivotButton="0" quotePrefix="0" xfId="0"/>
    <xf numFmtId="0" fontId="4" fillId="15" borderId="12" applyAlignment="1" pivotButton="0" quotePrefix="0" xfId="0">
      <alignment horizontal="center"/>
    </xf>
    <xf numFmtId="0" fontId="0" fillId="15" borderId="12" applyAlignment="1" pivotButton="0" quotePrefix="0" xfId="0">
      <alignment horizontal="center"/>
    </xf>
    <xf numFmtId="37" fontId="0" fillId="15" borderId="12" pivotButton="0" quotePrefix="0" xfId="0"/>
    <xf numFmtId="0" fontId="11" fillId="15" borderId="8" pivotButton="0" quotePrefix="0" xfId="0"/>
    <xf numFmtId="0" fontId="47" fillId="15" borderId="9" pivotButton="0" quotePrefix="0" xfId="0"/>
    <xf numFmtId="0" fontId="14" fillId="15" borderId="1" applyAlignment="1" pivotButton="0" quotePrefix="0" xfId="0">
      <alignment horizontal="right"/>
    </xf>
    <xf numFmtId="0" fontId="15" fillId="15" borderId="16" applyAlignment="1" pivotButton="0" quotePrefix="0" xfId="0">
      <alignment vertical="center"/>
    </xf>
    <xf numFmtId="0" fontId="6" fillId="15" borderId="16" pivotButton="0" quotePrefix="0" xfId="0"/>
    <xf numFmtId="0" fontId="10" fillId="15" borderId="16" applyAlignment="1" pivotButton="0" quotePrefix="0" xfId="0">
      <alignment vertical="top"/>
    </xf>
    <xf numFmtId="0" fontId="6" fillId="15" borderId="16" applyAlignment="1" pivotButton="0" quotePrefix="0" xfId="0">
      <alignment horizontal="right"/>
    </xf>
    <xf numFmtId="0" fontId="151" fillId="0" borderId="0" pivotButton="0" quotePrefix="0" xfId="0"/>
    <xf numFmtId="184" fontId="0" fillId="0" borderId="0" pivotButton="0" quotePrefix="0" xfId="0"/>
    <xf numFmtId="0" fontId="9" fillId="0" borderId="0" applyAlignment="1" pivotButton="0" quotePrefix="0" xfId="0">
      <alignment horizontal="right"/>
    </xf>
    <xf numFmtId="0" fontId="8" fillId="0" borderId="0" applyAlignment="1" pivotButton="0" quotePrefix="0" xfId="0">
      <alignment horizontal="left"/>
    </xf>
    <xf numFmtId="0" fontId="9" fillId="0" borderId="0" applyAlignment="1" pivotButton="0" quotePrefix="0" xfId="0">
      <alignment horizontal="right" vertical="center"/>
    </xf>
    <xf numFmtId="0" fontId="8" fillId="0" borderId="0" applyAlignment="1" pivotButton="0" quotePrefix="0" xfId="0">
      <alignment horizontal="left" vertical="center"/>
    </xf>
    <xf numFmtId="37" fontId="158" fillId="15" borderId="12" pivotButton="0" quotePrefix="0" xfId="0"/>
    <xf numFmtId="37" fontId="9" fillId="28" borderId="1" applyAlignment="1" pivotButton="0" quotePrefix="0" xfId="0">
      <alignment horizontal="right"/>
    </xf>
    <xf numFmtId="37" fontId="9" fillId="27" borderId="1" pivotButton="0" quotePrefix="0" xfId="0"/>
    <xf numFmtId="0" fontId="66" fillId="5" borderId="0" applyAlignment="1" pivotButton="0" quotePrefix="0" xfId="0">
      <alignment horizontal="centerContinuous"/>
    </xf>
    <xf numFmtId="0" fontId="57" fillId="5" borderId="0" applyAlignment="1" pivotButton="0" quotePrefix="0" xfId="0">
      <alignment horizontal="left"/>
    </xf>
    <xf numFmtId="0" fontId="57" fillId="5" borderId="0" applyAlignment="1" pivotButton="0" quotePrefix="0" xfId="0">
      <alignment horizontal="right"/>
    </xf>
    <xf numFmtId="0" fontId="57" fillId="5" borderId="0" applyAlignment="1" pivotButton="0" quotePrefix="0" xfId="0">
      <alignment vertical="center"/>
    </xf>
    <xf numFmtId="0" fontId="11" fillId="29" borderId="107" pivotButton="0" quotePrefix="0" xfId="0"/>
    <xf numFmtId="0" fontId="6" fillId="24" borderId="27" pivotButton="0" quotePrefix="0" xfId="0"/>
    <xf numFmtId="0" fontId="0" fillId="24" borderId="27" applyAlignment="1" pivotButton="0" quotePrefix="0" xfId="0">
      <alignment horizontal="center"/>
    </xf>
    <xf numFmtId="0" fontId="11" fillId="29" borderId="27" pivotButton="0" quotePrefix="0" xfId="0"/>
    <xf numFmtId="0" fontId="14" fillId="24" borderId="27" pivotButton="0" quotePrefix="0" xfId="0"/>
    <xf numFmtId="0" fontId="14" fillId="24" borderId="108" pivotButton="0" quotePrefix="0" xfId="0"/>
    <xf numFmtId="0" fontId="4" fillId="24" borderId="5" applyAlignment="1" pivotButton="0" quotePrefix="0" xfId="0">
      <alignment horizontal="left"/>
    </xf>
    <xf numFmtId="0" fontId="6" fillId="24" borderId="0" pivotButton="0" quotePrefix="0" xfId="0"/>
    <xf numFmtId="0" fontId="4" fillId="24" borderId="0" applyAlignment="1" pivotButton="0" quotePrefix="0" xfId="0">
      <alignment horizontal="left"/>
    </xf>
    <xf numFmtId="0" fontId="6" fillId="24" borderId="20" pivotButton="0" quotePrefix="0" xfId="0"/>
    <xf numFmtId="0" fontId="6" fillId="24" borderId="26" pivotButton="0" quotePrefix="0" xfId="0"/>
    <xf numFmtId="0" fontId="6" fillId="24" borderId="1" pivotButton="0" quotePrefix="0" xfId="0"/>
    <xf numFmtId="0" fontId="0" fillId="24" borderId="1" applyAlignment="1" pivotButton="0" quotePrefix="0" xfId="0">
      <alignment horizontal="center"/>
    </xf>
    <xf numFmtId="0" fontId="0" fillId="24" borderId="1" pivotButton="0" quotePrefix="0" xfId="0"/>
    <xf numFmtId="0" fontId="0" fillId="24" borderId="1" applyAlignment="1" pivotButton="0" quotePrefix="0" xfId="0">
      <alignment horizontal="left"/>
    </xf>
    <xf numFmtId="0" fontId="6" fillId="24" borderId="1" applyAlignment="1" pivotButton="0" quotePrefix="0" xfId="0">
      <alignment vertical="top"/>
    </xf>
    <xf numFmtId="0" fontId="6" fillId="24" borderId="29" pivotButton="0" quotePrefix="0" xfId="0"/>
    <xf numFmtId="0" fontId="6" fillId="5" borderId="0" applyAlignment="1" pivotButton="0" quotePrefix="0" xfId="0">
      <alignment horizontal="center"/>
    </xf>
    <xf numFmtId="0" fontId="6" fillId="24" borderId="5" pivotButton="0" quotePrefix="0" xfId="0"/>
    <xf numFmtId="0" fontId="0" fillId="24" borderId="0" applyAlignment="1" pivotButton="0" quotePrefix="0" xfId="0">
      <alignment horizontal="center"/>
    </xf>
    <xf numFmtId="0" fontId="0" fillId="24" borderId="0" applyAlignment="1" pivotButton="0" quotePrefix="0" xfId="0">
      <alignment horizontal="left"/>
    </xf>
    <xf numFmtId="0" fontId="6" fillId="24" borderId="0" applyAlignment="1" pivotButton="0" quotePrefix="0" xfId="0">
      <alignment vertical="top"/>
    </xf>
    <xf numFmtId="0" fontId="10" fillId="24" borderId="5" applyAlignment="1" pivotButton="0" quotePrefix="0" xfId="0">
      <alignment horizontal="center"/>
    </xf>
    <xf numFmtId="0" fontId="10" fillId="24" borderId="0" applyAlignment="1" pivotButton="0" quotePrefix="0" xfId="0">
      <alignment horizontal="center"/>
    </xf>
    <xf numFmtId="49" fontId="9" fillId="24" borderId="0" applyAlignment="1" pivotButton="0" quotePrefix="0" xfId="0">
      <alignment horizontal="center" vertical="center"/>
    </xf>
    <xf numFmtId="0" fontId="6" fillId="24" borderId="0" applyAlignment="1" pivotButton="0" quotePrefix="0" xfId="0">
      <alignment horizontal="left" vertical="center"/>
    </xf>
    <xf numFmtId="0" fontId="4" fillId="2" borderId="0" applyAlignment="1" pivotButton="0" quotePrefix="0" xfId="0">
      <alignment horizontal="center" vertical="center"/>
    </xf>
    <xf numFmtId="0" fontId="10" fillId="24" borderId="0" applyAlignment="1" pivotButton="0" quotePrefix="0" xfId="0">
      <alignment horizontal="left"/>
    </xf>
    <xf numFmtId="0" fontId="8" fillId="24" borderId="0" pivotButton="0" quotePrefix="0" xfId="0"/>
    <xf numFmtId="0" fontId="51" fillId="9" borderId="25" applyAlignment="1" pivotButton="0" quotePrefix="0" xfId="0">
      <alignment horizontal="center"/>
    </xf>
    <xf numFmtId="37" fontId="112" fillId="0" borderId="0" applyAlignment="1" pivotButton="0" quotePrefix="0" xfId="0">
      <alignment horizontal="right"/>
    </xf>
    <xf numFmtId="37" fontId="9" fillId="28" borderId="2" applyAlignment="1" pivotButton="0" quotePrefix="0" xfId="0">
      <alignment horizontal="center" vertical="center"/>
    </xf>
    <xf numFmtId="0" fontId="9" fillId="24" borderId="0" applyAlignment="1" pivotButton="0" quotePrefix="0" xfId="0">
      <alignment horizontal="left"/>
    </xf>
    <xf numFmtId="0" fontId="8" fillId="24" borderId="0" applyAlignment="1" pivotButton="0" quotePrefix="0" xfId="0">
      <alignment horizontal="left"/>
    </xf>
    <xf numFmtId="0" fontId="119" fillId="24" borderId="0" applyAlignment="1" pivotButton="0" quotePrefix="0" xfId="0">
      <alignment horizontal="center"/>
    </xf>
    <xf numFmtId="0" fontId="4" fillId="3" borderId="0" applyAlignment="1" pivotButton="0" quotePrefix="0" xfId="0">
      <alignment horizontal="center"/>
    </xf>
    <xf numFmtId="0" fontId="47" fillId="3" borderId="0" applyAlignment="1" pivotButton="0" quotePrefix="0" xfId="0">
      <alignment horizontal="left" vertical="center"/>
    </xf>
    <xf numFmtId="37" fontId="8" fillId="3" borderId="30" applyAlignment="1" pivotButton="0" quotePrefix="0" xfId="0">
      <alignment horizontal="right"/>
    </xf>
    <xf numFmtId="39" fontId="110" fillId="3" borderId="0" applyAlignment="1" pivotButton="0" quotePrefix="0" xfId="0">
      <alignment horizontal="center"/>
    </xf>
    <xf numFmtId="0" fontId="10" fillId="2" borderId="0" applyAlignment="1" pivotButton="0" quotePrefix="0" xfId="0">
      <alignment horizontal="center"/>
    </xf>
    <xf numFmtId="37" fontId="116" fillId="3" borderId="3" applyAlignment="1" pivotButton="0" quotePrefix="0" xfId="0">
      <alignment horizontal="right"/>
    </xf>
    <xf numFmtId="39" fontId="6" fillId="3" borderId="0" applyAlignment="1" pivotButton="0" quotePrefix="0" xfId="0">
      <alignment horizontal="center"/>
    </xf>
    <xf numFmtId="0" fontId="199" fillId="2" borderId="0" applyAlignment="1" pivotButton="0" quotePrefix="0" xfId="0">
      <alignment horizontal="center"/>
    </xf>
    <xf numFmtId="3" fontId="12" fillId="24" borderId="0" applyAlignment="1" pivotButton="0" quotePrefix="0" xfId="0">
      <alignment horizontal="right"/>
    </xf>
    <xf numFmtId="0" fontId="9" fillId="24" borderId="0" applyAlignment="1" pivotButton="0" quotePrefix="1" xfId="0">
      <alignment horizontal="center"/>
    </xf>
    <xf numFmtId="0" fontId="4" fillId="3" borderId="0" applyAlignment="1" pivotButton="0" quotePrefix="1" xfId="0">
      <alignment horizontal="right"/>
    </xf>
    <xf numFmtId="0" fontId="9" fillId="3" borderId="0" applyAlignment="1" pivotButton="0" quotePrefix="0" xfId="0">
      <alignment horizontal="left"/>
    </xf>
    <xf numFmtId="0" fontId="4" fillId="3" borderId="15" applyAlignment="1" pivotButton="0" quotePrefix="0" xfId="0">
      <alignment horizontal="center"/>
    </xf>
    <xf numFmtId="3" fontId="113" fillId="5" borderId="0" pivotButton="0" quotePrefix="0" xfId="0"/>
    <xf numFmtId="0" fontId="64" fillId="24" borderId="20" pivotButton="0" quotePrefix="0" xfId="0"/>
    <xf numFmtId="0" fontId="12" fillId="24" borderId="5" applyAlignment="1" pivotButton="0" quotePrefix="0" xfId="0">
      <alignment horizontal="center"/>
    </xf>
    <xf numFmtId="49" fontId="9" fillId="24" borderId="0" applyAlignment="1" pivotButton="0" quotePrefix="0" xfId="0">
      <alignment horizontal="center"/>
    </xf>
    <xf numFmtId="4" fontId="4" fillId="3" borderId="0" applyAlignment="1" pivotButton="0" quotePrefix="0" xfId="0">
      <alignment horizontal="left"/>
    </xf>
    <xf numFmtId="4" fontId="8" fillId="3" borderId="0" applyAlignment="1" pivotButton="0" quotePrefix="0" xfId="0">
      <alignment horizontal="left"/>
    </xf>
    <xf numFmtId="4" fontId="6" fillId="3" borderId="0" applyAlignment="1" pivotButton="0" quotePrefix="0" xfId="0">
      <alignment horizontal="left"/>
    </xf>
    <xf numFmtId="4" fontId="8" fillId="3" borderId="0" applyAlignment="1" pivotButton="0" quotePrefix="0" xfId="0">
      <alignment horizontal="right"/>
    </xf>
    <xf numFmtId="4" fontId="6" fillId="3" borderId="0" applyAlignment="1" pivotButton="0" quotePrefix="0" xfId="0">
      <alignment horizontal="right"/>
    </xf>
    <xf numFmtId="0" fontId="12" fillId="24" borderId="0" applyAlignment="1" pivotButton="0" quotePrefix="0" xfId="0">
      <alignment horizontal="right"/>
    </xf>
    <xf numFmtId="4" fontId="9" fillId="3" borderId="0" applyAlignment="1" pivotButton="0" quotePrefix="0" xfId="0">
      <alignment horizontal="left"/>
    </xf>
    <xf numFmtId="0" fontId="8" fillId="24" borderId="0" applyAlignment="1" pivotButton="0" quotePrefix="0" xfId="0">
      <alignment horizontal="right"/>
    </xf>
    <xf numFmtId="0" fontId="10" fillId="24" borderId="0" applyAlignment="1" pivotButton="0" quotePrefix="0" xfId="0">
      <alignment horizontal="right" vertical="top"/>
    </xf>
    <xf numFmtId="0" fontId="167" fillId="5" borderId="0" applyAlignment="1" pivotButton="0" quotePrefix="0" xfId="0">
      <alignment horizontal="center"/>
    </xf>
    <xf numFmtId="0" fontId="127" fillId="5" borderId="0" applyAlignment="1" pivotButton="0" quotePrefix="0" xfId="0">
      <alignment horizontal="center"/>
    </xf>
    <xf numFmtId="3" fontId="112" fillId="0" borderId="0" pivotButton="0" quotePrefix="0" xfId="0"/>
    <xf numFmtId="3" fontId="138" fillId="24" borderId="0" applyAlignment="1" pivotButton="0" quotePrefix="0" xfId="0">
      <alignment horizontal="center"/>
    </xf>
    <xf numFmtId="0" fontId="8" fillId="24" borderId="0" applyAlignment="1" pivotButton="0" quotePrefix="0" xfId="0">
      <alignment horizontal="center"/>
    </xf>
    <xf numFmtId="0" fontId="8" fillId="24" borderId="0" applyAlignment="1" pivotButton="0" quotePrefix="0" xfId="0">
      <alignment horizontal="left" vertical="top"/>
    </xf>
    <xf numFmtId="0" fontId="9" fillId="3" borderId="0" applyAlignment="1" pivotButton="0" quotePrefix="0" xfId="0">
      <alignment horizontal="right"/>
    </xf>
    <xf numFmtId="37" fontId="116" fillId="3" borderId="30" applyAlignment="1" pivotButton="0" quotePrefix="0" xfId="0">
      <alignment horizontal="right"/>
    </xf>
    <xf numFmtId="180" fontId="167" fillId="5" borderId="0" applyAlignment="1" pivotButton="0" quotePrefix="0" xfId="0">
      <alignment horizontal="right"/>
    </xf>
    <xf numFmtId="0" fontId="6" fillId="3" borderId="0" applyAlignment="1" pivotButton="0" quotePrefix="0" xfId="0">
      <alignment horizontal="left" vertical="center"/>
    </xf>
    <xf numFmtId="3" fontId="112" fillId="0" borderId="0" applyAlignment="1" pivotButton="0" quotePrefix="0" xfId="0">
      <alignment horizontal="center"/>
    </xf>
    <xf numFmtId="3" fontId="12" fillId="24" borderId="0" applyAlignment="1" pivotButton="0" quotePrefix="0" xfId="0">
      <alignment horizontal="center"/>
    </xf>
    <xf numFmtId="0" fontId="49" fillId="9" borderId="25" applyAlignment="1" pivotButton="0" quotePrefix="0" xfId="0">
      <alignment vertical="center"/>
    </xf>
    <xf numFmtId="1" fontId="4" fillId="3" borderId="0" applyAlignment="1" pivotButton="0" quotePrefix="0" xfId="0">
      <alignment horizontal="center" vertical="center"/>
    </xf>
    <xf numFmtId="0" fontId="6" fillId="5" borderId="0" applyAlignment="1" pivotButton="0" quotePrefix="0" xfId="0">
      <alignment vertical="center"/>
    </xf>
    <xf numFmtId="3" fontId="112" fillId="0" borderId="0" applyAlignment="1" pivotButton="0" quotePrefix="0" xfId="0">
      <alignment horizontal="right"/>
    </xf>
    <xf numFmtId="1" fontId="4" fillId="7" borderId="15" applyAlignment="1" pivotButton="0" quotePrefix="0" xfId="0">
      <alignment horizontal="right"/>
    </xf>
    <xf numFmtId="37" fontId="8" fillId="14" borderId="3" applyAlignment="1" pivotButton="0" quotePrefix="0" xfId="0">
      <alignment horizontal="right"/>
    </xf>
    <xf numFmtId="39" fontId="29" fillId="7" borderId="0" applyAlignment="1" pivotButton="0" quotePrefix="0" xfId="0">
      <alignment horizontal="right"/>
    </xf>
    <xf numFmtId="4" fontId="12" fillId="3" borderId="0" applyAlignment="1" pivotButton="0" quotePrefix="0" xfId="0">
      <alignment horizontal="left"/>
    </xf>
    <xf numFmtId="1" fontId="4" fillId="7" borderId="6" applyAlignment="1" pivotButton="0" quotePrefix="0" xfId="0">
      <alignment horizontal="right"/>
    </xf>
    <xf numFmtId="0" fontId="112" fillId="0" borderId="20" pivotButton="0" quotePrefix="0" xfId="0"/>
    <xf numFmtId="167" fontId="8" fillId="3" borderId="0" applyAlignment="1" pivotButton="0" quotePrefix="0" xfId="0">
      <alignment horizontal="right"/>
    </xf>
    <xf numFmtId="167" fontId="8" fillId="3" borderId="0" pivotButton="0" quotePrefix="0" xfId="0"/>
    <xf numFmtId="3" fontId="8" fillId="3" borderId="0" applyAlignment="1" pivotButton="0" quotePrefix="0" xfId="0">
      <alignment horizontal="right"/>
    </xf>
    <xf numFmtId="3" fontId="8" fillId="3" borderId="0" pivotButton="0" quotePrefix="0" xfId="0"/>
    <xf numFmtId="39" fontId="22" fillId="3" borderId="0" applyAlignment="1" pivotButton="0" quotePrefix="0" xfId="0">
      <alignment horizontal="center"/>
    </xf>
    <xf numFmtId="0" fontId="279" fillId="5" borderId="0" applyAlignment="1" pivotButton="0" quotePrefix="0" xfId="0">
      <alignment horizontal="center"/>
    </xf>
    <xf numFmtId="4" fontId="4" fillId="3" borderId="24" applyAlignment="1" pivotButton="0" quotePrefix="0" xfId="0">
      <alignment horizontal="right" vertical="top"/>
    </xf>
    <xf numFmtId="0" fontId="4" fillId="3" borderId="10" applyAlignment="1" pivotButton="0" quotePrefix="0" xfId="0">
      <alignment horizontal="right"/>
    </xf>
    <xf numFmtId="37" fontId="112" fillId="0" borderId="0" applyAlignment="1" pivotButton="0" quotePrefix="0" xfId="0">
      <alignment horizontal="center"/>
    </xf>
    <xf numFmtId="4" fontId="8" fillId="3" borderId="24" applyAlignment="1" pivotButton="0" quotePrefix="0" xfId="0">
      <alignment horizontal="left"/>
    </xf>
    <xf numFmtId="0" fontId="35" fillId="3" borderId="0" applyAlignment="1" pivotButton="0" quotePrefix="0" xfId="0">
      <alignment horizontal="left"/>
    </xf>
    <xf numFmtId="4" fontId="10" fillId="3" borderId="24" applyAlignment="1" pivotButton="0" quotePrefix="0" xfId="0">
      <alignment horizontal="left"/>
    </xf>
    <xf numFmtId="37" fontId="199" fillId="3" borderId="30" applyAlignment="1" pivotButton="0" quotePrefix="0" xfId="0">
      <alignment horizontal="right"/>
    </xf>
    <xf numFmtId="0" fontId="146" fillId="5" borderId="0" applyAlignment="1" pivotButton="0" quotePrefix="0" xfId="0">
      <alignment horizontal="center"/>
    </xf>
    <xf numFmtId="0" fontId="0" fillId="24" borderId="0" applyAlignment="1" pivotButton="0" quotePrefix="0" xfId="0">
      <alignment vertical="center"/>
    </xf>
    <xf numFmtId="37" fontId="199" fillId="3" borderId="3" applyAlignment="1" pivotButton="0" quotePrefix="0" xfId="0">
      <alignment horizontal="right"/>
    </xf>
    <xf numFmtId="0" fontId="10" fillId="24" borderId="0" pivotButton="0" quotePrefix="0" xfId="0"/>
    <xf numFmtId="0" fontId="205" fillId="0" borderId="0" applyAlignment="1" pivotButton="0" quotePrefix="0" xfId="0">
      <alignment horizontal="center"/>
    </xf>
    <xf numFmtId="3" fontId="43" fillId="3" borderId="24" applyAlignment="1" pivotButton="0" quotePrefix="0" xfId="0">
      <alignment horizontal="right"/>
    </xf>
    <xf numFmtId="1" fontId="4" fillId="7" borderId="24" applyAlignment="1" pivotButton="0" quotePrefix="0" xfId="0">
      <alignment horizontal="right"/>
    </xf>
    <xf numFmtId="0" fontId="137" fillId="0" borderId="0" applyAlignment="1" pivotButton="0" quotePrefix="0" xfId="0">
      <alignment horizontal="center"/>
    </xf>
    <xf numFmtId="37" fontId="167" fillId="3" borderId="3" applyAlignment="1" pivotButton="0" quotePrefix="0" xfId="0">
      <alignment horizontal="center"/>
    </xf>
    <xf numFmtId="0" fontId="8" fillId="3" borderId="0" applyAlignment="1" pivotButton="0" quotePrefix="0" xfId="0">
      <alignment horizontal="left" vertical="center"/>
    </xf>
    <xf numFmtId="3" fontId="4" fillId="0" borderId="0" pivotButton="0" quotePrefix="0" xfId="0"/>
    <xf numFmtId="0" fontId="4" fillId="3" borderId="12" applyAlignment="1" pivotButton="0" quotePrefix="0" xfId="0">
      <alignment horizontal="right"/>
    </xf>
    <xf numFmtId="4" fontId="4" fillId="3" borderId="0" applyAlignment="1" pivotButton="0" quotePrefix="0" xfId="0">
      <alignment horizontal="center"/>
    </xf>
    <xf numFmtId="4" fontId="12" fillId="3" borderId="24" applyAlignment="1" pivotButton="0" quotePrefix="0" xfId="0">
      <alignment horizontal="center"/>
    </xf>
    <xf numFmtId="4" fontId="6" fillId="3" borderId="0" applyAlignment="1" pivotButton="0" quotePrefix="0" xfId="0">
      <alignment horizontal="center"/>
    </xf>
    <xf numFmtId="0" fontId="10" fillId="5" borderId="102" applyAlignment="1" pivotButton="0" quotePrefix="0" xfId="0">
      <alignment horizontal="center"/>
    </xf>
    <xf numFmtId="4" fontId="12" fillId="3" borderId="0" applyAlignment="1" pivotButton="0" quotePrefix="0" xfId="0">
      <alignment horizontal="center"/>
    </xf>
    <xf numFmtId="0" fontId="112" fillId="24" borderId="0" pivotButton="0" quotePrefix="0" xfId="0"/>
    <xf numFmtId="0" fontId="10" fillId="24" borderId="0" applyAlignment="1" pivotButton="0" quotePrefix="0" xfId="0">
      <alignment horizontal="right"/>
    </xf>
    <xf numFmtId="3" fontId="29" fillId="24" borderId="5" applyAlignment="1" pivotButton="0" quotePrefix="0" xfId="0">
      <alignment horizontal="right"/>
    </xf>
    <xf numFmtId="0" fontId="6" fillId="3" borderId="0" applyAlignment="1" pivotButton="0" quotePrefix="0" xfId="0">
      <alignment horizontal="right"/>
    </xf>
    <xf numFmtId="0" fontId="4" fillId="3" borderId="3" applyAlignment="1" pivotButton="0" quotePrefix="1" xfId="0">
      <alignment horizontal="right"/>
    </xf>
    <xf numFmtId="37" fontId="8" fillId="28" borderId="69" applyAlignment="1" pivotButton="0" quotePrefix="0" xfId="0">
      <alignment horizontal="right"/>
    </xf>
    <xf numFmtId="4" fontId="8" fillId="3" borderId="7" applyAlignment="1" pivotButton="0" quotePrefix="0" xfId="0">
      <alignment horizontal="right" vertical="center"/>
    </xf>
    <xf numFmtId="4" fontId="12" fillId="7" borderId="0" applyAlignment="1" pivotButton="0" quotePrefix="0" xfId="0">
      <alignment horizontal="right"/>
    </xf>
    <xf numFmtId="0" fontId="64" fillId="24" borderId="0" pivotButton="0" quotePrefix="0" xfId="0"/>
    <xf numFmtId="0" fontId="12" fillId="3" borderId="0" pivotButton="0" quotePrefix="0" xfId="0"/>
    <xf numFmtId="4" fontId="12" fillId="3" borderId="0" pivotButton="0" quotePrefix="0" xfId="0"/>
    <xf numFmtId="4" fontId="10" fillId="3" borderId="0" pivotButton="0" quotePrefix="0" xfId="0"/>
    <xf numFmtId="1" fontId="8" fillId="3" borderId="0" applyAlignment="1" pivotButton="0" quotePrefix="0" xfId="0">
      <alignment horizontal="center"/>
    </xf>
    <xf numFmtId="39" fontId="125" fillId="3" borderId="0" applyAlignment="1" pivotButton="0" quotePrefix="0" xfId="0">
      <alignment horizontal="center"/>
    </xf>
    <xf numFmtId="0" fontId="10" fillId="3" borderId="4" applyAlignment="1" pivotButton="0" quotePrefix="0" xfId="0">
      <alignment vertical="top"/>
    </xf>
    <xf numFmtId="0" fontId="12" fillId="3" borderId="4" pivotButton="0" quotePrefix="0" xfId="0"/>
    <xf numFmtId="4" fontId="12" fillId="3" borderId="4" pivotButton="0" quotePrefix="0" xfId="0"/>
    <xf numFmtId="4" fontId="10" fillId="3" borderId="4" applyAlignment="1" pivotButton="0" quotePrefix="0" xfId="0">
      <alignment horizontal="right"/>
    </xf>
    <xf numFmtId="4" fontId="4" fillId="3" borderId="4" pivotButton="0" quotePrefix="0" xfId="0"/>
    <xf numFmtId="4" fontId="8" fillId="3" borderId="4" applyAlignment="1" pivotButton="0" quotePrefix="0" xfId="0">
      <alignment horizontal="right"/>
    </xf>
    <xf numFmtId="4" fontId="8" fillId="7" borderId="0" applyAlignment="1" pivotButton="0" quotePrefix="0" xfId="0">
      <alignment horizontal="right"/>
    </xf>
    <xf numFmtId="3" fontId="29" fillId="24" borderId="0" applyAlignment="1" pivotButton="0" quotePrefix="0" xfId="0">
      <alignment horizontal="right"/>
    </xf>
    <xf numFmtId="0" fontId="10" fillId="3" borderId="7" pivotButton="0" quotePrefix="0" xfId="0"/>
    <xf numFmtId="4" fontId="10" fillId="3" borderId="7" applyAlignment="1" pivotButton="0" quotePrefix="0" xfId="0">
      <alignment horizontal="right"/>
    </xf>
    <xf numFmtId="4" fontId="4" fillId="3" borderId="7" pivotButton="0" quotePrefix="0" xfId="0"/>
    <xf numFmtId="4" fontId="112" fillId="0" borderId="0" applyAlignment="1" pivotButton="0" quotePrefix="0" xfId="0">
      <alignment horizontal="right"/>
    </xf>
    <xf numFmtId="0" fontId="29" fillId="24" borderId="21" applyAlignment="1" pivotButton="0" quotePrefix="0" xfId="0">
      <alignment horizontal="center"/>
    </xf>
    <xf numFmtId="3" fontId="29" fillId="24" borderId="4" applyAlignment="1" pivotButton="0" quotePrefix="0" xfId="0">
      <alignment horizontal="right"/>
    </xf>
    <xf numFmtId="3" fontId="10" fillId="24" borderId="4" applyAlignment="1" pivotButton="0" quotePrefix="0" xfId="0">
      <alignment horizontal="center"/>
    </xf>
    <xf numFmtId="0" fontId="10" fillId="24" borderId="4" applyAlignment="1" pivotButton="0" quotePrefix="0" xfId="0">
      <alignment horizontal="left"/>
    </xf>
    <xf numFmtId="0" fontId="10" fillId="24" borderId="4" applyAlignment="1" pivotButton="0" quotePrefix="0" xfId="0">
      <alignment horizontal="center"/>
    </xf>
    <xf numFmtId="0" fontId="64" fillId="24" borderId="4" pivotButton="0" quotePrefix="0" xfId="0"/>
    <xf numFmtId="0" fontId="64" fillId="24" borderId="22" pivotButton="0" quotePrefix="0" xfId="0"/>
    <xf numFmtId="0" fontId="49" fillId="9" borderId="0" applyAlignment="1" pivotButton="0" quotePrefix="0" xfId="0">
      <alignment horizontal="center" vertical="center"/>
    </xf>
    <xf numFmtId="0" fontId="20" fillId="3" borderId="0" applyAlignment="1" pivotButton="0" quotePrefix="0" xfId="0">
      <alignment vertical="center"/>
    </xf>
    <xf numFmtId="0" fontId="4" fillId="3" borderId="0" pivotButton="0" quotePrefix="0" xfId="0"/>
    <xf numFmtId="0" fontId="47" fillId="3" borderId="0" pivotButton="0" quotePrefix="0" xfId="0"/>
    <xf numFmtId="4" fontId="47" fillId="3" borderId="0" pivotButton="0" quotePrefix="0" xfId="0"/>
    <xf numFmtId="39" fontId="54" fillId="3" borderId="0" pivotButton="0" quotePrefix="0" xfId="0"/>
    <xf numFmtId="39" fontId="54" fillId="7" borderId="0" pivotButton="0" quotePrefix="0" xfId="0"/>
    <xf numFmtId="0" fontId="29" fillId="0" borderId="0" applyAlignment="1" pivotButton="0" quotePrefix="0" xfId="0">
      <alignment horizontal="center"/>
    </xf>
    <xf numFmtId="3" fontId="29" fillId="0" borderId="0" applyAlignment="1" pivotButton="0" quotePrefix="0" xfId="0">
      <alignment horizontal="right"/>
    </xf>
    <xf numFmtId="3" fontId="10" fillId="0" borderId="0" applyAlignment="1" pivotButton="0" quotePrefix="0" xfId="0">
      <alignment horizontal="center"/>
    </xf>
    <xf numFmtId="0" fontId="10" fillId="0" borderId="0" applyAlignment="1" pivotButton="0" quotePrefix="0" xfId="0">
      <alignment horizontal="left"/>
    </xf>
    <xf numFmtId="0" fontId="64" fillId="0" borderId="0" pivotButton="0" quotePrefix="0" xfId="0"/>
    <xf numFmtId="0" fontId="4" fillId="3" borderId="1" applyAlignment="1" pivotButton="0" quotePrefix="0" xfId="0">
      <alignment horizontal="right"/>
    </xf>
    <xf numFmtId="0" fontId="4" fillId="3" borderId="1" pivotButton="0" quotePrefix="0" xfId="0"/>
    <xf numFmtId="0" fontId="6" fillId="3" borderId="1" pivotButton="0" quotePrefix="0" xfId="0"/>
    <xf numFmtId="0" fontId="47" fillId="3" borderId="1" pivotButton="0" quotePrefix="0" xfId="0"/>
    <xf numFmtId="4" fontId="47" fillId="3" borderId="1" pivotButton="0" quotePrefix="0" xfId="0"/>
    <xf numFmtId="39" fontId="54" fillId="3" borderId="1" pivotButton="0" quotePrefix="0" xfId="0"/>
    <xf numFmtId="0" fontId="6" fillId="5" borderId="0" applyAlignment="1" pivotButton="0" quotePrefix="0" xfId="0">
      <alignment horizontal="right"/>
    </xf>
    <xf numFmtId="0" fontId="37" fillId="3" borderId="0" applyAlignment="1" pivotButton="0" quotePrefix="0" xfId="0">
      <alignment horizontal="left" vertical="top"/>
    </xf>
    <xf numFmtId="1" fontId="4" fillId="3" borderId="6" applyAlignment="1" pivotButton="0" quotePrefix="0" xfId="0">
      <alignment horizontal="right"/>
    </xf>
    <xf numFmtId="37" fontId="43" fillId="3" borderId="3" applyAlignment="1" pivotButton="0" quotePrefix="0" xfId="0">
      <alignment horizontal="right"/>
    </xf>
    <xf numFmtId="0" fontId="6" fillId="5" borderId="0" applyAlignment="1" pivotButton="0" quotePrefix="0" xfId="0">
      <alignment horizontal="left"/>
    </xf>
    <xf numFmtId="0" fontId="67" fillId="15" borderId="4" applyAlignment="1" pivotButton="0" quotePrefix="0" xfId="2">
      <alignment horizontal="left"/>
    </xf>
    <xf numFmtId="0" fontId="0" fillId="15" borderId="4" applyAlignment="1" pivotButton="0" quotePrefix="0" xfId="0">
      <alignment horizontal="left"/>
    </xf>
    <xf numFmtId="0" fontId="6" fillId="24" borderId="7" applyAlignment="1" pivotButton="0" quotePrefix="0" xfId="0">
      <alignment horizontal="left" vertical="top"/>
    </xf>
    <xf numFmtId="0" fontId="6" fillId="24" borderId="19" applyAlignment="1" pivotButton="0" quotePrefix="0" xfId="0">
      <alignment horizontal="left" vertical="top"/>
    </xf>
    <xf numFmtId="4" fontId="10" fillId="7" borderId="15" pivotButton="0" quotePrefix="0" xfId="0"/>
    <xf numFmtId="0" fontId="6" fillId="24" borderId="0" applyAlignment="1" pivotButton="0" quotePrefix="0" xfId="0">
      <alignment horizontal="left" vertical="top"/>
    </xf>
    <xf numFmtId="0" fontId="6" fillId="24" borderId="20" applyAlignment="1" pivotButton="0" quotePrefix="0" xfId="0">
      <alignment horizontal="left" vertical="top"/>
    </xf>
    <xf numFmtId="0" fontId="5" fillId="24" borderId="4" applyAlignment="1" pivotButton="0" quotePrefix="0" xfId="0">
      <alignment horizontal="left"/>
    </xf>
    <xf numFmtId="0" fontId="6" fillId="24" borderId="22" applyAlignment="1" pivotButton="0" quotePrefix="0" xfId="0">
      <alignment horizontal="left" vertical="top"/>
    </xf>
    <xf numFmtId="0" fontId="4" fillId="24" borderId="23" applyAlignment="1" pivotButton="0" quotePrefix="0" xfId="0">
      <alignment horizontal="right"/>
    </xf>
    <xf numFmtId="0" fontId="6" fillId="24" borderId="7" pivotButton="0" quotePrefix="0" xfId="0"/>
    <xf numFmtId="0" fontId="6" fillId="24" borderId="19" pivotButton="0" quotePrefix="0" xfId="0"/>
    <xf numFmtId="164" fontId="4" fillId="24" borderId="5" applyAlignment="1" pivotButton="0" quotePrefix="0" xfId="0">
      <alignment horizontal="right"/>
    </xf>
    <xf numFmtId="0" fontId="6" fillId="24" borderId="0" applyAlignment="1" pivotButton="0" quotePrefix="0" xfId="0">
      <alignment vertical="center"/>
    </xf>
    <xf numFmtId="0" fontId="4" fillId="24" borderId="0" pivotButton="0" quotePrefix="0" xfId="0"/>
    <xf numFmtId="4" fontId="8" fillId="24" borderId="0" pivotButton="0" quotePrefix="0" xfId="0"/>
    <xf numFmtId="0" fontId="9" fillId="24" borderId="0" pivotButton="0" quotePrefix="0" xfId="0"/>
    <xf numFmtId="3" fontId="8" fillId="24" borderId="0" pivotButton="0" quotePrefix="0" xfId="0"/>
    <xf numFmtId="0" fontId="0" fillId="24" borderId="20" pivotButton="0" quotePrefix="0" xfId="0"/>
    <xf numFmtId="0" fontId="4" fillId="24" borderId="5" applyAlignment="1" pivotButton="0" quotePrefix="0" xfId="0">
      <alignment horizontal="right"/>
    </xf>
    <xf numFmtId="4" fontId="9" fillId="24" borderId="0" applyAlignment="1" pivotButton="0" quotePrefix="0" xfId="0">
      <alignment horizontal="right"/>
    </xf>
    <xf numFmtId="164" fontId="9" fillId="24" borderId="0" applyAlignment="1" pivotButton="0" quotePrefix="0" xfId="0">
      <alignment horizontal="right"/>
    </xf>
    <xf numFmtId="3" fontId="8" fillId="27" borderId="1" pivotButton="0" quotePrefix="0" xfId="0"/>
    <xf numFmtId="0" fontId="4" fillId="24" borderId="5" applyAlignment="1" pivotButton="0" quotePrefix="0" xfId="0">
      <alignment vertical="top"/>
    </xf>
    <xf numFmtId="0" fontId="10" fillId="24" borderId="0" applyAlignment="1" pivotButton="0" quotePrefix="0" xfId="0">
      <alignment vertical="top"/>
    </xf>
    <xf numFmtId="0" fontId="9" fillId="24" borderId="0" applyAlignment="1" pivotButton="0" quotePrefix="0" xfId="0">
      <alignment horizontal="right" vertical="top"/>
    </xf>
    <xf numFmtId="164" fontId="9" fillId="24" borderId="0" applyAlignment="1" pivotButton="0" quotePrefix="0" xfId="0">
      <alignment vertical="top"/>
    </xf>
    <xf numFmtId="3" fontId="8" fillId="24" borderId="0" applyAlignment="1" pivotButton="0" quotePrefix="0" xfId="0">
      <alignment vertical="top"/>
    </xf>
    <xf numFmtId="0" fontId="0" fillId="24" borderId="20" applyAlignment="1" pivotButton="0" quotePrefix="0" xfId="0">
      <alignment vertical="top"/>
    </xf>
    <xf numFmtId="0" fontId="4" fillId="24" borderId="5" pivotButton="0" quotePrefix="0" xfId="0"/>
    <xf numFmtId="0" fontId="8" fillId="24" borderId="0" applyAlignment="1" pivotButton="0" quotePrefix="0" xfId="0">
      <alignment vertical="center"/>
    </xf>
    <xf numFmtId="164" fontId="9" fillId="24" borderId="0" pivotButton="0" quotePrefix="0" xfId="0"/>
    <xf numFmtId="0" fontId="9" fillId="24" borderId="0" applyAlignment="1" pivotButton="0" quotePrefix="0" xfId="0">
      <alignment horizontal="right"/>
    </xf>
    <xf numFmtId="4" fontId="9" fillId="3" borderId="24" applyAlignment="1" pivotButton="0" quotePrefix="0" xfId="0">
      <alignment horizontal="left" vertical="center"/>
    </xf>
    <xf numFmtId="0" fontId="12" fillId="24" borderId="5" applyAlignment="1" pivotButton="0" quotePrefix="0" xfId="0">
      <alignment horizontal="right"/>
    </xf>
    <xf numFmtId="0" fontId="27" fillId="3" borderId="0" applyAlignment="1" pivotButton="0" quotePrefix="0" xfId="0">
      <alignment horizontal="center"/>
    </xf>
    <xf numFmtId="0" fontId="12" fillId="24" borderId="5" applyAlignment="1" pivotButton="0" quotePrefix="0" xfId="0">
      <alignment horizontal="right" vertical="top"/>
    </xf>
    <xf numFmtId="0" fontId="9" fillId="24" borderId="0" applyAlignment="1" pivotButton="0" quotePrefix="0" xfId="0">
      <alignment vertical="top"/>
    </xf>
    <xf numFmtId="4" fontId="10" fillId="7" borderId="0" pivotButton="0" quotePrefix="0" xfId="0"/>
    <xf numFmtId="0" fontId="88" fillId="0" borderId="0" pivotButton="0" quotePrefix="0" xfId="0"/>
    <xf numFmtId="0" fontId="12" fillId="0" borderId="0" applyAlignment="1" pivotButton="0" quotePrefix="0" xfId="0">
      <alignment horizontal="center"/>
    </xf>
    <xf numFmtId="39" fontId="110" fillId="3" borderId="3" applyAlignment="1" pivotButton="0" quotePrefix="0" xfId="0">
      <alignment horizontal="right"/>
    </xf>
    <xf numFmtId="39" fontId="110" fillId="0" borderId="0" applyAlignment="1" pivotButton="0" quotePrefix="0" xfId="0">
      <alignment horizontal="right"/>
    </xf>
    <xf numFmtId="0" fontId="47" fillId="0" borderId="0" applyAlignment="1" pivotButton="0" quotePrefix="0" xfId="0">
      <alignment horizontal="center"/>
    </xf>
    <xf numFmtId="0" fontId="162" fillId="5" borderId="0" pivotButton="0" quotePrefix="0" xfId="0"/>
    <xf numFmtId="4" fontId="6" fillId="24" borderId="0" pivotButton="0" quotePrefix="0" xfId="0"/>
    <xf numFmtId="4" fontId="8" fillId="24" borderId="8" applyAlignment="1" pivotButton="0" quotePrefix="0" xfId="0">
      <alignment vertical="center" wrapText="1"/>
    </xf>
    <xf numFmtId="164" fontId="9" fillId="24" borderId="5" applyAlignment="1" pivotButton="0" quotePrefix="0" xfId="0">
      <alignment horizontal="right"/>
    </xf>
    <xf numFmtId="4" fontId="8" fillId="24" borderId="0" applyAlignment="1" pivotButton="0" quotePrefix="0" xfId="0">
      <alignment vertical="center" wrapText="1"/>
    </xf>
    <xf numFmtId="0" fontId="12" fillId="24" borderId="21" applyAlignment="1" pivotButton="0" quotePrefix="0" xfId="0">
      <alignment horizontal="right"/>
    </xf>
    <xf numFmtId="0" fontId="57" fillId="24" borderId="4" applyAlignment="1" pivotButton="0" quotePrefix="0" xfId="0">
      <alignment vertical="center"/>
    </xf>
    <xf numFmtId="0" fontId="10" fillId="24" borderId="4" pivotButton="0" quotePrefix="0" xfId="0"/>
    <xf numFmtId="0" fontId="12" fillId="24" borderId="4" applyAlignment="1" pivotButton="0" quotePrefix="0" xfId="0">
      <alignment horizontal="right"/>
    </xf>
    <xf numFmtId="4" fontId="8" fillId="24" borderId="4" pivotButton="0" quotePrefix="0" xfId="0"/>
    <xf numFmtId="0" fontId="9" fillId="24" borderId="4" pivotButton="0" quotePrefix="0" xfId="0"/>
    <xf numFmtId="3" fontId="8" fillId="24" borderId="4" pivotButton="0" quotePrefix="0" xfId="0"/>
    <xf numFmtId="0" fontId="0" fillId="24" borderId="22" pivotButton="0" quotePrefix="0" xfId="0"/>
    <xf numFmtId="0" fontId="4" fillId="24" borderId="23" applyAlignment="1" pivotButton="0" quotePrefix="0" xfId="0">
      <alignment horizontal="left" vertical="center"/>
    </xf>
    <xf numFmtId="0" fontId="0" fillId="24" borderId="7" applyAlignment="1" pivotButton="0" quotePrefix="0" xfId="0">
      <alignment horizontal="left" vertical="center"/>
    </xf>
    <xf numFmtId="37" fontId="8" fillId="28" borderId="39" applyAlignment="1" pivotButton="0" quotePrefix="0" xfId="0">
      <alignment horizontal="right"/>
    </xf>
    <xf numFmtId="0" fontId="15" fillId="24" borderId="5" applyAlignment="1" pivotButton="0" quotePrefix="0" xfId="0">
      <alignment horizontal="left" vertical="center"/>
    </xf>
    <xf numFmtId="0" fontId="0" fillId="24" borderId="0" applyAlignment="1" pivotButton="0" quotePrefix="0" xfId="0">
      <alignment horizontal="left" vertical="center"/>
    </xf>
    <xf numFmtId="0" fontId="0" fillId="24" borderId="21" applyAlignment="1" pivotButton="0" quotePrefix="0" xfId="0">
      <alignment horizontal="left" vertical="center"/>
    </xf>
    <xf numFmtId="0" fontId="0" fillId="24" borderId="4" applyAlignment="1" pivotButton="0" quotePrefix="0" xfId="0">
      <alignment horizontal="left" vertical="center"/>
    </xf>
    <xf numFmtId="0" fontId="5" fillId="24" borderId="4" applyAlignment="1" pivotButton="0" quotePrefix="0" xfId="0">
      <alignment horizontal="right"/>
    </xf>
    <xf numFmtId="0" fontId="35" fillId="3" borderId="0" applyAlignment="1" pivotButton="0" quotePrefix="0" xfId="0">
      <alignment horizontal="center"/>
    </xf>
    <xf numFmtId="0" fontId="4" fillId="24" borderId="107" pivotButton="0" quotePrefix="0" xfId="0"/>
    <xf numFmtId="0" fontId="0" fillId="24" borderId="27" pivotButton="0" quotePrefix="0" xfId="0"/>
    <xf numFmtId="0" fontId="138" fillId="24" borderId="27" pivotButton="0" quotePrefix="0" xfId="0"/>
    <xf numFmtId="0" fontId="0" fillId="24" borderId="108" pivotButton="0" quotePrefix="0" xfId="0"/>
    <xf numFmtId="0" fontId="10" fillId="24" borderId="80" applyAlignment="1" pivotButton="0" quotePrefix="0" xfId="0">
      <alignment horizontal="right"/>
    </xf>
    <xf numFmtId="0" fontId="10" fillId="24" borderId="8" pivotButton="0" quotePrefix="0" xfId="0"/>
    <xf numFmtId="0" fontId="10" fillId="24" borderId="88" pivotButton="0" quotePrefix="0" xfId="0"/>
    <xf numFmtId="0" fontId="10" fillId="24" borderId="5" applyAlignment="1" pivotButton="0" quotePrefix="0" xfId="0">
      <alignment horizontal="right"/>
    </xf>
    <xf numFmtId="0" fontId="10" fillId="24" borderId="0" applyAlignment="1" pivotButton="0" quotePrefix="0" xfId="0">
      <alignment horizontal="left" indent="1"/>
    </xf>
    <xf numFmtId="3" fontId="9" fillId="27" borderId="1" pivotButton="0" quotePrefix="0" xfId="0"/>
    <xf numFmtId="0" fontId="10" fillId="24" borderId="20" pivotButton="0" quotePrefix="0" xfId="0"/>
    <xf numFmtId="4" fontId="10" fillId="7" borderId="24" pivotButton="0" quotePrefix="0" xfId="0"/>
    <xf numFmtId="39" fontId="112" fillId="3" borderId="3" applyAlignment="1" pivotButton="0" quotePrefix="0" xfId="0">
      <alignment horizontal="right"/>
    </xf>
    <xf numFmtId="37" fontId="8" fillId="3" borderId="0" applyAlignment="1" pivotButton="0" quotePrefix="0" xfId="0">
      <alignment horizontal="right"/>
    </xf>
    <xf numFmtId="0" fontId="12" fillId="24" borderId="0" applyAlignment="1" pivotButton="0" quotePrefix="0" xfId="0">
      <alignment horizontal="left" indent="1"/>
    </xf>
    <xf numFmtId="0" fontId="165" fillId="24" borderId="5" applyAlignment="1" pivotButton="0" quotePrefix="0" xfId="0">
      <alignment horizontal="right"/>
    </xf>
    <xf numFmtId="37" fontId="9" fillId="3" borderId="0" applyAlignment="1" pivotButton="0" quotePrefix="0" xfId="0">
      <alignment horizontal="left"/>
    </xf>
    <xf numFmtId="1" fontId="6" fillId="3" borderId="0" applyAlignment="1" pivotButton="0" quotePrefix="0" xfId="0">
      <alignment horizontal="center"/>
    </xf>
    <xf numFmtId="0" fontId="278" fillId="5" borderId="0" pivotButton="0" quotePrefix="0" xfId="0"/>
    <xf numFmtId="3" fontId="112" fillId="24" borderId="0" pivotButton="0" quotePrefix="0" xfId="0"/>
    <xf numFmtId="4" fontId="110" fillId="2" borderId="0" applyAlignment="1" pivotButton="0" quotePrefix="0" xfId="0">
      <alignment horizontal="center"/>
    </xf>
    <xf numFmtId="4" fontId="6" fillId="2" borderId="0" applyAlignment="1" pivotButton="0" quotePrefix="0" xfId="0">
      <alignment horizontal="center"/>
    </xf>
    <xf numFmtId="4" fontId="112" fillId="24" borderId="0" pivotButton="0" quotePrefix="0" xfId="0"/>
    <xf numFmtId="4" fontId="6" fillId="0" borderId="0" applyAlignment="1" pivotButton="0" quotePrefix="0" xfId="0">
      <alignment horizontal="center"/>
    </xf>
    <xf numFmtId="3" fontId="116" fillId="3" borderId="0" applyAlignment="1" pivotButton="0" quotePrefix="0" xfId="0">
      <alignment horizontal="right"/>
    </xf>
    <xf numFmtId="0" fontId="125" fillId="3" borderId="3" applyAlignment="1" pivotButton="0" quotePrefix="0" xfId="0">
      <alignment horizontal="right"/>
    </xf>
    <xf numFmtId="4" fontId="6" fillId="15" borderId="0" applyAlignment="1" pivotButton="0" quotePrefix="0" xfId="0">
      <alignment horizontal="center"/>
    </xf>
    <xf numFmtId="0" fontId="10" fillId="24" borderId="21" applyAlignment="1" pivotButton="0" quotePrefix="0" xfId="0">
      <alignment horizontal="right"/>
    </xf>
    <xf numFmtId="0" fontId="10" fillId="24" borderId="4" applyAlignment="1" pivotButton="0" quotePrefix="0" xfId="0">
      <alignment horizontal="left" indent="1"/>
    </xf>
    <xf numFmtId="0" fontId="10" fillId="24" borderId="22" pivotButton="0" quotePrefix="0" xfId="0"/>
    <xf numFmtId="0" fontId="6" fillId="3" borderId="0" applyAlignment="1" pivotButton="0" quotePrefix="0" xfId="0">
      <alignment horizontal="left" vertical="top"/>
    </xf>
    <xf numFmtId="0" fontId="4" fillId="3" borderId="30" applyAlignment="1" pivotButton="0" quotePrefix="0" xfId="0">
      <alignment horizontal="right"/>
    </xf>
    <xf numFmtId="0" fontId="161" fillId="0" borderId="0" applyAlignment="1" pivotButton="0" quotePrefix="0" xfId="0">
      <alignment horizontal="center" vertical="center"/>
    </xf>
    <xf numFmtId="0" fontId="6" fillId="0" borderId="1" applyAlignment="1" pivotButton="0" quotePrefix="0" xfId="0">
      <alignment horizontal="center"/>
    </xf>
    <xf numFmtId="0" fontId="10" fillId="2" borderId="0" applyAlignment="1" pivotButton="0" quotePrefix="0" xfId="0">
      <alignment horizontal="center" vertical="center"/>
    </xf>
    <xf numFmtId="0" fontId="67" fillId="0" borderId="0" applyAlignment="1" pivotButton="0" quotePrefix="0" xfId="2">
      <alignment horizontal="center" vertical="top" wrapText="1"/>
    </xf>
    <xf numFmtId="169" fontId="6" fillId="0" borderId="0" applyAlignment="1" pivotButton="0" quotePrefix="0" xfId="0">
      <alignment horizontal="center" vertical="top" wrapText="1"/>
    </xf>
    <xf numFmtId="0" fontId="6" fillId="0" borderId="0" applyAlignment="1" pivotButton="0" quotePrefix="1" xfId="0">
      <alignment horizontal="left" vertical="top"/>
    </xf>
    <xf numFmtId="1" fontId="4" fillId="3" borderId="0" applyAlignment="1" pivotButton="0" quotePrefix="0" xfId="0">
      <alignment horizontal="right"/>
    </xf>
    <xf numFmtId="4" fontId="9" fillId="3" borderId="0" applyAlignment="1" pivotButton="0" quotePrefix="0" xfId="0">
      <alignment horizontal="right"/>
    </xf>
    <xf numFmtId="39" fontId="10" fillId="3" borderId="0" applyAlignment="1" pivotButton="0" quotePrefix="0" xfId="0">
      <alignment horizontal="right"/>
    </xf>
    <xf numFmtId="39" fontId="29" fillId="3" borderId="0" applyAlignment="1" pivotButton="0" quotePrefix="0" xfId="0">
      <alignment horizontal="center"/>
    </xf>
    <xf numFmtId="0" fontId="40" fillId="3" borderId="0" applyAlignment="1" pivotButton="0" quotePrefix="0" xfId="0">
      <alignment horizontal="right"/>
    </xf>
    <xf numFmtId="0" fontId="29" fillId="2" borderId="0" applyAlignment="1" pivotButton="0" quotePrefix="0" xfId="0">
      <alignment horizontal="center"/>
    </xf>
    <xf numFmtId="0" fontId="4" fillId="29" borderId="23" applyAlignment="1" pivotButton="0" quotePrefix="0" xfId="0">
      <alignment horizontal="right"/>
    </xf>
    <xf numFmtId="0" fontId="4" fillId="29" borderId="7" applyAlignment="1" pivotButton="0" quotePrefix="0" xfId="0">
      <alignment horizontal="right"/>
    </xf>
    <xf numFmtId="0" fontId="6" fillId="29" borderId="7" applyAlignment="1" pivotButton="0" quotePrefix="0" xfId="0">
      <alignment horizontal="left"/>
    </xf>
    <xf numFmtId="0" fontId="10" fillId="29" borderId="7" applyAlignment="1" pivotButton="0" quotePrefix="0" xfId="0">
      <alignment horizontal="left"/>
    </xf>
    <xf numFmtId="0" fontId="10" fillId="29" borderId="7" applyAlignment="1" pivotButton="0" quotePrefix="0" xfId="0">
      <alignment horizontal="right"/>
    </xf>
    <xf numFmtId="0" fontId="117" fillId="29" borderId="7" applyAlignment="1" pivotButton="0" quotePrefix="0" xfId="0">
      <alignment horizontal="right"/>
    </xf>
    <xf numFmtId="0" fontId="10" fillId="29" borderId="19" applyAlignment="1" pivotButton="0" quotePrefix="0" xfId="0">
      <alignment horizontal="left"/>
    </xf>
    <xf numFmtId="0" fontId="112" fillId="15" borderId="0" pivotButton="0" quotePrefix="0" xfId="0"/>
    <xf numFmtId="0" fontId="4" fillId="29" borderId="5" applyAlignment="1" pivotButton="0" quotePrefix="0" xfId="0">
      <alignment horizontal="right"/>
    </xf>
    <xf numFmtId="0" fontId="6" fillId="29" borderId="0" applyAlignment="1" pivotButton="0" quotePrefix="0" xfId="0">
      <alignment horizontal="left"/>
    </xf>
    <xf numFmtId="0" fontId="10" fillId="29" borderId="0" applyAlignment="1" pivotButton="0" quotePrefix="0" xfId="0">
      <alignment horizontal="left"/>
    </xf>
    <xf numFmtId="0" fontId="4" fillId="29" borderId="0" applyAlignment="1" pivotButton="0" quotePrefix="0" xfId="0">
      <alignment horizontal="right"/>
    </xf>
    <xf numFmtId="0" fontId="10" fillId="29" borderId="20" applyAlignment="1" pivotButton="0" quotePrefix="0" xfId="0">
      <alignment horizontal="left"/>
    </xf>
    <xf numFmtId="0" fontId="10" fillId="15" borderId="97" pivotButton="0" quotePrefix="0" xfId="0"/>
    <xf numFmtId="0" fontId="0" fillId="15" borderId="94" pivotButton="0" quotePrefix="0" xfId="0"/>
    <xf numFmtId="0" fontId="10" fillId="15" borderId="94" pivotButton="0" quotePrefix="1" xfId="0"/>
    <xf numFmtId="0" fontId="0" fillId="15" borderId="95" pivotButton="0" quotePrefix="0" xfId="0"/>
    <xf numFmtId="0" fontId="10" fillId="15" borderId="0" pivotButton="0" quotePrefix="1" xfId="0"/>
    <xf numFmtId="0" fontId="4" fillId="29" borderId="0" applyAlignment="1" pivotButton="0" quotePrefix="0" xfId="0">
      <alignment horizontal="left"/>
    </xf>
    <xf numFmtId="0" fontId="10" fillId="29" borderId="0" applyAlignment="1" pivotButton="0" quotePrefix="0" xfId="0">
      <alignment horizontal="right"/>
    </xf>
    <xf numFmtId="0" fontId="10" fillId="2" borderId="0" applyAlignment="1" pivotButton="0" quotePrefix="0" xfId="0">
      <alignment horizontal="left" vertical="center"/>
    </xf>
    <xf numFmtId="0" fontId="10" fillId="15" borderId="157" pivotButton="0" quotePrefix="0" xfId="0"/>
    <xf numFmtId="0" fontId="0" fillId="15" borderId="154" pivotButton="0" quotePrefix="0" xfId="0"/>
    <xf numFmtId="0" fontId="10" fillId="15" borderId="154" pivotButton="0" quotePrefix="0" xfId="0"/>
    <xf numFmtId="0" fontId="0" fillId="15" borderId="84" pivotButton="0" quotePrefix="0" xfId="0"/>
    <xf numFmtId="0" fontId="6" fillId="29" borderId="0" applyAlignment="1" pivotButton="0" quotePrefix="0" xfId="0">
      <alignment horizontal="right"/>
    </xf>
    <xf numFmtId="0" fontId="121" fillId="29" borderId="0" applyAlignment="1" pivotButton="0" quotePrefix="0" xfId="0">
      <alignment horizontal="left"/>
    </xf>
    <xf numFmtId="0" fontId="10" fillId="15" borderId="98" pivotButton="0" quotePrefix="0" xfId="0"/>
    <xf numFmtId="39" fontId="112" fillId="3" borderId="0" applyAlignment="1" pivotButton="0" quotePrefix="0" xfId="0">
      <alignment horizontal="center"/>
    </xf>
    <xf numFmtId="0" fontId="106" fillId="15" borderId="0" pivotButton="0" quotePrefix="0" xfId="0"/>
    <xf numFmtId="0" fontId="199" fillId="2" borderId="0" pivotButton="0" quotePrefix="0" xfId="0"/>
    <xf numFmtId="37" fontId="112" fillId="3" borderId="0" applyAlignment="1" pivotButton="0" quotePrefix="0" xfId="0">
      <alignment horizontal="center"/>
    </xf>
    <xf numFmtId="0" fontId="112" fillId="2" borderId="0" applyAlignment="1" pivotButton="0" quotePrefix="0" xfId="0">
      <alignment horizontal="left"/>
    </xf>
    <xf numFmtId="172" fontId="138" fillId="29" borderId="0" applyAlignment="1" pivotButton="0" quotePrefix="0" xfId="0">
      <alignment horizontal="right"/>
    </xf>
    <xf numFmtId="0" fontId="4" fillId="29" borderId="26" applyAlignment="1" pivotButton="0" quotePrefix="0" xfId="0">
      <alignment horizontal="right" vertical="center"/>
    </xf>
    <xf numFmtId="0" fontId="6" fillId="29" borderId="1" applyAlignment="1" pivotButton="0" quotePrefix="0" xfId="0">
      <alignment horizontal="left" vertical="center"/>
    </xf>
    <xf numFmtId="0" fontId="10" fillId="29" borderId="1" applyAlignment="1" pivotButton="0" quotePrefix="0" xfId="0">
      <alignment horizontal="left" vertical="center"/>
    </xf>
    <xf numFmtId="0" fontId="4" fillId="29" borderId="1" applyAlignment="1" pivotButton="0" quotePrefix="0" xfId="0">
      <alignment horizontal="right" vertical="center"/>
    </xf>
    <xf numFmtId="0" fontId="10" fillId="29" borderId="29" applyAlignment="1" pivotButton="0" quotePrefix="0" xfId="0">
      <alignment horizontal="left" vertical="center"/>
    </xf>
    <xf numFmtId="39" fontId="29" fillId="3" borderId="0" applyAlignment="1" pivotButton="0" quotePrefix="0" xfId="0">
      <alignment horizontal="center" vertical="center"/>
    </xf>
    <xf numFmtId="0" fontId="10" fillId="2" borderId="0" applyAlignment="1" pivotButton="0" quotePrefix="0" xfId="0">
      <alignment vertical="center"/>
    </xf>
    <xf numFmtId="0" fontId="4" fillId="29" borderId="5" applyAlignment="1" pivotButton="0" quotePrefix="1" xfId="0">
      <alignment horizontal="right"/>
    </xf>
    <xf numFmtId="0" fontId="4" fillId="29" borderId="0" applyAlignment="1" pivotButton="0" quotePrefix="1" xfId="0">
      <alignment horizontal="right"/>
    </xf>
    <xf numFmtId="0" fontId="8" fillId="29" borderId="0" applyAlignment="1" pivotButton="0" quotePrefix="0" xfId="0">
      <alignment horizontal="left"/>
    </xf>
    <xf numFmtId="1" fontId="4" fillId="29" borderId="0" applyAlignment="1" pivotButton="0" quotePrefix="0" xfId="0">
      <alignment horizontal="right"/>
    </xf>
    <xf numFmtId="3" fontId="9" fillId="29" borderId="0" applyAlignment="1" pivotButton="0" quotePrefix="0" xfId="0">
      <alignment horizontal="right"/>
    </xf>
    <xf numFmtId="39" fontId="10" fillId="29" borderId="0" applyAlignment="1" pivotButton="0" quotePrefix="0" xfId="0">
      <alignment horizontal="right"/>
    </xf>
    <xf numFmtId="39" fontId="10" fillId="29" borderId="20" applyAlignment="1" pivotButton="0" quotePrefix="0" xfId="0">
      <alignment horizontal="right"/>
    </xf>
    <xf numFmtId="3" fontId="8" fillId="3" borderId="0" applyAlignment="1" pivotButton="0" quotePrefix="0" xfId="0">
      <alignment horizontal="center"/>
    </xf>
    <xf numFmtId="0" fontId="12" fillId="29" borderId="0" applyAlignment="1" pivotButton="0" quotePrefix="0" xfId="0">
      <alignment horizontal="right"/>
    </xf>
    <xf numFmtId="3" fontId="278" fillId="3" borderId="0" applyAlignment="1" pivotButton="0" quotePrefix="0" xfId="0">
      <alignment horizontal="center"/>
    </xf>
    <xf numFmtId="1" fontId="4" fillId="29" borderId="0" applyAlignment="1" pivotButton="0" quotePrefix="1" xfId="0">
      <alignment horizontal="right"/>
    </xf>
    <xf numFmtId="3" fontId="106" fillId="29" borderId="0" applyAlignment="1" pivotButton="0" quotePrefix="0" xfId="0">
      <alignment horizontal="right"/>
    </xf>
    <xf numFmtId="0" fontId="112" fillId="29" borderId="0" applyAlignment="1" pivotButton="0" quotePrefix="0" xfId="0">
      <alignment horizontal="center"/>
    </xf>
    <xf numFmtId="39" fontId="10" fillId="29" borderId="26" applyAlignment="1" pivotButton="0" quotePrefix="0" xfId="0">
      <alignment horizontal="right"/>
    </xf>
    <xf numFmtId="39" fontId="10" fillId="29" borderId="1" applyAlignment="1" pivotButton="0" quotePrefix="0" xfId="0">
      <alignment horizontal="right"/>
    </xf>
    <xf numFmtId="39" fontId="10" fillId="29" borderId="29" applyAlignment="1" pivotButton="0" quotePrefix="0" xfId="0">
      <alignment horizontal="right"/>
    </xf>
    <xf numFmtId="0" fontId="11" fillId="3" borderId="1" applyAlignment="1" pivotButton="0" quotePrefix="0" xfId="0">
      <alignment horizontal="left"/>
    </xf>
    <xf numFmtId="0" fontId="10" fillId="3" borderId="1" applyAlignment="1" pivotButton="0" quotePrefix="0" xfId="0">
      <alignment horizontal="left"/>
    </xf>
    <xf numFmtId="0" fontId="40" fillId="3" borderId="1" applyAlignment="1" pivotButton="0" quotePrefix="0" xfId="0">
      <alignment horizontal="right"/>
    </xf>
    <xf numFmtId="39" fontId="40" fillId="3" borderId="1" applyAlignment="1" pivotButton="0" quotePrefix="0" xfId="0">
      <alignment horizontal="right"/>
    </xf>
    <xf numFmtId="39" fontId="10" fillId="3" borderId="1" applyAlignment="1" pivotButton="0" quotePrefix="0" xfId="0">
      <alignment horizontal="right"/>
    </xf>
    <xf numFmtId="0" fontId="27" fillId="29" borderId="0" applyAlignment="1" pivotButton="0" quotePrefix="0" xfId="0">
      <alignment horizontal="left"/>
    </xf>
    <xf numFmtId="0" fontId="9" fillId="29" borderId="0" applyAlignment="1" pivotButton="0" quotePrefix="0" xfId="0">
      <alignment horizontal="right" vertical="center"/>
    </xf>
    <xf numFmtId="0" fontId="27" fillId="29" borderId="5" applyAlignment="1" pivotButton="0" quotePrefix="0" xfId="0">
      <alignment horizontal="right"/>
    </xf>
    <xf numFmtId="0" fontId="27" fillId="29" borderId="0" applyAlignment="1" pivotButton="0" quotePrefix="0" xfId="0">
      <alignment horizontal="right"/>
    </xf>
    <xf numFmtId="39" fontId="10" fillId="29" borderId="21" applyAlignment="1" pivotButton="0" quotePrefix="0" xfId="0">
      <alignment horizontal="right"/>
    </xf>
    <xf numFmtId="39" fontId="10" fillId="29" borderId="4" applyAlignment="1" pivotButton="0" quotePrefix="0" xfId="0">
      <alignment horizontal="right"/>
    </xf>
    <xf numFmtId="39" fontId="10" fillId="29" borderId="22" applyAlignment="1" pivotButton="0" quotePrefix="0" xfId="0">
      <alignment horizontal="right"/>
    </xf>
    <xf numFmtId="0" fontId="0" fillId="0" borderId="12" pivotButton="0" quotePrefix="0" xfId="0"/>
    <xf numFmtId="4" fontId="0" fillId="2" borderId="0" pivotButton="0" quotePrefix="0" xfId="0"/>
    <xf numFmtId="4" fontId="63" fillId="3" borderId="0" applyAlignment="1" pivotButton="0" quotePrefix="0" xfId="0">
      <alignment horizontal="right"/>
    </xf>
    <xf numFmtId="4" fontId="12" fillId="3" borderId="0" applyAlignment="1" pivotButton="0" quotePrefix="0" xfId="0">
      <alignment horizontal="right"/>
    </xf>
    <xf numFmtId="0" fontId="4" fillId="3" borderId="1" applyAlignment="1" pivotButton="0" quotePrefix="0" xfId="0">
      <alignment horizontal="left"/>
    </xf>
    <xf numFmtId="0" fontId="56" fillId="3" borderId="1" applyAlignment="1" pivotButton="0" quotePrefix="0" xfId="0">
      <alignment horizontal="right"/>
    </xf>
    <xf numFmtId="0" fontId="123" fillId="3" borderId="30" applyAlignment="1" pivotButton="0" quotePrefix="0" xfId="0">
      <alignment horizontal="right" vertical="center"/>
    </xf>
    <xf numFmtId="0" fontId="22" fillId="3" borderId="0" applyAlignment="1" pivotButton="0" quotePrefix="0" xfId="0">
      <alignment horizontal="center"/>
    </xf>
    <xf numFmtId="4" fontId="12" fillId="3" borderId="8" applyAlignment="1" pivotButton="0" quotePrefix="0" xfId="0">
      <alignment horizontal="right"/>
    </xf>
    <xf numFmtId="39" fontId="29" fillId="3" borderId="5" applyAlignment="1" pivotButton="0" quotePrefix="0" xfId="0">
      <alignment horizontal="right" vertical="center"/>
    </xf>
    <xf numFmtId="0" fontId="123" fillId="3" borderId="3" applyAlignment="1" pivotButton="0" quotePrefix="0" xfId="0">
      <alignment horizontal="right" vertical="center"/>
    </xf>
    <xf numFmtId="0" fontId="4" fillId="3" borderId="3" applyAlignment="1" pivotButton="0" quotePrefix="0" xfId="0">
      <alignment horizontal="left"/>
    </xf>
    <xf numFmtId="0" fontId="9" fillId="3" borderId="0" applyAlignment="1" pivotButton="0" quotePrefix="0" xfId="0">
      <alignment horizontal="left" vertical="center"/>
    </xf>
    <xf numFmtId="39" fontId="112" fillId="3" borderId="5" applyAlignment="1" pivotButton="0" quotePrefix="0" xfId="0">
      <alignment horizontal="center" vertical="center"/>
    </xf>
    <xf numFmtId="0" fontId="57" fillId="2" borderId="2" applyAlignment="1" applyProtection="1" pivotButton="0" quotePrefix="0" xfId="0">
      <alignment horizontal="center"/>
      <protection locked="0" hidden="0"/>
    </xf>
    <xf numFmtId="0" fontId="9" fillId="3" borderId="0" applyAlignment="1" pivotButton="0" quotePrefix="0" xfId="0">
      <alignment horizontal="left" vertical="top"/>
    </xf>
    <xf numFmtId="0" fontId="12" fillId="3" borderId="0" applyAlignment="1" pivotButton="0" quotePrefix="0" xfId="0">
      <alignment horizontal="right"/>
    </xf>
    <xf numFmtId="0" fontId="12" fillId="3" borderId="0" applyAlignment="1" pivotButton="0" quotePrefix="1" xfId="0">
      <alignment horizontal="center"/>
    </xf>
    <xf numFmtId="0" fontId="0" fillId="0" borderId="2" pivotButton="0" quotePrefix="0" xfId="0"/>
    <xf numFmtId="39" fontId="112" fillId="3" borderId="5" applyAlignment="1" pivotButton="0" quotePrefix="0" xfId="0">
      <alignment horizontal="right"/>
    </xf>
    <xf numFmtId="0" fontId="27" fillId="3" borderId="0" applyAlignment="1" pivotButton="0" quotePrefix="0" xfId="0">
      <alignment horizontal="left"/>
    </xf>
    <xf numFmtId="0" fontId="29" fillId="3" borderId="0" applyAlignment="1" pivotButton="0" quotePrefix="0" xfId="0">
      <alignment horizontal="center"/>
    </xf>
    <xf numFmtId="0" fontId="29" fillId="3" borderId="0" applyAlignment="1" pivotButton="0" quotePrefix="0" xfId="0">
      <alignment horizontal="left"/>
    </xf>
    <xf numFmtId="0" fontId="95" fillId="3" borderId="3" applyAlignment="1" pivotButton="0" quotePrefix="0" xfId="0">
      <alignment horizontal="right"/>
    </xf>
    <xf numFmtId="39" fontId="112" fillId="3" borderId="5" applyAlignment="1" pivotButton="0" quotePrefix="0" xfId="0">
      <alignment vertical="center"/>
    </xf>
    <xf numFmtId="0" fontId="205" fillId="5" borderId="0" applyAlignment="1" pivotButton="0" quotePrefix="0" xfId="0">
      <alignment horizontal="center"/>
    </xf>
    <xf numFmtId="0" fontId="8" fillId="3" borderId="3" applyAlignment="1" pivotButton="0" quotePrefix="0" xfId="0">
      <alignment horizontal="left"/>
    </xf>
    <xf numFmtId="0" fontId="43" fillId="3" borderId="0" applyAlignment="1" pivotButton="0" quotePrefix="0" xfId="0">
      <alignment horizontal="center"/>
    </xf>
    <xf numFmtId="0" fontId="8" fillId="3" borderId="9" applyAlignment="1" pivotButton="0" quotePrefix="0" xfId="0">
      <alignment horizontal="left"/>
    </xf>
    <xf numFmtId="0" fontId="8" fillId="3" borderId="1" applyAlignment="1" pivotButton="0" quotePrefix="0" xfId="0">
      <alignment horizontal="left"/>
    </xf>
    <xf numFmtId="0" fontId="43" fillId="3" borderId="1" applyAlignment="1" pivotButton="0" quotePrefix="0" xfId="0">
      <alignment horizontal="center"/>
    </xf>
    <xf numFmtId="4" fontId="8" fillId="3" borderId="29" applyAlignment="1" pivotButton="0" quotePrefix="0" xfId="0">
      <alignment horizontal="right"/>
    </xf>
    <xf numFmtId="0" fontId="43" fillId="3" borderId="8" applyAlignment="1" pivotButton="0" quotePrefix="0" xfId="0">
      <alignment horizontal="center"/>
    </xf>
    <xf numFmtId="0" fontId="4" fillId="5" borderId="7" applyAlignment="1" pivotButton="0" quotePrefix="0" xfId="0">
      <alignment horizontal="center" vertical="center"/>
    </xf>
    <xf numFmtId="164" fontId="4" fillId="3" borderId="3" applyAlignment="1" pivotButton="0" quotePrefix="0" xfId="0">
      <alignment horizontal="right"/>
    </xf>
    <xf numFmtId="0" fontId="4" fillId="0" borderId="0" applyAlignment="1" pivotButton="0" quotePrefix="1" xfId="0">
      <alignment horizontal="right"/>
    </xf>
    <xf numFmtId="164" fontId="4" fillId="3" borderId="0" applyAlignment="1" pivotButton="0" quotePrefix="0" xfId="0">
      <alignment horizontal="right"/>
    </xf>
    <xf numFmtId="39" fontId="29" fillId="3" borderId="5" applyAlignment="1" pivotButton="0" quotePrefix="0" xfId="0">
      <alignment horizontal="right"/>
    </xf>
    <xf numFmtId="0" fontId="10" fillId="5" borderId="0" pivotButton="0" quotePrefix="0" xfId="0"/>
    <xf numFmtId="0" fontId="6" fillId="3" borderId="0" applyAlignment="1" pivotButton="0" quotePrefix="1" xfId="0">
      <alignment horizontal="left"/>
    </xf>
    <xf numFmtId="39" fontId="22" fillId="3" borderId="5" applyAlignment="1" pivotButton="0" quotePrefix="0" xfId="0">
      <alignment horizontal="right"/>
    </xf>
    <xf numFmtId="164" fontId="4" fillId="3" borderId="3" applyAlignment="1" pivotButton="0" quotePrefix="1" xfId="0">
      <alignment horizontal="right" vertical="top"/>
    </xf>
    <xf numFmtId="164" fontId="9" fillId="3" borderId="0" applyAlignment="1" pivotButton="0" quotePrefix="0" xfId="0">
      <alignment horizontal="right"/>
    </xf>
    <xf numFmtId="164" fontId="4" fillId="3" borderId="3" applyAlignment="1" pivotButton="0" quotePrefix="1" xfId="0">
      <alignment horizontal="right"/>
    </xf>
    <xf numFmtId="3" fontId="8" fillId="3" borderId="8" applyAlignment="1" pivotButton="0" quotePrefix="0" xfId="0">
      <alignment horizontal="right"/>
    </xf>
    <xf numFmtId="0" fontId="6" fillId="0" borderId="0" applyAlignment="1" pivotButton="0" quotePrefix="1" xfId="0">
      <alignment horizontal="center"/>
    </xf>
    <xf numFmtId="39" fontId="6" fillId="3" borderId="8" applyAlignment="1" pivotButton="0" quotePrefix="0" xfId="0">
      <alignment horizontal="right"/>
    </xf>
    <xf numFmtId="0" fontId="76" fillId="5" borderId="0" applyAlignment="1" pivotButton="0" quotePrefix="0" xfId="0">
      <alignment horizontal="center"/>
    </xf>
    <xf numFmtId="0" fontId="12" fillId="5" borderId="0" applyAlignment="1" pivotButton="0" quotePrefix="0" xfId="0">
      <alignment horizontal="center"/>
    </xf>
    <xf numFmtId="0" fontId="27" fillId="3" borderId="0" applyAlignment="1" pivotButton="0" quotePrefix="0" xfId="0">
      <alignment horizontal="center" vertical="center"/>
    </xf>
    <xf numFmtId="37" fontId="43" fillId="3" borderId="0" applyAlignment="1" pivotButton="0" quotePrefix="0" xfId="0">
      <alignment horizontal="right"/>
    </xf>
    <xf numFmtId="3" fontId="29" fillId="3" borderId="0" applyAlignment="1" pivotButton="0" quotePrefix="0" xfId="0">
      <alignment horizontal="right"/>
    </xf>
    <xf numFmtId="37" fontId="116" fillId="3" borderId="0" applyAlignment="1" pivotButton="0" quotePrefix="0" xfId="0">
      <alignment horizontal="right"/>
    </xf>
    <xf numFmtId="3" fontId="10" fillId="3" borderId="0" applyAlignment="1" pivotButton="0" quotePrefix="0" xfId="0">
      <alignment horizontal="center"/>
    </xf>
    <xf numFmtId="4" fontId="233" fillId="3" borderId="0" applyAlignment="1" pivotButton="0" quotePrefix="0" xfId="0">
      <alignment horizontal="center"/>
    </xf>
    <xf numFmtId="3" fontId="29" fillId="3" borderId="0" applyAlignment="1" pivotButton="0" quotePrefix="0" xfId="0">
      <alignment horizontal="right" vertical="center"/>
    </xf>
    <xf numFmtId="49" fontId="42" fillId="3" borderId="0" applyAlignment="1" pivotButton="0" quotePrefix="0" xfId="0">
      <alignment horizontal="right"/>
    </xf>
    <xf numFmtId="4" fontId="12" fillId="3" borderId="0" applyAlignment="1" pivotButton="0" quotePrefix="0" xfId="0">
      <alignment horizontal="left" vertical="center"/>
    </xf>
    <xf numFmtId="39" fontId="10" fillId="3" borderId="5" applyAlignment="1" pivotButton="0" quotePrefix="0" xfId="0">
      <alignment horizontal="right"/>
    </xf>
    <xf numFmtId="0" fontId="101" fillId="5" borderId="0" pivotButton="0" quotePrefix="0" xfId="0"/>
    <xf numFmtId="0" fontId="97" fillId="0" borderId="0" pivotButton="0" quotePrefix="0" xfId="0"/>
    <xf numFmtId="0" fontId="106" fillId="5" borderId="0" applyAlignment="1" pivotButton="0" quotePrefix="0" xfId="0">
      <alignment horizontal="center"/>
    </xf>
    <xf numFmtId="4" fontId="29" fillId="3" borderId="0" applyAlignment="1" pivotButton="0" quotePrefix="0" xfId="0">
      <alignment horizontal="center"/>
    </xf>
    <xf numFmtId="37" fontId="180" fillId="3" borderId="0" applyAlignment="1" pivotButton="0" quotePrefix="0" xfId="0">
      <alignment horizontal="right"/>
    </xf>
    <xf numFmtId="4" fontId="76" fillId="3" borderId="0" applyAlignment="1" pivotButton="0" quotePrefix="0" xfId="0">
      <alignment horizontal="left" vertical="center"/>
    </xf>
    <xf numFmtId="164" fontId="4" fillId="3" borderId="0" applyAlignment="1" pivotButton="0" quotePrefix="1" xfId="0">
      <alignment horizontal="right"/>
    </xf>
    <xf numFmtId="4" fontId="76" fillId="3" borderId="0" applyAlignment="1" pivotButton="0" quotePrefix="0" xfId="0">
      <alignment horizontal="left"/>
    </xf>
    <xf numFmtId="0" fontId="6" fillId="3" borderId="1" applyAlignment="1" pivotButton="0" quotePrefix="0" xfId="0">
      <alignment horizontal="left"/>
    </xf>
    <xf numFmtId="4" fontId="10" fillId="3" borderId="1" applyAlignment="1" pivotButton="0" quotePrefix="0" xfId="0">
      <alignment horizontal="left"/>
    </xf>
    <xf numFmtId="1" fontId="4" fillId="3" borderId="1" applyAlignment="1" pivotButton="0" quotePrefix="0" xfId="0">
      <alignment horizontal="right"/>
    </xf>
    <xf numFmtId="39" fontId="10" fillId="3" borderId="20" applyAlignment="1" pivotButton="0" quotePrefix="0" xfId="0">
      <alignment horizontal="right"/>
    </xf>
    <xf numFmtId="0" fontId="4" fillId="3" borderId="35" applyAlignment="1" pivotButton="0" quotePrefix="0" xfId="0">
      <alignment horizontal="right"/>
    </xf>
    <xf numFmtId="0" fontId="4" fillId="3" borderId="13" applyAlignment="1" pivotButton="0" quotePrefix="0" xfId="0">
      <alignment horizontal="right"/>
    </xf>
    <xf numFmtId="0" fontId="6" fillId="3" borderId="13" applyAlignment="1" pivotButton="0" quotePrefix="0" xfId="0">
      <alignment horizontal="left"/>
    </xf>
    <xf numFmtId="0" fontId="10" fillId="3" borderId="13" applyAlignment="1" pivotButton="0" quotePrefix="0" xfId="0">
      <alignment horizontal="left"/>
    </xf>
    <xf numFmtId="0" fontId="10" fillId="3" borderId="158" applyAlignment="1" pivotButton="0" quotePrefix="0" xfId="0">
      <alignment horizontal="left"/>
    </xf>
    <xf numFmtId="4" fontId="11" fillId="2" borderId="0" applyAlignment="1" pivotButton="0" quotePrefix="0" xfId="0">
      <alignment horizontal="center" vertical="center"/>
    </xf>
    <xf numFmtId="4" fontId="22" fillId="2" borderId="0" pivotButton="0" quotePrefix="0" xfId="0"/>
    <xf numFmtId="0" fontId="0" fillId="15" borderId="7" applyAlignment="1" pivotButton="0" quotePrefix="0" xfId="0">
      <alignment horizontal="centerContinuous"/>
    </xf>
    <xf numFmtId="0" fontId="20" fillId="15" borderId="25" applyAlignment="1" pivotButton="0" quotePrefix="0" xfId="0">
      <alignment horizontal="left" vertical="center"/>
    </xf>
    <xf numFmtId="0" fontId="15" fillId="15" borderId="0" applyAlignment="1" pivotButton="0" quotePrefix="0" xfId="0">
      <alignment horizontal="center"/>
    </xf>
    <xf numFmtId="164" fontId="4" fillId="12" borderId="0" applyProtection="1" pivotButton="0" quotePrefix="0" xfId="0">
      <protection locked="0" hidden="0"/>
    </xf>
    <xf numFmtId="0" fontId="0" fillId="12" borderId="0" applyAlignment="1" applyProtection="1" pivotButton="0" quotePrefix="0" xfId="0">
      <alignment wrapText="1"/>
      <protection locked="0" hidden="0"/>
    </xf>
    <xf numFmtId="40" fontId="11" fillId="12" borderId="0" applyAlignment="1" applyProtection="1" pivotButton="0" quotePrefix="0" xfId="0">
      <alignment horizontal="right"/>
      <protection locked="0" hidden="0"/>
    </xf>
    <xf numFmtId="40" fontId="20" fillId="12" borderId="0" applyAlignment="1" applyProtection="1" pivotButton="0" quotePrefix="0" xfId="0">
      <alignment horizontal="right"/>
      <protection locked="0" hidden="0"/>
    </xf>
    <xf numFmtId="164" fontId="11" fillId="4" borderId="0" applyAlignment="1" applyProtection="1" pivotButton="0" quotePrefix="0" xfId="0">
      <alignment vertical="center"/>
      <protection locked="0" hidden="0"/>
    </xf>
    <xf numFmtId="0" fontId="0" fillId="4" borderId="4" pivotButton="0" quotePrefix="0" xfId="0"/>
    <xf numFmtId="40" fontId="40" fillId="2" borderId="4" applyAlignment="1" pivotButton="0" quotePrefix="0" xfId="0">
      <alignment horizontal="right" vertical="center"/>
    </xf>
    <xf numFmtId="40" fontId="68" fillId="5" borderId="0" applyAlignment="1" pivotButton="0" quotePrefix="0" xfId="0">
      <alignment horizontal="right"/>
    </xf>
    <xf numFmtId="0" fontId="28" fillId="2" borderId="23" applyAlignment="1" pivotButton="0" quotePrefix="0" xfId="0">
      <alignment vertical="center"/>
    </xf>
    <xf numFmtId="0" fontId="0" fillId="4" borderId="7" applyProtection="1" pivotButton="0" quotePrefix="0" xfId="0">
      <protection locked="0" hidden="0"/>
    </xf>
    <xf numFmtId="0" fontId="59" fillId="4" borderId="7" applyAlignment="1" applyProtection="1" pivotButton="0" quotePrefix="0" xfId="0">
      <alignment horizontal="right"/>
      <protection locked="0" hidden="0"/>
    </xf>
    <xf numFmtId="164" fontId="47" fillId="2" borderId="7" applyAlignment="1" pivotButton="0" quotePrefix="0" xfId="0">
      <alignment horizontal="left" vertical="center"/>
    </xf>
    <xf numFmtId="0" fontId="0" fillId="4" borderId="20" applyProtection="1" pivotButton="0" quotePrefix="0" xfId="0">
      <protection locked="0" hidden="0"/>
    </xf>
    <xf numFmtId="0" fontId="0" fillId="12" borderId="0" applyProtection="1" pivotButton="0" quotePrefix="0" xfId="0">
      <protection locked="0" hidden="0"/>
    </xf>
    <xf numFmtId="0" fontId="0" fillId="4" borderId="5" applyProtection="1" pivotButton="0" quotePrefix="0" xfId="0">
      <protection locked="0" hidden="0"/>
    </xf>
    <xf numFmtId="0" fontId="59" fillId="4" borderId="0" applyAlignment="1" applyProtection="1" pivotButton="0" quotePrefix="0" xfId="0">
      <alignment horizontal="right"/>
      <protection locked="0" hidden="0"/>
    </xf>
    <xf numFmtId="164" fontId="47" fillId="2" borderId="0" applyAlignment="1" pivotButton="0" quotePrefix="0" xfId="0">
      <alignment horizontal="left" vertical="center"/>
    </xf>
    <xf numFmtId="164" fontId="6" fillId="2" borderId="0" applyAlignment="1" applyProtection="1" pivotButton="0" quotePrefix="0" xfId="0">
      <alignment horizontal="left" vertical="top"/>
      <protection locked="0" hidden="0"/>
    </xf>
    <xf numFmtId="0" fontId="28" fillId="2" borderId="26" applyAlignment="1" pivotButton="0" quotePrefix="0" xfId="0">
      <alignment vertical="center"/>
    </xf>
    <xf numFmtId="0" fontId="23" fillId="2" borderId="1" applyAlignment="1" pivotButton="0" quotePrefix="0" xfId="0">
      <alignment vertical="center"/>
    </xf>
    <xf numFmtId="164" fontId="47" fillId="2" borderId="1" applyAlignment="1" applyProtection="1" pivotButton="0" quotePrefix="0" xfId="0">
      <alignment horizontal="left" vertical="top"/>
      <protection locked="0" hidden="0"/>
    </xf>
    <xf numFmtId="0" fontId="14" fillId="2" borderId="1" applyAlignment="1" pivotButton="0" quotePrefix="0" xfId="0">
      <alignment vertical="center"/>
    </xf>
    <xf numFmtId="0" fontId="14" fillId="2" borderId="29" applyAlignment="1" pivotButton="0" quotePrefix="0" xfId="0">
      <alignment vertical="center"/>
    </xf>
    <xf numFmtId="0" fontId="14" fillId="5" borderId="0" applyAlignment="1" pivotButton="0" quotePrefix="0" xfId="0">
      <alignment vertical="center"/>
    </xf>
    <xf numFmtId="0" fontId="28" fillId="2" borderId="5" applyAlignment="1" pivotButton="0" quotePrefix="0" xfId="0">
      <alignment vertical="center"/>
    </xf>
    <xf numFmtId="0" fontId="23" fillId="2" borderId="0" applyAlignment="1" pivotButton="0" quotePrefix="0" xfId="0">
      <alignment vertical="center"/>
    </xf>
    <xf numFmtId="0" fontId="213" fillId="2" borderId="0" applyAlignment="1" pivotButton="0" quotePrefix="0" xfId="0">
      <alignment vertical="center"/>
    </xf>
    <xf numFmtId="164" fontId="59" fillId="2" borderId="0" applyAlignment="1" pivotButton="0" quotePrefix="0" xfId="0">
      <alignment horizontal="left" vertical="center"/>
    </xf>
    <xf numFmtId="0" fontId="14" fillId="2" borderId="0" applyAlignment="1" pivotButton="0" quotePrefix="0" xfId="0">
      <alignment vertical="center"/>
    </xf>
    <xf numFmtId="164" fontId="4" fillId="2" borderId="0" applyAlignment="1" pivotButton="0" quotePrefix="0" xfId="0">
      <alignment horizontal="centerContinuous" vertical="center"/>
    </xf>
    <xf numFmtId="0" fontId="14" fillId="2" borderId="0" applyAlignment="1" pivotButton="0" quotePrefix="0" xfId="0">
      <alignment horizontal="centerContinuous" vertical="center"/>
    </xf>
    <xf numFmtId="164" fontId="4" fillId="2" borderId="0" applyAlignment="1" pivotButton="0" quotePrefix="0" xfId="0">
      <alignment horizontal="center" vertical="center"/>
    </xf>
    <xf numFmtId="40" fontId="4" fillId="2" borderId="0" applyAlignment="1" pivotButton="0" quotePrefix="0" xfId="0">
      <alignment horizontal="centerContinuous" vertical="center"/>
    </xf>
    <xf numFmtId="0" fontId="14" fillId="2" borderId="20" applyAlignment="1" pivotButton="0" quotePrefix="0" xfId="0">
      <alignment vertical="center"/>
    </xf>
    <xf numFmtId="164" fontId="15" fillId="2" borderId="5" applyAlignment="1" pivotButton="0" quotePrefix="0" xfId="0">
      <alignment horizontal="center"/>
    </xf>
    <xf numFmtId="164" fontId="4" fillId="27" borderId="2" applyAlignment="1" pivotButton="0" quotePrefix="0" xfId="0">
      <alignment horizontal="center" vertical="center"/>
    </xf>
    <xf numFmtId="0" fontId="15" fillId="2" borderId="0" pivotButton="0" quotePrefix="0" xfId="0"/>
    <xf numFmtId="40" fontId="4" fillId="2" borderId="0" applyAlignment="1" pivotButton="0" quotePrefix="0" xfId="0">
      <alignment horizontal="center"/>
    </xf>
    <xf numFmtId="164" fontId="4" fillId="2" borderId="0" applyAlignment="1" pivotButton="0" quotePrefix="0" xfId="0">
      <alignment horizontal="center"/>
    </xf>
    <xf numFmtId="40" fontId="4" fillId="2" borderId="20" pivotButton="0" quotePrefix="0" xfId="0"/>
    <xf numFmtId="40" fontId="4" fillId="5" borderId="0" pivotButton="0" quotePrefix="0" xfId="0"/>
    <xf numFmtId="40" fontId="47" fillId="2" borderId="0" pivotButton="0" quotePrefix="0" xfId="0"/>
    <xf numFmtId="40" fontId="121" fillId="2" borderId="0" applyAlignment="1" pivotButton="0" quotePrefix="0" xfId="0">
      <alignment horizontal="right"/>
    </xf>
    <xf numFmtId="0" fontId="22" fillId="4" borderId="0" applyAlignment="1" pivotButton="0" quotePrefix="0" xfId="0">
      <alignment horizontal="center"/>
    </xf>
    <xf numFmtId="40" fontId="12" fillId="2" borderId="0" pivotButton="0" quotePrefix="0" xfId="0"/>
    <xf numFmtId="0" fontId="310" fillId="2" borderId="0" applyAlignment="1" pivotButton="0" quotePrefix="0" xfId="0">
      <alignment horizontal="right"/>
    </xf>
    <xf numFmtId="40" fontId="57" fillId="2" borderId="0" applyAlignment="1" pivotButton="0" quotePrefix="0" xfId="0">
      <alignment horizontal="center"/>
    </xf>
    <xf numFmtId="0" fontId="65" fillId="2" borderId="0" applyAlignment="1" pivotButton="0" quotePrefix="0" xfId="0">
      <alignment horizontal="center" vertical="center"/>
    </xf>
    <xf numFmtId="40" fontId="110" fillId="2" borderId="0" pivotButton="0" quotePrefix="0" xfId="0"/>
    <xf numFmtId="0" fontId="109" fillId="2" borderId="7" pivotButton="0" quotePrefix="0" xfId="0"/>
    <xf numFmtId="0" fontId="0" fillId="2" borderId="19" pivotButton="0" quotePrefix="0" xfId="0"/>
    <xf numFmtId="0" fontId="119" fillId="2" borderId="0" pivotButton="0" quotePrefix="0" xfId="0"/>
    <xf numFmtId="38" fontId="0" fillId="2" borderId="20" pivotButton="0" quotePrefix="0" xfId="0"/>
    <xf numFmtId="38" fontId="0" fillId="5" borderId="0" pivotButton="0" quotePrefix="0" xfId="0"/>
    <xf numFmtId="40" fontId="57" fillId="2" borderId="0" pivotButton="0" quotePrefix="0" xfId="0"/>
    <xf numFmtId="40" fontId="22" fillId="2" borderId="0" pivotButton="0" quotePrefix="0" xfId="0"/>
    <xf numFmtId="0" fontId="69" fillId="2" borderId="0" pivotButton="0" quotePrefix="0" xfId="0"/>
    <xf numFmtId="0" fontId="4" fillId="5" borderId="0" applyAlignment="1" pivotButton="0" quotePrefix="0" xfId="0">
      <alignment horizontal="right"/>
    </xf>
    <xf numFmtId="164" fontId="4" fillId="2" borderId="5" applyAlignment="1" pivotButton="0" quotePrefix="0" xfId="0">
      <alignment horizontal="center"/>
    </xf>
    <xf numFmtId="0" fontId="121" fillId="2" borderId="0" applyAlignment="1" pivotButton="0" quotePrefix="0" xfId="0">
      <alignment horizontal="center"/>
    </xf>
    <xf numFmtId="0" fontId="4" fillId="2" borderId="20" applyAlignment="1" pivotButton="0" quotePrefix="0" xfId="0">
      <alignment horizontal="center"/>
    </xf>
    <xf numFmtId="40" fontId="69" fillId="2" borderId="0" pivotButton="0" quotePrefix="0" xfId="0"/>
    <xf numFmtId="0" fontId="47" fillId="2" borderId="0" applyAlignment="1" pivotButton="0" quotePrefix="0" xfId="0">
      <alignment vertical="center"/>
    </xf>
    <xf numFmtId="0" fontId="47" fillId="2" borderId="0" applyAlignment="1" pivotButton="0" quotePrefix="0" xfId="0">
      <alignment vertical="top"/>
    </xf>
    <xf numFmtId="0" fontId="47" fillId="2" borderId="0" applyAlignment="1" pivotButton="0" quotePrefix="0" xfId="0">
      <alignment horizontal="left" indent="2"/>
    </xf>
    <xf numFmtId="164" fontId="6" fillId="2" borderId="5" applyAlignment="1" pivotButton="0" quotePrefix="0" xfId="0">
      <alignment horizontal="center"/>
    </xf>
    <xf numFmtId="164" fontId="6" fillId="2" borderId="0" pivotButton="0" quotePrefix="0" xfId="0"/>
    <xf numFmtId="0" fontId="15" fillId="2" borderId="0" applyAlignment="1" pivotButton="0" quotePrefix="0" xfId="0">
      <alignment horizontal="center"/>
    </xf>
    <xf numFmtId="37" fontId="198" fillId="0" borderId="0" pivotButton="0" quotePrefix="0" xfId="0"/>
    <xf numFmtId="164" fontId="4" fillId="2" borderId="21" applyAlignment="1" pivotButton="0" quotePrefix="0" xfId="0">
      <alignment horizontal="center"/>
    </xf>
    <xf numFmtId="0" fontId="4" fillId="2" borderId="4" applyAlignment="1" pivotButton="0" quotePrefix="0" xfId="0">
      <alignment horizontal="center"/>
    </xf>
    <xf numFmtId="0" fontId="47" fillId="2" borderId="4" pivotButton="0" quotePrefix="0" xfId="0"/>
    <xf numFmtId="164" fontId="51" fillId="2" borderId="4" pivotButton="0" quotePrefix="0" xfId="0"/>
    <xf numFmtId="164" fontId="51" fillId="2" borderId="4" applyAlignment="1" pivotButton="0" quotePrefix="0" xfId="0">
      <alignment horizontal="right"/>
    </xf>
    <xf numFmtId="3" fontId="51" fillId="2" borderId="4" pivotButton="0" quotePrefix="0" xfId="0"/>
    <xf numFmtId="38" fontId="0" fillId="2" borderId="22" applyAlignment="1" pivotButton="0" quotePrefix="0" xfId="0">
      <alignment horizontal="right"/>
    </xf>
    <xf numFmtId="164" fontId="4" fillId="13" borderId="5" applyAlignment="1" pivotButton="0" quotePrefix="0" xfId="0">
      <alignment horizontal="center"/>
    </xf>
    <xf numFmtId="0" fontId="4" fillId="13" borderId="0" applyAlignment="1" pivotButton="0" quotePrefix="0" xfId="0">
      <alignment horizontal="center"/>
    </xf>
    <xf numFmtId="0" fontId="6" fillId="13" borderId="0" pivotButton="0" quotePrefix="0" xfId="0"/>
    <xf numFmtId="0" fontId="0" fillId="13" borderId="0" pivotButton="0" quotePrefix="0" xfId="0"/>
    <xf numFmtId="164" fontId="51" fillId="13" borderId="0" pivotButton="0" quotePrefix="0" xfId="0"/>
    <xf numFmtId="164" fontId="51" fillId="13" borderId="0" applyAlignment="1" pivotButton="0" quotePrefix="0" xfId="0">
      <alignment horizontal="right"/>
    </xf>
    <xf numFmtId="3" fontId="51" fillId="13" borderId="0" pivotButton="0" quotePrefix="0" xfId="0"/>
    <xf numFmtId="3" fontId="22" fillId="13" borderId="0" pivotButton="0" quotePrefix="0" xfId="0"/>
    <xf numFmtId="38" fontId="0" fillId="13" borderId="20" applyAlignment="1" pivotButton="0" quotePrefix="0" xfId="0">
      <alignment horizontal="right"/>
    </xf>
    <xf numFmtId="164" fontId="11" fillId="4" borderId="5" applyAlignment="1" applyProtection="1" pivotButton="0" quotePrefix="0" xfId="0">
      <alignment horizontal="left" indent="1"/>
      <protection locked="0" hidden="0"/>
    </xf>
    <xf numFmtId="0" fontId="6" fillId="4" borderId="0" applyProtection="1" pivotButton="0" quotePrefix="0" xfId="0">
      <protection locked="0" hidden="0"/>
    </xf>
    <xf numFmtId="40" fontId="25" fillId="2" borderId="0" applyAlignment="1" pivotButton="0" quotePrefix="0" xfId="0">
      <alignment horizontal="right" vertical="center"/>
    </xf>
    <xf numFmtId="40" fontId="68" fillId="2" borderId="20" applyAlignment="1" pivotButton="0" quotePrefix="0" xfId="0">
      <alignment horizontal="right"/>
    </xf>
    <xf numFmtId="0" fontId="47" fillId="2" borderId="0" applyAlignment="1" pivotButton="0" quotePrefix="0" xfId="0">
      <alignment horizontal="left"/>
    </xf>
    <xf numFmtId="164" fontId="57" fillId="2" borderId="0" pivotButton="0" quotePrefix="0" xfId="0"/>
    <xf numFmtId="164" fontId="51" fillId="2" borderId="0" pivotButton="0" quotePrefix="0" xfId="0"/>
    <xf numFmtId="164" fontId="51" fillId="2" borderId="0" applyAlignment="1" pivotButton="0" quotePrefix="0" xfId="0">
      <alignment horizontal="right"/>
    </xf>
    <xf numFmtId="38" fontId="96" fillId="2" borderId="20" applyAlignment="1" pivotButton="0" quotePrefix="0" xfId="0">
      <alignment horizontal="right"/>
    </xf>
    <xf numFmtId="40" fontId="96" fillId="5" borderId="0" pivotButton="0" quotePrefix="0" xfId="0"/>
    <xf numFmtId="0" fontId="96" fillId="2" borderId="0" pivotButton="0" quotePrefix="0" xfId="0"/>
    <xf numFmtId="40" fontId="96" fillId="2" borderId="20" pivotButton="0" quotePrefix="0" xfId="0"/>
    <xf numFmtId="40" fontId="96" fillId="2" borderId="0" pivotButton="0" quotePrefix="0" xfId="0"/>
    <xf numFmtId="186" fontId="22" fillId="2" borderId="0" pivotButton="0" quotePrefix="0" xfId="0"/>
    <xf numFmtId="40" fontId="96" fillId="2" borderId="0" applyAlignment="1" pivotButton="0" quotePrefix="0" xfId="0">
      <alignment horizontal="right"/>
    </xf>
    <xf numFmtId="164" fontId="80" fillId="2" borderId="0" pivotButton="0" quotePrefix="0" xfId="0"/>
    <xf numFmtId="40" fontId="65" fillId="2" borderId="0" applyAlignment="1" pivotButton="0" quotePrefix="0" xfId="0">
      <alignment horizontal="right"/>
    </xf>
    <xf numFmtId="40" fontId="65" fillId="2" borderId="0" applyAlignment="1" pivotButton="0" quotePrefix="0" xfId="0">
      <alignment horizontal="center"/>
    </xf>
    <xf numFmtId="38" fontId="83" fillId="2" borderId="0" applyAlignment="1" pivotButton="0" quotePrefix="0" xfId="0">
      <alignment horizontal="right"/>
    </xf>
    <xf numFmtId="0" fontId="65" fillId="2" borderId="0" applyAlignment="1" pivotButton="0" quotePrefix="0" xfId="0">
      <alignment horizontal="center"/>
    </xf>
    <xf numFmtId="38" fontId="0" fillId="2" borderId="0" pivotButton="0" quotePrefix="0" xfId="0"/>
    <xf numFmtId="0" fontId="65" fillId="2" borderId="0" applyAlignment="1" pivotButton="0" quotePrefix="0" xfId="0">
      <alignment horizontal="right"/>
    </xf>
    <xf numFmtId="0" fontId="4" fillId="5" borderId="0" applyAlignment="1" pivotButton="0" quotePrefix="1" xfId="0">
      <alignment horizontal="center"/>
    </xf>
    <xf numFmtId="0" fontId="0" fillId="5" borderId="8" pivotButton="0" quotePrefix="0" xfId="0"/>
    <xf numFmtId="4" fontId="6" fillId="5" borderId="8" applyAlignment="1" pivotButton="0" quotePrefix="0" xfId="0">
      <alignment horizontal="center"/>
    </xf>
    <xf numFmtId="0" fontId="10" fillId="5" borderId="8" applyAlignment="1" pivotButton="0" quotePrefix="0" xfId="0">
      <alignment horizontal="center"/>
    </xf>
    <xf numFmtId="4" fontId="6" fillId="5" borderId="0" applyAlignment="1" pivotButton="0" quotePrefix="0" xfId="0">
      <alignment horizontal="center"/>
    </xf>
    <xf numFmtId="0" fontId="10" fillId="5" borderId="0" applyAlignment="1" pivotButton="0" quotePrefix="0" xfId="0">
      <alignment horizontal="center"/>
    </xf>
    <xf numFmtId="39" fontId="0" fillId="27" borderId="1" applyAlignment="1" pivotButton="0" quotePrefix="0" xfId="0">
      <alignment horizontal="center"/>
    </xf>
    <xf numFmtId="4" fontId="8" fillId="5" borderId="0" applyAlignment="1" pivotButton="0" quotePrefix="0" xfId="0">
      <alignment horizontal="center"/>
    </xf>
    <xf numFmtId="1" fontId="0" fillId="5" borderId="0" pivotButton="0" quotePrefix="0" xfId="0"/>
    <xf numFmtId="1" fontId="47" fillId="2" borderId="0" pivotButton="0" quotePrefix="0" xfId="0"/>
    <xf numFmtId="1" fontId="0" fillId="2" borderId="0" pivotButton="0" quotePrefix="0" xfId="0"/>
    <xf numFmtId="1" fontId="4" fillId="2" borderId="0" pivotButton="0" quotePrefix="0" xfId="0"/>
    <xf numFmtId="1" fontId="4" fillId="2" borderId="0" applyAlignment="1" pivotButton="0" quotePrefix="0" xfId="0">
      <alignment horizontal="right"/>
    </xf>
    <xf numFmtId="1" fontId="83" fillId="2" borderId="0" applyAlignment="1" pivotButton="0" quotePrefix="0" xfId="0">
      <alignment horizontal="right"/>
    </xf>
    <xf numFmtId="1" fontId="0" fillId="2" borderId="0" applyAlignment="1" pivotButton="0" quotePrefix="0" xfId="0">
      <alignment horizontal="right"/>
    </xf>
    <xf numFmtId="1" fontId="0" fillId="2" borderId="20" applyAlignment="1" pivotButton="0" quotePrefix="0" xfId="0">
      <alignment horizontal="right"/>
    </xf>
    <xf numFmtId="1" fontId="0" fillId="5" borderId="0" applyAlignment="1" pivotButton="0" quotePrefix="0" xfId="0">
      <alignment horizontal="right"/>
    </xf>
    <xf numFmtId="1" fontId="0" fillId="0" borderId="0" pivotButton="0" quotePrefix="0" xfId="0"/>
    <xf numFmtId="164" fontId="4" fillId="2" borderId="7" applyAlignment="1" pivotButton="0" quotePrefix="0" xfId="0">
      <alignment vertical="top"/>
    </xf>
    <xf numFmtId="0" fontId="24" fillId="2" borderId="7" applyAlignment="1" pivotButton="0" quotePrefix="0" xfId="0">
      <alignment horizontal="left"/>
    </xf>
    <xf numFmtId="40" fontId="0" fillId="2" borderId="7" pivotButton="0" quotePrefix="0" xfId="0"/>
    <xf numFmtId="164" fontId="4" fillId="2" borderId="7" pivotButton="0" quotePrefix="0" xfId="0"/>
    <xf numFmtId="40" fontId="6" fillId="2" borderId="0" applyAlignment="1" pivotButton="0" quotePrefix="0" xfId="0">
      <alignment horizontal="center"/>
    </xf>
    <xf numFmtId="40" fontId="56" fillId="2" borderId="0" applyAlignment="1" pivotButton="0" quotePrefix="0" xfId="0">
      <alignment horizontal="left"/>
    </xf>
    <xf numFmtId="40" fontId="28" fillId="2" borderId="0" applyAlignment="1" pivotButton="0" quotePrefix="0" xfId="0">
      <alignment horizontal="left"/>
    </xf>
    <xf numFmtId="40" fontId="22" fillId="2" borderId="0" applyAlignment="1" pivotButton="0" quotePrefix="0" xfId="0">
      <alignment horizontal="center"/>
    </xf>
    <xf numFmtId="1" fontId="51" fillId="2" borderId="0" pivotButton="0" quotePrefix="0" xfId="0"/>
    <xf numFmtId="164" fontId="4" fillId="2" borderId="4" applyAlignment="1" pivotButton="0" quotePrefix="0" xfId="0">
      <alignment vertical="top"/>
    </xf>
    <xf numFmtId="0" fontId="79" fillId="2" borderId="4" pivotButton="0" quotePrefix="0" xfId="0"/>
    <xf numFmtId="40" fontId="0" fillId="2" borderId="4" applyAlignment="1" pivotButton="0" quotePrefix="0" xfId="0">
      <alignment horizontal="center"/>
    </xf>
    <xf numFmtId="40" fontId="47" fillId="2" borderId="0" applyAlignment="1" pivotButton="0" quotePrefix="0" xfId="0">
      <alignment horizontal="left"/>
    </xf>
    <xf numFmtId="187" fontId="110" fillId="2" borderId="0" applyAlignment="1" pivotButton="0" quotePrefix="0" xfId="0">
      <alignment horizontal="center"/>
    </xf>
    <xf numFmtId="40" fontId="51" fillId="2" borderId="0" pivotButton="0" quotePrefix="0" xfId="0"/>
    <xf numFmtId="40" fontId="51" fillId="2" borderId="20" pivotButton="0" quotePrefix="0" xfId="0"/>
    <xf numFmtId="40" fontId="51" fillId="5" borderId="0" pivotButton="0" quotePrefix="0" xfId="0"/>
    <xf numFmtId="164" fontId="15" fillId="2" borderId="5" applyAlignment="1" pivotButton="0" quotePrefix="0" xfId="0">
      <alignment vertical="top"/>
    </xf>
    <xf numFmtId="164" fontId="12" fillId="2" borderId="0" pivotButton="0" quotePrefix="0" xfId="0"/>
    <xf numFmtId="164" fontId="15" fillId="2" borderId="21" applyAlignment="1" pivotButton="0" quotePrefix="0" xfId="0">
      <alignment vertical="top"/>
    </xf>
    <xf numFmtId="40" fontId="0" fillId="2" borderId="4" pivotButton="0" quotePrefix="0" xfId="0"/>
    <xf numFmtId="40" fontId="0" fillId="2" borderId="22" pivotButton="0" quotePrefix="0" xfId="0"/>
    <xf numFmtId="164" fontId="4" fillId="2" borderId="23" applyAlignment="1" pivotButton="0" quotePrefix="0" xfId="0">
      <alignment vertical="top"/>
    </xf>
    <xf numFmtId="0" fontId="0" fillId="2" borderId="0" applyAlignment="1" pivotButton="0" quotePrefix="0" xfId="0">
      <alignment wrapText="1"/>
    </xf>
    <xf numFmtId="164" fontId="34" fillId="2" borderId="5" applyAlignment="1" pivotButton="0" quotePrefix="0" xfId="0">
      <alignment vertical="top"/>
    </xf>
    <xf numFmtId="164" fontId="9" fillId="2" borderId="0" applyAlignment="1" pivotButton="0" quotePrefix="0" xfId="0">
      <alignment horizontal="right"/>
    </xf>
    <xf numFmtId="164" fontId="34" fillId="2" borderId="21" applyAlignment="1" pivotButton="0" quotePrefix="0" xfId="0">
      <alignment vertical="top"/>
    </xf>
    <xf numFmtId="0" fontId="0" fillId="2" borderId="4" applyAlignment="1" pivotButton="0" quotePrefix="0" xfId="0">
      <alignment wrapText="1"/>
    </xf>
    <xf numFmtId="164" fontId="12" fillId="2" borderId="4" applyAlignment="1" pivotButton="0" quotePrefix="0" xfId="0">
      <alignment horizontal="right"/>
    </xf>
    <xf numFmtId="38" fontId="0" fillId="2" borderId="4" pivotButton="0" quotePrefix="0" xfId="0"/>
    <xf numFmtId="0" fontId="64" fillId="0" borderId="0" applyAlignment="1" pivotButton="0" quotePrefix="0" xfId="0">
      <alignment horizontal="right"/>
    </xf>
    <xf numFmtId="3" fontId="199" fillId="0" borderId="0" applyAlignment="1" pivotButton="0" quotePrefix="0" xfId="0">
      <alignment horizontal="right"/>
    </xf>
    <xf numFmtId="0" fontId="12" fillId="0" borderId="0" applyAlignment="1" pivotButton="0" quotePrefix="0" xfId="0">
      <alignment horizontal="right"/>
    </xf>
    <xf numFmtId="0" fontId="172" fillId="5" borderId="0" applyAlignment="1" pivotButton="0" quotePrefix="0" xfId="0">
      <alignment horizontal="left"/>
    </xf>
    <xf numFmtId="0" fontId="6" fillId="0" borderId="1" pivotButton="0" quotePrefix="0" xfId="0"/>
    <xf numFmtId="0" fontId="0" fillId="0" borderId="1" pivotButton="0" quotePrefix="0" xfId="0"/>
    <xf numFmtId="0" fontId="11" fillId="3" borderId="25" applyAlignment="1" pivotButton="0" quotePrefix="0" xfId="0">
      <alignment vertical="center"/>
    </xf>
    <xf numFmtId="0" fontId="81" fillId="5" borderId="0" pivotButton="0" quotePrefix="0" xfId="0"/>
    <xf numFmtId="0" fontId="6" fillId="15" borderId="30" pivotButton="0" quotePrefix="0" xfId="0"/>
    <xf numFmtId="0" fontId="6" fillId="15" borderId="14" pivotButton="0" quotePrefix="0" xfId="0"/>
    <xf numFmtId="0" fontId="44" fillId="3" borderId="5" pivotButton="0" quotePrefix="0" xfId="0"/>
    <xf numFmtId="0" fontId="44" fillId="3" borderId="0" pivotButton="0" quotePrefix="0" xfId="0"/>
    <xf numFmtId="0" fontId="44" fillId="3" borderId="20" pivotButton="0" quotePrefix="0" xfId="0"/>
    <xf numFmtId="0" fontId="10" fillId="3" borderId="20" applyAlignment="1" pivotButton="0" quotePrefix="0" xfId="0">
      <alignment horizontal="left"/>
    </xf>
    <xf numFmtId="0" fontId="10" fillId="3" borderId="5" applyAlignment="1" pivotButton="0" quotePrefix="0" xfId="0">
      <alignment horizontal="right" indent="1"/>
    </xf>
    <xf numFmtId="0" fontId="10" fillId="3" borderId="0" applyAlignment="1" pivotButton="0" quotePrefix="0" xfId="0">
      <alignment vertical="top"/>
    </xf>
    <xf numFmtId="0" fontId="10" fillId="3" borderId="0" applyAlignment="1" pivotButton="0" quotePrefix="0" xfId="0">
      <alignment vertical="center"/>
    </xf>
    <xf numFmtId="0" fontId="10" fillId="3" borderId="20" applyAlignment="1" pivotButton="0" quotePrefix="0" xfId="0">
      <alignment vertical="center"/>
    </xf>
    <xf numFmtId="0" fontId="10" fillId="3" borderId="5" applyAlignment="1" pivotButton="0" quotePrefix="0" xfId="0">
      <alignment horizontal="right"/>
    </xf>
    <xf numFmtId="0" fontId="10" fillId="3" borderId="16" pivotButton="0" quotePrefix="0" xfId="0"/>
    <xf numFmtId="0" fontId="9" fillId="3" borderId="16" pivotButton="0" quotePrefix="0" xfId="0"/>
    <xf numFmtId="0" fontId="0" fillId="3" borderId="16" pivotButton="0" quotePrefix="0" xfId="0"/>
    <xf numFmtId="4" fontId="0" fillId="3" borderId="16" pivotButton="0" quotePrefix="0" xfId="0"/>
    <xf numFmtId="0" fontId="10" fillId="3" borderId="16" applyAlignment="1" pivotButton="0" quotePrefix="0" xfId="0">
      <alignment horizontal="right"/>
    </xf>
    <xf numFmtId="4" fontId="81" fillId="5" borderId="0" pivotButton="0" quotePrefix="0" xfId="0"/>
    <xf numFmtId="0" fontId="15" fillId="26" borderId="4" pivotButton="0" quotePrefix="1" xfId="0"/>
    <xf numFmtId="0" fontId="47" fillId="27" borderId="4" pivotButton="0" quotePrefix="0" xfId="0"/>
    <xf numFmtId="176" fontId="15" fillId="26" borderId="4" pivotButton="0" quotePrefix="0" xfId="0"/>
    <xf numFmtId="0" fontId="47" fillId="3" borderId="0" applyAlignment="1" pivotButton="0" quotePrefix="0" xfId="0">
      <alignment vertical="top"/>
    </xf>
    <xf numFmtId="0" fontId="84" fillId="3" borderId="0" pivotButton="0" quotePrefix="0" xfId="0"/>
    <xf numFmtId="0" fontId="84" fillId="3" borderId="0" applyAlignment="1" pivotButton="0" quotePrefix="0" xfId="0">
      <alignment vertical="top"/>
    </xf>
    <xf numFmtId="0" fontId="47" fillId="3" borderId="1" applyAlignment="1" pivotButton="0" quotePrefix="0" xfId="0">
      <alignment vertical="top"/>
    </xf>
    <xf numFmtId="0" fontId="0" fillId="3" borderId="1" pivotButton="0" quotePrefix="0" xfId="0"/>
    <xf numFmtId="0" fontId="84" fillId="3" borderId="1" pivotButton="0" quotePrefix="0" xfId="0"/>
    <xf numFmtId="0" fontId="47" fillId="3" borderId="1" applyAlignment="1" pivotButton="0" quotePrefix="0" xfId="0">
      <alignment horizontal="right" vertical="top" indent="1"/>
    </xf>
    <xf numFmtId="0" fontId="4" fillId="26" borderId="12" applyAlignment="1" pivotButton="0" quotePrefix="0" xfId="0">
      <alignment horizontal="center" vertical="center"/>
    </xf>
    <xf numFmtId="0" fontId="47" fillId="3" borderId="8" applyAlignment="1" pivotButton="0" quotePrefix="0" xfId="0">
      <alignment vertical="center"/>
    </xf>
    <xf numFmtId="0" fontId="4" fillId="3" borderId="0" applyAlignment="1" pivotButton="0" quotePrefix="0" xfId="0">
      <alignment vertical="top"/>
    </xf>
    <xf numFmtId="0" fontId="6" fillId="3" borderId="0" applyAlignment="1" pivotButton="0" quotePrefix="0" xfId="0">
      <alignment vertical="top"/>
    </xf>
    <xf numFmtId="0" fontId="6" fillId="3" borderId="1" applyAlignment="1" pivotButton="0" quotePrefix="0" xfId="0">
      <alignment horizontal="right" vertical="top" indent="2"/>
    </xf>
    <xf numFmtId="0" fontId="51" fillId="9" borderId="0" applyAlignment="1" pivotButton="0" quotePrefix="0" xfId="0">
      <alignment horizontal="center" vertical="center"/>
    </xf>
    <xf numFmtId="0" fontId="11" fillId="3" borderId="0" pivotButton="0" quotePrefix="0" xfId="0"/>
    <xf numFmtId="0" fontId="143" fillId="3" borderId="0" applyAlignment="1" pivotButton="0" quotePrefix="0" xfId="0">
      <alignment horizontal="center"/>
    </xf>
    <xf numFmtId="0" fontId="4" fillId="3" borderId="24" applyAlignment="1" pivotButton="0" quotePrefix="0" xfId="0">
      <alignment horizontal="right"/>
    </xf>
    <xf numFmtId="0" fontId="0" fillId="3" borderId="14" pivotButton="0" quotePrefix="0" xfId="0"/>
    <xf numFmtId="0" fontId="10" fillId="3" borderId="1" applyAlignment="1" pivotButton="0" quotePrefix="0" xfId="0">
      <alignment horizontal="left" vertical="top"/>
    </xf>
    <xf numFmtId="0" fontId="10" fillId="3" borderId="1" applyAlignment="1" pivotButton="0" quotePrefix="0" xfId="0">
      <alignment horizontal="center"/>
    </xf>
    <xf numFmtId="0" fontId="10" fillId="3" borderId="11" pivotButton="0" quotePrefix="0" xfId="0"/>
    <xf numFmtId="0" fontId="10" fillId="3" borderId="9" applyAlignment="1" pivotButton="0" quotePrefix="0" xfId="0">
      <alignment vertical="top"/>
    </xf>
    <xf numFmtId="0" fontId="10" fillId="3" borderId="1" pivotButton="0" quotePrefix="0" xfId="0"/>
    <xf numFmtId="49" fontId="6" fillId="14" borderId="30" applyAlignment="1" pivotButton="0" quotePrefix="0" xfId="0">
      <alignment vertical="center" wrapText="1"/>
    </xf>
    <xf numFmtId="49" fontId="6" fillId="15" borderId="8" applyAlignment="1" pivotButton="0" quotePrefix="0" xfId="0">
      <alignment vertical="center" wrapText="1"/>
    </xf>
    <xf numFmtId="49" fontId="6" fillId="15" borderId="14" applyAlignment="1" pivotButton="0" quotePrefix="0" xfId="0">
      <alignment vertical="center" wrapText="1"/>
    </xf>
    <xf numFmtId="49" fontId="6" fillId="15" borderId="11" applyAlignment="1" pivotButton="0" quotePrefix="0" xfId="0">
      <alignment vertical="center" wrapText="1"/>
    </xf>
    <xf numFmtId="0" fontId="34" fillId="0" borderId="0" applyAlignment="1" pivotButton="0" quotePrefix="0" xfId="0">
      <alignment vertical="center"/>
    </xf>
    <xf numFmtId="0" fontId="4" fillId="3" borderId="20" applyAlignment="1" pivotButton="0" quotePrefix="0" xfId="0">
      <alignment horizontal="left"/>
    </xf>
    <xf numFmtId="0" fontId="80" fillId="3" borderId="0" pivotButton="0" quotePrefix="0" xfId="0"/>
    <xf numFmtId="0" fontId="57" fillId="3" borderId="0" applyAlignment="1" pivotButton="0" quotePrefix="0" xfId="0">
      <alignment horizontal="center"/>
    </xf>
    <xf numFmtId="0" fontId="57" fillId="3" borderId="0" applyAlignment="1" pivotButton="0" quotePrefix="0" xfId="0">
      <alignment horizontal="right"/>
    </xf>
    <xf numFmtId="0" fontId="6" fillId="3" borderId="0" pivotButton="0" quotePrefix="0" xfId="0"/>
    <xf numFmtId="0" fontId="0" fillId="3" borderId="72" pivotButton="0" quotePrefix="0" xfId="0"/>
    <xf numFmtId="0" fontId="0" fillId="3" borderId="13" pivotButton="0" quotePrefix="0" xfId="0"/>
    <xf numFmtId="0" fontId="0" fillId="3" borderId="33" pivotButton="0" quotePrefix="0" xfId="0"/>
    <xf numFmtId="0" fontId="57" fillId="3" borderId="0" pivotButton="0" quotePrefix="0" xfId="0"/>
    <xf numFmtId="0" fontId="125" fillId="10" borderId="0" applyAlignment="1" pivotButton="0" quotePrefix="0" xfId="0">
      <alignment horizontal="center"/>
    </xf>
    <xf numFmtId="0" fontId="143" fillId="0" borderId="0" applyAlignment="1" pivotButton="0" quotePrefix="0" xfId="0">
      <alignment vertical="center"/>
    </xf>
    <xf numFmtId="0" fontId="15" fillId="3" borderId="0" applyAlignment="1" pivotButton="0" quotePrefix="0" xfId="0">
      <alignment horizontal="left"/>
    </xf>
    <xf numFmtId="0" fontId="14" fillId="3" borderId="0" pivotButton="0" quotePrefix="0" xfId="0"/>
    <xf numFmtId="37" fontId="0" fillId="15" borderId="1" pivotButton="0" quotePrefix="0" xfId="0"/>
    <xf numFmtId="0" fontId="47" fillId="3" borderId="0" applyAlignment="1" pivotButton="0" quotePrefix="0" xfId="0">
      <alignment horizontal="left"/>
    </xf>
    <xf numFmtId="0" fontId="47" fillId="3" borderId="1" applyAlignment="1" pivotButton="0" quotePrefix="0" xfId="0">
      <alignment horizontal="left" vertical="center"/>
    </xf>
    <xf numFmtId="0" fontId="75" fillId="9" borderId="0" applyAlignment="1" pivotButton="0" quotePrefix="0" xfId="0">
      <alignment horizontal="center" vertical="center"/>
    </xf>
    <xf numFmtId="0" fontId="4" fillId="3" borderId="25" pivotButton="0" quotePrefix="0" xfId="0"/>
    <xf numFmtId="0" fontId="0" fillId="3" borderId="25" pivotButton="0" quotePrefix="0" xfId="0"/>
    <xf numFmtId="0" fontId="173" fillId="3" borderId="25" applyAlignment="1" pivotButton="0" quotePrefix="0" xfId="0">
      <alignment vertical="center"/>
    </xf>
    <xf numFmtId="0" fontId="6" fillId="0" borderId="0" pivotButton="0" quotePrefix="1" xfId="0"/>
    <xf numFmtId="0" fontId="15" fillId="3" borderId="1" applyAlignment="1" pivotButton="0" quotePrefix="0" xfId="0">
      <alignment horizontal="right" indent="1"/>
    </xf>
    <xf numFmtId="0" fontId="4" fillId="3" borderId="11" applyAlignment="1" pivotButton="0" quotePrefix="0" xfId="0">
      <alignment horizontal="right"/>
    </xf>
    <xf numFmtId="0" fontId="10" fillId="3" borderId="0" applyAlignment="1" pivotButton="0" quotePrefix="0" xfId="0">
      <alignment horizontal="center"/>
    </xf>
    <xf numFmtId="0" fontId="10" fillId="3" borderId="0" applyAlignment="1" pivotButton="0" quotePrefix="0" xfId="0">
      <alignment horizontal="center" vertical="center"/>
    </xf>
    <xf numFmtId="0" fontId="10" fillId="3" borderId="1" applyAlignment="1" pivotButton="0" quotePrefix="0" xfId="0">
      <alignment horizontal="right"/>
    </xf>
    <xf numFmtId="0" fontId="0" fillId="0" borderId="9" pivotButton="0" quotePrefix="0" xfId="0"/>
    <xf numFmtId="0" fontId="6" fillId="0" borderId="0" applyAlignment="1" pivotButton="0" quotePrefix="0" xfId="0">
      <alignment horizontal="center" wrapText="1"/>
    </xf>
    <xf numFmtId="0" fontId="266" fillId="5" borderId="0" applyAlignment="1" pivotButton="0" quotePrefix="1" xfId="0">
      <alignment horizontal="left"/>
    </xf>
    <xf numFmtId="0" fontId="15" fillId="3" borderId="0" applyAlignment="1" pivotButton="0" quotePrefix="0" xfId="0">
      <alignment horizontal="right" indent="1"/>
    </xf>
    <xf numFmtId="0" fontId="81" fillId="7" borderId="6" pivotButton="0" quotePrefix="0" xfId="0"/>
    <xf numFmtId="0" fontId="47" fillId="3" borderId="0" applyAlignment="1" pivotButton="0" quotePrefix="0" xfId="0">
      <alignment horizontal="right" indent="1"/>
    </xf>
    <xf numFmtId="0" fontId="4" fillId="3" borderId="24" applyAlignment="1" pivotButton="0" quotePrefix="0" xfId="0">
      <alignment horizontal="right" vertical="top"/>
    </xf>
    <xf numFmtId="0" fontId="15" fillId="3" borderId="9" applyAlignment="1" pivotButton="0" quotePrefix="0" xfId="0">
      <alignment horizontal="center"/>
    </xf>
    <xf numFmtId="0" fontId="47" fillId="3" borderId="3" pivotButton="0" quotePrefix="0" xfId="0"/>
    <xf numFmtId="4" fontId="6" fillId="3" borderId="3" pivotButton="0" quotePrefix="0" xfId="0"/>
    <xf numFmtId="4" fontId="6" fillId="3" borderId="0" pivotButton="0" quotePrefix="0" xfId="0"/>
    <xf numFmtId="0" fontId="8" fillId="3" borderId="0" applyAlignment="1" pivotButton="0" quotePrefix="0" xfId="0">
      <alignment vertical="top"/>
    </xf>
    <xf numFmtId="0" fontId="6" fillId="3" borderId="0" applyAlignment="1" pivotButton="0" quotePrefix="0" xfId="0">
      <alignment vertical="center"/>
    </xf>
    <xf numFmtId="0" fontId="8" fillId="3" borderId="0" pivotButton="0" quotePrefix="0" xfId="0"/>
    <xf numFmtId="0" fontId="0" fillId="7" borderId="6" pivotButton="0" quotePrefix="0" xfId="0"/>
    <xf numFmtId="4" fontId="0" fillId="3" borderId="3" pivotButton="0" quotePrefix="0" xfId="0"/>
    <xf numFmtId="37" fontId="110" fillId="3" borderId="3" applyAlignment="1" pivotButton="0" quotePrefix="0" xfId="0">
      <alignment horizontal="right"/>
    </xf>
    <xf numFmtId="37" fontId="110" fillId="3" borderId="0" applyAlignment="1" pivotButton="0" quotePrefix="0" xfId="0">
      <alignment horizontal="right"/>
    </xf>
    <xf numFmtId="0" fontId="4" fillId="3" borderId="0" applyAlignment="1" pivotButton="0" quotePrefix="0" xfId="0">
      <alignment horizontal="right" indent="1"/>
    </xf>
    <xf numFmtId="37" fontId="0" fillId="15" borderId="8" pivotButton="0" quotePrefix="0" xfId="0"/>
    <xf numFmtId="0" fontId="6" fillId="3" borderId="0" applyAlignment="1" pivotButton="0" quotePrefix="1" xfId="0">
      <alignment horizontal="center"/>
    </xf>
    <xf numFmtId="3" fontId="0" fillId="3" borderId="0" applyAlignment="1" pivotButton="0" quotePrefix="0" xfId="0">
      <alignment horizontal="left"/>
    </xf>
    <xf numFmtId="188" fontId="0" fillId="3" borderId="20" applyAlignment="1" pivotButton="0" quotePrefix="0" xfId="0">
      <alignment horizontal="center"/>
    </xf>
    <xf numFmtId="3" fontId="0" fillId="3" borderId="8" pivotButton="0" quotePrefix="0" xfId="0"/>
    <xf numFmtId="0" fontId="6" fillId="3" borderId="8" applyAlignment="1" pivotButton="0" quotePrefix="1" xfId="0">
      <alignment horizontal="center"/>
    </xf>
    <xf numFmtId="3" fontId="0" fillId="3" borderId="8" applyAlignment="1" pivotButton="0" quotePrefix="0" xfId="0">
      <alignment horizontal="left"/>
    </xf>
    <xf numFmtId="188" fontId="0" fillId="3" borderId="88" applyAlignment="1" pivotButton="0" quotePrefix="0" xfId="0">
      <alignment horizontal="center"/>
    </xf>
    <xf numFmtId="188" fontId="0" fillId="3" borderId="8" applyAlignment="1" pivotButton="0" quotePrefix="0" xfId="0">
      <alignment horizontal="center"/>
    </xf>
    <xf numFmtId="0" fontId="0" fillId="3" borderId="8" pivotButton="0" quotePrefix="0" xfId="0"/>
    <xf numFmtId="3" fontId="0" fillId="3" borderId="0" pivotButton="0" quotePrefix="0" xfId="0"/>
    <xf numFmtId="188" fontId="0" fillId="3" borderId="0" applyAlignment="1" pivotButton="0" quotePrefix="0" xfId="0">
      <alignment horizontal="center"/>
    </xf>
    <xf numFmtId="4" fontId="4" fillId="3" borderId="3" applyAlignment="1" pivotButton="0" quotePrefix="1" xfId="0">
      <alignment horizontal="right"/>
    </xf>
    <xf numFmtId="189" fontId="6" fillId="26" borderId="1" pivotButton="0" quotePrefix="0" xfId="0"/>
    <xf numFmtId="189" fontId="112" fillId="0" borderId="0" pivotButton="0" quotePrefix="0" xfId="0"/>
    <xf numFmtId="37" fontId="10" fillId="0" borderId="0" pivotButton="0" quotePrefix="0" xfId="0"/>
    <xf numFmtId="0" fontId="6" fillId="3" borderId="1" applyAlignment="1" pivotButton="0" quotePrefix="1" xfId="0">
      <alignment horizontal="center"/>
    </xf>
    <xf numFmtId="3" fontId="0" fillId="3" borderId="1" applyAlignment="1" pivotButton="0" quotePrefix="0" xfId="0">
      <alignment horizontal="left"/>
    </xf>
    <xf numFmtId="188" fontId="0" fillId="3" borderId="29" applyAlignment="1" pivotButton="0" quotePrefix="0" xfId="0">
      <alignment horizontal="center"/>
    </xf>
    <xf numFmtId="3" fontId="0" fillId="3" borderId="1" pivotButton="0" quotePrefix="0" xfId="0"/>
    <xf numFmtId="188" fontId="0" fillId="3" borderId="1" applyAlignment="1" pivotButton="0" quotePrefix="0" xfId="0">
      <alignment horizontal="center"/>
    </xf>
    <xf numFmtId="0" fontId="15" fillId="3" borderId="0" applyAlignment="1" pivotButton="0" quotePrefix="0" xfId="0">
      <alignment horizontal="center"/>
    </xf>
    <xf numFmtId="0" fontId="0" fillId="14" borderId="6" pivotButton="0" quotePrefix="0" xfId="0"/>
    <xf numFmtId="4" fontId="22" fillId="3" borderId="3" pivotButton="0" quotePrefix="0" xfId="0"/>
    <xf numFmtId="4" fontId="22" fillId="3" borderId="0" pivotButton="0" quotePrefix="0" xfId="0"/>
    <xf numFmtId="0" fontId="110" fillId="0" borderId="0" applyAlignment="1" pivotButton="0" quotePrefix="0" xfId="0">
      <alignment horizontal="left" vertical="top"/>
    </xf>
    <xf numFmtId="0" fontId="15" fillId="3" borderId="10" applyAlignment="1" pivotButton="0" quotePrefix="0" xfId="0">
      <alignment horizontal="center"/>
    </xf>
    <xf numFmtId="4" fontId="121" fillId="3" borderId="3" applyAlignment="1" pivotButton="0" quotePrefix="0" xfId="0">
      <alignment wrapText="1"/>
    </xf>
    <xf numFmtId="4" fontId="121" fillId="3" borderId="0" applyAlignment="1" pivotButton="0" quotePrefix="0" xfId="0">
      <alignment wrapText="1"/>
    </xf>
    <xf numFmtId="0" fontId="15" fillId="3" borderId="0" applyAlignment="1" pivotButton="0" quotePrefix="0" xfId="0">
      <alignment vertical="top"/>
    </xf>
    <xf numFmtId="0" fontId="0" fillId="3" borderId="24" pivotButton="0" quotePrefix="0" xfId="0"/>
    <xf numFmtId="0" fontId="0" fillId="3" borderId="3" pivotButton="0" quotePrefix="0" xfId="0"/>
    <xf numFmtId="4" fontId="110" fillId="3" borderId="3" pivotButton="0" quotePrefix="0" xfId="0"/>
    <xf numFmtId="4" fontId="110" fillId="3" borderId="0" pivotButton="0" quotePrefix="0" xfId="0"/>
    <xf numFmtId="0" fontId="4" fillId="3" borderId="4" applyAlignment="1" pivotButton="0" quotePrefix="0" xfId="0">
      <alignment horizontal="center"/>
    </xf>
    <xf numFmtId="0" fontId="47" fillId="3" borderId="4" applyAlignment="1" pivotButton="0" quotePrefix="0" xfId="0">
      <alignment vertical="top"/>
    </xf>
    <xf numFmtId="0" fontId="8" fillId="3" borderId="4" pivotButton="0" quotePrefix="0" xfId="0"/>
    <xf numFmtId="0" fontId="0" fillId="3" borderId="4" pivotButton="0" quotePrefix="0" xfId="0"/>
    <xf numFmtId="4" fontId="4" fillId="3" borderId="0" applyAlignment="1" pivotButton="0" quotePrefix="0" xfId="0">
      <alignment horizontal="right" vertical="top"/>
    </xf>
    <xf numFmtId="0" fontId="15" fillId="3" borderId="69" applyAlignment="1" pivotButton="0" quotePrefix="0" xfId="0">
      <alignment horizontal="center" vertical="top"/>
    </xf>
    <xf numFmtId="0" fontId="15" fillId="3" borderId="7" applyAlignment="1" pivotButton="0" quotePrefix="0" xfId="0">
      <alignment vertical="center"/>
    </xf>
    <xf numFmtId="0" fontId="0" fillId="3" borderId="7" applyAlignment="1" pivotButton="0" quotePrefix="0" xfId="0">
      <alignment vertical="center"/>
    </xf>
    <xf numFmtId="0" fontId="10" fillId="3" borderId="7" applyAlignment="1" pivotButton="0" quotePrefix="0" xfId="0">
      <alignment vertical="center"/>
    </xf>
    <xf numFmtId="0" fontId="4" fillId="3" borderId="0" applyAlignment="1" pivotButton="0" quotePrefix="0" xfId="0">
      <alignment horizontal="right" vertical="center"/>
    </xf>
    <xf numFmtId="0" fontId="81" fillId="5" borderId="0" applyAlignment="1" pivotButton="0" quotePrefix="0" xfId="0">
      <alignment vertical="center"/>
    </xf>
    <xf numFmtId="0" fontId="6" fillId="3" borderId="4" applyAlignment="1" pivotButton="0" quotePrefix="0" xfId="0">
      <alignment horizontal="right"/>
    </xf>
    <xf numFmtId="0" fontId="225" fillId="9" borderId="1" applyAlignment="1" pivotButton="0" quotePrefix="0" xfId="0">
      <alignment horizontal="center" vertical="center"/>
    </xf>
    <xf numFmtId="0" fontId="11" fillId="3" borderId="1" applyAlignment="1" pivotButton="0" quotePrefix="0" xfId="0">
      <alignment vertical="center"/>
    </xf>
    <xf numFmtId="0" fontId="0" fillId="3" borderId="1" applyAlignment="1" pivotButton="0" quotePrefix="0" xfId="0">
      <alignment vertical="center"/>
    </xf>
    <xf numFmtId="0" fontId="0" fillId="3" borderId="27" applyAlignment="1" pivotButton="0" quotePrefix="0" xfId="0">
      <alignment vertical="center"/>
    </xf>
    <xf numFmtId="0" fontId="47" fillId="3" borderId="0" applyAlignment="1" pivotButton="0" quotePrefix="0" xfId="0">
      <alignment horizontal="right"/>
    </xf>
    <xf numFmtId="4" fontId="0" fillId="3" borderId="30" pivotButton="0" quotePrefix="0" xfId="0"/>
    <xf numFmtId="0" fontId="0" fillId="3" borderId="0" applyAlignment="1" pivotButton="0" quotePrefix="0" xfId="0">
      <alignment horizontal="right" indent="1"/>
    </xf>
    <xf numFmtId="0" fontId="47" fillId="3" borderId="0" applyAlignment="1" pivotButton="0" quotePrefix="0" xfId="0">
      <alignment vertical="center"/>
    </xf>
    <xf numFmtId="0" fontId="6" fillId="0" borderId="0" applyAlignment="1" pivotButton="0" quotePrefix="0" xfId="0">
      <alignment horizontal="left" vertical="top"/>
    </xf>
    <xf numFmtId="0" fontId="4" fillId="14" borderId="30" applyAlignment="1" pivotButton="0" quotePrefix="0" xfId="0">
      <alignment horizontal="center"/>
    </xf>
    <xf numFmtId="37" fontId="6" fillId="14" borderId="30" applyAlignment="1" pivotButton="0" quotePrefix="0" xfId="0">
      <alignment horizontal="right"/>
    </xf>
    <xf numFmtId="37" fontId="6" fillId="14" borderId="8" applyAlignment="1" pivotButton="0" quotePrefix="0" xfId="0">
      <alignment horizontal="right"/>
    </xf>
    <xf numFmtId="0" fontId="4" fillId="3" borderId="9" applyAlignment="1" pivotButton="0" quotePrefix="1" xfId="0">
      <alignment horizontal="center"/>
    </xf>
    <xf numFmtId="0" fontId="12" fillId="10" borderId="0" applyAlignment="1" pivotButton="0" quotePrefix="0" xfId="0">
      <alignment horizontal="center" vertical="top"/>
    </xf>
    <xf numFmtId="0" fontId="4" fillId="3" borderId="9" applyAlignment="1" pivotButton="0" quotePrefix="0" xfId="0">
      <alignment horizontal="center"/>
    </xf>
    <xf numFmtId="0" fontId="15" fillId="3" borderId="0" applyAlignment="1" pivotButton="0" quotePrefix="0" xfId="0">
      <alignment horizontal="right" vertical="center" indent="1"/>
    </xf>
    <xf numFmtId="0" fontId="4" fillId="0" borderId="0" applyAlignment="1" pivotButton="0" quotePrefix="0" xfId="0">
      <alignment horizontal="right" vertical="top"/>
    </xf>
    <xf numFmtId="37" fontId="0" fillId="0" borderId="2" pivotButton="0" quotePrefix="0" xfId="0"/>
    <xf numFmtId="0" fontId="6" fillId="0" borderId="0" applyAlignment="1" pivotButton="0" quotePrefix="0" xfId="0">
      <alignment horizontal="right" vertical="top"/>
    </xf>
    <xf numFmtId="0" fontId="47" fillId="3" borderId="0" applyAlignment="1" pivotButton="0" quotePrefix="0" xfId="0">
      <alignment horizontal="right" vertical="center"/>
    </xf>
    <xf numFmtId="0" fontId="0" fillId="3" borderId="0" applyAlignment="1" pivotButton="0" quotePrefix="0" xfId="0">
      <alignment vertical="center"/>
    </xf>
    <xf numFmtId="0" fontId="4" fillId="3" borderId="0" applyAlignment="1" pivotButton="0" quotePrefix="0" xfId="0">
      <alignment vertical="center"/>
    </xf>
    <xf numFmtId="0" fontId="4" fillId="7" borderId="6" applyAlignment="1" pivotButton="0" quotePrefix="0" xfId="0">
      <alignment horizontal="right"/>
    </xf>
    <xf numFmtId="0" fontId="0" fillId="7" borderId="6" applyAlignment="1" pivotButton="0" quotePrefix="0" xfId="0">
      <alignment horizontal="center"/>
    </xf>
    <xf numFmtId="3" fontId="110" fillId="3" borderId="30" pivotButton="0" quotePrefix="0" xfId="0"/>
    <xf numFmtId="3" fontId="110" fillId="3" borderId="8" pivotButton="0" quotePrefix="0" xfId="0"/>
    <xf numFmtId="3" fontId="110" fillId="3" borderId="14" pivotButton="0" quotePrefix="0" xfId="0"/>
    <xf numFmtId="0" fontId="226" fillId="3" borderId="0" pivotButton="0" quotePrefix="0" xfId="0"/>
    <xf numFmtId="0" fontId="36" fillId="3" borderId="0" applyAlignment="1" pivotButton="0" quotePrefix="0" xfId="0">
      <alignment vertical="top"/>
    </xf>
    <xf numFmtId="0" fontId="36" fillId="3" borderId="0" applyAlignment="1" pivotButton="0" quotePrefix="0" xfId="0">
      <alignment vertical="center"/>
    </xf>
    <xf numFmtId="0" fontId="0" fillId="7" borderId="6" applyAlignment="1" pivotButton="0" quotePrefix="0" xfId="0">
      <alignment horizontal="center" vertical="center"/>
    </xf>
    <xf numFmtId="4" fontId="6" fillId="3" borderId="0" applyAlignment="1" pivotButton="0" quotePrefix="0" xfId="0">
      <alignment vertical="center"/>
    </xf>
    <xf numFmtId="4" fontId="6" fillId="3" borderId="24" applyAlignment="1" pivotButton="0" quotePrefix="0" xfId="0">
      <alignment vertical="center"/>
    </xf>
    <xf numFmtId="0" fontId="0" fillId="7" borderId="6" applyAlignment="1" pivotButton="0" quotePrefix="0" xfId="0">
      <alignment vertical="center"/>
    </xf>
    <xf numFmtId="0" fontId="125" fillId="10" borderId="0" applyAlignment="1" pivotButton="0" quotePrefix="0" xfId="0">
      <alignment horizontal="center" vertical="center"/>
    </xf>
    <xf numFmtId="4" fontId="6" fillId="3" borderId="24" pivotButton="0" quotePrefix="0" xfId="0"/>
    <xf numFmtId="0" fontId="36" fillId="3" borderId="0" pivotButton="0" quotePrefix="0" xfId="0"/>
    <xf numFmtId="3" fontId="22" fillId="3" borderId="0" pivotButton="0" quotePrefix="0" xfId="0"/>
    <xf numFmtId="3" fontId="22" fillId="3" borderId="24" pivotButton="0" quotePrefix="0" xfId="0"/>
    <xf numFmtId="0" fontId="4" fillId="3" borderId="24" applyAlignment="1" pivotButton="0" quotePrefix="0" xfId="0">
      <alignment horizontal="center"/>
    </xf>
    <xf numFmtId="0" fontId="106" fillId="10" borderId="0" applyAlignment="1" pivotButton="0" quotePrefix="0" xfId="0">
      <alignment horizontal="center"/>
    </xf>
    <xf numFmtId="0" fontId="4" fillId="26" borderId="2" applyAlignment="1" pivotButton="0" quotePrefix="0" xfId="0">
      <alignment horizontal="center" vertical="center"/>
    </xf>
    <xf numFmtId="0" fontId="14" fillId="3" borderId="0" applyAlignment="1" pivotButton="0" quotePrefix="0" xfId="0">
      <alignment vertical="center"/>
    </xf>
    <xf numFmtId="0" fontId="121" fillId="3" borderId="0" applyAlignment="1" pivotButton="0" quotePrefix="0" xfId="0">
      <alignment vertical="center"/>
    </xf>
    <xf numFmtId="3" fontId="121" fillId="3" borderId="3" applyAlignment="1" pivotButton="0" quotePrefix="0" xfId="0">
      <alignment horizontal="center"/>
    </xf>
    <xf numFmtId="3" fontId="121" fillId="3" borderId="0" applyAlignment="1" pivotButton="0" quotePrefix="0" xfId="0">
      <alignment horizontal="center"/>
    </xf>
    <xf numFmtId="0" fontId="0" fillId="7" borderId="3" pivotButton="0" quotePrefix="0" xfId="0"/>
    <xf numFmtId="37" fontId="122" fillId="10" borderId="0" applyAlignment="1" pivotButton="0" quotePrefix="0" xfId="0">
      <alignment horizontal="right"/>
    </xf>
    <xf numFmtId="3" fontId="6" fillId="3" borderId="3" pivotButton="0" quotePrefix="0" xfId="0"/>
    <xf numFmtId="3" fontId="6" fillId="3" borderId="0" pivotButton="0" quotePrefix="0" xfId="0"/>
    <xf numFmtId="0" fontId="8" fillId="14" borderId="3" applyAlignment="1" pivotButton="0" quotePrefix="0" xfId="0">
      <alignment horizontal="center"/>
    </xf>
    <xf numFmtId="0" fontId="8" fillId="14" borderId="0" applyAlignment="1" pivotButton="0" quotePrefix="0" xfId="0">
      <alignment horizontal="center"/>
    </xf>
    <xf numFmtId="0" fontId="8" fillId="14" borderId="24" applyAlignment="1" pivotButton="0" quotePrefix="0" xfId="0">
      <alignment horizontal="center"/>
    </xf>
    <xf numFmtId="0" fontId="8" fillId="14" borderId="6" applyAlignment="1" pivotButton="0" quotePrefix="0" xfId="0">
      <alignment horizontal="center"/>
    </xf>
    <xf numFmtId="0" fontId="0" fillId="3" borderId="1" applyAlignment="1" pivotButton="0" quotePrefix="0" xfId="0">
      <alignment horizontal="center"/>
    </xf>
    <xf numFmtId="0" fontId="14" fillId="3" borderId="0" applyAlignment="1" pivotButton="0" quotePrefix="0" xfId="0">
      <alignment horizontal="center"/>
    </xf>
    <xf numFmtId="0" fontId="0" fillId="14" borderId="6" applyAlignment="1" pivotButton="0" quotePrefix="0" xfId="0">
      <alignment horizontal="center"/>
    </xf>
    <xf numFmtId="0" fontId="15" fillId="3" borderId="0" applyAlignment="1" pivotButton="0" quotePrefix="0" xfId="0">
      <alignment vertical="center"/>
    </xf>
    <xf numFmtId="0" fontId="0" fillId="14" borderId="3" applyAlignment="1" pivotButton="0" quotePrefix="0" xfId="0">
      <alignment horizontal="center"/>
    </xf>
    <xf numFmtId="0" fontId="0" fillId="14" borderId="0" applyAlignment="1" pivotButton="0" quotePrefix="0" xfId="0">
      <alignment horizontal="center"/>
    </xf>
    <xf numFmtId="0" fontId="0" fillId="14" borderId="24" applyAlignment="1" pivotButton="0" quotePrefix="0" xfId="0">
      <alignment horizontal="center"/>
    </xf>
    <xf numFmtId="0" fontId="6" fillId="3" borderId="4" applyAlignment="1" pivotButton="0" quotePrefix="0" xfId="0">
      <alignment horizontal="right" indent="1"/>
    </xf>
    <xf numFmtId="0" fontId="4" fillId="3" borderId="4" applyAlignment="1" pivotButton="0" quotePrefix="0" xfId="0">
      <alignment horizontal="right"/>
    </xf>
    <xf numFmtId="0" fontId="4" fillId="3" borderId="28" applyAlignment="1" pivotButton="0" quotePrefix="0" xfId="0">
      <alignment horizontal="center"/>
    </xf>
    <xf numFmtId="0" fontId="4" fillId="3" borderId="4" applyAlignment="1" pivotButton="0" quotePrefix="0" xfId="0">
      <alignment horizontal="right" vertical="center"/>
    </xf>
    <xf numFmtId="0" fontId="4" fillId="3" borderId="7" pivotButton="0" quotePrefix="0" xfId="0"/>
    <xf numFmtId="0" fontId="0" fillId="3" borderId="7" pivotButton="0" quotePrefix="0" xfId="0"/>
    <xf numFmtId="0" fontId="15" fillId="3" borderId="0" applyAlignment="1" pivotButton="0" quotePrefix="0" xfId="0">
      <alignment horizontal="right"/>
    </xf>
    <xf numFmtId="0" fontId="0" fillId="3" borderId="19" pivotButton="0" quotePrefix="0" xfId="0"/>
    <xf numFmtId="0" fontId="10" fillId="3" borderId="21" applyAlignment="1" pivotButton="0" quotePrefix="0" xfId="0">
      <alignment horizontal="center" vertical="center"/>
    </xf>
    <xf numFmtId="0" fontId="0" fillId="3" borderId="22" applyAlignment="1" pivotButton="0" quotePrefix="0" xfId="0">
      <alignment vertical="center"/>
    </xf>
    <xf numFmtId="0" fontId="21" fillId="3" borderId="0" applyAlignment="1" pivotButton="0" quotePrefix="0" xfId="0">
      <alignment horizontal="left" vertical="center"/>
    </xf>
    <xf numFmtId="0" fontId="21" fillId="3" borderId="0" applyAlignment="1" pivotButton="0" quotePrefix="0" xfId="0">
      <alignment horizontal="center" vertical="center"/>
    </xf>
    <xf numFmtId="0" fontId="10" fillId="3" borderId="8" pivotButton="0" quotePrefix="0" xfId="0"/>
    <xf numFmtId="0" fontId="9" fillId="3" borderId="8" pivotButton="0" quotePrefix="0" xfId="0"/>
    <xf numFmtId="4" fontId="0" fillId="3" borderId="8" pivotButton="0" quotePrefix="0" xfId="0"/>
    <xf numFmtId="0" fontId="10" fillId="3" borderId="8" applyAlignment="1" pivotButton="0" quotePrefix="0" xfId="0">
      <alignment horizontal="right"/>
    </xf>
    <xf numFmtId="4" fontId="12" fillId="3" borderId="30" pivotButton="0" quotePrefix="0" xfId="0"/>
    <xf numFmtId="4" fontId="12" fillId="3" borderId="8" pivotButton="0" quotePrefix="0" xfId="0"/>
    <xf numFmtId="0" fontId="9" fillId="28" borderId="1" pivotButton="0" quotePrefix="0" xfId="0"/>
    <xf numFmtId="0" fontId="0" fillId="28" borderId="1" pivotButton="0" quotePrefix="0" xfId="0"/>
    <xf numFmtId="4" fontId="0" fillId="28" borderId="1" pivotButton="0" quotePrefix="0" xfId="0"/>
    <xf numFmtId="39" fontId="6" fillId="28" borderId="1" pivotButton="0" quotePrefix="0" xfId="0"/>
    <xf numFmtId="0" fontId="15" fillId="3" borderId="25" applyAlignment="1" pivotButton="0" quotePrefix="0" xfId="0">
      <alignment vertical="center"/>
    </xf>
    <xf numFmtId="0" fontId="0" fillId="7" borderId="0" pivotButton="0" quotePrefix="0" xfId="0"/>
    <xf numFmtId="0" fontId="0" fillId="14" borderId="0" pivotButton="0" quotePrefix="0" xfId="0"/>
    <xf numFmtId="0" fontId="15" fillId="14" borderId="0" pivotButton="0" quotePrefix="0" xfId="0"/>
    <xf numFmtId="0" fontId="4" fillId="14" borderId="0" pivotButton="0" quotePrefix="0" xfId="0"/>
    <xf numFmtId="0" fontId="6" fillId="14" borderId="0" pivotButton="0" quotePrefix="0" xfId="0"/>
    <xf numFmtId="0" fontId="5" fillId="14" borderId="0" pivotButton="0" quotePrefix="0" xfId="0"/>
    <xf numFmtId="0" fontId="6" fillId="14" borderId="0" applyAlignment="1" pivotButton="0" quotePrefix="1" xfId="0">
      <alignment horizontal="right"/>
    </xf>
    <xf numFmtId="0" fontId="0" fillId="14" borderId="0" applyAlignment="1" pivotButton="0" quotePrefix="0" xfId="0">
      <alignment horizontal="right"/>
    </xf>
    <xf numFmtId="0" fontId="6" fillId="15" borderId="30" applyAlignment="1" pivotButton="0" quotePrefix="0" xfId="0">
      <alignment horizontal="left"/>
    </xf>
    <xf numFmtId="0" fontId="6" fillId="15" borderId="8" applyAlignment="1" pivotButton="0" quotePrefix="0" xfId="0">
      <alignment horizontal="left"/>
    </xf>
    <xf numFmtId="0" fontId="6" fillId="15" borderId="14" applyAlignment="1" pivotButton="0" quotePrefix="0" xfId="0">
      <alignment horizontal="left"/>
    </xf>
    <xf numFmtId="0" fontId="47" fillId="15" borderId="3" applyAlignment="1" pivotButton="0" quotePrefix="0" xfId="0">
      <alignment horizontal="left"/>
    </xf>
    <xf numFmtId="0" fontId="15" fillId="15" borderId="0" applyAlignment="1" pivotButton="0" quotePrefix="0" xfId="0">
      <alignment horizontal="left"/>
    </xf>
    <xf numFmtId="0" fontId="6" fillId="15" borderId="24" applyAlignment="1" pivotButton="0" quotePrefix="0" xfId="0">
      <alignment horizontal="left"/>
    </xf>
    <xf numFmtId="0" fontId="6" fillId="15" borderId="3" applyAlignment="1" pivotButton="0" quotePrefix="0" xfId="0">
      <alignment horizontal="left"/>
    </xf>
    <xf numFmtId="0" fontId="56" fillId="15" borderId="0" applyAlignment="1" pivotButton="0" quotePrefix="0" xfId="0">
      <alignment horizontal="right"/>
    </xf>
    <xf numFmtId="0" fontId="5" fillId="15" borderId="0" applyAlignment="1" pivotButton="0" quotePrefix="0" xfId="0">
      <alignment horizontal="right"/>
    </xf>
    <xf numFmtId="0" fontId="5" fillId="15" borderId="0" applyAlignment="1" pivotButton="0" quotePrefix="0" xfId="0">
      <alignment horizontal="left"/>
    </xf>
    <xf numFmtId="0" fontId="6" fillId="15" borderId="3" applyAlignment="1" pivotButton="0" quotePrefix="1" xfId="0">
      <alignment horizontal="right"/>
    </xf>
    <xf numFmtId="3" fontId="4" fillId="15" borderId="0" pivotButton="0" quotePrefix="0" xfId="0"/>
    <xf numFmtId="3" fontId="4" fillId="15" borderId="0" applyAlignment="1" pivotButton="0" quotePrefix="0" xfId="0">
      <alignment horizontal="right"/>
    </xf>
    <xf numFmtId="0" fontId="8" fillId="0" borderId="0" applyAlignment="1" pivotButton="0" quotePrefix="0" xfId="0">
      <alignment vertical="center"/>
    </xf>
    <xf numFmtId="0" fontId="8" fillId="0" borderId="0" applyAlignment="1" pivotButton="0" quotePrefix="0" xfId="0">
      <alignment vertical="top"/>
    </xf>
    <xf numFmtId="0" fontId="6" fillId="15" borderId="3" applyAlignment="1" pivotButton="0" quotePrefix="0" xfId="0">
      <alignment horizontal="right"/>
    </xf>
    <xf numFmtId="0" fontId="112" fillId="15" borderId="0" applyAlignment="1" pivotButton="0" quotePrefix="0" xfId="0">
      <alignment horizontal="center" vertical="center"/>
    </xf>
    <xf numFmtId="2" fontId="6" fillId="27" borderId="1" applyAlignment="1" pivotButton="0" quotePrefix="0" xfId="0">
      <alignment horizontal="right" indent="1"/>
    </xf>
    <xf numFmtId="0" fontId="4" fillId="15" borderId="0" applyAlignment="1" pivotButton="0" quotePrefix="0" xfId="0">
      <alignment horizontal="left"/>
    </xf>
    <xf numFmtId="0" fontId="4" fillId="15" borderId="0" applyAlignment="1" pivotButton="0" quotePrefix="0" xfId="0">
      <alignment wrapText="1"/>
    </xf>
    <xf numFmtId="190" fontId="8" fillId="15" borderId="3" pivotButton="0" quotePrefix="0" xfId="0"/>
    <xf numFmtId="190" fontId="8" fillId="15" borderId="0" pivotButton="0" quotePrefix="0" xfId="0"/>
    <xf numFmtId="3" fontId="8" fillId="15" borderId="0" applyAlignment="1" pivotButton="0" quotePrefix="0" xfId="0">
      <alignment horizontal="right"/>
    </xf>
    <xf numFmtId="2" fontId="6" fillId="15" borderId="8" pivotButton="0" quotePrefix="0" xfId="0"/>
    <xf numFmtId="3" fontId="8" fillId="15" borderId="3" pivotButton="0" quotePrefix="0" xfId="0"/>
    <xf numFmtId="3" fontId="8" fillId="15" borderId="0" pivotButton="0" quotePrefix="0" xfId="0"/>
    <xf numFmtId="2" fontId="6" fillId="15" borderId="0" pivotButton="0" quotePrefix="0" xfId="0"/>
    <xf numFmtId="0" fontId="4" fillId="15" borderId="3" applyAlignment="1" pivotButton="0" quotePrefix="0" xfId="0">
      <alignment horizontal="left"/>
    </xf>
    <xf numFmtId="0" fontId="4" fillId="15" borderId="24" applyAlignment="1" pivotButton="0" quotePrefix="0" xfId="0">
      <alignment horizontal="left"/>
    </xf>
    <xf numFmtId="0" fontId="6" fillId="15" borderId="9" applyAlignment="1" pivotButton="0" quotePrefix="0" xfId="0">
      <alignment horizontal="left"/>
    </xf>
    <xf numFmtId="0" fontId="6" fillId="15" borderId="1" applyAlignment="1" pivotButton="0" quotePrefix="0" xfId="0">
      <alignment horizontal="left"/>
    </xf>
    <xf numFmtId="0" fontId="6" fillId="15" borderId="11" applyAlignment="1" pivotButton="0" quotePrefix="0" xfId="0">
      <alignment horizontal="left"/>
    </xf>
    <xf numFmtId="49" fontId="261" fillId="15" borderId="0" applyAlignment="1" pivotButton="0" quotePrefix="0" xfId="0">
      <alignment horizontal="center" vertical="center" wrapText="1"/>
    </xf>
    <xf numFmtId="49" fontId="261" fillId="15" borderId="13" applyAlignment="1" pivotButton="0" quotePrefix="0" xfId="0">
      <alignment horizontal="center" vertical="center" wrapText="1"/>
    </xf>
    <xf numFmtId="0" fontId="0" fillId="15" borderId="1" applyAlignment="1" pivotButton="0" quotePrefix="0" xfId="0">
      <alignment horizontal="center" vertical="center" wrapText="1"/>
    </xf>
    <xf numFmtId="0" fontId="0" fillId="15" borderId="4" applyAlignment="1" pivotButton="0" quotePrefix="0" xfId="0">
      <alignment horizontal="center" vertical="center" wrapText="1"/>
    </xf>
    <xf numFmtId="0" fontId="15" fillId="15" borderId="30" applyAlignment="1" pivotButton="0" quotePrefix="0" xfId="0">
      <alignment horizontal="center"/>
    </xf>
    <xf numFmtId="0" fontId="15" fillId="15" borderId="0" applyAlignment="1" pivotButton="0" quotePrefix="1" xfId="0">
      <alignment horizontal="center" vertical="center"/>
    </xf>
    <xf numFmtId="0" fontId="4" fillId="0" borderId="0" applyAlignment="1" pivotButton="0" quotePrefix="0" xfId="0">
      <alignment vertical="center"/>
    </xf>
    <xf numFmtId="0" fontId="6" fillId="15" borderId="1" applyAlignment="1" pivotButton="0" quotePrefix="0" xfId="0">
      <alignment horizontal="center" vertical="center"/>
    </xf>
    <xf numFmtId="0" fontId="6" fillId="0" borderId="12" applyAlignment="1" pivotButton="0" quotePrefix="0" xfId="0">
      <alignment horizontal="center" wrapText="1"/>
    </xf>
    <xf numFmtId="0" fontId="125" fillId="15" borderId="0" applyAlignment="1" pivotButton="0" quotePrefix="0" xfId="0">
      <alignment horizontal="center"/>
    </xf>
    <xf numFmtId="0" fontId="15" fillId="5" borderId="0" applyAlignment="1" pivotButton="0" quotePrefix="0" xfId="0">
      <alignment horizontal="left"/>
    </xf>
    <xf numFmtId="0" fontId="121" fillId="5" borderId="0" applyAlignment="1" pivotButton="0" quotePrefix="0" xfId="0">
      <alignment horizontal="center"/>
    </xf>
    <xf numFmtId="0" fontId="6" fillId="15" borderId="0" applyAlignment="1" pivotButton="0" quotePrefix="0" xfId="0">
      <alignment horizontal="center" wrapText="1"/>
    </xf>
    <xf numFmtId="0" fontId="0" fillId="15" borderId="56" pivotButton="0" quotePrefix="0" xfId="0"/>
    <xf numFmtId="0" fontId="15" fillId="15" borderId="0" applyAlignment="1" pivotButton="0" quotePrefix="0" xfId="0">
      <alignment horizontal="center" vertical="center"/>
    </xf>
    <xf numFmtId="0" fontId="196" fillId="15" borderId="0" applyAlignment="1" pivotButton="0" quotePrefix="0" xfId="0">
      <alignment vertical="center"/>
    </xf>
    <xf numFmtId="0" fontId="125" fillId="15" borderId="0" applyAlignment="1" pivotButton="0" quotePrefix="0" xfId="0">
      <alignment vertical="center"/>
    </xf>
    <xf numFmtId="0" fontId="121" fillId="15" borderId="25" applyAlignment="1" pivotButton="0" quotePrefix="0" xfId="0">
      <alignment horizontal="right"/>
    </xf>
    <xf numFmtId="0" fontId="119" fillId="15" borderId="25" applyAlignment="1" pivotButton="0" quotePrefix="0" xfId="0">
      <alignment horizontal="right" vertical="center"/>
    </xf>
    <xf numFmtId="0" fontId="143" fillId="15" borderId="0" applyAlignment="1" pivotButton="0" quotePrefix="0" xfId="0">
      <alignment vertical="center"/>
    </xf>
    <xf numFmtId="0" fontId="121" fillId="15" borderId="0" applyAlignment="1" pivotButton="0" quotePrefix="0" xfId="0">
      <alignment vertical="center"/>
    </xf>
    <xf numFmtId="3" fontId="6" fillId="15" borderId="0" applyAlignment="1" pivotButton="0" quotePrefix="0" xfId="0">
      <alignment horizontal="right"/>
    </xf>
    <xf numFmtId="0" fontId="0" fillId="15" borderId="14" applyAlignment="1" pivotButton="0" quotePrefix="0" xfId="0">
      <alignment horizontal="left" vertical="center" wrapText="1"/>
    </xf>
    <xf numFmtId="0" fontId="0" fillId="15" borderId="24" applyAlignment="1" pivotButton="0" quotePrefix="0" xfId="0">
      <alignment horizontal="left" vertical="center" wrapText="1"/>
    </xf>
    <xf numFmtId="0" fontId="15" fillId="15" borderId="0" applyAlignment="1" pivotButton="0" quotePrefix="1" xfId="0">
      <alignment horizontal="right"/>
    </xf>
    <xf numFmtId="0" fontId="15" fillId="15" borderId="24" applyAlignment="1" pivotButton="0" quotePrefix="1" xfId="0">
      <alignment horizontal="center"/>
    </xf>
    <xf numFmtId="37" fontId="9" fillId="14" borderId="3" applyAlignment="1" pivotButton="0" quotePrefix="0" xfId="0">
      <alignment horizontal="right"/>
    </xf>
    <xf numFmtId="3" fontId="110" fillId="15" borderId="0" pivotButton="0" quotePrefix="0" xfId="0"/>
    <xf numFmtId="0" fontId="4" fillId="15" borderId="3" applyAlignment="1" pivotButton="0" quotePrefix="1" xfId="0">
      <alignment horizontal="right"/>
    </xf>
    <xf numFmtId="3" fontId="6" fillId="25" borderId="1" pivotButton="0" quotePrefix="0" xfId="0"/>
    <xf numFmtId="1" fontId="4" fillId="0" borderId="1" applyAlignment="1" pivotButton="0" quotePrefix="0" xfId="0">
      <alignment horizontal="center"/>
    </xf>
    <xf numFmtId="0" fontId="0" fillId="19" borderId="12" pivotButton="0" quotePrefix="0" xfId="0"/>
    <xf numFmtId="0" fontId="0" fillId="19" borderId="25" pivotButton="0" quotePrefix="0" xfId="0"/>
    <xf numFmtId="1" fontId="207" fillId="15" borderId="0" applyAlignment="1" pivotButton="0" quotePrefix="0" xfId="0">
      <alignment wrapText="1"/>
    </xf>
    <xf numFmtId="1" fontId="207" fillId="15" borderId="24" applyAlignment="1" pivotButton="0" quotePrefix="0" xfId="0">
      <alignment wrapText="1"/>
    </xf>
    <xf numFmtId="37" fontId="6" fillId="25" borderId="1" pivotButton="0" quotePrefix="0" xfId="0"/>
    <xf numFmtId="0" fontId="15" fillId="15" borderId="28" applyAlignment="1" pivotButton="0" quotePrefix="1" xfId="0">
      <alignment horizontal="center"/>
    </xf>
    <xf numFmtId="0" fontId="4" fillId="15" borderId="28" applyAlignment="1" pivotButton="0" quotePrefix="0" xfId="0">
      <alignment horizontal="center"/>
    </xf>
    <xf numFmtId="181" fontId="0" fillId="15" borderId="0" applyAlignment="1" pivotButton="0" quotePrefix="0" xfId="0">
      <alignment horizontal="right"/>
    </xf>
    <xf numFmtId="0" fontId="4" fillId="15" borderId="0" applyAlignment="1" pivotButton="0" quotePrefix="1" xfId="0">
      <alignment horizontal="right" vertical="top"/>
    </xf>
    <xf numFmtId="3" fontId="6" fillId="30" borderId="1" pivotButton="0" quotePrefix="0" xfId="0"/>
    <xf numFmtId="0" fontId="15" fillId="15" borderId="25" applyAlignment="1" pivotButton="0" quotePrefix="1" xfId="0">
      <alignment horizontal="right"/>
    </xf>
    <xf numFmtId="182" fontId="110" fillId="15" borderId="0" applyAlignment="1" pivotButton="0" quotePrefix="0" xfId="0">
      <alignment horizontal="right"/>
    </xf>
    <xf numFmtId="0" fontId="15" fillId="15" borderId="25" applyAlignment="1" pivotButton="0" quotePrefix="1" xfId="0">
      <alignment horizontal="center"/>
    </xf>
    <xf numFmtId="0" fontId="149" fillId="15" borderId="30" applyAlignment="1" pivotButton="0" quotePrefix="0" xfId="0">
      <alignment horizontal="centerContinuous" vertical="center"/>
    </xf>
    <xf numFmtId="0" fontId="149" fillId="15" borderId="8" applyAlignment="1" pivotButton="0" quotePrefix="0" xfId="0">
      <alignment horizontal="centerContinuous" vertical="center"/>
    </xf>
    <xf numFmtId="0" fontId="149" fillId="15" borderId="8" applyAlignment="1" pivotButton="0" quotePrefix="0" xfId="0">
      <alignment horizontal="centerContinuous" vertical="center" wrapText="1"/>
    </xf>
    <xf numFmtId="0" fontId="4" fillId="15" borderId="8" applyAlignment="1" pivotButton="0" quotePrefix="0" xfId="0">
      <alignment horizontal="centerContinuous"/>
    </xf>
    <xf numFmtId="0" fontId="0" fillId="15" borderId="8" applyAlignment="1" pivotButton="0" quotePrefix="0" xfId="0">
      <alignment horizontal="centerContinuous"/>
    </xf>
    <xf numFmtId="49" fontId="4" fillId="15" borderId="3" applyAlignment="1" pivotButton="0" quotePrefix="0" xfId="0">
      <alignment horizontal="right"/>
    </xf>
    <xf numFmtId="0" fontId="139" fillId="15" borderId="0" applyAlignment="1" pivotButton="0" quotePrefix="0" xfId="0">
      <alignment horizontal="left" vertical="center"/>
    </xf>
    <xf numFmtId="0" fontId="139" fillId="15" borderId="0" applyAlignment="1" pivotButton="0" quotePrefix="0" xfId="0">
      <alignment vertical="center" wrapText="1"/>
    </xf>
    <xf numFmtId="49" fontId="4" fillId="15" borderId="0" applyAlignment="1" pivotButton="0" quotePrefix="1" xfId="0">
      <alignment horizontal="right"/>
    </xf>
    <xf numFmtId="37" fontId="12" fillId="27" borderId="1" pivotButton="0" quotePrefix="0" xfId="0"/>
    <xf numFmtId="49" fontId="6" fillId="15" borderId="0" applyAlignment="1" pivotButton="0" quotePrefix="0" xfId="0">
      <alignment horizontal="right"/>
    </xf>
    <xf numFmtId="0" fontId="152" fillId="15" borderId="0" applyAlignment="1" pivotButton="0" quotePrefix="0" xfId="0">
      <alignment horizontal="center"/>
    </xf>
    <xf numFmtId="1" fontId="153" fillId="27" borderId="81" applyAlignment="1" pivotButton="0" quotePrefix="0" xfId="0">
      <alignment horizontal="center" vertical="center"/>
    </xf>
    <xf numFmtId="184" fontId="153" fillId="27" borderId="82" applyAlignment="1" pivotButton="0" quotePrefix="0" xfId="0">
      <alignment horizontal="center" vertical="center"/>
    </xf>
    <xf numFmtId="0" fontId="150" fillId="15" borderId="0" applyAlignment="1" pivotButton="0" quotePrefix="0" xfId="0">
      <alignment vertical="center"/>
    </xf>
    <xf numFmtId="49" fontId="4" fillId="15" borderId="3" applyAlignment="1" pivotButton="0" quotePrefix="1" xfId="0">
      <alignment horizontal="right"/>
    </xf>
    <xf numFmtId="184" fontId="0" fillId="15" borderId="0" pivotButton="0" quotePrefix="0" xfId="0"/>
    <xf numFmtId="0" fontId="139" fillId="15" borderId="3" applyAlignment="1" pivotButton="0" quotePrefix="0" xfId="0">
      <alignment horizontal="center" vertical="center"/>
    </xf>
    <xf numFmtId="0" fontId="139" fillId="15" borderId="0" applyAlignment="1" pivotButton="0" quotePrefix="0" xfId="0">
      <alignment vertical="center"/>
    </xf>
    <xf numFmtId="49" fontId="6" fillId="15" borderId="3" applyAlignment="1" pivotButton="0" quotePrefix="0" xfId="0">
      <alignment horizontal="right"/>
    </xf>
    <xf numFmtId="0" fontId="149" fillId="15" borderId="0" applyAlignment="1" pivotButton="0" quotePrefix="0" xfId="0">
      <alignment vertical="center" wrapText="1"/>
    </xf>
    <xf numFmtId="0" fontId="139" fillId="15" borderId="0" applyAlignment="1" pivotButton="0" quotePrefix="0" xfId="0">
      <alignment wrapText="1"/>
    </xf>
    <xf numFmtId="0" fontId="139" fillId="15" borderId="3" applyAlignment="1" pivotButton="0" quotePrefix="0" xfId="0">
      <alignment wrapText="1"/>
    </xf>
    <xf numFmtId="0" fontId="139" fillId="15" borderId="0" applyAlignment="1" pivotButton="0" quotePrefix="0" xfId="0">
      <alignment vertical="top" wrapText="1"/>
    </xf>
    <xf numFmtId="0" fontId="15" fillId="15" borderId="31" applyAlignment="1" pivotButton="0" quotePrefix="1" xfId="0">
      <alignment horizontal="right"/>
    </xf>
    <xf numFmtId="0" fontId="15" fillId="15" borderId="31" applyAlignment="1" pivotButton="0" quotePrefix="1" xfId="0">
      <alignment horizontal="center"/>
    </xf>
    <xf numFmtId="0" fontId="139" fillId="15" borderId="3" applyAlignment="1" pivotButton="0" quotePrefix="0" xfId="0">
      <alignment vertical="top" wrapText="1"/>
    </xf>
    <xf numFmtId="0" fontId="15" fillId="15" borderId="7" applyAlignment="1" pivotButton="0" quotePrefix="1" xfId="0">
      <alignment horizontal="right"/>
    </xf>
    <xf numFmtId="0" fontId="137" fillId="15" borderId="0" applyAlignment="1" pivotButton="0" quotePrefix="0" xfId="0">
      <alignment horizontal="center"/>
    </xf>
    <xf numFmtId="0" fontId="0" fillId="15" borderId="24" applyAlignment="1" pivotButton="0" quotePrefix="0" xfId="0">
      <alignment horizontal="left"/>
    </xf>
    <xf numFmtId="0" fontId="110" fillId="15" borderId="3" pivotButton="0" quotePrefix="0" xfId="0"/>
    <xf numFmtId="0" fontId="4" fillId="15" borderId="11" applyAlignment="1" pivotButton="0" quotePrefix="0" xfId="0">
      <alignment horizontal="right"/>
    </xf>
    <xf numFmtId="0" fontId="11" fillId="15" borderId="1" applyAlignment="1" pivotButton="0" quotePrefix="0" xfId="0">
      <alignment vertical="center"/>
    </xf>
    <xf numFmtId="37" fontId="10" fillId="15" borderId="0" applyAlignment="1" pivotButton="0" quotePrefix="0" xfId="0">
      <alignment horizontal="right"/>
    </xf>
    <xf numFmtId="37" fontId="10" fillId="27" borderId="1" pivotButton="0" quotePrefix="0" xfId="0"/>
    <xf numFmtId="0" fontId="286" fillId="15" borderId="3" applyAlignment="1" pivotButton="0" quotePrefix="0" xfId="0">
      <alignment vertical="center" wrapText="1"/>
    </xf>
    <xf numFmtId="0" fontId="139" fillId="15" borderId="3" applyAlignment="1" pivotButton="0" quotePrefix="0" xfId="0">
      <alignment horizontal="left" indent="1"/>
    </xf>
    <xf numFmtId="0" fontId="139" fillId="15" borderId="0" applyAlignment="1" pivotButton="0" quotePrefix="0" xfId="0">
      <alignment horizontal="left" wrapText="1" indent="1"/>
    </xf>
    <xf numFmtId="0" fontId="139" fillId="15" borderId="9" applyAlignment="1" pivotButton="0" quotePrefix="0" xfId="0">
      <alignment horizontal="left" vertical="top" indent="1"/>
    </xf>
    <xf numFmtId="0" fontId="139" fillId="15" borderId="1" applyAlignment="1" pivotButton="0" quotePrefix="0" xfId="0">
      <alignment vertical="top"/>
    </xf>
    <xf numFmtId="49" fontId="0" fillId="15" borderId="0" applyAlignment="1" pivotButton="0" quotePrefix="0" xfId="0">
      <alignment horizontal="right"/>
    </xf>
    <xf numFmtId="0" fontId="81" fillId="5" borderId="7" applyAlignment="1" pivotButton="0" quotePrefix="0" xfId="0">
      <alignment horizontal="center"/>
    </xf>
    <xf numFmtId="0" fontId="4" fillId="2" borderId="7" applyAlignment="1" pivotButton="0" quotePrefix="0" xfId="0">
      <alignment vertical="top"/>
    </xf>
    <xf numFmtId="0" fontId="10" fillId="2" borderId="7" applyAlignment="1" pivotButton="0" quotePrefix="0" xfId="0">
      <alignment vertical="top"/>
    </xf>
    <xf numFmtId="0" fontId="141" fillId="0" borderId="59" applyAlignment="1" pivotButton="0" quotePrefix="0" xfId="0">
      <alignment horizontal="centerContinuous"/>
    </xf>
    <xf numFmtId="0" fontId="140" fillId="0" borderId="74" applyAlignment="1" pivotButton="0" quotePrefix="0" xfId="0">
      <alignment horizontal="centerContinuous" wrapText="1"/>
    </xf>
    <xf numFmtId="0" fontId="6" fillId="0" borderId="60" applyAlignment="1" pivotButton="0" quotePrefix="0" xfId="0">
      <alignment horizontal="centerContinuous"/>
    </xf>
    <xf numFmtId="0" fontId="140" fillId="0" borderId="55" applyAlignment="1" pivotButton="0" quotePrefix="0" xfId="0">
      <alignment horizontal="center" vertical="center"/>
    </xf>
    <xf numFmtId="0" fontId="140" fillId="0" borderId="10" applyAlignment="1" pivotButton="0" quotePrefix="0" xfId="0">
      <alignment horizontal="center" vertical="center" wrapText="1"/>
    </xf>
    <xf numFmtId="0" fontId="140" fillId="0" borderId="66" applyAlignment="1" pivotButton="0" quotePrefix="0" xfId="0">
      <alignment horizontal="center" vertical="center" wrapText="1"/>
    </xf>
    <xf numFmtId="0" fontId="140" fillId="0" borderId="46" applyAlignment="1" pivotButton="0" quotePrefix="1" xfId="0">
      <alignment horizontal="center" vertical="center" wrapText="1"/>
    </xf>
    <xf numFmtId="3" fontId="140" fillId="0" borderId="12" applyAlignment="1" pivotButton="0" quotePrefix="0" xfId="0">
      <alignment horizontal="center" vertical="center" wrapText="1"/>
    </xf>
    <xf numFmtId="167" fontId="140" fillId="0" borderId="12" applyAlignment="1" pivotButton="0" quotePrefix="0" xfId="0">
      <alignment vertical="center" wrapText="1"/>
    </xf>
    <xf numFmtId="167" fontId="140" fillId="0" borderId="58" applyAlignment="1" pivotButton="0" quotePrefix="0" xfId="0">
      <alignment vertical="center" wrapText="1"/>
    </xf>
    <xf numFmtId="0" fontId="47" fillId="15" borderId="25" pivotButton="0" quotePrefix="0" xfId="0"/>
    <xf numFmtId="3" fontId="6" fillId="15" borderId="0" pivotButton="0" quotePrefix="0" xfId="0"/>
    <xf numFmtId="0" fontId="15" fillId="15" borderId="8" applyAlignment="1" pivotButton="0" quotePrefix="0" xfId="0">
      <alignment horizontal="center"/>
    </xf>
    <xf numFmtId="0" fontId="255" fillId="15" borderId="0" applyAlignment="1" pivotButton="0" quotePrefix="0" xfId="0">
      <alignment horizontal="right" vertical="center" wrapText="1"/>
    </xf>
    <xf numFmtId="0" fontId="256" fillId="15" borderId="0" applyAlignment="1" pivotButton="0" quotePrefix="0" xfId="0">
      <alignment horizontal="center" vertical="center" wrapText="1"/>
    </xf>
    <xf numFmtId="0" fontId="9" fillId="0" borderId="81" applyAlignment="1" pivotButton="0" quotePrefix="0" xfId="0">
      <alignment horizontal="centerContinuous"/>
    </xf>
    <xf numFmtId="0" fontId="6" fillId="0" borderId="83" applyAlignment="1" pivotButton="0" quotePrefix="0" xfId="0">
      <alignment horizontal="centerContinuous"/>
    </xf>
    <xf numFmtId="0" fontId="6" fillId="0" borderId="82" applyAlignment="1" pivotButton="0" quotePrefix="0" xfId="0">
      <alignment horizontal="centerContinuous"/>
    </xf>
    <xf numFmtId="0" fontId="8" fillId="0" borderId="55" applyAlignment="1" pivotButton="0" quotePrefix="0" xfId="0">
      <alignment horizontal="center"/>
    </xf>
    <xf numFmtId="0" fontId="8" fillId="0" borderId="10" applyAlignment="1" pivotButton="0" quotePrefix="0" xfId="0">
      <alignment horizontal="center"/>
    </xf>
    <xf numFmtId="0" fontId="8" fillId="0" borderId="77" applyAlignment="1" pivotButton="0" quotePrefix="0" xfId="0">
      <alignment horizontal="center"/>
    </xf>
    <xf numFmtId="0" fontId="6" fillId="0" borderId="46" applyAlignment="1" pivotButton="0" quotePrefix="0" xfId="0">
      <alignment horizontal="center"/>
    </xf>
    <xf numFmtId="0" fontId="6" fillId="0" borderId="58" applyAlignment="1" pivotButton="0" quotePrefix="0" xfId="0">
      <alignment horizontal="center" wrapText="1"/>
    </xf>
    <xf numFmtId="3" fontId="8" fillId="0" borderId="12" applyAlignment="1" pivotButton="0" quotePrefix="0" xfId="0">
      <alignment horizontal="center" vertical="center"/>
    </xf>
    <xf numFmtId="3" fontId="8" fillId="0" borderId="58" applyAlignment="1" pivotButton="0" quotePrefix="0" xfId="0">
      <alignment horizontal="center" vertical="center"/>
    </xf>
    <xf numFmtId="174" fontId="0" fillId="15" borderId="0" pivotButton="0" quotePrefix="0" xfId="0"/>
    <xf numFmtId="0" fontId="6" fillId="0" borderId="111" applyAlignment="1" pivotButton="0" quotePrefix="1" xfId="0">
      <alignment horizontal="center"/>
    </xf>
    <xf numFmtId="3" fontId="8" fillId="0" borderId="51" applyAlignment="1" pivotButton="0" quotePrefix="0" xfId="0">
      <alignment horizontal="center" vertical="center"/>
    </xf>
    <xf numFmtId="3" fontId="8" fillId="0" borderId="110" applyAlignment="1" pivotButton="0" quotePrefix="0" xfId="0">
      <alignment horizontal="center" vertical="center"/>
    </xf>
    <xf numFmtId="0" fontId="245" fillId="15" borderId="0" applyAlignment="1" pivotButton="0" quotePrefix="0" xfId="0">
      <alignment horizontal="center"/>
    </xf>
    <xf numFmtId="3" fontId="245" fillId="15" borderId="0" applyAlignment="1" pivotButton="0" quotePrefix="0" xfId="0">
      <alignment horizontal="left"/>
    </xf>
    <xf numFmtId="3" fontId="110" fillId="15" borderId="0" applyAlignment="1" pivotButton="0" quotePrefix="0" xfId="0">
      <alignment horizontal="center"/>
    </xf>
    <xf numFmtId="0" fontId="322" fillId="15" borderId="0" applyAlignment="1" pivotButton="0" quotePrefix="0" xfId="0">
      <alignment vertical="center"/>
    </xf>
    <xf numFmtId="0" fontId="151" fillId="15" borderId="0" applyAlignment="1" pivotButton="0" quotePrefix="0" xfId="0">
      <alignment vertical="center"/>
    </xf>
    <xf numFmtId="184" fontId="0" fillId="15" borderId="0" applyAlignment="1" pivotButton="0" quotePrefix="0" xfId="0">
      <alignment vertical="center"/>
    </xf>
    <xf numFmtId="0" fontId="11" fillId="15" borderId="27" applyAlignment="1" pivotButton="0" quotePrefix="0" xfId="0">
      <alignment vertical="center"/>
    </xf>
    <xf numFmtId="0" fontId="0" fillId="15" borderId="27" pivotButton="0" quotePrefix="0" xfId="0"/>
    <xf numFmtId="0" fontId="4" fillId="15" borderId="8" applyAlignment="1" pivotButton="0" quotePrefix="0" xfId="0">
      <alignment horizontal="center" vertical="center" wrapText="1"/>
    </xf>
    <xf numFmtId="0" fontId="15" fillId="15" borderId="8" applyAlignment="1" pivotButton="0" quotePrefix="0" xfId="0">
      <alignment horizontal="center" vertical="top"/>
    </xf>
    <xf numFmtId="0" fontId="15" fillId="15" borderId="30" applyAlignment="1" pivotButton="0" quotePrefix="0" xfId="0">
      <alignment horizontal="center" vertical="top"/>
    </xf>
    <xf numFmtId="0" fontId="10" fillId="2" borderId="0" applyAlignment="1" pivotButton="0" quotePrefix="0" xfId="0">
      <alignment vertical="top"/>
    </xf>
    <xf numFmtId="191" fontId="10" fillId="5" borderId="0" applyAlignment="1" pivotButton="0" quotePrefix="0" xfId="0">
      <alignment horizontal="center"/>
    </xf>
    <xf numFmtId="0" fontId="32" fillId="6" borderId="23" applyAlignment="1" pivotButton="0" quotePrefix="0" xfId="0">
      <alignment horizontal="centerContinuous"/>
    </xf>
    <xf numFmtId="0" fontId="32" fillId="6" borderId="7" applyAlignment="1" pivotButton="0" quotePrefix="0" xfId="0">
      <alignment horizontal="centerContinuous"/>
    </xf>
    <xf numFmtId="0" fontId="32" fillId="6" borderId="0" applyAlignment="1" pivotButton="0" quotePrefix="0" xfId="0">
      <alignment horizontal="centerContinuous"/>
    </xf>
    <xf numFmtId="0" fontId="0" fillId="6" borderId="0" applyAlignment="1" pivotButton="0" quotePrefix="0" xfId="0">
      <alignment horizontal="centerContinuous"/>
    </xf>
    <xf numFmtId="0" fontId="112" fillId="2" borderId="0" applyAlignment="1" pivotButton="0" quotePrefix="0" xfId="0">
      <alignment horizontal="center" wrapText="1"/>
    </xf>
    <xf numFmtId="192" fontId="10" fillId="5" borderId="0" applyAlignment="1" pivotButton="0" quotePrefix="0" xfId="0">
      <alignment horizontal="center" vertical="top"/>
    </xf>
    <xf numFmtId="0" fontId="8" fillId="6" borderId="0" pivotButton="0" quotePrefix="0" xfId="0"/>
    <xf numFmtId="0" fontId="0" fillId="6" borderId="0" pivotButton="0" quotePrefix="0" xfId="0"/>
    <xf numFmtId="0" fontId="0" fillId="6" borderId="0" applyAlignment="1" pivotButton="0" quotePrefix="0" xfId="0">
      <alignment horizontal="right"/>
    </xf>
    <xf numFmtId="0" fontId="67" fillId="5" borderId="0" applyAlignment="1" pivotButton="0" quotePrefix="0" xfId="2">
      <alignment horizontal="center"/>
    </xf>
    <xf numFmtId="0" fontId="163" fillId="2" borderId="0" applyAlignment="1" pivotButton="0" quotePrefix="0" xfId="0">
      <alignment horizontal="left" vertical="center"/>
    </xf>
    <xf numFmtId="170" fontId="6" fillId="15" borderId="0" applyAlignment="1" pivotButton="0" quotePrefix="0" xfId="0">
      <alignment horizontal="center"/>
    </xf>
    <xf numFmtId="0" fontId="6" fillId="15" borderId="109" pivotButton="0" quotePrefix="0" xfId="0"/>
    <xf numFmtId="0" fontId="6" fillId="15" borderId="66" pivotButton="0" quotePrefix="0" xfId="0"/>
    <xf numFmtId="0" fontId="21" fillId="5" borderId="0" applyAlignment="1" pivotButton="0" quotePrefix="0" xfId="0">
      <alignment horizontal="center" vertical="center"/>
    </xf>
    <xf numFmtId="0" fontId="4" fillId="2" borderId="39" applyAlignment="1" pivotButton="0" quotePrefix="0" xfId="0">
      <alignment horizontal="left" vertical="center"/>
    </xf>
    <xf numFmtId="0" fontId="119" fillId="2" borderId="25" applyAlignment="1" pivotButton="0" quotePrefix="0" xfId="0">
      <alignment horizontal="left" vertical="top"/>
    </xf>
    <xf numFmtId="0" fontId="158" fillId="15" borderId="25" applyAlignment="1" pivotButton="0" quotePrefix="0" xfId="0">
      <alignment vertical="center"/>
    </xf>
    <xf numFmtId="0" fontId="0" fillId="15" borderId="54" pivotButton="0" quotePrefix="0" xfId="0"/>
    <xf numFmtId="0" fontId="6" fillId="15" borderId="46" pivotButton="0" quotePrefix="0" xfId="0"/>
    <xf numFmtId="0" fontId="6" fillId="15" borderId="58" pivotButton="0" quotePrefix="0" xfId="0"/>
    <xf numFmtId="0" fontId="6" fillId="15" borderId="46" applyAlignment="1" pivotButton="0" quotePrefix="0" xfId="0">
      <alignment horizontal="center"/>
    </xf>
    <xf numFmtId="0" fontId="6" fillId="15" borderId="58" applyAlignment="1" pivotButton="0" quotePrefix="0" xfId="0">
      <alignment horizontal="center"/>
    </xf>
    <xf numFmtId="0" fontId="8" fillId="2" borderId="30" pivotButton="0" quotePrefix="0" xfId="0"/>
    <xf numFmtId="0" fontId="6" fillId="15" borderId="50" pivotButton="0" quotePrefix="0" xfId="0"/>
    <xf numFmtId="0" fontId="6" fillId="15" borderId="110" pivotButton="0" quotePrefix="0" xfId="0"/>
    <xf numFmtId="0" fontId="10" fillId="5" borderId="0" applyAlignment="1" pivotButton="0" quotePrefix="0" xfId="0">
      <alignment horizontal="left"/>
    </xf>
    <xf numFmtId="0" fontId="109" fillId="15" borderId="87" pivotButton="0" quotePrefix="0" xfId="0"/>
    <xf numFmtId="0" fontId="112" fillId="2" borderId="0" pivotButton="0" quotePrefix="0" xfId="0"/>
    <xf numFmtId="0" fontId="10" fillId="15" borderId="23" applyAlignment="1" pivotButton="0" quotePrefix="0" xfId="0">
      <alignment horizontal="left"/>
    </xf>
    <xf numFmtId="0" fontId="121" fillId="15" borderId="7" applyAlignment="1" pivotButton="0" quotePrefix="0" xfId="0">
      <alignment vertical="center"/>
    </xf>
    <xf numFmtId="0" fontId="117" fillId="2" borderId="0" pivotButton="0" quotePrefix="0" xfId="0"/>
    <xf numFmtId="0" fontId="38" fillId="15" borderId="5" applyAlignment="1" pivotButton="0" quotePrefix="0" xfId="0">
      <alignment horizontal="left"/>
    </xf>
    <xf numFmtId="0" fontId="38" fillId="15" borderId="20" applyAlignment="1" pivotButton="0" quotePrefix="0" xfId="0">
      <alignment horizontal="left"/>
    </xf>
    <xf numFmtId="0" fontId="38" fillId="15" borderId="0" applyAlignment="1" pivotButton="0" quotePrefix="0" xfId="0">
      <alignment horizontal="left"/>
    </xf>
    <xf numFmtId="0" fontId="106" fillId="2" borderId="0" applyAlignment="1" pivotButton="0" quotePrefix="0" xfId="0">
      <alignment horizontal="left"/>
    </xf>
    <xf numFmtId="0" fontId="78" fillId="2" borderId="5" applyAlignment="1" pivotButton="0" quotePrefix="0" xfId="0">
      <alignment horizontal="left" vertical="top"/>
    </xf>
    <xf numFmtId="0" fontId="16" fillId="0" borderId="0" applyAlignment="1" pivotButton="0" quotePrefix="0" xfId="0">
      <alignment horizontal="left"/>
    </xf>
    <xf numFmtId="0" fontId="106" fillId="2" borderId="0" applyAlignment="1" pivotButton="0" quotePrefix="0" xfId="0">
      <alignment horizontal="left" vertical="center"/>
    </xf>
    <xf numFmtId="0" fontId="308" fillId="2" borderId="5" applyAlignment="1" pivotButton="0" quotePrefix="0" xfId="0">
      <alignment horizontal="left" vertical="top"/>
    </xf>
    <xf numFmtId="0" fontId="308" fillId="15" borderId="0" applyAlignment="1" pivotButton="0" quotePrefix="0" xfId="0">
      <alignment horizontal="left"/>
    </xf>
    <xf numFmtId="0" fontId="308" fillId="15" borderId="20" applyAlignment="1" pivotButton="0" quotePrefix="0" xfId="0">
      <alignment horizontal="center" wrapText="1"/>
    </xf>
    <xf numFmtId="0" fontId="10" fillId="39" borderId="24" applyAlignment="1" pivotButton="0" quotePrefix="0" xfId="0">
      <alignment horizontal="left"/>
    </xf>
    <xf numFmtId="0" fontId="106" fillId="2" borderId="0" applyAlignment="1" pivotButton="0" quotePrefix="0" xfId="0">
      <alignment horizontal="left" vertical="top"/>
    </xf>
    <xf numFmtId="0" fontId="308" fillId="2" borderId="5" applyAlignment="1" pivotButton="0" quotePrefix="0" xfId="0">
      <alignment horizontal="left"/>
    </xf>
    <xf numFmtId="0" fontId="308" fillId="2" borderId="0" applyAlignment="1" pivotButton="0" quotePrefix="0" xfId="0">
      <alignment horizontal="center"/>
    </xf>
    <xf numFmtId="0" fontId="199" fillId="15" borderId="0" pivotButton="0" quotePrefix="0" xfId="0"/>
    <xf numFmtId="0" fontId="146" fillId="15" borderId="20" pivotButton="0" quotePrefix="0" xfId="0"/>
    <xf numFmtId="0" fontId="308" fillId="15" borderId="0" pivotButton="0" quotePrefix="0" xfId="0"/>
    <xf numFmtId="0" fontId="199" fillId="15" borderId="0" applyAlignment="1" pivotButton="0" quotePrefix="0" xfId="0">
      <alignment vertical="top"/>
    </xf>
    <xf numFmtId="0" fontId="308" fillId="15" borderId="0" applyAlignment="1" pivotButton="0" quotePrefix="0" xfId="0">
      <alignment horizontal="right" wrapText="1"/>
    </xf>
    <xf numFmtId="0" fontId="16" fillId="15" borderId="0" applyAlignment="1" pivotButton="0" quotePrefix="0" xfId="0">
      <alignment horizontal="right" wrapText="1"/>
    </xf>
    <xf numFmtId="0" fontId="158" fillId="15" borderId="0" applyAlignment="1" pivotButton="0" quotePrefix="0" xfId="0">
      <alignment horizontal="right"/>
    </xf>
    <xf numFmtId="0" fontId="211" fillId="15" borderId="0" pivotButton="0" quotePrefix="0" xfId="0"/>
    <xf numFmtId="0" fontId="163" fillId="15" borderId="0" applyAlignment="1" pivotButton="0" quotePrefix="0" xfId="0">
      <alignment vertical="center"/>
    </xf>
    <xf numFmtId="0" fontId="110" fillId="15" borderId="7" pivotButton="0" quotePrefix="0" xfId="0"/>
    <xf numFmtId="0" fontId="6" fillId="39" borderId="0" applyAlignment="1" pivotButton="0" quotePrefix="0" xfId="0">
      <alignment horizontal="left" vertical="center" indent="1"/>
    </xf>
    <xf numFmtId="0" fontId="11" fillId="15" borderId="8" applyAlignment="1" pivotButton="0" quotePrefix="0" xfId="0">
      <alignment horizontal="left" vertical="top"/>
    </xf>
    <xf numFmtId="0" fontId="11" fillId="15" borderId="0" applyAlignment="1" pivotButton="0" quotePrefix="0" xfId="0">
      <alignment horizontal="left" vertical="top"/>
    </xf>
    <xf numFmtId="0" fontId="308" fillId="15" borderId="0" applyAlignment="1" pivotButton="0" quotePrefix="0" xfId="0">
      <alignment horizontal="center" wrapText="1"/>
    </xf>
    <xf numFmtId="0" fontId="11" fillId="15" borderId="1" applyAlignment="1" pivotButton="0" quotePrefix="0" xfId="0">
      <alignment horizontal="left" vertical="top"/>
    </xf>
    <xf numFmtId="0" fontId="308" fillId="2" borderId="0" applyAlignment="1" pivotButton="0" quotePrefix="0" xfId="0">
      <alignment horizontal="left" vertical="top"/>
    </xf>
    <xf numFmtId="0" fontId="8" fillId="39" borderId="3" applyAlignment="1" pivotButton="0" quotePrefix="0" xfId="0">
      <alignment horizontal="left" vertical="top"/>
    </xf>
    <xf numFmtId="0" fontId="308" fillId="2" borderId="0" applyAlignment="1" pivotButton="0" quotePrefix="0" xfId="0">
      <alignment horizontal="left"/>
    </xf>
    <xf numFmtId="0" fontId="78" fillId="5" borderId="0" applyAlignment="1" pivotButton="0" quotePrefix="0" xfId="0">
      <alignment horizontal="left"/>
    </xf>
    <xf numFmtId="0" fontId="78" fillId="2" borderId="0" applyAlignment="1" pivotButton="0" quotePrefix="0" xfId="0">
      <alignment horizontal="left"/>
    </xf>
    <xf numFmtId="3" fontId="112" fillId="2" borderId="0" applyAlignment="1" pivotButton="0" quotePrefix="0" xfId="0">
      <alignment horizontal="center"/>
    </xf>
    <xf numFmtId="1" fontId="15" fillId="27" borderId="2" applyAlignment="1" pivotButton="0" quotePrefix="0" xfId="0">
      <alignment horizontal="center" vertical="center"/>
    </xf>
    <xf numFmtId="0" fontId="206" fillId="15" borderId="67" applyAlignment="1" pivotButton="0" quotePrefix="0" xfId="0">
      <alignment vertical="center"/>
    </xf>
    <xf numFmtId="0" fontId="206" fillId="15" borderId="67" pivotButton="0" quotePrefix="0" xfId="0"/>
    <xf numFmtId="0" fontId="158" fillId="15" borderId="21" pivotButton="0" quotePrefix="0" xfId="0"/>
    <xf numFmtId="0" fontId="127" fillId="5" borderId="0" applyAlignment="1" pivotButton="0" quotePrefix="0" xfId="0">
      <alignment horizontal="center" vertical="center"/>
    </xf>
    <xf numFmtId="4" fontId="110" fillId="2" borderId="0" pivotButton="0" quotePrefix="1" xfId="0"/>
    <xf numFmtId="4" fontId="116" fillId="2" borderId="0" applyAlignment="1" pivotButton="0" quotePrefix="0" xfId="0">
      <alignment vertical="center"/>
    </xf>
    <xf numFmtId="1" fontId="0" fillId="10" borderId="15" applyAlignment="1" pivotButton="0" quotePrefix="0" xfId="0">
      <alignment vertical="center"/>
    </xf>
    <xf numFmtId="1" fontId="0" fillId="10" borderId="6" applyAlignment="1" pivotButton="0" quotePrefix="0" xfId="0">
      <alignment vertical="center"/>
    </xf>
    <xf numFmtId="1" fontId="0" fillId="15" borderId="3" applyAlignment="1" pivotButton="0" quotePrefix="0" xfId="0">
      <alignment vertical="center"/>
    </xf>
    <xf numFmtId="1" fontId="0" fillId="10" borderId="10" applyAlignment="1" pivotButton="0" quotePrefix="0" xfId="0">
      <alignment vertical="center"/>
    </xf>
    <xf numFmtId="1" fontId="4" fillId="39" borderId="10" applyAlignment="1" pivotButton="0" quotePrefix="0" xfId="0">
      <alignment horizontal="center" vertical="center"/>
    </xf>
    <xf numFmtId="0" fontId="233" fillId="15" borderId="0" applyAlignment="1" pivotButton="0" quotePrefix="0" xfId="0">
      <alignment horizontal="left"/>
    </xf>
    <xf numFmtId="0" fontId="233" fillId="15" borderId="24" applyAlignment="1" pivotButton="0" quotePrefix="0" xfId="0">
      <alignment horizontal="left"/>
    </xf>
    <xf numFmtId="0" fontId="4" fillId="39" borderId="1" applyAlignment="1" pivotButton="0" quotePrefix="0" xfId="0">
      <alignment horizontal="right"/>
    </xf>
    <xf numFmtId="0" fontId="4" fillId="15" borderId="1" applyAlignment="1" pivotButton="0" quotePrefix="0" xfId="0">
      <alignment wrapText="1"/>
    </xf>
    <xf numFmtId="0" fontId="4" fillId="15" borderId="8" applyAlignment="1" pivotButton="0" quotePrefix="0" xfId="0">
      <alignment horizontal="right"/>
    </xf>
    <xf numFmtId="0" fontId="4" fillId="15" borderId="8" applyAlignment="1" pivotButton="0" quotePrefix="0" xfId="0">
      <alignment horizontal="left"/>
    </xf>
    <xf numFmtId="4" fontId="22" fillId="5" borderId="0" applyAlignment="1" pivotButton="0" quotePrefix="0" xfId="0">
      <alignment horizontal="center"/>
    </xf>
    <xf numFmtId="0" fontId="4" fillId="15" borderId="1" pivotButton="0" quotePrefix="0" xfId="0"/>
    <xf numFmtId="0" fontId="158" fillId="0" borderId="1" pivotButton="0" quotePrefix="0" xfId="0"/>
    <xf numFmtId="14" fontId="6" fillId="15" borderId="1" applyAlignment="1" pivotButton="0" quotePrefix="0" xfId="0">
      <alignment horizontal="center"/>
    </xf>
    <xf numFmtId="4" fontId="158" fillId="15" borderId="0" applyAlignment="1" pivotButton="0" quotePrefix="0" xfId="0">
      <alignment horizontal="center" vertical="center" wrapText="1"/>
    </xf>
    <xf numFmtId="4" fontId="158" fillId="15" borderId="24" applyAlignment="1" pivotButton="0" quotePrefix="0" xfId="0">
      <alignment horizontal="center" vertical="center" wrapText="1"/>
    </xf>
    <xf numFmtId="174" fontId="102" fillId="2" borderId="3" applyAlignment="1" pivotButton="0" quotePrefix="0" xfId="0">
      <alignment horizontal="center" vertical="center"/>
    </xf>
    <xf numFmtId="4" fontId="31" fillId="15" borderId="0" pivotButton="0" quotePrefix="0" xfId="0"/>
    <xf numFmtId="175" fontId="31" fillId="2" borderId="30" pivotButton="0" quotePrefix="0" xfId="0"/>
    <xf numFmtId="0" fontId="25" fillId="15" borderId="3" applyAlignment="1" pivotButton="0" quotePrefix="0" xfId="0">
      <alignment horizontal="right"/>
    </xf>
    <xf numFmtId="0" fontId="25" fillId="15" borderId="0" applyAlignment="1" pivotButton="0" quotePrefix="0" xfId="0">
      <alignment horizontal="right"/>
    </xf>
    <xf numFmtId="4" fontId="110" fillId="15" borderId="0" pivotButton="0" quotePrefix="0" xfId="0"/>
    <xf numFmtId="167" fontId="8" fillId="2" borderId="0" applyAlignment="1" pivotButton="0" quotePrefix="0" xfId="0">
      <alignment horizontal="left"/>
    </xf>
    <xf numFmtId="175" fontId="31" fillId="2" borderId="3" pivotButton="0" quotePrefix="0" xfId="0"/>
    <xf numFmtId="1" fontId="4" fillId="39" borderId="12" applyAlignment="1" pivotButton="0" quotePrefix="0" xfId="0">
      <alignment horizontal="center" vertical="center"/>
    </xf>
    <xf numFmtId="0" fontId="0" fillId="15" borderId="0" applyAlignment="1" pivotButton="0" quotePrefix="0" xfId="0">
      <alignment horizontal="centerContinuous"/>
    </xf>
    <xf numFmtId="4" fontId="69" fillId="5" borderId="0" pivotButton="0" quotePrefix="0" xfId="0"/>
    <xf numFmtId="4" fontId="233" fillId="2" borderId="0" applyAlignment="1" pivotButton="0" quotePrefix="0" xfId="0">
      <alignment vertical="center" wrapText="1"/>
    </xf>
    <xf numFmtId="174" fontId="8" fillId="2" borderId="0" applyAlignment="1" pivotButton="0" quotePrefix="0" xfId="0">
      <alignment horizontal="left"/>
    </xf>
    <xf numFmtId="4" fontId="233" fillId="15" borderId="0" applyAlignment="1" pivotButton="0" quotePrefix="0" xfId="0">
      <alignment vertical="center" wrapText="1"/>
    </xf>
    <xf numFmtId="0" fontId="4" fillId="15" borderId="25" applyAlignment="1" pivotButton="0" quotePrefix="0" xfId="0">
      <alignment horizontal="right"/>
    </xf>
    <xf numFmtId="0" fontId="4" fillId="15" borderId="25" applyAlignment="1" pivotButton="0" quotePrefix="0" xfId="0">
      <alignment horizontal="left"/>
    </xf>
    <xf numFmtId="0" fontId="4" fillId="39" borderId="0" applyAlignment="1" pivotButton="0" quotePrefix="0" xfId="0">
      <alignment vertical="center"/>
    </xf>
    <xf numFmtId="174" fontId="37" fillId="2" borderId="0" pivotButton="0" quotePrefix="0" xfId="0"/>
    <xf numFmtId="174" fontId="132" fillId="2" borderId="3" pivotButton="0" quotePrefix="0" xfId="0"/>
    <xf numFmtId="174" fontId="132" fillId="2" borderId="3" applyAlignment="1" pivotButton="0" quotePrefix="0" xfId="0">
      <alignment horizontal="center"/>
    </xf>
    <xf numFmtId="4" fontId="22" fillId="5" borderId="0" pivotButton="0" quotePrefix="0" xfId="0"/>
    <xf numFmtId="0" fontId="12" fillId="39" borderId="0" applyAlignment="1" pivotButton="0" quotePrefix="0" xfId="0">
      <alignment horizontal="left" vertical="center"/>
    </xf>
    <xf numFmtId="0" fontId="0" fillId="39" borderId="0" applyAlignment="1" pivotButton="0" quotePrefix="0" xfId="0">
      <alignment vertical="center"/>
    </xf>
    <xf numFmtId="0" fontId="10" fillId="39" borderId="0" applyAlignment="1" pivotButton="0" quotePrefix="0" xfId="0">
      <alignment vertical="center"/>
    </xf>
    <xf numFmtId="0" fontId="16" fillId="39" borderId="0" applyAlignment="1" pivotButton="0" quotePrefix="0" xfId="0">
      <alignment horizontal="left" vertical="center"/>
    </xf>
    <xf numFmtId="1" fontId="10" fillId="39" borderId="0" applyAlignment="1" pivotButton="0" quotePrefix="0" xfId="0">
      <alignment horizontal="center" vertical="center"/>
    </xf>
    <xf numFmtId="1" fontId="10" fillId="39" borderId="0" applyAlignment="1" pivotButton="0" quotePrefix="0" xfId="0">
      <alignment horizontal="right" vertical="center"/>
    </xf>
    <xf numFmtId="1" fontId="8" fillId="39" borderId="0" applyAlignment="1" pivotButton="0" quotePrefix="0" xfId="0">
      <alignment horizontal="right" vertical="center"/>
    </xf>
    <xf numFmtId="1" fontId="22" fillId="5" borderId="0" applyAlignment="1" pivotButton="0" quotePrefix="0" xfId="0">
      <alignment horizontal="right" vertical="center"/>
    </xf>
    <xf numFmtId="0" fontId="22" fillId="5" borderId="0" pivotButton="0" quotePrefix="0" xfId="0"/>
    <xf numFmtId="4" fontId="8" fillId="21" borderId="0" applyAlignment="1" pivotButton="0" quotePrefix="0" xfId="0">
      <alignment horizontal="center"/>
    </xf>
    <xf numFmtId="0" fontId="8" fillId="21" borderId="0" applyAlignment="1" pivotButton="0" quotePrefix="0" xfId="0">
      <alignment horizontal="center"/>
    </xf>
    <xf numFmtId="0" fontId="8" fillId="21" borderId="24" applyAlignment="1" pivotButton="0" quotePrefix="0" xfId="0">
      <alignment horizontal="center"/>
    </xf>
    <xf numFmtId="0" fontId="4" fillId="39" borderId="6" applyAlignment="1" pivotButton="0" quotePrefix="0" xfId="0">
      <alignment horizontal="center"/>
    </xf>
    <xf numFmtId="0" fontId="207" fillId="15" borderId="3" applyAlignment="1" pivotButton="0" quotePrefix="0" xfId="0">
      <alignment wrapText="1"/>
    </xf>
    <xf numFmtId="3" fontId="109" fillId="15" borderId="0" applyAlignment="1" pivotButton="0" quotePrefix="0" xfId="0">
      <alignment horizontal="right"/>
    </xf>
    <xf numFmtId="0" fontId="109" fillId="15" borderId="0" applyAlignment="1" pivotButton="0" quotePrefix="0" xfId="0">
      <alignment horizontal="right"/>
    </xf>
    <xf numFmtId="4" fontId="12" fillId="15" borderId="0" applyAlignment="1" pivotButton="0" quotePrefix="0" xfId="0">
      <alignment vertical="center"/>
    </xf>
    <xf numFmtId="4" fontId="206" fillId="2" borderId="0" applyAlignment="1" pivotButton="0" quotePrefix="0" xfId="0">
      <alignment horizontal="left"/>
    </xf>
    <xf numFmtId="4" fontId="206" fillId="2" borderId="24" applyAlignment="1" pivotButton="0" quotePrefix="0" xfId="0">
      <alignment horizontal="left"/>
    </xf>
    <xf numFmtId="1" fontId="0" fillId="10" borderId="0" applyAlignment="1" pivotButton="0" quotePrefix="0" xfId="0">
      <alignment vertical="center"/>
    </xf>
    <xf numFmtId="0" fontId="146" fillId="15" borderId="3" pivotButton="0" quotePrefix="0" xfId="0"/>
    <xf numFmtId="0" fontId="4" fillId="39" borderId="10" applyAlignment="1" pivotButton="0" quotePrefix="1" xfId="0">
      <alignment horizontal="right"/>
    </xf>
    <xf numFmtId="4" fontId="206" fillId="2" borderId="0" applyAlignment="1" pivotButton="0" quotePrefix="0" xfId="0">
      <alignment horizontal="center"/>
    </xf>
    <xf numFmtId="4" fontId="110" fillId="2" borderId="0" pivotButton="0" quotePrefix="0" xfId="0"/>
    <xf numFmtId="0" fontId="110" fillId="15" borderId="23" pivotButton="0" quotePrefix="0" xfId="4"/>
    <xf numFmtId="0" fontId="110" fillId="15" borderId="7" pivotButton="0" quotePrefix="0" xfId="4"/>
    <xf numFmtId="0" fontId="123" fillId="15" borderId="7" pivotButton="0" quotePrefix="0" xfId="4"/>
    <xf numFmtId="0" fontId="110" fillId="15" borderId="7" applyAlignment="1" pivotButton="0" quotePrefix="0" xfId="4">
      <alignment horizontal="center"/>
    </xf>
    <xf numFmtId="0" fontId="6" fillId="15" borderId="7" applyAlignment="1" pivotButton="0" quotePrefix="0" xfId="4">
      <alignment horizontal="center"/>
    </xf>
    <xf numFmtId="0" fontId="6" fillId="15" borderId="19" applyAlignment="1" pivotButton="0" quotePrefix="0" xfId="4">
      <alignment horizontal="center"/>
    </xf>
    <xf numFmtId="0" fontId="4" fillId="39" borderId="12" applyAlignment="1" pivotButton="0" quotePrefix="1" xfId="0">
      <alignment horizontal="right"/>
    </xf>
    <xf numFmtId="4" fontId="4" fillId="2" borderId="0" pivotButton="0" quotePrefix="0" xfId="0"/>
    <xf numFmtId="0" fontId="6" fillId="15" borderId="5" pivotButton="0" quotePrefix="0" xfId="4"/>
    <xf numFmtId="0" fontId="6" fillId="15" borderId="0" pivotButton="0" quotePrefix="0" xfId="4"/>
    <xf numFmtId="0" fontId="6" fillId="15" borderId="0" applyAlignment="1" pivotButton="0" quotePrefix="0" xfId="4">
      <alignment horizontal="center"/>
    </xf>
    <xf numFmtId="0" fontId="6" fillId="15" borderId="20" applyAlignment="1" pivotButton="0" quotePrefix="0" xfId="4">
      <alignment horizontal="center"/>
    </xf>
    <xf numFmtId="4" fontId="207" fillId="15" borderId="0" applyAlignment="1" pivotButton="0" quotePrefix="0" xfId="0">
      <alignment horizontal="left"/>
    </xf>
    <xf numFmtId="0" fontId="0" fillId="15" borderId="0" applyAlignment="1" pivotButton="0" quotePrefix="0" xfId="0">
      <alignment horizontal="center" vertical="center"/>
    </xf>
    <xf numFmtId="0" fontId="206" fillId="15" borderId="0" applyAlignment="1" pivotButton="0" quotePrefix="0" xfId="0">
      <alignment horizontal="left"/>
    </xf>
    <xf numFmtId="170" fontId="143" fillId="15" borderId="0" applyAlignment="1" pivotButton="0" quotePrefix="0" xfId="4">
      <alignment horizontal="center"/>
    </xf>
    <xf numFmtId="0" fontId="6" fillId="15" borderId="0" applyAlignment="1" pivotButton="0" quotePrefix="0" xfId="4">
      <alignment horizontal="right"/>
    </xf>
    <xf numFmtId="3" fontId="137" fillId="15" borderId="0" applyAlignment="1" pivotButton="0" quotePrefix="0" xfId="0">
      <alignment horizontal="center"/>
    </xf>
    <xf numFmtId="0" fontId="6" fillId="15" borderId="5" applyAlignment="1" pivotButton="0" quotePrefix="0" xfId="4">
      <alignment horizontal="center"/>
    </xf>
    <xf numFmtId="0" fontId="6" fillId="15" borderId="12" pivotButton="0" quotePrefix="0" xfId="4"/>
    <xf numFmtId="0" fontId="6" fillId="15" borderId="0" applyAlignment="1" pivotButton="0" quotePrefix="1" xfId="4">
      <alignment horizontal="right"/>
    </xf>
    <xf numFmtId="0" fontId="6" fillId="15" borderId="2" pivotButton="0" quotePrefix="0" xfId="4"/>
    <xf numFmtId="4" fontId="137" fillId="15" borderId="0" pivotButton="0" quotePrefix="0" xfId="0"/>
    <xf numFmtId="1" fontId="6" fillId="15" borderId="0" applyAlignment="1" pivotButton="0" quotePrefix="0" xfId="4">
      <alignment horizontal="center"/>
    </xf>
    <xf numFmtId="170" fontId="6" fillId="15" borderId="0" applyAlignment="1" pivotButton="0" quotePrefix="0" xfId="4">
      <alignment horizontal="center"/>
    </xf>
    <xf numFmtId="4" fontId="57" fillId="15" borderId="0" pivotButton="0" quotePrefix="0" xfId="0"/>
    <xf numFmtId="0" fontId="6" fillId="15" borderId="5" applyAlignment="1" pivotButton="0" quotePrefix="0" xfId="4">
      <alignment horizontal="right"/>
    </xf>
    <xf numFmtId="4" fontId="207" fillId="15" borderId="0" applyAlignment="1" pivotButton="0" quotePrefix="0" xfId="0">
      <alignment horizontal="center"/>
    </xf>
    <xf numFmtId="0" fontId="206" fillId="15" borderId="24" applyAlignment="1" pivotButton="0" quotePrefix="0" xfId="0">
      <alignment horizontal="center"/>
    </xf>
    <xf numFmtId="0" fontId="6" fillId="15" borderId="5" applyAlignment="1" pivotButton="0" quotePrefix="1" xfId="4">
      <alignment horizontal="left"/>
    </xf>
    <xf numFmtId="0" fontId="6" fillId="15" borderId="1" applyAlignment="1" pivotButton="0" quotePrefix="0" xfId="4">
      <alignment horizontal="center"/>
    </xf>
    <xf numFmtId="0" fontId="6" fillId="15" borderId="29" applyAlignment="1" pivotButton="0" quotePrefix="0" xfId="4">
      <alignment horizontal="center"/>
    </xf>
    <xf numFmtId="4" fontId="106" fillId="15" borderId="0" applyAlignment="1" pivotButton="0" quotePrefix="0" xfId="0">
      <alignment horizontal="right" vertical="center"/>
    </xf>
    <xf numFmtId="0" fontId="117" fillId="15" borderId="0" applyAlignment="1" pivotButton="0" quotePrefix="0" xfId="0">
      <alignment horizontal="right" vertical="center"/>
    </xf>
    <xf numFmtId="4" fontId="12" fillId="15" borderId="0" pivotButton="0" quotePrefix="0" xfId="0"/>
    <xf numFmtId="165" fontId="9" fillId="39" borderId="24" applyAlignment="1" pivotButton="0" quotePrefix="0" xfId="0">
      <alignment horizontal="right" vertical="center"/>
    </xf>
    <xf numFmtId="4" fontId="137" fillId="15" borderId="0" applyAlignment="1" pivotButton="0" quotePrefix="0" xfId="0">
      <alignment horizontal="right" vertical="center"/>
    </xf>
    <xf numFmtId="0" fontId="112" fillId="15" borderId="0" applyAlignment="1" pivotButton="0" quotePrefix="0" xfId="0">
      <alignment horizontal="right" vertical="center"/>
    </xf>
    <xf numFmtId="0" fontId="137" fillId="15" borderId="0" applyAlignment="1" pivotButton="0" quotePrefix="0" xfId="0">
      <alignment horizontal="center" vertical="center"/>
    </xf>
    <xf numFmtId="14" fontId="6" fillId="15" borderId="0" applyAlignment="1" pivotButton="0" quotePrefix="0" xfId="4">
      <alignment horizontal="center"/>
    </xf>
    <xf numFmtId="0" fontId="4" fillId="39" borderId="0" applyAlignment="1" pivotButton="0" quotePrefix="0" xfId="0">
      <alignment horizontal="right" indent="1"/>
    </xf>
    <xf numFmtId="0" fontId="11" fillId="15" borderId="0" applyAlignment="1" pivotButton="0" quotePrefix="0" xfId="4">
      <alignment horizontal="center"/>
    </xf>
    <xf numFmtId="0" fontId="11" fillId="15" borderId="0" pivotButton="0" quotePrefix="0" xfId="4"/>
    <xf numFmtId="170" fontId="6" fillId="15" borderId="30" applyAlignment="1" pivotButton="0" quotePrefix="0" xfId="0">
      <alignment horizontal="center"/>
    </xf>
    <xf numFmtId="170" fontId="6" fillId="15" borderId="2" applyAlignment="1" pivotButton="0" quotePrefix="0" xfId="0">
      <alignment horizontal="center"/>
    </xf>
    <xf numFmtId="0" fontId="6" fillId="15" borderId="9" applyAlignment="1" pivotButton="0" quotePrefix="0" xfId="0">
      <alignment horizontal="center"/>
    </xf>
    <xf numFmtId="0" fontId="6" fillId="15" borderId="43" applyAlignment="1" pivotButton="0" quotePrefix="0" xfId="0">
      <alignment horizontal="center"/>
    </xf>
    <xf numFmtId="4" fontId="112" fillId="15" borderId="0" pivotButton="0" quotePrefix="0" xfId="0"/>
    <xf numFmtId="4" fontId="22" fillId="15" borderId="0" pivotButton="0" quotePrefix="0" xfId="0"/>
    <xf numFmtId="14" fontId="143" fillId="15" borderId="20" pivotButton="0" quotePrefix="0" xfId="4"/>
    <xf numFmtId="191" fontId="6" fillId="15" borderId="0" applyAlignment="1" pivotButton="0" quotePrefix="0" xfId="4">
      <alignment horizontal="center"/>
    </xf>
    <xf numFmtId="4" fontId="106" fillId="15" borderId="0" applyAlignment="1" pivotButton="0" quotePrefix="0" xfId="0">
      <alignment horizontal="right"/>
    </xf>
    <xf numFmtId="0" fontId="6" fillId="15" borderId="21" pivotButton="0" quotePrefix="0" xfId="4"/>
    <xf numFmtId="0" fontId="6" fillId="15" borderId="4" pivotButton="0" quotePrefix="0" xfId="4"/>
    <xf numFmtId="0" fontId="6" fillId="15" borderId="4" applyAlignment="1" pivotButton="0" quotePrefix="0" xfId="4">
      <alignment horizontal="center"/>
    </xf>
    <xf numFmtId="0" fontId="6" fillId="15" borderId="22" applyAlignment="1" pivotButton="0" quotePrefix="0" xfId="4">
      <alignment horizontal="center"/>
    </xf>
    <xf numFmtId="37" fontId="4" fillId="27" borderId="58" pivotButton="0" quotePrefix="0" xfId="0"/>
    <xf numFmtId="37" fontId="4" fillId="27" borderId="110" pivotButton="0" quotePrefix="0" xfId="0"/>
    <xf numFmtId="0" fontId="11" fillId="15" borderId="5" applyAlignment="1" applyProtection="1" pivotButton="0" quotePrefix="0" xfId="0">
      <alignment vertical="top"/>
      <protection locked="1" hidden="1"/>
    </xf>
    <xf numFmtId="0" fontId="0" fillId="15" borderId="20" applyAlignment="1" applyProtection="1" pivotButton="0" quotePrefix="0" xfId="0">
      <alignment vertical="top"/>
      <protection locked="1" hidden="1"/>
    </xf>
    <xf numFmtId="0" fontId="56" fillId="15" borderId="0" applyAlignment="1" pivotButton="0" quotePrefix="0" xfId="0">
      <alignment horizontal="left"/>
    </xf>
    <xf numFmtId="0" fontId="10" fillId="15" borderId="0" applyAlignment="1" applyProtection="1" pivotButton="0" quotePrefix="0" xfId="0">
      <alignment horizontal="center" vertical="top"/>
      <protection locked="1" hidden="1"/>
    </xf>
    <xf numFmtId="0" fontId="110" fillId="15" borderId="0" applyAlignment="1" applyProtection="1" pivotButton="0" quotePrefix="1" xfId="0">
      <alignment horizontal="center"/>
      <protection locked="1" hidden="1"/>
    </xf>
    <xf numFmtId="0" fontId="0" fillId="15" borderId="8" applyAlignment="1" pivotButton="0" quotePrefix="0" xfId="0">
      <alignment vertical="top"/>
    </xf>
    <xf numFmtId="0" fontId="8" fillId="15" borderId="8" applyAlignment="1" pivotButton="0" quotePrefix="0" xfId="0">
      <alignment horizontal="left"/>
    </xf>
    <xf numFmtId="0" fontId="314" fillId="23" borderId="0" pivotButton="0" quotePrefix="0" xfId="0"/>
    <xf numFmtId="0" fontId="227" fillId="23" borderId="0" pivotButton="0" quotePrefix="0" xfId="0"/>
    <xf numFmtId="0" fontId="158" fillId="23" borderId="0" pivotButton="0" quotePrefix="0" xfId="0"/>
    <xf numFmtId="0" fontId="227" fillId="23" borderId="0" applyAlignment="1" pivotButton="0" quotePrefix="0" xfId="0">
      <alignment horizontal="center"/>
    </xf>
    <xf numFmtId="0" fontId="6" fillId="23" borderId="0" applyAlignment="1" pivotButton="0" quotePrefix="0" xfId="0">
      <alignment horizontal="left" vertical="center" indent="1"/>
    </xf>
    <xf numFmtId="0" fontId="0" fillId="23" borderId="0" applyAlignment="1" pivotButton="0" quotePrefix="0" xfId="0">
      <alignment horizontal="left" vertical="center" indent="1"/>
    </xf>
    <xf numFmtId="37" fontId="227" fillId="23" borderId="0" applyAlignment="1" pivotButton="0" quotePrefix="0" xfId="0">
      <alignment horizontal="center"/>
    </xf>
    <xf numFmtId="37" fontId="4" fillId="19" borderId="0" pivotButton="0" quotePrefix="0" xfId="0"/>
    <xf numFmtId="0" fontId="288" fillId="15" borderId="5" applyAlignment="1" pivotButton="0" quotePrefix="0" xfId="0">
      <alignment vertical="center"/>
    </xf>
    <xf numFmtId="0" fontId="109" fillId="15" borderId="0" applyAlignment="1" pivotButton="0" quotePrefix="0" xfId="0">
      <alignment vertical="center"/>
    </xf>
    <xf numFmtId="0" fontId="0" fillId="15" borderId="5" applyAlignment="1" pivotButton="0" quotePrefix="0" xfId="0">
      <alignment wrapText="1"/>
    </xf>
    <xf numFmtId="0" fontId="0" fillId="15" borderId="8" applyAlignment="1" pivotButton="0" quotePrefix="0" xfId="0">
      <alignment horizontal="right"/>
    </xf>
    <xf numFmtId="0" fontId="206" fillId="15" borderId="0" pivotButton="0" quotePrefix="0" xfId="0"/>
    <xf numFmtId="3" fontId="146" fillId="15" borderId="0" applyAlignment="1" pivotButton="0" quotePrefix="0" xfId="0">
      <alignment wrapText="1"/>
    </xf>
    <xf numFmtId="0" fontId="197" fillId="15" borderId="0" pivotButton="0" quotePrefix="0" xfId="0"/>
    <xf numFmtId="0" fontId="210" fillId="15" borderId="0" applyAlignment="1" pivotButton="0" quotePrefix="0" xfId="0">
      <alignment vertical="center"/>
    </xf>
    <xf numFmtId="3" fontId="109" fillId="15" borderId="0" applyAlignment="1" pivotButton="0" quotePrefix="0" xfId="0">
      <alignment wrapText="1"/>
    </xf>
    <xf numFmtId="0" fontId="15" fillId="15" borderId="0" applyAlignment="1" pivotButton="0" quotePrefix="0" xfId="0">
      <alignment horizontal="right" vertical="center" wrapText="1" indent="1"/>
    </xf>
    <xf numFmtId="0" fontId="134" fillId="15" borderId="0" pivotButton="0" quotePrefix="0" xfId="0"/>
    <xf numFmtId="0" fontId="15" fillId="15" borderId="25" applyAlignment="1" pivotButton="0" quotePrefix="0" xfId="0">
      <alignment horizontal="center"/>
    </xf>
    <xf numFmtId="0" fontId="6" fillId="15" borderId="25" pivotButton="0" quotePrefix="0" xfId="0"/>
    <xf numFmtId="0" fontId="110" fillId="15" borderId="0" applyAlignment="1" pivotButton="0" quotePrefix="0" xfId="0">
      <alignment horizontal="right"/>
    </xf>
    <xf numFmtId="0" fontId="0" fillId="15" borderId="1" applyAlignment="1" pivotButton="0" quotePrefix="0" xfId="0">
      <alignment horizontal="right" indent="1"/>
    </xf>
    <xf numFmtId="0" fontId="229" fillId="23" borderId="0" pivotButton="0" quotePrefix="0" xfId="0"/>
    <xf numFmtId="0" fontId="228" fillId="23" borderId="0" applyAlignment="1" pivotButton="0" quotePrefix="0" xfId="0">
      <alignment vertical="top"/>
    </xf>
    <xf numFmtId="0" fontId="9" fillId="15" borderId="0" applyAlignment="1" pivotButton="0" quotePrefix="0" xfId="0">
      <alignment vertical="top"/>
    </xf>
    <xf numFmtId="0" fontId="4" fillId="15" borderId="0" applyAlignment="1" pivotButton="0" quotePrefix="0" xfId="0">
      <alignment horizontal="right" vertical="top"/>
    </xf>
    <xf numFmtId="0" fontId="0" fillId="15" borderId="30" applyAlignment="1" pivotButton="0" quotePrefix="0" xfId="0">
      <alignment vertical="top"/>
    </xf>
    <xf numFmtId="0" fontId="6" fillId="15" borderId="1" applyAlignment="1" pivotButton="0" quotePrefix="0" xfId="0">
      <alignment vertical="top"/>
    </xf>
    <xf numFmtId="0" fontId="0" fillId="19" borderId="9" pivotButton="0" quotePrefix="0" xfId="0"/>
    <xf numFmtId="0" fontId="0" fillId="19" borderId="1" pivotButton="0" quotePrefix="0" xfId="0"/>
    <xf numFmtId="0" fontId="0" fillId="19" borderId="11" pivotButton="0" quotePrefix="0" xfId="0"/>
    <xf numFmtId="0" fontId="4" fillId="15" borderId="0" applyAlignment="1" pivotButton="0" quotePrefix="0" xfId="0">
      <alignment horizontal="right" vertical="center" wrapText="1" indent="1"/>
    </xf>
    <xf numFmtId="0" fontId="6" fillId="19" borderId="3" pivotButton="0" quotePrefix="0" xfId="0"/>
    <xf numFmtId="0" fontId="6" fillId="19" borderId="0" pivotButton="0" quotePrefix="0" xfId="0"/>
    <xf numFmtId="0" fontId="6" fillId="19" borderId="24" pivotButton="0" quotePrefix="0" xfId="0"/>
    <xf numFmtId="0" fontId="112" fillId="15" borderId="3" applyAlignment="1" pivotButton="0" quotePrefix="0" xfId="0">
      <alignment horizontal="center"/>
    </xf>
    <xf numFmtId="0" fontId="11" fillId="15" borderId="24" applyAlignment="1" pivotButton="0" quotePrefix="0" xfId="0">
      <alignment horizontal="left"/>
    </xf>
    <xf numFmtId="0" fontId="109" fillId="15" borderId="0" applyAlignment="1" pivotButton="0" quotePrefix="0" xfId="0">
      <alignment horizontal="left"/>
    </xf>
    <xf numFmtId="0" fontId="129" fillId="15" borderId="0" applyAlignment="1" pivotButton="0" quotePrefix="0" xfId="0">
      <alignment horizontal="left"/>
    </xf>
    <xf numFmtId="0" fontId="168" fillId="15" borderId="3" applyAlignment="1" pivotButton="0" quotePrefix="0" xfId="0">
      <alignment horizontal="left" vertical="center"/>
    </xf>
    <xf numFmtId="0" fontId="8" fillId="15" borderId="24" pivotButton="0" quotePrefix="0" xfId="0"/>
    <xf numFmtId="0" fontId="9" fillId="15" borderId="9" applyAlignment="1" pivotButton="0" quotePrefix="0" xfId="0">
      <alignment horizontal="right" vertical="center"/>
    </xf>
    <xf numFmtId="0" fontId="8" fillId="15" borderId="11" pivotButton="0" quotePrefix="0" xfId="0"/>
    <xf numFmtId="0" fontId="15" fillId="15" borderId="0" applyAlignment="1" pivotButton="0" quotePrefix="0" xfId="0">
      <alignment horizontal="right" vertical="center"/>
    </xf>
    <xf numFmtId="0" fontId="168" fillId="15" borderId="0" applyAlignment="1" pivotButton="0" quotePrefix="0" xfId="0">
      <alignment horizontal="right" vertical="center"/>
    </xf>
    <xf numFmtId="0" fontId="15" fillId="15" borderId="1" applyAlignment="1" pivotButton="0" quotePrefix="0" xfId="0">
      <alignment horizontal="right" vertical="center"/>
    </xf>
    <xf numFmtId="0" fontId="12" fillId="15" borderId="9" applyAlignment="1" pivotButton="0" quotePrefix="0" xfId="0">
      <alignment horizontal="right" vertical="center"/>
    </xf>
    <xf numFmtId="0" fontId="10" fillId="15" borderId="11" pivotButton="0" quotePrefix="0" xfId="0"/>
    <xf numFmtId="41" fontId="228" fillId="23" borderId="0" pivotButton="0" quotePrefix="0" xfId="0"/>
    <xf numFmtId="1" fontId="11" fillId="15" borderId="25" applyAlignment="1" pivotButton="0" quotePrefix="0" xfId="0">
      <alignment horizontal="center" vertical="center" wrapText="1"/>
    </xf>
    <xf numFmtId="0" fontId="227" fillId="23" borderId="0" applyAlignment="1" pivotButton="0" quotePrefix="0" xfId="0">
      <alignment vertical="center"/>
    </xf>
    <xf numFmtId="0" fontId="4" fillId="15" borderId="25" pivotButton="0" quotePrefix="0" xfId="0"/>
    <xf numFmtId="0" fontId="4" fillId="15" borderId="54" applyAlignment="1" pivotButton="0" quotePrefix="0" xfId="0">
      <alignment horizontal="right"/>
    </xf>
    <xf numFmtId="0" fontId="6" fillId="15" borderId="4" applyAlignment="1" pivotButton="0" quotePrefix="0" xfId="0">
      <alignment horizontal="right"/>
    </xf>
    <xf numFmtId="0" fontId="11" fillId="15" borderId="25" pivotButton="0" quotePrefix="0" xfId="0"/>
    <xf numFmtId="0" fontId="4" fillId="0" borderId="24" applyAlignment="1" pivotButton="0" quotePrefix="0" xfId="0">
      <alignment horizontal="center"/>
    </xf>
    <xf numFmtId="37" fontId="0" fillId="15" borderId="19" pivotButton="0" quotePrefix="0" xfId="0"/>
    <xf numFmtId="37" fontId="0" fillId="15" borderId="29" pivotButton="0" quotePrefix="0" xfId="0"/>
    <xf numFmtId="14" fontId="0" fillId="15" borderId="5" pivotButton="0" quotePrefix="0" xfId="0"/>
    <xf numFmtId="37" fontId="0" fillId="15" borderId="20" pivotButton="0" quotePrefix="0" xfId="0"/>
    <xf numFmtId="14" fontId="4" fillId="15" borderId="5" applyAlignment="1" pivotButton="0" quotePrefix="1" xfId="0">
      <alignment horizontal="right"/>
    </xf>
    <xf numFmtId="37" fontId="4" fillId="15" borderId="0" applyAlignment="1" pivotButton="0" quotePrefix="1" xfId="0">
      <alignment horizontal="right"/>
    </xf>
    <xf numFmtId="39" fontId="112" fillId="15" borderId="0" pivotButton="0" quotePrefix="0" xfId="0"/>
    <xf numFmtId="193" fontId="112" fillId="15" borderId="0" pivotButton="0" quotePrefix="0" xfId="0"/>
    <xf numFmtId="0" fontId="0" fillId="15" borderId="3" applyAlignment="1" pivotButton="0" quotePrefix="0" xfId="0">
      <alignment wrapText="1"/>
    </xf>
    <xf numFmtId="0" fontId="15" fillId="15" borderId="4" applyAlignment="1" pivotButton="0" quotePrefix="0" xfId="0">
      <alignment horizontal="center" wrapText="1"/>
    </xf>
    <xf numFmtId="14" fontId="0" fillId="15" borderId="21" pivotButton="0" quotePrefix="0" xfId="0"/>
    <xf numFmtId="37" fontId="0" fillId="15" borderId="22" pivotButton="0" quotePrefix="0" xfId="0"/>
    <xf numFmtId="0" fontId="11" fillId="15" borderId="25" applyAlignment="1" pivotButton="0" quotePrefix="0" xfId="0">
      <alignment vertical="center"/>
    </xf>
    <xf numFmtId="0" fontId="246" fillId="19" borderId="0" pivotButton="0" quotePrefix="0" xfId="0"/>
    <xf numFmtId="0" fontId="4" fillId="15" borderId="4" applyAlignment="1" pivotButton="0" quotePrefix="0" xfId="0">
      <alignment horizontal="center" wrapText="1"/>
    </xf>
    <xf numFmtId="0" fontId="121" fillId="15" borderId="4" pivotButton="0" quotePrefix="0" xfId="0"/>
    <xf numFmtId="0" fontId="6" fillId="19" borderId="9" pivotButton="0" quotePrefix="0" xfId="0"/>
    <xf numFmtId="0" fontId="6" fillId="19" borderId="1" pivotButton="0" quotePrefix="0" xfId="0"/>
    <xf numFmtId="0" fontId="6" fillId="19" borderId="11" pivotButton="0" quotePrefix="0" xfId="0"/>
    <xf numFmtId="0" fontId="6" fillId="15" borderId="0" applyAlignment="1" pivotButton="0" quotePrefix="0" xfId="0">
      <alignment horizontal="right" indent="1"/>
    </xf>
    <xf numFmtId="0" fontId="14" fillId="15" borderId="34" pivotButton="0" quotePrefix="0" xfId="0"/>
    <xf numFmtId="0" fontId="11" fillId="15" borderId="34" pivotButton="0" quotePrefix="0" xfId="0"/>
    <xf numFmtId="0" fontId="115" fillId="15" borderId="0" applyAlignment="1" pivotButton="0" quotePrefix="0" xfId="0">
      <alignment vertical="center"/>
    </xf>
    <xf numFmtId="0" fontId="15" fillId="15" borderId="0" applyAlignment="1" pivotButton="0" quotePrefix="0" xfId="0">
      <alignment horizontal="right" vertical="top"/>
    </xf>
    <xf numFmtId="0" fontId="0" fillId="15" borderId="3" applyAlignment="1" pivotButton="0" quotePrefix="0" xfId="0">
      <alignment vertical="top"/>
    </xf>
    <xf numFmtId="14" fontId="0" fillId="15" borderId="21" applyAlignment="1" pivotButton="0" quotePrefix="0" xfId="0">
      <alignment vertical="top"/>
    </xf>
    <xf numFmtId="37" fontId="0" fillId="15" borderId="4" applyAlignment="1" pivotButton="0" quotePrefix="0" xfId="0">
      <alignment vertical="top"/>
    </xf>
    <xf numFmtId="37" fontId="0" fillId="15" borderId="22" applyAlignment="1" pivotButton="0" quotePrefix="0" xfId="0">
      <alignment vertical="top"/>
    </xf>
    <xf numFmtId="0" fontId="6" fillId="15" borderId="25" applyAlignment="1" pivotButton="0" quotePrefix="0" xfId="0">
      <alignment vertical="center"/>
    </xf>
    <xf numFmtId="0" fontId="0" fillId="15" borderId="36" pivotButton="0" quotePrefix="0" xfId="0"/>
    <xf numFmtId="0" fontId="228" fillId="0" borderId="0" pivotButton="0" quotePrefix="0" xfId="0"/>
    <xf numFmtId="0" fontId="338" fillId="15" borderId="0" applyAlignment="1" applyProtection="1" pivotButton="0" quotePrefix="0" xfId="2">
      <alignment vertical="center"/>
      <protection locked="1" hidden="1"/>
    </xf>
    <xf numFmtId="0" fontId="11" fillId="15" borderId="0" applyAlignment="1" applyProtection="1" pivotButton="0" quotePrefix="0" xfId="0">
      <alignment horizontal="left" vertical="center"/>
      <protection locked="1" hidden="1"/>
    </xf>
    <xf numFmtId="0" fontId="8" fillId="0" borderId="0" applyAlignment="1" pivotButton="0" quotePrefix="0" xfId="0">
      <alignment horizontal="center"/>
    </xf>
    <xf numFmtId="0" fontId="0" fillId="15" borderId="4" applyAlignment="1" pivotButton="0" quotePrefix="0" xfId="0">
      <alignment horizontal="center"/>
    </xf>
    <xf numFmtId="0" fontId="121" fillId="15" borderId="0" applyAlignment="1" pivotButton="0" quotePrefix="0" xfId="0">
      <alignment horizontal="left"/>
    </xf>
    <xf numFmtId="0" fontId="10" fillId="0" borderId="0" applyAlignment="1" pivotButton="0" quotePrefix="0" xfId="0">
      <alignment horizontal="center" vertical="center"/>
    </xf>
    <xf numFmtId="37" fontId="110" fillId="3" borderId="30" applyAlignment="1" pivotButton="0" quotePrefix="0" xfId="0">
      <alignment horizontal="right"/>
    </xf>
    <xf numFmtId="0" fontId="110" fillId="15" borderId="8" pivotButton="0" quotePrefix="0" xfId="0"/>
    <xf numFmtId="0" fontId="4" fillId="15" borderId="0" applyAlignment="1" pivotButton="0" quotePrefix="1" xfId="0">
      <alignment horizontal="center" vertical="center"/>
    </xf>
    <xf numFmtId="0" fontId="47" fillId="15" borderId="0" applyAlignment="1" pivotButton="0" quotePrefix="0" xfId="0">
      <alignment horizontal="center"/>
    </xf>
    <xf numFmtId="3" fontId="10" fillId="15" borderId="0" pivotButton="0" quotePrefix="0" xfId="0"/>
    <xf numFmtId="0" fontId="111" fillId="5" borderId="0" applyAlignment="1" pivotButton="0" quotePrefix="0" xfId="0">
      <alignment horizontal="left" vertical="center"/>
    </xf>
    <xf numFmtId="0" fontId="172" fillId="5" borderId="0" applyAlignment="1" pivotButton="0" quotePrefix="0" xfId="0">
      <alignment horizontal="left" vertical="center"/>
    </xf>
    <xf numFmtId="0" fontId="109" fillId="2" borderId="0" applyAlignment="1" pivotButton="0" quotePrefix="0" xfId="0">
      <alignment horizontal="center"/>
    </xf>
    <xf numFmtId="0" fontId="119" fillId="2" borderId="0" applyAlignment="1" pivotButton="0" quotePrefix="0" xfId="0">
      <alignment horizontal="left"/>
    </xf>
    <xf numFmtId="0" fontId="167" fillId="2" borderId="0" pivotButton="0" quotePrefix="0" xfId="0"/>
    <xf numFmtId="0" fontId="121" fillId="2" borderId="0" applyAlignment="1" pivotButton="0" quotePrefix="0" xfId="0">
      <alignment horizontal="right"/>
    </xf>
    <xf numFmtId="0" fontId="10" fillId="0" borderId="1" applyAlignment="1" pivotButton="0" quotePrefix="0" xfId="0">
      <alignment horizontal="center"/>
    </xf>
    <xf numFmtId="1" fontId="20" fillId="3" borderId="0" applyAlignment="1" pivotButton="0" quotePrefix="0" xfId="0">
      <alignment horizontal="center"/>
    </xf>
    <xf numFmtId="0" fontId="11" fillId="0" borderId="0" applyAlignment="1" pivotButton="0" quotePrefix="0" xfId="0">
      <alignment horizontal="center"/>
    </xf>
    <xf numFmtId="0" fontId="11" fillId="15" borderId="0" applyAlignment="1" pivotButton="0" quotePrefix="0" xfId="0">
      <alignment horizontal="center"/>
    </xf>
    <xf numFmtId="1" fontId="12" fillId="3" borderId="144" pivotButton="0" quotePrefix="0" xfId="0"/>
    <xf numFmtId="0" fontId="270" fillId="5" borderId="0" applyAlignment="1" pivotButton="0" quotePrefix="0" xfId="0">
      <alignment horizontal="center"/>
    </xf>
    <xf numFmtId="0" fontId="4" fillId="15" borderId="0" applyAlignment="1" pivotButton="0" quotePrefix="1" xfId="0">
      <alignment horizontal="left"/>
    </xf>
    <xf numFmtId="0" fontId="8" fillId="3" borderId="7" applyAlignment="1" pivotButton="0" quotePrefix="0" xfId="0">
      <alignment vertical="top"/>
    </xf>
    <xf numFmtId="0" fontId="279" fillId="2" borderId="0" applyAlignment="1" pivotButton="0" quotePrefix="0" xfId="0">
      <alignment horizontal="center"/>
    </xf>
    <xf numFmtId="4" fontId="8" fillId="0" borderId="0" applyAlignment="1" pivotButton="0" quotePrefix="0" xfId="0">
      <alignment horizontal="center"/>
    </xf>
    <xf numFmtId="4" fontId="8" fillId="15" borderId="0" applyAlignment="1" pivotButton="0" quotePrefix="0" xfId="0">
      <alignment horizontal="center"/>
    </xf>
    <xf numFmtId="1" fontId="309" fillId="3" borderId="0" applyAlignment="1" pivotButton="0" quotePrefix="0" xfId="0">
      <alignment horizontal="center"/>
    </xf>
    <xf numFmtId="4" fontId="9" fillId="15" borderId="0" applyAlignment="1" pivotButton="0" quotePrefix="0" xfId="0">
      <alignment horizontal="center" wrapText="1"/>
    </xf>
    <xf numFmtId="0" fontId="47" fillId="15" borderId="1" applyAlignment="1" pivotButton="0" quotePrefix="0" xfId="0">
      <alignment horizontal="left" vertical="center"/>
    </xf>
    <xf numFmtId="0" fontId="16" fillId="15" borderId="1" applyAlignment="1" pivotButton="0" quotePrefix="0" xfId="0">
      <alignment wrapText="1"/>
    </xf>
    <xf numFmtId="1" fontId="312" fillId="3" borderId="0" applyAlignment="1" pivotButton="0" quotePrefix="0" xfId="0">
      <alignment horizontal="center"/>
    </xf>
    <xf numFmtId="0" fontId="76" fillId="5" borderId="0" applyAlignment="1" pivotButton="0" quotePrefix="0" xfId="0">
      <alignment vertical="center" wrapText="1"/>
    </xf>
    <xf numFmtId="4" fontId="8" fillId="15" borderId="5" pivotButton="0" quotePrefix="0" xfId="0"/>
    <xf numFmtId="0" fontId="49" fillId="9" borderId="25" applyAlignment="1" pivotButton="0" quotePrefix="0" xfId="0">
      <alignment horizontal="center"/>
    </xf>
    <xf numFmtId="39" fontId="313" fillId="3" borderId="0" applyAlignment="1" pivotButton="0" quotePrefix="0" xfId="0">
      <alignment horizontal="center"/>
    </xf>
    <xf numFmtId="0" fontId="4" fillId="14" borderId="25" applyAlignment="1" pivotButton="0" quotePrefix="0" xfId="0">
      <alignment horizontal="center"/>
    </xf>
    <xf numFmtId="172" fontId="313" fillId="3" borderId="0" applyAlignment="1" pivotButton="0" quotePrefix="0" xfId="0">
      <alignment horizontal="center"/>
    </xf>
    <xf numFmtId="0" fontId="4" fillId="14" borderId="8" applyAlignment="1" pivotButton="0" quotePrefix="0" xfId="0">
      <alignment horizontal="center"/>
    </xf>
    <xf numFmtId="0" fontId="8" fillId="14" borderId="8" applyAlignment="1" pivotButton="0" quotePrefix="0" xfId="0">
      <alignment horizontal="left" wrapText="1" indent="1"/>
    </xf>
    <xf numFmtId="0" fontId="8" fillId="15" borderId="8" applyAlignment="1" pivotButton="0" quotePrefix="0" xfId="0">
      <alignment horizontal="left" wrapText="1" indent="1"/>
    </xf>
    <xf numFmtId="1" fontId="314" fillId="3" borderId="0" applyAlignment="1" pivotButton="0" quotePrefix="0" xfId="0">
      <alignment horizontal="center"/>
    </xf>
    <xf numFmtId="0" fontId="109" fillId="5" borderId="0" applyAlignment="1" pivotButton="0" quotePrefix="0" xfId="0">
      <alignment horizontal="center" vertical="center" wrapText="1"/>
    </xf>
    <xf numFmtId="37" fontId="8" fillId="3" borderId="0" applyAlignment="1" pivotButton="0" quotePrefix="0" xfId="0">
      <alignment horizontal="left"/>
    </xf>
    <xf numFmtId="172" fontId="112" fillId="3" borderId="0" applyAlignment="1" pivotButton="0" quotePrefix="0" xfId="0">
      <alignment horizontal="center"/>
    </xf>
    <xf numFmtId="0" fontId="65" fillId="5" borderId="0" applyAlignment="1" pivotButton="0" quotePrefix="0" xfId="0">
      <alignment vertical="center" wrapText="1"/>
    </xf>
    <xf numFmtId="0" fontId="10" fillId="15" borderId="5" applyAlignment="1" pivotButton="0" quotePrefix="0" xfId="0">
      <alignment horizontal="center"/>
    </xf>
    <xf numFmtId="4" fontId="4" fillId="3" borderId="24" applyAlignment="1" pivotButton="0" quotePrefix="0" xfId="0">
      <alignment horizontal="right" indent="1"/>
    </xf>
    <xf numFmtId="0" fontId="113" fillId="5" borderId="0" applyAlignment="1" pivotButton="0" quotePrefix="0" xfId="0">
      <alignment horizontal="center"/>
    </xf>
    <xf numFmtId="4" fontId="9" fillId="3" borderId="0" applyAlignment="1" pivotButton="0" quotePrefix="0" xfId="0">
      <alignment horizontal="center"/>
    </xf>
    <xf numFmtId="0" fontId="4" fillId="3" borderId="30" applyAlignment="1" pivotButton="0" quotePrefix="0" xfId="0">
      <alignment horizontal="center"/>
    </xf>
    <xf numFmtId="37" fontId="6" fillId="3" borderId="30" applyAlignment="1" pivotButton="0" quotePrefix="0" xfId="0">
      <alignment horizontal="right"/>
    </xf>
    <xf numFmtId="0" fontId="10" fillId="0" borderId="12" applyAlignment="1" pivotButton="0" quotePrefix="1" xfId="0">
      <alignment horizontal="center"/>
    </xf>
    <xf numFmtId="3" fontId="309" fillId="0" borderId="12" applyAlignment="1" pivotButton="0" quotePrefix="0" xfId="0">
      <alignment horizontal="center"/>
    </xf>
    <xf numFmtId="3" fontId="10" fillId="15" borderId="0" applyAlignment="1" pivotButton="0" quotePrefix="0" xfId="0">
      <alignment horizontal="center"/>
    </xf>
    <xf numFmtId="0" fontId="10" fillId="15" borderId="5" applyAlignment="1" pivotButton="0" quotePrefix="0" xfId="0">
      <alignment horizontal="right"/>
    </xf>
    <xf numFmtId="0" fontId="10" fillId="16" borderId="0" applyAlignment="1" applyProtection="1" pivotButton="0" quotePrefix="0" xfId="0">
      <alignment horizontal="center"/>
      <protection locked="0" hidden="0"/>
    </xf>
    <xf numFmtId="0" fontId="8" fillId="3" borderId="0" applyAlignment="1" pivotButton="0" quotePrefix="0" xfId="0">
      <alignment horizontal="right" indent="2"/>
    </xf>
    <xf numFmtId="37" fontId="6" fillId="3" borderId="3" applyAlignment="1" pivotButton="0" quotePrefix="0" xfId="0">
      <alignment horizontal="right"/>
    </xf>
    <xf numFmtId="39" fontId="279" fillId="3" borderId="0" applyAlignment="1" pivotButton="0" quotePrefix="0" xfId="0">
      <alignment horizontal="center"/>
    </xf>
    <xf numFmtId="3" fontId="10" fillId="0" borderId="12" applyAlignment="1" pivotButton="0" quotePrefix="0" xfId="0">
      <alignment horizontal="center"/>
    </xf>
    <xf numFmtId="0" fontId="4" fillId="3" borderId="43" applyAlignment="1" pivotButton="0" quotePrefix="0" xfId="0">
      <alignment horizontal="center"/>
    </xf>
    <xf numFmtId="37" fontId="8" fillId="28" borderId="47" applyAlignment="1" pivotButton="0" quotePrefix="0" xfId="0">
      <alignment horizontal="right"/>
    </xf>
    <xf numFmtId="39" fontId="110" fillId="3" borderId="30" applyAlignment="1" pivotButton="0" quotePrefix="0" xfId="0">
      <alignment horizontal="center"/>
    </xf>
    <xf numFmtId="0" fontId="214" fillId="0" borderId="12" applyAlignment="1" pivotButton="0" quotePrefix="0" xfId="0">
      <alignment horizontal="center"/>
    </xf>
    <xf numFmtId="37" fontId="10" fillId="0" borderId="0" applyAlignment="1" pivotButton="0" quotePrefix="0" xfId="0">
      <alignment horizontal="center"/>
    </xf>
    <xf numFmtId="37" fontId="214" fillId="0" borderId="0" applyAlignment="1" pivotButton="0" quotePrefix="0" xfId="0">
      <alignment horizontal="center"/>
    </xf>
    <xf numFmtId="3" fontId="10" fillId="15" borderId="44" pivotButton="0" quotePrefix="0" xfId="0"/>
    <xf numFmtId="0" fontId="10" fillId="15" borderId="44" pivotButton="0" quotePrefix="0" xfId="0"/>
    <xf numFmtId="4" fontId="10" fillId="7" borderId="6" applyAlignment="1" pivotButton="0" quotePrefix="0" xfId="0">
      <alignment horizontal="center"/>
    </xf>
    <xf numFmtId="4" fontId="10" fillId="0" borderId="0" applyAlignment="1" pivotButton="0" quotePrefix="0" xfId="0">
      <alignment horizontal="center"/>
    </xf>
    <xf numFmtId="4" fontId="214" fillId="0" borderId="0" applyAlignment="1" pivotButton="0" quotePrefix="0" xfId="0">
      <alignment horizontal="center"/>
    </xf>
    <xf numFmtId="0" fontId="4" fillId="3" borderId="51" applyAlignment="1" pivotButton="0" quotePrefix="0" xfId="0">
      <alignment horizontal="center"/>
    </xf>
    <xf numFmtId="0" fontId="10" fillId="15" borderId="0" applyAlignment="1" pivotButton="0" quotePrefix="0" xfId="0">
      <alignment horizontal="right"/>
    </xf>
    <xf numFmtId="0" fontId="143" fillId="15" borderId="0" applyAlignment="1" pivotButton="0" quotePrefix="0" xfId="0">
      <alignment horizontal="center" wrapText="1"/>
    </xf>
    <xf numFmtId="0" fontId="8" fillId="3" borderId="4" applyAlignment="1" pivotButton="0" quotePrefix="0" xfId="0">
      <alignment horizontal="left"/>
    </xf>
    <xf numFmtId="0" fontId="6" fillId="3" borderId="4" applyAlignment="1" pivotButton="0" quotePrefix="0" xfId="0">
      <alignment horizontal="left"/>
    </xf>
    <xf numFmtId="0" fontId="10" fillId="3" borderId="4" applyAlignment="1" pivotButton="0" quotePrefix="0" xfId="0">
      <alignment horizontal="left"/>
    </xf>
    <xf numFmtId="4" fontId="10" fillId="3" borderId="4" applyAlignment="1" pivotButton="0" quotePrefix="0" xfId="0">
      <alignment horizontal="left"/>
    </xf>
    <xf numFmtId="4" fontId="4" fillId="3" borderId="70" applyAlignment="1" pivotButton="0" quotePrefix="0" xfId="0">
      <alignment horizontal="right"/>
    </xf>
    <xf numFmtId="0" fontId="4" fillId="3" borderId="69" applyAlignment="1" pivotButton="0" quotePrefix="0" xfId="0">
      <alignment horizontal="center"/>
    </xf>
    <xf numFmtId="0" fontId="10" fillId="15" borderId="23" pivotButton="0" quotePrefix="0" xfId="0"/>
    <xf numFmtId="0" fontId="10" fillId="15" borderId="7" applyAlignment="1" pivotButton="0" quotePrefix="0" xfId="0">
      <alignment horizontal="center"/>
    </xf>
    <xf numFmtId="3" fontId="10" fillId="15" borderId="7" pivotButton="0" quotePrefix="0" xfId="0"/>
    <xf numFmtId="0" fontId="75" fillId="9" borderId="1" applyAlignment="1" pivotButton="0" quotePrefix="0" xfId="0">
      <alignment horizontal="center" vertical="center"/>
    </xf>
    <xf numFmtId="0" fontId="179" fillId="15" borderId="0" applyAlignment="1" pivotButton="0" quotePrefix="0" xfId="0">
      <alignment horizontal="left"/>
    </xf>
    <xf numFmtId="0" fontId="179" fillId="5" borderId="0" applyAlignment="1" pivotButton="0" quotePrefix="0" xfId="0">
      <alignment horizontal="left"/>
    </xf>
    <xf numFmtId="0" fontId="47" fillId="3" borderId="8" applyAlignment="1" pivotButton="0" quotePrefix="0" xfId="0">
      <alignment horizontal="left" wrapText="1" indent="1"/>
    </xf>
    <xf numFmtId="0" fontId="89" fillId="15" borderId="0" applyAlignment="1" pivotButton="0" quotePrefix="0" xfId="0">
      <alignment horizontal="center"/>
    </xf>
    <xf numFmtId="0" fontId="12" fillId="15" borderId="5" applyAlignment="1" pivotButton="0" quotePrefix="0" xfId="0">
      <alignment horizontal="right"/>
    </xf>
    <xf numFmtId="182" fontId="10" fillId="16" borderId="0" applyAlignment="1" applyProtection="1" pivotButton="0" quotePrefix="0" xfId="0">
      <alignment horizontal="center"/>
      <protection locked="0" hidden="0"/>
    </xf>
    <xf numFmtId="182" fontId="10" fillId="27" borderId="0" applyAlignment="1" pivotButton="0" quotePrefix="0" xfId="0">
      <alignment horizontal="center"/>
    </xf>
    <xf numFmtId="0" fontId="12" fillId="15" borderId="0" applyAlignment="1" pivotButton="0" quotePrefix="0" xfId="0">
      <alignment horizontal="left"/>
    </xf>
    <xf numFmtId="0" fontId="4" fillId="14" borderId="1" applyAlignment="1" pivotButton="0" quotePrefix="0" xfId="0">
      <alignment horizontal="center"/>
    </xf>
    <xf numFmtId="1" fontId="125" fillId="3" borderId="0" applyAlignment="1" pivotButton="0" quotePrefix="0" xfId="0">
      <alignment horizontal="center"/>
    </xf>
    <xf numFmtId="0" fontId="10" fillId="15" borderId="21" applyAlignment="1" pivotButton="0" quotePrefix="0" xfId="0">
      <alignment horizontal="center"/>
    </xf>
    <xf numFmtId="0" fontId="12" fillId="15" borderId="4" applyAlignment="1" pivotButton="0" quotePrefix="0" xfId="0">
      <alignment horizontal="center" textRotation="90"/>
    </xf>
    <xf numFmtId="0" fontId="10" fillId="15" borderId="4" applyAlignment="1" pivotButton="0" quotePrefix="0" xfId="0">
      <alignment horizontal="center"/>
    </xf>
    <xf numFmtId="3" fontId="10" fillId="15" borderId="4" pivotButton="0" quotePrefix="0" xfId="0"/>
    <xf numFmtId="0" fontId="12" fillId="15" borderId="7" applyAlignment="1" pivotButton="0" quotePrefix="0" xfId="0">
      <alignment horizontal="center" textRotation="90"/>
    </xf>
    <xf numFmtId="3" fontId="112" fillId="15" borderId="0" pivotButton="0" quotePrefix="0" xfId="0"/>
    <xf numFmtId="0" fontId="4" fillId="3" borderId="28" applyAlignment="1" pivotButton="0" quotePrefix="0" xfId="0">
      <alignment horizontal="right"/>
    </xf>
    <xf numFmtId="0" fontId="89" fillId="0" borderId="0" applyAlignment="1" pivotButton="0" quotePrefix="0" xfId="0">
      <alignment horizontal="center"/>
    </xf>
    <xf numFmtId="0" fontId="180" fillId="5" borderId="0" applyAlignment="1" pivotButton="0" quotePrefix="0" xfId="0">
      <alignment horizontal="center"/>
    </xf>
    <xf numFmtId="0" fontId="4" fillId="3" borderId="0" applyAlignment="1" pivotButton="0" quotePrefix="0" xfId="0">
      <alignment horizontal="left" vertical="center"/>
    </xf>
    <xf numFmtId="3" fontId="8" fillId="5" borderId="0" applyAlignment="1" pivotButton="0" quotePrefix="0" xfId="0">
      <alignment horizontal="right"/>
    </xf>
    <xf numFmtId="0" fontId="75" fillId="9" borderId="25" applyAlignment="1" pivotButton="0" quotePrefix="0" xfId="0">
      <alignment horizontal="center"/>
    </xf>
    <xf numFmtId="39" fontId="110" fillId="3" borderId="30" applyAlignment="1" pivotButton="0" quotePrefix="0" xfId="0">
      <alignment horizontal="right"/>
    </xf>
    <xf numFmtId="0" fontId="10" fillId="3" borderId="0" applyAlignment="1" pivotButton="0" quotePrefix="0" xfId="0">
      <alignment horizontal="left" vertical="center"/>
    </xf>
    <xf numFmtId="4" fontId="10" fillId="3" borderId="0" applyAlignment="1" pivotButton="0" quotePrefix="0" xfId="0">
      <alignment horizontal="left" vertical="center"/>
    </xf>
    <xf numFmtId="4" fontId="4" fillId="3" borderId="24" applyAlignment="1" pivotButton="0" quotePrefix="0" xfId="0">
      <alignment horizontal="right" vertical="center"/>
    </xf>
    <xf numFmtId="0" fontId="4" fillId="3" borderId="10" applyAlignment="1" pivotButton="0" quotePrefix="0" xfId="0">
      <alignment horizontal="center" vertical="center"/>
    </xf>
    <xf numFmtId="37" fontId="8" fillId="28" borderId="9" applyAlignment="1" pivotButton="0" quotePrefix="0" xfId="0">
      <alignment horizontal="right" vertical="center"/>
    </xf>
    <xf numFmtId="39" fontId="6" fillId="7" borderId="0" applyAlignment="1" pivotButton="0" quotePrefix="0" xfId="0">
      <alignment horizontal="right" vertical="center"/>
    </xf>
    <xf numFmtId="39" fontId="6" fillId="3" borderId="0" applyAlignment="1" pivotButton="0" quotePrefix="0" xfId="0">
      <alignment horizontal="center" vertical="center"/>
    </xf>
    <xf numFmtId="0" fontId="20" fillId="3" borderId="5" pivotButton="0" quotePrefix="0" xfId="0"/>
    <xf numFmtId="0" fontId="20" fillId="3" borderId="0" pivotButton="0" quotePrefix="0" xfId="0"/>
    <xf numFmtId="0" fontId="20" fillId="3" borderId="20" pivotButton="0" quotePrefix="0" xfId="0"/>
    <xf numFmtId="1" fontId="110" fillId="3" borderId="0" applyAlignment="1" pivotButton="0" quotePrefix="0" xfId="0">
      <alignment horizontal="center"/>
    </xf>
    <xf numFmtId="1" fontId="112" fillId="3" borderId="0" applyAlignment="1" pivotButton="0" quotePrefix="0" xfId="0">
      <alignment horizontal="center"/>
    </xf>
    <xf numFmtId="0" fontId="8" fillId="3" borderId="0" applyAlignment="1" pivotButton="0" quotePrefix="0" xfId="0">
      <alignment horizontal="right" indent="1"/>
    </xf>
    <xf numFmtId="0" fontId="12" fillId="0" borderId="2" applyAlignment="1" pivotButton="0" quotePrefix="0" xfId="0">
      <alignment horizontal="center"/>
    </xf>
    <xf numFmtId="9" fontId="215" fillId="0" borderId="12" applyAlignment="1" pivotButton="0" quotePrefix="0" xfId="0">
      <alignment horizontal="center"/>
    </xf>
    <xf numFmtId="9" fontId="12" fillId="0" borderId="12" applyAlignment="1" pivotButton="0" quotePrefix="0" xfId="0">
      <alignment horizontal="center"/>
    </xf>
    <xf numFmtId="39" fontId="214" fillId="0" borderId="0" applyAlignment="1" pivotButton="0" quotePrefix="0" xfId="0">
      <alignment horizontal="center"/>
    </xf>
    <xf numFmtId="0" fontId="10" fillId="15" borderId="21" pivotButton="0" quotePrefix="0" xfId="0"/>
    <xf numFmtId="0" fontId="75" fillId="14" borderId="8" applyAlignment="1" pivotButton="0" quotePrefix="0" xfId="0">
      <alignment horizontal="center" vertical="center"/>
    </xf>
    <xf numFmtId="4" fontId="110" fillId="0" borderId="0" applyAlignment="1" pivotButton="0" quotePrefix="0" xfId="0">
      <alignment horizontal="right"/>
    </xf>
    <xf numFmtId="4" fontId="110" fillId="0" borderId="0" applyAlignment="1" pivotButton="0" quotePrefix="0" xfId="0">
      <alignment horizontal="center"/>
    </xf>
    <xf numFmtId="0" fontId="10" fillId="15" borderId="14" pivotButton="0" quotePrefix="0" xfId="0"/>
    <xf numFmtId="0" fontId="6" fillId="15" borderId="1" applyAlignment="1" pivotButton="0" quotePrefix="0" xfId="0">
      <alignment horizontal="center"/>
    </xf>
    <xf numFmtId="3" fontId="10" fillId="0" borderId="0" pivotButton="0" quotePrefix="0" xfId="0"/>
    <xf numFmtId="37" fontId="6" fillId="15" borderId="1" pivotButton="0" quotePrefix="0" xfId="0"/>
    <xf numFmtId="0" fontId="6" fillId="15" borderId="0" applyAlignment="1" pivotButton="0" quotePrefix="0" xfId="0">
      <alignment horizontal="center" vertical="top"/>
    </xf>
    <xf numFmtId="4" fontId="6" fillId="15" borderId="0" pivotButton="0" quotePrefix="0" xfId="0"/>
    <xf numFmtId="0" fontId="6" fillId="15" borderId="1" applyAlignment="1" pivotButton="0" quotePrefix="0" xfId="0">
      <alignment horizontal="center" vertical="top"/>
    </xf>
    <xf numFmtId="0" fontId="18" fillId="0" borderId="0" applyAlignment="1" pivotButton="0" quotePrefix="0" xfId="0">
      <alignment horizontal="center"/>
    </xf>
    <xf numFmtId="0" fontId="75" fillId="9" borderId="1" applyAlignment="1" pivotButton="0" quotePrefix="0" xfId="0">
      <alignment horizontal="center"/>
    </xf>
    <xf numFmtId="0" fontId="6" fillId="3" borderId="4" applyAlignment="1" pivotButton="0" quotePrefix="0" xfId="0">
      <alignment horizontal="left" vertical="center"/>
    </xf>
    <xf numFmtId="0" fontId="4" fillId="2" borderId="0" applyAlignment="1" pivotButton="0" quotePrefix="0" xfId="0">
      <alignment horizontal="center" wrapText="1"/>
    </xf>
    <xf numFmtId="40" fontId="164" fillId="21" borderId="0" applyAlignment="1" pivotButton="0" quotePrefix="0" xfId="0">
      <alignment horizontal="right"/>
    </xf>
    <xf numFmtId="40" fontId="238" fillId="21" borderId="20" applyAlignment="1" pivotButton="0" quotePrefix="0" xfId="0">
      <alignment horizontal="right"/>
    </xf>
    <xf numFmtId="0" fontId="0" fillId="2" borderId="23" applyAlignment="1" pivotButton="0" quotePrefix="0" xfId="0">
      <alignment horizontal="center"/>
    </xf>
    <xf numFmtId="40" fontId="0" fillId="2" borderId="7" applyAlignment="1" pivotButton="0" quotePrefix="0" xfId="0">
      <alignment horizontal="left"/>
    </xf>
    <xf numFmtId="0" fontId="0" fillId="2" borderId="5" applyAlignment="1" pivotButton="0" quotePrefix="0" xfId="0">
      <alignment horizontal="center"/>
    </xf>
    <xf numFmtId="40" fontId="6" fillId="2" borderId="0" applyAlignment="1" pivotButton="0" quotePrefix="0" xfId="0">
      <alignment horizontal="left" vertical="center"/>
    </xf>
    <xf numFmtId="0" fontId="10" fillId="2" borderId="0" applyAlignment="1" pivotButton="0" quotePrefix="0" xfId="0">
      <alignment horizontal="left" vertical="top"/>
    </xf>
    <xf numFmtId="0" fontId="22" fillId="2" borderId="5" applyAlignment="1" pivotButton="0" quotePrefix="0" xfId="0">
      <alignment horizontal="center"/>
    </xf>
    <xf numFmtId="0" fontId="22" fillId="2" borderId="21" applyAlignment="1" pivotButton="0" quotePrefix="0" xfId="0">
      <alignment horizontal="center"/>
    </xf>
    <xf numFmtId="0" fontId="22" fillId="2" borderId="23" applyAlignment="1" pivotButton="0" quotePrefix="0" xfId="0">
      <alignment horizontal="center"/>
    </xf>
    <xf numFmtId="0" fontId="57" fillId="2" borderId="7" pivotButton="0" quotePrefix="0" xfId="0"/>
    <xf numFmtId="0" fontId="9" fillId="2" borderId="7" applyAlignment="1" pivotButton="0" quotePrefix="0" xfId="0">
      <alignment horizontal="center"/>
    </xf>
    <xf numFmtId="0" fontId="110" fillId="2" borderId="20" pivotButton="0" quotePrefix="0" xfId="0"/>
    <xf numFmtId="0" fontId="0" fillId="2" borderId="26" applyAlignment="1" pivotButton="0" quotePrefix="0" xfId="0">
      <alignment horizontal="center"/>
    </xf>
    <xf numFmtId="0" fontId="9" fillId="2" borderId="1" applyAlignment="1" pivotButton="0" quotePrefix="0" xfId="0">
      <alignment horizontal="center"/>
    </xf>
    <xf numFmtId="0" fontId="0" fillId="2" borderId="29" pivotButton="0" quotePrefix="0" xfId="0"/>
    <xf numFmtId="0" fontId="22" fillId="2" borderId="80" applyAlignment="1" pivotButton="0" quotePrefix="0" xfId="0">
      <alignment horizontal="center"/>
    </xf>
    <xf numFmtId="0" fontId="57" fillId="2" borderId="8" pivotButton="0" quotePrefix="0" xfId="0"/>
    <xf numFmtId="0" fontId="0" fillId="2" borderId="88" pivotButton="0" quotePrefix="0" xfId="0"/>
    <xf numFmtId="164" fontId="24" fillId="2" borderId="0" applyAlignment="1" pivotButton="0" quotePrefix="0" xfId="0">
      <alignment horizontal="center"/>
    </xf>
    <xf numFmtId="164" fontId="24" fillId="2" borderId="0" applyAlignment="1" pivotButton="0" quotePrefix="0" xfId="0">
      <alignment horizontal="right"/>
    </xf>
    <xf numFmtId="0" fontId="0" fillId="2" borderId="21" applyAlignment="1" pivotButton="0" quotePrefix="0" xfId="0">
      <alignment horizontal="center"/>
    </xf>
    <xf numFmtId="0" fontId="9" fillId="2" borderId="74" applyAlignment="1" pivotButton="0" quotePrefix="0" xfId="0">
      <alignment horizontal="center"/>
    </xf>
    <xf numFmtId="0" fontId="110" fillId="2" borderId="4" applyAlignment="1" pivotButton="0" quotePrefix="0" xfId="0">
      <alignment vertical="top"/>
    </xf>
    <xf numFmtId="164" fontId="4" fillId="2" borderId="23" pivotButton="0" quotePrefix="0" xfId="0"/>
    <xf numFmtId="0" fontId="0" fillId="2" borderId="7" applyAlignment="1" pivotButton="0" quotePrefix="0" xfId="0">
      <alignment wrapText="1"/>
    </xf>
    <xf numFmtId="0" fontId="93" fillId="2" borderId="7" pivotButton="0" quotePrefix="0" xfId="0"/>
    <xf numFmtId="164" fontId="6" fillId="2" borderId="7" pivotButton="0" quotePrefix="0" xfId="0"/>
    <xf numFmtId="164" fontId="24" fillId="2" borderId="7" applyAlignment="1" pivotButton="0" quotePrefix="0" xfId="0">
      <alignment horizontal="center"/>
    </xf>
    <xf numFmtId="164" fontId="24" fillId="2" borderId="7" applyAlignment="1" pivotButton="0" quotePrefix="0" xfId="0">
      <alignment horizontal="right"/>
    </xf>
    <xf numFmtId="0" fontId="0" fillId="2" borderId="7" applyAlignment="1" pivotButton="0" quotePrefix="0" xfId="0">
      <alignment horizontal="center"/>
    </xf>
    <xf numFmtId="0" fontId="110" fillId="2" borderId="7" pivotButton="0" quotePrefix="0" xfId="0"/>
    <xf numFmtId="164" fontId="4" fillId="2" borderId="26" pivotButton="0" quotePrefix="0" xfId="0"/>
    <xf numFmtId="164" fontId="4" fillId="2" borderId="1" applyAlignment="1" pivotButton="0" quotePrefix="0" xfId="0">
      <alignment vertical="top"/>
    </xf>
    <xf numFmtId="0" fontId="0" fillId="2" borderId="1" applyAlignment="1" pivotButton="0" quotePrefix="0" xfId="0">
      <alignment wrapText="1"/>
    </xf>
    <xf numFmtId="0" fontId="93" fillId="2" borderId="1" pivotButton="0" quotePrefix="0" xfId="0"/>
    <xf numFmtId="0" fontId="0" fillId="2" borderId="1" applyAlignment="1" pivotButton="0" quotePrefix="0" xfId="0">
      <alignment vertical="top"/>
    </xf>
    <xf numFmtId="164" fontId="24" fillId="2" borderId="1" applyAlignment="1" pivotButton="0" quotePrefix="0" xfId="0">
      <alignment horizontal="center"/>
    </xf>
    <xf numFmtId="164" fontId="24" fillId="2" borderId="1" applyAlignment="1" pivotButton="0" quotePrefix="0" xfId="0">
      <alignment horizontal="right"/>
    </xf>
    <xf numFmtId="40" fontId="20" fillId="2" borderId="1" applyAlignment="1" pivotButton="0" quotePrefix="0" xfId="0">
      <alignment horizontal="right"/>
    </xf>
    <xf numFmtId="40" fontId="20" fillId="2" borderId="29" applyAlignment="1" pivotButton="0" quotePrefix="0" xfId="0">
      <alignment horizontal="right"/>
    </xf>
    <xf numFmtId="164" fontId="4" fillId="2" borderId="5" pivotButton="0" quotePrefix="0" xfId="0"/>
    <xf numFmtId="164" fontId="4" fillId="2" borderId="5" applyAlignment="1" pivotButton="0" quotePrefix="0" xfId="0">
      <alignment vertical="top"/>
    </xf>
    <xf numFmtId="40" fontId="8" fillId="2" borderId="20" pivotButton="0" quotePrefix="0" xfId="0"/>
    <xf numFmtId="164" fontId="4" fillId="2" borderId="5" applyAlignment="1" pivotButton="0" quotePrefix="0" xfId="0">
      <alignment horizontal="right" vertical="top"/>
    </xf>
    <xf numFmtId="38" fontId="8" fillId="2" borderId="0" pivotButton="0" quotePrefix="0" xfId="0"/>
    <xf numFmtId="38" fontId="116" fillId="2" borderId="0" pivotButton="0" quotePrefix="0" xfId="0"/>
    <xf numFmtId="37" fontId="8" fillId="27" borderId="12" pivotButton="0" quotePrefix="0" xfId="0"/>
    <xf numFmtId="40" fontId="110" fillId="2" borderId="0" applyAlignment="1" pivotButton="0" quotePrefix="0" xfId="0">
      <alignment vertical="center"/>
    </xf>
    <xf numFmtId="40" fontId="6" fillId="2" borderId="0" applyAlignment="1" pivotButton="0" quotePrefix="0" xfId="0">
      <alignment vertical="center"/>
    </xf>
    <xf numFmtId="37" fontId="0" fillId="5" borderId="0" pivotButton="0" quotePrefix="0" xfId="0"/>
    <xf numFmtId="37" fontId="4" fillId="2" borderId="5" applyAlignment="1" pivotButton="0" quotePrefix="0" xfId="0">
      <alignment vertical="top"/>
    </xf>
    <xf numFmtId="37" fontId="0" fillId="2" borderId="0" pivotButton="0" quotePrefix="0" xfId="0"/>
    <xf numFmtId="37" fontId="6" fillId="2" borderId="0" applyAlignment="1" pivotButton="0" quotePrefix="0" xfId="0">
      <alignment vertical="center"/>
    </xf>
    <xf numFmtId="37" fontId="116" fillId="2" borderId="0" pivotButton="0" quotePrefix="0" xfId="0"/>
    <xf numFmtId="37" fontId="4" fillId="2" borderId="0" pivotButton="0" quotePrefix="0" xfId="0"/>
    <xf numFmtId="37" fontId="0" fillId="2" borderId="20" pivotButton="0" quotePrefix="0" xfId="0"/>
    <xf numFmtId="40" fontId="4" fillId="2" borderId="0" applyAlignment="1" pivotButton="0" quotePrefix="0" xfId="0">
      <alignment horizontal="center" vertical="center"/>
    </xf>
    <xf numFmtId="164" fontId="4" fillId="2" borderId="0" applyAlignment="1" pivotButton="0" quotePrefix="1" xfId="0">
      <alignment horizontal="right"/>
    </xf>
    <xf numFmtId="164" fontId="4" fillId="2" borderId="5" applyAlignment="1" pivotButton="0" quotePrefix="1" xfId="0">
      <alignment horizontal="right"/>
    </xf>
    <xf numFmtId="40" fontId="8" fillId="2" borderId="0" pivotButton="0" quotePrefix="0" xfId="0"/>
    <xf numFmtId="40" fontId="0" fillId="2" borderId="8" pivotButton="0" quotePrefix="0" xfId="0"/>
    <xf numFmtId="40" fontId="0" fillId="2" borderId="0" applyAlignment="1" pivotButton="0" quotePrefix="0" xfId="0">
      <alignment vertical="center"/>
    </xf>
    <xf numFmtId="40" fontId="70" fillId="2" borderId="20" applyAlignment="1" pivotButton="0" quotePrefix="0" xfId="0">
      <alignment horizontal="right"/>
    </xf>
    <xf numFmtId="38" fontId="0" fillId="2" borderId="8" pivotButton="0" quotePrefix="0" xfId="0"/>
    <xf numFmtId="38" fontId="110" fillId="2" borderId="0" pivotButton="0" quotePrefix="0" xfId="0"/>
    <xf numFmtId="0" fontId="35" fillId="2" borderId="0" pivotButton="0" quotePrefix="0" xfId="0"/>
    <xf numFmtId="38" fontId="8" fillId="27" borderId="1" pivotButton="0" quotePrefix="0" xfId="0"/>
    <xf numFmtId="0" fontId="17" fillId="2" borderId="0" pivotButton="0" quotePrefix="0" xfId="0"/>
    <xf numFmtId="40" fontId="110" fillId="2" borderId="0" applyAlignment="1" pivotButton="0" quotePrefix="0" xfId="0">
      <alignment horizontal="right"/>
    </xf>
    <xf numFmtId="40" fontId="125" fillId="2" borderId="0" applyAlignment="1" pivotButton="0" quotePrefix="0" xfId="0">
      <alignment horizontal="right"/>
    </xf>
    <xf numFmtId="1" fontId="110" fillId="2" borderId="5" applyAlignment="1" pivotButton="0" quotePrefix="0" xfId="0">
      <alignment horizontal="center" vertical="top"/>
    </xf>
    <xf numFmtId="40" fontId="6" fillId="2" borderId="0" applyAlignment="1" pivotButton="0" quotePrefix="0" xfId="0">
      <alignment horizontal="left" indent="1"/>
    </xf>
    <xf numFmtId="1" fontId="110" fillId="2" borderId="20" applyAlignment="1" pivotButton="0" quotePrefix="0" xfId="0">
      <alignment horizontal="center" vertical="top"/>
    </xf>
    <xf numFmtId="164" fontId="125" fillId="2" borderId="5" applyAlignment="1" pivotButton="0" quotePrefix="0" xfId="0">
      <alignment vertical="top"/>
    </xf>
    <xf numFmtId="40" fontId="57" fillId="2" borderId="0" applyAlignment="1" pivotButton="0" quotePrefix="0" xfId="0">
      <alignment horizontal="left"/>
    </xf>
    <xf numFmtId="38" fontId="22" fillId="2" borderId="0" pivotButton="0" quotePrefix="0" xfId="0"/>
    <xf numFmtId="164" fontId="57" fillId="2" borderId="0" applyAlignment="1" pivotButton="0" quotePrefix="0" xfId="0">
      <alignment horizontal="left"/>
    </xf>
    <xf numFmtId="38" fontId="116" fillId="2" borderId="0" applyAlignment="1" pivotButton="0" quotePrefix="0" xfId="0">
      <alignment horizontal="right"/>
    </xf>
    <xf numFmtId="0" fontId="167" fillId="15" borderId="5" applyAlignment="1" pivotButton="0" quotePrefix="0" xfId="0">
      <alignment horizontal="left" vertical="center" indent="1"/>
    </xf>
    <xf numFmtId="0" fontId="4" fillId="15" borderId="5" applyAlignment="1" pivotButton="0" quotePrefix="0" xfId="0">
      <alignment horizontal="centerContinuous"/>
    </xf>
    <xf numFmtId="0" fontId="6" fillId="15" borderId="5" applyAlignment="1" pivotButton="0" quotePrefix="0" xfId="0">
      <alignment horizontal="center" vertical="center" wrapText="1"/>
    </xf>
    <xf numFmtId="0" fontId="12" fillId="15" borderId="56" applyAlignment="1" pivotButton="0" quotePrefix="0" xfId="0">
      <alignment horizontal="centerContinuous"/>
    </xf>
    <xf numFmtId="0" fontId="11" fillId="15" borderId="25" applyAlignment="1" pivotButton="0" quotePrefix="0" xfId="0">
      <alignment horizontal="left"/>
    </xf>
    <xf numFmtId="0" fontId="11" fillId="15" borderId="6" applyAlignment="1" pivotButton="0" quotePrefix="0" xfId="0">
      <alignment horizontal="center"/>
    </xf>
    <xf numFmtId="0" fontId="11" fillId="15" borderId="10" applyAlignment="1" pivotButton="0" quotePrefix="0" xfId="0">
      <alignment horizontal="center"/>
    </xf>
    <xf numFmtId="0" fontId="11" fillId="15" borderId="12" applyAlignment="1" pivotButton="0" quotePrefix="0" xfId="0">
      <alignment horizontal="center"/>
    </xf>
    <xf numFmtId="37" fontId="143" fillId="0" borderId="0" pivotButton="0" quotePrefix="0" xfId="0"/>
    <xf numFmtId="37" fontId="146" fillId="0" borderId="0" pivotButton="0" quotePrefix="0" xfId="0"/>
    <xf numFmtId="0" fontId="11" fillId="15" borderId="15" applyAlignment="1" pivotButton="0" quotePrefix="0" xfId="0">
      <alignment horizontal="center"/>
    </xf>
    <xf numFmtId="1" fontId="11" fillId="15" borderId="10" applyAlignment="1" pivotButton="0" quotePrefix="0" xfId="0">
      <alignment horizontal="center"/>
    </xf>
    <xf numFmtId="0" fontId="14" fillId="15" borderId="6" pivotButton="0" quotePrefix="0" xfId="0"/>
    <xf numFmtId="1" fontId="11" fillId="15" borderId="15" applyAlignment="1" pivotButton="0" quotePrefix="0" xfId="0">
      <alignment horizontal="center"/>
    </xf>
    <xf numFmtId="0" fontId="11" fillId="15" borderId="51" applyAlignment="1" pivotButton="0" quotePrefix="0" xfId="0">
      <alignment horizontal="center"/>
    </xf>
    <xf numFmtId="0" fontId="11" fillId="15" borderId="13" applyAlignment="1" pivotButton="0" quotePrefix="0" xfId="0">
      <alignment horizontal="right"/>
    </xf>
    <xf numFmtId="0" fontId="11" fillId="15" borderId="13" applyAlignment="1" pivotButton="0" quotePrefix="0" xfId="0">
      <alignment horizontal="center"/>
    </xf>
    <xf numFmtId="0" fontId="14" fillId="15" borderId="13" pivotButton="0" quotePrefix="0" xfId="0"/>
    <xf numFmtId="0" fontId="4" fillId="15" borderId="13" applyAlignment="1" pivotButton="0" quotePrefix="0" xfId="0">
      <alignment horizontal="left" indent="1"/>
    </xf>
    <xf numFmtId="0" fontId="0" fillId="15" borderId="13" applyAlignment="1" pivotButton="0" quotePrefix="0" xfId="0">
      <alignment horizontal="right" indent="1"/>
    </xf>
    <xf numFmtId="0" fontId="4" fillId="15" borderId="13" applyAlignment="1" pivotButton="0" quotePrefix="0" xfId="0">
      <alignment horizontal="right"/>
    </xf>
    <xf numFmtId="0" fontId="11" fillId="15" borderId="175" applyAlignment="1" pivotButton="0" quotePrefix="0" xfId="0">
      <alignment horizontal="center"/>
    </xf>
    <xf numFmtId="0" fontId="158" fillId="2" borderId="0" applyAlignment="1" pivotButton="0" quotePrefix="0" xfId="0">
      <alignment horizontal="left" indent="1"/>
    </xf>
    <xf numFmtId="0" fontId="110" fillId="2" borderId="0" applyAlignment="1" pivotButton="0" quotePrefix="0" xfId="0">
      <alignment horizontal="left"/>
    </xf>
    <xf numFmtId="0" fontId="4" fillId="0" borderId="2" applyAlignment="1" applyProtection="1" pivotButton="0" quotePrefix="0" xfId="0">
      <alignment horizontal="center" vertical="center"/>
      <protection locked="0" hidden="0"/>
    </xf>
    <xf numFmtId="0" fontId="11" fillId="15" borderId="0" applyAlignment="1" pivotButton="0" quotePrefix="0" xfId="0">
      <alignment horizontal="left"/>
    </xf>
    <xf numFmtId="0" fontId="243" fillId="5" borderId="0" applyAlignment="1" pivotButton="0" quotePrefix="0" xfId="0">
      <alignment horizontal="left" vertical="center"/>
    </xf>
    <xf numFmtId="0" fontId="0" fillId="15" borderId="207" pivotButton="0" quotePrefix="0" xfId="0"/>
    <xf numFmtId="0" fontId="6" fillId="15" borderId="7" applyAlignment="1" pivotButton="0" quotePrefix="0" xfId="0">
      <alignment horizontal="center"/>
    </xf>
    <xf numFmtId="0" fontId="8" fillId="15" borderId="14" pivotButton="0" quotePrefix="0" xfId="0"/>
    <xf numFmtId="0" fontId="11" fillId="15" borderId="8" applyAlignment="1" pivotButton="0" quotePrefix="0" xfId="0">
      <alignment vertical="center"/>
    </xf>
    <xf numFmtId="0" fontId="15" fillId="15" borderId="24" applyAlignment="1" pivotButton="0" quotePrefix="0" xfId="0">
      <alignment horizontal="right" indent="1"/>
    </xf>
    <xf numFmtId="2" fontId="110" fillId="15" borderId="0" pivotButton="0" quotePrefix="0" xfId="0"/>
    <xf numFmtId="37" fontId="47" fillId="14" borderId="9" applyAlignment="1" pivotButton="0" quotePrefix="0" xfId="0">
      <alignment horizontal="right"/>
    </xf>
    <xf numFmtId="37" fontId="47" fillId="14" borderId="1" applyAlignment="1" pivotButton="0" quotePrefix="0" xfId="0">
      <alignment horizontal="center" vertical="center"/>
    </xf>
    <xf numFmtId="0" fontId="244" fillId="15" borderId="0" applyAlignment="1" pivotButton="0" quotePrefix="0" xfId="0">
      <alignment vertical="top" wrapText="1"/>
    </xf>
    <xf numFmtId="0" fontId="11" fillId="15" borderId="0" applyAlignment="1" pivotButton="0" quotePrefix="1" xfId="0">
      <alignment horizontal="right"/>
    </xf>
    <xf numFmtId="0" fontId="125" fillId="15" borderId="0" applyAlignment="1" pivotButton="0" quotePrefix="0" xfId="0">
      <alignment vertical="top" wrapText="1"/>
    </xf>
    <xf numFmtId="0" fontId="0" fillId="21" borderId="8" pivotButton="0" quotePrefix="0" xfId="0"/>
    <xf numFmtId="37" fontId="15" fillId="36" borderId="4" applyAlignment="1" pivotButton="0" quotePrefix="0" xfId="0">
      <alignment horizontal="right"/>
    </xf>
    <xf numFmtId="37" fontId="15" fillId="21" borderId="4" applyAlignment="1" pivotButton="0" quotePrefix="0" xfId="0">
      <alignment horizontal="right"/>
    </xf>
    <xf numFmtId="0" fontId="6" fillId="2" borderId="7" applyAlignment="1" pivotButton="0" quotePrefix="0" xfId="0">
      <alignment horizontal="center"/>
    </xf>
    <xf numFmtId="0" fontId="0" fillId="15" borderId="13" applyAlignment="1" pivotButton="0" quotePrefix="0" xfId="0">
      <alignment horizontal="center"/>
    </xf>
    <xf numFmtId="0" fontId="11" fillId="15" borderId="16" applyAlignment="1" pivotButton="0" quotePrefix="0" xfId="0">
      <alignment vertical="center"/>
    </xf>
    <xf numFmtId="0" fontId="20" fillId="15" borderId="16" pivotButton="0" quotePrefix="0" xfId="0"/>
    <xf numFmtId="0" fontId="47" fillId="15" borderId="1" applyAlignment="1" pivotButton="0" quotePrefix="0" xfId="0">
      <alignment vertical="center"/>
    </xf>
    <xf numFmtId="0" fontId="4" fillId="15" borderId="4" applyAlignment="1" pivotButton="0" quotePrefix="0" xfId="0">
      <alignment horizontal="right"/>
    </xf>
    <xf numFmtId="37" fontId="110" fillId="15" borderId="0" applyAlignment="1" pivotButton="0" quotePrefix="0" xfId="0">
      <alignment vertical="top" wrapText="1"/>
    </xf>
    <xf numFmtId="0" fontId="11" fillId="15" borderId="7" applyAlignment="1" pivotButton="0" quotePrefix="0" xfId="0">
      <alignment vertical="center"/>
    </xf>
    <xf numFmtId="0" fontId="20" fillId="15" borderId="7" applyAlignment="1" pivotButton="0" quotePrefix="0" xfId="0">
      <alignment vertical="center"/>
    </xf>
    <xf numFmtId="0" fontId="130" fillId="15" borderId="0" applyAlignment="1" pivotButton="0" quotePrefix="0" xfId="0">
      <alignment vertical="center" wrapText="1"/>
    </xf>
    <xf numFmtId="0" fontId="130" fillId="15" borderId="0" applyAlignment="1" pivotButton="0" quotePrefix="0" xfId="0">
      <alignment horizontal="center" vertical="center" wrapText="1"/>
    </xf>
    <xf numFmtId="0" fontId="130" fillId="15" borderId="4" applyAlignment="1" pivotButton="0" quotePrefix="0" xfId="0">
      <alignment vertical="center" wrapText="1"/>
    </xf>
    <xf numFmtId="0" fontId="130" fillId="15" borderId="4" applyAlignment="1" pivotButton="0" quotePrefix="0" xfId="0">
      <alignment horizontal="center" vertical="center" wrapText="1"/>
    </xf>
    <xf numFmtId="0" fontId="14" fillId="15" borderId="4" applyAlignment="1" pivotButton="0" quotePrefix="0" xfId="0">
      <alignment vertical="top"/>
    </xf>
    <xf numFmtId="0" fontId="197" fillId="15" borderId="7" applyAlignment="1" pivotButton="0" quotePrefix="0" xfId="0">
      <alignment horizontal="center" vertical="center"/>
    </xf>
    <xf numFmtId="0" fontId="11" fillId="15" borderId="7" applyAlignment="1" pivotButton="0" quotePrefix="1" xfId="0">
      <alignment horizontal="center"/>
    </xf>
    <xf numFmtId="0" fontId="6" fillId="15" borderId="191" pivotButton="0" quotePrefix="0" xfId="0"/>
    <xf numFmtId="0" fontId="47" fillId="15" borderId="0" applyAlignment="1" pivotButton="0" quotePrefix="1" xfId="0">
      <alignment horizontal="right"/>
    </xf>
    <xf numFmtId="0" fontId="6" fillId="15" borderId="6" pivotButton="0" quotePrefix="0" xfId="0"/>
    <xf numFmtId="0" fontId="4" fillId="15" borderId="12" applyAlignment="1" pivotButton="0" quotePrefix="1" xfId="0">
      <alignment horizontal="center"/>
    </xf>
    <xf numFmtId="0" fontId="47" fillId="15" borderId="24" pivotButton="0" quotePrefix="0" xfId="0"/>
    <xf numFmtId="0" fontId="14" fillId="15" borderId="4" applyAlignment="1" pivotButton="0" quotePrefix="0" xfId="0">
      <alignment horizontal="center"/>
    </xf>
    <xf numFmtId="0" fontId="47" fillId="15" borderId="0" applyAlignment="1" pivotButton="0" quotePrefix="0" xfId="0">
      <alignment horizontal="left" vertical="center"/>
    </xf>
    <xf numFmtId="0" fontId="47" fillId="15" borderId="3" applyAlignment="1" pivotButton="0" quotePrefix="0" xfId="0">
      <alignment horizontal="left" vertical="center"/>
    </xf>
    <xf numFmtId="0" fontId="47" fillId="15" borderId="11" applyAlignment="1" pivotButton="0" quotePrefix="0" xfId="0">
      <alignment horizontal="left" vertical="center"/>
    </xf>
    <xf numFmtId="0" fontId="47" fillId="15" borderId="9" applyAlignment="1" pivotButton="0" quotePrefix="0" xfId="0">
      <alignment horizontal="left" vertical="center"/>
    </xf>
    <xf numFmtId="0" fontId="6" fillId="15" borderId="30" applyAlignment="1" pivotButton="0" quotePrefix="0" xfId="0">
      <alignment horizontal="left" vertical="center"/>
    </xf>
    <xf numFmtId="0" fontId="47" fillId="15" borderId="8" applyAlignment="1" pivotButton="0" quotePrefix="0" xfId="0">
      <alignment horizontal="left" vertical="center"/>
    </xf>
    <xf numFmtId="0" fontId="47" fillId="15" borderId="14" applyAlignment="1" pivotButton="0" quotePrefix="0" xfId="0">
      <alignment horizontal="left" vertical="center"/>
    </xf>
    <xf numFmtId="0" fontId="6" fillId="15" borderId="8" applyAlignment="1" pivotButton="0" quotePrefix="1" xfId="0">
      <alignment horizontal="center" vertical="center"/>
    </xf>
    <xf numFmtId="0" fontId="47" fillId="15" borderId="24" applyAlignment="1" pivotButton="0" quotePrefix="0" xfId="0">
      <alignment horizontal="left" vertical="center"/>
    </xf>
    <xf numFmtId="0" fontId="6" fillId="15" borderId="3" applyAlignment="1" pivotButton="0" quotePrefix="0" xfId="0">
      <alignment horizontal="left" vertical="center"/>
    </xf>
    <xf numFmtId="0" fontId="6" fillId="15" borderId="9" applyAlignment="1" pivotButton="0" quotePrefix="0" xfId="0">
      <alignment horizontal="left" vertical="center"/>
    </xf>
    <xf numFmtId="0" fontId="14" fillId="15" borderId="25" applyAlignment="1" pivotButton="0" quotePrefix="1" xfId="0">
      <alignment horizontal="center" vertical="center"/>
    </xf>
    <xf numFmtId="0" fontId="6" fillId="15" borderId="192" pivotButton="0" quotePrefix="0" xfId="0"/>
    <xf numFmtId="0" fontId="6" fillId="15" borderId="99" pivotButton="0" quotePrefix="0" xfId="0"/>
    <xf numFmtId="0" fontId="130" fillId="15" borderId="0" applyAlignment="1" pivotButton="0" quotePrefix="0" xfId="0">
      <alignment horizontal="left" vertical="center" indent="1"/>
    </xf>
    <xf numFmtId="0" fontId="240" fillId="15" borderId="0" applyAlignment="1" pivotButton="0" quotePrefix="0" xfId="0">
      <alignment vertical="center"/>
    </xf>
    <xf numFmtId="0" fontId="5" fillId="15" borderId="0" pivotButton="0" quotePrefix="0" xfId="0"/>
    <xf numFmtId="0" fontId="130" fillId="15" borderId="4" applyAlignment="1" pivotButton="0" quotePrefix="0" xfId="0">
      <alignment horizontal="left" indent="1"/>
    </xf>
    <xf numFmtId="0" fontId="4" fillId="15" borderId="24" applyAlignment="1" pivotButton="0" quotePrefix="1" xfId="0">
      <alignment horizontal="right" vertical="center"/>
    </xf>
    <xf numFmtId="0" fontId="241" fillId="15" borderId="0" applyAlignment="1" pivotButton="0" quotePrefix="0" xfId="0">
      <alignment vertical="center"/>
    </xf>
    <xf numFmtId="0" fontId="9" fillId="15" borderId="0" applyAlignment="1" pivotButton="0" quotePrefix="0" xfId="0">
      <alignment horizontal="center" vertical="top"/>
    </xf>
    <xf numFmtId="37" fontId="4" fillId="27" borderId="48" pivotButton="0" quotePrefix="0" xfId="0"/>
    <xf numFmtId="0" fontId="15" fillId="15" borderId="0" applyAlignment="1" pivotButton="0" quotePrefix="1" xfId="0">
      <alignment horizontal="left"/>
    </xf>
    <xf numFmtId="37" fontId="4" fillId="27" borderId="49" pivotButton="0" quotePrefix="0" xfId="0"/>
    <xf numFmtId="37" fontId="9" fillId="14" borderId="0" applyAlignment="1" pivotButton="0" quotePrefix="0" xfId="0">
      <alignment horizontal="right"/>
    </xf>
    <xf numFmtId="37" fontId="4" fillId="27" borderId="53" pivotButton="0" quotePrefix="0" xfId="0"/>
    <xf numFmtId="37" fontId="4" fillId="27" borderId="2" pivotButton="0" quotePrefix="0" xfId="0"/>
    <xf numFmtId="0" fontId="47" fillId="15" borderId="4" applyAlignment="1" pivotButton="0" quotePrefix="0" xfId="0">
      <alignment vertical="top"/>
    </xf>
    <xf numFmtId="0" fontId="4" fillId="15" borderId="70" applyAlignment="1" pivotButton="0" quotePrefix="0" xfId="0">
      <alignment horizontal="right" vertical="center"/>
    </xf>
    <xf numFmtId="0" fontId="11" fillId="15" borderId="1" applyAlignment="1" pivotButton="0" quotePrefix="0" xfId="0">
      <alignment horizontal="left" vertical="center" indent="1"/>
    </xf>
    <xf numFmtId="39" fontId="4" fillId="15" borderId="5" applyAlignment="1" pivotButton="0" quotePrefix="0" xfId="0">
      <alignment horizontal="left" indent="1"/>
    </xf>
    <xf numFmtId="39" fontId="0" fillId="15" borderId="0" pivotButton="0" quotePrefix="0" xfId="0"/>
    <xf numFmtId="39" fontId="0" fillId="15" borderId="20" pivotButton="0" quotePrefix="0" xfId="0"/>
    <xf numFmtId="39" fontId="6" fillId="15" borderId="5" applyAlignment="1" pivotButton="0" quotePrefix="0" xfId="0">
      <alignment horizontal="left" indent="2"/>
    </xf>
    <xf numFmtId="39" fontId="6" fillId="15" borderId="0" applyAlignment="1" pivotButton="0" quotePrefix="1" xfId="0">
      <alignment horizontal="right"/>
    </xf>
    <xf numFmtId="39" fontId="0" fillId="15" borderId="21" pivotButton="0" quotePrefix="0" xfId="0"/>
    <xf numFmtId="39" fontId="0" fillId="15" borderId="4" pivotButton="0" quotePrefix="0" xfId="0"/>
    <xf numFmtId="39" fontId="0" fillId="15" borderId="22" pivotButton="0" quotePrefix="0" xfId="0"/>
    <xf numFmtId="0" fontId="130" fillId="15" borderId="8" applyAlignment="1" pivotButton="0" quotePrefix="0" xfId="0">
      <alignment vertical="center" wrapText="1"/>
    </xf>
    <xf numFmtId="0" fontId="130" fillId="15" borderId="1" applyAlignment="1" pivotButton="0" quotePrefix="0" xfId="0">
      <alignment vertical="center" wrapText="1"/>
    </xf>
    <xf numFmtId="0" fontId="47" fillId="15" borderId="8" applyAlignment="1" pivotButton="0" quotePrefix="0" xfId="0">
      <alignment horizontal="left"/>
    </xf>
    <xf numFmtId="0" fontId="47" fillId="15" borderId="8" applyAlignment="1" pivotButton="0" quotePrefix="0" xfId="0">
      <alignment horizontal="center"/>
    </xf>
    <xf numFmtId="176" fontId="47" fillId="15" borderId="3" applyAlignment="1" pivotButton="0" quotePrefix="0" xfId="0">
      <alignment horizontal="center"/>
    </xf>
    <xf numFmtId="194" fontId="6" fillId="15" borderId="0" applyAlignment="1" pivotButton="0" quotePrefix="0" xfId="0">
      <alignment horizontal="center"/>
    </xf>
    <xf numFmtId="0" fontId="47" fillId="15" borderId="0" applyAlignment="1" pivotButton="0" quotePrefix="0" xfId="0">
      <alignment horizontal="left" vertical="center" wrapText="1"/>
    </xf>
    <xf numFmtId="0" fontId="47" fillId="15" borderId="24" applyAlignment="1" pivotButton="0" quotePrefix="0" xfId="0">
      <alignment horizontal="left" vertical="center" wrapText="1"/>
    </xf>
    <xf numFmtId="0" fontId="11" fillId="15" borderId="0" applyAlignment="1" pivotButton="0" quotePrefix="1" xfId="0">
      <alignment horizontal="center" vertical="center" wrapText="1"/>
    </xf>
    <xf numFmtId="39" fontId="6" fillId="15" borderId="5" applyAlignment="1" pivotButton="0" quotePrefix="0" xfId="0">
      <alignment horizontal="left" indent="1"/>
    </xf>
    <xf numFmtId="39" fontId="6" fillId="15" borderId="5" applyAlignment="1" pivotButton="0" quotePrefix="0" xfId="0">
      <alignment horizontal="left" vertical="center" indent="3"/>
    </xf>
    <xf numFmtId="39" fontId="6" fillId="15" borderId="5" applyAlignment="1" pivotButton="0" quotePrefix="0" xfId="0">
      <alignment horizontal="left" indent="3"/>
    </xf>
    <xf numFmtId="0" fontId="15" fillId="15" borderId="8" applyAlignment="1" pivotButton="0" quotePrefix="1" xfId="0">
      <alignment horizontal="right"/>
    </xf>
    <xf numFmtId="0" fontId="47" fillId="15" borderId="1" applyAlignment="1" pivotButton="0" quotePrefix="0" xfId="0">
      <alignment vertical="top"/>
    </xf>
    <xf numFmtId="39" fontId="6" fillId="15" borderId="0" pivotButton="0" quotePrefix="0" xfId="0"/>
    <xf numFmtId="0" fontId="23" fillId="15" borderId="8" applyAlignment="1" pivotButton="0" quotePrefix="0" xfId="0">
      <alignment vertical="center"/>
    </xf>
    <xf numFmtId="0" fontId="23" fillId="15" borderId="1" applyAlignment="1" pivotButton="0" quotePrefix="0" xfId="0">
      <alignment vertical="center"/>
    </xf>
    <xf numFmtId="0" fontId="20" fillId="15" borderId="25" applyAlignment="1" pivotButton="0" quotePrefix="0" xfId="0">
      <alignment vertical="center"/>
    </xf>
    <xf numFmtId="3" fontId="15" fillId="15" borderId="0" pivotButton="0" quotePrefix="0" xfId="0"/>
    <xf numFmtId="3" fontId="110" fillId="15" borderId="8" pivotButton="0" quotePrefix="0" xfId="0"/>
    <xf numFmtId="0" fontId="110" fillId="15" borderId="14" pivotButton="0" quotePrefix="0" xfId="0"/>
    <xf numFmtId="40" fontId="5" fillId="2" borderId="0" applyAlignment="1" pivotButton="0" quotePrefix="0" xfId="0">
      <alignment horizontal="left" indent="1"/>
    </xf>
    <xf numFmtId="40" fontId="5" fillId="2" borderId="0" applyAlignment="1" pivotButton="0" quotePrefix="0" xfId="0">
      <alignment horizontal="left" vertical="top" indent="1"/>
    </xf>
    <xf numFmtId="0" fontId="4" fillId="3" borderId="0" applyAlignment="1" pivotButton="0" quotePrefix="1" xfId="0">
      <alignment horizontal="center"/>
    </xf>
    <xf numFmtId="0" fontId="21" fillId="2" borderId="44" applyAlignment="1" pivotButton="0" quotePrefix="0" xfId="0">
      <alignment horizontal="left" vertical="center"/>
    </xf>
    <xf numFmtId="0" fontId="44" fillId="2" borderId="44" applyAlignment="1" pivotButton="0" quotePrefix="0" xfId="0">
      <alignment horizontal="left"/>
    </xf>
    <xf numFmtId="0" fontId="4" fillId="2" borderId="45" applyAlignment="1" pivotButton="0" quotePrefix="0" xfId="0">
      <alignment horizontal="left" vertical="center"/>
    </xf>
    <xf numFmtId="0" fontId="4" fillId="2" borderId="45" applyAlignment="1" pivotButton="0" quotePrefix="0" xfId="0">
      <alignment horizontal="center" vertical="center"/>
    </xf>
    <xf numFmtId="0" fontId="4" fillId="2" borderId="45" applyAlignment="1" pivotButton="0" quotePrefix="0" xfId="0">
      <alignment horizontal="right"/>
    </xf>
    <xf numFmtId="185" fontId="4" fillId="2" borderId="45" applyAlignment="1" pivotButton="0" quotePrefix="0" xfId="0">
      <alignment horizontal="center"/>
    </xf>
    <xf numFmtId="168" fontId="4" fillId="2" borderId="45" applyAlignment="1" pivotButton="0" quotePrefix="0" xfId="0">
      <alignment horizontal="center"/>
    </xf>
    <xf numFmtId="0" fontId="4" fillId="2" borderId="25" applyAlignment="1" pivotButton="0" quotePrefix="0" xfId="0">
      <alignment horizontal="center"/>
    </xf>
    <xf numFmtId="0" fontId="15" fillId="2" borderId="25" applyAlignment="1" pivotButton="0" quotePrefix="0" xfId="0">
      <alignment horizontal="center" wrapText="1"/>
    </xf>
    <xf numFmtId="0" fontId="4" fillId="0" borderId="25" applyAlignment="1" pivotButton="0" quotePrefix="0" xfId="0">
      <alignment horizontal="center"/>
    </xf>
    <xf numFmtId="0" fontId="4" fillId="2" borderId="1" applyAlignment="1" pivotButton="0" quotePrefix="0" xfId="0">
      <alignment horizontal="center"/>
    </xf>
    <xf numFmtId="1" fontId="6" fillId="0" borderId="0" pivotButton="0" quotePrefix="0" xfId="0"/>
    <xf numFmtId="1" fontId="110" fillId="0" borderId="0" pivotButton="0" quotePrefix="0" xfId="0"/>
    <xf numFmtId="49" fontId="4" fillId="0" borderId="0" applyAlignment="1" pivotButton="0" quotePrefix="1" xfId="0">
      <alignment horizontal="center"/>
    </xf>
    <xf numFmtId="37" fontId="6" fillId="27" borderId="85" pivotButton="0" quotePrefix="0" xfId="0"/>
    <xf numFmtId="4" fontId="4" fillId="0" borderId="0" pivotButton="0" quotePrefix="0" xfId="0"/>
    <xf numFmtId="1" fontId="51" fillId="0" borderId="0" pivotButton="0" quotePrefix="0" xfId="0"/>
    <xf numFmtId="4" fontId="6" fillId="0" borderId="0" pivotButton="0" quotePrefix="0" xfId="0"/>
    <xf numFmtId="37" fontId="6" fillId="27" borderId="113" pivotButton="0" quotePrefix="0" xfId="0"/>
    <xf numFmtId="168" fontId="6" fillId="0" borderId="0" pivotButton="0" quotePrefix="0" xfId="0"/>
    <xf numFmtId="39" fontId="6" fillId="27" borderId="113" pivotButton="0" quotePrefix="0" xfId="0"/>
    <xf numFmtId="4" fontId="109" fillId="0" borderId="0" pivotButton="0" quotePrefix="0" xfId="0"/>
    <xf numFmtId="0" fontId="131" fillId="2" borderId="3" pivotButton="0" quotePrefix="0" xfId="0"/>
    <xf numFmtId="4" fontId="146" fillId="0" borderId="0" pivotButton="0" quotePrefix="0" xfId="0"/>
    <xf numFmtId="0" fontId="9" fillId="2" borderId="3" pivotButton="0" quotePrefix="0" xfId="0"/>
    <xf numFmtId="37" fontId="6" fillId="27" borderId="213" applyAlignment="1" pivotButton="0" quotePrefix="1" xfId="0">
      <alignment horizontal="right"/>
    </xf>
    <xf numFmtId="1" fontId="146" fillId="0" borderId="0" pivotButton="0" quotePrefix="0" xfId="0"/>
    <xf numFmtId="0" fontId="164" fillId="2" borderId="9" pivotButton="0" quotePrefix="0" xfId="0"/>
    <xf numFmtId="4" fontId="0" fillId="0" borderId="1" pivotButton="0" quotePrefix="0" xfId="0"/>
    <xf numFmtId="0" fontId="12" fillId="2" borderId="0" applyAlignment="1" pivotButton="0" quotePrefix="0" xfId="0">
      <alignment horizontal="right"/>
    </xf>
    <xf numFmtId="0" fontId="10" fillId="2" borderId="8" applyAlignment="1" pivotButton="0" quotePrefix="0" xfId="0">
      <alignment horizontal="center"/>
    </xf>
    <xf numFmtId="37" fontId="8" fillId="2" borderId="0" applyAlignment="1" pivotButton="0" quotePrefix="0" xfId="0">
      <alignment horizontal="center"/>
    </xf>
    <xf numFmtId="0" fontId="51" fillId="0" borderId="0" applyAlignment="1" pivotButton="0" quotePrefix="0" xfId="0">
      <alignment horizontal="center"/>
    </xf>
    <xf numFmtId="1" fontId="4" fillId="0" borderId="0" applyAlignment="1" pivotButton="0" quotePrefix="0" xfId="0">
      <alignment horizontal="center"/>
    </xf>
    <xf numFmtId="0" fontId="4" fillId="2" borderId="8" applyAlignment="1" pivotButton="0" quotePrefix="0" xfId="0">
      <alignment horizontal="center"/>
    </xf>
    <xf numFmtId="0" fontId="57" fillId="2" borderId="8" applyAlignment="1" pivotButton="0" quotePrefix="0" xfId="0">
      <alignment horizontal="left"/>
    </xf>
    <xf numFmtId="0" fontId="57" fillId="2" borderId="0" applyAlignment="1" pivotButton="0" quotePrefix="0" xfId="0">
      <alignment horizontal="left"/>
    </xf>
    <xf numFmtId="0" fontId="21" fillId="2" borderId="137" applyAlignment="1" pivotButton="0" quotePrefix="0" xfId="0">
      <alignment horizontal="left" vertical="center"/>
    </xf>
    <xf numFmtId="0" fontId="44" fillId="2" borderId="137" applyAlignment="1" pivotButton="0" quotePrefix="0" xfId="0">
      <alignment horizontal="left"/>
    </xf>
    <xf numFmtId="0" fontId="4" fillId="2" borderId="137" applyAlignment="1" pivotButton="0" quotePrefix="0" xfId="0">
      <alignment horizontal="left" vertical="center"/>
    </xf>
    <xf numFmtId="0" fontId="4" fillId="2" borderId="137" applyAlignment="1" pivotButton="0" quotePrefix="0" xfId="0">
      <alignment horizontal="center" vertical="center"/>
    </xf>
    <xf numFmtId="0" fontId="22" fillId="2" borderId="0" applyAlignment="1" pivotButton="0" quotePrefix="0" xfId="0">
      <alignment vertical="center"/>
    </xf>
    <xf numFmtId="0" fontId="15" fillId="2" borderId="1" applyAlignment="1" pivotButton="0" quotePrefix="0" xfId="0">
      <alignment horizontal="center" wrapText="1"/>
    </xf>
    <xf numFmtId="1" fontId="4" fillId="0" borderId="0" pivotButton="0" quotePrefix="0" xfId="0"/>
    <xf numFmtId="4" fontId="51" fillId="0" borderId="0" pivotButton="0" quotePrefix="0" xfId="0"/>
    <xf numFmtId="4" fontId="22" fillId="0" borderId="0" pivotButton="0" quotePrefix="0" xfId="0"/>
    <xf numFmtId="1" fontId="125" fillId="0" borderId="0" applyAlignment="1" pivotButton="0" quotePrefix="0" xfId="0">
      <alignment horizontal="center"/>
    </xf>
    <xf numFmtId="4" fontId="0" fillId="15" borderId="8" pivotButton="0" quotePrefix="0" xfId="0"/>
    <xf numFmtId="0" fontId="10" fillId="2" borderId="113" applyAlignment="1" pivotButton="0" quotePrefix="0" xfId="0">
      <alignment horizontal="center"/>
    </xf>
    <xf numFmtId="1" fontId="125" fillId="0" borderId="0" pivotButton="0" quotePrefix="0" xfId="0"/>
    <xf numFmtId="0" fontId="4" fillId="2" borderId="1" applyAlignment="1" pivotButton="0" quotePrefix="0" xfId="0">
      <alignment horizontal="left"/>
    </xf>
    <xf numFmtId="0" fontId="4" fillId="2" borderId="1" applyAlignment="1" pivotButton="0" quotePrefix="0" xfId="0">
      <alignment horizontal="right"/>
    </xf>
    <xf numFmtId="0" fontId="4" fillId="0" borderId="1" applyAlignment="1" pivotButton="0" quotePrefix="0" xfId="0">
      <alignment horizontal="center"/>
    </xf>
    <xf numFmtId="1" fontId="0" fillId="0" borderId="1" pivotButton="0" quotePrefix="0" xfId="0"/>
    <xf numFmtId="37" fontId="4" fillId="27" borderId="86" pivotButton="0" quotePrefix="0" xfId="0"/>
    <xf numFmtId="4" fontId="6" fillId="15" borderId="30" applyAlignment="1" pivotButton="0" quotePrefix="0" xfId="0">
      <alignment horizontal="left" indent="1"/>
    </xf>
    <xf numFmtId="4" fontId="6" fillId="15" borderId="8" applyAlignment="1" pivotButton="0" quotePrefix="0" xfId="0">
      <alignment horizontal="left" indent="1"/>
    </xf>
    <xf numFmtId="4" fontId="6" fillId="15" borderId="8" pivotButton="0" quotePrefix="0" xfId="0"/>
    <xf numFmtId="37" fontId="4" fillId="27" borderId="135" pivotButton="0" quotePrefix="0" xfId="0"/>
    <xf numFmtId="4" fontId="6" fillId="15" borderId="3" applyAlignment="1" pivotButton="0" quotePrefix="0" xfId="0">
      <alignment horizontal="left" indent="1"/>
    </xf>
    <xf numFmtId="4" fontId="6" fillId="15" borderId="0" applyAlignment="1" pivotButton="0" quotePrefix="0" xfId="0">
      <alignment horizontal="left" indent="1"/>
    </xf>
    <xf numFmtId="0" fontId="6" fillId="2" borderId="3" pivotButton="0" quotePrefix="0" xfId="0"/>
    <xf numFmtId="37" fontId="6" fillId="27" borderId="135" pivotButton="0" quotePrefix="0" xfId="0"/>
    <xf numFmtId="37" fontId="0" fillId="27" borderId="12" pivotButton="0" quotePrefix="0" xfId="0"/>
    <xf numFmtId="4" fontId="6" fillId="0" borderId="0" applyAlignment="1" pivotButton="0" quotePrefix="0" xfId="0">
      <alignment horizontal="left"/>
    </xf>
    <xf numFmtId="4" fontId="10" fillId="0" borderId="0" pivotButton="0" quotePrefix="0" xfId="0"/>
    <xf numFmtId="37" fontId="110" fillId="15" borderId="0" applyAlignment="1" pivotButton="0" quotePrefix="1" xfId="0">
      <alignment horizontal="right"/>
    </xf>
    <xf numFmtId="37" fontId="6" fillId="27" borderId="215" applyAlignment="1" pivotButton="0" quotePrefix="1" xfId="0">
      <alignment horizontal="right"/>
    </xf>
    <xf numFmtId="0" fontId="0" fillId="15" borderId="37" pivotButton="0" quotePrefix="0" xfId="0"/>
    <xf numFmtId="0" fontId="67" fillId="15" borderId="102" applyAlignment="1" pivotButton="0" quotePrefix="0" xfId="2">
      <alignment horizontal="left" indent="1"/>
    </xf>
    <xf numFmtId="0" fontId="0" fillId="15" borderId="38" pivotButton="0" quotePrefix="0" xfId="0"/>
    <xf numFmtId="0" fontId="7" fillId="0" borderId="0" applyAlignment="1" pivotButton="0" quotePrefix="0" xfId="0">
      <alignment horizontal="center"/>
    </xf>
    <xf numFmtId="37" fontId="6" fillId="16" borderId="12" applyAlignment="1" applyProtection="1" pivotButton="0" quotePrefix="0" xfId="0">
      <alignment horizontal="right" wrapText="1"/>
      <protection locked="0" hidden="0"/>
    </xf>
    <xf numFmtId="0" fontId="6" fillId="0" borderId="100" pivotButton="0" quotePrefix="0" xfId="0"/>
    <xf numFmtId="3" fontId="6" fillId="16" borderId="168" applyAlignment="1" applyProtection="1" pivotButton="0" quotePrefix="0" xfId="0">
      <alignment horizontal="right"/>
      <protection locked="0" hidden="0"/>
    </xf>
    <xf numFmtId="0" fontId="9" fillId="16" borderId="109" applyAlignment="1" applyProtection="1" pivotButton="0" quotePrefix="0" xfId="0">
      <alignment horizontal="center"/>
      <protection locked="0" hidden="0"/>
    </xf>
    <xf numFmtId="37" fontId="9" fillId="16" borderId="66" applyProtection="1" pivotButton="0" quotePrefix="0" xfId="0">
      <protection locked="0" hidden="0"/>
    </xf>
    <xf numFmtId="0" fontId="9" fillId="16" borderId="46" applyAlignment="1" applyProtection="1" pivotButton="0" quotePrefix="0" xfId="0">
      <alignment horizontal="center"/>
      <protection locked="0" hidden="0"/>
    </xf>
    <xf numFmtId="37" fontId="9" fillId="16" borderId="58" applyProtection="1" pivotButton="0" quotePrefix="0" xfId="0">
      <protection locked="0" hidden="0"/>
    </xf>
    <xf numFmtId="37" fontId="4" fillId="27" borderId="39" pivotButton="0" quotePrefix="0" xfId="0"/>
    <xf numFmtId="0" fontId="0" fillId="0" borderId="24" pivotButton="0" quotePrefix="0" xfId="0"/>
    <xf numFmtId="0" fontId="0" fillId="0" borderId="11" pivotButton="0" quotePrefix="0" xfId="0"/>
    <xf numFmtId="0" fontId="8" fillId="15" borderId="8" applyAlignment="1" pivotButton="0" quotePrefix="0" xfId="0">
      <alignment horizontal="center" vertical="center" wrapText="1"/>
    </xf>
    <xf numFmtId="0" fontId="8" fillId="15" borderId="1" applyAlignment="1" pivotButton="0" quotePrefix="0" xfId="0">
      <alignment horizontal="center" vertical="center" wrapText="1"/>
    </xf>
    <xf numFmtId="0" fontId="0" fillId="0" borderId="16" pivotButton="0" quotePrefix="0" xfId="0"/>
    <xf numFmtId="0" fontId="0" fillId="0" borderId="14" pivotButton="0" quotePrefix="0" xfId="0"/>
    <xf numFmtId="0" fontId="11" fillId="15" borderId="7" applyAlignment="1" pivotButton="0" quotePrefix="0" xfId="0">
      <alignment horizontal="left"/>
    </xf>
    <xf numFmtId="0" fontId="110" fillId="15" borderId="8" applyAlignment="1" pivotButton="0" quotePrefix="0" xfId="0">
      <alignment horizontal="center"/>
    </xf>
    <xf numFmtId="0" fontId="0" fillId="15" borderId="14" applyAlignment="1" pivotButton="0" quotePrefix="0" xfId="0">
      <alignment horizontal="center"/>
    </xf>
    <xf numFmtId="0" fontId="15" fillId="15" borderId="11" applyAlignment="1" pivotButton="0" quotePrefix="0" xfId="0">
      <alignment horizontal="center"/>
    </xf>
    <xf numFmtId="0" fontId="4" fillId="2" borderId="0" applyAlignment="1" pivotButton="0" quotePrefix="0" xfId="0">
      <alignment horizontal="left" wrapText="1"/>
    </xf>
    <xf numFmtId="0" fontId="4" fillId="23" borderId="0" applyAlignment="1" pivotButton="0" quotePrefix="0" xfId="0">
      <alignment horizontal="center" vertical="center"/>
    </xf>
    <xf numFmtId="0" fontId="0" fillId="15" borderId="25" applyAlignment="1" pivotButton="0" quotePrefix="0" xfId="0">
      <alignment horizontal="center" vertical="center"/>
    </xf>
    <xf numFmtId="0" fontId="21" fillId="2" borderId="0" applyAlignment="1" pivotButton="0" quotePrefix="0" xfId="0">
      <alignment horizontal="left" vertical="center"/>
    </xf>
    <xf numFmtId="0" fontId="4" fillId="2" borderId="45" applyAlignment="1" pivotButton="0" quotePrefix="0" xfId="0">
      <alignment horizontal="left" vertical="center" wrapText="1"/>
    </xf>
    <xf numFmtId="0" fontId="4" fillId="2" borderId="45" applyAlignment="1" pivotButton="0" quotePrefix="0" xfId="0">
      <alignment horizontal="center" vertical="center" wrapText="1"/>
    </xf>
    <xf numFmtId="0" fontId="121" fillId="2" borderId="45" applyAlignment="1" pivotButton="0" quotePrefix="0" xfId="0">
      <alignment horizontal="left"/>
    </xf>
    <xf numFmtId="0" fontId="11" fillId="2" borderId="0" applyAlignment="1" pivotButton="0" quotePrefix="0" xfId="0">
      <alignment horizontal="center" wrapText="1"/>
    </xf>
    <xf numFmtId="0" fontId="0" fillId="2" borderId="0" applyAlignment="1" pivotButton="0" quotePrefix="0" xfId="0">
      <alignment vertical="center" wrapText="1"/>
    </xf>
    <xf numFmtId="0" fontId="57" fillId="2" borderId="109" applyAlignment="1" pivotButton="0" quotePrefix="0" xfId="0">
      <alignment horizontal="right"/>
    </xf>
    <xf numFmtId="0" fontId="4" fillId="2" borderId="66" applyAlignment="1" pivotButton="0" quotePrefix="0" xfId="0">
      <alignment horizontal="right"/>
    </xf>
    <xf numFmtId="0" fontId="57" fillId="2" borderId="46" applyAlignment="1" pivotButton="0" quotePrefix="0" xfId="0">
      <alignment horizontal="right"/>
    </xf>
    <xf numFmtId="0" fontId="4" fillId="2" borderId="58" applyAlignment="1" pivotButton="0" quotePrefix="0" xfId="0">
      <alignment horizontal="right"/>
    </xf>
    <xf numFmtId="0" fontId="57" fillId="2" borderId="50" applyAlignment="1" pivotButton="0" quotePrefix="0" xfId="0">
      <alignment horizontal="right"/>
    </xf>
    <xf numFmtId="0" fontId="4" fillId="2" borderId="110" applyAlignment="1" pivotButton="0" quotePrefix="0" xfId="0">
      <alignment horizontal="right"/>
    </xf>
    <xf numFmtId="0" fontId="4" fillId="2" borderId="23" applyAlignment="1" pivotButton="0" quotePrefix="0" xfId="0">
      <alignment horizontal="right"/>
    </xf>
    <xf numFmtId="0" fontId="4" fillId="2" borderId="40" pivotButton="0" quotePrefix="0" xfId="0"/>
    <xf numFmtId="4" fontId="121" fillId="2" borderId="0" pivotButton="0" quotePrefix="0" xfId="0"/>
    <xf numFmtId="0" fontId="4" fillId="2" borderId="5" applyAlignment="1" pivotButton="0" quotePrefix="0" xfId="0">
      <alignment horizontal="right"/>
    </xf>
    <xf numFmtId="0" fontId="4" fillId="2" borderId="41" pivotButton="0" quotePrefix="0" xfId="0"/>
    <xf numFmtId="0" fontId="107" fillId="2" borderId="5" applyAlignment="1" pivotButton="0" quotePrefix="0" xfId="0">
      <alignment horizontal="right" vertical="top"/>
    </xf>
    <xf numFmtId="0" fontId="108" fillId="2" borderId="41" pivotButton="0" quotePrefix="0" xfId="0"/>
    <xf numFmtId="0" fontId="108" fillId="2" borderId="41" applyAlignment="1" pivotButton="0" quotePrefix="0" xfId="0">
      <alignment vertical="top" wrapText="1"/>
    </xf>
    <xf numFmtId="0" fontId="107" fillId="2" borderId="5" applyAlignment="1" pivotButton="0" quotePrefix="0" xfId="0">
      <alignment horizontal="right"/>
    </xf>
    <xf numFmtId="4" fontId="121" fillId="2" borderId="0" applyAlignment="1" pivotButton="0" quotePrefix="0" xfId="0">
      <alignment horizontal="left" indent="1"/>
    </xf>
    <xf numFmtId="0" fontId="4" fillId="2" borderId="21" applyAlignment="1" pivotButton="0" quotePrefix="0" xfId="0">
      <alignment horizontal="right"/>
    </xf>
    <xf numFmtId="0" fontId="4" fillId="2" borderId="42" pivotButton="0" quotePrefix="0" xfId="0"/>
    <xf numFmtId="4" fontId="110" fillId="2" borderId="0" applyAlignment="1" pivotButton="0" quotePrefix="0" xfId="0">
      <alignment horizontal="left"/>
    </xf>
    <xf numFmtId="0" fontId="4" fillId="0" borderId="0" applyAlignment="1" pivotButton="0" quotePrefix="0" xfId="0">
      <alignment horizontal="right" wrapText="1"/>
    </xf>
    <xf numFmtId="0" fontId="6" fillId="0" borderId="0" applyAlignment="1" pivotButton="0" quotePrefix="0" xfId="0">
      <alignment horizontal="left" wrapText="1"/>
    </xf>
    <xf numFmtId="4" fontId="143" fillId="27" borderId="108" applyAlignment="1" pivotButton="0" quotePrefix="0" xfId="0">
      <alignment horizontal="center"/>
    </xf>
    <xf numFmtId="4" fontId="110" fillId="2" borderId="0" applyAlignment="1" pivotButton="0" quotePrefix="0" xfId="0">
      <alignment horizontal="left" indent="1"/>
    </xf>
    <xf numFmtId="3" fontId="110" fillId="27" borderId="68" applyAlignment="1" pivotButton="0" quotePrefix="0" xfId="0">
      <alignment horizontal="right"/>
    </xf>
    <xf numFmtId="3" fontId="110" fillId="2" borderId="0" applyAlignment="1" pivotButton="0" quotePrefix="0" xfId="0">
      <alignment horizontal="left" indent="1"/>
    </xf>
    <xf numFmtId="3" fontId="110" fillId="27" borderId="112" applyAlignment="1" pivotButton="0" quotePrefix="0" xfId="0">
      <alignment horizontal="right"/>
    </xf>
    <xf numFmtId="37" fontId="4" fillId="27" borderId="66" pivotButton="0" quotePrefix="0" xfId="0"/>
    <xf numFmtId="0" fontId="6" fillId="2" borderId="0" applyAlignment="1" pivotButton="0" quotePrefix="0" xfId="0">
      <alignment horizontal="left" indent="1"/>
    </xf>
    <xf numFmtId="37" fontId="6" fillId="27" borderId="58" pivotButton="0" quotePrefix="0" xfId="0"/>
    <xf numFmtId="0" fontId="6" fillId="2" borderId="0" applyAlignment="1" pivotButton="0" quotePrefix="0" xfId="0">
      <alignment horizontal="left" vertical="center" indent="1"/>
    </xf>
    <xf numFmtId="0" fontId="6" fillId="2" borderId="14" applyAlignment="1" pivotButton="0" quotePrefix="0" xfId="0">
      <alignment horizontal="left" indent="1"/>
    </xf>
    <xf numFmtId="37" fontId="6" fillId="27" borderId="58" applyAlignment="1" pivotButton="0" quotePrefix="0" xfId="0">
      <alignment horizontal="center"/>
    </xf>
    <xf numFmtId="4" fontId="121" fillId="2" borderId="55" applyAlignment="1" pivotButton="0" quotePrefix="0" xfId="0">
      <alignment horizontal="left" indent="1"/>
    </xf>
    <xf numFmtId="0" fontId="109" fillId="0" borderId="0" applyAlignment="1" pivotButton="0" quotePrefix="0" xfId="0">
      <alignment horizontal="right" vertical="center" wrapText="1"/>
    </xf>
    <xf numFmtId="0" fontId="110" fillId="0" borderId="0" applyAlignment="1" pivotButton="0" quotePrefix="0" xfId="0">
      <alignment horizontal="left"/>
    </xf>
    <xf numFmtId="0" fontId="0" fillId="15" borderId="37" applyAlignment="1" pivotButton="0" quotePrefix="0" xfId="0">
      <alignment horizontal="left" indent="1"/>
    </xf>
    <xf numFmtId="0" fontId="0" fillId="15" borderId="38" applyAlignment="1" pivotButton="0" quotePrefix="0" xfId="0">
      <alignment horizontal="left" indent="1"/>
    </xf>
    <xf numFmtId="0" fontId="4" fillId="2" borderId="8" applyAlignment="1" pivotButton="0" quotePrefix="0" xfId="0">
      <alignment horizontal="center" vertical="center" wrapText="1"/>
    </xf>
    <xf numFmtId="0" fontId="4" fillId="2" borderId="47" applyAlignment="1" pivotButton="0" quotePrefix="0" xfId="0">
      <alignment horizontal="right"/>
    </xf>
    <xf numFmtId="4" fontId="4" fillId="2" borderId="0" applyAlignment="1" pivotButton="0" quotePrefix="0" xfId="0">
      <alignment horizontal="center"/>
    </xf>
    <xf numFmtId="0" fontId="4" fillId="2" borderId="39" applyAlignment="1" pivotButton="0" quotePrefix="0" xfId="0">
      <alignment horizontal="right"/>
    </xf>
    <xf numFmtId="0" fontId="4" fillId="2" borderId="52" applyAlignment="1" pivotButton="0" quotePrefix="0" xfId="0">
      <alignment horizontal="right"/>
    </xf>
    <xf numFmtId="4" fontId="6" fillId="2" borderId="5" pivotButton="0" quotePrefix="0" xfId="0"/>
    <xf numFmtId="4" fontId="6" fillId="2" borderId="5" applyAlignment="1" pivotButton="0" quotePrefix="0" xfId="0">
      <alignment horizontal="right"/>
    </xf>
    <xf numFmtId="4" fontId="6" fillId="2" borderId="5" applyAlignment="1" pivotButton="0" quotePrefix="0" xfId="0">
      <alignment horizontal="center"/>
    </xf>
    <xf numFmtId="168" fontId="6" fillId="2" borderId="5" applyAlignment="1" pivotButton="0" quotePrefix="0" xfId="0">
      <alignment horizontal="right"/>
    </xf>
    <xf numFmtId="0" fontId="109" fillId="15" borderId="0" applyAlignment="1" pivotButton="0" quotePrefix="0" xfId="0">
      <alignment vertical="top"/>
    </xf>
    <xf numFmtId="4" fontId="109" fillId="15" borderId="0" pivotButton="0" quotePrefix="0" xfId="0"/>
    <xf numFmtId="0" fontId="109" fillId="2" borderId="0" applyAlignment="1" pivotButton="0" quotePrefix="0" xfId="0">
      <alignment vertical="center" wrapText="1"/>
    </xf>
    <xf numFmtId="0" fontId="4" fillId="2" borderId="137" applyAlignment="1" pivotButton="0" quotePrefix="0" xfId="0">
      <alignment horizontal="left" vertical="center" wrapText="1"/>
    </xf>
    <xf numFmtId="0" fontId="4" fillId="2" borderId="137" applyAlignment="1" pivotButton="0" quotePrefix="0" xfId="0">
      <alignment horizontal="center" vertical="center" wrapText="1"/>
    </xf>
    <xf numFmtId="0" fontId="121" fillId="2" borderId="137" applyAlignment="1" pivotButton="0" quotePrefix="0" xfId="0">
      <alignment horizontal="left"/>
    </xf>
    <xf numFmtId="0" fontId="4" fillId="2" borderId="0" applyAlignment="1" pivotButton="0" quotePrefix="0" xfId="0">
      <alignment horizontal="center" vertical="center" wrapText="1"/>
    </xf>
    <xf numFmtId="0" fontId="4" fillId="2" borderId="131" applyAlignment="1" pivotButton="0" quotePrefix="0" xfId="0">
      <alignment horizontal="center" wrapText="1"/>
    </xf>
    <xf numFmtId="0" fontId="4" fillId="2" borderId="0" applyAlignment="1" pivotButton="0" quotePrefix="0" xfId="0">
      <alignment horizontal="left" wrapText="1" indent="1"/>
    </xf>
    <xf numFmtId="4" fontId="4" fillId="27" borderId="150" applyAlignment="1" pivotButton="0" quotePrefix="0" xfId="0">
      <alignment horizontal="center"/>
    </xf>
    <xf numFmtId="4" fontId="6" fillId="2" borderId="0" applyAlignment="1" pivotButton="0" quotePrefix="0" xfId="0">
      <alignment horizontal="left" indent="1"/>
    </xf>
    <xf numFmtId="3" fontId="186" fillId="27" borderId="151" applyAlignment="1" pivotButton="0" quotePrefix="0" xfId="0">
      <alignment horizontal="right"/>
    </xf>
    <xf numFmtId="3" fontId="186" fillId="27" borderId="152" applyAlignment="1" pivotButton="0" quotePrefix="0" xfId="0">
      <alignment horizontal="right"/>
    </xf>
    <xf numFmtId="37" fontId="6" fillId="27" borderId="48" pivotButton="0" quotePrefix="0" xfId="0"/>
    <xf numFmtId="37" fontId="6" fillId="27" borderId="49" pivotButton="0" quotePrefix="0" xfId="0"/>
    <xf numFmtId="37" fontId="6" fillId="2" borderId="53" applyAlignment="1" pivotButton="0" quotePrefix="0" xfId="0">
      <alignment horizontal="right"/>
    </xf>
    <xf numFmtId="37" fontId="6" fillId="27" borderId="49" applyAlignment="1" pivotButton="0" quotePrefix="0" xfId="0">
      <alignment horizontal="center"/>
    </xf>
    <xf numFmtId="37" fontId="4" fillId="27" borderId="53" applyAlignment="1" pivotButton="0" quotePrefix="0" xfId="0">
      <alignment horizontal="right"/>
    </xf>
    <xf numFmtId="0" fontId="143" fillId="2" borderId="45" applyAlignment="1" pivotButton="0" quotePrefix="0" xfId="0">
      <alignment horizontal="left" vertical="center"/>
    </xf>
    <xf numFmtId="0" fontId="4" fillId="2" borderId="23" applyAlignment="1" pivotButton="0" quotePrefix="1" xfId="0">
      <alignment horizontal="right"/>
    </xf>
    <xf numFmtId="4" fontId="4" fillId="27" borderId="66" pivotButton="0" quotePrefix="0" xfId="0"/>
    <xf numFmtId="4" fontId="6" fillId="2" borderId="0" applyAlignment="1" pivotButton="0" quotePrefix="1" xfId="0">
      <alignment horizontal="left" indent="1"/>
    </xf>
    <xf numFmtId="0" fontId="4" fillId="2" borderId="5" applyAlignment="1" pivotButton="0" quotePrefix="1" xfId="0">
      <alignment horizontal="right"/>
    </xf>
    <xf numFmtId="4" fontId="4" fillId="27" borderId="58" pivotButton="0" quotePrefix="0" xfId="0"/>
    <xf numFmtId="4" fontId="6" fillId="2" borderId="0" pivotButton="0" quotePrefix="0" xfId="0"/>
    <xf numFmtId="0" fontId="107" fillId="2" borderId="5" applyAlignment="1" pivotButton="0" quotePrefix="1" xfId="0">
      <alignment horizontal="right" vertical="top"/>
    </xf>
    <xf numFmtId="4" fontId="4" fillId="27" borderId="58" applyAlignment="1" pivotButton="0" quotePrefix="1" xfId="0">
      <alignment horizontal="right" indent="1"/>
    </xf>
    <xf numFmtId="0" fontId="4" fillId="0" borderId="41" pivotButton="0" quotePrefix="0" xfId="0"/>
    <xf numFmtId="0" fontId="107" fillId="0" borderId="5" applyAlignment="1" pivotButton="0" quotePrefix="1" xfId="0">
      <alignment horizontal="right" vertical="top"/>
    </xf>
    <xf numFmtId="0" fontId="108" fillId="0" borderId="41" applyAlignment="1" pivotButton="0" quotePrefix="0" xfId="0">
      <alignment vertical="top" wrapText="1"/>
    </xf>
    <xf numFmtId="4" fontId="172" fillId="2" borderId="0" applyAlignment="1" pivotButton="0" quotePrefix="0" xfId="0">
      <alignment horizontal="center"/>
    </xf>
    <xf numFmtId="0" fontId="4" fillId="2" borderId="21" applyAlignment="1" pivotButton="0" quotePrefix="1" xfId="0">
      <alignment horizontal="right"/>
    </xf>
    <xf numFmtId="4" fontId="4" fillId="27" borderId="112" applyAlignment="1" pivotButton="0" quotePrefix="0" xfId="0">
      <alignment horizontal="right"/>
    </xf>
    <xf numFmtId="4" fontId="257" fillId="2" borderId="0" applyAlignment="1" pivotButton="0" quotePrefix="0" xfId="0">
      <alignment vertical="center" wrapText="1"/>
    </xf>
    <xf numFmtId="0" fontId="6" fillId="2" borderId="0" applyAlignment="1" pivotButton="0" quotePrefix="1" xfId="0">
      <alignment horizontal="left" indent="1"/>
    </xf>
    <xf numFmtId="0" fontId="110" fillId="2" borderId="0" applyAlignment="1" pivotButton="0" quotePrefix="0" xfId="0">
      <alignment horizontal="left" indent="1"/>
    </xf>
    <xf numFmtId="0" fontId="109" fillId="2" borderId="0" applyAlignment="1" pivotButton="0" quotePrefix="0" xfId="0">
      <alignment horizontal="left" indent="1"/>
    </xf>
    <xf numFmtId="0" fontId="158" fillId="23" borderId="0" applyAlignment="1" pivotButton="0" quotePrefix="0" xfId="0">
      <alignment vertical="center"/>
    </xf>
    <xf numFmtId="0" fontId="143" fillId="15" borderId="0" applyAlignment="1" pivotButton="0" quotePrefix="0" xfId="0">
      <alignment horizontal="left" indent="1"/>
    </xf>
    <xf numFmtId="0" fontId="44" fillId="15" borderId="5" applyAlignment="1" pivotButton="0" quotePrefix="0" xfId="0">
      <alignment horizontal="centerContinuous" vertical="top"/>
    </xf>
    <xf numFmtId="0" fontId="120" fillId="15" borderId="0" applyAlignment="1" pivotButton="0" quotePrefix="0" xfId="0">
      <alignment horizontal="centerContinuous"/>
    </xf>
    <xf numFmtId="0" fontId="120" fillId="15" borderId="20" applyAlignment="1" pivotButton="0" quotePrefix="0" xfId="0">
      <alignment horizontal="centerContinuous"/>
    </xf>
    <xf numFmtId="0" fontId="9" fillId="15" borderId="0" applyAlignment="1" pivotButton="0" quotePrefix="0" xfId="0">
      <alignment horizontal="centerContinuous"/>
    </xf>
    <xf numFmtId="0" fontId="0" fillId="15" borderId="5" applyAlignment="1" pivotButton="0" quotePrefix="0" xfId="0">
      <alignment horizontal="left" wrapText="1"/>
    </xf>
    <xf numFmtId="0" fontId="4" fillId="15" borderId="21" applyAlignment="1" pivotButton="0" quotePrefix="0" xfId="0">
      <alignment horizontal="centerContinuous"/>
    </xf>
    <xf numFmtId="0" fontId="0" fillId="15" borderId="21" applyAlignment="1" pivotButton="0" quotePrefix="0" xfId="0">
      <alignment horizontal="left" wrapText="1"/>
    </xf>
    <xf numFmtId="0" fontId="20" fillId="15" borderId="8" pivotButton="0" quotePrefix="0" xfId="0"/>
    <xf numFmtId="0" fontId="123" fillId="15" borderId="8" applyAlignment="1" pivotButton="0" quotePrefix="0" xfId="0">
      <alignment horizontal="center"/>
    </xf>
    <xf numFmtId="0" fontId="123" fillId="15" borderId="1" applyAlignment="1" pivotButton="0" quotePrefix="0" xfId="0">
      <alignment horizontal="center"/>
    </xf>
    <xf numFmtId="0" fontId="110" fillId="15" borderId="1" applyAlignment="1" pivotButton="0" quotePrefix="0" xfId="0">
      <alignment horizontal="center"/>
    </xf>
    <xf numFmtId="0" fontId="0" fillId="15" borderId="1" applyAlignment="1" pivotButton="0" quotePrefix="0" xfId="0">
      <alignment horizontal="center" vertical="center"/>
    </xf>
    <xf numFmtId="0" fontId="47" fillId="23" borderId="0" applyAlignment="1" pivotButton="0" quotePrefix="0" xfId="0">
      <alignment vertical="center"/>
    </xf>
    <xf numFmtId="0" fontId="47" fillId="15" borderId="25" applyAlignment="1" pivotButton="0" quotePrefix="0" xfId="0">
      <alignment horizontal="left" vertical="center"/>
    </xf>
    <xf numFmtId="0" fontId="47" fillId="15" borderId="25" applyAlignment="1" pivotButton="0" quotePrefix="0" xfId="0">
      <alignment horizontal="center" vertical="center"/>
    </xf>
    <xf numFmtId="0" fontId="47" fillId="0" borderId="0" applyAlignment="1" pivotButton="0" quotePrefix="0" xfId="0">
      <alignment vertical="center"/>
    </xf>
    <xf numFmtId="0" fontId="0" fillId="15" borderId="8" applyAlignment="1" pivotButton="0" quotePrefix="0" xfId="0">
      <alignment horizontal="center" vertical="center"/>
    </xf>
    <xf numFmtId="0" fontId="0" fillId="15" borderId="3" applyAlignment="1" pivotButton="0" quotePrefix="0" xfId="0">
      <alignment horizontal="center" vertical="center"/>
    </xf>
    <xf numFmtId="0" fontId="0" fillId="0" borderId="30" pivotButton="0" quotePrefix="0" xfId="0"/>
    <xf numFmtId="0" fontId="6" fillId="15" borderId="15" applyAlignment="1" pivotButton="0" quotePrefix="0" xfId="0">
      <alignment horizontal="center"/>
    </xf>
    <xf numFmtId="0" fontId="0" fillId="15" borderId="39" pivotButton="0" quotePrefix="0" xfId="0"/>
    <xf numFmtId="0" fontId="0" fillId="0" borderId="3" pivotButton="0" quotePrefix="0" xfId="0"/>
    <xf numFmtId="0" fontId="6" fillId="0" borderId="109" applyAlignment="1" pivotButton="0" quotePrefix="0" xfId="0">
      <alignment horizontal="right"/>
    </xf>
    <xf numFmtId="0" fontId="6" fillId="0" borderId="43" applyAlignment="1" pivotButton="0" quotePrefix="0" xfId="0">
      <alignment horizontal="right"/>
    </xf>
    <xf numFmtId="0" fontId="6" fillId="0" borderId="66" applyAlignment="1" pivotButton="0" quotePrefix="0" xfId="0">
      <alignment horizontal="right"/>
    </xf>
    <xf numFmtId="0" fontId="173" fillId="15" borderId="0" applyAlignment="1" pivotButton="0" quotePrefix="0" xfId="0">
      <alignment horizontal="left" vertical="center"/>
    </xf>
    <xf numFmtId="0" fontId="0" fillId="0" borderId="46" pivotButton="0" quotePrefix="0" xfId="0"/>
    <xf numFmtId="0" fontId="0" fillId="0" borderId="58" pivotButton="0" quotePrefix="0" xfId="0"/>
    <xf numFmtId="0" fontId="0" fillId="0" borderId="50" pivotButton="0" quotePrefix="0" xfId="0"/>
    <xf numFmtId="0" fontId="0" fillId="0" borderId="51" pivotButton="0" quotePrefix="0" xfId="0"/>
    <xf numFmtId="0" fontId="0" fillId="0" borderId="110" pivotButton="0" quotePrefix="0" xfId="0"/>
    <xf numFmtId="0" fontId="0" fillId="15" borderId="10" pivotButton="0" quotePrefix="0" xfId="0"/>
    <xf numFmtId="0" fontId="47" fillId="15" borderId="0" applyAlignment="1" pivotButton="0" quotePrefix="0" xfId="0">
      <alignment horizontal="left" vertical="top"/>
    </xf>
    <xf numFmtId="0" fontId="6" fillId="0" borderId="0" applyAlignment="1" pivotButton="0" quotePrefix="0" xfId="0">
      <alignment vertical="top"/>
    </xf>
    <xf numFmtId="0" fontId="6" fillId="0" borderId="0" applyAlignment="1" pivotButton="0" quotePrefix="0" xfId="0">
      <alignment horizontal="center" vertical="top"/>
    </xf>
    <xf numFmtId="0" fontId="14" fillId="15" borderId="7" applyAlignment="1" pivotButton="0" quotePrefix="0" xfId="0">
      <alignment horizontal="left"/>
    </xf>
    <xf numFmtId="0" fontId="6" fillId="15" borderId="7" applyAlignment="1" pivotButton="0" quotePrefix="0" xfId="0">
      <alignment horizontal="left"/>
    </xf>
    <xf numFmtId="0" fontId="11" fillId="15" borderId="7" applyAlignment="1" pivotButton="0" quotePrefix="0" xfId="0">
      <alignment horizontal="right" vertical="center"/>
    </xf>
    <xf numFmtId="0" fontId="6" fillId="15" borderId="36" applyAlignment="1" pivotButton="0" quotePrefix="0" xfId="0">
      <alignment horizontal="left" vertical="center"/>
    </xf>
    <xf numFmtId="0" fontId="167" fillId="0" borderId="0" applyAlignment="1" pivotButton="0" quotePrefix="0" xfId="0">
      <alignment vertical="top" wrapText="1"/>
    </xf>
    <xf numFmtId="0" fontId="11" fillId="15" borderId="0" applyAlignment="1" pivotButton="0" quotePrefix="0" xfId="0">
      <alignment horizontal="right" vertical="center"/>
    </xf>
    <xf numFmtId="0" fontId="11" fillId="15" borderId="1" applyAlignment="1" pivotButton="0" quotePrefix="0" xfId="0">
      <alignment horizontal="right" vertical="center"/>
    </xf>
    <xf numFmtId="0" fontId="6" fillId="15" borderId="11" applyAlignment="1" pivotButton="0" quotePrefix="0" xfId="0">
      <alignment horizontal="left" vertical="center"/>
    </xf>
    <xf numFmtId="0" fontId="47" fillId="15" borderId="1" applyAlignment="1" pivotButton="0" quotePrefix="0" xfId="0">
      <alignment horizontal="left"/>
    </xf>
    <xf numFmtId="0" fontId="11" fillId="15" borderId="8" applyAlignment="1" pivotButton="0" quotePrefix="0" xfId="0">
      <alignment horizontal="left"/>
    </xf>
    <xf numFmtId="0" fontId="14" fillId="15" borderId="8" applyAlignment="1" pivotButton="0" quotePrefix="0" xfId="0">
      <alignment horizontal="left"/>
    </xf>
    <xf numFmtId="0" fontId="6" fillId="15" borderId="8" applyAlignment="1" pivotButton="0" quotePrefix="0" xfId="0">
      <alignment horizontal="left" vertical="center"/>
    </xf>
    <xf numFmtId="0" fontId="210" fillId="15" borderId="8" applyAlignment="1" pivotButton="0" quotePrefix="0" xfId="0">
      <alignment horizontal="left" vertical="center"/>
    </xf>
    <xf numFmtId="0" fontId="6" fillId="15" borderId="14" applyAlignment="1" pivotButton="0" quotePrefix="0" xfId="0">
      <alignment horizontal="left" vertical="center"/>
    </xf>
    <xf numFmtId="0" fontId="6" fillId="15" borderId="24" applyAlignment="1" pivotButton="0" quotePrefix="0" xfId="0">
      <alignment horizontal="left" vertical="center"/>
    </xf>
    <xf numFmtId="37" fontId="15" fillId="27" borderId="1" applyAlignment="1" pivotButton="0" quotePrefix="0" xfId="0">
      <alignment horizontal="right" vertical="center"/>
    </xf>
    <xf numFmtId="37" fontId="15" fillId="27" borderId="11" applyAlignment="1" pivotButton="0" quotePrefix="0" xfId="0">
      <alignment horizontal="right" vertical="center"/>
    </xf>
    <xf numFmtId="37" fontId="15" fillId="27" borderId="39" applyAlignment="1" pivotButton="0" quotePrefix="0" xfId="0">
      <alignment horizontal="right" vertical="center"/>
    </xf>
    <xf numFmtId="37" fontId="15" fillId="27" borderId="25" applyAlignment="1" pivotButton="0" quotePrefix="0" xfId="0">
      <alignment horizontal="right" vertical="center"/>
    </xf>
    <xf numFmtId="3" fontId="15" fillId="15" borderId="30" applyAlignment="1" pivotButton="0" quotePrefix="0" xfId="0">
      <alignment horizontal="right" vertical="center"/>
    </xf>
    <xf numFmtId="3" fontId="15" fillId="15" borderId="14" applyAlignment="1" pivotButton="0" quotePrefix="0" xfId="0">
      <alignment horizontal="right" vertical="center"/>
    </xf>
    <xf numFmtId="3" fontId="15" fillId="15" borderId="3" applyAlignment="1" pivotButton="0" quotePrefix="0" xfId="0">
      <alignment horizontal="right" vertical="center"/>
    </xf>
    <xf numFmtId="3" fontId="15" fillId="15" borderId="0" applyAlignment="1" pivotButton="0" quotePrefix="0" xfId="0">
      <alignment horizontal="right" vertical="center"/>
    </xf>
    <xf numFmtId="3" fontId="15" fillId="15" borderId="24" applyAlignment="1" pivotButton="0" quotePrefix="0" xfId="0">
      <alignment horizontal="right" vertical="center"/>
    </xf>
    <xf numFmtId="3" fontId="10" fillId="0" borderId="12" applyAlignment="1" pivotButton="0" quotePrefix="1" xfId="0">
      <alignment horizontal="center"/>
    </xf>
    <xf numFmtId="37" fontId="15" fillId="27" borderId="9" applyAlignment="1" pivotButton="0" quotePrefix="0" xfId="0">
      <alignment horizontal="left" vertical="center"/>
    </xf>
    <xf numFmtId="0" fontId="208" fillId="15" borderId="0" applyAlignment="1" pivotButton="0" quotePrefix="0" xfId="0">
      <alignment horizontal="left"/>
    </xf>
    <xf numFmtId="0" fontId="14" fillId="15" borderId="4" applyAlignment="1" pivotButton="0" quotePrefix="0" xfId="0">
      <alignment horizontal="right" vertical="center" wrapText="1" indent="1"/>
    </xf>
    <xf numFmtId="0" fontId="0" fillId="15" borderId="4" applyAlignment="1" pivotButton="0" quotePrefix="0" xfId="0">
      <alignment horizontal="right" vertical="center" wrapText="1" indent="1"/>
    </xf>
    <xf numFmtId="0" fontId="47" fillId="15" borderId="4" applyAlignment="1" pivotButton="0" quotePrefix="0" xfId="0">
      <alignment horizontal="left" vertical="center"/>
    </xf>
    <xf numFmtId="0" fontId="6" fillId="15" borderId="4" applyAlignment="1" pivotButton="0" quotePrefix="0" xfId="0">
      <alignment horizontal="left" vertical="center"/>
    </xf>
    <xf numFmtId="0" fontId="11" fillId="15" borderId="4" applyAlignment="1" pivotButton="0" quotePrefix="0" xfId="0">
      <alignment horizontal="center" vertical="center"/>
    </xf>
    <xf numFmtId="3" fontId="15" fillId="15" borderId="4" applyAlignment="1" pivotButton="0" quotePrefix="0" xfId="0">
      <alignment horizontal="right" vertical="center"/>
    </xf>
    <xf numFmtId="0" fontId="4" fillId="15" borderId="0" applyAlignment="1" pivotButton="0" quotePrefix="0" xfId="0">
      <alignment horizontal="left" vertical="center" indent="1"/>
    </xf>
    <xf numFmtId="0" fontId="0" fillId="15" borderId="0" applyAlignment="1" pivotButton="0" quotePrefix="0" xfId="0">
      <alignment horizontal="right" vertical="center" wrapText="1" indent="1"/>
    </xf>
    <xf numFmtId="0" fontId="167" fillId="2" borderId="1" applyAlignment="1" pivotButton="0" quotePrefix="0" xfId="0">
      <alignment horizontal="left"/>
    </xf>
    <xf numFmtId="0" fontId="143" fillId="15" borderId="1" applyAlignment="1" pivotButton="0" quotePrefix="0" xfId="0">
      <alignment horizontal="left" indent="1"/>
    </xf>
    <xf numFmtId="0" fontId="6" fillId="15" borderId="1" applyAlignment="1" pivotButton="0" quotePrefix="0" xfId="0">
      <alignment horizontal="right"/>
    </xf>
    <xf numFmtId="0" fontId="15" fillId="15" borderId="54" applyAlignment="1" pivotButton="0" quotePrefix="0" xfId="0">
      <alignment horizontal="center"/>
    </xf>
    <xf numFmtId="0" fontId="0" fillId="19" borderId="39" pivotButton="0" quotePrefix="0" xfId="0"/>
    <xf numFmtId="0" fontId="0" fillId="19" borderId="54" pivotButton="0" quotePrefix="0" xfId="0"/>
    <xf numFmtId="37" fontId="4" fillId="27" borderId="30" applyAlignment="1" pivotButton="0" quotePrefix="0" xfId="0">
      <alignment horizontal="right" indent="1"/>
    </xf>
    <xf numFmtId="37" fontId="4" fillId="27" borderId="8" applyAlignment="1" pivotButton="0" quotePrefix="0" xfId="0">
      <alignment horizontal="right" indent="1"/>
    </xf>
    <xf numFmtId="0" fontId="15" fillId="15" borderId="4" applyAlignment="1" pivotButton="0" quotePrefix="0" xfId="0">
      <alignment horizontal="center"/>
    </xf>
    <xf numFmtId="0" fontId="47" fillId="15" borderId="4" applyAlignment="1" pivotButton="0" quotePrefix="0" xfId="0">
      <alignment vertical="center"/>
    </xf>
    <xf numFmtId="0" fontId="0" fillId="19" borderId="67" pivotButton="0" quotePrefix="0" xfId="0"/>
    <xf numFmtId="0" fontId="0" fillId="23" borderId="39" pivotButton="0" quotePrefix="0" xfId="0"/>
    <xf numFmtId="0" fontId="0" fillId="23" borderId="25" pivotButton="0" quotePrefix="0" xfId="0"/>
    <xf numFmtId="0" fontId="0" fillId="23" borderId="68" pivotButton="0" quotePrefix="0" xfId="0"/>
    <xf numFmtId="37" fontId="4" fillId="27" borderId="25" applyAlignment="1" pivotButton="0" quotePrefix="0" xfId="0">
      <alignment horizontal="center"/>
    </xf>
    <xf numFmtId="0" fontId="20" fillId="15" borderId="25" pivotButton="0" quotePrefix="0" xfId="0"/>
    <xf numFmtId="0" fontId="0" fillId="0" borderId="36" applyAlignment="1" pivotButton="0" quotePrefix="0" xfId="0">
      <alignment horizontal="center"/>
    </xf>
    <xf numFmtId="0" fontId="47" fillId="15" borderId="1" applyAlignment="1" pivotButton="0" quotePrefix="0" xfId="0">
      <alignment horizontal="left" vertical="top"/>
    </xf>
    <xf numFmtId="0" fontId="6" fillId="15" borderId="1" applyAlignment="1" pivotButton="0" quotePrefix="0" xfId="0">
      <alignment horizontal="left" vertical="top"/>
    </xf>
    <xf numFmtId="0" fontId="14" fillId="15" borderId="1" applyAlignment="1" pivotButton="0" quotePrefix="0" xfId="0">
      <alignment horizontal="left" vertical="top"/>
    </xf>
    <xf numFmtId="0" fontId="4" fillId="15" borderId="1" applyAlignment="1" pivotButton="0" quotePrefix="0" xfId="0">
      <alignment horizontal="right" vertical="center"/>
    </xf>
    <xf numFmtId="0" fontId="11" fillId="15" borderId="3" applyAlignment="1" pivotButton="0" quotePrefix="0" xfId="0">
      <alignment horizontal="center"/>
    </xf>
    <xf numFmtId="0" fontId="0" fillId="0" borderId="24" applyAlignment="1" pivotButton="0" quotePrefix="0" xfId="0">
      <alignment horizontal="center"/>
    </xf>
    <xf numFmtId="0" fontId="15" fillId="15" borderId="8" pivotButton="0" quotePrefix="0" xfId="0"/>
    <xf numFmtId="0" fontId="123" fillId="15" borderId="11" applyAlignment="1" pivotButton="0" quotePrefix="0" xfId="0">
      <alignment horizontal="center"/>
    </xf>
    <xf numFmtId="0" fontId="47" fillId="15" borderId="8" applyAlignment="1" pivotButton="0" quotePrefix="0" xfId="0">
      <alignment vertical="center"/>
    </xf>
    <xf numFmtId="0" fontId="0" fillId="19" borderId="8" pivotButton="0" quotePrefix="0" xfId="0"/>
    <xf numFmtId="0" fontId="11" fillId="15" borderId="30" applyAlignment="1" pivotButton="0" quotePrefix="0" xfId="0">
      <alignment horizontal="center"/>
    </xf>
    <xf numFmtId="37" fontId="4" fillId="15" borderId="30" pivotButton="0" quotePrefix="0" xfId="0"/>
    <xf numFmtId="0" fontId="314" fillId="2" borderId="0" pivotButton="0" quotePrefix="0" xfId="0"/>
    <xf numFmtId="0" fontId="314" fillId="2" borderId="0" applyAlignment="1" pivotButton="0" quotePrefix="0" xfId="0">
      <alignment vertical="top"/>
    </xf>
    <xf numFmtId="0" fontId="339" fillId="15" borderId="0" pivotButton="0" quotePrefix="0" xfId="0"/>
    <xf numFmtId="0" fontId="14" fillId="15" borderId="1" applyAlignment="1" pivotButton="0" quotePrefix="0" xfId="0">
      <alignment horizontal="center" vertical="center" wrapText="1"/>
    </xf>
    <xf numFmtId="0" fontId="11" fillId="15" borderId="25" applyAlignment="1" pivotButton="0" quotePrefix="0" xfId="0">
      <alignment horizontal="center"/>
    </xf>
    <xf numFmtId="0" fontId="11" fillId="15" borderId="8" applyAlignment="1" pivotButton="0" quotePrefix="0" xfId="0">
      <alignment horizontal="center"/>
    </xf>
    <xf numFmtId="0" fontId="4" fillId="15" borderId="25" applyAlignment="1" pivotButton="0" quotePrefix="0" xfId="0">
      <alignment horizontal="center"/>
    </xf>
    <xf numFmtId="169" fontId="0" fillId="0" borderId="0" applyAlignment="1" pivotButton="0" quotePrefix="0" xfId="0">
      <alignment horizontal="center" vertical="top" wrapText="1"/>
    </xf>
    <xf numFmtId="0" fontId="11" fillId="15" borderId="0" applyAlignment="1" pivotButton="0" quotePrefix="0" xfId="0">
      <alignment horizontal="centerContinuous"/>
    </xf>
    <xf numFmtId="0" fontId="6" fillId="15" borderId="36" pivotButton="0" quotePrefix="0" xfId="0"/>
    <xf numFmtId="0" fontId="6" fillId="15" borderId="56" pivotButton="0" quotePrefix="0" xfId="0"/>
    <xf numFmtId="0" fontId="6" fillId="15" borderId="56" applyAlignment="1" pivotButton="0" quotePrefix="0" xfId="0">
      <alignment horizontal="left"/>
    </xf>
    <xf numFmtId="39" fontId="23" fillId="15" borderId="8" applyAlignment="1" pivotButton="0" quotePrefix="0" xfId="0">
      <alignment horizontal="left"/>
    </xf>
    <xf numFmtId="0" fontId="47" fillId="14" borderId="0" applyAlignment="1" pivotButton="0" quotePrefix="0" xfId="0">
      <alignment horizontal="right"/>
    </xf>
    <xf numFmtId="0" fontId="11" fillId="15" borderId="25" applyAlignment="1" pivotButton="0" quotePrefix="1" xfId="0">
      <alignment horizontal="center"/>
    </xf>
    <xf numFmtId="0" fontId="6" fillId="19" borderId="0" applyAlignment="1" pivotButton="0" quotePrefix="0" xfId="0">
      <alignment horizontal="center"/>
    </xf>
    <xf numFmtId="0" fontId="4" fillId="2" borderId="0" applyAlignment="1" pivotButton="0" quotePrefix="0" xfId="0">
      <alignment horizontal="left" vertical="center"/>
    </xf>
    <xf numFmtId="0" fontId="6" fillId="19" borderId="30" pivotButton="0" quotePrefix="0" xfId="0"/>
    <xf numFmtId="0" fontId="6" fillId="19" borderId="8" applyAlignment="1" pivotButton="0" quotePrefix="0" xfId="0">
      <alignment horizontal="center"/>
    </xf>
    <xf numFmtId="0" fontId="47" fillId="15" borderId="25" applyAlignment="1" pivotButton="0" quotePrefix="1" xfId="0">
      <alignment horizontal="left"/>
    </xf>
    <xf numFmtId="39" fontId="11" fillId="15" borderId="25" applyAlignment="1" pivotButton="0" quotePrefix="0" xfId="0">
      <alignment horizontal="left"/>
    </xf>
    <xf numFmtId="0" fontId="73" fillId="15" borderId="25" applyAlignment="1" pivotButton="0" quotePrefix="0" xfId="0">
      <alignment vertical="center"/>
    </xf>
    <xf numFmtId="0" fontId="241" fillId="15" borderId="25" applyAlignment="1" pivotButton="0" quotePrefix="0" xfId="0">
      <alignment vertical="center"/>
    </xf>
    <xf numFmtId="0" fontId="5" fillId="15" borderId="25" pivotButton="0" quotePrefix="0" xfId="0"/>
    <xf numFmtId="0" fontId="11" fillId="15" borderId="25" applyAlignment="1" pivotButton="0" quotePrefix="0" xfId="0">
      <alignment horizontal="centerContinuous" vertical="center"/>
    </xf>
    <xf numFmtId="0" fontId="4" fillId="0" borderId="25" applyAlignment="1" pivotButton="0" quotePrefix="0" xfId="0">
      <alignment horizontal="centerContinuous" vertical="center"/>
    </xf>
    <xf numFmtId="39" fontId="11" fillId="15" borderId="25" applyAlignment="1" pivotButton="0" quotePrefix="0" xfId="0">
      <alignment horizontal="centerContinuous"/>
    </xf>
    <xf numFmtId="0" fontId="73" fillId="15" borderId="25" applyAlignment="1" pivotButton="0" quotePrefix="0" xfId="0">
      <alignment horizontal="centerContinuous" vertical="center"/>
    </xf>
    <xf numFmtId="0" fontId="241" fillId="15" borderId="25" applyAlignment="1" pivotButton="0" quotePrefix="0" xfId="0">
      <alignment horizontal="centerContinuous" vertical="center"/>
    </xf>
    <xf numFmtId="0" fontId="5" fillId="15" borderId="25" applyAlignment="1" pivotButton="0" quotePrefix="0" xfId="0">
      <alignment horizontal="centerContinuous"/>
    </xf>
    <xf numFmtId="0" fontId="6" fillId="19" borderId="8" pivotButton="0" quotePrefix="0" xfId="0"/>
    <xf numFmtId="0" fontId="47" fillId="15" borderId="1" applyAlignment="1" pivotButton="0" quotePrefix="1" xfId="0">
      <alignment horizontal="center"/>
    </xf>
    <xf numFmtId="0" fontId="6" fillId="15" borderId="11" applyAlignment="1" pivotButton="0" quotePrefix="0" xfId="0">
      <alignment horizontal="center"/>
    </xf>
    <xf numFmtId="0" fontId="6" fillId="19" borderId="1" applyAlignment="1" pivotButton="0" quotePrefix="0" xfId="0">
      <alignment horizontal="center"/>
    </xf>
    <xf numFmtId="14" fontId="0" fillId="0" borderId="0" applyAlignment="1" pivotButton="0" quotePrefix="0" xfId="0">
      <alignment vertical="center"/>
    </xf>
    <xf numFmtId="0" fontId="14" fillId="15" borderId="25" applyAlignment="1" pivotButton="0" quotePrefix="0" xfId="0">
      <alignment horizontal="center" vertical="center"/>
    </xf>
    <xf numFmtId="0" fontId="11" fillId="15" borderId="8" applyAlignment="1" pivotButton="0" quotePrefix="0" xfId="0">
      <alignment horizontal="center" vertical="center" wrapText="1"/>
    </xf>
    <xf numFmtId="0" fontId="23" fillId="15" borderId="25" applyAlignment="1" pivotButton="0" quotePrefix="0" xfId="0">
      <alignment horizontal="centerContinuous" vertical="center"/>
    </xf>
    <xf numFmtId="0" fontId="11" fillId="15" borderId="25" applyAlignment="1" pivotButton="0" quotePrefix="0" xfId="0">
      <alignment horizontal="center" vertical="center"/>
    </xf>
    <xf numFmtId="0" fontId="14" fillId="15" borderId="31" applyAlignment="1" pivotButton="0" quotePrefix="0" xfId="0">
      <alignment horizontal="center" vertical="center"/>
    </xf>
    <xf numFmtId="0" fontId="47" fillId="15" borderId="0" applyAlignment="1" pivotButton="0" quotePrefix="1" xfId="0">
      <alignment horizontal="left"/>
    </xf>
    <xf numFmtId="0" fontId="11" fillId="15" borderId="14" applyAlignment="1" pivotButton="0" quotePrefix="0" xfId="0">
      <alignment horizontal="center"/>
    </xf>
    <xf numFmtId="0" fontId="40" fillId="15" borderId="4" applyAlignment="1" pivotButton="0" quotePrefix="0" xfId="0">
      <alignment horizontal="center" vertical="center"/>
    </xf>
    <xf numFmtId="0" fontId="254" fillId="15" borderId="4" applyAlignment="1" pivotButton="0" quotePrefix="0" xfId="0">
      <alignment vertical="center"/>
    </xf>
    <xf numFmtId="0" fontId="11" fillId="15" borderId="28" applyAlignment="1" pivotButton="0" quotePrefix="0" xfId="0">
      <alignment horizontal="center"/>
    </xf>
    <xf numFmtId="0" fontId="6" fillId="19" borderId="69" pivotButton="0" quotePrefix="0" xfId="0"/>
    <xf numFmtId="0" fontId="6" fillId="19" borderId="4" pivotButton="0" quotePrefix="0" xfId="0"/>
    <xf numFmtId="0" fontId="6" fillId="19" borderId="4" applyAlignment="1" pivotButton="0" quotePrefix="0" xfId="0">
      <alignment horizontal="center"/>
    </xf>
    <xf numFmtId="0" fontId="4" fillId="2" borderId="0" applyAlignment="1" pivotButton="0" quotePrefix="0" xfId="0">
      <alignment horizontal="left" vertical="top"/>
    </xf>
    <xf numFmtId="0" fontId="8" fillId="15" borderId="4" applyAlignment="1" pivotButton="0" quotePrefix="1" xfId="0">
      <alignment horizontal="left"/>
    </xf>
    <xf numFmtId="39" fontId="11" fillId="15" borderId="8" applyAlignment="1" pivotButton="0" quotePrefix="0" xfId="0">
      <alignment horizontal="left"/>
    </xf>
    <xf numFmtId="0" fontId="73" fillId="15" borderId="7" applyAlignment="1" pivotButton="0" quotePrefix="0" xfId="0">
      <alignment vertical="center"/>
    </xf>
    <xf numFmtId="0" fontId="14" fillId="15" borderId="0" applyAlignment="1" pivotButton="0" quotePrefix="1" xfId="0">
      <alignment horizontal="center"/>
    </xf>
    <xf numFmtId="49" fontId="120" fillId="15" borderId="0" applyAlignment="1" pivotButton="0" quotePrefix="0" xfId="0">
      <alignment horizontal="left"/>
    </xf>
    <xf numFmtId="0" fontId="188" fillId="15" borderId="0" applyAlignment="1" pivotButton="0" quotePrefix="0" xfId="0">
      <alignment vertical="center"/>
    </xf>
    <xf numFmtId="176" fontId="74" fillId="15" borderId="0" pivotButton="0" quotePrefix="0" xfId="0"/>
    <xf numFmtId="176" fontId="74" fillId="15" borderId="0" applyAlignment="1" pivotButton="0" quotePrefix="0" xfId="0">
      <alignment horizontal="center"/>
    </xf>
    <xf numFmtId="0" fontId="73" fillId="15" borderId="0" applyAlignment="1" pivotButton="0" quotePrefix="0" xfId="0">
      <alignment horizontal="centerContinuous" vertical="center"/>
    </xf>
    <xf numFmtId="0" fontId="4" fillId="0" borderId="0" applyAlignment="1" pivotButton="0" quotePrefix="0" xfId="0">
      <alignment horizontal="centerContinuous" vertical="center"/>
    </xf>
    <xf numFmtId="39" fontId="11" fillId="15" borderId="0" applyAlignment="1" pivotButton="0" quotePrefix="0" xfId="0">
      <alignment horizontal="centerContinuous"/>
    </xf>
    <xf numFmtId="0" fontId="241" fillId="15" borderId="0" applyAlignment="1" pivotButton="0" quotePrefix="0" xfId="0">
      <alignment horizontal="centerContinuous" vertical="center"/>
    </xf>
    <xf numFmtId="0" fontId="241" fillId="15" borderId="8" applyAlignment="1" pivotButton="0" quotePrefix="0" xfId="0">
      <alignment horizontal="centerContinuous" vertical="center"/>
    </xf>
    <xf numFmtId="0" fontId="23" fillId="15" borderId="0" applyAlignment="1" pivotButton="0" quotePrefix="0" xfId="0">
      <alignment horizontal="centerContinuous" vertical="center"/>
    </xf>
    <xf numFmtId="0" fontId="23" fillId="15" borderId="8" applyAlignment="1" pivotButton="0" quotePrefix="0" xfId="0">
      <alignment horizontal="centerContinuous" vertical="center"/>
    </xf>
    <xf numFmtId="0" fontId="5" fillId="15" borderId="8" applyAlignment="1" pivotButton="0" quotePrefix="0" xfId="0">
      <alignment horizontal="centerContinuous"/>
    </xf>
    <xf numFmtId="0" fontId="5" fillId="15" borderId="0" applyAlignment="1" pivotButton="0" quotePrefix="0" xfId="0">
      <alignment horizontal="centerContinuous"/>
    </xf>
    <xf numFmtId="0" fontId="6" fillId="15" borderId="0" applyAlignment="1" pivotButton="0" quotePrefix="1" xfId="0">
      <alignment horizontal="center" vertical="center"/>
    </xf>
    <xf numFmtId="0" fontId="6" fillId="15" borderId="24" applyAlignment="1" pivotButton="0" quotePrefix="0" xfId="0">
      <alignment vertical="center"/>
    </xf>
    <xf numFmtId="0" fontId="14" fillId="15" borderId="1" applyAlignment="1" pivotButton="0" quotePrefix="0" xfId="0">
      <alignment horizontal="left"/>
    </xf>
    <xf numFmtId="0" fontId="6" fillId="19" borderId="30" applyAlignment="1" pivotButton="0" quotePrefix="0" xfId="0">
      <alignment horizontal="center"/>
    </xf>
    <xf numFmtId="0" fontId="14" fillId="15" borderId="4" applyAlignment="1" pivotButton="0" quotePrefix="0" xfId="0">
      <alignment horizontal="left"/>
    </xf>
    <xf numFmtId="0" fontId="11" fillId="15" borderId="4" applyAlignment="1" pivotButton="0" quotePrefix="0" xfId="0">
      <alignment horizontal="center"/>
    </xf>
    <xf numFmtId="0" fontId="11" fillId="15" borderId="70" applyAlignment="1" pivotButton="0" quotePrefix="1" xfId="0">
      <alignment horizontal="right"/>
    </xf>
    <xf numFmtId="0" fontId="6" fillId="19" borderId="69" applyAlignment="1" pivotButton="0" quotePrefix="0" xfId="0">
      <alignment horizontal="center"/>
    </xf>
    <xf numFmtId="0" fontId="73" fillId="15" borderId="25" applyAlignment="1" pivotButton="0" quotePrefix="0" xfId="0">
      <alignment horizontal="center" vertical="center"/>
    </xf>
    <xf numFmtId="0" fontId="47" fillId="0" borderId="25" applyAlignment="1" pivotButton="0" quotePrefix="0" xfId="0">
      <alignment horizontal="left" vertical="center"/>
    </xf>
    <xf numFmtId="0" fontId="14" fillId="15" borderId="54" applyAlignment="1" pivotButton="0" quotePrefix="0" xfId="0">
      <alignment horizontal="center" vertical="center" wrapText="1"/>
    </xf>
    <xf numFmtId="0" fontId="169" fillId="15" borderId="39" applyAlignment="1" pivotButton="0" quotePrefix="0" xfId="0">
      <alignment horizontal="left" vertical="center" wrapText="1"/>
    </xf>
    <xf numFmtId="0" fontId="6" fillId="19" borderId="3" applyAlignment="1" pivotButton="0" quotePrefix="0" xfId="0">
      <alignment horizontal="center"/>
    </xf>
    <xf numFmtId="0" fontId="254" fillId="15" borderId="8" applyAlignment="1" pivotButton="0" quotePrefix="0" xfId="0">
      <alignment vertical="center"/>
    </xf>
    <xf numFmtId="0" fontId="6" fillId="19" borderId="9" applyAlignment="1" pivotButton="0" quotePrefix="0" xfId="0">
      <alignment horizontal="center"/>
    </xf>
    <xf numFmtId="0" fontId="14" fillId="15" borderId="25" applyAlignment="1" pivotButton="0" quotePrefix="0" xfId="0">
      <alignment horizontal="left"/>
    </xf>
    <xf numFmtId="0" fontId="254" fillId="15" borderId="25" applyAlignment="1" pivotButton="0" quotePrefix="0" xfId="0">
      <alignment vertical="center"/>
    </xf>
    <xf numFmtId="0" fontId="6" fillId="15" borderId="0" applyAlignment="1" pivotButton="0" quotePrefix="0" xfId="0">
      <alignment horizontal="centerContinuous"/>
    </xf>
    <xf numFmtId="0" fontId="47" fillId="15" borderId="0" applyAlignment="1" pivotButton="0" quotePrefix="0" xfId="0">
      <alignment horizontal="centerContinuous"/>
    </xf>
    <xf numFmtId="0" fontId="47" fillId="15" borderId="1" applyAlignment="1" pivotButton="0" quotePrefix="0" xfId="0">
      <alignment horizontal="center" vertical="center"/>
    </xf>
    <xf numFmtId="0" fontId="11" fillId="15" borderId="0" applyAlignment="1" pivotButton="0" quotePrefix="0" xfId="0">
      <alignment horizontal="center" vertical="top"/>
    </xf>
    <xf numFmtId="0" fontId="14" fillId="15" borderId="1" applyAlignment="1" pivotButton="0" quotePrefix="0" xfId="0">
      <alignment vertical="center"/>
    </xf>
    <xf numFmtId="39" fontId="14" fillId="15" borderId="0" pivotButton="0" quotePrefix="0" xfId="0"/>
    <xf numFmtId="39" fontId="14" fillId="15" borderId="0" applyAlignment="1" pivotButton="0" quotePrefix="0" xfId="0">
      <alignment vertical="top"/>
    </xf>
    <xf numFmtId="3" fontId="47" fillId="15" borderId="0" pivotButton="0" quotePrefix="0" xfId="0"/>
    <xf numFmtId="37" fontId="47" fillId="15" borderId="0" applyAlignment="1" pivotButton="0" quotePrefix="0" xfId="0">
      <alignment horizontal="right"/>
    </xf>
    <xf numFmtId="0" fontId="14" fillId="15" borderId="4" applyAlignment="1" pivotButton="0" quotePrefix="0" xfId="0">
      <alignment vertical="center"/>
    </xf>
    <xf numFmtId="0" fontId="6" fillId="15" borderId="4" applyAlignment="1" pivotButton="0" quotePrefix="1" xfId="0">
      <alignment horizontal="center"/>
    </xf>
    <xf numFmtId="37" fontId="47" fillId="14" borderId="4" applyAlignment="1" pivotButton="0" quotePrefix="0" xfId="0">
      <alignment horizontal="right"/>
    </xf>
    <xf numFmtId="37" fontId="47" fillId="15" borderId="4" applyAlignment="1" pivotButton="0" quotePrefix="0" xfId="0">
      <alignment horizontal="right"/>
    </xf>
    <xf numFmtId="39" fontId="11" fillId="15" borderId="25" applyAlignment="1" pivotButton="0" quotePrefix="0" xfId="0">
      <alignment horizontal="left" indent="1"/>
    </xf>
    <xf numFmtId="0" fontId="14" fillId="15" borderId="25" applyAlignment="1" pivotButton="0" quotePrefix="0" xfId="0">
      <alignment vertical="center"/>
    </xf>
    <xf numFmtId="0" fontId="14" fillId="15" borderId="8" applyAlignment="1" pivotButton="0" quotePrefix="0" xfId="0">
      <alignment vertical="center"/>
    </xf>
    <xf numFmtId="0" fontId="14" fillId="2" borderId="0" applyAlignment="1" pivotButton="0" quotePrefix="0" xfId="0">
      <alignment horizontal="center" vertical="top"/>
    </xf>
    <xf numFmtId="0" fontId="15" fillId="15" borderId="0" applyAlignment="1" pivotButton="0" quotePrefix="0" xfId="0">
      <alignment horizontal="centerContinuous"/>
    </xf>
    <xf numFmtId="170" fontId="5" fillId="0" borderId="12" applyAlignment="1" applyProtection="1" pivotButton="0" quotePrefix="0" xfId="0">
      <alignment horizontal="center"/>
      <protection locked="0" hidden="0"/>
    </xf>
    <xf numFmtId="168" fontId="5" fillId="0" borderId="12" applyProtection="1" pivotButton="0" quotePrefix="0" xfId="0">
      <protection locked="0" hidden="0"/>
    </xf>
    <xf numFmtId="168" fontId="0" fillId="0" borderId="0" applyProtection="1" pivotButton="0" quotePrefix="0" xfId="0">
      <protection locked="0" hidden="0"/>
    </xf>
    <xf numFmtId="39" fontId="11" fillId="15" borderId="0" applyAlignment="1" applyProtection="1" pivotButton="0" quotePrefix="0" xfId="0">
      <alignment horizontal="center"/>
      <protection locked="0" hidden="0"/>
    </xf>
    <xf numFmtId="39" fontId="0" fillId="15" borderId="0" applyAlignment="1" applyProtection="1" pivotButton="0" quotePrefix="0" xfId="0">
      <alignment horizontal="center"/>
      <protection locked="0" hidden="0"/>
    </xf>
    <xf numFmtId="39" fontId="5" fillId="0" borderId="12" applyAlignment="1" applyProtection="1" pivotButton="0" quotePrefix="0" xfId="0">
      <alignment horizontal="center"/>
      <protection locked="0" hidden="0"/>
    </xf>
    <xf numFmtId="39" fontId="0" fillId="0" borderId="0" applyAlignment="1" applyProtection="1" pivotButton="0" quotePrefix="0" xfId="0">
      <alignment horizontal="center" vertical="center"/>
      <protection locked="0" hidden="0"/>
    </xf>
    <xf numFmtId="39" fontId="5" fillId="0" borderId="0" applyAlignment="1" applyProtection="1" pivotButton="0" quotePrefix="0" xfId="0">
      <alignment horizontal="center"/>
      <protection locked="0" hidden="0"/>
    </xf>
    <xf numFmtId="39" fontId="0" fillId="0" borderId="0" applyAlignment="1" applyProtection="1" pivotButton="0" quotePrefix="0" xfId="0">
      <alignment horizontal="center" vertical="top"/>
      <protection locked="0" hidden="0"/>
    </xf>
    <xf numFmtId="168" fontId="11" fillId="15" borderId="0" applyAlignment="1" applyProtection="1" pivotButton="0" quotePrefix="0" xfId="0">
      <alignment horizontal="centerContinuous"/>
      <protection locked="0" hidden="0"/>
    </xf>
    <xf numFmtId="168" fontId="0" fillId="15" borderId="0" applyProtection="1" pivotButton="0" quotePrefix="0" xfId="0">
      <protection locked="0" hidden="0"/>
    </xf>
    <xf numFmtId="168" fontId="0" fillId="0" borderId="0" applyAlignment="1" applyProtection="1" pivotButton="0" quotePrefix="0" xfId="0">
      <alignment vertical="center"/>
      <protection locked="0" hidden="0"/>
    </xf>
    <xf numFmtId="168" fontId="5" fillId="0" borderId="0" applyProtection="1" pivotButton="0" quotePrefix="0" xfId="0">
      <protection locked="0" hidden="0"/>
    </xf>
    <xf numFmtId="168" fontId="0" fillId="0" borderId="0" applyAlignment="1" applyProtection="1" pivotButton="0" quotePrefix="0" xfId="0">
      <alignment vertical="top"/>
      <protection locked="0" hidden="0"/>
    </xf>
    <xf numFmtId="168" fontId="0" fillId="0" borderId="0" pivotButton="0" quotePrefix="0" xfId="0"/>
    <xf numFmtId="168" fontId="47" fillId="0" borderId="0" pivotButton="0" quotePrefix="0" xfId="0"/>
    <xf numFmtId="0" fontId="138" fillId="24" borderId="8" pivotButton="0" quotePrefix="0" xfId="0"/>
    <xf numFmtId="0" fontId="265" fillId="15" borderId="14" applyAlignment="1" pivotButton="0" quotePrefix="0" xfId="0">
      <alignment horizontal="center" vertical="top"/>
    </xf>
    <xf numFmtId="0" fontId="34" fillId="15" borderId="0" pivotButton="0" quotePrefix="0" xfId="0"/>
    <xf numFmtId="0" fontId="4" fillId="15" borderId="0" applyAlignment="1" pivotButton="0" quotePrefix="0" xfId="0">
      <alignment horizontal="left" vertical="center" indent="2"/>
    </xf>
    <xf numFmtId="0" fontId="40" fillId="15" borderId="0" applyAlignment="1" pivotButton="0" quotePrefix="0" xfId="0">
      <alignment vertical="center"/>
    </xf>
    <xf numFmtId="0" fontId="0" fillId="19" borderId="6" applyAlignment="1" pivotButton="0" quotePrefix="0" xfId="0">
      <alignment vertical="center"/>
    </xf>
    <xf numFmtId="0" fontId="11" fillId="15" borderId="0" applyAlignment="1" pivotButton="0" quotePrefix="1" xfId="0">
      <alignment horizontal="right" indent="1"/>
    </xf>
    <xf numFmtId="37" fontId="15" fillId="14" borderId="9" applyAlignment="1" pivotButton="0" quotePrefix="1" xfId="0">
      <alignment horizontal="center"/>
    </xf>
    <xf numFmtId="37" fontId="15" fillId="14" borderId="11" pivotButton="0" quotePrefix="1" xfId="0"/>
    <xf numFmtId="0" fontId="11" fillId="15" borderId="1" applyAlignment="1" pivotButton="0" quotePrefix="1" xfId="0">
      <alignment horizontal="right" indent="1"/>
    </xf>
    <xf numFmtId="0" fontId="303" fillId="15" borderId="0" applyAlignment="1" pivotButton="0" quotePrefix="0" xfId="0">
      <alignment vertical="center" wrapText="1"/>
    </xf>
    <xf numFmtId="0" fontId="244" fillId="15" borderId="24" applyAlignment="1" pivotButton="0" quotePrefix="0" xfId="0">
      <alignment vertical="top" wrapText="1"/>
    </xf>
    <xf numFmtId="0" fontId="14" fillId="15" borderId="0" applyAlignment="1" pivotButton="0" quotePrefix="0" xfId="0">
      <alignment horizontal="left" indent="1"/>
    </xf>
    <xf numFmtId="0" fontId="314" fillId="15" borderId="0" applyAlignment="1" pivotButton="0" quotePrefix="0" xfId="0">
      <alignment horizontal="center"/>
    </xf>
    <xf numFmtId="0" fontId="143" fillId="15" borderId="2" pivotButton="0" quotePrefix="0" xfId="0"/>
    <xf numFmtId="0" fontId="143" fillId="15" borderId="0" applyAlignment="1" pivotButton="0" quotePrefix="0" xfId="0">
      <alignment horizontal="center"/>
    </xf>
    <xf numFmtId="37" fontId="150" fillId="15" borderId="0" applyAlignment="1" pivotButton="0" quotePrefix="0" xfId="0">
      <alignment vertical="center" wrapText="1"/>
    </xf>
    <xf numFmtId="0" fontId="6" fillId="15" borderId="0" applyAlignment="1" pivotButton="0" quotePrefix="0" xfId="0">
      <alignment vertical="top" wrapText="1"/>
    </xf>
    <xf numFmtId="0" fontId="143" fillId="15" borderId="0" applyAlignment="1" pivotButton="0" quotePrefix="0" xfId="0">
      <alignment horizontal="center" vertical="center"/>
    </xf>
    <xf numFmtId="0" fontId="265" fillId="15" borderId="0" applyAlignment="1" pivotButton="0" quotePrefix="0" xfId="0">
      <alignment horizontal="center"/>
    </xf>
    <xf numFmtId="0" fontId="166" fillId="15" borderId="0" applyAlignment="1" pivotButton="0" quotePrefix="0" xfId="0">
      <alignment horizontal="center" vertical="top"/>
    </xf>
    <xf numFmtId="0" fontId="265" fillId="15" borderId="0" applyAlignment="1" pivotButton="0" quotePrefix="0" xfId="0">
      <alignment horizontal="center" vertical="top"/>
    </xf>
    <xf numFmtId="0" fontId="11" fillId="15" borderId="1" applyAlignment="1" pivotButton="0" quotePrefix="1" xfId="0">
      <alignment horizontal="center"/>
    </xf>
    <xf numFmtId="0" fontId="47" fillId="15" borderId="1" applyAlignment="1" pivotButton="0" quotePrefix="0" xfId="0">
      <alignment horizontal="right" indent="1"/>
    </xf>
    <xf numFmtId="3" fontId="143" fillId="15" borderId="0" applyAlignment="1" pivotButton="0" quotePrefix="0" xfId="0">
      <alignment horizontal="center"/>
    </xf>
    <xf numFmtId="3" fontId="146" fillId="15" borderId="0" pivotButton="0" quotePrefix="0" xfId="0"/>
    <xf numFmtId="0" fontId="143" fillId="15" borderId="7" pivotButton="0" quotePrefix="0" xfId="0"/>
    <xf numFmtId="0" fontId="143" fillId="15" borderId="36" pivotButton="0" quotePrefix="0" xfId="0"/>
    <xf numFmtId="0" fontId="150" fillId="15" borderId="1" applyAlignment="1" pivotButton="0" quotePrefix="0" xfId="0">
      <alignment vertical="center" wrapText="1"/>
    </xf>
    <xf numFmtId="0" fontId="244" fillId="15" borderId="11" applyAlignment="1" pivotButton="0" quotePrefix="0" xfId="0">
      <alignment vertical="top" wrapText="1"/>
    </xf>
    <xf numFmtId="0" fontId="6" fillId="15" borderId="0" applyAlignment="1" pivotButton="0" quotePrefix="0" xfId="0">
      <alignment horizontal="center" textRotation="90"/>
    </xf>
    <xf numFmtId="0" fontId="14" fillId="15" borderId="0" applyAlignment="1" pivotButton="0" quotePrefix="0" xfId="0">
      <alignment horizontal="right"/>
    </xf>
    <xf numFmtId="37" fontId="14" fillId="15" borderId="0" pivotButton="0" quotePrefix="0" xfId="0"/>
    <xf numFmtId="37" fontId="14" fillId="15" borderId="0" applyAlignment="1" pivotButton="0" quotePrefix="0" xfId="0">
      <alignment horizontal="right"/>
    </xf>
    <xf numFmtId="0" fontId="11" fillId="15" borderId="10" applyAlignment="1" pivotButton="0" quotePrefix="1" xfId="0">
      <alignment horizontal="center"/>
    </xf>
    <xf numFmtId="0" fontId="11" fillId="15" borderId="4" applyAlignment="1" pivotButton="0" quotePrefix="1" xfId="0">
      <alignment horizontal="center"/>
    </xf>
    <xf numFmtId="0" fontId="14" fillId="15" borderId="4" pivotButton="0" quotePrefix="0" xfId="0"/>
    <xf numFmtId="0" fontId="4" fillId="15" borderId="4" applyAlignment="1" pivotButton="0" quotePrefix="0" xfId="0">
      <alignment horizontal="left"/>
    </xf>
    <xf numFmtId="0" fontId="11" fillId="15" borderId="28" applyAlignment="1" pivotButton="0" quotePrefix="1" xfId="0">
      <alignment horizontal="center"/>
    </xf>
    <xf numFmtId="0" fontId="20" fillId="15" borderId="27" applyAlignment="1" pivotButton="0" quotePrefix="0" xfId="0">
      <alignment vertical="center"/>
    </xf>
    <xf numFmtId="0" fontId="143" fillId="15" borderId="0" applyAlignment="1" pivotButton="0" quotePrefix="0" xfId="0">
      <alignment vertical="top" wrapText="1"/>
    </xf>
    <xf numFmtId="0" fontId="265" fillId="15" borderId="24" applyAlignment="1" pivotButton="0" quotePrefix="0" xfId="0">
      <alignment horizontal="center"/>
    </xf>
    <xf numFmtId="0" fontId="150" fillId="15" borderId="3" applyAlignment="1" pivotButton="0" quotePrefix="0" xfId="0">
      <alignment vertical="center" wrapText="1"/>
    </xf>
    <xf numFmtId="0" fontId="6" fillId="15" borderId="24" applyAlignment="1" pivotButton="0" quotePrefix="0" xfId="0">
      <alignment horizontal="center" textRotation="90"/>
    </xf>
    <xf numFmtId="0" fontId="265" fillId="15" borderId="24" applyAlignment="1" pivotButton="0" quotePrefix="0" xfId="0">
      <alignment horizontal="center" vertical="top"/>
    </xf>
    <xf numFmtId="3" fontId="125" fillId="15" borderId="0" applyAlignment="1" pivotButton="0" quotePrefix="0" xfId="0">
      <alignment horizontal="center" vertical="center"/>
    </xf>
    <xf numFmtId="0" fontId="304" fillId="15" borderId="3" applyAlignment="1" pivotButton="0" quotePrefix="0" xfId="0">
      <alignment vertical="center" wrapText="1"/>
    </xf>
    <xf numFmtId="0" fontId="4" fillId="15" borderId="0" applyAlignment="1" pivotButton="0" quotePrefix="0" xfId="0">
      <alignment vertical="top"/>
    </xf>
    <xf numFmtId="0" fontId="306" fillId="15" borderId="0" applyAlignment="1" pivotButton="0" quotePrefix="0" xfId="0">
      <alignment horizontal="left" vertical="center" wrapText="1" indent="1"/>
    </xf>
    <xf numFmtId="0" fontId="306" fillId="15" borderId="0" applyAlignment="1" pivotButton="0" quotePrefix="0" xfId="0">
      <alignment horizontal="left" vertical="top" wrapText="1" indent="1"/>
    </xf>
    <xf numFmtId="0" fontId="304" fillId="15" borderId="0" applyAlignment="1" pivotButton="0" quotePrefix="0" xfId="0">
      <alignment wrapText="1"/>
    </xf>
    <xf numFmtId="0" fontId="150" fillId="15" borderId="0" applyAlignment="1" pivotButton="0" quotePrefix="0" xfId="0">
      <alignment wrapText="1"/>
    </xf>
    <xf numFmtId="0" fontId="11" fillId="15" borderId="7" pivotButton="0" quotePrefix="1" xfId="0"/>
    <xf numFmtId="0" fontId="11" fillId="15" borderId="4" pivotButton="0" quotePrefix="0" xfId="0"/>
    <xf numFmtId="0" fontId="11" fillId="15" borderId="4" pivotButton="0" quotePrefix="1" xfId="0"/>
    <xf numFmtId="0" fontId="10" fillId="2" borderId="7" applyAlignment="1" pivotButton="0" quotePrefix="0" xfId="0">
      <alignment horizontal="right"/>
    </xf>
    <xf numFmtId="0" fontId="44" fillId="15" borderId="13" applyAlignment="1" pivotButton="0" quotePrefix="0" xfId="0">
      <alignment horizontal="left"/>
    </xf>
    <xf numFmtId="0" fontId="146" fillId="15" borderId="0" applyAlignment="1" pivotButton="0" quotePrefix="0" xfId="0">
      <alignment horizontal="center" textRotation="90"/>
    </xf>
    <xf numFmtId="0" fontId="134" fillId="15" borderId="0" applyAlignment="1" pivotButton="0" quotePrefix="0" xfId="0">
      <alignment vertical="center" wrapText="1"/>
    </xf>
    <xf numFmtId="0" fontId="134" fillId="15" borderId="0" applyAlignment="1" pivotButton="0" quotePrefix="0" xfId="0">
      <alignment horizontal="right" vertical="center" wrapText="1" indent="1"/>
    </xf>
    <xf numFmtId="0" fontId="110" fillId="15" borderId="0" applyAlignment="1" pivotButton="0" quotePrefix="0" xfId="0">
      <alignment horizontal="left" vertical="center" wrapText="1"/>
    </xf>
    <xf numFmtId="0" fontId="146" fillId="15" borderId="0" applyAlignment="1" pivotButton="0" quotePrefix="0" xfId="0">
      <alignment horizontal="center"/>
    </xf>
    <xf numFmtId="0" fontId="14" fillId="15" borderId="0" applyAlignment="1" pivotButton="0" quotePrefix="0" xfId="0">
      <alignment vertical="top" wrapText="1"/>
    </xf>
    <xf numFmtId="0" fontId="47" fillId="15" borderId="0" applyAlignment="1" pivotButton="0" quotePrefix="0" xfId="0">
      <alignment horizontal="left" vertical="top" indent="1"/>
    </xf>
    <xf numFmtId="3" fontId="110" fillId="15" borderId="0" applyAlignment="1" pivotButton="0" quotePrefix="0" xfId="0">
      <alignment horizontal="right" vertical="center" indent="1"/>
    </xf>
    <xf numFmtId="0" fontId="304" fillId="15" borderId="9" applyAlignment="1" pivotButton="0" quotePrefix="0" xfId="0">
      <alignment vertical="center" wrapText="1"/>
    </xf>
    <xf numFmtId="0" fontId="14" fillId="15" borderId="1" applyAlignment="1" pivotButton="0" quotePrefix="0" xfId="0">
      <alignment vertical="top" wrapText="1"/>
    </xf>
    <xf numFmtId="0" fontId="125" fillId="2" borderId="0" applyAlignment="1" pivotButton="0" quotePrefix="0" xfId="0">
      <alignment vertical="center"/>
    </xf>
    <xf numFmtId="0" fontId="11" fillId="15" borderId="36" pivotButton="0" quotePrefix="1" xfId="0"/>
    <xf numFmtId="0" fontId="11" fillId="15" borderId="56" pivotButton="0" quotePrefix="1" xfId="0"/>
    <xf numFmtId="0" fontId="304" fillId="15" borderId="30" applyAlignment="1" pivotButton="0" quotePrefix="0" xfId="0">
      <alignment vertical="center" wrapText="1"/>
    </xf>
    <xf numFmtId="0" fontId="304" fillId="15" borderId="8" applyAlignment="1" pivotButton="0" quotePrefix="0" xfId="0">
      <alignment vertical="center" wrapText="1"/>
    </xf>
    <xf numFmtId="0" fontId="150" fillId="15" borderId="8" applyAlignment="1" pivotButton="0" quotePrefix="0" xfId="0">
      <alignment vertical="center" wrapText="1"/>
    </xf>
    <xf numFmtId="0" fontId="306" fillId="15" borderId="0" applyAlignment="1" pivotButton="0" quotePrefix="0" xfId="0">
      <alignment vertical="center" wrapText="1"/>
    </xf>
    <xf numFmtId="0" fontId="304" fillId="15" borderId="0" applyAlignment="1" pivotButton="0" quotePrefix="0" xfId="0">
      <alignment vertical="center" wrapText="1"/>
    </xf>
    <xf numFmtId="39" fontId="11" fillId="15" borderId="4" pivotButton="0" quotePrefix="1" xfId="0"/>
    <xf numFmtId="0" fontId="304" fillId="15" borderId="1" applyAlignment="1" pivotButton="0" quotePrefix="0" xfId="0">
      <alignment vertical="center" wrapText="1"/>
    </xf>
    <xf numFmtId="0" fontId="20" fillId="15" borderId="16" applyAlignment="1" pivotButton="0" quotePrefix="0" xfId="0">
      <alignment vertical="center"/>
    </xf>
    <xf numFmtId="0" fontId="0" fillId="15" borderId="34" pivotButton="0" quotePrefix="0" xfId="0"/>
    <xf numFmtId="0" fontId="74" fillId="15" borderId="34" applyAlignment="1" pivotButton="0" quotePrefix="0" xfId="0">
      <alignment vertical="center"/>
    </xf>
    <xf numFmtId="0" fontId="11" fillId="15" borderId="8" applyAlignment="1" pivotButton="0" quotePrefix="1" xfId="0">
      <alignment horizontal="center"/>
    </xf>
    <xf numFmtId="0" fontId="0" fillId="23" borderId="30" pivotButton="0" quotePrefix="0" xfId="0"/>
    <xf numFmtId="0" fontId="0" fillId="23" borderId="8" pivotButton="0" quotePrefix="0" xfId="0"/>
    <xf numFmtId="0" fontId="0" fillId="23" borderId="14" pivotButton="0" quotePrefix="0" xfId="0"/>
    <xf numFmtId="0" fontId="0" fillId="23" borderId="3" pivotButton="0" quotePrefix="0" xfId="0"/>
    <xf numFmtId="0" fontId="0" fillId="23" borderId="24" pivotButton="0" quotePrefix="0" xfId="0"/>
    <xf numFmtId="0" fontId="0" fillId="23" borderId="9" pivotButton="0" quotePrefix="0" xfId="0"/>
    <xf numFmtId="0" fontId="0" fillId="23" borderId="1" pivotButton="0" quotePrefix="0" xfId="0"/>
    <xf numFmtId="0" fontId="0" fillId="23" borderId="11" pivotButton="0" quotePrefix="0" xfId="0"/>
    <xf numFmtId="0" fontId="11" fillId="15" borderId="13" pivotButton="0" quotePrefix="0" xfId="0"/>
    <xf numFmtId="0" fontId="11" fillId="15" borderId="13" pivotButton="0" quotePrefix="1" xfId="0"/>
    <xf numFmtId="0" fontId="166" fillId="0" borderId="0" pivotButton="0" quotePrefix="0" xfId="0"/>
    <xf numFmtId="37" fontId="199" fillId="0" borderId="0" applyAlignment="1" pivotButton="0" quotePrefix="0" xfId="0">
      <alignment horizontal="right"/>
    </xf>
    <xf numFmtId="0" fontId="199" fillId="0" borderId="0" applyAlignment="1" pivotButton="0" quotePrefix="0" xfId="0">
      <alignment horizontal="center"/>
    </xf>
    <xf numFmtId="0" fontId="199" fillId="0" borderId="0" pivotButton="0" quotePrefix="0" xfId="0"/>
    <xf numFmtId="4" fontId="199" fillId="0" borderId="0" applyAlignment="1" pivotButton="0" quotePrefix="0" xfId="0">
      <alignment horizontal="right"/>
    </xf>
    <xf numFmtId="37" fontId="9" fillId="20" borderId="11" applyAlignment="1" applyProtection="1" pivotButton="0" quotePrefix="0" xfId="0">
      <alignment horizontal="right"/>
      <protection locked="0" hidden="0"/>
    </xf>
    <xf numFmtId="3" fontId="340" fillId="29" borderId="0" applyAlignment="1" pivotButton="0" quotePrefix="0" xfId="0">
      <alignment horizontal="center"/>
    </xf>
    <xf numFmtId="0" fontId="109" fillId="5" borderId="0" pivotButton="0" quotePrefix="0" xfId="0"/>
    <xf numFmtId="0" fontId="109" fillId="5" borderId="0" applyAlignment="1" pivotButton="0" quotePrefix="0" xfId="0">
      <alignment vertical="center"/>
    </xf>
    <xf numFmtId="0" fontId="11" fillId="3" borderId="0" applyAlignment="1" pivotButton="0" quotePrefix="0" xfId="0">
      <alignment vertical="center"/>
    </xf>
    <xf numFmtId="0" fontId="9" fillId="3" borderId="20" applyAlignment="1" pivotButton="0" quotePrefix="0" xfId="0">
      <alignment vertical="center"/>
    </xf>
    <xf numFmtId="0" fontId="9" fillId="3" borderId="0" applyAlignment="1" pivotButton="0" quotePrefix="0" xfId="0">
      <alignment vertical="center"/>
    </xf>
    <xf numFmtId="0" fontId="172" fillId="3" borderId="5" applyAlignment="1" pivotButton="0" quotePrefix="0" xfId="0">
      <alignment horizontal="center" vertical="center"/>
    </xf>
    <xf numFmtId="0" fontId="167" fillId="15" borderId="20" applyAlignment="1" pivotButton="0" quotePrefix="0" xfId="0">
      <alignment horizontal="center" vertical="center"/>
    </xf>
    <xf numFmtId="4" fontId="16" fillId="2" borderId="0" applyAlignment="1" pivotButton="0" quotePrefix="0" xfId="0">
      <alignment vertical="center"/>
    </xf>
    <xf numFmtId="0" fontId="4" fillId="5" borderId="0" applyAlignment="1" pivotButton="0" quotePrefix="0" xfId="0">
      <alignment vertical="center"/>
    </xf>
    <xf numFmtId="4" fontId="8" fillId="0" borderId="0" applyAlignment="1" pivotButton="0" quotePrefix="0" xfId="0">
      <alignment vertical="center"/>
    </xf>
    <xf numFmtId="0" fontId="12" fillId="0" borderId="0" applyAlignment="1" pivotButton="0" quotePrefix="0" xfId="0">
      <alignment vertical="center"/>
    </xf>
    <xf numFmtId="0" fontId="9" fillId="3" borderId="20" pivotButton="0" quotePrefix="0" xfId="0"/>
    <xf numFmtId="0" fontId="205" fillId="3" borderId="5" applyAlignment="1" pivotButton="0" quotePrefix="0" xfId="0">
      <alignment horizontal="left" vertical="center"/>
    </xf>
    <xf numFmtId="0" fontId="74" fillId="15" borderId="20" applyAlignment="1" pivotButton="0" quotePrefix="0" xfId="0">
      <alignment vertical="center"/>
    </xf>
    <xf numFmtId="0" fontId="8" fillId="21" borderId="0" pivotButton="0" quotePrefix="0" xfId="0"/>
    <xf numFmtId="0" fontId="172" fillId="3" borderId="0" applyAlignment="1" pivotButton="0" quotePrefix="0" xfId="0">
      <alignment horizontal="left" vertical="center"/>
    </xf>
    <xf numFmtId="0" fontId="8" fillId="14" borderId="5" applyAlignment="1" pivotButton="0" quotePrefix="0" xfId="0">
      <alignment vertical="center"/>
    </xf>
    <xf numFmtId="0" fontId="8" fillId="14" borderId="0" applyAlignment="1" pivotButton="0" quotePrefix="0" xfId="0">
      <alignment horizontal="left"/>
    </xf>
    <xf numFmtId="0" fontId="10" fillId="21" borderId="0" pivotButton="0" quotePrefix="0" xfId="0"/>
    <xf numFmtId="0" fontId="8" fillId="15" borderId="5" applyAlignment="1" pivotButton="0" quotePrefix="0" xfId="0">
      <alignment vertical="center"/>
    </xf>
    <xf numFmtId="0" fontId="8" fillId="15" borderId="13" applyAlignment="1" pivotButton="0" quotePrefix="0" xfId="0">
      <alignment horizontal="right" vertical="top"/>
    </xf>
    <xf numFmtId="4" fontId="10" fillId="15" borderId="0" pivotButton="0" quotePrefix="0" xfId="0"/>
    <xf numFmtId="4" fontId="10" fillId="21" borderId="0" pivotButton="0" quotePrefix="0" xfId="0"/>
    <xf numFmtId="0" fontId="11" fillId="28" borderId="1" pivotButton="0" quotePrefix="1" xfId="0"/>
    <xf numFmtId="0" fontId="9" fillId="28" borderId="1" pivotButton="0" quotePrefix="1" xfId="0"/>
    <xf numFmtId="0" fontId="10" fillId="3" borderId="7" applyAlignment="1" pivotButton="0" quotePrefix="0" xfId="0">
      <alignment vertical="top"/>
    </xf>
    <xf numFmtId="0" fontId="12" fillId="3" borderId="7" applyAlignment="1" pivotButton="0" quotePrefix="0" xfId="0">
      <alignment horizontal="centerContinuous" vertical="top"/>
    </xf>
    <xf numFmtId="0" fontId="0" fillId="3" borderId="7" applyAlignment="1" pivotButton="0" quotePrefix="0" xfId="0">
      <alignment horizontal="centerContinuous"/>
    </xf>
    <xf numFmtId="4" fontId="0" fillId="3" borderId="7" applyAlignment="1" pivotButton="0" quotePrefix="0" xfId="0">
      <alignment horizontal="centerContinuous"/>
    </xf>
    <xf numFmtId="0" fontId="4" fillId="3" borderId="7" applyAlignment="1" pivotButton="0" quotePrefix="0" xfId="0">
      <alignment horizontal="centerContinuous"/>
    </xf>
    <xf numFmtId="0" fontId="8" fillId="15" borderId="7" applyAlignment="1" pivotButton="0" quotePrefix="0" xfId="0">
      <alignment horizontal="right" vertical="top"/>
    </xf>
    <xf numFmtId="0" fontId="20" fillId="15" borderId="7" applyAlignment="1" pivotButton="0" quotePrefix="0" xfId="0">
      <alignment horizontal="center"/>
    </xf>
    <xf numFmtId="0" fontId="12" fillId="3" borderId="0" applyAlignment="1" pivotButton="0" quotePrefix="0" xfId="0">
      <alignment horizontal="centerContinuous" vertical="top"/>
    </xf>
    <xf numFmtId="0" fontId="0" fillId="3" borderId="0" applyAlignment="1" pivotButton="0" quotePrefix="0" xfId="0">
      <alignment horizontal="centerContinuous"/>
    </xf>
    <xf numFmtId="4" fontId="0" fillId="3" borderId="0" applyAlignment="1" pivotButton="0" quotePrefix="0" xfId="0">
      <alignment horizontal="centerContinuous"/>
    </xf>
    <xf numFmtId="0" fontId="47" fillId="3" borderId="1" applyAlignment="1" pivotButton="0" quotePrefix="0" xfId="0">
      <alignment horizontal="left" indent="1"/>
    </xf>
    <xf numFmtId="0" fontId="9" fillId="3" borderId="1" pivotButton="0" quotePrefix="0" xfId="0"/>
    <xf numFmtId="0" fontId="12" fillId="3" borderId="1" applyAlignment="1" pivotButton="0" quotePrefix="0" xfId="0">
      <alignment horizontal="centerContinuous" vertical="top"/>
    </xf>
    <xf numFmtId="0" fontId="0" fillId="3" borderId="1" applyAlignment="1" pivotButton="0" quotePrefix="0" xfId="0">
      <alignment horizontal="centerContinuous"/>
    </xf>
    <xf numFmtId="4" fontId="0" fillId="3" borderId="1" applyAlignment="1" pivotButton="0" quotePrefix="0" xfId="0">
      <alignment horizontal="centerContinuous"/>
    </xf>
    <xf numFmtId="0" fontId="4" fillId="3" borderId="1" applyAlignment="1" pivotButton="0" quotePrefix="0" xfId="0">
      <alignment horizontal="centerContinuous"/>
    </xf>
    <xf numFmtId="0" fontId="8" fillId="15" borderId="1" applyAlignment="1" pivotButton="0" quotePrefix="0" xfId="0">
      <alignment horizontal="right" vertical="top"/>
    </xf>
    <xf numFmtId="0" fontId="20" fillId="15" borderId="1" applyAlignment="1" pivotButton="0" quotePrefix="0" xfId="0">
      <alignment horizontal="center"/>
    </xf>
    <xf numFmtId="0" fontId="15" fillId="3" borderId="1" applyAlignment="1" pivotButton="0" quotePrefix="0" xfId="0">
      <alignment vertical="center"/>
    </xf>
    <xf numFmtId="0" fontId="15" fillId="3" borderId="1" pivotButton="0" quotePrefix="0" xfId="0"/>
    <xf numFmtId="0" fontId="47" fillId="3" borderId="25" pivotButton="0" quotePrefix="0" xfId="0"/>
    <xf numFmtId="0" fontId="15" fillId="3" borderId="1" applyAlignment="1" pivotButton="0" quotePrefix="0" xfId="0">
      <alignment horizontal="right"/>
    </xf>
    <xf numFmtId="4" fontId="47" fillId="3" borderId="25" pivotButton="0" quotePrefix="0" xfId="0"/>
    <xf numFmtId="4" fontId="8" fillId="3" borderId="1" applyAlignment="1" pivotButton="0" quotePrefix="0" xfId="0">
      <alignment vertical="center"/>
    </xf>
    <xf numFmtId="4" fontId="8" fillId="3" borderId="1" applyAlignment="1" pivotButton="0" quotePrefix="0" xfId="0">
      <alignment horizontal="right" vertical="center"/>
    </xf>
    <xf numFmtId="4" fontId="47" fillId="2" borderId="0" pivotButton="0" quotePrefix="0" xfId="0"/>
    <xf numFmtId="4" fontId="47" fillId="21" borderId="0" pivotButton="0" quotePrefix="0" xfId="0"/>
    <xf numFmtId="4" fontId="50" fillId="2" borderId="0" applyAlignment="1" pivotButton="0" quotePrefix="0" xfId="0">
      <alignment horizontal="center"/>
    </xf>
    <xf numFmtId="4" fontId="50" fillId="21" borderId="0" applyAlignment="1" pivotButton="0" quotePrefix="0" xfId="0">
      <alignment horizontal="center"/>
    </xf>
    <xf numFmtId="4" fontId="19" fillId="2" borderId="0" applyAlignment="1" pivotButton="0" quotePrefix="0" xfId="0">
      <alignment horizontal="center"/>
    </xf>
    <xf numFmtId="4" fontId="19" fillId="21" borderId="0" applyAlignment="1" pivotButton="0" quotePrefix="0" xfId="0">
      <alignment horizontal="center"/>
    </xf>
    <xf numFmtId="4" fontId="16" fillId="2" borderId="0" applyAlignment="1" pivotButton="0" quotePrefix="0" xfId="0">
      <alignment horizontal="center"/>
    </xf>
    <xf numFmtId="4" fontId="16" fillId="21" borderId="0" applyAlignment="1" pivotButton="0" quotePrefix="0" xfId="0">
      <alignment horizontal="center"/>
    </xf>
    <xf numFmtId="0" fontId="4" fillId="3" borderId="8" applyAlignment="1" pivotButton="0" quotePrefix="0" xfId="0">
      <alignment horizontal="right" vertical="top" wrapText="1"/>
    </xf>
    <xf numFmtId="4" fontId="16" fillId="14" borderId="24" applyAlignment="1" pivotButton="0" quotePrefix="0" xfId="0">
      <alignment horizontal="center" vertical="center"/>
    </xf>
    <xf numFmtId="0" fontId="6" fillId="19" borderId="3" applyAlignment="1" pivotButton="0" quotePrefix="0" xfId="0">
      <alignment horizontal="center" wrapText="1"/>
    </xf>
    <xf numFmtId="0" fontId="6" fillId="19" borderId="0" applyAlignment="1" pivotButton="0" quotePrefix="0" xfId="0">
      <alignment horizontal="center" wrapText="1"/>
    </xf>
    <xf numFmtId="0" fontId="0" fillId="19" borderId="24" applyAlignment="1" pivotButton="0" quotePrefix="0" xfId="0">
      <alignment horizontal="center" wrapText="1"/>
    </xf>
    <xf numFmtId="0" fontId="16" fillId="15" borderId="3" pivotButton="0" quotePrefix="0" xfId="0"/>
    <xf numFmtId="0" fontId="0" fillId="0" borderId="6" applyAlignment="1" pivotButton="0" quotePrefix="0" xfId="0">
      <alignment horizontal="center"/>
    </xf>
    <xf numFmtId="0" fontId="16" fillId="0" borderId="6" applyAlignment="1" pivotButton="0" quotePrefix="0" xfId="0">
      <alignment horizontal="center" wrapText="1"/>
    </xf>
    <xf numFmtId="0" fontId="6" fillId="19" borderId="24" applyAlignment="1" pivotButton="0" quotePrefix="0" xfId="0">
      <alignment horizontal="center" wrapText="1"/>
    </xf>
    <xf numFmtId="37" fontId="8" fillId="22" borderId="11" applyAlignment="1" pivotButton="0" quotePrefix="0" xfId="0">
      <alignment horizontal="right"/>
    </xf>
    <xf numFmtId="37" fontId="122" fillId="3" borderId="14" applyAlignment="1" pivotButton="0" quotePrefix="0" xfId="0">
      <alignment horizontal="right"/>
    </xf>
    <xf numFmtId="37" fontId="122" fillId="0" borderId="0" applyAlignment="1" pivotButton="0" quotePrefix="0" xfId="0">
      <alignment horizontal="right"/>
    </xf>
    <xf numFmtId="37" fontId="9" fillId="3" borderId="15" applyAlignment="1" pivotButton="0" quotePrefix="0" xfId="0">
      <alignment horizontal="right"/>
    </xf>
    <xf numFmtId="37" fontId="9" fillId="0" borderId="15" applyAlignment="1" pivotButton="0" quotePrefix="0" xfId="0">
      <alignment horizontal="right"/>
    </xf>
    <xf numFmtId="37" fontId="9" fillId="3" borderId="14" applyAlignment="1" pivotButton="0" quotePrefix="0" xfId="0">
      <alignment horizontal="right"/>
    </xf>
    <xf numFmtId="0" fontId="4" fillId="3" borderId="1" applyAlignment="1" pivotButton="0" quotePrefix="0" xfId="0">
      <alignment horizontal="right" vertical="top" wrapText="1"/>
    </xf>
    <xf numFmtId="37" fontId="9" fillId="28" borderId="11" applyAlignment="1" pivotButton="0" quotePrefix="0" xfId="0">
      <alignment horizontal="right"/>
    </xf>
    <xf numFmtId="0" fontId="0" fillId="3" borderId="0" applyAlignment="1" pivotButton="0" quotePrefix="0" xfId="0">
      <alignment horizontal="center"/>
    </xf>
    <xf numFmtId="0" fontId="117" fillId="5" borderId="0" applyAlignment="1" pivotButton="0" quotePrefix="0" xfId="0">
      <alignment horizontal="center"/>
    </xf>
    <xf numFmtId="4" fontId="0" fillId="3" borderId="15" applyAlignment="1" pivotButton="0" quotePrefix="0" xfId="0">
      <alignment horizontal="center"/>
    </xf>
    <xf numFmtId="37" fontId="122" fillId="14" borderId="30" pivotButton="0" quotePrefix="0" xfId="0"/>
    <xf numFmtId="37" fontId="116" fillId="15" borderId="8" pivotButton="0" quotePrefix="0" xfId="0"/>
    <xf numFmtId="39" fontId="10" fillId="2" borderId="0" applyAlignment="1" pivotButton="0" quotePrefix="0" xfId="0">
      <alignment horizontal="center"/>
    </xf>
    <xf numFmtId="39" fontId="10" fillId="21" borderId="0" applyAlignment="1" pivotButton="0" quotePrefix="0" xfId="0">
      <alignment horizontal="center"/>
    </xf>
    <xf numFmtId="37" fontId="9" fillId="14" borderId="9" applyAlignment="1" pivotButton="0" quotePrefix="0" xfId="0">
      <alignment horizontal="center"/>
    </xf>
    <xf numFmtId="37" fontId="9" fillId="14" borderId="1" applyAlignment="1" pivotButton="0" quotePrefix="0" xfId="0">
      <alignment horizontal="center" vertical="center"/>
    </xf>
    <xf numFmtId="0" fontId="4" fillId="14" borderId="0" applyAlignment="1" pivotButton="0" quotePrefix="0" xfId="0">
      <alignment horizontal="right" vertical="top"/>
    </xf>
    <xf numFmtId="0" fontId="4" fillId="14" borderId="0" applyAlignment="1" pivotButton="0" quotePrefix="0" xfId="0">
      <alignment vertical="top"/>
    </xf>
    <xf numFmtId="39" fontId="8" fillId="2" borderId="0" pivotButton="0" quotePrefix="0" xfId="0"/>
    <xf numFmtId="39" fontId="8" fillId="21" borderId="0" pivotButton="0" quotePrefix="0" xfId="0"/>
    <xf numFmtId="0" fontId="117" fillId="5" borderId="0" pivotButton="0" quotePrefix="0" xfId="0"/>
    <xf numFmtId="0" fontId="4" fillId="14" borderId="4" applyAlignment="1" pivotButton="0" quotePrefix="0" xfId="0">
      <alignment horizontal="right" vertical="top"/>
    </xf>
    <xf numFmtId="4" fontId="0" fillId="3" borderId="1" pivotButton="0" quotePrefix="0" xfId="0"/>
    <xf numFmtId="0" fontId="15" fillId="3" borderId="1" applyAlignment="1" pivotButton="0" quotePrefix="0" xfId="0">
      <alignment horizontal="right" vertical="center"/>
    </xf>
    <xf numFmtId="4" fontId="0" fillId="21" borderId="0" pivotButton="0" quotePrefix="0" xfId="0"/>
    <xf numFmtId="37" fontId="9" fillId="15" borderId="15" applyAlignment="1" pivotButton="0" quotePrefix="0" xfId="0">
      <alignment horizontal="right"/>
    </xf>
    <xf numFmtId="0" fontId="6" fillId="14" borderId="8" pivotButton="0" quotePrefix="0" xfId="0"/>
    <xf numFmtId="0" fontId="6" fillId="15" borderId="8" applyAlignment="1" pivotButton="0" quotePrefix="0" xfId="0">
      <alignment wrapText="1"/>
    </xf>
    <xf numFmtId="0" fontId="6" fillId="15" borderId="14" applyAlignment="1" pivotButton="0" quotePrefix="0" xfId="0">
      <alignment wrapText="1"/>
    </xf>
    <xf numFmtId="0" fontId="4" fillId="3" borderId="15" applyAlignment="1" pivotButton="0" quotePrefix="0" xfId="0">
      <alignment horizontal="right"/>
    </xf>
    <xf numFmtId="37" fontId="9" fillId="14" borderId="30" applyAlignment="1" pivotButton="0" quotePrefix="0" xfId="0">
      <alignment horizontal="right"/>
    </xf>
    <xf numFmtId="37" fontId="116" fillId="15" borderId="8" applyAlignment="1" pivotButton="0" quotePrefix="0" xfId="0">
      <alignment horizontal="right"/>
    </xf>
    <xf numFmtId="4" fontId="12" fillId="2" borderId="0" pivotButton="0" quotePrefix="0" xfId="0"/>
    <xf numFmtId="4" fontId="12" fillId="21" borderId="0" pivotButton="0" quotePrefix="0" xfId="0"/>
    <xf numFmtId="39" fontId="10" fillId="2" borderId="0" pivotButton="0" quotePrefix="0" xfId="0"/>
    <xf numFmtId="39" fontId="10" fillId="21" borderId="0" pivotButton="0" quotePrefix="0" xfId="0"/>
    <xf numFmtId="4" fontId="10" fillId="3" borderId="0" applyAlignment="1" pivotButton="0" quotePrefix="0" xfId="0">
      <alignment horizontal="right"/>
    </xf>
    <xf numFmtId="0" fontId="172" fillId="3" borderId="0" applyAlignment="1" pivotButton="0" quotePrefix="0" xfId="0">
      <alignment vertical="center"/>
    </xf>
    <xf numFmtId="4" fontId="47" fillId="3" borderId="0" applyAlignment="1" pivotButton="0" quotePrefix="0" xfId="0">
      <alignment vertical="center"/>
    </xf>
    <xf numFmtId="0" fontId="12" fillId="3" borderId="1" pivotButton="0" quotePrefix="0" xfId="0"/>
    <xf numFmtId="4" fontId="10" fillId="3" borderId="1" pivotButton="0" quotePrefix="0" xfId="0"/>
    <xf numFmtId="4" fontId="12" fillId="3" borderId="1" pivotButton="0" quotePrefix="0" xfId="0"/>
    <xf numFmtId="4" fontId="4" fillId="3" borderId="1" applyAlignment="1" pivotButton="0" quotePrefix="0" xfId="0">
      <alignment horizontal="right"/>
    </xf>
    <xf numFmtId="0" fontId="4" fillId="0" borderId="8" pivotButton="0" quotePrefix="0" xfId="0"/>
    <xf numFmtId="39" fontId="0" fillId="22" borderId="6" pivotButton="0" quotePrefix="0" xfId="0"/>
    <xf numFmtId="39" fontId="0" fillId="3" borderId="3" pivotButton="0" quotePrefix="0" xfId="0"/>
    <xf numFmtId="39" fontId="0" fillId="3" borderId="0" pivotButton="0" quotePrefix="0" xfId="0"/>
    <xf numFmtId="0" fontId="127" fillId="5" borderId="0" pivotButton="0" quotePrefix="0" xfId="0"/>
    <xf numFmtId="4" fontId="4" fillId="3" borderId="0" pivotButton="0" quotePrefix="0" xfId="0"/>
    <xf numFmtId="0" fontId="51" fillId="3" borderId="0" applyAlignment="1" pivotButton="0" quotePrefix="0" xfId="0">
      <alignment horizontal="center"/>
    </xf>
    <xf numFmtId="0" fontId="4" fillId="3" borderId="0" applyAlignment="1" pivotButton="0" quotePrefix="0" xfId="0">
      <alignment horizontal="center" vertical="top"/>
    </xf>
    <xf numFmtId="0" fontId="18" fillId="0" borderId="0" applyAlignment="1" pivotButton="0" quotePrefix="0" xfId="0">
      <alignment vertical="center"/>
    </xf>
    <xf numFmtId="0" fontId="4" fillId="3" borderId="12" applyAlignment="1" pivotButton="0" quotePrefix="0" xfId="0">
      <alignment horizontal="center" vertical="center"/>
    </xf>
    <xf numFmtId="4" fontId="4" fillId="21" borderId="0" pivotButton="0" quotePrefix="0" xfId="0"/>
    <xf numFmtId="0" fontId="6" fillId="3" borderId="0" applyAlignment="1" pivotButton="0" quotePrefix="0" xfId="0">
      <alignment horizontal="center"/>
    </xf>
    <xf numFmtId="4" fontId="6" fillId="21" borderId="0" pivotButton="0" quotePrefix="0" xfId="0"/>
    <xf numFmtId="39" fontId="117" fillId="3" borderId="30" applyAlignment="1" pivotButton="0" quotePrefix="0" xfId="0">
      <alignment wrapText="1"/>
    </xf>
    <xf numFmtId="0" fontId="117" fillId="3" borderId="8" applyAlignment="1" pivotButton="0" quotePrefix="0" xfId="0">
      <alignment wrapText="1"/>
    </xf>
    <xf numFmtId="0" fontId="117" fillId="3" borderId="0" applyAlignment="1" pivotButton="0" quotePrefix="0" xfId="0">
      <alignment wrapText="1"/>
    </xf>
    <xf numFmtId="0" fontId="4" fillId="3" borderId="0" applyAlignment="1" pivotButton="0" quotePrefix="0" xfId="0">
      <alignment horizontal="center" vertical="center"/>
    </xf>
    <xf numFmtId="0" fontId="117" fillId="3" borderId="3" applyAlignment="1" pivotButton="0" quotePrefix="0" xfId="0">
      <alignment wrapText="1"/>
    </xf>
    <xf numFmtId="0" fontId="112" fillId="3" borderId="0" applyAlignment="1" pivotButton="0" quotePrefix="0" xfId="0">
      <alignment wrapText="1"/>
    </xf>
    <xf numFmtId="4" fontId="6" fillId="2" borderId="0" applyAlignment="1" pivotButton="0" quotePrefix="0" xfId="0">
      <alignment vertical="center"/>
    </xf>
    <xf numFmtId="4" fontId="6" fillId="21" borderId="0" applyAlignment="1" pivotButton="0" quotePrefix="0" xfId="0">
      <alignment vertical="center"/>
    </xf>
    <xf numFmtId="0" fontId="183" fillId="15" borderId="0" applyAlignment="1" pivotButton="0" quotePrefix="0" xfId="0">
      <alignment horizontal="left"/>
    </xf>
    <xf numFmtId="0" fontId="183" fillId="15" borderId="0" applyAlignment="1" pivotButton="0" quotePrefix="0" xfId="0">
      <alignment horizontal="left" vertical="top"/>
    </xf>
    <xf numFmtId="0" fontId="15" fillId="3" borderId="0" pivotButton="0" quotePrefix="0" xfId="0"/>
    <xf numFmtId="37" fontId="9" fillId="28" borderId="9" applyAlignment="1" pivotButton="0" quotePrefix="0" xfId="0">
      <alignment horizontal="center"/>
    </xf>
    <xf numFmtId="37" fontId="4" fillId="28" borderId="1" pivotButton="0" quotePrefix="0" xfId="0"/>
    <xf numFmtId="37" fontId="9" fillId="28" borderId="1" applyAlignment="1" pivotButton="0" quotePrefix="1" xfId="0">
      <alignment horizontal="center"/>
    </xf>
    <xf numFmtId="195" fontId="47" fillId="3" borderId="0" applyAlignment="1" pivotButton="0" quotePrefix="0" xfId="0">
      <alignment horizontal="left"/>
    </xf>
    <xf numFmtId="0" fontId="6" fillId="3" borderId="4" applyAlignment="1" pivotButton="0" quotePrefix="0" xfId="0">
      <alignment horizontal="center"/>
    </xf>
    <xf numFmtId="0" fontId="6" fillId="3" borderId="4" pivotButton="0" quotePrefix="0" xfId="0"/>
    <xf numFmtId="0" fontId="4" fillId="3" borderId="4" pivotButton="0" quotePrefix="0" xfId="0"/>
    <xf numFmtId="4" fontId="6" fillId="3" borderId="4" pivotButton="0" quotePrefix="0" xfId="0"/>
    <xf numFmtId="4" fontId="12" fillId="3" borderId="7" applyAlignment="1" pivotButton="0" quotePrefix="0" xfId="0">
      <alignment horizontal="right" vertical="center"/>
    </xf>
    <xf numFmtId="4" fontId="9" fillId="3" borderId="7" applyAlignment="1" pivotButton="0" quotePrefix="0" xfId="0">
      <alignment horizontal="right" vertical="center"/>
    </xf>
    <xf numFmtId="0" fontId="0" fillId="15" borderId="21" applyAlignment="1" pivotButton="0" quotePrefix="0" xfId="0">
      <alignment horizontal="left" indent="1"/>
    </xf>
    <xf numFmtId="0" fontId="0" fillId="35" borderId="8" pivotButton="0" quotePrefix="0" xfId="0"/>
    <xf numFmtId="0" fontId="8" fillId="3" borderId="1" pivotButton="0" quotePrefix="0" xfId="0"/>
    <xf numFmtId="0" fontId="0" fillId="35" borderId="1" pivotButton="0" quotePrefix="0" xfId="0"/>
    <xf numFmtId="0" fontId="8" fillId="3" borderId="0" applyAlignment="1" pivotButton="0" quotePrefix="0" xfId="0">
      <alignment horizontal="left" indent="1"/>
    </xf>
    <xf numFmtId="0" fontId="0" fillId="35" borderId="0" pivotButton="0" quotePrefix="0" xfId="0"/>
    <xf numFmtId="0" fontId="4" fillId="3" borderId="6" applyAlignment="1" pivotButton="0" quotePrefix="0" xfId="0">
      <alignment horizontal="center"/>
    </xf>
    <xf numFmtId="0" fontId="8" fillId="3" borderId="0" applyAlignment="1" pivotButton="0" quotePrefix="0" xfId="0">
      <alignment vertical="center"/>
    </xf>
    <xf numFmtId="0" fontId="11" fillId="0" borderId="0" pivotButton="0" quotePrefix="0" xfId="0"/>
    <xf numFmtId="0" fontId="8" fillId="3" borderId="8" pivotButton="0" quotePrefix="0" xfId="0"/>
    <xf numFmtId="4" fontId="8" fillId="3" borderId="0" pivotButton="0" quotePrefix="0" xfId="0"/>
    <xf numFmtId="4" fontId="9" fillId="3" borderId="0" applyAlignment="1" pivotButton="0" quotePrefix="0" xfId="0">
      <alignment horizontal="right" vertical="center"/>
    </xf>
    <xf numFmtId="0" fontId="47" fillId="3" borderId="4" pivotButton="0" quotePrefix="0" xfId="0"/>
    <xf numFmtId="37" fontId="0" fillId="27" borderId="25" pivotButton="0" quotePrefix="0" xfId="0"/>
    <xf numFmtId="0" fontId="9" fillId="3" borderId="0" applyAlignment="1" pivotButton="0" quotePrefix="0" xfId="0">
      <alignment horizontal="center" vertical="center"/>
    </xf>
    <xf numFmtId="0" fontId="12" fillId="3" borderId="0" applyAlignment="1" pivotButton="0" quotePrefix="0" xfId="0">
      <alignment horizontal="center"/>
    </xf>
    <xf numFmtId="0" fontId="8" fillId="3" borderId="0" applyAlignment="1" pivotButton="0" quotePrefix="0" xfId="0">
      <alignment horizontal="right"/>
    </xf>
    <xf numFmtId="0" fontId="11" fillId="3" borderId="25" pivotButton="0" quotePrefix="0" xfId="0"/>
    <xf numFmtId="0" fontId="44" fillId="3" borderId="0" applyAlignment="1" pivotButton="0" quotePrefix="0" xfId="0">
      <alignment horizontal="center"/>
    </xf>
    <xf numFmtId="0" fontId="9" fillId="3" borderId="0" applyAlignment="1" pivotButton="0" quotePrefix="0" xfId="0">
      <alignment horizontal="center" vertical="top"/>
    </xf>
    <xf numFmtId="0" fontId="8" fillId="3" borderId="0" applyAlignment="1" pivotButton="0" quotePrefix="0" xfId="0">
      <alignment horizontal="center"/>
    </xf>
    <xf numFmtId="0" fontId="8" fillId="3" borderId="0" applyAlignment="1" pivotButton="0" quotePrefix="0" xfId="0">
      <alignment horizontal="center" vertical="center"/>
    </xf>
    <xf numFmtId="0" fontId="10" fillId="3" borderId="5" applyAlignment="1" pivotButton="0" quotePrefix="0" xfId="0">
      <alignment horizontal="left"/>
    </xf>
    <xf numFmtId="0" fontId="0" fillId="5" borderId="0" applyAlignment="1" pivotButton="0" quotePrefix="0" xfId="0">
      <alignment horizontal="center" vertical="center"/>
    </xf>
    <xf numFmtId="0" fontId="9" fillId="3" borderId="24" pivotButton="0" quotePrefix="0" xfId="0"/>
    <xf numFmtId="0" fontId="167" fillId="3" borderId="0" applyAlignment="1" pivotButton="0" quotePrefix="0" xfId="0">
      <alignment horizontal="left" indent="1"/>
    </xf>
    <xf numFmtId="0" fontId="44" fillId="3" borderId="0" applyAlignment="1" pivotButton="0" quotePrefix="0" xfId="0">
      <alignment horizontal="left"/>
    </xf>
    <xf numFmtId="0" fontId="20" fillId="3" borderId="0" applyAlignment="1" pivotButton="0" quotePrefix="0" xfId="0">
      <alignment horizontal="left"/>
    </xf>
    <xf numFmtId="0" fontId="172" fillId="3" borderId="0" applyAlignment="1" pivotButton="0" quotePrefix="0" xfId="0">
      <alignment horizontal="right" indent="1"/>
    </xf>
    <xf numFmtId="1" fontId="12" fillId="35" borderId="0" applyAlignment="1" pivotButton="0" quotePrefix="0" xfId="0">
      <alignment horizontal="right" vertical="center"/>
    </xf>
    <xf numFmtId="187" fontId="167" fillId="3" borderId="0" applyAlignment="1" pivotButton="0" quotePrefix="0" xfId="0">
      <alignment horizontal="left" vertical="center"/>
    </xf>
    <xf numFmtId="0" fontId="9" fillId="3" borderId="0" applyAlignment="1" pivotButton="0" quotePrefix="0" xfId="0">
      <alignment horizontal="center"/>
    </xf>
    <xf numFmtId="4" fontId="0" fillId="3" borderId="24" pivotButton="0" quotePrefix="0" xfId="0"/>
    <xf numFmtId="0" fontId="4" fillId="3" borderId="3" pivotButton="0" quotePrefix="0" xfId="0"/>
    <xf numFmtId="0" fontId="9" fillId="3" borderId="71" pivotButton="0" quotePrefix="0" xfId="0"/>
    <xf numFmtId="0" fontId="0" fillId="3" borderId="32" pivotButton="0" quotePrefix="0" xfId="0"/>
    <xf numFmtId="49" fontId="53" fillId="3" borderId="72" applyAlignment="1" pivotButton="0" quotePrefix="0" xfId="0">
      <alignment horizontal="right" vertical="center"/>
    </xf>
    <xf numFmtId="49" fontId="4" fillId="14" borderId="35" applyAlignment="1" pivotButton="0" quotePrefix="0" xfId="0">
      <alignment horizontal="center"/>
    </xf>
    <xf numFmtId="49" fontId="4" fillId="15" borderId="33" applyAlignment="1" pivotButton="0" quotePrefix="0" xfId="0">
      <alignment horizontal="center"/>
    </xf>
    <xf numFmtId="0" fontId="9" fillId="3" borderId="3" pivotButton="0" quotePrefix="0" xfId="0"/>
    <xf numFmtId="0" fontId="42" fillId="3" borderId="0" applyAlignment="1" pivotButton="0" quotePrefix="0" xfId="0">
      <alignment horizontal="right" vertical="center"/>
    </xf>
    <xf numFmtId="0" fontId="8" fillId="3" borderId="1" applyAlignment="1" pivotButton="0" quotePrefix="1" xfId="0">
      <alignment horizontal="left"/>
    </xf>
    <xf numFmtId="0" fontId="8" fillId="3" borderId="0" applyAlignment="1" pivotButton="0" quotePrefix="1" xfId="0">
      <alignment horizontal="left"/>
    </xf>
    <xf numFmtId="0" fontId="0" fillId="3" borderId="31" pivotButton="0" quotePrefix="0" xfId="0"/>
    <xf numFmtId="0" fontId="0" fillId="3" borderId="5" pivotButton="0" quotePrefix="0" xfId="0"/>
    <xf numFmtId="4" fontId="9" fillId="3" borderId="0" pivotButton="0" quotePrefix="0" xfId="0"/>
    <xf numFmtId="39" fontId="9" fillId="3" borderId="0" pivotButton="0" quotePrefix="0" xfId="0"/>
    <xf numFmtId="0" fontId="15" fillId="3" borderId="25" pivotButton="0" quotePrefix="0" xfId="0"/>
    <xf numFmtId="39" fontId="47" fillId="3" borderId="25" pivotButton="0" quotePrefix="0" xfId="0"/>
    <xf numFmtId="4" fontId="8" fillId="3" borderId="0" applyAlignment="1" pivotButton="0" quotePrefix="0" xfId="0">
      <alignment horizontal="center"/>
    </xf>
    <xf numFmtId="0" fontId="9" fillId="3" borderId="0" applyAlignment="1" pivotButton="0" quotePrefix="0" xfId="0">
      <alignment horizontal="right" vertical="center"/>
    </xf>
    <xf numFmtId="0" fontId="8" fillId="3" borderId="15" applyAlignment="1" pivotButton="0" quotePrefix="0" xfId="0">
      <alignment horizontal="center"/>
    </xf>
    <xf numFmtId="3" fontId="8" fillId="3" borderId="8" applyAlignment="1" pivotButton="0" quotePrefix="0" xfId="0">
      <alignment horizontal="center"/>
    </xf>
    <xf numFmtId="38" fontId="110" fillId="0" borderId="0" pivotButton="0" quotePrefix="0" xfId="0"/>
    <xf numFmtId="39" fontId="8" fillId="3" borderId="0" applyAlignment="1" pivotButton="0" quotePrefix="0" xfId="0">
      <alignment horizontal="center"/>
    </xf>
    <xf numFmtId="39" fontId="9" fillId="3" borderId="0" applyAlignment="1" pivotButton="0" quotePrefix="0" xfId="0">
      <alignment horizontal="right"/>
    </xf>
    <xf numFmtId="39" fontId="6" fillId="3" borderId="0" pivotButton="0" quotePrefix="0" xfId="0"/>
    <xf numFmtId="39" fontId="8" fillId="3" borderId="0" pivotButton="0" quotePrefix="0" xfId="0"/>
    <xf numFmtId="39" fontId="4" fillId="3" borderId="0" pivotButton="0" quotePrefix="0" xfId="0"/>
    <xf numFmtId="0" fontId="11" fillId="3" borderId="25" applyAlignment="1" pivotButton="0" quotePrefix="0" xfId="0">
      <alignment horizontal="center" vertical="center"/>
    </xf>
    <xf numFmtId="0" fontId="14" fillId="3" borderId="25" pivotButton="0" quotePrefix="0" xfId="0"/>
    <xf numFmtId="3" fontId="47" fillId="3" borderId="25" pivotButton="0" quotePrefix="0" xfId="0"/>
    <xf numFmtId="3" fontId="9" fillId="3" borderId="76" applyAlignment="1" pivotButton="0" quotePrefix="0" xfId="0">
      <alignment horizontal="right"/>
    </xf>
    <xf numFmtId="0" fontId="4" fillId="7" borderId="6" applyAlignment="1" pivotButton="0" quotePrefix="0" xfId="0">
      <alignment horizontal="center"/>
    </xf>
    <xf numFmtId="3" fontId="9" fillId="3" borderId="30" applyAlignment="1" pivotButton="0" quotePrefix="0" xfId="0">
      <alignment horizontal="right"/>
    </xf>
    <xf numFmtId="3" fontId="9" fillId="3" borderId="8" applyAlignment="1" pivotButton="0" quotePrefix="0" xfId="0">
      <alignment horizontal="right"/>
    </xf>
    <xf numFmtId="0" fontId="4" fillId="3" borderId="12" applyAlignment="1" pivotButton="0" quotePrefix="0" xfId="0">
      <alignment horizontal="center"/>
    </xf>
    <xf numFmtId="3" fontId="9" fillId="2" borderId="78" applyAlignment="1" pivotButton="0" quotePrefix="0" xfId="0">
      <alignment horizontal="right"/>
    </xf>
    <xf numFmtId="0" fontId="4" fillId="3" borderId="5" applyAlignment="1" pivotButton="0" quotePrefix="0" xfId="0">
      <alignment horizontal="right"/>
    </xf>
    <xf numFmtId="0" fontId="8" fillId="3" borderId="4" applyAlignment="1" pivotButton="0" quotePrefix="0" xfId="0">
      <alignment horizontal="center"/>
    </xf>
    <xf numFmtId="0" fontId="8" fillId="3" borderId="4" applyAlignment="1" pivotButton="0" quotePrefix="0" xfId="0">
      <alignment horizontal="right"/>
    </xf>
    <xf numFmtId="0" fontId="4" fillId="3" borderId="21" applyAlignment="1" pivotButton="0" quotePrefix="0" xfId="0">
      <alignment horizontal="right"/>
    </xf>
    <xf numFmtId="0" fontId="4" fillId="3" borderId="4" applyAlignment="1" pivotButton="0" quotePrefix="0" xfId="0">
      <alignment horizontal="left"/>
    </xf>
    <xf numFmtId="0" fontId="9" fillId="3" borderId="70" applyAlignment="1" pivotButton="0" quotePrefix="0" xfId="0">
      <alignment horizontal="right"/>
    </xf>
    <xf numFmtId="0" fontId="4" fillId="14" borderId="3" applyAlignment="1" pivotButton="0" quotePrefix="0" xfId="0">
      <alignment horizontal="center"/>
    </xf>
    <xf numFmtId="0" fontId="56" fillId="15" borderId="8" pivotButton="0" quotePrefix="0" xfId="0"/>
    <xf numFmtId="0" fontId="9" fillId="3" borderId="24" applyAlignment="1" pivotButton="0" quotePrefix="0" xfId="0">
      <alignment horizontal="right"/>
    </xf>
    <xf numFmtId="0" fontId="6" fillId="3" borderId="3" applyAlignment="1" pivotButton="0" quotePrefix="0" xfId="0">
      <alignment horizontal="center"/>
    </xf>
    <xf numFmtId="0" fontId="9" fillId="2" borderId="30" applyAlignment="1" pivotButton="0" quotePrefix="0" xfId="0">
      <alignment horizontal="right"/>
    </xf>
    <xf numFmtId="0" fontId="9" fillId="2" borderId="8" applyAlignment="1" pivotButton="0" quotePrefix="0" xfId="0">
      <alignment horizontal="right"/>
    </xf>
    <xf numFmtId="0" fontId="48" fillId="3" borderId="0" pivotButton="0" quotePrefix="0" xfId="0"/>
    <xf numFmtId="0" fontId="9" fillId="2" borderId="3" applyAlignment="1" pivotButton="0" quotePrefix="0" xfId="0">
      <alignment horizontal="right"/>
    </xf>
    <xf numFmtId="0" fontId="119" fillId="3" borderId="0" applyAlignment="1" pivotButton="0" quotePrefix="0" xfId="0">
      <alignment horizontal="left"/>
    </xf>
    <xf numFmtId="1" fontId="121" fillId="10" borderId="0" applyAlignment="1" pivotButton="0" quotePrefix="0" xfId="0">
      <alignment horizontal="center"/>
    </xf>
    <xf numFmtId="4" fontId="16" fillId="3" borderId="0" applyAlignment="1" pivotButton="0" quotePrefix="0" xfId="0">
      <alignment horizontal="right"/>
    </xf>
    <xf numFmtId="3" fontId="0" fillId="27" borderId="25" pivotButton="0" quotePrefix="0" xfId="0"/>
    <xf numFmtId="0" fontId="10" fillId="3" borderId="0" applyAlignment="1" pivotButton="0" quotePrefix="0" xfId="0">
      <alignment horizontal="left" vertical="top"/>
    </xf>
    <xf numFmtId="174" fontId="0" fillId="27" borderId="1" applyAlignment="1" pivotButton="0" quotePrefix="0" xfId="0">
      <alignment horizontal="right"/>
    </xf>
    <xf numFmtId="0" fontId="6" fillId="3" borderId="4" applyAlignment="1" pivotButton="0" quotePrefix="0" xfId="0">
      <alignment vertical="center"/>
    </xf>
    <xf numFmtId="0" fontId="48" fillId="3" borderId="4" pivotButton="0" quotePrefix="0" xfId="0"/>
    <xf numFmtId="4" fontId="8" fillId="3" borderId="4" pivotButton="0" quotePrefix="0" xfId="0"/>
    <xf numFmtId="39" fontId="8" fillId="3" borderId="4" pivotButton="0" quotePrefix="0" xfId="0"/>
    <xf numFmtId="0" fontId="16" fillId="3" borderId="4" applyAlignment="1" pivotButton="0" quotePrefix="0" xfId="0">
      <alignment horizontal="left"/>
    </xf>
    <xf numFmtId="0" fontId="4" fillId="3" borderId="7" applyAlignment="1" pivotButton="0" quotePrefix="0" xfId="0">
      <alignment horizontal="left" vertical="top"/>
    </xf>
    <xf numFmtId="0" fontId="8" fillId="3" borderId="7" applyAlignment="1" pivotButton="0" quotePrefix="0" xfId="0">
      <alignment horizontal="center" vertical="top"/>
    </xf>
    <xf numFmtId="4" fontId="10" fillId="3" borderId="7" applyAlignment="1" pivotButton="0" quotePrefix="0" xfId="0">
      <alignment horizontal="center" vertical="top"/>
    </xf>
    <xf numFmtId="39" fontId="8" fillId="3" borderId="7" applyAlignment="1" pivotButton="0" quotePrefix="0" xfId="0">
      <alignment vertical="top"/>
    </xf>
    <xf numFmtId="0" fontId="9" fillId="3" borderId="7" applyAlignment="1" pivotButton="0" quotePrefix="0" xfId="0">
      <alignment horizontal="center" vertical="top"/>
    </xf>
    <xf numFmtId="4" fontId="4" fillId="3" borderId="7" applyAlignment="1" pivotButton="0" quotePrefix="0" xfId="0">
      <alignment horizontal="right" vertical="top"/>
    </xf>
    <xf numFmtId="173" fontId="0" fillId="27" borderId="1" applyAlignment="1" pivotButton="0" quotePrefix="0" xfId="0">
      <alignment horizontal="right"/>
    </xf>
    <xf numFmtId="39" fontId="8" fillId="3" borderId="0" applyAlignment="1" pivotButton="0" quotePrefix="0" xfId="0">
      <alignment horizontal="right"/>
    </xf>
    <xf numFmtId="39" fontId="11" fillId="3" borderId="0" applyAlignment="1" pivotButton="0" quotePrefix="0" xfId="0">
      <alignment horizontal="left"/>
    </xf>
    <xf numFmtId="0" fontId="51" fillId="9" borderId="25" applyAlignment="1" pivotButton="0" quotePrefix="0" xfId="0">
      <alignment horizontal="center" vertical="center"/>
    </xf>
    <xf numFmtId="0" fontId="47" fillId="3" borderId="27" applyAlignment="1" pivotButton="0" quotePrefix="0" xfId="0">
      <alignment vertical="center"/>
    </xf>
    <xf numFmtId="0" fontId="47" fillId="3" borderId="27" pivotButton="0" quotePrefix="0" xfId="0"/>
    <xf numFmtId="39" fontId="106" fillId="3" borderId="0" pivotButton="0" quotePrefix="0" xfId="0"/>
    <xf numFmtId="0" fontId="146" fillId="0" borderId="0" applyAlignment="1" pivotButton="0" quotePrefix="0" xfId="0">
      <alignment horizontal="center"/>
    </xf>
    <xf numFmtId="0" fontId="47" fillId="3" borderId="7" pivotButton="0" quotePrefix="0" xfId="0"/>
    <xf numFmtId="39" fontId="47" fillId="3" borderId="0" pivotButton="0" quotePrefix="0" xfId="0"/>
    <xf numFmtId="0" fontId="9" fillId="3" borderId="1" applyAlignment="1" pivotButton="0" quotePrefix="0" xfId="0">
      <alignment horizontal="center"/>
    </xf>
    <xf numFmtId="39" fontId="47" fillId="3" borderId="1" pivotButton="0" quotePrefix="0" xfId="0"/>
    <xf numFmtId="39" fontId="6" fillId="3" borderId="1" pivotButton="0" quotePrefix="0" xfId="0"/>
    <xf numFmtId="39" fontId="8" fillId="3" borderId="1" pivotButton="0" quotePrefix="0" xfId="0"/>
    <xf numFmtId="196" fontId="8" fillId="3" borderId="0" pivotButton="0" quotePrefix="0" xfId="0"/>
    <xf numFmtId="39" fontId="4" fillId="3" borderId="0" applyAlignment="1" pivotButton="0" quotePrefix="1" xfId="0">
      <alignment horizontal="center"/>
    </xf>
    <xf numFmtId="39" fontId="8" fillId="3" borderId="0" applyAlignment="1" pivotButton="0" quotePrefix="0" xfId="0">
      <alignment horizontal="right" indent="1"/>
    </xf>
    <xf numFmtId="39" fontId="10" fillId="3" borderId="0" applyAlignment="1" pivotButton="0" quotePrefix="0" xfId="0">
      <alignment horizontal="left"/>
    </xf>
    <xf numFmtId="39" fontId="9" fillId="3" borderId="0" applyAlignment="1" pivotButton="0" quotePrefix="0" xfId="0">
      <alignment horizontal="right" indent="1"/>
    </xf>
    <xf numFmtId="39" fontId="4" fillId="3" borderId="0" applyAlignment="1" pivotButton="0" quotePrefix="0" xfId="0">
      <alignment horizontal="right"/>
    </xf>
    <xf numFmtId="37" fontId="10" fillId="3" borderId="0" applyAlignment="1" pivotButton="0" quotePrefix="0" xfId="0">
      <alignment horizontal="right"/>
    </xf>
    <xf numFmtId="1" fontId="121" fillId="10" borderId="0" applyAlignment="1" pivotButton="0" quotePrefix="0" xfId="0">
      <alignment horizontal="center" vertical="center"/>
    </xf>
    <xf numFmtId="39" fontId="89" fillId="3" borderId="0" pivotButton="0" quotePrefix="0" xfId="0"/>
    <xf numFmtId="39" fontId="65" fillId="3" borderId="0" applyAlignment="1" pivotButton="0" quotePrefix="0" xfId="0">
      <alignment horizontal="left"/>
    </xf>
    <xf numFmtId="39" fontId="4" fillId="3" borderId="4" pivotButton="0" quotePrefix="0" xfId="0"/>
    <xf numFmtId="39" fontId="9" fillId="3" borderId="4" pivotButton="0" quotePrefix="0" xfId="0"/>
    <xf numFmtId="39" fontId="9" fillId="3" borderId="4" applyAlignment="1" pivotButton="0" quotePrefix="0" xfId="0">
      <alignment horizontal="right"/>
    </xf>
    <xf numFmtId="0" fontId="9" fillId="3" borderId="28" applyAlignment="1" pivotButton="0" quotePrefix="0" xfId="0">
      <alignment horizontal="center"/>
    </xf>
    <xf numFmtId="0" fontId="52" fillId="3" borderId="0" applyAlignment="1" pivotButton="0" quotePrefix="0" xfId="0">
      <alignment vertical="center"/>
    </xf>
    <xf numFmtId="0" fontId="6" fillId="3" borderId="24" applyAlignment="1" pivotButton="0" quotePrefix="0" xfId="0">
      <alignment horizontal="left"/>
    </xf>
    <xf numFmtId="0" fontId="9" fillId="3" borderId="15" applyAlignment="1" pivotButton="0" quotePrefix="0" xfId="0">
      <alignment horizontal="center"/>
    </xf>
    <xf numFmtId="0" fontId="9" fillId="14" borderId="30" applyAlignment="1" pivotButton="0" quotePrefix="0" xfId="0">
      <alignment horizontal="center"/>
    </xf>
    <xf numFmtId="0" fontId="9" fillId="14" borderId="3" applyAlignment="1" pivotButton="0" quotePrefix="0" xfId="0">
      <alignment horizontal="center"/>
    </xf>
    <xf numFmtId="4" fontId="8" fillId="3" borderId="0" applyAlignment="1" pivotButton="0" quotePrefix="0" xfId="0">
      <alignment vertical="center"/>
    </xf>
    <xf numFmtId="39" fontId="8" fillId="3" borderId="0" applyAlignment="1" pivotButton="0" quotePrefix="0" xfId="0">
      <alignment vertical="center"/>
    </xf>
    <xf numFmtId="0" fontId="10" fillId="3" borderId="5" applyAlignment="1" pivotButton="0" quotePrefix="0" xfId="0">
      <alignment horizontal="left" vertical="center"/>
    </xf>
    <xf numFmtId="4" fontId="8" fillId="3" borderId="0" applyAlignment="1" pivotButton="0" quotePrefix="0" xfId="0">
      <alignment horizontal="right" vertical="center"/>
    </xf>
    <xf numFmtId="0" fontId="9" fillId="3" borderId="4" applyAlignment="1" pivotButton="0" quotePrefix="0" xfId="0">
      <alignment horizontal="right"/>
    </xf>
    <xf numFmtId="39" fontId="8" fillId="3" borderId="0" applyAlignment="1" pivotButton="0" quotePrefix="0" xfId="0">
      <alignment horizontal="right" vertical="center"/>
    </xf>
    <xf numFmtId="0" fontId="4" fillId="3" borderId="7" applyAlignment="1" pivotButton="0" quotePrefix="0" xfId="0">
      <alignment horizontal="right" vertical="center"/>
    </xf>
    <xf numFmtId="0" fontId="9" fillId="5" borderId="0" pivotButton="0" quotePrefix="0" xfId="0"/>
    <xf numFmtId="4" fontId="8" fillId="5" borderId="0" pivotButton="0" quotePrefix="0" xfId="0"/>
    <xf numFmtId="39" fontId="8" fillId="5" borderId="0" applyAlignment="1" pivotButton="0" quotePrefix="0" xfId="0">
      <alignment horizontal="right"/>
    </xf>
    <xf numFmtId="4" fontId="8" fillId="0" borderId="0" applyAlignment="1" pivotButton="0" quotePrefix="0" xfId="0">
      <alignment horizontal="left"/>
    </xf>
    <xf numFmtId="39" fontId="8" fillId="0" borderId="0" applyAlignment="1" pivotButton="0" quotePrefix="0" xfId="0">
      <alignment horizontal="right"/>
    </xf>
    <xf numFmtId="39" fontId="8" fillId="0" borderId="0" applyAlignment="1" pivotButton="0" quotePrefix="0" xfId="0">
      <alignment horizontal="center"/>
    </xf>
    <xf numFmtId="4" fontId="8" fillId="0" borderId="0" applyAlignment="1" pivotButton="0" quotePrefix="0" xfId="0">
      <alignment horizontal="left" vertical="center"/>
    </xf>
    <xf numFmtId="39" fontId="8" fillId="0" borderId="0" applyAlignment="1" pivotButton="0" quotePrefix="0" xfId="0">
      <alignment horizontal="right" vertical="center"/>
    </xf>
    <xf numFmtId="170" fontId="112" fillId="15" borderId="0" applyAlignment="1" pivotButton="0" quotePrefix="0" xfId="0">
      <alignment horizontal="center"/>
    </xf>
    <xf numFmtId="3" fontId="6" fillId="15" borderId="168" applyAlignment="1" applyProtection="1" pivotButton="0" quotePrefix="0" xfId="0">
      <alignment horizontal="right"/>
      <protection locked="0" hidden="0"/>
    </xf>
    <xf numFmtId="0" fontId="74" fillId="15" borderId="0" applyAlignment="1" pivotButton="0" quotePrefix="0" xfId="0">
      <alignment horizontal="center" vertical="center"/>
    </xf>
    <xf numFmtId="0" fontId="10" fillId="0" borderId="24" pivotButton="0" quotePrefix="0" xfId="0"/>
    <xf numFmtId="0" fontId="15" fillId="15" borderId="0" applyAlignment="1" pivotButton="0" quotePrefix="0" xfId="0">
      <alignment horizontal="right" indent="1"/>
    </xf>
    <xf numFmtId="0" fontId="10" fillId="0" borderId="0" applyAlignment="1" pivotButton="0" quotePrefix="0" xfId="0">
      <alignment wrapText="1"/>
    </xf>
    <xf numFmtId="0" fontId="15" fillId="15" borderId="8" applyAlignment="1" pivotButton="0" quotePrefix="0" xfId="0">
      <alignment horizontal="left" vertical="center" wrapText="1"/>
    </xf>
    <xf numFmtId="0" fontId="15" fillId="15" borderId="0" applyAlignment="1" pivotButton="0" quotePrefix="0" xfId="0">
      <alignment horizontal="center" vertical="center" wrapText="1"/>
    </xf>
    <xf numFmtId="0" fontId="110" fillId="0" borderId="0" applyAlignment="1" pivotButton="0" quotePrefix="1" xfId="0">
      <alignment horizontal="center"/>
    </xf>
    <xf numFmtId="0" fontId="6" fillId="15" borderId="3" applyAlignment="1" pivotButton="0" quotePrefix="0" xfId="0">
      <alignment horizontal="left" vertical="center" wrapText="1"/>
    </xf>
    <xf numFmtId="0" fontId="6" fillId="15" borderId="1" applyAlignment="1" pivotButton="0" quotePrefix="0" xfId="0">
      <alignment horizontal="left" vertical="center" wrapText="1"/>
    </xf>
    <xf numFmtId="3" fontId="112" fillId="0" borderId="0" applyProtection="1" pivotButton="0" quotePrefix="0" xfId="0">
      <protection locked="0" hidden="0"/>
    </xf>
    <xf numFmtId="0" fontId="287" fillId="23" borderId="0" applyAlignment="1" pivotButton="0" quotePrefix="0" xfId="0">
      <alignment horizontal="center" vertical="center"/>
    </xf>
    <xf numFmtId="0" fontId="74" fillId="15" borderId="0" applyAlignment="1" pivotButton="0" quotePrefix="0" xfId="0">
      <alignment vertical="top"/>
    </xf>
    <xf numFmtId="0" fontId="326" fillId="19" borderId="6" applyAlignment="1" pivotButton="0" quotePrefix="0" xfId="0">
      <alignment horizontal="center"/>
    </xf>
    <xf numFmtId="0" fontId="15" fillId="15" borderId="10" applyAlignment="1" pivotButton="0" quotePrefix="0" xfId="0">
      <alignment horizontal="center"/>
    </xf>
    <xf numFmtId="0" fontId="14" fillId="15" borderId="0" applyAlignment="1" pivotButton="0" quotePrefix="0" xfId="0">
      <alignment wrapText="1"/>
    </xf>
    <xf numFmtId="0" fontId="14" fillId="15" borderId="15" applyAlignment="1" pivotButton="0" quotePrefix="0" xfId="0">
      <alignment wrapText="1"/>
    </xf>
    <xf numFmtId="0" fontId="14" fillId="15" borderId="6" applyAlignment="1" pivotButton="0" quotePrefix="0" xfId="0">
      <alignment wrapText="1"/>
    </xf>
    <xf numFmtId="0" fontId="14" fillId="15" borderId="3" applyAlignment="1" pivotButton="0" quotePrefix="0" xfId="0">
      <alignment wrapText="1"/>
    </xf>
    <xf numFmtId="0" fontId="14" fillId="15" borderId="24" applyAlignment="1" pivotButton="0" quotePrefix="0" xfId="0">
      <alignment wrapText="1"/>
    </xf>
    <xf numFmtId="0" fontId="15" fillId="15" borderId="0" pivotButton="0" quotePrefix="1" xfId="0"/>
    <xf numFmtId="0" fontId="4" fillId="15" borderId="3" applyAlignment="1" pivotButton="0" quotePrefix="0" xfId="0">
      <alignment horizontal="right"/>
    </xf>
    <xf numFmtId="0" fontId="4" fillId="15" borderId="30" applyAlignment="1" pivotButton="0" quotePrefix="0" xfId="0">
      <alignment horizontal="right"/>
    </xf>
    <xf numFmtId="0" fontId="4" fillId="15" borderId="14" applyAlignment="1" pivotButton="0" quotePrefix="0" xfId="0">
      <alignment horizontal="right"/>
    </xf>
    <xf numFmtId="0" fontId="15" fillId="15" borderId="15" applyAlignment="1" pivotButton="0" quotePrefix="0" xfId="0">
      <alignment horizontal="center"/>
    </xf>
    <xf numFmtId="0" fontId="15" fillId="15" borderId="12" applyAlignment="1" pivotButton="0" quotePrefix="0" xfId="0">
      <alignment horizontal="center"/>
    </xf>
    <xf numFmtId="0" fontId="15" fillId="15" borderId="4" pivotButton="0" quotePrefix="0" xfId="0"/>
    <xf numFmtId="0" fontId="4" fillId="15" borderId="4" applyAlignment="1" pivotButton="0" quotePrefix="0" xfId="0">
      <alignment horizontal="left" indent="1"/>
    </xf>
    <xf numFmtId="0" fontId="0" fillId="15" borderId="4" applyAlignment="1" pivotButton="0" quotePrefix="0" xfId="0">
      <alignment horizontal="right" indent="1"/>
    </xf>
    <xf numFmtId="0" fontId="15" fillId="15" borderId="51" applyAlignment="1" pivotButton="0" quotePrefix="0" xfId="0">
      <alignment horizontal="center"/>
    </xf>
    <xf numFmtId="0" fontId="20" fillId="15" borderId="1" applyAlignment="1" pivotButton="0" quotePrefix="0" xfId="0">
      <alignment horizontal="left" vertical="center"/>
    </xf>
    <xf numFmtId="37" fontId="0" fillId="0" borderId="0" applyAlignment="1" pivotButton="0" quotePrefix="0" xfId="0">
      <alignment horizontal="right"/>
    </xf>
    <xf numFmtId="0" fontId="23" fillId="15" borderId="0" applyAlignment="1" pivotButton="0" quotePrefix="0" xfId="0">
      <alignment horizontal="right" vertical="center"/>
    </xf>
    <xf numFmtId="0" fontId="15" fillId="15" borderId="7" applyAlignment="1" pivotButton="0" quotePrefix="0" xfId="0">
      <alignment horizontal="left" vertical="center"/>
    </xf>
    <xf numFmtId="0" fontId="47" fillId="15" borderId="7" applyAlignment="1" pivotButton="0" quotePrefix="0" xfId="0">
      <alignment horizontal="right" vertical="center"/>
    </xf>
    <xf numFmtId="0" fontId="15" fillId="15" borderId="7" applyAlignment="1" pivotButton="0" quotePrefix="0" xfId="0">
      <alignment vertical="center"/>
    </xf>
    <xf numFmtId="0" fontId="47" fillId="15" borderId="7" applyAlignment="1" pivotButton="0" quotePrefix="0" xfId="0">
      <alignment vertical="center"/>
    </xf>
    <xf numFmtId="0" fontId="47" fillId="15" borderId="7" applyAlignment="1" pivotButton="0" quotePrefix="0" xfId="0">
      <alignment horizontal="center" vertical="center"/>
    </xf>
    <xf numFmtId="0" fontId="6" fillId="15" borderId="7" applyAlignment="1" pivotButton="0" quotePrefix="0" xfId="0">
      <alignment horizontal="center" vertical="center"/>
    </xf>
    <xf numFmtId="0" fontId="47" fillId="15" borderId="13" applyAlignment="1" pivotButton="0" quotePrefix="0" xfId="0">
      <alignment horizontal="left"/>
    </xf>
    <xf numFmtId="0" fontId="4" fillId="15" borderId="13" pivotButton="0" quotePrefix="0" xfId="0"/>
    <xf numFmtId="0" fontId="10" fillId="15" borderId="13" pivotButton="0" quotePrefix="0" xfId="0"/>
    <xf numFmtId="0" fontId="47" fillId="15" borderId="13" applyAlignment="1" pivotButton="0" quotePrefix="0" xfId="0">
      <alignment horizontal="right"/>
    </xf>
    <xf numFmtId="0" fontId="11" fillId="15" borderId="34" applyAlignment="1" pivotButton="0" quotePrefix="0" xfId="0">
      <alignment horizontal="left"/>
    </xf>
    <xf numFmtId="0" fontId="20" fillId="15" borderId="34" applyAlignment="1" pivotButton="0" quotePrefix="0" xfId="0">
      <alignment horizontal="left" vertical="center"/>
    </xf>
    <xf numFmtId="0" fontId="15" fillId="19" borderId="6" applyAlignment="1" pivotButton="0" quotePrefix="0" xfId="0">
      <alignment horizontal="center"/>
    </xf>
    <xf numFmtId="37" fontId="123" fillId="15" borderId="3" pivotButton="0" quotePrefix="0" xfId="0"/>
    <xf numFmtId="37" fontId="123" fillId="15" borderId="0" pivotButton="0" quotePrefix="0" xfId="0"/>
    <xf numFmtId="0" fontId="4" fillId="15" borderId="4" pivotButton="0" quotePrefix="0" xfId="0"/>
    <xf numFmtId="0" fontId="4" fillId="15" borderId="7" applyAlignment="1" pivotButton="0" quotePrefix="0" xfId="0">
      <alignment horizontal="left" vertical="center"/>
    </xf>
    <xf numFmtId="0" fontId="4" fillId="15" borderId="7" applyAlignment="1" pivotButton="0" quotePrefix="0" xfId="0">
      <alignment vertical="center"/>
    </xf>
    <xf numFmtId="0" fontId="10" fillId="15" borderId="7" applyAlignment="1" pivotButton="0" quotePrefix="0" xfId="0">
      <alignment vertical="center"/>
    </xf>
    <xf numFmtId="0" fontId="10" fillId="15" borderId="7" applyAlignment="1" pivotButton="0" quotePrefix="0" xfId="0">
      <alignment horizontal="center" vertical="center"/>
    </xf>
    <xf numFmtId="0" fontId="67" fillId="0" borderId="0" applyAlignment="1" pivotButton="0" quotePrefix="0" xfId="2">
      <alignment vertical="center"/>
    </xf>
    <xf numFmtId="0" fontId="166" fillId="15" borderId="0" pivotButton="0" quotePrefix="0" xfId="0"/>
    <xf numFmtId="0" fontId="245" fillId="15" borderId="0" pivotButton="0" quotePrefix="0" xfId="0"/>
    <xf numFmtId="0" fontId="210" fillId="15" borderId="0" applyAlignment="1" pivotButton="0" quotePrefix="0" xfId="0">
      <alignment horizontal="left"/>
    </xf>
    <xf numFmtId="0" fontId="0" fillId="8" borderId="0" pivotButton="0" quotePrefix="0" xfId="0"/>
    <xf numFmtId="0" fontId="106" fillId="2" borderId="0" applyAlignment="1" pivotButton="0" quotePrefix="0" xfId="0">
      <alignment vertical="center"/>
    </xf>
    <xf numFmtId="0" fontId="121" fillId="8" borderId="0" applyAlignment="1" pivotButton="0" quotePrefix="0" xfId="0">
      <alignment horizontal="center"/>
    </xf>
    <xf numFmtId="0" fontId="121" fillId="8" borderId="0" applyAlignment="1" pivotButton="0" quotePrefix="0" xfId="0">
      <alignment horizontal="center" vertical="center"/>
    </xf>
    <xf numFmtId="0" fontId="10" fillId="2" borderId="4" applyAlignment="1" pivotButton="0" quotePrefix="0" xfId="0">
      <alignment horizontal="left" vertical="top"/>
    </xf>
    <xf numFmtId="0" fontId="121" fillId="8" borderId="0" applyAlignment="1" pivotButton="0" quotePrefix="0" xfId="0">
      <alignment horizontal="center" vertical="top"/>
    </xf>
    <xf numFmtId="0" fontId="73" fillId="2" borderId="0" applyAlignment="1" pivotButton="0" quotePrefix="0" xfId="0">
      <alignment horizontal="left" vertical="top"/>
    </xf>
    <xf numFmtId="0" fontId="0" fillId="2" borderId="0" applyAlignment="1" pivotButton="0" quotePrefix="0" xfId="0">
      <alignment vertical="top"/>
    </xf>
    <xf numFmtId="0" fontId="15" fillId="15" borderId="5" applyAlignment="1" pivotButton="0" quotePrefix="1" xfId="0">
      <alignment horizontal="right"/>
    </xf>
    <xf numFmtId="0" fontId="15" fillId="15" borderId="20" applyAlignment="1" pivotButton="0" quotePrefix="1" xfId="0">
      <alignment horizontal="right"/>
    </xf>
    <xf numFmtId="0" fontId="4" fillId="2" borderId="0" applyAlignment="1" pivotButton="0" quotePrefix="0" xfId="0">
      <alignment vertical="center"/>
    </xf>
    <xf numFmtId="0" fontId="163" fillId="8" borderId="0" applyAlignment="1" pivotButton="0" quotePrefix="0" xfId="0">
      <alignment horizontal="center"/>
    </xf>
    <xf numFmtId="37" fontId="112" fillId="15" borderId="0" pivotButton="0" quotePrefix="0" xfId="0"/>
    <xf numFmtId="0" fontId="110" fillId="15" borderId="5" pivotButton="0" quotePrefix="0" xfId="0"/>
    <xf numFmtId="0" fontId="0" fillId="2" borderId="24" applyAlignment="1" pivotButton="0" quotePrefix="0" xfId="0">
      <alignment vertical="center"/>
    </xf>
    <xf numFmtId="0" fontId="9" fillId="15" borderId="5" applyAlignment="1" pivotButton="0" quotePrefix="0" xfId="0">
      <alignment vertical="center" wrapText="1"/>
    </xf>
    <xf numFmtId="0" fontId="0" fillId="0" borderId="20" applyAlignment="1" pivotButton="0" quotePrefix="0" xfId="0">
      <alignment wrapText="1"/>
    </xf>
    <xf numFmtId="0" fontId="29" fillId="2" borderId="0" applyAlignment="1" pivotButton="0" quotePrefix="0" xfId="0">
      <alignment horizontal="left"/>
    </xf>
    <xf numFmtId="0" fontId="9" fillId="2" borderId="0" applyAlignment="1" pivotButton="0" quotePrefix="0" xfId="0">
      <alignment horizontal="left"/>
    </xf>
    <xf numFmtId="0" fontId="112" fillId="15" borderId="5" pivotButton="0" quotePrefix="0" xfId="0"/>
    <xf numFmtId="0" fontId="9" fillId="15" borderId="5" pivotButton="0" quotePrefix="0" xfId="0"/>
    <xf numFmtId="0" fontId="121" fillId="8" borderId="20" applyAlignment="1" pivotButton="0" quotePrefix="0" xfId="0">
      <alignment vertical="top" wrapText="1"/>
    </xf>
    <xf numFmtId="0" fontId="36" fillId="15" borderId="5" applyAlignment="1" pivotButton="0" quotePrefix="0" xfId="0">
      <alignment horizontal="center"/>
    </xf>
    <xf numFmtId="0" fontId="6" fillId="8" borderId="0" pivotButton="0" quotePrefix="0" xfId="0"/>
    <xf numFmtId="0" fontId="168" fillId="31" borderId="27" applyAlignment="1" pivotButton="0" quotePrefix="0" xfId="0">
      <alignment horizontal="left" vertical="center"/>
    </xf>
    <xf numFmtId="0" fontId="116" fillId="31" borderId="27" applyAlignment="1" pivotButton="0" quotePrefix="0" xfId="0">
      <alignment vertical="center"/>
    </xf>
    <xf numFmtId="0" fontId="15" fillId="2" borderId="27" applyAlignment="1" pivotButton="0" quotePrefix="0" xfId="0">
      <alignment horizontal="left" vertical="center" indent="1"/>
    </xf>
    <xf numFmtId="0" fontId="0" fillId="2" borderId="27" applyAlignment="1" pivotButton="0" quotePrefix="0" xfId="0">
      <alignment vertical="center"/>
    </xf>
    <xf numFmtId="0" fontId="4" fillId="2" borderId="15" applyAlignment="1" pivotButton="0" quotePrefix="1" xfId="0">
      <alignment horizontal="center" vertical="center"/>
    </xf>
    <xf numFmtId="0" fontId="4" fillId="43" borderId="0" pivotButton="0" quotePrefix="0" xfId="0"/>
    <xf numFmtId="0" fontId="4" fillId="2" borderId="0" applyAlignment="1" pivotButton="0" quotePrefix="0" xfId="0">
      <alignment horizontal="right" vertical="center"/>
    </xf>
    <xf numFmtId="0" fontId="4" fillId="2" borderId="10" applyAlignment="1" pivotButton="0" quotePrefix="1" xfId="0">
      <alignment horizontal="center" vertical="center"/>
    </xf>
    <xf numFmtId="0" fontId="4" fillId="2" borderId="9" applyAlignment="1" pivotButton="0" quotePrefix="0" xfId="0">
      <alignment horizontal="center" vertical="center"/>
    </xf>
    <xf numFmtId="0" fontId="0" fillId="2" borderId="6" pivotButton="0" quotePrefix="0" xfId="0"/>
    <xf numFmtId="0" fontId="36" fillId="15" borderId="21" applyAlignment="1" pivotButton="0" quotePrefix="0" xfId="0">
      <alignment horizontal="center"/>
    </xf>
    <xf numFmtId="0" fontId="4" fillId="2" borderId="9" applyAlignment="1" pivotButton="0" quotePrefix="0" xfId="0">
      <alignment horizontal="center"/>
    </xf>
    <xf numFmtId="0" fontId="4" fillId="2" borderId="123" applyAlignment="1" pivotButton="0" quotePrefix="0" xfId="0">
      <alignment horizontal="center"/>
    </xf>
    <xf numFmtId="0" fontId="0" fillId="8" borderId="6" pivotButton="0" quotePrefix="0" xfId="0"/>
    <xf numFmtId="4" fontId="110" fillId="2" borderId="3" applyAlignment="1" pivotButton="0" quotePrefix="0" xfId="0">
      <alignment horizontal="center"/>
    </xf>
    <xf numFmtId="0" fontId="6" fillId="2" borderId="0" applyAlignment="1" pivotButton="0" quotePrefix="0" xfId="0">
      <alignment horizontal="right" vertical="center"/>
    </xf>
    <xf numFmtId="0" fontId="6" fillId="2" borderId="0" applyAlignment="1" pivotButton="0" quotePrefix="0" xfId="0">
      <alignment horizontal="left" vertical="center"/>
    </xf>
    <xf numFmtId="0" fontId="125" fillId="2" borderId="0" applyAlignment="1" pivotButton="0" quotePrefix="0" xfId="0">
      <alignment horizontal="right" vertical="center"/>
    </xf>
    <xf numFmtId="0" fontId="6" fillId="15" borderId="5" applyAlignment="1" pivotButton="0" quotePrefix="0" xfId="0">
      <alignment vertical="center"/>
    </xf>
    <xf numFmtId="0" fontId="6" fillId="15" borderId="20" applyAlignment="1" pivotButton="0" quotePrefix="0" xfId="0">
      <alignment vertical="center" wrapText="1"/>
    </xf>
    <xf numFmtId="4" fontId="22" fillId="2" borderId="0" applyAlignment="1" pivotButton="0" quotePrefix="0" xfId="0">
      <alignment horizontal="right"/>
    </xf>
    <xf numFmtId="0" fontId="36" fillId="2" borderId="0" applyAlignment="1" pivotButton="0" quotePrefix="0" xfId="0">
      <alignment horizontal="center"/>
    </xf>
    <xf numFmtId="0" fontId="106" fillId="2" borderId="0" applyAlignment="1" pivotButton="0" quotePrefix="0" xfId="0">
      <alignment horizontal="center"/>
    </xf>
    <xf numFmtId="0" fontId="106" fillId="0" borderId="0" applyAlignment="1" pivotButton="0" quotePrefix="0" xfId="0">
      <alignment horizontal="center"/>
    </xf>
    <xf numFmtId="0" fontId="57" fillId="2" borderId="3" applyAlignment="1" pivotButton="0" quotePrefix="0" xfId="0">
      <alignment horizontal="center"/>
    </xf>
    <xf numFmtId="0" fontId="6" fillId="2" borderId="27" applyAlignment="1" pivotButton="0" quotePrefix="0" xfId="0">
      <alignment horizontal="left" vertical="center" indent="1"/>
    </xf>
    <xf numFmtId="0" fontId="6" fillId="2" borderId="27" applyAlignment="1" pivotButton="0" quotePrefix="0" xfId="0">
      <alignment vertical="center"/>
    </xf>
    <xf numFmtId="0" fontId="143" fillId="8" borderId="0" applyAlignment="1" pivotButton="0" quotePrefix="0" xfId="0">
      <alignment vertical="top" wrapText="1"/>
    </xf>
    <xf numFmtId="0" fontId="6" fillId="2" borderId="0" applyAlignment="1" pivotButton="0" quotePrefix="1" xfId="0">
      <alignment horizontal="left" vertical="center" indent="1"/>
    </xf>
    <xf numFmtId="0" fontId="10" fillId="15" borderId="21" applyAlignment="1" pivotButton="0" quotePrefix="0" xfId="0">
      <alignment vertical="top" wrapText="1"/>
    </xf>
    <xf numFmtId="0" fontId="10" fillId="15" borderId="4" applyAlignment="1" pivotButton="0" quotePrefix="0" xfId="0">
      <alignment vertical="top" wrapText="1"/>
    </xf>
    <xf numFmtId="0" fontId="10" fillId="15" borderId="22" applyAlignment="1" pivotButton="0" quotePrefix="0" xfId="0">
      <alignment vertical="top" wrapText="1"/>
    </xf>
    <xf numFmtId="0" fontId="112" fillId="2" borderId="0" applyAlignment="1" pivotButton="0" quotePrefix="0" xfId="0">
      <alignment vertical="center"/>
    </xf>
    <xf numFmtId="0" fontId="0" fillId="5" borderId="65" pivotButton="0" quotePrefix="0" xfId="0"/>
    <xf numFmtId="0" fontId="0" fillId="2" borderId="120" pivotButton="0" quotePrefix="0" xfId="0"/>
    <xf numFmtId="0" fontId="9" fillId="2" borderId="120" applyAlignment="1" pivotButton="0" quotePrefix="0" xfId="0">
      <alignment horizontal="left"/>
    </xf>
    <xf numFmtId="0" fontId="4" fillId="2" borderId="120" applyAlignment="1" pivotButton="0" quotePrefix="0" xfId="0">
      <alignment horizontal="center"/>
    </xf>
    <xf numFmtId="0" fontId="10" fillId="2" borderId="120" applyAlignment="1" pivotButton="0" quotePrefix="0" xfId="0">
      <alignment horizontal="left"/>
    </xf>
    <xf numFmtId="0" fontId="10" fillId="2" borderId="120" applyAlignment="1" pivotButton="0" quotePrefix="0" xfId="0">
      <alignment horizontal="center"/>
    </xf>
    <xf numFmtId="0" fontId="112" fillId="2" borderId="120" pivotButton="0" quotePrefix="0" xfId="0"/>
    <xf numFmtId="0" fontId="10" fillId="2" borderId="120" applyAlignment="1" pivotButton="0" quotePrefix="0" xfId="0">
      <alignment horizontal="right"/>
    </xf>
    <xf numFmtId="0" fontId="10" fillId="2" borderId="4" applyAlignment="1" pivotButton="0" quotePrefix="0" xfId="0">
      <alignment horizontal="right"/>
    </xf>
    <xf numFmtId="0" fontId="4" fillId="2" borderId="4" applyAlignment="1" pivotButton="0" quotePrefix="0" xfId="0">
      <alignment horizontal="left"/>
    </xf>
    <xf numFmtId="0" fontId="8" fillId="2" borderId="4" applyAlignment="1" pivotButton="0" quotePrefix="0" xfId="0">
      <alignment horizontal="right"/>
    </xf>
    <xf numFmtId="0" fontId="8" fillId="2" borderId="4" applyAlignment="1" pivotButton="0" quotePrefix="0" xfId="0">
      <alignment horizontal="right" indent="1"/>
    </xf>
    <xf numFmtId="0" fontId="11" fillId="2" borderId="27" applyAlignment="1" pivotButton="0" quotePrefix="0" xfId="0">
      <alignment horizontal="left" vertical="center" indent="1"/>
    </xf>
    <xf numFmtId="0" fontId="47" fillId="2" borderId="27" applyAlignment="1" pivotButton="0" quotePrefix="0" xfId="0">
      <alignment vertical="center"/>
    </xf>
    <xf numFmtId="0" fontId="0" fillId="8" borderId="15" pivotButton="0" quotePrefix="0" xfId="0"/>
    <xf numFmtId="0" fontId="0" fillId="8" borderId="10" pivotButton="0" quotePrefix="0" xfId="0"/>
    <xf numFmtId="0" fontId="0" fillId="2" borderId="15" pivotButton="0" quotePrefix="0" xfId="0"/>
    <xf numFmtId="191" fontId="180" fillId="2" borderId="3" applyAlignment="1" pivotButton="0" quotePrefix="0" xfId="0">
      <alignment horizontal="center"/>
    </xf>
    <xf numFmtId="191" fontId="180" fillId="15" borderId="24" applyAlignment="1" pivotButton="0" quotePrefix="0" xfId="0">
      <alignment horizontal="center"/>
    </xf>
    <xf numFmtId="191" fontId="180" fillId="15" borderId="0" applyAlignment="1" pivotButton="0" quotePrefix="0" xfId="0">
      <alignment horizontal="center"/>
    </xf>
    <xf numFmtId="0" fontId="4" fillId="0" borderId="15" applyAlignment="1" pivotButton="0" quotePrefix="0" xfId="0">
      <alignment horizontal="center"/>
    </xf>
    <xf numFmtId="2" fontId="116" fillId="15" borderId="24" applyAlignment="1" pivotButton="0" quotePrefix="0" xfId="0">
      <alignment horizontal="center"/>
    </xf>
    <xf numFmtId="0" fontId="9" fillId="15" borderId="0" applyAlignment="1" pivotButton="0" quotePrefix="0" xfId="0">
      <alignment vertical="center"/>
    </xf>
    <xf numFmtId="14" fontId="6" fillId="2" borderId="6" applyAlignment="1" pivotButton="0" quotePrefix="0" xfId="0">
      <alignment horizontal="center" wrapText="1"/>
    </xf>
    <xf numFmtId="0" fontId="6" fillId="2" borderId="6" applyAlignment="1" pivotButton="0" quotePrefix="0" xfId="0">
      <alignment horizontal="center" wrapText="1"/>
    </xf>
    <xf numFmtId="0" fontId="4" fillId="2" borderId="10" applyAlignment="1" pivotButton="0" quotePrefix="0" xfId="0">
      <alignment horizontal="right" vertical="center"/>
    </xf>
    <xf numFmtId="0" fontId="12" fillId="17" borderId="0" pivotButton="0" quotePrefix="1" xfId="0"/>
    <xf numFmtId="0" fontId="167" fillId="15" borderId="12" applyAlignment="1" pivotButton="0" quotePrefix="0" xfId="0">
      <alignment vertical="center"/>
    </xf>
    <xf numFmtId="0" fontId="112" fillId="15" borderId="24" applyAlignment="1" pivotButton="0" quotePrefix="0" xfId="0">
      <alignment vertical="center"/>
    </xf>
    <xf numFmtId="0" fontId="146" fillId="2" borderId="3" pivotButton="0" quotePrefix="0" xfId="0"/>
    <xf numFmtId="0" fontId="10" fillId="15" borderId="24" applyAlignment="1" pivotButton="0" quotePrefix="0" xfId="0">
      <alignment vertical="center"/>
    </xf>
    <xf numFmtId="0" fontId="0" fillId="2" borderId="6" applyAlignment="1" pivotButton="0" quotePrefix="0" xfId="0">
      <alignment vertical="top"/>
    </xf>
    <xf numFmtId="0" fontId="4" fillId="2" borderId="6" applyAlignment="1" pivotButton="0" quotePrefix="0" xfId="0">
      <alignment horizontal="right" vertical="center"/>
    </xf>
    <xf numFmtId="0" fontId="40" fillId="15" borderId="8" applyAlignment="1" pivotButton="0" quotePrefix="0" xfId="0">
      <alignment vertical="center"/>
    </xf>
    <xf numFmtId="0" fontId="40" fillId="15" borderId="1" applyAlignment="1" pivotButton="0" quotePrefix="0" xfId="0">
      <alignment vertical="center"/>
    </xf>
    <xf numFmtId="0" fontId="0" fillId="35" borderId="1" applyAlignment="1" pivotButton="0" quotePrefix="0" xfId="0">
      <alignment vertical="top"/>
    </xf>
    <xf numFmtId="0" fontId="0" fillId="8" borderId="3" pivotButton="0" quotePrefix="0" xfId="0"/>
    <xf numFmtId="0" fontId="0" fillId="8" borderId="24" pivotButton="0" quotePrefix="0" xfId="0"/>
    <xf numFmtId="0" fontId="0" fillId="8" borderId="9" pivotButton="0" quotePrefix="0" xfId="0"/>
    <xf numFmtId="0" fontId="0" fillId="8" borderId="11" pivotButton="0" quotePrefix="0" xfId="0"/>
    <xf numFmtId="0" fontId="0" fillId="8" borderId="39" pivotButton="0" quotePrefix="0" xfId="0"/>
    <xf numFmtId="0" fontId="0" fillId="8" borderId="54" pivotButton="0" quotePrefix="0" xfId="0"/>
    <xf numFmtId="0" fontId="0" fillId="8" borderId="30" pivotButton="0" quotePrefix="0" xfId="0"/>
    <xf numFmtId="0" fontId="0" fillId="8" borderId="14" pivotButton="0" quotePrefix="0" xfId="0"/>
    <xf numFmtId="0" fontId="0" fillId="8" borderId="8" pivotButton="0" quotePrefix="0" xfId="0"/>
    <xf numFmtId="0" fontId="0" fillId="8" borderId="1" pivotButton="0" quotePrefix="0" xfId="0"/>
    <xf numFmtId="0" fontId="14" fillId="2" borderId="8" applyAlignment="1" pivotButton="0" quotePrefix="0" xfId="0">
      <alignment vertical="center"/>
    </xf>
    <xf numFmtId="0" fontId="6" fillId="2" borderId="8" applyAlignment="1" pivotButton="0" quotePrefix="0" xfId="0">
      <alignment vertical="center"/>
    </xf>
    <xf numFmtId="0" fontId="15" fillId="2" borderId="0" applyAlignment="1" pivotButton="0" quotePrefix="0" xfId="0">
      <alignment horizontal="center" vertical="center"/>
    </xf>
    <xf numFmtId="0" fontId="4" fillId="2" borderId="10" applyAlignment="1" pivotButton="0" quotePrefix="0" xfId="0">
      <alignment horizontal="center"/>
    </xf>
    <xf numFmtId="0" fontId="0" fillId="2" borderId="156" pivotButton="0" quotePrefix="0" xfId="0"/>
    <xf numFmtId="0" fontId="10" fillId="2" borderId="120" applyAlignment="1" pivotButton="0" quotePrefix="0" xfId="0">
      <alignment horizontal="left" vertical="center"/>
    </xf>
    <xf numFmtId="1" fontId="110" fillId="15" borderId="0" pivotButton="0" quotePrefix="0" xfId="0"/>
    <xf numFmtId="0" fontId="11" fillId="15" borderId="30" applyAlignment="1" pivotButton="0" quotePrefix="0" xfId="0">
      <alignment vertical="center"/>
    </xf>
    <xf numFmtId="187" fontId="110" fillId="15" borderId="0" applyAlignment="1" pivotButton="0" quotePrefix="0" xfId="0">
      <alignment horizontal="center"/>
    </xf>
    <xf numFmtId="0" fontId="5" fillId="15" borderId="0" applyAlignment="1" pivotButton="0" quotePrefix="0" xfId="0">
      <alignment horizontal="right" vertical="center"/>
    </xf>
    <xf numFmtId="0" fontId="47" fillId="15" borderId="3" pivotButton="0" quotePrefix="0" xfId="0"/>
    <xf numFmtId="0" fontId="4" fillId="15" borderId="1" applyAlignment="1" pivotButton="0" quotePrefix="0" xfId="0">
      <alignment horizontal="left" vertical="center" wrapText="1"/>
    </xf>
    <xf numFmtId="0" fontId="15" fillId="15" borderId="30" applyAlignment="1" pivotButton="0" quotePrefix="0" xfId="0">
      <alignment horizontal="left" vertical="center" wrapText="1"/>
    </xf>
    <xf numFmtId="0" fontId="4" fillId="15" borderId="15" pivotButton="0" quotePrefix="0" xfId="0"/>
    <xf numFmtId="0" fontId="15" fillId="15" borderId="3" applyAlignment="1" pivotButton="0" quotePrefix="0" xfId="0">
      <alignment horizontal="left" vertical="center" wrapText="1"/>
    </xf>
    <xf numFmtId="0" fontId="4" fillId="15" borderId="0" applyAlignment="1" pivotButton="0" quotePrefix="0" xfId="0">
      <alignment horizontal="left" vertical="center" wrapText="1"/>
    </xf>
    <xf numFmtId="0" fontId="4" fillId="15" borderId="6" pivotButton="0" quotePrefix="0" xfId="0"/>
    <xf numFmtId="0" fontId="15" fillId="15" borderId="9" applyAlignment="1" pivotButton="0" quotePrefix="0" xfId="0">
      <alignment horizontal="left" vertical="center" wrapText="1"/>
    </xf>
    <xf numFmtId="0" fontId="15" fillId="15" borderId="1" applyAlignment="1" pivotButton="0" quotePrefix="0" xfId="0">
      <alignment horizontal="left" vertical="center" wrapText="1"/>
    </xf>
    <xf numFmtId="0" fontId="4" fillId="15" borderId="10" pivotButton="0" quotePrefix="0" xfId="0"/>
    <xf numFmtId="0" fontId="15" fillId="15" borderId="24" applyAlignment="1" pivotButton="0" quotePrefix="0" xfId="0">
      <alignment horizontal="left" vertical="center" wrapText="1"/>
    </xf>
    <xf numFmtId="0" fontId="4" fillId="17" borderId="12" applyAlignment="1" pivotButton="0" quotePrefix="0" xfId="0">
      <alignment vertical="center"/>
    </xf>
    <xf numFmtId="0" fontId="4" fillId="8" borderId="39" applyAlignment="1" pivotButton="0" quotePrefix="0" xfId="0">
      <alignment horizontal="center" vertical="center" wrapText="1"/>
    </xf>
    <xf numFmtId="0" fontId="4" fillId="8" borderId="54" applyAlignment="1" pivotButton="0" quotePrefix="0" xfId="0">
      <alignment horizontal="center" vertical="center" wrapText="1"/>
    </xf>
    <xf numFmtId="0" fontId="4" fillId="8" borderId="30" applyAlignment="1" pivotButton="0" quotePrefix="0" xfId="0">
      <alignment horizontal="center" vertical="center" wrapText="1"/>
    </xf>
    <xf numFmtId="0" fontId="4" fillId="8" borderId="8" applyAlignment="1" pivotButton="0" quotePrefix="0" xfId="0">
      <alignment horizontal="center" vertical="center" wrapText="1"/>
    </xf>
    <xf numFmtId="0" fontId="4" fillId="15" borderId="12" applyAlignment="1" pivotButton="0" quotePrefix="1" xfId="0">
      <alignment horizontal="right" indent="1"/>
    </xf>
    <xf numFmtId="0" fontId="4" fillId="8" borderId="14" applyAlignment="1" pivotButton="0" quotePrefix="0" xfId="0">
      <alignment horizontal="center" vertical="center" wrapText="1"/>
    </xf>
    <xf numFmtId="0" fontId="4" fillId="8" borderId="3" applyAlignment="1" pivotButton="0" quotePrefix="0" xfId="0">
      <alignment horizontal="center" vertical="center" wrapText="1"/>
    </xf>
    <xf numFmtId="0" fontId="4" fillId="8" borderId="0" applyAlignment="1" pivotButton="0" quotePrefix="0" xfId="0">
      <alignment horizontal="center" vertical="center" wrapText="1"/>
    </xf>
    <xf numFmtId="0" fontId="4" fillId="8" borderId="24" applyAlignment="1" pivotButton="0" quotePrefix="0" xfId="0">
      <alignment horizontal="center" vertical="center" wrapText="1"/>
    </xf>
    <xf numFmtId="0" fontId="199" fillId="2" borderId="3" applyAlignment="1" pivotButton="0" quotePrefix="0" xfId="0">
      <alignment horizontal="center" vertical="center" wrapText="1"/>
    </xf>
    <xf numFmtId="37" fontId="199" fillId="2" borderId="24" applyAlignment="1" pivotButton="0" quotePrefix="0" xfId="0">
      <alignment horizontal="center" vertical="center" wrapText="1"/>
    </xf>
    <xf numFmtId="0" fontId="143" fillId="2" borderId="3" applyAlignment="1" pivotButton="0" quotePrefix="0" xfId="0">
      <alignment horizontal="center" vertical="center" wrapText="1"/>
    </xf>
    <xf numFmtId="171" fontId="112" fillId="2" borderId="24" applyAlignment="1" pivotButton="0" quotePrefix="0" xfId="0">
      <alignment horizontal="center" vertical="center" wrapText="1"/>
    </xf>
    <xf numFmtId="0" fontId="125" fillId="2" borderId="3" applyAlignment="1" pivotButton="0" quotePrefix="0" xfId="0">
      <alignment horizontal="center" vertical="center" wrapText="1"/>
    </xf>
    <xf numFmtId="0" fontId="4" fillId="15" borderId="10" applyAlignment="1" pivotButton="0" quotePrefix="1" xfId="0">
      <alignment horizontal="right" indent="1"/>
    </xf>
    <xf numFmtId="0" fontId="121" fillId="2" borderId="3" applyAlignment="1" pivotButton="0" quotePrefix="0" xfId="0">
      <alignment horizontal="center" vertical="center" wrapText="1"/>
    </xf>
    <xf numFmtId="0" fontId="121" fillId="2" borderId="24" applyAlignment="1" pivotButton="0" quotePrefix="0" xfId="0">
      <alignment horizontal="center" vertical="center" wrapText="1"/>
    </xf>
    <xf numFmtId="0" fontId="117" fillId="2" borderId="3" applyAlignment="1" pivotButton="0" quotePrefix="0" xfId="0">
      <alignment horizontal="center" vertical="center" wrapText="1"/>
    </xf>
    <xf numFmtId="0" fontId="8" fillId="15" borderId="1" applyAlignment="1" pivotButton="0" quotePrefix="0" xfId="0">
      <alignment horizontal="center" vertical="top" wrapText="1"/>
    </xf>
    <xf numFmtId="0" fontId="4" fillId="2" borderId="1" applyAlignment="1" pivotButton="0" quotePrefix="0" xfId="0">
      <alignment horizontal="right" vertical="center"/>
    </xf>
    <xf numFmtId="0" fontId="4" fillId="8" borderId="1" applyAlignment="1" pivotButton="0" quotePrefix="0" xfId="0">
      <alignment horizontal="center" vertical="center" wrapText="1"/>
    </xf>
    <xf numFmtId="0" fontId="4" fillId="8" borderId="11" applyAlignment="1" pivotButton="0" quotePrefix="0" xfId="0">
      <alignment horizontal="center" vertical="center" wrapText="1"/>
    </xf>
    <xf numFmtId="0" fontId="4" fillId="2" borderId="3" applyAlignment="1" pivotButton="0" quotePrefix="0" xfId="0">
      <alignment horizontal="center" vertical="center" wrapText="1"/>
    </xf>
    <xf numFmtId="0" fontId="4" fillId="2" borderId="24" applyAlignment="1" pivotButton="0" quotePrefix="0" xfId="0">
      <alignment horizontal="center" vertical="center" wrapText="1"/>
    </xf>
    <xf numFmtId="0" fontId="10" fillId="2" borderId="3" applyAlignment="1" pivotButton="0" quotePrefix="0" xfId="0">
      <alignment horizontal="center" vertical="center" wrapText="1"/>
    </xf>
    <xf numFmtId="0" fontId="4" fillId="8" borderId="9" applyAlignment="1" pivotButton="0" quotePrefix="0" xfId="0">
      <alignment horizontal="center" vertical="center" wrapText="1"/>
    </xf>
    <xf numFmtId="37" fontId="199" fillId="2" borderId="0" applyAlignment="1" pivotButton="0" quotePrefix="0" xfId="0">
      <alignment horizontal="center" vertical="center" wrapText="1"/>
    </xf>
    <xf numFmtId="171" fontId="112" fillId="2" borderId="0" applyAlignment="1" pivotButton="0" quotePrefix="0" xfId="0">
      <alignment horizontal="center" vertical="center" wrapText="1"/>
    </xf>
    <xf numFmtId="0" fontId="121" fillId="2" borderId="0" applyAlignment="1" pivotButton="0" quotePrefix="0" xfId="0">
      <alignment horizontal="center" vertical="center" wrapText="1"/>
    </xf>
    <xf numFmtId="0" fontId="8" fillId="15" borderId="0" applyAlignment="1" pivotButton="0" quotePrefix="0" xfId="0">
      <alignment horizontal="center" vertical="top" wrapText="1"/>
    </xf>
    <xf numFmtId="0" fontId="15" fillId="15" borderId="8" applyAlignment="1" pivotButton="0" quotePrefix="0" xfId="0">
      <alignment horizontal="center" vertical="center" wrapText="1"/>
    </xf>
    <xf numFmtId="0" fontId="11" fillId="15" borderId="0" applyAlignment="1" pivotButton="0" quotePrefix="0" xfId="0">
      <alignment horizontal="right" indent="1"/>
    </xf>
    <xf numFmtId="0" fontId="0" fillId="8" borderId="71" pivotButton="0" quotePrefix="0" xfId="0"/>
    <xf numFmtId="0" fontId="0" fillId="8" borderId="16" pivotButton="0" quotePrefix="0" xfId="0"/>
    <xf numFmtId="0" fontId="0" fillId="8" borderId="32" pivotButton="0" quotePrefix="0" xfId="0"/>
    <xf numFmtId="0" fontId="0" fillId="8" borderId="100" pivotButton="0" quotePrefix="0" xfId="0"/>
    <xf numFmtId="0" fontId="0" fillId="8" borderId="75" pivotButton="0" quotePrefix="0" xfId="0"/>
    <xf numFmtId="171" fontId="320" fillId="42" borderId="1" applyAlignment="1" pivotButton="0" quotePrefix="0" xfId="0">
      <alignment horizontal="center" wrapText="1"/>
    </xf>
    <xf numFmtId="167" fontId="320" fillId="42" borderId="1" applyAlignment="1" pivotButton="0" quotePrefix="0" xfId="0">
      <alignment horizontal="right" wrapText="1"/>
    </xf>
    <xf numFmtId="167" fontId="320" fillId="42" borderId="1" applyAlignment="1" pivotButton="0" quotePrefix="0" xfId="0">
      <alignment horizontal="right"/>
    </xf>
    <xf numFmtId="167" fontId="319" fillId="42" borderId="1" applyAlignment="1" pivotButton="0" quotePrefix="0" xfId="0">
      <alignment horizontal="right"/>
    </xf>
    <xf numFmtId="14" fontId="0" fillId="15" borderId="0" pivotButton="0" quotePrefix="0" xfId="0"/>
    <xf numFmtId="167" fontId="8" fillId="27" borderId="43" applyAlignment="1" pivotButton="0" quotePrefix="0" xfId="0">
      <alignment horizontal="right"/>
    </xf>
    <xf numFmtId="167" fontId="8" fillId="27" borderId="66" applyAlignment="1" pivotButton="0" quotePrefix="0" xfId="0">
      <alignment horizontal="right"/>
    </xf>
    <xf numFmtId="191" fontId="110" fillId="0" borderId="0" applyAlignment="1" pivotButton="0" quotePrefix="0" xfId="0">
      <alignment horizontal="center"/>
    </xf>
    <xf numFmtId="167" fontId="8" fillId="27" borderId="12" applyAlignment="1" pivotButton="0" quotePrefix="0" xfId="0">
      <alignment horizontal="right"/>
    </xf>
    <xf numFmtId="167" fontId="8" fillId="27" borderId="58" applyAlignment="1" pivotButton="0" quotePrefix="0" xfId="0">
      <alignment horizontal="right"/>
    </xf>
    <xf numFmtId="14" fontId="6" fillId="0" borderId="0" pivotButton="0" quotePrefix="0" xfId="0"/>
    <xf numFmtId="167" fontId="8" fillId="27" borderId="51" applyAlignment="1" pivotButton="0" quotePrefix="0" xfId="0">
      <alignment horizontal="right"/>
    </xf>
    <xf numFmtId="167" fontId="8" fillId="27" borderId="110" applyAlignment="1" pivotButton="0" quotePrefix="0" xfId="0">
      <alignment horizontal="right"/>
    </xf>
    <xf numFmtId="0" fontId="0" fillId="8" borderId="72" pivotButton="0" quotePrefix="0" xfId="0"/>
    <xf numFmtId="0" fontId="0" fillId="8" borderId="13" pivotButton="0" quotePrefix="0" xfId="0"/>
    <xf numFmtId="0" fontId="0" fillId="8" borderId="33" pivotButton="0" quotePrefix="0" xfId="0"/>
    <xf numFmtId="0" fontId="4" fillId="15" borderId="15" applyAlignment="1" pivotButton="0" quotePrefix="0" xfId="0">
      <alignment horizontal="center" vertical="center"/>
    </xf>
    <xf numFmtId="37" fontId="11" fillId="15" borderId="3" applyAlignment="1" pivotButton="0" quotePrefix="0" xfId="0">
      <alignment vertical="center"/>
    </xf>
    <xf numFmtId="37" fontId="0" fillId="0" borderId="0" applyAlignment="1" pivotButton="0" quotePrefix="0" xfId="0">
      <alignment vertical="center"/>
    </xf>
    <xf numFmtId="0" fontId="15" fillId="23" borderId="0" applyAlignment="1" applyProtection="1" pivotButton="0" quotePrefix="0" xfId="0">
      <alignment horizontal="center" vertical="center"/>
      <protection locked="0" hidden="0"/>
    </xf>
    <xf numFmtId="1" fontId="112" fillId="15" borderId="0" applyAlignment="1" pivotButton="0" quotePrefix="0" xfId="0">
      <alignment horizontal="center"/>
    </xf>
    <xf numFmtId="1" fontId="112" fillId="15" borderId="3" applyAlignment="1" pivotButton="0" quotePrefix="0" xfId="0">
      <alignment horizontal="center" vertical="top" wrapText="1"/>
    </xf>
    <xf numFmtId="37" fontId="0" fillId="15" borderId="0" applyAlignment="1" pivotButton="0" quotePrefix="0" xfId="0">
      <alignment vertical="top" wrapText="1"/>
    </xf>
    <xf numFmtId="0" fontId="12" fillId="15" borderId="20" pivotButton="0" quotePrefix="0" xfId="0"/>
    <xf numFmtId="0" fontId="6" fillId="2" borderId="5" applyAlignment="1" pivotButton="0" quotePrefix="0" xfId="0">
      <alignment wrapText="1"/>
    </xf>
    <xf numFmtId="0" fontId="6" fillId="2" borderId="21" applyAlignment="1" pivotButton="0" quotePrefix="0" xfId="0">
      <alignment wrapText="1"/>
    </xf>
    <xf numFmtId="0" fontId="233" fillId="15" borderId="0" applyAlignment="1" pivotButton="0" quotePrefix="0" xfId="0">
      <alignment horizontal="center" vertical="center"/>
    </xf>
    <xf numFmtId="0" fontId="20" fillId="2" borderId="1" applyAlignment="1" pivotButton="0" quotePrefix="0" xfId="0">
      <alignment horizontal="left" vertical="center" indent="2"/>
    </xf>
    <xf numFmtId="0" fontId="20" fillId="2" borderId="0" applyAlignment="1" pivotButton="0" quotePrefix="0" xfId="0">
      <alignment horizontal="left" vertical="center" indent="2"/>
    </xf>
    <xf numFmtId="0" fontId="163" fillId="8" borderId="0" pivotButton="0" quotePrefix="0" xfId="0"/>
    <xf numFmtId="0" fontId="6" fillId="15" borderId="23" pivotButton="0" quotePrefix="0" xfId="0"/>
    <xf numFmtId="37" fontId="0" fillId="15" borderId="7" pivotButton="0" quotePrefix="0" xfId="0"/>
    <xf numFmtId="0" fontId="6" fillId="15" borderId="23" applyAlignment="1" pivotButton="0" quotePrefix="0" xfId="0">
      <alignment vertical="center"/>
    </xf>
    <xf numFmtId="0" fontId="0" fillId="2" borderId="15" applyAlignment="1" pivotButton="0" quotePrefix="0" xfId="0">
      <alignment vertical="center"/>
    </xf>
    <xf numFmtId="0" fontId="0" fillId="8" borderId="0" applyAlignment="1" pivotButton="0" quotePrefix="0" xfId="0">
      <alignment vertical="center"/>
    </xf>
    <xf numFmtId="0" fontId="0" fillId="15" borderId="19" applyAlignment="1" pivotButton="0" quotePrefix="0" xfId="0">
      <alignment vertical="center"/>
    </xf>
    <xf numFmtId="0" fontId="233" fillId="8" borderId="0" applyAlignment="1" pivotButton="0" quotePrefix="0" xfId="0">
      <alignment horizontal="center" vertical="center"/>
    </xf>
    <xf numFmtId="0" fontId="233" fillId="8" borderId="0" applyAlignment="1" pivotButton="0" quotePrefix="0" xfId="0">
      <alignment horizontal="center"/>
    </xf>
    <xf numFmtId="0" fontId="22" fillId="8" borderId="0" pivotButton="0" quotePrefix="0" xfId="0"/>
    <xf numFmtId="0" fontId="4" fillId="2" borderId="0" applyAlignment="1" pivotButton="0" quotePrefix="1" xfId="0">
      <alignment horizontal="right" vertical="center"/>
    </xf>
    <xf numFmtId="3" fontId="0" fillId="15" borderId="0" pivotButton="0" quotePrefix="0" xfId="0"/>
    <xf numFmtId="0" fontId="207" fillId="8" borderId="0" applyAlignment="1" pivotButton="0" quotePrefix="0" xfId="0">
      <alignment horizontal="center"/>
    </xf>
    <xf numFmtId="0" fontId="4" fillId="2" borderId="3" applyAlignment="1" pivotButton="0" quotePrefix="0" xfId="0">
      <alignment horizontal="center"/>
    </xf>
    <xf numFmtId="0" fontId="4" fillId="2" borderId="6" applyAlignment="1" pivotButton="0" quotePrefix="0" xfId="0">
      <alignment horizontal="center"/>
    </xf>
    <xf numFmtId="0" fontId="207" fillId="8" borderId="0" applyAlignment="1" pivotButton="0" quotePrefix="0" xfId="0">
      <alignment vertical="center" wrapText="1"/>
    </xf>
    <xf numFmtId="0" fontId="110" fillId="2" borderId="8" pivotButton="0" quotePrefix="0" xfId="0"/>
    <xf numFmtId="0" fontId="4" fillId="2" borderId="28" applyAlignment="1" pivotButton="0" quotePrefix="0" xfId="0">
      <alignment horizontal="center"/>
    </xf>
    <xf numFmtId="0" fontId="207" fillId="8" borderId="4" applyAlignment="1" pivotButton="0" quotePrefix="0" xfId="0">
      <alignment vertical="center" wrapText="1"/>
    </xf>
    <xf numFmtId="37" fontId="6" fillId="15" borderId="0" applyAlignment="1" pivotButton="0" quotePrefix="0" xfId="0">
      <alignment horizontal="right"/>
    </xf>
    <xf numFmtId="176" fontId="0" fillId="15" borderId="0" applyAlignment="1" pivotButton="0" quotePrefix="0" xfId="0">
      <alignment horizontal="center"/>
    </xf>
    <xf numFmtId="0" fontId="6" fillId="15" borderId="3" applyAlignment="1" pivotButton="0" quotePrefix="1" xfId="0">
      <alignment horizontal="center"/>
    </xf>
    <xf numFmtId="37" fontId="6" fillId="15" borderId="109" applyAlignment="1" pivotButton="0" quotePrefix="0" xfId="0">
      <alignment horizontal="right"/>
    </xf>
    <xf numFmtId="37" fontId="6" fillId="15" borderId="43" applyAlignment="1" pivotButton="0" quotePrefix="0" xfId="0">
      <alignment horizontal="right"/>
    </xf>
    <xf numFmtId="37" fontId="6" fillId="15" borderId="66" applyAlignment="1" pivotButton="0" quotePrefix="0" xfId="0">
      <alignment horizontal="right"/>
    </xf>
    <xf numFmtId="37" fontId="6" fillId="15" borderId="24" applyAlignment="1" pivotButton="0" quotePrefix="0" xfId="0">
      <alignment horizontal="right"/>
    </xf>
    <xf numFmtId="37" fontId="6" fillId="15" borderId="46" applyAlignment="1" pivotButton="0" quotePrefix="0" xfId="0">
      <alignment horizontal="right"/>
    </xf>
    <xf numFmtId="37" fontId="6" fillId="15" borderId="12" applyAlignment="1" pivotButton="0" quotePrefix="0" xfId="0">
      <alignment horizontal="right"/>
    </xf>
    <xf numFmtId="37" fontId="6" fillId="15" borderId="58" applyAlignment="1" pivotButton="0" quotePrefix="0" xfId="0">
      <alignment horizontal="right"/>
    </xf>
    <xf numFmtId="0" fontId="0" fillId="15" borderId="50" pivotButton="0" quotePrefix="0" xfId="0"/>
    <xf numFmtId="0" fontId="0" fillId="15" borderId="51" pivotButton="0" quotePrefix="0" xfId="0"/>
    <xf numFmtId="0" fontId="0" fillId="15" borderId="110" pivotButton="0" quotePrefix="0" xfId="0"/>
    <xf numFmtId="0" fontId="4" fillId="2" borderId="51" applyAlignment="1" pivotButton="0" quotePrefix="0" xfId="0">
      <alignment horizontal="center"/>
    </xf>
    <xf numFmtId="0" fontId="4" fillId="2" borderId="69" applyAlignment="1" pivotButton="0" quotePrefix="0" xfId="0">
      <alignment horizontal="center"/>
    </xf>
    <xf numFmtId="0" fontId="8" fillId="15" borderId="0" applyAlignment="1" pivotButton="0" quotePrefix="0" xfId="0">
      <alignment wrapText="1"/>
    </xf>
    <xf numFmtId="0" fontId="4" fillId="2" borderId="24" applyAlignment="1" pivotButton="0" quotePrefix="0" xfId="0">
      <alignment horizontal="right" vertical="center"/>
    </xf>
    <xf numFmtId="37" fontId="6" fillId="15" borderId="20" pivotButton="0" quotePrefix="0" xfId="0"/>
    <xf numFmtId="0" fontId="12" fillId="0" borderId="109" applyAlignment="1" pivotButton="0" quotePrefix="0" xfId="0">
      <alignment horizontal="center"/>
    </xf>
    <xf numFmtId="0" fontId="12" fillId="0" borderId="43" applyAlignment="1" pivotButton="0" quotePrefix="0" xfId="0">
      <alignment horizontal="center"/>
    </xf>
    <xf numFmtId="0" fontId="10" fillId="0" borderId="66" applyAlignment="1" pivotButton="0" quotePrefix="0" xfId="0">
      <alignment horizontal="center"/>
    </xf>
    <xf numFmtId="0" fontId="6" fillId="15" borderId="20" applyAlignment="1" pivotButton="0" quotePrefix="0" xfId="0">
      <alignment horizontal="right"/>
    </xf>
    <xf numFmtId="37" fontId="6" fillId="0" borderId="46" pivotButton="0" quotePrefix="0" xfId="0"/>
    <xf numFmtId="37" fontId="6" fillId="0" borderId="12" pivotButton="0" quotePrefix="0" xfId="0"/>
    <xf numFmtId="37" fontId="6" fillId="0" borderId="58" pivotButton="0" quotePrefix="0" xfId="0"/>
    <xf numFmtId="0" fontId="4" fillId="2" borderId="30" applyAlignment="1" pivotButton="0" quotePrefix="0" xfId="0">
      <alignment horizontal="center"/>
    </xf>
    <xf numFmtId="37" fontId="6" fillId="0" borderId="50" pivotButton="0" quotePrefix="0" xfId="0"/>
    <xf numFmtId="37" fontId="6" fillId="0" borderId="51" pivotButton="0" quotePrefix="0" xfId="0"/>
    <xf numFmtId="37" fontId="6" fillId="0" borderId="110" pivotButton="0" quotePrefix="0" xfId="0"/>
    <xf numFmtId="0" fontId="4" fillId="2" borderId="4" applyAlignment="1" pivotButton="0" quotePrefix="0" xfId="0">
      <alignment vertical="top"/>
    </xf>
    <xf numFmtId="0" fontId="0" fillId="2" borderId="4" applyAlignment="1" pivotButton="0" quotePrefix="0" xfId="0">
      <alignment vertical="center"/>
    </xf>
    <xf numFmtId="0" fontId="4" fillId="2" borderId="4" applyAlignment="1" pivotButton="0" quotePrefix="0" xfId="0">
      <alignment horizontal="right" vertical="center"/>
    </xf>
    <xf numFmtId="0" fontId="0" fillId="13" borderId="25" pivotButton="0" quotePrefix="0" xfId="0"/>
    <xf numFmtId="0" fontId="75" fillId="13" borderId="25" applyAlignment="1" pivotButton="0" quotePrefix="0" xfId="0">
      <alignment horizontal="center" vertical="center"/>
    </xf>
    <xf numFmtId="0" fontId="4" fillId="13" borderId="25" pivotButton="0" quotePrefix="0" xfId="0"/>
    <xf numFmtId="0" fontId="11" fillId="2" borderId="25" applyAlignment="1" pivotButton="0" quotePrefix="0" xfId="0">
      <alignment vertical="center"/>
    </xf>
    <xf numFmtId="0" fontId="0" fillId="2" borderId="25" pivotButton="0" quotePrefix="0" xfId="0"/>
    <xf numFmtId="37" fontId="6" fillId="15" borderId="50" pivotButton="0" quotePrefix="0" xfId="0"/>
    <xf numFmtId="37" fontId="6" fillId="15" borderId="110" pivotButton="0" quotePrefix="0" xfId="0"/>
    <xf numFmtId="0" fontId="57" fillId="38" borderId="0" applyAlignment="1" pivotButton="0" quotePrefix="0" xfId="0">
      <alignment horizontal="center"/>
    </xf>
    <xf numFmtId="0" fontId="6" fillId="2" borderId="1" applyAlignment="1" pivotButton="0" quotePrefix="0" xfId="0">
      <alignment vertical="center"/>
    </xf>
    <xf numFmtId="0" fontId="4" fillId="2" borderId="11" applyAlignment="1" pivotButton="0" quotePrefix="0" xfId="0">
      <alignment horizontal="right"/>
    </xf>
    <xf numFmtId="0" fontId="8" fillId="2" borderId="0" applyAlignment="1" pivotButton="0" quotePrefix="0" xfId="0">
      <alignment horizontal="right" indent="2"/>
    </xf>
    <xf numFmtId="0" fontId="4" fillId="2" borderId="24" applyAlignment="1" pivotButton="0" quotePrefix="0" xfId="0">
      <alignment horizontal="right"/>
    </xf>
    <xf numFmtId="0" fontId="0" fillId="15" borderId="65" pivotButton="0" quotePrefix="0" xfId="0"/>
    <xf numFmtId="0" fontId="77" fillId="2" borderId="0" applyAlignment="1" pivotButton="0" quotePrefix="0" xfId="0">
      <alignment horizontal="right" vertical="top" wrapText="1"/>
    </xf>
    <xf numFmtId="0" fontId="77" fillId="2" borderId="0" applyAlignment="1" pivotButton="0" quotePrefix="0" xfId="0">
      <alignment horizontal="right" wrapText="1"/>
    </xf>
    <xf numFmtId="176" fontId="6" fillId="15" borderId="0" applyAlignment="1" pivotButton="0" quotePrefix="0" xfId="0">
      <alignment horizontal="center"/>
    </xf>
    <xf numFmtId="0" fontId="77" fillId="2" borderId="4" applyAlignment="1" pivotButton="0" quotePrefix="0" xfId="0">
      <alignment horizontal="right" vertical="top" wrapText="1"/>
    </xf>
    <xf numFmtId="0" fontId="0" fillId="5" borderId="159" pivotButton="0" quotePrefix="0" xfId="0"/>
    <xf numFmtId="0" fontId="6" fillId="15" borderId="7" applyAlignment="1" pivotButton="0" quotePrefix="0" xfId="0">
      <alignment horizontal="left" vertical="top"/>
    </xf>
    <xf numFmtId="0" fontId="6" fillId="15" borderId="7" applyAlignment="1" pivotButton="0" quotePrefix="0" xfId="0">
      <alignment vertical="top"/>
    </xf>
    <xf numFmtId="0" fontId="6" fillId="15" borderId="7" applyAlignment="1" pivotButton="0" quotePrefix="0" xfId="0">
      <alignment horizontal="right" vertical="top"/>
    </xf>
    <xf numFmtId="37" fontId="6" fillId="15" borderId="7" applyAlignment="1" pivotButton="0" quotePrefix="0" xfId="0">
      <alignment vertical="top"/>
    </xf>
    <xf numFmtId="0" fontId="110" fillId="15" borderId="7" applyAlignment="1" pivotButton="0" quotePrefix="0" xfId="0">
      <alignment vertical="top"/>
    </xf>
    <xf numFmtId="0" fontId="146" fillId="15" borderId="7" applyAlignment="1" pivotButton="0" quotePrefix="0" xfId="0">
      <alignment vertical="top"/>
    </xf>
    <xf numFmtId="0" fontId="12" fillId="2" borderId="0" applyAlignment="1" pivotButton="0" quotePrefix="0" xfId="0">
      <alignment horizontal="right" vertical="top"/>
    </xf>
    <xf numFmtId="0" fontId="0" fillId="5" borderId="159" applyAlignment="1" pivotButton="0" quotePrefix="0" xfId="0">
      <alignment vertical="top"/>
    </xf>
    <xf numFmtId="0" fontId="0" fillId="8" borderId="159" pivotButton="0" quotePrefix="0" xfId="0"/>
    <xf numFmtId="0" fontId="143" fillId="2" borderId="0" applyAlignment="1" pivotButton="0" quotePrefix="0" xfId="0">
      <alignment horizontal="left" indent="1"/>
    </xf>
    <xf numFmtId="0" fontId="20" fillId="2" borderId="0" pivotButton="0" quotePrefix="0" xfId="0"/>
    <xf numFmtId="0" fontId="20" fillId="2" borderId="0" applyAlignment="1" pivotButton="0" quotePrefix="0" xfId="0">
      <alignment horizontal="center"/>
    </xf>
    <xf numFmtId="0" fontId="20" fillId="5" borderId="0" applyAlignment="1" pivotButton="0" quotePrefix="0" xfId="0">
      <alignment horizontal="center" vertical="center"/>
    </xf>
    <xf numFmtId="37" fontId="146" fillId="15" borderId="0" pivotButton="0" quotePrefix="0" xfId="0"/>
    <xf numFmtId="0" fontId="4" fillId="2" borderId="15" applyAlignment="1" pivotButton="0" quotePrefix="0" xfId="0">
      <alignment horizontal="center"/>
    </xf>
    <xf numFmtId="37" fontId="6" fillId="15" borderId="0" applyAlignment="1" pivotButton="0" quotePrefix="0" xfId="0">
      <alignment horizontal="left"/>
    </xf>
    <xf numFmtId="0" fontId="110" fillId="0" borderId="0" applyProtection="1" pivotButton="0" quotePrefix="0" xfId="0">
      <protection locked="0" hidden="0"/>
    </xf>
    <xf numFmtId="0" fontId="21" fillId="15" borderId="0" applyAlignment="1" pivotButton="0" quotePrefix="0" xfId="0">
      <alignment horizontal="centerContinuous"/>
    </xf>
    <xf numFmtId="0" fontId="85" fillId="15" borderId="0" applyAlignment="1" pivotButton="0" quotePrefix="0" xfId="0">
      <alignment horizontal="centerContinuous"/>
    </xf>
    <xf numFmtId="0" fontId="6" fillId="15" borderId="0" applyAlignment="1" pivotButton="0" quotePrefix="1" xfId="0">
      <alignment horizontal="left" indent="1"/>
    </xf>
    <xf numFmtId="0" fontId="275" fillId="0" borderId="0" applyAlignment="1" pivotButton="0" quotePrefix="0" xfId="0">
      <alignment vertical="center"/>
    </xf>
    <xf numFmtId="0" fontId="0" fillId="15" borderId="23" applyAlignment="1" pivotButton="0" quotePrefix="0" xfId="0">
      <alignment horizontal="left" indent="1"/>
    </xf>
    <xf numFmtId="0" fontId="67" fillId="15" borderId="5" applyAlignment="1" pivotButton="0" quotePrefix="0" xfId="2">
      <alignment horizontal="left" indent="1"/>
    </xf>
    <xf numFmtId="0" fontId="11" fillId="15" borderId="15" applyAlignment="1" pivotButton="0" quotePrefix="0" xfId="0">
      <alignment horizontal="left" vertical="center"/>
    </xf>
    <xf numFmtId="37" fontId="15" fillId="14" borderId="0" applyAlignment="1" applyProtection="1" pivotButton="0" quotePrefix="0" xfId="0">
      <alignment horizontal="right"/>
      <protection locked="1" hidden="1"/>
    </xf>
    <xf numFmtId="37" fontId="15" fillId="15" borderId="0" applyAlignment="1" applyProtection="1" pivotButton="0" quotePrefix="0" xfId="0">
      <alignment horizontal="right"/>
      <protection locked="1" hidden="1"/>
    </xf>
    <xf numFmtId="0" fontId="11" fillId="15" borderId="34" applyAlignment="1" pivotButton="0" quotePrefix="0" xfId="0">
      <alignment vertical="center"/>
    </xf>
    <xf numFmtId="37" fontId="15" fillId="14" borderId="1" applyProtection="1" pivotButton="0" quotePrefix="0" xfId="0">
      <protection locked="1" hidden="1"/>
    </xf>
    <xf numFmtId="37" fontId="15" fillId="15" borderId="1" applyProtection="1" pivotButton="0" quotePrefix="0" xfId="0">
      <protection locked="1" hidden="1"/>
    </xf>
    <xf numFmtId="0" fontId="23" fillId="15" borderId="0" applyAlignment="1" pivotButton="0" quotePrefix="0" xfId="0">
      <alignment vertical="center" wrapText="1"/>
    </xf>
    <xf numFmtId="0" fontId="23" fillId="15" borderId="0" applyAlignment="1" pivotButton="0" quotePrefix="0" xfId="0">
      <alignment horizontal="center" vertical="center" wrapText="1"/>
    </xf>
    <xf numFmtId="0" fontId="197" fillId="15" borderId="0" applyAlignment="1" pivotButton="0" quotePrefix="0" xfId="0">
      <alignment horizontal="center" vertical="center"/>
    </xf>
    <xf numFmtId="37" fontId="15" fillId="14" borderId="3" applyProtection="1" pivotButton="0" quotePrefix="0" xfId="0">
      <protection locked="1" hidden="1"/>
    </xf>
    <xf numFmtId="37" fontId="15" fillId="15" borderId="0" applyProtection="1" pivotButton="0" quotePrefix="0" xfId="0">
      <protection locked="1" hidden="1"/>
    </xf>
    <xf numFmtId="0" fontId="8" fillId="15" borderId="13" applyAlignment="1" pivotButton="0" quotePrefix="0" xfId="0">
      <alignment horizontal="left" vertical="center"/>
    </xf>
    <xf numFmtId="0" fontId="14" fillId="15" borderId="13" applyAlignment="1" pivotButton="0" quotePrefix="0" xfId="0">
      <alignment vertical="center"/>
    </xf>
    <xf numFmtId="0" fontId="0" fillId="15" borderId="13" applyAlignment="1" pivotButton="0" quotePrefix="0" xfId="0">
      <alignment horizontal="center" vertical="center"/>
    </xf>
    <xf numFmtId="0" fontId="47" fillId="15" borderId="13" applyAlignment="1" pivotButton="0" quotePrefix="0" xfId="0">
      <alignment vertical="center"/>
    </xf>
    <xf numFmtId="37" fontId="15" fillId="15" borderId="13" applyAlignment="1" applyProtection="1" pivotButton="0" quotePrefix="0" xfId="0">
      <alignment horizontal="right" vertical="center"/>
      <protection locked="1" hidden="1"/>
    </xf>
    <xf numFmtId="0" fontId="11" fillId="15" borderId="13" applyAlignment="1" pivotButton="0" quotePrefix="1" xfId="0">
      <alignment horizontal="center"/>
    </xf>
    <xf numFmtId="0" fontId="47" fillId="15" borderId="13" pivotButton="0" quotePrefix="0" xfId="0"/>
    <xf numFmtId="0" fontId="4" fillId="15" borderId="17" applyAlignment="1" pivotButton="0" quotePrefix="0" xfId="0">
      <alignment horizontal="right"/>
    </xf>
    <xf numFmtId="0" fontId="146" fillId="5" borderId="0" applyAlignment="1" pivotButton="0" quotePrefix="0" xfId="0">
      <alignment horizontal="left"/>
    </xf>
    <xf numFmtId="0" fontId="11" fillId="15" borderId="2" applyAlignment="1" applyProtection="1" pivotButton="0" quotePrefix="0" xfId="0">
      <alignment horizontal="center"/>
      <protection locked="0" hidden="0"/>
    </xf>
    <xf numFmtId="37" fontId="11" fillId="15" borderId="2" applyProtection="1" pivotButton="0" quotePrefix="0" xfId="0">
      <protection locked="0" hidden="0"/>
    </xf>
    <xf numFmtId="0" fontId="288" fillId="37" borderId="0" applyAlignment="1" pivotButton="0" quotePrefix="0" xfId="0">
      <alignment horizontal="center" vertical="center"/>
    </xf>
    <xf numFmtId="0" fontId="166" fillId="2" borderId="0" pivotButton="0" quotePrefix="0" xfId="0"/>
    <xf numFmtId="1" fontId="11" fillId="3" borderId="0" applyAlignment="1" applyProtection="1" pivotButton="0" quotePrefix="0" xfId="0">
      <alignment horizontal="center"/>
      <protection locked="0" hidden="0"/>
    </xf>
    <xf numFmtId="0" fontId="341" fillId="5" borderId="0" applyAlignment="1" pivotButton="0" quotePrefix="0" xfId="0">
      <alignment horizontal="left" wrapText="1"/>
    </xf>
    <xf numFmtId="0" fontId="11" fillId="5" borderId="0" applyAlignment="1" pivotButton="0" quotePrefix="0" xfId="0">
      <alignment horizontal="center"/>
    </xf>
    <xf numFmtId="0" fontId="0" fillId="15" borderId="4" applyAlignment="1" pivotButton="0" quotePrefix="0" xfId="0">
      <alignment horizontal="right"/>
    </xf>
    <xf numFmtId="0" fontId="20" fillId="15" borderId="4" applyAlignment="1" pivotButton="0" quotePrefix="0" xfId="0">
      <alignment horizontal="left"/>
    </xf>
    <xf numFmtId="0" fontId="44" fillId="2" borderId="1" applyAlignment="1" pivotButton="0" quotePrefix="0" xfId="0">
      <alignment horizontal="left"/>
    </xf>
    <xf numFmtId="0" fontId="10" fillId="2" borderId="1" applyAlignment="1" pivotButton="0" quotePrefix="0" xfId="0">
      <alignment vertical="top"/>
    </xf>
    <xf numFmtId="0" fontId="254" fillId="2" borderId="1" applyAlignment="1" pivotButton="0" quotePrefix="0" xfId="0">
      <alignment horizontal="right"/>
    </xf>
    <xf numFmtId="0" fontId="6" fillId="2" borderId="1" applyAlignment="1" pivotButton="0" quotePrefix="0" xfId="0">
      <alignment horizontal="right"/>
    </xf>
    <xf numFmtId="0" fontId="6" fillId="2" borderId="25" pivotButton="0" quotePrefix="0" xfId="0"/>
    <xf numFmtId="0" fontId="10" fillId="2" borderId="25" applyAlignment="1" pivotButton="0" quotePrefix="0" xfId="0">
      <alignment vertical="top"/>
    </xf>
    <xf numFmtId="0" fontId="130" fillId="2" borderId="25" applyAlignment="1" pivotButton="0" quotePrefix="0" xfId="0">
      <alignment horizontal="left" vertical="center"/>
    </xf>
    <xf numFmtId="0" fontId="14" fillId="2" borderId="25" applyAlignment="1" pivotButton="0" quotePrefix="0" xfId="0">
      <alignment vertical="center"/>
    </xf>
    <xf numFmtId="0" fontId="11" fillId="15" borderId="0" applyAlignment="1" pivotButton="0" quotePrefix="1" xfId="0">
      <alignment horizontal="right" vertical="center"/>
    </xf>
    <xf numFmtId="37" fontId="324" fillId="15" borderId="0" pivotButton="0" quotePrefix="0" xfId="0"/>
    <xf numFmtId="0" fontId="342" fillId="15" borderId="0" applyAlignment="1" pivotButton="0" quotePrefix="0" xfId="0">
      <alignment horizontal="center"/>
    </xf>
    <xf numFmtId="0" fontId="324" fillId="15" borderId="0" applyAlignment="1" pivotButton="0" quotePrefix="0" xfId="0">
      <alignment horizontal="right"/>
    </xf>
    <xf numFmtId="37" fontId="324" fillId="44" borderId="2" pivotButton="0" quotePrefix="0" xfId="0"/>
    <xf numFmtId="0" fontId="342" fillId="15" borderId="0" applyAlignment="1" pivotButton="0" quotePrefix="0" xfId="0">
      <alignment horizontal="right"/>
    </xf>
    <xf numFmtId="0" fontId="324" fillId="15" borderId="1" applyAlignment="1" pivotButton="0" quotePrefix="0" xfId="0">
      <alignment horizontal="right"/>
    </xf>
    <xf numFmtId="0" fontId="276" fillId="15" borderId="1" pivotButton="0" quotePrefix="0" xfId="0"/>
    <xf numFmtId="0" fontId="14" fillId="19" borderId="6" pivotButton="0" quotePrefix="0" xfId="0"/>
    <xf numFmtId="0" fontId="11" fillId="5" borderId="0" applyAlignment="1" pivotButton="0" quotePrefix="0" xfId="0">
      <alignment horizontal="left"/>
    </xf>
    <xf numFmtId="1" fontId="4" fillId="15" borderId="3" applyAlignment="1" pivotButton="0" quotePrefix="1" xfId="0">
      <alignment horizontal="center" vertical="center"/>
    </xf>
    <xf numFmtId="0" fontId="343" fillId="5" borderId="0" applyAlignment="1" pivotButton="0" quotePrefix="0" xfId="0">
      <alignment horizontal="left" indent="1"/>
    </xf>
    <xf numFmtId="0" fontId="11" fillId="15" borderId="24" pivotButton="0" quotePrefix="0" xfId="0"/>
    <xf numFmtId="0" fontId="344" fillId="5" borderId="0" applyAlignment="1" pivotButton="0" quotePrefix="1" xfId="0">
      <alignment horizontal="left"/>
    </xf>
    <xf numFmtId="0" fontId="113" fillId="5" borderId="0" applyAlignment="1" pivotButton="0" quotePrefix="0" xfId="0">
      <alignment horizontal="left" vertical="top" wrapText="1"/>
    </xf>
    <xf numFmtId="0" fontId="345" fillId="5" borderId="0" applyAlignment="1" pivotButton="0" quotePrefix="0" xfId="0">
      <alignment horizontal="left"/>
    </xf>
    <xf numFmtId="0" fontId="166" fillId="15" borderId="25" applyAlignment="1" pivotButton="0" quotePrefix="0" xfId="0">
      <alignment vertical="center"/>
    </xf>
    <xf numFmtId="0" fontId="207" fillId="15" borderId="7" applyAlignment="1" pivotButton="0" quotePrefix="0" xfId="0">
      <alignment wrapText="1"/>
    </xf>
    <xf numFmtId="0" fontId="207" fillId="15" borderId="0" applyAlignment="1" pivotButton="0" quotePrefix="0" xfId="0">
      <alignment wrapText="1"/>
    </xf>
    <xf numFmtId="0" fontId="207" fillId="15" borderId="4" applyAlignment="1" pivotButton="0" quotePrefix="0" xfId="0">
      <alignment wrapText="1"/>
    </xf>
    <xf numFmtId="0" fontId="146" fillId="5" borderId="0" applyAlignment="1" pivotButton="0" quotePrefix="0" xfId="0">
      <alignment horizontal="right"/>
    </xf>
    <xf numFmtId="0" fontId="6" fillId="5" borderId="0" applyAlignment="1" pivotButton="0" quotePrefix="0" xfId="0">
      <alignment horizontal="right" vertical="center"/>
    </xf>
    <xf numFmtId="37" fontId="168" fillId="14" borderId="8" applyProtection="1" pivotButton="0" quotePrefix="0" xfId="0">
      <protection locked="1" hidden="1"/>
    </xf>
    <xf numFmtId="37" fontId="168" fillId="15" borderId="8" applyProtection="1" pivotButton="0" quotePrefix="0" xfId="0">
      <protection locked="1" hidden="1"/>
    </xf>
    <xf numFmtId="0" fontId="11" fillId="3" borderId="0" applyAlignment="1" pivotButton="0" quotePrefix="0" xfId="0">
      <alignment horizontal="center"/>
    </xf>
    <xf numFmtId="0" fontId="11" fillId="3" borderId="0" applyAlignment="1" pivotButton="0" quotePrefix="0" xfId="0">
      <alignment horizontal="right"/>
    </xf>
    <xf numFmtId="0" fontId="172" fillId="15" borderId="0" pivotButton="0" quotePrefix="0" xfId="0"/>
    <xf numFmtId="4" fontId="4" fillId="3" borderId="6" pivotButton="0" quotePrefix="0" xfId="0"/>
    <xf numFmtId="1" fontId="4" fillId="3" borderId="0" applyAlignment="1" pivotButton="0" quotePrefix="1" xfId="0">
      <alignment horizontal="right"/>
    </xf>
    <xf numFmtId="0" fontId="143" fillId="5" borderId="0" applyAlignment="1" pivotButton="0" quotePrefix="0" xfId="0">
      <alignment horizontal="left"/>
    </xf>
    <xf numFmtId="37" fontId="146" fillId="15" borderId="0" applyAlignment="1" pivotButton="0" quotePrefix="0" xfId="0">
      <alignment horizontal="right"/>
    </xf>
    <xf numFmtId="37" fontId="146" fillId="15" borderId="0" applyAlignment="1" pivotButton="0" quotePrefix="0" xfId="0">
      <alignment vertical="center"/>
    </xf>
    <xf numFmtId="0" fontId="146" fillId="15" borderId="0" applyAlignment="1" pivotButton="0" quotePrefix="0" xfId="0">
      <alignment horizontal="right" vertical="center"/>
    </xf>
    <xf numFmtId="0" fontId="146" fillId="15" borderId="0" applyAlignment="1" pivotButton="0" quotePrefix="0" xfId="0">
      <alignment horizontal="right"/>
    </xf>
    <xf numFmtId="0" fontId="4" fillId="24" borderId="0" applyAlignment="1" applyProtection="1" pivotButton="0" quotePrefix="1" xfId="0">
      <alignment horizontal="right"/>
      <protection locked="0" hidden="0"/>
    </xf>
    <xf numFmtId="37" fontId="121" fillId="15" borderId="0" applyAlignment="1" pivotButton="0" quotePrefix="0" xfId="0">
      <alignment horizontal="right"/>
    </xf>
    <xf numFmtId="0" fontId="323" fillId="2" borderId="25" applyAlignment="1" pivotButton="0" quotePrefix="0" xfId="0">
      <alignment vertical="center"/>
    </xf>
    <xf numFmtId="0" fontId="121" fillId="15" borderId="0" applyAlignment="1" pivotButton="0" quotePrefix="0" xfId="0">
      <alignment vertical="top" wrapText="1"/>
    </xf>
    <xf numFmtId="0" fontId="125" fillId="15" borderId="0" applyAlignment="1" pivotButton="0" quotePrefix="0" xfId="0">
      <alignment vertical="center" wrapText="1"/>
    </xf>
    <xf numFmtId="0" fontId="288" fillId="5" borderId="0" applyAlignment="1" pivotButton="0" quotePrefix="0" xfId="0">
      <alignment horizontal="left"/>
    </xf>
    <xf numFmtId="0" fontId="113" fillId="5" borderId="0" applyAlignment="1" pivotButton="0" quotePrefix="0" xfId="0">
      <alignment vertical="top" wrapText="1"/>
    </xf>
    <xf numFmtId="0" fontId="206" fillId="5" borderId="0" applyAlignment="1" pivotButton="0" quotePrefix="0" xfId="0">
      <alignment horizontal="left"/>
    </xf>
    <xf numFmtId="0" fontId="279" fillId="15" borderId="0" applyAlignment="1" pivotButton="0" quotePrefix="0" xfId="0">
      <alignment vertical="center"/>
    </xf>
    <xf numFmtId="0" fontId="257" fillId="2" borderId="25" applyAlignment="1" pivotButton="0" quotePrefix="0" xfId="0">
      <alignment vertical="center"/>
    </xf>
    <xf numFmtId="0" fontId="146" fillId="15" borderId="0" applyAlignment="1" pivotButton="0" quotePrefix="0" xfId="0">
      <alignment vertical="center" wrapText="1"/>
    </xf>
    <xf numFmtId="0" fontId="9" fillId="16" borderId="51" applyAlignment="1" applyProtection="1" pivotButton="0" quotePrefix="0" xfId="0">
      <alignment horizontal="center" vertical="center"/>
      <protection locked="0" hidden="0"/>
    </xf>
    <xf numFmtId="0" fontId="12" fillId="2" borderId="4" applyAlignment="1" pivotButton="0" quotePrefix="0" xfId="0">
      <alignment horizontal="center" wrapText="1"/>
    </xf>
    <xf numFmtId="4" fontId="14" fillId="2" borderId="4" applyAlignment="1" pivotButton="0" quotePrefix="0" xfId="0">
      <alignment horizontal="left" vertical="center" indent="1"/>
    </xf>
    <xf numFmtId="0" fontId="8" fillId="2" borderId="39" pivotButton="0" quotePrefix="0" xfId="0"/>
    <xf numFmtId="0" fontId="12" fillId="2" borderId="25" applyAlignment="1" pivotButton="0" quotePrefix="0" xfId="0">
      <alignment horizontal="center" wrapText="1"/>
    </xf>
    <xf numFmtId="0" fontId="8" fillId="2" borderId="25" pivotButton="0" quotePrefix="0" xfId="0"/>
    <xf numFmtId="4" fontId="14" fillId="2" borderId="25" applyAlignment="1" pivotButton="0" quotePrefix="0" xfId="0">
      <alignment horizontal="left" vertical="center" indent="1"/>
    </xf>
    <xf numFmtId="0" fontId="10" fillId="39" borderId="8" applyAlignment="1" pivotButton="0" quotePrefix="0" xfId="0">
      <alignment vertical="center" wrapText="1"/>
    </xf>
    <xf numFmtId="0" fontId="10" fillId="39" borderId="0" applyAlignment="1" pivotButton="0" quotePrefix="0" xfId="0">
      <alignment vertical="center" wrapText="1"/>
    </xf>
    <xf numFmtId="0" fontId="10" fillId="15" borderId="0" applyAlignment="1" pivotButton="0" quotePrefix="0" xfId="0">
      <alignment horizontal="left" vertical="center"/>
    </xf>
    <xf numFmtId="0" fontId="10" fillId="39" borderId="25" applyAlignment="1" pivotButton="0" quotePrefix="0" xfId="0">
      <alignment vertical="top" wrapText="1"/>
    </xf>
    <xf numFmtId="0" fontId="10" fillId="39" borderId="9" applyAlignment="1" pivotButton="0" quotePrefix="0" xfId="0">
      <alignment vertical="top" wrapText="1"/>
    </xf>
    <xf numFmtId="0" fontId="10" fillId="39" borderId="1" applyAlignment="1" pivotButton="0" quotePrefix="0" xfId="0">
      <alignment vertical="top" wrapText="1"/>
    </xf>
    <xf numFmtId="0" fontId="10" fillId="39" borderId="11" applyAlignment="1" pivotButton="0" quotePrefix="0" xfId="0">
      <alignment vertical="top" wrapText="1"/>
    </xf>
    <xf numFmtId="0" fontId="10" fillId="39" borderId="8" applyAlignment="1" pivotButton="0" quotePrefix="0" xfId="0">
      <alignment vertical="top" wrapText="1"/>
    </xf>
    <xf numFmtId="0" fontId="10" fillId="39" borderId="14" applyAlignment="1" pivotButton="0" quotePrefix="0" xfId="0">
      <alignment vertical="top" wrapText="1"/>
    </xf>
    <xf numFmtId="0" fontId="10" fillId="39" borderId="3" applyAlignment="1" pivotButton="0" quotePrefix="0" xfId="0">
      <alignment vertical="top" wrapText="1"/>
    </xf>
    <xf numFmtId="0" fontId="10" fillId="39" borderId="0" applyAlignment="1" pivotButton="0" quotePrefix="0" xfId="0">
      <alignment vertical="top" wrapText="1"/>
    </xf>
    <xf numFmtId="0" fontId="10" fillId="39" borderId="24" applyAlignment="1" pivotButton="0" quotePrefix="0" xfId="0">
      <alignment vertical="top" wrapText="1"/>
    </xf>
    <xf numFmtId="0" fontId="10" fillId="39" borderId="30" applyAlignment="1" pivotButton="0" quotePrefix="0" xfId="0">
      <alignment vertical="top" wrapText="1"/>
    </xf>
    <xf numFmtId="0" fontId="10" fillId="39" borderId="24" applyAlignment="1" pivotButton="0" quotePrefix="0" xfId="0">
      <alignment vertical="top"/>
    </xf>
    <xf numFmtId="0" fontId="10" fillId="39" borderId="0" applyAlignment="1" pivotButton="0" quotePrefix="0" xfId="0">
      <alignment horizontal="left" vertical="center" wrapText="1"/>
    </xf>
    <xf numFmtId="0" fontId="10" fillId="39" borderId="24" applyAlignment="1" pivotButton="0" quotePrefix="0" xfId="0">
      <alignment horizontal="left" vertical="center" wrapText="1"/>
    </xf>
    <xf numFmtId="0" fontId="4" fillId="39" borderId="24" applyAlignment="1" pivotButton="0" quotePrefix="0" xfId="0">
      <alignment horizontal="center" vertical="center" wrapText="1"/>
    </xf>
    <xf numFmtId="0" fontId="10" fillId="39" borderId="24" applyAlignment="1" pivotButton="0" quotePrefix="0" xfId="0">
      <alignment vertical="center" wrapText="1"/>
    </xf>
    <xf numFmtId="0" fontId="4" fillId="39" borderId="9" applyAlignment="1" pivotButton="0" quotePrefix="0" xfId="0">
      <alignment vertical="center" wrapText="1"/>
    </xf>
    <xf numFmtId="0" fontId="4" fillId="39" borderId="1" applyAlignment="1" pivotButton="0" quotePrefix="0" xfId="0">
      <alignment vertical="center" wrapText="1"/>
    </xf>
    <xf numFmtId="0" fontId="309" fillId="2" borderId="0" applyAlignment="1" pivotButton="0" quotePrefix="0" xfId="0">
      <alignment horizontal="center" vertical="center" wrapText="1"/>
    </xf>
    <xf numFmtId="37" fontId="4" fillId="27" borderId="1" pivotButton="0" quotePrefix="0" xfId="0"/>
    <xf numFmtId="37" fontId="4" fillId="27" borderId="4" pivotButton="0" quotePrefix="0" xfId="0"/>
    <xf numFmtId="4" fontId="30" fillId="5" borderId="0" applyAlignment="1" pivotButton="0" quotePrefix="0" xfId="0">
      <alignment horizontal="center" vertical="center" textRotation="90"/>
    </xf>
    <xf numFmtId="0" fontId="4" fillId="39" borderId="3" applyAlignment="1" pivotButton="0" quotePrefix="0" xfId="0">
      <alignment horizontal="center" vertical="center" wrapText="1"/>
    </xf>
    <xf numFmtId="0" fontId="0" fillId="0" borderId="4" applyAlignment="1" pivotButton="0" quotePrefix="0" xfId="0">
      <alignment horizontal="center"/>
    </xf>
    <xf numFmtId="0" fontId="4" fillId="39" borderId="3" applyAlignment="1" pivotButton="0" quotePrefix="0" xfId="0">
      <alignment vertical="center" wrapText="1"/>
    </xf>
    <xf numFmtId="0" fontId="10" fillId="39" borderId="6" applyAlignment="1" pivotButton="0" quotePrefix="0" xfId="0">
      <alignment vertical="top" wrapText="1"/>
    </xf>
    <xf numFmtId="0" fontId="4" fillId="39" borderId="0" applyAlignment="1" pivotButton="0" quotePrefix="0" xfId="0">
      <alignment vertical="center" wrapText="1"/>
    </xf>
    <xf numFmtId="0" fontId="6" fillId="39" borderId="24" applyAlignment="1" pivotButton="0" quotePrefix="0" xfId="0">
      <alignment horizontal="right" vertical="top"/>
    </xf>
    <xf numFmtId="0" fontId="8" fillId="18" borderId="1" applyAlignment="1" pivotButton="0" quotePrefix="0" xfId="0">
      <alignment vertical="top"/>
    </xf>
    <xf numFmtId="0" fontId="309" fillId="2" borderId="0" applyAlignment="1" pivotButton="0" quotePrefix="0" xfId="0">
      <alignment vertical="center" wrapText="1"/>
    </xf>
    <xf numFmtId="0" fontId="4" fillId="15" borderId="0" applyAlignment="1" pivotButton="0" quotePrefix="0" xfId="0">
      <alignment horizontal="left" wrapText="1"/>
    </xf>
    <xf numFmtId="0" fontId="137" fillId="15" borderId="0" applyAlignment="1" pivotButton="0" quotePrefix="0" xfId="0">
      <alignment vertical="center" wrapText="1"/>
    </xf>
    <xf numFmtId="0" fontId="10" fillId="15" borderId="13" applyAlignment="1" pivotButton="0" quotePrefix="0" xfId="0">
      <alignment horizontal="left" vertical="center"/>
    </xf>
    <xf numFmtId="0" fontId="10" fillId="39" borderId="99" applyAlignment="1" pivotButton="0" quotePrefix="0" xfId="0">
      <alignment horizontal="left" vertical="center"/>
    </xf>
    <xf numFmtId="0" fontId="9" fillId="15" borderId="0" applyAlignment="1" pivotButton="0" quotePrefix="0" xfId="0">
      <alignment horizontal="left" vertical="center" wrapText="1" indent="1"/>
    </xf>
    <xf numFmtId="0" fontId="158" fillId="0" borderId="0" pivotButton="0" quotePrefix="0" xfId="0"/>
    <xf numFmtId="14" fontId="6" fillId="15" borderId="0" applyAlignment="1" pivotButton="0" quotePrefix="0" xfId="0">
      <alignment horizontal="center"/>
    </xf>
    <xf numFmtId="4" fontId="9" fillId="5" borderId="0" applyAlignment="1" pivotButton="0" quotePrefix="0" xfId="0">
      <alignment horizontal="center" vertical="center" textRotation="90"/>
    </xf>
    <xf numFmtId="0" fontId="4" fillId="39" borderId="9" applyAlignment="1" pivotButton="0" quotePrefix="0" xfId="0">
      <alignment horizontal="center"/>
    </xf>
    <xf numFmtId="0" fontId="8" fillId="2" borderId="0" applyAlignment="1" pivotButton="0" quotePrefix="0" xfId="0">
      <alignment horizontal="left" vertical="top"/>
    </xf>
    <xf numFmtId="4" fontId="121" fillId="15" borderId="0" applyAlignment="1" pivotButton="0" quotePrefix="0" xfId="0">
      <alignment horizontal="left"/>
    </xf>
    <xf numFmtId="4" fontId="121" fillId="15" borderId="24" applyAlignment="1" pivotButton="0" quotePrefix="0" xfId="0">
      <alignment horizontal="left"/>
    </xf>
    <xf numFmtId="0" fontId="8" fillId="0" borderId="8" applyAlignment="1" pivotButton="0" quotePrefix="0" xfId="0">
      <alignment horizontal="left"/>
    </xf>
    <xf numFmtId="0" fontId="8" fillId="0" borderId="25" applyAlignment="1" pivotButton="0" quotePrefix="0" xfId="0">
      <alignment horizontal="left"/>
    </xf>
    <xf numFmtId="0" fontId="20" fillId="15" borderId="7" applyAlignment="1" pivotButton="0" quotePrefix="0" xfId="0">
      <alignment horizontal="left" vertical="center" wrapText="1"/>
    </xf>
    <xf numFmtId="174" fontId="37" fillId="2" borderId="0" applyAlignment="1" pivotButton="0" quotePrefix="0" xfId="0">
      <alignment horizontal="right"/>
    </xf>
    <xf numFmtId="4" fontId="76" fillId="2" borderId="8" applyAlignment="1" pivotButton="0" quotePrefix="0" xfId="0">
      <alignment horizontal="left" vertical="center"/>
    </xf>
    <xf numFmtId="4" fontId="76" fillId="2" borderId="14" applyAlignment="1" pivotButton="0" quotePrefix="0" xfId="0">
      <alignment horizontal="left" vertical="center"/>
    </xf>
    <xf numFmtId="0" fontId="109" fillId="15" borderId="3" pivotButton="0" quotePrefix="0" xfId="0"/>
    <xf numFmtId="0" fontId="10" fillId="39" borderId="1" applyAlignment="1" pivotButton="0" quotePrefix="0" xfId="0">
      <alignment vertical="center"/>
    </xf>
    <xf numFmtId="0" fontId="9" fillId="39" borderId="25" applyAlignment="1" pivotButton="0" quotePrefix="0" xfId="0">
      <alignment vertical="center"/>
    </xf>
    <xf numFmtId="0" fontId="4" fillId="15" borderId="3" applyAlignment="1" pivotButton="0" quotePrefix="0" xfId="0">
      <alignment horizontal="left" wrapText="1"/>
    </xf>
    <xf numFmtId="0" fontId="4" fillId="39" borderId="1" applyAlignment="1" pivotButton="0" quotePrefix="0" xfId="0">
      <alignment horizontal="center"/>
    </xf>
    <xf numFmtId="0" fontId="9" fillId="39" borderId="0" applyAlignment="1" pivotButton="0" quotePrefix="0" xfId="0">
      <alignment horizontal="center"/>
    </xf>
    <xf numFmtId="0" fontId="8" fillId="39" borderId="3" pivotButton="0" quotePrefix="0" xfId="0"/>
    <xf numFmtId="174" fontId="10" fillId="2" borderId="3" applyAlignment="1" pivotButton="0" quotePrefix="0" xfId="0">
      <alignment horizontal="right"/>
    </xf>
    <xf numFmtId="174" fontId="8" fillId="2" borderId="24" applyAlignment="1" pivotButton="0" quotePrefix="0" xfId="0">
      <alignment horizontal="right"/>
    </xf>
    <xf numFmtId="174" fontId="37" fillId="2" borderId="3" applyAlignment="1" pivotButton="0" quotePrefix="0" xfId="0">
      <alignment horizontal="left"/>
    </xf>
    <xf numFmtId="174" fontId="8" fillId="2" borderId="3" applyAlignment="1" pivotButton="0" quotePrefix="0" xfId="0">
      <alignment horizontal="left"/>
    </xf>
    <xf numFmtId="0" fontId="4" fillId="39" borderId="0" applyAlignment="1" pivotButton="0" quotePrefix="0" xfId="0">
      <alignment horizontal="right" vertical="center" indent="1"/>
    </xf>
    <xf numFmtId="0" fontId="4" fillId="39" borderId="0" applyAlignment="1" pivotButton="0" quotePrefix="0" xfId="0">
      <alignment horizontal="left" vertical="center"/>
    </xf>
    <xf numFmtId="174" fontId="102" fillId="2" borderId="3" pivotButton="0" quotePrefix="0" xfId="0"/>
    <xf numFmtId="174" fontId="10" fillId="2" borderId="11" applyAlignment="1" pivotButton="0" quotePrefix="0" xfId="0">
      <alignment horizontal="left"/>
    </xf>
    <xf numFmtId="174" fontId="8" fillId="2" borderId="9" applyAlignment="1" pivotButton="0" quotePrefix="0" xfId="0">
      <alignment horizontal="left"/>
    </xf>
    <xf numFmtId="0" fontId="15" fillId="15" borderId="3" applyAlignment="1" pivotButton="0" quotePrefix="0" xfId="0">
      <alignment vertical="top" wrapText="1"/>
    </xf>
    <xf numFmtId="0" fontId="15" fillId="15" borderId="3" applyAlignment="1" pivotButton="0" quotePrefix="0" xfId="0">
      <alignment vertical="center"/>
    </xf>
    <xf numFmtId="0" fontId="9" fillId="15" borderId="24" applyAlignment="1" pivotButton="0" quotePrefix="0" xfId="0">
      <alignment horizontal="left" vertical="center" wrapText="1" indent="1"/>
    </xf>
    <xf numFmtId="174" fontId="10" fillId="2" borderId="24" applyAlignment="1" pivotButton="0" quotePrefix="0" xfId="0">
      <alignment horizontal="left"/>
    </xf>
    <xf numFmtId="174" fontId="8" fillId="2" borderId="1" applyAlignment="1" pivotButton="0" quotePrefix="0" xfId="0">
      <alignment horizontal="left" vertical="top"/>
    </xf>
    <xf numFmtId="0" fontId="15" fillId="15" borderId="25" applyAlignment="1" pivotButton="0" quotePrefix="0" xfId="0">
      <alignment horizontal="left" vertical="center"/>
    </xf>
    <xf numFmtId="0" fontId="4" fillId="15" borderId="25" applyAlignment="1" pivotButton="0" quotePrefix="0" xfId="0">
      <alignment horizontal="left" vertical="center"/>
    </xf>
    <xf numFmtId="0" fontId="6" fillId="15" borderId="4" applyAlignment="1" pivotButton="0" quotePrefix="0" xfId="0">
      <alignment horizontal="center" vertical="center"/>
    </xf>
    <xf numFmtId="174" fontId="10" fillId="2" borderId="3" applyAlignment="1" pivotButton="0" quotePrefix="0" xfId="0">
      <alignment horizontal="left"/>
    </xf>
    <xf numFmtId="174" fontId="10" fillId="2" borderId="9" applyAlignment="1" pivotButton="0" quotePrefix="0" xfId="0">
      <alignment horizontal="left"/>
    </xf>
    <xf numFmtId="0" fontId="4" fillId="2" borderId="0" applyAlignment="1" pivotButton="0" quotePrefix="0" xfId="0">
      <alignment wrapText="1"/>
    </xf>
    <xf numFmtId="0" fontId="15" fillId="2" borderId="0" applyAlignment="1" pivotButton="0" quotePrefix="0" xfId="0">
      <alignment wrapText="1"/>
    </xf>
    <xf numFmtId="0" fontId="6" fillId="39" borderId="1" pivotButton="0" quotePrefix="0" xfId="0"/>
    <xf numFmtId="37" fontId="0" fillId="15" borderId="3" pivotButton="0" quotePrefix="0" xfId="0"/>
    <xf numFmtId="0" fontId="4" fillId="16" borderId="99" applyProtection="1" pivotButton="0" quotePrefix="0" xfId="0">
      <protection locked="0" hidden="0"/>
    </xf>
    <xf numFmtId="1" fontId="4" fillId="19" borderId="15" applyAlignment="1" pivotButton="0" quotePrefix="0" xfId="0">
      <alignment vertical="center"/>
    </xf>
    <xf numFmtId="1" fontId="4" fillId="19" borderId="6" applyAlignment="1" pivotButton="0" quotePrefix="0" xfId="0">
      <alignment vertical="center"/>
    </xf>
    <xf numFmtId="0" fontId="109" fillId="15" borderId="24" pivotButton="0" quotePrefix="0" xfId="0"/>
    <xf numFmtId="4" fontId="0" fillId="15" borderId="3" pivotButton="0" quotePrefix="0" xfId="0"/>
    <xf numFmtId="4" fontId="0" fillId="15" borderId="24" pivotButton="0" quotePrefix="0" xfId="0"/>
    <xf numFmtId="0" fontId="346" fillId="15" borderId="0" applyAlignment="1" pivotButton="0" quotePrefix="0" xfId="0">
      <alignment horizontal="left"/>
    </xf>
    <xf numFmtId="0" fontId="211" fillId="15" borderId="0" applyAlignment="1" pivotButton="0" quotePrefix="0" xfId="0">
      <alignment horizontal="right" wrapText="1"/>
    </xf>
    <xf numFmtId="0" fontId="125" fillId="2" borderId="0" applyAlignment="1" pivotButton="0" quotePrefix="0" xfId="0">
      <alignment horizontal="left"/>
    </xf>
    <xf numFmtId="0" fontId="211" fillId="2" borderId="0" applyAlignment="1" pivotButton="0" quotePrefix="0" xfId="0">
      <alignment horizontal="center"/>
    </xf>
    <xf numFmtId="0" fontId="211" fillId="2" borderId="0" applyAlignment="1" pivotButton="0" quotePrefix="0" xfId="0">
      <alignment horizontal="center" vertical="center"/>
    </xf>
    <xf numFmtId="0" fontId="112" fillId="2" borderId="0" applyAlignment="1" pivotButton="0" quotePrefix="0" xfId="0">
      <alignment horizontal="center"/>
    </xf>
    <xf numFmtId="3" fontId="11" fillId="15" borderId="1" applyProtection="1" pivotButton="0" quotePrefix="0" xfId="0">
      <protection locked="0" hidden="0"/>
    </xf>
    <xf numFmtId="0" fontId="85" fillId="15" borderId="5" applyAlignment="1" pivotButton="0" quotePrefix="0" xfId="0">
      <alignment horizontal="centerContinuous"/>
    </xf>
    <xf numFmtId="0" fontId="9" fillId="15" borderId="56" pivotButton="0" quotePrefix="0" xfId="0"/>
    <xf numFmtId="0" fontId="168" fillId="15" borderId="0" applyAlignment="1" pivotButton="0" quotePrefix="0" xfId="0">
      <alignment horizontal="center"/>
    </xf>
    <xf numFmtId="18" fontId="11" fillId="15" borderId="0" applyAlignment="1" pivotButton="0" quotePrefix="0" xfId="0">
      <alignment horizontal="center"/>
    </xf>
    <xf numFmtId="0" fontId="14" fillId="23" borderId="6" pivotButton="0" quotePrefix="0" xfId="0"/>
    <xf numFmtId="37" fontId="123" fillId="15" borderId="30" pivotButton="0" quotePrefix="0" xfId="0"/>
    <xf numFmtId="37" fontId="123" fillId="15" borderId="8" pivotButton="0" quotePrefix="0" xfId="0"/>
    <xf numFmtId="0" fontId="112" fillId="15" borderId="0" applyAlignment="1" pivotButton="0" quotePrefix="0" xfId="0">
      <alignment vertical="top" wrapText="1"/>
    </xf>
    <xf numFmtId="0" fontId="158" fillId="15" borderId="0" applyAlignment="1" pivotButton="0" quotePrefix="0" xfId="0">
      <alignment vertical="center"/>
    </xf>
    <xf numFmtId="0" fontId="112" fillId="15" borderId="0" applyAlignment="1" pivotButton="0" quotePrefix="0" xfId="0">
      <alignment horizontal="center" vertical="top" wrapText="1"/>
    </xf>
    <xf numFmtId="0" fontId="15" fillId="15" borderId="6" applyAlignment="1" pivotButton="0" quotePrefix="0" xfId="0">
      <alignment horizontal="center"/>
    </xf>
    <xf numFmtId="0" fontId="15" fillId="15" borderId="6" pivotButton="0" quotePrefix="0" xfId="0"/>
    <xf numFmtId="0" fontId="15" fillId="15" borderId="30" pivotButton="0" quotePrefix="0" xfId="0"/>
    <xf numFmtId="0" fontId="15" fillId="15" borderId="14" pivotButton="0" quotePrefix="0" xfId="0"/>
    <xf numFmtId="0" fontId="15" fillId="15" borderId="16" applyAlignment="1" pivotButton="0" quotePrefix="0" xfId="0">
      <alignment horizontal="left"/>
    </xf>
    <xf numFmtId="0" fontId="0" fillId="15" borderId="16" applyAlignment="1" pivotButton="0" quotePrefix="0" xfId="0">
      <alignment horizontal="right" indent="1"/>
    </xf>
    <xf numFmtId="0" fontId="10" fillId="15" borderId="16" pivotButton="0" quotePrefix="0" xfId="0"/>
    <xf numFmtId="0" fontId="4" fillId="15" borderId="16" applyAlignment="1" pivotButton="0" quotePrefix="0" xfId="0">
      <alignment horizontal="right"/>
    </xf>
    <xf numFmtId="0" fontId="8" fillId="15" borderId="4" applyAlignment="1" pivotButton="0" quotePrefix="0" xfId="0">
      <alignment horizontal="left"/>
    </xf>
    <xf numFmtId="1" fontId="0" fillId="10" borderId="0" applyAlignment="1" pivotButton="0" quotePrefix="0" xfId="0">
      <alignment vertical="center" wrapText="1"/>
    </xf>
    <xf numFmtId="0" fontId="112" fillId="15" borderId="0" applyAlignment="1" pivotButton="0" quotePrefix="0" xfId="0">
      <alignment horizontal="right" vertical="top" wrapText="1"/>
    </xf>
    <xf numFmtId="0" fontId="4" fillId="15" borderId="25" applyAlignment="1" pivotButton="0" quotePrefix="0" xfId="0">
      <alignment horizontal="left" indent="1"/>
    </xf>
    <xf numFmtId="0" fontId="0" fillId="15" borderId="25" applyAlignment="1" pivotButton="0" quotePrefix="0" xfId="0">
      <alignment horizontal="right" indent="1"/>
    </xf>
    <xf numFmtId="0" fontId="10" fillId="15" borderId="0" applyAlignment="1" pivotButton="0" quotePrefix="0" xfId="0">
      <alignment horizontal="right" vertical="top" wrapText="1"/>
    </xf>
    <xf numFmtId="14" fontId="199" fillId="15" borderId="0" applyAlignment="1" pivotButton="0" quotePrefix="0" xfId="0">
      <alignment horizontal="center" vertical="center" wrapText="1"/>
    </xf>
    <xf numFmtId="0" fontId="4" fillId="15" borderId="1" applyAlignment="1" pivotButton="0" quotePrefix="0" xfId="0">
      <alignment horizontal="left" indent="1"/>
    </xf>
    <xf numFmtId="37" fontId="9" fillId="15" borderId="11" pivotButton="0" quotePrefix="0" xfId="0"/>
    <xf numFmtId="37" fontId="9" fillId="15" borderId="1" pivotButton="0" quotePrefix="0" xfId="0"/>
    <xf numFmtId="0" fontId="25" fillId="23" borderId="0" pivotButton="0" quotePrefix="0" xfId="0"/>
    <xf numFmtId="0" fontId="146" fillId="0" borderId="0" applyAlignment="1" pivotButton="0" quotePrefix="0" xfId="0">
      <alignment horizontal="left"/>
    </xf>
    <xf numFmtId="0" fontId="14" fillId="15" borderId="15" pivotButton="0" quotePrefix="0" xfId="0"/>
    <xf numFmtId="0" fontId="11" fillId="15" borderId="1" applyAlignment="1" pivotButton="0" quotePrefix="0" xfId="0">
      <alignment horizontal="right"/>
    </xf>
    <xf numFmtId="0" fontId="44" fillId="16" borderId="12" applyAlignment="1" applyProtection="1" pivotButton="0" quotePrefix="0" xfId="0">
      <alignment horizontal="center" vertical="center"/>
      <protection locked="0" hidden="0"/>
    </xf>
    <xf numFmtId="4" fontId="31" fillId="15" borderId="0" applyAlignment="1" pivotButton="0" quotePrefix="0" xfId="0">
      <alignment horizontal="right"/>
    </xf>
    <xf numFmtId="0" fontId="116" fillId="15" borderId="23" applyAlignment="1" pivotButton="0" quotePrefix="0" xfId="0">
      <alignment horizontal="center" vertical="center"/>
    </xf>
    <xf numFmtId="0" fontId="110" fillId="15" borderId="7" applyAlignment="1" pivotButton="0" quotePrefix="0" xfId="0">
      <alignment horizontal="center" vertical="center"/>
    </xf>
    <xf numFmtId="0" fontId="0" fillId="15" borderId="7" applyAlignment="1" pivotButton="0" quotePrefix="0" xfId="0">
      <alignment horizontal="centerContinuous" vertical="center"/>
    </xf>
    <xf numFmtId="0" fontId="212" fillId="15" borderId="5" applyAlignment="1" pivotButton="0" quotePrefix="0" xfId="0">
      <alignment horizontal="left" vertical="center" indent="1"/>
    </xf>
    <xf numFmtId="0" fontId="212" fillId="15" borderId="0" applyAlignment="1" pivotButton="0" quotePrefix="0" xfId="0">
      <alignment horizontal="center" vertical="center"/>
    </xf>
    <xf numFmtId="0" fontId="6" fillId="15" borderId="5" applyAlignment="1" pivotButton="0" quotePrefix="0" xfId="0">
      <alignment horizontal="center" wrapText="1"/>
    </xf>
    <xf numFmtId="0" fontId="0" fillId="15" borderId="0" applyAlignment="1" pivotButton="0" quotePrefix="0" xfId="0">
      <alignment horizontal="centerContinuous" vertical="center"/>
    </xf>
    <xf numFmtId="0" fontId="6" fillId="15" borderId="20" applyAlignment="1" pivotButton="0" quotePrefix="0" xfId="0">
      <alignment horizontal="center" vertical="center"/>
    </xf>
    <xf numFmtId="0" fontId="6" fillId="15" borderId="220" applyAlignment="1" pivotButton="0" quotePrefix="0" xfId="0">
      <alignment horizontal="center"/>
    </xf>
    <xf numFmtId="3" fontId="6" fillId="15" borderId="78" applyAlignment="1" pivotButton="0" quotePrefix="0" xfId="0">
      <alignment horizontal="center" vertical="center"/>
    </xf>
    <xf numFmtId="0" fontId="6" fillId="15" borderId="221" applyAlignment="1" pivotButton="0" quotePrefix="1" xfId="0">
      <alignment horizontal="center"/>
    </xf>
    <xf numFmtId="37" fontId="6" fillId="15" borderId="157" applyAlignment="1" pivotButton="0" quotePrefix="0" xfId="0">
      <alignment horizontal="right" vertical="center"/>
    </xf>
    <xf numFmtId="37" fontId="6" fillId="15" borderId="222" applyAlignment="1" pivotButton="0" quotePrefix="0" xfId="0">
      <alignment horizontal="right" vertical="center"/>
    </xf>
    <xf numFmtId="3" fontId="6" fillId="15" borderId="78" applyAlignment="1" pivotButton="0" quotePrefix="0" xfId="0">
      <alignment horizontal="center"/>
    </xf>
    <xf numFmtId="0" fontId="6" fillId="15" borderId="223" applyAlignment="1" pivotButton="0" quotePrefix="1" xfId="0">
      <alignment horizontal="center"/>
    </xf>
    <xf numFmtId="37" fontId="6" fillId="15" borderId="39" applyAlignment="1" pivotButton="0" quotePrefix="0" xfId="0">
      <alignment horizontal="right" vertical="center"/>
    </xf>
    <xf numFmtId="37" fontId="6" fillId="15" borderId="12" applyAlignment="1" pivotButton="0" quotePrefix="0" xfId="0">
      <alignment horizontal="right" vertical="center"/>
    </xf>
    <xf numFmtId="0" fontId="167" fillId="15" borderId="19" applyAlignment="1" pivotButton="0" quotePrefix="0" xfId="0">
      <alignment horizontal="center" vertical="center" wrapText="1"/>
    </xf>
    <xf numFmtId="0" fontId="167" fillId="15" borderId="20" applyAlignment="1" pivotButton="0" quotePrefix="0" xfId="0">
      <alignment horizontal="center" vertical="center" wrapText="1"/>
    </xf>
    <xf numFmtId="3" fontId="122" fillId="15" borderId="0" pivotButton="0" quotePrefix="0" xfId="0"/>
    <xf numFmtId="0" fontId="116" fillId="15" borderId="0" applyAlignment="1" pivotButton="0" quotePrefix="0" xfId="0">
      <alignment horizontal="left"/>
    </xf>
    <xf numFmtId="0" fontId="6" fillId="15" borderId="80" applyAlignment="1" pivotButton="0" quotePrefix="0" xfId="0">
      <alignment horizontal="right"/>
    </xf>
    <xf numFmtId="37" fontId="6" fillId="15" borderId="30" applyAlignment="1" pivotButton="0" quotePrefix="0" xfId="0">
      <alignment horizontal="right" vertical="center"/>
    </xf>
    <xf numFmtId="37" fontId="6" fillId="15" borderId="15" applyAlignment="1" pivotButton="0" quotePrefix="0" xfId="0">
      <alignment horizontal="right" vertical="center"/>
    </xf>
    <xf numFmtId="0" fontId="0" fillId="15" borderId="31" pivotButton="0" quotePrefix="0" xfId="0"/>
    <xf numFmtId="0" fontId="0" fillId="15" borderId="111" pivotButton="0" quotePrefix="0" xfId="0"/>
    <xf numFmtId="37" fontId="112" fillId="15" borderId="0" applyAlignment="1" pivotButton="0" quotePrefix="0" xfId="0">
      <alignment vertical="center"/>
    </xf>
    <xf numFmtId="0" fontId="9" fillId="15" borderId="9" applyAlignment="1" pivotButton="0" quotePrefix="0" xfId="0">
      <alignment horizontal="left" vertical="center" wrapText="1" indent="1"/>
    </xf>
    <xf numFmtId="0" fontId="0" fillId="0" borderId="51" applyAlignment="1" pivotButton="0" quotePrefix="0" xfId="0">
      <alignment horizontal="center"/>
    </xf>
    <xf numFmtId="0" fontId="110" fillId="15" borderId="24" pivotButton="0" quotePrefix="0" xfId="0"/>
    <xf numFmtId="0" fontId="6" fillId="39" borderId="25" applyAlignment="1" pivotButton="0" quotePrefix="0" xfId="0">
      <alignment horizontal="left" vertical="center"/>
    </xf>
    <xf numFmtId="0" fontId="9" fillId="15" borderId="11" applyAlignment="1" pivotButton="0" quotePrefix="0" xfId="0">
      <alignment horizontal="left" vertical="center" wrapText="1" indent="1"/>
    </xf>
    <xf numFmtId="0" fontId="9" fillId="15" borderId="4" applyAlignment="1" pivotButton="0" quotePrefix="0" xfId="0">
      <alignment horizontal="left" vertical="center" wrapText="1" indent="1"/>
    </xf>
    <xf numFmtId="176" fontId="4" fillId="39" borderId="4" applyAlignment="1" applyProtection="1" pivotButton="0" quotePrefix="0" xfId="0">
      <alignment horizontal="right"/>
      <protection locked="0" hidden="0"/>
    </xf>
    <xf numFmtId="1" fontId="4" fillId="39" borderId="51" applyAlignment="1" pivotButton="0" quotePrefix="0" xfId="0">
      <alignment horizontal="center" vertical="center"/>
    </xf>
    <xf numFmtId="0" fontId="6" fillId="39" borderId="3" applyAlignment="1" pivotButton="0" quotePrefix="0" xfId="0">
      <alignment horizontal="left"/>
    </xf>
    <xf numFmtId="0" fontId="6" fillId="39" borderId="0" applyAlignment="1" pivotButton="0" quotePrefix="0" xfId="0">
      <alignment vertical="center"/>
    </xf>
    <xf numFmtId="0" fontId="6" fillId="39" borderId="8" applyAlignment="1" pivotButton="0" quotePrefix="0" xfId="0">
      <alignment vertical="center"/>
    </xf>
    <xf numFmtId="0" fontId="6" fillId="39" borderId="0" applyAlignment="1" pivotButton="0" quotePrefix="0" xfId="0">
      <alignment vertical="top"/>
    </xf>
    <xf numFmtId="0" fontId="8" fillId="15" borderId="3" applyAlignment="1" pivotButton="0" quotePrefix="0" xfId="0">
      <alignment horizontal="left"/>
    </xf>
    <xf numFmtId="0" fontId="119" fillId="2" borderId="0" applyAlignment="1" pivotButton="0" quotePrefix="0" xfId="0">
      <alignment vertical="center"/>
    </xf>
    <xf numFmtId="0" fontId="131" fillId="15" borderId="0" pivotButton="0" quotePrefix="0" xfId="0"/>
    <xf numFmtId="0" fontId="0" fillId="0" borderId="43" applyAlignment="1" pivotButton="0" quotePrefix="0" xfId="0">
      <alignment horizontal="center"/>
    </xf>
    <xf numFmtId="0" fontId="0" fillId="0" borderId="12" applyAlignment="1" pivotButton="0" quotePrefix="0" xfId="0">
      <alignment horizontal="center"/>
    </xf>
    <xf numFmtId="170" fontId="8" fillId="0" borderId="0" applyAlignment="1" pivotButton="0" quotePrefix="0" xfId="0">
      <alignment horizontal="center" vertical="top"/>
    </xf>
    <xf numFmtId="0" fontId="0" fillId="0" borderId="109" applyAlignment="1" pivotButton="0" quotePrefix="0" xfId="0">
      <alignment horizontal="center"/>
    </xf>
    <xf numFmtId="0" fontId="0" fillId="0" borderId="46" applyAlignment="1" pivotButton="0" quotePrefix="0" xfId="0">
      <alignment horizontal="center"/>
    </xf>
    <xf numFmtId="0" fontId="0" fillId="0" borderId="50" applyAlignment="1" pivotButton="0" quotePrefix="0" xfId="0">
      <alignment horizontal="center"/>
    </xf>
    <xf numFmtId="0" fontId="348" fillId="15" borderId="0" applyAlignment="1" pivotButton="0" quotePrefix="0" xfId="0">
      <alignment horizontal="left" vertical="center" indent="1"/>
    </xf>
    <xf numFmtId="0" fontId="67" fillId="15" borderId="0" pivotButton="0" quotePrefix="0" xfId="2"/>
    <xf numFmtId="0" fontId="347" fillId="15" borderId="7" applyAlignment="1" pivotButton="0" quotePrefix="0" xfId="0">
      <alignment vertical="center"/>
    </xf>
    <xf numFmtId="0" fontId="348" fillId="15" borderId="0" applyAlignment="1" pivotButton="0" quotePrefix="0" xfId="0">
      <alignment vertical="center"/>
    </xf>
    <xf numFmtId="0" fontId="0" fillId="15" borderId="0" applyAlignment="1" pivotButton="0" quotePrefix="1" xfId="0">
      <alignment horizontal="right" vertical="center" indent="1"/>
    </xf>
    <xf numFmtId="0" fontId="351" fillId="15" borderId="0" applyAlignment="1" pivotButton="0" quotePrefix="0" xfId="0">
      <alignment vertical="center"/>
    </xf>
    <xf numFmtId="0" fontId="0" fillId="15" borderId="0" applyAlignment="1" pivotButton="0" quotePrefix="1" xfId="0">
      <alignment horizontal="right" indent="1"/>
    </xf>
    <xf numFmtId="0" fontId="14" fillId="15" borderId="0" applyAlignment="1" pivotButton="0" quotePrefix="0" xfId="0">
      <alignment horizontal="left" vertical="center" indent="1"/>
    </xf>
    <xf numFmtId="0" fontId="6" fillId="15" borderId="8" applyAlignment="1" pivotButton="0" quotePrefix="0" xfId="0">
      <alignment horizontal="center"/>
    </xf>
    <xf numFmtId="0" fontId="6" fillId="15" borderId="14" applyAlignment="1" pivotButton="0" quotePrefix="0" xfId="0">
      <alignment horizontal="center"/>
    </xf>
    <xf numFmtId="178" fontId="116" fillId="15" borderId="0" applyAlignment="1" applyProtection="1" pivotButton="0" quotePrefix="0" xfId="0">
      <alignment horizontal="right" vertical="center"/>
      <protection locked="0" hidden="0"/>
    </xf>
    <xf numFmtId="0" fontId="15" fillId="0" borderId="0" pivotButton="0" quotePrefix="0" xfId="0"/>
    <xf numFmtId="0" fontId="0" fillId="0" borderId="47" applyAlignment="1" pivotButton="0" quotePrefix="0" xfId="0">
      <alignment horizontal="center"/>
    </xf>
    <xf numFmtId="0" fontId="0" fillId="0" borderId="39" applyAlignment="1" pivotButton="0" quotePrefix="0" xfId="0">
      <alignment horizontal="center"/>
    </xf>
    <xf numFmtId="0" fontId="0" fillId="0" borderId="52" applyAlignment="1" pivotButton="0" quotePrefix="0" xfId="0">
      <alignment horizontal="center"/>
    </xf>
    <xf numFmtId="0" fontId="0" fillId="0" borderId="224" applyAlignment="1" pivotButton="0" quotePrefix="0" xfId="0">
      <alignment horizontal="center"/>
    </xf>
    <xf numFmtId="0" fontId="0" fillId="0" borderId="225" applyAlignment="1" pivotButton="0" quotePrefix="0" xfId="0">
      <alignment horizontal="center"/>
    </xf>
    <xf numFmtId="0" fontId="0" fillId="0" borderId="226" applyAlignment="1" pivotButton="0" quotePrefix="0" xfId="0">
      <alignment horizontal="center"/>
    </xf>
    <xf numFmtId="0" fontId="0" fillId="0" borderId="227" applyAlignment="1" pivotButton="0" quotePrefix="0" xfId="0">
      <alignment horizontal="center"/>
    </xf>
    <xf numFmtId="0" fontId="0" fillId="0" borderId="228" applyAlignment="1" pivotButton="0" quotePrefix="0" xfId="0">
      <alignment horizontal="center"/>
    </xf>
    <xf numFmtId="0" fontId="0" fillId="0" borderId="229" applyAlignment="1" pivotButton="0" quotePrefix="0" xfId="0">
      <alignment horizontal="center"/>
    </xf>
    <xf numFmtId="0" fontId="0" fillId="0" borderId="230" applyAlignment="1" pivotButton="0" quotePrefix="0" xfId="0">
      <alignment horizontal="center"/>
    </xf>
    <xf numFmtId="0" fontId="0" fillId="0" borderId="231" applyAlignment="1" pivotButton="0" quotePrefix="0" xfId="0">
      <alignment horizontal="center"/>
    </xf>
    <xf numFmtId="0" fontId="4" fillId="0" borderId="0" applyAlignment="1" pivotButton="0" quotePrefix="0" xfId="0">
      <alignment textRotation="90"/>
    </xf>
    <xf numFmtId="0" fontId="0" fillId="0" borderId="232" applyAlignment="1" pivotButton="0" quotePrefix="0" xfId="0">
      <alignment horizontal="center"/>
    </xf>
    <xf numFmtId="191" fontId="6" fillId="15" borderId="0" pivotButton="0" quotePrefix="0" xfId="4"/>
    <xf numFmtId="191" fontId="146" fillId="15" borderId="0" pivotButton="0" quotePrefix="0" xfId="0"/>
    <xf numFmtId="0" fontId="143" fillId="14" borderId="0" applyAlignment="1" applyProtection="1" pivotButton="0" quotePrefix="0" xfId="0">
      <alignment horizontal="right"/>
      <protection locked="1" hidden="1"/>
    </xf>
    <xf numFmtId="0" fontId="8" fillId="14" borderId="0" applyAlignment="1" pivotButton="0" quotePrefix="0" xfId="0">
      <alignment horizontal="left" indent="1"/>
    </xf>
    <xf numFmtId="0" fontId="8" fillId="15" borderId="13" applyAlignment="1" pivotButton="0" quotePrefix="0" xfId="0">
      <alignment horizontal="left" vertical="top" indent="1"/>
    </xf>
    <xf numFmtId="0" fontId="6" fillId="3" borderId="0" applyAlignment="1" pivotButton="0" quotePrefix="0" xfId="0">
      <alignment horizontal="left" indent="1"/>
    </xf>
    <xf numFmtId="0" fontId="172" fillId="3" borderId="0" applyAlignment="1" pivotButton="0" quotePrefix="0" xfId="0">
      <alignment horizontal="center" vertical="center"/>
    </xf>
    <xf numFmtId="0" fontId="205" fillId="3" borderId="0" applyAlignment="1" pivotButton="0" quotePrefix="0" xfId="0">
      <alignment horizontal="left" vertical="center"/>
    </xf>
    <xf numFmtId="0" fontId="188" fillId="15" borderId="0" pivotButton="0" quotePrefix="0" xfId="0"/>
    <xf numFmtId="0" fontId="188" fillId="15" borderId="1" pivotButton="0" quotePrefix="0" xfId="0"/>
    <xf numFmtId="0" fontId="73" fillId="15" borderId="0" applyAlignment="1" pivotButton="0" quotePrefix="0" xfId="0">
      <alignment horizontal="left"/>
    </xf>
    <xf numFmtId="0" fontId="188" fillId="15" borderId="0" applyAlignment="1" pivotButton="0" quotePrefix="0" xfId="0">
      <alignment horizontal="left"/>
    </xf>
    <xf numFmtId="0" fontId="188" fillId="15" borderId="1" applyAlignment="1" pivotButton="0" quotePrefix="0" xfId="0">
      <alignment horizontal="left"/>
    </xf>
    <xf numFmtId="0" fontId="188" fillId="15" borderId="0" applyAlignment="1" pivotButton="0" quotePrefix="0" xfId="0">
      <alignment vertical="top"/>
    </xf>
    <xf numFmtId="0" fontId="6" fillId="0" borderId="0" applyAlignment="1" pivotButton="0" quotePrefix="0" xfId="0">
      <alignment horizontal="left"/>
    </xf>
    <xf numFmtId="0" fontId="14" fillId="15" borderId="8" applyAlignment="1" pivotButton="0" quotePrefix="0" xfId="0">
      <alignment horizontal="center" vertical="center"/>
    </xf>
    <xf numFmtId="166" fontId="4" fillId="0" borderId="0" applyAlignment="1" applyProtection="1" pivotButton="0" quotePrefix="0" xfId="0">
      <alignment horizontal="center" vertical="center"/>
      <protection locked="0" hidden="0"/>
    </xf>
    <xf numFmtId="166" fontId="22" fillId="0" borderId="0" applyAlignment="1" pivotButton="0" quotePrefix="0" xfId="0">
      <alignment horizontal="center"/>
    </xf>
    <xf numFmtId="166" fontId="6" fillId="0" borderId="0" applyAlignment="1" pivotButton="0" quotePrefix="0" xfId="0">
      <alignment horizontal="center"/>
    </xf>
    <xf numFmtId="0" fontId="12" fillId="2" borderId="3" pivotButton="0" quotePrefix="0" xfId="0"/>
    <xf numFmtId="0" fontId="187" fillId="5" borderId="0" applyAlignment="1" pivotButton="0" quotePrefix="0" xfId="0">
      <alignment horizontal="center"/>
    </xf>
    <xf numFmtId="0" fontId="47" fillId="2" borderId="1" pivotButton="0" quotePrefix="0" xfId="0"/>
    <xf numFmtId="0" fontId="121" fillId="0" borderId="0" pivotButton="0" quotePrefix="0" xfId="0"/>
    <xf numFmtId="0" fontId="119" fillId="2" borderId="0" applyAlignment="1" pivotButton="0" quotePrefix="0" xfId="0">
      <alignment horizontal="right"/>
    </xf>
    <xf numFmtId="0" fontId="119" fillId="2" borderId="0" applyAlignment="1" pivotButton="0" quotePrefix="0" xfId="0">
      <alignment horizontal="right" indent="1"/>
    </xf>
    <xf numFmtId="0" fontId="8" fillId="2" borderId="1" pivotButton="0" quotePrefix="0" xfId="0"/>
    <xf numFmtId="0" fontId="8" fillId="2" borderId="1" applyAlignment="1" pivotButton="0" quotePrefix="0" xfId="0">
      <alignment vertical="center"/>
    </xf>
    <xf numFmtId="0" fontId="22" fillId="0" borderId="0" applyAlignment="1" pivotButton="0" quotePrefix="0" xfId="0">
      <alignment horizontal="center"/>
    </xf>
    <xf numFmtId="0" fontId="9" fillId="2" borderId="0" applyAlignment="1" pivotButton="0" quotePrefix="0" xfId="0">
      <alignment horizontal="left" vertical="center"/>
    </xf>
    <xf numFmtId="0" fontId="8" fillId="2" borderId="0" applyAlignment="1" pivotButton="0" quotePrefix="0" xfId="0">
      <alignment horizontal="right"/>
    </xf>
    <xf numFmtId="0" fontId="81" fillId="15" borderId="0" applyAlignment="1" pivotButton="0" quotePrefix="0" xfId="0">
      <alignment horizontal="center"/>
    </xf>
    <xf numFmtId="0" fontId="119" fillId="15" borderId="0" applyAlignment="1" pivotButton="0" quotePrefix="0" xfId="0">
      <alignment horizontal="left"/>
    </xf>
    <xf numFmtId="0" fontId="119" fillId="15" borderId="0" applyAlignment="1" pivotButton="0" quotePrefix="0" xfId="0">
      <alignment vertical="center"/>
    </xf>
    <xf numFmtId="0" fontId="119" fillId="15" borderId="0" applyAlignment="1" pivotButton="0" quotePrefix="0" xfId="0">
      <alignment horizontal="right" indent="1"/>
    </xf>
    <xf numFmtId="0" fontId="103" fillId="2" borderId="0" applyAlignment="1" pivotButton="0" quotePrefix="0" xfId="0">
      <alignment horizontal="center"/>
    </xf>
    <xf numFmtId="0" fontId="103" fillId="0" borderId="0" applyAlignment="1" pivotButton="0" quotePrefix="0" xfId="0">
      <alignment horizontal="center"/>
    </xf>
    <xf numFmtId="0" fontId="14" fillId="15" borderId="1" applyAlignment="1" pivotButton="0" quotePrefix="1" xfId="0">
      <alignment horizontal="left"/>
    </xf>
    <xf numFmtId="39" fontId="11" fillId="15" borderId="7" applyAlignment="1" pivotButton="0" quotePrefix="0" xfId="0">
      <alignment horizontal="left"/>
    </xf>
    <xf numFmtId="0" fontId="188" fillId="15" borderId="7" applyAlignment="1" pivotButton="0" quotePrefix="0" xfId="0">
      <alignment vertical="center"/>
    </xf>
    <xf numFmtId="0" fontId="21" fillId="2" borderId="4" applyAlignment="1" pivotButton="0" quotePrefix="0" xfId="0">
      <alignment horizontal="left" vertical="center"/>
    </xf>
    <xf numFmtId="0" fontId="20" fillId="2" borderId="4" applyAlignment="1" pivotButton="0" quotePrefix="0" xfId="0">
      <alignment horizontal="left"/>
    </xf>
    <xf numFmtId="0" fontId="4" fillId="2" borderId="4" applyAlignment="1" pivotButton="0" quotePrefix="0" xfId="0">
      <alignment horizontal="right" wrapText="1"/>
    </xf>
    <xf numFmtId="0" fontId="11" fillId="2" borderId="4" applyAlignment="1" pivotButton="0" quotePrefix="0" xfId="0">
      <alignment horizontal="center" wrapText="1"/>
    </xf>
    <xf numFmtId="0" fontId="4" fillId="2" borderId="4" applyAlignment="1" pivotButton="0" quotePrefix="0" xfId="0">
      <alignment horizontal="center" wrapText="1"/>
    </xf>
    <xf numFmtId="0" fontId="6" fillId="2" borderId="40" pivotButton="0" quotePrefix="0" xfId="0"/>
    <xf numFmtId="0" fontId="6" fillId="2" borderId="41" pivotButton="0" quotePrefix="0" xfId="0"/>
    <xf numFmtId="4" fontId="6" fillId="27" borderId="49" applyAlignment="1" pivotButton="0" quotePrefix="0" xfId="0">
      <alignment horizontal="right"/>
    </xf>
    <xf numFmtId="0" fontId="248" fillId="15" borderId="0" applyAlignment="1" pivotButton="0" quotePrefix="0" xfId="0">
      <alignment horizontal="left" indent="1"/>
    </xf>
    <xf numFmtId="0" fontId="0" fillId="2" borderId="42" pivotButton="0" quotePrefix="0" xfId="0"/>
    <xf numFmtId="0" fontId="4" fillId="2" borderId="0" applyAlignment="1" pivotButton="0" quotePrefix="0" xfId="0">
      <alignment horizontal="right" wrapText="1"/>
    </xf>
    <xf numFmtId="0" fontId="44" fillId="2" borderId="7" applyAlignment="1" pivotButton="0" quotePrefix="0" xfId="0">
      <alignment vertical="center"/>
    </xf>
    <xf numFmtId="0" fontId="14" fillId="2" borderId="7" pivotButton="0" quotePrefix="0" xfId="0"/>
    <xf numFmtId="0" fontId="11" fillId="2" borderId="4" applyAlignment="1" pivotButton="0" quotePrefix="0" xfId="0">
      <alignment horizontal="right"/>
    </xf>
    <xf numFmtId="0" fontId="44" fillId="2" borderId="0" applyAlignment="1" pivotButton="0" quotePrefix="0" xfId="0">
      <alignment vertical="center"/>
    </xf>
    <xf numFmtId="0" fontId="4" fillId="2" borderId="5" applyAlignment="1" pivotButton="0" quotePrefix="0" xfId="0">
      <alignment horizontal="right" vertical="top"/>
    </xf>
    <xf numFmtId="0" fontId="0" fillId="2" borderId="1" applyAlignment="1" pivotButton="0" quotePrefix="0" xfId="0">
      <alignment vertical="top" wrapText="1"/>
    </xf>
    <xf numFmtId="0" fontId="0" fillId="2" borderId="20" applyAlignment="1" pivotButton="0" quotePrefix="0" xfId="0">
      <alignment vertical="top"/>
    </xf>
    <xf numFmtId="0" fontId="4" fillId="2" borderId="5" applyAlignment="1" pivotButton="0" quotePrefix="0" xfId="0">
      <alignment horizontal="right" vertical="center"/>
    </xf>
    <xf numFmtId="0" fontId="0" fillId="2" borderId="20" applyAlignment="1" pivotButton="0" quotePrefix="0" xfId="0">
      <alignment vertical="center"/>
    </xf>
    <xf numFmtId="3" fontId="0" fillId="2" borderId="1" pivotButton="0" quotePrefix="0" xfId="0"/>
    <xf numFmtId="1" fontId="0" fillId="10" borderId="8" pivotButton="0" quotePrefix="0" xfId="0"/>
    <xf numFmtId="0" fontId="0" fillId="2" borderId="0" applyAlignment="1" pivotButton="0" quotePrefix="0" xfId="0">
      <alignment vertical="top" wrapText="1"/>
    </xf>
    <xf numFmtId="37" fontId="0" fillId="2" borderId="8" applyAlignment="1" pivotButton="0" quotePrefix="0" xfId="0">
      <alignment wrapText="1"/>
    </xf>
    <xf numFmtId="0" fontId="0" fillId="2" borderId="20" applyAlignment="1" pivotButton="0" quotePrefix="0" xfId="0">
      <alignment vertical="top" wrapText="1"/>
    </xf>
    <xf numFmtId="37" fontId="110" fillId="2" borderId="0" applyAlignment="1" pivotButton="0" quotePrefix="0" xfId="0">
      <alignment vertical="top" wrapText="1"/>
    </xf>
    <xf numFmtId="37" fontId="0" fillId="2" borderId="1" applyAlignment="1" pivotButton="0" quotePrefix="0" xfId="0">
      <alignment wrapText="1"/>
    </xf>
    <xf numFmtId="37" fontId="0" fillId="2" borderId="25" applyAlignment="1" pivotButton="0" quotePrefix="0" xfId="0">
      <alignment wrapText="1"/>
    </xf>
    <xf numFmtId="37" fontId="0" fillId="2" borderId="25" applyAlignment="1" pivotButton="0" quotePrefix="0" xfId="0">
      <alignment vertical="top" wrapText="1"/>
    </xf>
    <xf numFmtId="0" fontId="17" fillId="2" borderId="5" applyAlignment="1" pivotButton="0" quotePrefix="0" xfId="0">
      <alignment vertical="top"/>
    </xf>
    <xf numFmtId="0" fontId="6" fillId="15" borderId="31" applyAlignment="1" pivotButton="0" quotePrefix="0" xfId="0">
      <alignment vertical="top" wrapText="1"/>
    </xf>
    <xf numFmtId="0" fontId="15" fillId="15" borderId="31" applyAlignment="1" pivotButton="0" quotePrefix="0" xfId="0">
      <alignment horizontal="center" vertical="top"/>
    </xf>
    <xf numFmtId="0" fontId="6" fillId="15" borderId="31" applyAlignment="1" pivotButton="0" quotePrefix="0" xfId="0">
      <alignment horizontal="left" vertical="top" wrapText="1"/>
    </xf>
    <xf numFmtId="0" fontId="0" fillId="15" borderId="31" applyAlignment="1" pivotButton="0" quotePrefix="0" xfId="0">
      <alignment vertical="top" wrapText="1"/>
    </xf>
    <xf numFmtId="0" fontId="35" fillId="2" borderId="21" applyAlignment="1" pivotButton="0" quotePrefix="0" xfId="0">
      <alignment horizontal="right" vertical="top"/>
    </xf>
    <xf numFmtId="0" fontId="4" fillId="15" borderId="4" applyAlignment="1" pivotButton="0" quotePrefix="0" xfId="0">
      <alignment vertical="top" wrapText="1"/>
    </xf>
    <xf numFmtId="0" fontId="0" fillId="15" borderId="4" applyAlignment="1" pivotButton="0" quotePrefix="0" xfId="0">
      <alignment vertical="top"/>
    </xf>
    <xf numFmtId="0" fontId="8" fillId="15" borderId="4" applyAlignment="1" pivotButton="0" quotePrefix="0" xfId="0">
      <alignment horizontal="right" vertical="top"/>
    </xf>
    <xf numFmtId="0" fontId="0" fillId="2" borderId="22" applyAlignment="1" pivotButton="0" quotePrefix="0" xfId="0">
      <alignment vertical="top"/>
    </xf>
    <xf numFmtId="0" fontId="7" fillId="2" borderId="0" applyAlignment="1" pivotButton="0" quotePrefix="0" xfId="0">
      <alignment horizontal="right"/>
    </xf>
    <xf numFmtId="39" fontId="21" fillId="24" borderId="0" applyAlignment="1" applyProtection="1" pivotButton="0" quotePrefix="0" xfId="0">
      <alignment horizontal="left" vertical="center"/>
      <protection locked="0" hidden="0"/>
    </xf>
    <xf numFmtId="0" fontId="20" fillId="2" borderId="7" applyAlignment="1" pivotButton="0" quotePrefix="0" xfId="0">
      <alignment horizontal="left"/>
    </xf>
    <xf numFmtId="0" fontId="21" fillId="2" borderId="7" applyAlignment="1" pivotButton="0" quotePrefix="0" xfId="0">
      <alignment horizontal="left" vertical="center"/>
    </xf>
    <xf numFmtId="0" fontId="354" fillId="2" borderId="0" applyAlignment="1" pivotButton="0" quotePrefix="0" xfId="0">
      <alignment horizontal="center" vertical="top"/>
    </xf>
    <xf numFmtId="40" fontId="6" fillId="2" borderId="0" applyAlignment="1" pivotButton="0" quotePrefix="0" xfId="0">
      <alignment vertical="top"/>
    </xf>
    <xf numFmtId="0" fontId="35" fillId="2" borderId="0" applyAlignment="1" pivotButton="0" quotePrefix="0" xfId="0">
      <alignment horizontal="center"/>
    </xf>
    <xf numFmtId="0" fontId="119" fillId="2" borderId="0" applyAlignment="1" pivotButton="0" quotePrefix="0" xfId="0">
      <alignment horizontal="left" vertical="center"/>
    </xf>
    <xf numFmtId="0" fontId="167" fillId="15" borderId="0" applyAlignment="1" pivotButton="0" quotePrefix="0" xfId="0">
      <alignment vertical="center" wrapText="1"/>
    </xf>
    <xf numFmtId="0" fontId="47" fillId="39" borderId="25" applyAlignment="1" pivotButton="0" quotePrefix="0" xfId="0">
      <alignment horizontal="left" vertical="center"/>
    </xf>
    <xf numFmtId="0" fontId="6" fillId="39" borderId="3" applyAlignment="1" pivotButton="0" quotePrefix="0" xfId="0">
      <alignment horizontal="left" vertical="center"/>
    </xf>
    <xf numFmtId="0" fontId="6" fillId="39" borderId="3" applyAlignment="1" pivotButton="0" quotePrefix="0" xfId="0">
      <alignment vertical="center"/>
    </xf>
    <xf numFmtId="0" fontId="6" fillId="39" borderId="3" applyAlignment="1" pivotButton="0" quotePrefix="0" xfId="0">
      <alignment horizontal="left" vertical="center" wrapText="1"/>
    </xf>
    <xf numFmtId="37" fontId="9" fillId="15" borderId="3" pivotButton="0" quotePrefix="0" xfId="0"/>
    <xf numFmtId="37" fontId="6" fillId="27" borderId="1" pivotButton="0" quotePrefix="0" xfId="0"/>
    <xf numFmtId="0" fontId="115" fillId="15" borderId="0" applyAlignment="1" pivotButton="0" quotePrefix="0" xfId="0">
      <alignment horizontal="left"/>
    </xf>
    <xf numFmtId="0" fontId="6" fillId="15" borderId="8" applyAlignment="1" pivotButton="0" quotePrefix="0" xfId="0">
      <alignment horizontal="center" vertical="center"/>
    </xf>
    <xf numFmtId="0" fontId="6" fillId="15" borderId="5" applyAlignment="1" pivotButton="0" quotePrefix="0" xfId="0">
      <alignment vertical="center" wrapText="1"/>
    </xf>
    <xf numFmtId="0" fontId="6" fillId="15" borderId="21" applyAlignment="1" pivotButton="0" quotePrefix="0" xfId="0">
      <alignment vertical="center" wrapText="1"/>
    </xf>
    <xf numFmtId="0" fontId="106" fillId="15" borderId="0" applyAlignment="1" pivotButton="0" quotePrefix="0" xfId="0">
      <alignment horizontal="center" vertical="center"/>
    </xf>
    <xf numFmtId="3" fontId="11" fillId="15" borderId="1" pivotButton="0" quotePrefix="0" xfId="0"/>
    <xf numFmtId="3" fontId="11" fillId="15" borderId="11" pivotButton="0" quotePrefix="0" xfId="0"/>
    <xf numFmtId="0" fontId="158" fillId="15" borderId="0" applyAlignment="1" pivotButton="0" quotePrefix="0" xfId="0">
      <alignment vertical="top"/>
    </xf>
    <xf numFmtId="0" fontId="15" fillId="15" borderId="10" applyAlignment="1" pivotButton="0" quotePrefix="0" xfId="0">
      <alignment horizontal="center" vertical="center"/>
    </xf>
    <xf numFmtId="1" fontId="6" fillId="35" borderId="0" applyAlignment="1" pivotButton="0" quotePrefix="0" xfId="0">
      <alignment horizontal="right"/>
    </xf>
    <xf numFmtId="0" fontId="4" fillId="27" borderId="46" applyAlignment="1" pivotButton="0" quotePrefix="0" xfId="0">
      <alignment horizontal="center"/>
    </xf>
    <xf numFmtId="0" fontId="4" fillId="27" borderId="50" applyAlignment="1" pivotButton="0" quotePrefix="0" xfId="0">
      <alignment horizontal="center"/>
    </xf>
    <xf numFmtId="0" fontId="11" fillId="15" borderId="13" applyAlignment="1" pivotButton="0" quotePrefix="0" xfId="0">
      <alignment horizontal="left"/>
    </xf>
    <xf numFmtId="0" fontId="9" fillId="15" borderId="16" applyAlignment="1" pivotButton="0" quotePrefix="0" xfId="0">
      <alignment horizontal="left"/>
    </xf>
    <xf numFmtId="0" fontId="112" fillId="15" borderId="0" applyAlignment="1" pivotButton="0" quotePrefix="0" xfId="0">
      <alignment vertical="center" wrapText="1"/>
    </xf>
    <xf numFmtId="1" fontId="0" fillId="10" borderId="0" applyAlignment="1" pivotButton="0" quotePrefix="0" xfId="0">
      <alignment vertical="top"/>
    </xf>
    <xf numFmtId="0" fontId="106" fillId="15" borderId="0" applyAlignment="1" pivotButton="0" quotePrefix="0" xfId="0">
      <alignment horizontal="center"/>
    </xf>
    <xf numFmtId="3" fontId="158" fillId="15" borderId="0" applyAlignment="1" pivotButton="0" quotePrefix="0" xfId="0">
      <alignment vertical="center"/>
    </xf>
    <xf numFmtId="0" fontId="9" fillId="0" borderId="0" pivotButton="0" quotePrefix="0" xfId="0"/>
    <xf numFmtId="37" fontId="0" fillId="2" borderId="12" applyProtection="1" pivotButton="0" quotePrefix="0" xfId="0">
      <protection locked="0" hidden="0"/>
    </xf>
    <xf numFmtId="0" fontId="22" fillId="15" borderId="0" pivotButton="0" quotePrefix="0" xfId="0"/>
    <xf numFmtId="0" fontId="11" fillId="2" borderId="23" pivotButton="0" quotePrefix="0" xfId="0"/>
    <xf numFmtId="0" fontId="11" fillId="2" borderId="7" pivotButton="0" quotePrefix="0" xfId="0"/>
    <xf numFmtId="0" fontId="25" fillId="2" borderId="7" pivotButton="0" quotePrefix="0" xfId="0"/>
    <xf numFmtId="0" fontId="11" fillId="2" borderId="5" pivotButton="0" quotePrefix="0" xfId="0"/>
    <xf numFmtId="0" fontId="25" fillId="2" borderId="0" applyAlignment="1" pivotButton="0" quotePrefix="0" xfId="0">
      <alignment horizontal="center" vertical="center"/>
    </xf>
    <xf numFmtId="0" fontId="5" fillId="2" borderId="0" applyAlignment="1" pivotButton="0" quotePrefix="0" xfId="0">
      <alignment horizontal="left" indent="3"/>
    </xf>
    <xf numFmtId="0" fontId="5" fillId="2" borderId="0" applyAlignment="1" pivotButton="0" quotePrefix="0" xfId="0">
      <alignment horizontal="right"/>
    </xf>
    <xf numFmtId="0" fontId="5" fillId="2" borderId="0" applyAlignment="1" pivotButton="0" quotePrefix="0" xfId="0">
      <alignment horizontal="right" indent="4"/>
    </xf>
    <xf numFmtId="0" fontId="25" fillId="15" borderId="0" pivotButton="0" quotePrefix="0" xfId="0"/>
    <xf numFmtId="0" fontId="4" fillId="2" borderId="5" pivotButton="0" quotePrefix="0" xfId="0"/>
    <xf numFmtId="0" fontId="125" fillId="2" borderId="1" applyAlignment="1" pivotButton="0" quotePrefix="0" xfId="0">
      <alignment horizontal="center"/>
    </xf>
    <xf numFmtId="0" fontId="4" fillId="2" borderId="67" pivotButton="0" quotePrefix="0" xfId="0"/>
    <xf numFmtId="0" fontId="6" fillId="2" borderId="25" applyAlignment="1" pivotButton="0" quotePrefix="0" xfId="0">
      <alignment horizontal="left" vertical="center"/>
    </xf>
    <xf numFmtId="0" fontId="57" fillId="2" borderId="25" pivotButton="0" quotePrefix="0" xfId="0"/>
    <xf numFmtId="0" fontId="22" fillId="2" borderId="25" pivotButton="0" quotePrefix="0" xfId="0"/>
    <xf numFmtId="0" fontId="0" fillId="2" borderId="68" pivotButton="0" quotePrefix="0" xfId="0"/>
    <xf numFmtId="0" fontId="6" fillId="2" borderId="0" applyAlignment="1" pivotButton="0" quotePrefix="0" xfId="0">
      <alignment horizontal="right" indent="1"/>
    </xf>
    <xf numFmtId="0" fontId="4" fillId="25" borderId="12" applyAlignment="1" pivotButton="0" quotePrefix="1" xfId="0">
      <alignment horizontal="center"/>
    </xf>
    <xf numFmtId="172" fontId="4" fillId="25" borderId="1" applyAlignment="1" pivotButton="0" quotePrefix="0" xfId="0">
      <alignment horizontal="center"/>
    </xf>
    <xf numFmtId="0" fontId="51" fillId="2" borderId="5" pivotButton="0" quotePrefix="0" xfId="0"/>
    <xf numFmtId="3" fontId="6" fillId="2" borderId="0" applyAlignment="1" pivotButton="0" quotePrefix="0" xfId="0">
      <alignment horizontal="right"/>
    </xf>
    <xf numFmtId="0" fontId="4" fillId="2" borderId="0" applyAlignment="1" pivotButton="0" quotePrefix="0" xfId="0">
      <alignment horizontal="right" vertical="top"/>
    </xf>
    <xf numFmtId="3" fontId="4" fillId="2" borderId="0" applyAlignment="1" pivotButton="0" quotePrefix="0" xfId="0">
      <alignment horizontal="right"/>
    </xf>
    <xf numFmtId="3" fontId="6" fillId="25" borderId="1" applyAlignment="1" pivotButton="0" quotePrefix="0" xfId="0">
      <alignment horizontal="right"/>
    </xf>
    <xf numFmtId="0" fontId="0" fillId="2" borderId="0" pivotButton="0" quotePrefix="1" xfId="0"/>
    <xf numFmtId="0" fontId="83" fillId="2" borderId="0" pivotButton="0" quotePrefix="0" xfId="0"/>
    <xf numFmtId="3" fontId="6" fillId="2" borderId="0" pivotButton="0" quotePrefix="0" xfId="0"/>
    <xf numFmtId="0" fontId="37" fillId="2" borderId="5" applyAlignment="1" pivotButton="0" quotePrefix="1" xfId="0">
      <alignment horizontal="left"/>
    </xf>
    <xf numFmtId="0" fontId="37" fillId="2" borderId="5" applyAlignment="1" pivotButton="0" quotePrefix="1" xfId="0">
      <alignment horizontal="left" vertical="center"/>
    </xf>
    <xf numFmtId="0" fontId="37" fillId="2" borderId="5" applyAlignment="1" pivotButton="0" quotePrefix="1" xfId="0">
      <alignment horizontal="left" vertical="top"/>
    </xf>
    <xf numFmtId="0" fontId="37" fillId="2" borderId="21" applyAlignment="1" pivotButton="0" quotePrefix="1" xfId="0">
      <alignment horizontal="left" vertical="top" indent="1"/>
    </xf>
    <xf numFmtId="37" fontId="0" fillId="2" borderId="51" pivotButton="0" quotePrefix="0" xfId="0"/>
    <xf numFmtId="0" fontId="6" fillId="2" borderId="4" applyAlignment="1" pivotButton="0" quotePrefix="1" xfId="0">
      <alignment vertical="center"/>
    </xf>
    <xf numFmtId="0" fontId="59" fillId="4" borderId="1" applyAlignment="1" applyProtection="1" pivotButton="0" quotePrefix="0" xfId="0">
      <alignment horizontal="right"/>
      <protection locked="0" hidden="0"/>
    </xf>
    <xf numFmtId="37" fontId="355" fillId="2" borderId="12" applyProtection="1" pivotButton="0" quotePrefix="0" xfId="0">
      <protection locked="0" hidden="0"/>
    </xf>
    <xf numFmtId="0" fontId="14" fillId="15" borderId="0" applyAlignment="1" pivotButton="0" quotePrefix="1" xfId="0">
      <alignment vertical="top"/>
    </xf>
    <xf numFmtId="0" fontId="44" fillId="15" borderId="5" applyAlignment="1" pivotButton="0" quotePrefix="0" xfId="0">
      <alignment horizontal="centerContinuous"/>
    </xf>
    <xf numFmtId="1" fontId="0" fillId="10" borderId="0" applyProtection="1" pivotButton="0" quotePrefix="0" xfId="0">
      <protection locked="0" hidden="0"/>
    </xf>
    <xf numFmtId="0" fontId="172" fillId="23" borderId="1" applyAlignment="1" pivotButton="0" quotePrefix="0" xfId="0">
      <alignment horizontal="center"/>
    </xf>
    <xf numFmtId="0" fontId="0" fillId="0" borderId="73" applyAlignment="1" pivotButton="0" quotePrefix="0" xfId="0">
      <alignment horizontal="center"/>
    </xf>
    <xf numFmtId="0" fontId="0" fillId="0" borderId="54" applyAlignment="1" pivotButton="0" quotePrefix="0" xfId="0">
      <alignment horizontal="center"/>
    </xf>
    <xf numFmtId="0" fontId="0" fillId="19" borderId="0" applyAlignment="1" pivotButton="0" quotePrefix="0" xfId="0">
      <alignment horizontal="center"/>
    </xf>
    <xf numFmtId="0" fontId="203" fillId="15" borderId="0" applyAlignment="1" pivotButton="0" quotePrefix="0" xfId="0">
      <alignment horizontal="right" vertical="top"/>
    </xf>
    <xf numFmtId="0" fontId="24" fillId="15" borderId="0" applyAlignment="1" pivotButton="0" quotePrefix="0" xfId="0">
      <alignment horizontal="right"/>
    </xf>
    <xf numFmtId="0" fontId="24" fillId="15" borderId="4" applyAlignment="1" pivotButton="0" quotePrefix="0" xfId="0">
      <alignment horizontal="right" vertical="top"/>
    </xf>
    <xf numFmtId="0" fontId="0" fillId="0" borderId="203" applyAlignment="1" pivotButton="0" quotePrefix="0" xfId="0">
      <alignment horizontal="center"/>
    </xf>
    <xf numFmtId="0" fontId="4" fillId="0" borderId="210" applyAlignment="1" pivotButton="0" quotePrefix="0" xfId="0">
      <alignment horizontal="center" wrapText="1"/>
    </xf>
    <xf numFmtId="0" fontId="4" fillId="0" borderId="232" applyAlignment="1" pivotButton="0" quotePrefix="0" xfId="0">
      <alignment horizontal="center" wrapText="1"/>
    </xf>
    <xf numFmtId="37" fontId="4" fillId="16" borderId="39" applyAlignment="1" applyProtection="1" pivotButton="0" quotePrefix="0" xfId="0">
      <alignment horizontal="center" vertical="center"/>
      <protection locked="0" hidden="0"/>
    </xf>
    <xf numFmtId="37" fontId="4" fillId="16" borderId="198" applyAlignment="1" applyProtection="1" pivotButton="0" quotePrefix="0" xfId="0">
      <alignment horizontal="center" vertical="center"/>
      <protection locked="0" hidden="0"/>
    </xf>
    <xf numFmtId="0" fontId="0" fillId="0" borderId="233" applyAlignment="1" pivotButton="0" quotePrefix="0" xfId="0">
      <alignment horizontal="center"/>
    </xf>
    <xf numFmtId="0" fontId="172" fillId="23" borderId="0" applyAlignment="1" pivotButton="0" quotePrefix="0" xfId="0">
      <alignment horizontal="center"/>
    </xf>
    <xf numFmtId="0" fontId="6" fillId="0" borderId="230" applyAlignment="1" pivotButton="0" quotePrefix="0" xfId="0">
      <alignment horizontal="center"/>
    </xf>
    <xf numFmtId="0" fontId="4" fillId="0" borderId="0" applyAlignment="1" pivotButton="0" quotePrefix="0" xfId="0">
      <alignment wrapText="1"/>
    </xf>
    <xf numFmtId="0" fontId="0" fillId="0" borderId="66" applyAlignment="1" pivotButton="0" quotePrefix="0" xfId="0">
      <alignment horizontal="center"/>
    </xf>
    <xf numFmtId="0" fontId="0" fillId="0" borderId="58" applyAlignment="1" pivotButton="0" quotePrefix="0" xfId="0">
      <alignment horizontal="center"/>
    </xf>
    <xf numFmtId="0" fontId="0" fillId="0" borderId="110" applyAlignment="1" pivotButton="0" quotePrefix="0" xfId="0">
      <alignment horizontal="center"/>
    </xf>
    <xf numFmtId="0" fontId="228" fillId="23" borderId="0" applyAlignment="1" pivotButton="0" quotePrefix="1" xfId="0">
      <alignment horizontal="center"/>
    </xf>
    <xf numFmtId="0" fontId="228" fillId="23" borderId="0" applyAlignment="1" pivotButton="0" quotePrefix="0" xfId="0">
      <alignment horizontal="center"/>
    </xf>
    <xf numFmtId="0" fontId="0" fillId="0" borderId="7" applyAlignment="1" pivotButton="0" quotePrefix="0" xfId="0">
      <alignment horizontal="center" vertical="center"/>
    </xf>
    <xf numFmtId="0" fontId="11" fillId="27" borderId="67" applyAlignment="1" applyProtection="1" pivotButton="0" quotePrefix="0" xfId="0">
      <alignment horizontal="center" vertical="center"/>
      <protection locked="1" hidden="1"/>
    </xf>
    <xf numFmtId="0" fontId="11" fillId="27" borderId="234" applyAlignment="1" applyProtection="1" pivotButton="0" quotePrefix="0" xfId="0">
      <alignment horizontal="center" vertical="center"/>
      <protection locked="1" hidden="1"/>
    </xf>
    <xf numFmtId="0" fontId="4" fillId="0" borderId="159" applyAlignment="1" pivotButton="0" quotePrefix="0" xfId="0">
      <alignment wrapText="1"/>
    </xf>
    <xf numFmtId="0" fontId="4" fillId="27" borderId="198" applyAlignment="1" pivotButton="0" quotePrefix="0" xfId="0">
      <alignment horizontal="center" vertical="center"/>
    </xf>
    <xf numFmtId="0" fontId="11" fillId="15" borderId="81" applyAlignment="1" pivotButton="0" quotePrefix="0" xfId="0">
      <alignment horizontal="center"/>
    </xf>
    <xf numFmtId="0" fontId="11" fillId="15" borderId="2" applyAlignment="1" pivotButton="0" quotePrefix="0" xfId="0">
      <alignment horizontal="center"/>
    </xf>
    <xf numFmtId="0" fontId="0" fillId="0" borderId="9" applyAlignment="1" pivotButton="0" quotePrefix="0" xfId="0">
      <alignment horizontal="center"/>
    </xf>
    <xf numFmtId="0" fontId="0" fillId="15" borderId="26" pivotButton="0" quotePrefix="0" xfId="0"/>
    <xf numFmtId="1" fontId="4" fillId="27" borderId="1" applyAlignment="1" pivotButton="0" quotePrefix="0" xfId="0">
      <alignment horizontal="center"/>
    </xf>
    <xf numFmtId="1" fontId="6" fillId="27" borderId="11" applyAlignment="1" pivotButton="0" quotePrefix="0" xfId="0">
      <alignment horizontal="center"/>
    </xf>
    <xf numFmtId="0" fontId="4" fillId="0" borderId="1" applyAlignment="1" pivotButton="0" quotePrefix="0" xfId="0">
      <alignment horizontal="center" wrapText="1"/>
    </xf>
    <xf numFmtId="0" fontId="4" fillId="15" borderId="19" applyAlignment="1" pivotButton="0" quotePrefix="0" xfId="0">
      <alignment horizontal="right"/>
    </xf>
    <xf numFmtId="0" fontId="34" fillId="15" borderId="0" applyAlignment="1" pivotButton="0" quotePrefix="0" xfId="0">
      <alignment horizontal="right"/>
    </xf>
    <xf numFmtId="0" fontId="15" fillId="15" borderId="0" applyAlignment="1" pivotButton="0" quotePrefix="0" xfId="0">
      <alignment horizontal="right"/>
    </xf>
    <xf numFmtId="0" fontId="356" fillId="0" borderId="0" applyAlignment="1" pivotButton="0" quotePrefix="0" xfId="0">
      <alignment horizontal="left" vertical="center"/>
    </xf>
    <xf numFmtId="172" fontId="11" fillId="27" borderId="25" applyAlignment="1" applyProtection="1" pivotButton="0" quotePrefix="0" xfId="0">
      <alignment horizontal="center" vertical="center"/>
      <protection locked="1" hidden="1"/>
    </xf>
    <xf numFmtId="172" fontId="11" fillId="27" borderId="99" applyAlignment="1" applyProtection="1" pivotButton="0" quotePrefix="0" xfId="0">
      <alignment horizontal="center" vertical="center"/>
      <protection locked="1" hidden="1"/>
    </xf>
    <xf numFmtId="0" fontId="47" fillId="23" borderId="0" pivotButton="0" quotePrefix="0" xfId="0"/>
    <xf numFmtId="0" fontId="4" fillId="16" borderId="235" applyAlignment="1" applyProtection="1" pivotButton="0" quotePrefix="0" xfId="0">
      <alignment horizontal="center" vertical="center"/>
      <protection locked="0" hidden="0"/>
    </xf>
    <xf numFmtId="0" fontId="4" fillId="16" borderId="236" applyAlignment="1" applyProtection="1" pivotButton="0" quotePrefix="0" xfId="0">
      <alignment horizontal="center" vertical="center"/>
      <protection locked="0" hidden="0"/>
    </xf>
    <xf numFmtId="0" fontId="4" fillId="16" borderId="237" applyAlignment="1" applyProtection="1" pivotButton="0" quotePrefix="0" xfId="0">
      <alignment horizontal="center" vertical="center"/>
      <protection locked="0" hidden="0"/>
    </xf>
    <xf numFmtId="0" fontId="4" fillId="16" borderId="238" applyAlignment="1" applyProtection="1" pivotButton="0" quotePrefix="0" xfId="0">
      <alignment horizontal="center" vertical="center"/>
      <protection locked="0" hidden="0"/>
    </xf>
    <xf numFmtId="0" fontId="11" fillId="16" borderId="235" applyAlignment="1" applyProtection="1" pivotButton="0" quotePrefix="0" xfId="0">
      <alignment horizontal="center" vertical="center"/>
      <protection locked="0" hidden="0"/>
    </xf>
    <xf numFmtId="0" fontId="11" fillId="16" borderId="236" applyAlignment="1" applyProtection="1" pivotButton="0" quotePrefix="0" xfId="0">
      <alignment horizontal="center" vertical="center"/>
      <protection locked="0" hidden="0"/>
    </xf>
    <xf numFmtId="0" fontId="11" fillId="16" borderId="237" applyAlignment="1" applyProtection="1" pivotButton="0" quotePrefix="0" xfId="0">
      <alignment horizontal="center" vertical="center"/>
      <protection locked="0" hidden="0"/>
    </xf>
    <xf numFmtId="0" fontId="11" fillId="16" borderId="238" applyAlignment="1" applyProtection="1" pivotButton="0" quotePrefix="0" xfId="0">
      <alignment horizontal="center" vertical="center"/>
      <protection locked="0" hidden="0"/>
    </xf>
    <xf numFmtId="0" fontId="15" fillId="16" borderId="236" applyAlignment="1" applyProtection="1" pivotButton="0" quotePrefix="0" xfId="0">
      <alignment horizontal="center" vertical="center"/>
      <protection locked="0" hidden="0"/>
    </xf>
    <xf numFmtId="0" fontId="15" fillId="16" borderId="238" applyAlignment="1" applyProtection="1" pivotButton="0" quotePrefix="0" xfId="0">
      <alignment horizontal="center" vertical="center"/>
      <protection locked="0" hidden="0"/>
    </xf>
    <xf numFmtId="0" fontId="11" fillId="16" borderId="233" applyAlignment="1" applyProtection="1" pivotButton="0" quotePrefix="0" xfId="0">
      <alignment horizontal="center" vertical="center"/>
      <protection locked="0" hidden="0"/>
    </xf>
    <xf numFmtId="0" fontId="11" fillId="16" borderId="239" applyAlignment="1" applyProtection="1" pivotButton="0" quotePrefix="0" xfId="0">
      <alignment horizontal="center" vertical="center"/>
      <protection locked="0" hidden="0"/>
    </xf>
    <xf numFmtId="0" fontId="6" fillId="23" borderId="0" applyAlignment="1" pivotButton="0" quotePrefix="0" xfId="0">
      <alignment wrapText="1"/>
    </xf>
    <xf numFmtId="37" fontId="110" fillId="2" borderId="0" applyAlignment="1" pivotButton="0" quotePrefix="0" xfId="0">
      <alignment vertical="center"/>
    </xf>
    <xf numFmtId="170" fontId="0" fillId="0" borderId="0" applyAlignment="1" pivotButton="0" quotePrefix="0" xfId="0">
      <alignment horizontal="center"/>
    </xf>
    <xf numFmtId="0" fontId="88" fillId="2" borderId="8" applyAlignment="1" pivotButton="0" quotePrefix="0" xfId="0">
      <alignment horizontal="right"/>
    </xf>
    <xf numFmtId="0" fontId="89" fillId="2" borderId="0" applyAlignment="1" pivotButton="0" quotePrefix="0" xfId="0">
      <alignment vertical="center"/>
    </xf>
    <xf numFmtId="197" fontId="15" fillId="15" borderId="2" applyProtection="1" pivotButton="0" quotePrefix="0" xfId="0">
      <protection locked="0" hidden="0"/>
    </xf>
    <xf numFmtId="37" fontId="47" fillId="15" borderId="2" applyProtection="1" pivotButton="0" quotePrefix="0" xfId="0">
      <protection locked="0" hidden="0"/>
    </xf>
    <xf numFmtId="0" fontId="172" fillId="2" borderId="7" pivotButton="0" quotePrefix="0" xfId="0"/>
    <xf numFmtId="0" fontId="23" fillId="2" borderId="7" applyAlignment="1" pivotButton="0" quotePrefix="0" xfId="0">
      <alignment horizontal="right"/>
    </xf>
    <xf numFmtId="0" fontId="93" fillId="2" borderId="5" applyAlignment="1" pivotButton="0" quotePrefix="0" xfId="0">
      <alignment horizontal="right"/>
    </xf>
    <xf numFmtId="0" fontId="51" fillId="2" borderId="26" pivotButton="0" quotePrefix="0" xfId="0"/>
    <xf numFmtId="0" fontId="4" fillId="2" borderId="1" pivotButton="0" quotePrefix="0" xfId="0"/>
    <xf numFmtId="37" fontId="6" fillId="2" borderId="1" pivotButton="0" quotePrefix="0" xfId="0"/>
    <xf numFmtId="37" fontId="121" fillId="2" borderId="1" pivotButton="0" quotePrefix="0" xfId="0"/>
    <xf numFmtId="37" fontId="22" fillId="2" borderId="1" applyAlignment="1" pivotButton="0" quotePrefix="0" xfId="0">
      <alignment horizontal="right"/>
    </xf>
    <xf numFmtId="3" fontId="22" fillId="2" borderId="1" pivotButton="0" quotePrefix="0" xfId="0"/>
    <xf numFmtId="0" fontId="22" fillId="2" borderId="0" applyAlignment="1" pivotButton="0" quotePrefix="0" xfId="0">
      <alignment vertical="top"/>
    </xf>
    <xf numFmtId="37" fontId="6" fillId="25" borderId="1" applyAlignment="1" pivotButton="0" quotePrefix="0" xfId="0">
      <alignment horizontal="right"/>
    </xf>
    <xf numFmtId="198" fontId="6" fillId="25" borderId="1" applyAlignment="1" pivotButton="0" quotePrefix="0" xfId="0">
      <alignment horizontal="right"/>
    </xf>
    <xf numFmtId="178" fontId="110" fillId="2" borderId="0" pivotButton="0" quotePrefix="0" xfId="0"/>
    <xf numFmtId="0" fontId="6" fillId="2" borderId="4" applyAlignment="1" pivotButton="0" quotePrefix="1" xfId="0">
      <alignment horizontal="right"/>
    </xf>
    <xf numFmtId="3" fontId="4" fillId="15" borderId="11" applyAlignment="1" applyProtection="1" pivotButton="0" quotePrefix="0" xfId="0">
      <alignment horizontal="right"/>
      <protection locked="0" hidden="0"/>
    </xf>
    <xf numFmtId="14" fontId="0" fillId="24" borderId="6" applyProtection="1" pivotButton="0" quotePrefix="0" xfId="0">
      <protection locked="0" hidden="0"/>
    </xf>
    <xf numFmtId="14" fontId="0" fillId="24" borderId="10" applyProtection="1" pivotButton="0" quotePrefix="0" xfId="0">
      <protection locked="0" hidden="0"/>
    </xf>
    <xf numFmtId="14" fontId="11" fillId="24" borderId="15" applyAlignment="1" applyProtection="1" pivotButton="0" quotePrefix="1" xfId="0">
      <alignment horizontal="left" indent="1"/>
      <protection locked="0" hidden="0"/>
    </xf>
    <xf numFmtId="14" fontId="11" fillId="24" borderId="6" applyAlignment="1" applyProtection="1" pivotButton="0" quotePrefix="1" xfId="0">
      <alignment horizontal="left" indent="1"/>
      <protection locked="0" hidden="0"/>
    </xf>
    <xf numFmtId="14" fontId="11" fillId="24" borderId="12" applyAlignment="1" applyProtection="1" pivotButton="0" quotePrefix="1" xfId="0">
      <alignment horizontal="left" indent="1"/>
      <protection locked="0" hidden="0"/>
    </xf>
    <xf numFmtId="14" fontId="0" fillId="24" borderId="6" applyAlignment="1" applyProtection="1" pivotButton="0" quotePrefix="0" xfId="0">
      <alignment horizontal="left" indent="1"/>
      <protection locked="0" hidden="0"/>
    </xf>
    <xf numFmtId="14" fontId="0" fillId="24" borderId="10" applyAlignment="1" applyProtection="1" pivotButton="0" quotePrefix="0" xfId="0">
      <alignment horizontal="left" indent="1"/>
      <protection locked="0" hidden="0"/>
    </xf>
    <xf numFmtId="14" fontId="0" fillId="24" borderId="30" applyProtection="1" pivotButton="0" quotePrefix="0" xfId="0">
      <protection locked="0" hidden="0"/>
    </xf>
    <xf numFmtId="14" fontId="0" fillId="24" borderId="9" applyProtection="1" pivotButton="0" quotePrefix="0" xfId="0">
      <protection locked="0" hidden="0"/>
    </xf>
    <xf numFmtId="14" fontId="0" fillId="24" borderId="11" applyProtection="1" pivotButton="0" quotePrefix="0" xfId="0">
      <protection locked="0" hidden="0"/>
    </xf>
    <xf numFmtId="14" fontId="0" fillId="24" borderId="3" applyProtection="1" pivotButton="0" quotePrefix="0" xfId="0">
      <protection locked="0" hidden="0"/>
    </xf>
    <xf numFmtId="14" fontId="0" fillId="24" borderId="24" applyProtection="1" pivotButton="0" quotePrefix="0" xfId="0">
      <protection locked="0" hidden="0"/>
    </xf>
    <xf numFmtId="39" fontId="126" fillId="24" borderId="14" applyProtection="1" pivotButton="0" quotePrefix="0" xfId="0">
      <protection locked="0" hidden="0"/>
    </xf>
    <xf numFmtId="39" fontId="6" fillId="16" borderId="12" applyProtection="1" pivotButton="0" quotePrefix="0" xfId="0">
      <protection locked="0" hidden="0"/>
    </xf>
    <xf numFmtId="14" fontId="11" fillId="24" borderId="14" applyAlignment="1" applyProtection="1" pivotButton="0" quotePrefix="0" xfId="0">
      <alignment vertical="center" wrapText="1"/>
      <protection locked="0" hidden="0"/>
    </xf>
    <xf numFmtId="14" fontId="11" fillId="24" borderId="24" applyAlignment="1" applyProtection="1" pivotButton="0" quotePrefix="0" xfId="0">
      <alignment vertical="center" wrapText="1"/>
      <protection locked="0" hidden="0"/>
    </xf>
    <xf numFmtId="14" fontId="11" fillId="24" borderId="11" applyAlignment="1" applyProtection="1" pivotButton="0" quotePrefix="0" xfId="0">
      <alignment vertical="center" wrapText="1"/>
      <protection locked="0" hidden="0"/>
    </xf>
    <xf numFmtId="39" fontId="6" fillId="16" borderId="12" applyAlignment="1" applyProtection="1" pivotButton="0" quotePrefix="0" xfId="0">
      <alignment wrapText="1"/>
      <protection locked="0" hidden="0"/>
    </xf>
    <xf numFmtId="39" fontId="6" fillId="27" borderId="12" pivotButton="0" quotePrefix="0" xfId="0"/>
    <xf numFmtId="14" fontId="0" fillId="24" borderId="15" applyProtection="1" pivotButton="0" quotePrefix="0" xfId="0">
      <protection locked="0" hidden="0"/>
    </xf>
    <xf numFmtId="0" fontId="4" fillId="16" borderId="1" applyAlignment="1" applyProtection="1" pivotButton="0" quotePrefix="0" xfId="0">
      <alignment horizontal="center"/>
      <protection locked="0" hidden="0"/>
    </xf>
    <xf numFmtId="37" fontId="9" fillId="20" borderId="1" applyProtection="1" pivotButton="0" quotePrefix="0" xfId="0">
      <protection locked="0" hidden="0"/>
    </xf>
    <xf numFmtId="37" fontId="6" fillId="16" borderId="2" applyAlignment="1" applyProtection="1" pivotButton="0" quotePrefix="0" xfId="0">
      <alignment horizontal="right" vertical="center"/>
      <protection locked="0" hidden="0"/>
    </xf>
    <xf numFmtId="37" fontId="9" fillId="15" borderId="2" applyProtection="1" pivotButton="0" quotePrefix="0" xfId="0">
      <protection locked="0" hidden="0"/>
    </xf>
    <xf numFmtId="37" fontId="324" fillId="44" borderId="0" pivotButton="0" quotePrefix="0" xfId="0"/>
    <xf numFmtId="14" fontId="11" fillId="24" borderId="0" applyProtection="1" pivotButton="0" quotePrefix="0" xfId="0">
      <protection locked="0" hidden="0"/>
    </xf>
    <xf numFmtId="14" fontId="4" fillId="24" borderId="39" applyProtection="1" pivotButton="0" quotePrefix="0" xfId="0">
      <protection locked="0" hidden="0"/>
    </xf>
    <xf numFmtId="14" fontId="4" fillId="24" borderId="25" applyProtection="1" pivotButton="0" quotePrefix="0" xfId="0">
      <protection locked="0" hidden="0"/>
    </xf>
    <xf numFmtId="14" fontId="0" fillId="24" borderId="25" applyProtection="1" pivotButton="0" quotePrefix="0" xfId="0">
      <protection locked="0" hidden="0"/>
    </xf>
    <xf numFmtId="14" fontId="0" fillId="24" borderId="54" applyProtection="1" pivotButton="0" quotePrefix="0" xfId="0">
      <protection locked="0" hidden="0"/>
    </xf>
    <xf numFmtId="14" fontId="11" fillId="24" borderId="12" applyAlignment="1" applyProtection="1" pivotButton="0" quotePrefix="1" xfId="0">
      <alignment horizontal="left" vertical="top" indent="1"/>
      <protection locked="0" hidden="0"/>
    </xf>
    <xf numFmtId="14" fontId="4" fillId="24" borderId="0" applyAlignment="1" applyProtection="1" pivotButton="0" quotePrefix="0" xfId="0">
      <alignment vertical="top" wrapText="1"/>
      <protection locked="0" hidden="0"/>
    </xf>
    <xf numFmtId="170" fontId="109" fillId="0" borderId="78" applyAlignment="1" pivotButton="0" quotePrefix="0" xfId="0">
      <alignment horizontal="center"/>
    </xf>
    <xf numFmtId="37" fontId="6" fillId="15" borderId="1" applyProtection="1" pivotButton="0" quotePrefix="0" xfId="0">
      <protection locked="0" hidden="0"/>
    </xf>
    <xf numFmtId="0" fontId="4" fillId="15" borderId="0" applyAlignment="1" pivotButton="0" quotePrefix="1" xfId="0">
      <alignment horizontal="left" vertical="center"/>
    </xf>
    <xf numFmtId="0" fontId="109" fillId="15" borderId="0" applyProtection="1" pivotButton="0" quotePrefix="0" xfId="0">
      <protection locked="0" hidden="0"/>
    </xf>
    <xf numFmtId="37" fontId="4" fillId="15" borderId="39" pivotButton="0" quotePrefix="0" xfId="0"/>
    <xf numFmtId="37" fontId="4" fillId="15" borderId="25" pivotButton="0" quotePrefix="0" xfId="0"/>
    <xf numFmtId="4" fontId="6" fillId="45" borderId="30" pivotButton="0" quotePrefix="0" xfId="0"/>
    <xf numFmtId="4" fontId="6" fillId="45" borderId="0" pivotButton="0" quotePrefix="0" xfId="0"/>
    <xf numFmtId="4" fontId="6" fillId="45" borderId="3" applyAlignment="1" pivotButton="0" quotePrefix="0" xfId="0">
      <alignment vertical="center"/>
    </xf>
    <xf numFmtId="4" fontId="6" fillId="45" borderId="0" applyAlignment="1" pivotButton="0" quotePrefix="0" xfId="0">
      <alignment vertical="center"/>
    </xf>
    <xf numFmtId="4" fontId="6" fillId="45" borderId="0" applyAlignment="1" pivotButton="0" quotePrefix="0" xfId="0">
      <alignment horizontal="right" vertical="center"/>
    </xf>
    <xf numFmtId="4" fontId="4" fillId="45" borderId="3" pivotButton="0" quotePrefix="0" xfId="0"/>
    <xf numFmtId="4" fontId="4" fillId="45" borderId="0" pivotButton="0" quotePrefix="0" xfId="0"/>
    <xf numFmtId="4" fontId="4" fillId="45" borderId="0" applyAlignment="1" pivotButton="0" quotePrefix="0" xfId="0">
      <alignment horizontal="right"/>
    </xf>
    <xf numFmtId="4" fontId="6" fillId="45" borderId="3" pivotButton="0" quotePrefix="0" xfId="0"/>
    <xf numFmtId="4" fontId="6" fillId="45" borderId="0" applyAlignment="1" pivotButton="0" quotePrefix="0" xfId="0">
      <alignment horizontal="right"/>
    </xf>
    <xf numFmtId="4" fontId="6" fillId="45" borderId="69" pivotButton="0" quotePrefix="0" xfId="0"/>
    <xf numFmtId="4" fontId="6" fillId="45" borderId="4" pivotButton="0" quotePrefix="0" xfId="0"/>
    <xf numFmtId="4" fontId="6" fillId="45" borderId="4" applyAlignment="1" pivotButton="0" quotePrefix="0" xfId="0">
      <alignment horizontal="right"/>
    </xf>
    <xf numFmtId="0" fontId="113" fillId="5" borderId="0" applyAlignment="1" pivotButton="0" quotePrefix="0" xfId="0">
      <alignment vertical="top"/>
    </xf>
    <xf numFmtId="4" fontId="6" fillId="3" borderId="0" applyAlignment="1" pivotButton="0" quotePrefix="0" xfId="0">
      <alignment vertical="top"/>
    </xf>
    <xf numFmtId="4" fontId="4" fillId="3" borderId="0" applyAlignment="1" pivotButton="0" quotePrefix="0" xfId="0">
      <alignment vertical="top"/>
    </xf>
    <xf numFmtId="39" fontId="0" fillId="22" borderId="6" applyAlignment="1" pivotButton="0" quotePrefix="0" xfId="0">
      <alignment vertical="top"/>
    </xf>
    <xf numFmtId="39" fontId="0" fillId="3" borderId="3" applyAlignment="1" pivotButton="0" quotePrefix="0" xfId="0">
      <alignment vertical="top"/>
    </xf>
    <xf numFmtId="39" fontId="0" fillId="3" borderId="0" applyAlignment="1" pivotButton="0" quotePrefix="0" xfId="0">
      <alignment vertical="top"/>
    </xf>
    <xf numFmtId="39" fontId="10" fillId="2" borderId="0" applyAlignment="1" pivotButton="0" quotePrefix="0" xfId="0">
      <alignment vertical="top"/>
    </xf>
    <xf numFmtId="39" fontId="10" fillId="21" borderId="0" applyAlignment="1" pivotButton="0" quotePrefix="0" xfId="0">
      <alignment vertical="top"/>
    </xf>
    <xf numFmtId="0" fontId="4" fillId="0" borderId="0" applyAlignment="1" pivotButton="0" quotePrefix="0" xfId="0">
      <alignment vertical="top"/>
    </xf>
    <xf numFmtId="0" fontId="12" fillId="0" borderId="0" applyAlignment="1" pivotButton="0" quotePrefix="0" xfId="0">
      <alignment vertical="top"/>
    </xf>
    <xf numFmtId="0" fontId="10" fillId="0" borderId="0" applyAlignment="1" pivotButton="0" quotePrefix="0" xfId="0">
      <alignment vertical="top"/>
    </xf>
    <xf numFmtId="0" fontId="18" fillId="0" borderId="0" applyAlignment="1" pivotButton="0" quotePrefix="0" xfId="0">
      <alignment vertical="top"/>
    </xf>
    <xf numFmtId="0" fontId="4" fillId="3" borderId="1" applyAlignment="1" pivotButton="0" quotePrefix="0" xfId="0">
      <alignment horizontal="center"/>
    </xf>
    <xf numFmtId="0" fontId="6" fillId="14" borderId="0" applyAlignment="1" pivotButton="0" quotePrefix="0" xfId="0">
      <alignment horizontal="left"/>
    </xf>
    <xf numFmtId="4" fontId="8" fillId="3" borderId="1" applyAlignment="1" pivotButton="0" quotePrefix="0" xfId="0">
      <alignment horizontal="left" vertical="center"/>
    </xf>
    <xf numFmtId="0" fontId="35" fillId="3" borderId="0" applyAlignment="1" pivotButton="0" quotePrefix="0" xfId="0">
      <alignment horizontal="right"/>
    </xf>
    <xf numFmtId="0" fontId="121" fillId="5" borderId="0" pivotButton="0" quotePrefix="0" xfId="0"/>
    <xf numFmtId="0" fontId="143" fillId="15" borderId="0" applyAlignment="1" pivotButton="0" quotePrefix="0" xfId="0">
      <alignment horizontal="right"/>
    </xf>
    <xf numFmtId="0" fontId="6" fillId="14" borderId="0" applyAlignment="1" pivotButton="0" quotePrefix="0" xfId="0">
      <alignment horizontal="centerContinuous"/>
    </xf>
    <xf numFmtId="0" fontId="6" fillId="14" borderId="100" applyAlignment="1" pivotButton="0" quotePrefix="0" xfId="0">
      <alignment horizontal="centerContinuous"/>
    </xf>
    <xf numFmtId="0" fontId="6" fillId="14" borderId="75" applyAlignment="1" pivotButton="0" quotePrefix="0" xfId="0">
      <alignment horizontal="centerContinuous"/>
    </xf>
    <xf numFmtId="0" fontId="6" fillId="14" borderId="72" applyAlignment="1" pivotButton="0" quotePrefix="0" xfId="0">
      <alignment horizontal="centerContinuous"/>
    </xf>
    <xf numFmtId="0" fontId="6" fillId="14" borderId="13" applyAlignment="1" pivotButton="0" quotePrefix="0" xfId="0">
      <alignment horizontal="centerContinuous"/>
    </xf>
    <xf numFmtId="0" fontId="6" fillId="14" borderId="33" applyAlignment="1" pivotButton="0" quotePrefix="0" xfId="0">
      <alignment horizontal="centerContinuous"/>
    </xf>
    <xf numFmtId="0" fontId="8" fillId="3" borderId="211" pivotButton="0" quotePrefix="0" xfId="0"/>
    <xf numFmtId="0" fontId="9" fillId="3" borderId="71" applyAlignment="1" pivotButton="0" quotePrefix="0" xfId="0">
      <alignment vertical="center"/>
    </xf>
    <xf numFmtId="0" fontId="0" fillId="3" borderId="16" applyAlignment="1" pivotButton="0" quotePrefix="0" xfId="0">
      <alignment vertical="center"/>
    </xf>
    <xf numFmtId="0" fontId="9" fillId="3" borderId="212" pivotButton="0" quotePrefix="0" xfId="0"/>
    <xf numFmtId="0" fontId="6" fillId="14" borderId="0" applyAlignment="1" pivotButton="0" quotePrefix="0" xfId="0">
      <alignment horizontal="left" indent="1"/>
    </xf>
    <xf numFmtId="0" fontId="12" fillId="3" borderId="30" pivotButton="0" quotePrefix="0" xfId="0"/>
    <xf numFmtId="0" fontId="8" fillId="15" borderId="1" applyAlignment="1" pivotButton="0" quotePrefix="0" xfId="0">
      <alignment horizontal="left" vertical="center"/>
    </xf>
    <xf numFmtId="0" fontId="9" fillId="15" borderId="1" applyAlignment="1" pivotButton="0" quotePrefix="0" xfId="0">
      <alignment horizontal="center"/>
    </xf>
    <xf numFmtId="0" fontId="9" fillId="3" borderId="1" applyAlignment="1" pivotButton="0" quotePrefix="0" xfId="0">
      <alignment horizontal="right"/>
    </xf>
    <xf numFmtId="0" fontId="9" fillId="3" borderId="1" applyAlignment="1" pivotButton="0" quotePrefix="0" xfId="0">
      <alignment horizontal="left"/>
    </xf>
    <xf numFmtId="0" fontId="11" fillId="3" borderId="25" applyAlignment="1" pivotButton="0" quotePrefix="0" xfId="0">
      <alignment horizontal="left" indent="1"/>
    </xf>
    <xf numFmtId="0" fontId="8" fillId="3" borderId="25" pivotButton="0" quotePrefix="0" xfId="0"/>
    <xf numFmtId="0" fontId="9" fillId="7" borderId="6" applyAlignment="1" pivotButton="0" quotePrefix="0" xfId="0">
      <alignment horizontal="center"/>
    </xf>
    <xf numFmtId="3" fontId="8" fillId="3" borderId="3" applyAlignment="1" pivotButton="0" quotePrefix="0" xfId="0">
      <alignment horizontal="center"/>
    </xf>
    <xf numFmtId="39" fontId="4" fillId="3" borderId="10" applyAlignment="1" pivotButton="0" quotePrefix="0" xfId="0">
      <alignment horizontal="center"/>
    </xf>
    <xf numFmtId="39" fontId="4" fillId="3" borderId="3" applyAlignment="1" pivotButton="0" quotePrefix="0" xfId="0">
      <alignment horizontal="center"/>
    </xf>
    <xf numFmtId="39" fontId="6" fillId="14" borderId="0" applyAlignment="1" pivotButton="0" quotePrefix="0" xfId="0">
      <alignment horizontal="left"/>
    </xf>
    <xf numFmtId="0" fontId="164" fillId="5" borderId="0" applyAlignment="1" pivotButton="0" quotePrefix="0" xfId="0">
      <alignment horizontal="center" vertical="center"/>
    </xf>
    <xf numFmtId="1" fontId="183" fillId="10" borderId="0" applyAlignment="1" pivotButton="0" quotePrefix="0" xfId="0">
      <alignment vertical="center" wrapText="1"/>
    </xf>
    <xf numFmtId="39" fontId="8" fillId="14" borderId="0" applyAlignment="1" pivotButton="0" quotePrefix="0" xfId="0">
      <alignment horizontal="left"/>
    </xf>
    <xf numFmtId="39" fontId="4" fillId="3" borderId="0" applyAlignment="1" pivotButton="0" quotePrefix="0" xfId="0">
      <alignment horizontal="center"/>
    </xf>
    <xf numFmtId="0" fontId="4" fillId="3" borderId="0" applyAlignment="1" pivotButton="0" quotePrefix="0" xfId="0">
      <alignment horizontal="right" vertical="top"/>
    </xf>
    <xf numFmtId="39" fontId="47" fillId="3" borderId="0" applyAlignment="1" pivotButton="0" quotePrefix="0" xfId="0">
      <alignment vertical="top"/>
    </xf>
    <xf numFmtId="39" fontId="6" fillId="3" borderId="0" applyAlignment="1" pivotButton="0" quotePrefix="0" xfId="0">
      <alignment horizontal="left"/>
    </xf>
    <xf numFmtId="39" fontId="47" fillId="3" borderId="0" applyAlignment="1" pivotButton="0" quotePrefix="0" xfId="0">
      <alignment horizontal="right" indent="1"/>
    </xf>
    <xf numFmtId="0" fontId="11" fillId="3" borderId="27" applyAlignment="1" pivotButton="0" quotePrefix="0" xfId="0">
      <alignment horizontal="left" indent="2"/>
    </xf>
    <xf numFmtId="0" fontId="15" fillId="3" borderId="27" pivotButton="0" quotePrefix="0" xfId="0"/>
    <xf numFmtId="0" fontId="6" fillId="3" borderId="27" pivotButton="0" quotePrefix="0" xfId="0"/>
    <xf numFmtId="3" fontId="47" fillId="3" borderId="27" pivotButton="0" quotePrefix="0" xfId="0"/>
    <xf numFmtId="0" fontId="9" fillId="3" borderId="9" applyAlignment="1" pivotButton="0" quotePrefix="0" xfId="0">
      <alignment horizontal="center"/>
    </xf>
    <xf numFmtId="0" fontId="4" fillId="3" borderId="9" applyAlignment="1" pivotButton="0" quotePrefix="0" xfId="0">
      <alignment horizontal="right"/>
    </xf>
    <xf numFmtId="0" fontId="4" fillId="3" borderId="7" applyAlignment="1" pivotButton="0" quotePrefix="0" xfId="0">
      <alignment horizontal="center"/>
    </xf>
    <xf numFmtId="39" fontId="15" fillId="3" borderId="7" pivotButton="0" quotePrefix="0" xfId="0"/>
    <xf numFmtId="39" fontId="9" fillId="3" borderId="7" pivotButton="0" quotePrefix="0" xfId="0"/>
    <xf numFmtId="39" fontId="8" fillId="3" borderId="7" pivotButton="0" quotePrefix="0" xfId="0"/>
    <xf numFmtId="39" fontId="8" fillId="3" borderId="7" applyAlignment="1" pivotButton="0" quotePrefix="0" xfId="0">
      <alignment horizontal="center"/>
    </xf>
    <xf numFmtId="39" fontId="9" fillId="3" borderId="7" applyAlignment="1" pivotButton="0" quotePrefix="0" xfId="0">
      <alignment horizontal="right"/>
    </xf>
    <xf numFmtId="0" fontId="4" fillId="3" borderId="47" applyAlignment="1" pivotButton="0" quotePrefix="0" xfId="0">
      <alignment horizontal="center"/>
    </xf>
    <xf numFmtId="39" fontId="14" fillId="3" borderId="0" pivotButton="0" quotePrefix="0" xfId="0"/>
    <xf numFmtId="39" fontId="116" fillId="3" borderId="0" applyAlignment="1" pivotButton="0" quotePrefix="0" xfId="0">
      <alignment horizontal="center"/>
    </xf>
    <xf numFmtId="39" fontId="8" fillId="14" borderId="0" applyAlignment="1" pivotButton="0" quotePrefix="0" xfId="0">
      <alignment horizontal="center"/>
    </xf>
    <xf numFmtId="39" fontId="119" fillId="14" borderId="0" pivotButton="0" quotePrefix="0" xfId="0"/>
    <xf numFmtId="0" fontId="14" fillId="3" borderId="0" applyAlignment="1" pivotButton="0" quotePrefix="0" xfId="0">
      <alignment horizontal="left"/>
    </xf>
    <xf numFmtId="0" fontId="16" fillId="3" borderId="0" applyAlignment="1" pivotButton="0" quotePrefix="0" xfId="0">
      <alignment horizontal="left"/>
    </xf>
    <xf numFmtId="0" fontId="6" fillId="3" borderId="7" applyAlignment="1" pivotButton="0" quotePrefix="0" xfId="0">
      <alignment vertical="top"/>
    </xf>
    <xf numFmtId="4" fontId="8" fillId="3" borderId="7" applyAlignment="1" pivotButton="0" quotePrefix="0" xfId="0">
      <alignment horizontal="center" vertical="top"/>
    </xf>
    <xf numFmtId="39" fontId="10" fillId="3" borderId="13" pivotButton="0" quotePrefix="0" xfId="0"/>
    <xf numFmtId="39" fontId="8" fillId="3" borderId="13" pivotButton="0" quotePrefix="0" xfId="0"/>
    <xf numFmtId="39" fontId="8" fillId="3" borderId="13" applyAlignment="1" pivotButton="0" quotePrefix="0" xfId="0">
      <alignment horizontal="right"/>
    </xf>
    <xf numFmtId="39" fontId="11" fillId="3" borderId="13" applyAlignment="1" pivotButton="0" quotePrefix="0" xfId="0">
      <alignment horizontal="left"/>
    </xf>
    <xf numFmtId="0" fontId="11" fillId="3" borderId="34" applyAlignment="1" pivotButton="0" quotePrefix="0" xfId="0">
      <alignment vertical="center"/>
    </xf>
    <xf numFmtId="0" fontId="47" fillId="3" borderId="34" pivotButton="0" quotePrefix="0" xfId="0"/>
    <xf numFmtId="39" fontId="6" fillId="3" borderId="15" pivotButton="0" quotePrefix="0" xfId="0"/>
    <xf numFmtId="1" fontId="9" fillId="3" borderId="0" applyAlignment="1" pivotButton="0" quotePrefix="0" xfId="0">
      <alignment horizontal="right"/>
    </xf>
    <xf numFmtId="39" fontId="4" fillId="3" borderId="0" applyAlignment="1" pivotButton="0" quotePrefix="0" xfId="0">
      <alignment horizontal="right" indent="1"/>
    </xf>
    <xf numFmtId="39" fontId="19" fillId="3" borderId="0" pivotButton="0" quotePrefix="0" xfId="0"/>
    <xf numFmtId="39" fontId="6" fillId="22" borderId="15" pivotButton="0" quotePrefix="0" xfId="0"/>
    <xf numFmtId="39" fontId="6" fillId="22" borderId="6" pivotButton="0" quotePrefix="0" xfId="0"/>
    <xf numFmtId="39" fontId="8" fillId="3" borderId="24" pivotButton="0" quotePrefix="0" xfId="0"/>
    <xf numFmtId="39" fontId="9" fillId="3" borderId="24" applyAlignment="1" pivotButton="0" quotePrefix="0" xfId="0">
      <alignment horizontal="right"/>
    </xf>
    <xf numFmtId="0" fontId="47" fillId="3" borderId="24" pivotButton="0" quotePrefix="0" xfId="0"/>
    <xf numFmtId="0" fontId="47" fillId="3" borderId="30" pivotButton="0" quotePrefix="0" xfId="0"/>
    <xf numFmtId="0" fontId="47" fillId="3" borderId="8" pivotButton="0" quotePrefix="0" xfId="0"/>
    <xf numFmtId="1" fontId="4" fillId="3" borderId="10" applyAlignment="1" pivotButton="0" quotePrefix="0" xfId="0">
      <alignment horizontal="right"/>
    </xf>
    <xf numFmtId="39" fontId="4" fillId="3" borderId="6" applyAlignment="1" pivotButton="0" quotePrefix="0" xfId="0">
      <alignment horizontal="right"/>
    </xf>
    <xf numFmtId="1" fontId="9" fillId="3" borderId="11" applyAlignment="1" pivotButton="0" quotePrefix="0" xfId="0">
      <alignment horizontal="right"/>
    </xf>
    <xf numFmtId="0" fontId="8" fillId="3" borderId="13" applyAlignment="1" pivotButton="0" quotePrefix="0" xfId="0">
      <alignment horizontal="left"/>
    </xf>
    <xf numFmtId="0" fontId="15" fillId="3" borderId="34" applyAlignment="1" pivotButton="0" quotePrefix="0" xfId="0">
      <alignment vertical="center"/>
    </xf>
    <xf numFmtId="0" fontId="24" fillId="3" borderId="0" applyAlignment="1" pivotButton="0" quotePrefix="0" xfId="0">
      <alignment horizontal="left" indent="2"/>
    </xf>
    <xf numFmtId="0" fontId="37" fillId="3" borderId="0" pivotButton="0" quotePrefix="0" xfId="0"/>
    <xf numFmtId="0" fontId="15" fillId="3" borderId="0" applyAlignment="1" pivotButton="0" quotePrefix="0" xfId="0">
      <alignment horizontal="left" indent="1"/>
    </xf>
    <xf numFmtId="0" fontId="24" fillId="3" borderId="0" applyAlignment="1" pivotButton="0" quotePrefix="0" xfId="0">
      <alignment horizontal="left" indent="1"/>
    </xf>
    <xf numFmtId="0" fontId="24" fillId="3" borderId="0" applyAlignment="1" pivotButton="0" quotePrefix="0" xfId="0">
      <alignment horizontal="left"/>
    </xf>
    <xf numFmtId="0" fontId="5" fillId="3" borderId="0" pivotButton="0" quotePrefix="0" xfId="0"/>
    <xf numFmtId="0" fontId="24" fillId="3" borderId="0" pivotButton="0" quotePrefix="0" xfId="0"/>
    <xf numFmtId="39" fontId="47" fillId="14" borderId="0" pivotButton="0" quotePrefix="0" xfId="0"/>
    <xf numFmtId="0" fontId="47" fillId="14" borderId="0" pivotButton="0" quotePrefix="0" xfId="0"/>
    <xf numFmtId="0" fontId="8" fillId="14" borderId="0" pivotButton="0" quotePrefix="0" xfId="0"/>
    <xf numFmtId="0" fontId="47" fillId="14" borderId="0" applyAlignment="1" pivotButton="0" quotePrefix="0" xfId="0">
      <alignment vertical="center"/>
    </xf>
    <xf numFmtId="0" fontId="24" fillId="3" borderId="13" applyAlignment="1" pivotButton="0" quotePrefix="0" xfId="0">
      <alignment horizontal="left" vertical="top" indent="1"/>
    </xf>
    <xf numFmtId="0" fontId="24" fillId="3" borderId="13" pivotButton="0" quotePrefix="0" xfId="0"/>
    <xf numFmtId="0" fontId="5" fillId="3" borderId="13" pivotButton="0" quotePrefix="0" xfId="0"/>
    <xf numFmtId="39" fontId="6" fillId="3" borderId="13" pivotButton="0" quotePrefix="0" xfId="0"/>
    <xf numFmtId="39" fontId="47" fillId="3" borderId="13" pivotButton="0" quotePrefix="0" xfId="0"/>
    <xf numFmtId="0" fontId="47" fillId="3" borderId="0" applyAlignment="1" pivotButton="0" quotePrefix="0" xfId="0">
      <alignment horizontal="left" indent="1"/>
    </xf>
    <xf numFmtId="0" fontId="9" fillId="3" borderId="0" applyAlignment="1" pivotButton="0" quotePrefix="0" xfId="0">
      <alignment horizontal="left" indent="1"/>
    </xf>
    <xf numFmtId="0" fontId="9" fillId="3" borderId="4" applyAlignment="1" pivotButton="0" quotePrefix="0" xfId="0">
      <alignment horizontal="center"/>
    </xf>
    <xf numFmtId="0" fontId="15" fillId="3" borderId="7" applyAlignment="1" pivotButton="0" quotePrefix="0" xfId="0">
      <alignment horizontal="right" vertical="center"/>
    </xf>
    <xf numFmtId="0" fontId="4" fillId="15" borderId="4" applyAlignment="1" pivotButton="0" quotePrefix="0" xfId="0">
      <alignment horizontal="center"/>
    </xf>
    <xf numFmtId="0" fontId="14" fillId="3" borderId="1" pivotButton="0" quotePrefix="0" xfId="0"/>
    <xf numFmtId="0" fontId="0" fillId="15" borderId="87" pivotButton="0" quotePrefix="0" xfId="0"/>
    <xf numFmtId="0" fontId="0" fillId="15" borderId="91" pivotButton="0" quotePrefix="0" xfId="0"/>
    <xf numFmtId="0" fontId="0" fillId="15" borderId="241" pivotButton="0" quotePrefix="0" xfId="0"/>
    <xf numFmtId="37" fontId="0" fillId="15" borderId="87" pivotButton="0" quotePrefix="0" xfId="0"/>
    <xf numFmtId="0" fontId="0" fillId="15" borderId="240" pivotButton="0" quotePrefix="0" xfId="0"/>
    <xf numFmtId="0" fontId="0" fillId="15" borderId="200" pivotButton="0" quotePrefix="0" xfId="0"/>
    <xf numFmtId="37" fontId="0" fillId="0" borderId="38" pivotButton="0" quotePrefix="0" xfId="0"/>
    <xf numFmtId="37" fontId="0" fillId="0" borderId="60" applyProtection="1" pivotButton="0" quotePrefix="0" xfId="0">
      <protection locked="0" hidden="0"/>
    </xf>
    <xf numFmtId="0" fontId="6" fillId="15" borderId="20" pivotButton="0" quotePrefix="1" xfId="0"/>
    <xf numFmtId="0" fontId="6" fillId="15" borderId="179" pivotButton="0" quotePrefix="0" xfId="0"/>
    <xf numFmtId="0" fontId="0" fillId="15" borderId="180" pivotButton="0" quotePrefix="0" xfId="0"/>
    <xf numFmtId="0" fontId="0" fillId="15" borderId="178" pivotButton="0" quotePrefix="0" xfId="0"/>
    <xf numFmtId="0" fontId="6" fillId="15" borderId="177" applyAlignment="1" pivotButton="0" quotePrefix="0" xfId="0">
      <alignment vertical="center"/>
    </xf>
    <xf numFmtId="0" fontId="0" fillId="15" borderId="5" applyAlignment="1" pivotButton="0" quotePrefix="0" xfId="0">
      <alignment vertical="center"/>
    </xf>
    <xf numFmtId="0" fontId="0" fillId="15" borderId="20" applyAlignment="1" pivotButton="0" quotePrefix="0" xfId="0">
      <alignment vertical="center"/>
    </xf>
    <xf numFmtId="0" fontId="0" fillId="15" borderId="69" pivotButton="0" quotePrefix="0" xfId="0"/>
    <xf numFmtId="37" fontId="0" fillId="15" borderId="31" pivotButton="0" quotePrefix="0" xfId="0"/>
    <xf numFmtId="37" fontId="0" fillId="15" borderId="27" pivotButton="0" quotePrefix="0" xfId="0"/>
    <xf numFmtId="0" fontId="0" fillId="15" borderId="148" applyAlignment="1" pivotButton="0" quotePrefix="0" xfId="0">
      <alignment vertical="center"/>
    </xf>
    <xf numFmtId="37" fontId="0" fillId="15" borderId="201" pivotButton="0" quotePrefix="0" xfId="0"/>
    <xf numFmtId="0" fontId="0" fillId="15" borderId="201" pivotButton="0" quotePrefix="0" xfId="0"/>
    <xf numFmtId="0" fontId="0" fillId="15" borderId="42" pivotButton="0" quotePrefix="0" xfId="0"/>
    <xf numFmtId="0" fontId="0" fillId="15" borderId="21" applyAlignment="1" pivotButton="0" quotePrefix="0" xfId="0">
      <alignment vertical="top"/>
    </xf>
    <xf numFmtId="0" fontId="0" fillId="15" borderId="69" applyAlignment="1" pivotButton="0" quotePrefix="0" xfId="0">
      <alignment vertical="center"/>
    </xf>
    <xf numFmtId="37" fontId="6" fillId="0" borderId="15" pivotButton="0" quotePrefix="0" xfId="0"/>
    <xf numFmtId="37" fontId="6" fillId="0" borderId="83" pivotButton="0" quotePrefix="0" xfId="0"/>
    <xf numFmtId="0" fontId="20" fillId="15" borderId="15" applyAlignment="1" pivotButton="0" quotePrefix="0" xfId="0">
      <alignment horizontal="center" vertical="center"/>
    </xf>
    <xf numFmtId="37" fontId="20" fillId="15" borderId="30" applyAlignment="1" applyProtection="1" pivotButton="0" quotePrefix="1" xfId="0">
      <alignment horizontal="right"/>
      <protection locked="0" hidden="0"/>
    </xf>
    <xf numFmtId="37" fontId="20" fillId="15" borderId="8" applyAlignment="1" applyProtection="1" pivotButton="0" quotePrefix="1" xfId="0">
      <alignment horizontal="right"/>
      <protection locked="0" hidden="0"/>
    </xf>
    <xf numFmtId="37" fontId="20" fillId="15" borderId="14" applyAlignment="1" applyProtection="1" pivotButton="0" quotePrefix="1" xfId="0">
      <alignment horizontal="right"/>
      <protection locked="0" hidden="0"/>
    </xf>
    <xf numFmtId="37" fontId="20" fillId="15" borderId="3" applyAlignment="1" applyProtection="1" pivotButton="0" quotePrefix="1" xfId="0">
      <alignment horizontal="right"/>
      <protection locked="0" hidden="0"/>
    </xf>
    <xf numFmtId="37" fontId="20" fillId="15" borderId="0" applyAlignment="1" applyProtection="1" pivotButton="0" quotePrefix="1" xfId="0">
      <alignment horizontal="right"/>
      <protection locked="0" hidden="0"/>
    </xf>
    <xf numFmtId="37" fontId="20" fillId="15" borderId="24" applyAlignment="1" applyProtection="1" pivotButton="0" quotePrefix="1" xfId="0">
      <alignment horizontal="right"/>
      <protection locked="0" hidden="0"/>
    </xf>
    <xf numFmtId="0" fontId="11" fillId="15" borderId="0" applyAlignment="1" applyProtection="1" pivotButton="0" quotePrefix="1" xfId="0">
      <alignment horizontal="center"/>
      <protection locked="0" hidden="0"/>
    </xf>
    <xf numFmtId="0" fontId="11" fillId="15" borderId="0" applyAlignment="1" applyProtection="1" pivotButton="0" quotePrefix="0" xfId="0">
      <alignment horizontal="center"/>
      <protection locked="0" hidden="0"/>
    </xf>
    <xf numFmtId="0" fontId="20" fillId="15" borderId="12" applyAlignment="1" applyProtection="1" pivotButton="0" quotePrefix="1" xfId="0">
      <alignment horizontal="center"/>
      <protection locked="0" hidden="0"/>
    </xf>
    <xf numFmtId="0" fontId="20" fillId="15" borderId="12" applyAlignment="1" applyProtection="1" pivotButton="0" quotePrefix="0" xfId="0">
      <alignment horizontal="center"/>
      <protection locked="0" hidden="0"/>
    </xf>
    <xf numFmtId="0" fontId="20" fillId="15" borderId="0" applyAlignment="1" pivotButton="0" quotePrefix="1" xfId="0">
      <alignment horizontal="right" vertical="center"/>
    </xf>
    <xf numFmtId="0" fontId="20" fillId="15" borderId="0" applyAlignment="1" applyProtection="1" pivotButton="0" quotePrefix="1" xfId="0">
      <alignment horizontal="center"/>
      <protection locked="0" hidden="0"/>
    </xf>
    <xf numFmtId="0" fontId="20" fillId="15" borderId="4" applyAlignment="1" pivotButton="0" quotePrefix="0" xfId="0">
      <alignment horizontal="right"/>
    </xf>
    <xf numFmtId="0" fontId="14" fillId="15" borderId="4" applyAlignment="1" pivotButton="0" quotePrefix="0" xfId="0">
      <alignment horizontal="left" vertical="center"/>
    </xf>
    <xf numFmtId="0" fontId="20" fillId="15" borderId="27" applyAlignment="1" pivotButton="0" quotePrefix="0" xfId="0">
      <alignment horizontal="left" vertical="center"/>
    </xf>
    <xf numFmtId="0" fontId="14" fillId="15" borderId="27" applyAlignment="1" pivotButton="0" quotePrefix="1" xfId="0">
      <alignment horizontal="left"/>
    </xf>
    <xf numFmtId="0" fontId="47" fillId="15" borderId="27" pivotButton="0" quotePrefix="0" xfId="0"/>
    <xf numFmtId="0" fontId="6" fillId="15" borderId="27" pivotButton="0" quotePrefix="0" xfId="0"/>
    <xf numFmtId="0" fontId="6" fillId="15" borderId="27" applyAlignment="1" pivotButton="0" quotePrefix="0" xfId="0">
      <alignment horizontal="right"/>
    </xf>
    <xf numFmtId="0" fontId="47" fillId="15" borderId="27" applyAlignment="1" pivotButton="0" quotePrefix="1" xfId="0">
      <alignment horizontal="center"/>
    </xf>
    <xf numFmtId="37" fontId="8" fillId="14" borderId="27" applyAlignment="1" pivotButton="0" quotePrefix="0" xfId="0">
      <alignment horizontal="right"/>
    </xf>
    <xf numFmtId="0" fontId="6" fillId="15" borderId="27" applyAlignment="1" pivotButton="0" quotePrefix="1" xfId="0">
      <alignment horizontal="center"/>
    </xf>
    <xf numFmtId="37" fontId="47" fillId="14" borderId="27" applyAlignment="1" pivotButton="0" quotePrefix="0" xfId="0">
      <alignment horizontal="right"/>
    </xf>
    <xf numFmtId="0" fontId="188" fillId="15" borderId="0" applyAlignment="1" pivotButton="0" quotePrefix="1" xfId="0">
      <alignment horizontal="left"/>
    </xf>
    <xf numFmtId="0" fontId="14" fillId="15" borderId="0" applyAlignment="1" pivotButton="0" quotePrefix="0" xfId="0">
      <alignment horizontal="right" vertical="center"/>
    </xf>
    <xf numFmtId="0" fontId="14" fillId="15" borderId="0" applyAlignment="1" pivotButton="0" quotePrefix="0" xfId="0">
      <alignment horizontal="right" indent="1"/>
    </xf>
    <xf numFmtId="0" fontId="14" fillId="15" borderId="4" applyAlignment="1" pivotButton="0" quotePrefix="0" xfId="0">
      <alignment horizontal="right"/>
    </xf>
    <xf numFmtId="0" fontId="20" fillId="15" borderId="15" applyAlignment="1" pivotButton="0" quotePrefix="0" xfId="0">
      <alignment horizontal="right" vertical="center"/>
    </xf>
    <xf numFmtId="37" fontId="20" fillId="15" borderId="6" applyAlignment="1" applyProtection="1" pivotButton="0" quotePrefix="1" xfId="0">
      <alignment horizontal="right"/>
      <protection locked="0" hidden="0"/>
    </xf>
    <xf numFmtId="0" fontId="20" fillId="15" borderId="6" applyAlignment="1" applyProtection="1" pivotButton="0" quotePrefix="1" xfId="0">
      <alignment horizontal="center"/>
      <protection locked="0" hidden="0"/>
    </xf>
    <xf numFmtId="0" fontId="188" fillId="15" borderId="0" applyAlignment="1" pivotButton="0" quotePrefix="0" xfId="0">
      <alignment horizontal="right"/>
    </xf>
    <xf numFmtId="0" fontId="188" fillId="15" borderId="0" applyAlignment="1" pivotButton="0" quotePrefix="0" xfId="0">
      <alignment horizontal="left" vertical="center"/>
    </xf>
    <xf numFmtId="37" fontId="11" fillId="15" borderId="4" applyProtection="1" pivotButton="0" quotePrefix="0" xfId="0">
      <protection locked="0" hidden="0"/>
    </xf>
    <xf numFmtId="0" fontId="11" fillId="23" borderId="30" pivotButton="0" quotePrefix="0" xfId="0"/>
    <xf numFmtId="0" fontId="11" fillId="23" borderId="14" pivotButton="0" quotePrefix="0" xfId="0"/>
    <xf numFmtId="0" fontId="11" fillId="23" borderId="3" pivotButton="0" quotePrefix="0" xfId="0"/>
    <xf numFmtId="0" fontId="11" fillId="23" borderId="24" pivotButton="0" quotePrefix="0" xfId="0"/>
    <xf numFmtId="0" fontId="11" fillId="23" borderId="69" pivotButton="0" quotePrefix="0" xfId="0"/>
    <xf numFmtId="0" fontId="11" fillId="23" borderId="70" pivotButton="0" quotePrefix="0" xfId="0"/>
    <xf numFmtId="37" fontId="116" fillId="0" borderId="0" applyProtection="1" pivotButton="0" quotePrefix="0" xfId="0">
      <protection locked="0" hidden="0"/>
    </xf>
    <xf numFmtId="0" fontId="20" fillId="24" borderId="12" applyAlignment="1" applyProtection="1" pivotButton="0" quotePrefix="0" xfId="0">
      <alignment horizontal="center"/>
      <protection locked="0" hidden="0"/>
    </xf>
    <xf numFmtId="0" fontId="20" fillId="24" borderId="12" applyAlignment="1" applyProtection="1" pivotButton="0" quotePrefix="1" xfId="0">
      <alignment horizontal="center"/>
      <protection locked="0" hidden="0"/>
    </xf>
    <xf numFmtId="37" fontId="20" fillId="29" borderId="12" applyAlignment="1" applyProtection="1" pivotButton="0" quotePrefix="0" xfId="0">
      <alignment horizontal="center"/>
      <protection locked="0" hidden="0"/>
    </xf>
    <xf numFmtId="0" fontId="146" fillId="15" borderId="25" applyAlignment="1" pivotButton="0" quotePrefix="0" xfId="0">
      <alignment vertical="center"/>
    </xf>
    <xf numFmtId="14" fontId="126" fillId="24" borderId="30" applyProtection="1" pivotButton="0" quotePrefix="0" xfId="0">
      <protection locked="0" hidden="0"/>
    </xf>
    <xf numFmtId="14" fontId="10" fillId="24" borderId="0" applyProtection="1" pivotButton="0" quotePrefix="0" xfId="0">
      <protection locked="0" hidden="0"/>
    </xf>
    <xf numFmtId="1" fontId="138" fillId="24" borderId="0" applyAlignment="1" pivotButton="0" quotePrefix="0" xfId="0">
      <alignment horizontal="center"/>
    </xf>
    <xf numFmtId="14" fontId="10" fillId="24" borderId="0" pivotButton="0" quotePrefix="0" xfId="0"/>
    <xf numFmtId="14" fontId="12" fillId="24" borderId="3" applyAlignment="1" applyProtection="1" pivotButton="0" quotePrefix="0" xfId="0">
      <alignment vertical="center" wrapText="1"/>
      <protection locked="0" hidden="0"/>
    </xf>
    <xf numFmtId="37" fontId="199" fillId="0" borderId="0" pivotButton="0" quotePrefix="0" xfId="0"/>
    <xf numFmtId="0" fontId="199" fillId="0" borderId="0" applyAlignment="1" pivotButton="0" quotePrefix="0" xfId="0">
      <alignment horizontal="left"/>
    </xf>
    <xf numFmtId="0" fontId="112" fillId="0" borderId="0" applyAlignment="1" pivotButton="0" quotePrefix="0" xfId="0">
      <alignment horizontal="left"/>
    </xf>
    <xf numFmtId="39" fontId="10" fillId="0" borderId="0" applyProtection="1" pivotButton="0" quotePrefix="0" xfId="0">
      <protection locked="0" hidden="0"/>
    </xf>
    <xf numFmtId="1" fontId="138" fillId="24" borderId="0" pivotButton="0" quotePrefix="0" xfId="0"/>
    <xf numFmtId="1" fontId="138" fillId="24" borderId="0" applyAlignment="1" pivotButton="0" quotePrefix="0" xfId="0">
      <alignment horizontal="right"/>
    </xf>
    <xf numFmtId="1" fontId="11" fillId="15" borderId="3" applyAlignment="1" pivotButton="0" quotePrefix="0" xfId="0">
      <alignment horizontal="center"/>
    </xf>
    <xf numFmtId="0" fontId="11" fillId="15" borderId="4" applyAlignment="1" pivotButton="0" quotePrefix="0" xfId="0">
      <alignment horizontal="right"/>
    </xf>
    <xf numFmtId="0" fontId="4" fillId="15" borderId="75" applyAlignment="1" pivotButton="0" quotePrefix="0" xfId="0">
      <alignment horizontal="left"/>
    </xf>
    <xf numFmtId="0" fontId="6" fillId="39" borderId="4" pivotButton="0" quotePrefix="0" xfId="0"/>
    <xf numFmtId="0" fontId="8" fillId="39" borderId="0" applyAlignment="1" pivotButton="0" quotePrefix="0" xfId="0">
      <alignment wrapText="1"/>
    </xf>
    <xf numFmtId="0" fontId="47" fillId="39" borderId="16" applyAlignment="1" pivotButton="0" quotePrefix="0" xfId="0">
      <alignment horizontal="right" vertical="center" indent="1"/>
    </xf>
    <xf numFmtId="0" fontId="47" fillId="39" borderId="16" applyAlignment="1" pivotButton="0" quotePrefix="0" xfId="0">
      <alignment horizontal="left" vertical="center" indent="1"/>
    </xf>
    <xf numFmtId="0" fontId="74" fillId="15" borderId="1" applyAlignment="1" pivotButton="0" quotePrefix="0" xfId="0">
      <alignment vertical="top"/>
    </xf>
    <xf numFmtId="3" fontId="9" fillId="14" borderId="3" pivotButton="0" quotePrefix="0" xfId="0"/>
    <xf numFmtId="3" fontId="9" fillId="14" borderId="0" pivotButton="0" quotePrefix="0" xfId="0"/>
    <xf numFmtId="0" fontId="9" fillId="3" borderId="10" applyAlignment="1" pivotButton="0" quotePrefix="0" xfId="0">
      <alignment horizontal="center"/>
    </xf>
    <xf numFmtId="0" fontId="0" fillId="15" borderId="5" applyAlignment="1" pivotButton="0" quotePrefix="0" xfId="0">
      <alignment horizontal="center"/>
    </xf>
    <xf numFmtId="0" fontId="115" fillId="15" borderId="3" applyAlignment="1" pivotButton="0" quotePrefix="0" xfId="0">
      <alignment horizontal="center" vertical="center"/>
    </xf>
    <xf numFmtId="0" fontId="115" fillId="15" borderId="0" applyAlignment="1" pivotButton="0" quotePrefix="0" xfId="0">
      <alignment horizontal="center" vertical="center"/>
    </xf>
    <xf numFmtId="0" fontId="15" fillId="15" borderId="0" applyAlignment="1" pivotButton="0" quotePrefix="0" xfId="0">
      <alignment horizontal="center" wrapText="1"/>
    </xf>
    <xf numFmtId="39" fontId="6" fillId="24" borderId="0" applyAlignment="1" applyProtection="1" pivotButton="0" quotePrefix="0" xfId="0">
      <alignment horizontal="center"/>
      <protection locked="0" hidden="0"/>
    </xf>
    <xf numFmtId="0" fontId="10" fillId="3" borderId="7" applyAlignment="1" applyProtection="1" pivotButton="0" quotePrefix="0" xfId="0">
      <alignment horizontal="right"/>
      <protection locked="1" hidden="1"/>
    </xf>
    <xf numFmtId="4" fontId="9" fillId="15" borderId="0" applyAlignment="1" applyProtection="1" pivotButton="0" quotePrefix="0" xfId="0">
      <alignment horizontal="left"/>
      <protection locked="1" hidden="1"/>
    </xf>
    <xf numFmtId="0" fontId="8" fillId="15" borderId="0" applyAlignment="1" applyProtection="1" pivotButton="0" quotePrefix="0" xfId="0">
      <alignment horizontal="left"/>
      <protection locked="1" hidden="1"/>
    </xf>
    <xf numFmtId="4" fontId="8" fillId="15" borderId="0" applyAlignment="1" applyProtection="1" pivotButton="0" quotePrefix="0" xfId="0">
      <alignment horizontal="left"/>
      <protection locked="1" hidden="1"/>
    </xf>
    <xf numFmtId="0" fontId="9" fillId="15" borderId="0" applyAlignment="1" applyProtection="1" pivotButton="0" quotePrefix="0" xfId="0">
      <alignment horizontal="right"/>
      <protection locked="1" hidden="1"/>
    </xf>
    <xf numFmtId="39" fontId="8" fillId="15" borderId="0" applyAlignment="1" applyProtection="1" pivotButton="0" quotePrefix="0" xfId="0">
      <alignment horizontal="center"/>
      <protection locked="1" hidden="1"/>
    </xf>
    <xf numFmtId="39" fontId="8" fillId="15" borderId="0" applyAlignment="1" applyProtection="1" pivotButton="0" quotePrefix="0" xfId="0">
      <alignment horizontal="right"/>
      <protection locked="1" hidden="1"/>
    </xf>
    <xf numFmtId="0" fontId="37" fillId="15" borderId="0" applyAlignment="1" applyProtection="1" pivotButton="0" quotePrefix="0" xfId="0">
      <alignment horizontal="right"/>
      <protection locked="1" hidden="1"/>
    </xf>
    <xf numFmtId="4" fontId="8" fillId="15" borderId="3" applyAlignment="1" applyProtection="1" pivotButton="0" quotePrefix="0" xfId="0">
      <alignment horizontal="left"/>
      <protection locked="1" hidden="1"/>
    </xf>
    <xf numFmtId="4" fontId="8" fillId="15" borderId="69" applyAlignment="1" applyProtection="1" pivotButton="0" quotePrefix="0" xfId="0">
      <alignment horizontal="left"/>
      <protection locked="1" hidden="1"/>
    </xf>
    <xf numFmtId="0" fontId="10" fillId="15" borderId="7" applyAlignment="1" pivotButton="0" quotePrefix="0" xfId="0">
      <alignment horizontal="right" vertical="top"/>
    </xf>
    <xf numFmtId="0" fontId="10" fillId="2" borderId="0" applyAlignment="1" pivotButton="0" quotePrefix="0" xfId="0">
      <alignment horizontal="right" vertical="top"/>
    </xf>
    <xf numFmtId="0" fontId="12" fillId="2" borderId="0" applyAlignment="1" pivotButton="0" quotePrefix="0" xfId="0">
      <alignment horizontal="left" vertical="top"/>
    </xf>
    <xf numFmtId="0" fontId="9" fillId="15" borderId="7" applyAlignment="1" pivotButton="0" quotePrefix="0" xfId="0">
      <alignment horizontal="left" vertical="top"/>
    </xf>
    <xf numFmtId="14" fontId="6" fillId="15" borderId="5" applyAlignment="1" applyProtection="1" pivotButton="0" quotePrefix="0" xfId="0">
      <alignment horizontal="left" vertical="top" indent="1"/>
      <protection locked="0" hidden="0"/>
    </xf>
    <xf numFmtId="0" fontId="11" fillId="15" borderId="24" applyAlignment="1" pivotButton="0" quotePrefix="0" xfId="0">
      <alignment horizontal="center"/>
    </xf>
    <xf numFmtId="37" fontId="6" fillId="15" borderId="3" pivotButton="0" quotePrefix="0" xfId="0"/>
    <xf numFmtId="37" fontId="6" fillId="15" borderId="24" pivotButton="0" quotePrefix="0" xfId="0"/>
    <xf numFmtId="0" fontId="180" fillId="15" borderId="0" applyAlignment="1" pivotButton="0" quotePrefix="0" xfId="0">
      <alignment wrapText="1"/>
    </xf>
    <xf numFmtId="0" fontId="180" fillId="0" borderId="0" applyAlignment="1" pivotButton="0" quotePrefix="0" xfId="0">
      <alignment wrapText="1"/>
    </xf>
    <xf numFmtId="0" fontId="116" fillId="15" borderId="0" applyAlignment="1" pivotButton="0" quotePrefix="0" xfId="0">
      <alignment wrapText="1"/>
    </xf>
    <xf numFmtId="0" fontId="116" fillId="0" borderId="0" applyAlignment="1" pivotButton="0" quotePrefix="0" xfId="0">
      <alignment wrapText="1"/>
    </xf>
    <xf numFmtId="0" fontId="116" fillId="15" borderId="1" applyAlignment="1" pivotButton="0" quotePrefix="0" xfId="0">
      <alignment wrapText="1"/>
    </xf>
    <xf numFmtId="14" fontId="4" fillId="15" borderId="5" applyAlignment="1" pivotButton="0" quotePrefix="0" xfId="0">
      <alignment horizontal="right"/>
    </xf>
    <xf numFmtId="37" fontId="6" fillId="15" borderId="4" pivotButton="0" quotePrefix="0" xfId="0"/>
    <xf numFmtId="0" fontId="47" fillId="2" borderId="0" applyAlignment="1" pivotButton="0" quotePrefix="0" xfId="0">
      <alignment horizontal="right"/>
    </xf>
    <xf numFmtId="0" fontId="10" fillId="2" borderId="13" pivotButton="0" quotePrefix="0" xfId="0"/>
    <xf numFmtId="0" fontId="0" fillId="2" borderId="13" pivotButton="0" quotePrefix="0" xfId="0"/>
    <xf numFmtId="0" fontId="0" fillId="2" borderId="33" pivotButton="0" quotePrefix="0" xfId="0"/>
    <xf numFmtId="0" fontId="40" fillId="15" borderId="0" applyAlignment="1" pivotButton="0" quotePrefix="0" xfId="0">
      <alignment horizontal="center" vertical="center"/>
    </xf>
    <xf numFmtId="0" fontId="6" fillId="15" borderId="4" applyAlignment="1" pivotButton="0" quotePrefix="0" xfId="0">
      <alignment horizontal="left"/>
    </xf>
    <xf numFmtId="0" fontId="15" fillId="15" borderId="6" applyAlignment="1" pivotButton="0" quotePrefix="1" xfId="0">
      <alignment horizontal="left" vertical="center"/>
    </xf>
    <xf numFmtId="0" fontId="15" fillId="15" borderId="3" applyAlignment="1" pivotButton="0" quotePrefix="1" xfId="0">
      <alignment horizontal="left" vertical="center"/>
    </xf>
    <xf numFmtId="0" fontId="6" fillId="15" borderId="4" applyAlignment="1" pivotButton="0" quotePrefix="0" xfId="0">
      <alignment vertical="center"/>
    </xf>
    <xf numFmtId="0" fontId="47" fillId="15" borderId="0" applyAlignment="1" pivotButton="0" quotePrefix="0" xfId="0">
      <alignment horizontal="center" vertical="center"/>
    </xf>
    <xf numFmtId="168" fontId="0" fillId="0" borderId="0" applyAlignment="1" applyProtection="1" pivotButton="0" quotePrefix="0" xfId="0">
      <alignment horizontal="center" vertical="center"/>
      <protection locked="0" hidden="0"/>
    </xf>
    <xf numFmtId="39" fontId="0" fillId="24" borderId="0" applyAlignment="1" applyProtection="1" pivotButton="0" quotePrefix="0" xfId="0">
      <alignment horizontal="center" vertical="center"/>
      <protection locked="0" hidden="0"/>
    </xf>
    <xf numFmtId="0" fontId="14" fillId="15" borderId="1" applyAlignment="1" pivotButton="0" quotePrefix="1" xfId="0">
      <alignment horizontal="center"/>
    </xf>
    <xf numFmtId="49" fontId="120" fillId="15" borderId="1" applyAlignment="1" pivotButton="0" quotePrefix="0" xfId="0">
      <alignment horizontal="left"/>
    </xf>
    <xf numFmtId="176" fontId="74" fillId="15" borderId="1" pivotButton="0" quotePrefix="0" xfId="0"/>
    <xf numFmtId="176" fontId="74" fillId="15" borderId="1" applyAlignment="1" pivotButton="0" quotePrefix="0" xfId="0">
      <alignment horizontal="center"/>
    </xf>
    <xf numFmtId="4" fontId="10" fillId="3" borderId="15" applyAlignment="1" pivotButton="0" quotePrefix="0" xfId="0">
      <alignment horizontal="left"/>
    </xf>
    <xf numFmtId="37" fontId="8" fillId="3" borderId="25" applyAlignment="1" applyProtection="1" pivotButton="0" quotePrefix="0" xfId="0">
      <alignment horizontal="right"/>
      <protection locked="0" hidden="0"/>
    </xf>
    <xf numFmtId="37" fontId="10" fillId="3" borderId="0" applyAlignment="1" pivotButton="0" quotePrefix="0" xfId="0">
      <alignment horizontal="left"/>
    </xf>
    <xf numFmtId="3" fontId="113" fillId="5" borderId="0" applyProtection="1" pivotButton="0" quotePrefix="0" xfId="0">
      <protection locked="0" hidden="0"/>
    </xf>
    <xf numFmtId="1" fontId="8" fillId="3" borderId="7" applyAlignment="1" pivotButton="0" quotePrefix="0" xfId="0">
      <alignment horizontal="right"/>
    </xf>
    <xf numFmtId="4" fontId="8" fillId="3" borderId="7" applyAlignment="1" pivotButton="0" quotePrefix="0" xfId="0">
      <alignment horizontal="left" vertical="center"/>
    </xf>
    <xf numFmtId="4" fontId="8" fillId="3" borderId="7" applyAlignment="1" pivotButton="0" quotePrefix="0" xfId="0">
      <alignment horizontal="left" vertical="center" indent="3"/>
    </xf>
    <xf numFmtId="0" fontId="138" fillId="0" borderId="0" pivotButton="0" quotePrefix="0" xfId="0"/>
    <xf numFmtId="0" fontId="126" fillId="0" borderId="0" pivotButton="0" quotePrefix="0" xfId="0"/>
    <xf numFmtId="0" fontId="366" fillId="0" borderId="0" applyAlignment="1" pivotButton="0" quotePrefix="0" xfId="0">
      <alignment horizontal="right"/>
    </xf>
    <xf numFmtId="0" fontId="138" fillId="0" borderId="0" applyAlignment="1" pivotButton="0" quotePrefix="0" xfId="0">
      <alignment horizontal="right"/>
    </xf>
    <xf numFmtId="3" fontId="138" fillId="0" borderId="0" applyAlignment="1" applyProtection="1" pivotButton="0" quotePrefix="0" xfId="0">
      <alignment horizontal="right"/>
      <protection locked="0" hidden="0"/>
    </xf>
    <xf numFmtId="0" fontId="73" fillId="15" borderId="0" pivotButton="0" quotePrefix="0" xfId="0"/>
    <xf numFmtId="0" fontId="73" fillId="15" borderId="0" applyAlignment="1" pivotButton="0" quotePrefix="0" xfId="0">
      <alignment horizontal="right"/>
    </xf>
    <xf numFmtId="39" fontId="14" fillId="15" borderId="0" applyAlignment="1" applyProtection="1" pivotButton="0" quotePrefix="0" xfId="0">
      <alignment horizontal="left" vertical="top" indent="3"/>
      <protection locked="0" hidden="0"/>
    </xf>
    <xf numFmtId="39" fontId="14" fillId="15" borderId="0" applyAlignment="1" applyProtection="1" pivotButton="0" quotePrefix="0" xfId="0">
      <alignment horizontal="left" vertical="top"/>
      <protection locked="0" hidden="0"/>
    </xf>
    <xf numFmtId="178" fontId="0" fillId="15" borderId="2" applyProtection="1" pivotButton="0" quotePrefix="0" xfId="0">
      <protection locked="0" hidden="0"/>
    </xf>
    <xf numFmtId="0" fontId="74" fillId="15" borderId="0" applyAlignment="1" pivotButton="0" quotePrefix="0" xfId="0">
      <alignment vertical="center" wrapText="1"/>
    </xf>
    <xf numFmtId="0" fontId="166" fillId="24" borderId="0" pivotButton="0" quotePrefix="0" xfId="0"/>
    <xf numFmtId="0" fontId="180" fillId="24" borderId="0" pivotButton="0" quotePrefix="0" xfId="0"/>
    <xf numFmtId="0" fontId="146" fillId="24" borderId="0" applyAlignment="1" pivotButton="0" quotePrefix="1" xfId="0">
      <alignment horizontal="right"/>
    </xf>
    <xf numFmtId="4" fontId="180" fillId="24" borderId="0" pivotButton="0" quotePrefix="0" xfId="0"/>
    <xf numFmtId="37" fontId="10" fillId="24" borderId="0" applyAlignment="1" pivotButton="0" quotePrefix="0" xfId="0">
      <alignment horizontal="right"/>
    </xf>
    <xf numFmtId="37" fontId="138" fillId="24" borderId="0" applyAlignment="1" pivotButton="0" quotePrefix="0" xfId="0">
      <alignment horizontal="right"/>
    </xf>
    <xf numFmtId="0" fontId="0" fillId="15" borderId="21" applyAlignment="1" pivotButton="0" quotePrefix="0" xfId="0">
      <alignment horizontal="center"/>
    </xf>
    <xf numFmtId="37" fontId="180" fillId="3" borderId="3" applyAlignment="1" pivotButton="0" quotePrefix="0" xfId="0">
      <alignment horizontal="right"/>
    </xf>
    <xf numFmtId="0" fontId="146" fillId="2" borderId="0" applyAlignment="1" pivotButton="0" quotePrefix="0" xfId="0">
      <alignment vertical="center"/>
    </xf>
    <xf numFmtId="0" fontId="205" fillId="2" borderId="0" pivotButton="0" quotePrefix="0" xfId="0"/>
    <xf numFmtId="37" fontId="112" fillId="0" borderId="20" applyAlignment="1" pivotButton="0" quotePrefix="0" xfId="0">
      <alignment horizontal="center"/>
    </xf>
    <xf numFmtId="0" fontId="122" fillId="0" borderId="0" applyAlignment="1" pivotButton="0" quotePrefix="0" xfId="0">
      <alignment horizontal="right"/>
    </xf>
    <xf numFmtId="0" fontId="143" fillId="5" borderId="0" pivotButton="0" quotePrefix="0" xfId="0"/>
    <xf numFmtId="37" fontId="14" fillId="15" borderId="0" applyAlignment="1" pivotButton="0" quotePrefix="0" xfId="0">
      <alignment horizontal="left"/>
    </xf>
    <xf numFmtId="37" fontId="228" fillId="19" borderId="0" pivotButton="0" quotePrefix="0" xfId="0"/>
    <xf numFmtId="0" fontId="20" fillId="2" borderId="7" pivotButton="0" quotePrefix="0" xfId="0"/>
    <xf numFmtId="0" fontId="10" fillId="2" borderId="7" applyAlignment="1" pivotButton="0" quotePrefix="0" xfId="0">
      <alignment horizontal="right" vertical="center"/>
    </xf>
    <xf numFmtId="0" fontId="10" fillId="2" borderId="7" applyAlignment="1" pivotButton="0" quotePrefix="0" xfId="0">
      <alignment vertical="center"/>
    </xf>
    <xf numFmtId="0" fontId="6" fillId="2" borderId="7" applyAlignment="1" pivotButton="0" quotePrefix="0" xfId="0">
      <alignment horizontal="right" vertical="center"/>
    </xf>
    <xf numFmtId="0" fontId="306" fillId="15" borderId="0" applyAlignment="1" pivotButton="0" quotePrefix="0" xfId="0">
      <alignment wrapText="1"/>
    </xf>
    <xf numFmtId="0" fontId="6" fillId="15" borderId="7" applyAlignment="1" pivotButton="0" quotePrefix="0" xfId="0">
      <alignment horizontal="right"/>
    </xf>
    <xf numFmtId="3" fontId="128" fillId="0" borderId="7" applyAlignment="1" applyProtection="1" pivotButton="0" quotePrefix="0" xfId="0">
      <alignment horizontal="right"/>
      <protection locked="1" hidden="1"/>
    </xf>
    <xf numFmtId="3" fontId="128" fillId="0" borderId="19" applyAlignment="1" applyProtection="1" pivotButton="0" quotePrefix="0" xfId="0">
      <alignment horizontal="right"/>
      <protection locked="1" hidden="1"/>
    </xf>
    <xf numFmtId="3" fontId="128" fillId="0" borderId="4" applyAlignment="1" applyProtection="1" pivotButton="0" quotePrefix="0" xfId="0">
      <alignment horizontal="right"/>
      <protection locked="1" hidden="1"/>
    </xf>
    <xf numFmtId="3" fontId="128" fillId="0" borderId="22" applyAlignment="1" applyProtection="1" pivotButton="0" quotePrefix="0" xfId="0">
      <alignment horizontal="right"/>
      <protection locked="1" hidden="1"/>
    </xf>
    <xf numFmtId="3" fontId="368" fillId="0" borderId="0" applyAlignment="1" applyProtection="1" pivotButton="0" quotePrefix="0" xfId="0">
      <alignment horizontal="right"/>
      <protection locked="1" hidden="1"/>
    </xf>
    <xf numFmtId="3" fontId="368" fillId="0" borderId="20" applyAlignment="1" applyProtection="1" pivotButton="0" quotePrefix="0" xfId="0">
      <alignment horizontal="right"/>
      <protection locked="1" hidden="1"/>
    </xf>
    <xf numFmtId="3" fontId="368" fillId="0" borderId="5" applyAlignment="1" applyProtection="1" pivotButton="0" quotePrefix="0" xfId="0">
      <alignment horizontal="right"/>
      <protection locked="1" hidden="1"/>
    </xf>
    <xf numFmtId="0" fontId="146" fillId="0" borderId="0" applyAlignment="1" applyProtection="1" pivotButton="0" quotePrefix="0" xfId="0">
      <alignment horizontal="left"/>
      <protection locked="1" hidden="1"/>
    </xf>
    <xf numFmtId="0" fontId="9" fillId="3" borderId="216" applyAlignment="1" pivotButton="0" quotePrefix="0" xfId="0">
      <alignment vertical="center"/>
    </xf>
    <xf numFmtId="0" fontId="8" fillId="3" borderId="216" applyAlignment="1" pivotButton="0" quotePrefix="0" xfId="0">
      <alignment vertical="center"/>
    </xf>
    <xf numFmtId="4" fontId="8" fillId="3" borderId="216" applyAlignment="1" pivotButton="0" quotePrefix="0" xfId="0">
      <alignment vertical="center"/>
    </xf>
    <xf numFmtId="4" fontId="9" fillId="3" borderId="216" applyAlignment="1" pivotButton="0" quotePrefix="0" xfId="0">
      <alignment horizontal="right" vertical="center"/>
    </xf>
    <xf numFmtId="39" fontId="8" fillId="3" borderId="216" applyAlignment="1" pivotButton="0" quotePrefix="0" xfId="0">
      <alignment horizontal="right" vertical="center"/>
    </xf>
    <xf numFmtId="0" fontId="4" fillId="3" borderId="216" applyAlignment="1" pivotButton="0" quotePrefix="0" xfId="0">
      <alignment horizontal="right" vertical="center"/>
    </xf>
    <xf numFmtId="0" fontId="4" fillId="3" borderId="99" applyAlignment="1" pivotButton="0" quotePrefix="0" xfId="0">
      <alignment horizontal="center"/>
    </xf>
    <xf numFmtId="39" fontId="4" fillId="3" borderId="99" pivotButton="0" quotePrefix="0" xfId="0"/>
    <xf numFmtId="39" fontId="9" fillId="3" borderId="99" pivotButton="0" quotePrefix="0" xfId="0"/>
    <xf numFmtId="39" fontId="8" fillId="3" borderId="99" pivotButton="0" quotePrefix="0" xfId="0"/>
    <xf numFmtId="39" fontId="9" fillId="3" borderId="99" applyAlignment="1" pivotButton="0" quotePrefix="0" xfId="0">
      <alignment horizontal="right"/>
    </xf>
    <xf numFmtId="0" fontId="9" fillId="3" borderId="198" applyAlignment="1" pivotButton="0" quotePrefix="0" xfId="0">
      <alignment horizontal="center"/>
    </xf>
    <xf numFmtId="0" fontId="8" fillId="3" borderId="7" applyAlignment="1" pivotButton="0" quotePrefix="0" xfId="0">
      <alignment horizontal="right" vertical="center"/>
    </xf>
    <xf numFmtId="37" fontId="110" fillId="0" borderId="0" applyAlignment="1" pivotButton="0" quotePrefix="0" xfId="0">
      <alignment horizontal="right"/>
    </xf>
    <xf numFmtId="0" fontId="57" fillId="15" borderId="0" pivotButton="0" quotePrefix="0" xfId="0"/>
    <xf numFmtId="0" fontId="184" fillId="15" borderId="0" applyAlignment="1" pivotButton="0" quotePrefix="0" xfId="0">
      <alignment horizontal="center"/>
    </xf>
    <xf numFmtId="37" fontId="109" fillId="0" borderId="0" applyAlignment="1" pivotButton="0" quotePrefix="0" xfId="0">
      <alignment horizontal="right"/>
    </xf>
    <xf numFmtId="37" fontId="123" fillId="0" borderId="0" applyAlignment="1" pivotButton="0" quotePrefix="0" xfId="0">
      <alignment horizontal="right"/>
    </xf>
    <xf numFmtId="37" fontId="116" fillId="0" borderId="0" applyAlignment="1" pivotButton="0" quotePrefix="0" xfId="0">
      <alignment horizontal="right"/>
    </xf>
    <xf numFmtId="37" fontId="110" fillId="0" borderId="0" applyAlignment="1" pivotButton="0" quotePrefix="1" xfId="0">
      <alignment horizontal="right"/>
    </xf>
    <xf numFmtId="4" fontId="10" fillId="3" borderId="15" applyAlignment="1" pivotButton="0" quotePrefix="0" xfId="0">
      <alignment horizontal="center"/>
    </xf>
    <xf numFmtId="37" fontId="8" fillId="28" borderId="28" applyAlignment="1" pivotButton="0" quotePrefix="0" xfId="0">
      <alignment horizontal="right"/>
    </xf>
    <xf numFmtId="37" fontId="125" fillId="3" borderId="0" applyAlignment="1" pivotButton="0" quotePrefix="0" xfId="0">
      <alignment horizontal="right"/>
    </xf>
    <xf numFmtId="37" fontId="10" fillId="0" borderId="0" applyAlignment="1" pivotButton="0" quotePrefix="0" xfId="0">
      <alignment horizontal="right"/>
    </xf>
    <xf numFmtId="37" fontId="8" fillId="28" borderId="3" applyAlignment="1" pivotButton="0" quotePrefix="0" xfId="0">
      <alignment horizontal="right"/>
    </xf>
    <xf numFmtId="0" fontId="4" fillId="3" borderId="83" applyAlignment="1" pivotButton="0" quotePrefix="0" xfId="0">
      <alignment horizontal="center"/>
    </xf>
    <xf numFmtId="37" fontId="8" fillId="28" borderId="83" applyAlignment="1" pivotButton="0" quotePrefix="0" xfId="0">
      <alignment horizontal="right"/>
    </xf>
    <xf numFmtId="0" fontId="110" fillId="3" borderId="0" applyAlignment="1" pivotButton="0" quotePrefix="0" xfId="0">
      <alignment horizontal="right"/>
    </xf>
    <xf numFmtId="37" fontId="8" fillId="26" borderId="69" applyAlignment="1" pivotButton="0" quotePrefix="0" xfId="0">
      <alignment horizontal="right"/>
    </xf>
    <xf numFmtId="0" fontId="9" fillId="3" borderId="7" applyAlignment="1" pivotButton="0" quotePrefix="0" xfId="0">
      <alignment vertical="top"/>
    </xf>
    <xf numFmtId="4" fontId="10" fillId="3" borderId="7" applyAlignment="1" pivotButton="0" quotePrefix="0" xfId="0">
      <alignment horizontal="right" vertical="top"/>
    </xf>
    <xf numFmtId="4" fontId="8" fillId="3" borderId="7" applyAlignment="1" pivotButton="0" quotePrefix="0" xfId="0">
      <alignment horizontal="right" vertical="top"/>
    </xf>
    <xf numFmtId="1" fontId="10" fillId="3" borderId="7" applyAlignment="1" pivotButton="0" quotePrefix="0" xfId="0">
      <alignment horizontal="right" vertical="center"/>
    </xf>
    <xf numFmtId="1" fontId="0" fillId="10" borderId="30" applyAlignment="1" pivotButton="0" quotePrefix="0" xfId="0">
      <alignment vertical="center"/>
    </xf>
    <xf numFmtId="1" fontId="0" fillId="10" borderId="14" applyAlignment="1" pivotButton="0" quotePrefix="0" xfId="0">
      <alignment vertical="center"/>
    </xf>
    <xf numFmtId="1" fontId="0" fillId="10" borderId="9" applyAlignment="1" pivotButton="0" quotePrefix="0" xfId="0">
      <alignment vertical="center"/>
    </xf>
    <xf numFmtId="1" fontId="0" fillId="10" borderId="11" applyAlignment="1" pivotButton="0" quotePrefix="0" xfId="0">
      <alignment vertical="center"/>
    </xf>
    <xf numFmtId="0" fontId="20" fillId="23" borderId="0" applyAlignment="1" applyProtection="1" pivotButton="0" quotePrefix="0" xfId="0">
      <alignment horizontal="center" vertical="center"/>
      <protection locked="0" hidden="0"/>
    </xf>
    <xf numFmtId="0" fontId="4" fillId="23" borderId="0" applyAlignment="1" pivotButton="0" quotePrefix="0" xfId="0">
      <alignment vertical="top" textRotation="90"/>
    </xf>
    <xf numFmtId="39" fontId="210" fillId="0" borderId="0" applyProtection="1" pivotButton="0" quotePrefix="0" xfId="0">
      <protection locked="0" hidden="0"/>
    </xf>
    <xf numFmtId="39" fontId="369" fillId="0" borderId="0" applyProtection="1" pivotButton="0" quotePrefix="0" xfId="0">
      <protection locked="0" hidden="0"/>
    </xf>
    <xf numFmtId="0" fontId="210" fillId="0" borderId="0" pivotButton="0" quotePrefix="0" xfId="0"/>
    <xf numFmtId="37" fontId="210" fillId="0" borderId="0" pivotButton="0" quotePrefix="0" xfId="0"/>
    <xf numFmtId="0" fontId="110" fillId="15" borderId="2" pivotButton="0" quotePrefix="0" xfId="0"/>
    <xf numFmtId="37" fontId="295" fillId="15" borderId="0" pivotButton="0" quotePrefix="0" xfId="0"/>
    <xf numFmtId="37" fontId="166" fillId="15" borderId="0" applyAlignment="1" pivotButton="0" quotePrefix="0" xfId="0">
      <alignment horizontal="center" vertical="center"/>
    </xf>
    <xf numFmtId="37" fontId="295" fillId="15" borderId="0" applyAlignment="1" pivotButton="0" quotePrefix="0" xfId="0">
      <alignment vertical="center"/>
    </xf>
    <xf numFmtId="37" fontId="295" fillId="15" borderId="0" applyAlignment="1" pivotButton="0" quotePrefix="0" xfId="0">
      <alignment horizontal="left"/>
    </xf>
    <xf numFmtId="37" fontId="295" fillId="0" borderId="0" pivotButton="0" quotePrefix="0" xfId="0"/>
    <xf numFmtId="0" fontId="0" fillId="19" borderId="3" applyAlignment="1" pivotButton="0" quotePrefix="0" xfId="0">
      <alignment wrapText="1"/>
    </xf>
    <xf numFmtId="0" fontId="0" fillId="19" borderId="30" applyAlignment="1" pivotButton="0" quotePrefix="0" xfId="0">
      <alignment wrapText="1"/>
    </xf>
    <xf numFmtId="0" fontId="0" fillId="19" borderId="24" applyAlignment="1" pivotButton="0" quotePrefix="0" xfId="0">
      <alignment wrapText="1"/>
    </xf>
    <xf numFmtId="0" fontId="0" fillId="19" borderId="14" applyAlignment="1" pivotButton="0" quotePrefix="0" xfId="0">
      <alignment wrapText="1"/>
    </xf>
    <xf numFmtId="49" fontId="4" fillId="0" borderId="0" applyAlignment="1" applyProtection="1" pivotButton="0" quotePrefix="0" xfId="0">
      <alignment horizontal="center" vertical="top"/>
      <protection locked="0" hidden="0"/>
    </xf>
    <xf numFmtId="0" fontId="4" fillId="2" borderId="3" applyAlignment="1" applyProtection="1" pivotButton="0" quotePrefix="0" xfId="0">
      <alignment vertical="top" wrapText="1"/>
      <protection locked="0" hidden="0"/>
    </xf>
    <xf numFmtId="0" fontId="4" fillId="2" borderId="3" applyAlignment="1" pivotButton="0" quotePrefix="0" xfId="0">
      <alignment wrapText="1"/>
    </xf>
    <xf numFmtId="0" fontId="4" fillId="2" borderId="3" applyAlignment="1" pivotButton="0" quotePrefix="0" xfId="0">
      <alignment vertical="top"/>
    </xf>
    <xf numFmtId="0" fontId="4" fillId="2" borderId="3" applyAlignment="1" pivotButton="0" quotePrefix="0" xfId="0">
      <alignment vertical="top" wrapText="1"/>
    </xf>
    <xf numFmtId="4" fontId="6" fillId="15" borderId="3" applyAlignment="1" pivotButton="0" quotePrefix="0" xfId="0">
      <alignment horizontal="left" vertical="top" indent="1"/>
    </xf>
    <xf numFmtId="0" fontId="4" fillId="15" borderId="56" applyAlignment="1" pivotButton="0" quotePrefix="0" xfId="0">
      <alignment horizontal="left"/>
    </xf>
    <xf numFmtId="39" fontId="23" fillId="15" borderId="0" applyAlignment="1" pivotButton="0" quotePrefix="0" xfId="0">
      <alignment horizontal="left" vertical="top"/>
    </xf>
    <xf numFmtId="0" fontId="73" fillId="15" borderId="0" applyAlignment="1" pivotButton="0" quotePrefix="0" xfId="0">
      <alignment horizontal="right" vertical="center"/>
    </xf>
    <xf numFmtId="0" fontId="11" fillId="14" borderId="0" applyAlignment="1" applyProtection="1" pivotButton="0" quotePrefix="0" xfId="0">
      <alignment horizontal="right" vertical="center"/>
      <protection locked="1" hidden="1"/>
    </xf>
    <xf numFmtId="39" fontId="14" fillId="15" borderId="0" applyAlignment="1" pivotButton="0" quotePrefix="0" xfId="0">
      <alignment horizontal="left" vertical="top"/>
    </xf>
    <xf numFmtId="0" fontId="241" fillId="15" borderId="30" applyAlignment="1" pivotButton="0" quotePrefix="0" xfId="0">
      <alignment vertical="center"/>
    </xf>
    <xf numFmtId="0" fontId="241" fillId="15" borderId="0" pivotButton="0" quotePrefix="0" xfId="0"/>
    <xf numFmtId="0" fontId="241" fillId="15" borderId="15" applyAlignment="1" pivotButton="0" quotePrefix="0" xfId="0">
      <alignment vertical="center"/>
    </xf>
    <xf numFmtId="0" fontId="241" fillId="15" borderId="6" applyAlignment="1" pivotButton="0" quotePrefix="0" xfId="0">
      <alignment vertical="center"/>
    </xf>
    <xf numFmtId="0" fontId="14" fillId="15" borderId="7" applyAlignment="1" pivotButton="0" quotePrefix="0" xfId="0">
      <alignment horizontal="left" vertical="center" indent="1"/>
    </xf>
    <xf numFmtId="0" fontId="11" fillId="15" borderId="10" applyAlignment="1" pivotButton="0" quotePrefix="0" xfId="0">
      <alignment horizontal="center" vertical="center"/>
    </xf>
    <xf numFmtId="0" fontId="11" fillId="15" borderId="12" applyAlignment="1" pivotButton="0" quotePrefix="0" xfId="0">
      <alignment horizontal="center" vertical="center"/>
    </xf>
    <xf numFmtId="0" fontId="11" fillId="19" borderId="15" applyAlignment="1" pivotButton="0" quotePrefix="0" xfId="0">
      <alignment horizontal="center" vertical="center"/>
    </xf>
    <xf numFmtId="0" fontId="23" fillId="19" borderId="6" applyAlignment="1" pivotButton="0" quotePrefix="0" xfId="0">
      <alignment vertical="center"/>
    </xf>
    <xf numFmtId="0" fontId="11" fillId="19" borderId="6" applyAlignment="1" pivotButton="0" quotePrefix="0" xfId="0">
      <alignment horizontal="center" vertical="center"/>
    </xf>
    <xf numFmtId="0" fontId="188" fillId="15" borderId="4" applyAlignment="1" pivotButton="0" quotePrefix="0" xfId="0">
      <alignment vertical="center"/>
    </xf>
    <xf numFmtId="0" fontId="11" fillId="14" borderId="4" applyAlignment="1" applyProtection="1" pivotButton="0" quotePrefix="0" xfId="0">
      <alignment horizontal="right" vertical="center"/>
      <protection locked="1" hidden="1"/>
    </xf>
    <xf numFmtId="0" fontId="241" fillId="15" borderId="4" applyAlignment="1" pivotButton="0" quotePrefix="0" xfId="0">
      <alignment vertical="center"/>
    </xf>
    <xf numFmtId="0" fontId="73" fillId="15" borderId="7" applyAlignment="1" pivotButton="0" quotePrefix="0" xfId="0">
      <alignment horizontal="right" vertical="top"/>
    </xf>
    <xf numFmtId="37" fontId="11" fillId="15" borderId="12" applyProtection="1" pivotButton="0" quotePrefix="0" xfId="0">
      <protection locked="0" hidden="0"/>
    </xf>
    <xf numFmtId="0" fontId="11" fillId="15" borderId="15" applyAlignment="1" pivotButton="0" quotePrefix="0" xfId="0">
      <alignment horizontal="center" vertical="center"/>
    </xf>
    <xf numFmtId="0" fontId="11" fillId="15" borderId="28" applyAlignment="1" pivotButton="0" quotePrefix="0" xfId="0">
      <alignment horizontal="center" vertical="center"/>
    </xf>
    <xf numFmtId="37" fontId="73" fillId="15" borderId="8" applyAlignment="1" pivotButton="0" quotePrefix="0" xfId="0">
      <alignment vertical="center"/>
    </xf>
    <xf numFmtId="37" fontId="73" fillId="15" borderId="8" pivotButton="0" quotePrefix="0" xfId="0"/>
    <xf numFmtId="0" fontId="11" fillId="27" borderId="2" applyAlignment="1" pivotButton="0" quotePrefix="0" xfId="0">
      <alignment horizontal="center" vertical="center"/>
    </xf>
    <xf numFmtId="4" fontId="6" fillId="27" borderId="119" applyAlignment="1" pivotButton="0" quotePrefix="1" xfId="0">
      <alignment horizontal="center"/>
    </xf>
    <xf numFmtId="37" fontId="197" fillId="15" borderId="0" pivotButton="0" quotePrefix="0" xfId="0"/>
    <xf numFmtId="0" fontId="6" fillId="0" borderId="5" applyAlignment="1" pivotButton="0" quotePrefix="0" xfId="0">
      <alignment horizontal="right" indent="1"/>
    </xf>
    <xf numFmtId="0" fontId="370" fillId="15" borderId="0" applyAlignment="1" pivotButton="0" quotePrefix="0" xfId="0">
      <alignment horizontal="right" vertical="center"/>
    </xf>
    <xf numFmtId="0" fontId="372" fillId="15" borderId="8" applyAlignment="1" pivotButton="0" quotePrefix="0" xfId="0">
      <alignment vertical="center"/>
    </xf>
    <xf numFmtId="0" fontId="371" fillId="15" borderId="30" applyAlignment="1" pivotButton="0" quotePrefix="0" xfId="0">
      <alignment vertical="center"/>
    </xf>
    <xf numFmtId="0" fontId="371" fillId="15" borderId="8" applyAlignment="1" pivotButton="0" quotePrefix="0" xfId="0">
      <alignment vertical="center"/>
    </xf>
    <xf numFmtId="0" fontId="47" fillId="15" borderId="8" applyAlignment="1" pivotButton="0" quotePrefix="0" xfId="0">
      <alignment vertical="center" wrapText="1"/>
    </xf>
    <xf numFmtId="0" fontId="11" fillId="15" borderId="6" applyAlignment="1" pivotButton="0" quotePrefix="0" xfId="0">
      <alignment horizontal="center" vertical="center"/>
    </xf>
    <xf numFmtId="37" fontId="73" fillId="15" borderId="0" applyAlignment="1" pivotButton="0" quotePrefix="0" xfId="0">
      <alignment horizontal="right" vertical="center"/>
    </xf>
    <xf numFmtId="37" fontId="6" fillId="0" borderId="5" applyAlignment="1" pivotButton="0" quotePrefix="0" xfId="0">
      <alignment horizontal="right" indent="1"/>
    </xf>
    <xf numFmtId="0" fontId="11" fillId="3" borderId="0" applyAlignment="1" pivotButton="0" quotePrefix="0" xfId="0">
      <alignment horizontal="right" vertical="center"/>
    </xf>
    <xf numFmtId="0" fontId="11" fillId="3" borderId="1" applyAlignment="1" pivotButton="0" quotePrefix="0" xfId="0">
      <alignment horizontal="right" vertical="center"/>
    </xf>
    <xf numFmtId="0" fontId="73" fillId="15" borderId="0" applyAlignment="1" pivotButton="0" quotePrefix="0" xfId="0">
      <alignment horizontal="left" vertical="center"/>
    </xf>
    <xf numFmtId="0" fontId="241" fillId="15" borderId="0" applyAlignment="1" pivotButton="0" quotePrefix="0" xfId="0">
      <alignment horizontal="right" vertical="center"/>
    </xf>
    <xf numFmtId="0" fontId="241" fillId="15" borderId="0" applyAlignment="1" pivotButton="0" quotePrefix="0" xfId="0">
      <alignment horizontal="left" vertical="center"/>
    </xf>
    <xf numFmtId="0" fontId="11" fillId="14" borderId="0" applyAlignment="1" pivotButton="0" quotePrefix="0" xfId="0">
      <alignment horizontal="left" vertical="top"/>
    </xf>
    <xf numFmtId="0" fontId="11" fillId="14" borderId="8" applyAlignment="1" pivotButton="0" quotePrefix="0" xfId="0">
      <alignment horizontal="right" vertical="center"/>
    </xf>
    <xf numFmtId="0" fontId="241" fillId="15" borderId="14" applyAlignment="1" pivotButton="0" quotePrefix="0" xfId="0">
      <alignment vertical="center"/>
    </xf>
    <xf numFmtId="0" fontId="11" fillId="14" borderId="0" applyAlignment="1" pivotButton="0" quotePrefix="0" xfId="0">
      <alignment horizontal="right" vertical="center"/>
    </xf>
    <xf numFmtId="0" fontId="241" fillId="15" borderId="24" applyAlignment="1" pivotButton="0" quotePrefix="0" xfId="0">
      <alignment vertical="center"/>
    </xf>
    <xf numFmtId="0" fontId="11" fillId="14" borderId="1" applyAlignment="1" pivotButton="0" quotePrefix="0" xfId="0">
      <alignment horizontal="right" vertical="center"/>
    </xf>
    <xf numFmtId="0" fontId="241" fillId="15" borderId="11" applyAlignment="1" pivotButton="0" quotePrefix="0" xfId="0">
      <alignment vertical="center"/>
    </xf>
    <xf numFmtId="0" fontId="23" fillId="15" borderId="14" applyAlignment="1" pivotButton="0" quotePrefix="0" xfId="0">
      <alignment vertical="center"/>
    </xf>
    <xf numFmtId="0" fontId="241" fillId="15" borderId="3" applyAlignment="1" pivotButton="0" quotePrefix="0" xfId="0">
      <alignment vertical="center"/>
    </xf>
    <xf numFmtId="0" fontId="23" fillId="15" borderId="24" applyAlignment="1" pivotButton="0" quotePrefix="0" xfId="0">
      <alignment vertical="center"/>
    </xf>
    <xf numFmtId="0" fontId="241" fillId="15" borderId="9" applyAlignment="1" pivotButton="0" quotePrefix="0" xfId="0">
      <alignment vertical="center"/>
    </xf>
    <xf numFmtId="0" fontId="23" fillId="15" borderId="11" applyAlignment="1" pivotButton="0" quotePrefix="0" xfId="0">
      <alignment vertical="center"/>
    </xf>
    <xf numFmtId="0" fontId="23" fillId="15" borderId="15" applyAlignment="1" pivotButton="0" quotePrefix="0" xfId="0">
      <alignment vertical="center"/>
    </xf>
    <xf numFmtId="0" fontId="372" fillId="15" borderId="14" applyAlignment="1" pivotButton="0" quotePrefix="0" xfId="0">
      <alignment vertical="center"/>
    </xf>
    <xf numFmtId="0" fontId="11" fillId="14" borderId="4" applyAlignment="1" pivotButton="0" quotePrefix="0" xfId="0">
      <alignment horizontal="right" vertical="center"/>
    </xf>
    <xf numFmtId="4" fontId="6" fillId="0" borderId="0" applyAlignment="1" pivotButton="0" quotePrefix="0" xfId="0">
      <alignment horizontal="left" vertical="top"/>
    </xf>
    <xf numFmtId="0" fontId="4" fillId="2" borderId="5" applyAlignment="1" pivotButton="0" quotePrefix="1" xfId="0">
      <alignment horizontal="right" vertical="top"/>
    </xf>
    <xf numFmtId="38" fontId="6" fillId="0" borderId="0" pivotButton="0" quotePrefix="0" xfId="0"/>
    <xf numFmtId="0" fontId="242" fillId="2" borderId="41" applyAlignment="1" pivotButton="0" quotePrefix="0" xfId="0">
      <alignment wrapText="1"/>
    </xf>
    <xf numFmtId="4" fontId="131" fillId="32" borderId="142" applyAlignment="1" applyProtection="1" pivotButton="0" quotePrefix="0" xfId="0">
      <alignment horizontal="center" vertical="center"/>
      <protection locked="0" hidden="0"/>
    </xf>
    <xf numFmtId="4" fontId="131" fillId="32" borderId="143" applyAlignment="1" applyProtection="1" pivotButton="0" quotePrefix="0" xfId="0">
      <alignment horizontal="center" vertical="center"/>
      <protection locked="0" hidden="0"/>
    </xf>
    <xf numFmtId="0" fontId="242" fillId="2" borderId="42" pivotButton="0" quotePrefix="0" xfId="0"/>
    <xf numFmtId="39" fontId="6" fillId="32" borderId="142" applyAlignment="1" applyProtection="1" pivotButton="0" quotePrefix="0" xfId="0">
      <alignment horizontal="center" vertical="center"/>
      <protection locked="0" hidden="0"/>
    </xf>
    <xf numFmtId="39" fontId="6" fillId="32" borderId="143" applyAlignment="1" applyProtection="1" pivotButton="0" quotePrefix="0" xfId="0">
      <alignment horizontal="center" vertical="center"/>
      <protection locked="0" hidden="0"/>
    </xf>
    <xf numFmtId="39" fontId="6" fillId="32" borderId="138" applyProtection="1" pivotButton="0" quotePrefix="0" xfId="0">
      <protection locked="0" hidden="0"/>
    </xf>
    <xf numFmtId="39" fontId="6" fillId="32" borderId="139" applyProtection="1" pivotButton="0" quotePrefix="0" xfId="0">
      <protection locked="0" hidden="0"/>
    </xf>
    <xf numFmtId="39" fontId="6" fillId="32" borderId="146" applyAlignment="1" applyProtection="1" pivotButton="0" quotePrefix="0" xfId="0">
      <alignment horizontal="right"/>
      <protection locked="0" hidden="0"/>
    </xf>
    <xf numFmtId="39" fontId="6" fillId="32" borderId="147" applyAlignment="1" applyProtection="1" pivotButton="0" quotePrefix="0" xfId="0">
      <alignment horizontal="right"/>
      <protection locked="0" hidden="0"/>
    </xf>
    <xf numFmtId="4" fontId="4" fillId="27" borderId="108" applyAlignment="1" pivotButton="0" quotePrefix="1" xfId="0">
      <alignment horizontal="center"/>
    </xf>
    <xf numFmtId="3" fontId="6" fillId="27" borderId="68" applyAlignment="1" pivotButton="0" quotePrefix="1" xfId="0">
      <alignment horizontal="center"/>
    </xf>
    <xf numFmtId="3" fontId="6" fillId="27" borderId="112" applyAlignment="1" pivotButton="0" quotePrefix="1" xfId="0">
      <alignment horizontal="center"/>
    </xf>
    <xf numFmtId="4" fontId="4" fillId="27" borderId="58" applyAlignment="1" pivotButton="0" quotePrefix="1" xfId="0">
      <alignment horizontal="center" vertical="center"/>
    </xf>
    <xf numFmtId="3" fontId="117" fillId="15" borderId="0" pivotButton="0" quotePrefix="0" xfId="0"/>
    <xf numFmtId="1" fontId="10" fillId="3" borderId="7" applyAlignment="1" pivotButton="0" quotePrefix="0" xfId="0">
      <alignment horizontal="right"/>
    </xf>
    <xf numFmtId="0" fontId="112" fillId="2" borderId="8" applyAlignment="1" pivotButton="0" quotePrefix="0" xfId="0">
      <alignment horizontal="center"/>
    </xf>
    <xf numFmtId="0" fontId="146" fillId="0" borderId="0" applyAlignment="1" pivotButton="0" quotePrefix="0" xfId="0">
      <alignment vertical="top"/>
    </xf>
    <xf numFmtId="0" fontId="146" fillId="0" borderId="0" applyAlignment="1" pivotButton="0" quotePrefix="0" xfId="0">
      <alignment horizontal="center" vertical="center"/>
    </xf>
    <xf numFmtId="4" fontId="8" fillId="20" borderId="1" applyProtection="1" pivotButton="0" quotePrefix="0" xfId="0">
      <protection locked="0" hidden="0"/>
    </xf>
    <xf numFmtId="39" fontId="110" fillId="0" borderId="0" pivotButton="0" quotePrefix="0" xfId="0"/>
    <xf numFmtId="4" fontId="6" fillId="0" borderId="0" applyAlignment="1" pivotButton="0" quotePrefix="0" xfId="0">
      <alignment vertical="top"/>
    </xf>
    <xf numFmtId="178" fontId="9" fillId="20" borderId="1" applyProtection="1" pivotButton="0" quotePrefix="0" xfId="0">
      <protection locked="0" hidden="0"/>
    </xf>
    <xf numFmtId="37" fontId="9" fillId="24" borderId="0" applyProtection="1" pivotButton="0" quotePrefix="0" xfId="0">
      <protection locked="0" hidden="0"/>
    </xf>
    <xf numFmtId="2" fontId="9" fillId="20" borderId="1" applyProtection="1" pivotButton="0" quotePrefix="0" xfId="0">
      <protection locked="0" hidden="0"/>
    </xf>
    <xf numFmtId="199" fontId="126" fillId="24" borderId="0" applyProtection="1" pivotButton="0" quotePrefix="0" xfId="0">
      <protection locked="0" hidden="0"/>
    </xf>
    <xf numFmtId="0" fontId="129" fillId="2" borderId="0" pivotButton="0" quotePrefix="0" xfId="0"/>
    <xf numFmtId="0" fontId="5" fillId="2" borderId="0" applyAlignment="1" pivotButton="0" quotePrefix="0" xfId="0">
      <alignment horizontal="left" vertical="top" wrapText="1"/>
    </xf>
    <xf numFmtId="0" fontId="5" fillId="2" borderId="0" applyAlignment="1" pivotButton="0" quotePrefix="0" xfId="0">
      <alignment vertical="top" wrapText="1"/>
    </xf>
    <xf numFmtId="0" fontId="5" fillId="2" borderId="0" applyAlignment="1" pivotButton="0" quotePrefix="0" xfId="0">
      <alignment vertical="top"/>
    </xf>
    <xf numFmtId="0" fontId="4" fillId="2" borderId="0" applyAlignment="1" applyProtection="1" pivotButton="0" quotePrefix="0" xfId="0">
      <alignment horizontal="center" vertical="center"/>
      <protection locked="0" hidden="0"/>
    </xf>
    <xf numFmtId="3" fontId="0" fillId="15" borderId="0" applyAlignment="1" applyProtection="1" pivotButton="0" quotePrefix="0" xfId="0">
      <alignment horizontal="right"/>
      <protection locked="1" hidden="1"/>
    </xf>
    <xf numFmtId="1" fontId="15" fillId="0" borderId="1" applyAlignment="1" pivotButton="0" quotePrefix="0" xfId="0">
      <alignment horizontal="center"/>
    </xf>
    <xf numFmtId="37" fontId="15" fillId="14" borderId="8" pivotButton="0" quotePrefix="0" xfId="0"/>
    <xf numFmtId="0" fontId="15" fillId="14" borderId="8" pivotButton="0" quotePrefix="0" xfId="0"/>
    <xf numFmtId="0" fontId="15" fillId="15" borderId="4" applyAlignment="1" pivotButton="0" quotePrefix="1" xfId="0">
      <alignment horizontal="center"/>
    </xf>
    <xf numFmtId="1" fontId="15" fillId="0" borderId="4" applyAlignment="1" pivotButton="0" quotePrefix="0" xfId="0">
      <alignment horizontal="center"/>
    </xf>
    <xf numFmtId="3" fontId="4" fillId="27" borderId="12" pivotButton="0" quotePrefix="0" xfId="0"/>
    <xf numFmtId="0" fontId="4" fillId="15" borderId="0" applyAlignment="1" pivotButton="0" quotePrefix="0" xfId="0">
      <alignment horizontal="center" vertical="top"/>
    </xf>
    <xf numFmtId="0" fontId="0" fillId="15" borderId="3" applyAlignment="1" pivotButton="0" quotePrefix="0" xfId="0">
      <alignment horizontal="right"/>
    </xf>
    <xf numFmtId="0" fontId="112" fillId="15" borderId="24" pivotButton="0" quotePrefix="0" xfId="0"/>
    <xf numFmtId="0" fontId="0" fillId="15" borderId="109" applyAlignment="1" pivotButton="0" quotePrefix="0" xfId="0">
      <alignment horizontal="center"/>
    </xf>
    <xf numFmtId="199" fontId="6" fillId="15" borderId="66" applyAlignment="1" pivotButton="0" quotePrefix="0" xfId="0">
      <alignment horizontal="center"/>
    </xf>
    <xf numFmtId="0" fontId="0" fillId="15" borderId="46" applyAlignment="1" pivotButton="0" quotePrefix="0" xfId="0">
      <alignment horizontal="center"/>
    </xf>
    <xf numFmtId="199" fontId="6" fillId="15" borderId="58" applyAlignment="1" pivotButton="0" quotePrefix="0" xfId="0">
      <alignment horizontal="center"/>
    </xf>
    <xf numFmtId="199" fontId="0" fillId="15" borderId="58" applyAlignment="1" pivotButton="0" quotePrefix="0" xfId="0">
      <alignment horizontal="center"/>
    </xf>
    <xf numFmtId="0" fontId="15" fillId="15" borderId="13" applyAlignment="1" pivotButton="0" quotePrefix="1" xfId="0">
      <alignment horizontal="center"/>
    </xf>
    <xf numFmtId="0" fontId="4" fillId="15" borderId="175" applyAlignment="1" pivotButton="0" quotePrefix="0" xfId="0">
      <alignment horizontal="center"/>
    </xf>
    <xf numFmtId="170" fontId="110" fillId="15" borderId="0" applyAlignment="1" pivotButton="0" quotePrefix="0" xfId="0">
      <alignment horizontal="center"/>
    </xf>
    <xf numFmtId="0" fontId="15" fillId="15" borderId="16" applyAlignment="1" pivotButton="0" quotePrefix="0" xfId="0">
      <alignment vertical="top"/>
    </xf>
    <xf numFmtId="0" fontId="14" fillId="15" borderId="16" applyAlignment="1" pivotButton="0" quotePrefix="0" xfId="0">
      <alignment horizontal="right"/>
    </xf>
    <xf numFmtId="0" fontId="47" fillId="15" borderId="16" applyAlignment="1" pivotButton="0" quotePrefix="0" xfId="0">
      <alignment horizontal="right"/>
    </xf>
    <xf numFmtId="0" fontId="0" fillId="15" borderId="242" applyAlignment="1" pivotButton="0" quotePrefix="0" xfId="0">
      <alignment horizontal="center"/>
    </xf>
    <xf numFmtId="199" fontId="0" fillId="15" borderId="76" applyAlignment="1" pivotButton="0" quotePrefix="0" xfId="0">
      <alignment horizontal="center"/>
    </xf>
    <xf numFmtId="0" fontId="0" fillId="0" borderId="50" applyAlignment="1" pivotButton="0" quotePrefix="0" xfId="0">
      <alignment horizontal="center" vertical="center"/>
    </xf>
    <xf numFmtId="199" fontId="0" fillId="0" borderId="110" applyAlignment="1" pivotButton="0" quotePrefix="0" xfId="0">
      <alignment vertical="center"/>
    </xf>
    <xf numFmtId="37" fontId="4" fillId="15" borderId="3" applyAlignment="1" applyProtection="1" pivotButton="0" quotePrefix="0" xfId="0">
      <alignment wrapText="1"/>
      <protection locked="0" hidden="0"/>
    </xf>
    <xf numFmtId="4" fontId="6" fillId="0" borderId="0" applyAlignment="1" pivotButton="0" quotePrefix="0" xfId="0">
      <alignment horizontal="left" vertical="top" indent="1"/>
    </xf>
    <xf numFmtId="4" fontId="6" fillId="15" borderId="0" applyAlignment="1" pivotButton="0" quotePrefix="0" xfId="0">
      <alignment horizontal="left" vertical="top" indent="1"/>
    </xf>
    <xf numFmtId="1" fontId="12" fillId="16" borderId="54" applyAlignment="1" applyProtection="1" pivotButton="0" quotePrefix="0" xfId="0">
      <alignment horizontal="center" vertical="center"/>
      <protection locked="0" hidden="0"/>
    </xf>
    <xf numFmtId="1" fontId="12" fillId="16" borderId="54" applyAlignment="1" applyProtection="1" pivotButton="0" quotePrefix="0" xfId="0">
      <alignment horizontal="center"/>
      <protection locked="0" hidden="0"/>
    </xf>
    <xf numFmtId="37" fontId="10" fillId="15" borderId="0" pivotButton="0" quotePrefix="0" xfId="0"/>
    <xf numFmtId="37" fontId="10" fillId="15" borderId="44" pivotButton="0" quotePrefix="0" xfId="0"/>
    <xf numFmtId="0" fontId="6" fillId="2" borderId="7" applyAlignment="1" pivotButton="0" quotePrefix="0" xfId="0">
      <alignment horizontal="left"/>
    </xf>
    <xf numFmtId="0" fontId="8" fillId="15" borderId="56" applyAlignment="1" pivotButton="0" quotePrefix="0" xfId="0">
      <alignment horizontal="left" vertical="center"/>
    </xf>
    <xf numFmtId="0" fontId="8" fillId="15" borderId="3" applyAlignment="1" pivotButton="0" quotePrefix="0" xfId="0">
      <alignment horizontal="left" vertical="top"/>
    </xf>
    <xf numFmtId="0" fontId="8" fillId="15" borderId="7" applyAlignment="1" pivotButton="0" quotePrefix="0" xfId="0">
      <alignment horizontal="left" vertical="center"/>
    </xf>
    <xf numFmtId="0" fontId="4" fillId="15" borderId="0" applyAlignment="1" pivotButton="0" quotePrefix="0" xfId="0">
      <alignment vertical="top" wrapText="1"/>
    </xf>
    <xf numFmtId="0" fontId="0" fillId="21" borderId="15" pivotButton="0" quotePrefix="0" xfId="0"/>
    <xf numFmtId="0" fontId="4" fillId="21" borderId="175" applyAlignment="1" pivotButton="0" quotePrefix="0" xfId="0">
      <alignment horizontal="center"/>
    </xf>
    <xf numFmtId="0" fontId="375" fillId="15" borderId="0" applyAlignment="1" pivotButton="0" quotePrefix="0" xfId="0">
      <alignment vertical="center"/>
    </xf>
    <xf numFmtId="169" fontId="265" fillId="15" borderId="0" applyAlignment="1" applyProtection="1" pivotButton="0" quotePrefix="0" xfId="0">
      <alignment horizontal="left" vertical="center" indent="1"/>
      <protection locked="1" hidden="1"/>
    </xf>
    <xf numFmtId="37" fontId="9" fillId="26" borderId="9" applyAlignment="1" pivotButton="0" quotePrefix="0" xfId="0">
      <alignment horizontal="right"/>
    </xf>
    <xf numFmtId="0" fontId="9" fillId="0" borderId="0" applyAlignment="1" pivotButton="0" quotePrefix="0" xfId="0">
      <alignment horizontal="center"/>
    </xf>
    <xf numFmtId="0" fontId="10" fillId="15" borderId="4" applyAlignment="1" pivotButton="0" quotePrefix="0" xfId="0">
      <alignment horizontal="center" vertical="center"/>
    </xf>
    <xf numFmtId="0" fontId="4" fillId="15" borderId="23" applyAlignment="1" pivotButton="0" quotePrefix="0" xfId="0">
      <alignment horizontal="left" vertical="top" indent="1"/>
    </xf>
    <xf numFmtId="0" fontId="15" fillId="15" borderId="23" applyAlignment="1" pivotButton="0" quotePrefix="0" xfId="0">
      <alignment horizontal="left" vertical="center" indent="1"/>
    </xf>
    <xf numFmtId="0" fontId="110" fillId="15" borderId="19" pivotButton="0" quotePrefix="0" xfId="0"/>
    <xf numFmtId="0" fontId="4" fillId="15" borderId="5" applyAlignment="1" pivotButton="0" quotePrefix="0" xfId="0">
      <alignment horizontal="left" vertical="top" indent="1"/>
    </xf>
    <xf numFmtId="0" fontId="12" fillId="15" borderId="5" applyAlignment="1" pivotButton="0" quotePrefix="0" xfId="0">
      <alignment horizontal="left" indent="1"/>
    </xf>
    <xf numFmtId="0" fontId="110" fillId="0" borderId="5" pivotButton="0" quotePrefix="0" xfId="0"/>
    <xf numFmtId="42" fontId="6" fillId="0" borderId="0" pivotButton="0" quotePrefix="0" xfId="0"/>
    <xf numFmtId="0" fontId="8" fillId="15" borderId="5" applyAlignment="1" pivotButton="0" quotePrefix="0" xfId="0">
      <alignment horizontal="left" indent="1"/>
    </xf>
    <xf numFmtId="0" fontId="10" fillId="15" borderId="5" applyAlignment="1" pivotButton="0" quotePrefix="0" xfId="0">
      <alignment horizontal="left" indent="1"/>
    </xf>
    <xf numFmtId="0" fontId="0" fillId="24" borderId="5" pivotButton="0" quotePrefix="0" xfId="0"/>
    <xf numFmtId="0" fontId="4" fillId="24" borderId="23" applyAlignment="1" pivotButton="0" quotePrefix="1" xfId="0">
      <alignment horizontal="right"/>
    </xf>
    <xf numFmtId="0" fontId="10" fillId="24" borderId="7" applyAlignment="1" pivotButton="0" quotePrefix="0" xfId="0">
      <alignment horizontal="left" vertical="top" wrapText="1"/>
    </xf>
    <xf numFmtId="0" fontId="12" fillId="24" borderId="7" applyAlignment="1" pivotButton="0" quotePrefix="0" xfId="0">
      <alignment horizontal="center" wrapText="1"/>
    </xf>
    <xf numFmtId="0" fontId="10" fillId="24" borderId="7" applyAlignment="1" pivotButton="0" quotePrefix="0" xfId="0">
      <alignment horizontal="right" vertical="top" wrapText="1"/>
    </xf>
    <xf numFmtId="0" fontId="12" fillId="24" borderId="27" applyAlignment="1" pivotButton="0" quotePrefix="0" xfId="0">
      <alignment horizontal="center" wrapText="1"/>
    </xf>
    <xf numFmtId="0" fontId="10" fillId="24" borderId="7" applyAlignment="1" pivotButton="0" quotePrefix="0" xfId="0">
      <alignment horizontal="center" vertical="top" wrapText="1"/>
    </xf>
    <xf numFmtId="0" fontId="126" fillId="24" borderId="7" pivotButton="0" quotePrefix="0" xfId="0"/>
    <xf numFmtId="0" fontId="126" fillId="24" borderId="0" pivotButton="0" quotePrefix="0" xfId="0"/>
    <xf numFmtId="0" fontId="6" fillId="0" borderId="109" applyAlignment="1" pivotButton="0" quotePrefix="0" xfId="0">
      <alignment horizontal="center"/>
    </xf>
    <xf numFmtId="42" fontId="6" fillId="0" borderId="66" pivotButton="0" quotePrefix="0" xfId="0"/>
    <xf numFmtId="0" fontId="0" fillId="5" borderId="0" applyAlignment="1" pivotButton="0" quotePrefix="0" xfId="0">
      <alignment horizontal="center"/>
    </xf>
    <xf numFmtId="0" fontId="172" fillId="5" borderId="0" applyAlignment="1" pivotButton="0" quotePrefix="0" xfId="0">
      <alignment horizontal="center"/>
    </xf>
    <xf numFmtId="0" fontId="4" fillId="24" borderId="5" applyAlignment="1" pivotButton="0" quotePrefix="1" xfId="0">
      <alignment horizontal="right"/>
    </xf>
    <xf numFmtId="0" fontId="4" fillId="24" borderId="0" applyAlignment="1" pivotButton="0" quotePrefix="1" xfId="0">
      <alignment horizontal="right"/>
    </xf>
    <xf numFmtId="42" fontId="6" fillId="0" borderId="58" pivotButton="0" quotePrefix="0" xfId="0"/>
    <xf numFmtId="0" fontId="4" fillId="2" borderId="75" pivotButton="0" quotePrefix="0" xfId="0"/>
    <xf numFmtId="3" fontId="110" fillId="0" borderId="0" applyAlignment="1" pivotButton="0" quotePrefix="0" xfId="0">
      <alignment horizontal="center"/>
    </xf>
    <xf numFmtId="0" fontId="4" fillId="3" borderId="75" pivotButton="0" quotePrefix="0" xfId="0"/>
    <xf numFmtId="3" fontId="0" fillId="0" borderId="0" applyAlignment="1" pivotButton="0" quotePrefix="0" xfId="0">
      <alignment horizontal="center"/>
    </xf>
    <xf numFmtId="3" fontId="12" fillId="27" borderId="1" pivotButton="0" quotePrefix="0" xfId="0"/>
    <xf numFmtId="0" fontId="16" fillId="3" borderId="0" pivotButton="0" quotePrefix="0" xfId="0"/>
    <xf numFmtId="0" fontId="16" fillId="3" borderId="75" pivotButton="0" quotePrefix="0" xfId="0"/>
    <xf numFmtId="1" fontId="10" fillId="3" borderId="100" applyAlignment="1" pivotButton="0" quotePrefix="0" xfId="0">
      <alignment horizontal="center" vertical="center"/>
    </xf>
    <xf numFmtId="1" fontId="10" fillId="3" borderId="0" applyAlignment="1" pivotButton="0" quotePrefix="0" xfId="0">
      <alignment horizontal="left"/>
    </xf>
    <xf numFmtId="0" fontId="6" fillId="0" borderId="50" applyAlignment="1" pivotButton="0" quotePrefix="0" xfId="0">
      <alignment horizontal="center"/>
    </xf>
    <xf numFmtId="42" fontId="6" fillId="0" borderId="110" pivotButton="0" quotePrefix="0" xfId="0"/>
    <xf numFmtId="0" fontId="16" fillId="3" borderId="13" applyAlignment="1" pivotButton="0" quotePrefix="0" xfId="0">
      <alignment vertical="top"/>
    </xf>
    <xf numFmtId="49" fontId="10" fillId="3" borderId="33" applyAlignment="1" pivotButton="0" quotePrefix="0" xfId="0">
      <alignment horizontal="center"/>
    </xf>
    <xf numFmtId="4" fontId="10" fillId="3" borderId="72" applyAlignment="1" pivotButton="0" quotePrefix="0" xfId="0">
      <alignment horizontal="center"/>
    </xf>
    <xf numFmtId="4" fontId="10" fillId="3" borderId="13" applyAlignment="1" pivotButton="0" quotePrefix="0" xfId="0">
      <alignment vertical="center"/>
    </xf>
    <xf numFmtId="3" fontId="4" fillId="2" borderId="0" pivotButton="0" quotePrefix="0" xfId="0"/>
    <xf numFmtId="0" fontId="10" fillId="24" borderId="0" applyAlignment="1" pivotButton="0" quotePrefix="0" xfId="0">
      <alignment horizontal="left" vertical="top" wrapText="1"/>
    </xf>
    <xf numFmtId="3" fontId="116" fillId="0" borderId="0" applyAlignment="1" pivotButton="0" quotePrefix="0" xfId="0">
      <alignment horizontal="right"/>
    </xf>
    <xf numFmtId="0" fontId="0" fillId="35" borderId="14" pivotButton="0" quotePrefix="0" xfId="0"/>
    <xf numFmtId="0" fontId="0" fillId="5" borderId="15" applyAlignment="1" pivotButton="0" quotePrefix="0" xfId="0">
      <alignment horizontal="center"/>
    </xf>
    <xf numFmtId="4" fontId="167" fillId="3" borderId="0" applyAlignment="1" pivotButton="0" quotePrefix="0" xfId="0">
      <alignment horizontal="center"/>
    </xf>
    <xf numFmtId="3" fontId="0" fillId="8" borderId="0" applyAlignment="1" pivotButton="0" quotePrefix="0" xfId="0">
      <alignment horizontal="center"/>
    </xf>
    <xf numFmtId="3" fontId="9" fillId="28" borderId="1" pivotButton="0" quotePrefix="0" xfId="0"/>
    <xf numFmtId="0" fontId="4" fillId="36" borderId="6" pivotButton="0" quotePrefix="0" xfId="0"/>
    <xf numFmtId="3" fontId="116" fillId="3" borderId="0" pivotButton="0" quotePrefix="0" xfId="0"/>
    <xf numFmtId="0" fontId="8" fillId="3" borderId="0" applyAlignment="1" pivotButton="0" quotePrefix="0" xfId="0">
      <alignment wrapText="1"/>
    </xf>
    <xf numFmtId="0" fontId="0" fillId="5" borderId="6" applyAlignment="1" pivotButton="0" quotePrefix="0" xfId="0">
      <alignment horizontal="center"/>
    </xf>
    <xf numFmtId="198" fontId="116" fillId="3" borderId="0" pivotButton="0" quotePrefix="0" xfId="0"/>
    <xf numFmtId="0" fontId="116" fillId="0" borderId="0" applyAlignment="1" pivotButton="0" quotePrefix="0" xfId="0">
      <alignment horizontal="right"/>
    </xf>
    <xf numFmtId="4" fontId="9" fillId="3" borderId="1" applyAlignment="1" pivotButton="0" quotePrefix="0" xfId="0">
      <alignment horizontal="right"/>
    </xf>
    <xf numFmtId="3" fontId="9" fillId="28" borderId="9" pivotButton="0" quotePrefix="0" xfId="0"/>
    <xf numFmtId="4" fontId="116" fillId="0" borderId="0" applyAlignment="1" pivotButton="0" quotePrefix="0" xfId="0">
      <alignment horizontal="center"/>
    </xf>
    <xf numFmtId="0" fontId="4" fillId="24" borderId="21" applyAlignment="1" pivotButton="0" quotePrefix="0" xfId="0">
      <alignment horizontal="left"/>
    </xf>
    <xf numFmtId="0" fontId="0" fillId="24" borderId="4" pivotButton="0" quotePrefix="0" xfId="0"/>
    <xf numFmtId="0" fontId="4" fillId="35" borderId="0" pivotButton="0" quotePrefix="0" xfId="0"/>
    <xf numFmtId="0" fontId="4" fillId="35" borderId="8" pivotButton="0" quotePrefix="0" xfId="0"/>
    <xf numFmtId="3" fontId="9" fillId="14" borderId="6" pivotButton="0" quotePrefix="0" xfId="0"/>
    <xf numFmtId="4" fontId="112" fillId="14" borderId="30" applyAlignment="1" pivotButton="0" quotePrefix="0" xfId="0">
      <alignment horizontal="right" wrapText="1"/>
    </xf>
    <xf numFmtId="0" fontId="4" fillId="35" borderId="0" applyAlignment="1" pivotButton="0" quotePrefix="0" xfId="0">
      <alignment horizontal="center"/>
    </xf>
    <xf numFmtId="0" fontId="4" fillId="35" borderId="24" applyAlignment="1" pivotButton="0" quotePrefix="0" xfId="0">
      <alignment horizontal="center"/>
    </xf>
    <xf numFmtId="3" fontId="112" fillId="15" borderId="3" applyAlignment="1" pivotButton="0" quotePrefix="0" xfId="0">
      <alignment horizontal="right" wrapText="1"/>
    </xf>
    <xf numFmtId="3" fontId="69" fillId="2" borderId="0" applyAlignment="1" pivotButton="0" quotePrefix="0" xfId="0">
      <alignment horizontal="left"/>
    </xf>
    <xf numFmtId="39" fontId="116" fillId="0" borderId="0" pivotButton="0" quotePrefix="0" xfId="0"/>
    <xf numFmtId="0" fontId="4" fillId="15" borderId="23" applyAlignment="1" pivotButton="0" quotePrefix="0" xfId="0">
      <alignment horizontal="right"/>
    </xf>
    <xf numFmtId="0" fontId="15" fillId="15" borderId="5" applyAlignment="1" pivotButton="0" quotePrefix="0" xfId="0">
      <alignment horizontal="left" indent="1"/>
    </xf>
    <xf numFmtId="0" fontId="4" fillId="36" borderId="6" applyAlignment="1" pivotButton="0" quotePrefix="0" xfId="0">
      <alignment horizontal="center"/>
    </xf>
    <xf numFmtId="0" fontId="112" fillId="15" borderId="3" applyAlignment="1" pivotButton="0" quotePrefix="0" xfId="0">
      <alignment horizontal="right" vertical="center" wrapText="1"/>
    </xf>
    <xf numFmtId="0" fontId="4" fillId="15" borderId="21" applyAlignment="1" pivotButton="0" quotePrefix="0" xfId="0">
      <alignment horizontal="right"/>
    </xf>
    <xf numFmtId="0" fontId="4" fillId="15" borderId="6" applyAlignment="1" pivotButton="0" quotePrefix="0" xfId="0">
      <alignment horizontal="center" vertical="center"/>
    </xf>
    <xf numFmtId="3" fontId="9" fillId="28" borderId="10" pivotButton="0" quotePrefix="0" xfId="0"/>
    <xf numFmtId="4" fontId="112" fillId="3" borderId="3" applyAlignment="1" pivotButton="0" quotePrefix="0" xfId="0">
      <alignment horizontal="right"/>
    </xf>
    <xf numFmtId="3" fontId="9" fillId="26" borderId="9" pivotButton="0" quotePrefix="0" xfId="0"/>
    <xf numFmtId="4" fontId="116" fillId="14" borderId="3" applyAlignment="1" pivotButton="0" quotePrefix="0" xfId="0">
      <alignment horizontal="right"/>
    </xf>
    <xf numFmtId="39" fontId="8" fillId="3" borderId="15" pivotButton="0" quotePrefix="0" xfId="0"/>
    <xf numFmtId="4" fontId="116" fillId="3" borderId="3" applyAlignment="1" pivotButton="0" quotePrefix="0" xfId="0">
      <alignment horizontal="right"/>
    </xf>
    <xf numFmtId="3" fontId="180" fillId="8" borderId="0" applyAlignment="1" pivotButton="0" quotePrefix="0" xfId="0">
      <alignment horizontal="left" vertical="center"/>
    </xf>
    <xf numFmtId="0" fontId="9" fillId="24" borderId="5" applyAlignment="1" pivotButton="0" quotePrefix="0" xfId="0">
      <alignment horizontal="right"/>
    </xf>
    <xf numFmtId="4" fontId="359" fillId="3" borderId="3" applyAlignment="1" pivotButton="0" quotePrefix="0" xfId="0">
      <alignment horizontal="center"/>
    </xf>
    <xf numFmtId="4" fontId="358" fillId="3" borderId="3" applyAlignment="1" pivotButton="0" quotePrefix="0" xfId="0">
      <alignment horizontal="center"/>
    </xf>
    <xf numFmtId="39" fontId="8" fillId="3" borderId="6" pivotButton="0" quotePrefix="0" xfId="0"/>
    <xf numFmtId="4" fontId="358" fillId="3" borderId="3" pivotButton="0" quotePrefix="0" xfId="0"/>
    <xf numFmtId="0" fontId="5" fillId="0" borderId="0" applyAlignment="1" pivotButton="0" quotePrefix="0" xfId="0">
      <alignment horizontal="center"/>
    </xf>
    <xf numFmtId="15" fontId="125" fillId="0" borderId="0" applyAlignment="1" pivotButton="0" quotePrefix="0" xfId="0">
      <alignment horizontal="center"/>
    </xf>
    <xf numFmtId="0" fontId="4" fillId="35" borderId="8" applyAlignment="1" pivotButton="0" quotePrefix="0" xfId="0">
      <alignment horizontal="center"/>
    </xf>
    <xf numFmtId="3" fontId="9" fillId="14" borderId="15" pivotButton="0" quotePrefix="0" xfId="0"/>
    <xf numFmtId="4" fontId="8" fillId="3" borderId="3" pivotButton="0" quotePrefix="0" xfId="0"/>
    <xf numFmtId="0" fontId="4" fillId="35" borderId="24" pivotButton="0" quotePrefix="0" xfId="0"/>
    <xf numFmtId="4" fontId="116" fillId="3" borderId="3" pivotButton="0" quotePrefix="0" xfId="0"/>
    <xf numFmtId="4" fontId="180" fillId="3" borderId="3" pivotButton="0" quotePrefix="0" xfId="0"/>
    <xf numFmtId="0" fontId="4" fillId="24" borderId="21" applyAlignment="1" pivotButton="0" quotePrefix="0" xfId="0">
      <alignment horizontal="right"/>
    </xf>
    <xf numFmtId="0" fontId="126" fillId="24" borderId="4" pivotButton="0" quotePrefix="0" xfId="0"/>
    <xf numFmtId="0" fontId="23" fillId="15" borderId="7" pivotButton="0" quotePrefix="0" xfId="0"/>
    <xf numFmtId="37" fontId="4" fillId="27" borderId="2" applyAlignment="1" pivotButton="0" quotePrefix="0" xfId="0">
      <alignment horizontal="right"/>
    </xf>
    <xf numFmtId="0" fontId="4" fillId="15" borderId="5" applyAlignment="1" pivotButton="0" quotePrefix="0" xfId="0">
      <alignment horizontal="right"/>
    </xf>
    <xf numFmtId="0" fontId="10" fillId="15" borderId="0" applyAlignment="1" pivotButton="0" quotePrefix="0" xfId="0">
      <alignment vertical="top" wrapText="1"/>
    </xf>
    <xf numFmtId="0" fontId="357" fillId="24" borderId="0" applyAlignment="1" pivotButton="0" quotePrefix="0" xfId="0">
      <alignment horizontal="right" vertical="center"/>
    </xf>
    <xf numFmtId="0" fontId="4" fillId="24" borderId="5" applyAlignment="1" pivotButton="0" quotePrefix="0" xfId="0">
      <alignment horizontal="left" indent="1"/>
    </xf>
    <xf numFmtId="0" fontId="110" fillId="24" borderId="0" pivotButton="0" quotePrefix="0" xfId="0"/>
    <xf numFmtId="0" fontId="4" fillId="36" borderId="12" pivotButton="0" quotePrefix="0" xfId="0"/>
    <xf numFmtId="4" fontId="167" fillId="3" borderId="3" applyAlignment="1" pivotButton="0" quotePrefix="0" xfId="0">
      <alignment horizontal="center"/>
    </xf>
    <xf numFmtId="3" fontId="9" fillId="8" borderId="0" applyAlignment="1" pivotButton="0" quotePrefix="0" xfId="0">
      <alignment horizontal="left"/>
    </xf>
    <xf numFmtId="0" fontId="360" fillId="24" borderId="0" applyAlignment="1" pivotButton="0" quotePrefix="0" xfId="0">
      <alignment horizontal="right" vertical="top" wrapText="1"/>
    </xf>
    <xf numFmtId="0" fontId="10" fillId="24" borderId="0" applyAlignment="1" pivotButton="0" quotePrefix="0" xfId="0">
      <alignment horizontal="center" vertical="top" wrapText="1"/>
    </xf>
    <xf numFmtId="37" fontId="116" fillId="24" borderId="0" pivotButton="0" quotePrefix="0" xfId="0"/>
    <xf numFmtId="4" fontId="119" fillId="3" borderId="3" applyAlignment="1" pivotButton="0" quotePrefix="0" xfId="0">
      <alignment horizontal="center"/>
    </xf>
    <xf numFmtId="0" fontId="9" fillId="35" borderId="0" applyAlignment="1" pivotButton="0" quotePrefix="0" xfId="0">
      <alignment horizontal="right"/>
    </xf>
    <xf numFmtId="3" fontId="122" fillId="8" borderId="0" applyAlignment="1" pivotButton="0" quotePrefix="0" xfId="0">
      <alignment horizontal="left"/>
    </xf>
    <xf numFmtId="0" fontId="4" fillId="3" borderId="8" pivotButton="0" quotePrefix="0" xfId="0"/>
    <xf numFmtId="3" fontId="11" fillId="8" borderId="0" applyAlignment="1" pivotButton="0" quotePrefix="0" xfId="0">
      <alignment horizontal="center"/>
    </xf>
    <xf numFmtId="37" fontId="9" fillId="26" borderId="1" pivotButton="0" quotePrefix="0" xfId="0"/>
    <xf numFmtId="0" fontId="11" fillId="5" borderId="0" pivotButton="0" quotePrefix="0" xfId="0"/>
    <xf numFmtId="0" fontId="11" fillId="3" borderId="1" pivotButton="0" quotePrefix="0" xfId="0"/>
    <xf numFmtId="0" fontId="9" fillId="19" borderId="0" applyAlignment="1" pivotButton="0" quotePrefix="0" xfId="0">
      <alignment horizontal="center" vertical="top"/>
    </xf>
    <xf numFmtId="0" fontId="6" fillId="3" borderId="8" pivotButton="0" quotePrefix="0" xfId="0"/>
    <xf numFmtId="4" fontId="199" fillId="3" borderId="30" applyAlignment="1" pivotButton="0" quotePrefix="0" xfId="0">
      <alignment vertical="center" wrapText="1"/>
    </xf>
    <xf numFmtId="0" fontId="9" fillId="24" borderId="5" applyAlignment="1" pivotButton="0" quotePrefix="1" xfId="0">
      <alignment horizontal="right"/>
    </xf>
    <xf numFmtId="4" fontId="199" fillId="3" borderId="3" applyAlignment="1" pivotButton="0" quotePrefix="0" xfId="0">
      <alignment vertical="center" wrapText="1"/>
    </xf>
    <xf numFmtId="0" fontId="0" fillId="24" borderId="0" applyAlignment="1" pivotButton="0" quotePrefix="0" xfId="0">
      <alignment horizontal="right"/>
    </xf>
    <xf numFmtId="199" fontId="0" fillId="24" borderId="0" applyAlignment="1" pivotButton="0" quotePrefix="0" xfId="0">
      <alignment horizontal="right"/>
    </xf>
    <xf numFmtId="0" fontId="6" fillId="24" borderId="0" applyAlignment="1" pivotButton="0" quotePrefix="0" xfId="0">
      <alignment horizontal="center"/>
    </xf>
    <xf numFmtId="0" fontId="126" fillId="24" borderId="0" applyAlignment="1" pivotButton="0" quotePrefix="0" xfId="0">
      <alignment horizontal="right"/>
    </xf>
    <xf numFmtId="10" fontId="6" fillId="24" borderId="0" pivotButton="0" quotePrefix="0" xfId="0"/>
    <xf numFmtId="0" fontId="6" fillId="24" borderId="0" applyAlignment="1" pivotButton="0" quotePrefix="0" xfId="0">
      <alignment horizontal="right"/>
    </xf>
    <xf numFmtId="0" fontId="208" fillId="3" borderId="0" pivotButton="0" quotePrefix="0" xfId="0"/>
    <xf numFmtId="37" fontId="116" fillId="3" borderId="3" pivotButton="0" quotePrefix="0" xfId="0"/>
    <xf numFmtId="3" fontId="6" fillId="2" borderId="0" applyAlignment="1" pivotButton="0" quotePrefix="0" xfId="0">
      <alignment horizontal="center" vertical="top"/>
    </xf>
    <xf numFmtId="0" fontId="8" fillId="24" borderId="5" applyAlignment="1" pivotButton="0" quotePrefix="0" xfId="0">
      <alignment vertical="center"/>
    </xf>
    <xf numFmtId="0" fontId="146" fillId="24" borderId="0" pivotButton="0" quotePrefix="0" xfId="0"/>
    <xf numFmtId="4" fontId="9" fillId="3" borderId="24" applyAlignment="1" pivotButton="0" quotePrefix="0" xfId="0">
      <alignment horizontal="right"/>
    </xf>
    <xf numFmtId="0" fontId="4" fillId="36" borderId="3" pivotButton="0" quotePrefix="0" xfId="0"/>
    <xf numFmtId="0" fontId="112" fillId="3" borderId="4" applyAlignment="1" pivotButton="0" quotePrefix="0" xfId="0">
      <alignment vertical="center"/>
    </xf>
    <xf numFmtId="0" fontId="4" fillId="3" borderId="4" applyAlignment="1" pivotButton="0" quotePrefix="0" xfId="0">
      <alignment vertical="center"/>
    </xf>
    <xf numFmtId="0" fontId="9" fillId="3" borderId="4" pivotButton="0" quotePrefix="0" xfId="0"/>
    <xf numFmtId="4" fontId="9" fillId="3" borderId="22" applyAlignment="1" pivotButton="0" quotePrefix="0" xfId="0">
      <alignment horizontal="right"/>
    </xf>
    <xf numFmtId="0" fontId="4" fillId="36" borderId="69" pivotButton="0" quotePrefix="0" xfId="0"/>
    <xf numFmtId="4" fontId="9" fillId="2" borderId="0" applyAlignment="1" pivotButton="0" quotePrefix="0" xfId="0">
      <alignment horizontal="right"/>
    </xf>
    <xf numFmtId="0" fontId="4" fillId="21" borderId="0" pivotButton="0" quotePrefix="0" xfId="0"/>
    <xf numFmtId="4" fontId="8" fillId="21" borderId="0" pivotButton="0" quotePrefix="0" xfId="0"/>
    <xf numFmtId="0" fontId="4" fillId="21" borderId="0" applyAlignment="1" pivotButton="0" quotePrefix="0" xfId="0">
      <alignment horizontal="center"/>
    </xf>
    <xf numFmtId="3" fontId="122" fillId="0" borderId="0" applyAlignment="1" pivotButton="0" quotePrefix="0" xfId="0">
      <alignment horizontal="center" vertical="center"/>
    </xf>
    <xf numFmtId="4" fontId="167" fillId="0" borderId="0" applyAlignment="1" pivotButton="0" quotePrefix="0" xfId="0">
      <alignment horizontal="right"/>
    </xf>
    <xf numFmtId="3" fontId="116" fillId="0" borderId="0" pivotButton="0" quotePrefix="0" xfId="0"/>
    <xf numFmtId="0" fontId="138" fillId="24" borderId="0" applyAlignment="1" pivotButton="0" quotePrefix="0" xfId="0">
      <alignment horizontal="right"/>
    </xf>
    <xf numFmtId="0" fontId="112" fillId="0" borderId="0" applyAlignment="1" pivotButton="0" quotePrefix="0" xfId="0">
      <alignment horizontal="right"/>
    </xf>
    <xf numFmtId="0" fontId="321" fillId="0" borderId="0" applyAlignment="1" pivotButton="0" quotePrefix="0" xfId="0">
      <alignment horizontal="center"/>
    </xf>
    <xf numFmtId="178" fontId="126" fillId="24" borderId="0" pivotButton="0" quotePrefix="0" xfId="0"/>
    <xf numFmtId="0" fontId="143" fillId="0" borderId="0" applyAlignment="1" pivotButton="0" quotePrefix="0" xfId="0">
      <alignment horizontal="center"/>
    </xf>
    <xf numFmtId="3" fontId="122" fillId="0" borderId="0" applyAlignment="1" pivotButton="0" quotePrefix="0" xfId="0">
      <alignment horizontal="right"/>
    </xf>
    <xf numFmtId="178" fontId="9" fillId="26" borderId="1" pivotButton="0" quotePrefix="0" xfId="0"/>
    <xf numFmtId="180" fontId="4" fillId="27" borderId="2" applyAlignment="1" pivotButton="0" quotePrefix="0" xfId="0">
      <alignment horizontal="center" vertical="center"/>
    </xf>
    <xf numFmtId="0" fontId="6" fillId="0" borderId="0" applyAlignment="1" pivotButton="0" quotePrefix="0" xfId="0">
      <alignment horizontal="center" vertical="center"/>
    </xf>
    <xf numFmtId="37" fontId="126" fillId="24" borderId="0" pivotButton="0" quotePrefix="0" xfId="0"/>
    <xf numFmtId="0" fontId="4" fillId="15" borderId="5" applyAlignment="1" pivotButton="0" quotePrefix="0" xfId="0">
      <alignment horizontal="left" vertical="center"/>
    </xf>
    <xf numFmtId="0" fontId="357" fillId="15" borderId="7" applyAlignment="1" pivotButton="0" quotePrefix="0" xfId="0">
      <alignment horizontal="right"/>
    </xf>
    <xf numFmtId="0" fontId="126" fillId="15" borderId="7" pivotButton="0" quotePrefix="0" xfId="0"/>
    <xf numFmtId="0" fontId="4" fillId="15" borderId="5" applyAlignment="1" pivotButton="0" quotePrefix="0" xfId="0">
      <alignment horizontal="left"/>
    </xf>
    <xf numFmtId="0" fontId="126" fillId="15" borderId="0" pivotButton="0" quotePrefix="0" xfId="0"/>
    <xf numFmtId="0" fontId="357" fillId="15" borderId="4" applyAlignment="1" pivotButton="0" quotePrefix="0" xfId="0">
      <alignment horizontal="right" vertical="center"/>
    </xf>
    <xf numFmtId="0" fontId="126" fillId="15" borderId="4" pivotButton="0" quotePrefix="0" xfId="0"/>
    <xf numFmtId="189" fontId="110" fillId="0" borderId="0" pivotButton="0" quotePrefix="0" xfId="0"/>
    <xf numFmtId="0" fontId="10" fillId="24" borderId="0" applyAlignment="1" pivotButton="0" quotePrefix="0" xfId="0">
      <alignment horizontal="center" vertical="top"/>
    </xf>
    <xf numFmtId="4" fontId="126" fillId="24" borderId="0" pivotButton="0" quotePrefix="0" xfId="0"/>
    <xf numFmtId="0" fontId="0" fillId="24" borderId="0" applyAlignment="1" pivotButton="0" quotePrefix="0" xfId="0">
      <alignment horizontal="left" indent="1"/>
    </xf>
    <xf numFmtId="0" fontId="6" fillId="24" borderId="0" applyAlignment="1" pivotButton="0" quotePrefix="0" xfId="0">
      <alignment horizontal="left" indent="1"/>
    </xf>
    <xf numFmtId="0" fontId="4" fillId="24" borderId="21" applyAlignment="1" pivotButton="0" quotePrefix="1" xfId="0">
      <alignment horizontal="right"/>
    </xf>
    <xf numFmtId="0" fontId="6" fillId="24" borderId="4" applyAlignment="1" pivotButton="0" quotePrefix="0" xfId="0">
      <alignment horizontal="left" indent="1"/>
    </xf>
    <xf numFmtId="0" fontId="10" fillId="24" borderId="4" applyAlignment="1" pivotButton="0" quotePrefix="0" xfId="0">
      <alignment horizontal="center" vertical="top"/>
    </xf>
    <xf numFmtId="0" fontId="11" fillId="15" borderId="5" applyAlignment="1" pivotButton="0" quotePrefix="0" xfId="0">
      <alignment horizontal="left"/>
    </xf>
    <xf numFmtId="0" fontId="110" fillId="15" borderId="4" applyAlignment="1" pivotButton="0" quotePrefix="0" xfId="0">
      <alignment horizontal="center"/>
    </xf>
    <xf numFmtId="0" fontId="110" fillId="15" borderId="4" pivotButton="0" quotePrefix="0" xfId="0"/>
    <xf numFmtId="0" fontId="121" fillId="24" borderId="23" pivotButton="0" quotePrefix="0" xfId="0"/>
    <xf numFmtId="0" fontId="0" fillId="24" borderId="7" pivotButton="0" quotePrefix="0" xfId="0"/>
    <xf numFmtId="0" fontId="0" fillId="24" borderId="19" pivotButton="0" quotePrefix="0" xfId="0"/>
    <xf numFmtId="0" fontId="6" fillId="24" borderId="5" applyAlignment="1" pivotButton="0" quotePrefix="0" xfId="0">
      <alignment horizontal="center"/>
    </xf>
    <xf numFmtId="0" fontId="8" fillId="24" borderId="5" applyAlignment="1" pivotButton="0" quotePrefix="0" xfId="0">
      <alignment horizontal="right"/>
    </xf>
    <xf numFmtId="0" fontId="6" fillId="24" borderId="4" pivotButton="0" quotePrefix="0" xfId="0"/>
    <xf numFmtId="0" fontId="8" fillId="24" borderId="5" applyAlignment="1" pivotButton="0" quotePrefix="1" xfId="0">
      <alignment horizontal="right"/>
    </xf>
    <xf numFmtId="0" fontId="14" fillId="24" borderId="0" applyAlignment="1" pivotButton="0" quotePrefix="0" xfId="0">
      <alignment horizontal="right"/>
    </xf>
    <xf numFmtId="167" fontId="0" fillId="24" borderId="0" pivotButton="0" quotePrefix="0" xfId="0"/>
    <xf numFmtId="1" fontId="0" fillId="24" borderId="0" applyProtection="1" pivotButton="0" quotePrefix="0" xfId="0">
      <protection locked="0" hidden="0"/>
    </xf>
    <xf numFmtId="39" fontId="4" fillId="15" borderId="0" applyProtection="1" pivotButton="0" quotePrefix="0" xfId="0">
      <protection locked="0" hidden="0"/>
    </xf>
    <xf numFmtId="1" fontId="0" fillId="15" borderId="30" applyProtection="1" pivotButton="0" quotePrefix="0" xfId="0">
      <protection locked="0" hidden="0"/>
    </xf>
    <xf numFmtId="1" fontId="0" fillId="15" borderId="8" applyProtection="1" pivotButton="0" quotePrefix="0" xfId="0">
      <protection locked="0" hidden="0"/>
    </xf>
    <xf numFmtId="39" fontId="0" fillId="15" borderId="14" applyProtection="1" pivotButton="0" quotePrefix="0" xfId="0">
      <protection locked="0" hidden="0"/>
    </xf>
    <xf numFmtId="1" fontId="0" fillId="15" borderId="3" applyProtection="1" pivotButton="0" quotePrefix="0" xfId="0">
      <protection locked="0" hidden="0"/>
    </xf>
    <xf numFmtId="1" fontId="0" fillId="15" borderId="0" applyProtection="1" pivotButton="0" quotePrefix="0" xfId="0">
      <protection locked="0" hidden="0"/>
    </xf>
    <xf numFmtId="39" fontId="0" fillId="15" borderId="24" applyProtection="1" pivotButton="0" quotePrefix="0" xfId="0">
      <protection locked="0" hidden="0"/>
    </xf>
    <xf numFmtId="1" fontId="0" fillId="15" borderId="9" applyProtection="1" pivotButton="0" quotePrefix="0" xfId="0">
      <protection locked="0" hidden="0"/>
    </xf>
    <xf numFmtId="1" fontId="0" fillId="15" borderId="1" applyProtection="1" pivotButton="0" quotePrefix="0" xfId="0">
      <protection locked="0" hidden="0"/>
    </xf>
    <xf numFmtId="39" fontId="0" fillId="15" borderId="11" applyProtection="1" pivotButton="0" quotePrefix="0" xfId="0">
      <protection locked="0" hidden="0"/>
    </xf>
    <xf numFmtId="1" fontId="0" fillId="15" borderId="39" applyProtection="1" pivotButton="0" quotePrefix="0" xfId="0">
      <protection locked="0" hidden="0"/>
    </xf>
    <xf numFmtId="1" fontId="0" fillId="15" borderId="25" applyProtection="1" pivotButton="0" quotePrefix="0" xfId="0">
      <protection locked="0" hidden="0"/>
    </xf>
    <xf numFmtId="39" fontId="0" fillId="15" borderId="54" applyProtection="1" pivotButton="0" quotePrefix="0" xfId="0">
      <protection locked="0" hidden="0"/>
    </xf>
    <xf numFmtId="39" fontId="0" fillId="15" borderId="25" applyProtection="1" pivotButton="0" quotePrefix="0" xfId="0">
      <protection locked="0" hidden="0"/>
    </xf>
    <xf numFmtId="39" fontId="5" fillId="15" borderId="25" applyProtection="1" pivotButton="0" quotePrefix="0" xfId="0">
      <protection locked="0" hidden="0"/>
    </xf>
    <xf numFmtId="39" fontId="5" fillId="15" borderId="54" applyProtection="1" pivotButton="0" quotePrefix="0" xfId="0">
      <protection locked="0" hidden="0"/>
    </xf>
    <xf numFmtId="1" fontId="6" fillId="15" borderId="39" applyProtection="1" pivotButton="0" quotePrefix="0" xfId="0">
      <protection locked="0" hidden="0"/>
    </xf>
    <xf numFmtId="1" fontId="6" fillId="15" borderId="25" applyProtection="1" pivotButton="0" quotePrefix="0" xfId="0">
      <protection locked="0" hidden="0"/>
    </xf>
    <xf numFmtId="39" fontId="6" fillId="15" borderId="54" applyProtection="1" pivotButton="0" quotePrefix="0" xfId="0">
      <protection locked="0" hidden="0"/>
    </xf>
    <xf numFmtId="39" fontId="6" fillId="15" borderId="25" applyProtection="1" pivotButton="0" quotePrefix="0" xfId="0">
      <protection locked="0" hidden="0"/>
    </xf>
    <xf numFmtId="39" fontId="4" fillId="24" borderId="30" pivotButton="0" quotePrefix="0" xfId="0"/>
    <xf numFmtId="39" fontId="0" fillId="24" borderId="8" pivotButton="0" quotePrefix="0" xfId="0"/>
    <xf numFmtId="39" fontId="0" fillId="24" borderId="14" pivotButton="0" quotePrefix="0" xfId="0"/>
    <xf numFmtId="1" fontId="6" fillId="24" borderId="3" pivotButton="0" quotePrefix="0" xfId="0"/>
    <xf numFmtId="1" fontId="0" fillId="24" borderId="0" pivotButton="0" quotePrefix="0" xfId="0"/>
    <xf numFmtId="39" fontId="0" fillId="24" borderId="24" pivotButton="0" quotePrefix="0" xfId="0"/>
    <xf numFmtId="39" fontId="6" fillId="24" borderId="3" pivotButton="0" quotePrefix="0" xfId="0"/>
    <xf numFmtId="39" fontId="6" fillId="24" borderId="0" pivotButton="0" quotePrefix="0" xfId="0"/>
    <xf numFmtId="1" fontId="0" fillId="24" borderId="3" pivotButton="0" quotePrefix="0" xfId="0"/>
    <xf numFmtId="39" fontId="5" fillId="24" borderId="0" pivotButton="0" quotePrefix="0" xfId="0"/>
    <xf numFmtId="39" fontId="5" fillId="24" borderId="24" pivotButton="0" quotePrefix="0" xfId="0"/>
    <xf numFmtId="1" fontId="6" fillId="24" borderId="0" pivotButton="0" quotePrefix="0" xfId="0"/>
    <xf numFmtId="39" fontId="6" fillId="24" borderId="24" pivotButton="0" quotePrefix="0" xfId="0"/>
    <xf numFmtId="1" fontId="6" fillId="24" borderId="9" pivotButton="0" quotePrefix="0" xfId="0"/>
    <xf numFmtId="1" fontId="6" fillId="24" borderId="1" pivotButton="0" quotePrefix="0" xfId="0"/>
    <xf numFmtId="39" fontId="6" fillId="24" borderId="1" pivotButton="0" quotePrefix="0" xfId="0"/>
    <xf numFmtId="39" fontId="6" fillId="24" borderId="11" pivotButton="0" quotePrefix="0" xfId="0"/>
    <xf numFmtId="37" fontId="47" fillId="15" borderId="243" applyProtection="1" pivotButton="0" quotePrefix="0" xfId="0">
      <protection locked="0" hidden="0"/>
    </xf>
    <xf numFmtId="1" fontId="4" fillId="29" borderId="0" applyAlignment="1" pivotButton="0" quotePrefix="1" xfId="0">
      <alignment horizontal="left"/>
    </xf>
    <xf numFmtId="37" fontId="374" fillId="29" borderId="0" applyAlignment="1" pivotButton="0" quotePrefix="0" xfId="0">
      <alignment horizontal="right"/>
    </xf>
    <xf numFmtId="39" fontId="6" fillId="24" borderId="0" applyAlignment="1" pivotButton="0" quotePrefix="0" xfId="0">
      <alignment vertical="center"/>
    </xf>
    <xf numFmtId="39" fontId="6" fillId="24" borderId="1" applyAlignment="1" pivotButton="0" quotePrefix="0" xfId="0">
      <alignment vertical="center"/>
    </xf>
    <xf numFmtId="39" fontId="6" fillId="15" borderId="39" applyAlignment="1" applyProtection="1" pivotButton="0" quotePrefix="0" xfId="0">
      <alignment vertical="center"/>
      <protection locked="0" hidden="0"/>
    </xf>
    <xf numFmtId="0" fontId="376" fillId="15" borderId="0" applyAlignment="1" pivotButton="0" quotePrefix="0" xfId="0">
      <alignment vertical="top" wrapText="1"/>
    </xf>
    <xf numFmtId="39" fontId="6" fillId="16" borderId="12" applyAlignment="1" applyProtection="1" pivotButton="0" quotePrefix="0" xfId="0">
      <alignment horizontal="right" wrapText="1"/>
      <protection locked="0" hidden="0"/>
    </xf>
    <xf numFmtId="0" fontId="116" fillId="15" borderId="0" applyAlignment="1" pivotButton="0" quotePrefix="0" xfId="0">
      <alignment horizontal="center" wrapText="1"/>
    </xf>
    <xf numFmtId="37" fontId="4" fillId="15" borderId="2" applyProtection="1" pivotButton="0" quotePrefix="0" xfId="0">
      <protection locked="0" hidden="0"/>
    </xf>
    <xf numFmtId="0" fontId="4" fillId="2" borderId="25" applyAlignment="1" pivotButton="0" quotePrefix="0" xfId="0">
      <alignment horizontal="center" textRotation="90"/>
    </xf>
    <xf numFmtId="0" fontId="172" fillId="15" borderId="0" applyAlignment="1" pivotButton="0" quotePrefix="0" xfId="0">
      <alignment horizontal="left" vertical="center" wrapText="1"/>
    </xf>
    <xf numFmtId="0" fontId="172" fillId="15" borderId="24" applyAlignment="1" pivotButton="0" quotePrefix="0" xfId="0">
      <alignment horizontal="left" vertical="center" wrapText="1"/>
    </xf>
    <xf numFmtId="37" fontId="113" fillId="5" borderId="0" pivotButton="0" quotePrefix="0" xfId="0"/>
    <xf numFmtId="0" fontId="117" fillId="15" borderId="0" applyAlignment="1" pivotButton="0" quotePrefix="0" xfId="0">
      <alignment horizontal="right" vertical="top" wrapText="1"/>
    </xf>
    <xf numFmtId="0" fontId="205" fillId="24" borderId="0" applyAlignment="1" pivotButton="0" quotePrefix="0" xfId="0">
      <alignment horizontal="left" vertical="top" indent="1"/>
    </xf>
    <xf numFmtId="0" fontId="144" fillId="15" borderId="5" applyAlignment="1" pivotButton="0" quotePrefix="0" xfId="0">
      <alignment horizontal="center" vertical="center" wrapText="1"/>
    </xf>
    <xf numFmtId="0" fontId="0" fillId="15" borderId="0" applyAlignment="1" pivotButton="0" quotePrefix="0" xfId="0">
      <alignment horizontal="center"/>
    </xf>
    <xf numFmtId="0" fontId="0" fillId="15" borderId="20" applyAlignment="1" pivotButton="0" quotePrefix="0" xfId="0">
      <alignment horizontal="center"/>
    </xf>
    <xf numFmtId="0" fontId="0" fillId="15" borderId="5" applyAlignment="1" pivotButton="0" quotePrefix="0" xfId="0">
      <alignment horizontal="center"/>
    </xf>
    <xf numFmtId="0" fontId="128" fillId="15" borderId="23" applyAlignment="1" applyProtection="1" pivotButton="0" quotePrefix="1" xfId="0">
      <alignment horizontal="center" vertical="center" wrapText="1"/>
      <protection locked="1" hidden="1"/>
    </xf>
    <xf numFmtId="0" fontId="128" fillId="0" borderId="7" applyAlignment="1" pivotButton="0" quotePrefix="0" xfId="0">
      <alignment horizontal="center" vertical="center" wrapText="1"/>
    </xf>
    <xf numFmtId="0" fontId="128" fillId="0" borderId="19" applyAlignment="1" pivotButton="0" quotePrefix="0" xfId="0">
      <alignment horizontal="center" vertical="center" wrapText="1"/>
    </xf>
    <xf numFmtId="0" fontId="128" fillId="0" borderId="5" applyAlignment="1" pivotButton="0" quotePrefix="0" xfId="0">
      <alignment horizontal="center" vertical="center" wrapText="1"/>
    </xf>
    <xf numFmtId="0" fontId="128" fillId="0" borderId="0" applyAlignment="1" pivotButton="0" quotePrefix="0" xfId="0">
      <alignment horizontal="center" vertical="center" wrapText="1"/>
    </xf>
    <xf numFmtId="0" fontId="128" fillId="0" borderId="20" applyAlignment="1" pivotButton="0" quotePrefix="0" xfId="0">
      <alignment horizontal="center" vertical="center" wrapText="1"/>
    </xf>
    <xf numFmtId="0" fontId="128" fillId="0" borderId="21" applyAlignment="1" pivotButton="0" quotePrefix="0" xfId="0">
      <alignment horizontal="center" vertical="center" wrapText="1"/>
    </xf>
    <xf numFmtId="0" fontId="128" fillId="0" borderId="4" applyAlignment="1" pivotButton="0" quotePrefix="0" xfId="0">
      <alignment horizontal="center" vertical="center" wrapText="1"/>
    </xf>
    <xf numFmtId="0" fontId="128" fillId="0" borderId="22" applyAlignment="1" pivotButton="0" quotePrefix="0" xfId="0">
      <alignment horizontal="center" vertical="center" wrapText="1"/>
    </xf>
    <xf numFmtId="0" fontId="128" fillId="15" borderId="23" applyAlignment="1" applyProtection="1" pivotButton="0" quotePrefix="0" xfId="0">
      <alignment horizontal="center" vertical="center" wrapText="1"/>
      <protection locked="1" hidden="1"/>
    </xf>
    <xf numFmtId="0" fontId="128" fillId="15" borderId="7" applyAlignment="1" applyProtection="1" pivotButton="0" quotePrefix="0" xfId="0">
      <alignment horizontal="center" vertical="center" wrapText="1"/>
      <protection locked="1" hidden="1"/>
    </xf>
    <xf numFmtId="0" fontId="128" fillId="15" borderId="19" applyAlignment="1" applyProtection="1" pivotButton="0" quotePrefix="0" xfId="0">
      <alignment horizontal="center" vertical="center" wrapText="1"/>
      <protection locked="1" hidden="1"/>
    </xf>
    <xf numFmtId="0" fontId="128" fillId="15" borderId="5" applyAlignment="1" applyProtection="1" pivotButton="0" quotePrefix="0" xfId="0">
      <alignment horizontal="center" vertical="center" wrapText="1"/>
      <protection locked="1" hidden="1"/>
    </xf>
    <xf numFmtId="0" fontId="128" fillId="15" borderId="0" applyAlignment="1" applyProtection="1" pivotButton="0" quotePrefix="0" xfId="0">
      <alignment horizontal="center" vertical="center" wrapText="1"/>
      <protection locked="1" hidden="1"/>
    </xf>
    <xf numFmtId="0" fontId="128" fillId="15" borderId="20" applyAlignment="1" applyProtection="1" pivotButton="0" quotePrefix="0" xfId="0">
      <alignment horizontal="center" vertical="center" wrapText="1"/>
      <protection locked="1" hidden="1"/>
    </xf>
    <xf numFmtId="169" fontId="265" fillId="15" borderId="59" applyAlignment="1" applyProtection="1" pivotButton="0" quotePrefix="0" xfId="0">
      <alignment horizontal="left" vertical="center" indent="1"/>
      <protection locked="1" hidden="1"/>
    </xf>
    <xf numFmtId="169" fontId="265" fillId="15" borderId="74" applyAlignment="1" applyProtection="1" pivotButton="0" quotePrefix="0" xfId="0">
      <alignment horizontal="left" vertical="center" indent="1"/>
      <protection locked="1" hidden="1"/>
    </xf>
    <xf numFmtId="169" fontId="265" fillId="15" borderId="60" applyAlignment="1" applyProtection="1" pivotButton="0" quotePrefix="0" xfId="0">
      <alignment horizontal="left" vertical="center" indent="1"/>
      <protection locked="1" hidden="1"/>
    </xf>
    <xf numFmtId="0" fontId="4" fillId="15" borderId="75" applyAlignment="1" pivotButton="0" quotePrefix="0" xfId="0">
      <alignment horizontal="center" textRotation="90"/>
    </xf>
    <xf numFmtId="0" fontId="15" fillId="15" borderId="71" applyAlignment="1" pivotButton="0" quotePrefix="0" xfId="0">
      <alignment horizontal="center" wrapText="1"/>
    </xf>
    <xf numFmtId="0" fontId="15" fillId="15" borderId="100" applyAlignment="1" pivotButton="0" quotePrefix="0" xfId="0">
      <alignment horizontal="center" wrapText="1"/>
    </xf>
    <xf numFmtId="0" fontId="67" fillId="0" borderId="37" applyAlignment="1" pivotButton="0" quotePrefix="0" xfId="2">
      <alignment horizontal="left" vertical="center" indent="1"/>
    </xf>
    <xf numFmtId="0" fontId="67" fillId="0" borderId="102" applyAlignment="1" pivotButton="0" quotePrefix="0" xfId="2">
      <alignment horizontal="left" vertical="center" indent="1"/>
    </xf>
    <xf numFmtId="0" fontId="67" fillId="0" borderId="38" applyAlignment="1" pivotButton="0" quotePrefix="0" xfId="2">
      <alignment horizontal="left" vertical="center" indent="1"/>
    </xf>
    <xf numFmtId="0" fontId="67" fillId="15" borderId="23" applyAlignment="1" applyProtection="1" pivotButton="0" quotePrefix="0" xfId="2">
      <alignment horizontal="center" vertical="center"/>
      <protection locked="1" hidden="1"/>
    </xf>
    <xf numFmtId="0" fontId="67" fillId="15" borderId="19" applyAlignment="1" applyProtection="1" pivotButton="0" quotePrefix="0" xfId="2">
      <alignment horizontal="center" vertical="center"/>
      <protection locked="1" hidden="1"/>
    </xf>
    <xf numFmtId="0" fontId="67" fillId="15" borderId="5" applyAlignment="1" applyProtection="1" pivotButton="0" quotePrefix="0" xfId="2">
      <alignment horizontal="center" vertical="center"/>
      <protection locked="1" hidden="1"/>
    </xf>
    <xf numFmtId="0" fontId="67" fillId="15" borderId="20" applyAlignment="1" applyProtection="1" pivotButton="0" quotePrefix="0" xfId="2">
      <alignment horizontal="center" vertical="center"/>
      <protection locked="1" hidden="1"/>
    </xf>
    <xf numFmtId="0" fontId="67" fillId="15" borderId="21" applyAlignment="1" applyProtection="1" pivotButton="0" quotePrefix="0" xfId="2">
      <alignment horizontal="center" vertical="center"/>
      <protection locked="1" hidden="1"/>
    </xf>
    <xf numFmtId="0" fontId="67" fillId="15" borderId="22" applyAlignment="1" applyProtection="1" pivotButton="0" quotePrefix="0" xfId="2">
      <alignment horizontal="center" vertical="center"/>
      <protection locked="1" hidden="1"/>
    </xf>
    <xf numFmtId="0" fontId="296" fillId="24" borderId="39" applyAlignment="1" pivotButton="0" quotePrefix="0" xfId="4">
      <alignment horizontal="left" vertical="center" indent="1"/>
    </xf>
    <xf numFmtId="0" fontId="296" fillId="24" borderId="25" applyAlignment="1" pivotButton="0" quotePrefix="0" xfId="4">
      <alignment horizontal="left" vertical="center" indent="1"/>
    </xf>
    <xf numFmtId="0" fontId="296" fillId="24" borderId="54" applyAlignment="1" pivotButton="0" quotePrefix="0" xfId="4">
      <alignment horizontal="left" vertical="center" indent="1"/>
    </xf>
    <xf numFmtId="0" fontId="6" fillId="2" borderId="0" applyAlignment="1" pivotButton="0" quotePrefix="0" xfId="0">
      <alignment vertical="top" wrapText="1"/>
    </xf>
    <xf numFmtId="0" fontId="0" fillId="2" borderId="0" applyAlignment="1" pivotButton="0" quotePrefix="0" xfId="0">
      <alignment vertical="top" wrapText="1"/>
    </xf>
    <xf numFmtId="0" fontId="0" fillId="15" borderId="4" applyAlignment="1" pivotButton="0" quotePrefix="0" xfId="0">
      <alignment vertical="top" wrapText="1"/>
    </xf>
    <xf numFmtId="0" fontId="0" fillId="15" borderId="4" applyAlignment="1" pivotButton="0" quotePrefix="0" xfId="0">
      <alignment vertical="top"/>
    </xf>
    <xf numFmtId="0" fontId="6" fillId="0" borderId="1" applyAlignment="1" pivotButton="0" quotePrefix="0" xfId="0">
      <alignment horizontal="left" vertical="top" wrapText="1"/>
    </xf>
    <xf numFmtId="0" fontId="6" fillId="2" borderId="1" applyAlignment="1" pivotButton="0" quotePrefix="0" xfId="0">
      <alignment horizontal="left" vertical="top" wrapText="1"/>
    </xf>
    <xf numFmtId="0" fontId="6" fillId="15" borderId="0" applyAlignment="1" pivotButton="0" quotePrefix="0" xfId="0">
      <alignment horizontal="left" vertical="top" wrapText="1"/>
    </xf>
    <xf numFmtId="0" fontId="0" fillId="15" borderId="0" applyAlignment="1" pivotButton="0" quotePrefix="0" xfId="0">
      <alignment horizontal="left" vertical="top" wrapText="1"/>
    </xf>
    <xf numFmtId="0" fontId="6" fillId="15" borderId="1" applyAlignment="1" pivotButton="0" quotePrefix="0" xfId="0">
      <alignment horizontal="left" vertical="top" wrapText="1"/>
    </xf>
    <xf numFmtId="0" fontId="11" fillId="15" borderId="0" applyAlignment="1" pivotButton="0" quotePrefix="0" xfId="0">
      <alignment horizontal="left" wrapText="1"/>
    </xf>
    <xf numFmtId="0" fontId="4" fillId="16" borderId="25" applyAlignment="1" applyProtection="1" pivotButton="0" quotePrefix="0" xfId="0">
      <alignment horizontal="left" indent="1"/>
      <protection locked="0" hidden="0"/>
    </xf>
    <xf numFmtId="0" fontId="8" fillId="2" borderId="25" applyAlignment="1" pivotButton="0" quotePrefix="0" xfId="0">
      <alignment horizontal="right"/>
    </xf>
    <xf numFmtId="0" fontId="8" fillId="2" borderId="39" applyAlignment="1" pivotButton="0" quotePrefix="0" xfId="0">
      <alignment horizontal="left"/>
    </xf>
    <xf numFmtId="0" fontId="8" fillId="2" borderId="25" applyAlignment="1" pivotButton="0" quotePrefix="0" xfId="0">
      <alignment horizontal="left"/>
    </xf>
    <xf numFmtId="0" fontId="8" fillId="39" borderId="3" applyAlignment="1" pivotButton="0" quotePrefix="0" xfId="0">
      <alignment horizontal="left" vertical="center" wrapText="1"/>
    </xf>
    <xf numFmtId="0" fontId="8" fillId="39" borderId="0" applyAlignment="1" pivotButton="0" quotePrefix="0" xfId="0">
      <alignment horizontal="left" vertical="center" wrapText="1"/>
    </xf>
    <xf numFmtId="0" fontId="15" fillId="39" borderId="30" applyAlignment="1" pivotButton="0" quotePrefix="0" xfId="0">
      <alignment horizontal="center" vertical="center" wrapText="1"/>
    </xf>
    <xf numFmtId="0" fontId="15" fillId="39" borderId="8" applyAlignment="1" pivotButton="0" quotePrefix="0" xfId="0">
      <alignment horizontal="center" vertical="center" wrapText="1"/>
    </xf>
    <xf numFmtId="0" fontId="8" fillId="39" borderId="9" applyAlignment="1" pivotButton="0" quotePrefix="0" xfId="0">
      <alignment horizontal="left" vertical="center" wrapText="1"/>
    </xf>
    <xf numFmtId="0" fontId="8" fillId="39" borderId="1" applyAlignment="1" pivotButton="0" quotePrefix="0" xfId="0">
      <alignment horizontal="left" vertical="center" wrapText="1"/>
    </xf>
    <xf numFmtId="0" fontId="8" fillId="39" borderId="11" applyAlignment="1" pivotButton="0" quotePrefix="0" xfId="0">
      <alignment horizontal="left" vertical="center" wrapText="1"/>
    </xf>
    <xf numFmtId="37" fontId="4" fillId="25" borderId="39" pivotButton="0" quotePrefix="0" xfId="0"/>
    <xf numFmtId="37" fontId="4" fillId="25" borderId="25" pivotButton="0" quotePrefix="0" xfId="0"/>
    <xf numFmtId="0" fontId="6" fillId="25" borderId="25" pivotButton="0" quotePrefix="0" xfId="0"/>
    <xf numFmtId="37" fontId="4" fillId="27" borderId="39" pivotButton="0" quotePrefix="0" xfId="0"/>
    <xf numFmtId="37" fontId="4" fillId="27" borderId="25" pivotButton="0" quotePrefix="0" xfId="0"/>
    <xf numFmtId="37" fontId="0" fillId="27" borderId="25" pivotButton="0" quotePrefix="0" xfId="0"/>
    <xf numFmtId="0" fontId="6" fillId="39" borderId="8" applyAlignment="1" pivotButton="0" quotePrefix="0" xfId="0">
      <alignment horizontal="left" vertical="center" wrapText="1"/>
    </xf>
    <xf numFmtId="0" fontId="6" fillId="39" borderId="0" applyAlignment="1" pivotButton="0" quotePrefix="0" xfId="0">
      <alignment horizontal="left" vertical="center" wrapText="1"/>
    </xf>
    <xf numFmtId="0" fontId="6" fillId="39" borderId="1" applyAlignment="1" pivotButton="0" quotePrefix="0" xfId="0">
      <alignment horizontal="left" vertical="center" wrapText="1"/>
    </xf>
    <xf numFmtId="37" fontId="4" fillId="27" borderId="9" pivotButton="0" quotePrefix="0" xfId="0"/>
    <xf numFmtId="37" fontId="4" fillId="27" borderId="1" pivotButton="0" quotePrefix="0" xfId="0"/>
    <xf numFmtId="37" fontId="4" fillId="27" borderId="11" pivotButton="0" quotePrefix="0" xfId="0"/>
    <xf numFmtId="37" fontId="4" fillId="25" borderId="9" pivotButton="0" quotePrefix="0" xfId="0"/>
    <xf numFmtId="37" fontId="4" fillId="25" borderId="1" pivotButton="0" quotePrefix="0" xfId="0"/>
    <xf numFmtId="37" fontId="0" fillId="0" borderId="1" pivotButton="0" quotePrefix="0" xfId="0"/>
    <xf numFmtId="37" fontId="4" fillId="16" borderId="39" applyProtection="1" pivotButton="0" quotePrefix="0" xfId="0">
      <protection locked="0" hidden="0"/>
    </xf>
    <xf numFmtId="37" fontId="4" fillId="16" borderId="25" applyProtection="1" pivotButton="0" quotePrefix="0" xfId="0">
      <protection locked="0" hidden="0"/>
    </xf>
    <xf numFmtId="37" fontId="0" fillId="16" borderId="25" applyProtection="1" pivotButton="0" quotePrefix="0" xfId="0">
      <protection locked="0" hidden="0"/>
    </xf>
    <xf numFmtId="0" fontId="4" fillId="39" borderId="9" applyAlignment="1" pivotButton="0" quotePrefix="0" xfId="0">
      <alignment horizontal="center"/>
    </xf>
    <xf numFmtId="0" fontId="4" fillId="39" borderId="11" applyAlignment="1" pivotButton="0" quotePrefix="0" xfId="0">
      <alignment horizontal="center"/>
    </xf>
    <xf numFmtId="0" fontId="4" fillId="39" borderId="39" applyAlignment="1" pivotButton="0" quotePrefix="0" xfId="0">
      <alignment horizontal="center"/>
    </xf>
    <xf numFmtId="0" fontId="4" fillId="39" borderId="54" applyAlignment="1" pivotButton="0" quotePrefix="0" xfId="0">
      <alignment horizontal="center"/>
    </xf>
    <xf numFmtId="0" fontId="4" fillId="39" borderId="0" applyAlignment="1" pivotButton="0" quotePrefix="0" xfId="0">
      <alignment horizontal="right" vertical="center" indent="1"/>
    </xf>
    <xf numFmtId="0" fontId="0" fillId="39" borderId="0" applyAlignment="1" pivotButton="0" quotePrefix="0" xfId="0">
      <alignment horizontal="right" vertical="center" indent="1"/>
    </xf>
    <xf numFmtId="200" fontId="11" fillId="16" borderId="9" applyAlignment="1" applyProtection="1" pivotButton="0" quotePrefix="0" xfId="0">
      <alignment horizontal="center"/>
      <protection locked="0" hidden="0"/>
    </xf>
    <xf numFmtId="200" fontId="11" fillId="16" borderId="1" applyAlignment="1" applyProtection="1" pivotButton="0" quotePrefix="0" xfId="0">
      <alignment horizontal="center"/>
      <protection locked="0" hidden="0"/>
    </xf>
    <xf numFmtId="200" fontId="11" fillId="16" borderId="11" applyAlignment="1" applyProtection="1" pivotButton="0" quotePrefix="0" xfId="0">
      <alignment horizontal="center"/>
      <protection locked="0" hidden="0"/>
    </xf>
    <xf numFmtId="0" fontId="11" fillId="16" borderId="3" applyAlignment="1" applyProtection="1" pivotButton="0" quotePrefix="0" xfId="0">
      <alignment horizontal="center"/>
      <protection locked="0" hidden="0"/>
    </xf>
    <xf numFmtId="0" fontId="11" fillId="16" borderId="0" applyAlignment="1" applyProtection="1" pivotButton="0" quotePrefix="0" xfId="0">
      <alignment horizontal="center"/>
      <protection locked="0" hidden="0"/>
    </xf>
    <xf numFmtId="0" fontId="11" fillId="16" borderId="24" applyAlignment="1" applyProtection="1" pivotButton="0" quotePrefix="0" xfId="0">
      <alignment horizontal="center"/>
      <protection locked="0" hidden="0"/>
    </xf>
    <xf numFmtId="0" fontId="11" fillId="16" borderId="9" applyAlignment="1" applyProtection="1" pivotButton="0" quotePrefix="0" xfId="0">
      <alignment horizontal="center"/>
      <protection locked="0" hidden="0"/>
    </xf>
    <xf numFmtId="0" fontId="11" fillId="16" borderId="1" applyAlignment="1" applyProtection="1" pivotButton="0" quotePrefix="0" xfId="0">
      <alignment horizontal="center"/>
      <protection locked="0" hidden="0"/>
    </xf>
    <xf numFmtId="0" fontId="11" fillId="16" borderId="11" applyAlignment="1" applyProtection="1" pivotButton="0" quotePrefix="0" xfId="0">
      <alignment horizontal="center"/>
      <protection locked="0" hidden="0"/>
    </xf>
    <xf numFmtId="37" fontId="0" fillId="0" borderId="11" pivotButton="0" quotePrefix="0" xfId="0"/>
    <xf numFmtId="0" fontId="4" fillId="27" borderId="39" applyAlignment="1" pivotButton="0" quotePrefix="0" xfId="0">
      <alignment horizontal="center" wrapText="1"/>
    </xf>
    <xf numFmtId="0" fontId="4" fillId="27" borderId="25" applyAlignment="1" pivotButton="0" quotePrefix="0" xfId="0">
      <alignment horizontal="center" wrapText="1"/>
    </xf>
    <xf numFmtId="0" fontId="4" fillId="27" borderId="54" applyAlignment="1" pivotButton="0" quotePrefix="0" xfId="0">
      <alignment horizontal="center" wrapText="1"/>
    </xf>
    <xf numFmtId="37" fontId="4" fillId="25" borderId="39" applyAlignment="1" pivotButton="0" quotePrefix="0" xfId="0">
      <alignment horizontal="right"/>
    </xf>
    <xf numFmtId="37" fontId="4" fillId="25" borderId="25" applyAlignment="1" pivotButton="0" quotePrefix="0" xfId="0">
      <alignment horizontal="right"/>
    </xf>
    <xf numFmtId="37" fontId="183" fillId="15" borderId="3" applyAlignment="1" pivotButton="0" quotePrefix="0" xfId="0">
      <alignment horizontal="center" vertical="center"/>
    </xf>
    <xf numFmtId="37" fontId="183" fillId="15" borderId="0" applyAlignment="1" pivotButton="0" quotePrefix="0" xfId="0">
      <alignment horizontal="center" vertical="center"/>
    </xf>
    <xf numFmtId="37" fontId="4" fillId="27" borderId="9" applyAlignment="1" pivotButton="0" quotePrefix="0" xfId="0">
      <alignment horizontal="right"/>
    </xf>
    <xf numFmtId="37" fontId="4" fillId="27" borderId="1" applyAlignment="1" pivotButton="0" quotePrefix="0" xfId="0">
      <alignment horizontal="right"/>
    </xf>
    <xf numFmtId="37" fontId="4" fillId="27" borderId="11" applyAlignment="1" pivotButton="0" quotePrefix="0" xfId="0">
      <alignment horizontal="right"/>
    </xf>
    <xf numFmtId="49" fontId="9" fillId="16" borderId="200" applyAlignment="1" applyProtection="1" pivotButton="0" quotePrefix="1" xfId="0">
      <alignment horizontal="center" vertical="center"/>
      <protection locked="0" hidden="0"/>
    </xf>
    <xf numFmtId="49" fontId="9" fillId="16" borderId="87" applyAlignment="1" applyProtection="1" pivotButton="0" quotePrefix="1" xfId="0">
      <alignment horizontal="center" vertical="center"/>
      <protection locked="0" hidden="0"/>
    </xf>
    <xf numFmtId="37" fontId="4" fillId="16" borderId="9" applyAlignment="1" applyProtection="1" pivotButton="0" quotePrefix="0" xfId="0">
      <alignment horizontal="right"/>
      <protection locked="0" hidden="0"/>
    </xf>
    <xf numFmtId="37" fontId="4" fillId="16" borderId="1" applyAlignment="1" applyProtection="1" pivotButton="0" quotePrefix="0" xfId="0">
      <alignment horizontal="right"/>
      <protection locked="0" hidden="0"/>
    </xf>
    <xf numFmtId="37" fontId="4" fillId="16" borderId="9" applyAlignment="1" applyProtection="1" pivotButton="0" quotePrefix="0" xfId="0">
      <alignment horizontal="center"/>
      <protection locked="0" hidden="0"/>
    </xf>
    <xf numFmtId="37" fontId="4" fillId="16" borderId="1" applyAlignment="1" applyProtection="1" pivotButton="0" quotePrefix="0" xfId="0">
      <alignment horizontal="center"/>
      <protection locked="0" hidden="0"/>
    </xf>
    <xf numFmtId="0" fontId="6" fillId="25" borderId="1" pivotButton="0" quotePrefix="0" xfId="0"/>
    <xf numFmtId="0" fontId="167" fillId="15" borderId="7" applyAlignment="1" pivotButton="0" quotePrefix="0" xfId="0">
      <alignment horizontal="center" vertical="center" wrapText="1"/>
    </xf>
    <xf numFmtId="0" fontId="167" fillId="15" borderId="0" applyAlignment="1" pivotButton="0" quotePrefix="0" xfId="0">
      <alignment horizontal="center" vertical="center" wrapText="1"/>
    </xf>
    <xf numFmtId="0" fontId="245" fillId="15" borderId="0" applyAlignment="1" pivotButton="0" quotePrefix="0" xfId="0">
      <alignment horizontal="left" vertical="center" wrapText="1"/>
    </xf>
    <xf numFmtId="4" fontId="9" fillId="5" borderId="0" applyAlignment="1" pivotButton="0" quotePrefix="0" xfId="0">
      <alignment horizontal="center" vertical="center" textRotation="90"/>
    </xf>
    <xf numFmtId="4" fontId="158" fillId="15" borderId="0" applyAlignment="1" pivotButton="0" quotePrefix="0" xfId="0">
      <alignment horizontal="center" vertical="center" wrapText="1"/>
    </xf>
    <xf numFmtId="4" fontId="158" fillId="15" borderId="24" applyAlignment="1" pivotButton="0" quotePrefix="0" xfId="0">
      <alignment horizontal="center" vertical="center" wrapText="1"/>
    </xf>
    <xf numFmtId="0" fontId="119" fillId="2" borderId="0" applyAlignment="1" pivotButton="0" quotePrefix="0" xfId="0">
      <alignment horizontal="left" vertical="center"/>
    </xf>
    <xf numFmtId="37" fontId="4" fillId="15" borderId="30" applyAlignment="1" pivotButton="0" quotePrefix="0" xfId="0">
      <alignment horizontal="center"/>
    </xf>
    <xf numFmtId="37" fontId="4" fillId="15" borderId="8" applyAlignment="1" pivotButton="0" quotePrefix="0" xfId="0">
      <alignment horizontal="center"/>
    </xf>
    <xf numFmtId="37" fontId="4" fillId="15" borderId="3" applyAlignment="1" pivotButton="0" quotePrefix="0" xfId="0">
      <alignment horizontal="center"/>
    </xf>
    <xf numFmtId="37" fontId="4" fillId="15" borderId="0" applyAlignment="1" pivotButton="0" quotePrefix="0" xfId="0">
      <alignment horizontal="center"/>
    </xf>
    <xf numFmtId="37" fontId="4" fillId="25" borderId="3" pivotButton="0" quotePrefix="0" xfId="0"/>
    <xf numFmtId="37" fontId="4" fillId="25" borderId="0" pivotButton="0" quotePrefix="0" xfId="0"/>
    <xf numFmtId="37" fontId="4" fillId="16" borderId="1" applyAlignment="1" applyProtection="1" pivotButton="0" quotePrefix="0" xfId="0">
      <alignment horizontal="right" vertical="center"/>
      <protection locked="0" hidden="0"/>
    </xf>
    <xf numFmtId="0" fontId="183" fillId="15" borderId="0" applyAlignment="1" pivotButton="0" quotePrefix="0" xfId="0">
      <alignment horizontal="center" vertical="center"/>
    </xf>
    <xf numFmtId="0" fontId="6" fillId="39" borderId="3" applyAlignment="1" pivotButton="0" quotePrefix="0" xfId="0">
      <alignment horizontal="left" vertical="center"/>
    </xf>
    <xf numFmtId="0" fontId="6" fillId="39" borderId="0" applyAlignment="1" pivotButton="0" quotePrefix="0" xfId="0">
      <alignment horizontal="left" vertical="center"/>
    </xf>
    <xf numFmtId="0" fontId="8" fillId="15" borderId="0" applyAlignment="1" pivotButton="0" quotePrefix="0" xfId="0">
      <alignment horizontal="left" vertical="center"/>
    </xf>
    <xf numFmtId="0" fontId="8" fillId="15" borderId="20" applyAlignment="1" pivotButton="0" quotePrefix="0" xfId="0">
      <alignment horizontal="left" vertical="center"/>
    </xf>
    <xf numFmtId="0" fontId="8" fillId="15" borderId="0" applyAlignment="1" pivotButton="0" quotePrefix="0" xfId="0">
      <alignment horizontal="left" vertical="top"/>
    </xf>
    <xf numFmtId="0" fontId="8" fillId="15" borderId="20" applyAlignment="1" pivotButton="0" quotePrefix="0" xfId="0">
      <alignment horizontal="left" vertical="top"/>
    </xf>
    <xf numFmtId="0" fontId="163" fillId="15" borderId="7" applyAlignment="1" pivotButton="0" quotePrefix="0" xfId="0">
      <alignment horizontal="left" vertical="top"/>
    </xf>
    <xf numFmtId="0" fontId="163" fillId="15" borderId="4" applyAlignment="1" pivotButton="0" quotePrefix="0" xfId="0">
      <alignment horizontal="left" vertical="top"/>
    </xf>
    <xf numFmtId="37" fontId="4" fillId="16" borderId="30" applyProtection="1" pivotButton="0" quotePrefix="0" xfId="0">
      <protection locked="0" hidden="0"/>
    </xf>
    <xf numFmtId="37" fontId="4" fillId="16" borderId="8" applyProtection="1" pivotButton="0" quotePrefix="0" xfId="0">
      <protection locked="0" hidden="0"/>
    </xf>
    <xf numFmtId="37" fontId="0" fillId="16" borderId="8" applyProtection="1" pivotButton="0" quotePrefix="0" xfId="0">
      <protection locked="0" hidden="0"/>
    </xf>
    <xf numFmtId="37" fontId="4" fillId="25" borderId="30" applyAlignment="1" pivotButton="0" quotePrefix="0" xfId="0">
      <alignment horizontal="right"/>
    </xf>
    <xf numFmtId="37" fontId="4" fillId="25" borderId="8" applyAlignment="1" pivotButton="0" quotePrefix="0" xfId="0">
      <alignment horizontal="right"/>
    </xf>
    <xf numFmtId="0" fontId="8" fillId="39" borderId="0" applyAlignment="1" pivotButton="0" quotePrefix="0" xfId="0">
      <alignment horizontal="left" vertical="top" wrapText="1"/>
    </xf>
    <xf numFmtId="0" fontId="8" fillId="39" borderId="24" applyAlignment="1" pivotButton="0" quotePrefix="0" xfId="0">
      <alignment horizontal="left" vertical="top" wrapText="1"/>
    </xf>
    <xf numFmtId="0" fontId="8" fillId="39" borderId="1" applyAlignment="1" pivotButton="0" quotePrefix="0" xfId="0">
      <alignment horizontal="left" vertical="top" wrapText="1"/>
    </xf>
    <xf numFmtId="0" fontId="8" fillId="39" borderId="11" applyAlignment="1" pivotButton="0" quotePrefix="0" xfId="0">
      <alignment horizontal="left" vertical="top" wrapText="1"/>
    </xf>
    <xf numFmtId="0" fontId="8" fillId="39" borderId="8" applyAlignment="1" pivotButton="0" quotePrefix="0" xfId="0">
      <alignment horizontal="left" vertical="center" wrapText="1"/>
    </xf>
    <xf numFmtId="0" fontId="8" fillId="39" borderId="14" applyAlignment="1" pivotButton="0" quotePrefix="0" xfId="0">
      <alignment horizontal="left" vertical="center" wrapText="1"/>
    </xf>
    <xf numFmtId="0" fontId="8" fillId="39" borderId="24" applyAlignment="1" pivotButton="0" quotePrefix="0" xfId="0">
      <alignment horizontal="left" vertical="center" wrapText="1"/>
    </xf>
    <xf numFmtId="0" fontId="10" fillId="39" borderId="0" applyAlignment="1" pivotButton="0" quotePrefix="0" xfId="0">
      <alignment horizontal="left" vertical="top" wrapText="1"/>
    </xf>
    <xf numFmtId="0" fontId="10" fillId="39" borderId="1" applyAlignment="1" pivotButton="0" quotePrefix="0" xfId="0">
      <alignment horizontal="left" vertical="top" wrapText="1"/>
    </xf>
    <xf numFmtId="0" fontId="10" fillId="39" borderId="9" applyAlignment="1" pivotButton="0" quotePrefix="0" xfId="0">
      <alignment horizontal="center" vertical="top" wrapText="1"/>
    </xf>
    <xf numFmtId="0" fontId="10" fillId="39" borderId="1" applyAlignment="1" pivotButton="0" quotePrefix="0" xfId="0">
      <alignment horizontal="center" vertical="top" wrapText="1"/>
    </xf>
    <xf numFmtId="0" fontId="10" fillId="39" borderId="25" applyAlignment="1" pivotButton="0" quotePrefix="0" xfId="0">
      <alignment horizontal="center" vertical="top" wrapText="1"/>
    </xf>
    <xf numFmtId="0" fontId="11" fillId="16" borderId="87" applyAlignment="1" applyProtection="1" pivotButton="0" quotePrefix="0" xfId="0">
      <alignment horizontal="left" vertical="center"/>
      <protection locked="0" hidden="0"/>
    </xf>
    <xf numFmtId="0" fontId="9" fillId="39" borderId="39" applyAlignment="1" pivotButton="0" quotePrefix="0" xfId="0">
      <alignment horizontal="center" vertical="center" wrapText="1"/>
    </xf>
    <xf numFmtId="0" fontId="9" fillId="39" borderId="25" applyAlignment="1" pivotButton="0" quotePrefix="0" xfId="0">
      <alignment horizontal="center" vertical="center" wrapText="1"/>
    </xf>
    <xf numFmtId="0" fontId="9" fillId="39" borderId="54" applyAlignment="1" pivotButton="0" quotePrefix="0" xfId="0">
      <alignment horizontal="center" vertical="center" wrapText="1"/>
    </xf>
    <xf numFmtId="0" fontId="4" fillId="27" borderId="12" applyAlignment="1" pivotButton="0" quotePrefix="0" xfId="0">
      <alignment horizontal="center" wrapText="1"/>
    </xf>
    <xf numFmtId="0" fontId="4" fillId="27" borderId="9" applyAlignment="1" pivotButton="0" quotePrefix="0" xfId="0">
      <alignment horizontal="center" wrapText="1"/>
    </xf>
    <xf numFmtId="0" fontId="4" fillId="27" borderId="1" applyAlignment="1" pivotButton="0" quotePrefix="0" xfId="0">
      <alignment horizontal="center" wrapText="1"/>
    </xf>
    <xf numFmtId="0" fontId="4" fillId="27" borderId="11" applyAlignment="1" pivotButton="0" quotePrefix="0" xfId="0">
      <alignment horizontal="center" wrapText="1"/>
    </xf>
    <xf numFmtId="0" fontId="11" fillId="2" borderId="8" applyAlignment="1" pivotButton="0" quotePrefix="0" xfId="0">
      <alignment horizontal="left" vertical="top" wrapText="1"/>
    </xf>
    <xf numFmtId="0" fontId="11" fillId="2" borderId="0" applyAlignment="1" pivotButton="0" quotePrefix="0" xfId="0">
      <alignment horizontal="left" vertical="top" wrapText="1"/>
    </xf>
    <xf numFmtId="37" fontId="4" fillId="27" borderId="39" applyAlignment="1" pivotButton="0" quotePrefix="0" xfId="0">
      <alignment horizontal="right"/>
    </xf>
    <xf numFmtId="37" fontId="4" fillId="27" borderId="25" applyAlignment="1" pivotButton="0" quotePrefix="0" xfId="0">
      <alignment horizontal="right"/>
    </xf>
    <xf numFmtId="37" fontId="4" fillId="27" borderId="54" applyAlignment="1" pivotButton="0" quotePrefix="0" xfId="0">
      <alignment horizontal="right"/>
    </xf>
    <xf numFmtId="0" fontId="47" fillId="39" borderId="25" applyAlignment="1" pivotButton="0" quotePrefix="0" xfId="0">
      <alignment horizontal="left" vertical="center"/>
    </xf>
    <xf numFmtId="0" fontId="47" fillId="39" borderId="54" applyAlignment="1" pivotButton="0" quotePrefix="0" xfId="0">
      <alignment horizontal="left" vertical="center"/>
    </xf>
    <xf numFmtId="37" fontId="4" fillId="25" borderId="69" pivotButton="0" quotePrefix="0" xfId="0"/>
    <xf numFmtId="37" fontId="4" fillId="25" borderId="4" pivotButton="0" quotePrefix="0" xfId="0"/>
    <xf numFmtId="0" fontId="6" fillId="39" borderId="3" applyAlignment="1" pivotButton="0" quotePrefix="0" xfId="0">
      <alignment horizontal="left" wrapText="1"/>
    </xf>
    <xf numFmtId="0" fontId="6" fillId="39" borderId="0" applyAlignment="1" pivotButton="0" quotePrefix="0" xfId="0">
      <alignment horizontal="left" wrapText="1"/>
    </xf>
    <xf numFmtId="0" fontId="8" fillId="2" borderId="0" applyAlignment="1" pivotButton="0" quotePrefix="0" xfId="0">
      <alignment horizontal="left" vertical="center" wrapText="1"/>
    </xf>
    <xf numFmtId="0" fontId="4" fillId="2" borderId="30" applyAlignment="1" pivotButton="0" quotePrefix="0" xfId="0">
      <alignment horizontal="left" wrapText="1"/>
    </xf>
    <xf numFmtId="0" fontId="4" fillId="2" borderId="8" applyAlignment="1" pivotButton="0" quotePrefix="0" xfId="0">
      <alignment horizontal="left" wrapText="1"/>
    </xf>
    <xf numFmtId="0" fontId="4" fillId="2" borderId="14" applyAlignment="1" pivotButton="0" quotePrefix="0" xfId="0">
      <alignment horizontal="left" wrapText="1"/>
    </xf>
    <xf numFmtId="0" fontId="4" fillId="2" borderId="3" applyAlignment="1" pivotButton="0" quotePrefix="0" xfId="0">
      <alignment horizontal="left" wrapText="1"/>
    </xf>
    <xf numFmtId="0" fontId="4" fillId="2" borderId="0" applyAlignment="1" pivotButton="0" quotePrefix="0" xfId="0">
      <alignment horizontal="left" wrapText="1"/>
    </xf>
    <xf numFmtId="0" fontId="4" fillId="2" borderId="24" applyAlignment="1" pivotButton="0" quotePrefix="0" xfId="0">
      <alignment horizontal="left" wrapText="1"/>
    </xf>
    <xf numFmtId="0" fontId="11" fillId="2" borderId="7" applyAlignment="1" pivotButton="0" quotePrefix="0" xfId="0">
      <alignment horizontal="left" wrapText="1"/>
    </xf>
    <xf numFmtId="0" fontId="11" fillId="2" borderId="0" applyAlignment="1" pivotButton="0" quotePrefix="0" xfId="0">
      <alignment horizontal="left" wrapText="1"/>
    </xf>
    <xf numFmtId="176" fontId="4" fillId="27" borderId="12" applyAlignment="1" pivotButton="0" quotePrefix="0" xfId="0">
      <alignment horizontal="center" wrapText="1"/>
    </xf>
    <xf numFmtId="176" fontId="15" fillId="16" borderId="1" applyAlignment="1" applyProtection="1" pivotButton="0" quotePrefix="0" xfId="0">
      <alignment horizontal="center"/>
      <protection locked="0" hidden="0"/>
    </xf>
    <xf numFmtId="0" fontId="6" fillId="39" borderId="0" applyAlignment="1" pivotButton="0" quotePrefix="0" xfId="0">
      <alignment horizontal="left" vertical="top"/>
    </xf>
    <xf numFmtId="0" fontId="8" fillId="2" borderId="30" applyAlignment="1" pivotButton="0" quotePrefix="0" xfId="0">
      <alignment horizontal="center" vertical="center" wrapText="1"/>
    </xf>
    <xf numFmtId="0" fontId="8" fillId="2" borderId="14"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0" applyAlignment="1" pivotButton="0" quotePrefix="0" xfId="0">
      <alignment horizontal="center" vertical="center" wrapText="1"/>
    </xf>
    <xf numFmtId="0" fontId="8" fillId="2" borderId="24" applyAlignment="1" pivotButton="0" quotePrefix="0" xfId="0">
      <alignment horizontal="center" vertical="center" wrapText="1"/>
    </xf>
    <xf numFmtId="0" fontId="8" fillId="2" borderId="9" applyAlignment="1" pivotButton="0" quotePrefix="0" xfId="0">
      <alignment horizontal="center" vertical="center" wrapText="1"/>
    </xf>
    <xf numFmtId="0" fontId="8" fillId="2" borderId="11" applyAlignment="1" pivotButton="0" quotePrefix="0" xfId="0">
      <alignment horizontal="center" vertical="center" wrapText="1"/>
    </xf>
    <xf numFmtId="37" fontId="4" fillId="16" borderId="39" applyAlignment="1" applyProtection="1" pivotButton="0" quotePrefix="0" xfId="0">
      <alignment horizontal="right"/>
      <protection locked="0" hidden="0"/>
    </xf>
    <xf numFmtId="37" fontId="4" fillId="16" borderId="25" applyAlignment="1" applyProtection="1" pivotButton="0" quotePrefix="0" xfId="0">
      <alignment horizontal="right"/>
      <protection locked="0" hidden="0"/>
    </xf>
    <xf numFmtId="37" fontId="4" fillId="16" borderId="54" applyAlignment="1" applyProtection="1" pivotButton="0" quotePrefix="0" xfId="0">
      <alignment horizontal="right"/>
      <protection locked="0" hidden="0"/>
    </xf>
    <xf numFmtId="0" fontId="11" fillId="15" borderId="7" applyAlignment="1" pivotButton="0" quotePrefix="0" xfId="0">
      <alignment horizontal="left" vertical="top" wrapText="1"/>
    </xf>
    <xf numFmtId="0" fontId="11" fillId="15" borderId="0" applyAlignment="1" pivotButton="0" quotePrefix="0" xfId="0">
      <alignment horizontal="left" vertical="top" wrapText="1"/>
    </xf>
    <xf numFmtId="0" fontId="11" fillId="15" borderId="4" applyAlignment="1" pivotButton="0" quotePrefix="0" xfId="0">
      <alignment horizontal="left" vertical="top" wrapText="1"/>
    </xf>
    <xf numFmtId="0" fontId="8" fillId="39" borderId="0" applyAlignment="1" pivotButton="0" quotePrefix="0" xfId="0">
      <alignment horizontal="left" wrapText="1"/>
    </xf>
    <xf numFmtId="0" fontId="8" fillId="39" borderId="4" applyAlignment="1" pivotButton="0" quotePrefix="0" xfId="0">
      <alignment horizontal="left" wrapText="1"/>
    </xf>
    <xf numFmtId="0" fontId="4" fillId="16" borderId="4" applyAlignment="1" applyProtection="1" pivotButton="0" quotePrefix="0" xfId="0">
      <alignment horizontal="left" wrapText="1"/>
      <protection locked="0" hidden="0"/>
    </xf>
    <xf numFmtId="0" fontId="20" fillId="15" borderId="7" applyAlignment="1" pivotButton="0" quotePrefix="0" xfId="0">
      <alignment horizontal="left" vertical="top" wrapText="1"/>
    </xf>
    <xf numFmtId="0" fontId="20" fillId="15" borderId="0" applyAlignment="1" pivotButton="0" quotePrefix="0" xfId="0">
      <alignment horizontal="left" vertical="top" wrapText="1"/>
    </xf>
    <xf numFmtId="0" fontId="4" fillId="16" borderId="59" applyAlignment="1" applyProtection="1" pivotButton="0" quotePrefix="0" xfId="0">
      <alignment horizontal="center"/>
      <protection locked="0" hidden="0"/>
    </xf>
    <xf numFmtId="0" fontId="4" fillId="16" borderId="74" applyAlignment="1" applyProtection="1" pivotButton="0" quotePrefix="0" xfId="0">
      <alignment horizontal="center"/>
      <protection locked="0" hidden="0"/>
    </xf>
    <xf numFmtId="0" fontId="4" fillId="16" borderId="60" applyAlignment="1" applyProtection="1" pivotButton="0" quotePrefix="0" xfId="0">
      <alignment horizontal="center"/>
      <protection locked="0" hidden="0"/>
    </xf>
    <xf numFmtId="49" fontId="285" fillId="16" borderId="61" applyAlignment="1" applyProtection="1" pivotButton="0" quotePrefix="0" xfId="0">
      <alignment horizontal="center" vertical="center"/>
      <protection locked="0" hidden="0"/>
    </xf>
    <xf numFmtId="49" fontId="285" fillId="16" borderId="62" applyAlignment="1" applyProtection="1" pivotButton="0" quotePrefix="0" xfId="0">
      <alignment horizontal="center" vertical="center"/>
      <protection locked="0" hidden="0"/>
    </xf>
    <xf numFmtId="49" fontId="285" fillId="16" borderId="63" applyAlignment="1" applyProtection="1" pivotButton="0" quotePrefix="0" xfId="0">
      <alignment horizontal="center" vertical="center"/>
      <protection locked="0" hidden="0"/>
    </xf>
    <xf numFmtId="0" fontId="15" fillId="15" borderId="7" applyAlignment="1" pivotButton="0" quotePrefix="0" xfId="0">
      <alignment horizontal="left" vertical="center" wrapText="1"/>
    </xf>
    <xf numFmtId="0" fontId="15" fillId="15" borderId="0" applyAlignment="1" pivotButton="0" quotePrefix="0" xfId="0">
      <alignment horizontal="left" vertical="center" wrapText="1"/>
    </xf>
    <xf numFmtId="0" fontId="15" fillId="27" borderId="39" applyAlignment="1" pivotButton="0" quotePrefix="0" xfId="0">
      <alignment horizontal="center" vertical="center"/>
    </xf>
    <xf numFmtId="0" fontId="15" fillId="27" borderId="54" applyAlignment="1" pivotButton="0" quotePrefix="0" xfId="0">
      <alignment horizontal="center" vertical="center"/>
    </xf>
    <xf numFmtId="201" fontId="285" fillId="16" borderId="30" applyAlignment="1" applyProtection="1" pivotButton="0" quotePrefix="0" xfId="0">
      <alignment horizontal="center" vertical="center"/>
      <protection locked="0" hidden="0"/>
    </xf>
    <xf numFmtId="201" fontId="285" fillId="16" borderId="8" applyAlignment="1" applyProtection="1" pivotButton="0" quotePrefix="0" xfId="0">
      <alignment horizontal="center" vertical="center"/>
      <protection locked="0" hidden="0"/>
    </xf>
    <xf numFmtId="0" fontId="8" fillId="15" borderId="0" applyAlignment="1" pivotButton="0" quotePrefix="0" xfId="0">
      <alignment horizontal="left" vertical="top" wrapText="1"/>
    </xf>
    <xf numFmtId="0" fontId="12" fillId="16" borderId="39" applyAlignment="1" applyProtection="1" pivotButton="0" quotePrefix="0" xfId="0">
      <alignment horizontal="center" vertical="center"/>
      <protection locked="0" hidden="0"/>
    </xf>
    <xf numFmtId="0" fontId="12" fillId="16" borderId="54" applyAlignment="1" applyProtection="1" pivotButton="0" quotePrefix="0" xfId="0">
      <alignment horizontal="center" vertical="center"/>
      <protection locked="0" hidden="0"/>
    </xf>
    <xf numFmtId="0" fontId="8" fillId="15" borderId="3" applyAlignment="1" pivotButton="0" quotePrefix="0" xfId="0">
      <alignment horizontal="left"/>
    </xf>
    <xf numFmtId="0" fontId="8" fillId="15" borderId="0" applyAlignment="1" pivotButton="0" quotePrefix="0" xfId="0">
      <alignment horizontal="left"/>
    </xf>
    <xf numFmtId="0" fontId="8" fillId="15" borderId="24" applyAlignment="1" pivotButton="0" quotePrefix="0" xfId="0">
      <alignment horizontal="left"/>
    </xf>
    <xf numFmtId="170" fontId="15" fillId="16" borderId="3" applyAlignment="1" applyProtection="1" pivotButton="0" quotePrefix="0" xfId="0">
      <alignment horizontal="center"/>
      <protection locked="0" hidden="0"/>
    </xf>
    <xf numFmtId="170" fontId="15" fillId="16" borderId="0" applyAlignment="1" applyProtection="1" pivotButton="0" quotePrefix="0" xfId="0">
      <alignment horizontal="center"/>
      <protection locked="0" hidden="0"/>
    </xf>
    <xf numFmtId="170" fontId="15" fillId="16" borderId="24" applyAlignment="1" applyProtection="1" pivotButton="0" quotePrefix="0" xfId="0">
      <alignment horizontal="center"/>
      <protection locked="0" hidden="0"/>
    </xf>
    <xf numFmtId="170" fontId="15" fillId="16" borderId="9" applyAlignment="1" applyProtection="1" pivotButton="0" quotePrefix="0" xfId="0">
      <alignment horizontal="center"/>
      <protection locked="0" hidden="0"/>
    </xf>
    <xf numFmtId="170" fontId="15" fillId="16" borderId="1" applyAlignment="1" applyProtection="1" pivotButton="0" quotePrefix="0" xfId="0">
      <alignment horizontal="center"/>
      <protection locked="0" hidden="0"/>
    </xf>
    <xf numFmtId="170" fontId="15" fillId="16" borderId="11" applyAlignment="1" applyProtection="1" pivotButton="0" quotePrefix="0" xfId="0">
      <alignment horizontal="center"/>
      <protection locked="0" hidden="0"/>
    </xf>
    <xf numFmtId="49" fontId="15" fillId="16" borderId="3" applyAlignment="1" applyProtection="1" pivotButton="0" quotePrefix="0" xfId="0">
      <alignment horizontal="center" wrapText="1"/>
      <protection locked="0" hidden="0"/>
    </xf>
    <xf numFmtId="49" fontId="15" fillId="16" borderId="0" applyAlignment="1" applyProtection="1" pivotButton="0" quotePrefix="0" xfId="0">
      <alignment horizontal="center" wrapText="1"/>
      <protection locked="0" hidden="0"/>
    </xf>
    <xf numFmtId="49" fontId="15" fillId="16" borderId="24" applyAlignment="1" applyProtection="1" pivotButton="0" quotePrefix="0" xfId="0">
      <alignment horizontal="center" wrapText="1"/>
      <protection locked="0" hidden="0"/>
    </xf>
    <xf numFmtId="49" fontId="15" fillId="16" borderId="9" applyAlignment="1" applyProtection="1" pivotButton="0" quotePrefix="0" xfId="0">
      <alignment horizontal="center" wrapText="1"/>
      <protection locked="0" hidden="0"/>
    </xf>
    <xf numFmtId="49" fontId="15" fillId="16" borderId="1" applyAlignment="1" applyProtection="1" pivotButton="0" quotePrefix="0" xfId="0">
      <alignment horizontal="center" wrapText="1"/>
      <protection locked="0" hidden="0"/>
    </xf>
    <xf numFmtId="49" fontId="15" fillId="16" borderId="11" applyAlignment="1" applyProtection="1" pivotButton="0" quotePrefix="0" xfId="0">
      <alignment horizontal="center" wrapText="1"/>
      <protection locked="0" hidden="0"/>
    </xf>
    <xf numFmtId="0" fontId="4" fillId="16" borderId="25" applyAlignment="1" applyProtection="1" pivotButton="0" quotePrefix="0" xfId="0">
      <alignment horizontal="left"/>
      <protection locked="0" hidden="0"/>
    </xf>
    <xf numFmtId="0" fontId="10" fillId="2" borderId="39" applyAlignment="1" pivotButton="0" quotePrefix="0" xfId="0">
      <alignment horizontal="center"/>
    </xf>
    <xf numFmtId="0" fontId="10" fillId="2" borderId="25" applyAlignment="1" pivotButton="0" quotePrefix="0" xfId="0">
      <alignment horizontal="center"/>
    </xf>
    <xf numFmtId="0" fontId="10" fillId="2" borderId="54" applyAlignment="1" pivotButton="0" quotePrefix="0" xfId="0">
      <alignment horizontal="center"/>
    </xf>
    <xf numFmtId="201" fontId="15" fillId="16" borderId="31" applyAlignment="1" applyProtection="1" pivotButton="0" quotePrefix="0" xfId="0">
      <alignment horizontal="center"/>
      <protection locked="0" hidden="0"/>
    </xf>
    <xf numFmtId="201" fontId="15" fillId="16" borderId="73" applyAlignment="1" applyProtection="1" pivotButton="0" quotePrefix="0" xfId="0">
      <alignment horizontal="center"/>
      <protection locked="0" hidden="0"/>
    </xf>
    <xf numFmtId="49" fontId="9" fillId="16" borderId="39" applyAlignment="1" applyProtection="1" pivotButton="0" quotePrefix="0" xfId="0">
      <alignment horizontal="center"/>
      <protection locked="0" hidden="0"/>
    </xf>
    <xf numFmtId="0" fontId="0" fillId="16" borderId="25" applyAlignment="1" applyProtection="1" pivotButton="0" quotePrefix="0" xfId="0">
      <alignment horizontal="center"/>
      <protection locked="0" hidden="0"/>
    </xf>
    <xf numFmtId="0" fontId="0" fillId="16" borderId="54" applyAlignment="1" applyProtection="1" pivotButton="0" quotePrefix="0" xfId="0">
      <alignment horizontal="center"/>
      <protection locked="0" hidden="0"/>
    </xf>
    <xf numFmtId="201" fontId="15" fillId="16" borderId="4" applyAlignment="1" applyProtection="1" pivotButton="0" quotePrefix="0" xfId="0">
      <alignment horizontal="left" indent="1"/>
      <protection locked="0" hidden="0"/>
    </xf>
    <xf numFmtId="0" fontId="4" fillId="16" borderId="0" applyAlignment="1" applyProtection="1" pivotButton="0" quotePrefix="0" xfId="0">
      <alignment horizontal="center"/>
      <protection locked="0" hidden="0"/>
    </xf>
    <xf numFmtId="0" fontId="4" fillId="16" borderId="24" applyAlignment="1" applyProtection="1" pivotButton="0" quotePrefix="0" xfId="0">
      <alignment horizontal="center"/>
      <protection locked="0" hidden="0"/>
    </xf>
    <xf numFmtId="0" fontId="4" fillId="16" borderId="1" applyAlignment="1" applyProtection="1" pivotButton="0" quotePrefix="0" xfId="0">
      <alignment horizontal="center"/>
      <protection locked="0" hidden="0"/>
    </xf>
    <xf numFmtId="0" fontId="4" fillId="16" borderId="11" applyAlignment="1" applyProtection="1" pivotButton="0" quotePrefix="0" xfId="0">
      <alignment horizontal="center"/>
      <protection locked="0" hidden="0"/>
    </xf>
    <xf numFmtId="37" fontId="106" fillId="15" borderId="30" pivotButton="0" quotePrefix="0" xfId="0"/>
    <xf numFmtId="37" fontId="106" fillId="15" borderId="8" pivotButton="0" quotePrefix="0" xfId="0"/>
    <xf numFmtId="0" fontId="117" fillId="0" borderId="8" pivotButton="0" quotePrefix="0" xfId="0"/>
    <xf numFmtId="0" fontId="11" fillId="15" borderId="0" applyAlignment="1" pivotButton="0" quotePrefix="0" xfId="4">
      <alignment horizontal="center"/>
    </xf>
    <xf numFmtId="0" fontId="6" fillId="0" borderId="1" pivotButton="0" quotePrefix="0" xfId="0"/>
    <xf numFmtId="37" fontId="4" fillId="25" borderId="30" pivotButton="0" quotePrefix="0" xfId="0"/>
    <xf numFmtId="37" fontId="4" fillId="25" borderId="8" pivotButton="0" quotePrefix="0" xfId="0"/>
    <xf numFmtId="0" fontId="6" fillId="25" borderId="8" pivotButton="0" quotePrefix="0" xfId="0"/>
    <xf numFmtId="0" fontId="6" fillId="27" borderId="25" pivotButton="0" quotePrefix="0" xfId="0"/>
    <xf numFmtId="4" fontId="158" fillId="15" borderId="30" applyAlignment="1" pivotButton="0" quotePrefix="0" xfId="0">
      <alignment horizontal="center" vertical="center" wrapText="1"/>
    </xf>
    <xf numFmtId="4" fontId="158" fillId="15" borderId="8" applyAlignment="1" pivotButton="0" quotePrefix="0" xfId="0">
      <alignment horizontal="center" vertical="center" wrapText="1"/>
    </xf>
    <xf numFmtId="4" fontId="158" fillId="15" borderId="14" applyAlignment="1" pivotButton="0" quotePrefix="0" xfId="0">
      <alignment horizontal="center" vertical="center" wrapText="1"/>
    </xf>
    <xf numFmtId="4" fontId="158" fillId="15" borderId="3" applyAlignment="1" pivotButton="0" quotePrefix="0" xfId="0">
      <alignment horizontal="center" vertical="center" wrapText="1"/>
    </xf>
    <xf numFmtId="4" fontId="158" fillId="15" borderId="9" applyAlignment="1" pivotButton="0" quotePrefix="0" xfId="0">
      <alignment horizontal="center" vertical="center" wrapText="1"/>
    </xf>
    <xf numFmtId="4" fontId="158" fillId="15" borderId="1" applyAlignment="1" pivotButton="0" quotePrefix="0" xfId="0">
      <alignment horizontal="center" vertical="center" wrapText="1"/>
    </xf>
    <xf numFmtId="4" fontId="158" fillId="15" borderId="11" applyAlignment="1" pivotButton="0" quotePrefix="0" xfId="0">
      <alignment horizontal="center" vertical="center" wrapText="1"/>
    </xf>
    <xf numFmtId="4" fontId="163" fillId="15" borderId="30" applyAlignment="1" pivotButton="0" quotePrefix="0" xfId="0">
      <alignment horizontal="center" vertical="center" wrapText="1"/>
    </xf>
    <xf numFmtId="4" fontId="163" fillId="15" borderId="8" applyAlignment="1" pivotButton="0" quotePrefix="0" xfId="0">
      <alignment horizontal="center" vertical="center" wrapText="1"/>
    </xf>
    <xf numFmtId="4" fontId="163" fillId="15" borderId="14" applyAlignment="1" pivotButton="0" quotePrefix="0" xfId="0">
      <alignment horizontal="center" vertical="center" wrapText="1"/>
    </xf>
    <xf numFmtId="4" fontId="163" fillId="15" borderId="3" applyAlignment="1" pivotButton="0" quotePrefix="0" xfId="0">
      <alignment horizontal="center" vertical="center" wrapText="1"/>
    </xf>
    <xf numFmtId="4" fontId="163" fillId="15" borderId="0" applyAlignment="1" pivotButton="0" quotePrefix="0" xfId="0">
      <alignment horizontal="center" vertical="center" wrapText="1"/>
    </xf>
    <xf numFmtId="4" fontId="163" fillId="15" borderId="24" applyAlignment="1" pivotButton="0" quotePrefix="0" xfId="0">
      <alignment horizontal="center" vertical="center" wrapText="1"/>
    </xf>
    <xf numFmtId="4" fontId="163" fillId="15" borderId="9" applyAlignment="1" pivotButton="0" quotePrefix="0" xfId="0">
      <alignment horizontal="center" vertical="center" wrapText="1"/>
    </xf>
    <xf numFmtId="4" fontId="163" fillId="15" borderId="1" applyAlignment="1" pivotButton="0" quotePrefix="0" xfId="0">
      <alignment horizontal="center" vertical="center" wrapText="1"/>
    </xf>
    <xf numFmtId="4" fontId="163" fillId="15" borderId="11" applyAlignment="1" pivotButton="0" quotePrefix="0" xfId="0">
      <alignment horizontal="center" vertical="center" wrapText="1"/>
    </xf>
    <xf numFmtId="37" fontId="106" fillId="15" borderId="3" applyAlignment="1" pivotButton="0" quotePrefix="0" xfId="0">
      <alignment vertical="center"/>
    </xf>
    <xf numFmtId="37" fontId="106" fillId="15" borderId="0" applyAlignment="1" pivotButton="0" quotePrefix="0" xfId="0">
      <alignment vertical="center"/>
    </xf>
    <xf numFmtId="0" fontId="117" fillId="0" borderId="0" applyAlignment="1" pivotButton="0" quotePrefix="0" xfId="0">
      <alignment vertical="center"/>
    </xf>
    <xf numFmtId="0" fontId="207" fillId="15" borderId="3" applyAlignment="1" pivotButton="0" quotePrefix="0" xfId="0">
      <alignment horizontal="center" wrapText="1"/>
    </xf>
    <xf numFmtId="4" fontId="12" fillId="15" borderId="0" applyAlignment="1" pivotButton="0" quotePrefix="0" xfId="0">
      <alignment horizontal="center"/>
    </xf>
    <xf numFmtId="4" fontId="12" fillId="15" borderId="24" applyAlignment="1" pivotButton="0" quotePrefix="0" xfId="0">
      <alignment horizontal="center"/>
    </xf>
    <xf numFmtId="174" fontId="102" fillId="2" borderId="3" applyAlignment="1" pivotButton="0" quotePrefix="0" xfId="0">
      <alignment horizontal="left" vertical="top"/>
    </xf>
    <xf numFmtId="0" fontId="67" fillId="0" borderId="23" applyAlignment="1" pivotButton="0" quotePrefix="0" xfId="2">
      <alignment horizontal="center" vertical="center"/>
    </xf>
    <xf numFmtId="0" fontId="67" fillId="0" borderId="7" applyAlignment="1" pivotButton="0" quotePrefix="0" xfId="2">
      <alignment horizontal="center" vertical="center"/>
    </xf>
    <xf numFmtId="0" fontId="67" fillId="0" borderId="19" applyAlignment="1" pivotButton="0" quotePrefix="0" xfId="2">
      <alignment horizontal="center" vertical="center"/>
    </xf>
    <xf numFmtId="0" fontId="67" fillId="0" borderId="5" applyAlignment="1" pivotButton="0" quotePrefix="0" xfId="2">
      <alignment horizontal="center" vertical="center"/>
    </xf>
    <xf numFmtId="0" fontId="67" fillId="0" borderId="0" applyAlignment="1" pivotButton="0" quotePrefix="0" xfId="2">
      <alignment horizontal="center" vertical="center"/>
    </xf>
    <xf numFmtId="0" fontId="67" fillId="0" borderId="0" applyAlignment="1" pivotButton="0" quotePrefix="0" xfId="2">
      <alignment horizontal="center" vertical="center"/>
    </xf>
    <xf numFmtId="0" fontId="67" fillId="0" borderId="20" applyAlignment="1" pivotButton="0" quotePrefix="0" xfId="2">
      <alignment horizontal="center" vertical="center"/>
    </xf>
    <xf numFmtId="0" fontId="67" fillId="0" borderId="21" applyAlignment="1" pivotButton="0" quotePrefix="0" xfId="2">
      <alignment horizontal="center" vertical="center"/>
    </xf>
    <xf numFmtId="0" fontId="67" fillId="0" borderId="4" applyAlignment="1" pivotButton="0" quotePrefix="0" xfId="2">
      <alignment horizontal="center" vertical="center"/>
    </xf>
    <xf numFmtId="0" fontId="67" fillId="0" borderId="22" applyAlignment="1" pivotButton="0" quotePrefix="0" xfId="2">
      <alignment horizontal="center" vertical="center"/>
    </xf>
    <xf numFmtId="37" fontId="106" fillId="15" borderId="9" applyAlignment="1" pivotButton="0" quotePrefix="0" xfId="0">
      <alignment vertical="top"/>
    </xf>
    <xf numFmtId="37" fontId="106" fillId="15" borderId="1" applyAlignment="1" pivotButton="0" quotePrefix="0" xfId="0">
      <alignment vertical="top"/>
    </xf>
    <xf numFmtId="0" fontId="117" fillId="0" borderId="1" applyAlignment="1" pivotButton="0" quotePrefix="0" xfId="0">
      <alignment vertical="top"/>
    </xf>
    <xf numFmtId="0" fontId="8" fillId="15" borderId="3" applyAlignment="1" pivotButton="0" quotePrefix="0" xfId="0">
      <alignment horizontal="left" indent="1"/>
    </xf>
    <xf numFmtId="0" fontId="8" fillId="0" borderId="0" applyAlignment="1" pivotButton="0" quotePrefix="0" xfId="0">
      <alignment horizontal="left" indent="1"/>
    </xf>
    <xf numFmtId="49" fontId="11" fillId="16" borderId="9" applyAlignment="1" applyProtection="1" pivotButton="0" quotePrefix="0" xfId="0">
      <alignment horizontal="center"/>
      <protection locked="0" hidden="0"/>
    </xf>
    <xf numFmtId="49" fontId="11" fillId="16" borderId="1" applyAlignment="1" applyProtection="1" pivotButton="0" quotePrefix="0" xfId="0">
      <alignment horizontal="center"/>
      <protection locked="0" hidden="0"/>
    </xf>
    <xf numFmtId="0" fontId="0" fillId="16" borderId="1" applyAlignment="1" applyProtection="1" pivotButton="0" quotePrefix="0" xfId="0">
      <alignment horizontal="center"/>
      <protection locked="0" hidden="0"/>
    </xf>
    <xf numFmtId="0" fontId="0" fillId="16" borderId="11" applyAlignment="1" applyProtection="1" pivotButton="0" quotePrefix="0" xfId="0">
      <alignment horizontal="center"/>
      <protection locked="0" hidden="0"/>
    </xf>
    <xf numFmtId="201" fontId="10" fillId="15" borderId="9" applyAlignment="1" pivotButton="0" quotePrefix="0" xfId="0">
      <alignment horizontal="center" vertical="top"/>
    </xf>
    <xf numFmtId="0" fontId="10" fillId="15" borderId="1" applyAlignment="1" pivotButton="0" quotePrefix="0" xfId="0">
      <alignment horizontal="center" vertical="top"/>
    </xf>
    <xf numFmtId="201" fontId="4" fillId="16" borderId="4" applyAlignment="1" applyProtection="1" pivotButton="0" quotePrefix="0" xfId="0">
      <alignment horizontal="center"/>
      <protection locked="0" hidden="0"/>
    </xf>
    <xf numFmtId="0" fontId="6" fillId="39" borderId="4" applyAlignment="1" pivotButton="0" quotePrefix="0" xfId="0">
      <alignment horizontal="left"/>
    </xf>
    <xf numFmtId="0" fontId="8" fillId="2" borderId="25" applyAlignment="1" pivotButton="0" quotePrefix="0" xfId="0">
      <alignment horizontal="left" vertical="center"/>
    </xf>
    <xf numFmtId="0" fontId="8" fillId="0" borderId="25" applyAlignment="1" pivotButton="0" quotePrefix="0" xfId="0">
      <alignment horizontal="left" vertical="center"/>
    </xf>
    <xf numFmtId="0" fontId="8" fillId="0" borderId="25" applyAlignment="1" pivotButton="0" quotePrefix="0" xfId="0">
      <alignment horizontal="left"/>
    </xf>
    <xf numFmtId="0" fontId="8" fillId="15" borderId="52" applyAlignment="1" pivotButton="0" quotePrefix="0" xfId="0">
      <alignment horizontal="center" vertical="center"/>
    </xf>
    <xf numFmtId="0" fontId="8" fillId="15" borderId="31" applyAlignment="1" pivotButton="0" quotePrefix="0" xfId="0">
      <alignment horizontal="center" vertical="center"/>
    </xf>
    <xf numFmtId="0" fontId="8" fillId="0" borderId="31" applyAlignment="1" pivotButton="0" quotePrefix="0" xfId="0">
      <alignment horizontal="center"/>
    </xf>
    <xf numFmtId="0" fontId="8" fillId="15" borderId="3" pivotButton="0" quotePrefix="0" xfId="0"/>
    <xf numFmtId="0" fontId="8" fillId="15" borderId="0" pivotButton="0" quotePrefix="0" xfId="0"/>
    <xf numFmtId="0" fontId="8" fillId="2" borderId="0" applyAlignment="1" pivotButton="0" quotePrefix="0" xfId="0">
      <alignment horizontal="left"/>
    </xf>
    <xf numFmtId="0" fontId="8" fillId="0" borderId="0" pivotButton="0" quotePrefix="0" xfId="0"/>
    <xf numFmtId="0" fontId="8" fillId="0" borderId="24" pivotButton="0" quotePrefix="0" xfId="0"/>
    <xf numFmtId="0" fontId="8" fillId="2" borderId="3" applyAlignment="1" pivotButton="0" quotePrefix="0" xfId="0">
      <alignment horizontal="left" indent="1"/>
    </xf>
    <xf numFmtId="0" fontId="8" fillId="2" borderId="0" applyAlignment="1" pivotButton="0" quotePrefix="0" xfId="0">
      <alignment horizontal="left" indent="1"/>
    </xf>
    <xf numFmtId="0" fontId="8" fillId="2" borderId="24" applyAlignment="1" pivotButton="0" quotePrefix="0" xfId="0">
      <alignment horizontal="left" indent="1"/>
    </xf>
    <xf numFmtId="0" fontId="67" fillId="11" borderId="61" applyAlignment="1" pivotButton="0" quotePrefix="0" xfId="2">
      <alignment horizontal="center"/>
    </xf>
    <xf numFmtId="0" fontId="0" fillId="0" borderId="62" applyAlignment="1" pivotButton="0" quotePrefix="0" xfId="0">
      <alignment horizontal="center"/>
    </xf>
    <xf numFmtId="0" fontId="0" fillId="0" borderId="63" applyAlignment="1" pivotButton="0" quotePrefix="0" xfId="0">
      <alignment horizontal="center"/>
    </xf>
    <xf numFmtId="4" fontId="8" fillId="15" borderId="3" applyAlignment="1" pivotButton="0" quotePrefix="0" xfId="0">
      <alignment horizontal="left" vertical="top" wrapText="1"/>
    </xf>
    <xf numFmtId="4" fontId="8" fillId="15" borderId="0" applyAlignment="1" pivotButton="0" quotePrefix="0" xfId="0">
      <alignment horizontal="left" vertical="top" wrapText="1"/>
    </xf>
    <xf numFmtId="0" fontId="8" fillId="2" borderId="3" applyAlignment="1" pivotButton="0" quotePrefix="0" xfId="0">
      <alignment horizontal="left"/>
    </xf>
    <xf numFmtId="0" fontId="20" fillId="39" borderId="16" applyAlignment="1" pivotButton="0" quotePrefix="0" xfId="0">
      <alignment horizontal="right"/>
    </xf>
    <xf numFmtId="0" fontId="0" fillId="39" borderId="16" pivotButton="0" quotePrefix="0" xfId="0"/>
    <xf numFmtId="37" fontId="4" fillId="27" borderId="4" pivotButton="0" quotePrefix="0" xfId="0"/>
    <xf numFmtId="37" fontId="4" fillId="15" borderId="30" applyAlignment="1" pivotButton="0" quotePrefix="0" xfId="0">
      <alignment horizontal="right"/>
    </xf>
    <xf numFmtId="37" fontId="4" fillId="15" borderId="8" applyAlignment="1" pivotButton="0" quotePrefix="0" xfId="0">
      <alignment horizontal="right"/>
    </xf>
    <xf numFmtId="37" fontId="4" fillId="25" borderId="9" applyAlignment="1" pivotButton="0" quotePrefix="0" xfId="0">
      <alignment horizontal="right"/>
    </xf>
    <xf numFmtId="37" fontId="4" fillId="25" borderId="1" applyAlignment="1" pivotButton="0" quotePrefix="0" xfId="0">
      <alignment horizontal="right"/>
    </xf>
    <xf numFmtId="0" fontId="8" fillId="39" borderId="0" applyAlignment="1" pivotButton="0" quotePrefix="0" xfId="0">
      <alignment horizontal="right" wrapText="1"/>
    </xf>
    <xf numFmtId="0" fontId="8" fillId="39" borderId="4" applyAlignment="1" pivotButton="0" quotePrefix="0" xfId="0">
      <alignment horizontal="right" wrapText="1"/>
    </xf>
    <xf numFmtId="0" fontId="4" fillId="16" borderId="99" applyAlignment="1" applyProtection="1" pivotButton="0" quotePrefix="0" xfId="0">
      <alignment horizontal="center"/>
      <protection locked="0" hidden="0"/>
    </xf>
    <xf numFmtId="0" fontId="4" fillId="16" borderId="199" applyAlignment="1" applyProtection="1" pivotButton="0" quotePrefix="0" xfId="0">
      <alignment horizontal="center"/>
      <protection locked="0" hidden="0"/>
    </xf>
    <xf numFmtId="0" fontId="8" fillId="2" borderId="8" applyAlignment="1" pivotButton="0" quotePrefix="0" xfId="0">
      <alignment horizontal="left" vertical="center"/>
    </xf>
    <xf numFmtId="0" fontId="8" fillId="0" borderId="8" applyAlignment="1" pivotButton="0" quotePrefix="0" xfId="0">
      <alignment horizontal="left" vertical="center"/>
    </xf>
    <xf numFmtId="0" fontId="8" fillId="0" borderId="8" applyAlignment="1" pivotButton="0" quotePrefix="0" xfId="0">
      <alignment horizontal="left"/>
    </xf>
    <xf numFmtId="0" fontId="15" fillId="16" borderId="1" applyAlignment="1" applyProtection="1" pivotButton="0" quotePrefix="0" xfId="0">
      <alignment horizontal="left" indent="1"/>
      <protection locked="0" hidden="0"/>
    </xf>
    <xf numFmtId="0" fontId="47" fillId="16" borderId="1" applyAlignment="1" applyProtection="1" pivotButton="0" quotePrefix="0" xfId="0">
      <alignment horizontal="left" indent="1"/>
      <protection locked="0" hidden="0"/>
    </xf>
    <xf numFmtId="0" fontId="47" fillId="16" borderId="11" applyAlignment="1" applyProtection="1" pivotButton="0" quotePrefix="0" xfId="0">
      <alignment horizontal="left" indent="1"/>
      <protection locked="0" hidden="0"/>
    </xf>
    <xf numFmtId="191" fontId="15" fillId="16" borderId="9" applyAlignment="1" applyProtection="1" pivotButton="0" quotePrefix="0" xfId="0">
      <alignment horizontal="center"/>
      <protection locked="0" hidden="0"/>
    </xf>
    <xf numFmtId="191" fontId="15" fillId="16" borderId="1" applyAlignment="1" applyProtection="1" pivotButton="0" quotePrefix="0" xfId="0">
      <alignment horizontal="center"/>
      <protection locked="0" hidden="0"/>
    </xf>
    <xf numFmtId="49" fontId="285" fillId="16" borderId="39" applyAlignment="1" applyProtection="1" pivotButton="0" quotePrefix="0" xfId="0">
      <alignment horizontal="center" vertical="center"/>
      <protection locked="0" hidden="0"/>
    </xf>
    <xf numFmtId="49" fontId="285" fillId="16" borderId="25" applyAlignment="1" applyProtection="1" pivotButton="0" quotePrefix="0" xfId="0">
      <alignment horizontal="center" vertical="center"/>
      <protection locked="0" hidden="0"/>
    </xf>
    <xf numFmtId="49" fontId="285" fillId="16" borderId="54" applyAlignment="1" applyProtection="1" pivotButton="0" quotePrefix="0" xfId="0">
      <alignment horizontal="center" vertical="center"/>
      <protection locked="0" hidden="0"/>
    </xf>
    <xf numFmtId="0" fontId="10" fillId="15" borderId="192" applyAlignment="1" pivotButton="0" quotePrefix="0" xfId="0">
      <alignment horizontal="center" vertical="center"/>
    </xf>
    <xf numFmtId="0" fontId="10" fillId="15" borderId="99" applyAlignment="1" pivotButton="0" quotePrefix="0" xfId="0">
      <alignment horizontal="center" vertical="center"/>
    </xf>
    <xf numFmtId="201" fontId="285" fillId="16" borderId="192" applyAlignment="1" applyProtection="1" pivotButton="0" quotePrefix="0" xfId="0">
      <alignment horizontal="center" vertical="center"/>
      <protection locked="0" hidden="0"/>
    </xf>
    <xf numFmtId="201" fontId="285" fillId="16" borderId="99" applyAlignment="1" applyProtection="1" pivotButton="0" quotePrefix="0" xfId="0">
      <alignment horizontal="center" vertical="center"/>
      <protection locked="0" hidden="0"/>
    </xf>
    <xf numFmtId="0" fontId="10" fillId="39" borderId="24" applyAlignment="1" pivotButton="0" quotePrefix="0" xfId="0">
      <alignment horizontal="left" vertical="top" wrapText="1"/>
    </xf>
    <xf numFmtId="0" fontId="10" fillId="39" borderId="11" applyAlignment="1" pivotButton="0" quotePrefix="0" xfId="0">
      <alignment horizontal="left" vertical="top" wrapText="1"/>
    </xf>
    <xf numFmtId="0" fontId="47" fillId="39" borderId="8" applyAlignment="1" pivotButton="0" quotePrefix="0" xfId="0">
      <alignment horizontal="left" vertical="top"/>
    </xf>
    <xf numFmtId="0" fontId="47" fillId="39" borderId="14" applyAlignment="1" pivotButton="0" quotePrefix="0" xfId="0">
      <alignment horizontal="left" vertical="top"/>
    </xf>
    <xf numFmtId="0" fontId="47" fillId="39" borderId="0" applyAlignment="1" pivotButton="0" quotePrefix="0" xfId="0">
      <alignment horizontal="left" vertical="top"/>
    </xf>
    <xf numFmtId="0" fontId="47" fillId="39" borderId="24" applyAlignment="1" pivotButton="0" quotePrefix="0" xfId="0">
      <alignment horizontal="left" vertical="top"/>
    </xf>
    <xf numFmtId="0" fontId="47" fillId="39" borderId="1" applyAlignment="1" pivotButton="0" quotePrefix="0" xfId="0">
      <alignment horizontal="left" vertical="top"/>
    </xf>
    <xf numFmtId="0" fontId="47" fillId="39" borderId="11" applyAlignment="1" pivotButton="0" quotePrefix="0" xfId="0">
      <alignment horizontal="left" vertical="top"/>
    </xf>
    <xf numFmtId="0" fontId="47" fillId="39" borderId="8" applyAlignment="1" pivotButton="0" quotePrefix="0" xfId="0">
      <alignment horizontal="left" wrapText="1"/>
    </xf>
    <xf numFmtId="0" fontId="47" fillId="39" borderId="14" applyAlignment="1" pivotButton="0" quotePrefix="0" xfId="0">
      <alignment horizontal="left" wrapText="1"/>
    </xf>
    <xf numFmtId="0" fontId="47" fillId="39" borderId="0" applyAlignment="1" pivotButton="0" quotePrefix="0" xfId="0">
      <alignment horizontal="left" wrapText="1"/>
    </xf>
    <xf numFmtId="0" fontId="47" fillId="39" borderId="24" applyAlignment="1" pivotButton="0" quotePrefix="0" xfId="0">
      <alignment horizontal="left" wrapText="1"/>
    </xf>
    <xf numFmtId="0" fontId="47" fillId="39" borderId="0" applyAlignment="1" pivotButton="0" quotePrefix="0" xfId="0">
      <alignment horizontal="left" vertical="center"/>
    </xf>
    <xf numFmtId="0" fontId="47" fillId="39" borderId="24" applyAlignment="1" pivotButton="0" quotePrefix="0" xfId="0">
      <alignment horizontal="left" vertical="center"/>
    </xf>
    <xf numFmtId="0" fontId="9" fillId="2" borderId="0" applyAlignment="1" pivotButton="0" quotePrefix="0" xfId="0">
      <alignment horizontal="left" vertical="top" wrapText="1"/>
    </xf>
    <xf numFmtId="0" fontId="15" fillId="15" borderId="0" applyAlignment="1" pivotButton="0" quotePrefix="0" xfId="0">
      <alignment horizontal="left" vertical="center"/>
    </xf>
    <xf numFmtId="0" fontId="11" fillId="16" borderId="1" applyAlignment="1" applyProtection="1" pivotButton="0" quotePrefix="0" xfId="0">
      <alignment horizontal="left" vertical="center"/>
      <protection locked="0" hidden="0"/>
    </xf>
    <xf numFmtId="0" fontId="11" fillId="16" borderId="11" applyAlignment="1" applyProtection="1" pivotButton="0" quotePrefix="0" xfId="0">
      <alignment horizontal="left" vertical="center"/>
      <protection locked="0" hidden="0"/>
    </xf>
    <xf numFmtId="0" fontId="11" fillId="16" borderId="1" applyAlignment="1" applyProtection="1" pivotButton="0" quotePrefix="0" xfId="0">
      <alignment horizontal="left"/>
      <protection locked="0" hidden="0"/>
    </xf>
    <xf numFmtId="0" fontId="11" fillId="16" borderId="11" applyAlignment="1" applyProtection="1" pivotButton="0" quotePrefix="0" xfId="0">
      <alignment horizontal="left"/>
      <protection locked="0" hidden="0"/>
    </xf>
    <xf numFmtId="1" fontId="4" fillId="19" borderId="15" applyAlignment="1" pivotButton="0" quotePrefix="0" xfId="0">
      <alignment horizontal="center" vertical="center"/>
    </xf>
    <xf numFmtId="1" fontId="4" fillId="19" borderId="6" applyAlignment="1" pivotButton="0" quotePrefix="0" xfId="0">
      <alignment horizontal="center" vertical="center"/>
    </xf>
    <xf numFmtId="0" fontId="11" fillId="16" borderId="0" applyAlignment="1" applyProtection="1" pivotButton="0" quotePrefix="0" xfId="0">
      <alignment horizontal="left" indent="1"/>
      <protection locked="0" hidden="0"/>
    </xf>
    <xf numFmtId="0" fontId="11" fillId="16" borderId="24" applyAlignment="1" applyProtection="1" pivotButton="0" quotePrefix="0" xfId="0">
      <alignment horizontal="left" indent="1"/>
      <protection locked="0" hidden="0"/>
    </xf>
    <xf numFmtId="0" fontId="11" fillId="16" borderId="1" applyAlignment="1" applyProtection="1" pivotButton="0" quotePrefix="0" xfId="0">
      <alignment horizontal="left" indent="1"/>
      <protection locked="0" hidden="0"/>
    </xf>
    <xf numFmtId="0" fontId="11" fillId="16" borderId="11" applyAlignment="1" applyProtection="1" pivotButton="0" quotePrefix="0" xfId="0">
      <alignment horizontal="left" indent="1"/>
      <protection locked="0" hidden="0"/>
    </xf>
    <xf numFmtId="0" fontId="8" fillId="2" borderId="30" applyAlignment="1" pivotButton="0" quotePrefix="0" xfId="0">
      <alignment horizontal="left" indent="1"/>
    </xf>
    <xf numFmtId="0" fontId="8" fillId="0" borderId="8" applyAlignment="1" pivotButton="0" quotePrefix="0" xfId="0">
      <alignment horizontal="left" indent="1"/>
    </xf>
    <xf numFmtId="0" fontId="8" fillId="0" borderId="14" applyAlignment="1" pivotButton="0" quotePrefix="0" xfId="0">
      <alignment horizontal="left" indent="1"/>
    </xf>
    <xf numFmtId="49" fontId="11" fillId="16" borderId="1" applyAlignment="1" applyProtection="1" pivotButton="0" quotePrefix="0" xfId="0">
      <alignment horizontal="left" indent="1"/>
      <protection locked="0" hidden="0"/>
    </xf>
    <xf numFmtId="49" fontId="0" fillId="0" borderId="1" applyAlignment="1" applyProtection="1" pivotButton="0" quotePrefix="0" xfId="0">
      <alignment horizontal="left" indent="1"/>
      <protection locked="0" hidden="0"/>
    </xf>
    <xf numFmtId="49" fontId="0" fillId="0" borderId="11" applyAlignment="1" applyProtection="1" pivotButton="0" quotePrefix="0" xfId="0">
      <alignment horizontal="left" indent="1"/>
      <protection locked="0" hidden="0"/>
    </xf>
    <xf numFmtId="0" fontId="11" fillId="15" borderId="8" applyAlignment="1" pivotButton="0" quotePrefix="0" xfId="0">
      <alignment horizontal="left" vertical="center" wrapText="1"/>
    </xf>
    <xf numFmtId="0" fontId="11" fillId="15" borderId="8" applyAlignment="1" pivotButton="0" quotePrefix="0" xfId="0">
      <alignment horizontal="left" vertical="center"/>
    </xf>
    <xf numFmtId="0" fontId="11" fillId="15" borderId="0" applyAlignment="1" pivotButton="0" quotePrefix="0" xfId="0">
      <alignment horizontal="left" vertical="center"/>
    </xf>
    <xf numFmtId="0" fontId="11" fillId="15" borderId="1" applyAlignment="1" pivotButton="0" quotePrefix="0" xfId="0">
      <alignment horizontal="left" vertical="center"/>
    </xf>
    <xf numFmtId="0" fontId="11" fillId="16" borderId="87" applyAlignment="1" applyProtection="1" pivotButton="0" quotePrefix="0" xfId="0">
      <alignment horizontal="left" vertical="center" indent="1"/>
      <protection locked="0" hidden="0"/>
    </xf>
    <xf numFmtId="0" fontId="6" fillId="15" borderId="0" applyAlignment="1" pivotButton="0" quotePrefix="0" xfId="0">
      <alignment horizontal="left" vertical="center" wrapText="1"/>
    </xf>
    <xf numFmtId="0" fontId="8" fillId="2" borderId="0" applyAlignment="1" pivotButton="0" quotePrefix="0" xfId="0">
      <alignment horizontal="left" vertical="top" wrapText="1"/>
    </xf>
    <xf numFmtId="0" fontId="8" fillId="2" borderId="1" applyAlignment="1" pivotButton="0" quotePrefix="0" xfId="0">
      <alignment horizontal="left" vertical="top" wrapText="1"/>
    </xf>
    <xf numFmtId="0" fontId="44" fillId="2" borderId="0" applyAlignment="1" pivotButton="0" quotePrefix="0" xfId="0">
      <alignment horizontal="left" vertical="center"/>
    </xf>
    <xf numFmtId="0" fontId="9" fillId="15" borderId="30" applyAlignment="1" pivotButton="0" quotePrefix="0" xfId="0">
      <alignment horizontal="left" wrapText="1" indent="1"/>
    </xf>
    <xf numFmtId="0" fontId="9" fillId="15" borderId="8" applyAlignment="1" pivotButton="0" quotePrefix="0" xfId="0">
      <alignment horizontal="left" wrapText="1" indent="1"/>
    </xf>
    <xf numFmtId="0" fontId="9" fillId="15" borderId="3" applyAlignment="1" pivotButton="0" quotePrefix="0" xfId="0">
      <alignment horizontal="left" wrapText="1" indent="1"/>
    </xf>
    <xf numFmtId="0" fontId="9" fillId="15" borderId="0" applyAlignment="1" pivotButton="0" quotePrefix="0" xfId="0">
      <alignment horizontal="left" wrapText="1" indent="1"/>
    </xf>
    <xf numFmtId="0" fontId="6" fillId="39" borderId="0" applyAlignment="1" pivotButton="0" quotePrefix="0" xfId="0">
      <alignment horizontal="left" vertical="top" wrapText="1"/>
    </xf>
    <xf numFmtId="49" fontId="261" fillId="15" borderId="0" applyAlignment="1" pivotButton="0" quotePrefix="0" xfId="0">
      <alignment horizontal="center" vertical="center" wrapText="1"/>
    </xf>
    <xf numFmtId="49" fontId="261" fillId="15" borderId="13" applyAlignment="1" pivotButton="0" quotePrefix="0" xfId="0">
      <alignment horizontal="center" vertical="center" wrapText="1"/>
    </xf>
    <xf numFmtId="0" fontId="166" fillId="39" borderId="5" applyAlignment="1" pivotButton="0" quotePrefix="0" xfId="0">
      <alignment horizontal="center"/>
    </xf>
    <xf numFmtId="0" fontId="166" fillId="39" borderId="0" applyAlignment="1" pivotButton="0" quotePrefix="0" xfId="0">
      <alignment horizontal="center"/>
    </xf>
    <xf numFmtId="0" fontId="16" fillId="39" borderId="197" applyAlignment="1" pivotButton="0" quotePrefix="0" xfId="0">
      <alignment horizontal="center"/>
    </xf>
    <xf numFmtId="0" fontId="16" fillId="39" borderId="13" applyAlignment="1" pivotButton="0" quotePrefix="0" xfId="0">
      <alignment horizontal="center"/>
    </xf>
    <xf numFmtId="0" fontId="8" fillId="39" borderId="35" applyAlignment="1" pivotButton="0" quotePrefix="0" xfId="0">
      <alignment horizontal="center" wrapText="1"/>
    </xf>
    <xf numFmtId="0" fontId="8" fillId="39" borderId="13" applyAlignment="1" pivotButton="0" quotePrefix="0" xfId="0">
      <alignment horizontal="center" wrapText="1"/>
    </xf>
    <xf numFmtId="0" fontId="8" fillId="39" borderId="158" applyAlignment="1" pivotButton="0" quotePrefix="0" xfId="0">
      <alignment horizontal="center" wrapText="1"/>
    </xf>
    <xf numFmtId="0" fontId="261" fillId="39" borderId="3" applyAlignment="1" pivotButton="0" quotePrefix="0" xfId="0">
      <alignment horizontal="center" vertical="center"/>
    </xf>
    <xf numFmtId="0" fontId="261" fillId="39" borderId="0" applyAlignment="1" pivotButton="0" quotePrefix="0" xfId="0">
      <alignment horizontal="center" vertical="center"/>
    </xf>
    <xf numFmtId="0" fontId="261" fillId="39" borderId="24" applyAlignment="1" pivotButton="0" quotePrefix="0" xfId="0">
      <alignment horizontal="center" vertical="center"/>
    </xf>
    <xf numFmtId="0" fontId="261" fillId="39" borderId="35" applyAlignment="1" pivotButton="0" quotePrefix="0" xfId="0">
      <alignment horizontal="center" vertical="center"/>
    </xf>
    <xf numFmtId="0" fontId="261" fillId="39" borderId="13" applyAlignment="1" pivotButton="0" quotePrefix="0" xfId="0">
      <alignment horizontal="center" vertical="center"/>
    </xf>
    <xf numFmtId="0" fontId="261" fillId="39" borderId="17" applyAlignment="1" pivotButton="0" quotePrefix="0" xfId="0">
      <alignment horizontal="center" vertical="center"/>
    </xf>
    <xf numFmtId="0" fontId="11" fillId="16" borderId="9" applyAlignment="1" applyProtection="1" pivotButton="0" quotePrefix="0" xfId="0">
      <alignment horizontal="left" wrapText="1" indent="1"/>
      <protection locked="0" hidden="0"/>
    </xf>
    <xf numFmtId="0" fontId="0" fillId="0" borderId="1" applyAlignment="1" applyProtection="1" pivotButton="0" quotePrefix="0" xfId="0">
      <alignment horizontal="left" wrapText="1" indent="1"/>
      <protection locked="0" hidden="0"/>
    </xf>
    <xf numFmtId="0" fontId="0" fillId="0" borderId="11" applyAlignment="1" applyProtection="1" pivotButton="0" quotePrefix="0" xfId="0">
      <alignment horizontal="left" wrapText="1" indent="1"/>
      <protection locked="0" hidden="0"/>
    </xf>
    <xf numFmtId="176" fontId="11" fillId="16" borderId="9" applyAlignment="1" applyProtection="1" pivotButton="0" quotePrefix="0" xfId="0">
      <alignment horizontal="center"/>
      <protection locked="0" hidden="0"/>
    </xf>
    <xf numFmtId="176" fontId="11" fillId="16" borderId="1" applyAlignment="1" applyProtection="1" pivotButton="0" quotePrefix="0" xfId="0">
      <alignment horizontal="center"/>
      <protection locked="0" hidden="0"/>
    </xf>
    <xf numFmtId="176" fontId="14" fillId="16" borderId="1" applyAlignment="1" applyProtection="1" pivotButton="0" quotePrefix="0" xfId="0">
      <alignment horizontal="center"/>
      <protection locked="0" hidden="0"/>
    </xf>
    <xf numFmtId="0" fontId="44" fillId="39" borderId="3" applyAlignment="1" pivotButton="0" quotePrefix="0" xfId="0">
      <alignment horizontal="center" vertical="center" wrapText="1"/>
    </xf>
    <xf numFmtId="0" fontId="44" fillId="39" borderId="0" applyAlignment="1" pivotButton="0" quotePrefix="0" xfId="0">
      <alignment horizontal="center" vertical="center" wrapText="1"/>
    </xf>
    <xf numFmtId="0" fontId="44" fillId="39" borderId="20" applyAlignment="1" pivotButton="0" quotePrefix="0" xfId="0">
      <alignment horizontal="center" vertical="center" wrapText="1"/>
    </xf>
    <xf numFmtId="0" fontId="8" fillId="2" borderId="56" applyAlignment="1" pivotButton="0" quotePrefix="0" xfId="0">
      <alignment horizontal="left"/>
    </xf>
    <xf numFmtId="0" fontId="8" fillId="2" borderId="7" applyAlignment="1" pivotButton="0" quotePrefix="0" xfId="0">
      <alignment horizontal="left"/>
    </xf>
    <xf numFmtId="0" fontId="8" fillId="2" borderId="36" applyAlignment="1" pivotButton="0" quotePrefix="0" xfId="0">
      <alignment horizontal="left"/>
    </xf>
    <xf numFmtId="0" fontId="20" fillId="39" borderId="13" applyAlignment="1" pivotButton="0" quotePrefix="0" xfId="0">
      <alignment horizontal="left" vertical="center" indent="1"/>
    </xf>
    <xf numFmtId="0" fontId="0" fillId="0" borderId="13" applyAlignment="1" pivotButton="0" quotePrefix="0" xfId="0">
      <alignment horizontal="left" indent="1"/>
    </xf>
    <xf numFmtId="0" fontId="0" fillId="0" borderId="17" applyAlignment="1" pivotButton="0" quotePrefix="0" xfId="0">
      <alignment horizontal="left" indent="1"/>
    </xf>
    <xf numFmtId="202" fontId="11" fillId="16" borderId="34" applyAlignment="1" applyProtection="1" pivotButton="0" quotePrefix="0" xfId="0">
      <alignment horizontal="center" vertical="center"/>
      <protection locked="0" hidden="0"/>
    </xf>
    <xf numFmtId="4" fontId="4" fillId="2" borderId="3" applyAlignment="1" pivotButton="0" quotePrefix="0" xfId="0">
      <alignment horizontal="left" indent="1"/>
    </xf>
    <xf numFmtId="4" fontId="4" fillId="2" borderId="0" applyAlignment="1" pivotButton="0" quotePrefix="0" xfId="0">
      <alignment horizontal="left" indent="1"/>
    </xf>
    <xf numFmtId="0" fontId="6" fillId="0" borderId="0" applyAlignment="1" pivotButton="0" quotePrefix="0" xfId="0">
      <alignment horizontal="left" indent="1"/>
    </xf>
    <xf numFmtId="0" fontId="8" fillId="39" borderId="30" applyAlignment="1" pivotButton="0" quotePrefix="0" xfId="0">
      <alignment horizontal="left" wrapText="1"/>
    </xf>
    <xf numFmtId="0" fontId="8" fillId="39" borderId="8" applyAlignment="1" pivotButton="0" quotePrefix="0" xfId="0">
      <alignment horizontal="left" wrapText="1"/>
    </xf>
    <xf numFmtId="0" fontId="6" fillId="15" borderId="0" applyAlignment="1" pivotButton="0" quotePrefix="0" xfId="0">
      <alignment horizontal="left" vertical="center" textRotation="90"/>
    </xf>
    <xf numFmtId="0" fontId="6" fillId="15" borderId="13" applyAlignment="1" pivotButton="0" quotePrefix="0" xfId="0">
      <alignment horizontal="left" vertical="center"/>
    </xf>
    <xf numFmtId="0" fontId="9" fillId="16" borderId="39" applyAlignment="1" applyProtection="1" pivotButton="0" quotePrefix="0" xfId="0">
      <alignment horizontal="center" vertical="center"/>
      <protection locked="0" hidden="0"/>
    </xf>
    <xf numFmtId="0" fontId="9" fillId="16" borderId="54" applyAlignment="1" applyProtection="1" pivotButton="0" quotePrefix="0" xfId="0">
      <alignment horizontal="center" vertical="center"/>
      <protection locked="0" hidden="0"/>
    </xf>
    <xf numFmtId="170" fontId="4" fillId="16" borderId="25" applyAlignment="1" applyProtection="1" pivotButton="0" quotePrefix="0" xfId="0">
      <alignment horizontal="center"/>
      <protection locked="0" hidden="0"/>
    </xf>
    <xf numFmtId="4" fontId="14" fillId="2" borderId="190" applyAlignment="1" pivotButton="0" quotePrefix="0" xfId="0">
      <alignment horizontal="center" vertical="center"/>
    </xf>
    <xf numFmtId="4" fontId="14" fillId="2" borderId="34" applyAlignment="1" pivotButton="0" quotePrefix="0" xfId="0">
      <alignment horizontal="center" vertical="center"/>
    </xf>
    <xf numFmtId="0" fontId="14" fillId="0" borderId="34" applyAlignment="1" pivotButton="0" quotePrefix="0" xfId="0">
      <alignment horizontal="center" vertical="center"/>
    </xf>
    <xf numFmtId="4" fontId="4" fillId="2" borderId="30" applyAlignment="1" pivotButton="0" quotePrefix="0" xfId="0">
      <alignment horizontal="left" indent="1"/>
    </xf>
    <xf numFmtId="4" fontId="4" fillId="2" borderId="8" applyAlignment="1" pivotButton="0" quotePrefix="0" xfId="0">
      <alignment horizontal="left" indent="1"/>
    </xf>
    <xf numFmtId="0" fontId="6" fillId="0" borderId="8" applyAlignment="1" pivotButton="0" quotePrefix="0" xfId="0">
      <alignment horizontal="left" indent="1"/>
    </xf>
    <xf numFmtId="0" fontId="166" fillId="5" borderId="0" applyAlignment="1" pivotButton="0" quotePrefix="0" xfId="0">
      <alignment horizontal="center"/>
    </xf>
    <xf numFmtId="0" fontId="309" fillId="2" borderId="0" applyAlignment="1" pivotButton="0" quotePrefix="0" xfId="0">
      <alignment horizontal="left" vertical="center" wrapText="1"/>
    </xf>
    <xf numFmtId="0" fontId="4" fillId="15" borderId="3" applyAlignment="1" pivotButton="0" quotePrefix="0" xfId="0">
      <alignment horizontal="left" vertical="top" wrapText="1"/>
    </xf>
    <xf numFmtId="0" fontId="4" fillId="15" borderId="0" applyAlignment="1" pivotButton="0" quotePrefix="0" xfId="0">
      <alignment horizontal="left" vertical="top" wrapText="1"/>
    </xf>
    <xf numFmtId="0" fontId="6" fillId="15" borderId="23" applyAlignment="1" pivotButton="0" quotePrefix="0" xfId="0">
      <alignment horizontal="left" vertical="center" wrapText="1"/>
    </xf>
    <xf numFmtId="0" fontId="6" fillId="15" borderId="7" applyAlignment="1" pivotButton="0" quotePrefix="0" xfId="0">
      <alignment horizontal="left" vertical="center" wrapText="1"/>
    </xf>
    <xf numFmtId="0" fontId="6" fillId="15" borderId="19" applyAlignment="1" pivotButton="0" quotePrefix="0" xfId="0">
      <alignment horizontal="left" vertical="center" wrapText="1"/>
    </xf>
    <xf numFmtId="0" fontId="6" fillId="15" borderId="5" applyAlignment="1" pivotButton="0" quotePrefix="0" xfId="0">
      <alignment horizontal="left" vertical="center" wrapText="1"/>
    </xf>
    <xf numFmtId="0" fontId="6" fillId="15" borderId="20" applyAlignment="1" pivotButton="0" quotePrefix="0" xfId="0">
      <alignment horizontal="left" vertical="center" wrapText="1"/>
    </xf>
    <xf numFmtId="0" fontId="6" fillId="15" borderId="21" applyAlignment="1" pivotButton="0" quotePrefix="0" xfId="0">
      <alignment horizontal="left" vertical="center" wrapText="1"/>
    </xf>
    <xf numFmtId="0" fontId="6" fillId="15" borderId="4" applyAlignment="1" pivotButton="0" quotePrefix="0" xfId="0">
      <alignment horizontal="left" vertical="center" wrapText="1"/>
    </xf>
    <xf numFmtId="0" fontId="6" fillId="15" borderId="22" applyAlignment="1" pivotButton="0" quotePrefix="0" xfId="0">
      <alignment horizontal="left" vertical="center" wrapText="1"/>
    </xf>
    <xf numFmtId="176" fontId="4" fillId="27" borderId="39" applyAlignment="1" pivotButton="0" quotePrefix="0" xfId="0">
      <alignment horizontal="center" wrapText="1"/>
    </xf>
    <xf numFmtId="0" fontId="8" fillId="2" borderId="34" applyAlignment="1" pivotButton="0" quotePrefix="0" xfId="0">
      <alignment horizontal="right" vertical="center" indent="1"/>
    </xf>
    <xf numFmtId="1" fontId="6" fillId="5" borderId="0" applyAlignment="1" pivotButton="0" quotePrefix="0" xfId="0">
      <alignment horizontal="center"/>
    </xf>
    <xf numFmtId="0" fontId="47" fillId="39" borderId="8" applyAlignment="1" pivotButton="0" quotePrefix="0" xfId="0">
      <alignment horizontal="left" vertical="center" wrapText="1"/>
    </xf>
    <xf numFmtId="0" fontId="47" fillId="39" borderId="8" applyAlignment="1" pivotButton="0" quotePrefix="0" xfId="0">
      <alignment horizontal="left" vertical="center"/>
    </xf>
    <xf numFmtId="0" fontId="47" fillId="39" borderId="13" applyAlignment="1" pivotButton="0" quotePrefix="0" xfId="0">
      <alignment horizontal="left" vertical="center"/>
    </xf>
    <xf numFmtId="0" fontId="10" fillId="39" borderId="30" applyAlignment="1" pivotButton="0" quotePrefix="0" xfId="0">
      <alignment horizontal="center" vertical="top" wrapText="1"/>
    </xf>
    <xf numFmtId="0" fontId="10" fillId="39" borderId="8" applyAlignment="1" pivotButton="0" quotePrefix="0" xfId="0">
      <alignment horizontal="center" vertical="top" wrapText="1"/>
    </xf>
    <xf numFmtId="0" fontId="10" fillId="39" borderId="14" applyAlignment="1" pivotButton="0" quotePrefix="0" xfId="0">
      <alignment horizontal="center" vertical="top" wrapText="1"/>
    </xf>
    <xf numFmtId="0" fontId="67" fillId="6" borderId="5" applyAlignment="1" pivotButton="0" quotePrefix="0" xfId="2">
      <alignment horizontal="center"/>
    </xf>
    <xf numFmtId="0" fontId="0" fillId="0" borderId="0" applyAlignment="1" pivotButton="0" quotePrefix="0" xfId="0">
      <alignment horizontal="center"/>
    </xf>
    <xf numFmtId="0" fontId="4" fillId="39" borderId="30" applyAlignment="1" pivotButton="0" quotePrefix="0" xfId="0">
      <alignment horizontal="center" vertical="center" wrapText="1"/>
    </xf>
    <xf numFmtId="0" fontId="4" fillId="39" borderId="3" applyAlignment="1" pivotButton="0" quotePrefix="0" xfId="0">
      <alignment horizontal="center" vertical="center" wrapText="1"/>
    </xf>
    <xf numFmtId="0" fontId="4" fillId="39" borderId="9" applyAlignment="1" pivotButton="0" quotePrefix="0" xfId="0">
      <alignment horizontal="center" vertical="center" wrapText="1"/>
    </xf>
    <xf numFmtId="0" fontId="10" fillId="39" borderId="9" applyAlignment="1" pivotButton="0" quotePrefix="0" xfId="0">
      <alignment horizontal="center" vertical="center" wrapText="1"/>
    </xf>
    <xf numFmtId="0" fontId="0" fillId="39" borderId="1" applyAlignment="1" pivotButton="0" quotePrefix="0" xfId="0">
      <alignment horizontal="center" vertical="center" wrapText="1"/>
    </xf>
    <xf numFmtId="0" fontId="4" fillId="0" borderId="0" applyAlignment="1" pivotButton="0" quotePrefix="0" xfId="0">
      <alignment horizontal="center" textRotation="90"/>
    </xf>
    <xf numFmtId="170" fontId="4" fillId="16" borderId="39" applyAlignment="1" applyProtection="1" pivotButton="0" quotePrefix="0" xfId="0">
      <alignment horizontal="center" vertical="center"/>
      <protection locked="0" hidden="0"/>
    </xf>
    <xf numFmtId="170" fontId="4" fillId="0" borderId="25" applyAlignment="1" applyProtection="1" pivotButton="0" quotePrefix="0" xfId="0">
      <alignment horizontal="center" vertical="center"/>
      <protection locked="0" hidden="0"/>
    </xf>
    <xf numFmtId="170" fontId="4" fillId="0" borderId="54" applyAlignment="1" applyProtection="1" pivotButton="0" quotePrefix="0" xfId="0">
      <alignment horizontal="center" vertical="center"/>
      <protection locked="0" hidden="0"/>
    </xf>
    <xf numFmtId="170" fontId="4" fillId="16" borderId="192" applyAlignment="1" applyProtection="1" pivotButton="0" quotePrefix="0" xfId="0">
      <alignment horizontal="center" vertical="center"/>
      <protection locked="0" hidden="0"/>
    </xf>
    <xf numFmtId="170" fontId="4" fillId="0" borderId="99" applyAlignment="1" applyProtection="1" pivotButton="0" quotePrefix="0" xfId="0">
      <alignment horizontal="center" vertical="center"/>
      <protection locked="0" hidden="0"/>
    </xf>
    <xf numFmtId="170" fontId="4" fillId="0" borderId="199" applyAlignment="1" applyProtection="1" pivotButton="0" quotePrefix="0" xfId="0">
      <alignment horizontal="center" vertical="center"/>
      <protection locked="0" hidden="0"/>
    </xf>
    <xf numFmtId="0" fontId="4" fillId="0" borderId="0" applyAlignment="1" pivotButton="0" quotePrefix="0" xfId="0">
      <alignment horizontal="center" wrapText="1"/>
    </xf>
    <xf numFmtId="0" fontId="143" fillId="23" borderId="0" applyAlignment="1" pivotButton="0" quotePrefix="0" xfId="0">
      <alignment horizontal="center" vertical="center" wrapText="1"/>
    </xf>
    <xf numFmtId="0" fontId="143" fillId="23" borderId="1" applyAlignment="1" pivotButton="0" quotePrefix="0" xfId="0">
      <alignment horizontal="center" vertical="center" wrapText="1"/>
    </xf>
    <xf numFmtId="0" fontId="172" fillId="23" borderId="1" applyAlignment="1" pivotButton="0" quotePrefix="0" xfId="0">
      <alignment horizontal="center"/>
    </xf>
    <xf numFmtId="0" fontId="8" fillId="39" borderId="30" applyAlignment="1" pivotButton="0" quotePrefix="0" xfId="0">
      <alignment horizontal="center" vertical="center" wrapText="1"/>
    </xf>
    <xf numFmtId="0" fontId="8" fillId="39" borderId="8" applyAlignment="1" pivotButton="0" quotePrefix="0" xfId="0">
      <alignment horizontal="center" vertical="center" wrapText="1"/>
    </xf>
    <xf numFmtId="0" fontId="8" fillId="39" borderId="14" applyAlignment="1" pivotButton="0" quotePrefix="0" xfId="0">
      <alignment horizontal="center" vertical="center" wrapText="1"/>
    </xf>
    <xf numFmtId="0" fontId="8" fillId="39" borderId="9" applyAlignment="1" pivotButton="0" quotePrefix="0" xfId="0">
      <alignment horizontal="center" vertical="center" wrapText="1"/>
    </xf>
    <xf numFmtId="0" fontId="8" fillId="39" borderId="1" applyAlignment="1" pivotButton="0" quotePrefix="0" xfId="0">
      <alignment horizontal="center" vertical="center" wrapText="1"/>
    </xf>
    <xf numFmtId="0" fontId="8" fillId="39" borderId="11" applyAlignment="1" pivotButton="0" quotePrefix="0" xfId="0">
      <alignment horizontal="center" vertical="center" wrapText="1"/>
    </xf>
    <xf numFmtId="0" fontId="4" fillId="0" borderId="159" applyAlignment="1" pivotButton="0" quotePrefix="0" xfId="0">
      <alignment horizontal="center" wrapText="1"/>
    </xf>
    <xf numFmtId="0" fontId="356" fillId="23" borderId="0" applyAlignment="1" pivotButton="0" quotePrefix="0" xfId="0">
      <alignment horizontal="center" vertical="center" wrapText="1"/>
    </xf>
    <xf numFmtId="0" fontId="15" fillId="23" borderId="0" applyAlignment="1" pivotButton="0" quotePrefix="0" xfId="0">
      <alignment horizontal="left" vertical="top" wrapText="1"/>
    </xf>
    <xf numFmtId="0" fontId="15" fillId="23" borderId="1" applyAlignment="1" pivotButton="0" quotePrefix="0" xfId="0">
      <alignment horizontal="left" vertical="top" wrapText="1"/>
    </xf>
    <xf numFmtId="0" fontId="8" fillId="39" borderId="80" applyAlignment="1" pivotButton="0" quotePrefix="0" xfId="0">
      <alignment horizontal="center" vertical="center" wrapText="1"/>
    </xf>
    <xf numFmtId="0" fontId="8" fillId="39" borderId="26" applyAlignment="1" pivotButton="0" quotePrefix="0" xfId="0">
      <alignment horizontal="center" vertical="center" wrapText="1"/>
    </xf>
    <xf numFmtId="0" fontId="6" fillId="15" borderId="13" applyAlignment="1" applyProtection="1" pivotButton="0" quotePrefix="0" xfId="0">
      <alignment horizontal="left" vertical="center" wrapText="1"/>
      <protection locked="0" hidden="0"/>
    </xf>
    <xf numFmtId="176" fontId="4" fillId="16" borderId="192" applyAlignment="1" applyProtection="1" pivotButton="0" quotePrefix="0" xfId="0">
      <alignment horizontal="center" vertical="center"/>
      <protection locked="0" hidden="0"/>
    </xf>
    <xf numFmtId="176" fontId="4" fillId="0" borderId="99" applyAlignment="1" applyProtection="1" pivotButton="0" quotePrefix="0" xfId="0">
      <alignment horizontal="center" vertical="center"/>
      <protection locked="0" hidden="0"/>
    </xf>
    <xf numFmtId="176" fontId="4" fillId="0" borderId="199" applyAlignment="1" applyProtection="1" pivotButton="0" quotePrefix="0" xfId="0">
      <alignment horizontal="center" vertical="center"/>
      <protection locked="0" hidden="0"/>
    </xf>
    <xf numFmtId="0" fontId="4" fillId="16" borderId="192" applyAlignment="1" applyProtection="1" pivotButton="0" quotePrefix="0" xfId="0">
      <alignment horizontal="center" vertical="center"/>
      <protection locked="0" hidden="0"/>
    </xf>
    <xf numFmtId="0" fontId="4" fillId="0" borderId="99" applyAlignment="1" applyProtection="1" pivotButton="0" quotePrefix="0" xfId="0">
      <alignment horizontal="center" vertical="center"/>
      <protection locked="0" hidden="0"/>
    </xf>
    <xf numFmtId="0" fontId="4" fillId="0" borderId="199" applyAlignment="1" applyProtection="1" pivotButton="0" quotePrefix="0" xfId="0">
      <alignment horizontal="center" vertical="center"/>
      <protection locked="0" hidden="0"/>
    </xf>
    <xf numFmtId="0" fontId="4" fillId="16" borderId="25" applyAlignment="1" applyProtection="1" pivotButton="0" quotePrefix="0" xfId="0">
      <alignment horizontal="left" vertical="center"/>
      <protection locked="0" hidden="0"/>
    </xf>
    <xf numFmtId="0" fontId="4" fillId="16" borderId="192" applyAlignment="1" applyProtection="1" pivotButton="0" quotePrefix="0" xfId="0">
      <alignment horizontal="left" vertical="center"/>
      <protection locked="0" hidden="0"/>
    </xf>
    <xf numFmtId="0" fontId="4" fillId="16" borderId="99" applyAlignment="1" applyProtection="1" pivotButton="0" quotePrefix="0" xfId="0">
      <alignment horizontal="left" vertical="center"/>
      <protection locked="0" hidden="0"/>
    </xf>
    <xf numFmtId="0" fontId="4" fillId="16" borderId="39" applyAlignment="1" applyProtection="1" pivotButton="0" quotePrefix="0" xfId="0">
      <alignment horizontal="left" vertical="center"/>
      <protection locked="0" hidden="0"/>
    </xf>
    <xf numFmtId="0" fontId="4" fillId="16" borderId="54" applyAlignment="1" applyProtection="1" pivotButton="0" quotePrefix="0" xfId="0">
      <alignment horizontal="left" vertical="center"/>
      <protection locked="0" hidden="0"/>
    </xf>
    <xf numFmtId="176" fontId="4" fillId="16" borderId="39" applyAlignment="1" applyProtection="1" pivotButton="0" quotePrefix="0" xfId="0">
      <alignment horizontal="center" vertical="center"/>
      <protection locked="0" hidden="0"/>
    </xf>
    <xf numFmtId="176" fontId="4" fillId="0" borderId="25" applyAlignment="1" applyProtection="1" pivotButton="0" quotePrefix="0" xfId="0">
      <alignment horizontal="center" vertical="center"/>
      <protection locked="0" hidden="0"/>
    </xf>
    <xf numFmtId="176" fontId="4" fillId="0" borderId="54" applyAlignment="1" applyProtection="1" pivotButton="0" quotePrefix="0" xfId="0">
      <alignment horizontal="center" vertical="center"/>
      <protection locked="0" hidden="0"/>
    </xf>
    <xf numFmtId="0" fontId="4" fillId="16" borderId="39" applyAlignment="1" applyProtection="1" pivotButton="0" quotePrefix="0" xfId="0">
      <alignment horizontal="center" vertical="center"/>
      <protection locked="0" hidden="0"/>
    </xf>
    <xf numFmtId="0" fontId="4" fillId="0" borderId="25" applyAlignment="1" applyProtection="1" pivotButton="0" quotePrefix="0" xfId="0">
      <alignment horizontal="center" vertical="center"/>
      <protection locked="0" hidden="0"/>
    </xf>
    <xf numFmtId="0" fontId="4" fillId="0" borderId="54" applyAlignment="1" applyProtection="1" pivotButton="0" quotePrefix="0" xfId="0">
      <alignment horizontal="center" vertical="center"/>
      <protection locked="0" hidden="0"/>
    </xf>
    <xf numFmtId="0" fontId="6" fillId="39" borderId="30" applyAlignment="1" pivotButton="0" quotePrefix="0" xfId="0">
      <alignment horizontal="center" vertical="center" wrapText="1"/>
    </xf>
    <xf numFmtId="0" fontId="6" fillId="39" borderId="8" applyAlignment="1" pivotButton="0" quotePrefix="0" xfId="0">
      <alignment horizontal="center" vertical="center"/>
    </xf>
    <xf numFmtId="0" fontId="6" fillId="39" borderId="14" applyAlignment="1" pivotButton="0" quotePrefix="0" xfId="0">
      <alignment horizontal="center" vertical="center"/>
    </xf>
    <xf numFmtId="0" fontId="6" fillId="39" borderId="3" applyAlignment="1" pivotButton="0" quotePrefix="0" xfId="0">
      <alignment horizontal="center" vertical="center"/>
    </xf>
    <xf numFmtId="0" fontId="6" fillId="39" borderId="0" applyAlignment="1" pivotButton="0" quotePrefix="0" xfId="0">
      <alignment horizontal="center" vertical="center"/>
    </xf>
    <xf numFmtId="0" fontId="6" fillId="39" borderId="24" applyAlignment="1" pivotButton="0" quotePrefix="0" xfId="0">
      <alignment horizontal="center" vertical="center"/>
    </xf>
    <xf numFmtId="0" fontId="6" fillId="39" borderId="9" applyAlignment="1" pivotButton="0" quotePrefix="0" xfId="0">
      <alignment horizontal="center" vertical="center"/>
    </xf>
    <xf numFmtId="0" fontId="6" fillId="39" borderId="1" applyAlignment="1" pivotButton="0" quotePrefix="0" xfId="0">
      <alignment horizontal="center" vertical="center"/>
    </xf>
    <xf numFmtId="0" fontId="6" fillId="39" borderId="11" applyAlignment="1" pivotButton="0" quotePrefix="0" xfId="0">
      <alignment horizontal="center" vertical="center"/>
    </xf>
    <xf numFmtId="0" fontId="6" fillId="39" borderId="9" applyAlignment="1" pivotButton="0" quotePrefix="0" xfId="0">
      <alignment horizontal="left" vertical="center" wrapText="1"/>
    </xf>
    <xf numFmtId="0" fontId="6" fillId="39" borderId="11" applyAlignment="1" pivotButton="0" quotePrefix="0" xfId="0">
      <alignment horizontal="left" vertical="center" wrapText="1"/>
    </xf>
    <xf numFmtId="0" fontId="6" fillId="15" borderId="0" applyAlignment="1" applyProtection="1" pivotButton="0" quotePrefix="0" xfId="0">
      <alignment horizontal="left" wrapText="1"/>
      <protection locked="0" hidden="0"/>
    </xf>
    <xf numFmtId="0" fontId="4" fillId="16" borderId="199" applyAlignment="1" applyProtection="1" pivotButton="0" quotePrefix="0" xfId="0">
      <alignment horizontal="left" vertical="center"/>
      <protection locked="0" hidden="0"/>
    </xf>
    <xf numFmtId="0" fontId="344" fillId="23" borderId="0" applyAlignment="1" pivotButton="0" quotePrefix="0" xfId="0">
      <alignment horizontal="center" vertical="center" wrapText="1"/>
    </xf>
    <xf numFmtId="0" fontId="344" fillId="23" borderId="1" applyAlignment="1" pivotButton="0" quotePrefix="0" xfId="0">
      <alignment horizontal="center" vertical="center" wrapText="1"/>
    </xf>
    <xf numFmtId="0" fontId="15" fillId="23" borderId="0" applyAlignment="1" pivotButton="0" quotePrefix="0" xfId="0">
      <alignment horizontal="left" vertical="center" wrapText="1"/>
    </xf>
    <xf numFmtId="0" fontId="9" fillId="39" borderId="30" applyAlignment="1" pivotButton="0" quotePrefix="0" xfId="0">
      <alignment horizontal="center" vertical="center"/>
    </xf>
    <xf numFmtId="0" fontId="9" fillId="39" borderId="8" applyAlignment="1" pivotButton="0" quotePrefix="0" xfId="0">
      <alignment horizontal="center" vertical="center"/>
    </xf>
    <xf numFmtId="0" fontId="9" fillId="39" borderId="14" applyAlignment="1" pivotButton="0" quotePrefix="0" xfId="0">
      <alignment horizontal="center" vertical="center"/>
    </xf>
    <xf numFmtId="0" fontId="9" fillId="39" borderId="9" applyAlignment="1" pivotButton="0" quotePrefix="0" xfId="0">
      <alignment horizontal="center" vertical="center"/>
    </xf>
    <xf numFmtId="0" fontId="9" fillId="39" borderId="1" applyAlignment="1" pivotButton="0" quotePrefix="0" xfId="0">
      <alignment horizontal="center" vertical="center"/>
    </xf>
    <xf numFmtId="0" fontId="9" fillId="39" borderId="11" applyAlignment="1" pivotButton="0" quotePrefix="0" xfId="0">
      <alignment horizontal="center" vertical="center"/>
    </xf>
    <xf numFmtId="0" fontId="14" fillId="39" borderId="8" applyAlignment="1" pivotButton="0" quotePrefix="0" xfId="0">
      <alignment horizontal="center" vertical="center"/>
    </xf>
    <xf numFmtId="0" fontId="14" fillId="39" borderId="14" applyAlignment="1" pivotButton="0" quotePrefix="0" xfId="0">
      <alignment horizontal="center" vertical="center"/>
    </xf>
    <xf numFmtId="0" fontId="14" fillId="39" borderId="0" applyAlignment="1" pivotButton="0" quotePrefix="0" xfId="0">
      <alignment horizontal="center" vertical="center"/>
    </xf>
    <xf numFmtId="0" fontId="14" fillId="39" borderId="24" applyAlignment="1" pivotButton="0" quotePrefix="0" xfId="0">
      <alignment horizontal="center" vertical="center"/>
    </xf>
    <xf numFmtId="0" fontId="8" fillId="39" borderId="30" applyAlignment="1" pivotButton="0" quotePrefix="0" xfId="0">
      <alignment horizontal="center" wrapText="1"/>
    </xf>
    <xf numFmtId="0" fontId="8" fillId="39" borderId="8" applyAlignment="1" pivotButton="0" quotePrefix="0" xfId="0">
      <alignment horizontal="center" wrapText="1"/>
    </xf>
    <xf numFmtId="0" fontId="8" fillId="39" borderId="14" applyAlignment="1" pivotButton="0" quotePrefix="0" xfId="0">
      <alignment horizontal="center" wrapText="1"/>
    </xf>
    <xf numFmtId="0" fontId="15" fillId="39" borderId="71" applyAlignment="1" pivotButton="0" quotePrefix="0" xfId="0">
      <alignment horizontal="center" vertical="center" wrapText="1"/>
    </xf>
    <xf numFmtId="0" fontId="15" fillId="39" borderId="16" applyAlignment="1" pivotButton="0" quotePrefix="0" xfId="0">
      <alignment horizontal="center" vertical="center" wrapText="1"/>
    </xf>
    <xf numFmtId="0" fontId="15" fillId="39" borderId="32" applyAlignment="1" pivotButton="0" quotePrefix="0" xfId="0">
      <alignment horizontal="center" vertical="center" wrapText="1"/>
    </xf>
    <xf numFmtId="0" fontId="15" fillId="39" borderId="101" applyAlignment="1" pivotButton="0" quotePrefix="0" xfId="0">
      <alignment horizontal="center" vertical="center" wrapText="1"/>
    </xf>
    <xf numFmtId="0" fontId="15" fillId="39" borderId="1" applyAlignment="1" pivotButton="0" quotePrefix="0" xfId="0">
      <alignment horizontal="center" vertical="center" wrapText="1"/>
    </xf>
    <xf numFmtId="0" fontId="15" fillId="39" borderId="96" applyAlignment="1" pivotButton="0" quotePrefix="0" xfId="0">
      <alignment horizontal="center" vertical="center" wrapText="1"/>
    </xf>
    <xf numFmtId="0" fontId="10" fillId="39" borderId="235" applyAlignment="1" pivotButton="0" quotePrefix="0" xfId="0">
      <alignment horizontal="center" vertical="center" wrapText="1"/>
    </xf>
    <xf numFmtId="0" fontId="10" fillId="39" borderId="25" applyAlignment="1" pivotButton="0" quotePrefix="0" xfId="0">
      <alignment horizontal="center" vertical="center" wrapText="1"/>
    </xf>
    <xf numFmtId="0" fontId="10" fillId="39" borderId="236" applyAlignment="1" pivotButton="0" quotePrefix="0" xfId="0">
      <alignment horizontal="center" vertical="center" wrapText="1"/>
    </xf>
    <xf numFmtId="0" fontId="11" fillId="39" borderId="71" applyAlignment="1" pivotButton="0" quotePrefix="0" xfId="0">
      <alignment horizontal="center" vertical="center" wrapText="1"/>
    </xf>
    <xf numFmtId="0" fontId="11" fillId="39" borderId="16" applyAlignment="1" pivotButton="0" quotePrefix="0" xfId="0">
      <alignment horizontal="center" vertical="center" wrapText="1"/>
    </xf>
    <xf numFmtId="0" fontId="11" fillId="39" borderId="32" applyAlignment="1" pivotButton="0" quotePrefix="0" xfId="0">
      <alignment horizontal="center" vertical="center" wrapText="1"/>
    </xf>
    <xf numFmtId="0" fontId="11" fillId="39" borderId="101" applyAlignment="1" pivotButton="0" quotePrefix="0" xfId="0">
      <alignment horizontal="center" vertical="center" wrapText="1"/>
    </xf>
    <xf numFmtId="0" fontId="11" fillId="39" borderId="1" applyAlignment="1" pivotButton="0" quotePrefix="0" xfId="0">
      <alignment horizontal="center" vertical="center" wrapText="1"/>
    </xf>
    <xf numFmtId="0" fontId="11" fillId="39" borderId="96" applyAlignment="1" pivotButton="0" quotePrefix="0" xfId="0">
      <alignment horizontal="center" vertical="center" wrapText="1"/>
    </xf>
    <xf numFmtId="0" fontId="8" fillId="39" borderId="8" applyAlignment="1" pivotButton="0" quotePrefix="0" xfId="0">
      <alignment horizontal="center" vertical="center"/>
    </xf>
    <xf numFmtId="0" fontId="8" fillId="39" borderId="14" applyAlignment="1" pivotButton="0" quotePrefix="0" xfId="0">
      <alignment horizontal="center" vertical="center"/>
    </xf>
    <xf numFmtId="0" fontId="8" fillId="39" borderId="9" applyAlignment="1" pivotButton="0" quotePrefix="0" xfId="0">
      <alignment horizontal="center" vertical="center"/>
    </xf>
    <xf numFmtId="0" fontId="8" fillId="39" borderId="1" applyAlignment="1" pivotButton="0" quotePrefix="0" xfId="0">
      <alignment horizontal="center" vertical="center"/>
    </xf>
    <xf numFmtId="0" fontId="8" fillId="39" borderId="11" applyAlignment="1" pivotButton="0" quotePrefix="0" xfId="0">
      <alignment horizontal="center" vertical="center"/>
    </xf>
    <xf numFmtId="0" fontId="10" fillId="39" borderId="1" applyAlignment="1" pivotButton="0" quotePrefix="0" xfId="0">
      <alignment horizontal="center" vertical="center" wrapText="1"/>
    </xf>
    <xf numFmtId="0" fontId="10" fillId="39" borderId="11" applyAlignment="1" pivotButton="0" quotePrefix="0" xfId="0">
      <alignment horizontal="center" vertical="center" wrapText="1"/>
    </xf>
    <xf numFmtId="0" fontId="10" fillId="39" borderId="26" applyAlignment="1" pivotButton="0" quotePrefix="0" xfId="0">
      <alignment horizontal="center" vertical="center" wrapText="1"/>
    </xf>
    <xf numFmtId="0" fontId="110" fillId="15" borderId="7" applyAlignment="1" pivotButton="0" quotePrefix="0" xfId="0">
      <alignment horizontal="center"/>
    </xf>
    <xf numFmtId="0" fontId="58" fillId="15" borderId="7" applyAlignment="1" pivotButton="0" quotePrefix="0" xfId="0">
      <alignment horizontal="center"/>
    </xf>
    <xf numFmtId="0" fontId="58" fillId="15" borderId="0" applyAlignment="1" pivotButton="0" quotePrefix="0" xfId="0">
      <alignment horizontal="center"/>
    </xf>
    <xf numFmtId="0" fontId="4" fillId="0" borderId="4" applyAlignment="1" pivotButton="0" quotePrefix="0" xfId="0">
      <alignment horizontal="center" wrapText="1"/>
    </xf>
    <xf numFmtId="0" fontId="6" fillId="39" borderId="8" applyAlignment="1" pivotButton="0" quotePrefix="0" xfId="0">
      <alignment horizontal="center" vertical="center" wrapText="1"/>
    </xf>
    <xf numFmtId="0" fontId="6" fillId="39" borderId="1" applyAlignment="1" pivotButton="0" quotePrefix="0" xfId="0">
      <alignment horizontal="center" vertical="center" wrapText="1"/>
    </xf>
    <xf numFmtId="3" fontId="11" fillId="15" borderId="3" applyProtection="1" pivotButton="0" quotePrefix="0" xfId="0">
      <protection locked="0" hidden="0"/>
    </xf>
    <xf numFmtId="3" fontId="11" fillId="15" borderId="0" applyProtection="1" pivotButton="0" quotePrefix="0" xfId="0">
      <protection locked="0" hidden="0"/>
    </xf>
    <xf numFmtId="3" fontId="11" fillId="15" borderId="24" applyProtection="1" pivotButton="0" quotePrefix="0" xfId="0">
      <protection locked="0" hidden="0"/>
    </xf>
    <xf numFmtId="37" fontId="125" fillId="15" borderId="3" pivotButton="0" quotePrefix="0" xfId="0"/>
    <xf numFmtId="37" fontId="110" fillId="0" borderId="0" pivotButton="0" quotePrefix="0" xfId="0"/>
    <xf numFmtId="0" fontId="11" fillId="15" borderId="20" applyAlignment="1" pivotButton="0" quotePrefix="0" xfId="0">
      <alignment horizontal="left" vertical="top" wrapText="1"/>
    </xf>
    <xf numFmtId="0" fontId="15" fillId="27" borderId="1" applyAlignment="1" pivotButton="0" quotePrefix="0" xfId="0">
      <alignment horizontal="center"/>
    </xf>
    <xf numFmtId="0" fontId="4" fillId="27" borderId="1" applyAlignment="1" pivotButton="0" quotePrefix="0" xfId="0">
      <alignment horizontal="center"/>
    </xf>
    <xf numFmtId="37" fontId="123" fillId="15" borderId="3" pivotButton="0" quotePrefix="0" xfId="0"/>
    <xf numFmtId="0" fontId="123" fillId="15" borderId="0" pivotButton="0" quotePrefix="0" xfId="0"/>
    <xf numFmtId="170" fontId="0" fillId="15" borderId="1" applyAlignment="1" applyProtection="1" pivotButton="0" quotePrefix="0" xfId="0">
      <alignment horizontal="center"/>
      <protection locked="0" hidden="0"/>
    </xf>
    <xf numFmtId="37" fontId="11" fillId="16" borderId="1" applyAlignment="1" applyProtection="1" pivotButton="0" quotePrefix="0" xfId="0">
      <alignment horizontal="right"/>
      <protection locked="0" hidden="0"/>
    </xf>
    <xf numFmtId="37" fontId="11" fillId="16" borderId="1" applyProtection="1" pivotButton="0" quotePrefix="0" xfId="0">
      <protection locked="0" hidden="0"/>
    </xf>
    <xf numFmtId="37" fontId="11" fillId="16" borderId="11" applyProtection="1" pivotButton="0" quotePrefix="0" xfId="0">
      <protection locked="0" hidden="0"/>
    </xf>
    <xf numFmtId="37" fontId="11" fillId="25" borderId="39" pivotButton="0" quotePrefix="0" xfId="0"/>
    <xf numFmtId="37" fontId="14" fillId="25" borderId="25" pivotButton="0" quotePrefix="0" xfId="0"/>
    <xf numFmtId="37" fontId="11" fillId="16" borderId="9" applyProtection="1" pivotButton="0" quotePrefix="0" xfId="0">
      <protection locked="0" hidden="0"/>
    </xf>
    <xf numFmtId="37" fontId="11" fillId="16" borderId="39" applyProtection="1" pivotButton="0" quotePrefix="0" xfId="0">
      <protection locked="0" hidden="0"/>
    </xf>
    <xf numFmtId="37" fontId="11" fillId="16" borderId="25" applyProtection="1" pivotButton="0" quotePrefix="0" xfId="0">
      <protection locked="0" hidden="0"/>
    </xf>
    <xf numFmtId="37" fontId="14" fillId="16" borderId="25" applyProtection="1" pivotButton="0" quotePrefix="0" xfId="0">
      <protection locked="0" hidden="0"/>
    </xf>
    <xf numFmtId="3" fontId="11" fillId="16" borderId="1" applyProtection="1" pivotButton="0" quotePrefix="0" xfId="0">
      <protection locked="0" hidden="0"/>
    </xf>
    <xf numFmtId="3" fontId="11" fillId="16" borderId="11" applyProtection="1" pivotButton="0" quotePrefix="0" xfId="0">
      <protection locked="0" hidden="0"/>
    </xf>
    <xf numFmtId="3" fontId="11" fillId="15" borderId="30" applyProtection="1" pivotButton="0" quotePrefix="0" xfId="0">
      <protection locked="0" hidden="0"/>
    </xf>
    <xf numFmtId="3" fontId="11" fillId="15" borderId="8" applyProtection="1" pivotButton="0" quotePrefix="0" xfId="0">
      <protection locked="0" hidden="0"/>
    </xf>
    <xf numFmtId="3" fontId="11" fillId="15" borderId="14" applyProtection="1" pivotButton="0" quotePrefix="0" xfId="0">
      <protection locked="0" hidden="0"/>
    </xf>
    <xf numFmtId="0" fontId="4" fillId="15" borderId="195" applyAlignment="1" pivotButton="0" quotePrefix="0" xfId="0">
      <alignment horizontal="center" wrapText="1"/>
    </xf>
    <xf numFmtId="0" fontId="4" fillId="15" borderId="194" applyAlignment="1" pivotButton="0" quotePrefix="0" xfId="0">
      <alignment horizontal="center" wrapText="1"/>
    </xf>
    <xf numFmtId="0" fontId="4" fillId="15" borderId="196" applyAlignment="1" pivotButton="0" quotePrefix="0" xfId="0">
      <alignment horizontal="center" wrapText="1"/>
    </xf>
    <xf numFmtId="0" fontId="4" fillId="15" borderId="79" applyAlignment="1" pivotButton="0" quotePrefix="0" xfId="0">
      <alignment horizontal="center" wrapText="1"/>
    </xf>
    <xf numFmtId="1" fontId="4" fillId="15" borderId="4" applyAlignment="1" pivotButton="0" quotePrefix="0" xfId="0">
      <alignment horizontal="center"/>
    </xf>
    <xf numFmtId="37" fontId="11" fillId="27" borderId="1" pivotButton="0" quotePrefix="0" xfId="0"/>
    <xf numFmtId="37" fontId="11" fillId="27" borderId="11" pivotButton="0" quotePrefix="0" xfId="0"/>
    <xf numFmtId="37" fontId="11" fillId="27" borderId="1" applyAlignment="1" pivotButton="0" quotePrefix="0" xfId="0">
      <alignment horizontal="right"/>
    </xf>
    <xf numFmtId="3" fontId="11" fillId="27" borderId="1" pivotButton="0" quotePrefix="0" xfId="0"/>
    <xf numFmtId="3" fontId="11" fillId="27" borderId="11" pivotButton="0" quotePrefix="0" xfId="0"/>
    <xf numFmtId="0" fontId="15" fillId="27" borderId="25" applyAlignment="1" pivotButton="0" quotePrefix="0" xfId="0">
      <alignment horizontal="center"/>
    </xf>
    <xf numFmtId="0" fontId="4" fillId="27" borderId="25" applyAlignment="1" pivotButton="0" quotePrefix="0" xfId="0">
      <alignment horizontal="center"/>
    </xf>
    <xf numFmtId="37" fontId="11" fillId="27" borderId="9" applyAlignment="1" pivotButton="0" quotePrefix="0" xfId="0">
      <alignment horizontal="right"/>
    </xf>
    <xf numFmtId="37" fontId="0" fillId="27" borderId="1" applyAlignment="1" pivotButton="0" quotePrefix="0" xfId="0">
      <alignment horizontal="right"/>
    </xf>
    <xf numFmtId="0" fontId="123" fillId="31" borderId="0" applyAlignment="1" pivotButton="0" quotePrefix="0" xfId="0">
      <alignment horizontal="center" vertical="center"/>
    </xf>
    <xf numFmtId="0" fontId="14" fillId="0" borderId="0" applyAlignment="1" pivotButton="0" quotePrefix="0" xfId="0">
      <alignment horizontal="center" vertical="center"/>
    </xf>
    <xf numFmtId="0" fontId="0" fillId="15" borderId="30" applyAlignment="1" pivotButton="0" quotePrefix="0" xfId="0">
      <alignment wrapText="1"/>
    </xf>
    <xf numFmtId="0" fontId="0" fillId="0" borderId="8" applyAlignment="1" pivotButton="0" quotePrefix="0" xfId="0">
      <alignment wrapText="1"/>
    </xf>
    <xf numFmtId="0" fontId="0" fillId="15" borderId="1" applyAlignment="1" pivotButton="0" quotePrefix="0" xfId="0">
      <alignment horizontal="center"/>
    </xf>
    <xf numFmtId="37" fontId="123" fillId="15" borderId="30" pivotButton="0" quotePrefix="0" xfId="0"/>
    <xf numFmtId="37" fontId="123" fillId="0" borderId="8" pivotButton="0" quotePrefix="0" xfId="0"/>
    <xf numFmtId="0" fontId="47" fillId="16" borderId="87" applyProtection="1" pivotButton="0" quotePrefix="0" xfId="0">
      <protection locked="0" hidden="0"/>
    </xf>
    <xf numFmtId="0" fontId="0" fillId="16" borderId="87" applyProtection="1" pivotButton="0" quotePrefix="0" xfId="0">
      <protection locked="0" hidden="0"/>
    </xf>
    <xf numFmtId="37" fontId="123" fillId="15" borderId="8" pivotButton="0" quotePrefix="0" xfId="0"/>
    <xf numFmtId="37" fontId="197" fillId="15" borderId="8" pivotButton="0" quotePrefix="0" xfId="0"/>
    <xf numFmtId="37" fontId="11" fillId="25" borderId="9" pivotButton="0" quotePrefix="0" xfId="0"/>
    <xf numFmtId="37" fontId="14" fillId="25" borderId="1" pivotButton="0" quotePrefix="0" xfId="0"/>
    <xf numFmtId="176" fontId="4" fillId="16" borderId="1" applyAlignment="1" applyProtection="1" pivotButton="0" quotePrefix="0" xfId="0">
      <alignment horizontal="center"/>
      <protection locked="0" hidden="0"/>
    </xf>
    <xf numFmtId="176" fontId="6" fillId="0" borderId="1" applyAlignment="1" applyProtection="1" pivotButton="0" quotePrefix="0" xfId="0">
      <alignment horizontal="center"/>
      <protection locked="0" hidden="0"/>
    </xf>
    <xf numFmtId="0" fontId="11" fillId="15" borderId="6" applyAlignment="1" pivotButton="0" quotePrefix="0" xfId="0">
      <alignment horizontal="center"/>
    </xf>
    <xf numFmtId="0" fontId="11" fillId="15" borderId="28" applyAlignment="1" pivotButton="0" quotePrefix="0" xfId="0">
      <alignment horizontal="center"/>
    </xf>
    <xf numFmtId="37" fontId="11" fillId="25" borderId="3" applyAlignment="1" pivotButton="0" quotePrefix="0" xfId="0">
      <alignment horizontal="right"/>
    </xf>
    <xf numFmtId="37" fontId="11" fillId="25" borderId="0" applyAlignment="1" pivotButton="0" quotePrefix="0" xfId="0">
      <alignment horizontal="right"/>
    </xf>
    <xf numFmtId="37" fontId="11" fillId="25" borderId="69" applyAlignment="1" pivotButton="0" quotePrefix="0" xfId="0">
      <alignment horizontal="right"/>
    </xf>
    <xf numFmtId="37" fontId="11" fillId="25" borderId="4" applyAlignment="1" pivotButton="0" quotePrefix="0" xfId="0">
      <alignment horizontal="right"/>
    </xf>
    <xf numFmtId="0" fontId="0" fillId="27" borderId="1" applyAlignment="1" pivotButton="0" quotePrefix="0" xfId="0">
      <alignment horizontal="right"/>
    </xf>
    <xf numFmtId="0" fontId="168" fillId="15" borderId="0" applyAlignment="1" pivotButton="0" quotePrefix="0" xfId="0">
      <alignment horizontal="center"/>
    </xf>
    <xf numFmtId="0" fontId="6" fillId="15" borderId="26" applyAlignment="1" pivotButton="0" quotePrefix="0" xfId="0">
      <alignment horizontal="center" vertical="center"/>
    </xf>
    <xf numFmtId="0" fontId="0" fillId="0" borderId="1" applyAlignment="1" pivotButton="0" quotePrefix="0" xfId="0">
      <alignment horizontal="center" vertical="center"/>
    </xf>
    <xf numFmtId="176" fontId="20" fillId="27" borderId="3" applyAlignment="1" pivotButton="0" quotePrefix="0" xfId="0">
      <alignment horizontal="center" vertical="center"/>
    </xf>
    <xf numFmtId="0" fontId="0" fillId="0" borderId="0" applyAlignment="1" pivotButton="0" quotePrefix="0" xfId="0">
      <alignment horizontal="center" vertical="center"/>
    </xf>
    <xf numFmtId="0" fontId="0" fillId="0" borderId="9" applyAlignment="1" pivotButton="0" quotePrefix="0" xfId="0">
      <alignment horizontal="center" vertical="center"/>
    </xf>
    <xf numFmtId="0" fontId="261" fillId="15" borderId="80" applyAlignment="1" pivotButton="0" quotePrefix="0" xfId="0">
      <alignment horizontal="center" vertical="center"/>
    </xf>
    <xf numFmtId="0" fontId="262" fillId="0" borderId="8" applyAlignment="1" pivotButton="0" quotePrefix="0" xfId="0">
      <alignment horizontal="center" vertical="center"/>
    </xf>
    <xf numFmtId="0" fontId="262" fillId="0" borderId="5" applyAlignment="1" pivotButton="0" quotePrefix="0" xfId="0">
      <alignment horizontal="center" vertical="center"/>
    </xf>
    <xf numFmtId="0" fontId="262" fillId="0" borderId="0" applyAlignment="1" pivotButton="0" quotePrefix="0" xfId="0">
      <alignment horizontal="center" vertical="center"/>
    </xf>
    <xf numFmtId="0" fontId="6" fillId="0" borderId="0" applyAlignment="1" pivotButton="0" quotePrefix="0" xfId="0">
      <alignment horizontal="left" vertical="center" wrapText="1"/>
    </xf>
    <xf numFmtId="0" fontId="6" fillId="0" borderId="4" applyAlignment="1" pivotButton="0" quotePrefix="0" xfId="0">
      <alignment horizontal="left" vertical="center" wrapText="1"/>
    </xf>
    <xf numFmtId="37" fontId="11" fillId="27" borderId="39" pivotButton="0" quotePrefix="0" xfId="0"/>
    <xf numFmtId="37" fontId="11" fillId="27" borderId="25" pivotButton="0" quotePrefix="0" xfId="0"/>
    <xf numFmtId="37" fontId="14" fillId="27" borderId="25" pivotButton="0" quotePrefix="0" xfId="0"/>
    <xf numFmtId="0" fontId="44" fillId="27" borderId="0" pivotButton="0" quotePrefix="0" xfId="0"/>
    <xf numFmtId="0" fontId="0" fillId="0" borderId="0" pivotButton="0" quotePrefix="0" xfId="0"/>
    <xf numFmtId="0" fontId="0" fillId="0" borderId="24" pivotButton="0" quotePrefix="0" xfId="0"/>
    <xf numFmtId="0" fontId="0" fillId="0" borderId="1" pivotButton="0" quotePrefix="0" xfId="0"/>
    <xf numFmtId="0" fontId="0" fillId="0" borderId="11" pivotButton="0" quotePrefix="0" xfId="0"/>
    <xf numFmtId="0" fontId="123" fillId="31" borderId="8" applyAlignment="1" pivotButton="0" quotePrefix="0" xfId="0">
      <alignment horizontal="center" vertical="center"/>
    </xf>
    <xf numFmtId="0" fontId="14" fillId="0" borderId="8" applyAlignment="1" pivotButton="0" quotePrefix="0" xfId="0">
      <alignment horizontal="center" vertical="center"/>
    </xf>
    <xf numFmtId="0" fontId="15" fillId="15" borderId="5" applyAlignment="1" pivotButton="0" quotePrefix="0" xfId="0">
      <alignment horizontal="center"/>
    </xf>
    <xf numFmtId="0" fontId="15" fillId="15" borderId="0" applyAlignment="1" pivotButton="0" quotePrefix="0" xfId="0">
      <alignment horizontal="center"/>
    </xf>
    <xf numFmtId="0" fontId="15" fillId="15" borderId="20" applyAlignment="1" pivotButton="0" quotePrefix="0" xfId="0">
      <alignment horizontal="center"/>
    </xf>
    <xf numFmtId="0" fontId="4" fillId="15" borderId="5" applyAlignment="1" pivotButton="0" quotePrefix="0" xfId="0">
      <alignment horizontal="center" vertical="center"/>
    </xf>
    <xf numFmtId="0" fontId="4" fillId="15" borderId="0" applyAlignment="1" pivotButton="0" quotePrefix="0" xfId="0">
      <alignment horizontal="center" vertical="center"/>
    </xf>
    <xf numFmtId="0" fontId="4" fillId="15" borderId="20" applyAlignment="1" pivotButton="0" quotePrefix="0" xfId="0">
      <alignment horizontal="center" vertical="center"/>
    </xf>
    <xf numFmtId="0" fontId="10" fillId="15" borderId="0" applyAlignment="1" pivotButton="0" quotePrefix="0" xfId="0">
      <alignment horizontal="left" vertical="center" wrapText="1"/>
    </xf>
    <xf numFmtId="0" fontId="10" fillId="15" borderId="20" applyAlignment="1" pivotButton="0" quotePrefix="0" xfId="0">
      <alignment horizontal="left" vertical="center" wrapText="1"/>
    </xf>
    <xf numFmtId="0" fontId="10" fillId="15" borderId="4" applyAlignment="1" pivotButton="0" quotePrefix="0" xfId="0">
      <alignment horizontal="left" vertical="center" wrapText="1"/>
    </xf>
    <xf numFmtId="0" fontId="10" fillId="15" borderId="22" applyAlignment="1" pivotButton="0" quotePrefix="0" xfId="0">
      <alignment horizontal="left" vertical="center" wrapText="1"/>
    </xf>
    <xf numFmtId="37" fontId="11" fillId="16" borderId="1" applyAlignment="1" applyProtection="1" pivotButton="0" quotePrefix="0" xfId="0">
      <alignment horizontal="right" vertical="center"/>
      <protection locked="0" hidden="0"/>
    </xf>
    <xf numFmtId="170" fontId="4" fillId="16" borderId="1" applyAlignment="1" applyProtection="1" pivotButton="0" quotePrefix="0" xfId="0">
      <alignment horizontal="center"/>
      <protection locked="0" hidden="0"/>
    </xf>
    <xf numFmtId="170" fontId="6" fillId="0" borderId="1" applyProtection="1" pivotButton="0" quotePrefix="0" xfId="0">
      <protection locked="0" hidden="0"/>
    </xf>
    <xf numFmtId="0" fontId="112" fillId="15" borderId="0" applyAlignment="1" pivotButton="0" quotePrefix="0" xfId="0">
      <alignment horizontal="center" vertical="top" wrapText="1"/>
    </xf>
    <xf numFmtId="0" fontId="15" fillId="16" borderId="1" applyAlignment="1" applyProtection="1" pivotButton="0" quotePrefix="0" xfId="0">
      <alignment horizontal="center"/>
      <protection locked="0" hidden="0"/>
    </xf>
    <xf numFmtId="0" fontId="6" fillId="23" borderId="0" applyAlignment="1" pivotButton="0" quotePrefix="0" xfId="0">
      <alignment horizontal="center" textRotation="90"/>
    </xf>
    <xf numFmtId="1" fontId="314" fillId="35" borderId="0" applyAlignment="1" pivotButton="0" quotePrefix="0" xfId="0">
      <alignment horizontal="left" vertical="center"/>
    </xf>
    <xf numFmtId="1" fontId="0" fillId="10" borderId="0" applyAlignment="1" pivotButton="0" quotePrefix="0" xfId="0">
      <alignment horizontal="center" vertical="center" wrapText="1"/>
    </xf>
    <xf numFmtId="37" fontId="11" fillId="25" borderId="25" pivotButton="0" quotePrefix="0" xfId="0"/>
    <xf numFmtId="0" fontId="4" fillId="15" borderId="15" applyAlignment="1" pivotButton="0" quotePrefix="0" xfId="0">
      <alignment horizontal="left" wrapText="1"/>
    </xf>
    <xf numFmtId="0" fontId="0" fillId="0" borderId="6" applyAlignment="1" pivotButton="0" quotePrefix="0" xfId="0">
      <alignment horizontal="left" wrapText="1"/>
    </xf>
    <xf numFmtId="0" fontId="0" fillId="0" borderId="10" applyAlignment="1" pivotButton="0" quotePrefix="0" xfId="0">
      <alignment horizontal="left" wrapText="1"/>
    </xf>
    <xf numFmtId="37" fontId="11" fillId="25" borderId="35" pivotButton="0" quotePrefix="0" xfId="0"/>
    <xf numFmtId="37" fontId="14" fillId="25" borderId="13" pivotButton="0" quotePrefix="0" xfId="0"/>
    <xf numFmtId="37" fontId="11" fillId="25" borderId="1" pivotButton="0" quotePrefix="0" xfId="0"/>
    <xf numFmtId="37" fontId="11" fillId="19" borderId="39" pivotButton="0" quotePrefix="0" xfId="0"/>
    <xf numFmtId="37" fontId="11" fillId="19" borderId="25" pivotButton="0" quotePrefix="0" xfId="0"/>
    <xf numFmtId="37" fontId="14" fillId="19" borderId="25" pivotButton="0" quotePrefix="0" xfId="0"/>
    <xf numFmtId="0" fontId="361" fillId="15" borderId="0" applyAlignment="1" pivotButton="0" quotePrefix="1" xfId="0">
      <alignment horizontal="center" vertical="center" wrapText="1"/>
    </xf>
    <xf numFmtId="14" fontId="11" fillId="16" borderId="39" applyAlignment="1" applyProtection="1" pivotButton="0" quotePrefix="0" xfId="0">
      <alignment horizontal="left"/>
      <protection locked="0" hidden="0"/>
    </xf>
    <xf numFmtId="14" fontId="11" fillId="16" borderId="25" applyAlignment="1" applyProtection="1" pivotButton="0" quotePrefix="0" xfId="0">
      <alignment horizontal="left"/>
      <protection locked="0" hidden="0"/>
    </xf>
    <xf numFmtId="14" fontId="11" fillId="16" borderId="54" applyAlignment="1" applyProtection="1" pivotButton="0" quotePrefix="0" xfId="0">
      <alignment horizontal="left"/>
      <protection locked="0" hidden="0"/>
    </xf>
    <xf numFmtId="39" fontId="11" fillId="16" borderId="39" applyAlignment="1" applyProtection="1" pivotButton="0" quotePrefix="0" xfId="0">
      <alignment horizontal="right"/>
      <protection locked="0" hidden="0"/>
    </xf>
    <xf numFmtId="39" fontId="11" fillId="16" borderId="25" applyAlignment="1" applyProtection="1" pivotButton="0" quotePrefix="0" xfId="0">
      <alignment horizontal="right"/>
      <protection locked="0" hidden="0"/>
    </xf>
    <xf numFmtId="39" fontId="11" fillId="16" borderId="54" applyAlignment="1" applyProtection="1" pivotButton="0" quotePrefix="0" xfId="0">
      <alignment horizontal="right"/>
      <protection locked="0" hidden="0"/>
    </xf>
    <xf numFmtId="14" fontId="11" fillId="24" borderId="15" applyAlignment="1" applyProtection="1" pivotButton="0" quotePrefix="1" xfId="0">
      <alignment horizontal="left" vertical="top"/>
      <protection locked="0" hidden="0"/>
    </xf>
    <xf numFmtId="14" fontId="11" fillId="24" borderId="10" applyAlignment="1" applyProtection="1" pivotButton="0" quotePrefix="1" xfId="0">
      <alignment horizontal="left" vertical="top"/>
      <protection locked="0" hidden="0"/>
    </xf>
    <xf numFmtId="14" fontId="4" fillId="24" borderId="30" applyAlignment="1" applyProtection="1" pivotButton="0" quotePrefix="0" xfId="0">
      <alignment horizontal="left" vertical="top" wrapText="1"/>
      <protection locked="0" hidden="0"/>
    </xf>
    <xf numFmtId="14" fontId="4" fillId="24" borderId="8" applyAlignment="1" applyProtection="1" pivotButton="0" quotePrefix="0" xfId="0">
      <alignment horizontal="left" vertical="top"/>
      <protection locked="0" hidden="0"/>
    </xf>
    <xf numFmtId="14" fontId="4" fillId="24" borderId="14" applyAlignment="1" applyProtection="1" pivotButton="0" quotePrefix="0" xfId="0">
      <alignment horizontal="left" vertical="top"/>
      <protection locked="0" hidden="0"/>
    </xf>
    <xf numFmtId="14" fontId="4" fillId="24" borderId="9" applyAlignment="1" applyProtection="1" pivotButton="0" quotePrefix="0" xfId="0">
      <alignment horizontal="left" vertical="top"/>
      <protection locked="0" hidden="0"/>
    </xf>
    <xf numFmtId="14" fontId="4" fillId="24" borderId="1" applyAlignment="1" applyProtection="1" pivotButton="0" quotePrefix="0" xfId="0">
      <alignment horizontal="left" vertical="top"/>
      <protection locked="0" hidden="0"/>
    </xf>
    <xf numFmtId="14" fontId="4" fillId="24" borderId="11" applyAlignment="1" applyProtection="1" pivotButton="0" quotePrefix="0" xfId="0">
      <alignment horizontal="left" vertical="top"/>
      <protection locked="0" hidden="0"/>
    </xf>
    <xf numFmtId="14" fontId="4" fillId="24" borderId="30" applyAlignment="1" applyProtection="1" pivotButton="0" quotePrefix="0" xfId="0">
      <alignment horizontal="left" vertical="center" wrapText="1"/>
      <protection locked="0" hidden="0"/>
    </xf>
    <xf numFmtId="14" fontId="4" fillId="24" borderId="8" applyAlignment="1" applyProtection="1" pivotButton="0" quotePrefix="0" xfId="0">
      <alignment horizontal="left" vertical="center" wrapText="1"/>
      <protection locked="0" hidden="0"/>
    </xf>
    <xf numFmtId="14" fontId="4" fillId="24" borderId="14" applyAlignment="1" applyProtection="1" pivotButton="0" quotePrefix="0" xfId="0">
      <alignment horizontal="left" vertical="center" wrapText="1"/>
      <protection locked="0" hidden="0"/>
    </xf>
    <xf numFmtId="14" fontId="4" fillId="24" borderId="9" applyAlignment="1" applyProtection="1" pivotButton="0" quotePrefix="0" xfId="0">
      <alignment horizontal="left" vertical="center" wrapText="1"/>
      <protection locked="0" hidden="0"/>
    </xf>
    <xf numFmtId="14" fontId="4" fillId="24" borderId="1" applyAlignment="1" applyProtection="1" pivotButton="0" quotePrefix="0" xfId="0">
      <alignment horizontal="left" vertical="center" wrapText="1"/>
      <protection locked="0" hidden="0"/>
    </xf>
    <xf numFmtId="14" fontId="4" fillId="24" borderId="11" applyAlignment="1" applyProtection="1" pivotButton="0" quotePrefix="0" xfId="0">
      <alignment horizontal="left" vertical="center" wrapText="1"/>
      <protection locked="0" hidden="0"/>
    </xf>
    <xf numFmtId="14" fontId="9" fillId="24" borderId="12" applyAlignment="1" applyProtection="1" pivotButton="0" quotePrefix="0" xfId="0">
      <alignment horizontal="left" vertical="center" wrapText="1"/>
      <protection locked="0" hidden="0"/>
    </xf>
    <xf numFmtId="39" fontId="0" fillId="25" borderId="15" applyAlignment="1" applyProtection="1" pivotButton="0" quotePrefix="0" xfId="0">
      <alignment horizontal="right" vertical="center"/>
      <protection locked="0" hidden="0"/>
    </xf>
    <xf numFmtId="39" fontId="0" fillId="25" borderId="6" applyAlignment="1" applyProtection="1" pivotButton="0" quotePrefix="0" xfId="0">
      <alignment horizontal="right" vertical="center"/>
      <protection locked="0" hidden="0"/>
    </xf>
    <xf numFmtId="39" fontId="0" fillId="25" borderId="10" applyAlignment="1" applyProtection="1" pivotButton="0" quotePrefix="0" xfId="0">
      <alignment horizontal="right" vertical="center"/>
      <protection locked="0" hidden="0"/>
    </xf>
    <xf numFmtId="14" fontId="4" fillId="16" borderId="39" applyAlignment="1" applyProtection="1" pivotButton="0" quotePrefix="0" xfId="0">
      <alignment horizontal="left"/>
      <protection locked="0" hidden="0"/>
    </xf>
    <xf numFmtId="14" fontId="4" fillId="16" borderId="54" applyAlignment="1" applyProtection="1" pivotButton="0" quotePrefix="0" xfId="0">
      <alignment horizontal="left"/>
      <protection locked="0" hidden="0"/>
    </xf>
    <xf numFmtId="14" fontId="11" fillId="24" borderId="30" applyAlignment="1" applyProtection="1" pivotButton="0" quotePrefix="0" xfId="0">
      <alignment horizontal="left" vertical="center" wrapText="1"/>
      <protection locked="0" hidden="0"/>
    </xf>
    <xf numFmtId="14" fontId="11" fillId="24" borderId="8" applyAlignment="1" applyProtection="1" pivotButton="0" quotePrefix="0" xfId="0">
      <alignment horizontal="left" vertical="center" wrapText="1"/>
      <protection locked="0" hidden="0"/>
    </xf>
    <xf numFmtId="14" fontId="11" fillId="24" borderId="3" applyAlignment="1" applyProtection="1" pivotButton="0" quotePrefix="0" xfId="0">
      <alignment horizontal="left" vertical="center" wrapText="1"/>
      <protection locked="0" hidden="0"/>
    </xf>
    <xf numFmtId="14" fontId="11" fillId="24" borderId="0" applyAlignment="1" applyProtection="1" pivotButton="0" quotePrefix="0" xfId="0">
      <alignment horizontal="left" vertical="center" wrapText="1"/>
      <protection locked="0" hidden="0"/>
    </xf>
    <xf numFmtId="14" fontId="11" fillId="24" borderId="9" applyAlignment="1" applyProtection="1" pivotButton="0" quotePrefix="0" xfId="0">
      <alignment horizontal="left" vertical="center" wrapText="1"/>
      <protection locked="0" hidden="0"/>
    </xf>
    <xf numFmtId="14" fontId="11" fillId="24" borderId="1" applyAlignment="1" applyProtection="1" pivotButton="0" quotePrefix="0" xfId="0">
      <alignment horizontal="left" vertical="center" wrapText="1"/>
      <protection locked="0" hidden="0"/>
    </xf>
    <xf numFmtId="14" fontId="11" fillId="24" borderId="15" applyAlignment="1" applyProtection="1" pivotButton="0" quotePrefix="1" xfId="0">
      <alignment horizontal="center" vertical="top"/>
      <protection locked="0" hidden="0"/>
    </xf>
    <xf numFmtId="14" fontId="11" fillId="24" borderId="6" applyAlignment="1" applyProtection="1" pivotButton="0" quotePrefix="1" xfId="0">
      <alignment horizontal="center" vertical="top"/>
      <protection locked="0" hidden="0"/>
    </xf>
    <xf numFmtId="14" fontId="11" fillId="24" borderId="10" applyAlignment="1" applyProtection="1" pivotButton="0" quotePrefix="1" xfId="0">
      <alignment horizontal="center" vertical="top"/>
      <protection locked="0" hidden="0"/>
    </xf>
    <xf numFmtId="14" fontId="4" fillId="24" borderId="8" applyAlignment="1" applyProtection="1" pivotButton="0" quotePrefix="0" xfId="0">
      <alignment horizontal="left" vertical="top" wrapText="1"/>
      <protection locked="0" hidden="0"/>
    </xf>
    <xf numFmtId="14" fontId="4" fillId="24" borderId="14" applyAlignment="1" applyProtection="1" pivotButton="0" quotePrefix="0" xfId="0">
      <alignment horizontal="left" vertical="top" wrapText="1"/>
      <protection locked="0" hidden="0"/>
    </xf>
    <xf numFmtId="14" fontId="4" fillId="24" borderId="3" applyAlignment="1" applyProtection="1" pivotButton="0" quotePrefix="0" xfId="0">
      <alignment horizontal="left" vertical="top" wrapText="1"/>
      <protection locked="0" hidden="0"/>
    </xf>
    <xf numFmtId="14" fontId="4" fillId="24" borderId="0" applyAlignment="1" applyProtection="1" pivotButton="0" quotePrefix="0" xfId="0">
      <alignment horizontal="left" vertical="top" wrapText="1"/>
      <protection locked="0" hidden="0"/>
    </xf>
    <xf numFmtId="14" fontId="4" fillId="24" borderId="24" applyAlignment="1" applyProtection="1" pivotButton="0" quotePrefix="0" xfId="0">
      <alignment horizontal="left" vertical="top" wrapText="1"/>
      <protection locked="0" hidden="0"/>
    </xf>
    <xf numFmtId="14" fontId="4" fillId="24" borderId="9" applyAlignment="1" applyProtection="1" pivotButton="0" quotePrefix="0" xfId="0">
      <alignment horizontal="left" vertical="top" wrapText="1"/>
      <protection locked="0" hidden="0"/>
    </xf>
    <xf numFmtId="14" fontId="4" fillId="24" borderId="1" applyAlignment="1" applyProtection="1" pivotButton="0" quotePrefix="0" xfId="0">
      <alignment horizontal="left" vertical="top" wrapText="1"/>
      <protection locked="0" hidden="0"/>
    </xf>
    <xf numFmtId="14" fontId="4" fillId="24" borderId="11" applyAlignment="1" applyProtection="1" pivotButton="0" quotePrefix="0" xfId="0">
      <alignment horizontal="left" vertical="top" wrapText="1"/>
      <protection locked="0" hidden="0"/>
    </xf>
    <xf numFmtId="37" fontId="11" fillId="27" borderId="30" applyAlignment="1" pivotButton="0" quotePrefix="0" xfId="0">
      <alignment horizontal="right" vertical="center"/>
    </xf>
    <xf numFmtId="37" fontId="11" fillId="27" borderId="8" applyAlignment="1" pivotButton="0" quotePrefix="0" xfId="0">
      <alignment horizontal="right" vertical="center"/>
    </xf>
    <xf numFmtId="37" fontId="11" fillId="27" borderId="14" applyAlignment="1" pivotButton="0" quotePrefix="0" xfId="0">
      <alignment horizontal="right" vertical="center"/>
    </xf>
    <xf numFmtId="37" fontId="11" fillId="27" borderId="3" applyAlignment="1" pivotButton="0" quotePrefix="0" xfId="0">
      <alignment horizontal="right" vertical="center"/>
    </xf>
    <xf numFmtId="37" fontId="11" fillId="27" borderId="0" applyAlignment="1" pivotButton="0" quotePrefix="0" xfId="0">
      <alignment horizontal="right" vertical="center"/>
    </xf>
    <xf numFmtId="37" fontId="11" fillId="27" borderId="24" applyAlignment="1" pivotButton="0" quotePrefix="0" xfId="0">
      <alignment horizontal="right" vertical="center"/>
    </xf>
    <xf numFmtId="37" fontId="11" fillId="27" borderId="9" applyAlignment="1" pivotButton="0" quotePrefix="0" xfId="0">
      <alignment horizontal="right" vertical="center"/>
    </xf>
    <xf numFmtId="37" fontId="11" fillId="27" borderId="1" applyAlignment="1" pivotButton="0" quotePrefix="0" xfId="0">
      <alignment horizontal="right" vertical="center"/>
    </xf>
    <xf numFmtId="37" fontId="11" fillId="27" borderId="11" applyAlignment="1" pivotButton="0" quotePrefix="0" xfId="0">
      <alignment horizontal="right" vertical="center"/>
    </xf>
    <xf numFmtId="14" fontId="4" fillId="24" borderId="30" applyAlignment="1" applyProtection="1" pivotButton="0" quotePrefix="0" xfId="0">
      <alignment horizontal="left" wrapText="1"/>
      <protection locked="0" hidden="0"/>
    </xf>
    <xf numFmtId="14" fontId="4" fillId="24" borderId="8" applyAlignment="1" applyProtection="1" pivotButton="0" quotePrefix="0" xfId="0">
      <alignment horizontal="left" wrapText="1"/>
      <protection locked="0" hidden="0"/>
    </xf>
    <xf numFmtId="14" fontId="4" fillId="24" borderId="14" applyAlignment="1" applyProtection="1" pivotButton="0" quotePrefix="0" xfId="0">
      <alignment horizontal="left" wrapText="1"/>
      <protection locked="0" hidden="0"/>
    </xf>
    <xf numFmtId="14" fontId="4" fillId="24" borderId="9" applyAlignment="1" applyProtection="1" pivotButton="0" quotePrefix="0" xfId="0">
      <alignment horizontal="left" wrapText="1"/>
      <protection locked="0" hidden="0"/>
    </xf>
    <xf numFmtId="14" fontId="4" fillId="24" borderId="1" applyAlignment="1" applyProtection="1" pivotButton="0" quotePrefix="0" xfId="0">
      <alignment horizontal="left" wrapText="1"/>
      <protection locked="0" hidden="0"/>
    </xf>
    <xf numFmtId="14" fontId="4" fillId="24" borderId="11" applyAlignment="1" applyProtection="1" pivotButton="0" quotePrefix="0" xfId="0">
      <alignment horizontal="left" wrapText="1"/>
      <protection locked="0" hidden="0"/>
    </xf>
    <xf numFmtId="14" fontId="11" fillId="24" borderId="15" applyAlignment="1" applyProtection="1" pivotButton="0" quotePrefix="1" xfId="0">
      <alignment horizontal="left" vertical="top" indent="1"/>
      <protection locked="0" hidden="0"/>
    </xf>
    <xf numFmtId="14" fontId="11" fillId="24" borderId="10" applyAlignment="1" applyProtection="1" pivotButton="0" quotePrefix="1" xfId="0">
      <alignment horizontal="left" vertical="top" indent="1"/>
      <protection locked="0" hidden="0"/>
    </xf>
    <xf numFmtId="14" fontId="11" fillId="24" borderId="6" applyAlignment="1" applyProtection="1" pivotButton="0" quotePrefix="1" xfId="0">
      <alignment horizontal="left" vertical="top"/>
      <protection locked="0" hidden="0"/>
    </xf>
    <xf numFmtId="14" fontId="9" fillId="24" borderId="30" applyAlignment="1" applyProtection="1" pivotButton="0" quotePrefix="0" xfId="0">
      <alignment horizontal="left" vertical="top" wrapText="1"/>
      <protection locked="0" hidden="0"/>
    </xf>
    <xf numFmtId="14" fontId="9" fillId="24" borderId="14" applyAlignment="1" applyProtection="1" pivotButton="0" quotePrefix="0" xfId="0">
      <alignment horizontal="left" vertical="top" wrapText="1"/>
      <protection locked="0" hidden="0"/>
    </xf>
    <xf numFmtId="14" fontId="9" fillId="24" borderId="3" applyAlignment="1" applyProtection="1" pivotButton="0" quotePrefix="0" xfId="0">
      <alignment horizontal="left" vertical="top" wrapText="1"/>
      <protection locked="0" hidden="0"/>
    </xf>
    <xf numFmtId="14" fontId="9" fillId="24" borderId="24" applyAlignment="1" applyProtection="1" pivotButton="0" quotePrefix="0" xfId="0">
      <alignment horizontal="left" vertical="top" wrapText="1"/>
      <protection locked="0" hidden="0"/>
    </xf>
    <xf numFmtId="14" fontId="12" fillId="24" borderId="15" applyAlignment="1" applyProtection="1" pivotButton="0" quotePrefix="0" xfId="0">
      <alignment horizontal="left" vertical="top" wrapText="1"/>
      <protection locked="0" hidden="0"/>
    </xf>
    <xf numFmtId="14" fontId="12" fillId="24" borderId="6" applyAlignment="1" applyProtection="1" pivotButton="0" quotePrefix="0" xfId="0">
      <alignment horizontal="left" vertical="top" wrapText="1"/>
      <protection locked="0" hidden="0"/>
    </xf>
    <xf numFmtId="14" fontId="9" fillId="24" borderId="15" applyAlignment="1" applyProtection="1" pivotButton="0" quotePrefix="0" xfId="0">
      <alignment horizontal="left" vertical="top" wrapText="1"/>
      <protection locked="0" hidden="0"/>
    </xf>
    <xf numFmtId="14" fontId="9" fillId="24" borderId="6" applyAlignment="1" applyProtection="1" pivotButton="0" quotePrefix="0" xfId="0">
      <alignment horizontal="left" vertical="top" wrapText="1"/>
      <protection locked="0" hidden="0"/>
    </xf>
    <xf numFmtId="14" fontId="4" fillId="24" borderId="30" applyAlignment="1" applyProtection="1" pivotButton="0" quotePrefix="0" xfId="0">
      <alignment horizontal="center" vertical="top"/>
      <protection locked="0" hidden="0"/>
    </xf>
    <xf numFmtId="14" fontId="4" fillId="24" borderId="14" applyAlignment="1" applyProtection="1" pivotButton="0" quotePrefix="0" xfId="0">
      <alignment horizontal="center" vertical="top"/>
      <protection locked="0" hidden="0"/>
    </xf>
    <xf numFmtId="14" fontId="4" fillId="24" borderId="3" applyAlignment="1" applyProtection="1" pivotButton="0" quotePrefix="0" xfId="0">
      <alignment horizontal="center" vertical="top"/>
      <protection locked="0" hidden="0"/>
    </xf>
    <xf numFmtId="14" fontId="4" fillId="24" borderId="24" applyAlignment="1" applyProtection="1" pivotButton="0" quotePrefix="0" xfId="0">
      <alignment horizontal="center" vertical="top"/>
      <protection locked="0" hidden="0"/>
    </xf>
    <xf numFmtId="14" fontId="4" fillId="24" borderId="9" applyAlignment="1" applyProtection="1" pivotButton="0" quotePrefix="0" xfId="0">
      <alignment horizontal="center" vertical="top"/>
      <protection locked="0" hidden="0"/>
    </xf>
    <xf numFmtId="14" fontId="4" fillId="24" borderId="11" applyAlignment="1" applyProtection="1" pivotButton="0" quotePrefix="0" xfId="0">
      <alignment horizontal="center" vertical="top"/>
      <protection locked="0" hidden="0"/>
    </xf>
    <xf numFmtId="14" fontId="9" fillId="24" borderId="9" applyAlignment="1" applyProtection="1" pivotButton="0" quotePrefix="0" xfId="0">
      <alignment horizontal="left" vertical="top" wrapText="1"/>
      <protection locked="0" hidden="0"/>
    </xf>
    <xf numFmtId="14" fontId="9" fillId="24" borderId="11" applyAlignment="1" applyProtection="1" pivotButton="0" quotePrefix="0" xfId="0">
      <alignment horizontal="left" vertical="top" wrapText="1"/>
      <protection locked="0" hidden="0"/>
    </xf>
    <xf numFmtId="39" fontId="4" fillId="27" borderId="39" applyAlignment="1" pivotButton="0" quotePrefix="0" xfId="0">
      <alignment horizontal="right"/>
    </xf>
    <xf numFmtId="39" fontId="4" fillId="27" borderId="54" applyAlignment="1" pivotButton="0" quotePrefix="0" xfId="0">
      <alignment horizontal="right"/>
    </xf>
    <xf numFmtId="39" fontId="4" fillId="16" borderId="39" applyAlignment="1" applyProtection="1" pivotButton="0" quotePrefix="0" xfId="0">
      <alignment horizontal="right" wrapText="1"/>
      <protection locked="0" hidden="0"/>
    </xf>
    <xf numFmtId="39" fontId="4" fillId="16" borderId="54" applyAlignment="1" applyProtection="1" pivotButton="0" quotePrefix="0" xfId="0">
      <alignment horizontal="right" wrapText="1"/>
      <protection locked="0" hidden="0"/>
    </xf>
    <xf numFmtId="39" fontId="4" fillId="16" borderId="39" applyAlignment="1" applyProtection="1" pivotButton="0" quotePrefix="0" xfId="0">
      <alignment horizontal="right"/>
      <protection locked="0" hidden="0"/>
    </xf>
    <xf numFmtId="39" fontId="4" fillId="16" borderId="54" applyAlignment="1" applyProtection="1" pivotButton="0" quotePrefix="0" xfId="0">
      <alignment horizontal="right"/>
      <protection locked="0" hidden="0"/>
    </xf>
    <xf numFmtId="14" fontId="9" fillId="24" borderId="12" applyAlignment="1" applyProtection="1" pivotButton="0" quotePrefix="0" xfId="0">
      <alignment horizontal="left" wrapText="1"/>
      <protection locked="0" hidden="0"/>
    </xf>
    <xf numFmtId="39" fontId="4" fillId="27" borderId="12" applyAlignment="1" pivotButton="0" quotePrefix="0" xfId="0">
      <alignment horizontal="right" vertical="center"/>
    </xf>
    <xf numFmtId="14" fontId="11" fillId="24" borderId="14" applyAlignment="1" applyProtection="1" pivotButton="0" quotePrefix="0" xfId="0">
      <alignment horizontal="left" vertical="center" wrapText="1"/>
      <protection locked="0" hidden="0"/>
    </xf>
    <xf numFmtId="14" fontId="11" fillId="24" borderId="24" applyAlignment="1" applyProtection="1" pivotButton="0" quotePrefix="0" xfId="0">
      <alignment horizontal="left" vertical="center" wrapText="1"/>
      <protection locked="0" hidden="0"/>
    </xf>
    <xf numFmtId="14" fontId="11" fillId="24" borderId="11" applyAlignment="1" applyProtection="1" pivotButton="0" quotePrefix="0" xfId="0">
      <alignment horizontal="left" vertical="center" wrapText="1"/>
      <protection locked="0" hidden="0"/>
    </xf>
    <xf numFmtId="37" fontId="6" fillId="27" borderId="1" applyAlignment="1" pivotButton="0" quotePrefix="0" xfId="0">
      <alignment horizontal="right"/>
    </xf>
    <xf numFmtId="0" fontId="6" fillId="15" borderId="30" applyAlignment="1" pivotButton="0" quotePrefix="0" xfId="0">
      <alignment horizontal="center" vertical="center"/>
    </xf>
    <xf numFmtId="0" fontId="0" fillId="15" borderId="8" applyAlignment="1" pivotButton="0" quotePrefix="0" xfId="0">
      <alignment horizontal="center" vertical="center"/>
    </xf>
    <xf numFmtId="0" fontId="0" fillId="15" borderId="3" applyAlignment="1" pivotButton="0" quotePrefix="0" xfId="0">
      <alignment horizontal="center" vertical="center"/>
    </xf>
    <xf numFmtId="0" fontId="0" fillId="15" borderId="0" applyAlignment="1" pivotButton="0" quotePrefix="0" xfId="0">
      <alignment horizontal="center" vertical="center"/>
    </xf>
    <xf numFmtId="0" fontId="0" fillId="15" borderId="9" applyAlignment="1" pivotButton="0" quotePrefix="0" xfId="0">
      <alignment horizontal="center" vertical="center"/>
    </xf>
    <xf numFmtId="0" fontId="0" fillId="15" borderId="1" applyAlignment="1" pivotButton="0" quotePrefix="0" xfId="0">
      <alignment horizontal="center" vertical="center"/>
    </xf>
    <xf numFmtId="37" fontId="197" fillId="15" borderId="3" applyAlignment="1" pivotButton="0" quotePrefix="0" xfId="0">
      <alignment horizontal="center"/>
    </xf>
    <xf numFmtId="37" fontId="197" fillId="15" borderId="0" applyAlignment="1" pivotButton="0" quotePrefix="0" xfId="0">
      <alignment horizontal="center"/>
    </xf>
    <xf numFmtId="37" fontId="11" fillId="27" borderId="39" applyAlignment="1" pivotButton="0" quotePrefix="0" xfId="0">
      <alignment horizontal="right"/>
    </xf>
    <xf numFmtId="37" fontId="11" fillId="27" borderId="25" applyAlignment="1" pivotButton="0" quotePrefix="0" xfId="0">
      <alignment horizontal="right"/>
    </xf>
    <xf numFmtId="37" fontId="11" fillId="27" borderId="54" applyAlignment="1" pivotButton="0" quotePrefix="0" xfId="0">
      <alignment horizontal="right"/>
    </xf>
    <xf numFmtId="37" fontId="11" fillId="27" borderId="11" applyAlignment="1" pivotButton="0" quotePrefix="0" xfId="0">
      <alignment horizontal="right"/>
    </xf>
    <xf numFmtId="37" fontId="14" fillId="15" borderId="3" pivotButton="0" quotePrefix="0" xfId="0"/>
    <xf numFmtId="0" fontId="14" fillId="15" borderId="0" pivotButton="0" quotePrefix="0" xfId="0"/>
    <xf numFmtId="37" fontId="11" fillId="27" borderId="9" pivotButton="0" quotePrefix="0" xfId="0"/>
    <xf numFmtId="37" fontId="14" fillId="27" borderId="1" pivotButton="0" quotePrefix="0" xfId="0"/>
    <xf numFmtId="37" fontId="11" fillId="16" borderId="3" applyAlignment="1" applyProtection="1" pivotButton="0" quotePrefix="0" xfId="0">
      <alignment horizontal="right"/>
      <protection locked="0" hidden="0"/>
    </xf>
    <xf numFmtId="37" fontId="11" fillId="16" borderId="0" applyAlignment="1" applyProtection="1" pivotButton="0" quotePrefix="0" xfId="0">
      <alignment horizontal="right"/>
      <protection locked="0" hidden="0"/>
    </xf>
    <xf numFmtId="37" fontId="11" fillId="16" borderId="24" applyAlignment="1" applyProtection="1" pivotButton="0" quotePrefix="0" xfId="0">
      <alignment horizontal="right"/>
      <protection locked="0" hidden="0"/>
    </xf>
    <xf numFmtId="0" fontId="15" fillId="15" borderId="0" applyAlignment="1" pivotButton="0" quotePrefix="0" xfId="0">
      <alignment vertical="center" wrapText="1"/>
    </xf>
    <xf numFmtId="0" fontId="47" fillId="0" borderId="0" pivotButton="0" quotePrefix="0" xfId="0"/>
    <xf numFmtId="0" fontId="47" fillId="0" borderId="20" pivotButton="0" quotePrefix="0" xfId="0"/>
    <xf numFmtId="0" fontId="352" fillId="15" borderId="80" applyAlignment="1" pivotButton="0" quotePrefix="0" xfId="0">
      <alignment horizontal="center" vertical="center"/>
    </xf>
    <xf numFmtId="0" fontId="353" fillId="0" borderId="8" applyAlignment="1" pivotButton="0" quotePrefix="0" xfId="0">
      <alignment horizontal="center" vertical="center"/>
    </xf>
    <xf numFmtId="0" fontId="353" fillId="0" borderId="5" applyAlignment="1" pivotButton="0" quotePrefix="0" xfId="0">
      <alignment horizontal="center" vertical="center"/>
    </xf>
    <xf numFmtId="0" fontId="353" fillId="0" borderId="0" applyAlignment="1" pivotButton="0" quotePrefix="0" xfId="0">
      <alignment horizontal="center" vertical="center"/>
    </xf>
    <xf numFmtId="0" fontId="166" fillId="15" borderId="0" applyAlignment="1" applyProtection="1" pivotButton="0" quotePrefix="0" xfId="0">
      <alignment horizontal="center" vertical="center" wrapText="1"/>
      <protection locked="0" hidden="0"/>
    </xf>
    <xf numFmtId="0" fontId="166" fillId="15" borderId="20" applyAlignment="1" applyProtection="1" pivotButton="0" quotePrefix="0" xfId="0">
      <alignment horizontal="center" vertical="center" wrapText="1"/>
      <protection locked="0" hidden="0"/>
    </xf>
    <xf numFmtId="0" fontId="15" fillId="15" borderId="5" applyAlignment="1" pivotButton="0" quotePrefix="0" xfId="0">
      <alignment horizontal="center" vertical="center"/>
    </xf>
    <xf numFmtId="0" fontId="15" fillId="15" borderId="0" applyAlignment="1" pivotButton="0" quotePrefix="0" xfId="0">
      <alignment horizontal="center" vertical="center"/>
    </xf>
    <xf numFmtId="0" fontId="15" fillId="15" borderId="20" applyAlignment="1" pivotButton="0" quotePrefix="0" xfId="0">
      <alignment horizontal="center" vertical="center"/>
    </xf>
    <xf numFmtId="0" fontId="6" fillId="15" borderId="5" applyAlignment="1" pivotButton="0" quotePrefix="0" xfId="0">
      <alignment horizontal="right" wrapText="1"/>
    </xf>
    <xf numFmtId="0" fontId="6" fillId="15" borderId="0" applyAlignment="1" pivotButton="0" quotePrefix="0" xfId="0">
      <alignment horizontal="right" wrapText="1"/>
    </xf>
    <xf numFmtId="0" fontId="6" fillId="15" borderId="21" applyAlignment="1" pivotButton="0" quotePrefix="0" xfId="0">
      <alignment horizontal="right" wrapText="1"/>
    </xf>
    <xf numFmtId="0" fontId="6" fillId="15" borderId="4" applyAlignment="1" pivotButton="0" quotePrefix="0" xfId="0">
      <alignment horizontal="right" wrapText="1"/>
    </xf>
    <xf numFmtId="0" fontId="11" fillId="15" borderId="0" applyAlignment="1" pivotButton="0" quotePrefix="0" xfId="0">
      <alignment horizontal="center" wrapText="1"/>
    </xf>
    <xf numFmtId="0" fontId="6" fillId="15" borderId="0" applyAlignment="1" pivotButton="0" quotePrefix="0" xfId="0">
      <alignment horizontal="center" wrapText="1"/>
    </xf>
    <xf numFmtId="0" fontId="6" fillId="15" borderId="4" applyAlignment="1" pivotButton="0" quotePrefix="0" xfId="0">
      <alignment horizontal="center" wrapText="1"/>
    </xf>
    <xf numFmtId="0" fontId="4" fillId="23" borderId="0" applyAlignment="1" pivotButton="0" quotePrefix="0" xfId="0">
      <alignment horizontal="center" vertical="top" textRotation="90"/>
    </xf>
    <xf numFmtId="0" fontId="163" fillId="15" borderId="3" applyAlignment="1" applyProtection="1" pivotButton="0" quotePrefix="0" xfId="0">
      <alignment horizontal="center" vertical="center" wrapText="1"/>
      <protection locked="0" hidden="0"/>
    </xf>
    <xf numFmtId="0" fontId="163" fillId="15" borderId="0" applyAlignment="1" applyProtection="1" pivotButton="0" quotePrefix="0" xfId="0">
      <alignment horizontal="center" vertical="center" wrapText="1"/>
      <protection locked="0" hidden="0"/>
    </xf>
    <xf numFmtId="0" fontId="163" fillId="15" borderId="24" applyAlignment="1" applyProtection="1" pivotButton="0" quotePrefix="0" xfId="0">
      <alignment horizontal="center" vertical="center" wrapText="1"/>
      <protection locked="0" hidden="0"/>
    </xf>
    <xf numFmtId="37" fontId="123" fillId="15" borderId="3" applyAlignment="1" pivotButton="0" quotePrefix="0" xfId="0">
      <alignment horizontal="center"/>
    </xf>
    <xf numFmtId="37" fontId="123" fillId="15" borderId="0" applyAlignment="1" pivotButton="0" quotePrefix="0" xfId="0">
      <alignment horizontal="center"/>
    </xf>
    <xf numFmtId="0" fontId="67" fillId="15" borderId="5" applyAlignment="1" pivotButton="0" quotePrefix="0" xfId="2">
      <alignment horizontal="center" vertical="center"/>
    </xf>
    <xf numFmtId="0" fontId="67" fillId="15" borderId="0" applyAlignment="1" pivotButton="0" quotePrefix="0" xfId="2">
      <alignment horizontal="center" vertical="center"/>
    </xf>
    <xf numFmtId="0" fontId="67" fillId="15" borderId="20" applyAlignment="1" pivotButton="0" quotePrefix="0" xfId="2">
      <alignment horizontal="center" vertical="center"/>
    </xf>
    <xf numFmtId="0" fontId="67" fillId="15" borderId="21" applyAlignment="1" pivotButton="0" quotePrefix="0" xfId="2">
      <alignment horizontal="center" vertical="center"/>
    </xf>
    <xf numFmtId="0" fontId="67" fillId="15" borderId="4" applyAlignment="1" pivotButton="0" quotePrefix="0" xfId="2">
      <alignment horizontal="center" vertical="center"/>
    </xf>
    <xf numFmtId="0" fontId="67" fillId="15" borderId="22" applyAlignment="1" pivotButton="0" quotePrefix="0" xfId="2">
      <alignment horizontal="center" vertical="center"/>
    </xf>
    <xf numFmtId="0" fontId="67" fillId="15" borderId="23" applyAlignment="1" pivotButton="0" quotePrefix="0" xfId="2">
      <alignment horizontal="center" vertical="center"/>
    </xf>
    <xf numFmtId="0" fontId="67" fillId="15" borderId="7" applyAlignment="1" pivotButton="0" quotePrefix="0" xfId="2">
      <alignment horizontal="center" vertical="center"/>
    </xf>
    <xf numFmtId="0" fontId="67" fillId="15" borderId="19" applyAlignment="1" pivotButton="0" quotePrefix="0" xfId="2">
      <alignment horizontal="center" vertical="center"/>
    </xf>
    <xf numFmtId="0" fontId="6" fillId="15" borderId="30" applyAlignment="1" pivotButton="0" quotePrefix="0" xfId="0">
      <alignment horizontal="center" vertical="center" wrapText="1"/>
    </xf>
    <xf numFmtId="0" fontId="6" fillId="15" borderId="8" applyAlignment="1" pivotButton="0" quotePrefix="0" xfId="0">
      <alignment horizontal="center" vertical="center" wrapText="1"/>
    </xf>
    <xf numFmtId="0" fontId="6" fillId="15" borderId="14" applyAlignment="1" pivotButton="0" quotePrefix="0" xfId="0">
      <alignment horizontal="center" vertical="center" wrapText="1"/>
    </xf>
    <xf numFmtId="0" fontId="6" fillId="15" borderId="3" applyAlignment="1" pivotButton="0" quotePrefix="0" xfId="0">
      <alignment horizontal="center" vertical="center" wrapText="1"/>
    </xf>
    <xf numFmtId="0" fontId="6" fillId="15" borderId="0" applyAlignment="1" pivotButton="0" quotePrefix="0" xfId="0">
      <alignment horizontal="center" vertical="center" wrapText="1"/>
    </xf>
    <xf numFmtId="0" fontId="6" fillId="15" borderId="24" applyAlignment="1" pivotButton="0" quotePrefix="0" xfId="0">
      <alignment horizontal="center" vertical="center" wrapText="1"/>
    </xf>
    <xf numFmtId="0" fontId="6" fillId="15" borderId="9" applyAlignment="1" pivotButton="0" quotePrefix="0" xfId="0">
      <alignment horizontal="center" vertical="center" wrapText="1"/>
    </xf>
    <xf numFmtId="0" fontId="6" fillId="15" borderId="1" applyAlignment="1" pivotButton="0" quotePrefix="0" xfId="0">
      <alignment horizontal="center" vertical="center" wrapText="1"/>
    </xf>
    <xf numFmtId="0" fontId="6" fillId="15" borderId="11" applyAlignment="1" pivotButton="0" quotePrefix="0" xfId="0">
      <alignment horizontal="center" vertical="center" wrapText="1"/>
    </xf>
    <xf numFmtId="0" fontId="47" fillId="15" borderId="30" applyAlignment="1" pivotButton="0" quotePrefix="0" xfId="0">
      <alignment horizontal="center" vertical="center"/>
    </xf>
    <xf numFmtId="0" fontId="47" fillId="15" borderId="8" applyAlignment="1" pivotButton="0" quotePrefix="0" xfId="0">
      <alignment horizontal="center" vertical="center"/>
    </xf>
    <xf numFmtId="0" fontId="47" fillId="15" borderId="9" applyAlignment="1" pivotButton="0" quotePrefix="0" xfId="0">
      <alignment horizontal="center" vertical="center"/>
    </xf>
    <xf numFmtId="0" fontId="47" fillId="15" borderId="1" applyAlignment="1" pivotButton="0" quotePrefix="0" xfId="0">
      <alignment horizontal="center" vertical="center"/>
    </xf>
    <xf numFmtId="0" fontId="4" fillId="2" borderId="0" applyAlignment="1" pivotButton="0" quotePrefix="0" xfId="0">
      <alignment horizontal="center" wrapText="1"/>
    </xf>
    <xf numFmtId="0" fontId="4" fillId="2" borderId="1" applyAlignment="1" pivotButton="0" quotePrefix="0" xfId="0">
      <alignment horizontal="center" wrapText="1"/>
    </xf>
    <xf numFmtId="0" fontId="112" fillId="2" borderId="5" applyAlignment="1" pivotButton="0" quotePrefix="0" xfId="0">
      <alignment horizontal="center" vertical="center"/>
    </xf>
    <xf numFmtId="0" fontId="112" fillId="0" borderId="0" applyAlignment="1" pivotButton="0" quotePrefix="0" xfId="0">
      <alignment vertical="center"/>
    </xf>
    <xf numFmtId="164" fontId="4" fillId="2" borderId="0" pivotButton="0" quotePrefix="0" xfId="0"/>
    <xf numFmtId="0" fontId="6" fillId="5" borderId="0" applyAlignment="1" pivotButton="0" quotePrefix="0" xfId="0">
      <alignment horizontal="center"/>
    </xf>
    <xf numFmtId="0" fontId="4" fillId="2" borderId="0" applyAlignment="1" pivotButton="0" quotePrefix="0" xfId="0">
      <alignment horizontal="left"/>
    </xf>
    <xf numFmtId="0" fontId="0" fillId="0" borderId="0" applyAlignment="1" pivotButton="0" quotePrefix="0" xfId="0">
      <alignment horizontal="left"/>
    </xf>
    <xf numFmtId="40" fontId="110" fillId="2" borderId="0" pivotButton="0" quotePrefix="0" xfId="0"/>
    <xf numFmtId="0" fontId="110" fillId="0" borderId="0" pivotButton="0" quotePrefix="0" xfId="0"/>
    <xf numFmtId="38" fontId="110" fillId="2" borderId="8" pivotButton="0" quotePrefix="0" xfId="0"/>
    <xf numFmtId="40" fontId="110" fillId="2" borderId="8" applyAlignment="1" pivotButton="0" quotePrefix="0" xfId="0">
      <alignment horizontal="right"/>
    </xf>
    <xf numFmtId="0" fontId="110" fillId="0" borderId="8" applyAlignment="1" pivotButton="0" quotePrefix="0" xfId="0">
      <alignment horizontal="right"/>
    </xf>
    <xf numFmtId="0" fontId="69" fillId="2" borderId="8" pivotButton="0" quotePrefix="0" xfId="0"/>
    <xf numFmtId="0" fontId="0" fillId="0" borderId="8" pivotButton="0" quotePrefix="0" xfId="0"/>
    <xf numFmtId="0" fontId="110" fillId="0" borderId="20" pivotButton="0" quotePrefix="0" xfId="0"/>
    <xf numFmtId="40" fontId="0" fillId="2" borderId="0" applyAlignment="1" pivotButton="0" quotePrefix="0" xfId="0">
      <alignment horizontal="center"/>
    </xf>
    <xf numFmtId="37" fontId="0" fillId="27" borderId="1" pivotButton="0" quotePrefix="0" xfId="0"/>
    <xf numFmtId="37" fontId="0" fillId="16" borderId="1" applyProtection="1" pivotButton="0" quotePrefix="0" xfId="0">
      <protection locked="0" hidden="0"/>
    </xf>
    <xf numFmtId="37" fontId="0" fillId="27" borderId="39" pivotButton="0" quotePrefix="0" xfId="0"/>
    <xf numFmtId="37" fontId="0" fillId="27" borderId="54" pivotButton="0" quotePrefix="0" xfId="0"/>
    <xf numFmtId="37" fontId="0" fillId="0" borderId="1" applyProtection="1" pivotButton="0" quotePrefix="0" xfId="0">
      <protection locked="0" hidden="0"/>
    </xf>
    <xf numFmtId="0" fontId="22" fillId="2" borderId="0" pivotButton="0" quotePrefix="0" xfId="0"/>
    <xf numFmtId="3" fontId="51" fillId="2" borderId="0" pivotButton="0" quotePrefix="0" xfId="0"/>
    <xf numFmtId="3" fontId="22" fillId="0" borderId="0" pivotButton="0" quotePrefix="0" xfId="0"/>
    <xf numFmtId="37" fontId="11" fillId="16" borderId="9" applyAlignment="1" applyProtection="1" pivotButton="0" quotePrefix="0" xfId="0">
      <alignment horizontal="right"/>
      <protection locked="0" hidden="0"/>
    </xf>
    <xf numFmtId="37" fontId="11" fillId="16" borderId="11" applyAlignment="1" applyProtection="1" pivotButton="0" quotePrefix="0" xfId="0">
      <alignment horizontal="right"/>
      <protection locked="0" hidden="0"/>
    </xf>
    <xf numFmtId="0" fontId="4" fillId="15" borderId="10" applyAlignment="1" pivotButton="0" quotePrefix="0" xfId="0">
      <alignment horizontal="left" wrapText="1"/>
    </xf>
    <xf numFmtId="0" fontId="14" fillId="27" borderId="25" applyAlignment="1" pivotButton="0" quotePrefix="0" xfId="0">
      <alignment horizontal="right"/>
    </xf>
    <xf numFmtId="37" fontId="123" fillId="15" borderId="3" applyAlignment="1" pivotButton="0" quotePrefix="0" xfId="0">
      <alignment horizontal="right" indent="1"/>
    </xf>
    <xf numFmtId="37" fontId="123" fillId="15" borderId="0" applyAlignment="1" pivotButton="0" quotePrefix="0" xfId="0">
      <alignment horizontal="right" indent="1"/>
    </xf>
    <xf numFmtId="0" fontId="8" fillId="15" borderId="0" applyAlignment="1" pivotButton="0" quotePrefix="0" xfId="0">
      <alignment horizontal="left" wrapText="1"/>
    </xf>
    <xf numFmtId="0" fontId="8" fillId="15" borderId="20" applyAlignment="1" pivotButton="0" quotePrefix="0" xfId="0">
      <alignment horizontal="left" wrapText="1"/>
    </xf>
    <xf numFmtId="0" fontId="8" fillId="15" borderId="4" applyAlignment="1" pivotButton="0" quotePrefix="0" xfId="0">
      <alignment horizontal="left" wrapText="1"/>
    </xf>
    <xf numFmtId="0" fontId="8" fillId="15" borderId="22" applyAlignment="1" pivotButton="0" quotePrefix="0" xfId="0">
      <alignment horizontal="left" wrapText="1"/>
    </xf>
    <xf numFmtId="0" fontId="15" fillId="16" borderId="1" applyAlignment="1" applyProtection="1" pivotButton="0" quotePrefix="0" xfId="0">
      <alignment horizontal="left"/>
      <protection locked="0" hidden="0"/>
    </xf>
    <xf numFmtId="0" fontId="15" fillId="15" borderId="0" applyAlignment="1" pivotButton="0" quotePrefix="1" xfId="0">
      <alignment horizontal="center"/>
    </xf>
    <xf numFmtId="0" fontId="15" fillId="15" borderId="24" applyAlignment="1" pivotButton="0" quotePrefix="1" xfId="0">
      <alignment horizontal="center"/>
    </xf>
    <xf numFmtId="0" fontId="223" fillId="31" borderId="34" applyAlignment="1" pivotButton="0" quotePrefix="0" xfId="0">
      <alignment horizontal="center" vertical="center"/>
    </xf>
    <xf numFmtId="0" fontId="74" fillId="0" borderId="34" applyAlignment="1" pivotButton="0" quotePrefix="0" xfId="0">
      <alignment horizontal="center" vertical="center"/>
    </xf>
    <xf numFmtId="0" fontId="14" fillId="15" borderId="0" applyAlignment="1" pivotButton="0" quotePrefix="0" xfId="0">
      <alignment horizontal="left"/>
    </xf>
    <xf numFmtId="0" fontId="14" fillId="15" borderId="24" applyAlignment="1" pivotButton="0" quotePrefix="0" xfId="0">
      <alignment horizontal="left"/>
    </xf>
    <xf numFmtId="0" fontId="15" fillId="16" borderId="216" applyAlignment="1" applyProtection="1" pivotButton="0" quotePrefix="0" xfId="0">
      <alignment horizontal="left"/>
      <protection locked="0" hidden="0"/>
    </xf>
    <xf numFmtId="0" fontId="14" fillId="15" borderId="0" applyAlignment="1" pivotButton="0" quotePrefix="0" xfId="0">
      <alignment horizontal="left" wrapText="1"/>
    </xf>
    <xf numFmtId="0" fontId="14" fillId="15" borderId="24" applyAlignment="1" pivotButton="0" quotePrefix="0" xfId="0">
      <alignment horizontal="left" wrapText="1"/>
    </xf>
    <xf numFmtId="0" fontId="47" fillId="15" borderId="3" applyAlignment="1" pivotButton="0" quotePrefix="0" xfId="0">
      <alignment horizontal="left" indent="1"/>
    </xf>
    <xf numFmtId="0" fontId="47" fillId="15" borderId="0" applyAlignment="1" pivotButton="0" quotePrefix="0" xfId="0">
      <alignment horizontal="left" indent="1"/>
    </xf>
    <xf numFmtId="0" fontId="14" fillId="15" borderId="0" applyAlignment="1" pivotButton="0" quotePrefix="0" xfId="0">
      <alignment horizontal="left" vertical="top" wrapText="1"/>
    </xf>
    <xf numFmtId="0" fontId="14" fillId="16" borderId="1" applyAlignment="1" applyProtection="1" pivotButton="0" quotePrefix="0" xfId="0">
      <alignment horizontal="right"/>
      <protection locked="0" hidden="0"/>
    </xf>
    <xf numFmtId="0" fontId="11" fillId="25" borderId="1" pivotButton="0" quotePrefix="0" xfId="0"/>
    <xf numFmtId="0" fontId="11" fillId="25" borderId="25" pivotButton="0" quotePrefix="0" xfId="0"/>
    <xf numFmtId="37" fontId="11" fillId="25" borderId="69" pivotButton="0" quotePrefix="0" xfId="0"/>
    <xf numFmtId="0" fontId="14" fillId="25" borderId="4" pivotButton="0" quotePrefix="0" xfId="0"/>
    <xf numFmtId="37" fontId="11" fillId="15" borderId="30" applyProtection="1" pivotButton="0" quotePrefix="0" xfId="0">
      <protection locked="0" hidden="0"/>
    </xf>
    <xf numFmtId="0" fontId="14" fillId="15" borderId="8" applyProtection="1" pivotButton="0" quotePrefix="0" xfId="0">
      <protection locked="0" hidden="0"/>
    </xf>
    <xf numFmtId="0" fontId="14" fillId="27" borderId="1" pivotButton="0" quotePrefix="0" xfId="0"/>
    <xf numFmtId="37" fontId="11" fillId="27" borderId="69" applyAlignment="1" pivotButton="0" quotePrefix="0" xfId="0">
      <alignment horizontal="right"/>
    </xf>
    <xf numFmtId="37" fontId="11" fillId="27" borderId="4" applyAlignment="1" pivotButton="0" quotePrefix="0" xfId="0">
      <alignment horizontal="right"/>
    </xf>
    <xf numFmtId="37" fontId="11" fillId="16" borderId="39" applyAlignment="1" applyProtection="1" pivotButton="0" quotePrefix="0" xfId="0">
      <alignment horizontal="right"/>
      <protection locked="0" hidden="0"/>
    </xf>
    <xf numFmtId="37" fontId="11" fillId="16" borderId="25" applyAlignment="1" applyProtection="1" pivotButton="0" quotePrefix="0" xfId="0">
      <alignment horizontal="right"/>
      <protection locked="0" hidden="0"/>
    </xf>
    <xf numFmtId="37" fontId="9" fillId="15" borderId="3" pivotButton="0" quotePrefix="0" xfId="0"/>
    <xf numFmtId="0" fontId="4" fillId="15" borderId="0" pivotButton="0" quotePrefix="0" xfId="0"/>
    <xf numFmtId="37" fontId="123" fillId="15" borderId="30" applyAlignment="1" pivotButton="0" quotePrefix="0" xfId="0">
      <alignment horizontal="right"/>
    </xf>
    <xf numFmtId="37" fontId="123" fillId="15" borderId="8" applyAlignment="1" pivotButton="0" quotePrefix="0" xfId="0">
      <alignment horizontal="right"/>
    </xf>
    <xf numFmtId="37" fontId="11" fillId="15" borderId="3" applyAlignment="1" applyProtection="1" pivotButton="0" quotePrefix="0" xfId="0">
      <alignment horizontal="right"/>
      <protection locked="0" hidden="0"/>
    </xf>
    <xf numFmtId="37" fontId="11" fillId="15" borderId="0" applyAlignment="1" applyProtection="1" pivotButton="0" quotePrefix="0" xfId="0">
      <alignment horizontal="right"/>
      <protection locked="0" hidden="0"/>
    </xf>
    <xf numFmtId="37" fontId="11" fillId="15" borderId="24" applyAlignment="1" applyProtection="1" pivotButton="0" quotePrefix="0" xfId="0">
      <alignment horizontal="right"/>
      <protection locked="0" hidden="0"/>
    </xf>
    <xf numFmtId="0" fontId="72" fillId="15" borderId="80" applyAlignment="1" pivotButton="0" quotePrefix="0" xfId="0">
      <alignment horizontal="center" vertical="center"/>
    </xf>
    <xf numFmtId="0" fontId="0" fillId="0" borderId="8" applyAlignment="1" pivotButton="0" quotePrefix="0" xfId="0">
      <alignment horizontal="center" vertical="center"/>
    </xf>
    <xf numFmtId="0" fontId="0" fillId="0" borderId="5" applyAlignment="1" pivotButton="0" quotePrefix="0" xfId="0">
      <alignment horizontal="center" vertical="center"/>
    </xf>
    <xf numFmtId="0" fontId="6" fillId="15" borderId="0" applyAlignment="1" pivotButton="0" quotePrefix="0" xfId="0">
      <alignment horizontal="left" wrapText="1"/>
    </xf>
    <xf numFmtId="0" fontId="0" fillId="15" borderId="0" applyAlignment="1" pivotButton="0" quotePrefix="0" xfId="0">
      <alignment horizontal="left" wrapText="1"/>
    </xf>
    <xf numFmtId="0" fontId="6" fillId="15" borderId="4" applyAlignment="1" pivotButton="0" quotePrefix="0" xfId="0">
      <alignment horizontal="left" wrapText="1"/>
    </xf>
    <xf numFmtId="0" fontId="0" fillId="15" borderId="4" applyAlignment="1" pivotButton="0" quotePrefix="0" xfId="0">
      <alignment horizontal="left" wrapText="1"/>
    </xf>
    <xf numFmtId="0" fontId="15" fillId="15" borderId="0" applyAlignment="1" pivotButton="0" quotePrefix="0" xfId="0">
      <alignment horizontal="right" indent="1"/>
    </xf>
    <xf numFmtId="0" fontId="15" fillId="15" borderId="24" applyAlignment="1" pivotButton="0" quotePrefix="0" xfId="0">
      <alignment horizontal="right" indent="1"/>
    </xf>
    <xf numFmtId="0" fontId="4" fillId="15" borderId="21" applyAlignment="1" pivotButton="0" quotePrefix="0" xfId="0">
      <alignment horizontal="center"/>
    </xf>
    <xf numFmtId="0" fontId="4" fillId="15" borderId="4" applyAlignment="1" pivotButton="0" quotePrefix="0" xfId="0">
      <alignment horizontal="center"/>
    </xf>
    <xf numFmtId="0" fontId="4" fillId="15" borderId="22" applyAlignment="1" pivotButton="0" quotePrefix="0" xfId="0">
      <alignment horizontal="center"/>
    </xf>
    <xf numFmtId="0" fontId="223" fillId="31" borderId="7" applyAlignment="1" pivotButton="0" quotePrefix="0" xfId="0">
      <alignment horizontal="center" vertical="center"/>
    </xf>
    <xf numFmtId="0" fontId="74" fillId="0" borderId="7" applyAlignment="1" pivotButton="0" quotePrefix="0" xfId="0">
      <alignment horizontal="center" vertical="center"/>
    </xf>
    <xf numFmtId="0" fontId="44" fillId="27" borderId="0" applyAlignment="1" pivotButton="0" quotePrefix="0" xfId="0">
      <alignment horizontal="left"/>
    </xf>
    <xf numFmtId="0" fontId="44" fillId="27" borderId="24" applyAlignment="1" pivotButton="0" quotePrefix="0" xfId="0">
      <alignment horizontal="left"/>
    </xf>
    <xf numFmtId="0" fontId="44" fillId="27" borderId="1" applyAlignment="1" pivotButton="0" quotePrefix="0" xfId="0">
      <alignment horizontal="left"/>
    </xf>
    <xf numFmtId="0" fontId="44" fillId="27" borderId="11" applyAlignment="1" pivotButton="0" quotePrefix="0" xfId="0">
      <alignment horizontal="left"/>
    </xf>
    <xf numFmtId="0" fontId="223" fillId="31" borderId="8" applyAlignment="1" pivotButton="0" quotePrefix="0" xfId="0">
      <alignment horizontal="center" vertical="center"/>
    </xf>
    <xf numFmtId="0" fontId="74" fillId="0" borderId="8" applyAlignment="1" pivotButton="0" quotePrefix="0" xfId="0">
      <alignment horizontal="center" vertical="center"/>
    </xf>
    <xf numFmtId="0" fontId="85" fillId="15" borderId="0" applyAlignment="1" pivotButton="0" quotePrefix="0" xfId="0">
      <alignment horizontal="center" vertical="center"/>
    </xf>
    <xf numFmtId="0" fontId="85" fillId="15" borderId="20" applyAlignment="1" pivotButton="0" quotePrefix="0" xfId="0">
      <alignment horizontal="center" vertical="center"/>
    </xf>
    <xf numFmtId="0" fontId="4" fillId="15" borderId="0" applyAlignment="1" pivotButton="0" quotePrefix="0" xfId="0">
      <alignment horizontal="center"/>
    </xf>
    <xf numFmtId="0" fontId="4" fillId="15" borderId="20" applyAlignment="1" pivotButton="0" quotePrefix="0" xfId="0">
      <alignment horizontal="center"/>
    </xf>
    <xf numFmtId="0" fontId="206" fillId="15" borderId="0" applyAlignment="1" pivotButton="0" quotePrefix="0" xfId="0">
      <alignment horizontal="center" vertical="center" wrapText="1"/>
    </xf>
    <xf numFmtId="0" fontId="143" fillId="23" borderId="0" applyAlignment="1" pivotButton="0" quotePrefix="0" xfId="0">
      <alignment horizontal="center"/>
    </xf>
    <xf numFmtId="37" fontId="123" fillId="15" borderId="3" applyAlignment="1" applyProtection="1" pivotButton="0" quotePrefix="0" xfId="0">
      <alignment horizontal="right"/>
      <protection locked="0" hidden="0"/>
    </xf>
    <xf numFmtId="37" fontId="123" fillId="15" borderId="0" applyAlignment="1" applyProtection="1" pivotButton="0" quotePrefix="0" xfId="0">
      <alignment horizontal="right"/>
      <protection locked="0" hidden="0"/>
    </xf>
    <xf numFmtId="37" fontId="110" fillId="15" borderId="25" applyAlignment="1" pivotButton="0" quotePrefix="0" xfId="0">
      <alignment horizontal="right"/>
    </xf>
    <xf numFmtId="0" fontId="123" fillId="31" borderId="1" applyAlignment="1" pivotButton="0" quotePrefix="0" xfId="0">
      <alignment horizontal="center" vertical="center"/>
    </xf>
    <xf numFmtId="0" fontId="14" fillId="0" borderId="1" applyAlignment="1" pivotButton="0" quotePrefix="0" xfId="0">
      <alignment horizontal="center" vertical="center"/>
    </xf>
    <xf numFmtId="0" fontId="14" fillId="16" borderId="1" applyAlignment="1" applyProtection="1" pivotButton="0" quotePrefix="0" xfId="0">
      <alignment horizontal="left"/>
      <protection locked="0" hidden="0"/>
    </xf>
    <xf numFmtId="37" fontId="11" fillId="19" borderId="9" applyAlignment="1" pivotButton="0" quotePrefix="0" xfId="0">
      <alignment horizontal="right"/>
    </xf>
    <xf numFmtId="37" fontId="11" fillId="19" borderId="1" applyAlignment="1" pivotButton="0" quotePrefix="0" xfId="0">
      <alignment horizontal="right"/>
    </xf>
    <xf numFmtId="37" fontId="11" fillId="19" borderId="11" applyAlignment="1" pivotButton="0" quotePrefix="0" xfId="0">
      <alignment horizontal="right"/>
    </xf>
    <xf numFmtId="37" fontId="11" fillId="27" borderId="39" applyProtection="1" pivotButton="0" quotePrefix="0" xfId="0">
      <protection locked="0" hidden="0"/>
    </xf>
    <xf numFmtId="37" fontId="11" fillId="27" borderId="25" applyProtection="1" pivotButton="0" quotePrefix="0" xfId="0">
      <protection locked="0" hidden="0"/>
    </xf>
    <xf numFmtId="37" fontId="11" fillId="15" borderId="8" applyProtection="1" pivotButton="0" quotePrefix="0" xfId="0">
      <protection locked="0" hidden="0"/>
    </xf>
    <xf numFmtId="37" fontId="11" fillId="25" borderId="52" pivotButton="0" quotePrefix="0" xfId="0"/>
    <xf numFmtId="37" fontId="14" fillId="25" borderId="31" pivotButton="0" quotePrefix="0" xfId="0"/>
    <xf numFmtId="0" fontId="0" fillId="15" borderId="3" applyAlignment="1" pivotButton="0" quotePrefix="0" xfId="0">
      <alignment horizontal="center"/>
    </xf>
    <xf numFmtId="0" fontId="0" fillId="15" borderId="24" applyAlignment="1" pivotButton="0" quotePrefix="0" xfId="0">
      <alignment horizontal="center"/>
    </xf>
    <xf numFmtId="0" fontId="6" fillId="15" borderId="30" applyAlignment="1" pivotButton="0" quotePrefix="0" xfId="0">
      <alignment horizontal="center"/>
    </xf>
    <xf numFmtId="0" fontId="6" fillId="15" borderId="8" applyAlignment="1" pivotButton="0" quotePrefix="0" xfId="0">
      <alignment horizontal="center"/>
    </xf>
    <xf numFmtId="0" fontId="6" fillId="15" borderId="14" applyAlignment="1" pivotButton="0" quotePrefix="0" xfId="0">
      <alignment horizontal="center"/>
    </xf>
    <xf numFmtId="37" fontId="14" fillId="25" borderId="4" pivotButton="0" quotePrefix="0" xfId="0"/>
    <xf numFmtId="0" fontId="223" fillId="31" borderId="25" applyAlignment="1" pivotButton="0" quotePrefix="0" xfId="0">
      <alignment horizontal="center" vertical="center"/>
    </xf>
    <xf numFmtId="0" fontId="74" fillId="0" borderId="25" applyAlignment="1" pivotButton="0" quotePrefix="0" xfId="0">
      <alignment horizontal="center" vertical="center"/>
    </xf>
    <xf numFmtId="0" fontId="11" fillId="15" borderId="0" applyAlignment="1" pivotButton="0" quotePrefix="0" xfId="0">
      <alignment vertical="center" wrapText="1"/>
    </xf>
    <xf numFmtId="0" fontId="14" fillId="0" borderId="0" applyAlignment="1" pivotButton="0" quotePrefix="0" xfId="0">
      <alignment vertical="center"/>
    </xf>
    <xf numFmtId="0" fontId="14" fillId="0" borderId="20" applyAlignment="1" pivotButton="0" quotePrefix="0" xfId="0">
      <alignment vertical="center"/>
    </xf>
    <xf numFmtId="0" fontId="6" fillId="0" borderId="1" applyAlignment="1" pivotButton="0" quotePrefix="0" xfId="0">
      <alignment horizontal="center" vertical="center"/>
    </xf>
    <xf numFmtId="0" fontId="205" fillId="15" borderId="0" applyAlignment="1" pivotButton="0" quotePrefix="0" xfId="0">
      <alignment horizontal="left" vertical="center" wrapText="1"/>
    </xf>
    <xf numFmtId="0" fontId="205" fillId="0" borderId="0" applyAlignment="1" pivotButton="0" quotePrefix="0" xfId="0">
      <alignment horizontal="left" vertical="center" wrapText="1"/>
    </xf>
    <xf numFmtId="0" fontId="205" fillId="0" borderId="2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4" applyAlignment="1" pivotButton="0" quotePrefix="0" xfId="0">
      <alignment horizontal="left" vertical="center" wrapText="1"/>
    </xf>
    <xf numFmtId="0" fontId="10" fillId="0" borderId="4" applyAlignment="1" pivotButton="0" quotePrefix="0" xfId="0">
      <alignment horizontal="left" vertical="center" wrapText="1"/>
    </xf>
    <xf numFmtId="0" fontId="10" fillId="0" borderId="22" applyAlignment="1" pivotButton="0" quotePrefix="0" xfId="0">
      <alignment horizontal="left" vertical="center" wrapText="1"/>
    </xf>
    <xf numFmtId="0" fontId="10" fillId="15" borderId="0" applyAlignment="1" pivotButton="0" quotePrefix="0" xfId="0">
      <alignment horizontal="left" wrapText="1"/>
    </xf>
    <xf numFmtId="0" fontId="10" fillId="15" borderId="20" applyAlignment="1" pivotButton="0" quotePrefix="0" xfId="0">
      <alignment horizontal="left" wrapText="1"/>
    </xf>
    <xf numFmtId="0" fontId="85" fillId="15" borderId="5" applyAlignment="1" pivotButton="0" quotePrefix="0" xfId="0">
      <alignment horizontal="center"/>
    </xf>
    <xf numFmtId="0" fontId="85" fillId="15" borderId="0" applyAlignment="1" pivotButton="0" quotePrefix="0" xfId="0">
      <alignment horizontal="center"/>
    </xf>
    <xf numFmtId="0" fontId="85" fillId="15" borderId="20" applyAlignment="1" pivotButton="0" quotePrefix="0" xfId="0">
      <alignment horizontal="center"/>
    </xf>
    <xf numFmtId="0" fontId="6" fillId="15" borderId="3" applyAlignment="1" pivotButton="0" quotePrefix="0" xfId="0">
      <alignment horizontal="center"/>
    </xf>
    <xf numFmtId="0" fontId="6" fillId="15" borderId="0" applyAlignment="1" pivotButton="0" quotePrefix="0" xfId="0">
      <alignment horizontal="center"/>
    </xf>
    <xf numFmtId="0" fontId="6" fillId="15" borderId="24" applyAlignment="1" pivotButton="0" quotePrefix="0" xfId="0">
      <alignment horizontal="center"/>
    </xf>
    <xf numFmtId="0" fontId="11" fillId="15" borderId="0" applyAlignment="1" applyProtection="1" pivotButton="0" quotePrefix="0" xfId="0">
      <alignment horizontal="left" vertical="top" wrapText="1"/>
      <protection locked="1" hidden="1"/>
    </xf>
    <xf numFmtId="0" fontId="5" fillId="15" borderId="0" applyAlignment="1" pivotButton="0" quotePrefix="0" xfId="0">
      <alignment horizontal="left" vertical="top" wrapText="1"/>
    </xf>
    <xf numFmtId="0" fontId="6" fillId="15" borderId="0" applyAlignment="1" applyProtection="1" pivotButton="0" quotePrefix="0" xfId="0">
      <alignment horizontal="left" vertical="top" wrapText="1"/>
      <protection locked="1" hidden="1"/>
    </xf>
    <xf numFmtId="0" fontId="67" fillId="0" borderId="37" applyAlignment="1" applyProtection="1" pivotButton="0" quotePrefix="0" xfId="2">
      <alignment horizontal="center" vertical="center"/>
      <protection locked="1" hidden="1"/>
    </xf>
    <xf numFmtId="0" fontId="67" fillId="0" borderId="102" applyAlignment="1" applyProtection="1" pivotButton="0" quotePrefix="0" xfId="2">
      <alignment horizontal="center" vertical="center"/>
      <protection locked="1" hidden="1"/>
    </xf>
    <xf numFmtId="0" fontId="67" fillId="0" borderId="38" applyAlignment="1" applyProtection="1" pivotButton="0" quotePrefix="0" xfId="2">
      <alignment horizontal="center" vertical="center"/>
      <protection locked="1" hidden="1"/>
    </xf>
    <xf numFmtId="170" fontId="9" fillId="2" borderId="59" applyAlignment="1" applyProtection="1" pivotButton="0" quotePrefix="0" xfId="0">
      <alignment horizontal="center"/>
      <protection locked="0" hidden="0"/>
    </xf>
    <xf numFmtId="170" fontId="9" fillId="2" borderId="60" applyAlignment="1" applyProtection="1" pivotButton="0" quotePrefix="0" xfId="0">
      <alignment horizontal="center"/>
      <protection locked="0" hidden="0"/>
    </xf>
    <xf numFmtId="1" fontId="4" fillId="2" borderId="59" applyAlignment="1" applyProtection="1" pivotButton="0" quotePrefix="0" xfId="0">
      <alignment horizontal="center"/>
      <protection locked="0" hidden="0"/>
    </xf>
    <xf numFmtId="1" fontId="4" fillId="0" borderId="60" applyAlignment="1" applyProtection="1" pivotButton="0" quotePrefix="0" xfId="0">
      <alignment horizontal="center"/>
      <protection locked="0" hidden="0"/>
    </xf>
    <xf numFmtId="0" fontId="109" fillId="2" borderId="0" applyProtection="1" pivotButton="0" quotePrefix="0" xfId="0">
      <protection locked="1" hidden="1"/>
    </xf>
    <xf numFmtId="0" fontId="109" fillId="0" borderId="0" pivotButton="0" quotePrefix="0" xfId="0"/>
    <xf numFmtId="203" fontId="6" fillId="2" borderId="0" applyAlignment="1" applyProtection="1" pivotButton="0" quotePrefix="0" xfId="0">
      <alignment horizontal="left"/>
      <protection locked="1" hidden="1"/>
    </xf>
    <xf numFmtId="0" fontId="6" fillId="0" borderId="0" applyAlignment="1" applyProtection="1" pivotButton="0" quotePrefix="0" xfId="0">
      <alignment horizontal="left"/>
      <protection locked="1" hidden="1"/>
    </xf>
    <xf numFmtId="0" fontId="121" fillId="2" borderId="7" applyProtection="1" pivotButton="0" quotePrefix="0" xfId="0">
      <protection locked="1" hidden="1"/>
    </xf>
    <xf numFmtId="0" fontId="121" fillId="0" borderId="7" pivotButton="0" quotePrefix="0" xfId="0"/>
    <xf numFmtId="0" fontId="10" fillId="2" borderId="5"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0" fillId="0" borderId="20" applyAlignment="1" applyProtection="1" pivotButton="0" quotePrefix="0" xfId="0">
      <alignment horizontal="center"/>
      <protection locked="1" hidden="1"/>
    </xf>
    <xf numFmtId="0" fontId="121" fillId="2" borderId="0" applyAlignment="1" applyProtection="1" pivotButton="0" quotePrefix="0" xfId="0">
      <alignment vertical="top" wrapText="1"/>
      <protection locked="1" hidden="1"/>
    </xf>
    <xf numFmtId="0" fontId="121" fillId="0" borderId="0" applyAlignment="1" pivotButton="0" quotePrefix="0" xfId="0">
      <alignment vertical="top" wrapText="1"/>
    </xf>
    <xf numFmtId="0" fontId="0" fillId="0" borderId="0" applyAlignment="1" pivotButton="0" quotePrefix="0" xfId="0">
      <alignment wrapText="1"/>
    </xf>
    <xf numFmtId="0" fontId="0" fillId="0" borderId="20" applyAlignment="1" pivotButton="0" quotePrefix="0" xfId="0">
      <alignment horizontal="center"/>
    </xf>
    <xf numFmtId="37" fontId="6" fillId="27" borderId="1" pivotButton="0" quotePrefix="0" xfId="0"/>
    <xf numFmtId="0" fontId="166" fillId="15" borderId="4" applyAlignment="1" pivotButton="0" quotePrefix="0" xfId="0">
      <alignment horizontal="center"/>
    </xf>
    <xf numFmtId="0" fontId="206" fillId="2" borderId="0" applyAlignment="1" pivotButton="0" quotePrefix="0" xfId="0">
      <alignment horizontal="center" vertical="center" wrapText="1"/>
    </xf>
    <xf numFmtId="0" fontId="0" fillId="15" borderId="23" applyAlignment="1" pivotButton="0" quotePrefix="0" xfId="0">
      <alignment horizontal="center"/>
    </xf>
    <xf numFmtId="0" fontId="0" fillId="15" borderId="7" applyAlignment="1" pivotButton="0" quotePrefix="0" xfId="0">
      <alignment horizontal="center"/>
    </xf>
    <xf numFmtId="0" fontId="323" fillId="15" borderId="5" applyAlignment="1" pivotButton="0" quotePrefix="0" xfId="0">
      <alignment horizontal="center"/>
    </xf>
    <xf numFmtId="0" fontId="323" fillId="0" borderId="0" applyAlignment="1" pivotButton="0" quotePrefix="0" xfId="0">
      <alignment horizontal="center"/>
    </xf>
    <xf numFmtId="0" fontId="367" fillId="15" borderId="5" applyAlignment="1" pivotButton="0" quotePrefix="0" xfId="0">
      <alignment horizontal="right"/>
    </xf>
    <xf numFmtId="0" fontId="367" fillId="0" borderId="0" applyAlignment="1" pivotButton="0" quotePrefix="0" xfId="0">
      <alignment horizontal="right"/>
    </xf>
    <xf numFmtId="0" fontId="116" fillId="15" borderId="5" applyAlignment="1" pivotButton="0" quotePrefix="0" xfId="0">
      <alignment horizontal="center"/>
    </xf>
    <xf numFmtId="0" fontId="116" fillId="0" borderId="0" applyAlignment="1" pivotButton="0" quotePrefix="0" xfId="0">
      <alignment horizontal="center"/>
    </xf>
    <xf numFmtId="0" fontId="6" fillId="15" borderId="5" applyAlignment="1" pivotButton="0" quotePrefix="0" xfId="0">
      <alignment horizontal="left" vertical="center" wrapText="1" indent="1"/>
    </xf>
    <xf numFmtId="0" fontId="0" fillId="15" borderId="0" applyAlignment="1" pivotButton="0" quotePrefix="0" xfId="0">
      <alignment horizontal="left" vertical="center" wrapText="1" indent="1"/>
    </xf>
    <xf numFmtId="0" fontId="0" fillId="15" borderId="20" applyAlignment="1" pivotButton="0" quotePrefix="0" xfId="0">
      <alignment horizontal="left" vertical="center" wrapText="1" indent="1"/>
    </xf>
    <xf numFmtId="0" fontId="5" fillId="15" borderId="8" applyAlignment="1" pivotButton="0" quotePrefix="0" xfId="0">
      <alignment horizontal="left" vertical="center" wrapText="1" indent="1"/>
    </xf>
    <xf numFmtId="0" fontId="5" fillId="15" borderId="8" applyAlignment="1" pivotButton="0" quotePrefix="0" xfId="0">
      <alignment horizontal="left" vertical="center" indent="1"/>
    </xf>
    <xf numFmtId="0" fontId="5" fillId="15" borderId="88" applyAlignment="1" pivotButton="0" quotePrefix="0" xfId="0">
      <alignment horizontal="left" vertical="center" indent="1"/>
    </xf>
    <xf numFmtId="0" fontId="8" fillId="15" borderId="5" applyAlignment="1" pivotButton="0" quotePrefix="0" xfId="0">
      <alignment horizontal="center"/>
    </xf>
    <xf numFmtId="0" fontId="8" fillId="0" borderId="0" applyAlignment="1" pivotButton="0" quotePrefix="0" xfId="0">
      <alignment horizontal="center"/>
    </xf>
    <xf numFmtId="37" fontId="0" fillId="16" borderId="1" applyAlignment="1" applyProtection="1" pivotButton="0" quotePrefix="0" xfId="0">
      <alignment horizontal="right"/>
      <protection locked="0" hidden="0"/>
    </xf>
    <xf numFmtId="37" fontId="0" fillId="16" borderId="25" applyAlignment="1" applyProtection="1" pivotButton="0" quotePrefix="0" xfId="0">
      <alignment horizontal="right"/>
      <protection locked="0" hidden="0"/>
    </xf>
    <xf numFmtId="0" fontId="6" fillId="15" borderId="23" applyAlignment="1" pivotButton="0" quotePrefix="0" xfId="0">
      <alignment horizontal="center"/>
    </xf>
    <xf numFmtId="0" fontId="6" fillId="15" borderId="19" applyAlignment="1" pivotButton="0" quotePrefix="0" xfId="0">
      <alignment horizontal="center"/>
    </xf>
    <xf numFmtId="37" fontId="0" fillId="15" borderId="8" applyAlignment="1" pivotButton="0" quotePrefix="0" xfId="0">
      <alignment horizontal="right"/>
    </xf>
    <xf numFmtId="1" fontId="31" fillId="2" borderId="39" applyProtection="1" pivotButton="0" quotePrefix="0" xfId="0">
      <protection locked="0" hidden="0"/>
    </xf>
    <xf numFmtId="0" fontId="0" fillId="0" borderId="25" applyProtection="1" pivotButton="0" quotePrefix="0" xfId="0">
      <protection locked="0" hidden="0"/>
    </xf>
    <xf numFmtId="0" fontId="0" fillId="0" borderId="54" applyProtection="1" pivotButton="0" quotePrefix="0" xfId="0">
      <protection locked="0" hidden="0"/>
    </xf>
    <xf numFmtId="39" fontId="6" fillId="24" borderId="23" applyAlignment="1" applyProtection="1" pivotButton="0" quotePrefix="0" xfId="0">
      <alignment horizontal="center"/>
      <protection locked="0" hidden="0"/>
    </xf>
    <xf numFmtId="39" fontId="6" fillId="24" borderId="19" applyAlignment="1" applyProtection="1" pivotButton="0" quotePrefix="0" xfId="0">
      <alignment horizontal="center"/>
      <protection locked="0" hidden="0"/>
    </xf>
    <xf numFmtId="37" fontId="0" fillId="15" borderId="8" applyAlignment="1" applyProtection="1" pivotButton="0" quotePrefix="0" xfId="0">
      <alignment horizontal="right"/>
      <protection locked="0" hidden="0"/>
    </xf>
    <xf numFmtId="0" fontId="37" fillId="2" borderId="23" applyAlignment="1" pivotButton="0" quotePrefix="0" xfId="0">
      <alignment horizontal="left" vertical="top" wrapText="1"/>
    </xf>
    <xf numFmtId="0" fontId="37" fillId="2" borderId="7" applyAlignment="1" pivotButton="0" quotePrefix="0" xfId="0">
      <alignment horizontal="left" vertical="top" wrapText="1"/>
    </xf>
    <xf numFmtId="0" fontId="37" fillId="2" borderId="19" applyAlignment="1" pivotButton="0" quotePrefix="0" xfId="0">
      <alignment horizontal="left" vertical="top" wrapText="1"/>
    </xf>
    <xf numFmtId="0" fontId="37" fillId="2" borderId="5" applyAlignment="1" pivotButton="0" quotePrefix="0" xfId="0">
      <alignment horizontal="left" vertical="top" wrapText="1"/>
    </xf>
    <xf numFmtId="0" fontId="37" fillId="2" borderId="0" applyAlignment="1" pivotButton="0" quotePrefix="0" xfId="0">
      <alignment horizontal="left" vertical="top" wrapText="1"/>
    </xf>
    <xf numFmtId="0" fontId="37" fillId="2" borderId="20" applyAlignment="1" pivotButton="0" quotePrefix="0" xfId="0">
      <alignment horizontal="left" vertical="top" wrapText="1"/>
    </xf>
    <xf numFmtId="0" fontId="37" fillId="2" borderId="21" applyAlignment="1" pivotButton="0" quotePrefix="0" xfId="0">
      <alignment horizontal="left" vertical="top" wrapText="1"/>
    </xf>
    <xf numFmtId="0" fontId="37" fillId="2" borderId="4" applyAlignment="1" pivotButton="0" quotePrefix="0" xfId="0">
      <alignment horizontal="left" vertical="top" wrapText="1"/>
    </xf>
    <xf numFmtId="0" fontId="37" fillId="2" borderId="22" applyAlignment="1" pivotButton="0" quotePrefix="0" xfId="0">
      <alignment horizontal="left" vertical="top" wrapText="1"/>
    </xf>
    <xf numFmtId="3" fontId="0" fillId="16" borderId="1" applyAlignment="1" applyProtection="1" pivotButton="0" quotePrefix="0" xfId="0">
      <alignment horizontal="right"/>
      <protection locked="0" hidden="0"/>
    </xf>
    <xf numFmtId="0" fontId="0" fillId="16" borderId="1" applyAlignment="1" applyProtection="1" pivotButton="0" quotePrefix="0" xfId="0">
      <alignment horizontal="right"/>
      <protection locked="0" hidden="0"/>
    </xf>
    <xf numFmtId="0" fontId="5" fillId="2" borderId="0" applyAlignment="1" pivotButton="0" quotePrefix="0" xfId="0">
      <alignment horizontal="left" vertical="top" wrapText="1"/>
    </xf>
    <xf numFmtId="0" fontId="37" fillId="2" borderId="0" applyAlignment="1" pivotButton="0" quotePrefix="0" xfId="0">
      <alignment horizontal="left" vertical="center" wrapText="1"/>
    </xf>
    <xf numFmtId="0" fontId="80" fillId="2" borderId="0" applyAlignment="1" pivotButton="0" quotePrefix="0" xfId="0">
      <alignment horizontal="right"/>
    </xf>
    <xf numFmtId="0" fontId="80" fillId="0" borderId="0" applyAlignment="1" pivotButton="0" quotePrefix="0" xfId="0">
      <alignment horizontal="right"/>
    </xf>
    <xf numFmtId="0" fontId="374" fillId="24" borderId="5" applyAlignment="1" pivotButton="0" quotePrefix="0" xfId="0">
      <alignment horizontal="center"/>
    </xf>
    <xf numFmtId="0" fontId="374" fillId="24" borderId="0" applyAlignment="1" pivotButton="0" quotePrefix="0" xfId="0">
      <alignment horizontal="center"/>
    </xf>
    <xf numFmtId="0" fontId="10" fillId="15" borderId="21" applyAlignment="1" pivotButton="0" quotePrefix="0" xfId="0">
      <alignment horizontal="left" vertical="top" wrapText="1"/>
    </xf>
    <xf numFmtId="0" fontId="10" fillId="15" borderId="4" applyAlignment="1" pivotButton="0" quotePrefix="0" xfId="0">
      <alignment horizontal="left" vertical="top" wrapText="1"/>
    </xf>
    <xf numFmtId="0" fontId="10" fillId="15" borderId="22" applyAlignment="1" pivotButton="0" quotePrefix="0" xfId="0">
      <alignment horizontal="left" vertical="top" wrapText="1"/>
    </xf>
    <xf numFmtId="0" fontId="6" fillId="24" borderId="0" applyAlignment="1" pivotButton="0" quotePrefix="0" xfId="0">
      <alignment horizontal="left" vertical="top" wrapText="1"/>
    </xf>
    <xf numFmtId="0" fontId="6" fillId="24" borderId="20" applyAlignment="1" pivotButton="0" quotePrefix="0" xfId="0">
      <alignment horizontal="left" vertical="top" wrapText="1"/>
    </xf>
    <xf numFmtId="0" fontId="4" fillId="24" borderId="0" applyAlignment="1" pivotButton="0" quotePrefix="0" xfId="0">
      <alignment horizontal="left" vertical="top"/>
    </xf>
    <xf numFmtId="0" fontId="10" fillId="3"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1" applyAlignment="1" pivotButton="0" quotePrefix="0" xfId="0">
      <alignment horizontal="left" vertical="top" wrapText="1"/>
    </xf>
    <xf numFmtId="0" fontId="10" fillId="2" borderId="101" applyAlignment="1" pivotButton="0" quotePrefix="0" xfId="0">
      <alignment horizontal="center"/>
    </xf>
    <xf numFmtId="0" fontId="6" fillId="0" borderId="1" applyAlignment="1" pivotButton="0" quotePrefix="0" xfId="0">
      <alignment horizontal="center"/>
    </xf>
    <xf numFmtId="176" fontId="11" fillId="28" borderId="9" applyAlignment="1" pivotButton="0" quotePrefix="0" xfId="0">
      <alignment horizontal="center"/>
    </xf>
    <xf numFmtId="0" fontId="14" fillId="25" borderId="1" applyAlignment="1" pivotButton="0" quotePrefix="0" xfId="0">
      <alignment horizontal="center"/>
    </xf>
    <xf numFmtId="0" fontId="12" fillId="3" borderId="3" applyAlignment="1" pivotButton="0" quotePrefix="0" xfId="0">
      <alignment horizontal="left"/>
    </xf>
    <xf numFmtId="0" fontId="4" fillId="0" borderId="0" pivotButton="0" quotePrefix="0" xfId="0"/>
    <xf numFmtId="1" fontId="21" fillId="3" borderId="212" applyAlignment="1" pivotButton="0" quotePrefix="0" xfId="0">
      <alignment horizontal="center" vertical="center" wrapText="1"/>
    </xf>
    <xf numFmtId="0" fontId="315" fillId="0" borderId="8" applyAlignment="1" pivotButton="0" quotePrefix="0" xfId="0">
      <alignment horizontal="center" vertical="center" wrapText="1"/>
    </xf>
    <xf numFmtId="0" fontId="4" fillId="3" borderId="0" applyAlignment="1" pivotButton="0" quotePrefix="0" xfId="0">
      <alignment horizontal="center" vertical="center"/>
    </xf>
    <xf numFmtId="0" fontId="9" fillId="3" borderId="0" applyAlignment="1" pivotButton="0" quotePrefix="0" xfId="0">
      <alignment horizontal="center" vertical="center"/>
    </xf>
    <xf numFmtId="0" fontId="8" fillId="3" borderId="72" applyAlignment="1" pivotButton="0" quotePrefix="0" xfId="0">
      <alignment horizontal="center" vertical="center" wrapText="1"/>
    </xf>
    <xf numFmtId="0" fontId="8" fillId="3" borderId="13" applyAlignment="1" pivotButton="0" quotePrefix="0" xfId="0">
      <alignment horizontal="center" vertical="center" wrapText="1"/>
    </xf>
    <xf numFmtId="0" fontId="11" fillId="28" borderId="1" applyAlignment="1" pivotButton="0" quotePrefix="1" xfId="0">
      <alignment horizontal="left"/>
    </xf>
    <xf numFmtId="0" fontId="11" fillId="28" borderId="11" applyAlignment="1" pivotButton="0" quotePrefix="1" xfId="0">
      <alignment horizontal="left"/>
    </xf>
    <xf numFmtId="0" fontId="0" fillId="20" borderId="87" applyAlignment="1" applyProtection="1" pivotButton="0" quotePrefix="0" xfId="0">
      <alignment horizontal="left"/>
      <protection locked="0" hidden="0"/>
    </xf>
    <xf numFmtId="0" fontId="0" fillId="20" borderId="113" applyAlignment="1" applyProtection="1" pivotButton="0" quotePrefix="0" xfId="0">
      <alignment horizontal="left"/>
      <protection locked="0" hidden="0"/>
    </xf>
    <xf numFmtId="37" fontId="9" fillId="28" borderId="3" applyAlignment="1" pivotButton="0" quotePrefix="0" xfId="0">
      <alignment horizontal="right"/>
    </xf>
    <xf numFmtId="37" fontId="9" fillId="28" borderId="0" applyAlignment="1" pivotButton="0" quotePrefix="0" xfId="0">
      <alignment horizontal="right"/>
    </xf>
    <xf numFmtId="37" fontId="9" fillId="28" borderId="24" applyAlignment="1" pivotButton="0" quotePrefix="0" xfId="0">
      <alignment horizontal="right"/>
    </xf>
    <xf numFmtId="0" fontId="8" fillId="3" borderId="0" applyAlignment="1" pivotButton="0" quotePrefix="0" xfId="0">
      <alignment horizontal="left" vertical="top" wrapText="1"/>
    </xf>
    <xf numFmtId="0" fontId="67" fillId="19" borderId="23" applyAlignment="1" pivotButton="0" quotePrefix="0" xfId="2">
      <alignment horizontal="center" vertical="center"/>
    </xf>
    <xf numFmtId="0" fontId="67" fillId="19" borderId="19" applyAlignment="1" pivotButton="0" quotePrefix="0" xfId="2">
      <alignment horizontal="center" vertical="center"/>
    </xf>
    <xf numFmtId="0" fontId="67" fillId="19" borderId="5" applyAlignment="1" pivotButton="0" quotePrefix="0" xfId="2">
      <alignment horizontal="center" vertical="center"/>
    </xf>
    <xf numFmtId="0" fontId="67" fillId="19" borderId="20" applyAlignment="1" pivotButton="0" quotePrefix="0" xfId="2">
      <alignment horizontal="center" vertical="center"/>
    </xf>
    <xf numFmtId="0" fontId="67" fillId="19" borderId="21" applyAlignment="1" pivotButton="0" quotePrefix="0" xfId="2">
      <alignment horizontal="center" vertical="center"/>
    </xf>
    <xf numFmtId="0" fontId="67" fillId="19" borderId="22" applyAlignment="1" pivotButton="0" quotePrefix="0" xfId="2">
      <alignment horizontal="center" vertical="center"/>
    </xf>
    <xf numFmtId="0" fontId="67" fillId="0" borderId="62" applyAlignment="1" pivotButton="0" quotePrefix="0" xfId="2">
      <alignment horizontal="center"/>
    </xf>
    <xf numFmtId="0" fontId="67" fillId="0" borderId="63" applyAlignment="1" pivotButton="0" quotePrefix="0" xfId="2">
      <alignment horizontal="center"/>
    </xf>
    <xf numFmtId="0" fontId="12" fillId="26" borderId="87" applyAlignment="1" pivotButton="0" quotePrefix="0" xfId="0">
      <alignment horizontal="center"/>
    </xf>
    <xf numFmtId="0" fontId="12" fillId="26" borderId="91" applyAlignment="1" pivotButton="0" quotePrefix="0" xfId="0">
      <alignment horizontal="center"/>
    </xf>
    <xf numFmtId="0" fontId="12" fillId="20" borderId="136" applyAlignment="1" applyProtection="1" pivotButton="0" quotePrefix="0" xfId="0">
      <alignment horizontal="center"/>
      <protection locked="0" hidden="0"/>
    </xf>
    <xf numFmtId="0" fontId="12" fillId="20" borderId="122" applyAlignment="1" applyProtection="1" pivotButton="0" quotePrefix="0" xfId="0">
      <alignment horizontal="center"/>
      <protection locked="0" hidden="0"/>
    </xf>
    <xf numFmtId="0" fontId="12" fillId="26" borderId="94" applyAlignment="1" pivotButton="0" quotePrefix="0" xfId="0">
      <alignment horizontal="center"/>
    </xf>
    <xf numFmtId="0" fontId="12" fillId="26" borderId="95" applyAlignment="1" pivotButton="0" quotePrefix="0" xfId="0">
      <alignment horizontal="center"/>
    </xf>
    <xf numFmtId="0" fontId="44" fillId="3" borderId="100" applyAlignment="1" pivotButton="0" quotePrefix="0" xfId="0">
      <alignment horizontal="center" vertical="center"/>
    </xf>
    <xf numFmtId="0" fontId="44" fillId="3" borderId="0" applyAlignment="1" pivotButton="0" quotePrefix="0" xfId="0">
      <alignment horizontal="center" vertical="center"/>
    </xf>
    <xf numFmtId="0" fontId="44" fillId="3" borderId="75" applyAlignment="1" pivotButton="0" quotePrefix="0" xfId="0">
      <alignment horizontal="center" vertical="center"/>
    </xf>
    <xf numFmtId="0" fontId="12" fillId="14" borderId="0" applyAlignment="1" pivotButton="0" quotePrefix="0" xfId="0">
      <alignment horizontal="center"/>
    </xf>
    <xf numFmtId="0" fontId="12" fillId="20" borderId="216" applyAlignment="1" applyProtection="1" pivotButton="0" quotePrefix="0" xfId="0">
      <alignment horizontal="center"/>
      <protection locked="0" hidden="0"/>
    </xf>
    <xf numFmtId="0" fontId="6" fillId="3" borderId="0" applyAlignment="1" pivotButton="0" quotePrefix="0" xfId="0">
      <alignment horizontal="left" vertical="top" wrapText="1"/>
    </xf>
    <xf numFmtId="0" fontId="23" fillId="15" borderId="7" applyAlignment="1" pivotButton="0" quotePrefix="0" xfId="0">
      <alignment horizontal="left"/>
    </xf>
    <xf numFmtId="0" fontId="23" fillId="15" borderId="0" applyAlignment="1" pivotButton="0" quotePrefix="0" xfId="0">
      <alignment horizontal="left"/>
    </xf>
    <xf numFmtId="0" fontId="47" fillId="24" borderId="0" applyAlignment="1" pivotButton="0" quotePrefix="0" xfId="0">
      <alignment horizontal="left" vertical="top" wrapText="1"/>
    </xf>
    <xf numFmtId="0" fontId="207" fillId="0" borderId="0" applyAlignment="1" pivotButton="0" quotePrefix="0" xfId="0">
      <alignment horizontal="center" vertical="center" wrapText="1"/>
    </xf>
    <xf numFmtId="3" fontId="12" fillId="2" borderId="7" applyAlignment="1" pivotButton="0" quotePrefix="0" xfId="0">
      <alignment horizontal="center" vertical="top" wrapText="1"/>
    </xf>
    <xf numFmtId="3" fontId="12" fillId="2" borderId="0" applyAlignment="1" pivotButton="0" quotePrefix="0" xfId="0">
      <alignment horizontal="center" vertical="top" wrapText="1"/>
    </xf>
    <xf numFmtId="3" fontId="163" fillId="8" borderId="0" applyAlignment="1" pivotButton="0" quotePrefix="0" xfId="0">
      <alignment horizontal="center" wrapText="1"/>
    </xf>
    <xf numFmtId="0" fontId="174" fillId="20" borderId="154" applyAlignment="1" applyProtection="1" pivotButton="0" quotePrefix="0" xfId="0">
      <alignment horizontal="left"/>
      <protection locked="0" hidden="1"/>
    </xf>
    <xf numFmtId="0" fontId="174" fillId="16" borderId="154" applyAlignment="1" applyProtection="1" pivotButton="0" quotePrefix="0" xfId="0">
      <alignment horizontal="left"/>
      <protection locked="0" hidden="1"/>
    </xf>
    <xf numFmtId="0" fontId="174" fillId="16" borderId="84" applyAlignment="1" applyProtection="1" pivotButton="0" quotePrefix="0" xfId="0">
      <alignment horizontal="left"/>
      <protection locked="0" hidden="1"/>
    </xf>
    <xf numFmtId="39" fontId="6" fillId="20" borderId="39" applyAlignment="1" applyProtection="1" pivotButton="0" quotePrefix="0" xfId="0">
      <alignment horizontal="right"/>
      <protection locked="0" hidden="0"/>
    </xf>
    <xf numFmtId="39" fontId="6" fillId="20" borderId="25" applyAlignment="1" applyProtection="1" pivotButton="0" quotePrefix="0" xfId="0">
      <alignment horizontal="right"/>
      <protection locked="0" hidden="0"/>
    </xf>
    <xf numFmtId="39" fontId="6" fillId="16" borderId="25" applyAlignment="1" applyProtection="1" pivotButton="0" quotePrefix="0" xfId="0">
      <alignment horizontal="right"/>
      <protection locked="0" hidden="0"/>
    </xf>
    <xf numFmtId="39" fontId="6" fillId="20" borderId="39" applyAlignment="1" applyProtection="1" pivotButton="0" quotePrefix="0" xfId="0">
      <alignment horizontal="right"/>
      <protection locked="0" hidden="1"/>
    </xf>
    <xf numFmtId="39" fontId="6" fillId="20" borderId="25" applyAlignment="1" applyProtection="1" pivotButton="0" quotePrefix="0" xfId="0">
      <alignment horizontal="right"/>
      <protection locked="0" hidden="1"/>
    </xf>
    <xf numFmtId="39" fontId="6" fillId="16" borderId="25" applyAlignment="1" applyProtection="1" pivotButton="0" quotePrefix="0" xfId="0">
      <alignment horizontal="right"/>
      <protection locked="0" hidden="1"/>
    </xf>
    <xf numFmtId="0" fontId="199" fillId="15" borderId="0" applyAlignment="1" applyProtection="1" pivotButton="0" quotePrefix="0" xfId="0">
      <alignment horizontal="center" wrapText="1"/>
      <protection locked="1" hidden="1"/>
    </xf>
    <xf numFmtId="37" fontId="4" fillId="26" borderId="39" pivotButton="0" quotePrefix="0" xfId="0"/>
    <xf numFmtId="37" fontId="4" fillId="26" borderId="25" pivotButton="0" quotePrefix="0" xfId="0"/>
    <xf numFmtId="4" fontId="4" fillId="3" borderId="39" applyAlignment="1" applyProtection="1" pivotButton="0" quotePrefix="0" xfId="0">
      <alignment horizontal="center"/>
      <protection locked="1" hidden="1"/>
    </xf>
    <xf numFmtId="4" fontId="4" fillId="3" borderId="25" applyAlignment="1" applyProtection="1" pivotButton="0" quotePrefix="0" xfId="0">
      <alignment horizontal="center"/>
      <protection locked="1" hidden="1"/>
    </xf>
    <xf numFmtId="37" fontId="4" fillId="26" borderId="9" pivotButton="0" quotePrefix="0" xfId="0"/>
    <xf numFmtId="37" fontId="4" fillId="26" borderId="1" pivotButton="0" quotePrefix="0" xfId="0"/>
    <xf numFmtId="0" fontId="9" fillId="3" borderId="0" applyAlignment="1" applyProtection="1" pivotButton="0" quotePrefix="0" xfId="0">
      <alignment horizontal="left" vertical="top" wrapText="1"/>
      <protection locked="1" hidden="1"/>
    </xf>
    <xf numFmtId="0" fontId="11" fillId="3" borderId="0" applyAlignment="1" applyProtection="1" pivotButton="0" quotePrefix="0" xfId="0">
      <alignment horizontal="left" vertical="top" wrapText="1"/>
      <protection locked="1" hidden="1"/>
    </xf>
    <xf numFmtId="0" fontId="143" fillId="5" borderId="0" applyAlignment="1" applyProtection="1" pivotButton="0" quotePrefix="0" xfId="0">
      <alignment horizontal="center"/>
      <protection locked="1" hidden="1"/>
    </xf>
    <xf numFmtId="0" fontId="9" fillId="3" borderId="5" applyAlignment="1" applyProtection="1" pivotButton="0" quotePrefix="0" xfId="0">
      <alignment horizontal="center" vertical="center"/>
      <protection locked="1" hidden="1"/>
    </xf>
    <xf numFmtId="0" fontId="9" fillId="3" borderId="0" applyAlignment="1" applyProtection="1" pivotButton="0" quotePrefix="0" xfId="0">
      <alignment horizontal="center" vertical="center"/>
      <protection locked="1" hidden="1"/>
    </xf>
    <xf numFmtId="0" fontId="9" fillId="3" borderId="20" applyAlignment="1" applyProtection="1" pivotButton="0" quotePrefix="0" xfId="0">
      <alignment horizontal="center" vertical="center"/>
      <protection locked="1" hidden="1"/>
    </xf>
    <xf numFmtId="0" fontId="20" fillId="2" borderId="5" applyAlignment="1" applyProtection="1" pivotButton="0" quotePrefix="0" xfId="0">
      <alignment horizontal="center" vertical="center"/>
      <protection locked="1" hidden="1"/>
    </xf>
    <xf numFmtId="0" fontId="20" fillId="2" borderId="0" applyAlignment="1" applyProtection="1" pivotButton="0" quotePrefix="0" xfId="0">
      <alignment horizontal="center" vertical="center"/>
      <protection locked="1" hidden="1"/>
    </xf>
    <xf numFmtId="0" fontId="20" fillId="2" borderId="20" applyAlignment="1" applyProtection="1" pivotButton="0" quotePrefix="0" xfId="0">
      <alignment horizontal="center" vertical="center"/>
      <protection locked="1" hidden="1"/>
    </xf>
    <xf numFmtId="0" fontId="10" fillId="2" borderId="5" applyAlignment="1" applyProtection="1" pivotButton="0" quotePrefix="0" xfId="0">
      <alignment horizontal="center" vertical="center"/>
      <protection locked="1" hidden="1"/>
    </xf>
    <xf numFmtId="0" fontId="10" fillId="2" borderId="0" applyAlignment="1" applyProtection="1" pivotButton="0" quotePrefix="0" xfId="0">
      <alignment horizontal="center" vertical="center"/>
      <protection locked="1" hidden="1"/>
    </xf>
    <xf numFmtId="0" fontId="10" fillId="2" borderId="26" applyAlignment="1" applyProtection="1" pivotButton="0" quotePrefix="0" xfId="0">
      <alignment horizontal="center" vertical="center"/>
      <protection locked="1" hidden="1"/>
    </xf>
    <xf numFmtId="0" fontId="10" fillId="2" borderId="1" applyAlignment="1" applyProtection="1" pivotButton="0" quotePrefix="0" xfId="0">
      <alignment horizontal="center" vertical="center"/>
      <protection locked="1" hidden="1"/>
    </xf>
    <xf numFmtId="0" fontId="58" fillId="2" borderId="80" applyAlignment="1" applyProtection="1" pivotButton="0" quotePrefix="0" xfId="0">
      <alignment horizontal="center" vertical="center"/>
      <protection locked="1" hidden="1"/>
    </xf>
    <xf numFmtId="0" fontId="92" fillId="0" borderId="8" applyAlignment="1" pivotButton="0" quotePrefix="0" xfId="0">
      <alignment horizontal="center" vertical="center"/>
    </xf>
    <xf numFmtId="0" fontId="92" fillId="0" borderId="5" applyAlignment="1" pivotButton="0" quotePrefix="0" xfId="0">
      <alignment horizontal="center" vertical="center"/>
    </xf>
    <xf numFmtId="0" fontId="92" fillId="0" borderId="0" applyAlignment="1" pivotButton="0" quotePrefix="0" xfId="0">
      <alignment horizontal="center" vertical="center"/>
    </xf>
    <xf numFmtId="4" fontId="4" fillId="3" borderId="9" applyAlignment="1" applyProtection="1" pivotButton="0" quotePrefix="0" xfId="0">
      <alignment horizontal="center"/>
      <protection locked="1" hidden="1"/>
    </xf>
    <xf numFmtId="4" fontId="4" fillId="3" borderId="1" applyAlignment="1" applyProtection="1" pivotButton="0" quotePrefix="0" xfId="0">
      <alignment horizontal="center"/>
      <protection locked="1" hidden="1"/>
    </xf>
    <xf numFmtId="0" fontId="4" fillId="0" borderId="1" applyAlignment="1" applyProtection="1" pivotButton="0" quotePrefix="0" xfId="0">
      <alignment horizontal="center"/>
      <protection locked="1" hidden="1"/>
    </xf>
    <xf numFmtId="0" fontId="4" fillId="3" borderId="5" applyAlignment="1" applyProtection="1" pivotButton="0" quotePrefix="0" xfId="0">
      <alignment horizontal="center"/>
      <protection locked="1" hidden="1"/>
    </xf>
    <xf numFmtId="0" fontId="4" fillId="3" borderId="0" applyAlignment="1" applyProtection="1" pivotButton="0" quotePrefix="0" xfId="0">
      <alignment horizontal="center"/>
      <protection locked="1" hidden="1"/>
    </xf>
    <xf numFmtId="0" fontId="4" fillId="3" borderId="20" applyAlignment="1" applyProtection="1" pivotButton="0" quotePrefix="0" xfId="0">
      <alignment horizontal="center"/>
      <protection locked="1" hidden="1"/>
    </xf>
    <xf numFmtId="0" fontId="16" fillId="3" borderId="56" applyAlignment="1" applyProtection="1" pivotButton="0" quotePrefix="0" xfId="0">
      <alignment horizontal="left"/>
      <protection locked="1" hidden="1"/>
    </xf>
    <xf numFmtId="0" fontId="16" fillId="0" borderId="7" applyAlignment="1" pivotButton="0" quotePrefix="0" xfId="0">
      <alignment horizontal="left"/>
    </xf>
    <xf numFmtId="176" fontId="11" fillId="26" borderId="9" applyAlignment="1" applyProtection="1" pivotButton="0" quotePrefix="0" xfId="0">
      <alignment horizontal="center"/>
      <protection locked="1" hidden="1"/>
    </xf>
    <xf numFmtId="0" fontId="14" fillId="27" borderId="1" applyAlignment="1" applyProtection="1" pivotButton="0" quotePrefix="0" xfId="0">
      <alignment horizontal="center"/>
      <protection locked="1" hidden="1"/>
    </xf>
    <xf numFmtId="4" fontId="4" fillId="3" borderId="30" applyAlignment="1" applyProtection="1" pivotButton="0" quotePrefix="0" xfId="0">
      <alignment horizontal="center"/>
      <protection locked="1" hidden="1"/>
    </xf>
    <xf numFmtId="4" fontId="4" fillId="3" borderId="8" applyAlignment="1" applyProtection="1" pivotButton="0" quotePrefix="0" xfId="0">
      <alignment horizontal="center"/>
      <protection locked="1" hidden="1"/>
    </xf>
    <xf numFmtId="0" fontId="11" fillId="2" borderId="0" applyAlignment="1" applyProtection="1" pivotButton="0" quotePrefix="1" xfId="0">
      <alignment horizontal="center" wrapText="1"/>
      <protection locked="1" hidden="1"/>
    </xf>
    <xf numFmtId="0" fontId="11" fillId="2" borderId="0" applyAlignment="1" applyProtection="1" pivotButton="0" quotePrefix="0" xfId="0">
      <alignment horizontal="center" wrapText="1"/>
      <protection locked="1" hidden="1"/>
    </xf>
    <xf numFmtId="0" fontId="11" fillId="2" borderId="4" applyAlignment="1" applyProtection="1" pivotButton="0" quotePrefix="0" xfId="0">
      <alignment horizontal="center" wrapText="1"/>
      <protection locked="1" hidden="1"/>
    </xf>
    <xf numFmtId="0" fontId="67" fillId="11" borderId="62" applyAlignment="1" pivotButton="0" quotePrefix="0" xfId="2">
      <alignment horizontal="center"/>
    </xf>
    <xf numFmtId="0" fontId="67" fillId="11" borderId="63" applyAlignment="1" pivotButton="0" quotePrefix="0" xfId="2">
      <alignment horizontal="center"/>
    </xf>
    <xf numFmtId="0" fontId="4" fillId="15" borderId="3" applyAlignment="1" applyProtection="1" pivotButton="0" quotePrefix="0" xfId="0">
      <alignment horizontal="center" vertical="center"/>
      <protection locked="1" hidden="1"/>
    </xf>
    <xf numFmtId="0" fontId="4" fillId="15" borderId="0" applyAlignment="1" applyProtection="1" pivotButton="0" quotePrefix="0" xfId="0">
      <alignment horizontal="center" vertical="center"/>
      <protection locked="1" hidden="1"/>
    </xf>
    <xf numFmtId="0" fontId="4" fillId="15" borderId="24" applyAlignment="1" applyProtection="1" pivotButton="0" quotePrefix="0" xfId="0">
      <alignment horizontal="center" vertical="center"/>
      <protection locked="1" hidden="1"/>
    </xf>
    <xf numFmtId="0" fontId="4" fillId="20" borderId="87" applyAlignment="1" applyProtection="1" pivotButton="0" quotePrefix="0" xfId="0">
      <alignment horizontal="left" indent="1"/>
      <protection locked="0" hidden="0"/>
    </xf>
    <xf numFmtId="0" fontId="4" fillId="20" borderId="91" applyAlignment="1" applyProtection="1" pivotButton="0" quotePrefix="0" xfId="0">
      <alignment horizontal="left" indent="1"/>
      <protection locked="0" hidden="0"/>
    </xf>
    <xf numFmtId="0" fontId="10" fillId="3" borderId="0" applyAlignment="1" applyProtection="1" pivotButton="0" quotePrefix="0" xfId="0">
      <alignment horizontal="left" vertical="top" wrapText="1"/>
      <protection locked="1" hidden="1"/>
    </xf>
    <xf numFmtId="0" fontId="10" fillId="3" borderId="4" applyAlignment="1" applyProtection="1" pivotButton="0" quotePrefix="0" xfId="0">
      <alignment horizontal="left" vertical="top" wrapText="1"/>
      <protection locked="1" hidden="1"/>
    </xf>
    <xf numFmtId="0" fontId="10" fillId="20" borderId="92" applyAlignment="1" applyProtection="1" pivotButton="0" quotePrefix="0" xfId="0">
      <alignment horizontal="left"/>
      <protection locked="0" hidden="0"/>
    </xf>
    <xf numFmtId="0" fontId="6" fillId="16" borderId="92" applyAlignment="1" applyProtection="1" pivotButton="0" quotePrefix="0" xfId="0">
      <alignment horizontal="left"/>
      <protection locked="0" hidden="0"/>
    </xf>
    <xf numFmtId="0" fontId="4" fillId="3" borderId="0" applyAlignment="1" applyProtection="1" pivotButton="0" quotePrefix="0" xfId="0">
      <alignment horizontal="left" vertical="center" wrapText="1"/>
      <protection locked="1" hidden="1"/>
    </xf>
    <xf numFmtId="0" fontId="6" fillId="0" borderId="0" applyAlignment="1" pivotButton="0" quotePrefix="0" xfId="0">
      <alignment vertical="center"/>
    </xf>
    <xf numFmtId="0" fontId="4" fillId="20" borderId="87" applyAlignment="1" applyProtection="1" pivotButton="0" quotePrefix="0" xfId="0">
      <alignment horizontal="left" vertical="top" indent="1"/>
      <protection locked="0" hidden="0"/>
    </xf>
    <xf numFmtId="0" fontId="4" fillId="20" borderId="91" applyAlignment="1" applyProtection="1" pivotButton="0" quotePrefix="0" xfId="0">
      <alignment horizontal="left" vertical="top" indent="1"/>
      <protection locked="0" hidden="0"/>
    </xf>
    <xf numFmtId="3" fontId="4" fillId="20" borderId="9" applyAlignment="1" applyProtection="1" pivotButton="0" quotePrefix="0" xfId="0">
      <alignment horizontal="right"/>
      <protection locked="0" hidden="0"/>
    </xf>
    <xf numFmtId="3" fontId="4" fillId="20" borderId="1" applyAlignment="1" applyProtection="1" pivotButton="0" quotePrefix="0" xfId="0">
      <alignment horizontal="right"/>
      <protection locked="0" hidden="0"/>
    </xf>
    <xf numFmtId="39" fontId="6" fillId="20" borderId="92" applyAlignment="1" applyProtection="1" pivotButton="0" quotePrefix="0" xfId="0">
      <alignment horizontal="left" wrapText="1"/>
      <protection locked="0" hidden="0"/>
    </xf>
    <xf numFmtId="39" fontId="6" fillId="20" borderId="93" applyAlignment="1" applyProtection="1" pivotButton="0" quotePrefix="0" xfId="0">
      <alignment horizontal="left" wrapText="1"/>
      <protection locked="0" hidden="0"/>
    </xf>
    <xf numFmtId="37" fontId="4" fillId="20" borderId="9" applyAlignment="1" applyProtection="1" pivotButton="0" quotePrefix="0" xfId="0">
      <alignment horizontal="right"/>
      <protection locked="0" hidden="0"/>
    </xf>
    <xf numFmtId="37" fontId="4" fillId="20" borderId="1" applyAlignment="1" applyProtection="1" pivotButton="0" quotePrefix="0" xfId="0">
      <alignment horizontal="right"/>
      <protection locked="0" hidden="0"/>
    </xf>
    <xf numFmtId="1" fontId="9" fillId="20" borderId="1" applyAlignment="1" applyProtection="1" pivotButton="0" quotePrefix="0" xfId="0">
      <alignment horizontal="center"/>
      <protection locked="0" hidden="0"/>
    </xf>
    <xf numFmtId="1" fontId="4" fillId="20" borderId="1" applyAlignment="1" applyProtection="1" pivotButton="0" quotePrefix="0" xfId="0">
      <alignment horizontal="center"/>
      <protection locked="0" hidden="0"/>
    </xf>
    <xf numFmtId="37" fontId="9" fillId="16" borderId="39" applyAlignment="1" applyProtection="1" pivotButton="0" quotePrefix="0" xfId="0">
      <alignment horizontal="right"/>
      <protection locked="0" hidden="0"/>
    </xf>
    <xf numFmtId="37" fontId="9" fillId="16" borderId="25" applyAlignment="1" applyProtection="1" pivotButton="0" quotePrefix="0" xfId="0">
      <alignment horizontal="right"/>
      <protection locked="0" hidden="0"/>
    </xf>
    <xf numFmtId="37" fontId="9" fillId="16" borderId="9" applyAlignment="1" applyProtection="1" pivotButton="0" quotePrefix="0" xfId="0">
      <alignment horizontal="right"/>
      <protection locked="0" hidden="0"/>
    </xf>
    <xf numFmtId="37" fontId="9" fillId="16" borderId="1" applyAlignment="1" applyProtection="1" pivotButton="0" quotePrefix="0" xfId="0">
      <alignment horizontal="right"/>
      <protection locked="0" hidden="0"/>
    </xf>
    <xf numFmtId="3" fontId="205" fillId="15" borderId="30" applyAlignment="1" pivotButton="0" quotePrefix="0" xfId="0">
      <alignment horizontal="center"/>
    </xf>
    <xf numFmtId="3" fontId="205" fillId="15" borderId="8" applyAlignment="1" pivotButton="0" quotePrefix="0" xfId="0">
      <alignment horizontal="center"/>
    </xf>
    <xf numFmtId="3" fontId="205" fillId="15" borderId="3" applyAlignment="1" pivotButton="0" quotePrefix="0" xfId="0">
      <alignment horizontal="center"/>
    </xf>
    <xf numFmtId="3" fontId="205" fillId="15" borderId="0" applyAlignment="1" pivotButton="0" quotePrefix="0" xfId="0">
      <alignment horizontal="center"/>
    </xf>
    <xf numFmtId="172" fontId="4" fillId="20" borderId="87" applyAlignment="1" applyProtection="1" pivotButton="0" quotePrefix="0" xfId="0">
      <alignment horizontal="center"/>
      <protection locked="0" hidden="0"/>
    </xf>
    <xf numFmtId="37" fontId="116" fillId="3" borderId="0" applyAlignment="1" pivotButton="0" quotePrefix="0" xfId="0">
      <alignment horizontal="center"/>
    </xf>
    <xf numFmtId="37" fontId="116" fillId="3" borderId="24" applyAlignment="1" pivotButton="0" quotePrefix="0" xfId="0">
      <alignment horizontal="center"/>
    </xf>
    <xf numFmtId="39" fontId="6" fillId="20" borderId="8" applyAlignment="1" applyProtection="1" pivotButton="0" quotePrefix="0" xfId="0">
      <alignment horizontal="left" wrapText="1"/>
      <protection locked="0" hidden="0"/>
    </xf>
    <xf numFmtId="39" fontId="6" fillId="20" borderId="14" applyAlignment="1" applyProtection="1" pivotButton="0" quotePrefix="0" xfId="0">
      <alignment horizontal="left" wrapText="1"/>
      <protection locked="0" hidden="0"/>
    </xf>
    <xf numFmtId="37" fontId="9" fillId="20" borderId="9" applyAlignment="1" applyProtection="1" pivotButton="0" quotePrefix="0" xfId="0">
      <alignment horizontal="right"/>
      <protection locked="0" hidden="0"/>
    </xf>
    <xf numFmtId="37" fontId="9" fillId="20" borderId="1" applyAlignment="1" applyProtection="1" pivotButton="0" quotePrefix="0" xfId="0">
      <alignment horizontal="right"/>
      <protection locked="0" hidden="0"/>
    </xf>
    <xf numFmtId="37" fontId="4" fillId="20" borderId="87" applyAlignment="1" applyProtection="1" pivotButton="0" quotePrefix="0" xfId="0">
      <alignment horizontal="center"/>
      <protection locked="0" hidden="0"/>
    </xf>
    <xf numFmtId="3" fontId="4" fillId="20" borderId="87" applyAlignment="1" applyProtection="1" pivotButton="0" quotePrefix="0" xfId="0">
      <alignment horizontal="center"/>
      <protection locked="0" hidden="0"/>
    </xf>
    <xf numFmtId="37" fontId="116" fillId="3" borderId="30" applyAlignment="1" pivotButton="0" quotePrefix="0" xfId="0">
      <alignment horizontal="right"/>
    </xf>
    <xf numFmtId="37" fontId="116" fillId="3" borderId="8" applyAlignment="1" pivotButton="0" quotePrefix="0" xfId="0">
      <alignment horizontal="right"/>
    </xf>
    <xf numFmtId="0" fontId="146" fillId="5" borderId="0" applyAlignment="1" pivotButton="0" quotePrefix="0" xfId="0">
      <alignment horizontal="center"/>
    </xf>
    <xf numFmtId="37" fontId="9" fillId="28" borderId="9" applyAlignment="1" pivotButton="0" quotePrefix="0" xfId="0">
      <alignment horizontal="right"/>
    </xf>
    <xf numFmtId="37" fontId="9" fillId="28" borderId="1" applyAlignment="1" pivotButton="0" quotePrefix="0" xfId="0">
      <alignment horizontal="right"/>
    </xf>
    <xf numFmtId="3" fontId="9" fillId="20" borderId="69" applyAlignment="1" applyProtection="1" pivotButton="0" quotePrefix="0" xfId="0">
      <alignment horizontal="right"/>
      <protection locked="0" hidden="0"/>
    </xf>
    <xf numFmtId="3" fontId="9" fillId="20" borderId="4" applyAlignment="1" applyProtection="1" pivotButton="0" quotePrefix="0" xfId="0">
      <alignment horizontal="right"/>
      <protection locked="0" hidden="0"/>
    </xf>
    <xf numFmtId="0" fontId="9" fillId="3" borderId="3" applyAlignment="1" pivotButton="0" quotePrefix="0" xfId="0">
      <alignment horizontal="center" vertical="center"/>
    </xf>
    <xf numFmtId="0" fontId="9" fillId="3" borderId="20" applyAlignment="1" pivotButton="0" quotePrefix="0" xfId="0">
      <alignment horizontal="center" vertical="center"/>
    </xf>
    <xf numFmtId="0" fontId="12" fillId="20" borderId="94" applyAlignment="1" applyProtection="1" pivotButton="0" quotePrefix="0" xfId="0">
      <alignment horizontal="left"/>
      <protection locked="0" hidden="0"/>
    </xf>
    <xf numFmtId="0" fontId="9" fillId="20" borderId="1" applyAlignment="1" applyProtection="1" pivotButton="0" quotePrefix="0" xfId="0">
      <alignment horizontal="left"/>
      <protection locked="0" hidden="0"/>
    </xf>
    <xf numFmtId="0" fontId="9" fillId="20" borderId="11" applyAlignment="1" applyProtection="1" pivotButton="0" quotePrefix="0" xfId="0">
      <alignment horizontal="left"/>
      <protection locked="0" hidden="0"/>
    </xf>
    <xf numFmtId="0" fontId="9" fillId="20" borderId="96" applyAlignment="1" applyProtection="1" pivotButton="0" quotePrefix="0" xfId="0">
      <alignment horizontal="left"/>
      <protection locked="0" hidden="0"/>
    </xf>
    <xf numFmtId="0" fontId="4" fillId="20" borderId="1" applyAlignment="1" applyProtection="1" pivotButton="0" quotePrefix="0" xfId="0">
      <alignment horizontal="left"/>
      <protection locked="0" hidden="0"/>
    </xf>
    <xf numFmtId="0" fontId="4" fillId="20" borderId="11" applyAlignment="1" applyProtection="1" pivotButton="0" quotePrefix="0" xfId="0">
      <alignment horizontal="left"/>
      <protection locked="0" hidden="0"/>
    </xf>
    <xf numFmtId="39" fontId="12" fillId="20" borderId="89" applyAlignment="1" applyProtection="1" pivotButton="0" quotePrefix="0" xfId="0">
      <alignment horizontal="left"/>
      <protection locked="0" hidden="0"/>
    </xf>
    <xf numFmtId="39" fontId="6" fillId="20" borderId="89" applyAlignment="1" applyProtection="1" pivotButton="0" quotePrefix="0" xfId="0">
      <alignment horizontal="left" wrapText="1"/>
      <protection locked="0" hidden="0"/>
    </xf>
    <xf numFmtId="39" fontId="6" fillId="20" borderId="90" applyAlignment="1" applyProtection="1" pivotButton="0" quotePrefix="0" xfId="0">
      <alignment horizontal="left" wrapText="1"/>
      <protection locked="0" hidden="0"/>
    </xf>
    <xf numFmtId="3" fontId="9" fillId="28" borderId="192" applyAlignment="1" pivotButton="0" quotePrefix="0" xfId="0">
      <alignment horizontal="right"/>
    </xf>
    <xf numFmtId="0" fontId="0" fillId="28" borderId="99" applyAlignment="1" pivotButton="0" quotePrefix="0" xfId="0">
      <alignment horizontal="right"/>
    </xf>
    <xf numFmtId="176" fontId="4" fillId="26" borderId="35" applyAlignment="1" pivotButton="0" quotePrefix="0" xfId="0">
      <alignment horizontal="center" vertical="center"/>
    </xf>
    <xf numFmtId="176" fontId="4" fillId="26" borderId="13" applyAlignment="1" pivotButton="0" quotePrefix="0" xfId="0">
      <alignment horizontal="center" vertical="center"/>
    </xf>
    <xf numFmtId="1" fontId="206" fillId="35" borderId="0" applyAlignment="1" pivotButton="0" quotePrefix="0" xfId="0">
      <alignment horizontal="center" vertical="center" wrapText="1"/>
    </xf>
    <xf numFmtId="37" fontId="9" fillId="27" borderId="9" applyAlignment="1" pivotButton="0" quotePrefix="0" xfId="0">
      <alignment horizontal="right"/>
    </xf>
    <xf numFmtId="37" fontId="9" fillId="27" borderId="1" applyAlignment="1" pivotButton="0" quotePrefix="0" xfId="0">
      <alignment horizontal="right"/>
    </xf>
    <xf numFmtId="3" fontId="9" fillId="14" borderId="30" applyAlignment="1" pivotButton="0" quotePrefix="0" xfId="0">
      <alignment horizontal="right"/>
    </xf>
    <xf numFmtId="3" fontId="9" fillId="14" borderId="8" applyAlignment="1" pivotButton="0" quotePrefix="0" xfId="0">
      <alignment horizontal="right"/>
    </xf>
    <xf numFmtId="37" fontId="9" fillId="27" borderId="52" applyAlignment="1" pivotButton="0" quotePrefix="0" xfId="0">
      <alignment horizontal="right"/>
    </xf>
    <xf numFmtId="37" fontId="9" fillId="27" borderId="31" applyAlignment="1" pivotButton="0" quotePrefix="0" xfId="0">
      <alignment horizontal="right"/>
    </xf>
    <xf numFmtId="4" fontId="9" fillId="20" borderId="87" applyProtection="1" pivotButton="0" quotePrefix="0" xfId="0">
      <protection locked="0" hidden="0"/>
    </xf>
    <xf numFmtId="37" fontId="9" fillId="26" borderId="9" applyAlignment="1" pivotButton="0" quotePrefix="0" xfId="0">
      <alignment horizontal="right"/>
    </xf>
    <xf numFmtId="3" fontId="9" fillId="20" borderId="9" applyAlignment="1" applyProtection="1" pivotButton="0" quotePrefix="0" xfId="0">
      <alignment horizontal="right"/>
      <protection locked="0" hidden="0"/>
    </xf>
    <xf numFmtId="3" fontId="9" fillId="20" borderId="1" applyAlignment="1" applyProtection="1" pivotButton="0" quotePrefix="0" xfId="0">
      <alignment horizontal="right"/>
      <protection locked="0" hidden="0"/>
    </xf>
    <xf numFmtId="0" fontId="10" fillId="3" borderId="5" applyAlignment="1" pivotButton="0" quotePrefix="0" xfId="0">
      <alignment horizontal="center" wrapText="1"/>
    </xf>
    <xf numFmtId="0" fontId="10" fillId="3" borderId="0" applyAlignment="1" pivotButton="0" quotePrefix="0" xfId="0">
      <alignment horizontal="center" wrapText="1"/>
    </xf>
    <xf numFmtId="0" fontId="10" fillId="3" borderId="26" applyAlignment="1" pivotButton="0" quotePrefix="0" xfId="0">
      <alignment horizontal="center" wrapText="1"/>
    </xf>
    <xf numFmtId="0" fontId="10" fillId="3" borderId="1" applyAlignment="1" pivotButton="0" quotePrefix="0" xfId="0">
      <alignment horizontal="center" wrapText="1"/>
    </xf>
    <xf numFmtId="0" fontId="20" fillId="3" borderId="0" applyAlignment="1" pivotButton="0" quotePrefix="1" xfId="0">
      <alignment horizontal="left" wrapText="1"/>
    </xf>
    <xf numFmtId="0" fontId="20" fillId="3" borderId="1" applyAlignment="1" pivotButton="0" quotePrefix="0" xfId="0">
      <alignment horizontal="left" wrapText="1"/>
    </xf>
    <xf numFmtId="0" fontId="8" fillId="3" borderId="26" applyAlignment="1" pivotButton="0" quotePrefix="0" xfId="0">
      <alignment horizontal="center" vertical="center"/>
    </xf>
    <xf numFmtId="0" fontId="8" fillId="0" borderId="1" applyAlignment="1" pivotButton="0" quotePrefix="0" xfId="0">
      <alignment horizontal="center" vertical="center"/>
    </xf>
    <xf numFmtId="0" fontId="58" fillId="3" borderId="80" applyAlignment="1" pivotButton="0" quotePrefix="0" xfId="0">
      <alignment horizontal="center" vertical="center"/>
    </xf>
    <xf numFmtId="0" fontId="58" fillId="3" borderId="8" applyAlignment="1" pivotButton="0" quotePrefix="0" xfId="0">
      <alignment horizontal="center" vertical="center"/>
    </xf>
    <xf numFmtId="37" fontId="9" fillId="28" borderId="69" applyAlignment="1" pivotButton="0" quotePrefix="0" xfId="0">
      <alignment horizontal="right"/>
    </xf>
    <xf numFmtId="37" fontId="8" fillId="28" borderId="4" applyAlignment="1" pivotButton="0" quotePrefix="0" xfId="0">
      <alignment horizontal="right"/>
    </xf>
    <xf numFmtId="39" fontId="8" fillId="3" borderId="0" applyAlignment="1" pivotButton="0" quotePrefix="0" xfId="0">
      <alignment horizontal="right" indent="1"/>
    </xf>
    <xf numFmtId="0" fontId="8" fillId="0" borderId="0" applyAlignment="1" pivotButton="0" quotePrefix="0" xfId="0">
      <alignment horizontal="right" indent="1"/>
    </xf>
    <xf numFmtId="37" fontId="4" fillId="20" borderId="154" applyAlignment="1" applyProtection="1" pivotButton="0" quotePrefix="0" xfId="0">
      <alignment horizontal="center"/>
      <protection locked="0" hidden="0"/>
    </xf>
    <xf numFmtId="0" fontId="0" fillId="0" borderId="154" applyAlignment="1" pivotButton="0" quotePrefix="0" xfId="0">
      <alignment horizontal="center"/>
    </xf>
    <xf numFmtId="3" fontId="4" fillId="20" borderId="1" applyAlignment="1" applyProtection="1" pivotButton="0" quotePrefix="0" xfId="0">
      <alignment horizontal="center"/>
      <protection locked="0" hidden="0"/>
    </xf>
    <xf numFmtId="39" fontId="8" fillId="3" borderId="0" applyAlignment="1" pivotButton="0" quotePrefix="0" xfId="0">
      <alignment horizontal="center"/>
    </xf>
    <xf numFmtId="0" fontId="16" fillId="3" borderId="0" applyAlignment="1" pivotButton="0" quotePrefix="0" xfId="0">
      <alignment wrapText="1"/>
    </xf>
    <xf numFmtId="0" fontId="16" fillId="0" borderId="24" applyAlignment="1" pivotButton="0" quotePrefix="0" xfId="0">
      <alignment wrapText="1"/>
    </xf>
    <xf numFmtId="0" fontId="16" fillId="0" borderId="1" applyAlignment="1" pivotButton="0" quotePrefix="0" xfId="0">
      <alignment wrapText="1"/>
    </xf>
    <xf numFmtId="0" fontId="16" fillId="0" borderId="11" applyAlignment="1" pivotButton="0" quotePrefix="0" xfId="0">
      <alignment wrapText="1"/>
    </xf>
    <xf numFmtId="0" fontId="9" fillId="3" borderId="3" applyAlignment="1" pivotButton="0" quotePrefix="0" xfId="0">
      <alignment horizontal="center"/>
    </xf>
    <xf numFmtId="0" fontId="8" fillId="0" borderId="20" pivotButton="0" quotePrefix="0" xfId="0"/>
    <xf numFmtId="0" fontId="4" fillId="3" borderId="9" applyAlignment="1" pivotButton="0" quotePrefix="0" xfId="0">
      <alignment horizontal="center"/>
    </xf>
    <xf numFmtId="0" fontId="6" fillId="0" borderId="29" pivotButton="0" quotePrefix="0" xfId="0"/>
    <xf numFmtId="0" fontId="67" fillId="11" borderId="61" applyAlignment="1" pivotButton="0" quotePrefix="0" xfId="2">
      <alignment horizontal="center" vertical="center" wrapText="1"/>
    </xf>
    <xf numFmtId="0" fontId="67" fillId="11" borderId="62" applyAlignment="1" pivotButton="0" quotePrefix="0" xfId="2">
      <alignment horizontal="center" vertical="center" wrapText="1"/>
    </xf>
    <xf numFmtId="0" fontId="67" fillId="11" borderId="63" applyAlignment="1" pivotButton="0" quotePrefix="0" xfId="2">
      <alignment horizontal="center" vertical="center" wrapText="1"/>
    </xf>
    <xf numFmtId="0" fontId="67" fillId="11" borderId="61" applyAlignment="1" pivotButton="0" quotePrefix="0" xfId="2">
      <alignment horizontal="center" vertical="center"/>
    </xf>
    <xf numFmtId="0" fontId="67" fillId="11" borderId="62" applyAlignment="1" pivotButton="0" quotePrefix="0" xfId="2">
      <alignment horizontal="center" vertical="center"/>
    </xf>
    <xf numFmtId="0" fontId="67" fillId="11" borderId="63" applyAlignment="1" pivotButton="0" quotePrefix="0" xfId="2">
      <alignment horizontal="center" vertical="center"/>
    </xf>
    <xf numFmtId="0" fontId="4" fillId="3" borderId="1" applyAlignment="1" pivotButton="0" quotePrefix="0" xfId="0">
      <alignment horizontal="center"/>
    </xf>
    <xf numFmtId="0" fontId="4" fillId="3" borderId="29" applyAlignment="1" pivotButton="0" quotePrefix="0" xfId="0">
      <alignment horizontal="center"/>
    </xf>
    <xf numFmtId="3" fontId="9" fillId="28" borderId="69" applyAlignment="1" pivotButton="0" quotePrefix="0" xfId="0">
      <alignment horizontal="right"/>
    </xf>
    <xf numFmtId="0" fontId="0" fillId="28" borderId="4" applyAlignment="1" pivotButton="0" quotePrefix="0" xfId="0">
      <alignment horizontal="right"/>
    </xf>
    <xf numFmtId="4" fontId="8" fillId="3" borderId="8" applyAlignment="1" pivotButton="0" quotePrefix="0" xfId="0">
      <alignment horizontal="left" vertical="center" wrapText="1"/>
    </xf>
    <xf numFmtId="0" fontId="0" fillId="0" borderId="8" applyAlignment="1" pivotButton="0" quotePrefix="0" xfId="0">
      <alignment horizontal="left" vertical="center" wrapText="1"/>
    </xf>
    <xf numFmtId="0" fontId="0" fillId="0" borderId="14"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1" applyAlignment="1" pivotButton="0" quotePrefix="0" xfId="0">
      <alignment horizontal="left" vertical="center" wrapText="1"/>
    </xf>
    <xf numFmtId="37" fontId="9" fillId="20" borderId="11" applyAlignment="1" applyProtection="1" pivotButton="0" quotePrefix="0" xfId="0">
      <alignment horizontal="right"/>
      <protection locked="0" hidden="0"/>
    </xf>
    <xf numFmtId="4" fontId="8" fillId="3" borderId="8" applyAlignment="1" pivotButton="0" quotePrefix="0" xfId="0">
      <alignment horizontal="left" wrapText="1"/>
    </xf>
    <xf numFmtId="0" fontId="0" fillId="0" borderId="8" applyAlignment="1" pivotButton="0" quotePrefix="0" xfId="0">
      <alignment horizontal="left" wrapText="1"/>
    </xf>
    <xf numFmtId="0" fontId="0" fillId="0" borderId="14" applyAlignment="1" pivotButton="0" quotePrefix="0" xfId="0">
      <alignment horizontal="left" wrapText="1"/>
    </xf>
    <xf numFmtId="0" fontId="0" fillId="0" borderId="1" applyAlignment="1" pivotButton="0" quotePrefix="0" xfId="0">
      <alignment horizontal="left" wrapText="1"/>
    </xf>
    <xf numFmtId="0" fontId="0" fillId="0" borderId="11" applyAlignment="1" pivotButton="0" quotePrefix="0" xfId="0">
      <alignment horizontal="left" wrapText="1"/>
    </xf>
    <xf numFmtId="0" fontId="8" fillId="3" borderId="8" applyAlignment="1" pivotButton="0" quotePrefix="0" xfId="0">
      <alignment horizontal="left" vertical="top" wrapText="1"/>
    </xf>
    <xf numFmtId="0" fontId="8" fillId="0" borderId="8" pivotButton="0" quotePrefix="0" xfId="0"/>
    <xf numFmtId="0" fontId="8" fillId="0" borderId="14" pivotButton="0" quotePrefix="0" xfId="0"/>
    <xf numFmtId="0" fontId="8" fillId="0" borderId="0" applyAlignment="1" pivotButton="0" quotePrefix="0" xfId="0">
      <alignment horizontal="left" vertical="top"/>
    </xf>
    <xf numFmtId="0" fontId="8" fillId="0" borderId="1" applyAlignment="1" pivotButton="0" quotePrefix="0" xfId="0">
      <alignment horizontal="left" vertical="top"/>
    </xf>
    <xf numFmtId="0" fontId="8" fillId="0" borderId="1" pivotButton="0" quotePrefix="0" xfId="0"/>
    <xf numFmtId="0" fontId="8" fillId="0" borderId="11" pivotButton="0" quotePrefix="0" xfId="0"/>
    <xf numFmtId="0" fontId="10" fillId="3" borderId="30" applyAlignment="1" pivotButton="0" quotePrefix="0" xfId="0">
      <alignment horizontal="center" vertical="center" wrapText="1"/>
    </xf>
    <xf numFmtId="0" fontId="10" fillId="0" borderId="14" applyAlignment="1" pivotButton="0" quotePrefix="0" xfId="0">
      <alignment horizontal="center" vertical="center"/>
    </xf>
    <xf numFmtId="0" fontId="10" fillId="0" borderId="3" applyAlignment="1" pivotButton="0" quotePrefix="0" xfId="0">
      <alignment horizontal="center" vertical="center"/>
    </xf>
    <xf numFmtId="0" fontId="10" fillId="0" borderId="24" applyAlignment="1" pivotButton="0" quotePrefix="0" xfId="0">
      <alignment horizontal="center" vertical="center"/>
    </xf>
    <xf numFmtId="0" fontId="10" fillId="0" borderId="9" applyAlignment="1" pivotButton="0" quotePrefix="0" xfId="0">
      <alignment horizontal="center" vertical="center"/>
    </xf>
    <xf numFmtId="0" fontId="10" fillId="0" borderId="11" applyAlignment="1" pivotButton="0" quotePrefix="0" xfId="0">
      <alignment horizontal="center" vertical="center"/>
    </xf>
    <xf numFmtId="4" fontId="10" fillId="3" borderId="15" applyAlignment="1" pivotButton="0" quotePrefix="0" xfId="0">
      <alignment horizontal="center" vertical="center" wrapText="1"/>
    </xf>
    <xf numFmtId="4" fontId="10" fillId="3" borderId="6" applyAlignment="1" pivotButton="0" quotePrefix="0" xfId="0">
      <alignment horizontal="center" vertical="center"/>
    </xf>
    <xf numFmtId="4" fontId="10" fillId="3" borderId="10" applyAlignment="1" pivotButton="0" quotePrefix="0" xfId="0">
      <alignment horizontal="center" vertical="center"/>
    </xf>
    <xf numFmtId="4" fontId="16" fillId="3" borderId="30" applyAlignment="1" pivotButton="0" quotePrefix="0" xfId="0">
      <alignment horizontal="center" vertical="center" wrapText="1"/>
    </xf>
    <xf numFmtId="4" fontId="16" fillId="3" borderId="8" applyAlignment="1" pivotButton="0" quotePrefix="0" xfId="0">
      <alignment horizontal="center" vertical="center" wrapText="1"/>
    </xf>
    <xf numFmtId="4" fontId="16" fillId="3" borderId="14" applyAlignment="1" pivotButton="0" quotePrefix="0" xfId="0">
      <alignment horizontal="center" vertical="center" wrapText="1"/>
    </xf>
    <xf numFmtId="4" fontId="16" fillId="3" borderId="3" applyAlignment="1" pivotButton="0" quotePrefix="0" xfId="0">
      <alignment horizontal="center" vertical="center" wrapText="1"/>
    </xf>
    <xf numFmtId="4" fontId="16" fillId="3" borderId="0" applyAlignment="1" pivotButton="0" quotePrefix="0" xfId="0">
      <alignment horizontal="center" vertical="center" wrapText="1"/>
    </xf>
    <xf numFmtId="4" fontId="16" fillId="3" borderId="24" applyAlignment="1" pivotButton="0" quotePrefix="0" xfId="0">
      <alignment horizontal="center" vertical="center" wrapText="1"/>
    </xf>
    <xf numFmtId="4" fontId="16" fillId="3" borderId="9" applyAlignment="1" pivotButton="0" quotePrefix="0" xfId="0">
      <alignment horizontal="center" vertical="center" wrapText="1"/>
    </xf>
    <xf numFmtId="4" fontId="16" fillId="3" borderId="1" applyAlignment="1" pivotButton="0" quotePrefix="0" xfId="0">
      <alignment horizontal="center" vertical="center" wrapText="1"/>
    </xf>
    <xf numFmtId="4" fontId="16" fillId="3" borderId="11" applyAlignment="1" pivotButton="0" quotePrefix="0" xfId="0">
      <alignment horizontal="center" vertical="center" wrapText="1"/>
    </xf>
    <xf numFmtId="0" fontId="49" fillId="9" borderId="27" applyAlignment="1" pivotButton="0" quotePrefix="0" xfId="0">
      <alignment horizontal="center" vertical="center"/>
    </xf>
    <xf numFmtId="1" fontId="72" fillId="3" borderId="5" applyAlignment="1" pivotButton="0" quotePrefix="0" xfId="0">
      <alignment horizontal="center" vertical="center"/>
    </xf>
    <xf numFmtId="1" fontId="72" fillId="3" borderId="0" applyAlignment="1" pivotButton="0" quotePrefix="0" xfId="0">
      <alignment horizontal="center" vertical="center"/>
    </xf>
    <xf numFmtId="4" fontId="16" fillId="3" borderId="15" applyAlignment="1" pivotButton="0" quotePrefix="0" xfId="0">
      <alignment horizontal="center" vertical="center" wrapText="1"/>
    </xf>
    <xf numFmtId="4" fontId="16" fillId="3" borderId="6" applyAlignment="1" pivotButton="0" quotePrefix="0" xfId="0">
      <alignment horizontal="center" vertical="center"/>
    </xf>
    <xf numFmtId="4" fontId="16" fillId="3" borderId="10" applyAlignment="1" pivotButton="0" quotePrefix="0" xfId="0">
      <alignment horizontal="center" vertical="center"/>
    </xf>
    <xf numFmtId="37" fontId="122" fillId="3" borderId="30" applyAlignment="1" pivotButton="0" quotePrefix="0" xfId="0">
      <alignment horizontal="right"/>
    </xf>
    <xf numFmtId="37" fontId="122" fillId="0" borderId="8" applyAlignment="1" pivotButton="0" quotePrefix="0" xfId="0">
      <alignment horizontal="right"/>
    </xf>
    <xf numFmtId="0" fontId="110" fillId="0" borderId="14" applyAlignment="1" pivotButton="0" quotePrefix="0" xfId="0">
      <alignment horizontal="right"/>
    </xf>
    <xf numFmtId="37" fontId="122" fillId="3" borderId="3" applyAlignment="1" pivotButton="0" quotePrefix="0" xfId="0">
      <alignment horizontal="right"/>
    </xf>
    <xf numFmtId="37" fontId="122" fillId="0" borderId="0" applyAlignment="1" pivotButton="0" quotePrefix="0" xfId="0">
      <alignment horizontal="right"/>
    </xf>
    <xf numFmtId="0" fontId="0" fillId="0" borderId="14" applyAlignment="1" pivotButton="0" quotePrefix="0" xfId="0">
      <alignment horizontal="center" vertical="center" wrapText="1"/>
    </xf>
    <xf numFmtId="0" fontId="6" fillId="0" borderId="3"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24" applyAlignment="1" pivotButton="0" quotePrefix="0" xfId="0">
      <alignment horizontal="center" vertical="center" wrapText="1"/>
    </xf>
    <xf numFmtId="0" fontId="6" fillId="0" borderId="9" applyAlignment="1" pivotButton="0" quotePrefix="0" xfId="0">
      <alignment horizontal="center" vertical="center" wrapText="1"/>
    </xf>
    <xf numFmtId="0" fontId="6" fillId="0" borderId="1" applyAlignment="1" pivotButton="0" quotePrefix="0" xfId="0">
      <alignment horizontal="center" vertical="center" wrapText="1"/>
    </xf>
    <xf numFmtId="0" fontId="0" fillId="0" borderId="11" applyAlignment="1" pivotButton="0" quotePrefix="0" xfId="0">
      <alignment horizontal="center" vertical="center" wrapText="1"/>
    </xf>
    <xf numFmtId="0" fontId="20" fillId="15" borderId="0" applyAlignment="1" pivotButton="0" quotePrefix="0" xfId="0">
      <alignment horizontal="center"/>
    </xf>
    <xf numFmtId="0" fontId="9" fillId="3" borderId="5" applyAlignment="1" pivotButton="0" quotePrefix="0" xfId="0">
      <alignment horizontal="center" vertical="center"/>
    </xf>
    <xf numFmtId="0" fontId="8" fillId="0" borderId="0" applyAlignment="1" pivotButton="0" quotePrefix="0" xfId="0">
      <alignment horizontal="center" vertical="center"/>
    </xf>
    <xf numFmtId="0" fontId="8" fillId="0" borderId="20" applyAlignment="1" pivotButton="0" quotePrefix="0" xfId="0">
      <alignment horizontal="center" vertical="center"/>
    </xf>
    <xf numFmtId="0" fontId="75" fillId="9" borderId="25" applyAlignment="1" pivotButton="0" quotePrefix="0" xfId="0">
      <alignment horizontal="center" vertical="center"/>
    </xf>
    <xf numFmtId="37" fontId="122" fillId="0" borderId="14" applyAlignment="1" pivotButton="0" quotePrefix="0" xfId="0">
      <alignment horizontal="right"/>
    </xf>
    <xf numFmtId="37" fontId="9" fillId="28" borderId="11" applyAlignment="1" pivotButton="0" quotePrefix="0" xfId="0">
      <alignment horizontal="right"/>
    </xf>
    <xf numFmtId="4" fontId="8" fillId="3" borderId="8" applyAlignment="1" pivotButton="0" quotePrefix="0" xfId="0">
      <alignment horizontal="left" vertical="top" wrapText="1"/>
    </xf>
    <xf numFmtId="0" fontId="0" fillId="0" borderId="8" applyAlignment="1" pivotButton="0" quotePrefix="0" xfId="0">
      <alignment horizontal="left" vertical="top"/>
    </xf>
    <xf numFmtId="0" fontId="0" fillId="0" borderId="14" applyAlignment="1" pivotButton="0" quotePrefix="0" xfId="0">
      <alignment horizontal="left" vertical="top"/>
    </xf>
    <xf numFmtId="0" fontId="0" fillId="0" borderId="1" applyAlignment="1" pivotButton="0" quotePrefix="0" xfId="0">
      <alignment horizontal="left" vertical="top"/>
    </xf>
    <xf numFmtId="0" fontId="0" fillId="0" borderId="11" applyAlignment="1" pivotButton="0" quotePrefix="0" xfId="0">
      <alignment horizontal="left" vertical="top"/>
    </xf>
    <xf numFmtId="0" fontId="0" fillId="0" borderId="8" applyAlignment="1" pivotButton="0" quotePrefix="0" xfId="0">
      <alignment horizontal="left" vertical="top" wrapText="1"/>
    </xf>
    <xf numFmtId="0" fontId="0" fillId="0" borderId="14" applyAlignment="1" pivotButton="0" quotePrefix="0" xfId="0">
      <alignment horizontal="left" vertical="top" wrapText="1"/>
    </xf>
    <xf numFmtId="0" fontId="0" fillId="0" borderId="11" applyAlignment="1" pivotButton="0" quotePrefix="0" xfId="0">
      <alignment horizontal="left" vertical="top" wrapText="1"/>
    </xf>
    <xf numFmtId="4" fontId="12" fillId="3" borderId="176" applyAlignment="1" pivotButton="0" quotePrefix="0" xfId="0">
      <alignment horizontal="center"/>
    </xf>
    <xf numFmtId="4" fontId="12" fillId="3" borderId="16" applyAlignment="1" pivotButton="0" quotePrefix="0" xfId="0">
      <alignment horizontal="center"/>
    </xf>
    <xf numFmtId="176" fontId="11" fillId="28" borderId="1" applyAlignment="1" pivotButton="0" quotePrefix="0" xfId="0">
      <alignment horizontal="center"/>
    </xf>
    <xf numFmtId="37" fontId="9" fillId="22" borderId="9" applyAlignment="1" pivotButton="0" quotePrefix="0" xfId="0">
      <alignment horizontal="right"/>
    </xf>
    <xf numFmtId="37" fontId="9" fillId="22" borderId="1" applyAlignment="1" pivotButton="0" quotePrefix="0" xfId="0">
      <alignment horizontal="right"/>
    </xf>
    <xf numFmtId="37" fontId="9" fillId="22" borderId="11" applyAlignment="1" pivotButton="0" quotePrefix="0" xfId="0">
      <alignment horizontal="right"/>
    </xf>
    <xf numFmtId="0" fontId="9" fillId="3" borderId="5" applyAlignment="1" pivotButton="0" quotePrefix="0" xfId="0">
      <alignment horizontal="center"/>
    </xf>
    <xf numFmtId="0" fontId="9" fillId="3" borderId="0" applyAlignment="1" pivotButton="0" quotePrefix="0" xfId="0">
      <alignment horizontal="center"/>
    </xf>
    <xf numFmtId="0" fontId="8" fillId="0" borderId="20" applyAlignment="1" pivotButton="0" quotePrefix="0" xfId="0">
      <alignment horizontal="center"/>
    </xf>
    <xf numFmtId="0" fontId="8" fillId="15" borderId="8" applyAlignment="1" pivotButton="0" quotePrefix="0" xfId="0">
      <alignment horizontal="left" wrapText="1"/>
    </xf>
    <xf numFmtId="0" fontId="8" fillId="15" borderId="14" applyAlignment="1" pivotButton="0" quotePrefix="0" xfId="0">
      <alignment horizontal="left" wrapText="1"/>
    </xf>
    <xf numFmtId="0" fontId="8" fillId="15" borderId="1" applyAlignment="1" pivotButton="0" quotePrefix="0" xfId="0">
      <alignment horizontal="left" vertical="center" wrapText="1"/>
    </xf>
    <xf numFmtId="0" fontId="4" fillId="15" borderId="1" applyAlignment="1" pivotButton="0" quotePrefix="0" xfId="0">
      <alignment horizontal="right"/>
    </xf>
    <xf numFmtId="0" fontId="4" fillId="15" borderId="11" applyAlignment="1" pivotButton="0" quotePrefix="0" xfId="0">
      <alignment horizontal="right"/>
    </xf>
    <xf numFmtId="0" fontId="0" fillId="0" borderId="1" applyAlignment="1" pivotButton="0" quotePrefix="0" xfId="0">
      <alignment horizontal="right"/>
    </xf>
    <xf numFmtId="0" fontId="16" fillId="3" borderId="15" applyAlignment="1" pivotButton="0" quotePrefix="0" xfId="0">
      <alignment horizontal="center" vertical="center" wrapText="1"/>
    </xf>
    <xf numFmtId="0" fontId="16" fillId="3" borderId="6" applyAlignment="1" pivotButton="0" quotePrefix="0" xfId="0">
      <alignment horizontal="center" vertical="center" wrapText="1"/>
    </xf>
    <xf numFmtId="0" fontId="16" fillId="3" borderId="10" applyAlignment="1" pivotButton="0" quotePrefix="0" xfId="0">
      <alignment horizontal="center" vertical="center" wrapText="1"/>
    </xf>
    <xf numFmtId="0" fontId="51" fillId="9" borderId="0" applyAlignment="1" pivotButton="0" quotePrefix="0" xfId="0">
      <alignment horizontal="center" vertical="center"/>
    </xf>
    <xf numFmtId="37" fontId="119" fillId="3" borderId="3" applyAlignment="1" pivotButton="0" quotePrefix="0" xfId="0">
      <alignment horizontal="right"/>
    </xf>
    <xf numFmtId="37" fontId="119" fillId="0" borderId="0" applyAlignment="1" pivotButton="0" quotePrefix="0" xfId="0">
      <alignment horizontal="right"/>
    </xf>
    <xf numFmtId="37" fontId="122" fillId="3" borderId="30" pivotButton="0" quotePrefix="0" xfId="0"/>
    <xf numFmtId="0" fontId="125" fillId="0" borderId="8" pivotButton="0" quotePrefix="0" xfId="0"/>
    <xf numFmtId="37" fontId="4" fillId="3" borderId="30" applyAlignment="1" pivotButton="0" quotePrefix="0" xfId="0">
      <alignment horizontal="right"/>
    </xf>
    <xf numFmtId="0" fontId="0" fillId="0" borderId="8" applyAlignment="1" pivotButton="0" quotePrefix="0" xfId="0">
      <alignment horizontal="right"/>
    </xf>
    <xf numFmtId="0" fontId="8" fillId="15" borderId="8" applyAlignment="1" pivotButton="0" quotePrefix="0" xfId="0">
      <alignment wrapText="1"/>
    </xf>
    <xf numFmtId="0" fontId="0" fillId="0" borderId="14" applyAlignment="1" pivotButton="0" quotePrefix="0" xfId="0">
      <alignment wrapText="1"/>
    </xf>
    <xf numFmtId="0" fontId="0" fillId="0" borderId="1" applyAlignment="1" pivotButton="0" quotePrefix="0" xfId="0">
      <alignment wrapText="1"/>
    </xf>
    <xf numFmtId="0" fontId="0" fillId="0" borderId="11" applyAlignment="1" pivotButton="0" quotePrefix="0" xfId="0">
      <alignment wrapText="1"/>
    </xf>
    <xf numFmtId="0" fontId="183" fillId="0" borderId="0" applyAlignment="1" pivotButton="0" quotePrefix="0" xfId="0">
      <alignment horizontal="left" wrapText="1"/>
    </xf>
    <xf numFmtId="4" fontId="16" fillId="0" borderId="15" applyAlignment="1" pivotButton="0" quotePrefix="0" xfId="0">
      <alignment horizontal="center" vertical="center" wrapText="1"/>
    </xf>
    <xf numFmtId="4" fontId="16" fillId="0" borderId="6" applyAlignment="1" pivotButton="0" quotePrefix="0" xfId="0">
      <alignment horizontal="center" vertical="center" wrapText="1"/>
    </xf>
    <xf numFmtId="4" fontId="16" fillId="0" borderId="10" applyAlignment="1" pivotButton="0" quotePrefix="0" xfId="0">
      <alignment horizontal="center" vertical="center" wrapText="1"/>
    </xf>
    <xf numFmtId="4" fontId="16" fillId="3" borderId="6" applyAlignment="1" pivotButton="0" quotePrefix="0" xfId="0">
      <alignment horizontal="center" vertical="center" wrapText="1"/>
    </xf>
    <xf numFmtId="4" fontId="16" fillId="3" borderId="10" applyAlignment="1" pivotButton="0" quotePrefix="0" xfId="0">
      <alignment horizontal="center" vertical="center" wrapText="1"/>
    </xf>
    <xf numFmtId="0" fontId="0" fillId="0" borderId="1" applyAlignment="1" applyProtection="1" pivotButton="0" quotePrefix="0" xfId="0">
      <alignment horizontal="right"/>
      <protection locked="0" hidden="0"/>
    </xf>
    <xf numFmtId="37" fontId="9" fillId="28" borderId="4" applyAlignment="1" pivotButton="0" quotePrefix="0" xfId="0">
      <alignment horizontal="right"/>
    </xf>
    <xf numFmtId="0" fontId="0" fillId="0" borderId="4" applyAlignment="1" pivotButton="0" quotePrefix="0" xfId="0">
      <alignment horizontal="right"/>
    </xf>
    <xf numFmtId="0" fontId="183" fillId="0" borderId="0" applyAlignment="1" pivotButton="0" quotePrefix="0" xfId="0">
      <alignment horizontal="center" vertical="center" wrapText="1"/>
    </xf>
    <xf numFmtId="37" fontId="9" fillId="3" borderId="30" applyAlignment="1" applyProtection="1" pivotButton="0" quotePrefix="0" xfId="0">
      <alignment horizontal="right"/>
      <protection locked="0" hidden="0"/>
    </xf>
    <xf numFmtId="0" fontId="0" fillId="0" borderId="8" applyAlignment="1" applyProtection="1" pivotButton="0" quotePrefix="0" xfId="0">
      <alignment horizontal="right"/>
      <protection locked="0" hidden="0"/>
    </xf>
    <xf numFmtId="37" fontId="0" fillId="0" borderId="1" applyAlignment="1" applyProtection="1" pivotButton="0" quotePrefix="0" xfId="0">
      <alignment horizontal="right"/>
      <protection locked="0" hidden="0"/>
    </xf>
    <xf numFmtId="37" fontId="0" fillId="25" borderId="1" applyAlignment="1" pivotButton="0" quotePrefix="0" xfId="0">
      <alignment horizontal="right"/>
    </xf>
    <xf numFmtId="37" fontId="0" fillId="0" borderId="1" applyAlignment="1" pivotButton="0" quotePrefix="0" xfId="0">
      <alignment horizontal="right"/>
    </xf>
    <xf numFmtId="0" fontId="143" fillId="5" borderId="0" applyAlignment="1" pivotButton="0" quotePrefix="0" xfId="0">
      <alignment horizontal="center"/>
    </xf>
    <xf numFmtId="0" fontId="12" fillId="0" borderId="1" applyAlignment="1" pivotButton="0" quotePrefix="1" xfId="0">
      <alignment horizontal="center"/>
    </xf>
    <xf numFmtId="4" fontId="10" fillId="3" borderId="26" applyAlignment="1" pivotButton="0" quotePrefix="0" xfId="0">
      <alignment horizontal="center" vertical="center"/>
    </xf>
    <xf numFmtId="4" fontId="10" fillId="3" borderId="1" applyAlignment="1" pivotButton="0" quotePrefix="0" xfId="0">
      <alignment horizontal="center" vertical="center"/>
    </xf>
    <xf numFmtId="0" fontId="16" fillId="3" borderId="30" applyAlignment="1" pivotButton="0" quotePrefix="0" xfId="0">
      <alignment horizontal="center" vertical="center" wrapText="1"/>
    </xf>
    <xf numFmtId="0" fontId="6" fillId="0" borderId="14" applyAlignment="1" pivotButton="0" quotePrefix="0" xfId="0">
      <alignment horizontal="center" vertical="center"/>
    </xf>
    <xf numFmtId="0" fontId="6" fillId="0" borderId="3" applyAlignment="1" pivotButton="0" quotePrefix="0" xfId="0">
      <alignment horizontal="center" vertical="center"/>
    </xf>
    <xf numFmtId="0" fontId="6" fillId="0" borderId="24" applyAlignment="1" pivotButton="0" quotePrefix="0" xfId="0">
      <alignment horizontal="center" vertical="center"/>
    </xf>
    <xf numFmtId="0" fontId="6" fillId="0" borderId="9" applyAlignment="1" pivotButton="0" quotePrefix="0" xfId="0">
      <alignment horizontal="center" vertical="center"/>
    </xf>
    <xf numFmtId="0" fontId="6" fillId="0" borderId="11" applyAlignment="1" pivotButton="0" quotePrefix="0" xfId="0">
      <alignment horizontal="center" vertical="center"/>
    </xf>
    <xf numFmtId="0" fontId="233" fillId="29" borderId="8" applyAlignment="1" pivotButton="0" quotePrefix="0" xfId="0">
      <alignment horizontal="center" vertical="top" wrapText="1"/>
    </xf>
    <xf numFmtId="0" fontId="233" fillId="29" borderId="0" applyAlignment="1" pivotButton="0" quotePrefix="0" xfId="0">
      <alignment horizontal="center" vertical="top" wrapText="1"/>
    </xf>
    <xf numFmtId="0" fontId="205" fillId="5" borderId="0" applyAlignment="1" pivotButton="0" quotePrefix="0" xfId="0">
      <alignment horizontal="center" vertical="center" wrapText="1"/>
    </xf>
    <xf numFmtId="0" fontId="143" fillId="0" borderId="0" applyAlignment="1" pivotButton="0" quotePrefix="0" xfId="0">
      <alignment vertical="center" wrapText="1"/>
    </xf>
    <xf numFmtId="0" fontId="112" fillId="3" borderId="3" applyAlignment="1" pivotButton="0" quotePrefix="0" xfId="0">
      <alignment horizontal="center" vertical="center"/>
    </xf>
    <xf numFmtId="0" fontId="112" fillId="0" borderId="0" applyAlignment="1" pivotButton="0" quotePrefix="0" xfId="0">
      <alignment horizontal="center" vertical="center"/>
    </xf>
    <xf numFmtId="0" fontId="0" fillId="0" borderId="0" applyAlignment="1" pivotButton="0" quotePrefix="0" xfId="0">
      <alignment horizontal="left" wrapText="1"/>
    </xf>
    <xf numFmtId="0" fontId="205" fillId="5" borderId="0" applyAlignment="1" pivotButton="0" quotePrefix="0" xfId="0">
      <alignment horizontal="center" vertical="top"/>
    </xf>
    <xf numFmtId="1" fontId="4" fillId="29" borderId="0" applyAlignment="1" pivotButton="0" quotePrefix="1" xfId="0">
      <alignment horizontal="right"/>
    </xf>
    <xf numFmtId="0" fontId="4" fillId="3" borderId="0" applyAlignment="1" pivotButton="0" quotePrefix="0" xfId="0">
      <alignment horizontal="right"/>
    </xf>
    <xf numFmtId="164" fontId="4" fillId="3" borderId="0" applyAlignment="1" pivotButton="0" quotePrefix="0" xfId="0">
      <alignment horizontal="right"/>
    </xf>
    <xf numFmtId="164" fontId="4" fillId="3" borderId="0" applyAlignment="1" pivotButton="0" quotePrefix="1" xfId="0">
      <alignment horizontal="right"/>
    </xf>
    <xf numFmtId="0" fontId="4" fillId="29" borderId="0" applyAlignment="1" pivotButton="0" quotePrefix="1" xfId="0">
      <alignment horizontal="right"/>
    </xf>
    <xf numFmtId="1" fontId="4" fillId="29" borderId="0" applyAlignment="1" pivotButton="0" quotePrefix="0" xfId="0">
      <alignment horizontal="right"/>
    </xf>
    <xf numFmtId="0" fontId="166" fillId="23" borderId="0" applyAlignment="1" pivotButton="0" quotePrefix="0" xfId="0">
      <alignment horizontal="center"/>
    </xf>
    <xf numFmtId="0" fontId="15" fillId="15" borderId="69" applyAlignment="1" pivotButton="0" quotePrefix="0" xfId="0">
      <alignment horizontal="center" vertical="center"/>
    </xf>
    <xf numFmtId="0" fontId="15" fillId="15" borderId="70" applyAlignment="1" pivotButton="0" quotePrefix="0" xfId="0">
      <alignment horizontal="center" vertical="center"/>
    </xf>
    <xf numFmtId="37" fontId="4" fillId="16" borderId="28" applyAlignment="1" applyProtection="1" pivotButton="0" quotePrefix="0" xfId="0">
      <alignment horizontal="right" indent="1"/>
      <protection locked="0" hidden="0"/>
    </xf>
    <xf numFmtId="0" fontId="0" fillId="0" borderId="28" applyAlignment="1" applyProtection="1" pivotButton="0" quotePrefix="0" xfId="0">
      <alignment horizontal="right" indent="1"/>
      <protection locked="0" hidden="0"/>
    </xf>
    <xf numFmtId="0" fontId="15" fillId="15" borderId="8" applyAlignment="1" pivotButton="0" quotePrefix="0" xfId="0">
      <alignment horizontal="center"/>
    </xf>
    <xf numFmtId="0" fontId="11" fillId="15" borderId="51" applyAlignment="1" pivotButton="0" quotePrefix="0" xfId="0">
      <alignment horizontal="center"/>
    </xf>
    <xf numFmtId="0" fontId="0" fillId="0" borderId="51" applyAlignment="1" pivotButton="0" quotePrefix="0" xfId="0">
      <alignment horizontal="center"/>
    </xf>
    <xf numFmtId="39" fontId="6" fillId="16" borderId="51" applyProtection="1" pivotButton="0" quotePrefix="0" xfId="0">
      <protection locked="0" hidden="0"/>
    </xf>
    <xf numFmtId="39" fontId="6" fillId="16" borderId="52" applyProtection="1" pivotButton="0" quotePrefix="0" xfId="0">
      <protection locked="0" hidden="0"/>
    </xf>
    <xf numFmtId="0" fontId="11" fillId="15" borderId="10" applyAlignment="1" pivotButton="0" quotePrefix="0" xfId="0">
      <alignment horizontal="center"/>
    </xf>
    <xf numFmtId="0" fontId="0" fillId="0" borderId="10" applyAlignment="1" pivotButton="0" quotePrefix="0" xfId="0">
      <alignment horizontal="center"/>
    </xf>
    <xf numFmtId="37" fontId="4" fillId="27" borderId="10" pivotButton="0" quotePrefix="0" xfId="0"/>
    <xf numFmtId="0" fontId="15" fillId="15" borderId="9" applyAlignment="1" pivotButton="0" quotePrefix="0" xfId="0">
      <alignment horizontal="center" vertical="center"/>
    </xf>
    <xf numFmtId="0" fontId="15" fillId="15" borderId="11" applyAlignment="1" pivotButton="0" quotePrefix="0" xfId="0">
      <alignment horizontal="center" vertical="center"/>
    </xf>
    <xf numFmtId="37" fontId="4" fillId="16" borderId="10" applyAlignment="1" applyProtection="1" pivotButton="0" quotePrefix="0" xfId="0">
      <alignment horizontal="right" indent="1"/>
      <protection locked="0" hidden="0"/>
    </xf>
    <xf numFmtId="0" fontId="0" fillId="0" borderId="10" applyAlignment="1" applyProtection="1" pivotButton="0" quotePrefix="0" xfId="0">
      <alignment horizontal="right" indent="1"/>
      <protection locked="0" hidden="0"/>
    </xf>
    <xf numFmtId="0" fontId="15" fillId="16" borderId="25" applyAlignment="1" applyProtection="1" pivotButton="0" quotePrefix="0" xfId="0">
      <alignment horizontal="left"/>
      <protection locked="0" hidden="0"/>
    </xf>
    <xf numFmtId="0" fontId="4" fillId="16" borderId="54" applyAlignment="1" applyProtection="1" pivotButton="0" quotePrefix="0" xfId="0">
      <alignment horizontal="left"/>
      <protection locked="0" hidden="0"/>
    </xf>
    <xf numFmtId="0" fontId="4" fillId="16" borderId="39" applyAlignment="1" applyProtection="1" pivotButton="0" quotePrefix="0" xfId="0">
      <alignment horizontal="center"/>
      <protection locked="0" hidden="0"/>
    </xf>
    <xf numFmtId="0" fontId="4" fillId="16" borderId="25" applyAlignment="1" applyProtection="1" pivotButton="0" quotePrefix="0" xfId="0">
      <alignment horizontal="center"/>
      <protection locked="0" hidden="0"/>
    </xf>
    <xf numFmtId="0" fontId="4" fillId="16" borderId="54" applyAlignment="1" applyProtection="1" pivotButton="0" quotePrefix="0" xfId="0">
      <alignment horizontal="center"/>
      <protection locked="0" hidden="0"/>
    </xf>
    <xf numFmtId="39" fontId="6" fillId="16" borderId="12" applyAlignment="1" applyProtection="1" pivotButton="0" quotePrefix="0" xfId="0">
      <alignment horizontal="right" wrapText="1" indent="1"/>
      <protection locked="0" hidden="0"/>
    </xf>
    <xf numFmtId="39" fontId="6" fillId="16" borderId="39" applyAlignment="1" applyProtection="1" pivotButton="0" quotePrefix="0" xfId="0">
      <alignment horizontal="right" wrapText="1" indent="1"/>
      <protection locked="0" hidden="0"/>
    </xf>
    <xf numFmtId="39" fontId="6" fillId="16" borderId="25" applyAlignment="1" applyProtection="1" pivotButton="0" quotePrefix="0" xfId="0">
      <alignment horizontal="right" wrapText="1" indent="1"/>
      <protection locked="0" hidden="0"/>
    </xf>
    <xf numFmtId="39" fontId="6" fillId="16" borderId="54" applyAlignment="1" applyProtection="1" pivotButton="0" quotePrefix="0" xfId="0">
      <alignment horizontal="right" wrapText="1" indent="1"/>
      <protection locked="0" hidden="0"/>
    </xf>
    <xf numFmtId="0" fontId="15" fillId="15" borderId="1" applyAlignment="1" pivotButton="0" quotePrefix="0" xfId="0">
      <alignment horizontal="center"/>
    </xf>
    <xf numFmtId="0" fontId="11" fillId="15" borderId="39" applyAlignment="1" pivotButton="0" quotePrefix="0" xfId="0">
      <alignment horizontal="center"/>
    </xf>
    <xf numFmtId="0" fontId="0" fillId="0" borderId="54" applyAlignment="1" pivotButton="0" quotePrefix="0" xfId="0">
      <alignment horizontal="center"/>
    </xf>
    <xf numFmtId="37" fontId="4" fillId="27" borderId="39" applyAlignment="1" pivotButton="0" quotePrefix="0" xfId="0">
      <alignment horizontal="right" indent="1"/>
    </xf>
    <xf numFmtId="37" fontId="4" fillId="27" borderId="25" applyAlignment="1" pivotButton="0" quotePrefix="0" xfId="0">
      <alignment horizontal="right" indent="1"/>
    </xf>
    <xf numFmtId="0" fontId="223" fillId="31" borderId="25" applyAlignment="1" pivotButton="0" quotePrefix="0" xfId="0">
      <alignment horizontal="center"/>
    </xf>
    <xf numFmtId="0" fontId="224" fillId="31" borderId="25" applyAlignment="1" pivotButton="0" quotePrefix="0" xfId="0">
      <alignment horizontal="center"/>
    </xf>
    <xf numFmtId="0" fontId="0" fillId="0" borderId="25" pivotButton="0" quotePrefix="0" xfId="0"/>
    <xf numFmtId="37" fontId="4" fillId="27" borderId="39" applyAlignment="1" pivotButton="0" quotePrefix="0" xfId="0">
      <alignment horizontal="right" indent="2"/>
    </xf>
    <xf numFmtId="37" fontId="4" fillId="27" borderId="25" applyAlignment="1" pivotButton="0" quotePrefix="0" xfId="0">
      <alignment horizontal="right" indent="2"/>
    </xf>
    <xf numFmtId="0" fontId="8" fillId="15" borderId="8" applyAlignment="1" pivotButton="0" quotePrefix="0" xfId="0">
      <alignment horizontal="center" vertical="center" wrapText="1"/>
    </xf>
    <xf numFmtId="0" fontId="0" fillId="15" borderId="8" applyAlignment="1" pivotButton="0" quotePrefix="0" xfId="0">
      <alignment horizontal="center" vertical="center" wrapText="1"/>
    </xf>
    <xf numFmtId="0" fontId="0" fillId="15" borderId="14" applyAlignment="1" pivotButton="0" quotePrefix="0" xfId="0">
      <alignment horizontal="center" vertical="center" wrapText="1"/>
    </xf>
    <xf numFmtId="0" fontId="0" fillId="15" borderId="0" applyAlignment="1" pivotButton="0" quotePrefix="0" xfId="0">
      <alignment horizontal="center" vertical="center" wrapText="1"/>
    </xf>
    <xf numFmtId="0" fontId="0" fillId="15" borderId="24" applyAlignment="1" pivotButton="0" quotePrefix="0" xfId="0">
      <alignment horizontal="center" vertical="center" wrapText="1"/>
    </xf>
    <xf numFmtId="0" fontId="0" fillId="15" borderId="1" applyAlignment="1" pivotButton="0" quotePrefix="0" xfId="0">
      <alignment horizontal="center" vertical="center" wrapText="1"/>
    </xf>
    <xf numFmtId="0" fontId="0" fillId="15" borderId="11" applyAlignment="1" pivotButton="0" quotePrefix="0" xfId="0">
      <alignment horizontal="center" vertical="center" wrapText="1"/>
    </xf>
    <xf numFmtId="0" fontId="8" fillId="15" borderId="15" applyAlignment="1" pivotButton="0" quotePrefix="0" xfId="0">
      <alignment horizontal="center" vertical="center" wrapText="1"/>
    </xf>
    <xf numFmtId="0" fontId="8" fillId="0" borderId="15" applyAlignment="1" pivotButton="0" quotePrefix="0" xfId="0">
      <alignment horizontal="center" vertical="center" wrapText="1"/>
    </xf>
    <xf numFmtId="0" fontId="8" fillId="0" borderId="6" applyAlignment="1" pivotButton="0" quotePrefix="0" xfId="0">
      <alignment horizontal="center" vertical="center" wrapText="1"/>
    </xf>
    <xf numFmtId="0" fontId="8" fillId="0" borderId="10" applyAlignment="1" pivotButton="0" quotePrefix="0" xfId="0">
      <alignment horizontal="center" vertical="center" wrapText="1"/>
    </xf>
    <xf numFmtId="0" fontId="10" fillId="15" borderId="15" applyAlignment="1" pivotButton="0" quotePrefix="0" xfId="0">
      <alignment horizontal="center" vertical="center" wrapText="1"/>
    </xf>
    <xf numFmtId="0" fontId="10" fillId="0" borderId="15" applyAlignment="1" pivotButton="0" quotePrefix="0" xfId="0">
      <alignment horizontal="center" vertical="center" wrapText="1"/>
    </xf>
    <xf numFmtId="0" fontId="10" fillId="0" borderId="6" applyAlignment="1" pivotButton="0" quotePrefix="0" xfId="0">
      <alignment horizontal="center" vertical="center" wrapText="1"/>
    </xf>
    <xf numFmtId="0" fontId="10" fillId="0" borderId="10" applyAlignment="1" pivotButton="0" quotePrefix="0" xfId="0">
      <alignment horizontal="center" vertical="center" wrapText="1"/>
    </xf>
    <xf numFmtId="0" fontId="8" fillId="15" borderId="30" applyAlignment="1" pivotButton="0" quotePrefix="0" xfId="0">
      <alignment horizontal="center" vertical="center" wrapText="1"/>
    </xf>
    <xf numFmtId="0" fontId="8" fillId="0" borderId="8" applyAlignment="1" pivotButton="0" quotePrefix="0" xfId="0">
      <alignment horizontal="center" vertical="center" wrapText="1"/>
    </xf>
    <xf numFmtId="0" fontId="8" fillId="0" borderId="14" applyAlignment="1" pivotButton="0" quotePrefix="0" xfId="0">
      <alignment horizontal="center" vertical="center" wrapText="1"/>
    </xf>
    <xf numFmtId="0" fontId="8" fillId="0" borderId="3"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24" applyAlignment="1" pivotButton="0" quotePrefix="0" xfId="0">
      <alignment horizontal="center" vertical="center" wrapText="1"/>
    </xf>
    <xf numFmtId="0" fontId="8" fillId="0" borderId="9"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1" applyAlignment="1" pivotButton="0" quotePrefix="0" xfId="0">
      <alignment horizontal="center" vertical="center" wrapText="1"/>
    </xf>
    <xf numFmtId="0" fontId="11" fillId="15" borderId="0" applyAlignment="1" pivotButton="0" quotePrefix="0" xfId="0">
      <alignment horizontal="center"/>
    </xf>
    <xf numFmtId="37" fontId="4" fillId="27" borderId="39" applyAlignment="1" pivotButton="0" quotePrefix="0" xfId="0">
      <alignment horizontal="right" wrapText="1" indent="1"/>
    </xf>
    <xf numFmtId="37" fontId="4" fillId="27" borderId="25" applyAlignment="1" pivotButton="0" quotePrefix="0" xfId="0">
      <alignment horizontal="right" wrapText="1" indent="1"/>
    </xf>
    <xf numFmtId="37" fontId="4" fillId="27" borderId="68" applyAlignment="1" pivotButton="0" quotePrefix="0" xfId="0">
      <alignment horizontal="right" wrapText="1" indent="1"/>
    </xf>
    <xf numFmtId="0" fontId="4" fillId="0" borderId="25" applyAlignment="1" pivotButton="0" quotePrefix="0" xfId="0">
      <alignment horizontal="right" indent="1"/>
    </xf>
    <xf numFmtId="0" fontId="4" fillId="0" borderId="54" applyAlignment="1" pivotButton="0" quotePrefix="0" xfId="0">
      <alignment horizontal="right" indent="1"/>
    </xf>
    <xf numFmtId="0" fontId="0" fillId="0" borderId="14" applyAlignment="1" pivotButton="0" quotePrefix="0" xfId="0">
      <alignment horizontal="center" vertical="center"/>
    </xf>
    <xf numFmtId="0" fontId="0" fillId="0" borderId="24" applyAlignment="1" pivotButton="0" quotePrefix="0" xfId="0">
      <alignment horizontal="center" vertical="center"/>
    </xf>
    <xf numFmtId="0" fontId="0" fillId="0" borderId="11" applyAlignment="1" pivotButton="0" quotePrefix="0" xfId="0">
      <alignment horizontal="center" vertical="center"/>
    </xf>
    <xf numFmtId="0" fontId="0" fillId="0" borderId="8"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 applyAlignment="1" pivotButton="0" quotePrefix="0" xfId="0">
      <alignment horizontal="center" vertical="center" wrapText="1"/>
    </xf>
    <xf numFmtId="0" fontId="6" fillId="15" borderId="80" applyAlignment="1" pivotButton="0" quotePrefix="0" xfId="0">
      <alignment horizontal="center" vertical="center" wrapText="1"/>
    </xf>
    <xf numFmtId="0" fontId="0" fillId="0" borderId="26" applyAlignment="1" pivotButton="0" quotePrefix="0" xfId="0">
      <alignment horizontal="center" vertical="center"/>
    </xf>
    <xf numFmtId="39" fontId="6" fillId="16" borderId="39" applyProtection="1" pivotButton="0" quotePrefix="0" xfId="0">
      <protection locked="0" hidden="0"/>
    </xf>
    <xf numFmtId="39" fontId="6" fillId="16" borderId="25" applyProtection="1" pivotButton="0" quotePrefix="0" xfId="0">
      <protection locked="0" hidden="0"/>
    </xf>
    <xf numFmtId="39" fontId="6" fillId="16" borderId="54" applyProtection="1" pivotButton="0" quotePrefix="0" xfId="0">
      <protection locked="0" hidden="0"/>
    </xf>
    <xf numFmtId="39" fontId="6" fillId="16" borderId="39" applyAlignment="1" applyProtection="1" pivotButton="0" quotePrefix="0" xfId="0">
      <alignment horizontal="right" indent="1"/>
      <protection locked="0" hidden="0"/>
    </xf>
    <xf numFmtId="39" fontId="6" fillId="16" borderId="25" applyAlignment="1" applyProtection="1" pivotButton="0" quotePrefix="0" xfId="0">
      <alignment horizontal="right" indent="1"/>
      <protection locked="0" hidden="0"/>
    </xf>
    <xf numFmtId="39" fontId="6" fillId="16" borderId="68" applyAlignment="1" applyProtection="1" pivotButton="0" quotePrefix="0" xfId="0">
      <alignment horizontal="right" indent="1"/>
      <protection locked="0" hidden="0"/>
    </xf>
    <xf numFmtId="39" fontId="6" fillId="16" borderId="46" applyAlignment="1" applyProtection="1" pivotButton="0" quotePrefix="0" xfId="0">
      <alignment horizontal="right" indent="1"/>
      <protection locked="0" hidden="0"/>
    </xf>
    <xf numFmtId="39" fontId="6" fillId="16" borderId="12" applyAlignment="1" applyProtection="1" pivotButton="0" quotePrefix="0" xfId="0">
      <alignment horizontal="right" indent="1"/>
      <protection locked="0" hidden="0"/>
    </xf>
    <xf numFmtId="0" fontId="223" fillId="31" borderId="1" applyAlignment="1" pivotButton="0" quotePrefix="0" xfId="0">
      <alignment horizontal="center"/>
    </xf>
    <xf numFmtId="0" fontId="224" fillId="31" borderId="1" applyAlignment="1" pivotButton="0" quotePrefix="0" xfId="0">
      <alignment horizontal="center"/>
    </xf>
    <xf numFmtId="0" fontId="8" fillId="0" borderId="8" applyAlignment="1" pivotButton="0" quotePrefix="0" xfId="0">
      <alignment horizontal="center" vertical="center"/>
    </xf>
    <xf numFmtId="0" fontId="8" fillId="0" borderId="3" applyAlignment="1" pivotButton="0" quotePrefix="0" xfId="0">
      <alignment horizontal="center" vertical="center"/>
    </xf>
    <xf numFmtId="0" fontId="8" fillId="0" borderId="9" applyAlignment="1" pivotButton="0" quotePrefix="0" xfId="0">
      <alignment horizontal="center" vertical="center"/>
    </xf>
    <xf numFmtId="37" fontId="4" fillId="16" borderId="39" applyAlignment="1" applyProtection="1" pivotButton="0" quotePrefix="0" xfId="0">
      <alignment horizontal="left" wrapText="1" indent="1"/>
      <protection locked="0" hidden="0"/>
    </xf>
    <xf numFmtId="37" fontId="4" fillId="16" borderId="25" applyAlignment="1" applyProtection="1" pivotButton="0" quotePrefix="0" xfId="0">
      <alignment horizontal="left" wrapText="1" indent="1"/>
      <protection locked="0" hidden="0"/>
    </xf>
    <xf numFmtId="0" fontId="0" fillId="0" borderId="25" applyAlignment="1" applyProtection="1" pivotButton="0" quotePrefix="0" xfId="0">
      <alignment horizontal="left" wrapText="1" indent="1"/>
      <protection locked="0" hidden="0"/>
    </xf>
    <xf numFmtId="0" fontId="0" fillId="0" borderId="54" applyAlignment="1" applyProtection="1" pivotButton="0" quotePrefix="0" xfId="0">
      <alignment horizontal="left" wrapText="1" indent="1"/>
      <protection locked="0" hidden="0"/>
    </xf>
    <xf numFmtId="37" fontId="4" fillId="16" borderId="39" applyAlignment="1" applyProtection="1" pivotButton="0" quotePrefix="0" xfId="0">
      <alignment horizontal="center" wrapText="1"/>
      <protection locked="0" hidden="0"/>
    </xf>
    <xf numFmtId="37" fontId="4" fillId="16" borderId="25" applyAlignment="1" applyProtection="1" pivotButton="0" quotePrefix="0" xfId="0">
      <alignment horizontal="center" wrapText="1"/>
      <protection locked="0" hidden="0"/>
    </xf>
    <xf numFmtId="0" fontId="15" fillId="15" borderId="25" applyAlignment="1" pivotButton="0" quotePrefix="0" xfId="0">
      <alignment horizontal="center"/>
    </xf>
    <xf numFmtId="0" fontId="0" fillId="0" borderId="25" applyAlignment="1" pivotButton="0" quotePrefix="0" xfId="0">
      <alignment horizontal="center"/>
    </xf>
    <xf numFmtId="0" fontId="0" fillId="0" borderId="68" applyAlignment="1" pivotButton="0" quotePrefix="0" xfId="0">
      <alignment horizontal="center"/>
    </xf>
    <xf numFmtId="0" fontId="15" fillId="15" borderId="67" applyAlignment="1" pivotButton="0" quotePrefix="0" xfId="0">
      <alignment horizontal="center"/>
    </xf>
    <xf numFmtId="0" fontId="15" fillId="15" borderId="30" applyAlignment="1" pivotButton="0" quotePrefix="0" xfId="0">
      <alignment horizontal="center" vertical="center"/>
    </xf>
    <xf numFmtId="0" fontId="15" fillId="15" borderId="14" applyAlignment="1" pivotButton="0" quotePrefix="0" xfId="0">
      <alignment horizontal="center" vertical="center"/>
    </xf>
    <xf numFmtId="37" fontId="4" fillId="27" borderId="8" applyAlignment="1" pivotButton="0" quotePrefix="0" xfId="0">
      <alignment horizontal="right"/>
    </xf>
    <xf numFmtId="0" fontId="15" fillId="15" borderId="4" applyAlignment="1" pivotButton="0" quotePrefix="0" xfId="0">
      <alignment horizontal="center"/>
    </xf>
    <xf numFmtId="0" fontId="15" fillId="15" borderId="172" applyAlignment="1" pivotButton="0" quotePrefix="0" xfId="0">
      <alignment horizontal="center" vertical="center"/>
    </xf>
    <xf numFmtId="0" fontId="15" fillId="15" borderId="173" applyAlignment="1" pivotButton="0" quotePrefix="0" xfId="0">
      <alignment horizontal="center" vertical="center"/>
    </xf>
    <xf numFmtId="37" fontId="4" fillId="27" borderId="172" applyAlignment="1" pivotButton="0" quotePrefix="0" xfId="0">
      <alignment horizontal="right" indent="2"/>
    </xf>
    <xf numFmtId="37" fontId="4" fillId="27" borderId="74" applyAlignment="1" pivotButton="0" quotePrefix="0" xfId="0">
      <alignment horizontal="right" indent="2"/>
    </xf>
    <xf numFmtId="37" fontId="4" fillId="19" borderId="67" applyAlignment="1" applyProtection="1" pivotButton="0" quotePrefix="0" xfId="0">
      <alignment horizontal="right" wrapText="1" indent="1"/>
      <protection locked="0" hidden="0"/>
    </xf>
    <xf numFmtId="37" fontId="4" fillId="19" borderId="25" applyAlignment="1" applyProtection="1" pivotButton="0" quotePrefix="0" xfId="0">
      <alignment horizontal="right" wrapText="1" indent="1"/>
      <protection locked="0" hidden="0"/>
    </xf>
    <xf numFmtId="37" fontId="4" fillId="27" borderId="54" applyAlignment="1" pivotButton="0" quotePrefix="0" xfId="0">
      <alignment horizontal="right" indent="1"/>
    </xf>
    <xf numFmtId="37" fontId="4" fillId="19" borderId="39" applyAlignment="1" pivotButton="0" quotePrefix="0" xfId="0">
      <alignment horizontal="right" wrapText="1" indent="1"/>
    </xf>
    <xf numFmtId="37" fontId="4" fillId="19" borderId="25" applyAlignment="1" pivotButton="0" quotePrefix="0" xfId="0">
      <alignment horizontal="right" wrapText="1" indent="1"/>
    </xf>
    <xf numFmtId="37" fontId="4" fillId="19" borderId="68" applyAlignment="1" pivotButton="0" quotePrefix="0" xfId="0">
      <alignment horizontal="right" wrapText="1" indent="1"/>
    </xf>
    <xf numFmtId="37" fontId="4" fillId="27" borderId="67" applyAlignment="1" pivotButton="0" quotePrefix="0" xfId="0">
      <alignment horizontal="right" wrapText="1" indent="1"/>
    </xf>
    <xf numFmtId="37" fontId="4" fillId="27" borderId="54" applyAlignment="1" pivotButton="0" quotePrefix="0" xfId="0">
      <alignment horizontal="right" wrapText="1" indent="1"/>
    </xf>
    <xf numFmtId="37" fontId="4" fillId="27" borderId="12" applyAlignment="1" pivotButton="0" quotePrefix="0" xfId="0">
      <alignment horizontal="right" wrapText="1" indent="1"/>
    </xf>
    <xf numFmtId="37" fontId="4" fillId="19" borderId="12" applyAlignment="1" pivotButton="0" quotePrefix="0" xfId="0">
      <alignment horizontal="right" indent="1"/>
    </xf>
    <xf numFmtId="37" fontId="4" fillId="19" borderId="39" applyAlignment="1" pivotButton="0" quotePrefix="0" xfId="0">
      <alignment horizontal="right" indent="1"/>
    </xf>
    <xf numFmtId="39" fontId="6" fillId="16" borderId="68" applyAlignment="1" applyProtection="1" pivotButton="0" quotePrefix="0" xfId="0">
      <alignment horizontal="right" wrapText="1" indent="1"/>
      <protection locked="0" hidden="0"/>
    </xf>
    <xf numFmtId="0" fontId="4" fillId="16" borderId="39" applyProtection="1" pivotButton="0" quotePrefix="0" xfId="0">
      <protection locked="0" hidden="0"/>
    </xf>
    <xf numFmtId="0" fontId="4" fillId="16" borderId="25" applyProtection="1" pivotButton="0" quotePrefix="0" xfId="0">
      <protection locked="0" hidden="0"/>
    </xf>
    <xf numFmtId="0" fontId="4" fillId="16" borderId="54" applyProtection="1" pivotButton="0" quotePrefix="0" xfId="0">
      <protection locked="0" hidden="0"/>
    </xf>
    <xf numFmtId="0" fontId="4" fillId="16" borderId="25" applyAlignment="1" applyProtection="1" pivotButton="0" quotePrefix="0" xfId="0">
      <alignment horizontal="center" vertical="center"/>
      <protection locked="0" hidden="0"/>
    </xf>
    <xf numFmtId="0" fontId="4" fillId="16" borderId="54" applyAlignment="1" applyProtection="1" pivotButton="0" quotePrefix="0" xfId="0">
      <alignment horizontal="center" vertical="center"/>
      <protection locked="0" hidden="0"/>
    </xf>
    <xf numFmtId="0" fontId="15" fillId="0" borderId="8" applyAlignment="1" pivotButton="0" quotePrefix="0" xfId="0">
      <alignment horizontal="center"/>
    </xf>
    <xf numFmtId="0" fontId="15" fillId="0" borderId="25" applyAlignment="1" pivotButton="0" quotePrefix="0" xfId="0">
      <alignment horizontal="center"/>
    </xf>
    <xf numFmtId="0" fontId="8" fillId="15" borderId="80"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26" applyAlignment="1" pivotButton="0" quotePrefix="0" xfId="0">
      <alignment horizontal="center" vertical="center" wrapText="1"/>
    </xf>
    <xf numFmtId="0" fontId="11" fillId="16" borderId="1" applyProtection="1" pivotButton="0" quotePrefix="0" xfId="0">
      <protection locked="0" hidden="0"/>
    </xf>
    <xf numFmtId="0" fontId="11" fillId="16" borderId="11" applyProtection="1" pivotButton="0" quotePrefix="0" xfId="0">
      <protection locked="0" hidden="0"/>
    </xf>
    <xf numFmtId="0" fontId="10" fillId="15" borderId="30" applyAlignment="1" pivotButton="0" quotePrefix="0" xfId="0">
      <alignment horizontal="center" vertical="center" wrapText="1"/>
    </xf>
    <xf numFmtId="0" fontId="10" fillId="0" borderId="8" applyAlignment="1" pivotButton="0" quotePrefix="0" xfId="0">
      <alignment horizontal="center" vertical="center" wrapText="1"/>
    </xf>
    <xf numFmtId="0" fontId="10" fillId="0" borderId="14" applyAlignment="1" pivotButton="0" quotePrefix="0" xfId="0">
      <alignment horizontal="center" vertical="center" wrapText="1"/>
    </xf>
    <xf numFmtId="0" fontId="10" fillId="0" borderId="3" applyAlignment="1" pivotButton="0" quotePrefix="0" xfId="0">
      <alignment horizontal="center" vertical="center" wrapText="1"/>
    </xf>
    <xf numFmtId="0" fontId="10" fillId="0" borderId="0" applyAlignment="1" pivotButton="0" quotePrefix="0" xfId="0">
      <alignment horizontal="center" vertical="center" wrapText="1"/>
    </xf>
    <xf numFmtId="0" fontId="10" fillId="0" borderId="24" applyAlignment="1" pivotButton="0" quotePrefix="0" xfId="0">
      <alignment horizontal="center" vertical="center" wrapText="1"/>
    </xf>
    <xf numFmtId="0" fontId="10" fillId="0" borderId="9"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11" applyAlignment="1" pivotButton="0" quotePrefix="0" xfId="0">
      <alignment horizontal="center" vertical="center" wrapText="1"/>
    </xf>
    <xf numFmtId="0" fontId="14" fillId="15" borderId="0" applyAlignment="1" pivotButton="0" quotePrefix="0" xfId="0">
      <alignment horizontal="center" vertical="center" wrapText="1"/>
    </xf>
    <xf numFmtId="0" fontId="11" fillId="15" borderId="39" applyAlignment="1" pivotButton="0" quotePrefix="0" xfId="0">
      <alignment horizontal="center" vertical="center"/>
    </xf>
    <xf numFmtId="0" fontId="11" fillId="0" borderId="54" applyAlignment="1" pivotButton="0" quotePrefix="0" xfId="0">
      <alignment horizontal="center" vertical="center"/>
    </xf>
    <xf numFmtId="37" fontId="15" fillId="27" borderId="25" applyAlignment="1" pivotButton="0" quotePrefix="0" xfId="0">
      <alignment horizontal="right" vertical="center"/>
    </xf>
    <xf numFmtId="0" fontId="0" fillId="0" borderId="25" applyAlignment="1" pivotButton="0" quotePrefix="0" xfId="0">
      <alignment horizontal="right" vertical="center"/>
    </xf>
    <xf numFmtId="0" fontId="11" fillId="15" borderId="69" applyAlignment="1" pivotButton="0" quotePrefix="0" xfId="0">
      <alignment horizontal="center" vertical="center"/>
    </xf>
    <xf numFmtId="0" fontId="11" fillId="0" borderId="70" applyAlignment="1" pivotButton="0" quotePrefix="0" xfId="0">
      <alignment horizontal="center" vertical="center"/>
    </xf>
    <xf numFmtId="37" fontId="15" fillId="27" borderId="69" applyAlignment="1" pivotButton="0" quotePrefix="0" xfId="0">
      <alignment horizontal="right" vertical="center" indent="2"/>
    </xf>
    <xf numFmtId="37" fontId="15" fillId="27" borderId="4" applyAlignment="1" pivotButton="0" quotePrefix="0" xfId="0">
      <alignment horizontal="right" vertical="center" indent="2"/>
    </xf>
    <xf numFmtId="0" fontId="9" fillId="15" borderId="30" pivotButton="0" quotePrefix="0" xfId="0"/>
    <xf numFmtId="0" fontId="9" fillId="15" borderId="8" pivotButton="0" quotePrefix="0" xfId="0"/>
    <xf numFmtId="37" fontId="168" fillId="15" borderId="8" applyAlignment="1" pivotButton="0" quotePrefix="0" xfId="0">
      <alignment horizontal="right" vertical="center"/>
    </xf>
    <xf numFmtId="0" fontId="14" fillId="15" borderId="0" applyAlignment="1" pivotButton="0" quotePrefix="0" xfId="0">
      <alignment horizontal="right" vertical="center" wrapText="1" indent="1"/>
    </xf>
    <xf numFmtId="0" fontId="0" fillId="0" borderId="0" applyAlignment="1" pivotButton="0" quotePrefix="0" xfId="0">
      <alignment horizontal="right" vertical="center" wrapText="1" indent="1"/>
    </xf>
    <xf numFmtId="37" fontId="15" fillId="27" borderId="9" applyAlignment="1" pivotButton="0" quotePrefix="0" xfId="0">
      <alignment horizontal="right" vertical="center"/>
    </xf>
    <xf numFmtId="37" fontId="15" fillId="27" borderId="1" applyAlignment="1" pivotButton="0" quotePrefix="0" xfId="0">
      <alignment horizontal="right" vertical="center"/>
    </xf>
    <xf numFmtId="37" fontId="15" fillId="27" borderId="11" applyAlignment="1" pivotButton="0" quotePrefix="0" xfId="0">
      <alignment horizontal="right" vertical="center"/>
    </xf>
    <xf numFmtId="0" fontId="11" fillId="15" borderId="9" applyAlignment="1" pivotButton="0" quotePrefix="0" xfId="0">
      <alignment horizontal="center" vertical="center"/>
    </xf>
    <xf numFmtId="0" fontId="11" fillId="0" borderId="11" applyAlignment="1" pivotButton="0" quotePrefix="0" xfId="0">
      <alignment horizontal="center" vertical="center"/>
    </xf>
    <xf numFmtId="37" fontId="15" fillId="27" borderId="39" applyAlignment="1" pivotButton="0" quotePrefix="0" xfId="0">
      <alignment horizontal="right" vertical="center" indent="2"/>
    </xf>
    <xf numFmtId="37" fontId="15" fillId="27" borderId="25" applyAlignment="1" pivotButton="0" quotePrefix="0" xfId="0">
      <alignment horizontal="right" vertical="center" indent="2"/>
    </xf>
    <xf numFmtId="0" fontId="11" fillId="15" borderId="3" applyAlignment="1" pivotButton="0" quotePrefix="0" xfId="0">
      <alignment horizontal="center" vertical="center"/>
    </xf>
    <xf numFmtId="0" fontId="11" fillId="0" borderId="24" applyAlignment="1" pivotButton="0" quotePrefix="0" xfId="0">
      <alignment horizontal="center" vertical="center"/>
    </xf>
    <xf numFmtId="3" fontId="257" fillId="15" borderId="3" applyAlignment="1" pivotButton="0" quotePrefix="0" xfId="0">
      <alignment horizontal="center" vertical="center"/>
    </xf>
    <xf numFmtId="3" fontId="257" fillId="15" borderId="0" applyAlignment="1" pivotButton="0" quotePrefix="0" xfId="0">
      <alignment horizontal="center" vertical="center"/>
    </xf>
    <xf numFmtId="3" fontId="257" fillId="15" borderId="24" applyAlignment="1" pivotButton="0" quotePrefix="0" xfId="0">
      <alignment horizontal="center" vertical="center"/>
    </xf>
    <xf numFmtId="0" fontId="0" fillId="0" borderId="1" applyAlignment="1" pivotButton="0" quotePrefix="0" xfId="0">
      <alignment horizontal="right" vertical="center"/>
    </xf>
    <xf numFmtId="0" fontId="47" fillId="0" borderId="39" applyAlignment="1" pivotButton="0" quotePrefix="0" xfId="0">
      <alignment horizontal="center" vertical="center"/>
    </xf>
    <xf numFmtId="0" fontId="0" fillId="0" borderId="54" applyAlignment="1" pivotButton="0" quotePrefix="0" xfId="0">
      <alignment horizontal="center" vertical="center"/>
    </xf>
    <xf numFmtId="3" fontId="15" fillId="15" borderId="3" applyAlignment="1" pivotButton="0" quotePrefix="0" xfId="0">
      <alignment horizontal="right" vertical="center"/>
    </xf>
    <xf numFmtId="3" fontId="15" fillId="15" borderId="0" applyAlignment="1" pivotButton="0" quotePrefix="0" xfId="0">
      <alignment horizontal="right" vertical="center"/>
    </xf>
    <xf numFmtId="3" fontId="15" fillId="15" borderId="24" applyAlignment="1" pivotButton="0" quotePrefix="0" xfId="0">
      <alignment horizontal="right" vertical="center"/>
    </xf>
    <xf numFmtId="37" fontId="15" fillId="27" borderId="39" applyAlignment="1" pivotButton="0" quotePrefix="0" xfId="0">
      <alignment horizontal="right" vertical="center"/>
    </xf>
    <xf numFmtId="0" fontId="11" fillId="15" borderId="30" applyAlignment="1" pivotButton="0" quotePrefix="0" xfId="0">
      <alignment horizontal="center" vertical="center"/>
    </xf>
    <xf numFmtId="0" fontId="11" fillId="0" borderId="14" applyAlignment="1" pivotButton="0" quotePrefix="0" xfId="0">
      <alignment horizontal="center" vertical="center"/>
    </xf>
    <xf numFmtId="3" fontId="15" fillId="15" borderId="30" applyAlignment="1" pivotButton="0" quotePrefix="0" xfId="0">
      <alignment horizontal="right" vertical="center"/>
    </xf>
    <xf numFmtId="3" fontId="15" fillId="15" borderId="8" applyAlignment="1" pivotButton="0" quotePrefix="0" xfId="0">
      <alignment horizontal="right" vertical="center"/>
    </xf>
    <xf numFmtId="3" fontId="15" fillId="15" borderId="14" applyAlignment="1" pivotButton="0" quotePrefix="0" xfId="0">
      <alignment horizontal="right" vertical="center"/>
    </xf>
    <xf numFmtId="39" fontId="47" fillId="16" borderId="1" applyAlignment="1" applyProtection="1" pivotButton="0" quotePrefix="0" xfId="0">
      <alignment horizontal="right" vertical="center"/>
      <protection locked="0" hidden="0"/>
    </xf>
    <xf numFmtId="39" fontId="47" fillId="16" borderId="11" applyAlignment="1" applyProtection="1" pivotButton="0" quotePrefix="0" xfId="0">
      <alignment horizontal="right" vertical="center"/>
      <protection locked="0" hidden="0"/>
    </xf>
    <xf numFmtId="39" fontId="47" fillId="16" borderId="9" applyAlignment="1" applyProtection="1" pivotButton="0" quotePrefix="0" xfId="0">
      <alignment horizontal="right" vertical="center"/>
      <protection locked="0" hidden="0"/>
    </xf>
    <xf numFmtId="0" fontId="4" fillId="16" borderId="87" applyAlignment="1" applyProtection="1" pivotButton="0" quotePrefix="0" xfId="0">
      <alignment horizontal="left" vertical="center"/>
      <protection locked="0" hidden="0"/>
    </xf>
    <xf numFmtId="0" fontId="14" fillId="15" borderId="1" applyAlignment="1" pivotButton="0" quotePrefix="0" xfId="0">
      <alignment horizontal="center" vertical="center" wrapText="1"/>
    </xf>
    <xf numFmtId="39" fontId="47" fillId="16" borderId="39" applyAlignment="1" applyProtection="1" pivotButton="0" quotePrefix="0" xfId="0">
      <alignment horizontal="right" vertical="center"/>
      <protection locked="0" hidden="0"/>
    </xf>
    <xf numFmtId="39" fontId="47" fillId="16" borderId="25" applyAlignment="1" applyProtection="1" pivotButton="0" quotePrefix="0" xfId="0">
      <alignment horizontal="right" vertical="center"/>
      <protection locked="0" hidden="0"/>
    </xf>
    <xf numFmtId="39" fontId="47" fillId="16" borderId="54" applyAlignment="1" applyProtection="1" pivotButton="0" quotePrefix="0" xfId="0">
      <alignment horizontal="right" vertical="center"/>
      <protection locked="0" hidden="0"/>
    </xf>
    <xf numFmtId="37" fontId="10" fillId="15" borderId="30" applyAlignment="1" pivotButton="0" quotePrefix="0" xfId="0">
      <alignment horizontal="center" vertical="center"/>
    </xf>
    <xf numFmtId="0" fontId="10" fillId="0" borderId="8" applyAlignment="1" pivotButton="0" quotePrefix="0" xfId="0">
      <alignment horizontal="center" vertical="center"/>
    </xf>
    <xf numFmtId="0" fontId="11" fillId="0" borderId="25" applyAlignment="1" pivotButton="0" quotePrefix="0" xfId="0">
      <alignment horizontal="center" vertical="center"/>
    </xf>
    <xf numFmtId="0" fontId="11" fillId="15" borderId="39" applyAlignment="1" pivotButton="0" quotePrefix="0" xfId="0">
      <alignment horizontal="center" vertical="center" wrapText="1"/>
    </xf>
    <xf numFmtId="0" fontId="11" fillId="0" borderId="25" applyAlignment="1" pivotButton="0" quotePrefix="0" xfId="0">
      <alignment horizontal="center" vertical="center" wrapText="1"/>
    </xf>
    <xf numFmtId="0" fontId="11" fillId="0" borderId="54" applyAlignment="1" pivotButton="0" quotePrefix="0" xfId="0">
      <alignment horizontal="center" vertical="center" wrapText="1"/>
    </xf>
    <xf numFmtId="49" fontId="6" fillId="40" borderId="154" applyAlignment="1" applyProtection="1" pivotButton="0" quotePrefix="0" xfId="0">
      <alignment horizontal="center" vertical="top" wrapText="1"/>
      <protection locked="0" hidden="0"/>
    </xf>
    <xf numFmtId="49" fontId="0" fillId="40" borderId="154" applyAlignment="1" applyProtection="1" pivotButton="0" quotePrefix="0" xfId="0">
      <alignment horizontal="center" vertical="top" wrapText="1"/>
      <protection locked="0" hidden="0"/>
    </xf>
    <xf numFmtId="0" fontId="11" fillId="15" borderId="47" applyAlignment="1" pivotButton="0" quotePrefix="0" xfId="0">
      <alignment horizontal="center" vertical="center"/>
    </xf>
    <xf numFmtId="0" fontId="11" fillId="15" borderId="27" applyAlignment="1" pivotButton="0" quotePrefix="0" xfId="0">
      <alignment horizontal="center" vertical="center"/>
    </xf>
    <xf numFmtId="0" fontId="11" fillId="15" borderId="25" applyAlignment="1" pivotButton="0" quotePrefix="0" xfId="0">
      <alignment horizontal="center"/>
    </xf>
    <xf numFmtId="0" fontId="4" fillId="16" borderId="39" applyAlignment="1" applyProtection="1" pivotButton="0" quotePrefix="0" xfId="0">
      <alignment horizontal="left"/>
      <protection locked="0" hidden="0"/>
    </xf>
    <xf numFmtId="0" fontId="11" fillId="15" borderId="8" applyAlignment="1" pivotButton="0" quotePrefix="0" xfId="0">
      <alignment horizontal="center"/>
    </xf>
    <xf numFmtId="0" fontId="4" fillId="0" borderId="8" applyAlignment="1" pivotButton="0" quotePrefix="0" xfId="0">
      <alignment horizontal="center"/>
    </xf>
    <xf numFmtId="0" fontId="11" fillId="0" borderId="8" applyAlignment="1" pivotButton="0" quotePrefix="0" xfId="0">
      <alignment horizontal="center" vertical="center"/>
    </xf>
    <xf numFmtId="0" fontId="4" fillId="15" borderId="30"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4"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1" applyAlignment="1" pivotButton="0" quotePrefix="0" xfId="0">
      <alignment horizontal="center" vertical="center" wrapText="1"/>
    </xf>
    <xf numFmtId="0" fontId="15" fillId="16" borderId="39" applyAlignment="1" applyProtection="1" pivotButton="0" quotePrefix="0" xfId="0">
      <alignment horizontal="center"/>
      <protection locked="0" hidden="0"/>
    </xf>
    <xf numFmtId="0" fontId="47" fillId="0" borderId="25" applyAlignment="1" applyProtection="1" pivotButton="0" quotePrefix="0" xfId="0">
      <alignment horizontal="center"/>
      <protection locked="0" hidden="0"/>
    </xf>
    <xf numFmtId="0" fontId="47" fillId="0" borderId="54" applyAlignment="1" applyProtection="1" pivotButton="0" quotePrefix="0" xfId="0">
      <alignment horizontal="center"/>
      <protection locked="0" hidden="0"/>
    </xf>
    <xf numFmtId="0" fontId="4" fillId="15" borderId="39" applyAlignment="1" pivotButton="0" quotePrefix="0" xfId="0">
      <alignment horizontal="center"/>
    </xf>
    <xf numFmtId="0" fontId="4" fillId="15" borderId="25" applyAlignment="1" pivotButton="0" quotePrefix="0" xfId="0">
      <alignment horizontal="center"/>
    </xf>
    <xf numFmtId="0" fontId="4" fillId="15" borderId="54" applyAlignment="1" pivotButton="0" quotePrefix="0" xfId="0">
      <alignment horizontal="center"/>
    </xf>
    <xf numFmtId="0" fontId="47" fillId="15" borderId="8" applyAlignment="1" pivotButton="0" quotePrefix="0" xfId="0">
      <alignment horizontal="left" vertical="top" wrapText="1"/>
    </xf>
    <xf numFmtId="0" fontId="47" fillId="15" borderId="0" applyAlignment="1" pivotButton="0" quotePrefix="0" xfId="0">
      <alignment horizontal="left" vertical="top" wrapText="1"/>
    </xf>
    <xf numFmtId="0" fontId="47" fillId="15" borderId="1" applyAlignment="1" pivotButton="0" quotePrefix="0" xfId="0">
      <alignment horizontal="left" vertical="top" wrapText="1"/>
    </xf>
    <xf numFmtId="0" fontId="11" fillId="15" borderId="1" applyAlignment="1" pivotButton="0" quotePrefix="0" xfId="0">
      <alignment horizontal="center"/>
    </xf>
    <xf numFmtId="0" fontId="15" fillId="15" borderId="25" applyAlignment="1" pivotButton="0" quotePrefix="0" xfId="0">
      <alignment horizontal="center" vertical="center"/>
    </xf>
    <xf numFmtId="0" fontId="15" fillId="0" borderId="25" applyAlignment="1" pivotButton="0" quotePrefix="0" xfId="0">
      <alignment horizontal="center" vertical="center"/>
    </xf>
    <xf numFmtId="0" fontId="6" fillId="15" borderId="26" applyAlignment="1" pivotButton="0" quotePrefix="0" xfId="0">
      <alignment horizontal="center" vertical="center" wrapText="1"/>
    </xf>
    <xf numFmtId="0" fontId="11" fillId="15" borderId="0" applyAlignment="1" pivotButton="0" quotePrefix="0" xfId="0">
      <alignment vertical="top" wrapText="1"/>
    </xf>
    <xf numFmtId="0" fontId="14" fillId="0" borderId="0" applyAlignment="1" pivotButton="0" quotePrefix="0" xfId="0">
      <alignment wrapText="1"/>
    </xf>
    <xf numFmtId="0" fontId="14" fillId="0" borderId="20" applyAlignment="1" pivotButton="0" quotePrefix="0" xfId="0">
      <alignment wrapText="1"/>
    </xf>
    <xf numFmtId="0" fontId="91" fillId="15" borderId="80" applyAlignment="1" pivotButton="0" quotePrefix="0" xfId="0">
      <alignment horizontal="center" vertical="center" wrapText="1"/>
    </xf>
    <xf numFmtId="0" fontId="91" fillId="15" borderId="8" applyAlignment="1" pivotButton="0" quotePrefix="0" xfId="0">
      <alignment horizontal="center" vertical="center" wrapText="1"/>
    </xf>
    <xf numFmtId="0" fontId="91" fillId="15" borderId="5" applyAlignment="1" pivotButton="0" quotePrefix="0" xfId="0">
      <alignment horizontal="center" vertical="center" wrapText="1"/>
    </xf>
    <xf numFmtId="0" fontId="91" fillId="15" borderId="0" applyAlignment="1" pivotButton="0" quotePrefix="0" xfId="0">
      <alignment horizontal="center" vertical="center" wrapText="1"/>
    </xf>
    <xf numFmtId="0" fontId="0" fillId="0" borderId="20" applyAlignment="1" pivotButton="0" quotePrefix="0" xfId="0">
      <alignment horizontal="left" vertical="center" wrapText="1"/>
    </xf>
    <xf numFmtId="0" fontId="0" fillId="0" borderId="22" applyAlignment="1" pivotButton="0" quotePrefix="0" xfId="0">
      <alignment horizontal="left" vertical="center" wrapText="1"/>
    </xf>
    <xf numFmtId="0" fontId="6" fillId="0" borderId="0" applyAlignment="1" pivotButton="0" quotePrefix="0" xfId="0">
      <alignment horizontal="left" wrapText="1"/>
    </xf>
    <xf numFmtId="0" fontId="0" fillId="0" borderId="4" applyAlignment="1" pivotButton="0" quotePrefix="0" xfId="0">
      <alignment horizontal="left" wrapText="1"/>
    </xf>
    <xf numFmtId="0" fontId="11" fillId="15" borderId="4" applyAlignment="1" pivotButton="0" quotePrefix="0" xfId="0">
      <alignment horizontal="left" vertical="top"/>
    </xf>
    <xf numFmtId="0" fontId="9" fillId="15" borderId="56" applyAlignment="1" pivotButton="0" quotePrefix="0" xfId="0">
      <alignment wrapText="1"/>
    </xf>
    <xf numFmtId="0" fontId="9" fillId="0" borderId="7" applyAlignment="1" pivotButton="0" quotePrefix="0" xfId="0">
      <alignment wrapText="1"/>
    </xf>
    <xf numFmtId="176" fontId="44" fillId="27" borderId="3" applyAlignment="1" pivotButton="0" quotePrefix="0" xfId="0">
      <alignment horizontal="center"/>
    </xf>
    <xf numFmtId="176" fontId="0" fillId="0" borderId="0" applyAlignment="1" pivotButton="0" quotePrefix="0" xfId="0">
      <alignment horizontal="center"/>
    </xf>
    <xf numFmtId="176" fontId="0" fillId="0" borderId="9" applyAlignment="1" pivotButton="0" quotePrefix="0" xfId="0">
      <alignment horizontal="center"/>
    </xf>
    <xf numFmtId="176" fontId="0" fillId="0" borderId="1" applyAlignment="1" pivotButton="0" quotePrefix="0" xfId="0">
      <alignment horizontal="center"/>
    </xf>
    <xf numFmtId="0" fontId="20" fillId="15" borderId="0" applyAlignment="1" pivotButton="0" quotePrefix="0" xfId="0">
      <alignment vertical="center" wrapText="1"/>
    </xf>
    <xf numFmtId="0" fontId="74" fillId="0" borderId="0" applyAlignment="1" pivotButton="0" quotePrefix="0" xfId="0">
      <alignment vertical="center" wrapText="1"/>
    </xf>
    <xf numFmtId="0" fontId="74" fillId="0" borderId="20" applyAlignment="1" pivotButton="0" quotePrefix="0" xfId="0">
      <alignment vertical="center" wrapText="1"/>
    </xf>
    <xf numFmtId="0" fontId="6" fillId="0" borderId="8" applyAlignment="1" pivotButton="0" quotePrefix="0" xfId="0">
      <alignment horizontal="center"/>
    </xf>
    <xf numFmtId="39" fontId="6" fillId="16" borderId="31" applyProtection="1" pivotButton="0" quotePrefix="0" xfId="0">
      <protection locked="0" hidden="0"/>
    </xf>
    <xf numFmtId="0" fontId="20" fillId="15" borderId="4" applyAlignment="1" pivotButton="0" quotePrefix="0" xfId="0">
      <alignment horizontal="left"/>
    </xf>
    <xf numFmtId="0" fontId="20" fillId="15" borderId="0" applyAlignment="1" pivotButton="0" quotePrefix="0" xfId="0">
      <alignment horizontal="left" vertical="center" wrapText="1"/>
    </xf>
    <xf numFmtId="0" fontId="74" fillId="0" borderId="0" applyAlignment="1" pivotButton="0" quotePrefix="0" xfId="0">
      <alignment horizontal="left" vertical="center" wrapText="1"/>
    </xf>
    <xf numFmtId="0" fontId="74" fillId="0" borderId="20" applyAlignment="1" pivotButton="0" quotePrefix="0" xfId="0">
      <alignment horizontal="left" vertical="center" wrapText="1"/>
    </xf>
    <xf numFmtId="0" fontId="11" fillId="15" borderId="52" applyAlignment="1" pivotButton="0" quotePrefix="0" xfId="0">
      <alignment horizontal="center"/>
    </xf>
    <xf numFmtId="0" fontId="0" fillId="0" borderId="73" applyAlignment="1" pivotButton="0" quotePrefix="0" xfId="0">
      <alignment horizontal="center"/>
    </xf>
    <xf numFmtId="0" fontId="11" fillId="15" borderId="9" applyAlignment="1" pivotButton="0" quotePrefix="0" xfId="0">
      <alignment horizontal="center"/>
    </xf>
    <xf numFmtId="0" fontId="0" fillId="0" borderId="11" applyAlignment="1" pivotButton="0" quotePrefix="0" xfId="0">
      <alignment horizontal="center"/>
    </xf>
    <xf numFmtId="0" fontId="167" fillId="0" borderId="0" applyAlignment="1" pivotButton="0" quotePrefix="0" xfId="0">
      <alignment horizontal="left" vertical="center" wrapText="1"/>
    </xf>
    <xf numFmtId="0" fontId="167" fillId="0" borderId="0" applyAlignment="1" pivotButton="0" quotePrefix="0" xfId="0">
      <alignment horizontal="left" vertical="top" wrapText="1"/>
    </xf>
    <xf numFmtId="49" fontId="6" fillId="15" borderId="154" applyAlignment="1" applyProtection="1" pivotButton="0" quotePrefix="0" xfId="0">
      <alignment horizontal="center" vertical="top" wrapText="1"/>
      <protection locked="0" hidden="0"/>
    </xf>
    <xf numFmtId="0" fontId="73" fillId="15" borderId="1" applyAlignment="1" pivotButton="0" quotePrefix="0" xfId="0">
      <alignment horizontal="left"/>
    </xf>
    <xf numFmtId="0" fontId="213" fillId="23" borderId="0" applyAlignment="1" pivotButton="0" quotePrefix="0" xfId="0">
      <alignment horizontal="center"/>
    </xf>
    <xf numFmtId="0" fontId="15" fillId="15" borderId="39" applyAlignment="1" pivotButton="0" quotePrefix="0" xfId="0">
      <alignment horizontal="center" vertical="center"/>
    </xf>
    <xf numFmtId="0" fontId="15" fillId="15" borderId="54" applyAlignment="1" pivotButton="0" quotePrefix="0" xfId="0">
      <alignment horizontal="center" vertical="center"/>
    </xf>
    <xf numFmtId="37" fontId="4" fillId="16" borderId="12" applyAlignment="1" applyProtection="1" pivotButton="0" quotePrefix="0" xfId="0">
      <alignment horizontal="right" indent="1"/>
      <protection locked="0" hidden="0"/>
    </xf>
    <xf numFmtId="0" fontId="0" fillId="0" borderId="12" applyAlignment="1" applyProtection="1" pivotButton="0" quotePrefix="0" xfId="0">
      <alignment horizontal="right" indent="1"/>
      <protection locked="0" hidden="0"/>
    </xf>
    <xf numFmtId="0" fontId="15" fillId="15" borderId="52" applyAlignment="1" pivotButton="0" quotePrefix="0" xfId="0">
      <alignment horizontal="center" vertical="center"/>
    </xf>
    <xf numFmtId="0" fontId="15" fillId="15" borderId="73" applyAlignment="1" pivotButton="0" quotePrefix="0" xfId="0">
      <alignment horizontal="center" vertical="center"/>
    </xf>
    <xf numFmtId="37" fontId="4" fillId="16" borderId="51" applyAlignment="1" applyProtection="1" pivotButton="0" quotePrefix="0" xfId="0">
      <alignment horizontal="right" indent="1"/>
      <protection locked="0" hidden="0"/>
    </xf>
    <xf numFmtId="0" fontId="0" fillId="0" borderId="51" applyAlignment="1" applyProtection="1" pivotButton="0" quotePrefix="0" xfId="0">
      <alignment horizontal="right" indent="1"/>
      <protection locked="0" hidden="0"/>
    </xf>
    <xf numFmtId="0" fontId="0" fillId="15" borderId="11" applyAlignment="1" pivotButton="0" quotePrefix="0" xfId="0">
      <alignment horizontal="center"/>
    </xf>
    <xf numFmtId="0" fontId="4" fillId="0" borderId="14" applyAlignment="1" pivotButton="0" quotePrefix="0" xfId="0">
      <alignment horizontal="center"/>
    </xf>
    <xf numFmtId="49" fontId="6" fillId="15" borderId="154" applyAlignment="1" applyProtection="1" pivotButton="0" quotePrefix="0" xfId="0">
      <alignment horizontal="center" vertical="center" wrapText="1"/>
      <protection locked="0" hidden="0"/>
    </xf>
    <xf numFmtId="49" fontId="0" fillId="15" borderId="154" applyAlignment="1" applyProtection="1" pivotButton="0" quotePrefix="0" xfId="0">
      <alignment horizontal="center" vertical="center" wrapText="1"/>
      <protection locked="0" hidden="0"/>
    </xf>
    <xf numFmtId="0" fontId="6" fillId="3" borderId="0" pivotButton="0" quotePrefix="0" xfId="0"/>
    <xf numFmtId="0" fontId="6" fillId="0" borderId="0" pivotButton="0" quotePrefix="0" xfId="0"/>
    <xf numFmtId="0" fontId="47" fillId="14" borderId="0" pivotButton="0" quotePrefix="0" xfId="0"/>
    <xf numFmtId="0" fontId="47" fillId="15" borderId="0" pivotButton="0" quotePrefix="0" xfId="0"/>
    <xf numFmtId="0" fontId="47" fillId="3" borderId="0" pivotButton="0" quotePrefix="0" xfId="0"/>
    <xf numFmtId="0" fontId="4" fillId="3" borderId="3" applyAlignment="1" pivotButton="0" quotePrefix="0" xfId="0">
      <alignment horizontal="right" indent="1"/>
    </xf>
    <xf numFmtId="0" fontId="6" fillId="0" borderId="0" applyAlignment="1" pivotButton="0" quotePrefix="0" xfId="0">
      <alignment horizontal="right" indent="1"/>
    </xf>
    <xf numFmtId="0" fontId="0" fillId="0" borderId="11" applyAlignment="1" applyProtection="1" pivotButton="0" quotePrefix="0" xfId="0">
      <alignment horizontal="right"/>
      <protection locked="0" hidden="0"/>
    </xf>
    <xf numFmtId="0" fontId="9" fillId="3" borderId="30" applyAlignment="1" pivotButton="0" quotePrefix="0" xfId="0">
      <alignment horizontal="center"/>
    </xf>
    <xf numFmtId="0" fontId="0" fillId="0" borderId="8" applyAlignment="1" pivotButton="0" quotePrefix="0" xfId="0">
      <alignment horizontal="center"/>
    </xf>
    <xf numFmtId="0" fontId="0" fillId="0" borderId="14" applyAlignment="1" pivotButton="0" quotePrefix="0" xfId="0">
      <alignment horizontal="center"/>
    </xf>
    <xf numFmtId="0" fontId="12" fillId="20" borderId="87" applyAlignment="1" applyProtection="1" pivotButton="0" quotePrefix="0" xfId="0">
      <alignment horizontal="left"/>
      <protection locked="0" hidden="0"/>
    </xf>
    <xf numFmtId="0" fontId="12" fillId="0" borderId="87" applyAlignment="1" applyProtection="1" pivotButton="0" quotePrefix="0" xfId="0">
      <alignment horizontal="left"/>
      <protection locked="0" hidden="0"/>
    </xf>
    <xf numFmtId="0" fontId="12" fillId="0" borderId="91" applyAlignment="1" applyProtection="1" pivotButton="0" quotePrefix="0" xfId="0">
      <alignment horizontal="left"/>
      <protection locked="0" hidden="0"/>
    </xf>
    <xf numFmtId="0" fontId="9" fillId="14" borderId="30" applyAlignment="1" pivotButton="0" quotePrefix="0" xfId="0">
      <alignment horizontal="center"/>
    </xf>
    <xf numFmtId="37" fontId="9" fillId="26" borderId="3" applyAlignment="1" pivotButton="0" quotePrefix="0" xfId="0">
      <alignment horizontal="right"/>
    </xf>
    <xf numFmtId="37" fontId="9" fillId="26" borderId="0" applyAlignment="1" pivotButton="0" quotePrefix="0" xfId="0">
      <alignment horizontal="right"/>
    </xf>
    <xf numFmtId="37" fontId="0" fillId="27" borderId="0" applyAlignment="1" pivotButton="0" quotePrefix="0" xfId="0">
      <alignment horizontal="right"/>
    </xf>
    <xf numFmtId="0" fontId="8" fillId="3" borderId="0" pivotButton="0" quotePrefix="0" xfId="0"/>
    <xf numFmtId="0" fontId="134" fillId="3" borderId="30" pivotButton="0" quotePrefix="0" xfId="0"/>
    <xf numFmtId="0" fontId="110" fillId="0" borderId="8" pivotButton="0" quotePrefix="0" xfId="0"/>
    <xf numFmtId="0" fontId="49" fillId="9" borderId="34" applyAlignment="1" pivotButton="0" quotePrefix="0" xfId="0">
      <alignment horizontal="center"/>
    </xf>
    <xf numFmtId="0" fontId="47" fillId="0" borderId="34" applyAlignment="1" pivotButton="0" quotePrefix="0" xfId="0">
      <alignment horizontal="center"/>
    </xf>
    <xf numFmtId="37" fontId="8" fillId="28" borderId="1" applyAlignment="1" pivotButton="0" quotePrefix="0" xfId="0">
      <alignment horizontal="right"/>
    </xf>
    <xf numFmtId="37" fontId="9" fillId="20" borderId="52" applyAlignment="1" applyProtection="1" pivotButton="0" quotePrefix="0" xfId="0">
      <alignment horizontal="right"/>
      <protection locked="0" hidden="0"/>
    </xf>
    <xf numFmtId="37" fontId="9" fillId="20" borderId="31" applyAlignment="1" applyProtection="1" pivotButton="0" quotePrefix="0" xfId="0">
      <alignment horizontal="right"/>
      <protection locked="0" hidden="0"/>
    </xf>
    <xf numFmtId="37" fontId="0" fillId="0" borderId="31" applyAlignment="1" applyProtection="1" pivotButton="0" quotePrefix="0" xfId="0">
      <alignment horizontal="right"/>
      <protection locked="0" hidden="0"/>
    </xf>
    <xf numFmtId="37" fontId="9" fillId="26" borderId="47" applyAlignment="1" pivotButton="0" quotePrefix="0" xfId="0">
      <alignment horizontal="right"/>
    </xf>
    <xf numFmtId="37" fontId="9" fillId="26" borderId="27" applyAlignment="1" pivotButton="0" quotePrefix="0" xfId="0">
      <alignment horizontal="right"/>
    </xf>
    <xf numFmtId="37" fontId="0" fillId="27" borderId="27" applyAlignment="1" pivotButton="0" quotePrefix="0" xfId="0">
      <alignment horizontal="right"/>
    </xf>
    <xf numFmtId="0" fontId="47" fillId="3" borderId="0" applyAlignment="1" pivotButton="0" quotePrefix="0" xfId="0">
      <alignment horizontal="right"/>
    </xf>
    <xf numFmtId="37" fontId="9" fillId="26" borderId="1" applyAlignment="1" pivotButton="0" quotePrefix="0" xfId="0">
      <alignment horizontal="right"/>
    </xf>
    <xf numFmtId="0" fontId="4" fillId="3" borderId="15" applyAlignment="1" pivotButton="0" quotePrefix="0" xfId="0">
      <alignment horizontal="center"/>
    </xf>
    <xf numFmtId="0" fontId="6" fillId="0" borderId="6" applyAlignment="1" pivotButton="0" quotePrefix="0" xfId="0">
      <alignment horizontal="center"/>
    </xf>
    <xf numFmtId="49" fontId="11" fillId="20" borderId="3" applyAlignment="1" applyProtection="1" pivotButton="0" quotePrefix="0" xfId="0">
      <alignment horizontal="center" vertical="center"/>
      <protection locked="0" hidden="0"/>
    </xf>
    <xf numFmtId="0" fontId="14" fillId="0" borderId="35" applyAlignment="1" applyProtection="1" pivotButton="0" quotePrefix="0" xfId="0">
      <alignment horizontal="center" vertical="center"/>
      <protection locked="0" hidden="0"/>
    </xf>
    <xf numFmtId="49" fontId="4" fillId="14" borderId="100" applyAlignment="1" pivotButton="0" quotePrefix="0" xfId="0">
      <alignment horizontal="center" vertical="center"/>
    </xf>
    <xf numFmtId="0" fontId="0" fillId="15" borderId="101" applyAlignment="1" pivotButton="0" quotePrefix="0" xfId="0">
      <alignment horizontal="center" vertical="center"/>
    </xf>
    <xf numFmtId="49" fontId="11" fillId="20" borderId="103" applyAlignment="1" applyProtection="1" pivotButton="0" quotePrefix="0" xfId="0">
      <alignment horizontal="center" vertical="center"/>
      <protection locked="0" hidden="0"/>
    </xf>
    <xf numFmtId="0" fontId="14" fillId="0" borderId="18" applyAlignment="1" applyProtection="1" pivotButton="0" quotePrefix="0" xfId="0">
      <alignment horizontal="center" vertical="center"/>
      <protection locked="0" hidden="0"/>
    </xf>
    <xf numFmtId="49" fontId="11" fillId="20" borderId="104" applyAlignment="1" applyProtection="1" pivotButton="0" quotePrefix="0" xfId="0">
      <alignment horizontal="center" vertical="center"/>
      <protection locked="0" hidden="0"/>
    </xf>
    <xf numFmtId="0" fontId="14" fillId="0" borderId="105" applyAlignment="1" applyProtection="1" pivotButton="0" quotePrefix="0" xfId="0">
      <alignment horizontal="center" vertical="center"/>
      <protection locked="0" hidden="0"/>
    </xf>
    <xf numFmtId="49" fontId="11" fillId="20" borderId="6" applyAlignment="1" applyProtection="1" pivotButton="0" quotePrefix="0" xfId="0">
      <alignment horizontal="center" vertical="center"/>
      <protection locked="0" hidden="0"/>
    </xf>
    <xf numFmtId="0" fontId="14" fillId="0" borderId="10" applyAlignment="1" applyProtection="1" pivotButton="0" quotePrefix="0" xfId="0">
      <alignment vertical="center"/>
      <protection locked="0" hidden="0"/>
    </xf>
    <xf numFmtId="37" fontId="9" fillId="20" borderId="9" applyAlignment="1" applyProtection="1" pivotButton="0" quotePrefix="0" xfId="0">
      <alignment horizontal="center"/>
      <protection locked="0" hidden="0"/>
    </xf>
    <xf numFmtId="37" fontId="9" fillId="20" borderId="1" applyAlignment="1" applyProtection="1" pivotButton="0" quotePrefix="0" xfId="0">
      <alignment horizontal="center"/>
      <protection locked="0" hidden="0"/>
    </xf>
    <xf numFmtId="37" fontId="9" fillId="20" borderId="11" applyAlignment="1" applyProtection="1" pivotButton="0" quotePrefix="0" xfId="0">
      <alignment horizontal="center"/>
      <protection locked="0" hidden="0"/>
    </xf>
    <xf numFmtId="37" fontId="9" fillId="26" borderId="11" applyAlignment="1" pivotButton="0" quotePrefix="0" xfId="0">
      <alignment horizontal="right"/>
    </xf>
    <xf numFmtId="39" fontId="6" fillId="14" borderId="0" applyAlignment="1" pivotButton="0" quotePrefix="0" xfId="0">
      <alignment horizontal="left"/>
    </xf>
    <xf numFmtId="0" fontId="6" fillId="0" borderId="0" applyAlignment="1" pivotButton="0" quotePrefix="0" xfId="0">
      <alignment horizontal="left"/>
    </xf>
    <xf numFmtId="0" fontId="6" fillId="0" borderId="24" applyAlignment="1" pivotButton="0" quotePrefix="0" xfId="0">
      <alignment horizontal="left"/>
    </xf>
    <xf numFmtId="37" fontId="9" fillId="20" borderId="30" applyAlignment="1" applyProtection="1" pivotButton="0" quotePrefix="0" xfId="0">
      <alignment horizontal="right"/>
      <protection locked="0" hidden="0"/>
    </xf>
    <xf numFmtId="37" fontId="9" fillId="20" borderId="8" applyAlignment="1" applyProtection="1" pivotButton="0" quotePrefix="0" xfId="0">
      <alignment horizontal="right"/>
      <protection locked="0" hidden="0"/>
    </xf>
    <xf numFmtId="0" fontId="4" fillId="3" borderId="69" applyAlignment="1" pivotButton="0" quotePrefix="0" xfId="0">
      <alignment horizontal="right" indent="1"/>
    </xf>
    <xf numFmtId="0" fontId="6" fillId="0" borderId="4" applyAlignment="1" pivotButton="0" quotePrefix="0" xfId="0">
      <alignment horizontal="right" indent="1"/>
    </xf>
    <xf numFmtId="1" fontId="4" fillId="15" borderId="0" applyAlignment="1" pivotButton="0" quotePrefix="0" xfId="0">
      <alignment horizontal="center" wrapText="1"/>
    </xf>
    <xf numFmtId="0" fontId="85" fillId="3" borderId="0" applyAlignment="1" pivotButton="0" quotePrefix="0" xfId="0">
      <alignment horizontal="center" vertical="center"/>
    </xf>
    <xf numFmtId="0" fontId="104" fillId="3" borderId="212" applyAlignment="1" pivotButton="0" quotePrefix="0" xfId="0">
      <alignment horizontal="center" vertical="center"/>
    </xf>
    <xf numFmtId="0" fontId="133" fillId="0" borderId="8" pivotButton="0" quotePrefix="0" xfId="0"/>
    <xf numFmtId="0" fontId="10" fillId="3" borderId="100" applyAlignment="1" pivotButton="0" quotePrefix="0" xfId="0">
      <alignment horizontal="left" vertical="center" wrapText="1" indent="1"/>
    </xf>
    <xf numFmtId="0" fontId="0" fillId="0" borderId="0" applyAlignment="1" pivotButton="0" quotePrefix="0" xfId="0">
      <alignment horizontal="left" wrapText="1" indent="1"/>
    </xf>
    <xf numFmtId="0" fontId="0" fillId="0" borderId="100" applyAlignment="1" pivotButton="0" quotePrefix="0" xfId="0">
      <alignment horizontal="left" wrapText="1" indent="1"/>
    </xf>
    <xf numFmtId="0" fontId="0" fillId="0" borderId="72" applyAlignment="1" pivotButton="0" quotePrefix="0" xfId="0">
      <alignment horizontal="left" wrapText="1" indent="1"/>
    </xf>
    <xf numFmtId="0" fontId="0" fillId="0" borderId="13" applyAlignment="1" pivotButton="0" quotePrefix="0" xfId="0">
      <alignment horizontal="left" wrapText="1" indent="1"/>
    </xf>
    <xf numFmtId="0" fontId="4" fillId="20" borderId="1" applyAlignment="1" applyProtection="1" pivotButton="0" quotePrefix="0" xfId="0">
      <alignment horizontal="center"/>
      <protection locked="0" hidden="0"/>
    </xf>
    <xf numFmtId="0" fontId="0" fillId="0" borderId="1" applyAlignment="1" applyProtection="1" pivotButton="0" quotePrefix="0" xfId="0">
      <alignment horizontal="center"/>
      <protection locked="0" hidden="0"/>
    </xf>
    <xf numFmtId="0" fontId="0" fillId="0" borderId="0"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176" fontId="4" fillId="26" borderId="9" applyAlignment="1" pivotButton="0" quotePrefix="0" xfId="0">
      <alignment horizontal="center" vertical="center"/>
    </xf>
    <xf numFmtId="176" fontId="6" fillId="27" borderId="1" applyAlignment="1" pivotButton="0" quotePrefix="0" xfId="0">
      <alignment horizontal="center" vertical="center"/>
    </xf>
    <xf numFmtId="0" fontId="0" fillId="27" borderId="1" applyAlignment="1" pivotButton="0" quotePrefix="0" xfId="0">
      <alignment horizontal="center" vertical="center"/>
    </xf>
    <xf numFmtId="0" fontId="15" fillId="3" borderId="0" applyAlignment="1" pivotButton="0" quotePrefix="0" xfId="0">
      <alignment horizontal="left" vertical="center" wrapText="1"/>
    </xf>
    <xf numFmtId="0" fontId="47" fillId="0" borderId="75" applyAlignment="1" pivotButton="0" quotePrefix="0" xfId="0">
      <alignment horizontal="left" vertical="center"/>
    </xf>
    <xf numFmtId="0" fontId="47" fillId="0" borderId="0" applyAlignment="1" pivotButton="0" quotePrefix="0" xfId="0">
      <alignment horizontal="left" vertical="center"/>
    </xf>
    <xf numFmtId="0" fontId="11" fillId="16" borderId="209" applyAlignment="1" applyProtection="1" pivotButton="0" quotePrefix="0" xfId="0">
      <alignment horizontal="center" vertical="center"/>
      <protection locked="0" hidden="0"/>
    </xf>
    <xf numFmtId="0" fontId="11" fillId="16" borderId="210" applyAlignment="1" applyProtection="1" pivotButton="0" quotePrefix="0" xfId="0">
      <alignment horizontal="center" vertical="center"/>
      <protection locked="0" hidden="0"/>
    </xf>
    <xf numFmtId="0" fontId="4" fillId="20" borderId="0" applyAlignment="1" applyProtection="1" pivotButton="0" quotePrefix="0" xfId="0">
      <alignment horizontal="left"/>
      <protection locked="0" hidden="0"/>
    </xf>
    <xf numFmtId="0" fontId="4" fillId="20" borderId="75" applyAlignment="1" applyProtection="1" pivotButton="0" quotePrefix="0" xfId="0">
      <alignment horizontal="left"/>
      <protection locked="0" hidden="0"/>
    </xf>
    <xf numFmtId="0" fontId="4" fillId="20" borderId="96" applyAlignment="1" applyProtection="1" pivotButton="0" quotePrefix="0" xfId="0">
      <alignment horizontal="left"/>
      <protection locked="0" hidden="0"/>
    </xf>
    <xf numFmtId="0" fontId="16" fillId="3" borderId="0" applyAlignment="1" pivotButton="0" quotePrefix="0" xfId="0">
      <alignment horizontal="left" wrapText="1"/>
    </xf>
    <xf numFmtId="0" fontId="16" fillId="3" borderId="75" applyAlignment="1" pivotButton="0" quotePrefix="0" xfId="0">
      <alignment horizontal="left" wrapText="1"/>
    </xf>
    <xf numFmtId="0" fontId="16" fillId="3" borderId="13" applyAlignment="1" pivotButton="0" quotePrefix="0" xfId="0">
      <alignment horizontal="left" wrapText="1"/>
    </xf>
    <xf numFmtId="0" fontId="16" fillId="3" borderId="33" applyAlignment="1" pivotButton="0" quotePrefix="0" xfId="0">
      <alignment horizontal="left" wrapText="1"/>
    </xf>
    <xf numFmtId="3" fontId="8" fillId="3" borderId="0" applyAlignment="1" pivotButton="0" quotePrefix="0" xfId="0">
      <alignment horizontal="center"/>
    </xf>
    <xf numFmtId="37" fontId="0" fillId="0" borderId="11" applyAlignment="1" applyProtection="1" pivotButton="0" quotePrefix="0" xfId="0">
      <alignment horizontal="right"/>
      <protection locked="0" hidden="0"/>
    </xf>
    <xf numFmtId="0" fontId="14" fillId="0" borderId="175" applyAlignment="1" applyProtection="1" pivotButton="0" quotePrefix="0" xfId="0">
      <alignment horizontal="center" vertical="center"/>
      <protection locked="0" hidden="0"/>
    </xf>
    <xf numFmtId="39" fontId="15" fillId="3" borderId="9" applyAlignment="1" pivotButton="0" quotePrefix="0" xfId="0">
      <alignment horizontal="center"/>
    </xf>
    <xf numFmtId="39" fontId="15" fillId="3" borderId="11" applyAlignment="1" pivotButton="0" quotePrefix="0" xfId="0">
      <alignment horizontal="center"/>
    </xf>
    <xf numFmtId="39" fontId="4" fillId="3" borderId="9" applyAlignment="1" pivotButton="0" quotePrefix="0" xfId="0">
      <alignment horizontal="center"/>
    </xf>
    <xf numFmtId="39" fontId="4" fillId="3" borderId="11" applyAlignment="1" pivotButton="0" quotePrefix="0" xfId="0">
      <alignment horizontal="center"/>
    </xf>
    <xf numFmtId="0" fontId="12" fillId="20" borderId="201" applyAlignment="1" applyProtection="1" pivotButton="0" quotePrefix="0" xfId="0">
      <alignment horizontal="left"/>
      <protection locked="0" hidden="0"/>
    </xf>
    <xf numFmtId="0" fontId="12" fillId="0" borderId="201" applyAlignment="1" applyProtection="1" pivotButton="0" quotePrefix="0" xfId="0">
      <alignment horizontal="left"/>
      <protection locked="0" hidden="0"/>
    </xf>
    <xf numFmtId="0" fontId="12" fillId="0" borderId="202" applyAlignment="1" applyProtection="1" pivotButton="0" quotePrefix="0" xfId="0">
      <alignment horizontal="left"/>
      <protection locked="0" hidden="0"/>
    </xf>
    <xf numFmtId="0" fontId="75" fillId="9" borderId="34" applyAlignment="1" pivotButton="0" quotePrefix="0" xfId="0">
      <alignment horizontal="center" vertical="center"/>
    </xf>
    <xf numFmtId="0" fontId="75" fillId="9" borderId="27" applyAlignment="1" pivotButton="0" quotePrefix="0" xfId="0">
      <alignment horizontal="center"/>
    </xf>
    <xf numFmtId="0" fontId="14" fillId="0" borderId="27" applyAlignment="1" pivotButton="0" quotePrefix="0" xfId="0">
      <alignment horizontal="center"/>
    </xf>
    <xf numFmtId="0" fontId="75" fillId="9" borderId="25" applyAlignment="1" pivotButton="0" quotePrefix="0" xfId="0">
      <alignment horizontal="center"/>
    </xf>
    <xf numFmtId="0" fontId="14" fillId="0" borderId="25" applyAlignment="1" pivotButton="0" quotePrefix="0" xfId="0">
      <alignment horizontal="center"/>
    </xf>
    <xf numFmtId="0" fontId="10" fillId="14" borderId="101" applyAlignment="1" pivotButton="0" quotePrefix="0" xfId="0">
      <alignment horizontal="center" vertical="center"/>
    </xf>
    <xf numFmtId="0" fontId="10" fillId="14" borderId="1" applyAlignment="1" pivotButton="0" quotePrefix="0" xfId="0">
      <alignment horizontal="center" vertical="center"/>
    </xf>
    <xf numFmtId="0" fontId="47" fillId="14" borderId="0" applyAlignment="1" pivotButton="0" quotePrefix="0" xfId="0">
      <alignment horizontal="right"/>
    </xf>
    <xf numFmtId="0" fontId="47" fillId="14" borderId="0" applyAlignment="1" pivotButton="0" quotePrefix="0" xfId="0">
      <alignment horizontal="right" vertical="center"/>
    </xf>
    <xf numFmtId="37" fontId="9" fillId="20" borderId="39" applyAlignment="1" applyProtection="1" pivotButton="0" quotePrefix="0" xfId="0">
      <alignment horizontal="right"/>
      <protection locked="0" hidden="0"/>
    </xf>
    <xf numFmtId="37" fontId="4" fillId="0" borderId="25" applyAlignment="1" applyProtection="1" pivotButton="0" quotePrefix="0" xfId="0">
      <alignment horizontal="right"/>
      <protection locked="0" hidden="0"/>
    </xf>
    <xf numFmtId="37" fontId="4" fillId="0" borderId="54" applyAlignment="1" applyProtection="1" pivotButton="0" quotePrefix="0" xfId="0">
      <alignment horizontal="right"/>
      <protection locked="0" hidden="0"/>
    </xf>
    <xf numFmtId="0" fontId="4" fillId="3" borderId="30" applyAlignment="1" pivotButton="0" quotePrefix="0" xfId="0">
      <alignment horizontal="right" indent="1"/>
    </xf>
    <xf numFmtId="0" fontId="6" fillId="0" borderId="8" applyAlignment="1" pivotButton="0" quotePrefix="0" xfId="0">
      <alignment horizontal="right" indent="1"/>
    </xf>
    <xf numFmtId="0" fontId="67" fillId="11" borderId="59" applyAlignment="1" pivotButton="0" quotePrefix="0" xfId="2">
      <alignment horizontal="center" vertical="center" wrapText="1"/>
    </xf>
    <xf numFmtId="0" fontId="67" fillId="11" borderId="74" applyAlignment="1" pivotButton="0" quotePrefix="0" xfId="2">
      <alignment horizontal="center" vertical="center" wrapText="1"/>
    </xf>
    <xf numFmtId="0" fontId="67" fillId="11" borderId="60" applyAlignment="1" pivotButton="0" quotePrefix="0" xfId="2">
      <alignment horizontal="center" vertical="center" wrapText="1"/>
    </xf>
    <xf numFmtId="0" fontId="67" fillId="11" borderId="59" applyAlignment="1" pivotButton="0" quotePrefix="0" xfId="2">
      <alignment horizontal="center" vertical="center"/>
    </xf>
    <xf numFmtId="0" fontId="67" fillId="11" borderId="74" applyAlignment="1" pivotButton="0" quotePrefix="0" xfId="2">
      <alignment horizontal="center" vertical="center"/>
    </xf>
    <xf numFmtId="0" fontId="67" fillId="11" borderId="60" applyAlignment="1" pivotButton="0" quotePrefix="0" xfId="2">
      <alignment horizontal="center" vertical="center"/>
    </xf>
    <xf numFmtId="37" fontId="122" fillId="14" borderId="30" applyAlignment="1" applyProtection="1" pivotButton="0" quotePrefix="0" xfId="0">
      <alignment horizontal="right"/>
      <protection locked="1" hidden="1"/>
    </xf>
    <xf numFmtId="37" fontId="116" fillId="14" borderId="8" applyAlignment="1" applyProtection="1" pivotButton="0" quotePrefix="0" xfId="0">
      <alignment horizontal="right"/>
      <protection locked="1" hidden="1"/>
    </xf>
    <xf numFmtId="0" fontId="110" fillId="15" borderId="8" applyAlignment="1" applyProtection="1" pivotButton="0" quotePrefix="0" xfId="0">
      <alignment horizontal="right"/>
      <protection locked="1" hidden="1"/>
    </xf>
    <xf numFmtId="0" fontId="110" fillId="15" borderId="14" applyAlignment="1" applyProtection="1" pivotButton="0" quotePrefix="0" xfId="0">
      <alignment horizontal="right"/>
      <protection locked="1" hidden="1"/>
    </xf>
    <xf numFmtId="37" fontId="112" fillId="3" borderId="30" applyProtection="1" pivotButton="0" quotePrefix="0" xfId="0">
      <protection locked="1" hidden="1"/>
    </xf>
    <xf numFmtId="37" fontId="112" fillId="0" borderId="8" pivotButton="0" quotePrefix="0" xfId="0"/>
    <xf numFmtId="37" fontId="9" fillId="26" borderId="9" applyAlignment="1" applyProtection="1" pivotButton="0" quotePrefix="0" xfId="0">
      <alignment horizontal="right"/>
      <protection locked="1" hidden="1"/>
    </xf>
    <xf numFmtId="37" fontId="9" fillId="26" borderId="1" applyAlignment="1" applyProtection="1" pivotButton="0" quotePrefix="0" xfId="0">
      <alignment horizontal="right"/>
      <protection locked="1" hidden="1"/>
    </xf>
    <xf numFmtId="37" fontId="0" fillId="27" borderId="1" applyAlignment="1" applyProtection="1" pivotButton="0" quotePrefix="0" xfId="0">
      <alignment horizontal="right"/>
      <protection locked="1" hidden="1"/>
    </xf>
    <xf numFmtId="37" fontId="9" fillId="26" borderId="69" applyAlignment="1" applyProtection="1" pivotButton="0" quotePrefix="0" xfId="0">
      <alignment horizontal="right"/>
      <protection locked="1" hidden="1"/>
    </xf>
    <xf numFmtId="37" fontId="9" fillId="26" borderId="4" applyAlignment="1" applyProtection="1" pivotButton="0" quotePrefix="0" xfId="0">
      <alignment horizontal="right"/>
      <protection locked="1" hidden="1"/>
    </xf>
    <xf numFmtId="37" fontId="0" fillId="27" borderId="4" applyAlignment="1" applyProtection="1" pivotButton="0" quotePrefix="0" xfId="0">
      <alignment horizontal="right"/>
      <protection locked="1" hidden="1"/>
    </xf>
    <xf numFmtId="37" fontId="10" fillId="21" borderId="0" applyAlignment="1" applyProtection="1" pivotButton="0" quotePrefix="0" xfId="0">
      <alignment horizontal="right" vertical="center"/>
      <protection locked="0" hidden="0"/>
    </xf>
    <xf numFmtId="37" fontId="10" fillId="37" borderId="0" applyAlignment="1" applyProtection="1" pivotButton="0" quotePrefix="0" xfId="0">
      <alignment horizontal="right" vertical="center"/>
      <protection locked="0" hidden="0"/>
    </xf>
    <xf numFmtId="0" fontId="219" fillId="5" borderId="0" applyAlignment="1" applyProtection="1" pivotButton="0" quotePrefix="0" xfId="0">
      <alignment horizontal="center"/>
      <protection locked="1" hidden="1"/>
    </xf>
    <xf numFmtId="0" fontId="10" fillId="21" borderId="0" applyAlignment="1" applyProtection="1" pivotButton="0" quotePrefix="0" xfId="0">
      <alignment horizontal="center" vertical="center"/>
      <protection locked="0" hidden="0"/>
    </xf>
    <xf numFmtId="39" fontId="8" fillId="14" borderId="0" applyAlignment="1" applyProtection="1" pivotButton="0" quotePrefix="0" xfId="0">
      <alignment horizontal="center"/>
      <protection locked="1" hidden="1"/>
    </xf>
    <xf numFmtId="39" fontId="8" fillId="14" borderId="0" applyAlignment="1" applyProtection="1" pivotButton="0" quotePrefix="0" xfId="0">
      <alignment horizontal="left" vertical="top"/>
      <protection locked="1" hidden="1"/>
    </xf>
    <xf numFmtId="0" fontId="16" fillId="14" borderId="26" applyAlignment="1" applyProtection="1" pivotButton="0" quotePrefix="0" xfId="0">
      <alignment horizontal="center"/>
      <protection locked="1" hidden="1"/>
    </xf>
    <xf numFmtId="0" fontId="16" fillId="14" borderId="1" applyAlignment="1" applyProtection="1" pivotButton="0" quotePrefix="0" xfId="0">
      <alignment horizontal="center"/>
      <protection locked="1" hidden="1"/>
    </xf>
    <xf numFmtId="0" fontId="12" fillId="5" borderId="154" applyAlignment="1" applyProtection="1" pivotButton="0" quotePrefix="0" xfId="0">
      <alignment horizontal="center"/>
      <protection locked="1" hidden="1"/>
    </xf>
    <xf numFmtId="0" fontId="10" fillId="27" borderId="89" applyAlignment="1" applyProtection="1" pivotButton="0" quotePrefix="0" xfId="0">
      <alignment horizontal="center"/>
      <protection locked="1" hidden="1"/>
    </xf>
    <xf numFmtId="0" fontId="12" fillId="5" borderId="0" applyAlignment="1" applyProtection="1" pivotButton="0" quotePrefix="0" xfId="0">
      <alignment horizontal="center"/>
      <protection locked="1" hidden="1"/>
    </xf>
    <xf numFmtId="0" fontId="10" fillId="21" borderId="0" applyAlignment="1" applyProtection="1" pivotButton="0" quotePrefix="0" xfId="0">
      <alignment horizontal="center"/>
      <protection locked="1" hidden="1"/>
    </xf>
    <xf numFmtId="0" fontId="49" fillId="9" borderId="34" applyAlignment="1" applyProtection="1" pivotButton="0" quotePrefix="0" xfId="0">
      <alignment horizontal="center" vertical="center"/>
      <protection locked="1" hidden="1"/>
    </xf>
    <xf numFmtId="0" fontId="47" fillId="0" borderId="34" applyAlignment="1" pivotButton="0" quotePrefix="0" xfId="0">
      <alignment horizontal="center" vertical="center"/>
    </xf>
    <xf numFmtId="0" fontId="112" fillId="3" borderId="0" applyAlignment="1" applyProtection="1" pivotButton="0" quotePrefix="0" xfId="0">
      <alignment horizontal="center"/>
      <protection locked="1" hidden="1"/>
    </xf>
    <xf numFmtId="39" fontId="9" fillId="3" borderId="0" applyAlignment="1" applyProtection="1" pivotButton="0" quotePrefix="0" xfId="0">
      <alignment horizontal="center"/>
      <protection locked="1" hidden="1"/>
    </xf>
    <xf numFmtId="0" fontId="4" fillId="0" borderId="0" applyAlignment="1" pivotButton="0" quotePrefix="0" xfId="0">
      <alignment horizontal="center"/>
    </xf>
    <xf numFmtId="0" fontId="112" fillId="3" borderId="8" applyAlignment="1" applyProtection="1" pivotButton="0" quotePrefix="0" xfId="0">
      <alignment horizontal="center"/>
      <protection locked="1" hidden="1"/>
    </xf>
    <xf numFmtId="0" fontId="51" fillId="9" borderId="34" applyAlignment="1" applyProtection="1" pivotButton="0" quotePrefix="0" xfId="0">
      <alignment horizontal="center" vertical="center"/>
      <protection locked="1" hidden="1"/>
    </xf>
    <xf numFmtId="0" fontId="6" fillId="0" borderId="34" applyAlignment="1" pivotButton="0" quotePrefix="0" xfId="0">
      <alignment horizontal="center" vertical="center"/>
    </xf>
    <xf numFmtId="0" fontId="116" fillId="3" borderId="8" applyAlignment="1" applyProtection="1" pivotButton="0" quotePrefix="0" xfId="0">
      <alignment horizontal="center"/>
      <protection locked="1" hidden="1"/>
    </xf>
    <xf numFmtId="37" fontId="8" fillId="26" borderId="1" applyAlignment="1" applyProtection="1" pivotButton="0" quotePrefix="0" xfId="0">
      <alignment horizontal="right"/>
      <protection locked="1" hidden="1"/>
    </xf>
    <xf numFmtId="0" fontId="51" fillId="9" borderId="34" applyAlignment="1" applyProtection="1" pivotButton="0" quotePrefix="0" xfId="0">
      <alignment horizontal="center"/>
      <protection locked="1" hidden="1"/>
    </xf>
    <xf numFmtId="0" fontId="6" fillId="0" borderId="34" applyAlignment="1" pivotButton="0" quotePrefix="0" xfId="0">
      <alignment horizontal="center"/>
    </xf>
    <xf numFmtId="180" fontId="8" fillId="3" borderId="0" applyAlignment="1" applyProtection="1" pivotButton="0" quotePrefix="0" xfId="0">
      <alignment horizontal="left"/>
      <protection locked="1" hidden="1"/>
    </xf>
    <xf numFmtId="37" fontId="8" fillId="20" borderId="1" applyAlignment="1" applyProtection="1" pivotButton="0" quotePrefix="0" xfId="0">
      <alignment horizontal="right"/>
      <protection locked="0" hidden="0"/>
    </xf>
    <xf numFmtId="0" fontId="15" fillId="3" borderId="20" applyAlignment="1" applyProtection="1" pivotButton="0" quotePrefix="0" xfId="0">
      <alignment horizontal="left" vertical="center" wrapText="1"/>
      <protection locked="1" hidden="1"/>
    </xf>
    <xf numFmtId="0" fontId="15" fillId="3" borderId="102" applyAlignment="1" applyProtection="1" pivotButton="0" quotePrefix="0" xfId="0">
      <alignment horizontal="left" vertical="center" wrapText="1"/>
      <protection locked="1" hidden="1"/>
    </xf>
    <xf numFmtId="0" fontId="47" fillId="0" borderId="102" applyAlignment="1" pivotButton="0" quotePrefix="0" xfId="0">
      <alignment horizontal="left" vertical="center"/>
    </xf>
    <xf numFmtId="0" fontId="47" fillId="0" borderId="20" applyAlignment="1" pivotButton="0" quotePrefix="0" xfId="0">
      <alignment horizontal="left" vertical="center"/>
    </xf>
    <xf numFmtId="0" fontId="104" fillId="3" borderId="80" applyAlignment="1" applyProtection="1" pivotButton="0" quotePrefix="0" xfId="0">
      <alignment horizontal="center" vertical="center"/>
      <protection locked="1" hidden="1"/>
    </xf>
    <xf numFmtId="0" fontId="10" fillId="3" borderId="5" applyAlignment="1" applyProtection="1" pivotButton="0" quotePrefix="0" xfId="0">
      <alignment horizontal="left" vertical="center" wrapText="1" indent="1"/>
      <protection locked="1" hidden="1"/>
    </xf>
    <xf numFmtId="0" fontId="0" fillId="0" borderId="5" applyAlignment="1" pivotButton="0" quotePrefix="0" xfId="0">
      <alignment horizontal="left" wrapText="1" indent="1"/>
    </xf>
    <xf numFmtId="0" fontId="0" fillId="0" borderId="26" applyAlignment="1" pivotButton="0" quotePrefix="0" xfId="0">
      <alignment horizontal="left" wrapText="1" indent="1"/>
    </xf>
    <xf numFmtId="0" fontId="0" fillId="0" borderId="1" applyAlignment="1" pivotButton="0" quotePrefix="0" xfId="0">
      <alignment horizontal="left" wrapText="1" indent="1"/>
    </xf>
    <xf numFmtId="0" fontId="16" fillId="3" borderId="20" applyAlignment="1" applyProtection="1" pivotButton="0" quotePrefix="0" xfId="0">
      <alignment wrapText="1"/>
      <protection locked="1" hidden="1"/>
    </xf>
    <xf numFmtId="0" fontId="16" fillId="3" borderId="102" applyAlignment="1" applyProtection="1" pivotButton="0" quotePrefix="0" xfId="0">
      <alignment wrapText="1"/>
      <protection locked="1" hidden="1"/>
    </xf>
    <xf numFmtId="0" fontId="0" fillId="0" borderId="102" applyAlignment="1" pivotButton="0" quotePrefix="0" xfId="0">
      <alignment wrapText="1"/>
    </xf>
    <xf numFmtId="0" fontId="0" fillId="0" borderId="29" applyAlignment="1" pivotButton="0" quotePrefix="0" xfId="0">
      <alignment wrapText="1"/>
    </xf>
    <xf numFmtId="0" fontId="0" fillId="0" borderId="174" applyAlignment="1" pivotButton="0" quotePrefix="0" xfId="0">
      <alignment wrapText="1"/>
    </xf>
    <xf numFmtId="0" fontId="4" fillId="26" borderId="1" applyAlignment="1" applyProtection="1" pivotButton="0" quotePrefix="0" xfId="0">
      <alignment horizontal="left"/>
      <protection locked="1" hidden="1"/>
    </xf>
    <xf numFmtId="0" fontId="0" fillId="27" borderId="1" applyAlignment="1" applyProtection="1" pivotButton="0" quotePrefix="0" xfId="0">
      <alignment horizontal="left"/>
      <protection locked="1" hidden="1"/>
    </xf>
    <xf numFmtId="0" fontId="0" fillId="27" borderId="11" applyAlignment="1" applyProtection="1" pivotButton="0" quotePrefix="0" xfId="0">
      <alignment horizontal="left"/>
      <protection locked="1" hidden="1"/>
    </xf>
    <xf numFmtId="176" fontId="4" fillId="26" borderId="9" applyAlignment="1" applyProtection="1" pivotButton="0" quotePrefix="0" xfId="0">
      <alignment horizontal="center" vertical="center"/>
      <protection locked="1" hidden="1"/>
    </xf>
    <xf numFmtId="176" fontId="6" fillId="27" borderId="1" applyAlignment="1" applyProtection="1" pivotButton="0" quotePrefix="0" xfId="0">
      <alignment horizontal="center" vertical="center"/>
      <protection locked="1" hidden="1"/>
    </xf>
    <xf numFmtId="0" fontId="0" fillId="27" borderId="1" applyAlignment="1" applyProtection="1" pivotButton="0" quotePrefix="0" xfId="0">
      <alignment horizontal="center" vertical="center"/>
      <protection locked="1" hidden="1"/>
    </xf>
    <xf numFmtId="0" fontId="16" fillId="3" borderId="0" applyAlignment="1" applyProtection="1" pivotButton="0" quotePrefix="0" xfId="0">
      <alignment horizontal="left" wrapText="1"/>
      <protection locked="1" hidden="1"/>
    </xf>
    <xf numFmtId="0" fontId="16" fillId="3" borderId="20" applyAlignment="1" applyProtection="1" pivotButton="0" quotePrefix="0" xfId="0">
      <alignment horizontal="left" wrapText="1"/>
      <protection locked="1" hidden="1"/>
    </xf>
    <xf numFmtId="0" fontId="12" fillId="15" borderId="5" applyAlignment="1" pivotButton="0" quotePrefix="0" xfId="0">
      <alignment horizontal="center" vertical="center"/>
    </xf>
    <xf numFmtId="0" fontId="12" fillId="15" borderId="0" applyAlignment="1" pivotButton="0" quotePrefix="0" xfId="0">
      <alignment horizontal="center" vertical="center"/>
    </xf>
    <xf numFmtId="0" fontId="12" fillId="15" borderId="20" applyAlignment="1" pivotButton="0" quotePrefix="0" xfId="0">
      <alignment horizontal="center" vertical="center"/>
    </xf>
    <xf numFmtId="0" fontId="20" fillId="3" borderId="5" applyAlignment="1" applyProtection="1" pivotButton="0" quotePrefix="0" xfId="0">
      <alignment horizontal="center" vertical="top"/>
      <protection locked="1" hidden="1"/>
    </xf>
    <xf numFmtId="0" fontId="20" fillId="3" borderId="0" applyAlignment="1" applyProtection="1" pivotButton="0" quotePrefix="0" xfId="0">
      <alignment horizontal="center" vertical="top"/>
      <protection locked="1" hidden="1"/>
    </xf>
    <xf numFmtId="0" fontId="20" fillId="3" borderId="20" applyAlignment="1" applyProtection="1" pivotButton="0" quotePrefix="0" xfId="0">
      <alignment horizontal="center" vertical="top"/>
      <protection locked="1" hidden="1"/>
    </xf>
    <xf numFmtId="0" fontId="12" fillId="15" borderId="5" applyAlignment="1" pivotButton="0" quotePrefix="0" xfId="0">
      <alignment horizontal="center"/>
    </xf>
    <xf numFmtId="0" fontId="12" fillId="15" borderId="0" applyAlignment="1" pivotButton="0" quotePrefix="0" xfId="0">
      <alignment horizontal="center"/>
    </xf>
    <xf numFmtId="0" fontId="12" fillId="15" borderId="20" applyAlignment="1" pivotButton="0" quotePrefix="0" xfId="0">
      <alignment horizontal="center"/>
    </xf>
    <xf numFmtId="0" fontId="10" fillId="2" borderId="0" applyAlignment="1" pivotButton="0" quotePrefix="0" xfId="0">
      <alignment horizontal="left" vertical="top" wrapText="1"/>
    </xf>
    <xf numFmtId="0" fontId="10" fillId="2" borderId="24" applyAlignment="1" pivotButton="0" quotePrefix="0" xfId="0">
      <alignment horizontal="left" vertical="top" wrapText="1"/>
    </xf>
    <xf numFmtId="0" fontId="10" fillId="2" borderId="4" applyAlignment="1" pivotButton="0" quotePrefix="0" xfId="0">
      <alignment horizontal="left" vertical="top" wrapText="1"/>
    </xf>
    <xf numFmtId="0" fontId="10" fillId="2" borderId="70" applyAlignment="1" pivotButton="0" quotePrefix="0" xfId="0">
      <alignment horizontal="left" vertical="top" wrapText="1"/>
    </xf>
    <xf numFmtId="0" fontId="199" fillId="2" borderId="0" applyAlignment="1" pivotButton="0" quotePrefix="0" xfId="0">
      <alignment horizontal="center"/>
    </xf>
    <xf numFmtId="0" fontId="199" fillId="2" borderId="24" applyAlignment="1" pivotButton="0" quotePrefix="0" xfId="0">
      <alignment horizontal="center"/>
    </xf>
    <xf numFmtId="37" fontId="0" fillId="27" borderId="69" applyAlignment="1" pivotButton="0" quotePrefix="0" xfId="0">
      <alignment vertical="center"/>
    </xf>
    <xf numFmtId="37" fontId="0" fillId="27" borderId="4" applyAlignment="1" pivotButton="0" quotePrefix="0" xfId="0">
      <alignment vertical="center"/>
    </xf>
    <xf numFmtId="37" fontId="0" fillId="27" borderId="9" applyAlignment="1" pivotButton="0" quotePrefix="0" xfId="0">
      <alignment vertical="center"/>
    </xf>
    <xf numFmtId="37" fontId="0" fillId="27" borderId="1" applyAlignment="1" pivotButton="0" quotePrefix="0" xfId="0">
      <alignment vertical="center"/>
    </xf>
    <xf numFmtId="0" fontId="110" fillId="2" borderId="0" applyAlignment="1" pivotButton="0" quotePrefix="0" xfId="0">
      <alignment horizontal="center"/>
    </xf>
    <xf numFmtId="37" fontId="110" fillId="2" borderId="3" applyAlignment="1" pivotButton="0" quotePrefix="0" xfId="0">
      <alignment horizontal="right"/>
    </xf>
    <xf numFmtId="37" fontId="110" fillId="2" borderId="0" applyAlignment="1" pivotButton="0" quotePrefix="0" xfId="0">
      <alignment horizontal="right"/>
    </xf>
    <xf numFmtId="0" fontId="0" fillId="5" borderId="30" pivotButton="0" quotePrefix="0" xfId="0"/>
    <xf numFmtId="0" fontId="10" fillId="2" borderId="0" applyAlignment="1" pivotButton="0" quotePrefix="0" xfId="0">
      <alignment horizontal="left" wrapText="1"/>
    </xf>
    <xf numFmtId="37" fontId="0" fillId="27" borderId="69" applyAlignment="1" pivotButton="0" quotePrefix="0" xfId="0">
      <alignment horizontal="right" vertical="center"/>
    </xf>
    <xf numFmtId="37" fontId="0" fillId="27" borderId="4" applyAlignment="1" pivotButton="0" quotePrefix="0" xfId="0">
      <alignment horizontal="right" vertical="center"/>
    </xf>
    <xf numFmtId="37" fontId="0" fillId="27" borderId="70" applyAlignment="1" pivotButton="0" quotePrefix="0" xfId="0">
      <alignment horizontal="right" vertical="center"/>
    </xf>
    <xf numFmtId="0" fontId="0" fillId="5" borderId="69" pivotButton="0" quotePrefix="0" xfId="0"/>
    <xf numFmtId="0" fontId="0" fillId="0" borderId="4" pivotButton="0" quotePrefix="0" xfId="0"/>
    <xf numFmtId="3" fontId="260" fillId="2" borderId="9" applyAlignment="1" pivotButton="0" quotePrefix="0" xfId="0">
      <alignment horizontal="right" vertical="center" indent="1"/>
    </xf>
    <xf numFmtId="0" fontId="260" fillId="0" borderId="1" applyAlignment="1" pivotButton="0" quotePrefix="0" xfId="0">
      <alignment horizontal="right" vertical="center" indent="1"/>
    </xf>
    <xf numFmtId="37" fontId="0" fillId="16" borderId="9" applyAlignment="1" applyProtection="1" pivotButton="0" quotePrefix="0" xfId="0">
      <alignment vertical="center"/>
      <protection locked="0" hidden="0"/>
    </xf>
    <xf numFmtId="37" fontId="0" fillId="16" borderId="1" applyAlignment="1" applyProtection="1" pivotButton="0" quotePrefix="0" xfId="0">
      <alignment vertical="center"/>
      <protection locked="0" hidden="0"/>
    </xf>
    <xf numFmtId="0" fontId="0" fillId="2" borderId="0" applyAlignment="1" pivotButton="0" quotePrefix="0" xfId="0">
      <alignment horizontal="center" vertical="center"/>
    </xf>
    <xf numFmtId="0" fontId="44" fillId="2" borderId="5" applyAlignment="1" pivotButton="0" quotePrefix="0" xfId="0">
      <alignment horizontal="center" vertical="top"/>
    </xf>
    <xf numFmtId="0" fontId="120" fillId="0" borderId="0" applyAlignment="1" pivotButton="0" quotePrefix="0" xfId="0">
      <alignment horizontal="center" vertical="top"/>
    </xf>
    <xf numFmtId="0" fontId="120" fillId="0" borderId="20" applyAlignment="1" pivotButton="0" quotePrefix="0" xfId="0">
      <alignment horizontal="center" vertical="top"/>
    </xf>
    <xf numFmtId="0" fontId="110" fillId="2" borderId="24" applyAlignment="1" pivotButton="0" quotePrefix="0" xfId="0">
      <alignment horizontal="center"/>
    </xf>
    <xf numFmtId="3" fontId="0" fillId="27" borderId="9" applyAlignment="1" pivotButton="0" quotePrefix="0" xfId="0">
      <alignment vertical="center"/>
    </xf>
    <xf numFmtId="0" fontId="0" fillId="27" borderId="1" applyAlignment="1" pivotButton="0" quotePrefix="0" xfId="0">
      <alignment vertical="center"/>
    </xf>
    <xf numFmtId="0" fontId="4" fillId="5" borderId="0" applyAlignment="1" pivotButton="0" quotePrefix="0" xfId="0">
      <alignment horizontal="center" vertical="center"/>
    </xf>
    <xf numFmtId="37" fontId="0" fillId="27" borderId="9" applyAlignment="1" pivotButton="0" quotePrefix="0" xfId="0">
      <alignment horizontal="right" vertical="center"/>
    </xf>
    <xf numFmtId="37" fontId="0" fillId="27" borderId="1" applyAlignment="1" pivotButton="0" quotePrefix="0" xfId="0">
      <alignment horizontal="right" vertical="center"/>
    </xf>
    <xf numFmtId="37" fontId="0" fillId="27" borderId="11" applyAlignment="1" pivotButton="0" quotePrefix="0" xfId="0">
      <alignment horizontal="right" vertical="center"/>
    </xf>
    <xf numFmtId="37" fontId="0" fillId="16" borderId="9" applyAlignment="1" applyProtection="1" pivotButton="0" quotePrefix="0" xfId="0">
      <alignment horizontal="right" vertical="center"/>
      <protection locked="0" hidden="0"/>
    </xf>
    <xf numFmtId="37" fontId="0" fillId="16" borderId="1" applyAlignment="1" applyProtection="1" pivotButton="0" quotePrefix="0" xfId="0">
      <alignment horizontal="right" vertical="center"/>
      <protection locked="0" hidden="0"/>
    </xf>
    <xf numFmtId="37" fontId="0" fillId="16" borderId="11" applyAlignment="1" applyProtection="1" pivotButton="0" quotePrefix="0" xfId="0">
      <alignment horizontal="right" vertical="center"/>
      <protection locked="0" hidden="0"/>
    </xf>
    <xf numFmtId="0" fontId="10" fillId="11" borderId="8" applyAlignment="1" pivotButton="0" quotePrefix="0" xfId="0">
      <alignment horizontal="center" wrapText="1"/>
    </xf>
    <xf numFmtId="0" fontId="0" fillId="0" borderId="1" applyAlignment="1" pivotButton="0" quotePrefix="0" xfId="0">
      <alignment horizontal="center" wrapText="1"/>
    </xf>
    <xf numFmtId="0" fontId="199" fillId="2" borderId="3" applyAlignment="1" pivotButton="0" quotePrefix="0" xfId="0">
      <alignment horizontal="center" vertical="top"/>
    </xf>
    <xf numFmtId="0" fontId="199" fillId="2" borderId="0" applyAlignment="1" pivotButton="0" quotePrefix="0" xfId="0">
      <alignment horizontal="center" vertical="top"/>
    </xf>
    <xf numFmtId="0" fontId="199" fillId="2" borderId="24" applyAlignment="1" pivotButton="0" quotePrefix="0" xfId="0">
      <alignment horizontal="center" vertical="top"/>
    </xf>
    <xf numFmtId="3" fontId="109" fillId="2" borderId="3" applyAlignment="1" pivotButton="0" quotePrefix="0" xfId="0">
      <alignment horizontal="center"/>
    </xf>
    <xf numFmtId="3" fontId="109" fillId="2" borderId="0" applyAlignment="1" pivotButton="0" quotePrefix="0" xfId="0">
      <alignment horizontal="center"/>
    </xf>
    <xf numFmtId="0" fontId="0" fillId="2" borderId="0" applyAlignment="1" pivotButton="0" quotePrefix="0" xfId="0">
      <alignment horizontal="center"/>
    </xf>
    <xf numFmtId="0" fontId="0" fillId="2" borderId="24" applyAlignment="1" pivotButton="0" quotePrefix="0" xfId="0">
      <alignment horizontal="center"/>
    </xf>
    <xf numFmtId="0" fontId="223" fillId="31" borderId="1" applyAlignment="1" pivotButton="0" quotePrefix="0" xfId="0">
      <alignment horizontal="center" vertical="center"/>
    </xf>
    <xf numFmtId="0" fontId="10" fillId="2" borderId="56" applyAlignment="1" pivotButton="0" quotePrefix="0" xfId="0">
      <alignment horizontal="center" vertical="center" wrapText="1"/>
    </xf>
    <xf numFmtId="0" fontId="10" fillId="2" borderId="7" applyAlignment="1" pivotButton="0" quotePrefix="0" xfId="0">
      <alignment horizontal="center" vertical="center" wrapText="1"/>
    </xf>
    <xf numFmtId="0" fontId="10" fillId="2" borderId="36" applyAlignment="1" pivotButton="0" quotePrefix="0" xfId="0">
      <alignment horizontal="center" vertical="center" wrapText="1"/>
    </xf>
    <xf numFmtId="0" fontId="10" fillId="2" borderId="9" applyAlignment="1" pivotButton="0" quotePrefix="0" xfId="0">
      <alignment horizontal="center" vertical="center" wrapText="1"/>
    </xf>
    <xf numFmtId="0" fontId="10" fillId="2" borderId="1" applyAlignment="1" pivotButton="0" quotePrefix="0" xfId="0">
      <alignment horizontal="center" vertical="center" wrapText="1"/>
    </xf>
    <xf numFmtId="0" fontId="10" fillId="2" borderId="11" applyAlignment="1" pivotButton="0" quotePrefix="0" xfId="0">
      <alignment horizontal="center" vertical="center" wrapText="1"/>
    </xf>
    <xf numFmtId="0" fontId="11" fillId="27" borderId="1" applyAlignment="1" pivotButton="0" quotePrefix="0" xfId="0">
      <alignment horizontal="left"/>
    </xf>
    <xf numFmtId="0" fontId="10" fillId="2" borderId="7" applyAlignment="1" pivotButton="0" quotePrefix="0" xfId="0">
      <alignment horizontal="left"/>
    </xf>
    <xf numFmtId="0" fontId="10" fillId="2" borderId="0" applyAlignment="1" pivotButton="0" quotePrefix="0" xfId="0">
      <alignment horizontal="center"/>
    </xf>
    <xf numFmtId="0" fontId="10" fillId="2" borderId="20" applyAlignment="1" pivotButton="0" quotePrefix="0" xfId="0">
      <alignment horizontal="center"/>
    </xf>
    <xf numFmtId="0" fontId="9" fillId="2" borderId="5" applyAlignment="1" pivotButton="0" quotePrefix="0" xfId="0">
      <alignment horizontal="center"/>
    </xf>
    <xf numFmtId="0" fontId="10" fillId="2" borderId="4" applyAlignment="1" pivotButton="0" quotePrefix="0" xfId="0">
      <alignment horizontal="center" vertical="top"/>
    </xf>
    <xf numFmtId="0" fontId="10" fillId="2" borderId="22" applyAlignment="1" pivotButton="0" quotePrefix="0" xfId="0">
      <alignment horizontal="center" vertical="top"/>
    </xf>
    <xf numFmtId="0" fontId="9" fillId="0" borderId="0" applyAlignment="1" pivotButton="0" quotePrefix="0" xfId="0">
      <alignment horizontal="center"/>
    </xf>
    <xf numFmtId="0" fontId="9" fillId="0" borderId="20" applyAlignment="1" pivotButton="0" quotePrefix="0" xfId="0">
      <alignment horizontal="center"/>
    </xf>
    <xf numFmtId="0" fontId="20" fillId="2" borderId="0" applyAlignment="1" pivotButton="0" quotePrefix="0" xfId="0">
      <alignment horizontal="left"/>
    </xf>
    <xf numFmtId="0" fontId="74" fillId="0" borderId="0" applyAlignment="1" pivotButton="0" quotePrefix="0" xfId="0">
      <alignment horizontal="left"/>
    </xf>
    <xf numFmtId="0" fontId="74" fillId="0" borderId="20" applyAlignment="1" pivotButton="0" quotePrefix="0" xfId="0">
      <alignment horizontal="left"/>
    </xf>
    <xf numFmtId="0" fontId="258" fillId="2" borderId="0" applyAlignment="1" pivotButton="0" quotePrefix="0" xfId="0">
      <alignment horizontal="left" vertical="top"/>
    </xf>
    <xf numFmtId="0" fontId="258" fillId="2" borderId="20" applyAlignment="1" pivotButton="0" quotePrefix="0" xfId="0">
      <alignment horizontal="left" vertical="top"/>
    </xf>
    <xf numFmtId="0" fontId="158" fillId="17" borderId="0" applyAlignment="1" pivotButton="0" quotePrefix="0" xfId="0">
      <alignment horizontal="center" vertical="center" wrapText="1"/>
    </xf>
    <xf numFmtId="0" fontId="106" fillId="15" borderId="0" applyAlignment="1" pivotButton="0" quotePrefix="0" xfId="0">
      <alignment horizontal="center" vertical="center" wrapText="1"/>
    </xf>
    <xf numFmtId="176" fontId="15" fillId="27" borderId="56" applyAlignment="1" pivotButton="0" quotePrefix="0" xfId="0">
      <alignment horizontal="center" vertical="center"/>
    </xf>
    <xf numFmtId="176" fontId="15" fillId="27" borderId="7" applyAlignment="1" pivotButton="0" quotePrefix="0" xfId="0">
      <alignment horizontal="center" vertical="center"/>
    </xf>
    <xf numFmtId="176" fontId="15" fillId="27" borderId="9" applyAlignment="1" pivotButton="0" quotePrefix="0" xfId="0">
      <alignment horizontal="center" vertical="center"/>
    </xf>
    <xf numFmtId="176" fontId="15" fillId="27" borderId="1" applyAlignment="1" pivotButton="0" quotePrefix="0" xfId="0">
      <alignment horizontal="center" vertical="center"/>
    </xf>
    <xf numFmtId="178" fontId="116" fillId="15" borderId="0" applyAlignment="1" applyProtection="1" pivotButton="0" quotePrefix="0" xfId="0">
      <alignment horizontal="right" vertical="center"/>
      <protection locked="0" hidden="0"/>
    </xf>
    <xf numFmtId="0" fontId="207" fillId="8" borderId="7" applyAlignment="1" pivotButton="0" quotePrefix="0" xfId="0">
      <alignment horizontal="center" vertical="center" wrapText="1"/>
    </xf>
    <xf numFmtId="0" fontId="207" fillId="8" borderId="4" applyAlignment="1" pivotButton="0" quotePrefix="0" xfId="0">
      <alignment horizontal="center" vertical="center" wrapText="1"/>
    </xf>
    <xf numFmtId="0" fontId="207" fillId="8" borderId="0" applyAlignment="1" pivotButton="0" quotePrefix="0" xfId="0">
      <alignment horizontal="center" vertical="center" wrapText="1"/>
    </xf>
    <xf numFmtId="0" fontId="6" fillId="2" borderId="0" applyAlignment="1" pivotButton="0" quotePrefix="0" xfId="0">
      <alignment horizontal="left" wrapText="1"/>
    </xf>
    <xf numFmtId="0" fontId="6" fillId="2" borderId="4" applyAlignment="1" pivotButton="0" quotePrefix="0" xfId="0">
      <alignment horizontal="left" wrapText="1"/>
    </xf>
    <xf numFmtId="0" fontId="10" fillId="2" borderId="1" applyAlignment="1" pivotButton="0" quotePrefix="0" xfId="0">
      <alignment horizontal="center"/>
    </xf>
    <xf numFmtId="0" fontId="10" fillId="0" borderId="1" pivotButton="0" quotePrefix="0" xfId="0"/>
    <xf numFmtId="0" fontId="72" fillId="2" borderId="8" applyAlignment="1" pivotButton="0" quotePrefix="0" xfId="0">
      <alignment horizontal="center" vertical="center"/>
    </xf>
    <xf numFmtId="37" fontId="110" fillId="2" borderId="30" applyAlignment="1" pivotButton="0" quotePrefix="0" xfId="0">
      <alignment horizontal="right"/>
    </xf>
    <xf numFmtId="37" fontId="110" fillId="2" borderId="8" applyAlignment="1" pivotButton="0" quotePrefix="0" xfId="0">
      <alignment horizontal="right"/>
    </xf>
    <xf numFmtId="0" fontId="110" fillId="15" borderId="0" applyAlignment="1" pivotButton="0" quotePrefix="0" xfId="0">
      <alignment horizontal="center"/>
    </xf>
    <xf numFmtId="0" fontId="110" fillId="15" borderId="5" applyAlignment="1" pivotButton="0" quotePrefix="0" xfId="0">
      <alignment horizontal="center"/>
    </xf>
    <xf numFmtId="0" fontId="199" fillId="2" borderId="3" applyAlignment="1" pivotButton="0" quotePrefix="0" xfId="0">
      <alignment horizontal="center" vertical="center"/>
    </xf>
    <xf numFmtId="0" fontId="199" fillId="2" borderId="0" applyAlignment="1" pivotButton="0" quotePrefix="0" xfId="0">
      <alignment horizontal="center" vertical="center"/>
    </xf>
    <xf numFmtId="0" fontId="199" fillId="2" borderId="24" applyAlignment="1" pivotButton="0" quotePrefix="0" xfId="0">
      <alignment horizontal="center" vertical="center"/>
    </xf>
    <xf numFmtId="3" fontId="109" fillId="2" borderId="30" applyAlignment="1" pivotButton="0" quotePrefix="0" xfId="0">
      <alignment horizontal="center"/>
    </xf>
    <xf numFmtId="3" fontId="109" fillId="2" borderId="8" applyAlignment="1" pivotButton="0" quotePrefix="0" xfId="0">
      <alignment horizontal="center"/>
    </xf>
    <xf numFmtId="0" fontId="8" fillId="2" borderId="3" pivotButton="0" quotePrefix="0" xfId="0"/>
    <xf numFmtId="0" fontId="8" fillId="2" borderId="0" pivotButton="0" quotePrefix="0" xfId="0"/>
    <xf numFmtId="0" fontId="110" fillId="2" borderId="30" pivotButton="0" quotePrefix="0" xfId="0"/>
    <xf numFmtId="37" fontId="6" fillId="27" borderId="9" applyAlignment="1" pivotButton="0" quotePrefix="0" xfId="0">
      <alignment vertical="center"/>
    </xf>
    <xf numFmtId="37" fontId="6" fillId="27" borderId="1" applyAlignment="1" pivotButton="0" quotePrefix="0" xfId="0">
      <alignment vertical="center"/>
    </xf>
    <xf numFmtId="0" fontId="146" fillId="2" borderId="3" applyAlignment="1" pivotButton="0" quotePrefix="0" xfId="0">
      <alignment horizontal="center"/>
    </xf>
    <xf numFmtId="0" fontId="146" fillId="2" borderId="0" applyAlignment="1" pivotButton="0" quotePrefix="0" xfId="0">
      <alignment horizontal="center"/>
    </xf>
    <xf numFmtId="0" fontId="146" fillId="2" borderId="24" applyAlignment="1" pivotButton="0" quotePrefix="0" xfId="0">
      <alignment horizontal="center"/>
    </xf>
    <xf numFmtId="37" fontId="0" fillId="16" borderId="52" applyAlignment="1" applyProtection="1" pivotButton="0" quotePrefix="0" xfId="0">
      <alignment horizontal="right" vertical="center"/>
      <protection locked="0" hidden="0"/>
    </xf>
    <xf numFmtId="37" fontId="0" fillId="16" borderId="31" applyAlignment="1" applyProtection="1" pivotButton="0" quotePrefix="0" xfId="0">
      <alignment horizontal="right" vertical="center"/>
      <protection locked="0" hidden="0"/>
    </xf>
    <xf numFmtId="37" fontId="0" fillId="16" borderId="73" applyAlignment="1" applyProtection="1" pivotButton="0" quotePrefix="0" xfId="0">
      <alignment horizontal="right" vertical="center"/>
      <protection locked="0" hidden="0"/>
    </xf>
    <xf numFmtId="0" fontId="67" fillId="11" borderId="61" applyAlignment="1" pivotButton="0" quotePrefix="0" xfId="2">
      <alignment horizontal="center" wrapText="1"/>
    </xf>
    <xf numFmtId="0" fontId="67" fillId="11" borderId="62" applyAlignment="1" pivotButton="0" quotePrefix="0" xfId="2">
      <alignment horizontal="center" wrapText="1"/>
    </xf>
    <xf numFmtId="0" fontId="0" fillId="0" borderId="62" applyAlignment="1" pivotButton="0" quotePrefix="0" xfId="0">
      <alignment horizontal="center" wrapText="1"/>
    </xf>
    <xf numFmtId="0" fontId="0" fillId="0" borderId="63" applyAlignment="1" pivotButton="0" quotePrefix="0" xfId="0">
      <alignment horizontal="center" wrapText="1"/>
    </xf>
    <xf numFmtId="0" fontId="0" fillId="2" borderId="3" pivotButton="0" quotePrefix="0" xfId="0"/>
    <xf numFmtId="0" fontId="8" fillId="2" borderId="30" applyAlignment="1" pivotButton="0" quotePrefix="0" xfId="0">
      <alignment vertical="center"/>
    </xf>
    <xf numFmtId="0" fontId="8" fillId="2" borderId="8" applyAlignment="1" pivotButton="0" quotePrefix="0" xfId="0">
      <alignment vertical="center"/>
    </xf>
    <xf numFmtId="0" fontId="22" fillId="2" borderId="30" pivotButton="0" quotePrefix="0" xfId="0"/>
    <xf numFmtId="0" fontId="22" fillId="2" borderId="8" pivotButton="0" quotePrefix="0" xfId="0"/>
    <xf numFmtId="37" fontId="259" fillId="15" borderId="30" applyAlignment="1" pivotButton="0" quotePrefix="0" xfId="0">
      <alignment horizontal="right"/>
    </xf>
    <xf numFmtId="37" fontId="259" fillId="15" borderId="8" applyAlignment="1" pivotButton="0" quotePrefix="0" xfId="0">
      <alignment horizontal="right"/>
    </xf>
    <xf numFmtId="37" fontId="259" fillId="15" borderId="9" applyAlignment="1" pivotButton="0" quotePrefix="0" xfId="0">
      <alignment horizontal="right"/>
    </xf>
    <xf numFmtId="37" fontId="259" fillId="15" borderId="1" applyAlignment="1" pivotButton="0" quotePrefix="0" xfId="0">
      <alignment horizontal="right"/>
    </xf>
    <xf numFmtId="0" fontId="8" fillId="2" borderId="1" applyAlignment="1" pivotButton="0" quotePrefix="0" xfId="0">
      <alignment horizontal="center"/>
    </xf>
    <xf numFmtId="0" fontId="287" fillId="5" borderId="0" applyAlignment="1" pivotButton="0" quotePrefix="0" xfId="0">
      <alignment horizontal="center"/>
    </xf>
    <xf numFmtId="204" fontId="109" fillId="2" borderId="3" applyAlignment="1" pivotButton="0" quotePrefix="0" xfId="0">
      <alignment horizontal="center"/>
    </xf>
    <xf numFmtId="204" fontId="109" fillId="2" borderId="0" applyAlignment="1" pivotButton="0" quotePrefix="0" xfId="0">
      <alignment horizontal="center"/>
    </xf>
    <xf numFmtId="0" fontId="228" fillId="23" borderId="0" applyAlignment="1" pivotButton="0" quotePrefix="0" xfId="0">
      <alignment horizontal="right"/>
    </xf>
    <xf numFmtId="0" fontId="12" fillId="27" borderId="39" applyAlignment="1" pivotButton="0" quotePrefix="0" xfId="0">
      <alignment horizontal="center" vertical="center"/>
    </xf>
    <xf numFmtId="0" fontId="12" fillId="27" borderId="54" applyAlignment="1" pivotButton="0" quotePrefix="0" xfId="0">
      <alignment horizontal="center" vertical="center"/>
    </xf>
    <xf numFmtId="0" fontId="115" fillId="15" borderId="0" applyAlignment="1" pivotButton="0" quotePrefix="0" xfId="0">
      <alignment horizontal="center"/>
    </xf>
    <xf numFmtId="3" fontId="146" fillId="15" borderId="0" applyAlignment="1" pivotButton="0" quotePrefix="0" xfId="0">
      <alignment wrapText="1"/>
    </xf>
    <xf numFmtId="0" fontId="146" fillId="15" borderId="0" applyAlignment="1" pivotButton="0" quotePrefix="0" xfId="0">
      <alignment wrapText="1"/>
    </xf>
    <xf numFmtId="3" fontId="110" fillId="15" borderId="0" applyAlignment="1" pivotButton="0" quotePrefix="0" xfId="0">
      <alignment wrapText="1"/>
    </xf>
    <xf numFmtId="0" fontId="110" fillId="15" borderId="0" applyAlignment="1" pivotButton="0" quotePrefix="0" xfId="0">
      <alignment wrapText="1"/>
    </xf>
    <xf numFmtId="41" fontId="0" fillId="16" borderId="1" applyAlignment="1" applyProtection="1" pivotButton="0" quotePrefix="0" xfId="0">
      <alignment horizontal="right" wrapText="1"/>
      <protection locked="0" hidden="0"/>
    </xf>
    <xf numFmtId="41" fontId="0" fillId="0" borderId="1" applyAlignment="1" applyProtection="1" pivotButton="0" quotePrefix="0" xfId="0">
      <alignment horizontal="right" wrapText="1"/>
      <protection locked="0" hidden="0"/>
    </xf>
    <xf numFmtId="41" fontId="4" fillId="16" borderId="1" applyAlignment="1" applyProtection="1" pivotButton="0" quotePrefix="0" xfId="0">
      <alignment horizontal="right" wrapText="1"/>
      <protection locked="0" hidden="0"/>
    </xf>
    <xf numFmtId="41" fontId="4" fillId="0" borderId="1" applyAlignment="1" applyProtection="1" pivotButton="0" quotePrefix="0" xfId="0">
      <alignment horizontal="right" wrapText="1"/>
      <protection locked="0" hidden="0"/>
    </xf>
    <xf numFmtId="0" fontId="115" fillId="15" borderId="0" applyAlignment="1" pivotButton="0" quotePrefix="0" xfId="0">
      <alignment horizontal="center" vertical="center"/>
    </xf>
    <xf numFmtId="0" fontId="115" fillId="0" borderId="0" applyAlignment="1" pivotButton="0" quotePrefix="0" xfId="0">
      <alignment horizontal="center" vertical="center"/>
    </xf>
    <xf numFmtId="205" fontId="0" fillId="16" borderId="1" applyAlignment="1" applyProtection="1" pivotButton="0" quotePrefix="0" xfId="0">
      <alignment horizontal="right" wrapText="1"/>
      <protection locked="0" hidden="0"/>
    </xf>
    <xf numFmtId="205" fontId="0" fillId="0" borderId="1" applyAlignment="1" applyProtection="1" pivotButton="0" quotePrefix="0" xfId="0">
      <alignment horizontal="right" wrapText="1"/>
      <protection locked="0" hidden="0"/>
    </xf>
    <xf numFmtId="0" fontId="15" fillId="15" borderId="0" applyAlignment="1" pivotButton="0" quotePrefix="0" xfId="0">
      <alignment horizontal="center" wrapText="1"/>
    </xf>
    <xf numFmtId="0" fontId="4" fillId="15" borderId="0" applyAlignment="1" pivotButton="0" quotePrefix="0" xfId="0">
      <alignment horizontal="center" wrapText="1"/>
    </xf>
    <xf numFmtId="0" fontId="0" fillId="19" borderId="3" applyAlignment="1" pivotButton="0" quotePrefix="0" xfId="0">
      <alignment wrapText="1"/>
    </xf>
    <xf numFmtId="0" fontId="15" fillId="16" borderId="25" applyAlignment="1" applyProtection="1" pivotButton="0" quotePrefix="0" xfId="0">
      <alignment wrapText="1"/>
      <protection locked="0" hidden="0"/>
    </xf>
    <xf numFmtId="0" fontId="4" fillId="15" borderId="9" applyAlignment="1" pivotButton="0" quotePrefix="0" xfId="0">
      <alignment horizontal="center"/>
    </xf>
    <xf numFmtId="0" fontId="4" fillId="0" borderId="11" applyAlignment="1" pivotButton="0" quotePrefix="0" xfId="0">
      <alignment horizontal="center"/>
    </xf>
    <xf numFmtId="37" fontId="0" fillId="16" borderId="9" applyAlignment="1" applyProtection="1" pivotButton="0" quotePrefix="0" xfId="0">
      <alignment wrapText="1"/>
      <protection locked="0" hidden="0"/>
    </xf>
    <xf numFmtId="37" fontId="0" fillId="16" borderId="1" applyAlignment="1" applyProtection="1" pivotButton="0" quotePrefix="0" xfId="0">
      <alignment wrapText="1"/>
      <protection locked="0" hidden="0"/>
    </xf>
    <xf numFmtId="37" fontId="0" fillId="16" borderId="11" applyAlignment="1" applyProtection="1" pivotButton="0" quotePrefix="0" xfId="0">
      <alignment wrapText="1"/>
      <protection locked="0" hidden="0"/>
    </xf>
    <xf numFmtId="37" fontId="0" fillId="27" borderId="9" applyAlignment="1" pivotButton="0" quotePrefix="0" xfId="0">
      <alignment wrapText="1"/>
    </xf>
    <xf numFmtId="37" fontId="0" fillId="27" borderId="1" applyAlignment="1" pivotButton="0" quotePrefix="0" xfId="0">
      <alignment wrapText="1"/>
    </xf>
    <xf numFmtId="37" fontId="0" fillId="27" borderId="11" applyAlignment="1" pivotButton="0" quotePrefix="0" xfId="0">
      <alignment wrapText="1"/>
    </xf>
    <xf numFmtId="0" fontId="4" fillId="15" borderId="3" applyAlignment="1" pivotButton="0" quotePrefix="0" xfId="0">
      <alignment horizontal="center"/>
    </xf>
    <xf numFmtId="0" fontId="4" fillId="0" borderId="24" applyAlignment="1" pivotButton="0" quotePrefix="0" xfId="0">
      <alignment horizontal="center"/>
    </xf>
    <xf numFmtId="3" fontId="110" fillId="15" borderId="0" applyAlignment="1" pivotButton="0" quotePrefix="0" xfId="0">
      <alignment horizontal="right" wrapText="1"/>
    </xf>
    <xf numFmtId="3" fontId="110" fillId="15" borderId="0" applyAlignment="1" pivotButton="0" quotePrefix="0" xfId="0">
      <alignment horizontal="right"/>
    </xf>
    <xf numFmtId="0" fontId="110" fillId="15" borderId="30" pivotButton="0" quotePrefix="0" xfId="0"/>
    <xf numFmtId="0" fontId="110" fillId="0" borderId="14" pivotButton="0" quotePrefix="0" xfId="0"/>
    <xf numFmtId="0" fontId="115" fillId="15" borderId="3" applyAlignment="1" pivotButton="0" quotePrefix="0" xfId="0">
      <alignment horizontal="center" vertical="center"/>
    </xf>
    <xf numFmtId="41" fontId="8" fillId="16" borderId="39" applyAlignment="1" applyProtection="1" pivotButton="0" quotePrefix="0" xfId="0">
      <alignment horizontal="center" vertical="center" wrapText="1"/>
      <protection locked="0" hidden="0"/>
    </xf>
    <xf numFmtId="41" fontId="8" fillId="16" borderId="25" applyAlignment="1" applyProtection="1" pivotButton="0" quotePrefix="0" xfId="0">
      <alignment horizontal="center" vertical="center" wrapText="1"/>
      <protection locked="0" hidden="0"/>
    </xf>
    <xf numFmtId="41" fontId="8" fillId="16" borderId="54" applyAlignment="1" applyProtection="1" pivotButton="0" quotePrefix="0" xfId="0">
      <alignment horizontal="center" vertical="center" wrapText="1"/>
      <protection locked="0" hidden="0"/>
    </xf>
    <xf numFmtId="41" fontId="9" fillId="27" borderId="25" applyAlignment="1" pivotButton="0" quotePrefix="0" xfId="0">
      <alignment horizontal="center" vertical="center" wrapText="1"/>
    </xf>
    <xf numFmtId="3" fontId="6" fillId="27" borderId="1" applyAlignment="1" pivotButton="0" quotePrefix="0" xfId="0">
      <alignment wrapText="1"/>
    </xf>
    <xf numFmtId="0" fontId="6" fillId="0" borderId="1" applyAlignment="1" pivotButton="0" quotePrefix="0" xfId="0">
      <alignment wrapText="1"/>
    </xf>
    <xf numFmtId="0" fontId="4" fillId="15" borderId="11" applyAlignment="1" pivotButton="0" quotePrefix="0" xfId="0">
      <alignment horizontal="center"/>
    </xf>
    <xf numFmtId="37" fontId="0" fillId="27" borderId="9" pivotButton="0" quotePrefix="0" xfId="0"/>
    <xf numFmtId="0" fontId="4" fillId="15" borderId="69" applyAlignment="1" pivotButton="0" quotePrefix="0" xfId="0">
      <alignment horizontal="center"/>
    </xf>
    <xf numFmtId="0" fontId="4" fillId="15" borderId="70" applyAlignment="1" pivotButton="0" quotePrefix="0" xfId="0">
      <alignment horizontal="center"/>
    </xf>
    <xf numFmtId="0" fontId="4" fillId="15" borderId="9" applyAlignment="1" pivotButton="0" quotePrefix="0" xfId="0">
      <alignment horizontal="center" vertical="top"/>
    </xf>
    <xf numFmtId="0" fontId="0" fillId="0" borderId="11" applyAlignment="1" pivotButton="0" quotePrefix="0" xfId="0">
      <alignment horizontal="center" vertical="top"/>
    </xf>
    <xf numFmtId="0" fontId="115" fillId="15" borderId="3" applyAlignment="1" pivotButton="0" quotePrefix="0" xfId="0">
      <alignment horizontal="center"/>
    </xf>
    <xf numFmtId="0" fontId="115" fillId="0" borderId="0" applyAlignment="1" pivotButton="0" quotePrefix="0" xfId="0">
      <alignment horizontal="center"/>
    </xf>
    <xf numFmtId="0" fontId="4" fillId="15" borderId="30" applyAlignment="1" pivotButton="0" quotePrefix="0" xfId="0">
      <alignment horizontal="center"/>
    </xf>
    <xf numFmtId="0" fontId="4" fillId="23" borderId="0" applyAlignment="1" pivotButton="0" quotePrefix="0" xfId="0">
      <alignment horizontal="center"/>
    </xf>
    <xf numFmtId="0" fontId="4" fillId="15" borderId="52" applyAlignment="1" pivotButton="0" quotePrefix="0" xfId="0">
      <alignment horizontal="center"/>
    </xf>
    <xf numFmtId="0" fontId="4" fillId="0" borderId="73" applyAlignment="1" pivotButton="0" quotePrefix="0" xfId="0">
      <alignment horizontal="center"/>
    </xf>
    <xf numFmtId="37" fontId="0" fillId="16" borderId="52" applyAlignment="1" applyProtection="1" pivotButton="0" quotePrefix="0" xfId="0">
      <alignment wrapText="1"/>
      <protection locked="0" hidden="0"/>
    </xf>
    <xf numFmtId="37" fontId="0" fillId="16" borderId="31" applyAlignment="1" applyProtection="1" pivotButton="0" quotePrefix="0" xfId="0">
      <alignment wrapText="1"/>
      <protection locked="0" hidden="0"/>
    </xf>
    <xf numFmtId="37" fontId="0" fillId="16" borderId="73" applyAlignment="1" applyProtection="1" pivotButton="0" quotePrefix="0" xfId="0">
      <alignment wrapText="1"/>
      <protection locked="0" hidden="0"/>
    </xf>
    <xf numFmtId="0" fontId="9" fillId="16" borderId="154" applyAlignment="1" applyProtection="1" pivotButton="0" quotePrefix="0" xfId="0">
      <alignment horizontal="left" wrapText="1"/>
      <protection locked="0" hidden="0"/>
    </xf>
    <xf numFmtId="0" fontId="9" fillId="0" borderId="154" applyAlignment="1" applyProtection="1" pivotButton="0" quotePrefix="0" xfId="0">
      <alignment horizontal="left" wrapText="1"/>
      <protection locked="0" hidden="0"/>
    </xf>
    <xf numFmtId="0" fontId="109" fillId="15" borderId="3" applyAlignment="1" pivotButton="0" quotePrefix="0" xfId="0">
      <alignment horizontal="center"/>
    </xf>
    <xf numFmtId="0" fontId="109" fillId="15" borderId="0" applyAlignment="1" pivotButton="0" quotePrefix="0" xfId="0">
      <alignment horizontal="center"/>
    </xf>
    <xf numFmtId="0" fontId="10" fillId="0" borderId="8" applyAlignment="1" pivotButton="0" quotePrefix="0" xfId="0">
      <alignment wrapText="1"/>
    </xf>
    <xf numFmtId="0" fontId="10" fillId="0" borderId="14" applyAlignment="1" pivotButton="0" quotePrefix="0" xfId="0">
      <alignment wrapText="1"/>
    </xf>
    <xf numFmtId="0" fontId="10" fillId="0" borderId="3" applyAlignment="1" pivotButton="0" quotePrefix="0" xfId="0">
      <alignment wrapText="1"/>
    </xf>
    <xf numFmtId="0" fontId="10" fillId="0" borderId="0" applyAlignment="1" pivotButton="0" quotePrefix="0" xfId="0">
      <alignment wrapText="1"/>
    </xf>
    <xf numFmtId="0" fontId="10" fillId="0" borderId="24" applyAlignment="1" pivotButton="0" quotePrefix="0" xfId="0">
      <alignment wrapText="1"/>
    </xf>
    <xf numFmtId="0" fontId="10" fillId="0" borderId="9" applyAlignment="1" pivotButton="0" quotePrefix="0" xfId="0">
      <alignment wrapText="1"/>
    </xf>
    <xf numFmtId="0" fontId="10" fillId="0" borderId="1" applyAlignment="1" pivotButton="0" quotePrefix="0" xfId="0">
      <alignment wrapText="1"/>
    </xf>
    <xf numFmtId="0" fontId="10" fillId="0" borderId="11" applyAlignment="1" pivotButton="0" quotePrefix="0" xfId="0">
      <alignment wrapText="1"/>
    </xf>
    <xf numFmtId="37" fontId="0" fillId="16" borderId="9" applyProtection="1" pivotButton="0" quotePrefix="0" xfId="0">
      <protection locked="0" hidden="0"/>
    </xf>
    <xf numFmtId="193" fontId="0" fillId="27" borderId="9" pivotButton="0" quotePrefix="0" xfId="0"/>
    <xf numFmtId="193" fontId="0" fillId="27" borderId="1" pivotButton="0" quotePrefix="0" xfId="0"/>
    <xf numFmtId="3" fontId="246" fillId="19" borderId="0" applyAlignment="1" pivotButton="0" quotePrefix="0" xfId="0">
      <alignment wrapText="1"/>
    </xf>
    <xf numFmtId="0" fontId="9" fillId="15" borderId="5" applyAlignment="1" pivotButton="0" quotePrefix="0" xfId="0">
      <alignment horizontal="center" wrapText="1"/>
    </xf>
    <xf numFmtId="0" fontId="9" fillId="0" borderId="0" applyAlignment="1" pivotButton="0" quotePrefix="0" xfId="0">
      <alignment horizontal="center" wrapText="1"/>
    </xf>
    <xf numFmtId="0" fontId="9" fillId="0" borderId="20" applyAlignment="1" pivotButton="0" quotePrefix="0" xfId="0">
      <alignment horizontal="center" wrapText="1"/>
    </xf>
    <xf numFmtId="0" fontId="4" fillId="15" borderId="0" applyAlignment="1" pivotButton="0" quotePrefix="0" xfId="0">
      <alignment horizontal="left" vertical="center" wrapText="1" indent="1"/>
    </xf>
    <xf numFmtId="37" fontId="0" fillId="27" borderId="69" pivotButton="0" quotePrefix="0" xfId="0"/>
    <xf numFmtId="37" fontId="0" fillId="27" borderId="4" pivotButton="0" quotePrefix="0" xfId="0"/>
    <xf numFmtId="3" fontId="6" fillId="16" borderId="9" applyAlignment="1" applyProtection="1" pivotButton="0" quotePrefix="0" xfId="0">
      <alignment horizontal="right" wrapText="1"/>
      <protection locked="0" hidden="0"/>
    </xf>
    <xf numFmtId="3" fontId="6" fillId="16" borderId="1" applyAlignment="1" applyProtection="1" pivotButton="0" quotePrefix="0" xfId="0">
      <alignment horizontal="right" wrapText="1"/>
      <protection locked="0" hidden="0"/>
    </xf>
    <xf numFmtId="3" fontId="6" fillId="16" borderId="11" applyAlignment="1" applyProtection="1" pivotButton="0" quotePrefix="0" xfId="0">
      <alignment horizontal="right" wrapText="1"/>
      <protection locked="0" hidden="0"/>
    </xf>
    <xf numFmtId="41" fontId="8" fillId="0" borderId="25" applyAlignment="1" applyProtection="1" pivotButton="0" quotePrefix="0" xfId="0">
      <alignment horizontal="center" vertical="center" wrapText="1"/>
      <protection locked="0" hidden="0"/>
    </xf>
    <xf numFmtId="41" fontId="8" fillId="0" borderId="54" applyAlignment="1" applyProtection="1" pivotButton="0" quotePrefix="0" xfId="0">
      <alignment horizontal="center" vertical="center" wrapText="1"/>
      <protection locked="0" hidden="0"/>
    </xf>
    <xf numFmtId="0" fontId="0" fillId="0" borderId="24" applyAlignment="1" pivotButton="0" quotePrefix="0" xfId="0">
      <alignment wrapText="1"/>
    </xf>
    <xf numFmtId="0" fontId="4" fillId="15" borderId="0" applyAlignment="1" pivotButton="0" quotePrefix="0" xfId="0">
      <alignment horizontal="right" vertical="top" wrapText="1"/>
    </xf>
    <xf numFmtId="0" fontId="12" fillId="16" borderId="39" applyAlignment="1" applyProtection="1" pivotButton="0" quotePrefix="0" xfId="0">
      <alignment horizontal="center" vertical="top" wrapText="1"/>
      <protection locked="0" hidden="0"/>
    </xf>
    <xf numFmtId="0" fontId="12" fillId="16" borderId="25" applyAlignment="1" applyProtection="1" pivotButton="0" quotePrefix="0" xfId="0">
      <alignment horizontal="center" vertical="top" wrapText="1"/>
      <protection locked="0" hidden="0"/>
    </xf>
    <xf numFmtId="0" fontId="12" fillId="16" borderId="54" applyAlignment="1" applyProtection="1" pivotButton="0" quotePrefix="0" xfId="0">
      <alignment horizontal="center" vertical="top" wrapText="1"/>
      <protection locked="0" hidden="0"/>
    </xf>
    <xf numFmtId="14" fontId="4" fillId="16" borderId="39" applyAlignment="1" applyProtection="1" pivotButton="0" quotePrefix="0" xfId="0">
      <alignment horizontal="center" vertical="center" wrapText="1"/>
      <protection locked="0" hidden="0"/>
    </xf>
    <xf numFmtId="14" fontId="4" fillId="16" borderId="25" applyAlignment="1" applyProtection="1" pivotButton="0" quotePrefix="0" xfId="0">
      <alignment horizontal="center" vertical="center" wrapText="1"/>
      <protection locked="0" hidden="0"/>
    </xf>
    <xf numFmtId="14" fontId="0" fillId="0" borderId="25" applyAlignment="1" applyProtection="1" pivotButton="0" quotePrefix="0" xfId="0">
      <alignment horizontal="center" vertical="center" wrapText="1"/>
      <protection locked="0" hidden="0"/>
    </xf>
    <xf numFmtId="0" fontId="4" fillId="15" borderId="0" applyAlignment="1" pivotButton="0" quotePrefix="0" xfId="0">
      <alignment horizontal="right" vertical="center" wrapText="1" indent="1"/>
    </xf>
    <xf numFmtId="193" fontId="6" fillId="27" borderId="9" applyAlignment="1" pivotButton="0" quotePrefix="0" xfId="0">
      <alignment horizontal="right" wrapText="1"/>
    </xf>
    <xf numFmtId="193" fontId="6" fillId="27" borderId="1" applyAlignment="1" pivotButton="0" quotePrefix="0" xfId="0">
      <alignment horizontal="right" wrapText="1"/>
    </xf>
    <xf numFmtId="193" fontId="6" fillId="27" borderId="11" applyAlignment="1" pivotButton="0" quotePrefix="0" xfId="0">
      <alignment horizontal="right" wrapText="1"/>
    </xf>
    <xf numFmtId="3" fontId="6" fillId="27" borderId="39" applyAlignment="1" pivotButton="0" quotePrefix="0" xfId="0">
      <alignment horizontal="right" wrapText="1"/>
    </xf>
    <xf numFmtId="3" fontId="6" fillId="27" borderId="25" applyAlignment="1" pivotButton="0" quotePrefix="0" xfId="0">
      <alignment horizontal="right" wrapText="1"/>
    </xf>
    <xf numFmtId="3" fontId="6" fillId="27" borderId="54" applyAlignment="1" pivotButton="0" quotePrefix="0" xfId="0">
      <alignment horizontal="right" wrapText="1"/>
    </xf>
    <xf numFmtId="183" fontId="6" fillId="27" borderId="9" applyAlignment="1" pivotButton="0" quotePrefix="0" xfId="0">
      <alignment horizontal="right" wrapText="1"/>
    </xf>
    <xf numFmtId="183" fontId="6" fillId="27" borderId="1" applyAlignment="1" pivotButton="0" quotePrefix="0" xfId="0">
      <alignment horizontal="right" wrapText="1"/>
    </xf>
    <xf numFmtId="183" fontId="6" fillId="27" borderId="11" applyAlignment="1" pivotButton="0" quotePrefix="0" xfId="0">
      <alignment horizontal="right" wrapText="1"/>
    </xf>
    <xf numFmtId="3" fontId="6" fillId="27" borderId="9" applyAlignment="1" pivotButton="0" quotePrefix="0" xfId="0">
      <alignment horizontal="right" wrapText="1"/>
    </xf>
    <xf numFmtId="3" fontId="6" fillId="27" borderId="1" applyAlignment="1" pivotButton="0" quotePrefix="0" xfId="0">
      <alignment horizontal="right" wrapText="1"/>
    </xf>
    <xf numFmtId="3" fontId="6" fillId="27" borderId="11" applyAlignment="1" pivotButton="0" quotePrefix="0" xfId="0">
      <alignment horizontal="right" wrapText="1"/>
    </xf>
    <xf numFmtId="0" fontId="10" fillId="15" borderId="56" applyAlignment="1" pivotButton="0" quotePrefix="0" xfId="0">
      <alignment wrapText="1"/>
    </xf>
    <xf numFmtId="0" fontId="0" fillId="0" borderId="7" applyAlignment="1" pivotButton="0" quotePrefix="0" xfId="0">
      <alignment wrapText="1"/>
    </xf>
    <xf numFmtId="0" fontId="72" fillId="15" borderId="80" applyAlignment="1" pivotButton="0" quotePrefix="0" xfId="0">
      <alignment horizontal="center" vertical="center" wrapText="1"/>
    </xf>
    <xf numFmtId="0" fontId="72" fillId="0" borderId="8" applyAlignment="1" pivotButton="0" quotePrefix="0" xfId="0">
      <alignment horizontal="center" vertical="center" wrapText="1"/>
    </xf>
    <xf numFmtId="0" fontId="72" fillId="0" borderId="5" applyAlignment="1" pivotButton="0" quotePrefix="0" xfId="0">
      <alignment horizontal="center" vertical="center" wrapText="1"/>
    </xf>
    <xf numFmtId="0" fontId="72" fillId="0" borderId="0" applyAlignment="1" pivotButton="0" quotePrefix="0" xfId="0">
      <alignment horizontal="center" vertical="center" wrapText="1"/>
    </xf>
    <xf numFmtId="0" fontId="9" fillId="15" borderId="21" applyAlignment="1" pivotButton="0" quotePrefix="0" xfId="0">
      <alignment horizontal="center" wrapText="1"/>
    </xf>
    <xf numFmtId="0" fontId="9" fillId="0" borderId="4" applyAlignment="1" pivotButton="0" quotePrefix="0" xfId="0">
      <alignment horizontal="center" wrapText="1"/>
    </xf>
    <xf numFmtId="0" fontId="9" fillId="0" borderId="22" applyAlignment="1" pivotButton="0" quotePrefix="0" xfId="0">
      <alignment horizontal="center" wrapText="1"/>
    </xf>
    <xf numFmtId="0" fontId="0" fillId="19" borderId="30" applyAlignment="1" pivotButton="0" quotePrefix="0" xfId="0">
      <alignment vertical="top" wrapText="1"/>
    </xf>
    <xf numFmtId="0" fontId="0" fillId="0" borderId="8" applyAlignment="1" pivotButton="0" quotePrefix="0" xfId="0">
      <alignment vertical="top" wrapText="1"/>
    </xf>
    <xf numFmtId="0" fontId="44" fillId="16" borderId="0" applyAlignment="1" applyProtection="1" pivotButton="0" quotePrefix="0" xfId="0">
      <alignment wrapText="1"/>
      <protection locked="0" hidden="0"/>
    </xf>
    <xf numFmtId="0" fontId="4" fillId="15" borderId="39" applyAlignment="1" pivotButton="0" quotePrefix="0" xfId="0">
      <alignment horizontal="center" vertical="center" wrapText="1"/>
    </xf>
    <xf numFmtId="0" fontId="4" fillId="0" borderId="25" applyAlignment="1" pivotButton="0" quotePrefix="0" xfId="0">
      <alignment horizontal="center" vertical="center" wrapText="1"/>
    </xf>
    <xf numFmtId="0" fontId="4" fillId="0" borderId="54" applyAlignment="1" pivotButton="0" quotePrefix="0" xfId="0">
      <alignment horizontal="center" vertical="center" wrapText="1"/>
    </xf>
    <xf numFmtId="0" fontId="6" fillId="15" borderId="0" applyAlignment="1" pivotButton="0" quotePrefix="0" xfId="0">
      <alignment wrapText="1"/>
    </xf>
    <xf numFmtId="0" fontId="9" fillId="16" borderId="92" applyAlignment="1" applyProtection="1" pivotButton="0" quotePrefix="0" xfId="0">
      <alignment horizontal="left" wrapText="1"/>
      <protection locked="0" hidden="0"/>
    </xf>
    <xf numFmtId="0" fontId="9" fillId="0" borderId="92" applyAlignment="1" applyProtection="1" pivotButton="0" quotePrefix="0" xfId="0">
      <alignment horizontal="left" wrapText="1"/>
      <protection locked="0" hidden="0"/>
    </xf>
    <xf numFmtId="3" fontId="4" fillId="27" borderId="25" applyAlignment="1" pivotButton="0" quotePrefix="0" xfId="0">
      <alignment wrapText="1"/>
    </xf>
    <xf numFmtId="0" fontId="0" fillId="0" borderId="25" applyAlignment="1" pivotButton="0" quotePrefix="0" xfId="0">
      <alignment wrapText="1"/>
    </xf>
    <xf numFmtId="0" fontId="4" fillId="15" borderId="9" applyAlignment="1" pivotButton="0" quotePrefix="0" xfId="0">
      <alignment horizontal="center" vertical="center" wrapText="1"/>
    </xf>
    <xf numFmtId="0" fontId="10" fillId="15" borderId="5" applyAlignment="1" pivotButton="0" quotePrefix="0" xfId="0">
      <alignment horizontal="right" vertical="center" wrapText="1"/>
    </xf>
    <xf numFmtId="0" fontId="10" fillId="15" borderId="0" applyAlignment="1" pivotButton="0" quotePrefix="0" xfId="0">
      <alignment horizontal="right" vertical="center" wrapText="1"/>
    </xf>
    <xf numFmtId="0" fontId="10" fillId="15" borderId="21" applyAlignment="1" pivotButton="0" quotePrefix="0" xfId="0">
      <alignment horizontal="right" vertical="center" wrapText="1"/>
    </xf>
    <xf numFmtId="0" fontId="10" fillId="15" borderId="4" applyAlignment="1" pivotButton="0" quotePrefix="0" xfId="0">
      <alignment horizontal="right" vertical="center" wrapText="1"/>
    </xf>
    <xf numFmtId="0" fontId="123" fillId="31" borderId="34" applyAlignment="1" pivotButton="0" quotePrefix="0" xfId="0">
      <alignment horizontal="center"/>
    </xf>
    <xf numFmtId="0" fontId="110" fillId="31" borderId="34" applyAlignment="1" pivotButton="0" quotePrefix="0" xfId="0">
      <alignment horizontal="center"/>
    </xf>
    <xf numFmtId="0" fontId="15" fillId="15" borderId="8" applyAlignment="1" pivotButton="0" quotePrefix="0" xfId="0">
      <alignment horizontal="center" wrapText="1"/>
    </xf>
    <xf numFmtId="0" fontId="4" fillId="0" borderId="70" applyAlignment="1" pivotButton="0" quotePrefix="0" xfId="0">
      <alignment horizontal="center"/>
    </xf>
    <xf numFmtId="0" fontId="0" fillId="19" borderId="30" applyAlignment="1" pivotButton="0" quotePrefix="0" xfId="0">
      <alignment wrapText="1"/>
    </xf>
    <xf numFmtId="41" fontId="0" fillId="16" borderId="1" applyAlignment="1" applyProtection="1" pivotButton="0" quotePrefix="0" xfId="0">
      <alignment horizontal="right" vertical="top" wrapText="1"/>
      <protection locked="0" hidden="0"/>
    </xf>
    <xf numFmtId="41" fontId="0" fillId="0" borderId="1" applyAlignment="1" applyProtection="1" pivotButton="0" quotePrefix="0" xfId="0">
      <alignment horizontal="right" vertical="top" wrapText="1"/>
      <protection locked="0" hidden="0"/>
    </xf>
    <xf numFmtId="0" fontId="0" fillId="15" borderId="3" applyAlignment="1" pivotButton="0" quotePrefix="0" xfId="0">
      <alignment wrapText="1"/>
    </xf>
    <xf numFmtId="0" fontId="0" fillId="15" borderId="0" applyAlignment="1" pivotButton="0" quotePrefix="0" xfId="0">
      <alignment wrapText="1"/>
    </xf>
    <xf numFmtId="0" fontId="20" fillId="0" borderId="0" applyAlignment="1" pivotButton="0" quotePrefix="0" xfId="0">
      <alignment horizontal="left" wrapText="1"/>
    </xf>
    <xf numFmtId="0" fontId="20" fillId="0" borderId="4" applyAlignment="1" pivotButton="0" quotePrefix="0" xfId="0">
      <alignment horizontal="left" wrapText="1"/>
    </xf>
    <xf numFmtId="41" fontId="0" fillId="16" borderId="52" applyAlignment="1" applyProtection="1" pivotButton="0" quotePrefix="0" xfId="0">
      <alignment wrapText="1"/>
      <protection locked="0" hidden="0"/>
    </xf>
    <xf numFmtId="41" fontId="0" fillId="16" borderId="31" applyAlignment="1" applyProtection="1" pivotButton="0" quotePrefix="0" xfId="0">
      <alignment wrapText="1"/>
      <protection locked="0" hidden="0"/>
    </xf>
    <xf numFmtId="0" fontId="123" fillId="31" borderId="1" applyAlignment="1" pivotButton="0" quotePrefix="0" xfId="0">
      <alignment horizontal="center"/>
    </xf>
    <xf numFmtId="0" fontId="110" fillId="31" borderId="1" applyAlignment="1" pivotButton="0" quotePrefix="0" xfId="0">
      <alignment horizontal="center"/>
    </xf>
    <xf numFmtId="0" fontId="4" fillId="15" borderId="56" applyAlignment="1" pivotButton="0" quotePrefix="0" xfId="0">
      <alignment horizontal="center"/>
    </xf>
    <xf numFmtId="0" fontId="4" fillId="0" borderId="36" applyAlignment="1" pivotButton="0" quotePrefix="0" xfId="0">
      <alignment horizontal="center"/>
    </xf>
    <xf numFmtId="0" fontId="15" fillId="15" borderId="25" applyAlignment="1" pivotButton="0" quotePrefix="0" xfId="0">
      <alignment horizontal="left" vertical="center" wrapText="1" indent="1"/>
    </xf>
    <xf numFmtId="0" fontId="0" fillId="0" borderId="54" applyAlignment="1" pivotButton="0" quotePrefix="0" xfId="0">
      <alignment wrapText="1"/>
    </xf>
    <xf numFmtId="0" fontId="11" fillId="15" borderId="14" applyAlignment="1" pivotButton="0" quotePrefix="0" xfId="0">
      <alignment horizontal="center" vertical="center" textRotation="90"/>
    </xf>
    <xf numFmtId="0" fontId="6" fillId="0" borderId="24" applyAlignment="1" pivotButton="0" quotePrefix="0" xfId="0">
      <alignment vertical="center" textRotation="90"/>
    </xf>
    <xf numFmtId="0" fontId="6" fillId="0" borderId="11" applyAlignment="1" pivotButton="0" quotePrefix="0" xfId="0">
      <alignment vertical="center" textRotation="90"/>
    </xf>
    <xf numFmtId="37" fontId="110" fillId="15" borderId="3" applyAlignment="1" pivotButton="0" quotePrefix="0" xfId="0">
      <alignment horizontal="center"/>
    </xf>
    <xf numFmtId="0" fontId="9" fillId="15" borderId="30" applyAlignment="1" pivotButton="0" quotePrefix="0" xfId="0">
      <alignment horizontal="center" vertical="center" wrapText="1"/>
    </xf>
    <xf numFmtId="0" fontId="9" fillId="0" borderId="8"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0" applyAlignment="1" pivotButton="0" quotePrefix="0" xfId="0">
      <alignment horizontal="center" vertical="center" wrapText="1"/>
    </xf>
    <xf numFmtId="0" fontId="9" fillId="0" borderId="9" applyAlignment="1" pivotButton="0" quotePrefix="0" xfId="0">
      <alignment horizontal="center" vertical="center" wrapText="1"/>
    </xf>
    <xf numFmtId="0" fontId="9" fillId="0" borderId="1" applyAlignment="1" pivotButton="0" quotePrefix="0" xfId="0">
      <alignment horizontal="center" vertical="center" wrapText="1"/>
    </xf>
    <xf numFmtId="0" fontId="8" fillId="15" borderId="9" applyAlignment="1" pivotButton="0" quotePrefix="0" xfId="0">
      <alignment horizontal="center" vertical="center" wrapText="1"/>
    </xf>
    <xf numFmtId="0" fontId="8" fillId="15" borderId="1" applyAlignment="1" pivotButton="0" quotePrefix="0" xfId="0">
      <alignment horizontal="center" vertical="center" wrapText="1"/>
    </xf>
    <xf numFmtId="0" fontId="123" fillId="31" borderId="25" applyAlignment="1" pivotButton="0" quotePrefix="0" xfId="0">
      <alignment horizontal="center"/>
    </xf>
    <xf numFmtId="0" fontId="110" fillId="31" borderId="25" applyAlignment="1" pivotButton="0" quotePrefix="0" xfId="0">
      <alignment horizontal="center"/>
    </xf>
    <xf numFmtId="0" fontId="20" fillId="15" borderId="25" applyAlignment="1" pivotButton="0" quotePrefix="0" xfId="0">
      <alignment horizontal="left" wrapText="1" indent="1"/>
    </xf>
    <xf numFmtId="0" fontId="20" fillId="0" borderId="25" applyAlignment="1" pivotButton="0" quotePrefix="0" xfId="0">
      <alignment horizontal="left" wrapText="1" indent="1"/>
    </xf>
    <xf numFmtId="0" fontId="12" fillId="15" borderId="30" applyAlignment="1" pivotButton="0" quotePrefix="0" xfId="0">
      <alignment horizontal="center" vertical="center" wrapText="1"/>
    </xf>
    <xf numFmtId="0" fontId="10" fillId="15" borderId="8" applyAlignment="1" pivotButton="0" quotePrefix="0" xfId="0">
      <alignment horizontal="center" vertical="center" wrapText="1"/>
    </xf>
    <xf numFmtId="0" fontId="10" fillId="15" borderId="3" applyAlignment="1" pivotButton="0" quotePrefix="0" xfId="0">
      <alignment horizontal="center" vertical="center" wrapText="1"/>
    </xf>
    <xf numFmtId="0" fontId="10" fillId="15" borderId="0" applyAlignment="1" pivotButton="0" quotePrefix="0" xfId="0">
      <alignment horizontal="center" vertical="center" wrapText="1"/>
    </xf>
    <xf numFmtId="0" fontId="10" fillId="15" borderId="9" applyAlignment="1" pivotButton="0" quotePrefix="0" xfId="0">
      <alignment horizontal="center" vertical="center" wrapText="1"/>
    </xf>
    <xf numFmtId="0" fontId="10" fillId="15" borderId="1" applyAlignment="1" pivotButton="0" quotePrefix="0" xfId="0">
      <alignment horizontal="center" vertical="center" wrapText="1"/>
    </xf>
    <xf numFmtId="0" fontId="10" fillId="15" borderId="30" applyAlignment="1" pivotButton="0" quotePrefix="0" xfId="0">
      <alignment horizontal="center" wrapText="1"/>
    </xf>
    <xf numFmtId="0" fontId="10" fillId="0" borderId="8" pivotButton="0" quotePrefix="0" xfId="0"/>
    <xf numFmtId="0" fontId="10" fillId="0" borderId="14" pivotButton="0" quotePrefix="0" xfId="0"/>
    <xf numFmtId="0" fontId="10" fillId="0" borderId="3" pivotButton="0" quotePrefix="0" xfId="0"/>
    <xf numFmtId="0" fontId="10" fillId="0" borderId="0" pivotButton="0" quotePrefix="0" xfId="0"/>
    <xf numFmtId="0" fontId="10" fillId="0" borderId="24" pivotButton="0" quotePrefix="0" xfId="0"/>
    <xf numFmtId="0" fontId="10" fillId="15" borderId="3" applyAlignment="1" pivotButton="0" quotePrefix="0" xfId="0">
      <alignment horizontal="center" vertical="top" wrapText="1"/>
    </xf>
    <xf numFmtId="0" fontId="10" fillId="0" borderId="0" applyAlignment="1" pivotButton="0" quotePrefix="0" xfId="0">
      <alignment vertical="top" wrapText="1"/>
    </xf>
    <xf numFmtId="0" fontId="10" fillId="0" borderId="24" applyAlignment="1" pivotButton="0" quotePrefix="0" xfId="0">
      <alignment vertical="top" wrapText="1"/>
    </xf>
    <xf numFmtId="0" fontId="4" fillId="15" borderId="25" applyAlignment="1" pivotButton="0" quotePrefix="0" xfId="0">
      <alignment horizontal="left" vertical="center" wrapText="1" indent="1"/>
    </xf>
    <xf numFmtId="37" fontId="0" fillId="16" borderId="3" applyAlignment="1" applyProtection="1" pivotButton="0" quotePrefix="0" xfId="0">
      <alignment wrapText="1"/>
      <protection locked="0" hidden="0"/>
    </xf>
    <xf numFmtId="37" fontId="0" fillId="16" borderId="0" applyAlignment="1" applyProtection="1" pivotButton="0" quotePrefix="0" xfId="0">
      <alignment wrapText="1"/>
      <protection locked="0" hidden="0"/>
    </xf>
    <xf numFmtId="37" fontId="0" fillId="16" borderId="24" applyAlignment="1" applyProtection="1" pivotButton="0" quotePrefix="0" xfId="0">
      <alignment wrapText="1"/>
      <protection locked="0" hidden="0"/>
    </xf>
    <xf numFmtId="0" fontId="115" fillId="15" borderId="0" applyAlignment="1" pivotButton="0" quotePrefix="0" xfId="0">
      <alignment horizontal="left"/>
    </xf>
    <xf numFmtId="0" fontId="115" fillId="0" borderId="0" applyAlignment="1" pivotButton="0" quotePrefix="0" xfId="0">
      <alignment horizontal="left"/>
    </xf>
    <xf numFmtId="0" fontId="4" fillId="15" borderId="4" applyAlignment="1" pivotButton="0" quotePrefix="0" xfId="0">
      <alignment horizontal="center" wrapText="1"/>
    </xf>
    <xf numFmtId="0" fontId="4" fillId="15" borderId="0" applyAlignment="1" pivotButton="0" quotePrefix="0" xfId="0">
      <alignment horizontal="center" vertical="center" wrapText="1"/>
    </xf>
    <xf numFmtId="0" fontId="47" fillId="15" borderId="0" applyAlignment="1" pivotButton="0" quotePrefix="0" xfId="0">
      <alignment horizontal="right" vertical="center" wrapText="1" indent="1"/>
    </xf>
    <xf numFmtId="0" fontId="0" fillId="19" borderId="3" applyAlignment="1" pivotButton="0" quotePrefix="0" xfId="0">
      <alignment vertical="top" wrapText="1"/>
    </xf>
    <xf numFmtId="0" fontId="0" fillId="0" borderId="24" applyAlignment="1" pivotButton="0" quotePrefix="0" xfId="0">
      <alignment vertical="top" wrapText="1"/>
    </xf>
    <xf numFmtId="0" fontId="44" fillId="15" borderId="5" applyAlignment="1" pivotButton="0" quotePrefix="0" xfId="0">
      <alignment horizontal="center"/>
    </xf>
    <xf numFmtId="0" fontId="44" fillId="15" borderId="0" applyAlignment="1" pivotButton="0" quotePrefix="0" xfId="0">
      <alignment horizontal="center"/>
    </xf>
    <xf numFmtId="0" fontId="44" fillId="15" borderId="20" applyAlignment="1" pivotButton="0" quotePrefix="0" xfId="0">
      <alignment horizontal="center"/>
    </xf>
    <xf numFmtId="176" fontId="20" fillId="27" borderId="3" applyAlignment="1" pivotButton="0" quotePrefix="0" xfId="0">
      <alignment horizontal="center" wrapText="1"/>
    </xf>
    <xf numFmtId="0" fontId="74" fillId="0" borderId="0" applyAlignment="1" pivotButton="0" quotePrefix="0" xfId="0">
      <alignment wrapText="1"/>
    </xf>
    <xf numFmtId="0" fontId="74" fillId="0" borderId="9" applyAlignment="1" pivotButton="0" quotePrefix="0" xfId="0">
      <alignment wrapText="1"/>
    </xf>
    <xf numFmtId="0" fontId="74" fillId="0" borderId="1" applyAlignment="1" pivotButton="0" quotePrefix="0" xfId="0">
      <alignment wrapText="1"/>
    </xf>
    <xf numFmtId="0" fontId="4" fillId="15" borderId="39" applyAlignment="1" pivotButton="0" quotePrefix="0" xfId="0">
      <alignment horizontal="center" wrapText="1"/>
    </xf>
    <xf numFmtId="0" fontId="4" fillId="0" borderId="25" applyAlignment="1" pivotButton="0" quotePrefix="0" xfId="0">
      <alignment horizontal="center" wrapText="1"/>
    </xf>
    <xf numFmtId="0" fontId="4" fillId="0" borderId="54" applyAlignment="1" pivotButton="0" quotePrefix="0" xfId="0">
      <alignment horizontal="center" wrapText="1"/>
    </xf>
    <xf numFmtId="0" fontId="9" fillId="16" borderId="154" applyAlignment="1" applyProtection="1" pivotButton="0" quotePrefix="0" xfId="0">
      <alignment wrapText="1"/>
      <protection locked="0" hidden="0"/>
    </xf>
    <xf numFmtId="0" fontId="9" fillId="0" borderId="154" applyAlignment="1" applyProtection="1" pivotButton="0" quotePrefix="0" xfId="0">
      <alignment wrapText="1"/>
      <protection locked="0" hidden="0"/>
    </xf>
    <xf numFmtId="0" fontId="15" fillId="15" borderId="25" applyAlignment="1" pivotButton="0" quotePrefix="0" xfId="0">
      <alignment wrapText="1"/>
    </xf>
    <xf numFmtId="0" fontId="15" fillId="0" borderId="25" applyAlignment="1" pivotButton="0" quotePrefix="0" xfId="0">
      <alignment wrapText="1"/>
    </xf>
    <xf numFmtId="0" fontId="15" fillId="15" borderId="8" applyAlignment="1" pivotButton="0" quotePrefix="0" xfId="0">
      <alignment horizontal="left" vertical="center" wrapText="1"/>
    </xf>
    <xf numFmtId="0" fontId="4" fillId="15" borderId="5" applyAlignment="1" pivotButton="0" quotePrefix="0" xfId="0">
      <alignment horizontal="center" wrapText="1"/>
    </xf>
    <xf numFmtId="0" fontId="4" fillId="0" borderId="20" applyAlignment="1" pivotButton="0" quotePrefix="0" xfId="0">
      <alignment horizontal="center" wrapText="1"/>
    </xf>
    <xf numFmtId="0" fontId="10" fillId="0" borderId="0" applyAlignment="1" pivotButton="0" quotePrefix="0" xfId="0">
      <alignment horizontal="center" vertical="top" wrapText="1"/>
    </xf>
    <xf numFmtId="0" fontId="10" fillId="0" borderId="24" applyAlignment="1" pivotButton="0" quotePrefix="0" xfId="0">
      <alignment horizontal="center" vertical="top" wrapText="1"/>
    </xf>
    <xf numFmtId="0" fontId="4" fillId="15" borderId="8" applyAlignment="1" pivotButton="0" quotePrefix="0" xfId="0">
      <alignment horizontal="left" vertical="center" wrapText="1" indent="1"/>
    </xf>
    <xf numFmtId="3" fontId="6" fillId="27" borderId="0" applyAlignment="1" pivotButton="0" quotePrefix="0" xfId="0">
      <alignment wrapText="1"/>
    </xf>
    <xf numFmtId="0" fontId="6" fillId="0" borderId="0" applyAlignment="1" pivotButton="0" quotePrefix="0" xfId="0">
      <alignment wrapText="1"/>
    </xf>
    <xf numFmtId="0" fontId="223" fillId="31" borderId="27" applyAlignment="1" pivotButton="0" quotePrefix="0" xfId="0">
      <alignment horizontal="center"/>
    </xf>
    <xf numFmtId="0" fontId="224" fillId="31" borderId="27" applyAlignment="1" pivotButton="0" quotePrefix="0" xfId="0">
      <alignment horizontal="center"/>
    </xf>
    <xf numFmtId="0" fontId="11" fillId="15" borderId="27" applyAlignment="1" pivotButton="0" quotePrefix="0" xfId="0">
      <alignment horizontal="left" vertical="center" wrapText="1" indent="1"/>
    </xf>
    <xf numFmtId="0" fontId="11" fillId="0" borderId="27" applyAlignment="1" pivotButton="0" quotePrefix="0" xfId="0">
      <alignment horizontal="left" vertical="center" wrapText="1" indent="1"/>
    </xf>
    <xf numFmtId="0" fontId="12" fillId="15" borderId="30" applyAlignment="1" pivotButton="0" quotePrefix="0" xfId="0">
      <alignment horizontal="center" wrapText="1"/>
    </xf>
    <xf numFmtId="3" fontId="6" fillId="16" borderId="9" applyAlignment="1" applyProtection="1" pivotButton="0" quotePrefix="0" xfId="0">
      <alignment horizontal="right"/>
      <protection locked="0" hidden="0"/>
    </xf>
    <xf numFmtId="3" fontId="6" fillId="16" borderId="1" applyAlignment="1" applyProtection="1" pivotButton="0" quotePrefix="0" xfId="0">
      <alignment horizontal="right"/>
      <protection locked="0" hidden="0"/>
    </xf>
    <xf numFmtId="3" fontId="6" fillId="16" borderId="11" applyAlignment="1" applyProtection="1" pivotButton="0" quotePrefix="0" xfId="0">
      <alignment horizontal="right"/>
      <protection locked="0" hidden="0"/>
    </xf>
    <xf numFmtId="0" fontId="15" fillId="15" borderId="0" applyAlignment="1" pivotButton="0" quotePrefix="0" xfId="0">
      <alignment horizontal="right" vertical="center" wrapText="1" indent="1"/>
    </xf>
    <xf numFmtId="0" fontId="197" fillId="31" borderId="25" applyAlignment="1" pivotButton="0" quotePrefix="0" xfId="0">
      <alignment horizontal="center"/>
    </xf>
    <xf numFmtId="0" fontId="10" fillId="15" borderId="5" applyAlignment="1" pivotButton="0" quotePrefix="0" xfId="0">
      <alignment horizontal="left" vertical="center" wrapText="1" indent="1"/>
    </xf>
    <xf numFmtId="0" fontId="10" fillId="0" borderId="0" applyAlignment="1" pivotButton="0" quotePrefix="0" xfId="0">
      <alignment horizontal="left" vertical="center" wrapText="1" indent="1"/>
    </xf>
    <xf numFmtId="0" fontId="10" fillId="0" borderId="21" applyAlignment="1" pivotButton="0" quotePrefix="0" xfId="0">
      <alignment horizontal="left" vertical="center" wrapText="1" indent="1"/>
    </xf>
    <xf numFmtId="0" fontId="10" fillId="0" borderId="4" applyAlignment="1" pivotButton="0" quotePrefix="0" xfId="0">
      <alignment horizontal="left" vertical="center" wrapText="1" indent="1"/>
    </xf>
    <xf numFmtId="0" fontId="44" fillId="0" borderId="0" applyAlignment="1" pivotButton="0" quotePrefix="0" xfId="0">
      <alignment horizontal="left" wrapText="1"/>
    </xf>
    <xf numFmtId="0" fontId="44" fillId="0" borderId="4" applyAlignment="1" pivotButton="0" quotePrefix="0" xfId="0">
      <alignment horizontal="left" wrapText="1"/>
    </xf>
    <xf numFmtId="0" fontId="0" fillId="15" borderId="8" applyAlignment="1" pivotButton="0" quotePrefix="0" xfId="0">
      <alignment wrapText="1"/>
    </xf>
    <xf numFmtId="41" fontId="0" fillId="16" borderId="30" applyAlignment="1" applyProtection="1" pivotButton="0" quotePrefix="0" xfId="0">
      <alignment wrapText="1"/>
      <protection locked="0" hidden="0"/>
    </xf>
    <xf numFmtId="41" fontId="0" fillId="16" borderId="8" applyAlignment="1" applyProtection="1" pivotButton="0" quotePrefix="0" xfId="0">
      <alignment wrapText="1"/>
      <protection locked="0" hidden="0"/>
    </xf>
    <xf numFmtId="0" fontId="123" fillId="31" borderId="0" applyAlignment="1" pivotButton="0" quotePrefix="0" xfId="0">
      <alignment horizontal="center"/>
    </xf>
    <xf numFmtId="0" fontId="110" fillId="31" borderId="0" applyAlignment="1" pivotButton="0" quotePrefix="0" xfId="0">
      <alignment horizontal="center"/>
    </xf>
    <xf numFmtId="37" fontId="110" fillId="15" borderId="3" applyAlignment="1" pivotButton="0" quotePrefix="0" xfId="0">
      <alignment horizontal="right"/>
    </xf>
    <xf numFmtId="37" fontId="110" fillId="15" borderId="0" applyAlignment="1" pivotButton="0" quotePrefix="0" xfId="0">
      <alignment horizontal="right"/>
    </xf>
    <xf numFmtId="37" fontId="110" fillId="15" borderId="24" applyAlignment="1" pivotButton="0" quotePrefix="0" xfId="0">
      <alignment horizontal="right"/>
    </xf>
    <xf numFmtId="0" fontId="4" fillId="15" borderId="8" applyAlignment="1" pivotButton="0" quotePrefix="0" xfId="0">
      <alignment horizontal="center" wrapText="1"/>
    </xf>
    <xf numFmtId="0" fontId="15" fillId="15" borderId="0" applyAlignment="1" pivotButton="0" quotePrefix="0" xfId="0">
      <alignment horizontal="left" vertical="center" wrapText="1" indent="1"/>
    </xf>
    <xf numFmtId="0" fontId="15" fillId="15" borderId="0" applyAlignment="1" pivotButton="0" quotePrefix="0" xfId="0">
      <alignment horizontal="right" vertical="top" wrapText="1"/>
    </xf>
    <xf numFmtId="0" fontId="4" fillId="15" borderId="5" applyAlignment="1" pivotButton="0" quotePrefix="0" xfId="0">
      <alignment horizontal="center" vertical="top" wrapText="1"/>
    </xf>
    <xf numFmtId="0" fontId="4" fillId="0" borderId="0" applyAlignment="1" pivotButton="0" quotePrefix="0" xfId="0">
      <alignment horizontal="center" vertical="top" wrapText="1"/>
    </xf>
    <xf numFmtId="0" fontId="4" fillId="0" borderId="20" applyAlignment="1" pivotButton="0" quotePrefix="0" xfId="0">
      <alignment horizontal="center" vertical="top" wrapText="1"/>
    </xf>
    <xf numFmtId="0" fontId="10" fillId="15" borderId="5" applyAlignment="1" pivotButton="0" quotePrefix="0" xfId="0">
      <alignment horizontal="left" vertical="center" wrapText="1" indent="2"/>
    </xf>
    <xf numFmtId="0" fontId="10" fillId="0" borderId="0" applyAlignment="1" pivotButton="0" quotePrefix="0" xfId="0">
      <alignment horizontal="left" vertical="center" wrapText="1" indent="2"/>
    </xf>
    <xf numFmtId="0" fontId="10" fillId="0" borderId="21" applyAlignment="1" pivotButton="0" quotePrefix="0" xfId="0">
      <alignment horizontal="left" vertical="center" wrapText="1" indent="2"/>
    </xf>
    <xf numFmtId="0" fontId="10" fillId="0" borderId="4" applyAlignment="1" pivotButton="0" quotePrefix="0" xfId="0">
      <alignment horizontal="left" vertical="center" wrapText="1" indent="2"/>
    </xf>
    <xf numFmtId="3" fontId="6" fillId="16" borderId="39" applyAlignment="1" applyProtection="1" pivotButton="0" quotePrefix="0" xfId="0">
      <alignment horizontal="right" wrapText="1"/>
      <protection locked="0" hidden="0"/>
    </xf>
    <xf numFmtId="3" fontId="6" fillId="16" borderId="25" applyAlignment="1" applyProtection="1" pivotButton="0" quotePrefix="0" xfId="0">
      <alignment horizontal="right" wrapText="1"/>
      <protection locked="0" hidden="0"/>
    </xf>
    <xf numFmtId="3" fontId="6" fillId="16" borderId="54" applyAlignment="1" applyProtection="1" pivotButton="0" quotePrefix="0" xfId="0">
      <alignment horizontal="right" wrapText="1"/>
      <protection locked="0" hidden="0"/>
    </xf>
    <xf numFmtId="37" fontId="0" fillId="16" borderId="9" applyAlignment="1" applyProtection="1" pivotButton="0" quotePrefix="0" xfId="0">
      <alignment vertical="center" wrapText="1"/>
      <protection locked="0" hidden="0"/>
    </xf>
    <xf numFmtId="37" fontId="0" fillId="16" borderId="1" applyAlignment="1" applyProtection="1" pivotButton="0" quotePrefix="0" xfId="0">
      <alignment vertical="center" wrapText="1"/>
      <protection locked="0" hidden="0"/>
    </xf>
    <xf numFmtId="37" fontId="0" fillId="16" borderId="11" applyAlignment="1" applyProtection="1" pivotButton="0" quotePrefix="0" xfId="0">
      <alignment vertical="center" wrapText="1"/>
      <protection locked="0" hidden="0"/>
    </xf>
    <xf numFmtId="37" fontId="6" fillId="27" borderId="39" applyAlignment="1" pivotButton="0" quotePrefix="0" xfId="0">
      <alignment horizontal="right" wrapText="1"/>
    </xf>
    <xf numFmtId="37" fontId="6" fillId="27" borderId="25" applyAlignment="1" pivotButton="0" quotePrefix="0" xfId="0">
      <alignment horizontal="right" wrapText="1"/>
    </xf>
    <xf numFmtId="37" fontId="6" fillId="27" borderId="54" applyAlignment="1" pivotButton="0" quotePrefix="0" xfId="0">
      <alignment horizontal="right" wrapText="1"/>
    </xf>
    <xf numFmtId="193" fontId="6" fillId="27" borderId="39" applyAlignment="1" pivotButton="0" quotePrefix="0" xfId="0">
      <alignment horizontal="right" wrapText="1"/>
    </xf>
    <xf numFmtId="193" fontId="6" fillId="27" borderId="25" applyAlignment="1" pivotButton="0" quotePrefix="0" xfId="0">
      <alignment horizontal="right" wrapText="1"/>
    </xf>
    <xf numFmtId="193" fontId="6" fillId="27" borderId="54" applyAlignment="1" pivotButton="0" quotePrefix="0" xfId="0">
      <alignment horizontal="right" wrapText="1"/>
    </xf>
    <xf numFmtId="183" fontId="6" fillId="27" borderId="39" applyAlignment="1" pivotButton="0" quotePrefix="0" xfId="0">
      <alignment horizontal="right" wrapText="1"/>
    </xf>
    <xf numFmtId="183" fontId="6" fillId="27" borderId="25" applyAlignment="1" pivotButton="0" quotePrefix="0" xfId="0">
      <alignment horizontal="right" wrapText="1"/>
    </xf>
    <xf numFmtId="183" fontId="6" fillId="27" borderId="54" applyAlignment="1" pivotButton="0" quotePrefix="0" xfId="0">
      <alignment horizontal="right" wrapText="1"/>
    </xf>
    <xf numFmtId="14" fontId="6" fillId="16" borderId="39" applyAlignment="1" applyProtection="1" pivotButton="0" quotePrefix="0" xfId="0">
      <alignment horizontal="center" vertical="center" wrapText="1"/>
      <protection locked="0" hidden="0"/>
    </xf>
    <xf numFmtId="14" fontId="6" fillId="16" borderId="25" applyAlignment="1" applyProtection="1" pivotButton="0" quotePrefix="0" xfId="0">
      <alignment horizontal="center" vertical="center" wrapText="1"/>
      <protection locked="0" hidden="0"/>
    </xf>
    <xf numFmtId="14" fontId="6" fillId="0" borderId="25" applyAlignment="1" applyProtection="1" pivotButton="0" quotePrefix="0" xfId="0">
      <alignment horizontal="center" vertical="center" wrapText="1"/>
      <protection locked="0" hidden="0"/>
    </xf>
    <xf numFmtId="37" fontId="6" fillId="16" borderId="9" applyAlignment="1" applyProtection="1" pivotButton="0" quotePrefix="0" xfId="0">
      <alignment wrapText="1"/>
      <protection locked="0" hidden="0"/>
    </xf>
    <xf numFmtId="0" fontId="11" fillId="15" borderId="27" applyAlignment="1" pivotButton="0" quotePrefix="0" xfId="0">
      <alignment horizontal="left" wrapText="1" indent="1"/>
    </xf>
    <xf numFmtId="0" fontId="11" fillId="0" borderId="27" applyAlignment="1" pivotButton="0" quotePrefix="0" xfId="0">
      <alignment horizontal="left" wrapText="1" indent="1"/>
    </xf>
    <xf numFmtId="37" fontId="6" fillId="27" borderId="1" applyAlignment="1" pivotButton="0" quotePrefix="0" xfId="0">
      <alignment wrapText="1"/>
    </xf>
    <xf numFmtId="37" fontId="6" fillId="0" borderId="1" applyAlignment="1" pivotButton="0" quotePrefix="0" xfId="0">
      <alignment wrapText="1"/>
    </xf>
    <xf numFmtId="37" fontId="6" fillId="27" borderId="0" applyAlignment="1" pivotButton="0" quotePrefix="0" xfId="0">
      <alignment wrapText="1"/>
    </xf>
    <xf numFmtId="37" fontId="6" fillId="0" borderId="0" applyAlignment="1" pivotButton="0" quotePrefix="0" xfId="0">
      <alignment wrapText="1"/>
    </xf>
    <xf numFmtId="37" fontId="4" fillId="27" borderId="25" applyAlignment="1" pivotButton="0" quotePrefix="0" xfId="0">
      <alignment wrapText="1"/>
    </xf>
    <xf numFmtId="37" fontId="0" fillId="0" borderId="25" applyAlignment="1" pivotButton="0" quotePrefix="0" xfId="0">
      <alignment wrapText="1"/>
    </xf>
    <xf numFmtId="37" fontId="110" fillId="15" borderId="3" pivotButton="0" quotePrefix="0" xfId="0"/>
    <xf numFmtId="37" fontId="110" fillId="0" borderId="24" pivotButton="0" quotePrefix="0" xfId="0"/>
    <xf numFmtId="0" fontId="116" fillId="15" borderId="1" applyAlignment="1" pivotButton="0" quotePrefix="0" xfId="0">
      <alignment horizontal="center" wrapText="1"/>
    </xf>
    <xf numFmtId="14" fontId="4" fillId="15" borderId="23" applyAlignment="1" pivotButton="0" quotePrefix="0" xfId="0">
      <alignment horizontal="left" vertical="center" indent="1"/>
    </xf>
    <xf numFmtId="14" fontId="4" fillId="15" borderId="7" applyAlignment="1" pivotButton="0" quotePrefix="0" xfId="0">
      <alignment horizontal="left" vertical="center" indent="1"/>
    </xf>
    <xf numFmtId="14" fontId="4" fillId="15" borderId="26" applyAlignment="1" pivotButton="0" quotePrefix="0" xfId="0">
      <alignment horizontal="left" vertical="center" indent="1"/>
    </xf>
    <xf numFmtId="14" fontId="4" fillId="15" borderId="1" applyAlignment="1" pivotButton="0" quotePrefix="0" xfId="0">
      <alignment horizontal="left" vertical="center" indent="1"/>
    </xf>
    <xf numFmtId="37" fontId="56" fillId="15" borderId="7" applyAlignment="1" pivotButton="0" quotePrefix="0" xfId="0">
      <alignment horizontal="right" vertical="center"/>
    </xf>
    <xf numFmtId="37" fontId="56" fillId="15" borderId="1" applyAlignment="1" pivotButton="0" quotePrefix="0" xfId="0">
      <alignment horizontal="right" vertical="center"/>
    </xf>
    <xf numFmtId="37" fontId="5" fillId="15" borderId="7" applyAlignment="1" pivotButton="0" quotePrefix="0" xfId="0">
      <alignment horizontal="right" vertical="center"/>
    </xf>
    <xf numFmtId="37" fontId="5" fillId="15" borderId="1" applyAlignment="1" pivotButton="0" quotePrefix="0" xfId="0">
      <alignment horizontal="right" vertical="center"/>
    </xf>
    <xf numFmtId="0" fontId="109" fillId="15" borderId="0" applyAlignment="1" pivotButton="0" quotePrefix="0" xfId="0">
      <alignment horizontal="left"/>
    </xf>
    <xf numFmtId="0" fontId="121" fillId="15" borderId="0" applyAlignment="1" pivotButton="0" quotePrefix="0" xfId="0">
      <alignment horizontal="left"/>
    </xf>
    <xf numFmtId="0" fontId="121" fillId="15" borderId="0" applyAlignment="1" pivotButton="0" quotePrefix="0" xfId="0">
      <alignment horizontal="left" vertical="center"/>
    </xf>
    <xf numFmtId="0" fontId="121" fillId="15" borderId="0" applyAlignment="1" pivotButton="0" quotePrefix="0" xfId="0">
      <alignment horizontal="left" vertical="top"/>
    </xf>
    <xf numFmtId="0" fontId="6" fillId="15" borderId="0" applyAlignment="1" pivotButton="0" quotePrefix="0" xfId="0">
      <alignment horizontal="left"/>
    </xf>
    <xf numFmtId="0" fontId="0" fillId="15" borderId="0" applyAlignment="1" pivotButton="0" quotePrefix="0" xfId="0">
      <alignment horizontal="left"/>
    </xf>
    <xf numFmtId="0" fontId="125" fillId="15" borderId="0" applyAlignment="1" pivotButton="0" quotePrefix="0" xfId="0">
      <alignment horizontal="center"/>
    </xf>
    <xf numFmtId="4" fontId="0" fillId="27" borderId="39" applyAlignment="1" pivotButton="0" quotePrefix="0" xfId="0">
      <alignment horizontal="center"/>
    </xf>
    <xf numFmtId="4" fontId="0" fillId="27" borderId="25" applyAlignment="1" pivotButton="0" quotePrefix="0" xfId="0">
      <alignment horizontal="center"/>
    </xf>
    <xf numFmtId="4" fontId="0" fillId="27" borderId="54" applyAlignment="1" pivotButton="0" quotePrefix="0" xfId="0">
      <alignment horizontal="center"/>
    </xf>
    <xf numFmtId="0" fontId="4" fillId="2" borderId="30" applyAlignment="1" pivotButton="0" quotePrefix="0" xfId="0">
      <alignment horizontal="center" wrapText="1"/>
    </xf>
    <xf numFmtId="0" fontId="0" fillId="0" borderId="8" applyAlignment="1" pivotButton="0" quotePrefix="0" xfId="0">
      <alignment horizontal="center" wrapText="1"/>
    </xf>
    <xf numFmtId="191" fontId="0" fillId="16" borderId="39" applyAlignment="1" applyProtection="1" pivotButton="0" quotePrefix="0" xfId="0">
      <alignment horizontal="center"/>
      <protection locked="0" hidden="0"/>
    </xf>
    <xf numFmtId="191" fontId="0" fillId="16" borderId="25" applyAlignment="1" applyProtection="1" pivotButton="0" quotePrefix="0" xfId="0">
      <alignment horizontal="center"/>
      <protection locked="0" hidden="0"/>
    </xf>
    <xf numFmtId="191" fontId="0" fillId="16" borderId="54" applyAlignment="1" applyProtection="1" pivotButton="0" quotePrefix="0" xfId="0">
      <alignment horizontal="center"/>
      <protection locked="0" hidden="0"/>
    </xf>
    <xf numFmtId="0" fontId="6" fillId="15" borderId="8" applyAlignment="1" pivotButton="0" quotePrefix="0" xfId="0">
      <alignment horizontal="center" vertical="top" wrapText="1"/>
    </xf>
    <xf numFmtId="0" fontId="6" fillId="15" borderId="0" applyAlignment="1" pivotButton="0" quotePrefix="0" xfId="0">
      <alignment horizontal="center" vertical="top" wrapText="1"/>
    </xf>
    <xf numFmtId="4" fontId="0" fillId="16" borderId="39" applyAlignment="1" applyProtection="1" pivotButton="0" quotePrefix="0" xfId="0">
      <alignment horizontal="center"/>
      <protection locked="0" hidden="0"/>
    </xf>
    <xf numFmtId="4" fontId="0" fillId="16" borderId="25" applyAlignment="1" applyProtection="1" pivotButton="0" quotePrefix="0" xfId="0">
      <alignment horizontal="center"/>
      <protection locked="0" hidden="0"/>
    </xf>
    <xf numFmtId="4" fontId="0" fillId="16" borderId="54" applyAlignment="1" applyProtection="1" pivotButton="0" quotePrefix="0" xfId="0">
      <alignment horizontal="center"/>
      <protection locked="0" hidden="0"/>
    </xf>
    <xf numFmtId="0" fontId="116" fillId="15" borderId="0" applyAlignment="1" pivotButton="0" quotePrefix="0" xfId="0">
      <alignment horizontal="left"/>
    </xf>
    <xf numFmtId="0" fontId="116" fillId="15" borderId="0" applyAlignment="1" pivotButton="0" quotePrefix="1" xfId="0">
      <alignment horizontal="left"/>
    </xf>
    <xf numFmtId="0" fontId="110" fillId="15" borderId="75" applyAlignment="1" pivotButton="0" quotePrefix="0" xfId="0">
      <alignment horizontal="center"/>
    </xf>
    <xf numFmtId="0" fontId="11" fillId="15" borderId="0" applyAlignment="1" pivotButton="0" quotePrefix="0" xfId="0">
      <alignment horizontal="center" vertical="center" wrapText="1"/>
    </xf>
    <xf numFmtId="37" fontId="146" fillId="2" borderId="3" applyAlignment="1" pivotButton="0" quotePrefix="0" xfId="0">
      <alignment horizontal="right"/>
    </xf>
    <xf numFmtId="37" fontId="146" fillId="2" borderId="24" applyAlignment="1" pivotButton="0" quotePrefix="0" xfId="0">
      <alignment horizontal="right"/>
    </xf>
    <xf numFmtId="0" fontId="6" fillId="15" borderId="23" applyAlignment="1" pivotButton="0" quotePrefix="0" xfId="0">
      <alignment horizontal="center" vertical="center" wrapText="1"/>
    </xf>
    <xf numFmtId="0" fontId="0" fillId="15" borderId="7" applyAlignment="1" pivotButton="0" quotePrefix="0" xfId="0">
      <alignment horizontal="center" vertical="center" wrapText="1"/>
    </xf>
    <xf numFmtId="0" fontId="0" fillId="15" borderId="19" applyAlignment="1" pivotButton="0" quotePrefix="0" xfId="0">
      <alignment horizontal="center" vertical="center" wrapText="1"/>
    </xf>
    <xf numFmtId="0" fontId="0" fillId="15" borderId="5" applyAlignment="1" pivotButton="0" quotePrefix="0" xfId="0">
      <alignment horizontal="center" vertical="center" wrapText="1"/>
    </xf>
    <xf numFmtId="0" fontId="0" fillId="15" borderId="20" applyAlignment="1" pivotButton="0" quotePrefix="0" xfId="0">
      <alignment horizontal="center" vertical="center" wrapText="1"/>
    </xf>
    <xf numFmtId="0" fontId="0" fillId="15" borderId="21" applyAlignment="1" pivotButton="0" quotePrefix="0" xfId="0">
      <alignment horizontal="center" vertical="center" wrapText="1"/>
    </xf>
    <xf numFmtId="0" fontId="0" fillId="15" borderId="4" applyAlignment="1" pivotButton="0" quotePrefix="0" xfId="0">
      <alignment horizontal="center" vertical="center" wrapText="1"/>
    </xf>
    <xf numFmtId="0" fontId="0" fillId="15" borderId="22" applyAlignment="1" pivotButton="0" quotePrefix="0" xfId="0">
      <alignment horizontal="center" vertical="center" wrapText="1"/>
    </xf>
    <xf numFmtId="0" fontId="4" fillId="0" borderId="80" applyAlignment="1" pivotButton="0" quotePrefix="0" xfId="0">
      <alignment horizontal="left" vertical="center" wrapText="1"/>
    </xf>
    <xf numFmtId="0" fontId="4" fillId="0" borderId="8" applyAlignment="1" pivotButton="0" quotePrefix="0" xfId="0">
      <alignment horizontal="left" vertical="center" wrapText="1"/>
    </xf>
    <xf numFmtId="0" fontId="0" fillId="0" borderId="8" applyAlignment="1" pivotButton="0" quotePrefix="0" xfId="0">
      <alignment vertical="center" wrapText="1"/>
    </xf>
    <xf numFmtId="0" fontId="0" fillId="0" borderId="88" applyAlignment="1" pivotButton="0" quotePrefix="0" xfId="0">
      <alignment vertical="center" wrapText="1"/>
    </xf>
    <xf numFmtId="0" fontId="4" fillId="0" borderId="177" applyAlignment="1" pivotButton="0" quotePrefix="0" xfId="0">
      <alignment horizontal="left" vertical="center" wrapText="1"/>
    </xf>
    <xf numFmtId="0" fontId="4" fillId="0" borderId="87" applyAlignment="1" pivotButton="0" quotePrefix="0" xfId="0">
      <alignment horizontal="left" vertical="center" wrapText="1"/>
    </xf>
    <xf numFmtId="0" fontId="0" fillId="0" borderId="87" applyAlignment="1" pivotButton="0" quotePrefix="0" xfId="0">
      <alignment vertical="center" wrapText="1"/>
    </xf>
    <xf numFmtId="0" fontId="0" fillId="0" borderId="178" applyAlignment="1" pivotButton="0" quotePrefix="0" xfId="0">
      <alignment vertical="center" wrapText="1"/>
    </xf>
    <xf numFmtId="3" fontId="6" fillId="27" borderId="39" applyAlignment="1" pivotButton="0" quotePrefix="0" xfId="0">
      <alignment wrapText="1"/>
    </xf>
    <xf numFmtId="3" fontId="6" fillId="27" borderId="54" applyAlignment="1" pivotButton="0" quotePrefix="0" xfId="0">
      <alignment wrapText="1"/>
    </xf>
    <xf numFmtId="0" fontId="8" fillId="2" borderId="30" applyAlignment="1" pivotButton="0" quotePrefix="0" xfId="0">
      <alignment horizontal="left" vertical="center" wrapText="1" indent="1"/>
    </xf>
    <xf numFmtId="0" fontId="8" fillId="0" borderId="8" applyAlignment="1" pivotButton="0" quotePrefix="0" xfId="0">
      <alignment horizontal="left" vertical="center" wrapText="1" indent="1"/>
    </xf>
    <xf numFmtId="0" fontId="8" fillId="0" borderId="14" applyAlignment="1" pivotButton="0" quotePrefix="0" xfId="0">
      <alignment horizontal="left" vertical="center" wrapText="1" indent="1"/>
    </xf>
    <xf numFmtId="0" fontId="8" fillId="0" borderId="3" applyAlignment="1" pivotButton="0" quotePrefix="0" xfId="0">
      <alignment horizontal="left" vertical="center" wrapText="1" indent="1"/>
    </xf>
    <xf numFmtId="0" fontId="8" fillId="0" borderId="0" applyAlignment="1" pivotButton="0" quotePrefix="0" xfId="0">
      <alignment horizontal="left" vertical="center" wrapText="1" indent="1"/>
    </xf>
    <xf numFmtId="0" fontId="8" fillId="0" borderId="24" applyAlignment="1" pivotButton="0" quotePrefix="0" xfId="0">
      <alignment horizontal="left" vertical="center" wrapText="1" indent="1"/>
    </xf>
    <xf numFmtId="0" fontId="8" fillId="0" borderId="9" applyAlignment="1" pivotButton="0" quotePrefix="0" xfId="0">
      <alignment horizontal="left" vertical="center" wrapText="1" indent="1"/>
    </xf>
    <xf numFmtId="0" fontId="8" fillId="0" borderId="1" applyAlignment="1" pivotButton="0" quotePrefix="0" xfId="0">
      <alignment horizontal="left" vertical="center" wrapText="1" indent="1"/>
    </xf>
    <xf numFmtId="0" fontId="8" fillId="0" borderId="11" applyAlignment="1" pivotButton="0" quotePrefix="0" xfId="0">
      <alignment horizontal="left" vertical="center" wrapText="1" indent="1"/>
    </xf>
    <xf numFmtId="0" fontId="4" fillId="2" borderId="3" applyAlignment="1" pivotButton="0" quotePrefix="0" xfId="0">
      <alignment horizontal="center" wrapText="1"/>
    </xf>
    <xf numFmtId="0" fontId="0" fillId="0" borderId="0" applyAlignment="1" pivotButton="0" quotePrefix="0" xfId="0">
      <alignment horizontal="center" wrapText="1"/>
    </xf>
    <xf numFmtId="0" fontId="0" fillId="0" borderId="24" applyAlignment="1" pivotButton="0" quotePrefix="0" xfId="0">
      <alignment horizontal="center" wrapText="1"/>
    </xf>
    <xf numFmtId="0" fontId="0" fillId="0" borderId="3" applyAlignment="1" pivotButton="0" quotePrefix="0" xfId="0">
      <alignment horizontal="center" wrapText="1"/>
    </xf>
    <xf numFmtId="0" fontId="6" fillId="2" borderId="30" applyAlignment="1" pivotButton="0" quotePrefix="0" xfId="0">
      <alignment horizontal="left" vertical="center" wrapText="1"/>
    </xf>
    <xf numFmtId="0" fontId="6" fillId="2" borderId="8" applyAlignment="1" pivotButton="0" quotePrefix="0" xfId="0">
      <alignment horizontal="left" vertical="center" wrapText="1"/>
    </xf>
    <xf numFmtId="0" fontId="6" fillId="2" borderId="14" applyAlignment="1" pivotButton="0" quotePrefix="0" xfId="0">
      <alignment horizontal="left" vertical="center" wrapText="1"/>
    </xf>
    <xf numFmtId="0" fontId="6" fillId="2" borderId="3" applyAlignment="1" pivotButton="0" quotePrefix="0" xfId="0">
      <alignment horizontal="left" vertical="center" wrapText="1"/>
    </xf>
    <xf numFmtId="0" fontId="6" fillId="2" borderId="0" applyAlignment="1" pivotButton="0" quotePrefix="0" xfId="0">
      <alignment horizontal="left" vertical="center" wrapText="1"/>
    </xf>
    <xf numFmtId="0" fontId="6" fillId="2" borderId="24" applyAlignment="1" pivotButton="0" quotePrefix="0" xfId="0">
      <alignment horizontal="left" vertical="center" wrapText="1"/>
    </xf>
    <xf numFmtId="0" fontId="6" fillId="2" borderId="9" applyAlignment="1" pivotButton="0" quotePrefix="0" xfId="0">
      <alignment horizontal="left" vertical="center" wrapText="1"/>
    </xf>
    <xf numFmtId="0" fontId="6" fillId="2" borderId="1" applyAlignment="1" pivotButton="0" quotePrefix="0" xfId="0">
      <alignment horizontal="left" vertical="center" wrapText="1"/>
    </xf>
    <xf numFmtId="0" fontId="6" fillId="2" borderId="11" applyAlignment="1" pivotButton="0" quotePrefix="0" xfId="0">
      <alignment horizontal="left" vertical="center" wrapText="1"/>
    </xf>
    <xf numFmtId="0" fontId="6" fillId="2" borderId="39" applyAlignment="1" pivotButton="0" quotePrefix="0" xfId="0">
      <alignment horizontal="center" vertical="center" wrapText="1"/>
    </xf>
    <xf numFmtId="0" fontId="6" fillId="2" borderId="25" applyAlignment="1" pivotButton="0" quotePrefix="0" xfId="0">
      <alignment horizontal="center" vertical="center" wrapText="1"/>
    </xf>
    <xf numFmtId="0" fontId="6" fillId="2" borderId="54" applyAlignment="1" pivotButton="0" quotePrefix="0" xfId="0">
      <alignment horizontal="center" vertical="center" wrapText="1"/>
    </xf>
    <xf numFmtId="0" fontId="9" fillId="2" borderId="8" applyAlignment="1" pivotButton="0" quotePrefix="0" xfId="0">
      <alignment horizontal="right" vertical="top" wrapText="1" indent="1"/>
    </xf>
    <xf numFmtId="0" fontId="0" fillId="0" borderId="8" applyAlignment="1" pivotButton="0" quotePrefix="0" xfId="0">
      <alignment horizontal="right" vertical="top" wrapText="1" indent="1"/>
    </xf>
    <xf numFmtId="0" fontId="0" fillId="0" borderId="0" applyAlignment="1" pivotButton="0" quotePrefix="0" xfId="0">
      <alignment horizontal="right" vertical="top" wrapText="1" indent="1"/>
    </xf>
    <xf numFmtId="0" fontId="0" fillId="0" borderId="14" applyAlignment="1" pivotButton="0" quotePrefix="0" xfId="0">
      <alignment horizontal="center" wrapText="1"/>
    </xf>
    <xf numFmtId="0" fontId="11" fillId="2" borderId="39" applyAlignment="1" pivotButton="0" quotePrefix="0" xfId="0">
      <alignment horizontal="center" vertical="center" wrapText="1"/>
    </xf>
    <xf numFmtId="0" fontId="11" fillId="2" borderId="25" applyAlignment="1" pivotButton="0" quotePrefix="0" xfId="0">
      <alignment horizontal="center" vertical="center" wrapText="1"/>
    </xf>
    <xf numFmtId="191" fontId="180" fillId="2" borderId="30" applyAlignment="1" pivotButton="0" quotePrefix="0" xfId="0">
      <alignment horizontal="center"/>
    </xf>
    <xf numFmtId="191" fontId="180" fillId="0" borderId="14" applyAlignment="1" pivotButton="0" quotePrefix="0" xfId="0">
      <alignment horizontal="center"/>
    </xf>
    <xf numFmtId="3" fontId="6" fillId="27" borderId="9" applyAlignment="1" pivotButton="0" quotePrefix="0" xfId="0">
      <alignment wrapText="1"/>
    </xf>
    <xf numFmtId="3" fontId="6" fillId="27" borderId="11" applyAlignment="1" pivotButton="0" quotePrefix="0" xfId="0">
      <alignment wrapText="1"/>
    </xf>
    <xf numFmtId="0" fontId="112" fillId="2" borderId="3" applyAlignment="1" pivotButton="0" quotePrefix="0" xfId="0">
      <alignment horizontal="center"/>
    </xf>
    <xf numFmtId="0" fontId="112" fillId="2" borderId="24" applyAlignment="1" pivotButton="0" quotePrefix="0" xfId="0">
      <alignment horizontal="center"/>
    </xf>
    <xf numFmtId="0" fontId="170" fillId="2" borderId="0" applyAlignment="1" pivotButton="0" quotePrefix="0" xfId="0">
      <alignment horizontal="right" vertical="center" wrapText="1"/>
    </xf>
    <xf numFmtId="0" fontId="170" fillId="0" borderId="0" applyAlignment="1" pivotButton="0" quotePrefix="0" xfId="0">
      <alignment horizontal="right" vertical="center" wrapText="1"/>
    </xf>
    <xf numFmtId="0" fontId="10" fillId="2" borderId="0" applyAlignment="1" pivotButton="0" quotePrefix="0" xfId="0">
      <alignment horizontal="center" vertical="center"/>
    </xf>
    <xf numFmtId="0" fontId="10" fillId="0" borderId="0" applyAlignment="1" pivotButton="0" quotePrefix="0" xfId="0">
      <alignment horizontal="center" vertical="center"/>
    </xf>
    <xf numFmtId="0" fontId="6" fillId="2" borderId="14" applyAlignment="1" pivotButton="0" quotePrefix="0" xfId="0">
      <alignment horizontal="center" wrapText="1"/>
    </xf>
    <xf numFmtId="0" fontId="116" fillId="15" borderId="0" pivotButton="0" quotePrefix="0" xfId="0"/>
    <xf numFmtId="0" fontId="116" fillId="15" borderId="24" pivotButton="0" quotePrefix="0" xfId="0"/>
    <xf numFmtId="0" fontId="15" fillId="15" borderId="181" applyAlignment="1" pivotButton="0" quotePrefix="0" xfId="0">
      <alignment horizontal="left" wrapText="1"/>
    </xf>
    <xf numFmtId="0" fontId="47" fillId="15" borderId="160" applyAlignment="1" pivotButton="0" quotePrefix="0" xfId="0">
      <alignment horizontal="left" wrapText="1"/>
    </xf>
    <xf numFmtId="0" fontId="47" fillId="15" borderId="160" applyAlignment="1" pivotButton="0" quotePrefix="0" xfId="0">
      <alignment wrapText="1"/>
    </xf>
    <xf numFmtId="0" fontId="47" fillId="15" borderId="40" applyAlignment="1" pivotButton="0" quotePrefix="0" xfId="0">
      <alignment wrapText="1"/>
    </xf>
    <xf numFmtId="0" fontId="121" fillId="8" borderId="20" applyAlignment="1" pivotButton="0" quotePrefix="0" xfId="0">
      <alignment horizontal="center" vertical="center" wrapText="1"/>
    </xf>
    <xf numFmtId="0" fontId="47" fillId="2" borderId="30" applyAlignment="1" pivotButton="0" quotePrefix="0" xfId="0">
      <alignment horizontal="left" vertical="center" wrapText="1" indent="1"/>
    </xf>
    <xf numFmtId="0" fontId="47" fillId="0" borderId="8" applyAlignment="1" pivotButton="0" quotePrefix="0" xfId="0">
      <alignment horizontal="left" vertical="center" wrapText="1" indent="1"/>
    </xf>
    <xf numFmtId="0" fontId="47" fillId="0" borderId="14" applyAlignment="1" pivotButton="0" quotePrefix="0" xfId="0">
      <alignment horizontal="left" vertical="center" wrapText="1" indent="1"/>
    </xf>
    <xf numFmtId="0" fontId="47" fillId="0" borderId="3" applyAlignment="1" pivotButton="0" quotePrefix="0" xfId="0">
      <alignment horizontal="left" vertical="center" wrapText="1" indent="1"/>
    </xf>
    <xf numFmtId="0" fontId="47" fillId="0" borderId="0" applyAlignment="1" pivotButton="0" quotePrefix="0" xfId="0">
      <alignment horizontal="left" vertical="center" wrapText="1" indent="1"/>
    </xf>
    <xf numFmtId="0" fontId="47" fillId="0" borderId="24" applyAlignment="1" pivotButton="0" quotePrefix="0" xfId="0">
      <alignment horizontal="left" vertical="center" wrapText="1" indent="1"/>
    </xf>
    <xf numFmtId="0" fontId="47" fillId="0" borderId="9" applyAlignment="1" pivotButton="0" quotePrefix="0" xfId="0">
      <alignment horizontal="left" vertical="center" wrapText="1" indent="1"/>
    </xf>
    <xf numFmtId="0" fontId="47" fillId="0" borderId="1" applyAlignment="1" pivotButton="0" quotePrefix="0" xfId="0">
      <alignment horizontal="left" vertical="center" wrapText="1" indent="1"/>
    </xf>
    <xf numFmtId="0" fontId="47" fillId="0" borderId="11" applyAlignment="1" pivotButton="0" quotePrefix="0" xfId="0">
      <alignment horizontal="left" vertical="center" wrapText="1" indent="1"/>
    </xf>
    <xf numFmtId="0" fontId="15" fillId="15" borderId="5" applyAlignment="1" pivotButton="0" quotePrefix="1" xfId="0">
      <alignment horizontal="right"/>
    </xf>
    <xf numFmtId="0" fontId="9" fillId="2" borderId="8" applyAlignment="1" pivotButton="0" quotePrefix="0" xfId="0">
      <alignment horizontal="center" vertical="top" wrapText="1"/>
    </xf>
    <xf numFmtId="0" fontId="6" fillId="0" borderId="1" applyAlignment="1" pivotButton="0" quotePrefix="0" xfId="0">
      <alignment horizontal="center" vertical="top" wrapText="1"/>
    </xf>
    <xf numFmtId="0" fontId="6" fillId="0" borderId="0" applyAlignment="1" pivotButton="0" quotePrefix="0" xfId="0">
      <alignment horizontal="center" vertical="top" wrapText="1"/>
    </xf>
    <xf numFmtId="0" fontId="4" fillId="27" borderId="1" applyAlignment="1" pivotButton="0" quotePrefix="0" xfId="0">
      <alignment horizontal="left" vertical="center"/>
    </xf>
    <xf numFmtId="0" fontId="6" fillId="0" borderId="1" applyAlignment="1" pivotButton="0" quotePrefix="0" xfId="0">
      <alignment vertical="center"/>
    </xf>
    <xf numFmtId="0" fontId="6" fillId="0" borderId="11" applyAlignment="1" pivotButton="0" quotePrefix="0" xfId="0">
      <alignment vertical="center"/>
    </xf>
    <xf numFmtId="0" fontId="0" fillId="15" borderId="179" applyAlignment="1" pivotButton="0" quotePrefix="0" xfId="0">
      <alignment horizontal="left" wrapText="1"/>
    </xf>
    <xf numFmtId="0" fontId="0" fillId="15" borderId="106" applyAlignment="1" pivotButton="0" quotePrefix="0" xfId="0">
      <alignment horizontal="left" wrapText="1"/>
    </xf>
    <xf numFmtId="0" fontId="0" fillId="15" borderId="180" applyAlignment="1" pivotButton="0" quotePrefix="0" xfId="0">
      <alignment horizontal="left" wrapText="1"/>
    </xf>
    <xf numFmtId="0" fontId="44" fillId="15" borderId="0" applyAlignment="1" pivotButton="0" quotePrefix="0" xfId="0">
      <alignment horizontal="center" vertical="center"/>
    </xf>
    <xf numFmtId="0" fontId="120" fillId="0" borderId="0" applyAlignment="1" pivotButton="0" quotePrefix="0" xfId="0">
      <alignment vertical="center"/>
    </xf>
    <xf numFmtId="0" fontId="14" fillId="0" borderId="8" applyAlignment="1" pivotButton="0" quotePrefix="0" xfId="0">
      <alignment horizontal="left" vertical="center" wrapText="1"/>
    </xf>
    <xf numFmtId="0" fontId="14" fillId="0" borderId="14" applyAlignment="1" pivotButton="0" quotePrefix="0" xfId="0">
      <alignment horizontal="left" vertical="center" wrapText="1"/>
    </xf>
    <xf numFmtId="0" fontId="14" fillId="0" borderId="0" applyAlignment="1" pivotButton="0" quotePrefix="0" xfId="0">
      <alignment horizontal="left" vertical="center" wrapText="1"/>
    </xf>
    <xf numFmtId="0" fontId="14" fillId="0" borderId="24" applyAlignment="1" pivotButton="0" quotePrefix="0" xfId="0">
      <alignment horizontal="left" vertical="center" wrapText="1"/>
    </xf>
    <xf numFmtId="0" fontId="14" fillId="0" borderId="1" applyAlignment="1" pivotButton="0" quotePrefix="0" xfId="0">
      <alignment horizontal="left" vertical="center" wrapText="1"/>
    </xf>
    <xf numFmtId="0" fontId="14" fillId="0" borderId="11" applyAlignment="1" pivotButton="0" quotePrefix="0" xfId="0">
      <alignment horizontal="left" vertical="center" wrapText="1"/>
    </xf>
    <xf numFmtId="0" fontId="112" fillId="2" borderId="121" pivotButton="0" quotePrefix="0" xfId="0"/>
    <xf numFmtId="0" fontId="112" fillId="0" borderId="121" pivotButton="0" quotePrefix="0" xfId="0"/>
    <xf numFmtId="0" fontId="173" fillId="2" borderId="0" applyAlignment="1" pivotButton="0" quotePrefix="0" xfId="0">
      <alignment horizontal="center"/>
    </xf>
    <xf numFmtId="0" fontId="91" fillId="2" borderId="0" applyAlignment="1" pivotButton="0" quotePrefix="0" xfId="0">
      <alignment horizontal="center" vertical="center" wrapText="1"/>
    </xf>
    <xf numFmtId="0" fontId="91" fillId="0" borderId="20" applyAlignment="1" pivotButton="0" quotePrefix="0" xfId="0">
      <alignment horizontal="center" vertical="center" wrapText="1"/>
    </xf>
    <xf numFmtId="0" fontId="91" fillId="0" borderId="0" applyAlignment="1" pivotButton="0" quotePrefix="0" xfId="0">
      <alignment horizontal="center" vertical="center" wrapText="1"/>
    </xf>
    <xf numFmtId="0" fontId="6" fillId="2" borderId="0" applyAlignment="1" pivotButton="0" quotePrefix="0" xfId="0">
      <alignment horizontal="right" vertical="center" wrapText="1"/>
    </xf>
    <xf numFmtId="0" fontId="0" fillId="0" borderId="0" applyAlignment="1" pivotButton="0" quotePrefix="0" xfId="0">
      <alignment horizontal="right" vertical="center" wrapText="1"/>
    </xf>
    <xf numFmtId="0" fontId="12" fillId="2" borderId="21" applyAlignment="1" pivotButton="0" quotePrefix="0" xfId="0">
      <alignment horizontal="center"/>
    </xf>
    <xf numFmtId="0" fontId="12" fillId="2" borderId="4" applyAlignment="1" pivotButton="0" quotePrefix="0" xfId="0">
      <alignment horizontal="center"/>
    </xf>
    <xf numFmtId="0" fontId="12" fillId="2" borderId="22" applyAlignment="1" pivotButton="0" quotePrefix="0" xfId="0">
      <alignment horizontal="center"/>
    </xf>
    <xf numFmtId="0" fontId="47" fillId="2" borderId="30" applyAlignment="1" pivotButton="0" quotePrefix="0" xfId="0">
      <alignment horizontal="left" vertical="center" wrapText="1"/>
    </xf>
    <xf numFmtId="0" fontId="47" fillId="2" borderId="8" applyAlignment="1" pivotButton="0" quotePrefix="0" xfId="0">
      <alignment horizontal="left" vertical="center" wrapText="1"/>
    </xf>
    <xf numFmtId="0" fontId="47" fillId="2" borderId="14" applyAlignment="1" pivotButton="0" quotePrefix="0" xfId="0">
      <alignment horizontal="left" vertical="center" wrapText="1"/>
    </xf>
    <xf numFmtId="0" fontId="47" fillId="2" borderId="3" applyAlignment="1" pivotButton="0" quotePrefix="0" xfId="0">
      <alignment horizontal="left" vertical="center" wrapText="1"/>
    </xf>
    <xf numFmtId="0" fontId="47" fillId="2" borderId="0" applyAlignment="1" pivotButton="0" quotePrefix="0" xfId="0">
      <alignment horizontal="left" vertical="center" wrapText="1"/>
    </xf>
    <xf numFmtId="0" fontId="47" fillId="2" borderId="24" applyAlignment="1" pivotButton="0" quotePrefix="0" xfId="0">
      <alignment horizontal="left" vertical="center" wrapText="1"/>
    </xf>
    <xf numFmtId="0" fontId="47" fillId="2" borderId="9" applyAlignment="1" pivotButton="0" quotePrefix="0" xfId="0">
      <alignment horizontal="left" vertical="center" wrapText="1"/>
    </xf>
    <xf numFmtId="0" fontId="47" fillId="2" borderId="1" applyAlignment="1" pivotButton="0" quotePrefix="0" xfId="0">
      <alignment horizontal="left" vertical="center" wrapText="1"/>
    </xf>
    <xf numFmtId="0" fontId="47" fillId="2" borderId="11" applyAlignment="1" pivotButton="0" quotePrefix="0" xfId="0">
      <alignment horizontal="left" vertical="center" wrapText="1"/>
    </xf>
    <xf numFmtId="0" fontId="112" fillId="2" borderId="30" applyAlignment="1" pivotButton="0" quotePrefix="0" xfId="0">
      <alignment horizontal="right"/>
    </xf>
    <xf numFmtId="0" fontId="112" fillId="2" borderId="8" applyAlignment="1" pivotButton="0" quotePrefix="0" xfId="0">
      <alignment horizontal="right"/>
    </xf>
    <xf numFmtId="37" fontId="0" fillId="27" borderId="39" applyAlignment="1" pivotButton="0" quotePrefix="0" xfId="0">
      <alignment vertical="center"/>
    </xf>
    <xf numFmtId="37" fontId="0" fillId="27" borderId="25" applyAlignment="1" pivotButton="0" quotePrefix="0" xfId="0">
      <alignment vertical="center"/>
    </xf>
    <xf numFmtId="37" fontId="110" fillId="2" borderId="30" pivotButton="0" quotePrefix="0" xfId="0"/>
    <xf numFmtId="0" fontId="6" fillId="2" borderId="1" applyAlignment="1" pivotButton="0" quotePrefix="0" xfId="0">
      <alignment horizontal="center"/>
    </xf>
    <xf numFmtId="0" fontId="6" fillId="2" borderId="30" applyAlignment="1" pivotButton="0" quotePrefix="0" xfId="0">
      <alignment horizontal="left" vertical="center" wrapText="1" indent="1"/>
    </xf>
    <xf numFmtId="0" fontId="6" fillId="0" borderId="8" applyAlignment="1" pivotButton="0" quotePrefix="0" xfId="0">
      <alignment horizontal="left" vertical="center" wrapText="1" indent="1"/>
    </xf>
    <xf numFmtId="0" fontId="6" fillId="0" borderId="14" applyAlignment="1" pivotButton="0" quotePrefix="0" xfId="0">
      <alignment horizontal="left" vertical="center" wrapText="1" indent="1"/>
    </xf>
    <xf numFmtId="0" fontId="6" fillId="0" borderId="3" applyAlignment="1" pivotButton="0" quotePrefix="0" xfId="0">
      <alignment horizontal="left" vertical="center" wrapText="1" indent="1"/>
    </xf>
    <xf numFmtId="0" fontId="6" fillId="0" borderId="0" applyAlignment="1" pivotButton="0" quotePrefix="0" xfId="0">
      <alignment horizontal="left" vertical="center" wrapText="1" indent="1"/>
    </xf>
    <xf numFmtId="0" fontId="6" fillId="0" borderId="24" applyAlignment="1" pivotButton="0" quotePrefix="0" xfId="0">
      <alignment horizontal="left" vertical="center" wrapText="1" indent="1"/>
    </xf>
    <xf numFmtId="0" fontId="6" fillId="0" borderId="9" applyAlignment="1" pivotButton="0" quotePrefix="0" xfId="0">
      <alignment horizontal="left" vertical="center" wrapText="1" indent="1"/>
    </xf>
    <xf numFmtId="0" fontId="6" fillId="0" borderId="1" applyAlignment="1" pivotButton="0" quotePrefix="0" xfId="0">
      <alignment horizontal="left" vertical="center" wrapText="1" indent="1"/>
    </xf>
    <xf numFmtId="0" fontId="6" fillId="0" borderId="11" applyAlignment="1" pivotButton="0" quotePrefix="0" xfId="0">
      <alignment horizontal="left" vertical="center" wrapText="1" indent="1"/>
    </xf>
    <xf numFmtId="0" fontId="4" fillId="2" borderId="3" applyAlignment="1" pivotButton="0" quotePrefix="0" xfId="0">
      <alignment horizontal="center" vertical="center"/>
    </xf>
    <xf numFmtId="206" fontId="6" fillId="2" borderId="9" applyAlignment="1" pivotButton="0" quotePrefix="0" xfId="0">
      <alignment horizontal="center" wrapText="1"/>
    </xf>
    <xf numFmtId="206" fontId="0" fillId="0" borderId="11" applyAlignment="1" pivotButton="0" quotePrefix="0" xfId="0">
      <alignment horizontal="center" wrapText="1"/>
    </xf>
    <xf numFmtId="0" fontId="0" fillId="2" borderId="5" applyAlignment="1" pivotButton="0" quotePrefix="0" xfId="0">
      <alignment horizontal="center" wrapText="1"/>
    </xf>
    <xf numFmtId="0" fontId="6" fillId="2" borderId="21" applyAlignment="1" pivotButton="0" quotePrefix="0" xfId="0">
      <alignment horizontal="center" vertical="center" wrapText="1"/>
    </xf>
    <xf numFmtId="0" fontId="0" fillId="0" borderId="4" applyAlignment="1" pivotButton="0" quotePrefix="0" xfId="0">
      <alignment vertical="center" wrapText="1"/>
    </xf>
    <xf numFmtId="0" fontId="0" fillId="0" borderId="4" applyAlignment="1" pivotButton="0" quotePrefix="0" xfId="0">
      <alignment wrapText="1"/>
    </xf>
    <xf numFmtId="0" fontId="0" fillId="0" borderId="22" applyAlignment="1" pivotButton="0" quotePrefix="0" xfId="0">
      <alignment wrapText="1"/>
    </xf>
    <xf numFmtId="0" fontId="44" fillId="15" borderId="7" applyAlignment="1" pivotButton="0" quotePrefix="0" xfId="0">
      <alignment horizontal="center" wrapText="1"/>
    </xf>
    <xf numFmtId="0" fontId="20" fillId="15" borderId="0" applyAlignment="1" pivotButton="0" quotePrefix="0" xfId="0">
      <alignment horizontal="center" vertical="center" wrapText="1"/>
    </xf>
    <xf numFmtId="0" fontId="15" fillId="15" borderId="0" applyAlignment="1" pivotButton="0" quotePrefix="0" xfId="0">
      <alignment horizontal="center" vertical="center" wrapText="1"/>
    </xf>
    <xf numFmtId="0" fontId="15" fillId="15" borderId="4" applyAlignment="1" pivotButton="0" quotePrefix="0" xfId="0">
      <alignment horizontal="center" vertical="center" wrapText="1"/>
    </xf>
    <xf numFmtId="0" fontId="20" fillId="2" borderId="5" applyAlignment="1" pivotButton="0" quotePrefix="0" xfId="0">
      <alignment horizontal="center" vertical="center" wrapText="1"/>
    </xf>
    <xf numFmtId="0" fontId="20" fillId="2" borderId="0" applyAlignment="1" pivotButton="0" quotePrefix="0" xfId="0">
      <alignment horizontal="center" vertical="center" wrapText="1"/>
    </xf>
    <xf numFmtId="0" fontId="20" fillId="2" borderId="20" applyAlignment="1" pivotButton="0" quotePrefix="0" xfId="0">
      <alignment horizontal="center" vertical="center" wrapText="1"/>
    </xf>
    <xf numFmtId="0" fontId="12" fillId="2" borderId="5" applyAlignment="1" pivotButton="0" quotePrefix="0" xfId="0">
      <alignment horizontal="center"/>
    </xf>
    <xf numFmtId="0" fontId="12" fillId="2" borderId="0" applyAlignment="1" pivotButton="0" quotePrefix="0" xfId="0">
      <alignment horizontal="center"/>
    </xf>
    <xf numFmtId="37" fontId="11" fillId="16" borderId="23" applyAlignment="1" applyProtection="1" pivotButton="0" quotePrefix="0" xfId="0">
      <alignment horizontal="right" vertical="center" wrapText="1" indent="1"/>
      <protection locked="0" hidden="0"/>
    </xf>
    <xf numFmtId="37" fontId="11" fillId="16" borderId="7" applyAlignment="1" applyProtection="1" pivotButton="0" quotePrefix="0" xfId="0">
      <alignment horizontal="right" vertical="center" wrapText="1" indent="1"/>
      <protection locked="0" hidden="0"/>
    </xf>
    <xf numFmtId="37" fontId="11" fillId="16" borderId="19" applyAlignment="1" applyProtection="1" pivotButton="0" quotePrefix="0" xfId="0">
      <alignment horizontal="right" vertical="center" wrapText="1" indent="1"/>
      <protection locked="0" hidden="0"/>
    </xf>
    <xf numFmtId="37" fontId="11" fillId="16" borderId="21" applyAlignment="1" applyProtection="1" pivotButton="0" quotePrefix="0" xfId="0">
      <alignment horizontal="right" vertical="center" wrapText="1" indent="1"/>
      <protection locked="0" hidden="0"/>
    </xf>
    <xf numFmtId="37" fontId="11" fillId="16" borderId="4" applyAlignment="1" applyProtection="1" pivotButton="0" quotePrefix="0" xfId="0">
      <alignment horizontal="right" vertical="center" wrapText="1" indent="1"/>
      <protection locked="0" hidden="0"/>
    </xf>
    <xf numFmtId="37" fontId="11" fillId="16" borderId="22" applyAlignment="1" applyProtection="1" pivotButton="0" quotePrefix="0" xfId="0">
      <alignment horizontal="right" vertical="center" wrapText="1" indent="1"/>
      <protection locked="0" hidden="0"/>
    </xf>
    <xf numFmtId="3" fontId="112" fillId="15" borderId="5" applyAlignment="1" pivotButton="0" quotePrefix="0" xfId="0">
      <alignment horizontal="center" wrapText="1"/>
    </xf>
    <xf numFmtId="3" fontId="112" fillId="15" borderId="0" applyAlignment="1" pivotButton="0" quotePrefix="0" xfId="0">
      <alignment horizontal="center" wrapText="1"/>
    </xf>
    <xf numFmtId="3" fontId="112" fillId="15" borderId="5" applyAlignment="1" pivotButton="0" quotePrefix="0" xfId="0">
      <alignment horizontal="center" vertical="center" wrapText="1"/>
    </xf>
    <xf numFmtId="3" fontId="112" fillId="15" borderId="0" applyAlignment="1" pivotButton="0" quotePrefix="0" xfId="0">
      <alignment horizontal="center" vertical="center" wrapText="1"/>
    </xf>
    <xf numFmtId="37" fontId="15" fillId="16" borderId="23" applyAlignment="1" applyProtection="1" pivotButton="0" quotePrefix="0" xfId="0">
      <alignment horizontal="right" vertical="center" wrapText="1" indent="1"/>
      <protection locked="0" hidden="0"/>
    </xf>
    <xf numFmtId="37" fontId="15" fillId="16" borderId="7" applyAlignment="1" applyProtection="1" pivotButton="0" quotePrefix="0" xfId="0">
      <alignment horizontal="right" vertical="center" wrapText="1" indent="1"/>
      <protection locked="0" hidden="0"/>
    </xf>
    <xf numFmtId="37" fontId="15" fillId="16" borderId="19" applyAlignment="1" applyProtection="1" pivotButton="0" quotePrefix="0" xfId="0">
      <alignment horizontal="right" vertical="center" wrapText="1" indent="1"/>
      <protection locked="0" hidden="0"/>
    </xf>
    <xf numFmtId="37" fontId="15" fillId="16" borderId="21" applyAlignment="1" applyProtection="1" pivotButton="0" quotePrefix="0" xfId="0">
      <alignment horizontal="right" vertical="center" wrapText="1" indent="1"/>
      <protection locked="0" hidden="0"/>
    </xf>
    <xf numFmtId="37" fontId="15" fillId="16" borderId="4" applyAlignment="1" applyProtection="1" pivotButton="0" quotePrefix="0" xfId="0">
      <alignment horizontal="right" vertical="center" wrapText="1" indent="1"/>
      <protection locked="0" hidden="0"/>
    </xf>
    <xf numFmtId="37" fontId="15" fillId="16" borderId="22" applyAlignment="1" applyProtection="1" pivotButton="0" quotePrefix="0" xfId="0">
      <alignment horizontal="right" vertical="center" wrapText="1" indent="1"/>
      <protection locked="0" hidden="0"/>
    </xf>
    <xf numFmtId="0" fontId="121" fillId="8" borderId="20" applyAlignment="1" pivotButton="0" quotePrefix="0" xfId="0">
      <alignment horizontal="center" wrapText="1"/>
    </xf>
    <xf numFmtId="0" fontId="15" fillId="0" borderId="181" applyAlignment="1" pivotButton="0" quotePrefix="0" xfId="0">
      <alignment horizontal="left" vertical="center" wrapText="1"/>
    </xf>
    <xf numFmtId="0" fontId="15" fillId="0" borderId="160" applyAlignment="1" pivotButton="0" quotePrefix="0" xfId="0">
      <alignment horizontal="left" vertical="center" wrapText="1"/>
    </xf>
    <xf numFmtId="0" fontId="15" fillId="0" borderId="40" applyAlignment="1" pivotButton="0" quotePrefix="0" xfId="0">
      <alignment horizontal="left" vertical="center" wrapText="1"/>
    </xf>
    <xf numFmtId="0" fontId="8" fillId="0" borderId="179" applyAlignment="1" pivotButton="0" quotePrefix="0" xfId="0">
      <alignment horizontal="left" vertical="top" wrapText="1"/>
    </xf>
    <xf numFmtId="0" fontId="8" fillId="0" borderId="106" applyAlignment="1" pivotButton="0" quotePrefix="0" xfId="0">
      <alignment horizontal="left" vertical="top" wrapText="1"/>
    </xf>
    <xf numFmtId="0" fontId="8" fillId="0" borderId="5" applyAlignment="1" pivotButton="0" quotePrefix="0" xfId="0">
      <alignment horizontal="left" vertical="top" wrapText="1"/>
    </xf>
    <xf numFmtId="0" fontId="8" fillId="0" borderId="0" applyAlignment="1" pivotButton="0" quotePrefix="0" xfId="0">
      <alignment horizontal="left" vertical="top" wrapText="1"/>
    </xf>
    <xf numFmtId="0" fontId="8" fillId="0" borderId="180" applyAlignment="1" pivotButton="0" quotePrefix="0" xfId="0">
      <alignment horizontal="left" vertical="top" wrapText="1"/>
    </xf>
    <xf numFmtId="0" fontId="8" fillId="0" borderId="20" applyAlignment="1" pivotButton="0" quotePrefix="0" xfId="0">
      <alignment horizontal="left" vertical="top" wrapText="1"/>
    </xf>
    <xf numFmtId="0" fontId="6" fillId="0" borderId="5" applyAlignment="1" pivotButton="0" quotePrefix="0" xfId="0">
      <alignment horizontal="left" vertical="center" wrapText="1"/>
    </xf>
    <xf numFmtId="0" fontId="6" fillId="0" borderId="20" applyAlignment="1" pivotButton="0" quotePrefix="0" xfId="0">
      <alignment horizontal="left" vertical="center" wrapText="1"/>
    </xf>
    <xf numFmtId="0" fontId="6" fillId="0" borderId="21" applyAlignment="1" pivotButton="0" quotePrefix="0" xfId="0">
      <alignment horizontal="left" vertical="center" wrapText="1"/>
    </xf>
    <xf numFmtId="0" fontId="6" fillId="0" borderId="22" applyAlignment="1" pivotButton="0" quotePrefix="0" xfId="0">
      <alignment horizontal="left" vertical="center" wrapText="1"/>
    </xf>
    <xf numFmtId="0" fontId="6" fillId="15" borderId="5" applyAlignment="1" pivotButton="0" quotePrefix="0" xfId="0">
      <alignment horizontal="left" vertical="top" wrapText="1"/>
    </xf>
    <xf numFmtId="0" fontId="0" fillId="0" borderId="20" applyAlignment="1" pivotButton="0" quotePrefix="0" xfId="0">
      <alignment wrapText="1"/>
    </xf>
    <xf numFmtId="0" fontId="0" fillId="0" borderId="26" applyAlignment="1" pivotButton="0" quotePrefix="0" xfId="0">
      <alignment horizontal="left" wrapText="1"/>
    </xf>
    <xf numFmtId="37" fontId="11" fillId="16" borderId="59" applyAlignment="1" applyProtection="1" pivotButton="0" quotePrefix="0" xfId="0">
      <alignment horizontal="right" vertical="center" wrapText="1" indent="1"/>
      <protection locked="0" hidden="0"/>
    </xf>
    <xf numFmtId="37" fontId="11" fillId="16" borderId="74" applyAlignment="1" applyProtection="1" pivotButton="0" quotePrefix="0" xfId="0">
      <alignment horizontal="right" vertical="center" wrapText="1" indent="1"/>
      <protection locked="0" hidden="0"/>
    </xf>
    <xf numFmtId="37" fontId="11" fillId="16" borderId="60" applyAlignment="1" applyProtection="1" pivotButton="0" quotePrefix="0" xfId="0">
      <alignment horizontal="right" vertical="center" wrapText="1" indent="1"/>
      <protection locked="0" hidden="0"/>
    </xf>
    <xf numFmtId="176" fontId="4" fillId="27" borderId="9" applyAlignment="1" pivotButton="0" quotePrefix="0" xfId="0">
      <alignment horizontal="center" vertical="center"/>
    </xf>
    <xf numFmtId="176" fontId="4" fillId="27" borderId="1" applyAlignment="1" pivotButton="0" quotePrefix="0" xfId="0">
      <alignment horizontal="center" vertical="center"/>
    </xf>
    <xf numFmtId="0" fontId="44" fillId="2" borderId="8" applyAlignment="1" pivotButton="0" quotePrefix="0" xfId="0">
      <alignment horizontal="center" vertical="center"/>
    </xf>
    <xf numFmtId="0" fontId="6" fillId="2" borderId="30" applyAlignment="1" pivotButton="0" quotePrefix="0" xfId="0">
      <alignment horizontal="left" vertical="center"/>
    </xf>
    <xf numFmtId="0" fontId="6" fillId="2" borderId="8" applyAlignment="1" pivotButton="0" quotePrefix="0" xfId="0">
      <alignment horizontal="left" vertical="center"/>
    </xf>
    <xf numFmtId="0" fontId="6" fillId="2" borderId="14" applyAlignment="1" pivotButton="0" quotePrefix="0" xfId="0">
      <alignment horizontal="left" vertical="center"/>
    </xf>
    <xf numFmtId="0" fontId="6" fillId="2" borderId="9" applyAlignment="1" pivotButton="0" quotePrefix="0" xfId="0">
      <alignment horizontal="left" vertical="center"/>
    </xf>
    <xf numFmtId="0" fontId="6" fillId="2" borderId="1" applyAlignment="1" pivotButton="0" quotePrefix="0" xfId="0">
      <alignment horizontal="left" vertical="center"/>
    </xf>
    <xf numFmtId="0" fontId="6" fillId="2" borderId="11" applyAlignment="1" pivotButton="0" quotePrefix="0" xfId="0">
      <alignment horizontal="left" vertical="center"/>
    </xf>
    <xf numFmtId="37" fontId="6" fillId="27" borderId="9" applyAlignment="1" pivotButton="0" quotePrefix="0" xfId="0">
      <alignment horizontal="right" vertical="center"/>
    </xf>
    <xf numFmtId="37" fontId="6" fillId="27" borderId="1" applyAlignment="1" pivotButton="0" quotePrefix="0" xfId="0">
      <alignment horizontal="right" vertical="center"/>
    </xf>
    <xf numFmtId="0" fontId="6" fillId="0" borderId="8" applyAlignment="1" pivotButton="0" quotePrefix="0" xfId="0">
      <alignment horizontal="left" vertical="center" wrapText="1"/>
    </xf>
    <xf numFmtId="0" fontId="6" fillId="0" borderId="14" applyAlignment="1" pivotButton="0" quotePrefix="0" xfId="0">
      <alignment horizontal="left" vertical="center" wrapText="1"/>
    </xf>
    <xf numFmtId="0" fontId="6" fillId="0" borderId="9"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1" applyAlignment="1" pivotButton="0" quotePrefix="0" xfId="0">
      <alignment horizontal="left" vertical="center" wrapText="1"/>
    </xf>
    <xf numFmtId="0" fontId="110" fillId="15" borderId="4" applyAlignment="1" pivotButton="0" quotePrefix="0" xfId="0">
      <alignment wrapText="1"/>
    </xf>
    <xf numFmtId="0" fontId="110" fillId="0" borderId="4" applyAlignment="1" pivotButton="0" quotePrefix="0" xfId="0">
      <alignment wrapText="1"/>
    </xf>
    <xf numFmtId="0" fontId="0" fillId="0" borderId="1" applyAlignment="1" pivotButton="0" quotePrefix="0" xfId="0">
      <alignment vertical="center"/>
    </xf>
    <xf numFmtId="0" fontId="0" fillId="2" borderId="30" pivotButton="0" quotePrefix="0" xfId="0"/>
    <xf numFmtId="0" fontId="8" fillId="2" borderId="56" applyAlignment="1" pivotButton="0" quotePrefix="0" xfId="0">
      <alignment horizontal="left" indent="1"/>
    </xf>
    <xf numFmtId="0" fontId="8" fillId="2" borderId="7" applyAlignment="1" pivotButton="0" quotePrefix="0" xfId="0">
      <alignment horizontal="left" indent="1"/>
    </xf>
    <xf numFmtId="0" fontId="15" fillId="15" borderId="160" applyAlignment="1" pivotButton="0" quotePrefix="0" xfId="0">
      <alignment horizontal="left" wrapText="1"/>
    </xf>
    <xf numFmtId="0" fontId="15" fillId="15" borderId="40" applyAlignment="1" pivotButton="0" quotePrefix="0" xfId="0">
      <alignment horizontal="left" wrapText="1"/>
    </xf>
    <xf numFmtId="37" fontId="116" fillId="2" borderId="0" applyAlignment="1" pivotButton="0" quotePrefix="0" xfId="0">
      <alignment horizontal="center" vertical="center"/>
    </xf>
    <xf numFmtId="3" fontId="6" fillId="27" borderId="39" applyAlignment="1" pivotButton="0" quotePrefix="0" xfId="0">
      <alignment horizontal="center" vertical="center" wrapText="1"/>
    </xf>
    <xf numFmtId="0" fontId="6" fillId="27" borderId="54" applyAlignment="1" pivotButton="0" quotePrefix="0" xfId="0">
      <alignment horizontal="center" vertical="center" wrapText="1"/>
    </xf>
    <xf numFmtId="167" fontId="8" fillId="2" borderId="12" applyAlignment="1" applyProtection="1" pivotButton="0" quotePrefix="0" xfId="0">
      <alignment horizontal="center" vertical="center" wrapText="1"/>
      <protection locked="0" hidden="0"/>
    </xf>
    <xf numFmtId="3" fontId="6" fillId="27" borderId="3" applyAlignment="1" pivotButton="0" quotePrefix="0" xfId="0">
      <alignment wrapText="1"/>
    </xf>
    <xf numFmtId="3" fontId="6" fillId="27" borderId="24" applyAlignment="1" pivotButton="0" quotePrefix="0" xfId="0">
      <alignment wrapText="1"/>
    </xf>
    <xf numFmtId="171" fontId="8" fillId="2" borderId="0" applyAlignment="1" pivotButton="0" quotePrefix="0" xfId="0">
      <alignment horizontal="center" vertical="center" wrapText="1"/>
    </xf>
    <xf numFmtId="3" fontId="116" fillId="2" borderId="0" applyAlignment="1" pivotButton="0" quotePrefix="0" xfId="0">
      <alignment horizontal="center" vertical="center" wrapText="1"/>
    </xf>
    <xf numFmtId="3" fontId="0" fillId="27" borderId="155" applyAlignment="1" pivotButton="0" quotePrefix="0" xfId="0">
      <alignment horizontal="right" vertical="center"/>
    </xf>
    <xf numFmtId="3" fontId="0" fillId="27" borderId="121" applyAlignment="1" pivotButton="0" quotePrefix="0" xfId="0">
      <alignment horizontal="right" vertical="center"/>
    </xf>
    <xf numFmtId="3" fontId="146" fillId="2" borderId="3" applyAlignment="1" applyProtection="1" pivotButton="0" quotePrefix="0" xfId="0">
      <alignment horizontal="center" vertical="center"/>
      <protection locked="0" hidden="0"/>
    </xf>
    <xf numFmtId="3" fontId="146" fillId="2" borderId="0" applyAlignment="1" applyProtection="1" pivotButton="0" quotePrefix="0" xfId="0">
      <alignment horizontal="center" vertical="center"/>
      <protection locked="0" hidden="0"/>
    </xf>
    <xf numFmtId="3" fontId="6" fillId="27" borderId="3" applyAlignment="1" pivotButton="0" quotePrefix="0" xfId="0">
      <alignment vertical="center" wrapText="1"/>
    </xf>
    <xf numFmtId="3" fontId="6" fillId="27" borderId="0" applyAlignment="1" pivotButton="0" quotePrefix="0" xfId="0">
      <alignment vertical="center" wrapText="1"/>
    </xf>
    <xf numFmtId="206" fontId="0" fillId="0" borderId="1" applyAlignment="1" pivotButton="0" quotePrefix="0" xfId="0">
      <alignment horizontal="center" wrapText="1"/>
    </xf>
    <xf numFmtId="191" fontId="180" fillId="0" borderId="8" applyAlignment="1" pivotButton="0" quotePrefix="0" xfId="0">
      <alignment horizontal="center"/>
    </xf>
    <xf numFmtId="3" fontId="6" fillId="27" borderId="24" applyAlignment="1" pivotButton="0" quotePrefix="0" xfId="0">
      <alignment vertical="center" wrapText="1"/>
    </xf>
    <xf numFmtId="3" fontId="6" fillId="27" borderId="25" applyAlignment="1" pivotButton="0" quotePrefix="0" xfId="0">
      <alignment wrapText="1"/>
    </xf>
    <xf numFmtId="0" fontId="67" fillId="0" borderId="62" applyAlignment="1" pivotButton="0" quotePrefix="0" xfId="2">
      <alignment horizontal="center" wrapText="1"/>
    </xf>
    <xf numFmtId="0" fontId="67" fillId="0" borderId="63" applyAlignment="1" pivotButton="0" quotePrefix="0" xfId="2">
      <alignment horizontal="center" wrapText="1"/>
    </xf>
    <xf numFmtId="0" fontId="67" fillId="0" borderId="62" applyAlignment="1" pivotButton="0" quotePrefix="0" xfId="2">
      <alignment horizontal="center" vertical="center" wrapText="1"/>
    </xf>
    <xf numFmtId="0" fontId="67" fillId="0" borderId="63" applyAlignment="1" pivotButton="0" quotePrefix="0" xfId="2">
      <alignment horizontal="center" vertical="center" wrapText="1"/>
    </xf>
    <xf numFmtId="0" fontId="8" fillId="15" borderId="0" applyAlignment="1" pivotButton="0" quotePrefix="0" xfId="0">
      <alignment horizontal="left" vertical="center" wrapText="1"/>
    </xf>
    <xf numFmtId="0" fontId="8" fillId="0" borderId="0" applyAlignment="1" pivotButton="0" quotePrefix="0" xfId="0">
      <alignment horizontal="left" vertical="center" wrapText="1"/>
    </xf>
    <xf numFmtId="0" fontId="8" fillId="0" borderId="24" applyAlignment="1" pivotButton="0" quotePrefix="0" xfId="0">
      <alignment horizontal="left" vertical="center" wrapText="1"/>
    </xf>
    <xf numFmtId="14" fontId="6" fillId="8" borderId="39" applyAlignment="1" pivotButton="0" quotePrefix="0" xfId="0">
      <alignment horizontal="center" vertical="center" wrapText="1"/>
    </xf>
    <xf numFmtId="0" fontId="6" fillId="8" borderId="54" applyAlignment="1" pivotButton="0" quotePrefix="0" xfId="0">
      <alignment horizontal="center" vertical="center" wrapText="1"/>
    </xf>
    <xf numFmtId="0" fontId="8" fillId="15" borderId="8" applyAlignment="1" pivotButton="0" quotePrefix="0" xfId="0">
      <alignment horizontal="left" vertical="center" wrapText="1"/>
    </xf>
    <xf numFmtId="0" fontId="8" fillId="0" borderId="8" applyAlignment="1" pivotButton="0" quotePrefix="0" xfId="0">
      <alignment horizontal="left" vertical="center" wrapText="1"/>
    </xf>
    <xf numFmtId="0" fontId="8" fillId="0" borderId="14" applyAlignment="1" pivotButton="0" quotePrefix="0" xfId="0">
      <alignment horizontal="left" vertical="center" wrapText="1"/>
    </xf>
    <xf numFmtId="0" fontId="8" fillId="0" borderId="1" applyAlignment="1" pivotButton="0" quotePrefix="0" xfId="0">
      <alignment horizontal="left" vertical="center" wrapText="1"/>
    </xf>
    <xf numFmtId="0" fontId="8" fillId="0" borderId="11" applyAlignment="1" pivotButton="0" quotePrefix="0" xfId="0">
      <alignment horizontal="left" vertical="center" wrapText="1"/>
    </xf>
    <xf numFmtId="206" fontId="6" fillId="2" borderId="9" applyAlignment="1" pivotButton="0" quotePrefix="0" xfId="0">
      <alignment horizontal="center" vertical="center" wrapText="1"/>
    </xf>
    <xf numFmtId="206" fontId="0" fillId="0" borderId="11" applyAlignment="1" pivotButton="0" quotePrefix="0" xfId="0">
      <alignment horizontal="center" vertical="center" wrapText="1"/>
    </xf>
    <xf numFmtId="206" fontId="6" fillId="0" borderId="11" applyAlignment="1" pivotButton="0" quotePrefix="0" xfId="0">
      <alignment horizontal="center" vertical="center" wrapText="1"/>
    </xf>
    <xf numFmtId="0" fontId="10" fillId="2" borderId="30" applyAlignment="1" pivotButton="0" quotePrefix="0" xfId="0">
      <alignment horizontal="left" vertical="center" wrapText="1"/>
    </xf>
    <xf numFmtId="185" fontId="4" fillId="2" borderId="9" applyAlignment="1" pivotButton="0" quotePrefix="0" xfId="0">
      <alignment horizontal="center" vertical="center" wrapText="1"/>
    </xf>
    <xf numFmtId="185" fontId="4" fillId="2" borderId="11" applyAlignment="1" pivotButton="0" quotePrefix="0" xfId="0">
      <alignment horizontal="center" vertical="center" wrapText="1"/>
    </xf>
    <xf numFmtId="171" fontId="116" fillId="15" borderId="0" applyAlignment="1" pivotButton="0" quotePrefix="0" xfId="0">
      <alignment horizontal="center" vertical="center" wrapText="1"/>
    </xf>
    <xf numFmtId="171" fontId="116" fillId="0" borderId="0" applyAlignment="1" pivotButton="0" quotePrefix="0" xfId="0">
      <alignment horizontal="center" vertical="center" wrapText="1"/>
    </xf>
    <xf numFmtId="171" fontId="116" fillId="0" borderId="24" applyAlignment="1" pivotButton="0" quotePrefix="0" xfId="0">
      <alignment horizontal="center" vertical="center" wrapText="1"/>
    </xf>
    <xf numFmtId="0" fontId="172" fillId="15" borderId="30" applyAlignment="1" pivotButton="0" quotePrefix="0" xfId="0">
      <alignment horizontal="left" vertical="center" wrapText="1" indent="1"/>
    </xf>
    <xf numFmtId="0" fontId="146" fillId="0" borderId="8" applyAlignment="1" pivotButton="0" quotePrefix="0" xfId="0">
      <alignment horizontal="left" vertical="center" wrapText="1" indent="1"/>
    </xf>
    <xf numFmtId="0" fontId="146" fillId="0" borderId="14" applyAlignment="1" pivotButton="0" quotePrefix="0" xfId="0">
      <alignment horizontal="left" vertical="center" wrapText="1" indent="1"/>
    </xf>
    <xf numFmtId="0" fontId="146" fillId="0" borderId="3" applyAlignment="1" pivotButton="0" quotePrefix="0" xfId="0">
      <alignment horizontal="left" vertical="center" wrapText="1" indent="1"/>
    </xf>
    <xf numFmtId="0" fontId="146" fillId="0" borderId="0" applyAlignment="1" pivotButton="0" quotePrefix="0" xfId="0">
      <alignment horizontal="left" vertical="center" wrapText="1" indent="1"/>
    </xf>
    <xf numFmtId="0" fontId="146" fillId="0" borderId="24" applyAlignment="1" pivotButton="0" quotePrefix="0" xfId="0">
      <alignment horizontal="left" vertical="center" wrapText="1" indent="1"/>
    </xf>
    <xf numFmtId="37" fontId="116" fillId="2" borderId="3" applyAlignment="1" pivotButton="0" quotePrefix="0" xfId="0">
      <alignment horizontal="center" vertical="center"/>
    </xf>
    <xf numFmtId="1" fontId="6" fillId="2" borderId="9" applyAlignment="1" pivotButton="0" quotePrefix="0" xfId="0">
      <alignment horizontal="center" vertical="center" wrapText="1"/>
    </xf>
    <xf numFmtId="1" fontId="6" fillId="0" borderId="11" applyAlignment="1" pivotButton="0" quotePrefix="0" xfId="0">
      <alignment horizontal="center" vertical="center" wrapText="1"/>
    </xf>
    <xf numFmtId="0" fontId="4" fillId="2" borderId="39" applyAlignment="1" pivotButton="0" quotePrefix="0" xfId="0">
      <alignment horizontal="center" vertical="center" wrapText="1"/>
    </xf>
    <xf numFmtId="0" fontId="4" fillId="2" borderId="25" applyAlignment="1" pivotButton="0" quotePrefix="0" xfId="0">
      <alignment horizontal="center" vertical="center" wrapText="1"/>
    </xf>
    <xf numFmtId="171" fontId="116" fillId="2" borderId="3" applyAlignment="1" pivotButton="0" quotePrefix="0" xfId="0">
      <alignment horizontal="center" vertical="center" wrapText="1"/>
    </xf>
    <xf numFmtId="171" fontId="116" fillId="2" borderId="0" applyAlignment="1" pivotButton="0" quotePrefix="0" xfId="0">
      <alignment horizontal="center" vertical="center" wrapText="1"/>
    </xf>
    <xf numFmtId="206" fontId="0" fillId="0" borderId="1" applyAlignment="1" pivotButton="0" quotePrefix="0" xfId="0">
      <alignment horizontal="center" vertical="center" wrapText="1"/>
    </xf>
    <xf numFmtId="185" fontId="4" fillId="2" borderId="3" applyAlignment="1" pivotButton="0" quotePrefix="0" xfId="0">
      <alignment horizontal="center" vertical="center" wrapText="1"/>
    </xf>
    <xf numFmtId="185" fontId="4" fillId="2" borderId="0" applyAlignment="1" pivotButton="0" quotePrefix="0" xfId="0">
      <alignment horizontal="center" vertical="center" wrapText="1"/>
    </xf>
    <xf numFmtId="167" fontId="8" fillId="2" borderId="39" applyAlignment="1" applyProtection="1" pivotButton="0" quotePrefix="0" xfId="0">
      <alignment horizontal="center" vertical="center" wrapText="1"/>
      <protection locked="0" hidden="0"/>
    </xf>
    <xf numFmtId="1" fontId="6" fillId="0" borderId="1" applyAlignment="1" pivotButton="0" quotePrefix="0" xfId="0">
      <alignment horizontal="center" vertical="center" wrapText="1"/>
    </xf>
    <xf numFmtId="185" fontId="4" fillId="2" borderId="1" applyAlignment="1" pivotButton="0" quotePrefix="0" xfId="0">
      <alignment horizontal="center" vertical="center" wrapText="1"/>
    </xf>
    <xf numFmtId="0" fontId="146" fillId="2" borderId="30" applyAlignment="1" pivotButton="0" quotePrefix="0" xfId="0">
      <alignment horizontal="center"/>
    </xf>
    <xf numFmtId="0" fontId="146" fillId="2" borderId="14" applyAlignment="1" pivotButton="0" quotePrefix="0" xfId="0">
      <alignment horizontal="center"/>
    </xf>
    <xf numFmtId="0" fontId="146" fillId="2" borderId="8" applyAlignment="1" pivotButton="0" quotePrefix="0" xfId="0">
      <alignment horizontal="center"/>
    </xf>
    <xf numFmtId="0" fontId="146" fillId="2" borderId="3" applyAlignment="1" pivotButton="0" quotePrefix="0" xfId="0">
      <alignment horizontal="center" vertical="top"/>
    </xf>
    <xf numFmtId="0" fontId="146" fillId="2" borderId="24" applyAlignment="1" pivotButton="0" quotePrefix="0" xfId="0">
      <alignment horizontal="center" vertical="top"/>
    </xf>
    <xf numFmtId="175" fontId="146" fillId="2" borderId="3" applyAlignment="1" pivotButton="0" quotePrefix="0" xfId="0">
      <alignment horizontal="right"/>
    </xf>
    <xf numFmtId="175" fontId="146" fillId="2" borderId="24" applyAlignment="1" pivotButton="0" quotePrefix="0" xfId="0">
      <alignment horizontal="right"/>
    </xf>
    <xf numFmtId="0" fontId="146" fillId="2" borderId="0" applyAlignment="1" pivotButton="0" quotePrefix="0" xfId="0">
      <alignment horizontal="center" vertical="top"/>
    </xf>
    <xf numFmtId="175" fontId="146" fillId="2" borderId="0" applyAlignment="1" pivotButton="0" quotePrefix="0" xfId="0">
      <alignment horizontal="right"/>
    </xf>
    <xf numFmtId="37" fontId="146" fillId="2" borderId="0" applyAlignment="1" pivotButton="0" quotePrefix="0" xfId="0">
      <alignment horizontal="right"/>
    </xf>
    <xf numFmtId="0" fontId="4" fillId="0" borderId="4" applyAlignment="1" pivotButton="0" quotePrefix="0" xfId="0">
      <alignment horizontal="center"/>
    </xf>
    <xf numFmtId="2" fontId="6" fillId="15" borderId="0" applyAlignment="1" pivotButton="0" quotePrefix="0" xfId="0">
      <alignment horizontal="left"/>
    </xf>
    <xf numFmtId="0" fontId="12" fillId="3" borderId="3" applyAlignment="1" pivotButton="0" quotePrefix="0" xfId="0">
      <alignment horizontal="center"/>
    </xf>
    <xf numFmtId="0" fontId="12" fillId="3" borderId="0" applyAlignment="1" pivotButton="0" quotePrefix="0" xfId="0">
      <alignment horizontal="center"/>
    </xf>
    <xf numFmtId="0" fontId="6" fillId="15" borderId="24" applyAlignment="1" pivotButton="0" quotePrefix="0" xfId="0">
      <alignment horizontal="left" vertical="top" wrapText="1"/>
    </xf>
    <xf numFmtId="0" fontId="6" fillId="15" borderId="21" applyAlignment="1" pivotButton="0" quotePrefix="0" xfId="0">
      <alignment horizontal="left" vertical="top" wrapText="1"/>
    </xf>
    <xf numFmtId="0" fontId="6" fillId="15" borderId="4" applyAlignment="1" pivotButton="0" quotePrefix="0" xfId="0">
      <alignment horizontal="left" vertical="top" wrapText="1"/>
    </xf>
    <xf numFmtId="0" fontId="6" fillId="15" borderId="70" applyAlignment="1" pivotButton="0" quotePrefix="0" xfId="0">
      <alignment horizontal="left" vertical="top" wrapText="1"/>
    </xf>
    <xf numFmtId="0" fontId="10" fillId="20" borderId="97" applyAlignment="1" applyProtection="1" pivotButton="0" quotePrefix="0" xfId="0">
      <alignment horizontal="left"/>
      <protection locked="0" hidden="0"/>
    </xf>
    <xf numFmtId="0" fontId="10" fillId="20" borderId="94" applyAlignment="1" applyProtection="1" pivotButton="0" quotePrefix="0" xfId="0">
      <alignment horizontal="left"/>
      <protection locked="0" hidden="0"/>
    </xf>
    <xf numFmtId="0" fontId="6" fillId="16" borderId="94" applyAlignment="1" applyProtection="1" pivotButton="0" quotePrefix="0" xfId="0">
      <alignment horizontal="left"/>
      <protection locked="0" hidden="0"/>
    </xf>
    <xf numFmtId="0" fontId="6" fillId="16" borderId="95" applyAlignment="1" applyProtection="1" pivotButton="0" quotePrefix="0" xfId="0">
      <alignment horizontal="left"/>
      <protection locked="0" hidden="0"/>
    </xf>
    <xf numFmtId="0" fontId="15" fillId="20" borderId="25" applyAlignment="1" applyProtection="1" pivotButton="0" quotePrefix="0" xfId="0">
      <alignment horizontal="left" vertical="center" indent="1"/>
      <protection locked="0" hidden="0"/>
    </xf>
    <xf numFmtId="0" fontId="15" fillId="16" borderId="25" applyAlignment="1" applyProtection="1" pivotButton="0" quotePrefix="0" xfId="0">
      <alignment horizontal="left" vertical="center" indent="1"/>
      <protection locked="0" hidden="0"/>
    </xf>
    <xf numFmtId="0" fontId="15" fillId="16" borderId="54" applyAlignment="1" applyProtection="1" pivotButton="0" quotePrefix="0" xfId="0">
      <alignment horizontal="left" vertical="center" indent="1"/>
      <protection locked="0" hidden="0"/>
    </xf>
    <xf numFmtId="176" fontId="4" fillId="20" borderId="39" applyAlignment="1" applyProtection="1" pivotButton="0" quotePrefix="0" xfId="0">
      <alignment horizontal="center" vertical="center"/>
      <protection locked="0" hidden="0"/>
    </xf>
    <xf numFmtId="176" fontId="4" fillId="20" borderId="25" applyAlignment="1" applyProtection="1" pivotButton="0" quotePrefix="0" xfId="0">
      <alignment horizontal="center" vertical="center"/>
      <protection locked="0" hidden="0"/>
    </xf>
    <xf numFmtId="176" fontId="4" fillId="20" borderId="54" applyAlignment="1" applyProtection="1" pivotButton="0" quotePrefix="0" xfId="0">
      <alignment horizontal="center" vertical="center"/>
      <protection locked="0" hidden="0"/>
    </xf>
    <xf numFmtId="0" fontId="10" fillId="20" borderId="8" applyAlignment="1" applyProtection="1" pivotButton="0" quotePrefix="0" xfId="0">
      <alignment horizontal="center" vertical="center" wrapText="1"/>
      <protection locked="0" hidden="0"/>
    </xf>
    <xf numFmtId="0" fontId="6" fillId="16" borderId="8" applyAlignment="1" applyProtection="1" pivotButton="0" quotePrefix="0" xfId="0">
      <alignment horizontal="center" vertical="center" wrapText="1"/>
      <protection locked="0" hidden="0"/>
    </xf>
    <xf numFmtId="0" fontId="6" fillId="16" borderId="14" applyAlignment="1" applyProtection="1" pivotButton="0" quotePrefix="0" xfId="0">
      <alignment horizontal="center" vertical="center" wrapText="1"/>
      <protection locked="0" hidden="0"/>
    </xf>
    <xf numFmtId="0" fontId="6" fillId="16" borderId="1" applyAlignment="1" applyProtection="1" pivotButton="0" quotePrefix="0" xfId="0">
      <alignment horizontal="center" vertical="center" wrapText="1"/>
      <protection locked="0" hidden="0"/>
    </xf>
    <xf numFmtId="0" fontId="6" fillId="16" borderId="11" applyAlignment="1" applyProtection="1" pivotButton="0" quotePrefix="0" xfId="0">
      <alignment horizontal="center" vertical="center" wrapText="1"/>
      <protection locked="0" hidden="0"/>
    </xf>
    <xf numFmtId="3" fontId="0" fillId="3" borderId="1" applyAlignment="1" pivotButton="0" quotePrefix="0" xfId="0">
      <alignment horizontal="right"/>
    </xf>
    <xf numFmtId="49" fontId="6" fillId="15" borderId="30" applyAlignment="1" pivotButton="0" quotePrefix="0" xfId="0">
      <alignment horizontal="left" vertical="center" wrapText="1"/>
    </xf>
    <xf numFmtId="49" fontId="6" fillId="15" borderId="14" applyAlignment="1" pivotButton="0" quotePrefix="0" xfId="0">
      <alignment horizontal="left" vertical="center" wrapText="1"/>
    </xf>
    <xf numFmtId="49" fontId="6" fillId="15" borderId="9" applyAlignment="1" pivotButton="0" quotePrefix="0" xfId="0">
      <alignment horizontal="left" vertical="center" wrapText="1"/>
    </xf>
    <xf numFmtId="49" fontId="6" fillId="15" borderId="11" applyAlignment="1" pivotButton="0" quotePrefix="0" xfId="0">
      <alignment horizontal="left" vertical="center" wrapText="1"/>
    </xf>
    <xf numFmtId="0" fontId="15" fillId="16" borderId="39" applyAlignment="1" applyProtection="1" pivotButton="0" quotePrefix="0" xfId="0">
      <alignment horizontal="left" vertical="center"/>
      <protection locked="0" hidden="0"/>
    </xf>
    <xf numFmtId="0" fontId="15" fillId="16" borderId="25" applyAlignment="1" applyProtection="1" pivotButton="0" quotePrefix="0" xfId="0">
      <alignment horizontal="left" vertical="center"/>
      <protection locked="0" hidden="0"/>
    </xf>
    <xf numFmtId="0" fontId="15" fillId="16" borderId="54" applyAlignment="1" applyProtection="1" pivotButton="0" quotePrefix="0" xfId="0">
      <alignment horizontal="left" vertical="center"/>
      <protection locked="0" hidden="0"/>
    </xf>
    <xf numFmtId="176" fontId="15" fillId="16" borderId="39" applyAlignment="1" applyProtection="1" pivotButton="0" quotePrefix="0" xfId="0">
      <alignment horizontal="center" vertical="center"/>
      <protection locked="0" hidden="0"/>
    </xf>
    <xf numFmtId="176" fontId="15" fillId="16" borderId="25" applyAlignment="1" applyProtection="1" pivotButton="0" quotePrefix="0" xfId="0">
      <alignment horizontal="center" vertical="center"/>
      <protection locked="0" hidden="0"/>
    </xf>
    <xf numFmtId="176" fontId="15" fillId="16" borderId="54" applyAlignment="1" applyProtection="1" pivotButton="0" quotePrefix="0" xfId="0">
      <alignment horizontal="center" vertical="center"/>
      <protection locked="0" hidden="0"/>
    </xf>
    <xf numFmtId="0" fontId="15" fillId="20" borderId="25" applyAlignment="1" applyProtection="1" pivotButton="0" quotePrefix="0" xfId="0">
      <alignment horizontal="left" vertical="center"/>
      <protection locked="0" hidden="0"/>
    </xf>
    <xf numFmtId="2" fontId="6" fillId="15" borderId="0" applyAlignment="1" pivotButton="0" quotePrefix="0" xfId="0">
      <alignment horizontal="center"/>
    </xf>
    <xf numFmtId="3" fontId="8" fillId="15" borderId="0" applyAlignment="1" pivotButton="0" quotePrefix="0" xfId="0">
      <alignment horizontal="right"/>
    </xf>
    <xf numFmtId="0" fontId="26" fillId="15" borderId="0" applyAlignment="1" pivotButton="0" quotePrefix="0" xfId="0">
      <alignment horizontal="left" wrapText="1"/>
    </xf>
    <xf numFmtId="0" fontId="4" fillId="15" borderId="1" applyAlignment="1" pivotButton="0" quotePrefix="0" xfId="0">
      <alignment horizontal="center" wrapText="1"/>
    </xf>
    <xf numFmtId="49" fontId="6" fillId="15" borderId="15" applyAlignment="1" pivotButton="0" quotePrefix="0" xfId="0">
      <alignment horizontal="left" vertical="center" wrapText="1"/>
    </xf>
    <xf numFmtId="49" fontId="6" fillId="15" borderId="10" applyAlignment="1" pivotButton="0" quotePrefix="0" xfId="0">
      <alignment horizontal="left" vertical="center" wrapText="1"/>
    </xf>
    <xf numFmtId="0" fontId="10" fillId="20" borderId="98" applyAlignment="1" applyProtection="1" pivotButton="0" quotePrefix="0" xfId="0">
      <alignment horizontal="left"/>
      <protection locked="0" hidden="0"/>
    </xf>
    <xf numFmtId="0" fontId="10" fillId="20" borderId="89" applyAlignment="1" applyProtection="1" pivotButton="0" quotePrefix="0" xfId="0">
      <alignment horizontal="left"/>
      <protection locked="0" hidden="0"/>
    </xf>
    <xf numFmtId="0" fontId="6" fillId="16" borderId="89" applyAlignment="1" applyProtection="1" pivotButton="0" quotePrefix="0" xfId="0">
      <alignment horizontal="left"/>
      <protection locked="0" hidden="0"/>
    </xf>
    <xf numFmtId="0" fontId="6" fillId="16" borderId="90" applyAlignment="1" applyProtection="1" pivotButton="0" quotePrefix="0" xfId="0">
      <alignment horizontal="left"/>
      <protection locked="0" hidden="0"/>
    </xf>
    <xf numFmtId="0" fontId="11" fillId="27" borderId="15" applyAlignment="1" pivotButton="0" quotePrefix="0" xfId="0">
      <alignment horizontal="center" vertical="center" wrapText="1"/>
    </xf>
    <xf numFmtId="0" fontId="11" fillId="27" borderId="10" applyAlignment="1" pivotButton="0" quotePrefix="0" xfId="0">
      <alignment horizontal="center" vertical="center" wrapText="1"/>
    </xf>
    <xf numFmtId="0" fontId="4" fillId="3" borderId="1" applyAlignment="1" pivotButton="0" quotePrefix="0" xfId="0">
      <alignment horizontal="left"/>
    </xf>
    <xf numFmtId="0" fontId="4" fillId="3" borderId="20" applyAlignment="1" pivotButton="0" quotePrefix="0" xfId="0">
      <alignment horizontal="center" wrapText="1"/>
    </xf>
    <xf numFmtId="0" fontId="4" fillId="3" borderId="29" applyAlignment="1" pivotButton="0" quotePrefix="0" xfId="0">
      <alignment horizontal="center" wrapText="1"/>
    </xf>
    <xf numFmtId="0" fontId="4" fillId="3" borderId="0" applyAlignment="1" pivotButton="0" quotePrefix="0" xfId="0">
      <alignment horizontal="center" wrapText="1"/>
    </xf>
    <xf numFmtId="0" fontId="4" fillId="3" borderId="1" applyAlignment="1" pivotButton="0" quotePrefix="0" xfId="0">
      <alignment horizontal="center" wrapText="1"/>
    </xf>
    <xf numFmtId="190" fontId="0" fillId="3" borderId="0" applyAlignment="1" pivotButton="0" quotePrefix="0" xfId="0">
      <alignment horizontal="right"/>
    </xf>
    <xf numFmtId="3" fontId="0" fillId="3" borderId="8" applyAlignment="1" pivotButton="0" quotePrefix="0" xfId="0">
      <alignment horizontal="left"/>
    </xf>
    <xf numFmtId="0" fontId="72" fillId="3" borderId="7" applyAlignment="1" pivotButton="0" quotePrefix="0" xfId="0">
      <alignment horizontal="left" vertical="center"/>
    </xf>
    <xf numFmtId="0" fontId="124" fillId="0" borderId="7" pivotButton="0" quotePrefix="0" xfId="0"/>
    <xf numFmtId="0" fontId="124" fillId="0" borderId="4" pivotButton="0" quotePrefix="0" xfId="0"/>
    <xf numFmtId="3" fontId="0" fillId="3" borderId="0" applyAlignment="1" pivotButton="0" quotePrefix="0" xfId="0">
      <alignment horizontal="right"/>
    </xf>
    <xf numFmtId="0" fontId="15" fillId="28" borderId="1" applyAlignment="1" pivotButton="0" quotePrefix="1" xfId="0">
      <alignment horizontal="left"/>
    </xf>
    <xf numFmtId="0" fontId="15" fillId="28" borderId="11" applyAlignment="1" pivotButton="0" quotePrefix="1" xfId="0">
      <alignment horizontal="left"/>
    </xf>
    <xf numFmtId="3" fontId="6" fillId="3" borderId="0" applyAlignment="1" pivotButton="0" quotePrefix="0" xfId="0">
      <alignment horizontal="left"/>
    </xf>
    <xf numFmtId="3" fontId="0" fillId="3" borderId="0" applyAlignment="1" pivotButton="0" quotePrefix="0" xfId="0">
      <alignment horizontal="left"/>
    </xf>
    <xf numFmtId="49" fontId="11" fillId="16" borderId="15" applyAlignment="1" applyProtection="1" pivotButton="0" quotePrefix="0" xfId="0">
      <alignment horizontal="center" vertical="center" wrapText="1"/>
      <protection locked="0" hidden="0"/>
    </xf>
    <xf numFmtId="49" fontId="11" fillId="16" borderId="10" applyAlignment="1" applyProtection="1" pivotButton="0" quotePrefix="0" xfId="0">
      <alignment horizontal="center" vertical="center" wrapText="1"/>
      <protection locked="0" hidden="0"/>
    </xf>
    <xf numFmtId="0" fontId="16" fillId="3" borderId="8" applyAlignment="1" pivotButton="0" quotePrefix="0" xfId="0">
      <alignment horizontal="center" vertical="center" wrapText="1"/>
    </xf>
    <xf numFmtId="0" fontId="16" fillId="3" borderId="14" applyAlignment="1" pivotButton="0" quotePrefix="0" xfId="0">
      <alignment horizontal="center" vertical="center" wrapText="1"/>
    </xf>
    <xf numFmtId="0" fontId="16" fillId="3" borderId="9" applyAlignment="1" pivotButton="0" quotePrefix="0" xfId="0">
      <alignment horizontal="center" vertical="center" wrapText="1"/>
    </xf>
    <xf numFmtId="0" fontId="16" fillId="3" borderId="1" applyAlignment="1" pivotButton="0" quotePrefix="0" xfId="0">
      <alignment horizontal="center" vertical="center" wrapText="1"/>
    </xf>
    <xf numFmtId="0" fontId="16" fillId="3" borderId="11" applyAlignment="1" pivotButton="0" quotePrefix="0" xfId="0">
      <alignment horizontal="center" vertical="center" wrapText="1"/>
    </xf>
    <xf numFmtId="37" fontId="6" fillId="26" borderId="1" applyAlignment="1" pivotButton="0" quotePrefix="0" xfId="0">
      <alignment horizontal="right"/>
    </xf>
    <xf numFmtId="37" fontId="6" fillId="26" borderId="11" applyAlignment="1" pivotButton="0" quotePrefix="0" xfId="0">
      <alignment horizontal="right"/>
    </xf>
    <xf numFmtId="37" fontId="4" fillId="16" borderId="39" applyAlignment="1" applyProtection="1" pivotButton="0" quotePrefix="0" xfId="0">
      <alignment horizontal="right" vertical="center"/>
      <protection locked="0" hidden="0"/>
    </xf>
    <xf numFmtId="37" fontId="4" fillId="16" borderId="25" applyAlignment="1" applyProtection="1" pivotButton="0" quotePrefix="0" xfId="0">
      <alignment horizontal="right" vertical="center"/>
      <protection locked="0" hidden="0"/>
    </xf>
    <xf numFmtId="37" fontId="6" fillId="26" borderId="9" applyAlignment="1" pivotButton="0" quotePrefix="0" xfId="0">
      <alignment horizontal="right"/>
    </xf>
    <xf numFmtId="4" fontId="116" fillId="3" borderId="3" applyAlignment="1" pivotButton="0" quotePrefix="0" xfId="0">
      <alignment horizontal="center" vertical="center"/>
    </xf>
    <xf numFmtId="4" fontId="116" fillId="3" borderId="0" applyAlignment="1" pivotButton="0" quotePrefix="0" xfId="0">
      <alignment horizontal="center" vertical="center"/>
    </xf>
    <xf numFmtId="4" fontId="116" fillId="3" borderId="3" applyAlignment="1" pivotButton="0" quotePrefix="0" xfId="0">
      <alignment horizontal="center"/>
    </xf>
    <xf numFmtId="4" fontId="116" fillId="3" borderId="0" applyAlignment="1" pivotButton="0" quotePrefix="0" xfId="0">
      <alignment horizontal="center"/>
    </xf>
    <xf numFmtId="3" fontId="110" fillId="3" borderId="3" applyAlignment="1" pivotButton="0" quotePrefix="0" xfId="0">
      <alignment horizontal="right"/>
    </xf>
    <xf numFmtId="3" fontId="110" fillId="3" borderId="0" applyAlignment="1" pivotButton="0" quotePrefix="0" xfId="0">
      <alignment horizontal="right"/>
    </xf>
    <xf numFmtId="3" fontId="110" fillId="3" borderId="24" applyAlignment="1" pivotButton="0" quotePrefix="0" xfId="0">
      <alignment horizontal="right"/>
    </xf>
    <xf numFmtId="37" fontId="110" fillId="3" borderId="30" applyAlignment="1" pivotButton="0" quotePrefix="0" xfId="0">
      <alignment horizontal="right"/>
    </xf>
    <xf numFmtId="37" fontId="110" fillId="3" borderId="8" applyAlignment="1" pivotButton="0" quotePrefix="0" xfId="0">
      <alignment horizontal="right"/>
    </xf>
    <xf numFmtId="37" fontId="110" fillId="3" borderId="3" applyAlignment="1" pivotButton="0" quotePrefix="0" xfId="0">
      <alignment horizontal="right"/>
    </xf>
    <xf numFmtId="37" fontId="110" fillId="3" borderId="0" applyAlignment="1" pivotButton="0" quotePrefix="0" xfId="0">
      <alignment horizontal="right"/>
    </xf>
    <xf numFmtId="37" fontId="6" fillId="26" borderId="69" applyAlignment="1" pivotButton="0" quotePrefix="0" xfId="0">
      <alignment horizontal="right"/>
    </xf>
    <xf numFmtId="37" fontId="0" fillId="0" borderId="4" applyAlignment="1" pivotButton="0" quotePrefix="0" xfId="0">
      <alignment horizontal="right"/>
    </xf>
    <xf numFmtId="3" fontId="0" fillId="3" borderId="1" applyAlignment="1" pivotButton="0" quotePrefix="0" xfId="0">
      <alignment horizontal="left"/>
    </xf>
    <xf numFmtId="37" fontId="6" fillId="20" borderId="0" applyAlignment="1" applyProtection="1" pivotButton="0" quotePrefix="0" xfId="0">
      <alignment horizontal="center"/>
      <protection locked="0" hidden="0"/>
    </xf>
    <xf numFmtId="37" fontId="6" fillId="20" borderId="24" applyAlignment="1" applyProtection="1" pivotButton="0" quotePrefix="0" xfId="0">
      <alignment horizontal="center"/>
      <protection locked="0" hidden="0"/>
    </xf>
    <xf numFmtId="37" fontId="6" fillId="26" borderId="25" applyAlignment="1" pivotButton="0" quotePrefix="0" xfId="0">
      <alignment horizontal="right"/>
    </xf>
    <xf numFmtId="37" fontId="6" fillId="26" borderId="54" applyAlignment="1" pivotButton="0" quotePrefix="0" xfId="0">
      <alignment horizontal="right"/>
    </xf>
    <xf numFmtId="37" fontId="6" fillId="26" borderId="4" applyAlignment="1" pivotButton="0" quotePrefix="0" xfId="0">
      <alignment horizontal="right"/>
    </xf>
    <xf numFmtId="37" fontId="6" fillId="26" borderId="9" pivotButton="0" quotePrefix="0" xfId="0"/>
    <xf numFmtId="37" fontId="6" fillId="20" borderId="9" applyAlignment="1" applyProtection="1" pivotButton="0" quotePrefix="0" xfId="0">
      <alignment horizontal="right" wrapText="1"/>
      <protection locked="0" hidden="0"/>
    </xf>
    <xf numFmtId="37" fontId="6" fillId="20" borderId="1" applyAlignment="1" applyProtection="1" pivotButton="0" quotePrefix="0" xfId="0">
      <alignment horizontal="right" wrapText="1"/>
      <protection locked="0" hidden="0"/>
    </xf>
    <xf numFmtId="37" fontId="6" fillId="26" borderId="39" applyAlignment="1" pivotButton="0" quotePrefix="0" xfId="0">
      <alignment horizontal="right"/>
    </xf>
    <xf numFmtId="37" fontId="0" fillId="0" borderId="25" applyAlignment="1" pivotButton="0" quotePrefix="0" xfId="0">
      <alignment horizontal="right"/>
    </xf>
    <xf numFmtId="0" fontId="21" fillId="3" borderId="23" applyAlignment="1" pivotButton="0" quotePrefix="0" xfId="0">
      <alignment horizontal="center" vertical="center"/>
    </xf>
    <xf numFmtId="0" fontId="21" fillId="3" borderId="19" applyAlignment="1" pivotButton="0" quotePrefix="0" xfId="0">
      <alignment horizontal="center" vertical="center"/>
    </xf>
    <xf numFmtId="0" fontId="21" fillId="3" borderId="21" applyAlignment="1" pivotButton="0" quotePrefix="0" xfId="0">
      <alignment horizontal="center" vertical="center"/>
    </xf>
    <xf numFmtId="0" fontId="21" fillId="3" borderId="22" applyAlignment="1" pivotButton="0" quotePrefix="0" xfId="0">
      <alignment horizontal="center" vertical="center"/>
    </xf>
    <xf numFmtId="0" fontId="11" fillId="2" borderId="23" applyAlignment="1" pivotButton="0" quotePrefix="0" xfId="0">
      <alignment horizontal="left"/>
    </xf>
    <xf numFmtId="0" fontId="11" fillId="2" borderId="7" applyAlignment="1" pivotButton="0" quotePrefix="0" xfId="0">
      <alignment horizontal="left"/>
    </xf>
    <xf numFmtId="0" fontId="11" fillId="2" borderId="19" applyAlignment="1" pivotButton="0" quotePrefix="0" xfId="0">
      <alignment horizontal="left"/>
    </xf>
    <xf numFmtId="0" fontId="20" fillId="3" borderId="21" applyAlignment="1" pivotButton="0" quotePrefix="0" xfId="0">
      <alignment horizontal="left" vertical="top"/>
    </xf>
    <xf numFmtId="0" fontId="20" fillId="3" borderId="4" applyAlignment="1" pivotButton="0" quotePrefix="0" xfId="0">
      <alignment horizontal="left" vertical="top"/>
    </xf>
    <xf numFmtId="0" fontId="20" fillId="3" borderId="22" applyAlignment="1" pivotButton="0" quotePrefix="0" xfId="0">
      <alignment horizontal="left" vertical="top"/>
    </xf>
    <xf numFmtId="0" fontId="142" fillId="11" borderId="61" applyAlignment="1" pivotButton="0" quotePrefix="0" xfId="5">
      <alignment horizontal="center"/>
    </xf>
    <xf numFmtId="0" fontId="142" fillId="11" borderId="62" applyAlignment="1" pivotButton="0" quotePrefix="0" xfId="5">
      <alignment horizontal="center"/>
    </xf>
    <xf numFmtId="0" fontId="142" fillId="11" borderId="63" applyAlignment="1" pivotButton="0" quotePrefix="0" xfId="5">
      <alignment horizontal="center"/>
    </xf>
    <xf numFmtId="0" fontId="4" fillId="3" borderId="1" applyAlignment="1" pivotButton="0" quotePrefix="0" xfId="0">
      <alignment horizontal="center" vertical="center"/>
    </xf>
    <xf numFmtId="0" fontId="47" fillId="3" borderId="8" applyAlignment="1" pivotButton="0" quotePrefix="0" xfId="0">
      <alignment horizontal="left" vertical="center"/>
    </xf>
    <xf numFmtId="0" fontId="47" fillId="3" borderId="1" applyAlignment="1" pivotButton="0" quotePrefix="0" xfId="0">
      <alignment horizontal="left" vertical="center"/>
    </xf>
    <xf numFmtId="0" fontId="110" fillId="0" borderId="0" applyAlignment="1" pivotButton="0" quotePrefix="0" xfId="0">
      <alignment horizontal="center"/>
    </xf>
    <xf numFmtId="0" fontId="110" fillId="0" borderId="24" applyAlignment="1" pivotButton="0" quotePrefix="0" xfId="0">
      <alignment horizontal="center"/>
    </xf>
    <xf numFmtId="0" fontId="4" fillId="3" borderId="5" applyAlignment="1" pivotButton="0" quotePrefix="0" xfId="0">
      <alignment horizontal="center" vertical="center"/>
    </xf>
    <xf numFmtId="0" fontId="4" fillId="3" borderId="20" applyAlignment="1" pivotButton="0" quotePrefix="0" xfId="0">
      <alignment horizontal="center" vertical="center"/>
    </xf>
    <xf numFmtId="176" fontId="15" fillId="26" borderId="69" applyAlignment="1" pivotButton="0" quotePrefix="0" xfId="0">
      <alignment horizontal="center"/>
    </xf>
    <xf numFmtId="176" fontId="15" fillId="26" borderId="4" applyAlignment="1" pivotButton="0" quotePrefix="0" xfId="0">
      <alignment horizontal="center"/>
    </xf>
    <xf numFmtId="0" fontId="110" fillId="0" borderId="0" applyAlignment="1" pivotButton="0" quotePrefix="1" xfId="0">
      <alignment horizontal="center"/>
    </xf>
    <xf numFmtId="0" fontId="91" fillId="14" borderId="0" applyAlignment="1" pivotButton="0" quotePrefix="0" xfId="0">
      <alignment horizontal="left"/>
    </xf>
    <xf numFmtId="0" fontId="335" fillId="15" borderId="0" applyAlignment="1" pivotButton="0" quotePrefix="0" xfId="0">
      <alignment horizontal="left"/>
    </xf>
    <xf numFmtId="0" fontId="335" fillId="15" borderId="20" applyAlignment="1" pivotButton="0" quotePrefix="0" xfId="0">
      <alignment horizontal="left"/>
    </xf>
    <xf numFmtId="0" fontId="10" fillId="3" borderId="26" applyAlignment="1" pivotButton="0" quotePrefix="0" xfId="0">
      <alignment horizontal="center" vertical="center"/>
    </xf>
    <xf numFmtId="0" fontId="10" fillId="3" borderId="1" applyAlignment="1" pivotButton="0" quotePrefix="0" xfId="0">
      <alignment horizontal="center" vertical="center"/>
    </xf>
    <xf numFmtId="0" fontId="72" fillId="3" borderId="5" applyAlignment="1" pivotButton="0" quotePrefix="0" xfId="0">
      <alignment horizontal="center"/>
    </xf>
    <xf numFmtId="0" fontId="72" fillId="3" borderId="0" applyAlignment="1" pivotButton="0" quotePrefix="0" xfId="0">
      <alignment horizontal="center"/>
    </xf>
    <xf numFmtId="0" fontId="8" fillId="3" borderId="0" applyAlignment="1" pivotButton="0" quotePrefix="0" xfId="0">
      <alignment horizontal="right"/>
    </xf>
    <xf numFmtId="0" fontId="0" fillId="0" borderId="0" applyAlignment="1" pivotButton="0" quotePrefix="0" xfId="0">
      <alignment horizontal="right"/>
    </xf>
    <xf numFmtId="0" fontId="12" fillId="3" borderId="30" applyAlignment="1" pivotButton="0" quotePrefix="0" xfId="0">
      <alignment horizontal="left"/>
    </xf>
    <xf numFmtId="0" fontId="12" fillId="3" borderId="8" applyAlignment="1" pivotButton="0" quotePrefix="0" xfId="0">
      <alignment horizontal="left"/>
    </xf>
    <xf numFmtId="0" fontId="8" fillId="3" borderId="71" applyAlignment="1" pivotButton="0" quotePrefix="0" xfId="0">
      <alignment horizontal="center"/>
    </xf>
    <xf numFmtId="0" fontId="0" fillId="0" borderId="16" pivotButton="0" quotePrefix="0" xfId="0"/>
    <xf numFmtId="0" fontId="0" fillId="0" borderId="32" pivotButton="0" quotePrefix="0" xfId="0"/>
    <xf numFmtId="0" fontId="0" fillId="0" borderId="100" pivotButton="0" quotePrefix="0" xfId="0"/>
    <xf numFmtId="0" fontId="0" fillId="0" borderId="75" pivotButton="0" quotePrefix="0" xfId="0"/>
    <xf numFmtId="0" fontId="12" fillId="20" borderId="8" applyAlignment="1" applyProtection="1" pivotButton="0" quotePrefix="0" xfId="0">
      <alignment horizontal="center" vertical="center" wrapText="1"/>
      <protection locked="0" hidden="0"/>
    </xf>
    <xf numFmtId="0" fontId="4" fillId="16" borderId="8" applyAlignment="1" applyProtection="1" pivotButton="0" quotePrefix="0" xfId="0">
      <alignment horizontal="center" vertical="center" wrapText="1"/>
      <protection locked="0" hidden="0"/>
    </xf>
    <xf numFmtId="0" fontId="4" fillId="16" borderId="14" applyAlignment="1" applyProtection="1" pivotButton="0" quotePrefix="0" xfId="0">
      <alignment horizontal="center" vertical="center" wrapText="1"/>
      <protection locked="0" hidden="0"/>
    </xf>
    <xf numFmtId="0" fontId="4" fillId="16" borderId="1" applyAlignment="1" applyProtection="1" pivotButton="0" quotePrefix="0" xfId="0">
      <alignment horizontal="center" vertical="center" wrapText="1"/>
      <protection locked="0" hidden="0"/>
    </xf>
    <xf numFmtId="0" fontId="4" fillId="16" borderId="11" applyAlignment="1" applyProtection="1" pivotButton="0" quotePrefix="0" xfId="0">
      <alignment horizontal="center" vertical="center" wrapText="1"/>
      <protection locked="0" hidden="0"/>
    </xf>
    <xf numFmtId="0" fontId="12" fillId="20" borderId="97" applyAlignment="1" applyProtection="1" pivotButton="0" quotePrefix="0" xfId="0">
      <alignment horizontal="left"/>
      <protection locked="0" hidden="0"/>
    </xf>
    <xf numFmtId="0" fontId="4" fillId="16" borderId="94" applyAlignment="1" applyProtection="1" pivotButton="0" quotePrefix="0" xfId="0">
      <alignment horizontal="left"/>
      <protection locked="0" hidden="0"/>
    </xf>
    <xf numFmtId="0" fontId="4" fillId="16" borderId="95" applyAlignment="1" applyProtection="1" pivotButton="0" quotePrefix="0" xfId="0">
      <alignment horizontal="left"/>
      <protection locked="0" hidden="0"/>
    </xf>
    <xf numFmtId="0" fontId="12" fillId="20" borderId="98" applyAlignment="1" applyProtection="1" pivotButton="0" quotePrefix="0" xfId="0">
      <alignment horizontal="left"/>
      <protection locked="0" hidden="0"/>
    </xf>
    <xf numFmtId="0" fontId="12" fillId="20" borderId="89" applyAlignment="1" applyProtection="1" pivotButton="0" quotePrefix="0" xfId="0">
      <alignment horizontal="left"/>
      <protection locked="0" hidden="0"/>
    </xf>
    <xf numFmtId="0" fontId="4" fillId="16" borderId="89" applyAlignment="1" applyProtection="1" pivotButton="0" quotePrefix="0" xfId="0">
      <alignment horizontal="left"/>
      <protection locked="0" hidden="0"/>
    </xf>
    <xf numFmtId="0" fontId="4" fillId="16" borderId="90" applyAlignment="1" applyProtection="1" pivotButton="0" quotePrefix="0" xfId="0">
      <alignment horizontal="left"/>
      <protection locked="0" hidden="0"/>
    </xf>
    <xf numFmtId="0" fontId="4" fillId="3" borderId="197" applyAlignment="1" pivotButton="0" quotePrefix="0" xfId="0">
      <alignment horizontal="center" vertical="center"/>
    </xf>
    <xf numFmtId="0" fontId="4" fillId="3" borderId="13" applyAlignment="1" pivotButton="0" quotePrefix="0" xfId="0">
      <alignment horizontal="center" vertical="center"/>
    </xf>
    <xf numFmtId="0" fontId="4" fillId="3" borderId="158" applyAlignment="1" pivotButton="0" quotePrefix="0" xfId="0">
      <alignment horizontal="center" vertical="center"/>
    </xf>
    <xf numFmtId="0" fontId="44" fillId="3" borderId="5" applyAlignment="1" pivotButton="0" quotePrefix="0" xfId="0">
      <alignment horizontal="center" vertical="center"/>
    </xf>
    <xf numFmtId="0" fontId="44" fillId="3" borderId="20" applyAlignment="1" pivotButton="0" quotePrefix="0" xfId="0">
      <alignment horizontal="center" vertical="center"/>
    </xf>
    <xf numFmtId="0" fontId="10" fillId="3" borderId="8" applyAlignment="1" pivotButton="0" quotePrefix="0" xfId="0">
      <alignment horizontal="center" vertical="center" wrapText="1"/>
    </xf>
    <xf numFmtId="0" fontId="10" fillId="3" borderId="14" applyAlignment="1" pivotButton="0" quotePrefix="0" xfId="0">
      <alignment horizontal="center" vertical="center" wrapText="1"/>
    </xf>
    <xf numFmtId="0" fontId="10" fillId="3" borderId="9" applyAlignment="1" pivotButton="0" quotePrefix="0" xfId="0">
      <alignment horizontal="center" vertical="center" wrapText="1"/>
    </xf>
    <xf numFmtId="0" fontId="10" fillId="3" borderId="1" applyAlignment="1" pivotButton="0" quotePrefix="0" xfId="0">
      <alignment horizontal="center" vertical="center" wrapText="1"/>
    </xf>
    <xf numFmtId="0" fontId="10" fillId="3" borderId="11" applyAlignment="1" pivotButton="0" quotePrefix="0" xfId="0">
      <alignment horizontal="center" vertical="center" wrapText="1"/>
    </xf>
    <xf numFmtId="176" fontId="4" fillId="16" borderId="9" applyAlignment="1" applyProtection="1" pivotButton="0" quotePrefix="0" xfId="0">
      <alignment horizontal="center" vertical="center" wrapText="1"/>
      <protection locked="0" hidden="0"/>
    </xf>
    <xf numFmtId="176" fontId="4" fillId="16" borderId="1" applyAlignment="1" applyProtection="1" pivotButton="0" quotePrefix="0" xfId="0">
      <alignment horizontal="center" vertical="center" wrapText="1"/>
      <protection locked="0" hidden="0"/>
    </xf>
    <xf numFmtId="176" fontId="4" fillId="16" borderId="11" applyAlignment="1" applyProtection="1" pivotButton="0" quotePrefix="0" xfId="0">
      <alignment horizontal="center" vertical="center" wrapText="1"/>
      <protection locked="0" hidden="0"/>
    </xf>
    <xf numFmtId="0" fontId="11" fillId="3" borderId="0" applyAlignment="1" pivotButton="0" quotePrefix="0" xfId="0">
      <alignment horizontal="left"/>
    </xf>
    <xf numFmtId="0" fontId="11" fillId="3" borderId="13" applyAlignment="1" pivotButton="0" quotePrefix="0" xfId="0">
      <alignment horizontal="left"/>
    </xf>
    <xf numFmtId="0" fontId="12" fillId="3" borderId="30" applyAlignment="1" pivotButton="0" quotePrefix="0" xfId="0">
      <alignment horizontal="center"/>
    </xf>
    <xf numFmtId="0" fontId="12" fillId="3" borderId="8" applyAlignment="1" pivotButton="0" quotePrefix="0" xfId="0">
      <alignment horizontal="center"/>
    </xf>
    <xf numFmtId="0" fontId="12" fillId="3" borderId="14" applyAlignment="1" pivotButton="0" quotePrefix="0" xfId="0">
      <alignment horizontal="center"/>
    </xf>
    <xf numFmtId="0" fontId="10" fillId="3" borderId="9" applyAlignment="1" pivotButton="0" quotePrefix="0" xfId="0">
      <alignment horizontal="center" vertical="top"/>
    </xf>
    <xf numFmtId="0" fontId="10" fillId="3" borderId="1" applyAlignment="1" pivotButton="0" quotePrefix="0" xfId="0">
      <alignment horizontal="center" vertical="top"/>
    </xf>
    <xf numFmtId="0" fontId="10" fillId="3" borderId="11" applyAlignment="1" pivotButton="0" quotePrefix="0" xfId="0">
      <alignment horizontal="center" vertical="top"/>
    </xf>
    <xf numFmtId="0" fontId="10" fillId="3" borderId="3" applyAlignment="1" pivotButton="0" quotePrefix="0" xfId="0">
      <alignment horizontal="center" vertical="center"/>
    </xf>
    <xf numFmtId="0" fontId="10" fillId="3" borderId="0" applyAlignment="1" pivotButton="0" quotePrefix="0" xfId="0">
      <alignment horizontal="center" vertical="center"/>
    </xf>
    <xf numFmtId="0" fontId="10" fillId="3" borderId="3" applyAlignment="1" pivotButton="0" quotePrefix="0" xfId="0">
      <alignment horizontal="center" vertical="center" wrapText="1"/>
    </xf>
    <xf numFmtId="0" fontId="10" fillId="3" borderId="0" applyAlignment="1" pivotButton="0" quotePrefix="0" xfId="0">
      <alignment horizontal="center" vertical="center" wrapText="1"/>
    </xf>
    <xf numFmtId="0" fontId="10" fillId="3" borderId="24" applyAlignment="1" pivotButton="0" quotePrefix="0" xfId="0">
      <alignment horizontal="center" vertical="center" wrapText="1"/>
    </xf>
    <xf numFmtId="0" fontId="57" fillId="3" borderId="0" applyAlignment="1" pivotButton="0" quotePrefix="0" xfId="0">
      <alignment horizontal="right"/>
    </xf>
    <xf numFmtId="0" fontId="4" fillId="3" borderId="100" applyAlignment="1" pivotButton="0" quotePrefix="0" xfId="0">
      <alignment horizontal="center"/>
    </xf>
    <xf numFmtId="0" fontId="0" fillId="0" borderId="75" applyAlignment="1" pivotButton="0" quotePrefix="0" xfId="0">
      <alignment horizontal="center"/>
    </xf>
    <xf numFmtId="0" fontId="6" fillId="16" borderId="1" applyAlignment="1" applyProtection="1" pivotButton="0" quotePrefix="0" xfId="0">
      <alignment horizontal="left"/>
      <protection locked="0" hidden="0"/>
    </xf>
    <xf numFmtId="176" fontId="15" fillId="28" borderId="9" applyAlignment="1" pivotButton="0" quotePrefix="0" xfId="0">
      <alignment horizontal="center"/>
    </xf>
    <xf numFmtId="176" fontId="15" fillId="28" borderId="1" applyAlignment="1" pivotButton="0" quotePrefix="0" xfId="0">
      <alignment horizontal="center"/>
    </xf>
    <xf numFmtId="37" fontId="6" fillId="20" borderId="9" applyProtection="1" pivotButton="0" quotePrefix="0" xfId="0">
      <protection locked="0" hidden="0"/>
    </xf>
    <xf numFmtId="0" fontId="6" fillId="15" borderId="20" applyAlignment="1" pivotButton="0" quotePrefix="1" xfId="0">
      <alignment horizontal="left"/>
    </xf>
    <xf numFmtId="0" fontId="6" fillId="0" borderId="0" applyAlignment="1" pivotButton="0" quotePrefix="1" xfId="0">
      <alignment horizontal="left"/>
    </xf>
    <xf numFmtId="0" fontId="0" fillId="0" borderId="0" applyAlignment="1" pivotButton="0" quotePrefix="0" xfId="0">
      <alignment horizontal="left" vertical="top"/>
    </xf>
    <xf numFmtId="0" fontId="0" fillId="0" borderId="24" applyAlignment="1" pivotButton="0" quotePrefix="0" xfId="0">
      <alignment horizontal="left" vertical="top"/>
    </xf>
    <xf numFmtId="0" fontId="0" fillId="0" borderId="5" applyAlignment="1" pivotButton="0" quotePrefix="0" xfId="0">
      <alignment horizontal="left" vertical="top"/>
    </xf>
    <xf numFmtId="0" fontId="6" fillId="15" borderId="23" applyAlignment="1" pivotButton="0" quotePrefix="0" xfId="0">
      <alignment horizontal="left" wrapText="1"/>
    </xf>
    <xf numFmtId="0" fontId="6" fillId="15" borderId="7" applyAlignment="1" pivotButton="0" quotePrefix="0" xfId="0">
      <alignment horizontal="left" wrapText="1"/>
    </xf>
    <xf numFmtId="0" fontId="6" fillId="15" borderId="36" applyAlignment="1" pivotButton="0" quotePrefix="0" xfId="0">
      <alignment horizontal="left" wrapText="1"/>
    </xf>
    <xf numFmtId="0" fontId="6" fillId="15" borderId="5" applyAlignment="1" pivotButton="0" quotePrefix="0" xfId="0">
      <alignment horizontal="left" wrapText="1"/>
    </xf>
    <xf numFmtId="0" fontId="6" fillId="15" borderId="24" applyAlignment="1" pivotButton="0" quotePrefix="0" xfId="0">
      <alignment horizontal="left" wrapText="1"/>
    </xf>
    <xf numFmtId="0" fontId="19" fillId="3" borderId="3" applyAlignment="1" pivotButton="0" quotePrefix="0" xfId="0">
      <alignment horizontal="center"/>
    </xf>
    <xf numFmtId="0" fontId="19" fillId="3" borderId="0" applyAlignment="1" pivotButton="0" quotePrefix="0" xfId="0">
      <alignment horizontal="center"/>
    </xf>
    <xf numFmtId="0" fontId="6" fillId="15" borderId="30" applyAlignment="1" pivotButton="0" quotePrefix="0" xfId="0">
      <alignment horizontal="left" vertical="center" wrapText="1"/>
    </xf>
    <xf numFmtId="0" fontId="6" fillId="15" borderId="8" applyAlignment="1" pivotButton="0" quotePrefix="0" xfId="0">
      <alignment horizontal="left" vertical="center" wrapText="1"/>
    </xf>
    <xf numFmtId="0" fontId="6" fillId="15" borderId="14" applyAlignment="1" pivotButton="0" quotePrefix="0" xfId="0">
      <alignment horizontal="left" vertical="center" wrapText="1"/>
    </xf>
    <xf numFmtId="0" fontId="6" fillId="15" borderId="3" applyAlignment="1" pivotButton="0" quotePrefix="0" xfId="0">
      <alignment horizontal="left" vertical="center" wrapText="1"/>
    </xf>
    <xf numFmtId="0" fontId="6" fillId="15" borderId="24" applyAlignment="1" pivotButton="0" quotePrefix="0" xfId="0">
      <alignment horizontal="left" vertical="center" wrapText="1"/>
    </xf>
    <xf numFmtId="0" fontId="6" fillId="15" borderId="9" applyAlignment="1" pivotButton="0" quotePrefix="0" xfId="0">
      <alignment horizontal="left" vertical="center" wrapText="1"/>
    </xf>
    <xf numFmtId="0" fontId="6" fillId="15" borderId="1" applyAlignment="1" pivotButton="0" quotePrefix="0" xfId="0">
      <alignment horizontal="left" vertical="center" wrapText="1"/>
    </xf>
    <xf numFmtId="0" fontId="6" fillId="15" borderId="11" applyAlignment="1" pivotButton="0" quotePrefix="0" xfId="0">
      <alignment horizontal="left" vertical="center" wrapText="1"/>
    </xf>
    <xf numFmtId="0" fontId="289" fillId="0" borderId="0" applyAlignment="1" pivotButton="0" quotePrefix="0" xfId="0">
      <alignment horizontal="left"/>
    </xf>
    <xf numFmtId="0" fontId="6" fillId="15" borderId="30" applyAlignment="1" pivotButton="0" quotePrefix="0" xfId="0">
      <alignment horizontal="left" wrapText="1"/>
    </xf>
    <xf numFmtId="0" fontId="6" fillId="15" borderId="8" applyAlignment="1" pivotButton="0" quotePrefix="0" xfId="0">
      <alignment horizontal="left" wrapText="1"/>
    </xf>
    <xf numFmtId="0" fontId="6" fillId="15" borderId="14" applyAlignment="1" pivotButton="0" quotePrefix="0" xfId="0">
      <alignment horizontal="left" wrapText="1"/>
    </xf>
    <xf numFmtId="0" fontId="6" fillId="15" borderId="3" applyAlignment="1" pivotButton="0" quotePrefix="0" xfId="0">
      <alignment horizontal="left" wrapText="1"/>
    </xf>
    <xf numFmtId="0" fontId="6" fillId="15" borderId="9" applyAlignment="1" pivotButton="0" quotePrefix="0" xfId="0">
      <alignment horizontal="left" wrapText="1"/>
    </xf>
    <xf numFmtId="0" fontId="6" fillId="15" borderId="1" applyAlignment="1" pivotButton="0" quotePrefix="0" xfId="0">
      <alignment horizontal="left" wrapText="1"/>
    </xf>
    <xf numFmtId="0" fontId="6" fillId="15" borderId="11" applyAlignment="1" pivotButton="0" quotePrefix="0" xfId="0">
      <alignment horizontal="left" wrapText="1"/>
    </xf>
    <xf numFmtId="0" fontId="6" fillId="15" borderId="5" applyAlignment="1" pivotButton="0" quotePrefix="0" xfId="0">
      <alignment horizontal="left" vertical="top"/>
    </xf>
    <xf numFmtId="0" fontId="6" fillId="15" borderId="0" applyAlignment="1" pivotButton="0" quotePrefix="0" xfId="0">
      <alignment horizontal="left" vertical="top"/>
    </xf>
    <xf numFmtId="0" fontId="6" fillId="15" borderId="24" applyAlignment="1" pivotButton="0" quotePrefix="0" xfId="0">
      <alignment horizontal="left" vertical="top"/>
    </xf>
    <xf numFmtId="0" fontId="6" fillId="15" borderId="3" applyAlignment="1" pivotButton="0" quotePrefix="1" xfId="0">
      <alignment horizontal="right"/>
    </xf>
    <xf numFmtId="37" fontId="0" fillId="15" borderId="1" applyAlignment="1" pivotButton="0" quotePrefix="0" xfId="0">
      <alignment horizontal="right"/>
    </xf>
    <xf numFmtId="0" fontId="6" fillId="15" borderId="0" applyAlignment="1" pivotButton="0" quotePrefix="1" xfId="0">
      <alignment horizontal="center"/>
    </xf>
    <xf numFmtId="0" fontId="10" fillId="3" borderId="30" applyAlignment="1" pivotButton="0" quotePrefix="0" xfId="0">
      <alignment horizontal="center"/>
    </xf>
    <xf numFmtId="0" fontId="10" fillId="3" borderId="8" applyAlignment="1" pivotButton="0" quotePrefix="0" xfId="0">
      <alignment horizontal="center"/>
    </xf>
    <xf numFmtId="0" fontId="10" fillId="3" borderId="14" applyAlignment="1" pivotButton="0" quotePrefix="0" xfId="0">
      <alignment horizontal="center"/>
    </xf>
    <xf numFmtId="0" fontId="12" fillId="3" borderId="8" applyAlignment="1" pivotButton="0" quotePrefix="0" xfId="0">
      <alignment horizontal="center" vertical="center"/>
    </xf>
    <xf numFmtId="0" fontId="12" fillId="3" borderId="0" applyAlignment="1" pivotButton="0" quotePrefix="0" xfId="0">
      <alignment horizontal="center" vertical="center"/>
    </xf>
    <xf numFmtId="0" fontId="15" fillId="15" borderId="3" applyAlignment="1" pivotButton="0" quotePrefix="0" xfId="0">
      <alignment horizontal="center"/>
    </xf>
    <xf numFmtId="0" fontId="47" fillId="0" borderId="24" applyAlignment="1" pivotButton="0" quotePrefix="0" xfId="0">
      <alignment horizontal="center"/>
    </xf>
    <xf numFmtId="3" fontId="4" fillId="27" borderId="1" applyAlignment="1" pivotButton="0" quotePrefix="0" xfId="0">
      <alignment horizontal="right" indent="1"/>
    </xf>
    <xf numFmtId="0" fontId="4" fillId="20" borderId="87" applyAlignment="1" applyProtection="1" pivotButton="0" quotePrefix="1" xfId="0">
      <alignment vertical="center"/>
      <protection locked="0" hidden="0"/>
    </xf>
    <xf numFmtId="0" fontId="0" fillId="0" borderId="87" applyAlignment="1" pivotButton="0" quotePrefix="0" xfId="0">
      <alignment vertical="center"/>
    </xf>
    <xf numFmtId="0" fontId="15" fillId="15" borderId="9" applyAlignment="1" pivotButton="0" quotePrefix="0" xfId="0">
      <alignment horizontal="center"/>
    </xf>
    <xf numFmtId="0" fontId="47" fillId="0" borderId="11" applyAlignment="1" pivotButton="0" quotePrefix="0" xfId="0">
      <alignment horizontal="center"/>
    </xf>
    <xf numFmtId="3" fontId="4" fillId="16" borderId="1" applyAlignment="1" applyProtection="1" pivotButton="0" quotePrefix="0" xfId="0">
      <alignment horizontal="right" indent="1"/>
      <protection locked="0" hidden="0"/>
    </xf>
    <xf numFmtId="0" fontId="15" fillId="15" borderId="30" applyAlignment="1" pivotButton="0" quotePrefix="0" xfId="0">
      <alignment horizontal="center"/>
    </xf>
    <xf numFmtId="0" fontId="15" fillId="15" borderId="14" applyAlignment="1" pivotButton="0" quotePrefix="0" xfId="0">
      <alignment horizontal="center"/>
    </xf>
    <xf numFmtId="0" fontId="4" fillId="15" borderId="8" applyAlignment="1" pivotButton="0" quotePrefix="0" xfId="0">
      <alignment horizontal="center"/>
    </xf>
    <xf numFmtId="0" fontId="4" fillId="20" borderId="87" applyAlignment="1" applyProtection="1" pivotButton="0" quotePrefix="1" xfId="0">
      <alignment horizontal="left" vertical="center"/>
      <protection locked="0" hidden="0"/>
    </xf>
    <xf numFmtId="0" fontId="4" fillId="15" borderId="14" applyAlignment="1" pivotButton="0" quotePrefix="0" xfId="0">
      <alignment horizontal="center"/>
    </xf>
    <xf numFmtId="0" fontId="4" fillId="0" borderId="87" applyAlignment="1" pivotButton="0" quotePrefix="0" xfId="0">
      <alignment vertical="center"/>
    </xf>
    <xf numFmtId="0" fontId="4" fillId="23" borderId="30" applyAlignment="1" pivotButton="0" quotePrefix="0" xfId="0">
      <alignment horizontal="center"/>
    </xf>
    <xf numFmtId="0" fontId="4" fillId="23" borderId="14" applyAlignment="1" pivotButton="0" quotePrefix="0" xfId="0">
      <alignment horizontal="center"/>
    </xf>
    <xf numFmtId="0" fontId="4" fillId="23" borderId="3" applyAlignment="1" pivotButton="0" quotePrefix="0" xfId="0">
      <alignment horizontal="center"/>
    </xf>
    <xf numFmtId="0" fontId="4" fillId="23" borderId="24" applyAlignment="1" pivotButton="0" quotePrefix="0" xfId="0">
      <alignment horizontal="center"/>
    </xf>
    <xf numFmtId="0" fontId="4" fillId="15" borderId="24" applyAlignment="1" pivotButton="0" quotePrefix="0" xfId="0">
      <alignment horizontal="center"/>
    </xf>
    <xf numFmtId="0" fontId="123" fillId="31" borderId="25" applyAlignment="1" pivotButton="0" quotePrefix="0" xfId="0">
      <alignment horizontal="center" vertical="center"/>
    </xf>
    <xf numFmtId="3" fontId="4" fillId="27" borderId="0" applyAlignment="1" pivotButton="0" quotePrefix="0" xfId="0">
      <alignment horizontal="right" indent="1"/>
    </xf>
    <xf numFmtId="172" fontId="125" fillId="15" borderId="3" applyAlignment="1" pivotButton="0" quotePrefix="0" xfId="0">
      <alignment horizontal="right"/>
    </xf>
    <xf numFmtId="172" fontId="125" fillId="15" borderId="0" applyAlignment="1" pivotButton="0" quotePrefix="0" xfId="0">
      <alignment horizontal="right"/>
    </xf>
    <xf numFmtId="0" fontId="11" fillId="15" borderId="8" applyAlignment="1" pivotButton="0" quotePrefix="0" xfId="0">
      <alignment horizontal="left" vertical="center" wrapText="1" indent="1"/>
    </xf>
    <xf numFmtId="0" fontId="14" fillId="0" borderId="8" applyAlignment="1" pivotButton="0" quotePrefix="0" xfId="0">
      <alignment horizontal="left" vertical="center" indent="1"/>
    </xf>
    <xf numFmtId="0" fontId="14" fillId="0" borderId="0" applyAlignment="1" pivotButton="0" quotePrefix="0" xfId="0">
      <alignment horizontal="left" vertical="center" indent="1"/>
    </xf>
    <xf numFmtId="0" fontId="14" fillId="0" borderId="1" applyAlignment="1" pivotButton="0" quotePrefix="0" xfId="0">
      <alignment horizontal="left" vertical="center" indent="1"/>
    </xf>
    <xf numFmtId="0" fontId="280" fillId="15" borderId="0" applyAlignment="1" pivotButton="0" quotePrefix="0" xfId="0">
      <alignment horizontal="left" vertical="top" wrapText="1"/>
    </xf>
    <xf numFmtId="172" fontId="125" fillId="15" borderId="30" applyAlignment="1" pivotButton="0" quotePrefix="0" xfId="0">
      <alignment horizontal="right"/>
    </xf>
    <xf numFmtId="172" fontId="125" fillId="15" borderId="8" applyAlignment="1" pivotButton="0" quotePrefix="0" xfId="0">
      <alignment horizontal="right"/>
    </xf>
    <xf numFmtId="198" fontId="4" fillId="27" borderId="1" applyAlignment="1" pivotButton="0" quotePrefix="0" xfId="0">
      <alignment horizontal="right" indent="1"/>
    </xf>
    <xf numFmtId="0" fontId="0" fillId="27" borderId="1" applyAlignment="1" pivotButton="0" quotePrefix="0" xfId="0">
      <alignment horizontal="right" indent="1"/>
    </xf>
    <xf numFmtId="0" fontId="110" fillId="15" borderId="8" pivotButton="0" quotePrefix="0" xfId="0"/>
    <xf numFmtId="0" fontId="119" fillId="15" borderId="27" applyAlignment="1" pivotButton="0" quotePrefix="0" xfId="0">
      <alignment horizontal="center" vertical="center"/>
    </xf>
    <xf numFmtId="0" fontId="121" fillId="0" borderId="27" applyAlignment="1" pivotButton="0" quotePrefix="0" xfId="0">
      <alignment horizontal="center" vertical="center"/>
    </xf>
    <xf numFmtId="167" fontId="23" fillId="27" borderId="1" applyAlignment="1" pivotButton="0" quotePrefix="0" xfId="0">
      <alignment horizontal="right" indent="1"/>
    </xf>
    <xf numFmtId="37" fontId="110" fillId="15" borderId="30" pivotButton="0" quotePrefix="0" xfId="0"/>
    <xf numFmtId="37" fontId="110" fillId="0" borderId="8" pivotButton="0" quotePrefix="0" xfId="0"/>
    <xf numFmtId="0" fontId="4" fillId="15" borderId="1" applyAlignment="1" pivotButton="0" quotePrefix="0" xfId="0">
      <alignment horizontal="center"/>
    </xf>
    <xf numFmtId="37" fontId="4" fillId="27" borderId="1" applyAlignment="1" pivotButton="0" quotePrefix="0" xfId="0">
      <alignment horizontal="right" indent="1"/>
    </xf>
    <xf numFmtId="3" fontId="4" fillId="27" borderId="9" applyAlignment="1" pivotButton="0" quotePrefix="0" xfId="0">
      <alignment horizontal="center"/>
    </xf>
    <xf numFmtId="0" fontId="0" fillId="27" borderId="1" applyAlignment="1" pivotButton="0" quotePrefix="0" xfId="0">
      <alignment horizontal="center"/>
    </xf>
    <xf numFmtId="3" fontId="110" fillId="15" borderId="3" pivotButton="0" quotePrefix="0" xfId="0"/>
    <xf numFmtId="3" fontId="110" fillId="0" borderId="0" pivotButton="0" quotePrefix="0" xfId="0"/>
    <xf numFmtId="0" fontId="4" fillId="20" borderId="87" applyAlignment="1" applyProtection="1" pivotButton="0" quotePrefix="1" xfId="0">
      <alignment horizontal="center" vertical="center"/>
      <protection locked="0" hidden="0"/>
    </xf>
    <xf numFmtId="3" fontId="4" fillId="16" borderId="9" applyAlignment="1" applyProtection="1" pivotButton="0" quotePrefix="0" xfId="0">
      <alignment horizontal="right" indent="1"/>
      <protection locked="0" hidden="0"/>
    </xf>
    <xf numFmtId="3" fontId="4" fillId="16" borderId="11" applyAlignment="1" applyProtection="1" pivotButton="0" quotePrefix="0" xfId="0">
      <alignment horizontal="right" indent="1"/>
      <protection locked="0" hidden="0"/>
    </xf>
    <xf numFmtId="0" fontId="4" fillId="19" borderId="30" applyAlignment="1" pivotButton="0" quotePrefix="0" xfId="0">
      <alignment horizontal="center"/>
    </xf>
    <xf numFmtId="0" fontId="0" fillId="19" borderId="14" applyAlignment="1" pivotButton="0" quotePrefix="0" xfId="0">
      <alignment horizontal="center"/>
    </xf>
    <xf numFmtId="0" fontId="4" fillId="19" borderId="3" applyAlignment="1" pivotButton="0" quotePrefix="0" xfId="0">
      <alignment horizontal="center"/>
    </xf>
    <xf numFmtId="0" fontId="4" fillId="19" borderId="24" applyAlignment="1" pivotButton="0" quotePrefix="0" xfId="0">
      <alignment horizontal="center"/>
    </xf>
    <xf numFmtId="0" fontId="20" fillId="15" borderId="25" applyAlignment="1" pivotButton="0" quotePrefix="0" xfId="0">
      <alignment horizontal="center" vertical="center" wrapText="1"/>
    </xf>
    <xf numFmtId="0" fontId="20" fillId="0" borderId="25" applyAlignment="1" pivotButton="0" quotePrefix="0" xfId="0">
      <alignment horizontal="center" vertical="center" wrapText="1"/>
    </xf>
    <xf numFmtId="0" fontId="74" fillId="0" borderId="25" applyAlignment="1" pivotButton="0" quotePrefix="0" xfId="0">
      <alignment horizontal="center" vertical="center" wrapText="1"/>
    </xf>
    <xf numFmtId="0" fontId="74" fillId="0" borderId="54" applyAlignment="1" pivotButton="0" quotePrefix="0" xfId="0">
      <alignment horizontal="center" vertical="center" wrapText="1"/>
    </xf>
    <xf numFmtId="0" fontId="0" fillId="0" borderId="25" applyAlignment="1" pivotButton="0" quotePrefix="0" xfId="0">
      <alignment horizontal="center" vertical="center" wrapText="1"/>
    </xf>
    <xf numFmtId="0" fontId="47" fillId="0" borderId="14" applyAlignment="1" pivotButton="0" quotePrefix="0" xfId="0">
      <alignment horizontal="center"/>
    </xf>
    <xf numFmtId="3" fontId="4" fillId="16" borderId="8" applyAlignment="1" applyProtection="1" pivotButton="0" quotePrefix="0" xfId="0">
      <alignment horizontal="right" indent="1"/>
      <protection locked="0" hidden="0"/>
    </xf>
    <xf numFmtId="170" fontId="4" fillId="20" borderId="25" applyAlignment="1" applyProtection="1" pivotButton="0" quotePrefix="1" xfId="0">
      <alignment horizontal="left" vertical="center" indent="1"/>
      <protection locked="0" hidden="0"/>
    </xf>
    <xf numFmtId="0" fontId="0" fillId="0" borderId="25" applyAlignment="1" applyProtection="1" pivotButton="0" quotePrefix="0" xfId="0">
      <alignment horizontal="left" vertical="center" indent="1"/>
      <protection locked="0" hidden="0"/>
    </xf>
    <xf numFmtId="0" fontId="0" fillId="0" borderId="54" applyAlignment="1" applyProtection="1" pivotButton="0" quotePrefix="0" xfId="0">
      <alignment horizontal="left" vertical="center" indent="1"/>
      <protection locked="0" hidden="0"/>
    </xf>
    <xf numFmtId="170" fontId="4" fillId="20" borderId="39" applyAlignment="1" applyProtection="1" pivotButton="0" quotePrefix="1" xfId="0">
      <alignment horizontal="center" vertical="center"/>
      <protection locked="0" hidden="0"/>
    </xf>
    <xf numFmtId="170" fontId="6" fillId="0" borderId="25" applyAlignment="1" applyProtection="1" pivotButton="0" quotePrefix="0" xfId="0">
      <alignment horizontal="center" vertical="center"/>
      <protection locked="0" hidden="0"/>
    </xf>
    <xf numFmtId="0" fontId="0" fillId="0" borderId="54" applyAlignment="1" applyProtection="1" pivotButton="0" quotePrefix="0" xfId="0">
      <alignment horizontal="center" vertical="center"/>
      <protection locked="0" hidden="0"/>
    </xf>
    <xf numFmtId="0" fontId="4" fillId="26" borderId="39" applyAlignment="1" pivotButton="0" quotePrefix="1" xfId="0">
      <alignment horizontal="center" vertical="center"/>
    </xf>
    <xf numFmtId="0" fontId="6" fillId="27" borderId="25" applyAlignment="1" pivotButton="0" quotePrefix="0" xfId="0">
      <alignment horizontal="center" vertical="center"/>
    </xf>
    <xf numFmtId="0" fontId="6" fillId="27" borderId="54" applyAlignment="1" pivotButton="0" quotePrefix="0" xfId="0">
      <alignment horizontal="center" vertical="center"/>
    </xf>
    <xf numFmtId="1" fontId="4" fillId="20" borderId="39" applyAlignment="1" applyProtection="1" pivotButton="0" quotePrefix="1" xfId="0">
      <alignment horizontal="center" vertical="center"/>
      <protection locked="0" hidden="0"/>
    </xf>
    <xf numFmtId="1" fontId="0" fillId="0" borderId="25" applyAlignment="1" applyProtection="1" pivotButton="0" quotePrefix="0" xfId="0">
      <alignment horizontal="center" vertical="center"/>
      <protection locked="0" hidden="0"/>
    </xf>
    <xf numFmtId="1" fontId="0" fillId="0" borderId="54" applyAlignment="1" applyProtection="1" pivotButton="0" quotePrefix="0" xfId="0">
      <alignment horizontal="center" vertical="center"/>
      <protection locked="0" hidden="0"/>
    </xf>
    <xf numFmtId="3" fontId="4" fillId="20" borderId="39" applyAlignment="1" applyProtection="1" pivotButton="0" quotePrefix="1" xfId="0">
      <alignment horizontal="right" vertical="center" indent="1"/>
      <protection locked="0" hidden="0"/>
    </xf>
    <xf numFmtId="0" fontId="0" fillId="0" borderId="25" applyAlignment="1" applyProtection="1" pivotButton="0" quotePrefix="0" xfId="0">
      <alignment horizontal="right" vertical="center" indent="1"/>
      <protection locked="0" hidden="0"/>
    </xf>
    <xf numFmtId="0" fontId="15" fillId="15" borderId="0" applyAlignment="1" pivotButton="0" quotePrefix="1" xfId="0">
      <alignment horizontal="center" vertical="center"/>
    </xf>
    <xf numFmtId="0" fontId="12" fillId="15" borderId="25" applyAlignment="1" pivotButton="0" quotePrefix="0" xfId="0">
      <alignment horizontal="center" vertical="center" wrapText="1"/>
    </xf>
    <xf numFmtId="0" fontId="0" fillId="0" borderId="54" applyAlignment="1" pivotButton="0" quotePrefix="0" xfId="0">
      <alignment horizontal="center" vertical="center" wrapText="1"/>
    </xf>
    <xf numFmtId="0" fontId="10" fillId="0" borderId="39" applyAlignment="1" pivotButton="0" quotePrefix="0" xfId="0">
      <alignment horizontal="center" vertical="center" wrapText="1"/>
    </xf>
    <xf numFmtId="0" fontId="4" fillId="20" borderId="85" applyAlignment="1" applyProtection="1" pivotButton="0" quotePrefix="1" xfId="0">
      <alignment horizontal="right" vertical="center"/>
      <protection locked="0" hidden="0"/>
    </xf>
    <xf numFmtId="0" fontId="15" fillId="20" borderId="87" applyAlignment="1" applyProtection="1" pivotButton="0" quotePrefix="1" xfId="0">
      <alignment vertical="center"/>
      <protection locked="0" hidden="0"/>
    </xf>
    <xf numFmtId="0" fontId="74" fillId="0" borderId="25" applyAlignment="1" pivotButton="0" quotePrefix="0" xfId="0">
      <alignment horizontal="center"/>
    </xf>
    <xf numFmtId="0" fontId="15" fillId="15" borderId="8" applyAlignment="1" pivotButton="0" quotePrefix="1" xfId="0">
      <alignment horizontal="center" vertical="center"/>
    </xf>
    <xf numFmtId="170" fontId="4" fillId="20" borderId="85" applyAlignment="1" applyProtection="1" pivotButton="0" quotePrefix="1" xfId="0">
      <alignment horizontal="center" vertical="center"/>
      <protection locked="0" hidden="0"/>
    </xf>
    <xf numFmtId="170" fontId="6" fillId="0" borderId="85" applyAlignment="1" pivotButton="0" quotePrefix="0" xfId="0">
      <alignment horizontal="center" vertical="center"/>
    </xf>
    <xf numFmtId="0" fontId="0" fillId="0" borderId="85" applyAlignment="1" pivotButton="0" quotePrefix="0" xfId="0">
      <alignment horizontal="center" vertical="center"/>
    </xf>
    <xf numFmtId="0" fontId="4" fillId="20" borderId="113" applyAlignment="1" applyProtection="1" pivotButton="0" quotePrefix="1" xfId="0">
      <alignment horizontal="center" vertical="center"/>
      <protection locked="0" hidden="0"/>
    </xf>
    <xf numFmtId="170" fontId="4" fillId="20" borderId="25" applyAlignment="1" applyProtection="1" pivotButton="0" quotePrefix="1" xfId="0">
      <alignment horizontal="center" vertical="center"/>
      <protection locked="0" hidden="0"/>
    </xf>
    <xf numFmtId="170" fontId="6" fillId="0" borderId="54" applyAlignment="1" applyProtection="1" pivotButton="0" quotePrefix="0" xfId="0">
      <alignment horizontal="center" vertical="center"/>
      <protection locked="0" hidden="0"/>
    </xf>
    <xf numFmtId="3" fontId="6" fillId="0" borderId="25" applyAlignment="1" applyProtection="1" pivotButton="0" quotePrefix="0" xfId="0">
      <alignment horizontal="right" vertical="center" indent="1"/>
      <protection locked="0" hidden="0"/>
    </xf>
    <xf numFmtId="3" fontId="6" fillId="0" borderId="68" applyAlignment="1" applyProtection="1" pivotButton="0" quotePrefix="0" xfId="0">
      <alignment horizontal="right" vertical="center" indent="1"/>
      <protection locked="0" hidden="0"/>
    </xf>
    <xf numFmtId="170" fontId="4" fillId="20" borderId="49" applyAlignment="1" applyProtection="1" pivotButton="0" quotePrefix="1" xfId="0">
      <alignment horizontal="center" vertical="center"/>
      <protection locked="0" hidden="0"/>
    </xf>
    <xf numFmtId="170" fontId="6" fillId="0" borderId="49" applyAlignment="1" applyProtection="1" pivotButton="0" quotePrefix="0" xfId="0">
      <alignment horizontal="center" vertical="center"/>
      <protection locked="0" hidden="0"/>
    </xf>
    <xf numFmtId="170" fontId="6" fillId="0" borderId="46" applyAlignment="1" applyProtection="1" pivotButton="0" quotePrefix="0" xfId="0">
      <alignment horizontal="center" vertical="center"/>
      <protection locked="0" hidden="0"/>
    </xf>
    <xf numFmtId="0" fontId="14" fillId="15" borderId="0" applyAlignment="1" pivotButton="0" quotePrefix="0" xfId="0">
      <alignment horizontal="left" vertical="center"/>
    </xf>
    <xf numFmtId="170" fontId="11" fillId="20" borderId="87" applyAlignment="1" applyProtection="1" pivotButton="0" quotePrefix="1" xfId="0">
      <alignment horizontal="center" vertical="center"/>
      <protection locked="0" hidden="0"/>
    </xf>
    <xf numFmtId="170" fontId="0" fillId="0" borderId="87" applyAlignment="1" applyProtection="1" pivotButton="0" quotePrefix="0" xfId="0">
      <alignment horizontal="center" vertical="center"/>
      <protection locked="0" hidden="0"/>
    </xf>
    <xf numFmtId="0" fontId="0" fillId="0" borderId="87" applyAlignment="1" applyProtection="1" pivotButton="0" quotePrefix="0" xfId="0">
      <alignment horizontal="center" vertical="center"/>
      <protection locked="0" hidden="0"/>
    </xf>
    <xf numFmtId="0" fontId="10" fillId="15" borderId="25" applyAlignment="1" pivotButton="0" quotePrefix="0" xfId="0">
      <alignment horizontal="center" vertical="center" wrapText="1"/>
    </xf>
    <xf numFmtId="0" fontId="10" fillId="0" borderId="25" applyAlignment="1" pivotButton="0" quotePrefix="0" xfId="0">
      <alignment horizontal="center" vertical="center" wrapText="1"/>
    </xf>
    <xf numFmtId="0" fontId="10" fillId="0" borderId="54" applyAlignment="1" pivotButton="0" quotePrefix="0" xfId="0">
      <alignment horizontal="center" vertical="center" wrapText="1"/>
    </xf>
    <xf numFmtId="0" fontId="10" fillId="15" borderId="39" applyAlignment="1" pivotButton="0" quotePrefix="0" xfId="0">
      <alignment horizontal="center" vertical="center" wrapText="1"/>
    </xf>
    <xf numFmtId="0" fontId="10" fillId="0" borderId="68" applyAlignment="1" pivotButton="0" quotePrefix="0" xfId="0">
      <alignment horizontal="center" vertical="center" wrapText="1"/>
    </xf>
    <xf numFmtId="0" fontId="12" fillId="0" borderId="25" applyAlignment="1" pivotButton="0" quotePrefix="0" xfId="0">
      <alignment horizontal="center" vertical="center" wrapText="1"/>
    </xf>
    <xf numFmtId="0" fontId="12" fillId="0" borderId="54" applyAlignment="1" pivotButton="0" quotePrefix="0" xfId="0">
      <alignment horizontal="center" vertical="center" wrapText="1"/>
    </xf>
    <xf numFmtId="170" fontId="11" fillId="20" borderId="85" applyAlignment="1" applyProtection="1" pivotButton="0" quotePrefix="1" xfId="0">
      <alignment horizontal="center" vertical="center"/>
      <protection locked="0" hidden="0"/>
    </xf>
    <xf numFmtId="0" fontId="6" fillId="0" borderId="87" applyAlignment="1" pivotButton="0" quotePrefix="0" xfId="0">
      <alignment vertical="center"/>
    </xf>
    <xf numFmtId="0" fontId="4" fillId="20" borderId="1" applyAlignment="1" applyProtection="1" pivotButton="0" quotePrefix="1" xfId="0">
      <alignment vertical="center"/>
      <protection locked="0" hidden="0"/>
    </xf>
    <xf numFmtId="0" fontId="4" fillId="0" borderId="1" applyAlignment="1" pivotButton="0" quotePrefix="0" xfId="0">
      <alignment vertical="center"/>
    </xf>
    <xf numFmtId="0" fontId="11" fillId="28" borderId="0" applyAlignment="1" pivotButton="0" quotePrefix="1" xfId="0">
      <alignment vertical="center"/>
    </xf>
    <xf numFmtId="0" fontId="0" fillId="25" borderId="0" applyAlignment="1" pivotButton="0" quotePrefix="0" xfId="0">
      <alignment vertical="center"/>
    </xf>
    <xf numFmtId="0" fontId="0" fillId="0" borderId="0" applyAlignment="1" pivotButton="0" quotePrefix="0" xfId="0">
      <alignment vertical="center"/>
    </xf>
    <xf numFmtId="0" fontId="0" fillId="0" borderId="24" applyAlignment="1" pivotButton="0" quotePrefix="0" xfId="0">
      <alignment vertical="center"/>
    </xf>
    <xf numFmtId="0" fontId="0" fillId="0" borderId="11" applyAlignment="1" pivotButton="0" quotePrefix="0" xfId="0">
      <alignment vertical="center"/>
    </xf>
    <xf numFmtId="176" fontId="11" fillId="28" borderId="3" applyAlignment="1" pivotButton="0" quotePrefix="1" xfId="0">
      <alignment horizontal="center" vertical="center"/>
    </xf>
    <xf numFmtId="0" fontId="11" fillId="20" borderId="1" applyAlignment="1" applyProtection="1" pivotButton="0" quotePrefix="1" xfId="0">
      <alignment vertical="center"/>
      <protection locked="0" hidden="0"/>
    </xf>
    <xf numFmtId="0" fontId="6" fillId="16" borderId="1" applyAlignment="1" applyProtection="1" pivotButton="0" quotePrefix="0" xfId="0">
      <alignment vertical="center"/>
      <protection locked="0" hidden="0"/>
    </xf>
    <xf numFmtId="0" fontId="6" fillId="16" borderId="11" applyAlignment="1" applyProtection="1" pivotButton="0" quotePrefix="0" xfId="0">
      <alignment vertical="center"/>
      <protection locked="0" hidden="0"/>
    </xf>
    <xf numFmtId="0" fontId="11" fillId="20" borderId="9" applyAlignment="1" applyProtection="1" pivotButton="0" quotePrefix="1" xfId="0">
      <alignment vertical="center"/>
      <protection locked="0" hidden="0"/>
    </xf>
    <xf numFmtId="0" fontId="0" fillId="16" borderId="1" applyAlignment="1" applyProtection="1" pivotButton="0" quotePrefix="0" xfId="0">
      <alignment vertical="center"/>
      <protection locked="0" hidden="0"/>
    </xf>
    <xf numFmtId="0" fontId="4" fillId="20" borderId="85" applyAlignment="1" applyProtection="1" pivotButton="0" quotePrefix="1" xfId="0">
      <alignment vertical="center"/>
      <protection locked="0" hidden="0"/>
    </xf>
    <xf numFmtId="0" fontId="6" fillId="16" borderId="85" applyAlignment="1" applyProtection="1" pivotButton="0" quotePrefix="0" xfId="0">
      <alignment vertical="center"/>
      <protection locked="0" hidden="0"/>
    </xf>
    <xf numFmtId="0" fontId="6" fillId="16" borderId="8" applyAlignment="1" applyProtection="1" pivotButton="0" quotePrefix="0" xfId="0">
      <alignment vertical="center"/>
      <protection locked="0" hidden="0"/>
    </xf>
    <xf numFmtId="0" fontId="6" fillId="0" borderId="8" pivotButton="0" quotePrefix="0" xfId="0"/>
    <xf numFmtId="0" fontId="4" fillId="20" borderId="113" applyAlignment="1" applyProtection="1" pivotButton="0" quotePrefix="1" xfId="0">
      <alignment vertical="center"/>
      <protection locked="0" hidden="0"/>
    </xf>
    <xf numFmtId="0" fontId="6" fillId="0" borderId="113" applyAlignment="1" pivotButton="0" quotePrefix="0" xfId="0">
      <alignment vertical="center"/>
    </xf>
    <xf numFmtId="0" fontId="47" fillId="15" borderId="0" applyAlignment="1" pivotButton="0" quotePrefix="0" xfId="0">
      <alignment vertical="center" wrapText="1"/>
    </xf>
    <xf numFmtId="0" fontId="47" fillId="0" borderId="0" applyAlignment="1" pivotButton="0" quotePrefix="0" xfId="0">
      <alignment vertical="center"/>
    </xf>
    <xf numFmtId="0" fontId="11" fillId="20" borderId="0" applyAlignment="1" applyProtection="1" pivotButton="0" quotePrefix="1" xfId="0">
      <alignment horizontal="center" vertical="center"/>
      <protection locked="0" hidden="0"/>
    </xf>
    <xf numFmtId="0" fontId="91" fillId="15" borderId="0" pivotButton="0" quotePrefix="1" xfId="0"/>
    <xf numFmtId="0" fontId="0" fillId="0" borderId="5" applyAlignment="1" pivotButton="0" quotePrefix="0" xfId="0">
      <alignment horizontal="center"/>
    </xf>
    <xf numFmtId="0" fontId="6" fillId="15" borderId="26" applyAlignment="1" pivotButton="0" quotePrefix="0" xfId="0">
      <alignment horizontal="center"/>
    </xf>
    <xf numFmtId="0" fontId="0" fillId="0" borderId="1" applyAlignment="1" pivotButton="0" quotePrefix="0" xfId="0">
      <alignment horizontal="center"/>
    </xf>
    <xf numFmtId="0" fontId="0" fillId="15" borderId="0" applyAlignment="1" pivotButton="0" quotePrefix="0" xfId="0">
      <alignment horizontal="right"/>
    </xf>
    <xf numFmtId="0" fontId="147" fillId="15" borderId="80" applyAlignment="1" pivotButton="0" quotePrefix="0" xfId="0">
      <alignment horizontal="center" vertical="center"/>
    </xf>
    <xf numFmtId="0" fontId="148" fillId="0" borderId="8" applyAlignment="1" pivotButton="0" quotePrefix="0" xfId="0">
      <alignment horizontal="center" vertical="center"/>
    </xf>
    <xf numFmtId="0" fontId="148" fillId="0" borderId="5" applyAlignment="1" pivotButton="0" quotePrefix="0" xfId="0">
      <alignment horizontal="center" vertical="center"/>
    </xf>
    <xf numFmtId="0" fontId="148" fillId="0" borderId="0" applyAlignment="1" pivotButton="0" quotePrefix="0" xfId="0">
      <alignment horizontal="center" vertical="center"/>
    </xf>
    <xf numFmtId="0" fontId="4" fillId="15" borderId="5" applyAlignment="1" pivotButton="0" quotePrefix="0" xfId="0">
      <alignment horizontal="center"/>
    </xf>
    <xf numFmtId="0" fontId="47" fillId="15" borderId="0" applyAlignment="1" pivotButton="0" quotePrefix="0" xfId="0">
      <alignment horizontal="right"/>
    </xf>
    <xf numFmtId="0" fontId="47" fillId="0" borderId="0" applyAlignment="1" pivotButton="0" quotePrefix="0" xfId="0">
      <alignment horizontal="right"/>
    </xf>
    <xf numFmtId="0" fontId="44" fillId="15" borderId="0" applyAlignment="1" pivotButton="0" quotePrefix="0" xfId="0">
      <alignment horizontal="left"/>
    </xf>
    <xf numFmtId="0" fontId="44" fillId="15" borderId="4" applyAlignment="1" pivotButton="0" quotePrefix="0" xfId="0">
      <alignment horizontal="left"/>
    </xf>
    <xf numFmtId="0" fontId="9" fillId="15" borderId="21" applyAlignment="1" pivotButton="0" quotePrefix="0" xfId="0">
      <alignment horizontal="center"/>
    </xf>
    <xf numFmtId="0" fontId="9" fillId="0" borderId="4" applyAlignment="1" pivotButton="0" quotePrefix="0" xfId="0">
      <alignment horizontal="center"/>
    </xf>
    <xf numFmtId="0" fontId="9" fillId="0" borderId="22" applyAlignment="1" pivotButton="0" quotePrefix="0" xfId="0">
      <alignment horizontal="center"/>
    </xf>
    <xf numFmtId="0" fontId="47" fillId="15" borderId="4" applyAlignment="1" pivotButton="0" quotePrefix="0" xfId="0">
      <alignment horizontal="right"/>
    </xf>
    <xf numFmtId="0" fontId="47" fillId="0" borderId="4" applyAlignment="1" pivotButton="0" quotePrefix="0" xfId="0">
      <alignment horizontal="right"/>
    </xf>
    <xf numFmtId="0" fontId="4" fillId="20" borderId="87" applyProtection="1" pivotButton="0" quotePrefix="1" xfId="0">
      <protection locked="0" hidden="0"/>
    </xf>
    <xf numFmtId="0" fontId="11" fillId="20" borderId="87" applyAlignment="1" applyProtection="1" pivotButton="0" quotePrefix="1" xfId="0">
      <alignment horizontal="center" vertical="center"/>
      <protection locked="0" hidden="0"/>
    </xf>
    <xf numFmtId="0" fontId="11" fillId="0" borderId="0" applyAlignment="1" pivotButton="0" quotePrefix="0" xfId="0">
      <alignment horizontal="center" vertical="center"/>
    </xf>
    <xf numFmtId="0" fontId="11" fillId="0" borderId="87" applyAlignment="1" pivotButton="0" quotePrefix="0" xfId="0">
      <alignment horizontal="center" vertical="center"/>
    </xf>
    <xf numFmtId="0" fontId="4" fillId="0" borderId="113" applyAlignment="1" pivotButton="0" quotePrefix="0" xfId="0">
      <alignment vertical="center"/>
    </xf>
    <xf numFmtId="0" fontId="9" fillId="15" borderId="21" applyAlignment="1" pivotButton="0" quotePrefix="0" xfId="0">
      <alignment horizontal="center" vertical="top"/>
    </xf>
    <xf numFmtId="0" fontId="9" fillId="0" borderId="4" applyAlignment="1" pivotButton="0" quotePrefix="0" xfId="0">
      <alignment horizontal="center" vertical="top"/>
    </xf>
    <xf numFmtId="0" fontId="9" fillId="0" borderId="22" applyAlignment="1" pivotButton="0" quotePrefix="0" xfId="0">
      <alignment horizontal="center" vertical="top"/>
    </xf>
    <xf numFmtId="0" fontId="47" fillId="15" borderId="4" applyAlignment="1" pivotButton="0" quotePrefix="0" xfId="0">
      <alignment horizontal="right" vertical="top"/>
    </xf>
    <xf numFmtId="0" fontId="47" fillId="0" borderId="4" applyAlignment="1" pivotButton="0" quotePrefix="0" xfId="0">
      <alignment horizontal="right" vertical="top"/>
    </xf>
    <xf numFmtId="0" fontId="6" fillId="15" borderId="0" applyAlignment="1" pivotButton="0" quotePrefix="0" xfId="0">
      <alignment vertical="center" wrapText="1"/>
    </xf>
    <xf numFmtId="0" fontId="295" fillId="15" borderId="0" applyAlignment="1" pivotButton="0" quotePrefix="0" xfId="0">
      <alignment horizontal="center" vertical="center" wrapText="1"/>
    </xf>
    <xf numFmtId="37" fontId="373" fillId="15" borderId="8" applyAlignment="1" pivotButton="0" quotePrefix="0" xfId="0">
      <alignment horizontal="center" vertical="center"/>
    </xf>
    <xf numFmtId="0" fontId="143" fillId="15" borderId="0" applyAlignment="1" pivotButton="0" quotePrefix="0" xfId="0">
      <alignment horizontal="left" vertical="top" wrapText="1"/>
    </xf>
    <xf numFmtId="0" fontId="110" fillId="15" borderId="30" applyAlignment="1" pivotButton="0" quotePrefix="0" xfId="0">
      <alignment horizontal="right" vertical="center"/>
    </xf>
    <xf numFmtId="0" fontId="110" fillId="15" borderId="8" applyAlignment="1" pivotButton="0" quotePrefix="0" xfId="0">
      <alignment horizontal="right" vertical="center"/>
    </xf>
    <xf numFmtId="37" fontId="197" fillId="15" borderId="8" applyAlignment="1" pivotButton="0" quotePrefix="0" xfId="0">
      <alignment horizontal="center"/>
    </xf>
    <xf numFmtId="0" fontId="44" fillId="15" borderId="4" applyAlignment="1" pivotButton="0" quotePrefix="0" xfId="0">
      <alignment horizontal="center"/>
    </xf>
    <xf numFmtId="0" fontId="11" fillId="15" borderId="8" applyAlignment="1" applyProtection="1" pivotButton="0" quotePrefix="0" xfId="0">
      <alignment horizontal="center"/>
      <protection locked="0" hidden="0"/>
    </xf>
    <xf numFmtId="0" fontId="11" fillId="15" borderId="1" applyAlignment="1" applyProtection="1" pivotButton="0" quotePrefix="0" xfId="0">
      <alignment horizontal="center"/>
      <protection locked="0" hidden="0"/>
    </xf>
    <xf numFmtId="0" fontId="6" fillId="15" borderId="4" applyAlignment="1" pivotButton="0" quotePrefix="0" xfId="0">
      <alignment horizontal="center"/>
    </xf>
    <xf numFmtId="0" fontId="0" fillId="0" borderId="4" applyAlignment="1" pivotButton="0" quotePrefix="0" xfId="0">
      <alignment horizontal="center"/>
    </xf>
    <xf numFmtId="0" fontId="6" fillId="15" borderId="7" applyAlignment="1" pivotButton="0" quotePrefix="0" xfId="0">
      <alignment horizontal="left"/>
    </xf>
    <xf numFmtId="0" fontId="6" fillId="15" borderId="36" applyAlignment="1" pivotButton="0" quotePrefix="0" xfId="0">
      <alignment horizontal="left"/>
    </xf>
    <xf numFmtId="0" fontId="20" fillId="27" borderId="1" applyAlignment="1" pivotButton="0" quotePrefix="0" xfId="0">
      <alignment horizontal="left"/>
    </xf>
    <xf numFmtId="0" fontId="20" fillId="27" borderId="11" applyAlignment="1" pivotButton="0" quotePrefix="0" xfId="0">
      <alignment horizontal="left"/>
    </xf>
    <xf numFmtId="176" fontId="20" fillId="27" borderId="9" applyAlignment="1" pivotButton="0" quotePrefix="0" xfId="0">
      <alignment horizontal="center" vertical="center"/>
    </xf>
    <xf numFmtId="176" fontId="20" fillId="27" borderId="1" applyAlignment="1" pivotButton="0" quotePrefix="0" xfId="0">
      <alignment horizontal="center" vertical="center"/>
    </xf>
    <xf numFmtId="0" fontId="24" fillId="15" borderId="30" applyAlignment="1" pivotButton="0" quotePrefix="0" xfId="0">
      <alignment horizontal="center" vertical="center" wrapText="1"/>
    </xf>
    <xf numFmtId="0" fontId="24" fillId="15" borderId="8" applyAlignment="1" pivotButton="0" quotePrefix="0" xfId="0">
      <alignment horizontal="center" vertical="center" wrapText="1"/>
    </xf>
    <xf numFmtId="0" fontId="24" fillId="15" borderId="3" applyAlignment="1" pivotButton="0" quotePrefix="0" xfId="0">
      <alignment horizontal="center" vertical="center" wrapText="1"/>
    </xf>
    <xf numFmtId="0" fontId="24" fillId="15" borderId="0" applyAlignment="1" pivotButton="0" quotePrefix="0" xfId="0">
      <alignment horizontal="center" vertical="center" wrapText="1"/>
    </xf>
    <xf numFmtId="0" fontId="24" fillId="15" borderId="9" applyAlignment="1" pivotButton="0" quotePrefix="0" xfId="0">
      <alignment horizontal="center" vertical="center" wrapText="1"/>
    </xf>
    <xf numFmtId="0" fontId="24" fillId="15" borderId="1" applyAlignment="1" pivotButton="0" quotePrefix="0" xfId="0">
      <alignment horizontal="center" vertical="center" wrapText="1"/>
    </xf>
    <xf numFmtId="0" fontId="166" fillId="15" borderId="0" applyAlignment="1" pivotButton="0" quotePrefix="0" xfId="0">
      <alignment horizontal="center" vertical="center"/>
    </xf>
    <xf numFmtId="0" fontId="249" fillId="15" borderId="0" pivotButton="0" quotePrefix="1" xfId="0"/>
    <xf numFmtId="0" fontId="250" fillId="0" borderId="0" pivotButton="0" quotePrefix="0" xfId="0"/>
    <xf numFmtId="0" fontId="44" fillId="15" borderId="5" applyAlignment="1" pivotButton="0" quotePrefix="0" xfId="0">
      <alignment horizontal="center" wrapText="1"/>
    </xf>
    <xf numFmtId="0" fontId="120" fillId="0" borderId="0" applyAlignment="1" pivotButton="0" quotePrefix="0" xfId="0">
      <alignment horizontal="center"/>
    </xf>
    <xf numFmtId="0" fontId="120" fillId="0" borderId="20" applyAlignment="1" pivotButton="0" quotePrefix="0" xfId="0">
      <alignment horizontal="center"/>
    </xf>
    <xf numFmtId="0" fontId="120" fillId="0" borderId="5" applyAlignment="1" pivotButton="0" quotePrefix="0" xfId="0">
      <alignment horizontal="center"/>
    </xf>
    <xf numFmtId="0" fontId="47" fillId="15" borderId="26" applyAlignment="1" pivotButton="0" quotePrefix="0" xfId="0">
      <alignment horizontal="center"/>
    </xf>
    <xf numFmtId="0" fontId="47" fillId="0" borderId="1" applyAlignment="1" pivotButton="0" quotePrefix="0" xfId="0">
      <alignment horizontal="center"/>
    </xf>
    <xf numFmtId="0" fontId="4" fillId="15" borderId="21" applyAlignment="1" pivotButton="0" quotePrefix="0" xfId="0">
      <alignment horizontal="center" vertical="top"/>
    </xf>
    <xf numFmtId="0" fontId="4" fillId="0" borderId="4" applyAlignment="1" pivotButton="0" quotePrefix="0" xfId="0">
      <alignment horizontal="center" vertical="top"/>
    </xf>
    <xf numFmtId="0" fontId="4" fillId="0" borderId="22" applyAlignment="1" pivotButton="0" quotePrefix="0" xfId="0">
      <alignment horizontal="center" vertical="top"/>
    </xf>
    <xf numFmtId="0" fontId="5" fillId="15" borderId="30" applyAlignment="1" pivotButton="0" quotePrefix="0" xfId="0">
      <alignment horizontal="center" vertical="center" wrapText="1"/>
    </xf>
    <xf numFmtId="0" fontId="5" fillId="15" borderId="8" applyAlignment="1" pivotButton="0" quotePrefix="0" xfId="0">
      <alignment horizontal="center" vertical="center" wrapText="1"/>
    </xf>
    <xf numFmtId="0" fontId="5" fillId="15" borderId="3" applyAlignment="1" pivotButton="0" quotePrefix="0" xfId="0">
      <alignment horizontal="center" vertical="center" wrapText="1"/>
    </xf>
    <xf numFmtId="0" fontId="5" fillId="15" borderId="0" applyAlignment="1" pivotButton="0" quotePrefix="0" xfId="0">
      <alignment horizontal="center" vertical="center" wrapText="1"/>
    </xf>
    <xf numFmtId="0" fontId="5" fillId="15" borderId="9" applyAlignment="1" pivotButton="0" quotePrefix="0" xfId="0">
      <alignment horizontal="center" vertical="center" wrapText="1"/>
    </xf>
    <xf numFmtId="0" fontId="5" fillId="15" borderId="1" applyAlignment="1" pivotButton="0" quotePrefix="0" xfId="0">
      <alignment horizontal="center" vertical="center" wrapText="1"/>
    </xf>
    <xf numFmtId="0" fontId="5" fillId="15" borderId="14" applyAlignment="1" pivotButton="0" quotePrefix="0" xfId="0">
      <alignment horizontal="center" vertical="center" wrapText="1"/>
    </xf>
    <xf numFmtId="0" fontId="5" fillId="15" borderId="24" applyAlignment="1" pivotButton="0" quotePrefix="0" xfId="0">
      <alignment horizontal="center" vertical="center" wrapText="1"/>
    </xf>
    <xf numFmtId="0" fontId="5" fillId="15" borderId="11" applyAlignment="1" pivotButton="0" quotePrefix="0" xfId="0">
      <alignment horizontal="center" vertical="center" wrapText="1"/>
    </xf>
    <xf numFmtId="0" fontId="47" fillId="15" borderId="8" applyAlignment="1" pivotButton="0" quotePrefix="0" xfId="0">
      <alignment horizontal="center" vertical="top" wrapText="1"/>
    </xf>
    <xf numFmtId="0" fontId="47" fillId="15" borderId="14" applyAlignment="1" pivotButton="0" quotePrefix="0" xfId="0">
      <alignment horizontal="center" vertical="top" wrapText="1"/>
    </xf>
    <xf numFmtId="0" fontId="47" fillId="15" borderId="0" applyAlignment="1" pivotButton="0" quotePrefix="0" xfId="0">
      <alignment horizontal="center" vertical="top" wrapText="1"/>
    </xf>
    <xf numFmtId="0" fontId="47" fillId="15" borderId="24" applyAlignment="1" pivotButton="0" quotePrefix="0" xfId="0">
      <alignment horizontal="center" vertical="top" wrapText="1"/>
    </xf>
    <xf numFmtId="0" fontId="47" fillId="15" borderId="1" applyAlignment="1" pivotButton="0" quotePrefix="0" xfId="0">
      <alignment horizontal="center" vertical="top" wrapText="1"/>
    </xf>
    <xf numFmtId="0" fontId="47" fillId="15" borderId="11" applyAlignment="1" pivotButton="0" quotePrefix="0" xfId="0">
      <alignment horizontal="center" vertical="top" wrapText="1"/>
    </xf>
    <xf numFmtId="0" fontId="11" fillId="16" borderId="8" applyAlignment="1" applyProtection="1" pivotButton="0" quotePrefix="0" xfId="0">
      <alignment horizontal="left"/>
      <protection locked="0" hidden="0"/>
    </xf>
    <xf numFmtId="0" fontId="11" fillId="16" borderId="14" applyAlignment="1" applyProtection="1" pivotButton="0" quotePrefix="0" xfId="0">
      <alignment horizontal="left"/>
      <protection locked="0" hidden="0"/>
    </xf>
    <xf numFmtId="37" fontId="73" fillId="16" borderId="9" applyAlignment="1" applyProtection="1" pivotButton="0" quotePrefix="0" xfId="0">
      <alignment horizontal="right" vertical="center"/>
      <protection locked="0" hidden="0"/>
    </xf>
    <xf numFmtId="37" fontId="73" fillId="16" borderId="1" applyAlignment="1" applyProtection="1" pivotButton="0" quotePrefix="0" xfId="0">
      <alignment horizontal="right" vertical="center"/>
      <protection locked="0" hidden="0"/>
    </xf>
    <xf numFmtId="176" fontId="73" fillId="16" borderId="9" applyAlignment="1" applyProtection="1" pivotButton="0" quotePrefix="0" xfId="0">
      <alignment horizontal="center" vertical="center"/>
      <protection locked="0" hidden="0"/>
    </xf>
    <xf numFmtId="176" fontId="73" fillId="16" borderId="1" applyAlignment="1" applyProtection="1" pivotButton="0" quotePrefix="0" xfId="0">
      <alignment horizontal="center" vertical="center"/>
      <protection locked="0" hidden="0"/>
    </xf>
    <xf numFmtId="176" fontId="73" fillId="16" borderId="11" applyAlignment="1" applyProtection="1" pivotButton="0" quotePrefix="0" xfId="0">
      <alignment horizontal="center" vertical="center"/>
      <protection locked="0" hidden="0"/>
    </xf>
    <xf numFmtId="37" fontId="73" fillId="27" borderId="9" applyAlignment="1" pivotButton="0" quotePrefix="0" xfId="0">
      <alignment horizontal="right" vertical="center"/>
    </xf>
    <xf numFmtId="37" fontId="73" fillId="27" borderId="1" applyAlignment="1" pivotButton="0" quotePrefix="0" xfId="0">
      <alignment horizontal="right" vertical="center"/>
    </xf>
    <xf numFmtId="180" fontId="23" fillId="15" borderId="39" applyAlignment="1" pivotButton="0" quotePrefix="0" xfId="0">
      <alignment horizontal="right" vertical="center"/>
    </xf>
    <xf numFmtId="180" fontId="23" fillId="15" borderId="25" applyAlignment="1" pivotButton="0" quotePrefix="0" xfId="0">
      <alignment horizontal="right" vertical="center"/>
    </xf>
    <xf numFmtId="180" fontId="23" fillId="15" borderId="54" applyAlignment="1" pivotButton="0" quotePrefix="0" xfId="0">
      <alignment horizontal="right" vertical="center"/>
    </xf>
    <xf numFmtId="37" fontId="372" fillId="15" borderId="30" applyAlignment="1" pivotButton="0" quotePrefix="0" xfId="0">
      <alignment horizontal="right" vertical="center"/>
    </xf>
    <xf numFmtId="0" fontId="372" fillId="15" borderId="8" applyAlignment="1" pivotButton="0" quotePrefix="0" xfId="0">
      <alignment horizontal="right" vertical="center"/>
    </xf>
    <xf numFmtId="0" fontId="372" fillId="15" borderId="14" applyAlignment="1" pivotButton="0" quotePrefix="0" xfId="0">
      <alignment horizontal="right" vertical="center"/>
    </xf>
    <xf numFmtId="37" fontId="188" fillId="15" borderId="3" applyAlignment="1" pivotButton="0" quotePrefix="0" xfId="0">
      <alignment horizontal="center" vertical="center"/>
    </xf>
    <xf numFmtId="37" fontId="188" fillId="15" borderId="0" applyAlignment="1" pivotButton="0" quotePrefix="0" xfId="0">
      <alignment horizontal="center" vertical="center"/>
    </xf>
    <xf numFmtId="37" fontId="188" fillId="15" borderId="24" applyAlignment="1" pivotButton="0" quotePrefix="0" xfId="0">
      <alignment horizontal="center" vertical="center"/>
    </xf>
    <xf numFmtId="0" fontId="11" fillId="16" borderId="8" applyAlignment="1" applyProtection="1" pivotButton="0" quotePrefix="0" xfId="0">
      <alignment horizontal="center"/>
      <protection locked="0" hidden="0"/>
    </xf>
    <xf numFmtId="0" fontId="11" fillId="16" borderId="14" applyAlignment="1" applyProtection="1" pivotButton="0" quotePrefix="0" xfId="0">
      <alignment horizontal="center"/>
      <protection locked="0" hidden="0"/>
    </xf>
    <xf numFmtId="37" fontId="73" fillId="27" borderId="11" applyAlignment="1" pivotButton="0" quotePrefix="0" xfId="0">
      <alignment horizontal="right" vertical="center"/>
    </xf>
    <xf numFmtId="37" fontId="73" fillId="16" borderId="11" applyAlignment="1" applyProtection="1" pivotButton="0" quotePrefix="0" xfId="0">
      <alignment horizontal="right" vertical="center"/>
      <protection locked="0" hidden="0"/>
    </xf>
    <xf numFmtId="0" fontId="188" fillId="15" borderId="30" applyAlignment="1" pivotButton="0" quotePrefix="0" xfId="0">
      <alignment horizontal="center" vertical="center"/>
    </xf>
    <xf numFmtId="0" fontId="188" fillId="15" borderId="8" applyAlignment="1" pivotButton="0" quotePrefix="0" xfId="0">
      <alignment horizontal="center" vertical="center"/>
    </xf>
    <xf numFmtId="37" fontId="73" fillId="27" borderId="69" applyAlignment="1" pivotButton="0" quotePrefix="0" xfId="0">
      <alignment horizontal="right" vertical="center"/>
    </xf>
    <xf numFmtId="37" fontId="73" fillId="27" borderId="4" applyAlignment="1" pivotButton="0" quotePrefix="0" xfId="0">
      <alignment horizontal="right" vertical="center"/>
    </xf>
    <xf numFmtId="0" fontId="11" fillId="15" borderId="0" applyAlignment="1" pivotButton="0" quotePrefix="0" xfId="0">
      <alignment horizontal="center" vertical="center"/>
    </xf>
    <xf numFmtId="37" fontId="15" fillId="0" borderId="39" applyAlignment="1" applyProtection="1" pivotButton="0" quotePrefix="0" xfId="0">
      <alignment wrapText="1"/>
      <protection locked="0" hidden="0"/>
    </xf>
    <xf numFmtId="37" fontId="4" fillId="0" borderId="25" applyAlignment="1" applyProtection="1" pivotButton="0" quotePrefix="0" xfId="0">
      <alignment wrapText="1"/>
      <protection locked="0" hidden="0"/>
    </xf>
    <xf numFmtId="37" fontId="4" fillId="0" borderId="54" applyAlignment="1" applyProtection="1" pivotButton="0" quotePrefix="0" xfId="0">
      <alignment wrapText="1"/>
      <protection locked="0" hidden="0"/>
    </xf>
    <xf numFmtId="0" fontId="4" fillId="0" borderId="39" applyAlignment="1" applyProtection="1" pivotButton="0" quotePrefix="0" xfId="0">
      <alignment wrapText="1"/>
      <protection locked="0" hidden="0"/>
    </xf>
    <xf numFmtId="0" fontId="4" fillId="0" borderId="25" applyAlignment="1" applyProtection="1" pivotButton="0" quotePrefix="0" xfId="0">
      <alignment wrapText="1"/>
      <protection locked="0" hidden="0"/>
    </xf>
    <xf numFmtId="0" fontId="4" fillId="0" borderId="54" applyAlignment="1" applyProtection="1" pivotButton="0" quotePrefix="0" xfId="0">
      <alignment wrapText="1"/>
      <protection locked="0" hidden="0"/>
    </xf>
    <xf numFmtId="15" fontId="15" fillId="0" borderId="39" applyAlignment="1" applyProtection="1" pivotButton="0" quotePrefix="0" xfId="0">
      <alignment horizontal="center"/>
      <protection locked="0" hidden="0"/>
    </xf>
    <xf numFmtId="0" fontId="15" fillId="0" borderId="25" applyAlignment="1" applyProtection="1" pivotButton="0" quotePrefix="0" xfId="0">
      <alignment horizontal="center"/>
      <protection locked="0" hidden="0"/>
    </xf>
    <xf numFmtId="0" fontId="15" fillId="0" borderId="54" applyAlignment="1" applyProtection="1" pivotButton="0" quotePrefix="0" xfId="0">
      <alignment horizontal="center"/>
      <protection locked="0" hidden="0"/>
    </xf>
    <xf numFmtId="37" fontId="15" fillId="0" borderId="39" applyAlignment="1" applyProtection="1" pivotButton="0" quotePrefix="0" xfId="0">
      <alignment horizontal="right"/>
      <protection locked="0" hidden="0"/>
    </xf>
    <xf numFmtId="37" fontId="15" fillId="0" borderId="25" applyAlignment="1" applyProtection="1" pivotButton="0" quotePrefix="0" xfId="0">
      <alignment horizontal="right"/>
      <protection locked="0" hidden="0"/>
    </xf>
    <xf numFmtId="37" fontId="15" fillId="0" borderId="54" applyAlignment="1" applyProtection="1" pivotButton="0" quotePrefix="0" xfId="0">
      <alignment horizontal="right"/>
      <protection locked="0" hidden="0"/>
    </xf>
    <xf numFmtId="168" fontId="15" fillId="0" borderId="39" applyAlignment="1" applyProtection="1" pivotButton="0" quotePrefix="0" xfId="0">
      <alignment horizontal="center"/>
      <protection locked="0" hidden="0"/>
    </xf>
    <xf numFmtId="168" fontId="15" fillId="0" borderId="25" applyAlignment="1" applyProtection="1" pivotButton="0" quotePrefix="0" xfId="0">
      <alignment horizontal="center"/>
      <protection locked="0" hidden="0"/>
    </xf>
    <xf numFmtId="168" fontId="15" fillId="0" borderId="54" applyAlignment="1" applyProtection="1" pivotButton="0" quotePrefix="0" xfId="0">
      <alignment horizontal="center"/>
      <protection locked="0" hidden="0"/>
    </xf>
    <xf numFmtId="37" fontId="15" fillId="0" borderId="39" applyAlignment="1" applyProtection="1" pivotButton="0" quotePrefix="0" xfId="0">
      <alignment horizontal="center"/>
      <protection locked="0" hidden="0"/>
    </xf>
    <xf numFmtId="37" fontId="15" fillId="0" borderId="25" applyAlignment="1" applyProtection="1" pivotButton="0" quotePrefix="0" xfId="0">
      <alignment horizontal="center"/>
      <protection locked="0" hidden="0"/>
    </xf>
    <xf numFmtId="37" fontId="15" fillId="0" borderId="54" applyAlignment="1" applyProtection="1" pivotButton="0" quotePrefix="0" xfId="0">
      <alignment horizontal="center"/>
      <protection locked="0" hidden="0"/>
    </xf>
    <xf numFmtId="0" fontId="15" fillId="0" borderId="39" applyAlignment="1" applyProtection="1" pivotButton="0" quotePrefix="0" xfId="0">
      <alignment horizontal="center"/>
      <protection locked="0" hidden="0"/>
    </xf>
    <xf numFmtId="0" fontId="11" fillId="15" borderId="12" applyAlignment="1" pivotButton="0" quotePrefix="0" xfId="0">
      <alignment horizontal="center"/>
    </xf>
    <xf numFmtId="0" fontId="11" fillId="0" borderId="12" applyAlignment="1" pivotButton="0" quotePrefix="0" xfId="0">
      <alignment horizontal="center"/>
    </xf>
    <xf numFmtId="37" fontId="11" fillId="16" borderId="39" applyAlignment="1" applyProtection="1" pivotButton="0" quotePrefix="0" xfId="0">
      <alignment horizontal="right" vertical="center" wrapText="1"/>
      <protection locked="0" hidden="0"/>
    </xf>
    <xf numFmtId="37" fontId="11" fillId="16" borderId="25" applyAlignment="1" applyProtection="1" pivotButton="0" quotePrefix="0" xfId="0">
      <alignment horizontal="right" vertical="center" wrapText="1"/>
      <protection locked="0" hidden="0"/>
    </xf>
    <xf numFmtId="0" fontId="11" fillId="15" borderId="198" applyAlignment="1" pivotButton="0" quotePrefix="0" xfId="0">
      <alignment horizontal="center"/>
    </xf>
    <xf numFmtId="0" fontId="11" fillId="0" borderId="198" applyAlignment="1" pivotButton="0" quotePrefix="0" xfId="0">
      <alignment horizontal="center"/>
    </xf>
    <xf numFmtId="37" fontId="11" fillId="27" borderId="192" applyAlignment="1" pivotButton="0" quotePrefix="0" xfId="0">
      <alignment horizontal="right" vertical="center" wrapText="1"/>
    </xf>
    <xf numFmtId="37" fontId="11" fillId="27" borderId="99" applyAlignment="1" pivotButton="0" quotePrefix="0" xfId="0">
      <alignment horizontal="right" vertical="center" wrapText="1"/>
    </xf>
    <xf numFmtId="0" fontId="10" fillId="0" borderId="30" applyAlignment="1" pivotButton="0" quotePrefix="0" xfId="0">
      <alignment horizontal="center" vertical="center"/>
    </xf>
    <xf numFmtId="0" fontId="10" fillId="0" borderId="1" applyAlignment="1" pivotButton="0" quotePrefix="0" xfId="0">
      <alignment horizontal="center" vertical="center"/>
    </xf>
    <xf numFmtId="0" fontId="10" fillId="0" borderId="30" applyAlignment="1" pivotButton="0" quotePrefix="0" xfId="0">
      <alignment horizontal="center" vertical="center" wrapText="1"/>
    </xf>
    <xf numFmtId="0" fontId="11" fillId="16" borderId="25" applyAlignment="1" applyProtection="1" pivotButton="0" quotePrefix="1" xfId="0">
      <alignment horizontal="left" vertical="center" wrapText="1"/>
      <protection locked="0" hidden="0"/>
    </xf>
    <xf numFmtId="0" fontId="11" fillId="16" borderId="25" applyAlignment="1" applyProtection="1" pivotButton="0" quotePrefix="1" xfId="0">
      <alignment horizontal="left" vertical="center"/>
      <protection locked="0" hidden="0"/>
    </xf>
    <xf numFmtId="0" fontId="11" fillId="16" borderId="54" applyAlignment="1" applyProtection="1" pivotButton="0" quotePrefix="1" xfId="0">
      <alignment horizontal="left" vertical="center"/>
      <protection locked="0" hidden="0"/>
    </xf>
    <xf numFmtId="15" fontId="11" fillId="16" borderId="39" applyAlignment="1" applyProtection="1" pivotButton="0" quotePrefix="0" xfId="0">
      <alignment horizontal="center" vertical="center" wrapText="1"/>
      <protection locked="0" hidden="0"/>
    </xf>
    <xf numFmtId="0" fontId="11" fillId="16" borderId="25" applyAlignment="1" applyProtection="1" pivotButton="0" quotePrefix="0" xfId="0">
      <alignment horizontal="center" vertical="center"/>
      <protection locked="0" hidden="0"/>
    </xf>
    <xf numFmtId="0" fontId="11" fillId="16" borderId="54" applyAlignment="1" applyProtection="1" pivotButton="0" quotePrefix="0" xfId="0">
      <alignment horizontal="center" vertical="center"/>
      <protection locked="0" hidden="0"/>
    </xf>
    <xf numFmtId="37" fontId="11" fillId="16" borderId="25" applyAlignment="1" applyProtection="1" pivotButton="0" quotePrefix="0" xfId="0">
      <alignment horizontal="right" vertical="center"/>
      <protection locked="0" hidden="0"/>
    </xf>
    <xf numFmtId="37" fontId="11" fillId="16" borderId="54" applyAlignment="1" applyProtection="1" pivotButton="0" quotePrefix="0" xfId="0">
      <alignment horizontal="right" vertical="center"/>
      <protection locked="0" hidden="0"/>
    </xf>
    <xf numFmtId="0" fontId="11" fillId="16" borderId="39" applyAlignment="1" applyProtection="1" pivotButton="0" quotePrefix="0" xfId="0">
      <alignment horizontal="center" vertical="center" wrapText="1"/>
      <protection locked="0" hidden="0"/>
    </xf>
    <xf numFmtId="0" fontId="11" fillId="16" borderId="25" applyAlignment="1" applyProtection="1" pivotButton="0" quotePrefix="0" xfId="0">
      <alignment horizontal="center" vertical="center" wrapText="1"/>
      <protection locked="0" hidden="0"/>
    </xf>
    <xf numFmtId="0" fontId="11" fillId="16" borderId="54" applyAlignment="1" applyProtection="1" pivotButton="0" quotePrefix="0" xfId="0">
      <alignment horizontal="center" vertical="center" wrapText="1"/>
      <protection locked="0" hidden="0"/>
    </xf>
    <xf numFmtId="0" fontId="11" fillId="16" borderId="39" applyAlignment="1" applyProtection="1" pivotButton="0" quotePrefix="0" xfId="0">
      <alignment horizontal="center" wrapText="1"/>
      <protection locked="0" hidden="0"/>
    </xf>
    <xf numFmtId="0" fontId="11" fillId="16" borderId="25" applyAlignment="1" applyProtection="1" pivotButton="0" quotePrefix="0" xfId="0">
      <alignment horizontal="center"/>
      <protection locked="0" hidden="0"/>
    </xf>
    <xf numFmtId="0" fontId="11" fillId="16" borderId="54" applyAlignment="1" applyProtection="1" pivotButton="0" quotePrefix="0" xfId="0">
      <alignment horizontal="center"/>
      <protection locked="0" hidden="0"/>
    </xf>
    <xf numFmtId="9" fontId="11" fillId="16" borderId="39" applyAlignment="1" applyProtection="1" pivotButton="0" quotePrefix="0" xfId="0">
      <alignment horizontal="center" wrapText="1"/>
      <protection locked="0" hidden="0"/>
    </xf>
    <xf numFmtId="0" fontId="4" fillId="16" borderId="25" applyAlignment="1" applyProtection="1" pivotButton="0" quotePrefix="0" xfId="0">
      <alignment horizontal="center" vertical="center" wrapText="1"/>
      <protection locked="0" hidden="0"/>
    </xf>
    <xf numFmtId="0" fontId="4" fillId="0" borderId="25" applyAlignment="1" pivotButton="0" quotePrefix="0" xfId="0">
      <alignment horizontal="center" vertical="center"/>
    </xf>
    <xf numFmtId="0" fontId="47" fillId="15" borderId="25" applyAlignment="1" pivotButton="0" quotePrefix="1" xfId="0">
      <alignment horizontal="center" vertical="center" wrapText="1"/>
    </xf>
    <xf numFmtId="0" fontId="47" fillId="15" borderId="25" applyAlignment="1" pivotButton="0" quotePrefix="1" xfId="0">
      <alignment horizontal="center" vertical="center"/>
    </xf>
    <xf numFmtId="0" fontId="47" fillId="15" borderId="54" applyAlignment="1" pivotButton="0" quotePrefix="1" xfId="0">
      <alignment horizontal="center" vertical="center"/>
    </xf>
    <xf numFmtId="0" fontId="47" fillId="15" borderId="39" applyAlignment="1" pivotButton="0" quotePrefix="0" xfId="0">
      <alignment horizontal="center" vertical="center" wrapText="1"/>
    </xf>
    <xf numFmtId="0" fontId="47" fillId="15" borderId="25" applyAlignment="1" pivotButton="0" quotePrefix="0" xfId="0">
      <alignment horizontal="center" vertical="center"/>
    </xf>
    <xf numFmtId="0" fontId="47" fillId="15" borderId="54" applyAlignment="1" pivotButton="0" quotePrefix="0" xfId="0">
      <alignment horizontal="center" vertical="center"/>
    </xf>
    <xf numFmtId="0" fontId="47" fillId="15" borderId="39" applyAlignment="1" pivotButton="0" quotePrefix="0" xfId="0">
      <alignment horizontal="center" wrapText="1"/>
    </xf>
    <xf numFmtId="0" fontId="47" fillId="15" borderId="25" applyAlignment="1" pivotButton="0" quotePrefix="0" xfId="0">
      <alignment horizontal="center"/>
    </xf>
    <xf numFmtId="0" fontId="47" fillId="15" borderId="54" applyAlignment="1" pivotButton="0" quotePrefix="0" xfId="0">
      <alignment horizontal="center"/>
    </xf>
    <xf numFmtId="0" fontId="47" fillId="15" borderId="25" applyAlignment="1" pivotButton="0" quotePrefix="0" xfId="0">
      <alignment horizontal="center" vertical="center" wrapText="1"/>
    </xf>
    <xf numFmtId="0" fontId="11" fillId="16" borderId="30" applyAlignment="1" applyProtection="1" pivotButton="0" quotePrefix="0" xfId="0">
      <alignment horizontal="center" vertical="center" wrapText="1"/>
      <protection locked="0" hidden="0"/>
    </xf>
    <xf numFmtId="0" fontId="11" fillId="16" borderId="14" applyAlignment="1" applyProtection="1" pivotButton="0" quotePrefix="0" xfId="0">
      <alignment horizontal="center" vertical="center" wrapText="1"/>
      <protection locked="0" hidden="0"/>
    </xf>
    <xf numFmtId="0" fontId="11" fillId="16" borderId="9" applyAlignment="1" applyProtection="1" pivotButton="0" quotePrefix="0" xfId="0">
      <alignment horizontal="center" vertical="center" wrapText="1"/>
      <protection locked="0" hidden="0"/>
    </xf>
    <xf numFmtId="0" fontId="11" fillId="16" borderId="11" applyAlignment="1" applyProtection="1" pivotButton="0" quotePrefix="0" xfId="0">
      <alignment horizontal="center" vertical="center" wrapText="1"/>
      <protection locked="0" hidden="0"/>
    </xf>
    <xf numFmtId="0" fontId="11" fillId="16" borderId="15" applyAlignment="1" applyProtection="1" pivotButton="0" quotePrefix="0" xfId="0">
      <alignment horizontal="center" vertical="center" wrapText="1"/>
      <protection locked="0" hidden="0"/>
    </xf>
    <xf numFmtId="0" fontId="4" fillId="16" borderId="30" applyAlignment="1" applyProtection="1" pivotButton="0" quotePrefix="0" xfId="0">
      <alignment horizontal="center" vertical="center" wrapText="1"/>
      <protection locked="0" hidden="0"/>
    </xf>
    <xf numFmtId="0" fontId="0" fillId="0" borderId="10" applyAlignment="1" applyProtection="1" pivotButton="0" quotePrefix="0" xfId="0">
      <alignment horizontal="center" wrapText="1"/>
      <protection locked="0" hidden="0"/>
    </xf>
    <xf numFmtId="0" fontId="0" fillId="0" borderId="9" applyAlignment="1" applyProtection="1" pivotButton="0" quotePrefix="0" xfId="0">
      <alignment horizontal="center" wrapText="1"/>
      <protection locked="0" hidden="0"/>
    </xf>
    <xf numFmtId="0" fontId="11" fillId="16" borderId="10" applyAlignment="1" applyProtection="1" pivotButton="0" quotePrefix="0" xfId="0">
      <alignment horizontal="center" vertical="center" wrapText="1"/>
      <protection locked="0" hidden="0"/>
    </xf>
    <xf numFmtId="0" fontId="15" fillId="16" borderId="52" applyAlignment="1" applyProtection="1" pivotButton="0" quotePrefix="0" xfId="0">
      <alignment horizontal="center" vertical="center" wrapText="1"/>
      <protection locked="0" hidden="0"/>
    </xf>
    <xf numFmtId="0" fontId="15" fillId="16" borderId="112" applyAlignment="1" applyProtection="1" pivotButton="0" quotePrefix="0" xfId="0">
      <alignment horizontal="center" vertical="center" wrapText="1"/>
      <protection locked="0" hidden="0"/>
    </xf>
    <xf numFmtId="0" fontId="15" fillId="16" borderId="111" applyAlignment="1" applyProtection="1" pivotButton="0" quotePrefix="0" xfId="0">
      <alignment horizontal="center" vertical="center" wrapText="1"/>
      <protection locked="0" hidden="0"/>
    </xf>
    <xf numFmtId="0" fontId="15" fillId="16" borderId="73" applyAlignment="1" applyProtection="1" pivotButton="0" quotePrefix="0" xfId="0">
      <alignment horizontal="center" vertical="center" wrapText="1"/>
      <protection locked="0" hidden="0"/>
    </xf>
    <xf numFmtId="0" fontId="15" fillId="16" borderId="31" applyAlignment="1" applyProtection="1" pivotButton="0" quotePrefix="0" xfId="0">
      <alignment horizontal="center" vertical="center" wrapText="1"/>
      <protection locked="0" hidden="0"/>
    </xf>
    <xf numFmtId="0" fontId="4" fillId="15" borderId="25" applyAlignment="1" pivotButton="0" quotePrefix="0" xfId="0">
      <alignment horizontal="center" vertical="center" wrapText="1"/>
    </xf>
    <xf numFmtId="0" fontId="15" fillId="16" borderId="39" applyAlignment="1" applyProtection="1" pivotButton="0" quotePrefix="0" xfId="0">
      <alignment horizontal="center" vertical="center" wrapText="1"/>
      <protection locked="0" hidden="0"/>
    </xf>
    <xf numFmtId="0" fontId="15" fillId="16" borderId="25" applyAlignment="1" applyProtection="1" pivotButton="0" quotePrefix="0" xfId="0">
      <alignment horizontal="center" vertical="center" wrapText="1"/>
      <protection locked="0" hidden="0"/>
    </xf>
    <xf numFmtId="0" fontId="15" fillId="16" borderId="68" applyAlignment="1" applyProtection="1" pivotButton="0" quotePrefix="0" xfId="0">
      <alignment horizontal="center" vertical="center" wrapText="1"/>
      <protection locked="0" hidden="0"/>
    </xf>
    <xf numFmtId="0" fontId="15" fillId="16" borderId="67" applyAlignment="1" applyProtection="1" pivotButton="0" quotePrefix="0" xfId="0">
      <alignment horizontal="center" vertical="center" wrapText="1"/>
      <protection locked="0" hidden="0"/>
    </xf>
    <xf numFmtId="0" fontId="15" fillId="16" borderId="54" applyAlignment="1" applyProtection="1" pivotButton="0" quotePrefix="0" xfId="0">
      <alignment horizontal="center" vertical="center" wrapText="1"/>
      <protection locked="0" hidden="0"/>
    </xf>
    <xf numFmtId="0" fontId="0" fillId="0" borderId="0" applyAlignment="1" pivotButton="0" quotePrefix="0" xfId="0">
      <alignment vertical="center" wrapText="1"/>
    </xf>
    <xf numFmtId="0" fontId="15" fillId="15" borderId="107" applyAlignment="1" pivotButton="0" quotePrefix="0" xfId="0">
      <alignment horizontal="center" vertical="center" wrapText="1"/>
    </xf>
    <xf numFmtId="0" fontId="15" fillId="0" borderId="203" applyAlignment="1" pivotButton="0" quotePrefix="0" xfId="0">
      <alignment horizontal="center" vertical="center" wrapText="1"/>
    </xf>
    <xf numFmtId="0" fontId="15" fillId="15" borderId="47" applyAlignment="1" pivotButton="0" quotePrefix="0" xfId="0">
      <alignment horizontal="center" vertical="center" wrapText="1"/>
    </xf>
    <xf numFmtId="0" fontId="15" fillId="0" borderId="108" applyAlignment="1" pivotButton="0" quotePrefix="0" xfId="0">
      <alignment horizontal="center" vertical="center" wrapText="1"/>
    </xf>
    <xf numFmtId="0" fontId="15" fillId="0" borderId="27" applyAlignment="1" pivotButton="0" quotePrefix="0" xfId="0">
      <alignment horizontal="center" vertical="center" wrapText="1"/>
    </xf>
    <xf numFmtId="37" fontId="4" fillId="27" borderId="3" applyAlignment="1" pivotButton="0" quotePrefix="0" xfId="0">
      <alignment horizontal="center" wrapText="1"/>
    </xf>
    <xf numFmtId="37" fontId="4" fillId="27" borderId="0" applyAlignment="1" pivotButton="0" quotePrefix="0" xfId="0">
      <alignment horizontal="center" wrapText="1"/>
    </xf>
    <xf numFmtId="37" fontId="4" fillId="27" borderId="24" applyAlignment="1" pivotButton="0" quotePrefix="0" xfId="0">
      <alignment horizontal="center" wrapText="1"/>
    </xf>
    <xf numFmtId="37" fontId="4" fillId="16" borderId="3" applyAlignment="1" applyProtection="1" pivotButton="0" quotePrefix="0" xfId="0">
      <alignment horizontal="center" wrapText="1"/>
      <protection locked="0" hidden="0"/>
    </xf>
    <xf numFmtId="37" fontId="4" fillId="16" borderId="0" applyAlignment="1" applyProtection="1" pivotButton="0" quotePrefix="0" xfId="0">
      <alignment horizontal="center" wrapText="1"/>
      <protection locked="0" hidden="0"/>
    </xf>
    <xf numFmtId="37" fontId="4" fillId="16" borderId="24" applyAlignment="1" applyProtection="1" pivotButton="0" quotePrefix="0" xfId="0">
      <alignment horizontal="center" wrapText="1"/>
      <protection locked="0" hidden="0"/>
    </xf>
    <xf numFmtId="37" fontId="4" fillId="16" borderId="54" applyAlignment="1" applyProtection="1" pivotButton="0" quotePrefix="0" xfId="0">
      <alignment horizontal="center" wrapText="1"/>
      <protection locked="0" hidden="0"/>
    </xf>
    <xf numFmtId="0" fontId="6" fillId="15" borderId="39" applyAlignment="1" pivotButton="0" quotePrefix="0" xfId="0">
      <alignment horizontal="center" vertical="center" wrapText="1"/>
    </xf>
    <xf numFmtId="0" fontId="0" fillId="0" borderId="25" applyAlignment="1" pivotButton="0" quotePrefix="0" xfId="0">
      <alignment horizontal="center" vertical="center"/>
    </xf>
    <xf numFmtId="37" fontId="0" fillId="27" borderId="25" applyAlignment="1" pivotButton="0" quotePrefix="0" xfId="0">
      <alignment horizontal="right"/>
    </xf>
    <xf numFmtId="37" fontId="0" fillId="27" borderId="54" applyAlignment="1" pivotButton="0" quotePrefix="0" xfId="0">
      <alignment horizontal="right"/>
    </xf>
    <xf numFmtId="0" fontId="11" fillId="15" borderId="8" applyAlignment="1" pivotButton="0" quotePrefix="0" xfId="0">
      <alignment horizontal="center" vertical="center" wrapText="1"/>
    </xf>
    <xf numFmtId="0" fontId="6" fillId="15" borderId="8" applyAlignment="1" pivotButton="0" quotePrefix="0" xfId="0">
      <alignment wrapText="1"/>
    </xf>
    <xf numFmtId="17" fontId="11" fillId="16" borderId="39" applyAlignment="1" applyProtection="1" pivotButton="0" quotePrefix="0" xfId="0">
      <alignment horizontal="center" vertical="center" wrapText="1"/>
      <protection locked="0" hidden="0"/>
    </xf>
    <xf numFmtId="37" fontId="11" fillId="16" borderId="39" applyAlignment="1" applyProtection="1" pivotButton="0" quotePrefix="0" xfId="0">
      <alignment horizontal="center" vertical="center" wrapText="1"/>
      <protection locked="0" hidden="0"/>
    </xf>
    <xf numFmtId="37" fontId="11" fillId="16" borderId="25" applyAlignment="1" applyProtection="1" pivotButton="0" quotePrefix="0" xfId="0">
      <alignment horizontal="center" vertical="center" wrapText="1"/>
      <protection locked="0" hidden="0"/>
    </xf>
    <xf numFmtId="37" fontId="11" fillId="16" borderId="54" applyAlignment="1" applyProtection="1" pivotButton="0" quotePrefix="0" xfId="0">
      <alignment horizontal="right" vertical="center" wrapText="1"/>
      <protection locked="0" hidden="0"/>
    </xf>
    <xf numFmtId="0" fontId="0" fillId="0" borderId="54" applyAlignment="1" applyProtection="1" pivotButton="0" quotePrefix="0" xfId="0">
      <alignment horizontal="center" vertical="center" wrapText="1"/>
      <protection locked="0" hidden="0"/>
    </xf>
    <xf numFmtId="0" fontId="11" fillId="15" borderId="30" applyAlignment="1" pivotButton="0" quotePrefix="0" xfId="0">
      <alignment horizontal="center"/>
    </xf>
    <xf numFmtId="0" fontId="0" fillId="0" borderId="14" pivotButton="0" quotePrefix="0" xfId="0"/>
    <xf numFmtId="0" fontId="11" fillId="15" borderId="69" applyAlignment="1" pivotButton="0" quotePrefix="0" xfId="0">
      <alignment horizontal="center"/>
    </xf>
    <xf numFmtId="0" fontId="0" fillId="0" borderId="70" applyAlignment="1" pivotButton="0" quotePrefix="0" xfId="0">
      <alignment horizontal="center"/>
    </xf>
    <xf numFmtId="37" fontId="11" fillId="16" borderId="69" applyAlignment="1" applyProtection="1" pivotButton="0" quotePrefix="0" xfId="0">
      <alignment horizontal="right"/>
      <protection locked="0" hidden="0"/>
    </xf>
    <xf numFmtId="37" fontId="0" fillId="16" borderId="4" applyAlignment="1" applyProtection="1" pivotButton="0" quotePrefix="0" xfId="0">
      <alignment horizontal="right"/>
      <protection locked="0" hidden="0"/>
    </xf>
    <xf numFmtId="37" fontId="0" fillId="16" borderId="70" applyAlignment="1" applyProtection="1" pivotButton="0" quotePrefix="0" xfId="0">
      <alignment horizontal="right"/>
      <protection locked="0" hidden="0"/>
    </xf>
    <xf numFmtId="0" fontId="11" fillId="15" borderId="14" applyAlignment="1" pivotButton="0" quotePrefix="0" xfId="0">
      <alignment horizontal="center"/>
    </xf>
    <xf numFmtId="0" fontId="8" fillId="15" borderId="25" applyAlignment="1" pivotButton="0" quotePrefix="0" xfId="0">
      <alignment horizontal="center" vertical="center" wrapText="1"/>
    </xf>
    <xf numFmtId="0" fontId="8" fillId="0" borderId="25" applyAlignment="1" pivotButton="0" quotePrefix="0" xfId="0">
      <alignment horizontal="center" vertical="center" wrapText="1"/>
    </xf>
    <xf numFmtId="0" fontId="8" fillId="0" borderId="54" applyAlignment="1" pivotButton="0" quotePrefix="0" xfId="0">
      <alignment horizontal="center" vertical="center" wrapText="1"/>
    </xf>
    <xf numFmtId="0" fontId="8" fillId="0" borderId="39" applyAlignment="1" pivotButton="0" quotePrefix="0" xfId="0">
      <alignment horizontal="center" vertical="center" wrapText="1"/>
    </xf>
    <xf numFmtId="0" fontId="6" fillId="0" borderId="39" applyAlignment="1" pivotButton="0" quotePrefix="0" xfId="0">
      <alignment horizontal="center" vertical="center" wrapText="1"/>
    </xf>
    <xf numFmtId="0" fontId="11" fillId="15" borderId="3" applyAlignment="1" pivotButton="0" quotePrefix="0" xfId="0">
      <alignment horizontal="center"/>
    </xf>
    <xf numFmtId="0" fontId="11" fillId="15" borderId="24" applyAlignment="1" pivotButton="0" quotePrefix="0" xfId="0">
      <alignment horizontal="center"/>
    </xf>
    <xf numFmtId="37" fontId="11" fillId="16" borderId="4" applyAlignment="1" applyProtection="1" pivotButton="0" quotePrefix="0" xfId="0">
      <alignment horizontal="right"/>
      <protection locked="0" hidden="0"/>
    </xf>
    <xf numFmtId="37" fontId="11" fillId="16" borderId="70" applyAlignment="1" applyProtection="1" pivotButton="0" quotePrefix="0" xfId="0">
      <alignment horizontal="right"/>
      <protection locked="0" hidden="0"/>
    </xf>
    <xf numFmtId="37" fontId="11" fillId="16" borderId="52" applyProtection="1" pivotButton="0" quotePrefix="0" xfId="0">
      <protection locked="0" hidden="0"/>
    </xf>
    <xf numFmtId="37" fontId="11" fillId="16" borderId="31" applyProtection="1" pivotButton="0" quotePrefix="0" xfId="0">
      <protection locked="0" hidden="0"/>
    </xf>
    <xf numFmtId="37" fontId="11" fillId="27" borderId="12" pivotButton="0" quotePrefix="0" xfId="0"/>
    <xf numFmtId="0" fontId="11" fillId="0" borderId="14" applyAlignment="1" pivotButton="0" quotePrefix="0" xfId="0">
      <alignment horizontal="center"/>
    </xf>
    <xf numFmtId="0" fontId="11" fillId="0" borderId="11" applyAlignment="1" pivotButton="0" quotePrefix="0" xfId="0">
      <alignment horizontal="center"/>
    </xf>
    <xf numFmtId="37" fontId="11" fillId="27" borderId="10" pivotButton="0" quotePrefix="0" xfId="0"/>
    <xf numFmtId="0" fontId="14" fillId="15" borderId="31" applyAlignment="1" pivotButton="0" quotePrefix="0" xfId="0">
      <alignment horizontal="left" vertical="center" indent="1"/>
    </xf>
    <xf numFmtId="0" fontId="14" fillId="15" borderId="73" applyAlignment="1" pivotButton="0" quotePrefix="0" xfId="0">
      <alignment horizontal="left" vertical="center" indent="1"/>
    </xf>
    <xf numFmtId="207" fontId="11" fillId="16" borderId="52" applyAlignment="1" applyProtection="1" pivotButton="0" quotePrefix="0" xfId="0">
      <alignment horizontal="center" vertical="center" wrapText="1"/>
      <protection locked="0" hidden="0"/>
    </xf>
    <xf numFmtId="207" fontId="11" fillId="16" borderId="31" applyAlignment="1" applyProtection="1" pivotButton="0" quotePrefix="0" xfId="0">
      <alignment horizontal="center" vertical="center" wrapText="1"/>
      <protection locked="0" hidden="0"/>
    </xf>
    <xf numFmtId="207" fontId="11" fillId="16" borderId="73" applyAlignment="1" applyProtection="1" pivotButton="0" quotePrefix="0" xfId="0">
      <alignment horizontal="center" vertical="center" wrapText="1"/>
      <protection locked="0" hidden="0"/>
    </xf>
    <xf numFmtId="37" fontId="11" fillId="16" borderId="52" applyAlignment="1" applyProtection="1" pivotButton="0" quotePrefix="0" xfId="0">
      <alignment horizontal="right" vertical="center"/>
      <protection locked="0" hidden="0"/>
    </xf>
    <xf numFmtId="37" fontId="11" fillId="16" borderId="31" applyAlignment="1" applyProtection="1" pivotButton="0" quotePrefix="0" xfId="0">
      <alignment horizontal="right" vertical="center"/>
      <protection locked="0" hidden="0"/>
    </xf>
    <xf numFmtId="37" fontId="11" fillId="16" borderId="73" applyAlignment="1" applyProtection="1" pivotButton="0" quotePrefix="0" xfId="0">
      <alignment horizontal="right" vertical="center"/>
      <protection locked="0" hidden="0"/>
    </xf>
    <xf numFmtId="37" fontId="253" fillId="15" borderId="52" applyAlignment="1" pivotButton="0" quotePrefix="0" xfId="0">
      <alignment horizontal="center" vertical="center"/>
    </xf>
    <xf numFmtId="37" fontId="253" fillId="15" borderId="31" applyAlignment="1" pivotButton="0" quotePrefix="0" xfId="0">
      <alignment horizontal="center" vertical="center"/>
    </xf>
    <xf numFmtId="37" fontId="253" fillId="15" borderId="73" applyAlignment="1" pivotButton="0" quotePrefix="0" xfId="0">
      <alignment horizontal="center" vertical="center"/>
    </xf>
    <xf numFmtId="0" fontId="253" fillId="15" borderId="52" applyAlignment="1" pivotButton="0" quotePrefix="0" xfId="0">
      <alignment horizontal="center" vertical="center" wrapText="1"/>
    </xf>
    <xf numFmtId="0" fontId="253" fillId="15" borderId="31" applyAlignment="1" pivotButton="0" quotePrefix="0" xfId="0">
      <alignment horizontal="center" vertical="center" wrapText="1"/>
    </xf>
    <xf numFmtId="0" fontId="253" fillId="15" borderId="73" applyAlignment="1" pivotButton="0" quotePrefix="0" xfId="0">
      <alignment horizontal="center" vertical="center" wrapText="1"/>
    </xf>
    <xf numFmtId="0" fontId="14" fillId="15" borderId="8" applyAlignment="1" pivotButton="0" quotePrefix="0" xfId="0">
      <alignment horizontal="left" vertical="center" indent="1"/>
    </xf>
    <xf numFmtId="0" fontId="14" fillId="15" borderId="14" applyAlignment="1" pivotButton="0" quotePrefix="0" xfId="0">
      <alignment horizontal="left" vertical="center" indent="1"/>
    </xf>
    <xf numFmtId="207" fontId="11" fillId="16" borderId="30" applyAlignment="1" applyProtection="1" pivotButton="0" quotePrefix="0" xfId="0">
      <alignment horizontal="center" vertical="center" wrapText="1"/>
      <protection locked="0" hidden="0"/>
    </xf>
    <xf numFmtId="207" fontId="11" fillId="16" borderId="8" applyAlignment="1" applyProtection="1" pivotButton="0" quotePrefix="0" xfId="0">
      <alignment horizontal="center" vertical="center" wrapText="1"/>
      <protection locked="0" hidden="0"/>
    </xf>
    <xf numFmtId="207" fontId="11" fillId="16" borderId="14" applyAlignment="1" applyProtection="1" pivotButton="0" quotePrefix="0" xfId="0">
      <alignment horizontal="center" vertical="center" wrapText="1"/>
      <protection locked="0" hidden="0"/>
    </xf>
    <xf numFmtId="37" fontId="11" fillId="16" borderId="30" applyAlignment="1" applyProtection="1" pivotButton="0" quotePrefix="0" xfId="0">
      <alignment horizontal="right" vertical="center"/>
      <protection locked="0" hidden="0"/>
    </xf>
    <xf numFmtId="37" fontId="11" fillId="16" borderId="8" applyAlignment="1" applyProtection="1" pivotButton="0" quotePrefix="0" xfId="0">
      <alignment horizontal="right" vertical="center"/>
      <protection locked="0" hidden="0"/>
    </xf>
    <xf numFmtId="37" fontId="11" fillId="16" borderId="14" applyAlignment="1" applyProtection="1" pivotButton="0" quotePrefix="0" xfId="0">
      <alignment horizontal="right" vertical="center"/>
      <protection locked="0" hidden="0"/>
    </xf>
    <xf numFmtId="37" fontId="253" fillId="15" borderId="30" applyAlignment="1" pivotButton="0" quotePrefix="0" xfId="0">
      <alignment horizontal="center" vertical="center"/>
    </xf>
    <xf numFmtId="37" fontId="253" fillId="15" borderId="8" applyAlignment="1" pivotButton="0" quotePrefix="0" xfId="0">
      <alignment horizontal="center" vertical="center"/>
    </xf>
    <xf numFmtId="0" fontId="253" fillId="15" borderId="30" applyAlignment="1" pivotButton="0" quotePrefix="0" xfId="0">
      <alignment horizontal="center" vertical="center" wrapText="1"/>
    </xf>
    <xf numFmtId="0" fontId="253" fillId="15" borderId="8" applyAlignment="1" pivotButton="0" quotePrefix="0" xfId="0">
      <alignment horizontal="center" vertical="center" wrapText="1"/>
    </xf>
    <xf numFmtId="0" fontId="253" fillId="15" borderId="14" applyAlignment="1" pivotButton="0" quotePrefix="0" xfId="0">
      <alignment horizontal="center" vertical="center" wrapText="1"/>
    </xf>
    <xf numFmtId="37" fontId="11" fillId="16" borderId="3" applyProtection="1" pivotButton="0" quotePrefix="0" xfId="0">
      <protection locked="0" hidden="0"/>
    </xf>
    <xf numFmtId="37" fontId="11" fillId="16" borderId="0" applyProtection="1" pivotButton="0" quotePrefix="0" xfId="0">
      <protection locked="0" hidden="0"/>
    </xf>
    <xf numFmtId="0" fontId="14" fillId="15" borderId="25" applyAlignment="1" pivotButton="0" quotePrefix="0" xfId="0">
      <alignment horizontal="left" vertical="center" indent="1"/>
    </xf>
    <xf numFmtId="0" fontId="14" fillId="15" borderId="54" applyAlignment="1" pivotButton="0" quotePrefix="0" xfId="0">
      <alignment horizontal="left" vertical="center" indent="1"/>
    </xf>
    <xf numFmtId="17" fontId="11" fillId="19" borderId="39" applyAlignment="1" pivotButton="0" quotePrefix="0" xfId="0">
      <alignment horizontal="center" vertical="center" wrapText="1"/>
    </xf>
    <xf numFmtId="37" fontId="11" fillId="16" borderId="39" applyAlignment="1" applyProtection="1" pivotButton="0" quotePrefix="0" xfId="0">
      <alignment horizontal="right" vertical="center"/>
      <protection locked="0" hidden="0"/>
    </xf>
    <xf numFmtId="37" fontId="253" fillId="15" borderId="39" applyAlignment="1" pivotButton="0" quotePrefix="0" xfId="0">
      <alignment horizontal="center" vertical="center"/>
    </xf>
    <xf numFmtId="37" fontId="253" fillId="15" borderId="25" applyAlignment="1" pivotButton="0" quotePrefix="0" xfId="0">
      <alignment horizontal="center" vertical="center"/>
    </xf>
    <xf numFmtId="0" fontId="251" fillId="16" borderId="39" applyAlignment="1" applyProtection="1" pivotButton="0" quotePrefix="0" xfId="0">
      <alignment horizontal="center" vertical="center" wrapText="1"/>
      <protection locked="0" hidden="0"/>
    </xf>
    <xf numFmtId="0" fontId="251" fillId="16" borderId="25" applyAlignment="1" applyProtection="1" pivotButton="0" quotePrefix="0" xfId="0">
      <alignment horizontal="center" vertical="center" wrapText="1"/>
      <protection locked="0" hidden="0"/>
    </xf>
    <xf numFmtId="0" fontId="251" fillId="16" borderId="54" applyAlignment="1" applyProtection="1" pivotButton="0" quotePrefix="0" xfId="0">
      <alignment horizontal="center" vertical="center" wrapText="1"/>
      <protection locked="0" hidden="0"/>
    </xf>
    <xf numFmtId="0" fontId="253" fillId="15" borderId="39" applyAlignment="1" pivotButton="0" quotePrefix="0" xfId="0">
      <alignment horizontal="center" vertical="center" wrapText="1"/>
    </xf>
    <xf numFmtId="0" fontId="253" fillId="15" borderId="25" applyAlignment="1" pivotButton="0" quotePrefix="0" xfId="0">
      <alignment horizontal="center" vertical="center" wrapText="1"/>
    </xf>
    <xf numFmtId="0" fontId="253" fillId="15" borderId="54" applyAlignment="1" pivotButton="0" quotePrefix="0" xfId="0">
      <alignment horizontal="center" vertical="center" wrapText="1"/>
    </xf>
    <xf numFmtId="0" fontId="251" fillId="16" borderId="39" applyAlignment="1" applyProtection="1" pivotButton="0" quotePrefix="0" xfId="0">
      <alignment horizontal="center" vertical="center"/>
      <protection locked="0" hidden="0"/>
    </xf>
    <xf numFmtId="0" fontId="251" fillId="16" borderId="25" applyAlignment="1" applyProtection="1" pivotButton="0" quotePrefix="0" xfId="0">
      <alignment horizontal="center" vertical="center"/>
      <protection locked="0" hidden="0"/>
    </xf>
    <xf numFmtId="0" fontId="251" fillId="16" borderId="54" applyAlignment="1" applyProtection="1" pivotButton="0" quotePrefix="0" xfId="0">
      <alignment horizontal="center" vertical="center"/>
      <protection locked="0" hidden="0"/>
    </xf>
    <xf numFmtId="0" fontId="14" fillId="15" borderId="1" applyAlignment="1" pivotButton="0" quotePrefix="0" xfId="0">
      <alignment horizontal="left" vertical="center"/>
    </xf>
    <xf numFmtId="0" fontId="14" fillId="15" borderId="11" applyAlignment="1" pivotButton="0" quotePrefix="0" xfId="0">
      <alignment horizontal="left" vertical="center"/>
    </xf>
    <xf numFmtId="207" fontId="11" fillId="16" borderId="39" applyAlignment="1" applyProtection="1" pivotButton="0" quotePrefix="0" xfId="0">
      <alignment horizontal="center" vertical="center" wrapText="1"/>
      <protection locked="0" hidden="0"/>
    </xf>
    <xf numFmtId="207" fontId="11" fillId="16" borderId="25" applyAlignment="1" applyProtection="1" pivotButton="0" quotePrefix="0" xfId="0">
      <alignment horizontal="center" vertical="center" wrapText="1"/>
      <protection locked="0" hidden="0"/>
    </xf>
    <xf numFmtId="207" fontId="11" fillId="16" borderId="54" applyAlignment="1" applyProtection="1" pivotButton="0" quotePrefix="0" xfId="0">
      <alignment horizontal="center" vertical="center" wrapText="1"/>
      <protection locked="0" hidden="0"/>
    </xf>
    <xf numFmtId="0" fontId="14" fillId="15" borderId="8" applyAlignment="1" pivotButton="0" quotePrefix="0" xfId="0">
      <alignment horizontal="left" vertical="center"/>
    </xf>
    <xf numFmtId="0" fontId="14" fillId="15" borderId="14" applyAlignment="1" pivotButton="0" quotePrefix="0" xfId="0">
      <alignment horizontal="left" vertical="center"/>
    </xf>
    <xf numFmtId="0" fontId="253" fillId="15" borderId="39" applyAlignment="1" pivotButton="0" quotePrefix="0" xfId="0">
      <alignment horizontal="center" vertical="center"/>
    </xf>
    <xf numFmtId="0" fontId="253" fillId="15" borderId="25" applyAlignment="1" pivotButton="0" quotePrefix="0" xfId="0">
      <alignment horizontal="center" vertical="center"/>
    </xf>
    <xf numFmtId="0" fontId="253" fillId="15" borderId="54" applyAlignment="1" pivotButton="0" quotePrefix="0" xfId="0">
      <alignment horizontal="center" vertical="center"/>
    </xf>
    <xf numFmtId="0" fontId="14" fillId="15" borderId="25" applyAlignment="1" pivotButton="0" quotePrefix="0" xfId="0">
      <alignment horizontal="right" vertical="center" indent="1"/>
    </xf>
    <xf numFmtId="0" fontId="14" fillId="15" borderId="54" applyAlignment="1" pivotButton="0" quotePrefix="0" xfId="0">
      <alignment horizontal="right" vertical="center" indent="1"/>
    </xf>
    <xf numFmtId="0" fontId="252" fillId="16" borderId="39" applyAlignment="1" applyProtection="1" pivotButton="0" quotePrefix="0" xfId="0">
      <alignment horizontal="center" vertical="center" wrapText="1"/>
      <protection locked="0" hidden="0"/>
    </xf>
    <xf numFmtId="0" fontId="20" fillId="0" borderId="25" applyAlignment="1" applyProtection="1" pivotButton="0" quotePrefix="0" xfId="0">
      <alignment horizontal="center" vertical="center" wrapText="1"/>
      <protection locked="0" hidden="0"/>
    </xf>
    <xf numFmtId="0" fontId="20" fillId="0" borderId="54" applyAlignment="1" applyProtection="1" pivotButton="0" quotePrefix="0" xfId="0">
      <alignment horizontal="center" vertical="center" wrapText="1"/>
      <protection locked="0" hidden="0"/>
    </xf>
    <xf numFmtId="37" fontId="11" fillId="16" borderId="12" applyProtection="1" pivotButton="0" quotePrefix="0" xfId="0">
      <protection locked="0" hidden="0"/>
    </xf>
    <xf numFmtId="0" fontId="6" fillId="15" borderId="25" applyAlignment="1" pivotButton="0" quotePrefix="0" xfId="0">
      <alignment horizontal="center" vertical="center" wrapText="1"/>
    </xf>
    <xf numFmtId="0" fontId="6" fillId="0" borderId="25" applyAlignment="1" pivotButton="0" quotePrefix="0" xfId="0">
      <alignment horizontal="center" vertical="center" wrapText="1"/>
    </xf>
    <xf numFmtId="0" fontId="6" fillId="0" borderId="54" applyAlignment="1" pivotButton="0" quotePrefix="0" xfId="0">
      <alignment horizontal="center" vertical="center" wrapText="1"/>
    </xf>
    <xf numFmtId="0" fontId="8" fillId="15" borderId="39" applyAlignment="1" pivotButton="0" quotePrefix="0" xfId="0">
      <alignment horizontal="center" vertical="center" wrapText="1"/>
    </xf>
    <xf numFmtId="0" fontId="6" fillId="15" borderId="54" applyAlignment="1" pivotButton="0" quotePrefix="0" xfId="0">
      <alignment horizontal="center" vertical="center" wrapText="1"/>
    </xf>
    <xf numFmtId="0" fontId="11" fillId="27" borderId="12" pivotButton="0" quotePrefix="0" xfId="0"/>
    <xf numFmtId="0" fontId="11" fillId="27" borderId="39" pivotButton="0" quotePrefix="0" xfId="0"/>
    <xf numFmtId="37" fontId="11" fillId="27" borderId="30" applyAlignment="1" pivotButton="0" quotePrefix="0" xfId="0">
      <alignment horizontal="right"/>
    </xf>
    <xf numFmtId="37" fontId="11" fillId="27" borderId="8" pivotButton="0" quotePrefix="0" xfId="0"/>
    <xf numFmtId="37" fontId="11" fillId="27" borderId="14" pivotButton="0" quotePrefix="0" xfId="0"/>
    <xf numFmtId="37" fontId="11" fillId="27" borderId="54" pivotButton="0" quotePrefix="0" xfId="0"/>
    <xf numFmtId="37" fontId="11" fillId="16" borderId="54" applyProtection="1" pivotButton="0" quotePrefix="0" xfId="0">
      <protection locked="0" hidden="0"/>
    </xf>
    <xf numFmtId="0" fontId="6" fillId="0" borderId="191"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wrapText="1"/>
    </xf>
    <xf numFmtId="0" fontId="0" fillId="0" borderId="10" applyAlignment="1" pivotButton="0" quotePrefix="0" xfId="0">
      <alignment horizontal="center" wrapText="1"/>
    </xf>
    <xf numFmtId="168" fontId="6" fillId="0" borderId="191" applyAlignment="1" pivotButton="0" quotePrefix="0" xfId="0">
      <alignment horizontal="center" vertical="center" wrapText="1"/>
    </xf>
    <xf numFmtId="168" fontId="0" fillId="0" borderId="6" applyAlignment="1" pivotButton="0" quotePrefix="0" xfId="0">
      <alignment horizontal="center" vertical="center" wrapText="1"/>
    </xf>
    <xf numFmtId="168" fontId="0" fillId="0" borderId="10" applyAlignment="1" pivotButton="0" quotePrefix="0" xfId="0">
      <alignment wrapText="1"/>
    </xf>
    <xf numFmtId="0" fontId="6" fillId="0" borderId="56" applyAlignment="1" pivotButton="0" quotePrefix="0" xfId="0">
      <alignment horizontal="center" vertical="center" wrapText="1"/>
    </xf>
    <xf numFmtId="0" fontId="0" fillId="0" borderId="9" applyAlignment="1" pivotButton="0" quotePrefix="0" xfId="0">
      <alignment wrapText="1"/>
    </xf>
    <xf numFmtId="0" fontId="15" fillId="27" borderId="1" applyAlignment="1" pivotButton="0" quotePrefix="0" xfId="0">
      <alignment horizontal="left"/>
    </xf>
    <xf numFmtId="0" fontId="15" fillId="27" borderId="11" applyAlignment="1" pivotButton="0" quotePrefix="0" xfId="0">
      <alignment horizontal="left"/>
    </xf>
    <xf numFmtId="0" fontId="15" fillId="16" borderId="9" applyAlignment="1" applyProtection="1" pivotButton="0" quotePrefix="0" xfId="0">
      <alignment horizontal="left" vertical="center"/>
      <protection locked="0" hidden="0"/>
    </xf>
    <xf numFmtId="0" fontId="15" fillId="16" borderId="1" applyAlignment="1" applyProtection="1" pivotButton="0" quotePrefix="0" xfId="0">
      <alignment horizontal="left" vertical="center"/>
      <protection locked="0" hidden="0"/>
    </xf>
    <xf numFmtId="0" fontId="15" fillId="16" borderId="11" applyAlignment="1" applyProtection="1" pivotButton="0" quotePrefix="0" xfId="0">
      <alignment horizontal="left" vertical="center"/>
      <protection locked="0" hidden="0"/>
    </xf>
    <xf numFmtId="0" fontId="11" fillId="16" borderId="9" applyAlignment="1" applyProtection="1" pivotButton="0" quotePrefix="0" xfId="0">
      <alignment horizontal="center" vertical="center"/>
      <protection locked="0" hidden="0"/>
    </xf>
    <xf numFmtId="0" fontId="11" fillId="16" borderId="1" applyAlignment="1" applyProtection="1" pivotButton="0" quotePrefix="0" xfId="0">
      <alignment horizontal="center" vertical="center"/>
      <protection locked="0" hidden="0"/>
    </xf>
    <xf numFmtId="0" fontId="6" fillId="0" borderId="36" applyAlignment="1" pivotButton="0" quotePrefix="0" xfId="0">
      <alignment horizontal="center" vertical="center" wrapText="1"/>
    </xf>
    <xf numFmtId="0" fontId="8" fillId="0" borderId="191" applyAlignment="1" pivotButton="0" quotePrefix="0" xfId="0">
      <alignment horizontal="center" vertical="center" wrapText="1"/>
    </xf>
    <xf numFmtId="0" fontId="8" fillId="0" borderId="10" applyAlignment="1" pivotButton="0" quotePrefix="0" xfId="0">
      <alignment wrapText="1"/>
    </xf>
    <xf numFmtId="0" fontId="4" fillId="0" borderId="8" applyAlignment="1" pivotButton="0" quotePrefix="0" xfId="0">
      <alignment horizontal="center" vertical="center"/>
    </xf>
    <xf numFmtId="37" fontId="253" fillId="15" borderId="54" applyAlignment="1" pivotButton="0" quotePrefix="0" xfId="0">
      <alignment horizontal="center" vertical="center"/>
    </xf>
    <xf numFmtId="0" fontId="123" fillId="31" borderId="7" applyAlignment="1" pivotButton="0" quotePrefix="0" xfId="0">
      <alignment horizontal="center" vertical="center"/>
    </xf>
    <xf numFmtId="0" fontId="11" fillId="0" borderId="7" applyAlignment="1" pivotButton="0" quotePrefix="0" xfId="0">
      <alignment horizontal="center" vertical="center"/>
    </xf>
    <xf numFmtId="0" fontId="20" fillId="15" borderId="5" applyAlignment="1" pivotButton="0" quotePrefix="0" xfId="0">
      <alignment horizontal="center" wrapText="1"/>
    </xf>
    <xf numFmtId="0" fontId="6" fillId="15" borderId="25" applyAlignment="1" pivotButton="0" quotePrefix="1" xfId="0">
      <alignment horizontal="center"/>
    </xf>
    <xf numFmtId="0" fontId="6" fillId="0" borderId="25" applyAlignment="1" pivotButton="0" quotePrefix="0" xfId="0">
      <alignment horizontal="center"/>
    </xf>
    <xf numFmtId="0" fontId="6" fillId="0" borderId="54" applyAlignment="1" pivotButton="0" quotePrefix="0" xfId="0">
      <alignment horizontal="center"/>
    </xf>
    <xf numFmtId="0" fontId="8" fillId="15" borderId="39" pivotButton="0" quotePrefix="0" xfId="0"/>
    <xf numFmtId="0" fontId="8" fillId="0" borderId="25" pivotButton="0" quotePrefix="0" xfId="0"/>
    <xf numFmtId="0" fontId="8" fillId="0" borderId="54" pivotButton="0" quotePrefix="0" xfId="0"/>
    <xf numFmtId="0" fontId="6" fillId="15" borderId="39" applyAlignment="1" pivotButton="0" quotePrefix="0" xfId="0">
      <alignment horizontal="center"/>
    </xf>
    <xf numFmtId="0" fontId="73" fillId="16" borderId="25" applyAlignment="1" applyProtection="1" pivotButton="0" quotePrefix="0" xfId="0">
      <alignment horizontal="left" vertical="center"/>
      <protection locked="0" hidden="0"/>
    </xf>
    <xf numFmtId="0" fontId="73" fillId="16" borderId="54" applyAlignment="1" applyProtection="1" pivotButton="0" quotePrefix="0" xfId="0">
      <alignment horizontal="left" vertical="center"/>
      <protection locked="0" hidden="0"/>
    </xf>
    <xf numFmtId="0" fontId="73" fillId="16" borderId="39" applyAlignment="1" applyProtection="1" pivotButton="0" quotePrefix="0" xfId="0">
      <alignment horizontal="left" vertical="center"/>
      <protection locked="0" hidden="0"/>
    </xf>
    <xf numFmtId="37" fontId="20" fillId="16" borderId="1" applyAlignment="1" applyProtection="1" pivotButton="0" quotePrefix="1" xfId="0">
      <alignment horizontal="right"/>
      <protection locked="0" hidden="0"/>
    </xf>
    <xf numFmtId="37" fontId="20" fillId="16" borderId="11" applyAlignment="1" applyProtection="1" pivotButton="0" quotePrefix="1" xfId="0">
      <alignment horizontal="right"/>
      <protection locked="0" hidden="0"/>
    </xf>
    <xf numFmtId="37" fontId="20" fillId="27" borderId="1" applyAlignment="1" pivotButton="0" quotePrefix="1" xfId="0">
      <alignment horizontal="right"/>
    </xf>
    <xf numFmtId="37" fontId="20" fillId="27" borderId="11" applyAlignment="1" pivotButton="0" quotePrefix="1" xfId="0">
      <alignment horizontal="right"/>
    </xf>
    <xf numFmtId="200" fontId="73" fillId="16" borderId="39" applyAlignment="1" applyProtection="1" pivotButton="0" quotePrefix="0" xfId="0">
      <alignment horizontal="center" vertical="center"/>
      <protection locked="0" hidden="0"/>
    </xf>
    <xf numFmtId="200" fontId="73" fillId="16" borderId="25" applyAlignment="1" applyProtection="1" pivotButton="0" quotePrefix="0" xfId="0">
      <alignment horizontal="center" vertical="center"/>
      <protection locked="0" hidden="0"/>
    </xf>
    <xf numFmtId="200" fontId="73" fillId="16" borderId="54" applyAlignment="1" applyProtection="1" pivotButton="0" quotePrefix="0" xfId="0">
      <alignment horizontal="center" vertical="center"/>
      <protection locked="0" hidden="0"/>
    </xf>
    <xf numFmtId="0" fontId="73" fillId="16" borderId="39" applyAlignment="1" applyProtection="1" pivotButton="0" quotePrefix="0" xfId="0">
      <alignment horizontal="center" vertical="center"/>
      <protection locked="0" hidden="0"/>
    </xf>
    <xf numFmtId="0" fontId="73" fillId="16" borderId="25" applyAlignment="1" applyProtection="1" pivotButton="0" quotePrefix="0" xfId="0">
      <alignment horizontal="center" vertical="center"/>
      <protection locked="0" hidden="0"/>
    </xf>
    <xf numFmtId="0" fontId="73" fillId="16" borderId="54" applyAlignment="1" applyProtection="1" pivotButton="0" quotePrefix="0" xfId="0">
      <alignment horizontal="center" vertical="center"/>
      <protection locked="0" hidden="0"/>
    </xf>
    <xf numFmtId="0" fontId="6" fillId="15" borderId="8" applyAlignment="1" pivotButton="0" quotePrefix="0" xfId="0">
      <alignment horizontal="center" vertical="center"/>
    </xf>
    <xf numFmtId="0" fontId="6" fillId="15" borderId="14" applyAlignment="1" pivotButton="0" quotePrefix="0" xfId="0">
      <alignment horizontal="center" vertical="center"/>
    </xf>
    <xf numFmtId="0" fontId="6" fillId="15" borderId="1" applyAlignment="1" pivotButton="0" quotePrefix="0" xfId="0">
      <alignment horizontal="center" vertical="center"/>
    </xf>
    <xf numFmtId="0" fontId="6" fillId="15" borderId="11" applyAlignment="1" pivotButton="0" quotePrefix="0" xfId="0">
      <alignment horizontal="center" vertical="center"/>
    </xf>
    <xf numFmtId="0" fontId="6" fillId="15" borderId="9" applyAlignment="1" pivotButton="0" quotePrefix="0" xfId="0">
      <alignment horizontal="center" vertical="center"/>
    </xf>
    <xf numFmtId="0" fontId="73" fillId="16" borderId="1" applyAlignment="1" applyProtection="1" pivotButton="0" quotePrefix="0" xfId="0">
      <alignment horizontal="left" vertical="center"/>
      <protection locked="0" hidden="0"/>
    </xf>
    <xf numFmtId="0" fontId="73" fillId="16" borderId="218" applyAlignment="1" applyProtection="1" pivotButton="0" quotePrefix="0" xfId="0">
      <alignment horizontal="center" vertical="center"/>
      <protection locked="0" hidden="0"/>
    </xf>
    <xf numFmtId="0" fontId="73" fillId="16" borderId="1" applyAlignment="1" applyProtection="1" pivotButton="0" quotePrefix="0" xfId="0">
      <alignment horizontal="center" vertical="center"/>
      <protection locked="0" hidden="0"/>
    </xf>
    <xf numFmtId="0" fontId="73" fillId="16" borderId="219" applyAlignment="1" applyProtection="1" pivotButton="0" quotePrefix="0" xfId="0">
      <alignment horizontal="center" vertical="center"/>
      <protection locked="0" hidden="0"/>
    </xf>
    <xf numFmtId="0" fontId="73" fillId="16" borderId="218" applyAlignment="1" applyProtection="1" pivotButton="0" quotePrefix="0" xfId="0">
      <alignment horizontal="left" vertical="center"/>
      <protection locked="0" hidden="0"/>
    </xf>
    <xf numFmtId="0" fontId="73" fillId="16" borderId="219" applyAlignment="1" applyProtection="1" pivotButton="0" quotePrefix="0" xfId="0">
      <alignment horizontal="left" vertical="center"/>
      <protection locked="0" hidden="0"/>
    </xf>
    <xf numFmtId="37" fontId="20" fillId="16" borderId="1" applyAlignment="1" applyProtection="1" pivotButton="0" quotePrefix="0" xfId="0">
      <alignment horizontal="right" vertical="center"/>
      <protection locked="0" hidden="0"/>
    </xf>
    <xf numFmtId="0" fontId="11" fillId="23" borderId="30" applyAlignment="1" pivotButton="0" quotePrefix="0" xfId="0">
      <alignment horizontal="center"/>
    </xf>
    <xf numFmtId="0" fontId="11" fillId="23" borderId="14" applyAlignment="1" pivotButton="0" quotePrefix="0" xfId="0">
      <alignment horizontal="center"/>
    </xf>
    <xf numFmtId="37" fontId="20" fillId="27" borderId="0" applyAlignment="1" pivotButton="0" quotePrefix="1" xfId="0">
      <alignment horizontal="right"/>
    </xf>
    <xf numFmtId="37" fontId="20" fillId="27" borderId="24" applyAlignment="1" pivotButton="0" quotePrefix="1" xfId="0">
      <alignment horizontal="right"/>
    </xf>
    <xf numFmtId="0" fontId="20" fillId="15" borderId="30" applyAlignment="1" pivotButton="0" quotePrefix="0" xfId="0">
      <alignment horizontal="center"/>
    </xf>
    <xf numFmtId="0" fontId="20" fillId="0" borderId="8" applyAlignment="1" pivotButton="0" quotePrefix="0" xfId="0">
      <alignment horizontal="center"/>
    </xf>
    <xf numFmtId="0" fontId="20" fillId="15" borderId="9" applyAlignment="1" pivotButton="0" quotePrefix="0" xfId="0">
      <alignment horizontal="center"/>
    </xf>
    <xf numFmtId="0" fontId="20" fillId="0" borderId="11" applyAlignment="1" pivotButton="0" quotePrefix="0" xfId="0">
      <alignment horizontal="center"/>
    </xf>
    <xf numFmtId="37" fontId="20" fillId="27" borderId="9" applyAlignment="1" pivotButton="0" quotePrefix="1" xfId="0">
      <alignment horizontal="right"/>
    </xf>
    <xf numFmtId="39" fontId="123" fillId="15" borderId="3" applyAlignment="1" applyProtection="1" pivotButton="0" quotePrefix="0" xfId="0">
      <alignment horizontal="center"/>
      <protection locked="0" hidden="0"/>
    </xf>
    <xf numFmtId="39" fontId="123" fillId="15" borderId="0" applyAlignment="1" applyProtection="1" pivotButton="0" quotePrefix="0" xfId="0">
      <alignment horizontal="center"/>
      <protection locked="0" hidden="0"/>
    </xf>
    <xf numFmtId="37" fontId="20" fillId="16" borderId="9" applyAlignment="1" applyProtection="1" pivotButton="0" quotePrefix="1" xfId="0">
      <alignment horizontal="right"/>
      <protection locked="0" hidden="0"/>
    </xf>
    <xf numFmtId="0" fontId="20" fillId="16" borderId="1" applyAlignment="1" applyProtection="1" pivotButton="0" quotePrefix="0" xfId="0">
      <alignment horizontal="center"/>
      <protection locked="0" hidden="0"/>
    </xf>
    <xf numFmtId="37" fontId="20" fillId="27" borderId="1" applyAlignment="1" pivotButton="0" quotePrefix="0" xfId="0">
      <alignment horizontal="right"/>
    </xf>
    <xf numFmtId="164" fontId="11" fillId="15" borderId="0" applyAlignment="1" pivotButton="0" quotePrefix="0" xfId="0">
      <alignment horizontal="right"/>
    </xf>
    <xf numFmtId="0" fontId="20" fillId="16" borderId="1" applyAlignment="1" applyProtection="1" pivotButton="0" quotePrefix="0" xfId="0">
      <alignment horizontal="center" vertical="center"/>
      <protection locked="0" hidden="0"/>
    </xf>
    <xf numFmtId="0" fontId="20" fillId="15" borderId="3" applyAlignment="1" pivotButton="0" quotePrefix="0" xfId="0">
      <alignment horizontal="center"/>
    </xf>
    <xf numFmtId="0" fontId="20" fillId="0" borderId="24" applyAlignment="1" pivotButton="0" quotePrefix="0" xfId="0">
      <alignment horizontal="center"/>
    </xf>
    <xf numFmtId="37" fontId="20" fillId="16" borderId="9" applyProtection="1" pivotButton="0" quotePrefix="0" xfId="0">
      <protection locked="0" hidden="0"/>
    </xf>
    <xf numFmtId="37" fontId="20" fillId="16" borderId="1" applyProtection="1" pivotButton="0" quotePrefix="0" xfId="0">
      <protection locked="0" hidden="0"/>
    </xf>
    <xf numFmtId="176" fontId="44" fillId="27" borderId="9" applyAlignment="1" pivotButton="0" quotePrefix="0" xfId="0">
      <alignment horizontal="center" vertical="center"/>
    </xf>
    <xf numFmtId="176" fontId="44" fillId="27" borderId="1" applyAlignment="1" pivotButton="0" quotePrefix="0" xfId="0">
      <alignment horizontal="center" vertical="center"/>
    </xf>
    <xf numFmtId="200" fontId="20" fillId="16" borderId="1" applyAlignment="1" applyProtection="1" pivotButton="0" quotePrefix="0" xfId="0">
      <alignment horizontal="center" vertical="center"/>
      <protection locked="0" hidden="0"/>
    </xf>
    <xf numFmtId="0" fontId="20" fillId="0" borderId="14" applyAlignment="1" pivotButton="0" quotePrefix="0" xfId="0">
      <alignment horizontal="center"/>
    </xf>
    <xf numFmtId="37" fontId="123" fillId="15" borderId="0" applyAlignment="1" applyProtection="1" pivotButton="0" quotePrefix="0" xfId="0">
      <alignment horizontal="center"/>
      <protection locked="0" hidden="0"/>
    </xf>
    <xf numFmtId="37" fontId="166" fillId="15" borderId="3" applyAlignment="1" applyProtection="1" pivotButton="0" quotePrefix="0" xfId="0">
      <alignment horizontal="center"/>
      <protection locked="0" hidden="0"/>
    </xf>
    <xf numFmtId="37" fontId="166" fillId="15" borderId="0" applyAlignment="1" applyProtection="1" pivotButton="0" quotePrefix="0" xfId="0">
      <alignment horizontal="center"/>
      <protection locked="0" hidden="0"/>
    </xf>
    <xf numFmtId="37" fontId="123" fillId="15" borderId="3" applyAlignment="1" applyProtection="1" pivotButton="0" quotePrefix="0" xfId="0">
      <alignment horizontal="center"/>
      <protection locked="0" hidden="0"/>
    </xf>
    <xf numFmtId="37" fontId="20" fillId="27" borderId="69" applyAlignment="1" pivotButton="0" quotePrefix="1" xfId="0">
      <alignment horizontal="right"/>
    </xf>
    <xf numFmtId="37" fontId="20" fillId="27" borderId="4" applyAlignment="1" pivotButton="0" quotePrefix="1" xfId="0">
      <alignment horizontal="right"/>
    </xf>
    <xf numFmtId="0" fontId="20" fillId="15" borderId="69" applyAlignment="1" pivotButton="0" quotePrefix="0" xfId="0">
      <alignment horizontal="center"/>
    </xf>
    <xf numFmtId="0" fontId="20" fillId="15" borderId="70" applyAlignment="1" pivotButton="0" quotePrefix="0" xfId="0">
      <alignment horizontal="center"/>
    </xf>
    <xf numFmtId="0" fontId="21" fillId="15" borderId="5" applyAlignment="1" pivotButton="0" quotePrefix="0" xfId="0">
      <alignment horizontal="center" vertical="center" wrapText="1"/>
    </xf>
    <xf numFmtId="0" fontId="315" fillId="0" borderId="0" applyAlignment="1" pivotButton="0" quotePrefix="0" xfId="0">
      <alignment horizontal="center" vertical="center"/>
    </xf>
    <xf numFmtId="0" fontId="315" fillId="0" borderId="20" applyAlignment="1" pivotButton="0" quotePrefix="0" xfId="0">
      <alignment horizontal="center" vertical="center"/>
    </xf>
    <xf numFmtId="0" fontId="315" fillId="0" borderId="5" applyAlignment="1" pivotButton="0" quotePrefix="0" xfId="0">
      <alignment horizontal="center" vertical="center"/>
    </xf>
    <xf numFmtId="0" fontId="85" fillId="15" borderId="4" applyAlignment="1" pivotButton="0" quotePrefix="0" xfId="0">
      <alignment horizontal="center"/>
    </xf>
    <xf numFmtId="0" fontId="15" fillId="15" borderId="21" applyAlignment="1" pivotButton="0" quotePrefix="0" xfId="0">
      <alignment horizontal="center" vertical="top"/>
    </xf>
    <xf numFmtId="0" fontId="15" fillId="0" borderId="4" applyAlignment="1" pivotButton="0" quotePrefix="0" xfId="0">
      <alignment horizontal="center" vertical="top"/>
    </xf>
    <xf numFmtId="0" fontId="15" fillId="0" borderId="22" applyAlignment="1" pivotButton="0" quotePrefix="0" xfId="0">
      <alignment horizontal="center" vertical="top"/>
    </xf>
    <xf numFmtId="37" fontId="123" fillId="15" borderId="30" applyAlignment="1" applyProtection="1" pivotButton="0" quotePrefix="0" xfId="0">
      <alignment horizontal="center"/>
      <protection locked="0" hidden="0"/>
    </xf>
    <xf numFmtId="37" fontId="123" fillId="15" borderId="8" applyAlignment="1" applyProtection="1" pivotButton="0" quotePrefix="0" xfId="0">
      <alignment horizontal="center"/>
      <protection locked="0" hidden="0"/>
    </xf>
    <xf numFmtId="37" fontId="166" fillId="15" borderId="30" applyAlignment="1" applyProtection="1" pivotButton="0" quotePrefix="0" xfId="0">
      <alignment horizontal="center" vertical="top"/>
      <protection locked="0" hidden="0"/>
    </xf>
    <xf numFmtId="37" fontId="166" fillId="15" borderId="8" applyAlignment="1" applyProtection="1" pivotButton="0" quotePrefix="0" xfId="0">
      <alignment horizontal="center" vertical="top"/>
      <protection locked="0" hidden="0"/>
    </xf>
    <xf numFmtId="0" fontId="6" fillId="15" borderId="15" applyAlignment="1" pivotButton="0" quotePrefix="0" xfId="0">
      <alignment horizontal="center" vertical="center"/>
    </xf>
    <xf numFmtId="0" fontId="6" fillId="15" borderId="10" applyAlignment="1" pivotButton="0" quotePrefix="0" xfId="0">
      <alignment horizontal="center" vertical="center"/>
    </xf>
    <xf numFmtId="0" fontId="4" fillId="2" borderId="4" applyAlignment="1" pivotButton="0" quotePrefix="0" xfId="0">
      <alignment horizontal="left"/>
    </xf>
    <xf numFmtId="0" fontId="4" fillId="2" borderId="4" applyAlignment="1" pivotButton="0" quotePrefix="0" xfId="0">
      <alignment horizontal="left" wrapText="1"/>
    </xf>
    <xf numFmtId="200" fontId="73" fillId="16" borderId="1" applyAlignment="1" applyProtection="1" pivotButton="0" quotePrefix="0" xfId="0">
      <alignment horizontal="center" vertical="center"/>
      <protection locked="0" hidden="0"/>
    </xf>
    <xf numFmtId="200" fontId="73" fillId="16" borderId="11" applyAlignment="1" applyProtection="1" pivotButton="0" quotePrefix="0" xfId="0">
      <alignment horizontal="center" vertical="center"/>
      <protection locked="0" hidden="0"/>
    </xf>
    <xf numFmtId="0" fontId="20" fillId="15" borderId="24" applyAlignment="1" pivotButton="0" quotePrefix="0" xfId="0">
      <alignment horizontal="center"/>
    </xf>
    <xf numFmtId="0" fontId="8" fillId="3" borderId="0" applyAlignment="1" pivotButton="0" quotePrefix="0" xfId="0">
      <alignment horizontal="center"/>
    </xf>
    <xf numFmtId="0" fontId="118" fillId="24" borderId="23" applyAlignment="1" pivotButton="0" quotePrefix="0" xfId="0">
      <alignment horizontal="center"/>
    </xf>
    <xf numFmtId="0" fontId="118" fillId="24" borderId="7" applyAlignment="1" pivotButton="0" quotePrefix="0" xfId="0">
      <alignment horizontal="center"/>
    </xf>
    <xf numFmtId="0" fontId="118" fillId="24" borderId="19" applyAlignment="1" pivotButton="0" quotePrefix="0" xfId="0">
      <alignment horizontal="center"/>
    </xf>
    <xf numFmtId="0" fontId="6" fillId="24" borderId="0" applyAlignment="1" pivotButton="0" quotePrefix="0" xfId="0">
      <alignment vertical="center"/>
    </xf>
    <xf numFmtId="0" fontId="6" fillId="24" borderId="0" pivotButton="0" quotePrefix="0" xfId="0"/>
    <xf numFmtId="0" fontId="104" fillId="3" borderId="0" applyAlignment="1" pivotButton="0" quotePrefix="0" xfId="0">
      <alignment horizontal="left"/>
    </xf>
    <xf numFmtId="0" fontId="133" fillId="0" borderId="20" applyAlignment="1" pivotButton="0" quotePrefix="0" xfId="0">
      <alignment horizontal="left"/>
    </xf>
    <xf numFmtId="0" fontId="133" fillId="0" borderId="0" pivotButton="0" quotePrefix="0" xfId="0"/>
    <xf numFmtId="0" fontId="133" fillId="0" borderId="20" pivotButton="0" quotePrefix="0" xfId="0"/>
    <xf numFmtId="0" fontId="11" fillId="28" borderId="1" pivotButton="0" quotePrefix="1" xfId="0"/>
    <xf numFmtId="0" fontId="0" fillId="25" borderId="1" pivotButton="0" quotePrefix="0" xfId="0"/>
    <xf numFmtId="0" fontId="0" fillId="25" borderId="11" pivotButton="0" quotePrefix="0" xfId="0"/>
    <xf numFmtId="0" fontId="6" fillId="24" borderId="5" applyAlignment="1" pivotButton="0" quotePrefix="0" xfId="0">
      <alignment horizontal="left"/>
    </xf>
    <xf numFmtId="0" fontId="6" fillId="24" borderId="0" applyAlignment="1" pivotButton="0" quotePrefix="0" xfId="0">
      <alignment horizontal="left"/>
    </xf>
    <xf numFmtId="0" fontId="6" fillId="24" borderId="20" applyAlignment="1" pivotButton="0" quotePrefix="0" xfId="0">
      <alignment horizontal="left"/>
    </xf>
    <xf numFmtId="0" fontId="6" fillId="24" borderId="5" applyAlignment="1" pivotButton="0" quotePrefix="0" xfId="0">
      <alignment horizontal="left" vertical="top"/>
    </xf>
    <xf numFmtId="0" fontId="6" fillId="24" borderId="0" applyAlignment="1" pivotButton="0" quotePrefix="0" xfId="0">
      <alignment horizontal="left" vertical="top"/>
    </xf>
    <xf numFmtId="0" fontId="6" fillId="24" borderId="20" applyAlignment="1" pivotButton="0" quotePrefix="0" xfId="0">
      <alignment horizontal="left" vertical="top"/>
    </xf>
    <xf numFmtId="0" fontId="0" fillId="0" borderId="20" applyAlignment="1" pivotButton="0" quotePrefix="0" xfId="0">
      <alignment horizontal="left" vertical="top" wrapText="1"/>
    </xf>
    <xf numFmtId="0" fontId="0" fillId="0" borderId="4" applyAlignment="1" pivotButton="0" quotePrefix="0" xfId="0">
      <alignment horizontal="left" vertical="top" wrapText="1"/>
    </xf>
    <xf numFmtId="0" fontId="0" fillId="0" borderId="22" applyAlignment="1" pivotButton="0" quotePrefix="0" xfId="0">
      <alignment horizontal="left" vertical="top" wrapText="1"/>
    </xf>
    <xf numFmtId="0" fontId="4" fillId="24" borderId="23" applyAlignment="1" pivotButton="0" quotePrefix="0" xfId="0">
      <alignment horizontal="left" vertical="center" wrapText="1"/>
    </xf>
    <xf numFmtId="0" fontId="0" fillId="0" borderId="7" applyAlignment="1" pivotButton="0" quotePrefix="0" xfId="0">
      <alignment horizontal="left" vertical="center" wrapText="1"/>
    </xf>
    <xf numFmtId="0" fontId="0" fillId="0" borderId="5" applyAlignment="1" pivotButton="0" quotePrefix="0" xfId="0">
      <alignment horizontal="left" vertical="center" wrapText="1"/>
    </xf>
    <xf numFmtId="0" fontId="0" fillId="0" borderId="21" applyAlignment="1" pivotButton="0" quotePrefix="0" xfId="0">
      <alignment horizontal="left" vertical="center" wrapText="1"/>
    </xf>
    <xf numFmtId="4" fontId="205" fillId="0" borderId="0" applyAlignment="1" pivotButton="0" quotePrefix="0" xfId="0">
      <alignment horizontal="left"/>
    </xf>
    <xf numFmtId="4" fontId="205" fillId="0" borderId="20" applyAlignment="1" pivotButton="0" quotePrefix="0" xfId="0">
      <alignment horizontal="left"/>
    </xf>
    <xf numFmtId="4" fontId="4" fillId="3" borderId="0" applyAlignment="1" applyProtection="1" pivotButton="0" quotePrefix="0" xfId="0">
      <alignment horizontal="right"/>
      <protection locked="0" hidden="0"/>
    </xf>
    <xf numFmtId="4" fontId="4" fillId="3" borderId="24" applyAlignment="1" applyProtection="1" pivotButton="0" quotePrefix="0" xfId="0">
      <alignment horizontal="right"/>
      <protection locked="0" hidden="0"/>
    </xf>
    <xf numFmtId="0" fontId="121" fillId="24" borderId="7" applyAlignment="1" pivotButton="0" quotePrefix="0" xfId="0">
      <alignment horizontal="center" vertical="center" wrapText="1"/>
    </xf>
    <xf numFmtId="4" fontId="10" fillId="3" borderId="21" applyAlignment="1" pivotButton="0" quotePrefix="0" xfId="0">
      <alignment horizontal="left" vertical="center" indent="2"/>
    </xf>
    <xf numFmtId="0" fontId="0" fillId="0" borderId="4" applyAlignment="1" pivotButton="0" quotePrefix="0" xfId="0">
      <alignment horizontal="left" vertical="center" indent="2"/>
    </xf>
    <xf numFmtId="4" fontId="16" fillId="3" borderId="26" applyAlignment="1" pivotButton="0" quotePrefix="0" xfId="0">
      <alignment horizontal="center"/>
    </xf>
    <xf numFmtId="0" fontId="92" fillId="0" borderId="8" applyAlignment="1" pivotButton="0" quotePrefix="0" xfId="0">
      <alignment horizontal="center"/>
    </xf>
    <xf numFmtId="0" fontId="92" fillId="0" borderId="5" applyAlignment="1" pivotButton="0" quotePrefix="0" xfId="0">
      <alignment horizontal="center"/>
    </xf>
    <xf numFmtId="0" fontId="92" fillId="0" borderId="0" applyAlignment="1" pivotButton="0" quotePrefix="0" xfId="0">
      <alignment horizontal="center"/>
    </xf>
    <xf numFmtId="0" fontId="11" fillId="3" borderId="25" pivotButton="0" quotePrefix="0" xfId="0"/>
    <xf numFmtId="0" fontId="14" fillId="0" borderId="25" pivotButton="0" quotePrefix="0" xfId="0"/>
    <xf numFmtId="0" fontId="10" fillId="3" borderId="5" applyAlignment="1" pivotButton="0" quotePrefix="0" xfId="0">
      <alignment horizontal="left" indent="2"/>
    </xf>
    <xf numFmtId="0" fontId="0" fillId="0" borderId="0" applyAlignment="1" pivotButton="0" quotePrefix="0" xfId="0">
      <alignment horizontal="left" indent="2"/>
    </xf>
    <xf numFmtId="0" fontId="9" fillId="3" borderId="21" applyAlignment="1" pivotButton="0" quotePrefix="0" xfId="0">
      <alignment horizontal="center" vertical="top"/>
    </xf>
    <xf numFmtId="0" fontId="9" fillId="3" borderId="4" applyAlignment="1" pivotButton="0" quotePrefix="0" xfId="0">
      <alignment horizontal="center" vertical="top"/>
    </xf>
    <xf numFmtId="0" fontId="9" fillId="3" borderId="22" applyAlignment="1" pivotButton="0" quotePrefix="0" xfId="0">
      <alignment horizontal="center" vertical="top"/>
    </xf>
    <xf numFmtId="0" fontId="44" fillId="3" borderId="0" applyAlignment="1" pivotButton="0" quotePrefix="0" xfId="0">
      <alignment horizontal="center"/>
    </xf>
    <xf numFmtId="0" fontId="9" fillId="3" borderId="5" applyAlignment="1" pivotButton="0" quotePrefix="0" xfId="0">
      <alignment horizontal="center" vertical="top"/>
    </xf>
    <xf numFmtId="0" fontId="9" fillId="3" borderId="0" applyAlignment="1" pivotButton="0" quotePrefix="0" xfId="0">
      <alignment horizontal="center" vertical="top"/>
    </xf>
    <xf numFmtId="0" fontId="9" fillId="3" borderId="20" applyAlignment="1" pivotButton="0" quotePrefix="0" xfId="0">
      <alignment horizontal="center" vertical="top"/>
    </xf>
    <xf numFmtId="0" fontId="14" fillId="25" borderId="1" pivotButton="0" quotePrefix="0" xfId="0"/>
    <xf numFmtId="0" fontId="11" fillId="3" borderId="25" applyAlignment="1" pivotButton="0" quotePrefix="0" xfId="0">
      <alignment vertical="center"/>
    </xf>
    <xf numFmtId="0" fontId="14" fillId="0" borderId="25" applyAlignment="1" pivotButton="0" quotePrefix="0" xfId="0">
      <alignment vertical="center"/>
    </xf>
    <xf numFmtId="4" fontId="12" fillId="3" borderId="3" applyAlignment="1" pivotButton="0" quotePrefix="0" xfId="0">
      <alignment horizontal="center"/>
    </xf>
    <xf numFmtId="0" fontId="0" fillId="0" borderId="7" applyAlignment="1" pivotButton="0" quotePrefix="0" xfId="0">
      <alignment horizontal="center"/>
    </xf>
    <xf numFmtId="0" fontId="119" fillId="24" borderId="7" applyAlignment="1" applyProtection="1" pivotButton="0" quotePrefix="0" xfId="0">
      <alignment horizontal="center" vertical="center" wrapText="1"/>
      <protection locked="0" hidden="0"/>
    </xf>
    <xf numFmtId="0" fontId="119" fillId="24" borderId="0" applyAlignment="1" applyProtection="1" pivotButton="0" quotePrefix="0" xfId="0">
      <alignment horizontal="center" vertical="center" wrapText="1"/>
      <protection locked="0" hidden="0"/>
    </xf>
    <xf numFmtId="0" fontId="119" fillId="24" borderId="4" applyAlignment="1" applyProtection="1" pivotButton="0" quotePrefix="0" xfId="0">
      <alignment horizontal="center" vertical="center" wrapText="1"/>
      <protection locked="0" hidden="0"/>
    </xf>
    <xf numFmtId="49" fontId="9" fillId="16" borderId="1" applyAlignment="1" applyProtection="1" pivotButton="0" quotePrefix="0" xfId="4">
      <alignment wrapText="1"/>
      <protection locked="0" hidden="0"/>
    </xf>
    <xf numFmtId="49" fontId="9" fillId="16" borderId="11" applyAlignment="1" applyProtection="1" pivotButton="0" quotePrefix="0" xfId="4">
      <alignment wrapText="1"/>
      <protection locked="0" hidden="0"/>
    </xf>
    <xf numFmtId="49" fontId="9" fillId="16" borderId="9" applyAlignment="1" applyProtection="1" pivotButton="0" quotePrefix="0" xfId="4">
      <alignment wrapText="1"/>
      <protection locked="0" hidden="0"/>
    </xf>
    <xf numFmtId="49" fontId="9" fillId="15" borderId="1" applyAlignment="1" applyProtection="1" pivotButton="0" quotePrefix="0" xfId="4">
      <alignment horizontal="left" wrapText="1"/>
      <protection locked="0" hidden="0"/>
    </xf>
    <xf numFmtId="49" fontId="9" fillId="15" borderId="11" applyAlignment="1" applyProtection="1" pivotButton="0" quotePrefix="0" xfId="4">
      <alignment horizontal="left" wrapText="1"/>
      <protection locked="0" hidden="0"/>
    </xf>
    <xf numFmtId="49" fontId="6" fillId="0" borderId="1" applyAlignment="1" applyProtection="1" pivotButton="0" quotePrefix="0" xfId="4">
      <alignment wrapText="1"/>
      <protection locked="0" hidden="0"/>
    </xf>
    <xf numFmtId="49" fontId="6" fillId="0" borderId="11" applyAlignment="1" applyProtection="1" pivotButton="0" quotePrefix="0" xfId="4">
      <alignment wrapText="1"/>
      <protection locked="0" hidden="0"/>
    </xf>
    <xf numFmtId="14" fontId="9" fillId="15" borderId="9" applyAlignment="1" applyProtection="1" pivotButton="0" quotePrefix="0" xfId="4">
      <alignment horizontal="center" wrapText="1"/>
      <protection locked="0" hidden="0"/>
    </xf>
    <xf numFmtId="14" fontId="6" fillId="15" borderId="1" applyAlignment="1" applyProtection="1" pivotButton="0" quotePrefix="0" xfId="4">
      <alignment horizontal="center" wrapText="1"/>
      <protection locked="0" hidden="0"/>
    </xf>
    <xf numFmtId="0" fontId="44" fillId="16" borderId="1" applyProtection="1" pivotButton="0" quotePrefix="0" xfId="4">
      <protection locked="0" hidden="0"/>
    </xf>
    <xf numFmtId="0" fontId="6" fillId="0" borderId="1" applyProtection="1" pivotButton="0" quotePrefix="0" xfId="4">
      <protection locked="0" hidden="0"/>
    </xf>
    <xf numFmtId="0" fontId="6" fillId="0" borderId="11" applyProtection="1" pivotButton="0" quotePrefix="0" xfId="4">
      <protection locked="0" hidden="0"/>
    </xf>
    <xf numFmtId="49" fontId="20" fillId="16" borderId="9" applyAlignment="1" applyProtection="1" pivotButton="0" quotePrefix="0" xfId="4">
      <alignment horizontal="center" vertical="center"/>
      <protection locked="0" hidden="0"/>
    </xf>
    <xf numFmtId="49" fontId="20" fillId="16" borderId="1" applyAlignment="1" applyProtection="1" pivotButton="0" quotePrefix="0" xfId="4">
      <alignment horizontal="center" vertical="center"/>
      <protection locked="0" hidden="0"/>
    </xf>
    <xf numFmtId="0" fontId="44" fillId="16" borderId="1" applyAlignment="1" applyProtection="1" pivotButton="0" quotePrefix="0" xfId="4">
      <alignment wrapText="1"/>
      <protection locked="0" hidden="0"/>
    </xf>
    <xf numFmtId="0" fontId="6" fillId="0" borderId="1" applyAlignment="1" applyProtection="1" pivotButton="0" quotePrefix="0" xfId="4">
      <alignment wrapText="1"/>
      <protection locked="0" hidden="0"/>
    </xf>
    <xf numFmtId="0" fontId="123" fillId="31" borderId="25" applyAlignment="1" applyProtection="1" pivotButton="0" quotePrefix="0" xfId="4">
      <alignment horizontal="center"/>
      <protection locked="1" hidden="1"/>
    </xf>
    <xf numFmtId="0" fontId="110" fillId="31" borderId="25" applyAlignment="1" applyProtection="1" pivotButton="0" quotePrefix="0" xfId="4">
      <alignment horizontal="center"/>
      <protection locked="1" hidden="1"/>
    </xf>
    <xf numFmtId="170" fontId="15" fillId="16" borderId="1" applyAlignment="1" applyProtection="1" pivotButton="0" quotePrefix="0" xfId="4">
      <alignment horizontal="center" wrapText="1"/>
      <protection locked="0" hidden="0"/>
    </xf>
    <xf numFmtId="0" fontId="10" fillId="15" borderId="0" applyAlignment="1" applyProtection="1" pivotButton="0" quotePrefix="0" xfId="4">
      <alignment horizontal="left" wrapText="1" indent="1"/>
      <protection locked="1" hidden="1"/>
    </xf>
    <xf numFmtId="0" fontId="10" fillId="0" borderId="0" applyAlignment="1" pivotButton="0" quotePrefix="0" xfId="4">
      <alignment horizontal="left" wrapText="1" indent="1"/>
    </xf>
    <xf numFmtId="0" fontId="15" fillId="15" borderId="24" applyAlignment="1" applyProtection="1" pivotButton="0" quotePrefix="0" xfId="4">
      <alignment horizontal="left" wrapText="1"/>
      <protection locked="1" hidden="1"/>
    </xf>
    <xf numFmtId="0" fontId="15" fillId="15" borderId="6" applyAlignment="1" applyProtection="1" pivotButton="0" quotePrefix="0" xfId="4">
      <alignment horizontal="left" wrapText="1"/>
      <protection locked="1" hidden="1"/>
    </xf>
    <xf numFmtId="0" fontId="15" fillId="15" borderId="11" applyAlignment="1" applyProtection="1" pivotButton="0" quotePrefix="0" xfId="4">
      <alignment horizontal="left" wrapText="1"/>
      <protection locked="1" hidden="1"/>
    </xf>
    <xf numFmtId="0" fontId="15" fillId="15" borderId="10" applyAlignment="1" applyProtection="1" pivotButton="0" quotePrefix="0" xfId="4">
      <alignment horizontal="left" wrapText="1"/>
      <protection locked="1" hidden="1"/>
    </xf>
    <xf numFmtId="0" fontId="4" fillId="16" borderId="1" applyAlignment="1" applyProtection="1" pivotButton="0" quotePrefix="0" xfId="4">
      <alignment horizontal="left" vertical="center" wrapText="1"/>
      <protection locked="0" hidden="0"/>
    </xf>
    <xf numFmtId="14" fontId="4" fillId="16" borderId="1" applyAlignment="1" applyProtection="1" pivotButton="0" quotePrefix="0" xfId="4">
      <alignment horizontal="center" vertical="center" wrapText="1"/>
      <protection locked="0" hidden="0"/>
    </xf>
    <xf numFmtId="0" fontId="6" fillId="0" borderId="1" applyAlignment="1" applyProtection="1" pivotButton="0" quotePrefix="0" xfId="4">
      <alignment vertical="center" wrapText="1"/>
      <protection locked="0" hidden="0"/>
    </xf>
    <xf numFmtId="0" fontId="15" fillId="15" borderId="4" applyAlignment="1" applyProtection="1" pivotButton="0" quotePrefix="0" xfId="4">
      <alignment horizontal="right" vertical="center" wrapText="1" indent="1"/>
      <protection locked="1" hidden="1"/>
    </xf>
    <xf numFmtId="0" fontId="15" fillId="16" borderId="52" applyAlignment="1" applyProtection="1" pivotButton="0" quotePrefix="0" xfId="4">
      <alignment horizontal="center" vertical="center" wrapText="1"/>
      <protection locked="0" hidden="0"/>
    </xf>
    <xf numFmtId="0" fontId="15" fillId="16" borderId="73" applyAlignment="1" applyProtection="1" pivotButton="0" quotePrefix="0" xfId="4">
      <alignment horizontal="center" vertical="center" wrapText="1"/>
      <protection locked="0" hidden="0"/>
    </xf>
    <xf numFmtId="0" fontId="15" fillId="16" borderId="31" applyAlignment="1" applyProtection="1" pivotButton="0" quotePrefix="0" xfId="4">
      <alignment horizontal="center" vertical="center" wrapText="1"/>
      <protection locked="0" hidden="0"/>
    </xf>
    <xf numFmtId="0" fontId="123" fillId="31" borderId="8" applyAlignment="1" applyProtection="1" pivotButton="0" quotePrefix="0" xfId="4">
      <alignment horizontal="center"/>
      <protection locked="1" hidden="1"/>
    </xf>
    <xf numFmtId="0" fontId="110" fillId="31" borderId="8" applyAlignment="1" applyProtection="1" pivotButton="0" quotePrefix="0" xfId="4">
      <alignment horizontal="center"/>
      <protection locked="1" hidden="1"/>
    </xf>
    <xf numFmtId="0" fontId="6" fillId="16" borderId="1" applyAlignment="1" applyProtection="1" pivotButton="0" quotePrefix="0" xfId="4">
      <alignment horizontal="center"/>
      <protection locked="0" hidden="0"/>
    </xf>
    <xf numFmtId="0" fontId="6" fillId="15" borderId="1" applyAlignment="1" applyProtection="1" pivotButton="0" quotePrefix="0" xfId="4">
      <alignment horizontal="left" wrapText="1"/>
      <protection locked="1" hidden="1"/>
    </xf>
    <xf numFmtId="0" fontId="6" fillId="15" borderId="25" applyAlignment="1" applyProtection="1" pivotButton="0" quotePrefix="0" xfId="4">
      <alignment horizontal="center"/>
      <protection locked="1" hidden="1"/>
    </xf>
    <xf numFmtId="170" fontId="6" fillId="16" borderId="25" applyAlignment="1" applyProtection="1" pivotButton="0" quotePrefix="0" xfId="4">
      <alignment horizontal="center" vertical="center"/>
      <protection locked="0" hidden="0"/>
    </xf>
    <xf numFmtId="0" fontId="15" fillId="15" borderId="0" applyAlignment="1" applyProtection="1" pivotButton="0" quotePrefix="0" xfId="4">
      <alignment horizontal="right" vertical="center" wrapText="1" indent="1"/>
      <protection locked="1" hidden="1"/>
    </xf>
    <xf numFmtId="0" fontId="15" fillId="16" borderId="39" applyAlignment="1" applyProtection="1" pivotButton="0" quotePrefix="0" xfId="4">
      <alignment horizontal="center" vertical="center" wrapText="1"/>
      <protection locked="0" hidden="0"/>
    </xf>
    <xf numFmtId="0" fontId="15" fillId="16" borderId="54" applyAlignment="1" applyProtection="1" pivotButton="0" quotePrefix="0" xfId="4">
      <alignment horizontal="center" vertical="center" wrapText="1"/>
      <protection locked="0" hidden="0"/>
    </xf>
    <xf numFmtId="0" fontId="15" fillId="16" borderId="25" applyAlignment="1" applyProtection="1" pivotButton="0" quotePrefix="0" xfId="4">
      <alignment horizontal="center" vertical="center" wrapText="1"/>
      <protection locked="0" hidden="0"/>
    </xf>
    <xf numFmtId="0" fontId="15" fillId="16" borderId="9" applyAlignment="1" applyProtection="1" pivotButton="0" quotePrefix="0" xfId="4">
      <alignment horizontal="center" vertical="center" wrapText="1"/>
      <protection locked="0" hidden="0"/>
    </xf>
    <xf numFmtId="0" fontId="15" fillId="16" borderId="11" applyAlignment="1" applyProtection="1" pivotButton="0" quotePrefix="0" xfId="4">
      <alignment horizontal="center" vertical="center" wrapText="1"/>
      <protection locked="0" hidden="0"/>
    </xf>
    <xf numFmtId="0" fontId="15" fillId="16" borderId="1" applyAlignment="1" applyProtection="1" pivotButton="0" quotePrefix="0" xfId="4">
      <alignment horizontal="center" vertical="center" wrapText="1"/>
      <protection locked="0" hidden="0"/>
    </xf>
    <xf numFmtId="0" fontId="15" fillId="16" borderId="25" applyAlignment="1" applyProtection="1" pivotButton="0" quotePrefix="0" xfId="4">
      <alignment horizontal="left" wrapText="1"/>
      <protection locked="0" hidden="0"/>
    </xf>
    <xf numFmtId="0" fontId="15" fillId="16" borderId="1" applyAlignment="1" applyProtection="1" pivotButton="0" quotePrefix="0" xfId="4">
      <alignment horizontal="left" wrapText="1"/>
      <protection locked="0" hidden="0"/>
    </xf>
    <xf numFmtId="0" fontId="15" fillId="0" borderId="1" applyAlignment="1" applyProtection="1" pivotButton="0" quotePrefix="0" xfId="4">
      <alignment horizontal="left" wrapText="1"/>
      <protection locked="0" hidden="0"/>
    </xf>
    <xf numFmtId="0" fontId="15" fillId="15" borderId="39" applyAlignment="1" applyProtection="1" pivotButton="0" quotePrefix="0" xfId="4">
      <alignment horizontal="center" wrapText="1"/>
      <protection locked="1" hidden="1"/>
    </xf>
    <xf numFmtId="0" fontId="15" fillId="15" borderId="54" applyAlignment="1" pivotButton="0" quotePrefix="0" xfId="4">
      <alignment horizontal="center" wrapText="1"/>
    </xf>
    <xf numFmtId="0" fontId="15" fillId="15" borderId="25" applyAlignment="1" pivotButton="0" quotePrefix="0" xfId="4">
      <alignment horizontal="center" wrapText="1"/>
    </xf>
    <xf numFmtId="3" fontId="4" fillId="16" borderId="25" applyAlignment="1" applyProtection="1" pivotButton="0" quotePrefix="0" xfId="4">
      <alignment horizontal="center" vertical="center" wrapText="1"/>
      <protection locked="0" hidden="0"/>
    </xf>
    <xf numFmtId="0" fontId="15" fillId="16" borderId="11" applyAlignment="1" applyProtection="1" pivotButton="0" quotePrefix="0" xfId="4">
      <alignment horizontal="left" wrapText="1"/>
      <protection locked="0" hidden="0"/>
    </xf>
    <xf numFmtId="0" fontId="44" fillId="27" borderId="0" applyProtection="1" pivotButton="0" quotePrefix="0" xfId="4">
      <protection locked="1" hidden="1"/>
    </xf>
    <xf numFmtId="0" fontId="44" fillId="27" borderId="20" applyProtection="1" pivotButton="0" quotePrefix="0" xfId="4">
      <protection locked="1" hidden="1"/>
    </xf>
    <xf numFmtId="0" fontId="44" fillId="27" borderId="1" applyProtection="1" pivotButton="0" quotePrefix="0" xfId="4">
      <protection locked="1" hidden="1"/>
    </xf>
    <xf numFmtId="0" fontId="44" fillId="27" borderId="29" applyProtection="1" pivotButton="0" quotePrefix="0" xfId="4">
      <protection locked="1" hidden="1"/>
    </xf>
    <xf numFmtId="49" fontId="20" fillId="16" borderId="5" applyAlignment="1" applyProtection="1" pivotButton="0" quotePrefix="0" xfId="4">
      <alignment horizontal="center" vertical="center"/>
      <protection locked="0" hidden="0"/>
    </xf>
    <xf numFmtId="49" fontId="20" fillId="16" borderId="0" applyAlignment="1" applyProtection="1" pivotButton="0" quotePrefix="0" xfId="4">
      <alignment horizontal="center" vertical="center"/>
      <protection locked="0" hidden="0"/>
    </xf>
    <xf numFmtId="49" fontId="20" fillId="16" borderId="26" applyAlignment="1" applyProtection="1" pivotButton="0" quotePrefix="0" xfId="4">
      <alignment horizontal="center" vertical="center"/>
      <protection locked="0" hidden="0"/>
    </xf>
    <xf numFmtId="0" fontId="15" fillId="15" borderId="8" applyAlignment="1" applyProtection="1" pivotButton="0" quotePrefix="0" xfId="4">
      <alignment horizontal="right" vertical="center" wrapText="1" indent="1"/>
      <protection locked="1" hidden="1"/>
    </xf>
    <xf numFmtId="0" fontId="15" fillId="15" borderId="8" applyAlignment="1" pivotButton="0" quotePrefix="0" xfId="4">
      <alignment horizontal="right" vertical="center" wrapText="1" indent="1"/>
    </xf>
    <xf numFmtId="3" fontId="4" fillId="16" borderId="1" applyAlignment="1" applyProtection="1" pivotButton="0" quotePrefix="0" xfId="4">
      <alignment horizontal="center" vertical="center" wrapText="1"/>
      <protection locked="0" hidden="0"/>
    </xf>
    <xf numFmtId="14" fontId="4" fillId="16" borderId="39" applyAlignment="1" applyProtection="1" pivotButton="0" quotePrefix="0" xfId="4">
      <alignment horizontal="center" vertical="center" wrapText="1"/>
      <protection locked="0" hidden="0"/>
    </xf>
    <xf numFmtId="14" fontId="4" fillId="16" borderId="25" applyAlignment="1" applyProtection="1" pivotButton="0" quotePrefix="0" xfId="4">
      <alignment horizontal="center" vertical="center" wrapText="1"/>
      <protection locked="0" hidden="0"/>
    </xf>
    <xf numFmtId="14" fontId="6" fillId="0" borderId="25" applyAlignment="1" applyProtection="1" pivotButton="0" quotePrefix="0" xfId="4">
      <alignment horizontal="center" vertical="center" wrapText="1"/>
      <protection locked="0" hidden="0"/>
    </xf>
    <xf numFmtId="14" fontId="10" fillId="16" borderId="39" applyAlignment="1" applyProtection="1" pivotButton="0" quotePrefix="0" xfId="4">
      <alignment horizontal="center" vertical="center" wrapText="1"/>
      <protection locked="0" hidden="0"/>
    </xf>
    <xf numFmtId="14" fontId="10" fillId="16" borderId="25" applyAlignment="1" applyProtection="1" pivotButton="0" quotePrefix="0" xfId="4">
      <alignment horizontal="center" vertical="center" wrapText="1"/>
      <protection locked="0" hidden="0"/>
    </xf>
    <xf numFmtId="0" fontId="10" fillId="0" borderId="25" applyAlignment="1" applyProtection="1" pivotButton="0" quotePrefix="0" xfId="4">
      <alignment horizontal="center" vertical="center" wrapText="1"/>
      <protection locked="0" hidden="0"/>
    </xf>
    <xf numFmtId="0" fontId="10" fillId="0" borderId="25" applyAlignment="1" applyProtection="1" pivotButton="0" quotePrefix="0" xfId="4">
      <alignment wrapText="1"/>
      <protection locked="0" hidden="0"/>
    </xf>
    <xf numFmtId="0" fontId="10" fillId="0" borderId="54" applyAlignment="1" applyProtection="1" pivotButton="0" quotePrefix="0" xfId="4">
      <alignment wrapText="1"/>
      <protection locked="0" hidden="0"/>
    </xf>
    <xf numFmtId="167" fontId="4" fillId="16" borderId="39" applyAlignment="1" applyProtection="1" pivotButton="0" quotePrefix="0" xfId="4">
      <alignment horizontal="center" vertical="center" wrapText="1"/>
      <protection locked="0" hidden="0"/>
    </xf>
    <xf numFmtId="167" fontId="6" fillId="0" borderId="25" applyAlignment="1" applyProtection="1" pivotButton="0" quotePrefix="0" xfId="4">
      <alignment wrapText="1"/>
      <protection locked="0" hidden="0"/>
    </xf>
    <xf numFmtId="167" fontId="6" fillId="0" borderId="54" applyAlignment="1" applyProtection="1" pivotButton="0" quotePrefix="0" xfId="4">
      <alignment wrapText="1"/>
      <protection locked="0" hidden="0"/>
    </xf>
    <xf numFmtId="167" fontId="4" fillId="16" borderId="25" applyAlignment="1" applyProtection="1" pivotButton="0" quotePrefix="0" xfId="4">
      <alignment horizontal="center" vertical="center" wrapText="1"/>
      <protection locked="0" hidden="0"/>
    </xf>
    <xf numFmtId="167" fontId="6" fillId="0" borderId="25" applyAlignment="1" applyProtection="1" pivotButton="0" quotePrefix="0" xfId="4">
      <alignment horizontal="center" vertical="center" wrapText="1"/>
      <protection locked="0" hidden="0"/>
    </xf>
    <xf numFmtId="0" fontId="8" fillId="15" borderId="30" applyAlignment="1" applyProtection="1" pivotButton="0" quotePrefix="0" xfId="4">
      <alignment horizontal="center" vertical="center" wrapText="1"/>
      <protection locked="1" hidden="1"/>
    </xf>
    <xf numFmtId="0" fontId="6" fillId="0" borderId="8" applyAlignment="1" pivotButton="0" quotePrefix="0" xfId="4">
      <alignment vertical="center" wrapText="1"/>
    </xf>
    <xf numFmtId="0" fontId="6" fillId="0" borderId="9" applyAlignment="1" pivotButton="0" quotePrefix="0" xfId="4">
      <alignment vertical="center" wrapText="1"/>
    </xf>
    <xf numFmtId="0" fontId="6" fillId="0" borderId="1" applyAlignment="1" pivotButton="0" quotePrefix="0" xfId="4">
      <alignment vertical="center" wrapText="1"/>
    </xf>
    <xf numFmtId="0" fontId="8" fillId="0" borderId="30" applyAlignment="1" pivotButton="0" quotePrefix="0" xfId="4">
      <alignment horizontal="center" vertical="center" wrapText="1"/>
    </xf>
    <xf numFmtId="0" fontId="6" fillId="0" borderId="14" applyAlignment="1" pivotButton="0" quotePrefix="0" xfId="4">
      <alignment vertical="center" wrapText="1"/>
    </xf>
    <xf numFmtId="0" fontId="6" fillId="0" borderId="11" applyAlignment="1" pivotButton="0" quotePrefix="0" xfId="4">
      <alignment vertical="center" wrapText="1"/>
    </xf>
    <xf numFmtId="0" fontId="6" fillId="0" borderId="8" applyAlignment="1" pivotButton="0" quotePrefix="0" xfId="4">
      <alignment wrapText="1"/>
    </xf>
    <xf numFmtId="0" fontId="6" fillId="0" borderId="9" applyAlignment="1" pivotButton="0" quotePrefix="0" xfId="4">
      <alignment wrapText="1"/>
    </xf>
    <xf numFmtId="0" fontId="6" fillId="0" borderId="1" applyAlignment="1" pivotButton="0" quotePrefix="0" xfId="4">
      <alignment wrapText="1"/>
    </xf>
    <xf numFmtId="0" fontId="6" fillId="0" borderId="14" applyAlignment="1" pivotButton="0" quotePrefix="0" xfId="4">
      <alignment wrapText="1"/>
    </xf>
    <xf numFmtId="0" fontId="6" fillId="0" borderId="11" applyAlignment="1" pivotButton="0" quotePrefix="0" xfId="4">
      <alignment wrapText="1"/>
    </xf>
    <xf numFmtId="0" fontId="10" fillId="15" borderId="30" applyAlignment="1" applyProtection="1" pivotButton="0" quotePrefix="0" xfId="4">
      <alignment horizontal="center" vertical="center" wrapText="1"/>
      <protection locked="1" hidden="1"/>
    </xf>
    <xf numFmtId="0" fontId="10" fillId="15" borderId="8" applyAlignment="1" applyProtection="1" pivotButton="0" quotePrefix="0" xfId="4">
      <alignment horizontal="center" vertical="center" wrapText="1"/>
      <protection locked="1" hidden="1"/>
    </xf>
    <xf numFmtId="0" fontId="10" fillId="15" borderId="9" applyAlignment="1" applyProtection="1" pivotButton="0" quotePrefix="0" xfId="4">
      <alignment horizontal="center" vertical="center" wrapText="1"/>
      <protection locked="1" hidden="1"/>
    </xf>
    <xf numFmtId="0" fontId="10" fillId="15" borderId="1" applyAlignment="1" applyProtection="1" pivotButton="0" quotePrefix="0" xfId="4">
      <alignment horizontal="center" vertical="center" wrapText="1"/>
      <protection locked="1" hidden="1"/>
    </xf>
    <xf numFmtId="14" fontId="12" fillId="16" borderId="39" applyAlignment="1" applyProtection="1" pivotButton="0" quotePrefix="0" xfId="4">
      <alignment horizontal="center" vertical="center" wrapText="1"/>
      <protection locked="0" hidden="0"/>
    </xf>
    <xf numFmtId="0" fontId="12" fillId="0" borderId="25" applyAlignment="1" applyProtection="1" pivotButton="0" quotePrefix="0" xfId="4">
      <alignment horizontal="center" vertical="center" wrapText="1"/>
      <protection locked="0" hidden="0"/>
    </xf>
    <xf numFmtId="0" fontId="4" fillId="0" borderId="54" applyAlignment="1" applyProtection="1" pivotButton="0" quotePrefix="0" xfId="4">
      <alignment horizontal="center" vertical="center" wrapText="1"/>
      <protection locked="0" hidden="0"/>
    </xf>
    <xf numFmtId="0" fontId="9" fillId="16" borderId="39" applyAlignment="1" applyProtection="1" pivotButton="0" quotePrefix="0" xfId="4">
      <alignment horizontal="center" vertical="center" wrapText="1"/>
      <protection locked="0" hidden="0"/>
    </xf>
    <xf numFmtId="0" fontId="8" fillId="0" borderId="25" applyAlignment="1" applyProtection="1" pivotButton="0" quotePrefix="0" xfId="4">
      <alignment horizontal="center" vertical="center" wrapText="1"/>
      <protection locked="0" hidden="0"/>
    </xf>
    <xf numFmtId="0" fontId="8" fillId="0" borderId="54" applyAlignment="1" applyProtection="1" pivotButton="0" quotePrefix="0" xfId="4">
      <alignment horizontal="center" vertical="center" wrapText="1"/>
      <protection locked="0" hidden="0"/>
    </xf>
    <xf numFmtId="0" fontId="15" fillId="15" borderId="0" applyAlignment="1" pivotButton="0" quotePrefix="0" xfId="4">
      <alignment horizontal="right" vertical="center" wrapText="1" indent="1"/>
    </xf>
    <xf numFmtId="0" fontId="11" fillId="15" borderId="8" applyAlignment="1" applyProtection="1" pivotButton="0" quotePrefix="0" xfId="4">
      <alignment horizontal="center" vertical="center" wrapText="1"/>
      <protection locked="1" hidden="1"/>
    </xf>
    <xf numFmtId="0" fontId="6" fillId="0" borderId="8" applyAlignment="1" pivotButton="0" quotePrefix="0" xfId="4">
      <alignment horizontal="center" vertical="center" wrapText="1"/>
    </xf>
    <xf numFmtId="0" fontId="6" fillId="0" borderId="0" applyAlignment="1" pivotButton="0" quotePrefix="0" xfId="4">
      <alignment horizontal="center" vertical="center" wrapText="1"/>
    </xf>
    <xf numFmtId="0" fontId="6" fillId="0" borderId="1" applyAlignment="1" pivotButton="0" quotePrefix="0" xfId="4">
      <alignment horizontal="center" vertical="center" wrapText="1"/>
    </xf>
    <xf numFmtId="0" fontId="8" fillId="15" borderId="8" applyAlignment="1" applyProtection="1" pivotButton="0" quotePrefix="0" xfId="4">
      <alignment horizontal="center" vertical="center" wrapText="1"/>
      <protection locked="1" hidden="1"/>
    </xf>
    <xf numFmtId="0" fontId="6" fillId="0" borderId="14" applyAlignment="1" pivotButton="0" quotePrefix="0" xfId="4">
      <alignment horizontal="center" vertical="center" wrapText="1"/>
    </xf>
    <xf numFmtId="0" fontId="6" fillId="0" borderId="24" applyAlignment="1" pivotButton="0" quotePrefix="0" xfId="4">
      <alignment horizontal="center" vertical="center" wrapText="1"/>
    </xf>
    <xf numFmtId="0" fontId="6" fillId="0" borderId="11" applyAlignment="1" pivotButton="0" quotePrefix="0" xfId="4">
      <alignment horizontal="center" vertical="center" wrapText="1"/>
    </xf>
    <xf numFmtId="0" fontId="8" fillId="0" borderId="8" applyAlignment="1" pivotButton="0" quotePrefix="0" xfId="4">
      <alignment horizontal="center" vertical="center" wrapText="1"/>
    </xf>
    <xf numFmtId="0" fontId="8" fillId="0" borderId="14" applyAlignment="1" pivotButton="0" quotePrefix="0" xfId="4">
      <alignment horizontal="center" vertical="center" wrapText="1"/>
    </xf>
    <xf numFmtId="0" fontId="8" fillId="0" borderId="3" applyAlignment="1" pivotButton="0" quotePrefix="0" xfId="4">
      <alignment horizontal="center" vertical="center" wrapText="1"/>
    </xf>
    <xf numFmtId="0" fontId="8" fillId="0" borderId="0" applyAlignment="1" pivotButton="0" quotePrefix="0" xfId="4">
      <alignment horizontal="center" vertical="center" wrapText="1"/>
    </xf>
    <xf numFmtId="0" fontId="8" fillId="0" borderId="24" applyAlignment="1" pivotButton="0" quotePrefix="0" xfId="4">
      <alignment horizontal="center" vertical="center" wrapText="1"/>
    </xf>
    <xf numFmtId="0" fontId="8" fillId="0" borderId="9" applyAlignment="1" pivotButton="0" quotePrefix="0" xfId="4">
      <alignment horizontal="center" vertical="center" wrapText="1"/>
    </xf>
    <xf numFmtId="0" fontId="8" fillId="0" borderId="1" applyAlignment="1" pivotButton="0" quotePrefix="0" xfId="4">
      <alignment horizontal="center" vertical="center" wrapText="1"/>
    </xf>
    <xf numFmtId="0" fontId="8" fillId="0" borderId="11" applyAlignment="1" pivotButton="0" quotePrefix="0" xfId="4">
      <alignment horizontal="center" vertical="center" wrapText="1"/>
    </xf>
    <xf numFmtId="0" fontId="6" fillId="15" borderId="30" applyAlignment="1" applyProtection="1" pivotButton="0" quotePrefix="0" xfId="4">
      <alignment horizontal="center" vertical="center" wrapText="1"/>
      <protection locked="1" hidden="1"/>
    </xf>
    <xf numFmtId="0" fontId="6" fillId="15" borderId="8" applyAlignment="1" applyProtection="1" pivotButton="0" quotePrefix="0" xfId="4">
      <alignment horizontal="center" vertical="center" wrapText="1"/>
      <protection locked="1" hidden="1"/>
    </xf>
    <xf numFmtId="0" fontId="6" fillId="15" borderId="3" applyAlignment="1" applyProtection="1" pivotButton="0" quotePrefix="0" xfId="4">
      <alignment horizontal="center" vertical="center" wrapText="1"/>
      <protection locked="1" hidden="1"/>
    </xf>
    <xf numFmtId="0" fontId="6" fillId="15" borderId="0" applyAlignment="1" applyProtection="1" pivotButton="0" quotePrefix="0" xfId="4">
      <alignment horizontal="center" vertical="center" wrapText="1"/>
      <protection locked="1" hidden="1"/>
    </xf>
    <xf numFmtId="0" fontId="6" fillId="15" borderId="9" applyAlignment="1" applyProtection="1" pivotButton="0" quotePrefix="0" xfId="4">
      <alignment horizontal="center" vertical="center" wrapText="1"/>
      <protection locked="1" hidden="1"/>
    </xf>
    <xf numFmtId="0" fontId="6" fillId="15" borderId="1" applyAlignment="1" applyProtection="1" pivotButton="0" quotePrefix="0" xfId="4">
      <alignment horizontal="center" vertical="center" wrapText="1"/>
      <protection locked="1" hidden="1"/>
    </xf>
    <xf numFmtId="0" fontId="4" fillId="16" borderId="52" applyAlignment="1" applyProtection="1" pivotButton="0" quotePrefix="0" xfId="4">
      <alignment horizontal="center" vertical="center" wrapText="1"/>
      <protection locked="0" hidden="0"/>
    </xf>
    <xf numFmtId="0" fontId="4" fillId="16" borderId="31" applyAlignment="1" applyProtection="1" pivotButton="0" quotePrefix="0" xfId="4">
      <alignment horizontal="center" vertical="center" wrapText="1"/>
      <protection locked="0" hidden="0"/>
    </xf>
    <xf numFmtId="0" fontId="123" fillId="31" borderId="25" applyAlignment="1" applyProtection="1" pivotButton="0" quotePrefix="0" xfId="4">
      <alignment horizontal="center" vertical="center"/>
      <protection locked="1" hidden="1"/>
    </xf>
    <xf numFmtId="0" fontId="110" fillId="31" borderId="25" applyAlignment="1" applyProtection="1" pivotButton="0" quotePrefix="0" xfId="4">
      <alignment horizontal="center" vertical="center"/>
      <protection locked="1" hidden="1"/>
    </xf>
    <xf numFmtId="1" fontId="11" fillId="15" borderId="31" applyAlignment="1" applyProtection="1" pivotButton="0" quotePrefix="0" xfId="4">
      <alignment horizontal="center" vertical="center" wrapText="1"/>
      <protection locked="1" hidden="1"/>
    </xf>
    <xf numFmtId="1" fontId="11" fillId="15" borderId="73" applyAlignment="1" applyProtection="1" pivotButton="0" quotePrefix="0" xfId="4">
      <alignment horizontal="center" vertical="center" wrapText="1"/>
      <protection locked="1" hidden="1"/>
    </xf>
    <xf numFmtId="14" fontId="4" fillId="16" borderId="52" applyAlignment="1" applyProtection="1" pivotButton="0" quotePrefix="0" xfId="4">
      <alignment horizontal="center" vertical="center" wrapText="1"/>
      <protection locked="0" hidden="0"/>
    </xf>
    <xf numFmtId="14" fontId="4" fillId="16" borderId="31" applyAlignment="1" applyProtection="1" pivotButton="0" quotePrefix="0" xfId="4">
      <alignment horizontal="center" vertical="center" wrapText="1"/>
      <protection locked="0" hidden="0"/>
    </xf>
    <xf numFmtId="14" fontId="4" fillId="16" borderId="73" applyAlignment="1" applyProtection="1" pivotButton="0" quotePrefix="0" xfId="4">
      <alignment horizontal="center" vertical="center" wrapText="1"/>
      <protection locked="0" hidden="0"/>
    </xf>
    <xf numFmtId="208" fontId="4" fillId="16" borderId="52" applyAlignment="1" applyProtection="1" pivotButton="0" quotePrefix="0" xfId="4">
      <alignment horizontal="center" vertical="center" wrapText="1"/>
      <protection locked="0" hidden="0"/>
    </xf>
    <xf numFmtId="208" fontId="4" fillId="16" borderId="31" applyAlignment="1" applyProtection="1" pivotButton="0" quotePrefix="0" xfId="4">
      <alignment horizontal="center" vertical="center" wrapText="1"/>
      <protection locked="0" hidden="0"/>
    </xf>
    <xf numFmtId="208" fontId="4" fillId="16" borderId="73" applyAlignment="1" applyProtection="1" pivotButton="0" quotePrefix="0" xfId="4">
      <alignment horizontal="center" vertical="center" wrapText="1"/>
      <protection locked="0" hidden="0"/>
    </xf>
    <xf numFmtId="0" fontId="4" fillId="16" borderId="73" applyAlignment="1" applyProtection="1" pivotButton="0" quotePrefix="0" xfId="4">
      <alignment horizontal="center" vertical="center" wrapText="1"/>
      <protection locked="0" hidden="0"/>
    </xf>
    <xf numFmtId="167" fontId="4" fillId="16" borderId="52" applyAlignment="1" applyProtection="1" pivotButton="0" quotePrefix="0" xfId="4">
      <alignment horizontal="center" vertical="center" wrapText="1"/>
      <protection locked="0" hidden="0"/>
    </xf>
    <xf numFmtId="167" fontId="4" fillId="16" borderId="31" applyAlignment="1" applyProtection="1" pivotButton="0" quotePrefix="0" xfId="4">
      <alignment horizontal="center" vertical="center" wrapText="1"/>
      <protection locked="0" hidden="0"/>
    </xf>
    <xf numFmtId="167" fontId="4" fillId="16" borderId="73" applyAlignment="1" applyProtection="1" pivotButton="0" quotePrefix="0" xfId="4">
      <alignment horizontal="center" vertical="center" wrapText="1"/>
      <protection locked="0" hidden="0"/>
    </xf>
    <xf numFmtId="0" fontId="4" fillId="16" borderId="39" applyAlignment="1" applyProtection="1" pivotButton="0" quotePrefix="0" xfId="4">
      <alignment horizontal="center" vertical="center" wrapText="1"/>
      <protection locked="0" hidden="0"/>
    </xf>
    <xf numFmtId="0" fontId="4" fillId="16" borderId="25" applyAlignment="1" applyProtection="1" pivotButton="0" quotePrefix="0" xfId="4">
      <alignment horizontal="center" vertical="center" wrapText="1"/>
      <protection locked="0" hidden="0"/>
    </xf>
    <xf numFmtId="1" fontId="11" fillId="15" borderId="25" applyAlignment="1" applyProtection="1" pivotButton="0" quotePrefix="0" xfId="4">
      <alignment horizontal="center" vertical="center" wrapText="1"/>
      <protection locked="1" hidden="1"/>
    </xf>
    <xf numFmtId="1" fontId="11" fillId="15" borderId="54" applyAlignment="1" applyProtection="1" pivotButton="0" quotePrefix="0" xfId="4">
      <alignment horizontal="center" vertical="center" wrapText="1"/>
      <protection locked="1" hidden="1"/>
    </xf>
    <xf numFmtId="14" fontId="4" fillId="16" borderId="54" applyAlignment="1" applyProtection="1" pivotButton="0" quotePrefix="0" xfId="4">
      <alignment horizontal="center" vertical="center" wrapText="1"/>
      <protection locked="0" hidden="0"/>
    </xf>
    <xf numFmtId="208" fontId="4" fillId="16" borderId="39" applyAlignment="1" applyProtection="1" pivotButton="0" quotePrefix="0" xfId="4">
      <alignment horizontal="center" vertical="center" wrapText="1"/>
      <protection locked="0" hidden="0"/>
    </xf>
    <xf numFmtId="208" fontId="4" fillId="16" borderId="25" applyAlignment="1" applyProtection="1" pivotButton="0" quotePrefix="0" xfId="4">
      <alignment horizontal="center" vertical="center" wrapText="1"/>
      <protection locked="0" hidden="0"/>
    </xf>
    <xf numFmtId="208" fontId="4" fillId="16" borderId="54" applyAlignment="1" applyProtection="1" pivotButton="0" quotePrefix="0" xfId="4">
      <alignment horizontal="center" vertical="center" wrapText="1"/>
      <protection locked="0" hidden="0"/>
    </xf>
    <xf numFmtId="0" fontId="4" fillId="16" borderId="54" applyAlignment="1" applyProtection="1" pivotButton="0" quotePrefix="0" xfId="4">
      <alignment horizontal="center" vertical="center" wrapText="1"/>
      <protection locked="0" hidden="0"/>
    </xf>
    <xf numFmtId="167" fontId="4" fillId="16" borderId="54" applyAlignment="1" applyProtection="1" pivotButton="0" quotePrefix="0" xfId="4">
      <alignment horizontal="center" vertical="center" wrapText="1"/>
      <protection locked="0" hidden="0"/>
    </xf>
    <xf numFmtId="0" fontId="10" fillId="15" borderId="14" applyAlignment="1" applyProtection="1" pivotButton="0" quotePrefix="0" xfId="4">
      <alignment horizontal="center" vertical="center" wrapText="1"/>
      <protection locked="1" hidden="1"/>
    </xf>
    <xf numFmtId="0" fontId="10" fillId="15" borderId="11" applyAlignment="1" applyProtection="1" pivotButton="0" quotePrefix="0" xfId="4">
      <alignment horizontal="center" vertical="center" wrapText="1"/>
      <protection locked="1" hidden="1"/>
    </xf>
    <xf numFmtId="0" fontId="6" fillId="15" borderId="14" applyAlignment="1" applyProtection="1" pivotButton="0" quotePrefix="0" xfId="4">
      <alignment wrapText="1"/>
      <protection locked="1" hidden="1"/>
    </xf>
    <xf numFmtId="0" fontId="6" fillId="15" borderId="11" applyAlignment="1" applyProtection="1" pivotButton="0" quotePrefix="0" xfId="4">
      <alignment wrapText="1"/>
      <protection locked="1" hidden="1"/>
    </xf>
    <xf numFmtId="0" fontId="10" fillId="15" borderId="8" applyAlignment="1" pivotButton="0" quotePrefix="0" xfId="4">
      <alignment horizontal="center" vertical="center" wrapText="1"/>
    </xf>
    <xf numFmtId="0" fontId="10" fillId="15" borderId="14" applyAlignment="1" pivotButton="0" quotePrefix="0" xfId="4">
      <alignment horizontal="center" vertical="center" wrapText="1"/>
    </xf>
    <xf numFmtId="0" fontId="10" fillId="15" borderId="9" applyAlignment="1" pivotButton="0" quotePrefix="0" xfId="4">
      <alignment horizontal="center" vertical="center" wrapText="1"/>
    </xf>
    <xf numFmtId="0" fontId="10" fillId="15" borderId="1" applyAlignment="1" pivotButton="0" quotePrefix="0" xfId="4">
      <alignment horizontal="center" vertical="center" wrapText="1"/>
    </xf>
    <xf numFmtId="0" fontId="10" fillId="15" borderId="11" applyAlignment="1" pivotButton="0" quotePrefix="0" xfId="4">
      <alignment horizontal="center" vertical="center" wrapText="1"/>
    </xf>
    <xf numFmtId="0" fontId="6" fillId="15" borderId="8" applyAlignment="1" pivotButton="0" quotePrefix="0" xfId="4">
      <alignment horizontal="center" vertical="center" wrapText="1"/>
    </xf>
    <xf numFmtId="0" fontId="6" fillId="15" borderId="14" applyAlignment="1" pivotButton="0" quotePrefix="0" xfId="4">
      <alignment horizontal="center" vertical="center" wrapText="1"/>
    </xf>
    <xf numFmtId="0" fontId="6" fillId="15" borderId="9" applyAlignment="1" pivotButton="0" quotePrefix="0" xfId="4">
      <alignment horizontal="center" vertical="center" wrapText="1"/>
    </xf>
    <xf numFmtId="0" fontId="6" fillId="15" borderId="1" applyAlignment="1" pivotButton="0" quotePrefix="0" xfId="4">
      <alignment horizontal="center" vertical="center" wrapText="1"/>
    </xf>
    <xf numFmtId="0" fontId="6" fillId="15" borderId="11" applyAlignment="1" pivotButton="0" quotePrefix="0" xfId="4">
      <alignment horizontal="center" vertical="center" wrapText="1"/>
    </xf>
    <xf numFmtId="1" fontId="11" fillId="15" borderId="8" applyAlignment="1" applyProtection="1" pivotButton="0" quotePrefix="0" xfId="4">
      <alignment horizontal="center" vertical="center" wrapText="1"/>
      <protection locked="1" hidden="1"/>
    </xf>
    <xf numFmtId="0" fontId="12" fillId="16" borderId="30" applyAlignment="1" applyProtection="1" pivotButton="0" quotePrefix="0" xfId="4">
      <alignment horizontal="center" vertical="center" wrapText="1"/>
      <protection locked="0" hidden="0"/>
    </xf>
    <xf numFmtId="0" fontId="10" fillId="16" borderId="8" applyAlignment="1" applyProtection="1" pivotButton="0" quotePrefix="0" xfId="4">
      <alignment wrapText="1"/>
      <protection locked="0" hidden="0"/>
    </xf>
    <xf numFmtId="0" fontId="10" fillId="16" borderId="14" applyAlignment="1" applyProtection="1" pivotButton="0" quotePrefix="0" xfId="4">
      <alignment wrapText="1"/>
      <protection locked="0" hidden="0"/>
    </xf>
    <xf numFmtId="0" fontId="10" fillId="16" borderId="3" applyAlignment="1" applyProtection="1" pivotButton="0" quotePrefix="0" xfId="4">
      <alignment wrapText="1"/>
      <protection locked="0" hidden="0"/>
    </xf>
    <xf numFmtId="0" fontId="10" fillId="16" borderId="0" applyAlignment="1" applyProtection="1" pivotButton="0" quotePrefix="0" xfId="4">
      <alignment wrapText="1"/>
      <protection locked="0" hidden="0"/>
    </xf>
    <xf numFmtId="0" fontId="10" fillId="16" borderId="24" applyAlignment="1" applyProtection="1" pivotButton="0" quotePrefix="0" xfId="4">
      <alignment wrapText="1"/>
      <protection locked="0" hidden="0"/>
    </xf>
    <xf numFmtId="0" fontId="10" fillId="16" borderId="9" applyAlignment="1" applyProtection="1" pivotButton="0" quotePrefix="0" xfId="4">
      <alignment wrapText="1"/>
      <protection locked="0" hidden="0"/>
    </xf>
    <xf numFmtId="0" fontId="10" fillId="16" borderId="1" applyAlignment="1" applyProtection="1" pivotButton="0" quotePrefix="0" xfId="4">
      <alignment wrapText="1"/>
      <protection locked="0" hidden="0"/>
    </xf>
    <xf numFmtId="0" fontId="10" fillId="16" borderId="11" applyAlignment="1" applyProtection="1" pivotButton="0" quotePrefix="0" xfId="4">
      <alignment wrapText="1"/>
      <protection locked="0" hidden="0"/>
    </xf>
    <xf numFmtId="0" fontId="12" fillId="16" borderId="8" applyAlignment="1" applyProtection="1" pivotButton="0" quotePrefix="0" xfId="4">
      <alignment horizontal="center" vertical="center" wrapText="1"/>
      <protection locked="0" hidden="0"/>
    </xf>
    <xf numFmtId="0" fontId="12" fillId="16" borderId="3" applyAlignment="1" applyProtection="1" pivotButton="0" quotePrefix="0" xfId="4">
      <alignment horizontal="center" vertical="center" wrapText="1"/>
      <protection locked="0" hidden="0"/>
    </xf>
    <xf numFmtId="0" fontId="12" fillId="16" borderId="0" applyAlignment="1" applyProtection="1" pivotButton="0" quotePrefix="0" xfId="4">
      <alignment horizontal="center" vertical="center" wrapText="1"/>
      <protection locked="0" hidden="0"/>
    </xf>
    <xf numFmtId="0" fontId="12" fillId="16" borderId="9" applyAlignment="1" applyProtection="1" pivotButton="0" quotePrefix="0" xfId="4">
      <alignment horizontal="center" vertical="center" wrapText="1"/>
      <protection locked="0" hidden="0"/>
    </xf>
    <xf numFmtId="0" fontId="12" fillId="16" borderId="1" applyAlignment="1" applyProtection="1" pivotButton="0" quotePrefix="0" xfId="4">
      <alignment horizontal="center" vertical="center" wrapText="1"/>
      <protection locked="0" hidden="0"/>
    </xf>
    <xf numFmtId="0" fontId="11" fillId="15" borderId="0" applyAlignment="1" applyProtection="1" pivotButton="0" quotePrefix="0" xfId="4">
      <alignment horizontal="center" vertical="center" wrapText="1"/>
      <protection locked="1" hidden="1"/>
    </xf>
    <xf numFmtId="0" fontId="11" fillId="15" borderId="1" applyAlignment="1" applyProtection="1" pivotButton="0" quotePrefix="0" xfId="4">
      <alignment horizontal="center" vertical="center" wrapText="1"/>
      <protection locked="1" hidden="1"/>
    </xf>
    <xf numFmtId="0" fontId="6" fillId="15" borderId="14" applyAlignment="1" applyProtection="1" pivotButton="0" quotePrefix="0" xfId="4">
      <alignment horizontal="center" vertical="center" wrapText="1"/>
      <protection locked="1" hidden="1"/>
    </xf>
    <xf numFmtId="0" fontId="6" fillId="15" borderId="24" applyAlignment="1" applyProtection="1" pivotButton="0" quotePrefix="0" xfId="4">
      <alignment horizontal="center" vertical="center" wrapText="1"/>
      <protection locked="1" hidden="1"/>
    </xf>
    <xf numFmtId="0" fontId="6" fillId="15" borderId="11" applyAlignment="1" applyProtection="1" pivotButton="0" quotePrefix="0" xfId="4">
      <alignment horizontal="center" vertical="center" wrapText="1"/>
      <protection locked="1" hidden="1"/>
    </xf>
    <xf numFmtId="0" fontId="6" fillId="15" borderId="26" applyAlignment="1" applyProtection="1" pivotButton="0" quotePrefix="0" xfId="4">
      <alignment horizontal="center" vertical="center" wrapText="1"/>
      <protection locked="1" hidden="1"/>
    </xf>
    <xf numFmtId="0" fontId="6" fillId="0" borderId="1" applyAlignment="1" applyProtection="1" pivotButton="0" quotePrefix="0" xfId="4">
      <alignment horizontal="center" vertical="center" wrapText="1"/>
      <protection locked="1" hidden="1"/>
    </xf>
    <xf numFmtId="0" fontId="6" fillId="15" borderId="5" applyAlignment="1" applyProtection="1" pivotButton="0" quotePrefix="0" xfId="4">
      <alignment horizontal="center"/>
      <protection locked="1" hidden="1"/>
    </xf>
    <xf numFmtId="0" fontId="6" fillId="0" borderId="0" applyAlignment="1" pivotButton="0" quotePrefix="0" xfId="4">
      <alignment horizontal="center"/>
    </xf>
    <xf numFmtId="0" fontId="6" fillId="0" borderId="20" applyAlignment="1" pivotButton="0" quotePrefix="0" xfId="4">
      <alignment horizontal="center"/>
    </xf>
    <xf numFmtId="0" fontId="6" fillId="15" borderId="80" applyAlignment="1" applyProtection="1" pivotButton="0" quotePrefix="0" xfId="4">
      <alignment horizontal="left" vertical="center" wrapText="1" indent="2"/>
      <protection locked="1" hidden="1"/>
    </xf>
    <xf numFmtId="0" fontId="6" fillId="0" borderId="8" applyAlignment="1" applyProtection="1" pivotButton="0" quotePrefix="0" xfId="4">
      <alignment horizontal="left" vertical="center" wrapText="1" indent="2"/>
      <protection locked="1" hidden="1"/>
    </xf>
    <xf numFmtId="0" fontId="6" fillId="0" borderId="5" applyAlignment="1" applyProtection="1" pivotButton="0" quotePrefix="0" xfId="4">
      <alignment horizontal="left" vertical="center" wrapText="1" indent="2"/>
      <protection locked="1" hidden="1"/>
    </xf>
    <xf numFmtId="0" fontId="6" fillId="0" borderId="0" applyAlignment="1" applyProtection="1" pivotButton="0" quotePrefix="0" xfId="4">
      <alignment horizontal="left" vertical="center" wrapText="1" indent="2"/>
      <protection locked="1" hidden="1"/>
    </xf>
    <xf numFmtId="0" fontId="6" fillId="0" borderId="21" applyAlignment="1" applyProtection="1" pivotButton="0" quotePrefix="0" xfId="4">
      <alignment horizontal="left" vertical="center" wrapText="1" indent="2"/>
      <protection locked="1" hidden="1"/>
    </xf>
    <xf numFmtId="0" fontId="6" fillId="0" borderId="4" applyAlignment="1" applyProtection="1" pivotButton="0" quotePrefix="0" xfId="4">
      <alignment horizontal="left" vertical="center" wrapText="1" indent="2"/>
      <protection locked="1" hidden="1"/>
    </xf>
    <xf numFmtId="0" fontId="20" fillId="0" borderId="8" applyAlignment="1" applyProtection="1" pivotButton="0" quotePrefix="0" xfId="4">
      <alignment horizontal="left" vertical="center" wrapText="1"/>
      <protection locked="1" hidden="1"/>
    </xf>
    <xf numFmtId="0" fontId="20" fillId="0" borderId="0" applyAlignment="1" applyProtection="1" pivotButton="0" quotePrefix="0" xfId="4">
      <alignment horizontal="left" vertical="center" wrapText="1"/>
      <protection locked="1" hidden="1"/>
    </xf>
    <xf numFmtId="0" fontId="20" fillId="0" borderId="4" applyAlignment="1" applyProtection="1" pivotButton="0" quotePrefix="0" xfId="4">
      <alignment horizontal="left" vertical="center" wrapText="1"/>
      <protection locked="1" hidden="1"/>
    </xf>
    <xf numFmtId="0" fontId="10" fillId="15" borderId="0" applyAlignment="1" applyProtection="1" pivotButton="0" quotePrefix="0" xfId="4">
      <alignment horizontal="left" vertical="center" wrapText="1"/>
      <protection locked="1" hidden="1"/>
    </xf>
    <xf numFmtId="0" fontId="6" fillId="0" borderId="0" applyAlignment="1" pivotButton="0" quotePrefix="0" xfId="4">
      <alignment horizontal="left" vertical="center" wrapText="1"/>
    </xf>
    <xf numFmtId="0" fontId="6" fillId="0" borderId="20" applyAlignment="1" pivotButton="0" quotePrefix="0" xfId="4">
      <alignment horizontal="left" vertical="center" wrapText="1"/>
    </xf>
    <xf numFmtId="0" fontId="6" fillId="0" borderId="4" applyAlignment="1" pivotButton="0" quotePrefix="0" xfId="4">
      <alignment horizontal="left" vertical="center" wrapText="1"/>
    </xf>
    <xf numFmtId="0" fontId="6" fillId="0" borderId="22" applyAlignment="1" pivotButton="0" quotePrefix="0" xfId="4">
      <alignment horizontal="left" vertical="center" wrapText="1"/>
    </xf>
    <xf numFmtId="0" fontId="303" fillId="15" borderId="0" applyAlignment="1" pivotButton="0" quotePrefix="0" xfId="0">
      <alignment horizontal="left" vertical="center" wrapText="1"/>
    </xf>
    <xf numFmtId="39" fontId="11" fillId="15" borderId="56" applyAlignment="1" pivotButton="0" quotePrefix="1" xfId="0">
      <alignment horizontal="center"/>
    </xf>
    <xf numFmtId="39" fontId="11" fillId="15" borderId="7" applyAlignment="1" pivotButton="0" quotePrefix="1" xfId="0">
      <alignment horizontal="center"/>
    </xf>
    <xf numFmtId="39" fontId="11" fillId="15" borderId="36" applyAlignment="1" pivotButton="0" quotePrefix="1" xfId="0">
      <alignment horizontal="center"/>
    </xf>
    <xf numFmtId="0" fontId="303" fillId="15" borderId="0" applyAlignment="1" pivotButton="0" quotePrefix="0" xfId="0">
      <alignment vertical="center" wrapText="1"/>
    </xf>
    <xf numFmtId="0" fontId="304" fillId="15" borderId="0" applyAlignment="1" pivotButton="0" quotePrefix="0" xfId="0">
      <alignment horizontal="left" vertical="center" wrapText="1"/>
    </xf>
    <xf numFmtId="37" fontId="11" fillId="27" borderId="39" applyAlignment="1" pivotButton="0" quotePrefix="1" xfId="0">
      <alignment horizontal="right" indent="1"/>
    </xf>
    <xf numFmtId="37" fontId="11" fillId="27" borderId="25" applyAlignment="1" pivotButton="0" quotePrefix="1" xfId="0">
      <alignment horizontal="right" indent="1"/>
    </xf>
    <xf numFmtId="0" fontId="110" fillId="15" borderId="3" applyAlignment="1" pivotButton="0" quotePrefix="0" xfId="0">
      <alignment horizontal="right"/>
    </xf>
    <xf numFmtId="0" fontId="110" fillId="15" borderId="0" applyAlignment="1" pivotButton="0" quotePrefix="0" xfId="0">
      <alignment horizontal="right"/>
    </xf>
    <xf numFmtId="0" fontId="0" fillId="19" borderId="56" applyAlignment="1" pivotButton="0" quotePrefix="0" xfId="0">
      <alignment horizontal="center"/>
    </xf>
    <xf numFmtId="0" fontId="0" fillId="19" borderId="7" applyAlignment="1" pivotButton="0" quotePrefix="0" xfId="0">
      <alignment horizontal="center"/>
    </xf>
    <xf numFmtId="0" fontId="0" fillId="19" borderId="36" applyAlignment="1" pivotButton="0" quotePrefix="0" xfId="0">
      <alignment horizontal="center"/>
    </xf>
    <xf numFmtId="0" fontId="0" fillId="19" borderId="69" applyAlignment="1" pivotButton="0" quotePrefix="0" xfId="0">
      <alignment horizontal="center"/>
    </xf>
    <xf numFmtId="0" fontId="0" fillId="19" borderId="4" applyAlignment="1" pivotButton="0" quotePrefix="0" xfId="0">
      <alignment horizontal="center"/>
    </xf>
    <xf numFmtId="0" fontId="0" fillId="19" borderId="70" applyAlignment="1" pivotButton="0" quotePrefix="0" xfId="0">
      <alignment horizontal="center"/>
    </xf>
    <xf numFmtId="0" fontId="14" fillId="15" borderId="30" applyAlignment="1" pivotButton="0" quotePrefix="0" xfId="0">
      <alignment horizontal="center" vertical="center"/>
    </xf>
    <xf numFmtId="0" fontId="14" fillId="15" borderId="8" applyAlignment="1" pivotButton="0" quotePrefix="0" xfId="0">
      <alignment horizontal="center" vertical="center"/>
    </xf>
    <xf numFmtId="0" fontId="14" fillId="15" borderId="9" applyAlignment="1" pivotButton="0" quotePrefix="0" xfId="0">
      <alignment horizontal="center" vertical="center"/>
    </xf>
    <xf numFmtId="0" fontId="14" fillId="15" borderId="1" applyAlignment="1" pivotButton="0" quotePrefix="0" xfId="0">
      <alignment horizontal="center" vertical="center"/>
    </xf>
    <xf numFmtId="37" fontId="11" fillId="27" borderId="54" applyAlignment="1" pivotButton="0" quotePrefix="1" xfId="0">
      <alignment horizontal="right" indent="1"/>
    </xf>
    <xf numFmtId="0" fontId="6" fillId="15" borderId="0" applyAlignment="1" pivotButton="0" quotePrefix="0" xfId="0">
      <alignment horizontal="center" textRotation="90"/>
    </xf>
    <xf numFmtId="0" fontId="265" fillId="15" borderId="0" applyAlignment="1" pivotButton="0" quotePrefix="0" xfId="0">
      <alignment horizontal="center"/>
    </xf>
    <xf numFmtId="37" fontId="123" fillId="15" borderId="56" applyAlignment="1" pivotButton="0" quotePrefix="1" xfId="0">
      <alignment horizontal="right" indent="1"/>
    </xf>
    <xf numFmtId="0" fontId="123" fillId="15" borderId="7" applyAlignment="1" pivotButton="0" quotePrefix="1" xfId="0">
      <alignment horizontal="right" indent="1"/>
    </xf>
    <xf numFmtId="0" fontId="123" fillId="15" borderId="36" applyAlignment="1" pivotButton="0" quotePrefix="1" xfId="0">
      <alignment horizontal="right" indent="1"/>
    </xf>
    <xf numFmtId="37" fontId="123" fillId="15" borderId="56" applyAlignment="1" pivotButton="0" quotePrefix="1" xfId="0">
      <alignment horizontal="right"/>
    </xf>
    <xf numFmtId="37" fontId="123" fillId="15" borderId="7" applyAlignment="1" pivotButton="0" quotePrefix="1" xfId="0">
      <alignment horizontal="right"/>
    </xf>
    <xf numFmtId="37" fontId="123" fillId="15" borderId="36" applyAlignment="1" pivotButton="0" quotePrefix="1" xfId="0">
      <alignment horizontal="right"/>
    </xf>
    <xf numFmtId="0" fontId="265" fillId="15" borderId="0" applyAlignment="1" pivotButton="0" quotePrefix="0" xfId="0">
      <alignment horizontal="center" vertical="top"/>
    </xf>
    <xf numFmtId="37" fontId="11" fillId="16" borderId="30" applyAlignment="1" applyProtection="1" pivotButton="0" quotePrefix="1" xfId="0">
      <alignment horizontal="right" indent="1"/>
      <protection locked="0" hidden="0"/>
    </xf>
    <xf numFmtId="37" fontId="11" fillId="16" borderId="8" applyAlignment="1" applyProtection="1" pivotButton="0" quotePrefix="1" xfId="0">
      <alignment horizontal="right" indent="1"/>
      <protection locked="0" hidden="0"/>
    </xf>
    <xf numFmtId="37" fontId="11" fillId="16" borderId="14" applyAlignment="1" applyProtection="1" pivotButton="0" quotePrefix="1" xfId="0">
      <alignment horizontal="right" indent="1"/>
      <protection locked="0" hidden="0"/>
    </xf>
    <xf numFmtId="37" fontId="11" fillId="16" borderId="39" applyAlignment="1" applyProtection="1" pivotButton="0" quotePrefix="1" xfId="0">
      <alignment horizontal="right" indent="1"/>
      <protection locked="0" hidden="0"/>
    </xf>
    <xf numFmtId="37" fontId="11" fillId="16" borderId="25" applyAlignment="1" applyProtection="1" pivotButton="0" quotePrefix="1" xfId="0">
      <alignment horizontal="right" indent="1"/>
      <protection locked="0" hidden="0"/>
    </xf>
    <xf numFmtId="37" fontId="11" fillId="16" borderId="54" applyAlignment="1" applyProtection="1" pivotButton="0" quotePrefix="1" xfId="0">
      <alignment horizontal="right" indent="1"/>
      <protection locked="0" hidden="0"/>
    </xf>
    <xf numFmtId="0" fontId="20" fillId="2" borderId="7" applyAlignment="1" pivotButton="0" quotePrefix="0" xfId="0">
      <alignment horizontal="left" vertical="top"/>
    </xf>
    <xf numFmtId="0" fontId="11" fillId="15" borderId="30" applyAlignment="1" pivotButton="0" quotePrefix="1" xfId="0">
      <alignment horizontal="center" wrapText="1"/>
    </xf>
    <xf numFmtId="0" fontId="11" fillId="15" borderId="8" applyAlignment="1" pivotButton="0" quotePrefix="1" xfId="0">
      <alignment horizontal="center" wrapText="1"/>
    </xf>
    <xf numFmtId="0" fontId="11" fillId="15" borderId="14" applyAlignment="1" pivotButton="0" quotePrefix="1" xfId="0">
      <alignment horizontal="center" wrapText="1"/>
    </xf>
    <xf numFmtId="0" fontId="11" fillId="15" borderId="9" applyAlignment="1" pivotButton="0" quotePrefix="1" xfId="0">
      <alignment horizontal="center" wrapText="1"/>
    </xf>
    <xf numFmtId="0" fontId="11" fillId="15" borderId="1" applyAlignment="1" pivotButton="0" quotePrefix="1" xfId="0">
      <alignment horizontal="center" wrapText="1"/>
    </xf>
    <xf numFmtId="0" fontId="11" fillId="15" borderId="11" applyAlignment="1" pivotButton="0" quotePrefix="1" xfId="0">
      <alignment horizontal="center" wrapText="1"/>
    </xf>
    <xf numFmtId="0" fontId="11" fillId="15" borderId="30" applyAlignment="1" pivotButton="0" quotePrefix="1" xfId="0">
      <alignment horizontal="center" vertical="center"/>
    </xf>
    <xf numFmtId="0" fontId="11" fillId="15" borderId="8" applyAlignment="1" pivotButton="0" quotePrefix="1" xfId="0">
      <alignment horizontal="center" vertical="center"/>
    </xf>
    <xf numFmtId="0" fontId="11" fillId="15" borderId="14" applyAlignment="1" pivotButton="0" quotePrefix="1" xfId="0">
      <alignment horizontal="center" vertical="center"/>
    </xf>
    <xf numFmtId="0" fontId="11" fillId="15" borderId="9" applyAlignment="1" pivotButton="0" quotePrefix="1" xfId="0">
      <alignment horizontal="center" vertical="center"/>
    </xf>
    <xf numFmtId="0" fontId="11" fillId="15" borderId="1" applyAlignment="1" pivotButton="0" quotePrefix="1" xfId="0">
      <alignment horizontal="center" vertical="center"/>
    </xf>
    <xf numFmtId="0" fontId="11" fillId="15" borderId="11" applyAlignment="1" pivotButton="0" quotePrefix="1" xfId="0">
      <alignment horizontal="center" vertical="center"/>
    </xf>
    <xf numFmtId="37" fontId="11" fillId="27" borderId="69" applyAlignment="1" pivotButton="0" quotePrefix="1" xfId="0">
      <alignment horizontal="right" indent="1"/>
    </xf>
    <xf numFmtId="37" fontId="11" fillId="27" borderId="4" applyAlignment="1" pivotButton="0" quotePrefix="1" xfId="0">
      <alignment horizontal="right" indent="1"/>
    </xf>
    <xf numFmtId="37" fontId="11" fillId="27" borderId="70" applyAlignment="1" pivotButton="0" quotePrefix="1" xfId="0">
      <alignment horizontal="right" indent="1"/>
    </xf>
    <xf numFmtId="39" fontId="11" fillId="27" borderId="39" applyAlignment="1" pivotButton="0" quotePrefix="1" xfId="0">
      <alignment horizontal="center"/>
    </xf>
    <xf numFmtId="39" fontId="11" fillId="27" borderId="25" applyAlignment="1" pivotButton="0" quotePrefix="1" xfId="0">
      <alignment horizontal="center"/>
    </xf>
    <xf numFmtId="39" fontId="11" fillId="27" borderId="54" applyAlignment="1" pivotButton="0" quotePrefix="1" xfId="0">
      <alignment horizontal="center"/>
    </xf>
    <xf numFmtId="39" fontId="11" fillId="15" borderId="69" applyAlignment="1" pivotButton="0" quotePrefix="1" xfId="0">
      <alignment horizontal="center"/>
    </xf>
    <xf numFmtId="39" fontId="11" fillId="15" borderId="4" applyAlignment="1" pivotButton="0" quotePrefix="1" xfId="0">
      <alignment horizontal="center"/>
    </xf>
    <xf numFmtId="39" fontId="11" fillId="15" borderId="70" applyAlignment="1" pivotButton="0" quotePrefix="1" xfId="0">
      <alignment horizontal="center"/>
    </xf>
    <xf numFmtId="37" fontId="20" fillId="26" borderId="9" applyAlignment="1" pivotButton="0" quotePrefix="0" xfId="0">
      <alignment horizontal="right"/>
    </xf>
    <xf numFmtId="37" fontId="20" fillId="26" borderId="1" applyAlignment="1" pivotButton="0" quotePrefix="0" xfId="0">
      <alignment horizontal="right"/>
    </xf>
    <xf numFmtId="37" fontId="20" fillId="26" borderId="11" applyAlignment="1" pivotButton="0" quotePrefix="0" xfId="0">
      <alignment horizontal="right"/>
    </xf>
    <xf numFmtId="37" fontId="11" fillId="16" borderId="39" applyAlignment="1" applyProtection="1" pivotButton="0" quotePrefix="1" xfId="0">
      <alignment horizontal="center"/>
      <protection locked="0" hidden="0"/>
    </xf>
    <xf numFmtId="37" fontId="11" fillId="16" borderId="25" applyAlignment="1" applyProtection="1" pivotButton="0" quotePrefix="1" xfId="0">
      <alignment horizontal="center"/>
      <protection locked="0" hidden="0"/>
    </xf>
    <xf numFmtId="37" fontId="11" fillId="16" borderId="54" applyAlignment="1" applyProtection="1" pivotButton="0" quotePrefix="1" xfId="0">
      <alignment horizontal="center"/>
      <protection locked="0" hidden="0"/>
    </xf>
    <xf numFmtId="176" fontId="44" fillId="20" borderId="9" applyAlignment="1" applyProtection="1" pivotButton="0" quotePrefix="1" xfId="0">
      <alignment horizontal="center" vertical="center"/>
      <protection locked="0" hidden="0"/>
    </xf>
    <xf numFmtId="176" fontId="44" fillId="20" borderId="1" applyAlignment="1" applyProtection="1" pivotButton="0" quotePrefix="1" xfId="0">
      <alignment horizontal="center" vertical="center"/>
      <protection locked="0" hidden="0"/>
    </xf>
    <xf numFmtId="0" fontId="14" fillId="15" borderId="14" applyAlignment="1" pivotButton="0" quotePrefix="0" xfId="0">
      <alignment horizontal="center" vertical="center"/>
    </xf>
    <xf numFmtId="0" fontId="14" fillId="15" borderId="0" applyAlignment="1" pivotButton="0" quotePrefix="0" xfId="0">
      <alignment horizontal="center" vertical="center"/>
    </xf>
    <xf numFmtId="0" fontId="14" fillId="15" borderId="24" applyAlignment="1" pivotButton="0" quotePrefix="0" xfId="0">
      <alignment horizontal="center" vertical="center"/>
    </xf>
    <xf numFmtId="0" fontId="14" fillId="15" borderId="11" applyAlignment="1" pivotButton="0" quotePrefix="0" xfId="0">
      <alignment horizontal="center" vertical="center"/>
    </xf>
    <xf numFmtId="37" fontId="20" fillId="26" borderId="52" applyAlignment="1" pivotButton="0" quotePrefix="0" xfId="0">
      <alignment horizontal="right"/>
    </xf>
    <xf numFmtId="37" fontId="20" fillId="26" borderId="31" applyAlignment="1" pivotButton="0" quotePrefix="0" xfId="0">
      <alignment horizontal="right"/>
    </xf>
    <xf numFmtId="37" fontId="20" fillId="26" borderId="73" applyAlignment="1" pivotButton="0" quotePrefix="0" xfId="0">
      <alignment horizontal="right"/>
    </xf>
    <xf numFmtId="37" fontId="20" fillId="26" borderId="69" applyAlignment="1" pivotButton="0" quotePrefix="0" xfId="0">
      <alignment horizontal="right"/>
    </xf>
    <xf numFmtId="37" fontId="20" fillId="26" borderId="4" applyAlignment="1" pivotButton="0" quotePrefix="0" xfId="0">
      <alignment horizontal="right"/>
    </xf>
    <xf numFmtId="0" fontId="11" fillId="15" borderId="8" applyAlignment="1" pivotButton="0" quotePrefix="1" xfId="0">
      <alignment horizontal="center" vertical="center" wrapText="1"/>
    </xf>
    <xf numFmtId="0" fontId="11" fillId="15" borderId="0" applyAlignment="1" pivotButton="0" quotePrefix="1" xfId="0">
      <alignment horizontal="center" vertical="center"/>
    </xf>
    <xf numFmtId="0" fontId="11" fillId="15" borderId="30" applyAlignment="1" pivotButton="0" quotePrefix="1" xfId="0">
      <alignment horizontal="center" vertical="center" wrapText="1"/>
    </xf>
    <xf numFmtId="0" fontId="11" fillId="15" borderId="3" applyAlignment="1" pivotButton="0" quotePrefix="1" xfId="0">
      <alignment horizontal="center" vertical="center" wrapText="1"/>
    </xf>
    <xf numFmtId="0" fontId="11" fillId="15" borderId="0" applyAlignment="1" pivotButton="0" quotePrefix="1" xfId="0">
      <alignment horizontal="center" vertical="center" wrapText="1"/>
    </xf>
    <xf numFmtId="0" fontId="11" fillId="15" borderId="9" applyAlignment="1" pivotButton="0" quotePrefix="1" xfId="0">
      <alignment horizontal="center" vertical="center" wrapText="1"/>
    </xf>
    <xf numFmtId="0" fontId="11" fillId="15" borderId="1" applyAlignment="1" pivotButton="0" quotePrefix="1" xfId="0">
      <alignment horizontal="center" vertical="center" wrapText="1"/>
    </xf>
    <xf numFmtId="0" fontId="11" fillId="15" borderId="7" applyAlignment="1" pivotButton="0" quotePrefix="1" xfId="0">
      <alignment horizontal="center"/>
    </xf>
    <xf numFmtId="0" fontId="11" fillId="15" borderId="36" applyAlignment="1" pivotButton="0" quotePrefix="1" xfId="0">
      <alignment horizontal="center"/>
    </xf>
    <xf numFmtId="0" fontId="11" fillId="16" borderId="216" applyAlignment="1" applyProtection="1" pivotButton="0" quotePrefix="0" xfId="0">
      <alignment horizontal="center"/>
      <protection locked="0" hidden="0"/>
    </xf>
    <xf numFmtId="0" fontId="11" fillId="16" borderId="84" applyAlignment="1" applyProtection="1" pivotButton="0" quotePrefix="0" xfId="0">
      <alignment horizontal="center"/>
      <protection locked="0" hidden="0"/>
    </xf>
    <xf numFmtId="0" fontId="223" fillId="31" borderId="0" applyAlignment="1" pivotButton="0" quotePrefix="0" xfId="0">
      <alignment horizontal="center" vertical="center"/>
    </xf>
    <xf numFmtId="0" fontId="11" fillId="16" borderId="31" applyAlignment="1" applyProtection="1" pivotButton="0" quotePrefix="0" xfId="0">
      <alignment horizontal="center"/>
      <protection locked="0" hidden="0"/>
    </xf>
    <xf numFmtId="0" fontId="11" fillId="16" borderId="73" applyAlignment="1" applyProtection="1" pivotButton="0" quotePrefix="0" xfId="0">
      <alignment horizontal="center"/>
      <protection locked="0" hidden="0"/>
    </xf>
    <xf numFmtId="0" fontId="14" fillId="15" borderId="30" applyAlignment="1" pivotButton="0" quotePrefix="1" xfId="0">
      <alignment horizontal="center" vertical="center" wrapText="1"/>
    </xf>
    <xf numFmtId="0" fontId="14" fillId="15" borderId="8" applyAlignment="1" pivotButton="0" quotePrefix="1" xfId="0">
      <alignment horizontal="center" vertical="center" wrapText="1"/>
    </xf>
    <xf numFmtId="0" fontId="14" fillId="15" borderId="14" applyAlignment="1" pivotButton="0" quotePrefix="1" xfId="0">
      <alignment horizontal="center" vertical="center" wrapText="1"/>
    </xf>
    <xf numFmtId="0" fontId="14" fillId="15" borderId="9" applyAlignment="1" pivotButton="0" quotePrefix="1" xfId="0">
      <alignment horizontal="center" vertical="center" wrapText="1"/>
    </xf>
    <xf numFmtId="0" fontId="14" fillId="15" borderId="1" applyAlignment="1" pivotButton="0" quotePrefix="1" xfId="0">
      <alignment horizontal="center" vertical="center" wrapText="1"/>
    </xf>
    <xf numFmtId="0" fontId="14" fillId="15" borderId="11" applyAlignment="1" pivotButton="0" quotePrefix="1" xfId="0">
      <alignment horizontal="center" vertical="center" wrapText="1"/>
    </xf>
    <xf numFmtId="0" fontId="74" fillId="15" borderId="8" applyAlignment="1" pivotButton="0" quotePrefix="0" xfId="0">
      <alignment horizontal="center" vertical="center"/>
    </xf>
    <xf numFmtId="0" fontId="74" fillId="15" borderId="14" applyAlignment="1" pivotButton="0" quotePrefix="0" xfId="0">
      <alignment horizontal="center" vertical="center"/>
    </xf>
    <xf numFmtId="0" fontId="74" fillId="15" borderId="0" applyAlignment="1" pivotButton="0" quotePrefix="0" xfId="0">
      <alignment horizontal="center" vertical="center"/>
    </xf>
    <xf numFmtId="0" fontId="74" fillId="15" borderId="24" applyAlignment="1" pivotButton="0" quotePrefix="0" xfId="0">
      <alignment horizontal="center" vertical="center"/>
    </xf>
    <xf numFmtId="0" fontId="74" fillId="15" borderId="1" applyAlignment="1" pivotButton="0" quotePrefix="0" xfId="0">
      <alignment horizontal="center" vertical="center"/>
    </xf>
    <xf numFmtId="0" fontId="74" fillId="15" borderId="11" applyAlignment="1" pivotButton="0" quotePrefix="0" xfId="0">
      <alignment horizontal="center" vertical="center"/>
    </xf>
    <xf numFmtId="0" fontId="85" fillId="15" borderId="206" applyAlignment="1" pivotButton="0" quotePrefix="0" xfId="0">
      <alignment horizontal="center" wrapText="1"/>
    </xf>
    <xf numFmtId="0" fontId="0" fillId="0" borderId="206" applyAlignment="1" pivotButton="0" quotePrefix="0" xfId="0">
      <alignment horizontal="center"/>
    </xf>
    <xf numFmtId="0" fontId="267" fillId="15" borderId="8" applyAlignment="1" pivotButton="0" quotePrefix="0" xfId="0">
      <alignment horizontal="center" vertical="center"/>
    </xf>
    <xf numFmtId="0" fontId="268" fillId="0" borderId="8" applyAlignment="1" pivotButton="0" quotePrefix="0" xfId="0">
      <alignment horizontal="center" vertical="center"/>
    </xf>
    <xf numFmtId="0" fontId="268" fillId="0" borderId="0" applyAlignment="1" pivotButton="0" quotePrefix="0" xfId="0">
      <alignment horizontal="center" vertical="center"/>
    </xf>
    <xf numFmtId="0" fontId="85" fillId="15" borderId="4" applyAlignment="1" pivotButton="0" quotePrefix="0" xfId="0">
      <alignment horizontal="center" vertical="center"/>
    </xf>
    <xf numFmtId="0" fontId="15" fillId="15" borderId="208" applyAlignment="1" pivotButton="0" quotePrefix="0" xfId="0">
      <alignment horizontal="center" vertical="top"/>
    </xf>
    <xf numFmtId="0" fontId="15" fillId="0" borderId="208" applyAlignment="1" pivotButton="0" quotePrefix="0" xfId="0">
      <alignment horizontal="center" vertical="top"/>
    </xf>
    <xf numFmtId="0" fontId="6" fillId="15" borderId="4" applyAlignment="1" pivotButton="0" quotePrefix="0" xfId="0">
      <alignment horizontal="center" vertical="top"/>
    </xf>
    <xf numFmtId="0" fontId="0" fillId="0" borderId="4" applyAlignment="1" pivotButton="0" quotePrefix="0" xfId="0">
      <alignment horizontal="center" vertical="top"/>
    </xf>
    <xf numFmtId="37" fontId="20" fillId="28" borderId="31" applyAlignment="1" pivotButton="0" quotePrefix="0" xfId="0">
      <alignment horizontal="right"/>
    </xf>
    <xf numFmtId="37" fontId="20" fillId="0" borderId="31" applyAlignment="1" pivotButton="0" quotePrefix="0" xfId="0">
      <alignment horizontal="right"/>
    </xf>
    <xf numFmtId="37" fontId="20" fillId="26" borderId="25" applyAlignment="1" pivotButton="0" quotePrefix="0" xfId="0">
      <alignment horizontal="right"/>
    </xf>
    <xf numFmtId="37" fontId="20" fillId="28" borderId="1" applyAlignment="1" pivotButton="0" quotePrefix="0" xfId="0">
      <alignment horizontal="right"/>
    </xf>
    <xf numFmtId="37" fontId="20" fillId="0" borderId="1" applyAlignment="1" pivotButton="0" quotePrefix="0" xfId="0">
      <alignment horizontal="right"/>
    </xf>
    <xf numFmtId="0" fontId="20" fillId="15" borderId="8" applyAlignment="1" pivotButton="0" quotePrefix="0" xfId="0">
      <alignment horizontal="left" vertical="center"/>
    </xf>
    <xf numFmtId="37" fontId="15" fillId="14" borderId="0" applyAlignment="1" applyProtection="1" pivotButton="0" quotePrefix="0" xfId="0">
      <alignment horizontal="right"/>
      <protection locked="0" hidden="0"/>
    </xf>
    <xf numFmtId="37" fontId="15" fillId="15" borderId="0" applyAlignment="1" applyProtection="1" pivotButton="0" quotePrefix="0" xfId="0">
      <alignment horizontal="right"/>
      <protection locked="0" hidden="0"/>
    </xf>
    <xf numFmtId="0" fontId="267" fillId="15" borderId="0" applyAlignment="1" pivotButton="0" quotePrefix="1" xfId="0">
      <alignment horizontal="left" vertical="center"/>
    </xf>
    <xf numFmtId="0" fontId="267" fillId="15" borderId="75" applyAlignment="1" pivotButton="0" quotePrefix="1" xfId="0">
      <alignment horizontal="left" vertical="center"/>
    </xf>
    <xf numFmtId="0" fontId="15" fillId="15" borderId="100" applyAlignment="1" pivotButton="0" quotePrefix="0" xfId="0">
      <alignment horizontal="center" vertical="center"/>
    </xf>
    <xf numFmtId="0" fontId="15" fillId="15" borderId="75" applyAlignment="1" pivotButton="0" quotePrefix="0" xfId="0">
      <alignment horizontal="center" vertical="center"/>
    </xf>
    <xf numFmtId="37" fontId="20" fillId="16" borderId="9" applyAlignment="1" applyProtection="1" pivotButton="0" quotePrefix="0" xfId="0">
      <alignment horizontal="right" wrapText="1" indent="1"/>
      <protection locked="0" hidden="0"/>
    </xf>
    <xf numFmtId="37" fontId="20" fillId="16" borderId="1" applyAlignment="1" applyProtection="1" pivotButton="0" quotePrefix="0" xfId="0">
      <alignment horizontal="right" wrapText="1" indent="1"/>
      <protection locked="0" hidden="0"/>
    </xf>
    <xf numFmtId="37" fontId="20" fillId="16" borderId="11" applyAlignment="1" applyProtection="1" pivotButton="0" quotePrefix="0" xfId="0">
      <alignment horizontal="right" wrapText="1" indent="1"/>
      <protection locked="0" hidden="0"/>
    </xf>
    <xf numFmtId="37" fontId="20" fillId="27" borderId="9" applyAlignment="1" pivotButton="0" quotePrefix="0" xfId="0">
      <alignment horizontal="right" wrapText="1" indent="1"/>
    </xf>
    <xf numFmtId="37" fontId="20" fillId="27" borderId="1" applyAlignment="1" pivotButton="0" quotePrefix="0" xfId="0">
      <alignment horizontal="right" wrapText="1" indent="1"/>
    </xf>
    <xf numFmtId="37" fontId="20" fillId="27" borderId="11" applyAlignment="1" pivotButton="0" quotePrefix="0" xfId="0">
      <alignment horizontal="right" wrapText="1" indent="1"/>
    </xf>
    <xf numFmtId="39" fontId="20" fillId="27" borderId="9" applyAlignment="1" pivotButton="0" quotePrefix="0" xfId="0">
      <alignment horizontal="right" wrapText="1" indent="1"/>
    </xf>
    <xf numFmtId="39" fontId="20" fillId="27" borderId="1" applyAlignment="1" pivotButton="0" quotePrefix="0" xfId="0">
      <alignment horizontal="right" wrapText="1" indent="1"/>
    </xf>
    <xf numFmtId="39" fontId="20" fillId="27" borderId="11" applyAlignment="1" pivotButton="0" quotePrefix="0" xfId="0">
      <alignment horizontal="right" wrapText="1" indent="1"/>
    </xf>
    <xf numFmtId="37" fontId="20" fillId="27" borderId="9" applyAlignment="1" pivotButton="0" quotePrefix="0" xfId="0">
      <alignment horizontal="right" wrapText="1"/>
    </xf>
    <xf numFmtId="37" fontId="20" fillId="27" borderId="1" applyAlignment="1" pivotButton="0" quotePrefix="0" xfId="0">
      <alignment horizontal="right" wrapText="1"/>
    </xf>
    <xf numFmtId="37" fontId="20" fillId="27" borderId="11" applyAlignment="1" pivotButton="0" quotePrefix="0" xfId="0">
      <alignment horizontal="right" wrapText="1"/>
    </xf>
    <xf numFmtId="37" fontId="11" fillId="16" borderId="69" applyAlignment="1" applyProtection="1" pivotButton="0" quotePrefix="1" xfId="0">
      <alignment horizontal="right" indent="1"/>
      <protection locked="0" hidden="0"/>
    </xf>
    <xf numFmtId="37" fontId="11" fillId="16" borderId="4" applyAlignment="1" applyProtection="1" pivotButton="0" quotePrefix="1" xfId="0">
      <alignment horizontal="right" indent="1"/>
      <protection locked="0" hidden="0"/>
    </xf>
    <xf numFmtId="37" fontId="11" fillId="16" borderId="70" applyAlignment="1" applyProtection="1" pivotButton="0" quotePrefix="1" xfId="0">
      <alignment horizontal="right" indent="1"/>
      <protection locked="0" hidden="0"/>
    </xf>
    <xf numFmtId="0" fontId="47" fillId="15" borderId="30" applyAlignment="1" pivotButton="0" quotePrefix="1" xfId="0">
      <alignment horizontal="center" vertical="center" wrapText="1"/>
    </xf>
    <xf numFmtId="0" fontId="47" fillId="15" borderId="8" applyAlignment="1" pivotButton="0" quotePrefix="1" xfId="0">
      <alignment horizontal="center" vertical="center" wrapText="1"/>
    </xf>
    <xf numFmtId="0" fontId="47" fillId="15" borderId="14" applyAlignment="1" pivotButton="0" quotePrefix="1" xfId="0">
      <alignment horizontal="center" vertical="center" wrapText="1"/>
    </xf>
    <xf numFmtId="0" fontId="47" fillId="15" borderId="3" applyAlignment="1" pivotButton="0" quotePrefix="1" xfId="0">
      <alignment horizontal="center" vertical="center" wrapText="1"/>
    </xf>
    <xf numFmtId="0" fontId="47" fillId="15" borderId="0" applyAlignment="1" pivotButton="0" quotePrefix="1" xfId="0">
      <alignment horizontal="center" vertical="center" wrapText="1"/>
    </xf>
    <xf numFmtId="0" fontId="47" fillId="15" borderId="24" applyAlignment="1" pivotButton="0" quotePrefix="1" xfId="0">
      <alignment horizontal="center" vertical="center" wrapText="1"/>
    </xf>
    <xf numFmtId="0" fontId="47" fillId="15" borderId="9" applyAlignment="1" pivotButton="0" quotePrefix="1" xfId="0">
      <alignment horizontal="center" vertical="center" wrapText="1"/>
    </xf>
    <xf numFmtId="0" fontId="47" fillId="15" borderId="1" applyAlignment="1" pivotButton="0" quotePrefix="1" xfId="0">
      <alignment horizontal="center" vertical="center" wrapText="1"/>
    </xf>
    <xf numFmtId="0" fontId="47" fillId="15" borderId="11" applyAlignment="1" pivotButton="0" quotePrefix="1" xfId="0">
      <alignment horizontal="center" vertical="center" wrapText="1"/>
    </xf>
    <xf numFmtId="0" fontId="11" fillId="15" borderId="14" applyAlignment="1" pivotButton="0" quotePrefix="1" xfId="0">
      <alignment horizontal="center" vertical="center" wrapText="1"/>
    </xf>
    <xf numFmtId="0" fontId="11" fillId="15" borderId="24" applyAlignment="1" pivotButton="0" quotePrefix="1" xfId="0">
      <alignment horizontal="center" vertical="center" wrapText="1"/>
    </xf>
    <xf numFmtId="0" fontId="11" fillId="15" borderId="11" applyAlignment="1" pivotButton="0" quotePrefix="1" xfId="0">
      <alignment horizontal="center" vertical="center" wrapText="1"/>
    </xf>
    <xf numFmtId="0" fontId="44" fillId="28" borderId="1" applyAlignment="1" pivotButton="0" quotePrefix="1" xfId="0">
      <alignment horizontal="left" vertical="center" indent="1"/>
    </xf>
    <xf numFmtId="0" fontId="44" fillId="28" borderId="11" applyAlignment="1" pivotButton="0" quotePrefix="1" xfId="0">
      <alignment horizontal="left" vertical="center" indent="1"/>
    </xf>
    <xf numFmtId="0" fontId="14" fillId="15" borderId="3" applyAlignment="1" pivotButton="0" quotePrefix="1" xfId="0">
      <alignment horizontal="center" vertical="center" wrapText="1"/>
    </xf>
    <xf numFmtId="0" fontId="14" fillId="15" borderId="0" applyAlignment="1" pivotButton="0" quotePrefix="1" xfId="0">
      <alignment horizontal="center" vertical="center" wrapText="1"/>
    </xf>
    <xf numFmtId="0" fontId="14" fillId="15" borderId="24" applyAlignment="1" pivotButton="0" quotePrefix="1" xfId="0">
      <alignment horizontal="center" vertical="center" wrapText="1"/>
    </xf>
    <xf numFmtId="0" fontId="0" fillId="19" borderId="30" applyAlignment="1" pivotButton="0" quotePrefix="0" xfId="0">
      <alignment horizontal="center"/>
    </xf>
    <xf numFmtId="0" fontId="0" fillId="19" borderId="8" applyAlignment="1" pivotButton="0" quotePrefix="0" xfId="0">
      <alignment horizontal="center"/>
    </xf>
    <xf numFmtId="0" fontId="0" fillId="19" borderId="3" applyAlignment="1" pivotButton="0" quotePrefix="0" xfId="0">
      <alignment horizontal="center"/>
    </xf>
    <xf numFmtId="0" fontId="0" fillId="19" borderId="0" applyAlignment="1" pivotButton="0" quotePrefix="0" xfId="0">
      <alignment horizontal="center"/>
    </xf>
    <xf numFmtId="0" fontId="0" fillId="19" borderId="24" applyAlignment="1" pivotButton="0" quotePrefix="0" xfId="0">
      <alignment horizontal="center"/>
    </xf>
    <xf numFmtId="0" fontId="0" fillId="19" borderId="9" applyAlignment="1" pivotButton="0" quotePrefix="0" xfId="0">
      <alignment horizontal="center"/>
    </xf>
    <xf numFmtId="0" fontId="0" fillId="19" borderId="1" applyAlignment="1" pivotButton="0" quotePrefix="0" xfId="0">
      <alignment horizontal="center"/>
    </xf>
    <xf numFmtId="0" fontId="0" fillId="19" borderId="11" applyAlignment="1" pivotButton="0" quotePrefix="0" xfId="0">
      <alignment horizontal="center"/>
    </xf>
    <xf numFmtId="0" fontId="11" fillId="15" borderId="8" applyAlignment="1" pivotButton="0" quotePrefix="0" xfId="0">
      <alignment horizontal="center" vertical="center"/>
    </xf>
    <xf numFmtId="0" fontId="11" fillId="15" borderId="14" applyAlignment="1" pivotButton="0" quotePrefix="0" xfId="0">
      <alignment horizontal="center" vertical="center"/>
    </xf>
    <xf numFmtId="0" fontId="11" fillId="15" borderId="1" applyAlignment="1" pivotButton="0" quotePrefix="0" xfId="0">
      <alignment horizontal="center" vertical="center"/>
    </xf>
    <xf numFmtId="0" fontId="11" fillId="15" borderId="11" applyAlignment="1" pivotButton="0" quotePrefix="0" xfId="0">
      <alignment horizontal="center" vertical="center"/>
    </xf>
    <xf numFmtId="0" fontId="14" fillId="15" borderId="30" applyAlignment="1" pivotButton="0" quotePrefix="0" xfId="0">
      <alignment horizontal="center" vertical="center" wrapText="1"/>
    </xf>
    <xf numFmtId="0" fontId="11" fillId="15" borderId="30" applyAlignment="1" pivotButton="0" quotePrefix="0" xfId="0">
      <alignment horizontal="center" vertical="center" wrapText="1"/>
    </xf>
    <xf numFmtId="0" fontId="20" fillId="2" borderId="7" applyAlignment="1" pivotButton="0" quotePrefix="0" xfId="0">
      <alignment horizontal="center"/>
    </xf>
    <xf numFmtId="37" fontId="11" fillId="16" borderId="52" applyAlignment="1" applyProtection="1" pivotButton="0" quotePrefix="1" xfId="0">
      <alignment horizontal="right" indent="1"/>
      <protection locked="0" hidden="0"/>
    </xf>
    <xf numFmtId="37" fontId="11" fillId="16" borderId="31" applyAlignment="1" applyProtection="1" pivotButton="0" quotePrefix="1" xfId="0">
      <alignment horizontal="right" indent="1"/>
      <protection locked="0" hidden="0"/>
    </xf>
    <xf numFmtId="37" fontId="11" fillId="16" borderId="73" applyAlignment="1" applyProtection="1" pivotButton="0" quotePrefix="1" xfId="0">
      <alignment horizontal="right" indent="1"/>
      <protection locked="0" hidden="0"/>
    </xf>
    <xf numFmtId="39" fontId="11" fillId="15" borderId="35" applyAlignment="1" pivotButton="0" quotePrefix="1" xfId="0">
      <alignment horizontal="center"/>
    </xf>
    <xf numFmtId="39" fontId="11" fillId="15" borderId="13" applyAlignment="1" pivotButton="0" quotePrefix="1" xfId="0">
      <alignment horizontal="center"/>
    </xf>
    <xf numFmtId="39" fontId="11" fillId="15" borderId="17" applyAlignment="1" pivotButton="0" quotePrefix="1" xfId="0">
      <alignment horizontal="center"/>
    </xf>
    <xf numFmtId="37" fontId="20" fillId="27" borderId="35" applyAlignment="1" pivotButton="0" quotePrefix="0" xfId="0">
      <alignment horizontal="right" wrapText="1" indent="1"/>
    </xf>
    <xf numFmtId="37" fontId="20" fillId="27" borderId="13" applyAlignment="1" pivotButton="0" quotePrefix="0" xfId="0">
      <alignment horizontal="right" wrapText="1" indent="1"/>
    </xf>
    <xf numFmtId="37" fontId="20" fillId="27" borderId="17" applyAlignment="1" pivotButton="0" quotePrefix="0" xfId="0">
      <alignment horizontal="right" wrapText="1" indent="1"/>
    </xf>
    <xf numFmtId="37" fontId="20" fillId="27" borderId="35" applyAlignment="1" pivotButton="0" quotePrefix="0" xfId="0">
      <alignment horizontal="center" wrapText="1"/>
    </xf>
    <xf numFmtId="37" fontId="20" fillId="27" borderId="13" applyAlignment="1" pivotButton="0" quotePrefix="0" xfId="0">
      <alignment horizontal="center" wrapText="1"/>
    </xf>
    <xf numFmtId="37" fontId="20" fillId="27" borderId="17" applyAlignment="1" pivotButton="0" quotePrefix="0" xfId="0">
      <alignment horizontal="center" wrapText="1"/>
    </xf>
    <xf numFmtId="37" fontId="20" fillId="27" borderId="35" applyAlignment="1" pivotButton="0" quotePrefix="0" xfId="0">
      <alignment horizontal="right" wrapText="1"/>
    </xf>
    <xf numFmtId="37" fontId="20" fillId="27" borderId="13" applyAlignment="1" pivotButton="0" quotePrefix="0" xfId="0">
      <alignment horizontal="right" wrapText="1"/>
    </xf>
    <xf numFmtId="0" fontId="110" fillId="15" borderId="8" applyAlignment="1" pivotButton="0" quotePrefix="0" xfId="0">
      <alignment horizontal="center"/>
    </xf>
    <xf numFmtId="0" fontId="307" fillId="15" borderId="0" applyAlignment="1" pivotButton="0" quotePrefix="0" xfId="0">
      <alignment horizontal="left" wrapText="1"/>
    </xf>
    <xf numFmtId="39" fontId="6" fillId="0" borderId="0" applyAlignment="1" applyProtection="1" pivotButton="0" quotePrefix="0" xfId="0">
      <alignment horizontal="left" vertical="center" wrapText="1"/>
      <protection locked="0" hidden="0"/>
    </xf>
    <xf numFmtId="0" fontId="4" fillId="15" borderId="4" applyAlignment="1" pivotButton="0" quotePrefix="0" xfId="0">
      <alignment horizontal="right"/>
    </xf>
    <xf numFmtId="0" fontId="4" fillId="15" borderId="70" applyAlignment="1" pivotButton="0" quotePrefix="0" xfId="0">
      <alignment horizontal="right"/>
    </xf>
    <xf numFmtId="0" fontId="305" fillId="15" borderId="1" applyAlignment="1" pivotButton="0" quotePrefix="0" xfId="0">
      <alignment horizontal="left" vertical="center" wrapText="1"/>
    </xf>
    <xf numFmtId="0" fontId="11" fillId="15" borderId="30" applyAlignment="1" pivotButton="0" quotePrefix="0" xfId="0">
      <alignment horizontal="left" vertical="center" wrapText="1" indent="1"/>
    </xf>
    <xf numFmtId="0" fontId="11" fillId="15" borderId="14" applyAlignment="1" pivotButton="0" quotePrefix="0" xfId="0">
      <alignment horizontal="left" vertical="center" wrapText="1" indent="1"/>
    </xf>
    <xf numFmtId="0" fontId="11" fillId="15" borderId="3" applyAlignment="1" pivotButton="0" quotePrefix="0" xfId="0">
      <alignment horizontal="left" vertical="center" wrapText="1" indent="1"/>
    </xf>
    <xf numFmtId="0" fontId="11" fillId="15" borderId="0" applyAlignment="1" pivotButton="0" quotePrefix="0" xfId="0">
      <alignment horizontal="left" vertical="center" wrapText="1" indent="1"/>
    </xf>
    <xf numFmtId="0" fontId="11" fillId="15" borderId="24" applyAlignment="1" pivotButton="0" quotePrefix="0" xfId="0">
      <alignment horizontal="left" vertical="center" wrapText="1" indent="1"/>
    </xf>
    <xf numFmtId="0" fontId="47" fillId="15" borderId="3" applyAlignment="1" pivotButton="0" quotePrefix="0" xfId="0">
      <alignment horizontal="left" vertical="top" wrapText="1" indent="1"/>
    </xf>
    <xf numFmtId="0" fontId="47" fillId="15" borderId="0" applyAlignment="1" pivotButton="0" quotePrefix="0" xfId="0">
      <alignment horizontal="left" vertical="top" wrapText="1" indent="1"/>
    </xf>
    <xf numFmtId="0" fontId="47" fillId="15" borderId="24" applyAlignment="1" pivotButton="0" quotePrefix="0" xfId="0">
      <alignment horizontal="left" vertical="top" wrapText="1" indent="1"/>
    </xf>
    <xf numFmtId="0" fontId="143" fillId="15" borderId="0" applyAlignment="1" pivotButton="0" quotePrefix="0" xfId="0">
      <alignment horizontal="center" vertical="center"/>
    </xf>
    <xf numFmtId="0" fontId="11" fillId="15" borderId="7" applyAlignment="1" pivotButton="0" quotePrefix="0" xfId="0">
      <alignment horizontal="left" vertical="center" wrapText="1"/>
    </xf>
    <xf numFmtId="0" fontId="11" fillId="15" borderId="0" applyAlignment="1" pivotButton="0" quotePrefix="0" xfId="0">
      <alignment horizontal="left" vertical="center" wrapText="1"/>
    </xf>
    <xf numFmtId="0" fontId="11" fillId="15" borderId="1" applyAlignment="1" pivotButton="0" quotePrefix="0" xfId="0">
      <alignment horizontal="left" vertical="center" wrapText="1"/>
    </xf>
    <xf numFmtId="39" fontId="6" fillId="24" borderId="0" applyAlignment="1" pivotButton="0" quotePrefix="0" xfId="0">
      <alignment horizontal="left" wrapText="1"/>
    </xf>
    <xf numFmtId="39" fontId="0" fillId="24" borderId="0" applyAlignment="1" pivotButton="0" quotePrefix="0" xfId="0">
      <alignment horizontal="left" wrapText="1"/>
    </xf>
    <xf numFmtId="39" fontId="0" fillId="24" borderId="24" applyAlignment="1" pivotButton="0" quotePrefix="0" xfId="0">
      <alignment horizontal="left" wrapText="1"/>
    </xf>
    <xf numFmtId="39" fontId="6" fillId="15" borderId="30" applyAlignment="1" applyProtection="1" pivotButton="0" quotePrefix="0" xfId="0">
      <alignment horizontal="left" wrapText="1"/>
      <protection locked="0" hidden="0"/>
    </xf>
    <xf numFmtId="39" fontId="0" fillId="15" borderId="8" applyAlignment="1" applyProtection="1" pivotButton="0" quotePrefix="0" xfId="0">
      <alignment horizontal="left" wrapText="1"/>
      <protection locked="0" hidden="0"/>
    </xf>
    <xf numFmtId="39" fontId="0" fillId="15" borderId="14" applyAlignment="1" applyProtection="1" pivotButton="0" quotePrefix="0" xfId="0">
      <alignment horizontal="left" wrapText="1"/>
      <protection locked="0" hidden="0"/>
    </xf>
    <xf numFmtId="39" fontId="0" fillId="15" borderId="3" applyAlignment="1" applyProtection="1" pivotButton="0" quotePrefix="0" xfId="0">
      <alignment horizontal="left" wrapText="1"/>
      <protection locked="0" hidden="0"/>
    </xf>
    <xf numFmtId="39" fontId="0" fillId="15" borderId="0" applyAlignment="1" applyProtection="1" pivotButton="0" quotePrefix="0" xfId="0">
      <alignment horizontal="left" wrapText="1"/>
      <protection locked="0" hidden="0"/>
    </xf>
    <xf numFmtId="39" fontId="0" fillId="15" borderId="24" applyAlignment="1" applyProtection="1" pivotButton="0" quotePrefix="0" xfId="0">
      <alignment horizontal="left" wrapText="1"/>
      <protection locked="0" hidden="0"/>
    </xf>
    <xf numFmtId="39" fontId="0" fillId="15" borderId="9" applyAlignment="1" applyProtection="1" pivotButton="0" quotePrefix="0" xfId="0">
      <alignment horizontal="left" wrapText="1"/>
      <protection locked="0" hidden="0"/>
    </xf>
    <xf numFmtId="39" fontId="0" fillId="15" borderId="1" applyAlignment="1" applyProtection="1" pivotButton="0" quotePrefix="0" xfId="0">
      <alignment horizontal="left" wrapText="1"/>
      <protection locked="0" hidden="0"/>
    </xf>
    <xf numFmtId="39" fontId="0" fillId="15" borderId="11" applyAlignment="1" applyProtection="1" pivotButton="0" quotePrefix="0" xfId="0">
      <alignment horizontal="left" wrapText="1"/>
      <protection locked="0" hidden="0"/>
    </xf>
    <xf numFmtId="1" fontId="0" fillId="24" borderId="3" applyAlignment="1" pivotButton="0" quotePrefix="0" xfId="0">
      <alignment horizontal="right" vertical="top"/>
    </xf>
    <xf numFmtId="1" fontId="0" fillId="24" borderId="0" applyAlignment="1" pivotButton="0" quotePrefix="0" xfId="0">
      <alignment horizontal="left" vertical="top"/>
    </xf>
    <xf numFmtId="39" fontId="0" fillId="24" borderId="0" applyAlignment="1" pivotButton="0" quotePrefix="0" xfId="0">
      <alignment horizontal="center"/>
    </xf>
    <xf numFmtId="39" fontId="0" fillId="24" borderId="24" applyAlignment="1" pivotButton="0" quotePrefix="0" xfId="0">
      <alignment horizontal="center"/>
    </xf>
    <xf numFmtId="0" fontId="11" fillId="15" borderId="34" applyAlignment="1" pivotButton="0" quotePrefix="0" xfId="0">
      <alignment horizontal="left" vertical="center"/>
    </xf>
    <xf numFmtId="37" fontId="15" fillId="26" borderId="69" applyAlignment="1" pivotButton="0" quotePrefix="0" xfId="0">
      <alignment horizontal="right"/>
    </xf>
    <xf numFmtId="37" fontId="15" fillId="26" borderId="4" applyAlignment="1" pivotButton="0" quotePrefix="0" xfId="0">
      <alignment horizontal="right"/>
    </xf>
    <xf numFmtId="0" fontId="44" fillId="15" borderId="8" applyAlignment="1" pivotButton="0" quotePrefix="0" xfId="0">
      <alignment horizontal="left" vertical="center" wrapText="1"/>
    </xf>
    <xf numFmtId="0" fontId="44" fillId="15" borderId="14" applyAlignment="1" pivotButton="0" quotePrefix="0" xfId="0">
      <alignment horizontal="left" vertical="center" wrapText="1"/>
    </xf>
    <xf numFmtId="0" fontId="44" fillId="15" borderId="0" applyAlignment="1" pivotButton="0" quotePrefix="0" xfId="0">
      <alignment horizontal="left" vertical="center" wrapText="1"/>
    </xf>
    <xf numFmtId="0" fontId="44" fillId="15" borderId="24" applyAlignment="1" pivotButton="0" quotePrefix="0" xfId="0">
      <alignment horizontal="left" vertical="center" wrapText="1"/>
    </xf>
    <xf numFmtId="0" fontId="44" fillId="15" borderId="13" applyAlignment="1" pivotButton="0" quotePrefix="0" xfId="0">
      <alignment horizontal="left" vertical="center" wrapText="1"/>
    </xf>
    <xf numFmtId="0" fontId="44" fillId="15" borderId="17" applyAlignment="1" pivotButton="0" quotePrefix="0" xfId="0">
      <alignment horizontal="left" vertical="center" wrapText="1"/>
    </xf>
    <xf numFmtId="0" fontId="4" fillId="16" borderId="3" applyAlignment="1" applyProtection="1" pivotButton="0" quotePrefix="0" xfId="0">
      <alignment horizontal="left" vertical="center" indent="1"/>
      <protection locked="0" hidden="0"/>
    </xf>
    <xf numFmtId="0" fontId="4" fillId="16" borderId="0" applyAlignment="1" applyProtection="1" pivotButton="0" quotePrefix="0" xfId="0">
      <alignment horizontal="left" vertical="center" indent="1"/>
      <protection locked="0" hidden="0"/>
    </xf>
    <xf numFmtId="0" fontId="4" fillId="16" borderId="24" applyAlignment="1" applyProtection="1" pivotButton="0" quotePrefix="0" xfId="0">
      <alignment horizontal="left" vertical="center" indent="1"/>
      <protection locked="0" hidden="0"/>
    </xf>
    <xf numFmtId="0" fontId="4" fillId="16" borderId="9" applyAlignment="1" applyProtection="1" pivotButton="0" quotePrefix="0" xfId="0">
      <alignment horizontal="left" vertical="center" indent="1"/>
      <protection locked="0" hidden="0"/>
    </xf>
    <xf numFmtId="0" fontId="4" fillId="16" borderId="1" applyAlignment="1" applyProtection="1" pivotButton="0" quotePrefix="0" xfId="0">
      <alignment horizontal="left" vertical="center" indent="1"/>
      <protection locked="0" hidden="0"/>
    </xf>
    <xf numFmtId="0" fontId="4" fillId="16" borderId="11" applyAlignment="1" applyProtection="1" pivotButton="0" quotePrefix="0" xfId="0">
      <alignment horizontal="left" vertical="center" indent="1"/>
      <protection locked="0" hidden="0"/>
    </xf>
    <xf numFmtId="0" fontId="4" fillId="16" borderId="3" applyAlignment="1" applyProtection="1" pivotButton="0" quotePrefix="0" xfId="0">
      <alignment horizontal="center" vertical="center"/>
      <protection locked="0" hidden="0"/>
    </xf>
    <xf numFmtId="0" fontId="4" fillId="16" borderId="0" applyAlignment="1" applyProtection="1" pivotButton="0" quotePrefix="0" xfId="0">
      <alignment horizontal="center" vertical="center"/>
      <protection locked="0" hidden="0"/>
    </xf>
    <xf numFmtId="0" fontId="4" fillId="16" borderId="9" applyAlignment="1" applyProtection="1" pivotButton="0" quotePrefix="0" xfId="0">
      <alignment horizontal="center" vertical="center"/>
      <protection locked="0" hidden="0"/>
    </xf>
    <xf numFmtId="0" fontId="4" fillId="16" borderId="1" applyAlignment="1" applyProtection="1" pivotButton="0" quotePrefix="0" xfId="0">
      <alignment horizontal="center" vertical="center"/>
      <protection locked="0" hidden="0"/>
    </xf>
    <xf numFmtId="37" fontId="15" fillId="26" borderId="9" applyAlignment="1" pivotButton="0" quotePrefix="0" xfId="0">
      <alignment horizontal="right"/>
    </xf>
    <xf numFmtId="37" fontId="15" fillId="26" borderId="1" applyAlignment="1" pivotButton="0" quotePrefix="0" xfId="0">
      <alignment horizontal="right"/>
    </xf>
    <xf numFmtId="37" fontId="15" fillId="20" borderId="9" applyAlignment="1" applyProtection="1" pivotButton="0" quotePrefix="0" xfId="0">
      <alignment horizontal="right"/>
      <protection locked="0" hidden="0"/>
    </xf>
    <xf numFmtId="0" fontId="15" fillId="20" borderId="1" applyAlignment="1" applyProtection="1" pivotButton="0" quotePrefix="0" xfId="0">
      <alignment horizontal="right"/>
      <protection locked="0" hidden="0"/>
    </xf>
    <xf numFmtId="0" fontId="110" fillId="15" borderId="24" applyAlignment="1" pivotButton="0" quotePrefix="0" xfId="0">
      <alignment horizontal="center"/>
    </xf>
    <xf numFmtId="209" fontId="11" fillId="26" borderId="1" applyAlignment="1" pivotButton="0" quotePrefix="0" xfId="0">
      <alignment horizontal="center"/>
    </xf>
    <xf numFmtId="209" fontId="11" fillId="26" borderId="11" applyAlignment="1" pivotButton="0" quotePrefix="0" xfId="0">
      <alignment horizontal="center"/>
    </xf>
    <xf numFmtId="181" fontId="110" fillId="15" borderId="3" applyAlignment="1" pivotButton="0" quotePrefix="0" xfId="0">
      <alignment horizontal="center"/>
    </xf>
    <xf numFmtId="181" fontId="110" fillId="15" borderId="0" applyAlignment="1" pivotButton="0" quotePrefix="0" xfId="0">
      <alignment horizontal="center"/>
    </xf>
    <xf numFmtId="0" fontId="15" fillId="26" borderId="1" applyAlignment="1" pivotButton="0" quotePrefix="0" xfId="0">
      <alignment horizontal="right"/>
    </xf>
    <xf numFmtId="0" fontId="15" fillId="26" borderId="11" applyAlignment="1" pivotButton="0" quotePrefix="0" xfId="0">
      <alignment horizontal="right"/>
    </xf>
    <xf numFmtId="0" fontId="110" fillId="15" borderId="30" applyAlignment="1" pivotButton="0" quotePrefix="0" xfId="0">
      <alignment horizontal="center"/>
    </xf>
    <xf numFmtId="0" fontId="110" fillId="15" borderId="14" applyAlignment="1" pivotButton="0" quotePrefix="0" xfId="0">
      <alignment horizontal="center"/>
    </xf>
    <xf numFmtId="37" fontId="15" fillId="26" borderId="11" applyAlignment="1" pivotButton="0" quotePrefix="0" xfId="0">
      <alignment horizontal="right"/>
    </xf>
    <xf numFmtId="37" fontId="15" fillId="20" borderId="1" applyAlignment="1" applyProtection="1" pivotButton="0" quotePrefix="0" xfId="0">
      <alignment horizontal="right"/>
      <protection locked="0" hidden="0"/>
    </xf>
    <xf numFmtId="37" fontId="15" fillId="16" borderId="1" applyAlignment="1" applyProtection="1" pivotButton="0" quotePrefix="0" xfId="0">
      <alignment horizontal="right"/>
      <protection locked="0" hidden="0"/>
    </xf>
    <xf numFmtId="0" fontId="4" fillId="15" borderId="208" applyAlignment="1" pivotButton="0" quotePrefix="0" xfId="0">
      <alignment horizontal="center" vertical="top"/>
    </xf>
    <xf numFmtId="0" fontId="4" fillId="0" borderId="208" applyAlignment="1" pivotButton="0" quotePrefix="0" xfId="0">
      <alignment horizontal="center" vertical="top"/>
    </xf>
    <xf numFmtId="0" fontId="20" fillId="16" borderId="9" applyAlignment="1" applyProtection="1" pivotButton="0" quotePrefix="0" xfId="0">
      <alignment horizontal="left" vertical="center" indent="1"/>
      <protection locked="0" hidden="0"/>
    </xf>
    <xf numFmtId="0" fontId="20" fillId="16" borderId="1" applyAlignment="1" applyProtection="1" pivotButton="0" quotePrefix="0" xfId="0">
      <alignment horizontal="left" vertical="center" indent="1"/>
      <protection locked="0" hidden="0"/>
    </xf>
    <xf numFmtId="37" fontId="15" fillId="28" borderId="1" applyAlignment="1" pivotButton="0" quotePrefix="0" xfId="0">
      <alignment horizontal="right"/>
    </xf>
    <xf numFmtId="37" fontId="15" fillId="0" borderId="1" applyAlignment="1" pivotButton="0" quotePrefix="0" xfId="0">
      <alignment horizontal="right"/>
    </xf>
    <xf numFmtId="37" fontId="0" fillId="15" borderId="30" applyAlignment="1" pivotButton="0" quotePrefix="0" xfId="0">
      <alignment horizontal="center"/>
    </xf>
    <xf numFmtId="37" fontId="0" fillId="15" borderId="8" applyAlignment="1" pivotButton="0" quotePrefix="0" xfId="0">
      <alignment horizontal="center"/>
    </xf>
    <xf numFmtId="37" fontId="15" fillId="26" borderId="39" applyAlignment="1" pivotButton="0" quotePrefix="0" xfId="0">
      <alignment horizontal="right"/>
    </xf>
    <xf numFmtId="37" fontId="15" fillId="26" borderId="25" applyAlignment="1" pivotButton="0" quotePrefix="0" xfId="0">
      <alignment horizontal="right"/>
    </xf>
    <xf numFmtId="176" fontId="20" fillId="28" borderId="9" applyAlignment="1" pivotButton="0" quotePrefix="1" xfId="0">
      <alignment horizontal="left" vertical="center" indent="2"/>
    </xf>
    <xf numFmtId="176" fontId="20" fillId="28" borderId="1" applyAlignment="1" pivotButton="0" quotePrefix="1" xfId="0">
      <alignment horizontal="left" vertical="center" indent="2"/>
    </xf>
    <xf numFmtId="170" fontId="4" fillId="16" borderId="3" applyAlignment="1" applyProtection="1" pivotButton="0" quotePrefix="0" xfId="0">
      <alignment horizontal="center" vertical="center" wrapText="1"/>
      <protection locked="0" hidden="0"/>
    </xf>
    <xf numFmtId="170" fontId="4" fillId="16" borderId="0" applyAlignment="1" applyProtection="1" pivotButton="0" quotePrefix="0" xfId="0">
      <alignment horizontal="center" vertical="center" wrapText="1"/>
      <protection locked="0" hidden="0"/>
    </xf>
    <xf numFmtId="170" fontId="4" fillId="16" borderId="24" applyAlignment="1" applyProtection="1" pivotButton="0" quotePrefix="0" xfId="0">
      <alignment horizontal="center" vertical="center" wrapText="1"/>
      <protection locked="0" hidden="0"/>
    </xf>
    <xf numFmtId="170" fontId="4" fillId="16" borderId="9" applyAlignment="1" applyProtection="1" pivotButton="0" quotePrefix="0" xfId="0">
      <alignment horizontal="center" vertical="center" wrapText="1"/>
      <protection locked="0" hidden="0"/>
    </xf>
    <xf numFmtId="170" fontId="4" fillId="16" borderId="1" applyAlignment="1" applyProtection="1" pivotButton="0" quotePrefix="0" xfId="0">
      <alignment horizontal="center" vertical="center" wrapText="1"/>
      <protection locked="0" hidden="0"/>
    </xf>
    <xf numFmtId="170" fontId="4" fillId="16" borderId="11" applyAlignment="1" applyProtection="1" pivotButton="0" quotePrefix="0" xfId="0">
      <alignment horizontal="center" vertical="center" wrapText="1"/>
      <protection locked="0" hidden="0"/>
    </xf>
    <xf numFmtId="0" fontId="4" fillId="16" borderId="99" applyAlignment="1" applyProtection="1" pivotButton="0" quotePrefix="0" xfId="0">
      <alignment horizontal="left" indent="1"/>
      <protection locked="0" hidden="0"/>
    </xf>
    <xf numFmtId="0" fontId="4" fillId="16" borderId="199" applyAlignment="1" applyProtection="1" pivotButton="0" quotePrefix="0" xfId="0">
      <alignment horizontal="left" indent="1"/>
      <protection locked="0" hidden="0"/>
    </xf>
    <xf numFmtId="0" fontId="4" fillId="16" borderId="54" applyAlignment="1" applyProtection="1" pivotButton="0" quotePrefix="0" xfId="0">
      <alignment horizontal="left" indent="1"/>
      <protection locked="0" hidden="0"/>
    </xf>
    <xf numFmtId="201" fontId="9" fillId="16" borderId="99" applyAlignment="1" applyProtection="1" pivotButton="0" quotePrefix="0" xfId="0">
      <alignment horizontal="center" vertical="center"/>
      <protection locked="0" hidden="0"/>
    </xf>
    <xf numFmtId="0" fontId="85" fillId="15" borderId="100" applyAlignment="1" pivotButton="0" quotePrefix="0" xfId="0">
      <alignment horizontal="center" wrapText="1"/>
    </xf>
    <xf numFmtId="0" fontId="85" fillId="15" borderId="0" applyAlignment="1" pivotButton="0" quotePrefix="0" xfId="0">
      <alignment horizontal="center" wrapText="1"/>
    </xf>
    <xf numFmtId="0" fontId="85" fillId="15" borderId="75" applyAlignment="1" pivotButton="0" quotePrefix="0" xfId="0">
      <alignment horizontal="center" wrapText="1"/>
    </xf>
    <xf numFmtId="0" fontId="0" fillId="15" borderId="101" applyAlignment="1" pivotButton="0" quotePrefix="0" xfId="0">
      <alignment horizontal="center"/>
    </xf>
    <xf numFmtId="0" fontId="147" fillId="15" borderId="212" applyAlignment="1" pivotButton="0" quotePrefix="0" xfId="0">
      <alignment horizontal="center" vertical="center"/>
    </xf>
    <xf numFmtId="0" fontId="147" fillId="15" borderId="8" applyAlignment="1" pivotButton="0" quotePrefix="0" xfId="0">
      <alignment horizontal="center" vertical="center"/>
    </xf>
    <xf numFmtId="0" fontId="147" fillId="15" borderId="100" applyAlignment="1" pivotButton="0" quotePrefix="0" xfId="0">
      <alignment horizontal="center" vertical="center"/>
    </xf>
    <xf numFmtId="0" fontId="147" fillId="15" borderId="0" applyAlignment="1" pivotButton="0" quotePrefix="0" xfId="0">
      <alignment horizontal="center" vertical="center"/>
    </xf>
    <xf numFmtId="0" fontId="4" fillId="15" borderId="23" applyAlignment="1" pivotButton="0" quotePrefix="0" xfId="0">
      <alignment horizontal="left" vertical="center" wrapText="1"/>
    </xf>
    <xf numFmtId="0" fontId="4" fillId="15" borderId="7" applyAlignment="1" pivotButton="0" quotePrefix="0" xfId="0">
      <alignment horizontal="left" vertical="center" wrapText="1"/>
    </xf>
    <xf numFmtId="0" fontId="4" fillId="15" borderId="19" applyAlignment="1" pivotButton="0" quotePrefix="0" xfId="0">
      <alignment horizontal="left" vertical="center" wrapText="1"/>
    </xf>
    <xf numFmtId="0" fontId="4" fillId="15" borderId="5" applyAlignment="1" pivotButton="0" quotePrefix="0" xfId="0">
      <alignment horizontal="left" vertical="center" wrapText="1"/>
    </xf>
    <xf numFmtId="0" fontId="4" fillId="15" borderId="0" applyAlignment="1" pivotButton="0" quotePrefix="0" xfId="0">
      <alignment horizontal="left" vertical="center" wrapText="1"/>
    </xf>
    <xf numFmtId="0" fontId="4" fillId="15" borderId="20" applyAlignment="1" pivotButton="0" quotePrefix="0" xfId="0">
      <alignment horizontal="left" vertical="center" wrapText="1"/>
    </xf>
    <xf numFmtId="0" fontId="4" fillId="15" borderId="21" applyAlignment="1" pivotButton="0" quotePrefix="0" xfId="0">
      <alignment horizontal="left" vertical="center" wrapText="1"/>
    </xf>
    <xf numFmtId="0" fontId="4" fillId="15" borderId="4" applyAlignment="1" pivotButton="0" quotePrefix="0" xfId="0">
      <alignment horizontal="left" vertical="center" wrapText="1"/>
    </xf>
    <xf numFmtId="0" fontId="4" fillId="15" borderId="22" applyAlignment="1" pivotButton="0" quotePrefix="0" xfId="0">
      <alignment horizontal="left" vertical="center" wrapText="1"/>
    </xf>
    <xf numFmtId="37" fontId="134" fillId="15" borderId="30" applyAlignment="1" pivotButton="0" quotePrefix="0" xfId="0">
      <alignment horizontal="right"/>
    </xf>
    <xf numFmtId="37" fontId="134" fillId="15" borderId="8" applyAlignment="1" pivotButton="0" quotePrefix="0" xfId="0">
      <alignment horizontal="right"/>
    </xf>
    <xf numFmtId="210" fontId="110" fillId="15" borderId="3" applyAlignment="1" pivotButton="0" quotePrefix="0" xfId="0">
      <alignment horizontal="center"/>
    </xf>
    <xf numFmtId="210" fontId="110" fillId="15" borderId="0" applyAlignment="1" pivotButton="0" quotePrefix="0" xfId="0">
      <alignment horizontal="center"/>
    </xf>
    <xf numFmtId="2" fontId="110" fillId="15" borderId="30" applyAlignment="1" pivotButton="0" quotePrefix="0" xfId="0">
      <alignment horizontal="center"/>
    </xf>
    <xf numFmtId="2" fontId="110" fillId="15" borderId="8" applyAlignment="1" pivotButton="0" quotePrefix="0" xfId="0">
      <alignment horizontal="center"/>
    </xf>
    <xf numFmtId="0" fontId="47" fillId="15" borderId="0" applyAlignment="1" pivotButton="0" quotePrefix="0" xfId="0">
      <alignment horizontal="left" vertical="center" indent="1"/>
    </xf>
    <xf numFmtId="0" fontId="47" fillId="15" borderId="24" applyAlignment="1" pivotButton="0" quotePrefix="0" xfId="0">
      <alignment horizontal="left" vertical="center" indent="1"/>
    </xf>
    <xf numFmtId="170" fontId="11" fillId="16" borderId="0" applyAlignment="1" applyProtection="1" pivotButton="0" quotePrefix="0" xfId="0">
      <alignment horizontal="center"/>
      <protection locked="0" hidden="0"/>
    </xf>
    <xf numFmtId="170" fontId="11" fillId="16" borderId="1" applyAlignment="1" applyProtection="1" pivotButton="0" quotePrefix="0" xfId="0">
      <alignment horizontal="center"/>
      <protection locked="0" hidden="0"/>
    </xf>
    <xf numFmtId="0" fontId="6" fillId="15" borderId="30" applyAlignment="1" pivotButton="0" quotePrefix="0" xfId="0">
      <alignment horizontal="left" vertical="center" indent="1"/>
    </xf>
    <xf numFmtId="0" fontId="6" fillId="15" borderId="8" applyAlignment="1" pivotButton="0" quotePrefix="0" xfId="0">
      <alignment horizontal="left" vertical="center" indent="1"/>
    </xf>
    <xf numFmtId="0" fontId="20" fillId="15" borderId="8" applyAlignment="1" pivotButton="0" quotePrefix="0" xfId="0">
      <alignment horizontal="left" vertical="center" wrapText="1"/>
    </xf>
    <xf numFmtId="0" fontId="20" fillId="15" borderId="14" applyAlignment="1" pivotButton="0" quotePrefix="0" xfId="0">
      <alignment horizontal="left" vertical="center" wrapText="1"/>
    </xf>
    <xf numFmtId="0" fontId="20" fillId="15" borderId="24" applyAlignment="1" pivotButton="0" quotePrefix="0" xfId="0">
      <alignment horizontal="left" vertical="center" wrapText="1"/>
    </xf>
    <xf numFmtId="0" fontId="20" fillId="15" borderId="1" applyAlignment="1" pivotButton="0" quotePrefix="0" xfId="0">
      <alignment horizontal="left" vertical="center" wrapText="1"/>
    </xf>
    <xf numFmtId="0" fontId="20" fillId="15" borderId="11" applyAlignment="1" pivotButton="0" quotePrefix="0" xfId="0">
      <alignment horizontal="left" vertical="center" wrapText="1"/>
    </xf>
    <xf numFmtId="0" fontId="267" fillId="15" borderId="0" pivotButton="0" quotePrefix="1" xfId="0"/>
    <xf numFmtId="0" fontId="15" fillId="26" borderId="4" applyAlignment="1" pivotButton="0" quotePrefix="0" xfId="0">
      <alignment horizontal="right"/>
    </xf>
    <xf numFmtId="0" fontId="47" fillId="15" borderId="0" applyAlignment="1" applyProtection="1" pivotButton="0" quotePrefix="0" xfId="0">
      <alignment horizontal="center" vertical="center"/>
      <protection locked="0" hidden="0"/>
    </xf>
    <xf numFmtId="0" fontId="47" fillId="15" borderId="1" applyAlignment="1" applyProtection="1" pivotButton="0" quotePrefix="0" xfId="0">
      <alignment horizontal="center" vertical="center"/>
      <protection locked="0" hidden="0"/>
    </xf>
    <xf numFmtId="0" fontId="6" fillId="15" borderId="30" applyAlignment="1" pivotButton="0" quotePrefix="0" xfId="0">
      <alignment horizontal="left"/>
    </xf>
    <xf numFmtId="0" fontId="6" fillId="15" borderId="8" applyAlignment="1" pivotButton="0" quotePrefix="0" xfId="0">
      <alignment horizontal="left"/>
    </xf>
    <xf numFmtId="0" fontId="6" fillId="15" borderId="14" applyAlignment="1" pivotButton="0" quotePrefix="0" xfId="0">
      <alignment horizontal="left"/>
    </xf>
    <xf numFmtId="0" fontId="20" fillId="16" borderId="11" applyAlignment="1" applyProtection="1" pivotButton="0" quotePrefix="0" xfId="0">
      <alignment horizontal="left" vertical="center" indent="1"/>
      <protection locked="0" hidden="0"/>
    </xf>
    <xf numFmtId="0" fontId="8" fillId="15" borderId="30" applyAlignment="1" pivotButton="0" quotePrefix="0" xfId="0">
      <alignment horizontal="left"/>
    </xf>
    <xf numFmtId="0" fontId="8" fillId="15" borderId="8" applyAlignment="1" pivotButton="0" quotePrefix="0" xfId="0">
      <alignment horizontal="left"/>
    </xf>
    <xf numFmtId="37" fontId="15" fillId="20" borderId="11" applyAlignment="1" applyProtection="1" pivotButton="0" quotePrefix="0" xfId="0">
      <alignment horizontal="right"/>
      <protection locked="0" hidden="0"/>
    </xf>
    <xf numFmtId="0" fontId="20" fillId="28" borderId="1" applyAlignment="1" pivotButton="0" quotePrefix="1" xfId="0">
      <alignment horizontal="left" vertical="center" indent="1"/>
    </xf>
    <xf numFmtId="0" fontId="20" fillId="28" borderId="11" applyAlignment="1" pivotButton="0" quotePrefix="1" xfId="0">
      <alignment horizontal="left" vertical="center" indent="1"/>
    </xf>
    <xf numFmtId="37" fontId="47" fillId="15" borderId="56" applyAlignment="1" pivotButton="0" quotePrefix="0" xfId="0">
      <alignment horizontal="right"/>
    </xf>
    <xf numFmtId="37" fontId="47" fillId="15" borderId="7" applyAlignment="1" pivotButton="0" quotePrefix="0" xfId="0">
      <alignment horizontal="right"/>
    </xf>
    <xf numFmtId="0" fontId="123" fillId="31" borderId="16" applyAlignment="1" pivotButton="0" quotePrefix="0" xfId="0">
      <alignment horizontal="center" vertical="center"/>
    </xf>
    <xf numFmtId="0" fontId="15" fillId="26" borderId="25" applyAlignment="1" pivotButton="0" quotePrefix="0" xfId="0">
      <alignment horizontal="right"/>
    </xf>
    <xf numFmtId="37" fontId="110" fillId="15" borderId="30" applyAlignment="1" pivotButton="0" quotePrefix="0" xfId="0">
      <alignment horizontal="center"/>
    </xf>
    <xf numFmtId="37" fontId="110" fillId="15" borderId="8" applyAlignment="1" pivotButton="0" quotePrefix="0" xfId="0">
      <alignment horizontal="center"/>
    </xf>
    <xf numFmtId="0" fontId="268" fillId="0" borderId="0" pivotButton="0" quotePrefix="0" xfId="0"/>
    <xf numFmtId="0" fontId="4" fillId="15" borderId="206" applyAlignment="1" pivotButton="0" quotePrefix="0" xfId="0">
      <alignment horizontal="center" vertical="center"/>
    </xf>
    <xf numFmtId="1" fontId="0" fillId="24" borderId="0" applyAlignment="1" pivotButton="0" quotePrefix="0" xfId="0">
      <alignment horizontal="left" indent="2"/>
    </xf>
    <xf numFmtId="1" fontId="6" fillId="24" borderId="0" applyAlignment="1" pivotButton="0" quotePrefix="0" xfId="0">
      <alignment horizontal="left"/>
    </xf>
    <xf numFmtId="1" fontId="6" fillId="24" borderId="1" applyAlignment="1" pivotButton="0" quotePrefix="0" xfId="0">
      <alignment horizontal="left"/>
    </xf>
    <xf numFmtId="0" fontId="134" fillId="2" borderId="25" applyAlignment="1" pivotButton="0" quotePrefix="0" xfId="0">
      <alignment horizontal="center" vertical="center"/>
    </xf>
    <xf numFmtId="0" fontId="146" fillId="37" borderId="0" applyAlignment="1" pivotButton="0" quotePrefix="0" xfId="0">
      <alignment horizontal="center" vertical="center" wrapText="1"/>
    </xf>
    <xf numFmtId="3" fontId="11" fillId="16" borderId="1" applyAlignment="1" applyProtection="1" pivotButton="0" quotePrefix="0" xfId="0">
      <alignment horizontal="right" indent="1"/>
      <protection locked="0" hidden="0"/>
    </xf>
    <xf numFmtId="0" fontId="20" fillId="15" borderId="25" applyAlignment="1" pivotButton="0" quotePrefix="0" xfId="0">
      <alignment horizontal="left" vertical="center" indent="1"/>
    </xf>
    <xf numFmtId="0" fontId="113" fillId="5" borderId="0" applyAlignment="1" pivotButton="0" quotePrefix="0" xfId="0">
      <alignment horizontal="left" vertical="top" wrapText="1"/>
    </xf>
    <xf numFmtId="0" fontId="11" fillId="15" borderId="0" applyAlignment="1" pivotButton="0" quotePrefix="0" xfId="0">
      <alignment horizontal="left"/>
    </xf>
    <xf numFmtId="0" fontId="0" fillId="15" borderId="7" applyAlignment="1" pivotButton="0" quotePrefix="0" xfId="0">
      <alignment horizontal="center" vertical="top" wrapText="1"/>
    </xf>
    <xf numFmtId="0" fontId="0" fillId="15" borderId="0" applyAlignment="1" pivotButton="0" quotePrefix="0" xfId="0">
      <alignment horizontal="center" vertical="top" wrapText="1"/>
    </xf>
    <xf numFmtId="37" fontId="11" fillId="26" borderId="1" applyAlignment="1" pivotButton="0" quotePrefix="0" xfId="0">
      <alignment horizontal="right"/>
    </xf>
    <xf numFmtId="37" fontId="15" fillId="14" borderId="3" applyAlignment="1" applyProtection="1" pivotButton="0" quotePrefix="0" xfId="0">
      <alignment horizontal="right"/>
      <protection locked="1" hidden="1"/>
    </xf>
    <xf numFmtId="37" fontId="15" fillId="15" borderId="0" applyAlignment="1" applyProtection="1" pivotButton="0" quotePrefix="0" xfId="0">
      <alignment horizontal="right"/>
      <protection locked="1" hidden="1"/>
    </xf>
    <xf numFmtId="0" fontId="81" fillId="5" borderId="0" applyAlignment="1" pivotButton="0" quotePrefix="0" xfId="0">
      <alignment horizontal="left" wrapText="1"/>
    </xf>
    <xf numFmtId="0" fontId="81" fillId="5" borderId="0" applyAlignment="1" pivotButton="0" quotePrefix="0" xfId="0">
      <alignment horizontal="left"/>
    </xf>
    <xf numFmtId="37" fontId="257" fillId="14" borderId="3" applyAlignment="1" applyProtection="1" pivotButton="0" quotePrefix="0" xfId="0">
      <alignment horizontal="center"/>
      <protection locked="1" hidden="1"/>
    </xf>
    <xf numFmtId="37" fontId="257" fillId="15" borderId="0" applyAlignment="1" applyProtection="1" pivotButton="0" quotePrefix="0" xfId="0">
      <alignment horizontal="center"/>
      <protection locked="1" hidden="1"/>
    </xf>
    <xf numFmtId="37" fontId="168" fillId="14" borderId="3" applyAlignment="1" applyProtection="1" pivotButton="0" quotePrefix="0" xfId="0">
      <alignment horizontal="center"/>
      <protection locked="1" hidden="1"/>
    </xf>
    <xf numFmtId="37" fontId="168" fillId="14" borderId="0" applyAlignment="1" applyProtection="1" pivotButton="0" quotePrefix="0" xfId="0">
      <alignment horizontal="center"/>
      <protection locked="1" hidden="1"/>
    </xf>
    <xf numFmtId="37" fontId="168" fillId="14" borderId="3" applyAlignment="1" applyProtection="1" pivotButton="0" quotePrefix="0" xfId="0">
      <alignment horizontal="right"/>
      <protection locked="1" hidden="1"/>
    </xf>
    <xf numFmtId="37" fontId="168" fillId="15" borderId="0" applyAlignment="1" applyProtection="1" pivotButton="0" quotePrefix="0" xfId="0">
      <alignment horizontal="right"/>
      <protection locked="1" hidden="1"/>
    </xf>
    <xf numFmtId="0" fontId="0" fillId="39" borderId="54" pivotButton="0" quotePrefix="0" xfId="0"/>
    <xf numFmtId="3" fontId="11" fillId="16" borderId="9" applyAlignment="1" applyProtection="1" pivotButton="0" quotePrefix="0" xfId="0">
      <alignment horizontal="right" indent="1"/>
      <protection locked="0" hidden="0"/>
    </xf>
    <xf numFmtId="0" fontId="9" fillId="15" borderId="0" applyAlignment="1" pivotButton="0" quotePrefix="0" xfId="0">
      <alignment horizontal="left"/>
    </xf>
    <xf numFmtId="0" fontId="9" fillId="15" borderId="24" applyAlignment="1" pivotButton="0" quotePrefix="0" xfId="0">
      <alignment horizontal="left"/>
    </xf>
    <xf numFmtId="0" fontId="20" fillId="28" borderId="1" applyAlignment="1" pivotButton="0" quotePrefix="1" xfId="0">
      <alignment horizontal="left" vertical="center"/>
    </xf>
    <xf numFmtId="37" fontId="15" fillId="14" borderId="8" applyAlignment="1" applyProtection="1" pivotButton="0" quotePrefix="0" xfId="0">
      <alignment horizontal="right"/>
      <protection locked="1" hidden="1"/>
    </xf>
    <xf numFmtId="37" fontId="15" fillId="15" borderId="8" applyAlignment="1" applyProtection="1" pivotButton="0" quotePrefix="0" xfId="0">
      <alignment horizontal="right"/>
      <protection locked="1" hidden="1"/>
    </xf>
    <xf numFmtId="37" fontId="15" fillId="14" borderId="30" applyAlignment="1" applyProtection="1" pivotButton="0" quotePrefix="0" xfId="0">
      <alignment horizontal="right"/>
      <protection locked="1" hidden="1"/>
    </xf>
    <xf numFmtId="37" fontId="11" fillId="20" borderId="1" applyAlignment="1" applyProtection="1" pivotButton="0" quotePrefix="0" xfId="0">
      <alignment horizontal="right"/>
      <protection locked="0" hidden="0"/>
    </xf>
    <xf numFmtId="37" fontId="146" fillId="14" borderId="3" applyAlignment="1" applyProtection="1" pivotButton="0" quotePrefix="0" xfId="0">
      <alignment horizontal="right"/>
      <protection locked="1" hidden="1"/>
    </xf>
    <xf numFmtId="37" fontId="146" fillId="14" borderId="0" applyAlignment="1" applyProtection="1" pivotButton="0" quotePrefix="0" xfId="0">
      <alignment horizontal="right"/>
      <protection locked="1" hidden="1"/>
    </xf>
    <xf numFmtId="0" fontId="14" fillId="0" borderId="11" applyAlignment="1" pivotButton="0" quotePrefix="0" xfId="0">
      <alignment horizontal="center"/>
    </xf>
    <xf numFmtId="1" fontId="4" fillId="39" borderId="3" applyAlignment="1" pivotButton="0" quotePrefix="0" xfId="0">
      <alignment horizontal="center" vertical="center"/>
    </xf>
    <xf numFmtId="1" fontId="4" fillId="39" borderId="24" applyAlignment="1" pivotButton="0" quotePrefix="0" xfId="0">
      <alignment horizontal="center" vertical="center"/>
    </xf>
    <xf numFmtId="176" fontId="20" fillId="28" borderId="9" applyAlignment="1" pivotButton="0" quotePrefix="1" xfId="0">
      <alignment horizontal="center" vertical="center"/>
    </xf>
    <xf numFmtId="176" fontId="20" fillId="28" borderId="1" applyAlignment="1" pivotButton="0" quotePrefix="1" xfId="0">
      <alignment horizontal="center" vertical="center"/>
    </xf>
    <xf numFmtId="37" fontId="134" fillId="14" borderId="3" applyAlignment="1" applyProtection="1" pivotButton="0" quotePrefix="0" xfId="0">
      <alignment horizontal="center"/>
      <protection locked="1" hidden="1"/>
    </xf>
    <xf numFmtId="37" fontId="134" fillId="15" borderId="0" applyAlignment="1" applyProtection="1" pivotButton="0" quotePrefix="0" xfId="0">
      <alignment horizontal="center"/>
      <protection locked="1" hidden="1"/>
    </xf>
    <xf numFmtId="37" fontId="172" fillId="14" borderId="3" applyAlignment="1" applyProtection="1" pivotButton="0" quotePrefix="0" xfId="0">
      <alignment horizontal="center"/>
      <protection locked="1" hidden="1"/>
    </xf>
    <xf numFmtId="37" fontId="172" fillId="14" borderId="0" applyAlignment="1" applyProtection="1" pivotButton="0" quotePrefix="0" xfId="0">
      <alignment horizontal="center"/>
      <protection locked="1" hidden="1"/>
    </xf>
    <xf numFmtId="37" fontId="134" fillId="14" borderId="30" applyAlignment="1" applyProtection="1" pivotButton="0" quotePrefix="0" xfId="0">
      <alignment horizontal="right"/>
      <protection locked="1" hidden="1"/>
    </xf>
    <xf numFmtId="37" fontId="134" fillId="15" borderId="8" applyAlignment="1" applyProtection="1" pivotButton="0" quotePrefix="0" xfId="0">
      <alignment horizontal="right"/>
      <protection locked="1" hidden="1"/>
    </xf>
    <xf numFmtId="0" fontId="110" fillId="15" borderId="16" applyAlignment="1" pivotButton="0" quotePrefix="0" xfId="0">
      <alignment horizontal="center" vertical="center"/>
    </xf>
    <xf numFmtId="37" fontId="134" fillId="14" borderId="0" applyAlignment="1" applyProtection="1" pivotButton="0" quotePrefix="0" xfId="0">
      <alignment horizontal="center"/>
      <protection locked="1" hidden="1"/>
    </xf>
    <xf numFmtId="37" fontId="11" fillId="26" borderId="35" applyAlignment="1" pivotButton="0" quotePrefix="0" xfId="0">
      <alignment horizontal="right"/>
    </xf>
    <xf numFmtId="37" fontId="11" fillId="27" borderId="13" applyAlignment="1" pivotButton="0" quotePrefix="0" xfId="0">
      <alignment horizontal="right"/>
    </xf>
    <xf numFmtId="0" fontId="44" fillId="15" borderId="206" applyAlignment="1" pivotButton="0" quotePrefix="0" xfId="0">
      <alignment horizontal="center" wrapText="1"/>
    </xf>
    <xf numFmtId="0" fontId="120" fillId="0" borderId="206" applyAlignment="1" pivotButton="0" quotePrefix="0" xfId="0">
      <alignment horizontal="center"/>
    </xf>
    <xf numFmtId="0" fontId="6" fillId="15" borderId="1" applyAlignment="1" pivotButton="0" quotePrefix="0" xfId="0">
      <alignment horizontal="center"/>
    </xf>
    <xf numFmtId="39" fontId="245" fillId="21" borderId="0" applyAlignment="1" applyProtection="1" pivotButton="0" quotePrefix="0" xfId="0">
      <alignment horizontal="left" vertical="center" wrapText="1"/>
      <protection locked="0" hidden="0"/>
    </xf>
    <xf numFmtId="0" fontId="11" fillId="15" borderId="11" applyAlignment="1" pivotButton="0" quotePrefix="0" xfId="0">
      <alignment horizontal="center"/>
    </xf>
    <xf numFmtId="39" fontId="0" fillId="3" borderId="3" pivotButton="0" quotePrefix="0" xfId="0"/>
    <xf numFmtId="39" fontId="0" fillId="3" borderId="0" pivotButton="0" quotePrefix="0" xfId="0"/>
    <xf numFmtId="0" fontId="14" fillId="15" borderId="0" applyAlignment="1" pivotButton="0" quotePrefix="0" xfId="0">
      <alignment horizontal="left" vertical="center" wrapText="1"/>
    </xf>
    <xf numFmtId="0" fontId="166" fillId="23" borderId="0" applyAlignment="1" pivotButton="0" quotePrefix="0" xfId="0">
      <alignment horizontal="center" vertical="center"/>
    </xf>
    <xf numFmtId="3" fontId="4" fillId="25" borderId="10" applyAlignment="1" pivotButton="0" quotePrefix="0" xfId="0">
      <alignment horizontal="right" vertical="center" wrapText="1" indent="1"/>
    </xf>
    <xf numFmtId="3" fontId="0" fillId="25" borderId="10" applyAlignment="1" pivotButton="0" quotePrefix="0" xfId="0">
      <alignment horizontal="right" vertical="center" wrapText="1" indent="1"/>
    </xf>
    <xf numFmtId="3" fontId="0" fillId="25" borderId="9" applyAlignment="1" pivotButton="0" quotePrefix="0" xfId="0">
      <alignment horizontal="right" vertical="center" wrapText="1" indent="1"/>
    </xf>
    <xf numFmtId="0" fontId="4" fillId="15" borderId="10" applyAlignment="1" pivotButton="0" quotePrefix="1" xfId="0">
      <alignment horizontal="center" vertical="center"/>
    </xf>
    <xf numFmtId="0" fontId="0" fillId="0" borderId="10" applyAlignment="1" pivotButton="0" quotePrefix="0" xfId="0">
      <alignment horizontal="center" vertical="center"/>
    </xf>
    <xf numFmtId="0" fontId="116" fillId="15" borderId="0" applyAlignment="1" pivotButton="0" quotePrefix="0" xfId="0">
      <alignment horizontal="center"/>
    </xf>
    <xf numFmtId="37" fontId="9" fillId="27" borderId="1" applyAlignment="1" pivotButton="0" quotePrefix="0" xfId="0">
      <alignment horizontal="right" vertical="center" wrapText="1"/>
    </xf>
    <xf numFmtId="0" fontId="265" fillId="15" borderId="0" applyAlignment="1" pivotButton="0" quotePrefix="0" xfId="0">
      <alignment horizontal="center" vertical="center"/>
    </xf>
    <xf numFmtId="37" fontId="9" fillId="27" borderId="8" applyAlignment="1" pivotButton="0" quotePrefix="0" xfId="0">
      <alignment horizontal="right"/>
    </xf>
    <xf numFmtId="37" fontId="9" fillId="27" borderId="14" applyAlignment="1" pivotButton="0" quotePrefix="0" xfId="0">
      <alignment horizontal="right"/>
    </xf>
    <xf numFmtId="37" fontId="9" fillId="27" borderId="11" applyAlignment="1" pivotButton="0" quotePrefix="0" xfId="0">
      <alignment horizontal="right"/>
    </xf>
    <xf numFmtId="0" fontId="4" fillId="15" borderId="0" applyAlignment="1" pivotButton="0" quotePrefix="1" xfId="0">
      <alignment horizontal="center" vertical="center"/>
    </xf>
    <xf numFmtId="37" fontId="9" fillId="27" borderId="3" applyAlignment="1" pivotButton="0" quotePrefix="0" xfId="0">
      <alignment horizontal="right"/>
    </xf>
    <xf numFmtId="37" fontId="9" fillId="27" borderId="0" applyAlignment="1" pivotButton="0" quotePrefix="0" xfId="0">
      <alignment horizontal="right"/>
    </xf>
    <xf numFmtId="37" fontId="4" fillId="27" borderId="3" applyAlignment="1" pivotButton="0" quotePrefix="0" xfId="0">
      <alignment horizontal="right"/>
    </xf>
    <xf numFmtId="37" fontId="4" fillId="27" borderId="0" applyAlignment="1" pivotButton="0" quotePrefix="0" xfId="0">
      <alignment horizontal="right"/>
    </xf>
    <xf numFmtId="0" fontId="9" fillId="15" borderId="204" applyAlignment="1" pivotButton="0" quotePrefix="1" xfId="0">
      <alignment horizontal="center" vertical="center"/>
    </xf>
    <xf numFmtId="0" fontId="9" fillId="15" borderId="205" applyAlignment="1" pivotButton="0" quotePrefix="1" xfId="0">
      <alignment horizontal="center" vertical="center"/>
    </xf>
    <xf numFmtId="37" fontId="4" fillId="27" borderId="204" applyAlignment="1" pivotButton="0" quotePrefix="0" xfId="0">
      <alignment horizontal="right"/>
    </xf>
    <xf numFmtId="37" fontId="4" fillId="27" borderId="205" applyAlignment="1" pivotButton="0" quotePrefix="0" xfId="0">
      <alignment horizontal="right"/>
    </xf>
    <xf numFmtId="37" fontId="9" fillId="27" borderId="1" applyAlignment="1" pivotButton="0" quotePrefix="0" xfId="0">
      <alignment horizontal="right" vertical="top"/>
    </xf>
    <xf numFmtId="37" fontId="4" fillId="25" borderId="69" applyAlignment="1" pivotButton="0" quotePrefix="0" xfId="0">
      <alignment horizontal="right" vertical="center" wrapText="1" indent="1"/>
    </xf>
    <xf numFmtId="37" fontId="0" fillId="25" borderId="4" applyAlignment="1" pivotButton="0" quotePrefix="0" xfId="0">
      <alignment horizontal="right" vertical="center" wrapText="1" indent="1"/>
    </xf>
    <xf numFmtId="0" fontId="4" fillId="15" borderId="9" applyAlignment="1" pivotButton="0" quotePrefix="1" xfId="0">
      <alignment horizontal="center" vertical="center"/>
    </xf>
    <xf numFmtId="0" fontId="4" fillId="15" borderId="9" applyAlignment="1" pivotButton="0" quotePrefix="0" xfId="0">
      <alignment horizontal="center" vertical="center"/>
    </xf>
    <xf numFmtId="0" fontId="4" fillId="15" borderId="11" applyAlignment="1" pivotButton="0" quotePrefix="0" xfId="0">
      <alignment horizontal="center" vertical="center"/>
    </xf>
    <xf numFmtId="3" fontId="4" fillId="25" borderId="9" applyAlignment="1" pivotButton="0" quotePrefix="0" xfId="0">
      <alignment horizontal="right" vertical="center" wrapText="1" indent="1"/>
    </xf>
    <xf numFmtId="3" fontId="0" fillId="25" borderId="1" applyAlignment="1" pivotButton="0" quotePrefix="0" xfId="0">
      <alignment horizontal="right" vertical="center" wrapText="1" indent="1"/>
    </xf>
    <xf numFmtId="3" fontId="15" fillId="27" borderId="9" applyAlignment="1" pivotButton="0" quotePrefix="0" xfId="0">
      <alignment horizontal="center" vertical="center" wrapText="1"/>
    </xf>
    <xf numFmtId="3" fontId="15" fillId="27" borderId="1" applyAlignment="1" pivotButton="0" quotePrefix="0" xfId="0">
      <alignment horizontal="center" vertical="center" wrapText="1"/>
    </xf>
    <xf numFmtId="3" fontId="15" fillId="27" borderId="11" applyAlignment="1" pivotButton="0" quotePrefix="0" xfId="0">
      <alignment horizontal="center" vertical="center" wrapText="1"/>
    </xf>
    <xf numFmtId="3" fontId="110" fillId="15" borderId="3" applyAlignment="1" pivotButton="0" quotePrefix="0" xfId="0">
      <alignment horizontal="center" vertical="center" wrapText="1"/>
    </xf>
    <xf numFmtId="3" fontId="110" fillId="15" borderId="0" applyAlignment="1" pivotButton="0" quotePrefix="0" xfId="0">
      <alignment horizontal="center" vertical="center" wrapText="1"/>
    </xf>
    <xf numFmtId="174" fontId="263" fillId="15" borderId="0" applyAlignment="1" pivotButton="0" quotePrefix="0" xfId="0">
      <alignment horizontal="left"/>
    </xf>
    <xf numFmtId="174" fontId="263" fillId="15" borderId="0" applyAlignment="1" pivotButton="0" quotePrefix="0" xfId="0">
      <alignment horizontal="right"/>
    </xf>
    <xf numFmtId="0" fontId="4" fillId="15" borderId="9" applyAlignment="1" pivotButton="0" quotePrefix="1" xfId="0">
      <alignment horizontal="center"/>
    </xf>
    <xf numFmtId="37" fontId="4" fillId="25" borderId="9" applyAlignment="1" pivotButton="0" quotePrefix="0" xfId="0">
      <alignment horizontal="right" wrapText="1" indent="1"/>
    </xf>
    <xf numFmtId="37" fontId="0" fillId="25" borderId="1" applyAlignment="1" pivotButton="0" quotePrefix="0" xfId="0">
      <alignment horizontal="right" wrapText="1" indent="1"/>
    </xf>
    <xf numFmtId="0" fontId="4" fillId="15" borderId="39" applyAlignment="1" pivotButton="0" quotePrefix="1" xfId="0">
      <alignment horizontal="center" vertical="center"/>
    </xf>
    <xf numFmtId="0" fontId="110" fillId="15" borderId="0" applyAlignment="1" pivotButton="0" quotePrefix="0" xfId="0">
      <alignment horizontal="center" vertical="center"/>
    </xf>
    <xf numFmtId="0" fontId="110" fillId="15" borderId="24" applyAlignment="1" pivotButton="0" quotePrefix="0" xfId="0">
      <alignment horizontal="center" vertical="center"/>
    </xf>
    <xf numFmtId="0" fontId="4" fillId="19" borderId="30" applyAlignment="1" pivotButton="0" quotePrefix="0" xfId="0">
      <alignment horizontal="center" vertical="center"/>
    </xf>
    <xf numFmtId="0" fontId="4" fillId="19" borderId="14" applyAlignment="1" pivotButton="0" quotePrefix="0" xfId="0">
      <alignment horizontal="center" vertical="center"/>
    </xf>
    <xf numFmtId="0" fontId="8" fillId="15" borderId="0" applyAlignment="1" pivotButton="0" quotePrefix="0" xfId="0">
      <alignment horizontal="center"/>
    </xf>
    <xf numFmtId="37" fontId="4" fillId="16" borderId="9" applyAlignment="1" applyProtection="1" pivotButton="0" quotePrefix="0" xfId="0">
      <alignment horizontal="right" vertical="center" wrapText="1" indent="1"/>
      <protection locked="0" hidden="0"/>
    </xf>
    <xf numFmtId="37" fontId="4" fillId="16" borderId="1" applyAlignment="1" applyProtection="1" pivotButton="0" quotePrefix="0" xfId="0">
      <alignment horizontal="right" vertical="center" wrapText="1" indent="1"/>
      <protection locked="0" hidden="0"/>
    </xf>
    <xf numFmtId="37" fontId="4" fillId="16" borderId="11" applyAlignment="1" applyProtection="1" pivotButton="0" quotePrefix="0" xfId="0">
      <alignment horizontal="right" vertical="center" wrapText="1" indent="1"/>
      <protection locked="0" hidden="0"/>
    </xf>
    <xf numFmtId="3" fontId="4" fillId="16" borderId="9" applyAlignment="1" applyProtection="1" pivotButton="0" quotePrefix="0" xfId="0">
      <alignment horizontal="right" vertical="center" wrapText="1" indent="1"/>
      <protection locked="0" hidden="0"/>
    </xf>
    <xf numFmtId="3" fontId="0" fillId="16" borderId="1" applyAlignment="1" applyProtection="1" pivotButton="0" quotePrefix="0" xfId="0">
      <alignment horizontal="right" vertical="center" wrapText="1" indent="1"/>
      <protection locked="0" hidden="0"/>
    </xf>
    <xf numFmtId="0" fontId="4" fillId="15" borderId="69" applyAlignment="1" pivotButton="0" quotePrefix="0" xfId="0">
      <alignment horizontal="center" vertical="center"/>
    </xf>
    <xf numFmtId="0" fontId="0" fillId="0" borderId="70" applyAlignment="1" pivotButton="0" quotePrefix="0" xfId="0">
      <alignment horizontal="center" vertical="center"/>
    </xf>
    <xf numFmtId="0" fontId="4" fillId="15" borderId="10" applyAlignment="1" pivotButton="0" quotePrefix="0" xfId="0">
      <alignment horizontal="center" vertical="center"/>
    </xf>
    <xf numFmtId="37" fontId="4" fillId="25" borderId="10" applyAlignment="1" pivotButton="0" quotePrefix="0" xfId="0">
      <alignment horizontal="right" vertical="center" wrapText="1" indent="1"/>
    </xf>
    <xf numFmtId="37" fontId="0" fillId="25" borderId="10" applyAlignment="1" pivotButton="0" quotePrefix="0" xfId="0">
      <alignment horizontal="right" vertical="center" wrapText="1" indent="1"/>
    </xf>
    <xf numFmtId="37" fontId="0" fillId="25" borderId="9" applyAlignment="1" pivotButton="0" quotePrefix="0" xfId="0">
      <alignment horizontal="right" vertical="center" wrapText="1" indent="1"/>
    </xf>
    <xf numFmtId="0" fontId="116" fillId="15" borderId="0" applyAlignment="1" pivotButton="0" quotePrefix="1" xfId="0">
      <alignment horizontal="center"/>
    </xf>
    <xf numFmtId="0" fontId="8" fillId="15" borderId="26" applyAlignment="1" pivotButton="0" quotePrefix="0" xfId="0">
      <alignment horizontal="center" wrapText="1"/>
    </xf>
    <xf numFmtId="0" fontId="8" fillId="0" borderId="1" applyAlignment="1" pivotButton="0" quotePrefix="0" xfId="0">
      <alignment horizontal="center" wrapText="1"/>
    </xf>
    <xf numFmtId="0" fontId="0" fillId="0" borderId="13" applyAlignment="1" pivotButton="0" quotePrefix="0" xfId="0">
      <alignment horizontal="left" vertical="center" wrapText="1"/>
    </xf>
    <xf numFmtId="0" fontId="0" fillId="0" borderId="158" applyAlignment="1" pivotButton="0" quotePrefix="0" xfId="0">
      <alignment horizontal="left" vertical="center" wrapText="1"/>
    </xf>
    <xf numFmtId="176" fontId="20" fillId="27" borderId="5" applyAlignment="1" pivotButton="0" quotePrefix="0" xfId="0">
      <alignment horizontal="center" vertical="center"/>
    </xf>
    <xf numFmtId="176" fontId="20" fillId="27" borderId="0" applyAlignment="1" pivotButton="0" quotePrefix="0" xfId="0">
      <alignment horizontal="center" vertical="center"/>
    </xf>
    <xf numFmtId="176" fontId="20" fillId="27" borderId="26" applyAlignment="1" pivotButton="0" quotePrefix="0" xfId="0">
      <alignment horizontal="center" vertical="center"/>
    </xf>
    <xf numFmtId="0" fontId="11" fillId="15" borderId="0" applyAlignment="1" pivotButton="0" quotePrefix="0" xfId="0">
      <alignment wrapText="1"/>
    </xf>
    <xf numFmtId="0" fontId="11" fillId="0" borderId="0" applyAlignment="1" pivotButton="0" quotePrefix="0" xfId="0">
      <alignment wrapText="1"/>
    </xf>
    <xf numFmtId="0" fontId="11" fillId="0" borderId="20" applyAlignment="1" pivotButton="0" quotePrefix="0" xfId="0">
      <alignment wrapText="1"/>
    </xf>
    <xf numFmtId="0" fontId="15" fillId="15" borderId="0" applyAlignment="1" pivotButton="0" quotePrefix="0" xfId="0">
      <alignment wrapText="1"/>
    </xf>
    <xf numFmtId="0" fontId="15" fillId="0" borderId="0" applyAlignment="1" pivotButton="0" quotePrefix="0" xfId="0">
      <alignment wrapText="1"/>
    </xf>
    <xf numFmtId="0" fontId="15" fillId="0" borderId="20" applyAlignment="1" pivotButton="0" quotePrefix="0" xfId="0">
      <alignment wrapText="1"/>
    </xf>
    <xf numFmtId="0" fontId="15" fillId="15" borderId="0" applyAlignment="1" pivotButton="0" quotePrefix="0" xfId="0">
      <alignment horizontal="left" wrapText="1"/>
    </xf>
    <xf numFmtId="0" fontId="0" fillId="0" borderId="13" applyAlignment="1" pivotButton="0" quotePrefix="0" xfId="0">
      <alignment horizontal="left" wrapText="1"/>
    </xf>
    <xf numFmtId="0" fontId="20" fillId="15" borderId="0" applyAlignment="1" pivotButton="0" quotePrefix="0" xfId="0">
      <alignment horizontal="center" wrapText="1"/>
    </xf>
    <xf numFmtId="0" fontId="74" fillId="0" borderId="13" applyAlignment="1" pivotButton="0" quotePrefix="0" xfId="0">
      <alignment horizontal="center" wrapText="1"/>
    </xf>
    <xf numFmtId="0" fontId="119" fillId="15" borderId="0" applyAlignment="1" applyProtection="1" pivotButton="0" quotePrefix="0" xfId="0">
      <alignment horizontal="center" wrapText="1"/>
      <protection locked="0" hidden="0"/>
    </xf>
    <xf numFmtId="0" fontId="119" fillId="15" borderId="0" applyAlignment="1" applyProtection="1" pivotButton="0" quotePrefix="0" xfId="0">
      <alignment horizontal="center"/>
      <protection locked="0" hidden="0"/>
    </xf>
    <xf numFmtId="0" fontId="119" fillId="15" borderId="20" applyAlignment="1" applyProtection="1" pivotButton="0" quotePrefix="0" xfId="0">
      <alignment horizontal="center"/>
      <protection locked="0" hidden="0"/>
    </xf>
    <xf numFmtId="0" fontId="121" fillId="15" borderId="16" applyAlignment="1" pivotButton="0" quotePrefix="0" xfId="0">
      <alignment horizontal="center"/>
    </xf>
    <xf numFmtId="0" fontId="72" fillId="15" borderId="8" applyAlignment="1" pivotButton="0" quotePrefix="0" xfId="0">
      <alignment horizontal="center" vertical="center" wrapText="1"/>
    </xf>
    <xf numFmtId="0" fontId="72" fillId="15" borderId="5" applyAlignment="1" pivotButton="0" quotePrefix="0" xfId="0">
      <alignment horizontal="center" vertical="center" wrapText="1"/>
    </xf>
    <xf numFmtId="0" fontId="72" fillId="15" borderId="0" applyAlignment="1" pivotButton="0" quotePrefix="0" xfId="0">
      <alignment horizontal="center" vertical="center" wrapText="1"/>
    </xf>
    <xf numFmtId="0" fontId="44" fillId="15" borderId="0" applyAlignment="1" pivotButton="0" quotePrefix="0" xfId="0">
      <alignment horizontal="center" wrapText="1"/>
    </xf>
    <xf numFmtId="0" fontId="44" fillId="15" borderId="20" applyAlignment="1" pivotButton="0" quotePrefix="0" xfId="0">
      <alignment horizontal="center" wrapText="1"/>
    </xf>
    <xf numFmtId="0" fontId="9" fillId="15" borderId="5" applyAlignment="1" pivotButton="0" quotePrefix="0" xfId="0">
      <alignment horizontal="center" vertical="center"/>
    </xf>
    <xf numFmtId="0" fontId="9" fillId="15" borderId="0" applyAlignment="1" pivotButton="0" quotePrefix="0" xfId="0">
      <alignment horizontal="center" vertical="center"/>
    </xf>
    <xf numFmtId="0" fontId="9" fillId="15" borderId="20" applyAlignment="1" pivotButton="0" quotePrefix="0" xfId="0">
      <alignment horizontal="center" vertical="center"/>
    </xf>
    <xf numFmtId="0" fontId="9" fillId="15" borderId="197" applyAlignment="1" pivotButton="0" quotePrefix="0" xfId="0">
      <alignment horizontal="center" vertical="center"/>
    </xf>
    <xf numFmtId="0" fontId="9" fillId="15" borderId="13" applyAlignment="1" pivotButton="0" quotePrefix="0" xfId="0">
      <alignment horizontal="center" vertical="center"/>
    </xf>
    <xf numFmtId="0" fontId="9" fillId="15" borderId="158" applyAlignment="1" pivotButton="0" quotePrefix="0" xfId="0">
      <alignment horizontal="center" vertical="center"/>
    </xf>
    <xf numFmtId="0" fontId="233" fillId="23" borderId="0" applyAlignment="1" pivotButton="0" quotePrefix="0" xfId="0">
      <alignment horizontal="left" vertical="top" wrapText="1"/>
    </xf>
    <xf numFmtId="37" fontId="4" fillId="27" borderId="9" applyAlignment="1" pivotButton="0" quotePrefix="0" xfId="0">
      <alignment horizontal="right" vertical="center" wrapText="1" indent="1"/>
    </xf>
    <xf numFmtId="37" fontId="4" fillId="27" borderId="1" applyAlignment="1" pivotButton="0" quotePrefix="0" xfId="0">
      <alignment horizontal="right" vertical="center" wrapText="1" indent="1"/>
    </xf>
    <xf numFmtId="37" fontId="4" fillId="27" borderId="11" applyAlignment="1" pivotButton="0" quotePrefix="0" xfId="0">
      <alignment horizontal="right" vertical="center" wrapText="1" indent="1"/>
    </xf>
    <xf numFmtId="0" fontId="110" fillId="15" borderId="30" applyAlignment="1" pivotButton="0" quotePrefix="0" xfId="0">
      <alignment horizontal="center" vertical="center"/>
    </xf>
    <xf numFmtId="0" fontId="110" fillId="15" borderId="8" applyAlignment="1" pivotButton="0" quotePrefix="0" xfId="0">
      <alignment horizontal="center" vertical="center"/>
    </xf>
    <xf numFmtId="3" fontId="9" fillId="25" borderId="9" applyAlignment="1" pivotButton="0" quotePrefix="0" xfId="0">
      <alignment horizontal="right" vertical="center" wrapText="1" indent="1"/>
    </xf>
    <xf numFmtId="3" fontId="8" fillId="25" borderId="1" applyAlignment="1" pivotButton="0" quotePrefix="0" xfId="0">
      <alignment horizontal="right" vertical="center" wrapText="1" indent="1"/>
    </xf>
    <xf numFmtId="37" fontId="4" fillId="25" borderId="9" applyAlignment="1" pivotButton="0" quotePrefix="0" xfId="0">
      <alignment horizontal="right" vertical="center" wrapText="1" indent="1"/>
    </xf>
    <xf numFmtId="37" fontId="0" fillId="25" borderId="1" applyAlignment="1" pivotButton="0" quotePrefix="0" xfId="0">
      <alignment horizontal="right" vertical="center" wrapText="1" indent="1"/>
    </xf>
    <xf numFmtId="0" fontId="110" fillId="15" borderId="3" applyAlignment="1" pivotButton="0" quotePrefix="0" xfId="0">
      <alignment horizontal="center" vertical="center"/>
    </xf>
    <xf numFmtId="0" fontId="110" fillId="15" borderId="3" applyAlignment="1" pivotButton="0" quotePrefix="0" xfId="0">
      <alignment horizontal="center" vertical="center" wrapText="1"/>
    </xf>
    <xf numFmtId="0" fontId="110" fillId="15" borderId="0" applyAlignment="1" pivotButton="0" quotePrefix="0" xfId="0">
      <alignment horizontal="center" vertical="center" wrapText="1"/>
    </xf>
    <xf numFmtId="37" fontId="110" fillId="15" borderId="3" applyAlignment="1" pivotButton="0" quotePrefix="0" xfId="0">
      <alignment horizontal="right" vertical="center" wrapText="1"/>
    </xf>
    <xf numFmtId="37" fontId="110" fillId="15" borderId="0" applyAlignment="1" pivotButton="0" quotePrefix="0" xfId="0">
      <alignment horizontal="right" vertical="center" wrapText="1"/>
    </xf>
    <xf numFmtId="0" fontId="4" fillId="19" borderId="3" applyAlignment="1" pivotButton="0" quotePrefix="0" xfId="0">
      <alignment horizontal="center" vertical="center"/>
    </xf>
    <xf numFmtId="0" fontId="4" fillId="19" borderId="24" applyAlignment="1" pivotButton="0" quotePrefix="0" xfId="0">
      <alignment horizontal="center" vertical="center"/>
    </xf>
    <xf numFmtId="3" fontId="4" fillId="25" borderId="39" applyAlignment="1" pivotButton="0" quotePrefix="0" xfId="0">
      <alignment horizontal="right" vertical="center" wrapText="1" indent="1"/>
    </xf>
    <xf numFmtId="3" fontId="0" fillId="25" borderId="25" applyAlignment="1" pivotButton="0" quotePrefix="0" xfId="0">
      <alignment horizontal="right" vertical="center" wrapText="1" indent="1"/>
    </xf>
    <xf numFmtId="3" fontId="0" fillId="15" borderId="0" applyAlignment="1" applyProtection="1" pivotButton="0" quotePrefix="0" xfId="0">
      <alignment horizontal="center"/>
      <protection locked="0" hidden="0"/>
    </xf>
    <xf numFmtId="3" fontId="0" fillId="15" borderId="1" applyAlignment="1" applyProtection="1" pivotButton="0" quotePrefix="0" xfId="0">
      <alignment horizontal="center"/>
      <protection locked="0" hidden="0"/>
    </xf>
    <xf numFmtId="0" fontId="9" fillId="15" borderId="15" applyAlignment="1" pivotButton="0" quotePrefix="1" xfId="0">
      <alignment horizontal="center" vertical="center"/>
    </xf>
    <xf numFmtId="0" fontId="9" fillId="15" borderId="10" applyAlignment="1" pivotButton="0" quotePrefix="1" xfId="0">
      <alignment horizontal="center" vertical="center"/>
    </xf>
    <xf numFmtId="0" fontId="4" fillId="23" borderId="0" applyAlignment="1" pivotButton="0" quotePrefix="0" xfId="0">
      <alignment horizontal="center" wrapText="1"/>
    </xf>
    <xf numFmtId="37" fontId="9" fillId="27" borderId="25" pivotButton="0" quotePrefix="0" xfId="0"/>
    <xf numFmtId="37" fontId="9" fillId="27" borderId="54" pivotButton="0" quotePrefix="0" xfId="0"/>
    <xf numFmtId="37" fontId="9" fillId="27" borderId="54" applyAlignment="1" pivotButton="0" quotePrefix="0" xfId="0">
      <alignment horizontal="right" vertical="center" wrapText="1"/>
    </xf>
    <xf numFmtId="37" fontId="9" fillId="27" borderId="12" applyAlignment="1" pivotButton="0" quotePrefix="0" xfId="0">
      <alignment horizontal="right" vertical="center" wrapText="1"/>
    </xf>
    <xf numFmtId="0" fontId="9" fillId="15" borderId="16" applyAlignment="1" pivotButton="0" quotePrefix="0" xfId="0">
      <alignment horizontal="center" vertical="center"/>
    </xf>
    <xf numFmtId="0" fontId="122" fillId="15" borderId="0" applyAlignment="1" pivotButton="0" quotePrefix="1" xfId="0">
      <alignment horizontal="center"/>
    </xf>
    <xf numFmtId="172" fontId="4" fillId="27" borderId="1" applyAlignment="1" pivotButton="0" quotePrefix="0" xfId="0">
      <alignment horizontal="center" vertical="center"/>
    </xf>
    <xf numFmtId="0" fontId="110" fillId="15" borderId="4" applyAlignment="1" pivotButton="0" quotePrefix="0" xfId="0">
      <alignment horizontal="center" vertical="center"/>
    </xf>
    <xf numFmtId="0" fontId="110" fillId="15" borderId="70" applyAlignment="1" pivotButton="0" quotePrefix="0" xfId="0">
      <alignment horizontal="center" vertical="center"/>
    </xf>
    <xf numFmtId="0" fontId="110" fillId="15" borderId="27" applyAlignment="1" pivotButton="0" quotePrefix="0" xfId="0">
      <alignment horizontal="center"/>
    </xf>
    <xf numFmtId="0" fontId="123" fillId="31" borderId="1" applyAlignment="1" pivotButton="0" quotePrefix="0" xfId="0">
      <alignment horizontal="right"/>
    </xf>
    <xf numFmtId="0" fontId="110" fillId="31" borderId="1" applyAlignment="1" pivotButton="0" quotePrefix="0" xfId="0">
      <alignment horizontal="right"/>
    </xf>
    <xf numFmtId="174" fontId="263" fillId="15" borderId="0" applyAlignment="1" pivotButton="0" quotePrefix="0" xfId="0">
      <alignment horizontal="center" vertical="center"/>
    </xf>
    <xf numFmtId="0" fontId="263" fillId="15" borderId="0" applyAlignment="1" pivotButton="0" quotePrefix="0" xfId="0">
      <alignment horizontal="center" vertical="center"/>
    </xf>
    <xf numFmtId="0" fontId="146" fillId="15" borderId="27" applyAlignment="1" pivotButton="0" quotePrefix="0" xfId="0">
      <alignment horizontal="center"/>
    </xf>
    <xf numFmtId="37" fontId="110" fillId="15" borderId="3" applyAlignment="1" pivotButton="0" quotePrefix="0" xfId="0">
      <alignment horizontal="center" vertical="center"/>
    </xf>
    <xf numFmtId="37" fontId="110" fillId="15" borderId="0" applyAlignment="1" pivotButton="0" quotePrefix="0" xfId="0">
      <alignment horizontal="center" vertical="center"/>
    </xf>
    <xf numFmtId="37" fontId="110" fillId="15" borderId="24" applyAlignment="1" pivotButton="0" quotePrefix="0" xfId="0">
      <alignment horizontal="center" vertical="center"/>
    </xf>
    <xf numFmtId="0" fontId="110" fillId="15" borderId="25" applyAlignment="1" pivotButton="0" quotePrefix="0" xfId="0">
      <alignment horizontal="center" vertical="center"/>
    </xf>
    <xf numFmtId="0" fontId="4" fillId="15" borderId="30" applyAlignment="1" pivotButton="0" quotePrefix="1" xfId="0">
      <alignment horizontal="center" vertical="center"/>
    </xf>
    <xf numFmtId="0" fontId="4" fillId="15" borderId="14" applyAlignment="1" pivotButton="0" quotePrefix="1" xfId="0">
      <alignment horizontal="center" vertical="center"/>
    </xf>
    <xf numFmtId="0" fontId="4" fillId="15" borderId="11" applyAlignment="1" pivotButton="0" quotePrefix="1" xfId="0">
      <alignment horizontal="center" vertical="center"/>
    </xf>
    <xf numFmtId="0" fontId="110" fillId="23" borderId="30" applyAlignment="1" pivotButton="0" quotePrefix="0" xfId="0">
      <alignment horizontal="center" vertical="center"/>
    </xf>
    <xf numFmtId="0" fontId="110" fillId="23" borderId="8" applyAlignment="1" pivotButton="0" quotePrefix="0" xfId="0">
      <alignment horizontal="center" vertical="center"/>
    </xf>
    <xf numFmtId="0" fontId="110" fillId="23" borderId="9" applyAlignment="1" pivotButton="0" quotePrefix="0" xfId="0">
      <alignment horizontal="center" vertical="center"/>
    </xf>
    <xf numFmtId="0" fontId="110" fillId="23" borderId="1" applyAlignment="1" pivotButton="0" quotePrefix="0" xfId="0">
      <alignment horizontal="center" vertical="center"/>
    </xf>
    <xf numFmtId="0" fontId="283" fillId="23" borderId="0" applyAlignment="1" pivotButton="0" quotePrefix="0" xfId="0">
      <alignment horizontal="center"/>
    </xf>
    <xf numFmtId="0" fontId="228" fillId="23" borderId="0" applyAlignment="1" pivotButton="0" quotePrefix="0" xfId="0">
      <alignment horizontal="center"/>
    </xf>
    <xf numFmtId="37" fontId="9" fillId="27" borderId="9" pivotButton="0" quotePrefix="0" xfId="0"/>
    <xf numFmtId="37" fontId="9" fillId="27" borderId="1" pivotButton="0" quotePrefix="0" xfId="0"/>
    <xf numFmtId="0" fontId="9" fillId="15" borderId="30" applyAlignment="1" pivotButton="0" quotePrefix="1" xfId="0">
      <alignment horizontal="center" vertical="center"/>
    </xf>
    <xf numFmtId="0" fontId="9" fillId="15" borderId="9" applyAlignment="1" pivotButton="0" quotePrefix="1" xfId="0">
      <alignment horizontal="center" vertical="center"/>
    </xf>
    <xf numFmtId="180" fontId="8" fillId="15" borderId="0" applyAlignment="1" pivotButton="0" quotePrefix="0" xfId="0">
      <alignment horizontal="center"/>
    </xf>
    <xf numFmtId="37" fontId="47" fillId="27" borderId="1" applyAlignment="1" pivotButton="0" quotePrefix="0" xfId="0">
      <alignment horizontal="center"/>
    </xf>
    <xf numFmtId="0" fontId="6" fillId="15" borderId="5" applyAlignment="1" pivotButton="0" quotePrefix="0" xfId="0">
      <alignment horizontal="center"/>
    </xf>
    <xf numFmtId="37" fontId="15" fillId="20" borderId="69" applyAlignment="1" applyProtection="1" pivotButton="0" quotePrefix="0" xfId="0">
      <alignment horizontal="right"/>
      <protection locked="0" hidden="0"/>
    </xf>
    <xf numFmtId="37" fontId="15" fillId="20" borderId="4" applyAlignment="1" applyProtection="1" pivotButton="0" quotePrefix="0" xfId="0">
      <alignment horizontal="right"/>
      <protection locked="0" hidden="0"/>
    </xf>
    <xf numFmtId="0" fontId="6" fillId="15" borderId="5" applyAlignment="1" pivotButton="0" quotePrefix="0" xfId="0">
      <alignment horizontal="center" vertical="top"/>
    </xf>
    <xf numFmtId="0" fontId="0" fillId="0" borderId="0" applyAlignment="1" pivotButton="0" quotePrefix="0" xfId="0">
      <alignment horizontal="center" vertical="top"/>
    </xf>
    <xf numFmtId="0" fontId="0" fillId="0" borderId="20" applyAlignment="1" pivotButton="0" quotePrefix="0" xfId="0">
      <alignment horizontal="center" vertical="top"/>
    </xf>
    <xf numFmtId="178" fontId="15" fillId="20" borderId="39" applyAlignment="1" applyProtection="1" pivotButton="0" quotePrefix="0" xfId="0">
      <alignment horizontal="right"/>
      <protection locked="0" hidden="0"/>
    </xf>
    <xf numFmtId="178" fontId="15" fillId="20" borderId="25" applyAlignment="1" applyProtection="1" pivotButton="0" quotePrefix="0" xfId="0">
      <alignment horizontal="right"/>
      <protection locked="0" hidden="0"/>
    </xf>
    <xf numFmtId="0" fontId="0" fillId="15" borderId="26" applyAlignment="1" pivotButton="0" quotePrefix="0" xfId="0">
      <alignment horizontal="center"/>
    </xf>
    <xf numFmtId="37" fontId="15" fillId="26" borderId="12" applyAlignment="1" pivotButton="0" quotePrefix="0" xfId="0">
      <alignment horizontal="right"/>
    </xf>
    <xf numFmtId="37" fontId="15" fillId="27" borderId="12" applyAlignment="1" pivotButton="0" quotePrefix="0" xfId="0">
      <alignment horizontal="right"/>
    </xf>
    <xf numFmtId="37" fontId="15" fillId="20" borderId="12" applyAlignment="1" applyProtection="1" pivotButton="0" quotePrefix="0" xfId="0">
      <alignment horizontal="right"/>
      <protection locked="0" hidden="0"/>
    </xf>
    <xf numFmtId="37" fontId="15" fillId="16" borderId="12" applyAlignment="1" applyProtection="1" pivotButton="0" quotePrefix="0" xfId="0">
      <alignment horizontal="right"/>
      <protection locked="0" hidden="0"/>
    </xf>
    <xf numFmtId="0" fontId="15" fillId="0" borderId="1" applyAlignment="1" pivotButton="0" quotePrefix="0" xfId="0">
      <alignment horizontal="right"/>
    </xf>
    <xf numFmtId="178" fontId="15" fillId="28" borderId="69" applyAlignment="1" pivotButton="0" quotePrefix="0" xfId="0">
      <alignment horizontal="right"/>
    </xf>
    <xf numFmtId="178" fontId="15" fillId="28" borderId="4" applyAlignment="1" pivotButton="0" quotePrefix="0" xfId="0">
      <alignment horizontal="right"/>
    </xf>
    <xf numFmtId="0" fontId="6" fillId="15" borderId="21" applyAlignment="1" pivotButton="0" quotePrefix="0" xfId="0">
      <alignment horizontal="center"/>
    </xf>
    <xf numFmtId="0" fontId="6" fillId="0" borderId="4" applyAlignment="1" pivotButton="0" quotePrefix="0" xfId="0">
      <alignment horizontal="center"/>
    </xf>
    <xf numFmtId="0" fontId="6" fillId="0" borderId="22" applyAlignment="1" pivotButton="0" quotePrefix="0" xfId="0">
      <alignment horizontal="center"/>
    </xf>
    <xf numFmtId="0" fontId="20" fillId="28" borderId="0" applyAlignment="1" applyProtection="1" pivotButton="0" quotePrefix="1" xfId="0">
      <alignment vertical="center"/>
      <protection locked="0" hidden="0"/>
    </xf>
    <xf numFmtId="0" fontId="74" fillId="25" borderId="0" applyAlignment="1" applyProtection="1" pivotButton="0" quotePrefix="0" xfId="0">
      <alignment vertical="center"/>
      <protection locked="0" hidden="0"/>
    </xf>
    <xf numFmtId="0" fontId="74" fillId="0" borderId="0" applyAlignment="1" applyProtection="1" pivotButton="0" quotePrefix="0" xfId="0">
      <alignment vertical="center"/>
      <protection locked="0" hidden="0"/>
    </xf>
    <xf numFmtId="0" fontId="74" fillId="0" borderId="24" applyAlignment="1" applyProtection="1" pivotButton="0" quotePrefix="0" xfId="0">
      <alignment vertical="center"/>
      <protection locked="0" hidden="0"/>
    </xf>
    <xf numFmtId="0" fontId="74" fillId="0" borderId="1" applyAlignment="1" applyProtection="1" pivotButton="0" quotePrefix="0" xfId="0">
      <alignment vertical="center"/>
      <protection locked="0" hidden="0"/>
    </xf>
    <xf numFmtId="0" fontId="74" fillId="0" borderId="11" applyAlignment="1" applyProtection="1" pivotButton="0" quotePrefix="0" xfId="0">
      <alignment vertical="center"/>
      <protection locked="0" hidden="0"/>
    </xf>
    <xf numFmtId="176" fontId="11" fillId="28" borderId="3" applyAlignment="1" applyProtection="1" pivotButton="0" quotePrefix="1" xfId="0">
      <alignment horizontal="center" vertical="center"/>
      <protection locked="0" hidden="0"/>
    </xf>
    <xf numFmtId="0" fontId="0" fillId="0" borderId="0" applyAlignment="1" applyProtection="1" pivotButton="0" quotePrefix="0" xfId="0">
      <alignment horizontal="center" vertical="center"/>
      <protection locked="0" hidden="0"/>
    </xf>
    <xf numFmtId="0" fontId="0" fillId="0" borderId="9" applyAlignment="1" applyProtection="1" pivotButton="0" quotePrefix="0" xfId="0">
      <alignment horizontal="center" vertical="center"/>
      <protection locked="0" hidden="0"/>
    </xf>
    <xf numFmtId="0" fontId="0" fillId="0" borderId="1" applyAlignment="1" applyProtection="1" pivotButton="0" quotePrefix="0" xfId="0">
      <alignment horizontal="center" vertical="center"/>
      <protection locked="0" hidden="0"/>
    </xf>
    <xf numFmtId="0" fontId="15" fillId="16" borderId="1" applyAlignment="1" applyProtection="1" pivotButton="0" quotePrefix="0" xfId="0">
      <alignment horizontal="right"/>
      <protection locked="0" hidden="0"/>
    </xf>
    <xf numFmtId="37" fontId="9" fillId="14" borderId="39" applyAlignment="1" pivotButton="0" quotePrefix="0" xfId="0">
      <alignment horizontal="center"/>
    </xf>
    <xf numFmtId="37" fontId="15" fillId="28" borderId="69" applyAlignment="1" pivotButton="0" quotePrefix="0" xfId="0">
      <alignment horizontal="right"/>
    </xf>
    <xf numFmtId="37" fontId="15" fillId="28" borderId="4" applyAlignment="1" pivotButton="0" quotePrefix="0" xfId="0">
      <alignment horizontal="right"/>
    </xf>
    <xf numFmtId="178" fontId="15" fillId="26" borderId="39" applyAlignment="1" pivotButton="0" quotePrefix="0" xfId="0">
      <alignment horizontal="right"/>
    </xf>
    <xf numFmtId="178" fontId="15" fillId="26" borderId="25" applyAlignment="1" pivotButton="0" quotePrefix="0" xfId="0">
      <alignment horizontal="right"/>
    </xf>
    <xf numFmtId="37" fontId="168" fillId="14" borderId="8" applyAlignment="1" pivotButton="0" quotePrefix="0" xfId="0">
      <alignment horizontal="center"/>
    </xf>
    <xf numFmtId="37" fontId="168" fillId="14" borderId="14" applyAlignment="1" pivotButton="0" quotePrefix="0" xfId="0">
      <alignment horizontal="center"/>
    </xf>
    <xf numFmtId="181" fontId="15" fillId="26" borderId="47" applyAlignment="1" pivotButton="0" quotePrefix="0" xfId="0">
      <alignment horizontal="right"/>
    </xf>
    <xf numFmtId="181" fontId="15" fillId="27" borderId="27" applyAlignment="1" pivotButton="0" quotePrefix="0" xfId="0">
      <alignment horizontal="right"/>
    </xf>
    <xf numFmtId="181" fontId="15" fillId="27" borderId="203" applyAlignment="1" pivotButton="0" quotePrefix="0" xfId="0">
      <alignment horizontal="right"/>
    </xf>
    <xf numFmtId="0" fontId="4" fillId="16" borderId="1" applyAlignment="1" applyProtection="1" pivotButton="0" quotePrefix="0" xfId="0">
      <alignment horizontal="right"/>
      <protection locked="0" hidden="0"/>
    </xf>
    <xf numFmtId="37" fontId="125" fillId="15" borderId="3" applyAlignment="1" pivotButton="0" quotePrefix="0" xfId="0">
      <alignment horizontal="right"/>
    </xf>
    <xf numFmtId="37" fontId="125" fillId="15" borderId="0" applyAlignment="1" pivotButton="0" quotePrefix="0" xfId="0">
      <alignment horizontal="right"/>
    </xf>
    <xf numFmtId="37" fontId="15" fillId="28" borderId="0" applyAlignment="1" pivotButton="0" quotePrefix="0" xfId="0">
      <alignment horizontal="right"/>
    </xf>
    <xf numFmtId="0" fontId="15" fillId="0" borderId="0" applyAlignment="1" pivotButton="0" quotePrefix="0" xfId="0">
      <alignment horizontal="right"/>
    </xf>
    <xf numFmtId="0" fontId="223" fillId="31" borderId="27" applyAlignment="1" pivotButton="0" quotePrefix="0" xfId="0">
      <alignment horizontal="center" vertical="center"/>
    </xf>
    <xf numFmtId="37" fontId="15" fillId="28" borderId="13" applyAlignment="1" pivotButton="0" quotePrefix="0" xfId="0">
      <alignment horizontal="right"/>
    </xf>
    <xf numFmtId="0" fontId="15" fillId="0" borderId="13" applyAlignment="1" pivotButton="0" quotePrefix="0" xfId="0">
      <alignment horizontal="right"/>
    </xf>
    <xf numFmtId="0" fontId="110" fillId="15" borderId="25" applyAlignment="1" pivotButton="0" quotePrefix="0" xfId="0">
      <alignment horizontal="center"/>
    </xf>
    <xf numFmtId="0" fontId="110" fillId="15" borderId="3" applyAlignment="1" pivotButton="0" quotePrefix="0" xfId="0">
      <alignment horizontal="center"/>
    </xf>
    <xf numFmtId="0" fontId="15" fillId="25" borderId="1" applyAlignment="1" pivotButton="0" quotePrefix="0" xfId="0">
      <alignment horizontal="right"/>
    </xf>
    <xf numFmtId="177" fontId="15" fillId="28" borderId="1" applyAlignment="1" pivotButton="0" quotePrefix="0" xfId="0">
      <alignment horizontal="right"/>
    </xf>
    <xf numFmtId="177" fontId="15" fillId="25" borderId="1" applyAlignment="1" pivotButton="0" quotePrefix="0" xfId="0">
      <alignment horizontal="right"/>
    </xf>
    <xf numFmtId="37" fontId="15" fillId="26" borderId="0" applyAlignment="1" pivotButton="0" quotePrefix="0" xfId="0">
      <alignment horizontal="right"/>
    </xf>
    <xf numFmtId="37" fontId="15" fillId="27" borderId="0" applyAlignment="1" pivotButton="0" quotePrefix="0" xfId="0">
      <alignment horizontal="right"/>
    </xf>
    <xf numFmtId="37" fontId="15" fillId="27" borderId="4" applyAlignment="1" pivotButton="0" quotePrefix="0" xfId="0">
      <alignment horizontal="right"/>
    </xf>
    <xf numFmtId="0" fontId="11" fillId="16" borderId="9" applyAlignment="1" applyProtection="1" pivotButton="0" quotePrefix="0" xfId="0">
      <alignment horizontal="left" indent="1"/>
      <protection locked="0" hidden="0"/>
    </xf>
    <xf numFmtId="0" fontId="47" fillId="15" borderId="8" applyAlignment="1" pivotButton="0" quotePrefix="0" xfId="0">
      <alignment horizontal="left" vertical="center" wrapText="1"/>
    </xf>
    <xf numFmtId="0" fontId="47" fillId="15" borderId="0" applyAlignment="1" pivotButton="0" quotePrefix="0" xfId="0">
      <alignment horizontal="left" vertical="center" wrapText="1"/>
    </xf>
    <xf numFmtId="0" fontId="47" fillId="15" borderId="1" applyAlignment="1" pivotButton="0" quotePrefix="0" xfId="0">
      <alignment horizontal="left" vertical="center" wrapText="1"/>
    </xf>
    <xf numFmtId="37" fontId="15" fillId="0" borderId="4" applyAlignment="1" pivotButton="0" quotePrefix="0" xfId="0">
      <alignment horizontal="right"/>
    </xf>
    <xf numFmtId="37" fontId="110" fillId="15" borderId="0" applyAlignment="1" pivotButton="0" quotePrefix="0" xfId="0">
      <alignment horizontal="center"/>
    </xf>
    <xf numFmtId="39" fontId="34" fillId="15" borderId="23" applyAlignment="1" pivotButton="0" quotePrefix="0" xfId="0">
      <alignment horizontal="center"/>
    </xf>
    <xf numFmtId="39" fontId="34" fillId="15" borderId="7" applyAlignment="1" pivotButton="0" quotePrefix="0" xfId="0">
      <alignment horizontal="center"/>
    </xf>
    <xf numFmtId="39" fontId="34" fillId="15" borderId="19" applyAlignment="1" pivotButton="0" quotePrefix="0" xfId="0">
      <alignment horizontal="center"/>
    </xf>
    <xf numFmtId="0" fontId="20" fillId="28" borderId="0" applyAlignment="1" pivotButton="0" quotePrefix="1" xfId="0">
      <alignment vertical="center"/>
    </xf>
    <xf numFmtId="0" fontId="74" fillId="25" borderId="0" applyAlignment="1" pivotButton="0" quotePrefix="0" xfId="0">
      <alignment vertical="center"/>
    </xf>
    <xf numFmtId="0" fontId="74" fillId="0" borderId="0" applyAlignment="1" pivotButton="0" quotePrefix="0" xfId="0">
      <alignment vertical="center"/>
    </xf>
    <xf numFmtId="0" fontId="74" fillId="0" borderId="24" applyAlignment="1" pivotButton="0" quotePrefix="0" xfId="0">
      <alignment vertical="center"/>
    </xf>
    <xf numFmtId="0" fontId="74" fillId="0" borderId="1" applyAlignment="1" pivotButton="0" quotePrefix="0" xfId="0">
      <alignment vertical="center"/>
    </xf>
    <xf numFmtId="0" fontId="74" fillId="0" borderId="11" applyAlignment="1" pivotButton="0" quotePrefix="0" xfId="0">
      <alignment vertical="center"/>
    </xf>
    <xf numFmtId="176" fontId="20" fillId="28" borderId="3" applyAlignment="1" pivotButton="0" quotePrefix="1" xfId="0">
      <alignment horizontal="center" vertical="center"/>
    </xf>
    <xf numFmtId="0" fontId="74" fillId="0" borderId="0" applyAlignment="1" pivotButton="0" quotePrefix="0" xfId="0">
      <alignment horizontal="center" vertical="center"/>
    </xf>
    <xf numFmtId="0" fontId="74" fillId="0" borderId="9" applyAlignment="1" pivotButton="0" quotePrefix="0" xfId="0">
      <alignment horizontal="center" vertical="center"/>
    </xf>
    <xf numFmtId="0" fontId="74" fillId="0" borderId="1" applyAlignment="1" pivotButton="0" quotePrefix="0" xfId="0">
      <alignment horizontal="center" vertical="center"/>
    </xf>
    <xf numFmtId="0" fontId="4" fillId="15" borderId="0" applyAlignment="1" pivotButton="0" quotePrefix="0" xfId="0">
      <alignment horizontal="center" textRotation="90"/>
    </xf>
    <xf numFmtId="0" fontId="11" fillId="15" borderId="5" applyAlignment="1" pivotButton="0" quotePrefix="0" xfId="0">
      <alignment horizontal="center" wrapText="1"/>
    </xf>
    <xf numFmtId="0" fontId="14" fillId="0" borderId="0" applyAlignment="1" pivotButton="0" quotePrefix="0" xfId="0">
      <alignment horizontal="center"/>
    </xf>
    <xf numFmtId="0" fontId="14" fillId="0" borderId="20" applyAlignment="1" pivotButton="0" quotePrefix="0" xfId="0">
      <alignment horizontal="center"/>
    </xf>
    <xf numFmtId="0" fontId="14" fillId="0" borderId="5" applyAlignment="1" pivotButton="0" quotePrefix="0" xfId="0">
      <alignment horizontal="center"/>
    </xf>
    <xf numFmtId="37" fontId="0" fillId="15" borderId="3" applyAlignment="1" pivotButton="0" quotePrefix="0" xfId="0">
      <alignment horizontal="center"/>
    </xf>
    <xf numFmtId="37" fontId="0" fillId="15" borderId="0" applyAlignment="1" pivotButton="0" quotePrefix="0" xfId="0">
      <alignment horizontal="center"/>
    </xf>
    <xf numFmtId="37" fontId="0" fillId="15" borderId="24" applyAlignment="1" pivotButton="0" quotePrefix="0" xfId="0">
      <alignment horizontal="center"/>
    </xf>
    <xf numFmtId="0" fontId="0" fillId="15" borderId="30" applyAlignment="1" pivotButton="0" quotePrefix="0" xfId="0">
      <alignment horizontal="center"/>
    </xf>
    <xf numFmtId="0" fontId="0" fillId="15" borderId="8" applyAlignment="1" pivotButton="0" quotePrefix="0" xfId="0">
      <alignment horizontal="center"/>
    </xf>
    <xf numFmtId="0" fontId="0" fillId="15" borderId="14" applyAlignment="1" pivotButton="0" quotePrefix="0" xfId="0">
      <alignment horizontal="center"/>
    </xf>
    <xf numFmtId="176" fontId="20" fillId="16" borderId="1" applyAlignment="1" applyProtection="1" pivotButton="0" quotePrefix="0" xfId="0">
      <alignment horizontal="center"/>
      <protection locked="0" hidden="0"/>
    </xf>
    <xf numFmtId="0" fontId="20" fillId="16" borderId="9" applyAlignment="1" applyProtection="1" pivotButton="0" quotePrefix="0" xfId="0">
      <alignment horizontal="left" indent="1"/>
      <protection locked="0" hidden="0"/>
    </xf>
    <xf numFmtId="0" fontId="20" fillId="16" borderId="1" applyAlignment="1" applyProtection="1" pivotButton="0" quotePrefix="0" xfId="0">
      <alignment horizontal="left" indent="1"/>
      <protection locked="0" hidden="0"/>
    </xf>
    <xf numFmtId="176" fontId="20" fillId="27" borderId="39" applyAlignment="1" pivotButton="0" quotePrefix="0" xfId="0">
      <alignment horizontal="center" vertical="center"/>
    </xf>
    <xf numFmtId="176" fontId="20" fillId="27" borderId="25" applyAlignment="1" pivotButton="0" quotePrefix="0" xfId="0">
      <alignment horizontal="center" vertical="center"/>
    </xf>
    <xf numFmtId="0" fontId="20" fillId="27" borderId="25" applyAlignment="1" pivotButton="0" quotePrefix="1" xfId="0">
      <alignment horizontal="left" vertical="center"/>
    </xf>
    <xf numFmtId="0" fontId="74" fillId="27" borderId="25" applyAlignment="1" pivotButton="0" quotePrefix="0" xfId="0">
      <alignment horizontal="left" vertical="center"/>
    </xf>
    <xf numFmtId="0" fontId="74" fillId="27" borderId="54" applyAlignment="1" pivotButton="0" quotePrefix="0" xfId="0">
      <alignment horizontal="left" vertical="center"/>
    </xf>
    <xf numFmtId="0" fontId="123" fillId="31" borderId="27" applyAlignment="1" pivotButton="0" quotePrefix="0" xfId="0">
      <alignment horizontal="center" vertical="center"/>
    </xf>
    <xf numFmtId="0" fontId="4" fillId="15" borderId="190" applyAlignment="1" pivotButton="0" quotePrefix="0" xfId="0">
      <alignment horizontal="center"/>
    </xf>
    <xf numFmtId="0" fontId="0" fillId="0" borderId="34" applyAlignment="1" pivotButton="0" quotePrefix="0" xfId="0">
      <alignment horizontal="center"/>
    </xf>
    <xf numFmtId="49" fontId="44" fillId="16" borderId="0" applyAlignment="1" applyProtection="1" pivotButton="0" quotePrefix="0" xfId="0">
      <alignment horizontal="left"/>
      <protection locked="0" hidden="0"/>
    </xf>
    <xf numFmtId="49" fontId="44" fillId="16" borderId="24" applyAlignment="1" applyProtection="1" pivotButton="0" quotePrefix="0" xfId="0">
      <alignment horizontal="left"/>
      <protection locked="0" hidden="0"/>
    </xf>
    <xf numFmtId="49" fontId="44" fillId="16" borderId="1" applyAlignment="1" applyProtection="1" pivotButton="0" quotePrefix="0" xfId="0">
      <alignment horizontal="left"/>
      <protection locked="0" hidden="0"/>
    </xf>
    <xf numFmtId="49" fontId="44" fillId="16" borderId="11" applyAlignment="1" applyProtection="1" pivotButton="0" quotePrefix="0" xfId="0">
      <alignment horizontal="left"/>
      <protection locked="0" hidden="0"/>
    </xf>
    <xf numFmtId="0" fontId="20" fillId="16" borderId="1" applyAlignment="1" applyProtection="1" pivotButton="0" quotePrefix="0" xfId="0">
      <alignment horizontal="left"/>
      <protection locked="0" hidden="0"/>
    </xf>
    <xf numFmtId="0" fontId="20" fillId="16" borderId="11" applyAlignment="1" applyProtection="1" pivotButton="0" quotePrefix="0" xfId="0">
      <alignment horizontal="left"/>
      <protection locked="0" hidden="0"/>
    </xf>
    <xf numFmtId="37" fontId="15" fillId="27" borderId="1" applyAlignment="1" pivotButton="0" quotePrefix="0" xfId="0">
      <alignment horizontal="right"/>
    </xf>
    <xf numFmtId="0" fontId="47" fillId="15" borderId="14" applyAlignment="1" pivotButton="0" quotePrefix="0" xfId="0">
      <alignment horizontal="left" vertical="center" wrapText="1"/>
    </xf>
    <xf numFmtId="0" fontId="47" fillId="15" borderId="24" applyAlignment="1" pivotButton="0" quotePrefix="0" xfId="0">
      <alignment horizontal="left" vertical="center" wrapText="1"/>
    </xf>
    <xf numFmtId="39" fontId="6" fillId="15" borderId="5" applyAlignment="1" pivotButton="0" quotePrefix="0" xfId="0">
      <alignment horizontal="left"/>
    </xf>
    <xf numFmtId="39" fontId="6" fillId="15" borderId="0" applyAlignment="1" pivotButton="0" quotePrefix="0" xfId="0">
      <alignment horizontal="left"/>
    </xf>
    <xf numFmtId="0" fontId="158" fillId="15" borderId="0" applyAlignment="1" pivotButton="0" quotePrefix="0" xfId="0">
      <alignment horizontal="left" vertical="center" wrapText="1"/>
    </xf>
    <xf numFmtId="0" fontId="20" fillId="15" borderId="5" applyAlignment="1" pivotButton="0" quotePrefix="0" xfId="0">
      <alignment horizontal="center" vertical="center"/>
    </xf>
    <xf numFmtId="0" fontId="20" fillId="15" borderId="0" applyAlignment="1" pivotButton="0" quotePrefix="0" xfId="0">
      <alignment horizontal="center" vertical="center"/>
    </xf>
    <xf numFmtId="0" fontId="20" fillId="15" borderId="20" applyAlignment="1" pivotButton="0" quotePrefix="0" xfId="0">
      <alignment horizontal="center" vertical="center"/>
    </xf>
    <xf numFmtId="0" fontId="116" fillId="15" borderId="0" applyAlignment="1" pivotButton="0" quotePrefix="0" xfId="0">
      <alignment horizontal="center" vertical="center"/>
    </xf>
    <xf numFmtId="0" fontId="116" fillId="15" borderId="24" applyAlignment="1" pivotButton="0" quotePrefix="0" xfId="0">
      <alignment horizontal="center" vertical="center"/>
    </xf>
    <xf numFmtId="0" fontId="15" fillId="15" borderId="27" applyAlignment="1" pivotButton="0" quotePrefix="0" xfId="0">
      <alignment horizontal="center" vertical="center"/>
    </xf>
    <xf numFmtId="0" fontId="15" fillId="0" borderId="27" applyAlignment="1" pivotButton="0" quotePrefix="0" xfId="0">
      <alignment horizontal="center" vertical="center"/>
    </xf>
    <xf numFmtId="0" fontId="15" fillId="0" borderId="203" applyAlignment="1" pivotButton="0" quotePrefix="0" xfId="0">
      <alignment horizontal="center" vertical="center"/>
    </xf>
    <xf numFmtId="0" fontId="15" fillId="15" borderId="47" applyAlignment="1" pivotButton="0" quotePrefix="0" xfId="0">
      <alignment horizontal="center" vertical="center"/>
    </xf>
    <xf numFmtId="3" fontId="116" fillId="15" borderId="0" applyAlignment="1" pivotButton="0" quotePrefix="0" xfId="0">
      <alignment horizontal="center" vertical="center"/>
    </xf>
    <xf numFmtId="37" fontId="11" fillId="20" borderId="10" applyAlignment="1" applyProtection="1" pivotButton="0" quotePrefix="0" xfId="0">
      <alignment horizontal="right"/>
      <protection locked="0" hidden="0"/>
    </xf>
    <xf numFmtId="37" fontId="11" fillId="16" borderId="10" applyAlignment="1" applyProtection="1" pivotButton="0" quotePrefix="0" xfId="0">
      <alignment horizontal="right"/>
      <protection locked="0" hidden="0"/>
    </xf>
    <xf numFmtId="37" fontId="11" fillId="26" borderId="28" applyAlignment="1" pivotButton="0" quotePrefix="0" xfId="0">
      <alignment horizontal="right"/>
    </xf>
    <xf numFmtId="37" fontId="11" fillId="27" borderId="28" applyAlignment="1" pivotButton="0" quotePrefix="0" xfId="0">
      <alignment horizontal="right"/>
    </xf>
    <xf numFmtId="0" fontId="116" fillId="15" borderId="4" applyAlignment="1" pivotButton="0" quotePrefix="0" xfId="0">
      <alignment horizontal="center" vertical="center"/>
    </xf>
    <xf numFmtId="37" fontId="110" fillId="15" borderId="24" applyAlignment="1" pivotButton="0" quotePrefix="0" xfId="0">
      <alignment horizontal="center"/>
    </xf>
    <xf numFmtId="37" fontId="11" fillId="27" borderId="52" applyAlignment="1" pivotButton="0" quotePrefix="0" xfId="0">
      <alignment horizontal="right"/>
    </xf>
    <xf numFmtId="37" fontId="11" fillId="27" borderId="31" applyAlignment="1" pivotButton="0" quotePrefix="0" xfId="0">
      <alignment horizontal="right"/>
    </xf>
    <xf numFmtId="37" fontId="11" fillId="27" borderId="73" applyAlignment="1" pivotButton="0" quotePrefix="0" xfId="0">
      <alignment horizontal="right"/>
    </xf>
    <xf numFmtId="0" fontId="110" fillId="15" borderId="36" applyAlignment="1" pivotButton="0" quotePrefix="0" xfId="0">
      <alignment horizontal="center"/>
    </xf>
    <xf numFmtId="37" fontId="11" fillId="26" borderId="43" applyAlignment="1" pivotButton="0" quotePrefix="0" xfId="0">
      <alignment horizontal="right"/>
    </xf>
    <xf numFmtId="0" fontId="11" fillId="27" borderId="43" applyAlignment="1" pivotButton="0" quotePrefix="0" xfId="0">
      <alignment horizontal="right"/>
    </xf>
    <xf numFmtId="0" fontId="11" fillId="27" borderId="47" applyAlignment="1" pivotButton="0" quotePrefix="0" xfId="0">
      <alignment horizontal="right"/>
    </xf>
    <xf numFmtId="37" fontId="15" fillId="26" borderId="10" applyAlignment="1" pivotButton="0" quotePrefix="0" xfId="0">
      <alignment horizontal="right"/>
    </xf>
    <xf numFmtId="0" fontId="15" fillId="27" borderId="10" applyAlignment="1" pivotButton="0" quotePrefix="0" xfId="0">
      <alignment horizontal="right"/>
    </xf>
    <xf numFmtId="37" fontId="11" fillId="27" borderId="43" applyAlignment="1" pivotButton="0" quotePrefix="0" xfId="0">
      <alignment horizontal="right"/>
    </xf>
    <xf numFmtId="0" fontId="14" fillId="15" borderId="0" applyAlignment="1" pivotButton="0" quotePrefix="0" xfId="0">
      <alignment horizontal="center"/>
    </xf>
    <xf numFmtId="37" fontId="11" fillId="27" borderId="47" applyAlignment="1" pivotButton="0" quotePrefix="0" xfId="0">
      <alignment horizontal="right"/>
    </xf>
    <xf numFmtId="37" fontId="11" fillId="27" borderId="27" applyAlignment="1" pivotButton="0" quotePrefix="0" xfId="0">
      <alignment horizontal="right"/>
    </xf>
    <xf numFmtId="37" fontId="11" fillId="27" borderId="203" applyAlignment="1" pivotButton="0" quotePrefix="0" xfId="0">
      <alignment horizontal="right"/>
    </xf>
    <xf numFmtId="0" fontId="15" fillId="15" borderId="11" applyAlignment="1" pivotButton="0" quotePrefix="0" xfId="0">
      <alignment horizontal="center"/>
    </xf>
    <xf numFmtId="0" fontId="14" fillId="15" borderId="30" applyAlignment="1" pivotButton="0" quotePrefix="1" xfId="0">
      <alignment horizontal="center"/>
    </xf>
    <xf numFmtId="0" fontId="14" fillId="15" borderId="8" applyAlignment="1" pivotButton="0" quotePrefix="0" xfId="0">
      <alignment horizontal="center"/>
    </xf>
    <xf numFmtId="0" fontId="14" fillId="15" borderId="14" applyAlignment="1" pivotButton="0" quotePrefix="0" xfId="0">
      <alignment horizontal="center"/>
    </xf>
    <xf numFmtId="174" fontId="14" fillId="15" borderId="30" applyAlignment="1" pivotButton="0" quotePrefix="0" xfId="0">
      <alignment horizontal="center"/>
    </xf>
    <xf numFmtId="211" fontId="14" fillId="15" borderId="30" applyAlignment="1" pivotButton="0" quotePrefix="0" xfId="0">
      <alignment horizontal="center"/>
    </xf>
    <xf numFmtId="211" fontId="14" fillId="15" borderId="8" applyAlignment="1" pivotButton="0" quotePrefix="0" xfId="0">
      <alignment horizontal="center"/>
    </xf>
    <xf numFmtId="211" fontId="14" fillId="15" borderId="14" applyAlignment="1" pivotButton="0" quotePrefix="0" xfId="0">
      <alignment horizontal="center"/>
    </xf>
    <xf numFmtId="211" fontId="110" fillId="15" borderId="1" applyAlignment="1" pivotButton="0" quotePrefix="0" xfId="0">
      <alignment horizontal="center"/>
    </xf>
    <xf numFmtId="0" fontId="11" fillId="15" borderId="54" applyAlignment="1" pivotButton="0" quotePrefix="0" xfId="0">
      <alignment horizontal="center"/>
    </xf>
    <xf numFmtId="0" fontId="47" fillId="15" borderId="30" applyAlignment="1" pivotButton="0" quotePrefix="0" xfId="0">
      <alignment horizontal="center" vertical="center" wrapText="1"/>
    </xf>
    <xf numFmtId="0" fontId="47" fillId="15" borderId="8" applyAlignment="1" pivotButton="0" quotePrefix="0" xfId="0">
      <alignment horizontal="center" vertical="center" wrapText="1"/>
    </xf>
    <xf numFmtId="0" fontId="47" fillId="15" borderId="14" applyAlignment="1" pivotButton="0" quotePrefix="0" xfId="0">
      <alignment horizontal="center" vertical="center" wrapText="1"/>
    </xf>
    <xf numFmtId="0" fontId="47" fillId="15" borderId="3" applyAlignment="1" pivotButton="0" quotePrefix="0" xfId="0">
      <alignment horizontal="center" vertical="center" wrapText="1"/>
    </xf>
    <xf numFmtId="0" fontId="47" fillId="15" borderId="0" applyAlignment="1" pivotButton="0" quotePrefix="0" xfId="0">
      <alignment horizontal="center" vertical="center" wrapText="1"/>
    </xf>
    <xf numFmtId="0" fontId="47" fillId="15" borderId="24" applyAlignment="1" pivotButton="0" quotePrefix="0" xfId="0">
      <alignment horizontal="center" vertical="center" wrapText="1"/>
    </xf>
    <xf numFmtId="0" fontId="47" fillId="15" borderId="9" applyAlignment="1" pivotButton="0" quotePrefix="0" xfId="0">
      <alignment horizontal="center" vertical="center" wrapText="1"/>
    </xf>
    <xf numFmtId="0" fontId="47" fillId="15" borderId="1" applyAlignment="1" pivotButton="0" quotePrefix="0" xfId="0">
      <alignment horizontal="center" vertical="center" wrapText="1"/>
    </xf>
    <xf numFmtId="0" fontId="47" fillId="15" borderId="11" applyAlignment="1" pivotButton="0" quotePrefix="0" xfId="0">
      <alignment horizontal="center" vertical="center" wrapText="1"/>
    </xf>
    <xf numFmtId="174" fontId="14" fillId="15" borderId="3" applyAlignment="1" pivotButton="0" quotePrefix="1" xfId="0">
      <alignment horizontal="center"/>
    </xf>
    <xf numFmtId="0" fontId="14" fillId="15" borderId="24" applyAlignment="1" pivotButton="0" quotePrefix="0" xfId="0">
      <alignment horizontal="center"/>
    </xf>
    <xf numFmtId="211" fontId="14" fillId="15" borderId="3" applyAlignment="1" pivotButton="0" quotePrefix="0" xfId="0">
      <alignment horizontal="center"/>
    </xf>
    <xf numFmtId="211" fontId="14" fillId="15" borderId="0" applyAlignment="1" pivotButton="0" quotePrefix="0" xfId="0">
      <alignment horizontal="center"/>
    </xf>
    <xf numFmtId="211" fontId="14" fillId="15" borderId="24" applyAlignment="1" pivotButton="0" quotePrefix="0" xfId="0">
      <alignment horizontal="center"/>
    </xf>
    <xf numFmtId="37" fontId="14" fillId="26" borderId="1" applyAlignment="1" pivotButton="0" quotePrefix="0" xfId="0">
      <alignment horizontal="left"/>
    </xf>
    <xf numFmtId="0" fontId="134" fillId="15" borderId="0" applyAlignment="1" pivotButton="0" quotePrefix="0" xfId="0">
      <alignment horizontal="center"/>
    </xf>
    <xf numFmtId="0" fontId="15" fillId="27" borderId="9" applyAlignment="1" pivotButton="0" quotePrefix="0" xfId="0">
      <alignment horizontal="right"/>
    </xf>
    <xf numFmtId="174" fontId="14" fillId="15" borderId="9" applyAlignment="1" pivotButton="0" quotePrefix="1" xfId="0">
      <alignment horizontal="center"/>
    </xf>
    <xf numFmtId="0" fontId="14" fillId="15" borderId="1" applyAlignment="1" pivotButton="0" quotePrefix="0" xfId="0">
      <alignment horizontal="center"/>
    </xf>
    <xf numFmtId="0" fontId="14" fillId="15" borderId="11" applyAlignment="1" pivotButton="0" quotePrefix="0" xfId="0">
      <alignment horizontal="center"/>
    </xf>
    <xf numFmtId="0" fontId="14" fillId="15" borderId="9" applyAlignment="1" pivotButton="0" quotePrefix="1" xfId="0">
      <alignment horizontal="center"/>
    </xf>
    <xf numFmtId="211" fontId="14" fillId="15" borderId="9" applyAlignment="1" pivotButton="0" quotePrefix="0" xfId="0">
      <alignment horizontal="center"/>
    </xf>
    <xf numFmtId="211" fontId="14" fillId="15" borderId="1" applyAlignment="1" pivotButton="0" quotePrefix="0" xfId="0">
      <alignment horizontal="center"/>
    </xf>
    <xf numFmtId="211" fontId="14" fillId="15" borderId="11" applyAlignment="1" pivotButton="0" quotePrefix="0" xfId="0">
      <alignment horizontal="center"/>
    </xf>
    <xf numFmtId="0" fontId="6" fillId="14" borderId="0" applyAlignment="1" pivotButton="0" quotePrefix="0" xfId="0">
      <alignment horizontal="left"/>
    </xf>
    <xf numFmtId="0" fontId="8" fillId="3" borderId="0" applyAlignment="1" pivotButton="0" quotePrefix="0" xfId="0">
      <alignment horizontal="center" vertical="center"/>
    </xf>
    <xf numFmtId="1" fontId="12" fillId="3" borderId="0" applyAlignment="1" pivotButton="0" quotePrefix="0" xfId="0">
      <alignment horizontal="center"/>
    </xf>
    <xf numFmtId="0" fontId="6" fillId="3" borderId="0" applyAlignment="1" pivotButton="0" quotePrefix="0" xfId="0">
      <alignment horizontal="left" vertical="center" wrapText="1"/>
    </xf>
    <xf numFmtId="0" fontId="6" fillId="3" borderId="1" applyAlignment="1" pivotButton="0" quotePrefix="0" xfId="0">
      <alignment horizontal="left" vertical="center" wrapText="1"/>
    </xf>
    <xf numFmtId="0" fontId="10" fillId="15" borderId="0" applyAlignment="1" pivotButton="0" quotePrefix="0" xfId="0">
      <alignment horizontal="left"/>
    </xf>
    <xf numFmtId="0" fontId="47" fillId="3" borderId="1" applyAlignment="1" pivotButton="0" quotePrefix="0" xfId="0">
      <alignment horizontal="left" wrapText="1" indent="1"/>
    </xf>
    <xf numFmtId="0" fontId="47" fillId="0" borderId="1" applyAlignment="1" pivotButton="0" quotePrefix="0" xfId="0">
      <alignment horizontal="left" wrapText="1" indent="1"/>
    </xf>
    <xf numFmtId="0" fontId="10" fillId="3" borderId="0" applyAlignment="1" pivotButton="0" quotePrefix="0" xfId="0">
      <alignment horizontal="left"/>
    </xf>
    <xf numFmtId="0" fontId="0" fillId="0" borderId="20" applyAlignment="1" pivotButton="0" quotePrefix="0" xfId="0">
      <alignment horizontal="left"/>
    </xf>
    <xf numFmtId="0" fontId="10" fillId="3" borderId="5" applyAlignment="1" pivotButton="0" quotePrefix="0" xfId="0">
      <alignment horizontal="left"/>
    </xf>
    <xf numFmtId="0" fontId="10" fillId="3" borderId="4" applyAlignment="1" pivotButton="0" quotePrefix="0" xfId="0">
      <alignment horizontal="left" vertical="top"/>
    </xf>
    <xf numFmtId="0" fontId="0" fillId="0" borderId="4" applyAlignment="1" pivotButton="0" quotePrefix="0" xfId="0">
      <alignment horizontal="left" vertical="top"/>
    </xf>
    <xf numFmtId="0" fontId="0" fillId="0" borderId="22" applyAlignment="1" pivotButton="0" quotePrefix="0" xfId="0">
      <alignment horizontal="left" vertical="top"/>
    </xf>
    <xf numFmtId="0" fontId="12" fillId="3" borderId="21" applyAlignment="1" pivotButton="0" quotePrefix="0" xfId="0">
      <alignment horizontal="center"/>
    </xf>
    <xf numFmtId="0" fontId="10" fillId="0" borderId="4" applyAlignment="1" pivotButton="0" quotePrefix="0" xfId="0">
      <alignment horizontal="center"/>
    </xf>
    <xf numFmtId="0" fontId="10" fillId="0" borderId="22" applyAlignment="1" pivotButton="0" quotePrefix="0" xfId="0">
      <alignment horizontal="center"/>
    </xf>
    <xf numFmtId="4" fontId="10" fillId="3" borderId="21" applyAlignment="1" pivotButton="0" quotePrefix="0" xfId="0">
      <alignment horizontal="center" vertical="center"/>
    </xf>
    <xf numFmtId="0" fontId="0" fillId="0" borderId="4" applyAlignment="1" pivotButton="0" quotePrefix="0" xfId="0">
      <alignment horizontal="center" vertical="center"/>
    </xf>
    <xf numFmtId="0" fontId="6" fillId="3" borderId="1" applyAlignment="1" pivotButton="0" quotePrefix="0" xfId="0">
      <alignment horizontal="left" vertical="top" wrapText="1" indent="1"/>
    </xf>
    <xf numFmtId="0" fontId="6" fillId="0" borderId="1" applyAlignment="1" pivotButton="0" quotePrefix="0" xfId="0">
      <alignment horizontal="left" vertical="top" wrapText="1" indent="1"/>
    </xf>
    <xf numFmtId="0" fontId="12" fillId="3" borderId="21" applyAlignment="1" pivotButton="0" quotePrefix="0" xfId="0">
      <alignment horizontal="center" vertical="center"/>
    </xf>
    <xf numFmtId="0" fontId="10" fillId="0" borderId="4" applyAlignment="1" pivotButton="0" quotePrefix="0" xfId="0">
      <alignment horizontal="center" vertical="center"/>
    </xf>
    <xf numFmtId="0" fontId="10" fillId="0" borderId="22" applyAlignment="1" pivotButton="0" quotePrefix="0" xfId="0">
      <alignment horizontal="center" vertical="center"/>
    </xf>
    <xf numFmtId="0" fontId="6" fillId="3" borderId="8" applyAlignment="1" pivotButton="0" quotePrefix="0" xfId="0">
      <alignment horizontal="left" wrapText="1" indent="1"/>
    </xf>
    <xf numFmtId="0" fontId="6" fillId="0" borderId="8" applyAlignment="1" pivotButton="0" quotePrefix="0" xfId="0">
      <alignment horizontal="left" wrapText="1" indent="1"/>
    </xf>
    <xf numFmtId="0" fontId="104" fillId="3" borderId="0" applyAlignment="1" pivotButton="0" quotePrefix="0" xfId="0">
      <alignment horizontal="left" vertical="center"/>
    </xf>
    <xf numFmtId="0" fontId="133" fillId="0" borderId="20" applyAlignment="1" pivotButton="0" quotePrefix="0" xfId="0">
      <alignment horizontal="left" vertical="center"/>
    </xf>
    <xf numFmtId="0" fontId="133" fillId="0" borderId="0" applyAlignment="1" pivotButton="0" quotePrefix="0" xfId="0">
      <alignment vertical="center"/>
    </xf>
    <xf numFmtId="0" fontId="133" fillId="0" borderId="20" applyAlignment="1" pivotButton="0" quotePrefix="0" xfId="0">
      <alignment vertical="center"/>
    </xf>
    <xf numFmtId="4" fontId="8" fillId="3" borderId="56" applyAlignment="1" pivotButton="0" quotePrefix="0" xfId="0">
      <alignment horizontal="left" vertical="center" wrapText="1"/>
    </xf>
    <xf numFmtId="4" fontId="8" fillId="3" borderId="7" applyAlignment="1" pivotButton="0" quotePrefix="0" xfId="0">
      <alignment horizontal="left" vertical="center" wrapText="1"/>
    </xf>
    <xf numFmtId="0" fontId="12" fillId="0" borderId="0" applyAlignment="1" pivotButton="0" quotePrefix="0" xfId="0">
      <alignment horizontal="center"/>
    </xf>
    <xf numFmtId="0" fontId="6" fillId="15" borderId="0" applyAlignment="1" pivotButton="0" quotePrefix="1" xfId="0">
      <alignment horizontal="left" vertical="top" wrapText="1"/>
    </xf>
    <xf numFmtId="0" fontId="206" fillId="5" borderId="0" applyAlignment="1" pivotButton="0" quotePrefix="0" xfId="0">
      <alignment horizontal="center" vertical="center" wrapText="1"/>
    </xf>
    <xf numFmtId="4" fontId="9" fillId="15" borderId="107" applyAlignment="1" pivotButton="0" quotePrefix="0" xfId="0">
      <alignment horizontal="center" wrapText="1"/>
    </xf>
    <xf numFmtId="4" fontId="9" fillId="15" borderId="27" applyAlignment="1" pivotButton="0" quotePrefix="0" xfId="0">
      <alignment horizontal="center" wrapText="1"/>
    </xf>
    <xf numFmtId="4" fontId="9" fillId="15" borderId="108" applyAlignment="1" pivotButton="0" quotePrefix="0" xfId="0">
      <alignment horizontal="center" wrapText="1"/>
    </xf>
    <xf numFmtId="0" fontId="12" fillId="15" borderId="5" applyAlignment="1" pivotButton="0" quotePrefix="0" xfId="0">
      <alignment horizontal="right" indent="1"/>
    </xf>
    <xf numFmtId="0" fontId="12" fillId="15" borderId="0" applyAlignment="1" pivotButton="0" quotePrefix="0" xfId="0">
      <alignment horizontal="right" indent="1"/>
    </xf>
    <xf numFmtId="0" fontId="4" fillId="15" borderId="0" applyAlignment="1" pivotButton="0" quotePrefix="0" xfId="0">
      <alignment horizontal="right" indent="1"/>
    </xf>
    <xf numFmtId="0" fontId="12" fillId="15" borderId="8" applyAlignment="1" pivotButton="0" quotePrefix="0" xfId="0">
      <alignment horizontal="left" textRotation="90"/>
    </xf>
    <xf numFmtId="0" fontId="4" fillId="15" borderId="0" applyAlignment="1" pivotButton="0" quotePrefix="0" xfId="0">
      <alignment textRotation="90"/>
    </xf>
    <xf numFmtId="0" fontId="143" fillId="15" borderId="21" applyAlignment="1" pivotButton="0" quotePrefix="0" xfId="0">
      <alignment horizontal="center" wrapText="1"/>
    </xf>
    <xf numFmtId="0" fontId="143" fillId="15" borderId="4" applyAlignment="1" pivotButton="0" quotePrefix="0" xfId="0">
      <alignment horizontal="center" wrapText="1"/>
    </xf>
    <xf numFmtId="0" fontId="143" fillId="0" borderId="4" applyAlignment="1" pivotButton="0" quotePrefix="0" xfId="0">
      <alignment horizontal="center" wrapText="1"/>
    </xf>
    <xf numFmtId="0" fontId="143" fillId="0" borderId="22" applyAlignment="1" pivotButton="0" quotePrefix="0" xfId="0">
      <alignment horizontal="center" wrapText="1"/>
    </xf>
    <xf numFmtId="0" fontId="204" fillId="15" borderId="7" applyAlignment="1" pivotButton="0" quotePrefix="0" xfId="0">
      <alignment horizontal="center"/>
    </xf>
    <xf numFmtId="0" fontId="12" fillId="0" borderId="1" applyAlignment="1" pivotButton="0" quotePrefix="0" xfId="0">
      <alignment horizontal="center"/>
    </xf>
    <xf numFmtId="0" fontId="65" fillId="5" borderId="0" applyAlignment="1" pivotButton="0" quotePrefix="0" xfId="0">
      <alignment horizontal="center" vertical="center" wrapText="1"/>
    </xf>
    <xf numFmtId="0" fontId="4" fillId="0" borderId="0" applyAlignment="1" pivotButton="0" quotePrefix="0" xfId="0">
      <alignment horizontal="center" vertical="center" wrapText="1"/>
    </xf>
    <xf numFmtId="0" fontId="6" fillId="3" borderId="0" applyAlignment="1" pivotButton="0" quotePrefix="0" xfId="0">
      <alignment horizontal="left" wrapText="1" indent="1"/>
    </xf>
    <xf numFmtId="0" fontId="6" fillId="0" borderId="0" applyAlignment="1" pivotButton="0" quotePrefix="0" xfId="0">
      <alignment horizontal="left" wrapText="1" indent="1"/>
    </xf>
    <xf numFmtId="0" fontId="6" fillId="3" borderId="1" applyAlignment="1" pivotButton="0" quotePrefix="0" xfId="0">
      <alignment horizontal="left" wrapText="1" indent="1"/>
    </xf>
    <xf numFmtId="0" fontId="6" fillId="0" borderId="1" applyAlignment="1" pivotButton="0" quotePrefix="0" xfId="0">
      <alignment horizontal="left" wrapText="1" indent="1"/>
    </xf>
    <xf numFmtId="0" fontId="8" fillId="14" borderId="0" applyAlignment="1" pivotButton="0" quotePrefix="0" xfId="0">
      <alignment horizontal="left"/>
    </xf>
    <xf numFmtId="4" fontId="10" fillId="3" borderId="26" applyAlignment="1" pivotButton="0" quotePrefix="0" xfId="0">
      <alignment horizontal="center"/>
    </xf>
    <xf numFmtId="0" fontId="10" fillId="0" borderId="1" applyAlignment="1" pivotButton="0" quotePrefix="0" xfId="0">
      <alignment horizontal="center"/>
    </xf>
    <xf numFmtId="0" fontId="120" fillId="0" borderId="0" applyAlignment="1" pivotButton="0" quotePrefix="0" xfId="0">
      <alignment horizontal="center" vertical="center"/>
    </xf>
    <xf numFmtId="0" fontId="120" fillId="0" borderId="20" applyAlignment="1" pivotButton="0" quotePrefix="0" xfId="0">
      <alignment horizontal="center" vertical="center"/>
    </xf>
    <xf numFmtId="0" fontId="104" fillId="3" borderId="80" applyAlignment="1" pivotButton="0" quotePrefix="0" xfId="0">
      <alignment horizontal="center" vertical="center"/>
    </xf>
    <xf numFmtId="0" fontId="133" fillId="0" borderId="8" applyAlignment="1" pivotButton="0" quotePrefix="0" xfId="0">
      <alignment horizontal="center"/>
    </xf>
    <xf numFmtId="0" fontId="133" fillId="0" borderId="5" applyAlignment="1" pivotButton="0" quotePrefix="0" xfId="0">
      <alignment horizontal="center"/>
    </xf>
    <xf numFmtId="0" fontId="133" fillId="0" borderId="0" applyAlignment="1" pivotButton="0" quotePrefix="0" xfId="0">
      <alignment horizontal="center"/>
    </xf>
    <xf numFmtId="39" fontId="10" fillId="15" borderId="23" applyAlignment="1" applyProtection="1" pivotButton="0" quotePrefix="0" xfId="0">
      <alignment horizontal="left" vertical="top" wrapText="1"/>
      <protection locked="0" hidden="0"/>
    </xf>
    <xf numFmtId="39" fontId="10" fillId="15" borderId="7" applyAlignment="1" applyProtection="1" pivotButton="0" quotePrefix="0" xfId="0">
      <alignment horizontal="left" vertical="top" wrapText="1"/>
      <protection locked="0" hidden="0"/>
    </xf>
    <xf numFmtId="39" fontId="10" fillId="15" borderId="19" applyAlignment="1" applyProtection="1" pivotButton="0" quotePrefix="0" xfId="0">
      <alignment horizontal="left" vertical="top" wrapText="1"/>
      <protection locked="0" hidden="0"/>
    </xf>
    <xf numFmtId="39" fontId="10" fillId="15" borderId="5" applyAlignment="1" applyProtection="1" pivotButton="0" quotePrefix="0" xfId="0">
      <alignment horizontal="left" vertical="top" wrapText="1"/>
      <protection locked="0" hidden="0"/>
    </xf>
    <xf numFmtId="39" fontId="10" fillId="15" borderId="0" applyAlignment="1" applyProtection="1" pivotButton="0" quotePrefix="0" xfId="0">
      <alignment horizontal="left" vertical="top" wrapText="1"/>
      <protection locked="0" hidden="0"/>
    </xf>
    <xf numFmtId="39" fontId="10" fillId="15" borderId="20" applyAlignment="1" applyProtection="1" pivotButton="0" quotePrefix="0" xfId="0">
      <alignment horizontal="left" vertical="top" wrapText="1"/>
      <protection locked="0" hidden="0"/>
    </xf>
    <xf numFmtId="39" fontId="10" fillId="15" borderId="21" applyAlignment="1" applyProtection="1" pivotButton="0" quotePrefix="0" xfId="0">
      <alignment horizontal="left" vertical="top" wrapText="1"/>
      <protection locked="0" hidden="0"/>
    </xf>
    <xf numFmtId="39" fontId="10" fillId="15" borderId="4" applyAlignment="1" applyProtection="1" pivotButton="0" quotePrefix="0" xfId="0">
      <alignment horizontal="left" vertical="top" wrapText="1"/>
      <protection locked="0" hidden="0"/>
    </xf>
    <xf numFmtId="39" fontId="10" fillId="15" borderId="22" applyAlignment="1" applyProtection="1" pivotButton="0" quotePrefix="0" xfId="0">
      <alignment horizontal="left" vertical="top" wrapText="1"/>
      <protection locked="0" hidden="0"/>
    </xf>
    <xf numFmtId="0" fontId="309" fillId="15" borderId="0" applyAlignment="1" pivotButton="0" quotePrefix="0" xfId="0">
      <alignment horizontal="left" wrapText="1"/>
    </xf>
    <xf numFmtId="0" fontId="44" fillId="3" borderId="5" applyAlignment="1" pivotButton="0" quotePrefix="0" xfId="0">
      <alignment horizontal="center"/>
    </xf>
    <xf numFmtId="0" fontId="44" fillId="3" borderId="20" applyAlignment="1" pivotButton="0" quotePrefix="0" xfId="0">
      <alignment horizontal="center"/>
    </xf>
    <xf numFmtId="0" fontId="47" fillId="3" borderId="8" applyAlignment="1" pivotButton="0" quotePrefix="0" xfId="0">
      <alignment horizontal="left" vertical="center" wrapText="1" indent="1"/>
    </xf>
    <xf numFmtId="0" fontId="47" fillId="3" borderId="0" applyAlignment="1" pivotButton="0" quotePrefix="0" xfId="0">
      <alignment horizontal="left" wrapText="1" indent="1"/>
    </xf>
    <xf numFmtId="0" fontId="47" fillId="0" borderId="0" applyAlignment="1" pivotButton="0" quotePrefix="0" xfId="0">
      <alignment horizontal="left" wrapText="1" indent="1"/>
    </xf>
    <xf numFmtId="37" fontId="11" fillId="15" borderId="15" applyAlignment="1" applyProtection="1" pivotButton="0" quotePrefix="0" xfId="0">
      <alignment horizontal="right"/>
      <protection locked="0" hidden="0"/>
    </xf>
    <xf numFmtId="37" fontId="11" fillId="15" borderId="10" applyAlignment="1" applyProtection="1" pivotButton="0" quotePrefix="0" xfId="0">
      <alignment horizontal="right"/>
      <protection locked="0" hidden="0"/>
    </xf>
    <xf numFmtId="37" fontId="129" fillId="15" borderId="30" applyAlignment="1" pivotButton="0" quotePrefix="0" xfId="0">
      <alignment horizontal="right" vertical="center"/>
    </xf>
    <xf numFmtId="37" fontId="129" fillId="15" borderId="8" applyAlignment="1" pivotButton="0" quotePrefix="0" xfId="0">
      <alignment horizontal="right" vertical="center"/>
    </xf>
    <xf numFmtId="37" fontId="197" fillId="15" borderId="30" applyAlignment="1" pivotButton="0" quotePrefix="0" xfId="0">
      <alignment horizontal="right" vertical="center"/>
    </xf>
    <xf numFmtId="37" fontId="197" fillId="15" borderId="8" applyAlignment="1" pivotButton="0" quotePrefix="0" xfId="0">
      <alignment horizontal="right" vertical="center"/>
    </xf>
    <xf numFmtId="37" fontId="73" fillId="27" borderId="3" applyAlignment="1" pivotButton="0" quotePrefix="0" xfId="0">
      <alignment horizontal="right" vertical="center"/>
    </xf>
    <xf numFmtId="37" fontId="73" fillId="27" borderId="0" applyAlignment="1" pivotButton="0" quotePrefix="0" xfId="0">
      <alignment horizontal="right" vertical="center"/>
    </xf>
    <xf numFmtId="0" fontId="11" fillId="16" borderId="0" applyAlignment="1" applyProtection="1" pivotButton="0" quotePrefix="0" xfId="0">
      <alignment horizontal="left"/>
      <protection locked="0" hidden="0"/>
    </xf>
    <xf numFmtId="0" fontId="11" fillId="16" borderId="24" applyAlignment="1" applyProtection="1" pivotButton="0" quotePrefix="0" xfId="0">
      <alignment horizontal="left"/>
      <protection locked="0" hidden="0"/>
    </xf>
    <xf numFmtId="0" fontId="11" fillId="15" borderId="0" applyAlignment="1" applyProtection="1" pivotButton="0" quotePrefix="0" xfId="0">
      <alignment horizontal="center"/>
      <protection locked="0" hidden="0"/>
    </xf>
    <xf numFmtId="0" fontId="372" fillId="15" borderId="30" applyAlignment="1" pivotButton="0" quotePrefix="0" xfId="0">
      <alignment horizontal="center" vertical="center"/>
    </xf>
    <xf numFmtId="0" fontId="372" fillId="15" borderId="8" applyAlignment="1" pivotButton="0" quotePrefix="0" xfId="0">
      <alignment horizontal="center" vertical="center"/>
    </xf>
    <xf numFmtId="0" fontId="372" fillId="15" borderId="14" applyAlignment="1" pivotButton="0" quotePrefix="0" xfId="0">
      <alignment horizontal="center" vertical="center"/>
    </xf>
    <xf numFmtId="0" fontId="371" fillId="15" borderId="30" applyAlignment="1" pivotButton="0" quotePrefix="0" xfId="0">
      <alignment horizontal="center" vertical="center"/>
    </xf>
    <xf numFmtId="0" fontId="371" fillId="15" borderId="8" applyAlignment="1" pivotButton="0" quotePrefix="0" xfId="0">
      <alignment horizontal="center" vertical="center"/>
    </xf>
    <xf numFmtId="0" fontId="371" fillId="15" borderId="14" applyAlignment="1" pivotButton="0" quotePrefix="0" xfId="0">
      <alignment horizontal="center" vertical="center"/>
    </xf>
    <xf numFmtId="176" fontId="188" fillId="16" borderId="3" applyAlignment="1" applyProtection="1" pivotButton="0" quotePrefix="0" xfId="0">
      <alignment horizontal="center" vertical="center"/>
      <protection locked="0" hidden="0"/>
    </xf>
    <xf numFmtId="176" fontId="188" fillId="16" borderId="0" applyAlignment="1" applyProtection="1" pivotButton="0" quotePrefix="0" xfId="0">
      <alignment horizontal="center" vertical="center"/>
      <protection locked="0" hidden="0"/>
    </xf>
    <xf numFmtId="176" fontId="188" fillId="16" borderId="24" applyAlignment="1" applyProtection="1" pivotButton="0" quotePrefix="0" xfId="0">
      <alignment horizontal="center" vertical="center"/>
      <protection locked="0" hidden="0"/>
    </xf>
    <xf numFmtId="176" fontId="188" fillId="16" borderId="9" applyAlignment="1" applyProtection="1" pivotButton="0" quotePrefix="0" xfId="0">
      <alignment horizontal="center" vertical="center"/>
      <protection locked="0" hidden="0"/>
    </xf>
    <xf numFmtId="176" fontId="188" fillId="16" borderId="1" applyAlignment="1" applyProtection="1" pivotButton="0" quotePrefix="0" xfId="0">
      <alignment horizontal="center" vertical="center"/>
      <protection locked="0" hidden="0"/>
    </xf>
    <xf numFmtId="176" fontId="188" fillId="16" borderId="11" applyAlignment="1" applyProtection="1" pivotButton="0" quotePrefix="0" xfId="0">
      <alignment horizontal="center" vertical="center"/>
      <protection locked="0" hidden="0"/>
    </xf>
    <xf numFmtId="0" fontId="73" fillId="16" borderId="3" applyAlignment="1" applyProtection="1" pivotButton="0" quotePrefix="0" xfId="0">
      <alignment horizontal="center" vertical="center"/>
      <protection locked="0" hidden="0"/>
    </xf>
    <xf numFmtId="0" fontId="73" fillId="16" borderId="0" applyAlignment="1" applyProtection="1" pivotButton="0" quotePrefix="0" xfId="0">
      <alignment horizontal="center" vertical="center"/>
      <protection locked="0" hidden="0"/>
    </xf>
    <xf numFmtId="0" fontId="73" fillId="16" borderId="24" applyAlignment="1" applyProtection="1" pivotButton="0" quotePrefix="0" xfId="0">
      <alignment horizontal="center" vertical="center"/>
      <protection locked="0" hidden="0"/>
    </xf>
    <xf numFmtId="0" fontId="73" fillId="16" borderId="9" applyAlignment="1" applyProtection="1" pivotButton="0" quotePrefix="0" xfId="0">
      <alignment horizontal="center" vertical="center"/>
      <protection locked="0" hidden="0"/>
    </xf>
    <xf numFmtId="0" fontId="73" fillId="16" borderId="11" applyAlignment="1" applyProtection="1" pivotButton="0" quotePrefix="0" xfId="0">
      <alignment horizontal="center" vertical="center"/>
      <protection locked="0" hidden="0"/>
    </xf>
    <xf numFmtId="170" fontId="73" fillId="16" borderId="3" applyAlignment="1" applyProtection="1" pivotButton="0" quotePrefix="0" xfId="0">
      <alignment horizontal="center" vertical="center"/>
      <protection locked="0" hidden="0"/>
    </xf>
    <xf numFmtId="170" fontId="73" fillId="16" borderId="0" applyAlignment="1" applyProtection="1" pivotButton="0" quotePrefix="0" xfId="0">
      <alignment horizontal="center" vertical="center"/>
      <protection locked="0" hidden="0"/>
    </xf>
    <xf numFmtId="170" fontId="73" fillId="16" borderId="24" applyAlignment="1" applyProtection="1" pivotButton="0" quotePrefix="0" xfId="0">
      <alignment horizontal="center" vertical="center"/>
      <protection locked="0" hidden="0"/>
    </xf>
    <xf numFmtId="170" fontId="73" fillId="16" borderId="9" applyAlignment="1" applyProtection="1" pivotButton="0" quotePrefix="0" xfId="0">
      <alignment horizontal="center" vertical="center"/>
      <protection locked="0" hidden="0"/>
    </xf>
    <xf numFmtId="170" fontId="73" fillId="16" borderId="1" applyAlignment="1" applyProtection="1" pivotButton="0" quotePrefix="0" xfId="0">
      <alignment horizontal="center" vertical="center"/>
      <protection locked="0" hidden="0"/>
    </xf>
    <xf numFmtId="170" fontId="73" fillId="16" borderId="11" applyAlignment="1" applyProtection="1" pivotButton="0" quotePrefix="0" xfId="0">
      <alignment horizontal="center" vertical="center"/>
      <protection locked="0" hidden="0"/>
    </xf>
    <xf numFmtId="0" fontId="5" fillId="15" borderId="8" applyAlignment="1" pivotButton="0" quotePrefix="0" xfId="0">
      <alignment horizontal="center" vertical="center"/>
    </xf>
    <xf numFmtId="0" fontId="5" fillId="15" borderId="14" applyAlignment="1" pivotButton="0" quotePrefix="0" xfId="0">
      <alignment horizontal="center" vertical="center"/>
    </xf>
    <xf numFmtId="0" fontId="5" fillId="15" borderId="3" applyAlignment="1" pivotButton="0" quotePrefix="0" xfId="0">
      <alignment horizontal="center" vertical="center"/>
    </xf>
    <xf numFmtId="0" fontId="5" fillId="15" borderId="0" applyAlignment="1" pivotButton="0" quotePrefix="0" xfId="0">
      <alignment horizontal="center" vertical="center"/>
    </xf>
    <xf numFmtId="0" fontId="5" fillId="15" borderId="24" applyAlignment="1" pivotButton="0" quotePrefix="0" xfId="0">
      <alignment horizontal="center" vertical="center"/>
    </xf>
    <xf numFmtId="0" fontId="5" fillId="15" borderId="9" applyAlignment="1" pivotButton="0" quotePrefix="0" xfId="0">
      <alignment horizontal="center" vertical="center"/>
    </xf>
    <xf numFmtId="0" fontId="5" fillId="15" borderId="1" applyAlignment="1" pivotButton="0" quotePrefix="0" xfId="0">
      <alignment horizontal="center" vertical="center"/>
    </xf>
    <xf numFmtId="0" fontId="5" fillId="15" borderId="11" applyAlignment="1" pivotButton="0" quotePrefix="0" xfId="0">
      <alignment horizontal="center" vertical="center"/>
    </xf>
    <xf numFmtId="0" fontId="24" fillId="15" borderId="8" applyAlignment="1" pivotButton="0" quotePrefix="0" xfId="0">
      <alignment horizontal="center" vertical="center"/>
    </xf>
    <xf numFmtId="0" fontId="24" fillId="15" borderId="14" applyAlignment="1" pivotButton="0" quotePrefix="0" xfId="0">
      <alignment horizontal="center" vertical="center"/>
    </xf>
    <xf numFmtId="0" fontId="24" fillId="15" borderId="3" applyAlignment="1" pivotButton="0" quotePrefix="0" xfId="0">
      <alignment horizontal="center" vertical="center"/>
    </xf>
    <xf numFmtId="0" fontId="24" fillId="15" borderId="0" applyAlignment="1" pivotButton="0" quotePrefix="0" xfId="0">
      <alignment horizontal="center" vertical="center"/>
    </xf>
    <xf numFmtId="0" fontId="24" fillId="15" borderId="24" applyAlignment="1" pivotButton="0" quotePrefix="0" xfId="0">
      <alignment horizontal="center" vertical="center"/>
    </xf>
    <xf numFmtId="0" fontId="24" fillId="15" borderId="9" applyAlignment="1" pivotButton="0" quotePrefix="0" xfId="0">
      <alignment horizontal="center" vertical="center"/>
    </xf>
    <xf numFmtId="0" fontId="24" fillId="15" borderId="1" applyAlignment="1" pivotButton="0" quotePrefix="0" xfId="0">
      <alignment horizontal="center" vertical="center"/>
    </xf>
    <xf numFmtId="0" fontId="24" fillId="15" borderId="11" applyAlignment="1" pivotButton="0" quotePrefix="0" xfId="0">
      <alignment horizontal="center" vertical="center"/>
    </xf>
    <xf numFmtId="180" fontId="188" fillId="15" borderId="39" applyAlignment="1" pivotButton="0" quotePrefix="0" xfId="0">
      <alignment horizontal="right" vertical="center"/>
    </xf>
    <xf numFmtId="180" fontId="188" fillId="15" borderId="25" applyAlignment="1" pivotButton="0" quotePrefix="0" xfId="0">
      <alignment horizontal="right" vertical="center"/>
    </xf>
    <xf numFmtId="180" fontId="188" fillId="15" borderId="54" applyAlignment="1" pivotButton="0" quotePrefix="0" xfId="0">
      <alignment horizontal="right" vertical="center"/>
    </xf>
    <xf numFmtId="37" fontId="372" fillId="15" borderId="3" applyAlignment="1" pivotButton="0" quotePrefix="0" xfId="0">
      <alignment horizontal="right" vertical="center"/>
    </xf>
    <xf numFmtId="0" fontId="372" fillId="15" borderId="0" applyAlignment="1" pivotButton="0" quotePrefix="0" xfId="0">
      <alignment horizontal="right" vertical="center"/>
    </xf>
    <xf numFmtId="0" fontId="372" fillId="15" borderId="24" applyAlignment="1" pivotButton="0" quotePrefix="0" xfId="0">
      <alignment horizontal="right" vertical="center"/>
    </xf>
    <xf numFmtId="37" fontId="9" fillId="16" borderId="39" applyAlignment="1" pivotButton="0" quotePrefix="0" xfId="0">
      <alignment horizontal="right"/>
    </xf>
    <xf numFmtId="37" fontId="4" fillId="16" borderId="25" applyAlignment="1" pivotButton="0" quotePrefix="0" xfId="0">
      <alignment horizontal="right"/>
    </xf>
    <xf numFmtId="0" fontId="10" fillId="0" borderId="12" applyAlignment="1" pivotButton="0" quotePrefix="0" xfId="0">
      <alignment horizontal="center" vertical="center" wrapText="1"/>
    </xf>
    <xf numFmtId="0" fontId="4" fillId="0" borderId="0" applyAlignment="1" pivotButton="0" quotePrefix="0" xfId="0">
      <alignment horizontal="center" vertical="center"/>
    </xf>
    <xf numFmtId="0" fontId="46" fillId="15" borderId="30" applyAlignment="1" pivotButton="0" quotePrefix="0" xfId="0">
      <alignment horizontal="center" vertical="center" wrapText="1"/>
    </xf>
    <xf numFmtId="0" fontId="0" fillId="0" borderId="10" applyAlignment="1" pivotButton="0" quotePrefix="0" xfId="0">
      <alignment horizontal="center" vertical="center" wrapText="1"/>
    </xf>
    <xf numFmtId="0" fontId="10" fillId="2" borderId="30" applyAlignment="1" pivotButton="0" quotePrefix="0" xfId="0">
      <alignment horizontal="center" vertical="center" wrapText="1"/>
    </xf>
    <xf numFmtId="0" fontId="10" fillId="2" borderId="3" applyAlignment="1" pivotButton="0" quotePrefix="0" xfId="0">
      <alignment horizontal="center" vertical="center" wrapText="1"/>
    </xf>
    <xf numFmtId="0" fontId="6" fillId="0" borderId="39" applyAlignment="1" pivotButton="0" quotePrefix="0" xfId="0">
      <alignment horizontal="center"/>
    </xf>
    <xf numFmtId="0" fontId="6" fillId="0" borderId="12" applyAlignment="1" pivotButton="0" quotePrefix="0" xfId="0">
      <alignment horizontal="center" textRotation="90" wrapText="1"/>
    </xf>
    <xf numFmtId="0" fontId="6" fillId="0" borderId="12" applyAlignment="1" pivotButton="0" quotePrefix="0" xfId="0">
      <alignment horizontal="center" wrapText="1"/>
    </xf>
    <xf numFmtId="0" fontId="16" fillId="0" borderId="12" applyAlignment="1" pivotButton="0" quotePrefix="0" xfId="0">
      <alignment horizontal="center" vertical="center" wrapText="1"/>
    </xf>
    <xf numFmtId="0" fontId="113" fillId="5" borderId="0" applyAlignment="1" pivotButton="0" quotePrefix="0" xfId="0">
      <alignment horizontal="right"/>
    </xf>
    <xf numFmtId="0" fontId="113" fillId="0" borderId="0" applyAlignment="1" pivotButton="0" quotePrefix="0" xfId="0">
      <alignment horizontal="right"/>
    </xf>
    <xf numFmtId="0" fontId="6" fillId="2" borderId="0" pivotButton="0" quotePrefix="0" xfId="0"/>
    <xf numFmtId="0" fontId="72" fillId="2" borderId="0" applyAlignment="1" pivotButton="0" quotePrefix="0" xfId="0">
      <alignment horizontal="center" vertical="center"/>
    </xf>
    <xf numFmtId="176" fontId="11" fillId="27" borderId="69" applyAlignment="1" pivotButton="0" quotePrefix="0" xfId="0">
      <alignment horizontal="center" vertical="center"/>
    </xf>
    <xf numFmtId="0" fontId="0" fillId="27" borderId="4" pivotButton="0" quotePrefix="0" xfId="0"/>
    <xf numFmtId="0" fontId="11" fillId="27" borderId="4" applyAlignment="1" pivotButton="0" quotePrefix="0" xfId="0">
      <alignment horizontal="left" indent="1"/>
    </xf>
    <xf numFmtId="0" fontId="0" fillId="27" borderId="4" applyAlignment="1" pivotButton="0" quotePrefix="0" xfId="0">
      <alignment horizontal="left" indent="1"/>
    </xf>
    <xf numFmtId="0" fontId="0" fillId="27" borderId="70" applyAlignment="1" pivotButton="0" quotePrefix="0" xfId="0">
      <alignment horizontal="left" indent="1"/>
    </xf>
    <xf numFmtId="0" fontId="44" fillId="2" borderId="100" applyAlignment="1" pivotButton="0" quotePrefix="0" xfId="0">
      <alignment horizontal="center"/>
    </xf>
    <xf numFmtId="0" fontId="44" fillId="0" borderId="0" applyAlignment="1" pivotButton="0" quotePrefix="0" xfId="0">
      <alignment horizontal="center"/>
    </xf>
    <xf numFmtId="0" fontId="44" fillId="0" borderId="75" applyAlignment="1" pivotButton="0" quotePrefix="0" xfId="0">
      <alignment horizontal="center"/>
    </xf>
    <xf numFmtId="0" fontId="44" fillId="0" borderId="100" applyAlignment="1" pivotButton="0" quotePrefix="0" xfId="0">
      <alignment horizontal="center"/>
    </xf>
    <xf numFmtId="0" fontId="0" fillId="0" borderId="100" applyAlignment="1" pivotButton="0" quotePrefix="0" xfId="0">
      <alignment horizontal="center"/>
    </xf>
    <xf numFmtId="0" fontId="51" fillId="9" borderId="8" applyAlignment="1" pivotButton="0" quotePrefix="0" xfId="0">
      <alignment horizontal="center"/>
    </xf>
    <xf numFmtId="0" fontId="15" fillId="2" borderId="8" pivotButton="0" quotePrefix="0" xfId="0"/>
    <xf numFmtId="0" fontId="15" fillId="2" borderId="0" pivotButton="0" quotePrefix="0" xfId="0"/>
    <xf numFmtId="0" fontId="15" fillId="0" borderId="0" pivotButton="0" quotePrefix="0" xfId="0"/>
    <xf numFmtId="0" fontId="15" fillId="0" borderId="1" pivotButton="0" quotePrefix="0" xfId="0"/>
    <xf numFmtId="0" fontId="9" fillId="2" borderId="100" applyAlignment="1" pivotButton="0" quotePrefix="0" xfId="0">
      <alignment horizontal="center" vertical="center"/>
    </xf>
    <xf numFmtId="0" fontId="9" fillId="0" borderId="0" applyAlignment="1" pivotButton="0" quotePrefix="0" xfId="0">
      <alignment horizontal="center" vertical="center"/>
    </xf>
    <xf numFmtId="0" fontId="9" fillId="0" borderId="75" applyAlignment="1" pivotButton="0" quotePrefix="0" xfId="0">
      <alignment horizontal="center" vertical="center"/>
    </xf>
    <xf numFmtId="0" fontId="8" fillId="2" borderId="8" applyAlignment="1" pivotButton="0" quotePrefix="0" xfId="0">
      <alignment horizontal="center" vertical="center" wrapText="1"/>
    </xf>
    <xf numFmtId="0" fontId="8" fillId="2" borderId="8" applyAlignment="1" pivotButton="0" quotePrefix="0" xfId="0">
      <alignment horizontal="center" vertical="center"/>
    </xf>
    <xf numFmtId="0" fontId="8" fillId="2" borderId="14" applyAlignment="1" pivotButton="0" quotePrefix="0" xfId="0">
      <alignment horizontal="center" vertical="center"/>
    </xf>
    <xf numFmtId="0" fontId="8" fillId="2" borderId="0" applyAlignment="1" pivotButton="0" quotePrefix="0" xfId="0">
      <alignment horizontal="center" vertical="center"/>
    </xf>
    <xf numFmtId="0" fontId="8" fillId="2" borderId="24" applyAlignment="1" pivotButton="0" quotePrefix="0" xfId="0">
      <alignment horizontal="center" vertical="center"/>
    </xf>
    <xf numFmtId="0" fontId="8" fillId="2" borderId="1" applyAlignment="1" pivotButton="0" quotePrefix="0" xfId="0">
      <alignment horizontal="center" vertical="center"/>
    </xf>
    <xf numFmtId="0" fontId="8" fillId="2" borderId="11" applyAlignment="1" pivotButton="0" quotePrefix="0" xfId="0">
      <alignment horizontal="center" vertical="center"/>
    </xf>
    <xf numFmtId="0" fontId="0" fillId="16" borderId="54" applyAlignment="1" applyProtection="1" pivotButton="0" quotePrefix="0" xfId="0">
      <alignment horizontal="right"/>
      <protection locked="0" hidden="0"/>
    </xf>
    <xf numFmtId="0" fontId="16" fillId="15" borderId="30" applyAlignment="1" pivotButton="0" quotePrefix="0" xfId="0">
      <alignment horizontal="center" vertical="center" wrapText="1"/>
    </xf>
    <xf numFmtId="0" fontId="16" fillId="15" borderId="8" applyAlignment="1" pivotButton="0" quotePrefix="0" xfId="0">
      <alignment horizontal="center" vertical="center" wrapText="1"/>
    </xf>
    <xf numFmtId="0" fontId="16" fillId="15" borderId="14" applyAlignment="1" pivotButton="0" quotePrefix="0" xfId="0">
      <alignment horizontal="center" vertical="center" wrapText="1"/>
    </xf>
    <xf numFmtId="0" fontId="16" fillId="15" borderId="9" applyAlignment="1" pivotButton="0" quotePrefix="0" xfId="0">
      <alignment horizontal="center" vertical="center" wrapText="1"/>
    </xf>
    <xf numFmtId="0" fontId="16" fillId="15" borderId="1" applyAlignment="1" pivotButton="0" quotePrefix="0" xfId="0">
      <alignment horizontal="center" vertical="center" wrapText="1"/>
    </xf>
    <xf numFmtId="0" fontId="16" fillId="15" borderId="11" applyAlignment="1" pivotButton="0" quotePrefix="0" xfId="0">
      <alignment horizontal="center" vertical="center" wrapText="1"/>
    </xf>
    <xf numFmtId="0" fontId="8" fillId="0" borderId="14" applyAlignment="1" pivotButton="0" quotePrefix="0" xfId="0">
      <alignment horizontal="center" vertical="center"/>
    </xf>
    <xf numFmtId="0" fontId="8" fillId="0" borderId="24" applyAlignment="1" pivotButton="0" quotePrefix="0" xfId="0">
      <alignment horizontal="center" vertical="center"/>
    </xf>
    <xf numFmtId="0" fontId="8" fillId="0" borderId="11" applyAlignment="1" pivotButton="0" quotePrefix="0" xfId="0">
      <alignment horizontal="center" vertical="center"/>
    </xf>
    <xf numFmtId="0" fontId="10" fillId="2" borderId="100" applyAlignment="1" pivotButton="0" quotePrefix="0" xfId="0">
      <alignment horizontal="center" vertical="center" wrapText="1"/>
    </xf>
    <xf numFmtId="0" fontId="6" fillId="2" borderId="0" applyAlignment="1" pivotButton="0" quotePrefix="0" xfId="0">
      <alignment horizontal="center" vertical="center" wrapText="1"/>
    </xf>
    <xf numFmtId="0" fontId="6" fillId="2" borderId="72" applyAlignment="1" pivotButton="0" quotePrefix="0" xfId="0">
      <alignment horizontal="center" vertical="center" wrapText="1"/>
    </xf>
    <xf numFmtId="0" fontId="6" fillId="2" borderId="13" applyAlignment="1" pivotButton="0" quotePrefix="0" xfId="0">
      <alignment horizontal="center" vertical="center" wrapText="1"/>
    </xf>
    <xf numFmtId="0" fontId="9" fillId="2" borderId="100" applyAlignment="1" pivotButton="0" quotePrefix="0" xfId="0">
      <alignment horizontal="center" vertical="top"/>
    </xf>
    <xf numFmtId="0" fontId="9" fillId="0" borderId="0" applyAlignment="1" pivotButton="0" quotePrefix="0" xfId="0">
      <alignment horizontal="center" vertical="top"/>
    </xf>
    <xf numFmtId="0" fontId="9" fillId="0" borderId="75" applyAlignment="1" pivotButton="0" quotePrefix="0" xfId="0">
      <alignment horizontal="center" vertical="top"/>
    </xf>
    <xf numFmtId="0" fontId="8" fillId="0" borderId="72" applyAlignment="1" pivotButton="0" quotePrefix="0" xfId="0">
      <alignment vertical="top"/>
    </xf>
    <xf numFmtId="0" fontId="8" fillId="0" borderId="13" applyAlignment="1" pivotButton="0" quotePrefix="0" xfId="0">
      <alignment vertical="top"/>
    </xf>
    <xf numFmtId="0" fontId="8" fillId="0" borderId="33" applyAlignment="1" pivotButton="0" quotePrefix="0" xfId="0">
      <alignment vertical="top"/>
    </xf>
    <xf numFmtId="0" fontId="20" fillId="0" borderId="13" applyAlignment="1" pivotButton="0" quotePrefix="0" xfId="0">
      <alignment horizontal="left" wrapText="1"/>
    </xf>
    <xf numFmtId="0" fontId="9" fillId="16" borderId="25" applyAlignment="1" applyProtection="1" pivotButton="0" quotePrefix="0" xfId="0">
      <alignment horizontal="left" indent="1"/>
      <protection locked="0" hidden="0"/>
    </xf>
    <xf numFmtId="37" fontId="9" fillId="16" borderId="39" applyAlignment="1" applyProtection="1" pivotButton="0" quotePrefix="0" xfId="0">
      <alignment horizontal="center"/>
      <protection locked="0" hidden="0"/>
    </xf>
    <xf numFmtId="166" fontId="9" fillId="16" borderId="39" applyAlignment="1" applyProtection="1" pivotButton="0" quotePrefix="0" xfId="0">
      <alignment horizontal="center"/>
      <protection locked="0" hidden="0"/>
    </xf>
    <xf numFmtId="166" fontId="9" fillId="16" borderId="25" applyAlignment="1" applyProtection="1" pivotButton="0" quotePrefix="0" xfId="0">
      <alignment horizontal="center"/>
      <protection locked="0" hidden="0"/>
    </xf>
    <xf numFmtId="166" fontId="9" fillId="16" borderId="54" applyAlignment="1" applyProtection="1" pivotButton="0" quotePrefix="0" xfId="0">
      <alignment horizontal="center"/>
      <protection locked="0" hidden="0"/>
    </xf>
    <xf numFmtId="166" fontId="4" fillId="16" borderId="25" applyAlignment="1" applyProtection="1" pivotButton="0" quotePrefix="0" xfId="0">
      <alignment horizontal="center"/>
      <protection locked="0" hidden="0"/>
    </xf>
    <xf numFmtId="0" fontId="15" fillId="0" borderId="8" applyAlignment="1" pivotButton="0" quotePrefix="0" xfId="0">
      <alignment horizontal="center" vertical="top"/>
    </xf>
    <xf numFmtId="0" fontId="15" fillId="0" borderId="0" applyAlignment="1" pivotButton="0" quotePrefix="0" xfId="0">
      <alignment horizontal="center" vertical="top"/>
    </xf>
    <xf numFmtId="37" fontId="0" fillId="16" borderId="30" applyAlignment="1" pivotButton="0" quotePrefix="0" xfId="0">
      <alignment horizontal="right"/>
    </xf>
    <xf numFmtId="0" fontId="0" fillId="16" borderId="8" applyAlignment="1" pivotButton="0" quotePrefix="0" xfId="0">
      <alignment horizontal="right"/>
    </xf>
    <xf numFmtId="0" fontId="0" fillId="16" borderId="14" applyAlignment="1" pivotButton="0" quotePrefix="0" xfId="0">
      <alignment horizontal="right"/>
    </xf>
    <xf numFmtId="0" fontId="0" fillId="16" borderId="3" applyAlignment="1" pivotButton="0" quotePrefix="0" xfId="0">
      <alignment horizontal="right"/>
    </xf>
    <xf numFmtId="0" fontId="0" fillId="16" borderId="0" applyAlignment="1" pivotButton="0" quotePrefix="0" xfId="0">
      <alignment horizontal="right"/>
    </xf>
    <xf numFmtId="0" fontId="0" fillId="16" borderId="24" applyAlignment="1" pivotButton="0" quotePrefix="0" xfId="0">
      <alignment horizontal="right"/>
    </xf>
    <xf numFmtId="0" fontId="0" fillId="16" borderId="69" applyAlignment="1" pivotButton="0" quotePrefix="0" xfId="0">
      <alignment horizontal="right"/>
    </xf>
    <xf numFmtId="0" fontId="0" fillId="16" borderId="4" applyAlignment="1" pivotButton="0" quotePrefix="0" xfId="0">
      <alignment horizontal="right"/>
    </xf>
    <xf numFmtId="0" fontId="0" fillId="16" borderId="70" applyAlignment="1" pivotButton="0" quotePrefix="0" xfId="0">
      <alignment horizontal="right"/>
    </xf>
    <xf numFmtId="166" fontId="4" fillId="16" borderId="54" applyAlignment="1" applyProtection="1" pivotButton="0" quotePrefix="0" xfId="0">
      <alignment horizontal="center"/>
      <protection locked="0" hidden="0"/>
    </xf>
    <xf numFmtId="37" fontId="0" fillId="23" borderId="30" applyAlignment="1" pivotButton="0" quotePrefix="0" xfId="0">
      <alignment horizontal="right"/>
    </xf>
    <xf numFmtId="0" fontId="0" fillId="23" borderId="14" applyAlignment="1" pivotButton="0" quotePrefix="0" xfId="0">
      <alignment horizontal="right"/>
    </xf>
    <xf numFmtId="0" fontId="0" fillId="23" borderId="3" applyAlignment="1" pivotButton="0" quotePrefix="0" xfId="0">
      <alignment horizontal="right"/>
    </xf>
    <xf numFmtId="0" fontId="0" fillId="23" borderId="24" applyAlignment="1" pivotButton="0" quotePrefix="0" xfId="0">
      <alignment horizontal="right"/>
    </xf>
    <xf numFmtId="0" fontId="0" fillId="23" borderId="9" applyAlignment="1" pivotButton="0" quotePrefix="0" xfId="0">
      <alignment horizontal="right"/>
    </xf>
    <xf numFmtId="0" fontId="0" fillId="23" borderId="11" applyAlignment="1" pivotButton="0" quotePrefix="0" xfId="0">
      <alignment horizontal="right"/>
    </xf>
    <xf numFmtId="0" fontId="0" fillId="16" borderId="9" applyAlignment="1" pivotButton="0" quotePrefix="0" xfId="0">
      <alignment horizontal="right"/>
    </xf>
    <xf numFmtId="0" fontId="0" fillId="16" borderId="11" applyAlignment="1" pivotButton="0" quotePrefix="0" xfId="0">
      <alignment horizontal="right"/>
    </xf>
    <xf numFmtId="0" fontId="5" fillId="15" borderId="7" applyAlignment="1" pivotButton="0" quotePrefix="0" xfId="0">
      <alignment horizontal="left" wrapText="1"/>
    </xf>
    <xf numFmtId="0" fontId="5" fillId="15" borderId="7" applyAlignment="1" pivotButton="0" quotePrefix="0" xfId="0">
      <alignment wrapText="1"/>
    </xf>
    <xf numFmtId="0" fontId="8" fillId="15" borderId="99" applyAlignment="1" pivotButton="0" quotePrefix="0" xfId="0">
      <alignment horizontal="left" vertical="top" wrapText="1"/>
    </xf>
    <xf numFmtId="0" fontId="8" fillId="0" borderId="99" applyAlignment="1" pivotButton="0" quotePrefix="0" xfId="0">
      <alignment wrapText="1"/>
    </xf>
    <xf numFmtId="0" fontId="8" fillId="0" borderId="13" applyAlignment="1" pivotButton="0" quotePrefix="0" xfId="0">
      <alignment wrapText="1"/>
    </xf>
    <xf numFmtId="0" fontId="11" fillId="0" borderId="8" applyAlignment="1" pivotButton="0" quotePrefix="0" xfId="0">
      <alignment horizontal="center" vertical="top"/>
    </xf>
    <xf numFmtId="0" fontId="11" fillId="0" borderId="0" applyAlignment="1" pivotButton="0" quotePrefix="0" xfId="0">
      <alignment horizontal="center" vertical="top"/>
    </xf>
    <xf numFmtId="0" fontId="8" fillId="2" borderId="8" applyAlignment="1" pivotButton="0" quotePrefix="0" xfId="0">
      <alignment vertical="top" wrapText="1"/>
    </xf>
    <xf numFmtId="0" fontId="8" fillId="0" borderId="8" applyAlignment="1" pivotButton="0" quotePrefix="0" xfId="0">
      <alignment vertical="top" wrapText="1"/>
    </xf>
    <xf numFmtId="0" fontId="8" fillId="0" borderId="0" applyAlignment="1" pivotButton="0" quotePrefix="0" xfId="0">
      <alignment vertical="top" wrapText="1"/>
    </xf>
    <xf numFmtId="0" fontId="0" fillId="16" borderId="1" applyAlignment="1" pivotButton="0" quotePrefix="0" xfId="0">
      <alignment horizontal="right"/>
    </xf>
    <xf numFmtId="180" fontId="8" fillId="3" borderId="0" applyAlignment="1" pivotButton="0" quotePrefix="0" xfId="0">
      <alignment horizontal="right"/>
    </xf>
    <xf numFmtId="180" fontId="0" fillId="0" borderId="24" applyAlignment="1" pivotButton="0" quotePrefix="0" xfId="0">
      <alignment horizontal="right"/>
    </xf>
    <xf numFmtId="0" fontId="8" fillId="0" borderId="0" applyAlignment="1" pivotButton="0" quotePrefix="0" xfId="0">
      <alignment horizontal="center" vertical="top"/>
    </xf>
    <xf numFmtId="0" fontId="8" fillId="0" borderId="20" applyAlignment="1" pivotButton="0" quotePrefix="0" xfId="0">
      <alignment horizontal="center" vertical="top"/>
    </xf>
    <xf numFmtId="0" fontId="9" fillId="3" borderId="21" applyAlignment="1" pivotButton="0" quotePrefix="0" xfId="0">
      <alignment horizontal="center" vertical="center"/>
    </xf>
    <xf numFmtId="0" fontId="8" fillId="0" borderId="4" applyAlignment="1" pivotButton="0" quotePrefix="0" xfId="0">
      <alignment horizontal="center" vertical="center"/>
    </xf>
    <xf numFmtId="0" fontId="8" fillId="0" borderId="22" applyAlignment="1" pivotButton="0" quotePrefix="0" xfId="0">
      <alignment horizontal="center" vertical="center"/>
    </xf>
    <xf numFmtId="0" fontId="58" fillId="3" borderId="0" applyAlignment="1" pivotButton="0" quotePrefix="0" xfId="0">
      <alignment horizontal="left" vertical="center"/>
    </xf>
    <xf numFmtId="0" fontId="92" fillId="0" borderId="20" applyAlignment="1" pivotButton="0" quotePrefix="0" xfId="0">
      <alignment horizontal="left" vertical="center"/>
    </xf>
    <xf numFmtId="0" fontId="92" fillId="0" borderId="0" applyAlignment="1" pivotButton="0" quotePrefix="0" xfId="0">
      <alignment vertical="center"/>
    </xf>
    <xf numFmtId="0" fontId="92" fillId="0" borderId="20" applyAlignment="1" pivotButton="0" quotePrefix="0" xfId="0">
      <alignment vertical="center"/>
    </xf>
    <xf numFmtId="0" fontId="20" fillId="3" borderId="0" applyAlignment="1" pivotButton="0" quotePrefix="0" xfId="0">
      <alignment horizontal="center"/>
    </xf>
    <xf numFmtId="0" fontId="11" fillId="3" borderId="8" applyAlignment="1" pivotButton="0" quotePrefix="0" xfId="0">
      <alignment horizontal="left" vertical="top"/>
    </xf>
    <xf numFmtId="0" fontId="20" fillId="14" borderId="0" applyAlignment="1" pivotButton="0" quotePrefix="0" xfId="0">
      <alignment horizontal="center"/>
    </xf>
    <xf numFmtId="0" fontId="9" fillId="14" borderId="5" applyAlignment="1" pivotButton="0" quotePrefix="0" xfId="0">
      <alignment horizontal="center" vertical="top"/>
    </xf>
    <xf numFmtId="0" fontId="41" fillId="14" borderId="0" applyAlignment="1" pivotButton="0" quotePrefix="0" xfId="0">
      <alignment horizontal="center" vertical="top"/>
    </xf>
    <xf numFmtId="0" fontId="8" fillId="15" borderId="0" applyAlignment="1" pivotButton="0" quotePrefix="0" xfId="0">
      <alignment horizontal="center" vertical="top"/>
    </xf>
    <xf numFmtId="0" fontId="8" fillId="15" borderId="20" applyAlignment="1" pivotButton="0" quotePrefix="0" xfId="0">
      <alignment horizontal="center" vertical="top"/>
    </xf>
    <xf numFmtId="0" fontId="166" fillId="5" borderId="0" applyAlignment="1" pivotButton="0" quotePrefix="0" xfId="0">
      <alignment horizontal="center" vertical="top"/>
    </xf>
    <xf numFmtId="39" fontId="271" fillId="3" borderId="0" applyAlignment="1" pivotButton="0" quotePrefix="0" xfId="0">
      <alignment horizontal="center" vertical="top" wrapText="1"/>
    </xf>
    <xf numFmtId="0" fontId="12" fillId="14" borderId="21" applyAlignment="1" pivotButton="0" quotePrefix="0" xfId="0">
      <alignment horizontal="center" vertical="center"/>
    </xf>
    <xf numFmtId="0" fontId="12" fillId="14" borderId="4" applyAlignment="1" pivotButton="0" quotePrefix="0" xfId="0">
      <alignment horizontal="center" vertical="center"/>
    </xf>
    <xf numFmtId="0" fontId="10" fillId="15" borderId="4" applyAlignment="1" pivotButton="0" quotePrefix="0" xfId="0">
      <alignment horizontal="center" vertical="center"/>
    </xf>
    <xf numFmtId="0" fontId="10" fillId="15" borderId="22" applyAlignment="1" pivotButton="0" quotePrefix="0" xfId="0">
      <alignment horizontal="center" vertical="center"/>
    </xf>
    <xf numFmtId="0" fontId="15" fillId="15" borderId="8" applyAlignment="1" pivotButton="0" quotePrefix="1" xfId="0">
      <alignment horizontal="right" vertical="center" wrapText="1"/>
    </xf>
    <xf numFmtId="0" fontId="0" fillId="0" borderId="1" applyAlignment="1" pivotButton="0" quotePrefix="0" xfId="0">
      <alignment vertical="center" wrapText="1"/>
    </xf>
    <xf numFmtId="0" fontId="15" fillId="0" borderId="8" applyAlignment="1" pivotButton="0" quotePrefix="0" xfId="0">
      <alignment horizontal="center" vertical="center" wrapText="1"/>
    </xf>
    <xf numFmtId="0" fontId="15" fillId="0" borderId="8" applyAlignment="1" pivotButton="0" quotePrefix="0" xfId="0">
      <alignment horizontal="center" vertical="center"/>
    </xf>
    <xf numFmtId="0" fontId="15" fillId="0" borderId="0" applyAlignment="1" pivotButton="0" quotePrefix="0" xfId="0">
      <alignment horizontal="center" vertical="center"/>
    </xf>
    <xf numFmtId="0" fontId="6" fillId="15" borderId="25" applyAlignment="1" pivotButton="0" quotePrefix="0" xfId="0">
      <alignment horizontal="left"/>
    </xf>
    <xf numFmtId="39" fontId="4" fillId="16" borderId="12" applyProtection="1" pivotButton="0" quotePrefix="0" xfId="0">
      <protection locked="0" hidden="0"/>
    </xf>
    <xf numFmtId="49" fontId="0" fillId="16" borderId="1" applyAlignment="1" applyProtection="1" pivotButton="0" quotePrefix="0" xfId="0">
      <alignment horizontal="center"/>
      <protection locked="0" hidden="0"/>
    </xf>
    <xf numFmtId="49" fontId="0" fillId="0" borderId="1" applyAlignment="1" applyProtection="1" pivotButton="0" quotePrefix="0" xfId="0">
      <alignment horizontal="center"/>
      <protection locked="0" hidden="0"/>
    </xf>
    <xf numFmtId="49" fontId="0" fillId="0" borderId="11" applyAlignment="1" applyProtection="1" pivotButton="0" quotePrefix="0" xfId="0">
      <alignment horizontal="center"/>
      <protection locked="0" hidden="0"/>
    </xf>
    <xf numFmtId="176" fontId="15" fillId="16" borderId="9" applyAlignment="1" applyProtection="1" pivotButton="0" quotePrefix="0" xfId="0">
      <alignment horizontal="center"/>
      <protection locked="0" hidden="0"/>
    </xf>
    <xf numFmtId="176" fontId="15" fillId="0" borderId="1" applyAlignment="1" applyProtection="1" pivotButton="0" quotePrefix="0" xfId="0">
      <alignment horizontal="center"/>
      <protection locked="0" hidden="0"/>
    </xf>
    <xf numFmtId="176" fontId="15" fillId="0" borderId="11" applyAlignment="1" applyProtection="1" pivotButton="0" quotePrefix="0" xfId="0">
      <alignment horizontal="center"/>
      <protection locked="0" hidden="0"/>
    </xf>
    <xf numFmtId="39" fontId="4" fillId="25" borderId="12" pivotButton="0" quotePrefix="0" xfId="0"/>
    <xf numFmtId="49" fontId="6" fillId="16" borderId="1" applyAlignment="1" applyProtection="1" pivotButton="0" quotePrefix="0" xfId="0">
      <alignment horizontal="center"/>
      <protection locked="0" hidden="0"/>
    </xf>
    <xf numFmtId="0" fontId="4" fillId="0" borderId="8" applyAlignment="1" pivotButton="0" quotePrefix="0" xfId="0">
      <alignment horizontal="left" vertical="center"/>
    </xf>
    <xf numFmtId="0" fontId="4" fillId="0" borderId="14"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1" applyAlignment="1" pivotButton="0" quotePrefix="0" xfId="0">
      <alignment horizontal="left" vertical="center"/>
    </xf>
    <xf numFmtId="0" fontId="4" fillId="0" borderId="11" applyAlignment="1" pivotButton="0" quotePrefix="0" xfId="0">
      <alignment horizontal="left" vertical="center"/>
    </xf>
    <xf numFmtId="0" fontId="8" fillId="23" borderId="15" applyAlignment="1" pivotButton="0" quotePrefix="0" xfId="0">
      <alignment horizontal="center" vertical="center" wrapText="1"/>
    </xf>
    <xf numFmtId="0" fontId="8" fillId="23" borderId="15" applyAlignment="1" pivotButton="0" quotePrefix="0" xfId="0">
      <alignment horizontal="center" vertical="center"/>
    </xf>
    <xf numFmtId="0" fontId="8" fillId="23" borderId="6" applyAlignment="1" pivotButton="0" quotePrefix="0" xfId="0">
      <alignment horizontal="center" vertical="center"/>
    </xf>
    <xf numFmtId="0" fontId="0" fillId="15" borderId="8" applyAlignment="1" pivotButton="0" quotePrefix="0" xfId="0">
      <alignment vertical="top"/>
    </xf>
    <xf numFmtId="0" fontId="0" fillId="15" borderId="14" applyAlignment="1" pivotButton="0" quotePrefix="0" xfId="0">
      <alignment vertical="top"/>
    </xf>
    <xf numFmtId="0" fontId="6" fillId="15" borderId="8" applyAlignment="1" pivotButton="0" quotePrefix="0" xfId="0">
      <alignment vertical="top" wrapText="1"/>
    </xf>
    <xf numFmtId="0" fontId="4" fillId="23" borderId="30" applyAlignment="1" pivotButton="0" quotePrefix="0" xfId="0">
      <alignment horizontal="center" vertical="center"/>
    </xf>
    <xf numFmtId="0" fontId="4" fillId="23" borderId="8" applyAlignment="1" pivotButton="0" quotePrefix="0" xfId="0">
      <alignment horizontal="center" vertical="center"/>
    </xf>
    <xf numFmtId="0" fontId="4" fillId="23" borderId="14" applyAlignment="1" pivotButton="0" quotePrefix="0" xfId="0">
      <alignment horizontal="center" vertical="center"/>
    </xf>
    <xf numFmtId="0" fontId="4" fillId="23" borderId="3" applyAlignment="1" pivotButton="0" quotePrefix="0" xfId="0">
      <alignment horizontal="center" vertical="center"/>
    </xf>
    <xf numFmtId="0" fontId="4" fillId="23" borderId="0" applyAlignment="1" pivotButton="0" quotePrefix="0" xfId="0">
      <alignment horizontal="center" vertical="center"/>
    </xf>
    <xf numFmtId="0" fontId="4" fillId="23" borderId="24" applyAlignment="1" pivotButton="0" quotePrefix="0" xfId="0">
      <alignment horizontal="center" vertical="center"/>
    </xf>
    <xf numFmtId="0" fontId="4" fillId="0" borderId="4" applyAlignment="1" pivotButton="0" quotePrefix="0" xfId="0">
      <alignment horizontal="right"/>
    </xf>
    <xf numFmtId="0" fontId="6" fillId="15" borderId="25" applyAlignment="1" pivotButton="0" quotePrefix="0" xfId="0">
      <alignment horizontal="right"/>
    </xf>
    <xf numFmtId="0" fontId="6" fillId="15" borderId="54" applyAlignment="1" pivotButton="0" quotePrefix="0" xfId="0">
      <alignment horizontal="right"/>
    </xf>
    <xf numFmtId="0" fontId="6" fillId="15" borderId="31" applyAlignment="1" pivotButton="0" quotePrefix="0" xfId="0">
      <alignment horizontal="left"/>
    </xf>
    <xf numFmtId="39" fontId="4" fillId="25" borderId="51" pivotButton="0" quotePrefix="0" xfId="0"/>
    <xf numFmtId="0" fontId="4" fillId="23" borderId="30" applyAlignment="1" pivotButton="0" quotePrefix="0" xfId="0">
      <alignment horizontal="center" vertical="center" wrapText="1"/>
    </xf>
    <xf numFmtId="10" fontId="0" fillId="16" borderId="9" applyAlignment="1" applyProtection="1" pivotButton="0" quotePrefix="0" xfId="0">
      <alignment horizontal="center"/>
      <protection locked="0" hidden="0"/>
    </xf>
    <xf numFmtId="10" fontId="0" fillId="16" borderId="1" applyAlignment="1" applyProtection="1" pivotButton="0" quotePrefix="0" xfId="0">
      <alignment horizontal="center"/>
      <protection locked="0" hidden="0"/>
    </xf>
    <xf numFmtId="10" fontId="0" fillId="0" borderId="1" applyAlignment="1" applyProtection="1" pivotButton="0" quotePrefix="0" xfId="0">
      <alignment horizontal="center"/>
      <protection locked="0" hidden="0"/>
    </xf>
    <xf numFmtId="10" fontId="0" fillId="0" borderId="11" applyAlignment="1" applyProtection="1" pivotButton="0" quotePrefix="0" xfId="0">
      <alignment horizontal="center"/>
      <protection locked="0" hidden="0"/>
    </xf>
    <xf numFmtId="194" fontId="6" fillId="16" borderId="9" applyAlignment="1" applyProtection="1" pivotButton="0" quotePrefix="0" xfId="0">
      <alignment horizontal="center"/>
      <protection locked="0" hidden="0"/>
    </xf>
    <xf numFmtId="194" fontId="0" fillId="16" borderId="1" applyAlignment="1" applyProtection="1" pivotButton="0" quotePrefix="0" xfId="0">
      <alignment horizontal="center"/>
      <protection locked="0" hidden="0"/>
    </xf>
    <xf numFmtId="194" fontId="0" fillId="0" borderId="1" applyAlignment="1" applyProtection="1" pivotButton="0" quotePrefix="0" xfId="0">
      <alignment horizontal="center"/>
      <protection locked="0" hidden="0"/>
    </xf>
    <xf numFmtId="0" fontId="4" fillId="0" borderId="1" applyAlignment="1" pivotButton="0" quotePrefix="0" xfId="0">
      <alignment horizontal="right"/>
    </xf>
    <xf numFmtId="0" fontId="152" fillId="0" borderId="0" applyAlignment="1" pivotButton="0" quotePrefix="0" xfId="0">
      <alignment horizontal="center" vertical="center" wrapText="1"/>
    </xf>
    <xf numFmtId="0" fontId="152" fillId="0" borderId="4" applyAlignment="1" pivotButton="0" quotePrefix="0" xfId="0">
      <alignment horizontal="center" vertical="center" wrapText="1"/>
    </xf>
    <xf numFmtId="39" fontId="4" fillId="16" borderId="12" applyAlignment="1" applyProtection="1" pivotButton="0" quotePrefix="0" xfId="0">
      <alignment horizontal="right"/>
      <protection locked="0" hidden="0"/>
    </xf>
    <xf numFmtId="0" fontId="140" fillId="0" borderId="111" applyAlignment="1" pivotButton="0" quotePrefix="0" xfId="0">
      <alignment horizontal="center" vertical="center" wrapText="1"/>
    </xf>
    <xf numFmtId="0" fontId="0" fillId="0" borderId="31" applyAlignment="1" pivotButton="0" quotePrefix="0" xfId="0">
      <alignment horizontal="center" vertical="center" wrapText="1"/>
    </xf>
    <xf numFmtId="0" fontId="0" fillId="0" borderId="31" applyAlignment="1" pivotButton="0" quotePrefix="0" xfId="0">
      <alignment vertical="center" wrapText="1"/>
    </xf>
    <xf numFmtId="0" fontId="0" fillId="0" borderId="112" applyAlignment="1" pivotButton="0" quotePrefix="0" xfId="0">
      <alignment vertical="center" wrapText="1"/>
    </xf>
    <xf numFmtId="0" fontId="4" fillId="15" borderId="8" applyAlignment="1" pivotButton="0" quotePrefix="0" xfId="0">
      <alignment horizontal="left" vertical="center" wrapText="1"/>
    </xf>
    <xf numFmtId="0" fontId="0" fillId="0" borderId="70" applyAlignment="1" pivotButton="0" quotePrefix="0" xfId="0">
      <alignment horizontal="left" vertical="center" wrapText="1"/>
    </xf>
    <xf numFmtId="0" fontId="110" fillId="0" borderId="0" applyAlignment="1" pivotButton="0" quotePrefix="0" xfId="0">
      <alignment vertical="center" wrapText="1"/>
    </xf>
    <xf numFmtId="0" fontId="110" fillId="0" borderId="0" applyAlignment="1" pivotButton="0" quotePrefix="0" xfId="0">
      <alignment wrapText="1"/>
    </xf>
    <xf numFmtId="0" fontId="0" fillId="0" borderId="3" applyAlignment="1" pivotButton="0" quotePrefix="0" xfId="0">
      <alignment horizontal="left" vertical="center" wrapText="1"/>
    </xf>
    <xf numFmtId="0" fontId="0" fillId="0" borderId="9" applyAlignment="1" pivotButton="0" quotePrefix="0" xfId="0">
      <alignment horizontal="left" vertical="center" wrapText="1"/>
    </xf>
    <xf numFmtId="37" fontId="9" fillId="28" borderId="39" applyAlignment="1" pivotButton="0" quotePrefix="0" xfId="0">
      <alignment horizontal="right"/>
    </xf>
    <xf numFmtId="0" fontId="4" fillId="0" borderId="25" applyAlignment="1" pivotButton="0" quotePrefix="0" xfId="0">
      <alignment horizontal="right"/>
    </xf>
    <xf numFmtId="0" fontId="110" fillId="15" borderId="3" pivotButton="0" quotePrefix="0" xfId="0"/>
    <xf numFmtId="194" fontId="0" fillId="16" borderId="9" applyAlignment="1" applyProtection="1" pivotButton="0" quotePrefix="0" xfId="0">
      <alignment horizontal="center"/>
      <protection locked="0" hidden="0"/>
    </xf>
    <xf numFmtId="0" fontId="37" fillId="15" borderId="30" applyAlignment="1" pivotButton="0" quotePrefix="0" xfId="0">
      <alignment horizontal="left" vertical="center" wrapText="1"/>
    </xf>
    <xf numFmtId="0" fontId="37" fillId="15" borderId="8" applyAlignment="1" pivotButton="0" quotePrefix="0" xfId="0">
      <alignment horizontal="left" vertical="center" wrapText="1"/>
    </xf>
    <xf numFmtId="0" fontId="37" fillId="15" borderId="14" applyAlignment="1" pivotButton="0" quotePrefix="0" xfId="0">
      <alignment horizontal="left" vertical="center" wrapText="1"/>
    </xf>
    <xf numFmtId="0" fontId="37" fillId="15" borderId="3" applyAlignment="1" pivotButton="0" quotePrefix="0" xfId="0">
      <alignment horizontal="left" vertical="center" wrapText="1"/>
    </xf>
    <xf numFmtId="0" fontId="37" fillId="15" borderId="0" applyAlignment="1" pivotButton="0" quotePrefix="0" xfId="0">
      <alignment horizontal="left" vertical="center" wrapText="1"/>
    </xf>
    <xf numFmtId="0" fontId="37" fillId="15" borderId="24" applyAlignment="1" pivotButton="0" quotePrefix="0" xfId="0">
      <alignment horizontal="left" vertical="center" wrapText="1"/>
    </xf>
    <xf numFmtId="0" fontId="37" fillId="15" borderId="9" applyAlignment="1" pivotButton="0" quotePrefix="0" xfId="0">
      <alignment horizontal="left" vertical="center" wrapText="1"/>
    </xf>
    <xf numFmtId="0" fontId="37" fillId="15" borderId="1" applyAlignment="1" pivotButton="0" quotePrefix="0" xfId="0">
      <alignment horizontal="left" vertical="center" wrapText="1"/>
    </xf>
    <xf numFmtId="0" fontId="37" fillId="15" borderId="11" applyAlignment="1" pivotButton="0" quotePrefix="0" xfId="0">
      <alignment horizontal="left" vertical="center" wrapText="1"/>
    </xf>
    <xf numFmtId="1" fontId="9" fillId="28" borderId="9" applyAlignment="1" pivotButton="0" quotePrefix="0" xfId="0">
      <alignment horizontal="right"/>
    </xf>
    <xf numFmtId="39" fontId="4" fillId="16" borderId="39" applyProtection="1" pivotButton="0" quotePrefix="0" xfId="0">
      <protection locked="0" hidden="0"/>
    </xf>
    <xf numFmtId="37" fontId="9" fillId="26" borderId="31" applyAlignment="1" pivotButton="0" quotePrefix="0" xfId="0">
      <alignment horizontal="right"/>
    </xf>
    <xf numFmtId="0" fontId="4" fillId="26" borderId="31" applyAlignment="1" pivotButton="0" quotePrefix="0" xfId="0">
      <alignment horizontal="right"/>
    </xf>
    <xf numFmtId="0" fontId="4" fillId="26" borderId="73" applyAlignment="1" pivotButton="0" quotePrefix="0" xfId="0">
      <alignment horizontal="right"/>
    </xf>
    <xf numFmtId="0" fontId="110" fillId="15" borderId="30" applyAlignment="1" pivotButton="0" quotePrefix="0" xfId="0">
      <alignment horizontal="left" vertical="center" wrapText="1"/>
    </xf>
    <xf numFmtId="0" fontId="110" fillId="15" borderId="8" applyAlignment="1" pivotButton="0" quotePrefix="0" xfId="0">
      <alignment horizontal="left" vertical="center" wrapText="1"/>
    </xf>
    <xf numFmtId="0" fontId="110" fillId="15" borderId="14" applyAlignment="1" pivotButton="0" quotePrefix="0" xfId="0">
      <alignment horizontal="left" vertical="center" wrapText="1"/>
    </xf>
    <xf numFmtId="0" fontId="110" fillId="15" borderId="3" applyAlignment="1" pivotButton="0" quotePrefix="0" xfId="0">
      <alignment horizontal="left" vertical="center" wrapText="1"/>
    </xf>
    <xf numFmtId="0" fontId="110" fillId="15" borderId="0" applyAlignment="1" pivotButton="0" quotePrefix="0" xfId="0">
      <alignment horizontal="left" vertical="center" wrapText="1"/>
    </xf>
    <xf numFmtId="0" fontId="110" fillId="15" borderId="24" applyAlignment="1" pivotButton="0" quotePrefix="0" xfId="0">
      <alignment horizontal="left" vertical="center" wrapText="1"/>
    </xf>
    <xf numFmtId="0" fontId="110" fillId="15" borderId="9" applyAlignment="1" pivotButton="0" quotePrefix="0" xfId="0">
      <alignment horizontal="left" vertical="center" wrapText="1"/>
    </xf>
    <xf numFmtId="0" fontId="110" fillId="15" borderId="1" applyAlignment="1" pivotButton="0" quotePrefix="0" xfId="0">
      <alignment horizontal="left" vertical="center" wrapText="1"/>
    </xf>
    <xf numFmtId="0" fontId="110" fillId="15" borderId="11" applyAlignment="1" pivotButton="0" quotePrefix="0" xfId="0">
      <alignment horizontal="left" vertical="center" wrapText="1"/>
    </xf>
    <xf numFmtId="184" fontId="9" fillId="28" borderId="1" applyAlignment="1" pivotButton="0" quotePrefix="0" xfId="0">
      <alignment horizontal="right"/>
    </xf>
    <xf numFmtId="184" fontId="4" fillId="0" borderId="1" applyAlignment="1" pivotButton="0" quotePrefix="0" xfId="0">
      <alignment horizontal="right"/>
    </xf>
    <xf numFmtId="0" fontId="4" fillId="25" borderId="1" applyAlignment="1" pivotButton="0" quotePrefix="0" xfId="0">
      <alignment horizontal="right"/>
    </xf>
    <xf numFmtId="0" fontId="0" fillId="15" borderId="0" pivotButton="0" quotePrefix="0" xfId="0"/>
    <xf numFmtId="0" fontId="8" fillId="23" borderId="30" applyAlignment="1" pivotButton="0" quotePrefix="0" xfId="0">
      <alignment horizontal="center" vertical="center"/>
    </xf>
    <xf numFmtId="0" fontId="8" fillId="23" borderId="3" applyAlignment="1" pivotButton="0" quotePrefix="0" xfId="0">
      <alignment horizontal="center" vertical="center"/>
    </xf>
    <xf numFmtId="0" fontId="4" fillId="27" borderId="1" applyAlignment="1" pivotButton="0" quotePrefix="0" xfId="0">
      <alignment horizontal="right"/>
    </xf>
    <xf numFmtId="37" fontId="4" fillId="0" borderId="4" applyAlignment="1" pivotButton="0" quotePrefix="0" xfId="0">
      <alignment horizontal="right"/>
    </xf>
    <xf numFmtId="0" fontId="8" fillId="15" borderId="1" applyAlignment="1" pivotButton="0" quotePrefix="0" xfId="0">
      <alignment horizontal="left"/>
    </xf>
    <xf numFmtId="0" fontId="8" fillId="15" borderId="8" applyAlignment="1" pivotButton="0" quotePrefix="0" xfId="0">
      <alignment horizontal="center"/>
    </xf>
    <xf numFmtId="0" fontId="8" fillId="15" borderId="1" applyAlignment="1" pivotButton="0" quotePrefix="0" xfId="0">
      <alignment horizontal="center"/>
    </xf>
    <xf numFmtId="39" fontId="4" fillId="16" borderId="51" applyProtection="1" pivotButton="0" quotePrefix="0" xfId="0">
      <protection locked="0" hidden="0"/>
    </xf>
    <xf numFmtId="39" fontId="4" fillId="16" borderId="52" applyProtection="1" pivotButton="0" quotePrefix="0" xfId="0">
      <protection locked="0" hidden="0"/>
    </xf>
    <xf numFmtId="0" fontId="4" fillId="0" borderId="0" applyAlignment="1" pivotButton="0" quotePrefix="0" xfId="0">
      <alignment horizontal="right"/>
    </xf>
    <xf numFmtId="0" fontId="166" fillId="5" borderId="0" applyAlignment="1" pivotButton="0" quotePrefix="0" xfId="0">
      <alignment horizontal="center" vertical="center"/>
    </xf>
    <xf numFmtId="39" fontId="11" fillId="16" borderId="9" applyAlignment="1" applyProtection="1" pivotButton="0" quotePrefix="0" xfId="0">
      <alignment horizontal="center"/>
      <protection locked="0" hidden="0"/>
    </xf>
    <xf numFmtId="39" fontId="11" fillId="16" borderId="1" applyAlignment="1" applyProtection="1" pivotButton="0" quotePrefix="0" xfId="0">
      <alignment horizontal="center"/>
      <protection locked="0" hidden="0"/>
    </xf>
    <xf numFmtId="39" fontId="11" fillId="0" borderId="1" applyAlignment="1" applyProtection="1" pivotButton="0" quotePrefix="0" xfId="0">
      <alignment horizontal="center"/>
      <protection locked="0" hidden="0"/>
    </xf>
    <xf numFmtId="39" fontId="11" fillId="0" borderId="11" applyAlignment="1" applyProtection="1" pivotButton="0" quotePrefix="0" xfId="0">
      <alignment horizontal="center"/>
      <protection locked="0" hidden="0"/>
    </xf>
    <xf numFmtId="1" fontId="11" fillId="16" borderId="9" applyAlignment="1" applyProtection="1" pivotButton="0" quotePrefix="0" xfId="0">
      <alignment horizontal="center"/>
      <protection locked="0" hidden="0"/>
    </xf>
    <xf numFmtId="1" fontId="11" fillId="16" borderId="1" applyAlignment="1" applyProtection="1" pivotButton="0" quotePrefix="0" xfId="0">
      <alignment horizontal="center"/>
      <protection locked="0" hidden="0"/>
    </xf>
    <xf numFmtId="1" fontId="11" fillId="0" borderId="1" applyAlignment="1" applyProtection="1" pivotButton="0" quotePrefix="0" xfId="0">
      <alignment horizontal="center"/>
      <protection locked="0" hidden="0"/>
    </xf>
    <xf numFmtId="1" fontId="11" fillId="0" borderId="11" applyAlignment="1" applyProtection="1" pivotButton="0" quotePrefix="0" xfId="0">
      <alignment horizontal="center"/>
      <protection locked="0" hidden="0"/>
    </xf>
    <xf numFmtId="0" fontId="4" fillId="15" borderId="8" applyAlignment="1" pivotButton="0" quotePrefix="1" xfId="0">
      <alignment horizontal="center"/>
    </xf>
    <xf numFmtId="0" fontId="4" fillId="16" borderId="30" applyAlignment="1" applyProtection="1" pivotButton="0" quotePrefix="0" xfId="0">
      <alignment horizontal="left" wrapText="1"/>
      <protection locked="0" hidden="0"/>
    </xf>
    <xf numFmtId="0" fontId="4" fillId="16" borderId="8" applyAlignment="1" applyProtection="1" pivotButton="0" quotePrefix="0" xfId="0">
      <alignment horizontal="left" wrapText="1"/>
      <protection locked="0" hidden="0"/>
    </xf>
    <xf numFmtId="0" fontId="4" fillId="16" borderId="14" applyAlignment="1" applyProtection="1" pivotButton="0" quotePrefix="0" xfId="0">
      <alignment horizontal="left" wrapText="1"/>
      <protection locked="0" hidden="0"/>
    </xf>
    <xf numFmtId="0" fontId="4" fillId="16" borderId="9" applyAlignment="1" applyProtection="1" pivotButton="0" quotePrefix="0" xfId="0">
      <alignment horizontal="left" wrapText="1"/>
      <protection locked="0" hidden="0"/>
    </xf>
    <xf numFmtId="0" fontId="4" fillId="16" borderId="1" applyAlignment="1" applyProtection="1" pivotButton="0" quotePrefix="0" xfId="0">
      <alignment horizontal="left" wrapText="1"/>
      <protection locked="0" hidden="0"/>
    </xf>
    <xf numFmtId="0" fontId="4" fillId="16" borderId="11" applyAlignment="1" applyProtection="1" pivotButton="0" quotePrefix="0" xfId="0">
      <alignment horizontal="left" wrapText="1"/>
      <protection locked="0" hidden="0"/>
    </xf>
    <xf numFmtId="176" fontId="15" fillId="16" borderId="9" applyAlignment="1" applyProtection="1" pivotButton="0" quotePrefix="0" xfId="0">
      <alignment horizontal="center" vertical="center"/>
      <protection locked="0" hidden="0"/>
    </xf>
    <xf numFmtId="176" fontId="15" fillId="16" borderId="1" applyAlignment="1" applyProtection="1" pivotButton="0" quotePrefix="0" xfId="0">
      <alignment horizontal="center" vertical="center"/>
      <protection locked="0" hidden="0"/>
    </xf>
    <xf numFmtId="176" fontId="15" fillId="16" borderId="11" applyAlignment="1" applyProtection="1" pivotButton="0" quotePrefix="0" xfId="0">
      <alignment horizontal="center" vertical="center"/>
      <protection locked="0" hidden="0"/>
    </xf>
    <xf numFmtId="37" fontId="15" fillId="16" borderId="9" applyAlignment="1" applyProtection="1" pivotButton="0" quotePrefix="0" xfId="0">
      <alignment horizontal="right"/>
      <protection locked="0" hidden="0"/>
    </xf>
    <xf numFmtId="1" fontId="205" fillId="10" borderId="0" applyAlignment="1" pivotButton="0" quotePrefix="0" xfId="0">
      <alignment horizontal="center" vertical="center" wrapText="1"/>
    </xf>
    <xf numFmtId="0" fontId="24" fillId="15" borderId="8" applyAlignment="1" pivotButton="0" quotePrefix="0" xfId="0">
      <alignment horizontal="left" wrapText="1"/>
    </xf>
    <xf numFmtId="0" fontId="24" fillId="15" borderId="1" applyAlignment="1" pivotButton="0" quotePrefix="0" xfId="0">
      <alignment horizontal="left" vertical="top" wrapText="1"/>
    </xf>
    <xf numFmtId="0" fontId="24" fillId="15" borderId="1" applyAlignment="1" pivotButton="0" quotePrefix="0" xfId="0">
      <alignment horizontal="left" vertical="top"/>
    </xf>
    <xf numFmtId="0" fontId="10" fillId="0" borderId="4" applyAlignment="1" pivotButton="0" quotePrefix="0" xfId="0">
      <alignment horizontal="left" vertical="top" wrapText="1"/>
    </xf>
    <xf numFmtId="0" fontId="10" fillId="0" borderId="22" applyAlignment="1" pivotButton="0" quotePrefix="0" xfId="0">
      <alignment horizontal="left" vertical="top" wrapText="1"/>
    </xf>
    <xf numFmtId="0" fontId="20" fillId="15" borderId="0" applyAlignment="1" pivotButton="0" quotePrefix="0" xfId="0">
      <alignment horizontal="left" wrapText="1"/>
    </xf>
    <xf numFmtId="0" fontId="74" fillId="0" borderId="4" applyAlignment="1" pivotButton="0" quotePrefix="0" xfId="0">
      <alignment horizontal="left" wrapText="1"/>
    </xf>
    <xf numFmtId="0" fontId="47" fillId="15" borderId="0" applyAlignment="1" pivotButton="0" quotePrefix="0" xfId="0">
      <alignment horizontal="center"/>
    </xf>
    <xf numFmtId="0" fontId="104" fillId="15" borderId="0" applyAlignment="1" pivotButton="0" quotePrefix="0" xfId="0">
      <alignment horizontal="left"/>
    </xf>
    <xf numFmtId="0" fontId="104" fillId="15" borderId="20" applyAlignment="1" pivotButton="0" quotePrefix="0" xfId="0">
      <alignment horizontal="left"/>
    </xf>
    <xf numFmtId="0" fontId="20" fillId="15" borderId="5" applyAlignment="1" pivotButton="0" quotePrefix="0" xfId="0">
      <alignment horizontal="center"/>
    </xf>
    <xf numFmtId="0" fontId="20" fillId="15" borderId="20" applyAlignment="1" pivotButton="0" quotePrefix="0" xfId="0">
      <alignment horizontal="center"/>
    </xf>
    <xf numFmtId="0" fontId="8" fillId="15" borderId="26" applyAlignment="1" pivotButton="0" quotePrefix="0" xfId="0">
      <alignment horizontal="center" vertical="center"/>
    </xf>
    <xf numFmtId="0" fontId="44" fillId="16" borderId="0" applyAlignment="1" applyProtection="1" pivotButton="0" quotePrefix="0" xfId="0">
      <alignment horizontal="left"/>
      <protection locked="0" hidden="0"/>
    </xf>
    <xf numFmtId="0" fontId="44" fillId="16" borderId="24" applyAlignment="1" applyProtection="1" pivotButton="0" quotePrefix="0" xfId="0">
      <alignment horizontal="left"/>
      <protection locked="0" hidden="0"/>
    </xf>
    <xf numFmtId="0" fontId="44" fillId="16" borderId="1" applyAlignment="1" applyProtection="1" pivotButton="0" quotePrefix="0" xfId="0">
      <alignment horizontal="left"/>
      <protection locked="0" hidden="0"/>
    </xf>
    <xf numFmtId="0" fontId="44" fillId="16" borderId="11" applyAlignment="1" applyProtection="1" pivotButton="0" quotePrefix="0" xfId="0">
      <alignment horizontal="left"/>
      <protection locked="0" hidden="0"/>
    </xf>
    <xf numFmtId="176" fontId="20" fillId="16" borderId="3" applyAlignment="1" applyProtection="1" pivotButton="0" quotePrefix="0" xfId="0">
      <alignment horizontal="center" vertical="center"/>
      <protection locked="0" hidden="0"/>
    </xf>
    <xf numFmtId="176" fontId="20" fillId="16" borderId="0" applyAlignment="1" applyProtection="1" pivotButton="0" quotePrefix="0" xfId="0">
      <alignment horizontal="center" vertical="center"/>
      <protection locked="0" hidden="0"/>
    </xf>
    <xf numFmtId="176" fontId="20" fillId="16" borderId="9" applyAlignment="1" applyProtection="1" pivotButton="0" quotePrefix="0" xfId="0">
      <alignment horizontal="center" vertical="center"/>
      <protection locked="0" hidden="0"/>
    </xf>
    <xf numFmtId="176" fontId="20" fillId="16" borderId="1" applyAlignment="1" applyProtection="1" pivotButton="0" quotePrefix="0" xfId="0">
      <alignment horizontal="center" vertical="center"/>
      <protection locked="0" hidden="0"/>
    </xf>
    <xf numFmtId="0" fontId="4" fillId="15" borderId="25" applyAlignment="1" pivotButton="0" quotePrefix="1" xfId="0">
      <alignment horizontal="center" vertical="top" wrapText="1"/>
    </xf>
    <xf numFmtId="0" fontId="0" fillId="0" borderId="54" applyAlignment="1" pivotButton="0" quotePrefix="0" xfId="0">
      <alignment horizontal="center" vertical="top"/>
    </xf>
    <xf numFmtId="0" fontId="6" fillId="15" borderId="39" applyAlignment="1" pivotButton="0" quotePrefix="0" xfId="0">
      <alignment horizontal="center" vertical="top" wrapText="1"/>
    </xf>
    <xf numFmtId="0" fontId="0" fillId="15" borderId="25" applyAlignment="1" pivotButton="0" quotePrefix="0" xfId="0">
      <alignment horizontal="center" vertical="top"/>
    </xf>
    <xf numFmtId="0" fontId="0" fillId="15" borderId="54" applyAlignment="1" pivotButton="0" quotePrefix="0" xfId="0">
      <alignment horizontal="center" vertical="top"/>
    </xf>
    <xf numFmtId="0" fontId="0" fillId="15" borderId="25" applyAlignment="1" pivotButton="0" quotePrefix="0" xfId="0">
      <alignment horizontal="center" vertical="center"/>
    </xf>
    <xf numFmtId="0" fontId="0" fillId="15" borderId="54" applyAlignment="1" pivotButton="0" quotePrefix="0" xfId="0">
      <alignment horizontal="center" vertical="center"/>
    </xf>
    <xf numFmtId="37" fontId="15" fillId="16" borderId="9" applyAlignment="1" applyProtection="1" pivotButton="0" quotePrefix="1" xfId="0">
      <alignment horizontal="right"/>
      <protection locked="0" hidden="0"/>
    </xf>
    <xf numFmtId="37" fontId="15" fillId="16" borderId="25" applyAlignment="1" applyProtection="1" pivotButton="0" quotePrefix="0" xfId="0">
      <alignment horizontal="right"/>
      <protection locked="0" hidden="0"/>
    </xf>
    <xf numFmtId="37" fontId="15" fillId="27" borderId="9" applyAlignment="1" pivotButton="0" quotePrefix="0" xfId="0">
      <alignment horizontal="right"/>
    </xf>
    <xf numFmtId="37" fontId="15" fillId="27" borderId="39" pivotButton="0" quotePrefix="0" xfId="0"/>
    <xf numFmtId="37" fontId="47" fillId="27" borderId="25" pivotButton="0" quotePrefix="0" xfId="0"/>
    <xf numFmtId="0" fontId="125" fillId="15" borderId="3" applyAlignment="1" pivotButton="0" quotePrefix="0" xfId="0">
      <alignment horizontal="center"/>
    </xf>
    <xf numFmtId="0" fontId="163" fillId="15" borderId="30" applyAlignment="1" pivotButton="0" quotePrefix="0" xfId="0">
      <alignment horizontal="center" vertical="center" wrapText="1"/>
    </xf>
    <xf numFmtId="0" fontId="163" fillId="15" borderId="8" applyAlignment="1" pivotButton="0" quotePrefix="0" xfId="0">
      <alignment horizontal="center" vertical="center" wrapText="1"/>
    </xf>
    <xf numFmtId="0" fontId="163" fillId="15" borderId="3" applyAlignment="1" pivotButton="0" quotePrefix="0" xfId="0">
      <alignment horizontal="center" vertical="center" wrapText="1"/>
    </xf>
    <xf numFmtId="0" fontId="163" fillId="15" borderId="0" applyAlignment="1" pivotButton="0" quotePrefix="0" xfId="0">
      <alignment horizontal="center" vertical="center" wrapText="1"/>
    </xf>
    <xf numFmtId="37" fontId="15" fillId="27" borderId="9" pivotButton="0" quotePrefix="0" xfId="0"/>
    <xf numFmtId="37" fontId="47" fillId="27" borderId="1" pivotButton="0" quotePrefix="0" xfId="0"/>
    <xf numFmtId="37" fontId="47" fillId="27" borderId="11" pivotButton="0" quotePrefix="0" xfId="0"/>
    <xf numFmtId="37" fontId="168" fillId="15" borderId="30" applyAlignment="1" pivotButton="0" quotePrefix="0" xfId="0">
      <alignment horizontal="right"/>
    </xf>
    <xf numFmtId="37" fontId="168" fillId="15" borderId="8" applyAlignment="1" pivotButton="0" quotePrefix="0" xfId="0">
      <alignment horizontal="right"/>
    </xf>
    <xf numFmtId="37" fontId="168" fillId="15" borderId="14" applyAlignment="1" pivotButton="0" quotePrefix="0" xfId="0">
      <alignment horizontal="right"/>
    </xf>
    <xf numFmtId="0" fontId="47" fillId="27" borderId="1" pivotButton="0" quotePrefix="0" xfId="0"/>
    <xf numFmtId="0" fontId="47" fillId="27" borderId="11" pivotButton="0" quotePrefix="0" xfId="0"/>
    <xf numFmtId="37" fontId="110" fillId="0" borderId="0" applyAlignment="1" pivotButton="0" quotePrefix="0" xfId="0">
      <alignment horizontal="right"/>
    </xf>
    <xf numFmtId="0" fontId="47" fillId="27" borderId="25" pivotButton="0" quotePrefix="0" xfId="0"/>
    <xf numFmtId="37" fontId="15" fillId="27" borderId="25" applyAlignment="1" pivotButton="0" quotePrefix="0" xfId="0">
      <alignment horizontal="right"/>
    </xf>
    <xf numFmtId="0" fontId="12" fillId="0" borderId="48" applyAlignment="1" applyProtection="1" pivotButton="0" quotePrefix="0" xfId="0">
      <alignment horizontal="center"/>
      <protection locked="1" hidden="1"/>
    </xf>
    <xf numFmtId="0" fontId="12" fillId="0" borderId="107" applyAlignment="1" applyProtection="1" pivotButton="0" quotePrefix="0" xfId="0">
      <alignment horizontal="center"/>
      <protection locked="1" hidden="1"/>
    </xf>
    <xf numFmtId="0" fontId="0" fillId="0" borderId="27" applyAlignment="1" applyProtection="1" pivotButton="0" quotePrefix="0" xfId="0">
      <alignment horizontal="center"/>
      <protection locked="1" hidden="1"/>
    </xf>
    <xf numFmtId="0" fontId="0" fillId="0" borderId="108" applyAlignment="1" applyProtection="1" pivotButton="0" quotePrefix="0" xfId="0">
      <alignment horizontal="center"/>
      <protection locked="1" hidden="1"/>
    </xf>
    <xf numFmtId="3" fontId="12" fillId="0" borderId="107" applyAlignment="1" applyProtection="1" pivotButton="0" quotePrefix="0" xfId="0">
      <alignment horizontal="center"/>
      <protection locked="1" hidden="1"/>
    </xf>
    <xf numFmtId="3" fontId="0" fillId="0" borderId="27" applyAlignment="1" applyProtection="1" pivotButton="0" quotePrefix="0" xfId="0">
      <alignment horizontal="center"/>
      <protection locked="1" hidden="1"/>
    </xf>
    <xf numFmtId="3" fontId="0" fillId="0" borderId="108" applyAlignment="1" applyProtection="1" pivotButton="0" quotePrefix="0" xfId="0">
      <alignment horizontal="center"/>
      <protection locked="1" hidden="1"/>
    </xf>
    <xf numFmtId="0" fontId="285" fillId="0" borderId="30" applyAlignment="1" applyProtection="1" pivotButton="0" quotePrefix="0" xfId="0">
      <alignment horizontal="center" vertical="center"/>
      <protection locked="1" hidden="1"/>
    </xf>
    <xf numFmtId="0" fontId="285" fillId="0" borderId="8" applyAlignment="1" applyProtection="1" pivotButton="0" quotePrefix="0" xfId="0">
      <alignment horizontal="center" vertical="center"/>
      <protection locked="1" hidden="1"/>
    </xf>
    <xf numFmtId="0" fontId="285" fillId="0" borderId="14" applyAlignment="1" applyProtection="1" pivotButton="0" quotePrefix="0" xfId="0">
      <alignment horizontal="center" vertical="center"/>
      <protection locked="1" hidden="1"/>
    </xf>
    <xf numFmtId="0" fontId="285" fillId="0" borderId="9" applyAlignment="1" applyProtection="1" pivotButton="0" quotePrefix="0" xfId="0">
      <alignment horizontal="center" vertical="center"/>
      <protection locked="1" hidden="1"/>
    </xf>
    <xf numFmtId="0" fontId="285" fillId="0" borderId="1" applyAlignment="1" applyProtection="1" pivotButton="0" quotePrefix="0" xfId="0">
      <alignment horizontal="center" vertical="center"/>
      <protection locked="1" hidden="1"/>
    </xf>
    <xf numFmtId="0" fontId="285" fillId="0" borderId="11" applyAlignment="1" applyProtection="1" pivotButton="0" quotePrefix="0" xfId="0">
      <alignment horizontal="center" vertical="center"/>
      <protection locked="1" hidden="1"/>
    </xf>
    <xf numFmtId="191" fontId="10" fillId="5" borderId="0" applyAlignment="1" pivotButton="0" quotePrefix="0" xfId="0">
      <alignment horizontal="center"/>
    </xf>
    <xf numFmtId="170" fontId="15" fillId="24" borderId="0" applyProtection="1" pivotButton="0" quotePrefix="0" xfId="0">
      <protection locked="0" hidden="0"/>
    </xf>
    <xf numFmtId="192" fontId="10" fillId="5" borderId="0" applyAlignment="1" pivotButton="0" quotePrefix="0" xfId="0">
      <alignment horizontal="center" vertical="top"/>
    </xf>
    <xf numFmtId="170" fontId="6" fillId="15" borderId="0" applyAlignment="1" pivotButton="0" quotePrefix="0" xfId="0">
      <alignment horizontal="center"/>
    </xf>
    <xf numFmtId="170" fontId="6" fillId="24" borderId="0" applyProtection="1" pivotButton="0" quotePrefix="0" xfId="0">
      <protection locked="0" hidden="0"/>
    </xf>
    <xf numFmtId="0" fontId="6" fillId="15" borderId="13" applyAlignment="1" pivotButton="0" quotePrefix="0" xfId="0">
      <alignment horizontal="left" vertical="center" textRotation="90"/>
    </xf>
    <xf numFmtId="0" fontId="261" fillId="39" borderId="175" applyAlignment="1" pivotButton="0" quotePrefix="0" xfId="0">
      <alignment horizontal="center" vertical="center"/>
    </xf>
    <xf numFmtId="0" fontId="44" fillId="39" borderId="78" applyAlignment="1" pivotButton="0" quotePrefix="0" xfId="0">
      <alignment horizontal="center" vertical="center" wrapText="1"/>
    </xf>
    <xf numFmtId="170" fontId="0" fillId="24" borderId="0" applyProtection="1" pivotButton="0" quotePrefix="0" xfId="0">
      <protection locked="0" hidden="0"/>
    </xf>
    <xf numFmtId="0" fontId="0" fillId="0" borderId="13" pivotButton="0" quotePrefix="0" xfId="0"/>
    <xf numFmtId="0" fontId="20" fillId="39" borderId="17" applyAlignment="1" pivotButton="0" quotePrefix="0" xfId="0">
      <alignment horizontal="left" vertical="center" indent="1"/>
    </xf>
    <xf numFmtId="0" fontId="0" fillId="0" borderId="17" pivotButton="0" quotePrefix="0" xfId="0"/>
    <xf numFmtId="0" fontId="0" fillId="0" borderId="35" pivotButton="0" quotePrefix="0" xfId="0"/>
    <xf numFmtId="0" fontId="8" fillId="39" borderId="244" applyAlignment="1" pivotButton="0" quotePrefix="0" xfId="0">
      <alignment horizontal="center" wrapText="1"/>
    </xf>
    <xf numFmtId="0" fontId="0" fillId="0" borderId="158" pivotButton="0" quotePrefix="0" xfId="0"/>
    <xf numFmtId="202" fontId="11" fillId="16" borderId="34" applyAlignment="1" applyProtection="1" pivotButton="0" quotePrefix="0" xfId="0">
      <alignment horizontal="center" vertical="center"/>
      <protection locked="0" hidden="0"/>
    </xf>
    <xf numFmtId="0" fontId="0" fillId="0" borderId="34" applyProtection="1" pivotButton="0" quotePrefix="0" xfId="0">
      <protection locked="0" hidden="0"/>
    </xf>
    <xf numFmtId="0" fontId="0" fillId="0" borderId="34" pivotButton="0" quotePrefix="0" xfId="0"/>
    <xf numFmtId="170" fontId="4" fillId="16" borderId="25" applyAlignment="1" applyProtection="1" pivotButton="0" quotePrefix="0" xfId="0">
      <alignment horizontal="center"/>
      <protection locked="0" hidden="0"/>
    </xf>
    <xf numFmtId="0" fontId="8" fillId="2" borderId="245" applyAlignment="1" pivotButton="0" quotePrefix="0" xfId="0">
      <alignment horizontal="left"/>
    </xf>
    <xf numFmtId="0" fontId="0" fillId="0" borderId="36" pivotButton="0" quotePrefix="0" xfId="0"/>
    <xf numFmtId="0" fontId="0" fillId="0" borderId="1" applyProtection="1" pivotButton="0" quotePrefix="0" xfId="0">
      <protection locked="0" hidden="0"/>
    </xf>
    <xf numFmtId="0" fontId="0" fillId="0" borderId="11" applyProtection="1" pivotButton="0" quotePrefix="0" xfId="0">
      <protection locked="0" hidden="0"/>
    </xf>
    <xf numFmtId="0" fontId="11" fillId="16" borderId="10" applyAlignment="1" applyProtection="1" pivotButton="0" quotePrefix="0" xfId="0">
      <alignment horizontal="left" wrapText="1" indent="1"/>
      <protection locked="0" hidden="0"/>
    </xf>
    <xf numFmtId="176" fontId="11" fillId="16" borderId="9" applyAlignment="1" applyProtection="1" pivotButton="0" quotePrefix="0" xfId="0">
      <alignment horizontal="center"/>
      <protection locked="0" hidden="0"/>
    </xf>
    <xf numFmtId="49" fontId="11" fillId="16" borderId="10" applyAlignment="1" applyProtection="1" pivotButton="0" quotePrefix="0" xfId="0">
      <alignment horizontal="center"/>
      <protection locked="0" hidden="0"/>
    </xf>
    <xf numFmtId="0" fontId="8" fillId="39" borderId="10" applyAlignment="1" pivotButton="0" quotePrefix="0" xfId="0">
      <alignment horizontal="left" vertical="center" wrapText="1"/>
    </xf>
    <xf numFmtId="0" fontId="8" fillId="2" borderId="15" applyAlignment="1" pivotButton="0" quotePrefix="0" xfId="0">
      <alignment horizontal="left" indent="1"/>
    </xf>
    <xf numFmtId="49" fontId="11" fillId="16" borderId="11" applyAlignment="1" applyProtection="1" pivotButton="0" quotePrefix="0" xfId="0">
      <alignment horizontal="left" indent="1"/>
      <protection locked="0" hidden="0"/>
    </xf>
    <xf numFmtId="200" fontId="11" fillId="16" borderId="10" applyAlignment="1" applyProtection="1" pivotButton="0" quotePrefix="0" xfId="0">
      <alignment horizontal="center"/>
      <protection locked="0" hidden="0"/>
    </xf>
    <xf numFmtId="0" fontId="0" fillId="0" borderId="24" applyProtection="1" pivotButton="0" quotePrefix="0" xfId="0">
      <protection locked="0" hidden="0"/>
    </xf>
    <xf numFmtId="0" fontId="11" fillId="16" borderId="10" applyAlignment="1" applyProtection="1" pivotButton="0" quotePrefix="0" xfId="0">
      <alignment horizontal="center"/>
      <protection locked="0" hidden="0"/>
    </xf>
    <xf numFmtId="0" fontId="0" fillId="0" borderId="9" applyProtection="1" pivotButton="0" quotePrefix="0" xfId="0">
      <protection locked="0" hidden="0"/>
    </xf>
    <xf numFmtId="0" fontId="163" fillId="15" borderId="74" applyAlignment="1" pivotButton="0" quotePrefix="0" xfId="0">
      <alignment horizontal="left" vertical="top"/>
    </xf>
    <xf numFmtId="0" fontId="0" fillId="0" borderId="87" applyProtection="1" pivotButton="0" quotePrefix="0" xfId="0">
      <protection locked="0" hidden="0"/>
    </xf>
    <xf numFmtId="0" fontId="11" fillId="15" borderId="25" applyAlignment="1" pivotButton="0" quotePrefix="0" xfId="0">
      <alignment horizontal="left" vertical="center" wrapText="1"/>
    </xf>
    <xf numFmtId="0" fontId="6" fillId="39" borderId="25" applyAlignment="1" pivotButton="0" quotePrefix="0" xfId="0">
      <alignment horizontal="left" vertical="center" wrapText="1"/>
    </xf>
    <xf numFmtId="0" fontId="9" fillId="39" borderId="12" applyAlignment="1" pivotButton="0" quotePrefix="0" xfId="0">
      <alignment horizontal="center" vertical="center" wrapText="1"/>
    </xf>
    <xf numFmtId="0" fontId="0" fillId="0" borderId="54" pivotButton="0" quotePrefix="0" xfId="0"/>
    <xf numFmtId="0" fontId="4" fillId="27" borderId="10" applyAlignment="1" pivotButton="0" quotePrefix="0" xfId="0">
      <alignment horizontal="center" wrapText="1"/>
    </xf>
    <xf numFmtId="176" fontId="4" fillId="27" borderId="12" applyAlignment="1" pivotButton="0" quotePrefix="0" xfId="0">
      <alignment horizontal="center" wrapText="1"/>
    </xf>
    <xf numFmtId="0" fontId="10" fillId="39" borderId="15" applyAlignment="1" pivotButton="0" quotePrefix="0" xfId="0">
      <alignment horizontal="center" vertical="top" wrapText="1"/>
    </xf>
    <xf numFmtId="0" fontId="6" fillId="15" borderId="2" applyAlignment="1" pivotButton="0" quotePrefix="0" xfId="0">
      <alignment horizontal="left" vertical="center" wrapText="1"/>
    </xf>
    <xf numFmtId="0" fontId="47" fillId="39" borderId="54" applyAlignment="1" pivotButton="0" quotePrefix="0" xfId="0">
      <alignment horizontal="left" vertical="top"/>
    </xf>
    <xf numFmtId="0" fontId="8" fillId="39" borderId="54" applyAlignment="1" pivotButton="0" quotePrefix="0" xfId="0">
      <alignment horizontal="left" vertical="center" wrapText="1"/>
    </xf>
    <xf numFmtId="0" fontId="0" fillId="0" borderId="5" pivotButton="0" quotePrefix="0" xfId="0"/>
    <xf numFmtId="0" fontId="47" fillId="39" borderId="99" applyAlignment="1" pivotButton="0" quotePrefix="0" xfId="0">
      <alignment horizontal="left" vertical="center" wrapText="1"/>
    </xf>
    <xf numFmtId="0" fontId="0" fillId="0" borderId="21" pivotButton="0" quotePrefix="0" xfId="0"/>
    <xf numFmtId="176" fontId="4" fillId="39" borderId="0" applyAlignment="1" applyProtection="1" pivotButton="0" quotePrefix="0" xfId="0">
      <alignment horizontal="right"/>
      <protection locked="0" hidden="0"/>
    </xf>
    <xf numFmtId="0" fontId="0" fillId="0" borderId="8" applyProtection="1" pivotButton="0" quotePrefix="0" xfId="0">
      <protection locked="0" hidden="0"/>
    </xf>
    <xf numFmtId="0" fontId="4" fillId="39" borderId="12" applyAlignment="1" pivotButton="0" quotePrefix="0" xfId="0">
      <alignment horizontal="center"/>
    </xf>
    <xf numFmtId="0" fontId="0" fillId="0" borderId="6" pivotButton="0" quotePrefix="0" xfId="0"/>
    <xf numFmtId="175" fontId="31" fillId="2" borderId="30" pivotButton="0" quotePrefix="0" xfId="0"/>
    <xf numFmtId="175" fontId="31" fillId="2" borderId="3" pivotButton="0" quotePrefix="0" xfId="0"/>
    <xf numFmtId="191" fontId="146" fillId="15" borderId="0" pivotButton="0" quotePrefix="0" xfId="0"/>
    <xf numFmtId="176" fontId="4" fillId="39" borderId="4" applyAlignment="1" applyProtection="1" pivotButton="0" quotePrefix="0" xfId="0">
      <alignment horizontal="right"/>
      <protection locked="0" hidden="0"/>
    </xf>
    <xf numFmtId="174" fontId="10" fillId="2" borderId="0" applyAlignment="1" pivotButton="0" quotePrefix="0" xfId="0">
      <alignment horizontal="left"/>
    </xf>
    <xf numFmtId="174" fontId="10" fillId="2" borderId="3" applyAlignment="1" pivotButton="0" quotePrefix="0" xfId="0">
      <alignment horizontal="left"/>
    </xf>
    <xf numFmtId="174" fontId="102" fillId="2" borderId="3" applyAlignment="1" pivotButton="0" quotePrefix="0" xfId="0">
      <alignment horizontal="left" vertical="top"/>
    </xf>
    <xf numFmtId="174" fontId="10" fillId="2" borderId="9" applyAlignment="1" pivotButton="0" quotePrefix="0" xfId="0">
      <alignment horizontal="left"/>
    </xf>
    <xf numFmtId="4" fontId="158" fillId="15" borderId="12" applyAlignment="1" pivotButton="0" quotePrefix="0" xfId="0">
      <alignment horizontal="center" vertical="center" wrapText="1"/>
    </xf>
    <xf numFmtId="167" fontId="8" fillId="2" borderId="0" applyAlignment="1" pivotButton="0" quotePrefix="0" xfId="0">
      <alignment horizontal="left"/>
    </xf>
    <xf numFmtId="174" fontId="102" fillId="2" borderId="3" pivotButton="0" quotePrefix="0" xfId="0"/>
    <xf numFmtId="174" fontId="102" fillId="2" borderId="3" applyAlignment="1" pivotButton="0" quotePrefix="0" xfId="0">
      <alignment horizontal="center" vertical="center"/>
    </xf>
    <xf numFmtId="174" fontId="10" fillId="2" borderId="24" applyAlignment="1" pivotButton="0" quotePrefix="0" xfId="0">
      <alignment horizontal="left"/>
    </xf>
    <xf numFmtId="174" fontId="8" fillId="2" borderId="0" applyAlignment="1" pivotButton="0" quotePrefix="0" xfId="0">
      <alignment horizontal="left"/>
    </xf>
    <xf numFmtId="176" fontId="4" fillId="39" borderId="0" applyAlignment="1" applyProtection="1" pivotButton="0" quotePrefix="0" xfId="0">
      <alignment horizontal="right" indent="1"/>
      <protection locked="0" hidden="0"/>
    </xf>
    <xf numFmtId="4" fontId="163" fillId="15" borderId="12" applyAlignment="1" pivotButton="0" quotePrefix="0" xfId="0">
      <alignment horizontal="center" vertical="center" wrapText="1"/>
    </xf>
    <xf numFmtId="174" fontId="37" fillId="2" borderId="0" pivotButton="0" quotePrefix="0" xfId="0"/>
    <xf numFmtId="174" fontId="132" fillId="2" borderId="3" pivotButton="0" quotePrefix="0" xfId="0"/>
    <xf numFmtId="174" fontId="37" fillId="2" borderId="3" applyAlignment="1" pivotButton="0" quotePrefix="0" xfId="0">
      <alignment horizontal="left"/>
    </xf>
    <xf numFmtId="174" fontId="37" fillId="2" borderId="0" applyAlignment="1" pivotButton="0" quotePrefix="0" xfId="0">
      <alignment horizontal="right"/>
    </xf>
    <xf numFmtId="174" fontId="132" fillId="2" borderId="3" applyAlignment="1" pivotButton="0" quotePrefix="0" xfId="0">
      <alignment horizontal="center"/>
    </xf>
    <xf numFmtId="174" fontId="8" fillId="2" borderId="3" applyAlignment="1" pivotButton="0" quotePrefix="0" xfId="0">
      <alignment horizontal="left"/>
    </xf>
    <xf numFmtId="174" fontId="8" fillId="2" borderId="24" applyAlignment="1" pivotButton="0" quotePrefix="0" xfId="0">
      <alignment horizontal="right"/>
    </xf>
    <xf numFmtId="174" fontId="10" fillId="2" borderId="3" applyAlignment="1" pivotButton="0" quotePrefix="0" xfId="0">
      <alignment horizontal="right"/>
    </xf>
    <xf numFmtId="174" fontId="8" fillId="2" borderId="9" applyAlignment="1" pivotButton="0" quotePrefix="0" xfId="0">
      <alignment horizontal="left"/>
    </xf>
    <xf numFmtId="174" fontId="8" fillId="2" borderId="1" applyAlignment="1" pivotButton="0" quotePrefix="0" xfId="0">
      <alignment horizontal="left" vertical="top"/>
    </xf>
    <xf numFmtId="174" fontId="10" fillId="2" borderId="11" applyAlignment="1" pivotButton="0" quotePrefix="0" xfId="0">
      <alignment horizontal="left"/>
    </xf>
    <xf numFmtId="176" fontId="4" fillId="39" borderId="11" applyAlignment="1" applyProtection="1" pivotButton="0" quotePrefix="0" xfId="0">
      <alignment horizontal="right"/>
      <protection locked="0" hidden="0"/>
    </xf>
    <xf numFmtId="37" fontId="4" fillId="27" borderId="10" applyAlignment="1" pivotButton="0" quotePrefix="0" xfId="0">
      <alignment horizontal="right"/>
    </xf>
    <xf numFmtId="175" fontId="31" fillId="2" borderId="3" applyProtection="1" pivotButton="0" quotePrefix="0" xfId="0">
      <protection locked="0" hidden="0"/>
    </xf>
    <xf numFmtId="37" fontId="4" fillId="27" borderId="12" applyAlignment="1" pivotButton="0" quotePrefix="0" xfId="0">
      <alignment horizontal="right"/>
    </xf>
    <xf numFmtId="0" fontId="8" fillId="2" borderId="12" applyAlignment="1" pivotButton="0" quotePrefix="0" xfId="0">
      <alignment horizontal="center" vertical="center" wrapText="1"/>
    </xf>
    <xf numFmtId="176" fontId="15" fillId="16" borderId="1" applyAlignment="1" applyProtection="1" pivotButton="0" quotePrefix="0" xfId="0">
      <alignment horizontal="center"/>
      <protection locked="0" hidden="0"/>
    </xf>
    <xf numFmtId="170" fontId="143" fillId="15" borderId="0" applyAlignment="1" pivotButton="0" quotePrefix="0" xfId="4">
      <alignment horizontal="center"/>
    </xf>
    <xf numFmtId="176" fontId="4" fillId="39" borderId="1" applyAlignment="1" applyProtection="1" pivotButton="0" quotePrefix="0" xfId="0">
      <alignment horizontal="right"/>
      <protection locked="0" hidden="0"/>
    </xf>
    <xf numFmtId="191" fontId="6" fillId="15" borderId="0" applyAlignment="1" pivotButton="0" quotePrefix="0" xfId="4">
      <alignment horizontal="center"/>
    </xf>
    <xf numFmtId="0" fontId="12" fillId="16" borderId="12" applyAlignment="1" applyProtection="1" pivotButton="0" quotePrefix="0" xfId="0">
      <alignment horizontal="center" vertical="center"/>
      <protection locked="0" hidden="0"/>
    </xf>
    <xf numFmtId="49" fontId="9" fillId="16" borderId="12" applyAlignment="1" applyProtection="1" pivotButton="0" quotePrefix="0" xfId="0">
      <alignment horizontal="center"/>
      <protection locked="0" hidden="0"/>
    </xf>
    <xf numFmtId="165" fontId="9" fillId="39" borderId="24" applyAlignment="1" pivotButton="0" quotePrefix="0" xfId="0">
      <alignment horizontal="right" vertical="center"/>
    </xf>
    <xf numFmtId="165" fontId="9" fillId="16" borderId="12" applyAlignment="1" applyProtection="1" pivotButton="0" quotePrefix="0" xfId="0">
      <alignment horizontal="center"/>
      <protection locked="0" hidden="0"/>
    </xf>
    <xf numFmtId="165" fontId="8" fillId="39" borderId="0" applyAlignment="1" pivotButton="0" quotePrefix="0" xfId="0">
      <alignment horizontal="left"/>
    </xf>
    <xf numFmtId="170" fontId="6" fillId="15" borderId="0" applyAlignment="1" pivotButton="0" quotePrefix="0" xfId="4">
      <alignment horizontal="center"/>
    </xf>
    <xf numFmtId="176" fontId="4" fillId="39" borderId="14" applyAlignment="1" applyProtection="1" pivotButton="0" quotePrefix="0" xfId="0">
      <alignment horizontal="right" vertical="top" indent="1"/>
      <protection locked="0" hidden="0"/>
    </xf>
    <xf numFmtId="176" fontId="4" fillId="39" borderId="24" applyAlignment="1" applyProtection="1" pivotButton="0" quotePrefix="0" xfId="0">
      <alignment horizontal="right" vertical="top"/>
      <protection locked="0" hidden="0"/>
    </xf>
    <xf numFmtId="176" fontId="4" fillId="39" borderId="70" applyAlignment="1" applyProtection="1" pivotButton="0" quotePrefix="0" xfId="0">
      <alignment horizontal="right" indent="1"/>
      <protection locked="0" hidden="0"/>
    </xf>
    <xf numFmtId="0" fontId="11" fillId="15" borderId="74" applyAlignment="1" pivotButton="0" quotePrefix="0" xfId="0">
      <alignment horizontal="left" vertical="top" wrapText="1"/>
    </xf>
    <xf numFmtId="191" fontId="6" fillId="15" borderId="0" pivotButton="0" quotePrefix="0" xfId="4"/>
    <xf numFmtId="0" fontId="0" fillId="0" borderId="4" applyProtection="1" pivotButton="0" quotePrefix="0" xfId="0">
      <protection locked="0" hidden="0"/>
    </xf>
    <xf numFmtId="201" fontId="4" fillId="16" borderId="4" applyAlignment="1" applyProtection="1" pivotButton="0" quotePrefix="0" xfId="0">
      <alignment horizontal="center"/>
      <protection locked="0" hidden="0"/>
    </xf>
    <xf numFmtId="0" fontId="0" fillId="0" borderId="74" applyProtection="1" pivotButton="0" quotePrefix="0" xfId="0">
      <protection locked="0" hidden="0"/>
    </xf>
    <xf numFmtId="0" fontId="0" fillId="0" borderId="60" applyProtection="1" pivotButton="0" quotePrefix="0" xfId="0">
      <protection locked="0" hidden="0"/>
    </xf>
    <xf numFmtId="170" fontId="6" fillId="15" borderId="30" applyAlignment="1" pivotButton="0" quotePrefix="0" xfId="0">
      <alignment horizontal="center"/>
    </xf>
    <xf numFmtId="170" fontId="6" fillId="15" borderId="2" applyAlignment="1" pivotButton="0" quotePrefix="0" xfId="0">
      <alignment horizontal="center"/>
    </xf>
    <xf numFmtId="0" fontId="8" fillId="15" borderId="6" applyAlignment="1" pivotButton="0" quotePrefix="0" xfId="0">
      <alignment horizontal="left"/>
    </xf>
    <xf numFmtId="170" fontId="15" fillId="16" borderId="10" applyAlignment="1" applyProtection="1" pivotButton="0" quotePrefix="0" xfId="0">
      <alignment horizontal="center"/>
      <protection locked="0" hidden="0"/>
    </xf>
    <xf numFmtId="49" fontId="15" fillId="16" borderId="10" applyAlignment="1" applyProtection="1" pivotButton="0" quotePrefix="0" xfId="0">
      <alignment horizontal="center" wrapText="1"/>
      <protection locked="0" hidden="0"/>
    </xf>
    <xf numFmtId="201" fontId="10" fillId="15" borderId="9" applyAlignment="1" pivotButton="0" quotePrefix="0" xfId="0">
      <alignment horizontal="center" vertical="top"/>
    </xf>
    <xf numFmtId="49" fontId="285" fillId="16" borderId="57" applyAlignment="1" applyProtection="1" pivotButton="0" quotePrefix="0" xfId="0">
      <alignment horizontal="center" vertical="center"/>
      <protection locked="0" hidden="0"/>
    </xf>
    <xf numFmtId="0" fontId="0" fillId="0" borderId="62" applyProtection="1" pivotButton="0" quotePrefix="0" xfId="0">
      <protection locked="0" hidden="0"/>
    </xf>
    <xf numFmtId="0" fontId="0" fillId="0" borderId="63" applyProtection="1" pivotButton="0" quotePrefix="0" xfId="0">
      <protection locked="0" hidden="0"/>
    </xf>
    <xf numFmtId="201" fontId="15" fillId="16" borderId="73" applyAlignment="1" applyProtection="1" pivotButton="0" quotePrefix="0" xfId="0">
      <alignment horizontal="center"/>
      <protection locked="0" hidden="0"/>
    </xf>
    <xf numFmtId="0" fontId="0" fillId="0" borderId="31" applyProtection="1" pivotButton="0" quotePrefix="0" xfId="0">
      <protection locked="0" hidden="0"/>
    </xf>
    <xf numFmtId="0" fontId="0" fillId="0" borderId="73" applyProtection="1" pivotButton="0" quotePrefix="0" xfId="0">
      <protection locked="0" hidden="0"/>
    </xf>
    <xf numFmtId="0" fontId="0" fillId="0" borderId="31" pivotButton="0" quotePrefix="0" xfId="0"/>
    <xf numFmtId="201" fontId="15" fillId="16" borderId="4" applyAlignment="1" applyProtection="1" pivotButton="0" quotePrefix="0" xfId="0">
      <alignment horizontal="left" indent="1"/>
      <protection locked="0" hidden="0"/>
    </xf>
    <xf numFmtId="0" fontId="8" fillId="2" borderId="24" applyAlignment="1" pivotButton="0" quotePrefix="0" xfId="0">
      <alignment horizontal="left"/>
    </xf>
    <xf numFmtId="0" fontId="8" fillId="2" borderId="6" applyAlignment="1" pivotButton="0" quotePrefix="0" xfId="0">
      <alignment horizontal="left" indent="1"/>
    </xf>
    <xf numFmtId="0" fontId="15" fillId="16" borderId="11" applyAlignment="1" applyProtection="1" pivotButton="0" quotePrefix="0" xfId="0">
      <alignment horizontal="left" indent="1"/>
      <protection locked="0" hidden="0"/>
    </xf>
    <xf numFmtId="191" fontId="15" fillId="16" borderId="9" applyAlignment="1" applyProtection="1" pivotButton="0" quotePrefix="0" xfId="0">
      <alignment horizontal="center"/>
      <protection locked="0" hidden="0"/>
    </xf>
    <xf numFmtId="49" fontId="285" fillId="16" borderId="12" applyAlignment="1" applyProtection="1" pivotButton="0" quotePrefix="0" xfId="0">
      <alignment horizontal="center" vertical="center"/>
      <protection locked="0" hidden="0"/>
    </xf>
    <xf numFmtId="0" fontId="10" fillId="2" borderId="12" applyAlignment="1" pivotButton="0" quotePrefix="0" xfId="0">
      <alignment horizontal="center"/>
    </xf>
    <xf numFmtId="201" fontId="285" fillId="16" borderId="30" applyAlignment="1" applyProtection="1" pivotButton="0" quotePrefix="0" xfId="0">
      <alignment horizontal="center" vertical="center"/>
      <protection locked="0" hidden="0"/>
    </xf>
    <xf numFmtId="0" fontId="0" fillId="0" borderId="99" applyProtection="1" pivotButton="0" quotePrefix="0" xfId="0">
      <protection locked="0" hidden="0"/>
    </xf>
    <xf numFmtId="0" fontId="0" fillId="0" borderId="199" applyProtection="1" pivotButton="0" quotePrefix="0" xfId="0">
      <protection locked="0" hidden="0"/>
    </xf>
    <xf numFmtId="0" fontId="0" fillId="0" borderId="99" pivotButton="0" quotePrefix="0" xfId="0"/>
    <xf numFmtId="201" fontId="285" fillId="16" borderId="192" applyAlignment="1" applyProtection="1" pivotButton="0" quotePrefix="0" xfId="0">
      <alignment horizontal="center" vertical="center"/>
      <protection locked="0" hidden="0"/>
    </xf>
    <xf numFmtId="0" fontId="67" fillId="11" borderId="57" applyAlignment="1" pivotButton="0" quotePrefix="0" xfId="2">
      <alignment horizontal="center"/>
    </xf>
    <xf numFmtId="0" fontId="0" fillId="0" borderId="62" pivotButton="0" quotePrefix="0" xfId="0"/>
    <xf numFmtId="0" fontId="0" fillId="0" borderId="63" pivotButton="0" quotePrefix="0" xfId="0"/>
    <xf numFmtId="0" fontId="67" fillId="0" borderId="2" applyAlignment="1" pivotButton="0" quotePrefix="0" xfId="2">
      <alignment horizontal="center" vertical="center"/>
    </xf>
    <xf numFmtId="169" fontId="0" fillId="15" borderId="0" applyAlignment="1" applyProtection="1" pivotButton="0" quotePrefix="0" xfId="0">
      <alignment horizontal="center" vertical="center"/>
      <protection locked="1" hidden="1"/>
    </xf>
    <xf numFmtId="169" fontId="265" fillId="15" borderId="2" applyAlignment="1" applyProtection="1" pivotButton="0" quotePrefix="0" xfId="0">
      <alignment horizontal="left" vertical="center" indent="1"/>
      <protection locked="1" hidden="1"/>
    </xf>
    <xf numFmtId="0" fontId="0" fillId="0" borderId="74" applyProtection="1" pivotButton="0" quotePrefix="0" xfId="0">
      <protection locked="1" hidden="1"/>
    </xf>
    <xf numFmtId="0" fontId="0" fillId="0" borderId="60" applyProtection="1" pivotButton="0" quotePrefix="0" xfId="0">
      <protection locked="1" hidden="1"/>
    </xf>
    <xf numFmtId="169" fontId="265" fillId="15" borderId="0" applyAlignment="1" applyProtection="1" pivotButton="0" quotePrefix="0" xfId="0">
      <alignment horizontal="left" vertical="center" indent="1"/>
      <protection locked="1" hidden="1"/>
    </xf>
    <xf numFmtId="0" fontId="128" fillId="15" borderId="2" applyAlignment="1" applyProtection="1" pivotButton="0" quotePrefix="1" xfId="0">
      <alignment horizontal="center" vertical="center" wrapText="1"/>
      <protection locked="1" hidden="1"/>
    </xf>
    <xf numFmtId="0" fontId="0" fillId="0" borderId="7" applyProtection="1" pivotButton="0" quotePrefix="0" xfId="0">
      <protection locked="1" hidden="1"/>
    </xf>
    <xf numFmtId="0" fontId="0" fillId="0" borderId="19" applyProtection="1" pivotButton="0" quotePrefix="0" xfId="0">
      <protection locked="1" hidden="1"/>
    </xf>
    <xf numFmtId="0" fontId="0" fillId="0" borderId="5" applyProtection="1" pivotButton="0" quotePrefix="0" xfId="0">
      <protection locked="1" hidden="1"/>
    </xf>
    <xf numFmtId="0" fontId="0" fillId="0" borderId="20" applyProtection="1" pivotButton="0" quotePrefix="0" xfId="0">
      <protection locked="1" hidden="1"/>
    </xf>
    <xf numFmtId="0" fontId="0" fillId="0" borderId="21" applyProtection="1" pivotButton="0" quotePrefix="0" xfId="0">
      <protection locked="1" hidden="1"/>
    </xf>
    <xf numFmtId="0" fontId="0" fillId="0" borderId="4" applyProtection="1" pivotButton="0" quotePrefix="0" xfId="0">
      <protection locked="1" hidden="1"/>
    </xf>
    <xf numFmtId="0" fontId="0" fillId="0" borderId="22" applyProtection="1" pivotButton="0" quotePrefix="0" xfId="0">
      <protection locked="1" hidden="1"/>
    </xf>
    <xf numFmtId="0" fontId="128" fillId="15" borderId="2" applyAlignment="1" applyProtection="1" pivotButton="0" quotePrefix="0" xfId="0">
      <alignment horizontal="center" vertical="center" wrapText="1"/>
      <protection locked="1" hidden="1"/>
    </xf>
    <xf numFmtId="0" fontId="128" fillId="15" borderId="37" applyAlignment="1" applyProtection="1" pivotButton="0" quotePrefix="0" xfId="0">
      <alignment horizontal="center" vertical="center" wrapText="1"/>
      <protection locked="1" hidden="1"/>
    </xf>
    <xf numFmtId="167" fontId="0" fillId="15" borderId="0" applyProtection="1" pivotButton="0" quotePrefix="0" xfId="0">
      <protection locked="1" hidden="1"/>
    </xf>
    <xf numFmtId="168" fontId="0" fillId="15" borderId="0" applyAlignment="1" applyProtection="1" pivotButton="0" quotePrefix="0" xfId="0">
      <alignment horizontal="right"/>
      <protection locked="1" hidden="1"/>
    </xf>
    <xf numFmtId="0" fontId="144" fillId="15" borderId="102" applyAlignment="1" pivotButton="0" quotePrefix="0" xfId="0">
      <alignment horizontal="center" vertical="center" wrapText="1"/>
    </xf>
    <xf numFmtId="170" fontId="0" fillId="0" borderId="0" applyAlignment="1" pivotButton="0" quotePrefix="0" xfId="0">
      <alignment horizontal="center"/>
    </xf>
    <xf numFmtId="170" fontId="6" fillId="0" borderId="5" applyAlignment="1" pivotButton="0" quotePrefix="0" xfId="0">
      <alignment horizontal="right"/>
    </xf>
    <xf numFmtId="170" fontId="158" fillId="0" borderId="193" applyAlignment="1" pivotButton="0" quotePrefix="0" xfId="0">
      <alignment horizontal="center"/>
    </xf>
    <xf numFmtId="170" fontId="0" fillId="0" borderId="78" applyAlignment="1" pivotButton="0" quotePrefix="0" xfId="0">
      <alignment horizontal="center"/>
    </xf>
    <xf numFmtId="170" fontId="0" fillId="0" borderId="6" applyAlignment="1" pivotButton="0" quotePrefix="0" xfId="0">
      <alignment horizontal="center"/>
    </xf>
    <xf numFmtId="170" fontId="0" fillId="0" borderId="5" applyAlignment="1" pivotButton="0" quotePrefix="0" xfId="0">
      <alignment horizontal="center"/>
    </xf>
    <xf numFmtId="170" fontId="0" fillId="0" borderId="193" applyAlignment="1" pivotButton="0" quotePrefix="0" xfId="0">
      <alignment horizontal="center"/>
    </xf>
    <xf numFmtId="170" fontId="6" fillId="0" borderId="78" applyAlignment="1" pivotButton="0" quotePrefix="0" xfId="0">
      <alignment horizontal="center"/>
    </xf>
    <xf numFmtId="170" fontId="0" fillId="0" borderId="20" applyAlignment="1" pivotButton="0" quotePrefix="0" xfId="0">
      <alignment horizontal="center"/>
    </xf>
    <xf numFmtId="170" fontId="6" fillId="0" borderId="193" applyAlignment="1" pivotButton="0" quotePrefix="0" xfId="0">
      <alignment horizontal="center"/>
    </xf>
    <xf numFmtId="170" fontId="6" fillId="0" borderId="6" applyAlignment="1" pivotButton="0" quotePrefix="0" xfId="0">
      <alignment horizontal="center"/>
    </xf>
    <xf numFmtId="170" fontId="6" fillId="0" borderId="20" applyAlignment="1" pivotButton="0" quotePrefix="0" xfId="0">
      <alignment horizontal="center"/>
    </xf>
    <xf numFmtId="170" fontId="6" fillId="0" borderId="5" applyAlignment="1" pivotButton="0" quotePrefix="0" xfId="0">
      <alignment horizontal="right" indent="1"/>
    </xf>
    <xf numFmtId="170" fontId="6" fillId="0" borderId="5" applyAlignment="1" pivotButton="0" quotePrefix="0" xfId="0">
      <alignment horizontal="right" vertical="center"/>
    </xf>
    <xf numFmtId="170" fontId="6" fillId="0" borderId="78" applyAlignment="1" pivotButton="0" quotePrefix="0" xfId="0">
      <alignment horizontal="center" vertical="center"/>
    </xf>
    <xf numFmtId="170" fontId="6" fillId="0" borderId="193" applyAlignment="1" pivotButton="0" quotePrefix="0" xfId="0">
      <alignment horizontal="center" vertical="center"/>
    </xf>
    <xf numFmtId="170" fontId="6" fillId="0" borderId="6" applyAlignment="1" pivotButton="0" quotePrefix="0" xfId="0">
      <alignment horizontal="center" vertical="center"/>
    </xf>
    <xf numFmtId="170" fontId="6" fillId="0" borderId="20" applyAlignment="1" pivotButton="0" quotePrefix="0" xfId="0">
      <alignment horizontal="center" vertical="center"/>
    </xf>
    <xf numFmtId="170" fontId="6" fillId="0" borderId="5" applyAlignment="1" pivotButton="0" quotePrefix="0" xfId="0">
      <alignment horizontal="right" vertical="center" indent="1"/>
    </xf>
    <xf numFmtId="170" fontId="109" fillId="0" borderId="78" applyAlignment="1" pivotButton="0" quotePrefix="0" xfId="0">
      <alignment horizontal="center"/>
    </xf>
    <xf numFmtId="170" fontId="6" fillId="0" borderId="193" applyAlignment="1" pivotButton="0" quotePrefix="1" xfId="0">
      <alignment horizontal="center"/>
    </xf>
    <xf numFmtId="170" fontId="6" fillId="0" borderId="78" applyAlignment="1" pivotButton="0" quotePrefix="1" xfId="0">
      <alignment horizontal="center"/>
    </xf>
    <xf numFmtId="170" fontId="0" fillId="0" borderId="21" applyAlignment="1" pivotButton="0" quotePrefix="0" xfId="0">
      <alignment horizontal="center"/>
    </xf>
    <xf numFmtId="170" fontId="6" fillId="0" borderId="194" applyAlignment="1" pivotButton="0" quotePrefix="0" xfId="0">
      <alignment horizontal="center"/>
    </xf>
    <xf numFmtId="170" fontId="6" fillId="0" borderId="79" applyAlignment="1" pivotButton="0" quotePrefix="0" xfId="0">
      <alignment horizontal="center"/>
    </xf>
    <xf numFmtId="170" fontId="6" fillId="0" borderId="28" applyAlignment="1" pivotButton="0" quotePrefix="0" xfId="0">
      <alignment horizontal="center"/>
    </xf>
    <xf numFmtId="170" fontId="6" fillId="0" borderId="22" applyAlignment="1" pivotButton="0" quotePrefix="0" xfId="0">
      <alignment horizontal="center"/>
    </xf>
    <xf numFmtId="185" fontId="4" fillId="2" borderId="45" applyAlignment="1" pivotButton="0" quotePrefix="0" xfId="0">
      <alignment horizontal="center"/>
    </xf>
    <xf numFmtId="168" fontId="4" fillId="2" borderId="45" applyAlignment="1" pivotButton="0" quotePrefix="0" xfId="0">
      <alignment horizontal="center"/>
    </xf>
    <xf numFmtId="168" fontId="6" fillId="0" borderId="0" pivotButton="0" quotePrefix="0" xfId="0"/>
    <xf numFmtId="172" fontId="6" fillId="0" borderId="117" applyAlignment="1" applyProtection="1" pivotButton="0" quotePrefix="0" xfId="0">
      <alignment horizontal="center"/>
      <protection locked="0" hidden="0"/>
    </xf>
    <xf numFmtId="0" fontId="67" fillId="0" borderId="2" applyAlignment="1" pivotButton="0" quotePrefix="0" xfId="2">
      <alignment horizontal="left" vertical="center" indent="1"/>
    </xf>
    <xf numFmtId="0" fontId="0" fillId="0" borderId="102" pivotButton="0" quotePrefix="0" xfId="0"/>
    <xf numFmtId="0" fontId="0" fillId="0" borderId="38" pivotButton="0" quotePrefix="0" xfId="0"/>
    <xf numFmtId="170" fontId="0" fillId="24" borderId="0" applyAlignment="1" applyProtection="1" pivotButton="0" quotePrefix="0" xfId="0">
      <alignment horizontal="center"/>
      <protection locked="0" hidden="0"/>
    </xf>
    <xf numFmtId="170" fontId="15" fillId="24" borderId="0" applyAlignment="1" applyProtection="1" pivotButton="0" quotePrefix="0" xfId="0">
      <alignment horizontal="center"/>
      <protection locked="0" hidden="0"/>
    </xf>
    <xf numFmtId="170" fontId="4" fillId="24" borderId="0" applyAlignment="1" applyProtection="1" pivotButton="0" quotePrefix="0" xfId="0">
      <alignment horizontal="center"/>
      <protection locked="0" hidden="0"/>
    </xf>
    <xf numFmtId="168" fontId="6" fillId="2" borderId="5" applyAlignment="1" pivotButton="0" quotePrefix="0" xfId="0">
      <alignment horizontal="right"/>
    </xf>
    <xf numFmtId="170" fontId="109" fillId="24" borderId="0" applyAlignment="1" applyProtection="1" pivotButton="0" quotePrefix="0" xfId="0">
      <alignment horizontal="center"/>
      <protection locked="0" hidden="0"/>
    </xf>
    <xf numFmtId="170" fontId="6" fillId="24" borderId="0" applyAlignment="1" applyProtection="1" pivotButton="0" quotePrefix="0" xfId="0">
      <alignment horizontal="center" wrapText="1"/>
      <protection locked="0" hidden="0"/>
    </xf>
    <xf numFmtId="170" fontId="6" fillId="24" borderId="0" applyAlignment="1" applyProtection="1" pivotButton="0" quotePrefix="0" xfId="0">
      <alignment wrapText="1"/>
      <protection locked="0" hidden="0"/>
    </xf>
    <xf numFmtId="0" fontId="67" fillId="15" borderId="2" applyAlignment="1" applyProtection="1" pivotButton="0" quotePrefix="0" xfId="2">
      <alignment horizontal="center" vertical="center"/>
      <protection locked="1" hidden="1"/>
    </xf>
    <xf numFmtId="168" fontId="6" fillId="32" borderId="142" applyAlignment="1" applyProtection="1" pivotButton="0" quotePrefix="0" xfId="0">
      <alignment horizontal="right"/>
      <protection locked="0" hidden="0"/>
    </xf>
    <xf numFmtId="168" fontId="6" fillId="32" borderId="143" applyAlignment="1" applyProtection="1" pivotButton="0" quotePrefix="0" xfId="0">
      <alignment horizontal="right"/>
      <protection locked="0" hidden="0"/>
    </xf>
    <xf numFmtId="168" fontId="6" fillId="32" borderId="144" applyAlignment="1" applyProtection="1" pivotButton="0" quotePrefix="0" xfId="0">
      <alignment horizontal="right"/>
      <protection locked="0" hidden="0"/>
    </xf>
    <xf numFmtId="168" fontId="6" fillId="32" borderId="145" applyAlignment="1" applyProtection="1" pivotButton="0" quotePrefix="0" xfId="0">
      <alignment horizontal="right"/>
      <protection locked="0" hidden="0"/>
    </xf>
    <xf numFmtId="168" fontId="6" fillId="2" borderId="49" applyAlignment="1" applyProtection="1" pivotButton="0" quotePrefix="0" xfId="0">
      <alignment horizontal="right"/>
      <protection locked="1" hidden="1"/>
    </xf>
    <xf numFmtId="168" fontId="6" fillId="2" borderId="12" applyAlignment="1" applyProtection="1" pivotButton="0" quotePrefix="0" xfId="0">
      <alignment horizontal="right"/>
      <protection locked="0" hidden="0"/>
    </xf>
    <xf numFmtId="168" fontId="6" fillId="2" borderId="0" applyAlignment="1" applyProtection="1" pivotButton="0" quotePrefix="0" xfId="0">
      <alignment horizontal="right"/>
      <protection locked="0" hidden="0"/>
    </xf>
    <xf numFmtId="168" fontId="108" fillId="2" borderId="49" applyProtection="1" pivotButton="0" quotePrefix="0" xfId="0">
      <protection locked="1" hidden="1"/>
    </xf>
    <xf numFmtId="0" fontId="296" fillId="24" borderId="12" applyAlignment="1" pivotButton="0" quotePrefix="0" xfId="4">
      <alignment horizontal="left" vertical="center" indent="1"/>
    </xf>
    <xf numFmtId="170" fontId="8" fillId="0" borderId="0" applyAlignment="1" pivotButton="0" quotePrefix="0" xfId="0">
      <alignment horizontal="center" vertical="top"/>
    </xf>
    <xf numFmtId="0" fontId="6" fillId="39" borderId="12" applyAlignment="1" pivotButton="0" quotePrefix="0" xfId="0">
      <alignment horizontal="center" vertical="center" wrapText="1"/>
    </xf>
    <xf numFmtId="0" fontId="8" fillId="39" borderId="15" applyAlignment="1" pivotButton="0" quotePrefix="0" xfId="0">
      <alignment horizontal="center" wrapText="1"/>
    </xf>
    <xf numFmtId="0" fontId="9" fillId="39" borderId="12" applyAlignment="1" pivotButton="0" quotePrefix="0" xfId="0">
      <alignment horizontal="center" vertical="center"/>
    </xf>
    <xf numFmtId="0" fontId="4" fillId="39" borderId="12" applyAlignment="1" pivotButton="0" quotePrefix="0" xfId="0">
      <alignment horizontal="center" vertical="center" wrapText="1"/>
    </xf>
    <xf numFmtId="0" fontId="4" fillId="39" borderId="39" applyAlignment="1" pivotButton="0" quotePrefix="0" xfId="0">
      <alignment horizontal="center" vertical="center" wrapText="1"/>
    </xf>
    <xf numFmtId="0" fontId="8" fillId="39" borderId="67" applyAlignment="1" pivotButton="0" quotePrefix="0" xfId="0">
      <alignment horizontal="center" vertical="center" wrapText="1"/>
    </xf>
    <xf numFmtId="0" fontId="15" fillId="39" borderId="247" applyAlignment="1" pivotButton="0" quotePrefix="0" xfId="0">
      <alignment horizontal="center" vertical="center" wrapText="1"/>
    </xf>
    <xf numFmtId="0" fontId="8" fillId="39" borderId="25" applyAlignment="1" pivotButton="0" quotePrefix="0" xfId="0">
      <alignment horizontal="center" vertical="center" wrapText="1"/>
    </xf>
    <xf numFmtId="0" fontId="8" fillId="39" borderId="10" applyAlignment="1" pivotButton="0" quotePrefix="0" xfId="0">
      <alignment horizontal="center" vertical="center" wrapText="1"/>
    </xf>
    <xf numFmtId="0" fontId="0" fillId="0" borderId="26" pivotButton="0" quotePrefix="0" xfId="0"/>
    <xf numFmtId="0" fontId="0" fillId="0" borderId="101" pivotButton="0" quotePrefix="0" xfId="0"/>
    <xf numFmtId="0" fontId="0" fillId="0" borderId="96" pivotButton="0" quotePrefix="0" xfId="0"/>
    <xf numFmtId="0" fontId="0" fillId="0" borderId="159" pivotButton="0" quotePrefix="0" xfId="0"/>
    <xf numFmtId="0" fontId="6" fillId="39" borderId="10" applyAlignment="1" pivotButton="0" quotePrefix="0" xfId="0">
      <alignment horizontal="left" vertical="center" wrapText="1"/>
    </xf>
    <xf numFmtId="0" fontId="10" fillId="39" borderId="246" applyAlignment="1" pivotButton="0" quotePrefix="0" xfId="0">
      <alignment horizontal="center" vertical="center" wrapText="1"/>
    </xf>
    <xf numFmtId="0" fontId="0" fillId="0" borderId="236" pivotButton="0" quotePrefix="0" xfId="0"/>
    <xf numFmtId="0" fontId="4" fillId="16" borderId="12" applyAlignment="1" applyProtection="1" pivotButton="0" quotePrefix="0" xfId="0">
      <alignment horizontal="left" vertical="center"/>
      <protection locked="0" hidden="0"/>
    </xf>
    <xf numFmtId="176" fontId="4" fillId="16" borderId="12" applyAlignment="1" applyProtection="1" pivotButton="0" quotePrefix="0" xfId="0">
      <alignment horizontal="center" vertical="center"/>
      <protection locked="0" hidden="0"/>
    </xf>
    <xf numFmtId="170" fontId="4" fillId="16" borderId="12" applyAlignment="1" applyProtection="1" pivotButton="0" quotePrefix="0" xfId="0">
      <alignment horizontal="center" vertical="center"/>
      <protection locked="0" hidden="0"/>
    </xf>
    <xf numFmtId="172" fontId="11" fillId="27" borderId="39" applyAlignment="1" applyProtection="1" pivotButton="0" quotePrefix="0" xfId="0">
      <alignment horizontal="center" vertical="center"/>
      <protection locked="1" hidden="1"/>
    </xf>
    <xf numFmtId="172" fontId="11" fillId="27" borderId="25" applyAlignment="1" applyProtection="1" pivotButton="0" quotePrefix="0" xfId="0">
      <alignment horizontal="center" vertical="center"/>
      <protection locked="1" hidden="1"/>
    </xf>
    <xf numFmtId="0" fontId="0" fillId="0" borderId="13" applyProtection="1" pivotButton="0" quotePrefix="0" xfId="0">
      <protection locked="0" hidden="0"/>
    </xf>
    <xf numFmtId="0" fontId="4" fillId="16" borderId="198" applyAlignment="1" applyProtection="1" pivotButton="0" quotePrefix="0" xfId="0">
      <alignment horizontal="left" vertical="center"/>
      <protection locked="0" hidden="0"/>
    </xf>
    <xf numFmtId="176" fontId="4" fillId="16" borderId="198" applyAlignment="1" applyProtection="1" pivotButton="0" quotePrefix="0" xfId="0">
      <alignment horizontal="center" vertical="center"/>
      <protection locked="0" hidden="0"/>
    </xf>
    <xf numFmtId="170" fontId="4" fillId="16" borderId="198" applyAlignment="1" applyProtection="1" pivotButton="0" quotePrefix="0" xfId="0">
      <alignment horizontal="center" vertical="center"/>
      <protection locked="0" hidden="0"/>
    </xf>
    <xf numFmtId="172" fontId="11" fillId="27" borderId="192" applyAlignment="1" applyProtection="1" pivotButton="0" quotePrefix="0" xfId="0">
      <alignment horizontal="center" vertical="center"/>
      <protection locked="1" hidden="1"/>
    </xf>
    <xf numFmtId="172" fontId="11" fillId="27" borderId="99" applyAlignment="1" applyProtection="1" pivotButton="0" quotePrefix="0" xfId="0">
      <alignment horizontal="center" vertical="center"/>
      <protection locked="1" hidden="1"/>
    </xf>
    <xf numFmtId="0" fontId="8" fillId="39" borderId="12" applyAlignment="1" pivotButton="0" quotePrefix="0" xfId="0">
      <alignment horizontal="center" vertical="center" wrapText="1"/>
    </xf>
    <xf numFmtId="0" fontId="11" fillId="39" borderId="247" applyAlignment="1" pivotButton="0" quotePrefix="0" xfId="0">
      <alignment horizontal="center" vertical="center" wrapText="1"/>
    </xf>
    <xf numFmtId="0" fontId="6" fillId="39" borderId="25" applyAlignment="1" pivotButton="0" quotePrefix="0" xfId="0">
      <alignment horizontal="center" vertical="center" wrapText="1"/>
    </xf>
    <xf numFmtId="0" fontId="10" fillId="39" borderId="55" applyAlignment="1" pivotButton="0" quotePrefix="0" xfId="0">
      <alignment horizontal="center" vertical="center" wrapText="1"/>
    </xf>
    <xf numFmtId="0" fontId="15" fillId="15" borderId="102" applyAlignment="1" pivotButton="0" quotePrefix="0" xfId="0">
      <alignment horizontal="center"/>
    </xf>
    <xf numFmtId="0" fontId="4" fillId="15" borderId="102" applyAlignment="1" pivotButton="0" quotePrefix="0" xfId="0">
      <alignment horizontal="center" vertical="center"/>
    </xf>
    <xf numFmtId="0" fontId="4" fillId="15" borderId="12" applyAlignment="1" pivotButton="0" quotePrefix="0" xfId="0">
      <alignment horizontal="left" wrapText="1"/>
    </xf>
    <xf numFmtId="0" fontId="44" fillId="27" borderId="11" pivotButton="0" quotePrefix="0" xfId="0"/>
    <xf numFmtId="176" fontId="20" fillId="27" borderId="9" applyAlignment="1" pivotButton="0" quotePrefix="0" xfId="0">
      <alignment horizontal="center" vertical="center"/>
    </xf>
    <xf numFmtId="0" fontId="0" fillId="0" borderId="10" pivotButton="0" quotePrefix="0" xfId="0"/>
    <xf numFmtId="170" fontId="112" fillId="15" borderId="0" applyAlignment="1" pivotButton="0" quotePrefix="0" xfId="0">
      <alignment horizontal="center"/>
    </xf>
    <xf numFmtId="170" fontId="4" fillId="16" borderId="1" applyAlignment="1" applyProtection="1" pivotButton="0" quotePrefix="0" xfId="0">
      <alignment horizontal="center"/>
      <protection locked="0" hidden="0"/>
    </xf>
    <xf numFmtId="37" fontId="11" fillId="16" borderId="10" applyProtection="1" pivotButton="0" quotePrefix="0" xfId="0">
      <protection locked="0" hidden="0"/>
    </xf>
    <xf numFmtId="3" fontId="11" fillId="15" borderId="6" applyProtection="1" pivotButton="0" quotePrefix="0" xfId="0">
      <protection locked="0" hidden="0"/>
    </xf>
    <xf numFmtId="0" fontId="4" fillId="15" borderId="248" applyAlignment="1" pivotButton="0" quotePrefix="0" xfId="0">
      <alignment horizontal="center" wrapText="1"/>
    </xf>
    <xf numFmtId="0" fontId="4" fillId="15" borderId="250" applyAlignment="1" pivotButton="0" quotePrefix="0" xfId="0">
      <alignment horizontal="center" wrapText="1"/>
    </xf>
    <xf numFmtId="0" fontId="0" fillId="0" borderId="194" pivotButton="0" quotePrefix="0" xfId="0"/>
    <xf numFmtId="0" fontId="0" fillId="0" borderId="79" pivotButton="0" quotePrefix="0" xfId="0"/>
    <xf numFmtId="170" fontId="4" fillId="15" borderId="0" applyProtection="1" pivotButton="0" quotePrefix="0" xfId="0">
      <protection locked="0" hidden="0"/>
    </xf>
    <xf numFmtId="170" fontId="6" fillId="15" borderId="0" applyProtection="1" pivotButton="0" quotePrefix="0" xfId="0">
      <protection locked="0" hidden="0"/>
    </xf>
    <xf numFmtId="176" fontId="4" fillId="16" borderId="1" applyAlignment="1" applyProtection="1" pivotButton="0" quotePrefix="0" xfId="0">
      <alignment horizontal="center"/>
      <protection locked="0" hidden="0"/>
    </xf>
    <xf numFmtId="170" fontId="0" fillId="15" borderId="1" applyAlignment="1" applyProtection="1" pivotButton="0" quotePrefix="0" xfId="0">
      <alignment horizontal="center"/>
      <protection locked="0" hidden="0"/>
    </xf>
    <xf numFmtId="3" fontId="11" fillId="15" borderId="15" applyProtection="1" pivotButton="0" quotePrefix="0" xfId="0">
      <protection locked="0" hidden="0"/>
    </xf>
    <xf numFmtId="0" fontId="0" fillId="0" borderId="14" applyProtection="1" pivotButton="0" quotePrefix="0" xfId="0">
      <protection locked="0" hidden="0"/>
    </xf>
    <xf numFmtId="0" fontId="0" fillId="0" borderId="28" pivotButton="0" quotePrefix="0" xfId="0"/>
    <xf numFmtId="0" fontId="0" fillId="0" borderId="69" pivotButton="0" quotePrefix="0" xfId="0"/>
    <xf numFmtId="0" fontId="15" fillId="15" borderId="20" applyAlignment="1" pivotButton="0" quotePrefix="0" xfId="0">
      <alignment vertical="center" wrapText="1"/>
    </xf>
    <xf numFmtId="0" fontId="0" fillId="0" borderId="20" applyProtection="1" pivotButton="0" quotePrefix="0" xfId="0">
      <protection locked="0" hidden="0"/>
    </xf>
    <xf numFmtId="0" fontId="15" fillId="15" borderId="102" applyAlignment="1" pivotButton="0" quotePrefix="0" xfId="0">
      <alignment horizontal="center" vertical="center"/>
    </xf>
    <xf numFmtId="0" fontId="11" fillId="15" borderId="4" applyAlignment="1" pivotButton="0" quotePrefix="0" xfId="0">
      <alignment horizontal="center" wrapText="1"/>
    </xf>
    <xf numFmtId="14" fontId="11" fillId="24" borderId="12" applyAlignment="1" applyProtection="1" pivotButton="0" quotePrefix="0" xfId="0">
      <alignment horizontal="left" vertical="center" wrapText="1"/>
      <protection locked="0" hidden="0"/>
    </xf>
    <xf numFmtId="0" fontId="0" fillId="0" borderId="3" applyProtection="1" pivotButton="0" quotePrefix="0" xfId="0">
      <protection locked="0" hidden="0"/>
    </xf>
    <xf numFmtId="14" fontId="4" fillId="24" borderId="12" applyAlignment="1" applyProtection="1" pivotButton="0" quotePrefix="0" xfId="0">
      <alignment horizontal="center" vertical="top"/>
      <protection locked="0" hidden="0"/>
    </xf>
    <xf numFmtId="14" fontId="9" fillId="24" borderId="12" applyAlignment="1" applyProtection="1" pivotButton="0" quotePrefix="0" xfId="0">
      <alignment horizontal="left" vertical="top" wrapText="1"/>
      <protection locked="0" hidden="0"/>
    </xf>
    <xf numFmtId="14" fontId="4" fillId="24" borderId="12" applyAlignment="1" applyProtection="1" pivotButton="0" quotePrefix="0" xfId="0">
      <alignment horizontal="left" vertical="top" wrapText="1"/>
      <protection locked="0" hidden="0"/>
    </xf>
    <xf numFmtId="14" fontId="4" fillId="16" borderId="12" applyAlignment="1" applyProtection="1" pivotButton="0" quotePrefix="0" xfId="0">
      <alignment horizontal="left"/>
      <protection locked="0" hidden="0"/>
    </xf>
    <xf numFmtId="39" fontId="4" fillId="16" borderId="12" applyAlignment="1" applyProtection="1" pivotButton="0" quotePrefix="0" xfId="0">
      <alignment horizontal="right" wrapText="1"/>
      <protection locked="0" hidden="0"/>
    </xf>
    <xf numFmtId="39" fontId="4" fillId="27" borderId="12" applyAlignment="1" pivotButton="0" quotePrefix="0" xfId="0">
      <alignment horizontal="right"/>
    </xf>
    <xf numFmtId="0" fontId="163" fillId="15" borderId="6" applyAlignment="1" applyProtection="1" pivotButton="0" quotePrefix="0" xfId="0">
      <alignment horizontal="center" vertical="center" wrapText="1"/>
      <protection locked="0" hidden="0"/>
    </xf>
    <xf numFmtId="14" fontId="11" fillId="24" borderId="39" applyAlignment="1" applyProtection="1" pivotButton="0" quotePrefix="0" xfId="0">
      <alignment horizontal="left" vertical="center" wrapText="1"/>
      <protection locked="0" hidden="0"/>
    </xf>
    <xf numFmtId="0" fontId="0" fillId="0" borderId="6" applyProtection="1" pivotButton="0" quotePrefix="0" xfId="0">
      <protection locked="0" hidden="0"/>
    </xf>
    <xf numFmtId="37" fontId="11" fillId="27" borderId="12" applyAlignment="1" pivotButton="0" quotePrefix="0" xfId="0">
      <alignment horizontal="right"/>
    </xf>
    <xf numFmtId="39" fontId="0" fillId="25" borderId="12" applyAlignment="1" applyProtection="1" pivotButton="0" quotePrefix="0" xfId="0">
      <alignment horizontal="right" vertical="center"/>
      <protection locked="0" hidden="0"/>
    </xf>
    <xf numFmtId="37" fontId="11" fillId="27" borderId="10" applyAlignment="1" pivotButton="0" quotePrefix="0" xfId="0">
      <alignment horizontal="right"/>
    </xf>
    <xf numFmtId="0" fontId="0" fillId="0" borderId="10" applyProtection="1" pivotButton="0" quotePrefix="0" xfId="0">
      <protection locked="0" hidden="0"/>
    </xf>
    <xf numFmtId="14" fontId="11" fillId="16" borderId="12" applyAlignment="1" applyProtection="1" pivotButton="0" quotePrefix="0" xfId="0">
      <alignment horizontal="left"/>
      <protection locked="0" hidden="0"/>
    </xf>
    <xf numFmtId="39" fontId="11" fillId="16" borderId="12" applyAlignment="1" applyProtection="1" pivotButton="0" quotePrefix="0" xfId="0">
      <alignment horizontal="right"/>
      <protection locked="0" hidden="0"/>
    </xf>
    <xf numFmtId="14" fontId="4" fillId="24" borderId="12" applyAlignment="1" applyProtection="1" pivotButton="0" quotePrefix="0" xfId="0">
      <alignment horizontal="left" wrapText="1"/>
      <protection locked="0" hidden="0"/>
    </xf>
    <xf numFmtId="14" fontId="11" fillId="24" borderId="12" applyAlignment="1" applyProtection="1" pivotButton="0" quotePrefix="1" xfId="0">
      <alignment horizontal="left" vertical="top"/>
      <protection locked="0" hidden="0"/>
    </xf>
    <xf numFmtId="14" fontId="4" fillId="24" borderId="12" applyAlignment="1" applyProtection="1" pivotButton="0" quotePrefix="0" xfId="0">
      <alignment horizontal="left" vertical="center" wrapText="1"/>
      <protection locked="0" hidden="0"/>
    </xf>
    <xf numFmtId="0" fontId="47" fillId="15" borderId="39" applyAlignment="1" pivotButton="0" quotePrefix="0" xfId="0">
      <alignment horizontal="center" vertical="center"/>
    </xf>
    <xf numFmtId="0" fontId="6" fillId="15" borderId="12" applyAlignment="1" pivotButton="0" quotePrefix="0" xfId="0">
      <alignment horizontal="center" vertical="center" wrapText="1"/>
    </xf>
    <xf numFmtId="0" fontId="6" fillId="15" borderId="39" applyAlignment="1" pivotButton="0" quotePrefix="0" xfId="0">
      <alignment horizontal="center" vertical="center"/>
    </xf>
    <xf numFmtId="14" fontId="11" fillId="24" borderId="12" applyAlignment="1" applyProtection="1" pivotButton="0" quotePrefix="1" xfId="0">
      <alignment horizontal="center" vertical="top"/>
      <protection locked="0" hidden="0"/>
    </xf>
    <xf numFmtId="37" fontId="11" fillId="27" borderId="12" applyAlignment="1" pivotButton="0" quotePrefix="0" xfId="0">
      <alignment horizontal="right" vertical="center"/>
    </xf>
    <xf numFmtId="37" fontId="11" fillId="16" borderId="6" applyAlignment="1" applyProtection="1" pivotButton="0" quotePrefix="0" xfId="0">
      <alignment horizontal="right"/>
      <protection locked="0" hidden="0"/>
    </xf>
    <xf numFmtId="0" fontId="67" fillId="15" borderId="37" applyAlignment="1" pivotButton="0" quotePrefix="0" xfId="2">
      <alignment horizontal="center" vertical="center"/>
    </xf>
    <xf numFmtId="0" fontId="67" fillId="15" borderId="38" applyAlignment="1" pivotButton="0" quotePrefix="0" xfId="2">
      <alignment horizontal="center" vertical="center"/>
    </xf>
    <xf numFmtId="164" fontId="4" fillId="2" borderId="24" pivotButton="0" quotePrefix="0" xfId="0"/>
    <xf numFmtId="40" fontId="110" fillId="2" borderId="20" pivotButton="0" quotePrefix="0" xfId="0"/>
    <xf numFmtId="186" fontId="22" fillId="2" borderId="0" pivotButton="0" quotePrefix="0" xfId="0"/>
    <xf numFmtId="187" fontId="110" fillId="2" borderId="0" applyAlignment="1" pivotButton="0" quotePrefix="0" xfId="0">
      <alignment horizontal="center"/>
    </xf>
    <xf numFmtId="198" fontId="6" fillId="25" borderId="1" applyAlignment="1" pivotButton="0" quotePrefix="0" xfId="0">
      <alignment horizontal="right"/>
    </xf>
    <xf numFmtId="178" fontId="110" fillId="2" borderId="0" pivotButton="0" quotePrefix="0" xfId="0"/>
    <xf numFmtId="0" fontId="4" fillId="15" borderId="38" applyAlignment="1" pivotButton="0" quotePrefix="0" xfId="0">
      <alignment horizontal="center"/>
    </xf>
    <xf numFmtId="0" fontId="0" fillId="0" borderId="216" applyProtection="1" pivotButton="0" quotePrefix="0" xfId="0">
      <protection locked="0" hidden="0"/>
    </xf>
    <xf numFmtId="37" fontId="11" fillId="15" borderId="6" applyAlignment="1" applyProtection="1" pivotButton="0" quotePrefix="0" xfId="0">
      <alignment horizontal="right"/>
      <protection locked="0" hidden="0"/>
    </xf>
    <xf numFmtId="0" fontId="11" fillId="15" borderId="20" applyAlignment="1" pivotButton="0" quotePrefix="0" xfId="0">
      <alignment vertical="center" wrapText="1"/>
    </xf>
    <xf numFmtId="0" fontId="85" fillId="15" borderId="102" applyAlignment="1" pivotButton="0" quotePrefix="0" xfId="0">
      <alignment horizontal="center"/>
    </xf>
    <xf numFmtId="0" fontId="205" fillId="15" borderId="20" applyAlignment="1" pivotButton="0" quotePrefix="0" xfId="0">
      <alignment horizontal="left" vertical="center" wrapText="1"/>
    </xf>
    <xf numFmtId="0" fontId="0" fillId="15" borderId="6" applyAlignment="1" pivotButton="0" quotePrefix="0" xfId="0">
      <alignment horizontal="center"/>
    </xf>
    <xf numFmtId="37" fontId="11" fillId="19" borderId="10" applyAlignment="1" pivotButton="0" quotePrefix="0" xfId="0">
      <alignment horizontal="right"/>
    </xf>
    <xf numFmtId="0" fontId="6" fillId="15" borderId="6" applyAlignment="1" pivotButton="0" quotePrefix="0" xfId="0">
      <alignment horizontal="center"/>
    </xf>
    <xf numFmtId="170" fontId="110" fillId="2" borderId="0" applyAlignment="1" applyProtection="1" pivotButton="0" quotePrefix="0" xfId="0">
      <alignment horizontal="center"/>
      <protection locked="1" hidden="1"/>
    </xf>
    <xf numFmtId="170" fontId="9" fillId="2" borderId="2" applyAlignment="1" applyProtection="1" pivotButton="0" quotePrefix="0" xfId="0">
      <alignment horizontal="center"/>
      <protection locked="0" hidden="0"/>
    </xf>
    <xf numFmtId="0" fontId="10" fillId="2" borderId="102" applyAlignment="1" applyProtection="1" pivotButton="0" quotePrefix="0" xfId="0">
      <alignment horizontal="center"/>
      <protection locked="1" hidden="1"/>
    </xf>
    <xf numFmtId="1" fontId="4" fillId="2" borderId="2" applyAlignment="1" applyProtection="1" pivotButton="0" quotePrefix="0" xfId="0">
      <alignment horizontal="center"/>
      <protection locked="0" hidden="0"/>
    </xf>
    <xf numFmtId="170" fontId="43" fillId="2" borderId="0" applyProtection="1" pivotButton="0" quotePrefix="0" xfId="0">
      <protection locked="1" hidden="1"/>
    </xf>
    <xf numFmtId="170" fontId="8" fillId="2" borderId="0" applyProtection="1" pivotButton="0" quotePrefix="0" xfId="0">
      <protection locked="0" hidden="0"/>
    </xf>
    <xf numFmtId="179" fontId="6" fillId="2" borderId="0" applyAlignment="1" applyProtection="1" pivotButton="0" quotePrefix="0" xfId="0">
      <alignment horizontal="left"/>
      <protection locked="1" hidden="1"/>
    </xf>
    <xf numFmtId="203" fontId="6" fillId="2" borderId="0" applyAlignment="1" applyProtection="1" pivotButton="0" quotePrefix="0" xfId="0">
      <alignment horizontal="left"/>
      <protection locked="1" hidden="1"/>
    </xf>
    <xf numFmtId="0" fontId="67" fillId="0" borderId="2" applyAlignment="1" applyProtection="1" pivotButton="0" quotePrefix="0" xfId="2">
      <alignment horizontal="center" vertical="center"/>
      <protection locked="1" hidden="1"/>
    </xf>
    <xf numFmtId="0" fontId="0" fillId="0" borderId="102" applyProtection="1" pivotButton="0" quotePrefix="0" xfId="0">
      <protection locked="1" hidden="1"/>
    </xf>
    <xf numFmtId="0" fontId="0" fillId="0" borderId="38" applyProtection="1" pivotButton="0" quotePrefix="0" xfId="0">
      <protection locked="1" hidden="1"/>
    </xf>
    <xf numFmtId="170" fontId="0" fillId="0" borderId="0" applyProtection="1" pivotButton="0" quotePrefix="0" xfId="0">
      <protection locked="0" hidden="0"/>
    </xf>
    <xf numFmtId="170" fontId="6" fillId="24" borderId="0" applyAlignment="1" applyProtection="1" pivotButton="0" quotePrefix="0" xfId="0">
      <alignment vertical="top"/>
      <protection locked="0" hidden="0"/>
    </xf>
    <xf numFmtId="170" fontId="4" fillId="24" borderId="0" applyProtection="1" pivotButton="0" quotePrefix="0" xfId="0">
      <protection locked="0" hidden="0"/>
    </xf>
    <xf numFmtId="179" fontId="0" fillId="2" borderId="0" applyAlignment="1" pivotButton="0" quotePrefix="0" xfId="0">
      <alignment horizontal="left"/>
    </xf>
    <xf numFmtId="170" fontId="0" fillId="24" borderId="0" applyAlignment="1" applyProtection="1" pivotButton="0" quotePrefix="0" xfId="0">
      <alignment horizontal="left"/>
      <protection locked="0" hidden="0"/>
    </xf>
    <xf numFmtId="172" fontId="4" fillId="25" borderId="1" applyAlignment="1" pivotButton="0" quotePrefix="0" xfId="0">
      <alignment horizontal="center"/>
    </xf>
    <xf numFmtId="0" fontId="6" fillId="15" borderId="102" applyAlignment="1" pivotButton="0" quotePrefix="0" xfId="0">
      <alignment horizontal="left" vertical="center" wrapText="1" indent="1"/>
    </xf>
    <xf numFmtId="0" fontId="5" fillId="15" borderId="88" applyAlignment="1" pivotButton="0" quotePrefix="0" xfId="0">
      <alignment horizontal="left" vertical="center" wrapText="1" indent="1"/>
    </xf>
    <xf numFmtId="0" fontId="0" fillId="0" borderId="88" pivotButton="0" quotePrefix="0" xfId="0"/>
    <xf numFmtId="0" fontId="37" fillId="2" borderId="2" applyAlignment="1" pivotButton="0" quotePrefix="0" xfId="0">
      <alignment horizontal="left" vertical="top" wrapText="1"/>
    </xf>
    <xf numFmtId="39" fontId="6" fillId="24" borderId="37" applyAlignment="1" applyProtection="1" pivotButton="0" quotePrefix="0" xfId="0">
      <alignment horizontal="center"/>
      <protection locked="0" hidden="0"/>
    </xf>
    <xf numFmtId="0" fontId="0" fillId="0" borderId="19" applyProtection="1" pivotButton="0" quotePrefix="0" xfId="0">
      <protection locked="0" hidden="0"/>
    </xf>
    <xf numFmtId="0" fontId="6" fillId="15" borderId="37" applyAlignment="1" pivotButton="0" quotePrefix="0" xfId="0">
      <alignment horizontal="center"/>
    </xf>
    <xf numFmtId="170" fontId="6" fillId="24" borderId="1" applyAlignment="1" applyProtection="1" pivotButton="0" quotePrefix="0" xfId="0">
      <alignment horizontal="center"/>
      <protection locked="0" hidden="0"/>
    </xf>
    <xf numFmtId="0" fontId="10" fillId="15" borderId="38" applyAlignment="1" pivotButton="0" quotePrefix="0" xfId="0">
      <alignment horizontal="left" vertical="top" wrapText="1"/>
    </xf>
    <xf numFmtId="0" fontId="44" fillId="3" borderId="206" applyAlignment="1" pivotButton="0" quotePrefix="0" xfId="0">
      <alignment horizontal="center" vertical="center"/>
    </xf>
    <xf numFmtId="176" fontId="11" fillId="28" borderId="9" applyAlignment="1" pivotButton="0" quotePrefix="0" xfId="0">
      <alignment horizontal="center"/>
    </xf>
    <xf numFmtId="170" fontId="6" fillId="24" borderId="0" applyAlignment="1" applyProtection="1" pivotButton="0" quotePrefix="0" xfId="0">
      <alignment horizontal="center"/>
      <protection locked="0" hidden="0"/>
    </xf>
    <xf numFmtId="37" fontId="9" fillId="28" borderId="6" applyAlignment="1" pivotButton="0" quotePrefix="0" xfId="0">
      <alignment horizontal="right"/>
    </xf>
    <xf numFmtId="198" fontId="116" fillId="3" borderId="0" pivotButton="0" quotePrefix="0" xfId="0"/>
    <xf numFmtId="170" fontId="4" fillId="16" borderId="2" applyAlignment="1" applyProtection="1" pivotButton="0" quotePrefix="0" xfId="0">
      <alignment horizontal="center"/>
      <protection locked="0" hidden="0"/>
    </xf>
    <xf numFmtId="0" fontId="0" fillId="0" borderId="113" applyProtection="1" pivotButton="0" quotePrefix="0" xfId="0">
      <protection locked="0" hidden="0"/>
    </xf>
    <xf numFmtId="0" fontId="10" fillId="3" borderId="1" applyAlignment="1" pivotButton="0" quotePrefix="0" xfId="0">
      <alignment horizontal="left" vertical="top" wrapText="1"/>
    </xf>
    <xf numFmtId="170" fontId="11" fillId="24" borderId="0" applyAlignment="1" applyProtection="1" pivotButton="0" quotePrefix="0" xfId="0">
      <alignment horizontal="center"/>
      <protection locked="0" hidden="0"/>
    </xf>
    <xf numFmtId="0" fontId="0" fillId="0" borderId="94" pivotButton="0" quotePrefix="0" xfId="0"/>
    <xf numFmtId="0" fontId="0" fillId="0" borderId="95" pivotButton="0" quotePrefix="0" xfId="0"/>
    <xf numFmtId="167" fontId="9" fillId="2" borderId="2" applyAlignment="1" applyProtection="1" pivotButton="0" quotePrefix="0" xfId="0">
      <alignment horizontal="center"/>
      <protection locked="0" hidden="0"/>
    </xf>
    <xf numFmtId="0" fontId="0" fillId="0" borderId="91" pivotButton="0" quotePrefix="0" xfId="0"/>
    <xf numFmtId="199" fontId="0" fillId="24" borderId="0" applyAlignment="1" pivotButton="0" quotePrefix="0" xfId="0">
      <alignment horizontal="right"/>
    </xf>
    <xf numFmtId="199" fontId="126" fillId="24" borderId="0" applyProtection="1" pivotButton="0" quotePrefix="0" xfId="0">
      <protection locked="0" hidden="0"/>
    </xf>
    <xf numFmtId="0" fontId="0" fillId="0" borderId="136" applyProtection="1" pivotButton="0" quotePrefix="0" xfId="0">
      <protection locked="0" hidden="0"/>
    </xf>
    <xf numFmtId="0" fontId="0" fillId="0" borderId="122" applyProtection="1" pivotButton="0" quotePrefix="0" xfId="0">
      <protection locked="0" hidden="0"/>
    </xf>
    <xf numFmtId="0" fontId="67" fillId="19" borderId="2" applyAlignment="1" pivotButton="0" quotePrefix="0" xfId="2">
      <alignment horizontal="center" vertical="center"/>
    </xf>
    <xf numFmtId="178" fontId="9" fillId="20" borderId="1" applyProtection="1" pivotButton="0" quotePrefix="0" xfId="0">
      <protection locked="0" hidden="0"/>
    </xf>
    <xf numFmtId="178" fontId="126" fillId="24" borderId="0" pivotButton="0" quotePrefix="0" xfId="0"/>
    <xf numFmtId="178" fontId="9" fillId="26" borderId="1" pivotButton="0" quotePrefix="0" xfId="0"/>
    <xf numFmtId="180" fontId="4" fillId="27" borderId="2" applyAlignment="1" pivotButton="0" quotePrefix="0" xfId="0">
      <alignment horizontal="center" vertical="center"/>
    </xf>
    <xf numFmtId="189" fontId="110" fillId="0" borderId="0" pivotButton="0" quotePrefix="0" xfId="0"/>
    <xf numFmtId="167" fontId="0" fillId="24" borderId="0" pivotButton="0" quotePrefix="0" xfId="0"/>
    <xf numFmtId="174" fontId="102" fillId="15" borderId="0" applyAlignment="1" applyProtection="1" pivotButton="0" quotePrefix="0" xfId="0">
      <alignment horizontal="center" vertical="center"/>
      <protection locked="1" hidden="1"/>
    </xf>
    <xf numFmtId="0" fontId="0" fillId="0" borderId="26" applyProtection="1" pivotButton="0" quotePrefix="0" xfId="0">
      <protection locked="1" hidden="1"/>
    </xf>
    <xf numFmtId="0" fontId="20" fillId="2" borderId="102" applyAlignment="1" applyProtection="1" pivotButton="0" quotePrefix="0" xfId="0">
      <alignment horizontal="center" vertical="center"/>
      <protection locked="1" hidden="1"/>
    </xf>
    <xf numFmtId="0" fontId="0" fillId="0" borderId="8" applyProtection="1" pivotButton="0" quotePrefix="0" xfId="0">
      <protection locked="1" hidden="1"/>
    </xf>
    <xf numFmtId="0" fontId="9" fillId="3" borderId="102" applyAlignment="1" applyProtection="1" pivotButton="0" quotePrefix="0" xfId="0">
      <alignment horizontal="center" vertical="center"/>
      <protection locked="1" hidden="1"/>
    </xf>
    <xf numFmtId="0" fontId="4" fillId="3" borderId="102" applyAlignment="1" applyProtection="1" pivotButton="0" quotePrefix="0" xfId="0">
      <alignment horizontal="center"/>
      <protection locked="1" hidden="1"/>
    </xf>
    <xf numFmtId="0" fontId="11" fillId="2" borderId="4" applyAlignment="1" applyProtection="1" pivotButton="0" quotePrefix="1" xfId="0">
      <alignment horizontal="center" wrapText="1"/>
      <protection locked="1" hidden="1"/>
    </xf>
    <xf numFmtId="176" fontId="11" fillId="26" borderId="9" applyAlignment="1" applyProtection="1" pivotButton="0" quotePrefix="0" xfId="0">
      <alignment horizontal="center"/>
      <protection locked="1" hidden="1"/>
    </xf>
    <xf numFmtId="0" fontId="0" fillId="0" borderId="25" applyProtection="1" pivotButton="0" quotePrefix="0" xfId="0">
      <protection locked="1" hidden="1"/>
    </xf>
    <xf numFmtId="0" fontId="174" fillId="20" borderId="251" applyAlignment="1" applyProtection="1" pivotButton="0" quotePrefix="0" xfId="0">
      <alignment horizontal="left"/>
      <protection locked="0" hidden="1"/>
    </xf>
    <xf numFmtId="0" fontId="0" fillId="0" borderId="154" applyProtection="1" pivotButton="0" quotePrefix="0" xfId="0">
      <protection locked="0" hidden="1"/>
    </xf>
    <xf numFmtId="0" fontId="0" fillId="0" borderId="251" applyProtection="1" pivotButton="0" quotePrefix="0" xfId="0">
      <protection locked="0" hidden="1"/>
    </xf>
    <xf numFmtId="0" fontId="0" fillId="0" borderId="25" applyProtection="1" pivotButton="0" quotePrefix="0" xfId="0">
      <protection locked="0" hidden="1"/>
    </xf>
    <xf numFmtId="0" fontId="0" fillId="0" borderId="92" applyProtection="1" pivotButton="0" quotePrefix="0" xfId="0">
      <protection locked="0" hidden="0"/>
    </xf>
    <xf numFmtId="0" fontId="4" fillId="15" borderId="6" applyAlignment="1" applyProtection="1" pivotButton="0" quotePrefix="0" xfId="0">
      <alignment horizontal="center" vertical="center"/>
      <protection locked="1" hidden="1"/>
    </xf>
    <xf numFmtId="0" fontId="0" fillId="0" borderId="24" applyProtection="1" pivotButton="0" quotePrefix="0" xfId="0">
      <protection locked="1" hidden="1"/>
    </xf>
    <xf numFmtId="0" fontId="0" fillId="0" borderId="91" applyProtection="1" pivotButton="0" quotePrefix="0" xfId="0">
      <protection locked="0" hidden="0"/>
    </xf>
    <xf numFmtId="187" fontId="167" fillId="3" borderId="0" applyAlignment="1" pivotButton="0" quotePrefix="0" xfId="0">
      <alignment horizontal="left" vertical="center"/>
    </xf>
    <xf numFmtId="0" fontId="16" fillId="3" borderId="11" applyAlignment="1" pivotButton="0" quotePrefix="0" xfId="0">
      <alignment wrapText="1"/>
    </xf>
    <xf numFmtId="0" fontId="9" fillId="3" borderId="78" applyAlignment="1" pivotButton="0" quotePrefix="0" xfId="0">
      <alignment horizontal="center"/>
    </xf>
    <xf numFmtId="0" fontId="20" fillId="3" borderId="1" applyAlignment="1" pivotButton="0" quotePrefix="1" xfId="0">
      <alignment horizontal="left" wrapText="1"/>
    </xf>
    <xf numFmtId="0" fontId="4" fillId="3" borderId="77" applyAlignment="1" pivotButton="0" quotePrefix="0" xfId="0">
      <alignment horizontal="center"/>
    </xf>
    <xf numFmtId="0" fontId="0" fillId="0" borderId="29" pivotButton="0" quotePrefix="0" xfId="0"/>
    <xf numFmtId="176" fontId="4" fillId="26" borderId="35" applyAlignment="1" pivotButton="0" quotePrefix="0" xfId="0">
      <alignment horizontal="center" vertical="center"/>
    </xf>
    <xf numFmtId="0" fontId="0" fillId="0" borderId="96" applyProtection="1" pivotButton="0" quotePrefix="0" xfId="0">
      <protection locked="0" hidden="0"/>
    </xf>
    <xf numFmtId="0" fontId="0" fillId="0" borderId="94" applyProtection="1" pivotButton="0" quotePrefix="0" xfId="0">
      <protection locked="0" hidden="0"/>
    </xf>
    <xf numFmtId="0" fontId="0" fillId="0" borderId="89" applyProtection="1" pivotButton="0" quotePrefix="0" xfId="0">
      <protection locked="0" hidden="0"/>
    </xf>
    <xf numFmtId="174" fontId="0" fillId="27" borderId="1" applyAlignment="1" pivotButton="0" quotePrefix="0" xfId="0">
      <alignment horizontal="right"/>
    </xf>
    <xf numFmtId="173" fontId="0" fillId="27" borderId="1" applyAlignment="1" pivotButton="0" quotePrefix="0" xfId="0">
      <alignment horizontal="right"/>
    </xf>
    <xf numFmtId="196" fontId="8" fillId="3" borderId="0" pivotButton="0" quotePrefix="0" xfId="0"/>
    <xf numFmtId="172" fontId="4" fillId="20" borderId="87" applyAlignment="1" applyProtection="1" pivotButton="0" quotePrefix="0" xfId="0">
      <alignment horizontal="center"/>
      <protection locked="0" hidden="0"/>
    </xf>
    <xf numFmtId="0" fontId="0" fillId="0" borderId="154" applyProtection="1" pivotButton="0" quotePrefix="0" xfId="0">
      <protection locked="0" hidden="0"/>
    </xf>
    <xf numFmtId="0" fontId="0" fillId="0" borderId="93" applyProtection="1" pivotButton="0" quotePrefix="0" xfId="0">
      <protection locked="0" hidden="0"/>
    </xf>
    <xf numFmtId="0" fontId="0" fillId="0" borderId="90" applyProtection="1" pivotButton="0" quotePrefix="0" xfId="0">
      <protection locked="0" hidden="0"/>
    </xf>
    <xf numFmtId="0" fontId="9" fillId="3" borderId="78" applyAlignment="1" pivotButton="0" quotePrefix="0" xfId="0">
      <alignment horizontal="center" vertical="center"/>
    </xf>
    <xf numFmtId="0" fontId="67" fillId="11" borderId="57" applyAlignment="1" pivotButton="0" quotePrefix="0" xfId="2">
      <alignment horizontal="center" vertical="center"/>
    </xf>
    <xf numFmtId="0" fontId="67" fillId="11" borderId="57" applyAlignment="1" pivotButton="0" quotePrefix="0" xfId="2">
      <alignment horizontal="center" vertical="center" wrapText="1"/>
    </xf>
    <xf numFmtId="0" fontId="9" fillId="3" borderId="102" applyAlignment="1" pivotButton="0" quotePrefix="0" xfId="0">
      <alignment horizontal="center"/>
    </xf>
    <xf numFmtId="0" fontId="9" fillId="3" borderId="102" applyAlignment="1" pivotButton="0" quotePrefix="0" xfId="0">
      <alignment horizontal="center" vertical="center"/>
    </xf>
    <xf numFmtId="0" fontId="8" fillId="3" borderId="54" applyAlignment="1" pivotButton="0" quotePrefix="0" xfId="0">
      <alignment horizontal="left" vertical="top" wrapText="1"/>
    </xf>
    <xf numFmtId="0" fontId="16" fillId="3" borderId="12" applyAlignment="1" pivotButton="0" quotePrefix="0" xfId="0">
      <alignment horizontal="center" vertical="center" wrapText="1"/>
    </xf>
    <xf numFmtId="4" fontId="16" fillId="3" borderId="12" applyAlignment="1" pivotButton="0" quotePrefix="0" xfId="0">
      <alignment horizontal="center" vertical="center" wrapText="1"/>
    </xf>
    <xf numFmtId="4" fontId="16" fillId="3" borderId="39" applyAlignment="1" pivotButton="0" quotePrefix="0" xfId="0">
      <alignment horizontal="center" vertical="center" wrapText="1"/>
    </xf>
    <xf numFmtId="4" fontId="16" fillId="0" borderId="12" applyAlignment="1" pivotButton="0" quotePrefix="0" xfId="0">
      <alignment horizontal="center" vertical="center" wrapText="1"/>
    </xf>
    <xf numFmtId="37" fontId="9" fillId="22" borderId="10" applyAlignment="1" pivotButton="0" quotePrefix="0" xfId="0">
      <alignment horizontal="right"/>
    </xf>
    <xf numFmtId="4" fontId="8" fillId="3" borderId="54" applyAlignment="1" pivotButton="0" quotePrefix="0" xfId="0">
      <alignment horizontal="left" vertical="top" wrapText="1"/>
    </xf>
    <xf numFmtId="37" fontId="122" fillId="3" borderId="15" applyAlignment="1" pivotButton="0" quotePrefix="0" xfId="0">
      <alignment horizontal="right"/>
    </xf>
    <xf numFmtId="37" fontId="9" fillId="28" borderId="10" applyAlignment="1" pivotButton="0" quotePrefix="0" xfId="0">
      <alignment horizontal="right"/>
    </xf>
    <xf numFmtId="4" fontId="8" fillId="3" borderId="54" applyAlignment="1" pivotButton="0" quotePrefix="0" xfId="0">
      <alignment horizontal="left" wrapText="1"/>
    </xf>
    <xf numFmtId="0" fontId="0" fillId="0" borderId="27" pivotButton="0" quotePrefix="0" xfId="0"/>
    <xf numFmtId="0" fontId="10" fillId="3" borderId="12" applyAlignment="1" pivotButton="0" quotePrefix="0" xfId="0">
      <alignment horizontal="center" vertical="center" wrapText="1"/>
    </xf>
    <xf numFmtId="4" fontId="10" fillId="3" borderId="12" applyAlignment="1" pivotButton="0" quotePrefix="0" xfId="0">
      <alignment horizontal="center" vertical="center" wrapText="1"/>
    </xf>
    <xf numFmtId="0" fontId="8" fillId="15" borderId="54" applyAlignment="1" pivotButton="0" quotePrefix="0" xfId="0">
      <alignment wrapText="1"/>
    </xf>
    <xf numFmtId="4" fontId="8" fillId="3" borderId="54" applyAlignment="1" pivotButton="0" quotePrefix="0" xfId="0">
      <alignment horizontal="left" vertical="center" wrapText="1"/>
    </xf>
    <xf numFmtId="195" fontId="47" fillId="3" borderId="0" applyAlignment="1" pivotButton="0" quotePrefix="0" xfId="0">
      <alignment horizontal="left"/>
    </xf>
    <xf numFmtId="172" fontId="138" fillId="29" borderId="0" applyAlignment="1" pivotButton="0" quotePrefix="0" xfId="0">
      <alignment horizontal="right"/>
    </xf>
    <xf numFmtId="170" fontId="0" fillId="24" borderId="0" applyAlignment="1" applyProtection="1" pivotButton="0" quotePrefix="0" xfId="0">
      <alignment vertical="center"/>
      <protection locked="0" hidden="0"/>
    </xf>
    <xf numFmtId="0" fontId="20" fillId="15" borderId="20" applyAlignment="1" pivotButton="0" quotePrefix="0" xfId="0">
      <alignment horizontal="left" vertical="center" wrapText="1"/>
    </xf>
    <xf numFmtId="0" fontId="11" fillId="15" borderId="20" applyAlignment="1" pivotButton="0" quotePrefix="0" xfId="0">
      <alignment vertical="top" wrapText="1"/>
    </xf>
    <xf numFmtId="0" fontId="6" fillId="0" borderId="4" applyAlignment="1" pivotButton="0" quotePrefix="0" xfId="0">
      <alignment horizontal="left" wrapText="1"/>
    </xf>
    <xf numFmtId="176" fontId="44" fillId="27" borderId="9" applyAlignment="1" pivotButton="0" quotePrefix="0" xfId="0">
      <alignment horizontal="center"/>
    </xf>
    <xf numFmtId="0" fontId="47" fillId="15" borderId="25" applyAlignment="1" pivotButton="0" quotePrefix="0" xfId="0">
      <alignment horizontal="left" vertical="top" wrapText="1"/>
    </xf>
    <xf numFmtId="0" fontId="4" fillId="15" borderId="12" applyAlignment="1" pivotButton="0" quotePrefix="0" xfId="0">
      <alignment horizontal="center" vertical="center" wrapText="1"/>
    </xf>
    <xf numFmtId="0" fontId="15" fillId="16" borderId="12" applyAlignment="1" applyProtection="1" pivotButton="0" quotePrefix="0" xfId="0">
      <alignment horizontal="center"/>
      <protection locked="0" hidden="0"/>
    </xf>
    <xf numFmtId="0" fontId="11" fillId="15" borderId="12" applyAlignment="1" pivotButton="0" quotePrefix="0" xfId="0">
      <alignment horizontal="center" vertical="center" wrapText="1"/>
    </xf>
    <xf numFmtId="39" fontId="47" fillId="16" borderId="12" applyAlignment="1" applyProtection="1" pivotButton="0" quotePrefix="0" xfId="0">
      <alignment horizontal="right" vertical="center"/>
      <protection locked="0" hidden="0"/>
    </xf>
    <xf numFmtId="37" fontId="10" fillId="15" borderId="15" applyAlignment="1" pivotButton="0" quotePrefix="0" xfId="0">
      <alignment horizontal="center" vertical="center"/>
    </xf>
    <xf numFmtId="39" fontId="47" fillId="16" borderId="10" applyAlignment="1" applyProtection="1" pivotButton="0" quotePrefix="0" xfId="0">
      <alignment horizontal="right" vertical="center"/>
      <protection locked="0" hidden="0"/>
    </xf>
    <xf numFmtId="37" fontId="15" fillId="27" borderId="10" applyAlignment="1" pivotButton="0" quotePrefix="0" xfId="0">
      <alignment horizontal="right" vertical="center"/>
    </xf>
    <xf numFmtId="3" fontId="15" fillId="15" borderId="15" applyAlignment="1" pivotButton="0" quotePrefix="0" xfId="0">
      <alignment horizontal="right" vertical="center"/>
    </xf>
    <xf numFmtId="0" fontId="47" fillId="0" borderId="12" applyAlignment="1" pivotButton="0" quotePrefix="0" xfId="0">
      <alignment horizontal="center" vertical="center"/>
    </xf>
    <xf numFmtId="3" fontId="15" fillId="15" borderId="6" applyAlignment="1" pivotButton="0" quotePrefix="0" xfId="0">
      <alignment horizontal="right" vertical="center"/>
    </xf>
    <xf numFmtId="3" fontId="257" fillId="15" borderId="6" applyAlignment="1" pivotButton="0" quotePrefix="0" xfId="0">
      <alignment horizontal="center" vertical="center"/>
    </xf>
    <xf numFmtId="0" fontId="0" fillId="0" borderId="70" pivotButton="0" quotePrefix="0" xfId="0"/>
    <xf numFmtId="0" fontId="10" fillId="15" borderId="12" applyAlignment="1" pivotButton="0" quotePrefix="0" xfId="0">
      <alignment horizontal="center" vertical="center" wrapText="1"/>
    </xf>
    <xf numFmtId="0" fontId="4" fillId="16" borderId="12" applyProtection="1" pivotButton="0" quotePrefix="0" xfId="0">
      <protection locked="0" hidden="0"/>
    </xf>
    <xf numFmtId="0" fontId="8" fillId="15" borderId="54" applyAlignment="1" pivotButton="0" quotePrefix="0" xfId="0">
      <alignment horizontal="center" vertical="center" wrapText="1"/>
    </xf>
    <xf numFmtId="0" fontId="8" fillId="15" borderId="46" applyAlignment="1" pivotButton="0" quotePrefix="0" xfId="0">
      <alignment horizontal="center" vertical="center" wrapText="1"/>
    </xf>
    <xf numFmtId="0" fontId="8" fillId="15" borderId="12" applyAlignment="1" pivotButton="0" quotePrefix="0" xfId="0">
      <alignment horizontal="center" vertical="center" wrapText="1"/>
    </xf>
    <xf numFmtId="39" fontId="6" fillId="16" borderId="58" applyAlignment="1" applyProtection="1" pivotButton="0" quotePrefix="0" xfId="0">
      <alignment horizontal="right" wrapText="1" indent="1"/>
      <protection locked="0" hidden="0"/>
    </xf>
    <xf numFmtId="0" fontId="0" fillId="0" borderId="68" applyProtection="1" pivotButton="0" quotePrefix="0" xfId="0">
      <protection locked="0" hidden="0"/>
    </xf>
    <xf numFmtId="37" fontId="4" fillId="27" borderId="58" applyAlignment="1" pivotButton="0" quotePrefix="0" xfId="0">
      <alignment horizontal="right" wrapText="1" indent="1"/>
    </xf>
    <xf numFmtId="0" fontId="0" fillId="0" borderId="68" pivotButton="0" quotePrefix="0" xfId="0"/>
    <xf numFmtId="37" fontId="4" fillId="27" borderId="12" applyAlignment="1" pivotButton="0" quotePrefix="0" xfId="0">
      <alignment horizontal="right" indent="1"/>
    </xf>
    <xf numFmtId="37" fontId="4" fillId="19" borderId="58" applyAlignment="1" pivotButton="0" quotePrefix="0" xfId="0">
      <alignment horizontal="right" wrapText="1" indent="1"/>
    </xf>
    <xf numFmtId="37" fontId="4" fillId="27" borderId="46" applyAlignment="1" pivotButton="0" quotePrefix="0" xfId="0">
      <alignment horizontal="right" wrapText="1" indent="1"/>
    </xf>
    <xf numFmtId="0" fontId="15" fillId="15" borderId="15" applyAlignment="1" pivotButton="0" quotePrefix="0" xfId="0">
      <alignment horizontal="center" vertical="center"/>
    </xf>
    <xf numFmtId="0" fontId="15" fillId="15" borderId="83" applyAlignment="1" pivotButton="0" quotePrefix="0" xfId="0">
      <alignment horizontal="center" vertical="center"/>
    </xf>
    <xf numFmtId="0" fontId="0" fillId="0" borderId="173" pivotButton="0" quotePrefix="0" xfId="0"/>
    <xf numFmtId="0" fontId="0" fillId="0" borderId="74" pivotButton="0" quotePrefix="0" xfId="0"/>
    <xf numFmtId="37" fontId="4" fillId="16" borderId="12" applyAlignment="1" applyProtection="1" pivotButton="0" quotePrefix="0" xfId="0">
      <alignment horizontal="left" wrapText="1" indent="1"/>
      <protection locked="0" hidden="0"/>
    </xf>
    <xf numFmtId="0" fontId="15" fillId="15" borderId="68" applyAlignment="1" pivotButton="0" quotePrefix="0" xfId="0">
      <alignment horizontal="center"/>
    </xf>
    <xf numFmtId="0" fontId="6" fillId="15" borderId="46" applyAlignment="1" pivotButton="0" quotePrefix="0" xfId="0">
      <alignment horizontal="center" vertical="center" wrapText="1"/>
    </xf>
    <xf numFmtId="39" fontId="6" fillId="16" borderId="58" applyAlignment="1" applyProtection="1" pivotButton="0" quotePrefix="0" xfId="0">
      <alignment horizontal="right" indent="1"/>
      <protection locked="0" hidden="0"/>
    </xf>
    <xf numFmtId="0" fontId="15" fillId="16" borderId="54" applyAlignment="1" applyProtection="1" pivotButton="0" quotePrefix="0" xfId="0">
      <alignment horizontal="left"/>
      <protection locked="0" hidden="0"/>
    </xf>
    <xf numFmtId="0" fontId="0" fillId="0" borderId="73" pivotButton="0" quotePrefix="0" xfId="0"/>
    <xf numFmtId="0" fontId="15" fillId="15" borderId="28" applyAlignment="1" pivotButton="0" quotePrefix="0" xfId="0">
      <alignment horizontal="center" vertical="center"/>
    </xf>
    <xf numFmtId="0" fontId="0" fillId="0" borderId="70" applyProtection="1" pivotButton="0" quotePrefix="0" xfId="0">
      <protection locked="0" hidden="0"/>
    </xf>
    <xf numFmtId="0" fontId="20" fillId="15" borderId="20" applyAlignment="1" pivotButton="0" quotePrefix="0" xfId="0">
      <alignment vertical="center" wrapText="1"/>
    </xf>
    <xf numFmtId="0" fontId="15" fillId="15" borderId="12" applyAlignment="1" pivotButton="0" quotePrefix="0" xfId="0">
      <alignment horizontal="center" vertical="center"/>
    </xf>
    <xf numFmtId="0" fontId="15" fillId="15" borderId="51" applyAlignment="1" pivotButton="0" quotePrefix="0" xfId="0">
      <alignment horizontal="center" vertical="center"/>
    </xf>
    <xf numFmtId="0" fontId="15" fillId="3" borderId="75" applyAlignment="1" pivotButton="0" quotePrefix="0" xfId="0">
      <alignment horizontal="left" vertical="center" wrapText="1"/>
    </xf>
    <xf numFmtId="0" fontId="10" fillId="3" borderId="72" applyAlignment="1" pivotButton="0" quotePrefix="0" xfId="0">
      <alignment horizontal="left" vertical="center" wrapText="1" indent="1"/>
    </xf>
    <xf numFmtId="0" fontId="0" fillId="0" borderId="33" pivotButton="0" quotePrefix="0" xfId="0"/>
    <xf numFmtId="0" fontId="0" fillId="0" borderId="72" pivotButton="0" quotePrefix="0" xfId="0"/>
    <xf numFmtId="0" fontId="4" fillId="20" borderId="11" applyAlignment="1" applyProtection="1" pivotButton="0" quotePrefix="0" xfId="0">
      <alignment horizontal="center"/>
      <protection locked="0" hidden="0"/>
    </xf>
    <xf numFmtId="176" fontId="4" fillId="26" borderId="9" applyAlignment="1" pivotButton="0" quotePrefix="0" xfId="0">
      <alignment horizontal="center" vertical="center"/>
    </xf>
    <xf numFmtId="0" fontId="0" fillId="0" borderId="75" applyProtection="1" pivotButton="0" quotePrefix="0" xfId="0">
      <protection locked="0" hidden="0"/>
    </xf>
    <xf numFmtId="49" fontId="11" fillId="20" borderId="175" applyAlignment="1" applyProtection="1" pivotButton="0" quotePrefix="0" xfId="0">
      <alignment horizontal="center" vertical="center"/>
      <protection locked="0" hidden="0"/>
    </xf>
    <xf numFmtId="49" fontId="11" fillId="20" borderId="35" applyAlignment="1" applyProtection="1" pivotButton="0" quotePrefix="0" xfId="0">
      <alignment horizontal="center" vertical="center"/>
      <protection locked="0" hidden="0"/>
    </xf>
    <xf numFmtId="49" fontId="4" fillId="14" borderId="101" applyAlignment="1" pivotButton="0" quotePrefix="0" xfId="0">
      <alignment horizontal="center" vertical="center"/>
    </xf>
    <xf numFmtId="49" fontId="11" fillId="20" borderId="10" applyAlignment="1" applyProtection="1" pivotButton="0" quotePrefix="0" xfId="0">
      <alignment horizontal="center" vertical="center"/>
      <protection locked="0" hidden="0"/>
    </xf>
    <xf numFmtId="49" fontId="11" fillId="20" borderId="18" applyAlignment="1" applyProtection="1" pivotButton="0" quotePrefix="0" xfId="0">
      <alignment horizontal="center" vertical="center"/>
      <protection locked="0" hidden="0"/>
    </xf>
    <xf numFmtId="49" fontId="11" fillId="20" borderId="105" applyAlignment="1" applyProtection="1" pivotButton="0" quotePrefix="0" xfId="0">
      <alignment horizontal="center" vertical="center"/>
      <protection locked="0" hidden="0"/>
    </xf>
    <xf numFmtId="0" fontId="0" fillId="0" borderId="210" applyProtection="1" pivotButton="0" quotePrefix="0" xfId="0">
      <protection locked="0" hidden="0"/>
    </xf>
    <xf numFmtId="0" fontId="0" fillId="0" borderId="175" applyProtection="1" pivotButton="0" quotePrefix="0" xfId="0">
      <protection locked="0" hidden="0"/>
    </xf>
    <xf numFmtId="0" fontId="0" fillId="0" borderId="35" applyProtection="1" pivotButton="0" quotePrefix="0" xfId="0">
      <protection locked="0" hidden="0"/>
    </xf>
    <xf numFmtId="0" fontId="0" fillId="0" borderId="18" applyProtection="1" pivotButton="0" quotePrefix="0" xfId="0">
      <protection locked="0" hidden="0"/>
    </xf>
    <xf numFmtId="0" fontId="0" fillId="0" borderId="105" applyProtection="1" pivotButton="0" quotePrefix="0" xfId="0">
      <protection locked="0" hidden="0"/>
    </xf>
    <xf numFmtId="37" fontId="9" fillId="20" borderId="12" applyAlignment="1" applyProtection="1" pivotButton="0" quotePrefix="0" xfId="0">
      <alignment horizontal="right"/>
      <protection locked="0" hidden="0"/>
    </xf>
    <xf numFmtId="37" fontId="9" fillId="20" borderId="10" applyAlignment="1" applyProtection="1" pivotButton="0" quotePrefix="0" xfId="0">
      <alignment horizontal="center"/>
      <protection locked="0" hidden="0"/>
    </xf>
    <xf numFmtId="39" fontId="6" fillId="14" borderId="24" applyAlignment="1" pivotButton="0" quotePrefix="0" xfId="0">
      <alignment horizontal="left"/>
    </xf>
    <xf numFmtId="37" fontId="9" fillId="26" borderId="10" applyAlignment="1" pivotButton="0" quotePrefix="0" xfId="0">
      <alignment horizontal="right"/>
    </xf>
    <xf numFmtId="0" fontId="12" fillId="20" borderId="91" applyAlignment="1" applyProtection="1" pivotButton="0" quotePrefix="0" xfId="0">
      <alignment horizontal="left"/>
      <protection locked="0" hidden="0"/>
    </xf>
    <xf numFmtId="0" fontId="12" fillId="20" borderId="202" applyAlignment="1" applyProtection="1" pivotButton="0" quotePrefix="0" xfId="0">
      <alignment horizontal="left"/>
      <protection locked="0" hidden="0"/>
    </xf>
    <xf numFmtId="0" fontId="0" fillId="0" borderId="201" applyProtection="1" pivotButton="0" quotePrefix="0" xfId="0">
      <protection locked="0" hidden="0"/>
    </xf>
    <xf numFmtId="0" fontId="0" fillId="0" borderId="202" applyProtection="1" pivotButton="0" quotePrefix="0" xfId="0">
      <protection locked="0" hidden="0"/>
    </xf>
    <xf numFmtId="172" fontId="112" fillId="3" borderId="0" applyAlignment="1" pivotButton="0" quotePrefix="0" xfId="0">
      <alignment horizontal="center"/>
    </xf>
    <xf numFmtId="39" fontId="15" fillId="3" borderId="10" applyAlignment="1" pivotButton="0" quotePrefix="0" xfId="0">
      <alignment horizontal="center"/>
    </xf>
    <xf numFmtId="3" fontId="9" fillId="20" borderId="10" applyAlignment="1" applyProtection="1" pivotButton="0" quotePrefix="0" xfId="0">
      <alignment horizontal="right"/>
      <protection locked="0" hidden="0"/>
    </xf>
    <xf numFmtId="0" fontId="0" fillId="0" borderId="154" applyProtection="1" pivotButton="0" quotePrefix="0" xfId="0">
      <protection locked="1" hidden="1"/>
    </xf>
    <xf numFmtId="0" fontId="0" fillId="0" borderId="89" applyProtection="1" pivotButton="0" quotePrefix="0" xfId="0">
      <protection locked="1" hidden="1"/>
    </xf>
    <xf numFmtId="0" fontId="20" fillId="3" borderId="102" applyAlignment="1" applyProtection="1" pivotButton="0" quotePrefix="0" xfId="0">
      <alignment horizontal="center" vertical="top"/>
      <protection locked="1" hidden="1"/>
    </xf>
    <xf numFmtId="0" fontId="12" fillId="15" borderId="102" applyAlignment="1" pivotButton="0" quotePrefix="0" xfId="0">
      <alignment horizontal="center" vertical="center"/>
    </xf>
    <xf numFmtId="0" fontId="10" fillId="3" borderId="26" applyAlignment="1" applyProtection="1" pivotButton="0" quotePrefix="0" xfId="0">
      <alignment horizontal="left" vertical="center" wrapText="1" indent="1"/>
      <protection locked="1" hidden="1"/>
    </xf>
    <xf numFmtId="0" fontId="16" fillId="3" borderId="29" applyAlignment="1" applyProtection="1" pivotButton="0" quotePrefix="0" xfId="0">
      <alignment wrapText="1"/>
      <protection locked="1" hidden="1"/>
    </xf>
    <xf numFmtId="0" fontId="12" fillId="15" borderId="102" applyAlignment="1" pivotButton="0" quotePrefix="0" xfId="0">
      <alignment horizontal="center"/>
    </xf>
    <xf numFmtId="0" fontId="0" fillId="0" borderId="29" applyProtection="1" pivotButton="0" quotePrefix="0" xfId="0">
      <protection locked="1" hidden="1"/>
    </xf>
    <xf numFmtId="0" fontId="4" fillId="26" borderId="11" applyAlignment="1" applyProtection="1" pivotButton="0" quotePrefix="0" xfId="0">
      <alignment horizontal="left"/>
      <protection locked="1" hidden="1"/>
    </xf>
    <xf numFmtId="0" fontId="0" fillId="0" borderId="11" applyProtection="1" pivotButton="0" quotePrefix="0" xfId="0">
      <protection locked="1" hidden="1"/>
    </xf>
    <xf numFmtId="176" fontId="4" fillId="26" borderId="9" applyAlignment="1" applyProtection="1" pivotButton="0" quotePrefix="0" xfId="0">
      <alignment horizontal="center" vertical="center"/>
      <protection locked="1" hidden="1"/>
    </xf>
    <xf numFmtId="172" fontId="112" fillId="3" borderId="0" applyAlignment="1" applyProtection="1" pivotButton="0" quotePrefix="0" xfId="0">
      <alignment horizontal="center"/>
      <protection locked="1" hidden="1"/>
    </xf>
    <xf numFmtId="0" fontId="0" fillId="0" borderId="34" applyProtection="1" pivotButton="0" quotePrefix="0" xfId="0">
      <protection locked="1" hidden="1"/>
    </xf>
    <xf numFmtId="172" fontId="137" fillId="3" borderId="25" applyAlignment="1" applyProtection="1" pivotButton="0" quotePrefix="0" xfId="0">
      <alignment horizontal="center"/>
      <protection locked="1" hidden="1"/>
    </xf>
    <xf numFmtId="172" fontId="12" fillId="3" borderId="25" applyAlignment="1" applyProtection="1" pivotButton="0" quotePrefix="0" xfId="0">
      <alignment horizontal="right"/>
      <protection locked="1" hidden="1"/>
    </xf>
    <xf numFmtId="172" fontId="12" fillId="26" borderId="12" applyAlignment="1" applyProtection="1" pivotButton="0" quotePrefix="0" xfId="0">
      <alignment horizontal="center"/>
      <protection locked="1" hidden="1"/>
    </xf>
    <xf numFmtId="172" fontId="112" fillId="3" borderId="1" applyAlignment="1" applyProtection="1" pivotButton="0" quotePrefix="0" xfId="0">
      <alignment horizontal="center"/>
      <protection locked="1" hidden="1"/>
    </xf>
    <xf numFmtId="172" fontId="112" fillId="3" borderId="8" applyAlignment="1" applyProtection="1" pivotButton="0" quotePrefix="0" xfId="0">
      <alignment horizontal="center"/>
      <protection locked="1" hidden="1"/>
    </xf>
    <xf numFmtId="172" fontId="12" fillId="20" borderId="12" applyAlignment="1" applyProtection="1" pivotButton="0" quotePrefix="0" xfId="0">
      <alignment horizontal="center" vertical="center"/>
      <protection locked="0" hidden="0"/>
    </xf>
    <xf numFmtId="180" fontId="8" fillId="3" borderId="0" applyAlignment="1" applyProtection="1" pivotButton="0" quotePrefix="0" xfId="0">
      <alignment horizontal="left"/>
      <protection locked="1" hidden="1"/>
    </xf>
    <xf numFmtId="180" fontId="6" fillId="3" borderId="0" applyProtection="1" pivotButton="0" quotePrefix="0" xfId="0">
      <protection locked="1" hidden="1"/>
    </xf>
    <xf numFmtId="180" fontId="8" fillId="3" borderId="0" applyProtection="1" pivotButton="0" quotePrefix="0" xfId="0">
      <protection locked="1" hidden="1"/>
    </xf>
    <xf numFmtId="37" fontId="122" fillId="14" borderId="15" applyAlignment="1" applyProtection="1" pivotButton="0" quotePrefix="0" xfId="0">
      <alignment horizontal="right"/>
      <protection locked="1" hidden="1"/>
    </xf>
    <xf numFmtId="0" fontId="0" fillId="0" borderId="14" applyProtection="1" pivotButton="0" quotePrefix="0" xfId="0">
      <protection locked="1" hidden="1"/>
    </xf>
    <xf numFmtId="0" fontId="67" fillId="11" borderId="2" applyAlignment="1" pivotButton="0" quotePrefix="0" xfId="2">
      <alignment horizontal="center" vertical="center"/>
    </xf>
    <xf numFmtId="0" fontId="0" fillId="0" borderId="60" pivotButton="0" quotePrefix="0" xfId="0"/>
    <xf numFmtId="0" fontId="67" fillId="11" borderId="2" applyAlignment="1" pivotButton="0" quotePrefix="0" xfId="2">
      <alignment horizontal="center" vertical="center" wrapText="1"/>
    </xf>
    <xf numFmtId="0" fontId="20" fillId="2" borderId="20" applyAlignment="1" pivotButton="0" quotePrefix="0" xfId="0">
      <alignment horizontal="left"/>
    </xf>
    <xf numFmtId="0" fontId="44" fillId="2" borderId="102" applyAlignment="1" pivotButton="0" quotePrefix="0" xfId="0">
      <alignment horizontal="center" vertical="top"/>
    </xf>
    <xf numFmtId="0" fontId="9" fillId="2" borderId="102" applyAlignment="1" pivotButton="0" quotePrefix="0" xfId="0">
      <alignment horizontal="center"/>
    </xf>
    <xf numFmtId="0" fontId="10" fillId="2" borderId="43" applyAlignment="1" pivotButton="0" quotePrefix="0" xfId="0">
      <alignment horizontal="center" vertical="center" wrapText="1"/>
    </xf>
    <xf numFmtId="176" fontId="15" fillId="27" borderId="47" applyAlignment="1" pivotButton="0" quotePrefix="0" xfId="0">
      <alignment horizontal="center" vertical="center"/>
    </xf>
    <xf numFmtId="0" fontId="207" fillId="8" borderId="74" applyAlignment="1" pivotButton="0" quotePrefix="0" xfId="0">
      <alignment horizontal="center" vertical="center" wrapText="1"/>
    </xf>
    <xf numFmtId="0" fontId="146" fillId="2" borderId="6" applyAlignment="1" pivotButton="0" quotePrefix="0" xfId="0">
      <alignment horizontal="center"/>
    </xf>
    <xf numFmtId="37" fontId="0" fillId="16" borderId="10" applyAlignment="1" applyProtection="1" pivotButton="0" quotePrefix="0" xfId="0">
      <alignment horizontal="right" vertical="center"/>
      <protection locked="0" hidden="0"/>
    </xf>
    <xf numFmtId="37" fontId="259" fillId="15" borderId="39" applyAlignment="1" pivotButton="0" quotePrefix="0" xfId="0">
      <alignment horizontal="right"/>
    </xf>
    <xf numFmtId="176" fontId="0" fillId="15" borderId="0" applyAlignment="1" pivotButton="0" quotePrefix="0" xfId="0">
      <alignment horizontal="center"/>
    </xf>
    <xf numFmtId="0" fontId="199" fillId="2" borderId="6" applyAlignment="1" pivotButton="0" quotePrefix="0" xfId="0">
      <alignment horizontal="center" vertical="center"/>
    </xf>
    <xf numFmtId="0" fontId="10" fillId="11" borderId="25" applyAlignment="1" pivotButton="0" quotePrefix="0" xfId="0">
      <alignment horizontal="center" wrapText="1"/>
    </xf>
    <xf numFmtId="0" fontId="199" fillId="2" borderId="6" applyAlignment="1" pivotButton="0" quotePrefix="0" xfId="0">
      <alignment horizontal="center" vertical="top"/>
    </xf>
    <xf numFmtId="204" fontId="109" fillId="2" borderId="3" applyAlignment="1" pivotButton="0" quotePrefix="0" xfId="0">
      <alignment horizontal="center"/>
    </xf>
    <xf numFmtId="37" fontId="0" fillId="27" borderId="10" applyAlignment="1" pivotButton="0" quotePrefix="0" xfId="0">
      <alignment horizontal="right" vertical="center"/>
    </xf>
    <xf numFmtId="37" fontId="0" fillId="16" borderId="51" applyAlignment="1" applyProtection="1" pivotButton="0" quotePrefix="0" xfId="0">
      <alignment horizontal="right" vertical="center"/>
      <protection locked="0" hidden="0"/>
    </xf>
    <xf numFmtId="178" fontId="8" fillId="15" borderId="0" applyAlignment="1" applyProtection="1" pivotButton="0" quotePrefix="0" xfId="0">
      <alignment vertical="center"/>
      <protection locked="0" hidden="0"/>
    </xf>
    <xf numFmtId="178" fontId="116" fillId="15" borderId="0" applyAlignment="1" applyProtection="1" pivotButton="0" quotePrefix="0" xfId="0">
      <alignment horizontal="right" vertical="center"/>
      <protection locked="0" hidden="0"/>
    </xf>
    <xf numFmtId="37" fontId="0" fillId="27" borderId="28" applyAlignment="1" pivotButton="0" quotePrefix="0" xfId="0">
      <alignment horizontal="right" vertical="center"/>
    </xf>
    <xf numFmtId="176" fontId="6" fillId="15" borderId="0" applyAlignment="1" pivotButton="0" quotePrefix="0" xfId="0">
      <alignment horizontal="center"/>
    </xf>
    <xf numFmtId="0" fontId="67" fillId="11" borderId="57" applyAlignment="1" pivotButton="0" quotePrefix="0" xfId="2">
      <alignment horizontal="center" wrapText="1"/>
    </xf>
    <xf numFmtId="0" fontId="12" fillId="27" borderId="12" applyAlignment="1" pivotButton="0" quotePrefix="0" xfId="0">
      <alignment horizontal="center" vertical="center"/>
    </xf>
    <xf numFmtId="0" fontId="4" fillId="15" borderId="102" applyAlignment="1" pivotButton="0" quotePrefix="0" xfId="0">
      <alignment horizontal="center" vertical="top" wrapText="1"/>
    </xf>
    <xf numFmtId="0" fontId="9" fillId="15" borderId="102" applyAlignment="1" pivotButton="0" quotePrefix="0" xfId="0">
      <alignment horizontal="center" wrapText="1"/>
    </xf>
    <xf numFmtId="0" fontId="10" fillId="15" borderId="21" applyAlignment="1" pivotButton="0" quotePrefix="0" xfId="0">
      <alignment horizontal="left" vertical="center" wrapText="1" indent="2"/>
    </xf>
    <xf numFmtId="0" fontId="9" fillId="15" borderId="38" applyAlignment="1" pivotButton="0" quotePrefix="0" xfId="0">
      <alignment horizontal="center" wrapText="1"/>
    </xf>
    <xf numFmtId="0" fontId="44" fillId="16" borderId="1" applyAlignment="1" applyProtection="1" pivotButton="0" quotePrefix="0" xfId="0">
      <alignment wrapText="1"/>
      <protection locked="0" hidden="0"/>
    </xf>
    <xf numFmtId="176" fontId="20" fillId="27" borderId="9" applyAlignment="1" pivotButton="0" quotePrefix="0" xfId="0">
      <alignment horizontal="center" wrapText="1"/>
    </xf>
    <xf numFmtId="0" fontId="4" fillId="15" borderId="12" applyAlignment="1" pivotButton="0" quotePrefix="0" xfId="0">
      <alignment horizontal="center" wrapText="1"/>
    </xf>
    <xf numFmtId="0" fontId="12" fillId="16" borderId="12" applyAlignment="1" applyProtection="1" pivotButton="0" quotePrefix="0" xfId="0">
      <alignment horizontal="center" vertical="top" wrapText="1"/>
      <protection locked="0" hidden="0"/>
    </xf>
    <xf numFmtId="3" fontId="6" fillId="16" borderId="10" applyAlignment="1" applyProtection="1" pivotButton="0" quotePrefix="0" xfId="0">
      <alignment horizontal="right" wrapText="1"/>
      <protection locked="0" hidden="0"/>
    </xf>
    <xf numFmtId="0" fontId="4" fillId="15" borderId="10" applyAlignment="1" pivotButton="0" quotePrefix="0" xfId="0">
      <alignment horizontal="center" vertical="center" wrapText="1"/>
    </xf>
    <xf numFmtId="3" fontId="6" fillId="16" borderId="12" applyAlignment="1" applyProtection="1" pivotButton="0" quotePrefix="0" xfId="0">
      <alignment horizontal="right" wrapText="1"/>
      <protection locked="0" hidden="0"/>
    </xf>
    <xf numFmtId="3" fontId="6" fillId="27" borderId="12" applyAlignment="1" pivotButton="0" quotePrefix="0" xfId="0">
      <alignment horizontal="right" wrapText="1"/>
    </xf>
    <xf numFmtId="193" fontId="6" fillId="27" borderId="12" applyAlignment="1" pivotButton="0" quotePrefix="0" xfId="0">
      <alignment horizontal="right" wrapText="1"/>
    </xf>
    <xf numFmtId="183" fontId="6" fillId="27" borderId="12" applyAlignment="1" pivotButton="0" quotePrefix="0" xfId="0">
      <alignment horizontal="right" wrapText="1"/>
    </xf>
    <xf numFmtId="37" fontId="6" fillId="27" borderId="12" applyAlignment="1" pivotButton="0" quotePrefix="0" xfId="0">
      <alignment horizontal="right" wrapText="1"/>
    </xf>
    <xf numFmtId="0" fontId="4" fillId="15" borderId="15" applyAlignment="1" pivotButton="0" quotePrefix="0" xfId="0">
      <alignment horizontal="center" vertical="center" wrapText="1"/>
    </xf>
    <xf numFmtId="0" fontId="11" fillId="15" borderId="54" applyAlignment="1" pivotButton="0" quotePrefix="0" xfId="0">
      <alignment horizontal="center" vertical="center" textRotation="90"/>
    </xf>
    <xf numFmtId="0" fontId="12" fillId="15" borderId="15" applyAlignment="1" pivotButton="0" quotePrefix="0" xfId="0">
      <alignment horizontal="center" vertical="center" wrapText="1"/>
    </xf>
    <xf numFmtId="0" fontId="9" fillId="15" borderId="39" applyAlignment="1" pivotButton="0" quotePrefix="0" xfId="0">
      <alignment horizontal="center" vertical="center" wrapText="1"/>
    </xf>
    <xf numFmtId="0" fontId="10" fillId="15" borderId="15" applyAlignment="1" pivotButton="0" quotePrefix="0" xfId="0">
      <alignment horizontal="center" wrapText="1"/>
    </xf>
    <xf numFmtId="0" fontId="10" fillId="15" borderId="6" applyAlignment="1" pivotButton="0" quotePrefix="0" xfId="0">
      <alignment horizontal="center" vertical="top" wrapText="1"/>
    </xf>
    <xf numFmtId="0" fontId="10" fillId="15" borderId="10" applyAlignment="1" pivotButton="0" quotePrefix="0" xfId="0">
      <alignment horizontal="center" vertical="center" wrapText="1"/>
    </xf>
    <xf numFmtId="41" fontId="8" fillId="16" borderId="12" applyAlignment="1" applyProtection="1" pivotButton="0" quotePrefix="0" xfId="0">
      <alignment horizontal="center" vertical="center" wrapText="1"/>
      <protection locked="0" hidden="0"/>
    </xf>
    <xf numFmtId="37" fontId="0" fillId="27" borderId="10" applyAlignment="1" pivotButton="0" quotePrefix="0" xfId="0">
      <alignment wrapText="1"/>
    </xf>
    <xf numFmtId="37" fontId="0" fillId="16" borderId="10" applyAlignment="1" applyProtection="1" pivotButton="0" quotePrefix="0" xfId="0">
      <alignment wrapText="1"/>
      <protection locked="0" hidden="0"/>
    </xf>
    <xf numFmtId="37" fontId="6" fillId="16" borderId="10" applyAlignment="1" applyProtection="1" pivotButton="0" quotePrefix="0" xfId="0">
      <alignment wrapText="1"/>
      <protection locked="0" hidden="0"/>
    </xf>
    <xf numFmtId="37" fontId="0" fillId="16" borderId="10" applyAlignment="1" applyProtection="1" pivotButton="0" quotePrefix="0" xfId="0">
      <alignment vertical="center" wrapText="1"/>
      <protection locked="0" hidden="0"/>
    </xf>
    <xf numFmtId="14" fontId="4" fillId="15" borderId="107" applyAlignment="1" pivotButton="0" quotePrefix="0" xfId="0">
      <alignment horizontal="left" vertical="center" indent="1"/>
    </xf>
    <xf numFmtId="37" fontId="56" fillId="15" borderId="27" applyAlignment="1" pivotButton="0" quotePrefix="0" xfId="0">
      <alignment horizontal="right" vertical="center"/>
    </xf>
    <xf numFmtId="0" fontId="110" fillId="15" borderId="15" pivotButton="0" quotePrefix="0" xfId="0"/>
    <xf numFmtId="37" fontId="110" fillId="15" borderId="6" applyAlignment="1" pivotButton="0" quotePrefix="0" xfId="0">
      <alignment horizontal="right"/>
    </xf>
    <xf numFmtId="193" fontId="0" fillId="27" borderId="9" pivotButton="0" quotePrefix="0" xfId="0"/>
    <xf numFmtId="205" fontId="0" fillId="16" borderId="1" applyAlignment="1" applyProtection="1" pivotButton="0" quotePrefix="0" xfId="0">
      <alignment horizontal="right" wrapText="1"/>
      <protection locked="0" hidden="0"/>
    </xf>
    <xf numFmtId="193" fontId="112" fillId="15" borderId="0" pivotButton="0" quotePrefix="0" xfId="0"/>
    <xf numFmtId="0" fontId="4" fillId="15" borderId="51" applyAlignment="1" pivotButton="0" quotePrefix="0" xfId="0">
      <alignment horizontal="center"/>
    </xf>
    <xf numFmtId="37" fontId="0" fillId="16" borderId="51" applyAlignment="1" applyProtection="1" pivotButton="0" quotePrefix="0" xfId="0">
      <alignment wrapText="1"/>
      <protection locked="0" hidden="0"/>
    </xf>
    <xf numFmtId="0" fontId="4" fillId="15" borderId="102" applyAlignment="1" pivotButton="0" quotePrefix="0" xfId="0">
      <alignment horizontal="center" wrapText="1"/>
    </xf>
    <xf numFmtId="0" fontId="10" fillId="15" borderId="21" applyAlignment="1" pivotButton="0" quotePrefix="0" xfId="0">
      <alignment horizontal="left" vertical="center" wrapText="1" indent="1"/>
    </xf>
    <xf numFmtId="3" fontId="6" fillId="16" borderId="10" applyAlignment="1" applyProtection="1" pivotButton="0" quotePrefix="0" xfId="0">
      <alignment horizontal="right"/>
      <protection locked="0" hidden="0"/>
    </xf>
    <xf numFmtId="193" fontId="6" fillId="27" borderId="10" applyAlignment="1" pivotButton="0" quotePrefix="0" xfId="0">
      <alignment horizontal="right" wrapText="1"/>
    </xf>
    <xf numFmtId="183" fontId="6" fillId="27" borderId="10" applyAlignment="1" pivotButton="0" quotePrefix="0" xfId="0">
      <alignment horizontal="right" wrapText="1"/>
    </xf>
    <xf numFmtId="3" fontId="6" fillId="27" borderId="10" applyAlignment="1" pivotButton="0" quotePrefix="0" xfId="0">
      <alignment horizontal="right" wrapText="1"/>
    </xf>
    <xf numFmtId="0" fontId="12" fillId="15" borderId="15" applyAlignment="1" pivotButton="0" quotePrefix="0" xfId="0">
      <alignment horizontal="center" wrapText="1"/>
    </xf>
    <xf numFmtId="37" fontId="110" fillId="15" borderId="6" pivotButton="0" quotePrefix="0" xfId="0"/>
    <xf numFmtId="0" fontId="4" fillId="15" borderId="10" applyAlignment="1" pivotButton="0" quotePrefix="0" xfId="0">
      <alignment horizontal="center" vertical="top"/>
    </xf>
    <xf numFmtId="0" fontId="0" fillId="19" borderId="6" applyAlignment="1" pivotButton="0" quotePrefix="0" xfId="0">
      <alignment vertical="top" wrapText="1"/>
    </xf>
    <xf numFmtId="0" fontId="44" fillId="15" borderId="102" applyAlignment="1" pivotButton="0" quotePrefix="0" xfId="0">
      <alignment horizontal="center"/>
    </xf>
    <xf numFmtId="37" fontId="0" fillId="16" borderId="6" applyAlignment="1" applyProtection="1" pivotButton="0" quotePrefix="0" xfId="0">
      <alignment wrapText="1"/>
      <protection locked="0" hidden="0"/>
    </xf>
    <xf numFmtId="0" fontId="4" fillId="15" borderId="245" applyAlignment="1" pivotButton="0" quotePrefix="0" xfId="0">
      <alignment horizontal="center"/>
    </xf>
    <xf numFmtId="0" fontId="0" fillId="19" borderId="6" applyAlignment="1" pivotButton="0" quotePrefix="0" xfId="0">
      <alignment wrapText="1"/>
    </xf>
    <xf numFmtId="37" fontId="5" fillId="15" borderId="27" applyAlignment="1" pivotButton="0" quotePrefix="0" xfId="0">
      <alignment horizontal="right" vertical="center"/>
    </xf>
    <xf numFmtId="0" fontId="91" fillId="2" borderId="20" applyAlignment="1" pivotButton="0" quotePrefix="0" xfId="0">
      <alignment horizontal="center" vertical="center" wrapText="1"/>
    </xf>
    <xf numFmtId="0" fontId="20" fillId="2" borderId="102" applyAlignment="1" pivotButton="0" quotePrefix="0" xfId="0">
      <alignment horizontal="center" vertical="center" wrapText="1"/>
    </xf>
    <xf numFmtId="0" fontId="15" fillId="0" borderId="150" applyAlignment="1" pivotButton="0" quotePrefix="0" xfId="0">
      <alignment horizontal="left" vertical="center" wrapText="1"/>
    </xf>
    <xf numFmtId="0" fontId="0" fillId="0" borderId="160" pivotButton="0" quotePrefix="0" xfId="0"/>
    <xf numFmtId="0" fontId="0" fillId="0" borderId="40" pivotButton="0" quotePrefix="0" xfId="0"/>
    <xf numFmtId="37" fontId="15" fillId="16" borderId="2" applyAlignment="1" applyProtection="1" pivotButton="0" quotePrefix="0" xfId="0">
      <alignment horizontal="right" vertical="center" wrapText="1" indent="1"/>
      <protection locked="0" hidden="0"/>
    </xf>
    <xf numFmtId="0" fontId="0" fillId="0" borderId="7" applyProtection="1" pivotButton="0" quotePrefix="0" xfId="0">
      <protection locked="0" hidden="0"/>
    </xf>
    <xf numFmtId="0" fontId="0" fillId="0" borderId="180" pivotButton="0" quotePrefix="0" xfId="0"/>
    <xf numFmtId="0" fontId="10" fillId="2" borderId="22" applyAlignment="1" pivotButton="0" quotePrefix="0" xfId="0">
      <alignment horizontal="left" vertical="top" wrapText="1"/>
    </xf>
    <xf numFmtId="0" fontId="12" fillId="2" borderId="38" applyAlignment="1" pivotButton="0" quotePrefix="0" xfId="0">
      <alignment horizontal="center"/>
    </xf>
    <xf numFmtId="0" fontId="0" fillId="0" borderId="21" applyProtection="1" pivotButton="0" quotePrefix="0" xfId="0">
      <protection locked="0" hidden="0"/>
    </xf>
    <xf numFmtId="0" fontId="0" fillId="0" borderId="22" applyProtection="1" pivotButton="0" quotePrefix="0" xfId="0">
      <protection locked="0" hidden="0"/>
    </xf>
    <xf numFmtId="0" fontId="4" fillId="27" borderId="11" applyAlignment="1" pivotButton="0" quotePrefix="0" xfId="0">
      <alignment horizontal="left" vertical="center"/>
    </xf>
    <xf numFmtId="176" fontId="4" fillId="27" borderId="9" applyAlignment="1" pivotButton="0" quotePrefix="0" xfId="0">
      <alignment horizontal="center" vertical="center"/>
    </xf>
    <xf numFmtId="0" fontId="6" fillId="2" borderId="12" applyAlignment="1" pivotButton="0" quotePrefix="0" xfId="0">
      <alignment horizontal="left" vertical="center" wrapText="1"/>
    </xf>
    <xf numFmtId="0" fontId="4" fillId="2" borderId="6" applyAlignment="1" pivotButton="0" quotePrefix="0" xfId="0">
      <alignment horizontal="center" vertical="center"/>
    </xf>
    <xf numFmtId="0" fontId="6" fillId="2" borderId="12" applyAlignment="1" pivotButton="0" quotePrefix="0" xfId="0">
      <alignment horizontal="left" vertical="center"/>
    </xf>
    <xf numFmtId="37" fontId="11" fillId="16" borderId="2" applyAlignment="1" applyProtection="1" pivotButton="0" quotePrefix="0" xfId="0">
      <alignment horizontal="right" vertical="center" wrapText="1" indent="1"/>
      <protection locked="0" hidden="0"/>
    </xf>
    <xf numFmtId="0" fontId="9" fillId="2" borderId="25" applyAlignment="1" pivotButton="0" quotePrefix="0" xfId="0">
      <alignment horizontal="center" vertical="top" wrapText="1"/>
    </xf>
    <xf numFmtId="0" fontId="6" fillId="2" borderId="12" applyAlignment="1" pivotButton="0" quotePrefix="0" xfId="0">
      <alignment horizontal="left" vertical="center" wrapText="1" indent="1"/>
    </xf>
    <xf numFmtId="0" fontId="6" fillId="0" borderId="38" applyAlignment="1" pivotButton="0" quotePrefix="0" xfId="0">
      <alignment horizontal="left" vertical="center" wrapText="1"/>
    </xf>
    <xf numFmtId="0" fontId="8" fillId="2" borderId="12" applyAlignment="1" pivotButton="0" quotePrefix="0" xfId="0">
      <alignment horizontal="left" vertical="center" wrapText="1" indent="1"/>
    </xf>
    <xf numFmtId="0" fontId="4" fillId="2" borderId="6" applyAlignment="1" pivotButton="0" quotePrefix="0" xfId="0">
      <alignment horizontal="center" wrapText="1"/>
    </xf>
    <xf numFmtId="0" fontId="6" fillId="2" borderId="12" applyAlignment="1" pivotButton="0" quotePrefix="0" xfId="0">
      <alignment horizontal="center" vertical="center" wrapText="1"/>
    </xf>
    <xf numFmtId="0" fontId="47" fillId="2" borderId="12" applyAlignment="1" pivotButton="0" quotePrefix="0" xfId="0">
      <alignment horizontal="left" vertical="center" wrapText="1" indent="1"/>
    </xf>
    <xf numFmtId="0" fontId="47" fillId="2" borderId="12" applyAlignment="1" pivotButton="0" quotePrefix="0" xfId="0">
      <alignment horizontal="left" vertical="center" wrapText="1"/>
    </xf>
    <xf numFmtId="0" fontId="15" fillId="15" borderId="150" applyAlignment="1" pivotButton="0" quotePrefix="0" xfId="0">
      <alignment horizontal="left" wrapText="1"/>
    </xf>
    <xf numFmtId="0" fontId="0" fillId="15" borderId="255" applyAlignment="1" pivotButton="0" quotePrefix="0" xfId="0">
      <alignment horizontal="left" wrapText="1"/>
    </xf>
    <xf numFmtId="4" fontId="0" fillId="27" borderId="12" applyAlignment="1" pivotButton="0" quotePrefix="0" xfId="0">
      <alignment horizontal="center"/>
    </xf>
    <xf numFmtId="0" fontId="6" fillId="15" borderId="174" applyAlignment="1" pivotButton="0" quotePrefix="0" xfId="0">
      <alignment horizontal="left" vertical="top" wrapText="1"/>
    </xf>
    <xf numFmtId="0" fontId="4" fillId="0" borderId="254" applyAlignment="1" pivotButton="0" quotePrefix="0" xfId="0">
      <alignment horizontal="left" vertical="center" wrapText="1"/>
    </xf>
    <xf numFmtId="0" fontId="0" fillId="0" borderId="177" pivotButton="0" quotePrefix="0" xfId="0"/>
    <xf numFmtId="0" fontId="0" fillId="0" borderId="178" pivotButton="0" quotePrefix="0" xfId="0"/>
    <xf numFmtId="4" fontId="0" fillId="16" borderId="12" applyAlignment="1" applyProtection="1" pivotButton="0" quotePrefix="0" xfId="0">
      <alignment horizontal="center"/>
      <protection locked="0" hidden="0"/>
    </xf>
    <xf numFmtId="191" fontId="0" fillId="16" borderId="12" applyAlignment="1" applyProtection="1" pivotButton="0" quotePrefix="0" xfId="0">
      <alignment horizontal="center"/>
      <protection locked="0" hidden="0"/>
    </xf>
    <xf numFmtId="0" fontId="0" fillId="0" borderId="121" pivotButton="0" quotePrefix="0" xfId="0"/>
    <xf numFmtId="0" fontId="11" fillId="15" borderId="54" applyAlignment="1" pivotButton="0" quotePrefix="0" xfId="0">
      <alignment horizontal="left" vertical="center" wrapText="1"/>
    </xf>
    <xf numFmtId="0" fontId="4" fillId="2" borderId="15" applyAlignment="1" pivotButton="0" quotePrefix="0" xfId="0">
      <alignment horizontal="center" wrapText="1"/>
    </xf>
    <xf numFmtId="206" fontId="6" fillId="2" borderId="10" applyAlignment="1" pivotButton="0" quotePrefix="0" xfId="0">
      <alignment horizontal="center" wrapText="1"/>
    </xf>
    <xf numFmtId="206" fontId="6" fillId="2" borderId="9" applyAlignment="1" pivotButton="0" quotePrefix="0" xfId="0">
      <alignment horizontal="center" wrapText="1"/>
    </xf>
    <xf numFmtId="191" fontId="180" fillId="2" borderId="15" applyAlignment="1" pivotButton="0" quotePrefix="0" xfId="0">
      <alignment horizontal="center"/>
    </xf>
    <xf numFmtId="191" fontId="180" fillId="2" borderId="30" applyAlignment="1" pivotButton="0" quotePrefix="0" xfId="0">
      <alignment horizontal="center"/>
    </xf>
    <xf numFmtId="191" fontId="180" fillId="2" borderId="3" applyAlignment="1" pivotButton="0" quotePrefix="0" xfId="0">
      <alignment horizontal="center"/>
    </xf>
    <xf numFmtId="191" fontId="180" fillId="15" borderId="24" applyAlignment="1" pivotButton="0" quotePrefix="0" xfId="0">
      <alignment horizontal="center"/>
    </xf>
    <xf numFmtId="191" fontId="180" fillId="15" borderId="0" applyAlignment="1" pivotButton="0" quotePrefix="0" xfId="0">
      <alignment horizontal="center"/>
    </xf>
    <xf numFmtId="3" fontId="6" fillId="27" borderId="10" applyAlignment="1" pivotButton="0" quotePrefix="0" xfId="0">
      <alignment wrapText="1"/>
    </xf>
    <xf numFmtId="0" fontId="146" fillId="2" borderId="15" applyAlignment="1" pivotButton="0" quotePrefix="0" xfId="0">
      <alignment horizontal="center"/>
    </xf>
    <xf numFmtId="37" fontId="146" fillId="2" borderId="6" applyAlignment="1" pivotButton="0" quotePrefix="0" xfId="0">
      <alignment horizontal="right"/>
    </xf>
    <xf numFmtId="0" fontId="112" fillId="2" borderId="6" applyAlignment="1" pivotButton="0" quotePrefix="0" xfId="0">
      <alignment horizontal="center"/>
    </xf>
    <xf numFmtId="0" fontId="146" fillId="2" borderId="6" applyAlignment="1" pivotButton="0" quotePrefix="0" xfId="0">
      <alignment horizontal="center" vertical="top"/>
    </xf>
    <xf numFmtId="175" fontId="146" fillId="2" borderId="6" applyAlignment="1" pivotButton="0" quotePrefix="0" xfId="0">
      <alignment horizontal="right"/>
    </xf>
    <xf numFmtId="175" fontId="146" fillId="2" borderId="3" applyAlignment="1" pivotButton="0" quotePrefix="0" xfId="0">
      <alignment horizontal="right"/>
    </xf>
    <xf numFmtId="3" fontId="6" fillId="27" borderId="6" applyAlignment="1" pivotButton="0" quotePrefix="0" xfId="0">
      <alignment vertical="center" wrapText="1"/>
    </xf>
    <xf numFmtId="3" fontId="6" fillId="27" borderId="12" applyAlignment="1" pivotButton="0" quotePrefix="0" xfId="0">
      <alignment wrapText="1"/>
    </xf>
    <xf numFmtId="3" fontId="6" fillId="27" borderId="6" applyAlignment="1" pivotButton="0" quotePrefix="0" xfId="0">
      <alignment wrapText="1"/>
    </xf>
    <xf numFmtId="187" fontId="110" fillId="15" borderId="0" applyAlignment="1" pivotButton="0" quotePrefix="0" xfId="0">
      <alignment horizontal="center"/>
    </xf>
    <xf numFmtId="0" fontId="172" fillId="15" borderId="15" applyAlignment="1" pivotButton="0" quotePrefix="0" xfId="0">
      <alignment horizontal="left" vertical="center" wrapText="1" indent="1"/>
    </xf>
    <xf numFmtId="206" fontId="6" fillId="2" borderId="10" applyAlignment="1" pivotButton="0" quotePrefix="0" xfId="0">
      <alignment horizontal="center" vertical="center" wrapText="1"/>
    </xf>
    <xf numFmtId="206" fontId="6" fillId="2" borderId="9" applyAlignment="1" pivotButton="0" quotePrefix="0" xfId="0">
      <alignment horizontal="center" vertical="center" wrapText="1"/>
    </xf>
    <xf numFmtId="3" fontId="6" fillId="27" borderId="12" applyAlignment="1" pivotButton="0" quotePrefix="0" xfId="0">
      <alignment horizontal="center" vertical="center" wrapText="1"/>
    </xf>
    <xf numFmtId="0" fontId="8" fillId="15" borderId="54" applyAlignment="1" pivotButton="0" quotePrefix="0" xfId="0">
      <alignment horizontal="left" vertical="center" wrapText="1"/>
    </xf>
    <xf numFmtId="171" fontId="116" fillId="2" borderId="3" applyAlignment="1" pivotButton="0" quotePrefix="0" xfId="0">
      <alignment horizontal="center" vertical="center" wrapText="1"/>
    </xf>
    <xf numFmtId="171" fontId="116" fillId="2" borderId="0" applyAlignment="1" pivotButton="0" quotePrefix="0" xfId="0">
      <alignment horizontal="center" vertical="center" wrapText="1"/>
    </xf>
    <xf numFmtId="171" fontId="8" fillId="2" borderId="0" applyAlignment="1" pivotButton="0" quotePrefix="0" xfId="0">
      <alignment horizontal="center" vertical="center" wrapText="1"/>
    </xf>
    <xf numFmtId="171" fontId="8" fillId="0" borderId="2" applyAlignment="1" applyProtection="1" pivotButton="0" quotePrefix="0" xfId="0">
      <alignment horizontal="center"/>
      <protection locked="0" hidden="0"/>
    </xf>
    <xf numFmtId="167" fontId="8" fillId="2" borderId="12" applyAlignment="1" applyProtection="1" pivotButton="0" quotePrefix="0" xfId="0">
      <alignment horizontal="center" vertical="center" wrapText="1"/>
      <protection locked="0" hidden="0"/>
    </xf>
    <xf numFmtId="14" fontId="6" fillId="8" borderId="12" applyAlignment="1" pivotButton="0" quotePrefix="0" xfId="0">
      <alignment horizontal="center" vertical="center" wrapText="1"/>
    </xf>
    <xf numFmtId="171" fontId="116" fillId="15" borderId="24" applyAlignment="1" pivotButton="0" quotePrefix="0" xfId="0">
      <alignment horizontal="center" vertical="center" wrapText="1"/>
    </xf>
    <xf numFmtId="0" fontId="10" fillId="2" borderId="15" applyAlignment="1" pivotButton="0" quotePrefix="0" xfId="0">
      <alignment horizontal="left" vertical="center" wrapText="1"/>
    </xf>
    <xf numFmtId="171" fontId="112" fillId="2" borderId="24" applyAlignment="1" pivotButton="0" quotePrefix="0" xfId="0">
      <alignment horizontal="center" vertical="center" wrapText="1"/>
    </xf>
    <xf numFmtId="1" fontId="6" fillId="2" borderId="10" applyAlignment="1" pivotButton="0" quotePrefix="0" xfId="0">
      <alignment horizontal="center" vertical="center" wrapText="1"/>
    </xf>
    <xf numFmtId="0" fontId="8" fillId="15" borderId="24" applyAlignment="1" pivotButton="0" quotePrefix="0" xfId="0">
      <alignment horizontal="left" vertical="center" wrapText="1"/>
    </xf>
    <xf numFmtId="185" fontId="4" fillId="2" borderId="10" applyAlignment="1" pivotButton="0" quotePrefix="0" xfId="0">
      <alignment horizontal="center" vertical="center" wrapText="1"/>
    </xf>
    <xf numFmtId="171" fontId="112" fillId="2" borderId="0" applyAlignment="1" pivotButton="0" quotePrefix="0" xfId="0">
      <alignment horizontal="center" vertical="center" wrapText="1"/>
    </xf>
    <xf numFmtId="185" fontId="4" fillId="2" borderId="9" applyAlignment="1" pivotButton="0" quotePrefix="0" xfId="0">
      <alignment horizontal="center" vertical="center" wrapText="1"/>
    </xf>
    <xf numFmtId="185" fontId="4" fillId="2" borderId="3" applyAlignment="1" pivotButton="0" quotePrefix="0" xfId="0">
      <alignment horizontal="center" vertical="center" wrapText="1"/>
    </xf>
    <xf numFmtId="0" fontId="6" fillId="15" borderId="2" applyAlignment="1" pivotButton="0" quotePrefix="0" xfId="0">
      <alignment horizontal="center" vertical="center" wrapText="1"/>
    </xf>
    <xf numFmtId="171" fontId="320" fillId="42" borderId="1" applyAlignment="1" pivotButton="0" quotePrefix="0" xfId="0">
      <alignment horizontal="center" wrapText="1"/>
    </xf>
    <xf numFmtId="167" fontId="320" fillId="42" borderId="1" applyAlignment="1" pivotButton="0" quotePrefix="0" xfId="0">
      <alignment horizontal="right" wrapText="1"/>
    </xf>
    <xf numFmtId="167" fontId="320" fillId="42" borderId="1" applyAlignment="1" pivotButton="0" quotePrefix="0" xfId="0">
      <alignment horizontal="right"/>
    </xf>
    <xf numFmtId="167" fontId="319" fillId="42" borderId="1" applyAlignment="1" pivotButton="0" quotePrefix="0" xfId="0">
      <alignment horizontal="right"/>
    </xf>
    <xf numFmtId="171" fontId="8" fillId="16" borderId="46" applyAlignment="1" applyProtection="1" pivotButton="0" quotePrefix="0" xfId="0">
      <alignment horizontal="center" wrapText="1"/>
      <protection locked="0" hidden="0"/>
    </xf>
    <xf numFmtId="167" fontId="8" fillId="16" borderId="43" applyAlignment="1" applyProtection="1" pivotButton="0" quotePrefix="0" xfId="0">
      <alignment horizontal="right" wrapText="1"/>
      <protection locked="0" hidden="0"/>
    </xf>
    <xf numFmtId="167" fontId="8" fillId="27" borderId="43" applyAlignment="1" pivotButton="0" quotePrefix="0" xfId="0">
      <alignment horizontal="right"/>
    </xf>
    <xf numFmtId="167" fontId="8" fillId="27" borderId="66" applyAlignment="1" pivotButton="0" quotePrefix="0" xfId="0">
      <alignment horizontal="right"/>
    </xf>
    <xf numFmtId="191" fontId="110" fillId="0" borderId="0" applyAlignment="1" pivotButton="0" quotePrefix="0" xfId="0">
      <alignment horizontal="center"/>
    </xf>
    <xf numFmtId="167" fontId="8" fillId="16" borderId="12" applyAlignment="1" applyProtection="1" pivotButton="0" quotePrefix="0" xfId="0">
      <alignment horizontal="right" wrapText="1"/>
      <protection locked="0" hidden="0"/>
    </xf>
    <xf numFmtId="167" fontId="8" fillId="27" borderId="12" applyAlignment="1" pivotButton="0" quotePrefix="0" xfId="0">
      <alignment horizontal="right"/>
    </xf>
    <xf numFmtId="167" fontId="8" fillId="27" borderId="58" applyAlignment="1" pivotButton="0" quotePrefix="0" xfId="0">
      <alignment horizontal="right"/>
    </xf>
    <xf numFmtId="171" fontId="8" fillId="16" borderId="50" applyAlignment="1" applyProtection="1" pivotButton="0" quotePrefix="0" xfId="0">
      <alignment horizontal="center" wrapText="1"/>
      <protection locked="0" hidden="0"/>
    </xf>
    <xf numFmtId="167" fontId="8" fillId="16" borderId="51" applyAlignment="1" applyProtection="1" pivotButton="0" quotePrefix="0" xfId="0">
      <alignment horizontal="right" wrapText="1"/>
      <protection locked="0" hidden="0"/>
    </xf>
    <xf numFmtId="167" fontId="8" fillId="27" borderId="51" applyAlignment="1" pivotButton="0" quotePrefix="0" xfId="0">
      <alignment horizontal="right"/>
    </xf>
    <xf numFmtId="167" fontId="8" fillId="27" borderId="110" applyAlignment="1" pivotButton="0" quotePrefix="0" xfId="0">
      <alignment horizontal="right"/>
    </xf>
    <xf numFmtId="0" fontId="91" fillId="14" borderId="20" applyAlignment="1" pivotButton="0" quotePrefix="0" xfId="0">
      <alignment horizontal="left"/>
    </xf>
    <xf numFmtId="0" fontId="44" fillId="3" borderId="102" applyAlignment="1" pivotButton="0" quotePrefix="0" xfId="0">
      <alignment horizontal="center" vertical="center"/>
    </xf>
    <xf numFmtId="0" fontId="4" fillId="3" borderId="102" applyAlignment="1" pivotButton="0" quotePrefix="0" xfId="0">
      <alignment horizontal="center" vertical="center"/>
    </xf>
    <xf numFmtId="0" fontId="4" fillId="3" borderId="260" applyAlignment="1" pivotButton="0" quotePrefix="0" xfId="0">
      <alignment horizontal="center" vertical="center"/>
    </xf>
    <xf numFmtId="176" fontId="15" fillId="26" borderId="4" pivotButton="0" quotePrefix="0" xfId="0"/>
    <xf numFmtId="176" fontId="15" fillId="26" borderId="69" applyAlignment="1" pivotButton="0" quotePrefix="0" xfId="0">
      <alignment horizontal="center"/>
    </xf>
    <xf numFmtId="0" fontId="110" fillId="0" borderId="24" applyAlignment="1" pivotButton="0" quotePrefix="1" xfId="0">
      <alignment horizontal="center"/>
    </xf>
    <xf numFmtId="0" fontId="12" fillId="3" borderId="15" applyAlignment="1" pivotButton="0" quotePrefix="0" xfId="0">
      <alignment horizontal="center"/>
    </xf>
    <xf numFmtId="0" fontId="10" fillId="3" borderId="10" applyAlignment="1" pivotButton="0" quotePrefix="0" xfId="0">
      <alignment horizontal="center" vertical="top"/>
    </xf>
    <xf numFmtId="0" fontId="12" fillId="20" borderId="54" applyAlignment="1" applyProtection="1" pivotButton="0" quotePrefix="0" xfId="0">
      <alignment horizontal="center" vertical="center" wrapText="1"/>
      <protection locked="0" hidden="0"/>
    </xf>
    <xf numFmtId="0" fontId="12" fillId="20" borderId="259" applyAlignment="1" applyProtection="1" pivotButton="0" quotePrefix="0" xfId="0">
      <alignment horizontal="left"/>
      <protection locked="0" hidden="0"/>
    </xf>
    <xf numFmtId="0" fontId="0" fillId="0" borderId="95" applyProtection="1" pivotButton="0" quotePrefix="0" xfId="0">
      <protection locked="0" hidden="0"/>
    </xf>
    <xf numFmtId="49" fontId="6" fillId="15" borderId="12" applyAlignment="1" pivotButton="0" quotePrefix="0" xfId="0">
      <alignment horizontal="left" vertical="center" wrapText="1"/>
    </xf>
    <xf numFmtId="0" fontId="11" fillId="27" borderId="12" applyAlignment="1" pivotButton="0" quotePrefix="0" xfId="0">
      <alignment horizontal="center" vertical="center" wrapText="1"/>
    </xf>
    <xf numFmtId="0" fontId="12" fillId="20" borderId="258" applyAlignment="1" applyProtection="1" pivotButton="0" quotePrefix="0" xfId="0">
      <alignment horizontal="left"/>
      <protection locked="0" hidden="0"/>
    </xf>
    <xf numFmtId="176" fontId="4" fillId="16" borderId="10" applyAlignment="1" applyProtection="1" pivotButton="0" quotePrefix="0" xfId="0">
      <alignment horizontal="center" vertical="center" wrapText="1"/>
      <protection locked="0" hidden="0"/>
    </xf>
    <xf numFmtId="0" fontId="8" fillId="3" borderId="204" applyAlignment="1" pivotButton="0" quotePrefix="0" xfId="0">
      <alignment horizontal="center"/>
    </xf>
    <xf numFmtId="0" fontId="6" fillId="15" borderId="256" applyAlignment="1" pivotButton="0" quotePrefix="0" xfId="0">
      <alignment horizontal="left" wrapText="1"/>
    </xf>
    <xf numFmtId="0" fontId="4" fillId="3" borderId="206" applyAlignment="1" pivotButton="0" quotePrefix="0" xfId="0">
      <alignment horizontal="center"/>
    </xf>
    <xf numFmtId="0" fontId="6" fillId="15" borderId="257" applyAlignment="1" pivotButton="0" quotePrefix="0" xfId="0">
      <alignment horizontal="left" vertical="top"/>
    </xf>
    <xf numFmtId="0" fontId="6" fillId="15" borderId="257" applyAlignment="1" pivotButton="0" quotePrefix="0" xfId="0">
      <alignment horizontal="left" vertical="top" wrapText="1"/>
    </xf>
    <xf numFmtId="0" fontId="15" fillId="16" borderId="12" applyAlignment="1" applyProtection="1" pivotButton="0" quotePrefix="0" xfId="0">
      <alignment horizontal="left" vertical="center"/>
      <protection locked="0" hidden="0"/>
    </xf>
    <xf numFmtId="176" fontId="15" fillId="16" borderId="12" applyAlignment="1" applyProtection="1" pivotButton="0" quotePrefix="0" xfId="0">
      <alignment horizontal="center" vertical="center"/>
      <protection locked="0" hidden="0"/>
    </xf>
    <xf numFmtId="176" fontId="4" fillId="14" borderId="25" applyAlignment="1" applyProtection="1" pivotButton="0" quotePrefix="0" xfId="0">
      <alignment vertical="center"/>
      <protection locked="0" hidden="0"/>
    </xf>
    <xf numFmtId="176" fontId="4" fillId="14" borderId="54" applyAlignment="1" applyProtection="1" pivotButton="0" quotePrefix="0" xfId="0">
      <alignment vertical="center"/>
      <protection locked="0" hidden="0"/>
    </xf>
    <xf numFmtId="37" fontId="6" fillId="26" borderId="10" applyAlignment="1" pivotButton="0" quotePrefix="0" xfId="0">
      <alignment horizontal="right"/>
    </xf>
    <xf numFmtId="190" fontId="0" fillId="3" borderId="0" applyAlignment="1" pivotButton="0" quotePrefix="0" xfId="0">
      <alignment horizontal="right"/>
    </xf>
    <xf numFmtId="188" fontId="0" fillId="3" borderId="20" applyAlignment="1" pivotButton="0" quotePrefix="0" xfId="0">
      <alignment horizontal="center"/>
    </xf>
    <xf numFmtId="188" fontId="0" fillId="3" borderId="88" applyAlignment="1" pivotButton="0" quotePrefix="0" xfId="0">
      <alignment horizontal="center"/>
    </xf>
    <xf numFmtId="188" fontId="0" fillId="3" borderId="8" applyAlignment="1" pivotButton="0" quotePrefix="0" xfId="0">
      <alignment horizontal="center"/>
    </xf>
    <xf numFmtId="188" fontId="0" fillId="3" borderId="0" applyAlignment="1" pivotButton="0" quotePrefix="0" xfId="0">
      <alignment horizontal="center"/>
    </xf>
    <xf numFmtId="189" fontId="6" fillId="26" borderId="1" pivotButton="0" quotePrefix="0" xfId="0"/>
    <xf numFmtId="189" fontId="112" fillId="0" borderId="0" pivotButton="0" quotePrefix="0" xfId="0"/>
    <xf numFmtId="188" fontId="0" fillId="3" borderId="29" applyAlignment="1" pivotButton="0" quotePrefix="0" xfId="0">
      <alignment horizontal="center"/>
    </xf>
    <xf numFmtId="188" fontId="0" fillId="3" borderId="1" applyAlignment="1" pivotButton="0" quotePrefix="0" xfId="0">
      <alignment horizontal="center"/>
    </xf>
    <xf numFmtId="0" fontId="6" fillId="15" borderId="261" applyAlignment="1" pivotButton="0" quotePrefix="0" xfId="0">
      <alignment horizontal="left" vertical="top" wrapText="1"/>
    </xf>
    <xf numFmtId="0" fontId="6" fillId="15" borderId="12" applyAlignment="1" pivotButton="0" quotePrefix="0" xfId="0">
      <alignment horizontal="left" wrapText="1"/>
    </xf>
    <xf numFmtId="3" fontId="110" fillId="3" borderId="6" applyAlignment="1" pivotButton="0" quotePrefix="0" xfId="0">
      <alignment horizontal="right"/>
    </xf>
    <xf numFmtId="0" fontId="6" fillId="15" borderId="12" applyAlignment="1" pivotButton="0" quotePrefix="0" xfId="0">
      <alignment horizontal="left" vertical="center" wrapText="1"/>
    </xf>
    <xf numFmtId="0" fontId="72" fillId="3" borderId="74" applyAlignment="1" pivotButton="0" quotePrefix="0" xfId="0">
      <alignment horizontal="left" vertical="center"/>
    </xf>
    <xf numFmtId="0" fontId="11" fillId="2" borderId="37" applyAlignment="1" pivotButton="0" quotePrefix="0" xfId="0">
      <alignment horizontal="left"/>
    </xf>
    <xf numFmtId="0" fontId="21" fillId="3" borderId="2" applyAlignment="1" pivotButton="0" quotePrefix="0" xfId="0">
      <alignment horizontal="center" vertical="center"/>
    </xf>
    <xf numFmtId="0" fontId="20" fillId="3" borderId="38" applyAlignment="1" pivotButton="0" quotePrefix="0" xfId="0">
      <alignment horizontal="left" vertical="top"/>
    </xf>
    <xf numFmtId="176" fontId="15" fillId="28" borderId="9" applyAlignment="1" pivotButton="0" quotePrefix="0" xfId="0">
      <alignment horizontal="center"/>
    </xf>
    <xf numFmtId="0" fontId="10" fillId="3" borderId="15" applyAlignment="1" pivotButton="0" quotePrefix="0" xfId="0">
      <alignment horizontal="center"/>
    </xf>
    <xf numFmtId="0" fontId="10" fillId="20" borderId="54" applyAlignment="1" applyProtection="1" pivotButton="0" quotePrefix="0" xfId="0">
      <alignment horizontal="center" vertical="center" wrapText="1"/>
      <protection locked="0" hidden="0"/>
    </xf>
    <xf numFmtId="0" fontId="10" fillId="20" borderId="259" applyAlignment="1" applyProtection="1" pivotButton="0" quotePrefix="0" xfId="0">
      <alignment horizontal="left"/>
      <protection locked="0" hidden="0"/>
    </xf>
    <xf numFmtId="0" fontId="10" fillId="20" borderId="258" applyAlignment="1" applyProtection="1" pivotButton="0" quotePrefix="0" xfId="0">
      <alignment horizontal="left"/>
      <protection locked="0" hidden="0"/>
    </xf>
    <xf numFmtId="0" fontId="47" fillId="3" borderId="25" applyAlignment="1" pivotButton="0" quotePrefix="0" xfId="0">
      <alignment horizontal="left" vertical="center"/>
    </xf>
    <xf numFmtId="0" fontId="10" fillId="3" borderId="10" applyAlignment="1" pivotButton="0" quotePrefix="0" xfId="0">
      <alignment horizontal="center" vertical="center" wrapText="1"/>
    </xf>
    <xf numFmtId="0" fontId="15" fillId="20" borderId="54" applyAlignment="1" applyProtection="1" pivotButton="0" quotePrefix="0" xfId="0">
      <alignment horizontal="left" vertical="center" indent="1"/>
      <protection locked="0" hidden="0"/>
    </xf>
    <xf numFmtId="176" fontId="4" fillId="20" borderId="12" applyAlignment="1" applyProtection="1" pivotButton="0" quotePrefix="0" xfId="0">
      <alignment horizontal="center" vertical="center"/>
      <protection locked="0" hidden="0"/>
    </xf>
    <xf numFmtId="190" fontId="8" fillId="15" borderId="3" pivotButton="0" quotePrefix="0" xfId="0"/>
    <xf numFmtId="190" fontId="8" fillId="15" borderId="0" pivotButton="0" quotePrefix="0" xfId="0"/>
    <xf numFmtId="0" fontId="142" fillId="11" borderId="57" applyAlignment="1" pivotButton="0" quotePrefix="0" xfId="5">
      <alignment horizontal="center"/>
    </xf>
    <xf numFmtId="0" fontId="4" fillId="15" borderId="102" applyAlignment="1" pivotButton="0" quotePrefix="0" xfId="0">
      <alignment horizontal="center"/>
    </xf>
    <xf numFmtId="0" fontId="9" fillId="15" borderId="38" applyAlignment="1" pivotButton="0" quotePrefix="0" xfId="0">
      <alignment horizontal="center" vertical="top"/>
    </xf>
    <xf numFmtId="0" fontId="11" fillId="28" borderId="11" applyAlignment="1" pivotButton="0" quotePrefix="1" xfId="0">
      <alignment vertical="center"/>
    </xf>
    <xf numFmtId="176" fontId="11" fillId="28" borderId="9" applyAlignment="1" pivotButton="0" quotePrefix="1" xfId="0">
      <alignment horizontal="center" vertical="center"/>
    </xf>
    <xf numFmtId="0" fontId="11" fillId="20" borderId="11" applyAlignment="1" applyProtection="1" pivotButton="0" quotePrefix="1" xfId="0">
      <alignment vertical="center"/>
      <protection locked="0" hidden="0"/>
    </xf>
    <xf numFmtId="0" fontId="0" fillId="0" borderId="85" applyProtection="1" pivotButton="0" quotePrefix="0" xfId="0">
      <protection locked="0" hidden="0"/>
    </xf>
    <xf numFmtId="181" fontId="151" fillId="15" borderId="0" applyAlignment="1" pivotButton="0" quotePrefix="0" xfId="0">
      <alignment horizontal="right"/>
    </xf>
    <xf numFmtId="170" fontId="11" fillId="20" borderId="87" applyAlignment="1" applyProtection="1" pivotButton="0" quotePrefix="1" xfId="0">
      <alignment horizontal="center" vertical="center"/>
      <protection locked="0" hidden="0"/>
    </xf>
    <xf numFmtId="182" fontId="151" fillId="15" borderId="0" applyAlignment="1" pivotButton="0" quotePrefix="0" xfId="0">
      <alignment horizontal="right"/>
    </xf>
    <xf numFmtId="0" fontId="10" fillId="15" borderId="54" applyAlignment="1" pivotButton="0" quotePrefix="0" xfId="0">
      <alignment horizontal="center" vertical="center" wrapText="1"/>
    </xf>
    <xf numFmtId="0" fontId="10" fillId="15" borderId="58" applyAlignment="1" pivotButton="0" quotePrefix="0" xfId="0">
      <alignment horizontal="center" vertical="center" wrapText="1"/>
    </xf>
    <xf numFmtId="0" fontId="12" fillId="15" borderId="54" applyAlignment="1" pivotButton="0" quotePrefix="0" xfId="0">
      <alignment horizontal="center" vertical="center" wrapText="1"/>
    </xf>
    <xf numFmtId="170" fontId="4" fillId="20" borderId="25" applyAlignment="1" applyProtection="1" pivotButton="0" quotePrefix="1" xfId="0">
      <alignment horizontal="center" vertical="center"/>
      <protection locked="0" hidden="0"/>
    </xf>
    <xf numFmtId="170" fontId="4" fillId="20" borderId="12" applyAlignment="1" applyProtection="1" pivotButton="0" quotePrefix="1" xfId="0">
      <alignment horizontal="center" vertical="center"/>
      <protection locked="0" hidden="0"/>
    </xf>
    <xf numFmtId="0" fontId="4" fillId="26" borderId="12" applyAlignment="1" pivotButton="0" quotePrefix="1" xfId="0">
      <alignment horizontal="center" vertical="center"/>
    </xf>
    <xf numFmtId="3" fontId="4" fillId="20" borderId="58" applyAlignment="1" applyProtection="1" pivotButton="0" quotePrefix="1" xfId="0">
      <alignment horizontal="right" vertical="center" indent="1"/>
      <protection locked="0" hidden="0"/>
    </xf>
    <xf numFmtId="170" fontId="4" fillId="20" borderId="49" applyAlignment="1" applyProtection="1" pivotButton="0" quotePrefix="1" xfId="0">
      <alignment horizontal="center" vertical="center"/>
      <protection locked="0" hidden="0"/>
    </xf>
    <xf numFmtId="170" fontId="4" fillId="20" borderId="85" applyAlignment="1" applyProtection="1" pivotButton="0" quotePrefix="1" xfId="0">
      <alignment horizontal="center" vertical="center"/>
      <protection locked="0" hidden="0"/>
    </xf>
    <xf numFmtId="170" fontId="4" fillId="20" borderId="54" applyAlignment="1" applyProtection="1" pivotButton="0" quotePrefix="1" xfId="0">
      <alignment horizontal="left" vertical="center" indent="1"/>
      <protection locked="0" hidden="0"/>
    </xf>
    <xf numFmtId="1" fontId="4" fillId="20" borderId="12" applyAlignment="1" applyProtection="1" pivotButton="0" quotePrefix="1" xfId="0">
      <alignment horizontal="center" vertical="center"/>
      <protection locked="0" hidden="0"/>
    </xf>
    <xf numFmtId="0" fontId="20" fillId="15" borderId="54" applyAlignment="1" pivotButton="0" quotePrefix="0" xfId="0">
      <alignment horizontal="center" vertical="center" wrapText="1"/>
    </xf>
    <xf numFmtId="3" fontId="4" fillId="16" borderId="10" applyAlignment="1" applyProtection="1" pivotButton="0" quotePrefix="0" xfId="0">
      <alignment horizontal="right" indent="1"/>
      <protection locked="0" hidden="0"/>
    </xf>
    <xf numFmtId="0" fontId="4" fillId="23" borderId="15" applyAlignment="1" pivotButton="0" quotePrefix="0" xfId="0">
      <alignment horizontal="center"/>
    </xf>
    <xf numFmtId="198" fontId="4" fillId="27" borderId="1" applyAlignment="1" pivotButton="0" quotePrefix="0" xfId="0">
      <alignment horizontal="right" indent="1"/>
    </xf>
    <xf numFmtId="167" fontId="23" fillId="27" borderId="1" applyAlignment="1" pivotButton="0" quotePrefix="0" xfId="0">
      <alignment horizontal="right" indent="1"/>
    </xf>
    <xf numFmtId="172" fontId="125" fillId="15" borderId="30" applyAlignment="1" pivotButton="0" quotePrefix="0" xfId="0">
      <alignment horizontal="right"/>
    </xf>
    <xf numFmtId="172" fontId="125" fillId="15" borderId="3" applyAlignment="1" pivotButton="0" quotePrefix="0" xfId="0">
      <alignment horizontal="right"/>
    </xf>
    <xf numFmtId="0" fontId="11" fillId="15" borderId="25" applyAlignment="1" pivotButton="0" quotePrefix="0" xfId="0">
      <alignment horizontal="left" vertical="center" wrapText="1" indent="1"/>
    </xf>
    <xf numFmtId="0" fontId="4" fillId="23" borderId="6" applyAlignment="1" pivotButton="0" quotePrefix="0" xfId="0">
      <alignment horizontal="center"/>
    </xf>
    <xf numFmtId="0" fontId="9" fillId="15" borderId="38" applyAlignment="1" pivotButton="0" quotePrefix="0" xfId="0">
      <alignment horizontal="center"/>
    </xf>
    <xf numFmtId="170" fontId="11" fillId="20" borderId="85" applyAlignment="1" applyProtection="1" pivotButton="0" quotePrefix="1" xfId="0">
      <alignment horizontal="center" vertical="center"/>
      <protection locked="0" hidden="0"/>
    </xf>
    <xf numFmtId="0" fontId="44" fillId="15" borderId="102" applyAlignment="1" pivotButton="0" quotePrefix="0" xfId="0">
      <alignment horizontal="center" wrapText="1"/>
    </xf>
    <xf numFmtId="0" fontId="4" fillId="15" borderId="38" applyAlignment="1" pivotButton="0" quotePrefix="0" xfId="0">
      <alignment horizontal="center" vertical="top"/>
    </xf>
    <xf numFmtId="0" fontId="47" fillId="15" borderId="54" applyAlignment="1" pivotButton="0" quotePrefix="0" xfId="0">
      <alignment horizontal="center" vertical="top" wrapText="1"/>
    </xf>
    <xf numFmtId="0" fontId="24" fillId="15" borderId="39" applyAlignment="1" pivotButton="0" quotePrefix="0" xfId="0">
      <alignment horizontal="center" vertical="center" wrapText="1"/>
    </xf>
    <xf numFmtId="0" fontId="5" fillId="15" borderId="12" applyAlignment="1" pivotButton="0" quotePrefix="0" xfId="0">
      <alignment horizontal="center" vertical="center" wrapText="1"/>
    </xf>
    <xf numFmtId="0" fontId="5" fillId="15" borderId="39" applyAlignment="1" pivotButton="0" quotePrefix="0" xfId="0">
      <alignment horizontal="center" vertical="center" wrapText="1"/>
    </xf>
    <xf numFmtId="0" fontId="11" fillId="15" borderId="25" applyAlignment="1" applyProtection="1" pivotButton="0" quotePrefix="0" xfId="0">
      <alignment horizontal="center"/>
      <protection locked="0" hidden="0"/>
    </xf>
    <xf numFmtId="0" fontId="11" fillId="16" borderId="54" applyAlignment="1" applyProtection="1" pivotButton="0" quotePrefix="0" xfId="0">
      <alignment horizontal="left"/>
      <protection locked="0" hidden="0"/>
    </xf>
    <xf numFmtId="176" fontId="73" fillId="16" borderId="10" applyAlignment="1" applyProtection="1" pivotButton="0" quotePrefix="0" xfId="0">
      <alignment horizontal="center" vertical="center"/>
      <protection locked="0" hidden="0"/>
    </xf>
    <xf numFmtId="37" fontId="73" fillId="16" borderId="10" applyAlignment="1" applyProtection="1" pivotButton="0" quotePrefix="0" xfId="0">
      <alignment horizontal="right" vertical="center"/>
      <protection locked="0" hidden="0"/>
    </xf>
    <xf numFmtId="37" fontId="73" fillId="27" borderId="10" applyAlignment="1" pivotButton="0" quotePrefix="0" xfId="0">
      <alignment horizontal="right" vertical="center"/>
    </xf>
    <xf numFmtId="180" fontId="23" fillId="15" borderId="12" applyAlignment="1" pivotButton="0" quotePrefix="0" xfId="0">
      <alignment horizontal="right" vertical="center"/>
    </xf>
    <xf numFmtId="37" fontId="372" fillId="15" borderId="15" applyAlignment="1" pivotButton="0" quotePrefix="0" xfId="0">
      <alignment horizontal="right" vertical="center"/>
    </xf>
    <xf numFmtId="37" fontId="188" fillId="15" borderId="6" applyAlignment="1" pivotButton="0" quotePrefix="0" xfId="0">
      <alignment horizontal="center" vertical="center"/>
    </xf>
    <xf numFmtId="37" fontId="11" fillId="27" borderId="10" applyAlignment="1" pivotButton="0" quotePrefix="0" xfId="0">
      <alignment horizontal="right" vertical="center"/>
    </xf>
    <xf numFmtId="168" fontId="0" fillId="0" borderId="0" pivotButton="0" quotePrefix="0" xfId="0"/>
    <xf numFmtId="168" fontId="0" fillId="0" borderId="0" applyProtection="1" pivotButton="0" quotePrefix="0" xfId="0">
      <protection locked="0" hidden="0"/>
    </xf>
    <xf numFmtId="0" fontId="20" fillId="15" borderId="102" applyAlignment="1" pivotButton="0" quotePrefix="0" xfId="0">
      <alignment horizontal="center" wrapText="1"/>
    </xf>
    <xf numFmtId="168" fontId="11" fillId="15" borderId="0" applyAlignment="1" applyProtection="1" pivotButton="0" quotePrefix="0" xfId="0">
      <alignment horizontal="centerContinuous"/>
      <protection locked="0" hidden="0"/>
    </xf>
    <xf numFmtId="168" fontId="0" fillId="15" borderId="0" applyProtection="1" pivotButton="0" quotePrefix="0" xfId="0">
      <protection locked="0" hidden="0"/>
    </xf>
    <xf numFmtId="0" fontId="6" fillId="0" borderId="203" applyAlignment="1" pivotButton="0" quotePrefix="0" xfId="0">
      <alignment horizontal="center" vertical="center" wrapText="1"/>
    </xf>
    <xf numFmtId="0" fontId="6" fillId="0" borderId="262" applyAlignment="1" pivotButton="0" quotePrefix="0" xfId="0">
      <alignment horizontal="center" vertical="center" wrapText="1"/>
    </xf>
    <xf numFmtId="0" fontId="8" fillId="0" borderId="262" applyAlignment="1" pivotButton="0" quotePrefix="0" xfId="0">
      <alignment horizontal="center" vertical="center" wrapText="1"/>
    </xf>
    <xf numFmtId="168" fontId="6" fillId="0" borderId="262" applyAlignment="1" pivotButton="0" quotePrefix="0" xfId="0">
      <alignment horizontal="center" vertical="center" wrapText="1"/>
    </xf>
    <xf numFmtId="0" fontId="6" fillId="0" borderId="47" applyAlignment="1" pivotButton="0" quotePrefix="0" xfId="0">
      <alignment horizontal="center" vertical="center" wrapText="1"/>
    </xf>
    <xf numFmtId="0" fontId="15" fillId="16" borderId="10" applyAlignment="1" applyProtection="1" pivotButton="0" quotePrefix="0" xfId="0">
      <alignment horizontal="left" vertical="center"/>
      <protection locked="0" hidden="0"/>
    </xf>
    <xf numFmtId="170" fontId="5" fillId="0" borderId="12" applyAlignment="1" applyProtection="1" pivotButton="0" quotePrefix="0" xfId="0">
      <alignment horizontal="center"/>
      <protection locked="0" hidden="0"/>
    </xf>
    <xf numFmtId="168" fontId="5" fillId="0" borderId="12" applyProtection="1" pivotButton="0" quotePrefix="0" xfId="0">
      <protection locked="0" hidden="0"/>
    </xf>
    <xf numFmtId="0" fontId="6" fillId="15" borderId="54" applyAlignment="1" pivotButton="0" quotePrefix="1" xfId="0">
      <alignment horizontal="center"/>
    </xf>
    <xf numFmtId="0" fontId="8" fillId="15" borderId="12" pivotButton="0" quotePrefix="0" xfId="0"/>
    <xf numFmtId="0" fontId="6" fillId="15" borderId="12" applyAlignment="1" pivotButton="0" quotePrefix="0" xfId="0">
      <alignment horizontal="center"/>
    </xf>
    <xf numFmtId="37" fontId="11" fillId="16" borderId="12" applyAlignment="1" applyProtection="1" pivotButton="0" quotePrefix="0" xfId="0">
      <alignment horizontal="right"/>
      <protection locked="0" hidden="0"/>
    </xf>
    <xf numFmtId="37" fontId="11" fillId="27" borderId="15" applyAlignment="1" pivotButton="0" quotePrefix="0" xfId="0">
      <alignment horizontal="right"/>
    </xf>
    <xf numFmtId="170" fontId="0" fillId="0" borderId="0" applyAlignment="1" applyProtection="1" pivotButton="0" quotePrefix="0" xfId="0">
      <alignment horizontal="center"/>
      <protection locked="0" hidden="0"/>
    </xf>
    <xf numFmtId="0" fontId="6" fillId="0" borderId="12" applyAlignment="1" pivotButton="0" quotePrefix="0" xfId="0">
      <alignment horizontal="center" vertical="center" wrapText="1"/>
    </xf>
    <xf numFmtId="17" fontId="11" fillId="19" borderId="12" applyAlignment="1" pivotButton="0" quotePrefix="0" xfId="0">
      <alignment horizontal="center" vertical="center" wrapText="1"/>
    </xf>
    <xf numFmtId="37" fontId="11" fillId="16" borderId="12" applyAlignment="1" applyProtection="1" pivotButton="0" quotePrefix="0" xfId="0">
      <alignment horizontal="right" vertical="center"/>
      <protection locked="0" hidden="0"/>
    </xf>
    <xf numFmtId="0" fontId="251" fillId="16" borderId="12" applyAlignment="1" applyProtection="1" pivotButton="0" quotePrefix="0" xfId="0">
      <alignment horizontal="center" vertical="center"/>
      <protection locked="0" hidden="0"/>
    </xf>
    <xf numFmtId="0" fontId="251" fillId="16" borderId="12" applyAlignment="1" applyProtection="1" pivotButton="0" quotePrefix="0" xfId="0">
      <alignment horizontal="center" vertical="center" wrapText="1"/>
      <protection locked="0" hidden="0"/>
    </xf>
    <xf numFmtId="0" fontId="252" fillId="16" borderId="12" applyAlignment="1" applyProtection="1" pivotButton="0" quotePrefix="0" xfId="0">
      <alignment horizontal="center" vertical="center" wrapText="1"/>
      <protection locked="0" hidden="0"/>
    </xf>
    <xf numFmtId="168" fontId="0" fillId="0" borderId="0" applyAlignment="1" applyProtection="1" pivotButton="0" quotePrefix="0" xfId="0">
      <alignment vertical="center"/>
      <protection locked="0" hidden="0"/>
    </xf>
    <xf numFmtId="0" fontId="253" fillId="15" borderId="12" applyAlignment="1" pivotButton="0" quotePrefix="0" xfId="0">
      <alignment horizontal="center" vertical="center"/>
    </xf>
    <xf numFmtId="0" fontId="253" fillId="15" borderId="12" applyAlignment="1" pivotButton="0" quotePrefix="0" xfId="0">
      <alignment horizontal="center" vertical="center" wrapText="1"/>
    </xf>
    <xf numFmtId="207" fontId="11" fillId="16" borderId="12" applyAlignment="1" applyProtection="1" pivotButton="0" quotePrefix="0" xfId="0">
      <alignment horizontal="center" vertical="center" wrapText="1"/>
      <protection locked="0" hidden="0"/>
    </xf>
    <xf numFmtId="168" fontId="5" fillId="0" borderId="0" applyProtection="1" pivotButton="0" quotePrefix="0" xfId="0">
      <protection locked="0" hidden="0"/>
    </xf>
    <xf numFmtId="207" fontId="11" fillId="16" borderId="15" applyAlignment="1" applyProtection="1" pivotButton="0" quotePrefix="0" xfId="0">
      <alignment horizontal="center" vertical="center" wrapText="1"/>
      <protection locked="0" hidden="0"/>
    </xf>
    <xf numFmtId="37" fontId="11" fillId="16" borderId="15" applyAlignment="1" applyProtection="1" pivotButton="0" quotePrefix="0" xfId="0">
      <alignment horizontal="right" vertical="center"/>
      <protection locked="0" hidden="0"/>
    </xf>
    <xf numFmtId="0" fontId="253" fillId="15" borderId="15" applyAlignment="1" pivotButton="0" quotePrefix="0" xfId="0">
      <alignment horizontal="center" vertical="center" wrapText="1"/>
    </xf>
    <xf numFmtId="37" fontId="253" fillId="15" borderId="12" applyAlignment="1" pivotButton="0" quotePrefix="0" xfId="0">
      <alignment horizontal="center" vertical="center"/>
    </xf>
    <xf numFmtId="207" fontId="11" fillId="16" borderId="51" applyAlignment="1" applyProtection="1" pivotButton="0" quotePrefix="0" xfId="0">
      <alignment horizontal="center" vertical="center" wrapText="1"/>
      <protection locked="0" hidden="0"/>
    </xf>
    <xf numFmtId="37" fontId="11" fillId="16" borderId="51" applyAlignment="1" applyProtection="1" pivotButton="0" quotePrefix="0" xfId="0">
      <alignment horizontal="right" vertical="center"/>
      <protection locked="0" hidden="0"/>
    </xf>
    <xf numFmtId="37" fontId="253" fillId="15" borderId="51" applyAlignment="1" pivotButton="0" quotePrefix="0" xfId="0">
      <alignment horizontal="center" vertical="center"/>
    </xf>
    <xf numFmtId="0" fontId="253" fillId="15" borderId="51" applyAlignment="1" pivotButton="0" quotePrefix="0" xfId="0">
      <alignment horizontal="center" vertical="center" wrapText="1"/>
    </xf>
    <xf numFmtId="37" fontId="11" fillId="16" borderId="28" applyAlignment="1" applyProtection="1" pivotButton="0" quotePrefix="0" xfId="0">
      <alignment horizontal="right"/>
      <protection locked="0" hidden="0"/>
    </xf>
    <xf numFmtId="176" fontId="74" fillId="15" borderId="0" pivotButton="0" quotePrefix="0" xfId="0"/>
    <xf numFmtId="176" fontId="74" fillId="15" borderId="0" applyAlignment="1" pivotButton="0" quotePrefix="0" xfId="0">
      <alignment horizontal="center"/>
    </xf>
    <xf numFmtId="0" fontId="8" fillId="0" borderId="12" applyAlignment="1" pivotButton="0" quotePrefix="0" xfId="0">
      <alignment horizontal="center" vertical="center" wrapText="1"/>
    </xf>
    <xf numFmtId="17" fontId="11" fillId="16" borderId="12" applyAlignment="1" applyProtection="1" pivotButton="0" quotePrefix="0" xfId="0">
      <alignment horizontal="center" vertical="center" wrapText="1"/>
      <protection locked="0" hidden="0"/>
    </xf>
    <xf numFmtId="37" fontId="11" fillId="16" borderId="12" applyAlignment="1" applyProtection="1" pivotButton="0" quotePrefix="0" xfId="0">
      <alignment horizontal="right" vertical="center" wrapText="1"/>
      <protection locked="0" hidden="0"/>
    </xf>
    <xf numFmtId="0" fontId="11" fillId="16" borderId="12" applyAlignment="1" applyProtection="1" pivotButton="0" quotePrefix="0" xfId="0">
      <alignment horizontal="center" vertical="center" wrapText="1"/>
      <protection locked="0" hidden="0"/>
    </xf>
    <xf numFmtId="0" fontId="4" fillId="16" borderId="54" applyAlignment="1" applyProtection="1" pivotButton="0" quotePrefix="0" xfId="0">
      <alignment horizontal="center" vertical="center" wrapText="1"/>
      <protection locked="0" hidden="0"/>
    </xf>
    <xf numFmtId="168" fontId="0" fillId="0" borderId="0" applyAlignment="1" applyProtection="1" pivotButton="0" quotePrefix="0" xfId="0">
      <alignment vertical="top"/>
      <protection locked="0" hidden="0"/>
    </xf>
    <xf numFmtId="37" fontId="4" fillId="16" borderId="12" applyAlignment="1" applyProtection="1" pivotButton="0" quotePrefix="0" xfId="0">
      <alignment horizontal="center" wrapText="1"/>
      <protection locked="0" hidden="0"/>
    </xf>
    <xf numFmtId="37" fontId="4" fillId="16" borderId="6" applyAlignment="1" applyProtection="1" pivotButton="0" quotePrefix="0" xfId="0">
      <alignment horizontal="center" wrapText="1"/>
      <protection locked="0" hidden="0"/>
    </xf>
    <xf numFmtId="37" fontId="4" fillId="27" borderId="6" applyAlignment="1" pivotButton="0" quotePrefix="0" xfId="0">
      <alignment horizontal="center" wrapText="1"/>
    </xf>
    <xf numFmtId="0" fontId="15" fillId="15" borderId="109" applyAlignment="1" pivotButton="0" quotePrefix="0" xfId="0">
      <alignment horizontal="center" vertical="center" wrapText="1"/>
    </xf>
    <xf numFmtId="0" fontId="0" fillId="0" borderId="203" pivotButton="0" quotePrefix="0" xfId="0"/>
    <xf numFmtId="0" fontId="15" fillId="15" borderId="66" applyAlignment="1" pivotButton="0" quotePrefix="0" xfId="0">
      <alignment horizontal="center" vertical="center" wrapText="1"/>
    </xf>
    <xf numFmtId="0" fontId="0" fillId="0" borderId="108" pivotButton="0" quotePrefix="0" xfId="0"/>
    <xf numFmtId="0" fontId="15" fillId="16" borderId="46" applyAlignment="1" applyProtection="1" pivotButton="0" quotePrefix="0" xfId="0">
      <alignment horizontal="center" vertical="center" wrapText="1"/>
      <protection locked="0" hidden="0"/>
    </xf>
    <xf numFmtId="0" fontId="15" fillId="16" borderId="58" applyAlignment="1" applyProtection="1" pivotButton="0" quotePrefix="0" xfId="0">
      <alignment horizontal="center" vertical="center" wrapText="1"/>
      <protection locked="0" hidden="0"/>
    </xf>
    <xf numFmtId="0" fontId="15" fillId="16" borderId="50" applyAlignment="1" applyProtection="1" pivotButton="0" quotePrefix="0" xfId="0">
      <alignment horizontal="center" vertical="center" wrapText="1"/>
      <protection locked="0" hidden="0"/>
    </xf>
    <xf numFmtId="0" fontId="15" fillId="16" borderId="110" applyAlignment="1" applyProtection="1" pivotButton="0" quotePrefix="0" xfId="0">
      <alignment horizontal="center" vertical="center" wrapText="1"/>
      <protection locked="0" hidden="0"/>
    </xf>
    <xf numFmtId="0" fontId="0" fillId="0" borderId="112" applyProtection="1" pivotButton="0" quotePrefix="0" xfId="0">
      <protection locked="0" hidden="0"/>
    </xf>
    <xf numFmtId="176" fontId="74" fillId="15" borderId="1" pivotButton="0" quotePrefix="0" xfId="0"/>
    <xf numFmtId="176" fontId="74" fillId="15" borderId="1" applyAlignment="1" pivotButton="0" quotePrefix="0" xfId="0">
      <alignment horizontal="center"/>
    </xf>
    <xf numFmtId="168" fontId="0" fillId="0" borderId="0" applyAlignment="1" applyProtection="1" pivotButton="0" quotePrefix="0" xfId="0">
      <alignment horizontal="center" vertical="center"/>
      <protection locked="0" hidden="0"/>
    </xf>
    <xf numFmtId="0" fontId="47" fillId="15" borderId="54" applyAlignment="1" pivotButton="0" quotePrefix="1" xfId="0">
      <alignment horizontal="center" vertical="center" wrapText="1"/>
    </xf>
    <xf numFmtId="0" fontId="47" fillId="15" borderId="12" applyAlignment="1" pivotButton="0" quotePrefix="0" xfId="0">
      <alignment horizontal="center" vertical="center" wrapText="1"/>
    </xf>
    <xf numFmtId="0" fontId="47" fillId="15" borderId="12" applyAlignment="1" pivotButton="0" quotePrefix="0" xfId="0">
      <alignment horizontal="center" wrapText="1"/>
    </xf>
    <xf numFmtId="0" fontId="11" fillId="16" borderId="54" applyAlignment="1" applyProtection="1" pivotButton="0" quotePrefix="1" xfId="0">
      <alignment horizontal="left" vertical="center" wrapText="1"/>
      <protection locked="0" hidden="0"/>
    </xf>
    <xf numFmtId="15" fontId="11" fillId="16" borderId="12" applyAlignment="1" applyProtection="1" pivotButton="0" quotePrefix="0" xfId="0">
      <alignment horizontal="center" vertical="center" wrapText="1"/>
      <protection locked="0" hidden="0"/>
    </xf>
    <xf numFmtId="9" fontId="11" fillId="16" borderId="12" applyAlignment="1" applyProtection="1" pivotButton="0" quotePrefix="0" xfId="0">
      <alignment horizontal="center" wrapText="1"/>
      <protection locked="0" hidden="0"/>
    </xf>
    <xf numFmtId="0" fontId="11" fillId="16" borderId="12" applyAlignment="1" applyProtection="1" pivotButton="0" quotePrefix="0" xfId="0">
      <alignment horizontal="center" wrapText="1"/>
      <protection locked="0" hidden="0"/>
    </xf>
    <xf numFmtId="0" fontId="0" fillId="0" borderId="199" pivotButton="0" quotePrefix="0" xfId="0"/>
    <xf numFmtId="0" fontId="10" fillId="0" borderId="12" applyAlignment="1" pivotButton="0" quotePrefix="0" xfId="0">
      <alignment horizontal="center" vertical="center"/>
    </xf>
    <xf numFmtId="0" fontId="4" fillId="0" borderId="12" applyAlignment="1" applyProtection="1" pivotButton="0" quotePrefix="0" xfId="0">
      <alignment wrapText="1"/>
      <protection locked="0" hidden="0"/>
    </xf>
    <xf numFmtId="15" fontId="15" fillId="0" borderId="12" applyAlignment="1" applyProtection="1" pivotButton="0" quotePrefix="0" xfId="0">
      <alignment horizontal="center"/>
      <protection locked="0" hidden="0"/>
    </xf>
    <xf numFmtId="37" fontId="15" fillId="0" borderId="12" applyAlignment="1" applyProtection="1" pivotButton="0" quotePrefix="0" xfId="0">
      <alignment horizontal="right"/>
      <protection locked="0" hidden="0"/>
    </xf>
    <xf numFmtId="168" fontId="15" fillId="0" borderId="12" applyAlignment="1" applyProtection="1" pivotButton="0" quotePrefix="0" xfId="0">
      <alignment horizontal="center"/>
      <protection locked="0" hidden="0"/>
    </xf>
    <xf numFmtId="37" fontId="15" fillId="0" borderId="12" applyAlignment="1" applyProtection="1" pivotButton="0" quotePrefix="0" xfId="0">
      <alignment horizontal="center"/>
      <protection locked="0" hidden="0"/>
    </xf>
    <xf numFmtId="0" fontId="15" fillId="0" borderId="12" applyAlignment="1" applyProtection="1" pivotButton="0" quotePrefix="0" xfId="0">
      <alignment horizontal="center"/>
      <protection locked="0" hidden="0"/>
    </xf>
    <xf numFmtId="37" fontId="15" fillId="0" borderId="12" applyAlignment="1" applyProtection="1" pivotButton="0" quotePrefix="0" xfId="0">
      <alignment wrapText="1"/>
      <protection locked="0" hidden="0"/>
    </xf>
    <xf numFmtId="168" fontId="47" fillId="0" borderId="0" pivotButton="0" quotePrefix="0" xfId="0"/>
    <xf numFmtId="0" fontId="21" fillId="15" borderId="102" applyAlignment="1" pivotButton="0" quotePrefix="0" xfId="0">
      <alignment horizontal="center" vertical="center" wrapText="1"/>
    </xf>
    <xf numFmtId="0" fontId="15" fillId="15" borderId="38" applyAlignment="1" pivotButton="0" quotePrefix="0" xfId="0">
      <alignment horizontal="center" vertical="top"/>
    </xf>
    <xf numFmtId="176" fontId="44" fillId="27" borderId="9" applyAlignment="1" pivotButton="0" quotePrefix="0" xfId="0">
      <alignment horizontal="center" vertical="center"/>
    </xf>
    <xf numFmtId="200" fontId="20" fillId="16" borderId="1" applyAlignment="1" applyProtection="1" pivotButton="0" quotePrefix="0" xfId="0">
      <alignment horizontal="center" vertical="center"/>
      <protection locked="0" hidden="0"/>
    </xf>
    <xf numFmtId="0" fontId="20" fillId="15" borderId="6" applyAlignment="1" pivotButton="0" quotePrefix="0" xfId="0">
      <alignment horizontal="center"/>
    </xf>
    <xf numFmtId="0" fontId="20" fillId="15" borderId="15" applyAlignment="1" pivotButton="0" quotePrefix="0" xfId="0">
      <alignment horizontal="center"/>
    </xf>
    <xf numFmtId="0" fontId="20" fillId="15" borderId="10" applyAlignment="1" pivotButton="0" quotePrefix="0" xfId="0">
      <alignment horizontal="center"/>
    </xf>
    <xf numFmtId="0" fontId="11" fillId="23" borderId="15" applyAlignment="1" pivotButton="0" quotePrefix="0" xfId="0">
      <alignment horizontal="center"/>
    </xf>
    <xf numFmtId="0" fontId="0" fillId="0" borderId="219" applyProtection="1" pivotButton="0" quotePrefix="0" xfId="0">
      <protection locked="0" hidden="0"/>
    </xf>
    <xf numFmtId="0" fontId="73" fillId="16" borderId="217" applyAlignment="1" applyProtection="1" pivotButton="0" quotePrefix="0" xfId="0">
      <alignment horizontal="left" vertical="center"/>
      <protection locked="0" hidden="0"/>
    </xf>
    <xf numFmtId="200" fontId="73" fillId="16" borderId="11" applyAlignment="1" applyProtection="1" pivotButton="0" quotePrefix="0" xfId="0">
      <alignment horizontal="center" vertical="center"/>
      <protection locked="0" hidden="0"/>
    </xf>
    <xf numFmtId="0" fontId="20" fillId="15" borderId="28" applyAlignment="1" pivotButton="0" quotePrefix="0" xfId="0">
      <alignment horizontal="center"/>
    </xf>
    <xf numFmtId="0" fontId="6" fillId="15" borderId="54" applyAlignment="1" pivotButton="0" quotePrefix="0" xfId="0">
      <alignment horizontal="center" vertical="center"/>
    </xf>
    <xf numFmtId="0" fontId="6" fillId="15" borderId="12" applyAlignment="1" pivotButton="0" quotePrefix="0" xfId="0">
      <alignment horizontal="center" vertical="center"/>
    </xf>
    <xf numFmtId="0" fontId="73" fillId="16" borderId="12" applyAlignment="1" applyProtection="1" pivotButton="0" quotePrefix="0" xfId="0">
      <alignment horizontal="left" vertical="center"/>
      <protection locked="0" hidden="0"/>
    </xf>
    <xf numFmtId="200" fontId="73" fillId="16" borderId="12" applyAlignment="1" applyProtection="1" pivotButton="0" quotePrefix="0" xfId="0">
      <alignment horizontal="center" vertical="center"/>
      <protection locked="0" hidden="0"/>
    </xf>
    <xf numFmtId="0" fontId="104" fillId="3" borderId="20" applyAlignment="1" pivotButton="0" quotePrefix="0" xfId="0">
      <alignment horizontal="left"/>
    </xf>
    <xf numFmtId="0" fontId="9" fillId="3" borderId="102" applyAlignment="1" pivotButton="0" quotePrefix="0" xfId="0">
      <alignment horizontal="center" vertical="top"/>
    </xf>
    <xf numFmtId="0" fontId="10" fillId="3" borderId="22" applyAlignment="1" pivotButton="0" quotePrefix="0" xfId="0">
      <alignment horizontal="left" vertical="top" wrapText="1"/>
    </xf>
    <xf numFmtId="0" fontId="9" fillId="3" borderId="38" applyAlignment="1" pivotButton="0" quotePrefix="0" xfId="0">
      <alignment horizontal="center" vertical="top"/>
    </xf>
    <xf numFmtId="0" fontId="11" fillId="28" borderId="11" pivotButton="0" quotePrefix="1" xfId="0"/>
    <xf numFmtId="180" fontId="167" fillId="5" borderId="0" applyAlignment="1" pivotButton="0" quotePrefix="0" xfId="0">
      <alignment horizontal="right"/>
    </xf>
    <xf numFmtId="167" fontId="8" fillId="3" borderId="0" applyAlignment="1" pivotButton="0" quotePrefix="0" xfId="0">
      <alignment horizontal="right"/>
    </xf>
    <xf numFmtId="167" fontId="8" fillId="3" borderId="0" pivotButton="0" quotePrefix="0" xfId="0"/>
    <xf numFmtId="0" fontId="4" fillId="24" borderId="59" applyAlignment="1" pivotButton="0" quotePrefix="0" xfId="0">
      <alignment horizontal="left" vertical="center" wrapText="1"/>
    </xf>
    <xf numFmtId="0" fontId="119" fillId="24" borderId="74" applyAlignment="1" applyProtection="1" pivotButton="0" quotePrefix="0" xfId="0">
      <alignment horizontal="center" vertical="center" wrapText="1"/>
      <protection locked="0" hidden="0"/>
    </xf>
    <xf numFmtId="0" fontId="6" fillId="24" borderId="102" applyAlignment="1" pivotButton="0" quotePrefix="0" xfId="0">
      <alignment horizontal="left"/>
    </xf>
    <xf numFmtId="0" fontId="6" fillId="24" borderId="102" applyAlignment="1" pivotButton="0" quotePrefix="0" xfId="0">
      <alignment horizontal="left" vertical="top"/>
    </xf>
    <xf numFmtId="0" fontId="118" fillId="24" borderId="37" applyAlignment="1" pivotButton="0" quotePrefix="0" xfId="0">
      <alignment horizontal="center"/>
    </xf>
    <xf numFmtId="0" fontId="6" fillId="15" borderId="102" applyAlignment="1" applyProtection="1" pivotButton="0" quotePrefix="0" xfId="4">
      <alignment horizontal="center"/>
      <protection locked="1" hidden="1"/>
    </xf>
    <xf numFmtId="0" fontId="6" fillId="15" borderId="111" applyAlignment="1" applyProtection="1" pivotButton="0" quotePrefix="0" xfId="4">
      <alignment horizontal="left" vertical="center" wrapText="1" indent="2"/>
      <protection locked="1" hidden="1"/>
    </xf>
    <xf numFmtId="0" fontId="20" fillId="0" borderId="31" applyAlignment="1" applyProtection="1" pivotButton="0" quotePrefix="0" xfId="4">
      <alignment horizontal="left" vertical="center" wrapText="1"/>
      <protection locked="1" hidden="1"/>
    </xf>
    <xf numFmtId="0" fontId="10" fillId="15" borderId="22" applyAlignment="1" applyProtection="1" pivotButton="0" quotePrefix="0" xfId="4">
      <alignment horizontal="left" vertical="center" wrapText="1"/>
      <protection locked="1" hidden="1"/>
    </xf>
    <xf numFmtId="0" fontId="0" fillId="0" borderId="26" applyProtection="1" pivotButton="0" quotePrefix="0" xfId="0">
      <protection locked="0" hidden="0"/>
    </xf>
    <xf numFmtId="0" fontId="11" fillId="15" borderId="25" applyAlignment="1" applyProtection="1" pivotButton="0" quotePrefix="0" xfId="4">
      <alignment horizontal="center" vertical="center" wrapText="1"/>
      <protection locked="1" hidden="1"/>
    </xf>
    <xf numFmtId="0" fontId="8" fillId="15" borderId="54" applyAlignment="1" applyProtection="1" pivotButton="0" quotePrefix="0" xfId="4">
      <alignment horizontal="center" vertical="center" wrapText="1"/>
      <protection locked="1" hidden="1"/>
    </xf>
    <xf numFmtId="0" fontId="8" fillId="15" borderId="12" applyAlignment="1" applyProtection="1" pivotButton="0" quotePrefix="0" xfId="4">
      <alignment horizontal="center" vertical="center" wrapText="1"/>
      <protection locked="1" hidden="1"/>
    </xf>
    <xf numFmtId="0" fontId="8" fillId="15" borderId="39" applyAlignment="1" applyProtection="1" pivotButton="0" quotePrefix="0" xfId="4">
      <alignment horizontal="center" vertical="center" wrapText="1"/>
      <protection locked="1" hidden="1"/>
    </xf>
    <xf numFmtId="0" fontId="0" fillId="0" borderId="3" applyProtection="1" pivotButton="0" quotePrefix="0" xfId="0">
      <protection locked="1" hidden="1"/>
    </xf>
    <xf numFmtId="0" fontId="0" fillId="0" borderId="9" applyProtection="1" pivotButton="0" quotePrefix="0" xfId="0">
      <protection locked="1" hidden="1"/>
    </xf>
    <xf numFmtId="0" fontId="12" fillId="16" borderId="39" applyAlignment="1" applyProtection="1" pivotButton="0" quotePrefix="0" xfId="4">
      <alignment horizontal="center" vertical="center" wrapText="1"/>
      <protection locked="0" hidden="0"/>
    </xf>
    <xf numFmtId="0" fontId="12" fillId="16" borderId="12" applyAlignment="1" applyProtection="1" pivotButton="0" quotePrefix="0" xfId="4">
      <alignment horizontal="center" vertical="center" wrapText="1"/>
      <protection locked="0" hidden="0"/>
    </xf>
    <xf numFmtId="0" fontId="10" fillId="15" borderId="12" applyAlignment="1" applyProtection="1" pivotButton="0" quotePrefix="0" xfId="4">
      <alignment horizontal="center" vertical="center" wrapText="1"/>
      <protection locked="1" hidden="1"/>
    </xf>
    <xf numFmtId="0" fontId="10" fillId="15" borderId="39" applyAlignment="1" applyProtection="1" pivotButton="0" quotePrefix="0" xfId="4">
      <alignment horizontal="center" vertical="center" wrapText="1"/>
      <protection locked="1" hidden="1"/>
    </xf>
    <xf numFmtId="0" fontId="0" fillId="0" borderId="54" applyProtection="1" pivotButton="0" quotePrefix="0" xfId="0">
      <protection locked="1" hidden="1"/>
    </xf>
    <xf numFmtId="14" fontId="4" fillId="16" borderId="12" applyAlignment="1" applyProtection="1" pivotButton="0" quotePrefix="0" xfId="4">
      <alignment horizontal="center" vertical="center" wrapText="1"/>
      <protection locked="0" hidden="0"/>
    </xf>
    <xf numFmtId="208" fontId="4" fillId="16" borderId="12" applyAlignment="1" applyProtection="1" pivotButton="0" quotePrefix="0" xfId="4">
      <alignment horizontal="center" vertical="center" wrapText="1"/>
      <protection locked="0" hidden="0"/>
    </xf>
    <xf numFmtId="0" fontId="4" fillId="16" borderId="12" applyAlignment="1" applyProtection="1" pivotButton="0" quotePrefix="0" xfId="4">
      <alignment horizontal="center" vertical="center" wrapText="1"/>
      <protection locked="0" hidden="0"/>
    </xf>
    <xf numFmtId="167" fontId="4" fillId="16" borderId="12" applyAlignment="1" applyProtection="1" pivotButton="0" quotePrefix="0" xfId="4">
      <alignment horizontal="center" vertical="center" wrapText="1"/>
      <protection locked="0" hidden="0"/>
    </xf>
    <xf numFmtId="0" fontId="0" fillId="0" borderId="73" applyProtection="1" pivotButton="0" quotePrefix="0" xfId="0">
      <protection locked="1" hidden="1"/>
    </xf>
    <xf numFmtId="14" fontId="4" fillId="16" borderId="51" applyAlignment="1" applyProtection="1" pivotButton="0" quotePrefix="0" xfId="4">
      <alignment horizontal="center" vertical="center" wrapText="1"/>
      <protection locked="0" hidden="0"/>
    </xf>
    <xf numFmtId="208" fontId="4" fillId="16" borderId="51" applyAlignment="1" applyProtection="1" pivotButton="0" quotePrefix="0" xfId="4">
      <alignment horizontal="center" vertical="center" wrapText="1"/>
      <protection locked="0" hidden="0"/>
    </xf>
    <xf numFmtId="0" fontId="4" fillId="16" borderId="51" applyAlignment="1" applyProtection="1" pivotButton="0" quotePrefix="0" xfId="4">
      <alignment horizontal="center" vertical="center" wrapText="1"/>
      <protection locked="0" hidden="0"/>
    </xf>
    <xf numFmtId="167" fontId="4" fillId="16" borderId="51" applyAlignment="1" applyProtection="1" pivotButton="0" quotePrefix="0" xfId="4">
      <alignment horizontal="center" vertical="center" wrapText="1"/>
      <protection locked="0" hidden="0"/>
    </xf>
    <xf numFmtId="0" fontId="6" fillId="15" borderId="39" applyAlignment="1" applyProtection="1" pivotButton="0" quotePrefix="0" xfId="4">
      <alignment horizontal="center" vertical="center" wrapText="1"/>
      <protection locked="1" hidden="1"/>
    </xf>
    <xf numFmtId="14" fontId="12" fillId="16" borderId="12" applyAlignment="1" applyProtection="1" pivotButton="0" quotePrefix="0" xfId="4">
      <alignment horizontal="center" vertical="center" wrapText="1"/>
      <protection locked="0" hidden="0"/>
    </xf>
    <xf numFmtId="0" fontId="9" fillId="16" borderId="12" applyAlignment="1" applyProtection="1" pivotButton="0" quotePrefix="0" xfId="4">
      <alignment horizontal="center" vertical="center" wrapText="1"/>
      <protection locked="0" hidden="0"/>
    </xf>
    <xf numFmtId="167" fontId="4" fillId="16" borderId="39" applyAlignment="1" applyProtection="1" pivotButton="0" quotePrefix="0" xfId="4">
      <alignment horizontal="center" vertical="center" wrapText="1"/>
      <protection locked="0" hidden="0"/>
    </xf>
    <xf numFmtId="0" fontId="8" fillId="0" borderId="12" applyAlignment="1" pivotButton="0" quotePrefix="0" xfId="4">
      <alignment horizontal="center" vertical="center" wrapText="1"/>
    </xf>
    <xf numFmtId="14" fontId="10" fillId="16" borderId="12" applyAlignment="1" applyProtection="1" pivotButton="0" quotePrefix="0" xfId="4">
      <alignment horizontal="center" vertical="center" wrapText="1"/>
      <protection locked="0" hidden="0"/>
    </xf>
    <xf numFmtId="0" fontId="15" fillId="15" borderId="12" applyAlignment="1" applyProtection="1" pivotButton="0" quotePrefix="0" xfId="4">
      <alignment horizontal="center" wrapText="1"/>
      <protection locked="1" hidden="1"/>
    </xf>
    <xf numFmtId="0" fontId="15" fillId="16" borderId="12" applyAlignment="1" applyProtection="1" pivotButton="0" quotePrefix="0" xfId="4">
      <alignment horizontal="center" vertical="center" wrapText="1"/>
      <protection locked="0" hidden="0"/>
    </xf>
    <xf numFmtId="0" fontId="15" fillId="16" borderId="10" applyAlignment="1" applyProtection="1" pivotButton="0" quotePrefix="0" xfId="4">
      <alignment horizontal="center" vertical="center" wrapText="1"/>
      <protection locked="0" hidden="0"/>
    </xf>
    <xf numFmtId="0" fontId="15" fillId="16" borderId="51" applyAlignment="1" applyProtection="1" pivotButton="0" quotePrefix="0" xfId="4">
      <alignment horizontal="center" vertical="center" wrapText="1"/>
      <protection locked="0" hidden="0"/>
    </xf>
    <xf numFmtId="170" fontId="6" fillId="16" borderId="25" applyAlignment="1" applyProtection="1" pivotButton="0" quotePrefix="0" xfId="4">
      <alignment horizontal="center" vertical="center"/>
      <protection locked="0" hidden="0"/>
    </xf>
    <xf numFmtId="0" fontId="44" fillId="16" borderId="11" applyProtection="1" pivotButton="0" quotePrefix="0" xfId="4">
      <protection locked="0" hidden="0"/>
    </xf>
    <xf numFmtId="170" fontId="15" fillId="16" borderId="1" applyAlignment="1" applyProtection="1" pivotButton="0" quotePrefix="0" xfId="4">
      <alignment horizontal="center" wrapText="1"/>
      <protection locked="0" hidden="0"/>
    </xf>
    <xf numFmtId="49" fontId="9" fillId="16" borderId="10" applyAlignment="1" applyProtection="1" pivotButton="0" quotePrefix="0" xfId="4">
      <alignment wrapText="1"/>
      <protection locked="0" hidden="0"/>
    </xf>
    <xf numFmtId="0" fontId="15" fillId="15" borderId="206" applyAlignment="1" pivotButton="0" quotePrefix="0" xfId="0">
      <alignment horizontal="center" vertical="center"/>
    </xf>
    <xf numFmtId="0" fontId="0" fillId="0" borderId="207" pivotButton="0" quotePrefix="0" xfId="0"/>
    <xf numFmtId="176" fontId="44" fillId="20" borderId="9" applyAlignment="1" applyProtection="1" pivotButton="0" quotePrefix="1" xfId="0">
      <alignment horizontal="center" vertical="center"/>
      <protection locked="0" hidden="0"/>
    </xf>
    <xf numFmtId="170" fontId="0" fillId="24" borderId="0" applyAlignment="1" applyProtection="1" pivotButton="0" quotePrefix="0" xfId="0">
      <alignment horizontal="left" vertical="center"/>
      <protection locked="0" hidden="0"/>
    </xf>
    <xf numFmtId="37" fontId="20" fillId="26" borderId="10" applyAlignment="1" pivotButton="0" quotePrefix="0" xfId="0">
      <alignment horizontal="right"/>
    </xf>
    <xf numFmtId="37" fontId="20" fillId="26" borderId="51" applyAlignment="1" pivotButton="0" quotePrefix="0" xfId="0">
      <alignment horizontal="right"/>
    </xf>
    <xf numFmtId="0" fontId="11" fillId="15" borderId="15" applyAlignment="1" pivotButton="0" quotePrefix="0" xfId="0">
      <alignment horizontal="left" vertical="center" wrapText="1" indent="1"/>
    </xf>
    <xf numFmtId="0" fontId="14" fillId="15" borderId="54" applyAlignment="1" pivotButton="0" quotePrefix="0" xfId="0">
      <alignment horizontal="center" vertical="center"/>
    </xf>
    <xf numFmtId="0" fontId="14" fillId="15" borderId="12" applyAlignment="1" pivotButton="0" quotePrefix="0" xfId="0">
      <alignment horizontal="center" vertical="center"/>
    </xf>
    <xf numFmtId="0" fontId="14" fillId="15" borderId="39" applyAlignment="1" pivotButton="0" quotePrefix="0" xfId="0">
      <alignment horizontal="center" vertical="center"/>
    </xf>
    <xf numFmtId="0" fontId="47" fillId="15" borderId="6" applyAlignment="1" pivotButton="0" quotePrefix="0" xfId="0">
      <alignment horizontal="left" vertical="top" wrapText="1" indent="1"/>
    </xf>
    <xf numFmtId="0" fontId="11" fillId="15" borderId="12" applyAlignment="1" pivotButton="0" quotePrefix="1" xfId="0">
      <alignment horizontal="center" wrapText="1"/>
    </xf>
    <xf numFmtId="0" fontId="14" fillId="15" borderId="12" applyAlignment="1" pivotButton="0" quotePrefix="1" xfId="0">
      <alignment horizontal="center" vertical="center" wrapText="1"/>
    </xf>
    <xf numFmtId="0" fontId="11" fillId="15" borderId="12" applyAlignment="1" pivotButton="0" quotePrefix="1" xfId="0">
      <alignment horizontal="center" vertical="center"/>
    </xf>
    <xf numFmtId="0" fontId="11" fillId="15" borderId="39" applyAlignment="1" pivotButton="0" quotePrefix="1" xfId="0">
      <alignment horizontal="center" vertical="center"/>
    </xf>
    <xf numFmtId="37" fontId="11" fillId="16" borderId="12" applyAlignment="1" applyProtection="1" pivotButton="0" quotePrefix="1" xfId="0">
      <alignment horizontal="right" indent="1"/>
      <protection locked="0" hidden="0"/>
    </xf>
    <xf numFmtId="37" fontId="11" fillId="27" borderId="12" applyAlignment="1" pivotButton="0" quotePrefix="1" xfId="0">
      <alignment horizontal="right" indent="1"/>
    </xf>
    <xf numFmtId="37" fontId="11" fillId="16" borderId="15" applyAlignment="1" applyProtection="1" pivotButton="0" quotePrefix="1" xfId="0">
      <alignment horizontal="right" indent="1"/>
      <protection locked="0" hidden="0"/>
    </xf>
    <xf numFmtId="37" fontId="123" fillId="15" borderId="245" applyAlignment="1" pivotButton="0" quotePrefix="1" xfId="0">
      <alignment horizontal="right" indent="1"/>
    </xf>
    <xf numFmtId="37" fontId="123" fillId="15" borderId="245" applyAlignment="1" pivotButton="0" quotePrefix="1" xfId="0">
      <alignment horizontal="right"/>
    </xf>
    <xf numFmtId="0" fontId="0" fillId="19" borderId="83" applyAlignment="1" pivotButton="0" quotePrefix="0" xfId="0">
      <alignment horizontal="center"/>
    </xf>
    <xf numFmtId="0" fontId="0" fillId="19" borderId="172" applyAlignment="1" pivotButton="0" quotePrefix="0" xfId="0">
      <alignment horizontal="center"/>
    </xf>
    <xf numFmtId="37" fontId="11" fillId="27" borderId="28" applyAlignment="1" pivotButton="0" quotePrefix="1" xfId="0">
      <alignment horizontal="right" indent="1"/>
    </xf>
    <xf numFmtId="0" fontId="47" fillId="15" borderId="12" applyAlignment="1" pivotButton="0" quotePrefix="1" xfId="0">
      <alignment horizontal="center" vertical="center" wrapText="1"/>
    </xf>
    <xf numFmtId="0" fontId="11" fillId="15" borderId="12" applyAlignment="1" pivotButton="0" quotePrefix="1" xfId="0">
      <alignment horizontal="center" vertical="center" wrapText="1"/>
    </xf>
    <xf numFmtId="0" fontId="11" fillId="15" borderId="25" applyAlignment="1" pivotButton="0" quotePrefix="1" xfId="0">
      <alignment horizontal="center" vertical="center" wrapText="1"/>
    </xf>
    <xf numFmtId="37" fontId="11" fillId="16" borderId="12" applyAlignment="1" applyProtection="1" pivotButton="0" quotePrefix="1" xfId="0">
      <alignment horizontal="center"/>
      <protection locked="0" hidden="0"/>
    </xf>
    <xf numFmtId="39" fontId="11" fillId="27" borderId="12" applyAlignment="1" pivotButton="0" quotePrefix="1" xfId="0">
      <alignment horizontal="center"/>
    </xf>
    <xf numFmtId="39" fontId="11" fillId="15" borderId="245" applyAlignment="1" pivotButton="0" quotePrefix="1" xfId="0">
      <alignment horizontal="center"/>
    </xf>
    <xf numFmtId="39" fontId="11" fillId="15" borderId="28" applyAlignment="1" pivotButton="0" quotePrefix="1" xfId="0">
      <alignment horizontal="center"/>
    </xf>
    <xf numFmtId="0" fontId="11" fillId="15" borderId="39" applyAlignment="1" pivotButton="0" quotePrefix="1" xfId="0">
      <alignment horizontal="center" vertical="center" wrapText="1"/>
    </xf>
    <xf numFmtId="37" fontId="11" fillId="16" borderId="51" applyAlignment="1" applyProtection="1" pivotButton="0" quotePrefix="1" xfId="0">
      <alignment horizontal="right" indent="1"/>
      <protection locked="0" hidden="0"/>
    </xf>
    <xf numFmtId="0" fontId="74" fillId="15" borderId="54" applyAlignment="1" pivotButton="0" quotePrefix="0" xfId="0">
      <alignment horizontal="center" vertical="center"/>
    </xf>
    <xf numFmtId="37" fontId="11" fillId="16" borderId="28" applyAlignment="1" applyProtection="1" pivotButton="0" quotePrefix="1" xfId="0">
      <alignment horizontal="right" indent="1"/>
      <protection locked="0" hidden="0"/>
    </xf>
    <xf numFmtId="0" fontId="14" fillId="15" borderId="12" applyAlignment="1" pivotButton="0" quotePrefix="0" xfId="0">
      <alignment horizontal="center" vertical="center" wrapText="1"/>
    </xf>
    <xf numFmtId="0" fontId="0" fillId="19" borderId="12" applyAlignment="1" pivotButton="0" quotePrefix="0" xfId="0">
      <alignment horizontal="center"/>
    </xf>
    <xf numFmtId="0" fontId="0" fillId="0" borderId="84" applyProtection="1" pivotButton="0" quotePrefix="0" xfId="0">
      <protection locked="0" hidden="0"/>
    </xf>
    <xf numFmtId="37" fontId="20" fillId="16" borderId="10" applyAlignment="1" applyProtection="1" pivotButton="0" quotePrefix="0" xfId="0">
      <alignment horizontal="right" wrapText="1" indent="1"/>
      <protection locked="0" hidden="0"/>
    </xf>
    <xf numFmtId="37" fontId="20" fillId="27" borderId="10" applyAlignment="1" pivotButton="0" quotePrefix="0" xfId="0">
      <alignment horizontal="right" wrapText="1" indent="1"/>
    </xf>
    <xf numFmtId="39" fontId="20" fillId="27" borderId="10" applyAlignment="1" pivotButton="0" quotePrefix="0" xfId="0">
      <alignment horizontal="right" wrapText="1" indent="1"/>
    </xf>
    <xf numFmtId="37" fontId="20" fillId="27" borderId="10" applyAlignment="1" pivotButton="0" quotePrefix="0" xfId="0">
      <alignment horizontal="right" wrapText="1"/>
    </xf>
    <xf numFmtId="37" fontId="20" fillId="27" borderId="175" applyAlignment="1" pivotButton="0" quotePrefix="0" xfId="0">
      <alignment horizontal="right" wrapText="1" indent="1"/>
    </xf>
    <xf numFmtId="39" fontId="11" fillId="15" borderId="175" applyAlignment="1" pivotButton="0" quotePrefix="1" xfId="0">
      <alignment horizontal="center"/>
    </xf>
    <xf numFmtId="37" fontId="20" fillId="27" borderId="175" applyAlignment="1" pivotButton="0" quotePrefix="0" xfId="0">
      <alignment horizontal="center" wrapText="1"/>
    </xf>
    <xf numFmtId="176" fontId="20" fillId="28" borderId="9" applyAlignment="1" pivotButton="0" quotePrefix="1" xfId="0">
      <alignment horizontal="left" vertical="center" indent="2"/>
    </xf>
    <xf numFmtId="0" fontId="20" fillId="15" borderId="54" applyAlignment="1" pivotButton="0" quotePrefix="0" xfId="0">
      <alignment horizontal="left" vertical="center" wrapText="1"/>
    </xf>
    <xf numFmtId="0" fontId="6" fillId="15" borderId="15" applyAlignment="1" pivotButton="0" quotePrefix="0" xfId="0">
      <alignment horizontal="left"/>
    </xf>
    <xf numFmtId="0" fontId="20" fillId="16" borderId="10" applyAlignment="1" applyProtection="1" pivotButton="0" quotePrefix="0" xfId="0">
      <alignment horizontal="left" vertical="center" indent="1"/>
      <protection locked="0" hidden="0"/>
    </xf>
    <xf numFmtId="0" fontId="4" fillId="15" borderId="2" applyAlignment="1" pivotButton="0" quotePrefix="0" xfId="0">
      <alignment horizontal="left" vertical="center" wrapText="1"/>
    </xf>
    <xf numFmtId="39" fontId="6" fillId="15" borderId="12" applyAlignment="1" applyProtection="1" pivotButton="0" quotePrefix="0" xfId="0">
      <alignment horizontal="left" wrapText="1"/>
      <protection locked="0" hidden="0"/>
    </xf>
    <xf numFmtId="37" fontId="15" fillId="20" borderId="10" applyAlignment="1" applyProtection="1" pivotButton="0" quotePrefix="0" xfId="0">
      <alignment horizontal="right"/>
      <protection locked="0" hidden="0"/>
    </xf>
    <xf numFmtId="209" fontId="11" fillId="26" borderId="11" applyAlignment="1" pivotButton="0" quotePrefix="0" xfId="0">
      <alignment horizontal="center"/>
    </xf>
    <xf numFmtId="210" fontId="110" fillId="15" borderId="3" applyAlignment="1" pivotButton="0" quotePrefix="0" xfId="0">
      <alignment horizontal="center"/>
    </xf>
    <xf numFmtId="197" fontId="15" fillId="15" borderId="2" applyProtection="1" pivotButton="0" quotePrefix="0" xfId="0">
      <protection locked="0" hidden="0"/>
    </xf>
    <xf numFmtId="0" fontId="110" fillId="15" borderId="15" applyAlignment="1" pivotButton="0" quotePrefix="0" xfId="0">
      <alignment horizontal="center"/>
    </xf>
    <xf numFmtId="39" fontId="6" fillId="24" borderId="24" applyAlignment="1" pivotButton="0" quotePrefix="0" xfId="0">
      <alignment horizontal="left" wrapText="1"/>
    </xf>
    <xf numFmtId="0" fontId="11" fillId="15" borderId="27" applyAlignment="1" pivotButton="0" quotePrefix="0" xfId="0">
      <alignment horizontal="left" vertical="center" wrapText="1"/>
    </xf>
    <xf numFmtId="170" fontId="11" fillId="16" borderId="1" applyAlignment="1" applyProtection="1" pivotButton="0" quotePrefix="0" xfId="0">
      <alignment horizontal="center"/>
      <protection locked="0" hidden="0"/>
    </xf>
    <xf numFmtId="0" fontId="44" fillId="15" borderId="199" applyAlignment="1" pivotButton="0" quotePrefix="0" xfId="0">
      <alignment horizontal="left" vertical="center" wrapText="1"/>
    </xf>
    <xf numFmtId="0" fontId="4" fillId="16" borderId="10" applyAlignment="1" applyProtection="1" pivotButton="0" quotePrefix="0" xfId="0">
      <alignment horizontal="left" vertical="center" indent="1"/>
      <protection locked="0" hidden="0"/>
    </xf>
    <xf numFmtId="170" fontId="4" fillId="16" borderId="10" applyAlignment="1" applyProtection="1" pivotButton="0" quotePrefix="0" xfId="0">
      <alignment horizontal="center" vertical="center" wrapText="1"/>
      <protection locked="0" hidden="0"/>
    </xf>
    <xf numFmtId="201" fontId="9" fillId="16" borderId="99" applyAlignment="1" applyProtection="1" pivotButton="0" quotePrefix="0" xfId="0">
      <alignment horizontal="center" vertical="center"/>
      <protection locked="0" hidden="0"/>
    </xf>
    <xf numFmtId="181" fontId="110" fillId="15" borderId="3" applyAlignment="1" pivotButton="0" quotePrefix="0" xfId="0">
      <alignment horizontal="center"/>
    </xf>
    <xf numFmtId="1" fontId="4" fillId="39" borderId="6" applyAlignment="1" pivotButton="0" quotePrefix="0" xfId="0">
      <alignment horizontal="center" vertical="center"/>
    </xf>
    <xf numFmtId="176" fontId="20" fillId="28" borderId="9" applyAlignment="1" pivotButton="0" quotePrefix="1" xfId="0">
      <alignment horizontal="center" vertical="center"/>
    </xf>
    <xf numFmtId="0" fontId="11" fillId="15" borderId="20" applyAlignment="1" pivotButton="0" quotePrefix="0" xfId="0">
      <alignment wrapText="1"/>
    </xf>
    <xf numFmtId="0" fontId="15" fillId="15" borderId="20" applyAlignment="1" pivotButton="0" quotePrefix="0" xfId="0">
      <alignment wrapText="1"/>
    </xf>
    <xf numFmtId="0" fontId="119" fillId="15" borderId="20" applyAlignment="1" applyProtection="1" pivotButton="0" quotePrefix="0" xfId="0">
      <alignment horizontal="center" wrapText="1"/>
      <protection locked="0" hidden="0"/>
    </xf>
    <xf numFmtId="0" fontId="10" fillId="15" borderId="158" applyAlignment="1" pivotButton="0" quotePrefix="0" xfId="0">
      <alignment horizontal="left" vertical="center" wrapText="1"/>
    </xf>
    <xf numFmtId="0" fontId="9" fillId="15" borderId="260" applyAlignment="1" pivotButton="0" quotePrefix="0" xfId="0">
      <alignment horizontal="center" vertical="center"/>
    </xf>
    <xf numFmtId="0" fontId="10" fillId="15" borderId="13" applyAlignment="1" pivotButton="0" quotePrefix="0" xfId="0">
      <alignment horizontal="left" vertical="center" wrapText="1"/>
    </xf>
    <xf numFmtId="0" fontId="20" fillId="15" borderId="13" applyAlignment="1" pivotButton="0" quotePrefix="0" xfId="0">
      <alignment horizontal="center" wrapText="1"/>
    </xf>
    <xf numFmtId="0" fontId="15" fillId="15" borderId="13" applyAlignment="1" pivotButton="0" quotePrefix="0" xfId="0">
      <alignment horizontal="left" wrapText="1"/>
    </xf>
    <xf numFmtId="0" fontId="0" fillId="0" borderId="197" pivotButton="0" quotePrefix="0" xfId="0"/>
    <xf numFmtId="176" fontId="20" fillId="27" borderId="26" applyAlignment="1" pivotButton="0" quotePrefix="0" xfId="0">
      <alignment horizontal="center" vertical="center"/>
    </xf>
    <xf numFmtId="37" fontId="4" fillId="16" borderId="10" applyAlignment="1" applyProtection="1" pivotButton="0" quotePrefix="0" xfId="0">
      <alignment horizontal="right" vertical="center" wrapText="1" indent="1"/>
      <protection locked="0" hidden="0"/>
    </xf>
    <xf numFmtId="0" fontId="4" fillId="19" borderId="15" applyAlignment="1" pivotButton="0" quotePrefix="0" xfId="0">
      <alignment horizontal="center" vertical="center"/>
    </xf>
    <xf numFmtId="0" fontId="4" fillId="19" borderId="6" applyAlignment="1" pivotButton="0" quotePrefix="0" xfId="0">
      <alignment horizontal="center" vertical="center"/>
    </xf>
    <xf numFmtId="0" fontId="4" fillId="15" borderId="28" applyAlignment="1" pivotButton="0" quotePrefix="0" xfId="0">
      <alignment horizontal="center" vertical="center"/>
    </xf>
    <xf numFmtId="3" fontId="15" fillId="27" borderId="10" applyAlignment="1" pivotButton="0" quotePrefix="0" xfId="0">
      <alignment horizontal="center" vertical="center" wrapText="1"/>
    </xf>
    <xf numFmtId="174" fontId="6" fillId="15" borderId="0" pivotButton="0" quotePrefix="0" xfId="0"/>
    <xf numFmtId="174" fontId="263" fillId="15" borderId="0" applyAlignment="1" pivotButton="0" quotePrefix="0" xfId="0">
      <alignment horizontal="right"/>
    </xf>
    <xf numFmtId="174" fontId="263" fillId="15" borderId="0" applyAlignment="1" pivotButton="0" quotePrefix="0" xfId="0">
      <alignment horizontal="left"/>
    </xf>
    <xf numFmtId="0" fontId="4" fillId="15" borderId="12" applyAlignment="1" pivotButton="0" quotePrefix="1" xfId="0">
      <alignment horizontal="center" vertical="center"/>
    </xf>
    <xf numFmtId="0" fontId="110" fillId="23" borderId="39" applyAlignment="1" pivotButton="0" quotePrefix="0" xfId="0">
      <alignment horizontal="center" vertical="center"/>
    </xf>
    <xf numFmtId="172" fontId="4" fillId="27" borderId="1" applyAlignment="1" pivotButton="0" quotePrefix="0" xfId="0">
      <alignment horizontal="center" vertical="center"/>
    </xf>
    <xf numFmtId="174" fontId="263" fillId="15" borderId="0" applyAlignment="1" pivotButton="0" quotePrefix="0" xfId="0">
      <alignment horizontal="center" vertical="center"/>
    </xf>
    <xf numFmtId="37" fontId="4" fillId="27" borderId="10" applyAlignment="1" pivotButton="0" quotePrefix="0" xfId="0">
      <alignment horizontal="right" vertical="center" wrapText="1" indent="1"/>
    </xf>
    <xf numFmtId="37" fontId="110" fillId="15" borderId="6" applyAlignment="1" pivotButton="0" quotePrefix="0" xfId="0">
      <alignment horizontal="center" vertical="center"/>
    </xf>
    <xf numFmtId="37" fontId="9" fillId="27" borderId="54" applyAlignment="1" pivotButton="0" quotePrefix="0" xfId="0">
      <alignment horizontal="right"/>
    </xf>
    <xf numFmtId="180" fontId="8" fillId="15" borderId="0" applyAlignment="1" pivotButton="0" quotePrefix="0" xfId="0">
      <alignment horizontal="center"/>
    </xf>
    <xf numFmtId="0" fontId="9" fillId="15" borderId="39" applyAlignment="1" pivotButton="0" quotePrefix="1" xfId="0">
      <alignment horizontal="center" vertical="center"/>
    </xf>
    <xf numFmtId="0" fontId="9" fillId="15" borderId="57" applyAlignment="1" pivotButton="0" quotePrefix="1" xfId="0">
      <alignment horizontal="center" vertical="center"/>
    </xf>
    <xf numFmtId="37" fontId="4" fillId="27" borderId="57" applyAlignment="1" pivotButton="0" quotePrefix="0" xfId="0">
      <alignment horizontal="right"/>
    </xf>
    <xf numFmtId="0" fontId="0" fillId="0" borderId="205" pivotButton="0" quotePrefix="0" xfId="0"/>
    <xf numFmtId="170" fontId="15" fillId="24" borderId="1" applyAlignment="1" applyProtection="1" pivotButton="0" quotePrefix="0" xfId="0">
      <alignment horizontal="center"/>
      <protection locked="0" hidden="0"/>
    </xf>
    <xf numFmtId="0" fontId="6" fillId="15" borderId="102" applyAlignment="1" pivotButton="0" quotePrefix="0" xfId="0">
      <alignment horizontal="center"/>
    </xf>
    <xf numFmtId="0" fontId="6" fillId="15" borderId="102" applyAlignment="1" pivotButton="0" quotePrefix="0" xfId="0">
      <alignment horizontal="center" vertical="top"/>
    </xf>
    <xf numFmtId="0" fontId="6" fillId="15" borderId="38" applyAlignment="1" pivotButton="0" quotePrefix="0" xfId="0">
      <alignment horizontal="center"/>
    </xf>
    <xf numFmtId="0" fontId="20" fillId="28" borderId="11" applyAlignment="1" applyProtection="1" pivotButton="0" quotePrefix="1" xfId="0">
      <alignment vertical="center"/>
      <protection locked="0" hidden="0"/>
    </xf>
    <xf numFmtId="176" fontId="11" fillId="28" borderId="9" applyAlignment="1" applyProtection="1" pivotButton="0" quotePrefix="1" xfId="0">
      <alignment horizontal="center" vertical="center"/>
      <protection locked="0" hidden="0"/>
    </xf>
    <xf numFmtId="178" fontId="15" fillId="26" borderId="39" applyAlignment="1" pivotButton="0" quotePrefix="0" xfId="0">
      <alignment horizontal="right"/>
    </xf>
    <xf numFmtId="181" fontId="15" fillId="26" borderId="43" applyAlignment="1" pivotButton="0" quotePrefix="0" xfId="0">
      <alignment horizontal="right"/>
    </xf>
    <xf numFmtId="178" fontId="15" fillId="28" borderId="69" applyAlignment="1" pivotButton="0" quotePrefix="0" xfId="0">
      <alignment horizontal="right"/>
    </xf>
    <xf numFmtId="37" fontId="9" fillId="14" borderId="12" applyAlignment="1" pivotButton="0" quotePrefix="0" xfId="0">
      <alignment horizontal="center"/>
    </xf>
    <xf numFmtId="199" fontId="6" fillId="15" borderId="66" applyAlignment="1" pivotButton="0" quotePrefix="0" xfId="0">
      <alignment horizontal="center"/>
    </xf>
    <xf numFmtId="199" fontId="6" fillId="15" borderId="58" applyAlignment="1" pivotButton="0" quotePrefix="0" xfId="0">
      <alignment horizontal="center"/>
    </xf>
    <xf numFmtId="199" fontId="0" fillId="15" borderId="58" applyAlignment="1" pivotButton="0" quotePrefix="0" xfId="0">
      <alignment horizontal="center"/>
    </xf>
    <xf numFmtId="178" fontId="15" fillId="20" borderId="39" applyAlignment="1" applyProtection="1" pivotButton="0" quotePrefix="0" xfId="0">
      <alignment horizontal="right"/>
      <protection locked="0" hidden="0"/>
    </xf>
    <xf numFmtId="170" fontId="110" fillId="15" borderId="0" applyAlignment="1" pivotButton="0" quotePrefix="0" xfId="0">
      <alignment horizontal="center"/>
    </xf>
    <xf numFmtId="184" fontId="0" fillId="0" borderId="0" pivotButton="0" quotePrefix="0" xfId="0"/>
    <xf numFmtId="199" fontId="0" fillId="15" borderId="76" applyAlignment="1" pivotButton="0" quotePrefix="0" xfId="0">
      <alignment horizontal="center"/>
    </xf>
    <xf numFmtId="199" fontId="0" fillId="0" borderId="110" applyAlignment="1" pivotButton="0" quotePrefix="0" xfId="0">
      <alignment vertical="center"/>
    </xf>
    <xf numFmtId="0" fontId="11" fillId="15" borderId="102" applyAlignment="1" pivotButton="0" quotePrefix="0" xfId="0">
      <alignment horizontal="center" wrapText="1"/>
    </xf>
    <xf numFmtId="0" fontId="20" fillId="28" borderId="11" applyAlignment="1" pivotButton="0" quotePrefix="1" xfId="0">
      <alignment vertical="center"/>
    </xf>
    <xf numFmtId="37" fontId="0" fillId="15" borderId="6" applyAlignment="1" pivotButton="0" quotePrefix="0" xfId="0">
      <alignment horizontal="center"/>
    </xf>
    <xf numFmtId="177" fontId="47" fillId="15" borderId="2" applyProtection="1" pivotButton="0" quotePrefix="0" xfId="0">
      <protection locked="0" hidden="0"/>
    </xf>
    <xf numFmtId="0" fontId="0" fillId="15" borderId="15" applyAlignment="1" pivotButton="0" quotePrefix="0" xfId="0">
      <alignment horizontal="center"/>
    </xf>
    <xf numFmtId="177" fontId="15" fillId="28" borderId="1" applyAlignment="1" pivotButton="0" quotePrefix="0" xfId="0">
      <alignment horizontal="right"/>
    </xf>
    <xf numFmtId="39" fontId="34" fillId="15" borderId="37" applyAlignment="1" pivotButton="0" quotePrefix="0" xfId="0">
      <alignment horizontal="center"/>
    </xf>
    <xf numFmtId="178" fontId="0" fillId="15" borderId="2" applyProtection="1" pivotButton="0" quotePrefix="0" xfId="0">
      <protection locked="0" hidden="0"/>
    </xf>
    <xf numFmtId="0" fontId="20" fillId="27" borderId="54" applyAlignment="1" pivotButton="0" quotePrefix="1" xfId="0">
      <alignment horizontal="left" vertical="center"/>
    </xf>
    <xf numFmtId="176" fontId="20" fillId="27" borderId="39" applyAlignment="1" pivotButton="0" quotePrefix="0" xfId="0">
      <alignment horizontal="center" vertical="center"/>
    </xf>
    <xf numFmtId="176" fontId="47" fillId="15" borderId="3" applyAlignment="1" pivotButton="0" quotePrefix="0" xfId="0">
      <alignment horizontal="center"/>
    </xf>
    <xf numFmtId="194" fontId="6" fillId="15" borderId="0" applyAlignment="1" pivotButton="0" quotePrefix="0" xfId="0">
      <alignment horizontal="center"/>
    </xf>
    <xf numFmtId="176" fontId="20" fillId="15" borderId="9" applyProtection="1" pivotButton="0" quotePrefix="0" xfId="0">
      <protection locked="0" hidden="0"/>
    </xf>
    <xf numFmtId="176" fontId="20" fillId="16" borderId="1" applyAlignment="1" applyProtection="1" pivotButton="0" quotePrefix="0" xfId="0">
      <alignment horizontal="center"/>
      <protection locked="0" hidden="0"/>
    </xf>
    <xf numFmtId="0" fontId="47" fillId="15" borderId="25" applyAlignment="1" pivotButton="0" quotePrefix="0" xfId="0">
      <alignment horizontal="left" vertical="center" wrapText="1"/>
    </xf>
    <xf numFmtId="0" fontId="20" fillId="15" borderId="102" applyAlignment="1" pivotButton="0" quotePrefix="0" xfId="0">
      <alignment horizontal="center" vertical="center"/>
    </xf>
    <xf numFmtId="0" fontId="15" fillId="15" borderId="203" applyAlignment="1" pivotButton="0" quotePrefix="0" xfId="0">
      <alignment horizontal="center" vertical="center"/>
    </xf>
    <xf numFmtId="0" fontId="15" fillId="15" borderId="43" applyAlignment="1" pivotButton="0" quotePrefix="0" xfId="0">
      <alignment horizontal="center" vertical="center"/>
    </xf>
    <xf numFmtId="37" fontId="11" fillId="27" borderId="51" applyAlignment="1" pivotButton="0" quotePrefix="0" xfId="0">
      <alignment horizontal="right"/>
    </xf>
    <xf numFmtId="211" fontId="110" fillId="15" borderId="1" applyAlignment="1" pivotButton="0" quotePrefix="0" xfId="0">
      <alignment horizontal="center"/>
    </xf>
    <xf numFmtId="0" fontId="47" fillId="15" borderId="15" applyAlignment="1" pivotButton="0" quotePrefix="0" xfId="0">
      <alignment horizontal="center" vertical="center" wrapText="1"/>
    </xf>
    <xf numFmtId="0" fontId="14" fillId="15" borderId="15" applyAlignment="1" pivotButton="0" quotePrefix="1" xfId="0">
      <alignment horizontal="center"/>
    </xf>
    <xf numFmtId="174" fontId="14" fillId="15" borderId="15" applyAlignment="1" pivotButton="0" quotePrefix="0" xfId="0">
      <alignment horizontal="center"/>
    </xf>
    <xf numFmtId="211" fontId="14" fillId="15" borderId="30" applyAlignment="1" pivotButton="0" quotePrefix="0" xfId="0">
      <alignment horizontal="center"/>
    </xf>
    <xf numFmtId="211" fontId="14" fillId="15" borderId="8" applyAlignment="1" pivotButton="0" quotePrefix="0" xfId="0">
      <alignment horizontal="center"/>
    </xf>
    <xf numFmtId="211" fontId="14" fillId="15" borderId="14" applyAlignment="1" pivotButton="0" quotePrefix="0" xfId="0">
      <alignment horizontal="center"/>
    </xf>
    <xf numFmtId="174" fontId="14" fillId="15" borderId="6" applyAlignment="1" pivotButton="0" quotePrefix="1" xfId="0">
      <alignment horizontal="center"/>
    </xf>
    <xf numFmtId="211" fontId="14" fillId="15" borderId="3" applyAlignment="1" pivotButton="0" quotePrefix="0" xfId="0">
      <alignment horizontal="center"/>
    </xf>
    <xf numFmtId="211" fontId="14" fillId="15" borderId="0" applyAlignment="1" pivotButton="0" quotePrefix="0" xfId="0">
      <alignment horizontal="center"/>
    </xf>
    <xf numFmtId="211" fontId="14" fillId="15" borderId="24" applyAlignment="1" pivotButton="0" quotePrefix="0" xfId="0">
      <alignment horizontal="center"/>
    </xf>
    <xf numFmtId="174" fontId="14" fillId="15" borderId="10" applyAlignment="1" pivotButton="0" quotePrefix="1" xfId="0">
      <alignment horizontal="center"/>
    </xf>
    <xf numFmtId="0" fontId="14" fillId="15" borderId="10" applyAlignment="1" pivotButton="0" quotePrefix="1" xfId="0">
      <alignment horizontal="center"/>
    </xf>
    <xf numFmtId="211" fontId="14" fillId="15" borderId="9" applyAlignment="1" pivotButton="0" quotePrefix="0" xfId="0">
      <alignment horizontal="center"/>
    </xf>
    <xf numFmtId="211" fontId="14" fillId="15" borderId="1" applyAlignment="1" pivotButton="0" quotePrefix="0" xfId="0">
      <alignment horizontal="center"/>
    </xf>
    <xf numFmtId="211" fontId="14" fillId="15" borderId="11" applyAlignment="1" pivotButton="0" quotePrefix="0" xfId="0">
      <alignment horizontal="center"/>
    </xf>
    <xf numFmtId="0" fontId="104" fillId="3" borderId="20" applyAlignment="1" pivotButton="0" quotePrefix="0" xfId="0">
      <alignment horizontal="left" vertical="center"/>
    </xf>
    <xf numFmtId="0" fontId="10" fillId="3" borderId="22" applyAlignment="1" pivotButton="0" quotePrefix="0" xfId="0">
      <alignment horizontal="left" vertical="top"/>
    </xf>
    <xf numFmtId="0" fontId="12" fillId="3" borderId="38" applyAlignment="1" pivotButton="0" quotePrefix="0" xfId="0">
      <alignment horizontal="center"/>
    </xf>
    <xf numFmtId="0" fontId="6" fillId="15" borderId="4" applyAlignment="1" pivotButton="0" quotePrefix="1" xfId="0">
      <alignment horizontal="left" vertical="top" wrapText="1"/>
    </xf>
    <xf numFmtId="4" fontId="9" fillId="15" borderId="48" applyAlignment="1" pivotButton="0" quotePrefix="0" xfId="0">
      <alignment horizontal="center" wrapText="1"/>
    </xf>
    <xf numFmtId="172" fontId="313" fillId="3" borderId="0" applyAlignment="1" pivotButton="0" quotePrefix="0" xfId="0">
      <alignment horizontal="center"/>
    </xf>
    <xf numFmtId="39" fontId="10" fillId="15" borderId="2" applyAlignment="1" applyProtection="1" pivotButton="0" quotePrefix="0" xfId="0">
      <alignment horizontal="left" vertical="top" wrapText="1"/>
      <protection locked="0" hidden="0"/>
    </xf>
    <xf numFmtId="0" fontId="0" fillId="0" borderId="5" applyProtection="1" pivotButton="0" quotePrefix="0" xfId="0">
      <protection locked="0" hidden="0"/>
    </xf>
    <xf numFmtId="0" fontId="143" fillId="15" borderId="38" applyAlignment="1" pivotButton="0" quotePrefix="0" xfId="0">
      <alignment horizontal="center" wrapText="1"/>
    </xf>
    <xf numFmtId="182" fontId="10" fillId="16" borderId="0" applyAlignment="1" applyProtection="1" pivotButton="0" quotePrefix="0" xfId="0">
      <alignment horizontal="center"/>
      <protection locked="0" hidden="0"/>
    </xf>
    <xf numFmtId="182" fontId="10" fillId="27" borderId="0" applyAlignment="1" pivotButton="0" quotePrefix="0" xfId="0">
      <alignment horizontal="center"/>
    </xf>
    <xf numFmtId="0" fontId="44" fillId="3" borderId="102" applyAlignment="1" pivotButton="0" quotePrefix="0" xfId="0">
      <alignment horizontal="center"/>
    </xf>
    <xf numFmtId="0" fontId="12" fillId="3" borderId="38" applyAlignment="1" pivotButton="0" quotePrefix="0" xfId="0">
      <alignment horizontal="center" vertical="center"/>
    </xf>
    <xf numFmtId="0" fontId="24" fillId="15" borderId="12" applyAlignment="1" pivotButton="0" quotePrefix="0" xfId="0">
      <alignment horizontal="center" vertical="center" wrapText="1"/>
    </xf>
    <xf numFmtId="0" fontId="372" fillId="15" borderId="15" applyAlignment="1" pivotButton="0" quotePrefix="0" xfId="0">
      <alignment horizontal="center" vertical="center"/>
    </xf>
    <xf numFmtId="0" fontId="371" fillId="15" borderId="15" applyAlignment="1" pivotButton="0" quotePrefix="0" xfId="0">
      <alignment horizontal="center" vertical="center"/>
    </xf>
    <xf numFmtId="176" fontId="188" fillId="16" borderId="10" applyAlignment="1" applyProtection="1" pivotButton="0" quotePrefix="0" xfId="0">
      <alignment horizontal="center" vertical="center"/>
      <protection locked="0" hidden="0"/>
    </xf>
    <xf numFmtId="0" fontId="73" fillId="16" borderId="10" applyAlignment="1" applyProtection="1" pivotButton="0" quotePrefix="0" xfId="0">
      <alignment horizontal="center" vertical="center"/>
      <protection locked="0" hidden="0"/>
    </xf>
    <xf numFmtId="170" fontId="73" fillId="16" borderId="10" applyAlignment="1" applyProtection="1" pivotButton="0" quotePrefix="0" xfId="0">
      <alignment horizontal="center" vertical="center"/>
      <protection locked="0" hidden="0"/>
    </xf>
    <xf numFmtId="37" fontId="11" fillId="15" borderId="12" applyAlignment="1" applyProtection="1" pivotButton="0" quotePrefix="0" xfId="0">
      <alignment horizontal="right"/>
      <protection locked="0" hidden="0"/>
    </xf>
    <xf numFmtId="180" fontId="188" fillId="15" borderId="12" applyAlignment="1" pivotButton="0" quotePrefix="0" xfId="0">
      <alignment horizontal="right" vertical="center"/>
    </xf>
    <xf numFmtId="37" fontId="372" fillId="15" borderId="6" applyAlignment="1" pivotButton="0" quotePrefix="0" xfId="0">
      <alignment horizontal="right" vertical="center"/>
    </xf>
    <xf numFmtId="0" fontId="44" fillId="2" borderId="206" applyAlignment="1" pivotButton="0" quotePrefix="0" xfId="0">
      <alignment horizontal="center"/>
    </xf>
    <xf numFmtId="166" fontId="4" fillId="0" borderId="0" applyAlignment="1" applyProtection="1" pivotButton="0" quotePrefix="0" xfId="0">
      <alignment horizontal="center" vertical="center"/>
      <protection locked="0" hidden="0"/>
    </xf>
    <xf numFmtId="166" fontId="22" fillId="0" borderId="0" applyAlignment="1" pivotButton="0" quotePrefix="0" xfId="0">
      <alignment horizontal="center"/>
    </xf>
    <xf numFmtId="166" fontId="6" fillId="0" borderId="0" applyAlignment="1" pivotButton="0" quotePrefix="0" xfId="0">
      <alignment horizontal="center"/>
    </xf>
    <xf numFmtId="0" fontId="9" fillId="2" borderId="206" applyAlignment="1" pivotButton="0" quotePrefix="0" xfId="0">
      <alignment horizontal="center" vertical="center"/>
    </xf>
    <xf numFmtId="0" fontId="9" fillId="2" borderId="205" applyAlignment="1" pivotButton="0" quotePrefix="0" xfId="0">
      <alignment horizontal="center" vertical="top"/>
    </xf>
    <xf numFmtId="0" fontId="10" fillId="2" borderId="72" applyAlignment="1" pivotButton="0" quotePrefix="0" xfId="0">
      <alignment horizontal="center" vertical="center" wrapText="1"/>
    </xf>
    <xf numFmtId="0" fontId="11" fillId="27" borderId="70" applyAlignment="1" pivotButton="0" quotePrefix="0" xfId="0">
      <alignment horizontal="left" indent="1"/>
    </xf>
    <xf numFmtId="176" fontId="11" fillId="27" borderId="69" applyAlignment="1" pivotButton="0" quotePrefix="0" xfId="0">
      <alignment horizontal="center" vertical="center"/>
    </xf>
    <xf numFmtId="0" fontId="5" fillId="15" borderId="27" applyAlignment="1" pivotButton="0" quotePrefix="0" xfId="0">
      <alignment horizontal="left" wrapText="1"/>
    </xf>
    <xf numFmtId="0" fontId="6" fillId="0" borderId="12" applyAlignment="1" pivotButton="0" quotePrefix="0" xfId="0">
      <alignment horizontal="center"/>
    </xf>
    <xf numFmtId="0" fontId="15" fillId="2" borderId="25" pivotButton="0" quotePrefix="0" xfId="0"/>
    <xf numFmtId="0" fontId="8" fillId="2" borderId="54" applyAlignment="1" pivotButton="0" quotePrefix="0" xfId="0">
      <alignment horizontal="center" vertical="center" wrapText="1"/>
    </xf>
    <xf numFmtId="0" fontId="10" fillId="2" borderId="12" applyAlignment="1" pivotButton="0" quotePrefix="0" xfId="0">
      <alignment horizontal="center" vertical="center" wrapText="1"/>
    </xf>
    <xf numFmtId="0" fontId="16" fillId="15" borderId="12" applyAlignment="1" pivotButton="0" quotePrefix="0" xfId="0">
      <alignment horizontal="center" vertical="center" wrapText="1"/>
    </xf>
    <xf numFmtId="0" fontId="10" fillId="2" borderId="39" applyAlignment="1" pivotButton="0" quotePrefix="0" xfId="0">
      <alignment horizontal="center" vertical="center" wrapText="1"/>
    </xf>
    <xf numFmtId="0" fontId="46" fillId="15" borderId="12" applyAlignment="1" pivotButton="0" quotePrefix="0" xfId="0">
      <alignment horizontal="center" vertical="center" wrapText="1"/>
    </xf>
    <xf numFmtId="0" fontId="9" fillId="16" borderId="54" applyAlignment="1" applyProtection="1" pivotButton="0" quotePrefix="0" xfId="0">
      <alignment horizontal="left" indent="1"/>
      <protection locked="0" hidden="0"/>
    </xf>
    <xf numFmtId="166" fontId="9" fillId="16" borderId="39" applyAlignment="1" applyProtection="1" pivotButton="0" quotePrefix="0" xfId="0">
      <alignment horizontal="center"/>
      <protection locked="0" hidden="0"/>
    </xf>
    <xf numFmtId="166" fontId="9" fillId="16" borderId="12" applyAlignment="1" applyProtection="1" pivotButton="0" quotePrefix="0" xfId="0">
      <alignment horizontal="center"/>
      <protection locked="0" hidden="0"/>
    </xf>
    <xf numFmtId="37" fontId="9" fillId="16" borderId="12" applyAlignment="1" applyProtection="1" pivotButton="0" quotePrefix="0" xfId="0">
      <alignment horizontal="right"/>
      <protection locked="0" hidden="0"/>
    </xf>
    <xf numFmtId="37" fontId="9" fillId="16" borderId="12" applyAlignment="1" applyProtection="1" pivotButton="0" quotePrefix="0" xfId="0">
      <alignment horizontal="center"/>
      <protection locked="0" hidden="0"/>
    </xf>
    <xf numFmtId="166" fontId="0" fillId="0" borderId="12" applyAlignment="1" applyProtection="1" pivotButton="0" quotePrefix="0" xfId="0">
      <alignment horizontal="center" wrapText="1"/>
      <protection locked="0" hidden="0"/>
    </xf>
    <xf numFmtId="37" fontId="0" fillId="16" borderId="12" applyAlignment="1" pivotButton="0" quotePrefix="0" xfId="0">
      <alignment horizontal="right"/>
    </xf>
    <xf numFmtId="37" fontId="0" fillId="23" borderId="12" applyAlignment="1" pivotButton="0" quotePrefix="0" xfId="0">
      <alignment horizontal="right"/>
    </xf>
    <xf numFmtId="37" fontId="0" fillId="16" borderId="15" applyAlignment="1" pivotButton="0" quotePrefix="0" xfId="0">
      <alignment horizontal="right"/>
    </xf>
    <xf numFmtId="37" fontId="0" fillId="16" borderId="51" applyAlignment="1" pivotButton="0" quotePrefix="0" xfId="0">
      <alignment horizontal="right"/>
    </xf>
    <xf numFmtId="0" fontId="58" fillId="3" borderId="20" applyAlignment="1" pivotButton="0" quotePrefix="0" xfId="0">
      <alignment horizontal="left" vertical="center"/>
    </xf>
    <xf numFmtId="0" fontId="20" fillId="3" borderId="20" applyAlignment="1" pivotButton="0" quotePrefix="0" xfId="0">
      <alignment horizontal="center"/>
    </xf>
    <xf numFmtId="0" fontId="9" fillId="3" borderId="38" applyAlignment="1" pivotButton="0" quotePrefix="0" xfId="0">
      <alignment horizontal="center" vertical="center"/>
    </xf>
    <xf numFmtId="180" fontId="8" fillId="3" borderId="24" applyAlignment="1" pivotButton="0" quotePrefix="0" xfId="0">
      <alignment horizontal="right"/>
    </xf>
    <xf numFmtId="178" fontId="110" fillId="3" borderId="3" applyAlignment="1" pivotButton="0" quotePrefix="0" xfId="0">
      <alignment horizontal="right"/>
    </xf>
    <xf numFmtId="170" fontId="143" fillId="15" borderId="0" applyAlignment="1" pivotButton="0" quotePrefix="0" xfId="0">
      <alignment horizontal="center"/>
    </xf>
    <xf numFmtId="0" fontId="20" fillId="14" borderId="20" applyAlignment="1" pivotButton="0" quotePrefix="0" xfId="0">
      <alignment horizontal="center"/>
    </xf>
    <xf numFmtId="0" fontId="9" fillId="14" borderId="102" applyAlignment="1" pivotButton="0" quotePrefix="0" xfId="0">
      <alignment horizontal="center" vertical="top"/>
    </xf>
    <xf numFmtId="0" fontId="12" fillId="14" borderId="38" applyAlignment="1" pivotButton="0" quotePrefix="0" xfId="0">
      <alignment horizontal="center" vertical="center"/>
    </xf>
    <xf numFmtId="0" fontId="11" fillId="3" borderId="14" applyAlignment="1" pivotButton="0" quotePrefix="0" xfId="0">
      <alignment horizontal="left" vertical="top"/>
    </xf>
    <xf numFmtId="174" fontId="6" fillId="15" borderId="5" pivotButton="0" quotePrefix="0" xfId="0"/>
    <xf numFmtId="0" fontId="110" fillId="15" borderId="12" applyAlignment="1" pivotButton="0" quotePrefix="0" xfId="0">
      <alignment horizontal="left" vertical="center" wrapText="1"/>
    </xf>
    <xf numFmtId="170" fontId="25" fillId="24" borderId="0" applyAlignment="1" applyProtection="1" pivotButton="0" quotePrefix="0" xfId="0">
      <alignment horizontal="center"/>
      <protection locked="0" hidden="0"/>
    </xf>
    <xf numFmtId="0" fontId="8" fillId="15" borderId="25" applyAlignment="1" pivotButton="0" quotePrefix="0" xfId="0">
      <alignment horizontal="left"/>
    </xf>
    <xf numFmtId="0" fontId="8" fillId="15" borderId="25" applyAlignment="1" pivotButton="0" quotePrefix="0" xfId="0">
      <alignment horizontal="center"/>
    </xf>
    <xf numFmtId="0" fontId="6" fillId="15" borderId="39" applyAlignment="1" pivotButton="0" quotePrefix="0" xfId="0">
      <alignment horizontal="left" vertical="center" wrapText="1"/>
    </xf>
    <xf numFmtId="37" fontId="9" fillId="26" borderId="73" applyAlignment="1" pivotButton="0" quotePrefix="0" xfId="0">
      <alignment horizontal="right"/>
    </xf>
    <xf numFmtId="184" fontId="9" fillId="28" borderId="1" applyAlignment="1" pivotButton="0" quotePrefix="0" xfId="0">
      <alignment horizontal="right"/>
    </xf>
    <xf numFmtId="181" fontId="0" fillId="15" borderId="0" applyAlignment="1" pivotButton="0" quotePrefix="0" xfId="0">
      <alignment horizontal="right"/>
    </xf>
    <xf numFmtId="182" fontId="110" fillId="15" borderId="0" applyAlignment="1" pivotButton="0" quotePrefix="0" xfId="0">
      <alignment horizontal="right"/>
    </xf>
    <xf numFmtId="0" fontId="37" fillId="15" borderId="12" applyAlignment="1" pivotButton="0" quotePrefix="0" xfId="0">
      <alignment horizontal="left" vertical="center" wrapText="1"/>
    </xf>
    <xf numFmtId="184" fontId="153" fillId="27" borderId="82" applyAlignment="1" pivotButton="0" quotePrefix="0" xfId="0">
      <alignment horizontal="center" vertical="center"/>
    </xf>
    <xf numFmtId="184" fontId="0" fillId="15" borderId="0" pivotButton="0" quotePrefix="0" xfId="0"/>
    <xf numFmtId="167" fontId="140" fillId="0" borderId="12" applyAlignment="1" pivotButton="0" quotePrefix="0" xfId="0">
      <alignment vertical="center" wrapText="1"/>
    </xf>
    <xf numFmtId="167" fontId="140" fillId="0" borderId="58" applyAlignment="1" pivotButton="0" quotePrefix="0" xfId="0">
      <alignment vertical="center" wrapText="1"/>
    </xf>
    <xf numFmtId="0" fontId="140" fillId="0" borderId="53" applyAlignment="1" pivotButton="0" quotePrefix="0" xfId="0">
      <alignment horizontal="center" vertical="center" wrapText="1"/>
    </xf>
    <xf numFmtId="0" fontId="0" fillId="0" borderId="112" pivotButton="0" quotePrefix="0" xfId="0"/>
    <xf numFmtId="49" fontId="6" fillId="16" borderId="11" applyAlignment="1" applyProtection="1" pivotButton="0" quotePrefix="0" xfId="0">
      <alignment horizontal="center"/>
      <protection locked="0" hidden="0"/>
    </xf>
    <xf numFmtId="176" fontId="15" fillId="16" borderId="10" applyAlignment="1" applyProtection="1" pivotButton="0" quotePrefix="0" xfId="0">
      <alignment horizontal="center"/>
      <protection locked="0" hidden="0"/>
    </xf>
    <xf numFmtId="194" fontId="6" fillId="16" borderId="9" applyAlignment="1" applyProtection="1" pivotButton="0" quotePrefix="0" xfId="0">
      <alignment horizontal="center"/>
      <protection locked="0" hidden="0"/>
    </xf>
    <xf numFmtId="0" fontId="4" fillId="0" borderId="54" applyAlignment="1" pivotButton="0" quotePrefix="0" xfId="0">
      <alignment horizontal="left" vertical="center" wrapText="1"/>
    </xf>
    <xf numFmtId="0" fontId="4" fillId="23" borderId="15" applyAlignment="1" pivotButton="0" quotePrefix="0" xfId="0">
      <alignment horizontal="center" vertical="center"/>
    </xf>
    <xf numFmtId="174" fontId="0" fillId="15" borderId="0" pivotButton="0" quotePrefix="0" xfId="0"/>
    <xf numFmtId="10" fontId="0" fillId="16" borderId="10" applyAlignment="1" applyProtection="1" pivotButton="0" quotePrefix="0" xfId="0">
      <alignment horizontal="center"/>
      <protection locked="0" hidden="0"/>
    </xf>
    <xf numFmtId="49" fontId="0" fillId="16" borderId="11" applyAlignment="1" applyProtection="1" pivotButton="0" quotePrefix="0" xfId="0">
      <alignment horizontal="center"/>
      <protection locked="0" hidden="0"/>
    </xf>
    <xf numFmtId="194" fontId="0" fillId="16" borderId="9" applyAlignment="1" applyProtection="1" pivotButton="0" quotePrefix="0" xfId="0">
      <alignment horizontal="center"/>
      <protection locked="0" hidden="0"/>
    </xf>
    <xf numFmtId="184" fontId="0" fillId="15" borderId="0" applyAlignment="1" pivotButton="0" quotePrefix="0" xfId="0">
      <alignment vertical="center"/>
    </xf>
    <xf numFmtId="0" fontId="15" fillId="15" borderId="25" applyAlignment="1" pivotButton="0" quotePrefix="1" xfId="0">
      <alignment horizontal="right" vertical="center" wrapText="1"/>
    </xf>
    <xf numFmtId="0" fontId="4" fillId="15" borderId="54" applyAlignment="1" pivotButton="0" quotePrefix="0" xfId="0">
      <alignment horizontal="left" vertical="center" wrapText="1"/>
    </xf>
    <xf numFmtId="0" fontId="6" fillId="15" borderId="14" applyAlignment="1" pivotButton="0" quotePrefix="0" xfId="0">
      <alignment vertical="top" wrapText="1"/>
    </xf>
    <xf numFmtId="1" fontId="11" fillId="16" borderId="10" applyAlignment="1" applyProtection="1" pivotButton="0" quotePrefix="0" xfId="0">
      <alignment horizontal="center"/>
      <protection locked="0" hidden="0"/>
    </xf>
    <xf numFmtId="39" fontId="11" fillId="16" borderId="10" applyAlignment="1" applyProtection="1" pivotButton="0" quotePrefix="0" xfId="0">
      <alignment horizontal="center"/>
      <protection locked="0" hidden="0"/>
    </xf>
    <xf numFmtId="0" fontId="15" fillId="15" borderId="31" applyAlignment="1" pivotButton="0" quotePrefix="1" xfId="0">
      <alignment horizontal="right" vertical="center" wrapText="1"/>
    </xf>
    <xf numFmtId="0" fontId="4" fillId="15" borderId="73" applyAlignment="1" pivotButton="0" quotePrefix="0" xfId="0">
      <alignment horizontal="left" vertical="center" wrapText="1"/>
    </xf>
    <xf numFmtId="0" fontId="20" fillId="15" borderId="102" applyAlignment="1" pivotButton="0" quotePrefix="0" xfId="0">
      <alignment horizontal="center"/>
    </xf>
    <xf numFmtId="0" fontId="20" fillId="15" borderId="4" applyAlignment="1" pivotButton="0" quotePrefix="0" xfId="0">
      <alignment horizontal="left" wrapText="1"/>
    </xf>
    <xf numFmtId="176" fontId="20" fillId="16" borderId="9" applyAlignment="1" applyProtection="1" pivotButton="0" quotePrefix="0" xfId="0">
      <alignment horizontal="center" vertical="center"/>
      <protection locked="0" hidden="0"/>
    </xf>
    <xf numFmtId="170" fontId="0" fillId="24" borderId="0" applyAlignment="1" applyProtection="1" pivotButton="0" quotePrefix="0" xfId="0">
      <alignment vertical="top"/>
      <protection locked="0" hidden="0"/>
    </xf>
    <xf numFmtId="0" fontId="4" fillId="15" borderId="54" applyAlignment="1" pivotButton="0" quotePrefix="1" xfId="0">
      <alignment horizontal="center" vertical="top" wrapText="1"/>
    </xf>
    <xf numFmtId="0" fontId="6" fillId="15" borderId="12" applyAlignment="1" pivotButton="0" quotePrefix="0" xfId="0">
      <alignment horizontal="center" vertical="top" wrapText="1"/>
    </xf>
    <xf numFmtId="0" fontId="4" fillId="15" borderId="54" applyAlignment="1" pivotButton="0" quotePrefix="1" xfId="0">
      <alignment horizontal="center"/>
    </xf>
    <xf numFmtId="0" fontId="4" fillId="16" borderId="12" applyAlignment="1" applyProtection="1" pivotButton="0" quotePrefix="0" xfId="0">
      <alignment horizontal="left" wrapText="1"/>
      <protection locked="0" hidden="0"/>
    </xf>
    <xf numFmtId="176" fontId="15" fillId="16" borderId="10" applyAlignment="1" applyProtection="1" pivotButton="0" quotePrefix="0" xfId="0">
      <alignment horizontal="center" vertical="center"/>
      <protection locked="0" hidden="0"/>
    </xf>
    <xf numFmtId="37" fontId="15" fillId="27" borderId="10" pivotButton="0" quotePrefix="0" xfId="0"/>
    <xf numFmtId="37" fontId="168" fillId="15" borderId="15" applyAlignment="1" pivotButton="0" quotePrefix="0" xfId="0">
      <alignment horizontal="right"/>
    </xf>
    <xf numFmtId="0" fontId="0" fillId="0" borderId="108" applyProtection="1" pivotButton="0" quotePrefix="0" xfId="0">
      <protection locked="1" hidden="1"/>
    </xf>
    <xf numFmtId="0" fontId="0" fillId="0" borderId="27" applyProtection="1" pivotButton="0" quotePrefix="0" xfId="0">
      <protection locked="1" hidden="1"/>
    </xf>
    <xf numFmtId="3" fontId="12" fillId="0" borderId="48" applyAlignment="1" applyProtection="1" pivotButton="0" quotePrefix="0" xfId="0">
      <alignment horizontal="center"/>
      <protection locked="1" hidden="1"/>
    </xf>
    <xf numFmtId="167" fontId="128" fillId="0" borderId="0" applyAlignment="1" applyProtection="1" pivotButton="0" quotePrefix="0" xfId="0">
      <alignment horizontal="center"/>
      <protection locked="1" hidden="1"/>
    </xf>
    <xf numFmtId="167" fontId="128" fillId="0" borderId="0" applyAlignment="1" applyProtection="1" pivotButton="0" quotePrefix="0" xfId="0">
      <alignment horizontal="right"/>
      <protection locked="1" hidden="1"/>
    </xf>
    <xf numFmtId="167" fontId="128" fillId="0" borderId="20" applyAlignment="1" applyProtection="1" pivotButton="0" quotePrefix="0" xfId="0">
      <alignment horizontal="right"/>
      <protection locked="1" hidden="1"/>
    </xf>
    <xf numFmtId="167" fontId="128" fillId="0" borderId="23" applyAlignment="1" applyProtection="1" pivotButton="0" quotePrefix="0" xfId="0">
      <alignment horizontal="right"/>
      <protection locked="1" hidden="1"/>
    </xf>
    <xf numFmtId="167" fontId="128" fillId="0" borderId="7" applyAlignment="1" applyProtection="1" pivotButton="0" quotePrefix="0" xfId="0">
      <alignment horizontal="right"/>
      <protection locked="1" hidden="1"/>
    </xf>
    <xf numFmtId="167" fontId="128" fillId="0" borderId="19" applyAlignment="1" applyProtection="1" pivotButton="0" quotePrefix="0" xfId="0">
      <alignment horizontal="right"/>
      <protection locked="1" hidden="1"/>
    </xf>
    <xf numFmtId="167" fontId="336" fillId="0" borderId="0" applyAlignment="1" applyProtection="1" pivotButton="0" quotePrefix="0" xfId="0">
      <alignment horizontal="right"/>
      <protection locked="1" hidden="1"/>
    </xf>
    <xf numFmtId="183" fontId="128" fillId="0" borderId="0" applyAlignment="1" applyProtection="1" pivotButton="0" quotePrefix="0" xfId="0">
      <alignment horizontal="right"/>
      <protection locked="1" hidden="1"/>
    </xf>
    <xf numFmtId="184" fontId="128" fillId="0" borderId="0" applyAlignment="1" applyProtection="1" pivotButton="0" quotePrefix="0" xfId="0">
      <alignment horizontal="right"/>
      <protection locked="1" hidden="1"/>
    </xf>
    <xf numFmtId="185" fontId="0" fillId="0" borderId="0" applyAlignment="1" applyProtection="1" pivotButton="0" quotePrefix="0" xfId="0">
      <alignment horizontal="right"/>
      <protection locked="1" hidden="1"/>
    </xf>
    <xf numFmtId="184" fontId="0" fillId="0" borderId="0" applyAlignment="1" applyProtection="1" pivotButton="0" quotePrefix="0" xfId="0">
      <alignment horizontal="right"/>
      <protection locked="1" hidden="1"/>
    </xf>
    <xf numFmtId="173" fontId="194" fillId="34" borderId="12" applyAlignment="1" applyProtection="1" pivotButton="0" quotePrefix="0" xfId="0">
      <alignment horizontal="right" vertical="center"/>
      <protection locked="1" hidden="1"/>
    </xf>
    <xf numFmtId="173" fontId="194" fillId="33" borderId="12" applyAlignment="1" applyProtection="1" pivotButton="0" quotePrefix="0" xfId="0">
      <alignment horizontal="right" vertical="center"/>
      <protection locked="1" hidden="1"/>
    </xf>
    <xf numFmtId="0" fontId="285" fillId="0" borderId="12" applyAlignment="1" applyProtection="1" pivotButton="0" quotePrefix="0" xfId="0">
      <alignment horizontal="center" vertical="center"/>
      <protection locked="1" hidden="1"/>
    </xf>
    <xf numFmtId="169" fontId="0" fillId="0" borderId="0" applyAlignment="1" applyProtection="1" pivotButton="0" quotePrefix="0" xfId="0">
      <alignment horizontal="center" vertical="top" wrapText="1"/>
      <protection locked="1" hidden="1"/>
    </xf>
    <xf numFmtId="169" fontId="4" fillId="0" borderId="4" applyAlignment="1" applyProtection="1" pivotButton="0" quotePrefix="0" xfId="0">
      <alignment horizontal="center" wrapText="1"/>
      <protection locked="1" hidden="1"/>
    </xf>
    <xf numFmtId="169" fontId="4" fillId="0" borderId="2" applyAlignment="1" pivotButton="0" quotePrefix="0" xfId="0">
      <alignment horizontal="center" wrapText="1"/>
    </xf>
    <xf numFmtId="169" fontId="6" fillId="0" borderId="0" applyAlignment="1" applyProtection="1" pivotButton="0" quotePrefix="0" xfId="0">
      <alignment horizontal="center" vertical="top" wrapText="1"/>
      <protection locked="1" hidden="1"/>
    </xf>
    <xf numFmtId="169" fontId="6" fillId="0" borderId="0" applyAlignment="1" pivotButton="0" quotePrefix="0" xfId="0">
      <alignment horizontal="center" vertical="top" wrapText="1"/>
    </xf>
    <xf numFmtId="169" fontId="0" fillId="0" borderId="0" applyAlignment="1" pivotButton="0" quotePrefix="0" xfId="0">
      <alignment horizontal="center" vertical="top" wrapText="1"/>
    </xf>
  </cellXfs>
  <cellStyles count="12">
    <cellStyle name="Normal" xfId="0" builtinId="0"/>
    <cellStyle name="Currency" xfId="1" builtinId="4"/>
    <cellStyle name="Hyperlink" xfId="2" builtinId="8"/>
    <cellStyle name="Hyperlink 2" xfId="3"/>
    <cellStyle name="Normal 2" xfId="4"/>
    <cellStyle name="Hyperlink 3" xfId="5"/>
    <cellStyle name="Normal 3" xfId="6"/>
    <cellStyle name="Hyperlink 2 2" xfId="7"/>
    <cellStyle name="Hyperlink 3 2" xfId="8"/>
    <cellStyle name="Normal 3 2" xfId="9"/>
    <cellStyle name="Normal 3 3" xfId="10"/>
    <cellStyle name="Normal 3 2 2" xfId="11"/>
  </cellStyles>
  <dxfs count="4011">
    <dxf>
      <font>
        <color rgb="FFC00000"/>
      </font>
    </dxf>
    <dxf>
      <fill>
        <patternFill patternType="solid">
          <fgColor theme="0"/>
          <bgColor theme="0"/>
        </patternFill>
      </fill>
    </dxf>
    <dxf>
      <fill>
        <patternFill patternType="solid">
          <fgColor theme="0"/>
          <bgColor theme="0"/>
        </patternFill>
      </fill>
    </dxf>
    <dxf>
      <fill>
        <patternFill patternType="solid">
          <bgColor theme="0"/>
        </patternFill>
      </fill>
    </dxf>
    <dxf>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C00000"/>
      </font>
    </dxf>
    <dxf>
      <fill>
        <patternFill>
          <bgColor theme="0"/>
        </patternFill>
      </fill>
    </dxf>
    <dxf>
      <font>
        <color rgb="FFFF0000"/>
      </font>
    </dxf>
    <dxf>
      <font>
        <color theme="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border>
        <left style="thin">
          <color auto="1"/>
        </left>
        <right style="thin">
          <color auto="1"/>
        </right>
        <top style="thin">
          <color auto="1"/>
        </top>
        <bottom style="thin">
          <color auto="1"/>
        </bottom>
      </border>
    </dxf>
    <dxf>
      <font>
        <b val="1"/>
        <color rgb="FF008000"/>
      </font>
    </dxf>
    <dxf>
      <font>
        <b val="1"/>
        <color rgb="FF008000"/>
      </font>
    </dxf>
    <dxf>
      <border>
        <left style="thin">
          <color auto="1"/>
        </left>
        <right style="thin">
          <color auto="1"/>
        </right>
        <top style="thin">
          <color auto="1"/>
        </top>
        <bottom style="thin">
          <color auto="1"/>
        </bottom>
        <vertical/>
        <horizontal/>
      </border>
    </dxf>
    <dxf>
      <border>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border>
    </dxf>
    <dxf>
      <font>
        <strike val="0"/>
      </font>
      <border>
        <left/>
        <right style="thin">
          <color auto="1"/>
        </right>
        <top style="thin">
          <color auto="1"/>
        </top>
        <bottom style="thin">
          <color auto="1"/>
        </bottom>
        <vertical/>
        <horizontal/>
      </border>
    </dxf>
    <dxf>
      <font>
        <b val="1"/>
        <color rgb="FFC00000"/>
      </font>
    </dxf>
    <dxf>
      <font>
        <color theme="1"/>
      </font>
    </dxf>
    <dxf>
      <fill>
        <patternFill>
          <bgColor theme="0"/>
        </patternFill>
      </fill>
      <border>
        <right style="thin">
          <color auto="1"/>
        </right>
        <top style="thin">
          <color auto="1"/>
        </top>
        <bottom style="thin">
          <color auto="1"/>
        </bottom>
        <vertical/>
        <horizontal/>
      </border>
    </dxf>
    <dxf>
      <fill>
        <patternFill>
          <bgColor theme="0"/>
        </patternFill>
      </fill>
    </dxf>
    <dxf>
      <font>
        <color theme="0"/>
      </font>
    </dxf>
    <dxf>
      <fill>
        <patternFill>
          <bgColor theme="0"/>
        </patternFill>
      </fill>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
      </font>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b val="1"/>
        <color rgb="FF008000"/>
      </font>
    </dxf>
    <dxf>
      <fill>
        <patternFill>
          <bgColor theme="0"/>
        </patternFill>
      </fill>
    </dxf>
    <dxf>
      <fill>
        <patternFill>
          <bgColor theme="0"/>
        </patternFill>
      </fill>
    </dxf>
    <dxf>
      <fill>
        <patternFill>
          <bgColor theme="0"/>
        </patternFill>
      </fill>
    </dxf>
    <dxf>
      <fill>
        <patternFill>
          <bgColor theme="0"/>
        </patternFill>
      </fill>
    </dxf>
    <dxf>
      <font>
        <b val="1"/>
        <color rgb="FF008000"/>
      </font>
    </dxf>
    <dxf>
      <font>
        <b val="1"/>
        <color rgb="FF008000"/>
      </font>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4" tint="0.7999816888943144"/>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008000"/>
      </font>
    </dxf>
    <dxf>
      <border>
        <left/>
        <right style="thin">
          <color auto="1"/>
        </right>
        <top style="thin">
          <color auto="1"/>
        </top>
        <bottom style="thin">
          <color auto="1"/>
        </bottom>
        <vertical/>
        <horizontal/>
      </border>
    </dxf>
    <dxf>
      <font>
        <b val="1"/>
        <color rgb="FFC0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ont>
        <b val="1"/>
        <color rgb="FFFF0000"/>
      </font>
    </dxf>
    <dxf>
      <font>
        <b val="1"/>
        <color rgb="FFFF0000"/>
      </font>
    </dxf>
    <dxf>
      <font>
        <color rgb="FFC00000"/>
      </font>
    </dxf>
    <dxf>
      <font>
        <b val="1"/>
        <color rgb="FFFF0000"/>
      </font>
    </dxf>
    <dxf>
      <font>
        <b val="1"/>
        <color rgb="FFFF0000"/>
      </font>
    </dxf>
    <dxf>
      <font>
        <b val="1"/>
        <color rgb="FFFF0000"/>
      </font>
    </dxf>
    <dxf>
      <font>
        <b val="1"/>
        <color theme="1"/>
      </font>
      <fill>
        <patternFill>
          <bgColor theme="0"/>
        </patternFill>
      </fill>
      <border>
        <left style="thin">
          <color indexed="64"/>
        </left>
        <right style="thin">
          <color indexed="64"/>
        </right>
        <top style="thin">
          <color indexed="64"/>
        </top>
        <bottom style="thin">
          <color indexed="64"/>
        </bottom>
      </border>
    </dxf>
    <dxf>
      <font>
        <b val="1"/>
        <color rgb="FFFF0000"/>
      </font>
    </dxf>
    <dxf>
      <font>
        <color rgb="FFFF0000"/>
      </font>
    </dxf>
    <dxf>
      <font>
        <b val="1"/>
        <color rgb="FFFF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FF0000"/>
      </font>
    </dxf>
    <dxf>
      <font>
        <b val="1"/>
        <color rgb="FFC00000"/>
      </font>
    </dxf>
    <dxf>
      <font>
        <b val="1"/>
        <color rgb="FFFF0000"/>
      </font>
    </dxf>
    <dxf>
      <font>
        <b val="1"/>
        <color rgb="FFFF0000"/>
      </font>
      <fill>
        <patternFill>
          <bgColor theme="0"/>
        </patternFill>
      </fill>
    </dxf>
    <dxf>
      <border>
        <left/>
        <right style="thin">
          <color auto="1"/>
        </right>
        <top style="thin">
          <color auto="1"/>
        </top>
        <bottom style="thin">
          <color auto="1"/>
        </bottom>
        <vertical/>
        <horizontal/>
      </border>
    </dxf>
    <dxf>
      <font>
        <b val="1"/>
        <color rgb="FFC0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ont>
        <b val="1"/>
        <color rgb="FFFF0000"/>
      </font>
    </dxf>
    <dxf>
      <font>
        <b val="1"/>
        <color rgb="FFFF0000"/>
      </font>
    </dxf>
    <dxf>
      <font>
        <color rgb="FFC00000"/>
      </font>
    </dxf>
    <dxf>
      <font>
        <b val="1"/>
        <color rgb="FFFF0000"/>
      </font>
    </dxf>
    <dxf>
      <font>
        <b val="1"/>
        <color rgb="FFFF0000"/>
      </font>
    </dxf>
    <dxf>
      <font>
        <b val="1"/>
        <color rgb="FFFF0000"/>
      </font>
    </dxf>
    <dxf>
      <font>
        <b val="1"/>
        <color theme="1"/>
      </font>
      <fill>
        <patternFill>
          <bgColor theme="0"/>
        </patternFill>
      </fill>
      <border>
        <left style="thin">
          <color indexed="64"/>
        </left>
        <right style="thin">
          <color indexed="64"/>
        </right>
        <top style="thin">
          <color indexed="64"/>
        </top>
        <bottom style="thin">
          <color indexed="64"/>
        </bottom>
      </border>
    </dxf>
    <dxf>
      <font>
        <b val="1"/>
        <color rgb="FFFF0000"/>
      </font>
    </dxf>
    <dxf>
      <font>
        <color rgb="FFFF0000"/>
      </font>
    </dxf>
    <dxf>
      <font>
        <b val="1"/>
        <color rgb="FFFF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FF0000"/>
      </font>
    </dxf>
    <dxf>
      <font>
        <b val="1"/>
        <color rgb="FFC00000"/>
      </font>
    </dxf>
    <dxf>
      <font>
        <b val="1"/>
        <color rgb="FFFF0000"/>
      </font>
    </dxf>
    <dxf>
      <font>
        <b val="1"/>
        <color rgb="FFFF0000"/>
      </font>
      <fill>
        <patternFill>
          <bgColor theme="0"/>
        </patternFill>
      </fill>
    </dxf>
    <dxf>
      <border>
        <left/>
        <right style="thin">
          <color auto="1"/>
        </right>
        <top style="thin">
          <color auto="1"/>
        </top>
        <bottom style="thin">
          <color auto="1"/>
        </bottom>
        <vertical/>
        <horizontal/>
      </border>
    </dxf>
    <dxf>
      <font>
        <b val="1"/>
        <color rgb="FFC0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ont>
        <b val="1"/>
        <color rgb="FFFF0000"/>
      </font>
    </dxf>
    <dxf>
      <font>
        <b val="1"/>
        <color rgb="FFFF0000"/>
      </font>
    </dxf>
    <dxf>
      <font>
        <color rgb="FFC00000"/>
      </font>
    </dxf>
    <dxf>
      <font>
        <b val="1"/>
        <color rgb="FFFF0000"/>
      </font>
    </dxf>
    <dxf>
      <font>
        <b val="1"/>
        <color rgb="FFFF0000"/>
      </font>
    </dxf>
    <dxf>
      <font>
        <b val="1"/>
        <color rgb="FFFF0000"/>
      </font>
    </dxf>
    <dxf>
      <font>
        <b val="1"/>
        <color theme="1"/>
      </font>
      <fill>
        <patternFill>
          <bgColor theme="0"/>
        </patternFill>
      </fill>
      <border>
        <left style="thin">
          <color indexed="64"/>
        </left>
        <right style="thin">
          <color indexed="64"/>
        </right>
        <top style="thin">
          <color indexed="64"/>
        </top>
        <bottom style="thin">
          <color indexed="64"/>
        </bottom>
      </border>
    </dxf>
    <dxf>
      <font>
        <b val="1"/>
        <color rgb="FFFF0000"/>
      </font>
    </dxf>
    <dxf>
      <font>
        <color rgb="FFFF0000"/>
      </font>
    </dxf>
    <dxf>
      <font>
        <b val="1"/>
        <color rgb="FFFF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FF0000"/>
      </font>
    </dxf>
    <dxf>
      <font>
        <b val="1"/>
        <color rgb="FFC00000"/>
      </font>
    </dxf>
    <dxf>
      <font>
        <b val="1"/>
        <color rgb="FFFF0000"/>
      </font>
    </dxf>
    <dxf>
      <font>
        <b val="1"/>
        <color rgb="FFFF0000"/>
      </font>
      <fill>
        <patternFill>
          <bgColor theme="0"/>
        </patternFill>
      </fill>
    </dxf>
    <dxf>
      <border>
        <left/>
        <right style="thin">
          <color auto="1"/>
        </right>
        <top style="thin">
          <color auto="1"/>
        </top>
        <bottom style="thin">
          <color auto="1"/>
        </bottom>
        <vertical/>
        <horizontal/>
      </border>
    </dxf>
    <dxf>
      <font>
        <b val="1"/>
        <color rgb="FFC0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ont>
        <b val="1"/>
        <color rgb="FFFF0000"/>
      </font>
    </dxf>
    <dxf>
      <font>
        <b val="1"/>
        <color rgb="FFFF0000"/>
      </font>
    </dxf>
    <dxf>
      <font>
        <color rgb="FFC00000"/>
      </font>
    </dxf>
    <dxf>
      <font>
        <b val="1"/>
        <color rgb="FFFF0000"/>
      </font>
    </dxf>
    <dxf>
      <font>
        <b val="1"/>
        <color rgb="FFFF0000"/>
      </font>
    </dxf>
    <dxf>
      <font>
        <b val="1"/>
        <color rgb="FFFF0000"/>
      </font>
    </dxf>
    <dxf>
      <font>
        <b val="1"/>
        <color theme="1"/>
      </font>
      <fill>
        <patternFill>
          <bgColor theme="0"/>
        </patternFill>
      </fill>
      <border>
        <left style="thin">
          <color indexed="64"/>
        </left>
        <right style="thin">
          <color indexed="64"/>
        </right>
        <top style="thin">
          <color indexed="64"/>
        </top>
        <bottom style="thin">
          <color indexed="64"/>
        </bottom>
      </border>
    </dxf>
    <dxf>
      <font>
        <b val="1"/>
        <color rgb="FFFF0000"/>
      </font>
    </dxf>
    <dxf>
      <font>
        <color rgb="FFFF0000"/>
      </font>
    </dxf>
    <dxf>
      <font>
        <b val="1"/>
        <color rgb="FFFF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ont>
        <b val="1"/>
        <color rgb="FFC00000"/>
      </font>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0"/>
        </patternFill>
      </fill>
    </dxf>
    <dxf>
      <fill>
        <patternFill>
          <bgColor theme="5"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FF0000"/>
      </font>
    </dxf>
    <dxf>
      <font>
        <b val="1"/>
        <color rgb="FFC00000"/>
      </font>
    </dxf>
    <dxf>
      <font>
        <b val="1"/>
        <color rgb="FFFF0000"/>
      </font>
    </dxf>
    <dxf>
      <font>
        <b val="1"/>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
      </font>
    </dxf>
    <dxf>
      <font>
        <color theme="0"/>
      </font>
    </dxf>
    <dxf>
      <font>
        <color theme="0"/>
      </font>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auto="1"/>
        </patternFill>
      </fill>
      <border>
        <left/>
        <right/>
        <top/>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right/>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
      </font>
      <border>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ont>
        <color rgb="FFC00000"/>
      </font>
    </dxf>
    <dxf>
      <font>
        <color rgb="FFC00000"/>
      </font>
    </dxf>
    <dxf>
      <font>
        <color rgb="FFC00000"/>
      </font>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b val="1"/>
        <color rgb="FFFF0000"/>
      </font>
    </dxf>
    <dxf>
      <font>
        <b val="1"/>
        <color rgb="FFFF0000"/>
      </font>
    </dxf>
    <dxf>
      <font>
        <color theme="1"/>
      </font>
    </dxf>
    <dxf>
      <font>
        <b val="1"/>
        <color rgb="FFFF0000"/>
      </font>
    </dxf>
    <dxf>
      <font>
        <color theme="1"/>
      </font>
    </dxf>
    <dxf>
      <font>
        <color theme="1"/>
      </font>
    </dxf>
    <dxf>
      <font>
        <b val="1"/>
        <color rgb="FFFF0000"/>
      </font>
    </dxf>
    <dxf>
      <font>
        <b val="1"/>
        <color rgb="FFFF0000"/>
      </font>
    </dxf>
    <dxf>
      <font>
        <color theme="1"/>
      </font>
    </dxf>
    <dxf>
      <font>
        <b val="1"/>
        <color rgb="FFFF0000"/>
      </font>
    </dxf>
    <dxf>
      <font>
        <color theme="1"/>
      </font>
    </dxf>
    <dxf>
      <font>
        <b val="1"/>
        <color rgb="FFFF0000"/>
      </font>
    </dxf>
    <dxf>
      <font>
        <color theme="1"/>
      </font>
    </dxf>
    <dxf>
      <font>
        <b val="1"/>
        <color rgb="FFFF0000"/>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
      </font>
    </dxf>
    <dxf>
      <font>
        <color theme="4" tint="0.7999816888943144"/>
      </font>
    </dxf>
    <dxf>
      <font>
        <color theme="4" tint="0.7999816888943144"/>
      </font>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4" tint="0.7999816888943144"/>
      </font>
    </dxf>
    <dxf>
      <fill>
        <patternFill>
          <bgColor theme="0"/>
        </patternFill>
      </fill>
    </dxf>
    <dxf>
      <font>
        <color theme="4" tint="0.7999816888943144"/>
      </font>
    </dxf>
    <dxf>
      <fill>
        <patternFill>
          <bgColor theme="0"/>
        </patternFill>
      </fill>
    </dxf>
    <dxf>
      <font>
        <color theme="4" tint="0.7999816888943144"/>
      </font>
    </dxf>
    <dxf>
      <fill>
        <patternFill>
          <bgColor theme="0"/>
        </patternFill>
      </fill>
    </dxf>
    <dxf>
      <fill>
        <patternFill>
          <bgColor theme="0"/>
        </patternFill>
      </fill>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4" tint="0.5999633777886288"/>
      </font>
    </dxf>
    <dxf>
      <font>
        <color theme="0"/>
      </font>
    </dxf>
    <dxf>
      <font>
        <b val="1"/>
        <color rgb="FFC00000"/>
      </font>
    </dxf>
    <dxf>
      <font>
        <color rgb="FF008000"/>
      </font>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right/>
        <top/>
        <bottom style="thin">
          <color auto="1"/>
        </bottom>
        <vertical/>
        <horizontal/>
      </border>
    </dxf>
    <dxf>
      <fill>
        <patternFill>
          <bgColor theme="0"/>
        </patternFill>
      </fill>
      <border>
        <left/>
        <right/>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008000"/>
      </font>
    </dxf>
    <dxf>
      <font>
        <color rgb="FF008000"/>
      </font>
    </dxf>
    <dxf>
      <fill>
        <patternFill>
          <bgColor theme="0"/>
        </patternFill>
      </fill>
    </dxf>
    <dxf>
      <font>
        <color rgb="FFC00000"/>
      </font>
    </dxf>
    <dxf>
      <font>
        <b val="1"/>
      </font>
    </dxf>
    <dxf>
      <font>
        <b val="1"/>
        <color rgb="FFC00000"/>
      </font>
    </dxf>
    <dxf>
      <fill>
        <patternFill>
          <bgColor theme="0"/>
        </patternFill>
      </fill>
    </dxf>
    <dxf>
      <font>
        <b val="1"/>
        <color rgb="FFC00000"/>
      </font>
    </dxf>
    <dxf>
      <font>
        <color rgb="FFFF0000"/>
      </font>
    </dxf>
    <dxf>
      <fill>
        <patternFill>
          <bgColor theme="0"/>
        </patternFill>
      </fill>
    </dxf>
    <dxf>
      <font>
        <b val="1"/>
        <color rgb="FF008000"/>
      </font>
    </dxf>
    <dxf>
      <font>
        <color rgb="FFFF0000"/>
      </font>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ont>
        <color theme="1"/>
      </font>
      <fill>
        <patternFill>
          <bgColor theme="0"/>
        </patternFill>
      </fill>
    </dxf>
    <dxf>
      <font>
        <color theme="1"/>
      </font>
      <fill>
        <patternFill>
          <bgColor theme="0"/>
        </patternFill>
      </fill>
    </dxf>
    <dxf>
      <font>
        <color auto="1"/>
      </font>
      <fill>
        <patternFill>
          <bgColor theme="0"/>
        </patternFill>
      </fill>
    </dxf>
    <dxf>
      <font>
        <b val="1"/>
        <color theme="9" tint="-0.249946592608417"/>
      </font>
      <fill>
        <patternFill>
          <bgColor theme="0"/>
        </patternFill>
      </fill>
    </dxf>
    <dxf>
      <fill>
        <patternFill>
          <bgColor theme="0"/>
        </patternFill>
      </fill>
    </dxf>
    <dxf>
      <fill>
        <patternFill>
          <bgColor theme="0"/>
        </patternFill>
      </fill>
      <border>
        <right style="thin">
          <color auto="1"/>
        </right>
        <top style="thin">
          <color auto="1"/>
        </top>
        <bottom style="thin">
          <color auto="1"/>
        </bottom>
      </border>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ont>
        <color rgb="FFC00000"/>
      </font>
    </dxf>
    <dxf>
      <font>
        <b val="1"/>
        <color rgb="FFC00000"/>
      </font>
    </dxf>
    <dxf>
      <font>
        <b val="1"/>
        <color rgb="FFC00000"/>
      </font>
    </dxf>
    <dxf>
      <fill>
        <patternFill>
          <bgColor theme="0"/>
        </patternFill>
      </fill>
    </dxf>
    <dxf>
      <font>
        <b val="1"/>
        <color rgb="FFC00000"/>
      </font>
    </dxf>
    <dxf>
      <font>
        <b val="1"/>
        <color rgb="FFC00000"/>
      </font>
    </dxf>
    <dxf>
      <font>
        <b val="1"/>
        <color rgb="FFC00000"/>
      </font>
    </dxf>
    <dxf>
      <font>
        <b val="1"/>
        <color rgb="FFC00000"/>
      </font>
    </dxf>
    <dxf>
      <font>
        <b val="1"/>
        <color rgb="FFC00000"/>
      </font>
    </dxf>
    <dxf>
      <font>
        <b val="1"/>
        <color rgb="FFC00000"/>
      </font>
    </dxf>
    <dxf>
      <fill>
        <patternFill>
          <fgColor indexed="64"/>
          <bgColor theme="0"/>
        </patternFill>
      </fill>
    </dxf>
    <dxf>
      <fill>
        <patternFill>
          <bgColor theme="0"/>
        </patternFill>
      </fill>
    </dxf>
    <dxf>
      <fill>
        <patternFill>
          <bgColor theme="0"/>
        </patternFill>
      </fill>
    </dxf>
    <dxf>
      <fill>
        <patternFill>
          <bgColor theme="0"/>
        </patternFill>
      </fill>
    </dxf>
    <dxf>
      <font>
        <color rgb="FFFF0000"/>
      </font>
    </dxf>
    <dxf>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ont>
        <color rgb="FFFF0000"/>
      </font>
    </dxf>
    <dxf>
      <font>
        <color rgb="FFFF0000"/>
      </font>
    </dxf>
    <dxf>
      <font>
        <b val="1"/>
        <color rgb="FFFF0000"/>
      </font>
    </dxf>
    <dxf>
      <font>
        <color theme="1"/>
      </font>
    </dxf>
    <dxf>
      <border>
        <left style="thin">
          <color auto="1"/>
        </left>
        <right style="thin">
          <color auto="1"/>
        </right>
        <top style="thin">
          <color auto="1"/>
        </top>
        <bottom style="thin">
          <color auto="1"/>
        </bottom>
        <vertical/>
        <horizontal/>
      </border>
    </dxf>
    <dxf>
      <fill>
        <patternFill>
          <bgColor theme="0"/>
        </patternFill>
      </fill>
      <border>
        <left/>
        <right/>
        <bottom/>
        <vertical/>
        <horizontal/>
      </border>
    </dxf>
    <dxf>
      <fill>
        <patternFill>
          <bgColor theme="0"/>
        </patternFill>
      </fill>
    </dxf>
    <dxf>
      <fill>
        <patternFill>
          <bgColor theme="0"/>
        </patternFill>
      </fill>
    </dxf>
    <dxf>
      <fill>
        <patternFill>
          <bgColor theme="0"/>
        </patternFill>
      </fill>
      <border>
        <left/>
        <right/>
        <top/>
        <vertical/>
        <horizontal/>
      </border>
    </dxf>
    <dxf>
      <border>
        <left style="thin">
          <color auto="1"/>
        </left>
        <right style="thin">
          <color auto="1"/>
        </right>
        <top style="thin">
          <color auto="1"/>
        </top>
        <bottom style="thin">
          <color auto="1"/>
        </bottom>
        <vertical/>
        <horizontal/>
      </border>
    </dxf>
    <dxf>
      <fill>
        <patternFill>
          <bgColor theme="0"/>
        </patternFill>
      </fill>
      <border>
        <left/>
        <right/>
        <bottom/>
        <vertical/>
        <horizontal/>
      </border>
    </dxf>
    <dxf>
      <fill>
        <patternFill>
          <bgColor theme="0"/>
        </patternFill>
      </fill>
    </dxf>
    <dxf>
      <fill>
        <patternFill>
          <bgColor theme="0"/>
        </patternFill>
      </fill>
    </dxf>
    <dxf>
      <fill>
        <patternFill>
          <bgColor theme="0"/>
        </patternFill>
      </fill>
      <border>
        <left/>
        <right/>
        <top/>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color rgb="FFFF0000"/>
      </font>
    </dxf>
    <dxf>
      <font>
        <color rgb="FFC00000"/>
      </font>
      <border>
        <vertical/>
        <horizontal/>
      </border>
    </dxf>
    <dxf>
      <font>
        <color rgb="FFC00000"/>
      </font>
      <border>
        <vertical/>
        <horizontal/>
      </border>
    </dxf>
    <dxf>
      <font>
        <color rgb="FFFF0000"/>
      </font>
    </dxf>
    <dxf>
      <fill>
        <patternFill>
          <bgColor theme="0"/>
        </patternFill>
      </fill>
    </dxf>
    <dxf>
      <font>
        <color rgb="FFFF0000"/>
      </font>
    </dxf>
    <dxf>
      <fill>
        <patternFill>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ont>
        <color rgb="FF008000"/>
      </font>
    </dxf>
    <dxf>
      <font>
        <color rgb="FFC00000"/>
      </font>
    </dxf>
    <dxf>
      <font>
        <color rgb="FFFF0000"/>
      </font>
    </dxf>
    <dxf>
      <font>
        <color rgb="FFFF0000"/>
      </font>
    </dxf>
    <dxf>
      <font>
        <color rgb="FFFF0000"/>
      </font>
    </dxf>
    <dxf>
      <font>
        <color rgb="FFC0000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b val="1"/>
        <color rgb="FFC00000"/>
      </font>
    </dxf>
    <dxf>
      <font>
        <color rgb="FFC00000"/>
      </font>
    </dxf>
    <dxf>
      <fill>
        <patternFill>
          <bgColor theme="0"/>
        </patternFill>
      </fill>
    </dxf>
    <dxf>
      <fill>
        <patternFill>
          <bgColor theme="0"/>
        </patternFill>
      </fill>
    </dxf>
    <dxf>
      <fill>
        <patternFill>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bgColor auto="1"/>
        </patternFill>
      </fill>
    </dxf>
    <dxf>
      <fill>
        <patternFill patternType="solid">
          <bgColor theme="0"/>
        </patternFill>
      </fill>
    </dxf>
    <dxf>
      <fill>
        <patternFill>
          <bgColor auto="1"/>
        </patternFill>
      </fill>
    </dxf>
    <dxf>
      <fill>
        <patternFill patternType="solid">
          <bgColor theme="0"/>
        </patternFill>
      </fill>
    </dxf>
    <dxf>
      <fill>
        <patternFill>
          <bgColor auto="1"/>
        </patternFill>
      </fill>
    </dxf>
    <dxf>
      <fill>
        <patternFill>
          <bgColor auto="1"/>
        </patternFill>
      </fill>
    </dxf>
    <dxf>
      <fill>
        <patternFill patternType="solid">
          <bgColor theme="0"/>
        </patternFill>
      </fill>
    </dxf>
    <dxf>
      <fill>
        <patternFill>
          <bgColor auto="1"/>
        </patternFill>
      </fill>
    </dxf>
    <dxf>
      <fill>
        <patternFill patternType="solid">
          <bgColor theme="0"/>
        </patternFill>
      </fill>
    </dxf>
    <dxf>
      <fill>
        <patternFill>
          <bgColor auto="1"/>
        </patternFill>
      </fill>
    </dxf>
    <dxf>
      <fill>
        <patternFill>
          <bgColor theme="0"/>
        </patternFill>
      </fill>
    </dxf>
    <dxf>
      <fill>
        <patternFill>
          <bgColor auto="1"/>
        </patternFill>
      </fill>
    </dxf>
    <dxf>
      <fill>
        <patternFill patternType="solid">
          <bgColor theme="0"/>
        </patternFill>
      </fill>
    </dxf>
    <dxf>
      <fill>
        <patternFill>
          <bgColor auto="1"/>
        </patternFill>
      </fill>
    </dxf>
    <dxf>
      <fill>
        <patternFill>
          <bgColor auto="1"/>
        </patternFill>
      </fill>
    </dxf>
    <dxf>
      <fill>
        <patternFill patternType="solid">
          <bgColor theme="0"/>
        </patternFill>
      </fill>
    </dxf>
    <dxf>
      <fill>
        <patternFill>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patternType="solid">
          <bgColor theme="0"/>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ndense val="0"/>
        <color indexed="17"/>
        <extend val="0"/>
      </font>
    </dxf>
    <dxf>
      <font>
        <color rgb="FFFF0000"/>
      </font>
    </dxf>
    <dxf>
      <font>
        <b val="1"/>
        <color rgb="FFC00000"/>
      </font>
    </dxf>
    <dxf>
      <font>
        <b val="1"/>
        <color rgb="FFC00000"/>
      </font>
    </dxf>
    <dxf>
      <font>
        <color rgb="FFFF0000"/>
      </font>
    </dxf>
    <dxf>
      <font>
        <color rgb="FFFF0000"/>
      </font>
    </dxf>
    <dxf>
      <fill>
        <patternFill>
          <bgColor theme="0"/>
        </patternFill>
      </fill>
    </dxf>
    <dxf>
      <fill>
        <patternFill>
          <bgColor theme="0"/>
        </patternFill>
      </fill>
    </dxf>
    <dxf>
      <font>
        <b val="1"/>
        <color rgb="FFFF0000"/>
      </font>
    </dxf>
    <dxf>
      <font>
        <color indexed="10"/>
      </font>
    </dxf>
    <dxf>
      <fill>
        <patternFill>
          <bgColor theme="0"/>
        </patternFill>
      </fill>
    </dxf>
    <dxf>
      <border>
        <left style="thin">
          <color auto="1"/>
        </left>
        <right style="thin">
          <color auto="1"/>
        </right>
        <top style="thin">
          <color auto="1"/>
        </top>
        <bottom style="thin">
          <color auto="1"/>
        </bottom>
        <vertical/>
        <horizontal/>
      </border>
    </dxf>
    <dxf>
      <border>
        <left/>
        <right/>
        <top/>
        <bottom/>
        <vertical/>
        <horizontal/>
      </border>
    </dxf>
    <dxf>
      <font>
        <color theme="1"/>
      </font>
    </dxf>
    <dxf>
      <fill>
        <patternFill>
          <bgColor theme="0"/>
        </patternFill>
      </fill>
    </dxf>
    <dxf>
      <font>
        <b val="1"/>
        <color rgb="FFC00000"/>
      </font>
    </dxf>
    <dxf>
      <font>
        <color theme="1"/>
      </font>
    </dxf>
    <dxf>
      <font>
        <color theme="1"/>
      </font>
    </dxf>
    <dxf>
      <font>
        <b val="1"/>
        <color auto="1"/>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4" tint="0.7999816888943144"/>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ndense val="0"/>
        <color indexed="10"/>
        <extend val="0"/>
      </font>
    </dxf>
    <dxf>
      <font>
        <condense val="0"/>
        <color indexed="10"/>
        <extend val="0"/>
      </font>
    </dxf>
    <dxf>
      <font>
        <condense val="0"/>
        <color indexed="9"/>
        <extend val="0"/>
      </font>
    </dxf>
    <dxf>
      <font>
        <b val="1"/>
        <color rgb="FFFF0000"/>
      </font>
    </dxf>
    <dxf>
      <fill>
        <patternFill>
          <bgColor theme="0"/>
        </patternFill>
      </fill>
    </dxf>
    <dxf>
      <font>
        <color indexed="10"/>
      </font>
    </dxf>
    <dxf>
      <font>
        <condense val="0"/>
        <color indexed="10"/>
        <extend val="0"/>
      </font>
    </dxf>
    <dxf>
      <font>
        <condense val="0"/>
        <color indexed="9"/>
        <extend val="0"/>
      </font>
    </dxf>
    <dxf>
      <font>
        <b val="1"/>
        <condense val="0"/>
        <color indexed="10"/>
        <extend val="0"/>
      </font>
    </dxf>
    <dxf>
      <font>
        <b val="1"/>
        <color rgb="FFFF0000"/>
      </font>
    </dxf>
    <dxf>
      <font>
        <color indexed="10"/>
      </font>
    </dxf>
    <dxf>
      <font>
        <color rgb="FFFF0000"/>
      </font>
    </dxf>
    <dxf>
      <font>
        <b val="1"/>
        <color rgb="FFFF0000"/>
      </font>
    </dxf>
    <dxf>
      <font>
        <color rgb="FFC00000"/>
      </font>
    </dxf>
    <dxf>
      <font>
        <color rgb="FFC00000"/>
      </font>
    </dxf>
    <dxf>
      <font>
        <condense val="0"/>
        <color indexed="10"/>
        <extend val="0"/>
      </font>
    </dxf>
    <dxf>
      <font>
        <color rgb="FFC00000"/>
      </font>
    </dxf>
    <dxf>
      <font>
        <color rgb="FFC00000"/>
      </font>
    </dxf>
    <dxf>
      <font>
        <b val="1"/>
        <color rgb="FFC00000"/>
      </font>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color theme="0"/>
      </font>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ont>
        <b val="1"/>
        <color rgb="FFC00000"/>
      </font>
    </dxf>
    <dxf>
      <fill>
        <patternFill>
          <bgColor theme="0"/>
        </patternFill>
      </fill>
    </dxf>
    <dxf>
      <font>
        <b val="1"/>
        <color rgb="FFC00000"/>
      </font>
    </dxf>
    <dxf>
      <font>
        <b val="1"/>
        <color rgb="FFC00000"/>
      </font>
    </dxf>
    <dxf>
      <font>
        <b val="1"/>
        <color rgb="FFC00000"/>
      </font>
    </dxf>
    <dxf>
      <font>
        <b val="1"/>
        <color rgb="FFC00000"/>
      </font>
    </dxf>
    <dxf>
      <font>
        <b val="1"/>
        <color rgb="FFC00000"/>
      </font>
    </dxf>
    <dxf>
      <fill>
        <patternFill>
          <bgColor theme="0"/>
        </patternFill>
      </fill>
    </dxf>
    <dxf>
      <font>
        <b val="1"/>
        <color rgb="FFC00000"/>
      </font>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ont>
        <color rgb="FFFF0000"/>
      </font>
    </dxf>
    <dxf>
      <font>
        <b val="1"/>
        <color rgb="FFC00000"/>
      </font>
    </dxf>
    <dxf>
      <font>
        <b val="1"/>
        <i val="1"/>
        <color rgb="FF008000"/>
      </font>
    </dxf>
    <dxf>
      <font>
        <b val="1"/>
        <color rgb="FFC00000"/>
      </font>
    </dxf>
    <dxf>
      <fill>
        <patternFill>
          <bgColor theme="0"/>
        </patternFill>
      </fill>
    </dxf>
    <dxf>
      <fill>
        <patternFill>
          <bgColor theme="0"/>
        </patternFill>
      </fill>
    </dxf>
    <dxf>
      <fill>
        <patternFill>
          <bgColor theme="0"/>
        </patternFill>
      </fill>
    </dxf>
    <dxf>
      <font>
        <b val="1"/>
        <color rgb="FFC00000"/>
      </font>
    </dxf>
    <dxf>
      <font>
        <color rgb="FFFF0000"/>
      </font>
    </dxf>
    <dxf>
      <font>
        <b val="1"/>
        <color rgb="FFC00000"/>
      </font>
    </dxf>
    <dxf>
      <font>
        <color rgb="FFFF0000"/>
      </font>
    </dxf>
    <dxf>
      <font>
        <b val="1"/>
        <color rgb="FFC00000"/>
      </font>
    </dxf>
    <dxf>
      <font>
        <color rgb="FFC00000"/>
      </font>
    </dxf>
    <dxf>
      <fill>
        <patternFill>
          <bgColor theme="0"/>
        </patternFill>
      </fill>
    </dxf>
    <dxf>
      <font>
        <color rgb="FFFF0000"/>
      </font>
    </dxf>
    <dxf>
      <font>
        <color rgb="FFFF0000"/>
      </font>
    </dxf>
    <dxf>
      <font>
        <color rgb="FFFF0000"/>
      </font>
    </dxf>
    <dxf>
      <font>
        <color rgb="FFFF0000"/>
      </font>
    </dxf>
    <dxf>
      <fill>
        <patternFill>
          <bgColor theme="0"/>
        </patternFill>
      </fill>
    </dxf>
    <dxf>
      <font>
        <color rgb="FFC00000"/>
      </font>
    </dxf>
    <dxf>
      <font>
        <color rgb="FFFF0000"/>
      </font>
    </dxf>
    <dxf>
      <font>
        <color rgb="FFFF0000"/>
      </font>
    </dxf>
    <dxf>
      <font>
        <color rgb="FFFF0000"/>
      </font>
    </dxf>
    <dxf>
      <font>
        <color rgb="FFC00000"/>
      </font>
    </dxf>
    <dxf>
      <font>
        <color rgb="FFC00000"/>
      </font>
    </dxf>
    <dxf>
      <font>
        <color rgb="FFC00000"/>
      </font>
    </dxf>
    <dxf>
      <font>
        <color rgb="FFC00000"/>
      </font>
    </dxf>
    <dxf>
      <fill>
        <patternFill>
          <bgColor theme="0"/>
        </patternFill>
      </fill>
    </dxf>
    <dxf>
      <font>
        <color rgb="FFC00000"/>
      </font>
    </dxf>
    <dxf>
      <font>
        <color rgb="FFFF0000"/>
      </font>
    </dxf>
    <dxf>
      <font>
        <color rgb="FFFF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color rgb="FFC00000"/>
      </font>
    </dxf>
    <dxf>
      <fill>
        <patternFill>
          <bgColor theme="0"/>
        </patternFill>
      </fill>
    </dxf>
    <dxf>
      <fill>
        <patternFill>
          <bgColor theme="0"/>
        </patternFill>
      </fill>
    </dxf>
    <dxf>
      <font>
        <color theme="0"/>
      </font>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rgb="FFC00000"/>
      </font>
    </dxf>
    <dxf>
      <font>
        <color theme="4" tint="0.7999816888943144"/>
      </font>
    </dxf>
    <dxf>
      <fill>
        <patternFill>
          <bgColor theme="0"/>
        </patternFill>
      </fill>
    </dxf>
    <dxf>
      <fill>
        <patternFill>
          <bgColor theme="0"/>
        </patternFill>
      </fill>
    </dxf>
    <dxf>
      <font>
        <color theme="4" tint="0.7999816888943144"/>
      </font>
    </dxf>
    <dxf>
      <fill>
        <patternFill>
          <bgColor theme="0"/>
        </patternFill>
      </fill>
    </dxf>
    <dxf>
      <fill>
        <patternFill>
          <bgColor theme="0"/>
        </patternFill>
      </fill>
    </dxf>
    <dxf>
      <font>
        <b val="1"/>
        <color rgb="FFFF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ont>
        <b val="1"/>
        <color rgb="FFC00000"/>
      </font>
    </dxf>
    <dxf>
      <font>
        <color theme="0"/>
      </font>
    </dxf>
    <dxf>
      <font>
        <color theme="4" tint="0.7999816888943144"/>
      </font>
    </dxf>
    <dxf>
      <font>
        <color theme="0"/>
      </font>
    </dxf>
    <dxf>
      <font>
        <color theme="0"/>
      </font>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fill>
        <patternFill>
          <bgColor auto="1"/>
        </patternFill>
      </fill>
      <border>
        <left/>
        <right/>
        <top/>
        <bottom/>
        <vertical/>
        <horizontal/>
      </border>
    </dxf>
    <dxf>
      <font>
        <b val="1"/>
        <color rgb="FFFF0000"/>
      </font>
      <fill>
        <patternFill>
          <bgColor theme="0"/>
        </patternFill>
      </fill>
    </dxf>
    <dxf>
      <font>
        <color theme="0"/>
      </font>
      <fill>
        <patternFill>
          <bgColor auto="1"/>
        </patternFill>
      </fill>
      <border>
        <left/>
        <right/>
        <top/>
        <bottom/>
        <vertical/>
        <horizontal/>
      </border>
    </dxf>
    <dxf>
      <font>
        <strike val="0"/>
        <color auto="1"/>
      </font>
    </dxf>
    <dxf>
      <font>
        <strike val="0"/>
        <color auto="1"/>
      </font>
    </dxf>
    <dxf>
      <font>
        <color theme="0"/>
      </font>
      <fill>
        <patternFill>
          <bgColor auto="1"/>
        </patternFill>
      </fill>
      <border>
        <left/>
        <right/>
        <top/>
        <bottom/>
        <vertical/>
        <horizontal/>
      </border>
    </dxf>
    <dxf>
      <font>
        <b val="1"/>
        <color rgb="FFFF0000"/>
      </font>
      <fill>
        <patternFill>
          <bgColor theme="0"/>
        </patternFill>
      </fill>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fill>
        <patternFill patternType="solid">
          <bgColor theme="0"/>
        </patternFill>
      </fill>
      <border>
        <left style="thin">
          <color auto="1"/>
        </left>
        <right style="thin">
          <color auto="1"/>
        </right>
        <top style="thin">
          <color auto="1"/>
        </top>
        <bottom style="thin">
          <color auto="1"/>
        </bottom>
      </border>
    </dxf>
    <dxf>
      <font>
        <strike val="0"/>
        <color rgb="FFFF0000"/>
      </font>
      <fill>
        <patternFill patternType="solid">
          <bgColor theme="0"/>
        </patternFill>
      </fill>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b val="1"/>
        <color rgb="FFFF0000"/>
      </font>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b val="1"/>
        <i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patternType="solid"/>
      </fill>
    </dxf>
    <dxf>
      <fill>
        <patternFill>
          <fgColor theme="0"/>
          <bgColor theme="0"/>
        </patternFill>
      </fill>
    </dxf>
    <dxf>
      <font/>
      <fill>
        <patternFill patternType="solid">
          <bgColor theme="0"/>
        </patternFill>
      </fill>
    </dxf>
    <dxf>
      <fill>
        <patternFill patternType="solid">
          <bgColor theme="0"/>
        </patternFill>
      </fill>
    </dxf>
    <dxf>
      <fill>
        <patternFill patternType="solid">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ont>
        <color rgb="FFFF0000"/>
      </font>
    </dxf>
    <dxf>
      <font>
        <color theme="0"/>
      </font>
    </dxf>
    <dxf>
      <fill>
        <patternFill>
          <bgColor theme="0"/>
        </patternFill>
      </fill>
    </dxf>
    <dxf>
      <fill>
        <patternFill>
          <bgColor theme="0"/>
        </patternFill>
      </fill>
    </dxf>
    <dxf>
      <font>
        <condense val="0"/>
        <color indexed="9"/>
        <extend val="0"/>
      </font>
    </dxf>
    <dxf>
      <fill>
        <patternFill>
          <bgColor theme="0"/>
        </patternFill>
      </fill>
    </dxf>
    <dxf>
      <font>
        <color theme="4" tint="0.7999816888943144"/>
      </font>
    </dxf>
    <dxf>
      <fill>
        <patternFill>
          <bgColor theme="0"/>
        </patternFill>
      </fill>
    </dxf>
    <dxf>
      <fill>
        <patternFill>
          <bgColor theme="0"/>
        </patternFill>
      </fill>
    </dxf>
    <dxf>
      <font>
        <color theme="4" tint="0.7999816888943144"/>
      </font>
    </dxf>
    <dxf>
      <fill>
        <patternFill>
          <bgColor theme="0"/>
        </patternFill>
      </fill>
    </dxf>
    <dxf>
      <font>
        <condense val="0"/>
        <color indexed="9"/>
        <extend val="0"/>
      </font>
    </dxf>
    <dxf>
      <fill>
        <patternFill>
          <bgColor theme="0"/>
        </patternFill>
      </fill>
    </dxf>
    <dxf>
      <font>
        <color theme="4" tint="0.7999816888943144"/>
      </font>
    </dxf>
    <dxf>
      <fill>
        <patternFill>
          <bgColor theme="0"/>
        </patternFill>
      </fill>
    </dxf>
    <dxf>
      <fill>
        <patternFill>
          <bgColor theme="0"/>
        </patternFill>
      </fill>
    </dxf>
    <dxf>
      <font>
        <color rgb="FFFF0000"/>
      </font>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C00000"/>
      </font>
    </dxf>
    <dxf>
      <fill>
        <patternFill>
          <bgColor theme="0"/>
        </patternFill>
      </fill>
    </dxf>
    <dxf>
      <font>
        <b val="1"/>
        <color rgb="FFC00000"/>
      </font>
      <fill>
        <patternFill patternType="solid">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ont>
        <color rgb="FF008000"/>
      </font>
    </dxf>
    <dxf>
      <font>
        <b val="1"/>
      </font>
    </dxf>
    <dxf>
      <font>
        <color rgb="FFFF0000"/>
      </font>
    </dxf>
    <dxf>
      <font>
        <color rgb="FFFF0000"/>
      </font>
    </dxf>
    <dxf>
      <font>
        <b val="1"/>
        <color rgb="FFFF0000"/>
      </font>
    </dxf>
    <dxf>
      <font>
        <color rgb="FFFF0000"/>
      </font>
    </dxf>
    <dxf>
      <font>
        <color rgb="FFFF0000"/>
      </font>
    </dxf>
    <dxf>
      <font>
        <color rgb="FFFF0000"/>
      </font>
    </dxf>
    <dxf>
      <font>
        <b val="1"/>
        <color rgb="FFFF0000"/>
      </font>
    </dxf>
    <dxf>
      <font>
        <color rgb="FFFF0000"/>
      </font>
    </dxf>
    <dxf>
      <font>
        <color rgb="FFFF0000"/>
      </font>
    </dxf>
    <dxf>
      <font>
        <color rgb="FFFF0000"/>
      </font>
    </dxf>
    <dxf>
      <font>
        <b val="1"/>
        <color rgb="FFFF0000"/>
      </font>
    </dxf>
    <dxf>
      <font>
        <b val="1"/>
        <color rgb="FFFF0000"/>
      </font>
    </dxf>
    <dxf>
      <font>
        <color rgb="FFFF0000"/>
      </font>
    </dxf>
    <dxf>
      <font>
        <color rgb="FFFF0000"/>
      </font>
    </dxf>
    <dxf>
      <font>
        <color rgb="FFFF0000"/>
      </font>
    </dxf>
    <dxf>
      <font>
        <b val="1"/>
        <i val="1"/>
        <color rgb="FFFF0000"/>
      </font>
    </dxf>
    <dxf>
      <font>
        <color rgb="FFFF0000"/>
      </font>
    </dxf>
    <dxf>
      <font>
        <color rgb="FFFF0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val="1"/>
        <i val="1"/>
        <color rgb="FFFF0000"/>
      </font>
    </dxf>
    <dxf>
      <font>
        <color rgb="FFFF0000"/>
      </font>
    </dxf>
    <dxf>
      <font>
        <condense val="0"/>
        <extend val="0"/>
      </font>
      <fill>
        <patternFill>
          <bgColor indexed="9"/>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008000"/>
      </font>
    </dxf>
    <dxf>
      <font>
        <color rgb="FF008000"/>
      </font>
    </dxf>
    <dxf>
      <font>
        <color rgb="FFC00000"/>
      </font>
    </dxf>
    <dxf>
      <font>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border>
        <bottom style="thin">
          <color auto="1"/>
        </bottom>
      </border>
    </dxf>
    <dxf>
      <fill>
        <patternFill>
          <bgColor theme="4" tint="0.5999633777886288"/>
        </patternFill>
      </fill>
      <border>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b val="1"/>
        <color rgb="FFFF0000"/>
      </font>
    </dxf>
    <dxf>
      <fill>
        <patternFill>
          <bgColor theme="0"/>
        </patternFill>
      </fill>
    </dxf>
    <dxf>
      <font>
        <b val="1"/>
        <color rgb="FFFF0000"/>
      </font>
    </dxf>
    <dxf>
      <fill>
        <patternFill>
          <bgColor theme="0"/>
        </patternFill>
      </fill>
    </dxf>
    <dxf>
      <font>
        <b val="1"/>
        <color rgb="FFFF0000"/>
      </font>
    </dxf>
    <dxf>
      <font>
        <color rgb="FFFF0000"/>
      </font>
    </dxf>
    <dxf>
      <font>
        <color rgb="FFFF0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ont>
        <color rgb="FFFF0000"/>
      </font>
    </dxf>
    <dxf>
      <font>
        <color rgb="FFFF0000"/>
      </font>
    </dxf>
    <dxf>
      <fill>
        <patternFill>
          <bgColor theme="0"/>
        </patternFill>
      </fill>
    </dxf>
    <dxf>
      <font>
        <b val="1"/>
        <color rgb="FFFF0000"/>
      </font>
    </dxf>
    <dxf>
      <font>
        <color rgb="FFFF0000"/>
      </font>
    </dxf>
    <dxf>
      <fill>
        <patternFill>
          <bgColor theme="0"/>
        </patternFill>
      </fill>
    </dxf>
    <dxf>
      <font>
        <color rgb="FF008000"/>
      </font>
    </dxf>
    <dxf>
      <font>
        <color theme="0"/>
      </font>
    </dxf>
    <dxf>
      <font>
        <color theme="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fgColor theme="0"/>
          <bgColor theme="0"/>
        </patternFill>
      </fill>
    </dxf>
    <dxf>
      <fill>
        <patternFill>
          <fgColor theme="0"/>
          <bgColor theme="0"/>
        </patternFill>
      </fill>
    </dxf>
    <dxf>
      <fill>
        <patternFill patternType="solid">
          <bgColor theme="0"/>
        </patternFill>
      </fill>
    </dxf>
    <dxf>
      <fill>
        <patternFill patternType="solid">
          <bgColor theme="0"/>
        </patternFill>
      </fill>
    </dxf>
    <dxf>
      <fill>
        <patternFill>
          <bgColor theme="0"/>
        </patternFill>
      </fill>
    </dxf>
    <dxf>
      <fill>
        <patternFill patternType="solid">
          <fgColor theme="0"/>
          <bgColor theme="0"/>
        </patternFill>
      </fill>
      <border>
        <left/>
        <right/>
        <top/>
        <bottom/>
      </border>
    </dxf>
    <dxf>
      <fill>
        <patternFill>
          <bgColor theme="0"/>
        </patternFill>
      </fill>
    </dxf>
    <dxf>
      <fill>
        <patternFill patternType="solid">
          <fgColor theme="0"/>
          <bgColor theme="0"/>
        </patternFill>
      </fill>
      <border>
        <left/>
        <right/>
        <top/>
        <bottom/>
      </border>
    </dxf>
    <dxf>
      <fill>
        <patternFill>
          <fgColor theme="0"/>
          <bgColor theme="0"/>
        </patternFill>
      </fill>
    </dxf>
    <dxf>
      <fill>
        <patternFill>
          <bgColor theme="0"/>
        </patternFill>
      </fill>
    </dxf>
    <dxf>
      <fill>
        <patternFill>
          <fgColor theme="0"/>
          <bgColor theme="0"/>
        </patternFill>
      </fill>
    </dxf>
    <dxf>
      <fill>
        <patternFill>
          <fgColor theme="0"/>
          <bgColor theme="0"/>
        </patternFill>
      </fill>
    </dxf>
    <dxf>
      <fill>
        <patternFill>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patternType="solid">
          <bgColor theme="0"/>
        </patternFill>
      </fill>
    </dxf>
    <dxf>
      <fill>
        <patternFill patternType="lightUp">
          <fgColor theme="0"/>
          <bgColor theme="0"/>
        </patternFill>
      </fill>
    </dxf>
    <dxf>
      <fill>
        <patternFill patternType="lightUp">
          <fgColor theme="0"/>
          <bgColor theme="0"/>
        </patternFill>
      </fill>
    </dxf>
    <dxf>
      <fill>
        <patternFill patternType="lightUp">
          <fgColor theme="0"/>
          <bgColor theme="0"/>
        </patternFill>
      </fill>
    </dxf>
    <dxf>
      <fill>
        <patternFill>
          <fgColor theme="0"/>
          <bgColor theme="0"/>
        </patternFill>
      </fill>
    </dxf>
    <dxf>
      <fill>
        <patternFill>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dxf>
    <dxf>
      <fill>
        <patternFill patternType="solid">
          <fgColor theme="0"/>
          <bgColor theme="0"/>
        </patternFill>
      </fill>
    </dxf>
    <dxf>
      <fill>
        <patternFill patternType="solid">
          <fgColor auto="1"/>
          <bgColor theme="0"/>
        </patternFill>
      </fill>
      <border>
        <left style="thin">
          <color auto="1"/>
        </left>
        <right style="thin">
          <color auto="1"/>
        </right>
        <top style="thin">
          <color auto="1"/>
        </top>
        <bottom style="thin">
          <color auto="1"/>
        </bottom>
      </border>
    </dxf>
    <dxf>
      <fill>
        <patternFill patternType="solid">
          <bgColor theme="0"/>
        </patternFill>
      </fill>
    </dxf>
    <dxf>
      <fill>
        <patternFill patternType="lightUp">
          <fgColor theme="0"/>
          <bgColor theme="0"/>
        </patternFill>
      </fill>
    </dxf>
    <dxf>
      <fill>
        <patternFill patternType="lightUp">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dxf>
    <dxf>
      <fill>
        <patternFill patternType="solid">
          <fgColor theme="0"/>
          <bgColor theme="0"/>
        </patternFill>
      </fill>
    </dxf>
    <dxf>
      <fill>
        <patternFill patternType="solid">
          <fgColor auto="1"/>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
      </font>
    </dxf>
    <dxf>
      <fill>
        <patternFill>
          <bgColor theme="0"/>
        </patternFill>
      </fill>
    </dxf>
    <dxf>
      <font>
        <color theme="4" tint="0.5999633777886288"/>
      </font>
    </dxf>
    <dxf>
      <font>
        <color theme="4" tint="0.5999633777886288"/>
      </font>
    </dxf>
    <dxf>
      <fill>
        <patternFill>
          <bgColor theme="0"/>
        </patternFill>
      </fill>
    </dxf>
    <dxf>
      <font>
        <b val="1"/>
        <condense val="0"/>
        <color indexed="10"/>
        <extend val="0"/>
      </font>
    </dxf>
    <dxf>
      <font>
        <b val="1"/>
        <condense val="0"/>
        <color indexed="10"/>
        <extend val="0"/>
      </font>
    </dxf>
    <dxf>
      <fill>
        <patternFill>
          <bgColor theme="0"/>
        </patternFill>
      </fill>
    </dxf>
    <dxf>
      <font>
        <color theme="4" tint="0.5999633777886288"/>
      </font>
    </dxf>
    <dxf>
      <fill>
        <patternFill>
          <bgColor theme="0"/>
        </patternFill>
      </fill>
    </dxf>
    <dxf>
      <font>
        <color theme="4" tint="0.5999633777886288"/>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
      </font>
    </dxf>
    <dxf>
      <fill>
        <patternFill>
          <bgColor theme="0"/>
        </patternFill>
      </fill>
    </dxf>
    <dxf>
      <font>
        <color theme="4" tint="0.5999633777886288"/>
      </font>
    </dxf>
    <dxf>
      <font>
        <color theme="4" tint="0.5999633777886288"/>
      </font>
    </dxf>
    <dxf>
      <fill>
        <patternFill>
          <bgColor theme="0"/>
        </patternFill>
      </fill>
    </dxf>
    <dxf>
      <font>
        <color theme="4" tint="0.5999633777886288"/>
      </font>
    </dxf>
    <dxf>
      <font>
        <b val="1"/>
        <condense val="0"/>
        <color indexed="10"/>
        <extend val="0"/>
      </font>
    </dxf>
    <dxf>
      <font>
        <b val="1"/>
        <condense val="0"/>
        <color indexed="10"/>
        <extend val="0"/>
      </font>
    </dxf>
    <dxf>
      <font>
        <color theme="4" tint="0.5999633777886288"/>
      </font>
    </dxf>
    <dxf>
      <fill>
        <patternFill>
          <bgColor theme="0"/>
        </patternFill>
      </fill>
    </dxf>
    <dxf>
      <font>
        <color theme="4" tint="0.5999633777886288"/>
      </font>
    </dxf>
    <dxf>
      <fill>
        <patternFill>
          <bgColor theme="0"/>
        </patternFill>
      </fill>
    </dxf>
    <dxf>
      <fill>
        <patternFill>
          <bgColor theme="0"/>
        </patternFill>
      </fill>
    </dxf>
    <dxf>
      <fill>
        <patternFill>
          <bgColor theme="0"/>
        </patternFill>
      </fill>
    </dxf>
    <dxf>
      <font>
        <color theme="0"/>
      </font>
    </dxf>
    <dxf>
      <font>
        <b val="1"/>
        <color rgb="FFC00000"/>
      </font>
    </dxf>
    <dxf>
      <fill>
        <patternFill>
          <bgColor theme="0"/>
        </patternFill>
      </fill>
    </dxf>
    <dxf>
      <font>
        <color theme="0"/>
      </font>
    </dxf>
    <dxf>
      <font>
        <b val="1"/>
        <color rgb="FFC0000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ont>
        <color rgb="FFFF0000"/>
      </font>
    </dxf>
    <dxf>
      <font>
        <color rgb="FFFF0000"/>
      </font>
    </dxf>
    <dxf>
      <font>
        <color theme="0"/>
      </font>
    </dxf>
    <dxf>
      <font>
        <color rgb="FFC00000"/>
      </font>
    </dxf>
    <dxf>
      <font>
        <color rgb="FFC00000"/>
      </font>
    </dxf>
    <dxf>
      <font>
        <color rgb="FFFF0000"/>
      </font>
    </dxf>
    <dxf>
      <font>
        <color rgb="FFFF0000"/>
      </font>
    </dxf>
    <dxf>
      <fill>
        <patternFill>
          <bgColor theme="0"/>
        </patternFill>
      </fill>
    </dxf>
    <dxf>
      <fill>
        <patternFill>
          <bgColor theme="0"/>
        </patternFill>
      </fill>
    </dxf>
    <dxf>
      <font>
        <color theme="1"/>
      </font>
      <fill>
        <patternFill>
          <bgColor theme="4" tint="0.7999816888943144"/>
        </patternFill>
      </fill>
      <border>
        <left style="thin">
          <color auto="1"/>
        </left>
        <right style="thin">
          <color auto="1"/>
        </right>
        <top style="thin">
          <color auto="1"/>
        </top>
        <bottom style="thin">
          <color auto="1"/>
        </bottom>
        <vertical/>
        <horizontal/>
      </border>
    </dxf>
    <dxf>
      <font>
        <color theme="1"/>
      </font>
      <fill>
        <patternFill>
          <bgColor theme="4" tint="0.5999633777886288"/>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patternType="solid">
          <fgColor theme="0"/>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4" tint="0.7999816888943144"/>
        </patternFill>
      </fill>
      <border>
        <bottom style="thin">
          <color auto="1"/>
        </bottom>
        <vertical/>
        <horizontal/>
      </border>
    </dxf>
    <dxf>
      <fill>
        <patternFill>
          <bgColor theme="4" tint="0.7999816888943144"/>
        </patternFill>
      </fill>
      <border>
        <bottom style="thin">
          <color auto="1"/>
        </bottom>
        <vertical/>
        <horizontal/>
      </border>
    </dxf>
    <dxf>
      <fill>
        <patternFill>
          <bgColor theme="4" tint="0.7999816888943144"/>
        </patternFill>
      </fill>
      <border>
        <bottom style="thin">
          <color auto="1"/>
        </bottom>
        <vertical/>
        <horizontal/>
      </border>
    </dxf>
    <dxf>
      <fill>
        <patternFill>
          <bgColor theme="4" tint="0.5999633777886288"/>
        </patternFill>
      </fill>
      <border>
        <bottom style="thin">
          <color auto="1"/>
        </bottom>
        <vertical/>
        <horizontal/>
      </border>
    </dxf>
    <dxf>
      <border>
        <bottom style="dotted">
          <color auto="1"/>
        </bottom>
        <vertical/>
        <horizontal/>
      </border>
    </dxf>
    <dxf>
      <font>
        <color rgb="FFFF0000"/>
      </font>
    </dxf>
    <dxf>
      <fill>
        <patternFill>
          <bgColor theme="4" tint="0.7999816888943144"/>
        </patternFill>
      </fill>
      <border>
        <bottom style="thin">
          <color auto="1"/>
        </bottom>
        <vertical/>
        <horizontal/>
      </border>
    </dxf>
    <dxf>
      <fill>
        <patternFill>
          <bgColor theme="4" tint="0.7999816888943144"/>
        </patternFill>
      </fill>
      <border>
        <bottom style="thin">
          <color auto="1"/>
        </bottom>
        <vertical/>
        <horizontal/>
      </border>
    </dxf>
    <dxf>
      <fill>
        <patternFill>
          <bgColor theme="4" tint="0.7999816888943144"/>
        </patternFill>
      </fill>
      <border>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dxf>
    <dxf>
      <fill>
        <patternFill>
          <bgColor theme="0"/>
        </patternFill>
      </fill>
    </dxf>
    <dxf>
      <font>
        <color theme="1"/>
      </font>
      <fill>
        <patternFill>
          <bgColor theme="4" tint="0.7999816888943144"/>
        </patternFill>
      </fill>
      <border>
        <left style="thin">
          <color auto="1"/>
        </left>
        <right style="thin">
          <color auto="1"/>
        </right>
        <top style="thin">
          <color auto="1"/>
        </top>
        <bottom style="thin">
          <color auto="1"/>
        </bottom>
        <vertical/>
        <horizontal/>
      </border>
    </dxf>
    <dxf>
      <font>
        <color rgb="FFC00000"/>
      </font>
    </dxf>
    <dxf>
      <fill>
        <patternFill patternType="solid">
          <fgColor theme="0"/>
          <bgColor theme="0"/>
        </patternFill>
      </fill>
    </dxf>
    <dxf>
      <font>
        <color rgb="FFC00000"/>
      </font>
    </dxf>
    <dxf>
      <fill>
        <patternFill>
          <bgColor theme="0"/>
        </patternFill>
      </fill>
      <border>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i val="1"/>
        <color rgb="FFC00000"/>
      </font>
      <fill>
        <patternFill>
          <bgColor theme="0"/>
        </patternFill>
      </fill>
      <border>
        <vertical/>
        <horizontal/>
      </border>
    </dxf>
    <dxf>
      <fill>
        <patternFill>
          <bgColor theme="0"/>
        </patternFill>
      </fill>
    </dxf>
    <dxf>
      <font>
        <color theme="0"/>
      </font>
    </dxf>
    <dxf>
      <fill>
        <patternFill>
          <bgColor theme="0"/>
        </patternFill>
      </fill>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ont>
        <color theme="0"/>
      </font>
    </dxf>
    <dxf>
      <font>
        <b val="1"/>
        <i val="1"/>
        <color rgb="FFC00000"/>
      </font>
    </dxf>
    <dxf>
      <font>
        <b val="1"/>
        <i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
        </patternFill>
      </fill>
    </dxf>
    <dxf>
      <fill>
        <patternFill>
          <bgColor theme="4" tint="0.7999816888943144"/>
        </patternFill>
      </fill>
    </dxf>
    <dxf>
      <font>
        <color rgb="FFFF0000"/>
      </font>
    </dxf>
    <dxf>
      <font>
        <color rgb="FFFF0000"/>
      </font>
    </dxf>
    <dxf>
      <fill>
        <patternFill>
          <bgColor theme="0"/>
        </patternFill>
      </fill>
    </dxf>
    <dxf>
      <font>
        <color theme="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top style="thin">
          <color auto="1"/>
        </top>
        <bottom style="thin">
          <color auto="1"/>
        </bottom>
        <vertical/>
        <horizontal/>
      </border>
    </dxf>
    <dxf>
      <fill>
        <patternFill>
          <bgColor theme="0"/>
        </patternFill>
      </fill>
      <border>
        <left style="thin">
          <color auto="1"/>
        </lef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ont>
        <color theme="0"/>
      </font>
    </dxf>
    <dxf>
      <font>
        <b val="1"/>
        <i val="1"/>
        <color rgb="FFC00000"/>
      </font>
    </dxf>
    <dxf>
      <font>
        <b val="1"/>
        <i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
        </patternFill>
      </fill>
    </dxf>
    <dxf>
      <fill>
        <patternFill>
          <bgColor theme="0"/>
        </patternFill>
      </fill>
    </dxf>
    <dxf>
      <font>
        <color rgb="FFFF0000"/>
      </font>
    </dxf>
    <dxf>
      <font>
        <color rgb="FFFF0000"/>
      </font>
    </dxf>
    <dxf>
      <fill>
        <patternFill>
          <bgColor theme="0"/>
        </patternFill>
      </fill>
    </dxf>
    <dxf>
      <font>
        <color theme="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top style="thin">
          <color auto="1"/>
        </top>
        <bottom style="thin">
          <color auto="1"/>
        </bottom>
        <vertical/>
        <horizontal/>
      </border>
    </dxf>
    <dxf>
      <fill>
        <patternFill>
          <bgColor theme="0"/>
        </patternFill>
      </fill>
      <border>
        <left style="thin">
          <color auto="1"/>
        </left>
        <top style="thin">
          <color auto="1"/>
        </top>
        <bottom style="thin">
          <color auto="1"/>
        </bottom>
        <vertical/>
        <horizontal/>
      </border>
    </dxf>
    <dxf>
      <fill>
        <patternFill>
          <bgColor theme="0"/>
        </patternFill>
      </fill>
    </dxf>
    <dxf>
      <fill>
        <patternFill>
          <bgColor theme="0"/>
        </patternFill>
      </fill>
    </dxf>
    <dxf>
      <fill>
        <patternFill>
          <bgColor theme="0"/>
        </patternFill>
      </fill>
    </dxf>
    <dxf>
      <font>
        <b val="1"/>
        <color rgb="FFC00000"/>
      </font>
    </dxf>
    <dxf>
      <font>
        <b val="1"/>
        <color rgb="FF008000"/>
      </font>
    </dxf>
    <dxf>
      <border>
        <left style="thin">
          <color auto="1"/>
        </left>
        <right style="thin">
          <color auto="1"/>
        </right>
        <top style="thin">
          <color auto="1"/>
        </top>
        <bottom style="thin">
          <color auto="1"/>
        </bottom>
        <vertical/>
        <horizontal/>
      </border>
    </dxf>
    <dxf>
      <font>
        <color rgb="FF008000"/>
      </font>
    </dxf>
    <dxf>
      <font>
        <color rgb="FF008000"/>
      </font>
    </dxf>
    <dxf>
      <font>
        <color rgb="FF008000"/>
      </font>
    </dxf>
    <dxf>
      <font>
        <b val="1"/>
        <condense val="0"/>
        <color indexed="17"/>
        <extend val="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auto="1"/>
        </patternFill>
      </fill>
    </dxf>
    <dxf>
      <fill>
        <patternFill>
          <bgColor theme="0"/>
        </patternFill>
      </fill>
    </dxf>
    <dxf>
      <fill>
        <patternFill>
          <bgColor theme="0"/>
        </patternFill>
      </fill>
    </dxf>
    <dxf>
      <fill>
        <patternFill>
          <bgColor theme="0"/>
        </patternFill>
      </fill>
    </dxf>
    <dxf>
      <font>
        <b val="1"/>
        <i val="1"/>
        <color rgb="FFC00000"/>
      </font>
    </dxf>
    <dxf>
      <font>
        <b val="1"/>
        <i val="1"/>
        <color rgb="FFC00000"/>
      </font>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indexed="47"/>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ont>
        <b val="1"/>
        <color rgb="FFFF0000"/>
      </font>
    </dxf>
    <dxf>
      <font>
        <color theme="0"/>
      </font>
    </dxf>
    <dxf>
      <font>
        <color theme="0"/>
      </font>
    </dxf>
    <dxf>
      <font>
        <color theme="0"/>
      </font>
    </dxf>
    <dxf>
      <font>
        <color rgb="FFC0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ont>
        <b val="1"/>
        <color rgb="FFFF0000"/>
      </font>
    </dxf>
    <dxf>
      <font>
        <b val="1"/>
        <color rgb="FF008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ndense val="0"/>
        <color indexed="10"/>
        <extend val="0"/>
      </font>
    </dxf>
    <dxf>
      <fill>
        <patternFill>
          <bgColor theme="0"/>
        </patternFill>
      </fill>
    </dxf>
    <dxf>
      <font>
        <b val="1"/>
        <condense val="0"/>
        <color indexed="10"/>
        <extend val="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ndense val="0"/>
        <color indexed="10"/>
        <extend val="0"/>
      </font>
    </dxf>
    <dxf>
      <font>
        <b val="1"/>
        <condense val="0"/>
        <color indexed="10"/>
        <extend val="0"/>
      </font>
    </dxf>
    <dxf>
      <fill>
        <patternFill>
          <bgColor theme="0"/>
        </patternFill>
      </fill>
    </dxf>
    <dxf>
      <font>
        <color rgb="FFFF0000"/>
      </font>
    </dxf>
    <dxf>
      <font>
        <color rgb="FFFF0000"/>
      </font>
    </dxf>
    <dxf>
      <fill>
        <patternFill>
          <bgColor theme="0"/>
        </patternFill>
      </fill>
    </dxf>
    <dxf>
      <fill>
        <patternFill>
          <b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b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border>
        <vertical/>
        <horizontal/>
      </border>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
      </font>
    </dxf>
    <dxf>
      <font>
        <color theme="0"/>
      </font>
    </dxf>
    <dxf>
      <fill>
        <patternFill>
          <bgColor theme="0"/>
        </patternFill>
      </fill>
    </dxf>
    <dxf>
      <fill>
        <patternFill>
          <bgColor theme="0"/>
        </patternFill>
      </fill>
    </dxf>
    <dxf>
      <fill>
        <patternFill>
          <bgColor theme="0"/>
        </patternFill>
      </fill>
    </dxf>
    <dxf>
      <font>
        <color theme="4" tint="0.7999816888943144"/>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ont>
        <color theme="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ont>
        <b val="1"/>
        <color rgb="FFFF0000"/>
      </font>
    </dxf>
    <dxf>
      <fill>
        <patternFill>
          <bgColor theme="0"/>
        </patternFill>
      </fill>
    </dxf>
    <dxf>
      <fill>
        <patternFill>
          <bgColor theme="0"/>
        </patternFill>
      </fill>
    </dxf>
    <dxf>
      <fill>
        <patternFill>
          <bgColor theme="0"/>
        </patternFill>
      </fill>
    </dxf>
    <dxf>
      <font>
        <b val="1"/>
        <color rgb="FFFF0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ont>
        <color theme="0"/>
      </font>
    </dxf>
    <dxf>
      <font>
        <b val="1"/>
        <color rgb="FFFF0000"/>
      </font>
    </dxf>
    <dxf>
      <font>
        <color rgb="FFFF0000"/>
      </font>
    </dxf>
    <dxf>
      <font>
        <b val="1"/>
        <color rgb="FF00800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
        </patternFill>
      </fill>
      <border>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0499893185216834"/>
        </patternFill>
      </fill>
      <border>
        <left/>
        <right/>
        <top/>
        <bottom/>
        <vertical/>
        <horizontal/>
      </border>
    </dxf>
    <dxf>
      <border>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4" tint="0.7999816888943144"/>
        </patternFill>
      </fill>
      <border>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border>
        <bottom/>
        <vertical/>
        <horizontal/>
      </border>
    </dxf>
    <dxf>
      <font>
        <color auto="1"/>
      </font>
    </dxf>
    <dxf>
      <font>
        <b val="1"/>
        <color rgb="FF008000"/>
      </font>
    </dxf>
    <dxf>
      <font>
        <b val="1"/>
        <color rgb="FFC00000"/>
      </font>
    </dxf>
    <dxf>
      <font>
        <b val="1"/>
        <color rgb="FF008000"/>
      </font>
    </dxf>
    <dxf>
      <font>
        <b val="1"/>
        <color rgb="FF008000"/>
      </font>
    </dxf>
    <dxf>
      <font>
        <b val="1"/>
        <color rgb="FFFF0000"/>
      </font>
    </dxf>
    <dxf>
      <font>
        <b val="1"/>
        <color rgb="FF008000"/>
      </font>
    </dxf>
    <dxf>
      <font>
        <b val="1"/>
        <color rgb="FFFF0000"/>
      </font>
    </dxf>
    <dxf>
      <font>
        <b val="1"/>
        <color rgb="FF008000"/>
      </font>
    </dxf>
    <dxf>
      <font>
        <b val="1"/>
        <color rgb="FFFF0000"/>
      </font>
    </dxf>
    <dxf>
      <font>
        <b val="1"/>
        <color rgb="FF008000"/>
      </font>
    </dxf>
    <dxf>
      <font>
        <b val="1"/>
        <color rgb="FF008000"/>
      </font>
    </dxf>
    <dxf>
      <font>
        <b val="1"/>
        <color rgb="FFFF0000"/>
      </font>
    </dxf>
    <dxf>
      <font>
        <b val="1"/>
        <color rgb="FFFF0000"/>
      </font>
    </dxf>
    <dxf>
      <font>
        <b val="1"/>
        <color rgb="FFFF0000"/>
      </font>
    </dxf>
    <dxf>
      <font>
        <b val="1"/>
        <color rgb="FF008000"/>
      </font>
    </dxf>
    <dxf>
      <font>
        <color theme="0"/>
      </font>
    </dxf>
    <dxf>
      <fill>
        <patternFill>
          <bgColor auto="1"/>
        </patternFill>
      </fill>
      <border>
        <left/>
        <right/>
        <top/>
        <bottom/>
        <vertical/>
        <horizontal/>
      </border>
    </dxf>
    <dxf>
      <font>
        <color theme="0"/>
      </font>
    </dxf>
    <dxf>
      <font>
        <color rgb="FFFF0000"/>
      </font>
    </dxf>
    <dxf>
      <font>
        <color theme="0"/>
      </font>
      <fill>
        <patternFill>
          <bgColor auto="1"/>
        </patternFill>
      </fill>
      <border>
        <left/>
        <right/>
        <top/>
        <bottom/>
        <vertical/>
        <horizontal/>
      </border>
    </dxf>
    <dxf>
      <fill>
        <patternFill>
          <bgColor auto="1"/>
        </patternFill>
      </fill>
      <border>
        <left/>
        <right/>
        <top/>
        <bottom/>
        <vertical/>
        <horizontal/>
      </border>
    </dxf>
    <dxf>
      <font>
        <color theme="0"/>
      </font>
    </dxf>
    <dxf>
      <border>
        <left style="thin">
          <color rgb="FFC00000"/>
        </left>
        <right style="thin">
          <color rgb="FFC00000"/>
        </right>
        <top style="thin">
          <color rgb="FFC00000"/>
        </top>
        <bottom style="thin">
          <color rgb="FFC00000"/>
        </bottom>
        <vertical/>
        <horizontal/>
      </border>
    </dxf>
    <dxf>
      <font>
        <color theme="0"/>
      </font>
    </dxf>
    <dxf>
      <font>
        <b val="1"/>
        <color rgb="FFFF0000"/>
      </font>
      <fill>
        <patternFill patternType="solid">
          <bgColor theme="0"/>
        </patternFill>
      </fill>
    </dxf>
    <dxf>
      <fill>
        <patternFill patternType="solid">
          <fgColor auto="1"/>
          <bgColor theme="0"/>
        </patternFill>
      </fill>
    </dxf>
    <dxf>
      <fill>
        <patternFill patternType="solid">
          <fgColor theme="0"/>
          <bgColor theme="0"/>
        </patternFill>
      </fill>
    </dxf>
    <dxf>
      <fill>
        <patternFill patternType="solid">
          <fgColor theme="0"/>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ont>
        <color auto="1"/>
      </font>
    </dxf>
    <dxf>
      <font>
        <color rgb="FF008000"/>
      </font>
    </dxf>
    <dxf>
      <fill>
        <patternFill>
          <bgColor theme="0"/>
        </patternFill>
      </fill>
    </dxf>
    <dxf>
      <font>
        <strike val="0"/>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border>
        <left style="thin">
          <color auto="1"/>
        </left>
        <right style="thin">
          <color auto="1"/>
        </right>
        <top style="thin">
          <color auto="1"/>
        </top>
        <bottom style="thin">
          <color auto="1"/>
        </bottom>
        <vertical/>
        <horizontal/>
      </border>
    </dxf>
    <dxf>
      <fill>
        <patternFill>
          <bgColor theme="0"/>
        </patternFill>
      </fill>
    </dxf>
    <dxf>
      <font>
        <b val="1"/>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trike val="0"/>
        <color auto="1"/>
      </font>
      <fill>
        <patternFill>
          <bgColor theme="0"/>
        </patternFill>
      </fill>
    </dxf>
    <dxf>
      <font>
        <strike val="0"/>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008000"/>
      </font>
    </dxf>
    <dxf>
      <fill>
        <patternFill>
          <bgColor theme="0"/>
        </patternFill>
      </fill>
    </dxf>
    <dxf>
      <border>
        <left/>
        <right/>
        <top/>
        <bottom/>
        <vertical/>
        <horizontal/>
      </border>
    </dxf>
    <dxf>
      <font>
        <color rgb="FFC00000"/>
      </font>
    </dxf>
    <dxf>
      <font>
        <color rgb="FFC00000"/>
      </font>
    </dxf>
    <dxf>
      <font>
        <b val="1"/>
        <color rgb="FFFF0000"/>
      </font>
    </dxf>
    <dxf>
      <font>
        <b val="1"/>
        <color rgb="FFFF0000"/>
      </font>
    </dxf>
    <dxf>
      <font>
        <b val="1"/>
        <color rgb="FFFF0000"/>
      </font>
    </dxf>
    <dxf>
      <font>
        <b val="1"/>
        <color rgb="FFFF0000"/>
      </font>
    </dxf>
    <dxf>
      <font>
        <color rgb="FF008000"/>
      </font>
    </dxf>
    <dxf>
      <font>
        <color rgb="FFC00000"/>
      </font>
    </dxf>
    <dxf>
      <font>
        <color rgb="FFC00000"/>
      </font>
    </dxf>
    <dxf>
      <font>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ndense val="0"/>
        <color indexed="17"/>
        <extend val="0"/>
      </font>
    </dxf>
    <dxf>
      <font>
        <b val="1"/>
        <condense val="0"/>
        <color indexed="17"/>
        <extend val="0"/>
      </font>
    </dxf>
    <dxf>
      <font>
        <b val="1"/>
        <color rgb="FFFF0000"/>
      </font>
    </dxf>
    <dxf>
      <font>
        <b val="1"/>
        <condense val="0"/>
        <color indexed="17"/>
        <extend val="0"/>
      </font>
    </dxf>
    <dxf>
      <font>
        <b val="1"/>
        <condense val="0"/>
        <color indexed="17"/>
        <extend val="0"/>
      </font>
    </dxf>
    <dxf>
      <font>
        <color rgb="FF008000"/>
      </font>
    </dxf>
    <dxf>
      <font>
        <color rgb="FF008000"/>
      </font>
    </dxf>
    <dxf>
      <font>
        <color rgb="FF008000"/>
      </font>
    </dxf>
    <dxf>
      <font>
        <color rgb="FFFF0000"/>
      </font>
    </dxf>
    <dxf>
      <font>
        <color rgb="FFC00000"/>
      </font>
    </dxf>
    <dxf>
      <font>
        <color rgb="FF008000"/>
      </font>
    </dxf>
    <dxf>
      <font>
        <b val="1"/>
        <condense val="0"/>
        <color indexed="17"/>
        <extend val="0"/>
      </font>
    </dxf>
    <dxf>
      <font>
        <b val="1"/>
        <condense val="0"/>
        <color indexed="17"/>
        <extend val="0"/>
      </font>
    </dxf>
    <dxf>
      <font>
        <b val="1"/>
        <condense val="0"/>
        <color indexed="17"/>
        <extend val="0"/>
      </font>
    </dxf>
    <dxf>
      <font>
        <color rgb="FFFF0000"/>
      </font>
    </dxf>
    <dxf>
      <font>
        <b val="1"/>
        <condense val="0"/>
        <color indexed="17"/>
        <extend val="0"/>
      </font>
    </dxf>
    <dxf>
      <font>
        <b val="1"/>
        <condense val="0"/>
        <color indexed="10"/>
        <extend val="0"/>
      </font>
    </dxf>
    <dxf>
      <font>
        <b val="1"/>
        <condense val="0"/>
        <color indexed="17"/>
        <extend val="0"/>
      </font>
    </dxf>
    <dxf>
      <font>
        <color rgb="FFFF0000"/>
      </font>
    </dxf>
    <dxf>
      <font>
        <color rgb="FF008000"/>
      </font>
    </dxf>
    <dxf>
      <font>
        <b val="1"/>
        <color theme="3" tint="0.3999145481734672"/>
      </font>
    </dxf>
    <dxf>
      <font>
        <b val="1"/>
        <condense val="0"/>
        <color indexed="17"/>
        <extend val="0"/>
      </font>
    </dxf>
    <dxf>
      <font>
        <color rgb="FFFF0000"/>
      </font>
    </dxf>
    <dxf>
      <font>
        <color rgb="FF008000"/>
      </font>
    </dxf>
    <dxf>
      <font>
        <b val="1"/>
        <condense val="0"/>
        <color indexed="10"/>
        <extend val="0"/>
      </font>
    </dxf>
    <dxf>
      <font>
        <color rgb="FF008000"/>
      </font>
    </dxf>
    <dxf>
      <font>
        <color rgb="FF008000"/>
      </font>
    </dxf>
    <dxf>
      <font>
        <color indexed="17"/>
      </font>
    </dxf>
    <dxf>
      <font>
        <b val="1"/>
        <condense val="0"/>
        <color indexed="10"/>
        <extend val="0"/>
      </font>
    </dxf>
    <dxf>
      <font>
        <b val="1"/>
        <condense val="0"/>
        <color indexed="10"/>
        <extend val="0"/>
      </font>
    </dxf>
    <dxf>
      <font>
        <name val="Cambria"/>
        <b val="1"/>
        <strike val="0"/>
        <color rgb="FFFF0000"/>
      </font>
    </dxf>
    <dxf>
      <fill>
        <patternFill>
          <bgColor theme="0"/>
        </patternFill>
      </fill>
    </dxf>
    <dxf>
      <fill>
        <patternFill>
          <bgColor theme="0"/>
        </patternFill>
      </fill>
    </dxf>
    <dxf>
      <fill>
        <patternFill>
          <bgColor theme="4" tint="0.7999816888943144"/>
        </patternFill>
      </fill>
      <border>
        <left style="thin">
          <color auto="1"/>
        </left>
        <right style="thin">
          <color auto="1"/>
        </right>
        <top style="thin">
          <color auto="1"/>
        </top>
        <bottom style="thin">
          <color auto="1"/>
        </bottom>
        <vertical/>
        <horizontal/>
      </border>
    </dxf>
    <dxf>
      <border>
        <left/>
        <right/>
        <top/>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4" tint="0.7999816888943144"/>
        </patternFill>
      </fill>
      <border>
        <left style="thin">
          <color auto="1"/>
        </left>
        <right style="thin">
          <color auto="1"/>
        </right>
        <top style="thin">
          <color auto="1"/>
        </top>
        <bottom style="thin">
          <color auto="1"/>
        </bottom>
        <vertical/>
        <horizontal/>
      </border>
    </dxf>
    <dxf>
      <fill>
        <patternFill>
          <bgColor theme="0"/>
        </patternFill>
      </fill>
    </dxf>
    <dxf>
      <fill>
        <patternFill>
          <bgColor theme="4" tint="0.7999816888943144"/>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ont>
        <b val="1"/>
        <color rgb="FF008000"/>
      </font>
    </dxf>
    <dxf>
      <font>
        <b val="1"/>
        <condense val="0"/>
        <color indexed="17"/>
        <extend val="0"/>
      </font>
    </dxf>
    <dxf>
      <font>
        <b val="1"/>
        <condense val="0"/>
        <color indexed="17"/>
        <extend val="0"/>
      </font>
    </dxf>
    <dxf>
      <font>
        <color rgb="FFFF0000"/>
      </font>
    </dxf>
    <dxf>
      <font>
        <color rgb="FF008000"/>
      </font>
    </dxf>
    <dxf>
      <font>
        <b val="1"/>
        <color rgb="FF008000"/>
      </font>
    </dxf>
    <dxf>
      <font>
        <color theme="3" tint="0.3999450666829432"/>
      </font>
    </dxf>
    <dxf>
      <font>
        <b val="1"/>
        <color theme="3" tint="0.3999450666829432"/>
      </font>
    </dxf>
    <dxf>
      <font>
        <b val="1"/>
        <color theme="3" tint="0.3999450666829432"/>
      </font>
    </dxf>
    <dxf>
      <font>
        <b val="1"/>
        <condense val="0"/>
        <color indexed="17"/>
        <extend val="0"/>
      </font>
    </dxf>
    <dxf>
      <font>
        <b val="1"/>
        <color rgb="FF008000"/>
      </font>
    </dxf>
    <dxf>
      <font>
        <b val="1"/>
        <condense val="0"/>
        <color indexed="17"/>
        <extend val="0"/>
      </font>
    </dxf>
    <dxf>
      <font>
        <b val="1"/>
        <condense val="0"/>
        <color indexed="17"/>
        <extend val="0"/>
      </font>
    </dxf>
    <dxf>
      <font>
        <b val="1"/>
        <condense val="0"/>
        <color indexed="17"/>
        <extend val="0"/>
      </font>
    </dxf>
    <dxf>
      <font>
        <b val="1"/>
        <condense val="0"/>
        <color indexed="10"/>
        <extend val="0"/>
      </font>
    </dxf>
    <dxf>
      <font>
        <b val="1"/>
        <condense val="0"/>
        <color indexed="10"/>
        <extend val="0"/>
      </font>
    </dxf>
    <dxf>
      <font>
        <b val="1"/>
        <color rgb="FF008000"/>
      </font>
    </dxf>
    <dxf>
      <font>
        <color rgb="FF008000"/>
      </font>
    </dxf>
    <dxf>
      <font>
        <color rgb="FF008000"/>
      </font>
    </dxf>
    <dxf>
      <font>
        <color rgb="FF008000"/>
      </font>
    </dxf>
    <dxf>
      <font>
        <b val="1"/>
        <condense val="0"/>
        <color indexed="10"/>
        <extend val="0"/>
      </font>
    </dxf>
    <dxf>
      <font>
        <color rgb="FF008000"/>
      </font>
    </dxf>
    <dxf>
      <font>
        <color rgb="FFFF0000"/>
      </font>
    </dxf>
    <dxf>
      <font>
        <b val="1"/>
        <color rgb="FF008000"/>
      </font>
    </dxf>
    <dxf>
      <font>
        <condense val="0"/>
        <color indexed="17"/>
        <extend val="0"/>
      </font>
    </dxf>
    <dxf>
      <font>
        <condense val="0"/>
        <color indexed="17"/>
        <extend val="0"/>
      </font>
    </dxf>
    <dxf>
      <font>
        <b val="1"/>
        <color rgb="FF008000"/>
      </font>
    </dxf>
    <dxf>
      <font>
        <b val="1"/>
        <color rgb="FF008000"/>
      </font>
    </dxf>
    <dxf>
      <font>
        <b val="1"/>
        <condense val="0"/>
        <color indexed="10"/>
        <extend val="0"/>
      </font>
    </dxf>
    <dxf>
      <font>
        <b val="1"/>
        <color rgb="FF008000"/>
      </font>
    </dxf>
    <dxf>
      <font>
        <color rgb="FFFF0000"/>
      </font>
    </dxf>
    <dxf>
      <font>
        <b val="1"/>
        <condense val="0"/>
        <color indexed="17"/>
        <extend val="0"/>
      </font>
    </dxf>
    <dxf>
      <font>
        <color rgb="FFFF0000"/>
      </font>
    </dxf>
    <dxf>
      <font>
        <b val="1"/>
        <condense val="0"/>
        <color indexed="17"/>
        <extend val="0"/>
      </font>
    </dxf>
    <dxf>
      <font>
        <color rgb="FFFF0000"/>
      </font>
    </dxf>
    <dxf>
      <font>
        <b val="1"/>
        <condense val="0"/>
        <color indexed="17"/>
        <extend val="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8000"/>
      </font>
    </dxf>
    <dxf>
      <font>
        <color rgb="FFFF0000"/>
      </font>
    </dxf>
    <dxf>
      <font>
        <color rgb="FF008000"/>
      </font>
    </dxf>
    <dxf>
      <font>
        <color rgb="FFFF0000"/>
      </font>
    </dxf>
    <dxf>
      <font>
        <color rgb="FF008000"/>
      </font>
    </dxf>
    <dxf>
      <font>
        <color rgb="FFFF0000"/>
      </font>
    </dxf>
    <dxf>
      <font>
        <b val="1"/>
        <color rgb="FF008000"/>
      </font>
    </dxf>
    <dxf>
      <font>
        <color rgb="FFFF0000"/>
      </font>
    </dxf>
    <dxf>
      <font>
        <b val="1"/>
        <condense val="0"/>
        <color indexed="10"/>
        <extend val="0"/>
      </font>
    </dxf>
    <dxf>
      <font>
        <b val="1"/>
        <condense val="0"/>
        <color indexed="10"/>
        <extend val="0"/>
      </font>
    </dxf>
    <dxf>
      <font>
        <color rgb="FF008000"/>
      </font>
    </dxf>
    <dxf>
      <font>
        <color rgb="FF008000"/>
      </font>
    </dxf>
    <dxf>
      <font>
        <color rgb="FF008000"/>
      </font>
    </dxf>
    <dxf>
      <font>
        <b val="1"/>
        <condense val="0"/>
        <color indexed="10"/>
        <extend val="0"/>
      </font>
    </dxf>
    <dxf>
      <font>
        <color rgb="FF008000"/>
      </font>
    </dxf>
    <dxf>
      <font>
        <color rgb="FF008000"/>
      </font>
    </dxf>
    <dxf>
      <font>
        <b val="1"/>
        <color theme="3" tint="0.3999450666829432"/>
      </font>
    </dxf>
    <dxf>
      <font>
        <b val="1"/>
        <color rgb="FFFF0000"/>
      </font>
    </dxf>
    <dxf>
      <font>
        <b val="1"/>
        <color rgb="FF0070C0"/>
      </font>
    </dxf>
    <dxf>
      <font>
        <color rgb="FFFF0000"/>
      </font>
    </dxf>
    <dxf>
      <font>
        <b val="1"/>
        <color rgb="FF0070C0"/>
      </font>
    </dxf>
    <dxf>
      <font>
        <color rgb="FF008000"/>
      </font>
    </dxf>
    <dxf>
      <font>
        <b val="1"/>
        <condense val="0"/>
        <color indexed="10"/>
        <extend val="0"/>
      </font>
    </dxf>
    <dxf>
      <font>
        <b val="1"/>
        <condense val="0"/>
        <color indexed="10"/>
        <extend val="0"/>
      </font>
    </dxf>
    <dxf>
      <font>
        <b val="1"/>
        <color rgb="FF0070C0"/>
      </font>
    </dxf>
    <dxf>
      <font>
        <b val="1"/>
        <condense val="0"/>
        <color indexed="10"/>
        <extend val="0"/>
      </font>
    </dxf>
    <dxf>
      <font>
        <b val="1"/>
        <color rgb="FF0070C0"/>
      </font>
    </dxf>
    <dxf>
      <font>
        <b val="1"/>
        <condense val="0"/>
        <color indexed="17"/>
        <extend val="0"/>
      </font>
    </dxf>
    <dxf>
      <font>
        <b val="1"/>
        <color rgb="FF0070C0"/>
      </font>
    </dxf>
    <dxf>
      <font>
        <b val="1"/>
        <condense val="0"/>
        <color indexed="17"/>
        <extend val="0"/>
      </font>
    </dxf>
    <dxf>
      <font>
        <b val="1"/>
        <color rgb="FF008000"/>
      </font>
    </dxf>
    <dxf>
      <font>
        <b val="1"/>
        <condense val="0"/>
        <color indexed="10"/>
        <extend val="0"/>
      </font>
    </dxf>
    <dxf>
      <font>
        <b val="1"/>
        <condense val="0"/>
        <color indexed="17"/>
        <extend val="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theme="3" tint="0.3999450666829432"/>
      </font>
    </dxf>
    <dxf>
      <font>
        <b val="1"/>
        <color theme="3" tint="0.3999450666829432"/>
      </font>
    </dxf>
    <dxf>
      <font>
        <color theme="3" tint="0.3999450666829432"/>
      </font>
    </dxf>
    <dxf>
      <font>
        <color theme="3" tint="0.3999450666829432"/>
      </font>
    </dxf>
    <dxf>
      <font>
        <color theme="3" tint="0.3999450666829432"/>
      </font>
    </dxf>
    <dxf>
      <font>
        <color theme="3" tint="0.399945066682943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ill>
        <patternFill>
          <bgColor theme="0"/>
        </patternFill>
      </fill>
    </dxf>
    <dxf>
      <fill>
        <patternFill>
          <bgColor theme="0"/>
        </patternFill>
      </fill>
    </dxf>
    <dxf>
      <fill>
        <patternFill>
          <bgColor theme="0"/>
        </patternFill>
      </fill>
    </dxf>
    <dxf>
      <font>
        <color rgb="FF008000"/>
      </font>
    </dxf>
    <dxf>
      <font>
        <color rgb="FF008000"/>
      </font>
    </dxf>
    <dxf>
      <font>
        <color rgb="FFFF0000"/>
      </font>
    </dxf>
    <dxf>
      <fill>
        <patternFill>
          <bgColor theme="0"/>
        </patternFill>
      </fill>
    </dxf>
    <dxf>
      <fill>
        <patternFill>
          <bgColor theme="0"/>
        </patternFill>
      </fill>
    </dxf>
    <dxf>
      <font>
        <color rgb="FF008000"/>
      </font>
    </dxf>
    <dxf>
      <font>
        <b val="1"/>
        <color rgb="FF008000"/>
      </font>
    </dxf>
    <dxf>
      <font>
        <color rgb="FFC00000"/>
      </font>
    </dxf>
    <dxf>
      <font>
        <b val="1"/>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theme="1"/>
      </font>
    </dxf>
    <dxf>
      <font>
        <color theme="1"/>
      </font>
    </dxf>
    <dxf>
      <font>
        <color rgb="FF008000"/>
      </font>
    </dxf>
    <dxf>
      <border>
        <left/>
        <right/>
        <top/>
        <bottom/>
        <vertical/>
        <horizontal/>
      </border>
    </dxf>
    <dxf>
      <font>
        <color rgb="FF008000"/>
      </font>
      <border>
        <top style="thin">
          <color auto="1"/>
        </top>
      </border>
    </dxf>
    <dxf>
      <border>
        <left/>
        <right/>
        <top/>
        <bottom/>
        <vertical/>
        <horizontal/>
      </border>
    </dxf>
    <dxf>
      <font>
        <color rgb="FFFF0000"/>
      </font>
    </dxf>
    <dxf>
      <fill>
        <patternFill>
          <bgColor theme="0"/>
        </patternFill>
      </fill>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font>
        <condense val="0"/>
        <color indexed="9"/>
        <extend val="0"/>
      </font>
      <border>
        <right/>
      </border>
    </dxf>
    <dxf>
      <border>
        <left/>
        <right/>
        <top/>
        <bottom/>
      </border>
    </dxf>
    <dxf>
      <font>
        <condense val="0"/>
        <color indexed="9"/>
        <extend val="0"/>
      </font>
    </dxf>
    <dxf>
      <border>
        <top/>
      </border>
    </dxf>
    <dxf>
      <font>
        <condense val="0"/>
        <color indexed="9"/>
        <extend val="0"/>
      </font>
      <border>
        <left/>
        <right/>
        <top/>
        <bottom/>
      </border>
    </dxf>
    <dxf>
      <border>
        <left/>
        <right/>
        <bottom/>
      </border>
    </dxf>
    <dxf>
      <border>
        <left/>
        <bottom/>
      </border>
    </dxf>
    <dxf>
      <border>
        <left/>
        <right/>
        <top/>
        <bottom/>
      </border>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ill>
        <patternFill>
          <bgColor theme="0"/>
        </patternFill>
      </fill>
    </dxf>
    <dxf>
      <fill>
        <patternFill>
          <bgColor theme="0"/>
        </patternFill>
      </fill>
    </dxf>
    <dxf>
      <fill>
        <patternFill>
          <bgColor theme="0"/>
        </patternFill>
      </fill>
    </dxf>
    <dxf>
      <font>
        <condense val="0"/>
        <color indexed="9"/>
        <extend val="0"/>
      </font>
    </dxf>
    <dxf>
      <fill>
        <patternFill>
          <bgColor theme="0"/>
        </patternFill>
      </fill>
    </dxf>
    <dxf>
      <fill>
        <patternFill>
          <bgColor theme="0"/>
        </patternFill>
      </fill>
      <border>
        <bottom/>
        <vertical/>
        <horizontal/>
      </border>
    </dxf>
    <dxf>
      <font>
        <color auto="1"/>
      </font>
    </dxf>
    <dxf>
      <font>
        <strike val="0"/>
        <color indexed="10"/>
      </font>
    </dxf>
    <dxf>
      <font>
        <condense val="0"/>
        <color indexed="9"/>
        <extend val="0"/>
      </font>
    </dxf>
    <dxf>
      <font>
        <condense val="0"/>
        <color indexed="9"/>
        <extend val="0"/>
      </font>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ont>
        <color rgb="FFFF0000"/>
      </font>
    </dxf>
    <dxf>
      <fill>
        <patternFill>
          <bgColor theme="0"/>
        </patternFill>
      </fill>
    </dxf>
    <dxf>
      <border>
        <left style="thin">
          <color indexed="64"/>
        </left>
        <right style="thin">
          <color indexed="64"/>
        </right>
        <top style="thin">
          <color indexed="64"/>
        </top>
        <bottom style="thin">
          <color indexed="64"/>
        </bottom>
      </border>
    </dxf>
    <dxf>
      <font>
        <b val="1"/>
        <condense val="0"/>
        <color indexed="10"/>
        <extend val="0"/>
      </font>
    </dxf>
    <dxf>
      <fill>
        <patternFill>
          <bgColor theme="0"/>
        </patternFill>
      </fill>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val="1"/>
        <color rgb="FF008000"/>
      </font>
    </dxf>
    <dxf>
      <font>
        <color rgb="FFFF0000"/>
      </font>
    </dxf>
    <dxf>
      <font>
        <color rgb="FFFF0000"/>
      </font>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ont>
        <color rgb="FF008000"/>
      </font>
    </dxf>
    <dxf>
      <font>
        <color rgb="FF008000"/>
      </font>
    </dxf>
    <dxf>
      <border>
        <left/>
        <right/>
        <top/>
        <bottom/>
        <vertical/>
        <horizontal/>
      </border>
    </dxf>
    <dxf>
      <font>
        <color rgb="FF008000"/>
      </font>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0"/>
        </patternFill>
      </fill>
    </dxf>
    <dxf>
      <font>
        <color theme="0"/>
      </font>
      <fill>
        <patternFill>
          <bgColor theme="0"/>
        </patternFill>
      </fill>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border>
        <bottom style="thin">
          <color indexed="64"/>
        </bottom>
      </border>
    </dxf>
    <dxf>
      <font>
        <b val="1"/>
        <color rgb="FFFF0000"/>
      </font>
    </dxf>
    <dxf>
      <font>
        <condense val="0"/>
        <color indexed="9"/>
        <extend val="0"/>
      </font>
    </dxf>
    <dxf>
      <font>
        <condense val="0"/>
        <color indexed="9"/>
        <extend val="0"/>
      </font>
    </dxf>
    <dxf>
      <fill>
        <patternFill>
          <bgColor theme="0"/>
        </patternFill>
      </fill>
    </dxf>
    <dxf>
      <fill>
        <patternFill>
          <bgColor theme="0"/>
        </patternFill>
      </fill>
    </dxf>
    <dxf>
      <font>
        <condense val="0"/>
        <color indexed="9"/>
        <extend val="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val="1"/>
        <condense val="0"/>
        <color indexed="10"/>
        <extend val="0"/>
      </font>
    </dxf>
    <dxf>
      <font>
        <condense val="0"/>
        <color indexed="10"/>
        <extend val="0"/>
      </font>
    </dxf>
    <dxf>
      <font>
        <condense val="0"/>
        <color indexed="10"/>
        <extend val="0"/>
      </font>
    </dxf>
    <dxf>
      <font>
        <condense val="0"/>
        <color indexed="10"/>
        <extend val="0"/>
      </font>
    </dxf>
    <dxf>
      <font>
        <b val="1"/>
        <color rgb="FF008000"/>
      </font>
    </dxf>
    <dxf>
      <font>
        <condense val="0"/>
        <color indexed="10"/>
        <extend val="0"/>
      </font>
    </dxf>
    <dxf>
      <fill>
        <patternFill>
          <bgColor theme="0"/>
        </patternFill>
      </fill>
    </dxf>
    <dxf>
      <fill>
        <patternFill>
          <bgColor theme="0"/>
        </patternFill>
      </fill>
    </dxf>
    <dxf>
      <fill>
        <patternFill>
          <bgColor theme="0"/>
        </patternFill>
      </fill>
    </dxf>
    <dxf>
      <fill>
        <patternFill>
          <bgColor theme="0"/>
        </patternFill>
      </fill>
    </dxf>
    <dxf>
      <font>
        <b val="1"/>
        <color rgb="FF008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val="1"/>
        <color rgb="FFFF0000"/>
      </font>
      <fill>
        <patternFill>
          <bgColor theme="0"/>
        </patternFill>
      </fill>
    </dxf>
    <dxf>
      <font>
        <b val="1"/>
        <color rgb="FFFF0000"/>
      </font>
    </dxf>
    <dxf>
      <font>
        <color rgb="FFC00000"/>
      </font>
      <border>
        <left style="thin">
          <color auto="1"/>
        </left>
        <right style="thin">
          <color auto="1"/>
        </right>
        <top style="thin">
          <color auto="1"/>
        </top>
        <bottom style="thin">
          <color auto="1"/>
        </bottom>
      </border>
    </dxf>
    <dxf>
      <font>
        <color auto="1"/>
      </font>
      <fill>
        <patternFill>
          <bgColor theme="0"/>
        </patternFill>
      </fill>
      <border>
        <left style="thin">
          <color auto="1"/>
        </left>
        <right style="thin">
          <color auto="1"/>
        </right>
        <top style="thin">
          <color auto="1"/>
        </top>
        <bottom style="thin">
          <color auto="1"/>
        </bottom>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b val="1"/>
        <color rgb="FFC00000"/>
      </font>
      <border>
        <left style="thin">
          <color auto="1"/>
        </left>
        <right style="thin">
          <color auto="1"/>
        </right>
        <top style="thin">
          <color auto="1"/>
        </top>
        <bottom style="thin">
          <color auto="1"/>
        </bottom>
        <vertical/>
        <horizontal/>
      </border>
    </dxf>
    <dxf>
      <font>
        <color rgb="FFC00000"/>
      </font>
    </dxf>
    <dxf>
      <font>
        <b val="1"/>
        <color rgb="FFC00000"/>
      </font>
      <fill>
        <patternFill patternType="solid">
          <fgColor auto="1"/>
          <bgColor theme="0"/>
        </patternFill>
      </fill>
    </dxf>
    <dxf>
      <font>
        <b val="1"/>
        <color rgb="FFC00000"/>
      </font>
      <fill>
        <patternFill patternType="solid">
          <fgColor auto="1"/>
          <bgColor theme="0"/>
        </patternFill>
      </fill>
    </dxf>
    <dxf>
      <font>
        <b val="1"/>
        <color rgb="FFC00000"/>
      </font>
      <fill>
        <patternFill patternType="solid">
          <fgColor auto="1"/>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top style="thin">
          <color auto="1"/>
        </top>
        <bottom style="thin">
          <color auto="1"/>
        </bottom>
        <vertical/>
        <horizontal/>
      </border>
    </dxf>
    <dxf>
      <font>
        <color rgb="FFC00000"/>
      </font>
      <border>
        <left style="thin">
          <color auto="1"/>
        </left>
        <right style="thin">
          <color auto="1"/>
        </right>
        <top style="thin">
          <color auto="1"/>
        </top>
        <bottom style="thin">
          <color auto="1"/>
        </bottom>
      </border>
    </dxf>
    <dxf>
      <font>
        <color auto="1"/>
      </font>
      <fill>
        <patternFill>
          <bgColor theme="0"/>
        </patternFill>
      </fill>
      <border>
        <left style="thin">
          <color auto="1"/>
        </left>
        <right style="thin">
          <color auto="1"/>
        </right>
        <top style="thin">
          <color auto="1"/>
        </top>
        <bottom style="thin">
          <color auto="1"/>
        </bottom>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b val="1"/>
        <color rgb="FFC00000"/>
      </font>
      <border>
        <left style="thin">
          <color auto="1"/>
        </left>
        <right style="thin">
          <color auto="1"/>
        </right>
        <top style="thin">
          <color auto="1"/>
        </top>
        <bottom style="thin">
          <color auto="1"/>
        </bottom>
        <vertical/>
        <horizontal/>
      </border>
    </dxf>
    <dxf>
      <font>
        <color rgb="FFC00000"/>
      </font>
    </dxf>
    <dxf>
      <border>
        <left style="thin">
          <color auto="1"/>
        </left>
        <right style="thin">
          <color auto="1"/>
        </right>
        <top style="thin">
          <color auto="1"/>
        </top>
        <bottom style="thin">
          <color auto="1"/>
        </bottom>
        <vertical/>
        <horizontal/>
      </border>
    </dxf>
    <dxf>
      <font>
        <b val="1"/>
        <color rgb="FFC00000"/>
      </font>
      <fill>
        <patternFill patternType="solid">
          <bgColor theme="0"/>
        </patternFill>
      </fill>
    </dxf>
    <dxf>
      <font>
        <b val="1"/>
        <color rgb="FFC00000"/>
      </font>
      <fill>
        <patternFill patternType="solid">
          <fgColor auto="1"/>
          <bgColor theme="0"/>
        </patternFill>
      </fill>
    </dxf>
    <dxf>
      <fill>
        <patternFill>
          <bgColor theme="0"/>
        </patternFill>
      </fill>
      <border>
        <right style="thin">
          <color auto="1"/>
        </right>
        <top style="thin">
          <color auto="1"/>
        </top>
        <bottom style="thin">
          <color auto="1"/>
        </bottom>
        <vertical/>
        <horizontal/>
      </border>
    </dxf>
    <dxf>
      <font>
        <color rgb="FFC00000"/>
      </font>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6" tint="0.5999633777886288"/>
        </patternFill>
      </fill>
    </dxf>
    <dxf>
      <fill>
        <patternFill>
          <bgColor theme="6" tint="0.5999633777886288"/>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bgColor theme="0"/>
        </patternFill>
      </fill>
    </dxf>
    <dxf>
      <fill>
        <patternFill>
          <bgColor theme="6" tint="0.5999633777886288"/>
        </patternFill>
      </fill>
    </dxf>
    <dxf>
      <fill>
        <patternFill>
          <bgColor theme="6" tint="0.5999633777886288"/>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ont>
        <b val="1"/>
        <color theme="9" tint="-0.249946592608417"/>
      </font>
    </dxf>
    <dxf>
      <font>
        <b val="1"/>
        <color theme="9" tint="-0.249946592608417"/>
      </font>
    </dxf>
    <dxf>
      <fill>
        <patternFill>
          <fgColor indexed="64"/>
          <bgColor theme="0"/>
        </patternFill>
      </fill>
    </dxf>
    <dxf>
      <fill>
        <patternFill>
          <fgColor indexed="64"/>
          <bgColor theme="0"/>
        </patternFill>
      </fill>
    </dxf>
    <dxf>
      <font>
        <b val="1"/>
        <color theme="9" tint="-0.249946592608417"/>
      </font>
    </dxf>
    <dxf>
      <font>
        <b val="1"/>
        <color theme="9" tint="-0.249946592608417"/>
      </font>
    </dxf>
    <dxf>
      <fill>
        <patternFill>
          <fgColor indexed="64"/>
          <bgColor theme="0"/>
        </patternFill>
      </fill>
    </dxf>
    <dxf>
      <fill>
        <patternFill>
          <fgColor indexed="64"/>
          <bgColor theme="0"/>
        </patternFill>
      </fill>
    </dxf>
    <dxf>
      <font>
        <b val="1"/>
        <color theme="9" tint="-0.249946592608417"/>
      </font>
    </dxf>
    <dxf>
      <font>
        <b val="1"/>
        <color theme="9" tint="-0.249946592608417"/>
      </font>
    </dxf>
    <dxf>
      <fill>
        <patternFill>
          <fgColor indexed="64"/>
          <bgColor theme="0"/>
        </patternFill>
      </fill>
    </dxf>
    <dxf>
      <font>
        <b val="1"/>
        <color theme="9" tint="-0.249946592608417"/>
      </font>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ont>
        <color theme="0"/>
      </font>
    </dxf>
    <dxf>
      <font>
        <color theme="4" tint="0.7999816888943144"/>
      </font>
    </dxf>
    <dxf>
      <font>
        <color theme="0"/>
      </font>
    </dxf>
    <dxf>
      <font>
        <color theme="4" tint="0.7999816888943144"/>
      </font>
    </dxf>
    <dxf>
      <font>
        <color rgb="FFC00000"/>
      </font>
    </dxf>
    <dxf>
      <font>
        <color theme="4" tint="0.7999816888943144"/>
      </font>
    </dxf>
    <dxf>
      <font>
        <color theme="0"/>
      </font>
    </dxf>
    <dxf>
      <font>
        <color rgb="FFC00000"/>
      </font>
    </dxf>
    <dxf>
      <font>
        <color theme="4" tint="0.7999816888943144"/>
      </font>
    </dxf>
    <dxf>
      <font>
        <color theme="0"/>
      </font>
    </dxf>
    <dxf>
      <font>
        <color rgb="FFC00000"/>
      </font>
    </dxf>
    <dxf>
      <font>
        <color rgb="FFC00000"/>
      </font>
    </dxf>
    <dxf>
      <font>
        <color theme="0"/>
      </font>
    </dxf>
    <dxf>
      <font>
        <color theme="4" tint="0.7999816888943144"/>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trike val="0"/>
        <color rgb="FFFF0000"/>
      </font>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dxf>
    <dxf>
      <font>
        <color theme="0"/>
      </font>
    </dxf>
    <dxf>
      <font>
        <color theme="0"/>
      </font>
    </dxf>
    <dxf>
      <font>
        <color theme="0"/>
      </font>
    </dxf>
    <dxf>
      <fill>
        <patternFill>
          <bgColor theme="0"/>
        </patternFill>
      </fill>
    </dxf>
    <dxf>
      <font>
        <color theme="0"/>
      </font>
    </dxf>
    <dxf>
      <border>
        <left style="thin">
          <color auto="1"/>
        </left>
        <right style="thin">
          <color auto="1"/>
        </right>
        <top style="thin">
          <color auto="1"/>
        </top>
        <bottom style="thin">
          <color auto="1"/>
        </bottom>
        <vertical/>
        <horizontal/>
      </border>
    </dxf>
    <dxf>
      <font>
        <color rgb="FF008000"/>
      </font>
    </dxf>
    <dxf>
      <border>
        <right style="thin">
          <color auto="1"/>
        </right>
        <top style="thin">
          <color auto="1"/>
        </top>
        <bottom style="thin">
          <color auto="1"/>
        </bottom>
        <vertical/>
        <horizontal/>
      </border>
    </dxf>
    <dxf>
      <border>
        <left/>
        <right style="thin">
          <color auto="1"/>
        </right>
        <bottom style="thin">
          <color auto="1"/>
        </bottom>
        <vertical/>
        <horizontal/>
      </border>
    </dxf>
    <dxf>
      <border>
        <right style="thin">
          <color auto="1"/>
        </right>
        <top style="thin">
          <color auto="1"/>
        </top>
        <vertical/>
        <horizontal/>
      </border>
    </dxf>
    <dxf>
      <border>
        <left style="thin">
          <color auto="1"/>
        </left>
        <right style="thin">
          <color auto="1"/>
        </right>
        <top style="thin">
          <color auto="1"/>
        </top>
        <bottom style="thin">
          <color auto="1"/>
        </bottom>
        <vertical/>
        <horizontal/>
      </border>
    </dxf>
    <dxf>
      <border>
        <right style="thin">
          <color auto="1"/>
        </right>
        <top style="thin">
          <color auto="1"/>
        </top>
        <vertical/>
        <horizontal/>
      </border>
    </dxf>
    <dxf>
      <font>
        <color theme="0"/>
      </font>
      <fill>
        <patternFill>
          <bgColor theme="0"/>
        </patternFill>
      </fill>
      <border>
        <left/>
        <right/>
        <top/>
        <bottom/>
        <vertical/>
        <horizontal/>
      </border>
    </dxf>
    <dxf>
      <fill>
        <patternFill>
          <bgColor theme="0"/>
        </patternFill>
      </fill>
    </dxf>
    <dxf>
      <fill>
        <patternFill>
          <bgColor theme="0"/>
        </patternFill>
      </fill>
      <border>
        <left/>
        <right/>
        <top/>
        <bottom/>
        <vertical/>
        <horizontal/>
      </border>
    </dxf>
    <dxf>
      <fill>
        <patternFill>
          <bgColor theme="0"/>
        </patternFill>
      </fill>
    </dxf>
    <dxf>
      <font>
        <color rgb="FFC00000"/>
      </font>
    </dxf>
    <dxf>
      <font>
        <color rgb="FFFF0000"/>
      </font>
    </dxf>
    <dxf>
      <font>
        <color rgb="FFFF0000"/>
      </font>
    </dxf>
    <dxf>
      <border>
        <top style="thin">
          <color auto="1"/>
        </top>
        <vertical/>
        <horizontal/>
      </border>
    </dxf>
    <dxf>
      <font>
        <b val="1"/>
        <color rgb="FFC00000"/>
      </font>
    </dxf>
    <dxf>
      <font>
        <color rgb="FF008000"/>
      </font>
      <border>
        <left style="thin">
          <color auto="1"/>
        </left>
        <right style="thin">
          <color auto="1"/>
        </right>
        <top style="thin">
          <color auto="1"/>
        </top>
        <bottom style="thin">
          <color auto="1"/>
        </bottom>
      </border>
    </dxf>
    <dxf>
      <border>
        <bottom style="thin">
          <color auto="1"/>
        </bottom>
        <vertical/>
        <horizontal/>
      </border>
    </dxf>
    <dxf>
      <border>
        <right/>
        <top style="thin">
          <color auto="1"/>
        </top>
        <bottom style="thin">
          <color auto="1"/>
        </bottom>
        <vertical/>
        <horizontal/>
      </border>
    </dxf>
    <dxf>
      <font>
        <color rgb="FF008000"/>
      </font>
    </dxf>
    <dxf>
      <font>
        <color rgb="FF008000"/>
      </font>
    </dxf>
    <dxf>
      <font>
        <color rgb="FF008000"/>
      </font>
    </dxf>
    <dxf>
      <font>
        <strike val="0"/>
        <color rgb="FF008000"/>
      </font>
    </dxf>
    <dxf>
      <border>
        <left style="thin">
          <color auto="1"/>
        </left>
        <top style="thin">
          <color auto="1"/>
        </top>
        <bottom/>
        <vertical/>
        <horizontal/>
      </border>
    </dxf>
    <dxf>
      <fill>
        <patternFill>
          <bgColor theme="4" tint="0.7999816888943144"/>
        </patternFill>
      </fill>
      <border>
        <right style="thin">
          <color auto="1"/>
        </right>
        <top style="thin">
          <color auto="1"/>
        </top>
        <bottom style="thin">
          <color auto="1"/>
        </bottom>
        <vertical/>
        <horizontal/>
      </border>
    </dxf>
    <dxf>
      <fill>
        <patternFill>
          <bgColor theme="4" tint="0.7999816888943144"/>
        </patternFill>
      </fill>
      <border>
        <left style="thin">
          <color auto="1"/>
        </left>
        <right style="thin">
          <color auto="1"/>
        </right>
        <top style="thin">
          <color auto="1"/>
        </top>
        <bottom style="thin">
          <color auto="1"/>
        </bottom>
        <vertical/>
        <horizontal/>
      </border>
    </dxf>
    <dxf>
      <border>
        <left style="thin">
          <color auto="1"/>
        </left>
        <top style="thin">
          <color auto="1"/>
        </top>
        <vertical/>
        <horizontal/>
      </border>
    </dxf>
    <dxf>
      <border>
        <left style="thin">
          <color auto="1"/>
        </left>
        <right style="thin">
          <color auto="1"/>
        </right>
        <bottom style="thin">
          <color auto="1"/>
        </bottom>
      </border>
    </dxf>
    <dxf>
      <font>
        <b val="1"/>
        <color rgb="FFC00000"/>
      </font>
    </dxf>
    <dxf>
      <font>
        <color rgb="FFFF0000"/>
      </font>
    </dxf>
    <dxf>
      <border>
        <left style="thin">
          <color auto="1"/>
        </left>
        <right style="thin">
          <color auto="1"/>
        </right>
        <top style="thin">
          <color auto="1"/>
        </top>
        <bottom/>
        <vertical/>
        <horizontal/>
      </border>
    </dxf>
    <dxf>
      <font>
        <color rgb="FF008000"/>
      </font>
    </dxf>
    <dxf>
      <font>
        <b val="1"/>
        <color theme="9" tint="-0.249946592608417"/>
      </font>
    </dxf>
    <dxf>
      <font>
        <b val="1"/>
        <color rgb="FF008000"/>
      </font>
    </dxf>
    <dxf>
      <font>
        <b val="1"/>
        <color theme="9" tint="-0.249946592608417"/>
      </font>
    </dxf>
    <dxf>
      <font>
        <b val="1"/>
        <color rgb="FF008000"/>
      </font>
    </dxf>
    <dxf>
      <font>
        <b val="1"/>
        <color rgb="FFC00000"/>
      </font>
    </dxf>
    <dxf>
      <font>
        <b val="1"/>
        <color theme="9" tint="-0.249946592608417"/>
      </font>
    </dxf>
    <dxf>
      <font>
        <b val="1"/>
        <color rgb="FF008000"/>
      </font>
    </dxf>
    <dxf>
      <font>
        <b val="1"/>
        <color rgb="FFC00000"/>
      </font>
    </dxf>
    <dxf>
      <font>
        <b val="1"/>
        <color theme="9" tint="-0.249946592608417"/>
      </font>
    </dxf>
    <dxf>
      <font>
        <b val="1"/>
        <color rgb="FFFF0000"/>
      </font>
    </dxf>
    <dxf>
      <font>
        <color rgb="FF008000"/>
      </font>
    </dxf>
    <dxf>
      <font>
        <color theme="9" tint="-0.249946592608417"/>
      </font>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fgColor indexed="64"/>
          <bgColor theme="0"/>
        </patternFill>
      </fill>
    </dxf>
    <dxf>
      <font>
        <b val="1"/>
        <color rgb="FFFF0000"/>
      </font>
    </dxf>
    <dxf>
      <font>
        <b val="1"/>
        <color rgb="FFFF0000"/>
      </font>
    </dxf>
    <dxf>
      <fill>
        <patternFill>
          <bgColor theme="0"/>
        </patternFill>
      </fill>
    </dxf>
    <dxf>
      <fill>
        <patternFill>
          <bgColor theme="0"/>
        </patternFill>
      </fill>
    </dxf>
    <dxf>
      <font>
        <b val="1"/>
        <color rgb="FFFF0000"/>
      </font>
    </dxf>
    <dxf>
      <fill>
        <patternFill>
          <fgColor indexed="64"/>
          <bgColor theme="0"/>
        </patternFill>
      </fill>
    </dxf>
    <dxf>
      <fill>
        <patternFill>
          <bgColor theme="0"/>
        </patternFill>
      </fill>
    </dxf>
    <dxf>
      <fill>
        <patternFill>
          <fgColor indexed="64"/>
          <bgColor theme="0"/>
        </patternFill>
      </fill>
    </dxf>
    <dxf>
      <fill>
        <patternFill>
          <bgColor theme="0"/>
        </patternFill>
      </fill>
    </dxf>
    <dxf>
      <font>
        <b val="1"/>
        <color rgb="FFFF0000"/>
      </font>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ont>
        <color rgb="FFFF0000"/>
      </font>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
      </font>
    </dxf>
    <dxf>
      <font>
        <b val="1"/>
        <color rgb="FFC00000"/>
      </font>
    </dxf>
    <dxf>
      <font>
        <b val="1"/>
        <color rgb="FFFF0000"/>
      </font>
    </dxf>
    <dxf>
      <font>
        <color theme="4" tint="0.7999816888943144"/>
      </font>
    </dxf>
    <dxf>
      <font>
        <color theme="0"/>
      </font>
    </dxf>
    <dxf>
      <fill>
        <patternFill>
          <bgColor theme="0"/>
        </patternFill>
      </fill>
    </dxf>
    <dxf>
      <fill>
        <patternFill>
          <bgColor theme="0"/>
        </patternFill>
      </fill>
    </dxf>
    <dxf>
      <fill>
        <patternFill>
          <fgColor indexed="64"/>
          <bgColor theme="0"/>
        </patternFill>
      </fill>
    </dxf>
    <dxf>
      <font>
        <b val="1"/>
        <color rgb="FFFF0000"/>
      </font>
    </dxf>
    <dxf>
      <fill>
        <patternFill>
          <fgColor indexed="64"/>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C00000"/>
      </font>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ont>
        <b val="1"/>
        <color rgb="FFFF0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ont>
        <b val="1"/>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ndense val="0"/>
        <color indexed="10"/>
        <extend val="0"/>
      </font>
    </dxf>
    <dxf>
      <fill>
        <patternFill>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1"/>
        <color rgb="FFFF0000"/>
      </font>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ont>
        <b val="1"/>
        <color rgb="FFFF0000"/>
      </font>
    </dxf>
    <dxf>
      <font>
        <color rgb="FFC00000"/>
      </font>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fgColor indexed="64"/>
          <bgColor theme="0"/>
        </patternFill>
      </fill>
    </dxf>
    <dxf>
      <fill>
        <patternFill>
          <bgColor theme="0"/>
        </patternFill>
      </fill>
    </dxf>
    <dxf>
      <fill>
        <patternFill>
          <bgColor theme="0"/>
        </patternFill>
      </fill>
    </dxf>
    <dxf>
      <fill>
        <patternFill patternType="solid">
          <bgColor theme="0"/>
        </patternFill>
      </fill>
    </dxf>
    <dxf>
      <font>
        <b val="1"/>
        <strike val="0"/>
        <color rgb="FFFF0000"/>
      </font>
    </dxf>
    <dxf>
      <fill>
        <patternFill>
          <bgColor theme="0"/>
        </patternFill>
      </fill>
    </dxf>
    <dxf>
      <fill>
        <patternFill>
          <bgColor auto="1"/>
        </patternFill>
      </fill>
    </dxf>
    <dxf>
      <fill>
        <patternFill>
          <bgColor theme="0"/>
        </patternFill>
      </fill>
    </dxf>
    <dxf>
      <fill>
        <patternFill>
          <bgColor auto="1"/>
        </patternFill>
      </fill>
    </dxf>
    <dxf>
      <fill>
        <patternFill>
          <bgColor auto="1"/>
        </patternFill>
      </fill>
    </dxf>
    <dxf>
      <fill>
        <patternFill>
          <bgColor theme="0"/>
        </patternFill>
      </fill>
    </dxf>
    <dxf>
      <fill>
        <patternFill>
          <bgColor auto="1"/>
        </patternFill>
      </fill>
    </dxf>
    <dxf>
      <font>
        <b val="1"/>
        <condense val="0"/>
        <color indexed="10"/>
        <extend val="0"/>
      </font>
    </dxf>
    <dxf>
      <font>
        <b val="1"/>
        <color rgb="FF008000"/>
      </font>
    </dxf>
    <dxf>
      <font>
        <b val="1"/>
        <color rgb="FFC00000"/>
      </font>
    </dxf>
    <dxf>
      <font>
        <b val="1"/>
        <color rgb="FF008000"/>
      </font>
    </dxf>
    <dxf>
      <font>
        <b val="1"/>
        <color rgb="FF008000"/>
      </font>
    </dxf>
    <dxf>
      <font>
        <b val="1"/>
        <color rgb="FF008000"/>
      </font>
    </dxf>
    <dxf>
      <font>
        <b val="1"/>
        <color rgb="FF008000"/>
      </font>
    </dxf>
    <dxf>
      <font>
        <b val="1"/>
        <color rgb="FF008000"/>
      </font>
    </dxf>
    <dxf>
      <font>
        <b val="1"/>
        <color rgb="FFC00000"/>
      </font>
    </dxf>
    <dxf>
      <font>
        <b val="1"/>
        <color rgb="FFC00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font>
        <b val="1"/>
        <color rgb="FF008000"/>
      </font>
    </dxf>
    <dxf>
      <border>
        <left style="thin">
          <color auto="1"/>
        </left>
        <right style="thin">
          <color auto="1"/>
        </right>
        <top style="thin">
          <color auto="1"/>
        </top>
        <bottom style="thin">
          <color auto="1"/>
        </bottom>
        <vertical/>
        <horizontal/>
      </border>
    </dxf>
    <dxf>
      <fill>
        <patternFill>
          <bgColor theme="0"/>
        </patternFill>
      </fill>
    </dxf>
    <dxf>
      <fill>
        <patternFill>
          <bgColor auto="1"/>
        </patternFill>
      </fill>
    </dxf>
    <dxf>
      <fill>
        <patternFill>
          <bgColor auto="1"/>
        </patternFill>
      </fill>
    </dxf>
    <dxf>
      <font>
        <b val="1"/>
        <color rgb="FFFF0000"/>
      </font>
    </dxf>
    <dxf>
      <font>
        <color rgb="FF008000"/>
      </font>
      <border>
        <left style="thin">
          <color auto="1"/>
        </left>
        <right style="thin">
          <color auto="1"/>
        </right>
        <top style="thin">
          <color auto="1"/>
        </top>
        <bottom style="thin">
          <color auto="1"/>
        </bottom>
      </border>
    </dxf>
    <dxf>
      <font>
        <b val="1"/>
        <color rgb="FFFF0000"/>
      </font>
    </dxf>
    <dxf>
      <fill>
        <patternFill>
          <bgColor theme="0"/>
        </patternFill>
      </fill>
    </dxf>
    <dxf>
      <fill>
        <patternFill>
          <bgColor auto="1"/>
        </patternFill>
      </fill>
    </dxf>
    <dxf>
      <fill>
        <patternFill>
          <bgColor theme="0"/>
        </patternFill>
      </fill>
    </dxf>
    <dxf>
      <fill>
        <patternFill>
          <bgColor auto="1"/>
        </patternFill>
      </fill>
    </dxf>
    <dxf>
      <fill>
        <patternFill>
          <bgColor auto="1"/>
        </patternFill>
      </fill>
    </dxf>
    <dxf>
      <font>
        <b val="1"/>
        <color rgb="FFFF0000"/>
      </font>
    </dxf>
    <dxf>
      <font>
        <color rgb="FF008000"/>
      </font>
      <border>
        <left style="thin">
          <color auto="1"/>
        </left>
        <right style="thin">
          <color auto="1"/>
        </right>
        <top style="thin">
          <color auto="1"/>
        </top>
        <bottom style="thin">
          <color auto="1"/>
        </bottom>
      </border>
    </dxf>
    <dxf>
      <font>
        <color rgb="FF008000"/>
      </font>
      <border>
        <left style="thin">
          <color auto="1"/>
        </left>
        <right style="thin">
          <color auto="1"/>
        </right>
        <top style="thin">
          <color auto="1"/>
        </top>
        <bottom style="thin">
          <color auto="1"/>
        </bottom>
      </border>
    </dxf>
    <dxf>
      <font>
        <b val="1"/>
        <color rgb="FFFF0000"/>
      </font>
    </dxf>
    <dxf>
      <fill>
        <patternFill>
          <bgColor theme="0"/>
        </patternFill>
      </fill>
    </dxf>
    <dxf>
      <fill>
        <patternFill>
          <bgColor auto="1"/>
        </patternFill>
      </fill>
    </dxf>
    <dxf>
      <fill>
        <patternFill>
          <bgColor theme="0"/>
        </patternFill>
      </fill>
    </dxf>
    <dxf>
      <fill>
        <patternFill>
          <bgColor auto="1"/>
        </patternFill>
      </fill>
    </dxf>
    <dxf>
      <fill>
        <patternFill>
          <bgColor theme="0"/>
        </patternFill>
      </fill>
    </dxf>
    <dxf>
      <fill>
        <patternFill>
          <bgColor auto="1"/>
        </patternFill>
      </fill>
    </dxf>
    <dxf>
      <fill>
        <patternFill>
          <bgColor theme="0"/>
        </patternFill>
      </fill>
    </dxf>
    <dxf>
      <fill>
        <patternFill>
          <bgColor auto="1"/>
        </patternFill>
      </fill>
    </dxf>
    <dxf>
      <fill>
        <patternFill>
          <bgColor auto="1"/>
        </patternFill>
      </fill>
    </dxf>
    <dxf>
      <fill>
        <patternFill>
          <bgColor auto="1"/>
        </patternFill>
      </fill>
    </dxf>
    <dxf>
      <font>
        <b val="1"/>
        <color rgb="FFFF0000"/>
      </font>
    </dxf>
    <dxf>
      <fill>
        <patternFill>
          <bgColor theme="0"/>
        </patternFill>
      </fill>
    </dxf>
    <dxf>
      <fill>
        <patternFill>
          <bgColor auto="1"/>
        </patternFill>
      </fill>
    </dxf>
    <dxf>
      <fill>
        <patternFill>
          <bgColor auto="1"/>
        </patternFill>
      </fill>
    </dxf>
    <dxf>
      <font>
        <color rgb="FFFF0000"/>
      </font>
    </dxf>
    <dxf>
      <fill>
        <patternFill>
          <bgColor auto="1"/>
        </patternFill>
      </fill>
    </dxf>
    <dxf>
      <font>
        <color rgb="FFFF0000"/>
      </font>
    </dxf>
    <dxf>
      <fill>
        <patternFill>
          <bgColor auto="1"/>
        </patternFill>
      </fill>
    </dxf>
    <dxf>
      <fill>
        <patternFill>
          <bgColor auto="1"/>
        </patternFill>
      </fill>
    </dxf>
    <dxf>
      <font>
        <color rgb="FFFF0000"/>
      </font>
    </dxf>
    <dxf>
      <fill>
        <patternFill>
          <bgColor auto="1"/>
        </patternFill>
      </fill>
    </dxf>
    <dxf>
      <font>
        <color rgb="FFFF0000"/>
      </font>
    </dxf>
    <dxf>
      <fill>
        <patternFill>
          <bgColor auto="1"/>
        </patternFill>
      </fill>
    </dxf>
    <dxf>
      <fill>
        <patternFill>
          <bgColor auto="1"/>
        </patternFill>
      </fill>
    </dxf>
    <dxf>
      <fill>
        <patternFill>
          <bgColor theme="0"/>
        </patternFill>
      </fill>
    </dxf>
    <dxf>
      <fill>
        <patternFill>
          <bgColor auto="1"/>
        </patternFill>
      </fill>
    </dxf>
    <dxf>
      <fill>
        <patternFill>
          <bgColor auto="1"/>
        </patternFill>
      </fill>
    </dxf>
    <dxf>
      <fill>
        <patternFill>
          <bgColor auto="1"/>
        </patternFill>
      </fill>
    </dxf>
    <dxf>
      <font>
        <color rgb="FFC00000"/>
      </font>
    </dxf>
    <dxf>
      <font>
        <color rgb="FFC00000"/>
      </font>
    </dxf>
    <dxf>
      <font>
        <color rgb="FFC00000"/>
      </font>
    </dxf>
    <dxf>
      <font>
        <color rgb="FFC00000"/>
      </font>
    </dxf>
    <dxf>
      <font>
        <color rgb="FFC00000"/>
      </font>
    </dxf>
    <dxf>
      <font>
        <color rgb="FFC00000"/>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b val="1"/>
        <color rgb="FFC00000"/>
      </font>
    </dxf>
    <dxf>
      <font>
        <b val="1"/>
        <color rgb="FF00B050"/>
      </font>
    </dxf>
    <dxf>
      <font>
        <b val="1"/>
        <color rgb="FF00B05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styles" Target="styles.xml" Id="rId67"/><Relationship Type="http://schemas.openxmlformats.org/officeDocument/2006/relationships/theme" Target="theme/theme1.xml" Id="rId6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jpeg" Id="rId1"/></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jpeg" Id="rId1"/></Relationships>
</file>

<file path=xl/drawings/_rels/drawing5.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 Type="http://schemas.openxmlformats.org/officeDocument/2006/relationships/image" Target="/xl/media/image8.png" Id="rId3"/></Relationships>
</file>

<file path=xl/drawings/_rels/drawing6.xml.rels><Relationships xmlns="http://schemas.openxmlformats.org/package/2006/relationships"><Relationship Type="http://schemas.openxmlformats.org/officeDocument/2006/relationships/image" Target="/xl/media/image9.jpeg" Id="rId1"/></Relationships>
</file>

<file path=xl/drawings/_rels/drawing7.xml.rels><Relationships xmlns="http://schemas.openxmlformats.org/package/2006/relationships"><Relationship Type="http://schemas.openxmlformats.org/officeDocument/2006/relationships/image" Target="/xl/media/image10.jpeg" Id="rId1"/><Relationship Type="http://schemas.openxmlformats.org/officeDocument/2006/relationships/image" Target="/xl/media/image11.png" Id="rId2"/><Relationship Type="http://schemas.openxmlformats.org/officeDocument/2006/relationships/image" Target="/xl/media/image12.png" Id="rId3"/><Relationship Type="http://schemas.openxmlformats.org/officeDocument/2006/relationships/image" Target="/xl/media/image13.jpeg" Id="rId4"/><Relationship Type="http://schemas.openxmlformats.org/officeDocument/2006/relationships/image" Target="/xl/media/image14.jpeg" Id="rId5"/><Relationship Type="http://schemas.openxmlformats.org/officeDocument/2006/relationships/image" Target="/xl/media/image15.png" Id="rId6"/><Relationship Type="http://schemas.openxmlformats.org/officeDocument/2006/relationships/image" Target="/xl/media/image16.png" Id="rId7"/><Relationship Type="http://schemas.openxmlformats.org/officeDocument/2006/relationships/image" Target="/xl/media/image17.png" Id="rId8"/><Relationship Type="http://schemas.openxmlformats.org/officeDocument/2006/relationships/image" Target="/xl/media/image18.png" Id="rId9"/><Relationship Type="http://schemas.openxmlformats.org/officeDocument/2006/relationships/image" Target="/xl/media/image19.png" Id="rId10"/><Relationship Type="http://schemas.openxmlformats.org/officeDocument/2006/relationships/image" Target="/xl/media/image20.png" Id="rId11"/><Relationship Type="http://schemas.openxmlformats.org/officeDocument/2006/relationships/image" Target="/xl/media/image21.png" Id="rId12"/><Relationship Type="http://schemas.openxmlformats.org/officeDocument/2006/relationships/image" Target="/xl/media/image22.png" Id="rId13"/><Relationship Type="http://schemas.openxmlformats.org/officeDocument/2006/relationships/image" Target="/xl/media/image23.png" Id="rId14"/><Relationship Type="http://schemas.openxmlformats.org/officeDocument/2006/relationships/image" Target="/xl/media/image24.png" Id="rId15"/><Relationship Type="http://schemas.openxmlformats.org/officeDocument/2006/relationships/image" Target="/xl/media/image25.png" Id="rId16"/><Relationship Type="http://schemas.openxmlformats.org/officeDocument/2006/relationships/image" Target="/xl/media/image26.png" Id="rId17"/><Relationship Type="http://schemas.openxmlformats.org/officeDocument/2006/relationships/image" Target="/xl/media/image27.png" Id="rId18"/><Relationship Type="http://schemas.openxmlformats.org/officeDocument/2006/relationships/image" Target="/xl/media/image28.png" Id="rId19"/><Relationship Type="http://schemas.openxmlformats.org/officeDocument/2006/relationships/image" Target="/xl/media/image29.png" Id="rId20"/><Relationship Type="http://schemas.openxmlformats.org/officeDocument/2006/relationships/image" Target="/xl/media/image30.png" Id="rId21"/><Relationship Type="http://schemas.openxmlformats.org/officeDocument/2006/relationships/image" Target="/xl/media/image31.png" Id="rId22"/><Relationship Type="http://schemas.openxmlformats.org/officeDocument/2006/relationships/image" Target="/xl/media/image32.png" Id="rId23"/><Relationship Type="http://schemas.openxmlformats.org/officeDocument/2006/relationships/image" Target="/xl/media/image33.png" Id="rId24"/></Relationships>
</file>

<file path=xl/drawings/_rels/drawing8.xml.rels><Relationships xmlns="http://schemas.openxmlformats.org/package/2006/relationships"><Relationship Type="http://schemas.openxmlformats.org/officeDocument/2006/relationships/image" Target="/xl/media/image34.png" Id="rId1"/><Relationship Type="http://schemas.openxmlformats.org/officeDocument/2006/relationships/image" Target="/xl/media/image35.png" Id="rId2"/></Relationships>
</file>

<file path=xl/drawings/_rels/drawing9.xml.rels><Relationships xmlns="http://schemas.openxmlformats.org/package/2006/relationships"><Relationship Type="http://schemas.openxmlformats.org/officeDocument/2006/relationships/image" Target="/xl/media/image36.jpeg" Id="rId1"/><Relationship Type="http://schemas.openxmlformats.org/officeDocument/2006/relationships/image" Target="/xl/media/image37.jpeg" Id="rId2"/><Relationship Type="http://schemas.openxmlformats.org/officeDocument/2006/relationships/image" Target="/xl/media/image38.png" Id="rId3"/></Relationships>
</file>

<file path=xl/drawings/_rels/drawing10.xml.rels><Relationships xmlns="http://schemas.openxmlformats.org/package/2006/relationships"><Relationship Type="http://schemas.openxmlformats.org/officeDocument/2006/relationships/image" Target="/xl/media/image39.jpeg" Id="rId1"/></Relationships>
</file>

<file path=xl/drawings/_rels/drawing11.xml.rels><Relationships xmlns="http://schemas.openxmlformats.org/package/2006/relationships"><Relationship Type="http://schemas.openxmlformats.org/officeDocument/2006/relationships/image" Target="/xl/media/image40.png" Id="rId1"/><Relationship Type="http://schemas.openxmlformats.org/officeDocument/2006/relationships/image" Target="/xl/media/image41.png" Id="rId2"/><Relationship Type="http://schemas.openxmlformats.org/officeDocument/2006/relationships/image" Target="/xl/media/image42.jpeg" Id="rId3"/></Relationships>
</file>

<file path=xl/drawings/_rels/drawing12.xml.rels><Relationships xmlns="http://schemas.openxmlformats.org/package/2006/relationships"><Relationship Type="http://schemas.openxmlformats.org/officeDocument/2006/relationships/image" Target="/xl/media/image43.png" Id="rId1"/></Relationships>
</file>

<file path=xl/drawings/_rels/drawing13.xml.rels><Relationships xmlns="http://schemas.openxmlformats.org/package/2006/relationships"><Relationship Type="http://schemas.openxmlformats.org/officeDocument/2006/relationships/image" Target="/xl/media/image44.png" Id="rId1"/></Relationships>
</file>

<file path=xl/drawings/_rels/drawing14.xml.rels><Relationships xmlns="http://schemas.openxmlformats.org/package/2006/relationships"><Relationship Type="http://schemas.openxmlformats.org/officeDocument/2006/relationships/image" Target="/xl/media/image45.jpeg" Id="rId1"/><Relationship Type="http://schemas.openxmlformats.org/officeDocument/2006/relationships/image" Target="/xl/media/image46.jpeg" Id="rId2"/><Relationship Type="http://schemas.openxmlformats.org/officeDocument/2006/relationships/image" Target="/xl/media/image47.jpeg" Id="rId3"/><Relationship Type="http://schemas.openxmlformats.org/officeDocument/2006/relationships/image" Target="/xl/media/image48.jpeg" Id="rId4"/></Relationships>
</file>

<file path=xl/drawings/_rels/drawing15.xml.rels><Relationships xmlns="http://schemas.openxmlformats.org/package/2006/relationships"><Relationship Type="http://schemas.openxmlformats.org/officeDocument/2006/relationships/image" Target="/xl/media/image49.png" Id="rId1"/><Relationship Type="http://schemas.openxmlformats.org/officeDocument/2006/relationships/image" Target="/xl/media/image50.png" Id="rId2"/></Relationships>
</file>

<file path=xl/drawings/_rels/drawing16.xml.rels><Relationships xmlns="http://schemas.openxmlformats.org/package/2006/relationships"><Relationship Type="http://schemas.openxmlformats.org/officeDocument/2006/relationships/image" Target="/xl/media/image51.png" Id="rId1"/></Relationships>
</file>

<file path=xl/drawings/_rels/drawing17.xml.rels><Relationships xmlns="http://schemas.openxmlformats.org/package/2006/relationships"><Relationship Type="http://schemas.openxmlformats.org/officeDocument/2006/relationships/image" Target="/xl/media/image52.png" Id="rId1"/></Relationships>
</file>

<file path=xl/drawings/_rels/drawing18.xml.rels><Relationships xmlns="http://schemas.openxmlformats.org/package/2006/relationships"><Relationship Type="http://schemas.openxmlformats.org/officeDocument/2006/relationships/image" Target="/xl/media/image53.png" Id="rId1"/></Relationships>
</file>

<file path=xl/drawings/drawing1.xml><?xml version="1.0" encoding="utf-8"?>
<wsDr xmlns="http://schemas.openxmlformats.org/drawingml/2006/spreadsheetDrawing">
  <twoCellAnchor editAs="oneCell">
    <from>
      <col>1</col>
      <colOff>220774</colOff>
      <row>10</row>
      <rowOff>146536</rowOff>
    </from>
    <to>
      <col>13</col>
      <colOff>65942</colOff>
      <row>39</row>
      <rowOff>24346</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18601" y="1773113"/>
          <a:ext cx="6915649" cy="4552387"/>
        </a:xfrm>
        <a:prstGeom xmlns:a="http://schemas.openxmlformats.org/drawingml/2006/main" prst="rect">
          <avLst/>
        </a:prstGeom>
        <a:ln xmlns:a="http://schemas.openxmlformats.org/drawingml/2006/main">
          <a:prstDash val="solid"/>
        </a:ln>
      </spPr>
    </pic>
    <clientData/>
  </twoCellAnchor>
  <twoCellAnchor editAs="oneCell">
    <from>
      <col>1</col>
      <colOff>7326</colOff>
      <row>40</row>
      <rowOff>183173</rowOff>
    </from>
    <to>
      <col>14</col>
      <colOff>19491</colOff>
      <row>67</row>
      <rowOff>80596</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05153" y="6975231"/>
          <a:ext cx="7690780" cy="4366846"/>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11</col>
      <colOff>695325</colOff>
      <row>21</row>
      <rowOff>9525</rowOff>
    </from>
    <to>
      <col>12</col>
      <colOff>142875</colOff>
      <row>21</row>
      <rowOff>371475</rowOff>
    </to>
    <pic>
      <nvPicPr>
        <cNvPr id="107801" name="Picture 10" descr="E:\My Documents\Excel\03_1040\Pencil - Black.jp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115175" y="2562225"/>
          <a:ext cx="342900" cy="3619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2</col>
      <colOff>104775</colOff>
      <row>85</row>
      <rowOff>57150</rowOff>
    </from>
    <to>
      <col>4</col>
      <colOff>238124</colOff>
      <row>89</row>
      <rowOff>38100</rowOff>
    </to>
    <pic>
      <nvPicPr>
        <cNvPr id="111151" name="Picture 105" descr="caution"/>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57200" y="15706725"/>
          <a:ext cx="666750" cy="6667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10</col>
      <colOff>85725</colOff>
      <row>1</row>
      <rowOff>66675</rowOff>
    </from>
    <to>
      <col>10</col>
      <colOff>523875</colOff>
      <row>3</row>
      <rowOff>167217</rowOff>
    </to>
    <pic>
      <nvPicPr>
        <cNvPr id="3" name="Picture 579" descr="Pencil - Black"/>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57975" y="1266825"/>
          <a:ext cx="438150" cy="462492"/>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editAs="oneCell">
    <from>
      <col>1</col>
      <colOff>77665</colOff>
      <row>49</row>
      <rowOff>56174</rowOff>
    </from>
    <to>
      <col>4</col>
      <colOff>41763</colOff>
      <row>52</row>
      <rowOff>81573</rowOff>
    </to>
    <pic>
      <nvPicPr>
        <cNvPr id="110033" name="Picture 98"/>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36415" y="8628674"/>
          <a:ext cx="456223" cy="438149"/>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4</col>
      <colOff>304800</colOff>
      <row>19</row>
      <rowOff>38100</rowOff>
    </from>
    <to>
      <col>4</col>
      <colOff>761943</colOff>
      <row>21</row>
      <rowOff>123772</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962025" y="4029075"/>
          <a:ext cx="457143" cy="428571"/>
        </a:xfrm>
        <a:prstGeom xmlns:a="http://schemas.openxmlformats.org/drawingml/2006/main" prst="rect">
          <avLst/>
        </a:prstGeom>
        <a:ln xmlns:a="http://schemas.openxmlformats.org/drawingml/2006/main">
          <a:prstDash val="solid"/>
        </a:ln>
      </spPr>
    </pic>
    <clientData/>
  </twoCellAnchor>
  <twoCellAnchor editAs="oneCell">
    <from>
      <col>4</col>
      <colOff>255104</colOff>
      <row>32</row>
      <rowOff>152400</rowOff>
    </from>
    <to>
      <col>4</col>
      <colOff>712247</colOff>
      <row>35</row>
      <rowOff>76145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917713" y="6587987"/>
          <a:ext cx="457143" cy="437267"/>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1</col>
      <colOff>87923</colOff>
      <row>78</row>
      <rowOff>29309</rowOff>
    </from>
    <to>
      <col>4</col>
      <colOff>11723</colOff>
      <row>79</row>
      <rowOff>128307</rowOff>
    </to>
    <pic>
      <nvPicPr>
        <cNvPr id="7" name="Picture 113" descr="E:\My Documents\Excel\04_1040\IRS Forms\CAUTION_Black.jp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56442" y="13591444"/>
          <a:ext cx="392723" cy="414054"/>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7.xml><?xml version="1.0" encoding="utf-8"?>
<wsDr xmlns="http://schemas.openxmlformats.org/drawingml/2006/spreadsheetDrawing">
  <twoCellAnchor editAs="oneCell">
    <from>
      <col>0</col>
      <colOff>707927</colOff>
      <row>263</row>
      <rowOff>53578</rowOff>
    </from>
    <to>
      <col>2</col>
      <colOff>188913</colOff>
      <row>266</row>
      <rowOff>67862</rowOff>
    </to>
    <pic>
      <nvPicPr>
        <cNvPr id="4" name="Picture 113" descr="E:\My Documents\Excel\04_1040\IRS Forms\CAUTION_Black.jpg"/>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707927" y="40582453"/>
          <a:ext cx="439439" cy="496489"/>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3</col>
      <colOff>78828</colOff>
      <row>502</row>
      <rowOff>158888</rowOff>
    </from>
    <to>
      <col>3</col>
      <colOff>503238</colOff>
      <row>505</row>
      <rowOff>146048</rowOff>
    </to>
    <pic>
      <nvPicPr>
        <cNvPr id="5" name="Picture 113" descr="E:\My Documents\Excel\04_1040\IRS Forms\CAUTION_Black.jpg"/>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a:stretch xmlns:a="http://schemas.openxmlformats.org/drawingml/2006/main">
          <a:fillRect/>
        </a:stretch>
      </blipFill>
      <spPr bwMode="auto">
        <a:xfrm xmlns:a="http://schemas.openxmlformats.org/drawingml/2006/main">
          <a:off x="1300656" y="79124422"/>
          <a:ext cx="424410" cy="48640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16</col>
      <colOff>0</colOff>
      <row>366</row>
      <rowOff>0</rowOff>
    </from>
    <to>
      <col>18</col>
      <colOff>198782</colOff>
      <row>368</row>
      <rowOff>23131</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8154865" y="52512058"/>
          <a:ext cx="461597" cy="474785"/>
        </a:xfrm>
        <a:prstGeom xmlns:a="http://schemas.openxmlformats.org/drawingml/2006/main" prst="rect">
          <avLst/>
        </a:prstGeom>
        <a:ln xmlns:a="http://schemas.openxmlformats.org/drawingml/2006/main">
          <a:prstDash val="solid"/>
        </a:ln>
      </spPr>
    </pic>
    <clientData/>
  </twoCellAnchor>
  <twoCellAnchor editAs="oneCell">
    <from>
      <col>4</col>
      <colOff>291705</colOff>
      <row>138</row>
      <rowOff>77392</rowOff>
    </from>
    <to>
      <col>4</col>
      <colOff>431129</colOff>
      <row>139</row>
      <rowOff>107158</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113361" y="22002751"/>
          <a:ext cx="139424" cy="190500"/>
        </a:xfrm>
        <a:prstGeom xmlns:a="http://schemas.openxmlformats.org/drawingml/2006/main" prst="rect">
          <avLst/>
        </a:prstGeom>
        <a:ln xmlns:a="http://schemas.openxmlformats.org/drawingml/2006/main">
          <a:prstDash val="solid"/>
        </a:ln>
      </spPr>
    </pic>
    <clientData/>
  </twoCellAnchor>
  <twoCellAnchor editAs="oneCell">
    <from>
      <col>4</col>
      <colOff>291704</colOff>
      <row>119</row>
      <rowOff>89297</rowOff>
    </from>
    <to>
      <col>4</col>
      <colOff>431128</colOff>
      <row>120</row>
      <rowOff>119063</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113360" y="18960703"/>
          <a:ext cx="139424" cy="190500"/>
        </a:xfrm>
        <a:prstGeom xmlns:a="http://schemas.openxmlformats.org/drawingml/2006/main" prst="rect">
          <avLst/>
        </a:prstGeom>
        <a:ln xmlns:a="http://schemas.openxmlformats.org/drawingml/2006/main">
          <a:prstDash val="solid"/>
        </a:ln>
      </spPr>
    </pic>
    <clientData/>
  </twoCellAnchor>
  <twoCellAnchor editAs="oneCell">
    <from>
      <col>10</col>
      <colOff>410765</colOff>
      <row>124</row>
      <rowOff>83344</rowOff>
    </from>
    <to>
      <col>10</col>
      <colOff>550189</colOff>
      <row>125</row>
      <rowOff>113109</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5244703" y="19758422"/>
          <a:ext cx="139424" cy="190500"/>
        </a:xfrm>
        <a:prstGeom xmlns:a="http://schemas.openxmlformats.org/drawingml/2006/main" prst="rect">
          <avLst/>
        </a:prstGeom>
        <a:ln xmlns:a="http://schemas.openxmlformats.org/drawingml/2006/main">
          <a:prstDash val="solid"/>
        </a:ln>
      </spPr>
    </pic>
    <clientData/>
  </twoCellAnchor>
  <twoCellAnchor editAs="oneCell">
    <from>
      <col>4</col>
      <colOff>297657</colOff>
      <row>131</row>
      <rowOff>89297</rowOff>
    </from>
    <to>
      <col>4</col>
      <colOff>437081</colOff>
      <row>132</row>
      <rowOff>119062</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2119313" y="20889516"/>
          <a:ext cx="139424" cy="190500"/>
        </a:xfrm>
        <a:prstGeom xmlns:a="http://schemas.openxmlformats.org/drawingml/2006/main" prst="rect">
          <avLst/>
        </a:prstGeom>
        <a:ln xmlns:a="http://schemas.openxmlformats.org/drawingml/2006/main">
          <a:prstDash val="solid"/>
        </a:ln>
      </spPr>
    </pic>
    <clientData/>
  </twoCellAnchor>
  <twoCellAnchor editAs="oneCell">
    <from>
      <col>4</col>
      <colOff>291704</colOff>
      <row>146</row>
      <rowOff>83345</rowOff>
    </from>
    <to>
      <col>4</col>
      <colOff>431128</colOff>
      <row>147</row>
      <rowOff>113111</rowOff>
    </to>
    <pic>
      <nvPicPr>
        <cNvPr id="16" name="Picture 15"/>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2113360" y="23294579"/>
          <a:ext cx="139424" cy="190500"/>
        </a:xfrm>
        <a:prstGeom xmlns:a="http://schemas.openxmlformats.org/drawingml/2006/main" prst="rect">
          <avLst/>
        </a:prstGeom>
        <a:ln xmlns:a="http://schemas.openxmlformats.org/drawingml/2006/main">
          <a:prstDash val="solid"/>
        </a:ln>
      </spPr>
    </pic>
    <clientData/>
  </twoCellAnchor>
  <twoCellAnchor editAs="oneCell">
    <from>
      <col>10</col>
      <colOff>357188</colOff>
      <row>171</row>
      <rowOff>89297</rowOff>
    </from>
    <to>
      <col>10</col>
      <colOff>496612</colOff>
      <row>172</row>
      <rowOff>119063</rowOff>
    </to>
    <pic>
      <nvPicPr>
        <cNvPr id="17" name="Picture 16"/>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5191126" y="26425922"/>
          <a:ext cx="139424" cy="190500"/>
        </a:xfrm>
        <a:prstGeom xmlns:a="http://schemas.openxmlformats.org/drawingml/2006/main" prst="rect">
          <avLst/>
        </a:prstGeom>
        <a:ln xmlns:a="http://schemas.openxmlformats.org/drawingml/2006/main">
          <a:prstDash val="solid"/>
        </a:ln>
      </spPr>
    </pic>
    <clientData/>
  </twoCellAnchor>
  <twoCellAnchor editAs="oneCell">
    <from>
      <col>4</col>
      <colOff>321469</colOff>
      <row>184</row>
      <rowOff>77390</rowOff>
    </from>
    <to>
      <col>4</col>
      <colOff>460893</colOff>
      <row>185</row>
      <rowOff>107155</rowOff>
    </to>
    <pic>
      <nvPicPr>
        <cNvPr id="18" name="Picture 17"/>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143125" y="28348781"/>
          <a:ext cx="139424" cy="190500"/>
        </a:xfrm>
        <a:prstGeom xmlns:a="http://schemas.openxmlformats.org/drawingml/2006/main" prst="rect">
          <avLst/>
        </a:prstGeom>
        <a:ln xmlns:a="http://schemas.openxmlformats.org/drawingml/2006/main">
          <a:prstDash val="solid"/>
        </a:ln>
      </spPr>
    </pic>
    <clientData/>
  </twoCellAnchor>
  <twoCellAnchor editAs="oneCell">
    <from>
      <col>4</col>
      <colOff>297656</colOff>
      <row>198</row>
      <rowOff>83344</rowOff>
    </from>
    <to>
      <col>4</col>
      <colOff>437080</colOff>
      <row>199</row>
      <rowOff>113109</rowOff>
    </to>
    <pic>
      <nvPicPr>
        <cNvPr id="19" name="Picture 18"/>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2119312" y="29801344"/>
          <a:ext cx="139424" cy="190500"/>
        </a:xfrm>
        <a:prstGeom xmlns:a="http://schemas.openxmlformats.org/drawingml/2006/main" prst="rect">
          <avLst/>
        </a:prstGeom>
        <a:ln xmlns:a="http://schemas.openxmlformats.org/drawingml/2006/main">
          <a:prstDash val="solid"/>
        </a:ln>
      </spPr>
    </pic>
    <clientData/>
  </twoCellAnchor>
  <twoCellAnchor editAs="oneCell">
    <from>
      <col>10</col>
      <colOff>470296</colOff>
      <row>205</row>
      <rowOff>77390</rowOff>
    </from>
    <to>
      <col>10</col>
      <colOff>609720</colOff>
      <row>206</row>
      <rowOff>107156</rowOff>
    </to>
    <pic>
      <nvPicPr>
        <cNvPr id="20" name="Picture 19"/>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5304234" y="30920531"/>
          <a:ext cx="139424" cy="190500"/>
        </a:xfrm>
        <a:prstGeom xmlns:a="http://schemas.openxmlformats.org/drawingml/2006/main" prst="rect">
          <avLst/>
        </a:prstGeom>
        <a:ln xmlns:a="http://schemas.openxmlformats.org/drawingml/2006/main">
          <a:prstDash val="solid"/>
        </a:ln>
      </spPr>
    </pic>
    <clientData/>
  </twoCellAnchor>
  <twoCellAnchor editAs="oneCell">
    <from>
      <col>10</col>
      <colOff>428625</colOff>
      <row>215</row>
      <rowOff>83344</rowOff>
    </from>
    <to>
      <col>10</col>
      <colOff>568049</colOff>
      <row>216</row>
      <rowOff>113110</rowOff>
    </to>
    <pic>
      <nvPicPr>
        <cNvPr id="21" name="Picture 20"/>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5262563" y="32533828"/>
          <a:ext cx="139424" cy="190500"/>
        </a:xfrm>
        <a:prstGeom xmlns:a="http://schemas.openxmlformats.org/drawingml/2006/main" prst="rect">
          <avLst/>
        </a:prstGeom>
        <a:ln xmlns:a="http://schemas.openxmlformats.org/drawingml/2006/main">
          <a:prstDash val="solid"/>
        </a:ln>
      </spPr>
    </pic>
    <clientData/>
  </twoCellAnchor>
  <twoCellAnchor editAs="oneCell">
    <from>
      <col>10</col>
      <colOff>440531</colOff>
      <row>225</row>
      <rowOff>89297</rowOff>
    </from>
    <to>
      <col>10</col>
      <colOff>579955</colOff>
      <row>226</row>
      <rowOff>119063</rowOff>
    </to>
    <pic>
      <nvPicPr>
        <cNvPr id="22" name="Picture 21"/>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5274469" y="34147125"/>
          <a:ext cx="139424" cy="190500"/>
        </a:xfrm>
        <a:prstGeom xmlns:a="http://schemas.openxmlformats.org/drawingml/2006/main" prst="rect">
          <avLst/>
        </a:prstGeom>
        <a:ln xmlns:a="http://schemas.openxmlformats.org/drawingml/2006/main">
          <a:prstDash val="solid"/>
        </a:ln>
      </spPr>
    </pic>
    <clientData/>
  </twoCellAnchor>
  <twoCellAnchor editAs="oneCell">
    <from>
      <col>10</col>
      <colOff>381000</colOff>
      <row>275</row>
      <rowOff>77390</rowOff>
    </from>
    <to>
      <col>10</col>
      <colOff>520424</colOff>
      <row>276</row>
      <rowOff>107156</rowOff>
    </to>
    <pic>
      <nvPicPr>
        <cNvPr id="23" name="Picture 22"/>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5214938" y="42523171"/>
          <a:ext cx="139424" cy="190500"/>
        </a:xfrm>
        <a:prstGeom xmlns:a="http://schemas.openxmlformats.org/drawingml/2006/main" prst="rect">
          <avLst/>
        </a:prstGeom>
        <a:ln xmlns:a="http://schemas.openxmlformats.org/drawingml/2006/main">
          <a:prstDash val="solid"/>
        </a:ln>
      </spPr>
    </pic>
    <clientData/>
  </twoCellAnchor>
  <twoCellAnchor editAs="oneCell">
    <from>
      <col>12</col>
      <colOff>119063</colOff>
      <row>304</row>
      <rowOff>154782</rowOff>
    </from>
    <to>
      <col>12</col>
      <colOff>589360</colOff>
      <row>307</row>
      <rowOff>64803</rowOff>
    </to>
    <pic>
      <nvPicPr>
        <cNvPr id="24" name="Picture 23"/>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6369844" y="47226141"/>
          <a:ext cx="470297" cy="481521"/>
        </a:xfrm>
        <a:prstGeom xmlns:a="http://schemas.openxmlformats.org/drawingml/2006/main" prst="rect">
          <avLst/>
        </a:prstGeom>
        <a:ln xmlns:a="http://schemas.openxmlformats.org/drawingml/2006/main">
          <a:prstDash val="solid"/>
        </a:ln>
      </spPr>
    </pic>
    <clientData/>
  </twoCellAnchor>
  <twoCellAnchor editAs="oneCell">
    <from>
      <col>0</col>
      <colOff>95251</colOff>
      <row>246</row>
      <rowOff>43964</rowOff>
    </from>
    <to>
      <col>0</col>
      <colOff>696059</colOff>
      <row>249</row>
      <rowOff>102580</rowOff>
    </to>
    <pic>
      <nvPicPr>
        <cNvPr id="25" name="Picture 24"/>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95251" y="39352906"/>
          <a:ext cx="600808" cy="600808"/>
        </a:xfrm>
        <a:prstGeom xmlns:a="http://schemas.openxmlformats.org/drawingml/2006/main" prst="rect">
          <avLst/>
        </a:prstGeom>
        <a:ln xmlns:a="http://schemas.openxmlformats.org/drawingml/2006/main">
          <a:prstDash val="solid"/>
        </a:ln>
      </spPr>
    </pic>
    <clientData/>
  </twoCellAnchor>
  <twoCellAnchor editAs="oneCell">
    <from>
      <col>12</col>
      <colOff>89297</colOff>
      <row>499</row>
      <rowOff>13718</rowOff>
    </from>
    <to>
      <col>16</col>
      <colOff>41958</colOff>
      <row>504</row>
      <rowOff>9568</rowOff>
    </to>
    <pic>
      <nvPicPr>
        <cNvPr id="27" name="Picture 26"/>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6367514" y="82069522"/>
          <a:ext cx="2048161" cy="824111"/>
        </a:xfrm>
        <a:prstGeom xmlns:a="http://schemas.openxmlformats.org/drawingml/2006/main" prst="rect">
          <avLst/>
        </a:prstGeom>
        <a:ln xmlns:a="http://schemas.openxmlformats.org/drawingml/2006/main">
          <a:prstDash val="solid"/>
        </a:ln>
      </spPr>
    </pic>
    <clientData/>
  </twoCellAnchor>
  <twoCellAnchor editAs="oneCell">
    <from>
      <col>15</col>
      <colOff>0</colOff>
      <row>496</row>
      <rowOff>41955</rowOff>
    </from>
    <to>
      <col>16</col>
      <colOff>41290</colOff>
      <row>499</row>
      <rowOff>14802</rowOff>
    </to>
    <pic>
      <nvPicPr>
        <cNvPr id="28" name="Picture 27"/>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8305800" y="80754084"/>
          <a:ext cx="106604" cy="451818"/>
        </a:xfrm>
        <a:prstGeom xmlns:a="http://schemas.openxmlformats.org/drawingml/2006/main" prst="rect">
          <avLst/>
        </a:prstGeom>
        <a:ln xmlns:a="http://schemas.openxmlformats.org/drawingml/2006/main">
          <a:prstDash val="solid"/>
        </a:ln>
      </spPr>
    </pic>
    <clientData/>
  </twoCellAnchor>
  <twoCellAnchor editAs="oneCell">
    <from>
      <col>11</col>
      <colOff>166687</colOff>
      <row>357</row>
      <rowOff>0</rowOff>
    </from>
    <to>
      <col>14</col>
      <colOff>111410</colOff>
      <row>361</row>
      <rowOff>154601</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5691187" y="56951563"/>
          <a:ext cx="2048161" cy="789600"/>
        </a:xfrm>
        <a:prstGeom xmlns:a="http://schemas.openxmlformats.org/drawingml/2006/main" prst="rect">
          <avLst/>
        </a:prstGeom>
        <a:ln xmlns:a="http://schemas.openxmlformats.org/drawingml/2006/main">
          <a:prstDash val="solid"/>
        </a:ln>
      </spPr>
    </pic>
    <clientData/>
  </twoCellAnchor>
  <twoCellAnchor editAs="oneCell">
    <from>
      <col>14</col>
      <colOff>7937</colOff>
      <row>354</row>
      <rowOff>182563</rowOff>
    </from>
    <to>
      <col>14</col>
      <colOff>103300</colOff>
      <row>356</row>
      <rowOff>147470</rowOff>
    </to>
    <pic>
      <nvPicPr>
        <cNvPr id="26" name="Picture 25"/>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7635875" y="56538813"/>
          <a:ext cx="95363" cy="401471"/>
        </a:xfrm>
        <a:prstGeom xmlns:a="http://schemas.openxmlformats.org/drawingml/2006/main" prst="rect">
          <avLst/>
        </a:prstGeom>
        <a:ln xmlns:a="http://schemas.openxmlformats.org/drawingml/2006/main">
          <a:prstDash val="solid"/>
        </a:ln>
      </spPr>
    </pic>
    <clientData/>
  </twoCellAnchor>
  <oneCellAnchor>
    <from>
      <col>1</col>
      <colOff>76200</colOff>
      <row>360</row>
      <rowOff>47625</rowOff>
    </from>
    <ext cx="366712" cy="419100"/>
    <pic>
      <nvPicPr>
        <cNvPr id="8" name="Picture 113" descr="E:\My Documents\Excel\04_1040\IRS Forms\CAUTION_Black.jp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23900" y="38185725"/>
          <a:ext cx="366712" cy="419100"/>
        </a:xfrm>
        <a:prstGeom xmlns:a="http://schemas.openxmlformats.org/drawingml/2006/main" prst="rect">
          <avLst/>
        </a:prstGeom>
        <a:noFill xmlns:a="http://schemas.openxmlformats.org/drawingml/2006/main"/>
        <a:ln xmlns:a="http://schemas.openxmlformats.org/drawingml/2006/main">
          <a:noFill/>
          <a:prstDash val="solid"/>
        </a:ln>
      </spPr>
    </pic>
    <clientData/>
  </oneCellAnchor>
  <oneCellAnchor>
    <from>
      <col>16</col>
      <colOff>0</colOff>
      <row>376</row>
      <rowOff>0</rowOff>
    </from>
    <ext cx="466725" cy="476251"/>
    <pic>
      <nvPicPr>
        <cNvPr id="10" name="Picture 9"/>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8153400" y="52787550"/>
          <a:ext cx="466725" cy="476251"/>
        </a:xfrm>
        <a:prstGeom xmlns:a="http://schemas.openxmlformats.org/drawingml/2006/main" prst="rect">
          <avLst/>
        </a:prstGeom>
        <a:ln xmlns:a="http://schemas.openxmlformats.org/drawingml/2006/main">
          <a:prstDash val="solid"/>
        </a:ln>
      </spPr>
    </pic>
    <clientData/>
  </oneCellAnchor>
  <oneCellAnchor>
    <from>
      <col>16</col>
      <colOff>0</colOff>
      <row>392</row>
      <rowOff>0</rowOff>
    </from>
    <ext cx="466725" cy="476251"/>
    <pic>
      <nvPicPr>
        <cNvPr id="11" name="Picture 10"/>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8153400" y="54121050"/>
          <a:ext cx="466725" cy="476251"/>
        </a:xfrm>
        <a:prstGeom xmlns:a="http://schemas.openxmlformats.org/drawingml/2006/main" prst="rect">
          <avLst/>
        </a:prstGeom>
        <a:ln xmlns:a="http://schemas.openxmlformats.org/drawingml/2006/main">
          <a:prstDash val="solid"/>
        </a:ln>
      </spPr>
    </pic>
    <clientData/>
  </oneCellAnchor>
</wsDr>
</file>

<file path=xl/drawings/drawing8.xml><?xml version="1.0" encoding="utf-8"?>
<wsDr xmlns="http://schemas.openxmlformats.org/drawingml/2006/spreadsheetDrawing">
  <twoCellAnchor editAs="oneCell">
    <from>
      <col>22</col>
      <colOff>88900</colOff>
      <row>41</row>
      <rowOff>25401</rowOff>
    </from>
    <to>
      <col>23</col>
      <colOff>190500</colOff>
      <row>43</row>
      <rowOff>30127</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2255500" y="4222751"/>
          <a:ext cx="406400" cy="411126"/>
        </a:xfrm>
        <a:prstGeom xmlns:a="http://schemas.openxmlformats.org/drawingml/2006/main" prst="rect">
          <avLst/>
        </a:prstGeom>
        <a:ln xmlns:a="http://schemas.openxmlformats.org/drawingml/2006/main">
          <a:prstDash val="solid"/>
        </a:ln>
      </spPr>
    </pic>
    <clientData/>
  </twoCellAnchor>
  <oneCellAnchor>
    <from>
      <col>34</col>
      <colOff>400050</colOff>
      <row>20</row>
      <rowOff>38100</rowOff>
    </from>
    <ext cx="334937" cy="371476"/>
    <pic>
      <nvPicPr>
        <cNvPr id="3" name="Picture 27"/>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754725" y="3848100"/>
          <a:ext cx="334937" cy="371476"/>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drawings/drawing9.xml><?xml version="1.0" encoding="utf-8"?>
<wsDr xmlns="http://schemas.openxmlformats.org/drawingml/2006/spreadsheetDrawing">
  <twoCellAnchor editAs="oneCell">
    <from>
      <col>17</col>
      <colOff>428625</colOff>
      <row>57</row>
      <rowOff>28575</rowOff>
    </from>
    <to>
      <col>18</col>
      <colOff>655</colOff>
      <row>58</row>
      <rowOff>228927</rowOff>
    </to>
    <pic>
      <nvPicPr>
        <cNvPr id="124016" name="Picture 7" descr="E:\My Documents\Excel\03_1040\Pencil - Blue.jp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8343900" y="10201275"/>
          <a:ext cx="353081" cy="362277"/>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17</col>
      <colOff>457200</colOff>
      <row>34</row>
      <rowOff>231775</rowOff>
    </from>
    <to>
      <col>18</col>
      <colOff>28574</colOff>
      <row>34</row>
      <rowOff>593726</rowOff>
    </to>
    <pic>
      <nvPicPr>
        <cNvPr id="124017" name="Picture 8" descr="E:\My Documents\Excel\03_1040\Pencil - Blue.jpg"/>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529638" y="6232525"/>
          <a:ext cx="349250" cy="361951"/>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14</col>
      <colOff>107146</colOff>
      <row>0</row>
      <rowOff>47625</rowOff>
    </from>
    <to>
      <col>14</col>
      <colOff>485258</colOff>
      <row>1</row>
      <rowOff>190499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7060396" y="47625"/>
          <a:ext cx="378112" cy="380999"/>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92075</colOff>
      <row>98</row>
      <rowOff>73025</rowOff>
    </from>
    <to>
      <col>3</col>
      <colOff>46038</colOff>
      <row>101</row>
      <rowOff>139701</rowOff>
    </to>
    <pic>
      <nvPicPr>
        <cNvPr id="19" name="Picture 113" descr="E:\My Documents\Excel\04_1040\IRS Forms\CAUTION_Black.jp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25425" y="15567025"/>
          <a:ext cx="536575" cy="5619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1.xml><?xml version="1.0" encoding="utf-8"?>
<wsDr xmlns="http://schemas.openxmlformats.org/drawingml/2006/spreadsheetDrawing">
  <twoCellAnchor editAs="oneCell">
    <from>
      <col>0</col>
      <colOff>127000</colOff>
      <row>23</row>
      <rowOff>3629</rowOff>
    </from>
    <to>
      <col>1</col>
      <colOff>279400</colOff>
      <row>24</row>
      <rowOff>44745</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27000" y="3458029"/>
          <a:ext cx="285750" cy="282416"/>
        </a:xfrm>
        <a:prstGeom xmlns:a="http://schemas.openxmlformats.org/drawingml/2006/main" prst="rect">
          <avLst/>
        </a:prstGeom>
        <a:ln xmlns:a="http://schemas.openxmlformats.org/drawingml/2006/main">
          <a:prstDash val="solid"/>
        </a:ln>
      </spPr>
    </pic>
    <clientData/>
  </twoCellAnchor>
  <twoCellAnchor editAs="oneCell">
    <from>
      <col>1</col>
      <colOff>76200</colOff>
      <row>93</row>
      <rowOff>38354</rowOff>
    </from>
    <to>
      <col>2</col>
      <colOff>32655</colOff>
      <row>95</row>
      <rowOff>48985</rowOff>
    </to>
    <pic>
      <nvPicPr>
        <cNvPr id="19" name="Picture 1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09550" y="13951204"/>
          <a:ext cx="254905" cy="251931"/>
        </a:xfrm>
        <a:prstGeom xmlns:a="http://schemas.openxmlformats.org/drawingml/2006/main" prst="rect">
          <avLst/>
        </a:prstGeom>
        <a:ln xmlns:a="http://schemas.openxmlformats.org/drawingml/2006/main">
          <a:prstDash val="solid"/>
        </a:ln>
      </spPr>
    </pic>
    <clientData/>
  </twoCellAnchor>
  <twoCellAnchor editAs="oneCell">
    <from>
      <col>29</col>
      <colOff>253319</colOff>
      <row>128</row>
      <rowOff>70945</rowOff>
    </from>
    <to>
      <col>29</col>
      <colOff>537246</colOff>
      <row>130</row>
      <rowOff>8445</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7688262" y="19175374"/>
          <a:ext cx="283927" cy="285842"/>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21</col>
      <colOff>146152</colOff>
      <row>108</row>
      <rowOff>170678</rowOff>
    </from>
    <to>
      <col>22</col>
      <colOff>439616</colOff>
      <row>111</row>
      <rowOff>115034</rowOff>
    </to>
    <pic>
      <nvPicPr>
        <cNvPr id="23" name="Picture 27"/>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656248" y="30943755"/>
          <a:ext cx="513272" cy="53270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3.xml><?xml version="1.0" encoding="utf-8"?>
<wsDr xmlns="http://schemas.openxmlformats.org/drawingml/2006/spreadsheetDrawing">
  <twoCellAnchor editAs="oneCell">
    <from>
      <col>21</col>
      <colOff>290365</colOff>
      <row>180</row>
      <rowOff>161290</rowOff>
    </from>
    <to>
      <col>21</col>
      <colOff>534866</colOff>
      <row>181</row>
      <rowOff>197826</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90557" y="34817636"/>
          <a:ext cx="244501" cy="249017"/>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22</col>
      <colOff>914399</colOff>
      <row>5</row>
      <rowOff>38100</rowOff>
    </from>
    <to>
      <col>22</col>
      <colOff>1114424</colOff>
      <row>6</row>
      <rowOff>100943</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13201649" y="1152525"/>
          <a:ext cx="200025" cy="244475"/>
        </a:xfrm>
        <a:prstGeom xmlns:a="http://schemas.openxmlformats.org/drawingml/2006/main" prst="rect">
          <avLst/>
        </a:prstGeom>
        <a:ln xmlns:a="http://schemas.openxmlformats.org/drawingml/2006/main">
          <a:prstDash val="solid"/>
        </a:ln>
      </spPr>
    </pic>
    <clientData/>
  </twoCellAnchor>
  <twoCellAnchor editAs="oneCell">
    <from>
      <col>22</col>
      <colOff>866775</colOff>
      <row>99</row>
      <rowOff>9526</rowOff>
    </from>
    <to>
      <col>22</col>
      <colOff>990600</colOff>
      <row>99</row>
      <rowOff>163732</rowOff>
    </to>
    <pic>
      <nvPicPr>
        <cNvPr id="16" name="Picture 1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13154025" y="22640926"/>
          <a:ext cx="123825" cy="151342"/>
        </a:xfrm>
        <a:prstGeom xmlns:a="http://schemas.openxmlformats.org/drawingml/2006/main" prst="rect">
          <avLst/>
        </a:prstGeom>
        <a:ln xmlns:a="http://schemas.openxmlformats.org/drawingml/2006/main">
          <a:prstDash val="solid"/>
        </a:ln>
      </spPr>
    </pic>
    <clientData/>
  </twoCellAnchor>
  <oneCellAnchor>
    <from>
      <col>28</col>
      <colOff>575128</colOff>
      <row>71</row>
      <rowOff>144236</rowOff>
    </from>
    <ext cx="345274" cy="340272"/>
    <pic>
      <nvPicPr>
        <cNvPr id="25" name="Picture 2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7786070" y="25810448"/>
          <a:ext cx="345274" cy="340272"/>
        </a:xfrm>
        <a:prstGeom xmlns:a="http://schemas.openxmlformats.org/drawingml/2006/main" prst="rect">
          <avLst/>
        </a:prstGeom>
        <a:ln xmlns:a="http://schemas.openxmlformats.org/drawingml/2006/main">
          <a:prstDash val="solid"/>
        </a:ln>
      </spPr>
    </pic>
    <clientData/>
  </oneCellAnchor>
  <oneCellAnchor>
    <from>
      <col>28</col>
      <colOff>74976</colOff>
      <row>96</row>
      <rowOff>69753</rowOff>
    </from>
    <ext cx="450542" cy="445908"/>
    <pic>
      <nvPicPr>
        <cNvPr id="26" name="Picture 25"/>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7160855" y="21596253"/>
          <a:ext cx="450542" cy="445908"/>
        </a:xfrm>
        <a:prstGeom xmlns:a="http://schemas.openxmlformats.org/drawingml/2006/main" prst="rect">
          <avLst/>
        </a:prstGeom>
        <a:ln xmlns:a="http://schemas.openxmlformats.org/drawingml/2006/main">
          <a:prstDash val="solid"/>
        </a:ln>
      </spPr>
    </pic>
    <clientData/>
  </oneCellAnchor>
</wsDr>
</file>

<file path=xl/drawings/drawing15.xml><?xml version="1.0" encoding="utf-8"?>
<wsDr xmlns="http://schemas.openxmlformats.org/drawingml/2006/spreadsheetDrawing">
  <twoCellAnchor editAs="oneCell">
    <from>
      <col>33</col>
      <colOff>85725</colOff>
      <row>232</row>
      <rowOff>123825</rowOff>
    </from>
    <to>
      <col>35</col>
      <colOff>63787</colOff>
      <row>233</row>
      <rowOff>342899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582025" y="34004250"/>
          <a:ext cx="378112" cy="380999"/>
        </a:xfrm>
        <a:prstGeom xmlns:a="http://schemas.openxmlformats.org/drawingml/2006/main" prst="rect">
          <avLst/>
        </a:prstGeom>
        <a:ln xmlns:a="http://schemas.openxmlformats.org/drawingml/2006/main">
          <a:prstDash val="solid"/>
        </a:ln>
      </spPr>
    </pic>
    <clientData/>
  </twoCellAnchor>
  <twoCellAnchor editAs="oneCell">
    <from>
      <col>8</col>
      <colOff>200025</colOff>
      <row>234</row>
      <rowOff>38100</rowOff>
    </from>
    <to>
      <col>9</col>
      <colOff>153591</colOff>
      <row>234</row>
      <rowOff>285750</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238375" y="34451925"/>
          <a:ext cx="201216" cy="247650"/>
        </a:xfrm>
        <a:prstGeom xmlns:a="http://schemas.openxmlformats.org/drawingml/2006/main" prst="rect">
          <avLst/>
        </a:prstGeom>
        <a:ln xmlns:a="http://schemas.openxmlformats.org/drawingml/2006/main">
          <a:prstDash val="solid"/>
        </a:ln>
      </spPr>
    </pic>
    <clientData/>
  </twoCellAnchor>
</wsDr>
</file>

<file path=xl/drawings/drawing16.xml><?xml version="1.0" encoding="utf-8"?>
<wsDr xmlns="http://schemas.openxmlformats.org/drawingml/2006/spreadsheetDrawing">
  <twoCellAnchor editAs="oneCell">
    <from>
      <col>1</col>
      <colOff>19050</colOff>
      <row>9</row>
      <rowOff>133350</rowOff>
    </from>
    <to>
      <col>2</col>
      <colOff>402927</colOff>
      <row>13</row>
      <rowOff>85725</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66700" y="1781175"/>
          <a:ext cx="726777" cy="733425"/>
        </a:xfrm>
        <a:prstGeom xmlns:a="http://schemas.openxmlformats.org/drawingml/2006/main" prst="rect">
          <avLst/>
        </a:prstGeom>
        <a:ln xmlns:a="http://schemas.openxmlformats.org/drawingml/2006/main">
          <a:prstDash val="solid"/>
        </a:ln>
      </spPr>
    </pic>
    <clientData/>
  </twoCellAnchor>
</wsDr>
</file>

<file path=xl/drawings/drawing17.xml><?xml version="1.0" encoding="utf-8"?>
<wsDr xmlns="http://schemas.openxmlformats.org/drawingml/2006/spreadsheetDrawing">
  <twoCellAnchor editAs="oneCell">
    <from>
      <col>28</col>
      <colOff>733425</colOff>
      <row>58</row>
      <rowOff>47625</rowOff>
    </from>
    <to>
      <col>29</col>
      <colOff>180975</colOff>
      <row>60</row>
      <rowOff>159544</rowOff>
    </to>
    <pic>
      <nvPicPr>
        <cNvPr id="2" name="Picture 2" descr="pencil"/>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6544925" y="6038850"/>
          <a:ext cx="466725" cy="4572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18.xml><?xml version="1.0" encoding="utf-8"?>
<wsDr xmlns="http://schemas.openxmlformats.org/drawingml/2006/spreadsheetDrawing">
  <twoCellAnchor editAs="oneCell">
    <from>
      <col>12</col>
      <colOff>66675</colOff>
      <row>9</row>
      <rowOff>66675</rowOff>
    </from>
    <to>
      <col>21</col>
      <colOff>523875</colOff>
      <row>51</row>
      <rowOff>48188</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9705975" y="1609725"/>
          <a:ext cx="9505950" cy="71824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hyperlink" Target="http://www.excel1040.com/" TargetMode="External" Id="rId1"/><Relationship Type="http://schemas.openxmlformats.org/officeDocument/2006/relationships/hyperlink" Target="http://www.irs.gov/pub/irs-pdf/i1040gi.pdf" TargetMode="External" Id="rId2"/><Relationship Type="http://schemas.openxmlformats.org/officeDocument/2006/relationships/hyperlink" Target="http://www.irs.gov/pub/irs-pdf/f1040.pdf" TargetMode="External" Id="rId3"/><Relationship Type="http://schemas.openxmlformats.org/officeDocument/2006/relationships/hyperlink" Target="http://www.irs.gov/pub/irs-pdf/f1040.pdf" TargetMode="External" Id="rId4"/><Relationship Type="http://schemas.openxmlformats.org/officeDocument/2006/relationships/hyperlink" Target="http://www.irs.gov/pub/irs-pdf/f1040.pdf" TargetMode="External" Id="rId5"/><Relationship Type="http://schemas.openxmlformats.org/officeDocument/2006/relationships/hyperlink" Target="http://www.irs.gov/pub/irs-pdf/f1040.pdf" TargetMode="External" Id="rId6"/><Relationship Type="http://schemas.openxmlformats.org/officeDocument/2006/relationships/hyperlink" Target="http://www.irs.gov/pub/irs-pdf/f1040.pdf" TargetMode="External" Id="rId7"/><Relationship Type="http://schemas.openxmlformats.org/officeDocument/2006/relationships/hyperlink" Target="http://www.irs.gov/pub/irs-pdf/f1040.pdf" TargetMode="External" Id="rId8"/><Relationship Type="http://schemas.openxmlformats.org/officeDocument/2006/relationships/hyperlink" Target="http://www.irs.gov/pub/irs-pdf/f1040.pdf" TargetMode="External" Id="rId9"/><Relationship Type="http://schemas.openxmlformats.org/officeDocument/2006/relationships/hyperlink" Target="http://www.irs.gov/pub/irs-pdf/f1040.pdf" TargetMode="External" Id="rId10"/><Relationship Type="http://schemas.openxmlformats.org/officeDocument/2006/relationships/hyperlink" Target="http://www.irs.gov/pub/irs-pdf/f1040.pdf" TargetMode="External" Id="rId11"/><Relationship Type="http://schemas.openxmlformats.org/officeDocument/2006/relationships/hyperlink" Target="http://www.irs.gov/pub/irs-pdf/f1040.pdf" TargetMode="External" Id="rId12"/><Relationship Type="http://schemas.openxmlformats.org/officeDocument/2006/relationships/hyperlink" Target="http://www.irs.gov/pub/irs-pdf/f1040.pdf" TargetMode="External" Id="rId13"/><Relationship Type="http://schemas.openxmlformats.org/officeDocument/2006/relationships/hyperlink" Target="http://www.irs.gov/pub/irs-pdf/f1040.pdf" TargetMode="External" Id="rId14"/><Relationship Type="http://schemas.openxmlformats.org/officeDocument/2006/relationships/hyperlink" Target="http://www.irs.gov/pub/irs-pdf/f1040.pdf" TargetMode="External" Id="rId15"/><Relationship Type="http://schemas.openxmlformats.org/officeDocument/2006/relationships/hyperlink" Target="http://www.irs.gov/pub/irs-pdf/f1040.pdf" TargetMode="External" Id="rId16"/><Relationship Type="http://schemas.openxmlformats.org/officeDocument/2006/relationships/hyperlink" Target="http://www.irs.gov/pub/irs-pdf/f1040.pdf" TargetMode="External" Id="rId17"/><Relationship Type="http://schemas.openxmlformats.org/officeDocument/2006/relationships/hyperlink" Target="http://www.irs.gov/pub/irs-pdf/f1040.pdf" TargetMode="External" Id="rId18"/><Relationship Type="http://schemas.openxmlformats.org/officeDocument/2006/relationships/hyperlink" Target="http://www.irs.gov/pub/irs-pdf/f1040.pdf" TargetMode="External" Id="rId19"/><Relationship Type="http://schemas.openxmlformats.org/officeDocument/2006/relationships/hyperlink" Target="http://www.irs.gov/pub/irs-pdf/f1040.pdf" TargetMode="External" Id="rId20"/><Relationship Type="http://schemas.openxmlformats.org/officeDocument/2006/relationships/hyperlink" Target="http://www.irs.gov/pub/irs-pdf/f1040.pdf" TargetMode="External" Id="rId21"/><Relationship Type="http://schemas.openxmlformats.org/officeDocument/2006/relationships/hyperlink" Target="http://www.irs.gov/pub/irs-pdf/f1040.pdf" TargetMode="External" Id="rId22"/><Relationship Type="http://schemas.openxmlformats.org/officeDocument/2006/relationships/hyperlink" Target="http://www.irs.gov/pub/irs-pdf/f1040.pdf" TargetMode="External" Id="rId23"/><Relationship Type="http://schemas.openxmlformats.org/officeDocument/2006/relationships/hyperlink" Target="http://www.irs.gov/pub/irs-pdf/f1040.pdf" TargetMode="External" Id="rId24"/><Relationship Type="http://schemas.openxmlformats.org/officeDocument/2006/relationships/hyperlink" Target="http://www.irs.gov/pub/irs-pdf/f1040.pdf" TargetMode="External" Id="rId25"/><Relationship Type="http://schemas.openxmlformats.org/officeDocument/2006/relationships/hyperlink" Target="http://www.irs.gov/pub/irs-pdf/f1040.pdf" TargetMode="External" Id="rId26"/><Relationship Type="http://schemas.openxmlformats.org/officeDocument/2006/relationships/hyperlink" Target="http://www.irs.gov/pub/irs-pdf/f1040.pdf" TargetMode="External" Id="rId27"/><Relationship Type="http://schemas.openxmlformats.org/officeDocument/2006/relationships/hyperlink" Target="http://www.irs.gov/pub/irs-pdf/f1040.pdf" TargetMode="External" Id="rId28"/><Relationship Type="http://schemas.openxmlformats.org/officeDocument/2006/relationships/hyperlink" Target="http://www.irs.gov/pub/irs-pdf/f1040.pdf" TargetMode="External" Id="rId29"/><Relationship Type="http://schemas.openxmlformats.org/officeDocument/2006/relationships/hyperlink" Target="http://www.irs.gov/pub/irs-pdf/f1040.pdf" TargetMode="External" Id="rId30"/><Relationship Type="http://schemas.openxmlformats.org/officeDocument/2006/relationships/hyperlink" Target="http://www.irs.gov/pub/irs-pdf/f1040.pdf" TargetMode="External" Id="rId31"/><Relationship Type="http://schemas.openxmlformats.org/officeDocument/2006/relationships/hyperlink" Target="http://www.irs.gov/pub/irs-pdf/f1040.pdf" TargetMode="External" Id="rId32"/><Relationship Type="http://schemas.openxmlformats.org/officeDocument/2006/relationships/hyperlink" Target="http://www.irs.gov/pub/irs-pdf/f1040.pdf" TargetMode="External" Id="rId33"/><Relationship Type="http://schemas.openxmlformats.org/officeDocument/2006/relationships/hyperlink" Target="http://www.irs.gov/pub/irs-pdf/f1040.pdf" TargetMode="External" Id="rId34"/><Relationship Type="http://schemas.openxmlformats.org/officeDocument/2006/relationships/hyperlink" Target="http://www.irs.gov/pub/irs-pdf/f1040.pdf" TargetMode="External" Id="rId35"/><Relationship Type="http://schemas.openxmlformats.org/officeDocument/2006/relationships/hyperlink" Target="http://www.irs.gov/pub/irs-pdf/f1040.pdf" TargetMode="External" Id="rId36"/><Relationship Type="http://schemas.openxmlformats.org/officeDocument/2006/relationships/hyperlink" Target="http://www.irs.gov/pub/irs-pdf/f1040.pdf" TargetMode="External" Id="rId37"/><Relationship Type="http://schemas.openxmlformats.org/officeDocument/2006/relationships/hyperlink" Target="http://www.irs.gov/pub/irs-pdf/f1040.pdf" TargetMode="External" Id="rId38"/><Relationship Type="http://schemas.openxmlformats.org/officeDocument/2006/relationships/hyperlink" Target="http://www.irs.gov/pub/irs-pdf/f1040.pdf" TargetMode="External" Id="rId39"/><Relationship Type="http://schemas.openxmlformats.org/officeDocument/2006/relationships/hyperlink" Target="http://www.irs.gov/pub/irs-pdf/f1040.pdf" TargetMode="External" Id="rId40"/><Relationship Type="http://schemas.openxmlformats.org/officeDocument/2006/relationships/hyperlink" Target="http://www.irs.gov/pub/irs-pdf/f1040.pdf" TargetMode="External" Id="rId41"/><Relationship Type="http://schemas.openxmlformats.org/officeDocument/2006/relationships/hyperlink" Target="http://www.irs.gov/pub/irs-pdf/f1040.pdf" TargetMode="External" Id="rId42"/><Relationship Type="http://schemas.openxmlformats.org/officeDocument/2006/relationships/hyperlink" Target="http://www.irs.gov/pub/irs-pdf/f1040.pdf" TargetMode="External" Id="rId43"/><Relationship Type="http://schemas.openxmlformats.org/officeDocument/2006/relationships/hyperlink" Target="http://www.irs.gov/pub/irs-pdf/f1040.pdf" TargetMode="External" Id="rId44"/><Relationship Type="http://schemas.openxmlformats.org/officeDocument/2006/relationships/hyperlink" Target="http://www.irs.gov/pub/irs-pdf/f1040.pdf" TargetMode="External" Id="rId45"/><Relationship Type="http://schemas.openxmlformats.org/officeDocument/2006/relationships/hyperlink" Target="http://www.irs.gov/pub/irs-pdf/f1040.pdf" TargetMode="External" Id="rId46"/></Relationships>
</file>

<file path=xl/worksheets/_rels/sheet2.xml.rels><Relationships xmlns="http://schemas.openxmlformats.org/package/2006/relationships"><Relationship Type="http://schemas.openxmlformats.org/officeDocument/2006/relationships/hyperlink" Target="http://www.excel1040.com/" TargetMode="External" Id="rId1"/><Relationship Type="http://schemas.openxmlformats.org/officeDocument/2006/relationships/hyperlink" Target="https://sites.google.com/view/incometaxspreadsheet/home" TargetMode="External" Id="rId2"/><Relationship Type="http://schemas.openxmlformats.org/officeDocument/2006/relationships/hyperlink" Target="https://sites.google.com/view/incometaxspreadsheet/home/changes" TargetMode="External" Id="rId3"/><Relationship Type="http://schemas.openxmlformats.org/officeDocument/2006/relationships/hyperlink" Target="mailto:incometaxspreadsheet@gmail.com" TargetMode="External" Id="rId4"/><Relationship Type="http://schemas.openxmlformats.org/officeDocument/2006/relationships/hyperlink" Target="http://paypal.me/incometaxspreadsheet" TargetMode="External" Id="rId5"/><Relationship Type="http://schemas.openxmlformats.org/officeDocument/2006/relationships/hyperlink" Target="https://www.zellepay.com/" TargetMode="External" Id="rId6"/><Relationship Type="http://schemas.openxmlformats.org/officeDocument/2006/relationships/hyperlink" Target="https://pay.google.com/payments/u/0/home" TargetMode="External" Id="rId7"/><Relationship Type="http://schemas.openxmlformats.org/officeDocument/2006/relationships/hyperlink" Target="https://www.venmo.com/" TargetMode="External" Id="rId8"/></Relationships>
</file>

<file path=xl/worksheets/_rels/sheet4.xml.rels><Relationships xmlns="http://schemas.openxmlformats.org/package/2006/relationships"><Relationship Type="http://schemas.openxmlformats.org/officeDocument/2006/relationships/hyperlink" Target="https://www.irs.gov/downloads/irs-pdf" TargetMode="External" Id="rId1"/></Relationships>
</file>

<file path=xl/worksheets/_rels/sheet9.xml.rels><Relationships xmlns="http://schemas.openxmlformats.org/package/2006/relationships"><Relationship Type="http://schemas.openxmlformats.org/officeDocument/2006/relationships/hyperlink" Target="https://www.irs.gov/pub/irs-pdf/f1099msc.pdf" TargetMode="External" Id="rId1"/><Relationship Type="http://schemas.openxmlformats.org/officeDocument/2006/relationships/hyperlink" Target="https://www.irs.gov/instructions/i1099mec" TargetMode="External" Id="rId2"/><Relationship Type="http://schemas.openxmlformats.org/officeDocument/2006/relationships/drawing" Target="/xl/drawings/drawing1.xml" Id="rId3"/></Relationships>
</file>

<file path=xl/worksheets/_rels/sheet14.xml.rels><Relationships xmlns="http://schemas.openxmlformats.org/package/2006/relationships"><Relationship Type="http://schemas.openxmlformats.org/officeDocument/2006/relationships/hyperlink" Target="https://www.irs.gov/credits-deductions/individuals/dependents" TargetMode="External" Id="rId1"/></Relationships>
</file>

<file path=xl/worksheets/_rels/sheet17.xml.rels><Relationships xmlns="http://schemas.openxmlformats.org/package/2006/relationships"><Relationship Type="http://schemas.openxmlformats.org/officeDocument/2006/relationships/drawing" Target="/xl/drawings/drawing2.xml" Id="rId1"/></Relationships>
</file>

<file path=xl/worksheets/_rels/sheet18.xml.rels><Relationships xmlns="http://schemas.openxmlformats.org/package/2006/relationships"><Relationship Type="http://schemas.openxmlformats.org/officeDocument/2006/relationships/drawing" Target="/xl/drawings/drawing3.xml" Id="rId1"/></Relationships>
</file>

<file path=xl/worksheets/_rels/sheet22.xml.rels><Relationships xmlns="http://schemas.openxmlformats.org/package/2006/relationships"><Relationship Type="http://schemas.openxmlformats.org/officeDocument/2006/relationships/drawing" Target="/xl/drawings/drawing4.xml" Id="rId1"/></Relationships>
</file>

<file path=xl/worksheets/_rels/sheet24.xml.rels><Relationships xmlns="http://schemas.openxmlformats.org/package/2006/relationships"><Relationship Type="http://schemas.openxmlformats.org/officeDocument/2006/relationships/drawing" Target="/xl/drawings/drawing5.xml" Id="rId1"/></Relationships>
</file>

<file path=xl/worksheets/_rels/sheet26.xml.rels><Relationships xmlns="http://schemas.openxmlformats.org/package/2006/relationships"><Relationship Type="http://schemas.openxmlformats.org/officeDocument/2006/relationships/drawing" Target="/xl/drawings/drawing6.xml" Id="rId1"/></Relationships>
</file>

<file path=xl/worksheets/_rels/sheet27.xml.rels><Relationships xmlns="http://schemas.openxmlformats.org/package/2006/relationships"><Relationship Type="http://schemas.openxmlformats.org/officeDocument/2006/relationships/hyperlink" Target="https://www.irs.gov/pub/irs-pdf/f1040sei.pdf" TargetMode="External" Id="rId1"/><Relationship Type="http://schemas.openxmlformats.org/officeDocument/2006/relationships/hyperlink" Target="https://www.irs.gov/pub/irs-pdf/f1040sei.pdf" TargetMode="External" Id="rId2"/><Relationship Type="http://schemas.openxmlformats.org/officeDocument/2006/relationships/drawing" Target="/xl/drawings/drawing7.xml" Id="rId3"/></Relationships>
</file>

<file path=xl/worksheets/_rels/sheet28.xml.rels><Relationships xmlns="http://schemas.openxmlformats.org/package/2006/relationships"><Relationship Type="http://schemas.openxmlformats.org/officeDocument/2006/relationships/hyperlink" Target="http://www.irs.gov/pub/irs-pdf/f1040sa.pdf" TargetMode="External" Id="rId1"/><Relationship Type="http://schemas.openxmlformats.org/officeDocument/2006/relationships/hyperlink" Target="http://www.irs.gov/pub/irs-pdf/i1040sca.pdf" TargetMode="External" Id="rId2"/><Relationship Type="http://schemas.openxmlformats.org/officeDocument/2006/relationships/drawing" Target="/xl/drawings/drawing8.xml" Id="rId3"/></Relationships>
</file>

<file path=xl/worksheets/_rels/sheet29.xml.rels><Relationships xmlns="http://schemas.openxmlformats.org/package/2006/relationships"><Relationship Type="http://schemas.openxmlformats.org/officeDocument/2006/relationships/hyperlink" Target="http://www.irs.gov/pub/irs-pdf/f1040sb.pdf" TargetMode="External" Id="rId1"/></Relationships>
</file>

<file path=xl/worksheets/_rels/sheet30.xml.rels><Relationships xmlns="http://schemas.openxmlformats.org/package/2006/relationships"><Relationship Type="http://schemas.openxmlformats.org/officeDocument/2006/relationships/hyperlink" Target="http://www.irs.gov/pub/irs-pdf/f1040sc.pdf" TargetMode="External" Id="rId1"/><Relationship Type="http://schemas.openxmlformats.org/officeDocument/2006/relationships/hyperlink" Target="http://www.irs.gov/pub/irs-pdf/i1040sc.pdf" TargetMode="External" Id="rId2"/></Relationships>
</file>

<file path=xl/worksheets/_rels/sheet31.xml.rels><Relationships xmlns="http://schemas.openxmlformats.org/package/2006/relationships"><Relationship Type="http://schemas.openxmlformats.org/officeDocument/2006/relationships/hyperlink" Target="http://www.irs.gov/pub/irs-pdf/f1040sd.pdf" TargetMode="External" Id="rId1"/><Relationship Type="http://schemas.openxmlformats.org/officeDocument/2006/relationships/hyperlink" Target="http://www.irs.gov/pub/irs-pdf/i1040sd.pdf" TargetMode="External" Id="rId2"/></Relationships>
</file>

<file path=xl/worksheets/_rels/sheet32.xml.rels><Relationships xmlns="http://schemas.openxmlformats.org/package/2006/relationships"><Relationship Type="http://schemas.openxmlformats.org/officeDocument/2006/relationships/hyperlink" Target="http://www.irs.gov/pub/irs-pdf/f1040sd.pdf" TargetMode="External" Id="rId1"/><Relationship Type="http://schemas.openxmlformats.org/officeDocument/2006/relationships/hyperlink" Target="http://www.irs.gov/pub/irs-pdf/i1040sd.pdf" TargetMode="External" Id="rId2"/><Relationship Type="http://schemas.openxmlformats.org/officeDocument/2006/relationships/drawing" Target="/xl/drawings/drawing9.xml" Id="rId3"/></Relationships>
</file>

<file path=xl/worksheets/_rels/sheet35.xml.rels><Relationships xmlns="http://schemas.openxmlformats.org/package/2006/relationships"><Relationship Type="http://schemas.openxmlformats.org/officeDocument/2006/relationships/hyperlink" Target="http://www.irs.gov/pub/irs-pdf/f1040sf.pdf" TargetMode="External" Id="rId1"/><Relationship Type="http://schemas.openxmlformats.org/officeDocument/2006/relationships/hyperlink" Target="http://www.irs.gov/pub/irs-pdf/i1040sf.pdf" TargetMode="External" Id="rId2"/><Relationship Type="http://schemas.openxmlformats.org/officeDocument/2006/relationships/drawing" Target="/xl/drawings/drawing10.xml" Id="rId3"/></Relationships>
</file>

<file path=xl/worksheets/_rels/sheet36.xml.rels><Relationships xmlns="http://schemas.openxmlformats.org/package/2006/relationships"><Relationship Type="http://schemas.openxmlformats.org/officeDocument/2006/relationships/hyperlink" Target="http://www.irs.gov/pub/irs-pdf/f1040sr.pdf" TargetMode="External" Id="rId1"/><Relationship Type="http://schemas.openxmlformats.org/officeDocument/2006/relationships/hyperlink" Target="http://www.irs.gov/pub/irs-pdf/i1040sr.pdf" TargetMode="External" Id="rId2"/><Relationship Type="http://schemas.openxmlformats.org/officeDocument/2006/relationships/drawing" Target="/xl/drawings/drawing11.xml" Id="rId3"/></Relationships>
</file>

<file path=xl/worksheets/_rels/sheet37.xml.rels><Relationships xmlns="http://schemas.openxmlformats.org/package/2006/relationships"><Relationship Type="http://schemas.openxmlformats.org/officeDocument/2006/relationships/hyperlink" Target="http://www.irs.gov/pub/irs-pdf/f1040sse.pdf" TargetMode="External" Id="rId1"/><Relationship Type="http://schemas.openxmlformats.org/officeDocument/2006/relationships/hyperlink" Target="http://www.irs.gov/pub/irs-pdf/i1040sse.pdf" TargetMode="External" Id="rId2"/></Relationships>
</file>

<file path=xl/worksheets/_rels/sheet39.xml.rels><Relationships xmlns="http://schemas.openxmlformats.org/package/2006/relationships"><Relationship Type="http://schemas.openxmlformats.org/officeDocument/2006/relationships/hyperlink" Target="http://www.irs.gov/pub/irs-pdf/f2210.pdf" TargetMode="External" Id="rId1"/><Relationship Type="http://schemas.openxmlformats.org/officeDocument/2006/relationships/hyperlink" Target="http://www.irs.gov/pub/irs-pdf/i2210.pdf" TargetMode="External" Id="rId2"/><Relationship Type="http://schemas.openxmlformats.org/officeDocument/2006/relationships/drawing" Target="/xl/drawings/drawing12.xml" Id="rId3"/></Relationships>
</file>

<file path=xl/worksheets/_rels/sheet40.xml.rels><Relationships xmlns="http://schemas.openxmlformats.org/package/2006/relationships"><Relationship Type="http://schemas.openxmlformats.org/officeDocument/2006/relationships/hyperlink" Target="http://www.irs.gov/pub/irs-pdf/f2441.pdf" TargetMode="External" Id="rId1"/><Relationship Type="http://schemas.openxmlformats.org/officeDocument/2006/relationships/hyperlink" Target="http://www.irs.gov/pub/irs-pdf/i2441.pdf" TargetMode="External" Id="rId2"/><Relationship Type="http://schemas.openxmlformats.org/officeDocument/2006/relationships/drawing" Target="/xl/drawings/drawing13.xml" Id="rId3"/></Relationships>
</file>

<file path=xl/worksheets/_rels/sheet45.xml.rels><Relationships xmlns="http://schemas.openxmlformats.org/package/2006/relationships"><Relationship Type="http://schemas.openxmlformats.org/officeDocument/2006/relationships/hyperlink" Target="https://www.irs.gov/pub/irs-pdf/i6251.pdf" TargetMode="External" Id="rId1"/><Relationship Type="http://schemas.openxmlformats.org/officeDocument/2006/relationships/hyperlink" Target="http://www.irs.gov/pub/irs-pdf/f6251.pdf" TargetMode="External" Id="rId2"/><Relationship Type="http://schemas.openxmlformats.org/officeDocument/2006/relationships/hyperlink" Target="http://www.irs.gov/pub/irs-pdf/i6251.pdf" TargetMode="External" Id="rId3"/><Relationship Type="http://schemas.openxmlformats.org/officeDocument/2006/relationships/drawing" Target="/xl/drawings/drawing14.xml" Id="rId4"/></Relationships>
</file>

<file path=xl/worksheets/_rels/sheet49.xml.rels><Relationships xmlns="http://schemas.openxmlformats.org/package/2006/relationships"><Relationship Type="http://schemas.openxmlformats.org/officeDocument/2006/relationships/drawing" Target="/xl/drawings/drawing15.xml" Id="rId1"/></Relationships>
</file>

<file path=xl/worksheets/_rels/sheet51.xml.rels><Relationships xmlns="http://schemas.openxmlformats.org/package/2006/relationships"><Relationship Type="http://schemas.openxmlformats.org/officeDocument/2006/relationships/hyperlink" Target="https://www.irs.gov/pub/irs-pdf/f8829.pdf" TargetMode="External" Id="rId1"/><Relationship Type="http://schemas.openxmlformats.org/officeDocument/2006/relationships/hyperlink" Target="http://www.irs.gov/pub/irs-pdf/i8829.pdf" TargetMode="External" Id="rId2"/></Relationships>
</file>

<file path=xl/worksheets/_rels/sheet53.xml.rels><Relationships xmlns="http://schemas.openxmlformats.org/package/2006/relationships"><Relationship Type="http://schemas.openxmlformats.org/officeDocument/2006/relationships/hyperlink" Target="https://www.irs.gov/pub/irs-pdf/f8880.pdf" TargetMode="External" Id="rId1"/><Relationship Type="http://schemas.openxmlformats.org/officeDocument/2006/relationships/drawing" Target="/xl/drawings/drawing16.xml" Id="rId2"/></Relationships>
</file>

<file path=xl/worksheets/_rels/sheet54.xml.rels><Relationships xmlns="http://schemas.openxmlformats.org/package/2006/relationships"><Relationship Type="http://schemas.openxmlformats.org/officeDocument/2006/relationships/hyperlink" Target="http://www.irs.gov/pub/irs-pdf/f8889.pdf" TargetMode="External" Id="rId1"/><Relationship Type="http://schemas.openxmlformats.org/officeDocument/2006/relationships/hyperlink" Target="http://www.irs.gov/pub/irs-pdf/i8889.pdf" TargetMode="External" Id="rId2"/></Relationships>
</file>

<file path=xl/worksheets/_rels/sheet60.xml.rels><Relationships xmlns="http://schemas.openxmlformats.org/package/2006/relationships"><Relationship Type="http://schemas.openxmlformats.org/officeDocument/2006/relationships/hyperlink" Target="http://www.irs.gov/pub/irs-pdf/f8959.pdf" TargetMode="External" Id="rId1"/><Relationship Type="http://schemas.openxmlformats.org/officeDocument/2006/relationships/hyperlink" Target="http://www.irs.gov/pub/irs-pdf/i8959.pdf" TargetMode="External" Id="rId2"/></Relationships>
</file>

<file path=xl/worksheets/_rels/sheet61.xml.rels><Relationships xmlns="http://schemas.openxmlformats.org/package/2006/relationships"><Relationship Type="http://schemas.openxmlformats.org/officeDocument/2006/relationships/hyperlink" Target="http://www.irs.gov/pub/irs-pdf/f8960.pdf" TargetMode="External" Id="rId1"/><Relationship Type="http://schemas.openxmlformats.org/officeDocument/2006/relationships/hyperlink" Target="https://www.irs.gov/pub/irs-pdf/i8960.pdf" TargetMode="External" Id="rId2"/><Relationship Type="http://schemas.openxmlformats.org/officeDocument/2006/relationships/drawing" Target="/xl/drawings/drawing17.xml" Id="rId3"/></Relationships>
</file>

<file path=xl/worksheets/_rels/sheet62.xml.rels><Relationships xmlns="http://schemas.openxmlformats.org/package/2006/relationships"><Relationship Type="http://schemas.openxmlformats.org/officeDocument/2006/relationships/hyperlink" Target="http://www.irs.gov/pub/irs-pdf/f8962.pdf" TargetMode="External" Id="rId1"/><Relationship Type="http://schemas.openxmlformats.org/officeDocument/2006/relationships/hyperlink" Target="http://www.irs.gov/pub/irs-pdf/i8962.pdf" TargetMode="External" Id="rId2"/></Relationships>
</file>

<file path=xl/worksheets/_rels/sheet64.xml.rels><Relationships xmlns="http://schemas.openxmlformats.org/package/2006/relationships"><Relationship Type="http://schemas.openxmlformats.org/officeDocument/2006/relationships/drawing" Target="/xl/drawings/drawing18.xml" Id="rId1"/></Relationships>
</file>

<file path=xl/worksheets/_rels/sheet66.xml.rels><Relationships xmlns="http://schemas.openxmlformats.org/package/2006/relationships"><Relationship Type="http://schemas.openxmlformats.org/officeDocument/2006/relationships/hyperlink" Target="http://www.excel1040.com/" TargetMode="External" Id="rId1"/></Relationships>
</file>

<file path=xl/worksheets/sheet1.xml><?xml version="1.0" encoding="utf-8"?>
<worksheet xmlns="http://schemas.openxmlformats.org/spreadsheetml/2006/main">
  <sheetPr codeName="Sheet4">
    <tabColor rgb="FF008000"/>
    <outlinePr summaryBelow="1" summaryRight="1"/>
    <pageSetUpPr fitToPage="1"/>
  </sheetPr>
  <dimension ref="A1:CF195"/>
  <sheetViews>
    <sheetView zoomScaleNormal="100" zoomScaleSheetLayoutView="100" workbookViewId="0">
      <selection activeCell="A1" sqref="A1"/>
    </sheetView>
  </sheetViews>
  <sheetFormatPr baseColWidth="8" defaultRowHeight="12.75"/>
  <cols>
    <col width="3" customWidth="1" style="7635" min="1" max="1"/>
    <col width="2.5703125" customWidth="1" style="7635" min="2" max="2"/>
    <col width="12.140625" customWidth="1" style="7635" min="3" max="3"/>
    <col width="2.5703125" customWidth="1" style="7635" min="4" max="4"/>
    <col width="1.140625" customWidth="1" style="7635" min="5" max="5"/>
    <col width="3.5703125" customWidth="1" style="7635" min="6" max="6"/>
    <col width="2.85546875" customWidth="1" style="7635" min="7" max="7"/>
    <col width="2.5703125" customWidth="1" style="7635" min="8" max="8"/>
    <col width="3.85546875" customWidth="1" style="7635" min="9" max="10"/>
    <col width="3.140625" customWidth="1" style="7635" min="11" max="11"/>
    <col width="1.42578125" customWidth="1" style="7635" min="12" max="12"/>
    <col width="3.140625" customWidth="1" style="7635" min="13" max="13"/>
    <col width="5" customWidth="1" style="7635" min="14" max="14"/>
    <col width="3.140625" customWidth="1" style="7635" min="15" max="15"/>
    <col width="1.42578125" customWidth="1" style="7635" min="16" max="16"/>
    <col width="3.140625" customWidth="1" style="7635" min="17" max="17"/>
    <col width="2.7109375" customWidth="1" style="7635" min="18" max="18"/>
    <col width="3.5703125" customWidth="1" style="7635" min="19" max="19"/>
    <col width="3.85546875" customWidth="1" style="7635" min="20" max="20"/>
    <col width="1.42578125" customWidth="1" style="7635" min="21" max="21"/>
    <col width="3" customWidth="1" style="7635" min="22" max="22"/>
    <col width="4.5703125" customWidth="1" style="7635" min="23" max="23"/>
    <col width="3.28515625" customWidth="1" style="7635" min="24" max="24"/>
    <col width="1.42578125" customWidth="1" style="7635" min="25" max="25"/>
    <col width="3.140625" customWidth="1" style="7635" min="26" max="26"/>
    <col width="3.5703125" customWidth="1" style="7635" min="27" max="27"/>
    <col width="3.7109375" customWidth="1" style="7635" min="28" max="28"/>
    <col width="3.42578125" customWidth="1" style="7635" min="29" max="29"/>
    <col width="2.42578125" customWidth="1" style="7635" min="30" max="30"/>
    <col width="3.85546875" customWidth="1" style="7635" min="31" max="31"/>
    <col width="3.140625" customWidth="1" style="7635" min="32" max="32"/>
    <col width="5.5703125" customWidth="1" style="7635" min="33" max="33"/>
    <col width="1.42578125" customWidth="1" style="7635" min="34" max="34"/>
    <col width="3" customWidth="1" style="7635" min="35" max="35"/>
    <col width="4.28515625" customWidth="1" style="7635" min="36" max="36"/>
    <col width="6" customWidth="1" style="7635" min="37" max="37"/>
    <col width="1.42578125" customWidth="1" style="7635" min="38" max="38"/>
    <col width="3.28515625" customWidth="1" style="7635" min="39" max="39"/>
    <col width="4" customWidth="1" style="7635" min="40" max="40"/>
    <col width="3.5703125" customWidth="1" style="7635" min="41" max="41"/>
    <col width="1.42578125" customWidth="1" style="7635" min="42" max="42"/>
    <col width="3.5703125" customWidth="1" style="7635" min="43" max="43"/>
    <col width="5.85546875" customWidth="1" style="7635" min="44" max="44"/>
    <col width="4" customWidth="1" style="7635" min="45" max="45"/>
    <col width="2.85546875" customWidth="1" style="7635" min="46" max="46"/>
    <col width="13" customWidth="1" style="7635" min="47" max="47"/>
    <col width="2.85546875" customWidth="1" style="7635" min="48" max="48"/>
    <col width="10.85546875" customWidth="1" style="7635" min="49" max="49"/>
    <col width="15.85546875" customWidth="1" style="7635" min="50" max="51"/>
    <col width="18.85546875" customWidth="1" style="7635" min="52" max="52"/>
    <col width="11.28515625" customWidth="1" style="7635" min="53" max="56"/>
    <col width="3.28515625" customWidth="1" style="7635" min="57" max="57"/>
    <col hidden="1" width="9.28515625" customWidth="1" style="7635" min="58" max="60"/>
    <col hidden="1" width="11.5703125" customWidth="1" style="7635" min="61" max="61"/>
    <col hidden="1" width="13.85546875" customWidth="1" style="7635" min="62" max="62"/>
    <col hidden="1" width="17.7109375" customWidth="1" style="7635" min="63" max="63"/>
    <col hidden="1" width="11.5703125" customWidth="1" style="7635" min="64" max="70"/>
    <col width="4.28515625" customWidth="1" style="7635" min="71" max="71"/>
    <col width="13.140625" customWidth="1" style="816" min="72" max="72"/>
    <col width="9.140625" customWidth="1" style="815" min="73" max="84"/>
  </cols>
  <sheetData>
    <row r="1" ht="15" customHeight="1" s="7635">
      <c r="A1" s="962" t="n"/>
      <c r="B1" s="139" t="n"/>
      <c r="C1" s="11696">
        <f>RevDateTime</f>
        <v/>
      </c>
      <c r="D1" s="11696" t="n"/>
      <c r="E1" s="11696" t="n"/>
      <c r="F1" s="3435" t="n"/>
      <c r="G1" s="139" t="n"/>
      <c r="H1" s="3933" t="inlineStr">
        <is>
          <t>NOTE:  Check every calculation carefully!!!</t>
        </is>
      </c>
      <c r="I1" s="3934" t="n"/>
      <c r="J1" s="3934" t="n"/>
      <c r="K1" s="3934" t="n"/>
      <c r="L1" s="3934" t="n"/>
      <c r="M1" s="3934" t="n"/>
      <c r="N1" s="3934" t="n"/>
      <c r="O1" s="3934" t="n"/>
      <c r="P1" s="3934" t="n"/>
      <c r="Q1" s="3934" t="n"/>
      <c r="R1" s="3934" t="n"/>
      <c r="S1" s="3934" t="n"/>
      <c r="T1" s="3934" t="n"/>
      <c r="U1" s="3934" t="n"/>
      <c r="V1" s="3935" t="n"/>
      <c r="W1" s="3935" t="n"/>
      <c r="X1" s="3935" t="n"/>
      <c r="Y1" s="3935" t="n"/>
      <c r="Z1" s="3935" t="n"/>
      <c r="AA1" s="3935" t="n"/>
      <c r="AB1" s="3936" t="n"/>
      <c r="AC1" s="3936" t="n"/>
      <c r="AD1" s="3936" t="n"/>
      <c r="AE1" s="3936" t="n"/>
      <c r="AF1" s="3936" t="n"/>
      <c r="AG1" s="3936" t="n"/>
      <c r="AH1" s="7431">
        <f>IF('Table of Contents'!A19="D","DRAFT FORM","")</f>
        <v/>
      </c>
      <c r="AU1" s="3937">
        <f>IF(File_Single&lt;&gt;"",1,0)</f>
        <v/>
      </c>
      <c r="AV1" s="11602" t="n"/>
      <c r="AW1" s="11602" t="n"/>
      <c r="AX1" s="11602" t="n"/>
      <c r="AY1" s="11602" t="n"/>
      <c r="AZ1" s="11602" t="n"/>
      <c r="BA1" s="11602" t="n"/>
      <c r="BB1" s="11602" t="n"/>
      <c r="BC1" s="11602" t="n"/>
      <c r="BD1" s="11602" t="n"/>
      <c r="BE1" s="11602" t="n"/>
      <c r="BF1" s="11602" t="n"/>
      <c r="BG1" s="11602" t="n"/>
      <c r="BH1" s="11602" t="n"/>
      <c r="BI1" s="7957" t="n"/>
      <c r="BJ1" s="7957" t="n"/>
      <c r="BK1" s="7957" t="n"/>
      <c r="BL1" s="11602" t="n"/>
      <c r="BM1" s="11602" t="n"/>
      <c r="BN1" s="11602" t="n"/>
      <c r="BO1" s="11602" t="n"/>
      <c r="BP1" s="11602" t="n"/>
      <c r="BQ1" s="11602" t="n"/>
      <c r="BR1" s="11602" t="n"/>
      <c r="BS1" s="11602" t="n"/>
      <c r="BT1" s="11697" t="inlineStr">
        <is>
          <t>Notes</t>
        </is>
      </c>
      <c r="BU1" s="658" t="n"/>
      <c r="BV1" s="658" t="n"/>
      <c r="BW1" s="658" t="n"/>
      <c r="BX1" s="658" t="n"/>
      <c r="BY1" s="658" t="n"/>
      <c r="BZ1" s="658" t="n"/>
      <c r="CA1" s="658" t="n"/>
      <c r="CB1" s="658" t="n"/>
      <c r="CC1" s="658" t="n"/>
      <c r="CD1" s="658" t="n"/>
      <c r="CE1" s="658" t="n"/>
      <c r="CF1" s="658" t="n"/>
    </row>
    <row r="2" ht="15.75" customHeight="1" s="7635" thickBot="1">
      <c r="A2" s="139" t="n"/>
      <c r="B2" s="139" t="n"/>
      <c r="C2" s="11698">
        <f>RevDateTime</f>
        <v/>
      </c>
      <c r="D2" s="11698" t="n"/>
      <c r="E2" s="11698" t="n"/>
      <c r="F2" s="3435" t="n"/>
      <c r="G2" s="139" t="n"/>
      <c r="H2" s="7452" t="inlineStr">
        <is>
          <t>www.excel1040.com</t>
        </is>
      </c>
      <c r="V2" s="3935" t="n"/>
      <c r="W2" s="3935" t="n"/>
      <c r="X2" s="3935" t="n"/>
      <c r="Y2" s="3935" t="n"/>
      <c r="Z2" s="3935" t="n"/>
      <c r="AA2" s="3939" t="n"/>
      <c r="AB2" s="3940" t="n"/>
      <c r="AC2" s="3940" t="n"/>
      <c r="AD2" s="3940" t="n"/>
      <c r="AE2" s="3940" t="n"/>
      <c r="AF2" s="3940" t="n"/>
      <c r="AG2" s="3941" t="n"/>
      <c r="AH2" s="7445">
        <f>"© Glenn Reeves, "&amp;TaxYear+1</f>
        <v/>
      </c>
      <c r="AT2" s="3942" t="n"/>
      <c r="AU2" s="3937">
        <f>IF(File_Marr_Joint&lt;&gt;"",1,0)</f>
        <v/>
      </c>
      <c r="AV2" s="798" t="n"/>
      <c r="AW2" s="3943" t="inlineStr">
        <is>
          <t>Check here to remove blue &amp; green colors from all sheets.</t>
        </is>
      </c>
      <c r="AX2" s="9086" t="n"/>
      <c r="AY2" s="9086" t="n"/>
      <c r="AZ2" s="9086" t="n"/>
      <c r="BA2" s="3235">
        <f>(AV2&lt;&gt;"")</f>
        <v/>
      </c>
      <c r="BB2" s="9086" t="n"/>
      <c r="BC2" s="9086" t="n"/>
      <c r="BD2" s="9086" t="n"/>
      <c r="BE2" s="9086" t="n"/>
      <c r="BF2" s="9086" t="n"/>
      <c r="BG2" s="9086" t="n"/>
      <c r="BH2" s="9086" t="n"/>
      <c r="BI2" s="11699">
        <f>DATEVALUE("1-JAN-"&amp;TaxYear)</f>
        <v/>
      </c>
      <c r="BJ2" s="344">
        <f>IF(BL2&gt;365,TRUE,FALSE)</f>
        <v/>
      </c>
      <c r="BK2" s="11699">
        <f>DATEVALUE("1-JAN-"&amp;TaxYear+1)-1</f>
        <v/>
      </c>
      <c r="BL2" s="344">
        <f>EndOfTaxYear+1-BeginningOfTaxYear</f>
        <v/>
      </c>
      <c r="BM2" s="11602" t="n"/>
      <c r="BN2" s="7957" t="inlineStr">
        <is>
          <t>Alaska</t>
        </is>
      </c>
      <c r="BO2" s="7957" t="inlineStr">
        <is>
          <t>Hawaii</t>
        </is>
      </c>
      <c r="BP2" s="7957" t="inlineStr">
        <is>
          <t>Maine</t>
        </is>
      </c>
      <c r="BQ2" s="7957" t="inlineStr">
        <is>
          <t>Mass.</t>
        </is>
      </c>
      <c r="BR2" s="7957" t="inlineStr">
        <is>
          <t>D.C.</t>
        </is>
      </c>
      <c r="BS2" s="11602" t="n"/>
      <c r="BT2" s="11700" t="inlineStr">
        <is>
          <t>Date</t>
        </is>
      </c>
      <c r="BU2" s="658" t="n"/>
      <c r="BV2" s="658" t="n"/>
      <c r="BW2" s="658" t="n"/>
      <c r="BX2" s="658" t="n"/>
      <c r="BY2" s="658" t="n"/>
      <c r="BZ2" s="658" t="n"/>
      <c r="CA2" s="658" t="n"/>
      <c r="CB2" s="658" t="n"/>
      <c r="CC2" s="658" t="n"/>
      <c r="CD2" s="658" t="n"/>
      <c r="CE2" s="658" t="n"/>
      <c r="CF2" s="658" t="n"/>
    </row>
    <row r="3" ht="16.5" customHeight="1" s="7635">
      <c r="A3" s="139" t="n"/>
      <c r="B3" s="11701" t="inlineStr">
        <is>
          <t>Form</t>
        </is>
      </c>
      <c r="C3" s="7385" t="inlineStr">
        <is>
          <t>1040</t>
        </is>
      </c>
      <c r="E3" s="7384" t="n"/>
      <c r="F3" s="1829" t="n"/>
      <c r="G3" s="1829">
        <f>IF(FilingStatusError,"Please check only ONE filing status box.","Department of the Treasury––Internal Revenue Service")</f>
        <v/>
      </c>
      <c r="H3" s="1829" t="n"/>
      <c r="I3" s="1830" t="n"/>
      <c r="J3" s="1830" t="n"/>
      <c r="K3" s="1830" t="n"/>
      <c r="L3" s="1830" t="n"/>
      <c r="M3" s="1830" t="n"/>
      <c r="N3" s="1830" t="n"/>
      <c r="O3" s="1830" t="n"/>
      <c r="P3" s="1830" t="n"/>
      <c r="Q3" s="1830" t="n"/>
      <c r="R3" s="1830" t="n"/>
      <c r="S3" s="1830" t="n"/>
      <c r="T3" s="1830" t="n"/>
      <c r="U3" s="1831" t="n"/>
      <c r="V3" s="1831" t="n"/>
      <c r="W3" s="1831" t="n"/>
      <c r="X3" s="11702" t="n">
        <v>2025</v>
      </c>
      <c r="AB3" s="7636" t="n"/>
      <c r="AC3" s="11703" t="n"/>
      <c r="AG3" s="1066" t="n"/>
      <c r="AH3" s="7386">
        <f>IF(AND(AT3="",'Table of Contents'!A19="D"),"DRAFT FORM","")</f>
        <v/>
      </c>
      <c r="AT3" s="1798" t="n"/>
      <c r="AU3" s="3937">
        <f>IF(File_Marr_Sep&lt;&gt;"",1,0)</f>
        <v/>
      </c>
      <c r="AV3" s="798" t="n"/>
      <c r="AW3" s="3943" t="inlineStr">
        <is>
          <t>Check here to hide Social Security numbers on forms.</t>
        </is>
      </c>
      <c r="AX3" s="512" t="n"/>
      <c r="AY3" s="512" t="n"/>
      <c r="AZ3" s="11699" t="n"/>
      <c r="BA3" s="3235">
        <f>(AV3&lt;&gt;"")</f>
        <v/>
      </c>
      <c r="BB3" s="11602" t="n"/>
      <c r="BC3" s="11602" t="n"/>
      <c r="BD3" s="11602" t="n"/>
      <c r="BE3" s="11602" t="n"/>
      <c r="BF3" s="11602">
        <f>TaxYear-1</f>
        <v/>
      </c>
      <c r="BG3" s="11602" t="n"/>
      <c r="BH3" s="11602" t="n"/>
      <c r="BI3" s="11602" t="n"/>
      <c r="BJ3" s="11602" t="n"/>
      <c r="BK3" s="11602" t="n"/>
      <c r="BL3" s="11602" t="n"/>
      <c r="BM3" s="11602" t="n"/>
      <c r="BN3" s="3945">
        <f>IF(ISERROR(FIND("ALASKA",State)),FALSE,TRUE)</f>
        <v/>
      </c>
      <c r="BO3" s="3946">
        <f>IF(ISERROR(FIND("HAWAII",State)),FALSE,TRUE)</f>
        <v/>
      </c>
      <c r="BP3" s="3946">
        <f>IF(ISERROR(FIND("MAINE",State)),FALSE,TRUE)</f>
        <v/>
      </c>
      <c r="BQ3" s="3946">
        <f>IF(ISERROR(FIND("MASSACHUSETTS",State)),FALSE,TRUE)</f>
        <v/>
      </c>
      <c r="BR3" s="3946">
        <f>IF(ISERROR(FIND("DISTRICT",State)),FALSE,TRUE)</f>
        <v/>
      </c>
      <c r="BS3" s="11602" t="n"/>
      <c r="BT3" s="11704" t="n"/>
      <c r="BU3" s="658" t="n"/>
      <c r="BV3" s="658" t="n"/>
      <c r="BW3" s="658" t="n"/>
      <c r="BX3" s="658" t="n"/>
      <c r="BY3" s="658" t="n"/>
      <c r="BZ3" s="658" t="n"/>
      <c r="CA3" s="658" t="n"/>
      <c r="CB3" s="658" t="n"/>
      <c r="CC3" s="658" t="n"/>
      <c r="CD3" s="658" t="n"/>
      <c r="CE3" s="658" t="n"/>
      <c r="CF3" s="658" t="n"/>
    </row>
    <row r="4" ht="21" customHeight="1" s="7635" thickBot="1">
      <c r="A4" s="139" t="n"/>
      <c r="B4" s="11705" t="n"/>
      <c r="C4" s="11705" t="n"/>
      <c r="D4" s="11705" t="n"/>
      <c r="E4" s="7385" t="n"/>
      <c r="F4" s="11706">
        <f>IF(NumFileStatusBoxes=0,"Check one FILING STATUS box.","U.S. Individual Income Tax Return")</f>
        <v/>
      </c>
      <c r="G4" s="11705" t="n"/>
      <c r="H4" s="11705" t="n"/>
      <c r="I4" s="11705" t="n"/>
      <c r="J4" s="11705" t="n"/>
      <c r="K4" s="11705" t="n"/>
      <c r="L4" s="11705" t="n"/>
      <c r="M4" s="11705" t="n"/>
      <c r="N4" s="11705" t="n"/>
      <c r="O4" s="11705" t="n"/>
      <c r="P4" s="11705" t="n"/>
      <c r="Q4" s="11705" t="n"/>
      <c r="R4" s="11705" t="n"/>
      <c r="S4" s="11705" t="n"/>
      <c r="T4" s="11705" t="n"/>
      <c r="U4" s="11705" t="n"/>
      <c r="V4" s="11705" t="n"/>
      <c r="W4" s="11707" t="n"/>
      <c r="X4" s="11708" t="n"/>
      <c r="Y4" s="11705" t="n"/>
      <c r="Z4" s="11705" t="n"/>
      <c r="AA4" s="11705" t="n"/>
      <c r="AB4" s="11707" t="n"/>
      <c r="AC4" s="11709" t="inlineStr">
        <is>
          <t>OMB No. 1545-0074</t>
        </is>
      </c>
      <c r="AD4" s="11705" t="n"/>
      <c r="AE4" s="11705" t="n"/>
      <c r="AF4" s="11705" t="n"/>
      <c r="AG4" s="11710" t="n"/>
      <c r="AH4" s="7388">
        <f>IF(FilingStatusError,"Check only ONE filing status block","IRS Use Only—Do not write or staple in this space.")</f>
        <v/>
      </c>
      <c r="AI4" s="11705" t="n"/>
      <c r="AJ4" s="11705" t="n"/>
      <c r="AK4" s="11705" t="n"/>
      <c r="AL4" s="11705" t="n"/>
      <c r="AM4" s="11705" t="n"/>
      <c r="AN4" s="11705" t="n"/>
      <c r="AO4" s="11705" t="n"/>
      <c r="AP4" s="11705" t="n"/>
      <c r="AQ4" s="11705" t="n"/>
      <c r="AR4" s="11705" t="n"/>
      <c r="AS4" s="11705" t="n"/>
      <c r="AT4" s="3947" t="n"/>
      <c r="AU4" s="3937">
        <f>IF(File_Head&lt;&gt;"",1,0)</f>
        <v/>
      </c>
      <c r="AV4" s="3948" t="inlineStr">
        <is>
          <t>Filing Status:</t>
        </is>
      </c>
      <c r="AW4" s="3949" t="n"/>
      <c r="AX4" s="3950">
        <f>IF(NumFileStatusBoxes=0,"Filing status not indicated.",IF(FilingStatusError,"Check only ONE filing status box.",IF(File_Single&lt;&gt;"","Single",IF(File_Marr_Joint&lt;&gt;"","Married - Filing Jointly",IF(File_Marr_Sep&lt;&gt;"","Married - Filing Separately",IF(File_Head&lt;&gt;"","Head of Household",IF(File_Qual_Widow&lt;&gt;"","Qualifying Widow(er)","")))))))</f>
        <v/>
      </c>
      <c r="AY4" s="3951" t="n"/>
      <c r="AZ4" s="11602" t="n"/>
      <c r="BA4" s="11602" t="n"/>
      <c r="BB4" s="11602" t="n"/>
      <c r="BC4" s="11602" t="n"/>
      <c r="BD4" s="11602" t="n"/>
      <c r="BE4" s="11602" t="n"/>
      <c r="BF4" s="11602">
        <f>TaxYear+1</f>
        <v/>
      </c>
      <c r="BG4" s="11602" t="n"/>
      <c r="BH4" s="11602" t="n"/>
      <c r="BI4" s="11602" t="n"/>
      <c r="BJ4" s="11602" t="n"/>
      <c r="BK4" s="11602" t="n"/>
      <c r="BL4" s="11602" t="n"/>
      <c r="BM4" s="11602" t="n"/>
      <c r="BN4" s="3952">
        <f>IF(ISERROR(FIND("AK",State)),FALSE,TRUE)</f>
        <v/>
      </c>
      <c r="BO4" s="3953">
        <f>IF(ISERROR(FIND("HI",State)),FALSE,TRUE)</f>
        <v/>
      </c>
      <c r="BP4" s="3953">
        <f>IF(ISERROR(FIND("ME",State)),FALSE,TRUE)</f>
        <v/>
      </c>
      <c r="BQ4" s="3953">
        <f>IF(ISERROR(FIND("MA",State)),FALSE,TRUE)</f>
        <v/>
      </c>
      <c r="BR4" s="3953">
        <f>IF(ISERROR(FIND("DC",State)),FALSE,TRUE)</f>
        <v/>
      </c>
      <c r="BS4" s="11602" t="n"/>
      <c r="BT4" s="11704" t="n"/>
      <c r="BU4" s="658" t="n"/>
      <c r="BV4" s="658" t="n"/>
      <c r="BW4" s="658" t="n"/>
      <c r="BX4" s="658" t="n"/>
      <c r="BY4" s="658" t="n"/>
      <c r="BZ4" s="658" t="n"/>
      <c r="CA4" s="658" t="n"/>
      <c r="CB4" s="658" t="n"/>
      <c r="CC4" s="658" t="n"/>
      <c r="CD4" s="658" t="n"/>
      <c r="CE4" s="658" t="n"/>
      <c r="CF4" s="658" t="n"/>
    </row>
    <row r="5" ht="18.75" customHeight="1" s="7635" thickTop="1">
      <c r="A5" s="139" t="n"/>
      <c r="B5" s="1832">
        <f>"For the year Jan. 1–Dec. 31, "&amp;TaxYear&amp;", or other tax year beginning"</f>
        <v/>
      </c>
      <c r="C5" s="1833" t="n"/>
      <c r="D5" s="1834" t="n"/>
      <c r="E5" s="1834" t="n"/>
      <c r="F5" s="1646" t="n"/>
      <c r="G5" s="1835" t="n"/>
      <c r="H5" s="1834" t="n"/>
      <c r="I5" s="1833" t="n"/>
      <c r="J5" s="1833" t="n"/>
      <c r="K5" s="1833" t="n"/>
      <c r="L5" s="1833" t="n"/>
      <c r="M5" s="1833" t="n"/>
      <c r="N5" s="1833" t="n"/>
      <c r="O5" s="1834" t="n"/>
      <c r="P5" s="1833" t="n"/>
      <c r="Q5" s="1833" t="n"/>
      <c r="R5" s="11711" t="n"/>
      <c r="S5" s="11712" t="n"/>
      <c r="T5" s="11712" t="n"/>
      <c r="U5" s="11712" t="n"/>
      <c r="V5" s="11712" t="n"/>
      <c r="W5" s="11712" t="n"/>
      <c r="X5" s="11712" t="n"/>
      <c r="Y5" s="7444" t="inlineStr">
        <is>
          <t xml:space="preserve"> ending</t>
        </is>
      </c>
      <c r="Z5" s="11713" t="n"/>
      <c r="AA5" s="11713" t="n"/>
      <c r="AB5" s="11713" t="n"/>
      <c r="AC5" s="11711" t="n"/>
      <c r="AD5" s="11712" t="n"/>
      <c r="AE5" s="11712" t="n"/>
      <c r="AF5" s="11712" t="n"/>
      <c r="AG5" s="11712" t="n"/>
      <c r="AH5" s="7425" t="inlineStr">
        <is>
          <t>See separate instructions.</t>
        </is>
      </c>
      <c r="AI5" s="11713" t="n"/>
      <c r="AJ5" s="11713" t="n"/>
      <c r="AK5" s="11713" t="n"/>
      <c r="AL5" s="11713" t="n"/>
      <c r="AM5" s="11713" t="n"/>
      <c r="AN5" s="11713" t="n"/>
      <c r="AO5" s="11713" t="n"/>
      <c r="AP5" s="11713" t="n"/>
      <c r="AQ5" s="11713" t="n"/>
      <c r="AR5" s="11713" t="n"/>
      <c r="AS5" s="11713" t="n"/>
      <c r="AT5" s="139" t="n"/>
      <c r="AU5" s="3937" t="n"/>
      <c r="AV5" s="3937" t="n"/>
      <c r="AW5" s="3937" t="n"/>
      <c r="AX5" s="3937" t="n"/>
      <c r="AY5" s="3937" t="n"/>
      <c r="AZ5" s="3937" t="n"/>
      <c r="BA5" s="11602" t="n"/>
      <c r="BB5" s="11602" t="n"/>
      <c r="BC5" s="11602" t="n"/>
      <c r="BD5" s="11602" t="n"/>
      <c r="BE5" s="11602" t="n"/>
      <c r="BF5" s="11602" t="n"/>
      <c r="BG5" s="11602" t="n"/>
      <c r="BH5" s="11602" t="n"/>
      <c r="BI5" s="11602" t="n"/>
      <c r="BJ5" s="11602" t="n"/>
      <c r="BK5" s="11602" t="n"/>
      <c r="BL5" s="11602" t="n"/>
      <c r="BM5" s="11602" t="n"/>
      <c r="BN5" s="3952" t="n"/>
      <c r="BO5" s="3953" t="n"/>
      <c r="BP5" s="3953" t="n"/>
      <c r="BQ5" s="3953" t="n"/>
      <c r="BR5" s="3953" t="n"/>
      <c r="BS5" s="11602" t="n"/>
      <c r="BT5" s="11704" t="n"/>
      <c r="BU5" s="658" t="n"/>
      <c r="BV5" s="658" t="n"/>
      <c r="BW5" s="658" t="n"/>
      <c r="BX5" s="658" t="n"/>
      <c r="BY5" s="658" t="n"/>
      <c r="BZ5" s="658" t="n"/>
      <c r="CA5" s="658" t="n"/>
      <c r="CB5" s="658" t="n"/>
      <c r="CC5" s="658" t="n"/>
      <c r="CD5" s="658" t="n"/>
      <c r="CE5" s="658" t="n"/>
      <c r="CF5" s="658" t="n"/>
    </row>
    <row r="6" ht="14.25" customHeight="1" s="7635">
      <c r="A6" s="139" t="n"/>
      <c r="B6" s="278" t="n"/>
      <c r="C6" s="5783" t="inlineStr">
        <is>
          <t>Filed pursuant to section 301.9100-2</t>
        </is>
      </c>
      <c r="D6" s="1940" t="n"/>
      <c r="E6" s="1940" t="n"/>
      <c r="F6" s="5784" t="n"/>
      <c r="G6" s="5661" t="n"/>
      <c r="H6" s="1940" t="n"/>
      <c r="I6" s="5785" t="n"/>
      <c r="J6" s="5785" t="n"/>
      <c r="K6" s="5785" t="n"/>
      <c r="L6" s="278" t="n"/>
      <c r="M6" s="8008" t="n"/>
      <c r="N6" s="5785" t="inlineStr">
        <is>
          <t>Combat zone</t>
        </is>
      </c>
      <c r="O6" s="5785" t="n"/>
      <c r="P6" s="5785" t="n"/>
      <c r="Q6" s="5785" t="n"/>
      <c r="R6" s="7042" t="n"/>
      <c r="S6" s="8007" t="n"/>
      <c r="T6" s="8007" t="n"/>
      <c r="U6" s="8007" t="n"/>
      <c r="V6" s="8007" t="n"/>
      <c r="W6" s="8007" t="n"/>
      <c r="X6" s="8007" t="n"/>
      <c r="Y6" s="8007" t="n"/>
      <c r="Z6" s="8007" t="n"/>
      <c r="AA6" s="5785" t="n"/>
      <c r="AB6" s="278" t="n"/>
      <c r="AC6" s="7044" t="inlineStr">
        <is>
          <t>Deceased</t>
        </is>
      </c>
      <c r="AD6" s="8412" t="n"/>
      <c r="AE6" s="8412" t="n"/>
      <c r="AF6" s="8412" t="n"/>
      <c r="AG6" s="11714" t="n"/>
      <c r="AH6" s="8007" t="n"/>
      <c r="AI6" s="8007" t="n"/>
      <c r="AJ6" s="8007" t="n"/>
      <c r="AK6" s="7043" t="inlineStr">
        <is>
          <t>Spouse</t>
        </is>
      </c>
      <c r="AL6" s="8412" t="n"/>
      <c r="AM6" s="8412" t="n"/>
      <c r="AN6" s="11714" t="n"/>
      <c r="AO6" s="8007" t="n"/>
      <c r="AP6" s="8007" t="n"/>
      <c r="AQ6" s="8007" t="n"/>
      <c r="AR6" s="8007" t="n"/>
      <c r="AS6" s="5786" t="n"/>
      <c r="AT6" s="139" t="n"/>
      <c r="AU6" s="3937" t="n"/>
      <c r="AV6" s="3937" t="n"/>
      <c r="AW6" s="3937" t="n"/>
      <c r="AX6" s="3937" t="n"/>
      <c r="AY6" s="3937" t="n"/>
      <c r="AZ6" s="3937" t="n"/>
      <c r="BA6" s="11602" t="n"/>
      <c r="BB6" s="11602" t="n"/>
      <c r="BC6" s="11602" t="n"/>
      <c r="BD6" s="11602" t="n"/>
      <c r="BE6" s="11602" t="n"/>
      <c r="BF6" s="11602" t="n"/>
      <c r="BG6" s="11602" t="n"/>
      <c r="BH6" s="11602" t="n"/>
      <c r="BI6" s="11602" t="n"/>
      <c r="BJ6" s="11602" t="n"/>
      <c r="BK6" s="11602" t="n"/>
      <c r="BL6" s="11602" t="n"/>
      <c r="BM6" s="11602" t="n"/>
      <c r="BN6" s="3952" t="n"/>
      <c r="BO6" s="3953" t="n"/>
      <c r="BP6" s="3953" t="n"/>
      <c r="BQ6" s="3953" t="n"/>
      <c r="BR6" s="3953" t="n"/>
      <c r="BS6" s="11602" t="n"/>
      <c r="BT6" s="11704" t="n"/>
      <c r="BU6" s="658" t="n"/>
      <c r="BV6" s="658" t="n"/>
      <c r="BW6" s="658" t="n"/>
      <c r="BX6" s="658" t="n"/>
      <c r="BY6" s="658" t="n"/>
      <c r="BZ6" s="658" t="n"/>
      <c r="CA6" s="658" t="n"/>
      <c r="CB6" s="658" t="n"/>
      <c r="CC6" s="658" t="n"/>
      <c r="CD6" s="658" t="n"/>
      <c r="CE6" s="658" t="n"/>
      <c r="CF6" s="658" t="n"/>
    </row>
    <row r="7" ht="14.25" customHeight="1" s="7635" thickBot="1">
      <c r="A7" s="139" t="n"/>
      <c r="B7" s="5780" t="n"/>
      <c r="C7" s="2584" t="inlineStr">
        <is>
          <t>Other</t>
        </is>
      </c>
      <c r="D7" s="2583" t="n"/>
      <c r="E7" s="2583" t="n"/>
      <c r="F7" s="5781" t="n"/>
      <c r="G7" s="91" t="n"/>
      <c r="H7" s="2583" t="n"/>
      <c r="I7" s="2584" t="n"/>
      <c r="J7" s="2584" t="n"/>
      <c r="K7" s="2584" t="n"/>
      <c r="L7" s="2584" t="n"/>
      <c r="M7" s="2584" t="n"/>
      <c r="N7" s="2584" t="n"/>
      <c r="O7" s="2584" t="n"/>
      <c r="P7" s="2584" t="n"/>
      <c r="Q7" s="2584" t="n"/>
      <c r="R7" s="2584" t="n"/>
      <c r="S7" s="2584" t="n"/>
      <c r="T7" s="2584" t="n"/>
      <c r="U7" s="2584" t="n"/>
      <c r="V7" s="2584" t="n"/>
      <c r="W7" s="2584" t="n"/>
      <c r="X7" s="2584" t="n"/>
      <c r="Y7" s="2584" t="n"/>
      <c r="Z7" s="2584" t="n"/>
      <c r="AA7" s="2584" t="n"/>
      <c r="AB7" s="2584" t="n"/>
      <c r="AC7" s="2584" t="n"/>
      <c r="AD7" s="2584" t="n"/>
      <c r="AE7" s="2584" t="n"/>
      <c r="AF7" s="2584" t="n"/>
      <c r="AG7" s="2584" t="n"/>
      <c r="AH7" s="2584" t="n"/>
      <c r="AI7" s="2584" t="n"/>
      <c r="AJ7" s="2584" t="n"/>
      <c r="AK7" s="2584" t="n"/>
      <c r="AL7" s="2584" t="n"/>
      <c r="AM7" s="2584" t="n"/>
      <c r="AN7" s="2584" t="n"/>
      <c r="AO7" s="5782" t="n"/>
      <c r="AP7" s="5782" t="n"/>
      <c r="AQ7" s="5782" t="n"/>
      <c r="AR7" s="5782" t="n"/>
      <c r="AS7" s="5782" t="n"/>
      <c r="AT7" s="139" t="n"/>
      <c r="AU7" s="3937" t="n"/>
      <c r="AV7" s="797" t="n"/>
      <c r="AW7" s="7110">
        <f>IF(File_Marr_Sep&lt;&gt;""," Yes.","")</f>
        <v/>
      </c>
      <c r="AX7" s="7110">
        <f>IF(File_Marr_Sep&lt;&gt;"","Did you live apart from your spouse for all of "&amp;TEXT(TaxYear,"0")&amp;"?","")</f>
        <v/>
      </c>
      <c r="AY7" s="11602" t="n"/>
      <c r="AZ7" s="11602" t="n"/>
      <c r="BA7" s="512" t="n"/>
      <c r="BB7" s="512">
        <f>AND(File_Marr_Sep&lt;&gt;"",OR(AV7&lt;&gt;"",AV8&lt;&gt;""))</f>
        <v/>
      </c>
      <c r="BC7" s="11602" t="n"/>
      <c r="BD7" s="11602" t="n"/>
      <c r="BE7" s="11602" t="n"/>
      <c r="BF7" s="11602" t="n"/>
      <c r="BG7" s="11602" t="n"/>
      <c r="BH7" s="11602" t="n"/>
      <c r="BI7" s="11602" t="n"/>
      <c r="BJ7" s="11602" t="n"/>
      <c r="BK7" s="11602" t="n"/>
      <c r="BL7" s="11602" t="n"/>
      <c r="BM7" s="11602" t="n"/>
      <c r="BN7" s="3952" t="n"/>
      <c r="BO7" s="3953" t="n"/>
      <c r="BP7" s="3953" t="n"/>
      <c r="BQ7" s="3953" t="n"/>
      <c r="BR7" s="3953" t="n"/>
      <c r="BS7" s="11602" t="n"/>
      <c r="BT7" s="11704" t="n"/>
      <c r="BU7" s="658" t="n"/>
      <c r="BV7" s="658" t="n"/>
      <c r="BW7" s="658" t="n"/>
      <c r="BX7" s="658" t="n"/>
      <c r="BY7" s="658" t="n"/>
      <c r="BZ7" s="658" t="n"/>
      <c r="CA7" s="658" t="n"/>
      <c r="CB7" s="658" t="n"/>
      <c r="CC7" s="658" t="n"/>
      <c r="CD7" s="658" t="n"/>
      <c r="CE7" s="658" t="n"/>
      <c r="CF7" s="658" t="n"/>
    </row>
    <row r="8" ht="18.75" customHeight="1" s="7635">
      <c r="A8" s="139" t="n"/>
      <c r="B8" s="88" t="n"/>
      <c r="C8" s="8922" t="inlineStr">
        <is>
          <t>Your first name and middle initial</t>
        </is>
      </c>
      <c r="D8" s="229" t="n"/>
      <c r="E8" s="229" t="n"/>
      <c r="F8" s="1550" t="n"/>
      <c r="G8" s="88" t="n"/>
      <c r="H8" s="229" t="n"/>
      <c r="I8" s="8922" t="n"/>
      <c r="J8" s="8922" t="n"/>
      <c r="K8" s="8922" t="n"/>
      <c r="L8" s="8922" t="n"/>
      <c r="M8" s="8922" t="n"/>
      <c r="N8" s="8922" t="n"/>
      <c r="O8" s="229" t="n"/>
      <c r="P8" s="8922" t="n"/>
      <c r="Q8" s="8922" t="n"/>
      <c r="R8" s="11715">
        <f>IF(AND(File_Marr_Sep&lt;&gt;"",OR(NOT(LivedApartAnswered),N25="")),"Please answer questions at right regarding your spouse.","   Last name")</f>
        <v/>
      </c>
      <c r="S8" s="2506" t="n"/>
      <c r="T8" s="2506" t="n"/>
      <c r="U8" s="2506" t="n"/>
      <c r="V8" s="2506" t="n"/>
      <c r="W8" s="2506" t="n"/>
      <c r="X8" s="2506" t="n"/>
      <c r="Y8" s="2506" t="n"/>
      <c r="Z8" s="2506" t="n"/>
      <c r="AA8" s="2506" t="n"/>
      <c r="AB8" s="2506" t="n"/>
      <c r="AC8" s="2506" t="n"/>
      <c r="AD8" s="2506" t="n"/>
      <c r="AE8" s="2506" t="n"/>
      <c r="AF8" s="2506" t="n"/>
      <c r="AG8" s="11716" t="n"/>
      <c r="AH8" s="7415" t="inlineStr">
        <is>
          <t>Your social security number</t>
        </is>
      </c>
      <c r="AT8" s="139" t="n"/>
      <c r="AU8" s="3937" t="n"/>
      <c r="AV8" s="797" t="n"/>
      <c r="AW8" s="7110">
        <f>IF(OR(AND(AV7&lt;&gt;"",AV8&lt;&gt;""),AND(File_Marr_Sep&lt;&gt;"",AV7="",AV8=""))," No.",IF(File_Marr_Sep&lt;&gt;""," No.",""))</f>
        <v/>
      </c>
      <c r="AX8" s="7110">
        <f>IF(OR(AND(AV7&lt;&gt;"",AV8&lt;&gt;""),AND(File_Marr_Sep&lt;&gt;"",AV7="",AV8="")),"Please check ONE box.","")</f>
        <v/>
      </c>
      <c r="AY8" s="11602" t="n"/>
      <c r="AZ8" s="11602" t="n"/>
      <c r="BA8" s="512" t="n"/>
      <c r="BB8" s="512">
        <f>AND(File_Marr_Sep&lt;&gt;"",AV7&lt;&gt;"")</f>
        <v/>
      </c>
      <c r="BC8" s="11602" t="n"/>
      <c r="BD8" s="11602" t="n"/>
      <c r="BE8" s="11602" t="n"/>
      <c r="BF8" s="11602" t="n"/>
      <c r="BG8" s="11602" t="n"/>
      <c r="BH8" s="11602" t="n"/>
      <c r="BI8" s="11602" t="n"/>
      <c r="BJ8" s="11602" t="n"/>
      <c r="BK8" s="11602" t="n"/>
      <c r="BL8" s="11602" t="n"/>
      <c r="BM8" s="11602" t="n"/>
      <c r="BN8" s="3952" t="n"/>
      <c r="BO8" s="3953" t="n"/>
      <c r="BP8" s="3953" t="n"/>
      <c r="BQ8" s="3953" t="n"/>
      <c r="BR8" s="3953" t="n"/>
      <c r="BS8" s="11602" t="n"/>
      <c r="BT8" s="11704" t="n"/>
      <c r="BU8" s="658" t="n"/>
      <c r="BV8" s="658" t="n"/>
      <c r="BW8" s="658" t="n"/>
      <c r="BX8" s="658" t="n"/>
      <c r="BY8" s="658" t="n"/>
      <c r="BZ8" s="658" t="n"/>
      <c r="CA8" s="658" t="n"/>
      <c r="CB8" s="658" t="n"/>
      <c r="CC8" s="658" t="n"/>
      <c r="CD8" s="658" t="n"/>
      <c r="CE8" s="658" t="n"/>
      <c r="CF8" s="658" t="n"/>
    </row>
    <row r="9" ht="22.5" customHeight="1" s="7635">
      <c r="A9" s="139" t="n"/>
      <c r="B9" s="7355" t="n"/>
      <c r="C9" s="11717" t="n"/>
      <c r="D9" s="11717" t="n"/>
      <c r="E9" s="11717" t="n"/>
      <c r="F9" s="11717" t="n"/>
      <c r="G9" s="11717" t="n"/>
      <c r="H9" s="11717" t="n"/>
      <c r="I9" s="11717" t="n"/>
      <c r="J9" s="11717" t="n"/>
      <c r="K9" s="11717" t="n"/>
      <c r="L9" s="11717" t="n"/>
      <c r="M9" s="11717" t="n"/>
      <c r="N9" s="11717" t="n"/>
      <c r="O9" s="11717" t="n"/>
      <c r="P9" s="11717" t="n"/>
      <c r="Q9" s="11718" t="n"/>
      <c r="R9" s="11719" t="n"/>
      <c r="S9" s="11717" t="n"/>
      <c r="T9" s="11717" t="n"/>
      <c r="U9" s="11717" t="n"/>
      <c r="V9" s="11717" t="n"/>
      <c r="W9" s="11717" t="n"/>
      <c r="X9" s="11717" t="n"/>
      <c r="Y9" s="11717" t="n"/>
      <c r="Z9" s="11717" t="n"/>
      <c r="AA9" s="11717" t="n"/>
      <c r="AB9" s="11717" t="n"/>
      <c r="AC9" s="11717" t="n"/>
      <c r="AD9" s="11717" t="n"/>
      <c r="AE9" s="11717" t="n"/>
      <c r="AF9" s="11717" t="n"/>
      <c r="AG9" s="11718" t="n"/>
      <c r="AH9" s="11720" t="n">
        <v>1010001</v>
      </c>
      <c r="AI9" s="11717" t="n"/>
      <c r="AJ9" s="11717" t="n"/>
      <c r="AK9" s="11717" t="n"/>
      <c r="AL9" s="11717" t="n"/>
      <c r="AM9" s="11717" t="n"/>
      <c r="AN9" s="11717" t="n"/>
      <c r="AO9" s="11717" t="n"/>
      <c r="AP9" s="11717" t="n"/>
      <c r="AQ9" s="11717" t="n"/>
      <c r="AR9" s="11717" t="n"/>
      <c r="AS9" s="11717" t="n"/>
      <c r="AT9" s="3335" t="n"/>
      <c r="AU9" s="3937">
        <f>IF(File_Qual_Widow&lt;&gt;"",1,0)</f>
        <v/>
      </c>
      <c r="AV9" s="797" t="n"/>
      <c r="AW9" s="7110">
        <f>IF(File_Marr_Sep&lt;&gt;"","Check here if your spouse had no income and is NOT filing a tax return.","")</f>
        <v/>
      </c>
      <c r="BB9" s="3235" t="n"/>
      <c r="BC9" s="512" t="n"/>
      <c r="BD9" s="512" t="n"/>
      <c r="BE9" s="512" t="n"/>
      <c r="BF9" s="11602" t="n"/>
      <c r="BG9" s="11602" t="n"/>
      <c r="BH9" s="11602" t="n"/>
      <c r="BI9" s="11602" t="n"/>
      <c r="BJ9" s="11602" t="n"/>
      <c r="BK9" s="11602" t="n"/>
      <c r="BL9" s="11602" t="n"/>
      <c r="BM9" s="11602" t="n"/>
      <c r="BN9" s="3954">
        <f>IF(ISERROR(FIND("Alaska",State)),FALSE,TRUE)</f>
        <v/>
      </c>
      <c r="BO9" s="3955">
        <f>IF(ISERROR(FIND("Hawaii",State)),FALSE,TRUE)</f>
        <v/>
      </c>
      <c r="BP9" s="3955">
        <f>IF(ISERROR(FIND("Maine",State)),FALSE,TRUE)</f>
        <v/>
      </c>
      <c r="BQ9" s="3955">
        <f>IF(ISERROR(FIND("Massachusetts",State)),FALSE,TRUE)</f>
        <v/>
      </c>
      <c r="BR9" s="3955">
        <f>IF(ISERROR(FIND("D.C.",State)),FALSE,TRUE)</f>
        <v/>
      </c>
      <c r="BS9" s="11602" t="n"/>
      <c r="BT9" s="11704" t="n"/>
      <c r="BU9" s="658" t="n"/>
      <c r="BV9" s="658" t="n"/>
      <c r="BW9" s="658" t="n"/>
      <c r="BX9" s="658" t="n"/>
      <c r="BY9" s="658" t="n"/>
      <c r="BZ9" s="658" t="n"/>
      <c r="CA9" s="658" t="n"/>
      <c r="CB9" s="658" t="n"/>
      <c r="CC9" s="658" t="n"/>
      <c r="CD9" s="658" t="n"/>
      <c r="CE9" s="658" t="n"/>
      <c r="CF9" s="658" t="n"/>
    </row>
    <row r="10" ht="14.25" customHeight="1" s="7635" thickBot="1">
      <c r="A10" s="139" t="n"/>
      <c r="B10" s="1837" t="n"/>
      <c r="C10" s="1841" t="inlineStr">
        <is>
          <t>If joint return, spouse's first name and middle initial</t>
        </is>
      </c>
      <c r="D10" s="1838" t="n"/>
      <c r="E10" s="1838" t="n"/>
      <c r="F10" s="1551" t="n"/>
      <c r="G10" s="1839" t="n"/>
      <c r="H10" s="1838" t="n"/>
      <c r="I10" s="1838" t="n"/>
      <c r="J10" s="1838" t="n"/>
      <c r="K10" s="1838" t="n"/>
      <c r="L10" s="1838" t="n"/>
      <c r="M10" s="1838" t="n"/>
      <c r="N10" s="1838" t="n"/>
      <c r="O10" s="1838" t="n"/>
      <c r="P10" s="1838" t="n"/>
      <c r="Q10" s="1840" t="n"/>
      <c r="R10" s="3956" t="inlineStr">
        <is>
          <t xml:space="preserve">   Last name</t>
        </is>
      </c>
      <c r="S10" s="1838" t="n"/>
      <c r="T10" s="1838" t="n"/>
      <c r="U10" s="1838" t="n"/>
      <c r="V10" s="1838" t="n"/>
      <c r="W10" s="1838" t="n"/>
      <c r="X10" s="1838" t="n"/>
      <c r="Y10" s="1838" t="n"/>
      <c r="Z10" s="1838" t="n"/>
      <c r="AA10" s="1838" t="n"/>
      <c r="AB10" s="1838" t="n"/>
      <c r="AC10" s="1838" t="n"/>
      <c r="AD10" s="1838" t="n"/>
      <c r="AE10" s="1838" t="n"/>
      <c r="AF10" s="1838" t="n"/>
      <c r="AG10" s="1840" t="n"/>
      <c r="AH10" s="7428">
        <f>IF(AND(File_Marr_Sep&lt;&gt;"",SS_Spouse=""),"Enter spouse's Soc. Sec. number","Spouse's social security number")</f>
        <v/>
      </c>
      <c r="AI10" s="7839" t="n"/>
      <c r="AJ10" s="7839" t="n"/>
      <c r="AK10" s="7839" t="n"/>
      <c r="AL10" s="7839" t="n"/>
      <c r="AM10" s="7839" t="n"/>
      <c r="AN10" s="7839" t="n"/>
      <c r="AO10" s="7839" t="n"/>
      <c r="AP10" s="7839" t="n"/>
      <c r="AQ10" s="7839" t="n"/>
      <c r="AR10" s="7839" t="n"/>
      <c r="AS10" s="7839" t="n"/>
      <c r="AT10" s="3335" t="n"/>
      <c r="AU10" s="3937">
        <f>SUM(AU1:AU9)</f>
        <v/>
      </c>
      <c r="AV10" s="3937" t="n"/>
      <c r="AW10" s="3937" t="n"/>
      <c r="AX10" s="3937" t="n"/>
      <c r="AY10" s="3937" t="n"/>
      <c r="AZ10" s="3937" t="n"/>
      <c r="BA10" s="512" t="n"/>
      <c r="BB10" s="512" t="n"/>
      <c r="BC10" s="3235">
        <f>AND(DependentYOU="",OR(File_Single&lt;&gt;"",File_Marr_Joint&lt;&gt;"",File_Marr_Sep&lt;&gt;"",File_Head&lt;&gt;"",File_Qual_Widow&lt;&gt;""))</f>
        <v/>
      </c>
      <c r="BD10" s="512" t="n"/>
      <c r="BE10" s="512" t="n"/>
      <c r="BF10" s="11602" t="n"/>
      <c r="BG10" s="11602" t="n"/>
      <c r="BH10" s="11602" t="n"/>
      <c r="BI10" s="11602" t="n"/>
      <c r="BJ10" s="11602" t="n"/>
      <c r="BK10" s="11602" t="n"/>
      <c r="BL10" s="11602" t="n"/>
      <c r="BM10" s="11602" t="n"/>
      <c r="BN10" s="3957">
        <f>OR(BN3,BN4,BN9)</f>
        <v/>
      </c>
      <c r="BO10" s="3958">
        <f>OR(BO3,BO4,BO9)</f>
        <v/>
      </c>
      <c r="BP10" s="3958">
        <f>OR(BP3,BP4,BP9)</f>
        <v/>
      </c>
      <c r="BQ10" s="3958">
        <f>OR(BQ3,BQ4,BQ9)</f>
        <v/>
      </c>
      <c r="BR10" s="3958">
        <f>OR(BR3,BR4,BR9)</f>
        <v/>
      </c>
      <c r="BS10" s="11602" t="n"/>
      <c r="BT10" s="11704" t="n"/>
      <c r="BU10" s="658" t="n"/>
      <c r="BV10" s="658" t="n"/>
      <c r="BW10" s="658" t="n"/>
      <c r="BX10" s="658" t="n"/>
      <c r="BY10" s="658" t="n"/>
      <c r="BZ10" s="658" t="n"/>
      <c r="CA10" s="658" t="n"/>
      <c r="CB10" s="658" t="n"/>
      <c r="CC10" s="658" t="n"/>
      <c r="CD10" s="658" t="n"/>
      <c r="CE10" s="658" t="n"/>
      <c r="CF10" s="658" t="n"/>
    </row>
    <row r="11" ht="22.5" customHeight="1" s="7635">
      <c r="A11" s="139" t="n"/>
      <c r="B11" s="7357" t="n"/>
      <c r="C11" s="11717" t="n"/>
      <c r="D11" s="11717" t="n"/>
      <c r="E11" s="11717" t="n"/>
      <c r="F11" s="11717" t="n"/>
      <c r="G11" s="11717" t="n"/>
      <c r="H11" s="11717" t="n"/>
      <c r="I11" s="11717" t="n"/>
      <c r="J11" s="11717" t="n"/>
      <c r="K11" s="11717" t="n"/>
      <c r="L11" s="11717" t="n"/>
      <c r="M11" s="11717" t="n"/>
      <c r="N11" s="11717" t="n"/>
      <c r="O11" s="11717" t="n"/>
      <c r="P11" s="11717" t="n"/>
      <c r="Q11" s="11718" t="n"/>
      <c r="R11" s="11719" t="n"/>
      <c r="S11" s="11717" t="n"/>
      <c r="T11" s="11717" t="n"/>
      <c r="U11" s="11717" t="n"/>
      <c r="V11" s="11717" t="n"/>
      <c r="W11" s="11717" t="n"/>
      <c r="X11" s="11717" t="n"/>
      <c r="Y11" s="11717" t="n"/>
      <c r="Z11" s="11717" t="n"/>
      <c r="AA11" s="11717" t="n"/>
      <c r="AB11" s="11717" t="n"/>
      <c r="AC11" s="11717" t="n"/>
      <c r="AD11" s="11717" t="n"/>
      <c r="AE11" s="11717" t="n"/>
      <c r="AF11" s="11717" t="n"/>
      <c r="AG11" s="11718" t="n"/>
      <c r="AH11" s="11720">
        <f>IF(NumFileStatusBoxes=0,"Filing status?",1010002)</f>
        <v/>
      </c>
      <c r="AI11" s="11717" t="n"/>
      <c r="AJ11" s="11717" t="n"/>
      <c r="AK11" s="11717" t="n"/>
      <c r="AL11" s="11717" t="n"/>
      <c r="AM11" s="11717" t="n"/>
      <c r="AN11" s="11717" t="n"/>
      <c r="AO11" s="11717" t="n"/>
      <c r="AP11" s="11717" t="n"/>
      <c r="AQ11" s="11717" t="n"/>
      <c r="AR11" s="11717" t="n"/>
      <c r="AS11" s="11717" t="n"/>
      <c r="AT11" s="3959" t="n"/>
      <c r="AU11" s="1318">
        <f>NumFileStatusBoxes&gt;1</f>
        <v/>
      </c>
      <c r="AV11" s="3937" t="n"/>
      <c r="AW11" s="3937" t="n"/>
      <c r="AX11" s="3937" t="n"/>
      <c r="AY11" s="3937" t="n"/>
      <c r="AZ11" s="3937" t="n"/>
      <c r="BA11" s="512" t="n"/>
      <c r="BB11" s="11602" t="n"/>
      <c r="BC11" s="512" t="n"/>
      <c r="BD11" s="512" t="n"/>
      <c r="BE11" s="512" t="n"/>
      <c r="BF11" s="11602" t="n"/>
      <c r="BG11" s="344">
        <f>IF(AND(Name_1st_Yours&lt;&gt;"",Name_1st_Sp&lt;&gt;""),Name_1st_Yours&amp;" "&amp;Name_Last_Yours&amp;" &amp; "&amp;Name_1st_Sp&amp;" "&amp;Name_Last_Sp,IF(Name_Last_Yours&lt;&gt;"",Name_1st_Yours&amp;" "&amp;Name_Last_Yours,""))</f>
        <v/>
      </c>
      <c r="BH11" s="11602" t="n"/>
      <c r="BI11" s="512" t="n"/>
      <c r="BJ11" s="512" t="n"/>
      <c r="BK11" s="11602" t="n"/>
      <c r="BL11" s="11602" t="n"/>
      <c r="BM11" s="11602" t="n"/>
      <c r="BN11" s="11602" t="n"/>
      <c r="BO11" s="11602" t="n"/>
      <c r="BP11" s="11602" t="n"/>
      <c r="BQ11" s="11602">
        <f>OR(BP10,BQ10,BR10)</f>
        <v/>
      </c>
      <c r="BR11" s="11602" t="n"/>
      <c r="BS11" s="11602" t="n"/>
      <c r="BT11" s="11704" t="n"/>
      <c r="BU11" s="658" t="n"/>
      <c r="BV11" s="658" t="n"/>
      <c r="BW11" s="658" t="n"/>
      <c r="BX11" s="658" t="n"/>
      <c r="BY11" s="658" t="n"/>
      <c r="BZ11" s="658" t="n"/>
      <c r="CA11" s="658" t="n"/>
      <c r="CB11" s="658" t="n"/>
      <c r="CC11" s="658" t="n"/>
      <c r="CD11" s="658" t="n"/>
      <c r="CE11" s="658" t="n"/>
      <c r="CF11" s="658" t="n"/>
    </row>
    <row r="12" ht="13.5" customHeight="1" s="7635" thickBot="1">
      <c r="A12" s="139" t="n"/>
      <c r="B12" s="1841" t="n"/>
      <c r="C12" s="8922" t="inlineStr">
        <is>
          <t>Home address (number and street). If you have a P.O. box, see instructions.</t>
        </is>
      </c>
      <c r="D12" s="229" t="n"/>
      <c r="E12" s="229" t="n"/>
      <c r="F12" s="1842" t="n"/>
      <c r="G12" s="88" t="n"/>
      <c r="H12" s="229" t="n"/>
      <c r="I12" s="229" t="n"/>
      <c r="J12" s="229" t="n"/>
      <c r="K12" s="229" t="n"/>
      <c r="L12" s="229" t="n"/>
      <c r="M12" s="229" t="n"/>
      <c r="N12" s="229" t="n"/>
      <c r="O12" s="1838" t="n"/>
      <c r="P12" s="1838" t="n"/>
      <c r="Q12" s="1838" t="n"/>
      <c r="R12" s="1838" t="n"/>
      <c r="S12" s="1838" t="n"/>
      <c r="T12" s="1838" t="n"/>
      <c r="U12" s="1838" t="n"/>
      <c r="V12" s="1838" t="n"/>
      <c r="W12" s="1838" t="n"/>
      <c r="X12" s="1838" t="n"/>
      <c r="Y12" s="1838" t="n"/>
      <c r="Z12" s="1838" t="n"/>
      <c r="AA12" s="1838" t="n"/>
      <c r="AB12" s="1838" t="n"/>
      <c r="AC12" s="1838" t="n"/>
      <c r="AD12" s="3956" t="inlineStr">
        <is>
          <t xml:space="preserve">  Apt. no.</t>
        </is>
      </c>
      <c r="AE12" s="1841" t="n"/>
      <c r="AF12" s="1838" t="n"/>
      <c r="AG12" s="1840" t="n"/>
      <c r="AH12" s="7418" t="inlineStr">
        <is>
          <t>Check here if your main home, and your spouse's,</t>
        </is>
      </c>
      <c r="AI12" s="7839" t="n"/>
      <c r="AJ12" s="7839" t="n"/>
      <c r="AK12" s="7839" t="n"/>
      <c r="AL12" s="7839" t="n"/>
      <c r="AM12" s="7839" t="n"/>
      <c r="AN12" s="7839" t="n"/>
      <c r="AO12" s="7839" t="n"/>
      <c r="AP12" s="7839" t="n"/>
      <c r="AQ12" s="7839" t="n"/>
      <c r="AR12" s="7839" t="n"/>
      <c r="AS12" s="7839" t="n"/>
      <c r="AT12" s="3335" t="n"/>
      <c r="AU12" s="3235">
        <f>(NumFileStatusBoxes&gt;1)</f>
        <v/>
      </c>
      <c r="AV12" s="3960" t="n"/>
      <c r="AW12" s="841" t="n"/>
      <c r="AX12" s="3960" t="n"/>
      <c r="AY12" s="3960" t="n"/>
      <c r="AZ12" s="3960" t="n"/>
      <c r="BA12" s="3960" t="n"/>
      <c r="BB12" s="11602" t="n"/>
      <c r="BC12" s="512" t="n"/>
      <c r="BD12" s="512" t="n"/>
      <c r="BE12" s="512" t="n"/>
      <c r="BF12" s="1992">
        <f>AND(OR(File_Single&lt;&gt;"",File_Head&lt;&gt;""),OR(sp_over_64&lt;&gt;"",sp_blind&lt;&gt;"",DependentSPOUSE&lt;&gt;"",Dual_Status_Alien&lt;&gt;""))</f>
        <v/>
      </c>
      <c r="BG12" s="580" t="n"/>
      <c r="BH12" s="11602" t="n"/>
      <c r="BI12" s="11602" t="n"/>
      <c r="BJ12" s="512" t="n"/>
      <c r="BK12" s="512" t="n"/>
      <c r="BL12" s="11602" t="n"/>
      <c r="BM12" s="11602" t="n"/>
      <c r="BN12" s="11602" t="n"/>
      <c r="BO12" s="11602" t="n"/>
      <c r="BP12" s="11602" t="n"/>
      <c r="BQ12" s="350" t="inlineStr">
        <is>
          <t>For 'Patriots' Day or</t>
        </is>
      </c>
      <c r="BR12" s="11602" t="n"/>
      <c r="BS12" s="11602" t="n"/>
      <c r="BT12" s="11704" t="n"/>
      <c r="BU12" s="658" t="n"/>
      <c r="BV12" s="658" t="n"/>
      <c r="BW12" s="658" t="n"/>
      <c r="BX12" s="658" t="n"/>
      <c r="BY12" s="658" t="n"/>
      <c r="BZ12" s="658" t="n"/>
      <c r="CA12" s="658" t="n"/>
      <c r="CB12" s="658" t="n"/>
      <c r="CC12" s="658" t="n"/>
      <c r="CD12" s="658" t="n"/>
      <c r="CE12" s="658" t="n"/>
      <c r="CF12" s="658" t="n"/>
    </row>
    <row r="13" ht="22.5" customHeight="1" s="7635">
      <c r="A13" s="139" t="n"/>
      <c r="B13" s="7363" t="n"/>
      <c r="C13" s="11717" t="n"/>
      <c r="D13" s="11717" t="n"/>
      <c r="E13" s="11717" t="n"/>
      <c r="F13" s="11717" t="n"/>
      <c r="G13" s="11717" t="n"/>
      <c r="H13" s="11717" t="n"/>
      <c r="I13" s="11717" t="n"/>
      <c r="J13" s="11717" t="n"/>
      <c r="K13" s="11717" t="n"/>
      <c r="L13" s="11717" t="n"/>
      <c r="M13" s="11717" t="n"/>
      <c r="N13" s="11717" t="n"/>
      <c r="O13" s="11717" t="n"/>
      <c r="P13" s="11717" t="n"/>
      <c r="Q13" s="11717" t="n"/>
      <c r="R13" s="11717" t="n"/>
      <c r="S13" s="11717" t="n"/>
      <c r="T13" s="11717" t="n"/>
      <c r="U13" s="11717" t="n"/>
      <c r="V13" s="11717" t="n"/>
      <c r="W13" s="11717" t="n"/>
      <c r="X13" s="11717" t="n"/>
      <c r="Y13" s="11717" t="n"/>
      <c r="Z13" s="11717" t="n"/>
      <c r="AA13" s="11717" t="n"/>
      <c r="AB13" s="11717" t="n"/>
      <c r="AC13" s="11718" t="n"/>
      <c r="AD13" s="11721" t="n"/>
      <c r="AE13" s="11717" t="n"/>
      <c r="AF13" s="11717" t="n"/>
      <c r="AG13" s="11718" t="n"/>
      <c r="AH13" s="11722">
        <f>"if filing a joint return, was in the U.S. for more than half of "&amp;TaxYear&amp;"."</f>
        <v/>
      </c>
      <c r="AI13" s="7637" t="n"/>
      <c r="AJ13" s="7637" t="n"/>
      <c r="AK13" s="7637" t="n"/>
      <c r="AL13" s="7637" t="n"/>
      <c r="AM13" s="7637" t="n"/>
      <c r="AN13" s="7637" t="n"/>
      <c r="AO13" s="7637" t="n"/>
      <c r="AP13" s="7637" t="n"/>
      <c r="AQ13" s="7637" t="n"/>
      <c r="AR13" s="7638" t="n"/>
      <c r="AS13" s="7497" t="inlineStr">
        <is>
          <t>X</t>
        </is>
      </c>
      <c r="AT13" s="3335" t="n"/>
      <c r="AU13" s="3961">
        <f>IF(AND(OR(File_Single&lt;&gt;"",File_Head&lt;&gt;""),OR(sp_over_64&lt;&gt;"",sp_blind&lt;&gt;"")),TRUE,FALSE)</f>
        <v/>
      </c>
      <c r="AV13" s="3962" t="n"/>
      <c r="AW13" s="3963">
        <f>IF(AND($BF$13,BI15,BI17),"Birthdates",IF($BF$13,"Enter your birthdate and your spouse's birthdate.",IF(BI15,"Birthdate","Enter your birthdate.")))</f>
        <v/>
      </c>
      <c r="AX13" s="377" t="n"/>
      <c r="AY13" s="377" t="n"/>
      <c r="AZ13" s="377" t="n"/>
      <c r="BA13" s="378" t="n"/>
      <c r="BB13" s="512" t="n"/>
      <c r="BC13" s="512" t="n"/>
      <c r="BD13" s="512" t="n"/>
      <c r="BE13" s="512" t="n"/>
      <c r="BF13" s="3964">
        <f>OR(File_Marr_Joint&lt;&gt;"",File_Marr_Sep&lt;&gt;"",File_Qual_Widow&lt;&gt;"")</f>
        <v/>
      </c>
      <c r="BG13" s="344">
        <f>Name_1st_Yours&amp;" "&amp;Name_Last_Yours</f>
        <v/>
      </c>
      <c r="BH13" s="344" t="n"/>
      <c r="BI13" s="344">
        <f>Name_1st_Sp&amp;" "&amp;Name_Last_Sp</f>
        <v/>
      </c>
      <c r="BJ13" s="344" t="n"/>
      <c r="BK13" s="512" t="n"/>
      <c r="BL13" s="11602" t="n"/>
      <c r="BM13" s="11602" t="n"/>
      <c r="BN13" s="11602" t="n"/>
      <c r="BO13" s="11602" t="n"/>
      <c r="BP13" s="11602" t="n"/>
      <c r="BQ13" s="344" t="inlineStr">
        <is>
          <t>Emancipation Day (D.C.)</t>
        </is>
      </c>
      <c r="BR13" s="11602" t="n"/>
      <c r="BT13" s="11704" t="n"/>
      <c r="BU13" s="658" t="n"/>
      <c r="BV13" s="658" t="n"/>
      <c r="BW13" s="658" t="n"/>
      <c r="BX13" s="658" t="n"/>
      <c r="BY13" s="658" t="n"/>
      <c r="BZ13" s="658" t="n"/>
      <c r="CA13" s="658" t="n"/>
      <c r="CB13" s="658" t="n"/>
      <c r="CC13" s="658" t="n"/>
      <c r="CD13" s="658" t="n"/>
      <c r="CE13" s="658" t="n"/>
      <c r="CF13" s="658" t="n"/>
    </row>
    <row r="14" ht="16.5" customHeight="1" s="7635" thickBot="1">
      <c r="A14" s="139" t="n"/>
      <c r="B14" s="1838" t="n"/>
      <c r="C14" s="1841" t="inlineStr">
        <is>
          <t>City, town, or post office.   If you have a foreign address, also complete spaces below.</t>
        </is>
      </c>
      <c r="D14" s="1838" t="n"/>
      <c r="E14" s="1838" t="n"/>
      <c r="F14" s="223" t="n"/>
      <c r="G14" s="1839" t="n"/>
      <c r="H14" s="1838" t="n"/>
      <c r="I14" s="1838" t="n"/>
      <c r="J14" s="1838" t="n"/>
      <c r="K14" s="1838" t="n"/>
      <c r="L14" s="1838" t="n"/>
      <c r="M14" s="1838" t="n"/>
      <c r="N14" s="1838" t="n"/>
      <c r="O14" s="1838" t="n"/>
      <c r="P14" s="1838" t="n"/>
      <c r="Q14" s="1838" t="n"/>
      <c r="R14" s="1838" t="n"/>
      <c r="S14" s="1838" t="n"/>
      <c r="T14" s="1838" t="n"/>
      <c r="U14" s="1838" t="n"/>
      <c r="V14" s="1838" t="n"/>
      <c r="W14" s="1838" t="n"/>
      <c r="X14" s="11723" t="inlineStr">
        <is>
          <t>State</t>
        </is>
      </c>
      <c r="Y14" s="7839" t="n"/>
      <c r="Z14" s="7839" t="n"/>
      <c r="AA14" s="7839" t="n"/>
      <c r="AB14" s="10091" t="n"/>
      <c r="AC14" s="11723" t="inlineStr">
        <is>
          <t>ZIP Code</t>
        </is>
      </c>
      <c r="AD14" s="7839" t="n"/>
      <c r="AE14" s="7839" t="n"/>
      <c r="AF14" s="7839" t="n"/>
      <c r="AG14" s="10091" t="n"/>
      <c r="AH14" s="7048" t="inlineStr">
        <is>
          <t>Presidential Election Campaign</t>
        </is>
      </c>
      <c r="AI14" s="7839" t="n"/>
      <c r="AJ14" s="7839" t="n"/>
      <c r="AK14" s="7839" t="n"/>
      <c r="AL14" s="7839" t="n"/>
      <c r="AM14" s="7839" t="n"/>
      <c r="AN14" s="7839" t="n"/>
      <c r="AO14" s="7839" t="n"/>
      <c r="AP14" s="7839" t="n"/>
      <c r="AQ14" s="7839" t="n"/>
      <c r="AR14" s="7839" t="n"/>
      <c r="AS14" s="7839" t="n"/>
      <c r="AT14" s="3335" t="n"/>
      <c r="AU14" s="3961" t="n"/>
      <c r="AV14" s="3965" t="n"/>
      <c r="AW14" s="7957" t="n"/>
      <c r="AX14" s="7957" t="inlineStr">
        <is>
          <t>Month (e.g. '11')</t>
        </is>
      </c>
      <c r="AY14" s="7957" t="inlineStr">
        <is>
          <t>Day (e.g. '9')</t>
        </is>
      </c>
      <c r="AZ14" s="7957" t="inlineStr">
        <is>
          <t>Year (e.g. '1997')</t>
        </is>
      </c>
      <c r="BA14" s="2707" t="n"/>
      <c r="BB14" s="512" t="n"/>
      <c r="BC14" s="512" t="n"/>
      <c r="BD14" s="512" t="n"/>
      <c r="BE14" s="512" t="n"/>
      <c r="BF14" s="689">
        <f>IF(you_over_64&lt;&gt;"",1,0)</f>
        <v/>
      </c>
      <c r="BG14" s="9237" t="inlineStr">
        <is>
          <t>You &gt; 64</t>
        </is>
      </c>
      <c r="BH14" s="11602" t="n"/>
      <c r="BI14" s="512" t="n"/>
      <c r="BJ14" s="512" t="n"/>
      <c r="BK14" s="11602" t="n"/>
      <c r="BL14" s="11602" t="n"/>
      <c r="BM14" s="11602" t="n"/>
      <c r="BN14" s="11602" t="n"/>
      <c r="BO14" s="11602" t="n"/>
      <c r="BP14" s="11602" t="n"/>
      <c r="BQ14" s="11602" t="n"/>
      <c r="BR14" s="11602" t="n"/>
      <c r="BS14" s="11602" t="n"/>
      <c r="BT14" s="11704" t="n"/>
      <c r="BU14" s="658" t="n"/>
      <c r="BV14" s="658" t="n"/>
      <c r="BW14" s="658" t="n"/>
      <c r="BX14" s="658" t="n"/>
      <c r="BY14" s="658" t="n"/>
      <c r="BZ14" s="658" t="n"/>
      <c r="CA14" s="658" t="n"/>
      <c r="CB14" s="658" t="n"/>
      <c r="CC14" s="658" t="n"/>
      <c r="CD14" s="658" t="n"/>
      <c r="CE14" s="658" t="n"/>
      <c r="CF14" s="658" t="n"/>
    </row>
    <row r="15" ht="20.25" customHeight="1" s="7635" thickBot="1">
      <c r="A15" s="139" t="n"/>
      <c r="B15" s="11724" t="n"/>
      <c r="C15" s="11717" t="n"/>
      <c r="D15" s="11717" t="n"/>
      <c r="E15" s="11717" t="n"/>
      <c r="F15" s="11717" t="n"/>
      <c r="G15" s="11717" t="n"/>
      <c r="H15" s="11717" t="n"/>
      <c r="I15" s="11717" t="n"/>
      <c r="J15" s="11717" t="n"/>
      <c r="K15" s="11717" t="n"/>
      <c r="L15" s="11717" t="n"/>
      <c r="M15" s="11717" t="n"/>
      <c r="N15" s="11717" t="n"/>
      <c r="O15" s="11717" t="n"/>
      <c r="P15" s="11717" t="n"/>
      <c r="Q15" s="11717" t="n"/>
      <c r="R15" s="11717" t="n"/>
      <c r="S15" s="11717" t="n"/>
      <c r="T15" s="11717" t="n"/>
      <c r="U15" s="11717" t="n"/>
      <c r="V15" s="11717" t="n"/>
      <c r="W15" s="11718" t="n"/>
      <c r="X15" s="11725" t="n"/>
      <c r="Y15" s="11717" t="n"/>
      <c r="Z15" s="11717" t="n"/>
      <c r="AA15" s="11717" t="n"/>
      <c r="AB15" s="11718" t="n"/>
      <c r="AC15" s="11725" t="n"/>
      <c r="AD15" s="11717" t="n"/>
      <c r="AE15" s="11717" t="n"/>
      <c r="AF15" s="11717" t="n"/>
      <c r="AG15" s="11718" t="n"/>
      <c r="AH15" s="7046" t="inlineStr">
        <is>
          <t>Check here if you, or your spouse if filing jointly, want $3 to go to this fund.  Checking a box below will not change your tax or refund.</t>
        </is>
      </c>
      <c r="AT15" s="3335" t="n"/>
      <c r="AU15" s="3961" t="n"/>
      <c r="AV15" s="341" t="n"/>
      <c r="AW15" s="1061" t="inlineStr">
        <is>
          <t xml:space="preserve">You </t>
        </is>
      </c>
      <c r="AX15" s="472" t="n"/>
      <c r="AY15" s="472" t="n"/>
      <c r="AZ15" s="472" t="n"/>
      <c r="BA15" s="3966" t="n"/>
      <c r="BB15" s="512" t="n"/>
      <c r="BC15" s="512" t="n"/>
      <c r="BD15" s="512" t="n"/>
      <c r="BE15" s="512" t="n"/>
      <c r="BF15" s="689">
        <f>IF(you_blind&lt;&gt;"",1,0)</f>
        <v/>
      </c>
      <c r="BG15" s="9237" t="inlineStr">
        <is>
          <t>You blind</t>
        </is>
      </c>
      <c r="BH15" s="7957" t="n"/>
      <c r="BI15" s="344">
        <f>AND(YourBirthMonth&lt;&gt;"",YourBirthDay&lt;&gt;"",YourBirthYear&lt;&gt;"")</f>
        <v/>
      </c>
      <c r="BJ15" s="344">
        <f>IF(OR(YourBirthMonth="",YourBirthDay="",YourBirthYear=""),"Enter your birthdate",IF(BL123,"Your birthdate appears to be in error.",IF(BI16,"For IRS purposes, you were "&amp;YourAge&amp;" years old on December 31, "&amp;TaxYear&amp;".","You were "&amp;YourAge&amp;" years old on December 31, "&amp;TaxYear&amp;".")))</f>
        <v/>
      </c>
      <c r="BK15" s="11602" t="n"/>
      <c r="BL15" s="11602" t="n"/>
      <c r="BM15" s="11602" t="n"/>
      <c r="BN15" s="11602" t="n"/>
      <c r="BO15" s="11602" t="n"/>
      <c r="BP15" s="11602" t="n"/>
      <c r="BQ15" s="11602" t="n"/>
      <c r="BR15" s="11602" t="n"/>
      <c r="BS15" s="11602" t="n"/>
      <c r="BT15" s="11704" t="n"/>
      <c r="BU15" s="658" t="n"/>
      <c r="BV15" s="658" t="n"/>
      <c r="BW15" s="658" t="n"/>
      <c r="BX15" s="658" t="n"/>
      <c r="BY15" s="658" t="n"/>
      <c r="BZ15" s="658" t="n"/>
      <c r="CA15" s="658" t="n"/>
      <c r="CB15" s="658" t="n"/>
      <c r="CC15" s="658" t="n"/>
      <c r="CD15" s="658" t="n"/>
      <c r="CE15" s="658" t="n"/>
      <c r="CF15" s="658" t="n"/>
    </row>
    <row r="16" ht="16.5" customHeight="1" s="7635" thickBot="1">
      <c r="A16" s="139" t="n"/>
      <c r="B16" s="1838" t="n"/>
      <c r="C16" s="8922" t="inlineStr">
        <is>
          <t>Foreign country name</t>
        </is>
      </c>
      <c r="D16" s="1838" t="n"/>
      <c r="E16" s="1838" t="n"/>
      <c r="F16" s="223" t="n"/>
      <c r="G16" s="1839" t="n"/>
      <c r="H16" s="1838" t="n"/>
      <c r="I16" s="1838" t="n"/>
      <c r="J16" s="1838" t="n"/>
      <c r="K16" s="1838" t="n"/>
      <c r="L16" s="1838" t="n"/>
      <c r="M16" s="1838" t="n"/>
      <c r="N16" s="1838" t="n"/>
      <c r="O16" s="1838" t="n"/>
      <c r="P16" s="1838" t="n"/>
      <c r="Q16" s="1838" t="n"/>
      <c r="R16" s="1838" t="n"/>
      <c r="S16" s="3956" t="inlineStr">
        <is>
          <t>Foreign province/state/county</t>
        </is>
      </c>
      <c r="T16" s="1838" t="n"/>
      <c r="U16" s="1838" t="n"/>
      <c r="V16" s="1838" t="n"/>
      <c r="W16" s="1838" t="n"/>
      <c r="X16" s="1838" t="n"/>
      <c r="Y16" s="1838" t="n"/>
      <c r="Z16" s="1838" t="n"/>
      <c r="AA16" s="1838" t="n"/>
      <c r="AB16" s="1838" t="n"/>
      <c r="AC16" s="3956" t="inlineStr">
        <is>
          <t>Foreign postal code</t>
        </is>
      </c>
      <c r="AD16" s="1838" t="n"/>
      <c r="AE16" s="1838" t="n"/>
      <c r="AF16" s="1838" t="n"/>
      <c r="AG16" s="1840" t="n"/>
      <c r="AH16" s="4772" t="n"/>
      <c r="AT16" s="3335" t="n"/>
      <c r="AU16" s="1318" t="n"/>
      <c r="AV16" s="2846" t="n"/>
      <c r="AW16" s="7957" t="n"/>
      <c r="AX16" s="7122">
        <f>BJ15</f>
        <v/>
      </c>
      <c r="BA16" s="1066" t="n"/>
      <c r="BB16" s="512" t="n"/>
      <c r="BC16" s="512" t="n"/>
      <c r="BD16" s="512" t="n"/>
      <c r="BE16" s="512" t="n"/>
      <c r="BF16" s="689">
        <f>IF(AND(OR(File_Marr_Joint&lt;&gt;"",SpouseSep_NoIncome),sp_over_64&lt;&gt;""),1,0)</f>
        <v/>
      </c>
      <c r="BG16" s="9237" t="inlineStr">
        <is>
          <t>Spouse &gt; 64</t>
        </is>
      </c>
      <c r="BH16" s="3967" t="n"/>
      <c r="BI16" s="344">
        <f>AND(YourBirthMonth=1,YourBirthDay=1)</f>
        <v/>
      </c>
      <c r="BJ16" s="512" t="n"/>
      <c r="BK16" s="11602" t="n"/>
      <c r="BL16" s="11602" t="n"/>
      <c r="BM16" s="11602" t="n"/>
      <c r="BN16" s="11602" t="n"/>
      <c r="BO16" s="11602" t="n"/>
      <c r="BP16" s="11602" t="n"/>
      <c r="BQ16" s="11602" t="n"/>
      <c r="BR16" s="11602" t="n"/>
      <c r="BS16" s="11602" t="n"/>
      <c r="BT16" s="11704" t="n"/>
      <c r="BU16" s="658" t="n"/>
      <c r="BV16" s="658" t="n"/>
      <c r="BW16" s="658" t="n"/>
      <c r="BX16" s="658" t="n"/>
      <c r="BY16" s="658" t="n"/>
      <c r="BZ16" s="658" t="n"/>
      <c r="CA16" s="658" t="n"/>
      <c r="CB16" s="658" t="n"/>
      <c r="CC16" s="658" t="n"/>
      <c r="CD16" s="658" t="n"/>
      <c r="CE16" s="658" t="n"/>
      <c r="CF16" s="658" t="n"/>
    </row>
    <row r="17" ht="16.5" customHeight="1" s="7635" thickBot="1">
      <c r="A17" s="139" t="n"/>
      <c r="B17" s="7363" t="n"/>
      <c r="C17" s="194" t="n"/>
      <c r="D17" s="194" t="n"/>
      <c r="E17" s="194" t="n"/>
      <c r="F17" s="194" t="n"/>
      <c r="G17" s="194" t="n"/>
      <c r="H17" s="194" t="n"/>
      <c r="I17" s="194" t="n"/>
      <c r="J17" s="194" t="n"/>
      <c r="K17" s="194" t="n"/>
      <c r="L17" s="194" t="n"/>
      <c r="M17" s="194" t="n"/>
      <c r="N17" s="194" t="n"/>
      <c r="O17" s="194" t="n"/>
      <c r="P17" s="194" t="n"/>
      <c r="Q17" s="194" t="n"/>
      <c r="R17" s="11726" t="n"/>
      <c r="S17" s="11727" t="n"/>
      <c r="T17" s="194" t="n"/>
      <c r="U17" s="194" t="n"/>
      <c r="V17" s="194" t="n"/>
      <c r="W17" s="194" t="n"/>
      <c r="X17" s="194" t="n"/>
      <c r="Y17" s="194" t="n"/>
      <c r="Z17" s="194" t="n"/>
      <c r="AA17" s="194" t="n"/>
      <c r="AB17" s="11726" t="n"/>
      <c r="AC17" s="11727" t="n"/>
      <c r="AD17" s="194" t="n"/>
      <c r="AE17" s="194" t="n"/>
      <c r="AF17" s="194" t="n"/>
      <c r="AG17" s="11726" t="n"/>
      <c r="AH17" s="1844" t="n"/>
      <c r="AI17" s="1868" t="n"/>
      <c r="AJ17" s="276" t="n"/>
      <c r="AK17" s="1847" t="inlineStr">
        <is>
          <t>You</t>
        </is>
      </c>
      <c r="AL17" s="1847" t="n"/>
      <c r="AM17" s="5816" t="n"/>
      <c r="AN17" s="276" t="n"/>
      <c r="AO17" s="1847" t="inlineStr">
        <is>
          <t>Spouse</t>
        </is>
      </c>
      <c r="AP17" s="1847" t="n"/>
      <c r="AQ17" s="1847" t="n"/>
      <c r="AR17" s="1847" t="n"/>
      <c r="AS17" s="1827" t="n"/>
      <c r="AT17" s="3335" t="n"/>
      <c r="AU17" s="3968" t="n"/>
      <c r="AV17" s="824" t="n"/>
      <c r="AW17" s="1061">
        <f>IF($BF$13,"Spouse ","")</f>
        <v/>
      </c>
      <c r="AX17" s="472" t="n"/>
      <c r="AY17" s="472" t="n"/>
      <c r="AZ17" s="472" t="n"/>
      <c r="BA17" s="3966" t="n"/>
      <c r="BB17" s="8914" t="n"/>
      <c r="BC17" s="512" t="n"/>
      <c r="BD17" s="8914" t="n"/>
      <c r="BE17" s="8914" t="n"/>
      <c r="BF17" s="689">
        <f>IF(AND(OR(File_Marr_Joint&lt;&gt;"",SpouseSep_NoIncome),sp_blind&lt;&gt;""),1,0)</f>
        <v/>
      </c>
      <c r="BG17" s="9237" t="inlineStr">
        <is>
          <t>Spouse blind</t>
        </is>
      </c>
      <c r="BH17" s="343" t="n"/>
      <c r="BI17" s="344">
        <f>AND(OR(File_Marr_Sep&lt;&gt;"",File_Marr_Joint&lt;&gt;""),SpouseBirthMonth&lt;&gt;"",SpouseBirthDay&lt;&gt;"",SpouseBirthYear&lt;&gt;"")</f>
        <v/>
      </c>
      <c r="BJ17" s="344">
        <f>IF(AND(File_Marr_Sep="",File_Marr_Joint=""),"",IF(AND(OR(File_Marr_Sep&lt;&gt;"",File_Marr_Joint&lt;&gt;""),OR(SpouseBirthMonth="",SpouseBirthDay="",SpouseBirthYear="")),"Enter spouse's birthdate.",IF(BL144,"Spouse's birthdate appears to be in error.",IF(BI22,"For IRS purposes, you were "&amp;SpouseAge&amp;" years old on December 31, "&amp;TaxYear&amp;".","Your spouse was "&amp;SpouseAge&amp;" years old on December 31, "&amp;TaxYear&amp;"."))))</f>
        <v/>
      </c>
      <c r="BK17" s="11602" t="n"/>
      <c r="BL17" s="11602" t="n"/>
      <c r="BM17" s="11602" t="n"/>
      <c r="BN17" s="11602" t="n"/>
      <c r="BO17" s="11602" t="n"/>
      <c r="BP17" s="11602" t="n"/>
      <c r="BQ17" s="11602" t="n"/>
      <c r="BR17" s="11602" t="n"/>
      <c r="BS17" s="11602" t="n"/>
      <c r="BT17" s="11704" t="n"/>
      <c r="BU17" s="658" t="n"/>
      <c r="BV17" s="658" t="n"/>
      <c r="BW17" s="658" t="n"/>
      <c r="BX17" s="658" t="n"/>
      <c r="BY17" s="658" t="n"/>
      <c r="BZ17" s="658" t="n"/>
      <c r="CA17" s="658" t="n"/>
      <c r="CB17" s="658" t="n"/>
      <c r="CC17" s="658" t="n"/>
      <c r="CD17" s="658" t="n"/>
      <c r="CE17" s="658" t="n"/>
      <c r="CF17" s="658" t="n"/>
    </row>
    <row r="18" ht="7.5" customHeight="1" s="7635">
      <c r="A18" s="139" t="n"/>
      <c r="B18" s="11717" t="n"/>
      <c r="C18" s="11717" t="n"/>
      <c r="D18" s="11717" t="n"/>
      <c r="E18" s="11717" t="n"/>
      <c r="F18" s="11717" t="n"/>
      <c r="G18" s="11717" t="n"/>
      <c r="H18" s="11717" t="n"/>
      <c r="I18" s="11717" t="n"/>
      <c r="J18" s="11717" t="n"/>
      <c r="K18" s="11717" t="n"/>
      <c r="L18" s="11717" t="n"/>
      <c r="M18" s="11717" t="n"/>
      <c r="N18" s="11717" t="n"/>
      <c r="O18" s="11717" t="n"/>
      <c r="P18" s="11717" t="n"/>
      <c r="Q18" s="11717" t="n"/>
      <c r="R18" s="11718" t="n"/>
      <c r="S18" s="11728" t="n"/>
      <c r="T18" s="11717" t="n"/>
      <c r="U18" s="11717" t="n"/>
      <c r="V18" s="11717" t="n"/>
      <c r="W18" s="11717" t="n"/>
      <c r="X18" s="11717" t="n"/>
      <c r="Y18" s="11717" t="n"/>
      <c r="Z18" s="11717" t="n"/>
      <c r="AA18" s="11717" t="n"/>
      <c r="AB18" s="11718" t="n"/>
      <c r="AC18" s="11728" t="n"/>
      <c r="AD18" s="11717" t="n"/>
      <c r="AE18" s="11717" t="n"/>
      <c r="AF18" s="11717" t="n"/>
      <c r="AG18" s="11718" t="n"/>
      <c r="AH18" s="1848" t="n"/>
      <c r="AI18" s="1849" t="n"/>
      <c r="AJ18" s="1849" t="n"/>
      <c r="AK18" s="1849" t="n"/>
      <c r="AL18" s="1849" t="n"/>
      <c r="AM18" s="1849" t="n"/>
      <c r="AN18" s="1849" t="n"/>
      <c r="AO18" s="1849" t="n"/>
      <c r="AP18" s="5817" t="n"/>
      <c r="AQ18" s="5817" t="n"/>
      <c r="AR18" s="1849" t="n"/>
      <c r="AS18" s="1850" t="n"/>
      <c r="AT18" s="3335" t="n"/>
      <c r="AU18" s="3968" t="n"/>
      <c r="AV18" s="3969">
        <f>IF(File_Marr_Joint&lt;&gt;"","Check "&amp;CHAR(10)&amp;"if deceased","")</f>
        <v/>
      </c>
      <c r="AW18" s="3970" t="n"/>
      <c r="AX18" s="7124">
        <f>BJ17</f>
        <v/>
      </c>
      <c r="BA18" s="1066" t="n"/>
      <c r="BB18" s="5873" t="n"/>
      <c r="BC18" s="512" t="n"/>
      <c r="BD18" s="5873" t="n"/>
      <c r="BE18" s="5873" t="n"/>
      <c r="BF18" s="11602" t="n"/>
      <c r="BG18" s="11602" t="n"/>
      <c r="BH18" s="11602" t="n"/>
      <c r="BI18" s="11602" t="n"/>
      <c r="BJ18" s="11602" t="n"/>
      <c r="BK18" s="11602" t="n"/>
      <c r="BL18" s="11602" t="n"/>
      <c r="BM18" s="11602" t="n"/>
      <c r="BN18" s="11602" t="n"/>
      <c r="BO18" s="11602" t="n"/>
      <c r="BP18" s="11602" t="n"/>
      <c r="BQ18" s="11602" t="n"/>
      <c r="BR18" s="11602" t="n"/>
      <c r="BS18" s="11602" t="n"/>
      <c r="BT18" s="11704" t="n"/>
      <c r="BU18" s="658" t="n"/>
      <c r="BV18" s="658" t="n"/>
      <c r="BW18" s="658" t="n"/>
      <c r="BX18" s="658" t="n"/>
      <c r="BY18" s="658" t="n"/>
      <c r="BZ18" s="658" t="n"/>
      <c r="CA18" s="658" t="n"/>
      <c r="CB18" s="658" t="n"/>
      <c r="CC18" s="658" t="n"/>
      <c r="CD18" s="658" t="n"/>
      <c r="CE18" s="658" t="n"/>
      <c r="CF18" s="658" t="n"/>
    </row>
    <row r="19" ht="5.25" customHeight="1" s="7635">
      <c r="A19" s="139" t="n"/>
      <c r="B19" s="7121" t="n"/>
      <c r="C19" s="1851" t="n"/>
      <c r="D19" s="1851" t="n"/>
      <c r="E19" s="1851" t="n"/>
      <c r="F19" s="1852" t="n"/>
      <c r="G19" s="1852" t="n"/>
      <c r="H19" s="1853" t="n"/>
      <c r="I19" s="1853" t="n"/>
      <c r="J19" s="1853" t="n"/>
      <c r="K19" s="1853" t="n"/>
      <c r="L19" s="1853" t="n"/>
      <c r="M19" s="1853" t="n"/>
      <c r="N19" s="1853" t="n"/>
      <c r="O19" s="1853" t="n"/>
      <c r="P19" s="1853" t="n"/>
      <c r="Q19" s="1853" t="n"/>
      <c r="R19" s="1853" t="n"/>
      <c r="S19" s="1853" t="n"/>
      <c r="T19" s="1853" t="n"/>
      <c r="U19" s="1853" t="n"/>
      <c r="V19" s="1853" t="n"/>
      <c r="W19" s="1853" t="n"/>
      <c r="X19" s="1853" t="n"/>
      <c r="Y19" s="1853" t="n"/>
      <c r="Z19" s="1853" t="n"/>
      <c r="AA19" s="1853" t="n"/>
      <c r="AB19" s="1853" t="n"/>
      <c r="AC19" s="1831" t="n"/>
      <c r="AD19" s="1853" t="n"/>
      <c r="AE19" s="1853" t="n"/>
      <c r="AF19" s="1853" t="n"/>
      <c r="AG19" s="1853" t="n"/>
      <c r="AH19" s="1854" t="n"/>
      <c r="AI19" s="1854" t="n"/>
      <c r="AJ19" s="1854" t="n"/>
      <c r="AK19" s="1854" t="n"/>
      <c r="AL19" s="5787" t="n"/>
      <c r="AM19" s="5787" t="n"/>
      <c r="AN19" s="5787" t="n"/>
      <c r="AO19" s="5787" t="n"/>
      <c r="AP19" s="5787" t="n"/>
      <c r="AQ19" s="5787" t="n"/>
      <c r="AR19" s="5787" t="n"/>
      <c r="AS19" s="5787" t="n"/>
      <c r="AT19" s="3947" t="n"/>
      <c r="AU19" s="3971" t="n"/>
      <c r="AV19" s="3972" t="n"/>
      <c r="AW19" s="3973" t="n"/>
      <c r="BA19" s="1066" t="n"/>
      <c r="BB19" s="3235" t="n"/>
      <c r="BC19" s="512" t="n"/>
      <c r="BD19" s="3235" t="n"/>
      <c r="BE19" s="3235" t="n"/>
      <c r="BF19" s="11602" t="n"/>
      <c r="BG19" s="11602" t="n"/>
      <c r="BH19" s="11602" t="n"/>
      <c r="BI19" s="11602" t="n"/>
      <c r="BJ19" s="11602" t="n"/>
      <c r="BK19" s="11602" t="n"/>
      <c r="BL19" s="11602" t="n"/>
      <c r="BM19" s="11602" t="n"/>
      <c r="BN19" s="11602" t="n"/>
      <c r="BO19" s="11602" t="n"/>
      <c r="BP19" s="11602" t="n"/>
      <c r="BQ19" s="11602" t="n"/>
      <c r="BR19" s="11602" t="n"/>
      <c r="BS19" s="11602" t="n"/>
      <c r="BT19" s="11704" t="n"/>
      <c r="BU19" s="658" t="n"/>
      <c r="BV19" s="658" t="n"/>
      <c r="BW19" s="658" t="n"/>
      <c r="BX19" s="658" t="n"/>
      <c r="BY19" s="658" t="n"/>
      <c r="BZ19" s="658" t="n"/>
      <c r="CA19" s="658" t="n"/>
      <c r="CB19" s="658" t="n"/>
      <c r="CC19" s="658" t="n"/>
      <c r="CD19" s="658" t="n"/>
      <c r="CE19" s="658" t="n"/>
      <c r="CF19" s="658" t="n"/>
    </row>
    <row r="20" ht="16.5" customHeight="1" s="7635">
      <c r="A20" s="139" t="n"/>
      <c r="B20" s="7353" t="inlineStr">
        <is>
          <t xml:space="preserve"> Filing Status</t>
        </is>
      </c>
      <c r="F20" s="276" t="n"/>
      <c r="G20" s="1857" t="inlineStr">
        <is>
          <t xml:space="preserve"> Single</t>
        </is>
      </c>
      <c r="H20" s="1829" t="n"/>
      <c r="I20" s="1829" t="n"/>
      <c r="J20" s="1829" t="n"/>
      <c r="K20" s="1829" t="n"/>
      <c r="L20" s="1829" t="n"/>
      <c r="M20" s="1829" t="n"/>
      <c r="N20" s="1647" t="n"/>
      <c r="O20" s="1829" t="n"/>
      <c r="P20" s="1829" t="n"/>
      <c r="Q20" s="1829" t="n"/>
      <c r="R20" s="1829" t="n"/>
      <c r="S20" s="1829" t="n"/>
      <c r="T20" s="1260" t="n"/>
      <c r="U20" s="1261" t="n"/>
      <c r="V20" s="1261" t="n"/>
      <c r="W20" s="1829" t="n"/>
      <c r="X20" s="1829" t="n"/>
      <c r="Y20" s="1829" t="n"/>
      <c r="Z20" s="1829" t="n"/>
      <c r="AA20" s="3975" t="n"/>
      <c r="AB20" s="276" t="n"/>
      <c r="AC20" s="1857" t="inlineStr">
        <is>
          <t xml:space="preserve"> Head of Household (HOH)</t>
        </is>
      </c>
      <c r="AD20" s="7350" t="n"/>
      <c r="AE20" s="7350" t="n"/>
      <c r="AF20" s="7350" t="n"/>
      <c r="AG20" s="7350" t="n"/>
      <c r="AH20" s="7350" t="n"/>
      <c r="AI20" s="7350" t="n"/>
      <c r="AJ20" s="7350" t="n"/>
      <c r="AK20" s="7350" t="n"/>
      <c r="AL20" s="7350" t="n"/>
      <c r="AM20" s="7350" t="n"/>
      <c r="AN20" s="7350" t="n"/>
      <c r="AO20" s="7350" t="n"/>
      <c r="AP20" s="7350" t="n"/>
      <c r="AQ20" s="7350" t="n"/>
      <c r="AR20" s="7350" t="n"/>
      <c r="AS20" s="7350" t="n"/>
      <c r="AT20" s="3947" t="n"/>
      <c r="AU20" s="3976" t="n"/>
      <c r="AV20" s="3977" t="n"/>
      <c r="AW20" s="3978" t="n"/>
      <c r="AX20" s="3979" t="n"/>
      <c r="AY20" s="724" t="n"/>
      <c r="AZ20" s="724" t="n"/>
      <c r="BA20" s="3980" t="n"/>
      <c r="BB20" s="5873" t="n"/>
      <c r="BC20" s="512" t="n"/>
      <c r="BD20" s="5873" t="n"/>
      <c r="BE20" s="5873" t="n"/>
      <c r="BF20" s="689">
        <f>IF(OR(AND(OR(File_Single&lt;&gt;"",File_Head&lt;&gt;""),OR(sp_over_64&lt;&gt;"",sp_blind&lt;&gt;"")),NumFileStatusBoxes=0),0,SUM(BF14:BF17))</f>
        <v/>
      </c>
      <c r="BG20" s="9237" t="inlineStr">
        <is>
          <t>Total</t>
        </is>
      </c>
      <c r="BH20" s="3967" t="n"/>
      <c r="BI20" s="11602">
        <f>AND(File_Marr_Sep&lt;&gt;"",MFS_Spouse_NotFiling&lt;&gt;"",DependentSPOUSE="")</f>
        <v/>
      </c>
      <c r="BJ20" s="11602" t="n"/>
      <c r="BK20" s="11602" t="n"/>
      <c r="BL20" s="11602" t="n"/>
      <c r="BM20" s="11602" t="n"/>
      <c r="BN20" s="11602" t="n"/>
      <c r="BO20" s="11602" t="n"/>
      <c r="BP20" s="11602" t="n"/>
      <c r="BQ20" s="11602" t="n"/>
      <c r="BR20" s="11602" t="n"/>
      <c r="BS20" s="11602" t="n"/>
      <c r="BT20" s="11704" t="n"/>
      <c r="BU20" s="658" t="n"/>
      <c r="BV20" s="658" t="n"/>
      <c r="BW20" s="658" t="n"/>
      <c r="BX20" s="658" t="n"/>
      <c r="BY20" s="658" t="n"/>
      <c r="BZ20" s="658" t="n"/>
      <c r="CA20" s="658" t="n"/>
      <c r="CB20" s="658" t="n"/>
      <c r="CC20" s="658" t="n"/>
      <c r="CD20" s="658" t="n"/>
      <c r="CE20" s="658" t="n"/>
      <c r="CF20" s="658" t="n"/>
    </row>
    <row r="21" ht="9" customHeight="1" s="7635" thickBot="1">
      <c r="A21" s="139" t="n"/>
      <c r="F21" s="1858" t="n"/>
      <c r="G21" s="1829" t="n"/>
      <c r="H21" s="1829" t="n"/>
      <c r="I21" s="1829" t="n"/>
      <c r="J21" s="1829" t="n"/>
      <c r="K21" s="1829" t="n"/>
      <c r="L21" s="1829" t="n"/>
      <c r="M21" s="1829" t="n"/>
      <c r="N21" s="1829" t="n"/>
      <c r="O21" s="1829" t="n"/>
      <c r="P21" s="1829" t="n"/>
      <c r="Q21" s="1829" t="n"/>
      <c r="R21" s="1829" t="n"/>
      <c r="S21" s="1829" t="n"/>
      <c r="T21" s="1260" t="n"/>
      <c r="U21" s="1260" t="n"/>
      <c r="V21" s="1260" t="n"/>
      <c r="W21" s="1858" t="n"/>
      <c r="X21" s="1858" t="n"/>
      <c r="Y21" s="1829" t="n"/>
      <c r="Z21" s="1829" t="n"/>
      <c r="AA21" s="1829" t="n"/>
      <c r="AB21" s="1829" t="n"/>
      <c r="AC21" s="1829" t="n"/>
      <c r="AD21" s="1829" t="n"/>
      <c r="AE21" s="1829" t="n"/>
      <c r="AF21" s="1829" t="n"/>
      <c r="AG21" s="1829" t="n"/>
      <c r="AH21" s="1829" t="n"/>
      <c r="AI21" s="1829" t="n"/>
      <c r="AJ21" s="1829" t="n"/>
      <c r="AK21" s="1829" t="n"/>
      <c r="AL21" s="1829" t="n"/>
      <c r="AM21" s="1829" t="n"/>
      <c r="AN21" s="1829" t="n"/>
      <c r="AO21" s="1829" t="n"/>
      <c r="AP21" s="1829" t="n"/>
      <c r="AQ21" s="1829" t="n"/>
      <c r="AR21" s="1829" t="n"/>
      <c r="AS21" s="1859" t="n"/>
      <c r="AT21" s="3947" t="n"/>
      <c r="AU21" s="689" t="n"/>
      <c r="AV21" s="3972" t="n"/>
      <c r="AW21" s="3981" t="n"/>
      <c r="AX21" s="3982" t="n"/>
      <c r="AY21" s="3983" t="n"/>
      <c r="AZ21" s="3983" t="n"/>
      <c r="BA21" s="3974" t="n"/>
      <c r="BB21" s="5874" t="n"/>
      <c r="BC21" s="512" t="n"/>
      <c r="BD21" s="5874" t="n"/>
      <c r="BE21" s="5874" t="n"/>
      <c r="BF21" s="3984" t="n"/>
      <c r="BG21" s="3984" t="n"/>
      <c r="BH21" s="3984" t="n"/>
      <c r="BI21" s="11602" t="n"/>
      <c r="BJ21" s="11602" t="n"/>
      <c r="BK21" s="11602" t="n"/>
      <c r="BL21" s="11602" t="n"/>
      <c r="BM21" s="11602" t="n"/>
      <c r="BN21" s="11602" t="n"/>
      <c r="BO21" s="563" t="n"/>
      <c r="BP21" s="563" t="n"/>
      <c r="BQ21" s="563" t="n"/>
      <c r="BR21" s="11602" t="n"/>
      <c r="BS21" s="11602" t="n"/>
      <c r="BT21" s="11704" t="n"/>
      <c r="BU21" s="658" t="n"/>
      <c r="BV21" s="658" t="n"/>
      <c r="BW21" s="658" t="n"/>
      <c r="BX21" s="658" t="n"/>
      <c r="BY21" s="658" t="n"/>
      <c r="BZ21" s="658" t="n"/>
      <c r="CA21" s="658" t="n"/>
      <c r="CB21" s="658" t="n"/>
      <c r="CC21" s="658" t="n"/>
      <c r="CD21" s="658" t="n"/>
      <c r="CE21" s="658" t="n"/>
      <c r="CF21" s="658" t="n"/>
    </row>
    <row r="22" ht="16.5" customHeight="1" s="7635" thickBot="1">
      <c r="A22" s="139" t="n"/>
      <c r="B22" s="7038" t="inlineStr">
        <is>
          <t xml:space="preserve"> Check only
 one box</t>
        </is>
      </c>
      <c r="E22" s="11259" t="n"/>
      <c r="F22" s="276" t="n"/>
      <c r="G22" s="1857" t="inlineStr">
        <is>
          <t xml:space="preserve"> Married filing jointly (even if only one had income)</t>
        </is>
      </c>
      <c r="H22" s="1829" t="n"/>
      <c r="I22" s="1829" t="n"/>
      <c r="J22" s="1829" t="n"/>
      <c r="K22" s="1829" t="n"/>
      <c r="L22" s="1829" t="n"/>
      <c r="M22" s="1829" t="n"/>
      <c r="N22" s="1647" t="n"/>
      <c r="O22" s="1829" t="n"/>
      <c r="P22" s="1829" t="n"/>
      <c r="Q22" s="1829" t="n"/>
      <c r="R22" s="1829" t="n"/>
      <c r="S22" s="1829" t="n"/>
      <c r="T22" s="1260" t="n"/>
      <c r="U22" s="1261" t="n"/>
      <c r="V22" s="1261" t="n"/>
      <c r="W22" s="1829" t="n"/>
      <c r="X22" s="1829" t="n"/>
      <c r="Y22" s="1829" t="n"/>
      <c r="Z22" s="1829" t="n"/>
      <c r="AA22" s="3975" t="n"/>
      <c r="AB22" s="276" t="n"/>
      <c r="AC22" s="1857" t="inlineStr">
        <is>
          <t xml:space="preserve"> Qualifying Surviving Spouse (QSS)</t>
        </is>
      </c>
      <c r="AD22" s="7350" t="n"/>
      <c r="AE22" s="7350" t="n"/>
      <c r="AF22" s="7350" t="n"/>
      <c r="AG22" s="7350" t="n"/>
      <c r="AH22" s="7350" t="n"/>
      <c r="AI22" s="7350" t="n"/>
      <c r="AJ22" s="7350" t="n"/>
      <c r="AK22" s="7350" t="n"/>
      <c r="AL22" s="7350" t="n"/>
      <c r="AM22" s="7350" t="n"/>
      <c r="AN22" s="7350" t="n"/>
      <c r="AO22" s="7350" t="n"/>
      <c r="AP22" s="7350" t="n"/>
      <c r="AQ22" s="7350" t="n"/>
      <c r="AR22" s="7350" t="n"/>
      <c r="AS22" s="7350" t="n"/>
      <c r="AT22" s="3947" t="n"/>
      <c r="AU22" s="689" t="n"/>
      <c r="AV22" s="3972" t="n"/>
      <c r="AW22" s="3985">
        <f>IF(AW24,"Date of death ","")</f>
        <v/>
      </c>
      <c r="AX22" s="300" t="n"/>
      <c r="AY22" s="300" t="n"/>
      <c r="AZ22" s="300" t="n"/>
      <c r="BA22" s="3974" t="n"/>
      <c r="BB22" s="5874" t="n"/>
      <c r="BC22" s="512" t="n"/>
      <c r="BD22" s="5874" t="n"/>
      <c r="BE22" s="5874" t="n"/>
      <c r="BF22" s="3984" t="n"/>
      <c r="BG22" s="3984" t="n"/>
      <c r="BH22" s="3984" t="n"/>
      <c r="BI22" s="344">
        <f>AND(SpouseBirthMonth=1,SpouseBirthDay=1)</f>
        <v/>
      </c>
      <c r="BJ22" s="512" t="n"/>
      <c r="BK22" s="11602" t="n"/>
      <c r="BL22" s="11602" t="n"/>
      <c r="BM22" s="11602" t="n"/>
      <c r="BN22" s="11602" t="n"/>
      <c r="BO22" s="563" t="n"/>
      <c r="BP22" s="563" t="n"/>
      <c r="BQ22" s="563" t="n"/>
      <c r="BR22" s="11602" t="n"/>
      <c r="BS22" s="11602" t="n"/>
      <c r="BT22" s="11704" t="n"/>
      <c r="BU22" s="658" t="n"/>
      <c r="BV22" s="658" t="n"/>
      <c r="BW22" s="658" t="n"/>
      <c r="BX22" s="658" t="n"/>
      <c r="BY22" s="658" t="n"/>
      <c r="BZ22" s="658" t="n"/>
      <c r="CA22" s="658" t="n"/>
      <c r="CB22" s="658" t="n"/>
      <c r="CC22" s="658" t="n"/>
      <c r="CD22" s="658" t="n"/>
      <c r="CE22" s="658" t="n"/>
      <c r="CF22" s="658" t="n"/>
    </row>
    <row r="23" ht="9" customHeight="1" s="7635" thickBot="1">
      <c r="A23" s="139" t="n"/>
      <c r="E23" s="11259" t="n"/>
      <c r="F23" s="1858" t="n"/>
      <c r="G23" s="1829" t="n"/>
      <c r="H23" s="1829" t="n"/>
      <c r="I23" s="1829" t="n"/>
      <c r="J23" s="1829" t="n"/>
      <c r="K23" s="1829" t="n"/>
      <c r="L23" s="1829" t="n"/>
      <c r="M23" s="1829" t="n"/>
      <c r="N23" s="1829" t="n"/>
      <c r="O23" s="1829" t="n"/>
      <c r="P23" s="1829" t="n"/>
      <c r="Q23" s="1829" t="n"/>
      <c r="R23" s="1829" t="n"/>
      <c r="S23" s="1829" t="n"/>
      <c r="T23" s="1260" t="n"/>
      <c r="U23" s="1260" t="n"/>
      <c r="V23" s="1260" t="n"/>
      <c r="W23" s="1858" t="n"/>
      <c r="X23" s="1858" t="n"/>
      <c r="Y23" s="1829" t="n"/>
      <c r="Z23" s="1829" t="n"/>
      <c r="AA23" s="1829" t="n"/>
      <c r="AB23" s="7383" t="inlineStr">
        <is>
          <t>If you checked the HOH or QSS box, enter the child’s name
if the qualifying person is a child but not your dependent:</t>
        </is>
      </c>
      <c r="AT23" s="3947" t="n"/>
      <c r="AU23" s="689" t="n"/>
      <c r="AV23" s="3972" t="n"/>
      <c r="AW23" s="3981" t="n"/>
      <c r="AX23" s="11729">
        <f>IF(AND(SpouseDeceased&lt;&gt;"",OR(SpouseDeathMonth="",SpouseDeathDay="",SpouseDeathYear="")),"Enter date of spouse's death.",IF(AW25,"Spouse must have lived during "&amp;TaxYear&amp;" tax year.",IF(BadDeathDate,"The date of death appears to be in error.","")))</f>
        <v/>
      </c>
      <c r="AY23" s="2506" t="n"/>
      <c r="AZ23" s="2506" t="n"/>
      <c r="BA23" s="3974" t="n"/>
      <c r="BB23" s="5874" t="n"/>
      <c r="BC23" s="512" t="n"/>
      <c r="BD23" s="5874" t="n"/>
      <c r="BE23" s="5874" t="n"/>
      <c r="BF23" s="3984" t="n"/>
      <c r="BG23" s="3984" t="n"/>
      <c r="BH23" s="3984" t="n"/>
      <c r="BI23" s="11602" t="n"/>
      <c r="BJ23" s="344" t="n"/>
      <c r="BK23" s="11602" t="n"/>
      <c r="BL23" s="11602" t="n"/>
      <c r="BM23" s="11602" t="n"/>
      <c r="BN23" s="11602" t="n"/>
      <c r="BO23" s="563" t="n"/>
      <c r="BP23" s="563" t="n"/>
      <c r="BQ23" s="563" t="n"/>
      <c r="BR23" s="11602" t="n"/>
      <c r="BS23" s="11602" t="n"/>
      <c r="BT23" s="11704" t="n"/>
      <c r="BU23" s="658" t="n"/>
      <c r="BV23" s="658" t="n"/>
      <c r="BW23" s="658" t="n"/>
      <c r="BX23" s="658" t="n"/>
      <c r="BY23" s="658" t="n"/>
      <c r="BZ23" s="658" t="n"/>
      <c r="CA23" s="658" t="n"/>
      <c r="CB23" s="658" t="n"/>
      <c r="CC23" s="658" t="n"/>
      <c r="CD23" s="658" t="n"/>
      <c r="CE23" s="658" t="n"/>
      <c r="CF23" s="658" t="n"/>
    </row>
    <row r="24" ht="16.5" customHeight="1" s="7635" thickBot="1">
      <c r="A24" s="139" t="n"/>
      <c r="E24" s="11259" t="n"/>
      <c r="F24" s="276" t="n"/>
      <c r="G24" s="1857" t="inlineStr">
        <is>
          <t xml:space="preserve"> Married filing separately (MFS) Enter spouse's SSN above</t>
        </is>
      </c>
      <c r="H24" s="1829" t="n"/>
      <c r="I24" s="1829" t="n"/>
      <c r="J24" s="1829" t="n"/>
      <c r="K24" s="1829" t="n"/>
      <c r="L24" s="1829" t="n"/>
      <c r="M24" s="1829" t="n"/>
      <c r="N24" s="1829" t="n"/>
      <c r="O24" s="1829" t="n"/>
      <c r="P24" s="1829" t="n"/>
      <c r="Q24" s="1829" t="n"/>
      <c r="R24" s="1829" t="n"/>
      <c r="S24" s="1829" t="n"/>
      <c r="T24" s="1260" t="n"/>
      <c r="U24" s="1260" t="n"/>
      <c r="V24" s="1260" t="n"/>
      <c r="W24" s="1260" t="n"/>
      <c r="X24" s="1260" t="n"/>
      <c r="Y24" s="1260" t="n"/>
      <c r="Z24" s="1260" t="n"/>
      <c r="AA24" s="1260" t="n"/>
      <c r="AT24" s="3947" t="n"/>
      <c r="AU24" s="689" t="n"/>
      <c r="AV24" s="3972" t="n"/>
      <c r="AW24" s="3986">
        <f>AND($AV$17&lt;&gt;"",$BF$13)</f>
        <v/>
      </c>
      <c r="AX24" s="8848" t="n"/>
      <c r="AY24" s="8848" t="n"/>
      <c r="AZ24" s="8848" t="n"/>
      <c r="BA24" s="3974" t="n"/>
      <c r="BB24" s="5874" t="n"/>
      <c r="BC24" s="512" t="n"/>
      <c r="BD24" s="5874" t="n"/>
      <c r="BE24" s="5874" t="n"/>
      <c r="BF24" s="3984" t="n"/>
      <c r="BG24" s="3984" t="n"/>
      <c r="BH24" s="3984" t="n"/>
      <c r="BI24" s="338">
        <f>AND($AW$24,SpouseAge&gt;65)</f>
        <v/>
      </c>
      <c r="BJ24" s="339" t="inlineStr">
        <is>
          <t>Deceased spouse was &gt;65 years old.</t>
        </is>
      </c>
      <c r="BK24" s="377" t="n"/>
      <c r="BL24" s="377" t="n"/>
      <c r="BM24" s="378" t="n"/>
      <c r="BN24" s="11602" t="n"/>
      <c r="BO24" s="563" t="n"/>
      <c r="BP24" s="563" t="n"/>
      <c r="BQ24" s="563" t="n"/>
      <c r="BR24" s="11602" t="n"/>
      <c r="BS24" s="11602" t="n"/>
      <c r="BT24" s="11704" t="n"/>
      <c r="BU24" s="658" t="n"/>
      <c r="BV24" s="658" t="n"/>
      <c r="BW24" s="658" t="n"/>
      <c r="BX24" s="658" t="n"/>
      <c r="BY24" s="658" t="n"/>
      <c r="BZ24" s="658" t="n"/>
      <c r="CA24" s="658" t="n"/>
      <c r="CB24" s="658" t="n"/>
      <c r="CC24" s="658" t="n"/>
      <c r="CD24" s="658" t="n"/>
      <c r="CE24" s="658" t="n"/>
      <c r="CF24" s="658" t="n"/>
    </row>
    <row r="25" ht="15.75" customHeight="1" s="7635">
      <c r="A25" s="139" t="n"/>
      <c r="B25" s="11259" t="n"/>
      <c r="C25" s="7209" t="n"/>
      <c r="D25" s="11259" t="n"/>
      <c r="E25" s="11259" t="n"/>
      <c r="F25" s="1858" t="n"/>
      <c r="G25" s="1860" t="inlineStr">
        <is>
          <t>and full name here:</t>
        </is>
      </c>
      <c r="H25" s="1829" t="n"/>
      <c r="I25" s="1829" t="n"/>
      <c r="J25" s="1829" t="n"/>
      <c r="K25" s="1829" t="n"/>
      <c r="L25" s="1829" t="n"/>
      <c r="M25" s="1829" t="n"/>
      <c r="N25" s="7144" t="n"/>
      <c r="O25" s="11730" t="n"/>
      <c r="P25" s="11730" t="n"/>
      <c r="Q25" s="11730" t="n"/>
      <c r="R25" s="11730" t="n"/>
      <c r="S25" s="11730" t="n"/>
      <c r="T25" s="11730" t="n"/>
      <c r="U25" s="11730" t="n"/>
      <c r="V25" s="11730" t="n"/>
      <c r="W25" s="11730" t="n"/>
      <c r="X25" s="11730" t="n"/>
      <c r="Y25" s="11730" t="n"/>
      <c r="Z25" s="1260" t="n"/>
      <c r="AA25" s="1260" t="n"/>
      <c r="AB25" s="7144" t="n"/>
      <c r="AC25" s="11730" t="n"/>
      <c r="AD25" s="11730" t="n"/>
      <c r="AE25" s="11730" t="n"/>
      <c r="AF25" s="11730" t="n"/>
      <c r="AG25" s="11730" t="n"/>
      <c r="AH25" s="11730" t="n"/>
      <c r="AI25" s="11730" t="n"/>
      <c r="AJ25" s="11730" t="n"/>
      <c r="AK25" s="11730" t="n"/>
      <c r="AL25" s="11730" t="n"/>
      <c r="AM25" s="11730" t="n"/>
      <c r="AN25" s="11730" t="n"/>
      <c r="AO25" s="11730" t="n"/>
      <c r="AP25" s="11730" t="n"/>
      <c r="AQ25" s="11730" t="n"/>
      <c r="AR25" s="11730" t="n"/>
      <c r="AS25" s="11730" t="n"/>
      <c r="AT25" s="3947" t="n"/>
      <c r="AU25" s="689" t="n"/>
      <c r="AV25" s="3988" t="n"/>
      <c r="AW25" s="3988">
        <f>AND(SpouseDeceased&lt;&gt;"",SpouseDeathYear&lt;&gt;"",SpouseDeathYear&lt;&gt;TaxYear)</f>
        <v/>
      </c>
      <c r="AX25" s="3988" t="n"/>
      <c r="AY25" s="3988" t="n"/>
      <c r="AZ25" s="3988" t="n"/>
      <c r="BA25" s="3988" t="n"/>
      <c r="BB25" s="5874" t="n"/>
      <c r="BC25" s="512" t="n"/>
      <c r="BD25" s="5874" t="n"/>
      <c r="BE25" s="5874" t="n"/>
      <c r="BF25" s="3984" t="n"/>
      <c r="BG25" s="3984" t="n"/>
      <c r="BH25" s="3984" t="n"/>
      <c r="BI25" s="341">
        <f>AND($AW$24,SpouseAge=65)</f>
        <v/>
      </c>
      <c r="BJ25" s="344" t="inlineStr">
        <is>
          <t>Deceased turned 65 years old during tax year.</t>
        </is>
      </c>
      <c r="BK25" s="11602" t="n"/>
      <c r="BL25" s="11602" t="n"/>
      <c r="BM25" s="379" t="n"/>
      <c r="BN25" s="11602" t="n"/>
      <c r="BO25" s="563" t="n"/>
      <c r="BP25" s="563" t="n"/>
      <c r="BQ25" s="563" t="n"/>
      <c r="BR25" s="11602" t="n"/>
      <c r="BS25" s="11602" t="n"/>
      <c r="BT25" s="11704" t="n"/>
      <c r="BU25" s="658" t="n"/>
      <c r="BV25" s="658" t="n"/>
      <c r="BW25" s="658" t="n"/>
      <c r="BX25" s="658" t="n"/>
      <c r="BY25" s="658" t="n"/>
      <c r="BZ25" s="658" t="n"/>
      <c r="CA25" s="658" t="n"/>
      <c r="CB25" s="658" t="n"/>
      <c r="CC25" s="658" t="n"/>
      <c r="CD25" s="658" t="n"/>
      <c r="CE25" s="658" t="n"/>
      <c r="CF25" s="658" t="n"/>
    </row>
    <row r="26" ht="8.25" customHeight="1" s="7635">
      <c r="A26" s="139" t="n"/>
      <c r="B26" s="11259" t="n"/>
      <c r="C26" s="7209" t="n"/>
      <c r="D26" s="11259" t="n"/>
      <c r="E26" s="11259" t="n"/>
      <c r="F26" s="1858" t="n"/>
      <c r="G26" s="1860" t="n"/>
      <c r="H26" s="1829" t="n"/>
      <c r="I26" s="1829" t="n"/>
      <c r="J26" s="1829" t="n"/>
      <c r="K26" s="1829" t="n"/>
      <c r="L26" s="1829" t="n"/>
      <c r="M26" s="1829" t="n"/>
      <c r="N26" s="1829" t="n"/>
      <c r="O26" s="1829" t="n"/>
      <c r="P26" s="1829" t="n"/>
      <c r="Q26" s="1829" t="n"/>
      <c r="R26" s="1829" t="n"/>
      <c r="S26" s="1829" t="n"/>
      <c r="T26" s="1829" t="n"/>
      <c r="U26" s="1829" t="n"/>
      <c r="V26" s="1829" t="n"/>
      <c r="W26" s="1829" t="n"/>
      <c r="X26" s="1829" t="n"/>
      <c r="Y26" s="1829" t="n"/>
      <c r="Z26" s="1829" t="n"/>
      <c r="AA26" s="1829" t="n"/>
      <c r="AB26" s="1829" t="n"/>
      <c r="AC26" s="1829" t="n"/>
      <c r="AD26" s="1829" t="n"/>
      <c r="AE26" s="1829" t="n"/>
      <c r="AF26" s="1829" t="n"/>
      <c r="AG26" s="1829" t="n"/>
      <c r="AH26" s="1829" t="n"/>
      <c r="AI26" s="1829" t="n"/>
      <c r="AJ26" s="1829" t="n"/>
      <c r="AK26" s="1829" t="n"/>
      <c r="AL26" s="1829" t="n"/>
      <c r="AM26" s="1829" t="n"/>
      <c r="AN26" s="1829" t="n"/>
      <c r="AO26" s="1829" t="n"/>
      <c r="AP26" s="1829" t="n"/>
      <c r="AQ26" s="1829" t="n"/>
      <c r="AR26" s="1829" t="n"/>
      <c r="AS26" s="1829" t="n"/>
      <c r="AT26" s="3947" t="n"/>
      <c r="AU26" s="689" t="n"/>
      <c r="AV26" s="512" t="n"/>
      <c r="AW26" s="512" t="n"/>
      <c r="AX26" s="512" t="n"/>
      <c r="AY26" s="512" t="n"/>
      <c r="AZ26" s="512" t="n"/>
      <c r="BA26" s="512" t="n"/>
      <c r="BB26" s="5874" t="n"/>
      <c r="BC26" s="512" t="n"/>
      <c r="BD26" s="5874" t="n"/>
      <c r="BE26" s="5874" t="n"/>
      <c r="BF26" s="3984" t="n"/>
      <c r="BG26" s="3984" t="n"/>
      <c r="BH26" s="3984" t="n"/>
      <c r="BI26" s="341" t="n"/>
      <c r="BJ26" s="344" t="n"/>
      <c r="BK26" s="11602" t="n"/>
      <c r="BL26" s="11602" t="n"/>
      <c r="BM26" s="379" t="n"/>
      <c r="BN26" s="11602" t="n"/>
      <c r="BO26" s="563" t="n"/>
      <c r="BP26" s="563" t="n"/>
      <c r="BQ26" s="563" t="n"/>
      <c r="BR26" s="11602" t="n"/>
      <c r="BS26" s="11602" t="n"/>
      <c r="BT26" s="11704" t="n"/>
      <c r="BU26" s="658" t="n"/>
      <c r="BV26" s="658" t="n"/>
      <c r="BW26" s="658" t="n"/>
      <c r="BX26" s="658" t="n"/>
      <c r="BY26" s="658" t="n"/>
      <c r="BZ26" s="658" t="n"/>
      <c r="CA26" s="658" t="n"/>
      <c r="CB26" s="658" t="n"/>
      <c r="CC26" s="658" t="n"/>
      <c r="CD26" s="658" t="n"/>
      <c r="CE26" s="658" t="n"/>
      <c r="CF26" s="658" t="n"/>
    </row>
    <row r="27" ht="14.25" customHeight="1" s="7635">
      <c r="A27" s="139" t="n"/>
      <c r="B27" s="11259" t="n"/>
      <c r="C27" s="7123" t="n"/>
      <c r="D27" s="1861" t="n"/>
      <c r="E27" s="1861" t="n"/>
      <c r="F27" s="276" t="n"/>
      <c r="G27" s="3989" t="inlineStr">
        <is>
          <t>If treating a nonresident alien or dual-status alien spouse as a U.S. resident for the entire tax year, check the box and enter their</t>
        </is>
      </c>
      <c r="H27" s="1829" t="n"/>
      <c r="I27" s="1829" t="n"/>
      <c r="J27" s="1829" t="n"/>
      <c r="K27" s="1829" t="n"/>
      <c r="L27" s="1829" t="n"/>
      <c r="M27" s="1829" t="n"/>
      <c r="N27" s="1829" t="n"/>
      <c r="O27" s="1829" t="n"/>
      <c r="P27" s="1829" t="n"/>
      <c r="Q27" s="1829" t="n"/>
      <c r="R27" s="1829" t="n"/>
      <c r="S27" s="1829" t="n"/>
      <c r="T27" s="1260" t="n"/>
      <c r="U27" s="1260" t="n"/>
      <c r="V27" s="1260" t="n"/>
      <c r="W27" s="1858" t="n"/>
      <c r="X27" s="1858" t="n"/>
      <c r="Y27" s="1858" t="n"/>
      <c r="Z27" s="1858" t="n"/>
      <c r="AA27" s="1858" t="n"/>
      <c r="AB27" s="1858" t="n"/>
      <c r="AC27" s="1858" t="n"/>
      <c r="AD27" s="1858" t="n"/>
      <c r="AE27" s="1858" t="n"/>
      <c r="AF27" s="1858" t="n"/>
      <c r="AG27" s="1858" t="n"/>
      <c r="AH27" s="1858" t="n"/>
      <c r="AI27" s="1858" t="n"/>
      <c r="AJ27" s="1858" t="n"/>
      <c r="AK27" s="1858" t="n"/>
      <c r="AL27" s="1829" t="n"/>
      <c r="AM27" s="1829" t="n"/>
      <c r="AN27" s="1829" t="n"/>
      <c r="AO27" s="1829" t="n"/>
      <c r="AP27" s="1829" t="n"/>
      <c r="AQ27" s="1829" t="n"/>
      <c r="AR27" s="1829" t="n"/>
      <c r="AS27" s="1859" t="n"/>
      <c r="AT27" s="3947" t="n"/>
      <c r="AU27" s="689" t="n"/>
      <c r="AV27" s="512" t="n"/>
      <c r="AW27" s="512" t="n"/>
      <c r="AX27" s="512" t="n"/>
      <c r="AY27" s="512" t="n"/>
      <c r="AZ27" s="512" t="n"/>
      <c r="BA27" s="512" t="n"/>
      <c r="BB27" s="5874" t="n"/>
      <c r="BC27" s="512" t="n"/>
      <c r="BD27" s="5874" t="n"/>
      <c r="BE27" s="5874" t="n"/>
      <c r="BF27" s="11602" t="n"/>
      <c r="BG27" s="11602" t="n"/>
      <c r="BH27" s="11602" t="n"/>
      <c r="BI27" s="341">
        <f>AND($AW$24,OR(SpouseDeathMonth&lt;SpouseBirthMonth,AND(SpouseDeathMonth=SpouseBirthMonth,SpouseDeathDay&lt;SpouseBirthDay)))</f>
        <v/>
      </c>
      <c r="BJ27" s="344" t="inlineStr">
        <is>
          <t>Spouse passed way before birthday</t>
        </is>
      </c>
      <c r="BK27" s="11602" t="n"/>
      <c r="BL27" s="11602" t="n"/>
      <c r="BM27" s="379" t="n"/>
      <c r="BN27" s="11602" t="n"/>
      <c r="BO27" s="563" t="n"/>
      <c r="BP27" s="563" t="n"/>
      <c r="BQ27" s="563" t="n"/>
      <c r="BR27" s="11602" t="n"/>
      <c r="BS27" s="11602" t="n"/>
      <c r="BT27" s="11704" t="n"/>
      <c r="BU27" s="658" t="n"/>
      <c r="BV27" s="658" t="n"/>
      <c r="BW27" s="658" t="n"/>
      <c r="BX27" s="658" t="n"/>
      <c r="BY27" s="658" t="n"/>
      <c r="BZ27" s="658" t="n"/>
      <c r="CA27" s="658" t="n"/>
      <c r="CB27" s="658" t="n"/>
      <c r="CC27" s="658" t="n"/>
      <c r="CD27" s="658" t="n"/>
      <c r="CE27" s="658" t="n"/>
      <c r="CF27" s="658" t="n"/>
    </row>
    <row r="28" ht="14.25" customHeight="1" s="7635" thickBot="1">
      <c r="A28" s="139" t="n"/>
      <c r="B28" s="11259" t="n"/>
      <c r="C28" s="7123" t="n"/>
      <c r="D28" s="1861" t="n"/>
      <c r="E28" s="1861" t="n"/>
      <c r="F28" s="7174" t="n"/>
      <c r="G28" s="3989" t="inlineStr">
        <is>
          <t>name (see instructions and attach statement if required):</t>
        </is>
      </c>
      <c r="H28" s="1829" t="n"/>
      <c r="I28" s="1829" t="n"/>
      <c r="J28" s="1829" t="n"/>
      <c r="K28" s="1829" t="n"/>
      <c r="L28" s="1829" t="n"/>
      <c r="M28" s="1829" t="n"/>
      <c r="N28" s="1829" t="n"/>
      <c r="O28" s="1829" t="n"/>
      <c r="P28" s="1829" t="n"/>
      <c r="Q28" s="1829" t="n"/>
      <c r="R28" s="1829" t="n"/>
      <c r="S28" s="1829" t="n"/>
      <c r="T28" s="1829" t="n"/>
      <c r="U28" s="1829" t="n"/>
      <c r="V28" s="1829" t="n"/>
      <c r="W28" s="1829" t="n"/>
      <c r="X28" s="1829" t="n"/>
      <c r="Y28" s="1829" t="n"/>
      <c r="Z28" s="1829" t="n"/>
      <c r="AA28" s="7374" t="n"/>
      <c r="AB28" s="11730" t="n"/>
      <c r="AC28" s="11730" t="n"/>
      <c r="AD28" s="11730" t="n"/>
      <c r="AE28" s="11730" t="n"/>
      <c r="AF28" s="11730" t="n"/>
      <c r="AG28" s="11730" t="n"/>
      <c r="AH28" s="11730" t="n"/>
      <c r="AI28" s="11730" t="n"/>
      <c r="AJ28" s="11730" t="n"/>
      <c r="AK28" s="11730" t="n"/>
      <c r="AL28" s="11730" t="n"/>
      <c r="AM28" s="11730" t="n"/>
      <c r="AN28" s="11730" t="n"/>
      <c r="AO28" s="11730" t="n"/>
      <c r="AP28" s="11730" t="n"/>
      <c r="AQ28" s="11730" t="n"/>
      <c r="AR28" s="11730" t="n"/>
      <c r="AS28" s="11730" t="n"/>
      <c r="AT28" s="3947" t="n"/>
      <c r="AU28" s="689" t="n"/>
      <c r="AV28" s="512" t="n"/>
      <c r="AW28" s="512" t="n"/>
      <c r="AX28" s="512" t="n"/>
      <c r="AY28" s="512" t="n"/>
      <c r="AZ28" s="512" t="n"/>
      <c r="BA28" s="512" t="n"/>
      <c r="BB28" s="5874" t="n"/>
      <c r="BC28" s="512" t="n"/>
      <c r="BD28" s="5874" t="n"/>
      <c r="BE28" s="5874" t="n"/>
      <c r="BF28" s="11602" t="n"/>
      <c r="BG28" s="11602" t="n"/>
      <c r="BH28" s="11602" t="n"/>
      <c r="BI28" s="347">
        <f>OR(BI24,AND(BI25,NOT(BI27)))</f>
        <v/>
      </c>
      <c r="BJ28" s="498" t="inlineStr">
        <is>
          <t>Deceased spouse std. deduct. Credit for &gt;64</t>
        </is>
      </c>
      <c r="BK28" s="380" t="n"/>
      <c r="BL28" s="380" t="n"/>
      <c r="BM28" s="381" t="n"/>
      <c r="BN28" s="11602" t="n"/>
      <c r="BO28" s="563" t="n"/>
      <c r="BP28" s="563" t="n"/>
      <c r="BQ28" s="563" t="n"/>
      <c r="BR28" s="11602" t="n"/>
      <c r="BS28" s="11602" t="n"/>
      <c r="BT28" s="11704" t="n"/>
      <c r="BU28" s="658" t="n"/>
      <c r="BV28" s="658" t="n"/>
      <c r="BW28" s="658" t="n"/>
      <c r="BX28" s="658" t="n"/>
      <c r="BY28" s="658" t="n"/>
      <c r="BZ28" s="658" t="n"/>
      <c r="CA28" s="658" t="n"/>
      <c r="CB28" s="658" t="n"/>
      <c r="CC28" s="658" t="n"/>
      <c r="CD28" s="658" t="n"/>
      <c r="CE28" s="658" t="n"/>
      <c r="CF28" s="658" t="n"/>
    </row>
    <row r="29" ht="4.5" customHeight="1" s="7635">
      <c r="A29" s="139" t="n"/>
      <c r="B29" s="1863" t="n"/>
      <c r="C29" s="1864" t="n"/>
      <c r="D29" s="1865" t="n"/>
      <c r="E29" s="1865" t="n"/>
      <c r="F29" s="1866" t="n"/>
      <c r="G29" s="1867" t="n"/>
      <c r="H29" s="1867" t="n"/>
      <c r="I29" s="1867" t="n"/>
      <c r="J29" s="1867" t="n"/>
      <c r="K29" s="1867" t="n"/>
      <c r="L29" s="1867" t="n"/>
      <c r="M29" s="1867" t="n"/>
      <c r="N29" s="1867" t="n"/>
      <c r="O29" s="1867" t="n"/>
      <c r="P29" s="1867" t="n"/>
      <c r="Q29" s="1867" t="n"/>
      <c r="R29" s="1867" t="n"/>
      <c r="S29" s="1867" t="n"/>
      <c r="T29" s="1867" t="n"/>
      <c r="U29" s="1867" t="n"/>
      <c r="V29" s="1867" t="n"/>
      <c r="W29" s="1867" t="n"/>
      <c r="X29" s="1867" t="n"/>
      <c r="Y29" s="1867" t="n"/>
      <c r="Z29" s="1867" t="n"/>
      <c r="AA29" s="1867" t="n"/>
      <c r="AB29" s="1867" t="n"/>
      <c r="AC29" s="1867" t="n"/>
      <c r="AD29" s="1867" t="n"/>
      <c r="AE29" s="1867" t="n"/>
      <c r="AF29" s="1867" t="n"/>
      <c r="AG29" s="1867" t="n"/>
      <c r="AH29" s="1867" t="n"/>
      <c r="AI29" s="1867" t="n"/>
      <c r="AJ29" s="1867" t="n"/>
      <c r="AK29" s="1867" t="n"/>
      <c r="AL29" s="1867" t="n"/>
      <c r="AM29" s="1867" t="n"/>
      <c r="AN29" s="1867" t="n"/>
      <c r="AO29" s="1867" t="n"/>
      <c r="AP29" s="1867" t="n"/>
      <c r="AQ29" s="1867" t="n"/>
      <c r="AR29" s="1867" t="n"/>
      <c r="AS29" s="1867" t="n"/>
      <c r="AT29" s="3947" t="n"/>
      <c r="AU29" s="689" t="n"/>
      <c r="AV29" s="512" t="n"/>
      <c r="AW29" s="512" t="n"/>
      <c r="AX29" s="512" t="n"/>
      <c r="AY29" s="512" t="n"/>
      <c r="AZ29" s="512" t="n"/>
      <c r="BA29" s="512" t="n"/>
      <c r="BB29" s="5874" t="n"/>
      <c r="BC29" s="512" t="n"/>
      <c r="BD29" s="5874" t="n"/>
      <c r="BE29" s="5874" t="n"/>
      <c r="BF29" s="11602" t="n"/>
      <c r="BG29" s="11602" t="n"/>
      <c r="BH29" s="11602" t="n"/>
      <c r="BI29" s="11602" t="n"/>
      <c r="BJ29" s="344" t="n"/>
      <c r="BK29" s="11602" t="n"/>
      <c r="BL29" s="11602" t="n"/>
      <c r="BM29" s="11602" t="n"/>
      <c r="BN29" s="11602" t="n"/>
      <c r="BO29" s="563" t="n"/>
      <c r="BP29" s="563" t="n"/>
      <c r="BQ29" s="563" t="n"/>
      <c r="BR29" s="11602" t="n"/>
      <c r="BS29" s="11602" t="n"/>
      <c r="BT29" s="11704" t="n"/>
      <c r="BU29" s="658" t="n"/>
      <c r="BV29" s="658" t="n"/>
      <c r="BW29" s="658" t="n"/>
      <c r="BX29" s="658" t="n"/>
      <c r="BY29" s="658" t="n"/>
      <c r="BZ29" s="658" t="n"/>
      <c r="CA29" s="658" t="n"/>
      <c r="CB29" s="658" t="n"/>
      <c r="CC29" s="658" t="n"/>
      <c r="CD29" s="658" t="n"/>
      <c r="CE29" s="658" t="n"/>
      <c r="CF29" s="658" t="n"/>
    </row>
    <row r="30" ht="5.25" customHeight="1" s="7635">
      <c r="A30" s="139" t="n"/>
      <c r="B30" s="11731" t="inlineStr">
        <is>
          <t>Digital Assets</t>
        </is>
      </c>
      <c r="C30" s="7839" t="n"/>
      <c r="D30" s="7839" t="n"/>
      <c r="E30" s="3990" t="n"/>
      <c r="F30" s="11732">
        <f>"At any time during "&amp;TaxYear&amp;", did you (a) receive (as a reward, award, or payment for property or service); or (b) sell, "&amp;CHAR(10)&amp;"exchange, gift, or otherwise dispose of a digital asset (or a financial interest in a digital asset)? (See instructions.)"</f>
        <v/>
      </c>
      <c r="G30" s="7839" t="n"/>
      <c r="H30" s="7839" t="n"/>
      <c r="I30" s="7839" t="n"/>
      <c r="J30" s="7839" t="n"/>
      <c r="K30" s="7839" t="n"/>
      <c r="L30" s="7839" t="n"/>
      <c r="M30" s="7839" t="n"/>
      <c r="N30" s="7839" t="n"/>
      <c r="O30" s="7839" t="n"/>
      <c r="P30" s="7839" t="n"/>
      <c r="Q30" s="7839" t="n"/>
      <c r="R30" s="7839" t="n"/>
      <c r="S30" s="7839" t="n"/>
      <c r="T30" s="7839" t="n"/>
      <c r="U30" s="7839" t="n"/>
      <c r="V30" s="7839" t="n"/>
      <c r="W30" s="7839" t="n"/>
      <c r="X30" s="7839" t="n"/>
      <c r="Y30" s="7839" t="n"/>
      <c r="Z30" s="7839" t="n"/>
      <c r="AA30" s="7839" t="n"/>
      <c r="AB30" s="7839" t="n"/>
      <c r="AC30" s="7839" t="n"/>
      <c r="AD30" s="7839" t="n"/>
      <c r="AE30" s="7839" t="n"/>
      <c r="AF30" s="7839" t="n"/>
      <c r="AG30" s="7839" t="n"/>
      <c r="AH30" s="7839" t="n"/>
      <c r="AI30" s="7839" t="n"/>
      <c r="AJ30" s="7839" t="n"/>
      <c r="AK30" s="7839" t="n"/>
      <c r="AL30" s="1868" t="n"/>
      <c r="AM30" s="1868" t="n"/>
      <c r="AN30" s="1868" t="n"/>
      <c r="AO30" s="1868" t="n"/>
      <c r="AP30" s="1868" t="n"/>
      <c r="AQ30" s="1868" t="n"/>
      <c r="AR30" s="1868" t="n"/>
      <c r="AS30" s="1827" t="n"/>
      <c r="AT30" s="3335" t="n"/>
      <c r="AU30" s="689" t="n"/>
      <c r="AV30" s="512" t="n"/>
      <c r="AW30" s="512" t="n"/>
      <c r="AX30" s="512" t="n"/>
      <c r="AY30" s="512" t="n"/>
      <c r="AZ30" s="512" t="n"/>
      <c r="BA30" s="512" t="n"/>
      <c r="BB30" s="5874" t="n"/>
      <c r="BC30" s="512" t="n"/>
      <c r="BD30" s="5874" t="n"/>
      <c r="BE30" s="5874" t="n"/>
      <c r="BF30" s="11602" t="n"/>
      <c r="BG30" s="11602" t="n"/>
      <c r="BH30" s="11602" t="n"/>
      <c r="BI30" s="11602" t="n"/>
      <c r="BJ30" s="344" t="n"/>
      <c r="BK30" s="11602" t="n"/>
      <c r="BL30" s="11602" t="n"/>
      <c r="BM30" s="11602" t="n"/>
      <c r="BN30" s="11602" t="n"/>
      <c r="BO30" s="563" t="n"/>
      <c r="BP30" s="563" t="n"/>
      <c r="BQ30" s="563" t="n"/>
      <c r="BR30" s="11602" t="n"/>
      <c r="BS30" s="11602" t="n"/>
      <c r="BT30" s="11704" t="n"/>
      <c r="BU30" s="658" t="n"/>
      <c r="BV30" s="658" t="n"/>
      <c r="BW30" s="658" t="n"/>
      <c r="BX30" s="658" t="n"/>
      <c r="BY30" s="658" t="n"/>
      <c r="BZ30" s="658" t="n"/>
      <c r="CA30" s="658" t="n"/>
      <c r="CB30" s="658" t="n"/>
      <c r="CC30" s="658" t="n"/>
      <c r="CD30" s="658" t="n"/>
      <c r="CE30" s="658" t="n"/>
      <c r="CF30" s="658" t="n"/>
    </row>
    <row r="31" ht="15.75" customHeight="1" s="7635">
      <c r="A31" s="139" t="n"/>
      <c r="E31" s="3991" t="n"/>
      <c r="AL31" s="1868" t="n"/>
      <c r="AM31" s="276" t="n"/>
      <c r="AN31" s="1847" t="inlineStr">
        <is>
          <t>Yes</t>
        </is>
      </c>
      <c r="AO31" s="1868" t="n"/>
      <c r="AP31" s="1868" t="n"/>
      <c r="AQ31" s="276" t="n"/>
      <c r="AR31" s="1847" t="inlineStr">
        <is>
          <t>No</t>
        </is>
      </c>
      <c r="AS31" s="1827" t="n"/>
      <c r="AT31" s="3335" t="n"/>
      <c r="AU31" s="4776">
        <f>IF(AND(DigitalAsset_Yes="",DigitalAsset_No=""),"&lt;&lt; Check one.","")</f>
        <v/>
      </c>
      <c r="AV31" s="512" t="n"/>
      <c r="AW31" s="512" t="n"/>
      <c r="AX31" s="512" t="n"/>
      <c r="AY31" s="512" t="n"/>
      <c r="AZ31" s="3983" t="n"/>
      <c r="BA31" s="3992" t="n"/>
      <c r="BB31" s="5874" t="n"/>
      <c r="BC31" s="512" t="n"/>
      <c r="BD31" s="5874" t="n"/>
      <c r="BE31" s="5874" t="n"/>
      <c r="BF31" s="11602" t="n"/>
      <c r="BG31" s="11602" t="n"/>
      <c r="BH31" s="11602" t="n"/>
      <c r="BI31" s="11602" t="n"/>
      <c r="BJ31" s="11602" t="n"/>
      <c r="BK31" s="11602" t="n"/>
      <c r="BL31" s="11602" t="n"/>
      <c r="BM31" s="11602" t="n"/>
      <c r="BN31" s="11602" t="n"/>
      <c r="BO31" s="563" t="n"/>
      <c r="BP31" s="563" t="n"/>
      <c r="BQ31" s="563" t="n"/>
      <c r="BR31" s="11602" t="n"/>
      <c r="BS31" s="11602" t="n"/>
      <c r="BT31" s="11704" t="n"/>
      <c r="BU31" s="658" t="n"/>
      <c r="BV31" s="658" t="n"/>
      <c r="BW31" s="658" t="n"/>
      <c r="BX31" s="658" t="n"/>
      <c r="BY31" s="658" t="n"/>
      <c r="BZ31" s="658" t="n"/>
      <c r="CA31" s="658" t="n"/>
      <c r="CB31" s="658" t="n"/>
      <c r="CC31" s="658" t="n"/>
      <c r="CD31" s="658" t="n"/>
      <c r="CE31" s="658" t="n"/>
      <c r="CF31" s="658" t="n"/>
    </row>
    <row r="32" ht="9.75" customHeight="1" s="7635">
      <c r="A32" s="139" t="n"/>
      <c r="B32" s="7637" t="n"/>
      <c r="C32" s="7637" t="n"/>
      <c r="D32" s="7637" t="n"/>
      <c r="E32" s="3993" t="n"/>
      <c r="F32" s="7637" t="n"/>
      <c r="G32" s="7637" t="n"/>
      <c r="H32" s="7637" t="n"/>
      <c r="I32" s="7637" t="n"/>
      <c r="J32" s="7637" t="n"/>
      <c r="K32" s="7637" t="n"/>
      <c r="L32" s="7637" t="n"/>
      <c r="M32" s="7637" t="n"/>
      <c r="N32" s="7637" t="n"/>
      <c r="O32" s="7637" t="n"/>
      <c r="P32" s="7637" t="n"/>
      <c r="Q32" s="7637" t="n"/>
      <c r="R32" s="7637" t="n"/>
      <c r="S32" s="7637" t="n"/>
      <c r="T32" s="7637" t="n"/>
      <c r="U32" s="7637" t="n"/>
      <c r="V32" s="7637" t="n"/>
      <c r="W32" s="7637" t="n"/>
      <c r="X32" s="7637" t="n"/>
      <c r="Y32" s="7637" t="n"/>
      <c r="Z32" s="7637" t="n"/>
      <c r="AA32" s="7637" t="n"/>
      <c r="AB32" s="7637" t="n"/>
      <c r="AC32" s="7637" t="n"/>
      <c r="AD32" s="7637" t="n"/>
      <c r="AE32" s="7637" t="n"/>
      <c r="AF32" s="7637" t="n"/>
      <c r="AG32" s="7637" t="n"/>
      <c r="AH32" s="7637" t="n"/>
      <c r="AI32" s="7637" t="n"/>
      <c r="AJ32" s="7637" t="n"/>
      <c r="AK32" s="7637" t="n"/>
      <c r="AL32" s="1869" t="n"/>
      <c r="AM32" s="1869" t="n"/>
      <c r="AN32" s="1869" t="n"/>
      <c r="AO32" s="1870" t="n"/>
      <c r="AP32" s="1870" t="n"/>
      <c r="AQ32" s="1870" t="n"/>
      <c r="AR32" s="1870" t="n"/>
      <c r="AS32" s="1870" t="n"/>
      <c r="AT32" s="3335" t="n"/>
      <c r="AU32" s="689" t="n"/>
      <c r="AV32" s="3994" t="n"/>
      <c r="AW32" s="3981" t="n"/>
      <c r="AX32" s="3982" t="n"/>
      <c r="AY32" s="3983" t="n"/>
      <c r="AZ32" s="3983" t="n"/>
      <c r="BA32" s="3992" t="n"/>
      <c r="BB32" s="5874" t="n"/>
      <c r="BC32" s="512" t="n"/>
      <c r="BD32" s="5874" t="n"/>
      <c r="BE32" s="5874" t="n"/>
      <c r="BF32" s="11602" t="n"/>
      <c r="BG32" s="11602" t="n"/>
      <c r="BH32" s="11602" t="n"/>
      <c r="BI32" s="11602" t="n"/>
      <c r="BJ32" s="11602" t="n"/>
      <c r="BK32" s="11602" t="n"/>
      <c r="BL32" s="11602" t="n"/>
      <c r="BM32" s="11602" t="n"/>
      <c r="BN32" s="11602" t="n"/>
      <c r="BO32" s="563" t="n"/>
      <c r="BP32" s="563" t="n"/>
      <c r="BQ32" s="563" t="n"/>
      <c r="BR32" s="11602" t="n"/>
      <c r="BS32" s="11602" t="n"/>
      <c r="BT32" s="11704" t="n"/>
      <c r="BU32" s="658" t="n"/>
      <c r="BV32" s="658" t="n"/>
      <c r="BW32" s="658" t="n"/>
      <c r="BX32" s="658" t="n"/>
      <c r="BY32" s="658" t="n"/>
      <c r="BZ32" s="658" t="n"/>
      <c r="CA32" s="658" t="n"/>
      <c r="CB32" s="658" t="n"/>
      <c r="CC32" s="658" t="n"/>
      <c r="CD32" s="658" t="n"/>
      <c r="CE32" s="658" t="n"/>
      <c r="CF32" s="658" t="n"/>
    </row>
    <row r="33" ht="16.5" customHeight="1" s="7635">
      <c r="A33" s="139" t="n"/>
      <c r="B33" s="4472" t="inlineStr">
        <is>
          <t>Dependents</t>
        </is>
      </c>
      <c r="C33" s="5789" t="n"/>
      <c r="D33" s="5789" t="n"/>
      <c r="E33" s="5789" t="n"/>
      <c r="F33" s="5839" t="n"/>
      <c r="G33" s="5839" t="n"/>
      <c r="H33" s="5839" t="n"/>
      <c r="I33" s="5839" t="n"/>
      <c r="J33" s="5839" t="n"/>
      <c r="K33" s="5839" t="n"/>
      <c r="L33" s="11733" t="inlineStr">
        <is>
          <t>Dependent 1</t>
        </is>
      </c>
      <c r="M33" s="8412" t="n"/>
      <c r="N33" s="8412" t="n"/>
      <c r="O33" s="8412" t="n"/>
      <c r="P33" s="8412" t="n"/>
      <c r="Q33" s="8412" t="n"/>
      <c r="R33" s="8412" t="n"/>
      <c r="S33" s="8412" t="n"/>
      <c r="T33" s="11734" t="n"/>
      <c r="U33" s="11733" t="inlineStr">
        <is>
          <t>Dependent 2</t>
        </is>
      </c>
      <c r="V33" s="8412" t="n"/>
      <c r="W33" s="8412" t="n"/>
      <c r="X33" s="8412" t="n"/>
      <c r="Y33" s="8412" t="n"/>
      <c r="Z33" s="8412" t="n"/>
      <c r="AA33" s="8412" t="n"/>
      <c r="AB33" s="8412" t="n"/>
      <c r="AC33" s="11734" t="n"/>
      <c r="AD33" s="11733" t="inlineStr">
        <is>
          <t>Dependent 3</t>
        </is>
      </c>
      <c r="AE33" s="8412" t="n"/>
      <c r="AF33" s="8412" t="n"/>
      <c r="AG33" s="8412" t="n"/>
      <c r="AH33" s="8412" t="n"/>
      <c r="AI33" s="8412" t="n"/>
      <c r="AJ33" s="8412" t="n"/>
      <c r="AK33" s="11734" t="n"/>
      <c r="AL33" s="7145" t="inlineStr">
        <is>
          <t>Dependent 4</t>
        </is>
      </c>
      <c r="AM33" s="8412" t="n"/>
      <c r="AN33" s="8412" t="n"/>
      <c r="AO33" s="8412" t="n"/>
      <c r="AP33" s="8412" t="n"/>
      <c r="AQ33" s="8412" t="n"/>
      <c r="AR33" s="8412" t="n"/>
      <c r="AS33" s="8412" t="n"/>
      <c r="AT33" s="3997" t="n"/>
      <c r="AU33" s="7432" t="inlineStr">
        <is>
          <t>Enter information for dependents on the 'Dependents' sheet.</t>
        </is>
      </c>
      <c r="AV33" s="512" t="n"/>
      <c r="AW33" s="3961" t="n"/>
      <c r="AX33" s="512" t="n"/>
      <c r="AY33" s="512" t="n"/>
      <c r="AZ33" s="11602" t="n"/>
      <c r="BA33" s="11602" t="n"/>
      <c r="BB33" s="512" t="n"/>
      <c r="BC33" s="1318" t="n"/>
      <c r="BD33" s="512" t="n"/>
      <c r="BE33" s="512" t="n"/>
      <c r="BF33" s="11602" t="n"/>
      <c r="BG33" s="11602" t="n"/>
      <c r="BH33" s="11602" t="n"/>
      <c r="BI33" s="11602" t="n"/>
      <c r="BJ33" s="740" t="n"/>
      <c r="BK33" s="740" t="n"/>
      <c r="BL33" s="740" t="n"/>
      <c r="BM33" s="11602" t="n"/>
      <c r="BN33" s="11602" t="n"/>
      <c r="BO33" s="563" t="n"/>
      <c r="BP33" s="563" t="n"/>
      <c r="BQ33" s="11602" t="n"/>
      <c r="BR33" s="11602" t="n"/>
      <c r="BS33" s="11602" t="n"/>
      <c r="BT33" s="11704" t="n"/>
      <c r="BU33" s="658" t="n"/>
      <c r="BV33" s="658" t="n"/>
      <c r="BW33" s="658" t="n"/>
      <c r="BX33" s="658" t="n"/>
      <c r="BY33" s="658" t="n"/>
      <c r="BZ33" s="658" t="n"/>
      <c r="CA33" s="658" t="n"/>
      <c r="CB33" s="658" t="n"/>
      <c r="CC33" s="658" t="n"/>
      <c r="CD33" s="658" t="n"/>
      <c r="CE33" s="658" t="n"/>
      <c r="CF33" s="658" t="n"/>
    </row>
    <row r="34" ht="15" customHeight="1" s="7635">
      <c r="A34" s="139" t="n"/>
      <c r="B34" s="4505" t="inlineStr">
        <is>
          <t>(see instructions)</t>
        </is>
      </c>
      <c r="C34" s="7121" t="n"/>
      <c r="D34" s="5789" t="n"/>
      <c r="E34" s="5789" t="n"/>
      <c r="F34" s="7157" t="inlineStr">
        <is>
          <t>(1) First name</t>
        </is>
      </c>
      <c r="G34" s="7157" t="n"/>
      <c r="H34" s="7157" t="n"/>
      <c r="I34" s="7157" t="n"/>
      <c r="J34" s="5944" t="n"/>
      <c r="K34" s="5944" t="n"/>
      <c r="L34" s="7148">
        <f>IF(Dependents!E7="","",Dependents!E7)</f>
        <v/>
      </c>
      <c r="M34" s="8412" t="n"/>
      <c r="N34" s="8412" t="n"/>
      <c r="O34" s="8412" t="n"/>
      <c r="P34" s="8412" t="n"/>
      <c r="Q34" s="8412" t="n"/>
      <c r="R34" s="8412" t="n"/>
      <c r="S34" s="8412" t="n"/>
      <c r="T34" s="11734" t="n"/>
      <c r="U34" s="7148">
        <f>IF(Dependents!E8="","",Dependents!E8)</f>
        <v/>
      </c>
      <c r="V34" s="8412" t="n"/>
      <c r="W34" s="8412" t="n"/>
      <c r="X34" s="8412" t="n"/>
      <c r="Y34" s="8412" t="n"/>
      <c r="Z34" s="8412" t="n"/>
      <c r="AA34" s="8412" t="n"/>
      <c r="AB34" s="8412" t="n"/>
      <c r="AC34" s="11734" t="n"/>
      <c r="AD34" s="7148">
        <f>IF(Dependents!E9="","",Dependents!E9)</f>
        <v/>
      </c>
      <c r="AE34" s="8412" t="n"/>
      <c r="AF34" s="8412" t="n"/>
      <c r="AG34" s="8412" t="n"/>
      <c r="AH34" s="8412" t="n"/>
      <c r="AI34" s="8412" t="n"/>
      <c r="AJ34" s="8412" t="n"/>
      <c r="AK34" s="11734" t="n"/>
      <c r="AL34" s="7148">
        <f>IF(Dependents!E10="","",Dependents!E10)</f>
        <v/>
      </c>
      <c r="AM34" s="8412" t="n"/>
      <c r="AN34" s="8412" t="n"/>
      <c r="AO34" s="8412" t="n"/>
      <c r="AP34" s="8412" t="n"/>
      <c r="AQ34" s="8412" t="n"/>
      <c r="AR34" s="8412" t="n"/>
      <c r="AS34" s="11734" t="n"/>
      <c r="AT34" s="3997" t="n"/>
      <c r="AV34" s="512" t="n"/>
      <c r="AW34" s="3961" t="n"/>
      <c r="AX34" s="512" t="n"/>
      <c r="AY34" s="512" t="n"/>
      <c r="AZ34" s="11602" t="n"/>
      <c r="BA34" s="11602" t="n"/>
      <c r="BB34" s="3787">
        <f>IF(M47&lt;&gt;"",1,0)</f>
        <v/>
      </c>
      <c r="BC34" s="1318">
        <f>(AND(L34&lt;&gt;"",L35&lt;&gt;"",M47="",Q47=""))</f>
        <v/>
      </c>
      <c r="BD34" s="5875" t="n"/>
      <c r="BE34" s="5876">
        <f>IF(M47&lt;&gt;"",1,0)</f>
        <v/>
      </c>
      <c r="BF34" s="11602" t="n"/>
      <c r="BG34" s="11602" t="n"/>
      <c r="BH34" s="11602" t="n"/>
      <c r="BI34" s="11602" t="n"/>
      <c r="BJ34" s="740" t="n"/>
      <c r="BK34" s="740" t="n"/>
      <c r="BL34" s="740" t="n"/>
      <c r="BM34" s="11602" t="n"/>
      <c r="BN34" s="11602" t="n"/>
      <c r="BO34" s="563" t="n"/>
      <c r="BP34" s="563" t="n"/>
      <c r="BQ34" s="11602" t="n"/>
      <c r="BR34" s="11602" t="n"/>
      <c r="BS34" s="11602" t="n"/>
      <c r="BT34" s="11704" t="n"/>
      <c r="BU34" s="658" t="n"/>
      <c r="BV34" s="658" t="n"/>
      <c r="BW34" s="658" t="n"/>
      <c r="BX34" s="658" t="n"/>
      <c r="BY34" s="658" t="n"/>
      <c r="BZ34" s="658" t="n"/>
      <c r="CA34" s="658" t="n"/>
      <c r="CB34" s="658" t="n"/>
      <c r="CC34" s="658" t="n"/>
      <c r="CD34" s="658" t="n"/>
      <c r="CE34" s="658" t="n"/>
      <c r="CF34" s="658" t="n"/>
    </row>
    <row r="35" ht="15" customHeight="1" s="7635">
      <c r="A35" s="139" t="n"/>
      <c r="B35" s="5789" t="n"/>
      <c r="C35" s="5789" t="n"/>
      <c r="D35" s="5789" t="n"/>
      <c r="E35" s="5789" t="n"/>
      <c r="F35" s="7157" t="inlineStr">
        <is>
          <t>(2) Last name</t>
        </is>
      </c>
      <c r="G35" s="7157" t="n"/>
      <c r="H35" s="7157" t="n"/>
      <c r="I35" s="7157" t="n"/>
      <c r="J35" s="5944" t="n"/>
      <c r="K35" s="5944" t="n"/>
      <c r="L35" s="7148">
        <f>IF(Dependents!I7="","",Dependents!I7)</f>
        <v/>
      </c>
      <c r="M35" s="8412" t="n"/>
      <c r="N35" s="8412" t="n"/>
      <c r="O35" s="8412" t="n"/>
      <c r="P35" s="8412" t="n"/>
      <c r="Q35" s="8412" t="n"/>
      <c r="R35" s="8412" t="n"/>
      <c r="S35" s="8412" t="n"/>
      <c r="T35" s="11734" t="n"/>
      <c r="U35" s="7148">
        <f>IF(Dependents!I8="","",Dependents!I8)</f>
        <v/>
      </c>
      <c r="V35" s="8412" t="n"/>
      <c r="W35" s="8412" t="n"/>
      <c r="X35" s="8412" t="n"/>
      <c r="Y35" s="8412" t="n"/>
      <c r="Z35" s="8412" t="n"/>
      <c r="AA35" s="8412" t="n"/>
      <c r="AB35" s="8412" t="n"/>
      <c r="AC35" s="11734" t="n"/>
      <c r="AD35" s="11735">
        <f>IF(Dependents!I9="","",Dependents!I9)</f>
        <v/>
      </c>
      <c r="AE35" s="7637" t="n"/>
      <c r="AF35" s="7637" t="n"/>
      <c r="AG35" s="7637" t="n"/>
      <c r="AH35" s="7637" t="n"/>
      <c r="AI35" s="7637" t="n"/>
      <c r="AJ35" s="7637" t="n"/>
      <c r="AK35" s="7638" t="n"/>
      <c r="AL35" s="7149">
        <f>IF(Dependents!I10="","",Dependents!I10)</f>
        <v/>
      </c>
      <c r="AM35" s="7637" t="n"/>
      <c r="AN35" s="7637" t="n"/>
      <c r="AO35" s="7637" t="n"/>
      <c r="AP35" s="7637" t="n"/>
      <c r="AQ35" s="7637" t="n"/>
      <c r="AR35" s="7637" t="n"/>
      <c r="AS35" s="7637" t="n"/>
      <c r="AT35" s="3997" t="n"/>
      <c r="AV35" s="512" t="n"/>
      <c r="AW35" s="3961" t="n"/>
      <c r="AX35" s="512" t="n"/>
      <c r="AY35" s="512" t="n"/>
      <c r="AZ35" s="11602" t="n"/>
      <c r="BA35" s="11602" t="n"/>
      <c r="BB35" s="3787">
        <f>IF(V47&lt;&gt;"",1,0)</f>
        <v/>
      </c>
      <c r="BC35" s="1318">
        <f>(AND(U34&lt;&gt;"",U35&lt;&gt;"",V47="",Z47=""))</f>
        <v/>
      </c>
      <c r="BD35" s="5877">
        <f>OR(BC34,BC35,BC36,BC37)</f>
        <v/>
      </c>
      <c r="BE35" s="5876">
        <f>IF(V47&lt;&gt;"",1,0)</f>
        <v/>
      </c>
      <c r="BF35" s="11602" t="n"/>
      <c r="BG35" s="11602" t="n"/>
      <c r="BH35" s="11602" t="n"/>
      <c r="BI35" s="11602" t="n"/>
      <c r="BJ35" s="740" t="n"/>
      <c r="BK35" s="740" t="n"/>
      <c r="BL35" s="740" t="n"/>
      <c r="BM35" s="11602" t="n"/>
      <c r="BN35" s="11602" t="n"/>
      <c r="BO35" s="563" t="n"/>
      <c r="BP35" s="563" t="n"/>
      <c r="BQ35" s="11602" t="n"/>
      <c r="BR35" s="11602" t="n"/>
      <c r="BS35" s="11602" t="n"/>
      <c r="BT35" s="11704" t="n"/>
      <c r="BU35" s="658" t="n"/>
      <c r="BV35" s="658" t="n"/>
      <c r="BW35" s="658" t="n"/>
      <c r="BX35" s="658" t="n"/>
      <c r="BY35" s="658" t="n"/>
      <c r="BZ35" s="658" t="n"/>
      <c r="CA35" s="658" t="n"/>
      <c r="CB35" s="658" t="n"/>
      <c r="CC35" s="658" t="n"/>
      <c r="CD35" s="658" t="n"/>
      <c r="CE35" s="658" t="n"/>
      <c r="CF35" s="658" t="n"/>
    </row>
    <row r="36" ht="15" customHeight="1" s="7635">
      <c r="A36" s="139" t="n"/>
      <c r="B36" s="7375" t="inlineStr">
        <is>
          <t>If more
than four
dependents,
see instructions
and check
here  .   .   .   .</t>
        </is>
      </c>
      <c r="D36" s="5789" t="n"/>
      <c r="E36" s="5789" t="n"/>
      <c r="F36" s="7158" t="inlineStr">
        <is>
          <t>(3) SSN</t>
        </is>
      </c>
      <c r="G36" s="8412" t="n"/>
      <c r="H36" s="8412" t="n"/>
      <c r="I36" s="8412" t="n"/>
      <c r="J36" s="8412" t="n"/>
      <c r="K36" s="11734" t="n"/>
      <c r="L36" s="11736">
        <f>IF(Dependents!M7="","",Dependents!M7)</f>
        <v/>
      </c>
      <c r="M36" s="8412" t="n"/>
      <c r="N36" s="8412" t="n"/>
      <c r="O36" s="8412" t="n"/>
      <c r="P36" s="8412" t="n"/>
      <c r="Q36" s="8412" t="n"/>
      <c r="R36" s="8412" t="n"/>
      <c r="S36" s="8412" t="n"/>
      <c r="T36" s="11734" t="n"/>
      <c r="U36" s="11736">
        <f>IF(Dependents!M8="","",Dependents!M8)</f>
        <v/>
      </c>
      <c r="V36" s="8412" t="n"/>
      <c r="W36" s="8412" t="n"/>
      <c r="X36" s="8412" t="n"/>
      <c r="Y36" s="8412" t="n"/>
      <c r="Z36" s="8412" t="n"/>
      <c r="AA36" s="8412" t="n"/>
      <c r="AB36" s="8412" t="n"/>
      <c r="AC36" s="11734" t="n"/>
      <c r="AD36" s="11736">
        <f>IF(Dependents!M9="","",Dependents!M9)</f>
        <v/>
      </c>
      <c r="AE36" s="8412" t="n"/>
      <c r="AF36" s="8412" t="n"/>
      <c r="AG36" s="8412" t="n"/>
      <c r="AH36" s="8412" t="n"/>
      <c r="AI36" s="8412" t="n"/>
      <c r="AJ36" s="8412" t="n"/>
      <c r="AK36" s="11734" t="n"/>
      <c r="AL36" s="11736">
        <f>IF(Dependents!M10="","",Dependents!M10)</f>
        <v/>
      </c>
      <c r="AM36" s="8412" t="n"/>
      <c r="AN36" s="8412" t="n"/>
      <c r="AO36" s="8412" t="n"/>
      <c r="AP36" s="8412" t="n"/>
      <c r="AQ36" s="8412" t="n"/>
      <c r="AR36" s="8412" t="n"/>
      <c r="AS36" s="11734" t="n"/>
      <c r="AT36" s="3997" t="n"/>
      <c r="AV36" s="512" t="n"/>
      <c r="AW36" s="3961" t="n"/>
      <c r="AX36" s="512" t="n"/>
      <c r="AY36" s="512" t="n"/>
      <c r="AZ36" s="11602" t="n"/>
      <c r="BA36" s="11602" t="n"/>
      <c r="BB36" s="3787">
        <f>IF(AE47&lt;&gt;"",1,0)</f>
        <v/>
      </c>
      <c r="BC36" s="1318">
        <f>(AND(AD34&lt;&gt;"",AD35&lt;&gt;"",AE47="",AI47=""))</f>
        <v/>
      </c>
      <c r="BD36" s="5878">
        <f>IF(DependentYOU="",1,0)</f>
        <v/>
      </c>
      <c r="BE36" s="5876">
        <f>IF(AE47&lt;&gt;"",1,0)</f>
        <v/>
      </c>
      <c r="BF36" s="11602" t="n"/>
      <c r="BG36" s="11602" t="n"/>
      <c r="BH36" s="11602" t="n"/>
      <c r="BI36" s="11602" t="n"/>
      <c r="BJ36" s="740" t="n"/>
      <c r="BK36" s="740" t="n"/>
      <c r="BL36" s="740" t="n"/>
      <c r="BM36" s="11602" t="n"/>
      <c r="BN36" s="11602" t="n"/>
      <c r="BO36" s="563" t="n"/>
      <c r="BP36" s="563" t="n"/>
      <c r="BQ36" s="11602" t="n"/>
      <c r="BR36" s="11602" t="n"/>
      <c r="BS36" s="11602" t="n"/>
      <c r="BT36" s="11704" t="n"/>
      <c r="BU36" s="658" t="n"/>
      <c r="BV36" s="658" t="n"/>
      <c r="BW36" s="658" t="n"/>
      <c r="BX36" s="658" t="n"/>
      <c r="BY36" s="658" t="n"/>
      <c r="BZ36" s="658" t="n"/>
      <c r="CA36" s="658" t="n"/>
      <c r="CB36" s="658" t="n"/>
      <c r="CC36" s="658" t="n"/>
      <c r="CD36" s="658" t="n"/>
      <c r="CE36" s="658" t="n"/>
      <c r="CF36" s="658" t="n"/>
    </row>
    <row r="37" ht="15" customHeight="1" s="7635">
      <c r="A37" s="139" t="n"/>
      <c r="D37" s="5789" t="n"/>
      <c r="E37" s="5789" t="n"/>
      <c r="F37" s="7158" t="inlineStr">
        <is>
          <t>(4) Relationship</t>
        </is>
      </c>
      <c r="G37" s="8412" t="n"/>
      <c r="H37" s="8412" t="n"/>
      <c r="I37" s="8412" t="n"/>
      <c r="J37" s="8412" t="n"/>
      <c r="K37" s="11734" t="n"/>
      <c r="L37" s="7148">
        <f>IF(Dependents!S7="","",Dependents!S7)</f>
        <v/>
      </c>
      <c r="M37" s="8412" t="n"/>
      <c r="N37" s="8412" t="n"/>
      <c r="O37" s="8412" t="n"/>
      <c r="P37" s="8412" t="n"/>
      <c r="Q37" s="8412" t="n"/>
      <c r="R37" s="8412" t="n"/>
      <c r="S37" s="8412" t="n"/>
      <c r="T37" s="11734" t="n"/>
      <c r="U37" s="7148">
        <f>IF(Dependents!S8="","",Dependents!S8)</f>
        <v/>
      </c>
      <c r="V37" s="8412" t="n"/>
      <c r="W37" s="8412" t="n"/>
      <c r="X37" s="8412" t="n"/>
      <c r="Y37" s="8412" t="n"/>
      <c r="Z37" s="8412" t="n"/>
      <c r="AA37" s="8412" t="n"/>
      <c r="AB37" s="8412" t="n"/>
      <c r="AC37" s="11734" t="n"/>
      <c r="AD37" s="7148">
        <f>IF(Dependents!S9="","",Dependents!S9)</f>
        <v/>
      </c>
      <c r="AE37" s="8412" t="n"/>
      <c r="AF37" s="8412" t="n"/>
      <c r="AG37" s="8412" t="n"/>
      <c r="AH37" s="8412" t="n"/>
      <c r="AI37" s="8412" t="n"/>
      <c r="AJ37" s="8412" t="n"/>
      <c r="AK37" s="11734" t="n"/>
      <c r="AL37" s="7087">
        <f>IF(Dependents!S10="","",Dependents!S10)</f>
        <v/>
      </c>
      <c r="AM37" s="8412" t="n"/>
      <c r="AN37" s="8412" t="n"/>
      <c r="AO37" s="8412" t="n"/>
      <c r="AP37" s="8412" t="n"/>
      <c r="AQ37" s="8412" t="n"/>
      <c r="AR37" s="8412" t="n"/>
      <c r="AS37" s="8412" t="n"/>
      <c r="AT37" s="3997" t="n"/>
      <c r="AV37" s="512" t="n"/>
      <c r="AW37" s="3961" t="n"/>
      <c r="AX37" s="512" t="n"/>
      <c r="AY37" s="512" t="n"/>
      <c r="AZ37" s="11602" t="n"/>
      <c r="BA37" s="11602" t="n"/>
      <c r="BB37" s="3787">
        <f>IF(AM47&lt;&gt;"",1,0)</f>
        <v/>
      </c>
      <c r="BC37" s="1318">
        <f>(AND(AL34&lt;&gt;"",AL35&lt;&gt;"",AM47="",AQ47=""))</f>
        <v/>
      </c>
      <c r="BD37" s="5878">
        <f>IF(AND(File_Marr_Joint&lt;&gt;"",DependentSPOUSE=""),1,0)</f>
        <v/>
      </c>
      <c r="BE37" s="5876">
        <f>IF(AM47&lt;&gt;"",1,0)</f>
        <v/>
      </c>
      <c r="BF37" s="11602" t="n"/>
      <c r="BG37" s="11602" t="n"/>
      <c r="BH37" s="11602" t="n"/>
      <c r="BI37" s="11602" t="n"/>
      <c r="BJ37" s="740" t="n"/>
      <c r="BK37" s="740" t="n"/>
      <c r="BL37" s="740" t="n"/>
      <c r="BM37" s="11602" t="n"/>
      <c r="BN37" s="11602" t="n"/>
      <c r="BO37" s="563" t="n"/>
      <c r="BP37" s="563" t="n"/>
      <c r="BQ37" s="11602" t="n"/>
      <c r="BR37" s="11602" t="n"/>
      <c r="BS37" s="11602" t="n"/>
      <c r="BT37" s="11704" t="n"/>
      <c r="BU37" s="658" t="n"/>
      <c r="BV37" s="658" t="n"/>
      <c r="BW37" s="658" t="n"/>
      <c r="BX37" s="658" t="n"/>
      <c r="BY37" s="658" t="n"/>
      <c r="BZ37" s="658" t="n"/>
      <c r="CA37" s="658" t="n"/>
      <c r="CB37" s="658" t="n"/>
      <c r="CC37" s="658" t="n"/>
      <c r="CD37" s="658" t="n"/>
      <c r="CE37" s="658" t="n"/>
      <c r="CF37" s="658" t="n"/>
    </row>
    <row r="38" ht="6.75" customHeight="1" s="7635">
      <c r="A38" s="139" t="n"/>
      <c r="D38" s="5789" t="n"/>
      <c r="E38" s="5789" t="n"/>
      <c r="F38" s="7347" t="inlineStr">
        <is>
          <t>(5) Check if lived with you more than</t>
        </is>
      </c>
      <c r="G38" s="7839" t="n"/>
      <c r="H38" s="7839" t="n"/>
      <c r="I38" s="7839" t="n"/>
      <c r="J38" s="7839" t="n"/>
      <c r="K38" s="10091" t="n"/>
      <c r="L38" s="5799" t="n"/>
      <c r="M38" s="5794" t="n"/>
      <c r="N38" s="5794" t="n"/>
      <c r="O38" s="5794" t="n"/>
      <c r="P38" s="5794" t="n"/>
      <c r="Q38" s="5794" t="n"/>
      <c r="R38" s="5794" t="n"/>
      <c r="S38" s="5794" t="n"/>
      <c r="T38" s="5795" t="n"/>
      <c r="U38" s="5799" t="n"/>
      <c r="V38" s="5794" t="n"/>
      <c r="W38" s="5794" t="n"/>
      <c r="X38" s="5794" t="n"/>
      <c r="Y38" s="5794" t="n"/>
      <c r="Z38" s="5794" t="n"/>
      <c r="AA38" s="5794" t="n"/>
      <c r="AB38" s="5794" t="n"/>
      <c r="AC38" s="5795" t="n"/>
      <c r="AD38" s="11737" t="n"/>
      <c r="AE38" s="7839" t="n"/>
      <c r="AF38" s="7839" t="n"/>
      <c r="AG38" s="7839" t="n"/>
      <c r="AH38" s="7839" t="n"/>
      <c r="AI38" s="7839" t="n"/>
      <c r="AJ38" s="7839" t="n"/>
      <c r="AK38" s="10091" t="n"/>
      <c r="AL38" s="5799" t="n"/>
      <c r="AM38" s="5794" t="n"/>
      <c r="AN38" s="5790" t="n"/>
      <c r="AO38" s="5794" t="n"/>
      <c r="AP38" s="5794" t="n"/>
      <c r="AQ38" s="5794" t="n"/>
      <c r="AR38" s="5794" t="n"/>
      <c r="AS38" s="5794" t="n"/>
      <c r="AT38" s="3997" t="n"/>
      <c r="AU38" s="3998" t="n"/>
      <c r="AV38" s="512" t="n"/>
      <c r="AW38" s="3961" t="n"/>
      <c r="AX38" s="512" t="n"/>
      <c r="AY38" s="512" t="n"/>
      <c r="AZ38" s="11602" t="n"/>
      <c r="BA38" s="11602" t="n"/>
      <c r="BB38" s="11602" t="n"/>
      <c r="BC38" s="689" t="n"/>
      <c r="BD38" s="11602" t="n"/>
      <c r="BE38" s="11602" t="n"/>
      <c r="BF38" s="11602" t="n"/>
      <c r="BG38" s="11602" t="n"/>
      <c r="BH38" s="11602" t="n"/>
      <c r="BI38" s="11602" t="n"/>
      <c r="BJ38" s="740" t="n"/>
      <c r="BK38" s="740" t="n"/>
      <c r="BL38" s="740" t="n"/>
      <c r="BM38" s="11602" t="n"/>
      <c r="BN38" s="11602" t="n"/>
      <c r="BO38" s="563" t="n"/>
      <c r="BP38" s="563" t="n"/>
      <c r="BQ38" s="11602" t="n"/>
      <c r="BR38" s="11602" t="n"/>
      <c r="BS38" s="11602" t="n"/>
      <c r="BT38" s="11704" t="n"/>
      <c r="BU38" s="658" t="n"/>
      <c r="BV38" s="658" t="n"/>
      <c r="BW38" s="658" t="n"/>
      <c r="BX38" s="658" t="n"/>
      <c r="BY38" s="658" t="n"/>
      <c r="BZ38" s="658" t="n"/>
      <c r="CA38" s="658" t="n"/>
      <c r="CB38" s="658" t="n"/>
      <c r="CC38" s="658" t="n"/>
      <c r="CD38" s="658" t="n"/>
      <c r="CE38" s="658" t="n"/>
      <c r="CF38" s="658" t="n"/>
    </row>
    <row r="39" ht="16.5" customHeight="1" s="7635">
      <c r="A39" s="139" t="n"/>
      <c r="D39" s="5789" t="n"/>
      <c r="E39" s="5789" t="n"/>
      <c r="K39" s="7636" t="n"/>
      <c r="L39" s="5813" t="n"/>
      <c r="M39" s="5815" t="n"/>
      <c r="N39" s="5803" t="inlineStr">
        <is>
          <t>(a)</t>
        </is>
      </c>
      <c r="O39" s="1846">
        <f>IF(Dependents!Z7="","","X")</f>
        <v/>
      </c>
      <c r="P39" s="7119" t="inlineStr">
        <is>
          <t>Yes</t>
        </is>
      </c>
      <c r="Q39" s="1261" t="n"/>
      <c r="R39" s="5797" t="n"/>
      <c r="S39" s="5797" t="n"/>
      <c r="T39" s="5798" t="n"/>
      <c r="U39" s="5813" t="n"/>
      <c r="V39" s="5815" t="n"/>
      <c r="W39" s="5803" t="inlineStr">
        <is>
          <t xml:space="preserve"> (a)</t>
        </is>
      </c>
      <c r="X39" s="1846">
        <f>IF(Dependents!Z8="","","X")</f>
        <v/>
      </c>
      <c r="Y39" s="6076" t="inlineStr">
        <is>
          <t>Yes</t>
        </is>
      </c>
      <c r="Z39" s="4047" t="n"/>
      <c r="AA39" s="4047" t="n"/>
      <c r="AB39" s="5788" t="n"/>
      <c r="AC39" s="5804" t="n"/>
      <c r="AD39" s="7455" t="n"/>
      <c r="AE39" s="5803" t="inlineStr">
        <is>
          <t>(a)</t>
        </is>
      </c>
      <c r="AF39" s="1846">
        <f>IF(Dependents!Z9="","","X")</f>
        <v/>
      </c>
      <c r="AG39" s="6077" t="inlineStr">
        <is>
          <t>Yes</t>
        </is>
      </c>
      <c r="AH39" s="5801" t="n"/>
      <c r="AI39" s="5801" t="n"/>
      <c r="AJ39" s="5801" t="n"/>
      <c r="AK39" s="5802" t="n"/>
      <c r="AL39" s="7455" t="n"/>
      <c r="AM39" s="5803" t="inlineStr">
        <is>
          <t>(a)</t>
        </is>
      </c>
      <c r="AN39" s="1846">
        <f>IF(Dependents!Z10="","","X")</f>
        <v/>
      </c>
      <c r="AO39" s="7119" t="inlineStr">
        <is>
          <t>Yes</t>
        </is>
      </c>
      <c r="AP39" s="5797" t="n"/>
      <c r="AQ39" s="5797" t="n"/>
      <c r="AR39" s="5797" t="n"/>
      <c r="AS39" s="5797" t="n"/>
      <c r="AT39" s="3997" t="n"/>
      <c r="AU39" s="3998" t="n"/>
      <c r="AV39" s="512" t="n"/>
      <c r="AW39" s="3961" t="n"/>
      <c r="AX39" s="512" t="n"/>
      <c r="AY39" s="512" t="n"/>
      <c r="AZ39" s="11602" t="n"/>
      <c r="BA39" s="11602" t="n"/>
      <c r="BB39" s="11602" t="n"/>
      <c r="BC39" s="689" t="n"/>
      <c r="BD39" s="11602" t="n"/>
      <c r="BE39" s="11602" t="n"/>
      <c r="BF39" s="11602" t="n"/>
      <c r="BG39" s="11602" t="n"/>
      <c r="BH39" s="11602" t="n"/>
      <c r="BI39" s="11602" t="n"/>
      <c r="BJ39" s="740" t="n"/>
      <c r="BK39" s="740" t="n"/>
      <c r="BL39" s="740" t="n"/>
      <c r="BM39" s="11602" t="n"/>
      <c r="BN39" s="11602" t="n"/>
      <c r="BO39" s="563" t="n"/>
      <c r="BP39" s="563" t="n"/>
      <c r="BQ39" s="11602" t="n"/>
      <c r="BR39" s="11602" t="n"/>
      <c r="BS39" s="11602" t="n"/>
      <c r="BT39" s="11704" t="n"/>
      <c r="BU39" s="658" t="n"/>
      <c r="BV39" s="658" t="n"/>
      <c r="BW39" s="658" t="n"/>
      <c r="BX39" s="658" t="n"/>
      <c r="BY39" s="658" t="n"/>
      <c r="BZ39" s="658" t="n"/>
      <c r="CA39" s="658" t="n"/>
      <c r="CB39" s="658" t="n"/>
      <c r="CC39" s="658" t="n"/>
      <c r="CD39" s="658" t="n"/>
      <c r="CE39" s="658" t="n"/>
      <c r="CF39" s="658" t="n"/>
    </row>
    <row r="40" ht="8.25" customHeight="1" s="7635" thickBot="1">
      <c r="A40" s="139" t="n"/>
      <c r="D40" s="5789" t="n"/>
      <c r="E40" s="5789" t="n"/>
      <c r="K40" s="7636" t="n"/>
      <c r="L40" s="5813" t="n"/>
      <c r="M40" s="5815" t="n"/>
      <c r="N40" s="5797" t="n"/>
      <c r="O40" s="5797" t="n"/>
      <c r="P40" s="5797" t="n"/>
      <c r="Q40" s="5797" t="n"/>
      <c r="R40" s="5797" t="n"/>
      <c r="S40" s="5797" t="n"/>
      <c r="T40" s="5798" t="n"/>
      <c r="U40" s="5813" t="n"/>
      <c r="V40" s="5815" t="n"/>
      <c r="W40" s="5797" t="n"/>
      <c r="X40" s="5797" t="n"/>
      <c r="Y40" s="5797" t="n"/>
      <c r="Z40" s="5797" t="n"/>
      <c r="AA40" s="5797" t="n"/>
      <c r="AB40" s="5797" t="n"/>
      <c r="AC40" s="5798" t="n"/>
      <c r="AD40" s="5796" t="n"/>
      <c r="AE40" s="5797" t="n"/>
      <c r="AF40" s="5797" t="n"/>
      <c r="AG40" s="5797" t="n"/>
      <c r="AH40" s="5797" t="n"/>
      <c r="AI40" s="5797" t="n"/>
      <c r="AJ40" s="5797" t="n"/>
      <c r="AK40" s="5797" t="n"/>
      <c r="AL40" s="5796" t="n"/>
      <c r="AM40" s="5797" t="n"/>
      <c r="AN40" s="5797" t="n"/>
      <c r="AO40" s="5797" t="n"/>
      <c r="AP40" s="5797" t="n"/>
      <c r="AQ40" s="5797" t="n"/>
      <c r="AR40" s="5797" t="n"/>
      <c r="AS40" s="5797" t="n"/>
      <c r="AT40" s="3997" t="n"/>
      <c r="AU40" s="3998" t="n"/>
      <c r="AV40" s="512" t="n"/>
      <c r="AW40" s="3961" t="n"/>
      <c r="AX40" s="512" t="n"/>
      <c r="AY40" s="512" t="n"/>
      <c r="AZ40" s="11602" t="n"/>
      <c r="BA40" s="11602" t="n"/>
      <c r="BB40" s="11602" t="n"/>
      <c r="BC40" s="689" t="n"/>
      <c r="BD40" s="11602" t="n"/>
      <c r="BE40" s="11602" t="n"/>
      <c r="BF40" s="11602" t="n"/>
      <c r="BG40" s="11602" t="n"/>
      <c r="BH40" s="11602" t="n"/>
      <c r="BI40" s="11602" t="n"/>
      <c r="BJ40" s="740" t="n"/>
      <c r="BK40" s="740" t="n"/>
      <c r="BL40" s="740" t="n"/>
      <c r="BM40" s="11602" t="n"/>
      <c r="BN40" s="11602" t="n"/>
      <c r="BO40" s="563" t="n"/>
      <c r="BP40" s="563" t="n"/>
      <c r="BQ40" s="11602" t="n"/>
      <c r="BR40" s="11602" t="n"/>
      <c r="BS40" s="11602" t="n"/>
      <c r="BT40" s="11704" t="n"/>
      <c r="BU40" s="658" t="n"/>
      <c r="BV40" s="658" t="n"/>
      <c r="BW40" s="658" t="n"/>
      <c r="BX40" s="658" t="n"/>
      <c r="BY40" s="658" t="n"/>
      <c r="BZ40" s="658" t="n"/>
      <c r="CA40" s="658" t="n"/>
      <c r="CB40" s="658" t="n"/>
      <c r="CC40" s="658" t="n"/>
      <c r="CD40" s="658" t="n"/>
      <c r="CE40" s="658" t="n"/>
      <c r="CF40" s="658" t="n"/>
    </row>
    <row r="41" ht="16.5" customHeight="1" s="7635" thickBot="1">
      <c r="A41" s="139" t="n"/>
      <c r="D41" s="1846">
        <f>IF(DependentsGT4,"X","")</f>
        <v/>
      </c>
      <c r="E41" s="5789" t="n"/>
      <c r="F41" s="7351">
        <f>"than half of "&amp;TaxYear</f>
        <v/>
      </c>
      <c r="K41" s="7636" t="n"/>
      <c r="L41" s="5813" t="n"/>
      <c r="M41" s="5815" t="n"/>
      <c r="N41" s="5803" t="inlineStr">
        <is>
          <t>(b)</t>
        </is>
      </c>
      <c r="O41" s="1846">
        <f>IF(Dependents!AC7="","","X")</f>
        <v/>
      </c>
      <c r="P41" s="7119" t="inlineStr">
        <is>
          <t>And in the U.S.</t>
        </is>
      </c>
      <c r="Q41" s="1261" t="n"/>
      <c r="R41" s="1964" t="n"/>
      <c r="S41" s="1964" t="n"/>
      <c r="T41" s="5800" t="n"/>
      <c r="U41" s="5813" t="n"/>
      <c r="V41" s="5815" t="n"/>
      <c r="W41" s="5803" t="inlineStr">
        <is>
          <t xml:space="preserve"> (b)</t>
        </is>
      </c>
      <c r="X41" s="1846">
        <f>IF(Dependents!AC8="","","X")</f>
        <v/>
      </c>
      <c r="Y41" s="7119" t="inlineStr">
        <is>
          <t>And in the U.S.</t>
        </is>
      </c>
      <c r="Z41" s="1261" t="n"/>
      <c r="AA41" s="1964" t="n"/>
      <c r="AB41" s="1964" t="n"/>
      <c r="AC41" s="5800" t="n"/>
      <c r="AD41" s="7455" t="n"/>
      <c r="AE41" s="5803" t="inlineStr">
        <is>
          <t>(b)</t>
        </is>
      </c>
      <c r="AF41" s="1846">
        <f>IF(Dependents!AC9="","","X")</f>
        <v/>
      </c>
      <c r="AG41" s="7119" t="inlineStr">
        <is>
          <t>And in the U.S.</t>
        </is>
      </c>
      <c r="AH41" s="5797" t="n"/>
      <c r="AI41" s="5797" t="n"/>
      <c r="AJ41" s="5797" t="n"/>
      <c r="AK41" s="5798" t="n"/>
      <c r="AL41" s="7455" t="n"/>
      <c r="AM41" s="5803" t="inlineStr">
        <is>
          <t>(b)</t>
        </is>
      </c>
      <c r="AN41" s="1846">
        <f>IF(Dependents!AC10="","","X")</f>
        <v/>
      </c>
      <c r="AO41" s="7119" t="inlineStr">
        <is>
          <t>And in the U.S.</t>
        </is>
      </c>
      <c r="AP41" s="5797" t="n"/>
      <c r="AQ41" s="5797" t="n"/>
      <c r="AR41" s="5797" t="n"/>
      <c r="AS41" s="5797" t="n"/>
      <c r="AT41" s="3997" t="n"/>
      <c r="AU41" s="3998" t="n"/>
      <c r="AV41" s="512" t="n"/>
      <c r="AW41" s="3961" t="n"/>
      <c r="AX41" s="512" t="n"/>
      <c r="AY41" s="512" t="n"/>
      <c r="AZ41" s="821">
        <f>IF(OR(NumFileStatusBoxes=0,NumFileStatusBoxes&gt;1),0,SUM(BD36,BD37,AW47,AW48))</f>
        <v/>
      </c>
      <c r="BA41" s="4003" t="inlineStr">
        <is>
          <t>Tax Family Size  (for Form 8962, Premium Tax Credit)</t>
        </is>
      </c>
      <c r="BB41" s="380" t="n"/>
      <c r="BC41" s="380" t="n"/>
      <c r="BD41" s="380" t="n"/>
      <c r="BE41" s="11602" t="n"/>
      <c r="BF41" s="11602" t="n"/>
      <c r="BG41" s="11602" t="n"/>
      <c r="BH41" s="11602" t="n"/>
      <c r="BI41" s="11602" t="n"/>
      <c r="BJ41" s="740" t="n"/>
      <c r="BK41" s="740" t="n"/>
      <c r="BL41" s="740" t="n"/>
      <c r="BM41" s="11602" t="n"/>
      <c r="BN41" s="11602" t="n"/>
      <c r="BO41" s="563" t="n"/>
      <c r="BP41" s="563" t="n"/>
      <c r="BQ41" s="11602" t="n"/>
      <c r="BR41" s="11602" t="n"/>
      <c r="BS41" s="11602" t="n"/>
      <c r="BT41" s="11704" t="n"/>
      <c r="BU41" s="658" t="n"/>
      <c r="BV41" s="658" t="n"/>
      <c r="BW41" s="658" t="n"/>
      <c r="BX41" s="658" t="n"/>
      <c r="BY41" s="658" t="n"/>
      <c r="BZ41" s="658" t="n"/>
      <c r="CA41" s="658" t="n"/>
      <c r="CB41" s="658" t="n"/>
      <c r="CC41" s="658" t="n"/>
      <c r="CD41" s="658" t="n"/>
      <c r="CE41" s="658" t="n"/>
      <c r="CF41" s="658" t="n"/>
    </row>
    <row r="42" ht="6" customHeight="1" s="7635">
      <c r="A42" s="139" t="n"/>
      <c r="B42" s="5789" t="n"/>
      <c r="C42" s="5789" t="n"/>
      <c r="D42" s="5789" t="n"/>
      <c r="E42" s="5789" t="n"/>
      <c r="F42" s="5838" t="n"/>
      <c r="G42" s="5838" t="n"/>
      <c r="H42" s="5838" t="n"/>
      <c r="I42" s="5838" t="n"/>
      <c r="J42" s="5838" t="n"/>
      <c r="K42" s="5838" t="n"/>
      <c r="L42" s="5791" t="n"/>
      <c r="M42" s="5792" t="n"/>
      <c r="N42" s="5792" t="n"/>
      <c r="O42" s="5792" t="n"/>
      <c r="P42" s="5792" t="n"/>
      <c r="Q42" s="5792" t="n"/>
      <c r="R42" s="5792" t="n"/>
      <c r="S42" s="5792" t="n"/>
      <c r="T42" s="5793" t="n"/>
      <c r="U42" s="5805" t="n"/>
      <c r="V42" s="5806" t="n"/>
      <c r="W42" s="5806" t="n"/>
      <c r="X42" s="5792" t="n"/>
      <c r="Y42" s="5792" t="n"/>
      <c r="Z42" s="5792" t="n"/>
      <c r="AA42" s="5792" t="n"/>
      <c r="AB42" s="5792" t="n"/>
      <c r="AC42" s="5793" t="n"/>
      <c r="AD42" s="5791" t="n"/>
      <c r="AE42" s="5792" t="n"/>
      <c r="AF42" s="5790" t="n"/>
      <c r="AG42" s="5792" t="n"/>
      <c r="AH42" s="5792" t="n"/>
      <c r="AI42" s="5792" t="n"/>
      <c r="AJ42" s="5792" t="n"/>
      <c r="AK42" s="5793" t="n"/>
      <c r="AL42" s="7141" t="n"/>
      <c r="AM42" s="7637" t="n"/>
      <c r="AN42" s="7637" t="n"/>
      <c r="AO42" s="7637" t="n"/>
      <c r="AP42" s="7637" t="n"/>
      <c r="AQ42" s="7637" t="n"/>
      <c r="AR42" s="7637" t="n"/>
      <c r="AS42" s="7637" t="n"/>
      <c r="AT42" s="3997" t="n"/>
      <c r="AU42" s="3998" t="n"/>
      <c r="AV42" s="512" t="n"/>
      <c r="AW42" s="3961" t="n"/>
      <c r="AX42" s="512" t="n"/>
      <c r="AY42" s="512" t="n"/>
      <c r="AZ42" s="11738" t="inlineStr">
        <is>
          <t>Determine the number of individuals in your tax family using your tax return. Your tax family generally includes you, your spouse if you are filing a joint return, and your dependents. If you checked the “Someone can claim you as a dependent” box, or if you’re filing jointly and you checked the “Someone can claim your spouse as a dependent” box on your tax return, you or your spouse are not included in the tax family size calculation for purposes of Form 8962, Premium Tax Credit, line 1.</t>
        </is>
      </c>
      <c r="BA42" s="2506" t="n"/>
      <c r="BB42" s="2506" t="n"/>
      <c r="BC42" s="2506" t="n"/>
      <c r="BD42" s="2614" t="n"/>
      <c r="BE42" s="11602" t="n"/>
      <c r="BF42" s="11602" t="n"/>
      <c r="BG42" s="11602" t="n"/>
      <c r="BH42" s="11602" t="n"/>
      <c r="BI42" s="11602" t="n"/>
      <c r="BJ42" s="740" t="n"/>
      <c r="BK42" s="740" t="n"/>
      <c r="BL42" s="740" t="n"/>
      <c r="BM42" s="11602" t="n"/>
      <c r="BN42" s="11602" t="n"/>
      <c r="BO42" s="563" t="n"/>
      <c r="BP42" s="563" t="n"/>
      <c r="BQ42" s="11602" t="n"/>
      <c r="BR42" s="11602" t="n"/>
      <c r="BS42" s="11602" t="n"/>
      <c r="BT42" s="11704" t="n"/>
      <c r="BU42" s="658" t="n"/>
      <c r="BV42" s="658" t="n"/>
      <c r="BW42" s="658" t="n"/>
      <c r="BX42" s="658" t="n"/>
      <c r="BY42" s="658" t="n"/>
      <c r="BZ42" s="658" t="n"/>
      <c r="CA42" s="658" t="n"/>
      <c r="CB42" s="658" t="n"/>
      <c r="CC42" s="658" t="n"/>
      <c r="CD42" s="658" t="n"/>
      <c r="CE42" s="658" t="n"/>
      <c r="CF42" s="658" t="n"/>
    </row>
    <row r="43" ht="9" customHeight="1" s="7635">
      <c r="A43" s="139" t="n"/>
      <c r="B43" s="5789" t="n"/>
      <c r="C43" s="5789" t="n"/>
      <c r="D43" s="5789" t="n"/>
      <c r="E43" s="5789" t="n"/>
      <c r="F43" s="11739" t="inlineStr">
        <is>
          <t>(6) Check if</t>
        </is>
      </c>
      <c r="G43" s="7839" t="n"/>
      <c r="H43" s="7839" t="n"/>
      <c r="I43" s="7839" t="n"/>
      <c r="J43" s="7839" t="n"/>
      <c r="K43" s="10091" t="n"/>
      <c r="L43" s="5799" t="n"/>
      <c r="M43" s="5794" t="n"/>
      <c r="N43" s="5794" t="n"/>
      <c r="O43" s="5794" t="n"/>
      <c r="P43" s="5799" t="n"/>
      <c r="Q43" s="5794" t="n"/>
      <c r="R43" s="5794" t="n"/>
      <c r="S43" s="5794" t="n"/>
      <c r="T43" s="5795" t="n"/>
      <c r="U43" s="5799" t="n"/>
      <c r="V43" s="5794" t="n"/>
      <c r="W43" s="5794" t="n"/>
      <c r="X43" s="5794" t="n"/>
      <c r="Y43" s="5799" t="n"/>
      <c r="Z43" s="5794" t="n"/>
      <c r="AA43" s="5794" t="n"/>
      <c r="AB43" s="5794" t="n"/>
      <c r="AC43" s="5795" t="n"/>
      <c r="AD43" s="5799" t="n"/>
      <c r="AE43" s="5794" t="n"/>
      <c r="AF43" s="5794" t="n"/>
      <c r="AG43" s="5794" t="n"/>
      <c r="AH43" s="5799" t="n"/>
      <c r="AI43" s="5794" t="n"/>
      <c r="AJ43" s="5794" t="n"/>
      <c r="AK43" s="5795" t="n"/>
      <c r="AL43" s="5799" t="n"/>
      <c r="AM43" s="5794" t="n"/>
      <c r="AN43" s="11740" t="inlineStr">
        <is>
          <t>Full-time student</t>
        </is>
      </c>
      <c r="AO43" s="10091" t="n"/>
      <c r="AP43" s="5799" t="n"/>
      <c r="AQ43" s="5794" t="n"/>
      <c r="AR43" s="5794" t="n"/>
      <c r="AS43" s="5794" t="n"/>
      <c r="AT43" s="3997" t="n"/>
      <c r="AU43" s="3998" t="n"/>
      <c r="AV43" s="512" t="n"/>
      <c r="AW43" s="3961" t="n"/>
      <c r="AX43" s="512" t="n"/>
      <c r="AY43" s="512" t="n"/>
      <c r="AZ43" s="11741" t="n"/>
      <c r="BD43" s="1066" t="n"/>
      <c r="BE43" s="11602" t="n"/>
      <c r="BF43" s="11602" t="n"/>
      <c r="BG43" s="11602" t="n"/>
      <c r="BH43" s="11602" t="n"/>
      <c r="BI43" s="11602" t="n"/>
      <c r="BJ43" s="740" t="n"/>
      <c r="BK43" s="740" t="n"/>
      <c r="BL43" s="740" t="n"/>
      <c r="BM43" s="11602" t="n"/>
      <c r="BN43" s="11602" t="n"/>
      <c r="BO43" s="563" t="n"/>
      <c r="BP43" s="563" t="n"/>
      <c r="BQ43" s="11602" t="n"/>
      <c r="BR43" s="11602" t="n"/>
      <c r="BS43" s="11602" t="n"/>
      <c r="BT43" s="11704" t="n"/>
      <c r="BU43" s="658" t="n"/>
      <c r="BV43" s="658" t="n"/>
      <c r="BW43" s="658" t="n"/>
      <c r="BX43" s="658" t="n"/>
      <c r="BY43" s="658" t="n"/>
      <c r="BZ43" s="658" t="n"/>
      <c r="CA43" s="658" t="n"/>
      <c r="CB43" s="658" t="n"/>
      <c r="CC43" s="658" t="n"/>
      <c r="CD43" s="658" t="n"/>
      <c r="CE43" s="658" t="n"/>
      <c r="CF43" s="658" t="n"/>
    </row>
    <row r="44" ht="16.5" customHeight="1" s="7635">
      <c r="A44" s="139" t="n"/>
      <c r="B44" s="5789" t="n"/>
      <c r="C44" s="5789" t="n"/>
      <c r="D44" s="5789" t="n"/>
      <c r="E44" s="5789" t="n"/>
      <c r="K44" s="7636" t="n"/>
      <c r="L44" s="5814" t="n"/>
      <c r="M44" s="1846">
        <f>IF(Dependents!AF7="","","X")</f>
        <v/>
      </c>
      <c r="N44" s="7134" t="inlineStr">
        <is>
          <t>Full-time student</t>
        </is>
      </c>
      <c r="P44" s="5814" t="n"/>
      <c r="Q44" s="1846">
        <f>IF(Dependents!AI7="","","X")</f>
        <v/>
      </c>
      <c r="R44" s="7339" t="inlineStr">
        <is>
          <t>Permanently and totally disabled</t>
        </is>
      </c>
      <c r="T44" s="7636" t="n"/>
      <c r="U44" s="5814" t="n"/>
      <c r="V44" s="1846">
        <f>IF(Dependents!AF8="","","X")</f>
        <v/>
      </c>
      <c r="W44" s="7134" t="inlineStr">
        <is>
          <t>Full-time student</t>
        </is>
      </c>
      <c r="Y44" s="5814" t="n"/>
      <c r="Z44" s="1846">
        <f>IF(Dependents!AI8="","","X")</f>
        <v/>
      </c>
      <c r="AA44" s="7339" t="inlineStr">
        <is>
          <t>Permanently and totally disabled</t>
        </is>
      </c>
      <c r="AC44" s="7636" t="n"/>
      <c r="AD44" s="5814" t="n"/>
      <c r="AE44" s="1846">
        <f>IF(Dependents!AF9="","","X")</f>
        <v/>
      </c>
      <c r="AF44" s="7135" t="inlineStr">
        <is>
          <t>Full-time student</t>
        </is>
      </c>
      <c r="AG44" s="7636" t="n"/>
      <c r="AH44" s="5814" t="n"/>
      <c r="AI44" s="1846">
        <f>IF(Dependents!AI9="","","X")</f>
        <v/>
      </c>
      <c r="AJ44" s="7140" t="inlineStr">
        <is>
          <t>Permanently and totally disabled</t>
        </is>
      </c>
      <c r="AL44" s="5814" t="n"/>
      <c r="AM44" s="1846">
        <f>IF(Dependents!AF10="","","X")</f>
        <v/>
      </c>
      <c r="AO44" s="7636" t="n"/>
      <c r="AP44" s="5814" t="n"/>
      <c r="AQ44" s="1846">
        <f>IF(Dependents!AI10="","","X")</f>
        <v/>
      </c>
      <c r="AR44" s="7140" t="inlineStr">
        <is>
          <t>Permanently and totally disabled</t>
        </is>
      </c>
      <c r="AT44" s="3997" t="n"/>
      <c r="AU44" s="3998" t="n"/>
      <c r="AV44" s="512" t="n"/>
      <c r="AW44" s="3961" t="n"/>
      <c r="AX44" s="512" t="n"/>
      <c r="AY44" s="512" t="n"/>
      <c r="AZ44" s="11741" t="n"/>
      <c r="BD44" s="1066" t="n"/>
      <c r="BE44" s="11602" t="n"/>
      <c r="BF44" s="11602" t="n"/>
      <c r="BG44" s="11602" t="n"/>
      <c r="BH44" s="11602" t="n"/>
      <c r="BI44" s="11602" t="n"/>
      <c r="BJ44" s="740" t="n"/>
      <c r="BK44" s="740" t="n"/>
      <c r="BL44" s="740" t="n"/>
      <c r="BM44" s="11602" t="n"/>
      <c r="BN44" s="11602" t="n"/>
      <c r="BO44" s="563" t="n"/>
      <c r="BP44" s="563" t="n"/>
      <c r="BQ44" s="11602" t="n"/>
      <c r="BR44" s="11602" t="n"/>
      <c r="BS44" s="11602" t="n"/>
      <c r="BT44" s="11704" t="n"/>
      <c r="BU44" s="658" t="n"/>
      <c r="BV44" s="658" t="n"/>
      <c r="BW44" s="658" t="n"/>
      <c r="BX44" s="658" t="n"/>
      <c r="BY44" s="658" t="n"/>
      <c r="BZ44" s="658" t="n"/>
      <c r="CA44" s="658" t="n"/>
      <c r="CB44" s="658" t="n"/>
      <c r="CC44" s="658" t="n"/>
      <c r="CD44" s="658" t="n"/>
      <c r="CE44" s="658" t="n"/>
      <c r="CF44" s="658" t="n"/>
    </row>
    <row r="45" ht="18.75" customHeight="1" s="7635">
      <c r="A45" s="139" t="n"/>
      <c r="B45" s="5789" t="n"/>
      <c r="C45" s="5789" t="n"/>
      <c r="D45" s="5789" t="n"/>
      <c r="E45" s="5789" t="n"/>
      <c r="F45" s="7637" t="n"/>
      <c r="G45" s="7637" t="n"/>
      <c r="H45" s="7637" t="n"/>
      <c r="I45" s="7637" t="n"/>
      <c r="J45" s="7637" t="n"/>
      <c r="K45" s="7638" t="n"/>
      <c r="L45" s="5791" t="n"/>
      <c r="M45" s="5792" t="n"/>
      <c r="N45" s="7637" t="n"/>
      <c r="O45" s="7637" t="n"/>
      <c r="P45" s="5791" t="n"/>
      <c r="Q45" s="5792" t="n"/>
      <c r="R45" s="7637" t="n"/>
      <c r="S45" s="7637" t="n"/>
      <c r="T45" s="7638" t="n"/>
      <c r="U45" s="5791" t="n"/>
      <c r="V45" s="5792" t="n"/>
      <c r="W45" s="7637" t="n"/>
      <c r="X45" s="7637" t="n"/>
      <c r="Y45" s="5791" t="n"/>
      <c r="Z45" s="5792" t="n"/>
      <c r="AA45" s="7637" t="n"/>
      <c r="AB45" s="7637" t="n"/>
      <c r="AC45" s="7638" t="n"/>
      <c r="AD45" s="5791" t="n"/>
      <c r="AE45" s="5792" t="n"/>
      <c r="AF45" s="7637" t="n"/>
      <c r="AG45" s="7638" t="n"/>
      <c r="AH45" s="5791" t="n"/>
      <c r="AI45" s="5792" t="n"/>
      <c r="AJ45" s="7637" t="n"/>
      <c r="AK45" s="7637" t="n"/>
      <c r="AL45" s="5791" t="n"/>
      <c r="AM45" s="5792" t="n"/>
      <c r="AN45" s="7637" t="n"/>
      <c r="AO45" s="7638" t="n"/>
      <c r="AP45" s="5791" t="n"/>
      <c r="AQ45" s="5792" t="n"/>
      <c r="AR45" s="7637" t="n"/>
      <c r="AS45" s="7637" t="n"/>
      <c r="AT45" s="3997" t="n"/>
      <c r="AU45" s="3998" t="n"/>
      <c r="AV45" s="512" t="n"/>
      <c r="AW45" s="3961" t="n"/>
      <c r="AX45" s="512" t="n"/>
      <c r="AY45" s="512" t="n"/>
      <c r="AZ45" s="11741" t="n"/>
      <c r="BD45" s="1066" t="n"/>
      <c r="BE45" s="11602" t="n"/>
      <c r="BF45" s="11602" t="n"/>
      <c r="BG45" s="11602" t="n"/>
      <c r="BH45" s="11602" t="n"/>
      <c r="BI45" s="11602" t="n"/>
      <c r="BJ45" s="740" t="n"/>
      <c r="BK45" s="740" t="n"/>
      <c r="BL45" s="740" t="n"/>
      <c r="BM45" s="11602" t="n"/>
      <c r="BN45" s="11602" t="n"/>
      <c r="BO45" s="563" t="n"/>
      <c r="BP45" s="563" t="n"/>
      <c r="BQ45" s="11602" t="n"/>
      <c r="BR45" s="11602" t="n"/>
      <c r="BS45" s="11602" t="n"/>
      <c r="BT45" s="11704" t="n"/>
      <c r="BU45" s="658" t="n"/>
      <c r="BV45" s="658" t="n"/>
      <c r="BW45" s="658" t="n"/>
      <c r="BX45" s="658" t="n"/>
      <c r="BY45" s="658" t="n"/>
      <c r="BZ45" s="658" t="n"/>
      <c r="CA45" s="658" t="n"/>
      <c r="CB45" s="658" t="n"/>
      <c r="CC45" s="658" t="n"/>
      <c r="CD45" s="658" t="n"/>
      <c r="CE45" s="658" t="n"/>
      <c r="CF45" s="658" t="n"/>
    </row>
    <row r="46" ht="9" customHeight="1" s="7635" thickBot="1">
      <c r="A46" s="139" t="n"/>
      <c r="B46" s="5789" t="n"/>
      <c r="C46" s="5789" t="n"/>
      <c r="D46" s="5789" t="n"/>
      <c r="E46" s="5789" t="n"/>
      <c r="F46" s="11739" t="inlineStr">
        <is>
          <t>(7) Credits</t>
        </is>
      </c>
      <c r="G46" s="7839" t="n"/>
      <c r="H46" s="7839" t="n"/>
      <c r="I46" s="7839" t="n"/>
      <c r="J46" s="7839" t="n"/>
      <c r="K46" s="10091" t="n"/>
      <c r="L46" s="5799" t="n"/>
      <c r="M46" s="5794" t="n"/>
      <c r="N46" s="5794" t="n"/>
      <c r="O46" s="5794" t="n"/>
      <c r="P46" s="5799" t="n"/>
      <c r="Q46" s="5794" t="n"/>
      <c r="R46" s="5794" t="n"/>
      <c r="S46" s="5794" t="n"/>
      <c r="T46" s="5795" t="n"/>
      <c r="U46" s="5799" t="n"/>
      <c r="V46" s="5794" t="n"/>
      <c r="W46" s="5794" t="n"/>
      <c r="X46" s="5794" t="n"/>
      <c r="Y46" s="5799" t="n"/>
      <c r="Z46" s="5794" t="n"/>
      <c r="AA46" s="5794" t="n"/>
      <c r="AB46" s="5794" t="n"/>
      <c r="AC46" s="5795" t="n"/>
      <c r="AD46" s="5799" t="n"/>
      <c r="AE46" s="5794" t="n"/>
      <c r="AF46" s="5794" t="n"/>
      <c r="AG46" s="5794" t="n"/>
      <c r="AH46" s="5799" t="n"/>
      <c r="AI46" s="5794" t="n"/>
      <c r="AJ46" s="5794" t="n"/>
      <c r="AK46" s="5795" t="n"/>
      <c r="AL46" s="5799" t="n"/>
      <c r="AM46" s="5794" t="n"/>
      <c r="AN46" s="11740" t="inlineStr">
        <is>
          <t>Child tax credit</t>
        </is>
      </c>
      <c r="AO46" s="10091" t="n"/>
      <c r="AP46" s="5799" t="n"/>
      <c r="AQ46" s="5794" t="n"/>
      <c r="AR46" s="5794" t="n"/>
      <c r="AS46" s="5794" t="n"/>
      <c r="AT46" s="3997" t="n"/>
      <c r="AU46" s="3998" t="n"/>
      <c r="AV46" s="512" t="n"/>
      <c r="AW46" s="3961" t="n"/>
      <c r="AX46" s="512" t="n"/>
      <c r="AY46" s="512" t="n"/>
      <c r="AZ46" s="11741" t="n"/>
      <c r="BD46" s="1066" t="n"/>
      <c r="BE46" s="11602" t="n"/>
      <c r="BF46" s="11602" t="n"/>
      <c r="BG46" s="11602" t="n"/>
      <c r="BH46" s="11602" t="n"/>
      <c r="BI46" s="11602" t="n"/>
      <c r="BJ46" s="740" t="n"/>
      <c r="BK46" s="740" t="n"/>
      <c r="BL46" s="740" t="n"/>
      <c r="BM46" s="11602" t="n"/>
      <c r="BN46" s="11602" t="n"/>
      <c r="BO46" s="563" t="n"/>
      <c r="BP46" s="563" t="n"/>
      <c r="BQ46" s="11602" t="n"/>
      <c r="BR46" s="11602" t="n"/>
      <c r="BS46" s="11602" t="n"/>
      <c r="BT46" s="11704" t="n"/>
      <c r="BU46" s="658" t="n"/>
      <c r="BV46" s="658" t="n"/>
      <c r="BW46" s="658" t="n"/>
      <c r="BX46" s="658" t="n"/>
      <c r="BY46" s="658" t="n"/>
      <c r="BZ46" s="658" t="n"/>
      <c r="CA46" s="658" t="n"/>
      <c r="CB46" s="658" t="n"/>
      <c r="CC46" s="658" t="n"/>
      <c r="CD46" s="658" t="n"/>
      <c r="CE46" s="658" t="n"/>
      <c r="CF46" s="658" t="n"/>
    </row>
    <row r="47" ht="16.5" customHeight="1" s="7635" thickBot="1">
      <c r="A47" s="139" t="n"/>
      <c r="B47" s="5789" t="n"/>
      <c r="C47" s="5789" t="n"/>
      <c r="D47" s="5789" t="n"/>
      <c r="E47" s="5789" t="n"/>
      <c r="K47" s="7636" t="n"/>
      <c r="L47" s="5814" t="n"/>
      <c r="M47" s="1846">
        <f>IF(Dependents!BB7="","","X")</f>
        <v/>
      </c>
      <c r="N47" s="7134" t="inlineStr">
        <is>
          <t>Child tax credit</t>
        </is>
      </c>
      <c r="P47" s="5814" t="n"/>
      <c r="Q47" s="1846">
        <f>IF(Dependents!BK7="","","X")</f>
        <v/>
      </c>
      <c r="R47" s="7339" t="inlineStr">
        <is>
          <t>Credit for other dependents</t>
        </is>
      </c>
      <c r="T47" s="7636" t="n"/>
      <c r="U47" s="5814" t="n"/>
      <c r="V47" s="1846">
        <f>IF(Dependents!BB8="","","X")</f>
        <v/>
      </c>
      <c r="W47" s="7134" t="inlineStr">
        <is>
          <t>Child tax credit</t>
        </is>
      </c>
      <c r="Y47" s="5814" t="n"/>
      <c r="Z47" s="1846">
        <f>IF(Dependents!BK8="","","X")</f>
        <v/>
      </c>
      <c r="AA47" s="7339" t="inlineStr">
        <is>
          <t>Credit for other dependents</t>
        </is>
      </c>
      <c r="AC47" s="7636" t="n"/>
      <c r="AD47" s="5814" t="n"/>
      <c r="AE47" s="1846">
        <f>IF(Dependents!BB9="","","X")</f>
        <v/>
      </c>
      <c r="AF47" s="7134" t="inlineStr">
        <is>
          <t>Child tax credit</t>
        </is>
      </c>
      <c r="AH47" s="5814" t="n"/>
      <c r="AI47" s="1846">
        <f>IF(Dependents!BK9="","","X")</f>
        <v/>
      </c>
      <c r="AJ47" s="7140" t="inlineStr">
        <is>
          <t>Credit for other dependents</t>
        </is>
      </c>
      <c r="AL47" s="5814" t="n"/>
      <c r="AM47" s="1846">
        <f>IF(Dependents!BB10="","","X")</f>
        <v/>
      </c>
      <c r="AO47" s="7636" t="n"/>
      <c r="AP47" s="5814" t="n"/>
      <c r="AQ47" s="1846">
        <f>IF(Dependents!BK10="","","X")</f>
        <v/>
      </c>
      <c r="AR47" s="7140" t="inlineStr">
        <is>
          <t>Credit for other dependents</t>
        </is>
      </c>
      <c r="AT47" s="3997" t="n"/>
      <c r="AU47" s="5807" t="n"/>
      <c r="AV47" s="3999" t="n"/>
      <c r="AW47" s="4000">
        <f>Qual_Child_Count</f>
        <v/>
      </c>
      <c r="AX47" s="4001" t="inlineStr">
        <is>
          <t>Number of qualifying children.</t>
        </is>
      </c>
      <c r="AY47" s="3951" t="n"/>
      <c r="AZ47" s="11741" t="n"/>
      <c r="BD47" s="1066" t="n"/>
      <c r="BE47" s="11602" t="n"/>
      <c r="BF47" s="11602" t="n"/>
      <c r="BG47" s="11602" t="n"/>
      <c r="BH47" s="11602" t="n"/>
      <c r="BI47" s="11602" t="n"/>
      <c r="BJ47" s="740" t="n"/>
      <c r="BK47" s="740" t="n"/>
      <c r="BL47" s="740" t="n"/>
      <c r="BM47" s="11602" t="n"/>
      <c r="BN47" s="11602" t="n"/>
      <c r="BO47" s="563" t="n"/>
      <c r="BP47" s="563" t="n"/>
      <c r="BQ47" s="11602" t="n"/>
      <c r="BR47" s="11602" t="n"/>
      <c r="BS47" s="11602" t="n"/>
      <c r="BT47" s="11704" t="n"/>
      <c r="BU47" s="658" t="n"/>
      <c r="BV47" s="658" t="n"/>
      <c r="BW47" s="658" t="n"/>
      <c r="BX47" s="658" t="n"/>
      <c r="BY47" s="658" t="n"/>
      <c r="BZ47" s="658" t="n"/>
      <c r="CA47" s="658" t="n"/>
      <c r="CB47" s="658" t="n"/>
      <c r="CC47" s="658" t="n"/>
      <c r="CD47" s="658" t="n"/>
      <c r="CE47" s="658" t="n"/>
      <c r="CF47" s="658" t="n"/>
    </row>
    <row r="48" ht="16.5" customHeight="1" s="7635" thickBot="1">
      <c r="A48" s="139" t="n"/>
      <c r="B48" s="5789" t="n"/>
      <c r="C48" s="5789" t="n"/>
      <c r="D48" s="5789" t="n"/>
      <c r="E48" s="5789" t="n"/>
      <c r="F48" s="7637" t="n"/>
      <c r="G48" s="7637" t="n"/>
      <c r="H48" s="7637" t="n"/>
      <c r="I48" s="7637" t="n"/>
      <c r="J48" s="7637" t="n"/>
      <c r="K48" s="7638" t="n"/>
      <c r="L48" s="5791" t="n"/>
      <c r="M48" s="5792" t="n"/>
      <c r="N48" s="7637" t="n"/>
      <c r="O48" s="7637" t="n"/>
      <c r="P48" s="5791" t="n"/>
      <c r="Q48" s="5792" t="n"/>
      <c r="R48" s="7637" t="n"/>
      <c r="S48" s="7637" t="n"/>
      <c r="T48" s="7638" t="n"/>
      <c r="U48" s="5791" t="n"/>
      <c r="V48" s="5792" t="n"/>
      <c r="W48" s="7637" t="n"/>
      <c r="X48" s="7637" t="n"/>
      <c r="Y48" s="5791" t="n"/>
      <c r="Z48" s="5792" t="n"/>
      <c r="AA48" s="7637" t="n"/>
      <c r="AB48" s="7637" t="n"/>
      <c r="AC48" s="7638" t="n"/>
      <c r="AD48" s="5791" t="n"/>
      <c r="AE48" s="5792" t="n"/>
      <c r="AF48" s="7637" t="n"/>
      <c r="AG48" s="7637" t="n"/>
      <c r="AH48" s="5791" t="n"/>
      <c r="AI48" s="5792" t="n"/>
      <c r="AJ48" s="7637" t="n"/>
      <c r="AK48" s="7637" t="n"/>
      <c r="AL48" s="5791" t="n"/>
      <c r="AM48" s="5792" t="n"/>
      <c r="AN48" s="7637" t="n"/>
      <c r="AO48" s="7638" t="n"/>
      <c r="AP48" s="5791" t="n"/>
      <c r="AQ48" s="5792" t="n"/>
      <c r="AR48" s="7637" t="n"/>
      <c r="AS48" s="7637" t="n"/>
      <c r="AT48" s="3997" t="n"/>
      <c r="AU48" s="5807" t="n"/>
      <c r="AV48" s="3999" t="n"/>
      <c r="AW48" s="4000">
        <f>DependentCount</f>
        <v/>
      </c>
      <c r="AX48" s="4002" t="inlineStr">
        <is>
          <t>Number of other dependents.</t>
        </is>
      </c>
      <c r="AY48" s="3951" t="n"/>
      <c r="AZ48" s="11741" t="n"/>
      <c r="BD48" s="1066" t="n"/>
      <c r="BE48" s="11602" t="n"/>
      <c r="BF48" s="11602" t="n"/>
      <c r="BG48" s="11602" t="n"/>
      <c r="BH48" s="11602" t="n"/>
      <c r="BI48" s="11602" t="n"/>
      <c r="BJ48" s="740" t="n"/>
      <c r="BK48" s="740" t="n"/>
      <c r="BL48" s="740" t="n"/>
      <c r="BM48" s="11602" t="n"/>
      <c r="BN48" s="11602" t="n"/>
      <c r="BO48" s="563" t="n"/>
      <c r="BP48" s="563" t="n"/>
      <c r="BQ48" s="11602" t="n"/>
      <c r="BR48" s="11602" t="n"/>
      <c r="BS48" s="11602" t="n"/>
      <c r="BT48" s="11704" t="n"/>
      <c r="BU48" s="658" t="n"/>
      <c r="BV48" s="658" t="n"/>
      <c r="BW48" s="658" t="n"/>
      <c r="BX48" s="658" t="n"/>
      <c r="BY48" s="658" t="n"/>
      <c r="BZ48" s="658" t="n"/>
      <c r="CA48" s="658" t="n"/>
      <c r="CB48" s="658" t="n"/>
      <c r="CC48" s="658" t="n"/>
      <c r="CD48" s="658" t="n"/>
      <c r="CE48" s="658" t="n"/>
      <c r="CF48" s="658" t="n"/>
    </row>
    <row r="49" ht="16.5" customHeight="1" s="7635" thickBot="1">
      <c r="A49" s="139" t="n"/>
      <c r="B49" s="5789" t="n"/>
      <c r="C49" s="5789" t="n"/>
      <c r="D49" s="5789" t="n"/>
      <c r="E49" s="5789" t="n"/>
      <c r="F49" s="276" t="n"/>
      <c r="G49" s="11742">
        <f>"Check if your filing status is MFS or HOH and you lived apart from your spouse for the last 6 months of "&amp;TaxYear&amp;", or you are legally"&amp;CHAR(10)&amp;"separated according to your state law under a written separation agreement or a decree of separate maintenance and you did not"&amp;CHAR(10)&amp;"live in the same household as your spouse at the end of "&amp;TaxYear&amp;"."</f>
        <v/>
      </c>
      <c r="H49" s="7839" t="n"/>
      <c r="I49" s="7839" t="n"/>
      <c r="J49" s="7839" t="n"/>
      <c r="K49" s="7839" t="n"/>
      <c r="L49" s="7839" t="n"/>
      <c r="M49" s="7839" t="n"/>
      <c r="N49" s="7839" t="n"/>
      <c r="O49" s="7839" t="n"/>
      <c r="P49" s="7839" t="n"/>
      <c r="Q49" s="7839" t="n"/>
      <c r="R49" s="7839" t="n"/>
      <c r="S49" s="7839" t="n"/>
      <c r="T49" s="7839" t="n"/>
      <c r="U49" s="7839" t="n"/>
      <c r="V49" s="7839" t="n"/>
      <c r="W49" s="7839" t="n"/>
      <c r="X49" s="7839" t="n"/>
      <c r="Y49" s="7839" t="n"/>
      <c r="Z49" s="7839" t="n"/>
      <c r="AA49" s="7839" t="n"/>
      <c r="AB49" s="7839" t="n"/>
      <c r="AC49" s="7839" t="n"/>
      <c r="AD49" s="7839" t="n"/>
      <c r="AE49" s="7839" t="n"/>
      <c r="AF49" s="7839" t="n"/>
      <c r="AG49" s="7839" t="n"/>
      <c r="AH49" s="7839" t="n"/>
      <c r="AI49" s="7839" t="n"/>
      <c r="AJ49" s="7839" t="n"/>
      <c r="AK49" s="7839" t="n"/>
      <c r="AL49" s="7839" t="n"/>
      <c r="AM49" s="7839" t="n"/>
      <c r="AN49" s="7839" t="n"/>
      <c r="AO49" s="7839" t="n"/>
      <c r="AP49" s="7839" t="n"/>
      <c r="AQ49" s="7839" t="n"/>
      <c r="AR49" s="7839" t="n"/>
      <c r="AS49" s="7839" t="n"/>
      <c r="AT49" s="3997" t="n"/>
      <c r="AU49" s="3998" t="n"/>
      <c r="AV49" s="512" t="n"/>
      <c r="AW49" s="3961" t="n"/>
      <c r="AX49" s="5819" t="n"/>
      <c r="AY49" s="512" t="n"/>
      <c r="AZ49" s="11743" t="n"/>
      <c r="BA49" s="8848" t="n"/>
      <c r="BB49" s="8848" t="n"/>
      <c r="BC49" s="8848" t="n"/>
      <c r="BD49" s="2627" t="n"/>
      <c r="BE49" s="11602" t="n"/>
      <c r="BF49" s="11602" t="n"/>
      <c r="BG49" s="11602" t="n"/>
      <c r="BH49" s="11602" t="n"/>
      <c r="BI49" s="11602" t="n"/>
      <c r="BJ49" s="740" t="n"/>
      <c r="BK49" s="740" t="n"/>
      <c r="BL49" s="740" t="n"/>
      <c r="BM49" s="11602" t="n"/>
      <c r="BN49" s="11602" t="n"/>
      <c r="BO49" s="563" t="n"/>
      <c r="BP49" s="563" t="n"/>
      <c r="BQ49" s="11602" t="n"/>
      <c r="BR49" s="11602" t="n"/>
      <c r="BS49" s="11602" t="n"/>
      <c r="BT49" s="11704" t="n"/>
      <c r="BU49" s="658" t="n"/>
      <c r="BV49" s="658" t="n"/>
      <c r="BW49" s="658" t="n"/>
      <c r="BX49" s="658" t="n"/>
      <c r="BY49" s="658" t="n"/>
      <c r="BZ49" s="658" t="n"/>
      <c r="CA49" s="658" t="n"/>
      <c r="CB49" s="658" t="n"/>
      <c r="CC49" s="658" t="n"/>
      <c r="CD49" s="658" t="n"/>
      <c r="CE49" s="658" t="n"/>
      <c r="CF49" s="658" t="n"/>
    </row>
    <row r="50" ht="28.5" customHeight="1" s="7635" thickBot="1">
      <c r="A50" s="139" t="n"/>
      <c r="B50" s="5821" t="n"/>
      <c r="C50" s="5821" t="n"/>
      <c r="D50" s="5821" t="n"/>
      <c r="E50" s="5821" t="n"/>
      <c r="F50" s="5822" t="n"/>
      <c r="G50" s="11705" t="n"/>
      <c r="H50" s="11705" t="n"/>
      <c r="I50" s="11705" t="n"/>
      <c r="J50" s="11705" t="n"/>
      <c r="K50" s="11705" t="n"/>
      <c r="L50" s="11705" t="n"/>
      <c r="M50" s="11705" t="n"/>
      <c r="N50" s="11705" t="n"/>
      <c r="O50" s="11705" t="n"/>
      <c r="P50" s="11705" t="n"/>
      <c r="Q50" s="11705" t="n"/>
      <c r="R50" s="11705" t="n"/>
      <c r="S50" s="11705" t="n"/>
      <c r="T50" s="11705" t="n"/>
      <c r="U50" s="11705" t="n"/>
      <c r="V50" s="11705" t="n"/>
      <c r="W50" s="11705" t="n"/>
      <c r="X50" s="11705" t="n"/>
      <c r="Y50" s="11705" t="n"/>
      <c r="Z50" s="11705" t="n"/>
      <c r="AA50" s="11705" t="n"/>
      <c r="AB50" s="11705" t="n"/>
      <c r="AC50" s="11705" t="n"/>
      <c r="AD50" s="11705" t="n"/>
      <c r="AE50" s="11705" t="n"/>
      <c r="AF50" s="11705" t="n"/>
      <c r="AG50" s="11705" t="n"/>
      <c r="AH50" s="11705" t="n"/>
      <c r="AI50" s="11705" t="n"/>
      <c r="AJ50" s="11705" t="n"/>
      <c r="AK50" s="11705" t="n"/>
      <c r="AL50" s="11705" t="n"/>
      <c r="AM50" s="11705" t="n"/>
      <c r="AN50" s="11705" t="n"/>
      <c r="AO50" s="11705" t="n"/>
      <c r="AP50" s="11705" t="n"/>
      <c r="AQ50" s="11705" t="n"/>
      <c r="AR50" s="11705" t="n"/>
      <c r="AS50" s="11705" t="n"/>
      <c r="AT50" s="3997" t="n"/>
      <c r="AU50" s="3998" t="n"/>
      <c r="AV50" s="512" t="n"/>
      <c r="AW50" s="3961" t="n"/>
      <c r="AX50" s="5819" t="inlineStr">
        <is>
          <t>Manual
Override</t>
        </is>
      </c>
      <c r="AY50" s="512" t="n"/>
      <c r="AZ50" s="11602" t="n"/>
      <c r="BA50" s="11602" t="n"/>
      <c r="BB50" s="11602" t="n"/>
      <c r="BC50" s="689" t="n"/>
      <c r="BD50" s="11602" t="n"/>
      <c r="BE50" s="11602" t="n"/>
      <c r="BF50" s="11602" t="n"/>
      <c r="BG50" s="11602" t="n"/>
      <c r="BH50" s="11602" t="n"/>
      <c r="BI50" s="11602" t="n"/>
      <c r="BJ50" s="740" t="n"/>
      <c r="BK50" s="740" t="n"/>
      <c r="BL50" s="740" t="n"/>
      <c r="BM50" s="11602" t="n"/>
      <c r="BN50" s="11602" t="n"/>
      <c r="BO50" s="563" t="n"/>
      <c r="BP50" s="563" t="n"/>
      <c r="BQ50" s="11602" t="n"/>
      <c r="BR50" s="11602" t="n"/>
      <c r="BS50" s="11602" t="n"/>
      <c r="BT50" s="11704" t="n"/>
      <c r="BU50" s="658" t="n"/>
      <c r="BV50" s="658" t="n"/>
      <c r="BW50" s="658" t="n"/>
      <c r="BX50" s="658" t="n"/>
      <c r="BY50" s="658" t="n"/>
      <c r="BZ50" s="658" t="n"/>
      <c r="CA50" s="658" t="n"/>
      <c r="CB50" s="658" t="n"/>
      <c r="CC50" s="658" t="n"/>
      <c r="CD50" s="658" t="n"/>
      <c r="CE50" s="658" t="n"/>
      <c r="CF50" s="658" t="n"/>
    </row>
    <row r="51" ht="15" customHeight="1" s="7635" thickTop="1">
      <c r="A51" s="139" t="n"/>
      <c r="B51" s="7378" t="inlineStr">
        <is>
          <t>Income</t>
        </is>
      </c>
      <c r="E51" s="7378" t="n"/>
      <c r="F51" s="1888" t="n">
        <v>1</v>
      </c>
      <c r="G51" s="1417" t="inlineStr">
        <is>
          <t>a</t>
        </is>
      </c>
      <c r="H51" s="1889" t="inlineStr">
        <is>
          <t>Total amount from Form(s) W-2, box 1 (see instructions)</t>
        </is>
      </c>
      <c r="I51" s="1876" t="n"/>
      <c r="J51" s="1876" t="n"/>
      <c r="K51" s="1876" t="n"/>
      <c r="L51" s="1876" t="n"/>
      <c r="M51" s="1876" t="n"/>
      <c r="N51" s="1876" t="n"/>
      <c r="O51" s="1876" t="n"/>
      <c r="P51" s="1876" t="n"/>
      <c r="Q51" s="1876" t="n"/>
      <c r="R51" s="1876" t="n"/>
      <c r="S51" s="1876" t="n"/>
      <c r="T51" s="1876" t="n"/>
      <c r="U51" s="1876" t="n"/>
      <c r="V51" s="1876" t="n"/>
      <c r="W51" s="1876" t="n"/>
      <c r="X51" s="1876" t="n"/>
      <c r="Y51" s="1527" t="n"/>
      <c r="Z51" s="1527" t="n"/>
      <c r="AA51" s="1417" t="n"/>
      <c r="AB51" s="1417" t="n"/>
      <c r="AC51" s="1417" t="n"/>
      <c r="AD51" s="1417" t="n"/>
      <c r="AE51" s="1417" t="n"/>
      <c r="AF51" s="1417" t="n"/>
      <c r="AG51" s="1417" t="n"/>
      <c r="AH51" s="1417" t="n"/>
      <c r="AI51" s="1417" t="n"/>
      <c r="AJ51" s="11744" t="inlineStr">
        <is>
          <t xml:space="preserve">.   .   .   .   .   .   .   .   .   .   .   .   .   .   .   .   . </t>
        </is>
      </c>
      <c r="AK51" s="1877" t="inlineStr">
        <is>
          <t>1a</t>
        </is>
      </c>
      <c r="AL51" s="7065">
        <f>IF(AX51&lt;&gt;"",ROUND(AX51,0),W2_Wages)</f>
        <v/>
      </c>
      <c r="AM51" s="7637" t="n"/>
      <c r="AN51" s="7637" t="n"/>
      <c r="AO51" s="7637" t="n"/>
      <c r="AP51" s="7637" t="n"/>
      <c r="AQ51" s="7637" t="n"/>
      <c r="AR51" s="7637" t="n"/>
      <c r="AS51" s="1878" t="n"/>
      <c r="AT51" s="4004" t="n"/>
      <c r="AU51" s="1318" t="n"/>
      <c r="AV51" s="4005" t="inlineStr">
        <is>
          <t>4a</t>
        </is>
      </c>
      <c r="AW51" s="4006">
        <f>AND(CONV2ROTH=0,ROUND(IRA_Gross,0)=IRA_Taxable)</f>
        <v/>
      </c>
      <c r="AX51" s="732" t="n"/>
      <c r="AY51" s="5820">
        <f>OR(AX51&lt;&gt;"",AX61&lt;&gt;"",AY61&lt;&gt;"",AX62&lt;&gt;"",AY62&lt;&gt;"",AX65&lt;&gt;"",AY65&lt;&gt;"",AX68&lt;&gt;"",AY68&lt;&gt;"",AX71&lt;&gt;"",AY71&lt;&gt;"")</f>
        <v/>
      </c>
      <c r="AZ51" s="11602" t="n"/>
      <c r="BA51" s="11602" t="n"/>
      <c r="BB51" s="11602" t="n"/>
      <c r="BC51" s="689" t="n"/>
      <c r="BD51" s="11602" t="n"/>
      <c r="BE51" s="11602" t="n"/>
      <c r="BF51" s="11602" t="n"/>
      <c r="BG51" s="11602" t="n"/>
      <c r="BH51" s="11602" t="n"/>
      <c r="BI51" s="11602" t="n"/>
      <c r="BJ51" s="11602" t="n"/>
      <c r="BK51" s="11602" t="n"/>
      <c r="BL51" s="11602" t="n"/>
      <c r="BM51" s="11602" t="n"/>
      <c r="BN51" s="11602" t="n"/>
      <c r="BO51" s="11602" t="n"/>
      <c r="BP51" s="11602" t="n"/>
      <c r="BQ51" s="11602" t="n"/>
      <c r="BR51" s="11602" t="n"/>
      <c r="BS51" s="11602" t="n"/>
      <c r="BT51" s="11704" t="n"/>
      <c r="BU51" s="658" t="n"/>
      <c r="BV51" s="658" t="n"/>
      <c r="BW51" s="658" t="n"/>
      <c r="BX51" s="658" t="n"/>
      <c r="BY51" s="658" t="n"/>
      <c r="BZ51" s="658" t="n"/>
      <c r="CA51" s="658" t="n"/>
      <c r="CB51" s="658" t="n"/>
      <c r="CC51" s="658" t="n"/>
      <c r="CD51" s="658" t="n"/>
      <c r="CE51" s="658" t="n"/>
      <c r="CF51" s="658" t="n"/>
    </row>
    <row r="52" ht="15" customHeight="1" s="7635">
      <c r="A52" s="139" t="n"/>
      <c r="E52" s="7378" t="n"/>
      <c r="F52" s="1888" t="n"/>
      <c r="G52" s="1417" t="inlineStr">
        <is>
          <t>b</t>
        </is>
      </c>
      <c r="H52" s="1889" t="inlineStr">
        <is>
          <t>Household employee wages not reported on Form(s) W-2</t>
        </is>
      </c>
      <c r="I52" s="1876" t="n"/>
      <c r="J52" s="1876" t="n"/>
      <c r="K52" s="1876" t="n"/>
      <c r="L52" s="1876" t="n"/>
      <c r="M52" s="1876" t="n"/>
      <c r="N52" s="1876" t="n"/>
      <c r="O52" s="1876" t="n"/>
      <c r="P52" s="1876" t="n"/>
      <c r="Q52" s="1876" t="n"/>
      <c r="R52" s="1876" t="n"/>
      <c r="S52" s="1876" t="n"/>
      <c r="T52" s="1876" t="n"/>
      <c r="U52" s="1876" t="n"/>
      <c r="V52" s="1876" t="n"/>
      <c r="W52" s="1876" t="n"/>
      <c r="X52" s="1876" t="n"/>
      <c r="Y52" s="1416" t="n"/>
      <c r="Z52" s="1416" t="n"/>
      <c r="AA52" s="1417" t="n"/>
      <c r="AB52" s="1417" t="n"/>
      <c r="AC52" s="1417" t="n"/>
      <c r="AD52" s="1417" t="n"/>
      <c r="AE52" s="1417" t="n"/>
      <c r="AF52" s="1417" t="n"/>
      <c r="AG52" s="1417" t="n"/>
      <c r="AH52" s="1417" t="n"/>
      <c r="AI52" s="1417" t="n"/>
      <c r="AJ52" s="11744" t="inlineStr">
        <is>
          <t xml:space="preserve">.   .   .   .   .   .   .   .   .   .   .   .   .   .   .   . </t>
        </is>
      </c>
      <c r="AK52" s="1877" t="inlineStr">
        <is>
          <t>1b</t>
        </is>
      </c>
      <c r="AL52" s="7068" t="n"/>
      <c r="AM52" s="8007" t="n"/>
      <c r="AN52" s="8007" t="n"/>
      <c r="AO52" s="8007" t="n"/>
      <c r="AP52" s="8007" t="n"/>
      <c r="AQ52" s="8007" t="n"/>
      <c r="AR52" s="8007" t="n"/>
      <c r="AS52" s="1878" t="n"/>
      <c r="AT52" s="4004" t="n"/>
      <c r="AU52" s="1318" t="n"/>
      <c r="AV52" s="4005" t="n"/>
      <c r="AW52" s="4006" t="n"/>
      <c r="AX52" s="4007" t="n"/>
      <c r="AY52" s="4009" t="n"/>
      <c r="AZ52" s="11602" t="n"/>
      <c r="BA52" s="11602" t="n"/>
      <c r="BB52" s="11602" t="n"/>
      <c r="BC52" s="689" t="n"/>
      <c r="BD52" s="11602" t="n"/>
      <c r="BE52" s="11602" t="n"/>
      <c r="BF52" s="11602" t="n"/>
      <c r="BG52" s="11602" t="n"/>
      <c r="BH52" s="11602" t="n"/>
      <c r="BI52" s="11602" t="n"/>
      <c r="BJ52" s="11602" t="n"/>
      <c r="BK52" s="11602" t="n"/>
      <c r="BL52" s="11602" t="n"/>
      <c r="BM52" s="11602" t="n"/>
      <c r="BN52" s="11602" t="n"/>
      <c r="BO52" s="11602" t="n"/>
      <c r="BP52" s="11602" t="n"/>
      <c r="BQ52" s="11602" t="n"/>
      <c r="BR52" s="11602" t="n"/>
      <c r="BS52" s="11602" t="n"/>
      <c r="BT52" s="11704" t="n"/>
      <c r="BU52" s="658" t="n"/>
      <c r="BV52" s="658" t="n"/>
      <c r="BW52" s="658" t="n"/>
      <c r="BX52" s="658" t="n"/>
      <c r="BY52" s="658" t="n"/>
      <c r="BZ52" s="658" t="n"/>
      <c r="CA52" s="658" t="n"/>
      <c r="CB52" s="658" t="n"/>
      <c r="CC52" s="658" t="n"/>
      <c r="CD52" s="658" t="n"/>
      <c r="CE52" s="658" t="n"/>
      <c r="CF52" s="658" t="n"/>
    </row>
    <row r="53" ht="15" customHeight="1" s="7635">
      <c r="A53" s="139" t="n"/>
      <c r="B53" s="7352" t="inlineStr">
        <is>
          <t>Attach Form(s)
W-2 here. Also attach Forms 
W-2G and 
1099-R if tax 
was withheld.</t>
        </is>
      </c>
      <c r="E53" s="1879" t="n"/>
      <c r="F53" s="1888" t="n"/>
      <c r="G53" s="1417" t="inlineStr">
        <is>
          <t>c</t>
        </is>
      </c>
      <c r="H53" s="1889" t="inlineStr">
        <is>
          <t>Tip income not reported on line 1a (see instructions)</t>
        </is>
      </c>
      <c r="I53" s="1876" t="n"/>
      <c r="J53" s="1876" t="n"/>
      <c r="K53" s="1876" t="n"/>
      <c r="L53" s="1876" t="n"/>
      <c r="M53" s="1876" t="n"/>
      <c r="N53" s="1876" t="n"/>
      <c r="O53" s="1876" t="n"/>
      <c r="P53" s="1876" t="n"/>
      <c r="Q53" s="1876" t="n"/>
      <c r="R53" s="1876" t="n"/>
      <c r="S53" s="1876" t="n"/>
      <c r="T53" s="1876" t="n"/>
      <c r="U53" s="1876" t="n"/>
      <c r="V53" s="1876" t="n"/>
      <c r="W53" s="1876" t="n"/>
      <c r="X53" s="1876" t="n"/>
      <c r="Y53" s="1416" t="n"/>
      <c r="Z53" s="1416" t="n"/>
      <c r="AA53" s="1417" t="n"/>
      <c r="AB53" s="1417" t="n"/>
      <c r="AC53" s="1417" t="n"/>
      <c r="AD53" s="1417" t="n"/>
      <c r="AE53" s="1417" t="n"/>
      <c r="AF53" s="1417" t="n"/>
      <c r="AG53" s="1417" t="n"/>
      <c r="AH53" s="1417" t="n"/>
      <c r="AI53" s="1417" t="n"/>
      <c r="AJ53" s="11744" t="inlineStr">
        <is>
          <t xml:space="preserve">.   .   .   .   .   .   .   .   .   .   .   .   .   .   .   .   .   . </t>
        </is>
      </c>
      <c r="AK53" s="1877" t="inlineStr">
        <is>
          <t>1c</t>
        </is>
      </c>
      <c r="AL53" s="7068" t="n"/>
      <c r="AM53" s="8007" t="n"/>
      <c r="AN53" s="8007" t="n"/>
      <c r="AO53" s="8007" t="n"/>
      <c r="AP53" s="8007" t="n"/>
      <c r="AQ53" s="8007" t="n"/>
      <c r="AR53" s="8007" t="n"/>
      <c r="AS53" s="1878" t="n"/>
      <c r="AT53" s="4004" t="n"/>
      <c r="AU53" s="1318" t="n"/>
      <c r="AV53" s="4005" t="n"/>
      <c r="AW53" s="4006" t="n"/>
      <c r="AX53" s="4008" t="n"/>
      <c r="AY53" s="4009" t="n"/>
      <c r="AZ53" s="11602" t="n"/>
      <c r="BA53" s="11602" t="n"/>
      <c r="BB53" s="11602" t="n"/>
      <c r="BC53" s="689" t="n"/>
      <c r="BD53" s="11602" t="n"/>
      <c r="BE53" s="11602" t="n"/>
      <c r="BF53" s="11602" t="n"/>
      <c r="BG53" s="11602" t="n"/>
      <c r="BH53" s="11602" t="n"/>
      <c r="BI53" s="11602" t="n"/>
      <c r="BJ53" s="11602" t="n"/>
      <c r="BK53" s="11602" t="n"/>
      <c r="BL53" s="11602" t="n"/>
      <c r="BM53" s="11602" t="n"/>
      <c r="BN53" s="11602" t="n"/>
      <c r="BO53" s="11602" t="n"/>
      <c r="BP53" s="11602" t="n"/>
      <c r="BQ53" s="11602" t="n"/>
      <c r="BR53" s="11602" t="n"/>
      <c r="BS53" s="11602" t="n"/>
      <c r="BT53" s="11704" t="n"/>
      <c r="BU53" s="658" t="n"/>
      <c r="BV53" s="658" t="n"/>
      <c r="BW53" s="658" t="n"/>
      <c r="BX53" s="658" t="n"/>
      <c r="BY53" s="658" t="n"/>
      <c r="BZ53" s="658" t="n"/>
      <c r="CA53" s="658" t="n"/>
      <c r="CB53" s="658" t="n"/>
      <c r="CC53" s="658" t="n"/>
      <c r="CD53" s="658" t="n"/>
      <c r="CE53" s="658" t="n"/>
      <c r="CF53" s="658" t="n"/>
    </row>
    <row r="54" ht="15" customHeight="1" s="7635">
      <c r="A54" s="139" t="n"/>
      <c r="E54" s="1879" t="n"/>
      <c r="F54" s="1888" t="n"/>
      <c r="G54" s="1417" t="inlineStr">
        <is>
          <t>d</t>
        </is>
      </c>
      <c r="H54" s="1889" t="inlineStr">
        <is>
          <t>Medicaid waiver payments not reported on Form(s) W-2 (see instructions)</t>
        </is>
      </c>
      <c r="I54" s="1876" t="n"/>
      <c r="J54" s="1876" t="n"/>
      <c r="K54" s="1876" t="n"/>
      <c r="L54" s="1876" t="n"/>
      <c r="M54" s="1876" t="n"/>
      <c r="N54" s="1876" t="n"/>
      <c r="O54" s="1876" t="n"/>
      <c r="P54" s="1876" t="n"/>
      <c r="Q54" s="1876" t="n"/>
      <c r="R54" s="1876" t="n"/>
      <c r="S54" s="1876" t="n"/>
      <c r="T54" s="1876" t="n"/>
      <c r="U54" s="1876" t="n"/>
      <c r="V54" s="1876" t="n"/>
      <c r="W54" s="1876" t="n"/>
      <c r="X54" s="1876" t="n"/>
      <c r="Y54" s="1416" t="n"/>
      <c r="Z54" s="1416" t="n"/>
      <c r="AA54" s="1417" t="n"/>
      <c r="AB54" s="1417" t="n"/>
      <c r="AC54" s="1417" t="n"/>
      <c r="AD54" s="1417" t="n"/>
      <c r="AE54" s="1417" t="n"/>
      <c r="AF54" s="1417" t="n"/>
      <c r="AG54" s="1417" t="n"/>
      <c r="AH54" s="1417" t="n"/>
      <c r="AI54" s="1417" t="n"/>
      <c r="AJ54" s="11744" t="inlineStr">
        <is>
          <t xml:space="preserve">.   .   .   .   .   .   .   .   .   . </t>
        </is>
      </c>
      <c r="AK54" s="1877" t="inlineStr">
        <is>
          <t>1d</t>
        </is>
      </c>
      <c r="AL54" s="7068" t="n"/>
      <c r="AM54" s="8007" t="n"/>
      <c r="AN54" s="8007" t="n"/>
      <c r="AO54" s="8007" t="n"/>
      <c r="AP54" s="8007" t="n"/>
      <c r="AQ54" s="8007" t="n"/>
      <c r="AR54" s="8007" t="n"/>
      <c r="AS54" s="1878" t="n"/>
      <c r="AT54" s="4004" t="n"/>
      <c r="AU54" s="1318" t="n"/>
      <c r="AV54" s="4005" t="n"/>
      <c r="AW54" s="4006" t="n"/>
      <c r="AX54" s="4008" t="n"/>
      <c r="AY54" s="4009" t="n"/>
      <c r="AZ54" s="11602" t="n"/>
      <c r="BA54" s="11602" t="n"/>
      <c r="BB54" s="11602" t="n"/>
      <c r="BC54" s="689" t="n"/>
      <c r="BD54" s="11602" t="n"/>
      <c r="BE54" s="11602" t="n"/>
      <c r="BF54" s="11602" t="n"/>
      <c r="BG54" s="11602" t="n"/>
      <c r="BH54" s="11602" t="n"/>
      <c r="BI54" s="11602" t="n"/>
      <c r="BJ54" s="11602" t="n"/>
      <c r="BK54" s="11602" t="n"/>
      <c r="BL54" s="11602" t="n"/>
      <c r="BM54" s="11602" t="n"/>
      <c r="BN54" s="11602" t="n"/>
      <c r="BO54" s="11602" t="n"/>
      <c r="BP54" s="11602" t="n"/>
      <c r="BQ54" s="11602" t="n"/>
      <c r="BR54" s="11602" t="n"/>
      <c r="BS54" s="11602" t="n"/>
      <c r="BT54" s="11704" t="n"/>
      <c r="BU54" s="658" t="n"/>
      <c r="BV54" s="658" t="n"/>
      <c r="BW54" s="658" t="n"/>
      <c r="BX54" s="658" t="n"/>
      <c r="BY54" s="658" t="n"/>
      <c r="BZ54" s="658" t="n"/>
      <c r="CA54" s="658" t="n"/>
      <c r="CB54" s="658" t="n"/>
      <c r="CC54" s="658" t="n"/>
      <c r="CD54" s="658" t="n"/>
      <c r="CE54" s="658" t="n"/>
      <c r="CF54" s="658" t="n"/>
    </row>
    <row r="55" ht="15" customHeight="1" s="7635">
      <c r="A55" s="139" t="n"/>
      <c r="E55" s="1879" t="n"/>
      <c r="F55" s="1888" t="n"/>
      <c r="G55" s="1417" t="inlineStr">
        <is>
          <t>e</t>
        </is>
      </c>
      <c r="H55" s="1889" t="inlineStr">
        <is>
          <t>Taxable dependent care benefits from Form 2441, line 26</t>
        </is>
      </c>
      <c r="I55" s="1876" t="n"/>
      <c r="J55" s="1876" t="n"/>
      <c r="K55" s="1876" t="n"/>
      <c r="L55" s="1876" t="n"/>
      <c r="M55" s="1876" t="n"/>
      <c r="N55" s="1876" t="n"/>
      <c r="O55" s="1876" t="n"/>
      <c r="P55" s="1876" t="n"/>
      <c r="Q55" s="1876" t="n"/>
      <c r="R55" s="1876" t="n"/>
      <c r="S55" s="1876" t="n"/>
      <c r="T55" s="1876" t="n"/>
      <c r="U55" s="1876" t="n"/>
      <c r="V55" s="1876" t="n"/>
      <c r="W55" s="1876" t="n"/>
      <c r="X55" s="1876" t="n"/>
      <c r="Y55" s="1416" t="n"/>
      <c r="Z55" s="1416" t="n"/>
      <c r="AA55" s="1417" t="n"/>
      <c r="AB55" s="1417" t="n"/>
      <c r="AC55" s="1417" t="n"/>
      <c r="AD55" s="1417" t="n"/>
      <c r="AE55" s="1417" t="n"/>
      <c r="AF55" s="1417" t="n"/>
      <c r="AG55" s="1417" t="n"/>
      <c r="AH55" s="1417" t="n"/>
      <c r="AI55" s="1417" t="n"/>
      <c r="AJ55" s="11744" t="inlineStr">
        <is>
          <t xml:space="preserve">.   .   .   .   .   .   .   .   .   .   .   .   .   .   .   . </t>
        </is>
      </c>
      <c r="AK55" s="1877" t="inlineStr">
        <is>
          <t>1e</t>
        </is>
      </c>
      <c r="AL55" s="7056">
        <f>IF(AX55&lt;&gt;"",ROUND(AX55,0),Dependent_Care)</f>
        <v/>
      </c>
      <c r="AM55" s="8412" t="n"/>
      <c r="AN55" s="8412" t="n"/>
      <c r="AO55" s="8412" t="n"/>
      <c r="AP55" s="8412" t="n"/>
      <c r="AQ55" s="8412" t="n"/>
      <c r="AR55" s="8412" t="n"/>
      <c r="AS55" s="1878" t="n"/>
      <c r="AT55" s="4004" t="n"/>
      <c r="AU55" s="1318" t="n"/>
      <c r="AV55" s="4005" t="n"/>
      <c r="AW55" s="4006" t="n"/>
      <c r="AX55" s="732" t="n"/>
      <c r="AY55" s="4009" t="n"/>
      <c r="AZ55" s="11602" t="n"/>
      <c r="BA55" s="11602" t="n"/>
      <c r="BB55" s="11602" t="n"/>
      <c r="BC55" s="689" t="n"/>
      <c r="BD55" s="11602" t="n"/>
      <c r="BE55" s="11602" t="n"/>
      <c r="BF55" s="11602" t="n"/>
      <c r="BG55" s="11602" t="n"/>
      <c r="BH55" s="11602" t="n"/>
      <c r="BI55" s="11602" t="n"/>
      <c r="BJ55" s="11602" t="n"/>
      <c r="BK55" s="11602" t="n"/>
      <c r="BL55" s="11602" t="n"/>
      <c r="BM55" s="11602" t="n"/>
      <c r="BN55" s="11602" t="n"/>
      <c r="BO55" s="11602" t="n"/>
      <c r="BP55" s="11602" t="n"/>
      <c r="BQ55" s="11602" t="n"/>
      <c r="BR55" s="11602" t="n"/>
      <c r="BS55" s="11602" t="n"/>
      <c r="BT55" s="11704" t="n"/>
      <c r="BU55" s="658" t="n"/>
      <c r="BV55" s="658" t="n"/>
      <c r="BW55" s="658" t="n"/>
      <c r="BX55" s="658" t="n"/>
      <c r="BY55" s="658" t="n"/>
      <c r="BZ55" s="658" t="n"/>
      <c r="CA55" s="658" t="n"/>
      <c r="CB55" s="658" t="n"/>
      <c r="CC55" s="658" t="n"/>
      <c r="CD55" s="658" t="n"/>
      <c r="CE55" s="658" t="n"/>
      <c r="CF55" s="658" t="n"/>
    </row>
    <row r="56" ht="15" customHeight="1" s="7635">
      <c r="A56" s="139" t="n"/>
      <c r="E56" s="1879" t="n"/>
      <c r="F56" s="1888" t="n"/>
      <c r="G56" s="1417" t="inlineStr">
        <is>
          <t>f</t>
        </is>
      </c>
      <c r="H56" s="1889" t="inlineStr">
        <is>
          <t>Employer provided adoption benefits from Form 8839, line 29</t>
        </is>
      </c>
      <c r="I56" s="1876" t="n"/>
      <c r="J56" s="1876" t="n"/>
      <c r="K56" s="1876" t="n"/>
      <c r="L56" s="1876" t="n"/>
      <c r="M56" s="1876" t="n"/>
      <c r="N56" s="1876" t="n"/>
      <c r="O56" s="1876" t="n"/>
      <c r="P56" s="1876" t="n"/>
      <c r="Q56" s="1876" t="n"/>
      <c r="R56" s="1876" t="n"/>
      <c r="S56" s="1876" t="n"/>
      <c r="T56" s="1876" t="n"/>
      <c r="U56" s="1876" t="n"/>
      <c r="V56" s="1876" t="n"/>
      <c r="W56" s="1876" t="n"/>
      <c r="X56" s="1876" t="n"/>
      <c r="Y56" s="1416" t="n"/>
      <c r="Z56" s="1416" t="n"/>
      <c r="AA56" s="1417" t="n"/>
      <c r="AB56" s="1417" t="n"/>
      <c r="AC56" s="1417" t="n"/>
      <c r="AD56" s="1417" t="n"/>
      <c r="AE56" s="1417" t="n"/>
      <c r="AF56" s="1417" t="n"/>
      <c r="AG56" s="1417" t="n"/>
      <c r="AH56" s="1417" t="n"/>
      <c r="AI56" s="1417" t="n"/>
      <c r="AJ56" s="11744" t="inlineStr">
        <is>
          <t xml:space="preserve">.   .   .   .   .   .   .   .   .   .   .   .   .   .   . </t>
        </is>
      </c>
      <c r="AK56" s="1877" t="inlineStr">
        <is>
          <t>1f</t>
        </is>
      </c>
      <c r="AL56" s="7068" t="n"/>
      <c r="AM56" s="8007" t="n"/>
      <c r="AN56" s="8007" t="n"/>
      <c r="AO56" s="8007" t="n"/>
      <c r="AP56" s="8007" t="n"/>
      <c r="AQ56" s="8007" t="n"/>
      <c r="AR56" s="8007" t="n"/>
      <c r="AS56" s="1878" t="n"/>
      <c r="AT56" s="4004" t="n"/>
      <c r="AU56" s="1318" t="n"/>
      <c r="AV56" s="4005" t="n"/>
      <c r="AW56" s="4006" t="n"/>
      <c r="AX56" s="4008" t="n"/>
      <c r="AY56" s="4009" t="n"/>
      <c r="AZ56" s="404" t="n"/>
      <c r="BA56" s="404" t="n"/>
      <c r="BB56" s="404" t="n"/>
      <c r="BC56" s="404" t="n"/>
      <c r="BD56" s="404" t="n"/>
      <c r="BE56" s="11602" t="n"/>
      <c r="BF56" s="11602" t="n"/>
      <c r="BG56" s="11602" t="n"/>
      <c r="BH56" s="11602" t="n"/>
      <c r="BI56" s="11602" t="n"/>
      <c r="BJ56" s="11602" t="n"/>
      <c r="BK56" s="11602" t="n"/>
      <c r="BL56" s="11602" t="n"/>
      <c r="BM56" s="11602" t="n"/>
      <c r="BN56" s="11602" t="n"/>
      <c r="BO56" s="11602" t="n"/>
      <c r="BP56" s="11602" t="n"/>
      <c r="BQ56" s="11602" t="n"/>
      <c r="BR56" s="11602" t="n"/>
      <c r="BS56" s="11602" t="n"/>
      <c r="BT56" s="11704" t="n"/>
      <c r="BU56" s="658" t="n"/>
      <c r="BV56" s="658" t="n"/>
      <c r="BW56" s="658" t="n"/>
      <c r="BX56" s="658" t="n"/>
      <c r="BY56" s="658" t="n"/>
      <c r="BZ56" s="658" t="n"/>
      <c r="CA56" s="658" t="n"/>
      <c r="CB56" s="658" t="n"/>
      <c r="CC56" s="658" t="n"/>
      <c r="CD56" s="658" t="n"/>
      <c r="CE56" s="658" t="n"/>
      <c r="CF56" s="658" t="n"/>
    </row>
    <row r="57" ht="15" customHeight="1" s="7635">
      <c r="A57" s="139" t="n"/>
      <c r="E57" s="1879" t="n"/>
      <c r="F57" s="1888" t="n"/>
      <c r="G57" s="1417" t="inlineStr">
        <is>
          <t>g</t>
        </is>
      </c>
      <c r="H57" s="1889" t="inlineStr">
        <is>
          <t>Wages from Form 8919, line 6</t>
        </is>
      </c>
      <c r="I57" s="1876" t="n"/>
      <c r="J57" s="1876" t="n"/>
      <c r="K57" s="1876" t="n"/>
      <c r="L57" s="1876" t="n"/>
      <c r="M57" s="1876" t="n"/>
      <c r="N57" s="1876" t="n"/>
      <c r="O57" s="1876" t="n"/>
      <c r="P57" s="1876" t="n"/>
      <c r="Q57" s="1876" t="n"/>
      <c r="R57" s="1876" t="n"/>
      <c r="S57" s="1876" t="n"/>
      <c r="T57" s="1876" t="n"/>
      <c r="U57" s="1876" t="n"/>
      <c r="V57" s="1876" t="n"/>
      <c r="W57" s="1876" t="n"/>
      <c r="X57" s="1876" t="n"/>
      <c r="Y57" s="1416" t="n"/>
      <c r="Z57" s="1416" t="n"/>
      <c r="AA57" s="1417" t="n"/>
      <c r="AB57" s="1417" t="n"/>
      <c r="AC57" s="1417" t="n"/>
      <c r="AD57" s="1417" t="n"/>
      <c r="AE57" s="1417" t="n"/>
      <c r="AF57" s="1417" t="n"/>
      <c r="AG57" s="1417" t="n"/>
      <c r="AH57" s="1417" t="n"/>
      <c r="AI57" s="1417" t="n"/>
      <c r="AJ57" s="11744" t="inlineStr">
        <is>
          <t xml:space="preserve">.   .   .   .   .   .   .   .   .   .   .   .   .   .   .   .   .   .   .   .   .   .   .   .   . </t>
        </is>
      </c>
      <c r="AK57" s="1877" t="inlineStr">
        <is>
          <t>1g</t>
        </is>
      </c>
      <c r="AL57" s="7056">
        <f>IF(AX57&lt;&gt;"",ROUND(AX57,0),IF(F8919_Line6_Both=0,"",F8919_Line6_Both))</f>
        <v/>
      </c>
      <c r="AM57" s="8412" t="n"/>
      <c r="AN57" s="8412" t="n"/>
      <c r="AO57" s="8412" t="n"/>
      <c r="AP57" s="8412" t="n"/>
      <c r="AQ57" s="8412" t="n"/>
      <c r="AR57" s="8412" t="n"/>
      <c r="AS57" s="1878" t="n"/>
      <c r="AT57" s="4004" t="n"/>
      <c r="AU57" s="1318">
        <f>IF(AL57="",0,AL57)</f>
        <v/>
      </c>
      <c r="AV57" s="4005" t="n"/>
      <c r="AW57" s="4006" t="n"/>
      <c r="AX57" s="732" t="n"/>
      <c r="AY57" s="4009" t="n"/>
      <c r="AZ57" s="404" t="n"/>
      <c r="BA57" s="404" t="n"/>
      <c r="BB57" s="404" t="n"/>
      <c r="BC57" s="404" t="n"/>
      <c r="BD57" s="404" t="n"/>
      <c r="BE57" s="11602" t="n"/>
      <c r="BF57" s="11602" t="n"/>
      <c r="BG57" s="11602" t="n"/>
      <c r="BH57" s="11602" t="n"/>
      <c r="BI57" s="11602" t="n"/>
      <c r="BJ57" s="11602" t="n"/>
      <c r="BK57" s="11602" t="n"/>
      <c r="BL57" s="11602" t="n"/>
      <c r="BM57" s="11602" t="n"/>
      <c r="BN57" s="11602" t="n"/>
      <c r="BO57" s="11602" t="n"/>
      <c r="BP57" s="11602" t="n"/>
      <c r="BQ57" s="11602" t="n"/>
      <c r="BR57" s="11602" t="n"/>
      <c r="BS57" s="11602" t="n"/>
      <c r="BT57" s="11704" t="n"/>
      <c r="BU57" s="658" t="n"/>
      <c r="BV57" s="658" t="n"/>
      <c r="BW57" s="658" t="n"/>
      <c r="BX57" s="658" t="n"/>
      <c r="BY57" s="658" t="n"/>
      <c r="BZ57" s="658" t="n"/>
      <c r="CA57" s="658" t="n"/>
      <c r="CB57" s="658" t="n"/>
      <c r="CC57" s="658" t="n"/>
      <c r="CD57" s="658" t="n"/>
      <c r="CE57" s="658" t="n"/>
      <c r="CF57" s="658" t="n"/>
    </row>
    <row r="58" ht="15" customHeight="1" s="7635" thickBot="1">
      <c r="A58" s="139" t="n"/>
      <c r="B58" s="7377" t="inlineStr">
        <is>
          <t>If you did not 
get a Form W-2, 
see instructions.</t>
        </is>
      </c>
      <c r="E58" s="1880" t="n"/>
      <c r="F58" s="1888" t="n"/>
      <c r="G58" s="1417" t="inlineStr">
        <is>
          <t>h</t>
        </is>
      </c>
      <c r="H58" s="1889" t="inlineStr">
        <is>
          <t>Other earned income (see instructions)</t>
        </is>
      </c>
      <c r="I58" s="1876" t="n"/>
      <c r="J58" s="1876" t="n"/>
      <c r="K58" s="1876" t="n"/>
      <c r="L58" s="1876" t="n"/>
      <c r="M58" s="1876" t="n"/>
      <c r="N58" s="1876" t="n"/>
      <c r="O58" s="1876" t="n"/>
      <c r="P58" s="1876" t="n"/>
      <c r="Q58" s="1876" t="n"/>
      <c r="R58" s="1876" t="n"/>
      <c r="S58" s="1876" t="n"/>
      <c r="T58" s="1876" t="n"/>
      <c r="U58" s="1876" t="n"/>
      <c r="V58" s="1876" t="n"/>
      <c r="W58" s="1876" t="n"/>
      <c r="X58" s="1876" t="n"/>
      <c r="Y58" s="1416" t="n"/>
      <c r="Z58" s="1416" t="n"/>
      <c r="AA58" s="1417" t="n"/>
      <c r="AB58" s="1417" t="n"/>
      <c r="AC58" s="1417" t="n"/>
      <c r="AD58" s="1417" t="n"/>
      <c r="AE58" s="1417" t="n"/>
      <c r="AF58" s="1417" t="n"/>
      <c r="AG58" s="1417" t="n"/>
      <c r="AH58" s="1417" t="n"/>
      <c r="AI58" s="1417" t="n"/>
      <c r="AJ58" s="11744" t="inlineStr">
        <is>
          <t xml:space="preserve">.   .   .   .   .   .   .   .   .   .   .   .   .   .   .   .   .   .   .   .   .   . </t>
        </is>
      </c>
      <c r="AK58" s="1881" t="inlineStr">
        <is>
          <t>1h</t>
        </is>
      </c>
      <c r="AL58" s="7127" t="n"/>
      <c r="AM58" s="11745" t="n"/>
      <c r="AN58" s="11745" t="n"/>
      <c r="AO58" s="11745" t="n"/>
      <c r="AP58" s="11745" t="n"/>
      <c r="AQ58" s="11745" t="n"/>
      <c r="AR58" s="11745" t="n"/>
      <c r="AS58" s="1878" t="n"/>
      <c r="AT58" s="4004" t="n"/>
      <c r="AU58" s="1318" t="n"/>
      <c r="AV58" s="4005" t="n"/>
      <c r="AW58" s="4006" t="n"/>
      <c r="AX58" s="4010" t="n"/>
      <c r="AY58" s="4009" t="n"/>
      <c r="AZ58" s="404" t="n"/>
      <c r="BA58" s="404" t="n"/>
      <c r="BB58" s="404" t="n"/>
      <c r="BC58" s="404" t="n"/>
      <c r="BD58" s="404" t="n"/>
      <c r="BE58" s="11602" t="n"/>
      <c r="BF58" s="11602" t="n"/>
      <c r="BG58" s="11602" t="n"/>
      <c r="BH58" s="11602" t="n"/>
      <c r="BI58" s="11602" t="n"/>
      <c r="BJ58" s="11602" t="n"/>
      <c r="BK58" s="11602" t="n"/>
      <c r="BL58" s="11602" t="n"/>
      <c r="BM58" s="11602" t="n"/>
      <c r="BN58" s="11602" t="n"/>
      <c r="BO58" s="11602" t="n"/>
      <c r="BP58" s="11602" t="n"/>
      <c r="BQ58" s="11602" t="n"/>
      <c r="BR58" s="11602" t="n"/>
      <c r="BS58" s="11602" t="n"/>
      <c r="BT58" s="11704" t="n"/>
      <c r="BU58" s="658" t="n"/>
      <c r="BV58" s="658" t="n"/>
      <c r="BW58" s="658" t="n"/>
      <c r="BX58" s="658" t="n"/>
      <c r="BY58" s="658" t="n"/>
      <c r="BZ58" s="658" t="n"/>
      <c r="CA58" s="658" t="n"/>
      <c r="CB58" s="658" t="n"/>
      <c r="CC58" s="658" t="n"/>
      <c r="CD58" s="658" t="n"/>
      <c r="CE58" s="658" t="n"/>
      <c r="CF58" s="658" t="n"/>
    </row>
    <row r="59" ht="15" customHeight="1" s="7635">
      <c r="A59" s="139" t="n"/>
      <c r="E59" s="1880" t="n"/>
      <c r="F59" s="1888" t="n"/>
      <c r="G59" s="1417" t="inlineStr">
        <is>
          <t>i</t>
        </is>
      </c>
      <c r="H59" s="1889" t="inlineStr">
        <is>
          <t>Nontaxable combat pay election (see instructions)</t>
        </is>
      </c>
      <c r="I59" s="1876" t="n"/>
      <c r="J59" s="1876" t="n"/>
      <c r="K59" s="1876" t="n"/>
      <c r="L59" s="1876" t="n"/>
      <c r="M59" s="1876" t="n"/>
      <c r="N59" s="1876" t="n"/>
      <c r="O59" s="1876" t="n"/>
      <c r="P59" s="1876" t="n"/>
      <c r="Q59" s="1876" t="n"/>
      <c r="R59" s="1876" t="n"/>
      <c r="S59" s="1876" t="n"/>
      <c r="T59" s="1876" t="n"/>
      <c r="U59" s="1876" t="n"/>
      <c r="V59" s="1876" t="n"/>
      <c r="W59" s="1876" t="n"/>
      <c r="X59" s="1876" t="n"/>
      <c r="Y59" s="1416" t="n"/>
      <c r="Z59" s="1416" t="n"/>
      <c r="AA59" s="1417" t="n"/>
      <c r="AB59" s="1417" t="n"/>
      <c r="AC59" s="1417" t="n"/>
      <c r="AD59" s="11744" t="inlineStr">
        <is>
          <t xml:space="preserve">.   .   .   .   .   .   .   .   . </t>
        </is>
      </c>
      <c r="AE59" s="11744" t="n"/>
      <c r="AF59" s="4011" t="inlineStr">
        <is>
          <t>1i</t>
        </is>
      </c>
      <c r="AG59" s="8391">
        <f>IF(AX59&lt;&gt;"",ROUND(AX59,0),'W-2s'!D93)</f>
        <v/>
      </c>
      <c r="AH59" s="7637" t="n"/>
      <c r="AI59" s="7637" t="n"/>
      <c r="AJ59" s="7638" t="n"/>
      <c r="AK59" s="1882" t="n"/>
      <c r="AL59" s="1883" t="n"/>
      <c r="AM59" s="1884" t="n"/>
      <c r="AN59" s="1884" t="n"/>
      <c r="AO59" s="1884" t="n"/>
      <c r="AP59" s="1884" t="n"/>
      <c r="AQ59" s="1884" t="n"/>
      <c r="AR59" s="1884" t="n"/>
      <c r="AS59" s="1878" t="n"/>
      <c r="AT59" s="4004" t="n"/>
      <c r="AU59" s="7209" t="inlineStr">
        <is>
          <t>Source: Form W-2, line 12 'Q'</t>
        </is>
      </c>
      <c r="AV59" s="4012" t="n"/>
      <c r="AW59" s="4013" t="n"/>
      <c r="AX59" s="732" t="n"/>
      <c r="AY59" s="4009" t="n"/>
      <c r="AZ59" s="512" t="n"/>
      <c r="BA59" s="512" t="n"/>
      <c r="BB59" s="512" t="n"/>
      <c r="BC59" s="512" t="n"/>
      <c r="BD59" s="580" t="n"/>
      <c r="BE59" s="580" t="n"/>
      <c r="BF59" s="11602" t="n"/>
      <c r="BG59" s="11602" t="n"/>
      <c r="BH59" s="11602" t="n"/>
      <c r="BI59" s="11602" t="n"/>
      <c r="BJ59" s="11602" t="n"/>
      <c r="BK59" s="11602" t="n"/>
      <c r="BL59" s="11602" t="n"/>
      <c r="BM59" s="11602" t="n"/>
      <c r="BN59" s="11602" t="n"/>
      <c r="BO59" s="11602" t="n"/>
      <c r="BP59" s="11602" t="n"/>
      <c r="BQ59" s="11602" t="n"/>
      <c r="BR59" s="11602" t="n"/>
      <c r="BS59" s="11602" t="n"/>
      <c r="BT59" s="11704" t="n"/>
      <c r="BU59" s="658" t="n"/>
      <c r="BV59" s="658" t="n"/>
      <c r="BW59" s="658" t="n"/>
      <c r="BX59" s="658" t="n"/>
      <c r="BY59" s="658" t="n"/>
      <c r="BZ59" s="658" t="n"/>
      <c r="CA59" s="658" t="n"/>
      <c r="CB59" s="658" t="n"/>
      <c r="CC59" s="658" t="n"/>
      <c r="CD59" s="658" t="n"/>
      <c r="CE59" s="658" t="n"/>
      <c r="CF59" s="658" t="n"/>
    </row>
    <row r="60" ht="15" customHeight="1" s="7635">
      <c r="A60" s="139" t="n"/>
      <c r="B60" s="7637" t="n"/>
      <c r="C60" s="7637" t="n"/>
      <c r="D60" s="7637" t="n"/>
      <c r="E60" s="1885" t="n"/>
      <c r="F60" s="4014" t="n"/>
      <c r="G60" s="1417" t="inlineStr">
        <is>
          <t>z</t>
        </is>
      </c>
      <c r="H60" s="1889" t="inlineStr">
        <is>
          <t>Add lines 1a through 1h</t>
        </is>
      </c>
      <c r="I60" s="1876" t="n"/>
      <c r="J60" s="1876" t="n"/>
      <c r="K60" s="1876" t="n"/>
      <c r="L60" s="1876" t="n"/>
      <c r="M60" s="1876" t="n"/>
      <c r="N60" s="1876" t="n"/>
      <c r="O60" s="1876" t="n"/>
      <c r="P60" s="1876" t="n"/>
      <c r="Q60" s="1876" t="n"/>
      <c r="R60" s="1876" t="n"/>
      <c r="S60" s="1876" t="n"/>
      <c r="T60" s="1876" t="n"/>
      <c r="U60" s="1876" t="n"/>
      <c r="V60" s="1876" t="n"/>
      <c r="W60" s="1876" t="n"/>
      <c r="X60" s="1876" t="n"/>
      <c r="Y60" s="1416" t="n"/>
      <c r="Z60" s="1416" t="n"/>
      <c r="AA60" s="1417" t="n"/>
      <c r="AB60" s="1417" t="n"/>
      <c r="AC60" s="1417" t="n"/>
      <c r="AD60" s="1417" t="n"/>
      <c r="AE60" s="1417" t="n"/>
      <c r="AF60" s="1417" t="n"/>
      <c r="AG60" s="1417" t="n"/>
      <c r="AH60" s="1417" t="n"/>
      <c r="AI60" s="1417" t="n"/>
      <c r="AJ60" s="11744" t="inlineStr">
        <is>
          <t xml:space="preserve">.   .   .   .   .   .   .   .   .   .   .   .   .   .   .   .   .   .   .   .   .   .   .   .   . </t>
        </is>
      </c>
      <c r="AK60" s="1877" t="inlineStr">
        <is>
          <t>1z</t>
        </is>
      </c>
      <c r="AL60" s="7065">
        <f>IF(AX60&lt;&gt;"",ROUND(AX60,0),SUM(AL51, ROUND(AL52,0),ROUND(AL53,0),ROUND(AL54,0),AL55,ROUND(AL56,0),AU57,ROUND(AL58,0)))</f>
        <v/>
      </c>
      <c r="AM60" s="7637" t="n"/>
      <c r="AN60" s="7637" t="n"/>
      <c r="AO60" s="7637" t="n"/>
      <c r="AP60" s="7637" t="n"/>
      <c r="AQ60" s="7637" t="n"/>
      <c r="AR60" s="7637" t="n"/>
      <c r="AS60" s="1878" t="n"/>
      <c r="AT60" s="4004" t="n"/>
      <c r="AU60" s="1318" t="n"/>
      <c r="AV60" s="4005" t="n"/>
      <c r="AW60" s="4006">
        <f>IRA_Gross=IRA_Taxable</f>
        <v/>
      </c>
      <c r="AX60" s="732" t="n"/>
      <c r="AY60" s="4015" t="inlineStr">
        <is>
          <t>Manual
Override</t>
        </is>
      </c>
      <c r="AZ60" s="404" t="n"/>
      <c r="BA60" s="404" t="n"/>
      <c r="BB60" s="404" t="n"/>
      <c r="BC60" s="404" t="n"/>
      <c r="BD60" s="404" t="n"/>
      <c r="BE60" s="11602" t="n"/>
      <c r="BF60" s="11602" t="n"/>
      <c r="BG60" s="11602" t="n"/>
      <c r="BH60" s="11602" t="n"/>
      <c r="BI60" s="11602" t="n"/>
      <c r="BJ60" s="11602" t="n"/>
      <c r="BK60" s="11602" t="n"/>
      <c r="BL60" s="11602" t="n"/>
      <c r="BM60" s="11602" t="n"/>
      <c r="BN60" s="11602" t="n"/>
      <c r="BO60" s="11602" t="n"/>
      <c r="BP60" s="11602" t="n"/>
      <c r="BQ60" s="11602" t="n"/>
      <c r="BR60" s="11602" t="n"/>
      <c r="BS60" s="11602" t="n"/>
      <c r="BT60" s="11704" t="n"/>
      <c r="BU60" s="658" t="n"/>
      <c r="BV60" s="658" t="n"/>
      <c r="BW60" s="658" t="n"/>
      <c r="BX60" s="658" t="n"/>
      <c r="BY60" s="658" t="n"/>
      <c r="BZ60" s="658" t="n"/>
      <c r="CA60" s="658" t="n"/>
      <c r="CB60" s="658" t="n"/>
      <c r="CC60" s="658" t="n"/>
      <c r="CD60" s="658" t="n"/>
      <c r="CE60" s="658" t="n"/>
      <c r="CF60" s="658" t="n"/>
    </row>
    <row r="61" ht="15" customHeight="1" s="7635">
      <c r="A61" s="139" t="n"/>
      <c r="B61" s="7379" t="inlineStr">
        <is>
          <t>Attach Sch. B
if required.</t>
        </is>
      </c>
      <c r="C61" s="7839" t="n"/>
      <c r="D61" s="7839" t="n"/>
      <c r="E61" s="1886" t="n"/>
      <c r="F61" s="4016" t="n">
        <v>2</v>
      </c>
      <c r="G61" s="4017" t="inlineStr">
        <is>
          <t>a</t>
        </is>
      </c>
      <c r="H61" s="1889" t="inlineStr">
        <is>
          <t>Tax-exempt interest</t>
        </is>
      </c>
      <c r="I61" s="1887" t="n"/>
      <c r="J61" s="1887" t="n"/>
      <c r="K61" s="1887" t="n"/>
      <c r="L61" s="1887" t="n"/>
      <c r="M61" s="1887" t="n"/>
      <c r="N61" s="1887" t="n"/>
      <c r="O61" s="11744" t="n"/>
      <c r="P61" s="11744" t="inlineStr">
        <is>
          <t xml:space="preserve">.   .   .   . </t>
        </is>
      </c>
      <c r="Q61" s="1891">
        <f>F61&amp;"a"</f>
        <v/>
      </c>
      <c r="R61" s="7638" t="n"/>
      <c r="S61" s="8391">
        <f>IF(AX61&lt;&gt;"",ROUND(AX61,0),SUM(TaxExemptInterest,Exempt_Interest_DIV))</f>
        <v/>
      </c>
      <c r="T61" s="7637" t="n"/>
      <c r="U61" s="7637" t="n"/>
      <c r="V61" s="7637" t="n"/>
      <c r="W61" s="7637" t="n"/>
      <c r="X61" s="7638" t="n"/>
      <c r="Y61" s="1888" t="n"/>
      <c r="Z61" s="1888" t="inlineStr">
        <is>
          <t>b</t>
        </is>
      </c>
      <c r="AA61" s="1858" t="inlineStr">
        <is>
          <t>Taxable interest</t>
        </is>
      </c>
      <c r="AB61" s="1889" t="n"/>
      <c r="AC61" s="1890" t="n"/>
      <c r="AD61" s="1890" t="n"/>
      <c r="AE61" s="1890" t="n"/>
      <c r="AF61" s="1887" t="n"/>
      <c r="AG61" s="1890" t="n"/>
      <c r="AH61" s="1890" t="n"/>
      <c r="AI61" s="1890" t="n"/>
      <c r="AJ61" s="11744" t="inlineStr">
        <is>
          <t xml:space="preserve">.   .   .   .   .   .   . </t>
        </is>
      </c>
      <c r="AK61" s="1891">
        <f>F61&amp;"b"</f>
        <v/>
      </c>
      <c r="AL61" s="7053">
        <f>IF(AY61&lt;&gt;"",ROUND(AY61,0),Interest_Inc)</f>
        <v/>
      </c>
      <c r="AM61" s="8412" t="n"/>
      <c r="AN61" s="8412" t="n"/>
      <c r="AO61" s="8412" t="n"/>
      <c r="AP61" s="8412" t="n"/>
      <c r="AQ61" s="8412" t="n"/>
      <c r="AR61" s="8412" t="n"/>
      <c r="AS61" s="1892" t="n"/>
      <c r="AT61" s="4018" t="n"/>
      <c r="AU61" s="1318" t="n"/>
      <c r="AV61" s="4005" t="inlineStr">
        <is>
          <t>5a</t>
        </is>
      </c>
      <c r="AW61" s="4006">
        <f>ROUND(PA_Gross,0)=PA_Taxable</f>
        <v/>
      </c>
      <c r="AX61" s="1063" t="n"/>
      <c r="AY61" s="1418" t="n"/>
      <c r="AZ61" s="7433" t="n"/>
      <c r="BB61" s="404" t="n"/>
      <c r="BC61" s="404" t="n"/>
      <c r="BD61" s="404" t="n"/>
      <c r="BE61" s="11602" t="n"/>
      <c r="BF61" s="11602" t="n"/>
      <c r="BG61" s="11602" t="n"/>
      <c r="BH61" s="11602" t="n"/>
      <c r="BI61" s="11602" t="n"/>
      <c r="BJ61" s="11602" t="n"/>
      <c r="BK61" s="11602" t="n"/>
      <c r="BL61" s="11602" t="n"/>
      <c r="BM61" s="11602" t="n"/>
      <c r="BN61" s="11602" t="n"/>
      <c r="BO61" s="11602" t="n"/>
      <c r="BP61" s="11602" t="n"/>
      <c r="BQ61" s="11602" t="n"/>
      <c r="BR61" s="11602" t="n"/>
      <c r="BS61" s="11602" t="n"/>
      <c r="BT61" s="11704" t="n"/>
      <c r="BU61" s="658" t="n"/>
      <c r="BV61" s="658" t="n"/>
      <c r="BW61" s="658" t="n"/>
      <c r="BX61" s="658" t="n"/>
      <c r="BY61" s="658" t="n"/>
      <c r="BZ61" s="658" t="n"/>
      <c r="CA61" s="658" t="n"/>
      <c r="CB61" s="658" t="n"/>
      <c r="CC61" s="658" t="n"/>
      <c r="CD61" s="658" t="n"/>
      <c r="CE61" s="658" t="n"/>
      <c r="CF61" s="658" t="n"/>
    </row>
    <row r="62" ht="13.5" customHeight="1" s="7635">
      <c r="A62" s="139" t="n"/>
      <c r="B62" s="4772" t="n"/>
      <c r="E62" s="1893" t="n"/>
      <c r="F62" s="8323" t="n">
        <v>3</v>
      </c>
      <c r="G62" s="4019" t="inlineStr">
        <is>
          <t>a</t>
        </is>
      </c>
      <c r="H62" s="1889" t="inlineStr">
        <is>
          <t>Qualified dividends</t>
        </is>
      </c>
      <c r="I62" s="1887" t="n"/>
      <c r="J62" s="1887" t="n"/>
      <c r="K62" s="1887" t="n"/>
      <c r="L62" s="1887" t="n"/>
      <c r="M62" s="1887" t="n"/>
      <c r="N62" s="1887" t="n"/>
      <c r="O62" s="11744" t="n"/>
      <c r="P62" s="11744" t="inlineStr">
        <is>
          <t xml:space="preserve">.   .   .   . </t>
        </is>
      </c>
      <c r="Q62" s="11746">
        <f>F62&amp;"a"</f>
        <v/>
      </c>
      <c r="R62" s="11734" t="n"/>
      <c r="S62" s="8391">
        <f>IF(AX62&lt;&gt;"",ROUND(AX62,0),ROUND(QualDiv_1099DIV,0))</f>
        <v/>
      </c>
      <c r="T62" s="7637" t="n"/>
      <c r="U62" s="7637" t="n"/>
      <c r="V62" s="7637" t="n"/>
      <c r="W62" s="7637" t="n"/>
      <c r="X62" s="7638" t="n"/>
      <c r="Y62" s="1888" t="n"/>
      <c r="Z62" s="1888" t="inlineStr">
        <is>
          <t>b</t>
        </is>
      </c>
      <c r="AA62" s="1858" t="inlineStr">
        <is>
          <t>Ordinary dividends</t>
        </is>
      </c>
      <c r="AB62" s="1889" t="n"/>
      <c r="AC62" s="1890" t="n"/>
      <c r="AD62" s="1890" t="n"/>
      <c r="AE62" s="1890" t="n"/>
      <c r="AF62" s="1887" t="n"/>
      <c r="AG62" s="1890" t="n"/>
      <c r="AH62" s="1890" t="n"/>
      <c r="AI62" s="1890" t="n"/>
      <c r="AJ62" s="11744" t="inlineStr">
        <is>
          <t xml:space="preserve">  .   .   .   .   .   .   . </t>
        </is>
      </c>
      <c r="AK62" s="4057">
        <f>F62&amp;"b"</f>
        <v/>
      </c>
      <c r="AL62" s="7130">
        <f>IF(AY62&lt;&gt;"",ROUND(AY62,0),Dividend_Inc)</f>
        <v/>
      </c>
      <c r="AM62" s="7839" t="n"/>
      <c r="AN62" s="7839" t="n"/>
      <c r="AO62" s="7839" t="n"/>
      <c r="AP62" s="7839" t="n"/>
      <c r="AQ62" s="7839" t="n"/>
      <c r="AR62" s="7839" t="n"/>
      <c r="AS62" s="1892" t="n"/>
      <c r="AT62" s="4018" t="n"/>
      <c r="AU62" s="1318" t="n"/>
      <c r="AV62" s="11602" t="n"/>
      <c r="AW62" s="512">
        <f>AU64&lt;&gt;""</f>
        <v/>
      </c>
      <c r="AX62" s="1063" t="n"/>
      <c r="AY62" s="1418" t="n"/>
      <c r="AZ62" s="5840" t="n"/>
      <c r="BA62" s="404" t="n"/>
      <c r="BB62" s="404" t="n"/>
      <c r="BC62" s="404" t="n"/>
      <c r="BD62" s="404" t="n"/>
      <c r="BE62" s="7957" t="n"/>
      <c r="BF62" s="11602" t="n"/>
      <c r="BG62" s="11602" t="n"/>
      <c r="BH62" s="11602" t="n"/>
      <c r="BI62" s="4020" t="inlineStr">
        <is>
          <t>Standard versus Itemized Deduction</t>
        </is>
      </c>
      <c r="BJ62" s="4021" t="n"/>
      <c r="BK62" s="413" t="n"/>
      <c r="BL62" s="11602" t="n"/>
      <c r="BM62" s="11602" t="n"/>
      <c r="BN62" s="11602" t="n"/>
      <c r="BO62" s="11602" t="n"/>
      <c r="BP62" s="11602" t="n"/>
      <c r="BQ62" s="11602" t="n"/>
      <c r="BR62" s="11602" t="n"/>
      <c r="BS62" s="11602" t="n"/>
      <c r="BT62" s="11704" t="n"/>
      <c r="BU62" s="658" t="n"/>
      <c r="BV62" s="658" t="n"/>
      <c r="BW62" s="658" t="n"/>
      <c r="BX62" s="658" t="n"/>
      <c r="BY62" s="658" t="n"/>
      <c r="BZ62" s="658" t="n"/>
      <c r="CA62" s="658" t="n"/>
      <c r="CB62" s="658" t="n"/>
      <c r="CC62" s="658" t="n"/>
      <c r="CD62" s="658" t="n"/>
      <c r="CE62" s="658" t="n"/>
      <c r="CF62" s="658" t="n"/>
    </row>
    <row r="63" ht="5.25" customHeight="1" s="7635">
      <c r="A63" s="139" t="n"/>
      <c r="B63" s="5941" t="n"/>
      <c r="C63" s="1893" t="n"/>
      <c r="D63" s="5945" t="n"/>
      <c r="E63" s="5823" t="n"/>
      <c r="F63" s="1888" t="n"/>
      <c r="G63" s="1417" t="n"/>
      <c r="H63" s="1889" t="n"/>
      <c r="I63" s="1887" t="n"/>
      <c r="J63" s="1887" t="n"/>
      <c r="K63" s="1887" t="n"/>
      <c r="L63" s="1887" t="n"/>
      <c r="M63" s="1887" t="n"/>
      <c r="N63" s="1887" t="n"/>
      <c r="O63" s="1887" t="n"/>
      <c r="P63" s="1887" t="n"/>
      <c r="Q63" s="1954" t="n"/>
      <c r="R63" s="1887" t="n"/>
      <c r="S63" s="1887" t="n"/>
      <c r="T63" s="1887" t="n"/>
      <c r="U63" s="1887" t="n"/>
      <c r="V63" s="1887" t="n"/>
      <c r="W63" s="1887" t="n"/>
      <c r="X63" s="1887" t="n"/>
      <c r="Y63" s="1887" t="n"/>
      <c r="Z63" s="1887" t="n"/>
      <c r="AA63" s="1887" t="n"/>
      <c r="AB63" s="1887" t="n"/>
      <c r="AC63" s="1887" t="n"/>
      <c r="AD63" s="1887" t="n"/>
      <c r="AE63" s="1887" t="n"/>
      <c r="AF63" s="1887" t="n"/>
      <c r="AG63" s="1890" t="n"/>
      <c r="AH63" s="1890" t="n"/>
      <c r="AI63" s="1890" t="n"/>
      <c r="AJ63" s="11744" t="n"/>
      <c r="AK63" s="7358" t="n"/>
      <c r="AL63" s="7111" t="n"/>
      <c r="AM63" s="7839" t="n"/>
      <c r="AN63" s="7839" t="n"/>
      <c r="AO63" s="7839" t="n"/>
      <c r="AP63" s="7839" t="n"/>
      <c r="AQ63" s="7839" t="n"/>
      <c r="AR63" s="7839" t="n"/>
      <c r="AS63" s="1892" t="n"/>
      <c r="AT63" s="4018" t="n"/>
      <c r="AU63" s="1318" t="n"/>
      <c r="AV63" s="11602" t="n"/>
      <c r="AW63" s="512" t="n"/>
      <c r="AX63" s="6597" t="n"/>
      <c r="AY63" s="6598" t="n"/>
      <c r="AZ63" s="5840" t="n"/>
      <c r="BA63" s="404" t="n"/>
      <c r="BB63" s="404" t="n"/>
      <c r="BC63" s="404" t="n"/>
      <c r="BD63" s="404" t="n"/>
      <c r="BE63" s="7957" t="n"/>
      <c r="BF63" s="11602" t="n"/>
      <c r="BG63" s="11602" t="n"/>
      <c r="BH63" s="11602" t="n"/>
      <c r="BI63" s="408" t="n"/>
      <c r="BJ63" s="11602" t="n"/>
      <c r="BK63" s="409" t="n"/>
      <c r="BL63" s="11602" t="n"/>
      <c r="BM63" s="11602" t="n"/>
      <c r="BN63" s="11602" t="n"/>
      <c r="BO63" s="11602" t="n"/>
      <c r="BP63" s="11602" t="n"/>
      <c r="BQ63" s="11602" t="n"/>
      <c r="BR63" s="11602" t="n"/>
      <c r="BS63" s="11602" t="n"/>
      <c r="BT63" s="11704" t="n"/>
      <c r="BU63" s="658" t="n"/>
      <c r="BV63" s="658" t="n"/>
      <c r="BW63" s="658" t="n"/>
      <c r="BX63" s="658" t="n"/>
      <c r="BY63" s="658" t="n"/>
      <c r="BZ63" s="658" t="n"/>
      <c r="CA63" s="658" t="n"/>
      <c r="CB63" s="658" t="n"/>
      <c r="CC63" s="658" t="n"/>
      <c r="CD63" s="658" t="n"/>
      <c r="CE63" s="658" t="n"/>
      <c r="CF63" s="658" t="n"/>
    </row>
    <row r="64" ht="13.5" customHeight="1" s="7635">
      <c r="A64" s="139" t="n"/>
      <c r="B64" s="5823" t="n"/>
      <c r="C64" s="5823" t="n"/>
      <c r="D64" s="5823" t="n"/>
      <c r="E64" s="5823" t="n"/>
      <c r="F64" s="1888" t="n"/>
      <c r="G64" s="1417" t="inlineStr">
        <is>
          <t>c</t>
        </is>
      </c>
      <c r="H64" s="1889" t="inlineStr">
        <is>
          <t>Check if your child's dividends are included in</t>
        </is>
      </c>
      <c r="I64" s="1887" t="n"/>
      <c r="J64" s="1887" t="n"/>
      <c r="K64" s="1887" t="n"/>
      <c r="L64" s="1887" t="n"/>
      <c r="M64" s="1887" t="n"/>
      <c r="N64" s="1887" t="n"/>
      <c r="O64" s="11744" t="n"/>
      <c r="P64" s="11744" t="n"/>
      <c r="Q64" s="7071" t="n"/>
      <c r="R64" s="1888" t="n"/>
      <c r="S64" s="1888" t="n"/>
      <c r="T64" s="1888" t="n"/>
      <c r="U64" s="1920" t="inlineStr">
        <is>
          <t xml:space="preserve">1   </t>
        </is>
      </c>
      <c r="V64" s="276" t="n"/>
      <c r="W64" s="1858" t="inlineStr">
        <is>
          <t>Line 3a</t>
        </is>
      </c>
      <c r="X64" s="1888" t="n"/>
      <c r="Y64" s="1888" t="n"/>
      <c r="Z64" s="1888" t="n"/>
      <c r="AA64" s="1920" t="inlineStr">
        <is>
          <t xml:space="preserve">2  </t>
        </is>
      </c>
      <c r="AB64" s="276" t="n"/>
      <c r="AC64" s="1858" t="inlineStr">
        <is>
          <t>Line 3b</t>
        </is>
      </c>
      <c r="AD64" s="1858" t="n"/>
      <c r="AE64" s="1890" t="n"/>
      <c r="AF64" s="1887" t="n"/>
      <c r="AG64" s="1890" t="n"/>
      <c r="AH64" s="1890" t="n"/>
      <c r="AI64" s="1890" t="n"/>
      <c r="AJ64" s="11744" t="n"/>
      <c r="AK64" s="11747" t="n"/>
      <c r="AL64" s="4772" t="n"/>
      <c r="AS64" s="1892" t="n"/>
      <c r="AT64" s="4018" t="n"/>
      <c r="AU64" s="7109">
        <f>IF(OrdinaryDividends&lt;Qualified_Dividends,"Error: Qualified dividends "&amp;CHAR(10)&amp;"(line 3a)"&amp;CHAR(10)&amp;"must be included in"&amp;CHAR(10)&amp;"ordinary dividends "&amp;CHAR(10)&amp;"(line 3b).",IF(AND(OrdinaryDividends&lt;&gt;0,Qualified_Dividends&lt;&gt;"",OrdinaryDividends&lt;&gt;Qualified_Dividends),"Caution: Be sure to include all of line 3a, Qualified Dividends, in line 3b, Ordinary Dividend, amount.",IF(AND(IRA_Taxable&lt;&gt;0,AW60,PA_Taxable&lt;&gt;0,AW61),"Linse 4a and 5a are blank"&amp;CHAR(10)&amp;"per IRS instructions.",IF(AND(IRA_Taxable&lt;&gt;0,AW60),"Line 4a is blank per"&amp;CHAR(10)&amp;"IRS instructions.",IF(AND(PA_Taxable&lt;&gt;0,AW61),"Line 5a is blank per"&amp;CHAR(10)&amp;"IRS instructions.",IF(AY51,"Use Sheets W-2, "&amp;CHAR(10)&amp;"1099-INT, 1099-DIV, 1099-R, and "&amp;CHAR(10)&amp;"SSA-1099 for accurate results.",""))))))</f>
        <v/>
      </c>
      <c r="AW64" s="7636" t="n"/>
      <c r="AX64" s="6599" t="n"/>
      <c r="AY64" s="6600" t="n"/>
      <c r="AZ64" s="5840" t="n"/>
      <c r="BA64" s="404" t="n"/>
      <c r="BB64" s="404" t="n"/>
      <c r="BC64" s="404" t="n"/>
      <c r="BD64" s="404" t="n"/>
      <c r="BE64" s="7957" t="n"/>
      <c r="BF64" s="11602" t="n"/>
      <c r="BG64" s="11602" t="n"/>
      <c r="BH64" s="11602" t="n"/>
      <c r="BI64" s="408" t="n"/>
      <c r="BJ64" s="11602" t="n"/>
      <c r="BK64" s="409" t="n"/>
      <c r="BL64" s="11602" t="n"/>
      <c r="BM64" s="11602" t="n"/>
      <c r="BN64" s="11602" t="n"/>
      <c r="BO64" s="11602" t="n"/>
      <c r="BP64" s="11602" t="n"/>
      <c r="BQ64" s="11602" t="n"/>
      <c r="BR64" s="11602" t="n"/>
      <c r="BS64" s="11602" t="n"/>
      <c r="BT64" s="11704" t="n"/>
      <c r="BU64" s="658" t="n"/>
      <c r="BV64" s="658" t="n"/>
      <c r="BW64" s="658" t="n"/>
      <c r="BX64" s="658" t="n"/>
      <c r="BY64" s="658" t="n"/>
      <c r="BZ64" s="658" t="n"/>
      <c r="CA64" s="658" t="n"/>
      <c r="CB64" s="658" t="n"/>
      <c r="CC64" s="658" t="n"/>
      <c r="CD64" s="658" t="n"/>
      <c r="CE64" s="658" t="n"/>
      <c r="CF64" s="658" t="n"/>
    </row>
    <row r="65" ht="14.25" customHeight="1" s="7635">
      <c r="A65" s="139" t="n"/>
      <c r="B65" s="5823" t="n"/>
      <c r="C65" s="5823" t="n"/>
      <c r="D65" s="5823" t="n"/>
      <c r="E65" s="5823" t="n"/>
      <c r="F65" s="1888">
        <f>F62+1</f>
        <v/>
      </c>
      <c r="G65" s="1417" t="inlineStr">
        <is>
          <t>a</t>
        </is>
      </c>
      <c r="H65" s="1889" t="inlineStr">
        <is>
          <t>IRA distributions</t>
        </is>
      </c>
      <c r="I65" s="1887" t="n"/>
      <c r="J65" s="1887" t="n"/>
      <c r="K65" s="1887" t="n"/>
      <c r="L65" s="1887" t="n"/>
      <c r="M65" s="1887" t="n"/>
      <c r="N65" s="1552" t="n"/>
      <c r="O65" s="11744" t="n"/>
      <c r="P65" s="11744" t="inlineStr">
        <is>
          <t xml:space="preserve">.   .   .   . </t>
        </is>
      </c>
      <c r="Q65" s="11746">
        <f>F65&amp;"a"</f>
        <v/>
      </c>
      <c r="R65" s="11734" t="n"/>
      <c r="S65" s="8391">
        <f>IF(AX65&lt;&gt;"",ROUND(AX65,0),IF(AW60,"",SUM(ROUND(IRA_Gross,0),ROUND(CONV2ROTH,0))))</f>
        <v/>
      </c>
      <c r="T65" s="7637" t="n"/>
      <c r="U65" s="7637" t="n"/>
      <c r="V65" s="7637" t="n"/>
      <c r="W65" s="7637" t="n"/>
      <c r="X65" s="7638" t="n"/>
      <c r="Y65" s="1888" t="n"/>
      <c r="Z65" s="1888" t="inlineStr">
        <is>
          <t>b</t>
        </is>
      </c>
      <c r="AA65" s="1858" t="inlineStr">
        <is>
          <t>Taxable amount</t>
        </is>
      </c>
      <c r="AB65" s="1889" t="n"/>
      <c r="AC65" s="1890" t="n"/>
      <c r="AD65" s="1890" t="n"/>
      <c r="AE65" s="1890" t="n"/>
      <c r="AF65" s="1887" t="n"/>
      <c r="AG65" s="1890" t="n"/>
      <c r="AH65" s="1890" t="n"/>
      <c r="AI65" s="1890" t="n"/>
      <c r="AJ65" s="11744" t="inlineStr">
        <is>
          <t xml:space="preserve">  .   .   .   .   .   .   . </t>
        </is>
      </c>
      <c r="AK65" s="1891">
        <f>F65&amp;"b"</f>
        <v/>
      </c>
      <c r="AL65" s="7065">
        <f>IF(AY65&lt;&gt;"",ROUND(AY65,0),ROUND(SUM(IRA_Taxable_1099R,IRAContrib_Taxable1,IRAContrib_Taxable2,IRAConvert_Taxable1,IRAConvert_Taxable2,RothIRADist_Taxable1,RothIRADist_Taxable2),0))</f>
        <v/>
      </c>
      <c r="AM65" s="7637" t="n"/>
      <c r="AN65" s="7637" t="n"/>
      <c r="AO65" s="7637" t="n"/>
      <c r="AP65" s="7637" t="n"/>
      <c r="AQ65" s="7637" t="n"/>
      <c r="AR65" s="7637" t="n"/>
      <c r="AS65" s="1892" t="n"/>
      <c r="AT65" s="4018" t="n"/>
      <c r="AW65" s="7636" t="n"/>
      <c r="AX65" s="1063" t="n"/>
      <c r="AY65" s="1063" t="n"/>
      <c r="AZ65" s="5840" t="n"/>
      <c r="BA65" s="404" t="n"/>
      <c r="BB65" s="404" t="n"/>
      <c r="BC65" s="404" t="n"/>
      <c r="BD65" s="404" t="n"/>
      <c r="BE65" s="7957" t="n"/>
      <c r="BF65" s="11602" t="n"/>
      <c r="BG65" s="11602" t="n"/>
      <c r="BH65" s="11602" t="n"/>
      <c r="BI65" s="566">
        <f>IF(File_Single&lt;&gt;"",SD_Adj_Single,IF(OR(File_Marr_Joint&lt;&gt;"",File_Qual_Widow&lt;&gt;""),SD_Adj_MFJW,IF(File_Marr_Sep&lt;&gt;"",SD_Adj_MFS,IF(File_Head&lt;&gt;"",SD_Adj_HOH,0))))</f>
        <v/>
      </c>
      <c r="BJ65" s="344">
        <f>SchA_Filed</f>
        <v/>
      </c>
      <c r="BK65" s="409">
        <f>NOT(ItemizedDeduct)</f>
        <v/>
      </c>
      <c r="BL65" s="11602" t="n"/>
      <c r="BM65" s="11602" t="n"/>
      <c r="BN65" s="11602" t="n"/>
      <c r="BO65" s="11602" t="n"/>
      <c r="BP65" s="11602" t="n"/>
      <c r="BQ65" s="11602" t="n"/>
      <c r="BR65" s="11602" t="n"/>
      <c r="BS65" s="11602" t="n"/>
      <c r="BT65" s="11704" t="n"/>
      <c r="BU65" s="658" t="n"/>
      <c r="BV65" s="658" t="n"/>
      <c r="BW65" s="658" t="n"/>
      <c r="BX65" s="658" t="n"/>
      <c r="BY65" s="658" t="n"/>
      <c r="BZ65" s="658" t="n"/>
      <c r="CA65" s="658" t="n"/>
      <c r="CB65" s="658" t="n"/>
      <c r="CC65" s="658" t="n"/>
      <c r="CD65" s="658" t="n"/>
      <c r="CE65" s="658" t="n"/>
      <c r="CF65" s="658" t="n"/>
    </row>
    <row r="66" ht="5.25" customHeight="1" s="7635">
      <c r="A66" s="139" t="n"/>
      <c r="B66" s="5823" t="n"/>
      <c r="C66" s="5823" t="n"/>
      <c r="D66" s="5823" t="n"/>
      <c r="E66" s="5823" t="n"/>
      <c r="F66" s="1888" t="n"/>
      <c r="G66" s="1417" t="n"/>
      <c r="H66" s="1889" t="n"/>
      <c r="I66" s="1887" t="n"/>
      <c r="J66" s="1887" t="n"/>
      <c r="K66" s="1887" t="n"/>
      <c r="L66" s="1887" t="n"/>
      <c r="M66" s="1887" t="n"/>
      <c r="N66" s="1887" t="n"/>
      <c r="O66" s="1887" t="n"/>
      <c r="P66" s="1887" t="n"/>
      <c r="Q66" s="1954" t="n"/>
      <c r="R66" s="1887" t="n"/>
      <c r="S66" s="1887" t="n"/>
      <c r="T66" s="1887" t="n"/>
      <c r="U66" s="1887" t="n"/>
      <c r="V66" s="1887" t="n"/>
      <c r="W66" s="1887" t="n"/>
      <c r="X66" s="1887" t="n"/>
      <c r="Y66" s="1887" t="n"/>
      <c r="Z66" s="1887" t="n"/>
      <c r="AA66" s="1887" t="n"/>
      <c r="AB66" s="1887" t="n"/>
      <c r="AC66" s="1887" t="n"/>
      <c r="AD66" s="1887" t="n"/>
      <c r="AE66" s="1887" t="n"/>
      <c r="AF66" s="1887" t="n"/>
      <c r="AG66" s="1890" t="n"/>
      <c r="AH66" s="1890" t="n"/>
      <c r="AI66" s="1890" t="n"/>
      <c r="AJ66" s="11744" t="n"/>
      <c r="AK66" s="7358" t="n"/>
      <c r="AL66" s="4849" t="n"/>
      <c r="AM66" s="2904" t="n"/>
      <c r="AN66" s="2904" t="n"/>
      <c r="AO66" s="2904" t="n"/>
      <c r="AP66" s="2904" t="n"/>
      <c r="AQ66" s="2904" t="n"/>
      <c r="AR66" s="2904" t="n"/>
      <c r="AS66" s="1892" t="n"/>
      <c r="AT66" s="4018" t="n"/>
      <c r="AW66" s="7636" t="n"/>
      <c r="AX66" s="6597" t="n"/>
      <c r="AY66" s="6598" t="n"/>
      <c r="AZ66" s="5840" t="n"/>
      <c r="BA66" s="404" t="n"/>
      <c r="BB66" s="404" t="n"/>
      <c r="BC66" s="404" t="n"/>
      <c r="BD66" s="404" t="n"/>
      <c r="BE66" s="7957" t="n"/>
      <c r="BF66" s="11602" t="n"/>
      <c r="BG66" s="11602" t="n"/>
      <c r="BH66" s="11602" t="n"/>
      <c r="BI66" s="5837" t="n"/>
      <c r="BJ66" s="580" t="n"/>
      <c r="BK66" s="5870" t="n"/>
      <c r="BL66" s="11602" t="n"/>
      <c r="BM66" s="11602" t="n"/>
      <c r="BN66" s="11602" t="n"/>
      <c r="BO66" s="11602" t="n"/>
      <c r="BP66" s="11602" t="n"/>
      <c r="BQ66" s="11602" t="n"/>
      <c r="BR66" s="11602" t="n"/>
      <c r="BS66" s="11602" t="n"/>
      <c r="BT66" s="11704" t="n"/>
      <c r="BU66" s="658" t="n"/>
      <c r="BV66" s="658" t="n"/>
      <c r="BW66" s="658" t="n"/>
      <c r="BX66" s="658" t="n"/>
      <c r="BY66" s="658" t="n"/>
      <c r="BZ66" s="658" t="n"/>
      <c r="CA66" s="658" t="n"/>
      <c r="CB66" s="658" t="n"/>
      <c r="CC66" s="658" t="n"/>
      <c r="CD66" s="658" t="n"/>
      <c r="CE66" s="658" t="n"/>
      <c r="CF66" s="658" t="n"/>
    </row>
    <row r="67" ht="13.5" customHeight="1" s="7635">
      <c r="A67" s="139" t="n"/>
      <c r="B67" s="5823" t="n"/>
      <c r="C67" s="5823" t="n"/>
      <c r="D67" s="5823" t="n"/>
      <c r="E67" s="5823" t="n"/>
      <c r="F67" s="1417" t="n"/>
      <c r="G67" s="1888" t="inlineStr">
        <is>
          <t>c</t>
        </is>
      </c>
      <c r="H67" s="1889" t="inlineStr">
        <is>
          <t>Check if (see instructions)</t>
        </is>
      </c>
      <c r="I67" s="1887" t="n"/>
      <c r="J67" s="1887" t="n"/>
      <c r="K67" s="1887" t="n"/>
      <c r="L67" s="1887" t="n"/>
      <c r="M67" s="1887" t="n"/>
      <c r="N67" s="1887" t="n"/>
      <c r="O67" s="11744" t="n"/>
      <c r="P67" s="11744" t="n"/>
      <c r="Q67" s="5841" t="n"/>
      <c r="R67" s="1888" t="n"/>
      <c r="S67" s="1888" t="n"/>
      <c r="T67" s="1888" t="n"/>
      <c r="U67" s="1920" t="inlineStr">
        <is>
          <t xml:space="preserve">1   </t>
        </is>
      </c>
      <c r="V67" s="276" t="n"/>
      <c r="W67" s="1858" t="inlineStr">
        <is>
          <t>Rollover</t>
        </is>
      </c>
      <c r="X67" s="1888" t="n"/>
      <c r="Y67" s="1888" t="n"/>
      <c r="Z67" s="1888" t="n"/>
      <c r="AA67" s="1920" t="inlineStr">
        <is>
          <t xml:space="preserve">2  </t>
        </is>
      </c>
      <c r="AB67" s="276" t="n"/>
      <c r="AC67" s="1858" t="inlineStr">
        <is>
          <t>QCD</t>
        </is>
      </c>
      <c r="AD67" s="1890" t="n"/>
      <c r="AE67" s="1920" t="inlineStr">
        <is>
          <t>3</t>
        </is>
      </c>
      <c r="AF67" s="276" t="n"/>
      <c r="AG67" s="7101" t="n"/>
      <c r="AH67" s="11717" t="n"/>
      <c r="AI67" s="11717" t="n"/>
      <c r="AJ67" s="11744" t="n"/>
      <c r="AK67" s="7359" t="n"/>
      <c r="AL67" s="1899" t="n"/>
      <c r="AM67" s="1900" t="n"/>
      <c r="AN67" s="1900" t="n"/>
      <c r="AO67" s="1900" t="n"/>
      <c r="AP67" s="1900" t="n"/>
      <c r="AQ67" s="1900" t="n"/>
      <c r="AR67" s="1900" t="n"/>
      <c r="AS67" s="1892" t="n"/>
      <c r="AT67" s="4018" t="n"/>
      <c r="AW67" s="7636" t="n"/>
      <c r="AX67" s="6599" t="n"/>
      <c r="AY67" s="6600" t="n"/>
      <c r="AZ67" s="5840" t="n"/>
      <c r="BA67" s="404" t="n"/>
      <c r="BB67" s="404" t="n"/>
      <c r="BC67" s="404" t="n"/>
      <c r="BD67" s="404" t="n"/>
      <c r="BE67" s="7957" t="n"/>
      <c r="BF67" s="11602" t="n"/>
      <c r="BG67" s="11602" t="n"/>
      <c r="BH67" s="11602" t="n"/>
      <c r="BI67" s="4027" t="inlineStr">
        <is>
          <t>Standard</t>
        </is>
      </c>
      <c r="BJ67" s="4028" t="inlineStr">
        <is>
          <t>Itemized</t>
        </is>
      </c>
      <c r="BK67" s="409" t="n"/>
      <c r="BL67" s="11602" t="n"/>
      <c r="BM67" s="11602" t="n"/>
      <c r="BN67" s="11602" t="n"/>
      <c r="BO67" s="11602" t="n"/>
      <c r="BP67" s="11602" t="n"/>
      <c r="BQ67" s="11602" t="n"/>
      <c r="BR67" s="11602" t="n"/>
      <c r="BS67" s="11602" t="n"/>
      <c r="BT67" s="11704" t="n"/>
      <c r="BU67" s="658" t="n"/>
      <c r="BV67" s="658" t="n"/>
      <c r="BW67" s="658" t="n"/>
      <c r="BX67" s="658" t="n"/>
      <c r="BY67" s="658" t="n"/>
      <c r="BZ67" s="658" t="n"/>
      <c r="CA67" s="658" t="n"/>
      <c r="CB67" s="658" t="n"/>
      <c r="CC67" s="658" t="n"/>
      <c r="CD67" s="658" t="n"/>
      <c r="CE67" s="658" t="n"/>
      <c r="CF67" s="658" t="n"/>
    </row>
    <row r="68" ht="14.25" customHeight="1" s="7635">
      <c r="A68" s="139" t="n"/>
      <c r="B68" s="5823" t="n"/>
      <c r="C68" s="5823" t="n"/>
      <c r="D68" s="5823" t="n"/>
      <c r="E68" s="5823" t="n"/>
      <c r="F68" s="1888" t="n">
        <v>5</v>
      </c>
      <c r="G68" s="1417" t="inlineStr">
        <is>
          <t>a</t>
        </is>
      </c>
      <c r="H68" s="1889" t="inlineStr">
        <is>
          <t>Pensions and annuities</t>
        </is>
      </c>
      <c r="I68" s="1887" t="n"/>
      <c r="J68" s="1887" t="n"/>
      <c r="K68" s="1887" t="n"/>
      <c r="L68" s="1887" t="n"/>
      <c r="M68" s="1887" t="n"/>
      <c r="N68" s="1887" t="n"/>
      <c r="O68" s="11744" t="n"/>
      <c r="P68" s="11744" t="inlineStr">
        <is>
          <t xml:space="preserve">.   . </t>
        </is>
      </c>
      <c r="Q68" s="11746" t="inlineStr">
        <is>
          <t>5a</t>
        </is>
      </c>
      <c r="R68" s="11734" t="n"/>
      <c r="S68" s="8391">
        <f>IF(AX68&lt;&gt;"",ROUND(AX68,0),IF(AW61,"",ROUND(PA_Gross,0)))</f>
        <v/>
      </c>
      <c r="T68" s="7637" t="n"/>
      <c r="U68" s="7637" t="n"/>
      <c r="V68" s="7637" t="n"/>
      <c r="W68" s="7637" t="n"/>
      <c r="X68" s="7638" t="n"/>
      <c r="Y68" s="1888" t="n"/>
      <c r="Z68" s="1888" t="inlineStr">
        <is>
          <t>b</t>
        </is>
      </c>
      <c r="AA68" s="1858" t="inlineStr">
        <is>
          <t>Taxable amount</t>
        </is>
      </c>
      <c r="AB68" s="1889" t="n"/>
      <c r="AC68" s="1890" t="n"/>
      <c r="AD68" s="1890" t="n"/>
      <c r="AE68" s="1890" t="n"/>
      <c r="AF68" s="1887" t="n"/>
      <c r="AG68" s="1890" t="n"/>
      <c r="AH68" s="1890" t="n"/>
      <c r="AI68" s="1890" t="n"/>
      <c r="AJ68" s="11744" t="inlineStr">
        <is>
          <t xml:space="preserve">  .   .   .   .   .   .   . </t>
        </is>
      </c>
      <c r="AK68" s="1891">
        <f>F68&amp;"b"</f>
        <v/>
      </c>
      <c r="AL68" s="7065">
        <f>IF(AY68&lt;&gt;"",ROUND(AY68,0),ROUND(PA_Taxable_1099R,0))</f>
        <v/>
      </c>
      <c r="AM68" s="7637" t="n"/>
      <c r="AN68" s="7637" t="n"/>
      <c r="AO68" s="7637" t="n"/>
      <c r="AP68" s="7637" t="n"/>
      <c r="AQ68" s="7637" t="n"/>
      <c r="AR68" s="7637" t="n"/>
      <c r="AS68" s="1892" t="n"/>
      <c r="AT68" s="4018" t="n"/>
      <c r="AW68" s="7636" t="n"/>
      <c r="AX68" s="1063" t="n"/>
      <c r="AY68" s="1063" t="n"/>
      <c r="AZ68" s="5840" t="n"/>
      <c r="BA68" s="404" t="n"/>
      <c r="BB68" s="5599" t="n"/>
      <c r="BC68" s="404" t="n"/>
      <c r="BD68" s="404" t="n"/>
      <c r="BE68" s="7957" t="n"/>
      <c r="BF68" s="11602" t="n"/>
      <c r="BG68" s="11602" t="n"/>
      <c r="BH68" s="740" t="n"/>
      <c r="BI68" s="4027" t="n"/>
      <c r="BJ68" s="4028" t="n"/>
      <c r="BK68" s="409" t="n"/>
      <c r="BL68" s="11602" t="n"/>
      <c r="BM68" s="11602" t="n"/>
      <c r="BN68" s="11602" t="n"/>
      <c r="BO68" s="11602" t="n"/>
      <c r="BP68" s="11602" t="n"/>
      <c r="BQ68" s="11602" t="n"/>
      <c r="BR68" s="11602" t="n"/>
      <c r="BS68" s="11602" t="n"/>
      <c r="BT68" s="11704" t="n"/>
      <c r="BU68" s="658" t="n"/>
      <c r="BV68" s="658" t="n"/>
      <c r="BW68" s="658" t="n"/>
      <c r="BX68" s="658" t="n"/>
      <c r="BY68" s="658" t="n"/>
      <c r="BZ68" s="658" t="n"/>
      <c r="CA68" s="658" t="n"/>
      <c r="CB68" s="658" t="n"/>
      <c r="CC68" s="658" t="n"/>
      <c r="CD68" s="658" t="n"/>
      <c r="CE68" s="658" t="n"/>
      <c r="CF68" s="658" t="n"/>
    </row>
    <row r="69" ht="5.25" customHeight="1" s="7635">
      <c r="A69" s="139" t="n"/>
      <c r="B69" s="5823" t="n"/>
      <c r="C69" s="5823" t="n"/>
      <c r="D69" s="5823" t="n"/>
      <c r="E69" s="5823" t="n"/>
      <c r="F69" s="1888" t="n"/>
      <c r="G69" s="1417" t="n"/>
      <c r="H69" s="1889" t="n"/>
      <c r="I69" s="1887" t="n"/>
      <c r="J69" s="1887" t="n"/>
      <c r="K69" s="1887" t="n"/>
      <c r="L69" s="1887" t="n"/>
      <c r="M69" s="1887" t="n"/>
      <c r="N69" s="1887" t="n"/>
      <c r="O69" s="1887" t="n"/>
      <c r="P69" s="1887" t="n"/>
      <c r="Q69" s="1954" t="n"/>
      <c r="R69" s="1887" t="n"/>
      <c r="S69" s="1887" t="n"/>
      <c r="T69" s="1887" t="n"/>
      <c r="U69" s="1887" t="n"/>
      <c r="V69" s="1887" t="n"/>
      <c r="W69" s="1887" t="n"/>
      <c r="X69" s="1887" t="n"/>
      <c r="Y69" s="1887" t="n"/>
      <c r="Z69" s="1887" t="n"/>
      <c r="AA69" s="1887" t="n"/>
      <c r="AB69" s="1887" t="n"/>
      <c r="AC69" s="1887" t="n"/>
      <c r="AD69" s="1887" t="n"/>
      <c r="AE69" s="1887" t="n"/>
      <c r="AF69" s="1887" t="n"/>
      <c r="AG69" s="1890" t="n"/>
      <c r="AH69" s="1890" t="n"/>
      <c r="AI69" s="1890" t="n"/>
      <c r="AJ69" s="11744" t="n"/>
      <c r="AK69" s="5868" t="n"/>
      <c r="AL69" s="4849" t="n"/>
      <c r="AM69" s="2904" t="n"/>
      <c r="AN69" s="2904" t="n"/>
      <c r="AO69" s="2904" t="n"/>
      <c r="AP69" s="2904" t="n"/>
      <c r="AQ69" s="2904" t="n"/>
      <c r="AR69" s="2904" t="n"/>
      <c r="AS69" s="1892" t="n"/>
      <c r="AT69" s="4018" t="n"/>
      <c r="AW69" s="7636" t="n"/>
      <c r="AX69" s="6597" t="n"/>
      <c r="AY69" s="6598" t="n"/>
      <c r="AZ69" s="11602" t="n"/>
      <c r="BA69" s="11602" t="n"/>
      <c r="BB69" s="11602" t="n"/>
      <c r="BC69" s="11602" t="n"/>
      <c r="BD69" s="11602" t="n"/>
      <c r="BE69" s="11602" t="n"/>
      <c r="BF69" s="11602" t="n"/>
      <c r="BG69" s="11602" t="n"/>
      <c r="BH69" s="11602" t="n"/>
      <c r="BI69" s="5871" t="n"/>
      <c r="BJ69" s="740" t="n"/>
      <c r="BK69" s="5872" t="n"/>
      <c r="BL69" s="11602" t="n"/>
      <c r="BM69" s="11602" t="n"/>
      <c r="BN69" s="11602" t="n"/>
      <c r="BO69" s="11602" t="n"/>
      <c r="BP69" s="11602" t="n"/>
      <c r="BQ69" s="11602" t="n"/>
      <c r="BR69" s="11602" t="n"/>
      <c r="BS69" s="11602" t="n"/>
      <c r="BT69" s="11704" t="n"/>
      <c r="BU69" s="658" t="n"/>
      <c r="BV69" s="658" t="n"/>
      <c r="BW69" s="658" t="n"/>
      <c r="BX69" s="658" t="n"/>
      <c r="BY69" s="658" t="n"/>
      <c r="BZ69" s="658" t="n"/>
      <c r="CA69" s="658" t="n"/>
      <c r="CB69" s="658" t="n"/>
      <c r="CC69" s="658" t="n"/>
      <c r="CD69" s="658" t="n"/>
      <c r="CE69" s="658" t="n"/>
      <c r="CF69" s="658" t="n"/>
    </row>
    <row r="70" ht="13.5" customHeight="1" s="7635">
      <c r="A70" s="139" t="n"/>
      <c r="B70" s="5823" t="n"/>
      <c r="C70" s="5823" t="n"/>
      <c r="D70" s="5823" t="n"/>
      <c r="E70" s="5823" t="n"/>
      <c r="F70" s="1417" t="n"/>
      <c r="G70" s="1888" t="inlineStr">
        <is>
          <t>c</t>
        </is>
      </c>
      <c r="H70" s="1889" t="inlineStr">
        <is>
          <t>Check if (see instructions)</t>
        </is>
      </c>
      <c r="I70" s="1887" t="n"/>
      <c r="J70" s="1887" t="n"/>
      <c r="K70" s="1887" t="n"/>
      <c r="L70" s="1887" t="n"/>
      <c r="M70" s="1887" t="n"/>
      <c r="N70" s="1887" t="n"/>
      <c r="O70" s="11744" t="n"/>
      <c r="P70" s="11744" t="n"/>
      <c r="Q70" s="5841" t="n"/>
      <c r="R70" s="1888" t="n"/>
      <c r="S70" s="1888" t="n"/>
      <c r="T70" s="1888" t="n"/>
      <c r="U70" s="1920" t="inlineStr">
        <is>
          <t xml:space="preserve">1   </t>
        </is>
      </c>
      <c r="V70" s="276" t="n"/>
      <c r="W70" s="1858" t="inlineStr">
        <is>
          <t>Rollover</t>
        </is>
      </c>
      <c r="X70" s="1888" t="n"/>
      <c r="Y70" s="1888" t="n"/>
      <c r="Z70" s="1888" t="n"/>
      <c r="AA70" s="1920" t="inlineStr">
        <is>
          <t xml:space="preserve">2  </t>
        </is>
      </c>
      <c r="AB70" s="276" t="n"/>
      <c r="AC70" s="1858" t="inlineStr">
        <is>
          <t>PSO</t>
        </is>
      </c>
      <c r="AD70" s="1890" t="n"/>
      <c r="AE70" s="1920" t="inlineStr">
        <is>
          <t>3</t>
        </is>
      </c>
      <c r="AF70" s="276" t="n"/>
      <c r="AG70" s="7101" t="n"/>
      <c r="AH70" s="11717" t="n"/>
      <c r="AI70" s="11717" t="n"/>
      <c r="AJ70" s="11744" t="n"/>
      <c r="AK70" s="5869" t="n"/>
      <c r="AL70" s="1899" t="n"/>
      <c r="AM70" s="1900" t="n"/>
      <c r="AN70" s="1900" t="n"/>
      <c r="AO70" s="1900" t="n"/>
      <c r="AP70" s="1900" t="n"/>
      <c r="AQ70" s="1900" t="n"/>
      <c r="AR70" s="1900" t="n"/>
      <c r="AS70" s="1892" t="n"/>
      <c r="AT70" s="4018" t="n"/>
      <c r="AW70" s="7636" t="n"/>
      <c r="AX70" s="6599" t="n"/>
      <c r="AY70" s="6600" t="n"/>
      <c r="AZ70" s="11602" t="n"/>
      <c r="BA70" s="724" t="n"/>
      <c r="BB70" s="724" t="n"/>
      <c r="BC70" s="11602" t="n"/>
      <c r="BD70" s="11602" t="n"/>
      <c r="BE70" s="11602" t="n"/>
      <c r="BF70" s="11602" t="n"/>
      <c r="BG70" s="11602" t="n"/>
      <c r="BH70" s="11602" t="n"/>
      <c r="BI70" s="566">
        <f>IF(OR(Dual_Status_Alien&lt;&gt;"",ISERROR(Over_65_or_Blind)),0, IF('Line 12e (SD Depnts)'!L4,Std_Ded_Wrks_For_Dep, IF(Over_65_or_Blind&gt;0,BI65,BI73)))</f>
        <v/>
      </c>
      <c r="BJ70" s="344">
        <f>Tot_Item_Deduct</f>
        <v/>
      </c>
      <c r="BK70" s="409" t="n"/>
      <c r="BL70" s="11602" t="n"/>
      <c r="BM70" s="11602" t="n"/>
      <c r="BN70" s="11602" t="n"/>
      <c r="BO70" s="11602" t="n"/>
      <c r="BP70" s="11602" t="n"/>
      <c r="BQ70" s="11602" t="n"/>
      <c r="BR70" s="11602" t="n"/>
      <c r="BS70" s="11602" t="n"/>
      <c r="BT70" s="11704" t="n"/>
      <c r="BU70" s="658" t="n"/>
      <c r="BV70" s="658" t="n"/>
      <c r="BW70" s="658" t="n"/>
      <c r="BX70" s="658" t="n"/>
      <c r="BY70" s="658" t="n"/>
      <c r="BZ70" s="658" t="n"/>
      <c r="CA70" s="658" t="n"/>
      <c r="CB70" s="658" t="n"/>
      <c r="CC70" s="658" t="n"/>
      <c r="CD70" s="658" t="n"/>
      <c r="CE70" s="658" t="n"/>
      <c r="CF70" s="658" t="n"/>
    </row>
    <row r="71" ht="14.25" customHeight="1" s="7635">
      <c r="A71" s="139" t="n"/>
      <c r="B71" s="5823" t="n"/>
      <c r="C71" s="5823" t="n"/>
      <c r="D71" s="5823" t="n"/>
      <c r="E71" s="5823" t="n"/>
      <c r="F71" s="1888" t="n">
        <v>6</v>
      </c>
      <c r="G71" s="1417" t="inlineStr">
        <is>
          <t>a</t>
        </is>
      </c>
      <c r="H71" s="1889" t="inlineStr">
        <is>
          <t>Social security benefits</t>
        </is>
      </c>
      <c r="I71" s="1887" t="n"/>
      <c r="J71" s="1887" t="n"/>
      <c r="K71" s="1887" t="n"/>
      <c r="L71" s="1887" t="n"/>
      <c r="M71" s="1887" t="n"/>
      <c r="N71" s="1887" t="n"/>
      <c r="O71" s="1874" t="n"/>
      <c r="P71" s="11744" t="inlineStr">
        <is>
          <t xml:space="preserve">.   . </t>
        </is>
      </c>
      <c r="Q71" s="11746">
        <f>F71&amp;"a"</f>
        <v/>
      </c>
      <c r="R71" s="11734" t="n"/>
      <c r="S71" s="8391">
        <f>IF(AX71&lt;&gt;"",ROUND(AX71,0),ROUND('Line 6ab (SS Bene)'!I13,0))</f>
        <v/>
      </c>
      <c r="T71" s="7637" t="n"/>
      <c r="U71" s="7637" t="n"/>
      <c r="V71" s="7637" t="n"/>
      <c r="W71" s="7637" t="n"/>
      <c r="X71" s="7638" t="n"/>
      <c r="Y71" s="1888" t="n"/>
      <c r="Z71" s="1888" t="inlineStr">
        <is>
          <t>b</t>
        </is>
      </c>
      <c r="AA71" s="1858" t="inlineStr">
        <is>
          <t>Taxable amount</t>
        </is>
      </c>
      <c r="AB71" s="1889" t="n"/>
      <c r="AC71" s="1890" t="n"/>
      <c r="AD71" s="1890" t="n"/>
      <c r="AE71" s="1890" t="n"/>
      <c r="AF71" s="1887" t="n"/>
      <c r="AG71" s="1890" t="n"/>
      <c r="AH71" s="1890" t="n"/>
      <c r="AI71" s="1890" t="n"/>
      <c r="AJ71" s="11744" t="inlineStr">
        <is>
          <t xml:space="preserve">.   .   .   .   .   .   .   . </t>
        </is>
      </c>
      <c r="AK71" s="1891">
        <f>F71&amp;"b"</f>
        <v/>
      </c>
      <c r="AL71" s="7065">
        <f>IF(AY71&lt;&gt;"",ROUND(AY71,0),IF(ISERROR(ROUND(Tax_SS_Benefits,0)),"See 'Line 6ab' sheet.",ROUND(Tax_SS_Benefits,0)))</f>
        <v/>
      </c>
      <c r="AM71" s="7637" t="n"/>
      <c r="AN71" s="7637" t="n"/>
      <c r="AO71" s="7637" t="n"/>
      <c r="AP71" s="7637" t="n"/>
      <c r="AQ71" s="7637" t="n"/>
      <c r="AR71" s="7637" t="n"/>
      <c r="AS71" s="1892" t="n"/>
      <c r="AT71" s="7107" t="n"/>
      <c r="AW71" s="7636" t="n"/>
      <c r="AX71" s="1063" t="n"/>
      <c r="AY71" s="1063" t="n"/>
      <c r="AZ71" s="11602" t="n"/>
      <c r="BA71" s="11602" t="n"/>
      <c r="BB71" s="11602" t="n"/>
      <c r="BC71" s="11602" t="n"/>
      <c r="BD71" s="11602" t="n"/>
      <c r="BE71" s="11602" t="n"/>
      <c r="BF71" s="4025" t="n"/>
      <c r="BG71" s="4025" t="n"/>
      <c r="BH71" s="4025" t="n"/>
      <c r="BI71" s="566" t="n"/>
      <c r="BJ71" s="344" t="n"/>
      <c r="BK71" s="409" t="n"/>
      <c r="BL71" s="11602" t="n"/>
      <c r="BM71" s="11602" t="n"/>
      <c r="BN71" s="11602" t="n"/>
      <c r="BO71" s="11602" t="n"/>
      <c r="BP71" s="11602" t="n"/>
      <c r="BQ71" s="11602" t="n"/>
      <c r="BR71" s="11602" t="n"/>
      <c r="BS71" s="11602" t="n"/>
      <c r="BT71" s="11704" t="n"/>
      <c r="BU71" s="658" t="n"/>
      <c r="BV71" s="658" t="n"/>
      <c r="BW71" s="658" t="n"/>
      <c r="BX71" s="658" t="n"/>
      <c r="BY71" s="658" t="n"/>
      <c r="BZ71" s="658" t="n"/>
      <c r="CA71" s="658" t="n"/>
      <c r="CB71" s="658" t="n"/>
      <c r="CC71" s="658" t="n"/>
      <c r="CD71" s="658" t="n"/>
      <c r="CE71" s="658" t="n"/>
      <c r="CF71" s="658" t="n"/>
    </row>
    <row r="72" ht="14.25" customHeight="1" s="7635">
      <c r="A72" s="139" t="n"/>
      <c r="B72" s="5823" t="n"/>
      <c r="C72" s="5823" t="n"/>
      <c r="D72" s="5823" t="n"/>
      <c r="E72" s="5823" t="n"/>
      <c r="F72" s="1888" t="n"/>
      <c r="G72" s="1417" t="inlineStr">
        <is>
          <t>c</t>
        </is>
      </c>
      <c r="H72" s="1889" t="inlineStr">
        <is>
          <t>If you elect to use the lump-sum election method, check here (see instructions)</t>
        </is>
      </c>
      <c r="I72" s="1876" t="n"/>
      <c r="J72" s="1876" t="n"/>
      <c r="K72" s="1876" t="n"/>
      <c r="L72" s="1876" t="n"/>
      <c r="M72" s="1876" t="n"/>
      <c r="N72" s="1876" t="n"/>
      <c r="O72" s="1876" t="n"/>
      <c r="P72" s="1876" t="n"/>
      <c r="Q72" s="1876" t="n"/>
      <c r="R72" s="1876" t="n"/>
      <c r="S72" s="1876" t="n"/>
      <c r="T72" s="1876" t="n"/>
      <c r="U72" s="1876" t="n"/>
      <c r="V72" s="1876" t="n"/>
      <c r="W72" s="1876" t="n"/>
      <c r="X72" s="1876" t="n"/>
      <c r="Y72" s="1876" t="n"/>
      <c r="Z72" s="1876" t="n"/>
      <c r="AA72" s="1876" t="n"/>
      <c r="AB72" s="1890" t="n"/>
      <c r="AC72" s="1890" t="n"/>
      <c r="AD72" s="1890" t="n"/>
      <c r="AE72" s="1890" t="n"/>
      <c r="AF72" s="1890" t="n"/>
      <c r="AG72" s="11744" t="n"/>
      <c r="AH72" s="11744" t="inlineStr">
        <is>
          <t xml:space="preserve">.   .   .   .   . </t>
        </is>
      </c>
      <c r="AI72" s="276" t="n"/>
      <c r="AJ72" s="11744" t="inlineStr">
        <is>
          <t xml:space="preserve">. </t>
        </is>
      </c>
      <c r="AK72" s="7358" t="n"/>
      <c r="AL72" s="7111" t="n"/>
      <c r="AM72" s="7839" t="n"/>
      <c r="AN72" s="7839" t="n"/>
      <c r="AO72" s="7839" t="n"/>
      <c r="AP72" s="7839" t="n"/>
      <c r="AQ72" s="7839" t="n"/>
      <c r="AR72" s="7839" t="n"/>
      <c r="AS72" s="1878" t="n"/>
      <c r="AU72" s="7108" t="n"/>
      <c r="AV72" s="7108" t="n"/>
      <c r="AW72" s="7109" t="n"/>
      <c r="AX72" s="4007" t="n"/>
      <c r="AY72" s="11748" t="n"/>
      <c r="AZ72" s="11602" t="n"/>
      <c r="BA72" s="11602" t="n"/>
      <c r="BB72" s="11602" t="n"/>
      <c r="BC72" s="11602" t="n"/>
      <c r="BD72" s="11602" t="n"/>
      <c r="BE72" s="11602" t="n"/>
      <c r="BF72" s="11602" t="n"/>
      <c r="BG72" s="11602" t="n"/>
      <c r="BH72" s="11602" t="n"/>
      <c r="BI72" s="566" t="n"/>
      <c r="BJ72" s="344" t="n"/>
      <c r="BK72" s="409" t="n"/>
      <c r="BL72" s="11602" t="n"/>
      <c r="BM72" s="11602" t="n"/>
      <c r="BN72" s="11602" t="n"/>
      <c r="BO72" s="11602" t="n"/>
      <c r="BP72" s="11602" t="n"/>
      <c r="BQ72" s="11602" t="n"/>
      <c r="BR72" s="11602" t="n"/>
      <c r="BS72" s="4029" t="n"/>
      <c r="BT72" s="11704" t="n"/>
      <c r="BU72" s="658" t="n"/>
      <c r="BV72" s="658" t="n"/>
      <c r="BW72" s="658" t="n"/>
      <c r="BX72" s="658" t="n"/>
      <c r="BY72" s="658" t="n"/>
      <c r="BZ72" s="658" t="n"/>
      <c r="CA72" s="658" t="n"/>
      <c r="CB72" s="658" t="n"/>
      <c r="CC72" s="658" t="n"/>
      <c r="CD72" s="658" t="n"/>
      <c r="CE72" s="658" t="n"/>
      <c r="CF72" s="658" t="n"/>
    </row>
    <row r="73" ht="14.25" customHeight="1" s="7635">
      <c r="A73" s="139" t="n"/>
      <c r="B73" s="5823" t="n"/>
      <c r="C73" s="5823" t="n"/>
      <c r="D73" s="5823" t="n"/>
      <c r="E73" s="5823" t="n"/>
      <c r="F73" s="1888" t="n"/>
      <c r="G73" s="1417" t="inlineStr">
        <is>
          <t>d</t>
        </is>
      </c>
      <c r="H73" s="1897" t="inlineStr">
        <is>
          <t>If you are married filing separately and lived apart from your spouse the entire year (see inst.), check here</t>
        </is>
      </c>
      <c r="I73" s="1876" t="n"/>
      <c r="J73" s="1876" t="n"/>
      <c r="K73" s="1876" t="n"/>
      <c r="L73" s="1876" t="n"/>
      <c r="M73" s="1876" t="n"/>
      <c r="N73" s="1876" t="n"/>
      <c r="O73" s="1876" t="n"/>
      <c r="P73" s="1876" t="n"/>
      <c r="Q73" s="1876" t="n"/>
      <c r="R73" s="1876" t="n"/>
      <c r="S73" s="1876" t="n"/>
      <c r="T73" s="1876" t="n"/>
      <c r="U73" s="1876" t="n"/>
      <c r="V73" s="1876" t="n"/>
      <c r="W73" s="1876" t="n"/>
      <c r="X73" s="1876" t="n"/>
      <c r="Y73" s="1876" t="n"/>
      <c r="Z73" s="1876" t="n"/>
      <c r="AA73" s="1876" t="n"/>
      <c r="AB73" s="1890" t="n"/>
      <c r="AC73" s="1890" t="n"/>
      <c r="AD73" s="1890" t="n"/>
      <c r="AE73" s="1890" t="n"/>
      <c r="AF73" s="1890" t="n"/>
      <c r="AG73" s="11744" t="n"/>
      <c r="AH73" s="11744" t="n"/>
      <c r="AI73" s="1846">
        <f>IF(AND(SocSecBenefits&lt;&gt;"",SocSecBenefits&gt;0,LivedApart),"X","")</f>
        <v/>
      </c>
      <c r="AJ73" s="11744" t="inlineStr">
        <is>
          <t xml:space="preserve">. </t>
        </is>
      </c>
      <c r="AK73" s="7359" t="n"/>
      <c r="AL73" s="4772" t="n"/>
      <c r="AS73" s="1878" t="n"/>
      <c r="AU73" s="7108" t="n"/>
      <c r="AV73" s="5954" t="n"/>
      <c r="AW73" s="5954" t="n"/>
      <c r="AX73" s="4010" t="n"/>
      <c r="AY73" s="5954" t="n"/>
      <c r="AZ73" s="5954" t="n"/>
      <c r="BA73" s="5954" t="n"/>
      <c r="BB73" s="11602" t="n"/>
      <c r="BC73" s="11602" t="n"/>
      <c r="BD73" s="11602" t="n"/>
      <c r="BE73" s="11602" t="n"/>
      <c r="BF73" s="11602" t="n"/>
      <c r="BG73" s="11602" t="n"/>
      <c r="BH73" s="11602" t="n"/>
      <c r="BI73" s="566">
        <f>IF(File_Single&lt;&gt;"",SD_Single,IF(OR(File_Marr_Joint&lt;&gt;"",File_Qual_Widow&lt;&gt;""),SD_MFJW,IF(File_Head&lt;&gt;"",SD_Head,IF(File_Marr_Sep&lt;&gt;"",SD_Single,0))))</f>
        <v/>
      </c>
      <c r="BJ73" s="344" t="n"/>
      <c r="BK73" s="409" t="n"/>
      <c r="BL73" s="11602" t="n"/>
      <c r="BM73" s="11602" t="n"/>
      <c r="BN73" s="11602" t="n"/>
      <c r="BO73" s="11602" t="n"/>
      <c r="BP73" s="11602" t="n"/>
      <c r="BQ73" s="11602" t="n"/>
      <c r="BR73" s="11602" t="n"/>
      <c r="BS73" s="4029" t="n"/>
      <c r="BT73" s="11704" t="n"/>
      <c r="BU73" s="658" t="n"/>
      <c r="BV73" s="658" t="n"/>
      <c r="BW73" s="658" t="n"/>
      <c r="BX73" s="658" t="n"/>
      <c r="BY73" s="658" t="n"/>
      <c r="BZ73" s="658" t="n"/>
      <c r="CA73" s="658" t="n"/>
      <c r="CB73" s="658" t="n"/>
      <c r="CC73" s="658" t="n"/>
      <c r="CD73" s="658" t="n"/>
      <c r="CE73" s="658" t="n"/>
      <c r="CF73" s="658" t="n"/>
    </row>
    <row r="74" ht="15.75" customHeight="1" s="7635">
      <c r="A74" s="139" t="n"/>
      <c r="B74" s="5823" t="n"/>
      <c r="C74" s="5823" t="n"/>
      <c r="D74" s="5823" t="n"/>
      <c r="E74" s="5823" t="n"/>
      <c r="F74" s="1888" t="n">
        <v>7</v>
      </c>
      <c r="G74" s="1417" t="inlineStr">
        <is>
          <t>a</t>
        </is>
      </c>
      <c r="H74" s="1889" t="inlineStr">
        <is>
          <t>Capital gain or (loss). Attach Schedule D if required</t>
        </is>
      </c>
      <c r="I74" s="1876" t="n"/>
      <c r="J74" s="1876" t="n"/>
      <c r="K74" s="1876" t="n"/>
      <c r="L74" s="1876" t="n"/>
      <c r="M74" s="1876" t="n"/>
      <c r="N74" s="1876" t="n"/>
      <c r="O74" s="1876" t="n"/>
      <c r="P74" s="1876" t="n"/>
      <c r="Q74" s="1876" t="n"/>
      <c r="R74" s="1876" t="n"/>
      <c r="S74" s="1876" t="n"/>
      <c r="T74" s="1876" t="n"/>
      <c r="U74" s="1876" t="n"/>
      <c r="V74" s="1876" t="n"/>
      <c r="W74" s="1876" t="n"/>
      <c r="X74" s="1876" t="n"/>
      <c r="Y74" s="1876" t="n"/>
      <c r="Z74" s="1876" t="n"/>
      <c r="AA74" s="1876" t="n"/>
      <c r="AB74" s="1890" t="n"/>
      <c r="AC74" s="1890" t="n"/>
      <c r="AD74" s="1890" t="n"/>
      <c r="AE74" s="1890" t="n"/>
      <c r="AF74" s="1890" t="n"/>
      <c r="AG74" s="11744" t="n"/>
      <c r="AH74" s="11744" t="inlineStr">
        <is>
          <t xml:space="preserve">.   .   .   .   .   .   .   .   . </t>
        </is>
      </c>
      <c r="AI74" s="11744" t="n"/>
      <c r="AJ74" s="11744" t="inlineStr">
        <is>
          <t xml:space="preserve">. </t>
        </is>
      </c>
      <c r="AK74" s="4011" t="inlineStr">
        <is>
          <t>7a</t>
        </is>
      </c>
      <c r="AL74" s="7115">
        <f>IF(AX74&lt;&gt;"",ROUND(AX74,0),IF(SchD_NotReqd,'1099-DIV'!H95,IF('Sch. D'!A59,'Sch. D'!O57,IF('Sch. D'!A63,0,'Sch. D'!W84))))</f>
        <v/>
      </c>
      <c r="AS74" s="1878" t="n"/>
      <c r="AU74" s="7108" t="n"/>
      <c r="AV74" s="7108" t="n"/>
      <c r="AW74" s="7109" t="n"/>
      <c r="AX74" s="732" t="n"/>
      <c r="AY74" s="11749" t="n"/>
      <c r="AZ74" s="724" t="n"/>
      <c r="BA74" s="11602" t="n"/>
      <c r="BB74" s="11602" t="n"/>
      <c r="BC74" s="11602" t="n"/>
      <c r="BD74" s="11602" t="n"/>
      <c r="BE74" s="11602" t="n"/>
      <c r="BF74" s="4025" t="n"/>
      <c r="BG74" s="4025" t="n"/>
      <c r="BH74" s="4025" t="n"/>
      <c r="BI74" s="7956" t="inlineStr">
        <is>
          <t>NQDL</t>
        </is>
      </c>
      <c r="BJ74" s="344" t="n"/>
      <c r="BK74" s="409" t="n"/>
      <c r="BL74" s="11602" t="n"/>
      <c r="BM74" s="11602" t="n"/>
      <c r="BN74" s="11602" t="n"/>
      <c r="BO74" s="11602" t="n"/>
      <c r="BP74" s="11602" t="n"/>
      <c r="BQ74" s="11602" t="n"/>
      <c r="BR74" s="11602" t="n"/>
      <c r="BS74" s="4029" t="n"/>
      <c r="BT74" s="11704" t="n"/>
      <c r="BU74" s="658" t="n"/>
      <c r="BV74" s="658" t="n"/>
      <c r="BW74" s="658" t="n"/>
      <c r="BX74" s="658" t="n"/>
      <c r="BY74" s="658" t="n"/>
      <c r="BZ74" s="658" t="n"/>
      <c r="CA74" s="658" t="n"/>
      <c r="CB74" s="658" t="n"/>
      <c r="CC74" s="658" t="n"/>
      <c r="CD74" s="658" t="n"/>
      <c r="CE74" s="658" t="n"/>
      <c r="CF74" s="658" t="n"/>
    </row>
    <row r="75" ht="15.75" customHeight="1" s="7635">
      <c r="A75" s="139" t="n"/>
      <c r="B75" s="5823" t="n"/>
      <c r="C75" s="5823" t="n"/>
      <c r="D75" s="5823" t="n"/>
      <c r="E75" s="5823" t="n"/>
      <c r="F75" s="1888" t="n"/>
      <c r="G75" s="1417" t="inlineStr">
        <is>
          <t>b</t>
        </is>
      </c>
      <c r="H75" s="1889" t="inlineStr">
        <is>
          <t>Check if:</t>
        </is>
      </c>
      <c r="I75" s="1876" t="n"/>
      <c r="J75" s="1876" t="n"/>
      <c r="K75" s="276" t="n"/>
      <c r="L75" s="1897" t="inlineStr">
        <is>
          <t>Schedule D not required</t>
        </is>
      </c>
      <c r="M75" s="1897" t="n"/>
      <c r="N75" s="1876" t="n"/>
      <c r="O75" s="1876" t="n"/>
      <c r="P75" s="1876" t="n"/>
      <c r="Q75" s="1876" t="n"/>
      <c r="R75" s="1876" t="n"/>
      <c r="S75" s="276" t="n"/>
      <c r="T75" s="1897" t="inlineStr">
        <is>
          <t>Includes child’s capital gain or (loss)</t>
        </is>
      </c>
      <c r="U75" s="1897" t="n"/>
      <c r="V75" s="1876" t="n"/>
      <c r="W75" s="1876" t="n"/>
      <c r="X75" s="1876" t="n"/>
      <c r="Y75" s="1876" t="n"/>
      <c r="Z75" s="1876" t="n"/>
      <c r="AA75" s="1876" t="n"/>
      <c r="AB75" s="1890" t="n"/>
      <c r="AC75" s="1890" t="n"/>
      <c r="AD75" s="7117" t="n"/>
      <c r="AE75" s="11717" t="n"/>
      <c r="AF75" s="11717" t="n"/>
      <c r="AG75" s="11717" t="n"/>
      <c r="AH75" s="11717" t="n"/>
      <c r="AI75" s="11717" t="n"/>
      <c r="AJ75" s="11744" t="n"/>
      <c r="AK75" s="7359" t="n"/>
      <c r="AL75" s="6249" t="n"/>
      <c r="AM75" s="6250" t="n"/>
      <c r="AN75" s="6250" t="n"/>
      <c r="AO75" s="6250" t="n"/>
      <c r="AP75" s="6250" t="n"/>
      <c r="AQ75" s="6250" t="n"/>
      <c r="AR75" s="6250" t="n"/>
      <c r="AS75" s="1878" t="n"/>
      <c r="AT75" s="7107" t="n"/>
      <c r="AU75" s="7108" t="n"/>
      <c r="AV75" s="7108" t="n"/>
      <c r="AW75" s="7109" t="n"/>
      <c r="AX75" s="731" t="n"/>
      <c r="AY75" s="11574">
        <f>$K$75&lt;&gt;""</f>
        <v/>
      </c>
      <c r="AZ75" s="724" t="n"/>
      <c r="BA75" s="11602" t="n"/>
      <c r="BB75" s="11602" t="n"/>
      <c r="BC75" s="11602" t="n"/>
      <c r="BD75" s="11602" t="n"/>
      <c r="BE75" s="11602" t="n"/>
      <c r="BF75" s="4025" t="n"/>
      <c r="BG75" s="4025" t="n"/>
      <c r="BH75" s="4025" t="n"/>
      <c r="BI75" s="568">
        <f>IF(AND(StdDeduct,NQDisasterLoss&lt;&gt;"",NQDisasterLoss&gt;0),SUM(Standard,NQDisasterLoss),Standard)</f>
        <v/>
      </c>
      <c r="BJ75" s="569" t="n"/>
      <c r="BK75" s="570" t="n"/>
      <c r="BL75" s="11602" t="n"/>
      <c r="BM75" s="11602" t="n"/>
      <c r="BN75" s="11602" t="n"/>
      <c r="BO75" s="11602" t="n"/>
      <c r="BP75" s="11602" t="n"/>
      <c r="BQ75" s="11602" t="n"/>
      <c r="BR75" s="11602" t="n"/>
      <c r="BS75" s="4029" t="n"/>
      <c r="BT75" s="11704" t="n"/>
      <c r="BU75" s="658" t="n"/>
      <c r="BV75" s="658" t="n"/>
      <c r="BW75" s="658" t="n"/>
      <c r="BX75" s="658" t="n"/>
      <c r="BY75" s="658" t="n"/>
      <c r="BZ75" s="658" t="n"/>
      <c r="CA75" s="658" t="n"/>
      <c r="CB75" s="658" t="n"/>
      <c r="CC75" s="658" t="n"/>
      <c r="CD75" s="658" t="n"/>
      <c r="CE75" s="658" t="n"/>
      <c r="CF75" s="658" t="n"/>
    </row>
    <row r="76" ht="14.25" customHeight="1" s="7635">
      <c r="A76" s="139" t="n"/>
      <c r="B76" s="5823" t="n"/>
      <c r="C76" s="5823" t="n"/>
      <c r="D76" s="5823" t="n"/>
      <c r="E76" s="5823" t="n"/>
      <c r="F76" s="1888">
        <f>F74+1</f>
        <v/>
      </c>
      <c r="G76" s="1417" t="n"/>
      <c r="H76" s="1889" t="inlineStr">
        <is>
          <t>Other income from Schedule 1, line 10</t>
        </is>
      </c>
      <c r="I76" s="1876" t="n"/>
      <c r="J76" s="1876" t="n"/>
      <c r="K76" s="1876" t="n"/>
      <c r="L76" s="1876" t="n"/>
      <c r="M76" s="1876" t="n"/>
      <c r="N76" s="1876" t="n"/>
      <c r="O76" s="1876" t="n"/>
      <c r="P76" s="1876" t="n"/>
      <c r="Q76" s="1876" t="n"/>
      <c r="R76" s="1876" t="n"/>
      <c r="S76" s="1876" t="n"/>
      <c r="T76" s="1876" t="n"/>
      <c r="U76" s="1876" t="n"/>
      <c r="V76" s="1876" t="n"/>
      <c r="W76" s="1876" t="n"/>
      <c r="X76" s="1876" t="n"/>
      <c r="Y76" s="1876" t="n"/>
      <c r="Z76" s="1876" t="n"/>
      <c r="AA76" s="1876" t="n"/>
      <c r="AB76" s="1890" t="n"/>
      <c r="AC76" s="1890" t="n"/>
      <c r="AD76" s="1890" t="n"/>
      <c r="AE76" s="1890" t="n"/>
      <c r="AF76" s="1890" t="n"/>
      <c r="AG76" s="1890" t="n"/>
      <c r="AH76" s="1890" t="n"/>
      <c r="AI76" s="1890" t="n"/>
      <c r="AJ76" s="11744" t="inlineStr">
        <is>
          <t xml:space="preserve">.   .   .   .   .   .   .   .   .   .   .   .   .   .   .   .   .   .   .   .   .   .   . </t>
        </is>
      </c>
      <c r="AK76" s="4032" t="n">
        <v>8</v>
      </c>
      <c r="AL76" s="7053">
        <f>IF(AX76&lt;&gt;"",ROUND(AX76,0),Additional_Income)</f>
        <v/>
      </c>
      <c r="AM76" s="8412" t="n"/>
      <c r="AN76" s="8412" t="n"/>
      <c r="AO76" s="8412" t="n"/>
      <c r="AP76" s="8412" t="n"/>
      <c r="AQ76" s="8412" t="n"/>
      <c r="AR76" s="8412" t="n"/>
      <c r="AS76" s="1878" t="n"/>
      <c r="AT76" s="5810" t="n"/>
      <c r="AU76" s="7108" t="n"/>
      <c r="AV76" s="7108" t="n"/>
      <c r="AW76" s="7109" t="n"/>
      <c r="AX76" s="731" t="n"/>
      <c r="AY76" s="11749" t="n"/>
      <c r="AZ76" s="724" t="n"/>
      <c r="BA76" s="11602" t="n"/>
      <c r="BB76" s="11602" t="n"/>
      <c r="BC76" s="11602" t="n"/>
      <c r="BD76" s="11602" t="n"/>
      <c r="BE76" s="11602" t="n"/>
      <c r="BF76" s="4025" t="n"/>
      <c r="BG76" s="4025" t="n"/>
      <c r="BH76" s="4025" t="n"/>
      <c r="BI76" s="344" t="n"/>
      <c r="BJ76" s="344" t="n"/>
      <c r="BK76" s="344" t="n"/>
      <c r="BL76" s="11602" t="n"/>
      <c r="BM76" s="11602" t="n"/>
      <c r="BN76" s="11602" t="n"/>
      <c r="BO76" s="11602" t="n"/>
      <c r="BP76" s="11602" t="n"/>
      <c r="BQ76" s="11602" t="n"/>
      <c r="BR76" s="11602" t="n"/>
      <c r="BS76" s="4029" t="n"/>
      <c r="BT76" s="11704" t="n"/>
      <c r="BU76" s="658" t="n"/>
      <c r="BV76" s="658" t="n"/>
      <c r="BW76" s="658" t="n"/>
      <c r="BX76" s="658" t="n"/>
      <c r="BY76" s="658" t="n"/>
      <c r="BZ76" s="658" t="n"/>
      <c r="CA76" s="658" t="n"/>
      <c r="CB76" s="658" t="n"/>
      <c r="CC76" s="658" t="n"/>
      <c r="CD76" s="658" t="n"/>
      <c r="CE76" s="658" t="n"/>
      <c r="CF76" s="658" t="n"/>
    </row>
    <row r="77" ht="14.25" customHeight="1" s="7635">
      <c r="A77" s="139" t="n"/>
      <c r="B77" s="5823" t="n"/>
      <c r="C77" s="5823" t="n"/>
      <c r="D77" s="5823" t="n"/>
      <c r="E77" s="5823" t="n"/>
      <c r="F77" s="1888" t="n">
        <v>9</v>
      </c>
      <c r="G77" s="1417" t="n"/>
      <c r="H77" s="1889" t="inlineStr">
        <is>
          <t>Add lines 1z, 2b, 3b, 4b, 5b, 6b, 7a, and 8. This is your total income</t>
        </is>
      </c>
      <c r="I77" s="1876" t="n"/>
      <c r="J77" s="1876" t="n"/>
      <c r="K77" s="1876" t="n"/>
      <c r="L77" s="1876" t="n"/>
      <c r="M77" s="1876" t="n"/>
      <c r="N77" s="1911" t="n"/>
      <c r="O77" s="1876" t="n"/>
      <c r="P77" s="1876" t="n"/>
      <c r="Q77" s="1876" t="n"/>
      <c r="R77" s="1876" t="n"/>
      <c r="S77" s="1876" t="n"/>
      <c r="T77" s="1876" t="n"/>
      <c r="U77" s="1876" t="n"/>
      <c r="V77" s="1876" t="n"/>
      <c r="W77" s="1876" t="n"/>
      <c r="X77" s="1876" t="n"/>
      <c r="Y77" s="1876" t="n"/>
      <c r="Z77" s="1876" t="n"/>
      <c r="AA77" s="1876" t="n"/>
      <c r="AB77" s="1890" t="n"/>
      <c r="AC77" s="1888" t="n"/>
      <c r="AD77" s="1888" t="n"/>
      <c r="AE77" s="1888" t="n"/>
      <c r="AF77" s="1888" t="n"/>
      <c r="AG77" s="1888" t="n"/>
      <c r="AH77" s="1888" t="n"/>
      <c r="AI77" s="1888" t="n"/>
      <c r="AJ77" s="11744" t="inlineStr">
        <is>
          <t xml:space="preserve">.   .   .   .   .   .   .   .   .   .   .   . </t>
        </is>
      </c>
      <c r="AK77" s="4032" t="n">
        <v>9</v>
      </c>
      <c r="AL77" s="7065">
        <f>IF(AX77&lt;&gt;"",ROUND(AX77,0),SUM(AL60,TaxableInterest,OrdinaryDividends,IRA_Taxable,PA_Taxable,SocSecBenefits_Taxable,CapitalGains,AL76))</f>
        <v/>
      </c>
      <c r="AM77" s="7637" t="n"/>
      <c r="AN77" s="7637" t="n"/>
      <c r="AO77" s="7637" t="n"/>
      <c r="AP77" s="7637" t="n"/>
      <c r="AQ77" s="7637" t="n"/>
      <c r="AR77" s="7637" t="n"/>
      <c r="AS77" s="1878" t="n"/>
      <c r="AT77" s="4034" t="n"/>
      <c r="AU77" s="7108" t="n"/>
      <c r="AV77" s="7108" t="n"/>
      <c r="AW77" s="7109" t="n"/>
      <c r="AX77" s="732" t="n"/>
      <c r="AY77" s="11749" t="n"/>
      <c r="AZ77" s="11750" t="n"/>
      <c r="BA77" s="11602" t="n"/>
      <c r="BB77" s="11602" t="n"/>
      <c r="BC77" s="11602" t="n"/>
      <c r="BD77" s="11602" t="n"/>
      <c r="BE77" s="11602" t="n"/>
      <c r="BF77" s="11602" t="n"/>
      <c r="BG77" s="11602" t="n"/>
      <c r="BH77" s="11602" t="n"/>
      <c r="BI77" s="580" t="n"/>
      <c r="BJ77" s="580" t="n"/>
      <c r="BK77" s="580" t="n"/>
      <c r="BL77" s="11602" t="n"/>
      <c r="BM77" s="11602" t="n"/>
      <c r="BN77" s="11602" t="n"/>
      <c r="BO77" s="11602" t="n"/>
      <c r="BP77" s="11602" t="n"/>
      <c r="BQ77" s="11602" t="n"/>
      <c r="BR77" s="11602" t="n"/>
      <c r="BS77" s="4029" t="n"/>
      <c r="BT77" s="11704" t="n"/>
      <c r="BU77" s="658" t="n"/>
      <c r="BV77" s="658" t="n"/>
      <c r="BW77" s="658" t="n"/>
      <c r="BX77" s="658" t="n"/>
      <c r="BY77" s="658" t="n"/>
      <c r="BZ77" s="658" t="n"/>
      <c r="CA77" s="658" t="n"/>
      <c r="CB77" s="658" t="n"/>
      <c r="CC77" s="658" t="n"/>
      <c r="CD77" s="658" t="n"/>
      <c r="CE77" s="658" t="n"/>
      <c r="CF77" s="658" t="n"/>
    </row>
    <row r="78" ht="14.25" customHeight="1" s="7635">
      <c r="A78" s="139" t="n"/>
      <c r="B78" s="5823" t="n"/>
      <c r="C78" s="5823" t="n"/>
      <c r="D78" s="5823" t="n"/>
      <c r="E78" s="5823" t="n"/>
      <c r="F78" s="1888" t="n">
        <v>10</v>
      </c>
      <c r="G78" s="1417" t="n"/>
      <c r="H78" s="1889" t="inlineStr">
        <is>
          <t>Adjustments to income from Schedule 1, line 26</t>
        </is>
      </c>
      <c r="I78" s="1876" t="n"/>
      <c r="J78" s="1876" t="n"/>
      <c r="K78" s="1876" t="n"/>
      <c r="L78" s="1876" t="n"/>
      <c r="M78" s="1876" t="n"/>
      <c r="N78" s="1911" t="n"/>
      <c r="O78" s="1876" t="n"/>
      <c r="P78" s="1876" t="n"/>
      <c r="Q78" s="1876" t="n"/>
      <c r="R78" s="1876" t="n"/>
      <c r="S78" s="1876" t="n"/>
      <c r="T78" s="1876" t="n"/>
      <c r="U78" s="1876" t="n"/>
      <c r="V78" s="1876" t="n"/>
      <c r="W78" s="1876" t="n"/>
      <c r="X78" s="1876" t="n"/>
      <c r="Y78" s="1876" t="n"/>
      <c r="Z78" s="1876" t="n"/>
      <c r="AA78" s="1876" t="n"/>
      <c r="AB78" s="1890" t="n"/>
      <c r="AC78" s="1888" t="n"/>
      <c r="AD78" s="1888" t="n"/>
      <c r="AE78" s="1888" t="n"/>
      <c r="AF78" s="1888" t="n"/>
      <c r="AG78" s="1888" t="n"/>
      <c r="AH78" s="1888" t="n"/>
      <c r="AI78" s="1888" t="n"/>
      <c r="AJ78" s="11744" t="inlineStr">
        <is>
          <t xml:space="preserve">.   .   .   .   .   .   .   .   .   .   .   .   .   .   .   .   .   .   .   . </t>
        </is>
      </c>
      <c r="AK78" s="4032" t="n">
        <v>10</v>
      </c>
      <c r="AL78" s="7053">
        <f>IF(AX78&lt;&gt;"",ROUND(AX78,0),SUM(AdjustToIncome))</f>
        <v/>
      </c>
      <c r="AM78" s="8412" t="n"/>
      <c r="AN78" s="8412" t="n"/>
      <c r="AO78" s="8412" t="n"/>
      <c r="AP78" s="8412" t="n"/>
      <c r="AQ78" s="8412" t="n"/>
      <c r="AR78" s="8412" t="n"/>
      <c r="AS78" s="1878" t="n"/>
      <c r="AT78" s="4034" t="n"/>
      <c r="AU78" s="4035" t="n"/>
      <c r="AV78" s="4035" t="n"/>
      <c r="AW78" s="4035" t="n"/>
      <c r="AX78" s="731" t="n"/>
      <c r="AY78" s="11749" t="n"/>
      <c r="AZ78" s="724" t="n"/>
      <c r="BA78" s="11602" t="n"/>
      <c r="BB78" s="11602" t="n"/>
      <c r="BC78" s="11602" t="n"/>
      <c r="BD78" s="11602" t="n"/>
      <c r="BE78" s="11602" t="n"/>
      <c r="BF78" s="11602" t="n"/>
      <c r="BG78" s="11602" t="n"/>
      <c r="BH78" s="11602" t="n"/>
      <c r="BI78" s="2338">
        <f>IF(File_Single&lt;&gt;"",SD_Adj_Single,IF(OR(File_Marr_Joint&lt;&gt;"",File_Qual_Widow&lt;&gt;""),SD_Adj_MFJW,IF(File_Marr_Sep&lt;&gt;"",SD_Adj_MFS,IF(File_Head&lt;&gt;"",SD_Adj_HOH,0))))</f>
        <v/>
      </c>
      <c r="BJ78" s="5825" t="n"/>
      <c r="BK78" s="11602" t="n"/>
      <c r="BL78" s="11602" t="n"/>
      <c r="BM78" s="11602" t="n"/>
      <c r="BN78" s="11602" t="n"/>
      <c r="BO78" s="11602" t="n"/>
      <c r="BP78" s="11602" t="n"/>
      <c r="BQ78" s="11602" t="n"/>
      <c r="BR78" s="11602" t="n"/>
      <c r="BS78" s="4029" t="n"/>
      <c r="BT78" s="11704" t="n"/>
      <c r="BU78" s="658" t="n"/>
      <c r="BV78" s="658" t="n"/>
      <c r="BW78" s="658" t="n"/>
      <c r="BX78" s="658" t="n"/>
      <c r="BY78" s="658" t="n"/>
      <c r="BZ78" s="658" t="n"/>
      <c r="CA78" s="658" t="n"/>
      <c r="CB78" s="658" t="n"/>
      <c r="CC78" s="658" t="n"/>
      <c r="CD78" s="658" t="n"/>
      <c r="CE78" s="658" t="n"/>
      <c r="CF78" s="658" t="n"/>
    </row>
    <row r="79" ht="14.25" customHeight="1" s="7635" thickBot="1">
      <c r="A79" s="139" t="n"/>
      <c r="B79" s="5946" t="n"/>
      <c r="C79" s="5946" t="n"/>
      <c r="D79" s="5946" t="n"/>
      <c r="E79" s="5946" t="n"/>
      <c r="F79" s="1905" t="n">
        <v>11</v>
      </c>
      <c r="G79" s="1958" t="inlineStr">
        <is>
          <t>a</t>
        </is>
      </c>
      <c r="H79" s="6463" t="inlineStr">
        <is>
          <t>Subtract line 10 from line 9. This is your adjusted gross income</t>
        </is>
      </c>
      <c r="I79" s="1904" t="n"/>
      <c r="J79" s="1904" t="n"/>
      <c r="K79" s="1904" t="n"/>
      <c r="L79" s="1904" t="n"/>
      <c r="M79" s="1904" t="n"/>
      <c r="N79" s="1904" t="n"/>
      <c r="O79" s="1904" t="n"/>
      <c r="P79" s="1904" t="n"/>
      <c r="Q79" s="1904" t="n"/>
      <c r="R79" s="1904" t="n"/>
      <c r="S79" s="1904" t="n"/>
      <c r="T79" s="1904" t="n"/>
      <c r="U79" s="1904" t="n"/>
      <c r="V79" s="1904" t="n"/>
      <c r="W79" s="1904" t="n"/>
      <c r="X79" s="1904" t="n"/>
      <c r="Y79" s="1904" t="n"/>
      <c r="Z79" s="1904" t="n"/>
      <c r="AA79" s="1904" t="n"/>
      <c r="AB79" s="1906" t="n"/>
      <c r="AC79" s="1906" t="n"/>
      <c r="AD79" s="11751" t="n"/>
      <c r="AE79" s="11751" t="n"/>
      <c r="AF79" s="1905" t="n"/>
      <c r="AG79" s="1905" t="n"/>
      <c r="AH79" s="1905" t="n"/>
      <c r="AI79" s="1905" t="n"/>
      <c r="AJ79" s="11751" t="inlineStr">
        <is>
          <t xml:space="preserve">.   .   .   .   .   .   .   .   .   .   .   .   . </t>
        </is>
      </c>
      <c r="AK79" s="5948" t="inlineStr">
        <is>
          <t>11a</t>
        </is>
      </c>
      <c r="AL79" s="7159">
        <f>IF(AX79&lt;&gt;"",ROUND(AX79,0),SUM(Total_Income,-AL78))</f>
        <v/>
      </c>
      <c r="AM79" s="8848" t="n"/>
      <c r="AN79" s="8848" t="n"/>
      <c r="AO79" s="8848" t="n"/>
      <c r="AP79" s="8848" t="n"/>
      <c r="AQ79" s="8848" t="n"/>
      <c r="AR79" s="8848" t="n"/>
      <c r="AS79" s="1878" t="n"/>
      <c r="AT79" s="4034" t="n"/>
      <c r="AU79" s="4037" t="n"/>
      <c r="AV79" s="4037" t="n"/>
      <c r="AW79" s="4037" t="n"/>
      <c r="AX79" s="731" t="n"/>
      <c r="AY79" s="11749" t="n"/>
      <c r="AZ79" s="724" t="n"/>
      <c r="BA79" s="11602" t="n"/>
      <c r="BB79" s="11602" t="n"/>
      <c r="BC79" s="11602" t="n"/>
      <c r="BD79" s="11602" t="n"/>
      <c r="BE79" s="11602" t="n"/>
      <c r="BF79" s="4025" t="n"/>
      <c r="BG79" s="4025" t="n"/>
      <c r="BH79" s="5913" t="inlineStr">
        <is>
          <t>SD_Adj_Single</t>
        </is>
      </c>
      <c r="BI79" s="2338">
        <f>SD_Adj_Single</f>
        <v/>
      </c>
      <c r="BJ79" s="5825" t="n"/>
      <c r="BK79" s="11602" t="n"/>
      <c r="BL79" s="11602" t="n"/>
      <c r="BM79" s="11602" t="n"/>
      <c r="BN79" s="11602" t="n"/>
      <c r="BO79" s="11602" t="n"/>
      <c r="BP79" s="11602" t="n"/>
      <c r="BQ79" s="11602" t="n"/>
      <c r="BR79" s="11602" t="n"/>
      <c r="BS79" s="4029" t="n"/>
      <c r="BT79" s="11704" t="n"/>
      <c r="BU79" s="658" t="n"/>
      <c r="BV79" s="658" t="n"/>
      <c r="BW79" s="658" t="n"/>
      <c r="BX79" s="658" t="n"/>
      <c r="BY79" s="658" t="n"/>
      <c r="BZ79" s="658" t="n"/>
      <c r="CA79" s="658" t="n"/>
      <c r="CB79" s="658" t="n"/>
      <c r="CC79" s="658" t="n"/>
      <c r="CD79" s="658" t="n"/>
      <c r="CE79" s="658" t="n"/>
      <c r="CF79" s="658" t="n"/>
    </row>
    <row r="80" ht="15.75" customHeight="1" s="7635">
      <c r="A80" s="139" t="n"/>
      <c r="B80" s="1847" t="inlineStr">
        <is>
          <t>For Disclosure, Privacy Act, and Paperwork Reduction Act Notice, see separate instructions.</t>
        </is>
      </c>
      <c r="C80" s="4045" t="n"/>
      <c r="D80" s="4045" t="n"/>
      <c r="E80" s="4045" t="n"/>
      <c r="F80" s="1874" t="n"/>
      <c r="G80" s="4046" t="n"/>
      <c r="H80" s="4047" t="n"/>
      <c r="I80" s="4047" t="n"/>
      <c r="J80" s="4047" t="n"/>
      <c r="K80" s="4047" t="n"/>
      <c r="L80" s="4047" t="n"/>
      <c r="M80" s="4047" t="n"/>
      <c r="N80" s="4047" t="n"/>
      <c r="O80" s="4047" t="n"/>
      <c r="P80" s="4047" t="n"/>
      <c r="Q80" s="4047" t="n"/>
      <c r="R80" s="4047" t="n"/>
      <c r="S80" s="4047" t="n"/>
      <c r="T80" s="4047" t="n"/>
      <c r="U80" s="4047" t="n"/>
      <c r="V80" s="4047" t="n"/>
      <c r="W80" s="4047" t="n"/>
      <c r="X80" s="4047" t="n"/>
      <c r="Y80" s="4047" t="n"/>
      <c r="Z80" s="4047" t="n"/>
      <c r="AA80" s="4047" t="n"/>
      <c r="AB80" s="4047" t="n"/>
      <c r="AC80" s="4047" t="n"/>
      <c r="AD80" s="4048" t="n"/>
      <c r="AE80" s="4048" t="n"/>
      <c r="AF80" s="4048" t="n"/>
      <c r="AG80" s="1826" t="inlineStr">
        <is>
          <t>Cat. No. 11320B</t>
        </is>
      </c>
      <c r="AH80" s="4047" t="n"/>
      <c r="AI80" s="4047" t="n"/>
      <c r="AJ80" s="4047" t="n"/>
      <c r="AK80" s="1874" t="n"/>
      <c r="AL80" s="4049" t="n"/>
      <c r="AM80" s="4049" t="n"/>
      <c r="AN80" s="4049" t="n"/>
      <c r="AO80" s="4049" t="n"/>
      <c r="AP80" s="4050" t="inlineStr">
        <is>
          <t>Form 1040</t>
        </is>
      </c>
      <c r="AQ80" s="4050" t="n"/>
      <c r="AR80" s="4049" t="n"/>
      <c r="AS80" s="4051">
        <f>"("&amp;TaxYear&amp;")"</f>
        <v/>
      </c>
      <c r="AT80" s="4044" t="n"/>
      <c r="AU80" s="4037" t="n"/>
      <c r="AV80" s="4037" t="n"/>
      <c r="AW80" s="4037" t="n"/>
      <c r="AX80" s="4008" t="n"/>
      <c r="AY80" s="11749" t="n"/>
      <c r="AZ80" s="724" t="n"/>
      <c r="BA80" s="11602" t="n"/>
      <c r="BB80" s="11602" t="n"/>
      <c r="BC80" s="11602" t="n"/>
      <c r="BD80" s="11602" t="n"/>
      <c r="BE80" s="11602" t="n"/>
      <c r="BF80" s="580" t="n"/>
      <c r="BG80" s="580" t="n"/>
      <c r="BH80" s="5913" t="inlineStr">
        <is>
          <t>SD_Adj_MFJW</t>
        </is>
      </c>
      <c r="BI80" s="2338">
        <f>SD_Adj_MFJW</f>
        <v/>
      </c>
      <c r="BJ80" s="5825" t="n"/>
      <c r="BK80" s="11602" t="n"/>
      <c r="BL80" s="11602" t="n"/>
      <c r="BM80" s="11602" t="n"/>
      <c r="BN80" s="11602" t="n"/>
      <c r="BO80" s="11602" t="n"/>
      <c r="BP80" s="11602" t="n"/>
      <c r="BQ80" s="11602" t="n"/>
      <c r="BR80" s="11602" t="n"/>
      <c r="BS80" s="580" t="n"/>
      <c r="BT80" s="11704" t="n"/>
      <c r="BU80" s="658" t="n"/>
      <c r="BV80" s="658" t="n"/>
      <c r="BW80" s="658" t="n"/>
      <c r="BX80" s="658" t="n"/>
      <c r="BY80" s="658" t="n"/>
      <c r="BZ80" s="658" t="n"/>
      <c r="CA80" s="658" t="n"/>
      <c r="CB80" s="658" t="n"/>
      <c r="CC80" s="658" t="n"/>
      <c r="CD80" s="658" t="n"/>
      <c r="CE80" s="658" t="n"/>
      <c r="CF80" s="658" t="n"/>
    </row>
    <row r="81" ht="16.5" customHeight="1" s="7635" thickBot="1">
      <c r="A81" s="139" t="n"/>
      <c r="B81" s="1903">
        <f>"Form 1040  ("&amp;TaxYear&amp;")"</f>
        <v/>
      </c>
      <c r="C81" s="1904" t="n"/>
      <c r="D81" s="1904" t="n"/>
      <c r="E81" s="1904" t="n"/>
      <c r="F81" s="1905" t="n"/>
      <c r="G81" s="1906" t="n"/>
      <c r="H81" s="1904" t="n"/>
      <c r="I81" s="1904" t="n"/>
      <c r="J81" s="1904" t="n"/>
      <c r="K81" s="1904" t="n"/>
      <c r="L81" s="1904" t="n"/>
      <c r="M81" s="1904" t="n"/>
      <c r="N81" s="1904" t="n"/>
      <c r="O81" s="1904" t="n"/>
      <c r="P81" s="1904" t="n"/>
      <c r="Q81" s="1904" t="n"/>
      <c r="R81" s="1904" t="n"/>
      <c r="S81" s="1904" t="n"/>
      <c r="T81" s="1904" t="n"/>
      <c r="U81" s="1907" t="n"/>
      <c r="V81" s="1907" t="n"/>
      <c r="W81" s="1907" t="n"/>
      <c r="X81" s="1907" t="n"/>
      <c r="Y81" s="1907" t="n"/>
      <c r="Z81" s="1907" t="n"/>
      <c r="AA81" s="1904" t="n"/>
      <c r="AB81" s="1904" t="n"/>
      <c r="AC81" s="1904" t="n"/>
      <c r="AD81" s="1904" t="n"/>
      <c r="AE81" s="1904" t="n"/>
      <c r="AF81" s="1904" t="n"/>
      <c r="AG81" s="1904" t="n"/>
      <c r="AH81" s="1904" t="n"/>
      <c r="AI81" s="1904" t="n"/>
      <c r="AJ81" s="1904" t="n"/>
      <c r="AK81" s="1905" t="n"/>
      <c r="AL81" s="1908" t="n"/>
      <c r="AM81" s="1908" t="n"/>
      <c r="AN81" s="1908" t="n"/>
      <c r="AO81" s="1908" t="n"/>
      <c r="AP81" s="1909">
        <f>IF(AND(Birthday_Needed,BF13,OR(BI122,BI143)),"Enter your birthdate and your spouse's birthdates above.",IF(AND(Birthday_Needed,BI122),"Enter your birthdate above.",""))</f>
        <v/>
      </c>
      <c r="AQ81" s="1909" t="n"/>
      <c r="AR81" s="1908" t="n"/>
      <c r="AS81" s="1910" t="inlineStr">
        <is>
          <t>Page  2</t>
        </is>
      </c>
      <c r="AT81" s="4052" t="n"/>
      <c r="AU81" s="3374" t="n"/>
      <c r="AV81" s="3374" t="n"/>
      <c r="AW81" s="3374" t="n"/>
      <c r="AX81" s="4008" t="n"/>
      <c r="AY81" s="4058" t="n"/>
      <c r="AZ81" s="724" t="n"/>
      <c r="BA81" s="11602" t="n"/>
      <c r="BB81" s="11602" t="n"/>
      <c r="BC81" s="11602" t="n"/>
      <c r="BD81" s="11602" t="n"/>
      <c r="BE81" s="11602" t="n"/>
      <c r="BF81" s="580" t="n"/>
      <c r="BG81" s="580" t="n"/>
      <c r="BH81" s="5913" t="inlineStr">
        <is>
          <t>SD_Adj_MFS</t>
        </is>
      </c>
      <c r="BI81" s="2338">
        <f>SD_Adj_MFS</f>
        <v/>
      </c>
      <c r="BJ81" s="5825" t="n"/>
      <c r="BK81" s="11602" t="n"/>
      <c r="BL81" s="580" t="n"/>
      <c r="BM81" s="580" t="n"/>
      <c r="BN81" s="580" t="n"/>
      <c r="BO81" s="580" t="n"/>
      <c r="BP81" s="580" t="n"/>
      <c r="BQ81" s="580" t="n"/>
      <c r="BR81" s="580" t="n"/>
      <c r="BS81" s="580" t="n"/>
      <c r="BT81" s="11704" t="n"/>
      <c r="BU81" s="658" t="n"/>
      <c r="BV81" s="658" t="n"/>
      <c r="BW81" s="658" t="n"/>
      <c r="BX81" s="658" t="n"/>
      <c r="BY81" s="658" t="n"/>
      <c r="BZ81" s="658" t="n"/>
      <c r="CA81" s="658" t="n"/>
      <c r="CB81" s="658" t="n"/>
      <c r="CC81" s="658" t="n"/>
      <c r="CD81" s="658" t="n"/>
      <c r="CE81" s="658" t="n"/>
      <c r="CF81" s="658" t="n"/>
    </row>
    <row r="82" ht="13.5" customHeight="1" s="7635">
      <c r="A82" s="139" t="n"/>
      <c r="B82" s="7170" t="inlineStr">
        <is>
          <t>Tax and
Credits</t>
        </is>
      </c>
      <c r="C82" s="2506" t="n"/>
      <c r="D82" s="2506" t="n"/>
      <c r="E82" s="2506" t="n"/>
      <c r="F82" s="1888" t="n">
        <v>11</v>
      </c>
      <c r="G82" s="1417" t="inlineStr">
        <is>
          <t>b</t>
        </is>
      </c>
      <c r="H82" s="1889" t="inlineStr">
        <is>
          <t>Amount from line 11a (adjusted gross income)</t>
        </is>
      </c>
      <c r="I82" s="1876" t="n"/>
      <c r="J82" s="1876" t="n"/>
      <c r="K82" s="1876" t="n"/>
      <c r="L82" s="1876" t="n"/>
      <c r="M82" s="1876" t="n"/>
      <c r="N82" s="1876" t="n"/>
      <c r="O82" s="1876" t="n"/>
      <c r="P82" s="1876" t="n"/>
      <c r="Q82" s="1876" t="n"/>
      <c r="R82" s="1876" t="n"/>
      <c r="S82" s="1876" t="n"/>
      <c r="T82" s="1876" t="n"/>
      <c r="U82" s="1876" t="n"/>
      <c r="V82" s="1876" t="n"/>
      <c r="W82" s="1876" t="n"/>
      <c r="X82" s="1876" t="n"/>
      <c r="Y82" s="1876" t="n"/>
      <c r="Z82" s="1876" t="n"/>
      <c r="AA82" s="1876" t="n"/>
      <c r="AB82" s="1890" t="n"/>
      <c r="AC82" s="1890" t="n"/>
      <c r="AD82" s="11744" t="n"/>
      <c r="AE82" s="11744" t="n"/>
      <c r="AF82" s="1888" t="n"/>
      <c r="AG82" s="1888" t="n"/>
      <c r="AH82" s="1888" t="n"/>
      <c r="AI82" s="1888" t="n"/>
      <c r="AJ82" s="11744" t="inlineStr">
        <is>
          <t xml:space="preserve">.   .   .   .   .   .   .   .   .   .   .   .   .   . </t>
        </is>
      </c>
      <c r="AK82" s="4032" t="inlineStr">
        <is>
          <t>11b</t>
        </is>
      </c>
      <c r="AL82" s="7065">
        <f>Adj_Gross_Inc</f>
        <v/>
      </c>
      <c r="AM82" s="7637" t="n"/>
      <c r="AN82" s="7637" t="n"/>
      <c r="AO82" s="7637" t="n"/>
      <c r="AP82" s="7637" t="n"/>
      <c r="AQ82" s="7637" t="n"/>
      <c r="AR82" s="7637" t="n"/>
      <c r="AS82" s="1985" t="n"/>
      <c r="AT82" s="4052" t="n"/>
      <c r="AU82" s="3374" t="n"/>
      <c r="AV82" s="3374" t="n"/>
      <c r="AW82" s="3374" t="n"/>
      <c r="AX82" s="4008" t="n"/>
      <c r="AY82" s="4058" t="n"/>
      <c r="AZ82" s="7106">
        <f>IF(AND(DependentSPOUSE="",MFS_Spouse_NotFiling&lt;&gt;""),BH94&amp;BH95,"")</f>
        <v/>
      </c>
      <c r="BF82" s="580" t="n"/>
      <c r="BG82" s="580" t="n"/>
      <c r="BH82" s="5913" t="inlineStr">
        <is>
          <t>SD_Adj_HOH</t>
        </is>
      </c>
      <c r="BI82" s="2338">
        <f>SD_Adj_HOH</f>
        <v/>
      </c>
      <c r="BJ82" s="5825" t="n"/>
      <c r="BK82" s="11602" t="n"/>
      <c r="BL82" s="580" t="n"/>
      <c r="BM82" s="580" t="n"/>
      <c r="BN82" s="580" t="n"/>
      <c r="BO82" s="580" t="n"/>
      <c r="BP82" s="580" t="n"/>
      <c r="BQ82" s="580" t="n"/>
      <c r="BR82" s="580" t="n"/>
      <c r="BS82" s="580" t="n"/>
      <c r="BT82" s="11704" t="n"/>
      <c r="BU82" s="658" t="n"/>
      <c r="BV82" s="658" t="n"/>
      <c r="BW82" s="658" t="n"/>
      <c r="BX82" s="658" t="n"/>
      <c r="BY82" s="658" t="n"/>
      <c r="BZ82" s="658" t="n"/>
      <c r="CA82" s="658" t="n"/>
      <c r="CB82" s="658" t="n"/>
      <c r="CC82" s="658" t="n"/>
      <c r="CD82" s="658" t="n"/>
      <c r="CE82" s="658" t="n"/>
      <c r="CF82" s="658" t="n"/>
    </row>
    <row r="83" ht="3" customHeight="1" s="7635">
      <c r="A83" s="139" t="n"/>
      <c r="F83" s="1872" t="n"/>
      <c r="G83" s="1872" t="n"/>
      <c r="H83" s="1872" t="n"/>
      <c r="I83" s="1872" t="n"/>
      <c r="J83" s="1872" t="n"/>
      <c r="K83" s="1872" t="n"/>
      <c r="L83" s="1872" t="n"/>
      <c r="M83" s="1872" t="n"/>
      <c r="N83" s="1872" t="n"/>
      <c r="O83" s="1872" t="n"/>
      <c r="P83" s="1872" t="n"/>
      <c r="Q83" s="1872" t="n"/>
      <c r="R83" s="1872" t="n"/>
      <c r="S83" s="1872" t="n"/>
      <c r="T83" s="1872" t="n"/>
      <c r="U83" s="1872" t="n"/>
      <c r="V83" s="1872" t="n"/>
      <c r="W83" s="1872" t="n"/>
      <c r="X83" s="1872" t="n"/>
      <c r="Y83" s="1872" t="n"/>
      <c r="Z83" s="1872" t="n"/>
      <c r="AA83" s="1872" t="n"/>
      <c r="AB83" s="1872" t="n"/>
      <c r="AC83" s="1872" t="n"/>
      <c r="AD83" s="1872" t="n"/>
      <c r="AE83" s="1872" t="n"/>
      <c r="AF83" s="1872" t="n"/>
      <c r="AG83" s="1872" t="n"/>
      <c r="AH83" s="1872" t="n"/>
      <c r="AI83" s="1872" t="n"/>
      <c r="AJ83" s="1872" t="n"/>
      <c r="AK83" s="1872" t="n"/>
      <c r="AL83" s="1872" t="n"/>
      <c r="AM83" s="1872" t="n"/>
      <c r="AN83" s="1872" t="n"/>
      <c r="AO83" s="1845" t="n"/>
      <c r="AP83" s="1845" t="n"/>
      <c r="AQ83" s="1845" t="n"/>
      <c r="AR83" s="1845" t="n"/>
      <c r="AS83" s="1845" t="n"/>
      <c r="AT83" s="3335" t="n"/>
      <c r="AU83" s="689" t="n"/>
      <c r="AV83" s="3994" t="n"/>
      <c r="AW83" s="3981" t="n"/>
      <c r="AX83" s="4008" t="n"/>
      <c r="AY83" s="4058" t="n"/>
      <c r="BF83" s="11602" t="n"/>
      <c r="BG83" s="11602" t="n"/>
      <c r="BH83" s="5913" t="n"/>
      <c r="BI83" s="2338" t="n"/>
      <c r="BJ83" s="5825" t="n"/>
      <c r="BK83" s="11602" t="n"/>
      <c r="BL83" s="563" t="n"/>
      <c r="BM83" s="563" t="n"/>
      <c r="BN83" s="563" t="n"/>
      <c r="BO83" s="563" t="n"/>
      <c r="BP83" s="563" t="n"/>
      <c r="BQ83" s="563" t="n"/>
      <c r="BR83" s="11602" t="n"/>
      <c r="BS83" s="11602" t="n"/>
      <c r="BT83" s="11704" t="n"/>
      <c r="BU83" s="658" t="n"/>
      <c r="BV83" s="658" t="n"/>
      <c r="BW83" s="658" t="n"/>
      <c r="BX83" s="658" t="n"/>
      <c r="BY83" s="658" t="n"/>
      <c r="BZ83" s="658" t="n"/>
      <c r="CA83" s="658" t="n"/>
      <c r="CB83" s="658" t="n"/>
      <c r="CC83" s="658" t="n"/>
      <c r="CD83" s="658" t="n"/>
      <c r="CE83" s="658" t="n"/>
      <c r="CF83" s="658" t="n"/>
    </row>
    <row r="84" ht="13.5" customHeight="1" s="7635">
      <c r="A84" s="139" t="n"/>
      <c r="F84" s="5842" t="n">
        <v>12</v>
      </c>
      <c r="G84" s="1417" t="inlineStr">
        <is>
          <t>a</t>
        </is>
      </c>
      <c r="H84" s="7120" t="inlineStr">
        <is>
          <t>Someone can claim:</t>
        </is>
      </c>
      <c r="I84" s="1261" t="n"/>
      <c r="J84" s="1261" t="n"/>
      <c r="K84" s="1261" t="n"/>
      <c r="L84" s="7338" t="n"/>
      <c r="M84" s="7139" t="n"/>
      <c r="N84" s="7139" t="n"/>
      <c r="O84" s="276" t="n"/>
      <c r="P84" s="7174" t="inlineStr">
        <is>
          <t xml:space="preserve"> You as a dependent</t>
        </is>
      </c>
      <c r="Q84" s="7139" t="n"/>
      <c r="R84" s="7139" t="n"/>
      <c r="S84" s="7139" t="n"/>
      <c r="T84" s="7139" t="n"/>
      <c r="U84" s="7139" t="n"/>
      <c r="V84" s="7139" t="n"/>
      <c r="W84" s="7139" t="n"/>
      <c r="X84" s="276" t="n"/>
      <c r="Y84" s="3995" t="n"/>
      <c r="Z84" s="7174" t="inlineStr">
        <is>
          <t>Your spouse as a dependent</t>
        </is>
      </c>
      <c r="AA84" s="7139" t="n"/>
      <c r="AB84" s="7139" t="n"/>
      <c r="AC84" s="7139" t="n"/>
      <c r="AD84" s="7139" t="n"/>
      <c r="AE84" s="7139" t="n"/>
      <c r="AF84" s="7139" t="n"/>
      <c r="AG84" s="7139" t="n"/>
      <c r="AH84" s="7139" t="n"/>
      <c r="AI84" s="7139" t="n"/>
      <c r="AJ84" s="7139" t="n"/>
      <c r="AK84" s="7139" t="n"/>
      <c r="AL84" s="1872" t="n"/>
      <c r="AM84" s="1872" t="n"/>
      <c r="AN84" s="1872" t="n"/>
      <c r="AO84" s="1845" t="n"/>
      <c r="AP84" s="1845" t="n"/>
      <c r="AQ84" s="1845" t="n"/>
      <c r="AR84" s="1845" t="n"/>
      <c r="AS84" s="1845" t="n"/>
      <c r="AT84" s="3335" t="n"/>
      <c r="AU84" s="5878">
        <f>AND(DependentSPOUSE="",File_Marr_Joint&lt;&gt;"")</f>
        <v/>
      </c>
      <c r="AV84" s="3996" t="n"/>
      <c r="AW84" s="3978" t="n"/>
      <c r="AX84" s="4008" t="n"/>
      <c r="AY84" s="3983" t="n"/>
      <c r="BF84" s="11602" t="n"/>
      <c r="BG84" s="11602" t="n"/>
      <c r="BH84" s="5913" t="n"/>
      <c r="BI84" s="11602" t="n"/>
      <c r="BJ84" s="740" t="n"/>
      <c r="BK84" s="740" t="n"/>
      <c r="BL84" s="740" t="n"/>
      <c r="BM84" s="11602" t="n"/>
      <c r="BN84" s="11602" t="n"/>
      <c r="BO84" s="563" t="n"/>
      <c r="BP84" s="563" t="n"/>
      <c r="BQ84" s="11602" t="n"/>
      <c r="BR84" s="11602" t="n"/>
      <c r="BS84" s="11602" t="n"/>
      <c r="BT84" s="11704" t="n"/>
      <c r="BU84" s="658" t="n"/>
      <c r="BV84" s="658" t="n"/>
      <c r="BW84" s="658" t="n"/>
      <c r="BX84" s="658" t="n"/>
      <c r="BY84" s="658" t="n"/>
      <c r="BZ84" s="658" t="n"/>
      <c r="CA84" s="658" t="n"/>
      <c r="CB84" s="658" t="n"/>
      <c r="CC84" s="658" t="n"/>
      <c r="CD84" s="658" t="n"/>
      <c r="CE84" s="658" t="n"/>
      <c r="CF84" s="658" t="n"/>
    </row>
    <row r="85" ht="4.5" customHeight="1" s="7635">
      <c r="A85" s="139" t="n"/>
      <c r="B85" s="1871" t="n"/>
      <c r="C85" s="1871" t="n"/>
      <c r="D85" s="1871" t="n"/>
      <c r="E85" s="1871" t="n"/>
      <c r="F85" s="1872" t="n"/>
      <c r="G85" s="1872" t="n"/>
      <c r="H85" s="1872" t="n"/>
      <c r="I85" s="1872" t="n"/>
      <c r="J85" s="1872" t="n"/>
      <c r="K85" s="1872" t="n"/>
      <c r="L85" s="1872" t="n"/>
      <c r="M85" s="1872" t="n"/>
      <c r="N85" s="1872" t="n"/>
      <c r="O85" s="1872" t="n"/>
      <c r="P85" s="1872" t="n"/>
      <c r="Q85" s="1872" t="n"/>
      <c r="R85" s="1872" t="n"/>
      <c r="S85" s="1872" t="n"/>
      <c r="T85" s="1872" t="n"/>
      <c r="U85" s="1872" t="n"/>
      <c r="V85" s="1872" t="n"/>
      <c r="W85" s="1872" t="n"/>
      <c r="X85" s="1872" t="n"/>
      <c r="Y85" s="1872" t="n"/>
      <c r="Z85" s="1872" t="n"/>
      <c r="AA85" s="1872" t="n"/>
      <c r="AB85" s="1872" t="n"/>
      <c r="AC85" s="1872" t="n"/>
      <c r="AD85" s="1872" t="n"/>
      <c r="AE85" s="1872" t="n"/>
      <c r="AF85" s="1872" t="n"/>
      <c r="AG85" s="1872" t="n"/>
      <c r="AH85" s="1872" t="n"/>
      <c r="AI85" s="1872" t="n"/>
      <c r="AJ85" s="1872" t="n"/>
      <c r="AK85" s="1872" t="n"/>
      <c r="AL85" s="1872" t="n"/>
      <c r="AM85" s="1872" t="n"/>
      <c r="AN85" s="1872" t="n"/>
      <c r="AO85" s="1845" t="n"/>
      <c r="AP85" s="1845" t="n"/>
      <c r="AQ85" s="1845" t="n"/>
      <c r="AR85" s="1845" t="n"/>
      <c r="AS85" s="1845" t="n"/>
      <c r="AT85" s="3335" t="n"/>
      <c r="AU85" s="689" t="n"/>
      <c r="AV85" s="3994" t="n"/>
      <c r="AW85" s="3981" t="n"/>
      <c r="AX85" s="4008" t="n"/>
      <c r="AY85" s="724" t="n"/>
      <c r="BF85" s="11602" t="n"/>
      <c r="BG85" s="11602" t="n"/>
      <c r="BH85" s="11602" t="n"/>
      <c r="BI85" s="740" t="n"/>
      <c r="BJ85" s="740" t="n"/>
      <c r="BK85" s="740" t="n"/>
      <c r="BL85" s="563" t="n"/>
      <c r="BM85" s="563" t="n"/>
      <c r="BN85" s="563" t="n"/>
      <c r="BO85" s="563" t="n"/>
      <c r="BP85" s="563" t="n"/>
      <c r="BQ85" s="563" t="n"/>
      <c r="BR85" s="11602" t="n"/>
      <c r="BS85" s="11602" t="n"/>
      <c r="BT85" s="11704" t="n"/>
      <c r="BU85" s="658" t="n"/>
      <c r="BV85" s="658" t="n"/>
      <c r="BW85" s="658" t="n"/>
      <c r="BX85" s="658" t="n"/>
      <c r="BY85" s="658" t="n"/>
      <c r="BZ85" s="658" t="n"/>
      <c r="CA85" s="658" t="n"/>
      <c r="CB85" s="658" t="n"/>
      <c r="CC85" s="658" t="n"/>
      <c r="CD85" s="658" t="n"/>
      <c r="CE85" s="658" t="n"/>
      <c r="CF85" s="658" t="n"/>
    </row>
    <row r="86" ht="13.5" customHeight="1" s="7635">
      <c r="A86" s="139" t="n"/>
      <c r="B86" s="7164" t="inlineStr">
        <is>
          <t>Standard
deduction for ---</t>
        </is>
      </c>
      <c r="C86" s="7839" t="n"/>
      <c r="D86" s="7839" t="n"/>
      <c r="E86" s="11752" t="n"/>
      <c r="F86" s="5842" t="n"/>
      <c r="G86" s="1417" t="inlineStr">
        <is>
          <t>b</t>
        </is>
      </c>
      <c r="H86" s="276" t="n"/>
      <c r="I86" s="7120" t="inlineStr">
        <is>
          <t>Spouse itemizes on a separate return</t>
        </is>
      </c>
      <c r="J86" s="1261" t="n"/>
      <c r="K86" s="1261" t="n"/>
      <c r="L86" s="7139" t="n"/>
      <c r="M86" s="7139" t="n"/>
      <c r="N86" s="7139" t="n"/>
      <c r="O86" s="7139" t="n"/>
      <c r="P86" s="7139" t="n"/>
      <c r="Q86" s="7139" t="n"/>
      <c r="R86" s="7139" t="n"/>
      <c r="S86" s="7139" t="n"/>
      <c r="T86" s="7139" t="n"/>
      <c r="U86" s="7139" t="n"/>
      <c r="V86" s="7139" t="n"/>
      <c r="W86" s="1888" t="inlineStr">
        <is>
          <t xml:space="preserve">c </t>
        </is>
      </c>
      <c r="X86" s="276" t="n"/>
      <c r="Y86" s="1647" t="n"/>
      <c r="Z86" s="7120" t="inlineStr">
        <is>
          <t>You were a dual-status alien</t>
        </is>
      </c>
      <c r="AA86" s="7139" t="n"/>
      <c r="AB86" s="7139" t="n"/>
      <c r="AC86" s="7139" t="n"/>
      <c r="AD86" s="7139" t="n"/>
      <c r="AE86" s="7139" t="n"/>
      <c r="AF86" s="7139" t="n"/>
      <c r="AG86" s="7139" t="n"/>
      <c r="AH86" s="7139" t="n"/>
      <c r="AI86" s="7139" t="n"/>
      <c r="AJ86" s="7139" t="n"/>
      <c r="AK86" s="7139" t="n"/>
      <c r="AL86" s="7139" t="n"/>
      <c r="AM86" s="7139" t="n"/>
      <c r="AN86" s="1872" t="n"/>
      <c r="AO86" s="1845" t="n"/>
      <c r="AP86" s="1845" t="n"/>
      <c r="AQ86" s="1845" t="n"/>
      <c r="AR86" s="1845" t="n"/>
      <c r="AS86" s="1845" t="n"/>
      <c r="AT86" s="3335" t="n"/>
      <c r="AU86" s="3968" t="n"/>
      <c r="AV86" s="3996" t="n"/>
      <c r="AW86" s="3978" t="n"/>
      <c r="AX86" s="4008" t="n"/>
      <c r="AY86" s="3983" t="n"/>
      <c r="BF86" s="11602" t="n"/>
      <c r="BG86" s="11602" t="n"/>
      <c r="BH86" s="11602" t="n"/>
      <c r="BI86" s="11602" t="n"/>
      <c r="BJ86" s="740" t="n"/>
      <c r="BK86" s="740" t="n"/>
      <c r="BL86" s="740" t="n"/>
      <c r="BM86" s="11602" t="n"/>
      <c r="BN86" s="11602" t="n"/>
      <c r="BO86" s="563" t="n"/>
      <c r="BP86" s="563" t="n"/>
      <c r="BQ86" s="11602" t="n"/>
      <c r="BR86" s="11602" t="n"/>
      <c r="BS86" s="11602" t="n"/>
      <c r="BT86" s="11704" t="n"/>
      <c r="BU86" s="658" t="n"/>
      <c r="BV86" s="658" t="n"/>
      <c r="BW86" s="658" t="n"/>
      <c r="BX86" s="658" t="n"/>
      <c r="BY86" s="658" t="n"/>
      <c r="BZ86" s="658" t="n"/>
      <c r="CA86" s="658" t="n"/>
      <c r="CB86" s="658" t="n"/>
      <c r="CC86" s="658" t="n"/>
      <c r="CD86" s="658" t="n"/>
      <c r="CE86" s="658" t="n"/>
      <c r="CF86" s="658" t="n"/>
    </row>
    <row r="87" ht="4.5" customHeight="1" s="7635">
      <c r="A87" s="139" t="n"/>
      <c r="B87" s="4772" t="n"/>
      <c r="E87" s="11752" t="n"/>
      <c r="F87" s="1872" t="n"/>
      <c r="G87" s="1872" t="n"/>
      <c r="H87" s="1872" t="n"/>
      <c r="I87" s="1872" t="n"/>
      <c r="J87" s="1872" t="n"/>
      <c r="K87" s="1872" t="n"/>
      <c r="L87" s="1872" t="n"/>
      <c r="M87" s="1872" t="n"/>
      <c r="N87" s="1872" t="n"/>
      <c r="O87" s="1872" t="n"/>
      <c r="P87" s="1872" t="n"/>
      <c r="Q87" s="1872" t="n"/>
      <c r="R87" s="1872" t="n"/>
      <c r="S87" s="1872" t="n"/>
      <c r="T87" s="1872" t="n"/>
      <c r="U87" s="1872" t="n"/>
      <c r="V87" s="1872" t="n"/>
      <c r="W87" s="1872" t="n"/>
      <c r="X87" s="1872" t="n"/>
      <c r="Y87" s="1872" t="n"/>
      <c r="Z87" s="1872" t="n"/>
      <c r="AA87" s="1872" t="n"/>
      <c r="AB87" s="1872" t="n"/>
      <c r="AC87" s="1872" t="n"/>
      <c r="AD87" s="1872" t="n"/>
      <c r="AE87" s="1872" t="n"/>
      <c r="AF87" s="1872" t="n"/>
      <c r="AG87" s="1872" t="n"/>
      <c r="AH87" s="1872" t="n"/>
      <c r="AI87" s="1872" t="n"/>
      <c r="AJ87" s="1872" t="n"/>
      <c r="AK87" s="1872" t="n"/>
      <c r="AL87" s="1872" t="n"/>
      <c r="AM87" s="1872" t="n"/>
      <c r="AN87" s="1872" t="n"/>
      <c r="AO87" s="1845" t="n"/>
      <c r="AP87" s="1845" t="n"/>
      <c r="AQ87" s="1845" t="n"/>
      <c r="AR87" s="1845" t="n"/>
      <c r="AS87" s="1845" t="n"/>
      <c r="AT87" s="3335" t="n"/>
      <c r="AU87" s="689" t="n"/>
      <c r="AV87" s="3994" t="n"/>
      <c r="AW87" s="3981" t="n"/>
      <c r="AX87" s="4008" t="n"/>
      <c r="AY87" s="724" t="n"/>
      <c r="BF87" s="11602" t="n"/>
      <c r="BG87" s="11602" t="n"/>
      <c r="BH87" s="11602" t="n"/>
      <c r="BI87" s="740" t="n"/>
      <c r="BJ87" s="740" t="n"/>
      <c r="BK87" s="740" t="n"/>
      <c r="BL87" s="563" t="n"/>
      <c r="BM87" s="563" t="n"/>
      <c r="BN87" s="563" t="n"/>
      <c r="BO87" s="563" t="n"/>
      <c r="BP87" s="563" t="n"/>
      <c r="BQ87" s="563" t="n"/>
      <c r="BR87" s="11602" t="n"/>
      <c r="BS87" s="11602" t="n"/>
      <c r="BT87" s="11704" t="n"/>
      <c r="BU87" s="658" t="n"/>
      <c r="BV87" s="658" t="n"/>
      <c r="BW87" s="658" t="n"/>
      <c r="BX87" s="658" t="n"/>
      <c r="BY87" s="658" t="n"/>
      <c r="BZ87" s="658" t="n"/>
      <c r="CA87" s="658" t="n"/>
      <c r="CB87" s="658" t="n"/>
      <c r="CC87" s="658" t="n"/>
      <c r="CD87" s="658" t="n"/>
      <c r="CE87" s="658" t="n"/>
      <c r="CF87" s="658" t="n"/>
    </row>
    <row r="88" ht="13.5" customHeight="1" s="7635">
      <c r="A88" s="139" t="n"/>
      <c r="B88" s="4772" t="n"/>
      <c r="E88" s="11753" t="n"/>
      <c r="F88" s="1417" t="n"/>
      <c r="G88" s="1417" t="inlineStr">
        <is>
          <t>d</t>
        </is>
      </c>
      <c r="H88" s="7075" t="inlineStr">
        <is>
          <t>You:</t>
        </is>
      </c>
      <c r="J88" s="7338" t="n"/>
      <c r="K88" s="1846">
        <f>IF(BadBirthdate_Yours,"",IF(YourBirthDate&lt;$BJ$133,"X",""))</f>
        <v/>
      </c>
      <c r="L88" s="7161">
        <f>IF(AND(Name_1st_Yours&lt;&gt;"",NOT($BI$15))," Enter your birthdate in box at right."," Were born before January 2, "&amp;TaxYear-64)</f>
        <v/>
      </c>
      <c r="X88" s="7139" t="n"/>
      <c r="Y88" s="7139" t="n"/>
      <c r="Z88" s="7139" t="n"/>
      <c r="AA88" s="276" t="n"/>
      <c r="AB88" s="5949" t="inlineStr">
        <is>
          <t xml:space="preserve"> Are blind</t>
        </is>
      </c>
      <c r="AC88" s="5843" t="n"/>
      <c r="AD88" s="1261" t="n"/>
      <c r="AE88" s="1261" t="n"/>
      <c r="AF88" s="7139" t="n"/>
      <c r="AG88" s="7139" t="n"/>
      <c r="AH88" s="7139" t="n"/>
      <c r="AI88" s="7139" t="n"/>
      <c r="AJ88" s="7139" t="n"/>
      <c r="AK88" s="7139" t="n"/>
      <c r="AL88" s="7139" t="n"/>
      <c r="AM88" s="7139" t="n"/>
      <c r="AN88" s="7139" t="n"/>
      <c r="AO88" s="7139" t="n"/>
      <c r="AP88" s="7139" t="n"/>
      <c r="AQ88" s="7139" t="n"/>
      <c r="AR88" s="7139" t="n"/>
      <c r="AS88" s="7139" t="n"/>
      <c r="AT88" s="3997" t="n"/>
      <c r="AU88" s="5818" t="n"/>
      <c r="AV88" s="512" t="n"/>
      <c r="AW88" s="3961" t="n"/>
      <c r="AX88" s="4008" t="n"/>
      <c r="AY88" s="3983" t="n"/>
      <c r="BF88" s="11602" t="n"/>
      <c r="BG88" s="11602" t="n"/>
      <c r="BH88" s="11602" t="n"/>
      <c r="BI88" s="11602" t="n"/>
      <c r="BJ88" s="740" t="n"/>
      <c r="BK88" s="740" t="n"/>
      <c r="BL88" s="740" t="n"/>
      <c r="BM88" s="11602" t="n"/>
      <c r="BN88" s="11602" t="n"/>
      <c r="BO88" s="563" t="n"/>
      <c r="BP88" s="563" t="n"/>
      <c r="BQ88" s="11602" t="n"/>
      <c r="BR88" s="11602" t="n"/>
      <c r="BS88" s="11602" t="n"/>
      <c r="BT88" s="11704" t="n"/>
      <c r="BU88" s="658" t="n"/>
      <c r="BV88" s="658" t="n"/>
      <c r="BW88" s="658" t="n"/>
      <c r="BX88" s="658" t="n"/>
      <c r="BY88" s="658" t="n"/>
      <c r="BZ88" s="658" t="n"/>
      <c r="CA88" s="658" t="n"/>
      <c r="CB88" s="658" t="n"/>
      <c r="CC88" s="658" t="n"/>
      <c r="CD88" s="658" t="n"/>
      <c r="CE88" s="658" t="n"/>
      <c r="CF88" s="658" t="n"/>
    </row>
    <row r="89" ht="5.25" customHeight="1" s="7635">
      <c r="A89" s="139" t="n"/>
      <c r="B89" s="11754" t="inlineStr">
        <is>
          <t>•</t>
        </is>
      </c>
      <c r="C89" s="7163" t="inlineStr">
        <is>
          <t>Single or Married filing separately,</t>
        </is>
      </c>
      <c r="D89" s="1856" t="n"/>
      <c r="E89" s="11753" t="n"/>
      <c r="F89" s="1888" t="n"/>
      <c r="G89" s="1417" t="n"/>
      <c r="H89" s="1872" t="n"/>
      <c r="I89" s="1897" t="n"/>
      <c r="J89" s="1887" t="n"/>
      <c r="K89" s="1897" t="n"/>
      <c r="L89" s="1887" t="n"/>
      <c r="M89" s="1887" t="n"/>
      <c r="N89" s="1887" t="n"/>
      <c r="O89" s="1887" t="n"/>
      <c r="P89" s="1887" t="n"/>
      <c r="Q89" s="1887" t="n"/>
      <c r="R89" s="1887" t="n"/>
      <c r="S89" s="1887" t="n"/>
      <c r="T89" s="1887" t="n"/>
      <c r="U89" s="1887" t="n"/>
      <c r="V89" s="1887" t="n"/>
      <c r="W89" s="1887" t="n"/>
      <c r="X89" s="1887" t="n"/>
      <c r="Y89" s="1887" t="n"/>
      <c r="Z89" s="1887" t="n"/>
      <c r="AA89" s="1887" t="n"/>
      <c r="AB89" s="1887" t="n"/>
      <c r="AC89" s="1887" t="n"/>
      <c r="AD89" s="1887" t="n"/>
      <c r="AE89" s="1887" t="n"/>
      <c r="AF89" s="1887" t="n"/>
      <c r="AG89" s="1887" t="n"/>
      <c r="AH89" s="1890" t="n"/>
      <c r="AI89" s="1890" t="n"/>
      <c r="AJ89" s="1890" t="n"/>
      <c r="AK89" s="1872" t="n"/>
      <c r="AL89" s="1872" t="n"/>
      <c r="AM89" s="1872" t="n"/>
      <c r="AN89" s="1872" t="n"/>
      <c r="AO89" s="1845" t="n"/>
      <c r="AP89" s="1845" t="n"/>
      <c r="AQ89" s="1845" t="n"/>
      <c r="AR89" s="1845" t="n"/>
      <c r="AS89" s="1845" t="n"/>
      <c r="AT89" s="4018" t="n"/>
      <c r="AU89" s="1318" t="n"/>
      <c r="AV89" s="11602" t="n"/>
      <c r="AW89" s="512" t="n"/>
      <c r="AX89" s="4008" t="n"/>
      <c r="AY89" s="3790" t="n"/>
      <c r="AZ89" s="11602" t="n"/>
      <c r="BA89" s="11602" t="n"/>
      <c r="BB89" s="11602" t="n"/>
      <c r="BC89" s="11602" t="n"/>
      <c r="BD89" s="11602" t="n"/>
      <c r="BE89" s="11602" t="n"/>
      <c r="BF89" s="11602" t="n"/>
      <c r="BG89" s="11602" t="n"/>
      <c r="BH89" s="11602" t="n"/>
      <c r="BI89" s="5824" t="n"/>
      <c r="BJ89" s="5825" t="n"/>
      <c r="BK89" s="11602" t="n"/>
      <c r="BL89" s="11602" t="n"/>
      <c r="BM89" s="11602" t="n"/>
      <c r="BN89" s="11602" t="n"/>
      <c r="BO89" s="11602" t="n"/>
      <c r="BP89" s="11602" t="n"/>
      <c r="BQ89" s="11602" t="n"/>
      <c r="BR89" s="11602" t="n"/>
      <c r="BS89" s="11602" t="n"/>
      <c r="BT89" s="11704" t="n"/>
      <c r="BU89" s="658" t="n"/>
      <c r="BV89" s="658" t="n"/>
      <c r="BW89" s="658" t="n"/>
      <c r="BX89" s="658" t="n"/>
      <c r="BY89" s="658" t="n"/>
      <c r="BZ89" s="658" t="n"/>
      <c r="CA89" s="658" t="n"/>
      <c r="CB89" s="658" t="n"/>
      <c r="CC89" s="658" t="n"/>
      <c r="CD89" s="658" t="n"/>
      <c r="CE89" s="658" t="n"/>
      <c r="CF89" s="658" t="n"/>
    </row>
    <row r="90" ht="13.5" customHeight="1" s="7635" thickBot="1">
      <c r="A90" s="139" t="n"/>
      <c r="B90" s="4772" t="n"/>
      <c r="D90" s="229" t="n"/>
      <c r="E90" s="11755" t="n"/>
      <c r="F90" s="4040" t="n"/>
      <c r="G90" s="4040" t="n"/>
      <c r="H90" s="5849" t="inlineStr">
        <is>
          <t>Spouse:</t>
        </is>
      </c>
      <c r="I90" s="7075" t="n"/>
      <c r="J90" s="7139" t="n"/>
      <c r="K90" s="1846">
        <f>IF(OR(File_Single&lt;&gt;"",File_Head&lt;&gt;"",AND(File_Marr_Sep&lt;&gt;"",MFS_Spouse_NotFiling=""),BadBirthdate_Spouse,AND(SpouseDeceased&lt;&gt;"",BadDeathDate)),"",IF(AND(SpouseDeceased&lt;&gt;"",BI28),"X",IF(AND(SpouseDeceased="",SpouseBirthDate&lt;$BJ$133),"X","")))</f>
        <v/>
      </c>
      <c r="L90" s="7161">
        <f>IF(AND(Name_1st_Yours&lt;&gt;"",NOT($BI$15))," Enter your birthdate in box at right."," Were born before January 2, "&amp;TaxYear-64)</f>
        <v/>
      </c>
      <c r="X90" s="7139" t="n"/>
      <c r="Y90" s="7139" t="n"/>
      <c r="Z90" s="7139" t="n"/>
      <c r="AA90" s="276" t="n"/>
      <c r="AB90" s="5949" t="inlineStr">
        <is>
          <t xml:space="preserve"> Is blind</t>
        </is>
      </c>
      <c r="AC90" s="5843" t="n"/>
      <c r="AD90" s="1261" t="n"/>
      <c r="AE90" s="1261" t="n"/>
      <c r="AF90" s="7139" t="n"/>
      <c r="AG90" s="7139" t="n"/>
      <c r="AH90" s="7139" t="n"/>
      <c r="AI90" s="7139" t="n"/>
      <c r="AJ90" s="7139" t="n"/>
      <c r="AK90" s="7139" t="n"/>
      <c r="AL90" s="7139" t="n"/>
      <c r="AM90" s="7139" t="n"/>
      <c r="AN90" s="7139" t="n"/>
      <c r="AO90" s="7139" t="n"/>
      <c r="AP90" s="7139" t="n"/>
      <c r="AQ90" s="7139" t="n"/>
      <c r="AR90" s="7139" t="n"/>
      <c r="AS90" s="7139" t="n"/>
      <c r="AT90" s="3997" t="n"/>
      <c r="AU90" s="5818" t="n"/>
      <c r="AV90" s="512" t="n"/>
      <c r="AW90" s="3961" t="n"/>
      <c r="AX90" s="4008" t="n"/>
      <c r="AY90" s="404" t="n"/>
      <c r="AZ90" s="11602" t="n"/>
      <c r="BA90" s="512" t="n">
        <v>2000</v>
      </c>
      <c r="BB90" s="512" t="n">
        <v>1600</v>
      </c>
      <c r="BC90" s="512" t="n">
        <v>1600</v>
      </c>
      <c r="BD90" s="512" t="n">
        <v>2000</v>
      </c>
      <c r="BE90" s="11602" t="n"/>
      <c r="BF90" s="11602" t="n"/>
      <c r="BG90" s="11602" t="n"/>
      <c r="BH90" s="11602" t="n"/>
      <c r="BI90" s="11602" t="n"/>
      <c r="BJ90" s="740" t="n"/>
      <c r="BK90" s="740" t="n"/>
      <c r="BL90" s="740" t="n"/>
      <c r="BM90" s="11602" t="n"/>
      <c r="BN90" s="11602" t="n"/>
      <c r="BO90" s="563" t="n"/>
      <c r="BP90" s="563" t="n"/>
      <c r="BQ90" s="11602" t="n"/>
      <c r="BR90" s="11602" t="n"/>
      <c r="BS90" s="11602" t="n"/>
      <c r="BT90" s="11704" t="n"/>
      <c r="BU90" s="658" t="n"/>
      <c r="BV90" s="658" t="n"/>
      <c r="BW90" s="658" t="n"/>
      <c r="BX90" s="658" t="n"/>
      <c r="BY90" s="658" t="n"/>
      <c r="BZ90" s="658" t="n"/>
      <c r="CA90" s="658" t="n"/>
      <c r="CB90" s="658" t="n"/>
      <c r="CC90" s="658" t="n"/>
      <c r="CD90" s="658" t="n"/>
      <c r="CE90" s="658" t="n"/>
      <c r="CF90" s="658" t="n"/>
    </row>
    <row r="91" ht="14.25" customHeight="1" s="7635">
      <c r="A91" s="139" t="n"/>
      <c r="B91" s="2666" t="n"/>
      <c r="D91" s="5863" t="n"/>
      <c r="E91" s="5858" t="n"/>
      <c r="F91" s="5858" t="n"/>
      <c r="G91" s="5859" t="inlineStr">
        <is>
          <t>e</t>
        </is>
      </c>
      <c r="H91" s="1889" t="inlineStr">
        <is>
          <t>Standard deduction or itemized deductions (from Schedule A)</t>
        </is>
      </c>
      <c r="I91" s="1876" t="n"/>
      <c r="J91" s="1876" t="n"/>
      <c r="K91" s="1876" t="n"/>
      <c r="L91" s="1876" t="n"/>
      <c r="M91" s="1876" t="n"/>
      <c r="N91" s="1911" t="n"/>
      <c r="O91" s="1876" t="n"/>
      <c r="P91" s="1876" t="n"/>
      <c r="Q91" s="1876" t="n"/>
      <c r="R91" s="1876" t="n"/>
      <c r="S91" s="1876" t="n"/>
      <c r="T91" s="1876" t="n"/>
      <c r="U91" s="1876" t="n"/>
      <c r="V91" s="1876" t="n"/>
      <c r="W91" s="1876" t="n"/>
      <c r="X91" s="1876" t="n"/>
      <c r="Y91" s="1876" t="n"/>
      <c r="Z91" s="1876" t="n"/>
      <c r="AA91" s="1876" t="n"/>
      <c r="AB91" s="1890" t="n"/>
      <c r="AC91" s="1890" t="n"/>
      <c r="AD91" s="1890" t="n"/>
      <c r="AE91" s="1890" t="n"/>
      <c r="AF91" s="1888" t="n"/>
      <c r="AG91" s="1888" t="n"/>
      <c r="AH91" s="1888" t="n"/>
      <c r="AI91" s="1888" t="n"/>
      <c r="AJ91" s="11744" t="inlineStr">
        <is>
          <t xml:space="preserve">.   .   .   .   .   .   .   .   .   .   .   .   .   .   . </t>
        </is>
      </c>
      <c r="AK91" s="1891" t="inlineStr">
        <is>
          <t>12e</t>
        </is>
      </c>
      <c r="AL91" s="7065">
        <f>IF(AX91&lt;&gt;"",ROUND(AX91,0),IF(OR(AND(Total_Income=0,Adj_Gross_Inc=0),NumFileStatusBoxes=0,NumFileStatusBoxes&gt;1,Birthday_Needed,$BF$12),0, IF(AND(NQDisasterLoss&gt;0,StdDeduct),SD_AND_NQDL,IF(ItemizedDeduct,Tot_Item_Deduct,Standard ))))</f>
        <v/>
      </c>
      <c r="AM91" s="7637" t="n"/>
      <c r="AN91" s="7637" t="n"/>
      <c r="AO91" s="7637" t="n"/>
      <c r="AP91" s="7637" t="n"/>
      <c r="AQ91" s="7637" t="n"/>
      <c r="AR91" s="7637" t="n"/>
      <c r="AS91" s="1878" t="n"/>
      <c r="AT91" s="4034" t="n"/>
      <c r="AU91" s="11756">
        <f>IF(AX78&lt;&gt;"","Manual Override",IF(FilingStatusError,"Filing status error.",IF(Birthday_Needed,"Birthdate(s) needed.",IF($BF$12,"Filing status error or invalid spouse input.",IF(NumFileStatusBoxes=0,"Filing status not indicated.", IF(Dual_Status_Alien&lt;&gt;"","Deduction is $0 due to spouse itemizing or dual-status alien.", IF(OR(DependentYOU&lt;&gt;"",DependentSPOUSE&lt;&gt;""),"Line 12a - Standard Deduction for Dependents",IF(AND(NQDisasterLoss&gt;0,StdDeduct),"Standard deduction plus net qualified disaster losses"&amp;CHAR(10)&amp;"on Sch. A, Line 16.",IF(ItemizedDeduct,"Schedule A",IF(Over_65_or_Blind&gt;0,"See Standard "&amp;CHAR(10)&amp;" Deduction Calculation"&amp;CHAR(10)&amp;" at right  →","Standard Deduction"))))))))))</f>
        <v/>
      </c>
      <c r="AV91" s="7839" t="n"/>
      <c r="AW91" s="10091" t="n"/>
      <c r="AX91" s="1341" t="n"/>
      <c r="AY91" s="3790" t="n"/>
      <c r="AZ91" s="5914" t="n"/>
      <c r="BA91" s="5915" t="n"/>
      <c r="BB91" s="5916" t="n"/>
      <c r="BC91" s="7104">
        <f>IF(NumFileStatusBoxes=0,"Filing status not indicated.",IF(AND($BF$13,$BI$15,$BI$17),"",IF($BF$13,"Enter your birthdate and your spouse's birthdate above.",IF(NOT($BI$15),"Enter your birthdate above.",""))))</f>
        <v/>
      </c>
      <c r="BD91" s="2506" t="n"/>
      <c r="BE91" s="5931" t="n"/>
      <c r="BF91" s="4025" t="n"/>
      <c r="BG91" s="4025" t="n"/>
      <c r="BH91" s="11602" t="n"/>
      <c r="BI91" s="3824" t="n"/>
      <c r="BJ91" s="1061" t="n"/>
      <c r="BK91" s="1061" t="n"/>
      <c r="BL91" s="1061" t="n"/>
      <c r="BM91" s="3824" t="n"/>
      <c r="BN91" s="11602" t="n"/>
      <c r="BO91" s="11602" t="n"/>
      <c r="BP91" s="11602" t="n"/>
      <c r="BQ91" s="11602" t="n"/>
      <c r="BR91" s="11602" t="n"/>
      <c r="BS91" s="11602" t="n"/>
      <c r="BT91" s="11704" t="n"/>
      <c r="BU91" s="658" t="n"/>
      <c r="BV91" s="658" t="n"/>
      <c r="BW91" s="658" t="n"/>
      <c r="BX91" s="658" t="n"/>
      <c r="BY91" s="658" t="n"/>
      <c r="BZ91" s="658" t="n"/>
      <c r="CA91" s="658" t="n"/>
      <c r="CB91" s="658" t="n"/>
      <c r="CC91" s="658" t="n"/>
      <c r="CD91" s="658" t="n"/>
      <c r="CE91" s="658" t="n"/>
      <c r="CF91" s="658" t="n"/>
    </row>
    <row r="92" ht="14.25" customHeight="1" s="7635">
      <c r="A92" s="139" t="n"/>
      <c r="B92" s="5853" t="n"/>
      <c r="C92" s="11757" t="n">
        <v>15750</v>
      </c>
      <c r="D92" s="5855" t="n"/>
      <c r="E92" s="5823" t="n"/>
      <c r="F92" s="1888" t="inlineStr">
        <is>
          <t>13a</t>
        </is>
      </c>
      <c r="G92" s="4040" t="n"/>
      <c r="H92" s="1889" t="inlineStr">
        <is>
          <t>Qualified business income deduction from Form 8995 or Form 8995-A</t>
        </is>
      </c>
      <c r="I92" s="1876" t="n"/>
      <c r="J92" s="1876" t="n"/>
      <c r="K92" s="1876" t="n"/>
      <c r="L92" s="1876" t="n"/>
      <c r="M92" s="1876" t="n"/>
      <c r="N92" s="1876" t="n"/>
      <c r="O92" s="1876" t="n"/>
      <c r="P92" s="1876" t="n"/>
      <c r="Q92" s="1876" t="n"/>
      <c r="R92" s="1876" t="n"/>
      <c r="S92" s="1876" t="n"/>
      <c r="T92" s="1876" t="n"/>
      <c r="U92" s="1876" t="n"/>
      <c r="V92" s="1876" t="n"/>
      <c r="W92" s="1876" t="n"/>
      <c r="X92" s="1876" t="n"/>
      <c r="Y92" s="1876" t="n"/>
      <c r="Z92" s="1876" t="n"/>
      <c r="AA92" s="1876" t="n"/>
      <c r="AB92" s="1876" t="n"/>
      <c r="AC92" s="1876" t="n"/>
      <c r="AD92" s="11744" t="n"/>
      <c r="AE92" s="11744" t="n"/>
      <c r="AF92" s="1888" t="n"/>
      <c r="AG92" s="1888" t="n"/>
      <c r="AH92" s="1888" t="n"/>
      <c r="AI92" s="1888" t="n"/>
      <c r="AJ92" s="11744">
        <f>IF(AND(AT92="",QBID_1040&lt;&gt;"",QBID_1040&lt;&gt;0,QBID_Income2High),"Error: See Form 8995.",".   .   .   .   .   .   .   .   .   .   .   .   .   . ")</f>
        <v/>
      </c>
      <c r="AK92" s="4032" t="inlineStr">
        <is>
          <t>13a</t>
        </is>
      </c>
      <c r="AL92" s="7053">
        <f>IF(AX92&lt;&gt;"",ROUND(AX92,0),IF(QBID="",0,QBID))</f>
        <v/>
      </c>
      <c r="AM92" s="8412" t="n"/>
      <c r="AN92" s="8412" t="n"/>
      <c r="AO92" s="8412" t="n"/>
      <c r="AP92" s="8412" t="n"/>
      <c r="AQ92" s="8412" t="n"/>
      <c r="AR92" s="8412" t="n"/>
      <c r="AS92" s="1878" t="n"/>
      <c r="AT92" s="1244" t="n"/>
      <c r="AU92" s="4772" t="n"/>
      <c r="AW92" s="7636" t="n"/>
      <c r="AX92" s="732" t="n"/>
      <c r="AY92" s="7265">
        <f>IF(AY98,"Enter total taxes from "&amp;CHAR(10)&amp;"line 16 (1), (2), &amp; (3) ↓   ↓   ↓","")</f>
        <v/>
      </c>
      <c r="AZ92" s="5917" t="inlineStr">
        <is>
          <t>Standard Deduction Calculation</t>
        </is>
      </c>
      <c r="BA92" s="5918" t="n"/>
      <c r="BB92" s="366" t="n"/>
      <c r="BE92" s="5932" t="n"/>
      <c r="BF92" s="11602" t="n"/>
      <c r="BG92" s="11602" t="n"/>
      <c r="BH92" s="11602" t="n"/>
      <c r="BI92" s="344" t="inlineStr">
        <is>
          <t>Deduct_Age_Bonus, Deduct_Tip_Income, Deduct_OT_Income, Deduct_New_AutoLoan_Interest</t>
        </is>
      </c>
      <c r="BJ92" s="11602" t="n"/>
      <c r="BK92" s="11602" t="n"/>
      <c r="BL92" s="11602" t="n"/>
      <c r="BM92" s="11602" t="n"/>
      <c r="BN92" s="11602" t="n"/>
      <c r="BO92" s="11602" t="n"/>
      <c r="BP92" s="11602" t="n"/>
      <c r="BQ92" s="11602" t="n"/>
      <c r="BR92" s="11602" t="n"/>
      <c r="BS92" s="11602" t="n"/>
      <c r="BT92" s="11704" t="n"/>
      <c r="BU92" s="658" t="n"/>
      <c r="BV92" s="658" t="n"/>
      <c r="BW92" s="658" t="n"/>
      <c r="BX92" s="658" t="n"/>
      <c r="BY92" s="658" t="n"/>
      <c r="BZ92" s="658" t="n"/>
      <c r="CA92" s="658" t="n"/>
      <c r="CB92" s="658" t="n"/>
      <c r="CC92" s="658" t="n"/>
      <c r="CD92" s="658" t="n"/>
      <c r="CE92" s="658" t="n"/>
      <c r="CF92" s="658" t="n"/>
    </row>
    <row r="93" ht="14.25" customHeight="1" s="7635">
      <c r="A93" s="139" t="n"/>
      <c r="B93" s="11758" t="inlineStr">
        <is>
          <t>•</t>
        </is>
      </c>
      <c r="C93" s="8922" t="inlineStr">
        <is>
          <t>Married filing</t>
        </is>
      </c>
      <c r="D93" s="229" t="n"/>
      <c r="E93" s="2666" t="n"/>
      <c r="F93" s="1888" t="inlineStr">
        <is>
          <t>13b</t>
        </is>
      </c>
      <c r="G93" s="1417" t="n"/>
      <c r="H93" s="1889" t="inlineStr">
        <is>
          <t>Additional deductions from Schedule 1-A, line 38</t>
        </is>
      </c>
      <c r="I93" s="1876" t="n"/>
      <c r="J93" s="1876" t="n"/>
      <c r="K93" s="1876" t="n"/>
      <c r="L93" s="1876" t="n"/>
      <c r="M93" s="1876" t="n"/>
      <c r="N93" s="1876" t="n"/>
      <c r="O93" s="1876" t="n"/>
      <c r="P93" s="1876" t="n"/>
      <c r="Q93" s="1876" t="n"/>
      <c r="R93" s="1876" t="n"/>
      <c r="S93" s="1876" t="n"/>
      <c r="T93" s="1876" t="n"/>
      <c r="U93" s="1876" t="n"/>
      <c r="V93" s="1876" t="n"/>
      <c r="W93" s="1897" t="n"/>
      <c r="X93" s="1876" t="n"/>
      <c r="Y93" s="1876" t="n"/>
      <c r="Z93" s="1876" t="n"/>
      <c r="AA93" s="1876" t="n"/>
      <c r="AB93" s="1914" t="n"/>
      <c r="AC93" s="1914" t="n"/>
      <c r="AD93" s="1890" t="n"/>
      <c r="AE93" s="1890" t="n"/>
      <c r="AF93" s="1890" t="n"/>
      <c r="AG93" s="1890" t="n"/>
      <c r="AH93" s="1890" t="n"/>
      <c r="AI93" s="1890" t="n"/>
      <c r="AJ93" s="11744" t="inlineStr">
        <is>
          <t xml:space="preserve">.   .   .   .   .   .   .   .   .   .   .   .   .   .   .   .   .   .   .   .   . </t>
        </is>
      </c>
      <c r="AK93" s="4032" t="inlineStr">
        <is>
          <t>13b</t>
        </is>
      </c>
      <c r="AL93" s="7056">
        <f>IF(AX93&lt;&gt;"",ROUND(AX93,0),'Sch. 1-A'!AD105)</f>
        <v/>
      </c>
      <c r="AM93" s="8412" t="n"/>
      <c r="AN93" s="8412" t="n"/>
      <c r="AO93" s="8412" t="n"/>
      <c r="AP93" s="8412" t="n"/>
      <c r="AQ93" s="8412" t="n"/>
      <c r="AR93" s="8412" t="n"/>
      <c r="AS93" s="1878" t="n"/>
      <c r="AT93" s="4034" t="n"/>
      <c r="AU93" s="4772" t="n"/>
      <c r="AW93" s="7636" t="n"/>
      <c r="AX93" s="731" t="n"/>
      <c r="AY93" s="4772" t="n"/>
      <c r="AZ93" s="5919" t="n"/>
      <c r="BA93" s="5920" t="n"/>
      <c r="BB93" s="5920" t="n"/>
      <c r="BC93" s="6073" t="n"/>
      <c r="BD93" s="6073" t="n"/>
      <c r="BE93" s="5932" t="n"/>
      <c r="BF93" s="512">
        <f>IF(BD122="",0,BD122)</f>
        <v/>
      </c>
      <c r="BG93" s="11602" t="n"/>
      <c r="BH93" s="11602" t="n"/>
      <c r="BI93" s="3824" t="n"/>
      <c r="BJ93" s="1061" t="n"/>
      <c r="BK93" s="1061" t="n"/>
      <c r="BL93" s="1061" t="n"/>
      <c r="BM93" s="3824" t="n"/>
      <c r="BN93" s="11602" t="n"/>
      <c r="BO93" s="11602" t="n"/>
      <c r="BP93" s="11602" t="n"/>
      <c r="BQ93" s="11602" t="n"/>
      <c r="BR93" s="11602" t="n"/>
      <c r="BS93" s="11602" t="n"/>
      <c r="BT93" s="11704" t="n"/>
      <c r="BU93" s="658" t="n"/>
      <c r="BV93" s="658" t="n"/>
      <c r="BW93" s="658" t="n"/>
      <c r="BX93" s="658" t="n"/>
      <c r="BY93" s="658" t="n"/>
      <c r="BZ93" s="658" t="n"/>
      <c r="CA93" s="658" t="n"/>
      <c r="CB93" s="658" t="n"/>
      <c r="CC93" s="658" t="n"/>
      <c r="CD93" s="658" t="n"/>
      <c r="CE93" s="658" t="n"/>
      <c r="CF93" s="658" t="n"/>
    </row>
    <row r="94" ht="13.5" customHeight="1" s="7635" thickBot="1">
      <c r="A94" s="139" t="n"/>
      <c r="B94" s="11759" t="n"/>
      <c r="C94" s="8922" t="inlineStr">
        <is>
          <t>jointly or</t>
        </is>
      </c>
      <c r="D94" s="1856" t="n"/>
      <c r="E94" s="2666" t="n"/>
      <c r="F94" s="1888" t="n">
        <v>14</v>
      </c>
      <c r="G94" s="1417" t="n"/>
      <c r="H94" s="1889" t="inlineStr">
        <is>
          <t>Add lines 12e, 13a, and 13b</t>
        </is>
      </c>
      <c r="I94" s="1876" t="n"/>
      <c r="J94" s="1876" t="n"/>
      <c r="K94" s="1876" t="n"/>
      <c r="L94" s="1876" t="n"/>
      <c r="M94" s="1876" t="n"/>
      <c r="N94" s="1915" t="n"/>
      <c r="O94" s="1876" t="n"/>
      <c r="P94" s="1897" t="n"/>
      <c r="Q94" s="1897" t="n"/>
      <c r="R94" s="1876" t="n"/>
      <c r="S94" s="1876" t="n"/>
      <c r="T94" s="1876" t="n"/>
      <c r="U94" s="1876" t="n"/>
      <c r="V94" s="1876" t="n"/>
      <c r="W94" s="1897" t="n"/>
      <c r="X94" s="1897" t="n"/>
      <c r="Y94" s="1876" t="n"/>
      <c r="Z94" s="1876" t="n"/>
      <c r="AA94" s="1876" t="n"/>
      <c r="AB94" s="1914" t="n"/>
      <c r="AC94" s="1914" t="n"/>
      <c r="AD94" s="1890" t="n"/>
      <c r="AE94" s="1890" t="n"/>
      <c r="AF94" s="1890" t="n"/>
      <c r="AG94" s="1890" t="n"/>
      <c r="AH94" s="1890" t="n"/>
      <c r="AI94" s="1890" t="n"/>
      <c r="AJ94" s="11744" t="inlineStr">
        <is>
          <t xml:space="preserve">.   .   .   .   .   .   .   .   .   .   .   .   .   .   .   .   .   .   .   .   .   .   .   .   .   .   .   .   .   . </t>
        </is>
      </c>
      <c r="AK94" s="4032" t="n">
        <v>14</v>
      </c>
      <c r="AL94" s="7242">
        <f>IF(AX94&lt;&gt;"",ROUND(AX94,0),SUM(AL91,QBID_1040,AL93))</f>
        <v/>
      </c>
      <c r="AM94" s="7839" t="n"/>
      <c r="AN94" s="7839" t="n"/>
      <c r="AO94" s="7839" t="n"/>
      <c r="AP94" s="7839" t="n"/>
      <c r="AQ94" s="7839" t="n"/>
      <c r="AR94" s="7839" t="n"/>
      <c r="AS94" s="1878" t="n"/>
      <c r="AT94" s="4044" t="n"/>
      <c r="AU94" s="3614" t="n"/>
      <c r="AV94" s="7637" t="n"/>
      <c r="AW94" s="7638" t="n"/>
      <c r="AX94" s="732" t="n"/>
      <c r="AY94" s="4772" t="n"/>
      <c r="AZ94" s="5919" t="n"/>
      <c r="BA94" s="5860" t="inlineStr">
        <is>
          <t>Single</t>
        </is>
      </c>
      <c r="BB94" s="5860" t="inlineStr">
        <is>
          <t>MFJ or QSS</t>
        </is>
      </c>
      <c r="BC94" s="5860" t="inlineStr">
        <is>
          <t>MFS</t>
        </is>
      </c>
      <c r="BD94" s="5860" t="inlineStr">
        <is>
          <t>Head-of-H</t>
        </is>
      </c>
      <c r="BE94" s="5921" t="n"/>
      <c r="BF94" s="11602" t="n"/>
      <c r="BG94" s="11602" t="n"/>
      <c r="BH94" s="5955" t="inlineStr">
        <is>
          <t xml:space="preserve">NOTE: If your filing status is married filing separately, your spouse had no income, isn't filing a return, can't be claimed as a dependent on another person's return, and your spouse &gt; 64 years old, or is blind, </t>
        </is>
      </c>
      <c r="BI94" s="3824" t="n"/>
      <c r="BJ94" s="1061" t="n"/>
      <c r="BK94" s="1061" t="n"/>
      <c r="BL94" s="1061" t="n"/>
      <c r="BM94" s="3824" t="n"/>
      <c r="BN94" s="11602" t="n"/>
      <c r="BO94" s="11602" t="n"/>
      <c r="BP94" s="11602" t="n"/>
      <c r="BQ94" s="11602" t="n"/>
      <c r="BR94" s="11602" t="n"/>
      <c r="BS94" s="11602" t="n"/>
      <c r="BT94" s="11704" t="n"/>
      <c r="BU94" s="658" t="n"/>
      <c r="BV94" s="658" t="n"/>
      <c r="BW94" s="658" t="n"/>
      <c r="BX94" s="658" t="n"/>
      <c r="BY94" s="658" t="n"/>
      <c r="BZ94" s="658" t="n"/>
      <c r="CA94" s="658" t="n"/>
      <c r="CB94" s="658" t="n"/>
      <c r="CC94" s="658" t="n"/>
      <c r="CD94" s="658" t="n"/>
      <c r="CE94" s="658" t="n"/>
      <c r="CF94" s="658" t="n"/>
    </row>
    <row r="95" ht="13.5" customHeight="1" s="7635">
      <c r="A95" s="139" t="n"/>
      <c r="B95" s="11759" t="n"/>
      <c r="C95" s="8922" t="inlineStr">
        <is>
          <t>Qualifying</t>
        </is>
      </c>
      <c r="D95" s="11760" t="n"/>
      <c r="E95" s="11752" t="n"/>
      <c r="F95" s="1874" t="n">
        <v>15</v>
      </c>
      <c r="G95" s="4046" t="n"/>
      <c r="H95" s="5950" t="inlineStr">
        <is>
          <t>Subtract line 14 from line 11.</t>
        </is>
      </c>
      <c r="I95" s="4047" t="n"/>
      <c r="J95" s="4047" t="n"/>
      <c r="K95" s="4047" t="n"/>
      <c r="L95" s="4047" t="n"/>
      <c r="M95" s="4047" t="n"/>
      <c r="N95" s="4047" t="n"/>
      <c r="O95" s="4047" t="n"/>
      <c r="P95" s="5950" t="inlineStr">
        <is>
          <t>If zero or less, enter -0-.</t>
        </is>
      </c>
      <c r="Q95" s="1915" t="n"/>
      <c r="R95" s="4047" t="n"/>
      <c r="S95" s="4047" t="n"/>
      <c r="T95" s="4047" t="n"/>
      <c r="U95" s="4047" t="n"/>
      <c r="V95" s="4047" t="n"/>
      <c r="W95" s="4047" t="n"/>
      <c r="X95" s="5950" t="inlineStr">
        <is>
          <t>This is your taxable income</t>
        </is>
      </c>
      <c r="Y95" s="4047" t="n"/>
      <c r="Z95" s="4047" t="n"/>
      <c r="AA95" s="4047" t="n"/>
      <c r="AB95" s="4047" t="n"/>
      <c r="AC95" s="4047" t="n"/>
      <c r="AD95" s="4048" t="n"/>
      <c r="AE95" s="4048" t="n"/>
      <c r="AF95" s="4048" t="n"/>
      <c r="AG95" s="1827" t="n"/>
      <c r="AH95" s="4047" t="n"/>
      <c r="AI95" s="4047" t="n"/>
      <c r="AJ95" s="1874" t="inlineStr">
        <is>
          <t xml:space="preserve">.   .   .   .   .   .   . </t>
        </is>
      </c>
      <c r="AK95" s="4032" t="n">
        <v>15</v>
      </c>
      <c r="AL95" s="7053">
        <f>IF(AX95&lt;&gt;"",ROUND(AX95,0),MAX(0,SUM(Adj_Gross_Inc,-TotalDeductions)))</f>
        <v/>
      </c>
      <c r="AM95" s="8412" t="n"/>
      <c r="AN95" s="8412" t="n"/>
      <c r="AO95" s="8412" t="n"/>
      <c r="AP95" s="8412" t="n"/>
      <c r="AQ95" s="8412" t="n"/>
      <c r="AR95" s="8412" t="n"/>
      <c r="AS95" s="1878" t="n"/>
      <c r="AT95" s="4044" t="n"/>
      <c r="AU95" s="4037" t="n"/>
      <c r="AV95" s="4037" t="n"/>
      <c r="AW95" s="4037" t="n"/>
      <c r="AX95" s="732" t="n"/>
      <c r="AY95" s="4772" t="n"/>
      <c r="AZ95" s="5922" t="inlineStr">
        <is>
          <t>Std. Deduct. (Base)</t>
        </is>
      </c>
      <c r="BA95" s="5629">
        <f>SD_Single</f>
        <v/>
      </c>
      <c r="BB95" s="5629">
        <f>SD_MFJW</f>
        <v/>
      </c>
      <c r="BC95" s="5629">
        <f>SD_Single</f>
        <v/>
      </c>
      <c r="BD95" s="5629">
        <f>SD_Head</f>
        <v/>
      </c>
      <c r="BE95" s="5923" t="n"/>
      <c r="BF95" s="11602" t="n"/>
      <c r="BG95" s="11602" t="n"/>
      <c r="BH95" s="5955" t="inlineStr">
        <is>
          <t>you can check the appropriate boxes on the 'Age/Blindness' line.</t>
        </is>
      </c>
      <c r="BI95" s="344" t="n"/>
      <c r="BJ95" s="344" t="n"/>
      <c r="BK95" s="344" t="n"/>
      <c r="BL95" s="11602" t="n"/>
      <c r="BM95" s="11602" t="n"/>
      <c r="BN95" s="11602" t="n"/>
      <c r="BO95" s="11602" t="n"/>
      <c r="BP95" s="11602" t="n"/>
      <c r="BQ95" s="11602" t="n"/>
      <c r="BR95" s="11602" t="n"/>
      <c r="BS95" s="11602" t="n"/>
      <c r="BT95" s="11704" t="n"/>
      <c r="BU95" s="658" t="n"/>
      <c r="BV95" s="658" t="n"/>
      <c r="BW95" s="658" t="n"/>
      <c r="BX95" s="658" t="n"/>
      <c r="BY95" s="658" t="n"/>
      <c r="BZ95" s="658" t="n"/>
      <c r="CA95" s="658" t="n"/>
      <c r="CB95" s="658" t="n"/>
      <c r="CC95" s="658" t="n"/>
      <c r="CD95" s="658" t="n"/>
      <c r="CE95" s="658" t="n"/>
      <c r="CF95" s="658" t="n"/>
    </row>
    <row r="96" ht="14.25" customHeight="1" s="7635" thickBot="1">
      <c r="A96" s="139" t="n"/>
      <c r="B96" s="5854" t="n"/>
      <c r="C96" s="8922" t="inlineStr">
        <is>
          <t>surviving spouse,</t>
        </is>
      </c>
      <c r="D96" s="11760" t="n"/>
      <c r="E96" s="11752" t="n"/>
      <c r="F96" s="1888" t="n">
        <v>16</v>
      </c>
      <c r="G96" s="1417" t="n"/>
      <c r="H96" s="7350" t="inlineStr">
        <is>
          <t>Tax (see instructions). Check if any from Form(s):</t>
        </is>
      </c>
      <c r="I96" s="1888" t="n"/>
      <c r="J96" s="1888" t="n"/>
      <c r="K96" s="1888" t="n"/>
      <c r="L96" s="1261" t="n"/>
      <c r="M96" s="1261" t="n"/>
      <c r="N96" s="1261" t="n"/>
      <c r="O96" s="1647" t="n"/>
      <c r="P96" s="1888" t="n"/>
      <c r="Q96" s="1888" t="n"/>
      <c r="R96" s="1888" t="n"/>
      <c r="S96" s="1920" t="n"/>
      <c r="T96" s="1920" t="n"/>
      <c r="U96" s="1921" t="n"/>
      <c r="V96" s="1920" t="inlineStr">
        <is>
          <t>1</t>
        </is>
      </c>
      <c r="W96" s="276" t="n"/>
      <c r="X96" s="1922" t="inlineStr">
        <is>
          <t>8814</t>
        </is>
      </c>
      <c r="Y96" s="1922" t="n"/>
      <c r="Z96" s="1923" t="n"/>
      <c r="AA96" s="1923" t="inlineStr">
        <is>
          <t>2</t>
        </is>
      </c>
      <c r="AB96" s="276" t="n"/>
      <c r="AC96" s="7119" t="n">
        <v>4972</v>
      </c>
      <c r="AE96" s="1923" t="inlineStr">
        <is>
          <t>3</t>
        </is>
      </c>
      <c r="AF96" s="276" t="n"/>
      <c r="AG96" s="7097" t="n"/>
      <c r="AH96" s="11730" t="n"/>
      <c r="AI96" s="11730" t="n"/>
      <c r="AJ96" s="11744" t="inlineStr">
        <is>
          <t xml:space="preserve">.   . </t>
        </is>
      </c>
      <c r="AK96" s="1891" t="n">
        <v>16</v>
      </c>
      <c r="AL96" s="7053">
        <f>IF(AX96&lt;&gt;"",ROUND(AX96,0),IF(OR(Birthday_Needed,FilingStatusError),"",IF(FEI_Tax_Worksheet,Tax_FEI_TW,IF(CGTW,SUM(CGTW_Tax,AO77),IF(SchDTW_Used,SUM(SchDTW_Tax,AO77),SUM(AY97,BM100))))))</f>
        <v/>
      </c>
      <c r="AM96" s="8412" t="n"/>
      <c r="AN96" s="8412" t="n"/>
      <c r="AO96" s="8412" t="n"/>
      <c r="AP96" s="8412" t="n"/>
      <c r="AQ96" s="8412" t="n"/>
      <c r="AR96" s="8412" t="n"/>
      <c r="AS96" s="1918" t="n"/>
      <c r="AT96" s="4053" t="n"/>
      <c r="AU96" s="4054" t="inlineStr">
        <is>
          <t>The tax in Line 16 is</t>
        </is>
      </c>
      <c r="AV96" s="4055" t="n"/>
      <c r="AW96" s="4056" t="n"/>
      <c r="AX96" s="1065" t="n"/>
      <c r="AY96" s="6738" t="n"/>
      <c r="AZ96" s="5924" t="inlineStr">
        <is>
          <t>plus age &gt; 64</t>
        </is>
      </c>
      <c r="BA96" s="5925">
        <f>IF(OR(YouR65,you_blind),BA90,"")</f>
        <v/>
      </c>
      <c r="BB96" s="5926">
        <f>IF(AND(YouR65,sp_over_64&lt;&gt;""),2*BB90,IF(OR(YouR65,sp_over_64&lt;&gt;""),BB90,""))</f>
        <v/>
      </c>
      <c r="BC96" s="5930">
        <f>SUM(BF14,BF16)*BC90</f>
        <v/>
      </c>
      <c r="BD96" s="5926">
        <f>IF(YouR65,BD90,"")</f>
        <v/>
      </c>
      <c r="BE96" s="5927" t="n"/>
      <c r="BF96" s="580" t="n"/>
      <c r="BG96" s="580" t="n"/>
      <c r="BH96" s="580" t="n"/>
      <c r="BI96" s="344" t="inlineStr">
        <is>
          <t>Taxable_Inc</t>
        </is>
      </c>
      <c r="BJ96" s="7957" t="inlineStr">
        <is>
          <t>Single</t>
        </is>
      </c>
      <c r="BK96" s="7957" t="inlineStr">
        <is>
          <t>MFJ/QW</t>
        </is>
      </c>
      <c r="BL96" s="7957" t="inlineStr">
        <is>
          <t>MFS</t>
        </is>
      </c>
      <c r="BM96" s="7957" t="inlineStr">
        <is>
          <t>HOH</t>
        </is>
      </c>
      <c r="BN96" s="580" t="n"/>
      <c r="BO96" s="580" t="n"/>
      <c r="BP96" s="580" t="n"/>
      <c r="BQ96" s="580" t="n"/>
      <c r="BR96" s="580" t="n"/>
      <c r="BS96" s="580" t="n"/>
      <c r="BT96" s="11704" t="n"/>
      <c r="BU96" s="658" t="n"/>
      <c r="BV96" s="658" t="n"/>
      <c r="BW96" s="658" t="n"/>
      <c r="BX96" s="658" t="n"/>
      <c r="BY96" s="658" t="n"/>
      <c r="BZ96" s="658" t="n"/>
      <c r="CA96" s="658" t="n"/>
      <c r="CB96" s="658" t="n"/>
      <c r="CC96" s="658" t="n"/>
      <c r="CD96" s="658" t="n"/>
      <c r="CE96" s="658" t="n"/>
      <c r="CF96" s="658" t="n"/>
    </row>
    <row r="97" ht="14.25" customHeight="1" s="7635" thickBot="1" thickTop="1">
      <c r="A97" s="139" t="n"/>
      <c r="B97" s="11759" t="n"/>
      <c r="C97" s="11761" t="n">
        <v>31500</v>
      </c>
      <c r="D97" s="229" t="n"/>
      <c r="E97" s="2666" t="n"/>
      <c r="F97" s="1888" t="n">
        <v>17</v>
      </c>
      <c r="G97" s="1417" t="n"/>
      <c r="H97" s="1858" t="inlineStr">
        <is>
          <t>Amount from Schedule 2, line 3</t>
        </is>
      </c>
      <c r="I97" s="1888" t="n"/>
      <c r="J97" s="1888" t="n"/>
      <c r="K97" s="1888" t="n"/>
      <c r="L97" s="1261" t="n"/>
      <c r="M97" s="1261" t="n"/>
      <c r="N97" s="1261" t="n"/>
      <c r="O97" s="1261" t="n"/>
      <c r="P97" s="1888" t="n"/>
      <c r="Q97" s="1888" t="n"/>
      <c r="R97" s="1888" t="n"/>
      <c r="S97" s="1920" t="n"/>
      <c r="T97" s="1920" t="n"/>
      <c r="U97" s="1920" t="n"/>
      <c r="V97" s="1920" t="n"/>
      <c r="W97" s="1920" t="n"/>
      <c r="X97" s="1924" t="n"/>
      <c r="Y97" s="1923" t="n"/>
      <c r="Z97" s="1923" t="n"/>
      <c r="AA97" s="1923" t="n"/>
      <c r="AB97" s="1261" t="n"/>
      <c r="AC97" s="1925" t="n"/>
      <c r="AD97" s="1925" t="n"/>
      <c r="AE97" s="1925" t="n"/>
      <c r="AF97" s="1925" t="n"/>
      <c r="AG97" s="1925" t="n"/>
      <c r="AH97" s="1920" t="n"/>
      <c r="AI97" s="1920" t="n"/>
      <c r="AJ97" s="11744" t="inlineStr">
        <is>
          <t xml:space="preserve">.   .   .   .   .   .   .   .   .   .   .   .   .   .   .   .   .   .   .   .   .   .   .   .   .   .   .   .   . </t>
        </is>
      </c>
      <c r="AK97" s="1926" t="n">
        <v>17</v>
      </c>
      <c r="AL97" s="7065">
        <f>IF(AX97&lt;&gt;"",ROUND(AX97,0),Schedule2_Tax)</f>
        <v/>
      </c>
      <c r="AM97" s="7637" t="n"/>
      <c r="AN97" s="7637" t="n"/>
      <c r="AO97" s="7637" t="n"/>
      <c r="AP97" s="7637" t="n"/>
      <c r="AQ97" s="7637" t="n"/>
      <c r="AR97" s="7637" t="n"/>
      <c r="AS97" s="1918" t="n"/>
      <c r="AT97" s="4053" t="n"/>
      <c r="AU97" s="4054" t="inlineStr">
        <is>
          <t>calculated using:</t>
        </is>
      </c>
      <c r="AV97" s="4055" t="n"/>
      <c r="AW97" s="4056" t="n"/>
      <c r="AX97" s="732" t="n"/>
      <c r="AY97" s="5933">
        <f>ROUND(AY96,0)</f>
        <v/>
      </c>
      <c r="AZ97" s="5928" t="inlineStr">
        <is>
          <t>plus Blind</t>
        </is>
      </c>
      <c r="BA97" s="5929">
        <f>IF(you_blind="","",BA90)</f>
        <v/>
      </c>
      <c r="BB97" s="5930">
        <f>IF(AND(you_blind&lt;&gt;"",sp_blind&lt;&gt;""),2*BB90,IF(OR(you_blind&lt;&gt;"",sp_blind&lt;&gt;""),BB90,""))</f>
        <v/>
      </c>
      <c r="BC97" s="5930">
        <f>SUM(BF15,BF17)*BC90</f>
        <v/>
      </c>
      <c r="BD97" s="5930">
        <f>IF(you_blind="","",BD90)</f>
        <v/>
      </c>
      <c r="BE97" s="5927" t="n"/>
      <c r="BF97" s="580" t="n"/>
      <c r="BG97" s="580" t="n"/>
      <c r="BH97" s="580" t="n"/>
      <c r="BI97" s="4641">
        <f>Taxable_Inc</f>
        <v/>
      </c>
      <c r="BJ97" s="2572">
        <f>LOOKUP(BI97,'Tax Table'!$B$2:$B$2063,'Tax Table'!$D$2:$D$2063)</f>
        <v/>
      </c>
      <c r="BK97" s="2572">
        <f>LOOKUP(BI97,'Tax Table'!$B$2:$B$2063,'Tax Table'!$E$2:$E$2063)</f>
        <v/>
      </c>
      <c r="BL97" s="2572">
        <f>LOOKUP(BI97,'Tax Table'!$B$2:$B$2063,'Tax Table'!$F$2:$F$2063)</f>
        <v/>
      </c>
      <c r="BM97" s="2573">
        <f>LOOKUP(BI97,'Tax Table'!$B$2:$B$2063,'Tax Table'!$G$2:$G$2063)</f>
        <v/>
      </c>
      <c r="BN97" s="580" t="n"/>
      <c r="BO97" s="580" t="n"/>
      <c r="BP97" s="580" t="n"/>
      <c r="BQ97" s="580" t="n"/>
      <c r="BR97" s="580" t="n"/>
      <c r="BS97" s="580" t="n"/>
      <c r="BT97" s="11704" t="n"/>
      <c r="BU97" s="658" t="n"/>
      <c r="BV97" s="658" t="n"/>
      <c r="BW97" s="658" t="n"/>
      <c r="BX97" s="658" t="n"/>
      <c r="BY97" s="658" t="n"/>
      <c r="BZ97" s="658" t="n"/>
      <c r="CA97" s="658" t="n"/>
      <c r="CB97" s="658" t="n"/>
      <c r="CC97" s="658" t="n"/>
      <c r="CD97" s="658" t="n"/>
      <c r="CE97" s="658" t="n"/>
      <c r="CF97" s="658" t="n"/>
    </row>
    <row r="98" ht="12.75" customHeight="1" s="7635" thickBot="1">
      <c r="A98" s="139" t="n"/>
      <c r="B98" s="11759" t="inlineStr">
        <is>
          <t>•</t>
        </is>
      </c>
      <c r="C98" s="8922" t="inlineStr">
        <is>
          <t>Head of</t>
        </is>
      </c>
      <c r="D98" s="229" t="n"/>
      <c r="E98" s="2666" t="n"/>
      <c r="F98" s="1888" t="n">
        <v>18</v>
      </c>
      <c r="G98" s="1417" t="n"/>
      <c r="H98" s="1858" t="inlineStr">
        <is>
          <t>Add lines 16 and 17</t>
        </is>
      </c>
      <c r="I98" s="1888" t="n"/>
      <c r="J98" s="1888" t="n"/>
      <c r="K98" s="1888" t="n"/>
      <c r="L98" s="1888" t="n"/>
      <c r="M98" s="1888" t="n"/>
      <c r="N98" s="1888" t="n"/>
      <c r="O98" s="1888" t="n"/>
      <c r="P98" s="1888" t="n"/>
      <c r="Q98" s="1888" t="n"/>
      <c r="R98" s="1888" t="n"/>
      <c r="S98" s="1888" t="n"/>
      <c r="T98" s="1888" t="n"/>
      <c r="U98" s="1888" t="n"/>
      <c r="V98" s="1888" t="n"/>
      <c r="W98" s="1888" t="n"/>
      <c r="X98" s="1888" t="n"/>
      <c r="Y98" s="1888" t="n"/>
      <c r="Z98" s="1888" t="n"/>
      <c r="AA98" s="1888" t="n"/>
      <c r="AB98" s="1888" t="n"/>
      <c r="AC98" s="1888" t="n"/>
      <c r="AD98" s="1888" t="n"/>
      <c r="AE98" s="1888" t="n"/>
      <c r="AF98" s="1888" t="n"/>
      <c r="AG98" s="1888" t="n"/>
      <c r="AH98" s="11762" t="n"/>
      <c r="AI98" s="11762" t="n"/>
      <c r="AJ98" s="11744" t="inlineStr">
        <is>
          <t xml:space="preserve">.   .   .   .   .   .   .   .   .   .   .   .   .   .   .   .   .   .   .   .   .   .   .   .   .   .   .   .   .   .   .   . </t>
        </is>
      </c>
      <c r="AK98" s="4057" t="n">
        <v>18</v>
      </c>
      <c r="AL98" s="7065">
        <f>IF(AX98&lt;&gt;"",ROUND(AX98,0),SUM(Tax_SubTotal,AL97))</f>
        <v/>
      </c>
      <c r="AM98" s="7637" t="n"/>
      <c r="AN98" s="7637" t="n"/>
      <c r="AO98" s="7637" t="n"/>
      <c r="AP98" s="7637" t="n"/>
      <c r="AQ98" s="7637" t="n"/>
      <c r="AR98" s="7637" t="n"/>
      <c r="AS98" s="1918" t="n"/>
      <c r="AT98" s="4053" t="n"/>
      <c r="AU98" s="11763">
        <f>IF(AX96&lt;&gt;"","Manual override",IF(FilingStatusError,"Filing status information needed or needs corrected.",IF(Birthday_Needed,"Birthdate information needed.",IF(OR(Total_Income=0,Taxable_Inc=""),"",IF(FEI_Tax_Worksheet,"FEI Tax Worksheet on "&amp;CHAR(10)&amp;"'Line 16 (QDCG Tax)'"&amp;CHAR(10)&amp;AY102,IF(CGTW,"QD &amp; CG Tax WS"&amp;CHAR(10)&amp;"'Line 16 (QDCG Tax)'"&amp;CHAR(10)&amp;AY102,IF(SchDTW_Used,"Sch. D Tax Worksheet"&amp;CHAR(10)&amp;AY102,IF(Taxable_Inc&lt;100000,"Tax Table"&amp;CHAR(10)&amp;AY102,"Tax Formula"&amp;CHAR(10)&amp;AY102))))))))</f>
        <v/>
      </c>
      <c r="AV98" s="7839" t="n"/>
      <c r="AW98" s="10091" t="n"/>
      <c r="AX98" s="732" t="n"/>
      <c r="AY98" s="3235">
        <f>OR(W96&lt;&gt;"",AB96&lt;&gt;"",AF96&lt;&gt;"")</f>
        <v/>
      </c>
      <c r="AZ98" s="5935" t="inlineStr">
        <is>
          <t>Adj. Std. Deduct.</t>
        </is>
      </c>
      <c r="BA98" s="5936">
        <f>IF(File_Single="","",SUM(BA95,BA96,BA97))</f>
        <v/>
      </c>
      <c r="BB98" s="5936">
        <f>SUM(BB95,BB96,BB97)</f>
        <v/>
      </c>
      <c r="BC98" s="5936">
        <f>SUM(BC95,BC96,BC97)</f>
        <v/>
      </c>
      <c r="BD98" s="5937">
        <f>SUM(BD95,BD96,BD97)</f>
        <v/>
      </c>
      <c r="BE98" s="5927" t="n"/>
      <c r="BF98" s="580" t="n"/>
      <c r="BG98" s="580" t="n"/>
      <c r="BH98" s="580" t="n"/>
      <c r="BI98" s="4640" t="n"/>
      <c r="BJ98" s="2574">
        <f>IF(BI97&lt;SectA_a2,"---",IF(BI97&lt;=SectA_a3,ROUND(BI97*(SectA_b3/100),0)-SectA_d3,IF(BI97&lt;=SectA_a4,ROUND(BI97*(SectA_b4/100),0)-SectA_d4,IF(BI97&lt;=SectA_a5,ROUND(BI97*(SectA_b5/100),0)-SectA_d5,IF(BI97&lt;=SectA_a6,ROUND(BI97*(SectA_b6/100),0)-SectA_d6,ROUND(BI97*(SectA_b7/100),0)-SectA_d7)))))</f>
        <v/>
      </c>
      <c r="BK98" s="2574">
        <f>IF(BI97&lt;SectB_a2,"---",IF(BI97&lt;=SectB_a3,ROUND(BI97*(SectB_b3/100),0)-SectB_d3,IF(BI97&lt;=SectB_a4,ROUND(BI97*(SectB_b4/100),0)-SectB_d4,IF(BI97&lt;=SectB_a5,ROUND(BI97*(SectB_b5/100),0)-SectB_d5,IF(BI97&lt;=SectB_a6,ROUND(BI97*(SectB_b6/100),0)-SectB_d6,ROUND(BI97*(SectB_b7/100),0)-SectB_d7)))))</f>
        <v/>
      </c>
      <c r="BL98" s="2574">
        <f>IF(BI97&lt;SectC_a1,"---",IF(BI97&lt;=SectC_a2,ROUND(BI97*(SectC_b2/100),0)-SectC_d2,IF(BI97&lt;=SectC_a3,ROUND(BI97*(SectC_b3/100),0)-SectC_d3,IF(BI97&lt;=SectC_a4,ROUND(BI97*(SectC_b4/100),0)-SectC_d4,IF(BI97&lt;=SectC_a5,ROUND(BI97*(SectC_b5/100),0)-SectC_d5,ROUND(BI97*(SectC_b6/100),0)-SectC_d6)))))</f>
        <v/>
      </c>
      <c r="BM98" s="2575">
        <f>IF(BI97&lt;SectD_a2,"---",IF(BI97&lt;=SectD_a3,ROUND(BI97*(SectD_b3/100),0)-SectD_d3,IF(BI97&lt;=SectD_a4,ROUND(BI97*(SectD_b4/100),0)-SectD_d4,IF(BI97&lt;=SectD_a5,ROUND(BI97*(SectD_b5/100),0)-SectD_d5,IF(BI97&lt;=SectD_a6,ROUND(BI97*(SectD_b6/100),0)-SectD_d6,ROUND(BI97*(SectD_b7/100),0)-SectD_d7)))))</f>
        <v/>
      </c>
      <c r="BN98" s="580" t="n"/>
      <c r="BO98" s="580" t="n"/>
      <c r="BP98" s="580" t="n"/>
      <c r="BQ98" s="580" t="n"/>
      <c r="BR98" s="580" t="n"/>
      <c r="BS98" s="580" t="n"/>
      <c r="BT98" s="11704" t="n"/>
      <c r="BU98" s="658" t="n"/>
      <c r="BV98" s="658" t="n"/>
      <c r="BW98" s="658" t="n"/>
      <c r="BX98" s="658" t="n"/>
      <c r="BY98" s="658" t="n"/>
      <c r="BZ98" s="658" t="n"/>
      <c r="CA98" s="658" t="n"/>
      <c r="CB98" s="658" t="n"/>
      <c r="CC98" s="658" t="n"/>
      <c r="CD98" s="658" t="n"/>
      <c r="CE98" s="658" t="n"/>
      <c r="CF98" s="658" t="n"/>
    </row>
    <row r="99" ht="12.75" customHeight="1" s="7635" thickBot="1">
      <c r="A99" s="139" t="n"/>
      <c r="B99" s="11759" t="n"/>
      <c r="C99" s="8922" t="inlineStr">
        <is>
          <t>household,</t>
        </is>
      </c>
      <c r="D99" s="11752" t="n"/>
      <c r="E99" s="2666" t="n"/>
      <c r="F99" s="1888" t="n">
        <v>19</v>
      </c>
      <c r="G99" s="1417" t="n"/>
      <c r="H99" s="1889" t="inlineStr">
        <is>
          <t>Child tax credit or credit for other dependents from Schedule 8812</t>
        </is>
      </c>
      <c r="I99" s="1876" t="n"/>
      <c r="J99" s="1876" t="n"/>
      <c r="K99" s="1876" t="n"/>
      <c r="L99" s="1876" t="n"/>
      <c r="M99" s="1876" t="n"/>
      <c r="N99" s="1876" t="n"/>
      <c r="O99" s="1876" t="n"/>
      <c r="P99" s="1876" t="n"/>
      <c r="Q99" s="1876" t="n"/>
      <c r="R99" s="1927" t="n"/>
      <c r="S99" s="1928" t="n"/>
      <c r="T99" s="1928" t="n"/>
      <c r="U99" s="1928" t="n"/>
      <c r="V99" s="1928" t="n"/>
      <c r="W99" s="1928" t="n"/>
      <c r="X99" s="1928" t="n"/>
      <c r="Y99" s="1928" t="n"/>
      <c r="Z99" s="1928" t="n"/>
      <c r="AA99" s="1888" t="n"/>
      <c r="AB99" s="1928" t="n"/>
      <c r="AC99" s="1928" t="n"/>
      <c r="AD99" s="11744" t="n"/>
      <c r="AE99" s="11744" t="n"/>
      <c r="AF99" s="1888" t="n"/>
      <c r="AG99" s="1888" t="n"/>
      <c r="AH99" s="11762" t="n"/>
      <c r="AI99" s="11762" t="n"/>
      <c r="AJ99" s="11744" t="inlineStr">
        <is>
          <t xml:space="preserve">.   .   .   .   .   .   .   .   .   .   .   .   .   .   . </t>
        </is>
      </c>
      <c r="AK99" s="1926" t="n">
        <v>19</v>
      </c>
      <c r="AL99" s="7065">
        <f>IF(AX99&lt;&gt;"",ROUND(AX99,0),CTCorCOD)</f>
        <v/>
      </c>
      <c r="AM99" s="7637" t="n"/>
      <c r="AN99" s="7637" t="n"/>
      <c r="AO99" s="7637" t="n"/>
      <c r="AP99" s="7637" t="n"/>
      <c r="AQ99" s="7637" t="n"/>
      <c r="AR99" s="7637" t="n"/>
      <c r="AS99" s="1878" t="n"/>
      <c r="AT99" s="4044" t="n"/>
      <c r="AU99" s="4772" t="n"/>
      <c r="AW99" s="7636" t="n"/>
      <c r="AX99" s="732" t="n"/>
      <c r="AY99" s="5597">
        <f>IF(W96&lt;&gt;"","&amp; Form 8814 "&amp;"","")</f>
        <v/>
      </c>
      <c r="AZ99" s="5939" t="n"/>
      <c r="BA99" s="5938" t="n"/>
      <c r="BB99" s="5938" t="n"/>
      <c r="BC99" s="5938" t="n"/>
      <c r="BD99" s="5938" t="n"/>
      <c r="BE99" s="381" t="n"/>
      <c r="BF99" s="580" t="n"/>
      <c r="BG99" s="580" t="n"/>
      <c r="BH99" s="580" t="n"/>
      <c r="BI99" s="2576">
        <f>IF(File_Single&lt;&gt;"",BJ97,IF(File_Marr_Joint&lt;&gt;"",BK97,IF(File_Marr_Sep&lt;&gt;"", BL97,IF(File_Head&lt;&gt;"",BM97,IF(File_Qual_Widow&lt;&gt;"",BK97,"Filing status?")))))</f>
        <v/>
      </c>
      <c r="BJ99" s="1061">
        <f>"&lt;100k"</f>
        <v/>
      </c>
      <c r="BK99" s="1061" t="n"/>
      <c r="BL99" s="1061" t="n"/>
      <c r="BM99" s="2577" t="n"/>
      <c r="BN99" s="580" t="n"/>
      <c r="BO99" s="580" t="n"/>
      <c r="BP99" s="580" t="n"/>
      <c r="BQ99" s="580" t="n"/>
      <c r="BR99" s="580" t="n"/>
      <c r="BS99" s="580" t="n"/>
      <c r="BT99" s="11704" t="n"/>
      <c r="BU99" s="658" t="n"/>
      <c r="BV99" s="658" t="n"/>
      <c r="BW99" s="658" t="n"/>
      <c r="BX99" s="658" t="n"/>
      <c r="BY99" s="658" t="n"/>
      <c r="BZ99" s="658" t="n"/>
      <c r="CA99" s="658" t="n"/>
      <c r="CB99" s="658" t="n"/>
      <c r="CC99" s="658" t="n"/>
      <c r="CD99" s="658" t="n"/>
      <c r="CE99" s="658" t="n"/>
      <c r="CF99" s="658" t="n"/>
    </row>
    <row r="100" ht="14.25" customHeight="1" s="7635" thickBot="1">
      <c r="A100" s="139" t="n"/>
      <c r="B100" s="11759" t="n"/>
      <c r="C100" s="11761" t="n">
        <v>23625</v>
      </c>
      <c r="D100" s="229" t="n"/>
      <c r="E100" s="2666" t="n"/>
      <c r="F100" s="1888" t="n">
        <v>20</v>
      </c>
      <c r="G100" s="1417" t="n"/>
      <c r="H100" s="1889" t="inlineStr">
        <is>
          <t>Amount from Schedule 3, line 8</t>
        </is>
      </c>
      <c r="I100" s="1876" t="n"/>
      <c r="J100" s="1876" t="n"/>
      <c r="K100" s="1876" t="n"/>
      <c r="L100" s="1876" t="n"/>
      <c r="M100" s="1876" t="n"/>
      <c r="N100" s="1876" t="n"/>
      <c r="O100" s="1876" t="n"/>
      <c r="P100" s="1876" t="n"/>
      <c r="Q100" s="1876" t="n"/>
      <c r="R100" s="1876" t="n"/>
      <c r="S100" s="1876" t="n"/>
      <c r="T100" s="1876" t="n"/>
      <c r="U100" s="1928" t="n"/>
      <c r="V100" s="1928" t="n"/>
      <c r="W100" s="1928" t="n"/>
      <c r="X100" s="1928" t="n"/>
      <c r="Y100" s="1928" t="n"/>
      <c r="Z100" s="1928" t="n"/>
      <c r="AA100" s="1888" t="n"/>
      <c r="AB100" s="1928" t="n"/>
      <c r="AC100" s="1928" t="n"/>
      <c r="AD100" s="1928" t="n"/>
      <c r="AE100" s="1928" t="n"/>
      <c r="AF100" s="1928" t="n"/>
      <c r="AG100" s="1928" t="n"/>
      <c r="AH100" s="1928" t="n"/>
      <c r="AI100" s="1928" t="n"/>
      <c r="AJ100" s="11744" t="inlineStr">
        <is>
          <t xml:space="preserve">.   .   .   .   .   .   .   .   .   .   .   .   .   .   .   .   .   .   .   .   .   .   .   .   .   .   .   . </t>
        </is>
      </c>
      <c r="AK100" s="1926" t="n">
        <v>20</v>
      </c>
      <c r="AL100" s="7065">
        <f>IF(AX100&lt;&gt;"",ROUND(AX100,0),Sch3_NonRefundCredits)</f>
        <v/>
      </c>
      <c r="AM100" s="7637" t="n"/>
      <c r="AN100" s="7637" t="n"/>
      <c r="AO100" s="7637" t="n"/>
      <c r="AP100" s="7637" t="n"/>
      <c r="AQ100" s="7637" t="n"/>
      <c r="AR100" s="7637" t="n"/>
      <c r="AS100" s="1878" t="n"/>
      <c r="AT100" s="4044" t="n"/>
      <c r="AU100" s="3614" t="n"/>
      <c r="AV100" s="7637" t="n"/>
      <c r="AW100" s="7638" t="n"/>
      <c r="AX100" s="732" t="n"/>
      <c r="AY100" s="5597">
        <f>IF(AB96&lt;&gt;"","&amp; Form 4972 "&amp;"","")</f>
        <v/>
      </c>
      <c r="AZ100" s="2730" t="n"/>
      <c r="BA100" s="2730" t="n"/>
      <c r="BB100" s="2730" t="n"/>
      <c r="BC100" s="2730" t="n"/>
      <c r="BD100" s="2730" t="n"/>
      <c r="BE100" s="2730" t="n"/>
      <c r="BF100" s="580" t="n"/>
      <c r="BG100" s="580" t="n"/>
      <c r="BH100" s="580" t="n"/>
      <c r="BI100" s="2579">
        <f>IF(File_Single&lt;&gt;"",BJ98,IF(OR(File_Marr_Joint&lt;&gt;"",File_Qual_Widow&lt;&gt;""),BK98,IF(File_Marr_Sep&lt;&gt;"", BL98,IF(File_Head&lt;&gt;"",BM98,"Filing status?"))))</f>
        <v/>
      </c>
      <c r="BJ100" s="2580">
        <f>"&gt;=100k"</f>
        <v/>
      </c>
      <c r="BK100" s="2580" t="n"/>
      <c r="BL100" s="2580" t="inlineStr">
        <is>
          <t>Tax &gt;&gt;</t>
        </is>
      </c>
      <c r="BM100" s="2581">
        <f>IF(NumFileStatusBoxes=0,"FilingStatus?",IF(BI97&gt;100000,ROUND(BI100,0),ROUND(BI99,0)))</f>
        <v/>
      </c>
      <c r="BN100" s="580" t="n"/>
      <c r="BO100" s="580" t="n"/>
      <c r="BP100" s="580" t="n"/>
      <c r="BQ100" s="580" t="n"/>
      <c r="BR100" s="580" t="n"/>
      <c r="BS100" s="580" t="n"/>
      <c r="BT100" s="11704" t="n"/>
      <c r="BU100" s="658" t="n"/>
      <c r="BV100" s="658" t="n"/>
      <c r="BW100" s="658" t="n"/>
      <c r="BX100" s="658" t="n"/>
      <c r="BY100" s="658" t="n"/>
      <c r="BZ100" s="658" t="n"/>
      <c r="CA100" s="658" t="n"/>
      <c r="CB100" s="658" t="n"/>
      <c r="CC100" s="658" t="n"/>
      <c r="CD100" s="658" t="n"/>
      <c r="CE100" s="658" t="n"/>
      <c r="CF100" s="658" t="n"/>
    </row>
    <row r="101" ht="14.25" customHeight="1" s="7635" thickTop="1">
      <c r="A101" s="139" t="n"/>
      <c r="B101" s="11759" t="inlineStr">
        <is>
          <t>•</t>
        </is>
      </c>
      <c r="C101" s="8922" t="inlineStr">
        <is>
          <t>If you checked a</t>
        </is>
      </c>
      <c r="D101" s="11764" t="n"/>
      <c r="E101" s="11765" t="n"/>
      <c r="F101" s="1888" t="n">
        <v>21</v>
      </c>
      <c r="G101" s="1417" t="n"/>
      <c r="H101" s="1889" t="inlineStr">
        <is>
          <t>Add lines 19 and 20</t>
        </is>
      </c>
      <c r="I101" s="1876" t="n"/>
      <c r="J101" s="1876" t="n"/>
      <c r="K101" s="1876" t="n"/>
      <c r="L101" s="1876" t="n"/>
      <c r="M101" s="1876" t="n"/>
      <c r="N101" s="1876" t="n"/>
      <c r="O101" s="1876" t="n"/>
      <c r="P101" s="1876" t="n"/>
      <c r="Q101" s="1876" t="n"/>
      <c r="R101" s="1876" t="n"/>
      <c r="S101" s="1876" t="n"/>
      <c r="T101" s="1876" t="n"/>
      <c r="U101" s="1928" t="n"/>
      <c r="V101" s="1928" t="n"/>
      <c r="W101" s="1928" t="n"/>
      <c r="X101" s="1928" t="n"/>
      <c r="Y101" s="1928" t="n"/>
      <c r="Z101" s="1928" t="n"/>
      <c r="AA101" s="1888" t="n"/>
      <c r="AB101" s="1928" t="n"/>
      <c r="AC101" s="1928" t="n"/>
      <c r="AD101" s="1928" t="n"/>
      <c r="AE101" s="1928" t="n"/>
      <c r="AF101" s="1928" t="n"/>
      <c r="AG101" s="1928" t="n"/>
      <c r="AH101" s="1928" t="n"/>
      <c r="AI101" s="1928" t="n"/>
      <c r="AJ101" s="11744" t="inlineStr">
        <is>
          <t xml:space="preserve">.   .   .   .   .   .   .   .   .   .   .   .   .   .   .   .   .   .   .   .   .   .   .   .   .   .   .   .   .   .   .   . </t>
        </is>
      </c>
      <c r="AK101" s="1926" t="n">
        <v>21</v>
      </c>
      <c r="AL101" s="7090">
        <f>IF(AX101&lt;&gt;"",ROUND(AX101,0),SUM(AL99,AL100))</f>
        <v/>
      </c>
      <c r="AM101" s="8412" t="n"/>
      <c r="AN101" s="8412" t="n"/>
      <c r="AO101" s="8412" t="n"/>
      <c r="AP101" s="8412" t="n"/>
      <c r="AQ101" s="8412" t="n"/>
      <c r="AR101" s="8412" t="n"/>
      <c r="AS101" s="1878" t="n"/>
      <c r="AT101" s="778" t="n"/>
      <c r="AU101" s="5835">
        <f>IF(AND(AT101="",F8960_Applicable)," Check Form 8960.",IF(F8960_Applicable,"Form 8960 checked.",""))</f>
        <v/>
      </c>
      <c r="AV101" s="5835" t="n"/>
      <c r="AW101" s="5836" t="n"/>
      <c r="AX101" s="732" t="n"/>
      <c r="AY101" s="5597">
        <f>IF(AF96&lt;&gt;"","&amp; Form "&amp;AG96&amp;" ","")</f>
        <v/>
      </c>
      <c r="AZ101" s="4984" t="n"/>
      <c r="BA101" s="4984" t="n"/>
      <c r="BB101" s="4984" t="n"/>
      <c r="BC101" s="4984" t="n"/>
      <c r="BD101" s="4984" t="n"/>
      <c r="BE101" s="4984" t="n"/>
      <c r="BF101" s="580" t="n"/>
      <c r="BG101" s="580" t="n"/>
      <c r="BH101" s="580" t="n"/>
      <c r="BI101" s="4059" t="n"/>
      <c r="BJ101" s="4060" t="n"/>
      <c r="BK101" s="4060" t="n"/>
      <c r="BL101" s="4060" t="n"/>
      <c r="BM101" s="4059" t="n"/>
      <c r="BN101" s="580" t="n"/>
      <c r="BO101" s="580" t="n"/>
      <c r="BP101" s="580" t="n"/>
      <c r="BQ101" s="580" t="n"/>
      <c r="BR101" s="580" t="n"/>
      <c r="BS101" s="580" t="n"/>
      <c r="BT101" s="11704" t="n"/>
      <c r="BU101" s="658" t="n"/>
      <c r="BV101" s="658" t="n"/>
      <c r="BW101" s="658" t="n"/>
      <c r="BX101" s="658" t="n"/>
      <c r="BY101" s="658" t="n"/>
      <c r="BZ101" s="658" t="n"/>
      <c r="CA101" s="658" t="n"/>
      <c r="CB101" s="658" t="n"/>
      <c r="CC101" s="658" t="n"/>
      <c r="CD101" s="658" t="n"/>
      <c r="CE101" s="658" t="n"/>
      <c r="CF101" s="658" t="n"/>
    </row>
    <row r="102" ht="14.25" customHeight="1" s="7635">
      <c r="A102" s="139" t="n"/>
      <c r="B102" s="11766" t="n"/>
      <c r="C102" s="11761" t="inlineStr">
        <is>
          <t>a box on line</t>
        </is>
      </c>
      <c r="D102" s="11767" t="n"/>
      <c r="E102" s="11768" t="n"/>
      <c r="F102" s="1888" t="n">
        <v>22</v>
      </c>
      <c r="G102" s="1890" t="n"/>
      <c r="H102" s="1889" t="inlineStr">
        <is>
          <t>Subtract line 21 from line 18. If zero or less, enter -0-</t>
        </is>
      </c>
      <c r="I102" s="1876" t="n"/>
      <c r="J102" s="1876" t="n"/>
      <c r="K102" s="1876" t="n"/>
      <c r="L102" s="1876" t="n"/>
      <c r="M102" s="1876" t="n"/>
      <c r="N102" s="1876" t="n"/>
      <c r="O102" s="1876" t="n"/>
      <c r="P102" s="1876" t="n"/>
      <c r="Q102" s="1876" t="n"/>
      <c r="R102" s="1876" t="n"/>
      <c r="S102" s="1876" t="n"/>
      <c r="T102" s="1876" t="n"/>
      <c r="U102" s="1929" t="n"/>
      <c r="V102" s="1929" t="n"/>
      <c r="W102" s="1929" t="n"/>
      <c r="X102" s="1929" t="n"/>
      <c r="Y102" s="1929" t="n"/>
      <c r="Z102" s="1929" t="n"/>
      <c r="AA102" s="1930" t="n"/>
      <c r="AB102" s="1928" t="n"/>
      <c r="AC102" s="1930" t="n"/>
      <c r="AD102" s="1928" t="n"/>
      <c r="AE102" s="1928" t="n"/>
      <c r="AF102" s="1928" t="n"/>
      <c r="AG102" s="1928" t="n"/>
      <c r="AH102" s="1928" t="n"/>
      <c r="AI102" s="1928" t="n"/>
      <c r="AJ102" s="11744" t="inlineStr">
        <is>
          <t xml:space="preserve">.   .   .   .   .   .   .   .   .   .   .   .   .   .   .   .   .   .   .   . </t>
        </is>
      </c>
      <c r="AK102" s="1926">
        <f>F102</f>
        <v/>
      </c>
      <c r="AL102" s="7053">
        <f>IF(AX102&lt;&gt;"",ROUND(AX102,0),MAX(0,SUM(Tax,-AL101)))</f>
        <v/>
      </c>
      <c r="AM102" s="8412" t="n"/>
      <c r="AN102" s="8412" t="n"/>
      <c r="AO102" s="8412" t="n"/>
      <c r="AP102" s="8412" t="n"/>
      <c r="AQ102" s="8412" t="n"/>
      <c r="AR102" s="8412" t="n"/>
      <c r="AS102" s="1878" t="n"/>
      <c r="AT102" s="4053" t="n"/>
      <c r="AU102" s="4061" t="n"/>
      <c r="AV102" s="1059" t="n"/>
      <c r="AW102" s="343" t="n"/>
      <c r="AX102" s="732" t="n"/>
      <c r="AY102" s="5598">
        <f>AY99&amp;AY100&amp;AY101</f>
        <v/>
      </c>
      <c r="AZ102" s="4984" t="n"/>
      <c r="BA102" s="4984" t="n"/>
      <c r="BB102" s="4984" t="n"/>
      <c r="BC102" s="4984" t="n"/>
      <c r="BD102" s="4984" t="n"/>
      <c r="BE102" s="4984" t="n"/>
      <c r="BF102" s="11602" t="n"/>
      <c r="BG102" s="11602" t="n"/>
      <c r="BH102" s="4025" t="n"/>
      <c r="BI102" s="740" t="n"/>
      <c r="BJ102" s="740" t="n"/>
      <c r="BK102" s="740" t="n"/>
      <c r="BL102" s="740" t="n"/>
      <c r="BM102" s="11602" t="n"/>
      <c r="BN102" s="11602" t="n"/>
      <c r="BO102" s="11602" t="n"/>
      <c r="BP102" s="11602" t="n"/>
      <c r="BQ102" s="11602" t="n"/>
      <c r="BR102" s="11602" t="n"/>
      <c r="BS102" s="11602" t="n"/>
      <c r="BT102" s="11704" t="n"/>
      <c r="BU102" s="658" t="n"/>
      <c r="BV102" s="658" t="n"/>
      <c r="BW102" s="658" t="n"/>
      <c r="BX102" s="658" t="n"/>
      <c r="BY102" s="658" t="n"/>
      <c r="BZ102" s="658" t="n"/>
      <c r="CA102" s="658" t="n"/>
      <c r="CB102" s="658" t="n"/>
      <c r="CC102" s="658" t="n"/>
      <c r="CD102" s="658" t="n"/>
      <c r="CE102" s="658" t="n"/>
      <c r="CF102" s="658" t="n"/>
    </row>
    <row r="103" ht="14.25" customHeight="1" s="7635">
      <c r="A103" s="139" t="n"/>
      <c r="B103" s="11769" t="n"/>
      <c r="C103" s="11761" t="inlineStr">
        <is>
          <t>12a, 12b, 12c,</t>
        </is>
      </c>
      <c r="D103" s="11770" t="n"/>
      <c r="E103" s="11771" t="n"/>
      <c r="F103" s="1888" t="n">
        <v>23</v>
      </c>
      <c r="G103" s="1417" t="n"/>
      <c r="H103" s="1889" t="inlineStr">
        <is>
          <t>Other taxes, including self-employment tax, from Schedule 2, line 21</t>
        </is>
      </c>
      <c r="I103" s="1876" t="n"/>
      <c r="J103" s="1876" t="n"/>
      <c r="K103" s="1876" t="n"/>
      <c r="L103" s="1876" t="n"/>
      <c r="M103" s="1876" t="n"/>
      <c r="N103" s="1876" t="n"/>
      <c r="O103" s="1876" t="n"/>
      <c r="P103" s="1876" t="n"/>
      <c r="Q103" s="1876" t="n"/>
      <c r="R103" s="1876" t="n"/>
      <c r="S103" s="1876" t="n"/>
      <c r="T103" s="1876" t="n"/>
      <c r="U103" s="1876" t="n"/>
      <c r="V103" s="1876" t="n"/>
      <c r="W103" s="1876" t="n"/>
      <c r="X103" s="1876" t="n"/>
      <c r="Y103" s="1876" t="n"/>
      <c r="Z103" s="1876" t="n"/>
      <c r="AA103" s="1876" t="n"/>
      <c r="AB103" s="1876" t="n"/>
      <c r="AC103" s="1876" t="n"/>
      <c r="AD103" s="1876" t="n"/>
      <c r="AE103" s="1876" t="n"/>
      <c r="AF103" s="1876" t="n"/>
      <c r="AG103" s="1876" t="n"/>
      <c r="AH103" s="1876" t="n"/>
      <c r="AI103" s="1876" t="n"/>
      <c r="AJ103" s="11744" t="inlineStr">
        <is>
          <t xml:space="preserve">.   .   .   .   .   .   .   .   .   .   .   .   .   . </t>
        </is>
      </c>
      <c r="AK103" s="1926">
        <f>F103</f>
        <v/>
      </c>
      <c r="AL103" s="7090">
        <f>IF(AX103&lt;&gt;"",ROUND(AX103,0),TotalOtherTaxes)</f>
        <v/>
      </c>
      <c r="AM103" s="8412" t="n"/>
      <c r="AN103" s="8412" t="n"/>
      <c r="AO103" s="8412" t="n"/>
      <c r="AP103" s="8412" t="n"/>
      <c r="AQ103" s="8412" t="n"/>
      <c r="AR103" s="8412" t="n"/>
      <c r="AS103" s="1918" t="n"/>
      <c r="AT103" s="805" t="n"/>
      <c r="AU103" s="4062" t="n"/>
      <c r="AV103" s="4062" t="n"/>
      <c r="AW103" s="4063" t="n"/>
      <c r="AX103" s="731" t="n"/>
      <c r="AY103" s="4058" t="n"/>
      <c r="AZ103" s="4984" t="n"/>
      <c r="BA103" s="4984" t="n"/>
      <c r="BB103" s="4984" t="n"/>
      <c r="BC103" s="4984" t="n"/>
      <c r="BD103" s="4984" t="n"/>
      <c r="BE103" s="4984" t="n"/>
      <c r="BF103" s="4025" t="n"/>
      <c r="BG103" s="4025" t="n"/>
      <c r="BH103" s="11602" t="n"/>
      <c r="BI103" s="11602" t="n"/>
      <c r="BJ103" s="11602" t="n"/>
      <c r="BK103" s="11602" t="n"/>
      <c r="BL103" s="11602" t="n"/>
      <c r="BM103" s="11602" t="n"/>
      <c r="BN103" s="11602" t="n"/>
      <c r="BO103" s="11602" t="n"/>
      <c r="BP103" s="11602" t="n"/>
      <c r="BQ103" s="11602" t="n"/>
      <c r="BR103" s="11602" t="n"/>
      <c r="BS103" s="11602" t="n"/>
      <c r="BT103" s="11704" t="n"/>
      <c r="BU103" s="658" t="n"/>
      <c r="BV103" s="658" t="n"/>
      <c r="BW103" s="658" t="n"/>
      <c r="BX103" s="658" t="n"/>
      <c r="BY103" s="658" t="n"/>
      <c r="BZ103" s="658" t="n"/>
      <c r="CA103" s="658" t="n"/>
      <c r="CB103" s="658" t="n"/>
      <c r="CC103" s="658" t="n"/>
      <c r="CD103" s="658" t="n"/>
      <c r="CE103" s="658" t="n"/>
      <c r="CF103" s="658" t="n"/>
    </row>
    <row r="104" ht="14.25" customHeight="1" s="7635">
      <c r="A104" s="139" t="n"/>
      <c r="B104" s="11772" t="n"/>
      <c r="C104" s="11773" t="inlineStr">
        <is>
          <t>or 12d, see instr.</t>
        </is>
      </c>
      <c r="D104" s="11774" t="n"/>
      <c r="E104" s="11752" t="n"/>
      <c r="F104" s="4014" t="n">
        <v>24</v>
      </c>
      <c r="G104" s="1932" t="n"/>
      <c r="H104" s="5865" t="inlineStr">
        <is>
          <t>Add lines 22 and 23. This is your total tax</t>
        </is>
      </c>
      <c r="I104" s="1933" t="n"/>
      <c r="J104" s="1933" t="n"/>
      <c r="K104" s="1933" t="n"/>
      <c r="L104" s="1933" t="n"/>
      <c r="M104" s="1933" t="n"/>
      <c r="N104" s="1933" t="n"/>
      <c r="O104" s="1933" t="n"/>
      <c r="P104" s="1933" t="n"/>
      <c r="Q104" s="1933" t="n"/>
      <c r="R104" s="1933" t="n"/>
      <c r="S104" s="1933" t="n"/>
      <c r="T104" s="1933" t="n"/>
      <c r="U104" s="1933" t="n"/>
      <c r="V104" s="1933" t="n"/>
      <c r="W104" s="1933" t="n"/>
      <c r="X104" s="1933" t="n"/>
      <c r="Y104" s="1933" t="n"/>
      <c r="Z104" s="1933" t="n"/>
      <c r="AA104" s="1933" t="n"/>
      <c r="AB104" s="1933" t="n"/>
      <c r="AC104" s="1933" t="n"/>
      <c r="AD104" s="1933" t="n"/>
      <c r="AE104" s="1933" t="n"/>
      <c r="AF104" s="1933" t="n"/>
      <c r="AG104" s="1933" t="n"/>
      <c r="AH104" s="1933" t="n"/>
      <c r="AI104" s="1933" t="n"/>
      <c r="AJ104" s="11775" t="inlineStr">
        <is>
          <t xml:space="preserve">.   .   .   .   .   .   .   .   .   .   .   .   .   .   .   .   .   .   .   .   .   .   . </t>
        </is>
      </c>
      <c r="AK104" s="1926">
        <f>F104</f>
        <v/>
      </c>
      <c r="AL104" s="7090">
        <f>SUM(AL102,AL103)</f>
        <v/>
      </c>
      <c r="AM104" s="8412" t="n"/>
      <c r="AN104" s="8412" t="n"/>
      <c r="AO104" s="8412" t="n"/>
      <c r="AP104" s="8412" t="n"/>
      <c r="AQ104" s="8412" t="n"/>
      <c r="AR104" s="8412" t="n"/>
      <c r="AS104" s="1918" t="n"/>
      <c r="AT104" s="805" t="n"/>
      <c r="AU104" s="4061" t="n"/>
      <c r="AV104" s="1059" t="n"/>
      <c r="AW104" s="343" t="n"/>
      <c r="AX104" s="4007" t="n"/>
      <c r="AY104" s="4058" t="n"/>
      <c r="AZ104" s="11602" t="n"/>
      <c r="BA104" s="11602" t="n"/>
      <c r="BB104" s="11602" t="n"/>
      <c r="BC104" s="11602" t="n"/>
      <c r="BD104" s="11602" t="n"/>
      <c r="BE104" s="11602" t="n"/>
      <c r="BF104" s="11602" t="n"/>
      <c r="BG104" s="11602" t="n"/>
      <c r="BH104" s="11602" t="n"/>
      <c r="BI104" s="11602" t="n"/>
      <c r="BJ104" s="11602" t="n"/>
      <c r="BK104" s="11602" t="n"/>
      <c r="BL104" s="11602" t="n"/>
      <c r="BM104" s="11602" t="n"/>
      <c r="BN104" s="11602" t="n"/>
      <c r="BO104" s="11602" t="n"/>
      <c r="BP104" s="11602" t="n"/>
      <c r="BQ104" s="11602" t="n"/>
      <c r="BR104" s="11602" t="n"/>
      <c r="BS104" s="11602" t="n"/>
      <c r="BT104" s="11704" t="n"/>
      <c r="BU104" s="658" t="n"/>
      <c r="BV104" s="658" t="n"/>
      <c r="BW104" s="658" t="n"/>
      <c r="BX104" s="658" t="n"/>
      <c r="BY104" s="658" t="n"/>
      <c r="BZ104" s="658" t="n"/>
      <c r="CA104" s="658" t="n"/>
      <c r="CB104" s="658" t="n"/>
      <c r="CC104" s="658" t="n"/>
      <c r="CD104" s="658" t="n"/>
      <c r="CE104" s="658" t="n"/>
      <c r="CF104" s="658" t="n"/>
    </row>
    <row r="105" ht="14.25" customHeight="1" s="7635">
      <c r="A105" s="139" t="n"/>
      <c r="B105" s="7152" t="inlineStr">
        <is>
          <t>Payments
and 
Refundable
Credits</t>
        </is>
      </c>
      <c r="C105" s="7839" t="n"/>
      <c r="D105" s="7839" t="n"/>
      <c r="E105" s="229" t="n"/>
      <c r="F105" s="1888" t="n">
        <v>25</v>
      </c>
      <c r="G105" s="1417" t="n"/>
      <c r="H105" s="1889" t="inlineStr">
        <is>
          <t>Federal income tax withheld from:</t>
        </is>
      </c>
      <c r="I105" s="1876" t="n"/>
      <c r="J105" s="1876" t="n"/>
      <c r="K105" s="1876" t="n"/>
      <c r="L105" s="1876" t="n"/>
      <c r="M105" s="1876" t="n"/>
      <c r="N105" s="1876" t="n"/>
      <c r="O105" s="1876" t="n"/>
      <c r="P105" s="1876" t="n"/>
      <c r="Q105" s="1876" t="n"/>
      <c r="R105" s="1876" t="n"/>
      <c r="S105" s="1876" t="n"/>
      <c r="T105" s="1876" t="n"/>
      <c r="U105" s="1876" t="n"/>
      <c r="V105" s="1876" t="n"/>
      <c r="W105" s="1876" t="n"/>
      <c r="X105" s="1876" t="n"/>
      <c r="Y105" s="1876" t="n"/>
      <c r="Z105" s="1876" t="n"/>
      <c r="AA105" s="1876" t="n"/>
      <c r="AB105" s="1876" t="n"/>
      <c r="AC105" s="1876" t="n"/>
      <c r="AD105" s="1876" t="n"/>
      <c r="AE105" s="1876" t="n"/>
      <c r="AF105" s="1876" t="n"/>
      <c r="AG105" s="1876" t="n"/>
      <c r="AH105" s="1876" t="n"/>
      <c r="AI105" s="1876" t="n"/>
      <c r="AJ105" s="11744" t="n"/>
      <c r="AK105" s="7359" t="n"/>
      <c r="AL105" s="7315" t="n"/>
      <c r="AM105" s="7316" t="n"/>
      <c r="AN105" s="7316" t="n"/>
      <c r="AO105" s="7316" t="n"/>
      <c r="AP105" s="7316" t="n"/>
      <c r="AQ105" s="7316" t="n"/>
      <c r="AR105" s="7316" t="n"/>
      <c r="AS105" s="1918" t="n"/>
      <c r="AT105" s="805" t="n"/>
      <c r="AU105" s="4061" t="n"/>
      <c r="AV105" s="1059" t="n"/>
      <c r="AW105" s="343" t="n"/>
      <c r="AX105" s="4010" t="n"/>
      <c r="AY105" s="4065" t="n"/>
      <c r="AZ105" s="11602" t="n"/>
      <c r="BA105" s="11602" t="n"/>
      <c r="BB105" s="11602" t="n"/>
      <c r="BC105" s="11602" t="n"/>
      <c r="BD105" s="11602" t="n"/>
      <c r="BE105" s="11602" t="n"/>
      <c r="BF105" s="11602" t="n"/>
      <c r="BG105" s="11602" t="n"/>
      <c r="BH105" s="11602" t="n"/>
      <c r="BI105" s="11602" t="n"/>
      <c r="BJ105" s="11602" t="n"/>
      <c r="BK105" s="11602" t="n"/>
      <c r="BL105" s="11602" t="n"/>
      <c r="BM105" s="11602" t="n"/>
      <c r="BN105" s="11602" t="n"/>
      <c r="BO105" s="11602" t="n"/>
      <c r="BP105" s="11602" t="n"/>
      <c r="BQ105" s="11602" t="n"/>
      <c r="BR105" s="11602" t="n"/>
      <c r="BS105" s="11602" t="n"/>
      <c r="BT105" s="11704" t="n"/>
      <c r="BU105" s="658" t="n"/>
      <c r="BV105" s="658" t="n"/>
      <c r="BW105" s="658" t="n"/>
      <c r="BX105" s="658" t="n"/>
      <c r="BY105" s="658" t="n"/>
      <c r="BZ105" s="658" t="n"/>
      <c r="CA105" s="658" t="n"/>
      <c r="CB105" s="658" t="n"/>
      <c r="CC105" s="658" t="n"/>
      <c r="CD105" s="658" t="n"/>
      <c r="CE105" s="658" t="n"/>
      <c r="CF105" s="658" t="n"/>
    </row>
    <row r="106" ht="14.25" customHeight="1" s="7635">
      <c r="A106" s="139" t="n"/>
      <c r="E106" s="7192" t="n"/>
      <c r="F106" s="1888" t="n"/>
      <c r="G106" s="1930" t="inlineStr">
        <is>
          <t>a</t>
        </is>
      </c>
      <c r="H106" s="1889" t="inlineStr">
        <is>
          <t>Form(s) W-2</t>
        </is>
      </c>
      <c r="I106" s="1876" t="n"/>
      <c r="J106" s="1876" t="n"/>
      <c r="K106" s="1876" t="n"/>
      <c r="L106" s="1876" t="n"/>
      <c r="M106" s="1876" t="n"/>
      <c r="N106" s="1876" t="n"/>
      <c r="O106" s="1876" t="n"/>
      <c r="P106" s="1876" t="n"/>
      <c r="Q106" s="1876" t="n"/>
      <c r="R106" s="1876" t="n"/>
      <c r="S106" s="1876" t="n"/>
      <c r="T106" s="1876" t="n"/>
      <c r="U106" s="1876" t="n"/>
      <c r="V106" s="1876" t="n"/>
      <c r="W106" s="1876" t="n"/>
      <c r="X106" s="1876" t="n"/>
      <c r="Y106" s="1876" t="n"/>
      <c r="Z106" s="1876" t="n"/>
      <c r="AA106" s="1876" t="n"/>
      <c r="AB106" s="1876" t="n"/>
      <c r="AC106" s="1876" t="n"/>
      <c r="AD106" s="11744" t="inlineStr">
        <is>
          <t xml:space="preserve">.   .   .   .   .   .   .   .   .   .   .   .   .   .   .   .   .   .   .   .   .   .   .   .   . </t>
        </is>
      </c>
      <c r="AE106" s="4066" t="inlineStr">
        <is>
          <t>25a</t>
        </is>
      </c>
      <c r="AF106" s="11776">
        <f>IF(AX106&lt;&gt;"",ROUND(AX106,0),W2_Tax_Withheld)</f>
        <v/>
      </c>
      <c r="AG106" s="7637" t="n"/>
      <c r="AH106" s="7637" t="n"/>
      <c r="AI106" s="7637" t="n"/>
      <c r="AJ106" s="7638" t="n"/>
      <c r="AK106" s="7359" t="n"/>
      <c r="AL106" s="1937" t="n"/>
      <c r="AM106" s="1938" t="n"/>
      <c r="AN106" s="1938" t="n"/>
      <c r="AO106" s="1938" t="n"/>
      <c r="AP106" s="1938" t="n"/>
      <c r="AQ106" s="1938" t="n"/>
      <c r="AR106" s="1938" t="n"/>
      <c r="AS106" s="1918" t="n"/>
      <c r="AT106" s="805" t="n"/>
      <c r="AU106" s="4067" t="n"/>
      <c r="AV106" s="4067" t="n"/>
      <c r="AW106" s="4068" t="n"/>
      <c r="AX106" s="732" t="n"/>
      <c r="AY106" s="11777" t="n"/>
      <c r="AZ106" s="11602" t="n"/>
      <c r="BA106" s="11602" t="n"/>
      <c r="BB106" s="11602" t="n"/>
      <c r="BC106" s="11602" t="n"/>
      <c r="BD106" s="11602" t="n"/>
      <c r="BE106" s="11602" t="n"/>
      <c r="BF106" s="11602" t="n"/>
      <c r="BG106" s="11602" t="n"/>
      <c r="BH106" s="11602" t="n"/>
      <c r="BI106" s="11602" t="n"/>
      <c r="BJ106" s="11602" t="n"/>
      <c r="BK106" s="11602" t="n"/>
      <c r="BL106" s="11602" t="n"/>
      <c r="BM106" s="11602" t="n"/>
      <c r="BN106" s="11602" t="n"/>
      <c r="BO106" s="11602" t="n"/>
      <c r="BP106" s="11602" t="n"/>
      <c r="BQ106" s="11602" t="n"/>
      <c r="BR106" s="11602" t="n"/>
      <c r="BS106" s="11602" t="n"/>
      <c r="BT106" s="11704" t="n"/>
      <c r="BU106" s="658" t="n"/>
      <c r="BV106" s="658" t="n"/>
      <c r="BW106" s="658" t="n"/>
      <c r="BX106" s="658" t="n"/>
      <c r="BY106" s="658" t="n"/>
      <c r="BZ106" s="658" t="n"/>
      <c r="CA106" s="658" t="n"/>
      <c r="CB106" s="658" t="n"/>
      <c r="CC106" s="658" t="n"/>
      <c r="CD106" s="658" t="n"/>
      <c r="CE106" s="658" t="n"/>
      <c r="CF106" s="658" t="n"/>
    </row>
    <row r="107" ht="14.25" customHeight="1" s="7635">
      <c r="A107" s="139" t="n"/>
      <c r="E107" s="229" t="n"/>
      <c r="F107" s="1888" t="n"/>
      <c r="G107" s="1930" t="inlineStr">
        <is>
          <t>b</t>
        </is>
      </c>
      <c r="H107" s="1889" t="inlineStr">
        <is>
          <t>Form(s) 1099</t>
        </is>
      </c>
      <c r="I107" s="1876" t="n"/>
      <c r="J107" s="1876" t="n"/>
      <c r="K107" s="1876" t="n"/>
      <c r="L107" s="1876" t="n"/>
      <c r="M107" s="1876" t="n"/>
      <c r="N107" s="1876" t="n"/>
      <c r="O107" s="1876" t="n"/>
      <c r="P107" s="1876" t="n"/>
      <c r="Q107" s="1876" t="n"/>
      <c r="R107" s="1876" t="n"/>
      <c r="S107" s="1876" t="n"/>
      <c r="T107" s="1876" t="n"/>
      <c r="U107" s="1876" t="n"/>
      <c r="V107" s="1876" t="n"/>
      <c r="W107" s="1876" t="n"/>
      <c r="X107" s="1876" t="n"/>
      <c r="Y107" s="1876" t="n"/>
      <c r="Z107" s="1876" t="n"/>
      <c r="AA107" s="1876" t="n"/>
      <c r="AB107" s="1876" t="n"/>
      <c r="AC107" s="1876" t="n"/>
      <c r="AD107" s="11744" t="inlineStr">
        <is>
          <t xml:space="preserve">.   .   .   .   .   .   .   .   .   .   .   .   .   .   .   .   .   .   .   .   .   .   .   .   . </t>
        </is>
      </c>
      <c r="AE107" s="4075" t="inlineStr">
        <is>
          <t>25b</t>
        </is>
      </c>
      <c r="AF107" s="11778">
        <f>IF(AX107&lt;&gt;"",ROUND(AX107,0),SUM(F1099INT_FedTaxWH,F1099DIV_FedTaxWH,F1099G_FedTaxWH,F1099NEC_FedTaxWH,IRA_FedTaxWH,PA_FedTaxWH,CONV_FedTaxWH,SS_FedTaxWH_You,SS_FedTaxWH_Spouse,ROUND(AU107,0)))</f>
        <v/>
      </c>
      <c r="AG107" s="8412" t="n"/>
      <c r="AH107" s="8412" t="n"/>
      <c r="AI107" s="8412" t="n"/>
      <c r="AJ107" s="11734" t="n"/>
      <c r="AK107" s="7359" t="n"/>
      <c r="AL107" s="1937" t="n"/>
      <c r="AM107" s="1938" t="n"/>
      <c r="AN107" s="1938" t="n"/>
      <c r="AO107" s="1938" t="n"/>
      <c r="AP107" s="1938" t="n"/>
      <c r="AQ107" s="1938" t="n"/>
      <c r="AR107" s="1938" t="n"/>
      <c r="AS107" s="1918" t="n"/>
      <c r="AT107" s="727" t="n"/>
      <c r="AU107" s="7570" t="n"/>
      <c r="AV107" s="1664" t="n"/>
      <c r="AW107" s="4076" t="inlineStr">
        <is>
          <t>25b (add)</t>
        </is>
      </c>
      <c r="AX107" s="731" t="n"/>
      <c r="AY107" s="851" t="n"/>
      <c r="AZ107" s="11602" t="n"/>
      <c r="BA107" s="11602" t="n"/>
      <c r="BB107" s="11602" t="n"/>
      <c r="BC107" s="11602" t="n"/>
      <c r="BD107" s="11602" t="n"/>
      <c r="BE107" s="11602" t="n"/>
      <c r="BF107" s="11602" t="n"/>
      <c r="BG107" s="11602" t="n"/>
      <c r="BH107" s="11602" t="n"/>
      <c r="BI107" s="11602" t="n"/>
      <c r="BJ107" s="11602" t="n"/>
      <c r="BK107" s="11602" t="n"/>
      <c r="BL107" s="11602" t="n"/>
      <c r="BM107" s="11602" t="n"/>
      <c r="BN107" s="11602" t="n"/>
      <c r="BO107" s="11602" t="n"/>
      <c r="BP107" s="11602" t="n"/>
      <c r="BQ107" s="11602" t="n"/>
      <c r="BR107" s="11602" t="n"/>
      <c r="BS107" s="11602" t="n"/>
      <c r="BT107" s="11704" t="n"/>
      <c r="BU107" s="658" t="n"/>
      <c r="BV107" s="658" t="n"/>
      <c r="BW107" s="658" t="n"/>
      <c r="BX107" s="658" t="n"/>
      <c r="BY107" s="658" t="n"/>
      <c r="BZ107" s="658" t="n"/>
      <c r="CA107" s="658" t="n"/>
      <c r="CB107" s="658" t="n"/>
      <c r="CC107" s="658" t="n"/>
      <c r="CD107" s="658" t="n"/>
      <c r="CE107" s="658" t="n"/>
      <c r="CF107" s="658" t="n"/>
    </row>
    <row r="108" ht="14.25" customHeight="1" s="7635">
      <c r="A108" s="139" t="n"/>
      <c r="E108" s="5823" t="n"/>
      <c r="F108" s="1888" t="n"/>
      <c r="G108" s="1930" t="inlineStr">
        <is>
          <t>c</t>
        </is>
      </c>
      <c r="H108" s="1889" t="inlineStr">
        <is>
          <t>Other forms (see instructions)</t>
        </is>
      </c>
      <c r="I108" s="1876" t="n"/>
      <c r="J108" s="1876" t="n"/>
      <c r="K108" s="1876" t="n"/>
      <c r="L108" s="1876" t="n"/>
      <c r="M108" s="1876" t="n"/>
      <c r="N108" s="1876" t="n"/>
      <c r="O108" s="1876" t="n"/>
      <c r="P108" s="1876" t="n"/>
      <c r="Q108" s="1876" t="n"/>
      <c r="R108" s="1876" t="n"/>
      <c r="S108" s="1876" t="n"/>
      <c r="T108" s="1876" t="n"/>
      <c r="U108" s="1876" t="n"/>
      <c r="V108" s="1876" t="n"/>
      <c r="W108" s="1876" t="n"/>
      <c r="X108" s="1876" t="n"/>
      <c r="Y108" s="1876" t="n"/>
      <c r="Z108" s="1876" t="n"/>
      <c r="AA108" s="1876" t="n"/>
      <c r="AB108" s="1876" t="n"/>
      <c r="AC108" s="1876" t="n"/>
      <c r="AD108" s="11744" t="inlineStr">
        <is>
          <t xml:space="preserve">.   .   .   .   .   .   .   .   .   .   .   .   .   .   .   .   .   .   . </t>
        </is>
      </c>
      <c r="AE108" s="4075" t="inlineStr">
        <is>
          <t>25c</t>
        </is>
      </c>
      <c r="AF108" s="11778">
        <f>IF(AX108&lt;&gt;"",ROUND(AX108,0),SUM(F8959_WH,ROUND(AU108,0)))</f>
        <v/>
      </c>
      <c r="AG108" s="8412" t="n"/>
      <c r="AH108" s="8412" t="n"/>
      <c r="AI108" s="8412" t="n"/>
      <c r="AJ108" s="11734" t="n"/>
      <c r="AK108" s="7359" t="n"/>
      <c r="AL108" s="1937" t="n"/>
      <c r="AM108" s="1938" t="n"/>
      <c r="AN108" s="1938" t="n"/>
      <c r="AO108" s="1938" t="n"/>
      <c r="AP108" s="1938" t="n"/>
      <c r="AQ108" s="1938" t="n"/>
      <c r="AR108" s="1938" t="n"/>
      <c r="AS108" s="1918" t="n"/>
      <c r="AT108" s="727" t="n"/>
      <c r="AU108" s="7570" t="n"/>
      <c r="AV108" s="1664" t="n"/>
      <c r="AW108" s="4076" t="inlineStr">
        <is>
          <t>25c (add)</t>
        </is>
      </c>
      <c r="AX108" s="731" t="n"/>
      <c r="AY108" s="851" t="n"/>
      <c r="AZ108" s="11602" t="n"/>
      <c r="BA108" s="11602" t="n"/>
      <c r="BB108" s="11602" t="n"/>
      <c r="BC108" s="11602" t="n"/>
      <c r="BD108" s="11602" t="n"/>
      <c r="BE108" s="11602" t="n"/>
      <c r="BF108" s="11602" t="n"/>
      <c r="BG108" s="11602" t="n"/>
      <c r="BH108" s="11602" t="n"/>
      <c r="BI108" s="11602" t="n"/>
      <c r="BJ108" s="11602" t="n"/>
      <c r="BK108" s="11602" t="n"/>
      <c r="BL108" s="11602" t="n"/>
      <c r="BM108" s="11602" t="n"/>
      <c r="BN108" s="11602" t="n"/>
      <c r="BO108" s="11602" t="n"/>
      <c r="BP108" s="11602" t="n"/>
      <c r="BQ108" s="11602" t="n"/>
      <c r="BR108" s="11602" t="n"/>
      <c r="BS108" s="11602" t="n"/>
      <c r="BT108" s="11704" t="n"/>
      <c r="BU108" s="658" t="n"/>
      <c r="BV108" s="658" t="n"/>
      <c r="BW108" s="658" t="n"/>
      <c r="BX108" s="658" t="n"/>
      <c r="BY108" s="658" t="n"/>
      <c r="BZ108" s="658" t="n"/>
      <c r="CA108" s="658" t="n"/>
      <c r="CB108" s="658" t="n"/>
      <c r="CC108" s="658" t="n"/>
      <c r="CD108" s="658" t="n"/>
      <c r="CE108" s="658" t="n"/>
      <c r="CF108" s="658" t="n"/>
    </row>
    <row r="109" ht="14.25" customHeight="1" s="7635">
      <c r="A109" s="139" t="n"/>
      <c r="E109" s="5823" t="n"/>
      <c r="F109" s="1888" t="n"/>
      <c r="G109" s="1930" t="inlineStr">
        <is>
          <t>d</t>
        </is>
      </c>
      <c r="H109" s="1889" t="inlineStr">
        <is>
          <t>Add lines 25a through 25c</t>
        </is>
      </c>
      <c r="I109" s="1876" t="n"/>
      <c r="J109" s="1876" t="n"/>
      <c r="K109" s="1876" t="n"/>
      <c r="L109" s="1876" t="n"/>
      <c r="M109" s="1876" t="n"/>
      <c r="N109" s="1876" t="n"/>
      <c r="O109" s="1876" t="n"/>
      <c r="P109" s="1876" t="n"/>
      <c r="Q109" s="1876" t="n"/>
      <c r="R109" s="1876" t="n"/>
      <c r="S109" s="1876" t="n"/>
      <c r="T109" s="1876" t="n"/>
      <c r="U109" s="1876" t="n"/>
      <c r="V109" s="1876" t="n"/>
      <c r="W109" s="1876" t="n"/>
      <c r="X109" s="1876" t="n"/>
      <c r="Y109" s="1876" t="n"/>
      <c r="Z109" s="1876" t="n"/>
      <c r="AA109" s="1876" t="n"/>
      <c r="AB109" s="1876" t="n"/>
      <c r="AC109" s="1876" t="n"/>
      <c r="AD109" s="1876" t="n"/>
      <c r="AE109" s="1876" t="n"/>
      <c r="AF109" s="1876" t="n"/>
      <c r="AG109" s="1876" t="n"/>
      <c r="AH109" s="1876" t="n"/>
      <c r="AI109" s="1876" t="n"/>
      <c r="AJ109" s="11744" t="inlineStr">
        <is>
          <t xml:space="preserve">.   .   .   .   .   .   .   .   .   .   .   .   .   .   .   .   .   .   .   .   .   .   .   .   .   .   .   .   .   . </t>
        </is>
      </c>
      <c r="AK109" s="1877" t="inlineStr">
        <is>
          <t>25d</t>
        </is>
      </c>
      <c r="AL109" s="7090">
        <f>SUM(W2_FedTaxWH,F1099_FedTaxWH,ROUND(AF108,0))</f>
        <v/>
      </c>
      <c r="AM109" s="8412" t="n"/>
      <c r="AN109" s="8412" t="n"/>
      <c r="AO109" s="8412" t="n"/>
      <c r="AP109" s="8412" t="n"/>
      <c r="AQ109" s="8412" t="n"/>
      <c r="AR109" s="8412" t="n"/>
      <c r="AS109" s="1918" t="n"/>
      <c r="AT109" s="805" t="n"/>
      <c r="AU109" s="4081">
        <f>IF($AU$113&gt;0,"Form 8959, Line 24,","")</f>
        <v/>
      </c>
      <c r="AV109" s="4081" t="n"/>
      <c r="AW109" s="4081" t="n"/>
      <c r="AX109" s="4007" t="n"/>
      <c r="AY109" s="851" t="n"/>
      <c r="AZ109" s="11602" t="n"/>
      <c r="BA109" s="11602" t="n"/>
      <c r="BB109" s="11602" t="n"/>
      <c r="BC109" s="11602" t="n"/>
      <c r="BD109" s="11602" t="n"/>
      <c r="BE109" s="11602" t="n"/>
      <c r="BF109" s="11602" t="n"/>
      <c r="BG109" s="11602" t="n"/>
      <c r="BH109" s="4025" t="n"/>
      <c r="BI109" s="11602" t="n"/>
      <c r="BJ109" s="11602" t="n"/>
      <c r="BK109" s="11602" t="n"/>
      <c r="BL109" s="11602" t="n"/>
      <c r="BM109" s="11602" t="n"/>
      <c r="BN109" s="11602" t="n"/>
      <c r="BO109" s="11602" t="n"/>
      <c r="BP109" s="11602" t="n"/>
      <c r="BQ109" s="11602" t="n"/>
      <c r="BR109" s="11602" t="n"/>
      <c r="BS109" s="11602" t="n"/>
      <c r="BT109" s="11704" t="n"/>
      <c r="BU109" s="658" t="n"/>
      <c r="BV109" s="658" t="n"/>
      <c r="BW109" s="658" t="n"/>
      <c r="BX109" s="658" t="n"/>
      <c r="BY109" s="658" t="n"/>
      <c r="BZ109" s="658" t="n"/>
      <c r="CA109" s="658" t="n"/>
      <c r="CB109" s="658" t="n"/>
      <c r="CC109" s="658" t="n"/>
      <c r="CD109" s="658" t="n"/>
      <c r="CE109" s="658" t="n"/>
      <c r="CF109" s="658" t="n"/>
    </row>
    <row r="110" ht="14.25" customHeight="1" s="7635">
      <c r="A110" s="139" t="n"/>
      <c r="B110" s="229" t="n"/>
      <c r="C110" s="5823" t="n"/>
      <c r="D110" s="5823" t="n"/>
      <c r="E110" s="11752" t="n"/>
      <c r="F110" s="1888" t="n">
        <v>26</v>
      </c>
      <c r="G110" s="1417" t="n"/>
      <c r="H110" s="1889">
        <f>TaxYear&amp;" estimated tax payments and amount applied from "&amp;TaxYear-1&amp;" return"</f>
        <v/>
      </c>
      <c r="I110" s="1876" t="n"/>
      <c r="J110" s="1876" t="n"/>
      <c r="K110" s="1876" t="n"/>
      <c r="L110" s="1417" t="n"/>
      <c r="M110" s="1417" t="n"/>
      <c r="N110" s="1417" t="n"/>
      <c r="O110" s="1417" t="n"/>
      <c r="P110" s="1417" t="n"/>
      <c r="Q110" s="1417" t="n"/>
      <c r="R110" s="1417" t="n"/>
      <c r="S110" s="1417" t="n"/>
      <c r="T110" s="1417" t="n"/>
      <c r="U110" s="1417" t="n"/>
      <c r="V110" s="1417" t="n"/>
      <c r="W110" s="1417" t="n"/>
      <c r="X110" s="1876" t="n"/>
      <c r="Y110" s="1876" t="n"/>
      <c r="Z110" s="1876" t="n"/>
      <c r="AA110" s="1876" t="n"/>
      <c r="AB110" s="1876" t="n"/>
      <c r="AC110" s="1876" t="n"/>
      <c r="AD110" s="1876" t="n"/>
      <c r="AE110" s="1876" t="n"/>
      <c r="AF110" s="1876" t="n"/>
      <c r="AG110" s="1876" t="n"/>
      <c r="AH110" s="1876" t="n"/>
      <c r="AI110" s="1876" t="n"/>
      <c r="AJ110" s="11744" t="inlineStr">
        <is>
          <t xml:space="preserve">.   .   .   .   .   .   .   .   .   .   .   .   .   .   .   .   . </t>
        </is>
      </c>
      <c r="AK110" s="1877" t="n">
        <v>26</v>
      </c>
      <c r="AL110" s="7099" t="n"/>
      <c r="AM110" s="11717" t="n"/>
      <c r="AN110" s="11717" t="n"/>
      <c r="AO110" s="11717" t="n"/>
      <c r="AP110" s="11717" t="n"/>
      <c r="AQ110" s="11717" t="n"/>
      <c r="AR110" s="11717" t="n"/>
      <c r="AS110" s="1878" t="n"/>
      <c r="AT110" s="4044" t="n"/>
      <c r="AU110" s="4081">
        <f>IF($AU$113&gt;0,"&lt;&lt;&lt;     added "&amp;TEXT($AU$113,"$0")&amp;" to Line 25c.","")</f>
        <v/>
      </c>
      <c r="AV110" s="4083" t="n"/>
      <c r="AW110" s="4083" t="n"/>
      <c r="AX110" s="4008" t="n"/>
      <c r="AY110" s="851" t="n"/>
      <c r="AZ110" s="11602" t="n"/>
      <c r="BA110" s="11602" t="n"/>
      <c r="BB110" s="11602" t="n"/>
      <c r="BC110" s="11602" t="n"/>
      <c r="BD110" s="11602" t="n"/>
      <c r="BE110" s="11602" t="n"/>
      <c r="BF110" s="4025" t="n"/>
      <c r="BG110" s="4025" t="n"/>
      <c r="BH110" s="4025" t="n"/>
      <c r="BI110" s="11602" t="n"/>
      <c r="BJ110" s="11602" t="n"/>
      <c r="BK110" s="11602" t="n"/>
      <c r="BL110" s="11602" t="n"/>
      <c r="BM110" s="11602" t="n"/>
      <c r="BN110" s="11602" t="n"/>
      <c r="BO110" s="11602" t="n"/>
      <c r="BP110" s="11602" t="n"/>
      <c r="BQ110" s="11602" t="n"/>
      <c r="BR110" s="11602" t="n"/>
      <c r="BS110" s="11602" t="n"/>
      <c r="BT110" s="11704" t="n"/>
      <c r="BU110" s="658" t="n"/>
      <c r="BV110" s="658" t="n"/>
      <c r="BW110" s="658" t="n"/>
      <c r="BX110" s="658" t="n"/>
      <c r="BY110" s="658" t="n"/>
      <c r="BZ110" s="658" t="n"/>
      <c r="CA110" s="658" t="n"/>
      <c r="CB110" s="658" t="n"/>
      <c r="CC110" s="658" t="n"/>
      <c r="CD110" s="658" t="n"/>
      <c r="CE110" s="658" t="n"/>
      <c r="CF110" s="658" t="n"/>
    </row>
    <row r="111" ht="14.25" customHeight="1" s="7635">
      <c r="A111" s="139" t="n"/>
      <c r="B111" s="229" t="n"/>
      <c r="C111" s="5823" t="n"/>
      <c r="D111" s="5823" t="n"/>
      <c r="E111" s="229" t="n"/>
      <c r="F111" s="1888" t="n"/>
      <c r="G111" s="1417" t="n"/>
      <c r="H111" s="1889">
        <f>"If you made estimated tax payments with your former spouse in "&amp;TaxYear&amp;","</f>
        <v/>
      </c>
      <c r="I111" s="1876" t="n"/>
      <c r="J111" s="1876" t="n"/>
      <c r="K111" s="1876" t="n"/>
      <c r="L111" s="1417" t="n"/>
      <c r="M111" s="1417" t="n"/>
      <c r="N111" s="1417" t="n"/>
      <c r="O111" s="1417" t="n"/>
      <c r="P111" s="1417" t="n"/>
      <c r="Q111" s="1417" t="n"/>
      <c r="R111" s="1417" t="n"/>
      <c r="S111" s="1417" t="n"/>
      <c r="T111" s="1417" t="n"/>
      <c r="U111" s="1417" t="n"/>
      <c r="V111" s="1417" t="n"/>
      <c r="W111" s="1417" t="n"/>
      <c r="X111" s="1876" t="n"/>
      <c r="Y111" s="1876" t="n"/>
      <c r="Z111" s="1876" t="n"/>
      <c r="AA111" s="1876" t="n"/>
      <c r="AB111" s="1876" t="n"/>
      <c r="AC111" s="1876" t="n"/>
      <c r="AD111" s="1876" t="n"/>
      <c r="AE111" s="1876" t="n"/>
      <c r="AF111" s="1876" t="n"/>
      <c r="AG111" s="1876" t="n"/>
      <c r="AH111" s="1876" t="n"/>
      <c r="AI111" s="1876" t="n"/>
      <c r="AJ111" s="11744" t="n"/>
      <c r="AK111" s="7359" t="n"/>
      <c r="AL111" s="1899" t="n"/>
      <c r="AM111" s="1900" t="n"/>
      <c r="AN111" s="1900" t="n"/>
      <c r="AO111" s="1900" t="n"/>
      <c r="AP111" s="1900" t="n"/>
      <c r="AQ111" s="1900" t="n"/>
      <c r="AR111" s="1900" t="n"/>
      <c r="AS111" s="1878" t="n"/>
      <c r="AT111" s="4044" t="n"/>
      <c r="AU111" s="4081" t="n"/>
      <c r="AV111" s="4083" t="n"/>
      <c r="AW111" s="4083" t="n"/>
      <c r="AX111" s="4008" t="n"/>
      <c r="AY111" s="851" t="n"/>
      <c r="AZ111" s="11602" t="n"/>
      <c r="BA111" s="11602" t="n"/>
      <c r="BB111" s="11602" t="n"/>
      <c r="BC111" s="11602" t="n"/>
      <c r="BD111" s="11602" t="n"/>
      <c r="BE111" s="11602" t="n"/>
      <c r="BF111" s="4025" t="n"/>
      <c r="BG111" s="4025" t="n"/>
      <c r="BH111" s="4025" t="n"/>
      <c r="BI111" s="5824" t="n"/>
      <c r="BJ111" s="5825" t="n"/>
      <c r="BK111" s="11602" t="n"/>
      <c r="BL111" s="11602" t="n"/>
      <c r="BM111" s="11602" t="n"/>
      <c r="BN111" s="11602" t="n"/>
      <c r="BO111" s="11602" t="n"/>
      <c r="BP111" s="11602" t="n"/>
      <c r="BQ111" s="11602" t="n"/>
      <c r="BR111" s="11602" t="n"/>
      <c r="BS111" s="11602" t="n"/>
      <c r="BT111" s="11704" t="n"/>
      <c r="BU111" s="658" t="n"/>
      <c r="BV111" s="658" t="n"/>
      <c r="BW111" s="658" t="n"/>
      <c r="BX111" s="658" t="n"/>
      <c r="BY111" s="658" t="n"/>
      <c r="BZ111" s="658" t="n"/>
      <c r="CA111" s="658" t="n"/>
      <c r="CB111" s="658" t="n"/>
      <c r="CC111" s="658" t="n"/>
      <c r="CD111" s="658" t="n"/>
      <c r="CE111" s="658" t="n"/>
      <c r="CF111" s="658" t="n"/>
    </row>
    <row r="112" ht="14.25" customHeight="1" s="7635">
      <c r="A112" s="139" t="n"/>
      <c r="B112" s="11779" t="inlineStr">
        <is>
          <t>If you have a qualifying child,
you may need to
attach Sch EIC.</t>
        </is>
      </c>
      <c r="C112" s="10091" t="n"/>
      <c r="D112" s="1931" t="n"/>
      <c r="E112" s="229" t="n"/>
      <c r="F112" s="1888" t="n"/>
      <c r="G112" s="1417" t="n"/>
      <c r="H112" s="1889" t="inlineStr">
        <is>
          <t>enter their SSN (see instructions):</t>
        </is>
      </c>
      <c r="I112" s="1876" t="n"/>
      <c r="J112" s="1876" t="n"/>
      <c r="K112" s="1876" t="n"/>
      <c r="L112" s="1417" t="n"/>
      <c r="M112" s="1417" t="n"/>
      <c r="N112" s="1417" t="n"/>
      <c r="O112" s="1876" t="n"/>
      <c r="P112" s="1417" t="n"/>
      <c r="Q112" s="1417" t="n"/>
      <c r="R112" s="11780" t="n"/>
      <c r="S112" s="11717" t="n"/>
      <c r="T112" s="11717" t="n"/>
      <c r="U112" s="11717" t="n"/>
      <c r="V112" s="11717" t="n"/>
      <c r="W112" s="11717" t="n"/>
      <c r="X112" s="1417" t="n"/>
      <c r="Y112" s="1876" t="n"/>
      <c r="Z112" s="1876" t="n"/>
      <c r="AA112" s="1876" t="n"/>
      <c r="AB112" s="1876" t="n"/>
      <c r="AC112" s="1876" t="n"/>
      <c r="AD112" s="1876" t="n"/>
      <c r="AE112" s="1876" t="n"/>
      <c r="AF112" s="1876" t="n"/>
      <c r="AG112" s="1876" t="n"/>
      <c r="AH112" s="1876" t="n"/>
      <c r="AI112" s="1876" t="n"/>
      <c r="AJ112" s="11744" t="n"/>
      <c r="AK112" s="7359" t="n"/>
      <c r="AL112" s="1899" t="n"/>
      <c r="AM112" s="1900" t="n"/>
      <c r="AN112" s="1900" t="n"/>
      <c r="AO112" s="1900" t="n"/>
      <c r="AP112" s="1900" t="n"/>
      <c r="AQ112" s="1900" t="n"/>
      <c r="AR112" s="1900" t="n"/>
      <c r="AS112" s="1878" t="n"/>
      <c r="AT112" s="4044" t="n"/>
      <c r="AU112" s="4081" t="n"/>
      <c r="AV112" s="4083" t="n"/>
      <c r="AW112" s="4083" t="n"/>
      <c r="AX112" s="4010" t="n"/>
      <c r="AY112" s="851" t="n"/>
      <c r="AZ112" s="11602" t="n"/>
      <c r="BA112" s="11602" t="n"/>
      <c r="BB112" s="11602" t="n"/>
      <c r="BC112" s="11602" t="n"/>
      <c r="BD112" s="11602" t="n"/>
      <c r="BE112" s="11602" t="n"/>
      <c r="BF112" s="4025" t="n"/>
      <c r="BG112" s="4025" t="n"/>
      <c r="BH112" s="4025" t="n"/>
      <c r="BI112" s="580" t="n"/>
      <c r="BJ112" s="580" t="n"/>
      <c r="BK112" s="580" t="n"/>
      <c r="BL112" s="11602" t="n"/>
      <c r="BM112" s="11602" t="n"/>
      <c r="BN112" s="11602" t="n"/>
      <c r="BO112" s="11602" t="n"/>
      <c r="BP112" s="11602" t="n"/>
      <c r="BQ112" s="11602" t="n"/>
      <c r="BR112" s="11602" t="n"/>
      <c r="BS112" s="11602" t="n"/>
      <c r="BT112" s="11704" t="n"/>
      <c r="BU112" s="658" t="n"/>
      <c r="BV112" s="658" t="n"/>
      <c r="BW112" s="658" t="n"/>
      <c r="BX112" s="658" t="n"/>
      <c r="BY112" s="658" t="n"/>
      <c r="BZ112" s="658" t="n"/>
      <c r="CA112" s="658" t="n"/>
      <c r="CB112" s="658" t="n"/>
      <c r="CC112" s="658" t="n"/>
      <c r="CD112" s="658" t="n"/>
      <c r="CE112" s="658" t="n"/>
      <c r="CF112" s="658" t="n"/>
    </row>
    <row r="113" ht="14.25" customHeight="1" s="7635">
      <c r="A113" s="139" t="n"/>
      <c r="B113" s="4772" t="n"/>
      <c r="C113" s="7636" t="n"/>
      <c r="D113" s="1940" t="n"/>
      <c r="E113" s="1940" t="n"/>
      <c r="F113" s="4038" t="n">
        <v>27</v>
      </c>
      <c r="G113" s="4039" t="inlineStr">
        <is>
          <t>a</t>
        </is>
      </c>
      <c r="H113" s="1889" t="inlineStr">
        <is>
          <t>Earned income credit (EIC)</t>
        </is>
      </c>
      <c r="I113" s="1876" t="n"/>
      <c r="J113" s="1876" t="n"/>
      <c r="K113" s="1876" t="n"/>
      <c r="L113" s="1417" t="n"/>
      <c r="M113" s="1417" t="n"/>
      <c r="N113" s="1417" t="n"/>
      <c r="O113" s="1417" t="n"/>
      <c r="P113" s="1417" t="n"/>
      <c r="Q113" s="1417" t="n"/>
      <c r="R113" s="1417" t="n"/>
      <c r="S113" s="1417" t="n"/>
      <c r="T113" s="1417" t="n"/>
      <c r="U113" s="1417" t="n"/>
      <c r="V113" s="1417" t="n"/>
      <c r="W113" s="1417" t="n"/>
      <c r="X113" s="1876" t="n"/>
      <c r="Y113" s="1876" t="n"/>
      <c r="Z113" s="1876" t="n"/>
      <c r="AA113" s="1876" t="n"/>
      <c r="AB113" s="1876" t="n"/>
      <c r="AC113" s="1876" t="n"/>
      <c r="AD113" s="11744" t="inlineStr">
        <is>
          <t xml:space="preserve">.   .   .   .   .   .   .   .   .   .   .   .   .   .   .   .   .   .   .   .  </t>
        </is>
      </c>
      <c r="AE113" s="4066" t="inlineStr">
        <is>
          <t>27a</t>
        </is>
      </c>
      <c r="AF113" s="11776">
        <f>IF(AX113&lt;&gt;"",ROUND(AX113,0),IF(AI117&lt;&gt;"",0,EarnedIncomeCredit))</f>
        <v/>
      </c>
      <c r="AG113" s="7637" t="n"/>
      <c r="AH113" s="7637" t="n"/>
      <c r="AI113" s="7637" t="n"/>
      <c r="AJ113" s="7638" t="n"/>
      <c r="AK113" s="7359" t="n"/>
      <c r="AL113" s="1899" t="n"/>
      <c r="AM113" s="1900" t="n"/>
      <c r="AN113" s="1900" t="n"/>
      <c r="AO113" s="1900" t="n"/>
      <c r="AP113" s="1900" t="n"/>
      <c r="AQ113" s="1900" t="n"/>
      <c r="AR113" s="1900" t="n"/>
      <c r="AS113" s="1878" t="n"/>
      <c r="AT113" s="805" t="n"/>
      <c r="AU113" s="4086">
        <f>IF(ISERROR(F8959_WH),0,F8959_WH)</f>
        <v/>
      </c>
      <c r="AV113" s="3922" t="n"/>
      <c r="AW113" s="3922" t="n"/>
      <c r="AX113" s="732" t="n"/>
      <c r="AY113" s="5866" t="n"/>
      <c r="AZ113" s="11602" t="n"/>
      <c r="BA113" s="11602" t="n"/>
      <c r="BB113" s="11602" t="n"/>
      <c r="BC113" s="11602" t="n"/>
      <c r="BD113" s="11602" t="n"/>
      <c r="BE113" s="11602" t="n"/>
      <c r="BF113" s="7914" t="n"/>
      <c r="BG113" s="7914" t="n"/>
      <c r="BH113" s="11602" t="n"/>
      <c r="BI113" s="580" t="n"/>
      <c r="BJ113" s="580" t="n"/>
      <c r="BK113" s="580" t="n"/>
      <c r="BL113" s="11602" t="n"/>
      <c r="BM113" s="11602" t="n"/>
      <c r="BN113" s="11602" t="n"/>
      <c r="BO113" s="11602" t="n"/>
      <c r="BP113" s="11602" t="n"/>
      <c r="BQ113" s="11602" t="n"/>
      <c r="BR113" s="11602" t="n"/>
      <c r="BS113" s="11602" t="n"/>
      <c r="BT113" s="11704" t="n"/>
      <c r="BU113" s="658" t="n"/>
      <c r="BV113" s="658" t="n"/>
      <c r="BW113" s="658" t="n"/>
      <c r="BX113" s="658" t="n"/>
      <c r="BY113" s="658" t="n"/>
      <c r="BZ113" s="658" t="n"/>
      <c r="CA113" s="658" t="n"/>
      <c r="CB113" s="658" t="n"/>
      <c r="CC113" s="658" t="n"/>
      <c r="CD113" s="658" t="n"/>
      <c r="CE113" s="658" t="n"/>
      <c r="CF113" s="658" t="n"/>
    </row>
    <row r="114" ht="5.25" customHeight="1" s="7635">
      <c r="A114" s="139" t="n"/>
      <c r="B114" s="4772" t="n"/>
      <c r="C114" s="7636" t="n"/>
      <c r="D114" s="1838" t="n"/>
      <c r="E114" s="229" t="n"/>
      <c r="F114" s="1888" t="n"/>
      <c r="G114" s="1417" t="n"/>
      <c r="H114" s="1889" t="n"/>
      <c r="I114" s="1887" t="n"/>
      <c r="J114" s="1887" t="n"/>
      <c r="K114" s="1887" t="n"/>
      <c r="L114" s="1887" t="n"/>
      <c r="M114" s="1887" t="n"/>
      <c r="N114" s="1887" t="n"/>
      <c r="O114" s="1887" t="n"/>
      <c r="P114" s="1887" t="n"/>
      <c r="Q114" s="1887" t="n"/>
      <c r="R114" s="1887" t="n"/>
      <c r="S114" s="1887" t="n"/>
      <c r="T114" s="1887" t="n"/>
      <c r="U114" s="1887" t="n"/>
      <c r="V114" s="1887" t="n"/>
      <c r="W114" s="1887" t="n"/>
      <c r="X114" s="1887" t="n"/>
      <c r="Y114" s="1887" t="n"/>
      <c r="Z114" s="1887" t="n"/>
      <c r="AA114" s="1887" t="n"/>
      <c r="AB114" s="1887" t="n"/>
      <c r="AC114" s="1887" t="n"/>
      <c r="AD114" s="1887" t="n"/>
      <c r="AE114" s="1887" t="n"/>
      <c r="AF114" s="1887" t="n"/>
      <c r="AG114" s="1890" t="n"/>
      <c r="AH114" s="1890" t="n"/>
      <c r="AI114" s="1890" t="n"/>
      <c r="AJ114" s="11744" t="n"/>
      <c r="AK114" s="7359" t="n"/>
      <c r="AL114" s="1899" t="n"/>
      <c r="AM114" s="1900" t="n"/>
      <c r="AN114" s="1900" t="n"/>
      <c r="AO114" s="1900" t="n"/>
      <c r="AP114" s="1900" t="n"/>
      <c r="AQ114" s="1900" t="n"/>
      <c r="AR114" s="1900" t="n"/>
      <c r="AS114" s="1892" t="n"/>
      <c r="AT114" s="4018" t="n"/>
      <c r="AU114" s="1318" t="n"/>
      <c r="AV114" s="11602" t="n"/>
      <c r="AW114" s="512" t="n"/>
      <c r="AX114" s="4007" t="n"/>
      <c r="AY114" s="404" t="n"/>
      <c r="AZ114" s="11602" t="n"/>
      <c r="BA114" s="11602" t="n"/>
      <c r="BB114" s="11602" t="n"/>
      <c r="BC114" s="11602" t="n"/>
      <c r="BD114" s="11602" t="n"/>
      <c r="BE114" s="11602" t="n"/>
      <c r="BF114" s="11602" t="n"/>
      <c r="BG114" s="11602" t="n"/>
      <c r="BH114" s="11602" t="n"/>
      <c r="BI114" s="3824" t="n"/>
      <c r="BJ114" s="1061" t="n"/>
      <c r="BK114" s="1061" t="n"/>
      <c r="BL114" s="1061" t="n"/>
      <c r="BM114" s="3824" t="n"/>
      <c r="BN114" s="11602" t="n"/>
      <c r="BO114" s="11602" t="n"/>
      <c r="BP114" s="11602" t="n"/>
      <c r="BQ114" s="11602" t="n"/>
      <c r="BR114" s="11602" t="n"/>
      <c r="BS114" s="11602" t="n"/>
      <c r="BT114" s="11704" t="n"/>
      <c r="BU114" s="658" t="n"/>
      <c r="BV114" s="658" t="n"/>
      <c r="BW114" s="658" t="n"/>
      <c r="BX114" s="658" t="n"/>
      <c r="BY114" s="658" t="n"/>
      <c r="BZ114" s="658" t="n"/>
      <c r="CA114" s="658" t="n"/>
      <c r="CB114" s="658" t="n"/>
      <c r="CC114" s="658" t="n"/>
      <c r="CD114" s="658" t="n"/>
      <c r="CE114" s="658" t="n"/>
      <c r="CF114" s="658" t="n"/>
    </row>
    <row r="115">
      <c r="A115" s="139" t="n"/>
      <c r="B115" s="4772" t="n"/>
      <c r="C115" s="7636" t="n"/>
      <c r="D115" s="229" t="n"/>
      <c r="E115" s="229" t="n"/>
      <c r="F115" s="1888" t="n"/>
      <c r="G115" s="4040" t="inlineStr">
        <is>
          <t>b</t>
        </is>
      </c>
      <c r="H115" s="7174" t="inlineStr">
        <is>
          <t>Clergy filing Schedule SE (see instructions)</t>
        </is>
      </c>
      <c r="T115" s="1876" t="n"/>
      <c r="U115" s="1876" t="n"/>
      <c r="V115" s="1876" t="n"/>
      <c r="W115" s="1876" t="n"/>
      <c r="X115" s="1876" t="n"/>
      <c r="Y115" s="1876" t="n"/>
      <c r="Z115" s="1876" t="n"/>
      <c r="AA115" s="1876" t="n"/>
      <c r="AB115" s="1890" t="n"/>
      <c r="AC115" s="1890" t="n"/>
      <c r="AD115" s="1890" t="n"/>
      <c r="AE115" s="1890" t="n"/>
      <c r="AF115" s="1890" t="n"/>
      <c r="AG115" s="11744" t="n"/>
      <c r="AH115" s="11744" t="inlineStr">
        <is>
          <t xml:space="preserve">.   .   .   .   .   .   .   .   .   .   .   .   .   .   .   .   .   .   .   .   . </t>
        </is>
      </c>
      <c r="AI115" s="276" t="n"/>
      <c r="AJ115" s="11744" t="n"/>
      <c r="AK115" s="7359" t="n"/>
      <c r="AL115" s="1899" t="n"/>
      <c r="AM115" s="1900" t="n"/>
      <c r="AN115" s="1900" t="n"/>
      <c r="AO115" s="1900" t="n"/>
      <c r="AP115" s="1900" t="n"/>
      <c r="AQ115" s="1900" t="n"/>
      <c r="AR115" s="1900" t="n"/>
      <c r="AS115" s="1878" t="n"/>
      <c r="AT115" s="805" t="n"/>
      <c r="AU115" s="7108" t="n"/>
      <c r="AV115" s="7108" t="n"/>
      <c r="AW115" s="7109" t="n"/>
      <c r="AX115" s="4008" t="n"/>
      <c r="AY115" s="11749" t="n"/>
      <c r="AZ115" s="11602" t="n"/>
      <c r="BA115" s="11602" t="n"/>
      <c r="BB115" s="11602" t="n"/>
      <c r="BC115" s="11602" t="n"/>
      <c r="BD115" s="11602" t="n"/>
      <c r="BE115" s="11602" t="n"/>
      <c r="BF115" s="11602" t="n"/>
      <c r="BG115" s="11602" t="n"/>
      <c r="BH115" s="11602" t="n"/>
      <c r="BI115" s="3824" t="n"/>
      <c r="BJ115" s="1061" t="n"/>
      <c r="BK115" s="1061" t="n"/>
      <c r="BL115" s="1061" t="n"/>
      <c r="BM115" s="3824" t="n"/>
      <c r="BN115" s="11602" t="n"/>
      <c r="BO115" s="11602" t="n"/>
      <c r="BP115" s="11602" t="n"/>
      <c r="BQ115" s="11602" t="n"/>
      <c r="BR115" s="11602" t="n"/>
      <c r="BS115" s="4029" t="n"/>
      <c r="BT115" s="11704" t="n"/>
      <c r="BU115" s="658" t="n"/>
      <c r="BV115" s="658" t="n"/>
      <c r="BW115" s="658" t="n"/>
      <c r="BX115" s="658" t="n"/>
      <c r="BY115" s="658" t="n"/>
      <c r="BZ115" s="658" t="n"/>
      <c r="CA115" s="658" t="n"/>
      <c r="CB115" s="658" t="n"/>
      <c r="CC115" s="658" t="n"/>
      <c r="CD115" s="658" t="n"/>
      <c r="CE115" s="658" t="n"/>
      <c r="CF115" s="658" t="n"/>
    </row>
    <row r="116" ht="5.25" customHeight="1" s="7635">
      <c r="A116" s="139" t="n"/>
      <c r="B116" s="3614" t="n"/>
      <c r="C116" s="7638" t="n"/>
      <c r="D116" s="5823" t="n"/>
      <c r="E116" s="5823" t="n"/>
      <c r="F116" s="1888" t="n"/>
      <c r="G116" s="1417" t="n"/>
      <c r="T116" s="1887" t="n"/>
      <c r="U116" s="1887" t="n"/>
      <c r="V116" s="1887" t="n"/>
      <c r="W116" s="1887" t="n"/>
      <c r="X116" s="1887" t="n"/>
      <c r="Y116" s="1887" t="n"/>
      <c r="Z116" s="1887" t="n"/>
      <c r="AA116" s="1887" t="n"/>
      <c r="AB116" s="1887" t="n"/>
      <c r="AC116" s="1887" t="n"/>
      <c r="AD116" s="1887" t="n"/>
      <c r="AE116" s="1887" t="n"/>
      <c r="AF116" s="1887" t="n"/>
      <c r="AG116" s="1890" t="n"/>
      <c r="AH116" s="1890" t="n"/>
      <c r="AI116" s="1890" t="n"/>
      <c r="AJ116" s="11744" t="n"/>
      <c r="AK116" s="7359" t="n"/>
      <c r="AL116" s="1899" t="n"/>
      <c r="AM116" s="1900" t="n"/>
      <c r="AN116" s="1900" t="n"/>
      <c r="AO116" s="1900" t="n"/>
      <c r="AP116" s="1900" t="n"/>
      <c r="AQ116" s="1900" t="n"/>
      <c r="AR116" s="1900" t="n"/>
      <c r="AS116" s="1892" t="n"/>
      <c r="AT116" s="4018" t="n"/>
      <c r="AU116" s="1318" t="n"/>
      <c r="AV116" s="11602" t="n"/>
      <c r="AW116" s="512" t="n"/>
      <c r="AX116" s="4008" t="n"/>
      <c r="AY116" s="404" t="n"/>
      <c r="AZ116" s="11602" t="n"/>
      <c r="BA116" s="11602" t="n"/>
      <c r="BB116" s="11602" t="n"/>
      <c r="BC116" s="11602" t="n"/>
      <c r="BD116" s="11602" t="n"/>
      <c r="BE116" s="11602" t="n"/>
      <c r="BF116" s="11602" t="n"/>
      <c r="BG116" s="11602" t="n"/>
      <c r="BH116" s="11602" t="n"/>
      <c r="BI116" s="3824" t="n"/>
      <c r="BJ116" s="1061" t="n"/>
      <c r="BK116" s="1061" t="n"/>
      <c r="BL116" s="1061" t="n"/>
      <c r="BM116" s="3824" t="n"/>
      <c r="BN116" s="11602" t="n"/>
      <c r="BO116" s="11602" t="n"/>
      <c r="BP116" s="11602" t="n"/>
      <c r="BQ116" s="11602" t="n"/>
      <c r="BR116" s="11602" t="n"/>
      <c r="BS116" s="11602" t="n"/>
      <c r="BT116" s="11704" t="n"/>
      <c r="BU116" s="658" t="n"/>
      <c r="BV116" s="658" t="n"/>
      <c r="BW116" s="658" t="n"/>
      <c r="BX116" s="658" t="n"/>
      <c r="BY116" s="658" t="n"/>
      <c r="BZ116" s="658" t="n"/>
      <c r="CA116" s="658" t="n"/>
      <c r="CB116" s="658" t="n"/>
      <c r="CC116" s="658" t="n"/>
      <c r="CD116" s="658" t="n"/>
      <c r="CE116" s="658" t="n"/>
      <c r="CF116" s="658" t="n"/>
    </row>
    <row r="117" ht="13.5" customHeight="1" s="7635" thickBot="1">
      <c r="A117" s="139" t="n"/>
      <c r="B117" s="229" t="n"/>
      <c r="C117" s="5823" t="n"/>
      <c r="D117" s="5823" t="n"/>
      <c r="E117" s="5823" t="n"/>
      <c r="F117" s="1888" t="n"/>
      <c r="G117" s="1417" t="inlineStr">
        <is>
          <t>c</t>
        </is>
      </c>
      <c r="H117" s="1889" t="inlineStr">
        <is>
          <t>If you do not want to claim the EIC, check here</t>
        </is>
      </c>
      <c r="I117" s="1876" t="n"/>
      <c r="J117" s="1876" t="n"/>
      <c r="K117" s="1876" t="n"/>
      <c r="L117" s="1876" t="n"/>
      <c r="M117" s="1876" t="n"/>
      <c r="N117" s="1876" t="n"/>
      <c r="O117" s="1876" t="n"/>
      <c r="P117" s="1876" t="n"/>
      <c r="Q117" s="1876" t="n"/>
      <c r="R117" s="1876" t="n"/>
      <c r="S117" s="1876" t="n"/>
      <c r="T117" s="1876" t="n"/>
      <c r="U117" s="1876" t="n"/>
      <c r="V117" s="1876" t="n"/>
      <c r="W117" s="1876" t="n"/>
      <c r="X117" s="1876" t="n"/>
      <c r="Y117" s="1876" t="n"/>
      <c r="Z117" s="1876" t="n"/>
      <c r="AA117" s="1876" t="n"/>
      <c r="AB117" s="1890" t="n"/>
      <c r="AC117" s="1890" t="n"/>
      <c r="AD117" s="1890" t="n"/>
      <c r="AE117" s="1890" t="n"/>
      <c r="AF117" s="1890" t="n"/>
      <c r="AG117" s="11744" t="n"/>
      <c r="AH117" s="11744" t="inlineStr">
        <is>
          <t xml:space="preserve">.   .   .   .   .   .   .   .   .   .   .   .   .   .   .   .   .   . </t>
        </is>
      </c>
      <c r="AI117" s="276">
        <f>IF(EIC_No_Box,"X","")</f>
        <v/>
      </c>
      <c r="AJ117" s="11744" t="n"/>
      <c r="AK117" s="7359" t="n"/>
      <c r="AL117" s="1899" t="n"/>
      <c r="AM117" s="1900" t="n"/>
      <c r="AN117" s="1900" t="n"/>
      <c r="AO117" s="1900" t="n"/>
      <c r="AP117" s="1900" t="n"/>
      <c r="AQ117" s="1900" t="n"/>
      <c r="AR117" s="1900" t="n"/>
      <c r="AS117" s="1878" t="n"/>
      <c r="AT117" s="805" t="n"/>
      <c r="AU117" s="7108" t="n"/>
      <c r="AV117" s="7108" t="n"/>
      <c r="AW117" s="7109" t="n"/>
      <c r="AX117" s="4008" t="n"/>
      <c r="AY117" s="11749" t="n"/>
      <c r="AZ117" s="11602" t="n"/>
      <c r="BA117" s="11602" t="n"/>
      <c r="BB117" s="11602" t="n"/>
      <c r="BC117" s="11602" t="n"/>
      <c r="BD117" s="11602" t="n"/>
      <c r="BE117" s="11602" t="n"/>
      <c r="BF117" s="11602" t="n"/>
      <c r="BG117" s="11602" t="n"/>
      <c r="BH117" s="11602" t="n"/>
      <c r="BI117" s="344" t="n"/>
      <c r="BJ117" s="344" t="n"/>
      <c r="BK117" s="344" t="n"/>
      <c r="BL117" s="344" t="n"/>
      <c r="BM117" s="344" t="n"/>
      <c r="BN117" s="344" t="n"/>
      <c r="BO117" s="344" t="n"/>
      <c r="BP117" s="344" t="n"/>
      <c r="BQ117" s="344" t="n"/>
      <c r="BR117" s="344" t="n"/>
      <c r="BS117" s="4029" t="n"/>
      <c r="BT117" s="11704" t="n"/>
      <c r="BU117" s="658" t="n"/>
      <c r="BV117" s="658" t="n"/>
      <c r="BW117" s="658" t="n"/>
      <c r="BX117" s="658" t="n"/>
      <c r="BY117" s="658" t="n"/>
      <c r="BZ117" s="658" t="n"/>
      <c r="CA117" s="658" t="n"/>
      <c r="CB117" s="658" t="n"/>
      <c r="CC117" s="658" t="n"/>
      <c r="CD117" s="658" t="n"/>
      <c r="CE117" s="658" t="n"/>
      <c r="CF117" s="658" t="n"/>
    </row>
    <row r="118" ht="14.25" customHeight="1" s="7635">
      <c r="A118" s="139" t="n"/>
      <c r="B118" s="229" t="n"/>
      <c r="C118" s="5823" t="n"/>
      <c r="D118" s="5823" t="n"/>
      <c r="E118" s="5823" t="n"/>
      <c r="F118" s="1888" t="n">
        <v>28</v>
      </c>
      <c r="G118" s="1417" t="n"/>
      <c r="H118" s="1889" t="inlineStr">
        <is>
          <t>Additional child tax credit (ACTC) from Schedule 8812. If you do not want</t>
        </is>
      </c>
      <c r="I118" s="1876" t="n"/>
      <c r="J118" s="1876" t="n"/>
      <c r="K118" s="1876" t="n"/>
      <c r="L118" s="1876" t="n"/>
      <c r="M118" s="1876" t="n"/>
      <c r="N118" s="1876" t="n"/>
      <c r="O118" s="1876" t="n"/>
      <c r="P118" s="1876" t="n"/>
      <c r="Q118" s="1876" t="n"/>
      <c r="R118" s="1876" t="n"/>
      <c r="S118" s="1876" t="n"/>
      <c r="T118" s="1876" t="n"/>
      <c r="U118" s="1876" t="n"/>
      <c r="V118" s="1876" t="n"/>
      <c r="W118" s="1876" t="n"/>
      <c r="X118" s="1876" t="n"/>
      <c r="Y118" s="1876" t="n"/>
      <c r="Z118" s="1876" t="n"/>
      <c r="AA118" s="1876" t="n"/>
      <c r="AB118" s="1890" t="n"/>
      <c r="AC118" s="1890" t="n"/>
      <c r="AD118" s="1890" t="n"/>
      <c r="AE118" s="1890" t="n"/>
      <c r="AF118" s="1890" t="n"/>
      <c r="AG118" s="1890" t="n"/>
      <c r="AH118" s="1890" t="n"/>
      <c r="AI118" s="1890" t="n"/>
      <c r="AJ118" s="1890" t="n"/>
      <c r="AK118" s="7359" t="n"/>
      <c r="AL118" s="1899" t="n"/>
      <c r="AM118" s="1900" t="n"/>
      <c r="AN118" s="1900" t="n"/>
      <c r="AO118" s="1900" t="n"/>
      <c r="AP118" s="1900" t="n"/>
      <c r="AQ118" s="1900" t="n"/>
      <c r="AR118" s="1900" t="n"/>
      <c r="AS118" s="1878" t="n"/>
      <c r="AT118" s="805" t="n"/>
      <c r="AU118" s="7108" t="n"/>
      <c r="AV118" s="7108" t="n"/>
      <c r="AW118" s="7109" t="n"/>
      <c r="AX118" s="4008" t="n"/>
      <c r="AY118" s="11749" t="n"/>
      <c r="AZ118" s="11602" t="n"/>
      <c r="BA118" s="11602" t="n"/>
      <c r="BB118" s="11602" t="n"/>
      <c r="BC118" s="11602" t="n"/>
      <c r="BD118" s="11602" t="n"/>
      <c r="BE118" s="11602" t="n"/>
      <c r="BF118" s="11602" t="n"/>
      <c r="BG118" s="11602" t="n"/>
      <c r="BH118" s="11602" t="n"/>
      <c r="BI118" s="4069" t="n"/>
      <c r="BJ118" s="4070" t="n"/>
      <c r="BK118" s="4070" t="n"/>
      <c r="BL118" s="4071" t="inlineStr">
        <is>
          <t>Birthdate and age calculator</t>
        </is>
      </c>
      <c r="BM118" s="4070" t="n"/>
      <c r="BN118" s="4070" t="n"/>
      <c r="BO118" s="4072" t="n"/>
      <c r="BP118" s="4070" t="n"/>
      <c r="BQ118" s="4073" t="n">
        <v>1</v>
      </c>
      <c r="BR118" s="4074" t="inlineStr">
        <is>
          <t>Jan</t>
        </is>
      </c>
      <c r="BS118" s="4029" t="n"/>
      <c r="BT118" s="11704" t="n"/>
      <c r="BU118" s="658" t="n"/>
      <c r="BV118" s="658" t="n"/>
      <c r="BW118" s="658" t="n"/>
      <c r="BX118" s="658" t="n"/>
      <c r="BY118" s="658" t="n"/>
      <c r="BZ118" s="658" t="n"/>
      <c r="CA118" s="658" t="n"/>
      <c r="CB118" s="658" t="n"/>
      <c r="CC118" s="658" t="n"/>
      <c r="CD118" s="658" t="n"/>
      <c r="CE118" s="658" t="n"/>
      <c r="CF118" s="658" t="n"/>
    </row>
    <row r="119">
      <c r="A119" s="139" t="n"/>
      <c r="B119" s="229" t="n"/>
      <c r="C119" s="1939" t="n"/>
      <c r="D119" s="229" t="n"/>
      <c r="E119" s="229" t="n"/>
      <c r="F119" s="1888" t="n"/>
      <c r="G119" s="1417" t="n"/>
      <c r="H119" s="1889" t="inlineStr">
        <is>
          <t>to claim the ACTC, check here</t>
        </is>
      </c>
      <c r="I119" s="1876" t="n"/>
      <c r="J119" s="1876" t="n"/>
      <c r="K119" s="1876" t="n"/>
      <c r="L119" s="1417" t="n"/>
      <c r="M119" s="1417" t="n"/>
      <c r="N119" s="1417" t="n"/>
      <c r="O119" s="1417" t="n"/>
      <c r="P119" s="1417" t="n"/>
      <c r="Q119" s="1417" t="n"/>
      <c r="R119" s="1417" t="n"/>
      <c r="S119" s="1417" t="n"/>
      <c r="T119" s="1417" t="n"/>
      <c r="U119" s="1417" t="n"/>
      <c r="V119" s="1417" t="n"/>
      <c r="W119" s="1417" t="n"/>
      <c r="X119" s="1876" t="n"/>
      <c r="Y119" s="1876" t="n"/>
      <c r="Z119" s="1876" t="n"/>
      <c r="AA119" s="1876" t="n"/>
      <c r="AB119" s="11744" t="inlineStr">
        <is>
          <t xml:space="preserve">.   .   .   .   .   .   .   .   .   .   .   .   .   .   .  </t>
        </is>
      </c>
      <c r="AC119" s="276" t="n"/>
      <c r="AD119" s="11744" t="n"/>
      <c r="AE119" s="4075" t="n">
        <v>28</v>
      </c>
      <c r="AF119" s="11778">
        <f>IF(AX119&lt;&gt;"",ROUND(AX119,0),IF(AC119&lt;&gt;"",0,AdditionalCTC))</f>
        <v/>
      </c>
      <c r="AG119" s="8412" t="n"/>
      <c r="AH119" s="8412" t="n"/>
      <c r="AI119" s="8412" t="n"/>
      <c r="AJ119" s="11734" t="n"/>
      <c r="AK119" s="7359" t="n"/>
      <c r="AL119" s="7092">
        <f>IF(AND($AT$113="",$AW$121),"'Line 27 (EIC)'","")</f>
        <v/>
      </c>
      <c r="AS119" s="1878" t="n"/>
      <c r="AT119" s="4044" t="n"/>
      <c r="AU119" s="227" t="n"/>
      <c r="AV119" s="4068" t="n"/>
      <c r="AW119" s="4068" t="n"/>
      <c r="AX119" s="732" t="n"/>
      <c r="AY119" s="851" t="n"/>
      <c r="AZ119" s="11602" t="n"/>
      <c r="BA119" s="11602" t="n"/>
      <c r="BB119" s="11602" t="n"/>
      <c r="BC119" s="11602" t="n"/>
      <c r="BD119" s="11602" t="n"/>
      <c r="BE119" s="11602" t="n"/>
      <c r="BF119" s="11602" t="n"/>
      <c r="BG119" s="11602" t="n"/>
      <c r="BH119" s="4025" t="n"/>
      <c r="BI119" s="4077" t="n"/>
      <c r="BJ119" s="4078" t="n"/>
      <c r="BK119" s="4078" t="n"/>
      <c r="BL119" s="4078" t="n"/>
      <c r="BM119" s="4078" t="n"/>
      <c r="BN119" s="4078" t="n"/>
      <c r="BO119" s="4079" t="n"/>
      <c r="BP119" s="4078" t="n"/>
      <c r="BQ119" s="4079" t="n">
        <v>2</v>
      </c>
      <c r="BR119" s="4080" t="inlineStr">
        <is>
          <t>Feb</t>
        </is>
      </c>
      <c r="BS119" s="11602" t="n"/>
      <c r="BT119" s="11704" t="n"/>
      <c r="BU119" s="658" t="n"/>
      <c r="BV119" s="658" t="n"/>
      <c r="BW119" s="658" t="n"/>
      <c r="BX119" s="658" t="n"/>
      <c r="BY119" s="658" t="n"/>
      <c r="BZ119" s="658" t="n"/>
      <c r="CA119" s="658" t="n"/>
      <c r="CB119" s="658" t="n"/>
      <c r="CC119" s="658" t="n"/>
      <c r="CD119" s="658" t="n"/>
      <c r="CE119" s="658" t="n"/>
      <c r="CF119" s="658" t="n"/>
    </row>
    <row r="120" ht="14.25" customHeight="1" s="7635">
      <c r="A120" s="139" t="n"/>
      <c r="B120" s="229" t="n"/>
      <c r="C120" s="1939" t="n"/>
      <c r="D120" s="229" t="n"/>
      <c r="E120" s="229" t="n"/>
      <c r="F120" s="1888" t="n">
        <v>29</v>
      </c>
      <c r="G120" s="1417" t="n"/>
      <c r="H120" s="1889" t="inlineStr">
        <is>
          <t>American opportunity credit from Form 8863, line 8</t>
        </is>
      </c>
      <c r="I120" s="1876" t="n"/>
      <c r="J120" s="1876" t="n"/>
      <c r="K120" s="1876" t="n"/>
      <c r="L120" s="1417" t="n"/>
      <c r="M120" s="1417" t="n"/>
      <c r="N120" s="1417" t="n"/>
      <c r="O120" s="1417" t="n"/>
      <c r="P120" s="1417" t="n"/>
      <c r="Q120" s="1417" t="n"/>
      <c r="R120" s="1417" t="n"/>
      <c r="S120" s="1417" t="n"/>
      <c r="T120" s="1417" t="n"/>
      <c r="U120" s="1417" t="n"/>
      <c r="V120" s="1417" t="n"/>
      <c r="W120" s="1417" t="n"/>
      <c r="X120" s="1876" t="n"/>
      <c r="Y120" s="1876" t="n"/>
      <c r="Z120" s="1876" t="n"/>
      <c r="AA120" s="1876" t="n"/>
      <c r="AB120" s="1876" t="n"/>
      <c r="AC120" s="1876" t="n"/>
      <c r="AD120" s="11744" t="inlineStr">
        <is>
          <t xml:space="preserve">.   .   .   .   .   .   .   .   .   .   .   . </t>
        </is>
      </c>
      <c r="AE120" s="4075" t="n">
        <v>29</v>
      </c>
      <c r="AF120" s="11778">
        <f>IF(AX120&lt;&gt;"",ROUND(AX120,0),AO_Credit)</f>
        <v/>
      </c>
      <c r="AG120" s="8412" t="n"/>
      <c r="AH120" s="8412" t="n"/>
      <c r="AI120" s="8412" t="n"/>
      <c r="AJ120" s="11734" t="n"/>
      <c r="AK120" s="7359" t="n"/>
      <c r="AL120" s="7092">
        <f>IF(AND($AT$113="",$AW$121),"for possible earned","")</f>
        <v/>
      </c>
      <c r="AS120" s="1878" t="n"/>
      <c r="AT120" s="4044" t="n"/>
      <c r="AU120" s="227" t="n"/>
      <c r="AV120" s="3374" t="n"/>
      <c r="AW120" s="3374" t="n"/>
      <c r="AX120" s="732" t="n"/>
      <c r="AY120" s="851" t="n"/>
      <c r="AZ120" s="11602" t="n"/>
      <c r="BA120" s="11602" t="n"/>
      <c r="BB120" s="11602" t="n"/>
      <c r="BC120" s="11602" t="n"/>
      <c r="BD120" s="11602" t="n"/>
      <c r="BE120" s="11602" t="n"/>
      <c r="BF120" s="11602" t="n"/>
      <c r="BG120" s="11602" t="n"/>
      <c r="BH120" s="11602" t="n"/>
      <c r="BI120" s="4077" t="n"/>
      <c r="BJ120" s="4078" t="n"/>
      <c r="BK120" s="4078" t="n"/>
      <c r="BL120" s="4078" t="n"/>
      <c r="BM120" s="4078" t="n"/>
      <c r="BN120" s="4078" t="n"/>
      <c r="BO120" s="4079" t="n"/>
      <c r="BP120" s="4078" t="n"/>
      <c r="BQ120" s="4079" t="n">
        <v>3</v>
      </c>
      <c r="BR120" s="4080" t="inlineStr">
        <is>
          <t>Mar</t>
        </is>
      </c>
      <c r="BS120" s="11602" t="n"/>
      <c r="BT120" s="11704" t="n"/>
      <c r="BU120" s="658" t="n"/>
      <c r="BV120" s="658" t="n"/>
      <c r="BW120" s="658" t="n"/>
      <c r="BX120" s="658" t="n"/>
      <c r="BY120" s="658" t="n"/>
      <c r="BZ120" s="658" t="n"/>
      <c r="CA120" s="658" t="n"/>
      <c r="CB120" s="658" t="n"/>
      <c r="CC120" s="658" t="n"/>
      <c r="CD120" s="658" t="n"/>
      <c r="CE120" s="658" t="n"/>
      <c r="CF120" s="658" t="n"/>
    </row>
    <row r="121" ht="14.25" customHeight="1" s="7635">
      <c r="A121" s="139" t="n"/>
      <c r="B121" s="5864" t="n"/>
      <c r="C121" s="5864" t="n"/>
      <c r="D121" s="5864" t="n"/>
      <c r="E121" s="11752" t="n"/>
      <c r="F121" s="1888" t="n">
        <v>30</v>
      </c>
      <c r="G121" s="1417" t="n"/>
      <c r="H121" s="1889" t="inlineStr">
        <is>
          <t>Refundable adoption credit from Form 8839, line 13</t>
        </is>
      </c>
      <c r="I121" s="1876" t="n"/>
      <c r="J121" s="1876" t="n"/>
      <c r="K121" s="1876" t="n"/>
      <c r="L121" s="1417" t="n"/>
      <c r="M121" s="1417" t="n"/>
      <c r="N121" s="1417" t="n"/>
      <c r="O121" s="1417" t="n"/>
      <c r="P121" s="1417" t="n"/>
      <c r="Q121" s="1417" t="n"/>
      <c r="R121" s="1417" t="n"/>
      <c r="S121" s="1417" t="n"/>
      <c r="T121" s="1417" t="n"/>
      <c r="U121" s="1417" t="n"/>
      <c r="V121" s="1417" t="n"/>
      <c r="W121" s="1417" t="n"/>
      <c r="X121" s="1876" t="n"/>
      <c r="Y121" s="1876" t="n"/>
      <c r="Z121" s="1876" t="n"/>
      <c r="AA121" s="1876" t="n"/>
      <c r="AB121" s="1876" t="n"/>
      <c r="AC121" s="1876" t="n"/>
      <c r="AD121" s="11744" t="inlineStr">
        <is>
          <t xml:space="preserve">.   .   .   .   .   .   .   .   .   .   .   . </t>
        </is>
      </c>
      <c r="AE121" s="4075" t="n">
        <v>30</v>
      </c>
      <c r="AF121" s="1521" t="n"/>
      <c r="AG121" s="8007" t="n"/>
      <c r="AH121" s="8007" t="n"/>
      <c r="AI121" s="8007" t="n"/>
      <c r="AJ121" s="8008" t="n"/>
      <c r="AK121" s="7359" t="n"/>
      <c r="AL121" s="7092">
        <f>IF(AND($AT$113="",$AW$121),"income tax credit.","")</f>
        <v/>
      </c>
      <c r="AS121" s="1878" t="n"/>
      <c r="AT121" s="4044" t="n"/>
      <c r="AU121" s="5940">
        <f>IF(AF121&lt;&gt;"",ROUND(AF121,0),0)</f>
        <v/>
      </c>
      <c r="AV121" s="3809" t="n"/>
      <c r="AW121" s="4091">
        <f>AND(EIC_trigger,NOT(EIC_Started),NumFileStatusBoxes=1)</f>
        <v/>
      </c>
      <c r="AX121" s="4008" t="n"/>
      <c r="AY121" s="851" t="n"/>
      <c r="AZ121" s="11602" t="n"/>
      <c r="BA121" s="11602" t="n"/>
      <c r="BB121" s="11602" t="n"/>
      <c r="BC121" s="11602" t="n"/>
      <c r="BD121" s="11602" t="n"/>
      <c r="BE121" s="11602" t="n"/>
      <c r="BF121" s="4025" t="n"/>
      <c r="BG121" s="4025" t="n"/>
      <c r="BH121" s="4025" t="n"/>
      <c r="BI121" s="4077" t="n"/>
      <c r="BJ121" s="4078">
        <f>DATEVALUE(BJ123)</f>
        <v/>
      </c>
      <c r="BK121" s="4078" t="n"/>
      <c r="BL121" s="4078" t="n"/>
      <c r="BM121" s="4078" t="n"/>
      <c r="BN121" s="4078" t="n"/>
      <c r="BO121" s="4079" t="n"/>
      <c r="BP121" s="4078" t="n"/>
      <c r="BQ121" s="4079" t="n">
        <v>4</v>
      </c>
      <c r="BR121" s="4080" t="inlineStr">
        <is>
          <t>Apr</t>
        </is>
      </c>
      <c r="BS121" s="11602" t="n"/>
      <c r="BT121" s="11704" t="n"/>
      <c r="BU121" s="658" t="n"/>
      <c r="BV121" s="658" t="n"/>
      <c r="BW121" s="658" t="n"/>
      <c r="BX121" s="658" t="n"/>
      <c r="BY121" s="658" t="n"/>
      <c r="BZ121" s="658" t="n"/>
      <c r="CA121" s="658" t="n"/>
      <c r="CB121" s="658" t="n"/>
      <c r="CC121" s="658" t="n"/>
      <c r="CD121" s="658" t="n"/>
      <c r="CE121" s="658" t="n"/>
      <c r="CF121" s="658" t="n"/>
    </row>
    <row r="122" ht="14.25" customHeight="1" s="7635">
      <c r="A122" s="139" t="n"/>
      <c r="B122" s="229" t="n"/>
      <c r="C122" s="1939" t="n"/>
      <c r="D122" s="229" t="n"/>
      <c r="E122" s="229" t="n"/>
      <c r="F122" s="1888" t="n">
        <v>31</v>
      </c>
      <c r="G122" s="1417" t="n"/>
      <c r="H122" s="5950" t="inlineStr">
        <is>
          <t>Amount from Schedule 3, line 15</t>
        </is>
      </c>
      <c r="I122" s="1876" t="n"/>
      <c r="J122" s="1876" t="n"/>
      <c r="K122" s="1876" t="n"/>
      <c r="L122" s="1417" t="n"/>
      <c r="M122" s="1417" t="n"/>
      <c r="N122" s="1417" t="n"/>
      <c r="O122" s="1417" t="n"/>
      <c r="P122" s="1417" t="n"/>
      <c r="Q122" s="1417" t="n"/>
      <c r="R122" s="1417" t="n"/>
      <c r="S122" s="1417" t="n"/>
      <c r="T122" s="1417" t="n"/>
      <c r="U122" s="1417" t="n"/>
      <c r="V122" s="1417" t="n"/>
      <c r="W122" s="1417" t="n"/>
      <c r="X122" s="1876" t="n"/>
      <c r="Y122" s="1876" t="n"/>
      <c r="Z122" s="1876" t="n"/>
      <c r="AA122" s="1876" t="n"/>
      <c r="AB122" s="1876" t="n"/>
      <c r="AC122" s="1876" t="n"/>
      <c r="AD122" s="11744" t="inlineStr">
        <is>
          <t xml:space="preserve">.   .   .   .   .   .   .   .   .   .   .   .   .   .   .   .   .   . </t>
        </is>
      </c>
      <c r="AE122" s="4075" t="n">
        <v>31</v>
      </c>
      <c r="AF122" s="11778">
        <f>IF(AX122&lt;&gt;"",ROUND(AX122,0),OPRC)</f>
        <v/>
      </c>
      <c r="AG122" s="8412" t="n"/>
      <c r="AH122" s="8412" t="n"/>
      <c r="AI122" s="8412" t="n"/>
      <c r="AJ122" s="11734" t="n"/>
      <c r="AK122" s="7359" t="n"/>
      <c r="AL122" s="7092" t="n"/>
      <c r="AS122" s="1878" t="n"/>
      <c r="AT122" s="4044" t="n"/>
      <c r="AU122" s="4094" t="n"/>
      <c r="AV122" s="11602" t="n"/>
      <c r="AW122" s="11602" t="n"/>
      <c r="AX122" s="732" t="n"/>
      <c r="AY122" s="851" t="n"/>
      <c r="AZ122" s="11602" t="n"/>
      <c r="BA122" s="11602" t="n"/>
      <c r="BB122" s="11602" t="n"/>
      <c r="BC122" s="11602" t="n"/>
      <c r="BD122" s="11602" t="n"/>
      <c r="BE122" s="11602" t="n"/>
      <c r="BF122" s="4025" t="n"/>
      <c r="BG122" s="4025" t="n"/>
      <c r="BH122" s="3830" t="n"/>
      <c r="BI122" s="4077">
        <f>IF(OR(YourBirthMonth="",YourBirthDay="",YourBirthYear=""),TRUE,FALSE)</f>
        <v/>
      </c>
      <c r="BJ122" s="11781">
        <f>DATEVALUE(BJ123)</f>
        <v/>
      </c>
      <c r="BK122" s="4078" t="inlineStr">
        <is>
          <t>BadBirthday_Yours</t>
        </is>
      </c>
      <c r="BL122" s="4078" t="n"/>
      <c r="BM122" s="4085" t="n"/>
      <c r="BN122" s="4085" t="inlineStr">
        <is>
          <t>70th Birthday --&gt;</t>
        </is>
      </c>
      <c r="BO122" s="4079">
        <f>IF(AND(YourBirthMonth=2,YourBirthDay=29),YourBirthDay-1&amp;"-"&amp;LOOKUP(YourBirthMonth,$BQ$118:$BQ$130,$BR$118:$BR$130)&amp;"-"&amp;(YourBirthYear+70),YourBirthDay&amp;"-"&amp;LOOKUP(YourBirthMonth,$BQ$118:$BQ$130,$BR$118:$BR$130)&amp;"-"&amp;(YourBirthYear+70))</f>
        <v/>
      </c>
      <c r="BP122" s="4078" t="n"/>
      <c r="BQ122" s="4079" t="n">
        <v>5</v>
      </c>
      <c r="BR122" s="4080" t="inlineStr">
        <is>
          <t>May</t>
        </is>
      </c>
      <c r="BS122" s="11602" t="n"/>
      <c r="BT122" s="11704" t="n"/>
      <c r="BU122" s="658" t="n"/>
      <c r="BV122" s="658" t="n"/>
      <c r="BW122" s="658" t="n"/>
      <c r="BX122" s="658" t="n"/>
      <c r="BY122" s="658" t="n"/>
      <c r="BZ122" s="658" t="n"/>
      <c r="CA122" s="658" t="n"/>
      <c r="CB122" s="658" t="n"/>
      <c r="CC122" s="658" t="n"/>
      <c r="CD122" s="658" t="n"/>
      <c r="CE122" s="658" t="n"/>
      <c r="CF122" s="658" t="n"/>
    </row>
    <row r="123" ht="14.25" customHeight="1" s="7635" thickBot="1">
      <c r="A123" s="139" t="n"/>
      <c r="B123" s="1942" t="n"/>
      <c r="C123" s="1942" t="n"/>
      <c r="D123" s="229" t="n"/>
      <c r="E123" s="229" t="n"/>
      <c r="F123" s="1888" t="n">
        <v>32</v>
      </c>
      <c r="G123" s="1417" t="n"/>
      <c r="H123" s="1889" t="inlineStr">
        <is>
          <t>Add lines 27a, 28, 29, 30, and 31. These are your total other payments and refundable credits</t>
        </is>
      </c>
      <c r="I123" s="1876" t="n"/>
      <c r="J123" s="1876" t="n"/>
      <c r="K123" s="1876" t="n"/>
      <c r="L123" s="1417" t="n"/>
      <c r="M123" s="1417" t="n"/>
      <c r="N123" s="1417" t="n"/>
      <c r="O123" s="1417" t="n"/>
      <c r="P123" s="1417" t="n"/>
      <c r="Q123" s="1417" t="n"/>
      <c r="R123" s="1417" t="n"/>
      <c r="S123" s="1417" t="n"/>
      <c r="T123" s="1417" t="n"/>
      <c r="U123" s="1417" t="n"/>
      <c r="V123" s="1417" t="n"/>
      <c r="W123" s="1417" t="n"/>
      <c r="X123" s="1876" t="n"/>
      <c r="Y123" s="1876" t="n"/>
      <c r="Z123" s="1876" t="n"/>
      <c r="AA123" s="1876" t="n"/>
      <c r="AB123" s="1876" t="n"/>
      <c r="AC123" s="1876" t="n"/>
      <c r="AD123" s="1876" t="n"/>
      <c r="AE123" s="1876" t="n"/>
      <c r="AF123" s="1876" t="n"/>
      <c r="AG123" s="1876" t="n"/>
      <c r="AH123" s="1876" t="n"/>
      <c r="AI123" s="1876" t="n"/>
      <c r="AJ123" s="11744" t="inlineStr">
        <is>
          <t xml:space="preserve">.   .   .   . </t>
        </is>
      </c>
      <c r="AK123" s="1877" t="n">
        <v>32</v>
      </c>
      <c r="AL123" s="7065">
        <f>SUM(EIC,AF119,AF120,AU121,AF122)</f>
        <v/>
      </c>
      <c r="AM123" s="7637" t="n"/>
      <c r="AN123" s="7637" t="n"/>
      <c r="AO123" s="7637" t="n"/>
      <c r="AP123" s="7637" t="n"/>
      <c r="AQ123" s="7637" t="n"/>
      <c r="AR123" s="7637" t="n"/>
      <c r="AS123" s="1878" t="n"/>
      <c r="AT123" s="4044" t="n"/>
      <c r="AU123" s="4096" t="inlineStr">
        <is>
          <t xml:space="preserve"> </t>
        </is>
      </c>
      <c r="AV123" s="1800" t="n"/>
      <c r="AW123" s="4097" t="n"/>
      <c r="AX123" s="4008" t="n"/>
      <c r="AY123" s="5427" t="n">
        <v>150000</v>
      </c>
      <c r="AZ123" s="11602" t="n"/>
      <c r="BA123" s="11602" t="n"/>
      <c r="BB123" s="11602" t="n"/>
      <c r="BC123" s="11602" t="n"/>
      <c r="BD123" s="11602" t="n"/>
      <c r="BE123" s="11602" t="n"/>
      <c r="BF123" s="3830" t="n"/>
      <c r="BG123" s="3830" t="n"/>
      <c r="BH123" s="11602" t="n"/>
      <c r="BI123" s="4087">
        <f>LOOKUP(YourBirthMonth,$BQ$118:$BQ$130,$BR$118:$BR$130)</f>
        <v/>
      </c>
      <c r="BJ123" s="4079">
        <f>YourBirthDay&amp;"-"&amp;BI123&amp;"-"&amp;YourBirthYear</f>
        <v/>
      </c>
      <c r="BK123" s="4088">
        <f>IF(OR(YourBirthMonth="",YourBirthDay="",YourBirthYear=""),TRUE,IF(OR(YourBirthYear&gt;TaxYear,ISERROR(BJ122)),TRUE,FALSE))</f>
        <v/>
      </c>
      <c r="BL123" s="4078">
        <f>IF(AND(YourBirthMonth="",YourBirthDay="",YourBirthYear=""),FALSE,IF(OR(BadBirthdate_Yours,AND(YourAge&gt;120,YourBirthMonth&lt;&gt;"",YourBirthDay&lt;&gt;"",YourBirthYear&lt;&gt;"")),TRUE,FALSE))</f>
        <v/>
      </c>
      <c r="BM123" s="4078" t="n"/>
      <c r="BN123" s="4089" t="n"/>
      <c r="BO123" s="4079" t="n"/>
      <c r="BP123" s="4078">
        <f>YourBirthMonth+6</f>
        <v/>
      </c>
      <c r="BQ123" s="4079" t="n">
        <v>6</v>
      </c>
      <c r="BR123" s="4080" t="inlineStr">
        <is>
          <t>Jun</t>
        </is>
      </c>
      <c r="BS123" s="11602" t="n"/>
      <c r="BT123" s="11704" t="n"/>
      <c r="BU123" s="658" t="n"/>
      <c r="BV123" s="658" t="n"/>
      <c r="BW123" s="658" t="n"/>
      <c r="BX123" s="658" t="n"/>
      <c r="BY123" s="658" t="n"/>
      <c r="BZ123" s="658" t="n"/>
      <c r="CA123" s="658" t="n"/>
      <c r="CB123" s="658" t="n"/>
      <c r="CC123" s="658" t="n"/>
      <c r="CD123" s="658" t="n"/>
      <c r="CE123" s="658" t="n"/>
      <c r="CF123" s="658" t="n"/>
    </row>
    <row r="124" ht="14.25" customHeight="1" s="7635" thickBot="1">
      <c r="A124" s="139" t="n"/>
      <c r="B124" s="1931" t="n"/>
      <c r="C124" s="1931" t="n"/>
      <c r="D124" s="1931" t="n"/>
      <c r="E124" s="1931" t="n"/>
      <c r="F124" s="4014" t="n">
        <v>33</v>
      </c>
      <c r="G124" s="1932" t="n"/>
      <c r="H124" s="5865" t="inlineStr">
        <is>
          <t>Add lines 25d, 26, and 32. These are your total payments</t>
        </is>
      </c>
      <c r="I124" s="1933" t="n"/>
      <c r="J124" s="1933" t="n"/>
      <c r="K124" s="1933" t="n"/>
      <c r="L124" s="1933" t="n"/>
      <c r="M124" s="1933" t="n"/>
      <c r="N124" s="1933" t="n"/>
      <c r="O124" s="1933" t="n"/>
      <c r="P124" s="1933" t="n"/>
      <c r="Q124" s="1933" t="n"/>
      <c r="R124" s="1933" t="n"/>
      <c r="S124" s="1933" t="n"/>
      <c r="T124" s="1933" t="n"/>
      <c r="U124" s="1933" t="n"/>
      <c r="V124" s="1933" t="n"/>
      <c r="W124" s="1933" t="n"/>
      <c r="X124" s="1933" t="n"/>
      <c r="Y124" s="1933" t="n"/>
      <c r="Z124" s="1933" t="n"/>
      <c r="AA124" s="1933" t="n"/>
      <c r="AB124" s="1933" t="n"/>
      <c r="AC124" s="1933" t="n"/>
      <c r="AD124" s="1933" t="n"/>
      <c r="AE124" s="1933" t="n"/>
      <c r="AF124" s="1933" t="n"/>
      <c r="AG124" s="1933" t="n"/>
      <c r="AH124" s="1933" t="n"/>
      <c r="AI124" s="1933" t="n"/>
      <c r="AJ124" s="11782" t="inlineStr">
        <is>
          <t xml:space="preserve">.   .   .   .   .   .   .   .   .   .   .   .   .   .   .   .   . </t>
        </is>
      </c>
      <c r="AK124" s="1926" t="n">
        <v>33</v>
      </c>
      <c r="AL124" s="7090">
        <f>IF(AX124&lt;&gt;"",ROUND(AX124,0),SUM(AL109,AL110,AL123))</f>
        <v/>
      </c>
      <c r="AM124" s="8412" t="n"/>
      <c r="AN124" s="8412" t="n"/>
      <c r="AO124" s="8412" t="n"/>
      <c r="AP124" s="8412" t="n"/>
      <c r="AQ124" s="8412" t="n"/>
      <c r="AR124" s="8412" t="n"/>
      <c r="AS124" s="1878" t="n"/>
      <c r="AT124" s="4044" t="n"/>
      <c r="AU124" s="4096" t="n"/>
      <c r="AV124" s="1800" t="n"/>
      <c r="AW124" s="1800" t="n"/>
      <c r="AX124" s="732" t="n"/>
      <c r="AY124" s="5427" t="n">
        <v>300000</v>
      </c>
      <c r="AZ124" s="11602" t="n"/>
      <c r="BA124" s="11602" t="n"/>
      <c r="BB124" s="11602" t="n"/>
      <c r="BC124" s="11602" t="n"/>
      <c r="BD124" s="11602" t="n"/>
      <c r="BE124" s="11602" t="n"/>
      <c r="BF124" s="11602" t="n"/>
      <c r="BG124" s="11602" t="n"/>
      <c r="BH124" s="7914" t="n"/>
      <c r="BI124" s="4077" t="n"/>
      <c r="BJ124" s="4078">
        <f>IF(BL123,"",DATEVALUE(BJ123))</f>
        <v/>
      </c>
      <c r="BK124" s="4078" t="n"/>
      <c r="BL124" s="4078" t="n"/>
      <c r="BM124" s="4085">
        <f>"YOU are 70.5 on "&amp;TEXT(EndOfTaxYear,"dd-mmm-yyyy")&amp;" -&gt;"</f>
        <v/>
      </c>
      <c r="BN124" s="4090">
        <f>IF(BadBirthdate_Yours,FALSE,IF(DATEVALUE(BO122)&lt;=DATEVALUE(BN128),TRUE,FALSE))</f>
        <v/>
      </c>
      <c r="BO124" s="4079" t="n"/>
      <c r="BP124" s="4078">
        <f>IF(BP123&lt;=12,YourBirthYear+70,YourBirthYear+71)</f>
        <v/>
      </c>
      <c r="BQ124" s="4079" t="n">
        <v>7</v>
      </c>
      <c r="BR124" s="4080" t="inlineStr">
        <is>
          <t>Jul</t>
        </is>
      </c>
      <c r="BS124" s="11602" t="n"/>
      <c r="BT124" s="11704" t="n"/>
      <c r="BU124" s="658" t="n"/>
      <c r="BV124" s="658" t="n"/>
      <c r="BW124" s="658" t="n"/>
      <c r="BX124" s="658" t="n"/>
      <c r="BY124" s="658" t="n"/>
      <c r="BZ124" s="658" t="n"/>
      <c r="CA124" s="658" t="n"/>
      <c r="CB124" s="658" t="n"/>
      <c r="CC124" s="658" t="n"/>
      <c r="CD124" s="658" t="n"/>
      <c r="CE124" s="658" t="n"/>
      <c r="CF124" s="658" t="n"/>
    </row>
    <row r="125" ht="14.25" customHeight="1" s="7635" thickBot="1">
      <c r="A125" s="139" t="n"/>
      <c r="B125" s="229" t="n"/>
      <c r="C125" s="229" t="n"/>
      <c r="D125" s="229" t="n"/>
      <c r="E125" s="229" t="n"/>
      <c r="F125" s="1888" t="n">
        <v>34</v>
      </c>
      <c r="G125" s="1417" t="n"/>
      <c r="H125" s="1889" t="inlineStr">
        <is>
          <t>If line 33 is more than line 24, subtract line 24 from line 33. This is the amount you overpaid</t>
        </is>
      </c>
      <c r="I125" s="1876" t="n"/>
      <c r="J125" s="1876" t="n"/>
      <c r="K125" s="1876" t="n"/>
      <c r="L125" s="1876" t="n"/>
      <c r="M125" s="1876" t="n"/>
      <c r="N125" s="1876" t="n"/>
      <c r="O125" s="1876" t="n"/>
      <c r="P125" s="1876" t="n"/>
      <c r="Q125" s="1876" t="n"/>
      <c r="R125" s="1876" t="n"/>
      <c r="S125" s="1876" t="n"/>
      <c r="T125" s="1876" t="n"/>
      <c r="U125" s="1876" t="n"/>
      <c r="V125" s="1876" t="n"/>
      <c r="W125" s="1876" t="n"/>
      <c r="X125" s="1876" t="n"/>
      <c r="Y125" s="1876" t="n"/>
      <c r="Z125" s="1876" t="n"/>
      <c r="AA125" s="1876" t="n"/>
      <c r="AB125" s="1876" t="n"/>
      <c r="AC125" s="1876" t="n"/>
      <c r="AD125" s="1876" t="n"/>
      <c r="AE125" s="1876" t="n"/>
      <c r="AF125" s="1876" t="n"/>
      <c r="AG125" s="1876" t="n"/>
      <c r="AH125" s="1876" t="n"/>
      <c r="AI125" s="1876" t="n"/>
      <c r="AJ125" s="11744" t="inlineStr">
        <is>
          <t xml:space="preserve">.   .   .   .   .   . </t>
        </is>
      </c>
      <c r="AK125" s="1926">
        <f>F125</f>
        <v/>
      </c>
      <c r="AL125" s="7090">
        <f>IF(AX125&lt;&gt;"",ROUND(AX125,0),IF(AL124&gt;Tot_Tax,SUM(AL124,-Tot_Tax),0))</f>
        <v/>
      </c>
      <c r="AM125" s="8412" t="n"/>
      <c r="AN125" s="8412" t="n"/>
      <c r="AO125" s="8412" t="n"/>
      <c r="AP125" s="8412" t="n"/>
      <c r="AQ125" s="8412" t="n"/>
      <c r="AR125" s="8412" t="n"/>
      <c r="AS125" s="1878" t="n"/>
      <c r="AT125" s="4044" t="n"/>
      <c r="AU125" s="4101" t="n"/>
      <c r="AV125" s="4102" t="n"/>
      <c r="AW125" s="4102" t="n"/>
      <c r="AX125" s="732" t="n"/>
      <c r="AY125" s="5427">
        <f>IF(File_Marr_Joint&lt;&gt;"",AY124,AY123)</f>
        <v/>
      </c>
      <c r="AZ125" s="11602" t="n"/>
      <c r="BA125" s="11602" t="n"/>
      <c r="BB125" s="11602" t="n"/>
      <c r="BC125" s="11602" t="n"/>
      <c r="BD125" s="11602" t="n"/>
      <c r="BE125" s="11602" t="n"/>
      <c r="BF125" s="7914" t="n"/>
      <c r="BG125" s="7914" t="n"/>
      <c r="BH125" s="4025" t="n"/>
      <c r="BI125" s="4077" t="n"/>
      <c r="BJ125" s="4078" t="n"/>
      <c r="BK125" s="4079" t="inlineStr">
        <is>
          <t>BOTH</t>
        </is>
      </c>
      <c r="BL125" s="4078">
        <f>AND(Spouse_GT24,Spouse_LT65)</f>
        <v/>
      </c>
      <c r="BM125" s="4085" t="n"/>
      <c r="BN125" s="4078" t="n"/>
      <c r="BO125" s="11783" t="n"/>
      <c r="BP125" s="4078" t="n"/>
      <c r="BQ125" s="4079" t="n">
        <v>8</v>
      </c>
      <c r="BR125" s="4080" t="inlineStr">
        <is>
          <t>Aug</t>
        </is>
      </c>
      <c r="BS125" s="11602" t="n"/>
      <c r="BT125" s="11704" t="n"/>
      <c r="BU125" s="658" t="n"/>
      <c r="BV125" s="658" t="n"/>
      <c r="BW125" s="658" t="n"/>
      <c r="BX125" s="658" t="n"/>
      <c r="BY125" s="658" t="n"/>
      <c r="BZ125" s="658" t="n"/>
      <c r="CA125" s="658" t="n"/>
      <c r="CB125" s="658" t="n"/>
      <c r="CC125" s="658" t="n"/>
      <c r="CD125" s="658" t="n"/>
      <c r="CE125" s="658" t="n"/>
      <c r="CF125" s="658" t="n"/>
    </row>
    <row r="126" ht="14.25" customHeight="1" s="7635" thickBot="1">
      <c r="A126" s="139" t="n"/>
      <c r="B126" s="8892" t="inlineStr">
        <is>
          <t>Refund</t>
        </is>
      </c>
      <c r="C126" s="229" t="n"/>
      <c r="D126" s="229" t="n"/>
      <c r="E126" s="229" t="n"/>
      <c r="F126" s="1888" t="n">
        <v>35</v>
      </c>
      <c r="G126" s="1417" t="inlineStr">
        <is>
          <t>a</t>
        </is>
      </c>
      <c r="H126" s="1889" t="inlineStr">
        <is>
          <t>Amount of line 34 you want refunded to you. If Form 8888 is attached, check here</t>
        </is>
      </c>
      <c r="I126" s="1876" t="n"/>
      <c r="J126" s="1876" t="n"/>
      <c r="K126" s="1876" t="n"/>
      <c r="L126" s="1876" t="n"/>
      <c r="M126" s="1876" t="n"/>
      <c r="N126" s="1876" t="n"/>
      <c r="O126" s="1876" t="n"/>
      <c r="P126" s="1876" t="n"/>
      <c r="Q126" s="1876" t="n"/>
      <c r="R126" s="1876" t="n"/>
      <c r="S126" s="1876" t="n"/>
      <c r="T126" s="1876" t="n"/>
      <c r="U126" s="1876" t="n"/>
      <c r="V126" s="1876" t="n"/>
      <c r="W126" s="1876" t="n"/>
      <c r="X126" s="1876" t="n"/>
      <c r="Y126" s="1876" t="n"/>
      <c r="Z126" s="1876" t="n"/>
      <c r="AA126" s="1876" t="n"/>
      <c r="AB126" s="1876" t="n"/>
      <c r="AC126" s="1876" t="n"/>
      <c r="AD126" s="1876" t="n"/>
      <c r="AE126" s="1876" t="n"/>
      <c r="AF126" s="1876" t="n"/>
      <c r="AG126" s="11744" t="inlineStr">
        <is>
          <t xml:space="preserve">.   .   .   .   . </t>
        </is>
      </c>
      <c r="AH126" s="11784" t="n"/>
      <c r="AI126" s="8008" t="n"/>
      <c r="AJ126" s="1943" t="n"/>
      <c r="AK126" s="1926">
        <f>F126&amp;"a"</f>
        <v/>
      </c>
      <c r="AL126" s="7154">
        <f>IF(AX126&lt;&gt;"",ROUND(AX126,0),Overpaid)</f>
        <v/>
      </c>
      <c r="AM126" s="8412" t="n"/>
      <c r="AN126" s="8412" t="n"/>
      <c r="AO126" s="8412" t="n"/>
      <c r="AP126" s="8412" t="n"/>
      <c r="AQ126" s="8412" t="n"/>
      <c r="AR126" s="8412" t="n"/>
      <c r="AS126" s="1878" t="n"/>
      <c r="AT126" s="4044" t="n"/>
      <c r="AU126" s="7267">
        <f>IF(AND(AL126&lt;&gt;"",AL126&gt;0,ROUND(AX126,0)&gt;Overpaid),"Really??",IF(AND(AL126&lt;&gt;"",AL126&gt;0),"If not all, enter amount here. &gt;&gt;",""))</f>
        <v/>
      </c>
      <c r="AW126" s="7636" t="n"/>
      <c r="AX126" s="732" t="n"/>
      <c r="AY126" s="851" t="n"/>
      <c r="AZ126" s="11602" t="n"/>
      <c r="BA126" s="11602" t="n"/>
      <c r="BB126" s="11602" t="n"/>
      <c r="BC126" s="11602" t="n"/>
      <c r="BD126" s="11602" t="n"/>
      <c r="BE126" s="11602" t="n"/>
      <c r="BF126" s="4025" t="n"/>
      <c r="BG126" s="4025" t="n"/>
      <c r="BH126" s="4025" t="n"/>
      <c r="BI126" s="4077" t="n"/>
      <c r="BJ126" s="4078">
        <f>ROUNDDOWN((EndOfTaxYear-BJ124)/365.25,1)</f>
        <v/>
      </c>
      <c r="BK126" s="4078" t="n"/>
      <c r="BL126" s="4078" t="n"/>
      <c r="BM126" s="4085">
        <f>"YOU are 65 on "&amp;TEXT(EndOfTaxYear,"dd-mmm-yyyy")&amp;" -&gt;"</f>
        <v/>
      </c>
      <c r="BN126" s="4090">
        <f>IF(BadBirthdate_Yours,FALSE,YourAge&gt;=65)</f>
        <v/>
      </c>
      <c r="BO126" s="4079" t="n"/>
      <c r="BP126" s="4078" t="n"/>
      <c r="BQ126" s="4079" t="n">
        <v>9</v>
      </c>
      <c r="BR126" s="4080" t="inlineStr">
        <is>
          <t>Sep</t>
        </is>
      </c>
      <c r="BS126" s="11602" t="n"/>
      <c r="BT126" s="11704" t="n"/>
      <c r="BU126" s="658" t="n"/>
      <c r="BV126" s="658" t="n"/>
      <c r="BW126" s="658" t="n"/>
      <c r="BX126" s="658" t="n"/>
      <c r="BY126" s="658" t="n"/>
      <c r="BZ126" s="658" t="n"/>
      <c r="CA126" s="658" t="n"/>
      <c r="CB126" s="658" t="n"/>
      <c r="CC126" s="658" t="n"/>
      <c r="CD126" s="658" t="n"/>
      <c r="CE126" s="658" t="n"/>
      <c r="CF126" s="658" t="n"/>
    </row>
    <row r="127" ht="14.25" customHeight="1" s="7635" thickBot="1">
      <c r="A127" s="139" t="n"/>
      <c r="B127" s="7300" t="inlineStr">
        <is>
          <t>Direct deposit?</t>
        </is>
      </c>
      <c r="C127" s="7300" t="n"/>
      <c r="D127" s="7300" t="n"/>
      <c r="E127" s="7300" t="n"/>
      <c r="F127" s="1888" t="n"/>
      <c r="G127" s="1417" t="inlineStr">
        <is>
          <t>b</t>
        </is>
      </c>
      <c r="H127" s="1889" t="inlineStr">
        <is>
          <t>Routing number</t>
        </is>
      </c>
      <c r="I127" s="1876" t="n"/>
      <c r="J127" s="1876" t="n"/>
      <c r="K127" s="1876" t="n"/>
      <c r="L127" s="1876" t="n"/>
      <c r="M127" s="1876" t="n"/>
      <c r="N127" s="11785" t="n"/>
      <c r="O127" s="8007" t="n"/>
      <c r="P127" s="8007" t="n"/>
      <c r="Q127" s="8007" t="n"/>
      <c r="R127" s="8007" t="n"/>
      <c r="S127" s="8007" t="n"/>
      <c r="T127" s="8007" t="n"/>
      <c r="U127" s="8007" t="n"/>
      <c r="V127" s="8007" t="n"/>
      <c r="W127" s="8008" t="n"/>
      <c r="X127" s="1876" t="n"/>
      <c r="Y127" s="1876" t="n"/>
      <c r="Z127" s="1876" t="n"/>
      <c r="AA127" s="11786" t="inlineStr">
        <is>
          <t>c Type:</t>
        </is>
      </c>
      <c r="AB127" s="11787" t="n"/>
      <c r="AC127" s="11788" t="inlineStr">
        <is>
          <t>Checking</t>
        </is>
      </c>
      <c r="AD127" s="11788" t="n"/>
      <c r="AE127" s="11788" t="n"/>
      <c r="AF127" s="11788" t="n"/>
      <c r="AG127" s="771" t="n"/>
      <c r="AH127" s="1984" t="inlineStr">
        <is>
          <t>Savings</t>
        </is>
      </c>
      <c r="AI127" s="1984" t="n"/>
      <c r="AJ127" s="1945" t="n"/>
      <c r="AK127" s="1946" t="n"/>
      <c r="AL127" s="7237">
        <f>IF(AND($AT$131="",$AU$136),"Sum of amounts on","")</f>
        <v/>
      </c>
      <c r="AM127" s="7839" t="n"/>
      <c r="AN127" s="7839" t="n"/>
      <c r="AO127" s="7839" t="n"/>
      <c r="AP127" s="7839" t="n"/>
      <c r="AQ127" s="7839" t="n"/>
      <c r="AR127" s="7839" t="n"/>
      <c r="AS127" s="1878" t="n"/>
      <c r="AT127" s="4044" t="n"/>
      <c r="AU127" s="4105">
        <f>PenaltyOwedFlag</f>
        <v/>
      </c>
      <c r="AV127" s="4106" t="n"/>
      <c r="AW127" s="4107">
        <f>AND(AU127,AT131="")</f>
        <v/>
      </c>
      <c r="AX127" s="4008" t="n"/>
      <c r="AY127" s="851" t="n"/>
      <c r="AZ127" s="11602" t="n"/>
      <c r="BA127" s="11602" t="n"/>
      <c r="BB127" s="11602" t="n"/>
      <c r="BC127" s="11602" t="n"/>
      <c r="BD127" s="11602" t="n"/>
      <c r="BE127" s="11602" t="n"/>
      <c r="BF127" s="4025" t="n"/>
      <c r="BG127" s="4025" t="n"/>
      <c r="BH127" s="4025" t="n"/>
      <c r="BI127" s="4077" t="n"/>
      <c r="BJ127" s="4078">
        <f>IF(YourBirthYear="","?",IF(AND(YourBirthMonth=1,YourBirthDay=1),TaxYear-YourBirthYear+1,TaxYear-YourBirthYear))</f>
        <v/>
      </c>
      <c r="BK127" s="4078" t="n"/>
      <c r="BL127" s="4078" t="n"/>
      <c r="BM127" s="4085">
        <f>"YOU are born before "&amp;TEXT(BP127,"dd-mmm-yyyy")&amp;" -&gt;"</f>
        <v/>
      </c>
      <c r="BN127" s="4090">
        <f>BJ122&lt;$BP$127</f>
        <v/>
      </c>
      <c r="BO127" s="4092">
        <f>(YEAR($BP$127)-YEAR(BJ123))</f>
        <v/>
      </c>
      <c r="BP127" s="11789">
        <f>DATEVALUE("2-JAN-"&amp;TaxYear-65)</f>
        <v/>
      </c>
      <c r="BQ127" s="4079" t="n">
        <v>10</v>
      </c>
      <c r="BR127" s="4080" t="inlineStr">
        <is>
          <t>Oct</t>
        </is>
      </c>
      <c r="BS127" s="11602" t="n"/>
      <c r="BT127" s="11704" t="n"/>
      <c r="BU127" s="658" t="n"/>
      <c r="BV127" s="658" t="n"/>
      <c r="BW127" s="658" t="n"/>
      <c r="BX127" s="658" t="n"/>
      <c r="BY127" s="658" t="n"/>
      <c r="BZ127" s="658" t="n"/>
      <c r="CA127" s="658" t="n"/>
      <c r="CB127" s="658" t="n"/>
      <c r="CC127" s="658" t="n"/>
      <c r="CD127" s="658" t="n"/>
      <c r="CE127" s="658" t="n"/>
      <c r="CF127" s="658" t="n"/>
    </row>
    <row r="128" ht="14.25" customHeight="1" s="7635">
      <c r="A128" s="139" t="n"/>
      <c r="B128" s="5828" t="inlineStr">
        <is>
          <t>See instructions.</t>
        </is>
      </c>
      <c r="C128" s="5828" t="n"/>
      <c r="D128" s="5828" t="n"/>
      <c r="E128" s="5828" t="n"/>
      <c r="F128" s="1888" t="n"/>
      <c r="G128" s="1417" t="inlineStr">
        <is>
          <t>d</t>
        </is>
      </c>
      <c r="H128" s="1889" t="inlineStr">
        <is>
          <t>Account number</t>
        </is>
      </c>
      <c r="I128" s="1876" t="n"/>
      <c r="J128" s="1876" t="n"/>
      <c r="K128" s="1876" t="n"/>
      <c r="L128" s="1876" t="n"/>
      <c r="M128" s="1876" t="n"/>
      <c r="N128" s="11785" t="n"/>
      <c r="O128" s="8007" t="n"/>
      <c r="P128" s="8007" t="n"/>
      <c r="Q128" s="8007" t="n"/>
      <c r="R128" s="8007" t="n"/>
      <c r="S128" s="8007" t="n"/>
      <c r="T128" s="8007" t="n"/>
      <c r="U128" s="8007" t="n"/>
      <c r="V128" s="8007" t="n"/>
      <c r="W128" s="8007" t="n"/>
      <c r="X128" s="8007" t="n"/>
      <c r="Y128" s="8008" t="n"/>
      <c r="Z128" s="1887" t="n"/>
      <c r="AA128" s="1887" t="n"/>
      <c r="AB128" s="1826" t="n"/>
      <c r="AC128" s="1268" t="n"/>
      <c r="AD128" s="1268" t="n"/>
      <c r="AE128" s="1268" t="n"/>
      <c r="AF128" s="1268" t="n"/>
      <c r="AG128" s="1268" t="n"/>
      <c r="AH128" s="1268" t="n"/>
      <c r="AI128" s="1268" t="n"/>
      <c r="AJ128" s="11744" t="inlineStr">
        <is>
          <t xml:space="preserve">.   .   .   .   .   .   .   .   .   .   . </t>
        </is>
      </c>
      <c r="AK128" s="1947" t="n"/>
      <c r="AL128" s="7262">
        <f>IF(AND($AT$131="",$AU$136),"Lines 35a, 36 &amp; 38","")</f>
        <v/>
      </c>
      <c r="AS128" s="1878" t="n"/>
      <c r="AT128" s="4044" t="n"/>
      <c r="AU128" s="5829">
        <f>IF($AW$127,"Check Form 2210 to","")</f>
        <v/>
      </c>
      <c r="AV128" s="5829" t="n"/>
      <c r="AW128" s="5830" t="n"/>
      <c r="AX128" s="4008" t="n"/>
      <c r="AY128" s="851" t="n"/>
      <c r="AZ128" s="11602" t="n"/>
      <c r="BA128" s="11602" t="n"/>
      <c r="BB128" s="11602" t="n"/>
      <c r="BC128" s="11602" t="n"/>
      <c r="BD128" s="11602" t="n"/>
      <c r="BE128" s="11602" t="n"/>
      <c r="BF128" s="4025" t="n"/>
      <c r="BG128" s="4025" t="n"/>
      <c r="BH128" s="11602" t="n"/>
      <c r="BI128" s="4095" t="n"/>
      <c r="BJ128" s="4078" t="n"/>
      <c r="BK128" s="4078" t="n"/>
      <c r="BL128" s="4078" t="n"/>
      <c r="BM128" s="4085" t="inlineStr">
        <is>
          <t>End of tax year minus 6 months --&gt;</t>
        </is>
      </c>
      <c r="BN128" s="4078">
        <f>"30-Jun-"&amp;TaxYear</f>
        <v/>
      </c>
      <c r="BO128" s="4079" t="n"/>
      <c r="BP128" s="4078" t="n"/>
      <c r="BQ128" s="4079" t="n">
        <v>11</v>
      </c>
      <c r="BR128" s="4080" t="inlineStr">
        <is>
          <t>Nov</t>
        </is>
      </c>
      <c r="BS128" s="11602" t="n"/>
      <c r="BT128" s="11704" t="n"/>
      <c r="BU128" s="658" t="n"/>
      <c r="BV128" s="658" t="n"/>
      <c r="BW128" s="658" t="n"/>
      <c r="BX128" s="658" t="n"/>
      <c r="BY128" s="658" t="n"/>
      <c r="BZ128" s="658" t="n"/>
      <c r="CA128" s="658" t="n"/>
      <c r="CB128" s="658" t="n"/>
      <c r="CC128" s="658" t="n"/>
      <c r="CD128" s="658" t="n"/>
      <c r="CE128" s="658" t="n"/>
      <c r="CF128" s="658" t="n"/>
    </row>
    <row r="129" ht="14.25" customHeight="1" s="7635">
      <c r="A129" s="139" t="n"/>
      <c r="B129" s="229" t="n"/>
      <c r="C129" s="229" t="n"/>
      <c r="D129" s="229" t="n"/>
      <c r="E129" s="229" t="n"/>
      <c r="F129" s="1888" t="n">
        <v>36</v>
      </c>
      <c r="G129" s="1417" t="n"/>
      <c r="H129" s="1889">
        <f>"Amount   of   line 34  you  want"</f>
        <v/>
      </c>
      <c r="I129" s="1876" t="n"/>
      <c r="J129" s="1876" t="n"/>
      <c r="K129" s="1876" t="n"/>
      <c r="L129" s="1876" t="n"/>
      <c r="M129" s="1876" t="n"/>
      <c r="N129" s="1876" t="n"/>
      <c r="O129" s="1876" t="n"/>
      <c r="P129" s="1417">
        <f>"applied to your "&amp;TaxYear+1&amp;" estimated tax"</f>
        <v/>
      </c>
      <c r="Q129" s="1417" t="n"/>
      <c r="R129" s="1876" t="n"/>
      <c r="S129" s="1876" t="n"/>
      <c r="T129" s="1876" t="n"/>
      <c r="U129" s="1876" t="n"/>
      <c r="V129" s="1876" t="n"/>
      <c r="W129" s="1876" t="n"/>
      <c r="X129" s="1876" t="n"/>
      <c r="Y129" s="1876" t="n"/>
      <c r="Z129" s="1876" t="n"/>
      <c r="AA129" s="4109" t="n"/>
      <c r="AB129" s="1891">
        <f>F129</f>
        <v/>
      </c>
      <c r="AC129" s="1948" t="n"/>
      <c r="AD129" s="7063">
        <f>IF(AX129&lt;&gt;"",ROUND(AX129,0),SUM(Overpaid,-AL126,-TaxPenalty))</f>
        <v/>
      </c>
      <c r="AE129" s="7637" t="n"/>
      <c r="AF129" s="7637" t="n"/>
      <c r="AG129" s="7637" t="n"/>
      <c r="AH129" s="7637" t="n"/>
      <c r="AI129" s="7063" t="n"/>
      <c r="AJ129" s="1949" t="n"/>
      <c r="AK129" s="1947" t="n"/>
      <c r="AL129" s="7279">
        <f>IF(AND($AT$131="",$AU$136),"must equal Line 34.","")</f>
        <v/>
      </c>
      <c r="AM129" s="7637" t="n"/>
      <c r="AN129" s="7637" t="n"/>
      <c r="AO129" s="7637" t="n"/>
      <c r="AP129" s="7637" t="n"/>
      <c r="AQ129" s="7637" t="n"/>
      <c r="AR129" s="7637" t="n"/>
      <c r="AS129" s="1878" t="n"/>
      <c r="AT129" s="4044" t="n"/>
      <c r="AU129" s="5829">
        <f>IF($AW$127,"figure any tax penalty","")</f>
        <v/>
      </c>
      <c r="AV129" s="5829" t="n"/>
      <c r="AW129" s="5830" t="n"/>
      <c r="AX129" s="732" t="n"/>
      <c r="AY129" s="851" t="n"/>
      <c r="AZ129" s="11602" t="n"/>
      <c r="BA129" s="11602" t="n"/>
      <c r="BB129" s="11602" t="n"/>
      <c r="BC129" s="11602" t="n"/>
      <c r="BD129" s="11602" t="n"/>
      <c r="BE129" s="11602" t="n"/>
      <c r="BF129" s="11602" t="n"/>
      <c r="BG129" s="11602" t="n"/>
      <c r="BH129" s="11602" t="n"/>
      <c r="BI129" s="4098" t="inlineStr">
        <is>
          <t>YOU &gt;=24 Test</t>
        </is>
      </c>
      <c r="BJ129" s="4078" t="n"/>
      <c r="BK129" s="11789">
        <f>DATEVALUE("2-JAN-"&amp;(TaxYear-23))</f>
        <v/>
      </c>
      <c r="BL129" s="4078">
        <f>$BJ$122&lt;BK129</f>
        <v/>
      </c>
      <c r="BM129" s="4078" t="n"/>
      <c r="BN129" s="4078" t="n"/>
      <c r="BO129" s="4079" t="n"/>
      <c r="BP129" s="4078" t="n"/>
      <c r="BQ129" s="4099" t="n">
        <v>12</v>
      </c>
      <c r="BR129" s="4100" t="inlineStr">
        <is>
          <t>Dec</t>
        </is>
      </c>
      <c r="BS129" s="11602" t="n"/>
      <c r="BT129" s="11704" t="n"/>
      <c r="BU129" s="658" t="n"/>
      <c r="BV129" s="658" t="n"/>
      <c r="BW129" s="658" t="n"/>
      <c r="BX129" s="658" t="n"/>
      <c r="BY129" s="658" t="n"/>
      <c r="BZ129" s="658" t="n"/>
      <c r="CA129" s="658" t="n"/>
      <c r="CB129" s="658" t="n"/>
      <c r="CC129" s="658" t="n"/>
      <c r="CD129" s="658" t="n"/>
      <c r="CE129" s="658" t="n"/>
      <c r="CF129" s="658" t="n"/>
    </row>
    <row r="130" ht="14.25" customHeight="1" s="7635">
      <c r="A130" s="139" t="n"/>
      <c r="B130" s="7152" t="inlineStr">
        <is>
          <t>Amount 
You Owe</t>
        </is>
      </c>
      <c r="C130" s="7839" t="n"/>
      <c r="D130" s="7839" t="n"/>
      <c r="E130" s="7152" t="n"/>
      <c r="F130" s="1951" t="n">
        <v>37</v>
      </c>
      <c r="G130" s="1952" t="n"/>
      <c r="H130" s="5951" t="inlineStr">
        <is>
          <t xml:space="preserve">Subtract line 33 from line 24. This is the amount you owe. </t>
        </is>
      </c>
      <c r="I130" s="1953" t="n"/>
      <c r="J130" s="1953" t="n"/>
      <c r="K130" s="1953" t="n"/>
      <c r="L130" s="1953" t="n"/>
      <c r="M130" s="1953" t="n"/>
      <c r="N130" s="1953" t="n"/>
      <c r="O130" s="1953" t="n"/>
      <c r="P130" s="1953" t="n"/>
      <c r="Q130" s="1953" t="n"/>
      <c r="R130" s="1953" t="n"/>
      <c r="S130" s="1953" t="n"/>
      <c r="T130" s="1953" t="n"/>
      <c r="U130" s="1953" t="n"/>
      <c r="V130" s="1953" t="n"/>
      <c r="W130" s="1953" t="n"/>
      <c r="X130" s="1953" t="n"/>
      <c r="Y130" s="1953" t="n"/>
      <c r="Z130" s="1953" t="n"/>
      <c r="AA130" s="1954" t="n"/>
      <c r="AB130" s="7544" t="n"/>
      <c r="AC130" s="1269" t="n"/>
      <c r="AD130" s="1269" t="n"/>
      <c r="AE130" s="1269" t="n"/>
      <c r="AF130" s="1269" t="n"/>
      <c r="AG130" s="1269" t="n"/>
      <c r="AH130" s="1269" t="n"/>
      <c r="AI130" s="1269" t="n"/>
      <c r="AJ130" s="11790" t="n"/>
      <c r="AK130" s="1955" t="n"/>
      <c r="AL130" s="7315" t="n"/>
      <c r="AM130" s="7839" t="n"/>
      <c r="AN130" s="7839" t="n"/>
      <c r="AO130" s="7839" t="n"/>
      <c r="AP130" s="7839" t="n"/>
      <c r="AQ130" s="7839" t="n"/>
      <c r="AR130" s="7839" t="n"/>
      <c r="AS130" s="1878" t="n"/>
      <c r="AT130" s="4044" t="n"/>
      <c r="AU130" s="5829">
        <f>IF($AW$127,"that may apply.","")</f>
        <v/>
      </c>
      <c r="AV130" s="5829" t="n"/>
      <c r="AW130" s="5830" t="n"/>
      <c r="AX130" s="4008" t="n"/>
      <c r="AY130" s="5427" t="n">
        <v>150000</v>
      </c>
      <c r="AZ130" s="11602" t="n"/>
      <c r="BA130" s="11602" t="n"/>
      <c r="BB130" s="11602" t="n"/>
      <c r="BC130" s="11602" t="n"/>
      <c r="BD130" s="11602" t="n"/>
      <c r="BE130" s="11602" t="n"/>
      <c r="BF130" s="11602" t="n"/>
      <c r="BG130" s="11602" t="n"/>
      <c r="BH130" s="11602" t="n"/>
      <c r="BI130" s="4098" t="inlineStr">
        <is>
          <t>YOU &gt;=25 Test</t>
        </is>
      </c>
      <c r="BJ130" s="4078" t="n"/>
      <c r="BK130" s="11789">
        <f>DATEVALUE("2-JAN-"&amp;(TaxYear-24))</f>
        <v/>
      </c>
      <c r="BL130" s="4078">
        <f>$BJ$122&lt;BK130</f>
        <v/>
      </c>
      <c r="BM130" s="4078" t="n"/>
      <c r="BN130" s="4078" t="n"/>
      <c r="BO130" s="4079" t="n"/>
      <c r="BP130" s="4078" t="n"/>
      <c r="BQ130" s="4079" t="n">
        <v>13</v>
      </c>
      <c r="BR130" s="4080" t="inlineStr">
        <is>
          <t>Bad</t>
        </is>
      </c>
      <c r="BS130" s="11602" t="n"/>
      <c r="BT130" s="11704" t="n"/>
      <c r="BU130" s="658" t="n"/>
      <c r="BV130" s="658" t="n"/>
      <c r="BW130" s="658" t="n"/>
      <c r="BX130" s="658" t="n"/>
      <c r="BY130" s="658" t="n"/>
      <c r="BZ130" s="658" t="n"/>
      <c r="CA130" s="658" t="n"/>
      <c r="CB130" s="658" t="n"/>
      <c r="CC130" s="658" t="n"/>
      <c r="CD130" s="658" t="n"/>
      <c r="CE130" s="658" t="n"/>
      <c r="CF130" s="658" t="n"/>
    </row>
    <row r="131" ht="17.25" customHeight="1" s="7635">
      <c r="A131" s="139" t="n"/>
      <c r="E131" s="7153" t="n"/>
      <c r="F131" s="1888" t="n"/>
      <c r="G131" s="1417" t="n"/>
      <c r="H131" s="5950" t="inlineStr">
        <is>
          <t>For details on how to pay, go to www.irs.gov/Payments or see instructions</t>
        </is>
      </c>
      <c r="I131" s="1876" t="n"/>
      <c r="J131" s="1876" t="n"/>
      <c r="K131" s="1876" t="n"/>
      <c r="L131" s="1876" t="n"/>
      <c r="M131" s="1876" t="n"/>
      <c r="N131" s="1876" t="n"/>
      <c r="O131" s="1876" t="n"/>
      <c r="P131" s="1876" t="n"/>
      <c r="Q131" s="1876" t="n"/>
      <c r="R131" s="1876" t="n"/>
      <c r="S131" s="1876" t="n"/>
      <c r="T131" s="1876" t="n"/>
      <c r="U131" s="1876" t="n"/>
      <c r="V131" s="1876" t="n"/>
      <c r="W131" s="1876" t="n"/>
      <c r="X131" s="1876" t="n"/>
      <c r="Y131" s="1876" t="n"/>
      <c r="Z131" s="1876" t="n"/>
      <c r="AA131" s="1887" t="n"/>
      <c r="AB131" s="1826" t="n"/>
      <c r="AC131" s="1268" t="n"/>
      <c r="AD131" s="1268" t="n"/>
      <c r="AE131" s="1268" t="n"/>
      <c r="AF131" s="1268" t="n"/>
      <c r="AG131" s="1268" t="n"/>
      <c r="AH131" s="1268" t="n"/>
      <c r="AI131" s="1268" t="n"/>
      <c r="AJ131" s="11791" t="inlineStr">
        <is>
          <t xml:space="preserve">.   .   .   .   .   .   .   .   .   .   . </t>
        </is>
      </c>
      <c r="AK131" s="1877" t="n">
        <v>37</v>
      </c>
      <c r="AL131" s="7317">
        <f>IF(AX131&lt;&gt;"",ROUND(AX131,0),IF(ISERROR(Tot_Tax-Tot_Payments+TaxPenalty),0,IF(Tot_Tax-Tot_Payments+TaxPenalty&lt;0,0,Tot_Tax-Tot_Payments+TaxPenalty)))</f>
        <v/>
      </c>
      <c r="AM131" s="7637" t="n"/>
      <c r="AN131" s="7637" t="n"/>
      <c r="AO131" s="7637" t="n"/>
      <c r="AP131" s="7637" t="n"/>
      <c r="AQ131" s="7637" t="n"/>
      <c r="AR131" s="7637" t="n"/>
      <c r="AS131" s="1878" t="n"/>
      <c r="AT131" s="778" t="n"/>
      <c r="AU131" s="4103">
        <f>IF(OR(AU127,AU136),"Hide note.","")</f>
        <v/>
      </c>
      <c r="AV131" s="794" t="n"/>
      <c r="AW131" s="794" t="n"/>
      <c r="AX131" s="732" t="n"/>
      <c r="AY131" s="5427" t="n">
        <v>300000</v>
      </c>
      <c r="AZ131" s="11602" t="n"/>
      <c r="BA131" s="11602" t="n"/>
      <c r="BB131" s="11602" t="n"/>
      <c r="BC131" s="11602" t="n"/>
      <c r="BD131" s="11602" t="n"/>
      <c r="BE131" s="11602" t="n"/>
      <c r="BF131" s="11602" t="n"/>
      <c r="BG131" s="11602" t="n"/>
      <c r="BH131" s="11602" t="n"/>
      <c r="BI131" s="4098" t="inlineStr">
        <is>
          <t>YOU &lt;65 Test</t>
        </is>
      </c>
      <c r="BJ131" s="4078" t="n"/>
      <c r="BK131" s="11789">
        <f>DATEVALUE("31-DEC-"&amp;(TaxYear-65))</f>
        <v/>
      </c>
      <c r="BL131" s="4078">
        <f>$BJ$122&gt;BK131</f>
        <v/>
      </c>
      <c r="BM131" s="4078" t="n"/>
      <c r="BN131" s="4078" t="n"/>
      <c r="BO131" s="4079" t="n"/>
      <c r="BP131" s="4078" t="n"/>
      <c r="BQ131" s="4079" t="n"/>
      <c r="BR131" s="4080" t="n"/>
      <c r="BS131" s="11602" t="n"/>
      <c r="BT131" s="11704" t="n"/>
      <c r="BU131" s="658" t="n"/>
      <c r="BV131" s="658" t="n"/>
      <c r="BW131" s="658" t="n"/>
      <c r="BX131" s="658" t="n"/>
      <c r="BY131" s="658" t="n"/>
      <c r="BZ131" s="658" t="n"/>
      <c r="CA131" s="658" t="n"/>
      <c r="CB131" s="658" t="n"/>
      <c r="CC131" s="658" t="n"/>
      <c r="CD131" s="658" t="n"/>
      <c r="CE131" s="658" t="n"/>
      <c r="CF131" s="658" t="n"/>
    </row>
    <row r="132" ht="14.25" customHeight="1" s="7635" thickBot="1">
      <c r="A132" s="139" t="n"/>
      <c r="B132" s="1957" t="n"/>
      <c r="D132" s="1957" t="n"/>
      <c r="E132" s="1957" t="n"/>
      <c r="F132" s="1905" t="n">
        <v>38</v>
      </c>
      <c r="G132" s="1958" t="n"/>
      <c r="H132" s="7291">
        <f>IF(AND(You_Owe&lt;&gt;"",You_Owe&gt;1000,You_Owe&gt;0.1*Tot_Tax,TaxPenalty=""),"Enter Estimated Tax Penalty (or 0 if none applies)","Estimated tax penalty (see instructions)")</f>
        <v/>
      </c>
      <c r="I132" s="8848" t="n"/>
      <c r="J132" s="8848" t="n"/>
      <c r="K132" s="8848" t="n"/>
      <c r="L132" s="8848" t="n"/>
      <c r="M132" s="8848" t="n"/>
      <c r="N132" s="8848" t="n"/>
      <c r="O132" s="8848" t="n"/>
      <c r="P132" s="8848" t="n"/>
      <c r="Q132" s="8848" t="n"/>
      <c r="R132" s="8848" t="n"/>
      <c r="S132" s="8848" t="n"/>
      <c r="T132" s="8848" t="n"/>
      <c r="U132" s="8848" t="n"/>
      <c r="V132" s="8848" t="n"/>
      <c r="W132" s="8848" t="n"/>
      <c r="X132" s="1904" t="n"/>
      <c r="Y132" s="1904" t="n"/>
      <c r="Z132" s="1904" t="n"/>
      <c r="AA132" s="11792" t="inlineStr">
        <is>
          <t xml:space="preserve">.   .   .   .   .   .   .   .   .   . </t>
        </is>
      </c>
      <c r="AB132" s="1959">
        <f>F132</f>
        <v/>
      </c>
      <c r="AC132" s="1960" t="n"/>
      <c r="AD132" s="7314">
        <f>IF(AX132&lt;&gt;"",ROUND(AX132,0),SUM('2210'!U107))</f>
        <v/>
      </c>
      <c r="AE132" s="8848" t="n"/>
      <c r="AF132" s="8848" t="n"/>
      <c r="AG132" s="8848" t="n"/>
      <c r="AH132" s="8848" t="n"/>
      <c r="AI132" s="7314" t="n"/>
      <c r="AJ132" s="1961" t="n"/>
      <c r="AK132" s="1902" t="n"/>
      <c r="AL132" s="1962" t="n"/>
      <c r="AM132" s="1962" t="n"/>
      <c r="AN132" s="818" t="n"/>
      <c r="AO132" s="818" t="n"/>
      <c r="AP132" s="818" t="n"/>
      <c r="AQ132" s="818" t="n"/>
      <c r="AR132" s="818" t="n"/>
      <c r="AS132" s="1878" t="n"/>
      <c r="AT132" s="4044" t="n"/>
      <c r="AU132" s="11602" t="n"/>
      <c r="AV132" s="11602" t="n"/>
      <c r="AW132" s="11602" t="n"/>
      <c r="AX132" s="732" t="n"/>
      <c r="AY132" s="5427">
        <f>IF(File_Marr_Joint&lt;&gt;"",AY131,AY130)</f>
        <v/>
      </c>
      <c r="AZ132" s="11602" t="n"/>
      <c r="BA132" s="11602" t="n"/>
      <c r="BB132" s="11602" t="n"/>
      <c r="BC132" s="11602" t="n"/>
      <c r="BD132" s="11602" t="n"/>
      <c r="BE132" s="11602" t="n"/>
      <c r="BF132" s="11602" t="n"/>
      <c r="BG132" s="11602" t="n"/>
      <c r="BH132" s="11602" t="n"/>
      <c r="BI132" s="4077" t="n"/>
      <c r="BJ132" s="4078" t="n"/>
      <c r="BK132" s="4079" t="inlineStr">
        <is>
          <t>BOTH</t>
        </is>
      </c>
      <c r="BL132" s="4078">
        <f>AND(You_GT24,You_LT65)</f>
        <v/>
      </c>
      <c r="BM132" s="4078" t="n"/>
      <c r="BN132" s="4078" t="n"/>
      <c r="BO132" s="4079" t="n"/>
      <c r="BP132" s="4078" t="n"/>
      <c r="BQ132" s="4079" t="n"/>
      <c r="BR132" s="4080" t="n"/>
      <c r="BS132" s="11602" t="n"/>
      <c r="BT132" s="11704" t="n"/>
      <c r="BU132" s="658" t="n"/>
      <c r="BV132" s="658" t="n"/>
      <c r="BW132" s="658" t="n"/>
      <c r="BX132" s="658" t="n"/>
      <c r="BY132" s="658" t="n"/>
      <c r="BZ132" s="658" t="n"/>
      <c r="CA132" s="658" t="n"/>
      <c r="CB132" s="658" t="n"/>
      <c r="CC132" s="658" t="n"/>
      <c r="CD132" s="658" t="n"/>
      <c r="CE132" s="658" t="n"/>
      <c r="CF132" s="658" t="n"/>
    </row>
    <row r="133" ht="5.25" customHeight="1" s="7635">
      <c r="A133" s="139" t="n"/>
      <c r="B133" s="11793" t="inlineStr">
        <is>
          <t>Third Party Designee</t>
        </is>
      </c>
      <c r="C133" s="2506" t="n"/>
      <c r="D133" s="2506" t="n"/>
      <c r="E133" s="2506" t="n"/>
      <c r="F133" s="1889" t="n"/>
      <c r="G133" s="1897" t="n"/>
      <c r="H133" s="1897" t="n"/>
      <c r="I133" s="1897" t="n"/>
      <c r="J133" s="1897" t="n"/>
      <c r="K133" s="1897" t="n"/>
      <c r="L133" s="1897" t="n"/>
      <c r="M133" s="1897" t="n"/>
      <c r="N133" s="1897" t="n"/>
      <c r="O133" s="1897" t="n"/>
      <c r="P133" s="1897" t="n"/>
      <c r="Q133" s="1897" t="n"/>
      <c r="R133" s="1897" t="n"/>
      <c r="S133" s="1897" t="n"/>
      <c r="T133" s="1897" t="n"/>
      <c r="U133" s="1897" t="n"/>
      <c r="V133" s="1897" t="n"/>
      <c r="W133" s="1897" t="n"/>
      <c r="X133" s="1897" t="n"/>
      <c r="Y133" s="1897" t="n"/>
      <c r="Z133" s="1897" t="n"/>
      <c r="AA133" s="1897" t="n"/>
      <c r="AB133" s="1897" t="n"/>
      <c r="AC133" s="1897" t="n"/>
      <c r="AD133" s="1897" t="n"/>
      <c r="AE133" s="1897" t="n"/>
      <c r="AF133" s="1897" t="n"/>
      <c r="AG133" s="1897" t="n"/>
      <c r="AH133" s="1897" t="n"/>
      <c r="AI133" s="1897" t="n"/>
      <c r="AJ133" s="1897" t="n"/>
      <c r="AK133" s="1847" t="n"/>
      <c r="AL133" s="1847" t="n"/>
      <c r="AM133" s="1847" t="n"/>
      <c r="AN133" s="1847" t="n"/>
      <c r="AO133" s="1897" t="n"/>
      <c r="AP133" s="1897" t="n"/>
      <c r="AQ133" s="1897" t="n"/>
      <c r="AR133" s="1897" t="n"/>
      <c r="AS133" s="1876" t="n"/>
      <c r="AT133" s="4044" t="n"/>
      <c r="AU133" s="11602" t="n"/>
      <c r="AV133" s="11602" t="n"/>
      <c r="AW133" s="11602" t="n"/>
      <c r="AX133" s="4008" t="n"/>
      <c r="AY133" s="851" t="n"/>
      <c r="AZ133" s="11602" t="n"/>
      <c r="BA133" s="11602" t="n"/>
      <c r="BB133" s="11602" t="n"/>
      <c r="BC133" s="11602" t="n"/>
      <c r="BD133" s="11602" t="n"/>
      <c r="BE133" s="11602" t="n"/>
      <c r="BF133" s="11602" t="n"/>
      <c r="BG133" s="11602" t="n"/>
      <c r="BH133" s="11602" t="n"/>
      <c r="BI133" s="4077" t="inlineStr">
        <is>
          <t xml:space="preserve">  Line 39 ---&gt;</t>
        </is>
      </c>
      <c r="BJ133" s="11794">
        <f>DATEVALUE("2-Jan-"&amp;TaxYear-64)</f>
        <v/>
      </c>
      <c r="BK133" s="4108">
        <f>BJ133</f>
        <v/>
      </c>
      <c r="BL133" s="4078" t="n"/>
      <c r="BM133" s="4078" t="n"/>
      <c r="BN133" s="4078" t="n"/>
      <c r="BO133" s="4079" t="n"/>
      <c r="BP133" s="4078" t="n"/>
      <c r="BQ133" s="4079" t="n"/>
      <c r="BR133" s="4080" t="n"/>
      <c r="BS133" s="11602" t="n"/>
      <c r="BT133" s="658" t="n"/>
      <c r="BU133" s="658" t="n"/>
      <c r="BV133" s="658" t="n"/>
      <c r="BW133" s="658" t="n"/>
      <c r="BX133" s="658" t="n"/>
      <c r="BY133" s="658" t="n"/>
      <c r="BZ133" s="658" t="n"/>
      <c r="CA133" s="658" t="n"/>
      <c r="CB133" s="658" t="n"/>
      <c r="CC133" s="658" t="n"/>
      <c r="CD133" s="658" t="n"/>
      <c r="CE133" s="658" t="n"/>
      <c r="CF133" s="658" t="n"/>
    </row>
    <row r="134" ht="15" customHeight="1" s="7635">
      <c r="A134" s="139" t="n"/>
      <c r="F134" s="1889" t="inlineStr">
        <is>
          <t>Do you want to allow another person to discuss this return with the IRS?</t>
        </is>
      </c>
      <c r="G134" s="1897" t="n"/>
      <c r="H134" s="1897" t="n"/>
      <c r="I134" s="1897" t="n"/>
      <c r="J134" s="1897" t="n"/>
      <c r="K134" s="1897" t="n"/>
      <c r="L134" s="1897" t="n"/>
      <c r="M134" s="1897" t="n"/>
      <c r="N134" s="1897" t="n"/>
      <c r="O134" s="1897" t="n"/>
      <c r="P134" s="1897" t="n"/>
      <c r="Q134" s="1897" t="n"/>
      <c r="R134" s="1897" t="n"/>
      <c r="S134" s="1897" t="n"/>
      <c r="T134" s="1897" t="n"/>
      <c r="U134" s="1897" t="n"/>
      <c r="V134" s="1897" t="n"/>
      <c r="W134" s="1830" t="n"/>
      <c r="X134" s="1897" t="n"/>
      <c r="Y134" s="1897" t="n"/>
      <c r="Z134" s="1897" t="n"/>
      <c r="AA134" s="1897" t="n"/>
      <c r="AB134" s="11744" t="n"/>
      <c r="AC134" s="1111" t="n"/>
      <c r="AD134" s="1897" t="inlineStr">
        <is>
          <t>Yes.  Complete below.</t>
        </is>
      </c>
      <c r="AE134" s="1897" t="n"/>
      <c r="AF134" s="1897" t="n"/>
      <c r="AG134" s="1897" t="n"/>
      <c r="AH134" s="1897" t="n"/>
      <c r="AI134" s="1897" t="n"/>
      <c r="AJ134" s="1897" t="n"/>
      <c r="AK134" s="1897" t="n"/>
      <c r="AL134" s="1963">
        <f>IF(AC134="","X","")</f>
        <v/>
      </c>
      <c r="AM134" s="11734" t="n"/>
      <c r="AN134" s="1847" t="inlineStr">
        <is>
          <t xml:space="preserve"> No</t>
        </is>
      </c>
      <c r="AO134" s="1897" t="n"/>
      <c r="AP134" s="1897" t="n"/>
      <c r="AQ134" s="1897" t="n"/>
      <c r="AR134" s="1897" t="n"/>
      <c r="AS134" s="1876" t="n"/>
      <c r="AT134" s="4044" t="n"/>
      <c r="AU134" s="11602" t="n"/>
      <c r="AV134" s="11602" t="n"/>
      <c r="AW134" s="11602" t="n"/>
      <c r="AX134" s="4008" t="n"/>
      <c r="AY134" s="11602" t="n"/>
      <c r="AZ134" s="11602" t="n"/>
      <c r="BA134" s="11602" t="n"/>
      <c r="BB134" s="11602" t="n"/>
      <c r="BC134" s="11602" t="n"/>
      <c r="BD134" s="11602" t="n"/>
      <c r="BE134" s="11602" t="n"/>
      <c r="BF134" s="11602" t="n"/>
      <c r="BG134" s="11602" t="n"/>
      <c r="BH134" s="11602" t="n"/>
      <c r="BI134" s="4077" t="n"/>
      <c r="BJ134" s="4078" t="n"/>
      <c r="BK134" s="4078" t="n"/>
      <c r="BL134" s="4078" t="n"/>
      <c r="BM134" s="4078" t="n"/>
      <c r="BN134" s="4078" t="n"/>
      <c r="BO134" s="4079" t="n"/>
      <c r="BP134" s="4078" t="n"/>
      <c r="BQ134" s="4079" t="n"/>
      <c r="BR134" s="4080" t="n"/>
      <c r="BS134" s="11602" t="n"/>
      <c r="BT134" s="658" t="n"/>
      <c r="BU134" s="658" t="n"/>
      <c r="BV134" s="658" t="n"/>
      <c r="BW134" s="658" t="n"/>
      <c r="BX134" s="658" t="n"/>
      <c r="BY134" s="658" t="n"/>
      <c r="BZ134" s="658" t="n"/>
      <c r="CA134" s="658" t="n"/>
      <c r="CB134" s="658" t="n"/>
      <c r="CC134" s="658" t="n"/>
      <c r="CD134" s="658" t="n"/>
      <c r="CE134" s="658" t="n"/>
      <c r="CF134" s="658" t="n"/>
    </row>
    <row r="135" ht="6" customHeight="1" s="7635" thickBot="1">
      <c r="A135" s="139" t="n"/>
      <c r="F135" s="7189" t="inlineStr">
        <is>
          <t>Designee's name</t>
        </is>
      </c>
      <c r="J135" s="1897" t="n"/>
      <c r="K135" s="1897" t="n"/>
      <c r="L135" s="1897" t="n"/>
      <c r="M135" s="1897" t="n"/>
      <c r="N135" s="1897" t="n"/>
      <c r="O135" s="1897" t="n"/>
      <c r="P135" s="1897" t="n"/>
      <c r="Q135" s="1897" t="n"/>
      <c r="R135" s="1897" t="n"/>
      <c r="S135" s="1897" t="n"/>
      <c r="T135" s="1897" t="n"/>
      <c r="U135" s="1897" t="n"/>
      <c r="V135" s="1897" t="n"/>
      <c r="W135" s="7320" t="inlineStr">
        <is>
          <t>Phone no.</t>
        </is>
      </c>
      <c r="Y135" s="1897" t="n"/>
      <c r="Z135" s="1897" t="n"/>
      <c r="AA135" s="1897" t="n"/>
      <c r="AB135" s="1897" t="n"/>
      <c r="AC135" s="1897" t="n"/>
      <c r="AD135" s="1897" t="n"/>
      <c r="AE135" s="1897" t="n"/>
      <c r="AF135" s="6464" t="n"/>
      <c r="AG135" s="7189" t="inlineStr">
        <is>
          <t>Personal identification 
number (PIN)</t>
        </is>
      </c>
      <c r="AL135" s="1897" t="n"/>
      <c r="AM135" s="1897" t="n"/>
      <c r="AN135" s="1897" t="n"/>
      <c r="AO135" s="1897" t="n"/>
      <c r="AP135" s="1897" t="n"/>
      <c r="AQ135" s="1897" t="n"/>
      <c r="AR135" s="1897" t="n"/>
      <c r="AS135" s="1876" t="n"/>
      <c r="AT135" s="4044" t="n"/>
      <c r="AU135" s="11602" t="n"/>
      <c r="AV135" s="11602" t="n"/>
      <c r="AW135" s="11602" t="n"/>
      <c r="AX135" s="4008" t="n"/>
      <c r="AZ135" s="11602" t="n"/>
      <c r="BA135" s="11602" t="n"/>
      <c r="BB135" s="11602" t="n"/>
      <c r="BC135" s="11602" t="n"/>
      <c r="BD135" s="11602" t="n"/>
      <c r="BE135" s="11602" t="n"/>
      <c r="BF135" s="11602" t="n"/>
      <c r="BG135" s="11602" t="n"/>
      <c r="BH135" s="11602" t="n"/>
      <c r="BI135" s="1073" t="n"/>
      <c r="BJ135" s="344" t="n"/>
      <c r="BK135" s="344" t="n"/>
      <c r="BL135" s="344" t="n"/>
      <c r="BM135" s="344" t="n"/>
      <c r="BN135" s="344" t="n"/>
      <c r="BO135" s="344" t="n"/>
      <c r="BP135" s="344" t="n"/>
      <c r="BQ135" s="344" t="n"/>
      <c r="BR135" s="346" t="n"/>
      <c r="BS135" s="11602" t="n"/>
      <c r="BT135" s="658" t="n"/>
      <c r="BU135" s="658" t="n"/>
      <c r="BV135" s="658" t="n"/>
      <c r="BW135" s="658" t="n"/>
      <c r="BX135" s="658" t="n"/>
      <c r="BY135" s="658" t="n"/>
      <c r="BZ135" s="658" t="n"/>
      <c r="CA135" s="658" t="n"/>
      <c r="CB135" s="658" t="n"/>
      <c r="CC135" s="658" t="n"/>
      <c r="CD135" s="658" t="n"/>
      <c r="CE135" s="658" t="n"/>
      <c r="CF135" s="658" t="n"/>
    </row>
    <row r="136" ht="20.25" customHeight="1" s="7635" thickBot="1">
      <c r="A136" s="139" t="n"/>
      <c r="B136" s="8848" t="n"/>
      <c r="C136" s="8848" t="n"/>
      <c r="D136" s="8848" t="n"/>
      <c r="E136" s="8848" t="n"/>
      <c r="F136" s="8848" t="n"/>
      <c r="G136" s="8848" t="n"/>
      <c r="H136" s="8848" t="n"/>
      <c r="I136" s="8848" t="n"/>
      <c r="J136" s="7190" t="n"/>
      <c r="K136" s="11795" t="n"/>
      <c r="L136" s="11795" t="n"/>
      <c r="M136" s="11795" t="n"/>
      <c r="N136" s="11795" t="n"/>
      <c r="O136" s="11795" t="n"/>
      <c r="P136" s="11795" t="n"/>
      <c r="Q136" s="11795" t="n"/>
      <c r="R136" s="11795" t="n"/>
      <c r="S136" s="11795" t="n"/>
      <c r="T136" s="11795" t="n"/>
      <c r="U136" s="11795" t="n"/>
      <c r="V136" s="11795" t="n"/>
      <c r="W136" s="8848" t="n"/>
      <c r="X136" s="8848" t="n"/>
      <c r="Y136" s="11796" t="n"/>
      <c r="Z136" s="11795" t="n"/>
      <c r="AA136" s="11795" t="n"/>
      <c r="AB136" s="11795" t="n"/>
      <c r="AC136" s="11795" t="n"/>
      <c r="AD136" s="11795" t="n"/>
      <c r="AE136" s="1897" t="n"/>
      <c r="AF136" s="1903" t="n"/>
      <c r="AG136" s="8848" t="n"/>
      <c r="AH136" s="8848" t="n"/>
      <c r="AI136" s="8848" t="n"/>
      <c r="AJ136" s="8848" t="n"/>
      <c r="AK136" s="8848" t="n"/>
      <c r="AL136" s="1147" t="n"/>
      <c r="AM136" s="11797" t="n"/>
      <c r="AN136" s="11797" t="n"/>
      <c r="AO136" s="11797" t="n"/>
      <c r="AP136" s="11797" t="n"/>
      <c r="AQ136" s="11797" t="n"/>
      <c r="AR136" s="11798" t="n"/>
      <c r="AS136" s="1876" t="n"/>
      <c r="AT136" s="4044" t="n"/>
      <c r="AU136" s="4116">
        <f>(SUM(AL126,AD129,TaxPenalty)&lt;&gt;Overpaid)</f>
        <v/>
      </c>
      <c r="AV136" s="4117" t="n"/>
      <c r="AW136" s="4117" t="n"/>
      <c r="AX136" s="4008" t="n"/>
      <c r="AY136" s="11602" t="n"/>
      <c r="AZ136" s="11602" t="n"/>
      <c r="BA136" s="11602" t="n"/>
      <c r="BB136" s="11602" t="n"/>
      <c r="BC136" s="11602" t="n"/>
      <c r="BD136" s="11602" t="n"/>
      <c r="BE136" s="11602" t="n"/>
      <c r="BF136" s="11602" t="n"/>
      <c r="BG136" s="11602" t="n"/>
      <c r="BH136" s="11602" t="n"/>
      <c r="BI136" s="4077">
        <f>IF(NumFileStatusBoxes=0,FALSE,IF(AND(OR(File_Marr_Sep&lt;&gt;"",File_Marr_Joint&lt;&gt;""),OR(BI122,BI143)),TRUE,IF(BI122,TRUE,FALSE)))</f>
        <v/>
      </c>
      <c r="BJ136" s="7240" t="n"/>
      <c r="BL136" s="4078" t="n"/>
      <c r="BM136" s="4078" t="n"/>
      <c r="BN136" s="4078" t="n"/>
      <c r="BO136" s="4079" t="n"/>
      <c r="BP136" s="4078" t="n"/>
      <c r="BQ136" s="4079" t="n"/>
      <c r="BR136" s="4080">
        <f>TaxYear-65</f>
        <v/>
      </c>
      <c r="BS136" s="11602" t="n"/>
      <c r="BT136" s="658" t="n"/>
      <c r="BU136" s="658" t="n"/>
      <c r="BV136" s="658" t="n"/>
      <c r="BW136" s="658" t="n"/>
      <c r="BX136" s="658" t="n"/>
      <c r="BY136" s="658" t="n"/>
      <c r="BZ136" s="658" t="n"/>
      <c r="CA136" s="658" t="n"/>
      <c r="CB136" s="658" t="n"/>
      <c r="CC136" s="658" t="n"/>
      <c r="CD136" s="658" t="n"/>
      <c r="CE136" s="658" t="n"/>
      <c r="CF136" s="658" t="n"/>
    </row>
    <row r="137" ht="14.25" customHeight="1" s="7635" thickBot="1">
      <c r="A137" s="139" t="n"/>
      <c r="B137" s="7191" t="inlineStr">
        <is>
          <t>Sign 
Here</t>
        </is>
      </c>
      <c r="C137" s="2506" t="n"/>
      <c r="D137" s="5833" t="n"/>
      <c r="E137" s="8623" t="n"/>
      <c r="F137" s="1889" t="inlineStr">
        <is>
          <t>Under penalties of perjury, I declare that I have examined this return and accompanying schedules and statements, and to the best of my knowledge and</t>
        </is>
      </c>
      <c r="G137" s="1876" t="n"/>
      <c r="H137" s="1876" t="n"/>
      <c r="I137" s="1876" t="n"/>
      <c r="J137" s="1876" t="n"/>
      <c r="K137" s="1876" t="n"/>
      <c r="L137" s="1876" t="n"/>
      <c r="M137" s="1876" t="n"/>
      <c r="N137" s="1876" t="n"/>
      <c r="O137" s="1876" t="n"/>
      <c r="P137" s="1876" t="n"/>
      <c r="Q137" s="1876" t="n"/>
      <c r="R137" s="1876" t="n"/>
      <c r="S137" s="1876" t="n"/>
      <c r="T137" s="1876" t="n"/>
      <c r="U137" s="1876" t="n"/>
      <c r="V137" s="1876" t="n"/>
      <c r="W137" s="1876" t="n"/>
      <c r="X137" s="1876" t="n"/>
      <c r="Y137" s="1876" t="n"/>
      <c r="Z137" s="1876" t="n"/>
      <c r="AA137" s="1876" t="n"/>
      <c r="AB137" s="1876" t="n"/>
      <c r="AC137" s="1876" t="n"/>
      <c r="AD137" s="1876" t="n"/>
      <c r="AE137" s="1917" t="n"/>
      <c r="AF137" s="1876" t="n"/>
      <c r="AG137" s="1876" t="n"/>
      <c r="AH137" s="1876" t="n"/>
      <c r="AI137" s="1876" t="n"/>
      <c r="AJ137" s="1876" t="n"/>
      <c r="AK137" s="1876" t="n"/>
      <c r="AL137" s="1876" t="n"/>
      <c r="AM137" s="1876" t="n"/>
      <c r="AN137" s="1876" t="n"/>
      <c r="AO137" s="1876" t="n"/>
      <c r="AP137" s="1876" t="n"/>
      <c r="AQ137" s="1876" t="n"/>
      <c r="AR137" s="1876" t="n"/>
      <c r="AS137" s="1876" t="n"/>
      <c r="AT137" s="4044" t="n"/>
      <c r="AU137" s="4117" t="n"/>
      <c r="AV137" s="4117" t="n"/>
      <c r="AW137" s="4117" t="n"/>
      <c r="AX137" s="4008" t="n"/>
      <c r="AY137" s="11602" t="n"/>
      <c r="AZ137" s="11602" t="n"/>
      <c r="BA137" s="11602" t="n"/>
      <c r="BB137" s="11602" t="n"/>
      <c r="BC137" s="11602" t="n"/>
      <c r="BD137" s="11602" t="n"/>
      <c r="BE137" s="11602" t="n"/>
      <c r="BF137" s="11602" t="n"/>
      <c r="BG137" s="11602" t="n"/>
      <c r="BH137" s="11602" t="n"/>
      <c r="BI137" s="1073" t="n"/>
      <c r="BJ137" s="4111" t="n"/>
      <c r="BK137" s="7240" t="inlineStr">
        <is>
          <t>Tax Day</t>
        </is>
      </c>
      <c r="BL137" s="344" t="n"/>
      <c r="BM137" s="344" t="n"/>
      <c r="BN137" s="344" t="n"/>
      <c r="BO137" s="344" t="n"/>
      <c r="BP137" s="344" t="n"/>
      <c r="BQ137" s="344" t="n"/>
      <c r="BR137" s="346" t="n"/>
      <c r="BS137" s="11602" t="n"/>
      <c r="BT137" s="11704" t="n"/>
      <c r="BU137" s="658" t="n"/>
      <c r="BV137" s="658" t="n"/>
      <c r="BW137" s="658" t="n"/>
      <c r="BX137" s="658" t="n"/>
      <c r="BY137" s="658" t="n"/>
      <c r="BZ137" s="658" t="n"/>
      <c r="CA137" s="658" t="n"/>
      <c r="CB137" s="658" t="n"/>
      <c r="CC137" s="658" t="n"/>
      <c r="CD137" s="658" t="n"/>
      <c r="CE137" s="658" t="n"/>
      <c r="CF137" s="658" t="n"/>
    </row>
    <row r="138" ht="14.25" customHeight="1" s="7635" thickBot="1">
      <c r="A138" s="139" t="n"/>
      <c r="D138" s="8623" t="n"/>
      <c r="E138" s="8623" t="n"/>
      <c r="F138" s="5952" t="inlineStr">
        <is>
          <t>belief, they are true, correct, and complete. Declaration of preparer (other than taxpayer) is based on all information of which preparer has any knowledge.</t>
        </is>
      </c>
      <c r="G138" s="1964" t="n"/>
      <c r="H138" s="1964" t="n"/>
      <c r="I138" s="1964" t="n"/>
      <c r="J138" s="1964" t="n"/>
      <c r="K138" s="1964" t="n"/>
      <c r="L138" s="1964" t="n"/>
      <c r="M138" s="1964" t="n"/>
      <c r="N138" s="1964" t="n"/>
      <c r="O138" s="1964" t="n"/>
      <c r="P138" s="1964" t="n"/>
      <c r="Q138" s="1964" t="n"/>
      <c r="R138" s="1964" t="n"/>
      <c r="S138" s="1964" t="n"/>
      <c r="T138" s="1964" t="n"/>
      <c r="U138" s="1964" t="n"/>
      <c r="V138" s="1964" t="n"/>
      <c r="W138" s="1964" t="n"/>
      <c r="X138" s="1964" t="n"/>
      <c r="Y138" s="1964" t="n"/>
      <c r="Z138" s="1964" t="n"/>
      <c r="AA138" s="1964" t="n"/>
      <c r="AB138" s="1964" t="n"/>
      <c r="AC138" s="1964" t="n"/>
      <c r="AD138" s="1964" t="n"/>
      <c r="AE138" s="1964" t="n"/>
      <c r="AF138" s="1964" t="n"/>
      <c r="AG138" s="1964" t="n"/>
      <c r="AH138" s="1964" t="n"/>
      <c r="AI138" s="1964" t="n"/>
      <c r="AJ138" s="1964" t="n"/>
      <c r="AK138" s="1964" t="n"/>
      <c r="AL138" s="1964" t="n"/>
      <c r="AM138" s="1964" t="n"/>
      <c r="AN138" s="1964" t="n"/>
      <c r="AO138" s="1964" t="n"/>
      <c r="AP138" s="1964" t="n"/>
      <c r="AQ138" s="1964" t="n"/>
      <c r="AR138" s="1964" t="n"/>
      <c r="AS138" s="1964" t="n"/>
      <c r="AT138" s="4044" t="n"/>
      <c r="AU138" s="4117" t="n"/>
      <c r="AV138" s="4117" t="n"/>
      <c r="AW138" s="4117" t="n"/>
      <c r="AX138" s="4008" t="n"/>
      <c r="AY138" s="11602" t="n"/>
      <c r="AZ138" s="11602" t="n"/>
      <c r="BA138" s="11602" t="n"/>
      <c r="BB138" s="11602" t="n"/>
      <c r="BC138" s="11602" t="n"/>
      <c r="BD138" s="11602" t="n"/>
      <c r="BE138" s="11602" t="n"/>
      <c r="BF138" s="11602" t="n"/>
      <c r="BG138" s="11602" t="n"/>
      <c r="BH138" s="11602" t="n"/>
      <c r="BI138" s="1073" t="n"/>
      <c r="BJ138" s="11799">
        <f>"April 15, "&amp;TaxYear+1</f>
        <v/>
      </c>
      <c r="BK138" s="11800">
        <f>IF(WEEKDAY(BJ138)=6,BJ138+4,IF(WEEKDAY(BJ138)=7,BJ138+3,IF(WEEKDAY(BJ138)=1,BJ138+1,BJ138)))</f>
        <v/>
      </c>
      <c r="BL138" s="344" t="inlineStr">
        <is>
          <t>Monday is a holiday in some places.</t>
        </is>
      </c>
      <c r="BM138" s="344" t="n"/>
      <c r="BN138" s="344" t="n"/>
      <c r="BO138" s="344" t="n"/>
      <c r="BP138" s="344" t="n"/>
      <c r="BQ138" s="344" t="n"/>
      <c r="BR138" s="346" t="n"/>
      <c r="BS138" s="11602" t="n"/>
      <c r="BT138" s="11704" t="n"/>
      <c r="BU138" s="658" t="n"/>
      <c r="BV138" s="658" t="n"/>
      <c r="BW138" s="658" t="n"/>
      <c r="BX138" s="658" t="n"/>
      <c r="BY138" s="658" t="n"/>
      <c r="BZ138" s="658" t="n"/>
      <c r="CA138" s="658" t="n"/>
      <c r="CB138" s="658" t="n"/>
      <c r="CC138" s="658" t="n"/>
      <c r="CD138" s="658" t="n"/>
      <c r="CE138" s="658" t="n"/>
      <c r="CF138" s="658" t="n"/>
    </row>
    <row r="139" ht="15.75" customHeight="1" s="7635">
      <c r="A139" s="139" t="n"/>
      <c r="D139" s="8623" t="n"/>
      <c r="E139" s="8623" t="n"/>
      <c r="F139" s="7299" t="inlineStr">
        <is>
          <t>Your signature</t>
        </is>
      </c>
      <c r="G139" s="11602" t="n"/>
      <c r="H139" s="343" t="n"/>
      <c r="I139" s="343" t="n"/>
      <c r="J139" s="343" t="n"/>
      <c r="K139" s="343" t="n"/>
      <c r="L139" s="343" t="n"/>
      <c r="M139" s="343" t="n"/>
      <c r="N139" s="343" t="n"/>
      <c r="O139" s="343" t="n"/>
      <c r="P139" s="343" t="n"/>
      <c r="Q139" s="343" t="n"/>
      <c r="R139" s="343" t="n"/>
      <c r="S139" s="343" t="n"/>
      <c r="T139" s="343" t="n"/>
      <c r="U139" s="11801" t="inlineStr">
        <is>
          <t>Date</t>
        </is>
      </c>
      <c r="Z139" s="7636" t="n"/>
      <c r="AA139" s="11801" t="inlineStr">
        <is>
          <t>Your occupation</t>
        </is>
      </c>
      <c r="AI139" s="7636" t="n"/>
      <c r="AJ139" s="7309" t="inlineStr">
        <is>
          <t>If the IRS sent you an identity Protection PIN, enter it here</t>
        </is>
      </c>
      <c r="AT139" s="4044" t="n"/>
      <c r="AU139" s="88" t="n"/>
      <c r="AV139" s="88" t="n"/>
      <c r="AW139" s="88" t="n"/>
      <c r="AX139" s="4008" t="n"/>
      <c r="AY139" s="5427" t="n">
        <v>100000</v>
      </c>
      <c r="AZ139" s="11602" t="n"/>
      <c r="BA139" s="11602" t="n"/>
      <c r="BB139" s="11602" t="n"/>
      <c r="BC139" s="11602" t="n"/>
      <c r="BD139" s="11602" t="n"/>
      <c r="BE139" s="11602" t="n"/>
      <c r="BF139" s="11602" t="n"/>
      <c r="BG139" s="11602" t="n"/>
      <c r="BH139" s="11602" t="n"/>
      <c r="BI139" s="1073" t="n"/>
      <c r="BJ139" s="4114">
        <f>IF(WEEKDAY(BJ138)=1,"Sunday",IF(WEEKDAY(BJ138)=2,"Monday",IF(WEEKDAY(BJ138)=3,"Tuesday",IF(WEEKDAY(BJ138)=4,"Wednesday",IF(WEEKDAY(BJ138)=5,"Thursday",IF(WEEKDAY(BJ138)=6,"Friday",IF(WEEKDAY(BJ138)=7,"Saturday","")))))))</f>
        <v/>
      </c>
      <c r="BK139" s="4115">
        <f>IF(WEEKDAY(BK138)=1,"Sunday",IF(WEEKDAY(BK138)=2,"Monday",IF(WEEKDAY(BK138)=3,"Tuesday",IF(WEEKDAY(BK138)=4,"Wednesday",IF(WEEKDAY(BK138)=5,"Thursday",IF(WEEKDAY(BK138)=6,"Friday",IF(WEEKDAY(BK138)=7,"Saturday","")))))))</f>
        <v/>
      </c>
      <c r="BL139" s="344" t="n"/>
      <c r="BM139" s="344" t="n"/>
      <c r="BN139" s="344" t="n"/>
      <c r="BO139" s="344" t="n"/>
      <c r="BP139" s="4078" t="n"/>
      <c r="BQ139" s="4079" t="n"/>
      <c r="BR139" s="4080" t="n"/>
      <c r="BS139" s="11602" t="n"/>
      <c r="BT139" s="11704" t="n"/>
      <c r="BU139" s="658" t="n"/>
      <c r="BV139" s="658" t="n"/>
      <c r="BW139" s="658" t="n"/>
      <c r="BX139" s="658" t="n"/>
      <c r="BY139" s="658" t="n"/>
      <c r="BZ139" s="658" t="n"/>
      <c r="CA139" s="658" t="n"/>
      <c r="CB139" s="658" t="n"/>
      <c r="CC139" s="658" t="n"/>
      <c r="CD139" s="658" t="n"/>
      <c r="CE139" s="658" t="n"/>
      <c r="CF139" s="658" t="n"/>
    </row>
    <row r="140" ht="13.5" customHeight="1" s="7635" thickBot="1">
      <c r="A140" s="139" t="n"/>
      <c r="B140" s="343" t="n"/>
      <c r="C140" s="7299" t="inlineStr">
        <is>
          <t>Joint return?</t>
        </is>
      </c>
      <c r="D140" s="322" t="n"/>
      <c r="E140" s="322" t="n"/>
      <c r="F140" s="7236" t="n"/>
      <c r="G140" s="194" t="n"/>
      <c r="H140" s="194" t="n"/>
      <c r="I140" s="194" t="n"/>
      <c r="J140" s="194" t="n"/>
      <c r="K140" s="194" t="n"/>
      <c r="L140" s="194" t="n"/>
      <c r="M140" s="194" t="n"/>
      <c r="N140" s="194" t="n"/>
      <c r="O140" s="194" t="n"/>
      <c r="P140" s="194" t="n"/>
      <c r="Q140" s="194" t="n"/>
      <c r="R140" s="194" t="n"/>
      <c r="S140" s="194" t="n"/>
      <c r="T140" s="11726" t="n"/>
      <c r="U140" s="11802" t="n"/>
      <c r="V140" s="194" t="n"/>
      <c r="W140" s="194" t="n"/>
      <c r="X140" s="194" t="n"/>
      <c r="Y140" s="194" t="n"/>
      <c r="Z140" s="11726" t="n"/>
      <c r="AA140" s="11803" t="n"/>
      <c r="AB140" s="194" t="n"/>
      <c r="AC140" s="194" t="n"/>
      <c r="AD140" s="194" t="n"/>
      <c r="AE140" s="194" t="n"/>
      <c r="AF140" s="194" t="n"/>
      <c r="AG140" s="194" t="n"/>
      <c r="AH140" s="194" t="n"/>
      <c r="AI140" s="11726" t="n"/>
      <c r="AJ140" s="4772" t="n"/>
      <c r="AT140" s="4044" t="n"/>
      <c r="AU140" s="88" t="n"/>
      <c r="AV140" s="88" t="n"/>
      <c r="AW140" s="88" t="n"/>
      <c r="AX140" s="4008" t="n"/>
      <c r="AY140" s="5427" t="n">
        <v>200000</v>
      </c>
      <c r="AZ140" s="11602" t="n"/>
      <c r="BA140" s="11602" t="n"/>
      <c r="BB140" s="11602" t="n"/>
      <c r="BC140" s="11602" t="n"/>
      <c r="BD140" s="11602" t="n"/>
      <c r="BE140" s="11602" t="n"/>
      <c r="BF140" s="11602" t="n"/>
      <c r="BG140" s="11602" t="n"/>
      <c r="BH140" s="11602" t="n"/>
      <c r="BI140" s="1073" t="n"/>
      <c r="BJ140" s="344" t="n"/>
      <c r="BK140" s="344" t="n"/>
      <c r="BL140" s="344" t="n"/>
      <c r="BM140" s="344" t="n"/>
      <c r="BN140" s="344" t="n"/>
      <c r="BO140" s="344" t="n"/>
      <c r="BP140" s="344" t="n"/>
      <c r="BQ140" s="344" t="n"/>
      <c r="BR140" s="346" t="n"/>
      <c r="BS140" s="11602" t="n"/>
      <c r="BT140" s="11704" t="n"/>
      <c r="BU140" s="658" t="n"/>
      <c r="BV140" s="658" t="n"/>
      <c r="BW140" s="658" t="n"/>
      <c r="BX140" s="658" t="n"/>
      <c r="BY140" s="658" t="n"/>
      <c r="BZ140" s="658" t="n"/>
      <c r="CA140" s="658" t="n"/>
      <c r="CB140" s="658" t="n"/>
      <c r="CC140" s="658" t="n"/>
      <c r="CD140" s="658" t="n"/>
      <c r="CE140" s="658" t="n"/>
      <c r="CF140" s="658" t="n"/>
    </row>
    <row r="141" ht="14.25" customHeight="1" s="7635" thickBot="1" thickTop="1">
      <c r="A141" s="139" t="n"/>
      <c r="B141" s="343" t="n"/>
      <c r="C141" s="1680" t="inlineStr">
        <is>
          <t>See instructions.</t>
        </is>
      </c>
      <c r="D141" s="1968" t="n"/>
      <c r="E141" s="1968" t="n"/>
      <c r="F141" s="11717" t="n"/>
      <c r="G141" s="11717" t="n"/>
      <c r="H141" s="11717" t="n"/>
      <c r="I141" s="11717" t="n"/>
      <c r="J141" s="11717" t="n"/>
      <c r="K141" s="11717" t="n"/>
      <c r="L141" s="11717" t="n"/>
      <c r="M141" s="11717" t="n"/>
      <c r="N141" s="11717" t="n"/>
      <c r="O141" s="11717" t="n"/>
      <c r="P141" s="11717" t="n"/>
      <c r="Q141" s="11717" t="n"/>
      <c r="R141" s="11717" t="n"/>
      <c r="S141" s="11717" t="n"/>
      <c r="T141" s="11718" t="n"/>
      <c r="U141" s="11728" t="n"/>
      <c r="V141" s="11717" t="n"/>
      <c r="W141" s="11717" t="n"/>
      <c r="X141" s="11717" t="n"/>
      <c r="Y141" s="11717" t="n"/>
      <c r="Z141" s="11718" t="n"/>
      <c r="AA141" s="11728" t="n"/>
      <c r="AB141" s="11717" t="n"/>
      <c r="AC141" s="11717" t="n"/>
      <c r="AD141" s="11717" t="n"/>
      <c r="AE141" s="11717" t="n"/>
      <c r="AF141" s="11717" t="n"/>
      <c r="AG141" s="11717" t="n"/>
      <c r="AH141" s="11717" t="n"/>
      <c r="AI141" s="11718" t="n"/>
      <c r="AJ141" s="11804" t="inlineStr">
        <is>
          <t>(see inst.)</t>
        </is>
      </c>
      <c r="AK141" s="7637" t="n"/>
      <c r="AL141" s="11805" t="n"/>
      <c r="AM141" s="11806" t="n"/>
      <c r="AN141" s="11806" t="n"/>
      <c r="AO141" s="11806" t="n"/>
      <c r="AP141" s="11806" t="n"/>
      <c r="AQ141" s="11806" t="n"/>
      <c r="AR141" s="11806" t="n"/>
      <c r="AS141" s="11807" t="n"/>
      <c r="AT141" s="4044" t="n"/>
      <c r="AU141" s="88" t="n"/>
      <c r="AV141" s="88" t="n"/>
      <c r="AW141" s="88" t="n"/>
      <c r="AX141" s="4008" t="n"/>
      <c r="AY141" s="5427">
        <f>IF(File_Marr_Joint&lt;&gt;"",AY140,AY139)</f>
        <v/>
      </c>
      <c r="AZ141" s="11602" t="n"/>
      <c r="BA141" s="11602" t="n"/>
      <c r="BB141" s="11602" t="n"/>
      <c r="BC141" s="11602" t="n"/>
      <c r="BD141" s="11602" t="n"/>
      <c r="BE141" s="11602" t="n"/>
      <c r="BF141" s="11602" t="n"/>
      <c r="BG141" s="11602" t="n"/>
      <c r="BH141" s="11602" t="n"/>
      <c r="BI141" s="1073" t="n"/>
      <c r="BJ141" s="344" t="n"/>
      <c r="BK141" s="344" t="n"/>
      <c r="BL141" s="344" t="n"/>
      <c r="BM141" s="344" t="n"/>
      <c r="BN141" s="344" t="n"/>
      <c r="BO141" s="344" t="n"/>
      <c r="BP141" s="344" t="n"/>
      <c r="BQ141" s="344" t="n"/>
      <c r="BR141" s="346" t="n"/>
      <c r="BS141" s="11602" t="n"/>
      <c r="BT141" s="11704" t="n"/>
      <c r="BU141" s="658" t="n"/>
      <c r="BV141" s="658" t="n"/>
      <c r="BW141" s="658" t="n"/>
      <c r="BX141" s="658" t="n"/>
      <c r="BY141" s="658" t="n"/>
      <c r="BZ141" s="658" t="n"/>
      <c r="CA141" s="658" t="n"/>
      <c r="CB141" s="658" t="n"/>
      <c r="CC141" s="658" t="n"/>
      <c r="CD141" s="658" t="n"/>
      <c r="CE141" s="658" t="n"/>
      <c r="CF141" s="658" t="n"/>
    </row>
    <row r="142" ht="14.25" customHeight="1" s="7635" thickTop="1">
      <c r="A142" s="139" t="n"/>
      <c r="B142" s="343" t="n"/>
      <c r="C142" s="7205" t="inlineStr">
        <is>
          <t>Keep a copy for your records.</t>
        </is>
      </c>
      <c r="D142" s="322" t="n"/>
      <c r="E142" s="322" t="n"/>
      <c r="F142" s="7299" t="inlineStr">
        <is>
          <t>Spouse’s signature. If a joint return, both must sign.</t>
        </is>
      </c>
      <c r="G142" s="343" t="n"/>
      <c r="H142" s="343" t="n"/>
      <c r="I142" s="343" t="n"/>
      <c r="J142" s="343" t="n"/>
      <c r="K142" s="343" t="n"/>
      <c r="L142" s="343" t="n"/>
      <c r="M142" s="343" t="n"/>
      <c r="N142" s="343" t="n"/>
      <c r="O142" s="343" t="n"/>
      <c r="P142" s="343" t="n"/>
      <c r="Q142" s="343" t="n"/>
      <c r="R142" s="343" t="n"/>
      <c r="S142" s="343" t="n"/>
      <c r="T142" s="343" t="n"/>
      <c r="U142" s="11801" t="inlineStr">
        <is>
          <t>Date</t>
        </is>
      </c>
      <c r="Z142" s="7636" t="n"/>
      <c r="AA142" s="7298" t="inlineStr">
        <is>
          <t>Spouse's occupation</t>
        </is>
      </c>
      <c r="AI142" s="11602" t="n"/>
      <c r="AJ142" s="7309" t="inlineStr">
        <is>
          <t>If the IRS sent you an identity Protection PIN, enter it here</t>
        </is>
      </c>
      <c r="AT142" s="4044" t="n"/>
      <c r="AU142" s="88" t="n"/>
      <c r="AV142" s="88" t="n"/>
      <c r="AW142" s="88" t="n"/>
      <c r="AX142" s="4008" t="n"/>
      <c r="AY142" s="11602" t="n"/>
      <c r="AZ142" s="11602" t="n"/>
      <c r="BA142" s="11602" t="n"/>
      <c r="BB142" s="11602" t="n"/>
      <c r="BC142" s="11602" t="n"/>
      <c r="BD142" s="11602" t="n"/>
      <c r="BE142" s="11602" t="n"/>
      <c r="BF142" s="11602" t="n"/>
      <c r="BG142" s="11602" t="n"/>
      <c r="BH142" s="11602" t="n"/>
      <c r="BI142" s="4077" t="n"/>
      <c r="BJ142" s="11794">
        <f>DATEVALUE(BJ144)</f>
        <v/>
      </c>
      <c r="BK142" s="4078" t="n"/>
      <c r="BL142" s="4078">
        <f>IF(AND(AND(File_Marr_Joint="",File_Marr_Sep=""),NumFileStatusBoxes=1),TRUE,FALSE)</f>
        <v/>
      </c>
      <c r="BM142" s="4078" t="n"/>
      <c r="BN142" s="4078" t="n"/>
      <c r="BO142" s="4079" t="n"/>
      <c r="BP142" s="4078" t="n"/>
      <c r="BQ142" s="4079" t="n"/>
      <c r="BR142" s="4080">
        <f>AND(SpouseDeceased&lt;&gt;"",SpouseDeathYear&lt;&gt;"",OR(SpouseBirthYear&lt;$BR$136,AND(SpouseBirthYear=$BR$136,SpouseDeathMonth&gt;SpouseBirthMonth),AND(SpouseDeathMonth=SpouseBirthMonth,SpouseDeathDay&gt;=SpouseBirthDay-1)))</f>
        <v/>
      </c>
      <c r="BS142" s="11602" t="n"/>
      <c r="BT142" s="11704" t="n"/>
      <c r="BU142" s="658" t="n"/>
      <c r="BV142" s="658" t="n"/>
      <c r="BW142" s="658" t="n"/>
      <c r="BX142" s="658" t="n"/>
      <c r="BY142" s="658" t="n"/>
      <c r="BZ142" s="658" t="n"/>
      <c r="CA142" s="658" t="n"/>
      <c r="CB142" s="658" t="n"/>
      <c r="CC142" s="658" t="n"/>
      <c r="CD142" s="658" t="n"/>
      <c r="CE142" s="658" t="n"/>
      <c r="CF142" s="658" t="n"/>
    </row>
    <row r="143" ht="13.5" customHeight="1" s="7635" thickBot="1">
      <c r="A143" s="139" t="n"/>
      <c r="B143" s="343" t="n"/>
      <c r="D143" s="2011" t="n"/>
      <c r="E143" s="322" t="n"/>
      <c r="F143" s="7236" t="n"/>
      <c r="G143" s="194" t="n"/>
      <c r="H143" s="194" t="n"/>
      <c r="I143" s="194" t="n"/>
      <c r="J143" s="194" t="n"/>
      <c r="K143" s="194" t="n"/>
      <c r="L143" s="194" t="n"/>
      <c r="M143" s="194" t="n"/>
      <c r="N143" s="194" t="n"/>
      <c r="O143" s="194" t="n"/>
      <c r="P143" s="194" t="n"/>
      <c r="Q143" s="194" t="n"/>
      <c r="R143" s="194" t="n"/>
      <c r="S143" s="194" t="n"/>
      <c r="T143" s="11726" t="n"/>
      <c r="U143" s="11802" t="n"/>
      <c r="V143" s="194" t="n"/>
      <c r="W143" s="194" t="n"/>
      <c r="X143" s="194" t="n"/>
      <c r="Y143" s="194" t="n"/>
      <c r="Z143" s="11726" t="n"/>
      <c r="AA143" s="11803" t="n"/>
      <c r="AB143" s="194" t="n"/>
      <c r="AC143" s="194" t="n"/>
      <c r="AD143" s="194" t="n"/>
      <c r="AE143" s="194" t="n"/>
      <c r="AF143" s="194" t="n"/>
      <c r="AG143" s="194" t="n"/>
      <c r="AH143" s="194" t="n"/>
      <c r="AI143" s="11726" t="n"/>
      <c r="AJ143" s="4772" t="n"/>
      <c r="AT143" s="4044" t="n"/>
      <c r="AU143" s="88" t="n"/>
      <c r="AV143" s="88" t="n"/>
      <c r="AW143" s="88" t="n"/>
      <c r="AX143" s="4008" t="n"/>
      <c r="AY143" s="11602" t="n"/>
      <c r="AZ143" s="11602" t="n"/>
      <c r="BA143" s="11602" t="n"/>
      <c r="BB143" s="11602" t="n"/>
      <c r="BC143" s="11602" t="n"/>
      <c r="BD143" s="11602" t="n"/>
      <c r="BE143" s="11602" t="n"/>
      <c r="BF143" s="11602" t="n"/>
      <c r="BG143" s="11602" t="n"/>
      <c r="BH143" s="11602" t="n"/>
      <c r="BI143" s="4077">
        <f>OR(SpouseBirthMonth="",SpouseBirthDay="",SpouseBirthYear="")</f>
        <v/>
      </c>
      <c r="BJ143" s="11781">
        <f>DATEVALUE(BJ144)</f>
        <v/>
      </c>
      <c r="BK143" s="4078" t="inlineStr">
        <is>
          <t>BadBirthdaySpouse</t>
        </is>
      </c>
      <c r="BL143" s="4078" t="n"/>
      <c r="BM143" s="4078" t="n"/>
      <c r="BN143" s="4085" t="inlineStr">
        <is>
          <t>70th Birthday --&gt;</t>
        </is>
      </c>
      <c r="BO143" s="4079">
        <f>IF(AND(SpouseBirthMonth=2,SpouseBirthDay=29),SpouseBirthDay-1&amp;"-"&amp;LOOKUP(SpouseBirthMonth,$BQ$118:$BQ$130,$BR$118:$BR$130)&amp;"-"&amp;(SpouseBirthYear+70),SpouseBirthDay&amp;"-"&amp;LOOKUP(SpouseBirthMonth,$BQ$118:$BQ$130,$BR$118:$BR$130)&amp;"-"&amp;(SpouseBirthYear+70))</f>
        <v/>
      </c>
      <c r="BP143" s="4078" t="n"/>
      <c r="BQ143" s="4079" t="n"/>
      <c r="BR143" s="4118">
        <f>DATEVALUE(BR145)</f>
        <v/>
      </c>
      <c r="BS143" s="11602" t="n"/>
      <c r="BT143" s="11704" t="n"/>
      <c r="BU143" s="658" t="n"/>
      <c r="BV143" s="658" t="n"/>
      <c r="BW143" s="658" t="n"/>
      <c r="BX143" s="658" t="n"/>
      <c r="BY143" s="658" t="n"/>
      <c r="BZ143" s="658" t="n"/>
      <c r="CA143" s="658" t="n"/>
      <c r="CB143" s="658" t="n"/>
      <c r="CC143" s="658" t="n"/>
      <c r="CD143" s="658" t="n"/>
      <c r="CE143" s="658" t="n"/>
      <c r="CF143" s="658" t="n"/>
    </row>
    <row r="144" ht="14.25" customHeight="1" s="7635" thickBot="1" thickTop="1">
      <c r="A144" s="139" t="n"/>
      <c r="B144" s="343" t="n"/>
      <c r="D144" s="1969" t="n"/>
      <c r="E144" s="1969" t="n"/>
      <c r="F144" s="11717" t="n"/>
      <c r="G144" s="11717" t="n"/>
      <c r="H144" s="11717" t="n"/>
      <c r="I144" s="11717" t="n"/>
      <c r="J144" s="11717" t="n"/>
      <c r="K144" s="11717" t="n"/>
      <c r="L144" s="11717" t="n"/>
      <c r="M144" s="11717" t="n"/>
      <c r="N144" s="11717" t="n"/>
      <c r="O144" s="11717" t="n"/>
      <c r="P144" s="11717" t="n"/>
      <c r="Q144" s="11717" t="n"/>
      <c r="R144" s="11717" t="n"/>
      <c r="S144" s="11717" t="n"/>
      <c r="T144" s="11718" t="n"/>
      <c r="U144" s="11728" t="n"/>
      <c r="V144" s="11717" t="n"/>
      <c r="W144" s="11717" t="n"/>
      <c r="X144" s="11717" t="n"/>
      <c r="Y144" s="11717" t="n"/>
      <c r="Z144" s="11718" t="n"/>
      <c r="AA144" s="11728" t="n"/>
      <c r="AB144" s="11717" t="n"/>
      <c r="AC144" s="11717" t="n"/>
      <c r="AD144" s="11717" t="n"/>
      <c r="AE144" s="11717" t="n"/>
      <c r="AF144" s="11717" t="n"/>
      <c r="AG144" s="11717" t="n"/>
      <c r="AH144" s="11717" t="n"/>
      <c r="AI144" s="11718" t="n"/>
      <c r="AJ144" s="11804" t="inlineStr">
        <is>
          <t>(see inst.)</t>
        </is>
      </c>
      <c r="AK144" s="7637" t="n"/>
      <c r="AL144" s="11805" t="n"/>
      <c r="AM144" s="11806" t="n"/>
      <c r="AN144" s="11806" t="n"/>
      <c r="AO144" s="11806" t="n"/>
      <c r="AP144" s="11806" t="n"/>
      <c r="AQ144" s="11806" t="n"/>
      <c r="AR144" s="11806" t="n"/>
      <c r="AS144" s="11807" t="n"/>
      <c r="AT144" s="4044" t="n"/>
      <c r="AU144" s="88" t="n"/>
      <c r="AV144" s="88" t="n"/>
      <c r="AW144" s="88" t="n"/>
      <c r="AX144" s="4008" t="n"/>
      <c r="AY144" s="11602" t="n"/>
      <c r="AZ144" s="11602" t="n"/>
      <c r="BA144" s="11602" t="n"/>
      <c r="BB144" s="11602" t="n"/>
      <c r="BC144" s="11602" t="n"/>
      <c r="BD144" s="11602" t="n"/>
      <c r="BE144" s="11602" t="n"/>
      <c r="BF144" s="11602" t="n"/>
      <c r="BG144" s="11602" t="n"/>
      <c r="BH144" s="11602" t="n"/>
      <c r="BI144" s="4087">
        <f>LOOKUP(SpouseBirthMonth,$BQ$118:$BQ$130,$BR$118:$BR$130)</f>
        <v/>
      </c>
      <c r="BJ144" s="4079">
        <f>SpouseBirthDay&amp;"-"&amp;BI144&amp;"-"&amp;SpouseBirthYear</f>
        <v/>
      </c>
      <c r="BK144" s="4088">
        <f>IF(OR(SpouseBirthMonth="",SpouseBirthDay="",SpouseBirthYear=""),TRUE,IF(OR(SpouseBirthYear&gt;TaxYear,ISERROR(BJ143)),TRUE,FALSE))</f>
        <v/>
      </c>
      <c r="BL144" s="4078">
        <f>IF(OR(AND(SpouseBirthMonth="",SpouseBirthDay="",SpouseBirthYear=""),NOT_MFJ),FALSE,IF(OR(BadBirthdate_Spouse,AND(SpouseAge&gt;120,AND(SpouseBirthMonth&lt;&gt;"",SpouseBirthDay&lt;&gt;"",SpouseBirthYear&lt;&gt;""))),TRUE,FALSE))</f>
        <v/>
      </c>
      <c r="BM144" s="4078" t="n"/>
      <c r="BN144" s="4089" t="n"/>
      <c r="BO144" s="4079" t="n"/>
      <c r="BP144" s="4078" t="n"/>
      <c r="BQ144" s="4079" t="n"/>
      <c r="BR144" s="4080">
        <f>AND(SpouseDeathMonth&lt;&gt;"",SpouseDeathDay&lt;&gt;"",SpouseDeathYear&lt;&gt;"",SpouseDeceased&lt;&gt;"",ISERROR(SpouseDeathDate))</f>
        <v/>
      </c>
      <c r="BS144" s="11602" t="n"/>
      <c r="BT144" s="11704" t="n"/>
      <c r="BU144" s="658" t="n"/>
      <c r="BV144" s="658" t="n"/>
      <c r="BW144" s="658" t="n"/>
      <c r="BX144" s="658" t="n"/>
      <c r="BY144" s="658" t="n"/>
      <c r="BZ144" s="658" t="n"/>
      <c r="CA144" s="658" t="n"/>
      <c r="CB144" s="658" t="n"/>
      <c r="CC144" s="658" t="n"/>
      <c r="CD144" s="658" t="n"/>
      <c r="CE144" s="658" t="n"/>
      <c r="CF144" s="658" t="n"/>
    </row>
    <row r="145" ht="16.5" customHeight="1" s="7635" thickBot="1" thickTop="1">
      <c r="A145" s="139" t="n"/>
      <c r="B145" s="348" t="n"/>
      <c r="C145" s="1970" t="n"/>
      <c r="D145" s="1970" t="n"/>
      <c r="E145" s="1970" t="n"/>
      <c r="F145" s="2232" t="inlineStr">
        <is>
          <t>Phone no.</t>
        </is>
      </c>
      <c r="G145" s="1971" t="n"/>
      <c r="H145" s="1970" t="n"/>
      <c r="I145" s="11808" t="n"/>
      <c r="J145" s="11809" t="n"/>
      <c r="K145" s="11809" t="n"/>
      <c r="L145" s="11809" t="n"/>
      <c r="M145" s="11809" t="n"/>
      <c r="N145" s="11809" t="n"/>
      <c r="O145" s="11809" t="n"/>
      <c r="P145" s="11809" t="n"/>
      <c r="Q145" s="11809" t="n"/>
      <c r="R145" s="11809" t="n"/>
      <c r="S145" s="11809" t="n"/>
      <c r="T145" s="11810" t="n"/>
      <c r="U145" s="7295" t="inlineStr">
        <is>
          <t>Email address</t>
        </is>
      </c>
      <c r="V145" s="11811" t="n"/>
      <c r="W145" s="11811" t="n"/>
      <c r="X145" s="11811" t="n"/>
      <c r="Y145" s="11811" t="n"/>
      <c r="Z145" s="9922" t="n"/>
      <c r="AA145" s="11812" t="n"/>
      <c r="AB145" s="11795" t="n"/>
      <c r="AC145" s="11795" t="n"/>
      <c r="AD145" s="11795" t="n"/>
      <c r="AE145" s="11795" t="n"/>
      <c r="AF145" s="11795" t="n"/>
      <c r="AG145" s="11795" t="n"/>
      <c r="AH145" s="11795" t="n"/>
      <c r="AI145" s="11795" t="n"/>
      <c r="AJ145" s="11795" t="n"/>
      <c r="AK145" s="11795" t="n"/>
      <c r="AL145" s="11795" t="n"/>
      <c r="AM145" s="11795" t="n"/>
      <c r="AN145" s="11795" t="n"/>
      <c r="AO145" s="11795" t="n"/>
      <c r="AP145" s="11795" t="n"/>
      <c r="AQ145" s="11795" t="n"/>
      <c r="AR145" s="11795" t="n"/>
      <c r="AS145" s="11795" t="n"/>
      <c r="AT145" s="4044" t="n"/>
      <c r="AU145" s="88" t="n"/>
      <c r="AV145" s="88" t="n"/>
      <c r="AW145" s="88" t="n"/>
      <c r="AX145" s="4008" t="n"/>
      <c r="AY145" s="11602" t="n"/>
      <c r="AZ145" s="11602" t="n"/>
      <c r="BA145" s="11602" t="n"/>
      <c r="BB145" s="11602" t="n"/>
      <c r="BC145" s="11602" t="n"/>
      <c r="BD145" s="11602" t="n"/>
      <c r="BE145" s="11602" t="n"/>
      <c r="BF145" s="11602" t="n"/>
      <c r="BG145" s="11602" t="n"/>
      <c r="BH145" s="11602" t="n"/>
      <c r="BI145" s="4077" t="n"/>
      <c r="BJ145" s="4078">
        <f>IF(BL144,"",DATEVALUE(BJ144))</f>
        <v/>
      </c>
      <c r="BK145" s="4078" t="n"/>
      <c r="BL145" s="4078" t="n"/>
      <c r="BM145" s="4085">
        <f>"SPOUSE is 70.5 on "&amp;TEXT(EndOfTaxYear,"dd-mmm-yyyy")&amp;" -&gt;"</f>
        <v/>
      </c>
      <c r="BN145" s="4090">
        <f>IF(BadBirthdate_Spouse,FALSE, IF(DATEVALUE(BO143)&lt;=DATEVALUE(BN128),TRUE,FALSE))</f>
        <v/>
      </c>
      <c r="BO145" s="4079" t="n"/>
      <c r="BP145" s="4078">
        <f>SpouseBirthMonth+6</f>
        <v/>
      </c>
      <c r="BQ145" s="4079">
        <f>LOOKUP(SpouseDeathMonth,$BQ$118:$BQ$130,$BR$118:$BR$130)</f>
        <v/>
      </c>
      <c r="BR145" s="4080">
        <f>SpouseDeathDay&amp;"-"&amp;BQ145&amp;"-"&amp;SpouseDeathYear</f>
        <v/>
      </c>
      <c r="BS145" s="11602" t="n"/>
      <c r="BT145" s="11704" t="n"/>
      <c r="BU145" s="658" t="n"/>
      <c r="BV145" s="658" t="n"/>
      <c r="BW145" s="658" t="n"/>
      <c r="BX145" s="658" t="n"/>
      <c r="BY145" s="658" t="n"/>
      <c r="BZ145" s="658" t="n"/>
      <c r="CA145" s="658" t="n"/>
      <c r="CB145" s="658" t="n"/>
      <c r="CC145" s="658" t="n"/>
      <c r="CD145" s="658" t="n"/>
      <c r="CE145" s="658" t="n"/>
      <c r="CF145" s="658" t="n"/>
    </row>
    <row r="146" ht="16.5" customHeight="1" s="7635" thickBot="1">
      <c r="A146" s="139" t="n"/>
      <c r="B146" s="7199" t="inlineStr">
        <is>
          <t>Paid
Preparer
Use Only</t>
        </is>
      </c>
      <c r="C146" s="2506" t="n"/>
      <c r="D146" s="7200" t="n"/>
      <c r="E146" s="7200" t="n"/>
      <c r="F146" s="11813" t="inlineStr">
        <is>
          <t>Preparer’s name</t>
        </is>
      </c>
      <c r="O146" s="7636" t="n"/>
      <c r="P146" s="7311" t="inlineStr">
        <is>
          <t>Preparer’s signature</t>
        </is>
      </c>
      <c r="Z146" s="9123" t="n"/>
      <c r="AA146" s="1973" t="n"/>
      <c r="AB146" s="1974" t="n"/>
      <c r="AC146" s="11814" t="inlineStr">
        <is>
          <t>Date</t>
        </is>
      </c>
      <c r="AG146" s="7636" t="n"/>
      <c r="AH146" s="11814" t="inlineStr">
        <is>
          <t>PTIN</t>
        </is>
      </c>
      <c r="AN146" s="7636" t="n"/>
      <c r="AO146" s="7282" t="inlineStr">
        <is>
          <t>Check if:</t>
        </is>
      </c>
      <c r="AT146" s="4044" t="n"/>
      <c r="AU146" s="88" t="n"/>
      <c r="AV146" s="88" t="n"/>
      <c r="AW146" s="88" t="n"/>
      <c r="AX146" s="4008" t="n"/>
      <c r="AY146" s="11602" t="n"/>
      <c r="AZ146" s="11602" t="n"/>
      <c r="BA146" s="11602" t="n"/>
      <c r="BB146" s="11602" t="n"/>
      <c r="BC146" s="11602" t="n"/>
      <c r="BD146" s="11602" t="n"/>
      <c r="BE146" s="11602" t="n"/>
      <c r="BF146" s="11602" t="n"/>
      <c r="BG146" s="11602" t="n"/>
      <c r="BH146" s="11602" t="n"/>
      <c r="BI146" s="4077" t="n"/>
      <c r="BJ146" s="4078">
        <f>ROUNDDOWN((EndOfTaxYear-BJ145)/365.25,1)</f>
        <v/>
      </c>
      <c r="BK146" s="4078" t="n"/>
      <c r="BL146" s="4078" t="n"/>
      <c r="BM146" s="4085">
        <f>"SPOUSE is 65 on "&amp;TEXT(EndOfTaxYear,"dd-mmm-yyyy")&amp;" -&gt;"</f>
        <v/>
      </c>
      <c r="BN146" s="4090">
        <f>IF(BadBirthdate_Spouse,FALSE,SpouseAge&gt;=65)</f>
        <v/>
      </c>
      <c r="BO146" s="11783" t="n"/>
      <c r="BP146" s="4078">
        <f>IF(BP145&lt;=12,SpouseBirthYear+70,SpouseBirthYear+71)</f>
        <v/>
      </c>
      <c r="BQ146" s="4079" t="n"/>
      <c r="BR146" s="4080" t="n"/>
      <c r="BS146" s="11602" t="n"/>
      <c r="BT146" s="11704" t="n"/>
      <c r="BU146" s="658" t="n"/>
      <c r="BV146" s="658" t="n"/>
      <c r="BW146" s="658" t="n"/>
      <c r="BX146" s="658" t="n"/>
      <c r="BY146" s="658" t="n"/>
      <c r="BZ146" s="658" t="n"/>
      <c r="CA146" s="658" t="n"/>
      <c r="CB146" s="658" t="n"/>
      <c r="CC146" s="658" t="n"/>
      <c r="CD146" s="658" t="n"/>
      <c r="CE146" s="658" t="n"/>
      <c r="CF146" s="658" t="n"/>
    </row>
    <row r="147" ht="21" customHeight="1" s="7635" thickBot="1">
      <c r="A147" s="139" t="n"/>
      <c r="D147" s="7200" t="n"/>
      <c r="E147" s="7200" t="n"/>
      <c r="F147" s="11815" t="n"/>
      <c r="G147" s="11717" t="n"/>
      <c r="H147" s="11717" t="n"/>
      <c r="I147" s="11717" t="n"/>
      <c r="J147" s="11717" t="n"/>
      <c r="K147" s="11717" t="n"/>
      <c r="L147" s="11717" t="n"/>
      <c r="M147" s="11717" t="n"/>
      <c r="N147" s="11717" t="n"/>
      <c r="O147" s="11718" t="n"/>
      <c r="P147" s="11721" t="n"/>
      <c r="Q147" s="11717" t="n"/>
      <c r="R147" s="11717" t="n"/>
      <c r="S147" s="11717" t="n"/>
      <c r="T147" s="11717" t="n"/>
      <c r="U147" s="11717" t="n"/>
      <c r="V147" s="11717" t="n"/>
      <c r="W147" s="11717" t="n"/>
      <c r="X147" s="11717" t="n"/>
      <c r="Y147" s="11717" t="n"/>
      <c r="Z147" s="11717" t="n"/>
      <c r="AA147" s="11717" t="n"/>
      <c r="AB147" s="11718" t="n"/>
      <c r="AC147" s="11816" t="n"/>
      <c r="AD147" s="11717" t="n"/>
      <c r="AE147" s="11717" t="n"/>
      <c r="AF147" s="11717" t="n"/>
      <c r="AG147" s="11717" t="n"/>
      <c r="AH147" s="11817" t="n"/>
      <c r="AI147" s="8007" t="n"/>
      <c r="AJ147" s="8007" t="n"/>
      <c r="AK147" s="8007" t="n"/>
      <c r="AL147" s="8007" t="n"/>
      <c r="AM147" s="8007" t="n"/>
      <c r="AN147" s="8008" t="n"/>
      <c r="AO147" s="276" t="n"/>
      <c r="AP147" s="7208" t="inlineStr">
        <is>
          <t>Self-employed</t>
        </is>
      </c>
      <c r="AQ147" s="11259" t="n"/>
      <c r="AR147" s="772" t="n"/>
      <c r="AS147" s="772" t="n"/>
      <c r="AT147" s="4044" t="n"/>
      <c r="AU147" s="88" t="n"/>
      <c r="AV147" s="88" t="n"/>
      <c r="AW147" s="88" t="n"/>
      <c r="AX147" s="4008" t="n"/>
      <c r="AY147" s="11602" t="n"/>
      <c r="AZ147" s="11602" t="n"/>
      <c r="BA147" s="11602" t="n"/>
      <c r="BB147" s="11602" t="n"/>
      <c r="BC147" s="11602" t="n"/>
      <c r="BD147" s="11602" t="n"/>
      <c r="BE147" s="11602" t="n"/>
      <c r="BF147" s="11602" t="n"/>
      <c r="BG147" s="11602" t="n"/>
      <c r="BH147" s="11602" t="n"/>
      <c r="BI147" s="4077" t="n"/>
      <c r="BJ147" s="4078">
        <f>IF(SpouseBirthYear="","?",IF(AND(SpouseBirthMonth=1,SpouseBirthDay=1),TaxYear-SpouseBirthYear+1,TaxYear-SpouseBirthYear))</f>
        <v/>
      </c>
      <c r="BK147" s="4078" t="n"/>
      <c r="BL147" s="4078" t="n"/>
      <c r="BM147" s="4085">
        <f>"SPOUSE is born before "&amp;TEXT(BP127,"dd-mmm-yyyy")&amp;" -&gt;"</f>
        <v/>
      </c>
      <c r="BN147" s="4090">
        <f>BJ143&lt;$BP$127</f>
        <v/>
      </c>
      <c r="BO147" s="11783" t="n"/>
      <c r="BP147" s="4078" t="n"/>
      <c r="BQ147" s="4079" t="n"/>
      <c r="BR147" s="4080" t="n"/>
      <c r="BS147" s="11602" t="n"/>
      <c r="BT147" s="11704" t="n"/>
      <c r="BU147" s="658" t="n"/>
      <c r="BV147" s="658" t="n"/>
      <c r="BW147" s="658" t="n"/>
      <c r="BX147" s="658" t="n"/>
      <c r="BY147" s="658" t="n"/>
      <c r="BZ147" s="658" t="n"/>
      <c r="CA147" s="658" t="n"/>
      <c r="CB147" s="658" t="n"/>
      <c r="CC147" s="658" t="n"/>
      <c r="CD147" s="658" t="n"/>
      <c r="CE147" s="658" t="n"/>
      <c r="CF147" s="658" t="n"/>
    </row>
    <row r="148" ht="15.75" customHeight="1" s="7635" thickBot="1">
      <c r="A148" s="139" t="n"/>
      <c r="D148" s="1152" t="n"/>
      <c r="E148" s="1152" t="n"/>
      <c r="F148" s="7292" t="inlineStr">
        <is>
          <t>Firm’s name</t>
        </is>
      </c>
      <c r="G148" s="8412" t="n"/>
      <c r="H148" s="8412" t="n"/>
      <c r="I148" s="8412" t="n"/>
      <c r="J148" s="7294" t="n"/>
      <c r="K148" s="7223" t="n"/>
      <c r="L148" s="8007" t="n"/>
      <c r="M148" s="8007" t="n"/>
      <c r="N148" s="8007" t="n"/>
      <c r="O148" s="8007" t="n"/>
      <c r="P148" s="8007" t="n"/>
      <c r="Q148" s="8007" t="n"/>
      <c r="R148" s="8007" t="n"/>
      <c r="S148" s="8007" t="n"/>
      <c r="T148" s="8007" t="n"/>
      <c r="U148" s="8007" t="n"/>
      <c r="V148" s="8007" t="n"/>
      <c r="W148" s="8007" t="n"/>
      <c r="X148" s="8007" t="n"/>
      <c r="Y148" s="8007" t="n"/>
      <c r="Z148" s="8007" t="n"/>
      <c r="AA148" s="8007" t="n"/>
      <c r="AB148" s="8007" t="n"/>
      <c r="AC148" s="8007" t="n"/>
      <c r="AD148" s="8007" t="n"/>
      <c r="AE148" s="8007" t="n"/>
      <c r="AF148" s="8007" t="n"/>
      <c r="AG148" s="8007" t="n"/>
      <c r="AH148" s="11818" t="inlineStr">
        <is>
          <t>Phone no.</t>
        </is>
      </c>
      <c r="AI148" s="8412" t="n"/>
      <c r="AJ148" s="11734" t="n"/>
      <c r="AK148" s="11819" t="n"/>
      <c r="AL148" s="11745" t="n"/>
      <c r="AM148" s="11745" t="n"/>
      <c r="AN148" s="11745" t="n"/>
      <c r="AO148" s="11745" t="n"/>
      <c r="AP148" s="11745" t="n"/>
      <c r="AQ148" s="11745" t="n"/>
      <c r="AR148" s="11745" t="n"/>
      <c r="AS148" s="11745" t="n"/>
      <c r="AT148" s="4044" t="n"/>
      <c r="AU148" s="88" t="n"/>
      <c r="AV148" s="88" t="n"/>
      <c r="AW148" s="88" t="n"/>
      <c r="AX148" s="4008" t="n"/>
      <c r="AY148" s="11602" t="n"/>
      <c r="AZ148" s="11602" t="n"/>
      <c r="BA148" s="11602" t="n"/>
      <c r="BB148" s="11602" t="n"/>
      <c r="BC148" s="11602" t="n"/>
      <c r="BD148" s="11602" t="n"/>
      <c r="BE148" s="11602" t="n"/>
      <c r="BF148" s="11602" t="n"/>
      <c r="BG148" s="11602" t="n"/>
      <c r="BH148" s="11602" t="n"/>
      <c r="BI148" s="4077" t="n"/>
      <c r="BJ148" s="4078" t="n"/>
      <c r="BK148" s="4078" t="n"/>
      <c r="BL148" s="4078" t="n"/>
      <c r="BM148" s="4085">
        <f>"SPOUSE died after turning 65. -&gt;"</f>
        <v/>
      </c>
      <c r="BN148" s="4090">
        <f>AND(BI28)</f>
        <v/>
      </c>
      <c r="BO148" s="11783" t="n"/>
      <c r="BP148" s="4078" t="n"/>
      <c r="BQ148" s="4079" t="n"/>
      <c r="BR148" s="4080" t="n"/>
      <c r="BS148" s="11602" t="n"/>
      <c r="BT148" s="11704" t="n"/>
      <c r="BU148" s="658" t="n"/>
      <c r="BV148" s="658" t="n"/>
      <c r="BW148" s="658" t="n"/>
      <c r="BX148" s="658" t="n"/>
      <c r="BY148" s="658" t="n"/>
      <c r="BZ148" s="658" t="n"/>
      <c r="CA148" s="658" t="n"/>
      <c r="CB148" s="658" t="n"/>
      <c r="CC148" s="658" t="n"/>
      <c r="CD148" s="658" t="n"/>
      <c r="CE148" s="658" t="n"/>
      <c r="CF148" s="658" t="n"/>
    </row>
    <row r="149" ht="18.75" customHeight="1" s="7635" thickBot="1">
      <c r="A149" s="139" t="n"/>
      <c r="B149" s="7200" t="n"/>
      <c r="C149" s="7200" t="n"/>
      <c r="D149" s="1152" t="n"/>
      <c r="E149" s="1152" t="n"/>
      <c r="F149" s="7323" t="inlineStr">
        <is>
          <t>Firm’s address</t>
        </is>
      </c>
      <c r="G149" s="7839" t="n"/>
      <c r="H149" s="7839" t="n"/>
      <c r="I149" s="7839" t="n"/>
      <c r="J149" s="7325" t="n"/>
      <c r="K149" s="5867" t="n"/>
      <c r="L149" s="7322" t="n"/>
      <c r="M149" s="11820" t="n"/>
      <c r="N149" s="11820" t="n"/>
      <c r="O149" s="11820" t="n"/>
      <c r="P149" s="11820" t="n"/>
      <c r="Q149" s="11820" t="n"/>
      <c r="R149" s="11820" t="n"/>
      <c r="S149" s="11820" t="n"/>
      <c r="T149" s="11820" t="n"/>
      <c r="U149" s="11820" t="n"/>
      <c r="V149" s="11820" t="n"/>
      <c r="W149" s="11820" t="n"/>
      <c r="X149" s="11820" t="n"/>
      <c r="Y149" s="11820" t="n"/>
      <c r="Z149" s="11820" t="n"/>
      <c r="AA149" s="11820" t="n"/>
      <c r="AB149" s="11820" t="n"/>
      <c r="AC149" s="11820" t="n"/>
      <c r="AD149" s="11820" t="n"/>
      <c r="AE149" s="11820" t="n"/>
      <c r="AF149" s="11820" t="n"/>
      <c r="AG149" s="11821" t="n"/>
      <c r="AH149" s="7334" t="inlineStr">
        <is>
          <t>Firm's EIN</t>
        </is>
      </c>
      <c r="AI149" s="11822" t="n"/>
      <c r="AJ149" s="11822" t="n"/>
      <c r="AK149" s="11823" t="n"/>
      <c r="AL149" s="11820" t="n"/>
      <c r="AM149" s="11820" t="n"/>
      <c r="AN149" s="11820" t="n"/>
      <c r="AO149" s="11820" t="n"/>
      <c r="AP149" s="11820" t="n"/>
      <c r="AQ149" s="11820" t="n"/>
      <c r="AR149" s="11820" t="n"/>
      <c r="AS149" s="11820" t="n"/>
      <c r="AT149" s="4044" t="n"/>
      <c r="AU149" s="88" t="n"/>
      <c r="AV149" s="88" t="n"/>
      <c r="AW149" s="88" t="n"/>
      <c r="AX149" s="4008" t="n"/>
      <c r="AY149" s="11602" t="n"/>
      <c r="AZ149" s="11602" t="n"/>
      <c r="BA149" s="11602" t="n"/>
      <c r="BB149" s="11602" t="n"/>
      <c r="BC149" s="11602" t="n"/>
      <c r="BD149" s="11602" t="n"/>
      <c r="BE149" s="11602" t="n"/>
      <c r="BF149" s="11602" t="n"/>
      <c r="BG149" s="11602" t="n"/>
      <c r="BH149" s="11602" t="n"/>
      <c r="BI149" s="4077" t="inlineStr">
        <is>
          <t>SPOUSE &gt;=24 Test</t>
        </is>
      </c>
      <c r="BJ149" s="4078" t="n"/>
      <c r="BK149" s="11789">
        <f>DATEVALUE("2-JAN-"&amp;(TaxYear-23))</f>
        <v/>
      </c>
      <c r="BL149" s="4078">
        <f>IF(NOT_MFJ,FALSE,$BJ$143&lt;BK149)</f>
        <v/>
      </c>
      <c r="BM149" s="4085" t="n"/>
      <c r="BN149" s="4078" t="n"/>
      <c r="BO149" s="11783" t="n"/>
      <c r="BP149" s="4078" t="n"/>
      <c r="BQ149" s="4079" t="n"/>
      <c r="BR149" s="4080" t="n"/>
      <c r="BS149" s="11602" t="n"/>
      <c r="BT149" s="11704" t="n"/>
      <c r="BU149" s="658" t="n"/>
      <c r="BV149" s="658" t="n"/>
      <c r="BW149" s="658" t="n"/>
      <c r="BX149" s="658" t="n"/>
      <c r="BY149" s="658" t="n"/>
      <c r="BZ149" s="658" t="n"/>
      <c r="CA149" s="658" t="n"/>
      <c r="CB149" s="658" t="n"/>
      <c r="CC149" s="658" t="n"/>
      <c r="CD149" s="658" t="n"/>
      <c r="CE149" s="658" t="n"/>
      <c r="CF149" s="658" t="n"/>
    </row>
    <row r="150" ht="18.75" customHeight="1" s="7635" thickTop="1">
      <c r="A150" s="139" t="n"/>
      <c r="B150" s="6466" t="inlineStr">
        <is>
          <t>Go to www.irs.gov/Form1040 for instructions and the latest information.</t>
        </is>
      </c>
      <c r="C150" s="1975" t="n"/>
      <c r="D150" s="1975" t="n"/>
      <c r="E150" s="1975" t="n"/>
      <c r="F150" s="1975" t="n"/>
      <c r="G150" s="1976" t="n"/>
      <c r="H150" s="1977" t="n"/>
      <c r="I150" s="1978" t="n"/>
      <c r="J150" s="1978" t="n"/>
      <c r="K150" s="1978" t="n"/>
      <c r="L150" s="1978" t="n"/>
      <c r="M150" s="1978" t="n"/>
      <c r="N150" s="1978" t="n"/>
      <c r="O150" s="1978" t="n"/>
      <c r="P150" s="1978" t="n"/>
      <c r="Q150" s="1978" t="n"/>
      <c r="R150" s="1978" t="n"/>
      <c r="S150" s="1978" t="n"/>
      <c r="T150" s="1978" t="n"/>
      <c r="U150" s="1978" t="n"/>
      <c r="V150" s="1978" t="n"/>
      <c r="W150" s="1978" t="n"/>
      <c r="X150" s="1978" t="n"/>
      <c r="Y150" s="1978" t="n"/>
      <c r="Z150" s="1978" t="n"/>
      <c r="AA150" s="1979" t="n"/>
      <c r="AB150" s="1980" t="n"/>
      <c r="AC150" s="1666" t="n"/>
      <c r="AD150" s="1666" t="n"/>
      <c r="AE150" s="1666" t="n"/>
      <c r="AF150" s="1666" t="n"/>
      <c r="AG150" s="1666" t="n"/>
      <c r="AH150" s="1666" t="n"/>
      <c r="AI150" s="1666" t="n"/>
      <c r="AJ150" s="1667" t="n"/>
      <c r="AK150" s="1268" t="n"/>
      <c r="AL150" s="1268" t="n"/>
      <c r="AM150" s="7312" t="inlineStr">
        <is>
          <t>Form 1040</t>
        </is>
      </c>
      <c r="AN150" s="9668" t="n"/>
      <c r="AO150" s="9668" t="n"/>
      <c r="AP150" s="9668" t="n"/>
      <c r="AQ150" s="9668" t="n"/>
      <c r="AR150" s="1667" t="n"/>
      <c r="AS150" s="6465">
        <f>"("&amp;TaxYear&amp;")"</f>
        <v/>
      </c>
      <c r="AT150" s="4044" t="n"/>
      <c r="AV150" s="9886" t="n"/>
      <c r="AW150" s="9664" t="n"/>
      <c r="AX150" s="4008" t="n"/>
      <c r="AY150" s="11602" t="n"/>
      <c r="AZ150" s="11602" t="n"/>
      <c r="BA150" s="11602" t="n"/>
      <c r="BB150" s="11602" t="n"/>
      <c r="BC150" s="11602" t="n"/>
      <c r="BD150" s="11602" t="n"/>
      <c r="BE150" s="11602" t="n"/>
      <c r="BF150" s="11602" t="n"/>
      <c r="BG150" s="11602" t="n"/>
      <c r="BH150" s="11602" t="n"/>
      <c r="BI150" s="4098" t="inlineStr">
        <is>
          <t>SPOUSE &gt;=25 Test</t>
        </is>
      </c>
      <c r="BJ150" s="4078" t="n"/>
      <c r="BK150" s="11789">
        <f>DATEVALUE("2-JAN-"&amp;(TaxYear-24))</f>
        <v/>
      </c>
      <c r="BL150" s="4078">
        <f>IF(NOT_MFJ,FALSE,$BJ$143&lt;BK150)</f>
        <v/>
      </c>
      <c r="BM150" s="4085" t="n"/>
      <c r="BN150" s="4078" t="n"/>
      <c r="BO150" s="11783" t="n"/>
      <c r="BP150" s="4078" t="n"/>
      <c r="BQ150" s="4079" t="n"/>
      <c r="BR150" s="4080" t="n"/>
      <c r="BS150" s="11602" t="n"/>
      <c r="BT150" s="11704" t="n"/>
      <c r="BU150" s="658" t="n"/>
      <c r="BV150" s="658" t="n"/>
      <c r="BW150" s="658" t="n"/>
      <c r="BX150" s="658" t="n"/>
      <c r="BY150" s="658" t="n"/>
      <c r="BZ150" s="658" t="n"/>
      <c r="CA150" s="658" t="n"/>
      <c r="CB150" s="658" t="n"/>
      <c r="CC150" s="658" t="n"/>
      <c r="CD150" s="658" t="n"/>
      <c r="CE150" s="658" t="n"/>
      <c r="CF150" s="658" t="n"/>
    </row>
    <row r="151" ht="18.75" customHeight="1" s="7635">
      <c r="A151" s="4044" t="n"/>
      <c r="B151" s="4044" t="n"/>
      <c r="C151" s="4044" t="n"/>
      <c r="D151" s="4044" t="n"/>
      <c r="E151" s="4044" t="n"/>
      <c r="F151" s="4044" t="n"/>
      <c r="G151" s="4044" t="n"/>
      <c r="H151" s="4044" t="n"/>
      <c r="I151" s="4044" t="n"/>
      <c r="J151" s="4044" t="n"/>
      <c r="K151" s="4044" t="n"/>
      <c r="L151" s="4044" t="n"/>
      <c r="M151" s="4044" t="n"/>
      <c r="N151" s="4044" t="n"/>
      <c r="O151" s="4044" t="n"/>
      <c r="P151" s="4044" t="n"/>
      <c r="Q151" s="4044" t="n"/>
      <c r="R151" s="4044" t="n"/>
      <c r="S151" s="4044" t="n"/>
      <c r="T151" s="4044" t="n"/>
      <c r="U151" s="4044" t="n"/>
      <c r="V151" s="4044" t="n"/>
      <c r="W151" s="4044" t="n"/>
      <c r="X151" s="4044" t="n"/>
      <c r="Y151" s="4044" t="n"/>
      <c r="Z151" s="4044" t="n"/>
      <c r="AA151" s="4044" t="n"/>
      <c r="AB151" s="4044" t="n"/>
      <c r="AC151" s="4044" t="n"/>
      <c r="AD151" s="4044" t="n"/>
      <c r="AE151" s="4044" t="n"/>
      <c r="AF151" s="4044" t="n"/>
      <c r="AG151" s="4044" t="n"/>
      <c r="AH151" s="4044" t="n"/>
      <c r="AI151" s="4044" t="n"/>
      <c r="AJ151" s="4044" t="n"/>
      <c r="AK151" s="4044" t="n"/>
      <c r="AL151" s="4044" t="n"/>
      <c r="AM151" s="4044" t="n"/>
      <c r="AN151" s="4044" t="n"/>
      <c r="AO151" s="4044" t="n"/>
      <c r="AP151" s="4044" t="n"/>
      <c r="AQ151" s="4044" t="n"/>
      <c r="AR151" s="4044" t="n"/>
      <c r="AS151" s="4044" t="n"/>
      <c r="AT151" s="4044" t="n"/>
      <c r="AU151" s="4120" t="n"/>
      <c r="AV151" s="88" t="n"/>
      <c r="AW151" s="88" t="n"/>
      <c r="AX151" s="4008" t="n"/>
      <c r="AY151" s="11602" t="n"/>
      <c r="AZ151" s="11602" t="n"/>
      <c r="BA151" s="11602" t="n"/>
      <c r="BB151" s="11602" t="n"/>
      <c r="BC151" s="11602" t="n"/>
      <c r="BD151" s="11602" t="n"/>
      <c r="BE151" s="11602" t="n"/>
      <c r="BF151" s="11602" t="n"/>
      <c r="BG151" s="11602" t="n"/>
      <c r="BH151" s="11602" t="n"/>
      <c r="BI151" s="4098" t="inlineStr">
        <is>
          <t>SPOUSE &lt;65 Test</t>
        </is>
      </c>
      <c r="BJ151" s="4078" t="n"/>
      <c r="BK151" s="11789">
        <f>DATEVALUE("31-DEC-"&amp;(TaxYear-65))</f>
        <v/>
      </c>
      <c r="BL151" s="4078">
        <f>IF(NOT_MFJ,FALSE,$BJ$143&gt;BK151)</f>
        <v/>
      </c>
      <c r="BM151" s="4085" t="n"/>
      <c r="BN151" s="4078" t="n"/>
      <c r="BO151" s="11783" t="n"/>
      <c r="BP151" s="4078" t="n"/>
      <c r="BQ151" s="4079" t="n"/>
      <c r="BR151" s="4080" t="n"/>
      <c r="BS151" s="11602" t="n"/>
      <c r="BT151" s="11704" t="n"/>
      <c r="BU151" s="658" t="n"/>
      <c r="BV151" s="658" t="n"/>
      <c r="BW151" s="658" t="n"/>
      <c r="BX151" s="658" t="n"/>
      <c r="BY151" s="658" t="n"/>
      <c r="BZ151" s="658" t="n"/>
      <c r="CA151" s="658" t="n"/>
      <c r="CB151" s="658" t="n"/>
      <c r="CC151" s="658" t="n"/>
      <c r="CD151" s="658" t="n"/>
      <c r="CE151" s="658" t="n"/>
      <c r="CF151" s="658" t="n"/>
    </row>
    <row r="152" ht="18.75" customHeight="1" s="7635" thickBot="1">
      <c r="B152" s="88" t="n"/>
      <c r="C152" s="88" t="n"/>
      <c r="D152" s="88" t="n"/>
      <c r="E152" s="88" t="n"/>
      <c r="F152" s="88" t="n"/>
      <c r="G152" s="88" t="n"/>
      <c r="H152" s="88" t="n"/>
      <c r="I152" s="88" t="n"/>
      <c r="J152" s="88" t="n"/>
      <c r="K152" s="88" t="n"/>
      <c r="L152" s="88" t="n"/>
      <c r="M152" s="88" t="n"/>
      <c r="N152" s="88" t="n"/>
      <c r="O152" s="88" t="n"/>
      <c r="P152" s="88" t="n"/>
      <c r="Q152" s="88" t="n"/>
      <c r="R152" s="88" t="n"/>
      <c r="S152" s="88" t="n"/>
      <c r="T152" s="88" t="n"/>
      <c r="U152" s="88" t="n"/>
      <c r="V152" s="88" t="n"/>
      <c r="W152" s="88" t="n"/>
      <c r="X152" s="88" t="n"/>
      <c r="Y152" s="88" t="n"/>
      <c r="Z152" s="88" t="n"/>
      <c r="AA152" s="88" t="n"/>
      <c r="AB152" s="88" t="n"/>
      <c r="AC152" s="88" t="n"/>
      <c r="AD152" s="88" t="n"/>
      <c r="AE152" s="88" t="n"/>
      <c r="AF152" s="88" t="n"/>
      <c r="AG152" s="88" t="n"/>
      <c r="AH152" s="88" t="n"/>
      <c r="AI152" s="88" t="n"/>
      <c r="AJ152" s="88" t="n"/>
      <c r="AK152" s="88" t="n"/>
      <c r="AL152" s="88" t="n"/>
      <c r="AM152" s="88" t="n"/>
      <c r="AN152" s="88" t="n"/>
      <c r="AO152" s="88" t="n"/>
      <c r="AP152" s="88" t="n"/>
      <c r="AQ152" s="88" t="n"/>
      <c r="AR152" s="88" t="n"/>
      <c r="AS152" s="88" t="n"/>
      <c r="AT152" s="88" t="n"/>
      <c r="AU152" s="88" t="n"/>
      <c r="AV152" s="88" t="n"/>
      <c r="AW152" s="88" t="n"/>
      <c r="AX152" s="4008" t="n"/>
      <c r="AY152" s="11602" t="n"/>
      <c r="AZ152" s="11602" t="n"/>
      <c r="BA152" s="11602" t="n"/>
      <c r="BB152" s="11602" t="n"/>
      <c r="BC152" s="11602" t="n"/>
      <c r="BD152" s="11602" t="n"/>
      <c r="BE152" s="11602" t="n"/>
      <c r="BF152" s="11602" t="n"/>
      <c r="BG152" s="11602" t="n"/>
      <c r="BH152" s="11602" t="n"/>
      <c r="BI152" s="4121" t="n"/>
      <c r="BJ152" s="4122" t="n"/>
      <c r="BK152" s="4122" t="n"/>
      <c r="BL152" s="4122" t="n"/>
      <c r="BM152" s="4122" t="n"/>
      <c r="BN152" s="4122" t="n"/>
      <c r="BO152" s="4123" t="n"/>
      <c r="BP152" s="4122" t="n"/>
      <c r="BQ152" s="4123" t="n"/>
      <c r="BR152" s="4124" t="n"/>
    </row>
    <row r="153" ht="18.75" customHeight="1" s="7635" thickBot="1" thickTop="1">
      <c r="F153" s="11824" t="inlineStr">
        <is>
          <t>Download Form 1040 General Instructions from IRS</t>
        </is>
      </c>
      <c r="G153" s="11825" t="n"/>
      <c r="H153" s="11825" t="n"/>
      <c r="I153" s="11825" t="n"/>
      <c r="J153" s="11825" t="n"/>
      <c r="K153" s="11825" t="n"/>
      <c r="L153" s="11825" t="n"/>
      <c r="M153" s="11825" t="n"/>
      <c r="N153" s="11825" t="n"/>
      <c r="O153" s="11825" t="n"/>
      <c r="P153" s="11825" t="n"/>
      <c r="Q153" s="11825" t="n"/>
      <c r="R153" s="11825" t="n"/>
      <c r="S153" s="11825" t="n"/>
      <c r="T153" s="11825" t="n"/>
      <c r="U153" s="11825" t="n"/>
      <c r="V153" s="11825" t="n"/>
      <c r="W153" s="11825" t="n"/>
      <c r="X153" s="11825" t="n"/>
      <c r="Y153" s="11825" t="n"/>
      <c r="Z153" s="11825" t="n"/>
      <c r="AA153" s="11826" t="n"/>
      <c r="AT153" s="5" t="n"/>
      <c r="AY153" s="11602" t="n"/>
      <c r="BI153" s="740" t="n"/>
      <c r="BJ153" s="740" t="n"/>
      <c r="BK153" s="740" t="n"/>
      <c r="BL153" s="740" t="n"/>
      <c r="BM153" s="11602" t="n"/>
      <c r="BN153" s="11602" t="n"/>
      <c r="BO153" s="11602" t="n"/>
      <c r="BP153" s="11602" t="n"/>
      <c r="BQ153" s="11602" t="n"/>
      <c r="BR153" s="11602" t="n"/>
    </row>
    <row r="154" ht="18.75" customHeight="1" s="7635" thickBot="1" thickTop="1">
      <c r="AT154" s="5" t="n"/>
      <c r="AY154" s="11602" t="n"/>
    </row>
    <row r="155" ht="18.75" customHeight="1" s="7635" thickBot="1" thickTop="1">
      <c r="F155" s="196" t="inlineStr">
        <is>
          <t>Download Form 1040 from IRS</t>
        </is>
      </c>
      <c r="G155" s="197" t="inlineStr">
        <is>
          <t>http://www.irs.gov/pub/irs-pdf/f1040.pdf</t>
        </is>
      </c>
      <c r="H155" s="197" t="inlineStr">
        <is>
          <t>http://www.irs.gov/pub/irs-pdf/f1040.pdf</t>
        </is>
      </c>
      <c r="I155" s="197" t="inlineStr">
        <is>
          <t>http://www.irs.gov/pub/irs-pdf/f1040.pdf</t>
        </is>
      </c>
      <c r="J155" s="197" t="inlineStr">
        <is>
          <t>http://www.irs.gov/pub/irs-pdf/f1040.pdf</t>
        </is>
      </c>
      <c r="K155" s="197" t="inlineStr">
        <is>
          <t>http://www.irs.gov/pub/irs-pdf/f1040.pdf</t>
        </is>
      </c>
      <c r="L155" s="197" t="inlineStr">
        <is>
          <t>http://www.irs.gov/pub/irs-pdf/f1040.pdf</t>
        </is>
      </c>
      <c r="M155" s="197" t="inlineStr">
        <is>
          <t>http://www.irs.gov/pub/irs-pdf/f1040.pdf</t>
        </is>
      </c>
      <c r="N155" s="197" t="inlineStr">
        <is>
          <t>http://www.irs.gov/pub/irs-pdf/f1040.pdf</t>
        </is>
      </c>
      <c r="O155" s="197" t="inlineStr">
        <is>
          <t>http://www.irs.gov/pub/irs-pdf/f1040.pdf</t>
        </is>
      </c>
      <c r="P155" s="197" t="inlineStr">
        <is>
          <t>http://www.irs.gov/pub/irs-pdf/f1040.pdf</t>
        </is>
      </c>
      <c r="Q155" s="197" t="inlineStr">
        <is>
          <t>http://www.irs.gov/pub/irs-pdf/f1040.pdf</t>
        </is>
      </c>
      <c r="R155" s="197" t="inlineStr">
        <is>
          <t>http://www.irs.gov/pub/irs-pdf/f1040.pdf</t>
        </is>
      </c>
      <c r="S155" s="197" t="inlineStr">
        <is>
          <t>http://www.irs.gov/pub/irs-pdf/f1040.pdf</t>
        </is>
      </c>
      <c r="T155" s="197" t="inlineStr">
        <is>
          <t>http://www.irs.gov/pub/irs-pdf/f1040.pdf</t>
        </is>
      </c>
      <c r="U155" s="197" t="inlineStr">
        <is>
          <t>http://www.irs.gov/pub/irs-pdf/f1040.pdf</t>
        </is>
      </c>
      <c r="V155" s="197" t="inlineStr">
        <is>
          <t>http://www.irs.gov/pub/irs-pdf/f1040.pdf</t>
        </is>
      </c>
      <c r="W155" s="197" t="inlineStr">
        <is>
          <t>http://www.irs.gov/pub/irs-pdf/f1040.pdf</t>
        </is>
      </c>
      <c r="X155" s="197" t="inlineStr">
        <is>
          <t>http://www.irs.gov/pub/irs-pdf/f1040.pdf</t>
        </is>
      </c>
      <c r="Y155" s="197" t="inlineStr">
        <is>
          <t>http://www.irs.gov/pub/irs-pdf/f1040.pdf</t>
        </is>
      </c>
      <c r="Z155" s="197" t="inlineStr">
        <is>
          <t>http://www.irs.gov/pub/irs-pdf/f1040.pdf</t>
        </is>
      </c>
      <c r="AA155" s="198" t="inlineStr">
        <is>
          <t>http://www.irs.gov/pub/irs-pdf/f1040.pdf</t>
        </is>
      </c>
      <c r="AT155" s="5" t="n"/>
    </row>
    <row r="156" ht="18.75" customHeight="1" s="7635" thickTop="1">
      <c r="AT156" s="5" t="n"/>
    </row>
    <row r="157" ht="14.25" customHeight="1" s="7635" thickBot="1">
      <c r="F157" t="inlineStr">
        <is>
          <t>http://www.irs.gov/pub/irs-pdf/f1040.pdf</t>
        </is>
      </c>
      <c r="G157" t="inlineStr">
        <is>
          <t>http://www.irs.gov/pub/irs-pdf/f1040.pdf</t>
        </is>
      </c>
      <c r="H157" t="inlineStr">
        <is>
          <t>http://www.irs.gov/pub/irs-pdf/f1040.pdf</t>
        </is>
      </c>
      <c r="I157" t="inlineStr">
        <is>
          <t>http://www.irs.gov/pub/irs-pdf/f1040.pdf</t>
        </is>
      </c>
      <c r="J157" t="inlineStr">
        <is>
          <t>http://www.irs.gov/pub/irs-pdf/f1040.pdf</t>
        </is>
      </c>
      <c r="K157" t="inlineStr">
        <is>
          <t>http://www.irs.gov/pub/irs-pdf/f1040.pdf</t>
        </is>
      </c>
      <c r="L157" t="inlineStr">
        <is>
          <t>http://www.irs.gov/pub/irs-pdf/f1040.pdf</t>
        </is>
      </c>
      <c r="M157" t="inlineStr">
        <is>
          <t>http://www.irs.gov/pub/irs-pdf/f1040.pdf</t>
        </is>
      </c>
      <c r="N157" t="inlineStr">
        <is>
          <t>http://www.irs.gov/pub/irs-pdf/f1040.pdf</t>
        </is>
      </c>
      <c r="O157" t="inlineStr">
        <is>
          <t>http://www.irs.gov/pub/irs-pdf/f1040.pdf</t>
        </is>
      </c>
      <c r="P157" t="inlineStr">
        <is>
          <t>http://www.irs.gov/pub/irs-pdf/f1040.pdf</t>
        </is>
      </c>
      <c r="Q157" t="inlineStr">
        <is>
          <t>http://www.irs.gov/pub/irs-pdf/f1040.pdf</t>
        </is>
      </c>
      <c r="R157" t="inlineStr">
        <is>
          <t>http://www.irs.gov/pub/irs-pdf/f1040.pdf</t>
        </is>
      </c>
      <c r="S157" t="inlineStr">
        <is>
          <t>http://www.irs.gov/pub/irs-pdf/f1040.pdf</t>
        </is>
      </c>
      <c r="T157" t="inlineStr">
        <is>
          <t>http://www.irs.gov/pub/irs-pdf/f1040.pdf</t>
        </is>
      </c>
      <c r="U157" t="inlineStr">
        <is>
          <t>http://www.irs.gov/pub/irs-pdf/f1040.pdf</t>
        </is>
      </c>
      <c r="V157" t="inlineStr">
        <is>
          <t>http://www.irs.gov/pub/irs-pdf/f1040.pdf</t>
        </is>
      </c>
      <c r="W157" t="inlineStr">
        <is>
          <t>http://www.irs.gov/pub/irs-pdf/f1040.pdf</t>
        </is>
      </c>
      <c r="X157" t="inlineStr">
        <is>
          <t>http://www.irs.gov/pub/irs-pdf/f1040.pdf</t>
        </is>
      </c>
      <c r="Y157" t="inlineStr">
        <is>
          <t>http://www.irs.gov/pub/irs-pdf/f1040.pdf</t>
        </is>
      </c>
      <c r="Z157" t="inlineStr">
        <is>
          <t>http://www.irs.gov/pub/irs-pdf/f1040.pdf</t>
        </is>
      </c>
      <c r="AA157" t="inlineStr">
        <is>
          <t>http://www.irs.gov/pub/irs-pdf/f1040.pdf</t>
        </is>
      </c>
      <c r="AT157" s="5" t="n"/>
    </row>
    <row r="158" ht="14.25" customHeight="1" s="7635">
      <c r="L158" s="11827" t="inlineStr">
        <is>
          <t>Table of Contents</t>
        </is>
      </c>
      <c r="M158" s="2506" t="n"/>
      <c r="N158" s="2506" t="n"/>
      <c r="O158" s="2506" t="n"/>
      <c r="P158" s="2506" t="n"/>
      <c r="Q158" s="2506" t="n"/>
      <c r="R158" s="2614" t="n"/>
      <c r="AT158" s="5" t="n"/>
    </row>
    <row r="159" ht="14.25" customHeight="1" s="7635">
      <c r="L159" s="11741" t="n"/>
      <c r="R159" s="1066" t="n"/>
    </row>
    <row r="160" ht="14.25" customHeight="1" s="7635" thickBot="1">
      <c r="L160" s="11743" t="n"/>
      <c r="M160" s="8848" t="n"/>
      <c r="N160" s="8848" t="n"/>
      <c r="O160" s="8848" t="n"/>
      <c r="P160" s="8848" t="n"/>
      <c r="Q160" s="8848" t="n"/>
      <c r="R160" s="2627" t="n"/>
    </row>
    <row r="161" ht="14.25" customHeight="1" s="7635"/>
    <row r="162" ht="14.25" customHeight="1" s="7635"/>
    <row r="163" ht="14.25" customHeight="1" s="7635"/>
    <row r="164" ht="14.25" customHeight="1" s="7635"/>
    <row r="171">
      <c r="BI171" s="4" t="n"/>
      <c r="BJ171" s="4" t="n"/>
      <c r="BK171" s="4" t="n"/>
      <c r="BL171" s="4" t="n"/>
    </row>
    <row r="172">
      <c r="BI172" s="4" t="n"/>
      <c r="BJ172" s="4" t="n"/>
      <c r="BK172" s="4" t="n"/>
      <c r="BL172" s="4" t="n"/>
    </row>
    <row r="173">
      <c r="BI173" s="4" t="n"/>
      <c r="BJ173" s="4" t="n"/>
      <c r="BK173" s="4" t="n"/>
      <c r="BL173" s="4" t="n"/>
    </row>
    <row r="174">
      <c r="BI174" s="4" t="n"/>
      <c r="BJ174" s="4" t="n"/>
      <c r="BK174" s="4" t="n"/>
      <c r="BL174" s="4" t="n"/>
    </row>
    <row r="175">
      <c r="BI175" s="4" t="n"/>
      <c r="BJ175" s="4" t="n"/>
      <c r="BK175" s="4" t="n"/>
      <c r="BL175" s="4" t="n"/>
    </row>
    <row r="176">
      <c r="BI176" s="4" t="n"/>
      <c r="BJ176" s="4" t="n"/>
      <c r="BK176" s="4" t="n"/>
      <c r="BL176" s="4" t="n"/>
    </row>
    <row r="177">
      <c r="BI177" s="4" t="n"/>
      <c r="BJ177" s="4" t="n"/>
      <c r="BK177" s="4" t="n"/>
      <c r="BL177" s="4" t="n"/>
    </row>
    <row r="178">
      <c r="BI178" s="4" t="n"/>
      <c r="BJ178" s="4" t="n"/>
      <c r="BK178" s="4" t="n"/>
      <c r="BL178" s="4" t="n"/>
    </row>
    <row r="179">
      <c r="BI179" s="4" t="n"/>
      <c r="BJ179" s="4" t="n"/>
      <c r="BK179" s="4" t="n"/>
      <c r="BL179" s="4" t="n"/>
    </row>
    <row r="180">
      <c r="BI180" s="4" t="n"/>
      <c r="BJ180" s="4" t="n"/>
      <c r="BK180" s="4" t="n"/>
      <c r="BL180" s="4" t="n"/>
    </row>
    <row r="181">
      <c r="BI181" s="4" t="n"/>
      <c r="BJ181" s="4" t="n"/>
      <c r="BK181" s="4" t="n"/>
      <c r="BL181" s="4" t="n"/>
    </row>
    <row r="182">
      <c r="BI182" s="4" t="n"/>
      <c r="BJ182" s="4" t="n"/>
      <c r="BK182" s="4" t="n"/>
      <c r="BL182" s="4" t="n"/>
    </row>
    <row r="183">
      <c r="BI183" s="4" t="n"/>
      <c r="BJ183" s="4" t="n"/>
      <c r="BK183" s="4" t="n"/>
      <c r="BL183" s="4" t="n"/>
    </row>
    <row r="184">
      <c r="BI184" s="4" t="n"/>
      <c r="BJ184" s="4" t="n"/>
      <c r="BK184" s="4" t="n"/>
      <c r="BL184" s="4" t="n"/>
    </row>
    <row r="185">
      <c r="BI185" s="4" t="n"/>
      <c r="BJ185" s="4" t="n"/>
      <c r="BK185" s="4" t="n"/>
      <c r="BL185" s="4" t="n"/>
    </row>
    <row r="186">
      <c r="BI186" s="4" t="n"/>
      <c r="BJ186" s="4" t="n"/>
      <c r="BK186" s="4" t="n"/>
      <c r="BL186" s="4" t="n"/>
    </row>
    <row r="187">
      <c r="BI187" s="4" t="n"/>
      <c r="BJ187" s="4" t="n"/>
      <c r="BK187" s="4" t="n"/>
      <c r="BL187" s="4" t="n"/>
    </row>
    <row r="188">
      <c r="BI188" s="4" t="n"/>
      <c r="BJ188" s="4" t="n"/>
      <c r="BK188" s="4" t="n"/>
      <c r="BL188" s="4" t="n"/>
    </row>
    <row r="189">
      <c r="BI189" s="4" t="n"/>
      <c r="BJ189" s="4" t="n"/>
      <c r="BK189" s="4" t="n"/>
      <c r="BL189" s="4" t="n"/>
    </row>
    <row r="190">
      <c r="BI190" s="4" t="n"/>
      <c r="BJ190" s="4" t="n"/>
      <c r="BK190" s="4" t="n"/>
      <c r="BL190" s="4" t="n"/>
    </row>
    <row r="191">
      <c r="BI191" s="4" t="n"/>
      <c r="BJ191" s="4" t="n"/>
      <c r="BK191" s="4" t="n"/>
      <c r="BL191" s="4" t="n"/>
    </row>
    <row r="192">
      <c r="BI192" s="4" t="n"/>
      <c r="BJ192" s="4" t="n"/>
      <c r="BK192" s="4" t="n"/>
      <c r="BL192" s="4" t="n"/>
    </row>
    <row r="193">
      <c r="BI193" s="4" t="n"/>
      <c r="BJ193" s="4" t="n"/>
      <c r="BK193" s="4" t="n"/>
      <c r="BL193" s="4" t="n"/>
    </row>
    <row r="194">
      <c r="BI194" s="4" t="n"/>
      <c r="BJ194" s="4" t="n"/>
      <c r="BK194" s="4" t="n"/>
      <c r="BL194" s="4" t="n"/>
    </row>
    <row r="195">
      <c r="BI195" s="4" t="n"/>
      <c r="BJ195" s="4" t="n"/>
      <c r="BK195" s="4" t="n"/>
      <c r="BL195" s="4" t="n"/>
    </row>
  </sheetData>
  <sheetProtection selectLockedCells="0" selectUnlockedCells="0" algorithmName="SHA-512" sheet="1" objects="0" insertRows="1" insertHyperlinks="1" autoFilter="1" scenarios="0" formatColumns="0" deleteColumns="1" insertColumns="1" pivotTables="1" deleteRows="1" formatCells="0" saltValue="LELLYkzH0adQgtMpo1o/dg==" formatRows="0" sort="1" spinCount="100000" hashValue="qO/Gxbs9V+DYoF+NeJ7dMFN2XXLvMRT9aAdwDiTV3onwTB3ShE8b7A0BoySCto3zRhvTnT5ryBlAkNTt+C6l9A=="/>
  <mergeCells count="262">
    <mergeCell ref="P147:AB147"/>
    <mergeCell ref="AL62:AR62"/>
    <mergeCell ref="W47:X48"/>
    <mergeCell ref="B58:D60"/>
    <mergeCell ref="AL127:AR127"/>
    <mergeCell ref="AT71:AT74"/>
    <mergeCell ref="R6:Z6"/>
    <mergeCell ref="AX23:AZ24"/>
    <mergeCell ref="AC96:AD96"/>
    <mergeCell ref="AH10:AS10"/>
    <mergeCell ref="F41:K41"/>
    <mergeCell ref="AF120:AJ120"/>
    <mergeCell ref="B105:D109"/>
    <mergeCell ref="AG70:AI70"/>
    <mergeCell ref="AC6:AF6"/>
    <mergeCell ref="AM150:AQ150"/>
    <mergeCell ref="AA145:AS145"/>
    <mergeCell ref="AK148:AS148"/>
    <mergeCell ref="AD38:AK38"/>
    <mergeCell ref="AF107:AJ107"/>
    <mergeCell ref="AA47:AC48"/>
    <mergeCell ref="AL55:AR55"/>
    <mergeCell ref="AH126:AI126"/>
    <mergeCell ref="Q71:R71"/>
    <mergeCell ref="AA140:AI141"/>
    <mergeCell ref="S68:X68"/>
    <mergeCell ref="AL72:AR73"/>
    <mergeCell ref="AL79:AR79"/>
    <mergeCell ref="AL54:AR54"/>
    <mergeCell ref="AL119:AR119"/>
    <mergeCell ref="AK63:AK64"/>
    <mergeCell ref="AL128:AR128"/>
    <mergeCell ref="R8:AG8"/>
    <mergeCell ref="R44:T45"/>
    <mergeCell ref="AC14:AG14"/>
    <mergeCell ref="B61:D62"/>
    <mergeCell ref="F43:K45"/>
    <mergeCell ref="AF108:AJ108"/>
    <mergeCell ref="AK149:AS149"/>
    <mergeCell ref="C89:C91"/>
    <mergeCell ref="B36:C41"/>
    <mergeCell ref="AJ44:AK45"/>
    <mergeCell ref="AC4:AG4"/>
    <mergeCell ref="AL65:AR65"/>
    <mergeCell ref="AR47:AS48"/>
    <mergeCell ref="AL110:AR110"/>
    <mergeCell ref="AL104:AR104"/>
    <mergeCell ref="AL33:AS33"/>
    <mergeCell ref="AL76:AR76"/>
    <mergeCell ref="B11:Q11"/>
    <mergeCell ref="AA142:AH142"/>
    <mergeCell ref="B133:E136"/>
    <mergeCell ref="N47:O48"/>
    <mergeCell ref="AH12:AS12"/>
    <mergeCell ref="AZ61:BA61"/>
    <mergeCell ref="AL57:AR57"/>
    <mergeCell ref="BJ136:BK136"/>
    <mergeCell ref="B22:D24"/>
    <mergeCell ref="X3:AB4"/>
    <mergeCell ref="AU98:AW100"/>
    <mergeCell ref="AF122:AJ122"/>
    <mergeCell ref="AL35:AS35"/>
    <mergeCell ref="AL53:AR53"/>
    <mergeCell ref="S71:X71"/>
    <mergeCell ref="K148:AG148"/>
    <mergeCell ref="AH15:AS16"/>
    <mergeCell ref="AF119:AJ119"/>
    <mergeCell ref="S62:X62"/>
    <mergeCell ref="AH14:AS14"/>
    <mergeCell ref="AL121:AR121"/>
    <mergeCell ref="F153:AA153"/>
    <mergeCell ref="U139:Z139"/>
    <mergeCell ref="AL130:AR130"/>
    <mergeCell ref="AL68:AR68"/>
    <mergeCell ref="AU91:AW94"/>
    <mergeCell ref="BC91:BD92"/>
    <mergeCell ref="AH4:AS4"/>
    <mergeCell ref="AL52:AR52"/>
    <mergeCell ref="AL136:AR136"/>
    <mergeCell ref="AL123:AR123"/>
    <mergeCell ref="Q68:R68"/>
    <mergeCell ref="B3:B4"/>
    <mergeCell ref="P146:Y146"/>
    <mergeCell ref="AL92:AR92"/>
    <mergeCell ref="AN6:AR6"/>
    <mergeCell ref="B51:D52"/>
    <mergeCell ref="AC146:AG146"/>
    <mergeCell ref="L88:W88"/>
    <mergeCell ref="AL94:AR94"/>
    <mergeCell ref="AL109:AR109"/>
    <mergeCell ref="U140:Z141"/>
    <mergeCell ref="AH148:AJ148"/>
    <mergeCell ref="AC3:AG3"/>
    <mergeCell ref="F148:I148"/>
    <mergeCell ref="L158:R160"/>
    <mergeCell ref="AL122:AR122"/>
    <mergeCell ref="AL78:AR78"/>
    <mergeCell ref="R112:W112"/>
    <mergeCell ref="AA44:AC45"/>
    <mergeCell ref="U33:AC33"/>
    <mergeCell ref="AC5:AG5"/>
    <mergeCell ref="B130:D131"/>
    <mergeCell ref="F38:K40"/>
    <mergeCell ref="AA139:AI139"/>
    <mergeCell ref="AR44:AS45"/>
    <mergeCell ref="F37:K37"/>
    <mergeCell ref="AL37:AS37"/>
    <mergeCell ref="AL95:AR95"/>
    <mergeCell ref="AW9:BA9"/>
    <mergeCell ref="AH2:AS2"/>
    <mergeCell ref="AF121:AJ121"/>
    <mergeCell ref="H2:U2"/>
    <mergeCell ref="AD129:AH129"/>
    <mergeCell ref="AH149:AJ149"/>
    <mergeCell ref="B146:C148"/>
    <mergeCell ref="AH147:AN147"/>
    <mergeCell ref="Q65:R65"/>
    <mergeCell ref="B20:E21"/>
    <mergeCell ref="AL120:AR120"/>
    <mergeCell ref="U34:AC34"/>
    <mergeCell ref="AX18:BA19"/>
    <mergeCell ref="F4:W4"/>
    <mergeCell ref="U143:Z144"/>
    <mergeCell ref="AH3:AS3"/>
    <mergeCell ref="AL63:AR64"/>
    <mergeCell ref="F140:T141"/>
    <mergeCell ref="AA143:AI144"/>
    <mergeCell ref="L6:M6"/>
    <mergeCell ref="AH146:AN146"/>
    <mergeCell ref="N127:W127"/>
    <mergeCell ref="AF113:AJ113"/>
    <mergeCell ref="AL56:AR56"/>
    <mergeCell ref="H132:W132"/>
    <mergeCell ref="AL144:AS144"/>
    <mergeCell ref="U36:AC36"/>
    <mergeCell ref="S61:X61"/>
    <mergeCell ref="B17:R18"/>
    <mergeCell ref="AH5:AS5"/>
    <mergeCell ref="AF44:AG45"/>
    <mergeCell ref="R47:T48"/>
    <mergeCell ref="AJ139:AS140"/>
    <mergeCell ref="G49:AS50"/>
    <mergeCell ref="AL93:AR93"/>
    <mergeCell ref="AH13:AR13"/>
    <mergeCell ref="L33:T33"/>
    <mergeCell ref="B9:Q9"/>
    <mergeCell ref="AL34:AS34"/>
    <mergeCell ref="AL126:AR126"/>
    <mergeCell ref="AB25:AS25"/>
    <mergeCell ref="U37:AC37"/>
    <mergeCell ref="AL58:AR58"/>
    <mergeCell ref="AL129:AR129"/>
    <mergeCell ref="B15:W15"/>
    <mergeCell ref="U145:Y145"/>
    <mergeCell ref="L35:T35"/>
    <mergeCell ref="AL36:AS36"/>
    <mergeCell ref="AX16:BA16"/>
    <mergeCell ref="R5:X5"/>
    <mergeCell ref="AL60:AR60"/>
    <mergeCell ref="R9:AG9"/>
    <mergeCell ref="AL134:AM134"/>
    <mergeCell ref="S65:X65"/>
    <mergeCell ref="AU126:AW126"/>
    <mergeCell ref="AY92:AY95"/>
    <mergeCell ref="N128:Y128"/>
    <mergeCell ref="AL124:AR124"/>
    <mergeCell ref="AK6:AM6"/>
    <mergeCell ref="F46:K48"/>
    <mergeCell ref="W44:X45"/>
    <mergeCell ref="AC17:AG18"/>
    <mergeCell ref="R11:AG11"/>
    <mergeCell ref="L90:W90"/>
    <mergeCell ref="AU64:AW71"/>
    <mergeCell ref="AG67:AI67"/>
    <mergeCell ref="X15:AB15"/>
    <mergeCell ref="AL61:AR61"/>
    <mergeCell ref="AG59:AJ59"/>
    <mergeCell ref="AZ42:BD49"/>
    <mergeCell ref="AG6:AJ6"/>
    <mergeCell ref="B137:C139"/>
    <mergeCell ref="U35:AC35"/>
    <mergeCell ref="AJ141:AK141"/>
    <mergeCell ref="AN43:AO45"/>
    <mergeCell ref="Q61:R61"/>
    <mergeCell ref="AL125:AR125"/>
    <mergeCell ref="AF106:AJ106"/>
    <mergeCell ref="AL103:AR103"/>
    <mergeCell ref="AH1:AT1"/>
    <mergeCell ref="AL97:AR97"/>
    <mergeCell ref="N25:Y25"/>
    <mergeCell ref="L37:T37"/>
    <mergeCell ref="B82:E84"/>
    <mergeCell ref="AL96:AR96"/>
    <mergeCell ref="I145:T145"/>
    <mergeCell ref="AB23:AS24"/>
    <mergeCell ref="B13:AC13"/>
    <mergeCell ref="AL102:AR102"/>
    <mergeCell ref="AG96:AI96"/>
    <mergeCell ref="AL71:AR71"/>
    <mergeCell ref="F149:I149"/>
    <mergeCell ref="AL98:AR98"/>
    <mergeCell ref="F36:K36"/>
    <mergeCell ref="AD33:AK33"/>
    <mergeCell ref="AL131:AR131"/>
    <mergeCell ref="B86:D88"/>
    <mergeCell ref="AL51:AR51"/>
    <mergeCell ref="S17:AB18"/>
    <mergeCell ref="AL82:AR82"/>
    <mergeCell ref="N44:O45"/>
    <mergeCell ref="AH9:AS9"/>
    <mergeCell ref="L149:AG149"/>
    <mergeCell ref="AD132:AH132"/>
    <mergeCell ref="AG135:AK136"/>
    <mergeCell ref="AJ144:AK144"/>
    <mergeCell ref="AD35:AK35"/>
    <mergeCell ref="F135:I136"/>
    <mergeCell ref="F143:T144"/>
    <mergeCell ref="AF47:AG48"/>
    <mergeCell ref="AH11:AS11"/>
    <mergeCell ref="U142:Z142"/>
    <mergeCell ref="B53:D57"/>
    <mergeCell ref="F147:O147"/>
    <mergeCell ref="AD34:AK34"/>
    <mergeCell ref="AC15:AG15"/>
    <mergeCell ref="Y136:AD136"/>
    <mergeCell ref="AC147:AG147"/>
    <mergeCell ref="AL74:AR74"/>
    <mergeCell ref="AL99:AR99"/>
    <mergeCell ref="B30:D32"/>
    <mergeCell ref="AD75:AI75"/>
    <mergeCell ref="H88:I88"/>
    <mergeCell ref="C3:D4"/>
    <mergeCell ref="L34:T34"/>
    <mergeCell ref="F30:AK32"/>
    <mergeCell ref="AU33:AU37"/>
    <mergeCell ref="F146:O146"/>
    <mergeCell ref="AJ47:AK48"/>
    <mergeCell ref="AA28:AS28"/>
    <mergeCell ref="AD36:AK36"/>
    <mergeCell ref="AD13:AG13"/>
    <mergeCell ref="J136:V136"/>
    <mergeCell ref="AN46:AO48"/>
    <mergeCell ref="X14:AB14"/>
    <mergeCell ref="L36:T36"/>
    <mergeCell ref="AL77:AR77"/>
    <mergeCell ref="AL91:AR91"/>
    <mergeCell ref="AL42:AS42"/>
    <mergeCell ref="AJ142:AS143"/>
    <mergeCell ref="B89:B90"/>
    <mergeCell ref="AL100:AR100"/>
    <mergeCell ref="Y5:AB5"/>
    <mergeCell ref="AO146:AS146"/>
    <mergeCell ref="AL141:AS141"/>
    <mergeCell ref="AL101:AR101"/>
    <mergeCell ref="B112:C116"/>
    <mergeCell ref="Q62:R62"/>
    <mergeCell ref="W135:X136"/>
    <mergeCell ref="C142:C144"/>
    <mergeCell ref="AD37:AK37"/>
    <mergeCell ref="H115:S116"/>
    <mergeCell ref="AH8:AS8"/>
    <mergeCell ref="AZ82:BE88"/>
  </mergeCells>
  <conditionalFormatting sqref="B9 B150:F150 F51:Z60 F109:AI109 F127:F132 H96:AC96 H112:R112 I89:AJ89 I127:M128 I150:AN150 R9 X112:AR112 X127:Z127 AE96:AF96 AH9:AS9 AJ60:AJ65 AJ72:AL72 AJ73:AK73 AJ74:AR75 AJ109:AJ111 AK59:AK63 AK97:AR100 AK101:AM101 AK102:AR111 AK113:AR122 AK123:AM123 AK124:AR124 AK125 AR150:AS150 AX15:AZ15">
    <cfRule type="expression" priority="1477" dxfId="6">
      <formula>IF(NoColor,1,0)</formula>
    </cfRule>
  </conditionalFormatting>
  <conditionalFormatting sqref="B22 C25:E29 E22:E24">
    <cfRule type="expression" priority="722" dxfId="3918">
      <formula>FilingStatusError</formula>
    </cfRule>
  </conditionalFormatting>
  <conditionalFormatting sqref="B25:B29">
    <cfRule type="expression" priority="1481" dxfId="3">
      <formula>NoColor</formula>
    </cfRule>
  </conditionalFormatting>
  <conditionalFormatting sqref="B33 B96 C140:E142 C145:D145 D144 D146 E143:E146 F84 J88:L88 X88:AS88 X90:AS90 AK89:AS89 AU107:AV108">
    <cfRule type="expression" priority="265" dxfId="6">
      <formula>NoColor</formula>
    </cfRule>
  </conditionalFormatting>
  <conditionalFormatting sqref="B92">
    <cfRule type="expression" priority="83" dxfId="6">
      <formula>NoColor</formula>
    </cfRule>
  </conditionalFormatting>
  <conditionalFormatting sqref="B140:B145">
    <cfRule type="expression" priority="849" dxfId="968">
      <formula>IF(NoColor,1,0)</formula>
    </cfRule>
  </conditionalFormatting>
  <conditionalFormatting sqref="B3:C3">
    <cfRule type="expression" priority="1127" dxfId="6">
      <formula>NoColor</formula>
    </cfRule>
  </conditionalFormatting>
  <conditionalFormatting sqref="B30:D32">
    <cfRule type="expression" priority="27" dxfId="0">
      <formula>AND(DigitalAsset_Yes="",DigitalAsset_No="",NOT(NoColor))</formula>
    </cfRule>
  </conditionalFormatting>
  <conditionalFormatting sqref="B34:F34">
    <cfRule type="expression" priority="695" dxfId="6">
      <formula>NoColor</formula>
    </cfRule>
  </conditionalFormatting>
  <conditionalFormatting sqref="B25:N25 B26:AS26">
    <cfRule type="expression" priority="266" dxfId="6">
      <formula>NoColor</formula>
    </cfRule>
  </conditionalFormatting>
  <conditionalFormatting sqref="B13:AS13">
    <cfRule type="expression" priority="7" dxfId="6">
      <formula>NoColor</formula>
    </cfRule>
  </conditionalFormatting>
  <conditionalFormatting sqref="D41">
    <cfRule type="expression" priority="8" dxfId="6">
      <formula>NoColor</formula>
    </cfRule>
  </conditionalFormatting>
  <conditionalFormatting sqref="E23:AA24">
    <cfRule type="expression" priority="328" dxfId="6">
      <formula>NoColor</formula>
    </cfRule>
  </conditionalFormatting>
  <conditionalFormatting sqref="E28:AS29">
    <cfRule type="expression" priority="126" dxfId="6">
      <formula>NoColor</formula>
    </cfRule>
  </conditionalFormatting>
  <conditionalFormatting sqref="F4:F8 F10 F12:F18">
    <cfRule type="expression" priority="378" dxfId="3">
      <formula>NoColor</formula>
    </cfRule>
    <cfRule type="expression" priority="380" dxfId="0">
      <formula>NumFileStatusBoxes=0</formula>
    </cfRule>
  </conditionalFormatting>
  <conditionalFormatting sqref="F21 F23 F25:F26">
    <cfRule type="expression" priority="6232" dxfId="158">
      <formula>AND(File_Marr_Sep&lt;&gt;"",$T$25="")</formula>
    </cfRule>
  </conditionalFormatting>
  <conditionalFormatting sqref="B137 B146 F30 AL51:AR51 AL52:AM58 AL59:AR59 AL60:AM60 AL61:AR61 AL62:AL63">
    <cfRule type="expression" priority="842" dxfId="6">
      <formula>NoColor</formula>
    </cfRule>
  </conditionalFormatting>
  <conditionalFormatting sqref="F49">
    <cfRule type="expression" priority="221" dxfId="6">
      <formula>NoColor</formula>
    </cfRule>
  </conditionalFormatting>
  <conditionalFormatting sqref="F86">
    <cfRule type="expression" priority="82" dxfId="6">
      <formula>NoColor</formula>
    </cfRule>
  </conditionalFormatting>
  <conditionalFormatting sqref="F133:F135">
    <cfRule type="expression" priority="480" dxfId="968">
      <formula>IF(NoColor,1,0)</formula>
    </cfRule>
  </conditionalFormatting>
  <conditionalFormatting sqref="F143">
    <cfRule type="expression" priority="350" dxfId="968">
      <formula>IF(NoColor,1,0)</formula>
    </cfRule>
  </conditionalFormatting>
  <conditionalFormatting sqref="F3:G3">
    <cfRule type="expression" priority="578" dxfId="158">
      <formula>FilingStatusError</formula>
    </cfRule>
  </conditionalFormatting>
  <conditionalFormatting sqref="F63:G64">
    <cfRule type="expression" priority="112" dxfId="6">
      <formula>IF(NoColor,1,0)</formula>
    </cfRule>
  </conditionalFormatting>
  <conditionalFormatting sqref="F66:G67">
    <cfRule type="expression" priority="108" dxfId="6">
      <formula>IF(NoColor,1,0)</formula>
    </cfRule>
  </conditionalFormatting>
  <conditionalFormatting sqref="F69:G70">
    <cfRule type="expression" priority="104" dxfId="6">
      <formula>IF(NoColor,1,0)</formula>
    </cfRule>
  </conditionalFormatting>
  <conditionalFormatting sqref="F74:G75">
    <cfRule type="expression" priority="119" dxfId="6">
      <formula>IF(NoColor,1,0)</formula>
    </cfRule>
  </conditionalFormatting>
  <conditionalFormatting sqref="F88:G89">
    <cfRule type="expression" priority="68" dxfId="6">
      <formula>IF(NoColor,1,0)</formula>
    </cfRule>
  </conditionalFormatting>
  <conditionalFormatting sqref="F90:G90">
    <cfRule type="expression" priority="71" dxfId="6">
      <formula>NoColor</formula>
    </cfRule>
  </conditionalFormatting>
  <conditionalFormatting sqref="F96:G101">
    <cfRule type="expression" priority="643" dxfId="6">
      <formula>IF(NoColor,1,0)</formula>
    </cfRule>
  </conditionalFormatting>
  <conditionalFormatting sqref="F110:G114">
    <cfRule type="expression" priority="58" dxfId="6">
      <formula>IF(NoColor,1,0)</formula>
    </cfRule>
  </conditionalFormatting>
  <conditionalFormatting sqref="F116:G116">
    <cfRule type="expression" priority="56" dxfId="6">
      <formula>IF(NoColor,1,0)</formula>
    </cfRule>
  </conditionalFormatting>
  <conditionalFormatting sqref="F115:H115 F117:AH117 T115:AH115">
    <cfRule type="expression" priority="60" dxfId="6">
      <formula>IF(NoColor,1,0)</formula>
    </cfRule>
  </conditionalFormatting>
  <conditionalFormatting sqref="F145:I145 U145:V145">
    <cfRule type="expression" priority="621" dxfId="6">
      <formula>NoColor</formula>
    </cfRule>
  </conditionalFormatting>
  <conditionalFormatting sqref="F33:K33 F34:AS35 F35:F38 F41:F43 F46 F49:AS50 G42:K42 L33:AS48">
    <cfRule type="expression" priority="122" dxfId="6">
      <formula>NoColor</formula>
    </cfRule>
  </conditionalFormatting>
  <conditionalFormatting sqref="F61:Q62 F65:Q65 F68:Q68 F71:Q71 H63:AI63 H64:U64">
    <cfRule type="expression" priority="602" dxfId="6">
      <formula>IF(NoColor,1,0)</formula>
    </cfRule>
  </conditionalFormatting>
  <conditionalFormatting sqref="F147:Q147 AC147">
    <cfRule type="expression" priority="837" dxfId="6">
      <formula>NoColor</formula>
    </cfRule>
  </conditionalFormatting>
  <conditionalFormatting sqref="F3:X3">
    <cfRule type="expression" priority="579" dxfId="3">
      <formula>NoColor</formula>
    </cfRule>
  </conditionalFormatting>
  <conditionalFormatting sqref="F22:AA22">
    <cfRule type="expression" priority="131" dxfId="6">
      <formula>NoColor</formula>
    </cfRule>
  </conditionalFormatting>
  <conditionalFormatting sqref="F19:AB19">
    <cfRule type="expression" priority="444" dxfId="3">
      <formula>NoColor</formula>
    </cfRule>
  </conditionalFormatting>
  <conditionalFormatting sqref="F106:AF108">
    <cfRule type="expression" priority="466" dxfId="6">
      <formula>IF(NoColor,1,0)</formula>
    </cfRule>
  </conditionalFormatting>
  <conditionalFormatting sqref="F72:AH73 H75:J75 L75:R75">
    <cfRule type="expression" priority="209" dxfId="6">
      <formula>IF(NoColor,1,0)</formula>
    </cfRule>
  </conditionalFormatting>
  <conditionalFormatting sqref="F126:AH126 AJ126:AK126">
    <cfRule type="expression" priority="464" dxfId="6">
      <formula>IF(NoColor,1,0)</formula>
    </cfRule>
  </conditionalFormatting>
  <conditionalFormatting sqref="F102:AJ105">
    <cfRule type="expression" priority="1167" dxfId="6">
      <formula>IF(NoColor,1,0)</formula>
    </cfRule>
  </conditionalFormatting>
  <conditionalFormatting sqref="F118:AJ118">
    <cfRule type="expression" priority="54" dxfId="6">
      <formula>IF(NoColor,1,0)</formula>
    </cfRule>
  </conditionalFormatting>
  <conditionalFormatting sqref="F123:AJ125">
    <cfRule type="expression" priority="630" dxfId="6">
      <formula>IF(NoColor,1,0)</formula>
    </cfRule>
  </conditionalFormatting>
  <conditionalFormatting sqref="F30:AK32">
    <cfRule type="expression" priority="26" dxfId="0">
      <formula>AND(DigitalAsset_Yes="",DigitalAsset_No="",NOT(NoColor))</formula>
    </cfRule>
  </conditionalFormatting>
  <conditionalFormatting sqref="F76:AR79">
    <cfRule type="expression" priority="113" dxfId="6">
      <formula>IF(NoColor,1,0)</formula>
    </cfRule>
  </conditionalFormatting>
  <conditionalFormatting sqref="F82:AR82">
    <cfRule type="expression" priority="64" dxfId="6">
      <formula>IF(NoColor,1,0)</formula>
    </cfRule>
  </conditionalFormatting>
  <conditionalFormatting sqref="F20:AS21">
    <cfRule type="expression" priority="130" dxfId="6">
      <formula>NoColor</formula>
    </cfRule>
  </conditionalFormatting>
  <conditionalFormatting sqref="F27:AS27">
    <cfRule type="expression" priority="128" dxfId="6">
      <formula>NoColor</formula>
    </cfRule>
  </conditionalFormatting>
  <conditionalFormatting sqref="F83:AS83 H84:AS84">
    <cfRule type="expression" priority="123" dxfId="6">
      <formula>NoColor</formula>
    </cfRule>
  </conditionalFormatting>
  <conditionalFormatting sqref="F85:AS85">
    <cfRule type="expression" priority="81" dxfId="6">
      <formula>NoColor</formula>
    </cfRule>
  </conditionalFormatting>
  <conditionalFormatting sqref="F87:AS87">
    <cfRule type="expression" priority="75" dxfId="6">
      <formula>NoColor</formula>
    </cfRule>
  </conditionalFormatting>
  <conditionalFormatting sqref="B96 G49">
    <cfRule type="expression" priority="5366" dxfId="3254">
      <formula>AND($BF$12,B49&lt;&gt;"")</formula>
    </cfRule>
  </conditionalFormatting>
  <conditionalFormatting sqref="G84">
    <cfRule type="expression" priority="101" dxfId="6">
      <formula>IF(NoColor,1,0)</formula>
    </cfRule>
  </conditionalFormatting>
  <conditionalFormatting sqref="G86">
    <cfRule type="expression" priority="80" dxfId="6">
      <formula>IF(NoColor,1,0)</formula>
    </cfRule>
  </conditionalFormatting>
  <conditionalFormatting sqref="G134:V134 J135:V135">
    <cfRule type="expression" priority="449" dxfId="968">
      <formula>IF(NoColor,1,0)</formula>
    </cfRule>
  </conditionalFormatting>
  <conditionalFormatting sqref="G127:AJ128">
    <cfRule type="expression" priority="832" dxfId="6">
      <formula>NoColor</formula>
    </cfRule>
  </conditionalFormatting>
  <conditionalFormatting sqref="G133:AN133">
    <cfRule type="expression" priority="481" dxfId="968">
      <formula>IF(NoColor,1,0)</formula>
    </cfRule>
  </conditionalFormatting>
  <conditionalFormatting sqref="H88:H90">
    <cfRule type="expression" priority="67" dxfId="6">
      <formula>NoColor</formula>
    </cfRule>
  </conditionalFormatting>
  <conditionalFormatting sqref="H137">
    <cfRule type="expression" priority="3243" dxfId="1305" stopIfTrue="1">
      <formula>IF(AND(#REF!&gt;1000,#REF!&gt;0.1*#REF!,#REF!="",#REF!&lt;&gt;""),1,0)</formula>
    </cfRule>
  </conditionalFormatting>
  <conditionalFormatting sqref="H67:U67">
    <cfRule type="expression" priority="173" dxfId="6">
      <formula>IF(NoColor,1,0)</formula>
    </cfRule>
  </conditionalFormatting>
  <conditionalFormatting sqref="H70:U70">
    <cfRule type="expression" priority="155" dxfId="6">
      <formula>IF(NoColor,1,0)</formula>
    </cfRule>
  </conditionalFormatting>
  <conditionalFormatting sqref="H86:V86 X86:AS86">
    <cfRule type="expression" priority="77" dxfId="6">
      <formula>NoColor</formula>
    </cfRule>
  </conditionalFormatting>
  <conditionalFormatting sqref="F119:AB119 F120:AF122 H113:AF113 AD119:AF119">
    <cfRule type="expression" priority="427" dxfId="6">
      <formula>IF(NoColor,1,0)</formula>
    </cfRule>
  </conditionalFormatting>
  <conditionalFormatting sqref="H74:AI74">
    <cfRule type="expression" priority="121" dxfId="6">
      <formula>IF(NoColor,1,0)</formula>
    </cfRule>
  </conditionalFormatting>
  <conditionalFormatting sqref="H110:AI111">
    <cfRule type="expression" priority="900" dxfId="6">
      <formula>IF(NoColor,1,0)</formula>
    </cfRule>
  </conditionalFormatting>
  <conditionalFormatting sqref="H66:AJ66">
    <cfRule type="expression" priority="109" dxfId="6">
      <formula>IF(NoColor,1,0)</formula>
    </cfRule>
  </conditionalFormatting>
  <conditionalFormatting sqref="H97:AJ101">
    <cfRule type="expression" priority="509" dxfId="6">
      <formula>IF(NoColor,1,0)</formula>
    </cfRule>
  </conditionalFormatting>
  <conditionalFormatting sqref="H114:AJ114">
    <cfRule type="expression" priority="59" dxfId="6">
      <formula>IF(NoColor,1,0)</formula>
    </cfRule>
  </conditionalFormatting>
  <conditionalFormatting sqref="H69:AK69">
    <cfRule type="expression" priority="105" dxfId="6">
      <formula>IF(NoColor,1,0)</formula>
    </cfRule>
  </conditionalFormatting>
  <conditionalFormatting sqref="F92:AR94 H91:AR91">
    <cfRule type="expression" priority="371" dxfId="6">
      <formula>IF(NoColor,1,0)</formula>
    </cfRule>
  </conditionalFormatting>
  <conditionalFormatting sqref="I90:L90">
    <cfRule type="expression" priority="70" dxfId="6">
      <formula>NoColor</formula>
    </cfRule>
  </conditionalFormatting>
  <conditionalFormatting sqref="I129:AB129">
    <cfRule type="expression" priority="1139" dxfId="6">
      <formula>IF(NoColor,1,0)</formula>
    </cfRule>
  </conditionalFormatting>
  <conditionalFormatting sqref="I130:AJ131">
    <cfRule type="expression" priority="398" dxfId="6">
      <formula>IF(NoColor,1,0)</formula>
    </cfRule>
  </conditionalFormatting>
  <conditionalFormatting sqref="J136">
    <cfRule type="expression" priority="599" dxfId="6">
      <formula>NoColor</formula>
    </cfRule>
  </conditionalFormatting>
  <conditionalFormatting sqref="K75">
    <cfRule type="expression" priority="118" dxfId="6">
      <formula>NoColor</formula>
    </cfRule>
  </conditionalFormatting>
  <conditionalFormatting sqref="K148:K149">
    <cfRule type="expression" priority="44" dxfId="6">
      <formula>NoColor</formula>
    </cfRule>
  </conditionalFormatting>
  <conditionalFormatting sqref="L6">
    <cfRule type="expression" priority="271" dxfId="6">
      <formula>NoColor</formula>
    </cfRule>
  </conditionalFormatting>
  <conditionalFormatting sqref="L88">
    <cfRule type="expression" priority="700" dxfId="158">
      <formula>AND(Name_1st_Yours&lt;&gt;"",NOT($BI$15))</formula>
    </cfRule>
  </conditionalFormatting>
  <conditionalFormatting sqref="L90">
    <cfRule type="expression" priority="94" dxfId="158">
      <formula>AND(Name_1st_Yours&lt;&gt;"",NOT($BI$15))</formula>
    </cfRule>
  </conditionalFormatting>
  <conditionalFormatting sqref="L39:M41">
    <cfRule type="expression" priority="144" dxfId="6">
      <formula>NoColor</formula>
    </cfRule>
  </conditionalFormatting>
  <conditionalFormatting sqref="L149:AG149">
    <cfRule type="expression" priority="32" dxfId="6">
      <formula>NoColor</formula>
    </cfRule>
  </conditionalFormatting>
  <conditionalFormatting sqref="M44">
    <cfRule type="expression" priority="196" dxfId="6">
      <formula>NoColor</formula>
    </cfRule>
  </conditionalFormatting>
  <conditionalFormatting sqref="M47">
    <cfRule type="expression" priority="195" dxfId="6">
      <formula>NoColor</formula>
    </cfRule>
  </conditionalFormatting>
  <conditionalFormatting sqref="O39">
    <cfRule type="expression" priority="239" dxfId="6">
      <formula>NoColor</formula>
    </cfRule>
  </conditionalFormatting>
  <conditionalFormatting sqref="O41">
    <cfRule type="expression" priority="203" dxfId="6">
      <formula>NoColor</formula>
    </cfRule>
  </conditionalFormatting>
  <conditionalFormatting sqref="P94:Q94">
    <cfRule type="expression" priority="369" dxfId="158">
      <formula>#REF!&lt;0</formula>
    </cfRule>
  </conditionalFormatting>
  <conditionalFormatting sqref="Q44">
    <cfRule type="expression" priority="194" dxfId="6">
      <formula>NoColor</formula>
    </cfRule>
  </conditionalFormatting>
  <conditionalFormatting sqref="Q47">
    <cfRule type="expression" priority="193" dxfId="6">
      <formula>NoColor</formula>
    </cfRule>
  </conditionalFormatting>
  <conditionalFormatting sqref="R5:X5">
    <cfRule type="expression" priority="348" dxfId="6">
      <formula>NoColor</formula>
    </cfRule>
  </conditionalFormatting>
  <conditionalFormatting sqref="R6:Z6">
    <cfRule type="expression" priority="4" dxfId="6">
      <formula>NoColor</formula>
    </cfRule>
  </conditionalFormatting>
  <conditionalFormatting sqref="R11:AS11">
    <cfRule type="expression" priority="742" dxfId="6">
      <formula>NoColor</formula>
    </cfRule>
  </conditionalFormatting>
  <conditionalFormatting sqref="S61:S62 S65 S68 S71">
    <cfRule type="expression" priority="654" dxfId="6">
      <formula>IF(NoColor,1,0)</formula>
    </cfRule>
  </conditionalFormatting>
  <conditionalFormatting sqref="S75">
    <cfRule type="expression" priority="116" dxfId="6">
      <formula>NoColor</formula>
    </cfRule>
  </conditionalFormatting>
  <conditionalFormatting sqref="T20 T27:AK27">
    <cfRule type="expression" priority="312" dxfId="158">
      <formula>AND(OR(File_Qual_Widow&lt;&gt;"",File_Head&lt;&gt;""),#REF!="")</formula>
    </cfRule>
  </conditionalFormatting>
  <conditionalFormatting sqref="T22">
    <cfRule type="expression" priority="139" dxfId="158">
      <formula>AND(OR(File_Qual_Widow&lt;&gt;"",File_Head&lt;&gt;""),#REF!="")</formula>
    </cfRule>
  </conditionalFormatting>
  <conditionalFormatting sqref="T75:AC75">
    <cfRule type="expression" priority="115" dxfId="6">
      <formula>IF(NoColor,1,0)</formula>
    </cfRule>
  </conditionalFormatting>
  <conditionalFormatting sqref="T116:AJ116">
    <cfRule type="expression" priority="57" dxfId="6">
      <formula>IF(NoColor,1,0)</formula>
    </cfRule>
  </conditionalFormatting>
  <conditionalFormatting sqref="U140">
    <cfRule type="expression" priority="360" dxfId="6">
      <formula>NoColor</formula>
    </cfRule>
  </conditionalFormatting>
  <conditionalFormatting sqref="U142">
    <cfRule type="expression" priority="53" dxfId="968">
      <formula>IF(NoColor,1,0)</formula>
    </cfRule>
  </conditionalFormatting>
  <conditionalFormatting sqref="U143">
    <cfRule type="expression" priority="51" dxfId="6">
      <formula>NoColor</formula>
    </cfRule>
  </conditionalFormatting>
  <conditionalFormatting sqref="V44">
    <cfRule type="expression" priority="192" dxfId="6">
      <formula>NoColor</formula>
    </cfRule>
  </conditionalFormatting>
  <conditionalFormatting sqref="V47">
    <cfRule type="expression" priority="191" dxfId="6">
      <formula>NoColor</formula>
    </cfRule>
  </conditionalFormatting>
  <conditionalFormatting sqref="V64">
    <cfRule type="expression" priority="180" dxfId="6">
      <formula>NoColor</formula>
    </cfRule>
  </conditionalFormatting>
  <conditionalFormatting sqref="V67">
    <cfRule type="expression" priority="172" dxfId="6">
      <formula>NoColor</formula>
    </cfRule>
  </conditionalFormatting>
  <conditionalFormatting sqref="V70">
    <cfRule type="expression" priority="154" dxfId="6">
      <formula>NoColor</formula>
    </cfRule>
  </conditionalFormatting>
  <conditionalFormatting sqref="W86">
    <cfRule type="expression" priority="15" dxfId="6">
      <formula>IF(NoColor,1,0)</formula>
    </cfRule>
  </conditionalFormatting>
  <conditionalFormatting sqref="W93 W94:X94">
    <cfRule type="expression" priority="5034" dxfId="158">
      <formula>#REF!&lt;0</formula>
    </cfRule>
  </conditionalFormatting>
  <conditionalFormatting sqref="W134:W135">
    <cfRule type="expression" priority="491" dxfId="968">
      <formula>IF(NoColor,1,0)</formula>
    </cfRule>
  </conditionalFormatting>
  <conditionalFormatting sqref="W67:AE67 AG67">
    <cfRule type="expression" priority="166" dxfId="6">
      <formula>IF(NoColor,1,0)</formula>
    </cfRule>
  </conditionalFormatting>
  <conditionalFormatting sqref="W70:AE70 AG70">
    <cfRule type="expression" priority="150" dxfId="6">
      <formula>IF(NoColor,1,0)</formula>
    </cfRule>
  </conditionalFormatting>
  <conditionalFormatting sqref="W64:AI64">
    <cfRule type="expression" priority="179" dxfId="6">
      <formula>IF(NoColor,1,0)</formula>
    </cfRule>
  </conditionalFormatting>
  <conditionalFormatting sqref="X15">
    <cfRule type="expression" priority="474" dxfId="6">
      <formula>NoColor</formula>
    </cfRule>
  </conditionalFormatting>
  <conditionalFormatting sqref="X39">
    <cfRule type="expression" priority="202" dxfId="6">
      <formula>NoColor</formula>
    </cfRule>
  </conditionalFormatting>
  <conditionalFormatting sqref="X41">
    <cfRule type="expression" priority="201" dxfId="6">
      <formula>NoColor</formula>
    </cfRule>
  </conditionalFormatting>
  <conditionalFormatting sqref="X134:AA134 Y135:AC135">
    <cfRule type="expression" priority="447" dxfId="968">
      <formula>IF(NoColor,1,0)</formula>
    </cfRule>
  </conditionalFormatting>
  <conditionalFormatting sqref="X132:AB132">
    <cfRule type="expression" priority="899" dxfId="6">
      <formula>IF(NoColor,1,0)</formula>
    </cfRule>
  </conditionalFormatting>
  <conditionalFormatting sqref="F28:F29 T21:X21 T23:X24 U24:AA24 X27:AK27 AB23 AS21 AS27">
    <cfRule type="expression" priority="6235" dxfId="40">
      <formula>AND(OR(File_Qual_Widow&lt;&gt;"",File_Head&lt;&gt;""),$AB$25="")</formula>
    </cfRule>
  </conditionalFormatting>
  <conditionalFormatting sqref="Y136:Z136">
    <cfRule type="expression" priority="598" dxfId="6">
      <formula>NoColor</formula>
    </cfRule>
  </conditionalFormatting>
  <conditionalFormatting sqref="Y61:AI62 Y65:AI65 Y71:AK71">
    <cfRule type="expression" priority="659" dxfId="6">
      <formula>IF(NoColor,1,0)</formula>
    </cfRule>
  </conditionalFormatting>
  <conditionalFormatting sqref="Y68:AK68">
    <cfRule type="expression" priority="3" dxfId="6">
      <formula>IF(NoColor,1,0)</formula>
    </cfRule>
  </conditionalFormatting>
  <conditionalFormatting sqref="Z44">
    <cfRule type="expression" priority="190" dxfId="6">
      <formula>NoColor</formula>
    </cfRule>
  </conditionalFormatting>
  <conditionalFormatting sqref="Z47">
    <cfRule type="expression" priority="189" dxfId="6">
      <formula>NoColor</formula>
    </cfRule>
  </conditionalFormatting>
  <conditionalFormatting sqref="Z25:AA25">
    <cfRule type="expression" priority="137" dxfId="158">
      <formula>AND(OR(File_Qual_Widow&lt;&gt;"",File_Head&lt;&gt;""),$T$25="")</formula>
    </cfRule>
  </conditionalFormatting>
  <conditionalFormatting sqref="Z128:AJ128">
    <cfRule type="expression" priority="880" dxfId="6">
      <formula>IF(NoColor,1,0)</formula>
    </cfRule>
  </conditionalFormatting>
  <conditionalFormatting sqref="Z25:AS25">
    <cfRule type="expression" priority="127" dxfId="6">
      <formula>NoColor</formula>
    </cfRule>
  </conditionalFormatting>
  <conditionalFormatting sqref="AA140">
    <cfRule type="expression" priority="357" dxfId="6">
      <formula>NoColor</formula>
    </cfRule>
  </conditionalFormatting>
  <conditionalFormatting sqref="AA143">
    <cfRule type="expression" priority="50" dxfId="968">
      <formula>IF(NoColor,1,0)</formula>
    </cfRule>
    <cfRule type="expression" priority="49" dxfId="6">
      <formula>NoColor</formula>
    </cfRule>
  </conditionalFormatting>
  <conditionalFormatting sqref="AA145">
    <cfRule type="expression" priority="620" dxfId="6">
      <formula>NoColor</formula>
    </cfRule>
  </conditionalFormatting>
  <conditionalFormatting sqref="AA59:AC59">
    <cfRule type="expression" priority="363" dxfId="6">
      <formula>NoColor</formula>
    </cfRule>
  </conditionalFormatting>
  <conditionalFormatting sqref="AA51:AI58">
    <cfRule type="expression" priority="364" dxfId="6">
      <formula>NoColor</formula>
    </cfRule>
  </conditionalFormatting>
  <conditionalFormatting sqref="AA60:AI60">
    <cfRule type="expression" priority="362" dxfId="6">
      <formula>NoColor</formula>
    </cfRule>
  </conditionalFormatting>
  <conditionalFormatting sqref="AB6">
    <cfRule type="expression" priority="270" dxfId="6">
      <formula>NoColor</formula>
    </cfRule>
  </conditionalFormatting>
  <conditionalFormatting sqref="AB22:AB23">
    <cfRule type="expression" priority="129" dxfId="6">
      <formula>NoColor</formula>
    </cfRule>
  </conditionalFormatting>
  <conditionalFormatting sqref="AB134">
    <cfRule type="expression" priority="397" dxfId="6">
      <formula>IF(NoColor,1,0)</formula>
    </cfRule>
  </conditionalFormatting>
  <conditionalFormatting sqref="AB64:AC64">
    <cfRule type="expression" priority="167" dxfId="6">
      <formula>NoColor</formula>
    </cfRule>
  </conditionalFormatting>
  <conditionalFormatting sqref="AB67:AC67">
    <cfRule type="expression" priority="165" dxfId="6">
      <formula>NoColor</formula>
    </cfRule>
  </conditionalFormatting>
  <conditionalFormatting sqref="AB70:AC70">
    <cfRule type="expression" priority="149" dxfId="6">
      <formula>NoColor</formula>
    </cfRule>
  </conditionalFormatting>
  <conditionalFormatting sqref="B4:B20 S17 AC3:AC5 AC9:AC19 AH17:AS19">
    <cfRule type="expression" priority="714" dxfId="6">
      <formula>NoColor</formula>
    </cfRule>
  </conditionalFormatting>
  <conditionalFormatting sqref="AC119">
    <cfRule type="expression" priority="6" dxfId="6">
      <formula>NoColor</formula>
    </cfRule>
  </conditionalFormatting>
  <conditionalFormatting sqref="AC134">
    <cfRule type="expression" priority="483" dxfId="6">
      <formula>NoColor</formula>
    </cfRule>
  </conditionalFormatting>
  <conditionalFormatting sqref="AC22:AS22">
    <cfRule type="expression" priority="140" dxfId="6">
      <formula>NoColor</formula>
    </cfRule>
  </conditionalFormatting>
  <conditionalFormatting sqref="AD75">
    <cfRule type="expression" priority="114" dxfId="6">
      <formula>NoColor</formula>
    </cfRule>
  </conditionalFormatting>
  <conditionalFormatting sqref="AD39:AE41">
    <cfRule type="expression" priority="258" dxfId="6">
      <formula>NoColor</formula>
    </cfRule>
  </conditionalFormatting>
  <conditionalFormatting sqref="AD134:AF135">
    <cfRule type="expression" priority="484" dxfId="968">
      <formula>IF(NoColor,1,0)</formula>
    </cfRule>
  </conditionalFormatting>
  <conditionalFormatting sqref="AD19:AG19">
    <cfRule type="expression" priority="443" dxfId="3">
      <formula>NoColor</formula>
    </cfRule>
  </conditionalFormatting>
  <conditionalFormatting sqref="AD129:AI129">
    <cfRule type="expression" priority="831" dxfId="6">
      <formula>NoColor</formula>
    </cfRule>
  </conditionalFormatting>
  <conditionalFormatting sqref="AD132:AI132">
    <cfRule type="expression" priority="361" dxfId="6">
      <formula>NoColor</formula>
    </cfRule>
  </conditionalFormatting>
  <conditionalFormatting sqref="AD59:AJ59">
    <cfRule type="expression" priority="314" dxfId="6">
      <formula>IF(NoColor,1,0)</formula>
    </cfRule>
  </conditionalFormatting>
  <conditionalFormatting sqref="AE44">
    <cfRule type="expression" priority="188" dxfId="6">
      <formula>NoColor</formula>
    </cfRule>
  </conditionalFormatting>
  <conditionalFormatting sqref="AE47">
    <cfRule type="expression" priority="187" dxfId="6">
      <formula>NoColor</formula>
    </cfRule>
  </conditionalFormatting>
  <conditionalFormatting sqref="AE136:AF136">
    <cfRule type="expression" priority="33" dxfId="968">
      <formula>IF(NoColor,1,0)</formula>
    </cfRule>
  </conditionalFormatting>
  <conditionalFormatting sqref="AF39">
    <cfRule type="expression" priority="200" dxfId="6">
      <formula>NoColor</formula>
    </cfRule>
  </conditionalFormatting>
  <conditionalFormatting sqref="AF41">
    <cfRule type="expression" priority="199" dxfId="6">
      <formula>NoColor</formula>
    </cfRule>
  </conditionalFormatting>
  <conditionalFormatting sqref="AF67">
    <cfRule type="expression" priority="2" dxfId="6">
      <formula>NoColor</formula>
    </cfRule>
  </conditionalFormatting>
  <conditionalFormatting sqref="AF70">
    <cfRule type="expression" priority="1" dxfId="6">
      <formula>NoColor</formula>
    </cfRule>
  </conditionalFormatting>
  <conditionalFormatting sqref="AG96">
    <cfRule type="expression" priority="445" dxfId="6">
      <formula>NoColor</formula>
    </cfRule>
  </conditionalFormatting>
  <conditionalFormatting sqref="AG135">
    <cfRule type="expression" priority="5" dxfId="968">
      <formula>IF(NoColor,1,0)</formula>
    </cfRule>
  </conditionalFormatting>
  <conditionalFormatting sqref="AG6:AJ6">
    <cfRule type="expression" priority="125" dxfId="6">
      <formula>NoColor</formula>
    </cfRule>
  </conditionalFormatting>
  <conditionalFormatting sqref="AG134:AK134">
    <cfRule type="expression" priority="448" dxfId="968">
      <formula>IF(NoColor,1,0)</formula>
    </cfRule>
  </conditionalFormatting>
  <conditionalFormatting sqref="B80:AS81 F95:AJ95 G129:H132 G150:H150 AH12 AS82">
    <cfRule type="expression" priority="1471" dxfId="968">
      <formula>NoColor</formula>
    </cfRule>
  </conditionalFormatting>
  <conditionalFormatting sqref="AH15">
    <cfRule type="expression" priority="14" dxfId="968">
      <formula>NoColor</formula>
    </cfRule>
    <cfRule type="expression" priority="13" dxfId="6">
      <formula>NoColor</formula>
    </cfRule>
  </conditionalFormatting>
  <conditionalFormatting sqref="AH147:AH148">
    <cfRule type="expression" priority="47" dxfId="6">
      <formula>NoColor</formula>
    </cfRule>
  </conditionalFormatting>
  <conditionalFormatting sqref="AH149">
    <cfRule type="expression" priority="43" dxfId="968">
      <formula>IF($AV$3&lt;&gt;"",1,0)</formula>
    </cfRule>
  </conditionalFormatting>
  <conditionalFormatting sqref="AH4:AI4">
    <cfRule type="expression" priority="6245" dxfId="158">
      <formula>AU12</formula>
    </cfRule>
  </conditionalFormatting>
  <conditionalFormatting sqref="AH14:AI14">
    <cfRule type="expression" priority="12" dxfId="968">
      <formula>NoColor</formula>
    </cfRule>
  </conditionalFormatting>
  <conditionalFormatting sqref="AH146:AI146">
    <cfRule type="expression" priority="821" dxfId="6">
      <formula>NoColor</formula>
    </cfRule>
  </conditionalFormatting>
  <conditionalFormatting sqref="AH3:AS4">
    <cfRule type="expression" priority="846" dxfId="6">
      <formula>NoColor</formula>
    </cfRule>
  </conditionalFormatting>
  <conditionalFormatting sqref="AH9:AS9">
    <cfRule type="expression" priority="743" dxfId="20">
      <formula>AND(NoColor,NoSSN)</formula>
    </cfRule>
    <cfRule type="expression" priority="744" dxfId="46">
      <formula>NoSSN</formula>
    </cfRule>
  </conditionalFormatting>
  <conditionalFormatting sqref="AH10:AS10">
    <cfRule type="expression" priority="745" dxfId="158">
      <formula>AND(File_Marr_Sep&lt;&gt;"",SS_Spouse="")</formula>
    </cfRule>
  </conditionalFormatting>
  <conditionalFormatting sqref="AH11:AS11">
    <cfRule type="expression" priority="307" dxfId="40">
      <formula>NumFileStatusBoxes=0</formula>
    </cfRule>
    <cfRule type="expression" priority="741" dxfId="46">
      <formula>OR(AND(NOT(NoColor),File_Marr_Joint="",File_Marr_Sep=""),NoSSN)</formula>
    </cfRule>
    <cfRule type="expression" priority="740" dxfId="20">
      <formula>OR(AND(File_Marr_Joint="",File_Marr_Sep="",NoColor),AND(NoColor,NoSSN))</formula>
    </cfRule>
  </conditionalFormatting>
  <conditionalFormatting sqref="AI44">
    <cfRule type="expression" priority="186" dxfId="6">
      <formula>NoColor</formula>
    </cfRule>
  </conditionalFormatting>
  <conditionalFormatting sqref="AI47">
    <cfRule type="expression" priority="185" dxfId="6">
      <formula>NoColor</formula>
    </cfRule>
  </conditionalFormatting>
  <conditionalFormatting sqref="AI115 AI117">
    <cfRule type="expression" priority="61" dxfId="6">
      <formula>NoColor</formula>
    </cfRule>
  </conditionalFormatting>
  <conditionalFormatting sqref="AJ70">
    <cfRule type="expression" priority="148" dxfId="6">
      <formula>IF(NoColor,1,0)</formula>
    </cfRule>
  </conditionalFormatting>
  <conditionalFormatting sqref="AJ92">
    <cfRule type="expression" priority="423" dxfId="158">
      <formula>AND(AT92="",QBID_1040&lt;&gt;"",QBID_1040&lt;&gt;0,QBID_Income2High)</formula>
    </cfRule>
  </conditionalFormatting>
  <conditionalFormatting sqref="AJ115 AJ117">
    <cfRule type="expression" priority="62" dxfId="6">
      <formula>IF(NoColor,1,0)</formula>
    </cfRule>
  </conditionalFormatting>
  <conditionalFormatting sqref="AJ144">
    <cfRule type="expression" priority="355" dxfId="968">
      <formula>IF(NoColor,1,0)</formula>
    </cfRule>
  </conditionalFormatting>
  <conditionalFormatting sqref="AJ51:AK58">
    <cfRule type="expression" priority="425" dxfId="6">
      <formula>IF(NoColor,1,0)</formula>
    </cfRule>
  </conditionalFormatting>
  <conditionalFormatting sqref="AJ141:AL141">
    <cfRule type="expression" priority="839" dxfId="6">
      <formula>NoColor</formula>
    </cfRule>
  </conditionalFormatting>
  <conditionalFormatting sqref="AJ144:AL144">
    <cfRule type="expression" priority="46" dxfId="6">
      <formula>NoColor</formula>
    </cfRule>
  </conditionalFormatting>
  <conditionalFormatting sqref="AJ4:AM4">
    <cfRule type="expression" priority="6255" dxfId="158">
      <formula>AV12</formula>
    </cfRule>
  </conditionalFormatting>
  <conditionalFormatting sqref="AJ96:AR96">
    <cfRule type="expression" priority="31" dxfId="6">
      <formula>IF(NoColor,1,0)</formula>
    </cfRule>
  </conditionalFormatting>
  <conditionalFormatting sqref="AJ67:AK67 AK65:AK66">
    <cfRule type="expression" priority="162" dxfId="6">
      <formula>IF(NoColor,1,0)</formula>
    </cfRule>
  </conditionalFormatting>
  <conditionalFormatting sqref="AK127:AK131">
    <cfRule type="expression" priority="367" dxfId="6">
      <formula>IF(NoColor,1,0)</formula>
    </cfRule>
  </conditionalFormatting>
  <conditionalFormatting sqref="AK148:AK149">
    <cfRule type="expression" priority="42" dxfId="6">
      <formula>NoColor</formula>
    </cfRule>
  </conditionalFormatting>
  <conditionalFormatting sqref="AK95:AR95">
    <cfRule type="expression" priority="288" dxfId="6">
      <formula>IF(NoColor,1,0)</formula>
    </cfRule>
  </conditionalFormatting>
  <conditionalFormatting sqref="AK132:AR132">
    <cfRule type="expression" priority="625" dxfId="6">
      <formula>IF(NoColor,1,0)</formula>
    </cfRule>
  </conditionalFormatting>
  <conditionalFormatting sqref="AL62:AL63">
    <cfRule type="expression" priority="4458" dxfId="14">
      <formula>AND(NOT(NoColor),$S$62&gt;$AL$62,$AT$62="")</formula>
    </cfRule>
  </conditionalFormatting>
  <conditionalFormatting sqref="AL69 AL71:AR71">
    <cfRule type="expression" priority="157" dxfId="6">
      <formula>NoColor</formula>
    </cfRule>
  </conditionalFormatting>
  <conditionalFormatting sqref="AL69">
    <cfRule type="expression" priority="159" dxfId="14">
      <formula>AND(NOT(NoColor),$S$62&gt;$AL$62,$AT$62="")</formula>
    </cfRule>
  </conditionalFormatting>
  <conditionalFormatting sqref="AL134">
    <cfRule type="expression" priority="451" dxfId="6">
      <formula>NoColor</formula>
    </cfRule>
  </conditionalFormatting>
  <conditionalFormatting sqref="AL136">
    <cfRule type="expression" priority="489" dxfId="6">
      <formula>NoColor</formula>
    </cfRule>
  </conditionalFormatting>
  <conditionalFormatting sqref="AL39:AM41">
    <cfRule type="expression" priority="206" dxfId="6">
      <formula>NoColor</formula>
    </cfRule>
  </conditionalFormatting>
  <conditionalFormatting sqref="AL127:AM129">
    <cfRule type="expression" priority="753" dxfId="6">
      <formula>IF(NoColor,1,0)</formula>
    </cfRule>
  </conditionalFormatting>
  <conditionalFormatting sqref="AL135:AO135">
    <cfRule type="expression" priority="446" dxfId="968">
      <formula>IF(NoColor,1,0)</formula>
    </cfRule>
  </conditionalFormatting>
  <conditionalFormatting sqref="AL65:AR68">
    <cfRule type="expression" priority="175" dxfId="6">
      <formula>NoColor</formula>
    </cfRule>
  </conditionalFormatting>
  <conditionalFormatting sqref="AL66:AR67">
    <cfRule type="expression" priority="177" dxfId="14">
      <formula>AND(NOT(NoColor),$S$62&gt;$AL$62,$AT$62="")</formula>
    </cfRule>
  </conditionalFormatting>
  <conditionalFormatting sqref="AL99:AR99">
    <cfRule type="expression" priority="617" dxfId="14">
      <formula>IF(ISERROR(ROUND(Tax_SS_Benefits,0)),1,0)</formula>
    </cfRule>
  </conditionalFormatting>
  <conditionalFormatting sqref="AL103:AR110 AL119:AR122">
    <cfRule type="expression" priority="494" dxfId="14">
      <formula>IF(ISERROR(ROUND(Tax_SS_Benefits,0)),1,0)</formula>
    </cfRule>
  </conditionalFormatting>
  <conditionalFormatting sqref="AL124:AR126">
    <cfRule type="expression" priority="986" dxfId="14">
      <formula>IF(ISERROR(ROUND(Tax_SS_Benefits,0)),1,0)</formula>
    </cfRule>
  </conditionalFormatting>
  <conditionalFormatting sqref="AL125:AR126">
    <cfRule type="expression" priority="987" dxfId="6">
      <formula>IF(NoColor,1,0)</formula>
    </cfRule>
  </conditionalFormatting>
  <conditionalFormatting sqref="AL130:AR131">
    <cfRule type="expression" priority="366" dxfId="6">
      <formula>IF(NoColor,1,0)</formula>
    </cfRule>
  </conditionalFormatting>
  <conditionalFormatting sqref="AL130:AR132">
    <cfRule type="expression" priority="365" dxfId="14">
      <formula>IF(ISERROR(ROUND(Tax_SS_Benefits,0)),1,0)</formula>
    </cfRule>
  </conditionalFormatting>
  <conditionalFormatting sqref="U39:V41 AI72:AI73 AL30:AS32">
    <cfRule type="expression" priority="717" dxfId="6">
      <formula>NoColor</formula>
    </cfRule>
  </conditionalFormatting>
  <conditionalFormatting sqref="AM44">
    <cfRule type="expression" priority="184" dxfId="6">
      <formula>NoColor</formula>
    </cfRule>
  </conditionalFormatting>
  <conditionalFormatting sqref="AM47">
    <cfRule type="expression" priority="183" dxfId="6">
      <formula>NoColor</formula>
    </cfRule>
  </conditionalFormatting>
  <conditionalFormatting sqref="AN39">
    <cfRule type="expression" priority="198" dxfId="6">
      <formula>NoColor</formula>
    </cfRule>
  </conditionalFormatting>
  <conditionalFormatting sqref="AN41">
    <cfRule type="expression" priority="197" dxfId="6">
      <formula>NoColor</formula>
    </cfRule>
  </conditionalFormatting>
  <conditionalFormatting sqref="AN134">
    <cfRule type="expression" priority="452" dxfId="968">
      <formula>IF(NoColor,1,0)</formula>
    </cfRule>
  </conditionalFormatting>
  <conditionalFormatting sqref="AN4:AP4">
    <cfRule type="expression" priority="6275" dxfId="158">
      <formula>AY12</formula>
    </cfRule>
  </conditionalFormatting>
  <conditionalFormatting sqref="AN6:AR6">
    <cfRule type="expression" priority="124" dxfId="6">
      <formula>NoColor</formula>
    </cfRule>
  </conditionalFormatting>
  <conditionalFormatting sqref="AO133:AO134 AP133:AR135">
    <cfRule type="expression" priority="581" dxfId="968">
      <formula>IF(NoColor,1,0)</formula>
    </cfRule>
  </conditionalFormatting>
  <conditionalFormatting sqref="AO147">
    <cfRule type="expression" priority="478" dxfId="6">
      <formula>NoColor</formula>
    </cfRule>
  </conditionalFormatting>
  <conditionalFormatting sqref="AP147:AS147">
    <cfRule type="expression" priority="477" dxfId="968">
      <formula>IF($AV$3&lt;&gt;"",1,0)</formula>
    </cfRule>
  </conditionalFormatting>
  <conditionalFormatting sqref="AQ4">
    <cfRule type="expression" priority="6693" dxfId="158">
      <formula>BB10</formula>
    </cfRule>
  </conditionalFormatting>
  <conditionalFormatting sqref="AQ44">
    <cfRule type="expression" priority="182" dxfId="6">
      <formula>NoColor</formula>
    </cfRule>
  </conditionalFormatting>
  <conditionalFormatting sqref="AQ47">
    <cfRule type="expression" priority="181" dxfId="6">
      <formula>NoColor</formula>
    </cfRule>
  </conditionalFormatting>
  <conditionalFormatting sqref="AR4">
    <cfRule type="expression" priority="6695" dxfId="158">
      <formula>BB10</formula>
    </cfRule>
  </conditionalFormatting>
  <conditionalFormatting sqref="AS4">
    <cfRule type="expression" priority="349" dxfId="158">
      <formula>BC12</formula>
    </cfRule>
  </conditionalFormatting>
  <conditionalFormatting sqref="F137:AS138 F139:U139 F140 AA139:AA140 AJ139 AJ141:AJ142 AS133:AS136">
    <cfRule type="expression" priority="1016" dxfId="968">
      <formula>IF(NoColor,1,0)</formula>
    </cfRule>
  </conditionalFormatting>
  <conditionalFormatting sqref="AT92">
    <cfRule type="expression" priority="422" dxfId="2409">
      <formula>AND(QBID_1040&lt;&gt;"",QBID_1040&lt;&gt;0,QBID_Income2High)</formula>
    </cfRule>
  </conditionalFormatting>
  <conditionalFormatting sqref="AT101">
    <cfRule type="expression" priority="580" dxfId="2409">
      <formula>F8960_Applicable</formula>
    </cfRule>
  </conditionalFormatting>
  <conditionalFormatting sqref="AT113">
    <cfRule type="expression" priority="492" dxfId="135">
      <formula>$AW$121</formula>
    </cfRule>
    <cfRule type="expression" priority="610" dxfId="135">
      <formula>AND(EIC_trigger,NOT(EIC_Started))</formula>
    </cfRule>
  </conditionalFormatting>
  <conditionalFormatting sqref="AT131">
    <cfRule type="expression" priority="5295" dxfId="135">
      <formula>OR($AU$127,$AU$136)</formula>
    </cfRule>
  </conditionalFormatting>
  <conditionalFormatting sqref="AU64">
    <cfRule type="expression" priority="6301" dxfId="3685">
      <formula>OR(AY51,AND($S$62&lt;&gt;0,$AL$62&lt;&gt;0))</formula>
    </cfRule>
    <cfRule type="expression" priority="6300" dxfId="781">
      <formula>SUM(ROUND(IRA_Gross,0),ROUND(PA_Gross,0))=IRA_Pension_Taxable</formula>
    </cfRule>
    <cfRule type="expression" priority="6299" dxfId="158" stopIfTrue="1">
      <formula>($S$62&gt;$AL$62)</formula>
    </cfRule>
  </conditionalFormatting>
  <conditionalFormatting sqref="AU78">
    <cfRule type="expression" priority="6504" dxfId="3585">
      <formula>AND(AX79&lt;&gt;"",AX79&gt;AY81)</formula>
    </cfRule>
    <cfRule type="expression" priority="6503" dxfId="40">
      <formula>AND(#REF!&lt;&gt;"",#REF!&gt;0,SchA_Filed)</formula>
    </cfRule>
  </conditionalFormatting>
  <conditionalFormatting sqref="AU78:AU79">
    <cfRule type="expression" priority="5075" dxfId="34" stopIfTrue="1">
      <formula>NumFileStatusBoxes=0</formula>
    </cfRule>
  </conditionalFormatting>
  <conditionalFormatting sqref="AU79">
    <cfRule type="expression" priority="6396" dxfId="3585">
      <formula>AND(#REF!&lt;&gt;"",#REF!&gt;#REF!)</formula>
    </cfRule>
  </conditionalFormatting>
  <conditionalFormatting sqref="AU79:AU80 AU95">
    <cfRule type="expression" priority="5090" dxfId="40">
      <formula>OR(NumFileStatusBoxes=0,AND(#REF!&lt;&gt;"",#REF!&gt;0,SchA_Filed))</formula>
    </cfRule>
  </conditionalFormatting>
  <conditionalFormatting sqref="AU80">
    <cfRule type="expression" priority="5749" dxfId="34" stopIfTrue="1">
      <formula>NumFileStatusBoxes=0</formula>
    </cfRule>
    <cfRule type="expression" priority="5748" dxfId="3585">
      <formula>AND(#REF!&lt;&gt;"",#REF!&gt;AZ96)</formula>
    </cfRule>
  </conditionalFormatting>
  <conditionalFormatting sqref="AU95">
    <cfRule type="expression" priority="6398" dxfId="34" stopIfTrue="1">
      <formula>NumFileStatusBoxes=0</formula>
    </cfRule>
    <cfRule type="expression" priority="6397" dxfId="3585">
      <formula>AND(#REF!&lt;&gt;"",#REF!&gt;#REF!)</formula>
    </cfRule>
  </conditionalFormatting>
  <conditionalFormatting sqref="AU101">
    <cfRule type="expression" priority="4449" dxfId="781">
      <formula>$AT$101&lt;&gt;""</formula>
    </cfRule>
  </conditionalFormatting>
  <conditionalFormatting sqref="AU109">
    <cfRule type="expression" priority="4452" dxfId="3672">
      <formula>($AU$113&gt;0)</formula>
    </cfRule>
  </conditionalFormatting>
  <conditionalFormatting sqref="AU80:AW80 AU91 AU95:AW95">
    <cfRule type="expression" priority="5374" dxfId="14">
      <formula>$BF$12</formula>
    </cfRule>
    <cfRule type="expression" priority="5373" dxfId="40">
      <formula>NumFileStatusBoxes=0</formula>
    </cfRule>
  </conditionalFormatting>
  <conditionalFormatting sqref="AU110:AW112">
    <cfRule type="expression" priority="6362" dxfId="3669">
      <formula>($AU$113&gt;0)</formula>
    </cfRule>
  </conditionalFormatting>
  <conditionalFormatting sqref="AV4">
    <cfRule type="expression" priority="871" dxfId="3668">
      <formula>(File_Marr_Sep&lt;&gt;"")</formula>
    </cfRule>
  </conditionalFormatting>
  <conditionalFormatting sqref="AV7:AV9">
    <cfRule type="expression" priority="22" dxfId="146">
      <formula>(File_Marr_Sep&lt;&gt;"")</formula>
    </cfRule>
  </conditionalFormatting>
  <conditionalFormatting sqref="AV17">
    <cfRule type="expression" priority="785" dxfId="3666">
      <formula>(File_Marr_Joint&lt;&gt;"")</formula>
    </cfRule>
  </conditionalFormatting>
  <conditionalFormatting sqref="AW7">
    <cfRule type="expression" priority="19" dxfId="3665">
      <formula>File_Marr_Sep&lt;&gt;""</formula>
    </cfRule>
  </conditionalFormatting>
  <conditionalFormatting sqref="AW13">
    <cfRule type="expression" priority="6284" dxfId="3664">
      <formula>IF(OR(AND(File_Marr_Joint&lt;&gt;"",$BI$15,$BI$17),AND(File_Marr_Joint="",$BI$15)),1,0)</formula>
    </cfRule>
  </conditionalFormatting>
  <conditionalFormatting sqref="AW102">
    <cfRule type="expression" priority="383" dxfId="781">
      <formula>($AT$65&lt;&gt;"")</formula>
    </cfRule>
  </conditionalFormatting>
  <conditionalFormatting sqref="AW104:AW105">
    <cfRule type="expression" priority="748" dxfId="781">
      <formula>($AT$65&lt;&gt;"")</formula>
    </cfRule>
  </conditionalFormatting>
  <conditionalFormatting sqref="AW7:AX8">
    <cfRule type="expression" priority="16" dxfId="781">
      <formula>AND(File_Marr_Sep&lt;&gt;"",LivedApartAnswered)</formula>
    </cfRule>
  </conditionalFormatting>
  <conditionalFormatting sqref="AW4:AY4">
    <cfRule type="expression" priority="867" dxfId="3660">
      <formula>(File_Marr_Sep&lt;&gt;"")</formula>
    </cfRule>
  </conditionalFormatting>
  <conditionalFormatting sqref="AW8:AY8">
    <cfRule type="expression" priority="24" dxfId="3659">
      <formula>(File_Marr_Sep&lt;&gt;"")</formula>
    </cfRule>
  </conditionalFormatting>
  <conditionalFormatting sqref="AW9:BA9">
    <cfRule type="expression" priority="21" dxfId="3658">
      <formula>File_Marr_Sep&lt;&gt;""</formula>
    </cfRule>
  </conditionalFormatting>
  <conditionalFormatting sqref="AX4">
    <cfRule type="expression" priority="382" dxfId="40">
      <formula>NumFileStatusBoxes=0</formula>
    </cfRule>
  </conditionalFormatting>
  <conditionalFormatting sqref="AX7">
    <cfRule type="expression" priority="18" dxfId="3656">
      <formula>File_Marr_Sep&lt;&gt;""</formula>
    </cfRule>
  </conditionalFormatting>
  <conditionalFormatting sqref="AX16">
    <cfRule type="expression" priority="1265" dxfId="14">
      <formula>IF($BL$123,1,0)</formula>
    </cfRule>
  </conditionalFormatting>
  <conditionalFormatting sqref="AX18 AX21 AX32">
    <cfRule type="expression" priority="6748" dxfId="14">
      <formula>AND($AX$17&lt;&gt;"",$AY$17&lt;&gt;"",$AZ$17&lt;&gt;"",$BL$144)</formula>
    </cfRule>
  </conditionalFormatting>
  <conditionalFormatting sqref="AX20 AX23">
    <cfRule type="expression" priority="6699" dxfId="0">
      <formula>OR($BR$144,$AW$25)</formula>
    </cfRule>
  </conditionalFormatting>
  <conditionalFormatting sqref="AX17:AZ17">
    <cfRule type="expression" priority="5376" dxfId="6">
      <formula>NoColor</formula>
    </cfRule>
    <cfRule type="expression" priority="5375" dxfId="3651">
      <formula>NOT($BF$13)</formula>
    </cfRule>
  </conditionalFormatting>
  <conditionalFormatting sqref="AX22:AZ22">
    <cfRule type="expression" priority="319" dxfId="6">
      <formula>IF(NoColor,1,0)</formula>
    </cfRule>
    <cfRule type="expression" priority="318" dxfId="478">
      <formula>NOT($AW$24)</formula>
    </cfRule>
  </conditionalFormatting>
  <conditionalFormatting sqref="AY4">
    <cfRule type="expression" priority="865" dxfId="3646">
      <formula>(File_Marr_Sep&lt;&gt;"")</formula>
    </cfRule>
  </conditionalFormatting>
  <conditionalFormatting sqref="AY96">
    <cfRule type="expression" priority="34" dxfId="4">
      <formula>AY98</formula>
    </cfRule>
  </conditionalFormatting>
  <conditionalFormatting sqref="AY7:AZ7">
    <cfRule type="expression" priority="23" dxfId="3646">
      <formula>(File_Marr_Sep&lt;&gt;"")</formula>
    </cfRule>
  </conditionalFormatting>
  <conditionalFormatting sqref="AZ8">
    <cfRule type="expression" priority="25" dxfId="3645">
      <formula>(File_Marr_Sep&lt;&gt;"")</formula>
    </cfRule>
  </conditionalFormatting>
  <conditionalFormatting sqref="AZ95 AZ97">
    <cfRule type="expression" priority="41" dxfId="37">
      <formula>AND($AP$73,Over_65_or_Blind=0)</formula>
    </cfRule>
  </conditionalFormatting>
  <conditionalFormatting sqref="AZ92:BA92">
    <cfRule type="expression" priority="37" dxfId="781">
      <formula>$AP$73</formula>
    </cfRule>
  </conditionalFormatting>
  <conditionalFormatting sqref="AZ82:BE88">
    <cfRule type="expression" priority="17" dxfId="4">
      <formula>AND(DependentSPOUSE="",MFS_Spouse_NotFiling&lt;&gt;"")</formula>
    </cfRule>
  </conditionalFormatting>
  <conditionalFormatting sqref="BA95:BA97">
    <cfRule type="expression" priority="40" dxfId="20">
      <formula>File_Single=""</formula>
    </cfRule>
  </conditionalFormatting>
  <conditionalFormatting sqref="BB34:BB37">
    <cfRule type="expression" priority="857" dxfId="6">
      <formula>IF($AV$3&lt;&gt;"",1,0)</formula>
    </cfRule>
  </conditionalFormatting>
  <conditionalFormatting sqref="BB95:BB99">
    <cfRule type="expression" priority="36" dxfId="20">
      <formula>AND(File_Marr_Joint="",File_Qual_Widow="")</formula>
    </cfRule>
  </conditionalFormatting>
  <conditionalFormatting sqref="BC95:BC99">
    <cfRule type="expression" priority="39" dxfId="20">
      <formula>File_Marr_Sep=""</formula>
    </cfRule>
  </conditionalFormatting>
  <conditionalFormatting sqref="BD95:BD99">
    <cfRule type="expression" priority="38" dxfId="20">
      <formula>File_Head=""</formula>
    </cfRule>
  </conditionalFormatting>
  <conditionalFormatting sqref="BD97">
    <cfRule type="expression" priority="35" dxfId="20">
      <formula>$AT$96=0</formula>
    </cfRule>
  </conditionalFormatting>
  <conditionalFormatting sqref="BI70:BI72">
    <cfRule type="expression" priority="992" dxfId="4">
      <formula>NOT(ItemizedDeduct)</formula>
    </cfRule>
  </conditionalFormatting>
  <conditionalFormatting sqref="BJ70:BJ72">
    <cfRule type="expression" priority="991" dxfId="4">
      <formula>(ItemizedDeduct)</formula>
    </cfRule>
  </conditionalFormatting>
  <hyperlinks>
    <hyperlink xmlns:r="http://schemas.openxmlformats.org/officeDocument/2006/relationships" ref="H2" r:id="rId1"/>
    <hyperlink xmlns:r="http://schemas.openxmlformats.org/officeDocument/2006/relationships" ref="F153" r:id="rId2"/>
    <hyperlink xmlns:r="http://schemas.openxmlformats.org/officeDocument/2006/relationships" ref="F155" display="Download Form 1040 from IRS" r:id="rId3"/>
    <hyperlink xmlns:r="http://schemas.openxmlformats.org/officeDocument/2006/relationships" ref="G155" display="Download Form 1040 from IRS" r:id="rId4"/>
    <hyperlink xmlns:r="http://schemas.openxmlformats.org/officeDocument/2006/relationships" ref="H155" display="Download Form 1040 from IRS" r:id="rId5"/>
    <hyperlink xmlns:r="http://schemas.openxmlformats.org/officeDocument/2006/relationships" ref="I155" display="Download Form 1040 from IRS" r:id="rId6"/>
    <hyperlink xmlns:r="http://schemas.openxmlformats.org/officeDocument/2006/relationships" ref="J155" display="Download Form 1040 from IRS" r:id="rId7"/>
    <hyperlink xmlns:r="http://schemas.openxmlformats.org/officeDocument/2006/relationships" ref="K155" display="Download Form 1040 from IRS" r:id="rId8"/>
    <hyperlink xmlns:r="http://schemas.openxmlformats.org/officeDocument/2006/relationships" ref="L155" display="Download Form 1040 from IRS" r:id="rId9"/>
    <hyperlink xmlns:r="http://schemas.openxmlformats.org/officeDocument/2006/relationships" ref="M155" display="Download Form 1040 from IRS" r:id="rId10"/>
    <hyperlink xmlns:r="http://schemas.openxmlformats.org/officeDocument/2006/relationships" ref="N155" display="Download Form 1040 from IRS" r:id="rId11"/>
    <hyperlink xmlns:r="http://schemas.openxmlformats.org/officeDocument/2006/relationships" ref="O155" display="Download Form 1040 from IRS" r:id="rId12"/>
    <hyperlink xmlns:r="http://schemas.openxmlformats.org/officeDocument/2006/relationships" ref="P155" display="Download Form 1040 from IRS" r:id="rId13"/>
    <hyperlink xmlns:r="http://schemas.openxmlformats.org/officeDocument/2006/relationships" ref="Q155" display="Download Form 1040 from IRS" r:id="rId14"/>
    <hyperlink xmlns:r="http://schemas.openxmlformats.org/officeDocument/2006/relationships" ref="R155" display="Download Form 1040 from IRS" r:id="rId15"/>
    <hyperlink xmlns:r="http://schemas.openxmlformats.org/officeDocument/2006/relationships" ref="S155" display="Download Form 1040 from IRS" r:id="rId16"/>
    <hyperlink xmlns:r="http://schemas.openxmlformats.org/officeDocument/2006/relationships" ref="T155" display="Download Form 1040 from IRS" r:id="rId17"/>
    <hyperlink xmlns:r="http://schemas.openxmlformats.org/officeDocument/2006/relationships" ref="U155" display="Download Form 1040 from IRS" r:id="rId18"/>
    <hyperlink xmlns:r="http://schemas.openxmlformats.org/officeDocument/2006/relationships" ref="V155" display="Download Form 1040 from IRS" r:id="rId19"/>
    <hyperlink xmlns:r="http://schemas.openxmlformats.org/officeDocument/2006/relationships" ref="W155" display="Download Form 1040 from IRS" r:id="rId20"/>
    <hyperlink xmlns:r="http://schemas.openxmlformats.org/officeDocument/2006/relationships" ref="X155" display="Download Form 1040 from IRS" r:id="rId21"/>
    <hyperlink xmlns:r="http://schemas.openxmlformats.org/officeDocument/2006/relationships" ref="Y155" display="Download Form 1040 from IRS" r:id="rId22"/>
    <hyperlink xmlns:r="http://schemas.openxmlformats.org/officeDocument/2006/relationships" ref="Z155" display="Download Form 1040 from IRS" r:id="rId23"/>
    <hyperlink xmlns:r="http://schemas.openxmlformats.org/officeDocument/2006/relationships" ref="AA155" display="Download Form 1040 from IRS" r:id="rId24"/>
    <hyperlink xmlns:r="http://schemas.openxmlformats.org/officeDocument/2006/relationships" ref="F157" display="Download Form 1040 from IRS" r:id="rId25"/>
    <hyperlink xmlns:r="http://schemas.openxmlformats.org/officeDocument/2006/relationships" ref="G157" display="Download Form 1040 from IRS" r:id="rId26"/>
    <hyperlink xmlns:r="http://schemas.openxmlformats.org/officeDocument/2006/relationships" ref="H157" display="Download Form 1040 from IRS" r:id="rId27"/>
    <hyperlink xmlns:r="http://schemas.openxmlformats.org/officeDocument/2006/relationships" ref="I157" display="Download Form 1040 from IRS" r:id="rId28"/>
    <hyperlink xmlns:r="http://schemas.openxmlformats.org/officeDocument/2006/relationships" ref="J157" display="Download Form 1040 from IRS" r:id="rId29"/>
    <hyperlink xmlns:r="http://schemas.openxmlformats.org/officeDocument/2006/relationships" ref="K157" display="Download Form 1040 from IRS" r:id="rId30"/>
    <hyperlink xmlns:r="http://schemas.openxmlformats.org/officeDocument/2006/relationships" ref="L157" display="Download Form 1040 from IRS" r:id="rId31"/>
    <hyperlink xmlns:r="http://schemas.openxmlformats.org/officeDocument/2006/relationships" ref="M157" display="Download Form 1040 from IRS" r:id="rId32"/>
    <hyperlink xmlns:r="http://schemas.openxmlformats.org/officeDocument/2006/relationships" ref="N157" display="Download Form 1040 from IRS" r:id="rId33"/>
    <hyperlink xmlns:r="http://schemas.openxmlformats.org/officeDocument/2006/relationships" ref="O157" display="Download Form 1040 from IRS" r:id="rId34"/>
    <hyperlink xmlns:r="http://schemas.openxmlformats.org/officeDocument/2006/relationships" ref="P157" display="Download Form 1040 from IRS" r:id="rId35"/>
    <hyperlink xmlns:r="http://schemas.openxmlformats.org/officeDocument/2006/relationships" ref="Q157" display="Download Form 1040 from IRS" r:id="rId36"/>
    <hyperlink xmlns:r="http://schemas.openxmlformats.org/officeDocument/2006/relationships" ref="R157" display="Download Form 1040 from IRS" r:id="rId37"/>
    <hyperlink xmlns:r="http://schemas.openxmlformats.org/officeDocument/2006/relationships" ref="S157" display="Download Form 1040 from IRS" r:id="rId38"/>
    <hyperlink xmlns:r="http://schemas.openxmlformats.org/officeDocument/2006/relationships" ref="T157" display="Download Form 1040 from IRS" r:id="rId39"/>
    <hyperlink xmlns:r="http://schemas.openxmlformats.org/officeDocument/2006/relationships" ref="U157" display="Download Form 1040 from IRS" r:id="rId40"/>
    <hyperlink xmlns:r="http://schemas.openxmlformats.org/officeDocument/2006/relationships" ref="V157" display="Download Form 1040 from IRS" r:id="rId41"/>
    <hyperlink xmlns:r="http://schemas.openxmlformats.org/officeDocument/2006/relationships" ref="W157" display="Download Form 1040 from IRS" r:id="rId42"/>
    <hyperlink xmlns:r="http://schemas.openxmlformats.org/officeDocument/2006/relationships" ref="X157" display="Download Form 1040 from IRS" r:id="rId43"/>
    <hyperlink xmlns:r="http://schemas.openxmlformats.org/officeDocument/2006/relationships" ref="Y157" display="Download Form 1040 from IRS" r:id="rId44"/>
    <hyperlink xmlns:r="http://schemas.openxmlformats.org/officeDocument/2006/relationships" ref="Z157" display="Download Form 1040 from IRS" r:id="rId45"/>
    <hyperlink xmlns:r="http://schemas.openxmlformats.org/officeDocument/2006/relationships" ref="AA157" display="Download Form 1040 from IRS" r:id="rId46"/>
    <hyperlink ref="L158" location="'Table of Contents'!A1" display="Table of Contents"/>
  </hyperlinks>
  <pageMargins left="0.75" right="0.25" top="0.36" bottom="0.29" header="0.36" footer="0.21"/>
  <pageSetup orientation="portrait" scale="64" fitToHeight="0"/>
  <rowBreaks count="1" manualBreakCount="1">
    <brk id="80" min="1" max="32" man="1"/>
  </rowBreaks>
</worksheet>
</file>

<file path=xl/worksheets/sheet2.xml><?xml version="1.0" encoding="utf-8"?>
<worksheet xmlns="http://schemas.openxmlformats.org/spreadsheetml/2006/main">
  <sheetPr>
    <outlinePr summaryBelow="1" summaryRight="1"/>
    <pageSetUpPr fitToPage="1"/>
  </sheetPr>
  <dimension ref="A1:N72"/>
  <sheetViews>
    <sheetView tabSelected="1" zoomScaleNormal="100" zoomScaleSheetLayoutView="100" workbookViewId="0">
      <selection activeCell="A1" sqref="A1"/>
    </sheetView>
  </sheetViews>
  <sheetFormatPr baseColWidth="8" defaultColWidth="9.140625" defaultRowHeight="12.75"/>
  <cols>
    <col width="5.140625" customWidth="1" style="275" min="1" max="1"/>
    <col width="12.42578125" customWidth="1" style="275" min="2" max="2"/>
    <col width="9.140625" customWidth="1" style="275" min="3" max="3"/>
    <col width="34.7109375" customWidth="1" style="275" min="4" max="4"/>
    <col width="21" customWidth="1" style="275" min="5" max="5"/>
    <col width="19.7109375" customWidth="1" style="275" min="6" max="6"/>
    <col width="7.140625" customWidth="1" style="275" min="7" max="11"/>
    <col width="4.42578125" customWidth="1" style="275" min="12" max="12"/>
    <col width="9.140625" customWidth="1" style="275" min="13" max="16384"/>
  </cols>
  <sheetData>
    <row r="1" ht="33.75" customHeight="1" s="7635" thickBot="1">
      <c r="B1" s="4222" t="inlineStr">
        <is>
          <t>www.excel1040.com</t>
        </is>
      </c>
      <c r="D1" s="1240" t="inlineStr">
        <is>
          <t>or</t>
        </is>
      </c>
      <c r="E1" s="4222" t="inlineStr">
        <is>
          <t>https://sites.google.com/view/incometaxspreadsheet/home</t>
        </is>
      </c>
      <c r="F1" s="4222" t="n"/>
    </row>
    <row r="2" ht="30.75" customFormat="1" customHeight="1" s="437" thickBot="1">
      <c r="B2" s="4223">
        <f>IF(AND(TaxYearStart&lt;&gt;"",TaxYearEnd&lt;&gt;""),"For tax year "&amp;TEXT(TaxYearStart,"mmm. d")&amp;" - "&amp;TEXT(TaxYearEnd,"mmm. dd, yyyy")&amp;".","For tax year Jan. 1 - Dec. 31, "&amp;TaxYear&amp;".")</f>
        <v/>
      </c>
      <c r="D2" s="994" t="n"/>
      <c r="E2" s="994" t="n"/>
      <c r="F2" s="11828" t="n"/>
      <c r="G2" s="994" t="inlineStr">
        <is>
          <t>Spreadsheet Revision Date/Time:</t>
        </is>
      </c>
      <c r="H2" s="11829">
        <f>RevDateTime</f>
        <v/>
      </c>
      <c r="I2" s="11830" t="n"/>
      <c r="J2" s="11830" t="n"/>
      <c r="K2" s="11831" t="n"/>
    </row>
    <row r="3" ht="16.5" customFormat="1" customHeight="1" s="437" thickBot="1">
      <c r="B3" s="4223" t="n"/>
      <c r="D3" s="994" t="n"/>
      <c r="E3" s="994" t="n"/>
      <c r="F3" s="11828" t="n"/>
      <c r="G3" s="994" t="n"/>
      <c r="H3" s="11832" t="n"/>
      <c r="I3" s="11832" t="n"/>
      <c r="J3" s="11832" t="n"/>
      <c r="K3" s="11832" t="n"/>
    </row>
    <row r="4" ht="23.25" customHeight="1" s="7635">
      <c r="B4" s="11833" t="inlineStr">
        <is>
          <t>-- DISCLAIMER --
These spreadsheets are provided "as is", 
with no warranty of any kind, expressed or implied, and
 in no event will Glenn Reeves be liable for 
direct, indirect, incidental, or consequential damages
 resulting from the use of any of these spreadsheets. 
Glenn Reeves specifically disclaims the role of tax adviser. 
These spreadsheets attempt to perform the mechanics of tax preparation
 in accordance with IRS forms and instructions. 
The user must assume responsibility as to the correctness and 
appropriateness of any and all amounts entered and results produced.</t>
        </is>
      </c>
      <c r="C4" s="11834" t="n"/>
      <c r="D4" s="11834" t="n"/>
      <c r="E4" s="11834" t="n"/>
      <c r="F4" s="11834" t="n"/>
      <c r="G4" s="11834" t="n"/>
      <c r="H4" s="11834" t="n"/>
      <c r="I4" s="11834" t="n"/>
      <c r="J4" s="11834" t="n"/>
      <c r="K4" s="11835" t="n"/>
    </row>
    <row r="5" ht="23.25" customHeight="1" s="7635">
      <c r="B5" s="11836" t="n"/>
      <c r="C5" s="26" t="n"/>
      <c r="D5" s="26" t="n"/>
      <c r="E5" s="26" t="n"/>
      <c r="F5" s="26" t="n"/>
      <c r="G5" s="26" t="n"/>
      <c r="H5" s="26" t="n"/>
      <c r="I5" s="26" t="n"/>
      <c r="J5" s="26" t="n"/>
      <c r="K5" s="11837" t="n"/>
    </row>
    <row r="6" ht="23.25" customHeight="1" s="7635">
      <c r="B6" s="11836" t="n"/>
      <c r="C6" s="26" t="n"/>
      <c r="D6" s="26" t="n"/>
      <c r="E6" s="26" t="n"/>
      <c r="F6" s="26" t="n"/>
      <c r="G6" s="26" t="n"/>
      <c r="H6" s="26" t="n"/>
      <c r="I6" s="26" t="n"/>
      <c r="J6" s="26" t="n"/>
      <c r="K6" s="11837" t="n"/>
    </row>
    <row r="7" ht="23.25" customHeight="1" s="7635">
      <c r="B7" s="11836" t="n"/>
      <c r="C7" s="26" t="n"/>
      <c r="D7" s="26" t="n"/>
      <c r="E7" s="26" t="n"/>
      <c r="F7" s="26" t="n"/>
      <c r="G7" s="26" t="n"/>
      <c r="H7" s="26" t="n"/>
      <c r="I7" s="26" t="n"/>
      <c r="J7" s="26" t="n"/>
      <c r="K7" s="11837" t="n"/>
    </row>
    <row r="8" ht="23.25" customHeight="1" s="7635">
      <c r="B8" s="11836" t="n"/>
      <c r="C8" s="26" t="n"/>
      <c r="D8" s="26" t="n"/>
      <c r="E8" s="26" t="n"/>
      <c r="F8" s="26" t="n"/>
      <c r="G8" s="26" t="n"/>
      <c r="H8" s="26" t="n"/>
      <c r="I8" s="26" t="n"/>
      <c r="J8" s="26" t="n"/>
      <c r="K8" s="11837" t="n"/>
    </row>
    <row r="9" ht="23.25" customHeight="1" s="7635">
      <c r="B9" s="11836" t="n"/>
      <c r="C9" s="26" t="n"/>
      <c r="D9" s="26" t="n"/>
      <c r="E9" s="26" t="n"/>
      <c r="F9" s="26" t="n"/>
      <c r="G9" s="26" t="n"/>
      <c r="H9" s="26" t="n"/>
      <c r="I9" s="26" t="n"/>
      <c r="J9" s="26" t="n"/>
      <c r="K9" s="11837" t="n"/>
    </row>
    <row r="10" ht="23.25" customHeight="1" s="7635">
      <c r="B10" s="11836" t="n"/>
      <c r="C10" s="26" t="n"/>
      <c r="D10" s="26" t="n"/>
      <c r="E10" s="26" t="n"/>
      <c r="F10" s="26" t="n"/>
      <c r="G10" s="26" t="n"/>
      <c r="H10" s="26" t="n"/>
      <c r="I10" s="26" t="n"/>
      <c r="J10" s="26" t="n"/>
      <c r="K10" s="11837" t="n"/>
    </row>
    <row r="11" ht="23.25" customHeight="1" s="7635">
      <c r="B11" s="11836" t="n"/>
      <c r="C11" s="26" t="n"/>
      <c r="D11" s="26" t="n"/>
      <c r="E11" s="26" t="n"/>
      <c r="F11" s="26" t="n"/>
      <c r="G11" s="26" t="n"/>
      <c r="H11" s="26" t="n"/>
      <c r="I11" s="26" t="n"/>
      <c r="J11" s="26" t="n"/>
      <c r="K11" s="11837" t="n"/>
    </row>
    <row r="12" ht="12.75" customHeight="1" s="7635" thickBot="1">
      <c r="B12" s="11838" t="n"/>
      <c r="C12" s="11839" t="n"/>
      <c r="D12" s="11839" t="n"/>
      <c r="E12" s="11839" t="n"/>
      <c r="F12" s="11839" t="n"/>
      <c r="G12" s="11839" t="n"/>
      <c r="H12" s="11839" t="n"/>
      <c r="I12" s="11839" t="n"/>
      <c r="J12" s="11839" t="n"/>
      <c r="K12" s="11840" t="n"/>
    </row>
    <row r="13" ht="14.25" customHeight="1" s="7635" thickBot="1">
      <c r="B13" s="394" t="n"/>
      <c r="C13" s="394" t="n"/>
      <c r="D13" s="394" t="n"/>
      <c r="E13" s="394" t="n"/>
      <c r="F13" s="394" t="n"/>
      <c r="G13" s="394" t="n"/>
      <c r="H13" s="394" t="n"/>
      <c r="I13" s="394" t="n"/>
      <c r="J13" s="394" t="n"/>
      <c r="K13" s="394" t="n"/>
    </row>
    <row r="14">
      <c r="B14" s="11841" t="inlineStr">
        <is>
          <t>No password is needed. 
If you find a data entry cell to be protected, it is because it is a calculated value using 
input from another location in the spreadsheet.  Read the instructions for that line to determine where 
the values are derived.  However, for most calculated cells, a manual override cell is provided if you 
need to override the calculated value.  After a while, you will figure out that the spreadsheet is completely functional without needing to unprotect it.</t>
        </is>
      </c>
      <c r="C14" s="11834" t="n"/>
      <c r="D14" s="11834" t="n"/>
      <c r="E14" s="11834" t="n"/>
      <c r="F14" s="11834" t="n"/>
      <c r="G14" s="11834" t="n"/>
      <c r="H14" s="11834" t="n"/>
      <c r="I14" s="11834" t="n"/>
      <c r="J14" s="11834" t="n"/>
      <c r="K14" s="11835" t="n"/>
    </row>
    <row r="15">
      <c r="B15" s="11836" t="n"/>
      <c r="C15" s="26" t="n"/>
      <c r="D15" s="26" t="n"/>
      <c r="E15" s="26" t="n"/>
      <c r="F15" s="26" t="n"/>
      <c r="G15" s="26" t="n"/>
      <c r="H15" s="26" t="n"/>
      <c r="I15" s="26" t="n"/>
      <c r="J15" s="26" t="n"/>
      <c r="K15" s="11837" t="n"/>
    </row>
    <row r="16">
      <c r="B16" s="11836" t="n"/>
      <c r="C16" s="26" t="n"/>
      <c r="D16" s="26" t="n"/>
      <c r="E16" s="26" t="n"/>
      <c r="F16" s="26" t="n"/>
      <c r="G16" s="26" t="n"/>
      <c r="H16" s="26" t="n"/>
      <c r="I16" s="26" t="n"/>
      <c r="J16" s="26" t="n"/>
      <c r="K16" s="11837" t="n"/>
    </row>
    <row r="17">
      <c r="B17" s="11836" t="n"/>
      <c r="C17" s="26" t="n"/>
      <c r="D17" s="26" t="n"/>
      <c r="E17" s="26" t="n"/>
      <c r="F17" s="26" t="n"/>
      <c r="G17" s="26" t="n"/>
      <c r="H17" s="26" t="n"/>
      <c r="I17" s="26" t="n"/>
      <c r="J17" s="26" t="n"/>
      <c r="K17" s="11837" t="n"/>
    </row>
    <row r="18">
      <c r="B18" s="11836" t="n"/>
      <c r="C18" s="26" t="n"/>
      <c r="D18" s="26" t="n"/>
      <c r="E18" s="26" t="n"/>
      <c r="F18" s="26" t="n"/>
      <c r="G18" s="26" t="n"/>
      <c r="H18" s="26" t="n"/>
      <c r="I18" s="26" t="n"/>
      <c r="J18" s="26" t="n"/>
      <c r="K18" s="11837" t="n"/>
    </row>
    <row r="19">
      <c r="B19" s="11836" t="n"/>
      <c r="C19" s="26" t="n"/>
      <c r="D19" s="26" t="n"/>
      <c r="E19" s="26" t="n"/>
      <c r="F19" s="26" t="n"/>
      <c r="G19" s="26" t="n"/>
      <c r="H19" s="26" t="n"/>
      <c r="I19" s="26" t="n"/>
      <c r="J19" s="26" t="n"/>
      <c r="K19" s="11837" t="n"/>
    </row>
    <row r="20">
      <c r="B20" s="11836" t="n"/>
      <c r="C20" s="26" t="n"/>
      <c r="D20" s="26" t="n"/>
      <c r="E20" s="26" t="n"/>
      <c r="F20" s="26" t="n"/>
      <c r="G20" s="26" t="n"/>
      <c r="H20" s="26" t="n"/>
      <c r="I20" s="26" t="n"/>
      <c r="J20" s="26" t="n"/>
      <c r="K20" s="11837" t="n"/>
    </row>
    <row r="21">
      <c r="B21" s="11836" t="n"/>
      <c r="C21" s="26" t="n"/>
      <c r="D21" s="26" t="n"/>
      <c r="E21" s="26" t="n"/>
      <c r="F21" s="26" t="n"/>
      <c r="G21" s="26" t="n"/>
      <c r="H21" s="26" t="n"/>
      <c r="I21" s="26" t="n"/>
      <c r="J21" s="26" t="n"/>
      <c r="K21" s="11837" t="n"/>
    </row>
    <row r="22" ht="13.5" customHeight="1" s="7635" thickBot="1">
      <c r="B22" s="11838" t="n"/>
      <c r="C22" s="11839" t="n"/>
      <c r="D22" s="11839" t="n"/>
      <c r="E22" s="11839" t="n"/>
      <c r="F22" s="11839" t="n"/>
      <c r="G22" s="11839" t="n"/>
      <c r="H22" s="11839" t="n"/>
      <c r="I22" s="11839" t="n"/>
      <c r="J22" s="11839" t="n"/>
      <c r="K22" s="11840" t="n"/>
    </row>
    <row r="23" ht="14.25" customHeight="1" s="7635" thickBot="1">
      <c r="B23" s="394" t="n"/>
      <c r="C23" s="394" t="n"/>
      <c r="D23" s="394" t="n"/>
      <c r="E23" s="394" t="n"/>
      <c r="F23" s="394" t="n"/>
      <c r="G23" s="394" t="n"/>
      <c r="H23" s="394" t="n"/>
      <c r="I23" s="394" t="n"/>
      <c r="J23" s="394" t="n"/>
      <c r="K23" s="394" t="n"/>
    </row>
    <row r="24" ht="27" customHeight="1" s="7635">
      <c r="B24" s="11842" t="inlineStr">
        <is>
          <t>Errors
If you find an error, first check the revision date/time above against the 
revision number of the latest spreadsheet to be published at:</t>
        </is>
      </c>
      <c r="C24" s="11834" t="n"/>
      <c r="D24" s="11834" t="n"/>
      <c r="E24" s="11834" t="n"/>
      <c r="F24" s="11834" t="n"/>
      <c r="G24" s="11834" t="n"/>
      <c r="H24" s="11834" t="n"/>
      <c r="I24" s="11834" t="n"/>
      <c r="J24" s="11834" t="n"/>
      <c r="K24" s="11835" t="n"/>
    </row>
    <row r="25" ht="18" customHeight="1" s="7635">
      <c r="B25" s="11836" t="n"/>
      <c r="C25" s="26" t="n"/>
      <c r="D25" s="26" t="n"/>
      <c r="E25" s="26" t="n"/>
      <c r="F25" s="26" t="n"/>
      <c r="G25" s="26" t="n"/>
      <c r="H25" s="26" t="n"/>
      <c r="I25" s="26" t="n"/>
      <c r="J25" s="26" t="n"/>
      <c r="K25" s="11837" t="n"/>
    </row>
    <row r="26" ht="18" customHeight="1" s="7635">
      <c r="B26" s="1010" t="n"/>
      <c r="C26" s="1011" t="n"/>
      <c r="D26" s="1011" t="n"/>
      <c r="E26" s="1020" t="inlineStr">
        <is>
          <t>https://sites.google.com/view/incometaxspreadsheet/home/changes</t>
        </is>
      </c>
      <c r="F26" s="1011" t="n"/>
      <c r="G26" s="1011" t="n"/>
      <c r="H26" s="1011" t="n"/>
      <c r="I26" s="1011" t="n"/>
      <c r="J26" s="1011" t="n"/>
      <c r="K26" s="1012" t="n"/>
    </row>
    <row r="27" ht="13.5" customHeight="1" s="7635">
      <c r="B27" s="1013" t="n"/>
      <c r="C27" s="1018" t="inlineStr">
        <is>
          <t xml:space="preserve">If you find you're using an earlier version, review the changes made since your version </t>
        </is>
      </c>
      <c r="D27" s="1018" t="n"/>
      <c r="E27" s="1018" t="n"/>
      <c r="F27" s="1018" t="n"/>
      <c r="G27" s="1018" t="n"/>
      <c r="H27" s="1018" t="n"/>
      <c r="I27" s="1018" t="n"/>
      <c r="J27" s="1018" t="n"/>
      <c r="K27" s="1014" t="n"/>
    </row>
    <row r="28" ht="13.5" customHeight="1" s="7635">
      <c r="B28" s="1013" t="n"/>
      <c r="C28" s="1018" t="inlineStr">
        <is>
          <t>to determine if the problem you've encountered has already been fixed.</t>
        </is>
      </c>
      <c r="D28" s="1018" t="n"/>
      <c r="E28" s="1018" t="n"/>
      <c r="F28" s="1018" t="n"/>
      <c r="G28" s="1018" t="n"/>
      <c r="H28" s="1018" t="n"/>
      <c r="I28" s="1018" t="n"/>
      <c r="J28" s="1018" t="n"/>
      <c r="K28" s="1014" t="n"/>
    </row>
    <row r="29" ht="13.5" customHeight="1" s="7635">
      <c r="B29" s="1013" t="n"/>
      <c r="C29" s="1018" t="inlineStr">
        <is>
          <t>If so, please download the latest version and begin again.  (There is no simple way to migrate...)</t>
        </is>
      </c>
      <c r="D29" s="1018" t="n"/>
      <c r="E29" s="1018" t="n"/>
      <c r="F29" s="1018" t="n"/>
      <c r="G29" s="1018" t="n"/>
      <c r="H29" s="1018" t="n"/>
      <c r="I29" s="1018" t="n"/>
      <c r="J29" s="1018" t="n"/>
      <c r="K29" s="1014" t="n"/>
    </row>
    <row r="30" ht="13.5" customHeight="1" s="7635">
      <c r="B30" s="1013" t="n"/>
      <c r="C30" s="1018" t="inlineStr">
        <is>
          <t xml:space="preserve">If you cannot determine (or you're not sure) as to whether or not the problem(s) you've found </t>
        </is>
      </c>
      <c r="D30" s="1018" t="n"/>
      <c r="E30" s="1018" t="n"/>
      <c r="F30" s="1018" t="n"/>
      <c r="G30" s="1018" t="n"/>
      <c r="H30" s="1018" t="n"/>
      <c r="I30" s="1018" t="n"/>
      <c r="J30" s="1018" t="n"/>
      <c r="K30" s="1014" t="n"/>
    </row>
    <row r="31" ht="13.5" customHeight="1" s="7635">
      <c r="B31" s="1013" t="n"/>
      <c r="C31" s="1018" t="inlineStr">
        <is>
          <t>has been corrected, please do your fellow taxpayers a favor by reporting the problem to:</t>
        </is>
      </c>
      <c r="D31" s="1018" t="n"/>
      <c r="E31" s="1018" t="n"/>
      <c r="F31" s="1018" t="n"/>
      <c r="G31" s="1018" t="n"/>
      <c r="H31" s="1018" t="n"/>
      <c r="I31" s="1018" t="n"/>
      <c r="J31" s="1018" t="n"/>
      <c r="K31" s="1014" t="n"/>
    </row>
    <row r="32" ht="24.75" customHeight="1" s="7635" thickBot="1">
      <c r="B32" s="1015" t="n"/>
      <c r="C32" s="1016" t="n"/>
      <c r="D32" s="1016" t="n"/>
      <c r="E32" s="1019" t="inlineStr">
        <is>
          <t>incometaxspreadsheet@gmail.com</t>
        </is>
      </c>
      <c r="F32" s="1016" t="n"/>
      <c r="G32" s="1016" t="n"/>
      <c r="H32" s="1016" t="n"/>
      <c r="I32" s="1016" t="n"/>
      <c r="J32" s="1016" t="n"/>
      <c r="K32" s="1017" t="n"/>
    </row>
    <row r="33" ht="14.25" customHeight="1" s="7635" thickBot="1">
      <c r="B33" s="394" t="n"/>
      <c r="C33" s="394" t="n"/>
      <c r="D33" s="394" t="n"/>
      <c r="E33" s="394" t="n"/>
      <c r="F33" s="394" t="n"/>
      <c r="G33" s="394" t="n"/>
      <c r="H33" s="394" t="n"/>
      <c r="I33" s="394" t="n"/>
      <c r="J33" s="394" t="n"/>
      <c r="K33" s="394" t="n"/>
    </row>
    <row r="34" ht="12.75" customHeight="1" s="7635">
      <c r="B34" s="403" t="n"/>
      <c r="C34" s="307" t="n"/>
      <c r="D34" s="307" t="n"/>
      <c r="E34" s="307" t="n"/>
      <c r="F34" s="395" t="n"/>
      <c r="G34" s="307" t="n"/>
      <c r="H34" s="307" t="n"/>
      <c r="I34" s="307" t="n"/>
      <c r="J34" s="307" t="n"/>
      <c r="K34" s="308" t="n"/>
    </row>
    <row r="35" ht="21.75" customHeight="1" s="7635">
      <c r="B35" s="963" t="inlineStr">
        <is>
          <t>SUMMARY</t>
        </is>
      </c>
      <c r="F35" s="577" t="n"/>
      <c r="K35" s="298" t="n"/>
    </row>
    <row r="36">
      <c r="B36" s="400" t="inlineStr">
        <is>
          <t>Adjusted Gross Income</t>
        </is>
      </c>
      <c r="E36" s="11843">
        <f>Adj_Gross_Inc</f>
        <v/>
      </c>
      <c r="G36" s="309" t="inlineStr">
        <is>
          <t>Form 1040, Line 11</t>
        </is>
      </c>
      <c r="K36" s="298" t="n"/>
      <c r="M36" s="626" t="inlineStr">
        <is>
          <t>Single</t>
        </is>
      </c>
      <c r="N36" s="301">
        <f>IF(Taxable_Inc="","---",IF(Taxable_Inc&lt;BOTT_A2,TEXT(RATE_A1,"0%"),IF(Taxable_Inc&lt;BOTT_A3,TEXT(RATE_A2,"0%"),IF(Taxable_Inc&lt;BOTT_A4,TEXT(RATE_A3,"0%"),IF(Taxable_Inc&lt;BOTT_A5,TEXT(RATE_A4,"0%"),IF(Taxable_Inc&lt;BOTT_A6,TEXT(RATE_A5,"0%"),IF(Taxable_Inc&lt;BOTT_A7,TEXT(RATE_A6,"0%"),TEXT(RATE_A7,"0.0%"))))))))</f>
        <v/>
      </c>
    </row>
    <row r="37">
      <c r="B37" s="400" t="inlineStr">
        <is>
          <t>Total Deductions</t>
        </is>
      </c>
      <c r="E37" s="397">
        <f>TotalDeductions</f>
        <v/>
      </c>
      <c r="G37" s="309" t="inlineStr">
        <is>
          <t>Form 1040, Line 14</t>
        </is>
      </c>
      <c r="K37" s="298" t="n"/>
      <c r="M37" s="626" t="n"/>
      <c r="N37" s="301" t="n"/>
    </row>
    <row r="38" ht="15" customHeight="1" s="7635">
      <c r="A38" s="330" t="n"/>
      <c r="B38" s="400" t="inlineStr">
        <is>
          <t>Taxable Income</t>
        </is>
      </c>
      <c r="E38" s="397">
        <f>Taxable_Inc</f>
        <v/>
      </c>
      <c r="F38" s="398" t="n"/>
      <c r="G38" s="309" t="inlineStr">
        <is>
          <t>Form 1040, Line 15</t>
        </is>
      </c>
      <c r="K38" s="298" t="n"/>
      <c r="M38" s="626" t="inlineStr">
        <is>
          <t>MFJ or QW</t>
        </is>
      </c>
      <c r="N38" s="301">
        <f>IF(Taxable_Inc="","---",IF(Taxable_Inc&lt;BOTT_B2,TEXT(RATE_B1,"0%"),IF(Taxable_Inc&lt;BOTT_B3,TEXT(RATE_B2,"0%"),IF(Taxable_Inc&lt;BOTT_B4,TEXT(RATE_B3,"0%"),IF(Taxable_Inc&lt;BOTT_B5,TEXT(RATE_B4,"0%"),IF(Taxable_Inc&lt;BOTT_B6,TEXT(RATE_B5,"0%"),IF(Taxable_Inc&lt;BOTT_B7,TEXT(RATE_B6,"0%"),TEXT(RATE_B7,"0.0%"))))))))</f>
        <v/>
      </c>
    </row>
    <row r="39" ht="15" customHeight="1" s="7635">
      <c r="B39" s="400" t="inlineStr">
        <is>
          <t>Total Tax</t>
        </is>
      </c>
      <c r="E39" s="397">
        <f>Tot_Tax</f>
        <v/>
      </c>
      <c r="F39" s="398" t="n"/>
      <c r="G39" s="309" t="inlineStr">
        <is>
          <t>Form 1040, Line 24</t>
        </is>
      </c>
      <c r="K39" s="298" t="n"/>
      <c r="M39" s="626" t="inlineStr">
        <is>
          <t>MFS</t>
        </is>
      </c>
      <c r="N39" s="301">
        <f>IF(Taxable_Inc="","---",IF(Taxable_Inc&lt;BOTT_C2,TEXT(RATE_C1,"0%"),IF(Taxable_Inc&lt;BOTT_C3,TEXT(RATE_C2,"0%"),IF(Taxable_Inc&lt;BOTT_C4,TEXT(RATE_C3,"0%"),IF(Taxable_Inc&lt;BOTT_C5,TEXT(RATE_C4,"0%"),IF(Taxable_Inc&lt;BOTT_C6,TEXT(RATE_C5,"0%"),IF(Taxable_Inc&lt;BOTT_C7,TEXT(RATE_C6,"0%"),TEXT(RATE_C7,"0.0%"))))))))</f>
        <v/>
      </c>
    </row>
    <row r="40" ht="15" customHeight="1" s="7635">
      <c r="B40" s="400" t="inlineStr">
        <is>
          <t>Total Payments/Credits</t>
        </is>
      </c>
      <c r="E40" s="397">
        <f>Tot_Payments</f>
        <v/>
      </c>
      <c r="F40" s="398" t="n"/>
      <c r="G40" s="309" t="inlineStr">
        <is>
          <t>Form 1040, Line 33</t>
        </is>
      </c>
      <c r="K40" s="298" t="n"/>
      <c r="M40" s="626" t="inlineStr">
        <is>
          <t>HOH</t>
        </is>
      </c>
      <c r="N40" s="301">
        <f>IF(Taxable_Inc="","---",IF(Taxable_Inc&lt;BOTT_D2,TEXT(RATE_D1,"0%"),IF(Taxable_Inc&lt;BOTT_D3,TEXT(RATE_D2,"0%"),IF(Taxable_Inc&lt;BOTT_D4,TEXT(RATE_D3,"0%"),IF(Taxable_Inc&lt;BOTT_D5,TEXT(RATE_D4,"0%"),IF(Taxable_Inc&lt;BOTT_D6,TEXT(RATE_D5,"0%"),IF(Taxable_Inc&lt;BOTT_D7,TEXT(RATE_D6,"0%"),TEXT(RATE_D7,"0.0%"))))))))</f>
        <v/>
      </c>
    </row>
    <row r="41" ht="15" customHeight="1" s="7635">
      <c r="B41" s="400">
        <f>IF(Overpaid&gt;0,"Amount You Overpaid",IF(AND(E41&lt;&gt;"",E41&gt;0),"Amount You Underpaid",""))</f>
        <v/>
      </c>
      <c r="E41" s="397">
        <f>IF(Overpaid&gt;0,Overpaid,IF(SUM(Tot_Tax,-Tot_Payments)&gt;0,SUM(Tot_Tax,-Tot_Payments),""))</f>
        <v/>
      </c>
      <c r="F41" s="398" t="n"/>
      <c r="G41" s="309">
        <f>IF(Overpaid&gt;0,"Form 1040, Line 34","")</f>
        <v/>
      </c>
      <c r="K41" s="298" t="n"/>
      <c r="M41" s="626" t="n"/>
      <c r="N41" s="301" t="n"/>
    </row>
    <row r="42" ht="15" customHeight="1" s="7635">
      <c r="B42" s="400">
        <f>IF(TaxPenalty&gt;0,"Penalty/Interest","")</f>
        <v/>
      </c>
      <c r="E42" s="397">
        <f>IF(TaxPenalty&gt;0,TaxPenalty,"")</f>
        <v/>
      </c>
      <c r="F42" s="398" t="n"/>
      <c r="G42" s="309">
        <f>IF(TaxPenalty&gt;0,"Form 1040, Line 38","")</f>
        <v/>
      </c>
      <c r="K42" s="298" t="n"/>
      <c r="M42" s="626" t="n"/>
      <c r="N42" s="301" t="n"/>
    </row>
    <row r="43">
      <c r="B43" s="400">
        <f>IF(Overpaid&gt;0,"Amount To be Refunded","Amount You Owe")</f>
        <v/>
      </c>
      <c r="E43" s="397">
        <f>IF('1040'!AL126&gt;0,'1040'!AL126,You_Owe)</f>
        <v/>
      </c>
      <c r="G43" s="309">
        <f>IF(Overpaid&gt;0,"Form 1040, Line 35a","Form 1040, Line 37")</f>
        <v/>
      </c>
      <c r="K43" s="298" t="n"/>
    </row>
    <row r="44">
      <c r="B44" s="400">
        <f>IF(AND('1040'!AD129&lt;&gt;"",'1040'!AD129&gt;0),"Amount applied to your "&amp;TaxYear+1&amp;" estimated tax","")</f>
        <v/>
      </c>
      <c r="E44" s="6713">
        <f>IF(AND('1040'!AD129&lt;&gt;"",'1040'!AD129&gt;1000),TEXT('1040'!AD129,"$0,000"),IF(AND('1040'!AD129&lt;&gt;"",'1040'!AD129&gt;0),TEXT('1040'!AD129,"$0"),""))</f>
        <v/>
      </c>
      <c r="G44" s="309">
        <f>IF(AND('1040'!AD129&lt;&gt;"",'1040'!AD129&gt;0),"Form 1040, Line 36","")</f>
        <v/>
      </c>
      <c r="K44" s="298" t="n"/>
    </row>
    <row r="45">
      <c r="B45" s="401" t="n"/>
      <c r="K45" s="298" t="n"/>
    </row>
    <row r="46">
      <c r="B46" s="400" t="inlineStr">
        <is>
          <t>Tax Bracket</t>
        </is>
      </c>
      <c r="E46" s="11844">
        <f>IF(File_Single&lt;&gt;"",N36,IF(OR(File_Marr_Joint&lt;&gt;"",File_Qual_Widow&lt;&gt;""),N38,IF(File_Marr_Sep&lt;&gt;"",N39,IF(File_Head&lt;&gt;"",N40,"---"))))</f>
        <v/>
      </c>
      <c r="G46" s="309" t="n"/>
      <c r="K46" s="298" t="n"/>
    </row>
    <row r="47">
      <c r="B47" s="400" t="inlineStr">
        <is>
          <t>Effective Tax Rate</t>
        </is>
      </c>
      <c r="E47" s="11844">
        <f>IF(E36=0,"---",E39/E36)</f>
        <v/>
      </c>
      <c r="G47" s="309" t="n"/>
      <c r="K47" s="298" t="n"/>
    </row>
    <row r="48" ht="13.5" customHeight="1" s="7635" thickBot="1">
      <c r="B48" s="402" t="n"/>
      <c r="C48" s="312" t="n"/>
      <c r="D48" s="312" t="n"/>
      <c r="E48" s="312" t="n"/>
      <c r="F48" s="312" t="n"/>
      <c r="G48" s="312" t="n"/>
      <c r="H48" s="312" t="n"/>
      <c r="I48" s="312" t="n"/>
      <c r="J48" s="312" t="n"/>
      <c r="K48" s="313" t="n"/>
    </row>
    <row r="49" ht="13.5" customHeight="1" s="7635" thickBot="1"/>
    <row r="50">
      <c r="B50" s="306" t="n"/>
      <c r="C50" s="307" t="n"/>
      <c r="D50" s="307" t="n"/>
      <c r="E50" s="307" t="n"/>
      <c r="F50" s="307" t="n"/>
      <c r="G50" s="307" t="n"/>
      <c r="H50" s="307" t="n"/>
      <c r="I50" s="307" t="n"/>
      <c r="J50" s="307" t="n"/>
      <c r="K50" s="308" t="n"/>
    </row>
    <row r="51" ht="21.75" customHeight="1" s="7635">
      <c r="B51" s="11845" t="inlineStr">
        <is>
          <t xml:space="preserve">This spreadsheet is free.  
However, if you would like to show your appreciation, 
you may make a contribution by clicking one of the following links and 
sending money as indicated.
</t>
        </is>
      </c>
      <c r="K51" s="1066" t="n"/>
    </row>
    <row r="52" ht="21.75" customHeight="1" s="7635">
      <c r="B52" s="11741" t="n"/>
      <c r="K52" s="1066" t="n"/>
    </row>
    <row r="53" ht="21.75" customHeight="1" s="7635">
      <c r="B53" s="11741" t="n"/>
      <c r="K53" s="1066" t="n"/>
    </row>
    <row r="54" ht="21.75" customHeight="1" s="7635">
      <c r="B54" s="11741" t="n"/>
      <c r="K54" s="1066" t="n"/>
    </row>
    <row r="55">
      <c r="B55" s="11741" t="n"/>
      <c r="K55" s="1066" t="n"/>
    </row>
    <row r="56">
      <c r="B56" s="415" t="n"/>
      <c r="C56" s="955" t="inlineStr">
        <is>
          <t>PayPal</t>
        </is>
      </c>
      <c r="D56" s="6996" t="n"/>
      <c r="E56" s="955" t="inlineStr">
        <is>
          <t>Zelle (App)</t>
        </is>
      </c>
      <c r="F56" s="6996" t="n"/>
      <c r="G56" s="6996" t="n"/>
      <c r="H56" s="6996" t="n"/>
      <c r="I56" s="6996" t="n"/>
      <c r="J56" s="6996" t="n"/>
      <c r="K56" s="298" t="n"/>
      <c r="L56" s="310" t="n"/>
    </row>
    <row r="57">
      <c r="B57" s="956" t="n"/>
      <c r="C57" s="698" t="inlineStr">
        <is>
          <t>https://paypal.me/incometaxspreadsheet</t>
        </is>
      </c>
      <c r="D57" s="5963" t="n"/>
      <c r="E57" s="698" t="inlineStr">
        <is>
          <t>https://www.zellepay.com/</t>
        </is>
      </c>
      <c r="F57" s="5963" t="n"/>
      <c r="G57" s="5963" t="n"/>
      <c r="H57" s="5963" t="n"/>
      <c r="I57" s="5963" t="n"/>
      <c r="J57" s="5963" t="n"/>
      <c r="K57" s="957" t="n"/>
    </row>
    <row r="58">
      <c r="B58" s="415" t="n"/>
      <c r="C58" s="9237" t="inlineStr">
        <is>
          <t>(Send to:  IncomeTaxSpreadsheet@gmail.com )</t>
        </is>
      </c>
      <c r="D58" s="6996" t="n"/>
      <c r="E58" s="9237" t="inlineStr">
        <is>
          <t xml:space="preserve">(Send to:  IncomeTaxSpreadsheet@gmail.com ) </t>
        </is>
      </c>
      <c r="F58" s="6996" t="n"/>
      <c r="G58" s="6996" t="n"/>
      <c r="H58" s="6996" t="n"/>
      <c r="I58" s="6996" t="n"/>
      <c r="J58" s="6996" t="n"/>
      <c r="K58" s="6997" t="n"/>
    </row>
    <row r="59">
      <c r="B59" s="415" t="n"/>
      <c r="C59" s="6996" t="n"/>
      <c r="D59" s="6996" t="n"/>
      <c r="E59" s="9237" t="n"/>
      <c r="F59" s="6996" t="n"/>
      <c r="G59" s="6996" t="n"/>
      <c r="H59" s="6996" t="n"/>
      <c r="I59" s="6996" t="n"/>
      <c r="J59" s="6996" t="n"/>
      <c r="K59" s="6997" t="n"/>
    </row>
    <row r="60">
      <c r="B60" s="415" t="n"/>
      <c r="C60" s="955" t="inlineStr">
        <is>
          <t>Google Pay</t>
        </is>
      </c>
      <c r="D60" s="6996" t="n"/>
      <c r="E60" s="955" t="inlineStr">
        <is>
          <t>Venmo</t>
        </is>
      </c>
      <c r="F60" s="6996" t="n"/>
      <c r="G60" s="6996" t="n"/>
      <c r="H60" s="6996" t="n"/>
      <c r="I60" s="6996" t="n"/>
      <c r="J60" s="6996" t="n"/>
      <c r="K60" s="298" t="n"/>
      <c r="L60" s="310" t="n"/>
    </row>
    <row r="61">
      <c r="B61" s="956" t="n"/>
      <c r="C61" s="698" t="inlineStr">
        <is>
          <t>https://pay.google.com/payments/</t>
        </is>
      </c>
      <c r="D61" s="11602" t="n"/>
      <c r="E61" s="698" t="inlineStr">
        <is>
          <t>https://www.venmo.com</t>
        </is>
      </c>
      <c r="F61" s="11602" t="n"/>
      <c r="G61" s="11602" t="n"/>
      <c r="H61" s="11602" t="n"/>
      <c r="I61" s="11602" t="n"/>
      <c r="J61" s="11602" t="n"/>
      <c r="K61" s="379" t="n"/>
    </row>
    <row r="62">
      <c r="B62" s="415" t="n"/>
      <c r="C62" s="9237" t="inlineStr">
        <is>
          <t>(Send to:  IncomeTaxSpreadsheet@gmail.com )</t>
        </is>
      </c>
      <c r="D62" s="6996" t="n"/>
      <c r="E62" s="9237" t="inlineStr">
        <is>
          <t>(Send to:  @Glenn-Reeves-2 )</t>
        </is>
      </c>
      <c r="F62" s="6996" t="n"/>
      <c r="G62" s="6996" t="n"/>
      <c r="H62" s="6996" t="n"/>
      <c r="I62" s="6996" t="n"/>
      <c r="J62" s="6996" t="n"/>
      <c r="K62" s="6997" t="n"/>
    </row>
    <row r="63">
      <c r="B63" s="415" t="n"/>
      <c r="C63" s="6996" t="n"/>
      <c r="D63" s="6996" t="n"/>
      <c r="E63" s="6996" t="n"/>
      <c r="F63" s="6996" t="n"/>
      <c r="G63" s="6996" t="n"/>
      <c r="H63" s="6996" t="n"/>
      <c r="I63" s="6996" t="n"/>
      <c r="J63" s="6996" t="n"/>
      <c r="K63" s="6997" t="n"/>
    </row>
    <row r="64">
      <c r="B64" s="415" t="n"/>
      <c r="C64" s="955" t="inlineStr">
        <is>
          <t>US Mail:</t>
        </is>
      </c>
      <c r="D64" s="6996" t="n"/>
      <c r="E64" s="955" t="n"/>
      <c r="F64" s="6996" t="n"/>
      <c r="G64" s="6996" t="n"/>
      <c r="H64" s="6996" t="n"/>
      <c r="I64" s="6996" t="n"/>
      <c r="J64" s="6996" t="n"/>
      <c r="K64" s="298" t="n"/>
      <c r="L64" s="310" t="n"/>
    </row>
    <row r="65" ht="16.5" customHeight="1" s="7635">
      <c r="B65" s="415" t="n"/>
      <c r="C65" s="954" t="inlineStr">
        <is>
          <t>Glenn Reeves</t>
        </is>
      </c>
      <c r="E65" s="954" t="n"/>
      <c r="K65" s="298" t="n"/>
      <c r="L65" s="310" t="n"/>
    </row>
    <row r="66" ht="16.5" customHeight="1" s="7635">
      <c r="B66" s="415" t="n"/>
      <c r="C66" s="954" t="inlineStr">
        <is>
          <t>(Tax Calculator)</t>
        </is>
      </c>
      <c r="E66" s="954" t="n"/>
      <c r="K66" s="298" t="n"/>
      <c r="L66" s="310" t="n"/>
    </row>
    <row r="67" ht="16.5" customHeight="1" s="7635">
      <c r="B67" s="415" t="n"/>
      <c r="C67" s="954" t="inlineStr">
        <is>
          <t>4802 N 124th Ct</t>
        </is>
      </c>
      <c r="E67" s="954" t="n"/>
      <c r="K67" s="298" t="n"/>
      <c r="L67" s="310" t="n"/>
    </row>
    <row r="68" ht="16.5" customHeight="1" s="7635">
      <c r="B68" s="415" t="n"/>
      <c r="C68" s="954" t="inlineStr">
        <is>
          <t>Kansas City, KS  66109-3809</t>
        </is>
      </c>
      <c r="E68" s="954" t="n"/>
      <c r="K68" s="298" t="n"/>
      <c r="L68" s="310" t="n"/>
    </row>
    <row r="69" ht="16.5" customHeight="1" s="7635">
      <c r="B69" s="415" t="n"/>
      <c r="E69" s="954" t="n"/>
      <c r="K69" s="298" t="n"/>
    </row>
    <row r="70" ht="22.5" customHeight="1" s="7635">
      <c r="B70" s="415" t="n"/>
      <c r="C70" s="958" t="n"/>
      <c r="D70" s="960" t="inlineStr">
        <is>
          <t>Thank you for using my spreadsheet and for any money you decide to send!</t>
        </is>
      </c>
      <c r="E70" s="958" t="n"/>
      <c r="F70" s="958" t="n"/>
      <c r="G70" s="958" t="n"/>
      <c r="H70" s="958" t="n"/>
      <c r="I70" s="958" t="n"/>
      <c r="J70" s="958" t="n"/>
      <c r="K70" s="959" t="n"/>
    </row>
    <row r="71" ht="13.5" customHeight="1" s="7635" thickBot="1">
      <c r="B71" s="311" t="n"/>
      <c r="C71" s="312" t="n"/>
      <c r="D71" s="312" t="n"/>
      <c r="E71" s="312" t="n"/>
      <c r="F71" s="312" t="n"/>
      <c r="G71" s="312" t="n"/>
      <c r="H71" s="312" t="n"/>
      <c r="I71" s="312" t="n"/>
      <c r="J71" s="312" t="n"/>
      <c r="K71" s="313" t="n"/>
    </row>
    <row r="72">
      <c r="B72" s="307" t="n"/>
      <c r="C72" s="307" t="n"/>
      <c r="D72" s="307" t="n"/>
      <c r="E72" s="307" t="n"/>
      <c r="F72" s="307" t="n"/>
      <c r="G72" s="307" t="n"/>
      <c r="H72" s="307" t="n"/>
      <c r="I72" s="307" t="n"/>
      <c r="J72" s="307" t="n"/>
      <c r="K72" s="307" t="n"/>
    </row>
  </sheetData>
  <sheetProtection selectLockedCells="0" selectUnlockedCells="0" algorithmName="SHA-512" sheet="1" objects="1" insertRows="1" insertHyperlinks="1" autoFilter="1" scenarios="1" formatColumns="0" deleteColumns="1" insertColumns="1" pivotTables="1" deleteRows="1" formatCells="0" saltValue="Yg8Swz82x1uBlycSA41vpQ==" formatRows="0" sort="1" spinCount="100000" hashValue="wfZPepQ4TrERHNPc2X/Z6SsHryDA8+ICed9nErMdXNb1w/Hs7YEMRT3841/ZZ3oqoH24W3k7NMnIYMiBnrlJCw=="/>
  <mergeCells count="5">
    <mergeCell ref="B14:K22"/>
    <mergeCell ref="B24:K25"/>
    <mergeCell ref="B4:K12"/>
    <mergeCell ref="H2:K2"/>
    <mergeCell ref="B51:K55"/>
  </mergeCells>
  <conditionalFormatting sqref="A38">
    <cfRule type="expression" priority="4" dxfId="4009">
      <formula>IF(Disclaimer,TRUE,FALSE)</formula>
    </cfRule>
  </conditionalFormatting>
  <conditionalFormatting sqref="F38:F42">
    <cfRule type="expression" priority="1" dxfId="4009">
      <formula>IF(Disclaimer,TRUE,FALSE)</formula>
    </cfRule>
  </conditionalFormatting>
  <hyperlinks>
    <hyperlink xmlns:r="http://schemas.openxmlformats.org/officeDocument/2006/relationships" ref="B1" r:id="rId1"/>
    <hyperlink xmlns:r="http://schemas.openxmlformats.org/officeDocument/2006/relationships" ref="E1" r:id="rId2"/>
    <hyperlink xmlns:r="http://schemas.openxmlformats.org/officeDocument/2006/relationships" ref="E26" r:id="rId3"/>
    <hyperlink xmlns:r="http://schemas.openxmlformats.org/officeDocument/2006/relationships" ref="E32" r:id="rId4"/>
    <hyperlink xmlns:r="http://schemas.openxmlformats.org/officeDocument/2006/relationships" ref="C57" display="http://paypal.me/incometaxspreadsheet" r:id="rId5"/>
    <hyperlink xmlns:r="http://schemas.openxmlformats.org/officeDocument/2006/relationships" ref="E57" r:id="rId6"/>
    <hyperlink xmlns:r="http://schemas.openxmlformats.org/officeDocument/2006/relationships" ref="C61" location="sendRequestMoney" r:id="rId7"/>
    <hyperlink xmlns:r="http://schemas.openxmlformats.org/officeDocument/2006/relationships" ref="E61" r:id="rId8"/>
  </hyperlinks>
  <pageMargins left="0.75" right="0.25" top="0.36" bottom="0.29" header="0.36" footer="0.21"/>
  <pageSetup orientation="portrait" scale="69"/>
</worksheet>
</file>

<file path=xl/worksheets/sheet3.xml><?xml version="1.0" encoding="utf-8"?>
<worksheet xmlns="http://schemas.openxmlformats.org/spreadsheetml/2006/main">
  <sheetPr>
    <outlinePr summaryBelow="1" summaryRight="1"/>
    <pageSetUpPr fitToPage="1"/>
  </sheetPr>
  <dimension ref="A1:N86"/>
  <sheetViews>
    <sheetView zoomScaleNormal="100" workbookViewId="0">
      <pane ySplit="6" topLeftCell="A7" activePane="bottomLeft" state="frozen"/>
      <selection activeCell="E24" sqref="E24"/>
      <selection pane="bottomLeft" activeCell="A1" sqref="A1"/>
    </sheetView>
  </sheetViews>
  <sheetFormatPr baseColWidth="8" defaultRowHeight="14.25" customHeight="1"/>
  <cols>
    <col width="4" customWidth="1" style="1802" min="1" max="1"/>
    <col width="32.140625" customWidth="1" style="9664" min="2" max="2"/>
    <col width="114.42578125" customWidth="1" style="996" min="3" max="3"/>
    <col width="3.7109375" customWidth="1" style="996" min="4" max="4"/>
    <col hidden="1" width="9.140625" customWidth="1" style="7635" min="5" max="5"/>
    <col hidden="1" width="31" customWidth="1" style="7453" min="6" max="6"/>
    <col hidden="1" width="13.42578125" customWidth="1" style="7453" min="7" max="12"/>
    <col hidden="1" width="4.28515625" customWidth="1" style="7635" min="13" max="13"/>
    <col hidden="1" width="59.42578125" customWidth="1" style="7635" min="14" max="14"/>
    <col width="13.5703125" customWidth="1" style="7635" min="15" max="15"/>
  </cols>
  <sheetData>
    <row r="1" ht="14.25" customHeight="1" s="7635" thickBot="1">
      <c r="A1" s="1800" t="n"/>
      <c r="B1" s="9886" t="n"/>
      <c r="C1" s="1215" t="n"/>
      <c r="D1" s="1215" t="n"/>
    </row>
    <row r="2" ht="8.25" customHeight="1" s="7635" thickTop="1">
      <c r="A2" s="7017" t="inlineStr">
        <is>
          <t>Draft / Final</t>
        </is>
      </c>
      <c r="B2" s="7018" t="inlineStr">
        <is>
          <t>Sheet Name 
(with hyperlink)</t>
        </is>
      </c>
      <c r="C2" s="997" t="n"/>
      <c r="D2" s="1212" t="n"/>
    </row>
    <row r="3" ht="16.5" customHeight="1" s="7635" thickBot="1">
      <c r="A3" s="9671" t="n"/>
      <c r="B3" s="9670" t="n"/>
      <c r="C3" s="1823" t="inlineStr">
        <is>
          <t>Federal Income Tax Spreadsheet</t>
        </is>
      </c>
      <c r="D3" s="1213" t="n"/>
      <c r="G3" s="11846" t="n"/>
    </row>
    <row r="4" ht="16.5" customHeight="1" s="7635">
      <c r="A4" s="9671" t="n"/>
      <c r="B4" s="9670" t="n"/>
      <c r="C4" s="1824" t="inlineStr">
        <is>
          <t>Table of Contents</t>
        </is>
      </c>
      <c r="D4" s="1214" t="n"/>
      <c r="F4" s="1161" t="n"/>
      <c r="G4" s="1162" t="inlineStr">
        <is>
          <t>Draft IRS</t>
        </is>
      </c>
      <c r="H4" s="1163" t="inlineStr">
        <is>
          <t>Final IRS</t>
        </is>
      </c>
      <c r="I4" s="1162" t="inlineStr">
        <is>
          <t>Draft IRS</t>
        </is>
      </c>
      <c r="J4" s="1163" t="inlineStr">
        <is>
          <t>Final IRS</t>
        </is>
      </c>
      <c r="K4" s="1162" t="inlineStr">
        <is>
          <t>Updated</t>
        </is>
      </c>
      <c r="L4" s="1163" t="inlineStr">
        <is>
          <t>Updated</t>
        </is>
      </c>
    </row>
    <row r="5" ht="16.5" customHeight="1" s="7635" thickBot="1">
      <c r="A5" s="9671" t="n"/>
      <c r="B5" s="9670" t="n"/>
      <c r="C5" s="1225">
        <f>"© Glenn Reeves, "&amp;TaxYear+1</f>
        <v/>
      </c>
      <c r="D5" s="1215" t="n"/>
      <c r="F5" s="1164" t="inlineStr">
        <is>
          <t>Form</t>
        </is>
      </c>
      <c r="G5" s="1153" t="inlineStr">
        <is>
          <t>Instruction</t>
        </is>
      </c>
      <c r="H5" s="1154" t="inlineStr">
        <is>
          <t>Instruction</t>
        </is>
      </c>
      <c r="I5" s="1153" t="inlineStr">
        <is>
          <t>Form</t>
        </is>
      </c>
      <c r="J5" s="1154" t="inlineStr">
        <is>
          <t>Form</t>
        </is>
      </c>
      <c r="K5" s="1153" t="inlineStr">
        <is>
          <t>Draft Form</t>
        </is>
      </c>
      <c r="L5" s="1154" t="inlineStr">
        <is>
          <t>Final</t>
        </is>
      </c>
    </row>
    <row r="6" ht="16.5" customHeight="1" s="7635">
      <c r="A6" s="9671" t="n"/>
      <c r="B6" s="9670" t="n"/>
      <c r="C6" s="1004" t="inlineStr">
        <is>
          <t>Title / Description</t>
        </is>
      </c>
      <c r="D6" s="1216" t="n"/>
      <c r="F6" s="11847" t="inlineStr">
        <is>
          <t>Last checked</t>
        </is>
      </c>
      <c r="G6" s="11848">
        <f>MAX(G7:L72)</f>
        <v/>
      </c>
      <c r="H6" s="11849" t="n"/>
      <c r="I6" s="11848" t="n"/>
      <c r="J6" s="11849" t="n"/>
      <c r="K6" s="11850" t="n"/>
      <c r="L6" s="1306" t="n"/>
    </row>
    <row r="7" ht="16.5" customHeight="1" s="7635">
      <c r="A7" s="1799">
        <f>IF(L7&lt;&gt;"","F",IF(K7&lt;&gt;"","D",""))</f>
        <v/>
      </c>
      <c r="B7" s="1001" t="inlineStr">
        <is>
          <t>Coversheet</t>
        </is>
      </c>
      <c r="C7" s="999" t="inlineStr">
        <is>
          <t>Possible tax return coversheet which includes a disclaimer, important notes, and a summary.</t>
        </is>
      </c>
      <c r="D7" s="1217" t="n"/>
      <c r="F7" s="11851" t="n"/>
      <c r="G7" s="11852" t="n"/>
      <c r="H7" s="11853" t="n"/>
      <c r="I7" s="11852" t="n"/>
      <c r="J7" s="11849" t="n"/>
      <c r="K7" s="11850" t="n"/>
      <c r="L7" s="11854" t="n"/>
    </row>
    <row r="8" ht="16.5" customHeight="1" s="7635">
      <c r="A8" s="1799">
        <f>IF(L8&lt;&gt;"","F",IF(K8&lt;&gt;"","D",""))</f>
        <v/>
      </c>
      <c r="B8" s="1001" t="inlineStr">
        <is>
          <t>Table of Contents</t>
        </is>
      </c>
      <c r="C8" s="999" t="inlineStr">
        <is>
          <t>Table of contents with links to the sheets included in this spreadsheet.</t>
        </is>
      </c>
      <c r="D8" s="1217" t="n"/>
      <c r="F8" s="11851" t="n"/>
      <c r="G8" s="11855" t="n"/>
      <c r="H8" s="11853" t="n"/>
      <c r="I8" s="11855" t="n"/>
      <c r="J8" s="11853" t="n"/>
      <c r="K8" s="11856" t="n"/>
      <c r="L8" s="11857" t="n"/>
    </row>
    <row r="9" ht="16.5" customHeight="1" s="7635">
      <c r="A9" s="1799">
        <f>IF(L9&lt;&gt;"","F",IF(K9&lt;&gt;"","D",""))</f>
        <v/>
      </c>
      <c r="B9" s="1001" t="inlineStr">
        <is>
          <t>Instructions</t>
        </is>
      </c>
      <c r="C9" s="999" t="inlineStr">
        <is>
          <t>Important notes, general notes, and instructions to help you get started.</t>
        </is>
      </c>
      <c r="D9" s="1217" t="n"/>
      <c r="F9" s="11851" t="n"/>
      <c r="G9" s="11855" t="n"/>
      <c r="H9" s="11853" t="n"/>
      <c r="I9" s="11855" t="n"/>
      <c r="J9" s="11853" t="n"/>
      <c r="K9" s="11856" t="n"/>
      <c r="L9" s="11857" t="n"/>
    </row>
    <row r="10" ht="16.5" customHeight="1" s="7635">
      <c r="A10" s="1799">
        <f>IF(L10&lt;&gt;"","F",IF(K10&lt;&gt;"","D",""))</f>
        <v/>
      </c>
      <c r="B10" s="1001" t="inlineStr">
        <is>
          <t>W-2s</t>
        </is>
      </c>
      <c r="C10" s="999" t="inlineStr">
        <is>
          <t>Form W-2, Wage and Tax Statement</t>
        </is>
      </c>
      <c r="D10" s="1217" t="n"/>
      <c r="E10" t="n">
        <v>1</v>
      </c>
      <c r="F10" s="11858">
        <f>B10</f>
        <v/>
      </c>
      <c r="G10" s="11855" t="n"/>
      <c r="H10" s="11853" t="n"/>
      <c r="I10" s="11855" t="n"/>
      <c r="J10" s="11853" t="n"/>
      <c r="K10" s="11856" t="n"/>
      <c r="L10" s="11857" t="n"/>
    </row>
    <row r="11" ht="16.5" customHeight="1" s="7635">
      <c r="A11" s="1799">
        <f>IF(L11&lt;&gt;"","F",IF(K11&lt;&gt;"","D",""))</f>
        <v/>
      </c>
      <c r="B11" s="1001" t="inlineStr">
        <is>
          <t>1099-INT</t>
        </is>
      </c>
      <c r="C11" s="999" t="inlineStr">
        <is>
          <t>Form 1099-INT, Interest Income</t>
        </is>
      </c>
      <c r="D11" s="1217" t="n"/>
      <c r="E11" t="n">
        <v>2</v>
      </c>
      <c r="F11" s="11858">
        <f>B11</f>
        <v/>
      </c>
      <c r="G11" s="11855" t="n"/>
      <c r="H11" s="11853" t="n"/>
      <c r="I11" s="11855" t="n"/>
      <c r="J11" s="11853" t="n"/>
      <c r="K11" s="11856" t="n"/>
      <c r="L11" s="11857" t="n"/>
    </row>
    <row r="12" ht="16.5" customHeight="1" s="7635">
      <c r="A12" s="1799">
        <f>IF(L12&lt;&gt;"","F",IF(K12&lt;&gt;"","D",""))</f>
        <v/>
      </c>
      <c r="B12" s="1001" t="inlineStr">
        <is>
          <t>1099-DIV</t>
        </is>
      </c>
      <c r="C12" s="999" t="inlineStr">
        <is>
          <t>Form 1099-DIV, Dividend Income</t>
        </is>
      </c>
      <c r="D12" s="1217" t="n"/>
      <c r="E12" t="n">
        <v>3</v>
      </c>
      <c r="F12" s="11858">
        <f>B12</f>
        <v/>
      </c>
      <c r="G12" s="11855" t="n"/>
      <c r="H12" s="11853" t="n"/>
      <c r="I12" s="11855" t="n"/>
      <c r="J12" s="11853" t="n"/>
      <c r="K12" s="11856" t="n"/>
      <c r="L12" s="11857" t="n"/>
    </row>
    <row r="13" ht="16.5" customHeight="1" s="7635">
      <c r="A13" s="1799">
        <f>IF(L13&lt;&gt;"","F",IF(K13&lt;&gt;"","D",""))</f>
        <v/>
      </c>
      <c r="B13" s="1001" t="inlineStr">
        <is>
          <t>1099-G</t>
        </is>
      </c>
      <c r="C13" s="999" t="inlineStr">
        <is>
          <t>Form 1099-G, Certain Government Payments</t>
        </is>
      </c>
      <c r="D13" s="1217" t="n"/>
      <c r="E13" t="n">
        <v>4</v>
      </c>
      <c r="F13" s="11858">
        <f>B13</f>
        <v/>
      </c>
      <c r="G13" s="11855" t="n"/>
      <c r="H13" s="11853" t="n"/>
      <c r="I13" s="11855" t="n"/>
      <c r="J13" s="11853" t="n"/>
      <c r="K13" s="11856" t="n"/>
      <c r="L13" s="11857" t="n"/>
    </row>
    <row r="14" ht="16.5" customHeight="1" s="7635">
      <c r="A14" s="1799">
        <f>IF(L14&lt;&gt;"","F",IF(K14&lt;&gt;"","D",""))</f>
        <v/>
      </c>
      <c r="B14" s="1001" t="inlineStr">
        <is>
          <t>1099-MISC</t>
        </is>
      </c>
      <c r="C14" s="999" t="inlineStr">
        <is>
          <t>Form 1099-MISC, Miscellaneous Income   (Way too complicated -- included for information)</t>
        </is>
      </c>
      <c r="D14" s="1217" t="n"/>
      <c r="E14" t="n">
        <v>5</v>
      </c>
      <c r="F14" s="11858">
        <f>B14</f>
        <v/>
      </c>
      <c r="G14" s="11855" t="n"/>
      <c r="H14" s="11853" t="n"/>
      <c r="I14" s="11855" t="n"/>
      <c r="J14" s="11853" t="n"/>
      <c r="K14" s="11856" t="n"/>
      <c r="L14" s="11857" t="n"/>
    </row>
    <row r="15" ht="16.5" customHeight="1" s="7635">
      <c r="A15" s="1799">
        <f>IF(L15&lt;&gt;"","F",IF(K15&lt;&gt;"","D",""))</f>
        <v/>
      </c>
      <c r="B15" s="1001" t="inlineStr">
        <is>
          <t>1099-NEC</t>
        </is>
      </c>
      <c r="C15" s="999" t="inlineStr">
        <is>
          <t>Form 1099-NEC, Nonemployee Compensation</t>
        </is>
      </c>
      <c r="D15" s="1217" t="n"/>
      <c r="E15" t="n">
        <v>6</v>
      </c>
      <c r="F15" s="11858">
        <f>B15</f>
        <v/>
      </c>
      <c r="G15" s="11855" t="n"/>
      <c r="H15" s="11853" t="n"/>
      <c r="I15" s="11855" t="n"/>
      <c r="J15" s="11853" t="n"/>
      <c r="K15" s="11856" t="n"/>
      <c r="L15" s="11857" t="n"/>
    </row>
    <row r="16" ht="16.5" customHeight="1" s="7635">
      <c r="A16" s="1799">
        <f>IF(L16&lt;&gt;"","F",IF(K16&lt;&gt;"","D",""))</f>
        <v/>
      </c>
      <c r="B16" s="1001" t="inlineStr">
        <is>
          <t>1099-R</t>
        </is>
      </c>
      <c r="C16" s="999" t="inlineStr">
        <is>
          <t>Form 1099-R, Distributions From Pensions, Annuities, Retirement or Profit-Sharing  Plans, IRAs, Insurance Contracts, etc.</t>
        </is>
      </c>
      <c r="D16" s="1217" t="n"/>
      <c r="E16" t="n">
        <v>7</v>
      </c>
      <c r="F16" s="11858">
        <f>B16</f>
        <v/>
      </c>
      <c r="G16" s="11855" t="n"/>
      <c r="H16" s="11853" t="n"/>
      <c r="I16" s="11855" t="n"/>
      <c r="J16" s="11853" t="n"/>
      <c r="K16" s="11856" t="n"/>
      <c r="L16" s="11857" t="n"/>
    </row>
    <row r="17" ht="16.5" customHeight="1" s="7635">
      <c r="A17" s="1799">
        <f>IF(L17&lt;&gt;"","F",IF(K17&lt;&gt;"","D",""))</f>
        <v/>
      </c>
      <c r="B17" s="1001" t="inlineStr">
        <is>
          <t>Lines 4ab (IRA Dist.)</t>
        </is>
      </c>
      <c r="C17" s="999" t="inlineStr">
        <is>
          <t>IRA Distributions -- Lines 4a and 4b -- to determine how to report non-taxable and taxable IRA distributions.</t>
        </is>
      </c>
      <c r="D17" s="1217" t="n"/>
      <c r="E17" t="n">
        <v>8</v>
      </c>
      <c r="F17" s="11858">
        <f>B17</f>
        <v/>
      </c>
      <c r="G17" s="11855" t="n"/>
      <c r="H17" s="11853" t="n"/>
      <c r="I17" s="11855" t="n"/>
      <c r="J17" s="11853" t="n"/>
      <c r="K17" s="11856" t="n"/>
      <c r="L17" s="11857" t="n"/>
    </row>
    <row r="18" ht="16.5" customHeight="1" s="7635">
      <c r="A18" s="1799">
        <f>IF(L18&lt;&gt;"","F",IF(K18&lt;&gt;"","D",""))</f>
        <v/>
      </c>
      <c r="B18" s="1001" t="inlineStr">
        <is>
          <t>SSA-1099</t>
        </is>
      </c>
      <c r="C18" s="999" t="inlineStr">
        <is>
          <t>Form SSA-1099, Social Security Benefit Statement and IRS Notice 703, To See If Your Social Security Benefits May Be Taxable</t>
        </is>
      </c>
      <c r="D18" s="1217" t="n"/>
      <c r="E18" t="n">
        <v>9</v>
      </c>
      <c r="F18" s="11858">
        <f>B18</f>
        <v/>
      </c>
      <c r="G18" s="11855" t="n"/>
      <c r="H18" s="11853" t="n"/>
      <c r="I18" s="11855" t="n"/>
      <c r="J18" s="11853" t="n"/>
      <c r="K18" s="11856" t="n"/>
      <c r="L18" s="11857" t="n"/>
    </row>
    <row r="19" ht="16.5" customHeight="1" s="7635">
      <c r="A19" s="1799">
        <f>IF(L19&lt;&gt;"","F",IF(K19&lt;&gt;"","D",""))</f>
        <v/>
      </c>
      <c r="B19" s="1002" t="inlineStr">
        <is>
          <t>1040</t>
        </is>
      </c>
      <c r="C19" s="999" t="inlineStr">
        <is>
          <t>Form 1040, U.S. Individual Income Tax Return</t>
        </is>
      </c>
      <c r="D19" s="1217" t="n"/>
      <c r="E19" t="n">
        <v>10</v>
      </c>
      <c r="F19" s="11858">
        <f>B19</f>
        <v/>
      </c>
      <c r="G19" s="11855" t="n">
        <v>45999</v>
      </c>
      <c r="H19" s="11853" t="n"/>
      <c r="I19" s="11855" t="n">
        <v>45996</v>
      </c>
      <c r="J19" s="11853" t="n">
        <v>46024</v>
      </c>
      <c r="K19" s="11856" t="n">
        <v>45922</v>
      </c>
      <c r="L19" s="11857" t="n">
        <v>46026</v>
      </c>
      <c r="N19" s="8648" t="n"/>
    </row>
    <row r="20" ht="16.5" customHeight="1" s="7635">
      <c r="A20" s="1799">
        <f>IF(L20&lt;&gt;"","F",IF(K20&lt;&gt;"","D",""))</f>
        <v/>
      </c>
      <c r="B20" s="1001" t="inlineStr">
        <is>
          <t>Sch. 1</t>
        </is>
      </c>
      <c r="C20" s="999" t="inlineStr">
        <is>
          <t>Schedule 1, Additional Income and Adjustments to Income</t>
        </is>
      </c>
      <c r="D20" s="1217" t="n"/>
      <c r="E20" t="n">
        <v>11</v>
      </c>
      <c r="F20" s="11858">
        <f>B20</f>
        <v/>
      </c>
      <c r="G20" s="11855" t="n">
        <v>45999</v>
      </c>
      <c r="H20" s="11853" t="n">
        <v>45733</v>
      </c>
      <c r="I20" s="11855" t="n"/>
      <c r="J20" s="11853" t="n"/>
      <c r="K20" s="11856" t="n">
        <v>45991</v>
      </c>
      <c r="L20" s="11857" t="n">
        <v>46026</v>
      </c>
    </row>
    <row r="21" ht="16.5" customHeight="1" s="7635">
      <c r="A21" s="1799">
        <f>IF(L21&lt;&gt;"","F",IF(K21&lt;&gt;"","D",""))</f>
        <v/>
      </c>
      <c r="B21" s="1001" t="inlineStr">
        <is>
          <t>Sch. 1-A</t>
        </is>
      </c>
      <c r="C21" s="999" t="inlineStr">
        <is>
          <t>Schedule 1-A, Additional Deductions</t>
        </is>
      </c>
      <c r="D21" s="1217" t="n"/>
      <c r="E21" t="n">
        <v>12</v>
      </c>
      <c r="F21" s="11858" t="inlineStr">
        <is>
          <t>Sch. 1-A</t>
        </is>
      </c>
      <c r="G21" s="11855" t="n">
        <v>45999</v>
      </c>
      <c r="H21" s="11853" t="n"/>
      <c r="I21" s="11855" t="n">
        <v>45918</v>
      </c>
      <c r="J21" s="11853" t="n"/>
      <c r="K21" s="11856" t="n">
        <v>45918</v>
      </c>
      <c r="L21" s="11857" t="n">
        <v>46026</v>
      </c>
    </row>
    <row r="22" ht="16.5" customHeight="1" s="7635">
      <c r="A22" s="1799">
        <f>IF(L22&lt;&gt;"","F",IF(K22&lt;&gt;"","D",""))</f>
        <v/>
      </c>
      <c r="B22" s="1001" t="inlineStr">
        <is>
          <t>Sch 1, Line 1 (SALT)</t>
        </is>
      </c>
      <c r="C22" s="998" t="inlineStr">
        <is>
          <t>State and Local Income Tax Refund Worksheet — Line 1</t>
        </is>
      </c>
      <c r="D22" s="1218" t="n"/>
      <c r="E22" t="n">
        <v>13</v>
      </c>
      <c r="F22" s="11858">
        <f>B22</f>
        <v/>
      </c>
      <c r="G22" s="11855" t="n">
        <v>45999</v>
      </c>
      <c r="H22" s="11853" t="n"/>
      <c r="I22" s="11855" t="n"/>
      <c r="J22" s="11853" t="n"/>
      <c r="K22" s="11856" t="n">
        <v>45990</v>
      </c>
      <c r="L22" s="11857" t="n">
        <v>46030</v>
      </c>
      <c r="N22" s="8648" t="inlineStr">
        <is>
          <t>Tie lines 5 and 6 to previous year standard deduction amounts.</t>
        </is>
      </c>
    </row>
    <row r="23" ht="16.5" customHeight="1" s="7635">
      <c r="A23" s="1799">
        <f>IF(L23&lt;&gt;"","F",IF(K23&lt;&gt;"","D",""))</f>
        <v/>
      </c>
      <c r="B23" s="1001" t="inlineStr">
        <is>
          <t>Sch. 1 Line 20 (IRA)</t>
        </is>
      </c>
      <c r="C23" s="998" t="inlineStr">
        <is>
          <t>IRA Deduction Worksheet — Schedule 1, Line 20</t>
        </is>
      </c>
      <c r="D23" s="1218" t="n"/>
      <c r="E23" t="n">
        <v>14</v>
      </c>
      <c r="F23" s="11858">
        <f>B23</f>
        <v/>
      </c>
      <c r="G23" s="11855" t="n">
        <v>45999</v>
      </c>
      <c r="H23" s="11853" t="n"/>
      <c r="I23" s="11855" t="n"/>
      <c r="J23" s="11853" t="n"/>
      <c r="K23" s="11856" t="n">
        <v>45990</v>
      </c>
      <c r="L23" s="11857" t="n">
        <v>46030</v>
      </c>
      <c r="N23" s="8648" t="inlineStr">
        <is>
          <t>Update line 1b limits and line 2 IRA deduction amounts</t>
        </is>
      </c>
    </row>
    <row r="24" ht="16.5" customHeight="1" s="7635">
      <c r="A24" s="1799">
        <f>IF(L24&lt;&gt;"","F",IF(K24&lt;&gt;"","D",""))</f>
        <v/>
      </c>
      <c r="B24" s="1001" t="inlineStr">
        <is>
          <t>Sch. 1 Line 21 (Stu Loan)</t>
        </is>
      </c>
      <c r="C24" s="998" t="inlineStr">
        <is>
          <t>Student Loan Interest Deduction Worksheet — Schedule 1, Line 21</t>
        </is>
      </c>
      <c r="D24" s="1218" t="n"/>
      <c r="E24" t="n">
        <v>15</v>
      </c>
      <c r="F24" s="11858">
        <f>B24</f>
        <v/>
      </c>
      <c r="G24" s="11855" t="n">
        <v>45999</v>
      </c>
      <c r="H24" s="11853" t="n"/>
      <c r="I24" s="11855" t="n"/>
      <c r="J24" s="11853" t="n"/>
      <c r="K24" s="11856" t="n">
        <v>46009</v>
      </c>
      <c r="L24" s="11857" t="n">
        <v>46030</v>
      </c>
    </row>
    <row r="25" ht="16.5" customHeight="1" s="7635">
      <c r="A25" s="1799">
        <f>IF(L25&lt;&gt;"","F",IF(K25&lt;&gt;"","D",""))</f>
        <v/>
      </c>
      <c r="B25" s="1001" t="inlineStr">
        <is>
          <t>Sch. 2</t>
        </is>
      </c>
      <c r="C25" s="999" t="inlineStr">
        <is>
          <t>Schedule 2, Additional Taxes</t>
        </is>
      </c>
      <c r="D25" s="1217" t="n"/>
      <c r="E25" t="n">
        <v>16</v>
      </c>
      <c r="F25" s="11858">
        <f>B25</f>
        <v/>
      </c>
      <c r="G25" s="11855" t="n">
        <v>45999</v>
      </c>
      <c r="H25" s="11853" t="n">
        <v>45785</v>
      </c>
      <c r="I25" s="11855" t="n"/>
      <c r="J25" s="11853" t="n"/>
      <c r="K25" s="11856" t="n">
        <v>45862</v>
      </c>
      <c r="L25" s="11857" t="n">
        <v>46026</v>
      </c>
    </row>
    <row r="26" ht="16.5" customHeight="1" s="7635">
      <c r="A26" s="1799">
        <f>IF(L26&lt;&gt;"","F",IF(K26&lt;&gt;"","D",""))</f>
        <v/>
      </c>
      <c r="B26" s="1001" t="inlineStr">
        <is>
          <t>Sch. 3</t>
        </is>
      </c>
      <c r="C26" s="999" t="inlineStr">
        <is>
          <t>Schedule 3, Additional Credits and Payments</t>
        </is>
      </c>
      <c r="D26" s="1217" t="n"/>
      <c r="E26" t="n">
        <v>17</v>
      </c>
      <c r="F26" s="11858">
        <f>B26</f>
        <v/>
      </c>
      <c r="G26" s="11855" t="n">
        <v>45999</v>
      </c>
      <c r="H26" s="11853" t="n">
        <v>45785</v>
      </c>
      <c r="I26" s="11855" t="n">
        <v>45862</v>
      </c>
      <c r="J26" s="11853" t="n"/>
      <c r="K26" s="11856" t="n">
        <v>46026</v>
      </c>
      <c r="L26" s="11857" t="n">
        <v>46027</v>
      </c>
    </row>
    <row r="27" ht="16.5" customHeight="1" s="7635">
      <c r="A27" s="1799">
        <f>IF(L27&lt;&gt;"","F",IF(K27&lt;&gt;"","D",""))</f>
        <v/>
      </c>
      <c r="B27" s="1001" t="inlineStr">
        <is>
          <t>Earned Inc WS</t>
        </is>
      </c>
      <c r="C27" s="999" t="inlineStr">
        <is>
          <t>Earned Income Worksheet  — Used as input to Line 9 (SD Depnts), Line 13a (CTC), &amp; Form 8812.</t>
        </is>
      </c>
      <c r="D27" s="1217" t="n"/>
      <c r="E27" t="n">
        <v>18</v>
      </c>
      <c r="F27" s="11858">
        <f>B27</f>
        <v/>
      </c>
      <c r="G27" s="11855" t="n"/>
      <c r="H27" s="11853" t="n"/>
      <c r="I27" s="11855" t="n"/>
      <c r="J27" s="11853" t="n"/>
      <c r="K27" s="11856" t="n"/>
      <c r="L27" s="11857" t="n"/>
    </row>
    <row r="28" ht="16.5" customHeight="1" s="7635">
      <c r="A28" s="1799">
        <f>IF(L28&lt;&gt;"","F",IF(K28&lt;&gt;"","D",""))</f>
        <v/>
      </c>
      <c r="B28" s="1001" t="inlineStr">
        <is>
          <t>Lines 5ab (Simplified Meth WS)</t>
        </is>
      </c>
      <c r="C28" s="999" t="inlineStr">
        <is>
          <t>Simplified Method Worksheet—Lines 5a and 5b  -- to determine taxable amount of retirement pension or annuity.</t>
        </is>
      </c>
      <c r="D28" s="1217" t="n"/>
      <c r="E28" t="n">
        <v>19</v>
      </c>
      <c r="F28" s="11858">
        <f>B28</f>
        <v/>
      </c>
      <c r="G28" s="11855" t="n">
        <v>45999</v>
      </c>
      <c r="H28" s="11853" t="n"/>
      <c r="I28" s="11855" t="n">
        <v>45980</v>
      </c>
      <c r="J28" s="11853" t="n"/>
      <c r="K28" s="11856" t="n">
        <v>45988</v>
      </c>
      <c r="L28" s="11857" t="n">
        <v>46030</v>
      </c>
    </row>
    <row r="29" ht="16.5" customHeight="1" s="7635">
      <c r="A29" s="1799">
        <f>IF(L29&lt;&gt;"","F",IF(K29&lt;&gt;"","D",""))</f>
        <v/>
      </c>
      <c r="B29" s="1001" t="inlineStr">
        <is>
          <t>Line 6ab (SS Bene)</t>
        </is>
      </c>
      <c r="C29" s="999" t="inlineStr">
        <is>
          <t>Social Security Benefits Worksheet – Lines 6a and 6b  -- to determine taxable amount of Social Security benefits.</t>
        </is>
      </c>
      <c r="D29" s="1217" t="n"/>
      <c r="E29" t="n">
        <v>20</v>
      </c>
      <c r="F29" s="11858">
        <f>B29</f>
        <v/>
      </c>
      <c r="G29" s="11855" t="n">
        <v>45999</v>
      </c>
      <c r="H29" s="11853" t="n"/>
      <c r="I29" s="11855" t="n"/>
      <c r="J29" s="11853" t="n"/>
      <c r="K29" s="11856" t="n">
        <v>45989</v>
      </c>
      <c r="L29" s="11857" t="n">
        <v>46030</v>
      </c>
    </row>
    <row r="30" ht="16.5" customHeight="1" s="7635">
      <c r="A30" s="1799">
        <f>IF(L30&lt;&gt;"","F",IF(K30&lt;&gt;"","D",""))</f>
        <v/>
      </c>
      <c r="B30" s="1001" t="inlineStr">
        <is>
          <t>Line 12e (SD Depnts)</t>
        </is>
      </c>
      <c r="C30" s="998" t="inlineStr">
        <is>
          <t>Standard Deduction Worksheet for Dependents — Line 12e</t>
        </is>
      </c>
      <c r="D30" s="1218" t="n"/>
      <c r="E30" t="n">
        <v>21</v>
      </c>
      <c r="F30" s="11858">
        <f>B30</f>
        <v/>
      </c>
      <c r="G30" s="11855" t="n">
        <v>45999</v>
      </c>
      <c r="H30" s="11853" t="n"/>
      <c r="I30" s="11855" t="n"/>
      <c r="J30" s="11853" t="n"/>
      <c r="K30" s="11856" t="n">
        <v>45990</v>
      </c>
      <c r="L30" s="11857" t="n">
        <v>46030</v>
      </c>
      <c r="N30" s="8648" t="inlineStr">
        <is>
          <t>Check lines 2 and 3 for amount changes.</t>
        </is>
      </c>
    </row>
    <row r="31" ht="16.5" customHeight="1" s="7635">
      <c r="A31" s="1799">
        <f>IF(L31&lt;&gt;"","F",IF(K31&lt;&gt;"","D",""))</f>
        <v/>
      </c>
      <c r="B31" s="1001" t="inlineStr">
        <is>
          <t>Line 16 (QDCG Tax)</t>
        </is>
      </c>
      <c r="C31" s="998" t="inlineStr">
        <is>
          <t>Qualified Dividends and Capital Gain Tax Worksheet—Line 16</t>
        </is>
      </c>
      <c r="D31" s="1218" t="n"/>
      <c r="E31" t="n">
        <v>22</v>
      </c>
      <c r="F31" s="11858">
        <f>B31</f>
        <v/>
      </c>
      <c r="G31" s="11855" t="n">
        <v>45999</v>
      </c>
      <c r="H31" s="11853" t="n"/>
      <c r="I31" s="11855" t="n"/>
      <c r="J31" s="11853" t="n"/>
      <c r="K31" s="11856" t="n">
        <v>45990</v>
      </c>
      <c r="L31" s="11857" t="n">
        <v>46030</v>
      </c>
      <c r="N31" s="8145" t="inlineStr">
        <is>
          <t>Check lines 6 and 13 for amount changes.</t>
        </is>
      </c>
    </row>
    <row r="32" ht="15" customFormat="1" customHeight="1" s="138">
      <c r="A32" s="2717">
        <f>IF(L32&lt;&gt;"","F",IF(K32&lt;&gt;"","D",""))</f>
        <v/>
      </c>
      <c r="B32" s="1001" t="inlineStr">
        <is>
          <t>Line 27a (EIC)</t>
        </is>
      </c>
      <c r="C32" s="6462" t="inlineStr">
        <is>
          <t>Line 27a — Earned Income Credit Worksheet  —  Spreadsheet provides assistance in completing this.</t>
        </is>
      </c>
      <c r="D32" s="2718" t="n"/>
      <c r="E32" t="n">
        <v>23</v>
      </c>
      <c r="F32" s="11859">
        <f>B32</f>
        <v/>
      </c>
      <c r="G32" s="11855" t="n">
        <v>45999</v>
      </c>
      <c r="H32" s="11860" t="n"/>
      <c r="I32" s="11861" t="n"/>
      <c r="J32" s="11860" t="n"/>
      <c r="K32" s="11862" t="n"/>
      <c r="L32" s="11863" t="n">
        <v>46038</v>
      </c>
      <c r="N32" s="1008" t="inlineStr">
        <is>
          <t>Check Step 2, line 2, for amount changes.
Check Worksheet A, Part 2, line 5, for amount changes.</t>
        </is>
      </c>
    </row>
    <row r="33" ht="16.5" customHeight="1" s="7635">
      <c r="A33" s="1799">
        <f>IF(L33&lt;&gt;"","F",IF(K33&lt;&gt;"","D",""))</f>
        <v/>
      </c>
      <c r="B33" s="1001" t="inlineStr">
        <is>
          <t>Sch. A</t>
        </is>
      </c>
      <c r="C33" s="998" t="inlineStr">
        <is>
          <t>Schedule A, Itemized Deductions</t>
        </is>
      </c>
      <c r="D33" s="1218" t="n"/>
      <c r="E33" t="n">
        <v>24</v>
      </c>
      <c r="F33" s="11858">
        <f>B33</f>
        <v/>
      </c>
      <c r="G33" s="11855" t="n">
        <v>45992</v>
      </c>
      <c r="H33" s="11853" t="n">
        <v>46009</v>
      </c>
      <c r="I33" s="11855" t="n">
        <v>45911</v>
      </c>
      <c r="J33" s="11853" t="n">
        <v>46008</v>
      </c>
      <c r="K33" s="11856" t="n">
        <v>46014</v>
      </c>
      <c r="L33" s="11857" t="n">
        <v>46020</v>
      </c>
    </row>
    <row r="34" ht="16.5" customHeight="1" s="7635">
      <c r="A34" s="1799">
        <f>IF(L34&lt;&gt;"","F",IF(K34&lt;&gt;"","D",""))</f>
        <v/>
      </c>
      <c r="B34" s="1001" t="inlineStr">
        <is>
          <t>Sch. B</t>
        </is>
      </c>
      <c r="C34" s="998" t="inlineStr">
        <is>
          <t>Schedule B, Interest and Ordinary Dividends</t>
        </is>
      </c>
      <c r="D34" s="1218" t="n"/>
      <c r="E34" t="n">
        <v>25</v>
      </c>
      <c r="F34" s="11858">
        <f>B34</f>
        <v/>
      </c>
      <c r="G34" s="11855" t="n">
        <v>45770</v>
      </c>
      <c r="H34" s="11853" t="n"/>
      <c r="I34" s="11855" t="n">
        <v>45784</v>
      </c>
      <c r="J34" s="11853" t="n"/>
      <c r="K34" s="11856" t="n">
        <v>45955</v>
      </c>
      <c r="L34" s="11857" t="n">
        <v>46030</v>
      </c>
    </row>
    <row r="35" ht="16.5" customHeight="1" s="7635">
      <c r="A35" s="1799">
        <f>IF(L35&lt;&gt;"","F",IF(K35&lt;&gt;"","D",""))</f>
        <v/>
      </c>
      <c r="B35" s="1001" t="inlineStr">
        <is>
          <t>Sch. C</t>
        </is>
      </c>
      <c r="C35" s="998" t="inlineStr">
        <is>
          <t>Schedule C, Profit or Loss from Business   (Two Schedule C's are included)</t>
        </is>
      </c>
      <c r="D35" s="1218" t="n"/>
      <c r="E35" t="n">
        <v>26</v>
      </c>
      <c r="F35" s="11858">
        <f>B35</f>
        <v/>
      </c>
      <c r="G35" s="11855" t="n">
        <v>45985</v>
      </c>
      <c r="H35" s="11853" t="n">
        <v>46028</v>
      </c>
      <c r="I35" s="11855" t="n">
        <v>45756</v>
      </c>
      <c r="J35" s="11853" t="n">
        <v>46028</v>
      </c>
      <c r="K35" s="11856" t="n"/>
      <c r="L35" s="11857" t="n">
        <v>46029</v>
      </c>
    </row>
    <row r="36" ht="16.5" customHeight="1" s="7635">
      <c r="A36" s="1799">
        <f>IF(L36&lt;&gt;"","F",IF(K36&lt;&gt;"","D",""))</f>
        <v/>
      </c>
      <c r="B36" s="1001" t="inlineStr">
        <is>
          <t>Sch. D</t>
        </is>
      </c>
      <c r="C36" s="998" t="inlineStr">
        <is>
          <t>Schedule D, Capital Gains and Losses</t>
        </is>
      </c>
      <c r="D36" s="1218" t="n"/>
      <c r="E36" t="n">
        <v>27</v>
      </c>
      <c r="F36" s="11858">
        <f>B36</f>
        <v/>
      </c>
      <c r="G36" s="11855" t="n">
        <v>46002</v>
      </c>
      <c r="H36" s="11853" t="n">
        <v>46002</v>
      </c>
      <c r="I36" s="11855" t="n">
        <v>45936</v>
      </c>
      <c r="J36" s="11853" t="n">
        <v>46008</v>
      </c>
      <c r="K36" s="11856" t="n">
        <v>45983</v>
      </c>
      <c r="L36" s="11857" t="n">
        <v>46021</v>
      </c>
    </row>
    <row r="37" ht="54" customHeight="1" s="7635">
      <c r="A37" s="1801">
        <f>IF(L37&lt;&gt;"","F",IF(K37&lt;&gt;"","D",""))</f>
        <v/>
      </c>
      <c r="B37" s="1308" t="inlineStr">
        <is>
          <t>Sch. D WS</t>
        </is>
      </c>
      <c r="C37" s="1309" t="inlineStr">
        <is>
          <t>Schedule D Worksheets
-  Capital Loss Carryover Worksheet—Schedule D, Lines 6 and 14
-  28% Rate Gain Worksheet—Schedule D, Line 18
-  Schedule D Tax Worksheet</t>
        </is>
      </c>
      <c r="D37" s="1310" t="n"/>
      <c r="E37" t="n">
        <v>28</v>
      </c>
      <c r="F37" s="11864">
        <f>B37</f>
        <v/>
      </c>
      <c r="G37" s="11861" t="n">
        <v>46002</v>
      </c>
      <c r="H37" s="11860" t="n">
        <v>46002</v>
      </c>
      <c r="I37" s="11861" t="n"/>
      <c r="J37" s="11860" t="n"/>
      <c r="K37" s="11862" t="n"/>
      <c r="L37" s="11863" t="n">
        <v>46021</v>
      </c>
    </row>
    <row r="38" ht="16.5" customHeight="1" s="7635">
      <c r="A38" s="1799">
        <f>IF(L38&lt;&gt;"","F",IF(K38&lt;&gt;"","D",""))</f>
        <v/>
      </c>
      <c r="B38" s="1001" t="inlineStr">
        <is>
          <t>Sch. E</t>
        </is>
      </c>
      <c r="C38" s="998" t="inlineStr">
        <is>
          <t>Schedule E, Supplemental Income and Loss (2 forms)</t>
        </is>
      </c>
      <c r="D38" s="1218" t="n"/>
      <c r="E38" t="n">
        <v>29</v>
      </c>
      <c r="F38" s="11858">
        <f>B38</f>
        <v/>
      </c>
      <c r="G38" s="11855" t="n"/>
      <c r="H38" s="11853" t="n">
        <v>46009</v>
      </c>
      <c r="I38" s="11855" t="n">
        <v>45783</v>
      </c>
      <c r="J38" s="11853" t="n">
        <v>46009</v>
      </c>
      <c r="K38" s="11856" t="n"/>
      <c r="L38" s="11857" t="n">
        <v>46021</v>
      </c>
    </row>
    <row r="39" ht="16.5" customHeight="1" s="7635">
      <c r="A39" s="1799">
        <f>IF(L39&lt;&gt;"","F",IF(K39&lt;&gt;"","D",""))</f>
        <v/>
      </c>
      <c r="B39" s="1001" t="inlineStr">
        <is>
          <t>Sch. E (2)</t>
        </is>
      </c>
      <c r="C39" s="998" t="inlineStr">
        <is>
          <t>Schedule E, Supplemental Income and Loss (2 forms)</t>
        </is>
      </c>
      <c r="D39" s="1218" t="n"/>
      <c r="E39" t="n">
        <v>30</v>
      </c>
      <c r="F39" s="11858">
        <f>B39</f>
        <v/>
      </c>
      <c r="G39" s="11855" t="n"/>
      <c r="H39" s="11853" t="n">
        <v>46009</v>
      </c>
      <c r="I39" s="11855" t="n">
        <v>45783</v>
      </c>
      <c r="J39" s="11853" t="n">
        <v>46009</v>
      </c>
      <c r="K39" s="11856" t="n"/>
      <c r="L39" s="11857" t="n">
        <v>46021</v>
      </c>
    </row>
    <row r="40" ht="16.5" customHeight="1" s="7635">
      <c r="A40" s="1799">
        <f>IF(L40&lt;&gt;"","F",IF(K40&lt;&gt;"","D",""))</f>
        <v/>
      </c>
      <c r="B40" s="1001" t="inlineStr">
        <is>
          <t>Sch. F</t>
        </is>
      </c>
      <c r="C40" s="998" t="inlineStr">
        <is>
          <t>Schedule F, Profit or Loss from Farming</t>
        </is>
      </c>
      <c r="D40" s="1218" t="n"/>
      <c r="E40" t="n">
        <v>31</v>
      </c>
      <c r="F40" s="11858">
        <f>B40</f>
        <v/>
      </c>
      <c r="G40" s="11855" t="n">
        <v>45987</v>
      </c>
      <c r="H40" s="11853" t="n">
        <v>46009</v>
      </c>
      <c r="I40" s="11855" t="n">
        <v>45783</v>
      </c>
      <c r="J40" s="11853" t="n">
        <v>46009</v>
      </c>
      <c r="K40" s="11856" t="n"/>
      <c r="L40" s="11857" t="n">
        <v>46021</v>
      </c>
    </row>
    <row r="41" ht="16.5" customHeight="1" s="7635">
      <c r="A41" s="1799">
        <f>IF(L41&lt;&gt;"","F",IF(K41&lt;&gt;"","D",""))</f>
        <v/>
      </c>
      <c r="B41" s="1001" t="inlineStr">
        <is>
          <t>Sch. R</t>
        </is>
      </c>
      <c r="C41" s="998" t="inlineStr">
        <is>
          <t>Schedule R, Credit for the Elderly or the Disabled</t>
        </is>
      </c>
      <c r="D41" s="1218" t="n"/>
      <c r="E41" t="n">
        <v>32</v>
      </c>
      <c r="F41" s="11858">
        <f>B41</f>
        <v/>
      </c>
      <c r="G41" s="11855" t="n"/>
      <c r="H41" s="11853" t="n"/>
      <c r="I41" s="11855" t="n">
        <v>45931</v>
      </c>
      <c r="J41" s="11853" t="n">
        <v>45933</v>
      </c>
      <c r="K41" s="11856" t="n"/>
      <c r="L41" s="11857" t="n">
        <v>46030</v>
      </c>
    </row>
    <row r="42" ht="16.5" customHeight="1" s="7635">
      <c r="A42" s="1799">
        <f>IF(L42&lt;&gt;"","F",IF(K42&lt;&gt;"","D",""))</f>
        <v/>
      </c>
      <c r="B42" s="1001" t="inlineStr">
        <is>
          <t>Sch. SE</t>
        </is>
      </c>
      <c r="C42" s="998" t="inlineStr">
        <is>
          <t>Schedule SE, Self-Employement Tax   (Two Schedule SE's are included)</t>
        </is>
      </c>
      <c r="D42" s="1218" t="n"/>
      <c r="E42" t="n">
        <v>33</v>
      </c>
      <c r="F42" s="11858">
        <f>B42</f>
        <v/>
      </c>
      <c r="G42" s="11855" t="n">
        <v>45926</v>
      </c>
      <c r="H42" s="11853" t="n"/>
      <c r="I42" s="11855" t="n">
        <v>45797</v>
      </c>
      <c r="J42" s="11853" t="n"/>
      <c r="K42" s="11856" t="n"/>
      <c r="L42" s="11857" t="n">
        <v>46030</v>
      </c>
      <c r="N42" s="8648" t="n"/>
    </row>
    <row r="43" ht="16.5" customHeight="1" s="7635">
      <c r="A43" s="1799">
        <f>IF(L43&lt;&gt;"","F",IF(K43&lt;&gt;"","D",""))</f>
        <v/>
      </c>
      <c r="B43" s="1002" t="inlineStr">
        <is>
          <t>1116</t>
        </is>
      </c>
      <c r="C43" s="998" t="inlineStr">
        <is>
          <t>Form 1116, Foreign Tax Credit</t>
        </is>
      </c>
      <c r="D43" s="1218" t="n"/>
      <c r="E43" t="n">
        <v>34</v>
      </c>
      <c r="F43" s="11858">
        <f>B43</f>
        <v/>
      </c>
      <c r="G43" s="11855" t="n">
        <v>45950</v>
      </c>
      <c r="H43" s="11853" t="n">
        <v>46029</v>
      </c>
      <c r="I43" s="11855" t="n">
        <v>45929</v>
      </c>
      <c r="J43" s="11853" t="n">
        <v>46028</v>
      </c>
      <c r="K43" s="11856" t="n"/>
      <c r="L43" s="11857" t="n">
        <v>46030</v>
      </c>
    </row>
    <row r="44" ht="16.5" customHeight="1" s="7635">
      <c r="A44" s="1799">
        <f>IF(L44&lt;&gt;"","F",IF(K44&lt;&gt;"","D",""))</f>
        <v/>
      </c>
      <c r="B44" s="1002" t="inlineStr">
        <is>
          <t>2210</t>
        </is>
      </c>
      <c r="C44" s="998" t="inlineStr">
        <is>
          <t>Form 2210, Underpayment of Estimated Tax by Individuals, Estates, and Trusts</t>
        </is>
      </c>
      <c r="D44" s="1218" t="n"/>
      <c r="E44" t="n">
        <v>35</v>
      </c>
      <c r="F44" s="11858">
        <f>B44</f>
        <v/>
      </c>
      <c r="G44" s="11855" t="n">
        <v>45940</v>
      </c>
      <c r="H44" s="11853" t="n"/>
      <c r="I44" s="11855" t="n">
        <v>46014</v>
      </c>
      <c r="J44" s="11853" t="n">
        <v>46036</v>
      </c>
      <c r="K44" s="11856" t="n"/>
      <c r="L44" s="11857" t="n"/>
    </row>
    <row r="45" ht="16.5" customHeight="1" s="7635">
      <c r="A45" s="1799">
        <f>IF(L45&lt;&gt;"","F",IF(K45&lt;&gt;"","D",""))</f>
        <v/>
      </c>
      <c r="B45" s="1002" t="inlineStr">
        <is>
          <t>2441</t>
        </is>
      </c>
      <c r="C45" s="998" t="inlineStr">
        <is>
          <t>Form 2441, Child and Dependent Care Expenses</t>
        </is>
      </c>
      <c r="D45" s="1218" t="n"/>
      <c r="E45" t="n">
        <v>36</v>
      </c>
      <c r="F45" s="11858">
        <f>B45</f>
        <v/>
      </c>
      <c r="G45" s="11855" t="n">
        <v>45930</v>
      </c>
      <c r="H45" s="11853" t="n">
        <v>46007</v>
      </c>
      <c r="I45" s="11855" t="n"/>
      <c r="J45" s="11853" t="n">
        <v>46007</v>
      </c>
      <c r="K45" s="11856" t="n"/>
      <c r="L45" s="11857" t="n">
        <v>46023</v>
      </c>
      <c r="N45" s="8648" t="n"/>
    </row>
    <row r="46" ht="16.5" customHeight="1" s="7635">
      <c r="A46" s="1799">
        <f>IF(L46&lt;&gt;"","F",IF(K46&lt;&gt;"","D",""))</f>
        <v/>
      </c>
      <c r="B46" s="1002" t="inlineStr">
        <is>
          <t>2555</t>
        </is>
      </c>
      <c r="C46" s="998" t="inlineStr">
        <is>
          <t>Form 2555, Foreign Earned Income</t>
        </is>
      </c>
      <c r="D46" s="1218" t="n"/>
      <c r="E46" t="n">
        <v>37</v>
      </c>
      <c r="F46" s="11858">
        <f>B46</f>
        <v/>
      </c>
      <c r="G46" s="11855" t="n">
        <v>45917</v>
      </c>
      <c r="H46" s="11853" t="n">
        <v>45917</v>
      </c>
      <c r="I46" s="11855" t="n"/>
      <c r="J46" s="11853" t="n">
        <v>45917</v>
      </c>
      <c r="K46" s="11856" t="n"/>
      <c r="L46" s="11857" t="n">
        <v>46006</v>
      </c>
      <c r="N46" s="8648" t="n"/>
    </row>
    <row r="47" ht="16.5" customHeight="1" s="7635">
      <c r="A47" s="1799">
        <f>IF(L47&lt;&gt;"","F",IF(K47&lt;&gt;"","D",""))</f>
        <v/>
      </c>
      <c r="B47" s="1002" t="n">
        <v>4137</v>
      </c>
      <c r="C47" s="998" t="inlineStr">
        <is>
          <t>Form 4137, Social Security and  Medicare Tax on Unreported Tip Income</t>
        </is>
      </c>
      <c r="D47" s="1218" t="n"/>
      <c r="E47" t="n">
        <v>38</v>
      </c>
      <c r="F47" s="6658">
        <f>B47</f>
        <v/>
      </c>
      <c r="G47" s="11855" t="n"/>
      <c r="H47" s="11853" t="n"/>
      <c r="I47" s="11855" t="n"/>
      <c r="J47" s="11853" t="n"/>
      <c r="K47" s="11856" t="n"/>
      <c r="L47" s="11857" t="n">
        <v>46054</v>
      </c>
      <c r="N47" s="8648" t="n"/>
    </row>
    <row r="48" ht="16.5" customHeight="1" s="7635">
      <c r="A48" s="1799">
        <f>IF(L48&lt;&gt;"","F",IF(K48&lt;&gt;"","D",""))</f>
        <v/>
      </c>
      <c r="B48" s="1002" t="inlineStr">
        <is>
          <t>4562</t>
        </is>
      </c>
      <c r="C48" s="998" t="inlineStr">
        <is>
          <t>Form 4562, Depreciation and Amortization</t>
        </is>
      </c>
      <c r="D48" s="1218" t="n"/>
      <c r="E48" t="n">
        <v>39</v>
      </c>
      <c r="F48" s="11858">
        <f>B48</f>
        <v/>
      </c>
      <c r="G48" s="11855" t="n"/>
      <c r="H48" s="11853" t="n"/>
      <c r="I48" s="11855" t="n"/>
      <c r="J48" s="11853" t="n">
        <v>46029</v>
      </c>
      <c r="K48" s="11856" t="n"/>
      <c r="L48" s="11857" t="n">
        <v>46031</v>
      </c>
    </row>
    <row r="49" ht="16.5" customHeight="1" s="7635">
      <c r="A49" s="1799">
        <f>IF(L49&lt;&gt;"","F",IF(K49&lt;&gt;"","D",""))</f>
        <v/>
      </c>
      <c r="B49" s="1002" t="n">
        <v>5695</v>
      </c>
      <c r="C49" s="998" t="inlineStr">
        <is>
          <t>Residential Energy Credits</t>
        </is>
      </c>
      <c r="D49" s="1218" t="n"/>
      <c r="E49" t="n">
        <v>40</v>
      </c>
      <c r="F49" s="1288" t="n">
        <v>5695</v>
      </c>
      <c r="G49" s="11855" t="n"/>
      <c r="H49" s="11853" t="n">
        <v>45994</v>
      </c>
      <c r="I49" s="11855" t="n"/>
      <c r="J49" s="11853" t="n">
        <v>45994</v>
      </c>
      <c r="K49" s="11856" t="n"/>
      <c r="L49" s="11857" t="n">
        <v>46025</v>
      </c>
    </row>
    <row r="50" ht="16.5" customHeight="1" s="7635">
      <c r="A50" s="1799">
        <f>IF(L50&lt;&gt;"","F",IF(K50&lt;&gt;"","D",""))</f>
        <v/>
      </c>
      <c r="B50" s="1002" t="inlineStr">
        <is>
          <t>6251</t>
        </is>
      </c>
      <c r="C50" s="998" t="inlineStr">
        <is>
          <t>Form 6251, Alternative Minimum Tax—Individuals</t>
        </is>
      </c>
      <c r="D50" s="1218" t="n"/>
      <c r="E50" t="n">
        <v>41</v>
      </c>
      <c r="F50" s="11858">
        <f>B50</f>
        <v/>
      </c>
      <c r="G50" s="11855" t="n">
        <v>45995</v>
      </c>
      <c r="H50" s="11853" t="n"/>
      <c r="I50" s="11855" t="n">
        <v>45930</v>
      </c>
      <c r="J50" s="11853" t="n">
        <v>46029</v>
      </c>
      <c r="K50" s="11856" t="n">
        <v>45862</v>
      </c>
      <c r="L50" s="11857" t="n">
        <v>46031</v>
      </c>
      <c r="N50" s="8648" t="n"/>
    </row>
    <row r="51" ht="16.5" customHeight="1" s="7635">
      <c r="A51" s="1799">
        <f>IF(L51&lt;&gt;"","F",IF(K51&lt;&gt;"","D",""))</f>
        <v/>
      </c>
      <c r="B51" s="1002" t="inlineStr">
        <is>
          <t>8283</t>
        </is>
      </c>
      <c r="C51" s="998" t="inlineStr">
        <is>
          <t>Form 8283, Noncash Charitable Contributions</t>
        </is>
      </c>
      <c r="D51" s="1218" t="n"/>
      <c r="E51" t="n">
        <v>42</v>
      </c>
      <c r="F51" s="11858">
        <f>B51</f>
        <v/>
      </c>
      <c r="G51" s="11855" t="n">
        <v>46014</v>
      </c>
      <c r="H51" s="11853" t="n"/>
      <c r="I51" s="11855" t="n"/>
      <c r="J51" s="11853" t="n">
        <v>46028</v>
      </c>
      <c r="K51" s="11856" t="n"/>
      <c r="L51" s="11857" t="n"/>
    </row>
    <row r="52" ht="16.5" customHeight="1" s="7635">
      <c r="A52" s="1799">
        <f>IF(L52&lt;&gt;"","F",IF(K52&lt;&gt;"","D",""))</f>
        <v/>
      </c>
      <c r="B52" s="1002" t="inlineStr">
        <is>
          <t>8582</t>
        </is>
      </c>
      <c r="C52" s="998" t="inlineStr">
        <is>
          <t>Form, 8582, Passive Activity Loss Limitations</t>
        </is>
      </c>
      <c r="D52" s="1218" t="n"/>
      <c r="E52" t="n">
        <v>43</v>
      </c>
      <c r="F52" s="11858">
        <f>B52</f>
        <v/>
      </c>
      <c r="G52" s="11855" t="n">
        <v>45989</v>
      </c>
      <c r="H52" s="11853" t="n">
        <v>45967</v>
      </c>
      <c r="I52" s="11855" t="n"/>
      <c r="J52" s="11853" t="n">
        <v>45967</v>
      </c>
      <c r="K52" s="11856" t="n"/>
      <c r="L52" s="11857" t="n">
        <v>46038</v>
      </c>
    </row>
    <row r="53" ht="16.5" customHeight="1" s="7635">
      <c r="A53" s="1799">
        <f>IF(L53&lt;&gt;"","F",IF(K53&lt;&gt;"","D",""))</f>
        <v/>
      </c>
      <c r="B53" s="1002" t="inlineStr">
        <is>
          <t>8606</t>
        </is>
      </c>
      <c r="C53" s="998" t="inlineStr">
        <is>
          <t>Form 8606, Nondeductible IRAs</t>
        </is>
      </c>
      <c r="D53" s="1218" t="n"/>
      <c r="E53" t="n">
        <v>44</v>
      </c>
      <c r="F53" s="11858">
        <f>B53</f>
        <v/>
      </c>
      <c r="G53" s="11855" t="n">
        <v>45992</v>
      </c>
      <c r="H53" s="11853" t="n"/>
      <c r="I53" s="11855" t="n"/>
      <c r="J53" s="11853" t="n">
        <v>46006</v>
      </c>
      <c r="K53" s="11856" t="n"/>
      <c r="L53" s="11857" t="n">
        <v>46093</v>
      </c>
    </row>
    <row r="54" ht="16.5" customHeight="1" s="7635">
      <c r="A54" s="1799">
        <f>IF(L54&lt;&gt;"","F",IF(K54&lt;&gt;"","D",""))</f>
        <v/>
      </c>
      <c r="B54" s="1002" t="inlineStr">
        <is>
          <t>8801</t>
        </is>
      </c>
      <c r="C54" s="998" t="inlineStr">
        <is>
          <t>Credit for Prior Year Minimum Tax — Individuals, Estates, and Trusts</t>
        </is>
      </c>
      <c r="D54" s="1218" t="n"/>
      <c r="E54" t="n">
        <v>45</v>
      </c>
      <c r="F54" s="11858">
        <f>B54</f>
        <v/>
      </c>
      <c r="G54" s="11855" t="n">
        <v>45869</v>
      </c>
      <c r="H54" s="11853" t="n">
        <v>46014</v>
      </c>
      <c r="I54" s="11855" t="n">
        <v>45777</v>
      </c>
      <c r="J54" s="11865" t="n">
        <v>46014</v>
      </c>
      <c r="K54" s="11856" t="n">
        <v>45904</v>
      </c>
      <c r="L54" s="11857" t="n">
        <v>46035</v>
      </c>
      <c r="M54" s="8648" t="n"/>
      <c r="N54" s="8648" t="n"/>
    </row>
    <row r="55" ht="16.5" customHeight="1" s="7635">
      <c r="A55" s="1799">
        <f>IF(L55&lt;&gt;"","F",IF(K55&lt;&gt;"","D",""))</f>
        <v/>
      </c>
      <c r="B55" s="1002" t="inlineStr">
        <is>
          <t>8812</t>
        </is>
      </c>
      <c r="C55" s="998" t="inlineStr">
        <is>
          <t>Schedule 8812, Additional Child Tax Credit</t>
        </is>
      </c>
      <c r="D55" s="1218" t="n"/>
      <c r="E55" t="n">
        <v>46</v>
      </c>
      <c r="F55" s="11858">
        <f>B55</f>
        <v/>
      </c>
      <c r="G55" s="11855" t="n">
        <v>46006</v>
      </c>
      <c r="H55" s="11853" t="n">
        <v>46010</v>
      </c>
      <c r="I55" s="11855" t="n">
        <v>45896</v>
      </c>
      <c r="J55" s="11853" t="n">
        <v>46010</v>
      </c>
      <c r="K55" s="11856" t="n">
        <v>46010</v>
      </c>
      <c r="L55" s="11857" t="n">
        <v>46020</v>
      </c>
      <c r="M55" s="8648" t="n"/>
      <c r="N55" s="8648" t="n"/>
    </row>
    <row r="56" ht="16.5" customHeight="1" s="7635">
      <c r="A56" s="1799">
        <f>IF(L56&lt;&gt;"","F",IF(K56&lt;&gt;"","D",""))</f>
        <v/>
      </c>
      <c r="B56" s="1002" t="n">
        <v>8829</v>
      </c>
      <c r="C56" s="998" t="inlineStr">
        <is>
          <t>Form 8829, Expenses for Business Use of Your Home</t>
        </is>
      </c>
      <c r="D56" s="1218" t="n"/>
      <c r="E56" t="n">
        <v>47</v>
      </c>
      <c r="F56" s="1288">
        <f>B56</f>
        <v/>
      </c>
      <c r="G56" s="11855" t="n">
        <v>45876</v>
      </c>
      <c r="H56" s="11853" t="n">
        <v>46031</v>
      </c>
      <c r="I56" s="11855" t="n"/>
      <c r="J56" s="11853" t="n">
        <v>46006</v>
      </c>
      <c r="K56" s="11856" t="n"/>
      <c r="L56" s="11857" t="n"/>
    </row>
    <row r="57" ht="16.5" customHeight="1" s="7635">
      <c r="A57" s="1799">
        <f>IF(L57&lt;&gt;"","F",IF(K57&lt;&gt;"","D",""))</f>
        <v/>
      </c>
      <c r="B57" s="1002" t="inlineStr">
        <is>
          <t>8863</t>
        </is>
      </c>
      <c r="C57" s="998" t="inlineStr">
        <is>
          <t>Form 8863, Education Credits (American Opportunity and Lifetime Learning Credits)</t>
        </is>
      </c>
      <c r="D57" s="1218" t="n"/>
      <c r="E57" t="n">
        <v>48</v>
      </c>
      <c r="F57" s="11858">
        <f>B57</f>
        <v/>
      </c>
      <c r="G57" s="11855" t="n"/>
      <c r="H57" s="11853" t="n"/>
      <c r="I57" s="11855" t="n"/>
      <c r="J57" s="11853" t="n">
        <v>46006</v>
      </c>
      <c r="K57" s="11856" t="n"/>
      <c r="L57" s="11857" t="n">
        <v>46031</v>
      </c>
    </row>
    <row r="58" ht="16.5" customHeight="1" s="7635">
      <c r="A58" s="1799">
        <f>IF(L58&lt;&gt;"","F",IF(K58&lt;&gt;"","D",""))</f>
        <v/>
      </c>
      <c r="B58" s="1002" t="inlineStr">
        <is>
          <t>8880</t>
        </is>
      </c>
      <c r="C58" s="998" t="inlineStr">
        <is>
          <t>Form 8880, Credit for Qualified Retirement Savings Contributions</t>
        </is>
      </c>
      <c r="D58" s="1218" t="n"/>
      <c r="E58" t="n">
        <v>49</v>
      </c>
      <c r="F58" s="11858">
        <f>B58</f>
        <v/>
      </c>
      <c r="G58" s="11855" t="n"/>
      <c r="H58" s="11853" t="n"/>
      <c r="I58" s="11855" t="n">
        <v>45908</v>
      </c>
      <c r="J58" s="11853" t="n">
        <v>46006</v>
      </c>
      <c r="K58" s="11856" t="n"/>
      <c r="L58" s="11857" t="n"/>
    </row>
    <row r="59" ht="16.5" customHeight="1" s="7635">
      <c r="A59" s="1799">
        <f>IF(L59&lt;&gt;"","F",IF(K59&lt;&gt;"","D",""))</f>
        <v/>
      </c>
      <c r="B59" s="1002" t="inlineStr">
        <is>
          <t>8889</t>
        </is>
      </c>
      <c r="C59" s="998" t="inlineStr">
        <is>
          <t>Form 8889, Health Savings Accounts</t>
        </is>
      </c>
      <c r="D59" s="1218" t="n"/>
      <c r="E59" t="n">
        <v>50</v>
      </c>
      <c r="F59" s="11858">
        <f>B59</f>
        <v/>
      </c>
      <c r="G59" s="11855" t="n">
        <v>46000</v>
      </c>
      <c r="H59" s="11853" t="n">
        <v>46006</v>
      </c>
      <c r="I59" s="11855" t="n"/>
      <c r="J59" s="11853" t="n">
        <v>46006</v>
      </c>
      <c r="K59" s="11856" t="n"/>
      <c r="L59" s="11857" t="n"/>
    </row>
    <row r="60" ht="16.5" customHeight="1" s="7635">
      <c r="A60" s="1799">
        <f>IF(L60&lt;&gt;"","F",IF(K60&lt;&gt;"","D",""))</f>
        <v/>
      </c>
      <c r="B60" s="1002" t="n">
        <v>8919</v>
      </c>
      <c r="C60" s="998" t="inlineStr">
        <is>
          <t>Form 8919, Uncollected Social Security and Medicare Tax on Wages</t>
        </is>
      </c>
      <c r="D60" s="1218" t="n"/>
      <c r="E60" t="n">
        <v>51</v>
      </c>
      <c r="F60" s="6650">
        <f>B60</f>
        <v/>
      </c>
      <c r="G60" s="11855" t="n"/>
      <c r="H60" s="11853" t="n"/>
      <c r="I60" s="11855" t="n"/>
      <c r="J60" s="11853" t="n"/>
      <c r="K60" s="11856" t="n"/>
      <c r="L60" s="11857" t="n">
        <v>46054</v>
      </c>
    </row>
    <row r="61" ht="16.5" customHeight="1" s="7635">
      <c r="A61" s="1799">
        <f>IF(L61&lt;&gt;"","F",IF(K61&lt;&gt;"","D",""))</f>
        <v/>
      </c>
      <c r="B61" s="1002" t="inlineStr">
        <is>
          <t>8949A</t>
        </is>
      </c>
      <c r="C61" s="998" t="inlineStr">
        <is>
          <t>Form 8949, Sales and Other Dispositions of Capital Assets</t>
        </is>
      </c>
      <c r="D61" s="1218" t="n"/>
      <c r="E61" t="n">
        <v>52</v>
      </c>
      <c r="F61" s="11858">
        <f>B61</f>
        <v/>
      </c>
      <c r="G61" s="11855" t="n"/>
      <c r="H61" s="11853" t="n"/>
      <c r="I61" s="11855" t="n">
        <v>45783</v>
      </c>
      <c r="J61" s="11853" t="n">
        <v>46002</v>
      </c>
      <c r="K61" s="11856" t="n">
        <v>45983</v>
      </c>
      <c r="L61" s="11857" t="n">
        <v>46030</v>
      </c>
    </row>
    <row r="62" ht="16.5" customHeight="1" s="7635">
      <c r="A62" s="1799">
        <f>IF(L62&lt;&gt;"","F",IF(K62&lt;&gt;"","D",""))</f>
        <v/>
      </c>
      <c r="B62" s="1002" t="inlineStr">
        <is>
          <t>8949B</t>
        </is>
      </c>
      <c r="C62" s="998" t="inlineStr">
        <is>
          <t>Form 8949, Sales and Other Dispositions of Capital Assets</t>
        </is>
      </c>
      <c r="D62" s="1218" t="n"/>
      <c r="E62" t="n">
        <v>53</v>
      </c>
      <c r="F62" s="11858">
        <f>B62</f>
        <v/>
      </c>
      <c r="G62" s="11866" t="n"/>
      <c r="H62" s="11867" t="n"/>
      <c r="I62" s="11855" t="n">
        <v>45783</v>
      </c>
      <c r="J62" s="11853" t="n">
        <v>46002</v>
      </c>
      <c r="K62" s="11856" t="n">
        <v>45983</v>
      </c>
      <c r="L62" s="11857" t="n">
        <v>46030</v>
      </c>
    </row>
    <row r="63" ht="16.5" customHeight="1" s="7635">
      <c r="A63" s="1799">
        <f>IF(L63&lt;&gt;"","F",IF(K63&lt;&gt;"","D",""))</f>
        <v/>
      </c>
      <c r="B63" s="1001" t="inlineStr">
        <is>
          <t>8949C</t>
        </is>
      </c>
      <c r="C63" s="998" t="inlineStr">
        <is>
          <t>Form 8949, Sales and Other Dispositions of Capital Assets</t>
        </is>
      </c>
      <c r="D63" s="1218" t="n"/>
      <c r="E63" t="n">
        <v>54</v>
      </c>
      <c r="F63" s="11858">
        <f>B63</f>
        <v/>
      </c>
      <c r="G63" s="11866" t="n"/>
      <c r="H63" s="11867" t="n"/>
      <c r="I63" s="11855" t="n">
        <v>45783</v>
      </c>
      <c r="J63" s="11853" t="n">
        <v>46002</v>
      </c>
      <c r="K63" s="11856" t="n">
        <v>45983</v>
      </c>
      <c r="L63" s="11857" t="n">
        <v>46030</v>
      </c>
    </row>
    <row r="64" ht="16.5" customHeight="1" s="7635">
      <c r="A64" s="1799">
        <f>IF(L64&lt;&gt;"","F",IF(K64&lt;&gt;"","D",""))</f>
        <v/>
      </c>
      <c r="B64" s="1001" t="inlineStr">
        <is>
          <t>8949D</t>
        </is>
      </c>
      <c r="C64" s="998" t="inlineStr">
        <is>
          <t>Form 8949, Sales and Other Dispositions of Capital Assets</t>
        </is>
      </c>
      <c r="D64" s="1218" t="n"/>
      <c r="E64" t="n">
        <v>55</v>
      </c>
      <c r="F64" s="11858">
        <f>B64</f>
        <v/>
      </c>
      <c r="G64" s="11866" t="n"/>
      <c r="H64" s="11867" t="n"/>
      <c r="I64" s="11855" t="n">
        <v>45783</v>
      </c>
      <c r="J64" s="11853" t="n">
        <v>46002</v>
      </c>
      <c r="K64" s="11856" t="n">
        <v>45983</v>
      </c>
      <c r="L64" s="11857" t="n">
        <v>46030</v>
      </c>
    </row>
    <row r="65" ht="16.5" customHeight="1" s="7635">
      <c r="A65" s="1799">
        <f>IF(L65&lt;&gt;"","F",IF(K65&lt;&gt;"","D",""))</f>
        <v/>
      </c>
      <c r="B65" s="1002" t="inlineStr">
        <is>
          <t>8959</t>
        </is>
      </c>
      <c r="C65" s="998" t="inlineStr">
        <is>
          <t>Form 8959, Additional Medicare Tax</t>
        </is>
      </c>
      <c r="D65" s="1218" t="n"/>
      <c r="E65" t="n">
        <v>56</v>
      </c>
      <c r="F65" s="11858">
        <f>B65</f>
        <v/>
      </c>
      <c r="G65" s="11855" t="n">
        <v>45916</v>
      </c>
      <c r="H65" s="11853" t="n">
        <v>46006</v>
      </c>
      <c r="I65" s="11855" t="n"/>
      <c r="J65" s="11853" t="n">
        <v>46006</v>
      </c>
      <c r="K65" s="11856" t="n"/>
      <c r="L65" s="11857" t="n">
        <v>46042</v>
      </c>
    </row>
    <row r="66" ht="16.5" customHeight="1" s="7635">
      <c r="A66" s="1799">
        <f>IF(L66&lt;&gt;"","F",IF(K66&lt;&gt;"","D",""))</f>
        <v/>
      </c>
      <c r="B66" s="1002" t="inlineStr">
        <is>
          <t>8960</t>
        </is>
      </c>
      <c r="C66" s="998" t="inlineStr">
        <is>
          <t>Form 8960, Net Investment Income Tax—Individuals, Estates, and Trusts</t>
        </is>
      </c>
      <c r="D66" s="1218" t="n"/>
      <c r="E66" t="n">
        <v>57</v>
      </c>
      <c r="F66" s="11858">
        <f>B66</f>
        <v/>
      </c>
      <c r="G66" s="11855" t="n">
        <v>45999</v>
      </c>
      <c r="H66" s="11853" t="n"/>
      <c r="I66" s="11855" t="n">
        <v>45917</v>
      </c>
      <c r="J66" s="11853" t="n">
        <v>46029</v>
      </c>
      <c r="K66" s="11856" t="n">
        <v>46042</v>
      </c>
      <c r="L66" s="11857" t="n">
        <v>46091</v>
      </c>
      <c r="N66" s="8648" t="n"/>
    </row>
    <row r="67" ht="16.5" customHeight="1" s="7635">
      <c r="A67" s="1799">
        <f>IF(L67&lt;&gt;"","F",IF(K67&lt;&gt;"","D",""))</f>
        <v/>
      </c>
      <c r="B67" s="1002" t="inlineStr">
        <is>
          <t>8962</t>
        </is>
      </c>
      <c r="C67" s="998" t="inlineStr">
        <is>
          <t>Form 8962, Premium Tax Credit</t>
        </is>
      </c>
      <c r="D67" s="1218" t="n"/>
      <c r="E67" t="n">
        <v>58</v>
      </c>
      <c r="F67" s="11858">
        <f>B67</f>
        <v/>
      </c>
      <c r="G67" s="11855" t="n">
        <v>45946</v>
      </c>
      <c r="H67" s="11853" t="n"/>
      <c r="I67" s="11855" t="n">
        <v>45800</v>
      </c>
      <c r="J67" s="11853" t="n">
        <v>46029</v>
      </c>
      <c r="K67" s="11856" t="n"/>
      <c r="L67" s="11857" t="n">
        <v>46038</v>
      </c>
      <c r="N67" s="8648" t="n"/>
    </row>
    <row r="68" ht="16.5" customHeight="1" s="7635">
      <c r="A68" s="1799">
        <f>IF(L68&lt;&gt;"","F",IF(K68&lt;&gt;"","D",""))</f>
        <v/>
      </c>
      <c r="B68" s="1049" t="n">
        <v>8995</v>
      </c>
      <c r="C68" s="1050" t="inlineStr">
        <is>
          <t>Form 8995, Qualified Business Income Deduction Simplified Computation</t>
        </is>
      </c>
      <c r="D68" s="1219" t="n"/>
      <c r="E68" t="n">
        <v>59</v>
      </c>
      <c r="F68" s="1288">
        <f>B68</f>
        <v/>
      </c>
      <c r="G68" s="11855" t="n"/>
      <c r="H68" s="11853" t="n">
        <v>46036</v>
      </c>
      <c r="I68" s="11855" t="n">
        <v>45917</v>
      </c>
      <c r="J68" s="11853" t="n">
        <v>46031</v>
      </c>
      <c r="K68" s="11856" t="n">
        <v>46013</v>
      </c>
      <c r="L68" s="11857" t="n">
        <v>46038</v>
      </c>
      <c r="N68" s="8648" t="inlineStr">
        <is>
          <t>OBBBA: Implemented minimum $400 deduction for QBI &gt;=$1,000.</t>
        </is>
      </c>
    </row>
    <row r="69" ht="16.5" customHeight="1" s="7635">
      <c r="A69" s="1799">
        <f>IF(L69&lt;&gt;"","F",IF(K69&lt;&gt;"","D",""))</f>
        <v/>
      </c>
      <c r="B69" s="1001" t="inlineStr">
        <is>
          <t>EIC Table</t>
        </is>
      </c>
      <c r="C69" s="998" t="inlineStr">
        <is>
          <t>Earned Income Credit (EIC) Table  (From Form 1040, General Instructions)</t>
        </is>
      </c>
      <c r="D69" s="1218" t="n"/>
      <c r="E69" t="n">
        <v>60</v>
      </c>
      <c r="F69" s="11858">
        <f>B69</f>
        <v/>
      </c>
      <c r="G69" s="11855" t="n"/>
      <c r="H69" s="11853" t="n"/>
      <c r="I69" s="11855" t="n"/>
      <c r="J69" s="11853" t="n">
        <v>46009</v>
      </c>
      <c r="K69" s="11856" t="n"/>
      <c r="L69" s="11857" t="n"/>
      <c r="N69" s="8648" t="n"/>
    </row>
    <row r="70" ht="16.5" customHeight="1" s="7635">
      <c r="A70" s="1799">
        <f>IF(L70&lt;&gt;"","F",IF(K70&lt;&gt;"","D",""))</f>
        <v/>
      </c>
      <c r="B70" s="1001" t="inlineStr">
        <is>
          <t>Tax Table</t>
        </is>
      </c>
      <c r="C70" s="999" t="inlineStr">
        <is>
          <t>Tax Table  (From Form 1040, General Instructions)</t>
        </is>
      </c>
      <c r="D70" s="1217" t="n"/>
      <c r="E70" t="n">
        <v>61</v>
      </c>
      <c r="F70" s="11858">
        <f>B70</f>
        <v/>
      </c>
      <c r="G70" s="11855" t="n">
        <v>45853</v>
      </c>
      <c r="H70" s="11853" t="n">
        <v>45853</v>
      </c>
      <c r="I70" s="11855" t="n">
        <v>45853</v>
      </c>
      <c r="J70" s="11853" t="n">
        <v>45853</v>
      </c>
      <c r="K70" s="11856" t="n">
        <v>45853</v>
      </c>
      <c r="L70" s="11857" t="n">
        <v>45853</v>
      </c>
      <c r="N70" s="8043" t="inlineStr">
        <is>
          <t>No changes.</t>
        </is>
      </c>
    </row>
    <row r="71" ht="16.5" customHeight="1" s="7635">
      <c r="A71" s="1799">
        <f>IF(L71&lt;&gt;"","F",IF(K71&lt;&gt;"","D",""))</f>
        <v/>
      </c>
      <c r="B71" s="1001" t="inlineStr">
        <is>
          <t>Changes</t>
        </is>
      </c>
      <c r="C71" s="999" t="inlineStr">
        <is>
          <t>Changes made to this spreadsheet since it's first publication this tax year</t>
        </is>
      </c>
      <c r="D71" s="1217" t="n"/>
      <c r="E71" t="n">
        <v>62</v>
      </c>
      <c r="F71" s="11858">
        <f>B71</f>
        <v/>
      </c>
      <c r="G71" s="11855" t="n"/>
      <c r="H71" s="11853" t="n"/>
      <c r="I71" s="11855" t="n"/>
      <c r="J71" s="11853" t="n"/>
      <c r="K71" s="11856" t="n"/>
      <c r="L71" s="11867" t="n"/>
    </row>
    <row r="72" ht="14.25" customHeight="1" s="7635" thickBot="1">
      <c r="A72" s="1799" t="n"/>
      <c r="B72" s="1003" t="n"/>
      <c r="C72" s="1000" t="n"/>
      <c r="D72" s="1215" t="n"/>
      <c r="F72" s="11868" t="n"/>
      <c r="G72" s="11869" t="n"/>
      <c r="H72" s="11870" t="n"/>
      <c r="I72" s="11869" t="n"/>
      <c r="J72" s="11870" t="n"/>
      <c r="K72" s="11871" t="n"/>
      <c r="L72" s="11872" t="n"/>
    </row>
    <row r="73" ht="14.25" customHeight="1" s="7635" thickTop="1">
      <c r="A73" s="1800" t="n"/>
      <c r="B73" s="9886" t="n"/>
      <c r="C73" s="1215" t="n"/>
      <c r="D73" s="1215" t="n"/>
    </row>
    <row r="75" ht="14.25" customHeight="1" s="7635">
      <c r="F75" s="8696" t="inlineStr">
        <is>
          <t>Improvement ideas for 2025</t>
        </is>
      </c>
    </row>
    <row r="76" ht="14.25" customHeight="1" s="7635">
      <c r="F76" s="7832" t="inlineStr">
        <is>
          <t>Form 8801, Credit for Prior Year Minimum Tax - Individuals, Estates, and Trusts</t>
        </is>
      </c>
    </row>
    <row r="77" ht="14.25" customHeight="1" s="7635">
      <c r="F77" s="7832" t="inlineStr">
        <is>
          <t>Form 8936, Clean Vehicle Credits</t>
        </is>
      </c>
    </row>
    <row r="78" ht="14.25" customHeight="1" s="7635">
      <c r="F78" s="7832" t="inlineStr">
        <is>
          <t>1099-SEC</t>
        </is>
      </c>
    </row>
    <row r="79" ht="14.25" customHeight="1" s="7635">
      <c r="F79" s="7832" t="inlineStr">
        <is>
          <t>1099-MISC</t>
        </is>
      </c>
    </row>
    <row r="80" ht="14.25" customHeight="1" s="7635">
      <c r="F80" s="7832" t="inlineStr">
        <is>
          <t>1099-V, Payment Voucher for Individuals</t>
        </is>
      </c>
    </row>
    <row r="81" ht="14.25" customHeight="1" s="7635">
      <c r="F81" s="7832" t="n"/>
    </row>
    <row r="82" ht="14.25" customHeight="1" s="7635">
      <c r="F82" s="7832" t="inlineStr">
        <is>
          <t>2210, Underpayment of Estimated Tax by Individuals, Estates, and Trusts</t>
        </is>
      </c>
    </row>
    <row r="83" ht="14.25" customHeight="1" s="7635">
      <c r="F83" s="7832" t="n"/>
    </row>
    <row r="84" ht="14.25" customHeight="1" s="7635">
      <c r="F84" s="7832" t="n"/>
    </row>
    <row r="85" ht="14.25" customHeight="1" s="7635">
      <c r="F85" s="7832" t="n"/>
    </row>
    <row r="86" ht="14.25" customHeight="1" s="7635">
      <c r="F86" s="7832" t="n"/>
    </row>
  </sheetData>
  <sheetProtection selectLockedCells="0" selectUnlockedCells="0" algorithmName="SHA-512" sheet="1" objects="0" insertRows="1" insertHyperlinks="1" autoFilter="1" scenarios="0" formatColumns="0" deleteColumns="1" insertColumns="1" pivotTables="1" deleteRows="1" formatCells="0" saltValue="g/TlqeaXTofY+Wz5ycC7Dw==" formatRows="0" sort="1" spinCount="100000" hashValue="Xe+LPfiD91HGtrT8PxE/RGEmaa1CxowAcKuhCJ2ezWWT/8bE1wQv/qJs0P5jfZc1WQ4sHla21eCnE4NxlcD/Gw=="/>
  <mergeCells count="2">
    <mergeCell ref="B2:B6"/>
    <mergeCell ref="A2:A6"/>
  </mergeCells>
  <conditionalFormatting sqref="A7:A72">
    <cfRule type="expression" priority="1" dxfId="40">
      <formula>A7="D"</formula>
    </cfRule>
  </conditionalFormatting>
  <hyperlinks>
    <hyperlink ref="B7" location="Coversheet!A1" display="Coversheet"/>
    <hyperlink ref="B8" location="'Table of Contents'!A1" display="Table of Contents"/>
    <hyperlink ref="B9" location="Instructions!A1" display="Instructions"/>
    <hyperlink ref="B10" location="'W-2s'!A1" display="W-2s"/>
    <hyperlink ref="B11" location="'1099-INT'!A1" display="1099-INT"/>
    <hyperlink ref="B12" location="'1099-DIV'!A1" display="1099-DIV"/>
    <hyperlink ref="B13" location="'1099-G'!A1" display="1099-G"/>
    <hyperlink ref="B14" location="'1099-MISC'!A1" display="1099-MISC"/>
    <hyperlink ref="B15" location="'1099-NEC'!A1" display="1099-NEC"/>
    <hyperlink ref="B16" location="'1099-R'!A1" display="1099-R"/>
    <hyperlink ref="B17" location="'Lines 4ab (IRA Dist.)'!A1" display="Lines 4ab (IRA Dist.)"/>
    <hyperlink ref="B18" location="'SSA-1099'!A1" display="SSA-1099"/>
    <hyperlink ref="B19" location="'1040'!A1" display="1040"/>
    <hyperlink ref="B20" location="'Sch. 1'!A1" display="Sch. 1"/>
    <hyperlink ref="B21" location="'Sch. 1-A'!A1" display="Sch. 1-A"/>
    <hyperlink ref="B22" location="'Sch 1, Line 1 (SALT)'!A1" display="Sch. 1, Line 1 (SALT)"/>
    <hyperlink ref="B23" location="'Sch. 1, Line 20 (IRA)'!A1" display="Sch. 1 Line 20 (IRA)"/>
    <hyperlink ref="B24" location="'Sch. 1, Line 21 (Stu Loan)'!A1" display="Sch. 1 Line 21 (Stu Loan)"/>
    <hyperlink ref="B25" location="'Sch. 2'!A1" display="Sch. 2"/>
    <hyperlink ref="B26" location="'Sch. 3'!A1" display="Sch. 3"/>
    <hyperlink ref="B27" location="'Earned Inc WS'!A1" display="Earned Inc WS"/>
    <hyperlink ref="B28" location="'Lines 5ab (Simplified Meth WS)'!A1" display="Lines 5ab (Simplified Meth WS)"/>
    <hyperlink ref="B29" location="'Line 6ab (SS Bene)'!A1" display="Line 6ab (SS Bene)"/>
    <hyperlink ref="B30" location="'Line 12e (SD Depnts)'!A1" display="Line 12e (SD Depnts)"/>
    <hyperlink ref="B31" location="'Line 16 (QDCG Tax)'!A1" display="Line 16 (QDCG Tax)"/>
    <hyperlink ref="B32" location="'Line 27a (EIC)'!A1" display="Line 27a (EIC)"/>
    <hyperlink ref="B33" location="'Sch. A'!A1" display="Sch. A"/>
    <hyperlink ref="B34" location="'Sch. B'!A1" display="Sch. B"/>
    <hyperlink ref="B35" location="'Sch. C'!A1" display="Sch. C"/>
    <hyperlink ref="B36" location="'Sch. D'!A1" display="Sch. D"/>
    <hyperlink ref="B37" location="'Sch. D WS'!A1" display="Sch. D WS"/>
    <hyperlink ref="B38" location="'Sch. E'!A1" display="Sch. E"/>
    <hyperlink ref="B39" location="'Sch. E (2)'!A1" display="Sch. E (2)"/>
    <hyperlink ref="B40" location="'Sch. F'!A1" display="Sch. F"/>
    <hyperlink ref="B41" location="'Sch. R'!A1" display="Sch. R"/>
    <hyperlink ref="B42" location="'Sch. SE'!A1" display="Sch. SE"/>
    <hyperlink ref="B43" location="'1116'!A1" display="1116"/>
    <hyperlink ref="B44" location="'2210'!A1" display="2210"/>
    <hyperlink ref="B45" location="'2441'!A1" display="2441"/>
    <hyperlink ref="B46" location="'2555'!A1" display="2555"/>
    <hyperlink ref="B47" location="'4137'!A1" display="'4137'!A1"/>
    <hyperlink ref="B48" location="'4562'!A1" display="4562"/>
    <hyperlink ref="B49" location="'5695'!A1" display="'5695'!A1"/>
    <hyperlink ref="B50" location="'6251'!A1" display="6251"/>
    <hyperlink ref="B51" location="'8283'!A1" display="8283"/>
    <hyperlink ref="B52" location="'8582'!A1" display="8582"/>
    <hyperlink ref="B53" location="'8606'!A1" display="8606"/>
    <hyperlink ref="B54" location="'8801'!A1" display="8801"/>
    <hyperlink ref="B55" location="'8812'!A1" display="8812"/>
    <hyperlink ref="B56" location="'8829'!A1" display="8829"/>
    <hyperlink ref="B57" location="'8863'!A1" display="8863"/>
    <hyperlink ref="B58" location="'8880'!A1" display="8880"/>
    <hyperlink ref="B59" location="'8889'!A1" display="8889"/>
    <hyperlink ref="B60" location="'8919'!A1" display="'8919'!A1"/>
    <hyperlink ref="B61" location="'8949A'!A1" display="8949A"/>
    <hyperlink ref="B62" location="'8949B'!A1" display="8949B"/>
    <hyperlink ref="B63" location="'8949C'!A1" display="8949C"/>
    <hyperlink ref="B64" location="'8949D'!A1" display="8949D"/>
    <hyperlink ref="B65" location="'8959'!A1" display="8959"/>
    <hyperlink ref="B66" location="'8960'!A1" display="8960"/>
    <hyperlink ref="B67" location="'8962'!A1" display="8962"/>
    <hyperlink ref="B68" location="'8995'!A1" display="8995"/>
    <hyperlink ref="B69" location="'EIC Table'!A1" display="EIC Table"/>
    <hyperlink ref="B70" location="'Tax Table'!A1" display="Tax Table"/>
    <hyperlink ref="B71" location="Changes!A1" display="Changes"/>
  </hyperlinks>
  <pageMargins left="0.75" right="0.25" top="0.36" bottom="0.29" header="0.36" footer="0.21"/>
  <pageSetup orientation="portrait" scale="66" fitToHeight="0"/>
</worksheet>
</file>

<file path=xl/worksheets/sheet4.xml><?xml version="1.0" encoding="utf-8"?>
<worksheet xmlns="http://schemas.openxmlformats.org/spreadsheetml/2006/main">
  <sheetPr>
    <outlinePr summaryBelow="1" summaryRight="1"/>
    <pageSetUpPr fitToPage="1"/>
  </sheetPr>
  <dimension ref="A2:L94"/>
  <sheetViews>
    <sheetView zoomScaleNormal="100" workbookViewId="0">
      <selection activeCell="C70" sqref="C70"/>
    </sheetView>
  </sheetViews>
  <sheetFormatPr baseColWidth="8" defaultColWidth="9.140625" defaultRowHeight="12.75"/>
  <cols>
    <col width="5.28515625" customWidth="1" style="11602" min="1" max="1"/>
    <col width="4.42578125" customWidth="1" style="11602" min="2" max="2"/>
    <col width="9.140625" customWidth="1" style="1215" min="3" max="3"/>
    <col width="9.140625" customWidth="1" style="11602" min="4" max="7"/>
    <col width="13.5703125" customWidth="1" style="11602" min="8" max="8"/>
    <col width="9.140625" customWidth="1" style="11602" min="9" max="11"/>
    <col width="12.140625" customWidth="1" style="11602" min="12" max="12"/>
    <col width="9.140625" customWidth="1" style="11602" min="13" max="16384"/>
  </cols>
  <sheetData>
    <row r="2" ht="26.25" customHeight="1" s="7635">
      <c r="A2" s="5692" t="inlineStr">
        <is>
          <t>Excel1040 -- Income Tax Spreadsheet</t>
        </is>
      </c>
      <c r="B2" s="5692" t="n"/>
      <c r="C2" s="4033" t="n"/>
      <c r="D2" s="4033" t="n"/>
      <c r="E2" s="4033" t="n"/>
      <c r="F2" s="4033" t="n"/>
      <c r="G2" s="4033" t="n"/>
      <c r="H2" s="4033" t="n"/>
      <c r="I2" s="4033" t="n"/>
      <c r="J2" s="4033" t="n"/>
      <c r="K2" s="4033" t="n"/>
      <c r="L2" s="4033" t="n"/>
    </row>
    <row r="3" ht="23.25" customHeight="1" s="7635">
      <c r="A3" s="5693" t="inlineStr">
        <is>
          <t>Instructions for Use</t>
        </is>
      </c>
      <c r="B3" s="4033" t="n"/>
      <c r="C3" s="4033" t="n"/>
      <c r="D3" s="4033" t="n"/>
      <c r="E3" s="5693" t="n"/>
      <c r="F3" s="4033" t="n"/>
      <c r="G3" s="4033" t="n"/>
      <c r="H3" s="4033" t="n"/>
      <c r="I3" s="4033" t="n"/>
      <c r="J3" s="4033" t="n"/>
      <c r="K3" s="4033" t="n"/>
      <c r="L3" s="4033" t="n"/>
    </row>
    <row r="5">
      <c r="B5" s="7886" t="inlineStr">
        <is>
          <t>IMPORTANT NOTES:</t>
        </is>
      </c>
    </row>
    <row r="6">
      <c r="B6" s="351" t="inlineStr">
        <is>
          <t>1.</t>
        </is>
      </c>
      <c r="C6" s="1217" t="inlineStr">
        <is>
          <t>The purpose of this spreadsheet is to help U.S. taxpayers calculate their own federal income tax returns.</t>
        </is>
      </c>
    </row>
    <row r="7">
      <c r="C7" s="1217" t="inlineStr">
        <is>
          <t>The spreadsheet attempts to perform the mechanics of tax preparation (i.e. 'do the math') in accordance</t>
        </is>
      </c>
    </row>
    <row r="8">
      <c r="C8" s="1217" t="inlineStr">
        <is>
          <t>with IRS forms and instructions.</t>
        </is>
      </c>
    </row>
    <row r="10">
      <c r="B10" s="351" t="inlineStr">
        <is>
          <t>2.</t>
        </is>
      </c>
      <c r="C10" s="1217" t="inlineStr">
        <is>
          <t>This spreadsheet is designed for taxpayers who are capable of preparing their own federal income tax returns.</t>
        </is>
      </c>
    </row>
    <row r="11">
      <c r="B11" s="351" t="n"/>
      <c r="C11" s="1217" t="inlineStr">
        <is>
          <t>Users of this spreadsheet must know what information needs to be entered and where to enter it.</t>
        </is>
      </c>
    </row>
    <row r="12">
      <c r="C12" s="1217" t="inlineStr">
        <is>
          <t>Users of this spreadsheet must also be sufficiently familiar with the IRS forms and instructions that apply to</t>
        </is>
      </c>
    </row>
    <row r="13">
      <c r="C13" s="1217" t="inlineStr">
        <is>
          <t xml:space="preserve">their tax return in order to detect and correct any and all user and spreadsheet errors that might occur. </t>
        </is>
      </c>
    </row>
    <row r="14">
      <c r="C14" s="1217" t="inlineStr">
        <is>
          <t>Although some error checking is included, this spreadsheet will not prevent you from making mistakes.</t>
        </is>
      </c>
    </row>
    <row r="15">
      <c r="C15" s="1217" t="n"/>
    </row>
    <row r="16">
      <c r="B16" s="351" t="inlineStr">
        <is>
          <t>3.</t>
        </is>
      </c>
      <c r="C16" s="1217" t="inlineStr">
        <is>
          <t>The user must assume full responsibility as to the correctness and appropriateness of any and all amounts</t>
        </is>
      </c>
    </row>
    <row r="17">
      <c r="C17" s="1217" t="inlineStr">
        <is>
          <t>entered and results produced.  Be sure to use current copies of actual IRS forms and instructions when</t>
        </is>
      </c>
    </row>
    <row r="18">
      <c r="C18" s="1217" t="inlineStr">
        <is>
          <t>validating the spreadsheet's results.</t>
        </is>
      </c>
      <c r="H18" s="9886" t="inlineStr">
        <is>
          <t xml:space="preserve">IRS forms and instructions: </t>
        </is>
      </c>
      <c r="I18" s="5963" t="inlineStr">
        <is>
          <t>https://www.irs.gov/downloads/irs-pdf</t>
        </is>
      </c>
    </row>
    <row r="20">
      <c r="B20" s="351" t="inlineStr">
        <is>
          <t>4.</t>
        </is>
      </c>
      <c r="C20" s="1217" t="inlineStr">
        <is>
          <t>It is vitally important to the continued success of this spreadsheet that users promptly report errors</t>
        </is>
      </c>
    </row>
    <row r="21">
      <c r="C21" s="1217" t="inlineStr">
        <is>
          <t>so that the spreadsheet can be corrected.</t>
        </is>
      </c>
      <c r="F21" s="1061" t="n"/>
      <c r="G21" s="1061" t="n"/>
      <c r="H21" s="1061" t="inlineStr">
        <is>
          <t>Please report errors to:</t>
        </is>
      </c>
      <c r="I21" s="5963" t="inlineStr">
        <is>
          <t>incometaxspreadsheet@gmail.com</t>
        </is>
      </c>
      <c r="J21" s="5963" t="n"/>
      <c r="K21" s="5963" t="n"/>
    </row>
    <row r="23">
      <c r="B23" s="7886" t="inlineStr">
        <is>
          <t>GENERAL NOTES:</t>
        </is>
      </c>
    </row>
    <row r="24">
      <c r="B24" s="351" t="inlineStr">
        <is>
          <t>1.</t>
        </is>
      </c>
      <c r="C24" s="1217" t="inlineStr">
        <is>
          <t>Unprotected data entry cells have a light blue fill color.</t>
        </is>
      </c>
    </row>
    <row r="25">
      <c r="C25" s="1217" t="inlineStr">
        <is>
          <t>Cells containing calculated amounts are usually protected and have a darker blue fill color.</t>
        </is>
      </c>
    </row>
    <row r="26">
      <c r="C26" s="1217" t="inlineStr">
        <is>
          <t>Form and worksheet areas are protected.  However, users are able to adjust printing properties.</t>
        </is>
      </c>
    </row>
    <row r="27">
      <c r="C27" s="1215" t="inlineStr">
        <is>
          <t>Formatting of cells, rows, and columns is also available.</t>
        </is>
      </c>
    </row>
    <row r="29">
      <c r="B29" s="351" t="inlineStr">
        <is>
          <t>2.</t>
        </is>
      </c>
      <c r="C29" s="5694" t="inlineStr">
        <is>
          <t>"Manual override" cells are available for many calculated cells.   The use of override cells is discouraged</t>
        </is>
      </c>
    </row>
    <row r="30">
      <c r="B30" s="351" t="n"/>
      <c r="C30" s="5694" t="inlineStr">
        <is>
          <t>because manual overrides can defeat the spreadsheet's automatic updating feature.  If you are having</t>
        </is>
      </c>
    </row>
    <row r="31">
      <c r="B31" s="351" t="n"/>
      <c r="C31" s="5694" t="inlineStr">
        <is>
          <t>to use a manual override because of a spreadsheet error, be sure to report the error as soon as possible.</t>
        </is>
      </c>
    </row>
    <row r="32">
      <c r="B32" s="351" t="n"/>
      <c r="C32" s="5694" t="n"/>
    </row>
    <row r="33">
      <c r="B33" s="351" t="n"/>
      <c r="C33" s="5694" t="inlineStr">
        <is>
          <t xml:space="preserve">NOTE:  To clear data from an override cell, highlight it and then press the &lt;Delete&gt; key. </t>
        </is>
      </c>
    </row>
    <row r="34">
      <c r="B34" s="351" t="n"/>
      <c r="C34" s="5694" t="inlineStr">
        <is>
          <t>Do not press the &lt;space&gt; bar because, although it is invisible, the &lt;space&gt; character is treated the</t>
        </is>
      </c>
    </row>
    <row r="35">
      <c r="B35" s="351" t="n"/>
      <c r="C35" s="5694" t="inlineStr">
        <is>
          <t>same as any visible character.</t>
        </is>
      </c>
    </row>
    <row r="37">
      <c r="B37" s="351" t="inlineStr">
        <is>
          <t>3.</t>
        </is>
      </c>
      <c r="C37" s="5694" t="inlineStr">
        <is>
          <t xml:space="preserve">To check a checkbox, simply type an 'X' (any character will work) in the box and press &lt;Enter&gt;. </t>
        </is>
      </c>
    </row>
    <row r="38">
      <c r="B38" s="351" t="n"/>
      <c r="C38" s="5694" t="n"/>
    </row>
    <row r="39">
      <c r="B39" s="351" t="n"/>
      <c r="C39" s="5694" t="inlineStr">
        <is>
          <t xml:space="preserve">NOTE:  To clear an 'X' from an checkbox,  highlight it and then press the &lt;Delete&gt; key. </t>
        </is>
      </c>
    </row>
    <row r="40">
      <c r="B40" s="351" t="n"/>
      <c r="C40" s="5694" t="inlineStr">
        <is>
          <t>Do not press the &lt;space&gt; bar because, although it is invisible, the &lt;space&gt; character is treated the</t>
        </is>
      </c>
    </row>
    <row r="41">
      <c r="B41" s="351" t="n"/>
      <c r="C41" s="5694" t="inlineStr">
        <is>
          <t>same as any visible character.</t>
        </is>
      </c>
    </row>
    <row r="43">
      <c r="B43" s="351" t="inlineStr">
        <is>
          <t>4.</t>
        </is>
      </c>
      <c r="C43" s="5694" t="inlineStr">
        <is>
          <t>Prior to printing, to remove colors from all forms and worksheets, place an 'X' in Cell AV2 on the '1040' sheet.</t>
        </is>
      </c>
    </row>
    <row r="44">
      <c r="B44" s="351" t="n"/>
      <c r="C44" s="5694" t="inlineStr">
        <is>
          <t>Likewise, to remove social security numbers from all forms and worksheets, place an "X" in Cell AV3</t>
        </is>
      </c>
    </row>
    <row r="45">
      <c r="B45" s="351" t="n"/>
      <c r="C45" s="5694" t="inlineStr">
        <is>
          <t>on the '1040' sheet.</t>
        </is>
      </c>
    </row>
    <row r="47">
      <c r="B47" s="351" t="inlineStr">
        <is>
          <t>5.</t>
        </is>
      </c>
      <c r="C47" s="5694" t="inlineStr">
        <is>
          <t>If using copy/paste to copy information from another source, be sure to paste using 'Paste-Values'.</t>
        </is>
      </c>
    </row>
    <row r="48">
      <c r="B48" s="351" t="n"/>
      <c r="C48" s="5694" t="inlineStr">
        <is>
          <t>Otherwise, cell properties could be inadvertently changed.  (e.g. A normally unprotected cell could become</t>
        </is>
      </c>
    </row>
    <row r="49">
      <c r="B49" s="351" t="n"/>
      <c r="C49" s="5694" t="inlineStr">
        <is>
          <t>protected.)</t>
        </is>
      </c>
    </row>
    <row r="50">
      <c r="B50" s="351" t="n"/>
      <c r="C50" s="5694" t="n"/>
    </row>
    <row r="51">
      <c r="B51" s="351" t="inlineStr">
        <is>
          <t>6.</t>
        </is>
      </c>
      <c r="C51" s="5694" t="inlineStr">
        <is>
          <t xml:space="preserve">On Form 1040, to save time, it's generally okay to enter alternate information (e.g. SSN = 111-22-3333).  </t>
        </is>
      </c>
    </row>
    <row r="52">
      <c r="B52" s="351" t="n"/>
      <c r="C52" s="5694" t="inlineStr">
        <is>
          <t>Be aware, to perform an accurate tax calculation, the spreadsheet will need reasonably complete and</t>
        </is>
      </c>
    </row>
    <row r="53">
      <c r="B53" s="351" t="n"/>
      <c r="C53" s="5694" t="inlineStr">
        <is>
          <t>accurate birthdate, accurate state of residence, and a valid SSN.  Don't leave these cells blank.</t>
        </is>
      </c>
    </row>
    <row r="54">
      <c r="B54" s="351" t="n"/>
      <c r="C54" s="5694" t="n"/>
    </row>
    <row r="55">
      <c r="B55" s="351" t="inlineStr">
        <is>
          <t>7.</t>
        </is>
      </c>
      <c r="C55" s="5694" t="inlineStr">
        <is>
          <t>Any personal information entered into this spreadsheet is available only to you. This spreadsheet</t>
        </is>
      </c>
    </row>
    <row r="56">
      <c r="B56" s="351" t="n"/>
      <c r="C56" s="5694" t="inlineStr">
        <is>
          <t>has no ability to transmit your information anywhere.</t>
        </is>
      </c>
    </row>
    <row r="58">
      <c r="B58" s="7886" t="inlineStr">
        <is>
          <t>NOTES for LibreOffice Users:</t>
        </is>
      </c>
    </row>
    <row r="59">
      <c r="B59" s="7886" t="n"/>
    </row>
    <row r="60">
      <c r="B60" s="351" t="inlineStr">
        <is>
          <t>1.</t>
        </is>
      </c>
      <c r="C60" s="1215" t="inlineStr">
        <is>
          <t>LibreOffice users tell me LibreOffice version 25 will successfully open this spreadsheet.</t>
        </is>
      </c>
    </row>
    <row r="61">
      <c r="B61" s="7886" t="n"/>
    </row>
    <row r="62">
      <c r="B62" s="351" t="inlineStr">
        <is>
          <t>2.</t>
        </is>
      </c>
      <c r="C62" s="1217" t="inlineStr">
        <is>
          <t>To save a copy of this spreadsheet in .ods format, try performing the following steps:</t>
        </is>
      </c>
    </row>
    <row r="63">
      <c r="B63" s="351" t="n"/>
      <c r="C63" s="516" t="inlineStr">
        <is>
          <t>1).   Load the spreadsheet as an .xlsx file, then save it as an .fods file.</t>
        </is>
      </c>
      <c r="D63" s="344" t="n"/>
      <c r="E63" s="344" t="n"/>
      <c r="F63" s="344" t="n"/>
      <c r="G63" s="344" t="n"/>
      <c r="H63" s="344" t="n"/>
      <c r="I63" s="344" t="n"/>
    </row>
    <row r="64">
      <c r="B64" s="351" t="n"/>
      <c r="C64" s="516" t="inlineStr">
        <is>
          <t>2).   Close the .fods file. Then re-open the .fods file</t>
        </is>
      </c>
      <c r="D64" s="344" t="n"/>
      <c r="E64" s="344" t="n"/>
      <c r="F64" s="344" t="n"/>
      <c r="G64" s="344" t="n"/>
      <c r="H64" s="344" t="n"/>
      <c r="I64" s="344" t="n"/>
    </row>
    <row r="65">
      <c r="B65" s="351" t="n"/>
      <c r="C65" s="516" t="inlineStr">
        <is>
          <t>3).   Save the .fods file as an .ods file.</t>
        </is>
      </c>
      <c r="D65" s="344" t="n"/>
      <c r="E65" s="344" t="n"/>
      <c r="F65" s="344" t="n"/>
      <c r="G65" s="344" t="n"/>
      <c r="H65" s="344" t="n"/>
      <c r="I65" s="344" t="n"/>
    </row>
    <row r="66">
      <c r="C66" s="516" t="inlineStr">
        <is>
          <t>4)    Close the .ods file.  Then, re-open the .ods file.</t>
        </is>
      </c>
      <c r="D66" s="344" t="n"/>
      <c r="E66" s="344" t="n"/>
      <c r="F66" s="344" t="n"/>
      <c r="G66" s="344" t="n"/>
      <c r="H66" s="344" t="n"/>
      <c r="I66" s="344" t="n"/>
    </row>
    <row r="67">
      <c r="C67" s="516" t="n"/>
      <c r="D67" s="344" t="n"/>
      <c r="E67" s="344" t="n"/>
      <c r="F67" s="344" t="n"/>
      <c r="G67" s="344" t="n"/>
      <c r="H67" s="344" t="n"/>
      <c r="I67" s="344" t="n"/>
    </row>
    <row r="68">
      <c r="B68" s="7886" t="inlineStr">
        <is>
          <t>INSTRUCTIONS:</t>
        </is>
      </c>
    </row>
    <row r="69">
      <c r="B69" s="351" t="inlineStr">
        <is>
          <t>1.</t>
        </is>
      </c>
      <c r="C69" s="1217" t="inlineStr">
        <is>
          <t>Click on the tab labeled '1040' and enter all of the taxpayer information required at the top of Form 1040.</t>
        </is>
      </c>
    </row>
    <row r="70">
      <c r="B70" s="351" t="inlineStr">
        <is>
          <t>2.</t>
        </is>
      </c>
      <c r="C70" s="1217" t="inlineStr">
        <is>
          <t xml:space="preserve">Enter your birthdate and, if filing Married - Filing Jointly, enter your spouse's birthdate to the right of </t>
        </is>
      </c>
    </row>
    <row r="71">
      <c r="B71" s="351" t="n"/>
      <c r="C71" s="1217" t="inlineStr">
        <is>
          <t>the Form 1040.</t>
        </is>
      </c>
    </row>
    <row r="72">
      <c r="B72" s="351" t="inlineStr">
        <is>
          <t>3.</t>
        </is>
      </c>
      <c r="C72" s="1217" t="inlineStr">
        <is>
          <t>Click on the tab labeled 'W-2s' and enter any employment income reported to you on Form W-2.</t>
        </is>
      </c>
    </row>
    <row r="73">
      <c r="B73" s="351" t="n"/>
      <c r="C73" s="1217" t="inlineStr">
        <is>
          <t>Be sure to enter your information in Rows 2 through 24 and your spouse's information into Rows 31 through 53.</t>
        </is>
      </c>
    </row>
    <row r="74">
      <c r="B74" s="351" t="inlineStr">
        <is>
          <t>4.</t>
        </is>
      </c>
      <c r="C74" s="1217" t="inlineStr">
        <is>
          <t>Click on the tab labeled '1099-INT' and enter any interest income reported to you on Form 1099-INT.</t>
        </is>
      </c>
    </row>
    <row r="75">
      <c r="B75" s="351" t="n"/>
      <c r="C75" s="1217" t="inlineStr">
        <is>
          <t>(Interest income information will automatically appear on Schedule B, Line 1.)</t>
        </is>
      </c>
    </row>
    <row r="76">
      <c r="B76" s="351" t="inlineStr">
        <is>
          <t>5.</t>
        </is>
      </c>
      <c r="C76" s="1217" t="inlineStr">
        <is>
          <t>Click on the tab labeled '1099-DIV' and enter any dividend income reported on Form 1099-DIV.</t>
        </is>
      </c>
    </row>
    <row r="77">
      <c r="B77" s="351" t="n"/>
      <c r="C77" s="1217" t="inlineStr">
        <is>
          <t>(Dividend income information will automatically appear on Schedule B, Line 5.)</t>
        </is>
      </c>
    </row>
    <row r="78">
      <c r="B78" s="351" t="inlineStr">
        <is>
          <t>6.</t>
        </is>
      </c>
      <c r="C78" s="1217" t="inlineStr">
        <is>
          <t>Click on the tab labeled '1099-R' and enter any IRA/pension/annuity income reported to you on Form 1099-R.</t>
        </is>
      </c>
    </row>
    <row r="79">
      <c r="B79" s="351" t="inlineStr">
        <is>
          <t>7.</t>
        </is>
      </c>
      <c r="C79" s="1217" t="inlineStr">
        <is>
          <t>Click on the tab labeled 'SSA-1099' and enter any Social Security income reported to you on Form SSA-1099.</t>
        </is>
      </c>
    </row>
    <row r="80">
      <c r="B80" s="351" t="inlineStr">
        <is>
          <t>8.</t>
        </is>
      </c>
      <c r="C80" s="1217" t="inlineStr">
        <is>
          <t>Begin a careful, line-by-line, review of the sheet labeled '1040'.  If additional information is needed for a</t>
        </is>
      </c>
    </row>
    <row r="81">
      <c r="C81" s="1217" t="inlineStr">
        <is>
          <t xml:space="preserve">particular line, then look for a sheet associated with that line (e.g. "Line 9 (QBID)") to determine if additional </t>
        </is>
      </c>
    </row>
    <row r="82">
      <c r="C82" s="1217" t="inlineStr">
        <is>
          <t>information needs to be entered.</t>
        </is>
      </c>
    </row>
    <row r="83" ht="14.1" customHeight="1" s="7635">
      <c r="C83" s="1217" t="inlineStr">
        <is>
          <t>HINT:  Recommend regularly checking and saving your spreadsheet.</t>
        </is>
      </c>
    </row>
    <row r="84" ht="14.1" customHeight="1" s="7635">
      <c r="B84" s="351" t="inlineStr">
        <is>
          <t>9.</t>
        </is>
      </c>
      <c r="C84" s="1217" t="inlineStr">
        <is>
          <t>Review every tab to determine its applicability to your tax return and make sure each sheet is completed.</t>
        </is>
      </c>
    </row>
    <row r="85" ht="14.1" customHeight="1" s="7635">
      <c r="B85" s="351" t="n"/>
      <c r="C85" s="1217" t="inlineStr">
        <is>
          <t>NOTE: At any time, you may change the tab color by right-mouse clicking on the tab.  Also, at any time,</t>
        </is>
      </c>
    </row>
    <row r="86" ht="14.1" customHeight="1" s="7635">
      <c r="B86" s="351" t="n"/>
      <c r="C86" s="1217" t="inlineStr">
        <is>
          <t>you may click and drag sheet tabs to be arranged in any order you desire.  Doing so will not affect</t>
        </is>
      </c>
    </row>
    <row r="87">
      <c r="B87" s="351" t="n"/>
      <c r="C87" s="1217" t="inlineStr">
        <is>
          <t>the function of the spreadsheet.</t>
        </is>
      </c>
    </row>
    <row r="88">
      <c r="B88" s="351" t="inlineStr">
        <is>
          <t>10.</t>
        </is>
      </c>
      <c r="C88" s="1217" t="inlineStr">
        <is>
          <t>Recommend printing your return and reviewing the printed copy against actual IRS forms and instructions.</t>
        </is>
      </c>
    </row>
    <row r="89">
      <c r="B89" s="351" t="inlineStr">
        <is>
          <t>11.</t>
        </is>
      </c>
      <c r="C89" s="1217" t="inlineStr">
        <is>
          <t>Transfer results to an electronic filing service or hard copies of the forms.</t>
        </is>
      </c>
    </row>
    <row r="91" ht="15.75" customHeight="1" s="7635" thickBot="1">
      <c r="C91" s="5695" t="n"/>
    </row>
    <row r="92">
      <c r="C92" s="5696" t="n"/>
      <c r="D92" s="378" t="n"/>
    </row>
    <row r="93">
      <c r="C93" s="5697" t="inlineStr">
        <is>
          <t>Table of Contents</t>
        </is>
      </c>
      <c r="D93" s="379" t="n"/>
    </row>
    <row r="94" ht="13.5" customHeight="1" s="7635" thickBot="1">
      <c r="C94" s="5210" t="n"/>
      <c r="D94" s="381" t="n"/>
    </row>
  </sheetData>
  <sheetProtection selectLockedCells="0" selectUnlockedCells="0" algorithmName="SHA-512" sheet="1" objects="1" insertRows="1" insertHyperlinks="1" autoFilter="1" scenarios="1" formatColumns="0" deleteColumns="1" insertColumns="1" pivotTables="1" deleteRows="1" formatCells="0" saltValue="sew9bW9t+GzwQgxu30OHWQ==" formatRows="0" sort="1" spinCount="100000" hashValue="t5Vkzq9F/j+yUvU9p2uSFejzzysLVyM7Agvv14teOaKh6pPsQ8cgKFknGP5rF+MkbX4j0ye9e6GtBHR9DfqKWw=="/>
  <hyperlinks>
    <hyperlink xmlns:r="http://schemas.openxmlformats.org/officeDocument/2006/relationships" ref="I18" r:id="rId1"/>
    <hyperlink ref="C93" location="'Table of Contents'!A1" display="Table of Contents"/>
  </hyperlinks>
  <pageMargins left="0.75" right="0.25" top="0.36" bottom="0.29" header="0.36" footer="0.21"/>
  <pageSetup orientation="portrait" scale="93" fitToHeight="0"/>
  <rowBreaks count="1" manualBreakCount="1">
    <brk id="67" min="0" max="11" man="1"/>
  </rowBreaks>
</worksheet>
</file>

<file path=xl/worksheets/sheet5.xml><?xml version="1.0" encoding="utf-8"?>
<worksheet xmlns="http://schemas.openxmlformats.org/spreadsheetml/2006/main">
  <sheetPr codeName="Sheet1">
    <outlinePr summaryBelow="1" summaryRight="1"/>
    <pageSetUpPr fitToPage="1"/>
  </sheetPr>
  <dimension ref="A1:AB113"/>
  <sheetViews>
    <sheetView zoomScaleNormal="100" zoomScaleSheetLayoutView="100" workbookViewId="0">
      <selection activeCell="A1" sqref="A1"/>
    </sheetView>
  </sheetViews>
  <sheetFormatPr baseColWidth="8" defaultColWidth="9.140625" defaultRowHeight="12.75"/>
  <cols>
    <col width="3.85546875" customWidth="1" style="4638" min="1" max="2"/>
    <col width="37.7109375" customWidth="1" style="7635" min="3" max="3"/>
    <col width="19.42578125" customWidth="1" style="7635" min="4" max="9"/>
    <col width="13" customWidth="1" style="7635" min="10" max="10"/>
    <col width="13.28515625" customWidth="1" style="7635" min="11" max="11"/>
    <col width="2.140625" customWidth="1" style="7635" min="12" max="12"/>
    <col width="18.140625" customWidth="1" style="5" min="13" max="13"/>
    <col width="30.5703125" customWidth="1" style="7635" min="14" max="14"/>
    <col width="10.85546875" customWidth="1" style="7834" min="15" max="15"/>
    <col width="13.7109375" customWidth="1" style="769" min="16" max="16"/>
    <col width="9.140625" customWidth="1" style="658" min="17" max="26"/>
    <col width="9.140625" customWidth="1" style="1363" min="27" max="27"/>
    <col width="8.140625" bestFit="1" customWidth="1" style="194" min="28" max="28"/>
  </cols>
  <sheetData>
    <row r="1" ht="42" customHeight="1" s="7635" thickBot="1">
      <c r="A1" s="4567" t="n"/>
      <c r="B1" s="4567" t="n"/>
      <c r="C1" s="4568" t="inlineStr">
        <is>
          <t>Information from Form W-2, Wage and Tax Statement</t>
        </is>
      </c>
      <c r="D1" s="4569" t="n"/>
      <c r="E1" s="4570" t="n"/>
      <c r="F1" s="4570" t="n"/>
      <c r="G1" s="4571" t="inlineStr">
        <is>
          <t>Maximum SS Tax Earnings:</t>
        </is>
      </c>
      <c r="H1" s="11873" t="n">
        <v>176100</v>
      </c>
      <c r="I1" s="4571" t="inlineStr">
        <is>
          <t>SS Tax Rate:</t>
        </is>
      </c>
      <c r="J1" s="11874" t="n">
        <v>0.062</v>
      </c>
      <c r="K1" s="4571" t="n"/>
      <c r="L1" s="4571" t="inlineStr">
        <is>
          <t>Max. SS Tax:</t>
        </is>
      </c>
      <c r="M1" s="11873">
        <f>ROUND(MaxSSTaxEarnings*SSTaxRate,2)</f>
        <v/>
      </c>
      <c r="N1" s="1614" t="inlineStr">
        <is>
          <t>per person</t>
        </is>
      </c>
      <c r="O1" s="2159" t="n"/>
      <c r="P1" s="768" t="inlineStr">
        <is>
          <t>Notes</t>
        </is>
      </c>
    </row>
    <row r="2" ht="42" customHeight="1" s="7635" thickTop="1">
      <c r="A2" s="6989" t="inlineStr">
        <is>
          <t>Line</t>
        </is>
      </c>
      <c r="B2" s="6989" t="inlineStr">
        <is>
          <t>Code</t>
        </is>
      </c>
      <c r="C2" s="4575">
        <f>IF(Name_1st_Yours="","Enter your name on the"&amp;CHAR(10)&amp;"sheet labeled '1040'",NameYours)</f>
        <v/>
      </c>
      <c r="D2" s="1331" t="inlineStr">
        <is>
          <t>Your 
Employer #1</t>
        </is>
      </c>
      <c r="E2" s="1331" t="inlineStr">
        <is>
          <t>Your 
Employer #2</t>
        </is>
      </c>
      <c r="F2" s="1331" t="inlineStr">
        <is>
          <t>Your 
Employer #3</t>
        </is>
      </c>
      <c r="G2" s="1331" t="inlineStr">
        <is>
          <t>Your 
Employer #4</t>
        </is>
      </c>
      <c r="H2" s="1331" t="inlineStr">
        <is>
          <t>Your 
Employer #5</t>
        </is>
      </c>
      <c r="I2" s="1331" t="inlineStr">
        <is>
          <t>Your 
Employer #6</t>
        </is>
      </c>
      <c r="J2" s="4574" t="inlineStr">
        <is>
          <t>Total</t>
        </is>
      </c>
      <c r="K2" s="4576" t="inlineStr">
        <is>
          <t>Excess</t>
        </is>
      </c>
      <c r="L2" s="8788" t="n"/>
      <c r="M2" s="4577" t="inlineStr">
        <is>
          <t>Used at:</t>
        </is>
      </c>
      <c r="N2" s="4578" t="n"/>
      <c r="O2" s="4579" t="n"/>
      <c r="P2" s="968" t="inlineStr">
        <is>
          <t>Date</t>
        </is>
      </c>
    </row>
    <row r="3" ht="19.5" customHeight="1" s="7635">
      <c r="A3" s="4580" t="inlineStr">
        <is>
          <t>1</t>
        </is>
      </c>
      <c r="B3" s="4580" t="n"/>
      <c r="C3" s="1895" t="inlineStr">
        <is>
          <t>Wages, tips, other compensation</t>
        </is>
      </c>
      <c r="D3" s="639" t="n"/>
      <c r="E3" s="639" t="n"/>
      <c r="F3" s="640" t="n"/>
      <c r="G3" s="641" t="n"/>
      <c r="H3" s="641" t="n"/>
      <c r="I3" s="641" t="n"/>
      <c r="J3" s="4581">
        <f>SUM(ROUND(D3,0),ROUND(E3,0),ROUND(F3,0),ROUND(G3,0),ROUND(H3,0),ROUND(I3,0))</f>
        <v/>
      </c>
      <c r="K3" s="4582" t="n"/>
      <c r="L3" s="4582" t="n"/>
      <c r="M3" s="4583" t="n"/>
      <c r="N3" s="4584" t="n"/>
      <c r="O3" s="989" t="n">
        <v>120000</v>
      </c>
      <c r="AA3" s="1364" t="n"/>
      <c r="AB3" s="989" t="n"/>
    </row>
    <row r="4">
      <c r="A4" s="4580" t="inlineStr">
        <is>
          <t>2</t>
        </is>
      </c>
      <c r="B4" s="4580" t="n"/>
      <c r="C4" s="1895" t="inlineStr">
        <is>
          <t>Federal income tax withheld</t>
        </is>
      </c>
      <c r="D4" s="642" t="n"/>
      <c r="E4" s="642" t="n"/>
      <c r="F4" s="642" t="n"/>
      <c r="G4" s="644" t="n"/>
      <c r="H4" s="644" t="n"/>
      <c r="I4" s="644" t="n"/>
      <c r="J4" s="4585">
        <f>SUM(ROUND(D4,0),ROUND(E4,0),ROUND(F4,0),ROUND(G4,0),ROUND(H4,0),ROUND(I4,0))</f>
        <v/>
      </c>
      <c r="K4" s="4582" t="n"/>
      <c r="L4" s="4582" t="n"/>
      <c r="M4" s="11875" t="n"/>
      <c r="N4" s="4584" t="n"/>
      <c r="O4" s="989">
        <f>0.19*O3</f>
        <v/>
      </c>
      <c r="AA4" s="1364" t="n"/>
      <c r="AB4" s="989" t="n"/>
    </row>
    <row r="5">
      <c r="A5" s="4580" t="inlineStr">
        <is>
          <t>3</t>
        </is>
      </c>
      <c r="B5" s="4580" t="n"/>
      <c r="C5" s="1895" t="inlineStr">
        <is>
          <t>Social security wages</t>
        </is>
      </c>
      <c r="D5" s="642" t="n"/>
      <c r="E5" s="642" t="n"/>
      <c r="F5" s="642" t="n"/>
      <c r="G5" s="644" t="n"/>
      <c r="H5" s="644" t="n"/>
      <c r="I5" s="644" t="n"/>
      <c r="J5" s="4585">
        <f>SUM(ROUND(D5,0),ROUND(E5,0),ROUND(F5,0),ROUND(G5,0),ROUND(H5,0),ROUND(I5,0))</f>
        <v/>
      </c>
      <c r="K5" s="4" t="n"/>
      <c r="L5" s="4" t="n"/>
      <c r="M5" s="4578" t="inlineStr">
        <is>
          <t>Sch. SE, Line 8a, Form 8919, line 8</t>
        </is>
      </c>
      <c r="N5" s="4584" t="n"/>
      <c r="O5" s="989">
        <f>IF(O3="",0,MIN(O3,MaxSSTaxEarnings))</f>
        <v/>
      </c>
      <c r="AA5" s="1364" t="n"/>
      <c r="AB5" s="989" t="n"/>
    </row>
    <row r="6">
      <c r="A6" s="4580" t="inlineStr">
        <is>
          <t>4</t>
        </is>
      </c>
      <c r="B6" s="4580" t="n"/>
      <c r="C6" s="1895" t="inlineStr">
        <is>
          <t>Social security tax withheld</t>
        </is>
      </c>
      <c r="D6" s="642" t="n"/>
      <c r="E6" s="642" t="n"/>
      <c r="F6" s="642" t="n"/>
      <c r="G6" s="644" t="n"/>
      <c r="H6" s="644" t="n"/>
      <c r="I6" s="644" t="n"/>
      <c r="J6" s="4587">
        <f>SUM(D6:I6)</f>
        <v/>
      </c>
      <c r="K6" s="4">
        <f>IF(SUM(J6,-MaxSSTax)&gt;0,SUM(J6,-MaxSSTax),0)</f>
        <v/>
      </c>
      <c r="L6" s="4" t="n"/>
      <c r="M6" s="4582">
        <f>IF(AND(EmployerCountYou&gt;1,K6&gt;0),"Schedule 3, line 11.",IF(AND(EmployerCountYou=1,K6&gt;0),"See note below.",""))</f>
        <v/>
      </c>
      <c r="N6" s="4351">
        <f>IF(K6&lt;1000,TEXT(K6,"$0.00"),TEXT(K6,"$0,000.00"))</f>
        <v/>
      </c>
      <c r="O6" s="989">
        <f>MIN(SSTaxRate*O3,MaxSSTax)</f>
        <v/>
      </c>
      <c r="AA6" s="1364" t="n"/>
      <c r="AB6" s="989" t="n"/>
    </row>
    <row r="7">
      <c r="A7" s="4580" t="inlineStr">
        <is>
          <t>5</t>
        </is>
      </c>
      <c r="B7" s="4580" t="n"/>
      <c r="C7" s="1895" t="inlineStr">
        <is>
          <t>Medicare wages and tips</t>
        </is>
      </c>
      <c r="D7" s="642" t="n"/>
      <c r="E7" s="642" t="n"/>
      <c r="F7" s="642" t="n"/>
      <c r="G7" s="644" t="n"/>
      <c r="H7" s="644" t="n"/>
      <c r="I7" s="644" t="n"/>
      <c r="J7" s="4585">
        <f>SUM(ROUND(D7,0),ROUND(E7,0),ROUND(F7,0),ROUND(G7,0),ROUND(H7,0),ROUND(I7,0))</f>
        <v/>
      </c>
      <c r="K7" s="4" t="n"/>
      <c r="L7" s="4" t="n"/>
      <c r="M7" s="11875" t="n"/>
      <c r="N7" s="4584" t="n"/>
      <c r="O7" s="989">
        <f>O3</f>
        <v/>
      </c>
      <c r="AA7" s="1364" t="n"/>
      <c r="AB7" s="989" t="n"/>
    </row>
    <row r="8">
      <c r="A8" s="4580" t="inlineStr">
        <is>
          <t>6</t>
        </is>
      </c>
      <c r="B8" s="4580" t="n"/>
      <c r="C8" s="1895" t="inlineStr">
        <is>
          <t>Medicare tax withheld</t>
        </is>
      </c>
      <c r="D8" s="642" t="n"/>
      <c r="E8" s="642" t="n"/>
      <c r="F8" s="642" t="n"/>
      <c r="G8" s="644" t="n"/>
      <c r="H8" s="644" t="n"/>
      <c r="I8" s="644" t="n"/>
      <c r="J8" s="4585">
        <f>SUM(ROUND(D8,0),ROUND(E8,0),ROUND(F8,0),ROUND(G8,0),ROUND(H8,0),ROUND(I8,0))</f>
        <v/>
      </c>
      <c r="K8" s="4" t="n"/>
      <c r="L8" s="4" t="n"/>
      <c r="M8" s="4588" t="inlineStr">
        <is>
          <t xml:space="preserve">  Only bolded amounts are used in this spreadsheet.</t>
        </is>
      </c>
      <c r="N8" s="4584" t="n"/>
      <c r="O8" s="989">
        <f>MedicareTaxRate*O7</f>
        <v/>
      </c>
      <c r="AA8" s="1364" t="n"/>
      <c r="AB8" s="989" t="n"/>
    </row>
    <row r="9">
      <c r="A9" s="4580" t="inlineStr">
        <is>
          <t>7</t>
        </is>
      </c>
      <c r="B9" s="4580" t="n"/>
      <c r="C9" s="1895" t="inlineStr">
        <is>
          <t>Social Security Tips</t>
        </is>
      </c>
      <c r="D9" s="642" t="n"/>
      <c r="E9" s="642" t="n"/>
      <c r="F9" s="643" t="n"/>
      <c r="G9" s="644" t="n"/>
      <c r="H9" s="644" t="n"/>
      <c r="I9" s="644" t="n"/>
      <c r="J9" s="4585">
        <f>SUM(ROUND(D9,0),ROUND(E9,0),ROUND(F9,0),ROUND(G9,0),ROUND(H9,0),ROUND(I9,0))</f>
        <v/>
      </c>
      <c r="K9" s="4" t="n"/>
      <c r="L9" s="4" t="n"/>
      <c r="M9" s="4578" t="inlineStr">
        <is>
          <t>Sch. SE, Line 8a, Form 8919, line 8</t>
        </is>
      </c>
      <c r="N9" s="4584" t="n"/>
      <c r="O9" s="5691" t="n">
        <v>26789</v>
      </c>
    </row>
    <row r="10">
      <c r="A10" s="4580" t="inlineStr">
        <is>
          <t>8</t>
        </is>
      </c>
      <c r="B10" s="4580" t="n"/>
      <c r="C10" s="4589" t="inlineStr">
        <is>
          <t>Allocated Tips</t>
        </is>
      </c>
      <c r="D10" s="642" t="n"/>
      <c r="E10" s="642" t="n"/>
      <c r="F10" s="643" t="n"/>
      <c r="G10" s="644" t="n"/>
      <c r="H10" s="644" t="n"/>
      <c r="I10" s="644" t="n"/>
      <c r="J10" s="4585">
        <f>SUM(ROUND(D10,0),ROUND(E10,0),ROUND(F10,0),ROUND(G10,0),ROUND(H10,0),ROUND(I10,0))</f>
        <v/>
      </c>
      <c r="K10" s="4" t="n"/>
      <c r="L10" s="4" t="n"/>
      <c r="N10" s="4590" t="n"/>
      <c r="Q10" s="664" t="n"/>
    </row>
    <row r="11">
      <c r="A11" s="4580" t="inlineStr">
        <is>
          <t>10</t>
        </is>
      </c>
      <c r="B11" s="4580" t="n"/>
      <c r="C11" s="1895" t="inlineStr">
        <is>
          <t>Dependent Care Benefits</t>
        </is>
      </c>
      <c r="D11" s="642" t="n"/>
      <c r="E11" s="642" t="n"/>
      <c r="F11" s="643" t="n"/>
      <c r="G11" s="644" t="n"/>
      <c r="H11" s="644" t="n"/>
      <c r="I11" s="644" t="n"/>
      <c r="J11" s="4585">
        <f>SUM(ROUND(D11,0),ROUND(E11,0),ROUND(F11,0),ROUND(G11,0),ROUND(H11,0),ROUND(I11,0))</f>
        <v/>
      </c>
      <c r="K11" s="4" t="n"/>
      <c r="L11" s="4" t="n"/>
      <c r="N11" s="4590" t="n"/>
    </row>
    <row r="12">
      <c r="A12" s="4580" t="inlineStr">
        <is>
          <t>11</t>
        </is>
      </c>
      <c r="B12" s="4580" t="n"/>
      <c r="C12" s="4589" t="inlineStr">
        <is>
          <t>Nonqualified plans</t>
        </is>
      </c>
      <c r="D12" s="642" t="n"/>
      <c r="E12" s="642" t="n"/>
      <c r="F12" s="643" t="n"/>
      <c r="G12" s="644" t="n"/>
      <c r="H12" s="644" t="n"/>
      <c r="I12" s="644" t="n"/>
      <c r="J12" s="4585">
        <f>SUM(ROUND(D12,0),ROUND(E12,0),ROUND(F12,0),ROUND(G12,0),ROUND(H12,0),ROUND(I12,0))</f>
        <v/>
      </c>
      <c r="K12" s="4" t="n"/>
      <c r="L12" s="4" t="n"/>
      <c r="N12" s="4590" t="n"/>
    </row>
    <row r="13">
      <c r="A13" s="6617" t="inlineStr">
        <is>
          <t>12</t>
        </is>
      </c>
      <c r="B13" s="6617" t="inlineStr">
        <is>
          <t>A</t>
        </is>
      </c>
      <c r="C13" s="1895" t="inlineStr">
        <is>
          <t>Uncollected Social Security Tax on Tips</t>
        </is>
      </c>
      <c r="D13" s="642" t="n"/>
      <c r="E13" s="642" t="n"/>
      <c r="F13" s="643" t="n"/>
      <c r="G13" s="644" t="n"/>
      <c r="H13" s="644" t="n"/>
      <c r="I13" s="6648" t="inlineStr">
        <is>
          <t>---</t>
        </is>
      </c>
      <c r="J13" s="4585">
        <f>SUM(ROUND(D13,0),ROUND(E13,0),ROUND(F13,0),ROUND(G13,0),ROUND(H13,0))</f>
        <v/>
      </c>
      <c r="K13" s="4" t="n"/>
      <c r="L13" s="4" t="n"/>
      <c r="M13" s="8648" t="inlineStr">
        <is>
          <t>Form 8919 (You), lines 1-5</t>
        </is>
      </c>
      <c r="N13" s="4590" t="n"/>
    </row>
    <row r="14">
      <c r="A14" s="6617" t="inlineStr">
        <is>
          <t>12</t>
        </is>
      </c>
      <c r="B14" s="6617" t="inlineStr">
        <is>
          <t>B</t>
        </is>
      </c>
      <c r="C14" s="1895" t="inlineStr">
        <is>
          <t>Uncollected Medicare tax on Tips</t>
        </is>
      </c>
      <c r="D14" s="642" t="n"/>
      <c r="E14" s="642" t="n"/>
      <c r="F14" s="643" t="n"/>
      <c r="G14" s="644" t="n"/>
      <c r="H14" s="644" t="n"/>
      <c r="I14" s="6648" t="inlineStr">
        <is>
          <t>---</t>
        </is>
      </c>
      <c r="J14" s="4585">
        <f>SUM(ROUND(D14,0),ROUND(E14,0),ROUND(F14,0),ROUND(G14,0),ROUND(H14,0))</f>
        <v/>
      </c>
      <c r="K14" s="4" t="n"/>
      <c r="L14" s="4" t="n"/>
      <c r="M14" s="8648" t="inlineStr">
        <is>
          <t>Form 8919 (You), lines 1-5</t>
        </is>
      </c>
      <c r="N14" s="4590" t="n"/>
    </row>
    <row r="15">
      <c r="A15" s="6617" t="inlineStr">
        <is>
          <t>12</t>
        </is>
      </c>
      <c r="B15" s="6617" t="inlineStr">
        <is>
          <t>H</t>
        </is>
      </c>
      <c r="C15" s="1895" t="inlineStr">
        <is>
          <t>Elective Deferral to 501(c)(18)(D) plan</t>
        </is>
      </c>
      <c r="D15" s="642" t="n"/>
      <c r="E15" s="642" t="n"/>
      <c r="F15" s="643" t="n"/>
      <c r="G15" s="644" t="n"/>
      <c r="H15" s="644" t="n"/>
      <c r="I15" s="644" t="n"/>
      <c r="J15" s="4585">
        <f>SUM(ROUND(D15,0),ROUND(E15,0),ROUND(F15,0),ROUND(G15,0),ROUND(H15,0),ROUND(I15,0))</f>
        <v/>
      </c>
      <c r="K15" s="4" t="n"/>
      <c r="L15" s="4" t="n"/>
      <c r="M15" s="6703" t="inlineStr">
        <is>
          <t>Form 8880, line 2 (a)</t>
        </is>
      </c>
      <c r="N15" s="4590" t="n"/>
    </row>
    <row r="16" ht="27" customHeight="1" s="7635">
      <c r="A16" s="6617" t="inlineStr">
        <is>
          <t>12</t>
        </is>
      </c>
      <c r="B16" s="6617" t="inlineStr">
        <is>
          <t>K</t>
        </is>
      </c>
      <c r="C16" s="6618" t="inlineStr">
        <is>
          <t>20% Excise Tax on Excess 'golden parachute' payments</t>
        </is>
      </c>
      <c r="D16" s="642" t="n"/>
      <c r="E16" s="642" t="n"/>
      <c r="F16" s="643" t="n"/>
      <c r="G16" s="644" t="n"/>
      <c r="H16" s="644" t="n"/>
      <c r="I16" s="644" t="n"/>
      <c r="J16" s="4585">
        <f>SUM(ROUND(D16,0),ROUND(E16,0),ROUND(F16,0),ROUND(G16,0),ROUND(H16,0),ROUND(I16,0))</f>
        <v/>
      </c>
      <c r="K16" s="4" t="n"/>
      <c r="L16" s="4" t="n"/>
      <c r="M16" s="6679" t="inlineStr">
        <is>
          <t>Form 1040, Sch. 2, line 17k</t>
        </is>
      </c>
      <c r="N16" s="4590" t="n"/>
      <c r="P16" s="795" t="n"/>
    </row>
    <row r="17" ht="25.5" customHeight="1" s="7635">
      <c r="A17" s="6617" t="inlineStr">
        <is>
          <t>12</t>
        </is>
      </c>
      <c r="B17" s="6617" t="inlineStr">
        <is>
          <t>M</t>
        </is>
      </c>
      <c r="C17" s="6619" t="inlineStr">
        <is>
          <t>Uncollected Social Security tax on group-term life (former employees)</t>
        </is>
      </c>
      <c r="D17" s="642" t="n"/>
      <c r="E17" s="642" t="n"/>
      <c r="F17" s="643" t="n"/>
      <c r="G17" s="644" t="n"/>
      <c r="H17" s="644" t="n"/>
      <c r="I17" s="644" t="n"/>
      <c r="J17" s="4585">
        <f>SUM(ROUND(D17,0),ROUND(E17,0),ROUND(F17,0),ROUND(G17,0),ROUND(H17,0),ROUND(I17,0))</f>
        <v/>
      </c>
      <c r="K17" s="4" t="n"/>
      <c r="L17" s="4" t="n"/>
      <c r="M17" s="6679" t="inlineStr">
        <is>
          <t>Form 1040, Sch. 2, line 13</t>
        </is>
      </c>
      <c r="N17" s="4590" t="n"/>
    </row>
    <row r="18" ht="25.5" customHeight="1" s="7635">
      <c r="A18" s="6617" t="inlineStr">
        <is>
          <t>12</t>
        </is>
      </c>
      <c r="B18" s="6617" t="inlineStr">
        <is>
          <t>N</t>
        </is>
      </c>
      <c r="C18" s="6619" t="inlineStr">
        <is>
          <t>Uncollected medicare tax on group-term life (former employees)</t>
        </is>
      </c>
      <c r="D18" s="642" t="n"/>
      <c r="E18" s="642" t="n"/>
      <c r="F18" s="643" t="n"/>
      <c r="G18" s="644" t="n"/>
      <c r="H18" s="644" t="n"/>
      <c r="I18" s="644" t="n"/>
      <c r="J18" s="4585">
        <f>SUM(ROUND(D18,0),ROUND(E18,0),ROUND(F18,0),ROUND(G18,0),ROUND(H18,0),ROUND(I18,0))</f>
        <v/>
      </c>
      <c r="K18" s="4" t="n"/>
      <c r="L18" s="4" t="n"/>
      <c r="M18" s="6679" t="inlineStr">
        <is>
          <t>Form 1040, Sch. 2, line 13</t>
        </is>
      </c>
      <c r="N18" s="4590" t="n"/>
    </row>
    <row r="19" ht="25.5" customHeight="1" s="7635">
      <c r="A19" s="6617" t="inlineStr">
        <is>
          <t>12</t>
        </is>
      </c>
      <c r="B19" s="6617" t="inlineStr">
        <is>
          <t>P</t>
        </is>
      </c>
      <c r="C19" s="6619" t="inlineStr">
        <is>
          <t>Excludable moving expense reinbursements for military</t>
        </is>
      </c>
      <c r="D19" s="642" t="n"/>
      <c r="E19" s="642" t="n"/>
      <c r="F19" s="643" t="n"/>
      <c r="G19" s="644" t="n"/>
      <c r="H19" s="644" t="n"/>
      <c r="I19" s="644" t="n"/>
      <c r="J19" s="4585">
        <f>SUM(ROUND(D19,0),ROUND(E19,0),ROUND(F19,0),ROUND(G19,0),ROUND(H19,0),ROUND(I19,0))</f>
        <v/>
      </c>
      <c r="K19" s="4" t="n"/>
      <c r="L19" s="4" t="n"/>
      <c r="M19" s="6679" t="inlineStr">
        <is>
          <t>Form 1040, Sch. 2, line 14</t>
        </is>
      </c>
      <c r="N19" s="4590" t="n"/>
    </row>
    <row r="20">
      <c r="A20" s="6617" t="inlineStr">
        <is>
          <t>12</t>
        </is>
      </c>
      <c r="B20" s="6617" t="inlineStr">
        <is>
          <t>Q</t>
        </is>
      </c>
      <c r="C20" s="1895" t="inlineStr">
        <is>
          <t>Non Taxable Combat Pay</t>
        </is>
      </c>
      <c r="D20" s="642" t="n"/>
      <c r="E20" s="642" t="n"/>
      <c r="F20" s="643" t="n"/>
      <c r="G20" s="644" t="n"/>
      <c r="H20" s="644" t="n"/>
      <c r="I20" s="644" t="n"/>
      <c r="J20" s="4585">
        <f>SUM(ROUND(D20,0),ROUND(E20,0),ROUND(F20,0),ROUND(G20,0),ROUND(H20,0),ROUND(I20,0))</f>
        <v/>
      </c>
      <c r="K20" s="4" t="n"/>
      <c r="L20" s="4" t="n"/>
      <c r="M20" s="6703" t="inlineStr">
        <is>
          <t>Form 2441, Part 4 of Earned Income Worksheet for Line 4</t>
        </is>
      </c>
      <c r="N20" s="6703" t="n"/>
    </row>
    <row r="21">
      <c r="A21" s="6617" t="inlineStr">
        <is>
          <t>12</t>
        </is>
      </c>
      <c r="B21" s="6617" t="inlineStr">
        <is>
          <t>S</t>
        </is>
      </c>
      <c r="C21" s="1895" t="inlineStr">
        <is>
          <t>Elective deferral to SIMPLE IRA</t>
        </is>
      </c>
      <c r="D21" s="642" t="n"/>
      <c r="E21" s="642" t="n"/>
      <c r="F21" s="643" t="n"/>
      <c r="G21" s="644" t="n"/>
      <c r="H21" s="644" t="n"/>
      <c r="I21" s="644" t="n"/>
      <c r="J21" s="4585">
        <f>SUM(ROUND(D21,0),ROUND(E21,0),ROUND(F21,0),ROUND(G21,0),ROUND(H21,0),ROUND(I21,0))</f>
        <v/>
      </c>
      <c r="K21" s="4" t="n"/>
      <c r="L21" s="4" t="n"/>
      <c r="M21" s="6703" t="inlineStr">
        <is>
          <t>Form 8880, line 2 (a)</t>
        </is>
      </c>
      <c r="N21" s="6703" t="n"/>
    </row>
    <row r="22">
      <c r="A22" s="6617" t="inlineStr">
        <is>
          <t>12</t>
        </is>
      </c>
      <c r="B22" s="6617" t="inlineStr">
        <is>
          <t>W</t>
        </is>
      </c>
      <c r="C22" s="1895" t="inlineStr">
        <is>
          <t>Employer contributions to HSA.</t>
        </is>
      </c>
      <c r="D22" s="642" t="n"/>
      <c r="E22" s="642" t="n"/>
      <c r="F22" s="643" t="n"/>
      <c r="G22" s="644" t="n"/>
      <c r="H22" s="644" t="n"/>
      <c r="I22" s="644" t="n"/>
      <c r="J22" s="4585">
        <f>SUM(ROUND(D22,0),ROUND(E22,0),ROUND(F22,0),ROUND(G22,0),ROUND(H22,0),ROUND(I22,0))</f>
        <v/>
      </c>
      <c r="K22" s="4" t="n"/>
      <c r="L22" s="4" t="n"/>
      <c r="M22" s="6703" t="inlineStr">
        <is>
          <t>Form 8889, Part I, line 9 (You)</t>
        </is>
      </c>
      <c r="N22" s="6703" t="n"/>
    </row>
    <row r="23">
      <c r="A23" s="4580" t="inlineStr">
        <is>
          <t>13</t>
        </is>
      </c>
      <c r="B23" s="4580" t="n"/>
      <c r="C23" s="4589" t="inlineStr">
        <is>
          <t>Stat Emp / Retire / 3rd Party Sick</t>
        </is>
      </c>
      <c r="D23" s="642" t="n"/>
      <c r="E23" s="642" t="n"/>
      <c r="F23" s="643" t="n"/>
      <c r="G23" s="644" t="n"/>
      <c r="H23" s="644" t="n"/>
      <c r="I23" s="644" t="n"/>
      <c r="J23" s="4585">
        <f>SUM(ROUND(D23,0),ROUND(E23,0),ROUND(F23,0),ROUND(G23,0),ROUND(H23,0),ROUND(I23,0))</f>
        <v/>
      </c>
      <c r="K23" s="4" t="n"/>
      <c r="L23" s="4" t="n"/>
      <c r="N23" s="4590" t="n"/>
    </row>
    <row r="24">
      <c r="A24" s="4580" t="inlineStr">
        <is>
          <t>14</t>
        </is>
      </c>
      <c r="B24" s="4580" t="n"/>
      <c r="C24" s="4589" t="inlineStr">
        <is>
          <t>Other</t>
        </is>
      </c>
      <c r="D24" s="642" t="n"/>
      <c r="E24" s="642" t="n"/>
      <c r="F24" s="643" t="n"/>
      <c r="G24" s="644" t="n"/>
      <c r="H24" s="644" t="n"/>
      <c r="I24" s="644" t="n"/>
      <c r="J24" s="4585">
        <f>SUM(ROUND(D24,0),ROUND(E24,0),ROUND(F24,0),ROUND(G24,0),ROUND(H24,0),ROUND(I24,0))</f>
        <v/>
      </c>
      <c r="K24" s="4" t="n"/>
      <c r="L24" s="4" t="n"/>
      <c r="N24" s="4590" t="n"/>
      <c r="P24" s="795" t="n"/>
    </row>
    <row r="25">
      <c r="A25" s="4580" t="inlineStr">
        <is>
          <t>14</t>
        </is>
      </c>
      <c r="B25" s="4580" t="n"/>
      <c r="C25" s="1895" t="inlineStr">
        <is>
          <t>Railroad retire (RRTA) compensation</t>
        </is>
      </c>
      <c r="D25" s="642" t="n"/>
      <c r="E25" s="642" t="n"/>
      <c r="F25" s="643" t="n"/>
      <c r="G25" s="643" t="n"/>
      <c r="H25" s="643" t="n"/>
      <c r="I25" s="643" t="n"/>
      <c r="J25" s="4585">
        <f>SUM(ROUND(D25,0),ROUND(E25,0),ROUND(F25,0),ROUND(G25,0),ROUND(H25,0),ROUND(I25,0))</f>
        <v/>
      </c>
      <c r="K25" s="4" t="n"/>
      <c r="L25" s="4" t="n"/>
      <c r="M25" s="8043">
        <f>IF(J35,"Form 8959, line 14","")</f>
        <v/>
      </c>
      <c r="N25" s="4590" t="n"/>
    </row>
    <row r="26">
      <c r="A26" s="4580" t="inlineStr">
        <is>
          <t>14</t>
        </is>
      </c>
      <c r="B26" s="4580" t="n"/>
      <c r="C26" s="4591" t="inlineStr">
        <is>
          <t>RRTA medicare tax withheld (see Form CT-2)</t>
        </is>
      </c>
      <c r="D26" s="642" t="n"/>
      <c r="E26" s="642" t="n"/>
      <c r="F26" s="642" t="n"/>
      <c r="G26" s="642" t="n"/>
      <c r="H26" s="642" t="n"/>
      <c r="I26" s="642" t="n"/>
      <c r="J26" s="4585">
        <f>SUM(ROUND(D26,0),ROUND(E26,0),ROUND(F26,0),ROUND(G26,0),ROUND(H26,0),ROUND(I26,0))</f>
        <v/>
      </c>
      <c r="K26" s="4" t="n"/>
      <c r="L26" s="4" t="n"/>
      <c r="N26" s="4590" t="n"/>
    </row>
    <row r="27">
      <c r="A27" s="4580" t="inlineStr">
        <is>
          <t>15</t>
        </is>
      </c>
      <c r="B27" s="4580" t="n"/>
      <c r="C27" s="4589" t="inlineStr">
        <is>
          <t>State - Employer's state ID number</t>
        </is>
      </c>
      <c r="D27" s="1472" t="n"/>
      <c r="E27" s="1472" t="n"/>
      <c r="F27" s="1472" t="n"/>
      <c r="G27" s="1472" t="n"/>
      <c r="H27" s="1472" t="n"/>
      <c r="I27" s="1472" t="n"/>
      <c r="J27" s="4592" t="inlineStr">
        <is>
          <t>- - -</t>
        </is>
      </c>
      <c r="K27" s="4" t="n"/>
      <c r="L27" s="4" t="n"/>
      <c r="N27" s="4590" t="n"/>
    </row>
    <row r="28">
      <c r="A28" s="4580" t="inlineStr">
        <is>
          <t>16</t>
        </is>
      </c>
      <c r="B28" s="4580" t="n"/>
      <c r="C28" s="4589" t="inlineStr">
        <is>
          <t xml:space="preserve">State wages, tips, etc. </t>
        </is>
      </c>
      <c r="D28" s="642" t="n"/>
      <c r="E28" s="642" t="n"/>
      <c r="F28" s="643" t="n"/>
      <c r="G28" s="643" t="n"/>
      <c r="H28" s="643" t="n"/>
      <c r="I28" s="644" t="n"/>
      <c r="J28" s="4585">
        <f>SUM(ROUND(D28,0),ROUND(E28,0),ROUND(F28,0),ROUND(G28,0),ROUND(H28,0),ROUND(I28,0))</f>
        <v/>
      </c>
      <c r="K28" s="4" t="n"/>
      <c r="L28" s="4" t="n"/>
      <c r="N28" s="4590" t="n"/>
    </row>
    <row r="29">
      <c r="A29" s="4580" t="inlineStr">
        <is>
          <t>17</t>
        </is>
      </c>
      <c r="B29" s="4580" t="n"/>
      <c r="C29" s="1895" t="inlineStr">
        <is>
          <t>State income tax</t>
        </is>
      </c>
      <c r="D29" s="642" t="n"/>
      <c r="E29" s="642" t="n"/>
      <c r="F29" s="643" t="n"/>
      <c r="G29" s="644" t="n"/>
      <c r="H29" s="644" t="n"/>
      <c r="I29" s="644" t="n"/>
      <c r="J29" s="4585">
        <f>SUM(ROUND(D29,0),ROUND(E29,0),ROUND(F29,0),ROUND(G29,0),ROUND(H29,0),ROUND(I29,0))</f>
        <v/>
      </c>
      <c r="K29" s="4" t="n"/>
      <c r="L29" s="4" t="n"/>
      <c r="N29" s="4590" t="n"/>
      <c r="O29" s="7562">
        <f>0.05*O3</f>
        <v/>
      </c>
      <c r="AA29" s="1364" t="n"/>
    </row>
    <row r="30">
      <c r="A30" s="4580" t="inlineStr">
        <is>
          <t>18</t>
        </is>
      </c>
      <c r="B30" s="4580" t="n"/>
      <c r="C30" s="4589" t="inlineStr">
        <is>
          <t>Local wages, tips, etc.</t>
        </is>
      </c>
      <c r="D30" s="642" t="n"/>
      <c r="E30" s="643" t="n"/>
      <c r="F30" s="643" t="n"/>
      <c r="G30" s="644" t="n"/>
      <c r="H30" s="644" t="n"/>
      <c r="I30" s="644" t="n"/>
      <c r="J30" s="4585">
        <f>SUM(ROUND(D30,0),ROUND(E30,0),ROUND(F30,0),ROUND(G30,0),ROUND(H30,0),ROUND(I30,0))</f>
        <v/>
      </c>
      <c r="K30" s="4" t="n"/>
      <c r="L30" s="4" t="n"/>
      <c r="N30" s="4590" t="n"/>
    </row>
    <row r="31">
      <c r="A31" s="4580" t="inlineStr">
        <is>
          <t>19</t>
        </is>
      </c>
      <c r="B31" s="4580" t="n"/>
      <c r="C31" s="1895" t="inlineStr">
        <is>
          <t>Local income tax</t>
        </is>
      </c>
      <c r="D31" s="642" t="n"/>
      <c r="E31" s="642" t="n"/>
      <c r="F31" s="642" t="n"/>
      <c r="G31" s="642" t="n"/>
      <c r="H31" s="642" t="n"/>
      <c r="I31" s="642" t="n"/>
      <c r="J31" s="4585">
        <f>SUM(ROUND(D31,0),ROUND(E31,0),ROUND(F31,0),ROUND(G31,0),ROUND(H31,0),ROUND(I31,0))</f>
        <v/>
      </c>
      <c r="K31" s="4" t="n"/>
      <c r="L31" s="4" t="n"/>
      <c r="N31" s="4593" t="n"/>
    </row>
    <row r="32">
      <c r="A32" s="4580" t="inlineStr">
        <is>
          <t>20</t>
        </is>
      </c>
      <c r="B32" s="4580" t="n"/>
      <c r="C32" s="4594" t="inlineStr">
        <is>
          <t>Locality name</t>
        </is>
      </c>
      <c r="D32" s="1472" t="n"/>
      <c r="E32" s="1472" t="n"/>
      <c r="F32" s="1472" t="n"/>
      <c r="G32" s="1472" t="n"/>
      <c r="H32" s="1472" t="n"/>
      <c r="I32" s="1472" t="n"/>
      <c r="J32" s="4592" t="inlineStr">
        <is>
          <t>- - -</t>
        </is>
      </c>
      <c r="K32" s="4595" t="n"/>
      <c r="L32" s="4" t="n"/>
      <c r="N32" s="4593" t="n"/>
    </row>
    <row r="33" hidden="1" s="7635">
      <c r="A33" s="8788" t="n"/>
      <c r="B33" s="8788" t="n"/>
      <c r="C33" s="4596" t="inlineStr">
        <is>
          <t>Employer count (You)</t>
        </is>
      </c>
      <c r="D33" s="11876">
        <f>IF(D6&lt;&gt;"",1,0)</f>
        <v/>
      </c>
      <c r="E33" s="11876">
        <f>IF(E6&lt;&gt;"",1,0)</f>
        <v/>
      </c>
      <c r="F33" s="11876">
        <f>IF(F6&lt;&gt;"",1,0)</f>
        <v/>
      </c>
      <c r="G33" s="11876">
        <f>IF(G6&lt;&gt;"",1,0)</f>
        <v/>
      </c>
      <c r="H33" s="11876">
        <f>IF(H6&lt;&gt;"",1,0)</f>
        <v/>
      </c>
      <c r="I33" s="11876">
        <f>IF(I6&lt;&gt;"",1,0)</f>
        <v/>
      </c>
      <c r="J33" s="820">
        <f>SUM(D33:I33)</f>
        <v/>
      </c>
      <c r="K33" s="740" t="n"/>
      <c r="L33" s="4" t="n"/>
      <c r="N33" s="3502" t="n"/>
    </row>
    <row r="34" hidden="1" ht="15" customHeight="1" s="7635">
      <c r="A34" s="7914" t="n"/>
      <c r="B34" s="7914" t="n"/>
      <c r="C34" s="4596">
        <f>"Medicare wages and tip &gt; "&amp;TEXT(K34,"$0,000")</f>
        <v/>
      </c>
      <c r="D34" s="4597">
        <f>(D7&gt;$K34)</f>
        <v/>
      </c>
      <c r="E34" s="4597">
        <f>(E7&gt;$K34)</f>
        <v/>
      </c>
      <c r="F34" s="4597">
        <f>(F7&gt;$K34)</f>
        <v/>
      </c>
      <c r="G34" s="4597">
        <f>(G7&gt;$K34)</f>
        <v/>
      </c>
      <c r="H34" s="4597">
        <f>(H7&gt;$K34)</f>
        <v/>
      </c>
      <c r="I34" s="4597">
        <f>(I7&gt;$K34)</f>
        <v/>
      </c>
      <c r="J34" s="4597">
        <f>OR(D34:I34)</f>
        <v/>
      </c>
      <c r="K34" s="4598">
        <f>'8959'!$H$24</f>
        <v/>
      </c>
      <c r="L34" s="8788" t="n"/>
      <c r="M34" s="4599" t="n"/>
      <c r="N34" s="4600" t="n"/>
    </row>
    <row r="35" hidden="1" ht="15" customHeight="1" s="7635">
      <c r="A35" s="7914" t="n"/>
      <c r="B35" s="7914" t="n"/>
      <c r="C35" s="4596">
        <f>"RRTA &gt; "&amp;TEXT(K35,"$0,000")</f>
        <v/>
      </c>
      <c r="D35" s="4597">
        <f>IF(D25&gt;'8959'!$H$24,TRUE,FALSE)</f>
        <v/>
      </c>
      <c r="E35" s="4597">
        <f>IF(E25&gt;'8959'!$H$24,TRUE,FALSE)</f>
        <v/>
      </c>
      <c r="F35" s="4597">
        <f>IF(F25&gt;'8959'!$H$24,TRUE,FALSE)</f>
        <v/>
      </c>
      <c r="G35" s="4597">
        <f>IF(G25&gt;'8959'!$H$24,TRUE,FALSE)</f>
        <v/>
      </c>
      <c r="H35" s="4597">
        <f>IF(H25&gt;'8959'!$H$24,TRUE,FALSE)</f>
        <v/>
      </c>
      <c r="I35" s="4597">
        <f>IF(I25&gt;'8959'!$H$24,TRUE,FALSE)</f>
        <v/>
      </c>
      <c r="J35" s="4597">
        <f>OR(D35:I35)</f>
        <v/>
      </c>
      <c r="K35" s="4598">
        <f>'8959'!H46</f>
        <v/>
      </c>
      <c r="L35" s="8788" t="n"/>
      <c r="M35" s="4599" t="n"/>
      <c r="N35" s="4600" t="n"/>
    </row>
    <row r="36" ht="15" customHeight="1" s="7635">
      <c r="A36" s="7914" t="n"/>
      <c r="B36" s="7914" t="n"/>
      <c r="C36" s="4601" t="n"/>
      <c r="D36" s="4602">
        <f>IF(AND(J6&gt;MaxSSTax,EmployerCountYou=1),"Notify your employer that they withheld "&amp;N6&amp;" too much Social Security Tax or file Form 843, Claim for Refund and Request for Abatement.","")</f>
        <v/>
      </c>
      <c r="E36" s="4601" t="n"/>
      <c r="F36" s="4601" t="n"/>
      <c r="G36" s="4601" t="n"/>
      <c r="H36" s="4601" t="n"/>
      <c r="I36" s="4601" t="n"/>
      <c r="J36" s="4601" t="n"/>
      <c r="K36" s="4601" t="n"/>
      <c r="L36" s="8788" t="n"/>
      <c r="M36" s="4599" t="n"/>
      <c r="N36" s="4600" t="n"/>
    </row>
    <row r="37" ht="15" customHeight="1" s="7635" thickBot="1">
      <c r="A37" s="7914" t="n"/>
      <c r="B37" s="7914" t="n"/>
      <c r="C37" s="4603">
        <f>IF(OR(AND(D7="",D8&lt;&gt;""),AND(E7="",E8&lt;&gt;""),AND(F7="",F8&lt;&gt;""),AND(G7="",G8&lt;&gt;"")),"CAUTION:  Entering an amount into Line 6 without entering an amount into Line 5 will result in a tax calculation error.","")</f>
        <v/>
      </c>
      <c r="D37" s="4603" t="n"/>
      <c r="E37" s="228" t="n"/>
      <c r="F37" s="228" t="n"/>
      <c r="G37" s="228" t="n"/>
      <c r="H37" s="228" t="n"/>
      <c r="I37" s="228" t="n"/>
      <c r="J37" s="228" t="n"/>
      <c r="K37" s="228" t="n"/>
      <c r="L37" s="8788" t="n"/>
      <c r="M37" s="4599" t="n"/>
      <c r="N37" s="4600" t="n"/>
    </row>
    <row r="38" ht="42" customHeight="1" s="7635" thickTop="1">
      <c r="A38" s="4604" t="n"/>
      <c r="B38" s="4604" t="n"/>
      <c r="C38" s="4605" t="inlineStr">
        <is>
          <t>Information from Form W-2, Wage and Tax Statement</t>
        </is>
      </c>
      <c r="D38" s="4606" t="n"/>
      <c r="E38" s="4607" t="n"/>
      <c r="F38" s="4607" t="n"/>
      <c r="G38" s="4607" t="n"/>
      <c r="H38" s="4607" t="n"/>
      <c r="I38" s="4607" t="n"/>
      <c r="J38" s="4607" t="n"/>
      <c r="K38" s="4607" t="n"/>
      <c r="L38" s="4607" t="n"/>
      <c r="M38" s="4608" t="n"/>
      <c r="N38" s="9864" t="n"/>
      <c r="O38" s="2159" t="n"/>
    </row>
    <row r="39" ht="36.75" customHeight="1" s="7635">
      <c r="A39" s="6989" t="inlineStr">
        <is>
          <t>Line</t>
        </is>
      </c>
      <c r="B39" s="6989" t="inlineStr">
        <is>
          <t>Code</t>
        </is>
      </c>
      <c r="C39" s="4609">
        <f>IF(Name_1st_Sp="","Enter your spouse's name on"&amp;CHAR(10)&amp;"the sheet labeled '1040'",NameSpouse)</f>
        <v/>
      </c>
      <c r="D39" s="1332" t="inlineStr">
        <is>
          <t>Spouse's 
Employer #1</t>
        </is>
      </c>
      <c r="E39" s="1332" t="inlineStr">
        <is>
          <t>Spouse's 
Employer #2</t>
        </is>
      </c>
      <c r="F39" s="1332" t="inlineStr">
        <is>
          <t>Spouse's 
Employer #3</t>
        </is>
      </c>
      <c r="G39" s="1332" t="inlineStr">
        <is>
          <t>Spouse's 
Employer #4</t>
        </is>
      </c>
      <c r="H39" s="1332" t="inlineStr">
        <is>
          <t>Spouse's 
Employer #5</t>
        </is>
      </c>
      <c r="I39" s="1332" t="inlineStr">
        <is>
          <t>Spouse's 
Employer #6</t>
        </is>
      </c>
      <c r="J39" s="4577" t="inlineStr">
        <is>
          <t>Total</t>
        </is>
      </c>
      <c r="K39" s="4577" t="inlineStr">
        <is>
          <t>Excess</t>
        </is>
      </c>
      <c r="L39" s="8788" t="n"/>
      <c r="M39" s="4577" t="inlineStr">
        <is>
          <t>Used at:</t>
        </is>
      </c>
      <c r="N39" s="4600" t="n"/>
      <c r="O39" s="1471" t="n">
        <v>0.75</v>
      </c>
    </row>
    <row r="40" ht="18" customHeight="1" s="7635">
      <c r="A40" s="4580" t="inlineStr">
        <is>
          <t>1</t>
        </is>
      </c>
      <c r="B40" s="4580" t="n"/>
      <c r="C40" s="1895" t="inlineStr">
        <is>
          <t>Wages, tips, other compensation</t>
        </is>
      </c>
      <c r="D40" s="639" t="n"/>
      <c r="E40" s="639" t="n"/>
      <c r="F40" s="640" t="n"/>
      <c r="G40" s="641" t="n"/>
      <c r="H40" s="641" t="n"/>
      <c r="I40" s="641" t="n"/>
      <c r="J40" s="4581">
        <f>SUM(ROUND(D40,0),ROUND(E40,0),ROUND(F40,0),ROUND(G40,0),ROUND(H40,0),ROUND(I40,0))</f>
        <v/>
      </c>
      <c r="K40" s="4582" t="n"/>
      <c r="L40" s="4582" t="n"/>
      <c r="M40" s="4583" t="n"/>
      <c r="N40" s="4610" t="n"/>
      <c r="O40" s="7562">
        <f>O3*$O$39</f>
        <v/>
      </c>
    </row>
    <row r="41">
      <c r="A41" s="4580" t="inlineStr">
        <is>
          <t>2</t>
        </is>
      </c>
      <c r="B41" s="4580" t="n"/>
      <c r="C41" s="1895" t="inlineStr">
        <is>
          <t>Federal income tax withheld</t>
        </is>
      </c>
      <c r="D41" s="642" t="n"/>
      <c r="E41" s="642" t="n"/>
      <c r="F41" s="643" t="n"/>
      <c r="G41" s="644" t="n"/>
      <c r="H41" s="644" t="n"/>
      <c r="I41" s="644" t="n"/>
      <c r="J41" s="4585">
        <f>SUM(ROUND(D41,0),ROUND(E41,0),ROUND(F41,0),ROUND(G41,0),ROUND(H41,0),ROUND(I41,0))</f>
        <v/>
      </c>
      <c r="K41" s="4582" t="n"/>
      <c r="L41" s="4582" t="n"/>
      <c r="M41" s="4611" t="n"/>
      <c r="N41" s="3502" t="n"/>
      <c r="O41" s="7562">
        <f>0.19*O40</f>
        <v/>
      </c>
    </row>
    <row r="42">
      <c r="A42" s="4580" t="inlineStr">
        <is>
          <t>3</t>
        </is>
      </c>
      <c r="B42" s="4580" t="n"/>
      <c r="C42" s="1895" t="inlineStr">
        <is>
          <t>Social security wages</t>
        </is>
      </c>
      <c r="D42" s="642" t="n"/>
      <c r="E42" s="642" t="n"/>
      <c r="F42" s="643" t="n"/>
      <c r="G42" s="644" t="n"/>
      <c r="H42" s="644" t="n"/>
      <c r="I42" s="644" t="n"/>
      <c r="J42" s="4585">
        <f>SUM(ROUND(D42,0),ROUND(E42,0),ROUND(F42,0),ROUND(G42,0),ROUND(H42,0),ROUND(I42,0))</f>
        <v/>
      </c>
      <c r="K42" s="4" t="n"/>
      <c r="L42" s="4" t="n"/>
      <c r="M42" s="4578" t="inlineStr">
        <is>
          <t>Sch. SE, Line 8a, Form 8919, line 8</t>
        </is>
      </c>
      <c r="N42" s="3502" t="n"/>
      <c r="O42" s="7562">
        <f>MIN(O40,MaxSSTaxEarnings)</f>
        <v/>
      </c>
    </row>
    <row r="43">
      <c r="A43" s="4580" t="inlineStr">
        <is>
          <t>4</t>
        </is>
      </c>
      <c r="B43" s="4580" t="n"/>
      <c r="C43" s="1895" t="inlineStr">
        <is>
          <t>Social security tax withheld</t>
        </is>
      </c>
      <c r="D43" s="642" t="n"/>
      <c r="E43" s="642" t="n"/>
      <c r="F43" s="643" t="n"/>
      <c r="G43" s="644" t="n"/>
      <c r="H43" s="644" t="n"/>
      <c r="I43" s="644" t="n"/>
      <c r="J43" s="4587">
        <f>SUM(D43:I43)</f>
        <v/>
      </c>
      <c r="K43" s="4">
        <f>IF(SUM(J43,-MaxSSTax)&gt;0,SUM(J43,-MaxSSTax),0)</f>
        <v/>
      </c>
      <c r="L43" s="4" t="n"/>
      <c r="M43" s="4582">
        <f>IF(AND(EmployerCountSpouse&gt;1,K43&gt;0),"Schedule 3, line 11.",IF(AND(EmployerCountSpouse=1,K43&gt;0),"See note below.",""))</f>
        <v/>
      </c>
      <c r="N43" s="4351">
        <f>IF(K43&lt;1000,TEXT(K43,"$0.00"),TEXT(K43,"$0,000.00"))</f>
        <v/>
      </c>
      <c r="O43" s="7562">
        <f>MIN(SSTaxRate*O40,MaxSSTax)</f>
        <v/>
      </c>
    </row>
    <row r="44">
      <c r="A44" s="4580" t="inlineStr">
        <is>
          <t>5</t>
        </is>
      </c>
      <c r="B44" s="4580" t="n"/>
      <c r="C44" s="1895" t="inlineStr">
        <is>
          <t>Medicare wages and tips</t>
        </is>
      </c>
      <c r="D44" s="642" t="n"/>
      <c r="E44" s="642" t="n"/>
      <c r="F44" s="643" t="n"/>
      <c r="G44" s="644" t="n"/>
      <c r="H44" s="644" t="n"/>
      <c r="I44" s="644" t="n"/>
      <c r="J44" s="4585">
        <f>SUM(ROUND(D44,0),ROUND(E44,0),ROUND(F44,0),ROUND(G44,0),ROUND(H44,0),ROUND(I44,0))</f>
        <v/>
      </c>
      <c r="K44" s="4" t="n"/>
      <c r="L44" s="4" t="n"/>
      <c r="M44" s="4612" t="n"/>
      <c r="N44" s="3502" t="n"/>
      <c r="O44" s="7562">
        <f>O40</f>
        <v/>
      </c>
    </row>
    <row r="45">
      <c r="A45" s="4580" t="inlineStr">
        <is>
          <t>6</t>
        </is>
      </c>
      <c r="B45" s="4580" t="n"/>
      <c r="C45" s="1895" t="inlineStr">
        <is>
          <t>Medicare tax withheld</t>
        </is>
      </c>
      <c r="D45" s="642" t="n"/>
      <c r="E45" s="642" t="n"/>
      <c r="F45" s="642" t="n"/>
      <c r="G45" s="642" t="n"/>
      <c r="H45" s="642" t="n"/>
      <c r="I45" s="642" t="n"/>
      <c r="J45" s="4585">
        <f>SUM(ROUND(D45,0),ROUND(E45,0),ROUND(F45,0),ROUND(G45,0),ROUND(H45,0),ROUND(I45,0))</f>
        <v/>
      </c>
      <c r="M45" s="4588" t="inlineStr">
        <is>
          <t xml:space="preserve">  Only bolded amounts are used in this spreadsheet.</t>
        </is>
      </c>
      <c r="N45" s="3502" t="n"/>
      <c r="O45" s="7562">
        <f>MedicareTaxRate*O44</f>
        <v/>
      </c>
    </row>
    <row r="46">
      <c r="A46" s="4580" t="inlineStr">
        <is>
          <t>7</t>
        </is>
      </c>
      <c r="B46" s="4580" t="n"/>
      <c r="C46" s="1895" t="inlineStr">
        <is>
          <t>Social Security Tips</t>
        </is>
      </c>
      <c r="D46" s="642" t="n"/>
      <c r="E46" s="642" t="n"/>
      <c r="F46" s="643" t="n"/>
      <c r="G46" s="644" t="n"/>
      <c r="H46" s="644" t="n"/>
      <c r="I46" s="644" t="n"/>
      <c r="J46" s="4585">
        <f>SUM(ROUND(D46,0),ROUND(E46,0),ROUND(F46,0),ROUND(G46,0),ROUND(H46,0),ROUND(I46,0))</f>
        <v/>
      </c>
      <c r="K46" s="4" t="n"/>
      <c r="L46" s="4" t="n"/>
      <c r="M46" s="4578" t="inlineStr">
        <is>
          <t>Sch. SE, Line 8a, Form 8919, line 8</t>
        </is>
      </c>
      <c r="N46" s="3502" t="n"/>
      <c r="O46" s="4579" t="n"/>
    </row>
    <row r="47">
      <c r="A47" s="4580" t="inlineStr">
        <is>
          <t>8</t>
        </is>
      </c>
      <c r="B47" s="4580" t="n"/>
      <c r="C47" s="4589" t="inlineStr">
        <is>
          <t>Allocated Tips</t>
        </is>
      </c>
      <c r="D47" s="642" t="n"/>
      <c r="E47" s="642" t="n"/>
      <c r="F47" s="643" t="n"/>
      <c r="G47" s="644" t="n"/>
      <c r="H47" s="644" t="n"/>
      <c r="I47" s="644" t="n"/>
      <c r="J47" s="4585">
        <f>SUM(ROUND(D47,0),ROUND(E47,0),ROUND(F47,0),ROUND(G47,0),ROUND(H47,0),ROUND(I47,0))</f>
        <v/>
      </c>
      <c r="K47" s="4" t="n"/>
      <c r="L47" s="4" t="n"/>
      <c r="N47" s="3502" t="n"/>
      <c r="O47" s="4579" t="n"/>
    </row>
    <row r="48">
      <c r="A48" s="4580" t="inlineStr">
        <is>
          <t>10</t>
        </is>
      </c>
      <c r="B48" s="4580" t="n"/>
      <c r="C48" s="1895" t="inlineStr">
        <is>
          <t>Dependent Care Benefits</t>
        </is>
      </c>
      <c r="D48" s="642" t="n"/>
      <c r="E48" s="642" t="n"/>
      <c r="F48" s="643" t="n"/>
      <c r="G48" s="644" t="n"/>
      <c r="H48" s="644" t="n"/>
      <c r="I48" s="644" t="n"/>
      <c r="J48" s="4585">
        <f>SUM(ROUND(D48,0),ROUND(E48,0),ROUND(F48,0),ROUND(G48,0),ROUND(H48,0),ROUND(I48,0))</f>
        <v/>
      </c>
      <c r="K48" s="4" t="n"/>
      <c r="L48" s="4" t="n"/>
      <c r="N48" s="3502" t="n"/>
      <c r="O48" s="4579" t="n"/>
    </row>
    <row r="49">
      <c r="A49" s="4580" t="inlineStr">
        <is>
          <t>11</t>
        </is>
      </c>
      <c r="B49" s="4580" t="n"/>
      <c r="C49" s="4589" t="inlineStr">
        <is>
          <t>Nonqualified plans</t>
        </is>
      </c>
      <c r="D49" s="642" t="n"/>
      <c r="E49" s="642" t="n"/>
      <c r="F49" s="643" t="n"/>
      <c r="G49" s="644" t="n"/>
      <c r="H49" s="644" t="n"/>
      <c r="I49" s="644" t="n"/>
      <c r="J49" s="4585">
        <f>SUM(ROUND(D49,0),ROUND(E49,0),ROUND(F49,0),ROUND(G49,0),ROUND(H49,0),ROUND(I49,0))</f>
        <v/>
      </c>
      <c r="K49" s="4" t="n"/>
      <c r="L49" s="4" t="n"/>
      <c r="N49" s="3502" t="n"/>
      <c r="O49" s="4579" t="n"/>
    </row>
    <row r="50">
      <c r="A50" s="6617" t="inlineStr">
        <is>
          <t>12</t>
        </is>
      </c>
      <c r="B50" s="6617" t="inlineStr">
        <is>
          <t>A</t>
        </is>
      </c>
      <c r="C50" s="6620" t="inlineStr">
        <is>
          <t>Uncollected Social Security Tax on Tips</t>
        </is>
      </c>
      <c r="D50" s="642" t="n"/>
      <c r="E50" s="642" t="n"/>
      <c r="F50" s="643" t="n"/>
      <c r="G50" s="644" t="n"/>
      <c r="H50" s="644" t="n"/>
      <c r="I50" s="6648" t="inlineStr">
        <is>
          <t>---</t>
        </is>
      </c>
      <c r="J50" s="4585">
        <f>SUM(ROUND(D50,0),ROUND(E50,0),ROUND(F50,0),ROUND(G50,0),ROUND(H50,0))</f>
        <v/>
      </c>
      <c r="K50" s="4" t="n"/>
      <c r="L50" s="4" t="n"/>
      <c r="M50" s="8648" t="inlineStr">
        <is>
          <t>Form 8919 (Spouse), lines 1-5</t>
        </is>
      </c>
      <c r="N50" s="3502" t="n"/>
      <c r="O50" s="4579" t="n"/>
    </row>
    <row r="51">
      <c r="A51" s="6617" t="inlineStr">
        <is>
          <t>12</t>
        </is>
      </c>
      <c r="B51" s="6617" t="inlineStr">
        <is>
          <t>B</t>
        </is>
      </c>
      <c r="C51" s="6620" t="inlineStr">
        <is>
          <t>Uncollected Medicare tax on Tips</t>
        </is>
      </c>
      <c r="D51" s="642" t="n"/>
      <c r="E51" s="642" t="n"/>
      <c r="F51" s="643" t="n"/>
      <c r="G51" s="644" t="n"/>
      <c r="H51" s="644" t="n"/>
      <c r="I51" s="6648" t="inlineStr">
        <is>
          <t>---</t>
        </is>
      </c>
      <c r="J51" s="4585">
        <f>SUM(ROUND(D51,0),ROUND(E51,0),ROUND(F51,0),ROUND(G51,0),ROUND(H51,0))</f>
        <v/>
      </c>
      <c r="K51" s="4" t="n"/>
      <c r="L51" s="4" t="n"/>
      <c r="M51" s="8648" t="inlineStr">
        <is>
          <t>Form 8919 (Spouse), lines 1-5</t>
        </is>
      </c>
      <c r="N51" s="3502" t="n"/>
      <c r="O51" s="4579" t="n"/>
    </row>
    <row r="52">
      <c r="A52" s="6617" t="inlineStr">
        <is>
          <t>12</t>
        </is>
      </c>
      <c r="B52" s="6617" t="inlineStr">
        <is>
          <t>H</t>
        </is>
      </c>
      <c r="C52" s="6620" t="inlineStr">
        <is>
          <t>Elective Deferral to 501(c)(18)(D) plan</t>
        </is>
      </c>
      <c r="D52" s="642" t="n"/>
      <c r="E52" s="642" t="n"/>
      <c r="F52" s="643" t="n"/>
      <c r="G52" s="644" t="n"/>
      <c r="H52" s="644" t="n"/>
      <c r="I52" s="644" t="n"/>
      <c r="J52" s="4585">
        <f>SUM(ROUND(D52,0),ROUND(E52,0),ROUND(F52,0),ROUND(G52,0),ROUND(H52,0),ROUND(I52,0))</f>
        <v/>
      </c>
      <c r="K52" s="4" t="n"/>
      <c r="L52" s="4" t="n"/>
      <c r="M52" s="6703" t="inlineStr">
        <is>
          <t>Form 8880, line 2 (b)</t>
        </is>
      </c>
      <c r="N52" s="3502" t="n"/>
      <c r="O52" s="4579" t="n"/>
    </row>
    <row r="53" ht="25.5" customHeight="1" s="7635">
      <c r="A53" s="6617" t="inlineStr">
        <is>
          <t>12</t>
        </is>
      </c>
      <c r="B53" s="6617" t="inlineStr">
        <is>
          <t>K</t>
        </is>
      </c>
      <c r="C53" s="6618" t="inlineStr">
        <is>
          <t>20% Excise Tax on Excess 'golden parachute' payments</t>
        </is>
      </c>
      <c r="D53" s="642" t="n"/>
      <c r="E53" s="642" t="n"/>
      <c r="F53" s="643" t="n"/>
      <c r="G53" s="644" t="n"/>
      <c r="H53" s="644" t="n"/>
      <c r="I53" s="644" t="n"/>
      <c r="J53" s="4585">
        <f>SUM(ROUND(D53,0),ROUND(E53,0),ROUND(F53,0),ROUND(G53,0),ROUND(H53,0),ROUND(I53,0))</f>
        <v/>
      </c>
      <c r="K53" s="4" t="n"/>
      <c r="L53" s="4" t="n"/>
      <c r="M53" s="6679" t="inlineStr">
        <is>
          <t>Form 1040, Sch. 2, line 17k</t>
        </is>
      </c>
      <c r="N53" s="3502" t="n"/>
      <c r="O53" s="4579" t="n"/>
    </row>
    <row r="54" ht="25.5" customHeight="1" s="7635">
      <c r="A54" s="6617" t="inlineStr">
        <is>
          <t>12</t>
        </is>
      </c>
      <c r="B54" s="6617" t="inlineStr">
        <is>
          <t>M</t>
        </is>
      </c>
      <c r="C54" s="6621" t="inlineStr">
        <is>
          <t>Uncollected Social Security tax on group-term life (former employees)</t>
        </is>
      </c>
      <c r="D54" s="642" t="n"/>
      <c r="E54" s="642" t="n"/>
      <c r="F54" s="643" t="n"/>
      <c r="G54" s="644" t="n"/>
      <c r="H54" s="644" t="n"/>
      <c r="I54" s="644" t="n"/>
      <c r="J54" s="4585">
        <f>SUM(ROUND(D54,0),ROUND(E54,0),ROUND(F54,0),ROUND(G54,0),ROUND(H54,0),ROUND(I54,0))</f>
        <v/>
      </c>
      <c r="K54" s="4" t="n"/>
      <c r="L54" s="4" t="n"/>
      <c r="M54" s="6679" t="inlineStr">
        <is>
          <t>Form 1040, Sch. 2, line 13</t>
        </is>
      </c>
      <c r="N54" s="4590" t="n"/>
    </row>
    <row r="55" ht="25.5" customHeight="1" s="7635">
      <c r="A55" s="6617" t="inlineStr">
        <is>
          <t>12</t>
        </is>
      </c>
      <c r="B55" s="6617" t="inlineStr">
        <is>
          <t>N</t>
        </is>
      </c>
      <c r="C55" s="6621" t="inlineStr">
        <is>
          <t>Uncollected medicare tax on group-term life (former employees)</t>
        </is>
      </c>
      <c r="D55" s="642" t="n"/>
      <c r="E55" s="642" t="n"/>
      <c r="F55" s="643" t="n"/>
      <c r="G55" s="644" t="n"/>
      <c r="H55" s="644" t="n"/>
      <c r="I55" s="644" t="n"/>
      <c r="J55" s="4585">
        <f>SUM(ROUND(D55,0),ROUND(E55,0),ROUND(F55,0),ROUND(G55,0),ROUND(H55,0),ROUND(I55,0))</f>
        <v/>
      </c>
      <c r="K55" s="4" t="n"/>
      <c r="L55" s="4" t="n"/>
      <c r="M55" s="6679" t="inlineStr">
        <is>
          <t>Form 1040, Sch. 2, line 13</t>
        </is>
      </c>
      <c r="N55" s="4590" t="n"/>
    </row>
    <row r="56" ht="25.5" customHeight="1" s="7635">
      <c r="A56" s="6617" t="inlineStr">
        <is>
          <t>12</t>
        </is>
      </c>
      <c r="B56" s="6617" t="inlineStr">
        <is>
          <t>P</t>
        </is>
      </c>
      <c r="C56" s="6621" t="inlineStr">
        <is>
          <t>Excludable moving expense reinbursements for military</t>
        </is>
      </c>
      <c r="D56" s="642" t="n"/>
      <c r="E56" s="642" t="n"/>
      <c r="F56" s="643" t="n"/>
      <c r="G56" s="644" t="n"/>
      <c r="H56" s="644" t="n"/>
      <c r="I56" s="644" t="n"/>
      <c r="J56" s="4585">
        <f>SUM(ROUND(D56,0),ROUND(E56,0),ROUND(F56,0),ROUND(G56,0),ROUND(H56,0),ROUND(I56,0))</f>
        <v/>
      </c>
      <c r="K56" s="4" t="n"/>
      <c r="L56" s="4" t="n"/>
      <c r="M56" s="6679" t="inlineStr">
        <is>
          <t>Form 1040, Sch. 2, line 14</t>
        </is>
      </c>
      <c r="N56" s="4590" t="n"/>
    </row>
    <row r="57">
      <c r="A57" s="6617" t="inlineStr">
        <is>
          <t>12</t>
        </is>
      </c>
      <c r="B57" s="6617" t="inlineStr">
        <is>
          <t>Q</t>
        </is>
      </c>
      <c r="C57" s="6620" t="inlineStr">
        <is>
          <t>Non Taxable Combat Pay</t>
        </is>
      </c>
      <c r="D57" s="642" t="n"/>
      <c r="E57" s="642" t="n"/>
      <c r="F57" s="643" t="n"/>
      <c r="G57" s="644" t="n"/>
      <c r="H57" s="644" t="n"/>
      <c r="I57" s="644" t="n"/>
      <c r="J57" s="4585">
        <f>SUM(ROUND(D57,0),ROUND(E57,0),ROUND(F57,0),ROUND(G57,0),ROUND(H57,0),ROUND(I57,0))</f>
        <v/>
      </c>
      <c r="K57" s="4" t="n"/>
      <c r="L57" s="4" t="n"/>
      <c r="M57" s="6703" t="inlineStr">
        <is>
          <t>Form 2441, Part 4 of Earned Income Worksheet for Line 5</t>
        </is>
      </c>
      <c r="N57" s="4590" t="n"/>
      <c r="P57" s="795" t="n"/>
    </row>
    <row r="58">
      <c r="A58" s="6617" t="inlineStr">
        <is>
          <t>12</t>
        </is>
      </c>
      <c r="B58" s="6617" t="inlineStr">
        <is>
          <t>S</t>
        </is>
      </c>
      <c r="C58" s="1895" t="inlineStr">
        <is>
          <t>Elective deferral to SIMPLE IRA</t>
        </is>
      </c>
      <c r="D58" s="642" t="n"/>
      <c r="E58" s="642" t="n"/>
      <c r="F58" s="643" t="n"/>
      <c r="G58" s="644" t="n"/>
      <c r="H58" s="644" t="n"/>
      <c r="I58" s="644" t="n"/>
      <c r="J58" s="4585">
        <f>SUM(ROUND(D58,0),ROUND(E58,0),ROUND(F58,0),ROUND(G58,0),ROUND(H58,0),ROUND(I58,0))</f>
        <v/>
      </c>
      <c r="K58" s="4" t="n"/>
      <c r="L58" s="4" t="n"/>
      <c r="M58" s="6703" t="inlineStr">
        <is>
          <t>Form 8880, line 2 (b)</t>
        </is>
      </c>
      <c r="N58" s="6703" t="n"/>
    </row>
    <row r="59">
      <c r="A59" s="6617" t="inlineStr">
        <is>
          <t>12</t>
        </is>
      </c>
      <c r="B59" s="6617" t="inlineStr">
        <is>
          <t>W</t>
        </is>
      </c>
      <c r="C59" s="1895" t="inlineStr">
        <is>
          <t>Employer contributions to HSA.</t>
        </is>
      </c>
      <c r="D59" s="642" t="n"/>
      <c r="E59" s="642" t="n"/>
      <c r="F59" s="643" t="n"/>
      <c r="G59" s="644" t="n"/>
      <c r="H59" s="644" t="n"/>
      <c r="I59" s="644" t="n"/>
      <c r="J59" s="4585">
        <f>SUM(ROUND(D59,0),ROUND(E59,0),ROUND(F59,0),ROUND(G59,0),ROUND(H59,0),ROUND(I59,0))</f>
        <v/>
      </c>
      <c r="K59" s="4" t="n"/>
      <c r="L59" s="4" t="n"/>
      <c r="M59" s="6703" t="inlineStr">
        <is>
          <t>Form 8889, Part I, line 9 (Spouse)</t>
        </is>
      </c>
      <c r="N59" s="6703" t="n"/>
    </row>
    <row r="60">
      <c r="A60" s="4580" t="inlineStr">
        <is>
          <t>13</t>
        </is>
      </c>
      <c r="B60" s="4580" t="n"/>
      <c r="C60" s="4589" t="inlineStr">
        <is>
          <t>Stat Emp / Retire / 3rd Party Sick</t>
        </is>
      </c>
      <c r="D60" s="642" t="n"/>
      <c r="E60" s="642" t="n"/>
      <c r="F60" s="643" t="n"/>
      <c r="G60" s="644" t="n"/>
      <c r="H60" s="644" t="n"/>
      <c r="I60" s="644" t="n"/>
      <c r="J60" s="4585">
        <f>SUM(ROUND(D60,0),ROUND(E60,0),ROUND(F60,0),ROUND(G60,0),ROUND(H60,0),ROUND(I60,0))</f>
        <v/>
      </c>
      <c r="K60" s="4" t="n"/>
      <c r="L60" s="4" t="n"/>
      <c r="N60" s="3502" t="n"/>
      <c r="O60" s="4579" t="n"/>
    </row>
    <row r="61">
      <c r="A61" s="4580" t="inlineStr">
        <is>
          <t>14</t>
        </is>
      </c>
      <c r="B61" s="4580" t="n"/>
      <c r="C61" s="4589" t="inlineStr">
        <is>
          <t>Other</t>
        </is>
      </c>
      <c r="D61" s="642" t="n"/>
      <c r="E61" s="642" t="n"/>
      <c r="F61" s="643" t="n"/>
      <c r="G61" s="644" t="n"/>
      <c r="H61" s="644" t="n"/>
      <c r="I61" s="644" t="n"/>
      <c r="J61" s="4585">
        <f>SUM(ROUND(D61,0),ROUND(E61,0),ROUND(F61,0),ROUND(G61,0),ROUND(H61,0),ROUND(I61,0))</f>
        <v/>
      </c>
      <c r="K61" s="4" t="n"/>
      <c r="L61" s="4" t="n"/>
      <c r="N61" s="3502" t="n"/>
      <c r="O61" s="4579" t="n"/>
    </row>
    <row r="62">
      <c r="A62" s="4580" t="inlineStr">
        <is>
          <t>14</t>
        </is>
      </c>
      <c r="B62" s="4580" t="n"/>
      <c r="C62" s="1895" t="inlineStr">
        <is>
          <t>Railroad retire (RRTA) compensation</t>
        </is>
      </c>
      <c r="D62" s="642" t="n"/>
      <c r="E62" s="642" t="n"/>
      <c r="F62" s="642" t="n"/>
      <c r="G62" s="644" t="n"/>
      <c r="H62" s="644" t="n"/>
      <c r="I62" s="644" t="n"/>
      <c r="J62" s="4585">
        <f>SUM(ROUND(D62,0),ROUND(E62,0),ROUND(F62,0),ROUND(G62,0),ROUND(H62,0),ROUND(I62,0))</f>
        <v/>
      </c>
      <c r="K62" s="4" t="n"/>
      <c r="L62" s="4" t="n"/>
      <c r="M62" s="4582">
        <f>IF(J72,"Form 8959, line 14","")</f>
        <v/>
      </c>
      <c r="N62" s="3502" t="n"/>
      <c r="O62" s="4579" t="n"/>
    </row>
    <row r="63">
      <c r="A63" s="4580" t="inlineStr">
        <is>
          <t>14</t>
        </is>
      </c>
      <c r="B63" s="4580" t="n"/>
      <c r="C63" s="4591" t="inlineStr">
        <is>
          <t>RRTA medicare tax withheld (see Form CT-2)</t>
        </is>
      </c>
      <c r="D63" s="642" t="n"/>
      <c r="E63" s="642" t="n"/>
      <c r="F63" s="643" t="n"/>
      <c r="G63" s="644" t="n"/>
      <c r="H63" s="644" t="n"/>
      <c r="I63" s="644" t="n"/>
      <c r="J63" s="4585">
        <f>SUM(ROUND(D63,0),ROUND(E63,0),ROUND(F63,0),ROUND(G63,0),ROUND(H63,0),ROUND(I63,0))</f>
        <v/>
      </c>
      <c r="K63" s="4" t="n"/>
      <c r="L63" s="4" t="n"/>
      <c r="N63" s="3502" t="n"/>
    </row>
    <row r="64">
      <c r="A64" s="4580" t="inlineStr">
        <is>
          <t>15</t>
        </is>
      </c>
      <c r="B64" s="4580" t="n"/>
      <c r="C64" s="4589" t="inlineStr">
        <is>
          <t>State - Employer's state ID number</t>
        </is>
      </c>
      <c r="D64" s="1472" t="n"/>
      <c r="E64" s="1472" t="n"/>
      <c r="F64" s="1472" t="n"/>
      <c r="G64" s="1472" t="n"/>
      <c r="H64" s="1472" t="n"/>
      <c r="I64" s="1472" t="n"/>
      <c r="J64" s="4592" t="inlineStr">
        <is>
          <t>- - -</t>
        </is>
      </c>
      <c r="K64" s="4" t="n"/>
      <c r="L64" s="4" t="n"/>
      <c r="N64" s="4590" t="n"/>
      <c r="O64" s="4579" t="n"/>
    </row>
    <row r="65">
      <c r="A65" s="4580" t="inlineStr">
        <is>
          <t>16</t>
        </is>
      </c>
      <c r="B65" s="4580" t="n"/>
      <c r="C65" s="4589" t="inlineStr">
        <is>
          <t xml:space="preserve">State wages, tips, etc. </t>
        </is>
      </c>
      <c r="D65" s="642" t="n"/>
      <c r="E65" s="642" t="n"/>
      <c r="F65" s="643" t="n"/>
      <c r="G65" s="644" t="n"/>
      <c r="H65" s="644" t="n"/>
      <c r="I65" s="644" t="n"/>
      <c r="J65" s="4585">
        <f>SUM(ROUND(D65,0),ROUND(E65,0),ROUND(F65,0),ROUND(G65,0),ROUND(H65,0),ROUND(I65,0))</f>
        <v/>
      </c>
      <c r="K65" s="4" t="n"/>
      <c r="L65" s="4" t="n"/>
      <c r="N65" s="3502" t="n"/>
      <c r="O65" s="7562">
        <f>0.05*O74</f>
        <v/>
      </c>
    </row>
    <row r="66">
      <c r="A66" s="4580" t="inlineStr">
        <is>
          <t>17</t>
        </is>
      </c>
      <c r="B66" s="4580" t="n"/>
      <c r="C66" s="1895" t="inlineStr">
        <is>
          <t>State income tax</t>
        </is>
      </c>
      <c r="D66" s="642" t="n"/>
      <c r="E66" s="642" t="n"/>
      <c r="F66" s="643" t="n"/>
      <c r="G66" s="644" t="n"/>
      <c r="H66" s="644" t="n"/>
      <c r="I66" s="644" t="n"/>
      <c r="J66" s="4585">
        <f>SUM(ROUND(D66,0),ROUND(E66,0),ROUND(F66,0),ROUND(G66,0),ROUND(H66,0),ROUND(I66,0))</f>
        <v/>
      </c>
      <c r="N66" s="3502" t="n"/>
      <c r="O66" s="7562">
        <f>0.05*O40</f>
        <v/>
      </c>
    </row>
    <row r="67">
      <c r="A67" s="4580" t="inlineStr">
        <is>
          <t>18</t>
        </is>
      </c>
      <c r="B67" s="4580" t="n"/>
      <c r="C67" s="4589" t="inlineStr">
        <is>
          <t>Local wages, tips, etc.</t>
        </is>
      </c>
      <c r="D67" s="642" t="n"/>
      <c r="E67" s="643" t="n"/>
      <c r="F67" s="643" t="n"/>
      <c r="G67" s="644" t="n"/>
      <c r="H67" s="644" t="n"/>
      <c r="I67" s="644" t="n"/>
      <c r="J67" s="4585">
        <f>SUM(ROUND(D67,0),ROUND(E67,0),ROUND(F67,0),ROUND(G67,0),ROUND(H67,0),ROUND(I67,0))</f>
        <v/>
      </c>
      <c r="K67" s="4" t="n"/>
      <c r="L67" s="4" t="n"/>
      <c r="N67" s="3502" t="n"/>
      <c r="O67" s="4579" t="n"/>
    </row>
    <row r="68">
      <c r="A68" s="4580" t="inlineStr">
        <is>
          <t>19</t>
        </is>
      </c>
      <c r="B68" s="4580" t="n"/>
      <c r="C68" s="1895" t="inlineStr">
        <is>
          <t>Local income tax</t>
        </is>
      </c>
      <c r="D68" s="642" t="n"/>
      <c r="E68" s="642" t="n"/>
      <c r="F68" s="642" t="n"/>
      <c r="G68" s="642" t="n"/>
      <c r="H68" s="642" t="n"/>
      <c r="I68" s="642" t="n"/>
      <c r="J68" s="4585">
        <f>SUM(ROUND(D68,0),ROUND(E68,0),ROUND(F68,0),ROUND(G68,0),ROUND(H68,0),ROUND(I68,0))</f>
        <v/>
      </c>
      <c r="K68" s="4" t="n"/>
      <c r="L68" s="4" t="n"/>
      <c r="N68" s="3502" t="n"/>
      <c r="O68" s="4579" t="n"/>
    </row>
    <row r="69">
      <c r="A69" s="4580" t="inlineStr">
        <is>
          <t>20</t>
        </is>
      </c>
      <c r="B69" s="4580" t="n"/>
      <c r="C69" s="4594" t="inlineStr">
        <is>
          <t>Locality name</t>
        </is>
      </c>
      <c r="D69" s="1516" t="n"/>
      <c r="E69" s="1516" t="n"/>
      <c r="F69" s="1516" t="n"/>
      <c r="G69" s="1516" t="n"/>
      <c r="H69" s="1516" t="n"/>
      <c r="I69" s="1516" t="n"/>
      <c r="J69" s="4592" t="inlineStr">
        <is>
          <t>- - -</t>
        </is>
      </c>
      <c r="K69" s="4" t="n"/>
      <c r="L69" s="4" t="n"/>
      <c r="N69" s="4593" t="n"/>
      <c r="O69" s="4613" t="n"/>
    </row>
    <row r="70" hidden="1" s="7635">
      <c r="A70" s="8788" t="n"/>
      <c r="B70" s="8788" t="n"/>
      <c r="C70" s="4596" t="inlineStr">
        <is>
          <t>Employer count (You)</t>
        </is>
      </c>
      <c r="D70" s="11876">
        <f>IF(D43&lt;&gt;"",1,0)</f>
        <v/>
      </c>
      <c r="E70" s="11876">
        <f>IF(E43&lt;&gt;"",1,0)</f>
        <v/>
      </c>
      <c r="F70" s="11876">
        <f>IF(F43&lt;&gt;"",1,0)</f>
        <v/>
      </c>
      <c r="G70" s="11876">
        <f>IF(G43&lt;&gt;"",1,0)</f>
        <v/>
      </c>
      <c r="H70" s="11876">
        <f>IF(H43&lt;&gt;"",1,0)</f>
        <v/>
      </c>
      <c r="I70" s="11876">
        <f>IF(I43&lt;&gt;"",1,0)</f>
        <v/>
      </c>
      <c r="J70" s="820">
        <f>SUM(D70:I70)</f>
        <v/>
      </c>
      <c r="K70" s="4614" t="n"/>
      <c r="L70" s="4" t="n"/>
      <c r="N70" s="3502" t="n"/>
      <c r="O70" s="4613" t="n"/>
    </row>
    <row r="71" hidden="1" ht="15" customHeight="1" s="7635">
      <c r="A71" s="7914" t="n"/>
      <c r="B71" s="7914" t="n"/>
      <c r="C71" s="4596">
        <f>"Medicare wages and tip &gt; "&amp;TEXT($K$34,"$0,000")</f>
        <v/>
      </c>
      <c r="D71" s="8885">
        <f>IF(D44&gt;'8959'!$H$24,TRUE,FALSE)</f>
        <v/>
      </c>
      <c r="E71" s="8885">
        <f>IF(E44&gt;'8959'!$H$24,TRUE,FALSE)</f>
        <v/>
      </c>
      <c r="F71" s="8885">
        <f>IF(F44&gt;'8959'!$H$24,TRUE,FALSE)</f>
        <v/>
      </c>
      <c r="G71" s="8885">
        <f>IF(G44&gt;'8959'!$H$24,TRUE,FALSE)</f>
        <v/>
      </c>
      <c r="H71" s="8885">
        <f>IF(H44&gt;'8959'!$H$24,TRUE,FALSE)</f>
        <v/>
      </c>
      <c r="I71" s="8885">
        <f>IF(I44&gt;'8959'!$H$24,TRUE,FALSE)</f>
        <v/>
      </c>
      <c r="J71" s="4597">
        <f>OR(D71:I71)</f>
        <v/>
      </c>
      <c r="K71" s="4615">
        <f>OR(J34,J71)</f>
        <v/>
      </c>
      <c r="L71" s="8788" t="n"/>
      <c r="M71" s="4599" t="n"/>
      <c r="N71" s="4600" t="n"/>
      <c r="O71" s="4613" t="n"/>
    </row>
    <row r="72" hidden="1" ht="15" customHeight="1" s="7635">
      <c r="A72" s="7914" t="n"/>
      <c r="B72" s="7914" t="n"/>
      <c r="C72" s="4596">
        <f>"RRTA &gt; "&amp;TEXT($K$35,"$0,000")</f>
        <v/>
      </c>
      <c r="D72" s="4597">
        <f>IF(D62&gt;'8959'!$H$24,TRUE,FALSE)</f>
        <v/>
      </c>
      <c r="E72" s="4597">
        <f>IF(E62&gt;'8959'!$H$24,TRUE,FALSE)</f>
        <v/>
      </c>
      <c r="F72" s="4597">
        <f>IF(F62&gt;'8959'!$H$24,TRUE,FALSE)</f>
        <v/>
      </c>
      <c r="G72" s="4597">
        <f>IF(G62&gt;'8959'!$H$24,TRUE,FALSE)</f>
        <v/>
      </c>
      <c r="H72" s="4597">
        <f>IF(H62&gt;'8959'!$H$24,TRUE,FALSE)</f>
        <v/>
      </c>
      <c r="I72" s="4597">
        <f>IF(I62&gt;'8959'!$H$24,TRUE,FALSE)</f>
        <v/>
      </c>
      <c r="J72" s="4597">
        <f>OR(D72:I72)</f>
        <v/>
      </c>
      <c r="K72" s="4615">
        <f>OR(J35,J72)</f>
        <v/>
      </c>
      <c r="L72" s="8788" t="n"/>
      <c r="M72" s="4599" t="n"/>
      <c r="N72" s="4600" t="n"/>
    </row>
    <row r="73" ht="15" customHeight="1" s="7635">
      <c r="A73" s="7914" t="n"/>
      <c r="B73" s="7914" t="n"/>
      <c r="C73" s="4601" t="n"/>
      <c r="D73" s="4602">
        <f>IF(AND(J43&gt;MaxSSTax,EmployerCountSpouse=1),"Notify your employer that they withheld "&amp;N43&amp;" too much Social Security Tax or file Form 843, Claim for Refund and Request for Abatement.","")</f>
        <v/>
      </c>
      <c r="E73" s="4601" t="n"/>
      <c r="F73" s="4601" t="n"/>
      <c r="G73" s="4601" t="n"/>
      <c r="H73" s="4601" t="n"/>
      <c r="I73" s="4601" t="n"/>
      <c r="J73" s="4601" t="n"/>
      <c r="K73" s="4601" t="n"/>
      <c r="L73" s="8788" t="n"/>
      <c r="M73" s="4599" t="n"/>
      <c r="N73" s="4600" t="n"/>
      <c r="O73" s="4613" t="n"/>
    </row>
    <row r="74" ht="15" customHeight="1" s="7635">
      <c r="A74" s="7914" t="n"/>
      <c r="B74" s="7914" t="n"/>
      <c r="C74" s="4603">
        <f>IF(OR(AND(D44="",D45&lt;&gt;""),AND(E44="",E45&lt;&gt;""),AND(F44="",F45&lt;&gt;""),AND(G44="",G45&lt;&gt;"")),"CAUTION:  Entering an amount into Line 6 without entering an amount into Line 5 will resutl in a tax calculation error.","")</f>
        <v/>
      </c>
      <c r="D74" s="4603" t="n"/>
      <c r="E74" s="228" t="n"/>
      <c r="F74" s="228" t="n"/>
      <c r="G74" s="228" t="n"/>
      <c r="H74" s="228" t="n"/>
      <c r="I74" s="228" t="n"/>
      <c r="J74" s="228" t="n"/>
      <c r="K74" s="2715" t="n"/>
      <c r="L74" s="8788" t="n"/>
      <c r="M74" s="4599" t="n"/>
      <c r="N74" s="4600" t="n"/>
      <c r="O74" s="4616" t="n"/>
    </row>
    <row r="75" ht="33" customHeight="1" s="7635">
      <c r="A75" s="6989" t="inlineStr">
        <is>
          <t>Line</t>
        </is>
      </c>
      <c r="B75" s="6989" t="inlineStr">
        <is>
          <t>Code</t>
        </is>
      </c>
      <c r="C75" s="4617" t="inlineStr">
        <is>
          <t>TOTALs</t>
        </is>
      </c>
      <c r="D75" s="4577" t="inlineStr">
        <is>
          <t>TOTALs</t>
        </is>
      </c>
      <c r="E75" s="4577" t="inlineStr">
        <is>
          <t>Used at:</t>
        </is>
      </c>
      <c r="F75" s="4577" t="n"/>
      <c r="G75" s="4577" t="n"/>
      <c r="H75" s="4577" t="n"/>
      <c r="I75" s="4577" t="n"/>
      <c r="J75" s="4577" t="n"/>
      <c r="K75" s="4618" t="inlineStr">
        <is>
          <t>Excess Soc. Sec. Tax Withheld</t>
        </is>
      </c>
      <c r="L75" s="4619" t="n"/>
      <c r="M75" s="4577" t="inlineStr">
        <is>
          <t>Used at:</t>
        </is>
      </c>
      <c r="N75" s="4620" t="n"/>
      <c r="O75" s="4579" t="n"/>
    </row>
    <row r="76" ht="18" customHeight="1" s="7635">
      <c r="A76" s="4580" t="inlineStr">
        <is>
          <t>1</t>
        </is>
      </c>
      <c r="B76" s="4580" t="n"/>
      <c r="C76" s="1895" t="inlineStr">
        <is>
          <t>Wages, tips, other compensation</t>
        </is>
      </c>
      <c r="D76" s="4621">
        <f>SUM(J3,J40)</f>
        <v/>
      </c>
      <c r="E76" s="4622" t="inlineStr">
        <is>
          <t>Form 1040, Line 1.</t>
        </is>
      </c>
      <c r="F76" s="4623" t="n"/>
      <c r="G76" s="4624" t="n"/>
      <c r="H76" s="4624" t="n"/>
      <c r="I76" s="4624" t="n"/>
      <c r="J76" s="4584" t="n"/>
      <c r="K76" s="4582" t="n"/>
      <c r="L76" s="4582" t="n"/>
      <c r="M76" s="4611" t="n"/>
      <c r="N76" s="3502" t="n"/>
      <c r="O76" s="4579" t="n"/>
    </row>
    <row r="77">
      <c r="A77" s="4580" t="inlineStr">
        <is>
          <t>2</t>
        </is>
      </c>
      <c r="B77" s="4580" t="n"/>
      <c r="C77" s="1895" t="inlineStr">
        <is>
          <t>Federal income tax withheld</t>
        </is>
      </c>
      <c r="D77" s="4625">
        <f>SUM(J4,J41)</f>
        <v/>
      </c>
      <c r="E77" s="4626" t="inlineStr">
        <is>
          <t>Form 1040, Line 25a</t>
        </is>
      </c>
      <c r="F77" s="4627" t="n"/>
      <c r="G77" s="4357" t="n"/>
      <c r="H77" s="4357" t="n"/>
      <c r="I77" s="4357" t="n"/>
      <c r="J77" s="4584" t="n"/>
      <c r="K77" s="4582" t="n"/>
      <c r="L77" s="4582" t="n"/>
      <c r="M77" s="4588" t="inlineStr">
        <is>
          <t xml:space="preserve">  Only bolded amounts are used in this spreadsheet.</t>
        </is>
      </c>
      <c r="N77" s="4610" t="n"/>
      <c r="O77" s="4616" t="n"/>
    </row>
    <row r="78">
      <c r="A78" s="4580" t="inlineStr">
        <is>
          <t>3</t>
        </is>
      </c>
      <c r="B78" s="4580" t="n"/>
      <c r="C78" s="4628" t="inlineStr">
        <is>
          <t>Social security wages</t>
        </is>
      </c>
      <c r="D78" s="4629">
        <f>SUM(J5,J42)</f>
        <v/>
      </c>
      <c r="E78" s="4626" t="inlineStr">
        <is>
          <t>Sch. SE, Line 8a</t>
        </is>
      </c>
      <c r="F78" s="4627" t="n"/>
      <c r="G78" s="4357" t="n"/>
      <c r="H78" s="4357" t="n"/>
      <c r="I78" s="4357" t="n"/>
      <c r="J78" s="4584" t="n"/>
      <c r="K78" s="4" t="n"/>
      <c r="L78" s="4" t="n"/>
      <c r="M78" s="4612" t="n"/>
      <c r="N78" s="3502" t="n"/>
      <c r="O78" s="4579" t="n"/>
    </row>
    <row r="79">
      <c r="A79" s="4580" t="inlineStr">
        <is>
          <t>4</t>
        </is>
      </c>
      <c r="B79" s="4580" t="n"/>
      <c r="C79" s="1895" t="inlineStr">
        <is>
          <t>Social security tax withheld</t>
        </is>
      </c>
      <c r="D79" s="4625">
        <f>SUM(ROUND(J6,0),ROUND(J43,0))</f>
        <v/>
      </c>
      <c r="E79" s="4626" t="inlineStr">
        <is>
          <t>Line 13a (CTC), Child Tax Credit W/S, Line 11 W/S, Line 6; Form 8812, Line 9 W/S, Line 1</t>
        </is>
      </c>
      <c r="F79" s="4627" t="n"/>
      <c r="G79" s="4357" t="n"/>
      <c r="H79" s="4357" t="n"/>
      <c r="I79" s="4357" t="n"/>
      <c r="J79" s="4584" t="n"/>
      <c r="K79" s="4630">
        <f>ROUND(SUM(K6,K43),0)</f>
        <v/>
      </c>
      <c r="L79" s="4" t="n"/>
      <c r="M79" s="4631" t="inlineStr">
        <is>
          <t>Sch. 3, Line 11</t>
        </is>
      </c>
      <c r="N79" s="3502" t="n"/>
      <c r="O79" s="4579" t="n"/>
    </row>
    <row r="80">
      <c r="A80" s="4580" t="inlineStr">
        <is>
          <t>5</t>
        </is>
      </c>
      <c r="B80" s="4580" t="n"/>
      <c r="C80" s="1895" t="inlineStr">
        <is>
          <t>Medicare wages and tips</t>
        </is>
      </c>
      <c r="D80" s="4625">
        <f>SUM(J7,J44)</f>
        <v/>
      </c>
      <c r="E80" s="4626" t="inlineStr">
        <is>
          <t>Form 8959, Who Must File, Criterion 3; Form 8959, Additional Medicare Tax, Line 1</t>
        </is>
      </c>
      <c r="F80" s="4627" t="n"/>
      <c r="G80" s="4357" t="n"/>
      <c r="H80" s="4357" t="n"/>
      <c r="I80" s="4357" t="n"/>
      <c r="J80" s="4584" t="n"/>
      <c r="K80" s="4632" t="n"/>
      <c r="L80" s="4" t="n"/>
      <c r="M80" s="4612" t="n"/>
      <c r="N80" s="3502" t="n"/>
      <c r="O80" s="4579" t="n"/>
    </row>
    <row r="81">
      <c r="A81" s="4580" t="inlineStr">
        <is>
          <t>6</t>
        </is>
      </c>
      <c r="B81" s="4580" t="n"/>
      <c r="C81" s="1895" t="inlineStr">
        <is>
          <t>Medicare tax withheld</t>
        </is>
      </c>
      <c r="D81" s="4625">
        <f>SUM(J8,J45)</f>
        <v/>
      </c>
      <c r="E81" s="4626" t="inlineStr">
        <is>
          <t>Line 13a, Child Tax Credit Worksheet, Line 14 Worksheet, Line 7; Form 8812, Line 9 W/S, Line 2; Form 8959, Additional Medicare Tax, Line 19</t>
        </is>
      </c>
      <c r="F81" s="4627" t="n"/>
      <c r="G81" s="4357" t="n"/>
      <c r="H81" s="4357" t="n"/>
      <c r="I81" s="4357" t="n"/>
      <c r="J81" s="4584" t="n"/>
      <c r="K81" s="4" t="n"/>
      <c r="L81" s="4" t="n"/>
      <c r="M81" s="4588" t="n"/>
      <c r="N81" s="3502" t="n"/>
      <c r="O81" s="4579" t="n"/>
    </row>
    <row r="82">
      <c r="A82" s="4580" t="inlineStr">
        <is>
          <t>7</t>
        </is>
      </c>
      <c r="B82" s="4580" t="n"/>
      <c r="C82" s="1895" t="inlineStr">
        <is>
          <t>Social Security Tips</t>
        </is>
      </c>
      <c r="D82" s="4625">
        <f>SUM(J9,J46)</f>
        <v/>
      </c>
      <c r="E82" s="4626" t="inlineStr">
        <is>
          <t>Form 1040, line 13b, worksheet</t>
        </is>
      </c>
      <c r="F82" s="4627" t="n"/>
      <c r="G82" s="4357" t="n"/>
      <c r="H82" s="4357" t="n"/>
      <c r="I82" s="4357" t="n"/>
      <c r="J82" s="4584" t="n"/>
      <c r="K82" s="4" t="n"/>
      <c r="L82" s="4" t="n"/>
      <c r="N82" s="3502" t="n"/>
      <c r="O82" s="4579" t="n"/>
    </row>
    <row r="83">
      <c r="A83" s="4580" t="inlineStr">
        <is>
          <t>8</t>
        </is>
      </c>
      <c r="B83" s="4580" t="n"/>
      <c r="C83" s="4589" t="inlineStr">
        <is>
          <t>Allocated Tips</t>
        </is>
      </c>
      <c r="D83" s="4629">
        <f>SUM(J10,J47)</f>
        <v/>
      </c>
      <c r="E83" s="4626" t="n"/>
      <c r="F83" s="4627" t="n"/>
      <c r="G83" s="4357" t="n"/>
      <c r="H83" s="4357" t="n"/>
      <c r="I83" s="4357" t="n"/>
      <c r="J83" s="4584" t="n"/>
      <c r="K83" s="4" t="n"/>
      <c r="L83" s="4" t="n"/>
      <c r="N83" s="3502" t="n"/>
      <c r="O83" s="4579" t="n"/>
    </row>
    <row r="84">
      <c r="A84" s="4580" t="inlineStr">
        <is>
          <t>10</t>
        </is>
      </c>
      <c r="B84" s="4580" t="n"/>
      <c r="C84" s="1895" t="inlineStr">
        <is>
          <t>Dependent Care Benefits</t>
        </is>
      </c>
      <c r="D84" s="4625">
        <f>SUM(J11,J48)</f>
        <v/>
      </c>
      <c r="E84" s="4626" t="inlineStr">
        <is>
          <t>Form 2441, Part III, Line 12</t>
        </is>
      </c>
      <c r="F84" s="4627" t="n"/>
      <c r="G84" s="4357" t="n"/>
      <c r="H84" s="4357" t="n"/>
      <c r="I84" s="4357" t="n"/>
      <c r="J84" s="4584" t="n"/>
      <c r="K84" s="4" t="n"/>
      <c r="L84" s="4" t="n"/>
      <c r="N84" s="3502" t="n"/>
      <c r="O84" s="4579" t="n"/>
    </row>
    <row r="85">
      <c r="A85" s="4580" t="inlineStr">
        <is>
          <t>11</t>
        </is>
      </c>
      <c r="B85" s="4580" t="n"/>
      <c r="C85" s="4589" t="inlineStr">
        <is>
          <t>Nonqualified plans</t>
        </is>
      </c>
      <c r="D85" s="4629">
        <f>SUM(J12,J49)</f>
        <v/>
      </c>
      <c r="E85" s="4626" t="n"/>
      <c r="F85" s="4627" t="n"/>
      <c r="G85" s="4357" t="n"/>
      <c r="H85" s="4357" t="n"/>
      <c r="I85" s="4357" t="n"/>
      <c r="J85" s="4584" t="n"/>
      <c r="K85" s="4" t="n"/>
      <c r="L85" s="4" t="n"/>
      <c r="N85" s="3502" t="n"/>
      <c r="O85" s="4579" t="n"/>
    </row>
    <row r="86">
      <c r="A86" s="6617" t="inlineStr">
        <is>
          <t>12</t>
        </is>
      </c>
      <c r="B86" s="6617" t="inlineStr">
        <is>
          <t>A</t>
        </is>
      </c>
      <c r="C86" s="6620" t="inlineStr">
        <is>
          <t>Uncollected Social Security Tax on Tips</t>
        </is>
      </c>
      <c r="D86" s="4629">
        <f>SUM(J13,J50)</f>
        <v/>
      </c>
      <c r="E86" s="4626" t="inlineStr">
        <is>
          <t>Sch. 2, line 5</t>
        </is>
      </c>
      <c r="F86" s="4627" t="n"/>
      <c r="G86" s="4357" t="n"/>
      <c r="H86" s="4357" t="n"/>
      <c r="I86" s="4357" t="n"/>
      <c r="J86" s="4584" t="n"/>
      <c r="K86" s="4" t="n"/>
      <c r="L86" s="4" t="n"/>
      <c r="N86" s="3502" t="n"/>
      <c r="O86" s="4579" t="n"/>
    </row>
    <row r="87">
      <c r="A87" s="6617" t="inlineStr">
        <is>
          <t>12</t>
        </is>
      </c>
      <c r="B87" s="6617" t="inlineStr">
        <is>
          <t>B</t>
        </is>
      </c>
      <c r="C87" s="6620" t="inlineStr">
        <is>
          <t>Uncollected Medicare tax on Tips</t>
        </is>
      </c>
      <c r="D87" s="4629">
        <f>SUM(J14,J51)</f>
        <v/>
      </c>
      <c r="E87" s="4626" t="inlineStr">
        <is>
          <t>Sch. 2, line 5</t>
        </is>
      </c>
      <c r="F87" s="4627" t="n"/>
      <c r="G87" s="4357" t="n"/>
      <c r="H87" s="4357" t="n"/>
      <c r="I87" s="4357" t="n"/>
      <c r="J87" s="4584" t="n"/>
      <c r="K87" s="4" t="n"/>
      <c r="L87" s="4" t="n"/>
      <c r="N87" s="3502" t="n"/>
      <c r="O87" s="4579" t="n"/>
    </row>
    <row r="88">
      <c r="A88" s="6617" t="inlineStr">
        <is>
          <t>12</t>
        </is>
      </c>
      <c r="B88" s="6617" t="inlineStr">
        <is>
          <t>H</t>
        </is>
      </c>
      <c r="C88" s="6620" t="inlineStr">
        <is>
          <t>Elective Deferral to 501(c)(18)(D) plan</t>
        </is>
      </c>
      <c r="D88" s="4629">
        <f>SUM(J15,J52)</f>
        <v/>
      </c>
      <c r="E88" s="6739" t="inlineStr">
        <is>
          <t>Form 8880, line 2 (a) &amp; (b)</t>
        </is>
      </c>
      <c r="F88" s="4627" t="n"/>
      <c r="G88" s="4357" t="n"/>
      <c r="H88" s="4357" t="n"/>
      <c r="I88" s="4357" t="n"/>
      <c r="J88" s="4584" t="n"/>
      <c r="K88" s="4" t="n"/>
      <c r="L88" s="4" t="n"/>
      <c r="N88" s="3502" t="n"/>
      <c r="O88" s="4579" t="n"/>
    </row>
    <row r="89" ht="25.5" customHeight="1" s="7635">
      <c r="A89" s="6617" t="inlineStr">
        <is>
          <t>12</t>
        </is>
      </c>
      <c r="B89" s="6617" t="inlineStr">
        <is>
          <t>K</t>
        </is>
      </c>
      <c r="C89" s="6618" t="inlineStr">
        <is>
          <t>20% Excise Tax on Excess 'golden parachute' payments</t>
        </is>
      </c>
      <c r="D89" s="4629">
        <f>SUM(J16,J53)</f>
        <v/>
      </c>
      <c r="E89" s="4626" t="inlineStr">
        <is>
          <t>Form 1040, Sch. 2, line 17k</t>
        </is>
      </c>
      <c r="F89" s="4627" t="n"/>
      <c r="G89" s="4357" t="n"/>
      <c r="H89" s="4357" t="n"/>
      <c r="I89" s="4357" t="n"/>
      <c r="J89" s="4584" t="n"/>
      <c r="K89" s="4" t="n"/>
      <c r="L89" s="4" t="n"/>
      <c r="N89" s="3502" t="n"/>
      <c r="O89" s="4579" t="n"/>
    </row>
    <row r="90" ht="25.5" customHeight="1" s="7635">
      <c r="A90" s="6617" t="inlineStr">
        <is>
          <t>12</t>
        </is>
      </c>
      <c r="B90" s="6617" t="inlineStr">
        <is>
          <t>M</t>
        </is>
      </c>
      <c r="C90" s="6621" t="inlineStr">
        <is>
          <t>Uncollected Social Security tax on group-term life (former employees)</t>
        </is>
      </c>
      <c r="D90" s="4629">
        <f>SUM(J17,J54)</f>
        <v/>
      </c>
      <c r="E90" s="4626" t="inlineStr">
        <is>
          <t>Form 1040, Sch. 2, line 13</t>
        </is>
      </c>
      <c r="F90" s="4627" t="n"/>
      <c r="G90" s="4357" t="n"/>
      <c r="H90" s="4357" t="n"/>
      <c r="I90" s="4357" t="n"/>
      <c r="J90" s="4584" t="n"/>
      <c r="K90" s="4" t="n"/>
      <c r="L90" s="4" t="n"/>
      <c r="N90" s="3502" t="n"/>
      <c r="O90" s="4579" t="n"/>
    </row>
    <row r="91" ht="25.5" customHeight="1" s="7635">
      <c r="A91" s="6617" t="inlineStr">
        <is>
          <t>12</t>
        </is>
      </c>
      <c r="B91" s="6617" t="inlineStr">
        <is>
          <t>N</t>
        </is>
      </c>
      <c r="C91" s="6621" t="inlineStr">
        <is>
          <t>Uncollected medicare tax on group-term life (former employees)</t>
        </is>
      </c>
      <c r="D91" s="4629">
        <f>SUM(J18,J55)</f>
        <v/>
      </c>
      <c r="E91" s="4626" t="inlineStr">
        <is>
          <t>Form 1040, Sch. 2, line 13</t>
        </is>
      </c>
      <c r="F91" s="4627" t="n"/>
      <c r="G91" s="4357" t="n"/>
      <c r="H91" s="4357" t="n"/>
      <c r="I91" s="4357" t="n"/>
      <c r="J91" s="4584" t="n"/>
      <c r="K91" s="4" t="n"/>
      <c r="L91" s="4" t="n"/>
      <c r="N91" s="3502" t="n"/>
      <c r="O91" s="4579" t="n"/>
    </row>
    <row r="92" ht="25.5" customHeight="1" s="7635">
      <c r="A92" s="6617" t="inlineStr">
        <is>
          <t>12</t>
        </is>
      </c>
      <c r="B92" s="6617" t="inlineStr">
        <is>
          <t>P</t>
        </is>
      </c>
      <c r="C92" s="6621" t="inlineStr">
        <is>
          <t>Excludable moving expense reinbursements for military</t>
        </is>
      </c>
      <c r="D92" s="4629">
        <f>SUM(J19,J56)</f>
        <v/>
      </c>
      <c r="E92" s="4626" t="inlineStr">
        <is>
          <t>Form 1040, Sch. 1, line 14</t>
        </is>
      </c>
      <c r="F92" s="4627" t="n"/>
      <c r="G92" s="4357" t="n"/>
      <c r="H92" s="4357" t="n"/>
      <c r="I92" s="4357" t="n"/>
      <c r="J92" s="4584" t="n"/>
      <c r="K92" s="4" t="n"/>
      <c r="L92" s="4" t="n"/>
      <c r="N92" s="3502" t="n"/>
      <c r="O92" s="4579" t="n"/>
    </row>
    <row r="93">
      <c r="A93" s="6617" t="inlineStr">
        <is>
          <t>12</t>
        </is>
      </c>
      <c r="B93" s="6617" t="inlineStr">
        <is>
          <t>Q</t>
        </is>
      </c>
      <c r="C93" s="6620" t="inlineStr">
        <is>
          <t>Non Taxable Combat Pay</t>
        </is>
      </c>
      <c r="D93" s="4629">
        <f>SUM(J20,J57)</f>
        <v/>
      </c>
      <c r="E93" s="6622" t="inlineStr">
        <is>
          <t>Form 1040, line 1i</t>
        </is>
      </c>
      <c r="F93" s="4627" t="n"/>
      <c r="G93" s="4357" t="n"/>
      <c r="H93" s="4357" t="n"/>
      <c r="I93" s="4357" t="n"/>
      <c r="J93" s="4584" t="n"/>
      <c r="K93" s="4" t="n"/>
      <c r="L93" s="4" t="n"/>
      <c r="N93" s="3502" t="n"/>
      <c r="O93" s="4579" t="n"/>
    </row>
    <row r="94">
      <c r="A94" s="6617" t="inlineStr">
        <is>
          <t>12</t>
        </is>
      </c>
      <c r="B94" s="6617" t="inlineStr">
        <is>
          <t>S</t>
        </is>
      </c>
      <c r="C94" s="1895" t="inlineStr">
        <is>
          <t>Elective deferral to SIMPLE IRA</t>
        </is>
      </c>
      <c r="D94" s="4629">
        <f>SUM(J21,J58)</f>
        <v/>
      </c>
      <c r="E94" s="6740" t="inlineStr">
        <is>
          <t>Form 8880, line 2 (a) &amp; (b)</t>
        </is>
      </c>
      <c r="F94" s="4627" t="n"/>
      <c r="G94" s="4357" t="n"/>
      <c r="H94" s="4357" t="n"/>
      <c r="I94" s="4357" t="n"/>
      <c r="J94" s="4584" t="n"/>
      <c r="K94" s="4" t="n"/>
      <c r="L94" s="4" t="n"/>
      <c r="N94" s="3502" t="n"/>
      <c r="O94" s="4579" t="n"/>
    </row>
    <row r="95">
      <c r="A95" s="6617" t="inlineStr">
        <is>
          <t>12</t>
        </is>
      </c>
      <c r="B95" s="6617" t="inlineStr">
        <is>
          <t>W</t>
        </is>
      </c>
      <c r="C95" s="6620" t="inlineStr">
        <is>
          <t>Employer contribution to HSA.</t>
        </is>
      </c>
      <c r="D95" s="4629">
        <f>SUM(J22,J59)</f>
        <v/>
      </c>
      <c r="E95" s="6739" t="inlineStr">
        <is>
          <t>Form 8889, Part I, line 9</t>
        </is>
      </c>
      <c r="F95" s="4627" t="n"/>
      <c r="G95" s="4357" t="n"/>
      <c r="H95" s="4357" t="n"/>
      <c r="I95" s="4357" t="n"/>
      <c r="J95" s="4584" t="n"/>
      <c r="K95" s="4" t="n"/>
      <c r="L95" s="4" t="n"/>
      <c r="N95" s="3502" t="n"/>
      <c r="O95" s="4579" t="n"/>
    </row>
    <row r="96">
      <c r="A96" s="4580" t="inlineStr">
        <is>
          <t>13</t>
        </is>
      </c>
      <c r="B96" s="4580" t="n"/>
      <c r="C96" s="4589" t="inlineStr">
        <is>
          <t>Stat Emp / Retire / 3rd Party Sick</t>
        </is>
      </c>
      <c r="D96" s="4629">
        <f>SUM(J23,J60)</f>
        <v/>
      </c>
      <c r="E96" s="4626" t="n"/>
      <c r="F96" s="4627" t="n"/>
      <c r="G96" s="4357" t="n"/>
      <c r="H96" s="4357" t="n"/>
      <c r="I96" s="4357" t="n"/>
      <c r="J96" s="4584" t="n"/>
      <c r="K96" s="4" t="n"/>
      <c r="L96" s="4" t="n"/>
      <c r="N96" s="3502" t="n"/>
      <c r="O96" s="4579" t="n"/>
    </row>
    <row r="97">
      <c r="A97" s="4580" t="inlineStr">
        <is>
          <t>14</t>
        </is>
      </c>
      <c r="B97" s="4580" t="n"/>
      <c r="C97" s="4589" t="inlineStr">
        <is>
          <t>Other</t>
        </is>
      </c>
      <c r="D97" s="4629">
        <f>SUM(J24,J61)</f>
        <v/>
      </c>
      <c r="E97" s="4626" t="n"/>
      <c r="F97" s="4627" t="n"/>
      <c r="G97" s="4357" t="n"/>
      <c r="H97" s="4357" t="n"/>
      <c r="I97" s="4357" t="n"/>
      <c r="J97" s="4584" t="n"/>
      <c r="K97" s="4" t="n"/>
      <c r="L97" s="4" t="n"/>
      <c r="N97" s="3502" t="n"/>
      <c r="O97" s="4579" t="n"/>
    </row>
    <row r="98">
      <c r="A98" s="4580" t="inlineStr">
        <is>
          <t>14</t>
        </is>
      </c>
      <c r="B98" s="4580" t="n"/>
      <c r="C98" s="1895" t="inlineStr">
        <is>
          <t>Railroad retire (RRTA) compensation</t>
        </is>
      </c>
      <c r="D98" s="4625">
        <f>SUM(J25,J62)</f>
        <v/>
      </c>
      <c r="E98" s="4626" t="inlineStr">
        <is>
          <t>Form 8959, Additional Medicare Tax, Who Must File, Criterion 2 and 4; Line 14</t>
        </is>
      </c>
      <c r="F98" s="4627" t="n"/>
      <c r="G98" s="4357" t="n"/>
      <c r="H98" s="4357" t="n"/>
      <c r="I98" s="4357" t="n"/>
      <c r="J98" s="4584" t="n"/>
      <c r="K98" s="4" t="n"/>
      <c r="L98" s="4" t="n"/>
      <c r="N98" s="3502" t="n"/>
      <c r="O98" s="4579" t="n"/>
    </row>
    <row r="99">
      <c r="A99" s="4580" t="inlineStr">
        <is>
          <t>14</t>
        </is>
      </c>
      <c r="B99" s="4580" t="n"/>
      <c r="C99" s="4591" t="inlineStr">
        <is>
          <t>RRTA medicare tax withheld (see Form CT-2)</t>
        </is>
      </c>
      <c r="D99" s="4625">
        <f>SUM(J26,J63)</f>
        <v/>
      </c>
      <c r="E99" s="4626" t="inlineStr">
        <is>
          <t>Form 8959, Additional Medicare Tax, Line 23</t>
        </is>
      </c>
      <c r="F99" s="4627" t="n"/>
      <c r="G99" s="4357" t="n"/>
      <c r="H99" s="4357" t="n"/>
      <c r="I99" s="4357" t="n"/>
      <c r="J99" s="4584" t="n"/>
      <c r="K99" s="4" t="n"/>
      <c r="L99" s="4" t="n"/>
      <c r="N99" s="3502" t="n"/>
      <c r="O99" s="4579" t="n"/>
    </row>
    <row r="100">
      <c r="A100" s="4580" t="inlineStr">
        <is>
          <t>15</t>
        </is>
      </c>
      <c r="B100" s="4580" t="n"/>
      <c r="C100" s="4589" t="inlineStr">
        <is>
          <t>State - Employer's state ID number</t>
        </is>
      </c>
      <c r="D100" s="4592" t="inlineStr">
        <is>
          <t>- - -</t>
        </is>
      </c>
      <c r="E100" s="4633" t="n"/>
      <c r="F100" s="4633" t="n"/>
      <c r="G100" s="4633" t="n"/>
      <c r="H100" s="4633" t="n"/>
      <c r="I100" s="4633" t="n"/>
      <c r="J100" s="4" t="n"/>
      <c r="K100" s="4" t="n"/>
      <c r="L100" s="5" t="n"/>
      <c r="M100" s="4590" t="n"/>
      <c r="N100" s="4590" t="n"/>
      <c r="O100" s="4579" t="n"/>
    </row>
    <row r="101">
      <c r="A101" s="4580" t="inlineStr">
        <is>
          <t>16</t>
        </is>
      </c>
      <c r="B101" s="4580" t="n"/>
      <c r="C101" s="4589" t="inlineStr">
        <is>
          <t xml:space="preserve">State wages, tips, etc. </t>
        </is>
      </c>
      <c r="D101" s="4629">
        <f>SUM(J28,J65)</f>
        <v/>
      </c>
      <c r="E101" s="4626" t="n"/>
      <c r="F101" s="4627" t="n"/>
      <c r="G101" s="4357" t="n"/>
      <c r="H101" s="4357" t="n"/>
      <c r="I101" s="4357" t="n"/>
      <c r="J101" s="4584" t="n"/>
      <c r="K101" s="4" t="n"/>
      <c r="L101" s="4" t="n"/>
      <c r="N101" s="3502" t="n"/>
      <c r="O101" s="4579" t="n"/>
    </row>
    <row r="102">
      <c r="A102" s="4580" t="inlineStr">
        <is>
          <t>17</t>
        </is>
      </c>
      <c r="B102" s="4580" t="n"/>
      <c r="C102" s="1895" t="inlineStr">
        <is>
          <t>State income tax</t>
        </is>
      </c>
      <c r="D102" s="4625">
        <f>SUM(J29,J66)</f>
        <v/>
      </c>
      <c r="E102" s="4626" t="inlineStr">
        <is>
          <t>Sch. A, Line 5</t>
        </is>
      </c>
      <c r="F102" s="4627" t="n"/>
      <c r="G102" s="4357" t="n"/>
      <c r="H102" s="4357" t="n"/>
      <c r="I102" s="4357" t="n"/>
      <c r="J102" s="4584" t="n"/>
      <c r="K102" s="4" t="n"/>
      <c r="L102" s="4" t="n"/>
      <c r="M102" s="4612" t="n"/>
      <c r="N102" s="3502" t="n"/>
      <c r="O102" s="4579" t="n"/>
    </row>
    <row r="103">
      <c r="A103" s="4580" t="inlineStr">
        <is>
          <t>18</t>
        </is>
      </c>
      <c r="B103" s="4580" t="n"/>
      <c r="C103" s="4589" t="inlineStr">
        <is>
          <t>Local wages, tips, etc.</t>
        </is>
      </c>
      <c r="D103" s="4629">
        <f>SUM(J30,J67)</f>
        <v/>
      </c>
      <c r="E103" s="4626" t="n"/>
      <c r="F103" s="4627" t="n"/>
      <c r="G103" s="4357" t="n"/>
      <c r="H103" s="4357" t="n"/>
      <c r="I103" s="4357" t="n"/>
      <c r="J103" s="4584" t="n"/>
      <c r="K103" s="4" t="n"/>
      <c r="L103" s="4" t="n"/>
      <c r="M103" s="4612" t="n"/>
      <c r="N103" s="3502" t="n"/>
      <c r="O103" s="4579" t="n"/>
    </row>
    <row r="104">
      <c r="A104" s="4580" t="inlineStr">
        <is>
          <t>19</t>
        </is>
      </c>
      <c r="B104" s="4580" t="n"/>
      <c r="C104" s="1895" t="inlineStr">
        <is>
          <t>Local income tax</t>
        </is>
      </c>
      <c r="D104" s="4629">
        <f>SUM(J31,J68)</f>
        <v/>
      </c>
      <c r="E104" s="4626" t="inlineStr">
        <is>
          <t>Sch. A, Line 5</t>
        </is>
      </c>
      <c r="F104" s="4627" t="n"/>
      <c r="G104" s="740" t="n"/>
      <c r="H104" s="740" t="n"/>
      <c r="I104" s="740" t="n"/>
      <c r="J104" s="4584" t="n"/>
      <c r="K104" s="4" t="n"/>
      <c r="N104" s="3502" t="n"/>
      <c r="O104" s="4579" t="n"/>
    </row>
    <row r="105">
      <c r="A105" s="4580" t="inlineStr">
        <is>
          <t>20</t>
        </is>
      </c>
      <c r="B105" s="4580" t="n"/>
      <c r="C105" s="4594" t="inlineStr">
        <is>
          <t>Locality name</t>
        </is>
      </c>
      <c r="D105" s="4634" t="inlineStr">
        <is>
          <t>- - -</t>
        </is>
      </c>
      <c r="E105" s="1518" t="n"/>
      <c r="F105" s="1518" t="n"/>
      <c r="G105" s="1518" t="n"/>
      <c r="H105" s="1518" t="n"/>
      <c r="I105" s="1518" t="n"/>
      <c r="J105" s="4584" t="n"/>
      <c r="K105" s="4" t="n"/>
      <c r="L105" s="4" t="n"/>
      <c r="N105" s="4593" t="n"/>
      <c r="O105" s="4613" t="n"/>
    </row>
    <row r="106" ht="26.25" customHeight="1" s="7635">
      <c r="A106" s="228" t="n"/>
      <c r="B106" s="228" t="n"/>
      <c r="C106" s="88" t="n"/>
      <c r="D106" s="88" t="n"/>
      <c r="E106" s="88" t="n"/>
      <c r="F106" s="88" t="n"/>
      <c r="G106" s="88" t="n"/>
      <c r="H106" s="88" t="n"/>
      <c r="I106" s="88" t="n"/>
      <c r="J106" s="4584" t="n"/>
      <c r="K106" s="4" t="n"/>
    </row>
    <row r="107" ht="13.5" customHeight="1" s="7635" thickBot="1">
      <c r="A107" s="8788" t="n"/>
      <c r="B107" s="8788" t="n"/>
      <c r="J107" s="4584" t="n"/>
      <c r="K107" s="4" t="n"/>
    </row>
    <row r="108">
      <c r="A108" s="8788" t="n"/>
      <c r="B108" s="8788" t="n"/>
      <c r="C108" s="4635" t="n"/>
    </row>
    <row r="109">
      <c r="A109" s="8788" t="n"/>
      <c r="B109" s="8788" t="n"/>
      <c r="C109" s="4636" t="inlineStr">
        <is>
          <t>Table of Contents</t>
        </is>
      </c>
    </row>
    <row r="110" ht="13.5" customHeight="1" s="7635" thickBot="1">
      <c r="A110" s="8788" t="n"/>
      <c r="B110" s="8788" t="n"/>
      <c r="C110" s="4637" t="n"/>
    </row>
    <row r="111">
      <c r="C111" s="11877" t="inlineStr">
        <is>
          <t>Form 1040</t>
        </is>
      </c>
    </row>
    <row r="112">
      <c r="C112" s="11878" t="n"/>
    </row>
    <row r="113" ht="13.5" customHeight="1" s="7635" thickBot="1">
      <c r="C113" s="11879" t="n"/>
    </row>
  </sheetData>
  <sheetProtection selectLockedCells="0" selectUnlockedCells="0" algorithmName="SHA-512" sheet="1" objects="0" insertRows="1" insertHyperlinks="1" autoFilter="1" scenarios="0" formatColumns="0" deleteColumns="1" insertColumns="1" pivotTables="1" deleteRows="1" formatCells="0" saltValue="uk3kShYy40ZSr7JSbGP9tg==" formatRows="0" sort="1" spinCount="100000" hashValue="tbkK8yCheUD8n9mOwjH66yC5hm+OQKg31308ds+kgutBhiYN3FAan911xeRcMphKs3Y47ObYIvEIiHYbzwp2pw=="/>
  <mergeCells count="1">
    <mergeCell ref="C111:C113"/>
  </mergeCells>
  <conditionalFormatting sqref="D3:D12 D13:J24 D76:D105 J4:J20 J23:J33 J40:J57">
    <cfRule type="expression" priority="164" dxfId="121">
      <formula>IF(NoColor,1,0)</formula>
    </cfRule>
  </conditionalFormatting>
  <conditionalFormatting sqref="D2:I2">
    <cfRule type="expression" priority="234" dxfId="121">
      <formula>IF(NoColor,1,0)</formula>
    </cfRule>
  </conditionalFormatting>
  <conditionalFormatting sqref="D25:I33">
    <cfRule type="expression" priority="1" dxfId="121">
      <formula>IF(NoColor,1,0)</formula>
    </cfRule>
  </conditionalFormatting>
  <conditionalFormatting sqref="D39:I53">
    <cfRule type="expression" priority="14" dxfId="121">
      <formula>IF(NoColor,1,0)</formula>
    </cfRule>
  </conditionalFormatting>
  <conditionalFormatting sqref="D54:J70">
    <cfRule type="expression" priority="35" dxfId="121">
      <formula>IF(NoColor,1,0)</formula>
    </cfRule>
  </conditionalFormatting>
  <conditionalFormatting sqref="E3:E8">
    <cfRule type="expression" priority="183" dxfId="121">
      <formula>IF(NoColor,1,0)</formula>
    </cfRule>
  </conditionalFormatting>
  <conditionalFormatting sqref="E9:G9 E10:H11 E12:I12">
    <cfRule type="expression" priority="78" dxfId="121">
      <formula>IF(NoColor,1,0)</formula>
    </cfRule>
  </conditionalFormatting>
  <conditionalFormatting sqref="E105:I105">
    <cfRule type="expression" priority="99" dxfId="121">
      <formula>IF(NoColor,1,0)</formula>
    </cfRule>
  </conditionalFormatting>
  <conditionalFormatting sqref="F4:I4 F5:G8 H5:H9 I5:I11">
    <cfRule type="expression" priority="189" dxfId="121">
      <formula>IF(NoColor,1,0)</formula>
    </cfRule>
  </conditionalFormatting>
  <conditionalFormatting sqref="E100:I100 F3:J3">
    <cfRule type="expression" priority="286" dxfId="121">
      <formula>IF(NoColor,1,0)</formula>
    </cfRule>
  </conditionalFormatting>
  <conditionalFormatting sqref="K79">
    <cfRule type="expression" priority="273" dxfId="121">
      <formula>IF(NoColor,1,0)</formula>
    </cfRule>
  </conditionalFormatting>
  <conditionalFormatting sqref="M6">
    <cfRule type="expression" priority="113" dxfId="0">
      <formula>AND(EmployerCountYou=1,K6&gt;0)</formula>
    </cfRule>
    <cfRule type="expression" priority="114" dxfId="0">
      <formula>AND(EmployerCountSpouse=1,K6&gt;0)</formula>
    </cfRule>
  </conditionalFormatting>
  <conditionalFormatting sqref="M43">
    <cfRule type="expression" priority="111" dxfId="0">
      <formula>AND(EmployerCountYou=1,K43&gt;0)</formula>
    </cfRule>
    <cfRule type="expression" priority="112" dxfId="0">
      <formula>AND(EmployerCountSpouse=1,K43&gt;0)</formula>
    </cfRule>
  </conditionalFormatting>
  <conditionalFormatting sqref="M62">
    <cfRule type="expression" priority="106" dxfId="0">
      <formula>AND(EmployerCountYou=1,K62&gt;0)</formula>
    </cfRule>
    <cfRule type="expression" priority="107" dxfId="0">
      <formula>AND(EmployerCountSpouse=1,K62&gt;0)</formula>
    </cfRule>
  </conditionalFormatting>
  <hyperlinks>
    <hyperlink ref="C109" location="'Table of Contents'!A1" display="Table of Contents"/>
    <hyperlink ref="C111" location="'1040'!A1" display="Form 1040"/>
  </hyperlinks>
  <pageMargins left="0.75" right="0.25" top="0.36" bottom="0.29" header="0.36" footer="0.21"/>
  <pageSetup orientation="landscape" scale="54" fitToHeight="0"/>
  <rowBreaks count="1" manualBreakCount="1">
    <brk id="74" min="0" max="12" man="1"/>
  </rowBreaks>
</worksheet>
</file>

<file path=xl/worksheets/sheet6.xml><?xml version="1.0" encoding="utf-8"?>
<worksheet xmlns="http://schemas.openxmlformats.org/spreadsheetml/2006/main">
  <sheetPr>
    <outlinePr summaryBelow="1" summaryRight="1"/>
    <pageSetUpPr fitToPage="1"/>
  </sheetPr>
  <dimension ref="A1:AE94"/>
  <sheetViews>
    <sheetView zoomScaleNormal="100" zoomScaleSheetLayoutView="100" workbookViewId="0">
      <selection activeCell="A1" sqref="A1"/>
    </sheetView>
  </sheetViews>
  <sheetFormatPr baseColWidth="8" defaultRowHeight="12.75"/>
  <cols>
    <col width="2.5703125" customWidth="1" style="7635" min="1" max="1"/>
    <col width="4.42578125" customWidth="1" style="7635" min="2" max="2"/>
    <col width="48" customWidth="1" style="7635" min="3" max="3"/>
    <col width="26.28515625" customWidth="1" style="7635" min="4" max="8"/>
    <col width="17.28515625" customWidth="1" style="7635" min="9" max="9"/>
    <col width="39" customWidth="1" style="7635" min="10" max="10"/>
    <col width="14" customWidth="1" style="11880" min="11" max="11"/>
    <col width="9.140625" customWidth="1" style="658" min="12" max="25"/>
    <col hidden="1" width="9.140625" customWidth="1" style="7635" min="27" max="31"/>
  </cols>
  <sheetData>
    <row r="1" ht="42" customHeight="1" s="7635" thickBot="1">
      <c r="A1" s="4660" t="n"/>
      <c r="B1" s="4568" t="inlineStr">
        <is>
          <t>Information from Form 1099-INT, Interest Income</t>
        </is>
      </c>
      <c r="C1" s="4661" t="n"/>
      <c r="D1" s="4662" t="n"/>
      <c r="E1" s="4663" t="n"/>
      <c r="F1" s="4662" t="n"/>
      <c r="G1" s="4662" t="n"/>
      <c r="H1" s="4662" t="n"/>
      <c r="I1" s="4703" t="n"/>
      <c r="J1" s="4703" t="n"/>
      <c r="K1" s="11881" t="inlineStr">
        <is>
          <t>Notes</t>
        </is>
      </c>
    </row>
    <row r="2" ht="42" customHeight="1" s="7635" thickBot="1" thickTop="1">
      <c r="A2" s="257" t="n"/>
      <c r="B2" s="1534" t="n"/>
      <c r="C2" s="4664">
        <f>IF(Name_1st_Yours="","Enter your name(s) on the"&amp;CHAR(10)&amp;"sheet lableled '1040'",IF(File_Marr_Joint&lt;&gt;"",NameYours&amp;CHAR(10)&amp;" and "&amp;NameSpouse,NameYours))</f>
        <v/>
      </c>
      <c r="D2" s="458" t="inlineStr">
        <is>
          <t>Payer #1</t>
        </is>
      </c>
      <c r="E2" s="458" t="inlineStr">
        <is>
          <t>Payer #2</t>
        </is>
      </c>
      <c r="F2" s="458" t="inlineStr">
        <is>
          <t>Payer #3</t>
        </is>
      </c>
      <c r="G2" s="458" t="inlineStr">
        <is>
          <t>Payer #4</t>
        </is>
      </c>
      <c r="H2" s="458" t="inlineStr">
        <is>
          <t>Payer #5</t>
        </is>
      </c>
      <c r="I2" s="758" t="n"/>
      <c r="J2" s="758" t="n"/>
      <c r="K2" s="11882" t="inlineStr">
        <is>
          <t>Date:</t>
        </is>
      </c>
    </row>
    <row r="3">
      <c r="A3" s="11602" t="n"/>
      <c r="B3" s="4666" t="n"/>
      <c r="C3" s="4704" t="inlineStr">
        <is>
          <t>PAYER's name</t>
        </is>
      </c>
      <c r="D3" s="601" t="n"/>
      <c r="E3" s="602" t="n"/>
      <c r="F3" s="602" t="n"/>
      <c r="G3" s="602" t="n"/>
      <c r="H3" s="603" t="n"/>
      <c r="I3" s="4705" t="n"/>
      <c r="J3" s="4665" t="n"/>
    </row>
    <row r="4">
      <c r="A4" s="11602" t="n"/>
      <c r="B4" s="4668" t="n"/>
      <c r="C4" s="4706" t="inlineStr">
        <is>
          <t>PAYER's Federal ID number</t>
        </is>
      </c>
      <c r="D4" s="629" t="n"/>
      <c r="E4" s="630" t="n"/>
      <c r="F4" s="630" t="n"/>
      <c r="G4" s="630" t="n"/>
      <c r="H4" s="631" t="n"/>
      <c r="I4" s="4705" t="n"/>
      <c r="J4" s="4665" t="n"/>
    </row>
    <row r="5" ht="13.5" customHeight="1" s="7635" thickBot="1">
      <c r="A5" s="11602" t="n"/>
      <c r="B5" s="4670" t="n"/>
      <c r="C5" s="4707" t="inlineStr">
        <is>
          <t>Account number</t>
        </is>
      </c>
      <c r="D5" s="632" t="n"/>
      <c r="E5" s="633" t="n"/>
      <c r="F5" s="633" t="n"/>
      <c r="G5" s="633" t="n"/>
      <c r="H5" s="634" t="n"/>
      <c r="I5" s="4705" t="n"/>
      <c r="J5" s="4665" t="n"/>
    </row>
    <row r="6" ht="13.5" customHeight="1" s="7635">
      <c r="A6" s="11602" t="n"/>
      <c r="B6" s="4672" t="n">
        <v>1</v>
      </c>
      <c r="C6" s="4673" t="inlineStr">
        <is>
          <t>Interest income</t>
        </is>
      </c>
      <c r="D6" s="604" t="n"/>
      <c r="E6" s="605" t="n"/>
      <c r="F6" s="605" t="n"/>
      <c r="G6" s="646" t="n"/>
      <c r="H6" s="647" t="n"/>
      <c r="I6" s="4708" t="n"/>
      <c r="J6" s="4665" t="n"/>
      <c r="AA6" s="4">
        <f>ROUND(D6,0)</f>
        <v/>
      </c>
      <c r="AB6" s="4">
        <f>ROUND(E6,0)</f>
        <v/>
      </c>
      <c r="AC6" s="4">
        <f>ROUND(F6,0)</f>
        <v/>
      </c>
      <c r="AD6" s="4">
        <f>ROUND(G6,0)</f>
        <v/>
      </c>
      <c r="AE6" s="4">
        <f>ROUND(H6,0)</f>
        <v/>
      </c>
    </row>
    <row r="7" ht="13.5" customHeight="1" s="7635">
      <c r="A7" s="11602" t="n"/>
      <c r="B7" s="4675" t="n">
        <v>2</v>
      </c>
      <c r="C7" s="4676" t="inlineStr">
        <is>
          <t>Early withdrawal penalty</t>
        </is>
      </c>
      <c r="D7" s="606" t="n"/>
      <c r="E7" s="607" t="n"/>
      <c r="F7" s="607" t="n"/>
      <c r="G7" s="608" t="n"/>
      <c r="H7" s="609" t="n"/>
      <c r="I7" s="4709" t="n"/>
      <c r="J7" s="4665" t="n"/>
      <c r="AA7" s="4">
        <f>ROUND(D7,0)</f>
        <v/>
      </c>
      <c r="AB7" s="4">
        <f>ROUND(E7,0)</f>
        <v/>
      </c>
      <c r="AC7" s="4">
        <f>ROUND(F7,0)</f>
        <v/>
      </c>
      <c r="AD7" s="4">
        <f>ROUND(G7,0)</f>
        <v/>
      </c>
      <c r="AE7" s="4">
        <f>ROUND(H7,0)</f>
        <v/>
      </c>
    </row>
    <row r="8" ht="13.5" customHeight="1" s="7635">
      <c r="A8" s="11602" t="n"/>
      <c r="B8" s="4675" t="n">
        <v>3</v>
      </c>
      <c r="C8" s="4676" t="inlineStr">
        <is>
          <t>Interest on U.S. Savings Bonds &amp; Treas. Obligations</t>
        </is>
      </c>
      <c r="D8" s="606" t="n"/>
      <c r="E8" s="607" t="n"/>
      <c r="F8" s="607" t="n"/>
      <c r="G8" s="608" t="n"/>
      <c r="H8" s="609" t="n"/>
      <c r="I8" s="4709" t="n"/>
      <c r="J8" s="4665" t="n"/>
      <c r="AA8" s="4">
        <f>ROUND(D8,0)</f>
        <v/>
      </c>
      <c r="AB8" s="4">
        <f>ROUND(E8,0)</f>
        <v/>
      </c>
      <c r="AC8" s="4">
        <f>ROUND(F8,0)</f>
        <v/>
      </c>
      <c r="AD8" s="4">
        <f>ROUND(G8,0)</f>
        <v/>
      </c>
      <c r="AE8" s="4">
        <f>ROUND(H8,0)</f>
        <v/>
      </c>
    </row>
    <row r="9" ht="13.5" customHeight="1" s="7635">
      <c r="A9" s="11602" t="n"/>
      <c r="B9" s="4675" t="inlineStr">
        <is>
          <t>3A</t>
        </is>
      </c>
      <c r="C9" s="4676" t="inlineStr">
        <is>
          <t>Include Line 3 on Schedule B, Line 1?  (Y / N)</t>
        </is>
      </c>
      <c r="D9" s="736" t="inlineStr">
        <is>
          <t>N</t>
        </is>
      </c>
      <c r="E9" s="737" t="inlineStr">
        <is>
          <t>N</t>
        </is>
      </c>
      <c r="F9" s="737" t="inlineStr">
        <is>
          <t>N</t>
        </is>
      </c>
      <c r="G9" s="738" t="inlineStr">
        <is>
          <t>N</t>
        </is>
      </c>
      <c r="H9" s="739" t="inlineStr">
        <is>
          <t>N</t>
        </is>
      </c>
      <c r="I9" s="4709" t="n"/>
      <c r="J9" s="4665" t="n"/>
      <c r="AA9" s="4" t="n"/>
      <c r="AB9" s="4" t="n"/>
      <c r="AC9" s="4" t="n"/>
      <c r="AD9" s="4" t="n"/>
      <c r="AE9" s="4" t="n"/>
    </row>
    <row r="10" ht="13.5" customHeight="1" s="7635">
      <c r="A10" s="11602" t="n"/>
      <c r="B10" s="4675" t="n">
        <v>4</v>
      </c>
      <c r="C10" s="4676" t="inlineStr">
        <is>
          <t>Federal income tax withheld</t>
        </is>
      </c>
      <c r="D10" s="606" t="n"/>
      <c r="E10" s="607" t="n"/>
      <c r="F10" s="607" t="n"/>
      <c r="G10" s="608" t="n"/>
      <c r="H10" s="609" t="n"/>
      <c r="I10" s="4709" t="n"/>
      <c r="J10" s="4665" t="n"/>
      <c r="AA10" s="4">
        <f>ROUND(D10,0)</f>
        <v/>
      </c>
      <c r="AB10" s="4">
        <f>ROUND(E10,0)</f>
        <v/>
      </c>
      <c r="AC10" s="4">
        <f>ROUND(F10,0)</f>
        <v/>
      </c>
      <c r="AD10" s="4">
        <f>ROUND(G10,0)</f>
        <v/>
      </c>
      <c r="AE10" s="4">
        <f>ROUND(H10,0)</f>
        <v/>
      </c>
    </row>
    <row r="11">
      <c r="A11" s="11602" t="n"/>
      <c r="B11" s="4680" t="n">
        <v>5</v>
      </c>
      <c r="C11" s="4678" t="inlineStr">
        <is>
          <t>Investment expenses</t>
        </is>
      </c>
      <c r="D11" s="606" t="n"/>
      <c r="E11" s="607" t="n"/>
      <c r="F11" s="607" t="n"/>
      <c r="G11" s="608" t="n"/>
      <c r="H11" s="609" t="n"/>
      <c r="I11" s="4709" t="n"/>
      <c r="J11" s="4665" t="n"/>
      <c r="AA11" s="4">
        <f>ROUND(D11,0)</f>
        <v/>
      </c>
      <c r="AB11" s="4">
        <f>ROUND(E11,0)</f>
        <v/>
      </c>
      <c r="AC11" s="4">
        <f>ROUND(F11,0)</f>
        <v/>
      </c>
      <c r="AD11" s="4">
        <f>ROUND(G11,0)</f>
        <v/>
      </c>
      <c r="AE11" s="4">
        <f>ROUND(H11,0)</f>
        <v/>
      </c>
    </row>
    <row r="12">
      <c r="A12" s="11602" t="n"/>
      <c r="B12" s="4675" t="n">
        <v>6</v>
      </c>
      <c r="C12" s="4676" t="inlineStr">
        <is>
          <t>Foreign tax paid</t>
        </is>
      </c>
      <c r="D12" s="606" t="n"/>
      <c r="E12" s="607" t="n"/>
      <c r="F12" s="607" t="n"/>
      <c r="G12" s="608" t="n"/>
      <c r="H12" s="609" t="n"/>
      <c r="I12" s="4681">
        <f>IF(SUM(D12:H12)&gt;0,"Check Form 1116, Foreign Tax Credit","")</f>
        <v/>
      </c>
      <c r="J12" s="4665" t="n"/>
      <c r="AA12" s="4">
        <f>ROUND(D12,0)</f>
        <v/>
      </c>
      <c r="AB12" s="4">
        <f>ROUND(E12,0)</f>
        <v/>
      </c>
      <c r="AC12" s="4">
        <f>ROUND(F12,0)</f>
        <v/>
      </c>
      <c r="AD12" s="4">
        <f>ROUND(G12,0)</f>
        <v/>
      </c>
      <c r="AE12" s="4">
        <f>ROUND(H12,0)</f>
        <v/>
      </c>
    </row>
    <row r="13">
      <c r="A13" s="11602" t="n"/>
      <c r="B13" s="4680" t="n">
        <v>7</v>
      </c>
      <c r="C13" s="4678" t="inlineStr">
        <is>
          <t>Foreign country or U.S. possession</t>
        </is>
      </c>
      <c r="D13" s="595" t="n"/>
      <c r="E13" s="596" t="n"/>
      <c r="F13" s="596" t="n"/>
      <c r="G13" s="610" t="n"/>
      <c r="H13" s="611" t="n"/>
      <c r="I13" s="4710" t="n"/>
      <c r="J13" s="4665" t="n"/>
      <c r="AA13" s="4">
        <f>ROUND(D13,0)</f>
        <v/>
      </c>
      <c r="AB13" s="4">
        <f>ROUND(E13,0)</f>
        <v/>
      </c>
      <c r="AC13" s="4">
        <f>ROUND(F13,0)</f>
        <v/>
      </c>
      <c r="AD13" s="4">
        <f>ROUND(G13,0)</f>
        <v/>
      </c>
      <c r="AE13" s="4">
        <f>ROUND(H13,0)</f>
        <v/>
      </c>
    </row>
    <row r="14">
      <c r="A14" s="11602" t="n"/>
      <c r="B14" s="4675" t="n">
        <v>8</v>
      </c>
      <c r="C14" s="4676" t="inlineStr">
        <is>
          <t>Tax-exempt interest</t>
        </is>
      </c>
      <c r="D14" s="606" t="n"/>
      <c r="E14" s="607" t="n"/>
      <c r="F14" s="607" t="n"/>
      <c r="G14" s="608" t="n"/>
      <c r="H14" s="609" t="n"/>
      <c r="I14" s="4709" t="n"/>
      <c r="J14" s="4665" t="n"/>
      <c r="AA14" s="4">
        <f>ROUND(D14,0)</f>
        <v/>
      </c>
      <c r="AB14" s="4">
        <f>ROUND(E14,0)</f>
        <v/>
      </c>
      <c r="AC14" s="4">
        <f>ROUND(F14,0)</f>
        <v/>
      </c>
      <c r="AD14" s="4">
        <f>ROUND(G14,0)</f>
        <v/>
      </c>
      <c r="AE14" s="4">
        <f>ROUND(H14,0)</f>
        <v/>
      </c>
    </row>
    <row r="15">
      <c r="A15" s="11602" t="n"/>
      <c r="B15" s="4675" t="n">
        <v>9</v>
      </c>
      <c r="C15" s="4676" t="inlineStr">
        <is>
          <t>Specified private activity bond interest</t>
        </is>
      </c>
      <c r="D15" s="606" t="n"/>
      <c r="E15" s="607" t="n"/>
      <c r="F15" s="607" t="n"/>
      <c r="G15" s="607" t="n"/>
      <c r="H15" s="609" t="n"/>
      <c r="I15" s="11883" t="n"/>
      <c r="J15" s="4665" t="n"/>
      <c r="AA15" s="4">
        <f>ROUND(D15,0)</f>
        <v/>
      </c>
      <c r="AB15" s="4">
        <f>ROUND(E15,0)</f>
        <v/>
      </c>
      <c r="AC15" s="4">
        <f>ROUND(F15,0)</f>
        <v/>
      </c>
      <c r="AD15" s="4">
        <f>ROUND(G15,0)</f>
        <v/>
      </c>
      <c r="AE15" s="4">
        <f>ROUND(H15,0)</f>
        <v/>
      </c>
    </row>
    <row r="16">
      <c r="A16" s="11602" t="n"/>
      <c r="B16" s="4680" t="n"/>
      <c r="C16" s="4678" t="n"/>
      <c r="D16" s="606" t="n"/>
      <c r="E16" s="607" t="n"/>
      <c r="F16" s="607" t="n"/>
      <c r="G16" s="608" t="n"/>
      <c r="H16" s="609" t="n"/>
      <c r="I16" s="4709" t="n"/>
      <c r="J16" s="4665" t="n"/>
      <c r="AA16" s="4" t="n"/>
      <c r="AB16" s="4" t="n"/>
      <c r="AC16" s="4" t="n"/>
      <c r="AD16" s="4" t="n"/>
      <c r="AE16" s="4" t="n"/>
    </row>
    <row r="17">
      <c r="A17" s="11602" t="n"/>
      <c r="B17" s="4675" t="n">
        <v>10</v>
      </c>
      <c r="C17" s="4676" t="inlineStr">
        <is>
          <t>Market discount</t>
        </is>
      </c>
      <c r="D17" s="1120" t="n"/>
      <c r="E17" s="607" t="n"/>
      <c r="F17" s="607" t="n"/>
      <c r="G17" s="608" t="n"/>
      <c r="H17" s="609" t="n"/>
      <c r="I17" s="4709" t="n"/>
      <c r="J17" s="4665" t="n"/>
      <c r="AA17" s="4">
        <f>ROUND(D17,0)</f>
        <v/>
      </c>
      <c r="AB17" s="4">
        <f>ROUND(E17,0)</f>
        <v/>
      </c>
      <c r="AC17" s="4">
        <f>ROUND(F17,0)</f>
        <v/>
      </c>
      <c r="AD17" s="4">
        <f>ROUND(G17,0)</f>
        <v/>
      </c>
      <c r="AE17" s="4">
        <f>ROUND(H17,0)</f>
        <v/>
      </c>
    </row>
    <row r="18">
      <c r="A18" s="11602" t="n"/>
      <c r="B18" s="4680" t="n">
        <v>11</v>
      </c>
      <c r="C18" s="4678" t="inlineStr">
        <is>
          <t>Bond premium</t>
        </is>
      </c>
      <c r="D18" s="1120" t="n"/>
      <c r="E18" s="1121" t="n"/>
      <c r="F18" s="1121" t="n"/>
      <c r="G18" s="1121" t="n"/>
      <c r="H18" s="1122" t="n"/>
      <c r="I18" s="4709" t="n"/>
      <c r="J18" s="4665" t="n"/>
      <c r="AA18" s="4">
        <f>ROUND(D18,0)</f>
        <v/>
      </c>
      <c r="AB18" s="4">
        <f>ROUND(E18,0)</f>
        <v/>
      </c>
      <c r="AC18" s="4">
        <f>ROUND(F18,0)</f>
        <v/>
      </c>
      <c r="AD18" s="4">
        <f>ROUND(G18,0)</f>
        <v/>
      </c>
      <c r="AE18" s="4">
        <f>ROUND(H18,0)</f>
        <v/>
      </c>
    </row>
    <row r="19">
      <c r="A19" s="11602" t="n"/>
      <c r="B19" s="4680" t="n">
        <v>12</v>
      </c>
      <c r="C19" s="4678" t="inlineStr">
        <is>
          <t>Bond premium on Treasury obligations</t>
        </is>
      </c>
      <c r="D19" s="1120" t="n"/>
      <c r="E19" s="1121" t="n"/>
      <c r="F19" s="1121" t="n"/>
      <c r="G19" s="1121" t="n"/>
      <c r="H19" s="1122" t="n"/>
      <c r="I19" s="4709" t="n"/>
      <c r="J19" s="4665" t="n"/>
      <c r="AA19" s="4">
        <f>ROUND(D19,0)</f>
        <v/>
      </c>
      <c r="AB19" s="4">
        <f>ROUND(E19,0)</f>
        <v/>
      </c>
      <c r="AC19" s="4">
        <f>ROUND(F19,0)</f>
        <v/>
      </c>
      <c r="AD19" s="4">
        <f>ROUND(G19,0)</f>
        <v/>
      </c>
      <c r="AE19" s="4">
        <f>ROUND(H19,0)</f>
        <v/>
      </c>
    </row>
    <row r="20">
      <c r="A20" s="11602" t="n"/>
      <c r="B20" s="4680" t="n">
        <v>13</v>
      </c>
      <c r="C20" s="4678" t="inlineStr">
        <is>
          <t>Bond premium on tax–exempt bond</t>
        </is>
      </c>
      <c r="D20" s="1120" t="n"/>
      <c r="E20" s="1121" t="n"/>
      <c r="F20" s="1121" t="n"/>
      <c r="G20" s="1121" t="n"/>
      <c r="H20" s="1122" t="n"/>
      <c r="I20" s="4710" t="n"/>
      <c r="J20" s="4665" t="n"/>
      <c r="AA20" s="4">
        <f>ROUND(D20,0)</f>
        <v/>
      </c>
      <c r="AB20" s="4">
        <f>ROUND(E20,0)</f>
        <v/>
      </c>
      <c r="AC20" s="4">
        <f>ROUND(F20,0)</f>
        <v/>
      </c>
      <c r="AD20" s="4">
        <f>ROUND(G20,0)</f>
        <v/>
      </c>
      <c r="AE20" s="4">
        <f>ROUND(H20,0)</f>
        <v/>
      </c>
    </row>
    <row r="21">
      <c r="A21" s="11602" t="n"/>
      <c r="B21" s="4680" t="n">
        <v>14</v>
      </c>
      <c r="C21" s="4678" t="inlineStr">
        <is>
          <t>Tax-exempt and tax credit bond CUSIP no.</t>
        </is>
      </c>
      <c r="D21" s="595" t="n"/>
      <c r="E21" s="596" t="n"/>
      <c r="F21" s="596" t="n"/>
      <c r="G21" s="596" t="n"/>
      <c r="H21" s="611" t="n"/>
      <c r="I21" s="4709" t="n"/>
      <c r="J21" s="4665" t="n"/>
      <c r="AA21" s="4">
        <f>ROUND(D21,0)</f>
        <v/>
      </c>
      <c r="AB21" s="4">
        <f>ROUND(E21,0)</f>
        <v/>
      </c>
      <c r="AC21" s="4">
        <f>ROUND(F21,0)</f>
        <v/>
      </c>
      <c r="AD21" s="4">
        <f>ROUND(G21,0)</f>
        <v/>
      </c>
      <c r="AE21" s="4">
        <f>ROUND(H21,0)</f>
        <v/>
      </c>
    </row>
    <row r="22">
      <c r="A22" s="11602" t="n"/>
      <c r="B22" s="4680" t="n">
        <v>15</v>
      </c>
      <c r="C22" s="4678" t="inlineStr">
        <is>
          <t>State</t>
        </is>
      </c>
      <c r="D22" s="1119" t="n"/>
      <c r="E22" s="1123" t="n"/>
      <c r="F22" s="1123" t="n"/>
      <c r="G22" s="1123" t="n"/>
      <c r="H22" s="1124" t="n"/>
      <c r="I22" s="4709" t="n"/>
      <c r="J22" s="4665" t="n"/>
      <c r="AA22" s="4" t="n"/>
      <c r="AB22" s="4" t="n"/>
      <c r="AC22" s="4" t="n"/>
      <c r="AD22" s="4" t="n"/>
      <c r="AE22" s="4" t="n"/>
    </row>
    <row r="23">
      <c r="A23" s="11602" t="n"/>
      <c r="B23" s="4680" t="n">
        <v>16</v>
      </c>
      <c r="C23" s="4678" t="inlineStr">
        <is>
          <t>State identification no.</t>
        </is>
      </c>
      <c r="D23" s="597" t="n"/>
      <c r="E23" s="598" t="n"/>
      <c r="F23" s="598" t="n"/>
      <c r="G23" s="598" t="n"/>
      <c r="H23" s="600" t="n"/>
      <c r="I23" s="4710" t="n"/>
      <c r="J23" s="4665" t="n"/>
      <c r="AA23" s="4" t="n"/>
      <c r="AB23" s="4" t="n"/>
      <c r="AC23" s="4" t="n"/>
      <c r="AD23" s="4" t="n"/>
      <c r="AE23" s="4" t="n"/>
    </row>
    <row r="24" ht="13.5" customHeight="1" s="7635" thickBot="1">
      <c r="A24" s="11602" t="n"/>
      <c r="B24" s="4682" t="n">
        <v>17</v>
      </c>
      <c r="C24" s="4683" t="inlineStr">
        <is>
          <t>State tax withheld</t>
        </is>
      </c>
      <c r="D24" s="616" t="n"/>
      <c r="E24" s="617" t="n"/>
      <c r="F24" s="617" t="n"/>
      <c r="G24" s="618" t="n"/>
      <c r="H24" s="619" t="n"/>
      <c r="I24" s="4709" t="n"/>
      <c r="J24" s="4665" t="n"/>
      <c r="AA24" s="4">
        <f>ROUND(D24,0)</f>
        <v/>
      </c>
      <c r="AB24" s="4">
        <f>ROUND(E24,0)</f>
        <v/>
      </c>
      <c r="AC24" s="4">
        <f>ROUND(F24,0)</f>
        <v/>
      </c>
      <c r="AD24" s="4">
        <f>ROUND(G24,0)</f>
        <v/>
      </c>
      <c r="AE24" s="4">
        <f>ROUND(H24,0)</f>
        <v/>
      </c>
    </row>
    <row r="25" ht="17.25" customHeight="1" s="7635" thickBot="1">
      <c r="A25" s="11602" t="n"/>
      <c r="B25" s="4712" t="inlineStr">
        <is>
          <t xml:space="preserve">  Only bolded amounts are used in this spreadsheet.</t>
        </is>
      </c>
      <c r="C25" s="11602" t="n"/>
      <c r="D25" s="11602" t="n"/>
      <c r="E25" s="11602" t="n"/>
      <c r="F25" s="11602" t="n"/>
      <c r="G25" s="11602" t="n"/>
      <c r="H25" s="11602" t="n"/>
      <c r="I25" s="11602" t="n"/>
      <c r="J25" s="4665" t="n"/>
      <c r="AA25" s="4" t="n"/>
    </row>
    <row r="26" hidden="1" ht="17.25" customFormat="1" customHeight="1" s="7970">
      <c r="A26" s="580" t="n"/>
      <c r="B26" s="4712" t="n"/>
      <c r="C26" s="580" t="n"/>
      <c r="D26" s="4713">
        <f>IF(OR(LEFT(D9,1)="Y",LEFT(D9,1)="y"),D8,"")</f>
        <v/>
      </c>
      <c r="E26" s="4713">
        <f>IF(OR(LEFT(E9,1)="Y",LEFT(E9,1)="y"),E8,"")</f>
        <v/>
      </c>
      <c r="F26" s="4713">
        <f>IF(OR(LEFT(F9,1)="Y",LEFT(F9,1)="y"),F8,"")</f>
        <v/>
      </c>
      <c r="G26" s="4713">
        <f>IF(OR(LEFT(G9,1)="Y",LEFT(G9,1)="y"),G8,"")</f>
        <v/>
      </c>
      <c r="H26" s="4713">
        <f>IF(OR(LEFT(H9,1)="Y",LEFT(H9,1)="y"),H8,"")</f>
        <v/>
      </c>
      <c r="I26" s="580" t="n"/>
      <c r="J26" s="4714" t="n"/>
      <c r="K26" s="11884" t="n"/>
      <c r="L26" s="750" t="n"/>
      <c r="M26" s="750" t="n"/>
      <c r="N26" s="750" t="n"/>
      <c r="O26" s="750" t="n"/>
      <c r="P26" s="750" t="n"/>
      <c r="Q26" s="750" t="n"/>
      <c r="R26" s="750" t="n"/>
      <c r="S26" s="750" t="n"/>
      <c r="T26" s="750" t="n"/>
      <c r="U26" s="750" t="n"/>
      <c r="V26" s="750" t="n"/>
      <c r="W26" s="750" t="n"/>
      <c r="X26" s="750" t="n"/>
      <c r="Y26" s="750" t="n"/>
    </row>
    <row r="27" hidden="1" ht="13.5" customFormat="1" customHeight="1" s="9160" thickBot="1">
      <c r="D27" s="9160">
        <f>IF(D3&lt;&gt;"",D3,"")</f>
        <v/>
      </c>
      <c r="E27" s="9160">
        <f>IF(E3&lt;&gt;"",E3,"")</f>
        <v/>
      </c>
      <c r="F27" s="9160">
        <f>IF(F3&lt;&gt;"",F3,"")</f>
        <v/>
      </c>
      <c r="G27" s="9160">
        <f>IF(G3&lt;&gt;"",G3,"")</f>
        <v/>
      </c>
      <c r="H27" s="9160">
        <f>IF(H3&lt;&gt;"",H3,"")</f>
        <v/>
      </c>
      <c r="K27" s="11885" t="n"/>
      <c r="L27" s="715" t="n"/>
      <c r="M27" s="715" t="n"/>
      <c r="N27" s="715" t="n"/>
      <c r="O27" s="715" t="n"/>
      <c r="P27" s="715" t="n"/>
      <c r="Q27" s="715" t="n"/>
      <c r="R27" s="715" t="n"/>
      <c r="S27" s="715" t="n"/>
      <c r="T27" s="715" t="n"/>
      <c r="U27" s="715" t="n"/>
      <c r="V27" s="715" t="n"/>
      <c r="W27" s="715" t="n"/>
      <c r="X27" s="715" t="n"/>
      <c r="Y27" s="715" t="n"/>
      <c r="AA27" s="7970" t="n"/>
    </row>
    <row r="28" hidden="1" ht="13.5" customFormat="1" customHeight="1" s="9160" thickBot="1">
      <c r="D28" s="9160">
        <f>IF(D4&lt;&gt;"", " - "&amp;D4,"")</f>
        <v/>
      </c>
      <c r="E28" s="9160">
        <f>IF(E4&lt;&gt;"", " - "&amp;E4,"")</f>
        <v/>
      </c>
      <c r="F28" s="9160">
        <f>IF(F4&lt;&gt;"", " - "&amp;F4,"")</f>
        <v/>
      </c>
      <c r="G28" s="9160">
        <f>IF(G4&lt;&gt;"", " - "&amp;G4,"")</f>
        <v/>
      </c>
      <c r="H28" s="9160">
        <f>IF(H4&lt;&gt;"", " - "&amp;H4,"")</f>
        <v/>
      </c>
      <c r="K28" s="11885" t="n"/>
      <c r="L28" s="715" t="n"/>
      <c r="M28" s="715" t="n"/>
      <c r="N28" s="715" t="n"/>
      <c r="O28" s="715" t="n"/>
      <c r="P28" s="715" t="n"/>
      <c r="Q28" s="715" t="n"/>
      <c r="R28" s="715" t="n"/>
      <c r="S28" s="715" t="n"/>
      <c r="T28" s="715" t="n"/>
      <c r="U28" s="715" t="n"/>
      <c r="V28" s="715" t="n"/>
      <c r="W28" s="715" t="n"/>
      <c r="X28" s="715" t="n"/>
      <c r="Y28" s="715" t="n"/>
    </row>
    <row r="29" hidden="1" ht="13.5" customFormat="1" customHeight="1" s="9160" thickBot="1">
      <c r="D29" s="9160">
        <f>IF(D5&lt;&gt;""," - "&amp;D5,"")</f>
        <v/>
      </c>
      <c r="E29" s="9160">
        <f>IF(E5&lt;&gt;""," - "&amp;E5,"")</f>
        <v/>
      </c>
      <c r="F29" s="9160">
        <f>IF(F5&lt;&gt;""," - "&amp;F5,"")</f>
        <v/>
      </c>
      <c r="G29" s="9160">
        <f>IF(G5&lt;&gt;""," - "&amp;G5,"")</f>
        <v/>
      </c>
      <c r="H29" s="9160">
        <f>IF(H5&lt;&gt;""," - "&amp;H5,"")</f>
        <v/>
      </c>
      <c r="K29" s="11885" t="n"/>
      <c r="L29" s="715" t="n"/>
      <c r="M29" s="715" t="n"/>
      <c r="N29" s="715" t="n"/>
      <c r="O29" s="715" t="n"/>
      <c r="P29" s="715" t="n"/>
      <c r="Q29" s="715" t="n"/>
      <c r="R29" s="715" t="n"/>
      <c r="S29" s="715" t="n"/>
      <c r="T29" s="715" t="n"/>
      <c r="U29" s="715" t="n"/>
      <c r="V29" s="715" t="n"/>
      <c r="W29" s="715" t="n"/>
      <c r="X29" s="715" t="n"/>
      <c r="Y29" s="715" t="n"/>
    </row>
    <row r="30" hidden="1" ht="13.5" customFormat="1" customHeight="1" s="9160" thickBot="1">
      <c r="D30" s="8608">
        <f>D27&amp;D28&amp;D29</f>
        <v/>
      </c>
      <c r="E30" s="8608">
        <f>E27&amp;E28&amp;E29</f>
        <v/>
      </c>
      <c r="F30" s="8608">
        <f>F27&amp;F28&amp;F29</f>
        <v/>
      </c>
      <c r="G30" s="8608">
        <f>G27&amp;G28&amp;G29</f>
        <v/>
      </c>
      <c r="H30" s="8608">
        <f>H27&amp;H28&amp;H29</f>
        <v/>
      </c>
      <c r="K30" s="11885" t="n"/>
      <c r="L30" s="715" t="n"/>
      <c r="M30" s="715" t="n"/>
      <c r="N30" s="715" t="n"/>
      <c r="O30" s="715" t="n"/>
      <c r="P30" s="715" t="n"/>
      <c r="Q30" s="715" t="n"/>
      <c r="R30" s="715" t="n"/>
      <c r="S30" s="715" t="n"/>
      <c r="T30" s="715" t="n"/>
      <c r="U30" s="715" t="n"/>
      <c r="V30" s="715" t="n"/>
      <c r="W30" s="715" t="n"/>
      <c r="X30" s="715" t="n"/>
      <c r="Y30" s="715" t="n"/>
    </row>
    <row r="31" ht="42" customHeight="1" s="7635" thickBot="1" thickTop="1">
      <c r="A31" s="257" t="n"/>
      <c r="B31" s="1534" t="n"/>
      <c r="C31" s="4664">
        <f>IF(Name_1st_Yours="","Enter your name(s) on the"&amp;CHAR(10)&amp;"sheet lableled '1040'",IF(File_Marr_Joint&lt;&gt;"",NameYours&amp;CHAR(10)&amp;" and "&amp;NameSpouse,NameYours))</f>
        <v/>
      </c>
      <c r="D31" s="458" t="inlineStr">
        <is>
          <t>Payer #6</t>
        </is>
      </c>
      <c r="E31" s="458" t="inlineStr">
        <is>
          <t>Payer #7</t>
        </is>
      </c>
      <c r="F31" s="458" t="inlineStr">
        <is>
          <t>Payer #8</t>
        </is>
      </c>
      <c r="G31" s="458" t="inlineStr">
        <is>
          <t>Payer #9</t>
        </is>
      </c>
      <c r="H31" s="458" t="inlineStr">
        <is>
          <t>Payer #10</t>
        </is>
      </c>
      <c r="I31" s="758" t="n"/>
      <c r="J31" s="758" t="n"/>
      <c r="AA31" s="9160" t="n"/>
    </row>
    <row r="32">
      <c r="A32" s="11602" t="n"/>
      <c r="B32" s="4666" t="n"/>
      <c r="C32" s="4704" t="inlineStr">
        <is>
          <t>PAYER's name</t>
        </is>
      </c>
      <c r="D32" s="601" t="n"/>
      <c r="E32" s="602" t="n"/>
      <c r="F32" s="602" t="n"/>
      <c r="G32" s="602" t="n"/>
      <c r="H32" s="603" t="n"/>
      <c r="I32" s="4705" t="n"/>
      <c r="J32" s="4665" t="n"/>
    </row>
    <row r="33">
      <c r="A33" s="11602" t="n"/>
      <c r="B33" s="4668" t="n"/>
      <c r="C33" s="4706" t="inlineStr">
        <is>
          <t>PAYER's Federal ID number</t>
        </is>
      </c>
      <c r="D33" s="629" t="n"/>
      <c r="E33" s="630" t="n"/>
      <c r="F33" s="630" t="n"/>
      <c r="G33" s="630" t="n"/>
      <c r="H33" s="631" t="n"/>
      <c r="I33" s="4705" t="n"/>
      <c r="J33" s="4665" t="n"/>
    </row>
    <row r="34" ht="13.5" customHeight="1" s="7635" thickBot="1">
      <c r="A34" s="11602" t="n"/>
      <c r="B34" s="4670" t="n"/>
      <c r="C34" s="4707" t="inlineStr">
        <is>
          <t>Account number</t>
        </is>
      </c>
      <c r="D34" s="632" t="n"/>
      <c r="E34" s="633" t="n"/>
      <c r="F34" s="633" t="n"/>
      <c r="G34" s="633" t="n"/>
      <c r="H34" s="634" t="n"/>
      <c r="I34" s="4705" t="n"/>
      <c r="J34" s="4665" t="n"/>
    </row>
    <row r="35" ht="13.5" customHeight="1" s="7635">
      <c r="A35" s="11602" t="n"/>
      <c r="B35" s="4672" t="n">
        <v>1</v>
      </c>
      <c r="C35" s="4673" t="inlineStr">
        <is>
          <t>Interest income</t>
        </is>
      </c>
      <c r="D35" s="604" t="n"/>
      <c r="E35" s="605" t="n"/>
      <c r="F35" s="605" t="n"/>
      <c r="G35" s="646" t="n"/>
      <c r="H35" s="647" t="n"/>
      <c r="I35" s="4708" t="n"/>
      <c r="J35" s="4665" t="n"/>
      <c r="AA35" s="4">
        <f>ROUND(D35,0)</f>
        <v/>
      </c>
      <c r="AB35" s="4">
        <f>ROUND(E35,0)</f>
        <v/>
      </c>
      <c r="AC35" s="4">
        <f>ROUND(F35,0)</f>
        <v/>
      </c>
      <c r="AD35" s="4">
        <f>ROUND(G35,0)</f>
        <v/>
      </c>
      <c r="AE35" s="4">
        <f>ROUND(H35,0)</f>
        <v/>
      </c>
    </row>
    <row r="36" ht="13.5" customHeight="1" s="7635">
      <c r="A36" s="11602" t="n"/>
      <c r="B36" s="4675" t="n">
        <v>2</v>
      </c>
      <c r="C36" s="4676" t="inlineStr">
        <is>
          <t>Early withdrawal penalty</t>
        </is>
      </c>
      <c r="D36" s="606" t="n"/>
      <c r="E36" s="607" t="n"/>
      <c r="F36" s="607" t="n"/>
      <c r="G36" s="608" t="n"/>
      <c r="H36" s="609" t="n"/>
      <c r="I36" s="4709" t="n"/>
      <c r="J36" s="4665" t="n"/>
      <c r="AA36" s="4">
        <f>ROUND(D36,0)</f>
        <v/>
      </c>
      <c r="AB36" s="4">
        <f>ROUND(E36,0)</f>
        <v/>
      </c>
      <c r="AC36" s="4">
        <f>ROUND(F36,0)</f>
        <v/>
      </c>
      <c r="AD36" s="4">
        <f>ROUND(G36,0)</f>
        <v/>
      </c>
      <c r="AE36" s="4">
        <f>ROUND(H36,0)</f>
        <v/>
      </c>
    </row>
    <row r="37" ht="13.5" customHeight="1" s="7635">
      <c r="A37" s="11602" t="n"/>
      <c r="B37" s="4675" t="n">
        <v>3</v>
      </c>
      <c r="C37" s="4676" t="inlineStr">
        <is>
          <t>Interest on U.S. Savings Bonds &amp; Treas. Obligations</t>
        </is>
      </c>
      <c r="D37" s="606" t="n"/>
      <c r="E37" s="607" t="n"/>
      <c r="F37" s="607" t="n"/>
      <c r="G37" s="608" t="n"/>
      <c r="H37" s="609" t="n"/>
      <c r="I37" s="4709" t="n"/>
      <c r="J37" s="4665" t="n"/>
      <c r="AA37" s="4">
        <f>ROUND(D37,0)</f>
        <v/>
      </c>
      <c r="AB37" s="4">
        <f>ROUND(E37,0)</f>
        <v/>
      </c>
      <c r="AC37" s="4">
        <f>ROUND(F37,0)</f>
        <v/>
      </c>
      <c r="AD37" s="4">
        <f>ROUND(G37,0)</f>
        <v/>
      </c>
      <c r="AE37" s="4">
        <f>ROUND(H37,0)</f>
        <v/>
      </c>
    </row>
    <row r="38" ht="13.5" customHeight="1" s="7635">
      <c r="A38" s="11602" t="n"/>
      <c r="B38" s="4675" t="inlineStr">
        <is>
          <t>3A</t>
        </is>
      </c>
      <c r="C38" s="4676" t="inlineStr">
        <is>
          <t>Include Line 3 on Schedule B, Line 1?  (Y / N)</t>
        </is>
      </c>
      <c r="D38" s="736" t="inlineStr">
        <is>
          <t>N</t>
        </is>
      </c>
      <c r="E38" s="737" t="inlineStr">
        <is>
          <t>N</t>
        </is>
      </c>
      <c r="F38" s="737" t="inlineStr">
        <is>
          <t>N</t>
        </is>
      </c>
      <c r="G38" s="738" t="inlineStr">
        <is>
          <t>N</t>
        </is>
      </c>
      <c r="H38" s="739" t="inlineStr">
        <is>
          <t>N</t>
        </is>
      </c>
      <c r="I38" s="4709" t="n"/>
      <c r="J38" s="4665" t="n"/>
      <c r="AA38" s="4" t="n"/>
      <c r="AB38" s="4" t="n"/>
      <c r="AC38" s="4" t="n"/>
      <c r="AD38" s="4" t="n"/>
      <c r="AE38" s="4" t="n"/>
    </row>
    <row r="39" ht="13.5" customHeight="1" s="7635">
      <c r="A39" s="11602" t="n"/>
      <c r="B39" s="4675" t="n">
        <v>4</v>
      </c>
      <c r="C39" s="4676" t="inlineStr">
        <is>
          <t>Federal income tax withheld</t>
        </is>
      </c>
      <c r="D39" s="606" t="n"/>
      <c r="E39" s="607" t="n"/>
      <c r="F39" s="607" t="n"/>
      <c r="G39" s="608" t="n"/>
      <c r="H39" s="609" t="n"/>
      <c r="I39" s="4709" t="n"/>
      <c r="J39" s="4665" t="n"/>
      <c r="AA39" s="4">
        <f>ROUND(D39,0)</f>
        <v/>
      </c>
      <c r="AB39" s="4">
        <f>ROUND(E39,0)</f>
        <v/>
      </c>
      <c r="AC39" s="4">
        <f>ROUND(F39,0)</f>
        <v/>
      </c>
      <c r="AD39" s="4">
        <f>ROUND(G39,0)</f>
        <v/>
      </c>
      <c r="AE39" s="4">
        <f>ROUND(H39,0)</f>
        <v/>
      </c>
    </row>
    <row r="40">
      <c r="A40" s="11602" t="n"/>
      <c r="B40" s="4680" t="n">
        <v>5</v>
      </c>
      <c r="C40" s="4678" t="inlineStr">
        <is>
          <t>Investment expenses</t>
        </is>
      </c>
      <c r="D40" s="606" t="n"/>
      <c r="E40" s="607" t="n"/>
      <c r="F40" s="607" t="n"/>
      <c r="G40" s="608" t="n"/>
      <c r="H40" s="609" t="n"/>
      <c r="I40" s="4709" t="n"/>
      <c r="J40" s="4665" t="n"/>
      <c r="AA40" s="4">
        <f>ROUND(D40,0)</f>
        <v/>
      </c>
      <c r="AB40" s="4">
        <f>ROUND(E40,0)</f>
        <v/>
      </c>
      <c r="AC40" s="4">
        <f>ROUND(F40,0)</f>
        <v/>
      </c>
      <c r="AD40" s="4">
        <f>ROUND(G40,0)</f>
        <v/>
      </c>
      <c r="AE40" s="4">
        <f>ROUND(H40,0)</f>
        <v/>
      </c>
    </row>
    <row r="41">
      <c r="A41" s="11602" t="n"/>
      <c r="B41" s="4675" t="n">
        <v>6</v>
      </c>
      <c r="C41" s="4676" t="inlineStr">
        <is>
          <t>Foreign tax paid</t>
        </is>
      </c>
      <c r="D41" s="606" t="n"/>
      <c r="E41" s="607" t="n"/>
      <c r="F41" s="607" t="n"/>
      <c r="G41" s="608" t="n"/>
      <c r="H41" s="609" t="n"/>
      <c r="I41" s="4681">
        <f>IF(SUM(D41:H41)&gt;0,"Check Form 1116, Foreign Tax Credit","")</f>
        <v/>
      </c>
      <c r="J41" s="4665" t="n"/>
      <c r="AA41" s="4">
        <f>ROUND(D41,0)</f>
        <v/>
      </c>
      <c r="AB41" s="4">
        <f>ROUND(E41,0)</f>
        <v/>
      </c>
      <c r="AC41" s="4">
        <f>ROUND(F41,0)</f>
        <v/>
      </c>
      <c r="AD41" s="4">
        <f>ROUND(G41,0)</f>
        <v/>
      </c>
      <c r="AE41" s="4">
        <f>ROUND(H41,0)</f>
        <v/>
      </c>
    </row>
    <row r="42">
      <c r="A42" s="11602" t="n"/>
      <c r="B42" s="4680" t="n">
        <v>7</v>
      </c>
      <c r="C42" s="4678" t="inlineStr">
        <is>
          <t>Foreign country or U.S. possession</t>
        </is>
      </c>
      <c r="D42" s="595" t="n"/>
      <c r="E42" s="596" t="n"/>
      <c r="F42" s="596" t="n"/>
      <c r="G42" s="610" t="n"/>
      <c r="H42" s="611" t="n"/>
      <c r="I42" s="4710" t="n"/>
      <c r="J42" s="4665" t="n"/>
      <c r="AA42" s="4">
        <f>ROUND(D42,0)</f>
        <v/>
      </c>
      <c r="AB42" s="4">
        <f>ROUND(E42,0)</f>
        <v/>
      </c>
      <c r="AC42" s="4">
        <f>ROUND(F42,0)</f>
        <v/>
      </c>
      <c r="AD42" s="4">
        <f>ROUND(G42,0)</f>
        <v/>
      </c>
      <c r="AE42" s="4">
        <f>ROUND(H42,0)</f>
        <v/>
      </c>
    </row>
    <row r="43">
      <c r="A43" s="11602" t="n"/>
      <c r="B43" s="4675" t="n">
        <v>8</v>
      </c>
      <c r="C43" s="4676" t="inlineStr">
        <is>
          <t>Tax-exempt interest</t>
        </is>
      </c>
      <c r="D43" s="606" t="n"/>
      <c r="E43" s="607" t="n"/>
      <c r="F43" s="607" t="n"/>
      <c r="G43" s="608" t="n"/>
      <c r="H43" s="609" t="n"/>
      <c r="I43" s="4709" t="n"/>
      <c r="J43" s="4665" t="n"/>
      <c r="AA43" s="4">
        <f>ROUND(D43,0)</f>
        <v/>
      </c>
      <c r="AB43" s="4">
        <f>ROUND(E43,0)</f>
        <v/>
      </c>
      <c r="AC43" s="4">
        <f>ROUND(F43,0)</f>
        <v/>
      </c>
      <c r="AD43" s="4">
        <f>ROUND(G43,0)</f>
        <v/>
      </c>
      <c r="AE43" s="4">
        <f>ROUND(H43,0)</f>
        <v/>
      </c>
    </row>
    <row r="44">
      <c r="A44" s="11602" t="n"/>
      <c r="B44" s="4675" t="n">
        <v>9</v>
      </c>
      <c r="C44" s="4676" t="inlineStr">
        <is>
          <t>Specified private activity bond interest</t>
        </is>
      </c>
      <c r="D44" s="606" t="n"/>
      <c r="E44" s="607" t="n"/>
      <c r="F44" s="607" t="n"/>
      <c r="G44" s="607" t="n"/>
      <c r="H44" s="609" t="n"/>
      <c r="I44" s="11883" t="n"/>
      <c r="J44" s="4665" t="n"/>
      <c r="AA44" s="4">
        <f>ROUND(D44,0)</f>
        <v/>
      </c>
      <c r="AB44" s="4">
        <f>ROUND(E44,0)</f>
        <v/>
      </c>
      <c r="AC44" s="4">
        <f>ROUND(F44,0)</f>
        <v/>
      </c>
      <c r="AD44" s="4">
        <f>ROUND(G44,0)</f>
        <v/>
      </c>
      <c r="AE44" s="4">
        <f>ROUND(H44,0)</f>
        <v/>
      </c>
    </row>
    <row r="45">
      <c r="A45" s="11602" t="n"/>
      <c r="B45" s="4680" t="n"/>
      <c r="C45" s="4678" t="n"/>
      <c r="D45" s="606" t="n"/>
      <c r="E45" s="607" t="n"/>
      <c r="F45" s="607" t="n"/>
      <c r="G45" s="608" t="n"/>
      <c r="H45" s="609" t="n"/>
      <c r="I45" s="4709" t="n"/>
      <c r="J45" s="4665" t="n"/>
      <c r="AA45" s="4" t="n"/>
      <c r="AB45" s="4" t="n"/>
      <c r="AC45" s="4" t="n"/>
      <c r="AD45" s="4" t="n"/>
      <c r="AE45" s="4" t="n"/>
    </row>
    <row r="46">
      <c r="A46" s="11602" t="n"/>
      <c r="B46" s="4675" t="n">
        <v>10</v>
      </c>
      <c r="C46" s="4676" t="inlineStr">
        <is>
          <t>Market discount</t>
        </is>
      </c>
      <c r="D46" s="606" t="n"/>
      <c r="E46" s="607" t="n"/>
      <c r="F46" s="607" t="n"/>
      <c r="G46" s="608" t="n"/>
      <c r="H46" s="609" t="n"/>
      <c r="I46" s="4709" t="n"/>
      <c r="J46" s="4665" t="n"/>
      <c r="AA46" s="4">
        <f>ROUND(D46,0)</f>
        <v/>
      </c>
      <c r="AB46" s="4">
        <f>ROUND(E46,0)</f>
        <v/>
      </c>
      <c r="AC46" s="4">
        <f>ROUND(F46,0)</f>
        <v/>
      </c>
      <c r="AD46" s="4">
        <f>ROUND(G46,0)</f>
        <v/>
      </c>
      <c r="AE46" s="4">
        <f>ROUND(H46,0)</f>
        <v/>
      </c>
    </row>
    <row r="47">
      <c r="A47" s="11602" t="n"/>
      <c r="B47" s="4680" t="n">
        <v>11</v>
      </c>
      <c r="C47" s="4678" t="inlineStr">
        <is>
          <t>Bond premium</t>
        </is>
      </c>
      <c r="D47" s="1120" t="n"/>
      <c r="E47" s="1121" t="n"/>
      <c r="F47" s="1121" t="n"/>
      <c r="G47" s="1121" t="n"/>
      <c r="H47" s="1122" t="n"/>
      <c r="I47" s="4709" t="n"/>
      <c r="J47" s="4665" t="n"/>
      <c r="AA47" s="4">
        <f>ROUND(D47,0)</f>
        <v/>
      </c>
      <c r="AB47" s="4">
        <f>ROUND(E47,0)</f>
        <v/>
      </c>
      <c r="AC47" s="4">
        <f>ROUND(F47,0)</f>
        <v/>
      </c>
      <c r="AD47" s="4">
        <f>ROUND(G47,0)</f>
        <v/>
      </c>
      <c r="AE47" s="4">
        <f>ROUND(H47,0)</f>
        <v/>
      </c>
    </row>
    <row r="48">
      <c r="A48" s="11602" t="n"/>
      <c r="B48" s="4680" t="n">
        <v>12</v>
      </c>
      <c r="C48" s="4678" t="inlineStr">
        <is>
          <t>Bond premium on Treasury obligations</t>
        </is>
      </c>
      <c r="D48" s="1120" t="n"/>
      <c r="E48" s="1121" t="n"/>
      <c r="F48" s="1121" t="n"/>
      <c r="G48" s="1121" t="n"/>
      <c r="H48" s="1122" t="n"/>
      <c r="I48" s="4709" t="n"/>
      <c r="J48" s="4665" t="n"/>
      <c r="AA48" s="4">
        <f>ROUND(D48,0)</f>
        <v/>
      </c>
      <c r="AB48" s="4">
        <f>ROUND(E48,0)</f>
        <v/>
      </c>
      <c r="AC48" s="4">
        <f>ROUND(F48,0)</f>
        <v/>
      </c>
      <c r="AD48" s="4">
        <f>ROUND(G48,0)</f>
        <v/>
      </c>
      <c r="AE48" s="4">
        <f>ROUND(H48,0)</f>
        <v/>
      </c>
    </row>
    <row r="49">
      <c r="A49" s="11602" t="n"/>
      <c r="B49" s="4680" t="n">
        <v>13</v>
      </c>
      <c r="C49" s="4678" t="inlineStr">
        <is>
          <t>Bond premium on tax–exempt bond</t>
        </is>
      </c>
      <c r="D49" s="1120" t="n"/>
      <c r="E49" s="1121" t="n"/>
      <c r="F49" s="1121" t="n"/>
      <c r="G49" s="1121" t="n"/>
      <c r="H49" s="1122" t="n"/>
      <c r="I49" s="4710" t="n"/>
      <c r="J49" s="4665" t="n"/>
      <c r="AA49" s="4">
        <f>ROUND(D49,0)</f>
        <v/>
      </c>
      <c r="AB49" s="4">
        <f>ROUND(E49,0)</f>
        <v/>
      </c>
      <c r="AC49" s="4">
        <f>ROUND(F49,0)</f>
        <v/>
      </c>
      <c r="AD49" s="4">
        <f>ROUND(G49,0)</f>
        <v/>
      </c>
      <c r="AE49" s="4">
        <f>ROUND(H49,0)</f>
        <v/>
      </c>
    </row>
    <row r="50">
      <c r="A50" s="11602" t="n"/>
      <c r="B50" s="4680" t="n">
        <v>14</v>
      </c>
      <c r="C50" s="4678" t="inlineStr">
        <is>
          <t>Tax-exempt and tax credit bond CUSIP no.</t>
        </is>
      </c>
      <c r="D50" s="595" t="n"/>
      <c r="E50" s="596" t="n"/>
      <c r="F50" s="596" t="n"/>
      <c r="G50" s="596" t="n"/>
      <c r="H50" s="611" t="n"/>
      <c r="I50" s="4709" t="n"/>
      <c r="J50" s="4665" t="n"/>
      <c r="AA50" s="4">
        <f>ROUND(D50,0)</f>
        <v/>
      </c>
      <c r="AB50" s="4">
        <f>ROUND(E50,0)</f>
        <v/>
      </c>
      <c r="AC50" s="4">
        <f>ROUND(F50,0)</f>
        <v/>
      </c>
      <c r="AD50" s="4">
        <f>ROUND(G50,0)</f>
        <v/>
      </c>
      <c r="AE50" s="4">
        <f>ROUND(H50,0)</f>
        <v/>
      </c>
    </row>
    <row r="51">
      <c r="A51" s="11602" t="n"/>
      <c r="B51" s="4680" t="n">
        <v>15</v>
      </c>
      <c r="C51" s="4678" t="inlineStr">
        <is>
          <t>State</t>
        </is>
      </c>
      <c r="D51" s="1119" t="n"/>
      <c r="E51" s="1123" t="n"/>
      <c r="F51" s="1123" t="n"/>
      <c r="G51" s="1123" t="n"/>
      <c r="H51" s="1124" t="n"/>
      <c r="I51" s="4709" t="n"/>
      <c r="J51" s="4665" t="n"/>
      <c r="AA51" s="4" t="n"/>
      <c r="AB51" s="4" t="n"/>
      <c r="AC51" s="4" t="n"/>
      <c r="AD51" s="4" t="n"/>
      <c r="AE51" s="4" t="n"/>
    </row>
    <row r="52">
      <c r="A52" s="11602" t="n"/>
      <c r="B52" s="4680" t="n">
        <v>16</v>
      </c>
      <c r="C52" s="4678" t="inlineStr">
        <is>
          <t>State identification no.</t>
        </is>
      </c>
      <c r="D52" s="597" t="n"/>
      <c r="E52" s="598" t="n"/>
      <c r="F52" s="598" t="n"/>
      <c r="G52" s="598" t="n"/>
      <c r="H52" s="600" t="n"/>
      <c r="I52" s="4710" t="n"/>
      <c r="J52" s="4665" t="n"/>
      <c r="AA52" s="4" t="n"/>
      <c r="AB52" s="4" t="n"/>
      <c r="AC52" s="4" t="n"/>
      <c r="AD52" s="4" t="n"/>
      <c r="AE52" s="4" t="n"/>
    </row>
    <row r="53" ht="13.5" customHeight="1" s="7635" thickBot="1">
      <c r="A53" s="11602" t="n"/>
      <c r="B53" s="4682" t="n">
        <v>17</v>
      </c>
      <c r="C53" s="4683" t="inlineStr">
        <is>
          <t>State tax withheld</t>
        </is>
      </c>
      <c r="D53" s="616" t="n"/>
      <c r="E53" s="617" t="n"/>
      <c r="F53" s="617" t="n"/>
      <c r="G53" s="618" t="n"/>
      <c r="H53" s="619" t="n"/>
      <c r="I53" s="4709" t="n"/>
      <c r="J53" s="4665" t="n"/>
      <c r="AA53" s="4">
        <f>ROUND(D53,0)</f>
        <v/>
      </c>
      <c r="AB53" s="4">
        <f>ROUND(E53,0)</f>
        <v/>
      </c>
      <c r="AC53" s="4">
        <f>ROUND(F53,0)</f>
        <v/>
      </c>
      <c r="AD53" s="4">
        <f>ROUND(G53,0)</f>
        <v/>
      </c>
      <c r="AE53" s="4">
        <f>ROUND(H53,0)</f>
        <v/>
      </c>
    </row>
    <row r="54" ht="17.25" customHeight="1" s="7635" thickBot="1">
      <c r="A54" s="11602" t="n"/>
      <c r="B54" s="4712" t="inlineStr">
        <is>
          <t xml:space="preserve">  Only bolded amounts are used in this spreadsheet.</t>
        </is>
      </c>
      <c r="C54" s="11602" t="n"/>
      <c r="D54" s="11602" t="n"/>
      <c r="E54" s="11602" t="n"/>
      <c r="F54" s="11602" t="n"/>
      <c r="G54" s="11602" t="n"/>
      <c r="H54" s="11602" t="n"/>
      <c r="I54" s="11602" t="n"/>
      <c r="J54" s="4665" t="n"/>
    </row>
    <row r="55" hidden="1" ht="17.25" customHeight="1" s="7635">
      <c r="A55" s="11602" t="n"/>
      <c r="B55" s="4712" t="n"/>
      <c r="C55" s="11602" t="n"/>
      <c r="D55" s="740">
        <f>IF(OR(LEFT(D38,1)="Y",LEFT(D38,1)="y"),D37,"")</f>
        <v/>
      </c>
      <c r="E55" s="740">
        <f>IF(OR(LEFT(E38,1)="Y",LEFT(E38,1)="y"),E37,"")</f>
        <v/>
      </c>
      <c r="F55" s="740">
        <f>IF(OR(LEFT(F38,1)="Y",LEFT(F38,1)="y"),F37,"")</f>
        <v/>
      </c>
      <c r="G55" s="740">
        <f>IF(OR(LEFT(G38,1)="Y",LEFT(G38,1)="y"),G37,"")</f>
        <v/>
      </c>
      <c r="H55" s="740">
        <f>IF(OR(LEFT(H38,1)="Y",LEFT(H38,1)="y"),H37,"")</f>
        <v/>
      </c>
      <c r="I55" s="11602" t="n"/>
      <c r="J55" s="4665" t="n"/>
    </row>
    <row r="56" hidden="1" ht="13.5" customFormat="1" customHeight="1" s="9160" thickBot="1">
      <c r="D56" s="9160">
        <f>IF(D32&lt;&gt;"",D32,"")</f>
        <v/>
      </c>
      <c r="E56" s="9160">
        <f>IF(E32&lt;&gt;"",E32,"")</f>
        <v/>
      </c>
      <c r="F56" s="9160">
        <f>IF(F32&lt;&gt;"",F32,"")</f>
        <v/>
      </c>
      <c r="G56" s="9160">
        <f>IF(G32&lt;&gt;"",G32,"")</f>
        <v/>
      </c>
      <c r="H56" s="9160">
        <f>IF(H32&lt;&gt;"",H32,"")</f>
        <v/>
      </c>
      <c r="K56" s="11885" t="n"/>
      <c r="L56" s="715" t="n"/>
      <c r="M56" s="715" t="n"/>
      <c r="N56" s="715" t="n"/>
      <c r="O56" s="715" t="n"/>
      <c r="P56" s="715" t="n"/>
      <c r="Q56" s="715" t="n"/>
      <c r="R56" s="715" t="n"/>
      <c r="S56" s="715" t="n"/>
      <c r="T56" s="715" t="n"/>
      <c r="U56" s="715" t="n"/>
      <c r="V56" s="715" t="n"/>
      <c r="W56" s="715" t="n"/>
      <c r="X56" s="715" t="n"/>
      <c r="Y56" s="715" t="n"/>
    </row>
    <row r="57" hidden="1" ht="13.5" customFormat="1" customHeight="1" s="9160" thickBot="1">
      <c r="D57" s="9160">
        <f>IF(D33&lt;&gt;"", " - "&amp;D33,"")</f>
        <v/>
      </c>
      <c r="E57" s="9160">
        <f>IF(E33&lt;&gt;"", " - "&amp;E33,"")</f>
        <v/>
      </c>
      <c r="F57" s="9160">
        <f>IF(F33&lt;&gt;"", " - "&amp;F33,"")</f>
        <v/>
      </c>
      <c r="G57" s="9160">
        <f>IF(G33&lt;&gt;"", " - "&amp;G33,"")</f>
        <v/>
      </c>
      <c r="H57" s="9160">
        <f>IF(H33&lt;&gt;"", " - "&amp;H33,"")</f>
        <v/>
      </c>
      <c r="K57" s="11885" t="n"/>
      <c r="L57" s="715" t="n"/>
      <c r="M57" s="715" t="n"/>
      <c r="N57" s="715" t="n"/>
      <c r="O57" s="715" t="n"/>
      <c r="P57" s="715" t="n"/>
      <c r="Q57" s="715" t="n"/>
      <c r="R57" s="715" t="n"/>
      <c r="S57" s="715" t="n"/>
      <c r="T57" s="715" t="n"/>
      <c r="U57" s="715" t="n"/>
      <c r="V57" s="715" t="n"/>
      <c r="W57" s="715" t="n"/>
      <c r="X57" s="715" t="n"/>
      <c r="Y57" s="715" t="n"/>
    </row>
    <row r="58" hidden="1" ht="13.5" customFormat="1" customHeight="1" s="9160" thickBot="1">
      <c r="D58" s="9160">
        <f>IF(D34&lt;&gt;""," - "&amp;D34,"")</f>
        <v/>
      </c>
      <c r="E58" s="9160">
        <f>IF(E34&lt;&gt;""," - "&amp;E34,"")</f>
        <v/>
      </c>
      <c r="F58" s="9160">
        <f>IF(F34&lt;&gt;""," - "&amp;F34,"")</f>
        <v/>
      </c>
      <c r="G58" s="9160">
        <f>IF(G34&lt;&gt;""," - "&amp;G34,"")</f>
        <v/>
      </c>
      <c r="H58" s="9160">
        <f>IF(H34&lt;&gt;""," - "&amp;H34,"")</f>
        <v/>
      </c>
      <c r="K58" s="11885" t="n"/>
      <c r="L58" s="715" t="n"/>
      <c r="M58" s="715" t="n"/>
      <c r="N58" s="715" t="n"/>
      <c r="O58" s="715" t="n"/>
      <c r="P58" s="715" t="n"/>
      <c r="Q58" s="715" t="n"/>
      <c r="R58" s="715" t="n"/>
      <c r="S58" s="715" t="n"/>
      <c r="T58" s="715" t="n"/>
      <c r="U58" s="715" t="n"/>
      <c r="V58" s="715" t="n"/>
      <c r="W58" s="715" t="n"/>
      <c r="X58" s="715" t="n"/>
      <c r="Y58" s="715" t="n"/>
    </row>
    <row r="59" hidden="1" ht="13.5" customFormat="1" customHeight="1" s="9160" thickBot="1">
      <c r="D59" s="8608">
        <f>D56&amp;D57&amp;D58</f>
        <v/>
      </c>
      <c r="E59" s="8608">
        <f>E56&amp;E57&amp;E58</f>
        <v/>
      </c>
      <c r="F59" s="8608">
        <f>F56&amp;F57&amp;F58</f>
        <v/>
      </c>
      <c r="G59" s="8608">
        <f>G56&amp;G57&amp;G58</f>
        <v/>
      </c>
      <c r="H59" s="8608">
        <f>H56&amp;H57&amp;H58</f>
        <v/>
      </c>
      <c r="K59" s="11885" t="n"/>
      <c r="L59" s="715" t="n"/>
      <c r="M59" s="715" t="n"/>
      <c r="N59" s="715" t="n"/>
      <c r="O59" s="715" t="n"/>
      <c r="P59" s="715" t="n"/>
      <c r="Q59" s="715" t="n"/>
      <c r="R59" s="715" t="n"/>
      <c r="S59" s="715" t="n"/>
      <c r="T59" s="715" t="n"/>
      <c r="U59" s="715" t="n"/>
      <c r="V59" s="715" t="n"/>
      <c r="W59" s="715" t="n"/>
      <c r="X59" s="715" t="n"/>
      <c r="Y59" s="715" t="n"/>
    </row>
    <row r="60" ht="42" customHeight="1" s="7635" thickBot="1" thickTop="1">
      <c r="A60" s="4604" t="n"/>
      <c r="B60" s="4605" t="inlineStr">
        <is>
          <t>Information from Form 1099-INT, Interest Income</t>
        </is>
      </c>
      <c r="C60" s="4715" t="n"/>
      <c r="D60" s="4716" t="n"/>
      <c r="E60" s="4717" t="n"/>
      <c r="F60" s="4716" t="n"/>
      <c r="G60" s="4716" t="n"/>
      <c r="H60" s="4716" t="n"/>
      <c r="I60" s="4718" t="n"/>
      <c r="J60" s="4665" t="n"/>
    </row>
    <row r="61" ht="42" customHeight="1" s="7635" thickBot="1" thickTop="1">
      <c r="A61" s="11602" t="n"/>
      <c r="B61" s="7168" t="n"/>
      <c r="C61" s="4664">
        <f>IF(Name_1st_Yours="","Enter your name(s) on the"&amp;CHAR(10)&amp;"sheet lableled '1040'",IF(File_Marr_Joint&lt;&gt;"",NameYours&amp;CHAR(10)&amp;" and "&amp;NameSpouse,NameYours))</f>
        <v/>
      </c>
      <c r="D61" s="458" t="inlineStr">
        <is>
          <t>Payer #11</t>
        </is>
      </c>
      <c r="E61" s="458" t="inlineStr">
        <is>
          <t>Payer #12</t>
        </is>
      </c>
      <c r="F61" s="458" t="inlineStr">
        <is>
          <t>Payer #13</t>
        </is>
      </c>
      <c r="G61" s="458" t="inlineStr">
        <is>
          <t>Payer #14</t>
        </is>
      </c>
      <c r="H61" s="458" t="inlineStr">
        <is>
          <t>Payer #15</t>
        </is>
      </c>
      <c r="I61" s="4719" t="inlineStr">
        <is>
          <t>Total</t>
        </is>
      </c>
      <c r="J61" s="4720" t="inlineStr">
        <is>
          <t>Used at:</t>
        </is>
      </c>
    </row>
    <row r="62">
      <c r="A62" s="11602" t="n"/>
      <c r="B62" s="4666" t="n"/>
      <c r="C62" s="4704" t="inlineStr">
        <is>
          <t>PAYER's name</t>
        </is>
      </c>
      <c r="D62" s="601" t="n"/>
      <c r="E62" s="602" t="n"/>
      <c r="F62" s="602" t="n"/>
      <c r="G62" s="602" t="n"/>
      <c r="H62" s="603" t="n"/>
      <c r="I62" s="4721" t="n"/>
      <c r="J62" s="4722" t="n"/>
    </row>
    <row r="63">
      <c r="A63" s="11602" t="n"/>
      <c r="B63" s="4668" t="n"/>
      <c r="C63" s="4706" t="inlineStr">
        <is>
          <t>PAYER's Federal ID number</t>
        </is>
      </c>
      <c r="D63" s="629" t="n"/>
      <c r="E63" s="630" t="n"/>
      <c r="F63" s="630" t="n"/>
      <c r="G63" s="630" t="n"/>
      <c r="H63" s="631" t="n"/>
      <c r="I63" s="4723" t="n"/>
      <c r="J63" s="4722" t="n"/>
    </row>
    <row r="64" ht="13.5" customHeight="1" s="7635" thickBot="1">
      <c r="A64" s="11602" t="n"/>
      <c r="B64" s="4670" t="n"/>
      <c r="C64" s="4707" t="inlineStr">
        <is>
          <t>Account number</t>
        </is>
      </c>
      <c r="D64" s="632" t="n"/>
      <c r="E64" s="633" t="n"/>
      <c r="F64" s="633" t="n"/>
      <c r="G64" s="633" t="n"/>
      <c r="H64" s="634" t="n"/>
      <c r="I64" s="4724" t="n"/>
      <c r="J64" s="4681">
        <f>IF(AND(ForeignTaxPaid_INT&lt;&gt;"",ForeignTaxPaid_INT&gt;0),"Check Form 1116, Foreign Tax Credit","")</f>
        <v/>
      </c>
    </row>
    <row r="65" ht="13.5" customHeight="1" s="7635">
      <c r="A65" s="11602" t="n"/>
      <c r="B65" s="4672" t="n">
        <v>1</v>
      </c>
      <c r="C65" s="4673" t="inlineStr">
        <is>
          <t>Interest income</t>
        </is>
      </c>
      <c r="D65" s="604" t="n"/>
      <c r="E65" s="605" t="n"/>
      <c r="F65" s="605" t="n"/>
      <c r="G65" s="646" t="n"/>
      <c r="H65" s="647" t="n"/>
      <c r="I65" s="4725">
        <f>ROUND(SUM(D6:H6,D35:H35,D65:H65),0)</f>
        <v/>
      </c>
      <c r="J65" s="4693" t="inlineStr">
        <is>
          <t>Sch. B, Line 1</t>
        </is>
      </c>
      <c r="AA65" s="4">
        <f>ROUND(D65,0)</f>
        <v/>
      </c>
      <c r="AB65" s="4">
        <f>ROUND(E65,0)</f>
        <v/>
      </c>
      <c r="AC65" s="4">
        <f>ROUND(F65,0)</f>
        <v/>
      </c>
      <c r="AD65" s="4">
        <f>ROUND(G65,0)</f>
        <v/>
      </c>
      <c r="AE65" s="4">
        <f>ROUND(H65,0)</f>
        <v/>
      </c>
    </row>
    <row r="66" ht="13.5" customHeight="1" s="7635">
      <c r="A66" s="11602" t="n"/>
      <c r="B66" s="4675" t="n">
        <v>2</v>
      </c>
      <c r="C66" s="4676" t="inlineStr">
        <is>
          <t>Early withdrawal penalty</t>
        </is>
      </c>
      <c r="D66" s="606" t="n"/>
      <c r="E66" s="607" t="n"/>
      <c r="F66" s="607" t="n"/>
      <c r="G66" s="608" t="n"/>
      <c r="H66" s="609" t="n"/>
      <c r="I66" s="4528">
        <f>ROUND(SUM(D7:H7,D36:H36,D66:H66),0)</f>
        <v/>
      </c>
      <c r="J66" s="4693" t="inlineStr">
        <is>
          <t>Form 1040, Sch. 1, Line 18</t>
        </is>
      </c>
      <c r="AA66" s="4">
        <f>ROUND(D66,0)</f>
        <v/>
      </c>
      <c r="AB66" s="4">
        <f>ROUND(E66,0)</f>
        <v/>
      </c>
      <c r="AC66" s="4">
        <f>ROUND(F66,0)</f>
        <v/>
      </c>
      <c r="AD66" s="4">
        <f>ROUND(G66,0)</f>
        <v/>
      </c>
      <c r="AE66" s="4">
        <f>ROUND(H66,0)</f>
        <v/>
      </c>
    </row>
    <row r="67" ht="13.5" customHeight="1" s="7635">
      <c r="A67" s="11602" t="n"/>
      <c r="B67" s="4675" t="n">
        <v>3</v>
      </c>
      <c r="C67" s="4676" t="inlineStr">
        <is>
          <t>Interest on U.S. Savings Bonds &amp; Treas. Obligations</t>
        </is>
      </c>
      <c r="D67" s="606" t="n"/>
      <c r="E67" s="607" t="n"/>
      <c r="F67" s="607" t="n"/>
      <c r="G67" s="608" t="n"/>
      <c r="H67" s="609" t="n"/>
      <c r="I67" s="4726">
        <f>ROUND(SUM(D8:H8,D37:H37,D67:H67),0)</f>
        <v/>
      </c>
      <c r="J67" s="4693" t="inlineStr">
        <is>
          <t>Sch. B, Line 1 (If line 3A is "Y")</t>
        </is>
      </c>
      <c r="AA67" s="4">
        <f>ROUND(D67,0)</f>
        <v/>
      </c>
      <c r="AB67" s="4">
        <f>ROUND(E67,0)</f>
        <v/>
      </c>
      <c r="AC67" s="4">
        <f>ROUND(F67,0)</f>
        <v/>
      </c>
      <c r="AD67" s="4">
        <f>ROUND(G67,0)</f>
        <v/>
      </c>
      <c r="AE67" s="4">
        <f>ROUND(H67,0)</f>
        <v/>
      </c>
    </row>
    <row r="68" ht="13.5" customHeight="1" s="7635" thickBot="1">
      <c r="A68" s="11602" t="n"/>
      <c r="B68" s="4675" t="inlineStr">
        <is>
          <t>3A</t>
        </is>
      </c>
      <c r="C68" s="4676" t="inlineStr">
        <is>
          <t>Include Line 3 on Schedule B, Line 1?  (Y / N)</t>
        </is>
      </c>
      <c r="D68" s="736" t="inlineStr">
        <is>
          <t>N</t>
        </is>
      </c>
      <c r="E68" s="737" t="inlineStr">
        <is>
          <t>N</t>
        </is>
      </c>
      <c r="F68" s="737" t="inlineStr">
        <is>
          <t>N</t>
        </is>
      </c>
      <c r="G68" s="738" t="inlineStr">
        <is>
          <t>N</t>
        </is>
      </c>
      <c r="H68" s="739" t="inlineStr">
        <is>
          <t>N</t>
        </is>
      </c>
      <c r="I68" s="4727" t="n"/>
      <c r="J68" s="4693" t="n"/>
      <c r="AA68" s="4" t="n"/>
      <c r="AB68" s="4" t="n"/>
      <c r="AC68" s="4" t="n"/>
      <c r="AD68" s="4" t="n"/>
      <c r="AE68" s="4" t="n"/>
    </row>
    <row r="69" ht="13.5" customHeight="1" s="7635">
      <c r="A69" s="11602" t="n"/>
      <c r="B69" s="4675" t="n">
        <v>4</v>
      </c>
      <c r="C69" s="4676" t="inlineStr">
        <is>
          <t>Federal income tax withheld</t>
        </is>
      </c>
      <c r="D69" s="606" t="n"/>
      <c r="E69" s="607" t="n"/>
      <c r="F69" s="607" t="n"/>
      <c r="G69" s="608" t="n"/>
      <c r="H69" s="609" t="n"/>
      <c r="I69" s="4526">
        <f>ROUND(SUM(D10:H10,D39:H39,D69:H69),0)</f>
        <v/>
      </c>
      <c r="J69" s="4693" t="inlineStr">
        <is>
          <t>Form 1040, Line 25b</t>
        </is>
      </c>
      <c r="AA69" s="4">
        <f>ROUND(D69,0)</f>
        <v/>
      </c>
      <c r="AB69" s="4">
        <f>ROUND(E69,0)</f>
        <v/>
      </c>
      <c r="AC69" s="4">
        <f>ROUND(F69,0)</f>
        <v/>
      </c>
      <c r="AD69" s="4">
        <f>ROUND(G69,0)</f>
        <v/>
      </c>
      <c r="AE69" s="4">
        <f>ROUND(H69,0)</f>
        <v/>
      </c>
    </row>
    <row r="70" ht="12.75" customHeight="1" s="7635">
      <c r="A70" s="11602" t="n"/>
      <c r="B70" s="4680" t="n">
        <v>5</v>
      </c>
      <c r="C70" s="4678" t="inlineStr">
        <is>
          <t>Investment expenses</t>
        </is>
      </c>
      <c r="D70" s="606" t="n"/>
      <c r="E70" s="607" t="n"/>
      <c r="F70" s="607" t="n"/>
      <c r="G70" s="608" t="n"/>
      <c r="H70" s="609" t="n"/>
      <c r="I70" s="4726">
        <f>ROUND(SUM(D11:H11,D40:H40,D70:H70),0)</f>
        <v/>
      </c>
      <c r="J70" s="4693" t="inlineStr">
        <is>
          <t>Consideration (by you) in Sch. A, Line 9</t>
        </is>
      </c>
      <c r="AA70" s="4">
        <f>ROUND(D70,0)</f>
        <v/>
      </c>
      <c r="AB70" s="4">
        <f>ROUND(E70,0)</f>
        <v/>
      </c>
      <c r="AC70" s="4">
        <f>ROUND(F70,0)</f>
        <v/>
      </c>
      <c r="AD70" s="4">
        <f>ROUND(G70,0)</f>
        <v/>
      </c>
      <c r="AE70" s="4">
        <f>ROUND(H70,0)</f>
        <v/>
      </c>
    </row>
    <row r="71">
      <c r="A71" s="11602" t="n"/>
      <c r="B71" s="4675" t="n">
        <v>6</v>
      </c>
      <c r="C71" s="4676" t="inlineStr">
        <is>
          <t>Foreign tax paid</t>
        </is>
      </c>
      <c r="D71" s="606" t="n"/>
      <c r="E71" s="607" t="n"/>
      <c r="F71" s="607" t="n"/>
      <c r="G71" s="608" t="n"/>
      <c r="H71" s="609" t="n"/>
      <c r="I71" s="4528">
        <f>ROUND(SUM(D12:H12,D41:H41,D71:H71),0)</f>
        <v/>
      </c>
      <c r="J71" s="4696" t="inlineStr">
        <is>
          <t>Sch. 3, Line 48   OR   Form 1116 (Cell A8)</t>
        </is>
      </c>
      <c r="AA71" s="4">
        <f>ROUND(D71,0)</f>
        <v/>
      </c>
      <c r="AB71" s="4">
        <f>ROUND(E71,0)</f>
        <v/>
      </c>
      <c r="AC71" s="4">
        <f>ROUND(F71,0)</f>
        <v/>
      </c>
      <c r="AD71" s="4">
        <f>ROUND(G71,0)</f>
        <v/>
      </c>
      <c r="AE71" s="4">
        <f>ROUND(H71,0)</f>
        <v/>
      </c>
    </row>
    <row r="72">
      <c r="A72" s="11602" t="n"/>
      <c r="B72" s="4680" t="n">
        <v>7</v>
      </c>
      <c r="C72" s="4678" t="inlineStr">
        <is>
          <t>Foreign country or U.S. possession</t>
        </is>
      </c>
      <c r="D72" s="595" t="n"/>
      <c r="E72" s="596" t="n"/>
      <c r="F72" s="596" t="n"/>
      <c r="G72" s="610" t="n"/>
      <c r="H72" s="611" t="n"/>
      <c r="I72" s="4728">
        <f>" - - - -"</f>
        <v/>
      </c>
      <c r="J72" s="4698">
        <f>IF(ForeignTaxPaid_INT&gt;0,"Check Form 1116, Foreign Tax Credit","")</f>
        <v/>
      </c>
      <c r="AA72" s="4">
        <f>ROUND(D72,0)</f>
        <v/>
      </c>
      <c r="AB72" s="4">
        <f>ROUND(E72,0)</f>
        <v/>
      </c>
      <c r="AC72" s="4">
        <f>ROUND(F72,0)</f>
        <v/>
      </c>
      <c r="AD72" s="4">
        <f>ROUND(G72,0)</f>
        <v/>
      </c>
      <c r="AE72" s="4">
        <f>ROUND(H72,0)</f>
        <v/>
      </c>
    </row>
    <row r="73">
      <c r="A73" s="11602" t="n"/>
      <c r="B73" s="4675" t="n">
        <v>8</v>
      </c>
      <c r="C73" s="4676" t="inlineStr">
        <is>
          <t>Tax-exempt interest</t>
        </is>
      </c>
      <c r="D73" s="606" t="n"/>
      <c r="E73" s="607" t="n"/>
      <c r="F73" s="607" t="n"/>
      <c r="G73" s="608" t="n"/>
      <c r="H73" s="609" t="n"/>
      <c r="I73" s="4528">
        <f>ROUND(SUM(D14:H14,D43:H43,D73:H73),0)</f>
        <v/>
      </c>
      <c r="J73" s="4693" t="inlineStr">
        <is>
          <t>Form 1040, Line 2a</t>
        </is>
      </c>
      <c r="AA73" s="4">
        <f>ROUND(D73,0)</f>
        <v/>
      </c>
      <c r="AB73" s="4">
        <f>ROUND(E73,0)</f>
        <v/>
      </c>
      <c r="AC73" s="4">
        <f>ROUND(F73,0)</f>
        <v/>
      </c>
      <c r="AD73" s="4">
        <f>ROUND(G73,0)</f>
        <v/>
      </c>
      <c r="AE73" s="4">
        <f>ROUND(H73,0)</f>
        <v/>
      </c>
    </row>
    <row r="74">
      <c r="A74" s="11602" t="n"/>
      <c r="B74" s="4675" t="n">
        <v>9</v>
      </c>
      <c r="C74" s="4676" t="inlineStr">
        <is>
          <t>Specified private activity bond interest</t>
        </is>
      </c>
      <c r="D74" s="606" t="n"/>
      <c r="E74" s="607" t="n"/>
      <c r="F74" s="607" t="n"/>
      <c r="G74" s="607" t="n"/>
      <c r="H74" s="609" t="n"/>
      <c r="I74" s="4528">
        <f>ROUND(SUM(D15:H15,D44:H44,D74:H74),0)</f>
        <v/>
      </c>
      <c r="J74" s="4693" t="inlineStr">
        <is>
          <t>Form 6251, Line 2g</t>
        </is>
      </c>
      <c r="AA74" s="4">
        <f>ROUND(D74,0)</f>
        <v/>
      </c>
      <c r="AB74" s="4">
        <f>ROUND(E74,0)</f>
        <v/>
      </c>
      <c r="AC74" s="4">
        <f>ROUND(F74,0)</f>
        <v/>
      </c>
      <c r="AD74" s="4">
        <f>ROUND(G74,0)</f>
        <v/>
      </c>
      <c r="AE74" s="4">
        <f>ROUND(H74,0)</f>
        <v/>
      </c>
    </row>
    <row r="75">
      <c r="A75" s="11602" t="n"/>
      <c r="B75" s="4680" t="n"/>
      <c r="C75" s="4678" t="n"/>
      <c r="D75" s="606" t="n"/>
      <c r="E75" s="607" t="n"/>
      <c r="F75" s="607" t="n"/>
      <c r="G75" s="608" t="n"/>
      <c r="H75" s="609" t="n"/>
      <c r="I75" s="4726">
        <f>ROUND(SUM(D16:H16,D45:H45,D75:H75),0)</f>
        <v/>
      </c>
      <c r="J75" s="4693" t="n"/>
      <c r="AA75" s="4" t="n"/>
      <c r="AB75" s="4" t="n"/>
      <c r="AC75" s="4" t="n"/>
      <c r="AD75" s="4" t="n"/>
      <c r="AE75" s="4" t="n"/>
    </row>
    <row r="76">
      <c r="A76" s="11602" t="n"/>
      <c r="B76" s="4675" t="n">
        <v>10</v>
      </c>
      <c r="C76" s="4676" t="inlineStr">
        <is>
          <t>Market discount</t>
        </is>
      </c>
      <c r="D76" s="606" t="n"/>
      <c r="E76" s="607" t="n"/>
      <c r="F76" s="607" t="n"/>
      <c r="G76" s="608" t="n"/>
      <c r="H76" s="609" t="n"/>
      <c r="I76" s="4528">
        <f>ROUND(SUM(D17:H17,D46:H46,D76:H76),0)</f>
        <v/>
      </c>
      <c r="J76" s="4722" t="inlineStr">
        <is>
          <t>Sch. B, Line 1</t>
        </is>
      </c>
      <c r="AA76" s="4">
        <f>ROUND(D76,0)</f>
        <v/>
      </c>
      <c r="AB76" s="4">
        <f>ROUND(E76,0)</f>
        <v/>
      </c>
      <c r="AC76" s="4">
        <f>ROUND(F76,0)</f>
        <v/>
      </c>
      <c r="AD76" s="4">
        <f>ROUND(G76,0)</f>
        <v/>
      </c>
      <c r="AE76" s="4">
        <f>ROUND(H76,0)</f>
        <v/>
      </c>
    </row>
    <row r="77">
      <c r="A77" s="11602" t="n"/>
      <c r="B77" s="4680" t="n">
        <v>11</v>
      </c>
      <c r="C77" s="4678" t="inlineStr">
        <is>
          <t>Bond premium</t>
        </is>
      </c>
      <c r="D77" s="1120" t="n"/>
      <c r="E77" s="1121" t="n"/>
      <c r="F77" s="1121" t="n"/>
      <c r="G77" s="1121" t="n"/>
      <c r="H77" s="1122" t="n"/>
      <c r="I77" s="4726">
        <f>ROUND(SUM(D18:H18,D47:H47,D77:H77),0)</f>
        <v/>
      </c>
      <c r="J77" s="4722" t="n"/>
      <c r="AA77" s="4">
        <f>ROUND(D77,0)</f>
        <v/>
      </c>
      <c r="AB77" s="4">
        <f>ROUND(E77,0)</f>
        <v/>
      </c>
      <c r="AC77" s="4">
        <f>ROUND(F77,0)</f>
        <v/>
      </c>
      <c r="AD77" s="4">
        <f>ROUND(G77,0)</f>
        <v/>
      </c>
      <c r="AE77" s="4">
        <f>ROUND(H77,0)</f>
        <v/>
      </c>
    </row>
    <row r="78">
      <c r="A78" s="11602" t="n"/>
      <c r="B78" s="4680" t="n">
        <v>12</v>
      </c>
      <c r="C78" s="4678" t="inlineStr">
        <is>
          <t>Bond premium on Treasury obligations</t>
        </is>
      </c>
      <c r="D78" s="1120" t="n"/>
      <c r="E78" s="1121" t="n"/>
      <c r="F78" s="1121" t="n"/>
      <c r="G78" s="1121" t="n"/>
      <c r="H78" s="1122" t="n"/>
      <c r="I78" s="4726">
        <f>ROUND(SUM(D19:H19,D48:H48,D78:H78),0)</f>
        <v/>
      </c>
      <c r="J78" s="4693" t="n"/>
      <c r="AA78" s="4">
        <f>ROUND(D78,0)</f>
        <v/>
      </c>
      <c r="AB78" s="4">
        <f>ROUND(E78,0)</f>
        <v/>
      </c>
      <c r="AC78" s="4">
        <f>ROUND(F78,0)</f>
        <v/>
      </c>
      <c r="AD78" s="4">
        <f>ROUND(G78,0)</f>
        <v/>
      </c>
      <c r="AE78" s="4">
        <f>ROUND(H78,0)</f>
        <v/>
      </c>
    </row>
    <row r="79">
      <c r="A79" s="11602" t="n"/>
      <c r="B79" s="4680" t="n">
        <v>13</v>
      </c>
      <c r="C79" s="4678" t="inlineStr">
        <is>
          <t>Bond premium on tax–exempt bond</t>
        </is>
      </c>
      <c r="D79" s="1120" t="n"/>
      <c r="E79" s="1121" t="n"/>
      <c r="F79" s="1121" t="n"/>
      <c r="G79" s="1121" t="n"/>
      <c r="H79" s="1122" t="n"/>
      <c r="I79" s="4728">
        <f>" - - - -"</f>
        <v/>
      </c>
      <c r="J79" s="4693" t="n"/>
      <c r="AA79" s="4">
        <f>ROUND(D79,0)</f>
        <v/>
      </c>
      <c r="AB79" s="4">
        <f>ROUND(E79,0)</f>
        <v/>
      </c>
      <c r="AC79" s="4">
        <f>ROUND(F79,0)</f>
        <v/>
      </c>
      <c r="AD79" s="4">
        <f>ROUND(G79,0)</f>
        <v/>
      </c>
      <c r="AE79" s="4">
        <f>ROUND(H79,0)</f>
        <v/>
      </c>
    </row>
    <row r="80">
      <c r="A80" s="11602" t="n"/>
      <c r="B80" s="4680" t="n">
        <v>14</v>
      </c>
      <c r="C80" s="4678" t="inlineStr">
        <is>
          <t>Tax-exempt and tax credit bond CUSIP no.</t>
        </is>
      </c>
      <c r="D80" s="595" t="n"/>
      <c r="E80" s="596" t="n"/>
      <c r="F80" s="596" t="n"/>
      <c r="G80" s="596" t="n"/>
      <c r="H80" s="611" t="n"/>
      <c r="I80" s="4728">
        <f>" - - - -"</f>
        <v/>
      </c>
      <c r="J80" s="4693" t="n"/>
      <c r="AA80" s="4">
        <f>ROUND(D80,0)</f>
        <v/>
      </c>
      <c r="AB80" s="4">
        <f>ROUND(E80,0)</f>
        <v/>
      </c>
      <c r="AC80" s="4">
        <f>ROUND(F80,0)</f>
        <v/>
      </c>
      <c r="AD80" s="4">
        <f>ROUND(G80,0)</f>
        <v/>
      </c>
      <c r="AE80" s="4">
        <f>ROUND(H80,0)</f>
        <v/>
      </c>
    </row>
    <row r="81">
      <c r="A81" s="11602" t="n"/>
      <c r="B81" s="4680" t="n">
        <v>15</v>
      </c>
      <c r="C81" s="4678" t="inlineStr">
        <is>
          <t>State</t>
        </is>
      </c>
      <c r="D81" s="1119" t="n"/>
      <c r="E81" s="1123" t="n"/>
      <c r="F81" s="1123" t="n"/>
      <c r="G81" s="1123" t="n"/>
      <c r="H81" s="1124" t="n"/>
      <c r="I81" s="4728">
        <f>" - - - -"</f>
        <v/>
      </c>
      <c r="J81" s="4693" t="n"/>
      <c r="AA81" s="4" t="n"/>
      <c r="AB81" s="4" t="n"/>
      <c r="AC81" s="4" t="n"/>
      <c r="AD81" s="4" t="n"/>
      <c r="AE81" s="4" t="n"/>
    </row>
    <row r="82" ht="12.75" customHeight="1" s="7635">
      <c r="A82" s="11602" t="n"/>
      <c r="B82" s="4680" t="n">
        <v>16</v>
      </c>
      <c r="C82" s="4678" t="inlineStr">
        <is>
          <t>State identification no.</t>
        </is>
      </c>
      <c r="D82" s="597" t="n"/>
      <c r="E82" s="598" t="n"/>
      <c r="F82" s="598" t="n"/>
      <c r="G82" s="598" t="n"/>
      <c r="H82" s="600" t="n"/>
      <c r="I82" s="4728">
        <f>" - - - -"</f>
        <v/>
      </c>
      <c r="J82" s="4693" t="n"/>
      <c r="AA82" s="4" t="n"/>
      <c r="AB82" s="4" t="n"/>
      <c r="AC82" s="4" t="n"/>
      <c r="AD82" s="4" t="n"/>
      <c r="AE82" s="4" t="n"/>
    </row>
    <row r="83" ht="13.5" customHeight="1" s="7635" thickBot="1">
      <c r="A83" s="11602" t="n"/>
      <c r="B83" s="4682" t="n">
        <v>17</v>
      </c>
      <c r="C83" s="4683" t="inlineStr">
        <is>
          <t>State tax withheld</t>
        </is>
      </c>
      <c r="D83" s="616" t="n"/>
      <c r="E83" s="617" t="n"/>
      <c r="F83" s="617" t="n"/>
      <c r="G83" s="618" t="n"/>
      <c r="H83" s="619" t="n"/>
      <c r="I83" s="4729">
        <f>ROUND(SUM(D24:H24,D53:H53,D83:H83),0)</f>
        <v/>
      </c>
      <c r="J83" s="4693" t="inlineStr">
        <is>
          <t>Sch. A, Line 5a and Form 8960, Line 9b</t>
        </is>
      </c>
      <c r="AA83" s="4">
        <f>ROUND(D83,0)</f>
        <v/>
      </c>
      <c r="AB83" s="4">
        <f>ROUND(E83,0)</f>
        <v/>
      </c>
      <c r="AC83" s="4">
        <f>ROUND(F83,0)</f>
        <v/>
      </c>
      <c r="AD83" s="4">
        <f>ROUND(G83,0)</f>
        <v/>
      </c>
      <c r="AE83" s="4">
        <f>ROUND(H83,0)</f>
        <v/>
      </c>
    </row>
    <row r="84" ht="17.25" customHeight="1" s="7635">
      <c r="A84" s="11602" t="n"/>
      <c r="B84" s="580" t="inlineStr">
        <is>
          <t xml:space="preserve">  Only bolded amounts are used in this spreadsheet.</t>
        </is>
      </c>
      <c r="C84" s="11602" t="n"/>
      <c r="D84" s="11602" t="n"/>
      <c r="E84" s="11602" t="n"/>
      <c r="F84" s="11602" t="n"/>
      <c r="G84" s="11602" t="n"/>
      <c r="H84" s="11602" t="n"/>
      <c r="I84" s="11602" t="n"/>
      <c r="J84" s="11602" t="n"/>
    </row>
    <row r="85" hidden="1" ht="17.25" customHeight="1" s="7635">
      <c r="A85" s="11602" t="n"/>
      <c r="B85" s="4712" t="n"/>
      <c r="C85" s="11602" t="n"/>
      <c r="D85" s="740">
        <f>IF(OR(LEFT(D68,1)="Y",LEFT(D68,1)="y"),D67,"")</f>
        <v/>
      </c>
      <c r="E85" s="740">
        <f>IF(OR(LEFT(E68,1)="Y",LEFT(E68,1)="y"),E67,"")</f>
        <v/>
      </c>
      <c r="F85" s="740">
        <f>IF(OR(LEFT(F68,1)="Y",LEFT(F68,1)="y"),F67,"")</f>
        <v/>
      </c>
      <c r="G85" s="740">
        <f>IF(OR(LEFT(G68,1)="Y",LEFT(G68,1)="y"),G67,"")</f>
        <v/>
      </c>
      <c r="H85" s="740">
        <f>IF(OR(LEFT(H68,1)="Y",LEFT(H68,1)="y"),H67,"")</f>
        <v/>
      </c>
      <c r="I85" s="11602" t="n"/>
      <c r="J85" s="4665" t="n"/>
    </row>
    <row r="86" hidden="1" customFormat="1" s="9160">
      <c r="D86" s="9160">
        <f>IF(D62&lt;&gt;"",D62,"")</f>
        <v/>
      </c>
      <c r="E86" s="9160">
        <f>IF(E62&lt;&gt;"",E62,"")</f>
        <v/>
      </c>
      <c r="F86" s="9160">
        <f>IF(F62&lt;&gt;"",F62,"")</f>
        <v/>
      </c>
      <c r="G86" s="9160">
        <f>IF(G62&lt;&gt;"",G62,"")</f>
        <v/>
      </c>
      <c r="H86" s="9160">
        <f>IF(H62&lt;&gt;"",H62,"")</f>
        <v/>
      </c>
      <c r="K86" s="11885" t="n"/>
      <c r="L86" s="715" t="n"/>
      <c r="M86" s="715" t="n"/>
      <c r="N86" s="715" t="n"/>
      <c r="O86" s="715" t="n"/>
      <c r="P86" s="715" t="n"/>
      <c r="Q86" s="715" t="n"/>
      <c r="R86" s="715" t="n"/>
      <c r="S86" s="715" t="n"/>
      <c r="T86" s="715" t="n"/>
      <c r="U86" s="715" t="n"/>
      <c r="V86" s="715" t="n"/>
      <c r="W86" s="715" t="n"/>
      <c r="X86" s="715" t="n"/>
      <c r="Y86" s="715" t="n"/>
    </row>
    <row r="87" hidden="1" customFormat="1" s="9160">
      <c r="D87" s="9160">
        <f>IF(D63&lt;&gt;"", " - "&amp;D63,"")</f>
        <v/>
      </c>
      <c r="E87" s="9160">
        <f>IF(E63&lt;&gt;"", " - "&amp;E63,"")</f>
        <v/>
      </c>
      <c r="F87" s="9160">
        <f>IF(F63&lt;&gt;"", " - "&amp;F63,"")</f>
        <v/>
      </c>
      <c r="G87" s="9160">
        <f>IF(G63&lt;&gt;"", " - "&amp;G63,"")</f>
        <v/>
      </c>
      <c r="H87" s="9160">
        <f>IF(H63&lt;&gt;"", " - "&amp;H63,"")</f>
        <v/>
      </c>
      <c r="K87" s="11885" t="n"/>
      <c r="L87" s="715" t="n"/>
      <c r="M87" s="715" t="n"/>
      <c r="N87" s="715" t="n"/>
      <c r="O87" s="715" t="n"/>
      <c r="P87" s="715" t="n"/>
      <c r="Q87" s="715" t="n"/>
      <c r="R87" s="715" t="n"/>
      <c r="S87" s="715" t="n"/>
      <c r="T87" s="715" t="n"/>
      <c r="U87" s="715" t="n"/>
      <c r="V87" s="715" t="n"/>
      <c r="W87" s="715" t="n"/>
      <c r="X87" s="715" t="n"/>
      <c r="Y87" s="715" t="n"/>
    </row>
    <row r="88" hidden="1" customFormat="1" s="9160">
      <c r="D88" s="9160">
        <f>IF(D64&lt;&gt;""," - "&amp;D64,"")</f>
        <v/>
      </c>
      <c r="E88" s="9160">
        <f>IF(E64&lt;&gt;""," - "&amp;E64,"")</f>
        <v/>
      </c>
      <c r="F88" s="9160">
        <f>IF(F64&lt;&gt;""," - "&amp;F64,"")</f>
        <v/>
      </c>
      <c r="G88" s="9160">
        <f>IF(G64&lt;&gt;""," - "&amp;G64,"")</f>
        <v/>
      </c>
      <c r="H88" s="9160">
        <f>IF(H64&lt;&gt;""," - "&amp;H64,"")</f>
        <v/>
      </c>
      <c r="K88" s="11885" t="n"/>
      <c r="L88" s="715" t="n"/>
      <c r="M88" s="715" t="n"/>
      <c r="N88" s="715" t="n"/>
      <c r="O88" s="715" t="n"/>
      <c r="P88" s="715" t="n"/>
      <c r="Q88" s="715" t="n"/>
      <c r="R88" s="715" t="n"/>
      <c r="S88" s="715" t="n"/>
      <c r="T88" s="715" t="n"/>
      <c r="U88" s="715" t="n"/>
      <c r="V88" s="715" t="n"/>
      <c r="W88" s="715" t="n"/>
      <c r="X88" s="715" t="n"/>
      <c r="Y88" s="715" t="n"/>
    </row>
    <row r="89" hidden="1" customFormat="1" s="9160">
      <c r="D89" s="8608">
        <f>D86&amp;D87&amp;D88</f>
        <v/>
      </c>
      <c r="E89" s="8608">
        <f>E86&amp;E87&amp;E88</f>
        <v/>
      </c>
      <c r="F89" s="8608">
        <f>F86&amp;F87&amp;F88</f>
        <v/>
      </c>
      <c r="G89" s="8608">
        <f>G86&amp;G87&amp;G88</f>
        <v/>
      </c>
      <c r="H89" s="8608">
        <f>H86&amp;H87&amp;H88</f>
        <v/>
      </c>
      <c r="K89" s="11885" t="n"/>
      <c r="L89" s="715" t="n"/>
      <c r="M89" s="715" t="n"/>
      <c r="N89" s="715" t="n"/>
      <c r="O89" s="715" t="n"/>
      <c r="P89" s="715" t="n"/>
      <c r="Q89" s="715" t="n"/>
      <c r="R89" s="715" t="n"/>
      <c r="S89" s="715" t="n"/>
      <c r="T89" s="715" t="n"/>
      <c r="U89" s="715" t="n"/>
      <c r="V89" s="715" t="n"/>
      <c r="W89" s="715" t="n"/>
      <c r="X89" s="715" t="n"/>
      <c r="Y89" s="715" t="n"/>
    </row>
    <row r="91" ht="13.5" customHeight="1" s="7635" thickBot="1"/>
    <row r="92">
      <c r="C92" s="4635" t="n"/>
    </row>
    <row r="93">
      <c r="C93" s="4636" t="inlineStr">
        <is>
          <t>Table of Contents</t>
        </is>
      </c>
    </row>
    <row r="94" ht="13.5" customHeight="1" s="7635" thickBot="1">
      <c r="C94" s="4637" t="n"/>
    </row>
  </sheetData>
  <sheetProtection selectLockedCells="0" selectUnlockedCells="0" algorithmName="SHA-512" sheet="1" objects="1" insertRows="1" insertHyperlinks="1" autoFilter="1" scenarios="1" formatColumns="0" deleteColumns="1" insertColumns="1" pivotTables="1" deleteRows="1" formatCells="0" saltValue="QWHCnV/fbZ9m1gWL9HtnaQ==" formatRows="0" sort="1" spinCount="100000" hashValue="Nmk2XJTT0nL5xv2ZxO///xP/eFbMsJeVeQZ5yTwQf7OwEE+zUrRecHqorFg7g36TvwwsPk9viH9gSqS1ILm/ZA=="/>
  <conditionalFormatting sqref="D2:H24">
    <cfRule type="expression" priority="6" dxfId="121">
      <formula>IF(NoColor,1,0)</formula>
    </cfRule>
  </conditionalFormatting>
  <conditionalFormatting sqref="D31:H53">
    <cfRule type="expression" priority="2" dxfId="121">
      <formula>IF(NoColor,1,0)</formula>
    </cfRule>
  </conditionalFormatting>
  <conditionalFormatting sqref="D61:H83">
    <cfRule type="expression" priority="1" dxfId="121">
      <formula>IF(NoColor,1,0)</formula>
    </cfRule>
  </conditionalFormatting>
  <conditionalFormatting sqref="I62:I83">
    <cfRule type="expression" priority="3" dxfId="6">
      <formula>NoColor</formula>
    </cfRule>
  </conditionalFormatting>
  <hyperlinks>
    <hyperlink ref="C93" location="'Table of Contents'!A1" display="Table of Contents"/>
  </hyperlinks>
  <pageMargins left="0.75" right="0.25" top="0.36" bottom="0.29" header="0.36" footer="0.21"/>
  <pageSetup orientation="landscape" scale="53" fitToHeight="0"/>
  <rowBreaks count="1" manualBreakCount="1">
    <brk id="59" min="0" max="9" man="1"/>
  </rowBreaks>
</worksheet>
</file>

<file path=xl/worksheets/sheet7.xml><?xml version="1.0" encoding="utf-8"?>
<worksheet xmlns="http://schemas.openxmlformats.org/spreadsheetml/2006/main">
  <sheetPr>
    <outlinePr summaryBelow="1" summaryRight="1"/>
    <pageSetUpPr fitToPage="1"/>
  </sheetPr>
  <dimension ref="A1:AF124"/>
  <sheetViews>
    <sheetView zoomScaleNormal="100" zoomScaleSheetLayoutView="100" workbookViewId="0">
      <selection activeCell="A1" sqref="A1"/>
    </sheetView>
  </sheetViews>
  <sheetFormatPr baseColWidth="8" defaultRowHeight="12.75"/>
  <cols>
    <col width="2.5703125" customWidth="1" style="7635" min="1" max="1"/>
    <col width="4.42578125" customWidth="1" style="7635" min="2" max="2"/>
    <col width="45.7109375" customWidth="1" style="7635" min="3" max="3"/>
    <col width="26.28515625" customWidth="1" style="7635" min="4" max="8"/>
    <col width="37.140625" customWidth="1" style="7635" min="9" max="9"/>
    <col width="5.5703125" customWidth="1" style="7635" min="10" max="10"/>
    <col width="13.140625" customWidth="1" style="11704" min="11" max="11"/>
    <col width="9.140625" customWidth="1" style="656" min="12" max="25"/>
    <col width="9.140625" customWidth="1" style="7635" min="26" max="26"/>
    <col hidden="1" width="5.28515625" customWidth="1" style="11612" min="27" max="27"/>
    <col hidden="1" width="9.140625" customWidth="1" style="7635" min="28" max="32"/>
  </cols>
  <sheetData>
    <row r="1" ht="42" customHeight="1" s="7635" thickBot="1">
      <c r="A1" s="4660" t="n"/>
      <c r="B1" s="4568" t="inlineStr">
        <is>
          <t>Information from Form 1099-DIV, Dividends and Distributions</t>
        </is>
      </c>
      <c r="C1" s="4661" t="n"/>
      <c r="D1" s="4662" t="n"/>
      <c r="E1" s="4663" t="n"/>
      <c r="F1" s="4662" t="n"/>
      <c r="G1" s="4662" t="n"/>
      <c r="H1" s="4662" t="n"/>
      <c r="I1" s="4662" t="n"/>
      <c r="J1" s="7825" t="n"/>
      <c r="K1" s="11697" t="inlineStr">
        <is>
          <t>Notes</t>
        </is>
      </c>
    </row>
    <row r="2" ht="42" customHeight="1" s="7635" thickBot="1" thickTop="1">
      <c r="A2" s="257" t="n"/>
      <c r="B2" s="1534" t="n"/>
      <c r="C2" s="4664">
        <f>IF(Name_1st_Yours="","Enter your name(s) on the"&amp;CHAR(10)&amp;"sheet labeled '1040'",Names)</f>
        <v/>
      </c>
      <c r="D2" s="458" t="inlineStr">
        <is>
          <t>Payer #1</t>
        </is>
      </c>
      <c r="E2" s="458" t="inlineStr">
        <is>
          <t>Payer #2</t>
        </is>
      </c>
      <c r="F2" s="458" t="inlineStr">
        <is>
          <t>Payer #3</t>
        </is>
      </c>
      <c r="G2" s="458" t="inlineStr">
        <is>
          <t>Payer #4</t>
        </is>
      </c>
      <c r="H2" s="458" t="inlineStr">
        <is>
          <t>Payer #5</t>
        </is>
      </c>
      <c r="I2" s="3526" t="n"/>
      <c r="J2" s="4665" t="n"/>
      <c r="K2" s="11882" t="inlineStr">
        <is>
          <t>Date:</t>
        </is>
      </c>
    </row>
    <row r="3">
      <c r="A3" s="11602" t="n"/>
      <c r="B3" s="4666" t="n"/>
      <c r="C3" s="4667" t="inlineStr">
        <is>
          <t>PAYER's name</t>
        </is>
      </c>
      <c r="D3" s="601" t="n"/>
      <c r="E3" s="602" t="n"/>
      <c r="F3" s="602" t="n"/>
      <c r="G3" s="602" t="n"/>
      <c r="H3" s="602" t="n"/>
      <c r="I3" s="3298" t="n"/>
      <c r="J3" s="4665" t="n"/>
    </row>
    <row r="4">
      <c r="A4" s="11602" t="n"/>
      <c r="B4" s="4668" t="n"/>
      <c r="C4" s="4669" t="inlineStr">
        <is>
          <t>PAYER's Federal ID number</t>
        </is>
      </c>
      <c r="D4" s="629" t="n"/>
      <c r="E4" s="630" t="n"/>
      <c r="F4" s="630" t="n"/>
      <c r="G4" s="630" t="n"/>
      <c r="H4" s="630" t="n"/>
      <c r="I4" s="3298" t="n"/>
      <c r="J4" s="4665" t="n"/>
    </row>
    <row r="5" ht="13.5" customHeight="1" s="7635" thickBot="1">
      <c r="A5" s="11602" t="n"/>
      <c r="B5" s="4670" t="n"/>
      <c r="C5" s="4671" t="inlineStr">
        <is>
          <t>Account number</t>
        </is>
      </c>
      <c r="D5" s="632" t="n"/>
      <c r="E5" s="633" t="n"/>
      <c r="F5" s="633" t="n"/>
      <c r="G5" s="633" t="n"/>
      <c r="H5" s="633" t="n"/>
      <c r="I5" s="3298" t="n"/>
      <c r="J5" s="4665" t="n"/>
    </row>
    <row r="6" ht="13.5" customHeight="1" s="7635">
      <c r="A6" s="11602" t="n"/>
      <c r="B6" s="4672" t="inlineStr">
        <is>
          <t>1a</t>
        </is>
      </c>
      <c r="C6" s="4673" t="inlineStr">
        <is>
          <t>Total ordinary dividends</t>
        </is>
      </c>
      <c r="D6" s="1057" t="n"/>
      <c r="E6" s="646" t="n"/>
      <c r="F6" s="605" t="n"/>
      <c r="G6" s="605" t="n"/>
      <c r="H6" s="605" t="n"/>
      <c r="I6" s="4674">
        <f>IF(I26,"Error: All qualified dividends must be included in","")</f>
        <v/>
      </c>
      <c r="J6" s="4665" t="n"/>
      <c r="AA6" s="11612">
        <f>B6</f>
        <v/>
      </c>
      <c r="AB6" s="4">
        <f>ROUND(D6,2)</f>
        <v/>
      </c>
      <c r="AC6" s="4">
        <f>ROUND(E6,2)</f>
        <v/>
      </c>
      <c r="AD6" s="4">
        <f>ROUND(F6,2)</f>
        <v/>
      </c>
      <c r="AE6" s="4">
        <f>ROUND(G6,2)</f>
        <v/>
      </c>
      <c r="AF6" s="4">
        <f>ROUND(H6,2)</f>
        <v/>
      </c>
    </row>
    <row r="7" ht="13.5" customHeight="1" s="7635">
      <c r="A7" s="11602" t="n"/>
      <c r="B7" s="4675" t="inlineStr">
        <is>
          <t>1b</t>
        </is>
      </c>
      <c r="C7" s="4676" t="inlineStr">
        <is>
          <t>Qualified dividends</t>
        </is>
      </c>
      <c r="D7" s="1058" t="n"/>
      <c r="E7" s="608" t="n"/>
      <c r="F7" s="607" t="n"/>
      <c r="G7" s="607" t="n"/>
      <c r="H7" s="607" t="n"/>
      <c r="I7" s="4674">
        <f>IF(I26,"the Total ordinary dividend amount.","")</f>
        <v/>
      </c>
      <c r="J7" s="4665" t="n"/>
      <c r="AA7" s="11612">
        <f>B7</f>
        <v/>
      </c>
      <c r="AB7" s="4">
        <f>ROUND(D7,2)</f>
        <v/>
      </c>
      <c r="AC7" s="4">
        <f>ROUND(E7,2)</f>
        <v/>
      </c>
      <c r="AD7" s="4">
        <f>ROUND(F7,2)</f>
        <v/>
      </c>
      <c r="AE7" s="4">
        <f>ROUND(G7,2)</f>
        <v/>
      </c>
      <c r="AF7" s="4">
        <f>ROUND(H7,2)</f>
        <v/>
      </c>
    </row>
    <row r="8" ht="13.5" customHeight="1" s="7635">
      <c r="A8" s="11602" t="n"/>
      <c r="B8" s="4675" t="inlineStr">
        <is>
          <t>2a</t>
        </is>
      </c>
      <c r="C8" s="4676" t="inlineStr">
        <is>
          <t>Total capital gain distr.</t>
        </is>
      </c>
      <c r="D8" s="606" t="n"/>
      <c r="E8" s="607" t="n"/>
      <c r="F8" s="607" t="n"/>
      <c r="G8" s="607" t="n"/>
      <c r="H8" s="607" t="n"/>
      <c r="I8" s="4076" t="n"/>
      <c r="J8" s="4665" t="n"/>
      <c r="AA8" s="11612">
        <f>B8</f>
        <v/>
      </c>
      <c r="AB8" s="4">
        <f>ROUND(D8,0)</f>
        <v/>
      </c>
      <c r="AC8" s="4">
        <f>ROUND(E8,0)</f>
        <v/>
      </c>
      <c r="AD8" s="4">
        <f>ROUND(F8,0)</f>
        <v/>
      </c>
      <c r="AE8" s="4">
        <f>ROUND(G8,0)</f>
        <v/>
      </c>
      <c r="AF8" s="4">
        <f>ROUND(H8,0)</f>
        <v/>
      </c>
    </row>
    <row r="9" ht="13.5" customHeight="1" s="7635">
      <c r="A9" s="11602" t="n"/>
      <c r="B9" s="4677" t="inlineStr">
        <is>
          <t>2b</t>
        </is>
      </c>
      <c r="C9" s="4678" t="inlineStr">
        <is>
          <t>Unrecap. Sec. 1250 gain</t>
        </is>
      </c>
      <c r="D9" s="606" t="n"/>
      <c r="E9" s="607" t="n"/>
      <c r="F9" s="607" t="n"/>
      <c r="G9" s="607" t="n"/>
      <c r="H9" s="607" t="n"/>
      <c r="I9" s="4076" t="n"/>
      <c r="J9" s="4665" t="n"/>
      <c r="AA9" s="11612">
        <f>B9</f>
        <v/>
      </c>
      <c r="AB9" s="4">
        <f>ROUND(D9,0)</f>
        <v/>
      </c>
      <c r="AC9" s="4">
        <f>ROUND(E9,0)</f>
        <v/>
      </c>
      <c r="AD9" s="4">
        <f>ROUND(F9,0)</f>
        <v/>
      </c>
      <c r="AE9" s="4">
        <f>ROUND(G9,0)</f>
        <v/>
      </c>
      <c r="AF9" s="4">
        <f>ROUND(H9,0)</f>
        <v/>
      </c>
    </row>
    <row r="10">
      <c r="A10" s="11602" t="n"/>
      <c r="B10" s="4677" t="inlineStr">
        <is>
          <t>2c</t>
        </is>
      </c>
      <c r="C10" s="4679" t="inlineStr">
        <is>
          <t>Section 1202 gain</t>
        </is>
      </c>
      <c r="D10" s="606" t="n"/>
      <c r="E10" s="607" t="n"/>
      <c r="F10" s="607" t="n"/>
      <c r="G10" s="607" t="n"/>
      <c r="H10" s="607" t="n"/>
      <c r="I10" s="3298" t="n"/>
      <c r="J10" s="4665" t="n"/>
      <c r="AA10" s="11612">
        <f>B10</f>
        <v/>
      </c>
      <c r="AB10" s="4">
        <f>ROUND(D10,2)</f>
        <v/>
      </c>
      <c r="AC10" s="4">
        <f>ROUND(E10,2)</f>
        <v/>
      </c>
      <c r="AD10" s="4">
        <f>ROUND(F10,2)</f>
        <v/>
      </c>
      <c r="AE10" s="4">
        <f>ROUND(G10,2)</f>
        <v/>
      </c>
      <c r="AF10" s="4">
        <f>ROUND(H10,2)</f>
        <v/>
      </c>
    </row>
    <row r="11">
      <c r="A11" s="11602" t="n"/>
      <c r="B11" s="4675" t="inlineStr">
        <is>
          <t>2d</t>
        </is>
      </c>
      <c r="C11" s="4676" t="inlineStr">
        <is>
          <t>Collectibles (28%) gain</t>
        </is>
      </c>
      <c r="D11" s="606" t="n"/>
      <c r="E11" s="607" t="n"/>
      <c r="F11" s="607" t="n"/>
      <c r="G11" s="607" t="n"/>
      <c r="H11" s="607" t="n"/>
      <c r="I11" s="3298" t="n"/>
      <c r="J11" s="4665" t="n"/>
      <c r="AA11" s="11612">
        <f>B11</f>
        <v/>
      </c>
      <c r="AB11" s="4">
        <f>ROUND(D11,2)</f>
        <v/>
      </c>
      <c r="AC11" s="4">
        <f>ROUND(E11,2)</f>
        <v/>
      </c>
      <c r="AD11" s="4">
        <f>ROUND(F11,2)</f>
        <v/>
      </c>
      <c r="AE11" s="4">
        <f>ROUND(G11,2)</f>
        <v/>
      </c>
      <c r="AF11" s="4">
        <f>ROUND(H11,2)</f>
        <v/>
      </c>
    </row>
    <row r="12">
      <c r="A12" s="11602" t="n"/>
      <c r="B12" s="4680" t="n">
        <v>3</v>
      </c>
      <c r="C12" s="4678" t="inlineStr">
        <is>
          <t>Nondividend distributions</t>
        </is>
      </c>
      <c r="D12" s="606" t="n"/>
      <c r="E12" s="607" t="n"/>
      <c r="F12" s="607" t="n"/>
      <c r="G12" s="607" t="n"/>
      <c r="H12" s="607" t="n"/>
      <c r="I12" s="3298" t="n"/>
      <c r="J12" s="4665" t="n"/>
      <c r="AA12" s="11612">
        <f>B12</f>
        <v/>
      </c>
      <c r="AB12" s="4">
        <f>ROUND(D12,0)</f>
        <v/>
      </c>
      <c r="AC12" s="4">
        <f>ROUND(E12,0)</f>
        <v/>
      </c>
      <c r="AD12" s="4">
        <f>ROUND(F12,0)</f>
        <v/>
      </c>
      <c r="AE12" s="4">
        <f>ROUND(G12,0)</f>
        <v/>
      </c>
      <c r="AF12" s="4">
        <f>ROUND(H12,0)</f>
        <v/>
      </c>
    </row>
    <row r="13">
      <c r="A13" s="11602" t="n"/>
      <c r="B13" s="4675" t="n">
        <v>4</v>
      </c>
      <c r="C13" s="4676" t="inlineStr">
        <is>
          <t>Federal income tax withheld</t>
        </is>
      </c>
      <c r="D13" s="606" t="n"/>
      <c r="E13" s="607" t="n"/>
      <c r="F13" s="607" t="n"/>
      <c r="G13" s="607" t="n"/>
      <c r="H13" s="607" t="n"/>
      <c r="I13" s="3298" t="n"/>
      <c r="J13" s="4665" t="n"/>
      <c r="AA13" s="11612">
        <f>B13</f>
        <v/>
      </c>
      <c r="AB13" s="4">
        <f>ROUND(D13,2)</f>
        <v/>
      </c>
      <c r="AC13" s="4">
        <f>ROUND(E13,2)</f>
        <v/>
      </c>
      <c r="AD13" s="4">
        <f>ROUND(F13,2)</f>
        <v/>
      </c>
      <c r="AE13" s="4">
        <f>ROUND(G13,2)</f>
        <v/>
      </c>
      <c r="AF13" s="4">
        <f>ROUND(H13,2)</f>
        <v/>
      </c>
    </row>
    <row r="14">
      <c r="A14" s="11602" t="n"/>
      <c r="B14" s="4675" t="n">
        <v>5</v>
      </c>
      <c r="C14" s="4676" t="inlineStr">
        <is>
          <t>Section 199A dividends</t>
        </is>
      </c>
      <c r="D14" s="606" t="n"/>
      <c r="E14" s="607" t="n"/>
      <c r="F14" s="607" t="n"/>
      <c r="G14" s="607" t="n"/>
      <c r="H14" s="607" t="n"/>
      <c r="I14" s="3298" t="n"/>
      <c r="J14" s="4665" t="n"/>
      <c r="AA14" s="11612">
        <f>B14</f>
        <v/>
      </c>
      <c r="AB14" s="4">
        <f>ROUND(D14,2)</f>
        <v/>
      </c>
      <c r="AC14" s="4">
        <f>ROUND(E14,2)</f>
        <v/>
      </c>
      <c r="AD14" s="4">
        <f>ROUND(F14,2)</f>
        <v/>
      </c>
      <c r="AE14" s="4">
        <f>ROUND(G14,2)</f>
        <v/>
      </c>
      <c r="AF14" s="4">
        <f>ROUND(H14,2)</f>
        <v/>
      </c>
    </row>
    <row r="15">
      <c r="A15" s="11602" t="n"/>
      <c r="B15" s="4680" t="n">
        <v>6</v>
      </c>
      <c r="C15" s="4678" t="inlineStr">
        <is>
          <t>Investment expenses</t>
        </is>
      </c>
      <c r="D15" s="606" t="n"/>
      <c r="E15" s="607" t="n"/>
      <c r="F15" s="607" t="n"/>
      <c r="G15" s="607" t="n"/>
      <c r="H15" s="607" t="n"/>
      <c r="I15" s="3298" t="n"/>
      <c r="J15" s="4665" t="n"/>
      <c r="AA15" s="11612">
        <f>B15</f>
        <v/>
      </c>
      <c r="AB15" s="4">
        <f>ROUND(D15,0)</f>
        <v/>
      </c>
      <c r="AC15" s="4">
        <f>ROUND(E15,0)</f>
        <v/>
      </c>
      <c r="AD15" s="4">
        <f>ROUND(F15,0)</f>
        <v/>
      </c>
      <c r="AE15" s="4">
        <f>ROUND(G15,0)</f>
        <v/>
      </c>
      <c r="AF15" s="4">
        <f>ROUND(H15,0)</f>
        <v/>
      </c>
    </row>
    <row r="16">
      <c r="A16" s="11602" t="n"/>
      <c r="B16" s="4675" t="n">
        <v>7</v>
      </c>
      <c r="C16" s="4676" t="inlineStr">
        <is>
          <t>Foreign tax paid</t>
        </is>
      </c>
      <c r="D16" s="606" t="n"/>
      <c r="E16" s="607" t="n"/>
      <c r="F16" s="607" t="n"/>
      <c r="G16" s="607" t="n"/>
      <c r="H16" s="607" t="n"/>
      <c r="I16" s="4681">
        <f>IF(SUM(D16:H16)&gt;0,"Check Form 1116, Foreign Tax Credit","")</f>
        <v/>
      </c>
      <c r="J16" s="4665" t="n"/>
      <c r="AA16" s="11612">
        <f>B16</f>
        <v/>
      </c>
      <c r="AB16" s="4">
        <f>ROUND(D16,2)</f>
        <v/>
      </c>
      <c r="AC16" s="4">
        <f>ROUND(E16,2)</f>
        <v/>
      </c>
      <c r="AD16" s="4">
        <f>ROUND(F16,2)</f>
        <v/>
      </c>
      <c r="AE16" s="4">
        <f>ROUND(G16,2)</f>
        <v/>
      </c>
      <c r="AF16" s="4">
        <f>ROUND(H16,2)</f>
        <v/>
      </c>
    </row>
    <row r="17">
      <c r="A17" s="11602" t="n"/>
      <c r="B17" s="4680" t="n">
        <v>8</v>
      </c>
      <c r="C17" s="4678" t="inlineStr">
        <is>
          <t>Foreign country or U.S. possession</t>
        </is>
      </c>
      <c r="D17" s="606" t="n"/>
      <c r="E17" s="607" t="n"/>
      <c r="F17" s="607" t="n"/>
      <c r="G17" s="607" t="n"/>
      <c r="H17" s="607" t="n"/>
      <c r="I17" s="3298" t="n"/>
      <c r="J17" s="4665" t="n"/>
      <c r="AA17" s="11612">
        <f>B17</f>
        <v/>
      </c>
      <c r="AB17" s="4" t="n"/>
      <c r="AC17" s="4" t="n"/>
      <c r="AD17" s="4" t="n"/>
      <c r="AE17" s="4" t="n"/>
      <c r="AF17" s="4" t="n"/>
    </row>
    <row r="18">
      <c r="A18" s="11602" t="n"/>
      <c r="B18" s="4680" t="n">
        <v>9</v>
      </c>
      <c r="C18" s="4678" t="inlineStr">
        <is>
          <t>Cash liquidation distributions</t>
        </is>
      </c>
      <c r="D18" s="606" t="n"/>
      <c r="E18" s="607" t="n"/>
      <c r="F18" s="607" t="n"/>
      <c r="G18" s="607" t="n"/>
      <c r="H18" s="607" t="n"/>
      <c r="I18" s="3298" t="n"/>
      <c r="J18" s="4665" t="n"/>
      <c r="AA18" s="11612">
        <f>B18</f>
        <v/>
      </c>
      <c r="AB18" s="4">
        <f>ROUND(D18,0)</f>
        <v/>
      </c>
      <c r="AC18" s="4">
        <f>ROUND(E18,0)</f>
        <v/>
      </c>
      <c r="AD18" s="4">
        <f>ROUND(F18,0)</f>
        <v/>
      </c>
      <c r="AE18" s="4">
        <f>ROUND(G18,0)</f>
        <v/>
      </c>
      <c r="AF18" s="4">
        <f>ROUND(H18,0)</f>
        <v/>
      </c>
    </row>
    <row r="19">
      <c r="A19" s="11602" t="n"/>
      <c r="B19" s="4680" t="n">
        <v>10</v>
      </c>
      <c r="C19" s="4678" t="inlineStr">
        <is>
          <t>Noncash liquidation distributions</t>
        </is>
      </c>
      <c r="D19" s="606" t="n"/>
      <c r="E19" s="607" t="n"/>
      <c r="F19" s="607" t="n"/>
      <c r="G19" s="607" t="n"/>
      <c r="H19" s="607" t="n"/>
      <c r="I19" s="3298" t="n"/>
      <c r="J19" s="4665" t="n"/>
      <c r="AA19" s="11612">
        <f>B19</f>
        <v/>
      </c>
      <c r="AB19" s="4">
        <f>ROUND(D19,0)</f>
        <v/>
      </c>
      <c r="AC19" s="4">
        <f>ROUND(E19,0)</f>
        <v/>
      </c>
      <c r="AD19" s="4">
        <f>ROUND(F19,0)</f>
        <v/>
      </c>
      <c r="AE19" s="4">
        <f>ROUND(G19,0)</f>
        <v/>
      </c>
      <c r="AF19" s="4">
        <f>ROUND(H19,0)</f>
        <v/>
      </c>
    </row>
    <row r="20">
      <c r="A20" s="11602" t="n"/>
      <c r="B20" s="4680" t="n">
        <v>11</v>
      </c>
      <c r="C20" s="4678" t="inlineStr">
        <is>
          <t>FATCA filing requirement</t>
        </is>
      </c>
      <c r="D20" s="606" t="n"/>
      <c r="E20" s="607" t="n"/>
      <c r="F20" s="607" t="n"/>
      <c r="G20" s="607" t="n"/>
      <c r="H20" s="607" t="n"/>
      <c r="I20" s="3298" t="n"/>
      <c r="J20" s="4665" t="n"/>
      <c r="AA20" s="11612">
        <f>B20</f>
        <v/>
      </c>
      <c r="AB20" s="4">
        <f>ROUND(D20,2)</f>
        <v/>
      </c>
      <c r="AC20" s="4">
        <f>ROUND(E20,2)</f>
        <v/>
      </c>
      <c r="AD20" s="4">
        <f>ROUND(F20,2)</f>
        <v/>
      </c>
      <c r="AE20" s="4">
        <f>ROUND(G20,2)</f>
        <v/>
      </c>
      <c r="AF20" s="4">
        <f>ROUND(H20,2)</f>
        <v/>
      </c>
    </row>
    <row r="21">
      <c r="A21" s="11602" t="n"/>
      <c r="B21" s="4675" t="n">
        <v>12</v>
      </c>
      <c r="C21" s="4676" t="inlineStr">
        <is>
          <t>Exempt-interest dividends</t>
        </is>
      </c>
      <c r="D21" s="606" t="n"/>
      <c r="E21" s="607" t="n"/>
      <c r="F21" s="607" t="n"/>
      <c r="G21" s="607" t="n"/>
      <c r="H21" s="607" t="n"/>
      <c r="I21" s="3298" t="n"/>
      <c r="J21" s="4665" t="n"/>
      <c r="AA21" s="11612">
        <f>B21</f>
        <v/>
      </c>
      <c r="AB21" s="4">
        <f>ROUND(D21,2)</f>
        <v/>
      </c>
      <c r="AC21" s="4">
        <f>ROUND(E21,2)</f>
        <v/>
      </c>
      <c r="AD21" s="4">
        <f>ROUND(F21,2)</f>
        <v/>
      </c>
      <c r="AE21" s="4">
        <f>ROUND(G21,2)</f>
        <v/>
      </c>
      <c r="AF21" s="4">
        <f>ROUND(H21,2)</f>
        <v/>
      </c>
    </row>
    <row r="22">
      <c r="A22" s="11602" t="n"/>
      <c r="B22" s="4675" t="n">
        <v>13</v>
      </c>
      <c r="C22" s="4676" t="inlineStr">
        <is>
          <t>Specified private activity bond interest dividends</t>
        </is>
      </c>
      <c r="D22" s="606" t="n"/>
      <c r="E22" s="607" t="n"/>
      <c r="F22" s="607" t="n"/>
      <c r="G22" s="607" t="n"/>
      <c r="H22" s="607" t="n"/>
      <c r="I22" s="3298" t="n"/>
      <c r="J22" s="4665" t="n"/>
      <c r="AA22" s="11612">
        <f>B22</f>
        <v/>
      </c>
      <c r="AB22" s="4">
        <f>ROUND(D22,2)</f>
        <v/>
      </c>
      <c r="AC22" s="4">
        <f>ROUND(E22,2)</f>
        <v/>
      </c>
      <c r="AD22" s="4">
        <f>ROUND(F22,2)</f>
        <v/>
      </c>
      <c r="AE22" s="4">
        <f>ROUND(G22,2)</f>
        <v/>
      </c>
      <c r="AF22" s="4">
        <f>ROUND(H22,2)</f>
        <v/>
      </c>
    </row>
    <row r="23">
      <c r="A23" s="11602" t="n"/>
      <c r="B23" s="4680" t="n">
        <v>14</v>
      </c>
      <c r="C23" s="4678" t="inlineStr">
        <is>
          <t>State</t>
        </is>
      </c>
      <c r="D23" s="595" t="n"/>
      <c r="E23" s="596" t="n"/>
      <c r="F23" s="596" t="n"/>
      <c r="G23" s="596" t="n"/>
      <c r="H23" s="596" t="n"/>
      <c r="I23" s="3298" t="n"/>
      <c r="J23" s="4665" t="n"/>
      <c r="AA23" s="11612">
        <f>B23</f>
        <v/>
      </c>
      <c r="AB23" s="4" t="n"/>
      <c r="AC23" s="4" t="n"/>
      <c r="AD23" s="4" t="n"/>
      <c r="AE23" s="4" t="n"/>
      <c r="AF23" s="4" t="n"/>
    </row>
    <row r="24">
      <c r="A24" s="11602" t="n"/>
      <c r="B24" s="4680" t="n">
        <v>15</v>
      </c>
      <c r="C24" s="4678" t="inlineStr">
        <is>
          <t>State identification no.</t>
        </is>
      </c>
      <c r="D24" s="597" t="n"/>
      <c r="E24" s="598" t="n"/>
      <c r="F24" s="598" t="n"/>
      <c r="G24" s="598" t="n"/>
      <c r="H24" s="598" t="n"/>
      <c r="I24" s="3298" t="n"/>
      <c r="J24" s="4665" t="n"/>
      <c r="AA24" s="11612">
        <f>B24</f>
        <v/>
      </c>
      <c r="AB24" s="4" t="n"/>
      <c r="AC24" s="4" t="n"/>
      <c r="AD24" s="4" t="n"/>
      <c r="AE24" s="4" t="n"/>
      <c r="AF24" s="4" t="n"/>
    </row>
    <row r="25" ht="13.5" customHeight="1" s="7635" thickBot="1">
      <c r="A25" s="11602" t="n"/>
      <c r="B25" s="4682" t="n">
        <v>16</v>
      </c>
      <c r="C25" s="4683" t="inlineStr">
        <is>
          <t>State tax withheld</t>
        </is>
      </c>
      <c r="D25" s="616" t="n"/>
      <c r="E25" s="617" t="n"/>
      <c r="F25" s="617" t="n"/>
      <c r="G25" s="617" t="n"/>
      <c r="H25" s="617" t="n"/>
      <c r="I25" s="3298" t="n"/>
      <c r="J25" s="4665" t="n"/>
      <c r="AA25" s="11612">
        <f>B25</f>
        <v/>
      </c>
      <c r="AB25" s="4">
        <f>ROUND(D25,2)</f>
        <v/>
      </c>
      <c r="AC25" s="4">
        <f>ROUND(E25,2)</f>
        <v/>
      </c>
      <c r="AD25" s="4">
        <f>ROUND(F25,2)</f>
        <v/>
      </c>
      <c r="AE25" s="4">
        <f>ROUND(G25,2)</f>
        <v/>
      </c>
      <c r="AF25" s="4">
        <f>ROUND(H25,2)</f>
        <v/>
      </c>
    </row>
    <row r="26" ht="17.25" customHeight="1" s="7635" thickBot="1">
      <c r="A26" s="11602" t="n"/>
      <c r="B26" s="580" t="inlineStr">
        <is>
          <t xml:space="preserve">  Only bolded amounts are used in this spreadsheet.</t>
        </is>
      </c>
      <c r="C26" s="11602" t="n"/>
      <c r="D26" s="512">
        <f>D7&gt;D6</f>
        <v/>
      </c>
      <c r="E26" s="512">
        <f>E7&gt;E6</f>
        <v/>
      </c>
      <c r="F26" s="512">
        <f>F7&gt;F6</f>
        <v/>
      </c>
      <c r="G26" s="512">
        <f>G7&gt;G6</f>
        <v/>
      </c>
      <c r="H26" s="512">
        <f>H7&gt;H6</f>
        <v/>
      </c>
      <c r="I26" s="4684">
        <f>OR(D26:H26)</f>
        <v/>
      </c>
      <c r="J26" s="4665" t="n"/>
    </row>
    <row r="27" hidden="1" customFormat="1" s="9160">
      <c r="D27" s="9160">
        <f>IF(D3&lt;&gt;"",D3,"")</f>
        <v/>
      </c>
      <c r="E27" s="9160">
        <f>IF(E3&lt;&gt;"",E3,"")</f>
        <v/>
      </c>
      <c r="F27" s="9160">
        <f>IF(F3&lt;&gt;"",F3,"")</f>
        <v/>
      </c>
      <c r="G27" s="9160">
        <f>IF(G3&lt;&gt;"",G3,"")</f>
        <v/>
      </c>
      <c r="H27" s="9160">
        <f>IF(H3&lt;&gt;"",H3,"")</f>
        <v/>
      </c>
      <c r="I27" s="3298" t="n"/>
      <c r="J27" s="4665" t="n"/>
      <c r="K27" s="11886" t="n"/>
      <c r="L27" s="715" t="n"/>
      <c r="M27" s="715" t="n"/>
      <c r="N27" s="715" t="n"/>
      <c r="O27" s="715" t="n"/>
      <c r="P27" s="715" t="n"/>
      <c r="Q27" s="715" t="n"/>
      <c r="R27" s="715" t="n"/>
      <c r="S27" s="715" t="n"/>
      <c r="T27" s="715" t="n"/>
      <c r="U27" s="715" t="n"/>
      <c r="V27" s="715" t="n"/>
      <c r="W27" s="715" t="n"/>
      <c r="X27" s="715" t="n"/>
      <c r="Y27" s="715" t="n"/>
      <c r="AA27" s="4685" t="n"/>
    </row>
    <row r="28" hidden="1" customFormat="1" s="9160">
      <c r="D28" s="9160">
        <f>IF(D4&lt;&gt;"", " - "&amp;D4,"")</f>
        <v/>
      </c>
      <c r="E28" s="9160">
        <f>IF(E4&lt;&gt;"", " - "&amp;E4,"")</f>
        <v/>
      </c>
      <c r="F28" s="9160">
        <f>IF(F4&lt;&gt;"", " - "&amp;F4,"")</f>
        <v/>
      </c>
      <c r="G28" s="9160">
        <f>IF(G4&lt;&gt;"", " - "&amp;G4,"")</f>
        <v/>
      </c>
      <c r="H28" s="9160">
        <f>IF(H4&lt;&gt;"", " - "&amp;H4,"")</f>
        <v/>
      </c>
      <c r="I28" s="3298" t="n"/>
      <c r="J28" s="4665" t="n"/>
      <c r="K28" s="11886" t="n"/>
      <c r="L28" s="715" t="n"/>
      <c r="M28" s="715" t="n"/>
      <c r="N28" s="715" t="n"/>
      <c r="O28" s="715" t="n"/>
      <c r="P28" s="715" t="n"/>
      <c r="Q28" s="715" t="n"/>
      <c r="R28" s="715" t="n"/>
      <c r="S28" s="715" t="n"/>
      <c r="T28" s="715" t="n"/>
      <c r="U28" s="715" t="n"/>
      <c r="V28" s="715" t="n"/>
      <c r="W28" s="715" t="n"/>
      <c r="X28" s="715" t="n"/>
      <c r="Y28" s="715" t="n"/>
      <c r="AA28" s="4685" t="n"/>
    </row>
    <row r="29" hidden="1" customFormat="1" s="9160">
      <c r="D29" s="9160">
        <f>IF(D5&lt;&gt;""," - "&amp;D5,"")</f>
        <v/>
      </c>
      <c r="E29" s="9160">
        <f>IF(E5&lt;&gt;""," - "&amp;E5,"")</f>
        <v/>
      </c>
      <c r="F29" s="9160">
        <f>IF(F5&lt;&gt;""," - "&amp;F5,"")</f>
        <v/>
      </c>
      <c r="G29" s="9160">
        <f>IF(G5&lt;&gt;""," - "&amp;G5,"")</f>
        <v/>
      </c>
      <c r="H29" s="9160">
        <f>IF(H5&lt;&gt;""," - "&amp;H5,"")</f>
        <v/>
      </c>
      <c r="I29" s="3298" t="n"/>
      <c r="J29" s="4665" t="n"/>
      <c r="K29" s="11886" t="n"/>
      <c r="L29" s="715" t="n"/>
      <c r="M29" s="715" t="n"/>
      <c r="N29" s="715" t="n"/>
      <c r="O29" s="715" t="n"/>
      <c r="P29" s="715" t="n"/>
      <c r="Q29" s="715" t="n"/>
      <c r="R29" s="715" t="n"/>
      <c r="S29" s="715" t="n"/>
      <c r="T29" s="715" t="n"/>
      <c r="U29" s="715" t="n"/>
      <c r="V29" s="715" t="n"/>
      <c r="W29" s="715" t="n"/>
      <c r="X29" s="715" t="n"/>
      <c r="Y29" s="715" t="n"/>
      <c r="AA29" s="4685" t="n"/>
    </row>
    <row r="30" hidden="1" ht="13.5" customFormat="1" customHeight="1" s="9160" thickBot="1">
      <c r="D30" s="8608">
        <f>IF(D6="","",D27&amp;D28&amp;D29)</f>
        <v/>
      </c>
      <c r="E30" s="8608">
        <f>IF(E6="","",E27&amp;E28&amp;E29)</f>
        <v/>
      </c>
      <c r="F30" s="8608">
        <f>IF(F6="","",F27&amp;F28&amp;F29)</f>
        <v/>
      </c>
      <c r="G30" s="8608">
        <f>IF(G6="","",G27&amp;G28&amp;G29)</f>
        <v/>
      </c>
      <c r="H30" s="8608">
        <f>IF(H6="","",H27&amp;H28&amp;H29)</f>
        <v/>
      </c>
      <c r="I30" s="3298" t="n"/>
      <c r="J30" s="4665" t="n"/>
      <c r="K30" s="11886" t="n"/>
      <c r="L30" s="715" t="n"/>
      <c r="M30" s="715" t="n"/>
      <c r="N30" s="715" t="n"/>
      <c r="O30" s="715" t="n"/>
      <c r="P30" s="715" t="n"/>
      <c r="Q30" s="715" t="n"/>
      <c r="R30" s="715" t="n"/>
      <c r="S30" s="715" t="n"/>
      <c r="T30" s="715" t="n"/>
      <c r="U30" s="715" t="n"/>
      <c r="V30" s="715" t="n"/>
      <c r="W30" s="715" t="n"/>
      <c r="X30" s="715" t="n"/>
      <c r="Y30" s="715" t="n"/>
      <c r="AA30" s="4685" t="n"/>
    </row>
    <row r="31" ht="42" customHeight="1" s="7635" thickBot="1" thickTop="1">
      <c r="A31" s="257" t="n"/>
      <c r="B31" s="1534" t="n"/>
      <c r="C31" s="4664">
        <f>IF(Name_1st_Yours="","Enter your name(s) on the"&amp;CHAR(10)&amp;"sheet labeled '1040'",Names)</f>
        <v/>
      </c>
      <c r="D31" s="458" t="inlineStr">
        <is>
          <t>Payer #6</t>
        </is>
      </c>
      <c r="E31" s="458" t="inlineStr">
        <is>
          <t>Payer #7</t>
        </is>
      </c>
      <c r="F31" s="458" t="inlineStr">
        <is>
          <t>Payer #8</t>
        </is>
      </c>
      <c r="G31" s="458" t="inlineStr">
        <is>
          <t>Payer #9</t>
        </is>
      </c>
      <c r="H31" s="458" t="inlineStr">
        <is>
          <t>Payer #10</t>
        </is>
      </c>
      <c r="I31" s="3526" t="n"/>
      <c r="J31" s="4665" t="n"/>
    </row>
    <row r="32">
      <c r="A32" s="11602" t="n"/>
      <c r="B32" s="4666" t="n"/>
      <c r="C32" s="4667" t="inlineStr">
        <is>
          <t>PAYER's name</t>
        </is>
      </c>
      <c r="D32" s="601" t="n"/>
      <c r="E32" s="602" t="n"/>
      <c r="F32" s="602" t="n"/>
      <c r="G32" s="602" t="n"/>
      <c r="H32" s="602" t="n"/>
      <c r="I32" s="3298" t="n"/>
      <c r="J32" s="4665" t="n"/>
    </row>
    <row r="33">
      <c r="A33" s="11602" t="n"/>
      <c r="B33" s="4668" t="n"/>
      <c r="C33" s="4669" t="inlineStr">
        <is>
          <t>PAYER's Federal ID number</t>
        </is>
      </c>
      <c r="D33" s="629" t="n"/>
      <c r="E33" s="630" t="n"/>
      <c r="F33" s="630" t="n"/>
      <c r="G33" s="630" t="n"/>
      <c r="H33" s="630" t="n"/>
      <c r="I33" s="3298" t="n"/>
      <c r="J33" s="4665" t="n"/>
    </row>
    <row r="34" ht="13.5" customHeight="1" s="7635" thickBot="1">
      <c r="A34" s="11602" t="n"/>
      <c r="B34" s="4670" t="n"/>
      <c r="C34" s="4671" t="inlineStr">
        <is>
          <t>Account number</t>
        </is>
      </c>
      <c r="D34" s="632" t="n"/>
      <c r="E34" s="633" t="n"/>
      <c r="F34" s="633" t="n"/>
      <c r="G34" s="633" t="n"/>
      <c r="H34" s="633" t="n"/>
      <c r="I34" s="3298" t="n"/>
      <c r="J34" s="4665" t="n"/>
    </row>
    <row r="35" ht="13.5" customHeight="1" s="7635">
      <c r="A35" s="11602" t="n"/>
      <c r="B35" s="4672" t="inlineStr">
        <is>
          <t>1a</t>
        </is>
      </c>
      <c r="C35" s="4673" t="inlineStr">
        <is>
          <t>Total ordinary dividends</t>
        </is>
      </c>
      <c r="D35" s="604" t="n"/>
      <c r="E35" s="605" t="n"/>
      <c r="F35" s="605" t="n"/>
      <c r="G35" s="605" t="n"/>
      <c r="H35" s="605" t="n"/>
      <c r="I35" s="4674">
        <f>IF(I55,"Error: All qualified dividends must be included in","")</f>
        <v/>
      </c>
      <c r="J35" s="4665" t="n"/>
      <c r="AA35" s="11612">
        <f>B35</f>
        <v/>
      </c>
      <c r="AB35" s="4">
        <f>ROUND(D35,2)</f>
        <v/>
      </c>
      <c r="AC35" s="4">
        <f>ROUND(E35,2)</f>
        <v/>
      </c>
      <c r="AD35" s="4">
        <f>ROUND(F35,2)</f>
        <v/>
      </c>
      <c r="AE35" s="4">
        <f>ROUND(G35,2)</f>
        <v/>
      </c>
      <c r="AF35" s="4">
        <f>ROUND(H35,2)</f>
        <v/>
      </c>
    </row>
    <row r="36" ht="13.5" customHeight="1" s="7635">
      <c r="A36" s="11602" t="n"/>
      <c r="B36" s="4675" t="inlineStr">
        <is>
          <t>1b</t>
        </is>
      </c>
      <c r="C36" s="4676" t="inlineStr">
        <is>
          <t>Qualified dividends</t>
        </is>
      </c>
      <c r="D36" s="606" t="n"/>
      <c r="E36" s="607" t="n"/>
      <c r="F36" s="607" t="n"/>
      <c r="G36" s="607" t="n"/>
      <c r="H36" s="607" t="n"/>
      <c r="I36" s="4674">
        <f>IF(I55,"the Total ordinary dividend amount.","")</f>
        <v/>
      </c>
      <c r="J36" s="4665" t="n"/>
      <c r="AA36" s="11612">
        <f>B36</f>
        <v/>
      </c>
      <c r="AB36" s="4">
        <f>ROUND(D36,2)</f>
        <v/>
      </c>
      <c r="AC36" s="4">
        <f>ROUND(E36,2)</f>
        <v/>
      </c>
      <c r="AD36" s="4">
        <f>ROUND(F36,2)</f>
        <v/>
      </c>
      <c r="AE36" s="4">
        <f>ROUND(G36,2)</f>
        <v/>
      </c>
      <c r="AF36" s="4">
        <f>ROUND(H36,2)</f>
        <v/>
      </c>
    </row>
    <row r="37" ht="13.5" customHeight="1" s="7635">
      <c r="A37" s="11602" t="n"/>
      <c r="B37" s="4675" t="inlineStr">
        <is>
          <t>2a</t>
        </is>
      </c>
      <c r="C37" s="4676" t="inlineStr">
        <is>
          <t>Total capital gain distr.</t>
        </is>
      </c>
      <c r="D37" s="606" t="n"/>
      <c r="E37" s="607" t="n"/>
      <c r="F37" s="607" t="n"/>
      <c r="G37" s="607" t="n"/>
      <c r="H37" s="607" t="n"/>
      <c r="I37" s="4076" t="n"/>
      <c r="J37" s="4665" t="n"/>
      <c r="AA37" s="11612">
        <f>B37</f>
        <v/>
      </c>
      <c r="AB37" s="4">
        <f>ROUND(D37,0)</f>
        <v/>
      </c>
      <c r="AC37" s="4">
        <f>ROUND(E37,0)</f>
        <v/>
      </c>
      <c r="AD37" s="4">
        <f>ROUND(F37,0)</f>
        <v/>
      </c>
      <c r="AE37" s="4">
        <f>ROUND(G37,0)</f>
        <v/>
      </c>
      <c r="AF37" s="4">
        <f>ROUND(H37,0)</f>
        <v/>
      </c>
    </row>
    <row r="38" ht="13.5" customHeight="1" s="7635">
      <c r="A38" s="11602" t="n"/>
      <c r="B38" s="4677" t="inlineStr">
        <is>
          <t>2b</t>
        </is>
      </c>
      <c r="C38" s="4678" t="inlineStr">
        <is>
          <t>Unrecap. Sec. 1250 gain</t>
        </is>
      </c>
      <c r="D38" s="606" t="n"/>
      <c r="E38" s="607" t="n"/>
      <c r="F38" s="607" t="n"/>
      <c r="G38" s="607" t="n"/>
      <c r="H38" s="607" t="n"/>
      <c r="I38" s="4076" t="n"/>
      <c r="J38" s="4665" t="n"/>
      <c r="AA38" s="11612">
        <f>B38</f>
        <v/>
      </c>
      <c r="AB38" s="4">
        <f>ROUND(D38,0)</f>
        <v/>
      </c>
      <c r="AC38" s="4">
        <f>ROUND(E38,0)</f>
        <v/>
      </c>
      <c r="AD38" s="4">
        <f>ROUND(F38,0)</f>
        <v/>
      </c>
      <c r="AE38" s="4">
        <f>ROUND(G38,0)</f>
        <v/>
      </c>
      <c r="AF38" s="4">
        <f>ROUND(H38,0)</f>
        <v/>
      </c>
    </row>
    <row r="39">
      <c r="A39" s="11602" t="n"/>
      <c r="B39" s="4677" t="inlineStr">
        <is>
          <t>2c</t>
        </is>
      </c>
      <c r="C39" s="4679" t="inlineStr">
        <is>
          <t>Section 1202 gain</t>
        </is>
      </c>
      <c r="D39" s="606" t="n"/>
      <c r="E39" s="607" t="n"/>
      <c r="F39" s="607" t="n"/>
      <c r="G39" s="607" t="n"/>
      <c r="H39" s="607" t="n"/>
      <c r="I39" s="3298" t="n"/>
      <c r="J39" s="4665" t="n"/>
      <c r="AA39" s="11612">
        <f>B39</f>
        <v/>
      </c>
      <c r="AB39" s="4">
        <f>ROUND(D39,2)</f>
        <v/>
      </c>
      <c r="AC39" s="4">
        <f>ROUND(E39,2)</f>
        <v/>
      </c>
      <c r="AD39" s="4">
        <f>ROUND(F39,2)</f>
        <v/>
      </c>
      <c r="AE39" s="4">
        <f>ROUND(G39,2)</f>
        <v/>
      </c>
      <c r="AF39" s="4">
        <f>ROUND(H39,2)</f>
        <v/>
      </c>
    </row>
    <row r="40">
      <c r="A40" s="11602" t="n"/>
      <c r="B40" s="4675" t="inlineStr">
        <is>
          <t>2d</t>
        </is>
      </c>
      <c r="C40" s="4676" t="inlineStr">
        <is>
          <t>Collectibles (28%) gain</t>
        </is>
      </c>
      <c r="D40" s="606" t="n"/>
      <c r="E40" s="607" t="n"/>
      <c r="F40" s="607" t="n"/>
      <c r="G40" s="607" t="n"/>
      <c r="H40" s="607" t="n"/>
      <c r="I40" s="3298" t="n"/>
      <c r="J40" s="4665" t="n"/>
      <c r="AA40" s="11612">
        <f>B40</f>
        <v/>
      </c>
      <c r="AB40" s="4">
        <f>ROUND(D40,2)</f>
        <v/>
      </c>
      <c r="AC40" s="4">
        <f>ROUND(E40,2)</f>
        <v/>
      </c>
      <c r="AD40" s="4">
        <f>ROUND(F40,2)</f>
        <v/>
      </c>
      <c r="AE40" s="4">
        <f>ROUND(G40,2)</f>
        <v/>
      </c>
      <c r="AF40" s="4">
        <f>ROUND(H40,2)</f>
        <v/>
      </c>
    </row>
    <row r="41">
      <c r="A41" s="11602" t="n"/>
      <c r="B41" s="4680" t="n">
        <v>3</v>
      </c>
      <c r="C41" s="4678" t="inlineStr">
        <is>
          <t>Nondividend distributions</t>
        </is>
      </c>
      <c r="D41" s="606" t="n"/>
      <c r="E41" s="607" t="n"/>
      <c r="F41" s="607" t="n"/>
      <c r="G41" s="607" t="n"/>
      <c r="H41" s="607" t="n"/>
      <c r="I41" s="3298" t="n"/>
      <c r="J41" s="4665" t="n"/>
      <c r="AA41" s="11612">
        <f>B41</f>
        <v/>
      </c>
      <c r="AB41" s="4">
        <f>ROUND(D41,0)</f>
        <v/>
      </c>
      <c r="AC41" s="4">
        <f>ROUND(E41,0)</f>
        <v/>
      </c>
      <c r="AD41" s="4">
        <f>ROUND(F41,0)</f>
        <v/>
      </c>
      <c r="AE41" s="4">
        <f>ROUND(G41,0)</f>
        <v/>
      </c>
      <c r="AF41" s="4">
        <f>ROUND(H41,0)</f>
        <v/>
      </c>
    </row>
    <row r="42">
      <c r="A42" s="11602" t="n"/>
      <c r="B42" s="4675" t="n">
        <v>4</v>
      </c>
      <c r="C42" s="4676" t="inlineStr">
        <is>
          <t>Federal income tax withheld</t>
        </is>
      </c>
      <c r="D42" s="606" t="n"/>
      <c r="E42" s="607" t="n"/>
      <c r="F42" s="607" t="n"/>
      <c r="G42" s="607" t="n"/>
      <c r="H42" s="607" t="n"/>
      <c r="I42" s="3298" t="n"/>
      <c r="J42" s="4665" t="n"/>
      <c r="AA42" s="11612">
        <f>B42</f>
        <v/>
      </c>
      <c r="AB42" s="4">
        <f>ROUND(D42,2)</f>
        <v/>
      </c>
      <c r="AC42" s="4">
        <f>ROUND(E42,2)</f>
        <v/>
      </c>
      <c r="AD42" s="4">
        <f>ROUND(F42,2)</f>
        <v/>
      </c>
      <c r="AE42" s="4">
        <f>ROUND(G42,2)</f>
        <v/>
      </c>
      <c r="AF42" s="4">
        <f>ROUND(H42,2)</f>
        <v/>
      </c>
    </row>
    <row r="43">
      <c r="A43" s="11602" t="n"/>
      <c r="B43" s="4675" t="n">
        <v>5</v>
      </c>
      <c r="C43" s="4676" t="inlineStr">
        <is>
          <t>Section 199A dividends</t>
        </is>
      </c>
      <c r="D43" s="606" t="n"/>
      <c r="E43" s="607" t="n"/>
      <c r="F43" s="607" t="n"/>
      <c r="G43" s="607" t="n"/>
      <c r="H43" s="607" t="n"/>
      <c r="I43" s="3298" t="n"/>
      <c r="J43" s="4665" t="n"/>
      <c r="AA43" s="11612">
        <f>B43</f>
        <v/>
      </c>
      <c r="AB43" s="4">
        <f>ROUND(D43,2)</f>
        <v/>
      </c>
      <c r="AC43" s="4">
        <f>ROUND(E43,2)</f>
        <v/>
      </c>
      <c r="AD43" s="4">
        <f>ROUND(F43,2)</f>
        <v/>
      </c>
      <c r="AE43" s="4">
        <f>ROUND(G43,2)</f>
        <v/>
      </c>
      <c r="AF43" s="4">
        <f>ROUND(H43,2)</f>
        <v/>
      </c>
    </row>
    <row r="44">
      <c r="A44" s="11602" t="n"/>
      <c r="B44" s="4680" t="n">
        <v>6</v>
      </c>
      <c r="C44" s="4678" t="inlineStr">
        <is>
          <t>Investment expenses</t>
        </is>
      </c>
      <c r="D44" s="606" t="n"/>
      <c r="E44" s="607" t="n"/>
      <c r="F44" s="607" t="n"/>
      <c r="G44" s="607" t="n"/>
      <c r="H44" s="607" t="n"/>
      <c r="I44" s="3298" t="n"/>
      <c r="J44" s="4665" t="n"/>
      <c r="AA44" s="11612">
        <f>B44</f>
        <v/>
      </c>
      <c r="AB44" s="4">
        <f>ROUND(D44,0)</f>
        <v/>
      </c>
      <c r="AC44" s="4">
        <f>ROUND(E44,0)</f>
        <v/>
      </c>
      <c r="AD44" s="4">
        <f>ROUND(F44,0)</f>
        <v/>
      </c>
      <c r="AE44" s="4">
        <f>ROUND(G44,0)</f>
        <v/>
      </c>
      <c r="AF44" s="4">
        <f>ROUND(H44,0)</f>
        <v/>
      </c>
    </row>
    <row r="45">
      <c r="A45" s="11602" t="n"/>
      <c r="B45" s="4675" t="n">
        <v>7</v>
      </c>
      <c r="C45" s="4676" t="inlineStr">
        <is>
          <t>Foreign tax paid</t>
        </is>
      </c>
      <c r="D45" s="606" t="n"/>
      <c r="E45" s="607" t="n"/>
      <c r="F45" s="607" t="n"/>
      <c r="G45" s="607" t="n"/>
      <c r="H45" s="607" t="n"/>
      <c r="I45" s="4681">
        <f>IF(SUM(D45:H45)&gt;0,"Check Form 1116, Foreign Tax Credit","")</f>
        <v/>
      </c>
      <c r="J45" s="4665" t="n"/>
      <c r="AA45" s="11612">
        <f>B45</f>
        <v/>
      </c>
      <c r="AB45" s="4">
        <f>ROUND(D45,2)</f>
        <v/>
      </c>
      <c r="AC45" s="4">
        <f>ROUND(E45,2)</f>
        <v/>
      </c>
      <c r="AD45" s="4">
        <f>ROUND(F45,2)</f>
        <v/>
      </c>
      <c r="AE45" s="4">
        <f>ROUND(G45,2)</f>
        <v/>
      </c>
      <c r="AF45" s="4">
        <f>ROUND(H45,2)</f>
        <v/>
      </c>
    </row>
    <row r="46">
      <c r="A46" s="11602" t="n"/>
      <c r="B46" s="4680" t="n">
        <v>8</v>
      </c>
      <c r="C46" s="4678" t="inlineStr">
        <is>
          <t>Foreign country or U.S. possession</t>
        </is>
      </c>
      <c r="D46" s="606" t="n"/>
      <c r="E46" s="607" t="n"/>
      <c r="F46" s="607" t="n"/>
      <c r="G46" s="607" t="n"/>
      <c r="H46" s="607" t="n"/>
      <c r="I46" s="3298" t="n"/>
      <c r="J46" s="4665" t="n"/>
      <c r="AA46" s="11612">
        <f>B46</f>
        <v/>
      </c>
      <c r="AB46" s="4" t="n"/>
      <c r="AC46" s="4" t="n"/>
      <c r="AD46" s="4" t="n"/>
      <c r="AE46" s="4" t="n"/>
      <c r="AF46" s="4" t="n"/>
    </row>
    <row r="47">
      <c r="A47" s="11602" t="n"/>
      <c r="B47" s="4680" t="n">
        <v>9</v>
      </c>
      <c r="C47" s="4678" t="inlineStr">
        <is>
          <t>Cash liquidation distributions</t>
        </is>
      </c>
      <c r="D47" s="606" t="n"/>
      <c r="E47" s="607" t="n"/>
      <c r="F47" s="607" t="n"/>
      <c r="G47" s="607" t="n"/>
      <c r="H47" s="607" t="n"/>
      <c r="I47" s="3298" t="n"/>
      <c r="J47" s="4665" t="n"/>
      <c r="AA47" s="11612">
        <f>B47</f>
        <v/>
      </c>
      <c r="AB47" s="4">
        <f>ROUND(D47,0)</f>
        <v/>
      </c>
      <c r="AC47" s="4">
        <f>ROUND(E47,0)</f>
        <v/>
      </c>
      <c r="AD47" s="4">
        <f>ROUND(F47,0)</f>
        <v/>
      </c>
      <c r="AE47" s="4">
        <f>ROUND(G47,0)</f>
        <v/>
      </c>
      <c r="AF47" s="4">
        <f>ROUND(H47,0)</f>
        <v/>
      </c>
    </row>
    <row r="48">
      <c r="A48" s="11602" t="n"/>
      <c r="B48" s="4680" t="n">
        <v>10</v>
      </c>
      <c r="C48" s="4678" t="inlineStr">
        <is>
          <t>Noncash liquidation distributions</t>
        </is>
      </c>
      <c r="D48" s="606" t="n"/>
      <c r="E48" s="607" t="n"/>
      <c r="F48" s="607" t="n"/>
      <c r="G48" s="607" t="n"/>
      <c r="H48" s="607" t="n"/>
      <c r="I48" s="3298" t="n"/>
      <c r="J48" s="4665" t="n"/>
      <c r="AA48" s="11612">
        <f>B48</f>
        <v/>
      </c>
      <c r="AB48" s="4">
        <f>ROUND(D48,0)</f>
        <v/>
      </c>
      <c r="AC48" s="4">
        <f>ROUND(E48,0)</f>
        <v/>
      </c>
      <c r="AD48" s="4">
        <f>ROUND(F48,0)</f>
        <v/>
      </c>
      <c r="AE48" s="4">
        <f>ROUND(G48,0)</f>
        <v/>
      </c>
      <c r="AF48" s="4">
        <f>ROUND(H48,0)</f>
        <v/>
      </c>
    </row>
    <row r="49">
      <c r="A49" s="11602" t="n"/>
      <c r="B49" s="4680" t="n">
        <v>11</v>
      </c>
      <c r="C49" s="4678" t="inlineStr">
        <is>
          <t>FATCA filing requirement</t>
        </is>
      </c>
      <c r="D49" s="606" t="n"/>
      <c r="E49" s="607" t="n"/>
      <c r="F49" s="607" t="n"/>
      <c r="G49" s="607" t="n"/>
      <c r="H49" s="607" t="n"/>
      <c r="I49" s="3298" t="n"/>
      <c r="J49" s="4665" t="n"/>
      <c r="Z49" s="656" t="n"/>
      <c r="AA49" s="11612">
        <f>B49</f>
        <v/>
      </c>
      <c r="AB49" s="4">
        <f>ROUND(D49,2)</f>
        <v/>
      </c>
      <c r="AC49" s="4">
        <f>ROUND(E49,2)</f>
        <v/>
      </c>
      <c r="AD49" s="4">
        <f>ROUND(F49,2)</f>
        <v/>
      </c>
      <c r="AE49" s="4">
        <f>ROUND(G49,2)</f>
        <v/>
      </c>
      <c r="AF49" s="4">
        <f>ROUND(H49,2)</f>
        <v/>
      </c>
    </row>
    <row r="50">
      <c r="A50" s="11602" t="n"/>
      <c r="B50" s="4675" t="n">
        <v>12</v>
      </c>
      <c r="C50" s="4676" t="inlineStr">
        <is>
          <t>Exempt-interest dividends</t>
        </is>
      </c>
      <c r="D50" s="606" t="n"/>
      <c r="E50" s="607" t="n"/>
      <c r="F50" s="607" t="n"/>
      <c r="G50" s="607" t="n"/>
      <c r="H50" s="607" t="n"/>
      <c r="I50" s="3298" t="n"/>
      <c r="J50" s="4665" t="n"/>
      <c r="AA50" s="11612">
        <f>B50</f>
        <v/>
      </c>
      <c r="AB50" s="4">
        <f>ROUND(D50,2)</f>
        <v/>
      </c>
      <c r="AC50" s="4">
        <f>ROUND(E50,2)</f>
        <v/>
      </c>
      <c r="AD50" s="4">
        <f>ROUND(F50,2)</f>
        <v/>
      </c>
      <c r="AE50" s="4">
        <f>ROUND(G50,2)</f>
        <v/>
      </c>
      <c r="AF50" s="4">
        <f>ROUND(H50,2)</f>
        <v/>
      </c>
    </row>
    <row r="51">
      <c r="A51" s="11602" t="n"/>
      <c r="B51" s="4675" t="n">
        <v>13</v>
      </c>
      <c r="C51" s="4676" t="inlineStr">
        <is>
          <t>Specified private activity bond interest dividends</t>
        </is>
      </c>
      <c r="D51" s="606" t="n"/>
      <c r="E51" s="607" t="n"/>
      <c r="F51" s="607" t="n"/>
      <c r="G51" s="607" t="n"/>
      <c r="H51" s="607" t="n"/>
      <c r="I51" s="3298" t="n"/>
      <c r="J51" s="4665" t="n"/>
      <c r="AA51" s="11612">
        <f>B51</f>
        <v/>
      </c>
      <c r="AB51" s="4">
        <f>ROUND(D51,2)</f>
        <v/>
      </c>
      <c r="AC51" s="4">
        <f>ROUND(E51,2)</f>
        <v/>
      </c>
      <c r="AD51" s="4">
        <f>ROUND(F51,2)</f>
        <v/>
      </c>
      <c r="AE51" s="4">
        <f>ROUND(G51,2)</f>
        <v/>
      </c>
      <c r="AF51" s="4">
        <f>ROUND(H51,2)</f>
        <v/>
      </c>
    </row>
    <row r="52">
      <c r="A52" s="11602" t="n"/>
      <c r="B52" s="4680" t="n">
        <v>14</v>
      </c>
      <c r="C52" s="4678" t="inlineStr">
        <is>
          <t>State</t>
        </is>
      </c>
      <c r="D52" s="595" t="n"/>
      <c r="E52" s="596" t="n"/>
      <c r="F52" s="596" t="n"/>
      <c r="G52" s="596" t="n"/>
      <c r="H52" s="596" t="n"/>
      <c r="I52" s="3298" t="n"/>
      <c r="J52" s="4665" t="n"/>
      <c r="AA52" s="11612">
        <f>B52</f>
        <v/>
      </c>
      <c r="AB52" s="4" t="n"/>
      <c r="AC52" s="4" t="n"/>
      <c r="AD52" s="4" t="n"/>
      <c r="AE52" s="4" t="n"/>
      <c r="AF52" s="4" t="n"/>
    </row>
    <row r="53">
      <c r="A53" s="11602" t="n"/>
      <c r="B53" s="4680" t="n">
        <v>15</v>
      </c>
      <c r="C53" s="4678" t="inlineStr">
        <is>
          <t>State identification no.</t>
        </is>
      </c>
      <c r="D53" s="597" t="n"/>
      <c r="E53" s="598" t="n"/>
      <c r="F53" s="598" t="n"/>
      <c r="G53" s="598" t="n"/>
      <c r="H53" s="598" t="n"/>
      <c r="I53" s="3298" t="n"/>
      <c r="J53" s="4665" t="n"/>
      <c r="AA53" s="11612">
        <f>B53</f>
        <v/>
      </c>
      <c r="AB53" s="4" t="n"/>
      <c r="AC53" s="4" t="n"/>
      <c r="AD53" s="4" t="n"/>
      <c r="AE53" s="4" t="n"/>
      <c r="AF53" s="4" t="n"/>
    </row>
    <row r="54" ht="13.5" customHeight="1" s="7635" thickBot="1">
      <c r="A54" s="11602" t="n"/>
      <c r="B54" s="4682" t="n">
        <v>16</v>
      </c>
      <c r="C54" s="4683" t="inlineStr">
        <is>
          <t>State tax withheld</t>
        </is>
      </c>
      <c r="D54" s="616" t="n"/>
      <c r="E54" s="617" t="n"/>
      <c r="F54" s="617" t="n"/>
      <c r="G54" s="617" t="n"/>
      <c r="H54" s="617" t="n"/>
      <c r="I54" s="3298" t="n"/>
      <c r="J54" s="4665" t="n"/>
      <c r="AA54" s="11612">
        <f>B54</f>
        <v/>
      </c>
      <c r="AB54" s="4">
        <f>ROUND(D54,2)</f>
        <v/>
      </c>
      <c r="AC54" s="4">
        <f>ROUND(E54,2)</f>
        <v/>
      </c>
      <c r="AD54" s="4">
        <f>ROUND(F54,2)</f>
        <v/>
      </c>
      <c r="AE54" s="4">
        <f>ROUND(G54,2)</f>
        <v/>
      </c>
      <c r="AF54" s="4">
        <f>ROUND(H54,2)</f>
        <v/>
      </c>
    </row>
    <row r="55" ht="17.25" customHeight="1" s="7635" thickBot="1">
      <c r="A55" s="11602" t="n"/>
      <c r="B55" s="580" t="inlineStr">
        <is>
          <t xml:space="preserve">  Only bolded amounts are used in this spreadsheet.</t>
        </is>
      </c>
      <c r="C55" s="11602" t="n"/>
      <c r="D55" s="512">
        <f>D36&gt;D35</f>
        <v/>
      </c>
      <c r="E55" s="512">
        <f>E36&gt;E35</f>
        <v/>
      </c>
      <c r="F55" s="512">
        <f>F36&gt;F35</f>
        <v/>
      </c>
      <c r="G55" s="512">
        <f>G36&gt;G35</f>
        <v/>
      </c>
      <c r="H55" s="512">
        <f>H36&gt;H35</f>
        <v/>
      </c>
      <c r="I55" s="4684">
        <f>OR(D55:H55)</f>
        <v/>
      </c>
      <c r="J55" s="4665" t="n"/>
    </row>
    <row r="56" hidden="1" customFormat="1" s="9160">
      <c r="D56" s="9160">
        <f>IF(D32&lt;&gt;"",D32,"")</f>
        <v/>
      </c>
      <c r="E56" s="9160">
        <f>IF(E32&lt;&gt;"",E32,"")</f>
        <v/>
      </c>
      <c r="F56" s="9160">
        <f>IF(F32&lt;&gt;"",F32,"")</f>
        <v/>
      </c>
      <c r="G56" s="9160">
        <f>IF(G32&lt;&gt;"",G32,"")</f>
        <v/>
      </c>
      <c r="H56" s="9160">
        <f>IF(H32&lt;&gt;"",H32,"")</f>
        <v/>
      </c>
      <c r="I56" s="3298" t="n"/>
      <c r="J56" s="4665" t="n"/>
      <c r="K56" s="11886" t="n"/>
      <c r="L56" s="715" t="n"/>
      <c r="M56" s="715" t="n"/>
      <c r="N56" s="715" t="n"/>
      <c r="O56" s="715" t="n"/>
      <c r="P56" s="715" t="n"/>
      <c r="Q56" s="715" t="n"/>
      <c r="R56" s="715" t="n"/>
      <c r="S56" s="715" t="n"/>
      <c r="T56" s="715" t="n"/>
      <c r="U56" s="715" t="n"/>
      <c r="V56" s="715" t="n"/>
      <c r="W56" s="715" t="n"/>
      <c r="X56" s="715" t="n"/>
      <c r="Y56" s="715" t="n"/>
      <c r="AA56" s="4685" t="n"/>
    </row>
    <row r="57" hidden="1" customFormat="1" s="9160">
      <c r="D57" s="9160">
        <f>IF(D33&lt;&gt;"", " - "&amp;D33,"")</f>
        <v/>
      </c>
      <c r="E57" s="9160">
        <f>IF(E33&lt;&gt;"", " - "&amp;E33,"")</f>
        <v/>
      </c>
      <c r="F57" s="9160">
        <f>IF(F33&lt;&gt;"", " - "&amp;F33,"")</f>
        <v/>
      </c>
      <c r="G57" s="9160">
        <f>IF(G33&lt;&gt;"", " - "&amp;G33,"")</f>
        <v/>
      </c>
      <c r="H57" s="9160">
        <f>IF(H33&lt;&gt;"", " - "&amp;H33,"")</f>
        <v/>
      </c>
      <c r="I57" s="3298" t="n"/>
      <c r="J57" s="4665" t="n"/>
      <c r="K57" s="11886" t="n"/>
      <c r="L57" s="715" t="n"/>
      <c r="M57" s="715" t="n"/>
      <c r="N57" s="715" t="n"/>
      <c r="O57" s="715" t="n"/>
      <c r="P57" s="715" t="n"/>
      <c r="Q57" s="715" t="n"/>
      <c r="R57" s="715" t="n"/>
      <c r="S57" s="715" t="n"/>
      <c r="T57" s="715" t="n"/>
      <c r="U57" s="715" t="n"/>
      <c r="V57" s="715" t="n"/>
      <c r="W57" s="715" t="n"/>
      <c r="X57" s="715" t="n"/>
      <c r="Y57" s="715" t="n"/>
      <c r="AA57" s="4685" t="n"/>
    </row>
    <row r="58" hidden="1" customFormat="1" s="9160">
      <c r="D58" s="9160">
        <f>IF(D34&lt;&gt;""," - "&amp;D34,"")</f>
        <v/>
      </c>
      <c r="E58" s="9160">
        <f>IF(E34&lt;&gt;""," - "&amp;E34,"")</f>
        <v/>
      </c>
      <c r="F58" s="9160">
        <f>IF(F34&lt;&gt;""," - "&amp;F34,"")</f>
        <v/>
      </c>
      <c r="G58" s="9160">
        <f>IF(G34&lt;&gt;""," - "&amp;G34,"")</f>
        <v/>
      </c>
      <c r="H58" s="9160">
        <f>IF(H34&lt;&gt;""," - "&amp;H34,"")</f>
        <v/>
      </c>
      <c r="I58" s="3298" t="n"/>
      <c r="J58" s="4665" t="n"/>
      <c r="K58" s="11886" t="n"/>
      <c r="L58" s="715" t="n"/>
      <c r="M58" s="715" t="n"/>
      <c r="N58" s="715" t="n"/>
      <c r="O58" s="715" t="n"/>
      <c r="P58" s="715" t="n"/>
      <c r="Q58" s="715" t="n"/>
      <c r="R58" s="715" t="n"/>
      <c r="S58" s="715" t="n"/>
      <c r="T58" s="715" t="n"/>
      <c r="U58" s="715" t="n"/>
      <c r="V58" s="715" t="n"/>
      <c r="W58" s="715" t="n"/>
      <c r="X58" s="715" t="n"/>
      <c r="Y58" s="715" t="n"/>
      <c r="AA58" s="4685" t="n"/>
    </row>
    <row r="59" hidden="1" ht="13.5" customFormat="1" customHeight="1" s="9160" thickBot="1">
      <c r="D59" s="8608">
        <f>IF(D35="","",D56&amp;D57&amp;D58)</f>
        <v/>
      </c>
      <c r="E59" s="8608">
        <f>IF(E35="","",E56&amp;E57&amp;E58)</f>
        <v/>
      </c>
      <c r="F59" s="8608">
        <f>IF(F35="","",F56&amp;F57&amp;F58)</f>
        <v/>
      </c>
      <c r="G59" s="8608">
        <f>IF(G35="","",G56&amp;G57&amp;G58)</f>
        <v/>
      </c>
      <c r="H59" s="8608">
        <f>IF(H35="","",H56&amp;H57&amp;H58)</f>
        <v/>
      </c>
      <c r="I59" s="3298" t="n"/>
      <c r="J59" s="4665" t="n"/>
      <c r="K59" s="11886" t="n"/>
      <c r="L59" s="715" t="n"/>
      <c r="M59" s="715" t="n"/>
      <c r="N59" s="715" t="n"/>
      <c r="O59" s="715" t="n"/>
      <c r="P59" s="715" t="n"/>
      <c r="Q59" s="715" t="n"/>
      <c r="R59" s="715" t="n"/>
      <c r="S59" s="715" t="n"/>
      <c r="T59" s="715" t="n"/>
      <c r="U59" s="715" t="n"/>
      <c r="V59" s="715" t="n"/>
      <c r="W59" s="715" t="n"/>
      <c r="X59" s="715" t="n"/>
      <c r="Y59" s="715" t="n"/>
      <c r="AA59" s="4685" t="n"/>
    </row>
    <row r="60" ht="42" customHeight="1" s="7635" thickBot="1" thickTop="1">
      <c r="A60" s="257" t="n"/>
      <c r="B60" s="1534" t="n"/>
      <c r="C60" s="4664">
        <f>IF(Name_1st_Yours="","Enter your name(s) on the"&amp;CHAR(10)&amp;"sheet labeled '1040'",Names)</f>
        <v/>
      </c>
      <c r="D60" s="458" t="inlineStr">
        <is>
          <t>Payer #11</t>
        </is>
      </c>
      <c r="E60" s="458" t="inlineStr">
        <is>
          <t>Payer #12</t>
        </is>
      </c>
      <c r="F60" s="458" t="inlineStr">
        <is>
          <t>Payer #13</t>
        </is>
      </c>
      <c r="G60" s="458" t="inlineStr">
        <is>
          <t>Payer #14</t>
        </is>
      </c>
      <c r="H60" s="458" t="inlineStr">
        <is>
          <t>Payer #15</t>
        </is>
      </c>
      <c r="I60" s="3526" t="n"/>
      <c r="J60" s="4665" t="n"/>
    </row>
    <row r="61">
      <c r="A61" s="11602" t="n"/>
      <c r="B61" s="4666" t="n"/>
      <c r="C61" s="4667" t="inlineStr">
        <is>
          <t>PAYER's name</t>
        </is>
      </c>
      <c r="D61" s="601" t="n"/>
      <c r="E61" s="602" t="n"/>
      <c r="F61" s="602" t="n"/>
      <c r="G61" s="601" t="n"/>
      <c r="H61" s="602" t="n"/>
      <c r="I61" s="3298" t="n"/>
      <c r="J61" s="4665" t="n"/>
    </row>
    <row r="62">
      <c r="A62" s="11602" t="n"/>
      <c r="B62" s="4668" t="n"/>
      <c r="C62" s="4669" t="inlineStr">
        <is>
          <t>PAYER's Federal ID number</t>
        </is>
      </c>
      <c r="D62" s="629" t="n"/>
      <c r="E62" s="630" t="n"/>
      <c r="F62" s="630" t="n"/>
      <c r="G62" s="630" t="n"/>
      <c r="H62" s="630" t="n"/>
      <c r="I62" s="3298" t="n"/>
      <c r="J62" s="4665" t="n"/>
    </row>
    <row r="63" ht="13.5" customHeight="1" s="7635" thickBot="1">
      <c r="A63" s="11602" t="n"/>
      <c r="B63" s="4670" t="n"/>
      <c r="C63" s="4671" t="inlineStr">
        <is>
          <t>Account number</t>
        </is>
      </c>
      <c r="D63" s="632" t="n"/>
      <c r="E63" s="633" t="n"/>
      <c r="F63" s="633" t="n"/>
      <c r="G63" s="633" t="n"/>
      <c r="H63" s="633" t="n"/>
      <c r="I63" s="3298" t="n"/>
      <c r="J63" s="4665" t="n"/>
    </row>
    <row r="64" ht="13.5" customHeight="1" s="7635">
      <c r="A64" s="11602" t="n"/>
      <c r="B64" s="4672" t="inlineStr">
        <is>
          <t>1a</t>
        </is>
      </c>
      <c r="C64" s="4673" t="inlineStr">
        <is>
          <t>Total ordinary dividends</t>
        </is>
      </c>
      <c r="D64" s="604" t="n"/>
      <c r="E64" s="605" t="n"/>
      <c r="F64" s="605" t="n"/>
      <c r="G64" s="605" t="n"/>
      <c r="H64" s="605" t="n"/>
      <c r="I64" s="4674">
        <f>IF(I84,"Error: All qualified dividends must be included in","")</f>
        <v/>
      </c>
      <c r="J64" s="4665" t="n"/>
      <c r="AA64" s="11612">
        <f>B64</f>
        <v/>
      </c>
      <c r="AB64" s="4">
        <f>ROUND(D64,2)</f>
        <v/>
      </c>
      <c r="AC64" s="4">
        <f>ROUND(E64,2)</f>
        <v/>
      </c>
      <c r="AD64" s="4">
        <f>ROUND(F64,2)</f>
        <v/>
      </c>
      <c r="AE64" s="4">
        <f>ROUND(G64,2)</f>
        <v/>
      </c>
      <c r="AF64" s="4">
        <f>ROUND(H64,2)</f>
        <v/>
      </c>
    </row>
    <row r="65" ht="13.5" customHeight="1" s="7635">
      <c r="A65" s="11602" t="n"/>
      <c r="B65" s="4675" t="inlineStr">
        <is>
          <t>1b</t>
        </is>
      </c>
      <c r="C65" s="4676" t="inlineStr">
        <is>
          <t>Qualified dividends</t>
        </is>
      </c>
      <c r="D65" s="606" t="n"/>
      <c r="E65" s="607" t="n"/>
      <c r="F65" s="607" t="n"/>
      <c r="G65" s="607" t="n"/>
      <c r="H65" s="607" t="n"/>
      <c r="I65" s="4674">
        <f>IF(I84,"the Total ordinary dividend amount.","")</f>
        <v/>
      </c>
      <c r="J65" s="4665" t="n"/>
      <c r="AA65" s="11612">
        <f>B65</f>
        <v/>
      </c>
      <c r="AB65" s="4">
        <f>ROUND(D65,2)</f>
        <v/>
      </c>
      <c r="AC65" s="4">
        <f>ROUND(E65,2)</f>
        <v/>
      </c>
      <c r="AD65" s="4">
        <f>ROUND(F65,2)</f>
        <v/>
      </c>
      <c r="AE65" s="4">
        <f>ROUND(G65,2)</f>
        <v/>
      </c>
      <c r="AF65" s="4">
        <f>ROUND(H65,2)</f>
        <v/>
      </c>
    </row>
    <row r="66" ht="13.5" customHeight="1" s="7635">
      <c r="A66" s="11602" t="n"/>
      <c r="B66" s="4675" t="inlineStr">
        <is>
          <t>2a</t>
        </is>
      </c>
      <c r="C66" s="4676" t="inlineStr">
        <is>
          <t>Total capital gain distr.</t>
        </is>
      </c>
      <c r="D66" s="606" t="n"/>
      <c r="E66" s="607" t="n"/>
      <c r="F66" s="607" t="n"/>
      <c r="G66" s="607" t="n"/>
      <c r="H66" s="607" t="n"/>
      <c r="I66" s="4076" t="n"/>
      <c r="J66" s="4665" t="n"/>
      <c r="AA66" s="11612">
        <f>B66</f>
        <v/>
      </c>
      <c r="AB66" s="4">
        <f>ROUND(D66,0)</f>
        <v/>
      </c>
      <c r="AC66" s="4">
        <f>ROUND(E66,0)</f>
        <v/>
      </c>
      <c r="AD66" s="4">
        <f>ROUND(F66,0)</f>
        <v/>
      </c>
      <c r="AE66" s="4">
        <f>ROUND(G66,0)</f>
        <v/>
      </c>
      <c r="AF66" s="4">
        <f>ROUND(H66,0)</f>
        <v/>
      </c>
    </row>
    <row r="67" ht="13.5" customHeight="1" s="7635">
      <c r="A67" s="11602" t="n"/>
      <c r="B67" s="4677" t="inlineStr">
        <is>
          <t>2b</t>
        </is>
      </c>
      <c r="C67" s="4678" t="inlineStr">
        <is>
          <t>Unrecap. Sec. 1250 gain</t>
        </is>
      </c>
      <c r="D67" s="606" t="n"/>
      <c r="E67" s="607" t="n"/>
      <c r="F67" s="607" t="n"/>
      <c r="G67" s="607" t="n"/>
      <c r="H67" s="607" t="n"/>
      <c r="I67" s="4076" t="n"/>
      <c r="J67" s="4665" t="n"/>
      <c r="AA67" s="11612">
        <f>B67</f>
        <v/>
      </c>
      <c r="AB67" s="4">
        <f>ROUND(D67,0)</f>
        <v/>
      </c>
      <c r="AC67" s="4">
        <f>ROUND(E67,0)</f>
        <v/>
      </c>
      <c r="AD67" s="4">
        <f>ROUND(F67,0)</f>
        <v/>
      </c>
      <c r="AE67" s="4">
        <f>ROUND(G67,0)</f>
        <v/>
      </c>
      <c r="AF67" s="4">
        <f>ROUND(H67,0)</f>
        <v/>
      </c>
    </row>
    <row r="68">
      <c r="A68" s="11602" t="n"/>
      <c r="B68" s="4677" t="inlineStr">
        <is>
          <t>2c</t>
        </is>
      </c>
      <c r="C68" s="4679" t="inlineStr">
        <is>
          <t>Section 1202 gain</t>
        </is>
      </c>
      <c r="D68" s="606" t="n"/>
      <c r="E68" s="607" t="n"/>
      <c r="F68" s="607" t="n"/>
      <c r="G68" s="607" t="n"/>
      <c r="H68" s="607" t="n"/>
      <c r="I68" s="3298" t="n"/>
      <c r="J68" s="4665" t="n"/>
      <c r="AA68" s="11612">
        <f>B68</f>
        <v/>
      </c>
      <c r="AB68" s="4">
        <f>ROUND(D68,2)</f>
        <v/>
      </c>
      <c r="AC68" s="4">
        <f>ROUND(E68,2)</f>
        <v/>
      </c>
      <c r="AD68" s="4">
        <f>ROUND(F68,2)</f>
        <v/>
      </c>
      <c r="AE68" s="4">
        <f>ROUND(G68,2)</f>
        <v/>
      </c>
      <c r="AF68" s="4">
        <f>ROUND(H68,2)</f>
        <v/>
      </c>
    </row>
    <row r="69">
      <c r="A69" s="11602" t="n"/>
      <c r="B69" s="4675" t="inlineStr">
        <is>
          <t>2d</t>
        </is>
      </c>
      <c r="C69" s="4676" t="inlineStr">
        <is>
          <t>Collectibles (28%) gain</t>
        </is>
      </c>
      <c r="D69" s="606" t="n"/>
      <c r="E69" s="607" t="n"/>
      <c r="F69" s="607" t="n"/>
      <c r="G69" s="607" t="n"/>
      <c r="H69" s="607" t="n"/>
      <c r="I69" s="3298" t="n"/>
      <c r="J69" s="4665" t="n"/>
      <c r="AA69" s="11612">
        <f>B69</f>
        <v/>
      </c>
      <c r="AB69" s="4">
        <f>ROUND(D69,2)</f>
        <v/>
      </c>
      <c r="AC69" s="4">
        <f>ROUND(E69,2)</f>
        <v/>
      </c>
      <c r="AD69" s="4">
        <f>ROUND(F69,2)</f>
        <v/>
      </c>
      <c r="AE69" s="4">
        <f>ROUND(G69,2)</f>
        <v/>
      </c>
      <c r="AF69" s="4">
        <f>ROUND(H69,2)</f>
        <v/>
      </c>
    </row>
    <row r="70">
      <c r="A70" s="11602" t="n"/>
      <c r="B70" s="4680" t="n">
        <v>3</v>
      </c>
      <c r="C70" s="4678" t="inlineStr">
        <is>
          <t>Nondividend distributions</t>
        </is>
      </c>
      <c r="D70" s="606" t="n"/>
      <c r="E70" s="607" t="n"/>
      <c r="F70" s="607" t="n"/>
      <c r="G70" s="607" t="n"/>
      <c r="H70" s="607" t="n"/>
      <c r="I70" s="3298" t="n"/>
      <c r="J70" s="4665" t="n"/>
      <c r="AA70" s="11612">
        <f>B70</f>
        <v/>
      </c>
      <c r="AB70" s="4">
        <f>ROUND(D70,0)</f>
        <v/>
      </c>
      <c r="AC70" s="4">
        <f>ROUND(E70,0)</f>
        <v/>
      </c>
      <c r="AD70" s="4">
        <f>ROUND(F70,0)</f>
        <v/>
      </c>
      <c r="AE70" s="4">
        <f>ROUND(G70,0)</f>
        <v/>
      </c>
      <c r="AF70" s="4">
        <f>ROUND(H70,0)</f>
        <v/>
      </c>
    </row>
    <row r="71">
      <c r="A71" s="11602" t="n"/>
      <c r="B71" s="4675" t="n">
        <v>4</v>
      </c>
      <c r="C71" s="4676" t="inlineStr">
        <is>
          <t>Federal income tax withheld</t>
        </is>
      </c>
      <c r="D71" s="606" t="n"/>
      <c r="E71" s="607" t="n"/>
      <c r="F71" s="607" t="n"/>
      <c r="G71" s="607" t="n"/>
      <c r="H71" s="607" t="n"/>
      <c r="I71" s="3298" t="n"/>
      <c r="J71" s="4665" t="n"/>
      <c r="AA71" s="11612">
        <f>B71</f>
        <v/>
      </c>
      <c r="AB71" s="4">
        <f>ROUND(D71,2)</f>
        <v/>
      </c>
      <c r="AC71" s="4">
        <f>ROUND(E71,2)</f>
        <v/>
      </c>
      <c r="AD71" s="4">
        <f>ROUND(F71,2)</f>
        <v/>
      </c>
      <c r="AE71" s="4">
        <f>ROUND(G71,2)</f>
        <v/>
      </c>
      <c r="AF71" s="4">
        <f>ROUND(H71,2)</f>
        <v/>
      </c>
    </row>
    <row r="72">
      <c r="A72" s="11602" t="n"/>
      <c r="B72" s="4675" t="n">
        <v>5</v>
      </c>
      <c r="C72" s="4676" t="inlineStr">
        <is>
          <t>Section 199A dividends</t>
        </is>
      </c>
      <c r="D72" s="606" t="n"/>
      <c r="E72" s="607" t="n"/>
      <c r="F72" s="607" t="n"/>
      <c r="G72" s="607" t="n"/>
      <c r="H72" s="607" t="n"/>
      <c r="I72" s="3298" t="n"/>
      <c r="J72" s="4665" t="n"/>
      <c r="AA72" s="11612">
        <f>B72</f>
        <v/>
      </c>
      <c r="AB72" s="4">
        <f>ROUND(D72,2)</f>
        <v/>
      </c>
      <c r="AC72" s="4">
        <f>ROUND(E72,2)</f>
        <v/>
      </c>
      <c r="AD72" s="4">
        <f>ROUND(F72,2)</f>
        <v/>
      </c>
      <c r="AE72" s="4">
        <f>ROUND(G72,2)</f>
        <v/>
      </c>
      <c r="AF72" s="4">
        <f>ROUND(H72,2)</f>
        <v/>
      </c>
    </row>
    <row r="73">
      <c r="A73" s="11602" t="n"/>
      <c r="B73" s="4680" t="n">
        <v>6</v>
      </c>
      <c r="C73" s="4678" t="inlineStr">
        <is>
          <t>Investment expenses</t>
        </is>
      </c>
      <c r="D73" s="606" t="n"/>
      <c r="E73" s="607" t="n"/>
      <c r="F73" s="607" t="n"/>
      <c r="G73" s="607" t="n"/>
      <c r="H73" s="607" t="n"/>
      <c r="I73" s="3298" t="n"/>
      <c r="J73" s="4665" t="n"/>
      <c r="AA73" s="11612">
        <f>B73</f>
        <v/>
      </c>
      <c r="AB73" s="4">
        <f>ROUND(D73,0)</f>
        <v/>
      </c>
      <c r="AC73" s="4">
        <f>ROUND(E73,0)</f>
        <v/>
      </c>
      <c r="AD73" s="4">
        <f>ROUND(F73,0)</f>
        <v/>
      </c>
      <c r="AE73" s="4">
        <f>ROUND(G73,0)</f>
        <v/>
      </c>
      <c r="AF73" s="4">
        <f>ROUND(H73,0)</f>
        <v/>
      </c>
    </row>
    <row r="74">
      <c r="A74" s="11602" t="n"/>
      <c r="B74" s="4675" t="n">
        <v>7</v>
      </c>
      <c r="C74" s="4676" t="inlineStr">
        <is>
          <t>Foreign tax paid</t>
        </is>
      </c>
      <c r="D74" s="606" t="n"/>
      <c r="E74" s="607" t="n"/>
      <c r="F74" s="607" t="n"/>
      <c r="G74" s="607" t="n"/>
      <c r="H74" s="607" t="n"/>
      <c r="I74" s="4681">
        <f>IF(SUM(D74:H74)&gt;0,"Check Form 1116, Foreign Tax Credit","")</f>
        <v/>
      </c>
      <c r="J74" s="4665" t="n"/>
      <c r="AA74" s="11612">
        <f>B74</f>
        <v/>
      </c>
      <c r="AB74" s="4">
        <f>ROUND(D74,2)</f>
        <v/>
      </c>
      <c r="AC74" s="4">
        <f>ROUND(E74,2)</f>
        <v/>
      </c>
      <c r="AD74" s="4">
        <f>ROUND(F74,2)</f>
        <v/>
      </c>
      <c r="AE74" s="4">
        <f>ROUND(G74,2)</f>
        <v/>
      </c>
      <c r="AF74" s="4">
        <f>ROUND(H74,2)</f>
        <v/>
      </c>
    </row>
    <row r="75">
      <c r="A75" s="11602" t="n"/>
      <c r="B75" s="4680" t="n">
        <v>8</v>
      </c>
      <c r="C75" s="4678" t="inlineStr">
        <is>
          <t>Foreign country or U.S. possession</t>
        </is>
      </c>
      <c r="D75" s="606" t="n"/>
      <c r="E75" s="607" t="n"/>
      <c r="F75" s="607" t="n"/>
      <c r="G75" s="607" t="n"/>
      <c r="H75" s="607" t="n"/>
      <c r="I75" s="3298" t="n"/>
      <c r="J75" s="4665" t="n"/>
      <c r="AA75" s="11612">
        <f>B75</f>
        <v/>
      </c>
      <c r="AB75" s="4" t="n"/>
      <c r="AC75" s="4" t="n"/>
      <c r="AD75" s="4" t="n"/>
      <c r="AE75" s="4" t="n"/>
      <c r="AF75" s="4" t="n"/>
    </row>
    <row r="76">
      <c r="A76" s="11602" t="n"/>
      <c r="B76" s="4680" t="n">
        <v>9</v>
      </c>
      <c r="C76" s="4678" t="inlineStr">
        <is>
          <t>Cash liquidation distributions</t>
        </is>
      </c>
      <c r="D76" s="606" t="n"/>
      <c r="E76" s="607" t="n"/>
      <c r="F76" s="607" t="n"/>
      <c r="G76" s="607" t="n"/>
      <c r="H76" s="607" t="n"/>
      <c r="I76" s="3298" t="n"/>
      <c r="J76" s="4665" t="n"/>
      <c r="AA76" s="11612">
        <f>B76</f>
        <v/>
      </c>
      <c r="AB76" s="4">
        <f>ROUND(D76,0)</f>
        <v/>
      </c>
      <c r="AC76" s="4">
        <f>ROUND(E76,0)</f>
        <v/>
      </c>
      <c r="AD76" s="4">
        <f>ROUND(F76,0)</f>
        <v/>
      </c>
      <c r="AE76" s="4">
        <f>ROUND(G76,0)</f>
        <v/>
      </c>
      <c r="AF76" s="4">
        <f>ROUND(H76,0)</f>
        <v/>
      </c>
    </row>
    <row r="77">
      <c r="A77" s="11602" t="n"/>
      <c r="B77" s="4680" t="n">
        <v>10</v>
      </c>
      <c r="C77" s="4678" t="inlineStr">
        <is>
          <t>Noncash liquidation distributions</t>
        </is>
      </c>
      <c r="D77" s="606" t="n"/>
      <c r="E77" s="607" t="n"/>
      <c r="F77" s="607" t="n"/>
      <c r="G77" s="607" t="n"/>
      <c r="H77" s="607" t="n"/>
      <c r="I77" s="3298" t="n"/>
      <c r="J77" s="4665" t="n"/>
      <c r="AA77" s="11612">
        <f>B77</f>
        <v/>
      </c>
      <c r="AB77" s="4">
        <f>ROUND(D77,0)</f>
        <v/>
      </c>
      <c r="AC77" s="4">
        <f>ROUND(E77,0)</f>
        <v/>
      </c>
      <c r="AD77" s="4">
        <f>ROUND(F77,0)</f>
        <v/>
      </c>
      <c r="AE77" s="4">
        <f>ROUND(G77,0)</f>
        <v/>
      </c>
      <c r="AF77" s="4">
        <f>ROUND(H77,0)</f>
        <v/>
      </c>
    </row>
    <row r="78">
      <c r="A78" s="11602" t="n"/>
      <c r="B78" s="4680" t="n">
        <v>11</v>
      </c>
      <c r="C78" s="4678" t="inlineStr">
        <is>
          <t>FATCA filing requirement</t>
        </is>
      </c>
      <c r="D78" s="606" t="n"/>
      <c r="E78" s="607" t="n"/>
      <c r="F78" s="607" t="n"/>
      <c r="G78" s="607" t="n"/>
      <c r="H78" s="607" t="n"/>
      <c r="I78" s="3298" t="n"/>
      <c r="J78" s="4665" t="n"/>
      <c r="Z78" s="656" t="n"/>
      <c r="AA78" s="11612">
        <f>B78</f>
        <v/>
      </c>
      <c r="AB78" s="4">
        <f>ROUND(D78,2)</f>
        <v/>
      </c>
      <c r="AC78" s="4">
        <f>ROUND(E78,2)</f>
        <v/>
      </c>
      <c r="AD78" s="4">
        <f>ROUND(F78,2)</f>
        <v/>
      </c>
      <c r="AE78" s="4">
        <f>ROUND(G78,2)</f>
        <v/>
      </c>
      <c r="AF78" s="4">
        <f>ROUND(H78,2)</f>
        <v/>
      </c>
    </row>
    <row r="79">
      <c r="A79" s="11602" t="n"/>
      <c r="B79" s="4675" t="n">
        <v>12</v>
      </c>
      <c r="C79" s="4676" t="inlineStr">
        <is>
          <t>Exempt-interest dividends</t>
        </is>
      </c>
      <c r="D79" s="606" t="n"/>
      <c r="E79" s="607" t="n"/>
      <c r="F79" s="607" t="n"/>
      <c r="G79" s="607" t="n"/>
      <c r="H79" s="607" t="n"/>
      <c r="I79" s="3298" t="n"/>
      <c r="J79" s="4665" t="n"/>
      <c r="AA79" s="11612">
        <f>B79</f>
        <v/>
      </c>
      <c r="AB79" s="4">
        <f>ROUND(D79,2)</f>
        <v/>
      </c>
      <c r="AC79" s="4">
        <f>ROUND(E79,2)</f>
        <v/>
      </c>
      <c r="AD79" s="4">
        <f>ROUND(F79,2)</f>
        <v/>
      </c>
      <c r="AE79" s="4">
        <f>ROUND(G79,2)</f>
        <v/>
      </c>
      <c r="AF79" s="4">
        <f>ROUND(H79,2)</f>
        <v/>
      </c>
    </row>
    <row r="80">
      <c r="A80" s="11602" t="n"/>
      <c r="B80" s="4675" t="n">
        <v>13</v>
      </c>
      <c r="C80" s="4676" t="inlineStr">
        <is>
          <t>Specified private activity bond interest dividends</t>
        </is>
      </c>
      <c r="D80" s="606" t="n"/>
      <c r="E80" s="607" t="n"/>
      <c r="F80" s="607" t="n"/>
      <c r="G80" s="607" t="n"/>
      <c r="H80" s="607" t="n"/>
      <c r="I80" s="3298" t="n"/>
      <c r="J80" s="4665" t="n"/>
      <c r="AA80" s="11612">
        <f>B80</f>
        <v/>
      </c>
      <c r="AB80" s="4">
        <f>ROUND(D80,2)</f>
        <v/>
      </c>
      <c r="AC80" s="4">
        <f>ROUND(E80,2)</f>
        <v/>
      </c>
      <c r="AD80" s="4">
        <f>ROUND(F80,2)</f>
        <v/>
      </c>
      <c r="AE80" s="4">
        <f>ROUND(G80,2)</f>
        <v/>
      </c>
      <c r="AF80" s="4">
        <f>ROUND(H80,2)</f>
        <v/>
      </c>
    </row>
    <row r="81">
      <c r="A81" s="11602" t="n"/>
      <c r="B81" s="4680" t="n">
        <v>14</v>
      </c>
      <c r="C81" s="4678" t="inlineStr">
        <is>
          <t>State</t>
        </is>
      </c>
      <c r="D81" s="595" t="n"/>
      <c r="E81" s="596" t="n"/>
      <c r="F81" s="596" t="n"/>
      <c r="G81" s="596" t="n"/>
      <c r="H81" s="596" t="n"/>
      <c r="I81" s="3298" t="n"/>
      <c r="J81" s="4665" t="n"/>
      <c r="AA81" s="11612">
        <f>B81</f>
        <v/>
      </c>
      <c r="AB81" s="4" t="n"/>
      <c r="AC81" s="4" t="n"/>
      <c r="AD81" s="4" t="n"/>
      <c r="AE81" s="4" t="n"/>
      <c r="AF81" s="4" t="n"/>
    </row>
    <row r="82">
      <c r="A82" s="11602" t="n"/>
      <c r="B82" s="4680" t="n">
        <v>15</v>
      </c>
      <c r="C82" s="4678" t="inlineStr">
        <is>
          <t>State identification no.</t>
        </is>
      </c>
      <c r="D82" s="597" t="n"/>
      <c r="E82" s="598" t="n"/>
      <c r="F82" s="598" t="n"/>
      <c r="G82" s="598" t="n"/>
      <c r="H82" s="598" t="n"/>
      <c r="I82" s="3298" t="n"/>
      <c r="J82" s="4665" t="n"/>
      <c r="AA82" s="11612">
        <f>B82</f>
        <v/>
      </c>
      <c r="AB82" s="4" t="n"/>
      <c r="AC82" s="4" t="n"/>
      <c r="AD82" s="4" t="n"/>
      <c r="AE82" s="4" t="n"/>
      <c r="AF82" s="4" t="n"/>
    </row>
    <row r="83" ht="13.5" customHeight="1" s="7635" thickBot="1">
      <c r="A83" s="11602" t="n"/>
      <c r="B83" s="4682" t="n">
        <v>16</v>
      </c>
      <c r="C83" s="4683" t="inlineStr">
        <is>
          <t>State tax withheld</t>
        </is>
      </c>
      <c r="D83" s="616" t="n"/>
      <c r="E83" s="617" t="n"/>
      <c r="F83" s="617" t="n"/>
      <c r="G83" s="617" t="n"/>
      <c r="H83" s="617" t="n"/>
      <c r="I83" s="3298" t="n"/>
      <c r="J83" s="4665" t="n"/>
      <c r="AA83" s="11612">
        <f>B83</f>
        <v/>
      </c>
      <c r="AB83" s="4">
        <f>ROUND(D83,2)</f>
        <v/>
      </c>
      <c r="AC83" s="4">
        <f>ROUND(E83,2)</f>
        <v/>
      </c>
      <c r="AD83" s="4">
        <f>ROUND(F83,2)</f>
        <v/>
      </c>
      <c r="AE83" s="4">
        <f>ROUND(G83,2)</f>
        <v/>
      </c>
      <c r="AF83" s="4">
        <f>ROUND(H83,2)</f>
        <v/>
      </c>
    </row>
    <row r="84" ht="17.25" customHeight="1" s="7635" thickBot="1">
      <c r="A84" s="11602" t="n"/>
      <c r="B84" s="580" t="inlineStr">
        <is>
          <t xml:space="preserve">  Only bolded amounts are used in this spreadsheet.</t>
        </is>
      </c>
      <c r="C84" s="11602" t="n"/>
      <c r="D84" s="512">
        <f>D65&gt;D64</f>
        <v/>
      </c>
      <c r="E84" s="512">
        <f>E65&gt;E64</f>
        <v/>
      </c>
      <c r="F84" s="512">
        <f>F65&gt;F64</f>
        <v/>
      </c>
      <c r="G84" s="512">
        <f>G65&gt;G64</f>
        <v/>
      </c>
      <c r="H84" s="512">
        <f>H65&gt;H64</f>
        <v/>
      </c>
      <c r="I84" s="4684">
        <f>OR(D84:H84)</f>
        <v/>
      </c>
      <c r="J84" s="4665" t="n"/>
    </row>
    <row r="85" hidden="1" customFormat="1" s="9160">
      <c r="D85" s="9160">
        <f>IF(D61&lt;&gt;"",D61,"")</f>
        <v/>
      </c>
      <c r="E85" s="9160">
        <f>IF(E61&lt;&gt;"",E61,"")</f>
        <v/>
      </c>
      <c r="F85" s="9160">
        <f>IF(F61&lt;&gt;"",F61,"")</f>
        <v/>
      </c>
      <c r="G85" s="9160">
        <f>IF(G61&lt;&gt;"",G61,"")</f>
        <v/>
      </c>
      <c r="H85" s="9160">
        <f>IF(H61&lt;&gt;"",H61,"")</f>
        <v/>
      </c>
      <c r="I85" s="3298" t="n"/>
      <c r="K85" s="11886" t="n"/>
      <c r="L85" s="715" t="n"/>
      <c r="M85" s="715" t="n"/>
      <c r="N85" s="715" t="n"/>
      <c r="O85" s="715" t="n"/>
      <c r="P85" s="715" t="n"/>
      <c r="Q85" s="715" t="n"/>
      <c r="R85" s="715" t="n"/>
      <c r="S85" s="715" t="n"/>
      <c r="T85" s="715" t="n"/>
      <c r="U85" s="715" t="n"/>
      <c r="V85" s="715" t="n"/>
      <c r="W85" s="715" t="n"/>
      <c r="X85" s="715" t="n"/>
      <c r="Y85" s="715" t="n"/>
      <c r="AA85" s="4685" t="n"/>
    </row>
    <row r="86" hidden="1" customFormat="1" s="9160">
      <c r="D86" s="9160">
        <f>IF(D62&lt;&gt;"", " - "&amp;D62,"")</f>
        <v/>
      </c>
      <c r="E86" s="9160">
        <f>IF(E62&lt;&gt;"", " - "&amp;E62,"")</f>
        <v/>
      </c>
      <c r="F86" s="9160">
        <f>IF(F62&lt;&gt;"", " - "&amp;F62,"")</f>
        <v/>
      </c>
      <c r="G86" s="9160">
        <f>IF(G62&lt;&gt;"", " - "&amp;G62,"")</f>
        <v/>
      </c>
      <c r="H86" s="9160">
        <f>IF(H62&lt;&gt;"", " - "&amp;H62,"")</f>
        <v/>
      </c>
      <c r="I86" s="3298" t="n"/>
      <c r="K86" s="11886" t="n"/>
      <c r="L86" s="715" t="n"/>
      <c r="M86" s="715" t="n"/>
      <c r="N86" s="715" t="n"/>
      <c r="O86" s="715" t="n"/>
      <c r="P86" s="715" t="n"/>
      <c r="Q86" s="715" t="n"/>
      <c r="R86" s="715" t="n"/>
      <c r="S86" s="715" t="n"/>
      <c r="T86" s="715" t="n"/>
      <c r="U86" s="715" t="n"/>
      <c r="V86" s="715" t="n"/>
      <c r="W86" s="715" t="n"/>
      <c r="X86" s="715" t="n"/>
      <c r="Y86" s="715" t="n"/>
      <c r="AA86" s="4685" t="n"/>
    </row>
    <row r="87" hidden="1" customFormat="1" s="9160">
      <c r="D87" s="9160">
        <f>IF(D63&lt;&gt;""," - "&amp;D63,"")</f>
        <v/>
      </c>
      <c r="E87" s="9160">
        <f>IF(E63&lt;&gt;""," - "&amp;E63,"")</f>
        <v/>
      </c>
      <c r="F87" s="9160">
        <f>IF(F63&lt;&gt;""," - "&amp;F63,"")</f>
        <v/>
      </c>
      <c r="G87" s="9160">
        <f>IF(G63&lt;&gt;""," - "&amp;G63,"")</f>
        <v/>
      </c>
      <c r="H87" s="9160">
        <f>IF(H63&lt;&gt;""," - "&amp;H63,"")</f>
        <v/>
      </c>
      <c r="I87" s="3298" t="n"/>
      <c r="K87" s="11886" t="n"/>
      <c r="L87" s="715" t="n"/>
      <c r="M87" s="715" t="n"/>
      <c r="N87" s="715" t="n"/>
      <c r="O87" s="715" t="n"/>
      <c r="P87" s="715" t="n"/>
      <c r="Q87" s="715" t="n"/>
      <c r="R87" s="715" t="n"/>
      <c r="S87" s="715" t="n"/>
      <c r="T87" s="715" t="n"/>
      <c r="U87" s="715" t="n"/>
      <c r="V87" s="715" t="n"/>
      <c r="W87" s="715" t="n"/>
      <c r="X87" s="715" t="n"/>
      <c r="Y87" s="715" t="n"/>
      <c r="AA87" s="4685" t="n"/>
    </row>
    <row r="88" hidden="1" ht="13.5" customFormat="1" customHeight="1" s="9160" thickBot="1">
      <c r="D88" s="8608">
        <f>IF(D64="","",D85&amp;D86&amp;D87)</f>
        <v/>
      </c>
      <c r="E88" s="8608">
        <f>IF(E64="","",E85&amp;E86&amp;E87)</f>
        <v/>
      </c>
      <c r="F88" s="8608">
        <f>IF(F64="","",F85&amp;F86&amp;F87)</f>
        <v/>
      </c>
      <c r="G88" s="8608">
        <f>IF(G64="","",G85&amp;G86&amp;G87)</f>
        <v/>
      </c>
      <c r="H88" s="8608">
        <f>IF(H64="","",H85&amp;H86&amp;H87)</f>
        <v/>
      </c>
      <c r="I88" s="3298" t="n"/>
      <c r="K88" s="11886" t="n"/>
      <c r="L88" s="715" t="n"/>
      <c r="M88" s="715" t="n"/>
      <c r="N88" s="715" t="n"/>
      <c r="O88" s="715" t="n"/>
      <c r="P88" s="715" t="n"/>
      <c r="Q88" s="715" t="n"/>
      <c r="R88" s="715" t="n"/>
      <c r="S88" s="715" t="n"/>
      <c r="T88" s="715" t="n"/>
      <c r="U88" s="715" t="n"/>
      <c r="V88" s="715" t="n"/>
      <c r="W88" s="715" t="n"/>
      <c r="X88" s="715" t="n"/>
      <c r="Y88" s="715" t="n"/>
      <c r="AA88" s="4685" t="n"/>
    </row>
    <row r="89" ht="42" customHeight="1" s="7635" thickBot="1" thickTop="1">
      <c r="A89" s="257" t="n"/>
      <c r="B89" s="1534" t="n"/>
      <c r="C89" s="4664">
        <f>IF(Name_1st_Yours="","Enter your name(s) on the"&amp;CHAR(10)&amp;"sheet labeled '1040'",Names)</f>
        <v/>
      </c>
      <c r="D89" s="458" t="inlineStr">
        <is>
          <t>Payer #16</t>
        </is>
      </c>
      <c r="E89" s="458" t="inlineStr">
        <is>
          <t>Payer #17</t>
        </is>
      </c>
      <c r="F89" s="458" t="inlineStr">
        <is>
          <t>Payer #18</t>
        </is>
      </c>
      <c r="G89" s="458" t="inlineStr">
        <is>
          <t>Payer #19</t>
        </is>
      </c>
      <c r="H89" s="458" t="inlineStr">
        <is>
          <t>Total</t>
        </is>
      </c>
      <c r="I89" s="3526" t="inlineStr">
        <is>
          <t>Used at:</t>
        </is>
      </c>
      <c r="J89" s="4665" t="n"/>
    </row>
    <row r="90">
      <c r="A90" s="11602" t="n"/>
      <c r="B90" s="4666" t="n"/>
      <c r="C90" s="4667" t="inlineStr">
        <is>
          <t>PAYER's name</t>
        </is>
      </c>
      <c r="D90" s="601" t="n"/>
      <c r="E90" s="602" t="n"/>
      <c r="F90" s="602" t="n"/>
      <c r="G90" s="602" t="n"/>
      <c r="H90" s="4687" t="n"/>
      <c r="I90" s="4688" t="n"/>
      <c r="J90" s="11602" t="n"/>
    </row>
    <row r="91">
      <c r="A91" s="11602" t="n"/>
      <c r="B91" s="4668" t="n"/>
      <c r="C91" s="4669" t="inlineStr">
        <is>
          <t>PAYER's Federal ID number</t>
        </is>
      </c>
      <c r="D91" s="629" t="n"/>
      <c r="E91" s="630" t="n"/>
      <c r="F91" s="630" t="n"/>
      <c r="G91" s="630" t="n"/>
      <c r="H91" s="4689" t="n"/>
      <c r="I91" s="4690" t="n"/>
      <c r="J91" s="11602" t="n"/>
    </row>
    <row r="92" ht="13.5" customHeight="1" s="7635" thickBot="1">
      <c r="A92" s="11602" t="n"/>
      <c r="B92" s="4670" t="n"/>
      <c r="C92" s="4671" t="inlineStr">
        <is>
          <t>Account number</t>
        </is>
      </c>
      <c r="D92" s="632" t="n"/>
      <c r="E92" s="633" t="n"/>
      <c r="F92" s="633" t="n"/>
      <c r="G92" s="633" t="n"/>
      <c r="H92" s="4691" t="n"/>
      <c r="I92" s="4690">
        <f>SUM(ForeignTaxPaid_INT,ForeignTaxPaid_DIV)</f>
        <v/>
      </c>
      <c r="J92" s="11602" t="n"/>
    </row>
    <row r="93" ht="13.5" customHeight="1" s="7635">
      <c r="A93" s="11602" t="n"/>
      <c r="B93" s="4672" t="inlineStr">
        <is>
          <t>1a</t>
        </is>
      </c>
      <c r="C93" s="4673" t="inlineStr">
        <is>
          <t>Total ordinary dividends</t>
        </is>
      </c>
      <c r="D93" s="604" t="n"/>
      <c r="E93" s="605" t="n"/>
      <c r="F93" s="605" t="n"/>
      <c r="G93" s="605" t="n"/>
      <c r="H93" s="4692">
        <f>ROUND(SUM(D6:H6,D35:H35,D64:H64,D93:G93),0)</f>
        <v/>
      </c>
      <c r="I93" s="4693">
        <f>IF(I113,"Error: All qualified dividends must be included in","Sch. B, Line 5")</f>
        <v/>
      </c>
      <c r="J93" s="11602" t="n"/>
      <c r="Z93" s="8648" t="n"/>
      <c r="AA93" s="11612">
        <f>B93</f>
        <v/>
      </c>
      <c r="AB93" s="4">
        <f>ROUND(D93,2)</f>
        <v/>
      </c>
      <c r="AC93" s="4">
        <f>ROUND(E93,2)</f>
        <v/>
      </c>
      <c r="AD93" s="4">
        <f>ROUND(F93,2)</f>
        <v/>
      </c>
      <c r="AE93" s="4">
        <f>ROUND(G93,2)</f>
        <v/>
      </c>
      <c r="AF93" s="4" t="n"/>
    </row>
    <row r="94" ht="13.5" customHeight="1" s="7635">
      <c r="A94" s="11602" t="n"/>
      <c r="B94" s="4675" t="inlineStr">
        <is>
          <t>1b</t>
        </is>
      </c>
      <c r="C94" s="4676" t="inlineStr">
        <is>
          <t>Qualified dividends</t>
        </is>
      </c>
      <c r="D94" s="606" t="n"/>
      <c r="E94" s="607" t="n"/>
      <c r="F94" s="607" t="n"/>
      <c r="G94" s="607" t="n"/>
      <c r="H94" s="4125">
        <f>ROUND(SUM(D7:H7,D36:H36,D65:H65,D94:G94),0)</f>
        <v/>
      </c>
      <c r="I94" s="4693">
        <f>IF(I113,"the Total ordinary dividend amount.","Form 1040, Line 3a and 3b")</f>
        <v/>
      </c>
      <c r="J94" s="11602" t="n"/>
      <c r="Z94" s="8648" t="n"/>
      <c r="AA94" s="11612">
        <f>B94</f>
        <v/>
      </c>
      <c r="AB94" s="4">
        <f>ROUND(D94,2)</f>
        <v/>
      </c>
      <c r="AC94" s="4">
        <f>ROUND(E94,2)</f>
        <v/>
      </c>
      <c r="AD94" s="4">
        <f>ROUND(F94,2)</f>
        <v/>
      </c>
      <c r="AE94" s="4">
        <f>ROUND(G94,2)</f>
        <v/>
      </c>
      <c r="AF94" s="4" t="n"/>
    </row>
    <row r="95" ht="13.5" customHeight="1" s="7635">
      <c r="A95" s="11602" t="n"/>
      <c r="B95" s="4675" t="inlineStr">
        <is>
          <t>2a</t>
        </is>
      </c>
      <c r="C95" s="4676" t="inlineStr">
        <is>
          <t>Total capital gain distr.</t>
        </is>
      </c>
      <c r="D95" s="606" t="n"/>
      <c r="E95" s="607" t="n"/>
      <c r="F95" s="607" t="n"/>
      <c r="G95" s="607" t="n"/>
      <c r="H95" s="4125">
        <f>ROUND(SUM(D8:H8,D37:H37,D66:H66,D95:G95),0)</f>
        <v/>
      </c>
      <c r="I95" s="4693" t="inlineStr">
        <is>
          <t>Sch. D, Line 13</t>
        </is>
      </c>
      <c r="J95" s="11602" t="n"/>
      <c r="Z95" s="8648" t="n"/>
      <c r="AA95" s="11612">
        <f>B95</f>
        <v/>
      </c>
      <c r="AB95" s="4">
        <f>ROUND(D95,0)</f>
        <v/>
      </c>
      <c r="AC95" s="4">
        <f>ROUND(E95,0)</f>
        <v/>
      </c>
      <c r="AD95" s="4">
        <f>ROUND(F95,0)</f>
        <v/>
      </c>
      <c r="AE95" s="4">
        <f>ROUND(G95,0)</f>
        <v/>
      </c>
      <c r="AF95" s="4" t="n"/>
    </row>
    <row r="96" ht="13.5" customHeight="1" s="7635">
      <c r="A96" s="11602" t="n"/>
      <c r="B96" s="4680" t="inlineStr">
        <is>
          <t>2b</t>
        </is>
      </c>
      <c r="C96" s="4678" t="inlineStr">
        <is>
          <t>Unrecap. Sec. 1250 gain</t>
        </is>
      </c>
      <c r="D96" s="606" t="n"/>
      <c r="E96" s="607" t="n"/>
      <c r="F96" s="607" t="n"/>
      <c r="G96" s="607" t="n"/>
      <c r="H96" s="4694">
        <f>ROUND(SUM(D9:H9,D38:H38,D67:H67,D96:G96),0)</f>
        <v/>
      </c>
      <c r="I96" s="4693" t="n"/>
      <c r="J96" s="11602" t="n"/>
      <c r="AA96" s="11612">
        <f>B96</f>
        <v/>
      </c>
      <c r="AB96" s="4">
        <f>ROUND(D96,0)</f>
        <v/>
      </c>
      <c r="AC96" s="4">
        <f>ROUND(E96,0)</f>
        <v/>
      </c>
      <c r="AD96" s="4">
        <f>ROUND(F96,0)</f>
        <v/>
      </c>
      <c r="AE96" s="4">
        <f>ROUND(G96,0)</f>
        <v/>
      </c>
      <c r="AF96" s="4" t="n"/>
    </row>
    <row r="97" ht="26.25" customHeight="1" s="7635">
      <c r="A97" s="11602" t="n"/>
      <c r="B97" s="4677" t="inlineStr">
        <is>
          <t>2c</t>
        </is>
      </c>
      <c r="C97" s="4679" t="inlineStr">
        <is>
          <t>Section 1202 gain</t>
        </is>
      </c>
      <c r="D97" s="606" t="n"/>
      <c r="E97" s="607" t="n"/>
      <c r="F97" s="607" t="n"/>
      <c r="G97" s="607" t="n"/>
      <c r="H97" s="4694">
        <f>SUM(AB10:AF10,AB39:AF39,AB68:AF68,AB97:AE97)</f>
        <v/>
      </c>
      <c r="I97" s="4695" t="n"/>
      <c r="J97" s="11602" t="n"/>
      <c r="AA97" s="11612">
        <f>B97</f>
        <v/>
      </c>
      <c r="AB97" s="4">
        <f>ROUND(D97,2)</f>
        <v/>
      </c>
      <c r="AC97" s="4">
        <f>ROUND(E97,2)</f>
        <v/>
      </c>
      <c r="AD97" s="4">
        <f>ROUND(F97,2)</f>
        <v/>
      </c>
      <c r="AE97" s="4">
        <f>ROUND(G97,2)</f>
        <v/>
      </c>
      <c r="AF97" s="4" t="n"/>
    </row>
    <row r="98">
      <c r="A98" s="11602" t="n"/>
      <c r="B98" s="4675" t="inlineStr">
        <is>
          <t>2d</t>
        </is>
      </c>
      <c r="C98" s="4676" t="inlineStr">
        <is>
          <t>Collectibles (28%) gain</t>
        </is>
      </c>
      <c r="D98" s="606" t="n"/>
      <c r="E98" s="607" t="n"/>
      <c r="F98" s="607" t="n"/>
      <c r="G98" s="607" t="n"/>
      <c r="H98" s="4125">
        <f>ROUND(SUM(D11:H11,D40:H40,D69:H69,D98:G98),0)</f>
        <v/>
      </c>
      <c r="I98" s="4693" t="inlineStr">
        <is>
          <t>Sch. D. WS, 28% Rate Gain WS, Line 4</t>
        </is>
      </c>
      <c r="J98" s="11602" t="n"/>
      <c r="Z98" s="8648" t="n"/>
      <c r="AA98" s="11612">
        <f>B98</f>
        <v/>
      </c>
      <c r="AB98" s="4">
        <f>ROUND(D98,2)</f>
        <v/>
      </c>
      <c r="AC98" s="4">
        <f>ROUND(E98,2)</f>
        <v/>
      </c>
      <c r="AD98" s="4">
        <f>ROUND(F98,2)</f>
        <v/>
      </c>
      <c r="AE98" s="4">
        <f>ROUND(G98,2)</f>
        <v/>
      </c>
      <c r="AF98" s="4" t="n"/>
    </row>
    <row r="99">
      <c r="A99" s="11602" t="n"/>
      <c r="B99" s="4680" t="n">
        <v>3</v>
      </c>
      <c r="C99" s="4678" t="inlineStr">
        <is>
          <t>Nondividend distributions</t>
        </is>
      </c>
      <c r="D99" s="606" t="n"/>
      <c r="E99" s="607" t="n"/>
      <c r="F99" s="607" t="n"/>
      <c r="G99" s="607" t="n"/>
      <c r="H99" s="4694">
        <f>ROUND(SUM(D12:H12,D41:H41,D70:H70,D99:G99),0)</f>
        <v/>
      </c>
      <c r="I99" s="4693" t="n"/>
      <c r="J99" s="11602" t="n"/>
      <c r="AA99" s="11612">
        <f>B99</f>
        <v/>
      </c>
      <c r="AB99" s="4">
        <f>ROUND(D99,0)</f>
        <v/>
      </c>
      <c r="AC99" s="4">
        <f>ROUND(E99,0)</f>
        <v/>
      </c>
      <c r="AD99" s="4">
        <f>ROUND(F99,0)</f>
        <v/>
      </c>
      <c r="AE99" s="4">
        <f>ROUND(G99,0)</f>
        <v/>
      </c>
      <c r="AF99" s="4" t="n"/>
    </row>
    <row r="100">
      <c r="A100" s="11602" t="n"/>
      <c r="B100" s="4675" t="n">
        <v>4</v>
      </c>
      <c r="C100" s="4676" t="inlineStr">
        <is>
          <t>Federal income tax withheld</t>
        </is>
      </c>
      <c r="D100" s="606" t="n"/>
      <c r="E100" s="607" t="n"/>
      <c r="F100" s="607" t="n"/>
      <c r="G100" s="607" t="n"/>
      <c r="H100" s="4125">
        <f>ROUND(SUM(D13:H13,D42:H42,D71:H71,D100:G100),0)</f>
        <v/>
      </c>
      <c r="I100" s="4693" t="inlineStr">
        <is>
          <t>1040, line 25b</t>
        </is>
      </c>
      <c r="J100" s="11602" t="n"/>
      <c r="Z100" s="8648" t="n"/>
      <c r="AA100" s="11612">
        <f>B100</f>
        <v/>
      </c>
      <c r="AB100" s="4">
        <f>ROUND(D100,2)</f>
        <v/>
      </c>
      <c r="AC100" s="4">
        <f>ROUND(E100,2)</f>
        <v/>
      </c>
      <c r="AD100" s="4">
        <f>ROUND(F100,2)</f>
        <v/>
      </c>
      <c r="AE100" s="4">
        <f>ROUND(G100,2)</f>
        <v/>
      </c>
      <c r="AF100" s="4" t="n"/>
    </row>
    <row r="101">
      <c r="A101" s="11602" t="n"/>
      <c r="B101" s="4675" t="n">
        <v>5</v>
      </c>
      <c r="C101" s="4676" t="inlineStr">
        <is>
          <t>Section 199A dividends</t>
        </is>
      </c>
      <c r="D101" s="606" t="n"/>
      <c r="E101" s="607" t="n"/>
      <c r="F101" s="607" t="n"/>
      <c r="G101" s="607" t="n"/>
      <c r="H101" s="4125">
        <f>ROUND(SUM(D14:H14,D43:H43,D72:H72,D101:G101),0)</f>
        <v/>
      </c>
      <c r="I101" s="4693" t="inlineStr">
        <is>
          <t>Form 8995, QBID, Line 6</t>
        </is>
      </c>
      <c r="J101" s="11602" t="n"/>
      <c r="Z101" s="8648" t="n"/>
      <c r="AA101" s="11612">
        <f>B101</f>
        <v/>
      </c>
      <c r="AB101" s="4">
        <f>ROUND(D101,2)</f>
        <v/>
      </c>
      <c r="AC101" s="4">
        <f>ROUND(E101,2)</f>
        <v/>
      </c>
      <c r="AD101" s="4">
        <f>ROUND(F101,2)</f>
        <v/>
      </c>
      <c r="AE101" s="4">
        <f>ROUND(G101,2)</f>
        <v/>
      </c>
      <c r="AF101" s="4" t="n"/>
    </row>
    <row r="102">
      <c r="A102" s="11602" t="n"/>
      <c r="B102" s="4680" t="n">
        <v>6</v>
      </c>
      <c r="C102" s="4678" t="inlineStr">
        <is>
          <t>Investment expenses</t>
        </is>
      </c>
      <c r="D102" s="606" t="n"/>
      <c r="E102" s="607" t="n"/>
      <c r="F102" s="607" t="n"/>
      <c r="G102" s="607" t="n"/>
      <c r="H102" s="4694">
        <f>ROUND(SUM(D15:H15,D44:H44,D73:H73,D102:G102),0)</f>
        <v/>
      </c>
      <c r="I102" s="4693" t="n"/>
      <c r="J102" s="11602" t="n"/>
      <c r="AA102" s="11612">
        <f>B102</f>
        <v/>
      </c>
      <c r="AB102" s="4">
        <f>ROUND(D102,0)</f>
        <v/>
      </c>
      <c r="AC102" s="4">
        <f>ROUND(E102,0)</f>
        <v/>
      </c>
      <c r="AD102" s="4">
        <f>ROUND(F102,0)</f>
        <v/>
      </c>
      <c r="AE102" s="4">
        <f>ROUND(G102,0)</f>
        <v/>
      </c>
      <c r="AF102" s="4" t="n"/>
    </row>
    <row r="103">
      <c r="A103" s="11602" t="n"/>
      <c r="B103" s="4675" t="n">
        <v>7</v>
      </c>
      <c r="C103" s="4676" t="inlineStr">
        <is>
          <t>Foreign tax paid</t>
        </is>
      </c>
      <c r="D103" s="606" t="n"/>
      <c r="E103" s="607" t="n"/>
      <c r="F103" s="607" t="n"/>
      <c r="G103" s="607" t="n"/>
      <c r="H103" s="4125">
        <f>ROUND(SUM(D16:H16,D45:H45,D74:H74,D103:G103),0)</f>
        <v/>
      </c>
      <c r="I103" s="4696" t="inlineStr">
        <is>
          <t>Form 1116</t>
        </is>
      </c>
      <c r="J103" s="11602" t="n"/>
      <c r="AA103" s="11612">
        <f>B103</f>
        <v/>
      </c>
      <c r="AB103" s="4">
        <f>ROUND(D103,2)</f>
        <v/>
      </c>
      <c r="AC103" s="4">
        <f>ROUND(E103,2)</f>
        <v/>
      </c>
      <c r="AD103" s="4">
        <f>ROUND(F103,2)</f>
        <v/>
      </c>
      <c r="AE103" s="4">
        <f>ROUND(G103,2)</f>
        <v/>
      </c>
      <c r="AF103" s="4" t="n"/>
    </row>
    <row r="104">
      <c r="A104" s="11602" t="n"/>
      <c r="B104" s="4680" t="n">
        <v>8</v>
      </c>
      <c r="C104" s="4678" t="inlineStr">
        <is>
          <t>Foreign country or U.S. possession</t>
        </is>
      </c>
      <c r="D104" s="606" t="n"/>
      <c r="E104" s="607" t="n"/>
      <c r="F104" s="607" t="n"/>
      <c r="G104" s="607" t="n"/>
      <c r="H104" s="4697">
        <f>" - - - -"</f>
        <v/>
      </c>
      <c r="I104" s="4698">
        <f>IF(ForeignTaxPaid_DIV&gt;0,"Check Form 1116, Foreign Tax Credit","")</f>
        <v/>
      </c>
      <c r="J104" s="11602" t="n"/>
      <c r="AA104" s="11612">
        <f>B104</f>
        <v/>
      </c>
      <c r="AB104" s="4" t="n"/>
      <c r="AC104" s="4" t="n"/>
      <c r="AD104" s="4" t="n"/>
      <c r="AE104" s="4" t="n"/>
      <c r="AF104" s="4" t="n"/>
    </row>
    <row r="105">
      <c r="A105" s="11602" t="n"/>
      <c r="B105" s="4680" t="n">
        <v>9</v>
      </c>
      <c r="C105" s="4678" t="inlineStr">
        <is>
          <t>Cash liquidation distributions</t>
        </is>
      </c>
      <c r="D105" s="606" t="n"/>
      <c r="E105" s="607" t="n"/>
      <c r="F105" s="607" t="n"/>
      <c r="G105" s="607" t="n"/>
      <c r="H105" s="4694">
        <f>ROUND(SUM(D18:H18,D47:H47,D76:H76,D105:G105),0)</f>
        <v/>
      </c>
      <c r="I105" s="4681" t="n"/>
      <c r="J105" s="11602" t="n"/>
      <c r="AA105" s="11612">
        <f>B105</f>
        <v/>
      </c>
      <c r="AB105" s="4">
        <f>ROUND(D105,0)</f>
        <v/>
      </c>
      <c r="AC105" s="4">
        <f>ROUND(E105,0)</f>
        <v/>
      </c>
      <c r="AD105" s="4">
        <f>ROUND(F105,0)</f>
        <v/>
      </c>
      <c r="AE105" s="4">
        <f>ROUND(G105,0)</f>
        <v/>
      </c>
      <c r="AF105" s="4" t="n"/>
    </row>
    <row r="106">
      <c r="A106" s="11602" t="n"/>
      <c r="B106" s="4680" t="n">
        <v>10</v>
      </c>
      <c r="C106" s="4678" t="inlineStr">
        <is>
          <t>Noncash liquidation distributions</t>
        </is>
      </c>
      <c r="D106" s="606" t="n"/>
      <c r="E106" s="607" t="n"/>
      <c r="F106" s="607" t="n"/>
      <c r="G106" s="607" t="n"/>
      <c r="H106" s="4694">
        <f>ROUND(SUM(D19:H19,D48:H48,D77:H77,D106:G106),0)</f>
        <v/>
      </c>
      <c r="I106" s="4693" t="n"/>
      <c r="J106" s="11602" t="n"/>
      <c r="AA106" s="11612">
        <f>B106</f>
        <v/>
      </c>
      <c r="AB106" s="4">
        <f>ROUND(D106,0)</f>
        <v/>
      </c>
      <c r="AC106" s="4">
        <f>ROUND(E106,0)</f>
        <v/>
      </c>
      <c r="AD106" s="4">
        <f>ROUND(F106,0)</f>
        <v/>
      </c>
      <c r="AE106" s="4">
        <f>ROUND(G106,0)</f>
        <v/>
      </c>
      <c r="AF106" s="4" t="n"/>
    </row>
    <row r="107">
      <c r="A107" s="11602" t="n"/>
      <c r="B107" s="4680" t="n">
        <v>11</v>
      </c>
      <c r="C107" s="4678" t="inlineStr">
        <is>
          <t>FATCA filing requirement</t>
        </is>
      </c>
      <c r="D107" s="606" t="n"/>
      <c r="E107" s="607" t="n"/>
      <c r="F107" s="607" t="n"/>
      <c r="G107" s="607" t="n"/>
      <c r="H107" s="4697">
        <f>" - - - -"</f>
        <v/>
      </c>
      <c r="I107" s="3298" t="n"/>
      <c r="J107" s="4665" t="n"/>
      <c r="Z107" s="656" t="n"/>
      <c r="AA107" s="11612">
        <f>B107</f>
        <v/>
      </c>
      <c r="AB107" s="4">
        <f>ROUND(D107,2)</f>
        <v/>
      </c>
      <c r="AC107" s="4">
        <f>ROUND(E107,2)</f>
        <v/>
      </c>
      <c r="AD107" s="4">
        <f>ROUND(F107,2)</f>
        <v/>
      </c>
      <c r="AE107" s="4">
        <f>ROUND(G107,2)</f>
        <v/>
      </c>
      <c r="AF107" s="4" t="n"/>
    </row>
    <row r="108">
      <c r="A108" s="11602" t="n"/>
      <c r="B108" s="4675" t="n">
        <v>12</v>
      </c>
      <c r="C108" s="4676" t="inlineStr">
        <is>
          <t>Exempt-interest dividends</t>
        </is>
      </c>
      <c r="D108" s="606" t="n"/>
      <c r="E108" s="607" t="n"/>
      <c r="F108" s="607" t="n"/>
      <c r="G108" s="607" t="n"/>
      <c r="H108" s="4125">
        <f>ROUND(SUM(D21:H21,D50:H50,D79:H79,D108:G108),0)</f>
        <v/>
      </c>
      <c r="I108" s="4693" t="inlineStr">
        <is>
          <t>Form 1040, Line 2a</t>
        </is>
      </c>
      <c r="J108" s="11602" t="n"/>
      <c r="Z108" s="8648" t="n"/>
      <c r="AA108" s="11612">
        <f>B108</f>
        <v/>
      </c>
      <c r="AB108" s="4">
        <f>ROUND(D108,2)</f>
        <v/>
      </c>
      <c r="AC108" s="4">
        <f>ROUND(E108,2)</f>
        <v/>
      </c>
      <c r="AD108" s="4">
        <f>ROUND(F108,2)</f>
        <v/>
      </c>
      <c r="AE108" s="4">
        <f>ROUND(G108,2)</f>
        <v/>
      </c>
      <c r="AF108" s="4" t="n"/>
    </row>
    <row r="109">
      <c r="A109" s="11602" t="n"/>
      <c r="B109" s="4675" t="n">
        <v>13</v>
      </c>
      <c r="C109" s="4676" t="inlineStr">
        <is>
          <t>Specified private activity bond interest dividends</t>
        </is>
      </c>
      <c r="D109" s="606" t="n"/>
      <c r="E109" s="607" t="n"/>
      <c r="F109" s="607" t="n"/>
      <c r="G109" s="607" t="n"/>
      <c r="H109" s="4125">
        <f>ROUND(SUM(D22:H22,D51:H51,D80:H80,D109:G109),0)</f>
        <v/>
      </c>
      <c r="I109" s="4693" t="inlineStr">
        <is>
          <t>Form 6251, Line 2g</t>
        </is>
      </c>
      <c r="J109" s="11602" t="n"/>
      <c r="Z109" s="8648" t="n"/>
      <c r="AA109" s="11612">
        <f>B109</f>
        <v/>
      </c>
      <c r="AB109" s="4">
        <f>ROUND(D109,2)</f>
        <v/>
      </c>
      <c r="AC109" s="4">
        <f>ROUND(E109,2)</f>
        <v/>
      </c>
      <c r="AD109" s="4">
        <f>ROUND(F109,2)</f>
        <v/>
      </c>
      <c r="AE109" s="4">
        <f>ROUND(G109,2)</f>
        <v/>
      </c>
      <c r="AF109" s="4" t="n"/>
    </row>
    <row r="110">
      <c r="A110" s="11602" t="n"/>
      <c r="B110" s="4680" t="n">
        <v>14</v>
      </c>
      <c r="C110" s="4678" t="inlineStr">
        <is>
          <t>State</t>
        </is>
      </c>
      <c r="D110" s="595" t="n"/>
      <c r="E110" s="596" t="n"/>
      <c r="F110" s="596" t="n"/>
      <c r="G110" s="596" t="n"/>
      <c r="H110" s="4697">
        <f>" - - - -"</f>
        <v/>
      </c>
      <c r="I110" s="4693" t="n"/>
      <c r="J110" s="11602" t="n"/>
      <c r="AA110" s="11612">
        <f>B110</f>
        <v/>
      </c>
      <c r="AB110" s="4" t="n"/>
      <c r="AC110" s="4" t="n"/>
      <c r="AD110" s="4" t="n"/>
      <c r="AE110" s="4" t="n"/>
      <c r="AF110" s="4" t="n"/>
    </row>
    <row r="111">
      <c r="A111" s="11602" t="n"/>
      <c r="B111" s="4680" t="n">
        <v>15</v>
      </c>
      <c r="C111" s="4678" t="inlineStr">
        <is>
          <t>State identification no.</t>
        </is>
      </c>
      <c r="D111" s="597" t="n"/>
      <c r="E111" s="598" t="n"/>
      <c r="F111" s="598" t="n"/>
      <c r="G111" s="598" t="n"/>
      <c r="H111" s="4697">
        <f>" - - - -"</f>
        <v/>
      </c>
      <c r="I111" s="4693" t="n"/>
      <c r="J111" s="11602" t="n"/>
      <c r="AA111" s="11612">
        <f>B111</f>
        <v/>
      </c>
      <c r="AB111" s="4" t="n"/>
      <c r="AC111" s="4" t="n"/>
      <c r="AD111" s="4" t="n"/>
      <c r="AE111" s="4" t="n"/>
      <c r="AF111" s="4" t="n"/>
    </row>
    <row r="112" ht="13.5" customHeight="1" s="7635" thickBot="1">
      <c r="A112" s="11602" t="n"/>
      <c r="B112" s="4682" t="n">
        <v>16</v>
      </c>
      <c r="C112" s="4683" t="inlineStr">
        <is>
          <t>State tax withheld</t>
        </is>
      </c>
      <c r="D112" s="616" t="n"/>
      <c r="E112" s="617" t="n"/>
      <c r="F112" s="617" t="n"/>
      <c r="G112" s="617" t="n"/>
      <c r="H112" s="4126">
        <f>ROUND(SUM(D25:H25,D54:H54,D83:H83,D112:G112),0)</f>
        <v/>
      </c>
      <c r="I112" s="4693" t="inlineStr">
        <is>
          <t>Sch. A, Line 5a and Form 8960, Line 9b</t>
        </is>
      </c>
      <c r="J112" s="11602" t="n"/>
      <c r="Z112" s="8648" t="n"/>
      <c r="AA112" s="11612">
        <f>B112</f>
        <v/>
      </c>
      <c r="AB112" s="4">
        <f>ROUND(D112,2)</f>
        <v/>
      </c>
      <c r="AC112" s="4">
        <f>ROUND(E112,2)</f>
        <v/>
      </c>
      <c r="AD112" s="4">
        <f>ROUND(F112,2)</f>
        <v/>
      </c>
      <c r="AE112" s="4">
        <f>ROUND(G112,2)</f>
        <v/>
      </c>
      <c r="AF112" s="4" t="n"/>
    </row>
    <row r="113" ht="17.25" customHeight="1" s="7635">
      <c r="A113" s="88" t="n"/>
      <c r="B113" s="580" t="inlineStr">
        <is>
          <t xml:space="preserve">  Only bolded amounts are used in this spreadsheet.</t>
        </is>
      </c>
      <c r="C113" s="88" t="n"/>
      <c r="D113" s="512">
        <f>D94&gt;D93</f>
        <v/>
      </c>
      <c r="E113" s="512">
        <f>E94&gt;E93</f>
        <v/>
      </c>
      <c r="F113" s="512">
        <f>F94&gt;F93</f>
        <v/>
      </c>
      <c r="G113" s="512">
        <f>G94&gt;G93</f>
        <v/>
      </c>
      <c r="H113" s="441" t="n"/>
      <c r="I113" s="4684">
        <f>OR(D113:G113)</f>
        <v/>
      </c>
      <c r="J113" s="11602" t="n"/>
    </row>
    <row r="114" customFormat="1" s="9160">
      <c r="D114" s="9160">
        <f>IF(D90&lt;&gt;"",D90,"")</f>
        <v/>
      </c>
      <c r="E114" s="9160">
        <f>IF(E90&lt;&gt;"",E90,"")</f>
        <v/>
      </c>
      <c r="F114" s="9160">
        <f>IF(F90&lt;&gt;"",F90,"")</f>
        <v/>
      </c>
      <c r="G114" s="9160">
        <f>IF(G90&lt;&gt;"",G90,"")</f>
        <v/>
      </c>
      <c r="K114" s="11886" t="n"/>
      <c r="L114" s="715" t="n"/>
      <c r="M114" s="715" t="n"/>
      <c r="N114" s="715" t="n"/>
      <c r="O114" s="715" t="n"/>
      <c r="P114" s="715" t="n"/>
      <c r="Q114" s="715" t="n"/>
      <c r="R114" s="715" t="n"/>
      <c r="S114" s="715" t="n"/>
      <c r="T114" s="715" t="n"/>
      <c r="U114" s="715" t="n"/>
      <c r="V114" s="715" t="n"/>
      <c r="W114" s="715" t="n"/>
      <c r="X114" s="715" t="n"/>
      <c r="Y114" s="656" t="n"/>
      <c r="AA114" s="4685" t="n"/>
    </row>
    <row r="115" customFormat="1" s="9160">
      <c r="D115" s="9160">
        <f>IF(D91&lt;&gt;"", " - "&amp;D91,"")</f>
        <v/>
      </c>
      <c r="E115" s="9160">
        <f>IF(E91&lt;&gt;"", " - "&amp;E91,"")</f>
        <v/>
      </c>
      <c r="F115" s="9160">
        <f>IF(F91&lt;&gt;"", " - "&amp;F91,"")</f>
        <v/>
      </c>
      <c r="G115" s="9160">
        <f>IF(G91&lt;&gt;"", " - "&amp;G91,"")</f>
        <v/>
      </c>
      <c r="K115" s="11886" t="n"/>
      <c r="L115" s="715" t="n"/>
      <c r="M115" s="715" t="n"/>
      <c r="N115" s="715" t="n"/>
      <c r="O115" s="715" t="n"/>
      <c r="P115" s="715" t="n"/>
      <c r="Q115" s="715" t="n"/>
      <c r="R115" s="715" t="n"/>
      <c r="S115" s="715" t="n"/>
      <c r="T115" s="715" t="n"/>
      <c r="U115" s="715" t="n"/>
      <c r="V115" s="715" t="n"/>
      <c r="W115" s="715" t="n"/>
      <c r="X115" s="715" t="n"/>
      <c r="Y115" s="656" t="n"/>
      <c r="AA115" s="4685" t="n"/>
    </row>
    <row r="116" customFormat="1" s="9160">
      <c r="D116" s="9160">
        <f>IF(D92&lt;&gt;""," - "&amp;D92,"")</f>
        <v/>
      </c>
      <c r="E116" s="9160">
        <f>IF(E92&lt;&gt;""," - "&amp;E92,"")</f>
        <v/>
      </c>
      <c r="F116" s="9160">
        <f>IF(F92&lt;&gt;""," - "&amp;F92,"")</f>
        <v/>
      </c>
      <c r="G116" s="9160">
        <f>IF(G92&lt;&gt;""," - "&amp;G92,"")</f>
        <v/>
      </c>
      <c r="K116" s="11886" t="n"/>
      <c r="L116" s="715" t="n"/>
      <c r="M116" s="715" t="n"/>
      <c r="N116" s="715" t="n"/>
      <c r="O116" s="715" t="n"/>
      <c r="P116" s="715" t="n"/>
      <c r="Q116" s="715" t="n"/>
      <c r="R116" s="715" t="n"/>
      <c r="S116" s="715" t="n"/>
      <c r="T116" s="715" t="n"/>
      <c r="U116" s="715" t="n"/>
      <c r="V116" s="715" t="n"/>
      <c r="W116" s="715" t="n"/>
      <c r="X116" s="715" t="n"/>
      <c r="Y116" s="656" t="n"/>
      <c r="AA116" s="4685" t="n"/>
    </row>
    <row r="117" ht="13.5" customFormat="1" customHeight="1" s="9160" thickBot="1">
      <c r="D117" s="8608">
        <f>IF(D93="","",D114&amp;D115&amp;D116)</f>
        <v/>
      </c>
      <c r="E117" s="8608">
        <f>IF(E93="","",E114&amp;E115&amp;E116)</f>
        <v/>
      </c>
      <c r="F117" s="8608">
        <f>IF(F93="","",F114&amp;F115&amp;F116)</f>
        <v/>
      </c>
      <c r="G117" s="8608">
        <f>IF(G93="","",G114&amp;G115&amp;G116)</f>
        <v/>
      </c>
      <c r="H117" s="4699" t="n"/>
      <c r="K117" s="11886" t="n"/>
      <c r="L117" s="715" t="n"/>
      <c r="M117" s="715" t="n"/>
      <c r="N117" s="715" t="n"/>
      <c r="O117" s="715" t="n"/>
      <c r="P117" s="715" t="n"/>
      <c r="Q117" s="715" t="n"/>
      <c r="R117" s="715" t="n"/>
      <c r="S117" s="715" t="n"/>
      <c r="T117" s="715" t="n"/>
      <c r="U117" s="715" t="n"/>
      <c r="V117" s="715" t="n"/>
      <c r="W117" s="715" t="n"/>
      <c r="X117" s="715" t="n"/>
      <c r="Y117" s="656" t="n"/>
      <c r="AA117" s="4685" t="n"/>
    </row>
    <row r="118" ht="13.5" customHeight="1" s="7635" thickTop="1">
      <c r="A118" s="9668" t="n"/>
      <c r="G118" s="11612" t="inlineStr">
        <is>
          <t>Total of 1099-INT and 1099-DIV income:</t>
        </is>
      </c>
      <c r="H118" s="4">
        <f>SUM(ROUND('1099-INT'!I65,0),'1099-DIV'!H93)</f>
        <v/>
      </c>
      <c r="I118" s="8648">
        <f>"Sch. B required if &gt;"&amp;TEXT(H119,"$0,000")&amp;"."</f>
        <v/>
      </c>
    </row>
    <row r="119">
      <c r="H119" s="9799" t="n">
        <v>1500</v>
      </c>
      <c r="I119" s="4700">
        <f>H118&gt;H119</f>
        <v/>
      </c>
    </row>
    <row r="121" ht="13.5" customHeight="1" s="7635" thickBot="1"/>
    <row r="122">
      <c r="C122" s="4701" t="n"/>
    </row>
    <row r="123">
      <c r="C123" s="4636" t="inlineStr">
        <is>
          <t>Table of Contents</t>
        </is>
      </c>
    </row>
    <row r="124" ht="13.5" customHeight="1" s="7635" thickBot="1">
      <c r="C124" s="4702" t="n"/>
    </row>
  </sheetData>
  <sheetProtection selectLockedCells="0" selectUnlockedCells="0" algorithmName="SHA-512" sheet="1" objects="1" insertRows="1" insertHyperlinks="1" autoFilter="1" scenarios="1" formatColumns="0" deleteColumns="1" insertColumns="1" pivotTables="1" deleteRows="1" formatCells="0" saltValue="sDrtyuJLbgYn78G8IJ4cLw==" formatRows="0" sort="1" spinCount="100000" hashValue="zSNcocw1gp7bHIk3nNK5JyGS5Si1Q/zf7PDvzIDsfcNbk3atKT8n/kp59zqs14vFEapYD6a1LY2l4xI+fVU/5g=="/>
  <conditionalFormatting sqref="D8:D20">
    <cfRule type="expression" priority="8" dxfId="121">
      <formula>IF(NoColor,1,0)</formula>
    </cfRule>
  </conditionalFormatting>
  <conditionalFormatting sqref="D90:G112">
    <cfRule type="expression" priority="2" dxfId="121">
      <formula>IF(NoColor,1,0)</formula>
    </cfRule>
  </conditionalFormatting>
  <conditionalFormatting sqref="D93:G94">
    <cfRule type="expression" priority="15" dxfId="14">
      <formula>D$113</formula>
    </cfRule>
  </conditionalFormatting>
  <conditionalFormatting sqref="D2:H7">
    <cfRule type="expression" priority="55" dxfId="121">
      <formula>IF(NoColor,1,0)</formula>
    </cfRule>
  </conditionalFormatting>
  <conditionalFormatting sqref="D6:H7">
    <cfRule type="expression" priority="27" dxfId="14">
      <formula>D$26</formula>
    </cfRule>
  </conditionalFormatting>
  <conditionalFormatting sqref="D21:H25">
    <cfRule type="expression" priority="39" dxfId="121">
      <formula>IF(NoColor,1,0)</formula>
    </cfRule>
  </conditionalFormatting>
  <conditionalFormatting sqref="D31:H54">
    <cfRule type="expression" priority="6" dxfId="121">
      <formula>IF(NoColor,1,0)</formula>
    </cfRule>
  </conditionalFormatting>
  <conditionalFormatting sqref="D35:H36">
    <cfRule type="expression" priority="23" dxfId="14">
      <formula>D$55</formula>
    </cfRule>
  </conditionalFormatting>
  <conditionalFormatting sqref="D60:H83">
    <cfRule type="expression" priority="4" dxfId="121">
      <formula>IF(NoColor,1,0)</formula>
    </cfRule>
  </conditionalFormatting>
  <conditionalFormatting sqref="D64:H65">
    <cfRule type="expression" priority="19" dxfId="14">
      <formula>D$84</formula>
    </cfRule>
  </conditionalFormatting>
  <conditionalFormatting sqref="D89:H89">
    <cfRule type="expression" priority="30" dxfId="121">
      <formula>IF(NoColor,1,0)</formula>
    </cfRule>
  </conditionalFormatting>
  <conditionalFormatting sqref="E6:H20">
    <cfRule type="expression" priority="9" dxfId="121">
      <formula>IF(NoColor,1,0)</formula>
    </cfRule>
  </conditionalFormatting>
  <conditionalFormatting sqref="H90:H112">
    <cfRule type="expression" priority="1" dxfId="6">
      <formula>NoColor</formula>
    </cfRule>
  </conditionalFormatting>
  <conditionalFormatting sqref="I93:I94">
    <cfRule type="expression" priority="13" dxfId="158">
      <formula>I$113</formula>
    </cfRule>
  </conditionalFormatting>
  <hyperlinks>
    <hyperlink ref="C123" location="'Table of Contents'!A1" display="Table of Contents"/>
  </hyperlinks>
  <pageMargins left="0.75" right="0.25" top="0.36" bottom="0.29" header="0.36" footer="0.21"/>
  <pageSetup orientation="landscape" scale="57" fitToHeight="0"/>
  <rowBreaks count="1" manualBreakCount="1">
    <brk id="55" min="0" max="9" man="1"/>
  </rowBreaks>
</worksheet>
</file>

<file path=xl/worksheets/sheet8.xml><?xml version="1.0" encoding="utf-8"?>
<worksheet xmlns="http://schemas.openxmlformats.org/spreadsheetml/2006/main">
  <sheetPr>
    <outlinePr summaryBelow="1" summaryRight="1"/>
    <pageSetUpPr fitToPage="1"/>
  </sheetPr>
  <dimension ref="A1:AA44"/>
  <sheetViews>
    <sheetView zoomScaleNormal="100" zoomScaleSheetLayoutView="100" workbookViewId="0">
      <pane ySplit="1" topLeftCell="A2" activePane="bottomLeft" state="frozen"/>
      <selection activeCell="E24" sqref="E24"/>
      <selection pane="bottomLeft" activeCell="A1" sqref="A1"/>
    </sheetView>
  </sheetViews>
  <sheetFormatPr baseColWidth="8" defaultRowHeight="12.75"/>
  <cols>
    <col width="2.5703125" customWidth="1" style="7635" min="1" max="1"/>
    <col width="4.42578125" customWidth="1" style="7635" min="2" max="2"/>
    <col width="45.7109375" customWidth="1" style="7635" min="3" max="3"/>
    <col width="19.85546875" customWidth="1" style="7635" min="4" max="10"/>
    <col width="46.42578125" customWidth="1" style="7635" min="11" max="11"/>
    <col width="5.5703125" customWidth="1" style="7635" min="12" max="12"/>
    <col width="9.140625" customWidth="1" style="1021" min="13" max="27"/>
  </cols>
  <sheetData>
    <row r="1" ht="42" customHeight="1" s="7635" thickBot="1">
      <c r="A1" s="4660" t="n"/>
      <c r="B1" s="4568" t="inlineStr">
        <is>
          <t>Form 1099-G, Certain Government Payments</t>
        </is>
      </c>
      <c r="C1" s="4661" t="n"/>
      <c r="D1" s="4662" t="n"/>
      <c r="E1" s="4730">
        <f>IF(FALSE,"After Form 1040 and Schedule 1 are complete,"&amp;CHAR(10)&amp;" be sure to review 'Sch. 1 Line 8 WS', line 1.",IF(FALSE,"'Sch. 1 Line 8 WS', line 1, has been Updated.",""))</f>
        <v/>
      </c>
      <c r="F1" s="4662" t="n"/>
      <c r="G1" s="4662" t="n"/>
      <c r="H1" s="4662" t="n"/>
      <c r="I1" s="4662" t="n"/>
      <c r="J1" s="4662" t="n"/>
      <c r="K1" s="4662" t="n"/>
      <c r="L1" s="7825" t="n"/>
      <c r="M1" s="655" t="inlineStr">
        <is>
          <t>Notes</t>
        </is>
      </c>
      <c r="N1" s="656" t="n"/>
      <c r="O1" s="656" t="n"/>
      <c r="P1" s="656" t="n"/>
      <c r="Q1" s="656" t="n"/>
      <c r="R1" s="656" t="n"/>
      <c r="S1" s="656" t="n"/>
      <c r="T1" s="656" t="n"/>
      <c r="U1" s="656" t="n"/>
      <c r="V1" s="656" t="n"/>
      <c r="W1" s="656" t="n"/>
      <c r="X1" s="656" t="n"/>
      <c r="Y1" s="656" t="n"/>
      <c r="Z1" s="656" t="n"/>
      <c r="AA1" s="656" t="n"/>
    </row>
    <row r="2" ht="42" customHeight="1" s="7635" thickBot="1" thickTop="1">
      <c r="A2" s="257" t="n"/>
      <c r="B2" s="1534" t="n"/>
      <c r="C2" s="4664">
        <f>IF(Name_1st_Yours="","Enter your name on the"&amp;CHAR(10)&amp;"sheet labeled '1040'",NameYours)</f>
        <v/>
      </c>
      <c r="D2" s="458" t="inlineStr">
        <is>
          <t>Payer #1</t>
        </is>
      </c>
      <c r="E2" s="458" t="inlineStr">
        <is>
          <t>Payer #2</t>
        </is>
      </c>
      <c r="F2" s="458" t="inlineStr">
        <is>
          <t>Payer #3</t>
        </is>
      </c>
      <c r="G2" s="458" t="inlineStr">
        <is>
          <t>Payer #4</t>
        </is>
      </c>
      <c r="H2" s="458" t="inlineStr">
        <is>
          <t>Payer #5</t>
        </is>
      </c>
      <c r="I2" s="458" t="inlineStr">
        <is>
          <t>Payer #6</t>
        </is>
      </c>
      <c r="J2" s="458" t="inlineStr">
        <is>
          <t>Your Total</t>
        </is>
      </c>
      <c r="K2" s="4720" t="inlineStr">
        <is>
          <t>Used at:</t>
        </is>
      </c>
      <c r="L2" s="4665" t="n"/>
      <c r="M2" s="656" t="n"/>
      <c r="N2" s="656" t="n"/>
      <c r="O2" s="656" t="n"/>
      <c r="P2" s="656" t="n"/>
      <c r="Q2" s="656" t="n"/>
      <c r="R2" s="656" t="n"/>
      <c r="S2" s="656" t="n"/>
      <c r="T2" s="656" t="n"/>
      <c r="U2" s="656" t="n"/>
      <c r="V2" s="656" t="n"/>
      <c r="W2" s="656" t="n"/>
      <c r="X2" s="656" t="n"/>
      <c r="Y2" s="656" t="n"/>
      <c r="Z2" s="656" t="n"/>
      <c r="AA2" s="656" t="n"/>
    </row>
    <row r="3" ht="12.75" customHeight="1" s="7635">
      <c r="A3" s="11602" t="n"/>
      <c r="B3" s="4666" t="n"/>
      <c r="C3" s="4667" t="inlineStr">
        <is>
          <t>PAYER's name</t>
        </is>
      </c>
      <c r="D3" s="601" t="n"/>
      <c r="E3" s="602" t="n"/>
      <c r="F3" s="602" t="n"/>
      <c r="G3" s="602" t="n"/>
      <c r="H3" s="602" t="n"/>
      <c r="I3" s="602" t="n"/>
      <c r="J3" s="4687" t="n"/>
      <c r="K3" s="3298" t="n"/>
      <c r="L3" s="4665" t="n"/>
      <c r="M3" s="656" t="n"/>
      <c r="N3" s="656" t="n"/>
      <c r="O3" s="656" t="n"/>
      <c r="P3" s="656" t="n"/>
      <c r="Q3" s="656" t="n"/>
      <c r="R3" s="656" t="n"/>
      <c r="S3" s="656" t="n"/>
      <c r="T3" s="656" t="n"/>
      <c r="U3" s="656" t="n"/>
      <c r="V3" s="656" t="n"/>
      <c r="W3" s="656" t="n"/>
      <c r="X3" s="656" t="n"/>
      <c r="Y3" s="656" t="n"/>
      <c r="Z3" s="656" t="n"/>
      <c r="AA3" s="656" t="n"/>
    </row>
    <row r="4">
      <c r="A4" s="11602" t="n"/>
      <c r="B4" s="4668" t="n"/>
      <c r="C4" s="4669" t="inlineStr">
        <is>
          <t>PAYER's TIN</t>
        </is>
      </c>
      <c r="D4" s="629" t="n"/>
      <c r="E4" s="630" t="n"/>
      <c r="F4" s="630" t="n"/>
      <c r="G4" s="630" t="n"/>
      <c r="H4" s="630" t="n"/>
      <c r="I4" s="630" t="n"/>
      <c r="J4" s="4689" t="n"/>
      <c r="K4" s="3298" t="n"/>
      <c r="L4" s="4665" t="n"/>
      <c r="M4" s="656" t="n"/>
      <c r="N4" s="656" t="n"/>
      <c r="O4" s="656" t="n"/>
      <c r="P4" s="656" t="n"/>
      <c r="Q4" s="656" t="n"/>
      <c r="R4" s="656" t="n"/>
      <c r="S4" s="656" t="n"/>
      <c r="T4" s="656" t="n"/>
      <c r="U4" s="656" t="n"/>
      <c r="V4" s="656" t="n"/>
      <c r="W4" s="656" t="n"/>
      <c r="X4" s="656" t="n"/>
      <c r="Y4" s="656" t="n"/>
      <c r="Z4" s="656" t="n"/>
      <c r="AA4" s="656" t="n"/>
    </row>
    <row r="5" ht="13.5" customHeight="1" s="7635" thickBot="1">
      <c r="A5" s="11602" t="n"/>
      <c r="B5" s="4670" t="n"/>
      <c r="C5" s="4671" t="inlineStr">
        <is>
          <t>Account number</t>
        </is>
      </c>
      <c r="D5" s="632" t="n"/>
      <c r="E5" s="633" t="n"/>
      <c r="F5" s="633" t="n"/>
      <c r="G5" s="633" t="n"/>
      <c r="H5" s="633" t="n"/>
      <c r="I5" s="633" t="n"/>
      <c r="J5" s="4691" t="n"/>
      <c r="K5" s="3298" t="n"/>
      <c r="L5" s="4665" t="n"/>
      <c r="M5" s="656" t="n"/>
      <c r="N5" s="656" t="n"/>
      <c r="O5" s="656" t="n"/>
      <c r="P5" s="656" t="n"/>
      <c r="Q5" s="656" t="n"/>
      <c r="R5" s="656" t="n"/>
      <c r="S5" s="656" t="n"/>
      <c r="T5" s="656" t="n"/>
      <c r="U5" s="656" t="n"/>
      <c r="V5" s="656" t="n"/>
      <c r="W5" s="656" t="n"/>
      <c r="X5" s="656" t="n"/>
      <c r="Y5" s="656" t="n"/>
      <c r="Z5" s="656" t="n"/>
      <c r="AA5" s="656" t="n"/>
    </row>
    <row r="6" ht="13.5" customHeight="1" s="7635">
      <c r="A6" s="11602" t="n"/>
      <c r="B6" s="4731" t="inlineStr">
        <is>
          <t>1</t>
        </is>
      </c>
      <c r="C6" s="4673" t="inlineStr">
        <is>
          <t>Unemployment Compensation</t>
        </is>
      </c>
      <c r="D6" s="604" t="n"/>
      <c r="E6" s="605" t="n"/>
      <c r="F6" s="605" t="n"/>
      <c r="G6" s="605" t="n"/>
      <c r="H6" s="605" t="n"/>
      <c r="I6" s="605" t="n"/>
      <c r="J6" s="4732">
        <f>ROUND(SUM(D6:I6),0)</f>
        <v/>
      </c>
      <c r="K6" s="4733" t="inlineStr">
        <is>
          <t>Sch. 1 Line 8 WS', line 7</t>
        </is>
      </c>
      <c r="L6" s="4665" t="n"/>
      <c r="M6" s="656" t="n"/>
      <c r="N6" s="656" t="n"/>
      <c r="O6" s="656" t="n"/>
      <c r="P6" s="656" t="n"/>
      <c r="Q6" s="656" t="n"/>
      <c r="R6" s="656" t="n"/>
      <c r="S6" s="656" t="n"/>
      <c r="T6" s="656" t="n"/>
      <c r="U6" s="656" t="n"/>
      <c r="V6" s="656" t="n"/>
      <c r="W6" s="656" t="n"/>
      <c r="X6" s="656" t="n"/>
      <c r="Y6" s="656" t="n"/>
      <c r="Z6" s="656" t="n"/>
      <c r="AA6" s="656" t="n"/>
    </row>
    <row r="7" ht="13.5" customHeight="1" s="7635">
      <c r="A7" s="11602" t="n"/>
      <c r="B7" s="4734" t="inlineStr">
        <is>
          <t>2</t>
        </is>
      </c>
      <c r="C7" s="4676" t="inlineStr">
        <is>
          <t>State or local income tax refunds, credits, offsets</t>
        </is>
      </c>
      <c r="D7" s="606" t="n"/>
      <c r="E7" s="607" t="n"/>
      <c r="F7" s="607" t="n"/>
      <c r="G7" s="607" t="n"/>
      <c r="H7" s="607" t="n"/>
      <c r="I7" s="607" t="n"/>
      <c r="J7" s="4735">
        <f>ROUND(SUM(D7:I7),0)</f>
        <v/>
      </c>
      <c r="K7" s="4736">
        <f>IF(Needs_SALT,"  See sheet labeled","   'Sch. 1, Line 1 (SALT)', line 1   [State &amp; local tax]")</f>
        <v/>
      </c>
      <c r="L7" s="4665" t="n"/>
      <c r="M7" s="656" t="n"/>
      <c r="N7" s="656" t="n"/>
      <c r="O7" s="656" t="n"/>
      <c r="P7" s="656" t="n"/>
      <c r="Q7" s="656" t="n"/>
      <c r="R7" s="656" t="n"/>
      <c r="S7" s="656" t="n"/>
      <c r="T7" s="656" t="n"/>
      <c r="U7" s="656" t="n"/>
      <c r="V7" s="656" t="n"/>
      <c r="W7" s="656" t="n"/>
      <c r="X7" s="656" t="n"/>
      <c r="Y7" s="656" t="n"/>
      <c r="Z7" s="656" t="n"/>
      <c r="AA7" s="656" t="n"/>
    </row>
    <row r="8" ht="13.5" customHeight="1" s="7635">
      <c r="A8" s="11602" t="n"/>
      <c r="B8" s="4737" t="inlineStr">
        <is>
          <t>3</t>
        </is>
      </c>
      <c r="C8" s="4679" t="inlineStr">
        <is>
          <t>Box 2 amount is for tax year</t>
        </is>
      </c>
      <c r="D8" s="984" t="n"/>
      <c r="E8" s="985" t="n"/>
      <c r="F8" s="985" t="n"/>
      <c r="G8" s="985" t="n"/>
      <c r="H8" s="985" t="n"/>
      <c r="I8" s="985" t="n"/>
      <c r="J8" s="4738" t="inlineStr">
        <is>
          <t>---</t>
        </is>
      </c>
      <c r="K8" s="4681">
        <f>IF(Needs_SALT,"'Sch. 1, Line 1 (SALT)'. (State &amp; Local Tax)","")</f>
        <v/>
      </c>
      <c r="L8" s="4665" t="n"/>
      <c r="M8" s="656" t="n"/>
      <c r="N8" s="656" t="n"/>
      <c r="O8" s="656" t="n"/>
      <c r="P8" s="656" t="n"/>
      <c r="Q8" s="656" t="n"/>
      <c r="R8" s="656" t="n"/>
      <c r="S8" s="656" t="n"/>
      <c r="T8" s="656" t="n"/>
      <c r="U8" s="656" t="n"/>
      <c r="V8" s="656" t="n"/>
      <c r="W8" s="656" t="n"/>
      <c r="X8" s="656" t="n"/>
      <c r="Y8" s="656" t="n"/>
      <c r="Z8" s="656" t="n"/>
      <c r="AA8" s="656" t="n"/>
    </row>
    <row r="9" ht="13.5" customHeight="1" s="7635">
      <c r="A9" s="11602" t="n"/>
      <c r="B9" s="4734" t="n">
        <v>4</v>
      </c>
      <c r="C9" s="4676" t="inlineStr">
        <is>
          <t>Federal income tax withheld</t>
        </is>
      </c>
      <c r="D9" s="606" t="n"/>
      <c r="E9" s="607" t="n"/>
      <c r="F9" s="607" t="n"/>
      <c r="G9" s="607" t="n"/>
      <c r="H9" s="607" t="n"/>
      <c r="I9" s="607" t="n"/>
      <c r="J9" s="4735">
        <f>ROUND(SUM(D9:I9),0)</f>
        <v/>
      </c>
      <c r="K9" s="4076" t="n"/>
      <c r="L9" s="4665" t="n"/>
      <c r="M9" s="656" t="n"/>
      <c r="N9" s="656" t="n"/>
      <c r="O9" s="656" t="n"/>
      <c r="P9" s="656" t="n"/>
      <c r="Q9" s="656" t="n"/>
      <c r="R9" s="656" t="n"/>
      <c r="S9" s="656" t="n"/>
      <c r="T9" s="656" t="n"/>
      <c r="U9" s="656" t="n"/>
      <c r="V9" s="656" t="n"/>
      <c r="W9" s="656" t="n"/>
      <c r="X9" s="656" t="n"/>
      <c r="Y9" s="656" t="n"/>
      <c r="Z9" s="656" t="n"/>
      <c r="AA9" s="656" t="n"/>
    </row>
    <row r="10">
      <c r="A10" s="11602" t="n"/>
      <c r="B10" s="4734" t="inlineStr">
        <is>
          <t>5</t>
        </is>
      </c>
      <c r="C10" s="4676" t="inlineStr">
        <is>
          <t>RTAA Payments</t>
        </is>
      </c>
      <c r="D10" s="606" t="n"/>
      <c r="E10" s="607" t="n"/>
      <c r="F10" s="607" t="n"/>
      <c r="G10" s="607" t="n"/>
      <c r="H10" s="607" t="n"/>
      <c r="I10" s="607" t="n"/>
      <c r="J10" s="4735">
        <f>ROUND(SUM(D10:I10),0)</f>
        <v/>
      </c>
      <c r="K10" s="3298" t="n"/>
      <c r="L10" s="4665" t="n"/>
      <c r="M10" s="656" t="n"/>
      <c r="N10" s="656" t="n"/>
      <c r="O10" s="656" t="n"/>
      <c r="P10" s="656" t="n"/>
      <c r="Q10" s="656" t="n"/>
      <c r="R10" s="656" t="n"/>
      <c r="S10" s="656" t="n"/>
      <c r="T10" s="656" t="n"/>
      <c r="U10" s="656" t="n"/>
      <c r="V10" s="656" t="n"/>
      <c r="W10" s="656" t="n"/>
      <c r="X10" s="656" t="n"/>
      <c r="Y10" s="656" t="n"/>
      <c r="Z10" s="656" t="n"/>
      <c r="AA10" s="656" t="n"/>
    </row>
    <row r="11">
      <c r="B11" s="2623" t="inlineStr">
        <is>
          <t>6</t>
        </is>
      </c>
      <c r="C11" s="4739" t="inlineStr">
        <is>
          <t>Taxable grants</t>
        </is>
      </c>
      <c r="D11" s="606" t="n"/>
      <c r="E11" s="607" t="n"/>
      <c r="F11" s="607" t="n"/>
      <c r="G11" s="607" t="n"/>
      <c r="H11" s="607" t="n"/>
      <c r="I11" s="607" t="n"/>
      <c r="J11" s="4735">
        <f>ROUND(SUM(D11:I11),0)</f>
        <v/>
      </c>
      <c r="K11" s="3298" t="n"/>
      <c r="L11" s="4665" t="n"/>
      <c r="M11" s="656" t="n"/>
      <c r="N11" s="656" t="n"/>
      <c r="O11" s="656" t="n"/>
      <c r="P11" s="656" t="n"/>
      <c r="Q11" s="656" t="n"/>
      <c r="R11" s="656" t="n"/>
      <c r="S11" s="656" t="n"/>
      <c r="T11" s="656" t="n"/>
      <c r="U11" s="656" t="n"/>
      <c r="V11" s="656" t="n"/>
      <c r="W11" s="656" t="n"/>
      <c r="X11" s="656" t="n"/>
      <c r="Y11" s="656" t="n"/>
      <c r="Z11" s="656" t="n"/>
      <c r="AA11" s="656" t="n"/>
    </row>
    <row r="12" customFormat="1" s="1021">
      <c r="B12" s="2623" t="inlineStr">
        <is>
          <t>7a</t>
        </is>
      </c>
      <c r="C12" s="4739" t="inlineStr">
        <is>
          <t>Agriculture payments - Disaster payments</t>
        </is>
      </c>
      <c r="D12" s="606" t="n"/>
      <c r="E12" s="607" t="n"/>
      <c r="F12" s="607" t="n"/>
      <c r="G12" s="607" t="n"/>
      <c r="H12" s="607" t="n"/>
      <c r="I12" s="607" t="n"/>
      <c r="J12" s="4735">
        <f>ROUND(SUM(D12:I12),0)</f>
        <v/>
      </c>
      <c r="K12" s="3298" t="n"/>
      <c r="L12" s="4665" t="n"/>
      <c r="M12" s="656" t="n"/>
      <c r="N12" s="656" t="n"/>
      <c r="O12" s="656" t="n"/>
      <c r="P12" s="656" t="n"/>
      <c r="Q12" s="656" t="n"/>
      <c r="R12" s="656" t="n"/>
      <c r="S12" s="656" t="n"/>
      <c r="T12" s="656" t="n"/>
      <c r="U12" s="656" t="n"/>
      <c r="V12" s="656" t="n"/>
      <c r="W12" s="656" t="n"/>
      <c r="X12" s="656" t="n"/>
      <c r="Y12" s="656" t="n"/>
      <c r="Z12" s="656" t="n"/>
      <c r="AA12" s="656" t="n"/>
    </row>
    <row r="13" customFormat="1" s="1021">
      <c r="B13" s="2623" t="inlineStr">
        <is>
          <t>7b</t>
        </is>
      </c>
      <c r="C13" s="4739" t="inlineStr">
        <is>
          <t>Agriculture payments - Other payments</t>
        </is>
      </c>
      <c r="D13" s="606" t="n"/>
      <c r="E13" s="607" t="n"/>
      <c r="F13" s="607" t="n"/>
      <c r="G13" s="607" t="n"/>
      <c r="H13" s="607" t="n"/>
      <c r="I13" s="607" t="n"/>
      <c r="J13" s="4735">
        <f>ROUND(SUM(D13:I13),0)</f>
        <v/>
      </c>
      <c r="K13" s="4684">
        <f>AND(D13="",E13="",F13="",G13="",J13="")</f>
        <v/>
      </c>
      <c r="L13" s="4665" t="n"/>
      <c r="M13" s="656" t="n"/>
      <c r="N13" s="656" t="n"/>
      <c r="O13" s="656" t="n"/>
      <c r="P13" s="656" t="n"/>
      <c r="Q13" s="656" t="n"/>
      <c r="R13" s="656" t="n"/>
      <c r="S13" s="656" t="n"/>
      <c r="T13" s="656" t="n"/>
      <c r="U13" s="656" t="n"/>
      <c r="V13" s="656" t="n"/>
      <c r="W13" s="656" t="n"/>
      <c r="X13" s="656" t="n"/>
      <c r="Y13" s="656" t="n"/>
      <c r="Z13" s="656" t="n"/>
      <c r="AA13" s="656" t="n"/>
    </row>
    <row r="14" customFormat="1" s="1021">
      <c r="B14" s="4740" t="inlineStr">
        <is>
          <t>8</t>
        </is>
      </c>
      <c r="C14" s="4741" t="inlineStr">
        <is>
          <t>Check if box 2 is trade or business income</t>
        </is>
      </c>
      <c r="D14" s="741" t="n"/>
      <c r="E14" s="742" t="n"/>
      <c r="F14" s="742" t="n"/>
      <c r="G14" s="742" t="n"/>
      <c r="H14" s="742" t="n"/>
      <c r="I14" s="742" t="n"/>
      <c r="J14" s="737" t="n"/>
      <c r="K14" s="3298" t="n"/>
      <c r="L14" s="4665" t="n"/>
      <c r="M14" s="656" t="n"/>
      <c r="N14" s="656" t="n"/>
      <c r="O14" s="656" t="n"/>
      <c r="P14" s="656" t="n"/>
      <c r="Q14" s="656" t="n"/>
      <c r="R14" s="656" t="n"/>
      <c r="S14" s="656" t="n"/>
      <c r="T14" s="656" t="n"/>
      <c r="U14" s="656" t="n"/>
      <c r="V14" s="656" t="n"/>
      <c r="W14" s="656" t="n"/>
      <c r="X14" s="656" t="n"/>
      <c r="Y14" s="656" t="n"/>
      <c r="Z14" s="656" t="n"/>
      <c r="AA14" s="656" t="n"/>
    </row>
    <row r="15" customFormat="1" s="1021">
      <c r="B15" s="2623" t="inlineStr">
        <is>
          <t>9</t>
        </is>
      </c>
      <c r="C15" s="4739" t="inlineStr">
        <is>
          <t>Market gain</t>
        </is>
      </c>
      <c r="D15" s="606" t="n"/>
      <c r="E15" s="607" t="n"/>
      <c r="F15" s="607" t="n"/>
      <c r="G15" s="607" t="n"/>
      <c r="H15" s="607" t="n"/>
      <c r="I15" s="607" t="n"/>
      <c r="J15" s="4735">
        <f>ROUND(SUM(D15:I15),0)</f>
        <v/>
      </c>
      <c r="K15" s="4684">
        <f>AND(D15="",E15="",F15="",G15="",J15="")</f>
        <v/>
      </c>
      <c r="L15" s="4665" t="n"/>
      <c r="M15" s="656" t="n"/>
      <c r="N15" s="656" t="n"/>
      <c r="O15" s="656" t="n"/>
      <c r="P15" s="656" t="n"/>
      <c r="Q15" s="656" t="n"/>
      <c r="R15" s="656" t="n"/>
      <c r="S15" s="656" t="n"/>
      <c r="T15" s="656" t="n"/>
      <c r="U15" s="656" t="n"/>
      <c r="V15" s="656" t="n"/>
      <c r="W15" s="656" t="n"/>
      <c r="X15" s="656" t="n"/>
      <c r="Y15" s="656" t="n"/>
      <c r="Z15" s="656" t="n"/>
      <c r="AA15" s="656" t="n"/>
    </row>
    <row r="16" customFormat="1" s="1021">
      <c r="B16" s="4740" t="inlineStr">
        <is>
          <t>10a</t>
        </is>
      </c>
      <c r="C16" s="4741" t="inlineStr">
        <is>
          <t>State</t>
        </is>
      </c>
      <c r="D16" s="595" t="n"/>
      <c r="E16" s="596" t="n"/>
      <c r="F16" s="596" t="n"/>
      <c r="G16" s="596" t="n"/>
      <c r="H16" s="596" t="n"/>
      <c r="I16" s="596" t="n"/>
      <c r="J16" s="4735" t="n"/>
      <c r="K16" s="3298" t="n"/>
      <c r="L16" s="4665" t="n"/>
      <c r="M16" s="656" t="n"/>
      <c r="N16" s="656" t="n"/>
      <c r="O16" s="656" t="n"/>
      <c r="P16" s="656" t="n"/>
      <c r="Q16" s="656" t="n"/>
      <c r="R16" s="656" t="n"/>
      <c r="S16" s="656" t="n"/>
      <c r="T16" s="656" t="n"/>
      <c r="U16" s="656" t="n"/>
      <c r="V16" s="656" t="n"/>
      <c r="W16" s="656" t="n"/>
      <c r="X16" s="656" t="n"/>
      <c r="Y16" s="656" t="n"/>
      <c r="Z16" s="656" t="n"/>
      <c r="AA16" s="656" t="n"/>
    </row>
    <row r="17" ht="15" customFormat="1" customHeight="1" s="1021">
      <c r="B17" s="4740" t="inlineStr">
        <is>
          <t>10b</t>
        </is>
      </c>
      <c r="C17" s="4741" t="inlineStr">
        <is>
          <t>State identification no.</t>
        </is>
      </c>
      <c r="D17" s="597" t="n"/>
      <c r="E17" s="598" t="n"/>
      <c r="F17" s="598" t="n"/>
      <c r="G17" s="598" t="n"/>
      <c r="H17" s="598" t="n"/>
      <c r="I17" s="598" t="n"/>
      <c r="J17" s="4735" t="n"/>
      <c r="K17" s="4742" t="n"/>
      <c r="L17" s="4665" t="n"/>
      <c r="M17" s="656" t="n"/>
      <c r="N17" s="656" t="n"/>
      <c r="O17" s="656" t="n"/>
      <c r="P17" s="656" t="n"/>
      <c r="Q17" s="656" t="n"/>
      <c r="R17" s="656" t="n"/>
      <c r="S17" s="656" t="n"/>
      <c r="T17" s="656" t="n"/>
      <c r="U17" s="656" t="n"/>
      <c r="V17" s="656" t="n"/>
      <c r="W17" s="656" t="n"/>
      <c r="X17" s="656" t="n"/>
      <c r="Y17" s="656" t="n"/>
      <c r="Z17" s="656" t="n"/>
      <c r="AA17" s="656" t="n"/>
    </row>
    <row r="18" ht="13.5" customHeight="1" s="7635" thickBot="1">
      <c r="A18" s="11602" t="n"/>
      <c r="B18" s="4743" t="n">
        <v>11</v>
      </c>
      <c r="C18" s="4683" t="inlineStr">
        <is>
          <t>State income tax withheld</t>
        </is>
      </c>
      <c r="D18" s="616" t="n"/>
      <c r="E18" s="617" t="n"/>
      <c r="F18" s="617" t="n"/>
      <c r="G18" s="617" t="n"/>
      <c r="H18" s="617" t="n"/>
      <c r="I18" s="617" t="n"/>
      <c r="J18" s="4744">
        <f>ROUND(SUM(D18:I18),0)</f>
        <v/>
      </c>
      <c r="K18" s="4745" t="n"/>
      <c r="L18" s="4665" t="n"/>
      <c r="M18" s="656" t="n"/>
      <c r="N18" s="656" t="n"/>
      <c r="O18" s="656" t="n"/>
      <c r="P18" s="656" t="n"/>
      <c r="Q18" s="656" t="n"/>
      <c r="R18" s="656" t="n"/>
      <c r="S18" s="656" t="n"/>
      <c r="T18" s="656" t="n"/>
      <c r="U18" s="656" t="n"/>
      <c r="V18" s="656" t="n"/>
      <c r="W18" s="656" t="n"/>
      <c r="X18" s="656" t="n"/>
      <c r="Y18" s="656" t="n"/>
      <c r="Z18" s="656" t="n"/>
      <c r="AA18" s="656" t="n"/>
    </row>
    <row r="19" ht="17.25" customHeight="1" s="7635">
      <c r="A19" s="11602" t="n"/>
      <c r="B19" s="580" t="inlineStr">
        <is>
          <t xml:space="preserve">  Only bolded amounts are used in this spreadsheet.</t>
        </is>
      </c>
      <c r="C19" s="11602" t="n"/>
      <c r="D19" s="11602" t="n"/>
      <c r="E19" s="11602" t="n"/>
      <c r="F19" s="11602" t="n"/>
      <c r="G19" s="11602" t="n"/>
      <c r="H19" s="11602" t="n"/>
      <c r="I19" s="11602" t="n"/>
      <c r="J19" s="11602" t="n"/>
      <c r="K19" s="4745" t="n"/>
      <c r="L19" s="4665" t="n"/>
      <c r="M19" s="656" t="n"/>
      <c r="N19" s="656" t="n"/>
      <c r="O19" s="656" t="n"/>
      <c r="P19" s="656" t="n"/>
      <c r="Q19" s="656" t="n"/>
      <c r="R19" s="656" t="n"/>
      <c r="S19" s="656" t="n"/>
      <c r="T19" s="656" t="n"/>
      <c r="U19" s="656" t="n"/>
      <c r="V19" s="656" t="n"/>
      <c r="W19" s="656" t="n"/>
      <c r="X19" s="656" t="n"/>
      <c r="Y19" s="656" t="n"/>
      <c r="Z19" s="656" t="n"/>
      <c r="AA19" s="656" t="n"/>
    </row>
    <row r="20" ht="13.5" customFormat="1" customHeight="1" s="9160" thickBot="1">
      <c r="A20" s="9068" t="n"/>
      <c r="B20" s="9068" t="n"/>
      <c r="C20" s="9068" t="n"/>
      <c r="D20" s="9068" t="n"/>
      <c r="E20" s="9068" t="n"/>
      <c r="F20" s="9068" t="n"/>
      <c r="G20" s="9068" t="n"/>
      <c r="H20" s="9068" t="n"/>
      <c r="I20" s="9068" t="n"/>
      <c r="J20" s="9068">
        <f>IF(J3&lt;&gt;"",J3,"")</f>
        <v/>
      </c>
      <c r="K20" s="4745" t="n"/>
      <c r="L20" s="4665" t="n"/>
      <c r="M20" s="715" t="n"/>
      <c r="N20" s="715" t="n"/>
      <c r="O20" s="715" t="n"/>
      <c r="P20" s="715" t="n"/>
      <c r="Q20" s="715" t="n"/>
      <c r="R20" s="715" t="n"/>
      <c r="S20" s="715" t="n"/>
      <c r="T20" s="715" t="n"/>
      <c r="U20" s="715" t="n"/>
      <c r="V20" s="715" t="n"/>
      <c r="W20" s="715" t="n"/>
      <c r="X20" s="715" t="n"/>
      <c r="Y20" s="715" t="n"/>
      <c r="Z20" s="715" t="n"/>
      <c r="AA20" s="715" t="n"/>
    </row>
    <row r="21" ht="42" customHeight="1" s="7635" thickBot="1" thickTop="1">
      <c r="A21" s="257" t="n"/>
      <c r="B21" s="1534" t="n"/>
      <c r="C21" s="4664">
        <f>IF(Name_1st_Sp="","Enter your spouse's name on"&amp;CHAR(10)&amp;"the sheet labeled '1040'",NameSpouse)</f>
        <v/>
      </c>
      <c r="D21" s="458" t="inlineStr">
        <is>
          <t>Payer #1</t>
        </is>
      </c>
      <c r="E21" s="458" t="inlineStr">
        <is>
          <t>Payer #2</t>
        </is>
      </c>
      <c r="F21" s="458" t="inlineStr">
        <is>
          <t>Payer #3</t>
        </is>
      </c>
      <c r="G21" s="458" t="inlineStr">
        <is>
          <t>Payer #4</t>
        </is>
      </c>
      <c r="H21" s="458" t="inlineStr">
        <is>
          <t>Payer #5</t>
        </is>
      </c>
      <c r="I21" s="458" t="inlineStr">
        <is>
          <t>Spouse Total</t>
        </is>
      </c>
      <c r="J21" s="458" t="inlineStr">
        <is>
          <t>Total</t>
        </is>
      </c>
      <c r="K21" s="4720" t="inlineStr">
        <is>
          <t>Used at:</t>
        </is>
      </c>
      <c r="L21" s="4665" t="n"/>
      <c r="M21" s="656" t="n"/>
      <c r="N21" s="656" t="n"/>
      <c r="O21" s="656" t="n"/>
      <c r="P21" s="656" t="n"/>
      <c r="Q21" s="656" t="n"/>
      <c r="R21" s="656" t="n"/>
      <c r="S21" s="656" t="n"/>
      <c r="T21" s="656" t="n"/>
      <c r="U21" s="656" t="n"/>
      <c r="V21" s="656" t="n"/>
      <c r="W21" s="656" t="n"/>
      <c r="X21" s="656" t="n"/>
      <c r="Y21" s="656" t="n"/>
      <c r="Z21" s="656" t="n"/>
      <c r="AA21" s="656" t="n"/>
    </row>
    <row r="22">
      <c r="A22" s="11602" t="n"/>
      <c r="B22" s="4666" t="n"/>
      <c r="C22" s="4667" t="inlineStr">
        <is>
          <t>PAYER's name</t>
        </is>
      </c>
      <c r="D22" s="601" t="n"/>
      <c r="E22" s="602" t="n"/>
      <c r="F22" s="602" t="n"/>
      <c r="G22" s="602" t="n"/>
      <c r="H22" s="602" t="n"/>
      <c r="I22" s="4687" t="n"/>
      <c r="J22" s="4687" t="n"/>
      <c r="K22" s="4688" t="n"/>
      <c r="L22" s="11602" t="n"/>
      <c r="M22" s="656" t="n"/>
      <c r="N22" s="656" t="n"/>
      <c r="O22" s="656" t="n"/>
      <c r="P22" s="656" t="n"/>
      <c r="Q22" s="656" t="n"/>
      <c r="R22" s="656" t="n"/>
      <c r="S22" s="656" t="n"/>
      <c r="T22" s="656" t="n"/>
      <c r="U22" s="656" t="n"/>
      <c r="V22" s="656" t="n"/>
      <c r="W22" s="656" t="n"/>
      <c r="X22" s="656" t="n"/>
      <c r="Y22" s="656" t="n"/>
      <c r="Z22" s="656" t="n"/>
      <c r="AA22" s="1022" t="n"/>
    </row>
    <row r="23">
      <c r="A23" s="11602" t="n"/>
      <c r="B23" s="4668" t="n"/>
      <c r="C23" s="4669" t="inlineStr">
        <is>
          <t>PAYER's Federal ID number</t>
        </is>
      </c>
      <c r="D23" s="629" t="n"/>
      <c r="E23" s="630" t="n"/>
      <c r="F23" s="630" t="n"/>
      <c r="G23" s="630" t="n"/>
      <c r="H23" s="630" t="n"/>
      <c r="I23" s="4689" t="n"/>
      <c r="J23" s="4689" t="n"/>
      <c r="K23" s="4690" t="n"/>
      <c r="L23" s="11602" t="n"/>
      <c r="M23" s="656" t="n"/>
      <c r="N23" s="656" t="n"/>
      <c r="O23" s="656" t="n"/>
      <c r="P23" s="656" t="n"/>
      <c r="Q23" s="656" t="n"/>
      <c r="R23" s="656" t="n"/>
      <c r="S23" s="656" t="n"/>
      <c r="T23" s="656" t="n"/>
      <c r="U23" s="656" t="n"/>
      <c r="V23" s="656" t="n"/>
      <c r="W23" s="656" t="n"/>
      <c r="X23" s="656" t="n"/>
      <c r="Y23" s="656" t="n"/>
      <c r="Z23" s="656" t="n"/>
      <c r="AA23" s="1022" t="n"/>
    </row>
    <row r="24" ht="13.5" customHeight="1" s="7635" thickBot="1">
      <c r="A24" s="11602" t="n"/>
      <c r="B24" s="4670" t="n"/>
      <c r="C24" s="4671" t="inlineStr">
        <is>
          <t>Account number</t>
        </is>
      </c>
      <c r="D24" s="632" t="n"/>
      <c r="E24" s="633" t="n"/>
      <c r="F24" s="633" t="n"/>
      <c r="G24" s="633" t="n"/>
      <c r="H24" s="633" t="n"/>
      <c r="I24" s="4691" t="n"/>
      <c r="J24" s="4691" t="n"/>
      <c r="K24" s="4690">
        <f>SUM(ForeignTaxPaid_INT,ForeignTaxPaid_DIV)</f>
        <v/>
      </c>
      <c r="L24" s="11602" t="n"/>
      <c r="M24" s="656" t="n"/>
      <c r="N24" s="656" t="n"/>
      <c r="O24" s="656" t="n"/>
      <c r="P24" s="656" t="n"/>
      <c r="Q24" s="656" t="n"/>
      <c r="R24" s="656" t="n"/>
      <c r="S24" s="656" t="n"/>
      <c r="T24" s="656" t="n"/>
      <c r="U24" s="656" t="n"/>
      <c r="V24" s="656" t="n"/>
      <c r="W24" s="656" t="n"/>
      <c r="X24" s="656" t="n"/>
      <c r="Y24" s="656" t="n"/>
      <c r="Z24" s="656" t="n"/>
      <c r="AA24" s="1022" t="n"/>
    </row>
    <row r="25" ht="13.5" customHeight="1" s="7635">
      <c r="A25" s="11602" t="n"/>
      <c r="B25" s="4731" t="inlineStr">
        <is>
          <t>1</t>
        </is>
      </c>
      <c r="C25" s="4673" t="inlineStr">
        <is>
          <t>Unemployment Compensation</t>
        </is>
      </c>
      <c r="D25" s="604" t="n"/>
      <c r="E25" s="605" t="n"/>
      <c r="F25" s="605" t="n"/>
      <c r="G25" s="605" t="n"/>
      <c r="H25" s="605" t="n"/>
      <c r="I25" s="4732">
        <f>ROUND(SUM(D25:G25),0)</f>
        <v/>
      </c>
      <c r="J25" s="4732">
        <f>SUM(UCE_You,UCE_Spouse)</f>
        <v/>
      </c>
      <c r="K25" s="4746" t="inlineStr">
        <is>
          <t>Sch. 1 Line 8 WS', line 8     /    Sch. 1, line 7</t>
        </is>
      </c>
      <c r="L25" s="11602" t="n"/>
      <c r="M25" s="656" t="n"/>
      <c r="N25" s="656" t="n"/>
      <c r="O25" s="656" t="n"/>
      <c r="P25" s="656" t="n"/>
      <c r="Q25" s="656" t="n"/>
      <c r="R25" s="656" t="n"/>
      <c r="S25" s="656" t="n"/>
      <c r="T25" s="656" t="n"/>
      <c r="U25" s="656" t="n"/>
      <c r="V25" s="656" t="n"/>
      <c r="W25" s="656" t="n"/>
      <c r="X25" s="656" t="n"/>
      <c r="Y25" s="656" t="n"/>
      <c r="Z25" s="656" t="n"/>
      <c r="AA25" s="1022" t="n"/>
    </row>
    <row r="26" ht="13.5" customHeight="1" s="7635">
      <c r="A26" s="11602" t="n"/>
      <c r="B26" s="4734" t="inlineStr">
        <is>
          <t>2</t>
        </is>
      </c>
      <c r="C26" s="4676" t="inlineStr">
        <is>
          <t>State or local income tax refunds, credits, offsets</t>
        </is>
      </c>
      <c r="D26" s="606" t="n"/>
      <c r="E26" s="607" t="n"/>
      <c r="F26" s="607" t="n"/>
      <c r="G26" s="607" t="n"/>
      <c r="H26" s="607" t="n"/>
      <c r="I26" s="4735">
        <f>ROUND(SUM(D26:G26),0)</f>
        <v/>
      </c>
      <c r="J26" s="4735">
        <f>SUM(J7,I26)</f>
        <v/>
      </c>
      <c r="K26" s="4736">
        <f>IF(Needs_SALT,"  See sheet labeled","   'Sch. 1, Line 1 (SALT)', line 1   [State &amp; local tax]")</f>
        <v/>
      </c>
      <c r="L26" s="11602" t="n"/>
      <c r="M26" s="656" t="n"/>
      <c r="N26" s="656" t="n"/>
      <c r="O26" s="656" t="n"/>
      <c r="P26" s="656" t="n"/>
      <c r="Q26" s="656" t="n"/>
      <c r="R26" s="656" t="n"/>
      <c r="S26" s="656" t="n"/>
      <c r="T26" s="656" t="n"/>
      <c r="U26" s="656" t="n"/>
      <c r="V26" s="656" t="n"/>
      <c r="W26" s="656" t="n"/>
      <c r="X26" s="656" t="n"/>
      <c r="Y26" s="656" t="n"/>
      <c r="Z26" s="656" t="n"/>
      <c r="AA26" s="1022" t="n"/>
    </row>
    <row r="27" ht="13.5" customHeight="1" s="7635">
      <c r="A27" s="11602" t="n"/>
      <c r="B27" s="4737" t="inlineStr">
        <is>
          <t>3</t>
        </is>
      </c>
      <c r="C27" s="4679" t="inlineStr">
        <is>
          <t>Box 2 amount is for tax year</t>
        </is>
      </c>
      <c r="D27" s="595" t="n"/>
      <c r="E27" s="596" t="n"/>
      <c r="F27" s="596" t="n"/>
      <c r="G27" s="596" t="n"/>
      <c r="H27" s="596" t="n"/>
      <c r="I27" s="4738" t="inlineStr">
        <is>
          <t>---</t>
        </is>
      </c>
      <c r="J27" s="4738" t="inlineStr">
        <is>
          <t>---</t>
        </is>
      </c>
      <c r="K27" s="4681">
        <f>IF(Needs_SALT,"      'Sch. 1, Line 1 (SALT)'. (State &amp; Local Tax)","")</f>
        <v/>
      </c>
      <c r="L27" s="11602" t="n"/>
      <c r="M27" s="656" t="n"/>
      <c r="N27" s="656" t="n"/>
      <c r="O27" s="656" t="n"/>
      <c r="P27" s="656" t="n"/>
      <c r="Q27" s="656" t="n"/>
      <c r="R27" s="656" t="n"/>
      <c r="S27" s="656" t="n"/>
      <c r="T27" s="656" t="n"/>
      <c r="U27" s="656" t="n"/>
      <c r="V27" s="656" t="n"/>
      <c r="W27" s="656" t="n"/>
      <c r="X27" s="656" t="n"/>
      <c r="Y27" s="656" t="n"/>
      <c r="Z27" s="656" t="n"/>
      <c r="AA27" s="1022" t="n"/>
    </row>
    <row r="28" ht="13.5" customHeight="1" s="7635">
      <c r="A28" s="11602" t="n"/>
      <c r="B28" s="4734" t="n">
        <v>4</v>
      </c>
      <c r="C28" s="4676" t="inlineStr">
        <is>
          <t>Federal income tax withheld</t>
        </is>
      </c>
      <c r="D28" s="606" t="n"/>
      <c r="E28" s="607" t="n"/>
      <c r="F28" s="607" t="n"/>
      <c r="G28" s="607" t="n"/>
      <c r="H28" s="607" t="n"/>
      <c r="I28" s="4735">
        <f>ROUND(SUM(D28:G28),0)</f>
        <v/>
      </c>
      <c r="J28" s="4735">
        <f>SUM(J9,I28)</f>
        <v/>
      </c>
      <c r="K28" s="4693" t="inlineStr">
        <is>
          <t>1040, line 25b</t>
        </is>
      </c>
      <c r="L28" s="11602" t="n"/>
      <c r="M28" s="656" t="n"/>
      <c r="N28" s="656" t="n"/>
      <c r="O28" s="656" t="n"/>
      <c r="P28" s="656" t="n"/>
      <c r="Q28" s="656" t="n"/>
      <c r="R28" s="656" t="n"/>
      <c r="S28" s="656" t="n"/>
      <c r="T28" s="656" t="n"/>
      <c r="U28" s="656" t="n"/>
      <c r="V28" s="656" t="n"/>
      <c r="W28" s="656" t="n"/>
      <c r="X28" s="656" t="n"/>
      <c r="Y28" s="656" t="n"/>
      <c r="Z28" s="656" t="n"/>
      <c r="AA28" s="1022" t="n"/>
    </row>
    <row r="29" ht="26.25" customHeight="1" s="7635">
      <c r="A29" s="11602" t="n"/>
      <c r="B29" s="4734" t="inlineStr">
        <is>
          <t>5</t>
        </is>
      </c>
      <c r="C29" s="4676" t="inlineStr">
        <is>
          <t>RTAA Payments</t>
        </is>
      </c>
      <c r="D29" s="606" t="n"/>
      <c r="E29" s="607" t="n"/>
      <c r="F29" s="607" t="n"/>
      <c r="G29" s="607" t="n"/>
      <c r="H29" s="607" t="n"/>
      <c r="I29" s="4735">
        <f>ROUND(SUM(D29:G29),0)</f>
        <v/>
      </c>
      <c r="J29" s="4735">
        <f>SUM(J10,I29)</f>
        <v/>
      </c>
      <c r="K29" s="4693" t="inlineStr">
        <is>
          <t>Sch. 1, line 8z</t>
        </is>
      </c>
      <c r="L29" s="11602" t="n"/>
      <c r="M29" s="656" t="n"/>
      <c r="N29" s="656" t="n"/>
      <c r="O29" s="656" t="n"/>
      <c r="P29" s="656" t="n"/>
      <c r="Q29" s="656" t="n"/>
      <c r="R29" s="656" t="n"/>
      <c r="S29" s="656" t="n"/>
      <c r="T29" s="656" t="n"/>
      <c r="U29" s="656" t="n"/>
      <c r="V29" s="656" t="n"/>
      <c r="W29" s="656" t="n"/>
      <c r="X29" s="656" t="n"/>
      <c r="Y29" s="656" t="n"/>
      <c r="Z29" s="656" t="n"/>
      <c r="AA29" s="1022" t="n"/>
    </row>
    <row r="30">
      <c r="A30" s="11602" t="n"/>
      <c r="B30" s="4734" t="inlineStr">
        <is>
          <t>6</t>
        </is>
      </c>
      <c r="C30" s="4676" t="inlineStr">
        <is>
          <t>Taxable grants</t>
        </is>
      </c>
      <c r="D30" s="606" t="n"/>
      <c r="E30" s="607" t="n"/>
      <c r="F30" s="607" t="n"/>
      <c r="G30" s="607" t="n"/>
      <c r="H30" s="607" t="n"/>
      <c r="I30" s="4735">
        <f>ROUND(SUM(D30:G30),0)</f>
        <v/>
      </c>
      <c r="J30" s="4735">
        <f>SUM(J11,I30)</f>
        <v/>
      </c>
      <c r="K30" s="4693" t="inlineStr">
        <is>
          <t>Sch. 1, line 8z</t>
        </is>
      </c>
      <c r="L30" s="11602" t="n"/>
      <c r="M30" s="656" t="n"/>
      <c r="N30" s="656" t="n"/>
      <c r="O30" s="656" t="n"/>
      <c r="P30" s="656" t="n"/>
      <c r="Q30" s="656" t="n"/>
      <c r="R30" s="656" t="n"/>
      <c r="S30" s="656" t="n"/>
      <c r="T30" s="656" t="n"/>
      <c r="U30" s="656" t="n"/>
      <c r="V30" s="656" t="n"/>
      <c r="W30" s="656" t="n"/>
      <c r="X30" s="656" t="n"/>
      <c r="Y30" s="656" t="n"/>
      <c r="Z30" s="656" t="n"/>
      <c r="AA30" s="1022" t="n"/>
    </row>
    <row r="31">
      <c r="A31" s="11602" t="n"/>
      <c r="B31" s="4734" t="inlineStr">
        <is>
          <t>7a</t>
        </is>
      </c>
      <c r="C31" s="4676" t="inlineStr">
        <is>
          <t>Agriculture payments - Disaster payments</t>
        </is>
      </c>
      <c r="D31" s="606" t="n"/>
      <c r="E31" s="607" t="n"/>
      <c r="F31" s="607" t="n"/>
      <c r="G31" s="607" t="n"/>
      <c r="H31" s="607" t="n"/>
      <c r="I31" s="4735">
        <f>ROUND(SUM(D31:G31),0)</f>
        <v/>
      </c>
      <c r="J31" s="4735">
        <f>SUM(J12,I31)</f>
        <v/>
      </c>
      <c r="K31" s="4693" t="inlineStr">
        <is>
          <t>Sch. F, Line 6a</t>
        </is>
      </c>
      <c r="L31" s="11602" t="n"/>
      <c r="M31" s="656" t="n"/>
      <c r="N31" s="656" t="n"/>
      <c r="O31" s="656" t="n"/>
      <c r="P31" s="656" t="n"/>
      <c r="Q31" s="656" t="n"/>
      <c r="R31" s="656" t="n"/>
      <c r="S31" s="656" t="n"/>
      <c r="T31" s="656" t="n"/>
      <c r="U31" s="656" t="n"/>
      <c r="V31" s="656" t="n"/>
      <c r="W31" s="656" t="n"/>
      <c r="X31" s="656" t="n"/>
      <c r="Y31" s="656" t="n"/>
      <c r="Z31" s="656" t="n"/>
      <c r="AA31" s="1022" t="n"/>
    </row>
    <row r="32">
      <c r="A32" s="11602" t="n"/>
      <c r="B32" s="4734" t="inlineStr">
        <is>
          <t>7b</t>
        </is>
      </c>
      <c r="C32" s="4676" t="inlineStr">
        <is>
          <t>Agriculture payments - Other payments</t>
        </is>
      </c>
      <c r="D32" s="606" t="n"/>
      <c r="E32" s="607" t="n"/>
      <c r="F32" s="607" t="n"/>
      <c r="G32" s="607" t="n"/>
      <c r="H32" s="607" t="n"/>
      <c r="I32" s="4735">
        <f>ROUND(SUM(D32:G32),0)</f>
        <v/>
      </c>
      <c r="J32" s="4735">
        <f>SUM(J13,I32)</f>
        <v/>
      </c>
      <c r="K32" s="4693" t="inlineStr">
        <is>
          <t>Sch. F, Line 4a</t>
        </is>
      </c>
      <c r="L32" s="11602" t="n"/>
      <c r="M32" s="656" t="n"/>
      <c r="N32" s="656" t="n"/>
      <c r="O32" s="656" t="n"/>
      <c r="P32" s="656" t="n"/>
      <c r="Q32" s="656" t="n"/>
      <c r="R32" s="656" t="n"/>
      <c r="S32" s="656" t="n"/>
      <c r="T32" s="656" t="n"/>
      <c r="U32" s="656" t="n"/>
      <c r="V32" s="656" t="n"/>
      <c r="W32" s="656" t="n"/>
      <c r="X32" s="656" t="n"/>
      <c r="Y32" s="656" t="n"/>
      <c r="Z32" s="656" t="n"/>
      <c r="AA32" s="1022" t="n"/>
    </row>
    <row r="33">
      <c r="A33" s="11602" t="n"/>
      <c r="B33" s="4737" t="inlineStr">
        <is>
          <t>8</t>
        </is>
      </c>
      <c r="C33" s="4679" t="inlineStr">
        <is>
          <t>Check if box 2 is trade or business income</t>
        </is>
      </c>
      <c r="D33" s="736" t="n"/>
      <c r="E33" s="737" t="n"/>
      <c r="F33" s="737" t="n"/>
      <c r="G33" s="737" t="n"/>
      <c r="H33" s="737" t="n"/>
      <c r="I33" s="737" t="n"/>
      <c r="J33" s="737" t="n"/>
      <c r="K33" s="4747">
        <f>AND(K13,D31="",E31="",F31="",G31="")</f>
        <v/>
      </c>
      <c r="L33" s="11602" t="n"/>
      <c r="M33" s="656" t="n"/>
      <c r="N33" s="656" t="n"/>
      <c r="O33" s="656" t="n"/>
      <c r="P33" s="656" t="n"/>
      <c r="Q33" s="656" t="n"/>
      <c r="R33" s="656" t="n"/>
      <c r="S33" s="656" t="n"/>
      <c r="T33" s="656" t="n"/>
      <c r="U33" s="656" t="n"/>
      <c r="V33" s="656" t="n"/>
      <c r="W33" s="656" t="n"/>
      <c r="X33" s="656" t="n"/>
      <c r="Y33" s="656" t="n"/>
      <c r="Z33" s="656" t="n"/>
      <c r="AA33" s="1022" t="n"/>
    </row>
    <row r="34">
      <c r="A34" s="11602" t="n"/>
      <c r="B34" s="4734" t="inlineStr">
        <is>
          <t>9</t>
        </is>
      </c>
      <c r="C34" s="4676" t="inlineStr">
        <is>
          <t>Market gain</t>
        </is>
      </c>
      <c r="D34" s="606" t="n"/>
      <c r="E34" s="607" t="n"/>
      <c r="F34" s="607" t="n"/>
      <c r="G34" s="607" t="n"/>
      <c r="H34" s="607" t="n"/>
      <c r="I34" s="4735">
        <f>ROUND(SUM(D34:G34),0)</f>
        <v/>
      </c>
      <c r="J34" s="4735">
        <f>SUM(J15,I34)</f>
        <v/>
      </c>
      <c r="K34" s="4693" t="inlineStr">
        <is>
          <t>Sch. F, Line 4a</t>
        </is>
      </c>
      <c r="L34" s="11602" t="n"/>
      <c r="M34" s="656" t="n"/>
      <c r="N34" s="656" t="n"/>
      <c r="O34" s="656" t="n"/>
      <c r="P34" s="656" t="n"/>
      <c r="Q34" s="656" t="n"/>
      <c r="R34" s="656" t="n"/>
      <c r="S34" s="656" t="n"/>
      <c r="T34" s="656" t="n"/>
      <c r="U34" s="656" t="n"/>
      <c r="V34" s="656" t="n"/>
      <c r="W34" s="656" t="n"/>
      <c r="X34" s="656" t="n"/>
      <c r="Y34" s="656" t="n"/>
      <c r="Z34" s="656" t="n"/>
      <c r="AA34" s="1022" t="n"/>
    </row>
    <row r="35">
      <c r="A35" s="11602" t="n"/>
      <c r="B35" s="4737" t="inlineStr">
        <is>
          <t>10a</t>
        </is>
      </c>
      <c r="C35" s="4679" t="inlineStr">
        <is>
          <t>State</t>
        </is>
      </c>
      <c r="D35" s="595" t="n"/>
      <c r="E35" s="596" t="n"/>
      <c r="F35" s="596" t="n"/>
      <c r="G35" s="596" t="n"/>
      <c r="H35" s="596" t="n"/>
      <c r="I35" s="4735" t="n"/>
      <c r="J35" s="4735" t="n"/>
      <c r="K35" s="4747">
        <f>AND(K15,D33="",E33="",F33="",G33="")</f>
        <v/>
      </c>
      <c r="L35" s="11602" t="n"/>
      <c r="M35" s="656" t="n"/>
      <c r="N35" s="656" t="n"/>
      <c r="O35" s="656" t="n"/>
      <c r="P35" s="656" t="n"/>
      <c r="Q35" s="656" t="n"/>
      <c r="R35" s="656" t="n"/>
      <c r="S35" s="656" t="n"/>
      <c r="T35" s="656" t="n"/>
      <c r="U35" s="656" t="n"/>
      <c r="V35" s="656" t="n"/>
      <c r="W35" s="656" t="n"/>
      <c r="X35" s="656" t="n"/>
      <c r="Y35" s="656" t="n"/>
      <c r="Z35" s="656" t="n"/>
      <c r="AA35" s="1022" t="n"/>
    </row>
    <row r="36">
      <c r="A36" s="11602" t="n"/>
      <c r="B36" s="4737" t="inlineStr">
        <is>
          <t>10b</t>
        </is>
      </c>
      <c r="C36" s="4679" t="inlineStr">
        <is>
          <t>State identification no.</t>
        </is>
      </c>
      <c r="D36" s="597" t="n"/>
      <c r="E36" s="598" t="n"/>
      <c r="F36" s="598" t="n"/>
      <c r="G36" s="598" t="n"/>
      <c r="H36" s="598" t="n"/>
      <c r="I36" s="4735" t="n"/>
      <c r="J36" s="4735" t="n"/>
      <c r="K36" s="4748" t="n"/>
      <c r="L36" s="11602" t="n"/>
      <c r="M36" s="656" t="n"/>
      <c r="N36" s="656" t="n"/>
      <c r="O36" s="656" t="n"/>
      <c r="P36" s="656" t="n"/>
      <c r="Q36" s="656" t="n"/>
      <c r="R36" s="656" t="n"/>
      <c r="S36" s="656" t="n"/>
      <c r="T36" s="656" t="n"/>
      <c r="U36" s="656" t="n"/>
      <c r="V36" s="656" t="n"/>
      <c r="W36" s="656" t="n"/>
      <c r="X36" s="656" t="n"/>
      <c r="Y36" s="656" t="n"/>
      <c r="Z36" s="656" t="n"/>
      <c r="AA36" s="1022" t="n"/>
    </row>
    <row r="37" ht="13.5" customHeight="1" s="7635" thickBot="1">
      <c r="A37" s="11602" t="n"/>
      <c r="B37" s="4743" t="n">
        <v>11</v>
      </c>
      <c r="C37" s="4683" t="inlineStr">
        <is>
          <t>State income tax withheld</t>
        </is>
      </c>
      <c r="D37" s="616" t="n"/>
      <c r="E37" s="617" t="n"/>
      <c r="F37" s="617" t="n"/>
      <c r="G37" s="617" t="n"/>
      <c r="H37" s="617" t="n"/>
      <c r="I37" s="4744">
        <f>ROUND(SUM(D37:G37),0)</f>
        <v/>
      </c>
      <c r="J37" s="4744">
        <f>SUM(J18,I37)</f>
        <v/>
      </c>
      <c r="K37" s="4693" t="inlineStr">
        <is>
          <t>Sch. A, Line 5a</t>
        </is>
      </c>
      <c r="L37" s="11602" t="n"/>
      <c r="M37" s="656" t="n"/>
      <c r="N37" s="656" t="n"/>
      <c r="O37" s="656" t="n"/>
      <c r="P37" s="656" t="n"/>
      <c r="Q37" s="656" t="n"/>
      <c r="R37" s="656" t="n"/>
      <c r="S37" s="656" t="n"/>
      <c r="T37" s="656" t="n"/>
      <c r="U37" s="656" t="n"/>
      <c r="V37" s="656" t="n"/>
      <c r="W37" s="656" t="n"/>
      <c r="X37" s="656" t="n"/>
      <c r="Y37" s="656" t="n"/>
      <c r="Z37" s="656" t="n"/>
      <c r="AA37" s="1022" t="n"/>
    </row>
    <row r="38" ht="17.25" customHeight="1" s="7635" thickBot="1">
      <c r="A38" s="88" t="n"/>
      <c r="B38" s="580" t="inlineStr">
        <is>
          <t xml:space="preserve">  Only bolded amounts are used in this spreadsheet.</t>
        </is>
      </c>
      <c r="C38" s="88" t="n"/>
      <c r="D38" s="88" t="n"/>
      <c r="E38" s="88" t="n"/>
      <c r="F38" s="88" t="n"/>
      <c r="G38" s="88" t="n"/>
      <c r="H38" s="88" t="n"/>
      <c r="I38" s="88" t="n"/>
      <c r="J38" s="88" t="n"/>
      <c r="K38" s="88" t="n"/>
      <c r="L38" s="11602" t="n"/>
      <c r="M38" s="656" t="n"/>
      <c r="N38" s="656" t="n"/>
      <c r="O38" s="656" t="n"/>
      <c r="P38" s="656" t="n"/>
      <c r="Q38" s="656" t="n"/>
      <c r="R38" s="656" t="n"/>
      <c r="S38" s="656" t="n"/>
      <c r="T38" s="656" t="n"/>
      <c r="U38" s="656" t="n"/>
      <c r="V38" s="656" t="n"/>
      <c r="W38" s="656" t="n"/>
      <c r="X38" s="656" t="n"/>
      <c r="Y38" s="656" t="n"/>
      <c r="Z38" s="656" t="n"/>
      <c r="AA38" s="1022" t="n"/>
    </row>
    <row r="39" ht="13.5" customHeight="1" s="7635" thickTop="1">
      <c r="A39" s="9668" t="n"/>
    </row>
    <row r="40"/>
    <row r="41" ht="13.5" customHeight="1" s="7635" thickBot="1"/>
    <row r="42">
      <c r="C42" s="4701" t="n"/>
    </row>
    <row r="43">
      <c r="C43" s="4636" t="inlineStr">
        <is>
          <t>Table of Contents</t>
        </is>
      </c>
    </row>
    <row r="44" ht="13.5" customHeight="1" s="7635" thickBot="1">
      <c r="C44" s="4702" t="n"/>
    </row>
  </sheetData>
  <sheetProtection selectLockedCells="0" selectUnlockedCells="0" algorithmName="SHA-512" sheet="1" objects="0" insertRows="1" insertHyperlinks="1" autoFilter="1" scenarios="0" formatColumns="0" deleteColumns="1" insertColumns="1" pivotTables="1" deleteRows="1" formatCells="0" saltValue="KyJ5Lk/8XCg7IVxfonRYVQ==" formatRows="0" sort="1" spinCount="100000" hashValue="mXMQ6Lfk6nxTv+iY6VAUPlovyz7il+7MgMO/VJZm9ZQwdUsyVJUThDmKkJBnEcyrHrovcir5x5fh8W2tehnXZA=="/>
  <conditionalFormatting sqref="D21:H37">
    <cfRule type="expression" priority="19" dxfId="121">
      <formula>IF(NoColor,1,0)</formula>
    </cfRule>
  </conditionalFormatting>
  <conditionalFormatting sqref="D2:I18">
    <cfRule type="expression" priority="11" dxfId="121">
      <formula>IF(NoColor,1,0)</formula>
    </cfRule>
  </conditionalFormatting>
  <conditionalFormatting sqref="I21:J21">
    <cfRule type="expression" priority="14" dxfId="121">
      <formula>IF(NoColor,1,0)</formula>
    </cfRule>
  </conditionalFormatting>
  <conditionalFormatting sqref="I22:J32">
    <cfRule type="expression" priority="3" dxfId="6">
      <formula>NoColor</formula>
    </cfRule>
  </conditionalFormatting>
  <conditionalFormatting sqref="I33:J33">
    <cfRule type="expression" priority="10" dxfId="121">
      <formula>IF(NoColor,1,0)</formula>
    </cfRule>
  </conditionalFormatting>
  <conditionalFormatting sqref="I34:J37">
    <cfRule type="expression" priority="13" dxfId="6">
      <formula>NoColor</formula>
    </cfRule>
  </conditionalFormatting>
  <conditionalFormatting sqref="J2">
    <cfRule type="expression" priority="9" dxfId="121">
      <formula>IF(NoColor,1,0)</formula>
    </cfRule>
  </conditionalFormatting>
  <conditionalFormatting sqref="J3:J13">
    <cfRule type="expression" priority="5" dxfId="6">
      <formula>NoColor</formula>
    </cfRule>
  </conditionalFormatting>
  <conditionalFormatting sqref="J14">
    <cfRule type="expression" priority="6" dxfId="121">
      <formula>IF(NoColor,1,0)</formula>
    </cfRule>
  </conditionalFormatting>
  <conditionalFormatting sqref="J15:J18">
    <cfRule type="expression" priority="8" dxfId="6">
      <formula>NoColor</formula>
    </cfRule>
  </conditionalFormatting>
  <conditionalFormatting sqref="K7">
    <cfRule type="expression" priority="17" dxfId="158">
      <formula>Needs_SALT</formula>
    </cfRule>
  </conditionalFormatting>
  <conditionalFormatting sqref="K17">
    <cfRule type="expression" priority="4066" dxfId="3658">
      <formula>AND(#REF!,OR(#REF!="""",#REF!=""""))</formula>
    </cfRule>
  </conditionalFormatting>
  <conditionalFormatting sqref="K18 K20">
    <cfRule type="expression" priority="2" dxfId="3658">
      <formula>"AND('Sch. 1 Line 8 WS'!AP2,'Sch. 1 Line 8 WS'!AI7="""")"</formula>
    </cfRule>
  </conditionalFormatting>
  <conditionalFormatting sqref="K26">
    <cfRule type="expression" priority="23" dxfId="158">
      <formula>Needs_SALT</formula>
    </cfRule>
  </conditionalFormatting>
  <hyperlinks>
    <hyperlink ref="C43" location="'Table of Contents'!A1" display="Table of Contents"/>
  </hyperlinks>
  <pageMargins left="0.75" right="0.25" top="0.36" bottom="0.29" header="0.36" footer="0.21"/>
  <pageSetup orientation="landscape" scale="58" fitToHeight="0"/>
</worksheet>
</file>

<file path=xl/worksheets/sheet9.xml><?xml version="1.0" encoding="utf-8"?>
<worksheet xmlns="http://schemas.openxmlformats.org/spreadsheetml/2006/main">
  <sheetPr>
    <outlinePr summaryBelow="1" summaryRight="1"/>
    <pageSetUpPr fitToPage="1"/>
  </sheetPr>
  <dimension ref="A1:O72"/>
  <sheetViews>
    <sheetView zoomScaleNormal="100" workbookViewId="0">
      <selection activeCell="A1" sqref="A1"/>
    </sheetView>
  </sheetViews>
  <sheetFormatPr baseColWidth="8" defaultRowHeight="12.75"/>
  <cols>
    <col width="3" customWidth="1" style="7635" min="1" max="1"/>
    <col width="5.7109375" customWidth="1" style="7635" min="2" max="2"/>
    <col width="3.28515625" customWidth="1" style="7635" min="15" max="15"/>
  </cols>
  <sheetData>
    <row r="1" ht="13.5" customHeight="1" s="7635" thickBot="1">
      <c r="A1" s="723" t="n"/>
      <c r="B1" s="723" t="n"/>
      <c r="C1" s="723" t="n"/>
      <c r="D1" s="723" t="n"/>
      <c r="E1" s="723" t="n"/>
      <c r="F1" s="723" t="n"/>
      <c r="G1" s="723" t="n"/>
      <c r="H1" s="723" t="n"/>
      <c r="I1" s="723" t="n"/>
      <c r="J1" s="723" t="n"/>
      <c r="K1" s="723" t="n"/>
      <c r="L1" s="723" t="n"/>
      <c r="M1" s="723" t="n"/>
      <c r="N1" s="723" t="n"/>
      <c r="O1" s="723" t="n"/>
    </row>
    <row r="2" ht="13.5" customHeight="1" s="7635" thickTop="1">
      <c r="A2" s="723" t="n"/>
      <c r="B2" s="716" t="n"/>
      <c r="C2" s="257" t="n"/>
      <c r="D2" s="257" t="n"/>
      <c r="E2" s="257" t="n"/>
      <c r="F2" s="257" t="n"/>
      <c r="G2" s="257" t="n"/>
      <c r="H2" s="257" t="n"/>
      <c r="I2" s="257" t="n"/>
      <c r="J2" s="257" t="n"/>
      <c r="K2" s="257" t="n"/>
      <c r="L2" s="257" t="n"/>
      <c r="M2" s="257" t="n"/>
      <c r="N2" s="717" t="n"/>
      <c r="O2" s="723" t="n"/>
    </row>
    <row r="3">
      <c r="A3" s="723" t="n"/>
      <c r="B3" s="718" t="n"/>
      <c r="C3" s="7886" t="inlineStr">
        <is>
          <t>This form has yet to be implemented.</t>
        </is>
      </c>
      <c r="D3" s="11602" t="n"/>
      <c r="E3" s="11602" t="n"/>
      <c r="F3" s="11602" t="n"/>
      <c r="G3" s="11602" t="n"/>
      <c r="H3" s="11602" t="n"/>
      <c r="I3" s="11602" t="n"/>
      <c r="J3" s="11602" t="n"/>
      <c r="K3" s="11602" t="n"/>
      <c r="L3" s="11602" t="n"/>
      <c r="M3" s="11602" t="n"/>
      <c r="N3" s="719" t="n"/>
      <c r="O3" s="723" t="n"/>
    </row>
    <row r="4">
      <c r="A4" s="723" t="n"/>
      <c r="B4" s="718" t="n"/>
      <c r="C4" s="11602" t="n"/>
      <c r="D4" s="11602" t="n"/>
      <c r="E4" s="11602" t="n"/>
      <c r="F4" s="11602" t="n"/>
      <c r="G4" s="11602" t="n"/>
      <c r="H4" s="11602" t="n"/>
      <c r="I4" s="11602" t="n"/>
      <c r="J4" s="11602" t="n"/>
      <c r="K4" s="11602" t="n"/>
      <c r="L4" s="11602" t="n"/>
      <c r="M4" s="11602" t="n"/>
      <c r="N4" s="719" t="n"/>
      <c r="O4" s="723" t="n"/>
    </row>
    <row r="5">
      <c r="A5" s="723" t="n"/>
      <c r="B5" s="718" t="n"/>
      <c r="C5" s="344" t="inlineStr">
        <is>
          <t>Download and follow IRS instructions for where the information and amounts should be entered.</t>
        </is>
      </c>
      <c r="D5" s="11602" t="n"/>
      <c r="E5" s="11602" t="n"/>
      <c r="F5" s="11602" t="n"/>
      <c r="G5" s="11602" t="n"/>
      <c r="H5" s="11602" t="n"/>
      <c r="I5" s="11602" t="n"/>
      <c r="J5" s="11602" t="n"/>
      <c r="K5" s="11602" t="n"/>
      <c r="L5" s="11602" t="n"/>
      <c r="M5" s="11602" t="n"/>
      <c r="N5" s="719" t="n"/>
      <c r="O5" s="723" t="n"/>
    </row>
    <row r="6">
      <c r="A6" s="723" t="n"/>
      <c r="B6" s="718" t="n"/>
      <c r="C6" s="11602" t="n"/>
      <c r="D6" s="11602" t="n"/>
      <c r="E6" s="11602" t="n"/>
      <c r="F6" s="11602" t="n"/>
      <c r="G6" s="11602" t="n"/>
      <c r="H6" s="11602" t="n"/>
      <c r="I6" s="11602" t="n"/>
      <c r="J6" s="11602" t="n"/>
      <c r="K6" s="11602" t="n"/>
      <c r="L6" s="11602" t="n"/>
      <c r="M6" s="11602" t="n"/>
      <c r="N6" s="719" t="n"/>
      <c r="O6" s="723" t="n"/>
    </row>
    <row r="7">
      <c r="A7" s="723" t="n"/>
      <c r="B7" s="718" t="n"/>
      <c r="C7" s="7886" t="inlineStr">
        <is>
          <t>NOTE:</t>
        </is>
      </c>
      <c r="D7" s="724" t="inlineStr">
        <is>
          <t>Amounts of more than $600 will NOT typically be reported on Schedule 1 (Form 1040), Line 8 a - z.</t>
        </is>
      </c>
      <c r="E7" s="11602" t="n"/>
      <c r="F7" s="11602" t="n"/>
      <c r="G7" s="11602" t="n"/>
      <c r="H7" s="11602" t="n"/>
      <c r="I7" s="11602" t="n"/>
      <c r="J7" s="11602" t="n"/>
      <c r="K7" s="11602" t="n"/>
      <c r="L7" s="11602" t="n"/>
      <c r="M7" s="11602" t="n"/>
      <c r="N7" s="719" t="n"/>
      <c r="O7" s="723" t="n"/>
    </row>
    <row r="8">
      <c r="A8" s="723" t="n"/>
      <c r="B8" s="718" t="n"/>
      <c r="C8" s="11602" t="n"/>
      <c r="D8" s="344" t="n"/>
      <c r="E8" s="11602" t="n"/>
      <c r="F8" s="11602" t="n"/>
      <c r="G8" s="11602" t="n"/>
      <c r="H8" s="11602" t="n"/>
      <c r="I8" s="11602" t="n"/>
      <c r="J8" s="11602" t="n"/>
      <c r="K8" s="11602" t="n"/>
      <c r="L8" s="11602" t="n"/>
      <c r="M8" s="11602" t="n"/>
      <c r="N8" s="719" t="n"/>
      <c r="O8" s="723" t="n"/>
    </row>
    <row r="9">
      <c r="A9" s="723" t="n"/>
      <c r="B9" s="718" t="n"/>
      <c r="C9" s="7886" t="inlineStr">
        <is>
          <t>Form 1099-MISC and Instructions may be downloaded from the IRS:"</t>
        </is>
      </c>
      <c r="D9" s="11602" t="n"/>
      <c r="E9" s="11602" t="n"/>
      <c r="F9" s="11602" t="n"/>
      <c r="G9" s="11602" t="n"/>
      <c r="H9" s="11602" t="n"/>
      <c r="I9" s="11602" t="n"/>
      <c r="J9" s="11602" t="n"/>
      <c r="K9" s="11602" t="n"/>
      <c r="L9" s="11602" t="n"/>
      <c r="M9" s="11602" t="n"/>
      <c r="N9" s="719" t="n"/>
      <c r="O9" s="723" t="n"/>
    </row>
    <row r="10">
      <c r="A10" s="723" t="n"/>
      <c r="B10" s="718" t="n"/>
      <c r="C10" s="5963" t="inlineStr">
        <is>
          <t>https://www.irs.gov/pub/irs-pdf/f1099msc.pdf</t>
        </is>
      </c>
      <c r="D10" s="11602" t="n"/>
      <c r="E10" s="11602" t="n"/>
      <c r="F10" s="11602" t="n"/>
      <c r="G10" s="11602" t="n"/>
      <c r="H10" s="5963" t="inlineStr">
        <is>
          <t>https://www.irs.gov/instructions/i1099mec</t>
        </is>
      </c>
      <c r="I10" s="11602" t="n"/>
      <c r="J10" s="11602" t="n"/>
      <c r="K10" s="11602" t="n"/>
      <c r="L10" s="11602" t="n"/>
      <c r="M10" s="11602" t="n"/>
      <c r="N10" s="719" t="n"/>
      <c r="O10" s="723" t="n"/>
    </row>
    <row r="11">
      <c r="A11" s="723" t="n"/>
      <c r="B11" s="718" t="n"/>
      <c r="C11" s="11602" t="n"/>
      <c r="D11" s="11602" t="n"/>
      <c r="E11" s="11602" t="n"/>
      <c r="F11" s="11602" t="n"/>
      <c r="G11" s="11602" t="n"/>
      <c r="H11" s="11602" t="n"/>
      <c r="I11" s="11602" t="n"/>
      <c r="J11" s="11602" t="n"/>
      <c r="K11" s="11602" t="n"/>
      <c r="L11" s="11602" t="n"/>
      <c r="M11" s="11602" t="n"/>
      <c r="N11" s="719" t="n"/>
      <c r="O11" s="723" t="n"/>
    </row>
    <row r="12">
      <c r="A12" s="723" t="n"/>
      <c r="B12" s="718" t="n"/>
      <c r="C12" s="11602" t="n"/>
      <c r="D12" s="11602" t="n"/>
      <c r="E12" s="11602" t="n"/>
      <c r="F12" s="11602" t="n"/>
      <c r="G12" s="11602" t="n"/>
      <c r="H12" s="11602" t="n"/>
      <c r="I12" s="11602" t="n"/>
      <c r="J12" s="11602" t="n"/>
      <c r="K12" s="11602" t="n"/>
      <c r="L12" s="11602" t="n"/>
      <c r="M12" s="11602" t="n"/>
      <c r="N12" s="719" t="n"/>
      <c r="O12" s="723" t="n"/>
    </row>
    <row r="13">
      <c r="A13" s="723" t="n"/>
      <c r="B13" s="718" t="n"/>
      <c r="C13" s="11602" t="n"/>
      <c r="D13" s="11602" t="n"/>
      <c r="E13" s="11602" t="n"/>
      <c r="F13" s="11602" t="n"/>
      <c r="G13" s="11602" t="n"/>
      <c r="H13" s="11602" t="n"/>
      <c r="I13" s="11602" t="n"/>
      <c r="J13" s="11602" t="n"/>
      <c r="K13" s="11602" t="n"/>
      <c r="L13" s="11602" t="n"/>
      <c r="M13" s="11602" t="n"/>
      <c r="N13" s="719" t="n"/>
      <c r="O13" s="723" t="n"/>
    </row>
    <row r="14">
      <c r="A14" s="723" t="n"/>
      <c r="B14" s="718" t="n"/>
      <c r="C14" s="11602" t="n"/>
      <c r="D14" s="11602" t="n"/>
      <c r="E14" s="11602" t="n"/>
      <c r="F14" s="11602" t="n"/>
      <c r="G14" s="11602" t="n"/>
      <c r="H14" s="11602" t="n"/>
      <c r="I14" s="11602" t="n"/>
      <c r="J14" s="11602" t="n"/>
      <c r="K14" s="11602" t="n"/>
      <c r="L14" s="11602" t="n"/>
      <c r="M14" s="11602" t="n"/>
      <c r="N14" s="719" t="n"/>
      <c r="O14" s="723" t="n"/>
    </row>
    <row r="15">
      <c r="A15" s="723" t="n"/>
      <c r="B15" s="718" t="n"/>
      <c r="C15" s="11602" t="n"/>
      <c r="D15" s="11602" t="n"/>
      <c r="E15" s="11602" t="n"/>
      <c r="F15" s="11602" t="n"/>
      <c r="G15" s="11602" t="n"/>
      <c r="H15" s="11602" t="n"/>
      <c r="I15" s="11602" t="n"/>
      <c r="J15" s="11602" t="n"/>
      <c r="K15" s="11602" t="n"/>
      <c r="L15" s="11602" t="n"/>
      <c r="M15" s="11602" t="n"/>
      <c r="N15" s="719" t="n"/>
      <c r="O15" s="723" t="n"/>
    </row>
    <row r="16">
      <c r="A16" s="723" t="n"/>
      <c r="B16" s="718" t="n"/>
      <c r="C16" s="11602" t="n"/>
      <c r="D16" s="11602" t="n"/>
      <c r="E16" s="11602" t="n"/>
      <c r="F16" s="11602" t="n"/>
      <c r="G16" s="11602" t="n"/>
      <c r="H16" s="11602" t="n"/>
      <c r="I16" s="11602" t="n"/>
      <c r="J16" s="11602" t="n"/>
      <c r="K16" s="11602" t="n"/>
      <c r="L16" s="11602" t="n"/>
      <c r="M16" s="11602" t="n"/>
      <c r="N16" s="719" t="n"/>
      <c r="O16" s="723" t="n"/>
    </row>
    <row r="17">
      <c r="A17" s="723" t="n"/>
      <c r="B17" s="718" t="n"/>
      <c r="C17" s="11602" t="n"/>
      <c r="D17" s="11602" t="n"/>
      <c r="E17" s="11602" t="n"/>
      <c r="F17" s="11602" t="n"/>
      <c r="G17" s="11602" t="n"/>
      <c r="H17" s="11602" t="n"/>
      <c r="I17" s="11602" t="n"/>
      <c r="J17" s="11602" t="n"/>
      <c r="K17" s="11602" t="n"/>
      <c r="L17" s="11602" t="n"/>
      <c r="M17" s="11602" t="n"/>
      <c r="N17" s="719" t="n"/>
      <c r="O17" s="723" t="n"/>
    </row>
    <row r="18">
      <c r="A18" s="723" t="n"/>
      <c r="B18" s="718" t="n"/>
      <c r="C18" s="11602" t="n"/>
      <c r="D18" s="11602" t="n"/>
      <c r="E18" s="11602" t="n"/>
      <c r="F18" s="11602" t="n"/>
      <c r="G18" s="11602" t="n"/>
      <c r="H18" s="11602" t="n"/>
      <c r="I18" s="11602" t="n"/>
      <c r="J18" s="11602" t="n"/>
      <c r="K18" s="11602" t="n"/>
      <c r="L18" s="11602" t="n"/>
      <c r="M18" s="11602" t="n"/>
      <c r="N18" s="719" t="n"/>
      <c r="O18" s="723" t="n"/>
    </row>
    <row r="19">
      <c r="A19" s="723" t="n"/>
      <c r="B19" s="718" t="n"/>
      <c r="C19" s="11602" t="n"/>
      <c r="D19" s="11602" t="n"/>
      <c r="E19" s="11602" t="n"/>
      <c r="F19" s="11602" t="n"/>
      <c r="G19" s="11602" t="n"/>
      <c r="H19" s="11602" t="n"/>
      <c r="I19" s="11602" t="n"/>
      <c r="J19" s="11602" t="n"/>
      <c r="K19" s="11602" t="n"/>
      <c r="L19" s="11602" t="n"/>
      <c r="M19" s="11602" t="n"/>
      <c r="N19" s="719" t="n"/>
      <c r="O19" s="723" t="n"/>
    </row>
    <row r="20">
      <c r="A20" s="723" t="n"/>
      <c r="B20" s="718" t="n"/>
      <c r="C20" s="11602" t="n"/>
      <c r="D20" s="11602" t="n"/>
      <c r="E20" s="11602" t="n"/>
      <c r="F20" s="11602" t="n"/>
      <c r="G20" s="11602" t="n"/>
      <c r="H20" s="11602" t="n"/>
      <c r="I20" s="11602" t="n"/>
      <c r="J20" s="11602" t="n"/>
      <c r="K20" s="11602" t="n"/>
      <c r="L20" s="11602" t="n"/>
      <c r="M20" s="11602" t="n"/>
      <c r="N20" s="719" t="n"/>
      <c r="O20" s="723" t="n"/>
    </row>
    <row r="21">
      <c r="A21" s="723" t="n"/>
      <c r="B21" s="718" t="n"/>
      <c r="C21" s="11602" t="n"/>
      <c r="D21" s="11602" t="n"/>
      <c r="E21" s="11602" t="n"/>
      <c r="F21" s="11602" t="n"/>
      <c r="G21" s="11602" t="n"/>
      <c r="H21" s="11602" t="n"/>
      <c r="I21" s="11602" t="n"/>
      <c r="J21" s="11602" t="n"/>
      <c r="K21" s="11602" t="n"/>
      <c r="L21" s="11602" t="n"/>
      <c r="M21" s="11602" t="n"/>
      <c r="N21" s="719" t="n"/>
      <c r="O21" s="723" t="n"/>
    </row>
    <row r="22">
      <c r="A22" s="723" t="n"/>
      <c r="B22" s="718" t="n"/>
      <c r="C22" s="11602" t="n"/>
      <c r="D22" s="11602" t="n"/>
      <c r="E22" s="11602" t="n"/>
      <c r="F22" s="11602" t="n"/>
      <c r="G22" s="11602" t="n"/>
      <c r="H22" s="11602" t="n"/>
      <c r="I22" s="11602" t="n"/>
      <c r="J22" s="11602" t="n"/>
      <c r="K22" s="11602" t="n"/>
      <c r="L22" s="11602" t="n"/>
      <c r="M22" s="11602" t="n"/>
      <c r="N22" s="719" t="n"/>
      <c r="O22" s="723" t="n"/>
    </row>
    <row r="23">
      <c r="A23" s="723" t="n"/>
      <c r="B23" s="718" t="n"/>
      <c r="C23" s="11602" t="n"/>
      <c r="D23" s="11602" t="n"/>
      <c r="E23" s="11602" t="n"/>
      <c r="F23" s="11602" t="n"/>
      <c r="G23" s="11602" t="n"/>
      <c r="H23" s="11602" t="n"/>
      <c r="I23" s="11602" t="n"/>
      <c r="J23" s="11602" t="n"/>
      <c r="K23" s="11602" t="n"/>
      <c r="L23" s="11602" t="n"/>
      <c r="M23" s="11602" t="n"/>
      <c r="N23" s="719" t="n"/>
      <c r="O23" s="723" t="n"/>
    </row>
    <row r="24">
      <c r="A24" s="723" t="n"/>
      <c r="B24" s="718" t="n"/>
      <c r="C24" s="11602" t="n"/>
      <c r="D24" s="11602" t="n"/>
      <c r="E24" s="11602" t="n"/>
      <c r="F24" s="11602" t="n"/>
      <c r="G24" s="11602" t="n"/>
      <c r="H24" s="11602" t="n"/>
      <c r="I24" s="11602" t="n"/>
      <c r="J24" s="11602" t="n"/>
      <c r="K24" s="11602" t="n"/>
      <c r="L24" s="11602" t="n"/>
      <c r="M24" s="11602" t="n"/>
      <c r="N24" s="719" t="n"/>
      <c r="O24" s="723" t="n"/>
    </row>
    <row r="25">
      <c r="A25" s="723" t="n"/>
      <c r="B25" s="718" t="n"/>
      <c r="C25" s="11602" t="n"/>
      <c r="D25" s="11602" t="n"/>
      <c r="E25" s="11602" t="n"/>
      <c r="F25" s="11602" t="n"/>
      <c r="G25" s="11602" t="n"/>
      <c r="H25" s="11602" t="n"/>
      <c r="I25" s="11602" t="n"/>
      <c r="J25" s="11602" t="n"/>
      <c r="K25" s="11602" t="n"/>
      <c r="L25" s="11602" t="n"/>
      <c r="M25" s="11602" t="n"/>
      <c r="N25" s="719" t="n"/>
      <c r="O25" s="723" t="n"/>
    </row>
    <row r="26">
      <c r="A26" s="723" t="n"/>
      <c r="B26" s="718" t="n"/>
      <c r="C26" s="11602" t="n"/>
      <c r="D26" s="11602" t="n"/>
      <c r="E26" s="11602" t="n"/>
      <c r="F26" s="11602" t="n"/>
      <c r="G26" s="11602" t="n"/>
      <c r="H26" s="11602" t="n"/>
      <c r="I26" s="11602" t="n"/>
      <c r="J26" s="11602" t="n"/>
      <c r="K26" s="11602" t="n"/>
      <c r="L26" s="11602" t="n"/>
      <c r="M26" s="11602" t="n"/>
      <c r="N26" s="719" t="n"/>
      <c r="O26" s="723" t="n"/>
    </row>
    <row r="27">
      <c r="A27" s="723" t="n"/>
      <c r="B27" s="718" t="n"/>
      <c r="C27" s="11602" t="n"/>
      <c r="D27" s="11602" t="n"/>
      <c r="E27" s="11602" t="n"/>
      <c r="F27" s="11602" t="n"/>
      <c r="G27" s="11602" t="n"/>
      <c r="H27" s="11602" t="n"/>
      <c r="I27" s="11602" t="n"/>
      <c r="J27" s="11602" t="n"/>
      <c r="K27" s="11602" t="n"/>
      <c r="L27" s="11602" t="n"/>
      <c r="M27" s="11602" t="n"/>
      <c r="N27" s="719" t="n"/>
      <c r="O27" s="723" t="n"/>
    </row>
    <row r="28">
      <c r="A28" s="723" t="n"/>
      <c r="B28" s="718" t="n"/>
      <c r="C28" s="11602" t="n"/>
      <c r="D28" s="11602" t="n"/>
      <c r="E28" s="11602" t="n"/>
      <c r="F28" s="11602" t="n"/>
      <c r="G28" s="11602" t="n"/>
      <c r="H28" s="11602" t="n"/>
      <c r="I28" s="11602" t="n"/>
      <c r="J28" s="11602" t="n"/>
      <c r="K28" s="11602" t="n"/>
      <c r="L28" s="11602" t="n"/>
      <c r="M28" s="11602" t="n"/>
      <c r="N28" s="719" t="n"/>
      <c r="O28" s="723" t="n"/>
    </row>
    <row r="29">
      <c r="A29" s="723" t="n"/>
      <c r="B29" s="718" t="n"/>
      <c r="C29" s="11602" t="n"/>
      <c r="D29" s="11602" t="n"/>
      <c r="E29" s="11602" t="n"/>
      <c r="F29" s="11602" t="n"/>
      <c r="G29" s="11602" t="n"/>
      <c r="H29" s="11602" t="n"/>
      <c r="I29" s="11602" t="n"/>
      <c r="J29" s="11602" t="n"/>
      <c r="K29" s="11602" t="n"/>
      <c r="L29" s="11602" t="n"/>
      <c r="M29" s="11602" t="n"/>
      <c r="N29" s="719" t="n"/>
      <c r="O29" s="723" t="n"/>
    </row>
    <row r="30">
      <c r="A30" s="723" t="n"/>
      <c r="B30" s="718" t="n"/>
      <c r="C30" s="11602" t="n"/>
      <c r="D30" s="11602" t="n"/>
      <c r="E30" s="11602" t="n"/>
      <c r="F30" s="11602" t="n"/>
      <c r="G30" s="11602" t="n"/>
      <c r="H30" s="11602" t="n"/>
      <c r="I30" s="11602" t="n"/>
      <c r="J30" s="11602" t="n"/>
      <c r="K30" s="11602" t="n"/>
      <c r="L30" s="11602" t="n"/>
      <c r="M30" s="11602" t="n"/>
      <c r="N30" s="719" t="n"/>
      <c r="O30" s="723" t="n"/>
    </row>
    <row r="31">
      <c r="A31" s="723" t="n"/>
      <c r="B31" s="718" t="n"/>
      <c r="C31" s="11602" t="n"/>
      <c r="D31" s="11602" t="n"/>
      <c r="E31" s="11602" t="n"/>
      <c r="F31" s="11602" t="n"/>
      <c r="G31" s="11602" t="n"/>
      <c r="H31" s="11602" t="n"/>
      <c r="I31" s="11602" t="n"/>
      <c r="J31" s="11602" t="n"/>
      <c r="K31" s="11602" t="n"/>
      <c r="L31" s="11602" t="n"/>
      <c r="M31" s="11602" t="n"/>
      <c r="N31" s="719" t="n"/>
      <c r="O31" s="723" t="n"/>
    </row>
    <row r="32">
      <c r="A32" s="723" t="n"/>
      <c r="B32" s="718" t="n"/>
      <c r="C32" s="11602" t="n"/>
      <c r="D32" s="11602" t="n"/>
      <c r="E32" s="11602" t="n"/>
      <c r="F32" s="11602" t="n"/>
      <c r="G32" s="11602" t="n"/>
      <c r="H32" s="11602" t="n"/>
      <c r="I32" s="11602" t="n"/>
      <c r="J32" s="11602" t="n"/>
      <c r="K32" s="11602" t="n"/>
      <c r="L32" s="11602" t="n"/>
      <c r="M32" s="11602" t="n"/>
      <c r="N32" s="719" t="n"/>
      <c r="O32" s="723" t="n"/>
    </row>
    <row r="33">
      <c r="A33" s="723" t="n"/>
      <c r="B33" s="718" t="n"/>
      <c r="C33" s="11602" t="n"/>
      <c r="D33" s="11602" t="n"/>
      <c r="E33" s="11602" t="n"/>
      <c r="F33" s="11602" t="n"/>
      <c r="G33" s="11602" t="n"/>
      <c r="H33" s="11602" t="n"/>
      <c r="I33" s="11602" t="n"/>
      <c r="J33" s="11602" t="n"/>
      <c r="K33" s="11602" t="n"/>
      <c r="L33" s="11602" t="n"/>
      <c r="M33" s="11602" t="n"/>
      <c r="N33" s="719" t="n"/>
      <c r="O33" s="723" t="n"/>
    </row>
    <row r="34">
      <c r="A34" s="723" t="n"/>
      <c r="B34" s="718" t="n"/>
      <c r="C34" s="11602" t="n"/>
      <c r="D34" s="11602" t="n"/>
      <c r="E34" s="11602" t="n"/>
      <c r="F34" s="11602" t="n"/>
      <c r="G34" s="11602" t="n"/>
      <c r="H34" s="11602" t="n"/>
      <c r="I34" s="11602" t="n"/>
      <c r="J34" s="11602" t="n"/>
      <c r="K34" s="11602" t="n"/>
      <c r="L34" s="11602" t="n"/>
      <c r="M34" s="11602" t="n"/>
      <c r="N34" s="719" t="n"/>
      <c r="O34" s="723" t="n"/>
    </row>
    <row r="35">
      <c r="A35" s="723" t="n"/>
      <c r="B35" s="718" t="n"/>
      <c r="C35" s="11602" t="n"/>
      <c r="D35" s="11602" t="n"/>
      <c r="E35" s="11602" t="n"/>
      <c r="F35" s="11602" t="n"/>
      <c r="G35" s="11602" t="n"/>
      <c r="H35" s="11602" t="n"/>
      <c r="I35" s="11602" t="n"/>
      <c r="J35" s="11602" t="n"/>
      <c r="K35" s="11602" t="n"/>
      <c r="L35" s="11602" t="n"/>
      <c r="M35" s="11602" t="n"/>
      <c r="N35" s="719" t="n"/>
      <c r="O35" s="723" t="n"/>
    </row>
    <row r="36">
      <c r="A36" s="723" t="n"/>
      <c r="B36" s="718" t="n"/>
      <c r="C36" s="11602" t="n"/>
      <c r="D36" s="11602" t="n"/>
      <c r="E36" s="11602" t="n"/>
      <c r="F36" s="11602" t="n"/>
      <c r="G36" s="11602" t="n"/>
      <c r="H36" s="11602" t="n"/>
      <c r="I36" s="11602" t="n"/>
      <c r="J36" s="11602" t="n"/>
      <c r="K36" s="11602" t="n"/>
      <c r="L36" s="11602" t="n"/>
      <c r="M36" s="11602" t="n"/>
      <c r="N36" s="719" t="n"/>
      <c r="O36" s="723" t="n"/>
    </row>
    <row r="37">
      <c r="A37" s="723" t="n"/>
      <c r="B37" s="718" t="n"/>
      <c r="C37" s="11602" t="n"/>
      <c r="D37" s="11602" t="n"/>
      <c r="E37" s="11602" t="n"/>
      <c r="F37" s="11602" t="n"/>
      <c r="G37" s="11602" t="n"/>
      <c r="H37" s="11602" t="n"/>
      <c r="I37" s="11602" t="n"/>
      <c r="J37" s="11602" t="n"/>
      <c r="K37" s="11602" t="n"/>
      <c r="L37" s="11602" t="n"/>
      <c r="M37" s="11602" t="n"/>
      <c r="N37" s="719" t="n"/>
      <c r="O37" s="723" t="n"/>
    </row>
    <row r="38">
      <c r="A38" s="723" t="n"/>
      <c r="B38" s="718" t="n"/>
      <c r="C38" s="11602" t="n"/>
      <c r="D38" s="11602" t="n"/>
      <c r="E38" s="11602" t="n"/>
      <c r="F38" s="11602" t="n"/>
      <c r="G38" s="11602" t="n"/>
      <c r="H38" s="11602" t="n"/>
      <c r="I38" s="11602" t="n"/>
      <c r="J38" s="11602" t="n"/>
      <c r="K38" s="11602" t="n"/>
      <c r="L38" s="11602" t="n"/>
      <c r="M38" s="11602" t="n"/>
      <c r="N38" s="719" t="n"/>
      <c r="O38" s="723" t="n"/>
    </row>
    <row r="39">
      <c r="A39" s="723" t="n"/>
      <c r="B39" s="718" t="n"/>
      <c r="C39" s="11602" t="n"/>
      <c r="D39" s="11602" t="n"/>
      <c r="E39" s="11602" t="n"/>
      <c r="F39" s="11602" t="n"/>
      <c r="G39" s="11602" t="n"/>
      <c r="H39" s="11602" t="n"/>
      <c r="I39" s="11602" t="n"/>
      <c r="J39" s="11602" t="n"/>
      <c r="K39" s="11602" t="n"/>
      <c r="L39" s="11602" t="n"/>
      <c r="M39" s="11602" t="n"/>
      <c r="N39" s="719" t="n"/>
      <c r="O39" s="723" t="n"/>
    </row>
    <row r="40" ht="13.5" customHeight="1" s="7635" thickBot="1">
      <c r="A40" s="723" t="n"/>
      <c r="B40" s="720" t="n"/>
      <c r="C40" s="721" t="n"/>
      <c r="D40" s="721" t="n"/>
      <c r="E40" s="721" t="n"/>
      <c r="F40" s="721" t="n"/>
      <c r="G40" s="721" t="n"/>
      <c r="H40" s="721" t="n"/>
      <c r="I40" s="721" t="n"/>
      <c r="J40" s="721" t="n"/>
      <c r="K40" s="721" t="n"/>
      <c r="L40" s="721" t="n"/>
      <c r="M40" s="721" t="n"/>
      <c r="N40" s="722" t="n"/>
      <c r="O40" s="723" t="n"/>
    </row>
    <row r="41" ht="21.75" customHeight="1" s="7635" thickTop="1">
      <c r="A41" s="723" t="n"/>
      <c r="B41" s="723" t="n"/>
      <c r="C41" s="723" t="n"/>
      <c r="D41" s="723" t="n"/>
      <c r="E41" s="723" t="n"/>
      <c r="F41" s="723" t="n"/>
      <c r="G41" s="723" t="n"/>
      <c r="H41" s="723" t="n"/>
      <c r="I41" s="723" t="n"/>
      <c r="J41" s="723" t="n"/>
      <c r="K41" s="723" t="n"/>
      <c r="L41" s="723" t="n"/>
      <c r="M41" s="723" t="n"/>
      <c r="N41" s="723" t="n"/>
      <c r="O41" s="723" t="n"/>
    </row>
    <row r="42">
      <c r="A42" s="723" t="n"/>
      <c r="B42" s="723" t="n"/>
      <c r="C42" s="723" t="n"/>
      <c r="D42" s="723" t="n"/>
      <c r="E42" s="723" t="n"/>
      <c r="F42" s="723" t="n"/>
      <c r="G42" s="723" t="n"/>
      <c r="H42" s="723" t="n"/>
      <c r="I42" s="723" t="n"/>
      <c r="J42" s="723" t="n"/>
      <c r="K42" s="723" t="n"/>
      <c r="L42" s="723" t="n"/>
      <c r="M42" s="723" t="n"/>
      <c r="N42" s="723" t="n"/>
      <c r="O42" s="723" t="n"/>
    </row>
    <row r="43">
      <c r="A43" s="723" t="n"/>
      <c r="B43" s="723" t="n"/>
      <c r="C43" s="723" t="n"/>
      <c r="D43" s="723" t="n"/>
      <c r="E43" s="723" t="n"/>
      <c r="F43" s="723" t="n"/>
      <c r="G43" s="723" t="n"/>
      <c r="H43" s="723" t="n"/>
      <c r="I43" s="723" t="n"/>
      <c r="J43" s="723" t="n"/>
      <c r="K43" s="723" t="n"/>
      <c r="L43" s="723" t="n"/>
      <c r="M43" s="723" t="n"/>
      <c r="N43" s="723" t="n"/>
      <c r="O43" s="723" t="n"/>
    </row>
    <row r="44">
      <c r="A44" s="723" t="n"/>
      <c r="B44" s="723" t="n"/>
      <c r="C44" s="723" t="n"/>
      <c r="D44" s="723" t="n"/>
      <c r="E44" s="723" t="n"/>
      <c r="F44" s="723" t="n"/>
      <c r="G44" s="723" t="n"/>
      <c r="H44" s="723" t="n"/>
      <c r="I44" s="723" t="n"/>
      <c r="J44" s="723" t="n"/>
      <c r="K44" s="723" t="n"/>
      <c r="L44" s="723" t="n"/>
      <c r="M44" s="723" t="n"/>
      <c r="N44" s="723" t="n"/>
      <c r="O44" s="723" t="n"/>
    </row>
    <row r="45">
      <c r="A45" s="723" t="n"/>
      <c r="B45" s="723" t="n"/>
      <c r="C45" s="723" t="n"/>
      <c r="D45" s="723" t="n"/>
      <c r="E45" s="723" t="n"/>
      <c r="F45" s="723" t="n"/>
      <c r="G45" s="723" t="n"/>
      <c r="H45" s="723" t="n"/>
      <c r="I45" s="723" t="n"/>
      <c r="J45" s="723" t="n"/>
      <c r="K45" s="723" t="n"/>
      <c r="L45" s="723" t="n"/>
      <c r="M45" s="723" t="n"/>
      <c r="N45" s="723" t="n"/>
      <c r="O45" s="723" t="n"/>
    </row>
    <row r="46">
      <c r="A46" s="723" t="n"/>
      <c r="B46" s="723" t="n"/>
      <c r="C46" s="723" t="n"/>
      <c r="D46" s="723" t="n"/>
      <c r="E46" s="723" t="n"/>
      <c r="F46" s="723" t="n"/>
      <c r="G46" s="723" t="n"/>
      <c r="H46" s="723" t="n"/>
      <c r="I46" s="723" t="n"/>
      <c r="J46" s="723" t="n"/>
      <c r="K46" s="723" t="n"/>
      <c r="L46" s="723" t="n"/>
      <c r="M46" s="723" t="n"/>
      <c r="N46" s="723" t="n"/>
      <c r="O46" s="723" t="n"/>
    </row>
    <row r="47">
      <c r="A47" s="723" t="n"/>
      <c r="B47" s="723" t="n"/>
      <c r="C47" s="723" t="n"/>
      <c r="D47" s="723" t="n"/>
      <c r="E47" s="723" t="n"/>
      <c r="F47" s="723" t="n"/>
      <c r="G47" s="723" t="n"/>
      <c r="H47" s="723" t="n"/>
      <c r="I47" s="723" t="n"/>
      <c r="J47" s="723" t="n"/>
      <c r="K47" s="723" t="n"/>
      <c r="L47" s="723" t="n"/>
      <c r="M47" s="723" t="n"/>
      <c r="N47" s="723" t="n"/>
      <c r="O47" s="723" t="n"/>
    </row>
    <row r="48">
      <c r="A48" s="723" t="n"/>
      <c r="B48" s="723" t="n"/>
      <c r="C48" s="723" t="n"/>
      <c r="D48" s="723" t="n"/>
      <c r="E48" s="723" t="n"/>
      <c r="F48" s="723" t="n"/>
      <c r="G48" s="723" t="n"/>
      <c r="H48" s="723" t="n"/>
      <c r="I48" s="723" t="n"/>
      <c r="J48" s="723" t="n"/>
      <c r="K48" s="723" t="n"/>
      <c r="L48" s="723" t="n"/>
      <c r="M48" s="723" t="n"/>
      <c r="N48" s="723" t="n"/>
      <c r="O48" s="723" t="n"/>
    </row>
    <row r="49">
      <c r="A49" s="723" t="n"/>
      <c r="B49" s="723" t="n"/>
      <c r="C49" s="723" t="n"/>
      <c r="D49" s="723" t="n"/>
      <c r="E49" s="723" t="n"/>
      <c r="F49" s="723" t="n"/>
      <c r="G49" s="723" t="n"/>
      <c r="H49" s="723" t="n"/>
      <c r="I49" s="723" t="n"/>
      <c r="J49" s="723" t="n"/>
      <c r="K49" s="723" t="n"/>
      <c r="L49" s="723" t="n"/>
      <c r="M49" s="723" t="n"/>
      <c r="N49" s="723" t="n"/>
      <c r="O49" s="723" t="n"/>
    </row>
    <row r="50">
      <c r="A50" s="723" t="n"/>
      <c r="B50" s="723" t="n"/>
      <c r="C50" s="723" t="n"/>
      <c r="D50" s="723" t="n"/>
      <c r="E50" s="723" t="n"/>
      <c r="F50" s="723" t="n"/>
      <c r="G50" s="723" t="n"/>
      <c r="H50" s="723" t="n"/>
      <c r="I50" s="723" t="n"/>
      <c r="J50" s="723" t="n"/>
      <c r="K50" s="723" t="n"/>
      <c r="L50" s="723" t="n"/>
      <c r="M50" s="723" t="n"/>
      <c r="N50" s="723" t="n"/>
      <c r="O50" s="723" t="n"/>
    </row>
    <row r="51">
      <c r="A51" s="723" t="n"/>
      <c r="B51" s="723" t="n"/>
      <c r="C51" s="723" t="n"/>
      <c r="D51" s="723" t="n"/>
      <c r="E51" s="723" t="n"/>
      <c r="F51" s="723" t="n"/>
      <c r="G51" s="723" t="n"/>
      <c r="H51" s="723" t="n"/>
      <c r="I51" s="723" t="n"/>
      <c r="J51" s="723" t="n"/>
      <c r="K51" s="723" t="n"/>
      <c r="L51" s="723" t="n"/>
      <c r="M51" s="723" t="n"/>
      <c r="N51" s="723" t="n"/>
      <c r="O51" s="723" t="n"/>
    </row>
    <row r="52">
      <c r="A52" s="723" t="n"/>
      <c r="B52" s="723" t="n"/>
      <c r="C52" s="723" t="n"/>
      <c r="D52" s="723" t="n"/>
      <c r="E52" s="723" t="n"/>
      <c r="F52" s="723" t="n"/>
      <c r="G52" s="723" t="n"/>
      <c r="H52" s="723" t="n"/>
      <c r="I52" s="723" t="n"/>
      <c r="J52" s="723" t="n"/>
      <c r="K52" s="723" t="n"/>
      <c r="L52" s="723" t="n"/>
      <c r="M52" s="723" t="n"/>
      <c r="N52" s="723" t="n"/>
      <c r="O52" s="723" t="n"/>
    </row>
    <row r="53">
      <c r="A53" s="723" t="n"/>
      <c r="B53" s="723" t="n"/>
      <c r="C53" s="723" t="n"/>
      <c r="D53" s="723" t="n"/>
      <c r="E53" s="723" t="n"/>
      <c r="F53" s="723" t="n"/>
      <c r="G53" s="723" t="n"/>
      <c r="H53" s="723" t="n"/>
      <c r="I53" s="723" t="n"/>
      <c r="J53" s="723" t="n"/>
      <c r="K53" s="723" t="n"/>
      <c r="L53" s="723" t="n"/>
      <c r="M53" s="723" t="n"/>
      <c r="N53" s="723" t="n"/>
      <c r="O53" s="723" t="n"/>
    </row>
    <row r="54">
      <c r="A54" s="723" t="n"/>
      <c r="B54" s="723" t="n"/>
      <c r="C54" s="723" t="n"/>
      <c r="D54" s="723" t="n"/>
      <c r="E54" s="723" t="n"/>
      <c r="F54" s="723" t="n"/>
      <c r="G54" s="723" t="n"/>
      <c r="H54" s="723" t="n"/>
      <c r="I54" s="723" t="n"/>
      <c r="J54" s="723" t="n"/>
      <c r="K54" s="723" t="n"/>
      <c r="L54" s="723" t="n"/>
      <c r="M54" s="723" t="n"/>
      <c r="N54" s="723" t="n"/>
      <c r="O54" s="723" t="n"/>
    </row>
    <row r="55">
      <c r="A55" s="723" t="n"/>
      <c r="B55" s="723" t="n"/>
      <c r="C55" s="723" t="n"/>
      <c r="D55" s="723" t="n"/>
      <c r="E55" s="723" t="n"/>
      <c r="F55" s="723" t="n"/>
      <c r="G55" s="723" t="n"/>
      <c r="H55" s="723" t="n"/>
      <c r="I55" s="723" t="n"/>
      <c r="J55" s="723" t="n"/>
      <c r="K55" s="723" t="n"/>
      <c r="L55" s="723" t="n"/>
      <c r="M55" s="723" t="n"/>
      <c r="N55" s="723" t="n"/>
      <c r="O55" s="723" t="n"/>
    </row>
    <row r="56">
      <c r="A56" s="723" t="n"/>
      <c r="B56" s="723" t="n"/>
      <c r="C56" s="723" t="n"/>
      <c r="D56" s="723" t="n"/>
      <c r="E56" s="723" t="n"/>
      <c r="F56" s="723" t="n"/>
      <c r="G56" s="723" t="n"/>
      <c r="H56" s="723" t="n"/>
      <c r="I56" s="723" t="n"/>
      <c r="J56" s="723" t="n"/>
      <c r="K56" s="723" t="n"/>
      <c r="L56" s="723" t="n"/>
      <c r="M56" s="723" t="n"/>
      <c r="N56" s="723" t="n"/>
      <c r="O56" s="723" t="n"/>
    </row>
    <row r="57">
      <c r="A57" s="723" t="n"/>
      <c r="B57" s="723" t="n"/>
      <c r="C57" s="723" t="n"/>
      <c r="D57" s="723" t="n"/>
      <c r="E57" s="723" t="n"/>
      <c r="F57" s="723" t="n"/>
      <c r="G57" s="723" t="n"/>
      <c r="H57" s="723" t="n"/>
      <c r="I57" s="723" t="n"/>
      <c r="J57" s="723" t="n"/>
      <c r="K57" s="723" t="n"/>
      <c r="L57" s="723" t="n"/>
      <c r="M57" s="723" t="n"/>
      <c r="N57" s="723" t="n"/>
      <c r="O57" s="723" t="n"/>
    </row>
    <row r="58">
      <c r="A58" s="723" t="n"/>
      <c r="B58" s="723" t="n"/>
      <c r="C58" s="723" t="n"/>
      <c r="D58" s="723" t="n"/>
      <c r="E58" s="723" t="n"/>
      <c r="F58" s="723" t="n"/>
      <c r="G58" s="723" t="n"/>
      <c r="H58" s="723" t="n"/>
      <c r="I58" s="723" t="n"/>
      <c r="J58" s="723" t="n"/>
      <c r="K58" s="723" t="n"/>
      <c r="L58" s="723" t="n"/>
      <c r="M58" s="723" t="n"/>
      <c r="N58" s="723" t="n"/>
      <c r="O58" s="723" t="n"/>
    </row>
    <row r="59">
      <c r="A59" s="723" t="n"/>
      <c r="B59" s="723" t="n"/>
      <c r="C59" s="723" t="n"/>
      <c r="D59" s="723" t="n"/>
      <c r="E59" s="723" t="n"/>
      <c r="F59" s="723" t="n"/>
      <c r="G59" s="723" t="n"/>
      <c r="H59" s="723" t="n"/>
      <c r="I59" s="723" t="n"/>
      <c r="J59" s="723" t="n"/>
      <c r="K59" s="723" t="n"/>
      <c r="L59" s="723" t="n"/>
      <c r="M59" s="723" t="n"/>
      <c r="N59" s="723" t="n"/>
      <c r="O59" s="723" t="n"/>
    </row>
    <row r="60">
      <c r="A60" s="723" t="n"/>
      <c r="B60" s="723" t="n"/>
      <c r="C60" s="723" t="n"/>
      <c r="D60" s="723" t="n"/>
      <c r="E60" s="723" t="n"/>
      <c r="F60" s="723" t="n"/>
      <c r="G60" s="723" t="n"/>
      <c r="H60" s="723" t="n"/>
      <c r="I60" s="723" t="n"/>
      <c r="J60" s="723" t="n"/>
      <c r="K60" s="723" t="n"/>
      <c r="L60" s="723" t="n"/>
      <c r="M60" s="723" t="n"/>
      <c r="N60" s="723" t="n"/>
      <c r="O60" s="723" t="n"/>
    </row>
    <row r="61">
      <c r="A61" s="723" t="n"/>
      <c r="B61" s="723" t="n"/>
      <c r="C61" s="723" t="n"/>
      <c r="D61" s="723" t="n"/>
      <c r="E61" s="723" t="n"/>
      <c r="F61" s="723" t="n"/>
      <c r="G61" s="723" t="n"/>
      <c r="H61" s="723" t="n"/>
      <c r="I61" s="723" t="n"/>
      <c r="J61" s="723" t="n"/>
      <c r="K61" s="723" t="n"/>
      <c r="L61" s="723" t="n"/>
      <c r="M61" s="723" t="n"/>
      <c r="N61" s="723" t="n"/>
      <c r="O61" s="723" t="n"/>
    </row>
    <row r="62">
      <c r="A62" s="723" t="n"/>
      <c r="B62" s="723" t="n"/>
      <c r="C62" s="723" t="n"/>
      <c r="D62" s="723" t="n"/>
      <c r="E62" s="723" t="n"/>
      <c r="F62" s="723" t="n"/>
      <c r="G62" s="723" t="n"/>
      <c r="H62" s="723" t="n"/>
      <c r="I62" s="723" t="n"/>
      <c r="J62" s="723" t="n"/>
      <c r="K62" s="723" t="n"/>
      <c r="L62" s="723" t="n"/>
      <c r="M62" s="723" t="n"/>
      <c r="N62" s="723" t="n"/>
      <c r="O62" s="723" t="n"/>
    </row>
    <row r="63">
      <c r="A63" s="723" t="n"/>
      <c r="B63" s="723" t="n"/>
      <c r="C63" s="723" t="n"/>
      <c r="D63" s="723" t="n"/>
      <c r="E63" s="723" t="n"/>
      <c r="F63" s="723" t="n"/>
      <c r="G63" s="723" t="n"/>
      <c r="H63" s="723" t="n"/>
      <c r="I63" s="723" t="n"/>
      <c r="J63" s="723" t="n"/>
      <c r="K63" s="723" t="n"/>
      <c r="L63" s="723" t="n"/>
      <c r="M63" s="723" t="n"/>
      <c r="N63" s="723" t="n"/>
      <c r="O63" s="723" t="n"/>
    </row>
    <row r="64">
      <c r="A64" s="723" t="n"/>
      <c r="B64" s="723" t="n"/>
      <c r="C64" s="723" t="n"/>
      <c r="D64" s="723" t="n"/>
      <c r="E64" s="723" t="n"/>
      <c r="F64" s="723" t="n"/>
      <c r="G64" s="723" t="n"/>
      <c r="H64" s="723" t="n"/>
      <c r="I64" s="723" t="n"/>
      <c r="J64" s="723" t="n"/>
      <c r="K64" s="723" t="n"/>
      <c r="L64" s="723" t="n"/>
      <c r="M64" s="723" t="n"/>
      <c r="N64" s="723" t="n"/>
      <c r="O64" s="723" t="n"/>
    </row>
    <row r="65">
      <c r="A65" s="723" t="n"/>
      <c r="B65" s="723" t="n"/>
      <c r="C65" s="723" t="n"/>
      <c r="D65" s="723" t="n"/>
      <c r="E65" s="723" t="n"/>
      <c r="F65" s="723" t="n"/>
      <c r="G65" s="723" t="n"/>
      <c r="H65" s="723" t="n"/>
      <c r="I65" s="723" t="n"/>
      <c r="J65" s="723" t="n"/>
      <c r="K65" s="723" t="n"/>
      <c r="L65" s="723" t="n"/>
      <c r="M65" s="723" t="n"/>
      <c r="N65" s="723" t="n"/>
      <c r="O65" s="723" t="n"/>
    </row>
    <row r="66">
      <c r="A66" s="723" t="n"/>
      <c r="B66" s="723" t="n"/>
      <c r="C66" s="723" t="n"/>
      <c r="D66" s="723" t="n"/>
      <c r="E66" s="723" t="n"/>
      <c r="F66" s="723" t="n"/>
      <c r="G66" s="723" t="n"/>
      <c r="H66" s="723" t="n"/>
      <c r="I66" s="723" t="n"/>
      <c r="J66" s="723" t="n"/>
      <c r="K66" s="723" t="n"/>
      <c r="L66" s="723" t="n"/>
      <c r="M66" s="723" t="n"/>
      <c r="N66" s="723" t="n"/>
      <c r="O66" s="723" t="n"/>
    </row>
    <row r="67">
      <c r="A67" s="723" t="n"/>
      <c r="B67" s="723" t="n"/>
      <c r="C67" s="723" t="n"/>
      <c r="D67" s="723" t="n"/>
      <c r="E67" s="723" t="n"/>
      <c r="F67" s="723" t="n"/>
      <c r="G67" s="723" t="n"/>
      <c r="H67" s="723" t="n"/>
      <c r="I67" s="723" t="n"/>
      <c r="J67" s="723" t="n"/>
      <c r="K67" s="723" t="n"/>
      <c r="L67" s="723" t="n"/>
      <c r="M67" s="723" t="n"/>
      <c r="N67" s="723" t="n"/>
      <c r="O67" s="723" t="n"/>
    </row>
    <row r="68" ht="20.25" customHeight="1" s="7635">
      <c r="A68" s="723" t="n"/>
      <c r="B68" s="723" t="n"/>
      <c r="C68" s="723" t="n"/>
      <c r="D68" s="723" t="n"/>
      <c r="E68" s="723" t="n"/>
      <c r="F68" s="723" t="n"/>
      <c r="G68" s="723" t="n"/>
      <c r="H68" s="723" t="n"/>
      <c r="I68" s="723" t="n"/>
      <c r="J68" s="723" t="n"/>
      <c r="K68" s="723" t="n"/>
      <c r="L68" s="723" t="n"/>
      <c r="M68" s="723" t="n"/>
      <c r="N68" s="723" t="n"/>
      <c r="O68" s="723" t="n"/>
    </row>
    <row r="69" ht="18" customHeight="1" s="7635" thickBot="1"/>
    <row r="70">
      <c r="C70" s="11887" t="inlineStr">
        <is>
          <t>Table of Contents</t>
        </is>
      </c>
      <c r="D70" s="11835" t="n"/>
    </row>
    <row r="71">
      <c r="C71" s="11836" t="n"/>
      <c r="D71" s="11837" t="n"/>
    </row>
    <row r="72" ht="13.5" customHeight="1" s="7635" thickBot="1">
      <c r="C72" s="11838" t="n"/>
      <c r="D72" s="11840" t="n"/>
    </row>
  </sheetData>
  <sheetProtection selectLockedCells="0" selectUnlockedCells="0" algorithmName="SHA-512" sheet="1" objects="1" insertRows="1" insertHyperlinks="1" autoFilter="1" scenarios="1" formatColumns="1" deleteColumns="1" insertColumns="1" pivotTables="1" deleteRows="1" formatCells="1" saltValue="rcgyFcn+0d8h1cewplK7Xw==" formatRows="1" sort="1" spinCount="100000" hashValue="XvkBBZmRmjS+tkcTUI/PznZCDlr82oSvPLyDeH3XX74AsP5EZzmdwgyruouSamFv7/liuXRX34edGnaL6/NbzA=="/>
  <mergeCells count="1">
    <mergeCell ref="C70:D72"/>
  </mergeCells>
  <hyperlinks>
    <hyperlink xmlns:r="http://schemas.openxmlformats.org/officeDocument/2006/relationships" ref="C10" r:id="rId1"/>
    <hyperlink xmlns:r="http://schemas.openxmlformats.org/officeDocument/2006/relationships" ref="H10" r:id="rId2"/>
    <hyperlink ref="C70" location="'Table of Contents'!A1" display="Table of Contents"/>
  </hyperlinks>
  <pageMargins left="0.75" right="0.25" top="0.36" bottom="0.29" header="0.36" footer="0.21"/>
  <pageSetup orientation="portrait" scale="84" fitToHeight="0"/>
  <drawing xmlns:r="http://schemas.openxmlformats.org/officeDocument/2006/relationships" r:id="rId3"/>
</worksheet>
</file>

<file path=xl/worksheets/sheet10.xml><?xml version="1.0" encoding="utf-8"?>
<worksheet xmlns="http://schemas.openxmlformats.org/spreadsheetml/2006/main">
  <sheetPr>
    <outlinePr summaryBelow="1" summaryRight="1"/>
    <pageSetUpPr fitToPage="1"/>
  </sheetPr>
  <dimension ref="A1:AA32"/>
  <sheetViews>
    <sheetView zoomScaleNormal="100" zoomScaleSheetLayoutView="100" workbookViewId="0">
      <pane ySplit="1" topLeftCell="A2" activePane="bottomLeft" state="frozen"/>
      <selection activeCell="E24" sqref="E24"/>
      <selection pane="bottomLeft" activeCell="A1" sqref="A1"/>
    </sheetView>
  </sheetViews>
  <sheetFormatPr baseColWidth="8" defaultRowHeight="12.75"/>
  <cols>
    <col width="2.5703125" customWidth="1" style="7635" min="1" max="1"/>
    <col width="4.42578125" customWidth="1" style="7635" min="2" max="2"/>
    <col width="45.7109375" customWidth="1" style="7635" min="3" max="3"/>
    <col width="19.85546875" customWidth="1" style="7635" min="4" max="10"/>
    <col width="46.42578125" customWidth="1" style="7635" min="11" max="11"/>
    <col width="5.5703125" customWidth="1" style="7635" min="12" max="12"/>
    <col width="9.140625" customWidth="1" style="1021" min="13" max="27"/>
  </cols>
  <sheetData>
    <row r="1" ht="42" customHeight="1" s="7635" thickBot="1">
      <c r="A1" s="4660" t="n"/>
      <c r="B1" s="4568" t="inlineStr">
        <is>
          <t>Form 1099-NEC, Nonemployee Compensation</t>
        </is>
      </c>
      <c r="C1" s="4661" t="n"/>
      <c r="D1" s="4662" t="n"/>
      <c r="E1" s="4730">
        <f>IF(FALSE,"After Form 1040 and Schedule 1 are complete,"&amp;CHAR(10)&amp;" be sure to review 'Sch. 1 Line 8 WS', line 1.",IF(FALSE,"'Sch. 1 Line 8 WS', line 1, has been Updated.",""))</f>
        <v/>
      </c>
      <c r="F1" s="4662" t="n"/>
      <c r="G1" s="4662" t="n"/>
      <c r="H1" s="4662" t="n"/>
      <c r="I1" s="4662" t="n"/>
      <c r="J1" s="4662" t="n"/>
      <c r="K1" s="4662" t="n"/>
      <c r="L1" s="7825" t="n"/>
      <c r="M1" s="655" t="inlineStr">
        <is>
          <t>Notes</t>
        </is>
      </c>
      <c r="N1" s="656" t="n"/>
      <c r="O1" s="656" t="n"/>
      <c r="P1" s="656" t="n"/>
      <c r="Q1" s="656" t="n"/>
      <c r="R1" s="656" t="n"/>
      <c r="S1" s="656" t="n"/>
      <c r="T1" s="656" t="n"/>
      <c r="U1" s="656" t="n"/>
      <c r="V1" s="656" t="n"/>
      <c r="W1" s="656" t="n"/>
      <c r="X1" s="656" t="n"/>
      <c r="Y1" s="656" t="n"/>
      <c r="Z1" s="656" t="n"/>
      <c r="AA1" s="656" t="n"/>
    </row>
    <row r="2" ht="42" customHeight="1" s="7635" thickBot="1" thickTop="1">
      <c r="A2" s="257" t="n"/>
      <c r="B2" s="1534" t="n"/>
      <c r="C2" s="4664">
        <f>IF(Name_1st_Yours="","Enter your name on the"&amp;CHAR(10)&amp;"sheet labeled '1040'",NameYours)</f>
        <v/>
      </c>
      <c r="D2" s="458" t="inlineStr">
        <is>
          <t>Payer #1</t>
        </is>
      </c>
      <c r="E2" s="458" t="inlineStr">
        <is>
          <t>Payer #2</t>
        </is>
      </c>
      <c r="F2" s="458" t="inlineStr">
        <is>
          <t>Payer #3</t>
        </is>
      </c>
      <c r="G2" s="458" t="inlineStr">
        <is>
          <t>Payer #4</t>
        </is>
      </c>
      <c r="H2" s="458" t="inlineStr">
        <is>
          <t>Payer #5</t>
        </is>
      </c>
      <c r="I2" s="458" t="inlineStr">
        <is>
          <t>Payer #6</t>
        </is>
      </c>
      <c r="J2" s="458" t="inlineStr">
        <is>
          <t>Your Total</t>
        </is>
      </c>
      <c r="K2" s="4720" t="inlineStr">
        <is>
          <t>Used at:</t>
        </is>
      </c>
      <c r="L2" s="4665" t="n"/>
      <c r="M2" s="656" t="n"/>
      <c r="N2" s="656" t="n"/>
      <c r="O2" s="656" t="n"/>
      <c r="P2" s="656" t="n"/>
      <c r="Q2" s="656" t="n"/>
      <c r="R2" s="656" t="n"/>
      <c r="S2" s="656" t="n"/>
      <c r="T2" s="656" t="n"/>
      <c r="U2" s="656" t="n"/>
      <c r="V2" s="656" t="n"/>
      <c r="W2" s="656" t="n"/>
      <c r="X2" s="656" t="n"/>
      <c r="Y2" s="656" t="n"/>
      <c r="Z2" s="656" t="n"/>
      <c r="AA2" s="656" t="n"/>
    </row>
    <row r="3" ht="12.75" customHeight="1" s="7635">
      <c r="A3" s="11602" t="n"/>
      <c r="B3" s="4666" t="n"/>
      <c r="C3" s="4667" t="inlineStr">
        <is>
          <t>PAYER's name</t>
        </is>
      </c>
      <c r="D3" s="601" t="n"/>
      <c r="E3" s="602" t="n"/>
      <c r="F3" s="602" t="n"/>
      <c r="G3" s="602" t="n"/>
      <c r="H3" s="602" t="n"/>
      <c r="I3" s="602" t="n"/>
      <c r="J3" s="6692" t="inlineStr">
        <is>
          <t>---</t>
        </is>
      </c>
      <c r="K3" s="3298" t="n"/>
      <c r="L3" s="4665" t="n"/>
      <c r="M3" s="656" t="n"/>
      <c r="N3" s="656" t="n"/>
      <c r="O3" s="656" t="n"/>
      <c r="P3" s="656" t="n"/>
      <c r="Q3" s="656" t="n"/>
      <c r="R3" s="656" t="n"/>
      <c r="S3" s="656" t="n"/>
      <c r="T3" s="656" t="n"/>
      <c r="U3" s="656" t="n"/>
      <c r="V3" s="656" t="n"/>
      <c r="W3" s="656" t="n"/>
      <c r="X3" s="656" t="n"/>
      <c r="Y3" s="656" t="n"/>
      <c r="Z3" s="656" t="n"/>
      <c r="AA3" s="656" t="n"/>
    </row>
    <row r="4">
      <c r="A4" s="11602" t="n"/>
      <c r="B4" s="4668" t="n"/>
      <c r="C4" s="4669" t="inlineStr">
        <is>
          <t>PAYER's TIN</t>
        </is>
      </c>
      <c r="D4" s="629" t="n"/>
      <c r="E4" s="630" t="n"/>
      <c r="F4" s="630" t="n"/>
      <c r="G4" s="630" t="n"/>
      <c r="H4" s="630" t="n"/>
      <c r="I4" s="630" t="n"/>
      <c r="J4" s="6693" t="inlineStr">
        <is>
          <t>---</t>
        </is>
      </c>
      <c r="K4" s="3298" t="n"/>
      <c r="L4" s="4665" t="n"/>
      <c r="M4" s="656" t="n"/>
      <c r="N4" s="656" t="n"/>
      <c r="O4" s="656" t="n"/>
      <c r="P4" s="656" t="n"/>
      <c r="Q4" s="656" t="n"/>
      <c r="R4" s="656" t="n"/>
      <c r="S4" s="656" t="n"/>
      <c r="T4" s="656" t="n"/>
      <c r="U4" s="656" t="n"/>
      <c r="V4" s="656" t="n"/>
      <c r="W4" s="656" t="n"/>
      <c r="X4" s="656" t="n"/>
      <c r="Y4" s="656" t="n"/>
      <c r="Z4" s="656" t="n"/>
      <c r="AA4" s="656" t="n"/>
    </row>
    <row r="5" ht="13.5" customHeight="1" s="7635" thickBot="1">
      <c r="A5" s="11602" t="n"/>
      <c r="B5" s="4670" t="n"/>
      <c r="C5" s="4671" t="inlineStr">
        <is>
          <t>Account number</t>
        </is>
      </c>
      <c r="D5" s="632" t="n"/>
      <c r="E5" s="633" t="n"/>
      <c r="F5" s="633" t="n"/>
      <c r="G5" s="633" t="n"/>
      <c r="H5" s="633" t="n"/>
      <c r="I5" s="633" t="n"/>
      <c r="J5" s="6694" t="inlineStr">
        <is>
          <t>---</t>
        </is>
      </c>
      <c r="K5" s="3298" t="n"/>
      <c r="L5" s="4665" t="n"/>
      <c r="M5" s="656" t="n"/>
      <c r="N5" s="656" t="n"/>
      <c r="O5" s="656" t="n"/>
      <c r="P5" s="656" t="n"/>
      <c r="Q5" s="656" t="n"/>
      <c r="R5" s="656" t="n"/>
      <c r="S5" s="656" t="n"/>
      <c r="T5" s="656" t="n"/>
      <c r="U5" s="656" t="n"/>
      <c r="V5" s="656" t="n"/>
      <c r="W5" s="656" t="n"/>
      <c r="X5" s="656" t="n"/>
      <c r="Y5" s="656" t="n"/>
      <c r="Z5" s="656" t="n"/>
      <c r="AA5" s="656" t="n"/>
    </row>
    <row r="6" ht="13.5" customHeight="1" s="7635">
      <c r="A6" s="11602" t="n"/>
      <c r="B6" s="4731" t="inlineStr">
        <is>
          <t>1</t>
        </is>
      </c>
      <c r="C6" s="4673" t="inlineStr">
        <is>
          <t>Nonemployee compensation</t>
        </is>
      </c>
      <c r="D6" s="6688" t="n"/>
      <c r="E6" s="6689" t="n"/>
      <c r="F6" s="6689" t="n"/>
      <c r="G6" s="6689" t="n"/>
      <c r="H6" s="6689" t="n"/>
      <c r="I6" s="6689" t="n"/>
      <c r="J6" s="4732">
        <f>ROUND(SUM(D6:I6),0)</f>
        <v/>
      </c>
      <c r="K6" s="4733" t="inlineStr">
        <is>
          <t>Sch C, line 1 (for you)</t>
        </is>
      </c>
      <c r="L6" s="4665" t="n"/>
      <c r="M6" s="656" t="n"/>
      <c r="N6" s="656" t="n"/>
      <c r="O6" s="656" t="n"/>
      <c r="P6" s="656" t="n"/>
      <c r="Q6" s="656" t="n"/>
      <c r="R6" s="656" t="n"/>
      <c r="S6" s="656" t="n"/>
      <c r="T6" s="656" t="n"/>
      <c r="U6" s="656" t="n"/>
      <c r="V6" s="656" t="n"/>
      <c r="W6" s="656" t="n"/>
      <c r="X6" s="656" t="n"/>
      <c r="Y6" s="656" t="n"/>
      <c r="Z6" s="656" t="n"/>
      <c r="AA6" s="656" t="n"/>
    </row>
    <row r="7" ht="25.5" customHeight="1" s="7635">
      <c r="A7" s="11602" t="n"/>
      <c r="B7" s="6680" t="inlineStr">
        <is>
          <t>2</t>
        </is>
      </c>
      <c r="C7" s="6682" t="inlineStr">
        <is>
          <t>Payer made direct sales of $5,000 or more of consumer productes to recipient for resale</t>
        </is>
      </c>
      <c r="D7" s="6683" t="inlineStr">
        <is>
          <t>Y/ N</t>
        </is>
      </c>
      <c r="E7" s="6684" t="inlineStr">
        <is>
          <t>Y/ N</t>
        </is>
      </c>
      <c r="F7" s="6684" t="inlineStr">
        <is>
          <t>Y/ N</t>
        </is>
      </c>
      <c r="G7" s="6684" t="inlineStr">
        <is>
          <t>Y/ N</t>
        </is>
      </c>
      <c r="H7" s="6684" t="inlineStr">
        <is>
          <t>Y/ N</t>
        </is>
      </c>
      <c r="I7" s="6684" t="inlineStr">
        <is>
          <t>Y/ N</t>
        </is>
      </c>
      <c r="J7" s="6695" t="inlineStr">
        <is>
          <t>---</t>
        </is>
      </c>
      <c r="K7" s="4736" t="n"/>
      <c r="L7" s="4665" t="n"/>
      <c r="M7" s="656" t="n"/>
      <c r="N7" s="656" t="n"/>
      <c r="O7" s="656" t="n"/>
      <c r="P7" s="656" t="n"/>
      <c r="Q7" s="656" t="n"/>
      <c r="R7" s="656" t="n"/>
      <c r="S7" s="656" t="n"/>
      <c r="T7" s="656" t="n"/>
      <c r="U7" s="656" t="n"/>
      <c r="V7" s="656" t="n"/>
      <c r="W7" s="656" t="n"/>
      <c r="X7" s="656" t="n"/>
      <c r="Y7" s="656" t="n"/>
      <c r="Z7" s="656" t="n"/>
      <c r="AA7" s="656" t="n"/>
    </row>
    <row r="8" ht="13.5" customHeight="1" s="7635">
      <c r="A8" s="11602" t="n"/>
      <c r="B8" s="4734" t="inlineStr">
        <is>
          <t>3</t>
        </is>
      </c>
      <c r="C8" s="4741" t="inlineStr">
        <is>
          <t>Excess golden parachute payments</t>
        </is>
      </c>
      <c r="D8" s="6686" t="n"/>
      <c r="E8" s="6687" t="n"/>
      <c r="F8" s="1121" t="n"/>
      <c r="G8" s="6687" t="n"/>
      <c r="H8" s="6687" t="n"/>
      <c r="I8" s="6687" t="n"/>
      <c r="J8" s="4735">
        <f>ROUND(SUM(D8:I8),0)</f>
        <v/>
      </c>
      <c r="K8" s="4681">
        <f>IF(Needs_SALT,"'Sch. 1, Line 1 (SALT)'. (State &amp; Local Tax)","")</f>
        <v/>
      </c>
      <c r="L8" s="4665" t="n"/>
      <c r="M8" s="656" t="n"/>
      <c r="N8" s="656" t="n"/>
      <c r="O8" s="656" t="n"/>
      <c r="P8" s="656" t="n"/>
      <c r="Q8" s="656" t="n"/>
      <c r="R8" s="656" t="n"/>
      <c r="S8" s="656" t="n"/>
      <c r="T8" s="656" t="n"/>
      <c r="U8" s="656" t="n"/>
      <c r="V8" s="656" t="n"/>
      <c r="W8" s="656" t="n"/>
      <c r="X8" s="656" t="n"/>
      <c r="Y8" s="656" t="n"/>
      <c r="Z8" s="656" t="n"/>
      <c r="AA8" s="656" t="n"/>
    </row>
    <row r="9" ht="13.5" customHeight="1" s="7635">
      <c r="A9" s="11602" t="n"/>
      <c r="B9" s="4734" t="n">
        <v>4</v>
      </c>
      <c r="C9" s="4676" t="inlineStr">
        <is>
          <t>Federal income tax withheld</t>
        </is>
      </c>
      <c r="D9" s="1120" t="n"/>
      <c r="E9" s="1121" t="n"/>
      <c r="F9" s="1121" t="n"/>
      <c r="G9" s="1121" t="n"/>
      <c r="H9" s="1121" t="n"/>
      <c r="I9" s="1121" t="n"/>
      <c r="J9" s="4735">
        <f>ROUND(SUM(D9:I9),0)</f>
        <v/>
      </c>
      <c r="K9" s="4076" t="n"/>
      <c r="L9" s="4665" t="n"/>
      <c r="M9" s="656" t="n"/>
      <c r="N9" s="656" t="n"/>
      <c r="O9" s="656" t="n"/>
      <c r="P9" s="656" t="n"/>
      <c r="Q9" s="656" t="n"/>
      <c r="R9" s="656" t="n"/>
      <c r="S9" s="656" t="n"/>
      <c r="T9" s="656" t="n"/>
      <c r="U9" s="656" t="n"/>
      <c r="V9" s="656" t="n"/>
      <c r="W9" s="656" t="n"/>
      <c r="X9" s="656" t="n"/>
      <c r="Y9" s="656" t="n"/>
      <c r="Z9" s="656" t="n"/>
      <c r="AA9" s="656" t="n"/>
    </row>
    <row r="10">
      <c r="A10" s="11602" t="n"/>
      <c r="B10" s="4734" t="inlineStr">
        <is>
          <t>5</t>
        </is>
      </c>
      <c r="C10" s="4676" t="inlineStr">
        <is>
          <t>State tax withheld</t>
        </is>
      </c>
      <c r="D10" s="1120" t="n"/>
      <c r="E10" s="1121" t="n"/>
      <c r="F10" s="1121" t="n"/>
      <c r="G10" s="1121" t="n"/>
      <c r="H10" s="1121" t="n"/>
      <c r="I10" s="1121" t="n"/>
      <c r="J10" s="4735">
        <f>ROUND(SUM(D10:I10),0)</f>
        <v/>
      </c>
      <c r="K10" s="3298" t="n"/>
      <c r="L10" s="4665" t="n"/>
      <c r="M10" s="656" t="n"/>
      <c r="N10" s="656" t="n"/>
      <c r="O10" s="656" t="n"/>
      <c r="P10" s="656" t="n"/>
      <c r="Q10" s="656" t="n"/>
      <c r="R10" s="656" t="n"/>
      <c r="S10" s="656" t="n"/>
      <c r="T10" s="656" t="n"/>
      <c r="U10" s="656" t="n"/>
      <c r="V10" s="656" t="n"/>
      <c r="W10" s="656" t="n"/>
      <c r="X10" s="656" t="n"/>
      <c r="Y10" s="656" t="n"/>
      <c r="Z10" s="656" t="n"/>
      <c r="AA10" s="656" t="n"/>
    </row>
    <row r="11">
      <c r="B11" s="2623" t="inlineStr">
        <is>
          <t>6</t>
        </is>
      </c>
      <c r="C11" s="4741" t="inlineStr">
        <is>
          <t>State/Payer's state no.</t>
        </is>
      </c>
      <c r="D11" s="1120" t="n"/>
      <c r="E11" s="1121" t="n"/>
      <c r="F11" s="1121" t="n"/>
      <c r="G11" s="1121" t="n"/>
      <c r="H11" s="1121" t="n"/>
      <c r="I11" s="1121" t="n"/>
      <c r="J11" s="4735">
        <f>ROUND(SUM(D11:I11),0)</f>
        <v/>
      </c>
      <c r="K11" s="3298" t="n"/>
      <c r="L11" s="4665" t="n"/>
      <c r="M11" s="656" t="n"/>
      <c r="N11" s="656" t="n"/>
      <c r="O11" s="656" t="n"/>
      <c r="P11" s="656" t="n"/>
      <c r="Q11" s="656" t="n"/>
      <c r="R11" s="656" t="n"/>
      <c r="S11" s="656" t="n"/>
      <c r="T11" s="656" t="n"/>
      <c r="U11" s="656" t="n"/>
      <c r="V11" s="656" t="n"/>
      <c r="W11" s="656" t="n"/>
      <c r="X11" s="656" t="n"/>
      <c r="Y11" s="656" t="n"/>
      <c r="Z11" s="656" t="n"/>
      <c r="AA11" s="656" t="n"/>
    </row>
    <row r="12" ht="13.5" customHeight="1" s="7635" thickBot="1">
      <c r="A12" s="11602" t="n"/>
      <c r="B12" s="4743" t="n">
        <v>7</v>
      </c>
      <c r="C12" s="6685" t="inlineStr">
        <is>
          <t>State income</t>
        </is>
      </c>
      <c r="D12" s="6690" t="n"/>
      <c r="E12" s="6691" t="n"/>
      <c r="F12" s="6691" t="n"/>
      <c r="G12" s="6691" t="n"/>
      <c r="H12" s="6691" t="n"/>
      <c r="I12" s="6691" t="n"/>
      <c r="J12" s="4744">
        <f>ROUND(SUM(D12:I12),0)</f>
        <v/>
      </c>
      <c r="K12" s="4745" t="n"/>
      <c r="L12" s="4665" t="n"/>
      <c r="M12" s="656" t="n"/>
      <c r="N12" s="656" t="n"/>
      <c r="O12" s="656" t="n"/>
      <c r="P12" s="656" t="n"/>
      <c r="Q12" s="656" t="n"/>
      <c r="R12" s="656" t="n"/>
      <c r="S12" s="656" t="n"/>
      <c r="T12" s="656" t="n"/>
      <c r="U12" s="656" t="n"/>
      <c r="V12" s="656" t="n"/>
      <c r="W12" s="656" t="n"/>
      <c r="X12" s="656" t="n"/>
      <c r="Y12" s="656" t="n"/>
      <c r="Z12" s="656" t="n"/>
      <c r="AA12" s="656" t="n"/>
    </row>
    <row r="13" ht="17.25" customHeight="1" s="7635">
      <c r="A13" s="11602" t="n"/>
      <c r="B13" s="580" t="inlineStr">
        <is>
          <t xml:space="preserve">  Only bolded amounts are used in this spreadsheet.</t>
        </is>
      </c>
      <c r="C13" s="11602" t="n"/>
      <c r="D13" s="11602" t="n"/>
      <c r="E13" s="11602" t="n"/>
      <c r="F13" s="11602" t="n"/>
      <c r="G13" s="11602" t="n"/>
      <c r="H13" s="11602" t="n"/>
      <c r="I13" s="11602" t="n"/>
      <c r="J13" s="11602" t="n"/>
      <c r="K13" s="4745" t="n"/>
      <c r="L13" s="4665" t="n"/>
      <c r="M13" s="656" t="n"/>
      <c r="N13" s="656" t="n"/>
      <c r="O13" s="656" t="n"/>
      <c r="P13" s="656" t="n"/>
      <c r="Q13" s="656" t="n"/>
      <c r="R13" s="656" t="n"/>
      <c r="S13" s="656" t="n"/>
      <c r="T13" s="656" t="n"/>
      <c r="U13" s="656" t="n"/>
      <c r="V13" s="656" t="n"/>
      <c r="W13" s="656" t="n"/>
      <c r="X13" s="656" t="n"/>
      <c r="Y13" s="656" t="n"/>
      <c r="Z13" s="656" t="n"/>
      <c r="AA13" s="656" t="n"/>
    </row>
    <row r="14" ht="13.5" customFormat="1" customHeight="1" s="9160" thickBot="1">
      <c r="A14" s="9068" t="n"/>
      <c r="B14" s="9068" t="n"/>
      <c r="C14" s="9068" t="n"/>
      <c r="D14" s="9068" t="n"/>
      <c r="E14" s="9068" t="n"/>
      <c r="F14" s="9068" t="n"/>
      <c r="G14" s="9068" t="n"/>
      <c r="H14" s="9068" t="n"/>
      <c r="I14" s="9068" t="n"/>
      <c r="J14" s="9068">
        <f>IF(J3&lt;&gt;"",J3,"")</f>
        <v/>
      </c>
      <c r="K14" s="4745" t="n"/>
      <c r="L14" s="4665" t="n"/>
      <c r="M14" s="715" t="n"/>
      <c r="N14" s="715" t="n"/>
      <c r="O14" s="715" t="n"/>
      <c r="P14" s="715" t="n"/>
      <c r="Q14" s="715" t="n"/>
      <c r="R14" s="715" t="n"/>
      <c r="S14" s="715" t="n"/>
      <c r="T14" s="715" t="n"/>
      <c r="U14" s="715" t="n"/>
      <c r="V14" s="715" t="n"/>
      <c r="W14" s="715" t="n"/>
      <c r="X14" s="715" t="n"/>
      <c r="Y14" s="715" t="n"/>
      <c r="Z14" s="715" t="n"/>
      <c r="AA14" s="715" t="n"/>
    </row>
    <row r="15" ht="42" customHeight="1" s="7635" thickBot="1" thickTop="1">
      <c r="A15" s="257" t="n"/>
      <c r="B15" s="1534" t="n"/>
      <c r="C15" s="4664">
        <f>IF(Name_1st_Sp="","Enter your spouse's name on"&amp;CHAR(10)&amp;"the sheet labeled '1040'",NameSpouse)</f>
        <v/>
      </c>
      <c r="D15" s="458" t="inlineStr">
        <is>
          <t>Payer #1</t>
        </is>
      </c>
      <c r="E15" s="458" t="inlineStr">
        <is>
          <t>Payer #2</t>
        </is>
      </c>
      <c r="F15" s="458" t="inlineStr">
        <is>
          <t>Payer #3</t>
        </is>
      </c>
      <c r="G15" s="458" t="inlineStr">
        <is>
          <t>Payer #4</t>
        </is>
      </c>
      <c r="H15" s="458" t="inlineStr">
        <is>
          <t>Payer #5</t>
        </is>
      </c>
      <c r="I15" s="458" t="inlineStr">
        <is>
          <t>Spouse Total</t>
        </is>
      </c>
      <c r="J15" s="458" t="inlineStr">
        <is>
          <t>Total</t>
        </is>
      </c>
      <c r="K15" s="4720" t="inlineStr">
        <is>
          <t>Used at:</t>
        </is>
      </c>
      <c r="L15" s="4665" t="n"/>
      <c r="M15" s="656" t="n"/>
      <c r="N15" s="656" t="n"/>
      <c r="O15" s="656" t="n"/>
      <c r="P15" s="656" t="n"/>
      <c r="Q15" s="656" t="n"/>
      <c r="R15" s="656" t="n"/>
      <c r="S15" s="656" t="n"/>
      <c r="T15" s="656" t="n"/>
      <c r="U15" s="656" t="n"/>
      <c r="V15" s="656" t="n"/>
      <c r="W15" s="656" t="n"/>
      <c r="X15" s="656" t="n"/>
      <c r="Y15" s="656" t="n"/>
      <c r="Z15" s="656" t="n"/>
      <c r="AA15" s="656" t="n"/>
    </row>
    <row r="16">
      <c r="A16" s="11602" t="n"/>
      <c r="B16" s="4666" t="n"/>
      <c r="C16" s="4667" t="inlineStr">
        <is>
          <t>PAYER's name</t>
        </is>
      </c>
      <c r="D16" s="601" t="n"/>
      <c r="E16" s="602" t="n"/>
      <c r="F16" s="602" t="n"/>
      <c r="G16" s="602" t="n"/>
      <c r="H16" s="602" t="n"/>
      <c r="I16" s="4687" t="n"/>
      <c r="J16" s="6692" t="inlineStr">
        <is>
          <t>---</t>
        </is>
      </c>
      <c r="K16" s="4688" t="n"/>
      <c r="L16" s="11602" t="n"/>
      <c r="M16" s="656" t="n"/>
      <c r="N16" s="656" t="n"/>
      <c r="O16" s="656" t="n"/>
      <c r="P16" s="656" t="n"/>
      <c r="Q16" s="656" t="n"/>
      <c r="R16" s="656" t="n"/>
      <c r="S16" s="656" t="n"/>
      <c r="T16" s="656" t="n"/>
      <c r="U16" s="656" t="n"/>
      <c r="V16" s="656" t="n"/>
      <c r="W16" s="656" t="n"/>
      <c r="X16" s="656" t="n"/>
      <c r="Y16" s="656" t="n"/>
      <c r="Z16" s="656" t="n"/>
      <c r="AA16" s="1022" t="n"/>
    </row>
    <row r="17">
      <c r="A17" s="11602" t="n"/>
      <c r="B17" s="4668" t="n"/>
      <c r="C17" s="4669" t="inlineStr">
        <is>
          <t>PAYER's Federal ID number</t>
        </is>
      </c>
      <c r="D17" s="629" t="n"/>
      <c r="E17" s="630" t="n"/>
      <c r="F17" s="630" t="n"/>
      <c r="G17" s="630" t="n"/>
      <c r="H17" s="630" t="n"/>
      <c r="I17" s="4689" t="n"/>
      <c r="J17" s="6693" t="inlineStr">
        <is>
          <t>---</t>
        </is>
      </c>
      <c r="K17" s="4690" t="n"/>
      <c r="L17" s="11602" t="n"/>
      <c r="M17" s="656" t="n"/>
      <c r="N17" s="656" t="n"/>
      <c r="O17" s="656" t="n"/>
      <c r="P17" s="656" t="n"/>
      <c r="Q17" s="656" t="n"/>
      <c r="R17" s="656" t="n"/>
      <c r="S17" s="656" t="n"/>
      <c r="T17" s="656" t="n"/>
      <c r="U17" s="656" t="n"/>
      <c r="V17" s="656" t="n"/>
      <c r="W17" s="656" t="n"/>
      <c r="X17" s="656" t="n"/>
      <c r="Y17" s="656" t="n"/>
      <c r="Z17" s="656" t="n"/>
      <c r="AA17" s="1022" t="n"/>
    </row>
    <row r="18" ht="13.5" customHeight="1" s="7635" thickBot="1">
      <c r="A18" s="11602" t="n"/>
      <c r="B18" s="4670" t="n"/>
      <c r="C18" s="4671" t="inlineStr">
        <is>
          <t>Account number</t>
        </is>
      </c>
      <c r="D18" s="632" t="n"/>
      <c r="E18" s="633" t="n"/>
      <c r="F18" s="633" t="n"/>
      <c r="G18" s="633" t="n"/>
      <c r="H18" s="633" t="n"/>
      <c r="I18" s="4691" t="n"/>
      <c r="J18" s="6694" t="inlineStr">
        <is>
          <t>---</t>
        </is>
      </c>
      <c r="K18" s="4690">
        <f>SUM(ForeignTaxPaid_INT,ForeignTaxPaid_DIV)</f>
        <v/>
      </c>
      <c r="L18" s="11602" t="n"/>
      <c r="M18" s="656" t="n"/>
      <c r="N18" s="656" t="n"/>
      <c r="O18" s="656" t="n"/>
      <c r="P18" s="656" t="n"/>
      <c r="Q18" s="656" t="n"/>
      <c r="R18" s="656" t="n"/>
      <c r="S18" s="656" t="n"/>
      <c r="T18" s="656" t="n"/>
      <c r="U18" s="656" t="n"/>
      <c r="V18" s="656" t="n"/>
      <c r="W18" s="656" t="n"/>
      <c r="X18" s="656" t="n"/>
      <c r="Y18" s="656" t="n"/>
      <c r="Z18" s="656" t="n"/>
      <c r="AA18" s="1022" t="n"/>
    </row>
    <row r="19" ht="13.5" customHeight="1" s="7635">
      <c r="A19" s="11602" t="n"/>
      <c r="B19" s="4731" t="inlineStr">
        <is>
          <t>1</t>
        </is>
      </c>
      <c r="C19" s="4673" t="inlineStr">
        <is>
          <t>Nonemployee compensation</t>
        </is>
      </c>
      <c r="D19" s="6688" t="n"/>
      <c r="E19" s="6689" t="n"/>
      <c r="F19" s="6689" t="n"/>
      <c r="G19" s="6689" t="n"/>
      <c r="H19" s="6689" t="n"/>
      <c r="I19" s="4732">
        <f>ROUND(SUM(D19:H19),0)</f>
        <v/>
      </c>
      <c r="J19" s="4732">
        <f>SUM(NonEmployeeComp_You,NonEmployeeComp_Spouse)</f>
        <v/>
      </c>
      <c r="K19" s="4733" t="inlineStr">
        <is>
          <t>Sch C, line 1 (for your spouse)</t>
        </is>
      </c>
      <c r="L19" s="11602" t="n"/>
      <c r="M19" s="656" t="n"/>
      <c r="N19" s="656" t="n"/>
      <c r="O19" s="656" t="n"/>
      <c r="P19" s="656" t="n"/>
      <c r="Q19" s="656" t="n"/>
      <c r="R19" s="656" t="n"/>
      <c r="S19" s="656" t="n"/>
      <c r="T19" s="656" t="n"/>
      <c r="U19" s="656" t="n"/>
      <c r="V19" s="656" t="n"/>
      <c r="W19" s="656" t="n"/>
      <c r="X19" s="656" t="n"/>
      <c r="Y19" s="656" t="n"/>
      <c r="Z19" s="656" t="n"/>
      <c r="AA19" s="1022" t="n"/>
    </row>
    <row r="20" ht="25.5" customHeight="1" s="7635">
      <c r="A20" s="11602" t="n"/>
      <c r="B20" s="6680" t="inlineStr">
        <is>
          <t>2</t>
        </is>
      </c>
      <c r="C20" s="6682" t="inlineStr">
        <is>
          <t>Payer made direct sales of $5,000 or more of consumer productes to recipient for resale</t>
        </is>
      </c>
      <c r="D20" s="6683" t="inlineStr">
        <is>
          <t>Y/ N</t>
        </is>
      </c>
      <c r="E20" s="6684" t="inlineStr">
        <is>
          <t>Y/ N</t>
        </is>
      </c>
      <c r="F20" s="6684" t="inlineStr">
        <is>
          <t>Y/ N</t>
        </is>
      </c>
      <c r="G20" s="6684" t="inlineStr">
        <is>
          <t>Y/ N</t>
        </is>
      </c>
      <c r="H20" s="6684" t="inlineStr">
        <is>
          <t>Y/ N</t>
        </is>
      </c>
      <c r="I20" s="6695" t="inlineStr">
        <is>
          <t>---</t>
        </is>
      </c>
      <c r="J20" s="6695" t="inlineStr">
        <is>
          <t>---</t>
        </is>
      </c>
      <c r="K20" s="4736" t="n"/>
      <c r="L20" s="11602" t="n"/>
      <c r="M20" s="656" t="n"/>
      <c r="N20" s="656" t="n"/>
      <c r="O20" s="656" t="n"/>
      <c r="P20" s="656" t="n"/>
      <c r="Q20" s="656" t="n"/>
      <c r="R20" s="656" t="n"/>
      <c r="S20" s="656" t="n"/>
      <c r="T20" s="656" t="n"/>
      <c r="U20" s="656" t="n"/>
      <c r="V20" s="656" t="n"/>
      <c r="W20" s="656" t="n"/>
      <c r="X20" s="656" t="n"/>
      <c r="Y20" s="656" t="n"/>
      <c r="Z20" s="656" t="n"/>
      <c r="AA20" s="1022" t="n"/>
    </row>
    <row r="21" ht="13.5" customHeight="1" s="7635">
      <c r="A21" s="11602" t="n"/>
      <c r="B21" s="4734" t="inlineStr">
        <is>
          <t>3</t>
        </is>
      </c>
      <c r="C21" s="4741" t="inlineStr">
        <is>
          <t>Excess golden parachute payments</t>
        </is>
      </c>
      <c r="D21" s="1120" t="n"/>
      <c r="E21" s="1121" t="n"/>
      <c r="F21" s="1121" t="n"/>
      <c r="G21" s="1121" t="n"/>
      <c r="H21" s="1121" t="n"/>
      <c r="I21" s="4735">
        <f>ROUND(SUM(D21:H21),0)</f>
        <v/>
      </c>
      <c r="J21" s="4735">
        <f>SUM(J8,I21)</f>
        <v/>
      </c>
      <c r="K21" s="4722" t="n"/>
      <c r="L21" s="11602" t="n"/>
      <c r="M21" s="656" t="n"/>
      <c r="N21" s="656" t="n"/>
      <c r="O21" s="656" t="n"/>
      <c r="P21" s="656" t="n"/>
      <c r="Q21" s="656" t="n"/>
      <c r="R21" s="656" t="n"/>
      <c r="S21" s="656" t="n"/>
      <c r="T21" s="656" t="n"/>
      <c r="U21" s="656" t="n"/>
      <c r="V21" s="656" t="n"/>
      <c r="W21" s="656" t="n"/>
      <c r="X21" s="656" t="n"/>
      <c r="Y21" s="656" t="n"/>
      <c r="Z21" s="656" t="n"/>
      <c r="AA21" s="1022" t="n"/>
    </row>
    <row r="22" ht="13.5" customHeight="1" s="7635">
      <c r="A22" s="11602" t="n"/>
      <c r="B22" s="4734" t="n">
        <v>4</v>
      </c>
      <c r="C22" s="4676" t="inlineStr">
        <is>
          <t>Federal income tax withheld</t>
        </is>
      </c>
      <c r="D22" s="1120" t="n"/>
      <c r="E22" s="1121" t="n"/>
      <c r="F22" s="1121" t="n"/>
      <c r="G22" s="1121" t="n"/>
      <c r="H22" s="1121" t="n"/>
      <c r="I22" s="4735">
        <f>ROUND(SUM(D22:H22),0)</f>
        <v/>
      </c>
      <c r="J22" s="4735">
        <f>SUM(J9,I22)</f>
        <v/>
      </c>
      <c r="K22" s="4722" t="inlineStr">
        <is>
          <t>Form 1040, line 25b</t>
        </is>
      </c>
      <c r="L22" s="11602" t="n"/>
      <c r="M22" s="656" t="n"/>
      <c r="N22" s="656" t="n"/>
      <c r="O22" s="656" t="n"/>
      <c r="P22" s="656" t="n"/>
      <c r="Q22" s="656" t="n"/>
      <c r="R22" s="656" t="n"/>
      <c r="S22" s="656" t="n"/>
      <c r="T22" s="656" t="n"/>
      <c r="U22" s="656" t="n"/>
      <c r="V22" s="656" t="n"/>
      <c r="W22" s="656" t="n"/>
      <c r="X22" s="656" t="n"/>
      <c r="Y22" s="656" t="n"/>
      <c r="Z22" s="656" t="n"/>
      <c r="AA22" s="1022" t="n"/>
    </row>
    <row r="23" ht="26.25" customHeight="1" s="7635">
      <c r="A23" s="11602" t="n"/>
      <c r="B23" s="4734" t="inlineStr">
        <is>
          <t>5</t>
        </is>
      </c>
      <c r="C23" s="4676" t="inlineStr">
        <is>
          <t>State tax withheld</t>
        </is>
      </c>
      <c r="D23" s="1120" t="n"/>
      <c r="E23" s="1121" t="n"/>
      <c r="F23" s="1121" t="n"/>
      <c r="G23" s="1121" t="n"/>
      <c r="H23" s="1121" t="n"/>
      <c r="I23" s="4735">
        <f>ROUND(SUM(D23:H23),0)</f>
        <v/>
      </c>
      <c r="J23" s="4735">
        <f>SUM(J10,I23)</f>
        <v/>
      </c>
      <c r="K23" s="4722" t="inlineStr">
        <is>
          <t>Sch. A, line 5a</t>
        </is>
      </c>
      <c r="L23" s="11602" t="n"/>
      <c r="M23" s="656" t="n"/>
      <c r="N23" s="656" t="n"/>
      <c r="O23" s="656" t="n"/>
      <c r="P23" s="656" t="n"/>
      <c r="Q23" s="656" t="n"/>
      <c r="R23" s="656" t="n"/>
      <c r="S23" s="656" t="n"/>
      <c r="T23" s="656" t="n"/>
      <c r="U23" s="656" t="n"/>
      <c r="V23" s="656" t="n"/>
      <c r="W23" s="656" t="n"/>
      <c r="X23" s="656" t="n"/>
      <c r="Y23" s="656" t="n"/>
      <c r="Z23" s="656" t="n"/>
      <c r="AA23" s="1022" t="n"/>
    </row>
    <row r="24">
      <c r="A24" s="11602" t="n"/>
      <c r="B24" s="2623" t="inlineStr">
        <is>
          <t>6</t>
        </is>
      </c>
      <c r="C24" s="4741" t="inlineStr">
        <is>
          <t>State/Payer's state no.</t>
        </is>
      </c>
      <c r="D24" s="1120" t="n"/>
      <c r="E24" s="1121" t="n"/>
      <c r="F24" s="1121" t="n"/>
      <c r="G24" s="1121" t="n"/>
      <c r="H24" s="1121" t="n"/>
      <c r="I24" s="4735">
        <f>ROUND(SUM(D24:H24),0)</f>
        <v/>
      </c>
      <c r="J24" s="4735">
        <f>SUM(J11,I24)</f>
        <v/>
      </c>
      <c r="K24" s="4693" t="n"/>
      <c r="L24" s="11602" t="n"/>
      <c r="M24" s="656" t="n"/>
      <c r="N24" s="656" t="n"/>
      <c r="O24" s="656" t="n"/>
      <c r="P24" s="656" t="n"/>
      <c r="Q24" s="656" t="n"/>
      <c r="R24" s="656" t="n"/>
      <c r="S24" s="656" t="n"/>
      <c r="T24" s="656" t="n"/>
      <c r="U24" s="656" t="n"/>
      <c r="V24" s="656" t="n"/>
      <c r="W24" s="656" t="n"/>
      <c r="X24" s="656" t="n"/>
      <c r="Y24" s="656" t="n"/>
      <c r="Z24" s="656" t="n"/>
      <c r="AA24" s="1022" t="n"/>
    </row>
    <row r="25" ht="13.5" customHeight="1" s="7635" thickBot="1">
      <c r="A25" s="11602" t="n"/>
      <c r="B25" s="4743" t="n">
        <v>7</v>
      </c>
      <c r="C25" s="6685" t="inlineStr">
        <is>
          <t>State income</t>
        </is>
      </c>
      <c r="D25" s="6690" t="n"/>
      <c r="E25" s="6691" t="n"/>
      <c r="F25" s="6691" t="n"/>
      <c r="G25" s="6691" t="n"/>
      <c r="H25" s="6691" t="n"/>
      <c r="I25" s="4744">
        <f>ROUND(SUM(D25:H25),0)</f>
        <v/>
      </c>
      <c r="J25" s="4744">
        <f>SUM(J12,I25)</f>
        <v/>
      </c>
      <c r="K25" s="4693" t="n"/>
      <c r="L25" s="11602" t="n"/>
      <c r="M25" s="656" t="n"/>
      <c r="N25" s="656" t="n"/>
      <c r="O25" s="656" t="n"/>
      <c r="P25" s="656" t="n"/>
      <c r="Q25" s="656" t="n"/>
      <c r="R25" s="656" t="n"/>
      <c r="S25" s="656" t="n"/>
      <c r="T25" s="656" t="n"/>
      <c r="U25" s="656" t="n"/>
      <c r="V25" s="656" t="n"/>
      <c r="W25" s="656" t="n"/>
      <c r="X25" s="656" t="n"/>
      <c r="Y25" s="656" t="n"/>
      <c r="Z25" s="656" t="n"/>
      <c r="AA25" s="1022" t="n"/>
    </row>
    <row r="26" ht="17.25" customHeight="1" s="7635" thickBot="1">
      <c r="A26" s="88" t="n"/>
      <c r="B26" s="580" t="inlineStr">
        <is>
          <t xml:space="preserve">  Only bolded amounts are used in this spreadsheet.</t>
        </is>
      </c>
      <c r="C26" s="88" t="n"/>
      <c r="D26" s="88" t="n"/>
      <c r="E26" s="88" t="n"/>
      <c r="F26" s="88" t="n"/>
      <c r="G26" s="88" t="n"/>
      <c r="H26" s="88" t="n"/>
      <c r="I26" s="88" t="n"/>
      <c r="J26" s="88" t="n"/>
      <c r="K26" s="88" t="n"/>
      <c r="L26" s="11602" t="n"/>
      <c r="M26" s="656" t="n"/>
      <c r="N26" s="656" t="n"/>
      <c r="O26" s="656" t="n"/>
      <c r="P26" s="656" t="n"/>
      <c r="Q26" s="656" t="n"/>
      <c r="R26" s="656" t="n"/>
      <c r="S26" s="656" t="n"/>
      <c r="T26" s="656" t="n"/>
      <c r="U26" s="656" t="n"/>
      <c r="V26" s="656" t="n"/>
      <c r="W26" s="656" t="n"/>
      <c r="X26" s="656" t="n"/>
      <c r="Y26" s="656" t="n"/>
      <c r="Z26" s="656" t="n"/>
      <c r="AA26" s="1022" t="n"/>
    </row>
    <row r="27" ht="13.5" customHeight="1" s="7635" thickTop="1">
      <c r="A27" s="9668" t="n"/>
    </row>
    <row r="28"/>
    <row r="29" ht="13.5" customHeight="1" s="7635" thickBot="1"/>
    <row r="30">
      <c r="C30" s="4701" t="n"/>
    </row>
    <row r="31">
      <c r="C31" s="4636" t="inlineStr">
        <is>
          <t>Table of Contents</t>
        </is>
      </c>
    </row>
    <row r="32" ht="13.5" customHeight="1" s="7635" thickBot="1">
      <c r="C32" s="4702" t="n"/>
    </row>
  </sheetData>
  <sheetProtection selectLockedCells="0" selectUnlockedCells="0" algorithmName="SHA-512" sheet="1" objects="1" insertRows="1" insertHyperlinks="1" autoFilter="1" scenarios="1" formatColumns="0" deleteColumns="1" insertColumns="1" pivotTables="1" deleteRows="1" formatCells="0" saltValue="kcJO7Z060sDiTqRYQTHW0A==" formatRows="0" sort="1" spinCount="100000" hashValue="SaJbVUQeuLqaVhv7xx05OZu1wV8M/4VKv37LkGoDa+zXvj/NVx0idH2zidAay/dXN/aeoYxe/mItyhWPSpVMIw=="/>
  <conditionalFormatting sqref="D2:I12 D15:H25">
    <cfRule type="expression" priority="14" dxfId="121">
      <formula>IF(NoColor,1,0)</formula>
    </cfRule>
  </conditionalFormatting>
  <conditionalFormatting sqref="I15:J15">
    <cfRule type="expression" priority="12" dxfId="121">
      <formula>IF(NoColor,1,0)</formula>
    </cfRule>
  </conditionalFormatting>
  <conditionalFormatting sqref="I16:J25">
    <cfRule type="expression" priority="1" dxfId="6">
      <formula>NoColor</formula>
    </cfRule>
  </conditionalFormatting>
  <conditionalFormatting sqref="J2">
    <cfRule type="expression" priority="8" dxfId="121">
      <formula>IF(NoColor,1,0)</formula>
    </cfRule>
  </conditionalFormatting>
  <conditionalFormatting sqref="J3:J12">
    <cfRule type="expression" priority="2" dxfId="6">
      <formula>NoColor</formula>
    </cfRule>
  </conditionalFormatting>
  <conditionalFormatting sqref="K7">
    <cfRule type="expression" priority="13" dxfId="158">
      <formula>Needs_SALT</formula>
    </cfRule>
  </conditionalFormatting>
  <conditionalFormatting sqref="K12 K14">
    <cfRule type="expression" priority="3" dxfId="3658">
      <formula>"AND('Sch. 1 Line 8 WS'!AP2,'Sch. 1 Line 8 WS'!AI7="""")"</formula>
    </cfRule>
  </conditionalFormatting>
  <conditionalFormatting sqref="K20">
    <cfRule type="expression" priority="15" dxfId="158">
      <formula>Needs_SALT</formula>
    </cfRule>
  </conditionalFormatting>
  <hyperlinks>
    <hyperlink ref="C31" location="'Table of Contents'!A1" display="Table of Contents"/>
  </hyperlinks>
  <pageMargins left="0.75" right="0.25" top="0.36" bottom="0.29" header="0.36" footer="0.21"/>
  <pageSetup orientation="landscape" scale="36" fitToHeight="0"/>
</worksheet>
</file>

<file path=xl/worksheets/sheet11.xml><?xml version="1.0" encoding="utf-8"?>
<worksheet xmlns="http://schemas.openxmlformats.org/spreadsheetml/2006/main">
  <sheetPr codeName="Sheet2">
    <outlinePr summaryBelow="1" summaryRight="1"/>
    <pageSetUpPr fitToPage="1"/>
  </sheetPr>
  <dimension ref="A1:BG87"/>
  <sheetViews>
    <sheetView zoomScale="110" zoomScaleNormal="110" zoomScaleSheetLayoutView="100" workbookViewId="0">
      <pane ySplit="1" topLeftCell="A2" activePane="bottomLeft" state="frozen"/>
      <selection activeCell="E24" sqref="E24"/>
      <selection pane="bottomLeft" activeCell="A1" sqref="A1"/>
    </sheetView>
  </sheetViews>
  <sheetFormatPr baseColWidth="8" defaultRowHeight="12.75"/>
  <cols>
    <col width="2.5703125" customWidth="1" style="7635" min="1" max="1"/>
    <col width="4.42578125" customWidth="1" style="7635" min="2" max="2"/>
    <col width="44" customWidth="1" style="7635" min="3" max="3"/>
    <col width="13.140625" customWidth="1" style="7635" min="4" max="12"/>
    <col width="13.42578125" customWidth="1" style="7635" min="13" max="13"/>
    <col width="12.42578125" customWidth="1" style="7635" min="14" max="15"/>
    <col width="6.7109375" customWidth="1" style="7635" min="16" max="16"/>
    <col hidden="1" width="9.140625" customWidth="1" style="7635" min="17" max="25"/>
    <col hidden="1" width="6.42578125" customWidth="1" style="7635" min="26" max="26"/>
    <col hidden="1" width="9.140625" customWidth="1" style="7635" min="27" max="35"/>
    <col hidden="1" width="6.42578125" customWidth="1" style="7635" min="36" max="36"/>
    <col hidden="1" width="9.140625" customWidth="1" style="7635" min="37" max="45"/>
    <col width="9.140625" customWidth="1" style="7635" min="46" max="46"/>
    <col width="9.140625" customWidth="1" style="658" min="47" max="59"/>
  </cols>
  <sheetData>
    <row r="1" ht="36.75" customFormat="1" customHeight="1" s="591" thickBot="1">
      <c r="A1" s="116" t="n"/>
      <c r="B1" s="592" t="inlineStr">
        <is>
          <t>Information from Form 1099-R, Distributions From Pensions, Annuities, Retirement or Profit-Sharing  Plans, IRAs, Insurance Contracts, etc.</t>
        </is>
      </c>
      <c r="C1" s="587" t="n"/>
      <c r="D1" s="588" t="n"/>
      <c r="E1" s="588" t="n"/>
      <c r="F1" s="588" t="n"/>
      <c r="G1" s="588" t="n"/>
      <c r="H1" s="588" t="n"/>
      <c r="I1" s="588" t="n"/>
      <c r="J1" s="588" t="n"/>
      <c r="K1" s="588" t="n"/>
      <c r="L1" s="588" t="n"/>
      <c r="M1" s="588" t="n"/>
      <c r="N1" s="588" t="n"/>
      <c r="O1" s="588" t="n"/>
      <c r="P1" s="589" t="n"/>
      <c r="Q1" s="590" t="n"/>
      <c r="R1" s="590" t="n"/>
      <c r="S1" s="590" t="n"/>
      <c r="T1" s="590" t="n"/>
      <c r="U1" s="590" t="n"/>
      <c r="V1" s="590" t="n"/>
      <c r="W1" s="590" t="n"/>
      <c r="X1" s="590" t="n"/>
      <c r="Y1" s="590" t="n"/>
      <c r="Z1" s="589" t="n"/>
      <c r="AA1" s="590" t="n"/>
      <c r="AB1" s="590" t="n"/>
      <c r="AC1" s="590" t="n"/>
      <c r="AD1" s="590" t="n"/>
      <c r="AE1" s="590" t="n"/>
      <c r="AF1" s="590" t="n"/>
      <c r="AG1" s="590" t="n"/>
      <c r="AH1" s="590" t="n"/>
      <c r="AI1" s="590" t="n"/>
      <c r="AJ1" s="589" t="n"/>
      <c r="AK1" s="590" t="n"/>
      <c r="AL1" s="590" t="n"/>
      <c r="AM1" s="590" t="n"/>
      <c r="AN1" s="590" t="n"/>
      <c r="AO1" s="590" t="n"/>
      <c r="AP1" s="590" t="n"/>
      <c r="AQ1" s="590" t="n"/>
      <c r="AR1" s="590" t="n"/>
      <c r="AS1" s="590" t="n"/>
      <c r="AT1" s="590" t="n"/>
      <c r="AU1" s="657" t="inlineStr">
        <is>
          <t>Notes</t>
        </is>
      </c>
      <c r="AV1" s="663" t="n"/>
      <c r="AW1" s="663" t="n"/>
      <c r="AX1" s="663" t="n"/>
      <c r="AY1" s="663" t="n"/>
      <c r="AZ1" s="663" t="n"/>
      <c r="BA1" s="663" t="n"/>
      <c r="BB1" s="663" t="n"/>
      <c r="BC1" s="663" t="n"/>
      <c r="BD1" s="663" t="n"/>
      <c r="BE1" s="663" t="n"/>
      <c r="BF1" s="663" t="n"/>
      <c r="BG1" s="663" t="n"/>
    </row>
    <row r="2" ht="41.25" customHeight="1" s="7635" thickBot="1" thickTop="1">
      <c r="A2" s="257" t="n"/>
      <c r="B2" s="1534" t="n"/>
      <c r="C2" s="8131">
        <f>IF(Name_1st_Yours="","Enter your name on the"&amp;CHAR(10)&amp;"sheet labeled '1040'",NameYours)</f>
        <v/>
      </c>
      <c r="D2" s="458" t="inlineStr">
        <is>
          <t>Enter payer's name here.</t>
        </is>
      </c>
      <c r="E2" s="458" t="inlineStr">
        <is>
          <t>Payer #2</t>
        </is>
      </c>
      <c r="F2" s="458" t="inlineStr">
        <is>
          <t>Payer #3</t>
        </is>
      </c>
      <c r="G2" s="458" t="inlineStr">
        <is>
          <t>Payer #4</t>
        </is>
      </c>
      <c r="H2" s="458" t="inlineStr">
        <is>
          <t>Payer #5</t>
        </is>
      </c>
      <c r="I2" s="458" t="inlineStr">
        <is>
          <t>Payer #6</t>
        </is>
      </c>
      <c r="J2" s="458" t="inlineStr">
        <is>
          <t>Payer #7</t>
        </is>
      </c>
      <c r="K2" s="458" t="inlineStr">
        <is>
          <t>Payer #8</t>
        </is>
      </c>
      <c r="L2" s="458" t="inlineStr">
        <is>
          <t>Payer #9</t>
        </is>
      </c>
      <c r="M2" s="758" t="inlineStr">
        <is>
          <t>Total
IRAs</t>
        </is>
      </c>
      <c r="N2" s="638" t="inlineStr">
        <is>
          <t>Total Pension / Annuities</t>
        </is>
      </c>
      <c r="O2" s="638" t="inlineStr">
        <is>
          <t xml:space="preserve">Qualified
CONVersion
to ROTH IRA </t>
        </is>
      </c>
      <c r="P2" s="39" t="n"/>
      <c r="Q2" s="104" t="n"/>
      <c r="R2" s="104" t="n"/>
      <c r="S2" s="104" t="n"/>
      <c r="T2" s="104" t="n"/>
      <c r="U2" s="1229" t="inlineStr">
        <is>
          <t>IRA</t>
        </is>
      </c>
      <c r="V2" s="104" t="n"/>
      <c r="W2" s="104" t="n"/>
      <c r="X2" s="104" t="n"/>
      <c r="Y2" s="104" t="n"/>
      <c r="Z2" s="39" t="n"/>
      <c r="AA2" s="104" t="n"/>
      <c r="AB2" s="104" t="n"/>
      <c r="AC2" s="104" t="n"/>
      <c r="AD2" s="104" t="n"/>
      <c r="AE2" s="1229" t="inlineStr">
        <is>
          <t>P/A</t>
        </is>
      </c>
      <c r="AF2" s="104" t="n"/>
      <c r="AG2" s="104" t="n"/>
      <c r="AH2" s="104" t="n"/>
      <c r="AI2" s="104" t="n"/>
      <c r="AJ2" s="39" t="n"/>
      <c r="AK2" s="104" t="n"/>
      <c r="AL2" s="104" t="n"/>
      <c r="AM2" s="104" t="n"/>
      <c r="AN2" s="104" t="n"/>
      <c r="AO2" s="1229" t="inlineStr">
        <is>
          <t>CONV</t>
        </is>
      </c>
      <c r="AP2" s="104" t="n"/>
      <c r="AQ2" s="104" t="n"/>
      <c r="AR2" s="104" t="n"/>
      <c r="AS2" s="104" t="n"/>
      <c r="AT2" s="104" t="n"/>
    </row>
    <row r="3" ht="13.5" customHeight="1" s="7635" thickBot="1">
      <c r="A3" s="11602" t="n"/>
      <c r="B3" s="254" t="n"/>
      <c r="C3" s="255" t="inlineStr">
        <is>
          <t>Enter "IRA" or "P/A" or "CONV" &gt;&gt;&gt;</t>
        </is>
      </c>
      <c r="D3" s="459" t="n"/>
      <c r="E3" s="459" t="n"/>
      <c r="F3" s="459" t="n"/>
      <c r="G3" s="515" t="n"/>
      <c r="H3" s="515" t="n"/>
      <c r="I3" s="515" t="n"/>
      <c r="J3" s="515" t="n"/>
      <c r="K3" s="515" t="n"/>
      <c r="L3" s="515" t="n"/>
      <c r="M3" s="1348" t="inlineStr">
        <is>
          <t>IRA</t>
        </is>
      </c>
      <c r="N3" s="1348" t="inlineStr">
        <is>
          <t>P/A</t>
        </is>
      </c>
      <c r="O3" s="1348" t="inlineStr">
        <is>
          <t>CONV</t>
        </is>
      </c>
      <c r="P3" s="648" t="n"/>
      <c r="Q3" s="26">
        <f>NOT(AND(ISERROR(FIND("IRA",D3,1)),ISERROR(FIND("ira",D3,1))))</f>
        <v/>
      </c>
      <c r="R3" s="26">
        <f>NOT(AND(ISERROR(FIND("IRA",E3,1)),ISERROR(FIND("ira",E3,1))))</f>
        <v/>
      </c>
      <c r="S3" s="26">
        <f>NOT(AND(ISERROR(FIND("IRA",F3,1)),ISERROR(FIND("ira",F3,1))))</f>
        <v/>
      </c>
      <c r="T3" s="26">
        <f>NOT(AND(ISERROR(FIND("IRA",G3,1)),ISERROR(FIND("ira",G3,1))))</f>
        <v/>
      </c>
      <c r="U3" s="26">
        <f>NOT(AND(ISERROR(FIND("IRA",H3,1)),ISERROR(FIND("ira",H3,1))))</f>
        <v/>
      </c>
      <c r="V3" s="26">
        <f>NOT(AND(ISERROR(FIND("IRA",I3,1)),ISERROR(FIND("ira",I3,1))))</f>
        <v/>
      </c>
      <c r="W3" s="26">
        <f>NOT(AND(ISERROR(FIND("IRA",J3,1)),ISERROR(FIND("ira",J3,1))))</f>
        <v/>
      </c>
      <c r="X3" s="26">
        <f>NOT(AND(ISERROR(FIND("IRA",K3,1)),ISERROR(FIND("ira",K3,1))))</f>
        <v/>
      </c>
      <c r="Y3" s="645">
        <f>NOT(AND(ISERROR(FIND("IRA",L3,1)),ISERROR(FIND("ira",L3,1))))</f>
        <v/>
      </c>
      <c r="Z3" s="60" t="n"/>
      <c r="AA3" s="26">
        <f>NOT(AND(ISERROR(FIND("P/A",D3,1)),ISERROR(FIND("p/a",D3,1))))</f>
        <v/>
      </c>
      <c r="AB3" s="26">
        <f>NOT(AND(ISERROR(FIND("P/A",E3,1)),ISERROR(FIND("p/a",E3,1))))</f>
        <v/>
      </c>
      <c r="AC3" s="26">
        <f>NOT(AND(ISERROR(FIND("P/A",F3,1)),ISERROR(FIND("p/a",F3,1))))</f>
        <v/>
      </c>
      <c r="AD3" s="26">
        <f>NOT(AND(ISERROR(FIND("P/A",G3,1)),ISERROR(FIND("p/a",G3,1))))</f>
        <v/>
      </c>
      <c r="AE3" s="26">
        <f>NOT(AND(ISERROR(FIND("P/A",H3,1)),ISERROR(FIND("p/a",H3,1))))</f>
        <v/>
      </c>
      <c r="AF3" s="26">
        <f>NOT(AND(ISERROR(FIND("P/A",I3,1)),ISERROR(FIND("p/a",I3,1))))</f>
        <v/>
      </c>
      <c r="AG3" s="26">
        <f>NOT(AND(ISERROR(FIND("P/A",J3,1)),ISERROR(FIND("p/a",J3,1))))</f>
        <v/>
      </c>
      <c r="AH3" s="26">
        <f>NOT(AND(ISERROR(FIND("P/A",K3,1)),ISERROR(FIND("p/a",K3,1))))</f>
        <v/>
      </c>
      <c r="AI3" s="26">
        <f>NOT(AND(ISERROR(FIND("P/A",L3,1)),ISERROR(FIND("p/a",L3,1))))</f>
        <v/>
      </c>
      <c r="AJ3" s="60" t="n"/>
      <c r="AK3" s="26">
        <f>NOT(AND(ISERROR(FIND("CONV",D3,1)),ISERROR(FIND("conv",D3,1))))</f>
        <v/>
      </c>
      <c r="AL3" s="26">
        <f>NOT(AND(ISERROR(FIND("CONV",E3,1)),ISERROR(FIND("conv",E3,1))))</f>
        <v/>
      </c>
      <c r="AM3" s="26">
        <f>NOT(AND(ISERROR(FIND("CONV",F3,1)),ISERROR(FIND("conv",F3,1))))</f>
        <v/>
      </c>
      <c r="AN3" s="26">
        <f>NOT(AND(ISERROR(FIND("CONV",G3,1)),ISERROR(FIND("conv",G3,1))))</f>
        <v/>
      </c>
      <c r="AO3" s="26">
        <f>NOT(AND(ISERROR(FIND("CONV",H3,1)),ISERROR(FIND("conv",H3,1))))</f>
        <v/>
      </c>
      <c r="AP3" s="26">
        <f>NOT(AND(ISERROR(FIND("CONV",I3,1)),ISERROR(FIND("conv",I3,1))))</f>
        <v/>
      </c>
      <c r="AQ3" s="26">
        <f>NOT(AND(ISERROR(FIND("CONV",J3,1)),ISERROR(FIND("conv",J3,1))))</f>
        <v/>
      </c>
      <c r="AR3" s="26">
        <f>NOT(AND(ISERROR(FIND("CONV",K3,1)),ISERROR(FIND("conv",K3,1))))</f>
        <v/>
      </c>
      <c r="AS3" s="26">
        <f>NOT(AND(ISERROR(FIND("CONV",L3,1)),ISERROR(FIND("conv",L3,1))))</f>
        <v/>
      </c>
      <c r="AT3" s="26" t="n"/>
    </row>
    <row r="4" ht="13.5" customHeight="1" s="7635">
      <c r="A4" s="11602" t="n"/>
      <c r="B4" s="526" t="n">
        <v>1</v>
      </c>
      <c r="C4" s="524" t="inlineStr">
        <is>
          <t>Gross distribution</t>
        </is>
      </c>
      <c r="D4" s="604" t="n"/>
      <c r="E4" s="605" t="n"/>
      <c r="F4" s="605" t="n"/>
      <c r="G4" s="605" t="n"/>
      <c r="H4" s="605" t="n"/>
      <c r="I4" s="605" t="n"/>
      <c r="J4" s="605" t="n"/>
      <c r="K4" s="605" t="n"/>
      <c r="L4" s="647" t="n"/>
      <c r="M4" s="1349">
        <f>SUM(Q4:Y4)</f>
        <v/>
      </c>
      <c r="N4" s="1349">
        <f>SUM(AA4:AI4)</f>
        <v/>
      </c>
      <c r="O4" s="1349">
        <f>SUM(AK4:AS4)</f>
        <v/>
      </c>
      <c r="P4" s="1211" t="n"/>
      <c r="Q4" s="1344">
        <f>IF(Q$3,ROUND(D4,0),0)</f>
        <v/>
      </c>
      <c r="R4" s="1344">
        <f>IF(R$3,ROUND(E4,0),0)</f>
        <v/>
      </c>
      <c r="S4" s="1344">
        <f>IF(S$3,ROUND(F4,0),0)</f>
        <v/>
      </c>
      <c r="T4" s="1344">
        <f>IF(T$3,ROUND(G4,0),0)</f>
        <v/>
      </c>
      <c r="U4" s="1344">
        <f>IF(U$3,ROUND(H4,0),0)</f>
        <v/>
      </c>
      <c r="V4" s="1344">
        <f>IF(V$3,ROUND(I4,0),0)</f>
        <v/>
      </c>
      <c r="W4" s="1344">
        <f>IF(W$3,ROUND(J4,0),0)</f>
        <v/>
      </c>
      <c r="X4" s="1344">
        <f>IF(X$3,ROUND(K4,0),0)</f>
        <v/>
      </c>
      <c r="Y4" s="1344">
        <f>IF(Y$3,ROUND(L4,0),0)</f>
        <v/>
      </c>
      <c r="Z4" s="1211" t="n"/>
      <c r="AA4" s="1344">
        <f>IF(AA$3,ROUND(D4,0),0)</f>
        <v/>
      </c>
      <c r="AB4" s="1344">
        <f>IF(AB$3,ROUND(E4,0),0)</f>
        <v/>
      </c>
      <c r="AC4" s="1344">
        <f>IF(AC$3,ROUND(F4,0),0)</f>
        <v/>
      </c>
      <c r="AD4" s="1344">
        <f>IF(AD$3,ROUND(G4,0),0)</f>
        <v/>
      </c>
      <c r="AE4" s="1344">
        <f>IF(AE$3,ROUND(H4,0),0)</f>
        <v/>
      </c>
      <c r="AF4" s="1344">
        <f>IF(AF$3,ROUND(I4,0),0)</f>
        <v/>
      </c>
      <c r="AG4" s="1344">
        <f>IF(AG$3,ROUND(J4,0),0)</f>
        <v/>
      </c>
      <c r="AH4" s="1344">
        <f>IF(AH$3,ROUND(K4,0),0)</f>
        <v/>
      </c>
      <c r="AI4" s="1344">
        <f>IF(AI$3,ROUND(L4,0),0)</f>
        <v/>
      </c>
      <c r="AJ4" s="1211" t="n"/>
      <c r="AK4" s="1344">
        <f>IF(AK$3,ROUND(D4,0),0)</f>
        <v/>
      </c>
      <c r="AL4" s="1344">
        <f>IF(AL$3,ROUND(E4,0),0)</f>
        <v/>
      </c>
      <c r="AM4" s="1344">
        <f>IF(AM$3,ROUND(F4,0),0)</f>
        <v/>
      </c>
      <c r="AN4" s="1344">
        <f>IF(AN$3,ROUND(G4,0),0)</f>
        <v/>
      </c>
      <c r="AO4" s="1344">
        <f>IF(AO$3,ROUND(H4,0),0)</f>
        <v/>
      </c>
      <c r="AP4" s="1344">
        <f>IF(AP$3,ROUND(I4,0),0)</f>
        <v/>
      </c>
      <c r="AQ4" s="1344">
        <f>IF(AQ$3,ROUND(J4,0),0)</f>
        <v/>
      </c>
      <c r="AR4" s="1344">
        <f>IF(AR$3,ROUND(K4,0),0)</f>
        <v/>
      </c>
      <c r="AS4" s="1344">
        <f>IF(AS$3,ROUND(L4,0),0)</f>
        <v/>
      </c>
      <c r="AT4" s="66" t="n"/>
    </row>
    <row r="5" ht="13.5" customHeight="1" s="7635">
      <c r="A5" s="11602" t="n"/>
      <c r="B5" s="527" t="inlineStr">
        <is>
          <t>2a</t>
        </is>
      </c>
      <c r="C5" s="525" t="inlineStr">
        <is>
          <t>Taxable amount</t>
        </is>
      </c>
      <c r="D5" s="606" t="n"/>
      <c r="E5" s="607" t="n"/>
      <c r="F5" s="607" t="n"/>
      <c r="G5" s="607" t="n"/>
      <c r="H5" s="607" t="n"/>
      <c r="I5" s="607" t="n"/>
      <c r="J5" s="607" t="n"/>
      <c r="K5" s="607" t="n"/>
      <c r="L5" s="609" t="n"/>
      <c r="M5" s="1346">
        <f>SUM(Q5:Y5)</f>
        <v/>
      </c>
      <c r="N5" s="1346">
        <f>SUM(AA5:AI5)</f>
        <v/>
      </c>
      <c r="O5" s="262">
        <f>IF(SUM(D5:L5)&gt;0,"See note.","- - - -")</f>
        <v/>
      </c>
      <c r="P5" s="1211" t="n"/>
      <c r="Q5" s="1344">
        <f>IF(Q$3,ROUND(D5,0),0)</f>
        <v/>
      </c>
      <c r="R5" s="1344">
        <f>IF(R$3,ROUND(E5,0),0)</f>
        <v/>
      </c>
      <c r="S5" s="1344">
        <f>IF(S$3,ROUND(F5,0),0)</f>
        <v/>
      </c>
      <c r="T5" s="1344">
        <f>IF(T$3,ROUND(G5,0),0)</f>
        <v/>
      </c>
      <c r="U5" s="1344">
        <f>IF(U$3,ROUND(H5,0),0)</f>
        <v/>
      </c>
      <c r="V5" s="1344">
        <f>IF(V$3,ROUND(I5,0),0)</f>
        <v/>
      </c>
      <c r="W5" s="1344">
        <f>IF(W$3,ROUND(J5,0),0)</f>
        <v/>
      </c>
      <c r="X5" s="1344">
        <f>IF(X$3,ROUND(K5,0),0)</f>
        <v/>
      </c>
      <c r="Y5" s="1344">
        <f>IF(Y$3,ROUND(L5,0),0)</f>
        <v/>
      </c>
      <c r="Z5" s="1211" t="n"/>
      <c r="AA5" s="1344">
        <f>IF(AA$3,ROUND(D5,0),0)</f>
        <v/>
      </c>
      <c r="AB5" s="1344">
        <f>IF(AB$3,ROUND(E5,0),0)</f>
        <v/>
      </c>
      <c r="AC5" s="1344">
        <f>IF(AC$3,ROUND(F5,0),0)</f>
        <v/>
      </c>
      <c r="AD5" s="1344">
        <f>IF(AD$3,ROUND(G5,0),0)</f>
        <v/>
      </c>
      <c r="AE5" s="1344">
        <f>IF(AE$3,ROUND(H5,0),0)</f>
        <v/>
      </c>
      <c r="AF5" s="1344">
        <f>IF(AF$3,ROUND(I5,0),0)</f>
        <v/>
      </c>
      <c r="AG5" s="1344">
        <f>IF(AG$3,ROUND(J5,0),0)</f>
        <v/>
      </c>
      <c r="AH5" s="1344">
        <f>IF(AH$3,ROUND(K5,0),0)</f>
        <v/>
      </c>
      <c r="AI5" s="1344">
        <f>IF(AI$3,ROUND(L5,0),0)</f>
        <v/>
      </c>
      <c r="AJ5" s="1211" t="n"/>
      <c r="AK5" s="1344">
        <f>"---"</f>
        <v/>
      </c>
      <c r="AL5" s="1344">
        <f>"---"</f>
        <v/>
      </c>
      <c r="AM5" s="1344">
        <f>"---"</f>
        <v/>
      </c>
      <c r="AN5" s="1344">
        <f>"---"</f>
        <v/>
      </c>
      <c r="AO5" s="1344">
        <f>"---"</f>
        <v/>
      </c>
      <c r="AP5" s="1344">
        <f>"---"</f>
        <v/>
      </c>
      <c r="AQ5" s="1344">
        <f>"---"</f>
        <v/>
      </c>
      <c r="AR5" s="1344">
        <f>"---"</f>
        <v/>
      </c>
      <c r="AS5" s="1344">
        <f>"---"</f>
        <v/>
      </c>
      <c r="AT5" s="66" t="n"/>
    </row>
    <row r="6" ht="13.5" customHeight="1" s="7635">
      <c r="A6" s="11602" t="n"/>
      <c r="B6" s="258" t="inlineStr">
        <is>
          <t>2b</t>
        </is>
      </c>
      <c r="C6" s="259" t="inlineStr">
        <is>
          <t>Taxable amount not determined / total distr.</t>
        </is>
      </c>
      <c r="D6" s="606" t="n"/>
      <c r="E6" s="607" t="n"/>
      <c r="F6" s="607" t="n"/>
      <c r="G6" s="608" t="n"/>
      <c r="H6" s="608" t="n"/>
      <c r="I6" s="608" t="n"/>
      <c r="J6" s="608" t="n"/>
      <c r="K6" s="608" t="n"/>
      <c r="L6" s="609" t="n"/>
      <c r="M6" s="262">
        <f>" - - - -"</f>
        <v/>
      </c>
      <c r="N6" s="262">
        <f>" - - - -"</f>
        <v/>
      </c>
      <c r="O6" s="262">
        <f>" - - - -"</f>
        <v/>
      </c>
      <c r="P6" s="1211" t="n"/>
      <c r="Q6" s="1344" t="n"/>
      <c r="R6" s="1344" t="n"/>
      <c r="S6" s="1344" t="n"/>
      <c r="T6" s="1344" t="n"/>
      <c r="U6" s="1344" t="n"/>
      <c r="V6" s="1344" t="n"/>
      <c r="W6" s="1344" t="n"/>
      <c r="X6" s="1344" t="n"/>
      <c r="Y6" s="1344" t="n"/>
      <c r="Z6" s="1211" t="n"/>
      <c r="AA6" s="1344" t="n"/>
      <c r="AB6" s="1344" t="n"/>
      <c r="AC6" s="1344" t="n"/>
      <c r="AD6" s="1344" t="n"/>
      <c r="AE6" s="1344" t="n"/>
      <c r="AF6" s="1344" t="n"/>
      <c r="AG6" s="1344" t="n"/>
      <c r="AH6" s="1344" t="n"/>
      <c r="AI6" s="1344" t="n"/>
      <c r="AJ6" s="1211" t="n"/>
      <c r="AK6" s="1344" t="n"/>
      <c r="AL6" s="1344" t="n"/>
      <c r="AM6" s="1344" t="n"/>
      <c r="AN6" s="1344" t="n"/>
      <c r="AO6" s="1344" t="n"/>
      <c r="AP6" s="1344" t="n"/>
      <c r="AQ6" s="1344" t="n"/>
      <c r="AR6" s="1344" t="n"/>
      <c r="AS6" s="1344" t="n"/>
      <c r="AT6" s="66" t="n"/>
    </row>
    <row r="7" ht="13.5" customHeight="1" s="7635">
      <c r="A7" s="11602" t="n"/>
      <c r="B7" s="258" t="n">
        <v>3</v>
      </c>
      <c r="C7" s="259" t="inlineStr">
        <is>
          <t>Capital gain (included in box 2a)</t>
        </is>
      </c>
      <c r="D7" s="606" t="n"/>
      <c r="E7" s="607" t="n"/>
      <c r="F7" s="607" t="n"/>
      <c r="G7" s="608" t="n"/>
      <c r="H7" s="608" t="n"/>
      <c r="I7" s="608" t="n"/>
      <c r="J7" s="608" t="n"/>
      <c r="K7" s="608" t="n"/>
      <c r="L7" s="609" t="n"/>
      <c r="M7" s="1346">
        <f>SUM(Q7:Y7)</f>
        <v/>
      </c>
      <c r="N7" s="1346">
        <f>SUM(AA7:AI7)</f>
        <v/>
      </c>
      <c r="O7" s="1346">
        <f>SUM(AK7:AS7)</f>
        <v/>
      </c>
      <c r="P7" s="1211" t="n"/>
      <c r="Q7" s="1344">
        <f>IF(Q$3,ROUND(D7,0),0)</f>
        <v/>
      </c>
      <c r="R7" s="1344">
        <f>IF(R$3,ROUND(E7,0),0)</f>
        <v/>
      </c>
      <c r="S7" s="1344">
        <f>IF(S$3,ROUND(F7,0),0)</f>
        <v/>
      </c>
      <c r="T7" s="1344">
        <f>IF(T$3,ROUND(G7,0),0)</f>
        <v/>
      </c>
      <c r="U7" s="1344">
        <f>IF(U$3,ROUND(H7,0),0)</f>
        <v/>
      </c>
      <c r="V7" s="1344">
        <f>IF(V$3,ROUND(I7,0),0)</f>
        <v/>
      </c>
      <c r="W7" s="1344">
        <f>IF(W$3,ROUND(J7,0),0)</f>
        <v/>
      </c>
      <c r="X7" s="1344">
        <f>IF(X$3,ROUND(K7,0),0)</f>
        <v/>
      </c>
      <c r="Y7" s="1344">
        <f>IF(Y$3,ROUND(L7,0),0)</f>
        <v/>
      </c>
      <c r="Z7" s="1211" t="n"/>
      <c r="AA7" s="1344">
        <f>IF(AA$3,ROUND(D7,0),0)</f>
        <v/>
      </c>
      <c r="AB7" s="1344">
        <f>IF(AB$3,ROUND(E7,0),0)</f>
        <v/>
      </c>
      <c r="AC7" s="1344">
        <f>IF(AC$3,ROUND(F7,0),0)</f>
        <v/>
      </c>
      <c r="AD7" s="1344">
        <f>IF(AD$3,ROUND(G7,0),0)</f>
        <v/>
      </c>
      <c r="AE7" s="1344">
        <f>IF(AE$3,ROUND(H7,0),0)</f>
        <v/>
      </c>
      <c r="AF7" s="1344">
        <f>IF(AF$3,ROUND(I7,0),0)</f>
        <v/>
      </c>
      <c r="AG7" s="1344">
        <f>IF(AG$3,ROUND(J7,0),0)</f>
        <v/>
      </c>
      <c r="AH7" s="1344">
        <f>IF(AH$3,ROUND(K7,0),0)</f>
        <v/>
      </c>
      <c r="AI7" s="1344">
        <f>IF(AI$3,ROUND(L7,0),0)</f>
        <v/>
      </c>
      <c r="AJ7" s="1211" t="n"/>
      <c r="AK7" s="1344">
        <f>IF(AK$3,ROUND(D7,0),0)</f>
        <v/>
      </c>
      <c r="AL7" s="1344">
        <f>IF(AL$3,ROUND(E7,0),0)</f>
        <v/>
      </c>
      <c r="AM7" s="1344">
        <f>IF(AM$3,ROUND(F7,0),0)</f>
        <v/>
      </c>
      <c r="AN7" s="1344">
        <f>IF(AN$3,ROUND(G7,0),0)</f>
        <v/>
      </c>
      <c r="AO7" s="1344">
        <f>IF(AO$3,ROUND(H7,0),0)</f>
        <v/>
      </c>
      <c r="AP7" s="1344">
        <f>IF(AP$3,ROUND(I7,0),0)</f>
        <v/>
      </c>
      <c r="AQ7" s="1344">
        <f>IF(AQ$3,ROUND(J7,0),0)</f>
        <v/>
      </c>
      <c r="AR7" s="1344">
        <f>IF(AR$3,ROUND(K7,0),0)</f>
        <v/>
      </c>
      <c r="AS7" s="1344">
        <f>IF(AS$3,ROUND(L7,0),0)</f>
        <v/>
      </c>
      <c r="AT7" s="66" t="n"/>
    </row>
    <row r="8" ht="13.5" customHeight="1" s="7635">
      <c r="A8" s="11602" t="n"/>
      <c r="B8" s="527" t="n">
        <v>4</v>
      </c>
      <c r="C8" s="525" t="inlineStr">
        <is>
          <t>Federal income tax withheld</t>
        </is>
      </c>
      <c r="D8" s="606" t="n"/>
      <c r="E8" s="607" t="n"/>
      <c r="F8" s="607" t="n"/>
      <c r="G8" s="608" t="n"/>
      <c r="H8" s="608" t="n"/>
      <c r="I8" s="608" t="n"/>
      <c r="J8" s="608" t="n"/>
      <c r="K8" s="608" t="n"/>
      <c r="L8" s="609" t="n"/>
      <c r="M8" s="1346">
        <f>SUM(Q8:Y8)</f>
        <v/>
      </c>
      <c r="N8" s="1346">
        <f>SUM(AA8:AI8)</f>
        <v/>
      </c>
      <c r="O8" s="1346">
        <f>SUM(AK8:AS8)</f>
        <v/>
      </c>
      <c r="P8" s="1211" t="n"/>
      <c r="Q8" s="1344">
        <f>IF(Q$3,ROUND(D8,0),0)</f>
        <v/>
      </c>
      <c r="R8" s="1344">
        <f>IF(R$3,ROUND(E8,0),0)</f>
        <v/>
      </c>
      <c r="S8" s="1344">
        <f>IF(S$3,ROUND(F8,0),0)</f>
        <v/>
      </c>
      <c r="T8" s="1344">
        <f>IF(T$3,ROUND(G8,0),0)</f>
        <v/>
      </c>
      <c r="U8" s="1344">
        <f>IF(U$3,ROUND(H8,0),0)</f>
        <v/>
      </c>
      <c r="V8" s="1344">
        <f>IF(V$3,ROUND(I8,0),0)</f>
        <v/>
      </c>
      <c r="W8" s="1344">
        <f>IF(W$3,ROUND(J8,0),0)</f>
        <v/>
      </c>
      <c r="X8" s="1344">
        <f>IF(X$3,ROUND(K8,0),0)</f>
        <v/>
      </c>
      <c r="Y8" s="1344">
        <f>IF(Y$3,ROUND(L8,0),0)</f>
        <v/>
      </c>
      <c r="Z8" s="1211" t="n"/>
      <c r="AA8" s="1344">
        <f>IF(AA$3,ROUND(D8,0),0)</f>
        <v/>
      </c>
      <c r="AB8" s="1344">
        <f>IF(AB$3,ROUND(E8,0),0)</f>
        <v/>
      </c>
      <c r="AC8" s="1344">
        <f>IF(AC$3,ROUND(F8,0),0)</f>
        <v/>
      </c>
      <c r="AD8" s="1344">
        <f>IF(AD$3,ROUND(G8,0),0)</f>
        <v/>
      </c>
      <c r="AE8" s="1344">
        <f>IF(AE$3,ROUND(H8,0),0)</f>
        <v/>
      </c>
      <c r="AF8" s="1344">
        <f>IF(AF$3,ROUND(I8,0),0)</f>
        <v/>
      </c>
      <c r="AG8" s="1344">
        <f>IF(AG$3,ROUND(J8,0),0)</f>
        <v/>
      </c>
      <c r="AH8" s="1344">
        <f>IF(AH$3,ROUND(K8,0),0)</f>
        <v/>
      </c>
      <c r="AI8" s="1344">
        <f>IF(AI$3,ROUND(L8,0),0)</f>
        <v/>
      </c>
      <c r="AJ8" s="1211" t="n"/>
      <c r="AK8" s="1344">
        <f>IF(AK$3,ROUND(D8,0),0)</f>
        <v/>
      </c>
      <c r="AL8" s="1344">
        <f>IF(AL$3,ROUND(E8,0),0)</f>
        <v/>
      </c>
      <c r="AM8" s="1344">
        <f>IF(AM$3,ROUND(F8,0),0)</f>
        <v/>
      </c>
      <c r="AN8" s="1344">
        <f>IF(AN$3,ROUND(G8,0),0)</f>
        <v/>
      </c>
      <c r="AO8" s="1344">
        <f>IF(AO$3,ROUND(H8,0),0)</f>
        <v/>
      </c>
      <c r="AP8" s="1344">
        <f>IF(AP$3,ROUND(I8,0),0)</f>
        <v/>
      </c>
      <c r="AQ8" s="1344">
        <f>IF(AQ$3,ROUND(J8,0),0)</f>
        <v/>
      </c>
      <c r="AR8" s="1344">
        <f>IF(AR$3,ROUND(K8,0),0)</f>
        <v/>
      </c>
      <c r="AS8" s="1344">
        <f>IF(AS$3,ROUND(L8,0),0)</f>
        <v/>
      </c>
      <c r="AT8" s="66" t="n"/>
    </row>
    <row r="9" ht="27" customHeight="1" s="7635">
      <c r="A9" s="11602" t="n"/>
      <c r="B9" s="260" t="n">
        <v>5</v>
      </c>
      <c r="C9" s="261" t="inlineStr">
        <is>
          <t>Employee contributions / Insurance premiums / 
Designated Roth IRA contributions</t>
        </is>
      </c>
      <c r="D9" s="606" t="n"/>
      <c r="E9" s="607" t="n"/>
      <c r="F9" s="607" t="n"/>
      <c r="G9" s="607" t="n"/>
      <c r="H9" s="607" t="n"/>
      <c r="I9" s="607" t="n"/>
      <c r="J9" s="607" t="n"/>
      <c r="K9" s="607" t="n"/>
      <c r="L9" s="609" t="n"/>
      <c r="M9" s="1346">
        <f>SUM(Q9:Y9)</f>
        <v/>
      </c>
      <c r="N9" s="1346">
        <f>SUM(AA9:AI9)</f>
        <v/>
      </c>
      <c r="O9" s="1346">
        <f>SUM(AK9:AS9)</f>
        <v/>
      </c>
      <c r="P9" s="60" t="n"/>
      <c r="Q9" s="1344">
        <f>IF(Q$3,ROUND(D9,0),0)</f>
        <v/>
      </c>
      <c r="R9" s="1344">
        <f>IF(R$3,ROUND(E9,0),0)</f>
        <v/>
      </c>
      <c r="S9" s="1344">
        <f>IF(S$3,ROUND(F9,0),0)</f>
        <v/>
      </c>
      <c r="T9" s="1344">
        <f>IF(T$3,ROUND(G9,0),0)</f>
        <v/>
      </c>
      <c r="U9" s="1344">
        <f>IF(U$3,ROUND(H9,0),0)</f>
        <v/>
      </c>
      <c r="V9" s="1344">
        <f>IF(V$3,ROUND(I9,0),0)</f>
        <v/>
      </c>
      <c r="W9" s="1344">
        <f>IF(W$3,ROUND(J9,0),0)</f>
        <v/>
      </c>
      <c r="X9" s="1344">
        <f>IF(X$3,ROUND(K9,0),0)</f>
        <v/>
      </c>
      <c r="Y9" s="1344">
        <f>IF(Y$3,ROUND(L9,0),0)</f>
        <v/>
      </c>
      <c r="Z9" s="60" t="n"/>
      <c r="AA9" s="1344">
        <f>IF(AA$3,ROUND(D9,0),0)</f>
        <v/>
      </c>
      <c r="AB9" s="1344">
        <f>IF(AB$3,ROUND(E9,0),0)</f>
        <v/>
      </c>
      <c r="AC9" s="1344">
        <f>IF(AC$3,ROUND(F9,0),0)</f>
        <v/>
      </c>
      <c r="AD9" s="1344">
        <f>IF(AD$3,ROUND(G9,0),0)</f>
        <v/>
      </c>
      <c r="AE9" s="1344">
        <f>IF(AE$3,ROUND(H9,0),0)</f>
        <v/>
      </c>
      <c r="AF9" s="1344">
        <f>IF(AF$3,ROUND(I9,0),0)</f>
        <v/>
      </c>
      <c r="AG9" s="1344">
        <f>IF(AG$3,ROUND(J9,0),0)</f>
        <v/>
      </c>
      <c r="AH9" s="1344">
        <f>IF(AH$3,ROUND(K9,0),0)</f>
        <v/>
      </c>
      <c r="AI9" s="1344">
        <f>IF(AI$3,ROUND(L9,0),0)</f>
        <v/>
      </c>
      <c r="AJ9" s="60" t="n"/>
      <c r="AK9" s="1344">
        <f>IF(AK$3,ROUND(D9,0),0)</f>
        <v/>
      </c>
      <c r="AL9" s="1344">
        <f>IF(AL$3,ROUND(E9,0),0)</f>
        <v/>
      </c>
      <c r="AM9" s="1344">
        <f>IF(AM$3,ROUND(F9,0),0)</f>
        <v/>
      </c>
      <c r="AN9" s="1344">
        <f>IF(AN$3,ROUND(G9,0),0)</f>
        <v/>
      </c>
      <c r="AO9" s="1344">
        <f>IF(AO$3,ROUND(H9,0),0)</f>
        <v/>
      </c>
      <c r="AP9" s="1344">
        <f>IF(AP$3,ROUND(I9,0),0)</f>
        <v/>
      </c>
      <c r="AQ9" s="1344">
        <f>IF(AQ$3,ROUND(J9,0),0)</f>
        <v/>
      </c>
      <c r="AR9" s="1344">
        <f>IF(AR$3,ROUND(K9,0),0)</f>
        <v/>
      </c>
      <c r="AS9" s="1344">
        <f>IF(AS$3,ROUND(L9,0),0)</f>
        <v/>
      </c>
      <c r="AT9" s="66" t="n"/>
    </row>
    <row r="10">
      <c r="A10" s="11602" t="n"/>
      <c r="B10" s="258" t="n">
        <v>6</v>
      </c>
      <c r="C10" s="259" t="inlineStr">
        <is>
          <t>Net unrealized appreciation in employer's securities</t>
        </is>
      </c>
      <c r="D10" s="606" t="n"/>
      <c r="E10" s="607" t="n"/>
      <c r="F10" s="607" t="n"/>
      <c r="G10" s="608" t="n"/>
      <c r="H10" s="608" t="n"/>
      <c r="I10" s="608" t="n"/>
      <c r="J10" s="608" t="n"/>
      <c r="K10" s="608" t="n"/>
      <c r="L10" s="609" t="n"/>
      <c r="M10" s="1346">
        <f>SUM(Q10:Y10)</f>
        <v/>
      </c>
      <c r="N10" s="1346">
        <f>SUM(AA10:AI10)</f>
        <v/>
      </c>
      <c r="O10" s="1346">
        <f>SUM(AK10:AS10)</f>
        <v/>
      </c>
      <c r="P10" s="60" t="n"/>
      <c r="Q10" s="1344">
        <f>IF(Q$3,ROUND(D10,0),0)</f>
        <v/>
      </c>
      <c r="R10" s="1344">
        <f>IF(R$3,ROUND(E10,0),0)</f>
        <v/>
      </c>
      <c r="S10" s="1344">
        <f>IF(S$3,ROUND(F10,0),0)</f>
        <v/>
      </c>
      <c r="T10" s="1344">
        <f>IF(T$3,ROUND(G10,0),0)</f>
        <v/>
      </c>
      <c r="U10" s="1344">
        <f>IF(U$3,ROUND(H10,0),0)</f>
        <v/>
      </c>
      <c r="V10" s="1344">
        <f>IF(V$3,ROUND(I10,0),0)</f>
        <v/>
      </c>
      <c r="W10" s="1344">
        <f>IF(W$3,ROUND(J10,0),0)</f>
        <v/>
      </c>
      <c r="X10" s="1344">
        <f>IF(X$3,ROUND(K10,0),0)</f>
        <v/>
      </c>
      <c r="Y10" s="1344">
        <f>IF(Y$3,ROUND(L10,0),0)</f>
        <v/>
      </c>
      <c r="Z10" s="60" t="n"/>
      <c r="AA10" s="1344">
        <f>IF(AA$3,ROUND(D10,0),0)</f>
        <v/>
      </c>
      <c r="AB10" s="1344">
        <f>IF(AB$3,ROUND(E10,0),0)</f>
        <v/>
      </c>
      <c r="AC10" s="1344">
        <f>IF(AC$3,ROUND(F10,0),0)</f>
        <v/>
      </c>
      <c r="AD10" s="1344">
        <f>IF(AD$3,ROUND(G10,0),0)</f>
        <v/>
      </c>
      <c r="AE10" s="1344">
        <f>IF(AE$3,ROUND(H10,0),0)</f>
        <v/>
      </c>
      <c r="AF10" s="1344">
        <f>IF(AF$3,ROUND(I10,0),0)</f>
        <v/>
      </c>
      <c r="AG10" s="1344">
        <f>IF(AG$3,ROUND(J10,0),0)</f>
        <v/>
      </c>
      <c r="AH10" s="1344">
        <f>IF(AH$3,ROUND(K10,0),0)</f>
        <v/>
      </c>
      <c r="AI10" s="1344">
        <f>IF(AI$3,ROUND(L10,0),0)</f>
        <v/>
      </c>
      <c r="AJ10" s="60" t="n"/>
      <c r="AK10" s="1344">
        <f>IF(AK$3,ROUND(D10,0),0)</f>
        <v/>
      </c>
      <c r="AL10" s="1344">
        <f>IF(AL$3,ROUND(E10,0),0)</f>
        <v/>
      </c>
      <c r="AM10" s="1344">
        <f>IF(AM$3,ROUND(F10,0),0)</f>
        <v/>
      </c>
      <c r="AN10" s="1344">
        <f>IF(AN$3,ROUND(G10,0),0)</f>
        <v/>
      </c>
      <c r="AO10" s="1344">
        <f>IF(AO$3,ROUND(H10,0),0)</f>
        <v/>
      </c>
      <c r="AP10" s="1344">
        <f>IF(AP$3,ROUND(I10,0),0)</f>
        <v/>
      </c>
      <c r="AQ10" s="1344">
        <f>IF(AQ$3,ROUND(J10,0),0)</f>
        <v/>
      </c>
      <c r="AR10" s="1344">
        <f>IF(AR$3,ROUND(K10,0),0)</f>
        <v/>
      </c>
      <c r="AS10" s="1344">
        <f>IF(AS$3,ROUND(L10,0),0)</f>
        <v/>
      </c>
      <c r="AT10" s="66" t="n"/>
    </row>
    <row r="11">
      <c r="A11" s="11602" t="n"/>
      <c r="B11" s="258" t="n">
        <v>7</v>
      </c>
      <c r="C11" s="259" t="inlineStr">
        <is>
          <t>Distribution code(s) (Code D only)</t>
        </is>
      </c>
      <c r="D11" s="741" t="n"/>
      <c r="E11" s="742" t="n"/>
      <c r="F11" s="742" t="n"/>
      <c r="G11" s="743" t="n"/>
      <c r="H11" s="743" t="n"/>
      <c r="I11" s="743" t="n"/>
      <c r="J11" s="743" t="n"/>
      <c r="K11" s="743" t="n"/>
      <c r="L11" s="744" t="n"/>
      <c r="M11" s="620">
        <f>" - - - -"</f>
        <v/>
      </c>
      <c r="N11" s="620">
        <f>" - - - -"</f>
        <v/>
      </c>
      <c r="O11" s="620">
        <f>" - - - -"</f>
        <v/>
      </c>
      <c r="P11" s="60" t="n"/>
      <c r="Q11" s="1344" t="n"/>
      <c r="R11" s="1344" t="n"/>
      <c r="S11" s="1344" t="n"/>
      <c r="T11" s="1344" t="n"/>
      <c r="U11" s="1344" t="n"/>
      <c r="V11" s="1344" t="n"/>
      <c r="W11" s="1344" t="n"/>
      <c r="X11" s="1344" t="n"/>
      <c r="Y11" s="1344" t="n"/>
      <c r="Z11" s="60" t="n"/>
      <c r="AA11" s="1344" t="n"/>
      <c r="AB11" s="1344" t="n"/>
      <c r="AC11" s="1344" t="n"/>
      <c r="AD11" s="1344" t="n"/>
      <c r="AE11" s="1344" t="n"/>
      <c r="AF11" s="1344" t="n"/>
      <c r="AG11" s="1344" t="n"/>
      <c r="AH11" s="1344" t="n"/>
      <c r="AI11" s="1344" t="n"/>
      <c r="AJ11" s="60" t="n"/>
      <c r="AK11" s="1344">
        <f>IF(AK$3,ROUND(D11,0),0)</f>
        <v/>
      </c>
      <c r="AL11" s="1344">
        <f>IF(AL$3,ROUND(E11,0),0)</f>
        <v/>
      </c>
      <c r="AM11" s="1344">
        <f>IF(AM$3,ROUND(F11,0),0)</f>
        <v/>
      </c>
      <c r="AN11" s="1344">
        <f>IF(AN$3,ROUND(G11,0),0)</f>
        <v/>
      </c>
      <c r="AO11" s="1344">
        <f>IF(AO$3,ROUND(H11,0),0)</f>
        <v/>
      </c>
      <c r="AP11" s="1344">
        <f>IF(AP$3,ROUND(I11,0),0)</f>
        <v/>
      </c>
      <c r="AQ11" s="1344">
        <f>IF(AQ$3,ROUND(J11,0),0)</f>
        <v/>
      </c>
      <c r="AR11" s="1344">
        <f>IF(AR$3,ROUND(K11,0),0)</f>
        <v/>
      </c>
      <c r="AS11" s="1344">
        <f>IF(AS$3,ROUND(L11,0),0)</f>
        <v/>
      </c>
      <c r="AT11" s="66" t="n"/>
    </row>
    <row r="12">
      <c r="A12" s="11602" t="n"/>
      <c r="B12" s="258" t="n">
        <v>8</v>
      </c>
      <c r="C12" s="259" t="inlineStr">
        <is>
          <t>Other</t>
        </is>
      </c>
      <c r="D12" s="606" t="n"/>
      <c r="E12" s="607" t="n"/>
      <c r="F12" s="607" t="n"/>
      <c r="G12" s="608" t="n"/>
      <c r="H12" s="608" t="n"/>
      <c r="I12" s="608" t="n"/>
      <c r="J12" s="608" t="n"/>
      <c r="K12" s="608" t="n"/>
      <c r="L12" s="609" t="n"/>
      <c r="M12" s="1346">
        <f>SUM(Q12:Y12)</f>
        <v/>
      </c>
      <c r="N12" s="1346">
        <f>SUM(AA12:AI12)</f>
        <v/>
      </c>
      <c r="O12" s="1346">
        <f>SUM(AK12:AS12)</f>
        <v/>
      </c>
      <c r="P12" s="60" t="n"/>
      <c r="Q12" s="1344">
        <f>IF(Q$3,ROUND(D12,0),0)</f>
        <v/>
      </c>
      <c r="R12" s="1344">
        <f>IF(R$3,ROUND(E12,0),0)</f>
        <v/>
      </c>
      <c r="S12" s="1344">
        <f>IF(S$3,ROUND(F12,0),0)</f>
        <v/>
      </c>
      <c r="T12" s="1344">
        <f>IF(T$3,ROUND(G12,0),0)</f>
        <v/>
      </c>
      <c r="U12" s="1344">
        <f>IF(U$3,ROUND(H12,0),0)</f>
        <v/>
      </c>
      <c r="V12" s="1344">
        <f>IF(V$3,ROUND(I12,0),0)</f>
        <v/>
      </c>
      <c r="W12" s="1344">
        <f>IF(W$3,ROUND(J12,0),0)</f>
        <v/>
      </c>
      <c r="X12" s="1344">
        <f>IF(X$3,ROUND(K12,0),0)</f>
        <v/>
      </c>
      <c r="Y12" s="1344">
        <f>IF(Y$3,ROUND(L12,0),0)</f>
        <v/>
      </c>
      <c r="Z12" s="60" t="n"/>
      <c r="AA12" s="1344">
        <f>IF(AA$3,ROUND(D12,0),0)</f>
        <v/>
      </c>
      <c r="AB12" s="1344">
        <f>IF(AB$3,ROUND(E12,0),0)</f>
        <v/>
      </c>
      <c r="AC12" s="1344">
        <f>IF(AC$3,ROUND(F12,0),0)</f>
        <v/>
      </c>
      <c r="AD12" s="1344">
        <f>IF(AD$3,ROUND(G12,0),0)</f>
        <v/>
      </c>
      <c r="AE12" s="1344">
        <f>IF(AE$3,ROUND(H12,0),0)</f>
        <v/>
      </c>
      <c r="AF12" s="1344">
        <f>IF(AF$3,ROUND(I12,0),0)</f>
        <v/>
      </c>
      <c r="AG12" s="1344">
        <f>IF(AG$3,ROUND(J12,0),0)</f>
        <v/>
      </c>
      <c r="AH12" s="1344">
        <f>IF(AH$3,ROUND(K12,0),0)</f>
        <v/>
      </c>
      <c r="AI12" s="1344">
        <f>IF(AI$3,ROUND(L12,0),0)</f>
        <v/>
      </c>
      <c r="AJ12" s="60" t="n"/>
      <c r="AK12" s="1344">
        <f>IF(AK$3,ROUND(D12,0),0)</f>
        <v/>
      </c>
      <c r="AL12" s="1344">
        <f>IF(AL$3,ROUND(E12,0),0)</f>
        <v/>
      </c>
      <c r="AM12" s="1344">
        <f>IF(AM$3,ROUND(F12,0),0)</f>
        <v/>
      </c>
      <c r="AN12" s="1344">
        <f>IF(AN$3,ROUND(G12,0),0)</f>
        <v/>
      </c>
      <c r="AO12" s="1344">
        <f>IF(AO$3,ROUND(H12,0),0)</f>
        <v/>
      </c>
      <c r="AP12" s="1344">
        <f>IF(AP$3,ROUND(I12,0),0)</f>
        <v/>
      </c>
      <c r="AQ12" s="1344">
        <f>IF(AQ$3,ROUND(J12,0),0)</f>
        <v/>
      </c>
      <c r="AR12" s="1344">
        <f>IF(AR$3,ROUND(K12,0),0)</f>
        <v/>
      </c>
      <c r="AS12" s="1344">
        <f>IF(AS$3,ROUND(L12,0),0)</f>
        <v/>
      </c>
      <c r="AT12" s="66" t="n"/>
      <c r="AV12" s="664" t="n"/>
    </row>
    <row r="13">
      <c r="A13" s="11602" t="n"/>
      <c r="B13" s="258" t="inlineStr">
        <is>
          <t>9a</t>
        </is>
      </c>
      <c r="C13" s="259" t="inlineStr">
        <is>
          <t>Your percentage of  total distribution</t>
        </is>
      </c>
      <c r="D13" s="11888" t="n"/>
      <c r="E13" s="11889" t="n"/>
      <c r="F13" s="11889" t="n"/>
      <c r="G13" s="11890" t="n"/>
      <c r="H13" s="11890" t="n"/>
      <c r="I13" s="11890" t="n"/>
      <c r="J13" s="11890" t="n"/>
      <c r="K13" s="11890" t="n"/>
      <c r="L13" s="11891" t="n"/>
      <c r="M13" s="11892">
        <f>SUM(Q13:Y13)</f>
        <v/>
      </c>
      <c r="N13" s="11892">
        <f>SUM(AA13:AI13)</f>
        <v/>
      </c>
      <c r="O13" s="11892">
        <f>SUM(AK13:AS13)</f>
        <v/>
      </c>
      <c r="P13" s="60" t="n"/>
      <c r="Q13" s="11893">
        <f>IF(Q3,D13,0)</f>
        <v/>
      </c>
      <c r="R13" s="11893">
        <f>IF(R3,E13,0)</f>
        <v/>
      </c>
      <c r="S13" s="11893">
        <f>IF(S3,F13,0)</f>
        <v/>
      </c>
      <c r="T13" s="11893">
        <f>IF(T3,G13,0)</f>
        <v/>
      </c>
      <c r="U13" s="11893">
        <f>IF(U3,H13,0)</f>
        <v/>
      </c>
      <c r="V13" s="11893">
        <f>IF(V3,I13,0)</f>
        <v/>
      </c>
      <c r="W13" s="11893">
        <f>IF(W3,J13,0)</f>
        <v/>
      </c>
      <c r="X13" s="11893">
        <f>IF(X3,K13,0)</f>
        <v/>
      </c>
      <c r="Y13" s="11893">
        <f>IF(Y3,L13,0)</f>
        <v/>
      </c>
      <c r="Z13" s="60" t="n"/>
      <c r="AA13" s="11893">
        <f>IF(AA3,D13,0)</f>
        <v/>
      </c>
      <c r="AB13" s="11893">
        <f>IF(AB3,E13,0)</f>
        <v/>
      </c>
      <c r="AC13" s="11893">
        <f>IF(AC3,F13,0)</f>
        <v/>
      </c>
      <c r="AD13" s="11893">
        <f>IF(AD3,G13,0)</f>
        <v/>
      </c>
      <c r="AE13" s="11893">
        <f>IF(AE3,H13,0)</f>
        <v/>
      </c>
      <c r="AF13" s="11893">
        <f>IF(AF3,I13,0)</f>
        <v/>
      </c>
      <c r="AG13" s="11893">
        <f>IF(AG3,J13,0)</f>
        <v/>
      </c>
      <c r="AH13" s="11893">
        <f>IF(AH3,K13,0)</f>
        <v/>
      </c>
      <c r="AI13" s="11893">
        <f>IF(AI3,L13,0)</f>
        <v/>
      </c>
      <c r="AJ13" s="60" t="n"/>
      <c r="AK13" s="11893">
        <f>IF(AK3,D13,0)</f>
        <v/>
      </c>
      <c r="AL13" s="11893">
        <f>IF(AL3,E13,0)</f>
        <v/>
      </c>
      <c r="AM13" s="11893">
        <f>IF(AM3,F13,0)</f>
        <v/>
      </c>
      <c r="AN13" s="11893">
        <f>IF(AN3,G13,0)</f>
        <v/>
      </c>
      <c r="AO13" s="11893">
        <f>IF(AO3,H13,0)</f>
        <v/>
      </c>
      <c r="AP13" s="11893">
        <f>IF(AP3,I13,0)</f>
        <v/>
      </c>
      <c r="AQ13" s="11893">
        <f>IF(AQ3,J13,0)</f>
        <v/>
      </c>
      <c r="AR13" s="11893">
        <f>IF(AR3,K13,0)</f>
        <v/>
      </c>
      <c r="AS13" s="11893">
        <f>IF(AS3,L13,0)</f>
        <v/>
      </c>
      <c r="AT13" s="11894" t="n"/>
    </row>
    <row r="14">
      <c r="A14" s="11602" t="n"/>
      <c r="B14" s="258" t="inlineStr">
        <is>
          <t>9b</t>
        </is>
      </c>
      <c r="C14" s="259" t="inlineStr">
        <is>
          <t>Total employee contributions</t>
        </is>
      </c>
      <c r="D14" s="606" t="n"/>
      <c r="E14" s="607" t="n"/>
      <c r="F14" s="607" t="n"/>
      <c r="G14" s="608" t="n"/>
      <c r="H14" s="608" t="n"/>
      <c r="I14" s="608" t="n"/>
      <c r="J14" s="608" t="n"/>
      <c r="K14" s="608" t="n"/>
      <c r="L14" s="609" t="n"/>
      <c r="M14" s="1346">
        <f>SUM(Q14:Y14)</f>
        <v/>
      </c>
      <c r="N14" s="1346">
        <f>SUM(AA14:AI14)</f>
        <v/>
      </c>
      <c r="O14" s="1346">
        <f>SUM(AK14:AS14)</f>
        <v/>
      </c>
      <c r="P14" s="60" t="n"/>
      <c r="Q14" s="1344">
        <f>IF(Q$3,ROUND(D14,0),0)</f>
        <v/>
      </c>
      <c r="R14" s="1344">
        <f>IF(R$3,ROUND(E14,0),0)</f>
        <v/>
      </c>
      <c r="S14" s="1344">
        <f>IF(S$3,ROUND(F14,0),0)</f>
        <v/>
      </c>
      <c r="T14" s="1344">
        <f>IF(T$3,ROUND(G14,0),0)</f>
        <v/>
      </c>
      <c r="U14" s="1344">
        <f>IF(U$3,ROUND(H14,0),0)</f>
        <v/>
      </c>
      <c r="V14" s="1344">
        <f>IF(V$3,ROUND(I14,0),0)</f>
        <v/>
      </c>
      <c r="W14" s="1344">
        <f>IF(W$3,ROUND(J14,0),0)</f>
        <v/>
      </c>
      <c r="X14" s="1344">
        <f>IF(X$3,ROUND(K14,0),0)</f>
        <v/>
      </c>
      <c r="Y14" s="1344">
        <f>IF(Y$3,ROUND(L14,0),0)</f>
        <v/>
      </c>
      <c r="Z14" s="60" t="n"/>
      <c r="AA14" s="1344">
        <f>IF(AA$3,ROUND(D14,0),0)</f>
        <v/>
      </c>
      <c r="AB14" s="1344">
        <f>IF(AB$3,ROUND(E14,0),0)</f>
        <v/>
      </c>
      <c r="AC14" s="1344">
        <f>IF(AC$3,ROUND(F14,0),0)</f>
        <v/>
      </c>
      <c r="AD14" s="1344">
        <f>IF(AD$3,ROUND(G14,0),0)</f>
        <v/>
      </c>
      <c r="AE14" s="1344">
        <f>IF(AE$3,ROUND(H14,0),0)</f>
        <v/>
      </c>
      <c r="AF14" s="1344">
        <f>IF(AF$3,ROUND(I14,0),0)</f>
        <v/>
      </c>
      <c r="AG14" s="1344">
        <f>IF(AG$3,ROUND(J14,0),0)</f>
        <v/>
      </c>
      <c r="AH14" s="1344">
        <f>IF(AH$3,ROUND(K14,0),0)</f>
        <v/>
      </c>
      <c r="AI14" s="1344">
        <f>IF(AI$3,ROUND(L14,0),0)</f>
        <v/>
      </c>
      <c r="AJ14" s="60" t="n"/>
      <c r="AK14" s="1344">
        <f>IF(AK$3,ROUND(D14,0),0)</f>
        <v/>
      </c>
      <c r="AL14" s="1344">
        <f>IF(AL$3,ROUND(E14,0),0)</f>
        <v/>
      </c>
      <c r="AM14" s="1344">
        <f>IF(AM$3,ROUND(F14,0),0)</f>
        <v/>
      </c>
      <c r="AN14" s="1344">
        <f>IF(AN$3,ROUND(G14,0),0)</f>
        <v/>
      </c>
      <c r="AO14" s="1344">
        <f>IF(AO$3,ROUND(H14,0),0)</f>
        <v/>
      </c>
      <c r="AP14" s="1344">
        <f>IF(AP$3,ROUND(I14,0),0)</f>
        <v/>
      </c>
      <c r="AQ14" s="1344">
        <f>IF(AQ$3,ROUND(J14,0),0)</f>
        <v/>
      </c>
      <c r="AR14" s="1344">
        <f>IF(AR$3,ROUND(K14,0),0)</f>
        <v/>
      </c>
      <c r="AS14" s="1344">
        <f>IF(AS$3,ROUND(L14,0),0)</f>
        <v/>
      </c>
      <c r="AT14" s="66" t="n"/>
      <c r="AV14" s="664" t="n"/>
    </row>
    <row r="15">
      <c r="A15" s="11602" t="n"/>
      <c r="B15" s="258" t="n">
        <v>10</v>
      </c>
      <c r="C15" s="259" t="inlineStr">
        <is>
          <t>Amount allocable to IRR within 5 years</t>
        </is>
      </c>
      <c r="D15" s="606" t="n"/>
      <c r="E15" s="607" t="n"/>
      <c r="F15" s="607" t="n"/>
      <c r="G15" s="608" t="n"/>
      <c r="H15" s="608" t="n"/>
      <c r="I15" s="608" t="n"/>
      <c r="J15" s="608" t="n"/>
      <c r="K15" s="608" t="n"/>
      <c r="L15" s="609" t="n"/>
      <c r="M15" s="1346">
        <f>SUM(Q15:Y15)</f>
        <v/>
      </c>
      <c r="N15" s="1346">
        <f>SUM(AA15:AI15)</f>
        <v/>
      </c>
      <c r="O15" s="1346">
        <f>SUM(AK15:AS15)</f>
        <v/>
      </c>
      <c r="P15" s="60" t="n"/>
      <c r="Q15" s="1344">
        <f>IF(Q$3,ROUND(D15,0),0)</f>
        <v/>
      </c>
      <c r="R15" s="1344">
        <f>IF(R$3,ROUND(E15,0),0)</f>
        <v/>
      </c>
      <c r="S15" s="1344">
        <f>IF(S$3,ROUND(F15,0),0)</f>
        <v/>
      </c>
      <c r="T15" s="1344">
        <f>IF(T$3,ROUND(G15,0),0)</f>
        <v/>
      </c>
      <c r="U15" s="1344">
        <f>IF(U$3,ROUND(H15,0),0)</f>
        <v/>
      </c>
      <c r="V15" s="1344">
        <f>IF(V$3,ROUND(I15,0),0)</f>
        <v/>
      </c>
      <c r="W15" s="1344">
        <f>IF(W$3,ROUND(J15,0),0)</f>
        <v/>
      </c>
      <c r="X15" s="1344">
        <f>IF(X$3,ROUND(K15,0),0)</f>
        <v/>
      </c>
      <c r="Y15" s="1344">
        <f>IF(Y$3,ROUND(L15,0),0)</f>
        <v/>
      </c>
      <c r="Z15" s="60" t="n"/>
      <c r="AA15" s="1344">
        <f>IF(AA$3,ROUND(D15,0),0)</f>
        <v/>
      </c>
      <c r="AB15" s="1344">
        <f>IF(AB$3,ROUND(E15,0),0)</f>
        <v/>
      </c>
      <c r="AC15" s="1344">
        <f>IF(AC$3,ROUND(F15,0),0)</f>
        <v/>
      </c>
      <c r="AD15" s="1344">
        <f>IF(AD$3,ROUND(G15,0),0)</f>
        <v/>
      </c>
      <c r="AE15" s="1344">
        <f>IF(AE$3,ROUND(H15,0),0)</f>
        <v/>
      </c>
      <c r="AF15" s="1344">
        <f>IF(AF$3,ROUND(I15,0),0)</f>
        <v/>
      </c>
      <c r="AG15" s="1344">
        <f>IF(AG$3,ROUND(J15,0),0)</f>
        <v/>
      </c>
      <c r="AH15" s="1344">
        <f>IF(AH$3,ROUND(K15,0),0)</f>
        <v/>
      </c>
      <c r="AI15" s="1344">
        <f>IF(AI$3,ROUND(L15,0),0)</f>
        <v/>
      </c>
      <c r="AJ15" s="60" t="n"/>
      <c r="AK15" s="1344">
        <f>IF(AK$3,ROUND(D15,0),0)</f>
        <v/>
      </c>
      <c r="AL15" s="1344">
        <f>IF(AL$3,ROUND(E15,0),0)</f>
        <v/>
      </c>
      <c r="AM15" s="1344">
        <f>IF(AM$3,ROUND(F15,0),0)</f>
        <v/>
      </c>
      <c r="AN15" s="1344">
        <f>IF(AN$3,ROUND(G15,0),0)</f>
        <v/>
      </c>
      <c r="AO15" s="1344">
        <f>IF(AO$3,ROUND(H15,0),0)</f>
        <v/>
      </c>
      <c r="AP15" s="1344">
        <f>IF(AP$3,ROUND(I15,0),0)</f>
        <v/>
      </c>
      <c r="AQ15" s="1344">
        <f>IF(AQ$3,ROUND(J15,0),0)</f>
        <v/>
      </c>
      <c r="AR15" s="1344">
        <f>IF(AR$3,ROUND(K15,0),0)</f>
        <v/>
      </c>
      <c r="AS15" s="1344">
        <f>IF(AS$3,ROUND(L15,0),0)</f>
        <v/>
      </c>
      <c r="AT15" s="66" t="n"/>
    </row>
    <row r="16">
      <c r="A16" s="11602" t="n"/>
      <c r="B16" s="258" t="n">
        <v>11</v>
      </c>
      <c r="C16" s="259" t="inlineStr">
        <is>
          <t>1st year of desig. Roth contrib.</t>
        </is>
      </c>
      <c r="D16" s="606" t="n"/>
      <c r="E16" s="607" t="n"/>
      <c r="F16" s="607" t="n"/>
      <c r="G16" s="608" t="n"/>
      <c r="H16" s="608" t="n"/>
      <c r="I16" s="608" t="n"/>
      <c r="J16" s="608" t="n"/>
      <c r="K16" s="608" t="n"/>
      <c r="L16" s="609" t="n"/>
      <c r="M16" s="1346">
        <f>SUM(Q16:Y16)</f>
        <v/>
      </c>
      <c r="N16" s="1346">
        <f>SUM(AA16:AI16)</f>
        <v/>
      </c>
      <c r="O16" s="1346">
        <f>SUM(AK16:AS16)</f>
        <v/>
      </c>
      <c r="P16" s="60" t="n"/>
      <c r="Q16" s="1344">
        <f>IF(Q$3,ROUND(D16,0),0)</f>
        <v/>
      </c>
      <c r="R16" s="1344">
        <f>IF(R$3,ROUND(E16,0),0)</f>
        <v/>
      </c>
      <c r="S16" s="1344">
        <f>IF(S$3,ROUND(F16,0),0)</f>
        <v/>
      </c>
      <c r="T16" s="1344">
        <f>IF(T$3,ROUND(G16,0),0)</f>
        <v/>
      </c>
      <c r="U16" s="1344">
        <f>IF(U$3,ROUND(H16,0),0)</f>
        <v/>
      </c>
      <c r="V16" s="1344">
        <f>IF(V$3,ROUND(I16,0),0)</f>
        <v/>
      </c>
      <c r="W16" s="1344">
        <f>IF(W$3,ROUND(J16,0),0)</f>
        <v/>
      </c>
      <c r="X16" s="1344">
        <f>IF(X$3,ROUND(K16,0),0)</f>
        <v/>
      </c>
      <c r="Y16" s="1344">
        <f>IF(Y$3,ROUND(L16,0),0)</f>
        <v/>
      </c>
      <c r="Z16" s="60" t="n"/>
      <c r="AA16" s="1344">
        <f>IF(AA$3,ROUND(D16,0),0)</f>
        <v/>
      </c>
      <c r="AB16" s="1344">
        <f>IF(AB$3,ROUND(E16,0),0)</f>
        <v/>
      </c>
      <c r="AC16" s="1344">
        <f>IF(AC$3,ROUND(F16,0),0)</f>
        <v/>
      </c>
      <c r="AD16" s="1344">
        <f>IF(AD$3,ROUND(G16,0),0)</f>
        <v/>
      </c>
      <c r="AE16" s="1344">
        <f>IF(AE$3,ROUND(H16,0),0)</f>
        <v/>
      </c>
      <c r="AF16" s="1344">
        <f>IF(AF$3,ROUND(I16,0),0)</f>
        <v/>
      </c>
      <c r="AG16" s="1344">
        <f>IF(AG$3,ROUND(J16,0),0)</f>
        <v/>
      </c>
      <c r="AH16" s="1344">
        <f>IF(AH$3,ROUND(K16,0),0)</f>
        <v/>
      </c>
      <c r="AI16" s="1344">
        <f>IF(AI$3,ROUND(L16,0),0)</f>
        <v/>
      </c>
      <c r="AJ16" s="60" t="n"/>
      <c r="AK16" s="1344">
        <f>IF(AK$3,ROUND(D16,0),0)</f>
        <v/>
      </c>
      <c r="AL16" s="1344">
        <f>IF(AL$3,ROUND(E16,0),0)</f>
        <v/>
      </c>
      <c r="AM16" s="1344">
        <f>IF(AM$3,ROUND(F16,0),0)</f>
        <v/>
      </c>
      <c r="AN16" s="1344">
        <f>IF(AN$3,ROUND(G16,0),0)</f>
        <v/>
      </c>
      <c r="AO16" s="1344">
        <f>IF(AO$3,ROUND(H16,0),0)</f>
        <v/>
      </c>
      <c r="AP16" s="1344">
        <f>IF(AP$3,ROUND(I16,0),0)</f>
        <v/>
      </c>
      <c r="AQ16" s="1344">
        <f>IF(AQ$3,ROUND(J16,0),0)</f>
        <v/>
      </c>
      <c r="AR16" s="1344">
        <f>IF(AR$3,ROUND(K16,0),0)</f>
        <v/>
      </c>
      <c r="AS16" s="1344">
        <f>IF(AS$3,ROUND(L16,0),0)</f>
        <v/>
      </c>
      <c r="AT16" s="66" t="n"/>
    </row>
    <row r="17">
      <c r="A17" s="11602" t="n"/>
      <c r="B17" s="258" t="n">
        <v>12</v>
      </c>
      <c r="C17" s="259" t="inlineStr">
        <is>
          <t>FATCA filing requirement</t>
        </is>
      </c>
      <c r="D17" s="606" t="n"/>
      <c r="E17" s="607" t="n"/>
      <c r="F17" s="607" t="n"/>
      <c r="G17" s="608" t="n"/>
      <c r="H17" s="608" t="n"/>
      <c r="I17" s="608" t="n"/>
      <c r="J17" s="608" t="n"/>
      <c r="K17" s="608" t="n"/>
      <c r="L17" s="609" t="n"/>
      <c r="M17" s="620">
        <f>" - - - -"</f>
        <v/>
      </c>
      <c r="N17" s="620">
        <f>" - - - -"</f>
        <v/>
      </c>
      <c r="O17" s="620">
        <f>" - - - -"</f>
        <v/>
      </c>
      <c r="P17" s="60" t="n"/>
      <c r="Q17" s="1344">
        <f>IF(Q$3,ROUND(D17,0),0)</f>
        <v/>
      </c>
      <c r="R17" s="1344">
        <f>IF(R$3,ROUND(E17,0),0)</f>
        <v/>
      </c>
      <c r="S17" s="1344">
        <f>IF(S$3,ROUND(F17,0),0)</f>
        <v/>
      </c>
      <c r="T17" s="1344">
        <f>IF(T$3,ROUND(G17,0),0)</f>
        <v/>
      </c>
      <c r="U17" s="1344">
        <f>IF(U$3,ROUND(H17,0),0)</f>
        <v/>
      </c>
      <c r="V17" s="1344">
        <f>IF(V$3,ROUND(I17,0),0)</f>
        <v/>
      </c>
      <c r="W17" s="1344">
        <f>IF(W$3,ROUND(J17,0),0)</f>
        <v/>
      </c>
      <c r="X17" s="1344">
        <f>IF(X$3,ROUND(K17,0),0)</f>
        <v/>
      </c>
      <c r="Y17" s="1344">
        <f>IF(Y$3,ROUND(L17,0),0)</f>
        <v/>
      </c>
      <c r="Z17" s="60" t="n"/>
      <c r="AA17" s="1344">
        <f>IF(AA$3,ROUND(D17,0),0)</f>
        <v/>
      </c>
      <c r="AB17" s="1344">
        <f>IF(AB$3,ROUND(E17,0),0)</f>
        <v/>
      </c>
      <c r="AC17" s="1344">
        <f>IF(AC$3,ROUND(F17,0),0)</f>
        <v/>
      </c>
      <c r="AD17" s="1344">
        <f>IF(AD$3,ROUND(G17,0),0)</f>
        <v/>
      </c>
      <c r="AE17" s="1344">
        <f>IF(AE$3,ROUND(H17,0),0)</f>
        <v/>
      </c>
      <c r="AF17" s="1344">
        <f>IF(AF$3,ROUND(I17,0),0)</f>
        <v/>
      </c>
      <c r="AG17" s="1344">
        <f>IF(AG$3,ROUND(J17,0),0)</f>
        <v/>
      </c>
      <c r="AH17" s="1344">
        <f>IF(AH$3,ROUND(K17,0),0)</f>
        <v/>
      </c>
      <c r="AI17" s="1344">
        <f>IF(AI$3,ROUND(L17,0),0)</f>
        <v/>
      </c>
      <c r="AJ17" s="60" t="n"/>
      <c r="AK17" s="1344">
        <f>IF(AK$3,ROUND(D17,0),0)</f>
        <v/>
      </c>
      <c r="AL17" s="1344">
        <f>IF(AL$3,ROUND(E17,0),0)</f>
        <v/>
      </c>
      <c r="AM17" s="1344">
        <f>IF(AM$3,ROUND(F17,0),0)</f>
        <v/>
      </c>
      <c r="AN17" s="1344">
        <f>IF(AN$3,ROUND(G17,0),0)</f>
        <v/>
      </c>
      <c r="AO17" s="1344">
        <f>IF(AO$3,ROUND(H17,0),0)</f>
        <v/>
      </c>
      <c r="AP17" s="1344">
        <f>IF(AP$3,ROUND(I17,0),0)</f>
        <v/>
      </c>
      <c r="AQ17" s="1344">
        <f>IF(AQ$3,ROUND(J17,0),0)</f>
        <v/>
      </c>
      <c r="AR17" s="1344">
        <f>IF(AR$3,ROUND(K17,0),0)</f>
        <v/>
      </c>
      <c r="AS17" s="1344">
        <f>IF(AS$3,ROUND(L17,0),0)</f>
        <v/>
      </c>
      <c r="AT17" s="66" t="n"/>
    </row>
    <row r="18">
      <c r="A18" s="11602" t="n"/>
      <c r="B18" s="258" t="n">
        <v>13</v>
      </c>
      <c r="C18" s="259" t="inlineStr">
        <is>
          <t>Date of Payment</t>
        </is>
      </c>
      <c r="D18" s="606" t="n"/>
      <c r="E18" s="607" t="n"/>
      <c r="F18" s="607" t="n"/>
      <c r="G18" s="608" t="n"/>
      <c r="H18" s="608" t="n"/>
      <c r="I18" s="608" t="n"/>
      <c r="J18" s="608" t="n"/>
      <c r="K18" s="608" t="n"/>
      <c r="L18" s="609" t="n"/>
      <c r="M18" s="620">
        <f>" - - - -"</f>
        <v/>
      </c>
      <c r="N18" s="620">
        <f>" - - - -"</f>
        <v/>
      </c>
      <c r="O18" s="620">
        <f>" - - - -"</f>
        <v/>
      </c>
      <c r="P18" s="60" t="n"/>
      <c r="Q18" s="1344">
        <f>IF(Q$3,ROUND(D18,0),0)</f>
        <v/>
      </c>
      <c r="R18" s="1344">
        <f>IF(R$3,ROUND(E18,0),0)</f>
        <v/>
      </c>
      <c r="S18" s="1344">
        <f>IF(S$3,ROUND(F18,0),0)</f>
        <v/>
      </c>
      <c r="T18" s="1344">
        <f>IF(T$3,ROUND(G18,0),0)</f>
        <v/>
      </c>
      <c r="U18" s="1344">
        <f>IF(U$3,ROUND(H18,0),0)</f>
        <v/>
      </c>
      <c r="V18" s="1344">
        <f>IF(V$3,ROUND(I18,0),0)</f>
        <v/>
      </c>
      <c r="W18" s="1344">
        <f>IF(W$3,ROUND(J18,0),0)</f>
        <v/>
      </c>
      <c r="X18" s="1344">
        <f>IF(X$3,ROUND(K18,0),0)</f>
        <v/>
      </c>
      <c r="Y18" s="1344">
        <f>IF(Y$3,ROUND(L18,0),0)</f>
        <v/>
      </c>
      <c r="Z18" s="60" t="n"/>
      <c r="AA18" s="1344">
        <f>IF(AA$3,ROUND(D18,0),0)</f>
        <v/>
      </c>
      <c r="AB18" s="1344">
        <f>IF(AB$3,ROUND(E18,0),0)</f>
        <v/>
      </c>
      <c r="AC18" s="1344">
        <f>IF(AC$3,ROUND(F18,0),0)</f>
        <v/>
      </c>
      <c r="AD18" s="1344">
        <f>IF(AD$3,ROUND(G18,0),0)</f>
        <v/>
      </c>
      <c r="AE18" s="1344">
        <f>IF(AE$3,ROUND(H18,0),0)</f>
        <v/>
      </c>
      <c r="AF18" s="1344">
        <f>IF(AF$3,ROUND(I18,0),0)</f>
        <v/>
      </c>
      <c r="AG18" s="1344">
        <f>IF(AG$3,ROUND(J18,0),0)</f>
        <v/>
      </c>
      <c r="AH18" s="1344">
        <f>IF(AH$3,ROUND(K18,0),0)</f>
        <v/>
      </c>
      <c r="AI18" s="1344">
        <f>IF(AI$3,ROUND(L18,0),0)</f>
        <v/>
      </c>
      <c r="AJ18" s="60" t="n"/>
      <c r="AK18" s="1344">
        <f>IF(AK$3,ROUND(D18,0),0)</f>
        <v/>
      </c>
      <c r="AL18" s="1344">
        <f>IF(AL$3,ROUND(E18,0),0)</f>
        <v/>
      </c>
      <c r="AM18" s="1344">
        <f>IF(AM$3,ROUND(F18,0),0)</f>
        <v/>
      </c>
      <c r="AN18" s="1344">
        <f>IF(AN$3,ROUND(G18,0),0)</f>
        <v/>
      </c>
      <c r="AO18" s="1344">
        <f>IF(AO$3,ROUND(H18,0),0)</f>
        <v/>
      </c>
      <c r="AP18" s="1344">
        <f>IF(AP$3,ROUND(I18,0),0)</f>
        <v/>
      </c>
      <c r="AQ18" s="1344">
        <f>IF(AQ$3,ROUND(J18,0),0)</f>
        <v/>
      </c>
      <c r="AR18" s="1344">
        <f>IF(AR$3,ROUND(K18,0),0)</f>
        <v/>
      </c>
      <c r="AS18" s="1344">
        <f>IF(AS$3,ROUND(L18,0),0)</f>
        <v/>
      </c>
      <c r="AT18" s="66" t="n"/>
    </row>
    <row r="19">
      <c r="A19" s="11602" t="n"/>
      <c r="B19" s="527" t="n">
        <v>14</v>
      </c>
      <c r="C19" s="525" t="inlineStr">
        <is>
          <t>State tax withheld</t>
        </is>
      </c>
      <c r="D19" s="606" t="n"/>
      <c r="E19" s="607" t="n"/>
      <c r="F19" s="607" t="n"/>
      <c r="G19" s="608" t="n"/>
      <c r="H19" s="608" t="n"/>
      <c r="I19" s="608" t="n"/>
      <c r="J19" s="608" t="n"/>
      <c r="K19" s="608" t="n"/>
      <c r="L19" s="609" t="n"/>
      <c r="M19" s="1346">
        <f>SUM(Q19:Y19)</f>
        <v/>
      </c>
      <c r="N19" s="1346">
        <f>SUM(AA19:AI19)</f>
        <v/>
      </c>
      <c r="O19" s="1346">
        <f>SUM(AK19:AS19)</f>
        <v/>
      </c>
      <c r="P19" s="60" t="n"/>
      <c r="Q19" s="1344">
        <f>IF(Q$3,ROUND(D19,0),0)</f>
        <v/>
      </c>
      <c r="R19" s="1344">
        <f>IF(R$3,ROUND(E19,0),0)</f>
        <v/>
      </c>
      <c r="S19" s="1344">
        <f>IF(S$3,ROUND(F19,0),0)</f>
        <v/>
      </c>
      <c r="T19" s="1344">
        <f>IF(T$3,ROUND(G19,0),0)</f>
        <v/>
      </c>
      <c r="U19" s="1344">
        <f>IF(U$3,ROUND(H19,0),0)</f>
        <v/>
      </c>
      <c r="V19" s="1344">
        <f>IF(V$3,ROUND(I19,0),0)</f>
        <v/>
      </c>
      <c r="W19" s="1344">
        <f>IF(W$3,ROUND(J19,0),0)</f>
        <v/>
      </c>
      <c r="X19" s="1344">
        <f>IF(X$3,ROUND(K19,0),0)</f>
        <v/>
      </c>
      <c r="Y19" s="1344">
        <f>IF(Y$3,ROUND(L19,0),0)</f>
        <v/>
      </c>
      <c r="Z19" s="60" t="n"/>
      <c r="AA19" s="1344">
        <f>IF(AA$3,ROUND(D19,0),0)</f>
        <v/>
      </c>
      <c r="AB19" s="1344">
        <f>IF(AB$3,ROUND(E19,0),0)</f>
        <v/>
      </c>
      <c r="AC19" s="1344">
        <f>IF(AC$3,ROUND(F19,0),0)</f>
        <v/>
      </c>
      <c r="AD19" s="1344">
        <f>IF(AD$3,ROUND(G19,0),0)</f>
        <v/>
      </c>
      <c r="AE19" s="1344">
        <f>IF(AE$3,ROUND(H19,0),0)</f>
        <v/>
      </c>
      <c r="AF19" s="1344">
        <f>IF(AF$3,ROUND(I19,0),0)</f>
        <v/>
      </c>
      <c r="AG19" s="1344">
        <f>IF(AG$3,ROUND(J19,0),0)</f>
        <v/>
      </c>
      <c r="AH19" s="1344">
        <f>IF(AH$3,ROUND(K19,0),0)</f>
        <v/>
      </c>
      <c r="AI19" s="1344">
        <f>IF(AI$3,ROUND(L19,0),0)</f>
        <v/>
      </c>
      <c r="AJ19" s="60" t="n"/>
      <c r="AK19" s="1344">
        <f>IF(AK$3,ROUND(D19,0),0)</f>
        <v/>
      </c>
      <c r="AL19" s="1344">
        <f>IF(AL$3,ROUND(E19,0),0)</f>
        <v/>
      </c>
      <c r="AM19" s="1344">
        <f>IF(AM$3,ROUND(F19,0),0)</f>
        <v/>
      </c>
      <c r="AN19" s="1344">
        <f>IF(AN$3,ROUND(G19,0),0)</f>
        <v/>
      </c>
      <c r="AO19" s="1344">
        <f>IF(AO$3,ROUND(H19,0),0)</f>
        <v/>
      </c>
      <c r="AP19" s="1344">
        <f>IF(AP$3,ROUND(I19,0),0)</f>
        <v/>
      </c>
      <c r="AQ19" s="1344">
        <f>IF(AQ$3,ROUND(J19,0),0)</f>
        <v/>
      </c>
      <c r="AR19" s="1344">
        <f>IF(AR$3,ROUND(K19,0),0)</f>
        <v/>
      </c>
      <c r="AS19" s="1344">
        <f>IF(AS$3,ROUND(L19,0),0)</f>
        <v/>
      </c>
      <c r="AT19" s="66" t="n"/>
    </row>
    <row r="20">
      <c r="A20" s="11602" t="n"/>
      <c r="B20" s="258" t="n">
        <v>15</v>
      </c>
      <c r="C20" s="259" t="inlineStr">
        <is>
          <t>State/payer's state no.</t>
        </is>
      </c>
      <c r="D20" s="597" t="n"/>
      <c r="E20" s="598" t="n"/>
      <c r="F20" s="598" t="n"/>
      <c r="G20" s="599" t="n"/>
      <c r="H20" s="599" t="n"/>
      <c r="I20" s="599" t="n"/>
      <c r="J20" s="599" t="n"/>
      <c r="K20" s="599" t="n"/>
      <c r="L20" s="600" t="n"/>
      <c r="M20" s="620">
        <f>" - - - -"</f>
        <v/>
      </c>
      <c r="N20" s="620">
        <f>" - - - -"</f>
        <v/>
      </c>
      <c r="O20" s="620">
        <f>" - - - -"</f>
        <v/>
      </c>
      <c r="P20" s="60" t="n"/>
      <c r="Q20" s="1344" t="n"/>
      <c r="R20" s="1344" t="n"/>
      <c r="S20" s="1344" t="n"/>
      <c r="T20" s="1344" t="n"/>
      <c r="U20" s="1344" t="n"/>
      <c r="V20" s="1344" t="n"/>
      <c r="W20" s="1344" t="n"/>
      <c r="X20" s="1344" t="n"/>
      <c r="Y20" s="1344" t="n"/>
      <c r="Z20" s="60" t="n"/>
      <c r="AA20" s="1344" t="n"/>
      <c r="AB20" s="1344" t="n"/>
      <c r="AC20" s="1344" t="n"/>
      <c r="AD20" s="1344" t="n"/>
      <c r="AE20" s="1344" t="n"/>
      <c r="AF20" s="1344" t="n"/>
      <c r="AG20" s="1344" t="n"/>
      <c r="AH20" s="1344" t="n"/>
      <c r="AI20" s="1344" t="n"/>
      <c r="AJ20" s="60" t="n"/>
      <c r="AK20" s="1344" t="n"/>
      <c r="AL20" s="1344" t="n"/>
      <c r="AM20" s="1344" t="n"/>
      <c r="AN20" s="1344" t="n"/>
      <c r="AO20" s="1344" t="n"/>
      <c r="AP20" s="1344" t="n"/>
      <c r="AQ20" s="1344" t="n"/>
      <c r="AR20" s="1344" t="n"/>
      <c r="AS20" s="1344" t="n"/>
      <c r="AT20" s="66" t="n"/>
    </row>
    <row r="21">
      <c r="A21" s="11602" t="n"/>
      <c r="B21" s="258" t="n">
        <v>16</v>
      </c>
      <c r="C21" s="259" t="inlineStr">
        <is>
          <t>State distribution</t>
        </is>
      </c>
      <c r="D21" s="606" t="n"/>
      <c r="E21" s="607" t="n"/>
      <c r="F21" s="607" t="n"/>
      <c r="G21" s="608" t="n"/>
      <c r="H21" s="608" t="n"/>
      <c r="I21" s="608" t="n"/>
      <c r="J21" s="608" t="n"/>
      <c r="K21" s="608" t="n"/>
      <c r="L21" s="609" t="n"/>
      <c r="M21" s="1346">
        <f>SUM(Q21:Y21)</f>
        <v/>
      </c>
      <c r="N21" s="1346">
        <f>SUM(AA21:AI21)</f>
        <v/>
      </c>
      <c r="O21" s="1346">
        <f>SUM(AK21:AS21)</f>
        <v/>
      </c>
      <c r="P21" s="60" t="n"/>
      <c r="Q21" s="1344">
        <f>IF(Q$3,ROUND(D21,0),0)</f>
        <v/>
      </c>
      <c r="R21" s="1344">
        <f>IF(R$3,ROUND(E21,0),0)</f>
        <v/>
      </c>
      <c r="S21" s="1344">
        <f>IF(S$3,ROUND(F21,0),0)</f>
        <v/>
      </c>
      <c r="T21" s="1344">
        <f>IF(T$3,ROUND(G21,0),0)</f>
        <v/>
      </c>
      <c r="U21" s="1344">
        <f>IF(U$3,ROUND(H21,0),0)</f>
        <v/>
      </c>
      <c r="V21" s="1344">
        <f>IF(V$3,ROUND(I21,0),0)</f>
        <v/>
      </c>
      <c r="W21" s="1344">
        <f>IF(W$3,ROUND(J21,0),0)</f>
        <v/>
      </c>
      <c r="X21" s="1344">
        <f>IF(X$3,ROUND(K21,0),0)</f>
        <v/>
      </c>
      <c r="Y21" s="1344">
        <f>IF(Y$3,ROUND(L21,0),0)</f>
        <v/>
      </c>
      <c r="Z21" s="60" t="n"/>
      <c r="AA21" s="1344">
        <f>IF(AA$3,ROUND(D21,0),0)</f>
        <v/>
      </c>
      <c r="AB21" s="1344">
        <f>IF(AB$3,ROUND(E21,0),0)</f>
        <v/>
      </c>
      <c r="AC21" s="1344">
        <f>IF(AC$3,ROUND(F21,0),0)</f>
        <v/>
      </c>
      <c r="AD21" s="1344">
        <f>IF(AD$3,ROUND(G21,0),0)</f>
        <v/>
      </c>
      <c r="AE21" s="1344">
        <f>IF(AE$3,ROUND(H21,0),0)</f>
        <v/>
      </c>
      <c r="AF21" s="1344">
        <f>IF(AF$3,ROUND(I21,0),0)</f>
        <v/>
      </c>
      <c r="AG21" s="1344">
        <f>IF(AG$3,ROUND(J21,0),0)</f>
        <v/>
      </c>
      <c r="AH21" s="1344">
        <f>IF(AH$3,ROUND(K21,0),0)</f>
        <v/>
      </c>
      <c r="AI21" s="1344">
        <f>IF(AI$3,ROUND(L21,0),0)</f>
        <v/>
      </c>
      <c r="AJ21" s="60" t="n"/>
      <c r="AK21" s="1344">
        <f>IF(AK$3,ROUND(D21,0),0)</f>
        <v/>
      </c>
      <c r="AL21" s="1344">
        <f>IF(AL$3,ROUND(E21,0),0)</f>
        <v/>
      </c>
      <c r="AM21" s="1344">
        <f>IF(AM$3,ROUND(F21,0),0)</f>
        <v/>
      </c>
      <c r="AN21" s="1344">
        <f>IF(AN$3,ROUND(G21,0),0)</f>
        <v/>
      </c>
      <c r="AO21" s="1344">
        <f>IF(AO$3,ROUND(H21,0),0)</f>
        <v/>
      </c>
      <c r="AP21" s="1344">
        <f>IF(AP$3,ROUND(I21,0),0)</f>
        <v/>
      </c>
      <c r="AQ21" s="1344">
        <f>IF(AQ$3,ROUND(J21,0),0)</f>
        <v/>
      </c>
      <c r="AR21" s="1344">
        <f>IF(AR$3,ROUND(K21,0),0)</f>
        <v/>
      </c>
      <c r="AS21" s="1344">
        <f>IF(AS$3,ROUND(L21,0),0)</f>
        <v/>
      </c>
      <c r="AT21" s="66" t="n"/>
    </row>
    <row r="22">
      <c r="A22" s="11602" t="n"/>
      <c r="B22" s="527" t="n">
        <v>17</v>
      </c>
      <c r="C22" s="525" t="inlineStr">
        <is>
          <t>Local tax withheld</t>
        </is>
      </c>
      <c r="D22" s="606" t="n"/>
      <c r="E22" s="607" t="n"/>
      <c r="F22" s="607" t="n"/>
      <c r="G22" s="608" t="n"/>
      <c r="H22" s="608" t="n"/>
      <c r="I22" s="608" t="n"/>
      <c r="J22" s="608" t="n"/>
      <c r="K22" s="608" t="n"/>
      <c r="L22" s="609" t="n"/>
      <c r="M22" s="1346">
        <f>SUM(Q22:Y22)</f>
        <v/>
      </c>
      <c r="N22" s="1346">
        <f>SUM(AA22:AI22)</f>
        <v/>
      </c>
      <c r="O22" s="1346">
        <f>SUM(AK22:AS22)</f>
        <v/>
      </c>
      <c r="P22" s="60" t="n"/>
      <c r="Q22" s="1344">
        <f>IF(Q$3,ROUND(D22,0),0)</f>
        <v/>
      </c>
      <c r="R22" s="1344">
        <f>IF(R$3,ROUND(E22,0),0)</f>
        <v/>
      </c>
      <c r="S22" s="1344">
        <f>IF(S$3,ROUND(F22,0),0)</f>
        <v/>
      </c>
      <c r="T22" s="1344">
        <f>IF(T$3,ROUND(G22,0),0)</f>
        <v/>
      </c>
      <c r="U22" s="1344">
        <f>IF(U$3,ROUND(H22,0),0)</f>
        <v/>
      </c>
      <c r="V22" s="1344">
        <f>IF(V$3,ROUND(I22,0),0)</f>
        <v/>
      </c>
      <c r="W22" s="1344">
        <f>IF(W$3,ROUND(J22,0),0)</f>
        <v/>
      </c>
      <c r="X22" s="1344">
        <f>IF(X$3,ROUND(K22,0),0)</f>
        <v/>
      </c>
      <c r="Y22" s="1344">
        <f>IF(Y$3,ROUND(L22,0),0)</f>
        <v/>
      </c>
      <c r="Z22" s="60" t="n"/>
      <c r="AA22" s="1344">
        <f>IF(AA$3,ROUND(D22,0),0)</f>
        <v/>
      </c>
      <c r="AB22" s="1344">
        <f>IF(AB$3,ROUND(E22,0),0)</f>
        <v/>
      </c>
      <c r="AC22" s="1344">
        <f>IF(AC$3,ROUND(F22,0),0)</f>
        <v/>
      </c>
      <c r="AD22" s="1344">
        <f>IF(AD$3,ROUND(G22,0),0)</f>
        <v/>
      </c>
      <c r="AE22" s="1344">
        <f>IF(AE$3,ROUND(H22,0),0)</f>
        <v/>
      </c>
      <c r="AF22" s="1344">
        <f>IF(AF$3,ROUND(I22,0),0)</f>
        <v/>
      </c>
      <c r="AG22" s="1344">
        <f>IF(AG$3,ROUND(J22,0),0)</f>
        <v/>
      </c>
      <c r="AH22" s="1344">
        <f>IF(AH$3,ROUND(K22,0),0)</f>
        <v/>
      </c>
      <c r="AI22" s="1344">
        <f>IF(AI$3,ROUND(L22,0),0)</f>
        <v/>
      </c>
      <c r="AJ22" s="60" t="n"/>
      <c r="AK22" s="1344">
        <f>IF(AK$3,ROUND(D22,0),0)</f>
        <v/>
      </c>
      <c r="AL22" s="1344">
        <f>IF(AL$3,ROUND(E22,0),0)</f>
        <v/>
      </c>
      <c r="AM22" s="1344">
        <f>IF(AM$3,ROUND(F22,0),0)</f>
        <v/>
      </c>
      <c r="AN22" s="1344">
        <f>IF(AN$3,ROUND(G22,0),0)</f>
        <v/>
      </c>
      <c r="AO22" s="1344">
        <f>IF(AO$3,ROUND(H22,0),0)</f>
        <v/>
      </c>
      <c r="AP22" s="1344">
        <f>IF(AP$3,ROUND(I22,0),0)</f>
        <v/>
      </c>
      <c r="AQ22" s="1344">
        <f>IF(AQ$3,ROUND(J22,0),0)</f>
        <v/>
      </c>
      <c r="AR22" s="1344">
        <f>IF(AR$3,ROUND(K22,0),0)</f>
        <v/>
      </c>
      <c r="AS22" s="1344">
        <f>IF(AS$3,ROUND(L22,0),0)</f>
        <v/>
      </c>
      <c r="AT22" s="66" t="n"/>
    </row>
    <row r="23">
      <c r="A23" s="11602" t="n"/>
      <c r="B23" s="258" t="n">
        <v>18</v>
      </c>
      <c r="C23" s="259" t="inlineStr">
        <is>
          <t>Name of locality</t>
        </is>
      </c>
      <c r="D23" s="1335">
        <f>OR(D3="CONV",D3="conv")</f>
        <v/>
      </c>
      <c r="E23" s="1336">
        <f>OR(E3="CONV",E3="conv")</f>
        <v/>
      </c>
      <c r="F23" s="1336">
        <f>OR(F3="CONV",F3="conv")</f>
        <v/>
      </c>
      <c r="G23" s="1336">
        <f>OR(G3="CONV",G3="conv")</f>
        <v/>
      </c>
      <c r="H23" s="1336">
        <f>OR(H3="CONV",H3="conv")</f>
        <v/>
      </c>
      <c r="I23" s="1336">
        <f>OR(I3="CONV",I3="conv")</f>
        <v/>
      </c>
      <c r="J23" s="1336">
        <f>OR(J3="CONV",J3="conv")</f>
        <v/>
      </c>
      <c r="K23" s="1336">
        <f>OR(K3="CONV",K3="conv")</f>
        <v/>
      </c>
      <c r="L23" s="1336">
        <f>OR(L3="CONV",L3="conv")</f>
        <v/>
      </c>
      <c r="M23" s="620">
        <f>" - - - -"</f>
        <v/>
      </c>
      <c r="N23" s="620">
        <f>" - - - -"</f>
        <v/>
      </c>
      <c r="O23" s="620">
        <f>" - - - -"</f>
        <v/>
      </c>
      <c r="P23" s="60" t="n"/>
      <c r="Q23" s="1344" t="n"/>
      <c r="R23" s="1344" t="n"/>
      <c r="S23" s="1344" t="n"/>
      <c r="T23" s="1344" t="n"/>
      <c r="U23" s="1344" t="n"/>
      <c r="V23" s="1344" t="n"/>
      <c r="W23" s="1344" t="n"/>
      <c r="X23" s="1344" t="n"/>
      <c r="Y23" s="1344" t="n"/>
      <c r="Z23" s="60" t="n"/>
      <c r="AA23" s="1344" t="n"/>
      <c r="AB23" s="1344" t="n"/>
      <c r="AC23" s="1344" t="n"/>
      <c r="AD23" s="1344" t="n"/>
      <c r="AE23" s="1344" t="n"/>
      <c r="AF23" s="1344" t="n"/>
      <c r="AG23" s="1344" t="n"/>
      <c r="AH23" s="1344" t="n"/>
      <c r="AI23" s="1344" t="n"/>
      <c r="AJ23" s="60" t="n"/>
      <c r="AK23" s="1344" t="n"/>
      <c r="AL23" s="1344" t="n"/>
      <c r="AM23" s="1344" t="n"/>
      <c r="AN23" s="1344" t="n"/>
      <c r="AO23" s="1344" t="n"/>
      <c r="AP23" s="1344" t="n"/>
      <c r="AQ23" s="1344" t="n"/>
      <c r="AR23" s="1344" t="n"/>
      <c r="AS23" s="1344" t="n"/>
      <c r="AT23" s="66" t="n"/>
    </row>
    <row r="24" ht="13.5" customHeight="1" s="7635" thickBot="1">
      <c r="A24" s="11602" t="n"/>
      <c r="B24" s="263" t="n">
        <v>19</v>
      </c>
      <c r="C24" s="649" t="inlineStr">
        <is>
          <t>Local distribution</t>
        </is>
      </c>
      <c r="D24" s="616" t="n"/>
      <c r="E24" s="617" t="n"/>
      <c r="F24" s="617" t="n"/>
      <c r="G24" s="618" t="n"/>
      <c r="H24" s="618" t="n"/>
      <c r="I24" s="618" t="n"/>
      <c r="J24" s="618" t="n"/>
      <c r="K24" s="618" t="n"/>
      <c r="L24" s="619" t="n"/>
      <c r="M24" s="1347">
        <f>SUM(Q24:Y24)</f>
        <v/>
      </c>
      <c r="N24" s="1347">
        <f>SUM(AA24:AI24)</f>
        <v/>
      </c>
      <c r="O24" s="1347">
        <f>SUM(AK24:AS24)</f>
        <v/>
      </c>
      <c r="P24" s="60" t="n"/>
      <c r="Q24" s="1344">
        <f>IF(Q$3,ROUND(D24,0),0)</f>
        <v/>
      </c>
      <c r="R24" s="1344">
        <f>IF(R$3,ROUND(E24,0),0)</f>
        <v/>
      </c>
      <c r="S24" s="1344">
        <f>IF(S$3,ROUND(F24,0),0)</f>
        <v/>
      </c>
      <c r="T24" s="1344">
        <f>IF(T$3,ROUND(G24,0),0)</f>
        <v/>
      </c>
      <c r="U24" s="1344">
        <f>IF(U$3,ROUND(H24,0),0)</f>
        <v/>
      </c>
      <c r="V24" s="1344">
        <f>IF(V$3,ROUND(I24,0),0)</f>
        <v/>
      </c>
      <c r="W24" s="1344">
        <f>IF(W$3,ROUND(J24,0),0)</f>
        <v/>
      </c>
      <c r="X24" s="1344">
        <f>IF(X$3,ROUND(K24,0),0)</f>
        <v/>
      </c>
      <c r="Y24" s="1344">
        <f>IF(Y$3,ROUND(L24,0),0)</f>
        <v/>
      </c>
      <c r="Z24" s="60" t="n"/>
      <c r="AA24" s="1344">
        <f>IF(AA$3,ROUND(D24,0),0)</f>
        <v/>
      </c>
      <c r="AB24" s="1344">
        <f>IF(AB$3,ROUND(E24,0),0)</f>
        <v/>
      </c>
      <c r="AC24" s="1344">
        <f>IF(AC$3,ROUND(F24,0),0)</f>
        <v/>
      </c>
      <c r="AD24" s="1344">
        <f>IF(AD$3,ROUND(G24,0),0)</f>
        <v/>
      </c>
      <c r="AE24" s="1344">
        <f>IF(AE$3,ROUND(H24,0),0)</f>
        <v/>
      </c>
      <c r="AF24" s="1344">
        <f>IF(AF$3,ROUND(I24,0),0)</f>
        <v/>
      </c>
      <c r="AG24" s="1344">
        <f>IF(AG$3,ROUND(J24,0),0)</f>
        <v/>
      </c>
      <c r="AH24" s="1344">
        <f>IF(AH$3,ROUND(K24,0),0)</f>
        <v/>
      </c>
      <c r="AI24" s="1344">
        <f>IF(AI$3,ROUND(L24,0),0)</f>
        <v/>
      </c>
      <c r="AJ24" s="60" t="n"/>
      <c r="AK24" s="1344">
        <f>IF(AK$3,ROUND(D24,0),0)</f>
        <v/>
      </c>
      <c r="AL24" s="1344">
        <f>IF(AL$3,ROUND(E24,0),0)</f>
        <v/>
      </c>
      <c r="AM24" s="1344">
        <f>IF(AM$3,ROUND(F24,0),0)</f>
        <v/>
      </c>
      <c r="AN24" s="1344">
        <f>IF(AN$3,ROUND(G24,0),0)</f>
        <v/>
      </c>
      <c r="AO24" s="1344">
        <f>IF(AO$3,ROUND(H24,0),0)</f>
        <v/>
      </c>
      <c r="AP24" s="1344">
        <f>IF(AP$3,ROUND(I24,0),0)</f>
        <v/>
      </c>
      <c r="AQ24" s="1344">
        <f>IF(AQ$3,ROUND(J24,0),0)</f>
        <v/>
      </c>
      <c r="AR24" s="1344">
        <f>IF(AR$3,ROUND(K24,0),0)</f>
        <v/>
      </c>
      <c r="AS24" s="1344">
        <f>IF(AS$3,ROUND(L24,0),0)</f>
        <v/>
      </c>
      <c r="AT24" s="66" t="n"/>
    </row>
    <row r="25" ht="17.25" customHeight="1" s="7635" thickBot="1">
      <c r="A25" s="11602" t="n"/>
      <c r="B25" s="745" t="inlineStr">
        <is>
          <t xml:space="preserve">  Only bolded amounts are used in this spreadsheet.</t>
        </is>
      </c>
      <c r="C25" s="746" t="n"/>
      <c r="D25" s="7567">
        <f>OR(D23:L23)</f>
        <v/>
      </c>
      <c r="E25" s="11602" t="n"/>
      <c r="F25" s="11602" t="n"/>
      <c r="G25" s="11602" t="n"/>
      <c r="H25" s="1334">
        <f>IF(D25,"For IRA conversions, leave line 2a blank and complete "&amp;CHAR(10)&amp;"Form 8606.","")</f>
        <v/>
      </c>
      <c r="I25" s="11602" t="n"/>
      <c r="J25" s="11602" t="n"/>
      <c r="K25" s="11602" t="n"/>
      <c r="L25" s="11602" t="n"/>
      <c r="M25" s="11602" t="n"/>
      <c r="N25" s="11602" t="n"/>
      <c r="O25" s="11602" t="n"/>
      <c r="P25" s="268" t="n"/>
      <c r="Q25" s="66" t="n"/>
      <c r="R25" s="66" t="n"/>
      <c r="S25" s="66" t="n"/>
      <c r="T25" s="66" t="n"/>
      <c r="U25" s="66" t="n"/>
      <c r="V25" s="66" t="n"/>
      <c r="W25" s="66" t="n"/>
      <c r="X25" s="66" t="n"/>
      <c r="Y25" s="66" t="n"/>
      <c r="Z25" s="268" t="n"/>
      <c r="AA25" s="66" t="n"/>
      <c r="AB25" s="66" t="n"/>
      <c r="AC25" s="66" t="n"/>
      <c r="AD25" s="66" t="n"/>
      <c r="AE25" s="66" t="n"/>
      <c r="AF25" s="66" t="n"/>
      <c r="AG25" s="66" t="n"/>
      <c r="AH25" s="66" t="n"/>
      <c r="AI25" s="66" t="n"/>
      <c r="AJ25" s="268" t="n"/>
      <c r="AK25" s="66" t="n"/>
      <c r="AL25" s="66" t="n"/>
      <c r="AM25" s="66" t="n"/>
      <c r="AN25" s="66" t="n"/>
      <c r="AO25" s="66" t="n"/>
      <c r="AP25" s="66" t="n"/>
      <c r="AQ25" s="66" t="n"/>
      <c r="AR25" s="66" t="n"/>
      <c r="AS25" s="66" t="n"/>
      <c r="AT25" s="66" t="n"/>
    </row>
    <row r="26" hidden="1" ht="17.25" customHeight="1" s="7635">
      <c r="A26" s="11602" t="n"/>
      <c r="B26" s="745" t="n"/>
      <c r="C26" s="746" t="n"/>
      <c r="D26" s="740">
        <f>IF(OR(LEFT(D11,1)="D",LEFT(D11,1)="d"),D5,"")</f>
        <v/>
      </c>
      <c r="E26" s="740">
        <f>IF(OR(LEFT(E11,1)="D",LEFT(E11,1)="d"),E5,"")</f>
        <v/>
      </c>
      <c r="F26" s="740">
        <f>IF(OR(LEFT(F11,1)="D",LEFT(F11,1)="d"),F5,"")</f>
        <v/>
      </c>
      <c r="G26" s="740">
        <f>IF(OR(LEFT(G11,1)="D",LEFT(G11,1)="d"),G5,"")</f>
        <v/>
      </c>
      <c r="H26" s="740">
        <f>IF(OR(LEFT(H11,1)="D",LEFT(H11,1)="d"),H5,"")</f>
        <v/>
      </c>
      <c r="I26" s="740">
        <f>IF(OR(LEFT(I11,1)="D",LEFT(I11,1)="d"),I5,"")</f>
        <v/>
      </c>
      <c r="J26" s="740">
        <f>IF(OR(LEFT(J11,1)="D",LEFT(J11,1)="d"),J5,"")</f>
        <v/>
      </c>
      <c r="K26" s="740">
        <f>IF(OR(LEFT(K11,1)="D",LEFT(K11,1)="d"),K5,"")</f>
        <v/>
      </c>
      <c r="L26" s="740">
        <f>IF(OR(LEFT(L11,1)="D",LEFT(L11,1)="d"),L5,"")</f>
        <v/>
      </c>
      <c r="M26" s="11602" t="n"/>
      <c r="N26" s="740">
        <f>SUM(D26:L26)</f>
        <v/>
      </c>
      <c r="O26" s="740">
        <f>SUM(E26:M26)</f>
        <v/>
      </c>
      <c r="P26" s="268" t="n"/>
      <c r="Q26" s="66" t="n"/>
      <c r="R26" s="66" t="n"/>
      <c r="S26" s="66" t="n"/>
      <c r="T26" s="66" t="n"/>
      <c r="U26" s="66" t="n"/>
      <c r="V26" s="66" t="n"/>
      <c r="W26" s="66" t="n"/>
      <c r="X26" s="66" t="n"/>
      <c r="Y26" s="66" t="n"/>
      <c r="Z26" s="268" t="n"/>
      <c r="AA26" s="66" t="n"/>
      <c r="AB26" s="66" t="n"/>
      <c r="AC26" s="66" t="n"/>
      <c r="AD26" s="66" t="n"/>
      <c r="AE26" s="66" t="n"/>
      <c r="AF26" s="66" t="n"/>
      <c r="AG26" s="66" t="n"/>
      <c r="AH26" s="66" t="n"/>
      <c r="AI26" s="66" t="n"/>
      <c r="AJ26" s="268" t="n"/>
      <c r="AK26" s="66" t="n"/>
      <c r="AL26" s="66" t="n"/>
      <c r="AM26" s="66" t="n"/>
      <c r="AN26" s="66" t="n"/>
      <c r="AO26" s="66" t="n"/>
      <c r="AP26" s="66" t="n"/>
      <c r="AQ26" s="66" t="n"/>
      <c r="AR26" s="66" t="n"/>
      <c r="AS26" s="66" t="n"/>
      <c r="AT26" s="66" t="n"/>
    </row>
    <row r="27" hidden="1" ht="17.25" customHeight="1" s="7635" thickBot="1">
      <c r="A27" s="11602" t="n"/>
      <c r="B27" s="745" t="n"/>
      <c r="C27" s="746" t="n"/>
      <c r="D27" s="740">
        <f>IF(OR(LEFT(D11,1)="D",LEFT(D11,1)="d"),SUM(D19,D22),"")</f>
        <v/>
      </c>
      <c r="E27" s="740">
        <f>IF(OR(LEFT(E11,1)="D",LEFT(E11,1)="d"),SUM(E19,E22),"")</f>
        <v/>
      </c>
      <c r="F27" s="740">
        <f>IF(OR(LEFT(F11,1)="D",LEFT(F11,1)="d"),SUM(F19,F22),"")</f>
        <v/>
      </c>
      <c r="G27" s="740">
        <f>IF(OR(LEFT(G11,1)="D",LEFT(G11,1)="d"),SUM(G19,G22),"")</f>
        <v/>
      </c>
      <c r="H27" s="740">
        <f>IF(OR(LEFT(H11,1)="D",LEFT(H11,1)="d"),SUM(H19,H22),"")</f>
        <v/>
      </c>
      <c r="I27" s="740">
        <f>IF(OR(LEFT(I11,1)="D",LEFT(I11,1)="d"),SUM(I19,I22),"")</f>
        <v/>
      </c>
      <c r="J27" s="740">
        <f>IF(OR(LEFT(J11,1)="D",LEFT(J11,1)="d"),SUM(J19,J22),"")</f>
        <v/>
      </c>
      <c r="K27" s="740">
        <f>IF(OR(LEFT(K11,1)="D",LEFT(K11,1)="d"),SUM(K19,K22),"")</f>
        <v/>
      </c>
      <c r="L27" s="740">
        <f>IF(OR(LEFT(L11,1)="D",LEFT(L11,1)="d"),SUM(L19,L22),"")</f>
        <v/>
      </c>
      <c r="M27" s="11602" t="n"/>
      <c r="N27" s="740">
        <f>SUM(D27:L27)</f>
        <v/>
      </c>
      <c r="O27" s="740">
        <f>SUM(E27:M27)</f>
        <v/>
      </c>
      <c r="P27" s="268" t="n"/>
      <c r="Q27" s="66" t="n"/>
      <c r="R27" s="66" t="n"/>
      <c r="S27" s="66" t="n"/>
      <c r="T27" s="66" t="n"/>
      <c r="U27" s="66" t="n"/>
      <c r="V27" s="66" t="n"/>
      <c r="W27" s="66" t="n"/>
      <c r="X27" s="66" t="n"/>
      <c r="Y27" s="66" t="n"/>
      <c r="Z27" s="268" t="n"/>
      <c r="AA27" s="66" t="n"/>
      <c r="AB27" s="66" t="n"/>
      <c r="AC27" s="66" t="n"/>
      <c r="AD27" s="66" t="n"/>
      <c r="AE27" s="66" t="n"/>
      <c r="AF27" s="66" t="n"/>
      <c r="AG27" s="66" t="n"/>
      <c r="AH27" s="66" t="n"/>
      <c r="AI27" s="66" t="n"/>
      <c r="AJ27" s="268" t="n"/>
      <c r="AK27" s="66" t="n"/>
      <c r="AL27" s="66" t="n"/>
      <c r="AM27" s="66" t="n"/>
      <c r="AN27" s="66" t="n"/>
      <c r="AO27" s="66" t="n"/>
      <c r="AP27" s="66" t="n"/>
      <c r="AQ27" s="66" t="n"/>
      <c r="AR27" s="66" t="n"/>
      <c r="AS27" s="66" t="n"/>
      <c r="AT27" s="66" t="n"/>
    </row>
    <row r="28" ht="42" customHeight="1" s="7635" thickTop="1">
      <c r="A28" s="583" t="n"/>
      <c r="B28" s="593" t="inlineStr">
        <is>
          <t>Information from Form 1099-R, Distributions From Pensions, Annuities, Retirement or Profit-Sharing  Plans, IRAs, Insurance Contracts, etc.</t>
        </is>
      </c>
      <c r="C28" s="1535" t="n"/>
      <c r="D28" s="1536" t="n"/>
      <c r="E28" s="584" t="n"/>
      <c r="F28" s="1536" t="n"/>
      <c r="G28" s="1536" t="n"/>
      <c r="H28" s="1536" t="n"/>
      <c r="I28" s="585" t="n"/>
      <c r="J28" s="585" t="n"/>
      <c r="K28" s="586" t="n"/>
      <c r="L28" s="586" t="n"/>
      <c r="M28" s="586" t="n"/>
      <c r="N28" s="586" t="n"/>
      <c r="O28" s="586" t="n"/>
    </row>
    <row r="29" ht="48" customHeight="1" s="7635" thickBot="1">
      <c r="A29" s="11602" t="n"/>
      <c r="B29" s="1533" t="n"/>
      <c r="C29" s="8131">
        <f>IF(Name_1st_Sp="","Enter your spouse's name on the"&amp;CHAR(10)&amp;"sheet labeled '1040'",NameSpouse)</f>
        <v/>
      </c>
      <c r="D29" s="458" t="inlineStr">
        <is>
          <t>Payer #1</t>
        </is>
      </c>
      <c r="E29" s="458" t="inlineStr">
        <is>
          <t>Payer #2</t>
        </is>
      </c>
      <c r="F29" s="458" t="inlineStr">
        <is>
          <t>Payer #3</t>
        </is>
      </c>
      <c r="G29" s="458" t="inlineStr">
        <is>
          <t>Payer #4</t>
        </is>
      </c>
      <c r="H29" s="458" t="inlineStr">
        <is>
          <t>Payer #5</t>
        </is>
      </c>
      <c r="I29" s="458" t="inlineStr">
        <is>
          <t>Payer #6</t>
        </is>
      </c>
      <c r="J29" s="458" t="inlineStr">
        <is>
          <t>Payer #7</t>
        </is>
      </c>
      <c r="K29" s="458" t="inlineStr">
        <is>
          <t>Payer #8</t>
        </is>
      </c>
      <c r="L29" s="458" t="inlineStr">
        <is>
          <t>Payer #9</t>
        </is>
      </c>
      <c r="M29" s="758" t="inlineStr">
        <is>
          <t>Total
IRAs</t>
        </is>
      </c>
      <c r="N29" s="638" t="inlineStr">
        <is>
          <t>Total Pension / Annuities</t>
        </is>
      </c>
      <c r="O29" s="638" t="inlineStr">
        <is>
          <t xml:space="preserve">Qualified
Conversion
to ROTH IRA </t>
        </is>
      </c>
      <c r="P29" s="39" t="n"/>
      <c r="Q29" s="104" t="n"/>
      <c r="R29" s="104" t="n"/>
      <c r="S29" s="104" t="n"/>
      <c r="T29" s="104" t="n"/>
      <c r="U29" s="104" t="n"/>
      <c r="V29" s="104" t="n"/>
      <c r="W29" s="104" t="n"/>
      <c r="X29" s="104" t="n"/>
      <c r="Y29" s="104" t="n"/>
      <c r="Z29" s="39" t="n"/>
      <c r="AA29" s="104" t="n"/>
      <c r="AB29" s="104" t="n"/>
      <c r="AC29" s="104" t="n"/>
      <c r="AD29" s="104" t="n"/>
      <c r="AE29" s="104" t="n"/>
      <c r="AF29" s="104" t="n"/>
      <c r="AG29" s="104" t="n"/>
      <c r="AH29" s="104" t="n"/>
      <c r="AI29" s="104" t="n"/>
      <c r="AJ29" s="39" t="n"/>
      <c r="AK29" s="104" t="n"/>
      <c r="AL29" s="104" t="n"/>
      <c r="AM29" s="104" t="n"/>
      <c r="AN29" s="104" t="n"/>
      <c r="AO29" s="104" t="n"/>
      <c r="AP29" s="104" t="n"/>
      <c r="AQ29" s="104" t="n"/>
      <c r="AR29" s="104" t="n"/>
      <c r="AS29" s="104" t="n"/>
      <c r="AT29" s="104" t="n"/>
    </row>
    <row r="30" ht="13.5" customHeight="1" s="7635" thickBot="1">
      <c r="A30" s="11602" t="n"/>
      <c r="B30" s="254" t="n"/>
      <c r="C30" s="255" t="inlineStr">
        <is>
          <t>Enter "IRA" or "P/A" or "CONV" &gt;&gt;&gt;</t>
        </is>
      </c>
      <c r="D30" s="459" t="n"/>
      <c r="E30" s="515" t="n"/>
      <c r="F30" s="515" t="n"/>
      <c r="G30" s="1231" t="n"/>
      <c r="H30" s="1231" t="n"/>
      <c r="I30" s="1231" t="n"/>
      <c r="J30" s="1231" t="n"/>
      <c r="K30" s="1231" t="n"/>
      <c r="L30" s="1231" t="n"/>
      <c r="M30" s="1537" t="inlineStr">
        <is>
          <t>IRA</t>
        </is>
      </c>
      <c r="N30" s="1230" t="inlineStr">
        <is>
          <t>P/A</t>
        </is>
      </c>
      <c r="O30" s="1230" t="inlineStr">
        <is>
          <t>CONV</t>
        </is>
      </c>
      <c r="P30" s="18" t="n"/>
      <c r="Q30" s="26">
        <f>NOT(AND(ISERROR(FIND("IRA",D30,1)),ISERROR(FIND("ira",D30,1))))</f>
        <v/>
      </c>
      <c r="R30" s="26">
        <f>NOT(AND(ISERROR(FIND("IRA",E30,1)),ISERROR(FIND("ira",E30,1))))</f>
        <v/>
      </c>
      <c r="S30" s="26">
        <f>NOT(AND(ISERROR(FIND("IRA",F30,1)),ISERROR(FIND("ira",F30,1))))</f>
        <v/>
      </c>
      <c r="T30" s="26">
        <f>NOT(AND(ISERROR(FIND("IRA",G30,1)),ISERROR(FIND("ira",G30,1))))</f>
        <v/>
      </c>
      <c r="U30" s="26">
        <f>NOT(AND(ISERROR(FIND("IRA",H30,1)),ISERROR(FIND("ira",H30,1))))</f>
        <v/>
      </c>
      <c r="V30" s="26">
        <f>NOT(AND(ISERROR(FIND("IRA",I30,1)),ISERROR(FIND("ira",I30,1))))</f>
        <v/>
      </c>
      <c r="W30" s="26">
        <f>NOT(AND(ISERROR(FIND("IRA",J30,1)),ISERROR(FIND("ira",J30,1))))</f>
        <v/>
      </c>
      <c r="X30" s="26">
        <f>NOT(AND(ISERROR(FIND("IRA",K30,1)),ISERROR(FIND("ira",K30,1))))</f>
        <v/>
      </c>
      <c r="Y30" s="26">
        <f>NOT(AND(ISERROR(FIND("IRA",L30,1)),ISERROR(FIND("ira",L30,1))))</f>
        <v/>
      </c>
      <c r="Z30" s="18" t="n"/>
      <c r="AA30" s="26">
        <f>NOT(AND(ISERROR(FIND("P/A",D30,1)),ISERROR(FIND("p/a",D30,1))))</f>
        <v/>
      </c>
      <c r="AB30" s="26">
        <f>NOT(AND(ISERROR(FIND("P/A",E30,1)),ISERROR(FIND("p/a",E30,1))))</f>
        <v/>
      </c>
      <c r="AC30" s="26">
        <f>NOT(AND(ISERROR(FIND("P/A",F30,1)),ISERROR(FIND("p/a",F30,1))))</f>
        <v/>
      </c>
      <c r="AD30" s="26">
        <f>NOT(AND(ISERROR(FIND("P/A",G30,1)),ISERROR(FIND("p/a",G30,1))))</f>
        <v/>
      </c>
      <c r="AE30" s="26">
        <f>NOT(AND(ISERROR(FIND("P/A",H30,1)),ISERROR(FIND("p/a",H30,1))))</f>
        <v/>
      </c>
      <c r="AF30" s="26">
        <f>NOT(AND(ISERROR(FIND("P/A",I30,1)),ISERROR(FIND("p/a",I30,1))))</f>
        <v/>
      </c>
      <c r="AG30" s="26">
        <f>NOT(AND(ISERROR(FIND("P/A",J30,1)),ISERROR(FIND("p/a",J30,1))))</f>
        <v/>
      </c>
      <c r="AH30" s="26">
        <f>NOT(AND(ISERROR(FIND("P/A",K30,1)),ISERROR(FIND("p/a",K30,1))))</f>
        <v/>
      </c>
      <c r="AI30" s="26">
        <f>NOT(AND(ISERROR(FIND("P/A",L30,1)),ISERROR(FIND("p/a",L30,1))))</f>
        <v/>
      </c>
      <c r="AJ30" s="18" t="n"/>
      <c r="AK30" s="26">
        <f>NOT(AND(ISERROR(FIND("CONV",D30,1)),ISERROR(FIND("conv",D30,1))))</f>
        <v/>
      </c>
      <c r="AL30" s="26">
        <f>NOT(AND(ISERROR(FIND("CONV",E30,1)),ISERROR(FIND("conv",E30,1))))</f>
        <v/>
      </c>
      <c r="AM30" s="26">
        <f>NOT(AND(ISERROR(FIND("CONV",F30,1)),ISERROR(FIND("conv",F30,1))))</f>
        <v/>
      </c>
      <c r="AN30" s="26">
        <f>NOT(AND(ISERROR(FIND("CONV",G30,1)),ISERROR(FIND("conv",G30,1))))</f>
        <v/>
      </c>
      <c r="AO30" s="26">
        <f>NOT(AND(ISERROR(FIND("CONV",H30,1)),ISERROR(FIND("conv",H30,1))))</f>
        <v/>
      </c>
      <c r="AP30" s="26">
        <f>NOT(AND(ISERROR(FIND("CONV",I30,1)),ISERROR(FIND("conv",I30,1))))</f>
        <v/>
      </c>
      <c r="AQ30" s="26">
        <f>NOT(AND(ISERROR(FIND("CONV",J30,1)),ISERROR(FIND("conv",J30,1))))</f>
        <v/>
      </c>
      <c r="AR30" s="26">
        <f>NOT(AND(ISERROR(FIND("CONV",K30,1)),ISERROR(FIND("conv",K30,1))))</f>
        <v/>
      </c>
      <c r="AS30" s="26">
        <f>NOT(AND(ISERROR(FIND("CONV",L30,1)),ISERROR(FIND("conv",L30,1))))</f>
        <v/>
      </c>
      <c r="AT30" s="26" t="n"/>
    </row>
    <row r="31" ht="13.5" customHeight="1" s="7635">
      <c r="A31" s="11602" t="n"/>
      <c r="B31" s="526" t="n">
        <v>1</v>
      </c>
      <c r="C31" s="524" t="inlineStr">
        <is>
          <t>Gross distribution</t>
        </is>
      </c>
      <c r="D31" s="604" t="n"/>
      <c r="E31" s="605" t="n"/>
      <c r="F31" s="605" t="n"/>
      <c r="G31" s="605" t="n"/>
      <c r="H31" s="605" t="n"/>
      <c r="I31" s="605" t="n"/>
      <c r="J31" s="605" t="n"/>
      <c r="K31" s="605" t="n"/>
      <c r="L31" s="605" t="n"/>
      <c r="M31" s="1349">
        <f>SUM(Q31:Y31)</f>
        <v/>
      </c>
      <c r="N31" s="1349">
        <f>SUM(AA31:AI31)</f>
        <v/>
      </c>
      <c r="O31" s="1349">
        <f>SUM(AK31:AS31)</f>
        <v/>
      </c>
      <c r="P31" s="19" t="n"/>
      <c r="Q31" s="1344">
        <f>IF(Q$30,ROUND(D31,0),0)</f>
        <v/>
      </c>
      <c r="R31" s="1344">
        <f>IF(R$30,ROUND(E31,0),0)</f>
        <v/>
      </c>
      <c r="S31" s="1344">
        <f>IF(S$30,ROUND(F31,0),0)</f>
        <v/>
      </c>
      <c r="T31" s="1344">
        <f>IF(T$30,ROUND(G31,0),0)</f>
        <v/>
      </c>
      <c r="U31" s="1344">
        <f>IF(U$30,ROUND(H31,0),0)</f>
        <v/>
      </c>
      <c r="V31" s="1344">
        <f>IF(V$30,ROUND(I31,0),0)</f>
        <v/>
      </c>
      <c r="W31" s="1344">
        <f>IF(W$30,ROUND(J31,0),0)</f>
        <v/>
      </c>
      <c r="X31" s="1344">
        <f>IF(X$30,ROUND(K31,0),0)</f>
        <v/>
      </c>
      <c r="Y31" s="1344">
        <f>IF(Y$30,ROUND(L31,0),0)</f>
        <v/>
      </c>
      <c r="Z31" s="1211" t="n"/>
      <c r="AA31" s="1344">
        <f>IF(AA$30,ROUND(D31,0),0)</f>
        <v/>
      </c>
      <c r="AB31" s="1344">
        <f>IF(AB$30,ROUND(E31,0),0)</f>
        <v/>
      </c>
      <c r="AC31" s="1344">
        <f>IF(AC$30,ROUND(F31,0),0)</f>
        <v/>
      </c>
      <c r="AD31" s="1344">
        <f>IF(AD$30,ROUND(G31,0),0)</f>
        <v/>
      </c>
      <c r="AE31" s="1344">
        <f>IF(AE$30,ROUND(H31,0),0)</f>
        <v/>
      </c>
      <c r="AF31" s="1344">
        <f>IF(AF$30,ROUND(I31,0),0)</f>
        <v/>
      </c>
      <c r="AG31" s="1344">
        <f>IF(AG$30,ROUND(J31,0),0)</f>
        <v/>
      </c>
      <c r="AH31" s="1344">
        <f>IF(AH$30,ROUND(K31,0),0)</f>
        <v/>
      </c>
      <c r="AI31" s="1344">
        <f>IF(AI$30,ROUND(L31,0),0)</f>
        <v/>
      </c>
      <c r="AJ31" s="1211" t="n"/>
      <c r="AK31" s="1344">
        <f>IF(AK$30,ROUND(D31,0),0)</f>
        <v/>
      </c>
      <c r="AL31" s="1344">
        <f>IF(AL$30,ROUND(E31,0),0)</f>
        <v/>
      </c>
      <c r="AM31" s="1344">
        <f>IF(AM$30,ROUND(F31,0),0)</f>
        <v/>
      </c>
      <c r="AN31" s="1344">
        <f>IF(AN$30,ROUND(G31,0),0)</f>
        <v/>
      </c>
      <c r="AO31" s="1344">
        <f>IF(AO$30,ROUND(H31,0),0)</f>
        <v/>
      </c>
      <c r="AP31" s="1344">
        <f>IF(AP$30,ROUND(I31,0),0)</f>
        <v/>
      </c>
      <c r="AQ31" s="1344">
        <f>IF(AQ$30,ROUND(J31,0),0)</f>
        <v/>
      </c>
      <c r="AR31" s="1344">
        <f>IF(AR$30,ROUND(K31,0),0)</f>
        <v/>
      </c>
      <c r="AS31" s="1344">
        <f>IF(AS$30,ROUND(L31,0),0)</f>
        <v/>
      </c>
      <c r="AT31" s="66" t="n"/>
    </row>
    <row r="32" ht="13.5" customHeight="1" s="7635">
      <c r="A32" s="11602" t="n"/>
      <c r="B32" s="527" t="inlineStr">
        <is>
          <t>2a</t>
        </is>
      </c>
      <c r="C32" s="525" t="inlineStr">
        <is>
          <t>Taxable amount</t>
        </is>
      </c>
      <c r="D32" s="606" t="n"/>
      <c r="E32" s="607" t="n"/>
      <c r="F32" s="607" t="n"/>
      <c r="G32" s="607" t="n"/>
      <c r="H32" s="607" t="n"/>
      <c r="I32" s="607" t="n"/>
      <c r="J32" s="607" t="n"/>
      <c r="K32" s="607" t="n"/>
      <c r="L32" s="609" t="n"/>
      <c r="M32" s="1346">
        <f>SUM(Q32:Y32)</f>
        <v/>
      </c>
      <c r="N32" s="1346">
        <f>SUM(AA32:AI32)</f>
        <v/>
      </c>
      <c r="O32" s="262">
        <f>IF(SUM(D32:L32)&gt;0,"See note.","- - - -")</f>
        <v/>
      </c>
      <c r="P32" s="19" t="n"/>
      <c r="Q32" s="1344">
        <f>IF(Q$30,ROUND(D32,0),0)</f>
        <v/>
      </c>
      <c r="R32" s="1344">
        <f>IF(R$30,ROUND(E32,0),0)</f>
        <v/>
      </c>
      <c r="S32" s="1344">
        <f>IF(S$30,ROUND(F32,0),0)</f>
        <v/>
      </c>
      <c r="T32" s="1344">
        <f>IF(T$30,ROUND(G32,0),0)</f>
        <v/>
      </c>
      <c r="U32" s="1344">
        <f>IF(U$30,ROUND(H32,0),0)</f>
        <v/>
      </c>
      <c r="V32" s="1344">
        <f>IF(V$30,ROUND(I32,0),0)</f>
        <v/>
      </c>
      <c r="W32" s="1344">
        <f>IF(W$30,ROUND(J32,0),0)</f>
        <v/>
      </c>
      <c r="X32" s="1344">
        <f>IF(X$30,ROUND(K32,0),0)</f>
        <v/>
      </c>
      <c r="Y32" s="1344">
        <f>IF(Y$30,ROUND(L32,0),0)</f>
        <v/>
      </c>
      <c r="Z32" s="1211" t="n"/>
      <c r="AA32" s="1344">
        <f>IF(AA$30,ROUND(D32,0),0)</f>
        <v/>
      </c>
      <c r="AB32" s="1344">
        <f>IF(AB$30,ROUND(E32,0),0)</f>
        <v/>
      </c>
      <c r="AC32" s="1344">
        <f>IF(AC$30,ROUND(F32,0),0)</f>
        <v/>
      </c>
      <c r="AD32" s="1344">
        <f>IF(AD$30,ROUND(G32,0),0)</f>
        <v/>
      </c>
      <c r="AE32" s="1344">
        <f>IF(AE$30,ROUND(H32,0),0)</f>
        <v/>
      </c>
      <c r="AF32" s="1344">
        <f>IF(AF$30,ROUND(I32,0),0)</f>
        <v/>
      </c>
      <c r="AG32" s="1344">
        <f>IF(AG$30,ROUND(J32,0),0)</f>
        <v/>
      </c>
      <c r="AH32" s="1344">
        <f>IF(AH$30,ROUND(K32,0),0)</f>
        <v/>
      </c>
      <c r="AI32" s="1344">
        <f>IF(AI$30,ROUND(L32,0),0)</f>
        <v/>
      </c>
      <c r="AJ32" s="1211" t="n"/>
      <c r="AK32" s="1344">
        <f>"---"</f>
        <v/>
      </c>
      <c r="AL32" s="1344">
        <f>"---"</f>
        <v/>
      </c>
      <c r="AM32" s="1344">
        <f>"---"</f>
        <v/>
      </c>
      <c r="AN32" s="1344">
        <f>"---"</f>
        <v/>
      </c>
      <c r="AO32" s="1344">
        <f>"---"</f>
        <v/>
      </c>
      <c r="AP32" s="1344">
        <f>"---"</f>
        <v/>
      </c>
      <c r="AQ32" s="1344">
        <f>"---"</f>
        <v/>
      </c>
      <c r="AR32" s="1344">
        <f>"---"</f>
        <v/>
      </c>
      <c r="AS32" s="1344">
        <f>"---"</f>
        <v/>
      </c>
      <c r="AT32" s="66" t="n"/>
    </row>
    <row r="33" ht="13.5" customHeight="1" s="7635">
      <c r="A33" s="11602" t="n"/>
      <c r="B33" s="258" t="inlineStr">
        <is>
          <t>2b</t>
        </is>
      </c>
      <c r="C33" s="259" t="inlineStr">
        <is>
          <t>Taxable amount not determined / total distr.</t>
        </is>
      </c>
      <c r="D33" s="606" t="n"/>
      <c r="E33" s="607" t="n"/>
      <c r="F33" s="607" t="n"/>
      <c r="G33" s="608" t="n"/>
      <c r="H33" s="608" t="n"/>
      <c r="I33" s="608" t="n"/>
      <c r="J33" s="608" t="n"/>
      <c r="K33" s="608" t="n"/>
      <c r="L33" s="609" t="n"/>
      <c r="M33" s="262">
        <f>" - - - -"</f>
        <v/>
      </c>
      <c r="N33" s="262">
        <f>" - - - -"</f>
        <v/>
      </c>
      <c r="O33" s="262">
        <f>" - - - -"</f>
        <v/>
      </c>
      <c r="P33" s="1211" t="n"/>
      <c r="Q33" s="1344" t="n"/>
      <c r="R33" s="1344" t="n"/>
      <c r="S33" s="1344" t="n"/>
      <c r="T33" s="1344" t="n"/>
      <c r="U33" s="1344" t="n"/>
      <c r="V33" s="1344" t="n"/>
      <c r="W33" s="1344" t="n"/>
      <c r="X33" s="1344" t="n"/>
      <c r="Y33" s="1344" t="n"/>
      <c r="Z33" s="1211" t="n"/>
      <c r="AA33" s="1344" t="n"/>
      <c r="AB33" s="1344" t="n"/>
      <c r="AC33" s="1344" t="n"/>
      <c r="AD33" s="1344" t="n"/>
      <c r="AE33" s="1344" t="n"/>
      <c r="AF33" s="1344" t="n"/>
      <c r="AG33" s="1344" t="n"/>
      <c r="AH33" s="1344" t="n"/>
      <c r="AI33" s="1344" t="n"/>
      <c r="AJ33" s="1211" t="n"/>
      <c r="AK33" s="1344" t="n"/>
      <c r="AL33" s="1344" t="n"/>
      <c r="AM33" s="1344" t="n"/>
      <c r="AN33" s="1344" t="n"/>
      <c r="AO33" s="1344" t="n"/>
      <c r="AP33" s="1344" t="n"/>
      <c r="AQ33" s="1344" t="n"/>
      <c r="AR33" s="1344" t="n"/>
      <c r="AS33" s="1344" t="n"/>
      <c r="AT33" s="66" t="n"/>
    </row>
    <row r="34" ht="13.5" customHeight="1" s="7635">
      <c r="A34" s="11602" t="n"/>
      <c r="B34" s="258" t="n">
        <v>3</v>
      </c>
      <c r="C34" s="259" t="inlineStr">
        <is>
          <t>Capital gain (not included in box 2a)</t>
        </is>
      </c>
      <c r="D34" s="606" t="n"/>
      <c r="E34" s="607" t="n"/>
      <c r="F34" s="607" t="n"/>
      <c r="G34" s="608" t="n"/>
      <c r="H34" s="608" t="n"/>
      <c r="I34" s="608" t="n"/>
      <c r="J34" s="608" t="n"/>
      <c r="K34" s="608" t="n"/>
      <c r="L34" s="609" t="n"/>
      <c r="M34" s="1346">
        <f>SUM(Q34:Y34)</f>
        <v/>
      </c>
      <c r="N34" s="1346">
        <f>SUM(AA34:AI34)</f>
        <v/>
      </c>
      <c r="O34" s="1346">
        <f>SUM(AK34:AS34)</f>
        <v/>
      </c>
      <c r="P34" s="19" t="n"/>
      <c r="Q34" s="1344">
        <f>IF(Q$30,ROUND(D34,0),0)</f>
        <v/>
      </c>
      <c r="R34" s="1344">
        <f>IF(R$30,ROUND(E34,0),0)</f>
        <v/>
      </c>
      <c r="S34" s="1344">
        <f>IF(S$30,ROUND(F34,0),0)</f>
        <v/>
      </c>
      <c r="T34" s="1344">
        <f>IF(T$30,ROUND(G34,0),0)</f>
        <v/>
      </c>
      <c r="U34" s="1344">
        <f>IF(U$30,ROUND(H34,0),0)</f>
        <v/>
      </c>
      <c r="V34" s="1344">
        <f>IF(V$30,ROUND(I34,0),0)</f>
        <v/>
      </c>
      <c r="W34" s="1344">
        <f>IF(W$30,ROUND(J34,0),0)</f>
        <v/>
      </c>
      <c r="X34" s="1344">
        <f>IF(X$30,ROUND(K34,0),0)</f>
        <v/>
      </c>
      <c r="Y34" s="1344">
        <f>IF(Y$30,ROUND(L34,0),0)</f>
        <v/>
      </c>
      <c r="Z34" s="1211" t="n"/>
      <c r="AA34" s="1344">
        <f>IF(AA$30,ROUND(D34,0),0)</f>
        <v/>
      </c>
      <c r="AB34" s="1344">
        <f>IF(AB$30,ROUND(E34,0),0)</f>
        <v/>
      </c>
      <c r="AC34" s="1344">
        <f>IF(AC$30,ROUND(F34,0),0)</f>
        <v/>
      </c>
      <c r="AD34" s="1344">
        <f>IF(AD$30,ROUND(G34,0),0)</f>
        <v/>
      </c>
      <c r="AE34" s="1344">
        <f>IF(AE$30,ROUND(H34,0),0)</f>
        <v/>
      </c>
      <c r="AF34" s="1344">
        <f>IF(AF$30,ROUND(I34,0),0)</f>
        <v/>
      </c>
      <c r="AG34" s="1344">
        <f>IF(AG$30,ROUND(J34,0),0)</f>
        <v/>
      </c>
      <c r="AH34" s="1344">
        <f>IF(AH$30,ROUND(K34,0),0)</f>
        <v/>
      </c>
      <c r="AI34" s="1344">
        <f>IF(AI$30,ROUND(L34,0),0)</f>
        <v/>
      </c>
      <c r="AJ34" s="1211" t="n"/>
      <c r="AK34" s="1344">
        <f>IF(AK$30,ROUND(D34,0),0)</f>
        <v/>
      </c>
      <c r="AL34" s="1344">
        <f>IF(AL$30,ROUND(E34,0),0)</f>
        <v/>
      </c>
      <c r="AM34" s="1344">
        <f>IF(AM$30,ROUND(F34,0),0)</f>
        <v/>
      </c>
      <c r="AN34" s="1344">
        <f>IF(AN$30,ROUND(G34,0),0)</f>
        <v/>
      </c>
      <c r="AO34" s="1344">
        <f>IF(AO$30,ROUND(H34,0),0)</f>
        <v/>
      </c>
      <c r="AP34" s="1344">
        <f>IF(AP$30,ROUND(I34,0),0)</f>
        <v/>
      </c>
      <c r="AQ34" s="1344">
        <f>IF(AQ$30,ROUND(J34,0),0)</f>
        <v/>
      </c>
      <c r="AR34" s="1344">
        <f>IF(AR$30,ROUND(K34,0),0)</f>
        <v/>
      </c>
      <c r="AS34" s="1344">
        <f>IF(AS$30,ROUND(L34,0),0)</f>
        <v/>
      </c>
      <c r="AT34" s="66" t="n"/>
    </row>
    <row r="35" ht="13.5" customHeight="1" s="7635">
      <c r="A35" s="11602" t="n"/>
      <c r="B35" s="527" t="n">
        <v>4</v>
      </c>
      <c r="C35" s="525" t="inlineStr">
        <is>
          <t>Federal income tax withheld</t>
        </is>
      </c>
      <c r="D35" s="606" t="n"/>
      <c r="E35" s="607" t="n"/>
      <c r="F35" s="607" t="n"/>
      <c r="G35" s="608" t="n"/>
      <c r="H35" s="608" t="n"/>
      <c r="I35" s="608" t="n"/>
      <c r="J35" s="608" t="n"/>
      <c r="K35" s="608" t="n"/>
      <c r="L35" s="609" t="n"/>
      <c r="M35" s="1346">
        <f>SUM(Q35:Y35)</f>
        <v/>
      </c>
      <c r="N35" s="1346">
        <f>SUM(AA35:AI35)</f>
        <v/>
      </c>
      <c r="O35" s="1346">
        <f>SUM(AK35:AS35)</f>
        <v/>
      </c>
      <c r="P35" s="19" t="n"/>
      <c r="Q35" s="1344">
        <f>IF(Q$30,ROUND(D35,0),0)</f>
        <v/>
      </c>
      <c r="R35" s="1344">
        <f>IF(R$30,ROUND(E35,0),0)</f>
        <v/>
      </c>
      <c r="S35" s="1344">
        <f>IF(S$30,ROUND(F35,0),0)</f>
        <v/>
      </c>
      <c r="T35" s="1344">
        <f>IF(T$30,ROUND(G35,0),0)</f>
        <v/>
      </c>
      <c r="U35" s="1344">
        <f>IF(U$30,ROUND(H35,0),0)</f>
        <v/>
      </c>
      <c r="V35" s="1344">
        <f>IF(V$30,ROUND(I35,0),0)</f>
        <v/>
      </c>
      <c r="W35" s="1344">
        <f>IF(W$30,ROUND(J35,0),0)</f>
        <v/>
      </c>
      <c r="X35" s="1344">
        <f>IF(X$30,ROUND(K35,0),0)</f>
        <v/>
      </c>
      <c r="Y35" s="1344">
        <f>IF(Y$30,ROUND(L35,0),0)</f>
        <v/>
      </c>
      <c r="Z35" s="1211" t="n"/>
      <c r="AA35" s="1344">
        <f>IF(AA$30,ROUND(D35,0),0)</f>
        <v/>
      </c>
      <c r="AB35" s="1344">
        <f>IF(AB$30,ROUND(E35,0),0)</f>
        <v/>
      </c>
      <c r="AC35" s="1344">
        <f>IF(AC$30,ROUND(F35,0),0)</f>
        <v/>
      </c>
      <c r="AD35" s="1344">
        <f>IF(AD$30,ROUND(G35,0),0)</f>
        <v/>
      </c>
      <c r="AE35" s="1344">
        <f>IF(AE$30,ROUND(H35,0),0)</f>
        <v/>
      </c>
      <c r="AF35" s="1344">
        <f>IF(AF$30,ROUND(I35,0),0)</f>
        <v/>
      </c>
      <c r="AG35" s="1344">
        <f>IF(AG$30,ROUND(J35,0),0)</f>
        <v/>
      </c>
      <c r="AH35" s="1344">
        <f>IF(AH$30,ROUND(K35,0),0)</f>
        <v/>
      </c>
      <c r="AI35" s="1344">
        <f>IF(AI$30,ROUND(L35,0),0)</f>
        <v/>
      </c>
      <c r="AJ35" s="1211" t="n"/>
      <c r="AK35" s="1344">
        <f>IF(AK$30,ROUND(D35,0),0)</f>
        <v/>
      </c>
      <c r="AL35" s="1344">
        <f>IF(AL$30,ROUND(E35,0),0)</f>
        <v/>
      </c>
      <c r="AM35" s="1344">
        <f>IF(AM$30,ROUND(F35,0),0)</f>
        <v/>
      </c>
      <c r="AN35" s="1344">
        <f>IF(AN$30,ROUND(G35,0),0)</f>
        <v/>
      </c>
      <c r="AO35" s="1344">
        <f>IF(AO$30,ROUND(H35,0),0)</f>
        <v/>
      </c>
      <c r="AP35" s="1344">
        <f>IF(AP$30,ROUND(I35,0),0)</f>
        <v/>
      </c>
      <c r="AQ35" s="1344">
        <f>IF(AQ$30,ROUND(J35,0),0)</f>
        <v/>
      </c>
      <c r="AR35" s="1344">
        <f>IF(AR$30,ROUND(K35,0),0)</f>
        <v/>
      </c>
      <c r="AS35" s="1344">
        <f>IF(AS$30,ROUND(L35,0),0)</f>
        <v/>
      </c>
      <c r="AT35" s="66" t="n"/>
    </row>
    <row r="36" ht="26.25" customHeight="1" s="7635">
      <c r="A36" s="11602" t="n"/>
      <c r="B36" s="260" t="n">
        <v>5</v>
      </c>
      <c r="C36" s="261" t="inlineStr">
        <is>
          <t>Employee contributions / Insurance premiums / 
Designated Roth IRA contributions</t>
        </is>
      </c>
      <c r="D36" s="606" t="n"/>
      <c r="E36" s="607" t="n"/>
      <c r="F36" s="607" t="n"/>
      <c r="G36" s="607" t="n"/>
      <c r="H36" s="607" t="n"/>
      <c r="I36" s="607" t="n"/>
      <c r="J36" s="607" t="n"/>
      <c r="K36" s="607" t="n"/>
      <c r="L36" s="609" t="n"/>
      <c r="M36" s="1346">
        <f>SUM(Q36:Y36)</f>
        <v/>
      </c>
      <c r="N36" s="1346">
        <f>SUM(AA36:AI36)</f>
        <v/>
      </c>
      <c r="O36" s="1346">
        <f>SUM(AK36:AS36)</f>
        <v/>
      </c>
      <c r="P36" s="18" t="n"/>
      <c r="Q36" s="1344">
        <f>IF(Q$30,ROUND(D36,0),0)</f>
        <v/>
      </c>
      <c r="R36" s="1344">
        <f>IF(R$30,ROUND(E36,0),0)</f>
        <v/>
      </c>
      <c r="S36" s="1344">
        <f>IF(S$30,ROUND(F36,0),0)</f>
        <v/>
      </c>
      <c r="T36" s="1344">
        <f>IF(T$30,ROUND(G36,0),0)</f>
        <v/>
      </c>
      <c r="U36" s="1344">
        <f>IF(U$30,ROUND(H36,0),0)</f>
        <v/>
      </c>
      <c r="V36" s="1344">
        <f>IF(V$30,ROUND(I36,0),0)</f>
        <v/>
      </c>
      <c r="W36" s="1344">
        <f>IF(W$30,ROUND(J36,0),0)</f>
        <v/>
      </c>
      <c r="X36" s="1344">
        <f>IF(X$30,ROUND(K36,0),0)</f>
        <v/>
      </c>
      <c r="Y36" s="1344">
        <f>IF(Y$30,ROUND(L36,0),0)</f>
        <v/>
      </c>
      <c r="Z36" s="60" t="n"/>
      <c r="AA36" s="1344">
        <f>IF(AA$30,ROUND(D36,0),0)</f>
        <v/>
      </c>
      <c r="AB36" s="1344">
        <f>IF(AB$30,ROUND(E36,0),0)</f>
        <v/>
      </c>
      <c r="AC36" s="1344">
        <f>IF(AC$30,ROUND(F36,0),0)</f>
        <v/>
      </c>
      <c r="AD36" s="1344">
        <f>IF(AD$30,ROUND(G36,0),0)</f>
        <v/>
      </c>
      <c r="AE36" s="1344">
        <f>IF(AE$30,ROUND(H36,0),0)</f>
        <v/>
      </c>
      <c r="AF36" s="1344">
        <f>IF(AF$30,ROUND(I36,0),0)</f>
        <v/>
      </c>
      <c r="AG36" s="1344">
        <f>IF(AG$30,ROUND(J36,0),0)</f>
        <v/>
      </c>
      <c r="AH36" s="1344">
        <f>IF(AH$30,ROUND(K36,0),0)</f>
        <v/>
      </c>
      <c r="AI36" s="1344">
        <f>IF(AI$30,ROUND(L36,0),0)</f>
        <v/>
      </c>
      <c r="AJ36" s="60" t="n"/>
      <c r="AK36" s="1344">
        <f>IF(AK$30,ROUND(D36,0),0)</f>
        <v/>
      </c>
      <c r="AL36" s="1344">
        <f>IF(AL$30,ROUND(E36,0),0)</f>
        <v/>
      </c>
      <c r="AM36" s="1344">
        <f>IF(AM$30,ROUND(F36,0),0)</f>
        <v/>
      </c>
      <c r="AN36" s="1344">
        <f>IF(AN$30,ROUND(G36,0),0)</f>
        <v/>
      </c>
      <c r="AO36" s="1344">
        <f>IF(AO$30,ROUND(H36,0),0)</f>
        <v/>
      </c>
      <c r="AP36" s="1344">
        <f>IF(AP$30,ROUND(I36,0),0)</f>
        <v/>
      </c>
      <c r="AQ36" s="1344">
        <f>IF(AQ$30,ROUND(J36,0),0)</f>
        <v/>
      </c>
      <c r="AR36" s="1344">
        <f>IF(AR$30,ROUND(K36,0),0)</f>
        <v/>
      </c>
      <c r="AS36" s="1344">
        <f>IF(AS$30,ROUND(L36,0),0)</f>
        <v/>
      </c>
      <c r="AT36" s="66" t="n"/>
    </row>
    <row r="37">
      <c r="A37" s="11602" t="n"/>
      <c r="B37" s="258" t="n">
        <v>6</v>
      </c>
      <c r="C37" s="259" t="inlineStr">
        <is>
          <t>Net unrealized appreciation in employer's securities</t>
        </is>
      </c>
      <c r="D37" s="606" t="n"/>
      <c r="E37" s="607" t="n"/>
      <c r="F37" s="607" t="n"/>
      <c r="G37" s="608" t="n"/>
      <c r="H37" s="608" t="n"/>
      <c r="I37" s="608" t="n"/>
      <c r="J37" s="608" t="n"/>
      <c r="K37" s="608" t="n"/>
      <c r="L37" s="609" t="n"/>
      <c r="M37" s="1346">
        <f>SUM(Q37:Y37)</f>
        <v/>
      </c>
      <c r="N37" s="1346">
        <f>SUM(AA37:AI37)</f>
        <v/>
      </c>
      <c r="O37" s="1346">
        <f>SUM(AK37:AS37)</f>
        <v/>
      </c>
      <c r="P37" s="18" t="n"/>
      <c r="Q37" s="1344">
        <f>IF(Q$30,ROUND(D37,0),0)</f>
        <v/>
      </c>
      <c r="R37" s="1344">
        <f>IF(R$30,ROUND(E37,0),0)</f>
        <v/>
      </c>
      <c r="S37" s="1344">
        <f>IF(S$30,ROUND(F37,0),0)</f>
        <v/>
      </c>
      <c r="T37" s="1344">
        <f>IF(T$30,ROUND(G37,0),0)</f>
        <v/>
      </c>
      <c r="U37" s="1344">
        <f>IF(U$30,ROUND(H37,0),0)</f>
        <v/>
      </c>
      <c r="V37" s="1344">
        <f>IF(V$30,ROUND(I37,0),0)</f>
        <v/>
      </c>
      <c r="W37" s="1344">
        <f>IF(W$30,ROUND(J37,0),0)</f>
        <v/>
      </c>
      <c r="X37" s="1344">
        <f>IF(X$30,ROUND(K37,0),0)</f>
        <v/>
      </c>
      <c r="Y37" s="1344">
        <f>IF(Y$30,ROUND(L37,0),0)</f>
        <v/>
      </c>
      <c r="Z37" s="60" t="n"/>
      <c r="AA37" s="1344">
        <f>IF(AA$30,ROUND(D37,0),0)</f>
        <v/>
      </c>
      <c r="AB37" s="1344">
        <f>IF(AB$30,ROUND(E37,0),0)</f>
        <v/>
      </c>
      <c r="AC37" s="1344">
        <f>IF(AC$30,ROUND(F37,0),0)</f>
        <v/>
      </c>
      <c r="AD37" s="1344">
        <f>IF(AD$30,ROUND(G37,0),0)</f>
        <v/>
      </c>
      <c r="AE37" s="1344">
        <f>IF(AE$30,ROUND(H37,0),0)</f>
        <v/>
      </c>
      <c r="AF37" s="1344">
        <f>IF(AF$30,ROUND(I37,0),0)</f>
        <v/>
      </c>
      <c r="AG37" s="1344">
        <f>IF(AG$30,ROUND(J37,0),0)</f>
        <v/>
      </c>
      <c r="AH37" s="1344">
        <f>IF(AH$30,ROUND(K37,0),0)</f>
        <v/>
      </c>
      <c r="AI37" s="1344">
        <f>IF(AI$30,ROUND(L37,0),0)</f>
        <v/>
      </c>
      <c r="AJ37" s="60" t="n"/>
      <c r="AK37" s="1344">
        <f>IF(AK$30,ROUND(D37,0),0)</f>
        <v/>
      </c>
      <c r="AL37" s="1344">
        <f>IF(AL$30,ROUND(E37,0),0)</f>
        <v/>
      </c>
      <c r="AM37" s="1344">
        <f>IF(AM$30,ROUND(F37,0),0)</f>
        <v/>
      </c>
      <c r="AN37" s="1344">
        <f>IF(AN$30,ROUND(G37,0),0)</f>
        <v/>
      </c>
      <c r="AO37" s="1344">
        <f>IF(AO$30,ROUND(H37,0),0)</f>
        <v/>
      </c>
      <c r="AP37" s="1344">
        <f>IF(AP$30,ROUND(I37,0),0)</f>
        <v/>
      </c>
      <c r="AQ37" s="1344">
        <f>IF(AQ$30,ROUND(J37,0),0)</f>
        <v/>
      </c>
      <c r="AR37" s="1344">
        <f>IF(AR$30,ROUND(K37,0),0)</f>
        <v/>
      </c>
      <c r="AS37" s="1344">
        <f>IF(AS$30,ROUND(L37,0),0)</f>
        <v/>
      </c>
      <c r="AT37" s="66" t="n"/>
    </row>
    <row r="38">
      <c r="A38" s="11602" t="n"/>
      <c r="B38" s="258" t="n">
        <v>7</v>
      </c>
      <c r="C38" s="259" t="inlineStr">
        <is>
          <t>Distribution code(s) (Code D only)</t>
        </is>
      </c>
      <c r="D38" s="741" t="n"/>
      <c r="E38" s="742" t="n"/>
      <c r="F38" s="742" t="n"/>
      <c r="G38" s="743" t="n"/>
      <c r="H38" s="743" t="n"/>
      <c r="I38" s="743" t="n"/>
      <c r="J38" s="743" t="n"/>
      <c r="K38" s="743" t="n"/>
      <c r="L38" s="744" t="n"/>
      <c r="M38" s="620">
        <f>" - - - -"</f>
        <v/>
      </c>
      <c r="N38" s="620">
        <f>" - - - -"</f>
        <v/>
      </c>
      <c r="O38" s="620">
        <f>" - - - -"</f>
        <v/>
      </c>
      <c r="P38" s="60" t="n"/>
      <c r="Q38" s="1344" t="n"/>
      <c r="R38" s="1344" t="n"/>
      <c r="S38" s="1344" t="n"/>
      <c r="T38" s="1344" t="n"/>
      <c r="U38" s="1344" t="n"/>
      <c r="V38" s="1344" t="n"/>
      <c r="W38" s="1344" t="n"/>
      <c r="X38" s="1344" t="n"/>
      <c r="Y38" s="1344" t="n"/>
      <c r="Z38" s="60" t="n"/>
      <c r="AA38" s="1344" t="n"/>
      <c r="AB38" s="1344" t="n"/>
      <c r="AC38" s="1344" t="n"/>
      <c r="AD38" s="1344" t="n"/>
      <c r="AE38" s="1344" t="n"/>
      <c r="AF38" s="1344" t="n"/>
      <c r="AG38" s="1344" t="n"/>
      <c r="AH38" s="1344" t="n"/>
      <c r="AI38" s="1344" t="n"/>
      <c r="AJ38" s="60" t="n"/>
      <c r="AK38" s="1344" t="n"/>
      <c r="AL38" s="1344" t="n"/>
      <c r="AM38" s="1344" t="n"/>
      <c r="AN38" s="1344" t="n"/>
      <c r="AO38" s="1344" t="n"/>
      <c r="AP38" s="1344" t="n"/>
      <c r="AQ38" s="1344" t="n"/>
      <c r="AR38" s="1344" t="n"/>
      <c r="AS38" s="1344" t="n"/>
      <c r="AT38" s="66" t="n"/>
    </row>
    <row r="39">
      <c r="A39" s="11602" t="n"/>
      <c r="B39" s="258" t="n">
        <v>8</v>
      </c>
      <c r="C39" s="259" t="inlineStr">
        <is>
          <t>Other</t>
        </is>
      </c>
      <c r="D39" s="606" t="n"/>
      <c r="E39" s="607" t="n"/>
      <c r="F39" s="607" t="n"/>
      <c r="G39" s="608" t="n"/>
      <c r="H39" s="608" t="n"/>
      <c r="I39" s="608" t="n"/>
      <c r="J39" s="608" t="n"/>
      <c r="K39" s="608" t="n"/>
      <c r="L39" s="609" t="n"/>
      <c r="M39" s="1346">
        <f>SUM(Q39:Y39)</f>
        <v/>
      </c>
      <c r="N39" s="1346">
        <f>SUM(AA39:AI39)</f>
        <v/>
      </c>
      <c r="O39" s="1346">
        <f>SUM(AK39:AS39)</f>
        <v/>
      </c>
      <c r="P39" s="18" t="n"/>
      <c r="Q39" s="1344">
        <f>IF(Q$30,ROUND(D39,0),0)</f>
        <v/>
      </c>
      <c r="R39" s="1344">
        <f>IF(R$30,ROUND(E39,0),0)</f>
        <v/>
      </c>
      <c r="S39" s="1344">
        <f>IF(S$30,ROUND(F39,0),0)</f>
        <v/>
      </c>
      <c r="T39" s="1344">
        <f>IF(T$30,ROUND(G39,0),0)</f>
        <v/>
      </c>
      <c r="U39" s="1344">
        <f>IF(U$30,ROUND(H39,0),0)</f>
        <v/>
      </c>
      <c r="V39" s="1344">
        <f>IF(V$30,ROUND(I39,0),0)</f>
        <v/>
      </c>
      <c r="W39" s="1344">
        <f>IF(W$30,ROUND(J39,0),0)</f>
        <v/>
      </c>
      <c r="X39" s="1344">
        <f>IF(X$30,ROUND(K39,0),0)</f>
        <v/>
      </c>
      <c r="Y39" s="1344">
        <f>IF(Y$30,ROUND(L39,0),0)</f>
        <v/>
      </c>
      <c r="Z39" s="60" t="n"/>
      <c r="AA39" s="1344">
        <f>IF(AA$30,ROUND(D39,0),0)</f>
        <v/>
      </c>
      <c r="AB39" s="1344">
        <f>IF(AB$30,ROUND(E39,0),0)</f>
        <v/>
      </c>
      <c r="AC39" s="1344">
        <f>IF(AC$30,ROUND(F39,0),0)</f>
        <v/>
      </c>
      <c r="AD39" s="1344">
        <f>IF(AD$30,ROUND(G39,0),0)</f>
        <v/>
      </c>
      <c r="AE39" s="1344">
        <f>IF(AE$30,ROUND(H39,0),0)</f>
        <v/>
      </c>
      <c r="AF39" s="1344">
        <f>IF(AF$30,ROUND(I39,0),0)</f>
        <v/>
      </c>
      <c r="AG39" s="1344">
        <f>IF(AG$30,ROUND(J39,0),0)</f>
        <v/>
      </c>
      <c r="AH39" s="1344">
        <f>IF(AH$30,ROUND(K39,0),0)</f>
        <v/>
      </c>
      <c r="AI39" s="1344">
        <f>IF(AI$30,ROUND(L39,0),0)</f>
        <v/>
      </c>
      <c r="AJ39" s="60" t="n"/>
      <c r="AK39" s="1344">
        <f>IF(AK$30,ROUND(D39,0),0)</f>
        <v/>
      </c>
      <c r="AL39" s="1344">
        <f>IF(AL$30,ROUND(E39,0),0)</f>
        <v/>
      </c>
      <c r="AM39" s="1344">
        <f>IF(AM$30,ROUND(F39,0),0)</f>
        <v/>
      </c>
      <c r="AN39" s="1344">
        <f>IF(AN$30,ROUND(G39,0),0)</f>
        <v/>
      </c>
      <c r="AO39" s="1344">
        <f>IF(AO$30,ROUND(H39,0),0)</f>
        <v/>
      </c>
      <c r="AP39" s="1344">
        <f>IF(AP$30,ROUND(I39,0),0)</f>
        <v/>
      </c>
      <c r="AQ39" s="1344">
        <f>IF(AQ$30,ROUND(J39,0),0)</f>
        <v/>
      </c>
      <c r="AR39" s="1344">
        <f>IF(AR$30,ROUND(K39,0),0)</f>
        <v/>
      </c>
      <c r="AS39" s="1344">
        <f>IF(AS$30,ROUND(L39,0),0)</f>
        <v/>
      </c>
      <c r="AT39" s="66" t="n"/>
    </row>
    <row r="40">
      <c r="A40" s="11602" t="n"/>
      <c r="B40" s="258" t="inlineStr">
        <is>
          <t>9a</t>
        </is>
      </c>
      <c r="C40" s="259" t="inlineStr">
        <is>
          <t>Your percentage of  total distribution</t>
        </is>
      </c>
      <c r="D40" s="11888" t="n"/>
      <c r="E40" s="11889" t="n"/>
      <c r="F40" s="11889" t="n"/>
      <c r="G40" s="11890" t="n"/>
      <c r="H40" s="11890" t="n"/>
      <c r="I40" s="11890" t="n"/>
      <c r="J40" s="11890" t="n"/>
      <c r="K40" s="11890" t="n"/>
      <c r="L40" s="11891" t="n"/>
      <c r="M40" s="11892">
        <f>SUM(Q40:Y40)</f>
        <v/>
      </c>
      <c r="N40" s="11892">
        <f>SUM(AA40:AI40)</f>
        <v/>
      </c>
      <c r="O40" s="11892">
        <f>SUM(AK40:AS40)</f>
        <v/>
      </c>
      <c r="P40" s="18" t="n"/>
      <c r="Q40" s="11893">
        <f>IF(Q30,D40,0)</f>
        <v/>
      </c>
      <c r="R40" s="11893">
        <f>IF(R30,E40,0)</f>
        <v/>
      </c>
      <c r="S40" s="11893">
        <f>IF(S30,F40,0)</f>
        <v/>
      </c>
      <c r="T40" s="11893">
        <f>IF(T30,G40,0)</f>
        <v/>
      </c>
      <c r="U40" s="11893">
        <f>IF(U30,H40,0)</f>
        <v/>
      </c>
      <c r="V40" s="11893">
        <f>IF(V30,I40,0)</f>
        <v/>
      </c>
      <c r="W40" s="11893">
        <f>IF(W30,J40,0)</f>
        <v/>
      </c>
      <c r="X40" s="11893">
        <f>IF(X30,K40,0)</f>
        <v/>
      </c>
      <c r="Y40" s="11893">
        <f>IF(Y30,L40,0)</f>
        <v/>
      </c>
      <c r="Z40" s="60" t="n"/>
      <c r="AA40" s="11893">
        <f>IF(AA30,D40,0)</f>
        <v/>
      </c>
      <c r="AB40" s="11893">
        <f>IF(AB30,E40,0)</f>
        <v/>
      </c>
      <c r="AC40" s="11893">
        <f>IF(AC30,F40,0)</f>
        <v/>
      </c>
      <c r="AD40" s="11893">
        <f>IF(AD30,G40,0)</f>
        <v/>
      </c>
      <c r="AE40" s="11893">
        <f>IF(AE30,H40,0)</f>
        <v/>
      </c>
      <c r="AF40" s="11893">
        <f>IF(AF30,I40,0)</f>
        <v/>
      </c>
      <c r="AG40" s="11893">
        <f>IF(AG30,J40,0)</f>
        <v/>
      </c>
      <c r="AH40" s="11893">
        <f>IF(AH30,K40,0)</f>
        <v/>
      </c>
      <c r="AI40" s="11893">
        <f>IF(AI30,L40,0)</f>
        <v/>
      </c>
      <c r="AJ40" s="60" t="n"/>
      <c r="AK40" s="11893">
        <f>IF(AK30,D40,0)</f>
        <v/>
      </c>
      <c r="AL40" s="11893">
        <f>IF(AL30,E40,0)</f>
        <v/>
      </c>
      <c r="AM40" s="11893">
        <f>IF(AM30,F40,0)</f>
        <v/>
      </c>
      <c r="AN40" s="11893">
        <f>IF(AN30,G40,0)</f>
        <v/>
      </c>
      <c r="AO40" s="11893">
        <f>IF(AO30,H40,0)</f>
        <v/>
      </c>
      <c r="AP40" s="11893">
        <f>IF(AP30,I40,0)</f>
        <v/>
      </c>
      <c r="AQ40" s="11893">
        <f>IF(AQ30,J40,0)</f>
        <v/>
      </c>
      <c r="AR40" s="11893">
        <f>IF(AR30,K40,0)</f>
        <v/>
      </c>
      <c r="AS40" s="11893">
        <f>IF(AS30,L40,0)</f>
        <v/>
      </c>
      <c r="AT40" s="11894" t="n"/>
    </row>
    <row r="41">
      <c r="A41" s="11602" t="n"/>
      <c r="B41" s="258" t="inlineStr">
        <is>
          <t>9b</t>
        </is>
      </c>
      <c r="C41" s="259" t="inlineStr">
        <is>
          <t>Total employee contributions</t>
        </is>
      </c>
      <c r="D41" s="606" t="n"/>
      <c r="E41" s="607" t="n"/>
      <c r="F41" s="607" t="n"/>
      <c r="G41" s="608" t="n"/>
      <c r="H41" s="608" t="n"/>
      <c r="I41" s="608" t="n"/>
      <c r="J41" s="608" t="n"/>
      <c r="K41" s="608" t="n"/>
      <c r="L41" s="609" t="n"/>
      <c r="M41" s="1346">
        <f>SUM(Q41:Y41)</f>
        <v/>
      </c>
      <c r="N41" s="1346">
        <f>SUM(AA41:AI41)</f>
        <v/>
      </c>
      <c r="O41" s="1346">
        <f>SUM(AK41:AS41)</f>
        <v/>
      </c>
      <c r="P41" s="18" t="n"/>
      <c r="Q41" s="1344">
        <f>IF(Q$30,ROUND(D41,0),0)</f>
        <v/>
      </c>
      <c r="R41" s="1344">
        <f>IF(R$30,ROUND(E41,0),0)</f>
        <v/>
      </c>
      <c r="S41" s="1344">
        <f>IF(S$30,ROUND(F41,0),0)</f>
        <v/>
      </c>
      <c r="T41" s="1344">
        <f>IF(T$30,ROUND(G41,0),0)</f>
        <v/>
      </c>
      <c r="U41" s="1344">
        <f>IF(U$30,ROUND(H41,0),0)</f>
        <v/>
      </c>
      <c r="V41" s="1344">
        <f>IF(V$30,ROUND(I41,0),0)</f>
        <v/>
      </c>
      <c r="W41" s="1344">
        <f>IF(W$30,ROUND(J41,0),0)</f>
        <v/>
      </c>
      <c r="X41" s="1344">
        <f>IF(X$30,ROUND(K41,0),0)</f>
        <v/>
      </c>
      <c r="Y41" s="1344">
        <f>IF(Y$30,ROUND(L41,0),0)</f>
        <v/>
      </c>
      <c r="Z41" s="60" t="n"/>
      <c r="AA41" s="1344">
        <f>IF(AA$30,ROUND(D41,0),0)</f>
        <v/>
      </c>
      <c r="AB41" s="1344">
        <f>IF(AB$30,ROUND(E41,0),0)</f>
        <v/>
      </c>
      <c r="AC41" s="1344">
        <f>IF(AC$30,ROUND(F41,0),0)</f>
        <v/>
      </c>
      <c r="AD41" s="1344">
        <f>IF(AD$30,ROUND(G41,0),0)</f>
        <v/>
      </c>
      <c r="AE41" s="1344">
        <f>IF(AE$30,ROUND(H41,0),0)</f>
        <v/>
      </c>
      <c r="AF41" s="1344">
        <f>IF(AF$30,ROUND(I41,0),0)</f>
        <v/>
      </c>
      <c r="AG41" s="1344">
        <f>IF(AG$30,ROUND(J41,0),0)</f>
        <v/>
      </c>
      <c r="AH41" s="1344">
        <f>IF(AH$30,ROUND(K41,0),0)</f>
        <v/>
      </c>
      <c r="AI41" s="1344">
        <f>IF(AI$30,ROUND(L41,0),0)</f>
        <v/>
      </c>
      <c r="AJ41" s="60" t="n"/>
      <c r="AK41" s="1344">
        <f>IF(AK$30,ROUND(D41,0),0)</f>
        <v/>
      </c>
      <c r="AL41" s="1344">
        <f>IF(AL$30,ROUND(E41,0),0)</f>
        <v/>
      </c>
      <c r="AM41" s="1344">
        <f>IF(AM$30,ROUND(F41,0),0)</f>
        <v/>
      </c>
      <c r="AN41" s="1344">
        <f>IF(AN$30,ROUND(G41,0),0)</f>
        <v/>
      </c>
      <c r="AO41" s="1344">
        <f>IF(AO$30,ROUND(H41,0),0)</f>
        <v/>
      </c>
      <c r="AP41" s="1344">
        <f>IF(AP$30,ROUND(I41,0),0)</f>
        <v/>
      </c>
      <c r="AQ41" s="1344">
        <f>IF(AQ$30,ROUND(J41,0),0)</f>
        <v/>
      </c>
      <c r="AR41" s="1344">
        <f>IF(AR$30,ROUND(K41,0),0)</f>
        <v/>
      </c>
      <c r="AS41" s="1344">
        <f>IF(AS$30,ROUND(L41,0),0)</f>
        <v/>
      </c>
      <c r="AT41" s="66" t="n"/>
    </row>
    <row r="42">
      <c r="A42" s="11602" t="n"/>
      <c r="B42" s="258" t="n">
        <v>10</v>
      </c>
      <c r="C42" s="259" t="inlineStr">
        <is>
          <t>Amount allocable to IRR within 5 years</t>
        </is>
      </c>
      <c r="D42" s="606" t="n"/>
      <c r="E42" s="607" t="n"/>
      <c r="F42" s="607" t="n"/>
      <c r="G42" s="608" t="n"/>
      <c r="H42" s="608" t="n"/>
      <c r="I42" s="608" t="n"/>
      <c r="J42" s="608" t="n"/>
      <c r="K42" s="608" t="n"/>
      <c r="L42" s="609" t="n"/>
      <c r="M42" s="1346">
        <f>SUM(Q42:Y42)</f>
        <v/>
      </c>
      <c r="N42" s="1346">
        <f>SUM(AA42:AI42)</f>
        <v/>
      </c>
      <c r="O42" s="1346">
        <f>SUM(AK42:AS42)</f>
        <v/>
      </c>
      <c r="P42" s="60" t="n"/>
      <c r="Q42" s="1344">
        <f>IF(Q$30,ROUND(D42,0),0)</f>
        <v/>
      </c>
      <c r="R42" s="1344">
        <f>IF(R$30,ROUND(E42,0),0)</f>
        <v/>
      </c>
      <c r="S42" s="1344">
        <f>IF(S$30,ROUND(F42,0),0)</f>
        <v/>
      </c>
      <c r="T42" s="1344">
        <f>IF(T$30,ROUND(G42,0),0)</f>
        <v/>
      </c>
      <c r="U42" s="1344">
        <f>IF(U$30,ROUND(H42,0),0)</f>
        <v/>
      </c>
      <c r="V42" s="1344">
        <f>IF(V$30,ROUND(I42,0),0)</f>
        <v/>
      </c>
      <c r="W42" s="1344">
        <f>IF(W$30,ROUND(J42,0),0)</f>
        <v/>
      </c>
      <c r="X42" s="1344">
        <f>IF(X$30,ROUND(K42,0),0)</f>
        <v/>
      </c>
      <c r="Y42" s="1344">
        <f>IF(Y$30,ROUND(L42,0),0)</f>
        <v/>
      </c>
      <c r="Z42" s="60" t="n"/>
      <c r="AA42" s="1344">
        <f>IF(AA$30,ROUND(D42,0),0)</f>
        <v/>
      </c>
      <c r="AB42" s="1344">
        <f>IF(AB$30,ROUND(E42,0),0)</f>
        <v/>
      </c>
      <c r="AC42" s="1344">
        <f>IF(AC$30,ROUND(F42,0),0)</f>
        <v/>
      </c>
      <c r="AD42" s="1344">
        <f>IF(AD$30,ROUND(G42,0),0)</f>
        <v/>
      </c>
      <c r="AE42" s="1344">
        <f>IF(AE$30,ROUND(H42,0),0)</f>
        <v/>
      </c>
      <c r="AF42" s="1344">
        <f>IF(AF$30,ROUND(I42,0),0)</f>
        <v/>
      </c>
      <c r="AG42" s="1344">
        <f>IF(AG$30,ROUND(J42,0),0)</f>
        <v/>
      </c>
      <c r="AH42" s="1344">
        <f>IF(AH$30,ROUND(K42,0),0)</f>
        <v/>
      </c>
      <c r="AI42" s="1344">
        <f>IF(AI$30,ROUND(L42,0),0)</f>
        <v/>
      </c>
      <c r="AJ42" s="60" t="n"/>
      <c r="AK42" s="1344">
        <f>IF(AK$30,ROUND(D42,0),0)</f>
        <v/>
      </c>
      <c r="AL42" s="1344">
        <f>IF(AL$30,ROUND(E42,0),0)</f>
        <v/>
      </c>
      <c r="AM42" s="1344">
        <f>IF(AM$30,ROUND(F42,0),0)</f>
        <v/>
      </c>
      <c r="AN42" s="1344">
        <f>IF(AN$30,ROUND(G42,0),0)</f>
        <v/>
      </c>
      <c r="AO42" s="1344">
        <f>IF(AO$30,ROUND(H42,0),0)</f>
        <v/>
      </c>
      <c r="AP42" s="1344">
        <f>IF(AP$30,ROUND(I42,0),0)</f>
        <v/>
      </c>
      <c r="AQ42" s="1344">
        <f>IF(AQ$30,ROUND(J42,0),0)</f>
        <v/>
      </c>
      <c r="AR42" s="1344">
        <f>IF(AR$30,ROUND(K42,0),0)</f>
        <v/>
      </c>
      <c r="AS42" s="1344">
        <f>IF(AS$30,ROUND(L42,0),0)</f>
        <v/>
      </c>
      <c r="AT42" s="66" t="n"/>
    </row>
    <row r="43">
      <c r="A43" s="11602" t="n"/>
      <c r="B43" s="258" t="n">
        <v>11</v>
      </c>
      <c r="C43" s="259" t="inlineStr">
        <is>
          <t>1st year of desig. Roth contrib.</t>
        </is>
      </c>
      <c r="D43" s="606" t="n"/>
      <c r="E43" s="607" t="n"/>
      <c r="F43" s="607" t="n"/>
      <c r="G43" s="608" t="n"/>
      <c r="H43" s="608" t="n"/>
      <c r="I43" s="608" t="n"/>
      <c r="J43" s="608" t="n"/>
      <c r="K43" s="608" t="n"/>
      <c r="L43" s="609" t="n"/>
      <c r="M43" s="1346">
        <f>SUM(Q43:Y43)</f>
        <v/>
      </c>
      <c r="N43" s="1346">
        <f>SUM(AA43:AI43)</f>
        <v/>
      </c>
      <c r="O43" s="1346">
        <f>SUM(AK43:AS43)</f>
        <v/>
      </c>
      <c r="P43" s="60" t="n"/>
      <c r="Q43" s="1344">
        <f>IF(Q$30,ROUND(D43,0),0)</f>
        <v/>
      </c>
      <c r="R43" s="1344">
        <f>IF(R$30,ROUND(E43,0),0)</f>
        <v/>
      </c>
      <c r="S43" s="1344">
        <f>IF(S$30,ROUND(F43,0),0)</f>
        <v/>
      </c>
      <c r="T43" s="1344">
        <f>IF(T$30,ROUND(G43,0),0)</f>
        <v/>
      </c>
      <c r="U43" s="1344">
        <f>IF(U$30,ROUND(H43,0),0)</f>
        <v/>
      </c>
      <c r="V43" s="1344">
        <f>IF(V$30,ROUND(I43,0),0)</f>
        <v/>
      </c>
      <c r="W43" s="1344">
        <f>IF(W$30,ROUND(J43,0),0)</f>
        <v/>
      </c>
      <c r="X43" s="1344">
        <f>IF(X$30,ROUND(K43,0),0)</f>
        <v/>
      </c>
      <c r="Y43" s="1344">
        <f>IF(Y$30,ROUND(L43,0),0)</f>
        <v/>
      </c>
      <c r="Z43" s="60" t="n"/>
      <c r="AA43" s="1344">
        <f>IF(AA$30,ROUND(D43,0),0)</f>
        <v/>
      </c>
      <c r="AB43" s="1344">
        <f>IF(AB$30,ROUND(E43,0),0)</f>
        <v/>
      </c>
      <c r="AC43" s="1344">
        <f>IF(AC$30,ROUND(F43,0),0)</f>
        <v/>
      </c>
      <c r="AD43" s="1344">
        <f>IF(AD$30,ROUND(G43,0),0)</f>
        <v/>
      </c>
      <c r="AE43" s="1344">
        <f>IF(AE$30,ROUND(H43,0),0)</f>
        <v/>
      </c>
      <c r="AF43" s="1344">
        <f>IF(AF$30,ROUND(I43,0),0)</f>
        <v/>
      </c>
      <c r="AG43" s="1344">
        <f>IF(AG$30,ROUND(J43,0),0)</f>
        <v/>
      </c>
      <c r="AH43" s="1344">
        <f>IF(AH$30,ROUND(K43,0),0)</f>
        <v/>
      </c>
      <c r="AI43" s="1344">
        <f>IF(AI$30,ROUND(L43,0),0)</f>
        <v/>
      </c>
      <c r="AJ43" s="60" t="n"/>
      <c r="AK43" s="1344">
        <f>IF(AK$30,ROUND(D43,0),0)</f>
        <v/>
      </c>
      <c r="AL43" s="1344">
        <f>IF(AL$30,ROUND(E43,0),0)</f>
        <v/>
      </c>
      <c r="AM43" s="1344">
        <f>IF(AM$30,ROUND(F43,0),0)</f>
        <v/>
      </c>
      <c r="AN43" s="1344">
        <f>IF(AN$30,ROUND(G43,0),0)</f>
        <v/>
      </c>
      <c r="AO43" s="1344">
        <f>IF(AO$30,ROUND(H43,0),0)</f>
        <v/>
      </c>
      <c r="AP43" s="1344">
        <f>IF(AP$30,ROUND(I43,0),0)</f>
        <v/>
      </c>
      <c r="AQ43" s="1344">
        <f>IF(AQ$30,ROUND(J43,0),0)</f>
        <v/>
      </c>
      <c r="AR43" s="1344">
        <f>IF(AR$30,ROUND(K43,0),0)</f>
        <v/>
      </c>
      <c r="AS43" s="1344">
        <f>IF(AS$30,ROUND(L43,0),0)</f>
        <v/>
      </c>
      <c r="AT43" s="66" t="n"/>
    </row>
    <row r="44">
      <c r="A44" s="11602" t="n"/>
      <c r="B44" s="258" t="n">
        <v>12</v>
      </c>
      <c r="C44" s="259" t="inlineStr">
        <is>
          <t>FATCA filing requirement</t>
        </is>
      </c>
      <c r="D44" s="606" t="n"/>
      <c r="E44" s="607" t="n"/>
      <c r="F44" s="607" t="n"/>
      <c r="G44" s="608" t="n"/>
      <c r="H44" s="608" t="n"/>
      <c r="I44" s="608" t="n"/>
      <c r="J44" s="608" t="n"/>
      <c r="K44" s="608" t="n"/>
      <c r="L44" s="609" t="n"/>
      <c r="M44" s="620">
        <f>" - - - -"</f>
        <v/>
      </c>
      <c r="N44" s="620">
        <f>" - - - -"</f>
        <v/>
      </c>
      <c r="O44" s="620">
        <f>" - - - -"</f>
        <v/>
      </c>
      <c r="P44" s="60" t="n"/>
      <c r="Q44" s="1344">
        <f>IF(Q$30,ROUND(D44,0),0)</f>
        <v/>
      </c>
      <c r="R44" s="1344">
        <f>IF(R$30,ROUND(E44,0),0)</f>
        <v/>
      </c>
      <c r="S44" s="1344">
        <f>IF(S$30,ROUND(F44,0),0)</f>
        <v/>
      </c>
      <c r="T44" s="1344">
        <f>IF(T$30,ROUND(G44,0),0)</f>
        <v/>
      </c>
      <c r="U44" s="1344">
        <f>IF(U$30,ROUND(H44,0),0)</f>
        <v/>
      </c>
      <c r="V44" s="1344">
        <f>IF(V$30,ROUND(I44,0),0)</f>
        <v/>
      </c>
      <c r="W44" s="1344">
        <f>IF(W$30,ROUND(J44,0),0)</f>
        <v/>
      </c>
      <c r="X44" s="1344">
        <f>IF(X$30,ROUND(K44,0),0)</f>
        <v/>
      </c>
      <c r="Y44" s="1344">
        <f>IF(Y$30,ROUND(L44,0),0)</f>
        <v/>
      </c>
      <c r="Z44" s="60" t="n"/>
      <c r="AA44" s="1344">
        <f>IF(AA$30,ROUND(D44,0),0)</f>
        <v/>
      </c>
      <c r="AB44" s="1344">
        <f>IF(AB$30,ROUND(E44,0),0)</f>
        <v/>
      </c>
      <c r="AC44" s="1344">
        <f>IF(AC$30,ROUND(F44,0),0)</f>
        <v/>
      </c>
      <c r="AD44" s="1344">
        <f>IF(AD$30,ROUND(G44,0),0)</f>
        <v/>
      </c>
      <c r="AE44" s="1344">
        <f>IF(AE$30,ROUND(H44,0),0)</f>
        <v/>
      </c>
      <c r="AF44" s="1344">
        <f>IF(AF$30,ROUND(I44,0),0)</f>
        <v/>
      </c>
      <c r="AG44" s="1344">
        <f>IF(AG$30,ROUND(J44,0),0)</f>
        <v/>
      </c>
      <c r="AH44" s="1344">
        <f>IF(AH$30,ROUND(K44,0),0)</f>
        <v/>
      </c>
      <c r="AI44" s="1344">
        <f>IF(AI$30,ROUND(L44,0),0)</f>
        <v/>
      </c>
      <c r="AJ44" s="60" t="n"/>
      <c r="AK44" s="1344">
        <f>IF(AK$30,ROUND(D44,0),0)</f>
        <v/>
      </c>
      <c r="AL44" s="1344">
        <f>IF(AL$30,ROUND(E44,0),0)</f>
        <v/>
      </c>
      <c r="AM44" s="1344">
        <f>IF(AM$30,ROUND(F44,0),0)</f>
        <v/>
      </c>
      <c r="AN44" s="1344">
        <f>IF(AN$30,ROUND(G44,0),0)</f>
        <v/>
      </c>
      <c r="AO44" s="1344">
        <f>IF(AO$30,ROUND(H44,0),0)</f>
        <v/>
      </c>
      <c r="AP44" s="1344">
        <f>IF(AP$30,ROUND(I44,0),0)</f>
        <v/>
      </c>
      <c r="AQ44" s="1344">
        <f>IF(AQ$30,ROUND(J44,0),0)</f>
        <v/>
      </c>
      <c r="AR44" s="1344">
        <f>IF(AR$30,ROUND(K44,0),0)</f>
        <v/>
      </c>
      <c r="AS44" s="1344">
        <f>IF(AS$30,ROUND(L44,0),0)</f>
        <v/>
      </c>
      <c r="AT44" s="66" t="n"/>
    </row>
    <row r="45">
      <c r="A45" s="11602" t="n"/>
      <c r="B45" s="258" t="n">
        <v>13</v>
      </c>
      <c r="C45" s="259" t="inlineStr">
        <is>
          <t>Date of Payment</t>
        </is>
      </c>
      <c r="D45" s="606" t="n"/>
      <c r="E45" s="607" t="n"/>
      <c r="F45" s="607" t="n"/>
      <c r="G45" s="608" t="n"/>
      <c r="H45" s="608" t="n"/>
      <c r="I45" s="608" t="n"/>
      <c r="J45" s="608" t="n"/>
      <c r="K45" s="608" t="n"/>
      <c r="L45" s="609" t="n"/>
      <c r="M45" s="620">
        <f>" - - - -"</f>
        <v/>
      </c>
      <c r="N45" s="620">
        <f>" - - - -"</f>
        <v/>
      </c>
      <c r="O45" s="620">
        <f>" - - - -"</f>
        <v/>
      </c>
      <c r="P45" s="60" t="n"/>
      <c r="Q45" s="1344">
        <f>IF(Q$30,ROUND(D45,0),0)</f>
        <v/>
      </c>
      <c r="R45" s="1344">
        <f>IF(R$30,ROUND(E45,0),0)</f>
        <v/>
      </c>
      <c r="S45" s="1344">
        <f>IF(S$30,ROUND(F45,0),0)</f>
        <v/>
      </c>
      <c r="T45" s="1344">
        <f>IF(T$30,ROUND(G45,0),0)</f>
        <v/>
      </c>
      <c r="U45" s="1344">
        <f>IF(U$30,ROUND(H45,0),0)</f>
        <v/>
      </c>
      <c r="V45" s="1344">
        <f>IF(V$30,ROUND(I45,0),0)</f>
        <v/>
      </c>
      <c r="W45" s="1344">
        <f>IF(W$30,ROUND(J45,0),0)</f>
        <v/>
      </c>
      <c r="X45" s="1344">
        <f>IF(X$30,ROUND(K45,0),0)</f>
        <v/>
      </c>
      <c r="Y45" s="1344">
        <f>IF(Y$30,ROUND(L45,0),0)</f>
        <v/>
      </c>
      <c r="Z45" s="60" t="n"/>
      <c r="AA45" s="1344">
        <f>IF(AA$30,ROUND(D45,0),0)</f>
        <v/>
      </c>
      <c r="AB45" s="1344">
        <f>IF(AB$30,ROUND(E45,0),0)</f>
        <v/>
      </c>
      <c r="AC45" s="1344">
        <f>IF(AC$30,ROUND(F45,0),0)</f>
        <v/>
      </c>
      <c r="AD45" s="1344">
        <f>IF(AD$30,ROUND(G45,0),0)</f>
        <v/>
      </c>
      <c r="AE45" s="1344">
        <f>IF(AE$30,ROUND(H45,0),0)</f>
        <v/>
      </c>
      <c r="AF45" s="1344">
        <f>IF(AF$30,ROUND(I45,0),0)</f>
        <v/>
      </c>
      <c r="AG45" s="1344">
        <f>IF(AG$30,ROUND(J45,0),0)</f>
        <v/>
      </c>
      <c r="AH45" s="1344">
        <f>IF(AH$30,ROUND(K45,0),0)</f>
        <v/>
      </c>
      <c r="AI45" s="1344">
        <f>IF(AI$30,ROUND(L45,0),0)</f>
        <v/>
      </c>
      <c r="AJ45" s="60" t="n"/>
      <c r="AK45" s="1344">
        <f>IF(AK$30,ROUND(D45,0),0)</f>
        <v/>
      </c>
      <c r="AL45" s="1344">
        <f>IF(AL$30,ROUND(E45,0),0)</f>
        <v/>
      </c>
      <c r="AM45" s="1344">
        <f>IF(AM$30,ROUND(F45,0),0)</f>
        <v/>
      </c>
      <c r="AN45" s="1344">
        <f>IF(AN$30,ROUND(G45,0),0)</f>
        <v/>
      </c>
      <c r="AO45" s="1344">
        <f>IF(AO$30,ROUND(H45,0),0)</f>
        <v/>
      </c>
      <c r="AP45" s="1344">
        <f>IF(AP$30,ROUND(I45,0),0)</f>
        <v/>
      </c>
      <c r="AQ45" s="1344">
        <f>IF(AQ$30,ROUND(J45,0),0)</f>
        <v/>
      </c>
      <c r="AR45" s="1344">
        <f>IF(AR$30,ROUND(K45,0),0)</f>
        <v/>
      </c>
      <c r="AS45" s="1344">
        <f>IF(AS$30,ROUND(L45,0),0)</f>
        <v/>
      </c>
      <c r="AT45" s="66" t="n"/>
    </row>
    <row r="46">
      <c r="A46" s="11602" t="n"/>
      <c r="B46" s="527" t="n">
        <v>14</v>
      </c>
      <c r="C46" s="525" t="inlineStr">
        <is>
          <t>State tax withheld</t>
        </is>
      </c>
      <c r="D46" s="606" t="n"/>
      <c r="E46" s="607" t="n"/>
      <c r="F46" s="607" t="n"/>
      <c r="G46" s="608" t="n"/>
      <c r="H46" s="608" t="n"/>
      <c r="I46" s="608" t="n"/>
      <c r="J46" s="608" t="n"/>
      <c r="K46" s="608" t="n"/>
      <c r="L46" s="609" t="n"/>
      <c r="M46" s="1346">
        <f>SUM(Q46:Y46)</f>
        <v/>
      </c>
      <c r="N46" s="1346">
        <f>SUM(AA46:AI46)</f>
        <v/>
      </c>
      <c r="O46" s="1346">
        <f>SUM(AK46:AS46)</f>
        <v/>
      </c>
      <c r="P46" s="18" t="n"/>
      <c r="Q46" s="1344">
        <f>IF(Q$30,ROUND(D46,0),0)</f>
        <v/>
      </c>
      <c r="R46" s="1344">
        <f>IF(R$30,ROUND(E46,0),0)</f>
        <v/>
      </c>
      <c r="S46" s="1344">
        <f>IF(S$30,ROUND(F46,0),0)</f>
        <v/>
      </c>
      <c r="T46" s="1344">
        <f>IF(T$30,ROUND(G46,0),0)</f>
        <v/>
      </c>
      <c r="U46" s="1344">
        <f>IF(U$30,ROUND(H46,0),0)</f>
        <v/>
      </c>
      <c r="V46" s="1344">
        <f>IF(V$30,ROUND(I46,0),0)</f>
        <v/>
      </c>
      <c r="W46" s="1344">
        <f>IF(W$30,ROUND(J46,0),0)</f>
        <v/>
      </c>
      <c r="X46" s="1344">
        <f>IF(X$30,ROUND(K46,0),0)</f>
        <v/>
      </c>
      <c r="Y46" s="1344">
        <f>IF(Y$30,ROUND(L46,0),0)</f>
        <v/>
      </c>
      <c r="Z46" s="60" t="n"/>
      <c r="AA46" s="1344">
        <f>IF(AA$30,ROUND(D46,0),0)</f>
        <v/>
      </c>
      <c r="AB46" s="1344">
        <f>IF(AB$30,ROUND(E46,0),0)</f>
        <v/>
      </c>
      <c r="AC46" s="1344">
        <f>IF(AC$30,ROUND(F46,0),0)</f>
        <v/>
      </c>
      <c r="AD46" s="1344">
        <f>IF(AD$30,ROUND(G46,0),0)</f>
        <v/>
      </c>
      <c r="AE46" s="1344">
        <f>IF(AE$30,ROUND(H46,0),0)</f>
        <v/>
      </c>
      <c r="AF46" s="1344">
        <f>IF(AF$30,ROUND(I46,0),0)</f>
        <v/>
      </c>
      <c r="AG46" s="1344">
        <f>IF(AG$30,ROUND(J46,0),0)</f>
        <v/>
      </c>
      <c r="AH46" s="1344">
        <f>IF(AH$30,ROUND(K46,0),0)</f>
        <v/>
      </c>
      <c r="AI46" s="1344">
        <f>IF(AI$30,ROUND(L46,0),0)</f>
        <v/>
      </c>
      <c r="AJ46" s="60" t="n"/>
      <c r="AK46" s="1344">
        <f>IF(AK$30,ROUND(D46,0),0)</f>
        <v/>
      </c>
      <c r="AL46" s="1344">
        <f>IF(AL$30,ROUND(E46,0),0)</f>
        <v/>
      </c>
      <c r="AM46" s="1344">
        <f>IF(AM$30,ROUND(F46,0),0)</f>
        <v/>
      </c>
      <c r="AN46" s="1344">
        <f>IF(AN$30,ROUND(G46,0),0)</f>
        <v/>
      </c>
      <c r="AO46" s="1344">
        <f>IF(AO$30,ROUND(H46,0),0)</f>
        <v/>
      </c>
      <c r="AP46" s="1344">
        <f>IF(AP$30,ROUND(I46,0),0)</f>
        <v/>
      </c>
      <c r="AQ46" s="1344">
        <f>IF(AQ$30,ROUND(J46,0),0)</f>
        <v/>
      </c>
      <c r="AR46" s="1344">
        <f>IF(AR$30,ROUND(K46,0),0)</f>
        <v/>
      </c>
      <c r="AS46" s="1344">
        <f>IF(AS$30,ROUND(L46,0),0)</f>
        <v/>
      </c>
      <c r="AT46" s="66" t="n"/>
    </row>
    <row r="47">
      <c r="A47" s="11602" t="n"/>
      <c r="B47" s="258" t="n">
        <v>15</v>
      </c>
      <c r="C47" s="259" t="inlineStr">
        <is>
          <t>State/payer's state no.</t>
        </is>
      </c>
      <c r="D47" s="597" t="n"/>
      <c r="E47" s="598" t="n"/>
      <c r="F47" s="598" t="n"/>
      <c r="G47" s="599" t="n"/>
      <c r="H47" s="599" t="n"/>
      <c r="I47" s="599" t="n"/>
      <c r="J47" s="599" t="n"/>
      <c r="K47" s="599" t="n"/>
      <c r="L47" s="600" t="n"/>
      <c r="M47" s="620">
        <f>" - - - -"</f>
        <v/>
      </c>
      <c r="N47" s="620">
        <f>" - - - -"</f>
        <v/>
      </c>
      <c r="O47" s="620">
        <f>" - - - -"</f>
        <v/>
      </c>
      <c r="P47" s="18" t="n"/>
      <c r="Q47" s="1344" t="n"/>
      <c r="R47" s="1344" t="n"/>
      <c r="S47" s="1344" t="n"/>
      <c r="T47" s="1344" t="n"/>
      <c r="U47" s="1344" t="n"/>
      <c r="V47" s="1344" t="n"/>
      <c r="W47" s="1344" t="n"/>
      <c r="X47" s="1344" t="n"/>
      <c r="Y47" s="1344" t="n"/>
      <c r="Z47" s="60" t="n"/>
      <c r="AA47" s="1344" t="n"/>
      <c r="AB47" s="1344" t="n"/>
      <c r="AC47" s="1344" t="n"/>
      <c r="AD47" s="1344" t="n"/>
      <c r="AE47" s="1344" t="n"/>
      <c r="AF47" s="1344" t="n"/>
      <c r="AG47" s="1344" t="n"/>
      <c r="AH47" s="1344" t="n"/>
      <c r="AI47" s="1344" t="n"/>
      <c r="AJ47" s="60" t="n"/>
      <c r="AK47" s="1344" t="n"/>
      <c r="AL47" s="1344" t="n"/>
      <c r="AM47" s="1344" t="n"/>
      <c r="AN47" s="1344" t="n"/>
      <c r="AO47" s="1344" t="n"/>
      <c r="AP47" s="1344" t="n"/>
      <c r="AQ47" s="1344" t="n"/>
      <c r="AR47" s="1344" t="n"/>
      <c r="AS47" s="1344" t="n"/>
      <c r="AT47" s="66" t="n"/>
    </row>
    <row r="48">
      <c r="A48" s="11602" t="n"/>
      <c r="B48" s="258" t="n">
        <v>16</v>
      </c>
      <c r="C48" s="259" t="inlineStr">
        <is>
          <t>State distribution</t>
        </is>
      </c>
      <c r="D48" s="606" t="n"/>
      <c r="E48" s="607" t="n"/>
      <c r="F48" s="607" t="n"/>
      <c r="G48" s="608" t="n"/>
      <c r="H48" s="608" t="n"/>
      <c r="I48" s="608" t="n"/>
      <c r="J48" s="608" t="n"/>
      <c r="K48" s="608" t="n"/>
      <c r="L48" s="609" t="n"/>
      <c r="M48" s="1346">
        <f>SUM(Q48:Y48)</f>
        <v/>
      </c>
      <c r="N48" s="1346">
        <f>SUM(AA48:AI48)</f>
        <v/>
      </c>
      <c r="O48" s="1346">
        <f>SUM(AK48:AS48)</f>
        <v/>
      </c>
      <c r="P48" s="18" t="n"/>
      <c r="Q48" s="1344">
        <f>IF(Q$30,ROUND(D48,0),0)</f>
        <v/>
      </c>
      <c r="R48" s="1344">
        <f>IF(R$30,ROUND(E48,0),0)</f>
        <v/>
      </c>
      <c r="S48" s="1344">
        <f>IF(S$30,ROUND(F48,0),0)</f>
        <v/>
      </c>
      <c r="T48" s="1344">
        <f>IF(T$30,ROUND(G48,0),0)</f>
        <v/>
      </c>
      <c r="U48" s="1344">
        <f>IF(U$30,ROUND(H48,0),0)</f>
        <v/>
      </c>
      <c r="V48" s="1344">
        <f>IF(V$30,ROUND(I48,0),0)</f>
        <v/>
      </c>
      <c r="W48" s="1344">
        <f>IF(W$30,ROUND(J48,0),0)</f>
        <v/>
      </c>
      <c r="X48" s="1344">
        <f>IF(X$30,ROUND(K48,0),0)</f>
        <v/>
      </c>
      <c r="Y48" s="1344">
        <f>IF(Y$30,ROUND(L48,0),0)</f>
        <v/>
      </c>
      <c r="Z48" s="60" t="n"/>
      <c r="AA48" s="1344">
        <f>IF(AA$30,ROUND(D48,0),0)</f>
        <v/>
      </c>
      <c r="AB48" s="1344">
        <f>IF(AB$30,ROUND(E48,0),0)</f>
        <v/>
      </c>
      <c r="AC48" s="1344">
        <f>IF(AC$30,ROUND(F48,0),0)</f>
        <v/>
      </c>
      <c r="AD48" s="1344">
        <f>IF(AD$30,ROUND(G48,0),0)</f>
        <v/>
      </c>
      <c r="AE48" s="1344">
        <f>IF(AE$30,ROUND(H48,0),0)</f>
        <v/>
      </c>
      <c r="AF48" s="1344">
        <f>IF(AF$30,ROUND(I48,0),0)</f>
        <v/>
      </c>
      <c r="AG48" s="1344">
        <f>IF(AG$30,ROUND(J48,0),0)</f>
        <v/>
      </c>
      <c r="AH48" s="1344">
        <f>IF(AH$30,ROUND(K48,0),0)</f>
        <v/>
      </c>
      <c r="AI48" s="1344">
        <f>IF(AI$30,ROUND(L48,0),0)</f>
        <v/>
      </c>
      <c r="AJ48" s="60" t="n"/>
      <c r="AK48" s="1344">
        <f>IF(AK$30,ROUND(D48,0),0)</f>
        <v/>
      </c>
      <c r="AL48" s="1344">
        <f>IF(AL$30,ROUND(E48,0),0)</f>
        <v/>
      </c>
      <c r="AM48" s="1344">
        <f>IF(AM$30,ROUND(F48,0),0)</f>
        <v/>
      </c>
      <c r="AN48" s="1344">
        <f>IF(AN$30,ROUND(G48,0),0)</f>
        <v/>
      </c>
      <c r="AO48" s="1344">
        <f>IF(AO$30,ROUND(H48,0),0)</f>
        <v/>
      </c>
      <c r="AP48" s="1344">
        <f>IF(AP$30,ROUND(I48,0),0)</f>
        <v/>
      </c>
      <c r="AQ48" s="1344">
        <f>IF(AQ$30,ROUND(J48,0),0)</f>
        <v/>
      </c>
      <c r="AR48" s="1344">
        <f>IF(AR$30,ROUND(K48,0),0)</f>
        <v/>
      </c>
      <c r="AS48" s="1344">
        <f>IF(AS$30,ROUND(L48,0),0)</f>
        <v/>
      </c>
      <c r="AT48" s="66" t="n"/>
    </row>
    <row r="49">
      <c r="A49" s="11602" t="n"/>
      <c r="B49" s="527" t="n">
        <v>17</v>
      </c>
      <c r="C49" s="525" t="inlineStr">
        <is>
          <t>Local tax withheld</t>
        </is>
      </c>
      <c r="D49" s="606" t="n"/>
      <c r="E49" s="607" t="n"/>
      <c r="F49" s="607" t="n"/>
      <c r="G49" s="608" t="n"/>
      <c r="H49" s="608" t="n"/>
      <c r="I49" s="608" t="n"/>
      <c r="J49" s="608" t="n"/>
      <c r="K49" s="608" t="n"/>
      <c r="L49" s="609" t="n"/>
      <c r="M49" s="1346">
        <f>SUM(Q49:Y49)</f>
        <v/>
      </c>
      <c r="N49" s="1346">
        <f>SUM(AA49:AI49)</f>
        <v/>
      </c>
      <c r="O49" s="1346">
        <f>SUM(AK49:AS49)</f>
        <v/>
      </c>
      <c r="P49" s="18" t="n"/>
      <c r="Q49" s="1344">
        <f>IF(Q$30,ROUND(D49,0),0)</f>
        <v/>
      </c>
      <c r="R49" s="1344">
        <f>IF(R$30,ROUND(E49,0),0)</f>
        <v/>
      </c>
      <c r="S49" s="1344">
        <f>IF(S$30,ROUND(F49,0),0)</f>
        <v/>
      </c>
      <c r="T49" s="1344">
        <f>IF(T$30,ROUND(G49,0),0)</f>
        <v/>
      </c>
      <c r="U49" s="1344">
        <f>IF(U$30,ROUND(H49,0),0)</f>
        <v/>
      </c>
      <c r="V49" s="1344">
        <f>IF(V$30,ROUND(I49,0),0)</f>
        <v/>
      </c>
      <c r="W49" s="1344">
        <f>IF(W$30,ROUND(J49,0),0)</f>
        <v/>
      </c>
      <c r="X49" s="1344">
        <f>IF(X$30,ROUND(K49,0),0)</f>
        <v/>
      </c>
      <c r="Y49" s="1344">
        <f>IF(Y$30,ROUND(L49,0),0)</f>
        <v/>
      </c>
      <c r="Z49" s="60" t="n"/>
      <c r="AA49" s="1344">
        <f>IF(AA$30,ROUND(D49,0),0)</f>
        <v/>
      </c>
      <c r="AB49" s="1344">
        <f>IF(AB$30,ROUND(E49,0),0)</f>
        <v/>
      </c>
      <c r="AC49" s="1344">
        <f>IF(AC$30,ROUND(F49,0),0)</f>
        <v/>
      </c>
      <c r="AD49" s="1344">
        <f>IF(AD$30,ROUND(G49,0),0)</f>
        <v/>
      </c>
      <c r="AE49" s="1344">
        <f>IF(AE$30,ROUND(H49,0),0)</f>
        <v/>
      </c>
      <c r="AF49" s="1344">
        <f>IF(AF$30,ROUND(I49,0),0)</f>
        <v/>
      </c>
      <c r="AG49" s="1344">
        <f>IF(AG$30,ROUND(J49,0),0)</f>
        <v/>
      </c>
      <c r="AH49" s="1344">
        <f>IF(AH$30,ROUND(K49,0),0)</f>
        <v/>
      </c>
      <c r="AI49" s="1344">
        <f>IF(AI$30,ROUND(L49,0),0)</f>
        <v/>
      </c>
      <c r="AJ49" s="60" t="n"/>
      <c r="AK49" s="1344">
        <f>IF(AK$30,ROUND(D49,0),0)</f>
        <v/>
      </c>
      <c r="AL49" s="1344">
        <f>IF(AL$30,ROUND(E49,0),0)</f>
        <v/>
      </c>
      <c r="AM49" s="1344">
        <f>IF(AM$30,ROUND(F49,0),0)</f>
        <v/>
      </c>
      <c r="AN49" s="1344">
        <f>IF(AN$30,ROUND(G49,0),0)</f>
        <v/>
      </c>
      <c r="AO49" s="1344">
        <f>IF(AO$30,ROUND(H49,0),0)</f>
        <v/>
      </c>
      <c r="AP49" s="1344">
        <f>IF(AP$30,ROUND(I49,0),0)</f>
        <v/>
      </c>
      <c r="AQ49" s="1344">
        <f>IF(AQ$30,ROUND(J49,0),0)</f>
        <v/>
      </c>
      <c r="AR49" s="1344">
        <f>IF(AR$30,ROUND(K49,0),0)</f>
        <v/>
      </c>
      <c r="AS49" s="1344">
        <f>IF(AS$30,ROUND(L49,0),0)</f>
        <v/>
      </c>
      <c r="AT49" s="66" t="n"/>
    </row>
    <row r="50">
      <c r="A50" s="11602" t="n"/>
      <c r="B50" s="258" t="n">
        <v>18</v>
      </c>
      <c r="C50" s="259" t="inlineStr">
        <is>
          <t>Name of locality</t>
        </is>
      </c>
      <c r="D50" s="1335">
        <f>OR(D30="CONV",D30="conv")</f>
        <v/>
      </c>
      <c r="E50" s="1336">
        <f>OR(E30="CONV",E30="conv")</f>
        <v/>
      </c>
      <c r="F50" s="1336">
        <f>OR(F30="CONV",F30="conv")</f>
        <v/>
      </c>
      <c r="G50" s="1336">
        <f>OR(G30="CONV",G30="conv")</f>
        <v/>
      </c>
      <c r="H50" s="1336">
        <f>OR(H30="CONV",H30="conv")</f>
        <v/>
      </c>
      <c r="I50" s="1336">
        <f>OR(I30="CONV",I30="conv")</f>
        <v/>
      </c>
      <c r="J50" s="1336">
        <f>OR(J30="CONV",J30="conv")</f>
        <v/>
      </c>
      <c r="K50" s="1336">
        <f>OR(K30="CONV",K30="conv")</f>
        <v/>
      </c>
      <c r="L50" s="1336">
        <f>OR(L30="CONV",L30="conv")</f>
        <v/>
      </c>
      <c r="M50" s="620">
        <f>" - - - -"</f>
        <v/>
      </c>
      <c r="N50" s="620">
        <f>" - - - -"</f>
        <v/>
      </c>
      <c r="O50" s="620">
        <f>" - - - -"</f>
        <v/>
      </c>
      <c r="P50" s="18" t="n"/>
      <c r="Q50" s="1344">
        <f>IF(Q$30,ROUND(D50,0),0)</f>
        <v/>
      </c>
      <c r="R50" s="1344">
        <f>IF(R$30,ROUND(E50,0),0)</f>
        <v/>
      </c>
      <c r="S50" s="1344">
        <f>IF(S$30,ROUND(F50,0),0)</f>
        <v/>
      </c>
      <c r="T50" s="1344">
        <f>IF(T$30,ROUND(G50,0),0)</f>
        <v/>
      </c>
      <c r="U50" s="1344">
        <f>IF(U$30,ROUND(H50,0),0)</f>
        <v/>
      </c>
      <c r="V50" s="1344">
        <f>IF(V$30,ROUND(I50,0),0)</f>
        <v/>
      </c>
      <c r="W50" s="1344">
        <f>IF(W$30,ROUND(J50,0),0)</f>
        <v/>
      </c>
      <c r="X50" s="1344">
        <f>IF(X$30,ROUND(K50,0),0)</f>
        <v/>
      </c>
      <c r="Y50" s="1344">
        <f>IF(Y$30,ROUND(L50,0),0)</f>
        <v/>
      </c>
      <c r="Z50" s="60" t="n"/>
      <c r="AA50" s="1344" t="n"/>
      <c r="AB50" s="1344" t="n"/>
      <c r="AC50" s="1344" t="n"/>
      <c r="AD50" s="1344" t="n"/>
      <c r="AE50" s="1344" t="n"/>
      <c r="AF50" s="1344" t="n"/>
      <c r="AG50" s="1344" t="n"/>
      <c r="AH50" s="1344" t="n"/>
      <c r="AI50" s="1344" t="n"/>
      <c r="AJ50" s="60" t="n"/>
      <c r="AK50" s="1344" t="n"/>
      <c r="AL50" s="1344" t="n"/>
      <c r="AM50" s="1344" t="n"/>
      <c r="AN50" s="1344" t="n"/>
      <c r="AO50" s="1344" t="n"/>
      <c r="AP50" s="1344" t="n"/>
      <c r="AQ50" s="1344" t="n"/>
      <c r="AR50" s="1344" t="n"/>
      <c r="AS50" s="1344" t="n"/>
      <c r="AT50" s="66" t="n"/>
    </row>
    <row r="51" ht="13.5" customHeight="1" s="7635" thickBot="1">
      <c r="A51" s="11602" t="n"/>
      <c r="B51" s="263" t="n">
        <v>19</v>
      </c>
      <c r="C51" s="649" t="inlineStr">
        <is>
          <t>Local distribution</t>
        </is>
      </c>
      <c r="D51" s="616" t="n"/>
      <c r="E51" s="617" t="n"/>
      <c r="F51" s="617" t="n"/>
      <c r="G51" s="618" t="n"/>
      <c r="H51" s="618" t="n"/>
      <c r="I51" s="618" t="n"/>
      <c r="J51" s="618" t="n"/>
      <c r="K51" s="618" t="n"/>
      <c r="L51" s="619" t="n"/>
      <c r="M51" s="1347">
        <f>SUM(Q51:Y51)</f>
        <v/>
      </c>
      <c r="N51" s="1347">
        <f>SUM(AA51:AI51)</f>
        <v/>
      </c>
      <c r="O51" s="1347">
        <f>SUM(AK51:AS51)</f>
        <v/>
      </c>
      <c r="P51" s="18" t="n"/>
      <c r="Q51" s="1344">
        <f>IF(Q$30,ROUND(D51,0),0)</f>
        <v/>
      </c>
      <c r="R51" s="1344">
        <f>IF(R$30,ROUND(E51,0),0)</f>
        <v/>
      </c>
      <c r="S51" s="1344">
        <f>IF(S$30,ROUND(F51,0),0)</f>
        <v/>
      </c>
      <c r="T51" s="1344">
        <f>IF(T$30,ROUND(G51,0),0)</f>
        <v/>
      </c>
      <c r="U51" s="1344">
        <f>IF(U$30,ROUND(H51,0),0)</f>
        <v/>
      </c>
      <c r="V51" s="1344">
        <f>IF(V$30,ROUND(I51,0),0)</f>
        <v/>
      </c>
      <c r="W51" s="1344">
        <f>IF(W$30,ROUND(J51,0),0)</f>
        <v/>
      </c>
      <c r="X51" s="1344">
        <f>IF(X$30,ROUND(K51,0),0)</f>
        <v/>
      </c>
      <c r="Y51" s="1344">
        <f>IF(Y$30,ROUND(L51,0),0)</f>
        <v/>
      </c>
      <c r="Z51" s="60" t="n"/>
      <c r="AA51" s="1344">
        <f>IF(AA$30,ROUND(D51,0),0)</f>
        <v/>
      </c>
      <c r="AB51" s="1344">
        <f>IF(AB$30,ROUND(E51,0),0)</f>
        <v/>
      </c>
      <c r="AC51" s="1344">
        <f>IF(AC$30,ROUND(F51,0),0)</f>
        <v/>
      </c>
      <c r="AD51" s="1344">
        <f>IF(AD$30,ROUND(G51,0),0)</f>
        <v/>
      </c>
      <c r="AE51" s="1344">
        <f>IF(AE$30,ROUND(H51,0),0)</f>
        <v/>
      </c>
      <c r="AF51" s="1344">
        <f>IF(AF$30,ROUND(I51,0),0)</f>
        <v/>
      </c>
      <c r="AG51" s="1344">
        <f>IF(AG$30,ROUND(J51,0),0)</f>
        <v/>
      </c>
      <c r="AH51" s="1344">
        <f>IF(AH$30,ROUND(K51,0),0)</f>
        <v/>
      </c>
      <c r="AI51" s="1344">
        <f>IF(AI$30,ROUND(L51,0),0)</f>
        <v/>
      </c>
      <c r="AJ51" s="60" t="n"/>
      <c r="AK51" s="1344">
        <f>IF(AK$30,ROUND(D51,0),0)</f>
        <v/>
      </c>
      <c r="AL51" s="1344">
        <f>IF(AL$30,ROUND(E51,0),0)</f>
        <v/>
      </c>
      <c r="AM51" s="1344">
        <f>IF(AM$30,ROUND(F51,0),0)</f>
        <v/>
      </c>
      <c r="AN51" s="1344">
        <f>IF(AN$30,ROUND(G51,0),0)</f>
        <v/>
      </c>
      <c r="AO51" s="1344">
        <f>IF(AO$30,ROUND(H51,0),0)</f>
        <v/>
      </c>
      <c r="AP51" s="1344">
        <f>IF(AP$30,ROUND(I51,0),0)</f>
        <v/>
      </c>
      <c r="AQ51" s="1344">
        <f>IF(AQ$30,ROUND(J51,0),0)</f>
        <v/>
      </c>
      <c r="AR51" s="1344">
        <f>IF(AR$30,ROUND(K51,0),0)</f>
        <v/>
      </c>
      <c r="AS51" s="1344">
        <f>IF(AS$30,ROUND(L51,0),0)</f>
        <v/>
      </c>
      <c r="AT51" s="66" t="n"/>
    </row>
    <row r="52" ht="17.25" customFormat="1" customHeight="1" s="138" thickBot="1">
      <c r="A52" s="571" t="n"/>
      <c r="B52" s="581" t="inlineStr">
        <is>
          <t xml:space="preserve">  Only bolded amounts are used in this spreadsheet.</t>
        </is>
      </c>
      <c r="C52" s="582" t="n"/>
      <c r="D52" s="7567">
        <f>OR(D50:L50)</f>
        <v/>
      </c>
      <c r="E52" s="1538" t="n"/>
      <c r="F52" s="1538" t="n"/>
      <c r="G52" s="1538" t="n"/>
      <c r="H52" s="1334">
        <f>IF(D52,"For IRA conversions, leave line 2a blank and complete "&amp;CHAR(10)&amp;"Form 8606.","")</f>
        <v/>
      </c>
      <c r="I52" s="1538" t="n"/>
      <c r="J52" s="1538" t="n"/>
      <c r="K52" s="1538" t="n"/>
      <c r="L52" s="1538" t="n"/>
      <c r="M52" s="1538" t="n"/>
      <c r="N52" s="1539" t="n"/>
      <c r="O52" s="1539" t="n"/>
      <c r="P52" s="51" t="n"/>
      <c r="Q52" s="1540" t="n"/>
      <c r="R52" s="1540" t="n"/>
      <c r="S52" s="1540" t="n"/>
      <c r="T52" s="1540" t="n"/>
      <c r="U52" s="1540" t="n"/>
      <c r="V52" s="1540" t="n"/>
      <c r="W52" s="1540" t="n"/>
      <c r="X52" s="1540" t="n"/>
      <c r="Y52" s="1540" t="n"/>
      <c r="Z52" s="51" t="n"/>
      <c r="AA52" s="1540" t="n"/>
      <c r="AB52" s="1540" t="n"/>
      <c r="AC52" s="1540" t="n"/>
      <c r="AD52" s="1540" t="n"/>
      <c r="AE52" s="1540" t="n"/>
      <c r="AF52" s="1540" t="n"/>
      <c r="AG52" s="1540" t="n"/>
      <c r="AH52" s="1540" t="n"/>
      <c r="AI52" s="1540" t="n"/>
      <c r="AJ52" s="51" t="n"/>
      <c r="AK52" s="1540" t="n"/>
      <c r="AL52" s="1540" t="n"/>
      <c r="AM52" s="1540" t="n"/>
      <c r="AN52" s="1540" t="n"/>
      <c r="AO52" s="1540" t="n"/>
      <c r="AP52" s="1540" t="n"/>
      <c r="AQ52" s="1540" t="n"/>
      <c r="AR52" s="1540" t="n"/>
      <c r="AS52" s="1540" t="n"/>
      <c r="AT52" s="1540" t="n"/>
      <c r="AU52" s="658" t="n"/>
      <c r="AV52" s="658" t="n"/>
      <c r="AW52" s="658" t="n"/>
      <c r="AX52" s="658" t="n"/>
      <c r="AY52" s="658" t="n"/>
      <c r="AZ52" s="658" t="n"/>
      <c r="BA52" s="662" t="n"/>
      <c r="BB52" s="662" t="n"/>
      <c r="BC52" s="662" t="n"/>
      <c r="BD52" s="662" t="n"/>
      <c r="BE52" s="662" t="n"/>
      <c r="BF52" s="662" t="n"/>
      <c r="BG52" s="662" t="n"/>
    </row>
    <row r="53" hidden="1" ht="17.25" customHeight="1" s="7635">
      <c r="A53" s="11602" t="n"/>
      <c r="B53" s="745" t="n"/>
      <c r="C53" s="746" t="n"/>
      <c r="D53" s="740">
        <f>IF(OR(LEFT(D38,1)="D",LEFT(D38,1)="d"),D32,"")</f>
        <v/>
      </c>
      <c r="E53" s="740">
        <f>IF(OR(LEFT(E38,1)="D",LEFT(E38,1)="d"),E32,"")</f>
        <v/>
      </c>
      <c r="F53" s="740">
        <f>IF(OR(LEFT(F38,1)="D",LEFT(F38,1)="d"),F32,"")</f>
        <v/>
      </c>
      <c r="G53" s="740">
        <f>IF(OR(LEFT(G38,1)="D",LEFT(G38,1)="d"),G32,"")</f>
        <v/>
      </c>
      <c r="H53" s="740">
        <f>IF(OR(LEFT(H38,1)="D",LEFT(H38,1)="d"),H32,"")</f>
        <v/>
      </c>
      <c r="I53" s="740">
        <f>IF(OR(LEFT(I38,1)="D",LEFT(I38,1)="d"),I32,"")</f>
        <v/>
      </c>
      <c r="J53" s="740">
        <f>IF(OR(LEFT(J38,1)="D",LEFT(J38,1)="d"),J32,"")</f>
        <v/>
      </c>
      <c r="K53" s="740">
        <f>IF(OR(LEFT(K38,1)="D",LEFT(K38,1)="d"),K32,"")</f>
        <v/>
      </c>
      <c r="L53" s="740">
        <f>IF(OR(LEFT(L38,1)="D",LEFT(L38,1)="d"),L32,"")</f>
        <v/>
      </c>
      <c r="M53" s="11602" t="n"/>
      <c r="N53" s="740">
        <f>SUM(D53:L53)</f>
        <v/>
      </c>
      <c r="O53" s="740">
        <f>SUM(E53:M53)</f>
        <v/>
      </c>
      <c r="P53" s="268" t="n"/>
      <c r="Q53" s="66" t="n"/>
      <c r="R53" s="66" t="n"/>
      <c r="S53" s="66" t="n"/>
      <c r="T53" s="66" t="n"/>
      <c r="U53" s="66" t="n"/>
      <c r="V53" s="66" t="n"/>
      <c r="W53" s="66" t="n"/>
      <c r="X53" s="66" t="n"/>
      <c r="Y53" s="66" t="n"/>
      <c r="Z53" s="268" t="n"/>
      <c r="AA53" s="66" t="n"/>
      <c r="AB53" s="66" t="n"/>
      <c r="AC53" s="66" t="n"/>
      <c r="AD53" s="66" t="n"/>
      <c r="AE53" s="66" t="n"/>
      <c r="AF53" s="66" t="n"/>
      <c r="AG53" s="66" t="n"/>
      <c r="AH53" s="66" t="n"/>
      <c r="AI53" s="66" t="n"/>
      <c r="AJ53" s="268" t="n"/>
      <c r="AK53" s="66" t="n"/>
      <c r="AL53" s="66" t="n"/>
      <c r="AM53" s="66" t="n"/>
      <c r="AN53" s="66" t="n"/>
      <c r="AO53" s="66" t="n"/>
      <c r="AP53" s="66" t="n"/>
      <c r="AQ53" s="66" t="n"/>
      <c r="AR53" s="66" t="n"/>
      <c r="AS53" s="66" t="n"/>
      <c r="AT53" s="66" t="n"/>
    </row>
    <row r="54" hidden="1" ht="17.25" customHeight="1" s="7635" thickBot="1">
      <c r="A54" s="11602" t="n"/>
      <c r="B54" s="745" t="n"/>
      <c r="C54" s="746" t="n"/>
      <c r="D54" s="740">
        <f>IF(OR(LEFT(D38,1)="D",LEFT(D38,1)="d"),SUM(D46,D49),"")</f>
        <v/>
      </c>
      <c r="E54" s="740">
        <f>IF(OR(LEFT(E38,1)="D",LEFT(E38,1)="d"),SUM(E46,E49),"")</f>
        <v/>
      </c>
      <c r="F54" s="740">
        <f>IF(OR(LEFT(F38,1)="D",LEFT(F38,1)="d"),SUM(F46,F49),"")</f>
        <v/>
      </c>
      <c r="G54" s="740">
        <f>IF(OR(LEFT(G38,1)="D",LEFT(G38,1)="d"),SUM(G46,G49),"")</f>
        <v/>
      </c>
      <c r="H54" s="740">
        <f>IF(OR(LEFT(H38,1)="D",LEFT(H38,1)="d"),SUM(H46,H49),"")</f>
        <v/>
      </c>
      <c r="I54" s="740">
        <f>IF(OR(LEFT(I38,1)="D",LEFT(I38,1)="d"),SUM(I46,I49),"")</f>
        <v/>
      </c>
      <c r="J54" s="740">
        <f>IF(OR(LEFT(J38,1)="D",LEFT(J38,1)="d"),SUM(J46,J49),"")</f>
        <v/>
      </c>
      <c r="K54" s="740">
        <f>IF(OR(LEFT(K38,1)="D",LEFT(K38,1)="d"),SUM(K46,K49),"")</f>
        <v/>
      </c>
      <c r="L54" s="740">
        <f>IF(OR(LEFT(L38,1)="D",LEFT(L38,1)="d"),SUM(L46,L49),"")</f>
        <v/>
      </c>
      <c r="M54" s="747" t="n"/>
      <c r="N54" s="740">
        <f>SUM(D54:L54)</f>
        <v/>
      </c>
      <c r="O54" s="740">
        <f>SUM(E54:M54)</f>
        <v/>
      </c>
      <c r="P54" s="268" t="n"/>
      <c r="Q54" s="66" t="n"/>
      <c r="R54" s="66" t="n"/>
      <c r="S54" s="66" t="n"/>
      <c r="T54" s="66" t="n"/>
      <c r="U54" s="66" t="n"/>
      <c r="V54" s="66" t="n"/>
      <c r="W54" s="66" t="n"/>
      <c r="X54" s="66" t="n"/>
      <c r="Y54" s="66" t="n"/>
      <c r="Z54" s="268" t="n"/>
      <c r="AA54" s="66" t="n"/>
      <c r="AB54" s="66" t="n"/>
      <c r="AC54" s="66" t="n"/>
      <c r="AD54" s="66" t="n"/>
      <c r="AE54" s="66" t="n"/>
      <c r="AF54" s="66" t="n"/>
      <c r="AG54" s="66" t="n"/>
      <c r="AH54" s="66" t="n"/>
      <c r="AI54" s="66" t="n"/>
      <c r="AJ54" s="268" t="n"/>
      <c r="AK54" s="66" t="n"/>
      <c r="AL54" s="66" t="n"/>
      <c r="AM54" s="66" t="n"/>
      <c r="AN54" s="66" t="n"/>
      <c r="AO54" s="66" t="n"/>
      <c r="AP54" s="66" t="n"/>
      <c r="AQ54" s="66" t="n"/>
      <c r="AR54" s="66" t="n"/>
      <c r="AS54" s="66" t="n"/>
      <c r="AT54" s="66" t="n"/>
    </row>
    <row r="55" ht="42" customHeight="1" s="7635" thickBot="1" thickTop="1">
      <c r="A55" s="583" t="n"/>
      <c r="B55" s="593" t="inlineStr">
        <is>
          <t>Information from Form 1099-R, Distributions From Pensions, Annuities, Retirement or Profit-Sharing  Plans, IRAs, Insurance Contracts, etc.</t>
        </is>
      </c>
      <c r="C55" s="1535" t="n"/>
      <c r="D55" s="1536" t="n"/>
      <c r="E55" s="584" t="n"/>
      <c r="F55" s="1536" t="n"/>
      <c r="G55" s="1536" t="n"/>
      <c r="H55" s="1536" t="n"/>
      <c r="I55" s="585" t="n"/>
      <c r="J55" s="585" t="n"/>
      <c r="K55" s="586" t="n"/>
      <c r="L55" s="586" t="n"/>
      <c r="M55" s="586" t="n"/>
      <c r="N55" s="586" t="n"/>
      <c r="O55" s="586" t="n"/>
    </row>
    <row r="56" ht="49.5" customHeight="1" s="7635" thickBot="1" thickTop="1">
      <c r="A56" s="11602" t="n"/>
      <c r="B56" s="1541" t="n"/>
      <c r="C56" s="1541" t="inlineStr">
        <is>
          <t>Total Distributions</t>
        </is>
      </c>
      <c r="D56" s="1542" t="inlineStr">
        <is>
          <t>Total          IRAs</t>
        </is>
      </c>
      <c r="E56" s="638" t="inlineStr">
        <is>
          <t>Total
Pension / Annuities</t>
        </is>
      </c>
      <c r="F56" s="638" t="inlineStr">
        <is>
          <t xml:space="preserve">Qualified
Conversion
to ROTH IRA </t>
        </is>
      </c>
      <c r="G56" s="638" t="n"/>
      <c r="H56" s="638" t="n"/>
      <c r="I56" s="638" t="n"/>
      <c r="J56" s="638" t="n"/>
      <c r="K56" s="638" t="n"/>
      <c r="L56" s="638" t="n"/>
      <c r="M56" s="638" t="n"/>
      <c r="N56" s="638" t="n"/>
      <c r="O56" s="638" t="n"/>
      <c r="P56" s="638" t="n"/>
      <c r="Q56" s="39" t="n"/>
      <c r="R56" s="104" t="n"/>
      <c r="S56" s="104" t="n"/>
      <c r="T56" s="104" t="n"/>
      <c r="U56" s="104" t="n"/>
      <c r="V56" s="104" t="n"/>
      <c r="W56" s="104" t="n"/>
      <c r="X56" s="104" t="n"/>
      <c r="Y56" s="104" t="n"/>
      <c r="Z56" s="638" t="n"/>
      <c r="AA56" s="39" t="n"/>
      <c r="AB56" s="104" t="n"/>
      <c r="AC56" s="104" t="n"/>
      <c r="AD56" s="104" t="n"/>
      <c r="AE56" s="104" t="n"/>
      <c r="AF56" s="104" t="n"/>
      <c r="AG56" s="104" t="n"/>
      <c r="AH56" s="104" t="n"/>
      <c r="AI56" s="104" t="n"/>
      <c r="AJ56" s="638" t="n"/>
      <c r="AK56" s="39" t="n"/>
      <c r="AL56" s="104" t="n"/>
      <c r="AM56" s="104" t="n"/>
      <c r="AN56" s="104" t="n"/>
      <c r="AO56" s="104" t="n"/>
      <c r="AP56" s="104" t="n"/>
      <c r="AQ56" s="104" t="n"/>
      <c r="AR56" s="104" t="n"/>
      <c r="AS56" s="104" t="n"/>
      <c r="AT56" s="104" t="n"/>
    </row>
    <row r="57" ht="13.5" customHeight="1" s="7635" thickBot="1">
      <c r="A57" s="11602" t="n"/>
      <c r="B57" s="254" t="n"/>
      <c r="C57" s="256" t="n"/>
      <c r="D57" s="1543" t="inlineStr">
        <is>
          <t>IRA</t>
        </is>
      </c>
      <c r="E57" s="1544" t="inlineStr">
        <is>
          <t>P/A</t>
        </is>
      </c>
      <c r="F57" s="1232" t="inlineStr">
        <is>
          <t>CONV</t>
        </is>
      </c>
      <c r="G57" s="627" t="inlineStr">
        <is>
          <t>Used at:</t>
        </is>
      </c>
      <c r="H57" s="60" t="n"/>
      <c r="I57" s="638" t="n"/>
      <c r="J57" s="847" t="inlineStr">
        <is>
          <t>If your IRA is fully taxable, this spreadsheet will automatically enter</t>
        </is>
      </c>
      <c r="K57" s="115" t="n"/>
      <c r="L57" s="60" t="n"/>
      <c r="M57" s="18" t="n"/>
      <c r="N57" s="120" t="n"/>
      <c r="O57" s="120" t="n"/>
      <c r="P57" s="18" t="n"/>
      <c r="Q57" s="18" t="n"/>
      <c r="R57" s="26" t="n"/>
      <c r="S57" s="26" t="n"/>
      <c r="T57" s="26" t="n"/>
      <c r="U57" s="26" t="n"/>
      <c r="V57" s="26" t="n"/>
      <c r="W57" s="26" t="n"/>
      <c r="X57" s="26" t="n"/>
      <c r="Y57" s="26" t="n"/>
      <c r="Z57" s="18" t="n"/>
      <c r="AA57" s="18" t="n"/>
      <c r="AB57" s="26" t="n"/>
      <c r="AC57" s="26" t="n"/>
      <c r="AD57" s="26" t="n"/>
      <c r="AE57" s="26" t="n"/>
      <c r="AF57" s="26" t="n"/>
      <c r="AG57" s="26" t="n"/>
      <c r="AH57" s="26" t="n"/>
      <c r="AI57" s="26" t="n"/>
      <c r="AJ57" s="18" t="n"/>
      <c r="AK57" s="18" t="n"/>
      <c r="AL57" s="26" t="n"/>
      <c r="AM57" s="26" t="n"/>
      <c r="AN57" s="26" t="n"/>
      <c r="AO57" s="26" t="n"/>
      <c r="AP57" s="26" t="n"/>
      <c r="AQ57" s="26" t="n"/>
      <c r="AR57" s="26" t="n"/>
      <c r="AS57" s="26" t="n"/>
      <c r="AT57" s="26" t="n"/>
    </row>
    <row r="58" ht="13.5" customHeight="1" s="7635">
      <c r="A58" s="11602" t="n"/>
      <c r="B58" s="526" t="n">
        <v>1</v>
      </c>
      <c r="C58" s="524" t="inlineStr">
        <is>
          <t>Gross distribution</t>
        </is>
      </c>
      <c r="D58" s="1545">
        <f>SUM(M4,M31)</f>
        <v/>
      </c>
      <c r="E58" s="1545">
        <f>SUM(N4,N31)</f>
        <v/>
      </c>
      <c r="F58" s="1545">
        <f>SUM(O4,O31)</f>
        <v/>
      </c>
      <c r="G58" s="650" t="inlineStr">
        <is>
          <t>Form 1040, Line 4a, 5a</t>
        </is>
      </c>
      <c r="H58" s="1211" t="n"/>
      <c r="I58" s="326">
        <f>IF(E58=0,0,ROUND(E58,0))</f>
        <v/>
      </c>
      <c r="J58" s="847" t="inlineStr">
        <is>
          <t>the total IRA distributions (from Form(s) 1099-R, box 2a) on line 4b;</t>
        </is>
      </c>
      <c r="K58" s="115" t="n"/>
      <c r="L58" s="1211" t="n"/>
      <c r="M58" s="1211" t="n"/>
      <c r="N58" s="1546" t="n"/>
      <c r="O58" s="1546" t="n"/>
      <c r="P58" s="19" t="n"/>
      <c r="Q58" s="19" t="n"/>
      <c r="R58" s="66" t="n"/>
      <c r="S58" s="66" t="n"/>
      <c r="T58" s="66" t="n"/>
      <c r="U58" s="66" t="n"/>
      <c r="V58" s="66" t="n"/>
      <c r="W58" s="66" t="n"/>
      <c r="X58" s="66" t="n"/>
      <c r="Y58" s="66" t="n"/>
      <c r="Z58" s="19" t="n"/>
      <c r="AA58" s="19" t="n"/>
      <c r="AB58" s="66" t="n"/>
      <c r="AC58" s="66" t="n"/>
      <c r="AD58" s="66" t="n"/>
      <c r="AE58" s="66" t="n"/>
      <c r="AF58" s="66" t="n"/>
      <c r="AG58" s="66" t="n"/>
      <c r="AH58" s="66" t="n"/>
      <c r="AI58" s="66" t="n"/>
      <c r="AJ58" s="19" t="n"/>
      <c r="AK58" s="19" t="n"/>
      <c r="AL58" s="66" t="n"/>
      <c r="AM58" s="66" t="n"/>
      <c r="AN58" s="66" t="n"/>
      <c r="AO58" s="66" t="n"/>
      <c r="AP58" s="66" t="n"/>
      <c r="AQ58" s="66" t="n"/>
      <c r="AR58" s="66" t="n"/>
      <c r="AS58" s="66" t="n"/>
      <c r="AT58" s="66" t="n"/>
    </row>
    <row r="59" ht="13.5" customHeight="1" s="7635">
      <c r="A59" s="11602" t="n"/>
      <c r="B59" s="527" t="inlineStr">
        <is>
          <t>2a</t>
        </is>
      </c>
      <c r="C59" s="525" t="inlineStr">
        <is>
          <t>Taxable amount</t>
        </is>
      </c>
      <c r="D59" s="1547">
        <f>SUM(IRA_Taxable_You,IRA_Taxable_Spouse)</f>
        <v/>
      </c>
      <c r="E59" s="1547">
        <f>SUM(PA_Taxable_You,PA_Taxable_Spouse)</f>
        <v/>
      </c>
      <c r="F59" s="262">
        <f>" - - - -"</f>
        <v/>
      </c>
      <c r="G59" s="650" t="inlineStr">
        <is>
          <t>Form 1040, Line 4b, 5b</t>
        </is>
      </c>
      <c r="H59" s="1211" t="n"/>
      <c r="I59" s="25" t="n"/>
      <c r="J59" s="847" t="inlineStr">
        <is>
          <t>do not make an entry on line 4a.</t>
        </is>
      </c>
      <c r="K59" s="115" t="n"/>
      <c r="L59" s="1211" t="n"/>
      <c r="M59" s="1211" t="n"/>
      <c r="N59" s="1546" t="n"/>
      <c r="O59" s="1546" t="n"/>
      <c r="P59" s="19" t="n"/>
      <c r="Q59" s="19" t="n"/>
      <c r="R59" s="66" t="n"/>
      <c r="S59" s="66" t="n"/>
      <c r="T59" s="66" t="n"/>
      <c r="U59" s="66" t="n"/>
      <c r="V59" s="66" t="n"/>
      <c r="W59" s="66" t="n"/>
      <c r="X59" s="66" t="n"/>
      <c r="Y59" s="66" t="n"/>
      <c r="Z59" s="19" t="n"/>
      <c r="AA59" s="19" t="n"/>
      <c r="AB59" s="66" t="n"/>
      <c r="AC59" s="66" t="n"/>
      <c r="AD59" s="66" t="n"/>
      <c r="AE59" s="66" t="n"/>
      <c r="AF59" s="66" t="n"/>
      <c r="AG59" s="66" t="n"/>
      <c r="AH59" s="66" t="n"/>
      <c r="AI59" s="66" t="n"/>
      <c r="AJ59" s="19" t="n"/>
      <c r="AK59" s="19" t="n"/>
      <c r="AL59" s="66" t="n"/>
      <c r="AM59" s="66" t="n"/>
      <c r="AN59" s="66" t="n"/>
      <c r="AO59" s="66" t="n"/>
      <c r="AP59" s="66" t="n"/>
      <c r="AQ59" s="66" t="n"/>
      <c r="AR59" s="66" t="n"/>
      <c r="AS59" s="66" t="n"/>
      <c r="AT59" s="66" t="n"/>
    </row>
    <row r="60" ht="13.5" customHeight="1" s="7635">
      <c r="A60" s="11602" t="n"/>
      <c r="B60" s="258" t="inlineStr">
        <is>
          <t>2b</t>
        </is>
      </c>
      <c r="C60" s="259" t="inlineStr">
        <is>
          <t>Taxable amount not determined / total distr.</t>
        </is>
      </c>
      <c r="D60" s="262">
        <f>" - - - -"</f>
        <v/>
      </c>
      <c r="E60" s="262">
        <f>" - - - -"</f>
        <v/>
      </c>
      <c r="F60" s="262">
        <f>" - - - -"</f>
        <v/>
      </c>
      <c r="G60" s="1211" t="n"/>
      <c r="H60" s="1211" t="n"/>
      <c r="I60" s="1211" t="n"/>
      <c r="J60" s="847" t="inlineStr">
        <is>
          <t>If your pension or annuity is fully taxable, this spreadsheet will automatically</t>
        </is>
      </c>
      <c r="K60" s="1211" t="n"/>
      <c r="L60" s="1211" t="n"/>
      <c r="M60" s="1211" t="n"/>
      <c r="N60" s="1211" t="n"/>
      <c r="O60" s="1211" t="n"/>
      <c r="P60" s="1211" t="n"/>
      <c r="Q60" s="19" t="n"/>
      <c r="R60" s="66" t="n"/>
      <c r="S60" s="66" t="n"/>
      <c r="T60" s="66" t="n"/>
      <c r="U60" s="66" t="n"/>
      <c r="V60" s="66" t="n"/>
      <c r="W60" s="66" t="n"/>
      <c r="X60" s="66" t="n"/>
      <c r="Y60" s="66" t="n"/>
      <c r="Z60" s="1211" t="n"/>
      <c r="AA60" s="19" t="n"/>
      <c r="AB60" s="66" t="n"/>
      <c r="AC60" s="66" t="n"/>
      <c r="AD60" s="66" t="n"/>
      <c r="AE60" s="66" t="n"/>
      <c r="AF60" s="66" t="n"/>
      <c r="AG60" s="66" t="n"/>
      <c r="AH60" s="66" t="n"/>
      <c r="AI60" s="66" t="n"/>
      <c r="AJ60" s="1211" t="n"/>
      <c r="AK60" s="19" t="n"/>
      <c r="AL60" s="66" t="n"/>
      <c r="AM60" s="66" t="n"/>
      <c r="AN60" s="66" t="n"/>
      <c r="AO60" s="66" t="n"/>
      <c r="AP60" s="66" t="n"/>
      <c r="AQ60" s="66" t="n"/>
      <c r="AR60" s="66" t="n"/>
      <c r="AS60" s="66" t="n"/>
      <c r="AT60" s="66" t="n"/>
    </row>
    <row r="61" ht="13.5" customHeight="1" s="7635">
      <c r="A61" s="11602" t="n"/>
      <c r="B61" s="258" t="n">
        <v>3</v>
      </c>
      <c r="C61" s="259" t="inlineStr">
        <is>
          <t>Capital gain (not included in box 2a)</t>
        </is>
      </c>
      <c r="D61" s="1350">
        <f>SUM(M7,M34)</f>
        <v/>
      </c>
      <c r="E61" s="1350">
        <f>SUM(N7,N34)</f>
        <v/>
      </c>
      <c r="F61" s="1350">
        <f>SUM(O7,O34)</f>
        <v/>
      </c>
      <c r="G61" s="651" t="n"/>
      <c r="H61" s="1211" t="n"/>
      <c r="I61" s="25" t="n"/>
      <c r="J61" s="847" t="inlineStr">
        <is>
          <t>enter the total pension or annuity distributions (from Form(s) 1099-R, box 2a)</t>
        </is>
      </c>
      <c r="K61" s="628" t="n"/>
      <c r="L61" s="1211" t="n"/>
      <c r="M61" s="1211" t="n"/>
      <c r="N61" s="1546" t="n"/>
      <c r="O61" s="1546" t="n"/>
      <c r="P61" s="19" t="n"/>
      <c r="Q61" s="19" t="n"/>
      <c r="R61" s="66" t="n"/>
      <c r="S61" s="66" t="n"/>
      <c r="T61" s="66" t="n"/>
      <c r="U61" s="66" t="n"/>
      <c r="V61" s="66" t="n"/>
      <c r="W61" s="66" t="n"/>
      <c r="X61" s="66" t="n"/>
      <c r="Y61" s="66" t="n"/>
      <c r="Z61" s="19" t="n"/>
      <c r="AA61" s="19" t="n"/>
      <c r="AB61" s="66" t="n"/>
      <c r="AC61" s="66" t="n"/>
      <c r="AD61" s="66" t="n"/>
      <c r="AE61" s="66" t="n"/>
      <c r="AF61" s="66" t="n"/>
      <c r="AG61" s="66" t="n"/>
      <c r="AH61" s="66" t="n"/>
      <c r="AI61" s="66" t="n"/>
      <c r="AJ61" s="19" t="n"/>
      <c r="AK61" s="19" t="n"/>
      <c r="AL61" s="66" t="n"/>
      <c r="AM61" s="66" t="n"/>
      <c r="AN61" s="66" t="n"/>
      <c r="AO61" s="66" t="n"/>
      <c r="AP61" s="66" t="n"/>
      <c r="AQ61" s="66" t="n"/>
      <c r="AR61" s="66" t="n"/>
      <c r="AS61" s="66" t="n"/>
      <c r="AT61" s="66" t="n"/>
    </row>
    <row r="62" ht="13.5" customHeight="1" s="7635">
      <c r="A62" s="11602" t="n"/>
      <c r="B62" s="527" t="n">
        <v>4</v>
      </c>
      <c r="C62" s="525" t="inlineStr">
        <is>
          <t>Federal income tax withheld</t>
        </is>
      </c>
      <c r="D62" s="1547">
        <f>SUM(M8,M35)</f>
        <v/>
      </c>
      <c r="E62" s="1547">
        <f>SUM(N8,N35)</f>
        <v/>
      </c>
      <c r="F62" s="1547">
        <f>SUM(O8,O35)</f>
        <v/>
      </c>
      <c r="G62" s="650" t="inlineStr">
        <is>
          <t>1040, line 25b</t>
        </is>
      </c>
      <c r="H62" s="1211" t="n"/>
      <c r="I62" s="25" t="n"/>
      <c r="J62" s="847" t="inlineStr">
        <is>
          <t>on line 5b; do not make an entry on line 5a.</t>
        </is>
      </c>
      <c r="K62" s="1211" t="n"/>
      <c r="L62" s="1211" t="n"/>
      <c r="M62" s="1211" t="n"/>
      <c r="N62" s="1546" t="n"/>
      <c r="O62" s="1546" t="n"/>
      <c r="P62" s="19" t="n"/>
      <c r="Q62" s="19" t="n"/>
      <c r="R62" s="66" t="n"/>
      <c r="S62" s="66" t="n"/>
      <c r="T62" s="66" t="n"/>
      <c r="U62" s="66" t="n"/>
      <c r="V62" s="66" t="n"/>
      <c r="W62" s="66" t="n"/>
      <c r="X62" s="66" t="n"/>
      <c r="Y62" s="66" t="n"/>
      <c r="Z62" s="19" t="n"/>
      <c r="AA62" s="19" t="n"/>
      <c r="AB62" s="66" t="n"/>
      <c r="AC62" s="66" t="n"/>
      <c r="AD62" s="66" t="n"/>
      <c r="AE62" s="66" t="n"/>
      <c r="AF62" s="66" t="n"/>
      <c r="AG62" s="66" t="n"/>
      <c r="AH62" s="66" t="n"/>
      <c r="AI62" s="66" t="n"/>
      <c r="AJ62" s="19" t="n"/>
      <c r="AK62" s="19" t="n"/>
      <c r="AL62" s="66" t="n"/>
      <c r="AM62" s="66" t="n"/>
      <c r="AN62" s="66" t="n"/>
      <c r="AO62" s="66" t="n"/>
      <c r="AP62" s="66" t="n"/>
      <c r="AQ62" s="66" t="n"/>
      <c r="AR62" s="66" t="n"/>
      <c r="AS62" s="66" t="n"/>
      <c r="AT62" s="66" t="n"/>
    </row>
    <row r="63" ht="26.25" customHeight="1" s="7635">
      <c r="A63" s="11602" t="n"/>
      <c r="B63" s="260" t="n">
        <v>5</v>
      </c>
      <c r="C63" s="261" t="inlineStr">
        <is>
          <t>Employee contributions / Insurance premiums / 
Designated Roth IRA contributions</t>
        </is>
      </c>
      <c r="D63" s="1350">
        <f>SUM(M9,M36)</f>
        <v/>
      </c>
      <c r="E63" s="1350">
        <f>SUM(N9,N36)</f>
        <v/>
      </c>
      <c r="F63" s="1350">
        <f>SUM(O9,O36)</f>
        <v/>
      </c>
      <c r="G63" s="651" t="n"/>
      <c r="H63" s="60" t="n"/>
      <c r="I63" s="25" t="n"/>
      <c r="J63" s="578" t="n"/>
      <c r="K63" s="60" t="n"/>
      <c r="L63" s="60" t="n"/>
      <c r="M63" s="1211" t="n"/>
      <c r="N63" s="120" t="n"/>
      <c r="O63" s="120" t="n"/>
      <c r="P63" s="18" t="n"/>
      <c r="Q63" s="18" t="n"/>
      <c r="R63" s="26" t="n"/>
      <c r="S63" s="26" t="n"/>
      <c r="T63" s="26" t="n"/>
      <c r="U63" s="26" t="n"/>
      <c r="V63" s="26" t="n"/>
      <c r="W63" s="26" t="n"/>
      <c r="X63" s="26" t="n"/>
      <c r="Y63" s="26" t="n"/>
      <c r="Z63" s="18" t="n"/>
      <c r="AA63" s="18" t="n"/>
      <c r="AB63" s="26" t="n"/>
      <c r="AC63" s="26" t="n"/>
      <c r="AD63" s="26" t="n"/>
      <c r="AE63" s="26" t="n"/>
      <c r="AF63" s="26" t="n"/>
      <c r="AG63" s="26" t="n"/>
      <c r="AH63" s="26" t="n"/>
      <c r="AI63" s="26" t="n"/>
      <c r="AJ63" s="18" t="n"/>
      <c r="AK63" s="18" t="n"/>
      <c r="AL63" s="26" t="n"/>
      <c r="AM63" s="26" t="n"/>
      <c r="AN63" s="26" t="n"/>
      <c r="AO63" s="26" t="n"/>
      <c r="AP63" s="26" t="n"/>
      <c r="AQ63" s="26" t="n"/>
      <c r="AR63" s="26" t="n"/>
      <c r="AS63" s="26" t="n"/>
      <c r="AT63" s="26" t="n"/>
    </row>
    <row r="64">
      <c r="A64" s="11602" t="n"/>
      <c r="B64" s="258" t="n">
        <v>6</v>
      </c>
      <c r="C64" s="259" t="inlineStr">
        <is>
          <t>Net unrealized appreciation in employer's securities</t>
        </is>
      </c>
      <c r="D64" s="1350">
        <f>SUM(M10,M37)</f>
        <v/>
      </c>
      <c r="E64" s="1350">
        <f>SUM(N10,N37)</f>
        <v/>
      </c>
      <c r="F64" s="1350">
        <f>SUM(O10,O37)</f>
        <v/>
      </c>
      <c r="G64" s="652" t="n"/>
      <c r="H64" s="60" t="n"/>
      <c r="I64" s="25" t="n"/>
      <c r="J64" s="847" t="inlineStr">
        <is>
          <t>If your Form 1099-R doesn't show the taxable amount, you must use</t>
        </is>
      </c>
      <c r="K64" s="60" t="n"/>
      <c r="L64" s="60" t="n"/>
      <c r="M64" s="1211" t="n"/>
      <c r="N64" s="653" t="n"/>
      <c r="O64" s="653" t="n"/>
      <c r="P64" s="11" t="n"/>
      <c r="Q64" s="18" t="n"/>
      <c r="R64" s="26" t="n"/>
      <c r="S64" s="26" t="n"/>
      <c r="T64" s="26" t="n"/>
      <c r="U64" s="26" t="n"/>
      <c r="V64" s="26" t="n"/>
      <c r="W64" s="26" t="n"/>
      <c r="X64" s="26" t="n"/>
      <c r="Y64" s="26" t="n"/>
      <c r="Z64" s="11" t="n"/>
      <c r="AA64" s="18" t="n"/>
      <c r="AB64" s="26" t="n"/>
      <c r="AC64" s="26" t="n"/>
      <c r="AD64" s="26" t="n"/>
      <c r="AE64" s="26" t="n"/>
      <c r="AF64" s="26" t="n"/>
      <c r="AG64" s="26" t="n"/>
      <c r="AH64" s="26" t="n"/>
      <c r="AI64" s="26" t="n"/>
      <c r="AJ64" s="11" t="n"/>
      <c r="AK64" s="18" t="n"/>
      <c r="AL64" s="26" t="n"/>
      <c r="AM64" s="26" t="n"/>
      <c r="AN64" s="26" t="n"/>
      <c r="AO64" s="26" t="n"/>
      <c r="AP64" s="26" t="n"/>
      <c r="AQ64" s="26" t="n"/>
      <c r="AR64" s="26" t="n"/>
      <c r="AS64" s="26" t="n"/>
      <c r="AT64" s="26" t="n"/>
    </row>
    <row r="65">
      <c r="A65" s="11602" t="n"/>
      <c r="B65" s="258" t="n">
        <v>7</v>
      </c>
      <c r="C65" s="259" t="inlineStr">
        <is>
          <t>Distribution code(s) (Portion of line 2a w/Code D)</t>
        </is>
      </c>
      <c r="D65" s="262">
        <f>" - - - -"</f>
        <v/>
      </c>
      <c r="E65" s="1547">
        <f>SUM(N26,N53)</f>
        <v/>
      </c>
      <c r="F65" s="262">
        <f>" - - - -"</f>
        <v/>
      </c>
      <c r="G65" s="748" t="inlineStr">
        <is>
          <t>Form 8960, Line 3 (for Dist. Code 'D' only)</t>
        </is>
      </c>
      <c r="H65" s="60" t="n"/>
      <c r="I65" s="25" t="n"/>
      <c r="J65" s="847" t="inlineStr">
        <is>
          <t>the General Rule explained in Pub. 939 to figure the taxable part to enter on</t>
        </is>
      </c>
      <c r="K65" s="60" t="n"/>
      <c r="L65" s="60" t="n"/>
      <c r="M65" s="1211" t="n"/>
      <c r="N65" s="120" t="n"/>
      <c r="O65" s="120" t="n"/>
      <c r="P65" s="18" t="n"/>
      <c r="Q65" s="18" t="n"/>
      <c r="R65" s="26" t="n"/>
      <c r="S65" s="26" t="n"/>
      <c r="T65" s="26" t="n"/>
      <c r="U65" s="26" t="n"/>
      <c r="V65" s="26" t="n"/>
      <c r="W65" s="26" t="n"/>
      <c r="X65" s="26" t="n"/>
      <c r="Y65" s="26" t="n"/>
      <c r="Z65" s="18" t="n"/>
      <c r="AA65" s="18" t="n"/>
      <c r="AB65" s="26" t="n"/>
      <c r="AC65" s="26" t="n"/>
      <c r="AD65" s="26" t="n"/>
      <c r="AE65" s="26" t="n"/>
      <c r="AF65" s="26" t="n"/>
      <c r="AG65" s="26" t="n"/>
      <c r="AH65" s="26" t="n"/>
      <c r="AI65" s="26" t="n"/>
      <c r="AJ65" s="18" t="n"/>
      <c r="AK65" s="18" t="n"/>
      <c r="AL65" s="26" t="n"/>
      <c r="AM65" s="26" t="n"/>
      <c r="AN65" s="26" t="n"/>
      <c r="AO65" s="26" t="n"/>
      <c r="AP65" s="26" t="n"/>
      <c r="AQ65" s="26" t="n"/>
      <c r="AR65" s="26" t="n"/>
      <c r="AS65" s="26" t="n"/>
      <c r="AT65" s="26" t="n"/>
    </row>
    <row r="66">
      <c r="A66" s="11602" t="n"/>
      <c r="B66" s="258" t="n">
        <v>8</v>
      </c>
      <c r="C66" s="259" t="inlineStr">
        <is>
          <t>Other</t>
        </is>
      </c>
      <c r="D66" s="262">
        <f>" - - - -"</f>
        <v/>
      </c>
      <c r="E66" s="262">
        <f>" - - - -"</f>
        <v/>
      </c>
      <c r="F66" s="262">
        <f>" - - - -"</f>
        <v/>
      </c>
      <c r="G66" s="748" t="n"/>
      <c r="H66" s="60" t="n"/>
      <c r="I66" s="25" t="n"/>
      <c r="J66" s="847" t="inlineStr">
        <is>
          <t>line 4b. But if your annuity starting date was after July 1, 1986,</t>
        </is>
      </c>
      <c r="K66" s="60" t="n"/>
      <c r="L66" s="60" t="n"/>
      <c r="M66" s="1211" t="n"/>
      <c r="N66" s="120" t="n"/>
      <c r="O66" s="120" t="n"/>
      <c r="P66" s="18" t="n"/>
      <c r="Q66" s="18" t="n"/>
      <c r="R66" s="26" t="n"/>
      <c r="S66" s="26" t="n"/>
      <c r="T66" s="26" t="n"/>
      <c r="U66" s="26" t="n"/>
      <c r="V66" s="26" t="n"/>
      <c r="W66" s="26" t="n"/>
      <c r="X66" s="26" t="n"/>
      <c r="Y66" s="26" t="n"/>
      <c r="Z66" s="18" t="n"/>
      <c r="AA66" s="18" t="n"/>
      <c r="AB66" s="26" t="n"/>
      <c r="AC66" s="26" t="n"/>
      <c r="AD66" s="26" t="n"/>
      <c r="AE66" s="26" t="n"/>
      <c r="AF66" s="26" t="n"/>
      <c r="AG66" s="26" t="n"/>
      <c r="AH66" s="26" t="n"/>
      <c r="AI66" s="26" t="n"/>
      <c r="AJ66" s="18" t="n"/>
      <c r="AK66" s="18" t="n"/>
      <c r="AL66" s="26" t="n"/>
      <c r="AM66" s="26" t="n"/>
      <c r="AN66" s="26" t="n"/>
      <c r="AO66" s="26" t="n"/>
      <c r="AP66" s="26" t="n"/>
      <c r="AQ66" s="26" t="n"/>
      <c r="AR66" s="26" t="n"/>
      <c r="AS66" s="26" t="n"/>
      <c r="AT66" s="26" t="n"/>
    </row>
    <row r="67">
      <c r="A67" s="11602" t="n"/>
      <c r="B67" s="258" t="inlineStr">
        <is>
          <t>9a</t>
        </is>
      </c>
      <c r="C67" s="259" t="inlineStr">
        <is>
          <t>Your percentage of total distribution</t>
        </is>
      </c>
      <c r="D67" s="11895">
        <f>SUM(M13,M40)</f>
        <v/>
      </c>
      <c r="E67" s="11895">
        <f>SUM(N13,N40)</f>
        <v/>
      </c>
      <c r="F67" s="11895">
        <f>SUM(O13,O40)</f>
        <v/>
      </c>
      <c r="G67" s="648" t="n"/>
      <c r="H67" s="60" t="n"/>
      <c r="I67" s="25" t="n"/>
      <c r="J67" s="847" t="inlineStr">
        <is>
          <t xml:space="preserve">see Simplified Method, sheet "Lines 5ab (Simplified Meth WS)", to find out if you </t>
        </is>
      </c>
      <c r="K67" s="60" t="n"/>
      <c r="L67" s="60" t="n"/>
      <c r="M67" s="1211" t="n"/>
      <c r="N67" s="120" t="n"/>
      <c r="O67" s="120" t="n"/>
      <c r="P67" s="18" t="n"/>
      <c r="Q67" s="18" t="n"/>
      <c r="R67" s="26" t="n"/>
      <c r="S67" s="26" t="n"/>
      <c r="T67" s="26" t="n"/>
      <c r="U67" s="26" t="n"/>
      <c r="V67" s="26" t="n"/>
      <c r="W67" s="26" t="n"/>
      <c r="X67" s="26" t="n"/>
      <c r="Y67" s="26" t="n"/>
      <c r="Z67" s="18" t="n"/>
      <c r="AA67" s="18" t="n"/>
      <c r="AB67" s="26" t="n"/>
      <c r="AC67" s="26" t="n"/>
      <c r="AD67" s="26" t="n"/>
      <c r="AE67" s="26" t="n"/>
      <c r="AF67" s="26" t="n"/>
      <c r="AG67" s="26" t="n"/>
      <c r="AH67" s="26" t="n"/>
      <c r="AI67" s="26" t="n"/>
      <c r="AJ67" s="18" t="n"/>
      <c r="AK67" s="18" t="n"/>
      <c r="AL67" s="26" t="n"/>
      <c r="AM67" s="26" t="n"/>
      <c r="AN67" s="26" t="n"/>
      <c r="AO67" s="26" t="n"/>
      <c r="AP67" s="26" t="n"/>
      <c r="AQ67" s="26" t="n"/>
      <c r="AR67" s="26" t="n"/>
      <c r="AS67" s="26" t="n"/>
      <c r="AT67" s="26" t="n"/>
    </row>
    <row r="68">
      <c r="A68" s="11602" t="n"/>
      <c r="B68" s="258" t="inlineStr">
        <is>
          <t>9b</t>
        </is>
      </c>
      <c r="C68" s="259" t="inlineStr">
        <is>
          <t>Total employee contributions</t>
        </is>
      </c>
      <c r="D68" s="1350">
        <f>SUM(M14,M41)</f>
        <v/>
      </c>
      <c r="E68" s="1350">
        <f>SUM(N14,N41)</f>
        <v/>
      </c>
      <c r="F68" s="1350">
        <f>SUM(O14,O41)</f>
        <v/>
      </c>
      <c r="G68" s="648" t="n"/>
      <c r="H68" s="60" t="n"/>
      <c r="I68" s="25" t="n"/>
      <c r="J68" s="847" t="inlineStr">
        <is>
          <t>must use that method to figure the taxable part.  You can ask the IRS to figure the</t>
        </is>
      </c>
      <c r="K68" s="60" t="n"/>
      <c r="L68" s="60" t="n"/>
      <c r="M68" s="1211" t="n"/>
      <c r="N68" s="120" t="n"/>
      <c r="O68" s="120" t="n"/>
      <c r="P68" s="18" t="n"/>
      <c r="Q68" s="18" t="n"/>
      <c r="R68" s="26" t="n"/>
      <c r="S68" s="26" t="n"/>
      <c r="T68" s="26" t="n"/>
      <c r="U68" s="26" t="n"/>
      <c r="V68" s="26" t="n"/>
      <c r="W68" s="26" t="n"/>
      <c r="X68" s="26" t="n"/>
      <c r="Y68" s="26" t="n"/>
      <c r="Z68" s="18" t="n"/>
      <c r="AA68" s="18" t="n"/>
      <c r="AB68" s="26" t="n"/>
      <c r="AC68" s="26" t="n"/>
      <c r="AD68" s="26" t="n"/>
      <c r="AE68" s="26" t="n"/>
      <c r="AF68" s="26" t="n"/>
      <c r="AG68" s="26" t="n"/>
      <c r="AH68" s="26" t="n"/>
      <c r="AI68" s="26" t="n"/>
      <c r="AJ68" s="18" t="n"/>
      <c r="AK68" s="18" t="n"/>
      <c r="AL68" s="26" t="n"/>
      <c r="AM68" s="26" t="n"/>
      <c r="AN68" s="26" t="n"/>
      <c r="AO68" s="26" t="n"/>
      <c r="AP68" s="26" t="n"/>
      <c r="AQ68" s="26" t="n"/>
      <c r="AR68" s="26" t="n"/>
      <c r="AS68" s="26" t="n"/>
      <c r="AT68" s="26" t="n"/>
    </row>
    <row r="69">
      <c r="A69" s="11602" t="n"/>
      <c r="B69" s="258" t="n">
        <v>10</v>
      </c>
      <c r="C69" s="259" t="inlineStr">
        <is>
          <t>Amount allocable to IRR within 5 years</t>
        </is>
      </c>
      <c r="D69" s="1350">
        <f>SUM(M15,M42)</f>
        <v/>
      </c>
      <c r="E69" s="1350">
        <f>SUM(N15,N42)</f>
        <v/>
      </c>
      <c r="F69" s="1350">
        <f>SUM(O15,O42)</f>
        <v/>
      </c>
      <c r="G69" s="60" t="n"/>
      <c r="H69" s="1211" t="n"/>
      <c r="I69" s="25" t="n"/>
      <c r="J69" s="847" t="inlineStr">
        <is>
          <t>taxable part for you for a $1,000 fee. For details, see Pub. 939.</t>
        </is>
      </c>
      <c r="K69" s="1211" t="n"/>
      <c r="L69" s="1211" t="n"/>
      <c r="M69" s="1211" t="n"/>
      <c r="N69" s="1546" t="n"/>
      <c r="O69" s="1546" t="n"/>
      <c r="P69" s="19" t="n"/>
      <c r="Z69" s="19" t="n"/>
      <c r="AJ69" s="19" t="n"/>
    </row>
    <row r="70">
      <c r="A70" s="11602" t="n"/>
      <c r="B70" s="258" t="n">
        <v>11</v>
      </c>
      <c r="C70" s="259" t="inlineStr">
        <is>
          <t>1st year of desig. Roth contrib.</t>
        </is>
      </c>
      <c r="D70" s="1350">
        <f>SUM(M16,M43)</f>
        <v/>
      </c>
      <c r="E70" s="1350">
        <f>SUM(N16,N43)</f>
        <v/>
      </c>
      <c r="F70" s="1350">
        <f>SUM(O16,O43)</f>
        <v/>
      </c>
      <c r="G70" s="60" t="n"/>
      <c r="H70" s="1211" t="n"/>
      <c r="I70" s="25" t="n"/>
      <c r="J70" s="578" t="n"/>
      <c r="K70" s="1211" t="n"/>
      <c r="L70" s="1211" t="n"/>
      <c r="M70" s="1211" t="n"/>
      <c r="N70" s="1546" t="n"/>
      <c r="O70" s="1546" t="n"/>
      <c r="P70" s="19" t="n"/>
      <c r="Z70" s="19" t="n"/>
      <c r="AJ70" s="19" t="n"/>
    </row>
    <row r="71">
      <c r="A71" s="11602" t="n"/>
      <c r="B71" s="258" t="n">
        <v>12</v>
      </c>
      <c r="C71" s="259" t="inlineStr">
        <is>
          <t>FATCA filing requirement</t>
        </is>
      </c>
      <c r="D71" s="262">
        <f>" - - - -"</f>
        <v/>
      </c>
      <c r="E71" s="262">
        <f>" - - - -"</f>
        <v/>
      </c>
      <c r="F71" s="262">
        <f>" - - - -"</f>
        <v/>
      </c>
      <c r="G71" s="60" t="n"/>
      <c r="H71" s="1211" t="n"/>
      <c r="I71" s="25" t="n"/>
      <c r="J71" s="578" t="n"/>
      <c r="K71" s="1211" t="n"/>
      <c r="L71" s="1211" t="n"/>
      <c r="M71" s="1211" t="n"/>
      <c r="N71" s="1546" t="n"/>
      <c r="O71" s="1546" t="n"/>
      <c r="P71" s="19" t="n"/>
      <c r="Z71" s="19" t="n"/>
      <c r="AJ71" s="19" t="n"/>
    </row>
    <row r="72">
      <c r="A72" s="11602" t="n"/>
      <c r="B72" s="258" t="n">
        <v>13</v>
      </c>
      <c r="C72" s="259" t="inlineStr">
        <is>
          <t>Date of Payment</t>
        </is>
      </c>
      <c r="D72" s="262">
        <f>" - - - -"</f>
        <v/>
      </c>
      <c r="E72" s="262">
        <f>" - - - -"</f>
        <v/>
      </c>
      <c r="F72" s="262">
        <f>" - - - -"</f>
        <v/>
      </c>
      <c r="G72" s="60" t="n"/>
      <c r="H72" s="1211" t="n"/>
      <c r="I72" s="25" t="n"/>
      <c r="J72" s="578" t="n"/>
      <c r="K72" s="1211" t="n"/>
      <c r="L72" s="1211" t="n"/>
      <c r="M72" s="1211" t="n"/>
      <c r="N72" s="1546" t="n"/>
      <c r="O72" s="1546" t="n"/>
      <c r="P72" s="19" t="n"/>
      <c r="Z72" s="19" t="n"/>
      <c r="AJ72" s="19" t="n"/>
    </row>
    <row r="73">
      <c r="A73" s="11602" t="n"/>
      <c r="B73" s="527" t="n">
        <v>14</v>
      </c>
      <c r="C73" s="525" t="inlineStr">
        <is>
          <t>State tax withheld</t>
        </is>
      </c>
      <c r="D73" s="1547">
        <f>SUM(M19,M46)</f>
        <v/>
      </c>
      <c r="E73" s="1547">
        <f>SUM(N19,N46)</f>
        <v/>
      </c>
      <c r="F73" s="1547">
        <f>SUM(O19,O46)</f>
        <v/>
      </c>
      <c r="G73" s="650" t="inlineStr">
        <is>
          <t>Sch. A, Line 5a</t>
        </is>
      </c>
      <c r="H73" s="60" t="n"/>
      <c r="I73" s="25" t="n"/>
      <c r="J73" s="847" t="inlineStr">
        <is>
          <t>The sheet labeled "Line 5ab (Simplified Meth WS)" is a stand-alone worksheet that</t>
        </is>
      </c>
      <c r="K73" s="60" t="n"/>
      <c r="L73" s="60" t="n"/>
      <c r="M73" s="1211" t="n"/>
      <c r="N73" s="120" t="n"/>
      <c r="O73" s="120" t="n"/>
      <c r="P73" s="18" t="n"/>
      <c r="Q73" s="18" t="n"/>
      <c r="R73" s="26" t="n"/>
      <c r="S73" s="26" t="n"/>
      <c r="T73" s="26" t="n"/>
      <c r="U73" s="26" t="n"/>
      <c r="V73" s="26" t="n"/>
      <c r="W73" s="26" t="n"/>
      <c r="X73" s="26" t="n"/>
      <c r="Y73" s="26" t="n"/>
      <c r="Z73" s="18" t="n"/>
      <c r="AA73" s="18" t="n"/>
      <c r="AB73" s="26" t="n"/>
      <c r="AC73" s="26" t="n"/>
      <c r="AD73" s="26" t="n"/>
      <c r="AE73" s="26" t="n"/>
      <c r="AF73" s="26" t="n"/>
      <c r="AG73" s="26" t="n"/>
      <c r="AH73" s="26" t="n"/>
      <c r="AI73" s="26" t="n"/>
      <c r="AJ73" s="18" t="n"/>
      <c r="AK73" s="18" t="n"/>
      <c r="AL73" s="26" t="n"/>
      <c r="AM73" s="26" t="n"/>
      <c r="AN73" s="26" t="n"/>
      <c r="AO73" s="26" t="n"/>
      <c r="AP73" s="26" t="n"/>
      <c r="AQ73" s="26" t="n"/>
      <c r="AR73" s="26" t="n"/>
      <c r="AS73" s="26" t="n"/>
      <c r="AT73" s="26" t="n"/>
    </row>
    <row r="74">
      <c r="A74" s="11602" t="n"/>
      <c r="B74" s="258" t="n">
        <v>15</v>
      </c>
      <c r="C74" s="259" t="inlineStr">
        <is>
          <t>State/payer's state no.</t>
        </is>
      </c>
      <c r="D74" s="262">
        <f>" - - - -"</f>
        <v/>
      </c>
      <c r="E74" s="262">
        <f>" - - - -"</f>
        <v/>
      </c>
      <c r="F74" s="262">
        <f>" - - - -"</f>
        <v/>
      </c>
      <c r="G74" s="648" t="n"/>
      <c r="H74" s="60" t="n"/>
      <c r="I74" s="25" t="n"/>
      <c r="J74" s="847" t="inlineStr">
        <is>
          <t>is used to calculate the taxable amount of a pension or annuity that is not fully taxable.</t>
        </is>
      </c>
      <c r="K74" s="60" t="n"/>
      <c r="L74" s="60" t="n"/>
      <c r="M74" s="1211" t="n"/>
      <c r="N74" s="120" t="n"/>
      <c r="O74" s="120" t="n"/>
      <c r="P74" s="18" t="n"/>
      <c r="Q74" s="18" t="n"/>
      <c r="R74" s="26" t="n"/>
      <c r="S74" s="26" t="n"/>
      <c r="T74" s="26" t="n"/>
      <c r="U74" s="26" t="n"/>
      <c r="V74" s="26" t="n"/>
      <c r="W74" s="26" t="n"/>
      <c r="X74" s="26" t="n"/>
      <c r="Y74" s="26" t="n"/>
      <c r="Z74" s="18" t="n"/>
      <c r="AA74" s="18" t="n"/>
      <c r="AB74" s="26" t="n"/>
      <c r="AC74" s="26" t="n"/>
      <c r="AD74" s="26" t="n"/>
      <c r="AE74" s="26" t="n"/>
      <c r="AF74" s="26" t="n"/>
      <c r="AG74" s="26" t="n"/>
      <c r="AH74" s="26" t="n"/>
      <c r="AI74" s="26" t="n"/>
      <c r="AJ74" s="18" t="n"/>
      <c r="AK74" s="18" t="n"/>
      <c r="AL74" s="26" t="n"/>
      <c r="AM74" s="26" t="n"/>
      <c r="AN74" s="26" t="n"/>
      <c r="AO74" s="26" t="n"/>
      <c r="AP74" s="26" t="n"/>
      <c r="AQ74" s="26" t="n"/>
      <c r="AR74" s="26" t="n"/>
      <c r="AS74" s="26" t="n"/>
      <c r="AT74" s="26" t="n"/>
    </row>
    <row r="75">
      <c r="A75" s="11602" t="n"/>
      <c r="B75" s="258" t="n">
        <v>16</v>
      </c>
      <c r="C75" s="259" t="inlineStr">
        <is>
          <t>State distribution</t>
        </is>
      </c>
      <c r="D75" s="1350">
        <f>SUM(M21,M48)</f>
        <v/>
      </c>
      <c r="E75" s="1350">
        <f>SUM(N21,N48)</f>
        <v/>
      </c>
      <c r="F75" s="1350">
        <f>SUM(O21,O48)</f>
        <v/>
      </c>
      <c r="G75" s="648" t="n"/>
      <c r="H75" s="60" t="n"/>
      <c r="I75" s="25" t="n"/>
      <c r="J75" s="1528" t="n"/>
      <c r="K75" s="60" t="n"/>
      <c r="L75" s="60" t="n"/>
      <c r="M75" s="18" t="n"/>
      <c r="N75" s="120" t="n"/>
      <c r="O75" s="120" t="n"/>
      <c r="P75" s="18" t="n"/>
      <c r="Q75" s="18" t="n"/>
      <c r="R75" s="26" t="n"/>
      <c r="S75" s="26" t="n"/>
      <c r="T75" s="26" t="n"/>
      <c r="U75" s="26" t="n"/>
      <c r="V75" s="26" t="n"/>
      <c r="W75" s="26" t="n"/>
      <c r="X75" s="26" t="n"/>
      <c r="Y75" s="26" t="n"/>
      <c r="Z75" s="18" t="n"/>
      <c r="AA75" s="18" t="n"/>
      <c r="AB75" s="26" t="n"/>
      <c r="AC75" s="26" t="n"/>
      <c r="AD75" s="26" t="n"/>
      <c r="AE75" s="26" t="n"/>
      <c r="AF75" s="26" t="n"/>
      <c r="AG75" s="26" t="n"/>
      <c r="AH75" s="26" t="n"/>
      <c r="AI75" s="26" t="n"/>
      <c r="AJ75" s="18" t="n"/>
      <c r="AK75" s="18" t="n"/>
      <c r="AL75" s="26" t="n"/>
      <c r="AM75" s="26" t="n"/>
      <c r="AN75" s="26" t="n"/>
      <c r="AO75" s="26" t="n"/>
      <c r="AP75" s="26" t="n"/>
      <c r="AQ75" s="26" t="n"/>
      <c r="AR75" s="26" t="n"/>
      <c r="AS75" s="26" t="n"/>
      <c r="AT75" s="26" t="n"/>
    </row>
    <row r="76">
      <c r="A76" s="11602" t="n"/>
      <c r="B76" s="527" t="n">
        <v>17</v>
      </c>
      <c r="C76" s="525" t="inlineStr">
        <is>
          <t>Local tax withheld</t>
        </is>
      </c>
      <c r="D76" s="1547">
        <f>SUM(M22,M49)</f>
        <v/>
      </c>
      <c r="E76" s="1547">
        <f>SUM(N22,N49)</f>
        <v/>
      </c>
      <c r="F76" s="1547">
        <f>SUM(O22,O49)</f>
        <v/>
      </c>
      <c r="G76" s="650" t="inlineStr">
        <is>
          <t>Sch. A, Line 5a</t>
        </is>
      </c>
      <c r="H76" s="60" t="n"/>
      <c r="I76" s="25" t="n"/>
      <c r="J76" s="1528" t="n"/>
      <c r="K76" s="60" t="n"/>
      <c r="L76" s="60" t="n"/>
      <c r="M76" s="18" t="n"/>
      <c r="N76" s="120" t="n"/>
      <c r="O76" s="120" t="n"/>
      <c r="P76" s="18" t="n"/>
      <c r="Q76" s="18" t="n"/>
      <c r="R76" s="26" t="n"/>
      <c r="S76" s="26" t="n"/>
      <c r="T76" s="26" t="n"/>
      <c r="U76" s="26" t="n"/>
      <c r="V76" s="26" t="n"/>
      <c r="W76" s="26" t="n"/>
      <c r="X76" s="26" t="n"/>
      <c r="Y76" s="26" t="n"/>
      <c r="Z76" s="18" t="n"/>
      <c r="AA76" s="18" t="n"/>
      <c r="AB76" s="26" t="n"/>
      <c r="AC76" s="26" t="n"/>
      <c r="AD76" s="26" t="n"/>
      <c r="AE76" s="26" t="n"/>
      <c r="AF76" s="26" t="n"/>
      <c r="AG76" s="26" t="n"/>
      <c r="AH76" s="26" t="n"/>
      <c r="AI76" s="26" t="n"/>
      <c r="AJ76" s="18" t="n"/>
      <c r="AK76" s="18" t="n"/>
      <c r="AL76" s="26" t="n"/>
      <c r="AM76" s="26" t="n"/>
      <c r="AN76" s="26" t="n"/>
      <c r="AO76" s="26" t="n"/>
      <c r="AP76" s="26" t="n"/>
      <c r="AQ76" s="26" t="n"/>
      <c r="AR76" s="26" t="n"/>
      <c r="AS76" s="26" t="n"/>
      <c r="AT76" s="26" t="n"/>
    </row>
    <row r="77">
      <c r="A77" s="11602" t="n"/>
      <c r="B77" s="258" t="n">
        <v>18</v>
      </c>
      <c r="C77" s="1146" t="inlineStr">
        <is>
          <t>Portion of state and local taxes w/Code D</t>
        </is>
      </c>
      <c r="D77" s="1351">
        <f>" - - - -"</f>
        <v/>
      </c>
      <c r="E77" s="1352">
        <f>ROUND(SUM(N27,N54),0)</f>
        <v/>
      </c>
      <c r="F77" s="1352">
        <f>ROUND(SUM(O27,O54),0)</f>
        <v/>
      </c>
      <c r="G77" s="748" t="n"/>
      <c r="H77" s="60" t="n"/>
      <c r="I77" s="25" t="n"/>
      <c r="J77" s="1528" t="n"/>
      <c r="K77" s="60" t="n"/>
      <c r="L77" s="60" t="n"/>
      <c r="M77" s="18" t="n"/>
      <c r="N77" s="120" t="n"/>
      <c r="O77" s="120" t="n"/>
      <c r="P77" s="18" t="n"/>
      <c r="Q77" s="18" t="n"/>
      <c r="R77" s="26" t="n"/>
      <c r="S77" s="26" t="n"/>
      <c r="T77" s="26" t="n"/>
      <c r="U77" s="26" t="n"/>
      <c r="V77" s="26" t="n"/>
      <c r="W77" s="26" t="n"/>
      <c r="X77" s="26" t="n"/>
      <c r="Y77" s="26" t="n"/>
      <c r="Z77" s="18" t="n"/>
      <c r="AA77" s="18" t="n"/>
      <c r="AB77" s="26" t="n"/>
      <c r="AC77" s="26" t="n"/>
      <c r="AD77" s="26" t="n"/>
      <c r="AE77" s="26" t="n"/>
      <c r="AF77" s="26" t="n"/>
      <c r="AG77" s="26" t="n"/>
      <c r="AH77" s="26" t="n"/>
      <c r="AI77" s="26" t="n"/>
      <c r="AJ77" s="18" t="n"/>
      <c r="AK77" s="18" t="n"/>
      <c r="AL77" s="26" t="n"/>
      <c r="AM77" s="26" t="n"/>
      <c r="AN77" s="26" t="n"/>
      <c r="AO77" s="26" t="n"/>
      <c r="AP77" s="26" t="n"/>
      <c r="AQ77" s="26" t="n"/>
      <c r="AR77" s="26" t="n"/>
      <c r="AS77" s="26" t="n"/>
      <c r="AT77" s="26" t="n"/>
    </row>
    <row r="78" ht="13.5" customHeight="1" s="7635" thickBot="1">
      <c r="A78" s="11602" t="n"/>
      <c r="B78" s="263" t="n">
        <v>19</v>
      </c>
      <c r="C78" s="649" t="inlineStr">
        <is>
          <t>Local distribution</t>
        </is>
      </c>
      <c r="D78" s="1353">
        <f>SUM(M24,M51)</f>
        <v/>
      </c>
      <c r="E78" s="1353">
        <f>SUM(N24,N51)</f>
        <v/>
      </c>
      <c r="F78" s="1353">
        <f>SUM(O24,O51)</f>
        <v/>
      </c>
      <c r="G78" s="648" t="n"/>
      <c r="H78" s="60" t="n"/>
      <c r="I78" s="25" t="n"/>
      <c r="J78" s="1211" t="n"/>
      <c r="K78" s="60" t="n"/>
      <c r="L78" s="60" t="n"/>
      <c r="M78" s="18" t="n"/>
      <c r="N78" s="120" t="n"/>
      <c r="O78" s="120" t="n"/>
      <c r="P78" s="18" t="n"/>
      <c r="Q78" s="18" t="n"/>
      <c r="R78" s="26" t="n"/>
      <c r="S78" s="26" t="n"/>
      <c r="T78" s="26" t="n"/>
      <c r="U78" s="26" t="n"/>
      <c r="V78" s="26" t="n"/>
      <c r="W78" s="26" t="n"/>
      <c r="X78" s="26" t="n"/>
      <c r="Y78" s="26" t="n"/>
      <c r="Z78" s="18" t="n"/>
      <c r="AA78" s="18" t="n"/>
      <c r="AB78" s="26" t="n"/>
      <c r="AC78" s="26" t="n"/>
      <c r="AD78" s="26" t="n"/>
      <c r="AE78" s="26" t="n"/>
      <c r="AF78" s="26" t="n"/>
      <c r="AG78" s="26" t="n"/>
      <c r="AH78" s="26" t="n"/>
      <c r="AI78" s="26" t="n"/>
      <c r="AJ78" s="18" t="n"/>
      <c r="AK78" s="18" t="n"/>
      <c r="AL78" s="26" t="n"/>
      <c r="AM78" s="26" t="n"/>
      <c r="AN78" s="26" t="n"/>
      <c r="AO78" s="26" t="n"/>
      <c r="AP78" s="26" t="n"/>
      <c r="AQ78" s="26" t="n"/>
      <c r="AR78" s="26" t="n"/>
      <c r="AS78" s="26" t="n"/>
      <c r="AT78" s="26" t="n"/>
    </row>
    <row r="79">
      <c r="A79" s="11602" t="n"/>
      <c r="B79" s="746" t="inlineStr">
        <is>
          <t xml:space="preserve">  Only bolded amounts are used in this spreadsheet.</t>
        </is>
      </c>
      <c r="C79" s="11602" t="n"/>
      <c r="D79" s="11602" t="n"/>
      <c r="E79" s="11602" t="n"/>
      <c r="F79" s="11602" t="n"/>
      <c r="G79" s="11602" t="n"/>
      <c r="H79" s="11602" t="n"/>
      <c r="I79" s="11602" t="n"/>
      <c r="J79" s="11602" t="n"/>
      <c r="K79" s="11602" t="n"/>
      <c r="L79" s="11602" t="n"/>
      <c r="M79" s="11602" t="n"/>
      <c r="N79" s="11602" t="n"/>
      <c r="O79" s="11602" t="n"/>
      <c r="P79" s="11602" t="n"/>
      <c r="Z79" s="11602" t="n"/>
      <c r="AJ79" s="11602" t="n"/>
    </row>
    <row r="82">
      <c r="H82" s="9160" t="n"/>
    </row>
    <row r="84" ht="13.5" customHeight="1" s="7635" thickBot="1"/>
    <row r="85">
      <c r="C85" s="1006" t="n"/>
    </row>
    <row r="86">
      <c r="C86" s="1005" t="inlineStr">
        <is>
          <t>Table of Contents</t>
        </is>
      </c>
    </row>
    <row r="87" ht="13.5" customHeight="1" s="7635" thickBot="1">
      <c r="C87" s="1007" t="n"/>
    </row>
  </sheetData>
  <sheetProtection selectLockedCells="0" selectUnlockedCells="0" algorithmName="SHA-512" sheet="1" objects="0" insertRows="1" insertHyperlinks="1" autoFilter="1" scenarios="0" formatColumns="0" deleteColumns="1" insertColumns="1" pivotTables="1" deleteRows="1" formatCells="1" saltValue="rnGMnrbUKFYDoxI3ZEVkAw==" formatRows="1" sort="1" spinCount="100000" hashValue="d/hXfzzdWOZYVe9c4aX5f5wvvvfyB2rWTHNw7c1Ax+LO5OZV50a85Jy9/Y1weBtiKSCvjLdp+k2X55wL2KU17w=="/>
  <conditionalFormatting sqref="D2:L24">
    <cfRule type="expression" priority="8" dxfId="121">
      <formula>IF(NoColor,1,0)</formula>
    </cfRule>
  </conditionalFormatting>
  <conditionalFormatting sqref="D29:L51">
    <cfRule type="expression" priority="1" dxfId="121">
      <formula>IF(NoColor,1,0)</formula>
    </cfRule>
  </conditionalFormatting>
  <hyperlinks>
    <hyperlink ref="C86" location="'Table of Contents'!A1" display="Table of Contents"/>
  </hyperlinks>
  <pageMargins left="0.75" right="0.25" top="0.36" bottom="0.29" header="0.36" footer="0.21"/>
  <pageSetup orientation="landscape" scale="60" fitToHeight="0"/>
  <rowBreaks count="1" manualBreakCount="1">
    <brk id="54" min="0" max="14" man="1"/>
  </rowBreaks>
</worksheet>
</file>

<file path=xl/worksheets/sheet12.xml><?xml version="1.0" encoding="utf-8"?>
<worksheet xmlns="http://schemas.openxmlformats.org/spreadsheetml/2006/main">
  <sheetPr>
    <outlinePr summaryBelow="1" summaryRight="1"/>
    <pageSetUpPr fitToPage="1"/>
  </sheetPr>
  <dimension ref="A1:Z95"/>
  <sheetViews>
    <sheetView zoomScaleNormal="100" workbookViewId="0">
      <selection activeCell="A1" sqref="A1"/>
    </sheetView>
  </sheetViews>
  <sheetFormatPr baseColWidth="8" defaultColWidth="9.140625" defaultRowHeight="14.25"/>
  <cols>
    <col width="8.7109375" customWidth="1" style="1514" min="1" max="1"/>
    <col width="5" customWidth="1" style="1515" min="2" max="2"/>
    <col width="5.42578125" customWidth="1" style="1476" min="3" max="3"/>
    <col width="3.28515625" customWidth="1" style="1476" min="4" max="4"/>
    <col width="3.85546875" customWidth="1" style="1476" min="5" max="5"/>
    <col width="4" customWidth="1" style="1476" min="6" max="6"/>
    <col width="13.7109375" customWidth="1" style="1476" min="7" max="7"/>
    <col width="9.140625" customWidth="1" style="1476" min="8" max="11"/>
    <col width="4.7109375" customWidth="1" style="1476" min="12" max="12"/>
    <col width="9.140625" customWidth="1" style="1476" min="13" max="14"/>
    <col width="6.28515625" customWidth="1" style="1476" min="15" max="15"/>
    <col width="5" customWidth="1" style="1476" min="16" max="16"/>
    <col width="9.140625" customWidth="1" style="1476" min="17" max="19"/>
    <col width="15.140625" customWidth="1" style="1476" min="20" max="20"/>
    <col width="9.140625" customWidth="1" style="1476" min="21" max="16384"/>
  </cols>
  <sheetData>
    <row r="1">
      <c r="A1" s="1473" t="n"/>
      <c r="B1" s="1474" t="n"/>
      <c r="C1" s="1475" t="n"/>
      <c r="D1" s="1475" t="n"/>
      <c r="E1" s="1475" t="n"/>
      <c r="F1" s="1475" t="n"/>
      <c r="G1" s="1475" t="n"/>
      <c r="H1" s="1475" t="n"/>
      <c r="I1" s="1475" t="n"/>
      <c r="J1" s="1475" t="n"/>
      <c r="K1" s="1475" t="n"/>
      <c r="L1" s="1475" t="n"/>
      <c r="M1" s="1475" t="n"/>
      <c r="N1" s="1475" t="n"/>
      <c r="O1" s="1475" t="n"/>
      <c r="P1" s="1475" t="n"/>
      <c r="Q1" s="1475" t="n"/>
      <c r="R1" s="1475" t="n"/>
      <c r="S1" s="1475" t="n"/>
      <c r="T1" s="1475" t="n"/>
      <c r="U1" s="1475" t="n"/>
      <c r="V1" s="1475" t="n"/>
      <c r="W1" s="1475" t="n"/>
      <c r="X1" s="1475" t="n"/>
      <c r="Y1" s="1475" t="n"/>
      <c r="Z1" s="1475" t="n"/>
    </row>
    <row r="2" ht="20.25" customHeight="1" s="7635">
      <c r="A2" s="1477" t="n"/>
      <c r="B2" s="1478" t="n"/>
      <c r="C2" s="1479" t="n"/>
      <c r="D2" s="1480" t="n"/>
      <c r="E2" s="1480" t="n"/>
      <c r="F2" s="1480" t="n"/>
      <c r="G2" s="1480" t="n"/>
      <c r="H2" s="1480" t="n"/>
      <c r="I2" s="1480" t="n"/>
      <c r="J2" s="1480" t="n"/>
      <c r="K2" s="1480" t="n"/>
      <c r="L2" s="1480" t="n"/>
      <c r="M2" s="1480" t="n"/>
      <c r="N2" s="1480" t="n"/>
      <c r="O2" s="1480" t="n"/>
      <c r="P2" s="1480" t="n"/>
      <c r="Q2" s="1480" t="n"/>
      <c r="R2" s="1480" t="n"/>
      <c r="S2" s="1480" t="n"/>
      <c r="T2" s="1480" t="n"/>
      <c r="U2" s="1480" t="n"/>
      <c r="V2" s="1480" t="n"/>
      <c r="W2" s="1480" t="n"/>
      <c r="X2" s="1481" t="n"/>
      <c r="Y2" s="1475" t="n"/>
      <c r="Z2" s="1475" t="n"/>
    </row>
    <row r="3" ht="23.25" customHeight="1" s="7635">
      <c r="A3" s="1477" t="n"/>
      <c r="B3" s="1482" t="n"/>
      <c r="C3" s="1483" t="inlineStr">
        <is>
          <t xml:space="preserve">Lines 4a and 4b </t>
        </is>
      </c>
      <c r="D3" s="1484" t="n"/>
      <c r="E3" s="1484" t="n"/>
      <c r="F3" s="1484" t="n"/>
      <c r="G3" s="1484" t="n"/>
      <c r="H3" s="1484" t="n"/>
      <c r="I3" s="1484" t="n"/>
      <c r="J3" s="1485" t="inlineStr">
        <is>
          <t>Note:  This worksheet is intended to be used for one IRA at a time.</t>
        </is>
      </c>
      <c r="K3" s="1486" t="n"/>
      <c r="L3" s="1484" t="n"/>
      <c r="M3" s="1484" t="n"/>
      <c r="N3" s="1484" t="n"/>
      <c r="O3" s="1484" t="n"/>
      <c r="P3" s="1484" t="n"/>
      <c r="Q3" s="1484" t="n"/>
      <c r="R3" s="1484" t="n"/>
      <c r="S3" s="1484" t="n"/>
      <c r="T3" s="1484" t="n"/>
      <c r="U3" s="1484" t="n"/>
      <c r="V3" s="1484" t="n"/>
      <c r="W3" s="1484" t="n"/>
      <c r="X3" s="1487" t="n"/>
      <c r="Y3" s="1475" t="n"/>
      <c r="Z3" s="1475" t="n"/>
    </row>
    <row r="4" ht="20.25" customHeight="1" s="7635">
      <c r="A4" s="1477" t="n"/>
      <c r="B4" s="1482" t="n"/>
      <c r="C4" s="1483" t="inlineStr">
        <is>
          <t>IRA Distributions Worksheet</t>
        </is>
      </c>
      <c r="D4" s="1484" t="n"/>
      <c r="E4" s="1484" t="n"/>
      <c r="F4" s="1484" t="n"/>
      <c r="G4" s="1484" t="n"/>
      <c r="H4" s="1484" t="n"/>
      <c r="I4" s="1484" t="n"/>
      <c r="J4" s="1488" t="n"/>
      <c r="K4" s="1486" t="n"/>
      <c r="L4" s="1484" t="n"/>
      <c r="M4" s="1484" t="n"/>
      <c r="N4" s="1484" t="n"/>
      <c r="O4" s="1484" t="n"/>
      <c r="P4" s="1484" t="n"/>
      <c r="Q4" s="1484" t="n"/>
      <c r="R4" s="1484" t="n"/>
      <c r="S4" s="1484" t="n"/>
      <c r="T4" s="1484" t="n"/>
      <c r="U4" s="1484" t="n"/>
      <c r="V4" s="1484" t="n"/>
      <c r="W4" s="1484" t="n"/>
      <c r="X4" s="1487" t="n"/>
      <c r="Y4" s="1475" t="n"/>
      <c r="Z4" s="1475" t="n"/>
    </row>
    <row r="5" ht="15" customHeight="1" s="7635">
      <c r="A5" s="1477" t="n"/>
      <c r="B5" s="1482" t="n"/>
      <c r="C5" s="1484" t="n"/>
      <c r="D5" s="1484" t="n"/>
      <c r="E5" s="1484" t="n"/>
      <c r="F5" s="1484" t="n"/>
      <c r="G5" s="1489" t="n"/>
      <c r="H5" s="1484" t="n"/>
      <c r="I5" s="1484" t="n"/>
      <c r="J5" s="1484" t="n"/>
      <c r="K5" s="1484" t="n"/>
      <c r="L5" s="1484" t="n"/>
      <c r="M5" s="1484" t="n"/>
      <c r="N5" s="1484" t="n"/>
      <c r="O5" s="1484" t="n"/>
      <c r="P5" s="1484" t="n"/>
      <c r="Q5" s="1484" t="n"/>
      <c r="R5" s="1484" t="n"/>
      <c r="S5" s="1484" t="n"/>
      <c r="T5" s="1484" t="n"/>
      <c r="U5" s="1484" t="n"/>
      <c r="V5" s="1484" t="n"/>
      <c r="W5" s="1484" t="n"/>
      <c r="X5" s="1487" t="n"/>
      <c r="Y5" s="1475" t="n"/>
      <c r="Z5" s="1475" t="n"/>
    </row>
    <row r="6" ht="15" customHeight="1" s="7635">
      <c r="A6" s="1477" t="n"/>
      <c r="B6" s="1482" t="n"/>
      <c r="C6" s="1489" t="inlineStr">
        <is>
          <t xml:space="preserve">You should receive a Form 1099-R showing the total amount of any distribution from your IRA before income tax or other deductions were withheld. This amount should be shown in box 1 of Form 1099-R. </t>
        </is>
      </c>
      <c r="D6" s="1484" t="n"/>
      <c r="E6" s="1484" t="n"/>
      <c r="F6" s="1484" t="n"/>
      <c r="G6" s="1489" t="n"/>
      <c r="H6" s="1484" t="n"/>
      <c r="I6" s="1484" t="n"/>
      <c r="J6" s="1484" t="n"/>
      <c r="K6" s="1484" t="n"/>
      <c r="L6" s="1484" t="n"/>
      <c r="M6" s="1484" t="n"/>
      <c r="N6" s="1484" t="n"/>
      <c r="O6" s="1484" t="n"/>
      <c r="P6" s="1484" t="n"/>
      <c r="Q6" s="1484" t="n"/>
      <c r="R6" s="1484" t="n"/>
      <c r="S6" s="1484" t="n"/>
      <c r="T6" s="1484" t="n"/>
      <c r="U6" s="1484" t="n"/>
      <c r="V6" s="1484" t="n"/>
      <c r="W6" s="1484" t="n"/>
      <c r="X6" s="1487" t="n"/>
      <c r="Y6" s="1475" t="n"/>
      <c r="Z6" s="1475" t="n"/>
    </row>
    <row r="7" ht="15" customHeight="1" s="7635">
      <c r="A7" s="1477" t="n"/>
      <c r="B7" s="1482" t="n"/>
      <c r="C7" s="1489" t="inlineStr">
        <is>
          <t xml:space="preserve">Unless otherwise noted in the line 4a and 4b instructions, an IRA includes a traditional IRA, Roth IRA, simplified employee pension (SEP) IRA, and a savings incentive match plan for employees (SIMPLE) IRA. </t>
        </is>
      </c>
      <c r="D7" s="1484" t="n"/>
      <c r="E7" s="1484" t="n"/>
      <c r="F7" s="1484" t="n"/>
      <c r="G7" s="1489" t="n"/>
      <c r="H7" s="1484" t="n"/>
      <c r="I7" s="1484" t="n"/>
      <c r="J7" s="1484" t="n"/>
      <c r="K7" s="1484" t="n"/>
      <c r="L7" s="1484" t="n"/>
      <c r="M7" s="1484" t="n"/>
      <c r="N7" s="1484" t="n"/>
      <c r="O7" s="1484" t="n"/>
      <c r="P7" s="1484" t="n"/>
      <c r="Q7" s="1484" t="n"/>
      <c r="R7" s="1484" t="n"/>
      <c r="S7" s="1484" t="n"/>
      <c r="T7" s="1484" t="n"/>
      <c r="U7" s="1484" t="n"/>
      <c r="V7" s="1484" t="n"/>
      <c r="W7" s="1484" t="n"/>
      <c r="X7" s="1487" t="n"/>
      <c r="Y7" s="1475" t="n"/>
      <c r="Z7" s="1475" t="n"/>
    </row>
    <row r="8" ht="15" customHeight="1" s="7635">
      <c r="A8" s="1477" t="n"/>
      <c r="B8" s="1482" t="n"/>
      <c r="C8" s="1484" t="n"/>
      <c r="D8" s="1484" t="n"/>
      <c r="E8" s="1484" t="n"/>
      <c r="F8" s="1484" t="n"/>
      <c r="G8" s="1489" t="n"/>
      <c r="H8" s="1484" t="n"/>
      <c r="I8" s="1484" t="n"/>
      <c r="J8" s="1484" t="n"/>
      <c r="K8" s="1484" t="n"/>
      <c r="L8" s="1484" t="n"/>
      <c r="M8" s="1484" t="n"/>
      <c r="N8" s="1484" t="n"/>
      <c r="O8" s="1484" t="n"/>
      <c r="P8" s="1484" t="n"/>
      <c r="Q8" s="1484" t="n"/>
      <c r="R8" s="1484" t="n"/>
      <c r="S8" s="1484" t="n"/>
      <c r="T8" s="1484" t="n"/>
      <c r="U8" s="1484" t="n"/>
      <c r="V8" s="1484" t="n"/>
      <c r="W8" s="1484" t="n"/>
      <c r="X8" s="1487" t="n"/>
      <c r="Y8" s="1475" t="n"/>
      <c r="Z8" s="1475" t="n"/>
    </row>
    <row r="9" ht="31.5" customFormat="1" customHeight="1" s="1493">
      <c r="A9" s="1473">
        <f>OR(A13,A27,A46,A64)</f>
        <v/>
      </c>
      <c r="B9" s="1490" t="n"/>
      <c r="C9" s="11896">
        <f>IF(OR(A34,A35),K27&amp;"   AND   "&amp;Q32,IF(A27,K27&amp;"   AND   "&amp;Q27,IF(AND(A49,NOT(A27)),P46&amp;" AND "&amp;L49&amp;"   AND   "&amp;H50,IF(A48,P46&amp;" AND "&amp;L48&amp;"   AND   "&amp;H50,IF(A18,H13&amp;"   AND   "&amp;K18&amp;" "&amp;G20,IF(AND(A19,NOT(A27)),H13&amp;"   AND   "&amp;K19&amp;".  "&amp;G20,IF(A66,S64&amp;"   AND   "&amp;Q66&amp;"   AND   "&amp;H69,IF(A9,"See below.","Except as provided next, leave line 4a blank  AND  enter the total distribution (from Form 1099-R, box 1) on line 4b."))))))))</f>
        <v/>
      </c>
      <c r="D9" s="8412" t="n"/>
      <c r="E9" s="8412" t="n"/>
      <c r="F9" s="8412" t="n"/>
      <c r="G9" s="8412" t="n"/>
      <c r="H9" s="8412" t="n"/>
      <c r="I9" s="8412" t="n"/>
      <c r="J9" s="8412" t="n"/>
      <c r="K9" s="8412" t="n"/>
      <c r="L9" s="8412" t="n"/>
      <c r="M9" s="8412" t="n"/>
      <c r="N9" s="8412" t="n"/>
      <c r="O9" s="8412" t="n"/>
      <c r="P9" s="8412" t="n"/>
      <c r="Q9" s="8412" t="n"/>
      <c r="R9" s="8412" t="n"/>
      <c r="S9" s="8412" t="n"/>
      <c r="T9" s="8412" t="n"/>
      <c r="U9" s="8412" t="n"/>
      <c r="V9" s="8412" t="n"/>
      <c r="W9" s="11734" t="n"/>
      <c r="X9" s="1491" t="n"/>
      <c r="Y9" s="1492" t="n"/>
      <c r="Z9" s="1492" t="n"/>
    </row>
    <row r="10" ht="15" customHeight="1" s="7635">
      <c r="A10" s="1473" t="n"/>
      <c r="B10" s="1482" t="n"/>
      <c r="C10" s="1484" t="n"/>
      <c r="D10" s="1484" t="n"/>
      <c r="E10" s="1484" t="n"/>
      <c r="F10" s="1484" t="n"/>
      <c r="G10" s="1489" t="n"/>
      <c r="H10" s="1484" t="n"/>
      <c r="I10" s="1484" t="n"/>
      <c r="J10" s="1484" t="n"/>
      <c r="K10" s="1484" t="n"/>
      <c r="L10" s="1484" t="n"/>
      <c r="M10" s="1484" t="n"/>
      <c r="N10" s="1484" t="n"/>
      <c r="O10" s="1484" t="n"/>
      <c r="P10" s="1484" t="n"/>
      <c r="Q10" s="1484" t="n"/>
      <c r="R10" s="1484" t="n"/>
      <c r="S10" s="1484" t="n"/>
      <c r="T10" s="1484" t="n"/>
      <c r="U10" s="1484" t="n"/>
      <c r="V10" s="1484" t="n"/>
      <c r="W10" s="1484" t="n"/>
      <c r="X10" s="1487" t="n"/>
      <c r="Y10" s="1492" t="n"/>
      <c r="Z10" s="1492" t="n"/>
    </row>
    <row r="11" ht="18.75" customHeight="1" s="7635">
      <c r="A11" s="1473" t="n"/>
      <c r="B11" s="1482" t="n"/>
      <c r="C11" s="1673" t="inlineStr">
        <is>
          <t>TIP:</t>
        </is>
      </c>
      <c r="D11" s="1674" t="inlineStr">
        <is>
          <t>For purposes of these Exceptions, Roth IRA includes Roth SEP IRA and Roth SIMPLE IRAs.</t>
        </is>
      </c>
      <c r="E11" s="1484" t="n"/>
      <c r="F11" s="1484" t="n"/>
      <c r="G11" s="1489" t="n"/>
      <c r="H11" s="1484" t="n"/>
      <c r="I11" s="1484" t="n"/>
      <c r="J11" s="1484" t="n"/>
      <c r="K11" s="1484" t="n"/>
      <c r="L11" s="1484" t="n"/>
      <c r="M11" s="1484" t="n"/>
      <c r="N11" s="1484" t="n"/>
      <c r="O11" s="1484" t="n"/>
      <c r="P11" s="1484" t="n"/>
      <c r="Q11" s="1484" t="n"/>
      <c r="R11" s="1484" t="n"/>
      <c r="S11" s="1484" t="n"/>
      <c r="T11" s="1484" t="n"/>
      <c r="U11" s="1484" t="n"/>
      <c r="V11" s="1484" t="n"/>
      <c r="W11" s="1484" t="n"/>
      <c r="X11" s="1487" t="n"/>
      <c r="Y11" s="1492" t="n"/>
      <c r="Z11" s="1492" t="n"/>
    </row>
    <row r="12" ht="15" customHeight="1" s="7635">
      <c r="A12" s="1473" t="n"/>
      <c r="B12" s="1482" t="n"/>
      <c r="C12" s="1484" t="n"/>
      <c r="D12" s="1484" t="n"/>
      <c r="E12" s="1484" t="n"/>
      <c r="F12" s="1484" t="n"/>
      <c r="G12" s="1489" t="n"/>
      <c r="H12" s="1484" t="n"/>
      <c r="I12" s="1484" t="n"/>
      <c r="J12" s="1484" t="n"/>
      <c r="K12" s="1484" t="n"/>
      <c r="L12" s="1484" t="n"/>
      <c r="M12" s="1484" t="n"/>
      <c r="N12" s="1484" t="n"/>
      <c r="O12" s="1484" t="n"/>
      <c r="P12" s="1484" t="n"/>
      <c r="Q12" s="1484" t="n"/>
      <c r="R12" s="1484" t="n"/>
      <c r="S12" s="1484" t="n"/>
      <c r="T12" s="1484" t="n"/>
      <c r="U12" s="1484" t="n"/>
      <c r="V12" s="1484" t="n"/>
      <c r="W12" s="1484" t="n"/>
      <c r="X12" s="1487" t="n"/>
      <c r="Y12" s="1475" t="n"/>
      <c r="Z12" s="1475" t="n"/>
    </row>
    <row r="13" ht="15.75" customHeight="1" s="7635">
      <c r="A13" s="1473">
        <f>OR(A18,AND((A19),NOT(A27)))</f>
        <v/>
      </c>
      <c r="B13" s="1482" t="n"/>
      <c r="C13" s="1484" t="n"/>
      <c r="D13" s="1494">
        <f>IF(A13,"X","")</f>
        <v/>
      </c>
      <c r="E13" s="1484" t="n"/>
      <c r="F13" s="1484" t="n"/>
      <c r="G13" s="1495" t="inlineStr">
        <is>
          <t>Exception 1.</t>
        </is>
      </c>
      <c r="H13" s="1496" t="inlineStr">
        <is>
          <t>Enter the total distribution on line 4a</t>
        </is>
      </c>
      <c r="I13" s="1484" t="n"/>
      <c r="J13" s="1484" t="n"/>
      <c r="K13" s="1484" t="n"/>
      <c r="L13" s="1489" t="inlineStr">
        <is>
          <t xml:space="preserve">if you rolled over part or all of the distribution from one: </t>
        </is>
      </c>
      <c r="M13" s="1484" t="n"/>
      <c r="N13" s="1484" t="n"/>
      <c r="O13" s="1484" t="n"/>
      <c r="P13" s="1484" t="n"/>
      <c r="Q13" s="1484" t="n"/>
      <c r="R13" s="1484" t="n"/>
      <c r="S13" s="1484" t="n"/>
      <c r="T13" s="1484" t="n"/>
      <c r="U13" s="1484" t="n"/>
      <c r="V13" s="1484" t="n"/>
      <c r="W13" s="1484" t="n"/>
      <c r="X13" s="1487" t="n"/>
      <c r="Y13" s="1475" t="n"/>
      <c r="Z13" s="1475" t="n"/>
    </row>
    <row r="14" ht="15.75" customHeight="1" s="7635">
      <c r="A14" s="1473" t="n"/>
      <c r="B14" s="1497" t="n"/>
      <c r="C14" s="1498" t="n"/>
      <c r="D14" s="1484" t="n"/>
      <c r="E14" s="1484" t="n"/>
      <c r="F14" s="1484" t="n"/>
      <c r="G14" s="1489" t="inlineStr">
        <is>
          <t xml:space="preserve">                         </t>
        </is>
      </c>
      <c r="H14" s="1484" t="n"/>
      <c r="I14" s="1484" t="n"/>
      <c r="J14" s="1484" t="n"/>
      <c r="K14" s="1484" t="n"/>
      <c r="L14" s="1484" t="n"/>
      <c r="M14" s="1484" t="n"/>
      <c r="N14" s="1484" t="n"/>
      <c r="O14" s="1484" t="n"/>
      <c r="P14" s="1484" t="n"/>
      <c r="Q14" s="1484" t="n"/>
      <c r="R14" s="1484" t="n"/>
      <c r="S14" s="1484" t="n"/>
      <c r="T14" s="1484" t="n"/>
      <c r="U14" s="1484" t="n"/>
      <c r="V14" s="1484" t="n"/>
      <c r="W14" s="1484" t="n"/>
      <c r="X14" s="1487" t="n"/>
      <c r="Y14" s="1475" t="n"/>
      <c r="Z14" s="1475" t="n"/>
    </row>
    <row r="15" ht="15.75" customHeight="1" s="7635">
      <c r="A15" s="1473" t="n"/>
      <c r="B15" s="1497" t="n"/>
      <c r="C15" s="1498" t="n"/>
      <c r="D15" s="1484" t="n"/>
      <c r="E15" s="1484" t="n"/>
      <c r="F15" s="1484" t="n"/>
      <c r="G15" s="1499" t="n"/>
      <c r="H15" s="1500" t="inlineStr">
        <is>
          <t xml:space="preserve">·         Roth IRA to another Roth IRA, or </t>
        </is>
      </c>
      <c r="I15" s="1484" t="n"/>
      <c r="J15" s="1484" t="n"/>
      <c r="K15" s="1484" t="n"/>
      <c r="L15" s="1484" t="n"/>
      <c r="M15" s="1484" t="n"/>
      <c r="N15" s="1484" t="n"/>
      <c r="O15" s="1484" t="n"/>
      <c r="P15" s="1484" t="n"/>
      <c r="Q15" s="1484" t="n"/>
      <c r="R15" s="1484" t="n"/>
      <c r="S15" s="1484" t="n"/>
      <c r="T15" s="1484" t="n"/>
      <c r="U15" s="1484" t="n"/>
      <c r="V15" s="1484" t="n"/>
      <c r="W15" s="1484" t="n"/>
      <c r="X15" s="1487" t="n"/>
      <c r="Y15" s="1475" t="n"/>
      <c r="Z15" s="1475" t="n"/>
    </row>
    <row r="16" ht="15.75" customHeight="1" s="7635">
      <c r="A16" s="1473" t="n"/>
      <c r="B16" s="1497" t="n"/>
      <c r="C16" s="1498" t="n"/>
      <c r="D16" s="1484" t="n"/>
      <c r="E16" s="1484" t="n"/>
      <c r="F16" s="1484" t="n"/>
      <c r="G16" s="1500" t="n"/>
      <c r="H16" s="1500" t="inlineStr">
        <is>
          <t xml:space="preserve">·         IRA (other than a Roth IRA) to a qualified plan or another IRA (other than a Roth IRA). </t>
        </is>
      </c>
      <c r="I16" s="1484" t="n"/>
      <c r="J16" s="1484" t="n"/>
      <c r="K16" s="1484" t="n"/>
      <c r="L16" s="1484" t="n"/>
      <c r="M16" s="1484" t="n"/>
      <c r="N16" s="1484" t="n"/>
      <c r="O16" s="1484" t="n"/>
      <c r="P16" s="1484" t="n"/>
      <c r="Q16" s="1484" t="n"/>
      <c r="R16" s="1484" t="n"/>
      <c r="S16" s="1484" t="n"/>
      <c r="T16" s="1484" t="n"/>
      <c r="U16" s="1484" t="n"/>
      <c r="V16" s="1484" t="n"/>
      <c r="W16" s="1484" t="n"/>
      <c r="X16" s="1487" t="n"/>
      <c r="Y16" s="1475" t="n"/>
      <c r="Z16" s="1475" t="n"/>
    </row>
    <row r="17" ht="15" customHeight="1" s="7635">
      <c r="A17" s="1473" t="n"/>
      <c r="B17" s="1482" t="n"/>
      <c r="C17" s="1484" t="n"/>
      <c r="D17" s="1484" t="n"/>
      <c r="E17" s="1484" t="n"/>
      <c r="F17" s="1484" t="n"/>
      <c r="G17" s="1489" t="n"/>
      <c r="H17" s="1484" t="n"/>
      <c r="I17" s="1484" t="n"/>
      <c r="J17" s="1484" t="n"/>
      <c r="K17" s="1484" t="n"/>
      <c r="L17" s="1484" t="n"/>
      <c r="M17" s="1484" t="n"/>
      <c r="N17" s="1484" t="n"/>
      <c r="O17" s="1484" t="n"/>
      <c r="P17" s="1484" t="n"/>
      <c r="Q17" s="1484" t="n"/>
      <c r="R17" s="1484" t="n"/>
      <c r="S17" s="1484" t="n"/>
      <c r="T17" s="1484" t="n"/>
      <c r="U17" s="1484" t="n"/>
      <c r="V17" s="1484" t="n"/>
      <c r="W17" s="1484" t="n"/>
      <c r="X17" s="1487" t="n"/>
      <c r="Y17" s="1475" t="n"/>
      <c r="Z17" s="1475" t="n"/>
    </row>
    <row r="18" ht="15.75" customHeight="1" s="7635">
      <c r="A18" s="1473">
        <f>F18&lt;&gt;""</f>
        <v/>
      </c>
      <c r="B18" s="1497" t="n"/>
      <c r="C18" s="1498" t="n"/>
      <c r="D18" s="1484" t="n"/>
      <c r="E18" s="1484" t="n"/>
      <c r="F18" s="1501" t="n"/>
      <c r="G18" s="1502" t="inlineStr">
        <is>
          <t xml:space="preserve"> If  the  total  distribution  was  rolled  over,</t>
        </is>
      </c>
      <c r="H18" s="1496" t="n"/>
      <c r="I18" s="1496" t="n"/>
      <c r="J18" s="1496" t="n"/>
      <c r="K18" s="1496" t="inlineStr">
        <is>
          <t xml:space="preserve">enter -0- on line 4b. </t>
        </is>
      </c>
      <c r="L18" s="1484" t="n"/>
      <c r="M18" s="1484" t="n"/>
      <c r="N18" s="1484" t="n"/>
      <c r="O18" s="1484" t="n"/>
      <c r="P18" s="1484" t="n"/>
      <c r="Q18" s="1484" t="n"/>
      <c r="R18" s="1484" t="n"/>
      <c r="S18" s="1484" t="n"/>
      <c r="T18" s="1484" t="n"/>
      <c r="U18" s="1484" t="n"/>
      <c r="V18" s="1484" t="n"/>
      <c r="W18" s="1484" t="n"/>
      <c r="X18" s="1487" t="n"/>
      <c r="Y18" s="1475" t="n"/>
      <c r="Z18" s="1475" t="n"/>
    </row>
    <row r="19" ht="15.75" customHeight="1" s="7635">
      <c r="A19" s="1473">
        <f>F19&lt;&gt;""</f>
        <v/>
      </c>
      <c r="B19" s="1497" t="n"/>
      <c r="C19" s="1498" t="n"/>
      <c r="D19" s="1484" t="n"/>
      <c r="E19" s="1484" t="n"/>
      <c r="F19" s="1501" t="n"/>
      <c r="G19" s="1502" t="inlineStr">
        <is>
          <t xml:space="preserve"> If  the  total  distribution  wasn't  rolled over,</t>
        </is>
      </c>
      <c r="H19" s="1496" t="n"/>
      <c r="I19" s="1496" t="n"/>
      <c r="J19" s="1496" t="n"/>
      <c r="K19" s="1496" t="inlineStr">
        <is>
          <t>enter the part not rolled over on line 4b</t>
        </is>
      </c>
      <c r="L19" s="1484" t="n"/>
      <c r="M19" s="1484" t="n"/>
      <c r="N19" s="1484" t="n"/>
      <c r="O19" s="1484" t="n"/>
      <c r="P19" s="1489" t="inlineStr">
        <is>
          <t>unless Exception 2 applies to the part not rolled over.</t>
        </is>
      </c>
      <c r="Q19" s="1484" t="n"/>
      <c r="R19" s="1484" t="n"/>
      <c r="S19" s="1484" t="n"/>
      <c r="T19" s="1484" t="n"/>
      <c r="U19" s="1484" t="n"/>
      <c r="V19" s="1484" t="n"/>
      <c r="W19" s="1484" t="n"/>
      <c r="X19" s="1487" t="n"/>
      <c r="Y19" s="1475" t="n"/>
      <c r="Z19" s="1475" t="n"/>
    </row>
    <row r="20" ht="20.25" customHeight="1" s="7635">
      <c r="A20" s="1473" t="n"/>
      <c r="B20" s="1482" t="n"/>
      <c r="C20" s="1484" t="n"/>
      <c r="D20" s="1484" t="n"/>
      <c r="E20" s="1484" t="n"/>
      <c r="F20" s="1484" t="n"/>
      <c r="G20" s="1502" t="inlineStr">
        <is>
          <t xml:space="preserve">Also enter “Rollover” next to line 4b. </t>
        </is>
      </c>
      <c r="H20" s="1496" t="n"/>
      <c r="I20" s="1496" t="n"/>
      <c r="J20" s="1496" t="n"/>
      <c r="K20" s="1496" t="n"/>
      <c r="L20" s="1484" t="n"/>
      <c r="M20" s="1484" t="n"/>
      <c r="N20" s="1484" t="n"/>
      <c r="O20" s="1484" t="n"/>
      <c r="P20" s="1484" t="n"/>
      <c r="Q20" s="1484" t="n"/>
      <c r="R20" s="1484" t="n"/>
      <c r="S20" s="1484" t="n"/>
      <c r="T20" s="1484" t="n"/>
      <c r="U20" s="1484" t="n"/>
      <c r="V20" s="1484" t="n"/>
      <c r="W20" s="1484" t="n"/>
      <c r="X20" s="1487" t="n"/>
      <c r="Y20" s="1475" t="n"/>
      <c r="Z20" s="1475" t="n"/>
    </row>
    <row r="21" ht="27.75" customHeight="1" s="7635">
      <c r="A21" s="1473" t="n"/>
      <c r="B21" s="1482" t="n"/>
      <c r="C21" s="1484" t="n"/>
      <c r="D21" s="1484" t="n"/>
      <c r="E21" s="1484" t="n"/>
      <c r="F21" s="1484" t="n"/>
      <c r="G21" s="1502" t="n"/>
      <c r="H21" s="1496" t="n"/>
      <c r="I21" s="1496" t="n"/>
      <c r="J21" s="1496" t="n"/>
      <c r="K21" s="1496" t="n"/>
      <c r="L21" s="1484" t="n"/>
      <c r="M21" s="1484" t="n"/>
      <c r="N21" s="1484" t="n"/>
      <c r="O21" s="1484" t="n"/>
      <c r="P21" s="1484" t="n"/>
      <c r="Q21" s="1484" t="n"/>
      <c r="R21" s="1484" t="n"/>
      <c r="S21" s="1484" t="n"/>
      <c r="T21" s="1484" t="n"/>
      <c r="U21" s="1484" t="n"/>
      <c r="V21" s="1484" t="n"/>
      <c r="W21" s="1484" t="n"/>
      <c r="X21" s="1487" t="n"/>
      <c r="Y21" s="1475" t="n"/>
      <c r="Z21" s="1475" t="n"/>
    </row>
    <row r="22" ht="15" customHeight="1" s="7635">
      <c r="A22" s="1473" t="n"/>
      <c r="B22" s="1482" t="n"/>
      <c r="C22" s="1484" t="n"/>
      <c r="D22" s="1484" t="n"/>
      <c r="E22" s="1484" t="n"/>
      <c r="F22" s="1484" t="n"/>
      <c r="G22" s="1489" t="inlineStr">
        <is>
          <t xml:space="preserve">Generally, a rollover must be made within 60 days after the day you received the distribution. For more details on rollovers, see Pub. 590-A and Pub. 590-B. </t>
        </is>
      </c>
      <c r="H22" s="1496" t="n"/>
      <c r="I22" s="1496" t="n"/>
      <c r="J22" s="1496" t="n"/>
      <c r="K22" s="1496" t="n"/>
      <c r="L22" s="1484" t="n"/>
      <c r="M22" s="1484" t="n"/>
      <c r="N22" s="1484" t="n"/>
      <c r="O22" s="1484" t="n"/>
      <c r="P22" s="1484" t="n"/>
      <c r="Q22" s="1484" t="n"/>
      <c r="R22" s="1484" t="n"/>
      <c r="S22" s="1484" t="n"/>
      <c r="T22" s="1484" t="n"/>
      <c r="U22" s="1484" t="n"/>
      <c r="V22" s="1484" t="n"/>
      <c r="W22" s="1484" t="n"/>
      <c r="X22" s="1487" t="n"/>
      <c r="Y22" s="1475" t="n"/>
      <c r="Z22" s="1475" t="n"/>
    </row>
    <row r="23" ht="15" customHeight="1" s="7635">
      <c r="A23" s="1473" t="n"/>
      <c r="B23" s="1482" t="n"/>
      <c r="C23" s="1484" t="n"/>
      <c r="D23" s="1484" t="n"/>
      <c r="E23" s="1484" t="n"/>
      <c r="F23" s="1484" t="n"/>
      <c r="G23" s="1489" t="n"/>
      <c r="H23" s="1496" t="n"/>
      <c r="I23" s="1496" t="n"/>
      <c r="J23" s="1496" t="n"/>
      <c r="K23" s="1496" t="n"/>
      <c r="L23" s="1484" t="n"/>
      <c r="M23" s="1484" t="n"/>
      <c r="N23" s="1484" t="n"/>
      <c r="O23" s="1484" t="n"/>
      <c r="P23" s="1484" t="n"/>
      <c r="Q23" s="1484" t="n"/>
      <c r="R23" s="1484" t="n"/>
      <c r="S23" s="1484" t="n"/>
      <c r="T23" s="1484" t="n"/>
      <c r="U23" s="1484" t="n"/>
      <c r="V23" s="1484" t="n"/>
      <c r="W23" s="1484" t="n"/>
      <c r="X23" s="1487" t="n"/>
      <c r="Y23" s="1475" t="n"/>
      <c r="Z23" s="1475" t="n"/>
    </row>
    <row r="24" ht="15" customHeight="1" s="7635">
      <c r="A24" s="1473" t="n"/>
      <c r="B24" s="1482" t="n"/>
      <c r="C24" s="1484" t="n"/>
      <c r="D24" s="1484" t="n"/>
      <c r="E24" s="1484" t="n"/>
      <c r="F24" s="1484" t="n"/>
      <c r="G24" s="1489">
        <f>"If you rolled over the distribution into a qualified plan or you made the rollover in "&amp;TaxYear+1&amp;", include a statement explaining what you did. "</f>
        <v/>
      </c>
      <c r="H24" s="1496" t="n"/>
      <c r="I24" s="1496" t="n"/>
      <c r="J24" s="1496" t="n"/>
      <c r="K24" s="1496" t="n"/>
      <c r="L24" s="1484" t="n"/>
      <c r="M24" s="1484" t="n"/>
      <c r="N24" s="1484" t="n"/>
      <c r="O24" s="1484" t="n"/>
      <c r="P24" s="1484" t="n"/>
      <c r="Q24" s="1484" t="n"/>
      <c r="R24" s="1484" t="n"/>
      <c r="S24" s="1484" t="n"/>
      <c r="T24" s="1484" t="n"/>
      <c r="U24" s="1484" t="n"/>
      <c r="V24" s="1484" t="n"/>
      <c r="W24" s="1484" t="n"/>
      <c r="X24" s="1487" t="n"/>
      <c r="Y24" s="1475" t="n"/>
      <c r="Z24" s="1475" t="n"/>
    </row>
    <row r="25" ht="15" customHeight="1" s="7635">
      <c r="A25" s="1473" t="n"/>
      <c r="B25" s="1482" t="n"/>
      <c r="C25" s="1484" t="n"/>
      <c r="D25" s="1484" t="n"/>
      <c r="E25" s="1484" t="n"/>
      <c r="F25" s="1484" t="n"/>
      <c r="G25" s="1489" t="n"/>
      <c r="H25" s="1496" t="n"/>
      <c r="I25" s="1496" t="n"/>
      <c r="J25" s="1496" t="n"/>
      <c r="K25" s="1496" t="n"/>
      <c r="L25" s="1484" t="n"/>
      <c r="M25" s="1484" t="n"/>
      <c r="N25" s="1484" t="n"/>
      <c r="O25" s="1484" t="n"/>
      <c r="P25" s="1484" t="n"/>
      <c r="Q25" s="1484" t="n"/>
      <c r="R25" s="1484" t="n"/>
      <c r="S25" s="1484" t="n"/>
      <c r="T25" s="1484" t="n"/>
      <c r="U25" s="1484" t="n"/>
      <c r="V25" s="1484" t="n"/>
      <c r="W25" s="1484" t="n"/>
      <c r="X25" s="1487" t="n"/>
      <c r="Y25" s="1475" t="n"/>
      <c r="Z25" s="1475" t="n"/>
    </row>
    <row r="26" ht="15" customHeight="1" s="7635">
      <c r="A26" s="1473" t="n"/>
      <c r="B26" s="1482" t="n"/>
      <c r="C26" s="1484" t="n"/>
      <c r="D26" s="1484" t="n"/>
      <c r="E26" s="1484" t="n"/>
      <c r="F26" s="1484" t="n"/>
      <c r="G26" s="1489" t="n"/>
      <c r="H26" s="1496" t="n"/>
      <c r="I26" s="1496" t="n"/>
      <c r="J26" s="1496" t="n"/>
      <c r="K26" s="1496" t="n"/>
      <c r="L26" s="1484" t="n"/>
      <c r="M26" s="1484" t="n"/>
      <c r="N26" s="1484" t="n"/>
      <c r="O26" s="1484" t="n"/>
      <c r="P26" s="1484" t="n"/>
      <c r="Q26" s="1484" t="n"/>
      <c r="R26" s="1484" t="n"/>
      <c r="S26" s="1484" t="n"/>
      <c r="T26" s="1484" t="n"/>
      <c r="U26" s="1484" t="n"/>
      <c r="V26" s="1484" t="n"/>
      <c r="W26" s="1484" t="n"/>
      <c r="X26" s="1487" t="n"/>
      <c r="Y26" s="1475" t="n"/>
      <c r="Z26" s="1475" t="n"/>
    </row>
    <row r="27" ht="15.75" customHeight="1" s="7635">
      <c r="A27" s="1473">
        <f>OR(A29,A32,A34,A35,A37,A39,A41,A43)</f>
        <v/>
      </c>
      <c r="B27" s="1497" t="n"/>
      <c r="C27" s="1498" t="n"/>
      <c r="D27" s="1494">
        <f>IF(A27,"X","")</f>
        <v/>
      </c>
      <c r="E27" s="1484" t="n"/>
      <c r="F27" s="1484" t="n"/>
      <c r="G27" s="1495" t="inlineStr">
        <is>
          <t>Exception 2.</t>
        </is>
      </c>
      <c r="H27" s="1503" t="inlineStr">
        <is>
          <t xml:space="preserve"> If any of the following apply,</t>
        </is>
      </c>
      <c r="I27" s="1496" t="n"/>
      <c r="J27" s="1496" t="n"/>
      <c r="K27" s="1496">
        <f>IF(A27,"Enter the total distribution on line 4a","enter the total distribution on line 4a")</f>
        <v/>
      </c>
      <c r="L27" s="1484" t="n"/>
      <c r="M27" s="1484" t="n"/>
      <c r="N27" s="1484" t="n"/>
      <c r="O27" s="1504" t="n"/>
      <c r="P27" s="1496" t="inlineStr">
        <is>
          <t>and</t>
        </is>
      </c>
      <c r="Q27" s="1503" t="inlineStr">
        <is>
          <t>see Form 8606 and its instructions to figure the amount to enter on line 4b.</t>
        </is>
      </c>
      <c r="R27" s="1484" t="n"/>
      <c r="S27" s="1484" t="n"/>
      <c r="T27" s="1484" t="n"/>
      <c r="U27" s="1484" t="n"/>
      <c r="V27" s="1484" t="n"/>
      <c r="W27" s="1484" t="n"/>
      <c r="X27" s="1487" t="n"/>
      <c r="Y27" s="1475" t="n"/>
      <c r="Z27" s="1475" t="n"/>
    </row>
    <row r="28" ht="15.75" customHeight="1" s="7635">
      <c r="A28" s="1473">
        <f>AND(OR(A29,A32,A37,A39,A41,A43),NOT(A34),NOT(A35))</f>
        <v/>
      </c>
      <c r="B28" s="1482" t="n"/>
      <c r="C28" s="1484" t="n"/>
      <c r="D28" s="1484" t="n"/>
      <c r="E28" s="1484" t="n"/>
      <c r="F28" s="1484" t="n"/>
      <c r="G28" s="1505" t="n"/>
      <c r="H28" s="1496" t="n"/>
      <c r="I28" s="1496" t="n"/>
      <c r="J28" s="1496" t="n"/>
      <c r="K28" s="1496" t="n"/>
      <c r="L28" s="1484" t="n"/>
      <c r="M28" s="1484" t="n"/>
      <c r="N28" s="1484" t="n"/>
      <c r="O28" s="1484" t="n"/>
      <c r="P28" s="1484" t="n"/>
      <c r="Q28" s="1484" t="n"/>
      <c r="R28" s="1484" t="n"/>
      <c r="S28" s="1484" t="n"/>
      <c r="T28" s="1484" t="n"/>
      <c r="U28" s="1484" t="n"/>
      <c r="V28" s="1484" t="n"/>
      <c r="W28" s="1484" t="n"/>
      <c r="X28" s="1487" t="n"/>
      <c r="Y28" s="1475" t="n"/>
      <c r="Z28" s="1475" t="n"/>
    </row>
    <row r="29" ht="15.75" customHeight="1" s="7635">
      <c r="A29" s="1473">
        <f>E29&lt;&gt;""</f>
        <v/>
      </c>
      <c r="B29" s="1497" t="n"/>
      <c r="C29" s="1498" t="n"/>
      <c r="D29" s="1484" t="n"/>
      <c r="E29" s="1501" t="n"/>
      <c r="F29" s="1484" t="n"/>
      <c r="G29" s="1506" t="inlineStr">
        <is>
          <t>1.</t>
        </is>
      </c>
      <c r="H29" s="1507">
        <f>"You received a distribution from an IRA (other than a Roth IRA) and you made nondeductible contributions to any of your traditional or SEP IRAs for "&amp;TaxYear&amp;" or an earlier year. "</f>
        <v/>
      </c>
      <c r="I29" s="1496" t="n"/>
      <c r="J29" s="1496" t="n"/>
      <c r="K29" s="1496" t="n"/>
      <c r="L29" s="1484" t="n"/>
      <c r="M29" s="1484" t="n"/>
      <c r="N29" s="1484" t="n"/>
      <c r="O29" s="1484" t="n"/>
      <c r="P29" s="1484" t="n"/>
      <c r="Q29" s="1484" t="n"/>
      <c r="R29" s="1484" t="n"/>
      <c r="S29" s="1484" t="n"/>
      <c r="T29" s="1484" t="n"/>
      <c r="U29" s="1484" t="n"/>
      <c r="V29" s="1484" t="n"/>
      <c r="W29" s="1484" t="n"/>
      <c r="X29" s="1487" t="n"/>
      <c r="Y29" s="1475" t="n"/>
      <c r="Z29" s="1475" t="n"/>
    </row>
    <row r="30" ht="15" customHeight="1" s="7635">
      <c r="A30" s="1473" t="n"/>
      <c r="B30" s="1482" t="n"/>
      <c r="C30" s="1484" t="n"/>
      <c r="D30" s="1484" t="n"/>
      <c r="E30" s="1484" t="n"/>
      <c r="F30" s="1484" t="n"/>
      <c r="G30" s="1502" t="n"/>
      <c r="H30" s="1496">
        <f>"If you made nondeductible contributions to these IRAs for "&amp;TaxYear&amp;", also see Pub. 590-A and Pub. 590-B."</f>
        <v/>
      </c>
      <c r="I30" s="1496" t="n"/>
      <c r="J30" s="1496" t="n"/>
      <c r="K30" s="1496" t="n"/>
      <c r="L30" s="1484" t="n"/>
      <c r="M30" s="1484" t="n"/>
      <c r="N30" s="1484" t="n"/>
      <c r="O30" s="1484" t="n"/>
      <c r="P30" s="1484" t="n"/>
      <c r="Q30" s="1484" t="n"/>
      <c r="R30" s="1484" t="n"/>
      <c r="S30" s="1484" t="n"/>
      <c r="T30" s="1484" t="n"/>
      <c r="U30" s="1484" t="n"/>
      <c r="V30" s="1484" t="n"/>
      <c r="W30" s="1484" t="n"/>
      <c r="X30" s="1487" t="n"/>
      <c r="Y30" s="1475" t="n"/>
      <c r="Z30" s="1475" t="n"/>
    </row>
    <row r="31" ht="15" customHeight="1" s="7635">
      <c r="A31" s="1473" t="n"/>
      <c r="B31" s="1482" t="n"/>
      <c r="C31" s="1484" t="n"/>
      <c r="D31" s="1484" t="n"/>
      <c r="E31" s="1484" t="n"/>
      <c r="F31" s="1484" t="n"/>
      <c r="G31" s="1502" t="n"/>
      <c r="H31" s="1496" t="n"/>
      <c r="I31" s="1496" t="n"/>
      <c r="J31" s="1496" t="n"/>
      <c r="K31" s="1496" t="n"/>
      <c r="L31" s="1484" t="n"/>
      <c r="M31" s="1484" t="n"/>
      <c r="N31" s="1484" t="n"/>
      <c r="O31" s="1484" t="n"/>
      <c r="P31" s="1484" t="n"/>
      <c r="Q31" s="1484" t="n"/>
      <c r="R31" s="1484" t="n"/>
      <c r="S31" s="1484" t="n"/>
      <c r="T31" s="1484" t="n"/>
      <c r="U31" s="1484" t="n"/>
      <c r="V31" s="1484" t="n"/>
      <c r="W31" s="1484" t="n"/>
      <c r="X31" s="1487" t="n"/>
      <c r="Y31" s="1475" t="n"/>
      <c r="Z31" s="1475" t="n"/>
    </row>
    <row r="32" ht="15.75" customHeight="1" s="7635">
      <c r="A32" s="1473">
        <f>E32&lt;&gt;""</f>
        <v/>
      </c>
      <c r="B32" s="1497" t="n"/>
      <c r="C32" s="1498" t="n"/>
      <c r="D32" s="1484" t="n"/>
      <c r="E32" s="1501" t="n"/>
      <c r="F32" s="1484" t="n"/>
      <c r="G32" s="1506" t="inlineStr">
        <is>
          <t>2.</t>
        </is>
      </c>
      <c r="H32" s="1507" t="inlineStr">
        <is>
          <t>You received a distribution from a Roth IRA. But if either (a) or (b) below applies,</t>
        </is>
      </c>
      <c r="I32" s="1496" t="n"/>
      <c r="J32" s="1484" t="n"/>
      <c r="K32" s="1484" t="n"/>
      <c r="L32" s="1484" t="n"/>
      <c r="M32" s="1484" t="n"/>
      <c r="N32" s="1484" t="n"/>
      <c r="O32" s="1484" t="n"/>
      <c r="P32" s="1484" t="n"/>
      <c r="Q32" s="1489" t="inlineStr">
        <is>
          <t xml:space="preserve">enter -0- on line 4b;  you don’t have to see Form 8606 or its instructions. </t>
        </is>
      </c>
      <c r="R32" s="1489" t="n"/>
      <c r="S32" s="1484" t="n"/>
      <c r="T32" s="1484" t="n"/>
      <c r="U32" s="1484" t="n"/>
      <c r="V32" s="1484" t="n"/>
      <c r="W32" s="1484" t="n"/>
      <c r="X32" s="1487" t="n"/>
      <c r="Y32" s="1475" t="n"/>
      <c r="Z32" s="1475" t="n"/>
    </row>
    <row r="33" ht="15" customHeight="1" s="7635">
      <c r="A33" s="1473" t="n"/>
      <c r="B33" s="1482" t="n"/>
      <c r="C33" s="1484" t="n"/>
      <c r="D33" s="1484" t="n"/>
      <c r="E33" s="1484" t="n"/>
      <c r="F33" s="1484" t="n"/>
      <c r="G33" s="1502" t="n"/>
      <c r="H33" s="1496" t="n"/>
      <c r="I33" s="1496" t="n"/>
      <c r="J33" s="1496" t="n"/>
      <c r="K33" s="1496" t="n"/>
      <c r="L33" s="1484" t="n"/>
      <c r="M33" s="1484" t="n"/>
      <c r="N33" s="1484" t="n"/>
      <c r="O33" s="1484" t="n"/>
      <c r="P33" s="1484" t="n"/>
      <c r="Q33" s="1484" t="n"/>
      <c r="R33" s="1484" t="n"/>
      <c r="S33" s="1484" t="n"/>
      <c r="T33" s="1484" t="n"/>
      <c r="U33" s="1484" t="n"/>
      <c r="V33" s="1484" t="n"/>
      <c r="W33" s="1484" t="n"/>
      <c r="X33" s="1487" t="n"/>
      <c r="Y33" s="1475" t="n"/>
      <c r="Z33" s="1475" t="n"/>
    </row>
    <row r="34" ht="15.75" customHeight="1" s="7635">
      <c r="A34" s="1473">
        <f>F34&lt;&gt;""</f>
        <v/>
      </c>
      <c r="B34" s="1497" t="n"/>
      <c r="C34" s="1498" t="n"/>
      <c r="D34" s="1484" t="n"/>
      <c r="E34" s="1484" t="n"/>
      <c r="F34" s="1501" t="n"/>
      <c r="G34" s="1508" t="n"/>
      <c r="H34" s="1507" t="inlineStr">
        <is>
          <t xml:space="preserve">a.       Distribution code T is shown in box 7 of Form 1099-R and you made a contribution (including a conversion) to a Roth IRA for 2016 or an earlier year. </t>
        </is>
      </c>
      <c r="I34" s="1496" t="n"/>
      <c r="J34" s="1496" t="n"/>
      <c r="K34" s="1496" t="n"/>
      <c r="L34" s="1484" t="n"/>
      <c r="M34" s="1484" t="n"/>
      <c r="N34" s="1484" t="n"/>
      <c r="O34" s="1484" t="n"/>
      <c r="P34" s="1484" t="n"/>
      <c r="Q34" s="1484" t="n"/>
      <c r="R34" s="1484" t="n"/>
      <c r="S34" s="1484" t="n"/>
      <c r="T34" s="1484" t="n"/>
      <c r="U34" s="1484" t="n"/>
      <c r="V34" s="1484" t="n"/>
      <c r="W34" s="1484" t="n"/>
      <c r="X34" s="1487" t="n"/>
      <c r="Y34" s="1475" t="n"/>
      <c r="Z34" s="1475" t="n"/>
    </row>
    <row r="35" ht="15.75" customHeight="1" s="7635">
      <c r="A35" s="1473">
        <f>F35&lt;&gt;""</f>
        <v/>
      </c>
      <c r="B35" s="1497" t="n"/>
      <c r="C35" s="1498" t="n"/>
      <c r="D35" s="1484" t="n"/>
      <c r="E35" s="1484" t="n"/>
      <c r="F35" s="1501" t="n"/>
      <c r="G35" s="1484" t="n"/>
      <c r="H35" s="1507" t="inlineStr">
        <is>
          <t xml:space="preserve">b.       Distribution code Q is shown in box 7 of Form 1099-R. </t>
        </is>
      </c>
      <c r="I35" s="1496" t="n"/>
      <c r="J35" s="1496" t="n"/>
      <c r="K35" s="1496" t="n"/>
      <c r="L35" s="1496" t="n"/>
      <c r="M35" s="1484" t="n"/>
      <c r="N35" s="1484" t="n"/>
      <c r="O35" s="1484" t="n"/>
      <c r="P35" s="1484" t="n"/>
      <c r="Q35" s="1484" t="n"/>
      <c r="R35" s="1484" t="n"/>
      <c r="S35" s="1484" t="n"/>
      <c r="T35" s="1484" t="n"/>
      <c r="U35" s="1484" t="n"/>
      <c r="V35" s="1484" t="n"/>
      <c r="W35" s="1484" t="n"/>
      <c r="X35" s="1487" t="n"/>
      <c r="Y35" s="1475" t="n"/>
      <c r="Z35" s="1475" t="n"/>
    </row>
    <row r="36" ht="15" customHeight="1" s="7635">
      <c r="A36" s="1473" t="n"/>
      <c r="B36" s="1482" t="n"/>
      <c r="C36" s="1484" t="n"/>
      <c r="D36" s="1484" t="n"/>
      <c r="E36" s="1484" t="n"/>
      <c r="F36" s="1484" t="n"/>
      <c r="G36" s="1502" t="n"/>
      <c r="H36" s="1496" t="n"/>
      <c r="I36" s="1496" t="n"/>
      <c r="J36" s="1496" t="n"/>
      <c r="K36" s="1496" t="n"/>
      <c r="L36" s="1484" t="n"/>
      <c r="M36" s="1484" t="n"/>
      <c r="N36" s="1484" t="n"/>
      <c r="O36" s="1484" t="n"/>
      <c r="P36" s="1484" t="n"/>
      <c r="Q36" s="1484" t="n"/>
      <c r="R36" s="1484" t="n"/>
      <c r="S36" s="1484" t="n"/>
      <c r="T36" s="1484" t="n"/>
      <c r="U36" s="1484" t="n"/>
      <c r="V36" s="1484" t="n"/>
      <c r="W36" s="1484" t="n"/>
      <c r="X36" s="1487" t="n"/>
      <c r="Y36" s="1475" t="n"/>
      <c r="Z36" s="1475" t="n"/>
    </row>
    <row r="37" ht="15.75" customHeight="1" s="7635">
      <c r="A37" s="1473">
        <f>E37&lt;&gt;""</f>
        <v/>
      </c>
      <c r="B37" s="1497" t="n"/>
      <c r="C37" s="1498" t="n"/>
      <c r="D37" s="1484" t="n"/>
      <c r="E37" s="1501" t="n"/>
      <c r="F37" s="1484" t="n"/>
      <c r="G37" s="1506" t="inlineStr">
        <is>
          <t>3.</t>
        </is>
      </c>
      <c r="H37" s="1502">
        <f>"You converted part or all of a traditional, SEP, or SIMPLE IRA to a Roth IRA in "&amp;TaxYear&amp;"."</f>
        <v/>
      </c>
      <c r="I37" s="1496" t="n"/>
      <c r="J37" s="1496" t="n"/>
      <c r="K37" s="1496" t="n"/>
      <c r="L37" s="1484" t="n"/>
      <c r="M37" s="1484" t="n"/>
      <c r="N37" s="1484" t="n"/>
      <c r="O37" s="1484" t="n"/>
      <c r="P37" s="1484" t="n"/>
      <c r="Q37" s="1484" t="n"/>
      <c r="R37" s="1484" t="n"/>
      <c r="S37" s="1484" t="n"/>
      <c r="T37" s="1484" t="n"/>
      <c r="U37" s="1484" t="n"/>
      <c r="V37" s="1484" t="n"/>
      <c r="W37" s="1484" t="n"/>
      <c r="X37" s="1487" t="n"/>
      <c r="Y37" s="1475" t="n"/>
      <c r="Z37" s="1475" t="n"/>
    </row>
    <row r="38" ht="15" customHeight="1" s="7635">
      <c r="A38" s="1473" t="n"/>
      <c r="B38" s="1482" t="n"/>
      <c r="C38" s="1484" t="n"/>
      <c r="D38" s="1484" t="n"/>
      <c r="E38" s="1484" t="n"/>
      <c r="F38" s="1484" t="n"/>
      <c r="G38" s="1502" t="n"/>
      <c r="H38" s="1496" t="n"/>
      <c r="I38" s="1496" t="n"/>
      <c r="J38" s="1496" t="n"/>
      <c r="K38" s="1496" t="n"/>
      <c r="L38" s="1484" t="n"/>
      <c r="M38" s="1484" t="n"/>
      <c r="N38" s="1484" t="n"/>
      <c r="O38" s="1484" t="n"/>
      <c r="P38" s="1484" t="n"/>
      <c r="Q38" s="1484" t="n"/>
      <c r="R38" s="1484" t="n"/>
      <c r="S38" s="1484" t="n"/>
      <c r="T38" s="1484" t="n"/>
      <c r="U38" s="1484" t="n"/>
      <c r="V38" s="1484" t="n"/>
      <c r="W38" s="1484" t="n"/>
      <c r="X38" s="1487" t="n"/>
      <c r="Y38" s="1475" t="n"/>
      <c r="Z38" s="1475" t="n"/>
    </row>
    <row r="39" ht="15.75" customHeight="1" s="7635">
      <c r="A39" s="1473">
        <f>E39&lt;&gt;""</f>
        <v/>
      </c>
      <c r="B39" s="1497" t="n"/>
      <c r="C39" s="1498" t="n"/>
      <c r="D39" s="1484" t="n"/>
      <c r="E39" s="1501" t="n"/>
      <c r="F39" s="1484" t="n"/>
      <c r="G39" s="1506" t="inlineStr">
        <is>
          <t>4.</t>
        </is>
      </c>
      <c r="H39" s="1502">
        <f>"You had a "&amp;TaxYear-1&amp;" or "&amp;TaxYear&amp;" IRA contribution returned to you, with the related earnings or less any loss, by the due date (including extensions) of your tax return for that year."</f>
        <v/>
      </c>
      <c r="I39" s="1502" t="n"/>
      <c r="J39" s="1496" t="n"/>
      <c r="K39" s="1496" t="n"/>
      <c r="L39" s="1484" t="n"/>
      <c r="M39" s="1484" t="n"/>
      <c r="N39" s="1484" t="n"/>
      <c r="O39" s="1484" t="n"/>
      <c r="P39" s="1484" t="n"/>
      <c r="Q39" s="1484" t="n"/>
      <c r="R39" s="1484" t="n"/>
      <c r="S39" s="1484" t="n"/>
      <c r="T39" s="1484" t="n"/>
      <c r="U39" s="1484" t="n"/>
      <c r="V39" s="1484" t="n"/>
      <c r="W39" s="1484" t="n"/>
      <c r="X39" s="1487" t="n"/>
      <c r="Y39" s="1475" t="n"/>
      <c r="Z39" s="1475" t="n"/>
    </row>
    <row r="40" ht="15" customHeight="1" s="7635">
      <c r="A40" s="1473" t="n"/>
      <c r="B40" s="1482" t="n"/>
      <c r="C40" s="1484" t="n"/>
      <c r="D40" s="1484" t="n"/>
      <c r="E40" s="1484" t="n"/>
      <c r="F40" s="1484" t="n"/>
      <c r="G40" s="1506" t="n"/>
      <c r="H40" s="1502" t="n"/>
      <c r="I40" s="1502" t="n"/>
      <c r="J40" s="1496" t="n"/>
      <c r="K40" s="1496" t="n"/>
      <c r="L40" s="1484" t="n"/>
      <c r="M40" s="1484" t="n"/>
      <c r="N40" s="1484" t="n"/>
      <c r="O40" s="1484" t="n"/>
      <c r="P40" s="1484" t="n"/>
      <c r="Q40" s="1484" t="n"/>
      <c r="R40" s="1484" t="n"/>
      <c r="S40" s="1484" t="n"/>
      <c r="T40" s="1484" t="n"/>
      <c r="U40" s="1484" t="n"/>
      <c r="V40" s="1484" t="n"/>
      <c r="W40" s="1484" t="n"/>
      <c r="X40" s="1487" t="n"/>
      <c r="Y40" s="1475" t="n"/>
      <c r="Z40" s="1475" t="n"/>
    </row>
    <row r="41" ht="15.75" customHeight="1" s="7635">
      <c r="A41" s="1473">
        <f>E41&lt;&gt;""</f>
        <v/>
      </c>
      <c r="B41" s="1497" t="n"/>
      <c r="C41" s="1498" t="n"/>
      <c r="D41" s="1484" t="n"/>
      <c r="E41" s="1501" t="n"/>
      <c r="F41" s="1484" t="n"/>
      <c r="G41" s="1506" t="inlineStr">
        <is>
          <t>5.</t>
        </is>
      </c>
      <c r="H41" s="1502">
        <f>"You made excess contributions to your IRA for an earlier year and had them returned to you in "&amp;TaxYear&amp;"."</f>
        <v/>
      </c>
      <c r="I41" s="1502" t="n"/>
      <c r="J41" s="1496" t="n"/>
      <c r="K41" s="1496" t="n"/>
      <c r="L41" s="1484" t="n"/>
      <c r="M41" s="1484" t="n"/>
      <c r="N41" s="1484" t="n"/>
      <c r="O41" s="1484" t="n"/>
      <c r="P41" s="1484" t="n"/>
      <c r="Q41" s="1484" t="n"/>
      <c r="R41" s="1484" t="n"/>
      <c r="S41" s="1484" t="n"/>
      <c r="T41" s="1484" t="n"/>
      <c r="U41" s="1484" t="n"/>
      <c r="V41" s="1484" t="n"/>
      <c r="W41" s="1484" t="n"/>
      <c r="X41" s="1487" t="n"/>
      <c r="Y41" s="1475" t="n"/>
      <c r="Z41" s="1475" t="n"/>
    </row>
    <row r="42" ht="15" customHeight="1" s="7635">
      <c r="A42" s="1473" t="n"/>
      <c r="B42" s="1482" t="n"/>
      <c r="C42" s="1484" t="n"/>
      <c r="D42" s="1484" t="n"/>
      <c r="E42" s="1484" t="n"/>
      <c r="F42" s="1484" t="n"/>
      <c r="G42" s="1506" t="n"/>
      <c r="H42" s="1502" t="n"/>
      <c r="I42" s="1502" t="n"/>
      <c r="J42" s="1496" t="n"/>
      <c r="K42" s="1496" t="n"/>
      <c r="L42" s="1484" t="n"/>
      <c r="M42" s="1484" t="n"/>
      <c r="N42" s="1484" t="n"/>
      <c r="O42" s="1484" t="n"/>
      <c r="P42" s="1484" t="n"/>
      <c r="Q42" s="1484" t="n"/>
      <c r="R42" s="1484" t="n"/>
      <c r="S42" s="1484" t="n"/>
      <c r="T42" s="1484" t="n"/>
      <c r="U42" s="1484" t="n"/>
      <c r="V42" s="1484" t="n"/>
      <c r="W42" s="1484" t="n"/>
      <c r="X42" s="1487" t="n"/>
      <c r="Y42" s="1475" t="n"/>
      <c r="Z42" s="1475" t="n"/>
    </row>
    <row r="43" ht="15.75" customHeight="1" s="7635">
      <c r="A43" s="1473">
        <f>E43&lt;&gt;""</f>
        <v/>
      </c>
      <c r="B43" s="1497" t="n"/>
      <c r="C43" s="1498" t="n"/>
      <c r="D43" s="1484" t="n"/>
      <c r="E43" s="1501" t="n"/>
      <c r="F43" s="1484" t="n"/>
      <c r="G43" s="1506" t="inlineStr">
        <is>
          <t>6.</t>
        </is>
      </c>
      <c r="H43" s="1502" t="inlineStr">
        <is>
          <t xml:space="preserve">You re-characterized part or all of a contribution to a Roth IRA as a contribution to another type of IRA, or vice versa. </t>
        </is>
      </c>
      <c r="I43" s="1502" t="n"/>
      <c r="J43" s="1496" t="n"/>
      <c r="K43" s="1496" t="n"/>
      <c r="L43" s="1484" t="n"/>
      <c r="M43" s="1484" t="n"/>
      <c r="N43" s="1484" t="n"/>
      <c r="O43" s="1484" t="n"/>
      <c r="P43" s="1484" t="n"/>
      <c r="Q43" s="1484" t="n"/>
      <c r="R43" s="1484" t="n"/>
      <c r="S43" s="1484" t="n"/>
      <c r="T43" s="1484" t="n"/>
      <c r="U43" s="1484" t="n"/>
      <c r="V43" s="1484" t="n"/>
      <c r="W43" s="1484" t="n"/>
      <c r="X43" s="1487" t="n"/>
      <c r="Y43" s="1475" t="n"/>
      <c r="Z43" s="1475" t="n"/>
    </row>
    <row r="44" ht="15" customHeight="1" s="7635">
      <c r="A44" s="1473" t="n"/>
      <c r="B44" s="1482" t="n"/>
      <c r="C44" s="1484" t="n"/>
      <c r="D44" s="1484" t="n"/>
      <c r="E44" s="1484" t="n"/>
      <c r="F44" s="1484" t="n"/>
      <c r="G44" s="1506" t="n"/>
      <c r="H44" s="1502" t="n"/>
      <c r="I44" s="1502" t="n"/>
      <c r="J44" s="1496" t="n"/>
      <c r="K44" s="1496" t="n"/>
      <c r="L44" s="1484" t="n"/>
      <c r="M44" s="1484" t="n"/>
      <c r="N44" s="1484" t="n"/>
      <c r="O44" s="1484" t="n"/>
      <c r="P44" s="1484" t="n"/>
      <c r="Q44" s="1484" t="n"/>
      <c r="R44" s="1484" t="n"/>
      <c r="S44" s="1484" t="n"/>
      <c r="T44" s="1484" t="n"/>
      <c r="U44" s="1484" t="n"/>
      <c r="V44" s="1484" t="n"/>
      <c r="W44" s="1484" t="n"/>
      <c r="X44" s="1487" t="n"/>
      <c r="Y44" s="1475" t="n"/>
      <c r="Z44" s="1475" t="n"/>
    </row>
    <row r="45" ht="15" customHeight="1" s="7635">
      <c r="A45" s="1473" t="n"/>
      <c r="B45" s="1482" t="n"/>
      <c r="C45" s="1484" t="n"/>
      <c r="D45" s="1484" t="n"/>
      <c r="E45" s="1484" t="n"/>
      <c r="F45" s="1484" t="n"/>
      <c r="G45" s="1506" t="n"/>
      <c r="H45" s="1502" t="n"/>
      <c r="I45" s="1502" t="n"/>
      <c r="J45" s="1496" t="n"/>
      <c r="K45" s="1496" t="n"/>
      <c r="L45" s="1484" t="n"/>
      <c r="M45" s="1484" t="n"/>
      <c r="N45" s="1484" t="n"/>
      <c r="O45" s="1484" t="n"/>
      <c r="P45" s="1484" t="n"/>
      <c r="Q45" s="1484" t="n"/>
      <c r="R45" s="1484" t="n"/>
      <c r="S45" s="1484" t="n"/>
      <c r="T45" s="1484" t="n"/>
      <c r="U45" s="1484" t="n"/>
      <c r="V45" s="1484" t="n"/>
      <c r="W45" s="1484" t="n"/>
      <c r="X45" s="1487" t="n"/>
      <c r="Y45" s="1475" t="n"/>
      <c r="Z45" s="1475" t="n"/>
    </row>
    <row r="46" ht="15.75" customHeight="1" s="7635">
      <c r="A46" s="1473">
        <f>OR(A48,AND(A49,NOT(A27)))</f>
        <v/>
      </c>
      <c r="B46" s="1482" t="n"/>
      <c r="C46" s="1484" t="n"/>
      <c r="D46" s="1494">
        <f>IF(A46,"X","")</f>
        <v/>
      </c>
      <c r="E46" s="1484" t="n"/>
      <c r="F46" s="1484" t="n"/>
      <c r="G46" s="1495" t="inlineStr">
        <is>
          <t>Exception 3.</t>
        </is>
      </c>
      <c r="H46" s="1502" t="inlineStr">
        <is>
          <t>If all or part of the distribution is a qualified charitable distribution (QCD),</t>
        </is>
      </c>
      <c r="I46" s="1502" t="n"/>
      <c r="J46" s="1484" t="n"/>
      <c r="K46" s="1484" t="n"/>
      <c r="L46" s="1484" t="n"/>
      <c r="M46" s="1484" t="n"/>
      <c r="N46" s="1484" t="n"/>
      <c r="O46" s="1484" t="n"/>
      <c r="P46" s="1507">
        <f>IF(IRA_QCD," Enter the total distribution on line 4a","enter the total distribution on line 4a.")</f>
        <v/>
      </c>
      <c r="Q46" s="1484" t="n"/>
      <c r="R46" s="1484" t="n"/>
      <c r="S46" s="1484" t="n"/>
      <c r="T46" s="1484" t="n"/>
      <c r="U46" s="1484" t="n"/>
      <c r="V46" s="1484" t="n"/>
      <c r="W46" s="1484" t="n"/>
      <c r="X46" s="1487" t="n"/>
      <c r="Y46" s="1475" t="n"/>
      <c r="Z46" s="1475" t="n"/>
    </row>
    <row r="47" ht="15" customHeight="1" s="7635">
      <c r="A47" s="1473" t="n"/>
      <c r="B47" s="1482" t="n"/>
      <c r="C47" s="1484" t="n"/>
      <c r="D47" s="1484" t="n"/>
      <c r="E47" s="1484" t="n"/>
      <c r="F47" s="1484" t="n"/>
      <c r="G47" s="1496" t="n"/>
      <c r="H47" s="1484" t="n"/>
      <c r="I47" s="1484" t="n"/>
      <c r="J47" s="1484" t="n"/>
      <c r="K47" s="1484" t="n"/>
      <c r="L47" s="1484" t="n"/>
      <c r="M47" s="1484" t="n"/>
      <c r="N47" s="1484" t="n"/>
      <c r="O47" s="1484" t="n"/>
      <c r="P47" s="1484" t="n"/>
      <c r="Q47" s="1484" t="n"/>
      <c r="R47" s="1484" t="n"/>
      <c r="S47" s="1484" t="n"/>
      <c r="T47" s="1484" t="n"/>
      <c r="U47" s="1484" t="n"/>
      <c r="V47" s="1484" t="n"/>
      <c r="W47" s="1484" t="n"/>
      <c r="X47" s="1487" t="n"/>
      <c r="Y47" s="1475" t="n"/>
      <c r="Z47" s="1475" t="n"/>
    </row>
    <row r="48" ht="15.75" customHeight="1" s="7635">
      <c r="A48" s="1473">
        <f>F48&lt;&gt;""</f>
        <v/>
      </c>
      <c r="B48" s="1497" t="n"/>
      <c r="C48" s="1498" t="n"/>
      <c r="D48" s="1484" t="n"/>
      <c r="E48" s="1484" t="n"/>
      <c r="F48" s="1501" t="n"/>
      <c r="G48" s="1506" t="inlineStr">
        <is>
          <t>1.</t>
        </is>
      </c>
      <c r="H48" s="1507" t="inlineStr">
        <is>
          <t>If the  total  amount  distributed is a QCD,</t>
        </is>
      </c>
      <c r="I48" s="1484" t="n"/>
      <c r="J48" s="1484" t="n"/>
      <c r="K48" s="1484" t="n"/>
      <c r="L48" s="1509">
        <f>IF(A48,"enter -0- on line 4b","enter -0- on line 4b.")</f>
        <v/>
      </c>
      <c r="M48" s="1484" t="n"/>
      <c r="N48" s="1484" t="n"/>
      <c r="O48" s="1484" t="n"/>
      <c r="P48" s="1484" t="n"/>
      <c r="Q48" s="1484" t="n"/>
      <c r="R48" s="1484" t="n"/>
      <c r="S48" s="1484" t="n"/>
      <c r="T48" s="1484" t="n"/>
      <c r="U48" s="1484" t="n"/>
      <c r="V48" s="1484" t="n"/>
      <c r="W48" s="1484" t="n"/>
      <c r="X48" s="1487" t="n"/>
      <c r="Y48" s="1475" t="n"/>
      <c r="Z48" s="1475" t="n"/>
    </row>
    <row r="49" ht="15.75" customHeight="1" s="7635">
      <c r="A49" s="1473">
        <f>F49&lt;&gt;""</f>
        <v/>
      </c>
      <c r="B49" s="1497" t="n"/>
      <c r="C49" s="1498" t="n"/>
      <c r="D49" s="1484" t="n"/>
      <c r="E49" s="1484" t="n"/>
      <c r="F49" s="1501" t="n"/>
      <c r="G49" s="1506" t="inlineStr">
        <is>
          <t>2.</t>
        </is>
      </c>
      <c r="H49" s="1507" t="inlineStr">
        <is>
          <t>If only part of the distribution is a QCD,</t>
        </is>
      </c>
      <c r="I49" s="1484" t="n"/>
      <c r="J49" s="1484" t="n"/>
      <c r="K49" s="1484" t="n"/>
      <c r="L49" s="1507" t="inlineStr">
        <is>
          <t>enter the part that is not a QCD on line 4b</t>
        </is>
      </c>
      <c r="M49" s="1484" t="n"/>
      <c r="N49" s="1484" t="n"/>
      <c r="O49" s="1484" t="n"/>
      <c r="P49" s="1484" t="n"/>
      <c r="Q49" s="1484" t="n"/>
      <c r="R49" s="1489" t="inlineStr">
        <is>
          <t>unless Exception 2 applies to that part.</t>
        </is>
      </c>
      <c r="S49" s="1484" t="n"/>
      <c r="T49" s="1484" t="n"/>
      <c r="U49" s="1484" t="n"/>
      <c r="V49" s="1484" t="n"/>
      <c r="W49" s="1484" t="n"/>
      <c r="X49" s="1487" t="n"/>
      <c r="Y49" s="1475" t="n"/>
      <c r="Z49" s="1475" t="n"/>
    </row>
    <row r="50" ht="15" customHeight="1" s="7635">
      <c r="A50" s="1473" t="n"/>
      <c r="B50" s="1482" t="n"/>
      <c r="C50" s="1484" t="n"/>
      <c r="D50" s="1484" t="n"/>
      <c r="E50" s="1484" t="n"/>
      <c r="F50" s="1484" t="n"/>
      <c r="G50" s="1506" t="n"/>
      <c r="H50" s="1507">
        <f>IF(AND(IRA_QCD,NOT(A27)),"enter “QCD” next to line 4b.","Enter “QCD” next to line 4b.")</f>
        <v/>
      </c>
      <c r="I50" s="1484" t="n"/>
      <c r="J50" s="1484" t="n"/>
      <c r="K50" s="1484" t="n"/>
      <c r="L50" s="1484" t="n"/>
      <c r="M50" s="1484" t="n"/>
      <c r="N50" s="1484" t="n"/>
      <c r="O50" s="1484" t="n"/>
      <c r="P50" s="1484" t="n"/>
      <c r="Q50" s="1484" t="n"/>
      <c r="R50" s="1484" t="n"/>
      <c r="S50" s="1484" t="n"/>
      <c r="T50" s="1484" t="n"/>
      <c r="U50" s="1484" t="n"/>
      <c r="V50" s="1484" t="n"/>
      <c r="W50" s="1484" t="n"/>
      <c r="X50" s="1487" t="n"/>
      <c r="Y50" s="1475" t="n"/>
      <c r="Z50" s="1475" t="n"/>
    </row>
    <row r="51" ht="15" customHeight="1" s="7635">
      <c r="A51" s="1473" t="n"/>
      <c r="B51" s="1482" t="n"/>
      <c r="C51" s="1484" t="n"/>
      <c r="D51" s="1484" t="n"/>
      <c r="E51" s="1484" t="n"/>
      <c r="F51" s="1484" t="n"/>
      <c r="G51" s="1484" t="n"/>
      <c r="H51" s="1496" t="n"/>
      <c r="I51" s="1484" t="n"/>
      <c r="J51" s="1484" t="n"/>
      <c r="K51" s="1484" t="n"/>
      <c r="L51" s="1484" t="n"/>
      <c r="M51" s="1484" t="n"/>
      <c r="N51" s="1484" t="n"/>
      <c r="O51" s="1484" t="n"/>
      <c r="P51" s="1484" t="n"/>
      <c r="Q51" s="1484" t="n"/>
      <c r="R51" s="1484" t="n"/>
      <c r="S51" s="1484" t="n"/>
      <c r="T51" s="1484" t="n"/>
      <c r="U51" s="1484" t="n"/>
      <c r="V51" s="1484" t="n"/>
      <c r="W51" s="1484" t="n"/>
      <c r="X51" s="1487" t="n"/>
      <c r="Y51" s="1475" t="n"/>
      <c r="Z51" s="1475" t="n"/>
    </row>
    <row r="52" ht="15" customHeight="1" s="7635">
      <c r="A52" s="1473" t="n"/>
      <c r="B52" s="1482" t="n"/>
      <c r="C52" s="1484" t="n"/>
      <c r="D52" s="1484" t="n"/>
      <c r="E52" s="1484" t="n"/>
      <c r="F52" s="1484" t="n"/>
      <c r="G52" s="1484" t="n"/>
      <c r="H52" s="1507" t="inlineStr">
        <is>
          <t>A QCD is a distribution made directly by the trustee of your IRA (other than an ongoing SEP or SIMPLE IRA) to an organization eligible to receive tax-deductible</t>
        </is>
      </c>
      <c r="I52" s="1484" t="n"/>
      <c r="J52" s="1484" t="n"/>
      <c r="K52" s="1484" t="n"/>
      <c r="L52" s="1484" t="n"/>
      <c r="M52" s="1484" t="n"/>
      <c r="N52" s="1484" t="n"/>
      <c r="O52" s="1484" t="n"/>
      <c r="P52" s="1484" t="n"/>
      <c r="Q52" s="1484" t="n"/>
      <c r="R52" s="1484" t="n"/>
      <c r="S52" s="1484" t="n"/>
      <c r="T52" s="1484" t="n"/>
      <c r="U52" s="1484" t="n"/>
      <c r="V52" s="1484" t="n"/>
      <c r="W52" s="1484" t="n"/>
      <c r="X52" s="1487" t="n"/>
      <c r="Y52" s="1475" t="n"/>
      <c r="Z52" s="1475" t="n"/>
    </row>
    <row r="53" ht="15" customHeight="1" s="7635">
      <c r="A53" s="1473" t="n"/>
      <c r="B53" s="1482" t="n"/>
      <c r="C53" s="1484" t="n"/>
      <c r="D53" s="1484" t="n"/>
      <c r="E53" s="1484" t="n"/>
      <c r="F53" s="1484" t="n"/>
      <c r="G53" s="1484" t="n"/>
      <c r="H53" s="1507" t="inlineStr">
        <is>
          <t xml:space="preserve">contributions (with certain exceptions). You must have been at least age 70 1/2 when the distribution was made. </t>
        </is>
      </c>
      <c r="I53" s="1484" t="n"/>
      <c r="J53" s="1484" t="n"/>
      <c r="K53" s="1484" t="n"/>
      <c r="L53" s="1484" t="n"/>
      <c r="M53" s="1484" t="n"/>
      <c r="N53" s="1484" t="n"/>
      <c r="O53" s="1484" t="n"/>
      <c r="P53" s="1484" t="n"/>
      <c r="Q53" s="1484" t="n"/>
      <c r="R53" s="1484" t="n"/>
      <c r="S53" s="1484" t="n"/>
      <c r="T53" s="1484" t="n"/>
      <c r="U53" s="1484" t="n"/>
      <c r="V53" s="1484" t="n"/>
      <c r="W53" s="1484" t="n"/>
      <c r="X53" s="1487" t="n"/>
      <c r="Y53" s="1475" t="n"/>
      <c r="Z53" s="1475" t="n"/>
    </row>
    <row r="54" ht="15" customHeight="1" s="7635">
      <c r="A54" s="1473" t="n"/>
      <c r="B54" s="1482" t="n"/>
      <c r="C54" s="1484" t="n"/>
      <c r="D54" s="1484" t="n"/>
      <c r="E54" s="1484" t="n"/>
      <c r="F54" s="1484" t="n"/>
      <c r="G54" s="1484" t="n"/>
      <c r="H54" s="1507" t="n"/>
      <c r="I54" s="1484" t="n"/>
      <c r="J54" s="1484" t="n"/>
      <c r="K54" s="1484" t="n"/>
      <c r="L54" s="1484" t="n"/>
      <c r="M54" s="1484" t="n"/>
      <c r="N54" s="1484" t="n"/>
      <c r="O54" s="1484" t="n"/>
      <c r="P54" s="1484" t="n"/>
      <c r="Q54" s="1484" t="n"/>
      <c r="R54" s="1484" t="n"/>
      <c r="S54" s="1484" t="n"/>
      <c r="T54" s="1484" t="n"/>
      <c r="U54" s="1484" t="n"/>
      <c r="V54" s="1484" t="n"/>
      <c r="W54" s="1484" t="n"/>
      <c r="X54" s="1487" t="n"/>
      <c r="Y54" s="1475" t="n"/>
      <c r="Z54" s="1475" t="n"/>
    </row>
    <row r="55" ht="15" customHeight="1" s="7635">
      <c r="A55" s="1473" t="n"/>
      <c r="B55" s="1482" t="n"/>
      <c r="C55" s="1484" t="n"/>
      <c r="D55" s="1484" t="n"/>
      <c r="E55" s="1484" t="n"/>
      <c r="F55" s="1484" t="n"/>
      <c r="G55" s="1484" t="n"/>
      <c r="H55" s="1496" t="inlineStr">
        <is>
          <t>Generally, your total QCDs for the year can't be more than $100,000. This includes any amount (up to $50,000) of a one-time QCD to a split-interest entity.</t>
        </is>
      </c>
      <c r="I55" s="1484" t="n"/>
      <c r="J55" s="1484" t="n"/>
      <c r="K55" s="1484" t="n"/>
      <c r="L55" s="1484" t="n"/>
      <c r="M55" s="1484" t="n"/>
      <c r="N55" s="1484" t="n"/>
      <c r="O55" s="1484" t="n"/>
      <c r="P55" s="1484" t="n"/>
      <c r="Q55" s="1484" t="n"/>
      <c r="R55" s="1484" t="n"/>
      <c r="S55" s="1484" t="n"/>
      <c r="T55" s="1484" t="n"/>
      <c r="U55" s="1484" t="n"/>
      <c r="V55" s="1484" t="n"/>
      <c r="W55" s="1484" t="n"/>
      <c r="X55" s="1487" t="n"/>
      <c r="Y55" s="1475" t="n"/>
      <c r="Z55" s="1475" t="n"/>
    </row>
    <row r="56" ht="15" customHeight="1" s="7635">
      <c r="A56" s="1473" t="n"/>
      <c r="B56" s="1482" t="n"/>
      <c r="C56" s="1484" t="n"/>
      <c r="D56" s="1484" t="n"/>
      <c r="E56" s="1484" t="n"/>
      <c r="F56" s="1484" t="n"/>
      <c r="G56" s="1484" t="n"/>
      <c r="H56" s="1496" t="inlineStr">
        <is>
          <t>If you file a joint return, the same rules apply to your spouse.</t>
        </is>
      </c>
      <c r="I56" s="1484" t="n"/>
      <c r="J56" s="1484" t="n"/>
      <c r="K56" s="1484" t="n"/>
      <c r="L56" s="1484" t="n"/>
      <c r="M56" s="1484" t="n"/>
      <c r="N56" s="1484" t="n"/>
      <c r="O56" s="1484" t="n"/>
      <c r="P56" s="1484" t="n"/>
      <c r="Q56" s="1484" t="n"/>
      <c r="R56" s="1484" t="n"/>
      <c r="S56" s="1484" t="n"/>
      <c r="T56" s="1484" t="n"/>
      <c r="U56" s="1484" t="n"/>
      <c r="V56" s="1484" t="n"/>
      <c r="W56" s="1484" t="n"/>
      <c r="X56" s="1487" t="n"/>
      <c r="Y56" s="1475" t="n"/>
      <c r="Z56" s="1475" t="n"/>
    </row>
    <row r="57" ht="15" customHeight="1" s="7635">
      <c r="A57" s="1473" t="n"/>
      <c r="B57" s="1482" t="n"/>
      <c r="C57" s="1484" t="n"/>
      <c r="D57" s="1484" t="n"/>
      <c r="E57" s="1484" t="n"/>
      <c r="F57" s="1484" t="n"/>
      <c r="G57" s="1484" t="n"/>
      <c r="H57" s="1496" t="n"/>
      <c r="I57" s="1484" t="n"/>
      <c r="J57" s="1484" t="n"/>
      <c r="K57" s="1484" t="n"/>
      <c r="L57" s="1484" t="n"/>
      <c r="M57" s="1484" t="n"/>
      <c r="N57" s="1484" t="n"/>
      <c r="O57" s="1484" t="n"/>
      <c r="P57" s="1484" t="n"/>
      <c r="Q57" s="1484" t="n"/>
      <c r="R57" s="1484" t="n"/>
      <c r="S57" s="1484" t="n"/>
      <c r="T57" s="1484" t="n"/>
      <c r="U57" s="1484" t="n"/>
      <c r="V57" s="1484" t="n"/>
      <c r="W57" s="1484" t="n"/>
      <c r="X57" s="1487" t="n"/>
      <c r="Y57" s="1475" t="n"/>
      <c r="Z57" s="1475" t="n"/>
    </row>
    <row r="58" ht="15" customHeight="1" s="7635">
      <c r="A58" s="1473" t="n"/>
      <c r="B58" s="1482" t="n"/>
      <c r="C58" s="1484" t="n"/>
      <c r="D58" s="1484" t="n"/>
      <c r="E58" s="1484" t="n"/>
      <c r="F58" s="1484" t="n"/>
      <c r="G58" s="1484" t="n"/>
      <c r="H58" s="1496" t="inlineStr">
        <is>
          <t>The amount of the QCD is limited to the amount that would otherwise be included in your income.</t>
        </is>
      </c>
      <c r="I58" s="1484" t="n"/>
      <c r="J58" s="1484" t="n"/>
      <c r="K58" s="1484" t="n"/>
      <c r="L58" s="1484" t="n"/>
      <c r="M58" s="1484" t="n"/>
      <c r="N58" s="1484" t="n"/>
      <c r="O58" s="1484" t="n"/>
      <c r="P58" s="1484" t="n"/>
      <c r="Q58" s="1484" t="n"/>
      <c r="R58" s="1484" t="n"/>
      <c r="S58" s="1484" t="n"/>
      <c r="T58" s="1484" t="n"/>
      <c r="U58" s="1484" t="n"/>
      <c r="V58" s="1484" t="n"/>
      <c r="W58" s="1484" t="n"/>
      <c r="X58" s="1487" t="n"/>
      <c r="Y58" s="1475" t="n"/>
      <c r="Z58" s="1475" t="n"/>
    </row>
    <row r="59" ht="15" customHeight="1" s="7635">
      <c r="A59" s="1473" t="n"/>
      <c r="B59" s="1482" t="n"/>
      <c r="C59" s="1484" t="n"/>
      <c r="D59" s="1484" t="n"/>
      <c r="E59" s="1484" t="n"/>
      <c r="F59" s="1484" t="n"/>
      <c r="G59" s="1484" t="n"/>
      <c r="H59" s="1496" t="n"/>
      <c r="I59" s="1484" t="n"/>
      <c r="J59" s="1484" t="n"/>
      <c r="K59" s="1484" t="n"/>
      <c r="L59" s="1484" t="n"/>
      <c r="M59" s="1484" t="n"/>
      <c r="N59" s="1484" t="n"/>
      <c r="O59" s="1484" t="n"/>
      <c r="P59" s="1484" t="n"/>
      <c r="Q59" s="1484" t="n"/>
      <c r="R59" s="1484" t="n"/>
      <c r="S59" s="1484" t="n"/>
      <c r="T59" s="1484" t="n"/>
      <c r="U59" s="1484" t="n"/>
      <c r="V59" s="1484" t="n"/>
      <c r="W59" s="1484" t="n"/>
      <c r="X59" s="1487" t="n"/>
      <c r="Y59" s="1475" t="n"/>
      <c r="Z59" s="1475" t="n"/>
    </row>
    <row r="60" ht="15" customHeight="1" s="7635">
      <c r="A60" s="1473" t="n"/>
      <c r="B60" s="1482" t="n"/>
      <c r="C60" s="1484" t="n"/>
      <c r="D60" s="1484" t="n"/>
      <c r="E60" s="1484" t="n"/>
      <c r="F60" s="1484" t="n"/>
      <c r="G60" s="1484" t="n"/>
      <c r="H60" s="1496" t="inlineStr">
        <is>
          <t xml:space="preserve">If your IRA includes nondeductible contributions, the distribution is first considered to be paid out of otherwise taxable income. See Pub. 590-B for details. </t>
        </is>
      </c>
      <c r="I60" s="1484" t="n"/>
      <c r="J60" s="1484" t="n"/>
      <c r="K60" s="1484" t="n"/>
      <c r="L60" s="1484" t="n"/>
      <c r="M60" s="1484" t="n"/>
      <c r="N60" s="1484" t="n"/>
      <c r="O60" s="1484" t="n"/>
      <c r="P60" s="1484" t="n"/>
      <c r="Q60" s="1484" t="n"/>
      <c r="R60" s="1484" t="n"/>
      <c r="S60" s="1484" t="n"/>
      <c r="T60" s="1484" t="n"/>
      <c r="U60" s="1484" t="n"/>
      <c r="V60" s="1484" t="n"/>
      <c r="W60" s="1484" t="n"/>
      <c r="X60" s="1487" t="n"/>
      <c r="Y60" s="1475" t="n"/>
      <c r="Z60" s="1475" t="n"/>
    </row>
    <row r="61" ht="15.75" customHeight="1" s="7635">
      <c r="A61" s="1473" t="n"/>
      <c r="B61" s="1482" t="n"/>
      <c r="C61" s="1484" t="n"/>
      <c r="D61" s="1484" t="n"/>
      <c r="E61" s="1484" t="n"/>
      <c r="F61" s="1484" t="n"/>
      <c r="G61" s="1676" t="inlineStr">
        <is>
          <t xml:space="preserve">CAUTION! </t>
        </is>
      </c>
      <c r="H61" s="1675" t="inlineStr">
        <is>
          <t xml:space="preserve">You can't claim a charitable contribution deduction for any QCD not included in your income. </t>
        </is>
      </c>
      <c r="I61" s="1484" t="n"/>
      <c r="J61" s="1484" t="n"/>
      <c r="K61" s="1484" t="n"/>
      <c r="L61" s="1484" t="n"/>
      <c r="M61" s="1484" t="n"/>
      <c r="N61" s="1484" t="n"/>
      <c r="O61" s="1484" t="n"/>
      <c r="P61" s="1484" t="n"/>
      <c r="Q61" s="1484" t="n"/>
      <c r="R61" s="1484" t="n"/>
      <c r="S61" s="1484" t="n"/>
      <c r="T61" s="1484" t="n"/>
      <c r="U61" s="1484" t="n"/>
      <c r="V61" s="1484" t="n"/>
      <c r="W61" s="1484" t="n"/>
      <c r="X61" s="1487" t="n"/>
      <c r="Y61" s="1475" t="n"/>
      <c r="Z61" s="1475" t="n"/>
    </row>
    <row r="62" ht="15" customHeight="1" s="7635">
      <c r="A62" s="1473" t="n"/>
      <c r="B62" s="1482" t="n"/>
      <c r="C62" s="1484" t="n"/>
      <c r="D62" s="1484" t="n"/>
      <c r="E62" s="1484" t="n"/>
      <c r="F62" s="1484" t="n"/>
      <c r="G62" s="1496" t="n"/>
      <c r="H62" s="1484" t="n"/>
      <c r="I62" s="1484" t="n"/>
      <c r="J62" s="1484" t="n"/>
      <c r="K62" s="1484" t="n"/>
      <c r="L62" s="1484" t="n"/>
      <c r="M62" s="1484" t="n"/>
      <c r="N62" s="1484" t="n"/>
      <c r="O62" s="1484" t="n"/>
      <c r="P62" s="1484" t="n"/>
      <c r="Q62" s="1484" t="n"/>
      <c r="R62" s="1484" t="n"/>
      <c r="S62" s="1484" t="n"/>
      <c r="T62" s="1484" t="n"/>
      <c r="U62" s="1484" t="n"/>
      <c r="V62" s="1484" t="n"/>
      <c r="W62" s="1484" t="n"/>
      <c r="X62" s="1487" t="n"/>
      <c r="Y62" s="1475" t="n"/>
      <c r="Z62" s="1475" t="n"/>
    </row>
    <row r="63" ht="15" customHeight="1" s="7635">
      <c r="A63" s="1473" t="n"/>
      <c r="B63" s="1482" t="n"/>
      <c r="C63" s="1484" t="n"/>
      <c r="D63" s="1484" t="n"/>
      <c r="E63" s="1484" t="n"/>
      <c r="F63" s="1484" t="n"/>
      <c r="G63" s="1496" t="n"/>
      <c r="H63" s="1484" t="n"/>
      <c r="I63" s="1484" t="n"/>
      <c r="J63" s="1484" t="n"/>
      <c r="K63" s="1484" t="n"/>
      <c r="L63" s="1484" t="n"/>
      <c r="M63" s="1484" t="n"/>
      <c r="N63" s="1484" t="n"/>
      <c r="O63" s="1484" t="n"/>
      <c r="P63" s="1484" t="n"/>
      <c r="Q63" s="1484" t="n"/>
      <c r="R63" s="1484" t="n"/>
      <c r="S63" s="1484" t="n"/>
      <c r="T63" s="1484" t="n"/>
      <c r="U63" s="1484" t="n"/>
      <c r="V63" s="1484" t="n"/>
      <c r="W63" s="1484" t="n"/>
      <c r="X63" s="1487" t="n"/>
      <c r="Y63" s="1475" t="n"/>
      <c r="Z63" s="1475" t="n"/>
    </row>
    <row r="64" ht="15.75" customHeight="1" s="7635">
      <c r="A64" s="1473">
        <f>OR(A66,AND(A67,NOT(A27)))</f>
        <v/>
      </c>
      <c r="B64" s="1482" t="n"/>
      <c r="C64" s="1484" t="n"/>
      <c r="D64" s="1494">
        <f>IF(A64,"X","")</f>
        <v/>
      </c>
      <c r="E64" s="1484" t="n"/>
      <c r="F64" s="1484" t="n"/>
      <c r="G64" s="1495" t="inlineStr">
        <is>
          <t>Exception 4.</t>
        </is>
      </c>
      <c r="H64" s="1496" t="inlineStr">
        <is>
          <t xml:space="preserve"> If all or part of the  distribution is a  health  savings  account (HSA)  funding distribution (HFD),</t>
        </is>
      </c>
      <c r="I64" s="1484" t="n"/>
      <c r="J64" s="1484" t="n"/>
      <c r="K64" s="1484" t="n"/>
      <c r="L64" s="1484" t="n"/>
      <c r="M64" s="1484" t="n"/>
      <c r="N64" s="1484" t="n"/>
      <c r="O64" s="1484" t="n"/>
      <c r="P64" s="1484" t="n"/>
      <c r="Q64" s="1484" t="n"/>
      <c r="R64" s="1496" t="n"/>
      <c r="S64" s="1496">
        <f>IF(AND(IRA_HFD,NOT(A27)),"Enter the total distribution on line 4a","enter the total distribution on line 4a.")</f>
        <v/>
      </c>
      <c r="T64" s="1484" t="n"/>
      <c r="U64" s="1484" t="n"/>
      <c r="V64" s="1484" t="n"/>
      <c r="W64" s="1484" t="n"/>
      <c r="X64" s="1487" t="n"/>
      <c r="Y64" s="1475" t="n"/>
      <c r="Z64" s="1475" t="n"/>
    </row>
    <row r="65" ht="15.75" customHeight="1" s="7635">
      <c r="A65" s="1473" t="n"/>
      <c r="B65" s="1482" t="n"/>
      <c r="C65" s="1484" t="n"/>
      <c r="D65" s="1484" t="n"/>
      <c r="E65" s="1484" t="n"/>
      <c r="F65" s="1484" t="n"/>
      <c r="G65" s="1495" t="n"/>
      <c r="H65" s="1496" t="n"/>
      <c r="I65" s="1484" t="n"/>
      <c r="J65" s="1484" t="n"/>
      <c r="K65" s="1484" t="n"/>
      <c r="L65" s="1484" t="n"/>
      <c r="M65" s="1484" t="n"/>
      <c r="N65" s="1484" t="n"/>
      <c r="O65" s="1484" t="n"/>
      <c r="P65" s="1484" t="n"/>
      <c r="Q65" s="1484" t="n"/>
      <c r="R65" s="1484" t="n"/>
      <c r="S65" s="1484" t="n"/>
      <c r="T65" s="1484" t="n"/>
      <c r="U65" s="1484" t="n"/>
      <c r="V65" s="1484" t="n"/>
      <c r="W65" s="1484" t="n"/>
      <c r="X65" s="1487" t="n"/>
      <c r="Y65" s="1475" t="n"/>
      <c r="Z65" s="1475" t="n"/>
    </row>
    <row r="66" ht="15.75" customHeight="1" s="7635">
      <c r="A66" s="1473">
        <f>F66&lt;&gt;""</f>
        <v/>
      </c>
      <c r="B66" s="1497" t="n"/>
      <c r="C66" s="1498" t="n"/>
      <c r="D66" s="1484" t="n"/>
      <c r="E66" s="1484" t="n"/>
      <c r="F66" s="1501" t="n"/>
      <c r="G66" s="1506" t="inlineStr">
        <is>
          <t>1.</t>
        </is>
      </c>
      <c r="H66" s="1496" t="inlineStr">
        <is>
          <t>If the total amount distributed is an HFD and you elect to exclude it from income,</t>
        </is>
      </c>
      <c r="I66" s="1484" t="n"/>
      <c r="J66" s="1484" t="n"/>
      <c r="K66" s="1484" t="n"/>
      <c r="L66" s="1484" t="n"/>
      <c r="M66" s="1484" t="n"/>
      <c r="N66" s="1484" t="n"/>
      <c r="O66" s="1484" t="n"/>
      <c r="P66" s="1496" t="n"/>
      <c r="Q66" s="1496">
        <f>IF(AND(IRA_HFD,NOT(A27)),"enter -0- on line 4b","enter -0- on line 4b.")</f>
        <v/>
      </c>
      <c r="R66" s="1484" t="n"/>
      <c r="S66" s="1484" t="n"/>
      <c r="T66" s="1484" t="n"/>
      <c r="U66" s="1484" t="n"/>
      <c r="V66" s="1484" t="n"/>
      <c r="W66" s="1484" t="n"/>
      <c r="X66" s="1487" t="n"/>
      <c r="Y66" s="1475" t="n"/>
      <c r="Z66" s="1475" t="n"/>
    </row>
    <row r="67" ht="15.75" customHeight="1" s="7635">
      <c r="A67" s="1473">
        <f>F67&lt;&gt;""</f>
        <v/>
      </c>
      <c r="B67" s="1497" t="n"/>
      <c r="C67" s="1498" t="n"/>
      <c r="D67" s="1484" t="n"/>
      <c r="E67" s="1484" t="n"/>
      <c r="F67" s="1501" t="n"/>
      <c r="G67" s="1506" t="inlineStr">
        <is>
          <t>2.</t>
        </is>
      </c>
      <c r="H67" s="1496" t="inlineStr">
        <is>
          <t>If  only  part of  the  distribution is an HFD  and  you elect to exclude that part from income,</t>
        </is>
      </c>
      <c r="I67" s="1484" t="n"/>
      <c r="J67" s="1484" t="n"/>
      <c r="K67" s="1484" t="n"/>
      <c r="L67" s="1484" t="n"/>
      <c r="M67" s="1484" t="n"/>
      <c r="N67" s="1484" t="n"/>
      <c r="O67" s="1484" t="n"/>
      <c r="P67" s="1484" t="n"/>
      <c r="Q67" s="1496" t="n"/>
      <c r="R67" s="1484" t="n"/>
      <c r="S67" s="1484" t="n"/>
      <c r="T67" s="1484" t="n"/>
      <c r="U67" s="1484" t="n"/>
      <c r="V67" s="1484" t="n"/>
      <c r="W67" s="1484" t="n"/>
      <c r="X67" s="1487" t="n"/>
      <c r="Y67" s="1475" t="n"/>
      <c r="Z67" s="1475" t="n"/>
    </row>
    <row r="68" ht="15" customHeight="1" s="7635">
      <c r="A68" s="1477" t="n"/>
      <c r="B68" s="1482" t="n"/>
      <c r="C68" s="1484" t="n"/>
      <c r="D68" s="1484" t="n"/>
      <c r="E68" s="1484" t="n"/>
      <c r="F68" s="1484" t="n"/>
      <c r="G68" s="1506" t="n"/>
      <c r="H68" s="1496" t="inlineStr">
        <is>
          <t>enter the part that isn't an HFD on line 4b</t>
        </is>
      </c>
      <c r="I68" s="1484" t="n"/>
      <c r="J68" s="1484" t="n"/>
      <c r="K68" s="1484" t="n"/>
      <c r="L68" s="1484" t="n"/>
      <c r="M68" s="1496" t="inlineStr">
        <is>
          <t>unless Exception 2 applies to that part.</t>
        </is>
      </c>
      <c r="N68" s="1484" t="n"/>
      <c r="O68" s="1484" t="n"/>
      <c r="P68" s="1484" t="n"/>
      <c r="Q68" s="1496" t="n"/>
      <c r="R68" s="1484" t="n"/>
      <c r="S68" s="1484" t="n"/>
      <c r="T68" s="1484" t="n"/>
      <c r="U68" s="1484" t="n"/>
      <c r="V68" s="1484" t="n"/>
      <c r="W68" s="1484" t="n"/>
      <c r="X68" s="1487" t="n"/>
      <c r="Y68" s="1475" t="n"/>
      <c r="Z68" s="1475" t="n"/>
    </row>
    <row r="69" ht="15" customHeight="1" s="7635">
      <c r="A69" s="1477" t="n"/>
      <c r="B69" s="1482" t="n"/>
      <c r="C69" s="1484" t="n"/>
      <c r="D69" s="1484" t="n"/>
      <c r="E69" s="1484" t="n"/>
      <c r="F69" s="1484" t="n"/>
      <c r="G69" s="1506" t="n"/>
      <c r="H69" s="1496">
        <f>IF(AND(IRA_HFD,NOT(A27)),"enter “HFD” next to line 4b.","Enter “HFD” next to line 4b.")</f>
        <v/>
      </c>
      <c r="I69" s="1484" t="n"/>
      <c r="J69" s="1484" t="n"/>
      <c r="K69" s="1484" t="n"/>
      <c r="L69" s="1484" t="n"/>
      <c r="M69" s="1484" t="n"/>
      <c r="N69" s="1484" t="n"/>
      <c r="O69" s="1484" t="n"/>
      <c r="P69" s="1484" t="n"/>
      <c r="Q69" s="1484" t="n"/>
      <c r="R69" s="1484" t="n"/>
      <c r="S69" s="1484" t="n"/>
      <c r="T69" s="1484" t="n"/>
      <c r="U69" s="1484" t="n"/>
      <c r="V69" s="1484" t="n"/>
      <c r="W69" s="1484" t="n"/>
      <c r="X69" s="1487" t="n"/>
      <c r="Y69" s="1475" t="n"/>
      <c r="Z69" s="1475" t="n"/>
    </row>
    <row r="70" ht="15" customHeight="1" s="7635">
      <c r="A70" s="1477" t="n"/>
      <c r="B70" s="1482" t="n"/>
      <c r="C70" s="1484" t="n"/>
      <c r="D70" s="1484" t="n"/>
      <c r="E70" s="1484" t="n"/>
      <c r="F70" s="1484" t="n"/>
      <c r="G70" s="1506" t="n"/>
      <c r="H70" s="1496" t="n"/>
      <c r="I70" s="1484" t="n"/>
      <c r="J70" s="1484" t="n"/>
      <c r="K70" s="1484" t="n"/>
      <c r="L70" s="1484" t="n"/>
      <c r="M70" s="1484" t="n"/>
      <c r="N70" s="1484" t="n"/>
      <c r="O70" s="1484" t="n"/>
      <c r="P70" s="1484" t="n"/>
      <c r="Q70" s="1484" t="n"/>
      <c r="R70" s="1484" t="n"/>
      <c r="S70" s="1484" t="n"/>
      <c r="T70" s="1484" t="n"/>
      <c r="U70" s="1484" t="n"/>
      <c r="V70" s="1484" t="n"/>
      <c r="W70" s="1484" t="n"/>
      <c r="X70" s="1487" t="n"/>
      <c r="Y70" s="1475" t="n"/>
      <c r="Z70" s="1475" t="n"/>
    </row>
    <row r="71" ht="15" customHeight="1" s="7635">
      <c r="A71" s="1477" t="n"/>
      <c r="B71" s="1482" t="n"/>
      <c r="C71" s="1484" t="n"/>
      <c r="D71" s="1484" t="n"/>
      <c r="E71" s="1484" t="n"/>
      <c r="F71" s="1484" t="n"/>
      <c r="G71" s="1496" t="n"/>
      <c r="H71" s="1496" t="inlineStr">
        <is>
          <t>An HFD is a distribution made directly by the trustee of your IRA (other than an ongoing SEP or SIMPLE IRA) to your HSA.</t>
        </is>
      </c>
      <c r="I71" s="1484" t="n"/>
      <c r="J71" s="1484" t="n"/>
      <c r="K71" s="1484" t="n"/>
      <c r="L71" s="1484" t="n"/>
      <c r="M71" s="1484" t="n"/>
      <c r="N71" s="1484" t="n"/>
      <c r="O71" s="1484" t="n"/>
      <c r="P71" s="1484" t="n"/>
      <c r="Q71" s="1484" t="n"/>
      <c r="R71" s="1484" t="n"/>
      <c r="S71" s="1484" t="n"/>
      <c r="T71" s="1484" t="n"/>
      <c r="U71" s="1484" t="n"/>
      <c r="V71" s="1484" t="n"/>
      <c r="W71" s="1484" t="n"/>
      <c r="X71" s="1487" t="n"/>
      <c r="Y71" s="1475" t="n"/>
      <c r="Z71" s="1475" t="n"/>
    </row>
    <row r="72" ht="15" customHeight="1" s="7635">
      <c r="A72" s="1477" t="n"/>
      <c r="B72" s="1482" t="n"/>
      <c r="C72" s="1484" t="n"/>
      <c r="D72" s="1484" t="n"/>
      <c r="E72" s="1484" t="n"/>
      <c r="F72" s="1484" t="n"/>
      <c r="G72" s="1496" t="n"/>
      <c r="H72" s="1496" t="inlineStr">
        <is>
          <t>If eligible, you can generally elect to exclude an HFD from your income once in your lifetime.</t>
        </is>
      </c>
      <c r="I72" s="1484" t="n"/>
      <c r="J72" s="1484" t="n"/>
      <c r="K72" s="1484" t="n"/>
      <c r="L72" s="1484" t="n"/>
      <c r="M72" s="1484" t="n"/>
      <c r="N72" s="1484" t="n"/>
      <c r="O72" s="1484" t="n"/>
      <c r="P72" s="1484" t="n"/>
      <c r="Q72" s="1484" t="n"/>
      <c r="R72" s="1484" t="n"/>
      <c r="S72" s="1484" t="n"/>
      <c r="T72" s="1484" t="n"/>
      <c r="U72" s="1484" t="n"/>
      <c r="V72" s="1484" t="n"/>
      <c r="W72" s="1484" t="n"/>
      <c r="X72" s="1487" t="n"/>
      <c r="Y72" s="1475" t="n"/>
      <c r="Z72" s="1475" t="n"/>
    </row>
    <row r="73" ht="15" customHeight="1" s="7635">
      <c r="A73" s="1477" t="n"/>
      <c r="B73" s="1482" t="n"/>
      <c r="C73" s="1484" t="n"/>
      <c r="D73" s="1484" t="n"/>
      <c r="E73" s="1484" t="n"/>
      <c r="F73" s="1484" t="n"/>
      <c r="G73" s="1496" t="n"/>
      <c r="H73" s="1496" t="inlineStr">
        <is>
          <t>You can't exclude more than the limit on HSA contributions or more than the amount that would otherwise be included in your income.</t>
        </is>
      </c>
      <c r="I73" s="1484" t="n"/>
      <c r="J73" s="1484" t="n"/>
      <c r="K73" s="1484" t="n"/>
      <c r="L73" s="1484" t="n"/>
      <c r="M73" s="1484" t="n"/>
      <c r="N73" s="1484" t="n"/>
      <c r="O73" s="1484" t="n"/>
      <c r="P73" s="1484" t="n"/>
      <c r="Q73" s="1484" t="n"/>
      <c r="R73" s="1484" t="n"/>
      <c r="S73" s="1484" t="n"/>
      <c r="T73" s="1484" t="n"/>
      <c r="U73" s="1484" t="n"/>
      <c r="V73" s="1484" t="n"/>
      <c r="W73" s="1484" t="n"/>
      <c r="X73" s="1487" t="n"/>
      <c r="Y73" s="1475" t="n"/>
      <c r="Z73" s="1475" t="n"/>
    </row>
    <row r="74" ht="15" customHeight="1" s="7635">
      <c r="A74" s="1477" t="n"/>
      <c r="B74" s="1482" t="n"/>
      <c r="C74" s="1484" t="n"/>
      <c r="D74" s="1484" t="n"/>
      <c r="E74" s="1484" t="n"/>
      <c r="F74" s="1484" t="n"/>
      <c r="G74" s="1496" t="n"/>
      <c r="H74" s="1496" t="inlineStr">
        <is>
          <t xml:space="preserve">If your IRA includes nondeductible contributions, the HFD is first considered to be paid out of otherwise taxable income. See Pub. 969 for details. </t>
        </is>
      </c>
      <c r="I74" s="1484" t="n"/>
      <c r="J74" s="1484" t="n"/>
      <c r="K74" s="1484" t="n"/>
      <c r="L74" s="1484" t="n"/>
      <c r="M74" s="1484" t="n"/>
      <c r="N74" s="1484" t="n"/>
      <c r="O74" s="1484" t="n"/>
      <c r="P74" s="1484" t="n"/>
      <c r="Q74" s="1484" t="n"/>
      <c r="R74" s="1484" t="n"/>
      <c r="S74" s="1484" t="n"/>
      <c r="T74" s="1484" t="n"/>
      <c r="U74" s="1484" t="n"/>
      <c r="V74" s="1484" t="n"/>
      <c r="W74" s="1484" t="n"/>
      <c r="X74" s="1487" t="n"/>
      <c r="Y74" s="1475" t="n"/>
      <c r="Z74" s="1475" t="n"/>
    </row>
    <row r="75" ht="15" customHeight="1" s="7635">
      <c r="A75" s="1477" t="n"/>
      <c r="B75" s="1482" t="n"/>
      <c r="C75" s="1484" t="n"/>
      <c r="D75" s="1484" t="n"/>
      <c r="E75" s="1484" t="n"/>
      <c r="F75" s="1484" t="n"/>
      <c r="G75" s="1496" t="n"/>
      <c r="H75" s="1496" t="n"/>
      <c r="I75" s="1484" t="n"/>
      <c r="J75" s="1484" t="n"/>
      <c r="K75" s="1484" t="n"/>
      <c r="L75" s="1484" t="n"/>
      <c r="M75" s="1484" t="n"/>
      <c r="N75" s="1484" t="n"/>
      <c r="O75" s="1484" t="n"/>
      <c r="P75" s="1484" t="n"/>
      <c r="Q75" s="1484" t="n"/>
      <c r="R75" s="1484" t="n"/>
      <c r="S75" s="1484" t="n"/>
      <c r="T75" s="1484" t="n"/>
      <c r="U75" s="1484" t="n"/>
      <c r="V75" s="1484" t="n"/>
      <c r="W75" s="1484" t="n"/>
      <c r="X75" s="1487" t="n"/>
      <c r="Y75" s="1475" t="n"/>
      <c r="Z75" s="1475" t="n"/>
    </row>
    <row r="76" ht="15" customHeight="1" s="7635">
      <c r="A76" s="1473" t="n"/>
      <c r="B76" s="1482" t="n"/>
      <c r="C76" s="1484" t="n"/>
      <c r="D76" s="1484" t="n"/>
      <c r="E76" s="1484" t="n"/>
      <c r="F76" s="1484" t="n"/>
      <c r="G76" s="1676" t="inlineStr">
        <is>
          <t>CAUTION!</t>
        </is>
      </c>
      <c r="H76" s="1510" t="inlineStr">
        <is>
          <t>The amount of an HFD reduces the amount you can contribute to your HSA for the year.</t>
        </is>
      </c>
      <c r="I76" s="1484" t="n"/>
      <c r="J76" s="1484" t="n"/>
      <c r="K76" s="1484" t="n"/>
      <c r="L76" s="1484" t="n"/>
      <c r="M76" s="1484" t="n"/>
      <c r="N76" s="1484" t="n"/>
      <c r="O76" s="1484" t="n"/>
      <c r="P76" s="1484" t="n"/>
      <c r="Q76" s="1484" t="n"/>
      <c r="R76" s="1484" t="n"/>
      <c r="S76" s="1484" t="n"/>
      <c r="T76" s="1484" t="n"/>
      <c r="U76" s="1484" t="n"/>
      <c r="V76" s="1484" t="n"/>
      <c r="W76" s="1484" t="n"/>
      <c r="X76" s="1487" t="n"/>
      <c r="Y76" s="1475" t="n"/>
      <c r="Z76" s="1475" t="n"/>
    </row>
    <row r="77" ht="15" customHeight="1" s="7635">
      <c r="A77" s="1473" t="n"/>
      <c r="B77" s="1482" t="n"/>
      <c r="C77" s="1484" t="n"/>
      <c r="D77" s="1484" t="n"/>
      <c r="E77" s="1484" t="n"/>
      <c r="F77" s="1484" t="n"/>
      <c r="G77" s="1484" t="n"/>
      <c r="H77" s="1510" t="inlineStr">
        <is>
          <t>If you fail to maintain eligibility for an HSA for the 12 months following the month of the HFD, you may have to report the HFD as income and</t>
        </is>
      </c>
      <c r="I77" s="1484" t="n"/>
      <c r="J77" s="1484" t="n"/>
      <c r="K77" s="1484" t="n"/>
      <c r="L77" s="1484" t="n"/>
      <c r="M77" s="1484" t="n"/>
      <c r="N77" s="1484" t="n"/>
      <c r="O77" s="1484" t="n"/>
      <c r="P77" s="1484" t="n"/>
      <c r="Q77" s="1484" t="n"/>
      <c r="R77" s="1484" t="n"/>
      <c r="S77" s="1484" t="n"/>
      <c r="T77" s="1484" t="n"/>
      <c r="U77" s="1484" t="n"/>
      <c r="V77" s="1484" t="n"/>
      <c r="W77" s="1484" t="n"/>
      <c r="X77" s="1487" t="n"/>
      <c r="Y77" s="1475" t="n"/>
      <c r="Z77" s="1475" t="n"/>
    </row>
    <row r="78" ht="15" customHeight="1" s="7635">
      <c r="A78" s="1473" t="n"/>
      <c r="B78" s="1482" t="n"/>
      <c r="C78" s="1484" t="n"/>
      <c r="D78" s="1484" t="n"/>
      <c r="E78" s="1484" t="n"/>
      <c r="F78" s="1484" t="n"/>
      <c r="G78" s="1484" t="n"/>
      <c r="H78" s="1510" t="inlineStr">
        <is>
          <t xml:space="preserve">pay an additional tax. See Form 8889, Part III. </t>
        </is>
      </c>
      <c r="I78" s="1484" t="n"/>
      <c r="J78" s="1484" t="n"/>
      <c r="K78" s="1484" t="n"/>
      <c r="L78" s="1484" t="n"/>
      <c r="M78" s="1484" t="n"/>
      <c r="N78" s="1484" t="n"/>
      <c r="O78" s="1484" t="n"/>
      <c r="P78" s="1484" t="n"/>
      <c r="Q78" s="1484" t="n"/>
      <c r="R78" s="1484" t="n"/>
      <c r="S78" s="1484" t="n"/>
      <c r="T78" s="1484" t="n"/>
      <c r="U78" s="1484" t="n"/>
      <c r="V78" s="1484" t="n"/>
      <c r="W78" s="1484" t="n"/>
      <c r="X78" s="1487" t="n"/>
      <c r="Y78" s="1475" t="n"/>
      <c r="Z78" s="1475" t="n"/>
    </row>
    <row r="79" ht="15" customHeight="1" s="7635">
      <c r="A79" s="1473" t="n"/>
      <c r="B79" s="1482" t="n"/>
      <c r="C79" s="1484" t="n"/>
      <c r="D79" s="1484" t="n"/>
      <c r="E79" s="1484" t="n"/>
      <c r="F79" s="1484" t="n"/>
      <c r="G79" s="1496" t="n"/>
      <c r="H79" s="1496" t="n"/>
      <c r="I79" s="1484" t="n"/>
      <c r="J79" s="1484" t="n"/>
      <c r="K79" s="1484" t="n"/>
      <c r="L79" s="1484" t="n"/>
      <c r="M79" s="1484" t="n"/>
      <c r="N79" s="1484" t="n"/>
      <c r="O79" s="1484" t="n"/>
      <c r="P79" s="1484" t="n"/>
      <c r="Q79" s="1484" t="n"/>
      <c r="R79" s="1484" t="n"/>
      <c r="S79" s="1484" t="n"/>
      <c r="T79" s="1484" t="n"/>
      <c r="U79" s="1484" t="n"/>
      <c r="V79" s="1484" t="n"/>
      <c r="W79" s="1484" t="n"/>
      <c r="X79" s="1487" t="n"/>
      <c r="Y79" s="1475" t="n"/>
      <c r="Z79" s="1475" t="n"/>
    </row>
    <row r="80" ht="15" customHeight="1" s="7635">
      <c r="A80" s="1473" t="n"/>
      <c r="B80" s="1482" t="n"/>
      <c r="C80" s="1484" t="n"/>
      <c r="D80" s="1484" t="n"/>
      <c r="E80" s="1484" t="n"/>
      <c r="F80" s="1484" t="n"/>
      <c r="G80" s="1496" t="inlineStr">
        <is>
          <t>More than one exception applies. If more than one exception applies, include a statement showing the amount of each exception, instead of making an entry next to line 4b.</t>
        </is>
      </c>
      <c r="H80" s="1496" t="n"/>
      <c r="I80" s="1496" t="n"/>
      <c r="J80" s="1496" t="n"/>
      <c r="K80" s="1496" t="n"/>
      <c r="L80" s="1496" t="n"/>
      <c r="M80" s="1496" t="n"/>
      <c r="N80" s="1496" t="n"/>
      <c r="O80" s="1496" t="n"/>
      <c r="P80" s="1496" t="n"/>
      <c r="Q80" s="1496" t="n"/>
      <c r="R80" s="1496" t="n"/>
      <c r="S80" s="1496" t="n"/>
      <c r="T80" s="1496" t="n"/>
      <c r="U80" s="1496" t="n"/>
      <c r="V80" s="1496" t="n"/>
      <c r="W80" s="1496" t="n"/>
      <c r="X80" s="1487" t="n"/>
      <c r="Y80" s="1475" t="n"/>
      <c r="Z80" s="1475" t="n"/>
    </row>
    <row r="81" ht="15" customHeight="1" s="7635">
      <c r="A81" s="1473" t="n"/>
      <c r="B81" s="1482" t="n"/>
      <c r="C81" s="1484" t="n"/>
      <c r="D81" s="1484" t="n"/>
      <c r="E81" s="1484" t="n"/>
      <c r="F81" s="1484" t="n"/>
      <c r="G81" s="1496" t="inlineStr">
        <is>
          <t xml:space="preserve">For example: “Line 4b – $1,000 Rollover and $500 HFD.” But you do not need to attach a statement if only Exception 2 and one other exception apply. </t>
        </is>
      </c>
      <c r="H81" s="1496" t="n"/>
      <c r="I81" s="1496" t="n"/>
      <c r="J81" s="1496" t="n"/>
      <c r="K81" s="1496" t="n"/>
      <c r="L81" s="1496" t="n"/>
      <c r="M81" s="1496" t="n"/>
      <c r="N81" s="1496" t="n"/>
      <c r="O81" s="1496" t="n"/>
      <c r="P81" s="1496" t="n"/>
      <c r="Q81" s="1496" t="n"/>
      <c r="R81" s="1496" t="n"/>
      <c r="S81" s="1496" t="n"/>
      <c r="T81" s="1496" t="n"/>
      <c r="U81" s="1496" t="n"/>
      <c r="V81" s="1496" t="n"/>
      <c r="W81" s="1496" t="n"/>
      <c r="X81" s="1487" t="n"/>
      <c r="Y81" s="1475" t="n"/>
      <c r="Z81" s="1475" t="n"/>
    </row>
    <row r="82" ht="15" customHeight="1" s="7635">
      <c r="A82" s="1473" t="n"/>
      <c r="B82" s="1482" t="n"/>
      <c r="C82" s="1484" t="n"/>
      <c r="D82" s="1484" t="n"/>
      <c r="E82" s="1484" t="n"/>
      <c r="F82" s="1484" t="n"/>
      <c r="G82" s="1496" t="n"/>
      <c r="H82" s="1496" t="n"/>
      <c r="I82" s="1496" t="n"/>
      <c r="J82" s="1496" t="n"/>
      <c r="K82" s="1496" t="n"/>
      <c r="L82" s="1496" t="n"/>
      <c r="M82" s="1496" t="n"/>
      <c r="N82" s="1496" t="n"/>
      <c r="O82" s="1496" t="n"/>
      <c r="P82" s="1496" t="n"/>
      <c r="Q82" s="1496" t="n"/>
      <c r="R82" s="1496" t="n"/>
      <c r="S82" s="1496" t="n"/>
      <c r="T82" s="1496" t="n"/>
      <c r="U82" s="1496" t="n"/>
      <c r="V82" s="1496" t="n"/>
      <c r="W82" s="1496" t="n"/>
      <c r="X82" s="1487" t="n"/>
      <c r="Y82" s="1475" t="n"/>
      <c r="Z82" s="1475" t="n"/>
    </row>
    <row r="83" ht="15" customHeight="1" s="7635">
      <c r="A83" s="1473" t="n"/>
      <c r="B83" s="1482" t="n"/>
      <c r="C83" s="1484" t="n"/>
      <c r="D83" s="1484" t="n"/>
      <c r="E83" s="1484" t="n"/>
      <c r="F83" s="1484" t="n"/>
      <c r="G83" s="1496" t="inlineStr">
        <is>
          <t xml:space="preserve">More than one distribution. If you (or your spouse if filing jointly) received more than one distribution, figure the taxable amount of each distribution and </t>
        </is>
      </c>
      <c r="H83" s="1496" t="n"/>
      <c r="I83" s="1484" t="n"/>
      <c r="J83" s="1484" t="n"/>
      <c r="K83" s="1484" t="n"/>
      <c r="L83" s="1484" t="n"/>
      <c r="M83" s="1484" t="n"/>
      <c r="N83" s="1484" t="n"/>
      <c r="O83" s="1484" t="n"/>
      <c r="P83" s="1484" t="n"/>
      <c r="Q83" s="1484" t="n"/>
      <c r="R83" s="1484" t="n"/>
      <c r="S83" s="1484" t="n"/>
      <c r="T83" s="1484" t="n"/>
      <c r="U83" s="1484" t="n"/>
      <c r="V83" s="1484" t="n"/>
      <c r="W83" s="1484" t="n"/>
      <c r="X83" s="1487" t="n"/>
      <c r="Y83" s="1475" t="n"/>
      <c r="Z83" s="1475" t="n"/>
    </row>
    <row r="84" ht="15" customHeight="1" s="7635">
      <c r="A84" s="1473" t="n"/>
      <c r="B84" s="1482" t="n"/>
      <c r="C84" s="1484" t="n"/>
      <c r="D84" s="1484" t="n"/>
      <c r="E84" s="1484" t="n"/>
      <c r="F84" s="1484" t="n"/>
      <c r="G84" s="1496" t="inlineStr">
        <is>
          <t xml:space="preserve">Enter the total of the taxable amounts on line 4b. Enter the total amount of those distributions on line 4a. </t>
        </is>
      </c>
      <c r="H84" s="1496" t="n"/>
      <c r="I84" s="1484" t="n"/>
      <c r="J84" s="1484" t="n"/>
      <c r="K84" s="1484" t="n"/>
      <c r="L84" s="1484" t="n"/>
      <c r="M84" s="1484" t="n"/>
      <c r="N84" s="1484" t="n"/>
      <c r="O84" s="1484" t="n"/>
      <c r="P84" s="1484" t="n"/>
      <c r="Q84" s="1484" t="n"/>
      <c r="R84" s="1484" t="n"/>
      <c r="S84" s="1484" t="n"/>
      <c r="T84" s="1484" t="n"/>
      <c r="U84" s="1484" t="n"/>
      <c r="V84" s="1484" t="n"/>
      <c r="W84" s="1484" t="n"/>
      <c r="X84" s="1487" t="n"/>
      <c r="Y84" s="1475" t="n"/>
      <c r="Z84" s="1475" t="n"/>
    </row>
    <row r="85" ht="15" customHeight="1" s="7635">
      <c r="A85" s="1473" t="n"/>
      <c r="B85" s="1482" t="n"/>
      <c r="C85" s="1484" t="n"/>
      <c r="D85" s="1484" t="n"/>
      <c r="E85" s="1484" t="n"/>
      <c r="F85" s="1484" t="n"/>
      <c r="G85" s="1496" t="n"/>
      <c r="H85" s="1484" t="n"/>
      <c r="I85" s="1484" t="n"/>
      <c r="J85" s="1484" t="n"/>
      <c r="K85" s="1484" t="n"/>
      <c r="L85" s="1484" t="n"/>
      <c r="M85" s="1484" t="n"/>
      <c r="N85" s="1484" t="n"/>
      <c r="O85" s="1484" t="n"/>
      <c r="P85" s="1484" t="n"/>
      <c r="Q85" s="1484" t="n"/>
      <c r="R85" s="1484" t="n"/>
      <c r="S85" s="1484" t="n"/>
      <c r="T85" s="1484" t="n"/>
      <c r="U85" s="1484" t="n"/>
      <c r="V85" s="1484" t="n"/>
      <c r="W85" s="1484" t="n"/>
      <c r="X85" s="1487" t="n"/>
      <c r="Y85" s="1475" t="n"/>
      <c r="Z85" s="1475" t="n"/>
    </row>
    <row r="86" ht="18" customHeight="1" s="7635">
      <c r="A86" s="1473" t="n"/>
      <c r="B86" s="1482" t="n"/>
      <c r="C86" s="1673" t="inlineStr">
        <is>
          <t>TIP:</t>
        </is>
      </c>
      <c r="D86" s="1510">
        <f>"You must start receiving at least a minimum amount from your traditional IRA by April 1 of the year following the year you reach age 72 (age 73 if you reach age 72 in "&amp;TaxYear&amp;")."</f>
        <v/>
      </c>
      <c r="E86" s="1484" t="n"/>
      <c r="F86" s="1484" t="n"/>
      <c r="G86" s="1489" t="n"/>
      <c r="H86" s="1484" t="n"/>
      <c r="I86" s="1484" t="n"/>
      <c r="J86" s="1484" t="n"/>
      <c r="K86" s="1484" t="n"/>
      <c r="L86" s="1484" t="n"/>
      <c r="M86" s="1484" t="n"/>
      <c r="N86" s="1484" t="n"/>
      <c r="O86" s="1484" t="n"/>
      <c r="P86" s="1484" t="n"/>
      <c r="Q86" s="1484" t="n"/>
      <c r="R86" s="1484" t="n"/>
      <c r="S86" s="1484" t="n"/>
      <c r="T86" s="1484" t="n"/>
      <c r="U86" s="1484" t="n"/>
      <c r="V86" s="1484" t="n"/>
      <c r="W86" s="1484" t="n"/>
      <c r="X86" s="1487" t="n"/>
      <c r="Y86" s="1492" t="n"/>
      <c r="Z86" s="1492" t="n"/>
    </row>
    <row r="87" ht="15" customHeight="1" s="7635">
      <c r="A87" s="1473" t="n"/>
      <c r="B87" s="1482" t="n"/>
      <c r="C87" s="1484" t="n"/>
      <c r="D87" s="1510" t="inlineStr">
        <is>
          <t xml:space="preserve"> If you don’t receive the minimum distribution amount, you may have to pay an additional tax on the amount that should have been distributed.</t>
        </is>
      </c>
      <c r="E87" s="1484" t="n"/>
      <c r="F87" s="1484" t="n"/>
      <c r="G87" s="1489" t="n"/>
      <c r="H87" s="1484" t="n"/>
      <c r="I87" s="1484" t="n"/>
      <c r="J87" s="1484" t="n"/>
      <c r="K87" s="1484" t="n"/>
      <c r="L87" s="1484" t="n"/>
      <c r="M87" s="1484" t="n"/>
      <c r="N87" s="1484" t="n"/>
      <c r="O87" s="1484" t="n"/>
      <c r="P87" s="1484" t="n"/>
      <c r="Q87" s="1484" t="n"/>
      <c r="R87" s="1484" t="n"/>
      <c r="S87" s="1484" t="n"/>
      <c r="T87" s="1484" t="n"/>
      <c r="U87" s="1484" t="n"/>
      <c r="V87" s="1484" t="n"/>
      <c r="W87" s="1484" t="n"/>
      <c r="X87" s="1487" t="n"/>
      <c r="Y87" s="1475" t="n"/>
      <c r="Z87" s="1475" t="n"/>
    </row>
    <row r="88" ht="15" customHeight="1" s="7635">
      <c r="A88" s="1473" t="n"/>
      <c r="B88" s="1482" t="n"/>
      <c r="C88" s="1484" t="n"/>
      <c r="D88" s="1510" t="inlineStr">
        <is>
          <t>For details, including how to figure the minimum required distribution, see Pub. 590-B.</t>
        </is>
      </c>
      <c r="E88" s="1484" t="n"/>
      <c r="F88" s="1484" t="n"/>
      <c r="G88" s="1489" t="n"/>
      <c r="H88" s="1484" t="n"/>
      <c r="I88" s="1484" t="n"/>
      <c r="J88" s="1484" t="n"/>
      <c r="K88" s="1484" t="n"/>
      <c r="L88" s="1484" t="n"/>
      <c r="M88" s="1484" t="n"/>
      <c r="N88" s="1484" t="n"/>
      <c r="O88" s="1484" t="n"/>
      <c r="P88" s="1484" t="n"/>
      <c r="Q88" s="1484" t="n"/>
      <c r="R88" s="1484" t="n"/>
      <c r="S88" s="1484" t="n"/>
      <c r="T88" s="1484" t="n"/>
      <c r="U88" s="1484" t="n"/>
      <c r="V88" s="1484" t="n"/>
      <c r="W88" s="1484" t="n"/>
      <c r="X88" s="1487" t="n"/>
      <c r="Y88" s="1475" t="n"/>
      <c r="Z88" s="1475" t="n"/>
    </row>
    <row r="89" ht="15" customHeight="1" s="7635">
      <c r="A89" s="1473" t="n"/>
      <c r="B89" s="1482" t="n"/>
      <c r="C89" s="1484" t="n"/>
      <c r="D89" s="1484" t="n"/>
      <c r="E89" s="1484" t="n"/>
      <c r="F89" s="1484" t="n"/>
      <c r="G89" s="1489" t="n"/>
      <c r="H89" s="1484" t="n"/>
      <c r="I89" s="1484" t="n"/>
      <c r="J89" s="1484" t="n"/>
      <c r="K89" s="1484" t="n"/>
      <c r="L89" s="1484" t="n"/>
      <c r="M89" s="1484" t="n"/>
      <c r="N89" s="1484" t="n"/>
      <c r="O89" s="1484" t="n"/>
      <c r="P89" s="1484" t="n"/>
      <c r="Q89" s="1484" t="n"/>
      <c r="R89" s="1484" t="n"/>
      <c r="S89" s="1484" t="n"/>
      <c r="T89" s="1484" t="n"/>
      <c r="U89" s="1484" t="n"/>
      <c r="V89" s="1484" t="n"/>
      <c r="W89" s="1484" t="n"/>
      <c r="X89" s="1487" t="n"/>
      <c r="Y89" s="1475" t="n"/>
      <c r="Z89" s="1475" t="n"/>
    </row>
    <row r="90" ht="15.75" customHeight="1" s="7635">
      <c r="A90" s="1473" t="n"/>
      <c r="B90" s="1482" t="n"/>
      <c r="C90" s="1676" t="n"/>
      <c r="D90" s="1677" t="inlineStr">
        <is>
          <t>CAUTION!</t>
        </is>
      </c>
      <c r="E90" s="1510" t="inlineStr">
        <is>
          <t>You may have to pay an additional tax if you received an early distribution from your IRA and the total wasn't rolled over. See the instructions for Schedule 2, line 8, for details.</t>
        </is>
      </c>
      <c r="F90" s="1676" t="n"/>
      <c r="G90" s="1510" t="n"/>
      <c r="H90" s="1496" t="n"/>
      <c r="I90" s="1484" t="n"/>
      <c r="J90" s="1484" t="n"/>
      <c r="K90" s="1484" t="n"/>
      <c r="L90" s="1484" t="n"/>
      <c r="M90" s="1484" t="n"/>
      <c r="N90" s="1484" t="n"/>
      <c r="O90" s="1484" t="n"/>
      <c r="P90" s="1484" t="n"/>
      <c r="Q90" s="1484" t="n"/>
      <c r="R90" s="1484" t="n"/>
      <c r="S90" s="1484" t="n"/>
      <c r="T90" s="1484" t="n"/>
      <c r="U90" s="1484" t="n"/>
      <c r="V90" s="1484" t="n"/>
      <c r="W90" s="1484" t="n"/>
      <c r="X90" s="1487" t="n"/>
      <c r="Y90" s="1475" t="n"/>
      <c r="Z90" s="1475" t="n"/>
    </row>
    <row r="91">
      <c r="A91" s="1473" t="n"/>
      <c r="B91" s="1482" t="n"/>
      <c r="C91" s="1484" t="n"/>
      <c r="D91" s="1484" t="n"/>
      <c r="E91" s="1484" t="n"/>
      <c r="F91" s="1484" t="n"/>
      <c r="G91" s="1484" t="n"/>
      <c r="H91" s="1484" t="n"/>
      <c r="I91" s="1484" t="n"/>
      <c r="J91" s="1484" t="n"/>
      <c r="K91" s="1484" t="n"/>
      <c r="L91" s="1484" t="n"/>
      <c r="M91" s="1484" t="n"/>
      <c r="N91" s="1484" t="n"/>
      <c r="O91" s="1484" t="n"/>
      <c r="P91" s="1484" t="n"/>
      <c r="Q91" s="1484" t="n"/>
      <c r="R91" s="1484" t="n"/>
      <c r="S91" s="1484" t="n"/>
      <c r="T91" s="1484" t="n"/>
      <c r="U91" s="1484" t="n"/>
      <c r="V91" s="1484" t="n"/>
      <c r="W91" s="1484" t="n"/>
      <c r="X91" s="1487" t="n"/>
      <c r="Y91" s="1475" t="n"/>
      <c r="Z91" s="1475" t="n"/>
    </row>
    <row r="92" ht="15" customHeight="1" s="7635">
      <c r="A92" s="1473" t="n"/>
      <c r="B92" s="1482" t="n"/>
      <c r="C92" s="1484" t="n"/>
      <c r="D92" s="1484" t="n"/>
      <c r="E92" s="1484" t="n"/>
      <c r="F92" s="1484" t="n"/>
      <c r="G92" s="1496" t="inlineStr">
        <is>
          <t>More information. For more information about IRAs, see Pub. 590-A and Pub. 590-B.</t>
        </is>
      </c>
      <c r="H92" s="1484" t="n"/>
      <c r="I92" s="1484" t="n"/>
      <c r="J92" s="1484" t="n"/>
      <c r="K92" s="1484" t="n"/>
      <c r="L92" s="1484" t="n"/>
      <c r="M92" s="1484" t="n"/>
      <c r="N92" s="1484" t="n"/>
      <c r="O92" s="1484" t="n"/>
      <c r="P92" s="1484" t="n"/>
      <c r="Q92" s="1484" t="n"/>
      <c r="R92" s="1484" t="n"/>
      <c r="S92" s="1484" t="n"/>
      <c r="T92" s="1484" t="n"/>
      <c r="U92" s="1484" t="n"/>
      <c r="V92" s="1484" t="n"/>
      <c r="W92" s="1484" t="n"/>
      <c r="X92" s="1487" t="n"/>
      <c r="Y92" s="1475" t="n"/>
      <c r="Z92" s="1475" t="n"/>
    </row>
    <row r="93">
      <c r="A93" s="1473" t="n"/>
      <c r="B93" s="1511" t="n"/>
      <c r="C93" s="1512" t="n"/>
      <c r="D93" s="1512" t="n"/>
      <c r="E93" s="1512" t="n"/>
      <c r="F93" s="1512" t="n"/>
      <c r="G93" s="1512" t="n"/>
      <c r="H93" s="1512" t="n"/>
      <c r="I93" s="1512" t="n"/>
      <c r="J93" s="1512" t="n"/>
      <c r="K93" s="1512" t="n"/>
      <c r="L93" s="1512" t="n"/>
      <c r="M93" s="1512" t="n"/>
      <c r="N93" s="1512" t="n"/>
      <c r="O93" s="1512" t="n"/>
      <c r="P93" s="1512" t="n"/>
      <c r="Q93" s="1512" t="n"/>
      <c r="R93" s="1512" t="n"/>
      <c r="S93" s="1512" t="n"/>
      <c r="T93" s="1512" t="n"/>
      <c r="U93" s="1512" t="n"/>
      <c r="V93" s="1512" t="n"/>
      <c r="W93" s="1512" t="n"/>
      <c r="X93" s="1513" t="n"/>
      <c r="Y93" s="1475" t="n"/>
      <c r="Z93" s="1475" t="n"/>
    </row>
    <row r="94">
      <c r="A94" s="1473" t="n"/>
      <c r="B94" s="1474" t="n"/>
      <c r="C94" s="1475" t="n"/>
      <c r="D94" s="1475" t="n"/>
      <c r="E94" s="1475" t="n"/>
      <c r="F94" s="1475" t="n"/>
      <c r="G94" s="1475" t="n"/>
      <c r="H94" s="1475" t="n"/>
      <c r="I94" s="1475" t="n"/>
      <c r="J94" s="1475" t="n"/>
      <c r="K94" s="1475" t="n"/>
      <c r="L94" s="1475" t="n"/>
      <c r="M94" s="1475" t="n"/>
      <c r="N94" s="1475" t="n"/>
      <c r="O94" s="1475" t="n"/>
      <c r="P94" s="1475" t="n"/>
      <c r="Q94" s="1475" t="n"/>
      <c r="R94" s="1475" t="n"/>
      <c r="S94" s="1475" t="n"/>
      <c r="T94" s="1475" t="n"/>
      <c r="U94" s="1475" t="n"/>
      <c r="V94" s="1475" t="n"/>
      <c r="W94" s="1475" t="n"/>
      <c r="X94" s="1475" t="n"/>
      <c r="Y94" s="1475" t="n"/>
      <c r="Z94" s="1475" t="n"/>
    </row>
    <row r="95">
      <c r="Y95" s="1475" t="n"/>
      <c r="Z95" s="1475" t="n"/>
    </row>
  </sheetData>
  <sheetProtection selectLockedCells="0" selectUnlockedCells="0" algorithmName="SHA-512" sheet="1" objects="1" insertRows="1" insertHyperlinks="1" autoFilter="1" scenarios="1" formatColumns="0" deleteColumns="1" insertColumns="1" pivotTables="1" deleteRows="1" formatCells="0" saltValue="WQ05pTGFCzn3H3ZLTf7FeA==" formatRows="0" sort="1" spinCount="100000" hashValue="d9G1FrHSdRhCSnvCrBwDfouebhJDBUIAB5IFtYL3DrB59RnMwoDx+5bYG/BfypEYyHbP6DRYdAGfHWO/UDavPg=="/>
  <mergeCells count="1">
    <mergeCell ref="C9:W9"/>
  </mergeCells>
  <conditionalFormatting sqref="B2:X93">
    <cfRule type="expression" priority="1" dxfId="6">
      <formula>NoColor</formula>
    </cfRule>
  </conditionalFormatting>
  <conditionalFormatting sqref="C9">
    <cfRule type="expression" priority="22" dxfId="4">
      <formula>NOT($A$9)</formula>
    </cfRule>
  </conditionalFormatting>
  <conditionalFormatting sqref="G20">
    <cfRule type="expression" priority="12" dxfId="34">
      <formula>$A$13</formula>
    </cfRule>
  </conditionalFormatting>
  <conditionalFormatting sqref="H13">
    <cfRule type="expression" priority="11" dxfId="34">
      <formula>$A$13</formula>
    </cfRule>
  </conditionalFormatting>
  <conditionalFormatting sqref="H50">
    <cfRule type="expression" priority="19" dxfId="34">
      <formula>AND($A$46,NOT($A$27))</formula>
    </cfRule>
  </conditionalFormatting>
  <conditionalFormatting sqref="H68">
    <cfRule type="expression" priority="8" dxfId="34">
      <formula>AND($A$67,NOT($A$27))</formula>
    </cfRule>
  </conditionalFormatting>
  <conditionalFormatting sqref="H69">
    <cfRule type="expression" priority="15" dxfId="34">
      <formula>$A$64</formula>
    </cfRule>
  </conditionalFormatting>
  <conditionalFormatting sqref="K18">
    <cfRule type="expression" priority="6" dxfId="34">
      <formula>$A$18</formula>
    </cfRule>
  </conditionalFormatting>
  <conditionalFormatting sqref="K19">
    <cfRule type="expression" priority="7" dxfId="34">
      <formula>AND($A$19,NOT($A$27))</formula>
    </cfRule>
  </conditionalFormatting>
  <conditionalFormatting sqref="K27">
    <cfRule type="expression" priority="13" dxfId="34">
      <formula>$A$27</formula>
    </cfRule>
  </conditionalFormatting>
  <conditionalFormatting sqref="L48">
    <cfRule type="expression" priority="20" dxfId="34">
      <formula>AND($A$48,NOT($A$27))</formula>
    </cfRule>
  </conditionalFormatting>
  <conditionalFormatting sqref="L49">
    <cfRule type="expression" priority="18" dxfId="34">
      <formula>AND($A$49,NOT($A$27))</formula>
    </cfRule>
  </conditionalFormatting>
  <conditionalFormatting sqref="M32">
    <cfRule type="expression" priority="23" dxfId="34">
      <formula>OR($A$34,$A$35)</formula>
    </cfRule>
  </conditionalFormatting>
  <conditionalFormatting sqref="M68">
    <cfRule type="expression" priority="2" dxfId="40">
      <formula>AND($A$67,$A$27)</formula>
    </cfRule>
  </conditionalFormatting>
  <conditionalFormatting sqref="P19">
    <cfRule type="expression" priority="5" dxfId="40">
      <formula>AND($A$19,$A$27)</formula>
    </cfRule>
  </conditionalFormatting>
  <conditionalFormatting sqref="P46">
    <cfRule type="expression" priority="21" dxfId="34">
      <formula>AND($A$46,NOT($A$27))</formula>
    </cfRule>
  </conditionalFormatting>
  <conditionalFormatting sqref="P66:Q66">
    <cfRule type="expression" priority="16" dxfId="34">
      <formula>$A$66</formula>
    </cfRule>
  </conditionalFormatting>
  <conditionalFormatting sqref="Q27">
    <cfRule type="expression" priority="10" dxfId="34">
      <formula>$A$28</formula>
    </cfRule>
  </conditionalFormatting>
  <conditionalFormatting sqref="Q32">
    <cfRule type="expression" priority="3" dxfId="34">
      <formula>OR($A$34,$A$35)</formula>
    </cfRule>
  </conditionalFormatting>
  <conditionalFormatting sqref="Q67">
    <cfRule type="expression" priority="14" dxfId="34">
      <formula>$A$67</formula>
    </cfRule>
  </conditionalFormatting>
  <conditionalFormatting sqref="R49">
    <cfRule type="expression" priority="4" dxfId="40">
      <formula>AND($A$49,$A$27)</formula>
    </cfRule>
  </conditionalFormatting>
  <conditionalFormatting sqref="R64:S64">
    <cfRule type="expression" priority="17" dxfId="34">
      <formula>$A$64</formula>
    </cfRule>
  </conditionalFormatting>
  <pageMargins left="0.75" right="0.25" top="0.36" bottom="0.29" header="0.36" footer="0.21"/>
  <pageSetup orientation="portrait" scale="52" fitToHeight="0"/>
</worksheet>
</file>

<file path=xl/worksheets/sheet13.xml><?xml version="1.0" encoding="utf-8"?>
<worksheet xmlns="http://schemas.openxmlformats.org/spreadsheetml/2006/main">
  <sheetPr codeName="Sheet3">
    <outlinePr summaryBelow="1" summaryRight="1"/>
    <pageSetUpPr fitToPage="1"/>
  </sheetPr>
  <dimension ref="A1:X44"/>
  <sheetViews>
    <sheetView zoomScaleNormal="100" zoomScaleSheetLayoutView="100" workbookViewId="0">
      <pane ySplit="1" topLeftCell="A2" activePane="bottomLeft" state="frozen"/>
      <selection pane="bottomLeft" activeCell="A1" sqref="A1"/>
    </sheetView>
  </sheetViews>
  <sheetFormatPr baseColWidth="8" defaultColWidth="9.140625" defaultRowHeight="12.75"/>
  <cols>
    <col width="2.5703125" customWidth="1" style="88" min="1" max="1"/>
    <col width="4.42578125" customWidth="1" style="6065" min="2" max="2"/>
    <col width="37.5703125" customWidth="1" style="88" min="3" max="3"/>
    <col width="15.42578125" customWidth="1" style="88" min="4" max="4"/>
    <col width="33.42578125" customWidth="1" style="88" min="5" max="5"/>
    <col width="3.85546875" customWidth="1" style="88" min="6" max="6"/>
    <col width="12.7109375" customWidth="1" style="88" min="7" max="7"/>
    <col width="3.7109375" customWidth="1" style="88" min="8" max="8"/>
    <col width="12.7109375" customWidth="1" style="88" min="9" max="9"/>
    <col width="2" customWidth="1" style="88" min="10" max="10"/>
    <col width="2.42578125" customWidth="1" style="88" min="11" max="11"/>
    <col width="13.42578125" customWidth="1" style="88" min="12" max="12"/>
    <col width="33.28515625" customWidth="1" style="88" min="13" max="13"/>
    <col width="9.140625" customWidth="1" style="658" min="14" max="24"/>
  </cols>
  <sheetData>
    <row r="1" ht="22.5" customFormat="1" customHeight="1" s="6026" thickBot="1">
      <c r="B1" s="6027" t="inlineStr">
        <is>
          <t>Information from Form SSA-1099, Social Security Benefit Statement</t>
        </is>
      </c>
      <c r="N1" s="660" t="inlineStr">
        <is>
          <t>Notes</t>
        </is>
      </c>
      <c r="O1" s="661" t="n"/>
      <c r="P1" s="661" t="n"/>
      <c r="Q1" s="661" t="n"/>
      <c r="R1" s="661" t="n"/>
      <c r="S1" s="661" t="n"/>
      <c r="T1" s="661" t="n"/>
      <c r="U1" s="661" t="n"/>
      <c r="V1" s="661" t="n"/>
      <c r="W1" s="661" t="n"/>
      <c r="X1" s="661" t="n"/>
    </row>
    <row r="2" ht="15" customFormat="1" customHeight="1" s="4660">
      <c r="B2" s="6067" t="n"/>
      <c r="C2" s="6068" t="n"/>
      <c r="D2" s="6068" t="n"/>
      <c r="N2" s="686" t="n"/>
      <c r="O2" s="6066" t="n"/>
      <c r="P2" s="6066" t="n"/>
      <c r="Q2" s="6066" t="n"/>
      <c r="R2" s="6066" t="n"/>
      <c r="S2" s="6066" t="n"/>
      <c r="T2" s="6066" t="n"/>
      <c r="U2" s="6066" t="n"/>
      <c r="V2" s="6066" t="n"/>
      <c r="W2" s="6066" t="n"/>
      <c r="X2" s="6066" t="n"/>
    </row>
    <row r="3" ht="41.25" customHeight="1" s="7635" thickBot="1">
      <c r="B3" s="6028" t="n">
        <v>1</v>
      </c>
      <c r="C3" s="6029">
        <f>IF(Name_1st_Yours="","Enter your name on sheet labeled '1040'",NameYours)</f>
        <v/>
      </c>
      <c r="D3" s="6030" t="n"/>
      <c r="E3" s="8966" t="n"/>
    </row>
    <row r="4" ht="13.5" customHeight="1" s="7635">
      <c r="B4" s="4672" t="n">
        <v>3</v>
      </c>
      <c r="C4" s="6031">
        <f>"Benefits Paid in "&amp;TaxYear</f>
        <v/>
      </c>
      <c r="D4" s="500" t="n"/>
      <c r="E4" s="8966" t="n"/>
    </row>
    <row r="5" ht="13.5" customHeight="1" s="7635">
      <c r="B5" s="4675" t="n">
        <v>4</v>
      </c>
      <c r="C5" s="6032">
        <f>"Benefits Repaid in "&amp;TaxYear</f>
        <v/>
      </c>
      <c r="D5" s="1548" t="n"/>
      <c r="E5" s="8966" t="n"/>
    </row>
    <row r="6" ht="13.5" customHeight="1" s="7635">
      <c r="B6" s="4675" t="n">
        <v>5</v>
      </c>
      <c r="C6" s="6032">
        <f>"Net Benefits for "&amp;TaxYear&amp;" (Box 3 minus Box 4)"</f>
        <v/>
      </c>
      <c r="D6" s="6033">
        <f>SUM(D4,-D5)</f>
        <v/>
      </c>
      <c r="E6" s="6034" t="inlineStr">
        <is>
          <t>Used on Notice 703, Line A (below)</t>
        </is>
      </c>
    </row>
    <row r="7" ht="15.75" customHeight="1" s="7635" thickBot="1">
      <c r="B7" s="4682" t="n">
        <v>6</v>
      </c>
      <c r="C7" s="6035" t="inlineStr">
        <is>
          <t>Voluntary Federal income Tax Withheld</t>
        </is>
      </c>
      <c r="D7" s="1549" t="n"/>
      <c r="E7" s="6034" t="inlineStr">
        <is>
          <t>Used in 1040, line 25b</t>
        </is>
      </c>
      <c r="G7" s="2713">
        <f>ROUND(D7,0)</f>
        <v/>
      </c>
    </row>
    <row r="8" ht="48" customHeight="1" s="7635" thickBot="1">
      <c r="B8" s="6036" t="n">
        <v>1</v>
      </c>
      <c r="C8" s="4664">
        <f>IF(Name_1st_Sp="","Enter your spouse's name on the sheet labeled '1040'",NameSpouse)</f>
        <v/>
      </c>
      <c r="D8" s="7825" t="n"/>
      <c r="E8" s="8966" t="n"/>
    </row>
    <row r="9" ht="13.5" customHeight="1" s="7635">
      <c r="B9" s="4672" t="n">
        <v>3</v>
      </c>
      <c r="C9" s="6031">
        <f>"Benefits Paid in "&amp;TaxYear</f>
        <v/>
      </c>
      <c r="D9" s="500" t="n"/>
      <c r="E9" s="8966" t="n"/>
    </row>
    <row r="10" ht="13.5" customHeight="1" s="7635">
      <c r="B10" s="4675" t="n">
        <v>4</v>
      </c>
      <c r="C10" s="6032">
        <f>"Benefits Repaid in "&amp;TaxYear</f>
        <v/>
      </c>
      <c r="D10" s="1548" t="n"/>
      <c r="E10" s="8966" t="n"/>
    </row>
    <row r="11" ht="13.5" customHeight="1" s="7635">
      <c r="B11" s="4675" t="n">
        <v>5</v>
      </c>
      <c r="C11" s="6032">
        <f>"Net Benefits for "&amp;TaxYear&amp;" (Box 3 minus Box 4)"</f>
        <v/>
      </c>
      <c r="D11" s="6033">
        <f>SUM(D9,-D10)</f>
        <v/>
      </c>
      <c r="E11" s="6034" t="inlineStr">
        <is>
          <t>Used on Notice 703, Line A (below)</t>
        </is>
      </c>
    </row>
    <row r="12" ht="15.75" customHeight="1" s="7635" thickBot="1">
      <c r="B12" s="4682" t="n">
        <v>6</v>
      </c>
      <c r="C12" s="6035" t="inlineStr">
        <is>
          <t>Voluntary Federal income Tax Withheld</t>
        </is>
      </c>
      <c r="D12" s="1549" t="n"/>
      <c r="E12" s="6034" t="inlineStr">
        <is>
          <t>Used in 1040, line 25b</t>
        </is>
      </c>
      <c r="G12" s="2713">
        <f>ROUND(D12,0)</f>
        <v/>
      </c>
    </row>
    <row r="13" ht="13.5" customHeight="1" s="7635" thickBot="1">
      <c r="B13" s="2715" t="n"/>
    </row>
    <row r="14" ht="22.5" customHeight="1" s="7635">
      <c r="B14" s="4672" t="n"/>
      <c r="C14" s="6037" t="inlineStr">
        <is>
          <t>Notice 703</t>
        </is>
      </c>
      <c r="D14" s="6038" t="n"/>
      <c r="E14" s="6038" t="n"/>
      <c r="F14" s="89" t="n"/>
      <c r="G14" s="2346" t="n"/>
      <c r="H14" s="89" t="n"/>
      <c r="I14" s="2346" t="inlineStr">
        <is>
          <t>Department of the Treasury</t>
        </is>
      </c>
      <c r="J14" s="3428" t="n"/>
    </row>
    <row r="15" ht="16.5" customHeight="1" s="7635" thickBot="1">
      <c r="B15" s="4675" t="n"/>
      <c r="C15" s="2583" t="inlineStr">
        <is>
          <t>(Rev. October 2020)</t>
        </is>
      </c>
      <c r="D15" s="2520" t="n"/>
      <c r="E15" s="2520" t="n"/>
      <c r="F15" s="91" t="n"/>
      <c r="G15" s="6039" t="n"/>
      <c r="H15" s="91" t="n"/>
      <c r="I15" s="6039" t="inlineStr">
        <is>
          <t>Internal Revenue Service</t>
        </is>
      </c>
      <c r="J15" s="90" t="n"/>
    </row>
    <row r="16" ht="24" customHeight="1" s="7635">
      <c r="B16" s="4675" t="n"/>
      <c r="C16" s="6040" t="inlineStr">
        <is>
          <t>Read This To See If Your Social Security Benefits May Be Taxable</t>
        </is>
      </c>
      <c r="J16" s="90" t="n"/>
    </row>
    <row r="17" ht="8.25" customHeight="1" s="7635">
      <c r="B17" s="4675" t="n"/>
      <c r="J17" s="90" t="n"/>
    </row>
    <row r="18" ht="134.45" customFormat="1" customHeight="1" s="138">
      <c r="A18" s="5422" t="n"/>
      <c r="B18" s="6041" t="n"/>
      <c r="C18" s="6042">
        <f>"If your social security and/or SSI
(supplemental security income)
benefits were your only source of
income for "&amp;TaxYear&amp;", you probably will
not have to file a federal income tax
return. See IRS Pub. 501,
Exemptions, Standard Deduction,
and Filing Information, or your tax
return instructions to find out if you
have to file a return."</f>
        <v/>
      </c>
      <c r="D18" s="7036">
        <f>"We developed this worksheet for you to see if your benefits may be taxable for "&amp;TaxYear&amp;". Fill in lines A through E."&amp;CHAR(10)&amp;CHAR(10)&amp;"Do not use the worksheet below if any of the following apply to you; instead, go directly to IRS Pub. 915, Social Security and Equivalent Railroad Retirement Benefits."&amp;CHAR(10)&amp;CHAR(10)&amp;"o  You received Form RRB-1099, Form SSA-1042S, or Form RRB-1042S."</f>
        <v/>
      </c>
      <c r="E18" s="7637" t="n"/>
      <c r="F18" s="4399" t="n"/>
      <c r="G18" s="7037" t="inlineStr">
        <is>
          <t>o  You exclude income from sources outside the United States or foreign housing, income earned by bona fide residents of American Samoa or Puerto Rico, interest income from series EE 
or I U.S. savings bonds issued after 1989, or employer-provided adoption benefits.</t>
        </is>
      </c>
      <c r="H18" s="7637" t="n"/>
      <c r="I18" s="7637" t="n"/>
      <c r="J18" s="6043" t="n"/>
      <c r="K18" s="5422" t="n"/>
      <c r="L18" s="5863" t="inlineStr">
        <is>
          <t>Manual
Override
ê</t>
        </is>
      </c>
      <c r="M18" s="5422" t="n"/>
      <c r="N18" s="662" t="n"/>
      <c r="O18" s="662" t="n"/>
      <c r="P18" s="662" t="n"/>
      <c r="Q18" s="662" t="n"/>
      <c r="R18" s="662" t="n"/>
      <c r="S18" s="662" t="n"/>
      <c r="T18" s="662" t="n"/>
      <c r="U18" s="662" t="n"/>
      <c r="V18" s="662" t="n"/>
      <c r="W18" s="662" t="n"/>
      <c r="X18" s="662" t="n"/>
    </row>
    <row r="19" ht="20.1" customFormat="1" customHeight="1" s="9864">
      <c r="A19" s="182" t="n"/>
      <c r="B19" s="6044" t="n"/>
      <c r="C19" s="1672" t="inlineStr">
        <is>
          <t>Note. If you plan to file a joint income tax return, include your spouse's amounts, if any, on lines A, C, and D</t>
        </is>
      </c>
      <c r="D19" s="1672" t="n"/>
      <c r="E19" s="1672" t="n"/>
      <c r="F19" s="182" t="n"/>
      <c r="G19" s="182" t="n"/>
      <c r="H19" s="182" t="n"/>
      <c r="I19" s="182" t="n"/>
      <c r="J19" s="6045" t="n"/>
      <c r="K19" s="182" t="n"/>
      <c r="L19" s="4064" t="n"/>
      <c r="M19" s="182" t="n"/>
      <c r="N19" s="665" t="n"/>
      <c r="O19" s="665" t="n"/>
      <c r="P19" s="665" t="n"/>
      <c r="Q19" s="665" t="n"/>
      <c r="R19" s="665" t="n"/>
      <c r="S19" s="665" t="n"/>
      <c r="T19" s="665" t="n"/>
      <c r="U19" s="665" t="n"/>
      <c r="V19" s="665" t="n"/>
      <c r="W19" s="665" t="n"/>
      <c r="X19" s="665" t="n"/>
    </row>
    <row r="20">
      <c r="B20" s="4675" t="inlineStr">
        <is>
          <t>A</t>
        </is>
      </c>
      <c r="C20" s="344" t="inlineStr">
        <is>
          <t>Enter the total amount from box 5 of all your Forms SSA-1099. Include the</t>
        </is>
      </c>
      <c r="D20" s="11602" t="n"/>
      <c r="E20" s="11602" t="n"/>
      <c r="J20" s="90" t="n"/>
      <c r="L20" s="2875" t="n"/>
    </row>
    <row r="21">
      <c r="B21" s="4675" t="n"/>
      <c r="C21" s="344">
        <f>"full amount of any lump-sum benefit payments received in "&amp;TaxYear&amp;", for "&amp;TaxYear&amp;" and"</f>
        <v/>
      </c>
      <c r="D21" s="11602" t="n"/>
      <c r="E21" s="11602" t="n"/>
      <c r="J21" s="90" t="n"/>
      <c r="L21" s="2875" t="n"/>
      <c r="M21" s="226" t="inlineStr">
        <is>
          <t>Line A is used in</t>
        </is>
      </c>
    </row>
    <row r="22">
      <c r="B22" s="4675" t="n"/>
      <c r="C22" s="344" t="inlineStr">
        <is>
          <t>earlier years.   .   .   .   .   .   .   .   .   .   .   .   .   .   .   .   .   .   .   .   .   .   .   .   .   .   .   .   .   .   .   .   .   .   .   .   .   .   .   .   .   .   .   .   .   .</t>
        </is>
      </c>
      <c r="D22" s="1401" t="inlineStr">
        <is>
          <t xml:space="preserve">   .   .   .   .   .   .   .   .   .   .   .   .   .   .   .   .   .   .   .   .   .   .   .   .   .   .   .   .   .   .   .   .   .   .   .   .   .   .   .   .   .   .   .   .   .</t>
        </is>
      </c>
      <c r="E22" s="1401" t="inlineStr">
        <is>
          <t xml:space="preserve">   .   .   .   .   .   .   .   .   .   .   .   .   .   .   .   .   .   .   .   .   .   .   .   .   .   .   .   .   .   .   .   .   .   .   .   .   .   .   .   .   .   .   .   .   .</t>
        </is>
      </c>
      <c r="F22" s="228" t="inlineStr">
        <is>
          <t>A</t>
        </is>
      </c>
      <c r="G22" s="6046">
        <f>IF(L22&lt;&gt;"",ROUND(L22,0),ROUND(SUM(D6,D11),0))</f>
        <v/>
      </c>
      <c r="I22" s="441" t="n">
        <v>0.5</v>
      </c>
      <c r="J22" s="90" t="n"/>
      <c r="L22" s="209" t="n"/>
      <c r="M22" s="226" t="inlineStr">
        <is>
          <t>Sheet "Line 6ab (SS Bene)", line 1.</t>
        </is>
      </c>
    </row>
    <row r="23" ht="12.75" customHeight="1" s="7635">
      <c r="B23" s="4675" t="inlineStr">
        <is>
          <t>B</t>
        </is>
      </c>
      <c r="C23" s="11403">
        <f>"Multiply  line  A  by  "&amp;TEXT(I22,"0%")&amp;" ("&amp;TEXT(I22,"0.00")&amp;")"</f>
        <v/>
      </c>
      <c r="G23" s="2715" t="inlineStr">
        <is>
          <t xml:space="preserve">.   .   .   .   .   .   .   .   .   .   .   .   .   .   .   .   .   .   .   .   .   .   .   .   .   .   .   .   .   .   .   .   .   .   .   .   .   .   .   .   .   .   .   .   .   .   .   .   .   .   . </t>
        </is>
      </c>
      <c r="H23" s="228" t="inlineStr">
        <is>
          <t>B</t>
        </is>
      </c>
      <c r="I23" s="6046">
        <f>ROUND(G22*I22,0)</f>
        <v/>
      </c>
      <c r="J23" s="90" t="n"/>
      <c r="L23" s="6047" t="n"/>
    </row>
    <row r="24" ht="37.5" customFormat="1" customHeight="1" s="356">
      <c r="A24" s="7033" t="n"/>
      <c r="B24" s="6041" t="inlineStr">
        <is>
          <t>C</t>
        </is>
      </c>
      <c r="C24" s="7032" t="inlineStr">
        <is>
          <t>Enter your total income that is taxable (excluding Line A), such as pensions, wages, interest, ordinary
dividends, and capital gain distributions. Do not reduce your income by any items such
as student loan interest deduction, the standard deduction (or itemized deductions), or</t>
        </is>
      </c>
      <c r="H24" s="228" t="n"/>
      <c r="I24" s="6049" t="n"/>
      <c r="J24" s="6050" t="n"/>
      <c r="K24" s="7033" t="n"/>
      <c r="L24" s="1108" t="n"/>
      <c r="M24" s="6051" t="n"/>
      <c r="N24" s="662" t="n"/>
      <c r="O24" s="662" t="n"/>
      <c r="P24" s="662" t="n"/>
      <c r="Q24" s="662" t="n"/>
      <c r="R24" s="662" t="n"/>
      <c r="S24" s="662" t="n"/>
      <c r="T24" s="662" t="n"/>
      <c r="U24" s="662" t="n"/>
      <c r="V24" s="662" t="n"/>
      <c r="W24" s="662" t="n"/>
      <c r="X24" s="662" t="n"/>
    </row>
    <row r="25" customFormat="1" s="356">
      <c r="A25" s="7033" t="n"/>
      <c r="B25" s="6041" t="n"/>
      <c r="C25" s="7032" t="inlineStr">
        <is>
          <t>exemptions .   .   .   .   .   .   .   .   .   .   .   .   .   .   .   .   .   .   .   .   .   .   .   .   .   .   .   .   .   .   .   .   .   .   .   .   .   .   .   .   .</t>
        </is>
      </c>
      <c r="H25" s="228" t="inlineStr">
        <is>
          <t>C</t>
        </is>
      </c>
      <c r="I25" s="6052">
        <f>IF(L25&lt;&gt;"",ROUND(L25,0),M25)</f>
        <v/>
      </c>
      <c r="J25" s="6050" t="n"/>
      <c r="K25" s="7033" t="n"/>
      <c r="L25" s="209" t="n"/>
      <c r="M25" s="6051">
        <f>SUM(Wages,TaxableInterest,OrdinaryDividends,IRA_Taxable,PA_Taxable,CapitalGains,Additional_Income)</f>
        <v/>
      </c>
      <c r="N25" s="1151" t="n"/>
      <c r="O25" s="662" t="n"/>
      <c r="P25" s="662" t="n"/>
      <c r="Q25" s="662" t="n"/>
      <c r="R25" s="662" t="n"/>
      <c r="S25" s="662" t="n"/>
      <c r="T25" s="662" t="n"/>
      <c r="U25" s="662" t="n"/>
      <c r="V25" s="662" t="n"/>
      <c r="W25" s="662" t="n"/>
      <c r="X25" s="662" t="n"/>
    </row>
    <row r="26">
      <c r="B26" s="6041" t="inlineStr">
        <is>
          <t>D</t>
        </is>
      </c>
      <c r="C26" s="88" t="inlineStr">
        <is>
          <t>Enter any tax-exempt interest such as interest on municipal bonds</t>
        </is>
      </c>
      <c r="G26" s="2715" t="inlineStr">
        <is>
          <t>.   .   .   .   .   .   .   .   .   .   .   .   .   .   .   .   .   .   .   .   .</t>
        </is>
      </c>
      <c r="H26" s="228" t="inlineStr">
        <is>
          <t>D</t>
        </is>
      </c>
      <c r="I26" s="6053">
        <f>IF(L26&lt;&gt;"",ROUND(L26,0),TaxExemptInt)</f>
        <v/>
      </c>
      <c r="J26" s="90" t="n"/>
      <c r="L26" s="209" t="n"/>
    </row>
    <row r="27">
      <c r="B27" s="4675" t="inlineStr">
        <is>
          <t>E</t>
        </is>
      </c>
      <c r="C27" s="11403" t="inlineStr">
        <is>
          <t>Add lines B, C, and D, and enter the total here. Then, read the information below</t>
        </is>
      </c>
      <c r="G27" s="2715" t="inlineStr">
        <is>
          <t>.   .   .   .   .   .   .   .   .   .   .   .   .   .</t>
        </is>
      </c>
      <c r="H27" s="228" t="inlineStr">
        <is>
          <t>E</t>
        </is>
      </c>
      <c r="I27" s="6054">
        <f>SUM(I23,I25,I26)</f>
        <v/>
      </c>
      <c r="J27" s="90" t="n"/>
      <c r="L27" s="2875" t="n"/>
      <c r="M27" s="2468" t="n">
        <v>32000</v>
      </c>
    </row>
    <row r="28">
      <c r="B28" s="4675" t="n"/>
      <c r="C28" s="2432" t="n"/>
      <c r="D28" s="2432" t="n"/>
      <c r="E28" s="2432" t="n"/>
      <c r="F28" s="2432" t="n"/>
      <c r="G28" s="2432" t="n"/>
      <c r="H28" s="2432" t="n"/>
      <c r="I28" s="2432" t="n"/>
      <c r="J28" s="90" t="n"/>
      <c r="L28" s="2875" t="n"/>
      <c r="M28" s="2468" t="n">
        <v>25000</v>
      </c>
    </row>
    <row r="29">
      <c r="B29" s="4675" t="n"/>
      <c r="C29" s="7847" t="inlineStr">
        <is>
          <t>Part of your social security benefits may be taxable.</t>
        </is>
      </c>
      <c r="I29" s="202">
        <f>AND(M29&lt;&gt;0,I27&gt;M29)</f>
        <v/>
      </c>
      <c r="J29" s="90" t="n"/>
      <c r="L29" s="2875" t="n"/>
      <c r="M29" s="2468">
        <f>IF(OR(File_Single&lt;&gt;"",File_Head&lt;&gt;""),M28,IF(File_Marr_Joint&lt;&gt;"",M27,IF(AND(File_Marr_Sep&lt;&gt;"",LivedApart),M28,0)))</f>
        <v/>
      </c>
    </row>
    <row r="30" ht="54" customHeight="1" s="7635">
      <c r="B30" s="4675" t="n"/>
      <c r="C30" s="404">
        <f>"Part of your social security
benefits may be taxable if, for "&amp;TaxYear&amp;", 
item 1, 2, or 3 below applies to you:"</f>
        <v/>
      </c>
      <c r="D30" s="7038" t="inlineStr">
        <is>
          <t>If none of your benefits are taxable, but you must otherwise file a tax return, do the following</t>
        </is>
      </c>
      <c r="F30" s="11602" t="n"/>
      <c r="G30" s="7038" t="inlineStr">
        <is>
          <t>Railroad Retirement Benefits, for
rules on a lump-sum election you
can make that may reduce the
amount of your taxable benefits.</t>
        </is>
      </c>
      <c r="J30" s="90" t="n"/>
      <c r="L30" s="2875" t="n"/>
    </row>
    <row r="31" ht="50.25" customHeight="1" s="7635">
      <c r="B31" s="4675" t="n"/>
      <c r="C31" s="404">
        <f>"1. You were single, a head of
household, or a qualifying widow(er)
and line E above is more than
"&amp;TEXT(M28,"$0,000")&amp;"."</f>
        <v/>
      </c>
      <c r="D31" s="7038" t="inlineStr">
        <is>
          <t>o  Enter the total amount from line A above on Form 1040, line 6a, and enter -0- on Form 1040, line 6b.</t>
        </is>
      </c>
      <c r="F31" s="11602" t="n"/>
      <c r="G31" s="7041" t="inlineStr">
        <is>
          <t>Get More Information 
From the IRS</t>
        </is>
      </c>
      <c r="J31" s="90" t="n"/>
      <c r="L31" s="2875" t="n"/>
    </row>
    <row r="32" ht="109.5" customFormat="1" customHeight="1" s="138">
      <c r="A32" s="5422" t="n"/>
      <c r="B32" s="6041" t="n"/>
      <c r="C32" s="404">
        <f>CHAR(10)&amp;"2. You were married, would file jointly, and line E above is more than "&amp;TEXT(M27,"$0,000")&amp;"."&amp;CHAR(10)&amp;CHAR(10)&amp;"3. You were married, would file separately, and line E above is more than zero (more than "&amp;TEXT(M28,"$0,000")&amp;" if you lived apart from your spouse for all of "&amp;TaxYear&amp;")."</f>
        <v/>
      </c>
      <c r="D32" s="7038">
        <f>CHAR(10)&amp;"o  If you were married, file separately, and lived apart from your spouse for all of "&amp;TaxYear&amp;", enter “D” to the right of the word “benefits” on Form 1040, line 6a."</f>
        <v/>
      </c>
      <c r="F32" s="11602" t="n"/>
      <c r="G32" s="7040">
        <f>"If you still have questions about whether your social security benefits are taxable, see IRS "&amp;CHAR(10)&amp;"Pub. 915 or your "&amp;TaxYear&amp;" federal income tax return instructions, or visit IRS.gov and enter 'social security income' in the search box. 
Go to www.irs.gov/Forms to view, download, or print all of the forms and publications you may need."</f>
        <v/>
      </c>
      <c r="J32" s="6043" t="n"/>
      <c r="K32" s="5422" t="n"/>
      <c r="L32" s="2875" t="n"/>
      <c r="M32" s="5422" t="n"/>
      <c r="N32" s="662" t="n"/>
      <c r="O32" s="662" t="n"/>
      <c r="P32" s="662" t="n"/>
      <c r="Q32" s="662" t="n"/>
      <c r="R32" s="662" t="n"/>
      <c r="S32" s="662" t="n"/>
      <c r="T32" s="662" t="n"/>
      <c r="U32" s="662" t="n"/>
      <c r="V32" s="662" t="n"/>
      <c r="W32" s="662" t="n"/>
      <c r="X32" s="662" t="n"/>
    </row>
    <row r="33" ht="74.25" customFormat="1" customHeight="1" s="138">
      <c r="A33" s="5422" t="n"/>
      <c r="B33" s="6055" t="n"/>
      <c r="C33" s="4984">
        <f>"If your figures show that part of"&amp;CHAR(10)&amp;"your benefits may be taxable, see"&amp;CHAR(10)&amp;"IRS Pub. 915, and Social Security"&amp;CHAR(10)&amp;"Benefits in your "&amp;TaxYear&amp;" federal"&amp;CHAR(10)&amp;"income tax return instructions."</f>
        <v/>
      </c>
      <c r="D33" s="7038">
        <f>"Note. If your figures show that part of your benefits may be taxable and you received benefits in "&amp;TaxYear&amp;" that were for a prior year, see IRS Pub. 915, Social Security and Equivalent"</f>
        <v/>
      </c>
      <c r="F33" s="404" t="n"/>
      <c r="G33" s="7637" t="n"/>
      <c r="H33" s="7637" t="n"/>
      <c r="I33" s="7637" t="n"/>
      <c r="J33" s="6043" t="n"/>
      <c r="K33" s="5422" t="n"/>
      <c r="L33" s="2875" t="n"/>
      <c r="M33" s="5422" t="n"/>
      <c r="N33" s="662" t="n"/>
      <c r="O33" s="662" t="n"/>
      <c r="P33" s="662" t="n"/>
      <c r="Q33" s="662" t="n"/>
      <c r="R33" s="662" t="n"/>
      <c r="S33" s="662" t="n"/>
      <c r="T33" s="662" t="n"/>
      <c r="U33" s="662" t="n"/>
      <c r="V33" s="662" t="n"/>
      <c r="W33" s="662" t="n"/>
      <c r="X33" s="662" t="n"/>
    </row>
    <row r="34" ht="16.5" customFormat="1" customHeight="1" s="138" thickBot="1">
      <c r="A34" s="5422" t="n"/>
      <c r="B34" s="6055" t="n"/>
      <c r="C34" s="6056" t="n"/>
      <c r="D34" s="6057" t="inlineStr">
        <is>
          <t>Do not return this notice to the SSA or the IRS. Keep it with your records.</t>
        </is>
      </c>
      <c r="E34" s="6058" t="n"/>
      <c r="F34" s="6059" t="n"/>
      <c r="G34" s="6056" t="n"/>
      <c r="H34" s="6056" t="n"/>
      <c r="I34" s="6056" t="n"/>
      <c r="J34" s="6043" t="n"/>
      <c r="K34" s="5422" t="n"/>
      <c r="L34" s="2875" t="n"/>
      <c r="M34" s="5422" t="n"/>
      <c r="N34" s="662" t="n"/>
      <c r="O34" s="662" t="n"/>
      <c r="P34" s="662" t="n"/>
      <c r="Q34" s="662" t="n"/>
      <c r="R34" s="662" t="n"/>
      <c r="S34" s="662" t="n"/>
      <c r="T34" s="662" t="n"/>
      <c r="U34" s="662" t="n"/>
      <c r="V34" s="662" t="n"/>
      <c r="W34" s="662" t="n"/>
      <c r="X34" s="662" t="n"/>
    </row>
    <row r="35" ht="24" customFormat="1" customHeight="1" s="138" thickBot="1">
      <c r="A35" s="5422" t="n"/>
      <c r="B35" s="6060" t="n"/>
      <c r="C35" s="6061" t="inlineStr">
        <is>
          <t>IRS.gov</t>
        </is>
      </c>
      <c r="D35" s="7034" t="n"/>
      <c r="E35" s="8848" t="n"/>
      <c r="F35" s="8848" t="n"/>
      <c r="G35" s="8848" t="n"/>
      <c r="H35" s="7035" t="n"/>
      <c r="I35" s="6063" t="inlineStr">
        <is>
          <t>Catalog No. 61879N</t>
        </is>
      </c>
      <c r="J35" s="6064" t="n"/>
      <c r="K35" s="5422" t="n"/>
      <c r="L35" s="2875" t="n"/>
      <c r="M35" s="5422" t="n"/>
      <c r="N35" s="662" t="n"/>
      <c r="O35" s="662" t="n"/>
      <c r="P35" s="662" t="n"/>
      <c r="Q35" s="662" t="n"/>
      <c r="R35" s="662" t="n"/>
      <c r="S35" s="662" t="n"/>
      <c r="T35" s="662" t="n"/>
      <c r="U35" s="662" t="n"/>
      <c r="V35" s="662" t="n"/>
      <c r="W35" s="662" t="n"/>
      <c r="X35" s="662" t="n"/>
    </row>
    <row r="38" ht="13.5" customHeight="1" s="7635" thickBot="1">
      <c r="B38" s="2715" t="n"/>
    </row>
    <row r="39">
      <c r="B39" s="2715" t="n"/>
      <c r="C39" s="4701" t="n"/>
    </row>
    <row r="40">
      <c r="B40" s="2715" t="n"/>
      <c r="C40" s="4636" t="inlineStr">
        <is>
          <t>Table of Contents</t>
        </is>
      </c>
    </row>
    <row r="41" ht="13.5" customHeight="1" s="7635" thickBot="1">
      <c r="B41" s="2715" t="n"/>
      <c r="C41" s="4702" t="n"/>
    </row>
    <row r="44">
      <c r="B44" s="2715" t="n"/>
      <c r="C44" s="7033" t="n"/>
    </row>
  </sheetData>
  <sheetProtection selectLockedCells="0" selectUnlockedCells="0" algorithmName="SHA-512" sheet="1" objects="1" insertRows="1" insertHyperlinks="1" autoFilter="1" scenarios="1" formatColumns="0" deleteColumns="1" insertColumns="1" pivotTables="1" deleteRows="1" formatCells="0" saltValue="52H0Vhur/RnH13TWsvE1CQ==" formatRows="0" sort="1" spinCount="100000" hashValue="6OqBT7MJJ5KDDsyIiglZbT/+vqEUu/1g8QIx/U3gRg6ZalH4T09imLWKDDzMzL+S8qHYgH2Vuc3RRQ0pUqwNyg=="/>
  <mergeCells count="12">
    <mergeCell ref="D30:E30"/>
    <mergeCell ref="G32:I33"/>
    <mergeCell ref="D35:G35"/>
    <mergeCell ref="D33:E33"/>
    <mergeCell ref="C24:G24"/>
    <mergeCell ref="G31:I31"/>
    <mergeCell ref="C25:G25"/>
    <mergeCell ref="G18:I18"/>
    <mergeCell ref="D32:E32"/>
    <mergeCell ref="D18:E18"/>
    <mergeCell ref="D31:E31"/>
    <mergeCell ref="G30:I30"/>
  </mergeCells>
  <conditionalFormatting sqref="C29">
    <cfRule type="expression" priority="14" dxfId="1305" stopIfTrue="1">
      <formula>I29</formula>
    </cfRule>
  </conditionalFormatting>
  <conditionalFormatting sqref="D4:D5">
    <cfRule type="expression" priority="13" dxfId="121">
      <formula>IF(NoColor,1,0)</formula>
    </cfRule>
  </conditionalFormatting>
  <conditionalFormatting sqref="D4:D7">
    <cfRule type="expression" priority="4" dxfId="6">
      <formula>NoColor</formula>
    </cfRule>
  </conditionalFormatting>
  <conditionalFormatting sqref="D7">
    <cfRule type="expression" priority="10" dxfId="121">
      <formula>IF(NoColor,1,0)</formula>
    </cfRule>
  </conditionalFormatting>
  <conditionalFormatting sqref="D9:D10">
    <cfRule type="expression" priority="3" dxfId="121">
      <formula>IF(NoColor,1,0)</formula>
    </cfRule>
  </conditionalFormatting>
  <conditionalFormatting sqref="D9:D12">
    <cfRule type="expression" priority="1" dxfId="6">
      <formula>NoColor</formula>
    </cfRule>
  </conditionalFormatting>
  <conditionalFormatting sqref="D12">
    <cfRule type="expression" priority="2" dxfId="121">
      <formula>IF(NoColor,1,0)</formula>
    </cfRule>
  </conditionalFormatting>
  <hyperlinks>
    <hyperlink ref="C40" location="'Table of Contents'!A1" display="Table of Contents"/>
  </hyperlinks>
  <pageMargins left="0.75" right="0.25" top="0.36" bottom="0.29" header="0.36" footer="0.21"/>
  <pageSetup orientation="portrait" scale="74" fitToHeight="0"/>
</worksheet>
</file>

<file path=xl/worksheets/sheet14.xml><?xml version="1.0" encoding="utf-8"?>
<worksheet xmlns="http://schemas.openxmlformats.org/spreadsheetml/2006/main">
  <sheetPr>
    <outlinePr summaryBelow="1" summaryRight="1"/>
    <pageSetUpPr fitToPage="1"/>
  </sheetPr>
  <dimension ref="A1:CZ61"/>
  <sheetViews>
    <sheetView zoomScaleNormal="100" workbookViewId="0">
      <selection activeCell="A2" sqref="A2"/>
    </sheetView>
  </sheetViews>
  <sheetFormatPr baseColWidth="8" defaultRowHeight="12.75"/>
  <cols>
    <col width="4.85546875" customWidth="1" style="7453" min="1" max="1"/>
    <col width="3.5703125" customWidth="1" style="7635" min="4" max="4"/>
    <col width="7" customWidth="1" style="7635" min="5" max="5"/>
    <col width="5.5703125" customWidth="1" style="7635" min="6" max="8"/>
    <col width="6.42578125" customWidth="1" style="7635" min="9" max="9"/>
    <col width="5.5703125" customWidth="1" style="7635" min="10" max="12"/>
    <col width="3.5703125" customWidth="1" style="7635" min="13" max="18"/>
    <col width="3" customWidth="1" style="7635" min="19" max="24"/>
    <col width="2.7109375" customWidth="1" style="7635" min="25" max="25"/>
    <col width="3.42578125" customWidth="1" style="7635" min="26" max="26"/>
    <col width="2.7109375" customWidth="1" style="7635" min="27" max="28"/>
    <col width="3.42578125" customWidth="1" style="7635" min="29" max="29"/>
    <col width="2.7109375" customWidth="1" style="7635" min="30" max="31"/>
    <col width="3.42578125" customWidth="1" style="7635" min="32" max="32"/>
    <col width="2.7109375" customWidth="1" style="7635" min="33" max="33"/>
    <col width="3.28515625" customWidth="1" style="7635" min="34" max="34"/>
    <col width="3.42578125" customWidth="1" style="7635" min="35" max="35"/>
    <col width="3.28515625" customWidth="1" style="7635" min="36" max="36"/>
    <col width="3" customWidth="1" style="7635" min="37" max="42"/>
    <col width="11.28515625" customWidth="1" style="7635" min="43" max="43"/>
    <col width="4.7109375" customWidth="1" style="7635" min="44" max="44"/>
    <col width="3.42578125" customWidth="1" style="7635" min="45" max="45"/>
    <col width="4.7109375" customWidth="1" style="7635" min="46" max="46"/>
    <col width="3.7109375" customWidth="1" style="7635" min="47" max="47"/>
    <col width="3.42578125" customWidth="1" style="7635" min="48" max="48"/>
    <col width="3.7109375" customWidth="1" style="7635" min="49" max="49"/>
    <col width="4.7109375" customWidth="1" style="7635" min="50" max="50"/>
    <col width="3.42578125" customWidth="1" style="7635" min="51" max="51"/>
    <col width="4.7109375" customWidth="1" style="7635" min="52" max="53"/>
    <col width="3.28515625" customWidth="1" style="7635" min="54" max="54"/>
    <col width="4.7109375" customWidth="1" style="7635" min="55" max="55"/>
    <col width="3.7109375" customWidth="1" style="7635" min="56" max="56"/>
    <col width="3.140625" customWidth="1" style="7635" min="57" max="57"/>
    <col width="3.7109375" customWidth="1" style="7635" min="58" max="59"/>
    <col width="3.42578125" customWidth="1" style="7635" min="60" max="60"/>
    <col width="3.7109375" customWidth="1" style="7635" min="61" max="61"/>
    <col width="4.7109375" customWidth="1" style="7635" min="62" max="62"/>
    <col width="3.42578125" customWidth="1" style="7635" min="63" max="63"/>
    <col width="4.7109375" customWidth="1" style="7635" min="64" max="64"/>
    <col width="4.5703125" customWidth="1" style="7635" min="65" max="65"/>
    <col width="56.42578125" customWidth="1" style="7635" min="66" max="66"/>
    <col width="11.42578125" customWidth="1" style="7635" min="67" max="68"/>
    <col hidden="1" width="9.140625" customWidth="1" style="7635" min="69" max="69"/>
    <col hidden="1" width="4.85546875" customWidth="1" style="7635" min="70" max="70"/>
    <col hidden="1" width="14.7109375" customWidth="1" style="7635" min="71" max="71"/>
    <col hidden="1" width="9.140625" customWidth="1" style="7453" min="72" max="73"/>
    <col hidden="1" width="9.85546875" customWidth="1" style="7453" min="74" max="74"/>
    <col hidden="1" width="8.42578125" customWidth="1" style="7453" min="75" max="75"/>
    <col hidden="1" width="10.140625" customWidth="1" style="7453" min="76" max="76"/>
    <col hidden="1" width="11.7109375" customWidth="1" style="7453" min="77" max="77"/>
    <col hidden="1" width="12.28515625" customWidth="1" style="7635" min="78" max="91"/>
    <col hidden="1" width="3.5703125" customWidth="1" style="7635" min="92" max="92"/>
    <col hidden="1" width="6.7109375" customWidth="1" style="7635" min="93" max="96"/>
    <col hidden="1" width="5.85546875" customWidth="1" style="7635" min="97" max="98"/>
    <col hidden="1" width="12.28515625" customWidth="1" style="7635" min="99" max="100"/>
    <col hidden="1" width="3.7109375" customWidth="1" style="7635" min="101" max="101"/>
    <col hidden="1" width="9.140625" customWidth="1" style="7635" min="102" max="102"/>
  </cols>
  <sheetData>
    <row r="1" ht="12.75" customHeight="1" s="7635">
      <c r="A1" s="2259" t="n"/>
      <c r="B1" s="1277" t="n"/>
      <c r="C1" s="1277" t="n"/>
      <c r="D1" s="1277" t="n"/>
      <c r="E1" s="1277" t="n"/>
      <c r="F1" s="1277" t="n"/>
      <c r="G1" s="1277" t="n"/>
      <c r="H1" s="1277" t="n"/>
      <c r="I1" s="1277" t="n"/>
      <c r="J1" s="1277" t="n"/>
      <c r="K1" s="1277" t="n"/>
      <c r="L1" s="1277" t="n"/>
      <c r="M1" s="7514">
        <f>IF(BV3,"By entering a first name, last name, or relationship,
'Default' SSNs are automatically generated here."&amp;CHAR(10)&amp;"These may be used in lieu of real SSNs.","")</f>
        <v/>
      </c>
      <c r="S1" s="1277" t="n"/>
      <c r="T1" s="1277" t="n"/>
      <c r="U1" s="1277" t="n"/>
      <c r="V1" s="1277" t="n"/>
      <c r="W1" s="1277" t="n"/>
      <c r="X1" s="1277" t="n"/>
      <c r="Y1" s="7479" t="inlineStr">
        <is>
          <t xml:space="preserve">
To be counted as a qualifying child for Earned Income Credit (EIC) purposes, a child must:
- be under 19 years old, 
- be a full-time student 
   under 24 years old, or 
- be permanently and 
   totally disabled
AND
- have lived with you, in the U.S., 
   for at least half of the tax year.</t>
        </is>
      </c>
      <c r="AK1" s="7468">
        <f>IF(BY3,"Enter child/dependent's birthdate to ensure accurate tax credit determination - unless permanently and totally disabled.","")</f>
        <v/>
      </c>
      <c r="AQ1" s="1277" t="n"/>
      <c r="AR1" s="1277" t="n"/>
      <c r="AS1" s="1277" t="n"/>
      <c r="AT1" s="1277" t="n"/>
      <c r="AU1" s="1277" t="n"/>
      <c r="AV1" s="1277" t="n"/>
      <c r="AW1" s="1277" t="n"/>
      <c r="AX1" s="1277" t="n"/>
      <c r="AY1" s="1277" t="n"/>
      <c r="AZ1" s="1277" t="n"/>
      <c r="BA1" s="1277" t="n"/>
      <c r="BB1" s="1277" t="n"/>
      <c r="BC1" s="1277" t="n"/>
      <c r="BD1" s="1277" t="n"/>
      <c r="BE1" s="1277" t="n"/>
      <c r="BF1" s="1277" t="n"/>
      <c r="BG1" s="1277" t="n"/>
      <c r="BH1" s="1277" t="n"/>
      <c r="BI1" s="1277" t="n"/>
      <c r="BJ1" s="1277" t="n"/>
      <c r="BK1" s="1277" t="n"/>
      <c r="BL1" s="1277" t="n"/>
      <c r="BM1" s="1277" t="n"/>
      <c r="CY1" s="7453" t="n"/>
    </row>
    <row r="2" ht="150" customHeight="1" s="7635">
      <c r="A2" s="2259" t="n"/>
      <c r="B2" s="1277" t="n"/>
      <c r="C2" s="7515" t="inlineStr">
        <is>
          <t>To be counted as your dependent, 
that person must:
- be a qualifying child or dependent
- have a valid Social Security Number
- receive at least 1/2 of support from you
- be a US citizen, national, or resident alien, 
  or resident of Canada or Mexico
See general rules for dependents, below.</t>
        </is>
      </c>
      <c r="K2" s="1277" t="n"/>
      <c r="L2" s="1277" t="n"/>
      <c r="S2" s="1277" t="n"/>
      <c r="T2" s="1277" t="n"/>
      <c r="U2" s="1277" t="n"/>
      <c r="V2" s="1277" t="n"/>
      <c r="W2" s="1277" t="n"/>
      <c r="X2" s="1277" t="n"/>
      <c r="AQ2" s="1277" t="n"/>
      <c r="AR2" s="6191" t="n"/>
      <c r="AS2" s="1277" t="n"/>
      <c r="AT2" s="1277" t="n"/>
      <c r="AU2" s="1277" t="n"/>
      <c r="AV2" s="1277" t="n"/>
      <c r="AW2" s="1277" t="n"/>
      <c r="AX2" s="1277" t="n"/>
      <c r="AY2" s="1277" t="n"/>
      <c r="AZ2" s="1277" t="n"/>
      <c r="BA2" s="7477" t="inlineStr">
        <is>
          <t>Scroll down to view
Dependents Summary.</t>
        </is>
      </c>
      <c r="BM2" s="1277" t="n"/>
      <c r="BN2" s="6175" t="n"/>
      <c r="BQ2" s="7459" t="inlineStr">
        <is>
          <t>Both (Error)</t>
        </is>
      </c>
      <c r="BY2" s="11897">
        <f>AK7</f>
        <v/>
      </c>
      <c r="BZ2" s="11897">
        <f>SpouseBirthDate</f>
        <v/>
      </c>
      <c r="CA2" s="11897">
        <f>SpouseBirthDate</f>
        <v/>
      </c>
      <c r="CD2" s="11897">
        <f>YourBirthDate</f>
        <v/>
      </c>
      <c r="CN2" s="5985" t="n"/>
      <c r="CO2" s="7459" t="inlineStr">
        <is>
          <t>CTC - Qualifying child under 17 w/ SSN</t>
        </is>
      </c>
      <c r="CP2" s="7459" t="inlineStr">
        <is>
          <t>Credit for Other Dependent - Qualifying child not under 17</t>
        </is>
      </c>
      <c r="CQ2" s="7459" t="inlineStr">
        <is>
          <t>Credit for Other Dependents - Qualifying Relative</t>
        </is>
      </c>
      <c r="CR2" s="7459" t="inlineStr">
        <is>
          <t>Other Dependent</t>
        </is>
      </c>
      <c r="CX2" s="7459" t="inlineStr">
        <is>
          <t>EIC - Qualifying child - Lived with you at least half in the U.S.</t>
        </is>
      </c>
    </row>
    <row r="3" ht="24.75" customHeight="1" s="7635" thickBot="1">
      <c r="A3" s="2259" t="n"/>
      <c r="B3" s="1277" t="n"/>
      <c r="C3" s="1277" t="n"/>
      <c r="D3" s="1277" t="n"/>
      <c r="E3" s="1277" t="n"/>
      <c r="F3" s="1277" t="n"/>
      <c r="G3" s="1277" t="n"/>
      <c r="H3" s="1277" t="n"/>
      <c r="I3" s="1277" t="n"/>
      <c r="J3" s="1277" t="n"/>
      <c r="K3" s="1277" t="n"/>
      <c r="L3" s="1277" t="n"/>
      <c r="M3" s="7637" t="n"/>
      <c r="N3" s="7637" t="n"/>
      <c r="O3" s="7637" t="n"/>
      <c r="P3" s="7637" t="n"/>
      <c r="Q3" s="7637" t="n"/>
      <c r="R3" s="7637" t="n"/>
      <c r="S3" s="1277" t="n"/>
      <c r="T3" s="1277" t="n"/>
      <c r="U3" s="1277" t="n"/>
      <c r="V3" s="1277" t="n"/>
      <c r="W3" s="1277" t="n"/>
      <c r="X3" s="1277" t="n"/>
      <c r="Y3" s="7637" t="n"/>
      <c r="Z3" s="7637" t="n"/>
      <c r="AA3" s="7637" t="n"/>
      <c r="AB3" s="7637" t="n"/>
      <c r="AC3" s="7637" t="n"/>
      <c r="AD3" s="7637" t="n"/>
      <c r="AE3" s="7637" t="n"/>
      <c r="AF3" s="7637" t="n"/>
      <c r="AG3" s="7637" t="n"/>
      <c r="AH3" s="7637" t="n"/>
      <c r="AI3" s="7637" t="n"/>
      <c r="AJ3" s="7637" t="n"/>
      <c r="AK3" s="7637" t="n"/>
      <c r="AL3" s="7637" t="n"/>
      <c r="AM3" s="7637" t="n"/>
      <c r="AN3" s="7637" t="n"/>
      <c r="AO3" s="7637" t="n"/>
      <c r="AP3" s="7637" t="n"/>
      <c r="AQ3" s="1277" t="n"/>
      <c r="AR3" s="7469" t="n"/>
      <c r="AS3" s="7469" t="n"/>
      <c r="AT3" s="7469" t="n"/>
      <c r="AU3" s="7469" t="n"/>
      <c r="AV3" s="7469" t="n"/>
      <c r="AW3" s="7469" t="n"/>
      <c r="AX3" s="7469" t="n"/>
      <c r="AY3" s="7469" t="n"/>
      <c r="AZ3" s="7469" t="n"/>
      <c r="BA3" s="6178" t="n"/>
      <c r="BB3" s="6178" t="n"/>
      <c r="BC3" s="6178" t="n"/>
      <c r="BD3" s="1277" t="n"/>
      <c r="BE3" s="1277" t="n"/>
      <c r="BF3" s="1277" t="n"/>
      <c r="BG3" s="7469" t="n"/>
      <c r="BH3" s="7469" t="n"/>
      <c r="BI3" s="7469" t="n"/>
      <c r="BJ3" s="6152" t="n"/>
      <c r="BK3" s="6152" t="n"/>
      <c r="BL3" s="6152" t="n"/>
      <c r="BM3" s="1277" t="n"/>
      <c r="BV3" s="7623">
        <f>OR(BV7:BV10,BV15:BV30)</f>
        <v/>
      </c>
      <c r="BY3" s="7623">
        <f>OR(BY7:BY10,BY15:BY30)</f>
        <v/>
      </c>
      <c r="BZ3" s="314" t="inlineStr">
        <is>
          <t>Age</t>
        </is>
      </c>
      <c r="CA3" s="314" t="inlineStr">
        <is>
          <t>Age</t>
        </is>
      </c>
      <c r="CB3" s="314" t="inlineStr">
        <is>
          <t>Age</t>
        </is>
      </c>
      <c r="CC3" s="314" t="n"/>
      <c r="CF3" s="7466" t="n"/>
      <c r="CG3" s="6154" t="n"/>
      <c r="CH3" s="6154" t="n"/>
      <c r="CI3" s="6154" t="n"/>
      <c r="CJ3" s="7466" t="n"/>
      <c r="CK3" s="7466" t="n"/>
      <c r="CL3" s="7466" t="n"/>
      <c r="CM3" s="7466">
        <f>OR(AND(NOT(BX7),BW7),AND(NOT(BX7),BB7&lt;&gt;"",CA7=0))</f>
        <v/>
      </c>
      <c r="CN3" s="5985" t="n"/>
      <c r="CU3" s="6154" t="n"/>
      <c r="CV3" s="6154" t="n"/>
    </row>
    <row r="4" ht="34.5" customHeight="1" s="7635" thickBot="1" thickTop="1">
      <c r="A4" s="2259" t="n"/>
      <c r="B4" s="7371" t="inlineStr">
        <is>
          <t>Dependents</t>
        </is>
      </c>
      <c r="C4" s="7839" t="n"/>
      <c r="D4" s="7839" t="n"/>
      <c r="E4" s="7523" t="inlineStr">
        <is>
          <t>See IRS instructions.</t>
        </is>
      </c>
      <c r="F4" s="7839" t="n"/>
      <c r="G4" s="7839" t="n"/>
      <c r="H4" s="10091" t="n"/>
      <c r="I4" s="1274" t="n"/>
      <c r="J4" s="1263" t="n"/>
      <c r="K4" s="1263" t="n"/>
      <c r="L4" s="1264" t="n"/>
      <c r="M4" s="11898" t="inlineStr">
        <is>
          <t>(3) Social security 
number
Enter 'N' if dependent has no SSN, ITIN or ATIN.
(See IRS instructions.)</t>
        </is>
      </c>
      <c r="N4" s="7839" t="n"/>
      <c r="O4" s="7839" t="n"/>
      <c r="P4" s="7839" t="n"/>
      <c r="Q4" s="7839" t="n"/>
      <c r="R4" s="10091" t="n"/>
      <c r="S4" s="11898" t="inlineStr">
        <is>
          <t>(4) Relationship</t>
        </is>
      </c>
      <c r="T4" s="7839" t="n"/>
      <c r="U4" s="7839" t="n"/>
      <c r="V4" s="7839" t="n"/>
      <c r="W4" s="7839" t="n"/>
      <c r="X4" s="10091" t="n"/>
      <c r="Y4" s="11899" t="inlineStr">
        <is>
          <t>(5) Check if child</t>
        </is>
      </c>
      <c r="Z4" s="7839" t="n"/>
      <c r="AA4" s="7839" t="n"/>
      <c r="AB4" s="7839" t="n"/>
      <c r="AC4" s="7839" t="n"/>
      <c r="AD4" s="10091" t="n"/>
      <c r="AE4" s="11900" t="inlineStr">
        <is>
          <t>(6) Check if child is:</t>
        </is>
      </c>
      <c r="AF4" s="7839" t="n"/>
      <c r="AG4" s="7839" t="n"/>
      <c r="AH4" s="7839" t="n"/>
      <c r="AI4" s="7839" t="n"/>
      <c r="AJ4" s="10091" t="n"/>
      <c r="AK4" s="11901" t="inlineStr">
        <is>
          <t>Birthdate</t>
        </is>
      </c>
      <c r="AL4" s="7839" t="n"/>
      <c r="AM4" s="7839" t="n"/>
      <c r="AN4" s="7839" t="n"/>
      <c r="AO4" s="7839" t="n"/>
      <c r="AP4" s="10091" t="n"/>
      <c r="AQ4" s="11902">
        <f>"Age "&amp;CHAR(10)&amp;"(in "&amp;TaxYear&amp;")"</f>
        <v/>
      </c>
      <c r="AR4" s="11903" t="inlineStr">
        <is>
          <t>NOTE: To receive either the CTC or the credit for other dependents, 
all three must be checked. 
Check if child or other relative:</t>
        </is>
      </c>
      <c r="AS4" s="7839" t="n"/>
      <c r="AT4" s="7839" t="n"/>
      <c r="AU4" s="7839" t="n"/>
      <c r="AV4" s="7839" t="n"/>
      <c r="AW4" s="7839" t="n"/>
      <c r="AX4" s="7839" t="n"/>
      <c r="AY4" s="7839" t="n"/>
      <c r="AZ4" s="7839" t="n"/>
      <c r="BA4" s="11904" t="inlineStr">
        <is>
          <t>Child tax credit
(CTC)</t>
        </is>
      </c>
      <c r="BB4" s="9668" t="n"/>
      <c r="BC4" s="9669" t="n"/>
      <c r="BD4" s="11905" t="inlineStr">
        <is>
          <t>Check if qualifying relative:</t>
        </is>
      </c>
      <c r="BE4" s="7839" t="n"/>
      <c r="BF4" s="7839" t="n"/>
      <c r="BG4" s="7839" t="n"/>
      <c r="BH4" s="7839" t="n"/>
      <c r="BI4" s="7839" t="n"/>
      <c r="BJ4" s="11904" t="inlineStr">
        <is>
          <t>Credit for other dependents
(CFOD)</t>
        </is>
      </c>
      <c r="BK4" s="9668" t="n"/>
      <c r="BL4" s="9669" t="n"/>
      <c r="BM4" s="1277" t="n"/>
      <c r="BZ4" s="1379" t="n">
        <v>17</v>
      </c>
      <c r="CA4" s="1379" t="n">
        <v>19</v>
      </c>
      <c r="CB4" s="1379" t="n">
        <v>24</v>
      </c>
      <c r="CC4" s="4241" t="n"/>
      <c r="CF4" s="7466" t="n"/>
      <c r="CG4" s="6154" t="n"/>
      <c r="CH4" s="7476" t="inlineStr">
        <is>
          <t>QC Depend
or
QR Depend</t>
        </is>
      </c>
      <c r="CI4" s="6154" t="n"/>
      <c r="CJ4" s="7466" t="n"/>
      <c r="CK4" s="7466" t="n"/>
      <c r="CL4" s="7466" t="n"/>
      <c r="CM4" s="7466" t="n"/>
      <c r="CN4" s="5985" t="n"/>
      <c r="CU4" s="6154" t="n"/>
      <c r="CV4" s="6154" t="n"/>
    </row>
    <row r="5" ht="31.5" customHeight="1" s="7635" thickBot="1">
      <c r="A5" s="2259" t="n"/>
      <c r="H5" s="7636" t="n"/>
      <c r="I5" s="1266" t="n"/>
      <c r="J5" s="1261" t="n"/>
      <c r="K5" s="1261" t="n"/>
      <c r="L5" s="1265" t="n"/>
      <c r="M5" s="4772" t="n"/>
      <c r="R5" s="7636" t="n"/>
      <c r="S5" s="4772" t="n"/>
      <c r="X5" s="7636" t="n"/>
      <c r="Y5" s="11906">
        <f>"lived with you more than half "&amp;TaxYear</f>
        <v/>
      </c>
      <c r="Z5" s="7637" t="n"/>
      <c r="AA5" s="7637" t="n"/>
      <c r="AB5" s="7637" t="n"/>
      <c r="AC5" s="7637" t="n"/>
      <c r="AD5" s="7638" t="n"/>
      <c r="AE5" s="3614" t="n"/>
      <c r="AF5" s="7637" t="n"/>
      <c r="AG5" s="7637" t="n"/>
      <c r="AH5" s="7637" t="n"/>
      <c r="AI5" s="7637" t="n"/>
      <c r="AJ5" s="7638" t="n"/>
      <c r="AK5" s="4772" t="n"/>
      <c r="AP5" s="7636" t="n"/>
      <c r="AQ5" s="4772" t="n"/>
      <c r="AR5" s="11907" t="n"/>
      <c r="AS5" s="7637" t="n"/>
      <c r="AT5" s="7637" t="n"/>
      <c r="AU5" s="7637" t="n"/>
      <c r="AV5" s="7637" t="n"/>
      <c r="AW5" s="7637" t="n"/>
      <c r="AX5" s="7637" t="n"/>
      <c r="AY5" s="7637" t="n"/>
      <c r="AZ5" s="7637" t="n"/>
      <c r="BA5" s="11908" t="n"/>
      <c r="BB5" s="7637" t="n"/>
      <c r="BC5" s="11909" t="n"/>
      <c r="BD5" s="7637" t="n"/>
      <c r="BE5" s="7637" t="n"/>
      <c r="BF5" s="7637" t="n"/>
      <c r="BG5" s="7637" t="n"/>
      <c r="BH5" s="7637" t="n"/>
      <c r="BI5" s="7637" t="n"/>
      <c r="BJ5" s="11908" t="n"/>
      <c r="BK5" s="7637" t="n"/>
      <c r="BL5" s="11909" t="n"/>
      <c r="BM5" s="1277" t="n"/>
      <c r="BU5" s="7466" t="inlineStr">
        <is>
          <t>Valid SSN?</t>
        </is>
      </c>
      <c r="BV5" s="7466" t="inlineStr">
        <is>
          <t>Default SSN?</t>
        </is>
      </c>
      <c r="BW5" s="7466" t="n"/>
      <c r="BX5" s="7466" t="n"/>
      <c r="BY5" s="6154" t="n"/>
      <c r="BZ5" s="7555" t="inlineStr">
        <is>
          <t>Qualifying Child</t>
        </is>
      </c>
      <c r="CA5" s="8848" t="n"/>
      <c r="CB5" s="8848" t="n"/>
      <c r="CC5" s="8848" t="n"/>
      <c r="CD5" s="8848" t="n"/>
      <c r="CE5" s="8848" t="n"/>
      <c r="CF5" s="8848" t="n"/>
      <c r="CG5" s="8848" t="n"/>
      <c r="CH5" s="11910" t="n"/>
      <c r="CI5" s="6163" t="n"/>
      <c r="CJ5" s="7555" t="inlineStr">
        <is>
          <t>Qualifying Relative</t>
        </is>
      </c>
      <c r="CK5" s="8848" t="n"/>
      <c r="CL5" s="7555" t="inlineStr">
        <is>
          <t>Dependent</t>
        </is>
      </c>
      <c r="CM5" s="8848" t="n"/>
      <c r="CN5" s="5985" t="n"/>
      <c r="CU5" s="7453" t="n"/>
      <c r="CV5" s="7453" t="n"/>
    </row>
    <row r="6" ht="180.75" customHeight="1" s="7635" thickBot="1">
      <c r="A6" s="2259" t="n"/>
      <c r="B6" s="7511" t="inlineStr">
        <is>
          <t>If more 
than four 
dependents, 
see instructions 
and check</t>
        </is>
      </c>
      <c r="C6" s="194" t="n"/>
      <c r="D6" s="194" t="n"/>
      <c r="E6" s="7061" t="inlineStr">
        <is>
          <t>(1)  First name</t>
        </is>
      </c>
      <c r="F6" s="7637" t="n"/>
      <c r="G6" s="7637" t="n"/>
      <c r="H6" s="7637" t="n"/>
      <c r="I6" s="11911" t="inlineStr">
        <is>
          <t>(2)  Last name</t>
        </is>
      </c>
      <c r="J6" s="7637" t="n"/>
      <c r="K6" s="7637" t="n"/>
      <c r="L6" s="7638" t="n"/>
      <c r="M6" s="3614" t="n"/>
      <c r="N6" s="7637" t="n"/>
      <c r="O6" s="7637" t="n"/>
      <c r="P6" s="7637" t="n"/>
      <c r="Q6" s="7637" t="n"/>
      <c r="R6" s="7638" t="n"/>
      <c r="S6" s="3614" t="n"/>
      <c r="T6" s="7637" t="n"/>
      <c r="U6" s="7637" t="n"/>
      <c r="V6" s="7637" t="n"/>
      <c r="W6" s="7637" t="n"/>
      <c r="X6" s="7638" t="n"/>
      <c r="Y6" s="7457" t="inlineStr">
        <is>
          <t>Yes</t>
        </is>
      </c>
      <c r="Z6" s="7637" t="n"/>
      <c r="AA6" s="7637" t="n"/>
      <c r="AB6" s="7457" t="inlineStr">
        <is>
          <t>And in the U.S.
(Needed to qualify for EIC.)</t>
        </is>
      </c>
      <c r="AC6" s="7637" t="n"/>
      <c r="AD6" s="7637" t="n"/>
      <c r="AE6" s="7457" t="inlineStr">
        <is>
          <t>Full-time student</t>
        </is>
      </c>
      <c r="AF6" s="7637" t="n"/>
      <c r="AG6" s="7637" t="n"/>
      <c r="AH6" s="7457" t="inlineStr">
        <is>
          <t>Permanently and totally disabled</t>
        </is>
      </c>
      <c r="AI6" s="7637" t="n"/>
      <c r="AJ6" s="7637" t="n"/>
      <c r="AK6" s="3614" t="n"/>
      <c r="AL6" s="7637" t="n"/>
      <c r="AM6" s="7637" t="n"/>
      <c r="AN6" s="7637" t="n"/>
      <c r="AO6" s="7637" t="n"/>
      <c r="AP6" s="7638" t="n"/>
      <c r="AQ6" s="3614" t="n"/>
      <c r="AR6" s="7551" t="inlineStr">
        <is>
          <t>Was a
US citizen, 
US national, 
US resident alien, or
resident of Canada
or 
Mexico</t>
        </is>
      </c>
      <c r="AS6" s="7637" t="n"/>
      <c r="AT6" s="7637" t="n"/>
      <c r="AU6" s="7457" t="inlineStr">
        <is>
          <t>Didn't provide over half of their own support.</t>
        </is>
      </c>
      <c r="AV6" s="7637" t="n"/>
      <c r="AW6" s="7637" t="n"/>
      <c r="AX6" s="7457" t="inlineStr">
        <is>
          <t>Was a
US citizen, 
US national, or
US resident alien</t>
        </is>
      </c>
      <c r="AY6" s="7637" t="n"/>
      <c r="AZ6" s="7637" t="n"/>
      <c r="BA6" s="11912" t="inlineStr">
        <is>
          <t>Auto calculated.
To override,
click left to clear,
click right to check.</t>
        </is>
      </c>
      <c r="BB6" s="8412" t="n"/>
      <c r="BC6" s="11913" t="n"/>
      <c r="BD6" s="7550" t="inlineStr">
        <is>
          <t>Has Gross Income
&lt; $5,200</t>
        </is>
      </c>
      <c r="BE6" s="7637" t="n"/>
      <c r="BF6" s="7638" t="n"/>
      <c r="BG6" s="7457" t="inlineStr">
        <is>
          <t>Had over half of support provided by you</t>
        </is>
      </c>
      <c r="BH6" s="7637" t="n"/>
      <c r="BI6" s="7637" t="n"/>
      <c r="BJ6" s="11912" t="inlineStr">
        <is>
          <t>Auto calculated.
To override,
click left to clear,
click right to check.</t>
        </is>
      </c>
      <c r="BK6" s="8412" t="n"/>
      <c r="BL6" s="11913" t="n"/>
      <c r="BM6" s="1277" t="n"/>
      <c r="BW6" s="7466" t="inlineStr">
        <is>
          <t>QC</t>
        </is>
      </c>
      <c r="BX6" s="7466" t="inlineStr">
        <is>
          <t>File jointly &amp; Spouse</t>
        </is>
      </c>
      <c r="BY6" s="7466" t="inlineStr">
        <is>
          <t>Birthdate Missing</t>
        </is>
      </c>
      <c r="BZ6" s="7466">
        <f>"Under "&amp;BZ$4</f>
        <v/>
      </c>
      <c r="CA6" s="8788">
        <f>"Under "&amp;CA$4</f>
        <v/>
      </c>
      <c r="CB6" s="8788">
        <f>"Under "&amp;CB$4</f>
        <v/>
      </c>
      <c r="CC6" s="7466" t="inlineStr">
        <is>
          <t>Full-time Student</t>
        </is>
      </c>
      <c r="CD6" s="7466" t="inlineStr">
        <is>
          <t>Younger than You (and your spouse if filing jointly)</t>
        </is>
      </c>
      <c r="CE6" s="7466" t="inlineStr">
        <is>
          <t>Totally Disabled</t>
        </is>
      </c>
      <c r="CF6" s="7555" t="inlineStr">
        <is>
          <t>Didn't provide over half of their own support.</t>
        </is>
      </c>
      <c r="CG6" s="7555" t="inlineStr">
        <is>
          <t>Lived with you more than half the year</t>
        </is>
      </c>
      <c r="CH6" s="7555" t="inlineStr">
        <is>
          <t>A US citizen or national, or resident of Canada or Mexico</t>
        </is>
      </c>
      <c r="CI6" s="7555" t="inlineStr">
        <is>
          <t>A US citizen, US national, or US resident alien</t>
        </is>
      </c>
      <c r="CJ6" s="7555" t="inlineStr">
        <is>
          <t>Relative's gross income 
&lt; $5,200</t>
        </is>
      </c>
      <c r="CK6" s="7555" t="inlineStr">
        <is>
          <t>You provided at least half of relative's support</t>
        </is>
      </c>
      <c r="CL6" s="6147" t="inlineStr">
        <is>
          <t>Qualifying Child and Dependent</t>
        </is>
      </c>
      <c r="CM6" s="6148" t="inlineStr">
        <is>
          <t>Qualifying Relative and Dependent</t>
        </is>
      </c>
      <c r="CN6" s="5985" t="n"/>
      <c r="CU6" s="7555" t="inlineStr">
        <is>
          <t>Lived with you more than half the year in the United States</t>
        </is>
      </c>
      <c r="CV6" s="7555" t="inlineStr">
        <is>
          <t>Qualifying Child for EIC purposes</t>
        </is>
      </c>
    </row>
    <row r="7" ht="18" customHeight="1" s="7635">
      <c r="A7" s="6158" t="inlineStr">
        <is>
          <t>03</t>
        </is>
      </c>
      <c r="B7" s="194" t="n"/>
      <c r="C7" s="194" t="n"/>
      <c r="D7" s="194" t="n"/>
      <c r="E7" s="7489" t="n"/>
      <c r="F7" s="8007" t="n"/>
      <c r="G7" s="8007" t="n"/>
      <c r="H7" s="8007" t="n"/>
      <c r="I7" s="11914" t="n"/>
      <c r="J7" s="8007" t="n"/>
      <c r="K7" s="8007" t="n"/>
      <c r="L7" s="8008" t="n"/>
      <c r="M7" s="11915">
        <f>IF(OR(E7&lt;&gt;"",I7&lt;&gt;"",S7&lt;&gt;"",AS7&lt;&gt;"",AV7&lt;&gt;"",Z7&lt;&gt;"",AC7&lt;&gt;"",AF7&lt;&gt;"",AI7&lt;&gt;"",AK7&lt;&gt;""),"001-01-00"&amp;A7,"")</f>
        <v/>
      </c>
      <c r="N7" s="8007" t="n"/>
      <c r="O7" s="8007" t="n"/>
      <c r="P7" s="8007" t="n"/>
      <c r="Q7" s="8007" t="n"/>
      <c r="R7" s="8008" t="n"/>
      <c r="S7" s="276" t="n"/>
      <c r="T7" s="8007" t="n"/>
      <c r="U7" s="8007" t="n"/>
      <c r="V7" s="8007" t="n"/>
      <c r="W7" s="8007" t="n"/>
      <c r="X7" s="8008" t="n"/>
      <c r="Y7" s="1034" t="n"/>
      <c r="Z7" s="276" t="n"/>
      <c r="AA7" s="1035" t="n"/>
      <c r="AB7" s="1034" t="n"/>
      <c r="AC7" s="276" t="n"/>
      <c r="AD7" s="1036" t="n"/>
      <c r="AE7" s="1034" t="n"/>
      <c r="AF7" s="276" t="n"/>
      <c r="AG7" s="1035" t="n"/>
      <c r="AH7" s="1034" t="n"/>
      <c r="AI7" s="276" t="n"/>
      <c r="AJ7" s="1036" t="n"/>
      <c r="AK7" s="11916" t="n"/>
      <c r="AL7" s="8007" t="n"/>
      <c r="AM7" s="8007" t="n"/>
      <c r="AN7" s="8007" t="n"/>
      <c r="AO7" s="8007" t="n"/>
      <c r="AP7" s="8008" t="n"/>
      <c r="AQ7" s="11917">
        <f>IF(AK7="","",TaxYear-YEAR(AK7))</f>
        <v/>
      </c>
      <c r="AR7" s="6161" t="n"/>
      <c r="AS7" s="276" t="n"/>
      <c r="AT7" s="1036" t="n"/>
      <c r="AU7" s="1034" t="n"/>
      <c r="AV7" s="276" t="n"/>
      <c r="AW7" s="1036" t="n"/>
      <c r="AX7" s="1034" t="n"/>
      <c r="AY7" s="276" t="n"/>
      <c r="AZ7" s="1036" t="n"/>
      <c r="BA7" s="6179" t="n"/>
      <c r="BB7" s="1846">
        <f>IF(CO7=1,"X","")</f>
        <v/>
      </c>
      <c r="BC7" s="6180" t="n"/>
      <c r="BD7" s="11918" t="n"/>
      <c r="BE7" s="6149" t="n"/>
      <c r="BF7" s="11917" t="n"/>
      <c r="BG7" s="1034" t="n"/>
      <c r="BH7" s="276" t="n"/>
      <c r="BI7" s="1036" t="n"/>
      <c r="BJ7" s="6183" t="n"/>
      <c r="BK7" s="1846">
        <f>IF(OR(CP7=1,CQ7=1),"X","")</f>
        <v/>
      </c>
      <c r="BL7" s="6187" t="n"/>
      <c r="BM7" s="1277" t="n"/>
      <c r="BN7" s="11418">
        <f>IF(M7="","",IF(BQ7,"Error - two credit boxes checked.",IF(BX7,"Error - You can't claim spouse if filing jointly.",IF(BC7&lt;&gt;"","Override:CTC",IF(BL7&lt;&gt;"","Override CFOD",IF(AND(CC7,CP7=1),"CFOD for full-time student - at least "&amp;$CA$4&amp;" and under "&amp;$CB$4&amp;".",IF(AND(CE7,CP7=1),"CFOD for permanently &amp; totally disabled child.",IF(OR(CP7=1,CQ7=1),"CFOD - Credit for other dependent.",IF(AND(CL7,BZ7),"CTC for dependent child under "&amp;CTC_AgeLimit&amp;".",IF(CL7,"Dependent child.",IF(CM7,"Dependent relative.",IF(CX7,"Qualified child for EIC.","Not qualified as a dependent."))))))))))))</f>
        <v/>
      </c>
      <c r="BO7" s="8043" t="n"/>
      <c r="BP7" s="8043" t="n"/>
      <c r="BQ7" s="7453">
        <f>AND(BB7&lt;&gt;"",BK7&lt;&gt;"")</f>
        <v/>
      </c>
      <c r="BR7" s="8043" t="n"/>
      <c r="BS7" s="7453">
        <f>TEXT(M7,"000-00-0000")</f>
        <v/>
      </c>
      <c r="BT7" s="7453">
        <f>LEFT(BS7,3)</f>
        <v/>
      </c>
      <c r="BU7" s="1281">
        <f>M7&lt;&gt;"n"</f>
        <v/>
      </c>
      <c r="BV7" s="1281">
        <f>LEFT(M7,6)="001-01"</f>
        <v/>
      </c>
      <c r="BW7" s="7453">
        <f>AND(M7&lt;&gt;"",BU7)</f>
        <v/>
      </c>
      <c r="BX7" s="3615">
        <f>AND(File_Marr_Joint&lt;&gt;"",OR(S7="spouse",S7="wife",S7="husband"))</f>
        <v/>
      </c>
      <c r="BY7" s="1281">
        <f>AND(AK7="",OR(Z7&lt;&gt;"",AC7&lt;&gt;""))</f>
        <v/>
      </c>
      <c r="BZ7" s="5959">
        <f>AND(NOT(BY7),AQ7&lt;BZ$4)</f>
        <v/>
      </c>
      <c r="CA7" s="5956">
        <f>AND(CD7,AQ7&lt;CA$4)</f>
        <v/>
      </c>
      <c r="CB7" s="5956">
        <f>AND(AQ7&lt;&gt;"",AQ7&lt;CB$4)</f>
        <v/>
      </c>
      <c r="CC7" s="5956">
        <f>AF7&lt;&gt;""</f>
        <v/>
      </c>
      <c r="CD7" s="5956">
        <f>IF(AK7=0,TRUE,IF(OR(ISERROR(YourBirthDate),ISERROR(AK7)),TRUE,IF(AND(File_Marr_Joint&lt;&gt;"",ISERROR(SpouseBirthDate)),TRUE,IF(File_Marr_Joint&lt;&gt;"",AND(AK7&gt;YourBirthDate,AK7&gt;SpouseBirthDate),AK7&gt;YourBirthDate))))</f>
        <v/>
      </c>
      <c r="CE7" s="5956">
        <f>AI7&lt;&gt;""</f>
        <v/>
      </c>
      <c r="CF7" s="5956">
        <f>AV7&lt;&gt;""</f>
        <v/>
      </c>
      <c r="CG7" s="6155">
        <f>(Z7&lt;&gt;"")</f>
        <v/>
      </c>
      <c r="CH7" s="5959">
        <f>AS7&lt;&gt;""</f>
        <v/>
      </c>
      <c r="CI7" s="5959">
        <f>AY7&lt;&gt;""</f>
        <v/>
      </c>
      <c r="CJ7" s="6146">
        <f>BE7&lt;&gt;""</f>
        <v/>
      </c>
      <c r="CK7" s="5974">
        <f>BH7&lt;&gt;""</f>
        <v/>
      </c>
      <c r="CL7" s="5982">
        <f>IF(BA7&lt;&gt;"",FALSE,IF(BC7&lt;&gt;"",TRUE,AND(OR(AND(CA7,CD7),AND(CC7,NOT(CA7),CB7,CD7),CE7),CF7,CG7,CH7)))</f>
        <v/>
      </c>
      <c r="CM7" s="6153">
        <f>AND(NOT(BX7),NOT(CL7),CJ7,CK7,CH7)</f>
        <v/>
      </c>
      <c r="CN7" s="7453" t="n"/>
      <c r="CO7" s="7453">
        <f>IF(BA7&lt;&gt;"",0,IF(BC7&lt;&gt;"",1,IF(AND(CL7,BU7,CI7,BZ7),1,0)))</f>
        <v/>
      </c>
      <c r="CP7" s="7453">
        <f>IF(AND(CL7,BU7,CI7,NOT(BZ7)),1,0)</f>
        <v/>
      </c>
      <c r="CQ7" s="7453">
        <f>IF(BJ7&lt;&gt;"",0,IF(BL7&lt;&gt;"",1,IF(AND(CM7,BU7,CI7),1,0)))</f>
        <v/>
      </c>
      <c r="CR7" s="7453">
        <f>IF(OR(CL7,CM7),MAX(0,1-SUM(CO7:CQ7)),0)</f>
        <v/>
      </c>
      <c r="CU7" s="1281">
        <f>AND(Z7&lt;&gt;"",AC7&lt;&gt;"")</f>
        <v/>
      </c>
      <c r="CV7" s="1281">
        <f>AND(OR(CA7,AND(CB7,CC7),CE7),CD7,CU7)</f>
        <v/>
      </c>
      <c r="CX7" s="7453">
        <f>IF(CV7,1,0)</f>
        <v/>
      </c>
    </row>
    <row r="8" ht="18" customHeight="1" s="7635">
      <c r="A8" s="6158" t="inlineStr">
        <is>
          <t>04</t>
        </is>
      </c>
      <c r="B8" s="194" t="n"/>
      <c r="C8" s="194" t="n"/>
      <c r="D8" s="194" t="n"/>
      <c r="E8" s="7489" t="n"/>
      <c r="F8" s="8007" t="n"/>
      <c r="G8" s="8007" t="n"/>
      <c r="H8" s="8007" t="n"/>
      <c r="I8" s="11914" t="n"/>
      <c r="J8" s="8007" t="n"/>
      <c r="K8" s="8007" t="n"/>
      <c r="L8" s="8008" t="n"/>
      <c r="M8" s="11915">
        <f>IF(OR(E8&lt;&gt;"",I8&lt;&gt;"",S8&lt;&gt;"",AS8&lt;&gt;"",AV8&lt;&gt;"",Z8&lt;&gt;"",AC8&lt;&gt;"",AF8&lt;&gt;"",AI8&lt;&gt;"",AK8&lt;&gt;""),"001-01-00"&amp;A8,"")</f>
        <v/>
      </c>
      <c r="N8" s="8007" t="n"/>
      <c r="O8" s="8007" t="n"/>
      <c r="P8" s="8007" t="n"/>
      <c r="Q8" s="8007" t="n"/>
      <c r="R8" s="8008" t="n"/>
      <c r="S8" s="276" t="n"/>
      <c r="T8" s="8007" t="n"/>
      <c r="U8" s="8007" t="n"/>
      <c r="V8" s="8007" t="n"/>
      <c r="W8" s="8007" t="n"/>
      <c r="X8" s="8008" t="n"/>
      <c r="Y8" s="1034" t="n"/>
      <c r="Z8" s="276" t="n"/>
      <c r="AA8" s="1035" t="n"/>
      <c r="AB8" s="1034" t="n"/>
      <c r="AC8" s="276" t="n"/>
      <c r="AD8" s="1036" t="n"/>
      <c r="AE8" s="1034" t="n"/>
      <c r="AF8" s="276" t="n"/>
      <c r="AG8" s="1035" t="n"/>
      <c r="AH8" s="1034" t="n"/>
      <c r="AI8" s="276" t="n"/>
      <c r="AJ8" s="1036" t="n"/>
      <c r="AK8" s="11916" t="n"/>
      <c r="AL8" s="8007" t="n"/>
      <c r="AM8" s="8007" t="n"/>
      <c r="AN8" s="8007" t="n"/>
      <c r="AO8" s="8007" t="n"/>
      <c r="AP8" s="8008" t="n"/>
      <c r="AQ8" s="11917">
        <f>IF(AK8="","",TaxYear-YEAR(AK8))</f>
        <v/>
      </c>
      <c r="AR8" s="6161" t="n"/>
      <c r="AS8" s="276" t="n"/>
      <c r="AT8" s="1036" t="n"/>
      <c r="AU8" s="1034" t="n"/>
      <c r="AV8" s="276" t="n"/>
      <c r="AW8" s="1036" t="n"/>
      <c r="AX8" s="1034" t="n"/>
      <c r="AY8" s="276" t="n"/>
      <c r="AZ8" s="1036" t="n"/>
      <c r="BA8" s="6179" t="n"/>
      <c r="BB8" s="1846">
        <f>IF(CO8=1,"X","")</f>
        <v/>
      </c>
      <c r="BC8" s="6180" t="n"/>
      <c r="BD8" s="11918" t="n"/>
      <c r="BE8" s="6149" t="n"/>
      <c r="BF8" s="11917" t="n"/>
      <c r="BG8" s="1034" t="n"/>
      <c r="BH8" s="276" t="n"/>
      <c r="BI8" s="1036" t="n"/>
      <c r="BJ8" s="6183" t="n"/>
      <c r="BK8" s="1846">
        <f>IF(OR(CP8=1,CQ8=1),"X","")</f>
        <v/>
      </c>
      <c r="BL8" s="6187" t="n"/>
      <c r="BM8" s="1277" t="n"/>
      <c r="BN8" s="11418">
        <f>IF(M8="","",IF(BQ8,"Error - two credit boxes checked.",IF(BX8,"Error - You can't claim spouse if filing jointly.",IF(BC8&lt;&gt;"","Override:CTC",IF(BL8&lt;&gt;"","Override CFOD",IF(AND(CC8,CP8=1),"CFOD for full-time student - at least "&amp;$CA$4&amp;" and under "&amp;$CB$4&amp;".",IF(AND(CE8,CP8=1),"CFOD for permanently &amp; totally disabled child.",IF(OR(CP8=1,CQ8=1),"CFOD - Credit for other dependent.",IF(AND(CL8,BZ8),"CTC for dependent child under "&amp;CTC_AgeLimit&amp;".",IF(CL8,"Dependent child.",IF(CM8,"Dependent relative.",IF(CX8,"Qualified child for EIC.","Not qualified as a dependent."))))))))))))</f>
        <v/>
      </c>
      <c r="BO8" s="8043" t="n"/>
      <c r="BP8" s="8043" t="n"/>
      <c r="BQ8" s="7453">
        <f>AND(BB8&lt;&gt;"",BK8&lt;&gt;"")</f>
        <v/>
      </c>
      <c r="BR8" s="8043" t="n"/>
      <c r="BS8" s="7453">
        <f>TEXT(M8,"000-00-0000")</f>
        <v/>
      </c>
      <c r="BT8" s="7453">
        <f>LEFT(BS8,3)</f>
        <v/>
      </c>
      <c r="BU8" s="1282">
        <f>M8&lt;&gt;"n"</f>
        <v/>
      </c>
      <c r="BV8" s="1282">
        <f>LEFT(M8,6)="001-01"</f>
        <v/>
      </c>
      <c r="BW8" s="7453">
        <f>AND(M8&lt;&gt;"",BU8)</f>
        <v/>
      </c>
      <c r="BX8" s="3615">
        <f>AND(File_Marr_Joint&lt;&gt;"",OR(S8="spouse",S8="wife",S8="husband"))</f>
        <v/>
      </c>
      <c r="BY8" s="1282">
        <f>AND(AK8="",OR(Z8&lt;&gt;"",AC8&lt;&gt;""))</f>
        <v/>
      </c>
      <c r="BZ8" s="5960">
        <f>AND(NOT(BY8),AQ8&lt;BZ$4)</f>
        <v/>
      </c>
      <c r="CA8" s="5957">
        <f>AND(CD8,AQ8&lt;CA$4)</f>
        <v/>
      </c>
      <c r="CB8" s="5957">
        <f>AND(AQ8&lt;&gt;"",AQ8&lt;CB$4)</f>
        <v/>
      </c>
      <c r="CC8" s="5957">
        <f>AF8&lt;&gt;""</f>
        <v/>
      </c>
      <c r="CD8" s="5957">
        <f>IF(AK8=0,TRUE,IF(OR(ISERROR(YourBirthDate),ISERROR(AK8)),TRUE,IF(AND(File_Marr_Joint&lt;&gt;"",ISERROR(SpouseBirthDate)),TRUE,IF(File_Marr_Joint&lt;&gt;"",AND(AK8&gt;YourBirthDate,AK8&gt;SpouseBirthDate),AK8&gt;YourBirthDate))))</f>
        <v/>
      </c>
      <c r="CE8" s="5957">
        <f>AI8&lt;&gt;""</f>
        <v/>
      </c>
      <c r="CF8" s="5957">
        <f>AV8&lt;&gt;""</f>
        <v/>
      </c>
      <c r="CG8" s="6156">
        <f>(Z8&lt;&gt;"")</f>
        <v/>
      </c>
      <c r="CH8" s="5960">
        <f>AS8&lt;&gt;""</f>
        <v/>
      </c>
      <c r="CI8" s="5960">
        <f>AY8&lt;&gt;""</f>
        <v/>
      </c>
      <c r="CJ8" s="8407">
        <f>BE8&lt;&gt;""</f>
        <v/>
      </c>
      <c r="CK8" s="5975">
        <f>BH8&lt;&gt;""</f>
        <v/>
      </c>
      <c r="CL8" s="5979">
        <f>AND(OR(AND(CA8,CD8),AND(CC8,NOT(CA8),CB8,CD8),CE8),CF8,CG8,CH8)</f>
        <v/>
      </c>
      <c r="CM8" s="5983">
        <f>AND(NOT(BX8),NOT(CL8),CJ8,CK8,CH8)</f>
        <v/>
      </c>
      <c r="CN8" s="7453" t="n"/>
      <c r="CO8" s="7453">
        <f>IF(BA8&lt;&gt;"",0,IF(BC8&lt;&gt;"",1,IF(AND(CL8,BU8,CI8,BZ8),1,0)))</f>
        <v/>
      </c>
      <c r="CP8" s="7453">
        <f>IF(AND(CL8,BU8,CI8,NOT(BZ8)),1,0)</f>
        <v/>
      </c>
      <c r="CQ8" s="7453">
        <f>IF(BJ8&lt;&gt;"",0,IF(BL8&lt;&gt;"",1,IF(AND(CM8,BU8,CI8),1,0)))</f>
        <v/>
      </c>
      <c r="CR8" s="7453">
        <f>IF(OR(CL8,CM8),MAX(0,1-SUM(CO8:CQ8)),0)</f>
        <v/>
      </c>
      <c r="CU8" s="1282">
        <f>AND(Z8&lt;&gt;"",AC8&lt;&gt;"")</f>
        <v/>
      </c>
      <c r="CV8" s="1282">
        <f>AND(OR(CA8,AND(CB8,CC8),CE8),CD8,CU8)</f>
        <v/>
      </c>
      <c r="CX8" s="7453">
        <f>IF(CV8,1,0)</f>
        <v/>
      </c>
    </row>
    <row r="9" ht="18" customHeight="1" s="7635">
      <c r="A9" s="6158" t="inlineStr">
        <is>
          <t>05</t>
        </is>
      </c>
      <c r="B9" s="194" t="n"/>
      <c r="C9" s="194" t="n"/>
      <c r="D9" s="194" t="n"/>
      <c r="E9" s="7489" t="n"/>
      <c r="F9" s="8007" t="n"/>
      <c r="G9" s="8007" t="n"/>
      <c r="H9" s="8007" t="n"/>
      <c r="I9" s="11914" t="n"/>
      <c r="J9" s="8007" t="n"/>
      <c r="K9" s="8007" t="n"/>
      <c r="L9" s="8008" t="n"/>
      <c r="M9" s="11915">
        <f>IF(OR(E9&lt;&gt;"",I9&lt;&gt;"",S9&lt;&gt;"",AS9&lt;&gt;"",AV9&lt;&gt;"",Z9&lt;&gt;"",AC9&lt;&gt;"",AF9&lt;&gt;"",AI9&lt;&gt;"",AK9&lt;&gt;""),"001-01-00"&amp;A9,"")</f>
        <v/>
      </c>
      <c r="N9" s="8007" t="n"/>
      <c r="O9" s="8007" t="n"/>
      <c r="P9" s="8007" t="n"/>
      <c r="Q9" s="8007" t="n"/>
      <c r="R9" s="8008" t="n"/>
      <c r="S9" s="276" t="n"/>
      <c r="T9" s="8007" t="n"/>
      <c r="U9" s="8007" t="n"/>
      <c r="V9" s="8007" t="n"/>
      <c r="W9" s="8007" t="n"/>
      <c r="X9" s="8008" t="n"/>
      <c r="Y9" s="1034" t="n"/>
      <c r="Z9" s="276" t="n"/>
      <c r="AA9" s="1035" t="n"/>
      <c r="AB9" s="1034" t="n"/>
      <c r="AC9" s="276" t="n"/>
      <c r="AD9" s="1036" t="n"/>
      <c r="AE9" s="1034" t="n"/>
      <c r="AF9" s="276" t="n"/>
      <c r="AG9" s="1035" t="n"/>
      <c r="AH9" s="1034" t="n"/>
      <c r="AI9" s="276" t="n"/>
      <c r="AJ9" s="1036" t="n"/>
      <c r="AK9" s="11916" t="n"/>
      <c r="AL9" s="8007" t="n"/>
      <c r="AM9" s="8007" t="n"/>
      <c r="AN9" s="8007" t="n"/>
      <c r="AO9" s="8007" t="n"/>
      <c r="AP9" s="8008" t="n"/>
      <c r="AQ9" s="11917">
        <f>IF(AK9="","",TaxYear-YEAR(AK9))</f>
        <v/>
      </c>
      <c r="AR9" s="6161" t="n"/>
      <c r="AS9" s="276" t="n"/>
      <c r="AT9" s="1036" t="n"/>
      <c r="AU9" s="1034" t="n"/>
      <c r="AV9" s="276" t="n"/>
      <c r="AW9" s="1036" t="n"/>
      <c r="AX9" s="1034" t="n"/>
      <c r="AY9" s="276" t="n"/>
      <c r="AZ9" s="1036" t="n"/>
      <c r="BA9" s="6179" t="n"/>
      <c r="BB9" s="1846">
        <f>IF(CO9=1,"X","")</f>
        <v/>
      </c>
      <c r="BC9" s="6180" t="n"/>
      <c r="BD9" s="11918" t="n"/>
      <c r="BE9" s="6149" t="n"/>
      <c r="BF9" s="11917" t="n"/>
      <c r="BG9" s="1034" t="n"/>
      <c r="BH9" s="276" t="n"/>
      <c r="BI9" s="1036" t="n"/>
      <c r="BJ9" s="6183" t="n"/>
      <c r="BK9" s="1846">
        <f>IF(OR(CP9=1,CQ9=1),"X","")</f>
        <v/>
      </c>
      <c r="BL9" s="6187" t="n"/>
      <c r="BM9" s="1277" t="n"/>
      <c r="BN9" s="11418">
        <f>IF(M9="","",IF(BQ9,"Error - two credit boxes checked.",IF(BX9,"Error - You can't claim spouse if filing jointly.",IF(BC9&lt;&gt;"","Override:CTC",IF(BL9&lt;&gt;"","Override CFOD",IF(AND(CC9,CP9=1),"CFOD for full-time student - at least "&amp;$CA$4&amp;" and under "&amp;$CB$4&amp;".",IF(AND(CE9,CP9=1),"CFOD for permanently &amp; totally disabled child.",IF(OR(CP9=1,CQ9=1),"CFOD - Credit for other dependent.",IF(AND(CL9,BZ9),"CTC for dependent child under "&amp;CTC_AgeLimit&amp;".",IF(CL9,"Dependent child.",IF(CM9,"Dependent relative.",IF(CX9,"Qualified child for EIC.","Not qualified as a dependent."))))))))))))</f>
        <v/>
      </c>
      <c r="BO9" s="8043" t="n"/>
      <c r="BP9" s="8043" t="n"/>
      <c r="BQ9" s="7453">
        <f>AND(BB9&lt;&gt;"",BK9&lt;&gt;"")</f>
        <v/>
      </c>
      <c r="BR9" s="8043" t="n"/>
      <c r="BS9" s="7453">
        <f>TEXT(M9,"000-00-0000")</f>
        <v/>
      </c>
      <c r="BT9" s="7453">
        <f>LEFT(BS9,3)</f>
        <v/>
      </c>
      <c r="BU9" s="1282">
        <f>M9&lt;&gt;"n"</f>
        <v/>
      </c>
      <c r="BV9" s="1282">
        <f>LEFT(M9,6)="001-01"</f>
        <v/>
      </c>
      <c r="BW9" s="7453">
        <f>AND(M9&lt;&gt;"",BU9)</f>
        <v/>
      </c>
      <c r="BX9" s="3615">
        <f>AND(File_Marr_Joint&lt;&gt;"",OR(S9="spouse",S9="wife",S9="husband"))</f>
        <v/>
      </c>
      <c r="BY9" s="1282">
        <f>AND(AK9="",OR(Z9&lt;&gt;"",AC9&lt;&gt;""))</f>
        <v/>
      </c>
      <c r="BZ9" s="5960">
        <f>AND(NOT(BY9),AQ9&lt;BZ$4)</f>
        <v/>
      </c>
      <c r="CA9" s="5957">
        <f>AND(CD9,AQ9&lt;CA$4)</f>
        <v/>
      </c>
      <c r="CB9" s="5957">
        <f>AND(AQ9&lt;&gt;"",AQ9&lt;CB$4)</f>
        <v/>
      </c>
      <c r="CC9" s="5957">
        <f>AF9&lt;&gt;""</f>
        <v/>
      </c>
      <c r="CD9" s="5957">
        <f>IF(AK9=0,TRUE,IF(OR(ISERROR(YourBirthDate),ISERROR(AK9)),TRUE,IF(AND(File_Marr_Joint&lt;&gt;"",ISERROR(SpouseBirthDate)),TRUE,IF(File_Marr_Joint&lt;&gt;"",AND(AK9&gt;YourBirthDate,AK9&gt;SpouseBirthDate),AK9&gt;YourBirthDate))))</f>
        <v/>
      </c>
      <c r="CE9" s="5957">
        <f>AI9&lt;&gt;""</f>
        <v/>
      </c>
      <c r="CF9" s="5957">
        <f>AV9&lt;&gt;""</f>
        <v/>
      </c>
      <c r="CG9" s="6156">
        <f>(Z9&lt;&gt;"")</f>
        <v/>
      </c>
      <c r="CH9" s="5960">
        <f>AS9&lt;&gt;""</f>
        <v/>
      </c>
      <c r="CI9" s="5960">
        <f>AY9&lt;&gt;""</f>
        <v/>
      </c>
      <c r="CJ9" s="8407">
        <f>BE9&lt;&gt;""</f>
        <v/>
      </c>
      <c r="CK9" s="5975">
        <f>BH9&lt;&gt;""</f>
        <v/>
      </c>
      <c r="CL9" s="5979">
        <f>AND(OR(AND(CA9,CD9),AND(CC9,NOT(CA9),CB9,CD9),CE9),CF9,CG9,CH9)</f>
        <v/>
      </c>
      <c r="CM9" s="5983">
        <f>AND(NOT(BX9),NOT(CL9),CJ9,CK9,CH9)</f>
        <v/>
      </c>
      <c r="CN9" s="7453" t="n"/>
      <c r="CO9" s="7453">
        <f>IF(BA9&lt;&gt;"",0,IF(BC9&lt;&gt;"",1,IF(AND(CL9,BU9,CI9,BZ9),1,0)))</f>
        <v/>
      </c>
      <c r="CP9" s="7453">
        <f>IF(AND(CL9,BU9,CI9,NOT(BZ9)),1,0)</f>
        <v/>
      </c>
      <c r="CQ9" s="7453">
        <f>IF(BJ9&lt;&gt;"",0,IF(BL9&lt;&gt;"",1,IF(AND(CM9,BU9,CI9),1,0)))</f>
        <v/>
      </c>
      <c r="CR9" s="7453">
        <f>IF(OR(CL9,CM9),MAX(0,1-SUM(CO9:CQ9)),0)</f>
        <v/>
      </c>
      <c r="CU9" s="1282">
        <f>AND(Z9&lt;&gt;"",AC9&lt;&gt;"")</f>
        <v/>
      </c>
      <c r="CV9" s="1282">
        <f>AND(OR(CA9,AND(CB9,CC9),CE9),CD9,CU9)</f>
        <v/>
      </c>
      <c r="CX9" s="7453">
        <f>IF(CV9,1,0)</f>
        <v/>
      </c>
    </row>
    <row r="10" ht="18.75" customHeight="1" s="7635" thickBot="1">
      <c r="A10" s="6158" t="inlineStr">
        <is>
          <t>06</t>
        </is>
      </c>
      <c r="B10" s="7482" t="inlineStr">
        <is>
          <t>here</t>
        </is>
      </c>
      <c r="C10" s="11919" t="n"/>
      <c r="D10" s="1285">
        <f>IF(DependentsGT4,"X","")</f>
        <v/>
      </c>
      <c r="E10" s="7490" t="n"/>
      <c r="F10" s="11820" t="n"/>
      <c r="G10" s="11820" t="n"/>
      <c r="H10" s="11820" t="n"/>
      <c r="I10" s="11920" t="n"/>
      <c r="J10" s="11820" t="n"/>
      <c r="K10" s="11820" t="n"/>
      <c r="L10" s="11821" t="n"/>
      <c r="M10" s="11921">
        <f>IF(OR(E10&lt;&gt;"",I10&lt;&gt;"",S10&lt;&gt;"",AS10&lt;&gt;"",AV10&lt;&gt;"",Z10&lt;&gt;"",AC10&lt;&gt;"",AF10&lt;&gt;"",AI10&lt;&gt;"",AK10&lt;&gt;""),"001-01-00"&amp;A10,"")</f>
        <v/>
      </c>
      <c r="N10" s="11820" t="n"/>
      <c r="O10" s="11820" t="n"/>
      <c r="P10" s="11820" t="n"/>
      <c r="Q10" s="11820" t="n"/>
      <c r="R10" s="11821" t="n"/>
      <c r="S10" s="1172" t="n"/>
      <c r="T10" s="11820" t="n"/>
      <c r="U10" s="11820" t="n"/>
      <c r="V10" s="11820" t="n"/>
      <c r="W10" s="11820" t="n"/>
      <c r="X10" s="11821" t="n"/>
      <c r="Y10" s="1173" t="n"/>
      <c r="Z10" s="1172" t="n"/>
      <c r="AA10" s="1174" t="n"/>
      <c r="AB10" s="1173" t="n"/>
      <c r="AC10" s="1172" t="n"/>
      <c r="AD10" s="1175" t="n"/>
      <c r="AE10" s="1173" t="n"/>
      <c r="AF10" s="1172" t="n"/>
      <c r="AG10" s="1174" t="n"/>
      <c r="AH10" s="1173" t="n"/>
      <c r="AI10" s="1172" t="n"/>
      <c r="AJ10" s="1175" t="n"/>
      <c r="AK10" s="11922" t="n"/>
      <c r="AL10" s="11820" t="n"/>
      <c r="AM10" s="11820" t="n"/>
      <c r="AN10" s="11820" t="n"/>
      <c r="AO10" s="11820" t="n"/>
      <c r="AP10" s="11821" t="n"/>
      <c r="AQ10" s="11923">
        <f>IF(AK10="","",TaxYear-YEAR(AK10))</f>
        <v/>
      </c>
      <c r="AR10" s="6162" t="n"/>
      <c r="AS10" s="1172" t="n"/>
      <c r="AT10" s="1175" t="n"/>
      <c r="AU10" s="1173" t="n"/>
      <c r="AV10" s="1172" t="n"/>
      <c r="AW10" s="1175" t="n"/>
      <c r="AX10" s="1173" t="n"/>
      <c r="AY10" s="1172" t="n"/>
      <c r="AZ10" s="1175" t="n"/>
      <c r="BA10" s="6181" t="n"/>
      <c r="BB10" s="6164">
        <f>IF(CO10=1,"X","")</f>
        <v/>
      </c>
      <c r="BC10" s="6182" t="n"/>
      <c r="BD10" s="11924" t="n"/>
      <c r="BE10" s="6150" t="n"/>
      <c r="BF10" s="11923" t="n"/>
      <c r="BG10" s="1173" t="n"/>
      <c r="BH10" s="1172" t="n"/>
      <c r="BI10" s="1175" t="n"/>
      <c r="BJ10" s="6185" t="n"/>
      <c r="BK10" s="6164">
        <f>IF(OR(CP10=1,CQ10=1),"X","")</f>
        <v/>
      </c>
      <c r="BL10" s="6188" t="n"/>
      <c r="BM10" s="1277" t="n"/>
      <c r="BN10" s="11418">
        <f>IF(M10="","",IF(BQ10,"Error - two credit boxes checked.",IF(BX10,"Error - You can't claim spouse if filing jointly.",IF(BC10&lt;&gt;"","Override:CTC",IF(BL10&lt;&gt;"","Override CFOD",IF(AND(CC10,CP10=1),"CFOD for full-time student - at least "&amp;$CA$4&amp;" and under "&amp;$CB$4&amp;".",IF(AND(CE10,CP10=1),"CFOD for permanently &amp; totally disabled child.",IF(OR(CP10=1,CQ10=1),"CFOD - Credit for other dependent.",IF(AND(CL10,BZ10),"CTC for dependent child under "&amp;CTC_AgeLimit&amp;".",IF(CL10,"Dependent child.",IF(CM10,"Dependent relative.",IF(CX10,"Qualified child for EIC.","Not qualified as a dependent."))))))))))))</f>
        <v/>
      </c>
      <c r="BO10" s="8043" t="n"/>
      <c r="BP10" s="8043" t="n"/>
      <c r="BQ10" s="7453">
        <f>AND(BB10&lt;&gt;"",BK10&lt;&gt;"")</f>
        <v/>
      </c>
      <c r="BR10" s="8043" t="n"/>
      <c r="BS10" s="7453">
        <f>TEXT(M10,"000-00-0000")</f>
        <v/>
      </c>
      <c r="BT10" s="7453">
        <f>LEFT(BS10,3)</f>
        <v/>
      </c>
      <c r="BU10" s="1283">
        <f>M10&lt;&gt;"n"</f>
        <v/>
      </c>
      <c r="BV10" s="1283">
        <f>LEFT(M10,6)="001-01"</f>
        <v/>
      </c>
      <c r="BW10" s="7453">
        <f>AND(M10&lt;&gt;"",BU10)</f>
        <v/>
      </c>
      <c r="BX10" s="3615">
        <f>AND(File_Marr_Joint&lt;&gt;"",OR(S10="spouse",S10="wife",S10="husband"))</f>
        <v/>
      </c>
      <c r="BY10" s="1283">
        <f>AND(AK10="",OR(Z10&lt;&gt;"",AC10&lt;&gt;""))</f>
        <v/>
      </c>
      <c r="BZ10" s="5961">
        <f>AND(NOT(BY10),AQ10&lt;BZ$4)</f>
        <v/>
      </c>
      <c r="CA10" s="8386">
        <f>AND(CD10,AQ10&lt;CA$4)</f>
        <v/>
      </c>
      <c r="CB10" s="8386">
        <f>AND(AQ10&lt;&gt;"",AQ10&lt;CB$4)</f>
        <v/>
      </c>
      <c r="CC10" s="8386">
        <f>AF10&lt;&gt;""</f>
        <v/>
      </c>
      <c r="CD10" s="8386">
        <f>IF(AK10=0,TRUE,IF(OR(ISERROR(YourBirthDate),ISERROR(AK10)),TRUE,IF(AND(File_Marr_Joint&lt;&gt;"",ISERROR(SpouseBirthDate)),TRUE,IF(File_Marr_Joint&lt;&gt;"",AND(AK10&gt;YourBirthDate,AK10&gt;SpouseBirthDate),AK10&gt;YourBirthDate))))</f>
        <v/>
      </c>
      <c r="CE10" s="8386">
        <f>AI10&lt;&gt;""</f>
        <v/>
      </c>
      <c r="CF10" s="8386">
        <f>AV10&lt;&gt;""</f>
        <v/>
      </c>
      <c r="CG10" s="6157">
        <f>(Z10&lt;&gt;"")</f>
        <v/>
      </c>
      <c r="CH10" s="5961">
        <f>AS10&lt;&gt;""</f>
        <v/>
      </c>
      <c r="CI10" s="5961">
        <f>AY10&lt;&gt;""</f>
        <v/>
      </c>
      <c r="CJ10" s="8627">
        <f>BE10&lt;&gt;""</f>
        <v/>
      </c>
      <c r="CK10" s="5976">
        <f>BH10&lt;&gt;""</f>
        <v/>
      </c>
      <c r="CL10" s="5980">
        <f>AND(OR(AND(CA10,CD10),AND(CC10,NOT(CA10),CB10,CD10),CE10),CF10,CG10,CH10)</f>
        <v/>
      </c>
      <c r="CM10" s="5981">
        <f>AND(NOT(BX10),NOT(CL10),CJ10,CK10,CH10)</f>
        <v/>
      </c>
      <c r="CN10" s="7453" t="n"/>
      <c r="CO10" s="7453">
        <f>IF(BA10&lt;&gt;"",0,IF(BC10&lt;&gt;"",1,IF(AND(CL10,BU10,CI10,BZ10),1,0)))</f>
        <v/>
      </c>
      <c r="CP10" s="7453">
        <f>IF(AND(CL10,BU10,CI10,NOT(BZ10)),1,0)</f>
        <v/>
      </c>
      <c r="CQ10" s="7453">
        <f>IF(BJ10&lt;&gt;"",0,IF(BL10&lt;&gt;"",1,IF(AND(CM10,BU10,CI10),1,0)))</f>
        <v/>
      </c>
      <c r="CR10" s="7453">
        <f>IF(OR(CL10,CM10),MAX(0,1-SUM(CO10:CQ10)),0)</f>
        <v/>
      </c>
      <c r="CU10" s="1283">
        <f>AND(Z10&lt;&gt;"",AC10&lt;&gt;"")</f>
        <v/>
      </c>
      <c r="CV10" s="1283">
        <f>AND(OR(CA10,AND(CB10,CC10),CE10),CD10,CU10)</f>
        <v/>
      </c>
      <c r="CX10" s="7453">
        <f>IF(CV10,1,0)</f>
        <v/>
      </c>
    </row>
    <row r="11" ht="23.25" customHeight="1" s="7635" thickBot="1" thickTop="1">
      <c r="A11" s="2259" t="n"/>
      <c r="B11" s="1277" t="n"/>
      <c r="C11" s="1277" t="n"/>
      <c r="D11" s="1277" t="n"/>
      <c r="E11" s="1277" t="n"/>
      <c r="F11" s="1277" t="n"/>
      <c r="G11" s="1277" t="n"/>
      <c r="H11" s="1277" t="n"/>
      <c r="I11" s="1277" t="n"/>
      <c r="J11" s="1277" t="n"/>
      <c r="K11" s="1277" t="n"/>
      <c r="L11" s="1277" t="n"/>
      <c r="M11" s="1277" t="n"/>
      <c r="N11" s="1277" t="n"/>
      <c r="O11" s="1277" t="n"/>
      <c r="P11" s="1277" t="n"/>
      <c r="Q11" s="1277" t="n"/>
      <c r="R11" s="1277" t="n"/>
      <c r="S11" s="1277" t="n"/>
      <c r="T11" s="1277" t="n"/>
      <c r="U11" s="1277" t="n"/>
      <c r="V11" s="1277" t="n"/>
      <c r="W11" s="1277" t="n"/>
      <c r="X11" s="1277" t="n"/>
      <c r="Y11" s="7469" t="n"/>
      <c r="Z11" s="7637" t="n"/>
      <c r="AA11" s="7637" t="n"/>
      <c r="AB11" s="7637" t="n"/>
      <c r="AC11" s="7637" t="n"/>
      <c r="AD11" s="7637" t="n"/>
      <c r="AE11" s="7469" t="n"/>
      <c r="AF11" s="7637" t="n"/>
      <c r="AG11" s="7637" t="n"/>
      <c r="AH11" s="7637" t="n"/>
      <c r="AI11" s="7637" t="n"/>
      <c r="AJ11" s="7637" t="n"/>
      <c r="AK11" s="1277" t="n"/>
      <c r="AL11" s="1277" t="n"/>
      <c r="AM11" s="1277" t="n"/>
      <c r="AN11" s="1277" t="n"/>
      <c r="AO11" s="1277" t="n"/>
      <c r="AP11" s="1277" t="n"/>
      <c r="AQ11" s="1277" t="n"/>
      <c r="AR11" s="6152" t="n"/>
      <c r="AS11" s="6152" t="n"/>
      <c r="AT11" s="6152" t="n"/>
      <c r="AU11" s="6152" t="n"/>
      <c r="AV11" s="6152" t="n"/>
      <c r="AW11" s="6152" t="n"/>
      <c r="AX11" s="6152" t="n"/>
      <c r="AY11" s="6152" t="n"/>
      <c r="AZ11" s="6152" t="n"/>
      <c r="BA11" s="6152" t="n"/>
      <c r="BB11" s="6152" t="n"/>
      <c r="BC11" s="6152" t="n"/>
      <c r="BD11" s="1277" t="n"/>
      <c r="BE11" s="1277" t="n"/>
      <c r="BF11" s="1277" t="n"/>
      <c r="BG11" s="6152" t="n"/>
      <c r="BH11" s="6152" t="n"/>
      <c r="BI11" s="6152" t="n"/>
      <c r="BJ11" s="6152" t="n"/>
      <c r="BK11" s="6152" t="n"/>
      <c r="BL11" s="6152" t="n"/>
      <c r="BM11" s="1277" t="n"/>
      <c r="BQ11" s="8656" t="n"/>
      <c r="BX11" s="7466" t="n"/>
      <c r="BY11" s="7466" t="n"/>
      <c r="CN11" s="8656" t="n"/>
      <c r="CO11" s="8656">
        <f>SUM(CO7:CO10)</f>
        <v/>
      </c>
      <c r="CP11" s="8656">
        <f>SUM(CP7:CP10)</f>
        <v/>
      </c>
      <c r="CQ11" s="8656">
        <f>SUM(CQ7:CQ10)</f>
        <v/>
      </c>
      <c r="CR11" s="8656">
        <f>SUM(CR7:CR10)</f>
        <v/>
      </c>
      <c r="CX11" s="8656">
        <f>SUM(CX7:CX10)</f>
        <v/>
      </c>
    </row>
    <row r="12" ht="21" customHeight="1" s="7635" thickTop="1">
      <c r="A12" s="2259" t="n"/>
      <c r="B12" s="7370" t="inlineStr">
        <is>
          <t>More
Dependents</t>
        </is>
      </c>
      <c r="C12" s="7839" t="n"/>
      <c r="D12" s="7839" t="n"/>
      <c r="E12" s="7523" t="inlineStr">
        <is>
          <t>See IRS instructions.</t>
        </is>
      </c>
      <c r="F12" s="7839" t="n"/>
      <c r="G12" s="7839" t="n"/>
      <c r="H12" s="10091" t="n"/>
      <c r="I12" s="1274" t="n"/>
      <c r="J12" s="1263" t="n"/>
      <c r="K12" s="1263" t="n"/>
      <c r="L12" s="1264" t="n"/>
      <c r="M12" s="11901" t="inlineStr">
        <is>
          <t>(3) Social security 
number
Enter 'N' if no SSN.</t>
        </is>
      </c>
      <c r="N12" s="7839" t="n"/>
      <c r="O12" s="7839" t="n"/>
      <c r="P12" s="7839" t="n"/>
      <c r="Q12" s="7839" t="n"/>
      <c r="R12" s="10091" t="n"/>
      <c r="S12" s="11898" t="inlineStr">
        <is>
          <t>(4) Relationship</t>
        </is>
      </c>
      <c r="T12" s="7839" t="n"/>
      <c r="U12" s="7839" t="n"/>
      <c r="V12" s="7839" t="n"/>
      <c r="W12" s="7839" t="n"/>
      <c r="X12" s="10091" t="n"/>
      <c r="Y12" s="11925">
        <f>"(5) Check if lived with you more than half "&amp;TaxYear</f>
        <v/>
      </c>
      <c r="Z12" s="7839" t="n"/>
      <c r="AA12" s="7839" t="n"/>
      <c r="AB12" s="7839" t="n"/>
      <c r="AC12" s="7839" t="n"/>
      <c r="AD12" s="10091" t="n"/>
      <c r="AE12" s="11900" t="inlineStr">
        <is>
          <t>(6) Check if</t>
        </is>
      </c>
      <c r="AF12" s="7839" t="n"/>
      <c r="AG12" s="7839" t="n"/>
      <c r="AH12" s="7839" t="n"/>
      <c r="AI12" s="7839" t="n"/>
      <c r="AJ12" s="10091" t="n"/>
      <c r="AK12" s="11901" t="inlineStr">
        <is>
          <t>Birthdate</t>
        </is>
      </c>
      <c r="AL12" s="7839" t="n"/>
      <c r="AM12" s="7839" t="n"/>
      <c r="AN12" s="7839" t="n"/>
      <c r="AO12" s="7839" t="n"/>
      <c r="AP12" s="10091" t="n"/>
      <c r="AQ12" s="11902">
        <f>"Age "&amp;CHAR(10)&amp;"(in "&amp;TaxYear&amp;")"</f>
        <v/>
      </c>
      <c r="AR12" s="11903" t="inlineStr">
        <is>
          <t>Check if child or other relative:</t>
        </is>
      </c>
      <c r="AS12" s="7839" t="n"/>
      <c r="AT12" s="7839" t="n"/>
      <c r="AU12" s="7839" t="n"/>
      <c r="AV12" s="7839" t="n"/>
      <c r="AW12" s="7839" t="n"/>
      <c r="AX12" s="7839" t="n"/>
      <c r="AY12" s="7839" t="n"/>
      <c r="AZ12" s="7839" t="n"/>
      <c r="BA12" s="11926" t="inlineStr">
        <is>
          <t>Child tax credit
(CTC)</t>
        </is>
      </c>
      <c r="BB12" s="9668" t="n"/>
      <c r="BC12" s="9669" t="n"/>
      <c r="BD12" s="11927" t="inlineStr">
        <is>
          <t>Check if qualifying relative:</t>
        </is>
      </c>
      <c r="BE12" s="7839" t="n"/>
      <c r="BF12" s="7839" t="n"/>
      <c r="BG12" s="7839" t="n"/>
      <c r="BH12" s="7839" t="n"/>
      <c r="BI12" s="7839" t="n"/>
      <c r="BJ12" s="11904" t="inlineStr">
        <is>
          <t>Credit for other dependents
(CFOD)</t>
        </is>
      </c>
      <c r="BK12" s="9668" t="n"/>
      <c r="BL12" s="9669" t="n"/>
      <c r="BM12" s="1277" t="n"/>
      <c r="CZ12" s="7453" t="n"/>
    </row>
    <row r="13" ht="45.75" customHeight="1" s="7635">
      <c r="A13" s="2259" t="n"/>
      <c r="H13" s="7636" t="n"/>
      <c r="I13" s="1266" t="n"/>
      <c r="J13" s="1261" t="n"/>
      <c r="K13" s="1261" t="n"/>
      <c r="L13" s="1265" t="n"/>
      <c r="M13" s="4772" t="n"/>
      <c r="R13" s="7636" t="n"/>
      <c r="S13" s="4772" t="n"/>
      <c r="X13" s="7636" t="n"/>
      <c r="Y13" s="3614" t="n"/>
      <c r="Z13" s="7637" t="n"/>
      <c r="AA13" s="7637" t="n"/>
      <c r="AB13" s="7637" t="n"/>
      <c r="AC13" s="7637" t="n"/>
      <c r="AD13" s="7638" t="n"/>
      <c r="AE13" s="3614" t="n"/>
      <c r="AF13" s="7637" t="n"/>
      <c r="AG13" s="7637" t="n"/>
      <c r="AH13" s="7637" t="n"/>
      <c r="AI13" s="7637" t="n"/>
      <c r="AJ13" s="7638" t="n"/>
      <c r="AK13" s="4772" t="n"/>
      <c r="AP13" s="7636" t="n"/>
      <c r="AQ13" s="4772" t="n"/>
      <c r="AR13" s="11907" t="n"/>
      <c r="AS13" s="7637" t="n"/>
      <c r="AT13" s="7637" t="n"/>
      <c r="AU13" s="7637" t="n"/>
      <c r="AV13" s="7637" t="n"/>
      <c r="AW13" s="7637" t="n"/>
      <c r="AX13" s="7637" t="n"/>
      <c r="AY13" s="7637" t="n"/>
      <c r="AZ13" s="7637" t="n"/>
      <c r="BA13" s="11908" t="n"/>
      <c r="BB13" s="7637" t="n"/>
      <c r="BC13" s="11909" t="n"/>
      <c r="BD13" s="7637" t="n"/>
      <c r="BE13" s="7637" t="n"/>
      <c r="BF13" s="7637" t="n"/>
      <c r="BG13" s="7637" t="n"/>
      <c r="BH13" s="7637" t="n"/>
      <c r="BI13" s="7637" t="n"/>
      <c r="BJ13" s="11908" t="n"/>
      <c r="BK13" s="7637" t="n"/>
      <c r="BL13" s="11909" t="n"/>
      <c r="BM13" s="1277" t="n"/>
      <c r="CZ13" s="7453" t="n"/>
    </row>
    <row r="14" ht="90.75" customHeight="1" s="7635" thickBot="1">
      <c r="A14" s="2259" t="n"/>
      <c r="E14" s="7061" t="inlineStr">
        <is>
          <t>(1)  First name</t>
        </is>
      </c>
      <c r="F14" s="7637" t="n"/>
      <c r="G14" s="7637" t="n"/>
      <c r="H14" s="7637" t="n"/>
      <c r="I14" s="11911" t="inlineStr">
        <is>
          <t>(2)  Last name</t>
        </is>
      </c>
      <c r="J14" s="7637" t="n"/>
      <c r="K14" s="7637" t="n"/>
      <c r="L14" s="7638" t="n"/>
      <c r="M14" s="3614" t="n"/>
      <c r="N14" s="7637" t="n"/>
      <c r="O14" s="7637" t="n"/>
      <c r="P14" s="7637" t="n"/>
      <c r="Q14" s="7637" t="n"/>
      <c r="R14" s="7638" t="n"/>
      <c r="S14" s="3614" t="n"/>
      <c r="T14" s="7637" t="n"/>
      <c r="U14" s="7637" t="n"/>
      <c r="V14" s="7637" t="n"/>
      <c r="W14" s="7637" t="n"/>
      <c r="X14" s="7638" t="n"/>
      <c r="Y14" s="7457" t="inlineStr">
        <is>
          <t>Yes</t>
        </is>
      </c>
      <c r="Z14" s="7637" t="n"/>
      <c r="AA14" s="7637" t="n"/>
      <c r="AB14" s="7457" t="inlineStr">
        <is>
          <t>And in the U.S.
(Needed to qualify for EIC.)</t>
        </is>
      </c>
      <c r="AC14" s="7637" t="n"/>
      <c r="AD14" s="7637" t="n"/>
      <c r="AE14" s="7457" t="inlineStr">
        <is>
          <t>Full-time student</t>
        </is>
      </c>
      <c r="AF14" s="7637" t="n"/>
      <c r="AG14" s="7637" t="n"/>
      <c r="AH14" s="7457" t="inlineStr">
        <is>
          <t>Permanently and totally disabled</t>
        </is>
      </c>
      <c r="AI14" s="7637" t="n"/>
      <c r="AJ14" s="7637" t="n"/>
      <c r="AK14" s="3614" t="n"/>
      <c r="AL14" s="7637" t="n"/>
      <c r="AM14" s="7637" t="n"/>
      <c r="AN14" s="7637" t="n"/>
      <c r="AO14" s="7637" t="n"/>
      <c r="AP14" s="7638" t="n"/>
      <c r="AQ14" s="3614" t="n"/>
      <c r="AR14" s="11928" t="inlineStr">
        <is>
          <t>Was a
US citizen, 
US national, or
resident of Canada
or 
Mexico</t>
        </is>
      </c>
      <c r="AS14" s="7637" t="n"/>
      <c r="AT14" s="7638" t="n"/>
      <c r="AU14" s="7457" t="inlineStr">
        <is>
          <t>Didn't provide over half of their own support.</t>
        </is>
      </c>
      <c r="AV14" s="7637" t="n"/>
      <c r="AW14" s="7637" t="n"/>
      <c r="AX14" s="7457" t="inlineStr">
        <is>
          <t>Was a
US citizen, 
US national, or
US resident alien</t>
        </is>
      </c>
      <c r="AY14" s="7637" t="n"/>
      <c r="AZ14" s="7637" t="n"/>
      <c r="BA14" s="11912" t="inlineStr">
        <is>
          <t>Auto calculated.
To override,
click left to clear,
click right to check</t>
        </is>
      </c>
      <c r="BB14" s="8412" t="n"/>
      <c r="BC14" s="11913" t="n"/>
      <c r="BD14" s="7550" t="inlineStr">
        <is>
          <t>Has Gross Income
&lt; $5,200</t>
        </is>
      </c>
      <c r="BE14" s="7637" t="n"/>
      <c r="BF14" s="7638" t="n"/>
      <c r="BG14" s="7457" t="inlineStr">
        <is>
          <t>Had over half of support provided by you</t>
        </is>
      </c>
      <c r="BH14" s="7637" t="n"/>
      <c r="BI14" s="7637" t="n"/>
      <c r="BJ14" s="11912" t="inlineStr">
        <is>
          <t>Auto calculated.
To override,
click left to clear,
click right to check</t>
        </is>
      </c>
      <c r="BK14" s="8412" t="n"/>
      <c r="BL14" s="11913" t="n"/>
      <c r="BM14" s="1277" t="n"/>
      <c r="CZ14" s="7453" t="n"/>
    </row>
    <row r="15" ht="18" customHeight="1" s="7635">
      <c r="A15" s="6158" t="inlineStr">
        <is>
          <t>07</t>
        </is>
      </c>
      <c r="E15" s="7489" t="n"/>
      <c r="F15" s="8007" t="n"/>
      <c r="G15" s="8007" t="n"/>
      <c r="H15" s="8007" t="n"/>
      <c r="I15" s="11914" t="n"/>
      <c r="J15" s="8007" t="n"/>
      <c r="K15" s="8007" t="n"/>
      <c r="L15" s="8008" t="n"/>
      <c r="M15" s="11915">
        <f>IF(OR(E15&lt;&gt;"",I15&lt;&gt;"",S15&lt;&gt;"",AS15&lt;&gt;"",AV15&lt;&gt;"",Z15&lt;&gt;"",AC15&lt;&gt;"",AF15&lt;&gt;"",AI15&lt;&gt;"",AK15&lt;&gt;""),"001-01-00"&amp;A15,"")</f>
        <v/>
      </c>
      <c r="N15" s="8007" t="n"/>
      <c r="O15" s="8007" t="n"/>
      <c r="P15" s="8007" t="n"/>
      <c r="Q15" s="8007" t="n"/>
      <c r="R15" s="8008" t="n"/>
      <c r="S15" s="276" t="n"/>
      <c r="T15" s="8007" t="n"/>
      <c r="U15" s="8007" t="n"/>
      <c r="V15" s="8007" t="n"/>
      <c r="W15" s="8007" t="n"/>
      <c r="X15" s="8008" t="n"/>
      <c r="Y15" s="1034" t="n"/>
      <c r="Z15" s="276" t="n"/>
      <c r="AA15" s="1035" t="n"/>
      <c r="AB15" s="1034" t="n"/>
      <c r="AC15" s="276" t="n"/>
      <c r="AD15" s="1036" t="n"/>
      <c r="AE15" s="1034" t="n"/>
      <c r="AF15" s="276" t="n"/>
      <c r="AG15" s="1035" t="n"/>
      <c r="AH15" s="1034" t="n"/>
      <c r="AI15" s="276" t="n"/>
      <c r="AJ15" s="1036" t="n"/>
      <c r="AK15" s="11916" t="n"/>
      <c r="AL15" s="8007" t="n"/>
      <c r="AM15" s="8007" t="n"/>
      <c r="AN15" s="8007" t="n"/>
      <c r="AO15" s="8007" t="n"/>
      <c r="AP15" s="8008" t="n"/>
      <c r="AQ15" s="11917">
        <f>IF(AK15="","",TaxYear-YEAR(AK15))</f>
        <v/>
      </c>
      <c r="AR15" s="6161" t="n"/>
      <c r="AS15" s="276" t="n"/>
      <c r="AT15" s="1036" t="n"/>
      <c r="AU15" s="1034" t="n"/>
      <c r="AV15" s="276" t="n"/>
      <c r="AW15" s="1036" t="n"/>
      <c r="AX15" s="1034" t="n"/>
      <c r="AY15" s="276" t="n"/>
      <c r="AZ15" s="1036" t="n"/>
      <c r="BA15" s="6183" t="n"/>
      <c r="BB15" s="1846">
        <f>IF(CO15=1,"X","")</f>
        <v/>
      </c>
      <c r="BC15" s="6184" t="n"/>
      <c r="BD15" s="11918" t="n"/>
      <c r="BE15" s="6149" t="n"/>
      <c r="BF15" s="11917" t="n"/>
      <c r="BG15" s="1034" t="n"/>
      <c r="BH15" s="276" t="n"/>
      <c r="BI15" s="1036" t="n"/>
      <c r="BJ15" s="6183" t="n"/>
      <c r="BK15" s="1846">
        <f>IF(OR(CP15=1,CQ15=1),"X","")</f>
        <v/>
      </c>
      <c r="BL15" s="6189" t="n"/>
      <c r="BM15" s="1277" t="n"/>
      <c r="BN15" s="11418">
        <f>IF(M15="","",IF(BQ15,"Error - two credit boxes checked.",IF(BX15,"Error - You can't claim spouse if filing jointly.",IF(BC15&lt;&gt;"","Override:CTC",IF(BL15&lt;&gt;"","Override CFOD",IF(AND(CC15,CP15=1),"CFOD for full-time student - at least "&amp;$CA$4&amp;" and under "&amp;$CB$4&amp;".",IF(AND(CE15,CP15=1),"CFOD for permanently &amp; totally disabled child.",IF(OR(CP15=1,CQ15=1),"CFOD - Credit for other dependent.",IF(AND(CL15,BZ15),"CTC for dependent child under "&amp;CTC_AgeLimit&amp;".",IF(CL15,"Dependent child.",IF(CM15,"Dependent relative.",IF(CX15,"Qualified child for EIC.","Not qualified as a dependent."))))))))))))</f>
        <v/>
      </c>
      <c r="BO15" s="8043" t="n"/>
      <c r="BP15" s="8043" t="n"/>
      <c r="BQ15" s="7453">
        <f>AND(BB15&lt;&gt;"",BK15&lt;&gt;"")</f>
        <v/>
      </c>
      <c r="BR15" s="8043" t="n"/>
      <c r="BS15" s="7453">
        <f>TEXT(M15,"000-00-0000")</f>
        <v/>
      </c>
      <c r="BT15" s="7453">
        <f>LEFT(BS15,3)</f>
        <v/>
      </c>
      <c r="BU15" s="1281">
        <f>M15&lt;&gt;"n"</f>
        <v/>
      </c>
      <c r="BV15" s="1281">
        <f>LEFT(M15,6)="001-01"</f>
        <v/>
      </c>
      <c r="BW15" s="7453">
        <f>AND(M15&lt;&gt;"",BU15)</f>
        <v/>
      </c>
      <c r="BX15" s="3615">
        <f>AND(File_Marr_Joint&lt;&gt;"",OR(S15="spouse",S15="wife",S15="husband"))</f>
        <v/>
      </c>
      <c r="BY15" s="1281">
        <f>AND(AK15="",OR(Z15&lt;&gt;"",AC15&lt;&gt;""))</f>
        <v/>
      </c>
      <c r="BZ15" s="5959">
        <f>AND(NOT(BY15),AQ15&lt;BZ$4)</f>
        <v/>
      </c>
      <c r="CA15" s="5956">
        <f>AND(CD15,AQ15&lt;CA$4)</f>
        <v/>
      </c>
      <c r="CB15" s="5956">
        <f>AND(AQ15&lt;&gt;"",AQ15&lt;CB$4)</f>
        <v/>
      </c>
      <c r="CC15" s="5956">
        <f>AF15&lt;&gt;""</f>
        <v/>
      </c>
      <c r="CD15" s="5956">
        <f>IF(AK15=0,TRUE,IF(OR(ISERROR(YourBirthDate),ISERROR(AK15)),TRUE,IF(AND(File_Marr_Joint&lt;&gt;"",ISERROR(SpouseBirthDate)),TRUE,IF(File_Marr_Joint&lt;&gt;"",AND(AK15&gt;YourBirthDate,AK15&gt;SpouseBirthDate),AK15&gt;YourBirthDate))))</f>
        <v/>
      </c>
      <c r="CE15" s="5956">
        <f>AI15&lt;&gt;""</f>
        <v/>
      </c>
      <c r="CF15" s="5956">
        <f>AV15&lt;&gt;""</f>
        <v/>
      </c>
      <c r="CG15" s="6155">
        <f>(Z15&lt;&gt;"")</f>
        <v/>
      </c>
      <c r="CH15" s="5959">
        <f>AS15&lt;&gt;""</f>
        <v/>
      </c>
      <c r="CI15" s="5959">
        <f>AY15&lt;&gt;""</f>
        <v/>
      </c>
      <c r="CJ15" s="6146">
        <f>BE15&lt;&gt;""</f>
        <v/>
      </c>
      <c r="CK15" s="5978">
        <f>BH15&lt;&gt;""</f>
        <v/>
      </c>
      <c r="CL15" s="5977">
        <f>AND(OR(AND(CA15,CD15),AND(CC15,NOT(CA15),CB15,CD15),CE15),CF15,CG15,CH15)</f>
        <v/>
      </c>
      <c r="CM15" s="5978">
        <f>AND(NOT(BX15),NOT(CL15),CJ15,CK15,CH15)</f>
        <v/>
      </c>
      <c r="CN15" s="7453" t="n"/>
      <c r="CO15" s="7453">
        <f>IF(BA15&lt;&gt;"",0,IF(BC15&lt;&gt;"",1,IF(AND(CL15,BU15,CI15,BZ15),1,0)))</f>
        <v/>
      </c>
      <c r="CP15" s="7453">
        <f>IF(AND(CL15,BU15,CI15,NOT(BZ15)),1,0)</f>
        <v/>
      </c>
      <c r="CQ15" s="7453">
        <f>IF(BJ15&lt;&gt;"",0,IF(BL15&lt;&gt;"",1,IF(AND(CM15,BU15,CI15),1,0)))</f>
        <v/>
      </c>
      <c r="CR15" s="7453">
        <f>IF(OR(CL15,CM15),MAX(0,1-SUM(CO15:CQ15)),0)</f>
        <v/>
      </c>
      <c r="CU15" s="1281">
        <f>AND(Z15&lt;&gt;"",AC15&lt;&gt;"")</f>
        <v/>
      </c>
      <c r="CV15" s="1281">
        <f>AND(OR(CA15,AND(CB15,CC15),CE15),CD15,CU15)</f>
        <v/>
      </c>
      <c r="CX15" s="7453">
        <f>IF(CV15,1,0)</f>
        <v/>
      </c>
    </row>
    <row r="16" ht="18" customHeight="1" s="7635">
      <c r="A16" s="6158" t="inlineStr">
        <is>
          <t>08</t>
        </is>
      </c>
      <c r="B16" s="1280" t="n"/>
      <c r="C16" s="1280" t="n"/>
      <c r="D16" s="1280" t="n"/>
      <c r="E16" s="7489" t="n"/>
      <c r="F16" s="8007" t="n"/>
      <c r="G16" s="8007" t="n"/>
      <c r="H16" s="8007" t="n"/>
      <c r="I16" s="11914" t="n"/>
      <c r="J16" s="8007" t="n"/>
      <c r="K16" s="8007" t="n"/>
      <c r="L16" s="8008" t="n"/>
      <c r="M16" s="11915">
        <f>IF(OR(E16&lt;&gt;"",I16&lt;&gt;"",S16&lt;&gt;"",AS16&lt;&gt;"",AV16&lt;&gt;"",Z16&lt;&gt;"",AC16&lt;&gt;"",AF16&lt;&gt;"",AI16&lt;&gt;"",AK16&lt;&gt;""),"001-01-00"&amp;A16,"")</f>
        <v/>
      </c>
      <c r="N16" s="8007" t="n"/>
      <c r="O16" s="8007" t="n"/>
      <c r="P16" s="8007" t="n"/>
      <c r="Q16" s="8007" t="n"/>
      <c r="R16" s="8008" t="n"/>
      <c r="S16" s="276" t="n"/>
      <c r="T16" s="8007" t="n"/>
      <c r="U16" s="8007" t="n"/>
      <c r="V16" s="8007" t="n"/>
      <c r="W16" s="8007" t="n"/>
      <c r="X16" s="8008" t="n"/>
      <c r="Y16" s="1034" t="n"/>
      <c r="Z16" s="276" t="n"/>
      <c r="AA16" s="1035" t="n"/>
      <c r="AB16" s="1034" t="n"/>
      <c r="AC16" s="276" t="n"/>
      <c r="AD16" s="1036" t="n"/>
      <c r="AE16" s="1034" t="n"/>
      <c r="AF16" s="276" t="n"/>
      <c r="AG16" s="1035" t="n"/>
      <c r="AH16" s="1034" t="n"/>
      <c r="AI16" s="276" t="n"/>
      <c r="AJ16" s="1036" t="n"/>
      <c r="AK16" s="11916" t="n"/>
      <c r="AL16" s="8007" t="n"/>
      <c r="AM16" s="8007" t="n"/>
      <c r="AN16" s="8007" t="n"/>
      <c r="AO16" s="8007" t="n"/>
      <c r="AP16" s="8008" t="n"/>
      <c r="AQ16" s="11917">
        <f>IF(AK16="","",TaxYear-YEAR(AK16))</f>
        <v/>
      </c>
      <c r="AR16" s="6161" t="n"/>
      <c r="AS16" s="276" t="n"/>
      <c r="AT16" s="1036" t="n"/>
      <c r="AU16" s="1034" t="n"/>
      <c r="AV16" s="276" t="n"/>
      <c r="AW16" s="1036" t="n"/>
      <c r="AX16" s="1034" t="n"/>
      <c r="AY16" s="276" t="n"/>
      <c r="AZ16" s="1036" t="n"/>
      <c r="BA16" s="6183" t="n"/>
      <c r="BB16" s="1846">
        <f>IF(CO16=1,"X","")</f>
        <v/>
      </c>
      <c r="BC16" s="6184" t="n"/>
      <c r="BD16" s="11918" t="n"/>
      <c r="BE16" s="6149" t="n"/>
      <c r="BF16" s="11917" t="n"/>
      <c r="BG16" s="1034" t="n"/>
      <c r="BH16" s="276" t="n"/>
      <c r="BI16" s="1036" t="n"/>
      <c r="BJ16" s="6183" t="n"/>
      <c r="BK16" s="1846">
        <f>IF(OR(CP16=1,CQ16=1),"X","")</f>
        <v/>
      </c>
      <c r="BL16" s="6189" t="n"/>
      <c r="BM16" s="1277" t="n"/>
      <c r="BN16" s="11418">
        <f>IF(M16="","",IF(BQ16,"Error - two credit boxes checked.",IF(BX16,"Error - You can't claim spouse if filing jointly.",IF(BC16&lt;&gt;"","Override:CTC",IF(BL16&lt;&gt;"","Override CFOD",IF(AND(CC16,CP16=1),"CFOD for full-time student - at least "&amp;$CA$4&amp;" and under "&amp;$CB$4&amp;".",IF(AND(CE16,CP16=1),"CFOD for permanently &amp; totally disabled child.",IF(OR(CP16=1,CQ16=1),"CFOD - Credit for other dependent.",IF(AND(CL16,BZ16),"CTC for dependent child under "&amp;CTC_AgeLimit&amp;".",IF(CL16,"Dependent child.",IF(CM16,"Dependent relative.",IF(CX16,"Qualified child for EIC.","Not qualified as a dependent."))))))))))))</f>
        <v/>
      </c>
      <c r="BO16" s="8043" t="n"/>
      <c r="BP16" s="8043" t="n"/>
      <c r="BQ16" s="7453">
        <f>AND(BB16&lt;&gt;"",BK16&lt;&gt;"")</f>
        <v/>
      </c>
      <c r="BR16" s="8043" t="n"/>
      <c r="BS16" s="7453">
        <f>TEXT(M16,"000-00-0000")</f>
        <v/>
      </c>
      <c r="BT16" s="7453">
        <f>LEFT(BS16,3)</f>
        <v/>
      </c>
      <c r="BU16" s="1282">
        <f>M16&lt;&gt;"n"</f>
        <v/>
      </c>
      <c r="BV16" s="1282">
        <f>LEFT(M16,6)="001-01"</f>
        <v/>
      </c>
      <c r="BW16" s="7453">
        <f>AND(M16&lt;&gt;"",BU16)</f>
        <v/>
      </c>
      <c r="BX16" s="3615">
        <f>AND(File_Marr_Joint&lt;&gt;"",OR(S16="spouse",S16="wife",S16="husband"))</f>
        <v/>
      </c>
      <c r="BY16" s="1282">
        <f>AND(AK16="",OR(Z16&lt;&gt;"",AC16&lt;&gt;""))</f>
        <v/>
      </c>
      <c r="BZ16" s="5960">
        <f>AND(NOT(BY16),AQ16&lt;BZ$4)</f>
        <v/>
      </c>
      <c r="CA16" s="5957">
        <f>AND(CD16,AQ16&lt;CA$4)</f>
        <v/>
      </c>
      <c r="CB16" s="5957">
        <f>AND(AQ16&lt;&gt;"",AQ16&lt;CB$4)</f>
        <v/>
      </c>
      <c r="CC16" s="5957">
        <f>AF16&lt;&gt;""</f>
        <v/>
      </c>
      <c r="CD16" s="5957">
        <f>IF(AK16=0,TRUE,IF(OR(ISERROR(YourBirthDate),ISERROR(AK16)),TRUE,IF(AND(File_Marr_Joint&lt;&gt;"",ISERROR(SpouseBirthDate)),TRUE,IF(File_Marr_Joint&lt;&gt;"",AND(AK16&gt;YourBirthDate,AK16&gt;SpouseBirthDate),AK16&gt;YourBirthDate))))</f>
        <v/>
      </c>
      <c r="CE16" s="5957">
        <f>AI16&lt;&gt;""</f>
        <v/>
      </c>
      <c r="CF16" s="5957">
        <f>AV16&lt;&gt;""</f>
        <v/>
      </c>
      <c r="CG16" s="6156">
        <f>(Z16&lt;&gt;"")</f>
        <v/>
      </c>
      <c r="CH16" s="5960">
        <f>AS16&lt;&gt;""</f>
        <v/>
      </c>
      <c r="CI16" s="5960">
        <f>AY16&lt;&gt;""</f>
        <v/>
      </c>
      <c r="CJ16" s="8407">
        <f>BE16&lt;&gt;""</f>
        <v/>
      </c>
      <c r="CK16" s="6151">
        <f>BH16&lt;&gt;""</f>
        <v/>
      </c>
      <c r="CL16" s="5979">
        <f>AND(OR(AND(CA16,CD16),AND(CC16,NOT(CA16),CB16,CD16),CE16),CF16,CG16,CH16)</f>
        <v/>
      </c>
      <c r="CM16" s="5983">
        <f>AND(NOT(BX16),NOT(CL16),CJ16,CK16,CH16)</f>
        <v/>
      </c>
      <c r="CN16" s="7453" t="n"/>
      <c r="CO16" s="7453">
        <f>IF(BA16&lt;&gt;"",0,IF(BC16&lt;&gt;"",1,IF(AND(CL16,BU16,CI16,BZ16),1,0)))</f>
        <v/>
      </c>
      <c r="CP16" s="7453">
        <f>IF(AND(CL16,BU16,CI16,NOT(BZ16)),1,0)</f>
        <v/>
      </c>
      <c r="CQ16" s="7453">
        <f>IF(BJ16&lt;&gt;"",0,IF(BL16&lt;&gt;"",1,IF(AND(CM16,BU16,CI16),1,0)))</f>
        <v/>
      </c>
      <c r="CR16" s="7453">
        <f>IF(OR(CL16,CM16),MAX(0,1-SUM(CO16:CQ16)),0)</f>
        <v/>
      </c>
      <c r="CU16" s="1282">
        <f>AND(Z16&lt;&gt;"",AC16&lt;&gt;"")</f>
        <v/>
      </c>
      <c r="CV16" s="1282">
        <f>AND(OR(CA16,AND(CB16,CC16),CE16),CD16,CU16)</f>
        <v/>
      </c>
      <c r="CX16" s="7453">
        <f>IF(CV16,1,0)</f>
        <v/>
      </c>
    </row>
    <row r="17" ht="18" customHeight="1" s="7635">
      <c r="A17" s="6158" t="inlineStr">
        <is>
          <t>09</t>
        </is>
      </c>
      <c r="B17" s="1280" t="n"/>
      <c r="C17" s="1280" t="n"/>
      <c r="D17" s="1280" t="n"/>
      <c r="E17" s="7489" t="n"/>
      <c r="F17" s="8007" t="n"/>
      <c r="G17" s="8007" t="n"/>
      <c r="H17" s="8007" t="n"/>
      <c r="I17" s="11914" t="n"/>
      <c r="J17" s="8007" t="n"/>
      <c r="K17" s="8007" t="n"/>
      <c r="L17" s="8008" t="n"/>
      <c r="M17" s="11915">
        <f>IF(OR(E17&lt;&gt;"",I17&lt;&gt;"",S17&lt;&gt;"",AS17&lt;&gt;"",AV17&lt;&gt;"",Z17&lt;&gt;"",AC17&lt;&gt;"",AF17&lt;&gt;"",AI17&lt;&gt;"",AK17&lt;&gt;""),"001-01-00"&amp;A17,"")</f>
        <v/>
      </c>
      <c r="N17" s="8007" t="n"/>
      <c r="O17" s="8007" t="n"/>
      <c r="P17" s="8007" t="n"/>
      <c r="Q17" s="8007" t="n"/>
      <c r="R17" s="8008" t="n"/>
      <c r="S17" s="276" t="n"/>
      <c r="T17" s="8007" t="n"/>
      <c r="U17" s="8007" t="n"/>
      <c r="V17" s="8007" t="n"/>
      <c r="W17" s="8007" t="n"/>
      <c r="X17" s="8008" t="n"/>
      <c r="Y17" s="1034" t="n"/>
      <c r="Z17" s="276" t="n"/>
      <c r="AA17" s="1035" t="n"/>
      <c r="AB17" s="1034" t="n"/>
      <c r="AC17" s="276" t="n"/>
      <c r="AD17" s="1036" t="n"/>
      <c r="AE17" s="1034" t="n"/>
      <c r="AF17" s="276" t="n"/>
      <c r="AG17" s="1035" t="n"/>
      <c r="AH17" s="1034" t="n"/>
      <c r="AI17" s="276" t="n"/>
      <c r="AJ17" s="1036" t="n"/>
      <c r="AK17" s="11916" t="n"/>
      <c r="AL17" s="8007" t="n"/>
      <c r="AM17" s="8007" t="n"/>
      <c r="AN17" s="8007" t="n"/>
      <c r="AO17" s="8007" t="n"/>
      <c r="AP17" s="8008" t="n"/>
      <c r="AQ17" s="11917">
        <f>IF(AK17="","",TaxYear-YEAR(AK17))</f>
        <v/>
      </c>
      <c r="AR17" s="6161" t="n"/>
      <c r="AS17" s="276" t="n"/>
      <c r="AT17" s="1036" t="n"/>
      <c r="AU17" s="1034" t="n"/>
      <c r="AV17" s="276" t="n"/>
      <c r="AW17" s="1036" t="n"/>
      <c r="AX17" s="1034" t="n"/>
      <c r="AY17" s="276" t="n"/>
      <c r="AZ17" s="1036" t="n"/>
      <c r="BA17" s="6183" t="n"/>
      <c r="BB17" s="1846">
        <f>IF(CO17=1,"X","")</f>
        <v/>
      </c>
      <c r="BC17" s="6184" t="n"/>
      <c r="BD17" s="11918" t="n"/>
      <c r="BE17" s="6149" t="n"/>
      <c r="BF17" s="11917" t="n"/>
      <c r="BG17" s="1034" t="n"/>
      <c r="BH17" s="276" t="n"/>
      <c r="BI17" s="1036" t="n"/>
      <c r="BJ17" s="6183" t="n"/>
      <c r="BK17" s="1846">
        <f>IF(OR(CP17=1,CQ17=1),"X","")</f>
        <v/>
      </c>
      <c r="BL17" s="6189" t="n"/>
      <c r="BM17" s="1277" t="n"/>
      <c r="BN17" s="11418">
        <f>IF(M17="","",IF(BQ17,"Error - two credit boxes checked.",IF(BX17,"Error - You can't claim spouse if filing jointly.",IF(BC17&lt;&gt;"","Override:CTC",IF(BL17&lt;&gt;"","Override CFOD",IF(AND(CC17,CP17=1),"CFOD for full-time student - at least "&amp;$CA$4&amp;" and under "&amp;$CB$4&amp;".",IF(AND(CE17,CP17=1),"CFOD for permanently &amp; totally disabled child.",IF(OR(CP17=1,CQ17=1),"CFOD - Credit for other dependent.",IF(AND(CL17,BZ17),"CTC for dependent child under "&amp;CTC_AgeLimit&amp;".",IF(CL17,"Dependent child.",IF(CM17,"Dependent relative.",IF(CX17,"Qualified child for EIC.","Not qualified as a dependent."))))))))))))</f>
        <v/>
      </c>
      <c r="BO17" s="8043" t="n"/>
      <c r="BP17" s="8043" t="n"/>
      <c r="BQ17" s="7453">
        <f>AND(BB17&lt;&gt;"",BK17&lt;&gt;"")</f>
        <v/>
      </c>
      <c r="BR17" s="8043" t="n"/>
      <c r="BS17" s="7453">
        <f>TEXT(M17,"000-00-0000")</f>
        <v/>
      </c>
      <c r="BT17" s="7453">
        <f>LEFT(BS17,3)</f>
        <v/>
      </c>
      <c r="BU17" s="1282">
        <f>M17&lt;&gt;"n"</f>
        <v/>
      </c>
      <c r="BV17" s="1282">
        <f>LEFT(M17,6)="001-01"</f>
        <v/>
      </c>
      <c r="BW17" s="7453">
        <f>AND(M17&lt;&gt;"",BU17)</f>
        <v/>
      </c>
      <c r="BX17" s="3615">
        <f>AND(File_Marr_Joint&lt;&gt;"",OR(S17="spouse",S17="wife",S17="husband"))</f>
        <v/>
      </c>
      <c r="BY17" s="1282">
        <f>AND(AK17="",OR(Z17&lt;&gt;"",AC17&lt;&gt;""))</f>
        <v/>
      </c>
      <c r="BZ17" s="5960">
        <f>AND(NOT(BY17),AQ17&lt;BZ$4)</f>
        <v/>
      </c>
      <c r="CA17" s="5957">
        <f>AND(CD17,AQ17&lt;CA$4)</f>
        <v/>
      </c>
      <c r="CB17" s="5957">
        <f>AND(AQ17&lt;&gt;"",AQ17&lt;CB$4)</f>
        <v/>
      </c>
      <c r="CC17" s="5957">
        <f>AF17&lt;&gt;""</f>
        <v/>
      </c>
      <c r="CD17" s="5957">
        <f>IF(AK17=0,TRUE,IF(OR(ISERROR(YourBirthDate),ISERROR(AK17)),TRUE,IF(AND(File_Marr_Joint&lt;&gt;"",ISERROR(SpouseBirthDate)),TRUE,IF(File_Marr_Joint&lt;&gt;"",AND(AK17&gt;YourBirthDate,AK17&gt;SpouseBirthDate),AK17&gt;YourBirthDate))))</f>
        <v/>
      </c>
      <c r="CE17" s="5957">
        <f>AI17&lt;&gt;""</f>
        <v/>
      </c>
      <c r="CF17" s="5957">
        <f>AV17&lt;&gt;""</f>
        <v/>
      </c>
      <c r="CG17" s="6156">
        <f>(Z17&lt;&gt;"")</f>
        <v/>
      </c>
      <c r="CH17" s="5960">
        <f>AS17&lt;&gt;""</f>
        <v/>
      </c>
      <c r="CI17" s="5960">
        <f>AY17&lt;&gt;""</f>
        <v/>
      </c>
      <c r="CJ17" s="8407">
        <f>BE17&lt;&gt;""</f>
        <v/>
      </c>
      <c r="CK17" s="6151">
        <f>BH17&lt;&gt;""</f>
        <v/>
      </c>
      <c r="CL17" s="5979">
        <f>AND(OR(AND(CA17,CD17),AND(CC17,NOT(CA17),CB17,CD17),CE17),CF17,CG17,CH17)</f>
        <v/>
      </c>
      <c r="CM17" s="5983">
        <f>AND(NOT(BX17),NOT(CL17),CJ17,CK17,CH17)</f>
        <v/>
      </c>
      <c r="CN17" s="7453" t="n"/>
      <c r="CO17" s="7453">
        <f>IF(BA17&lt;&gt;"",0,IF(BC17&lt;&gt;"",1,IF(AND(CL17,BU17,CI17,BZ17),1,0)))</f>
        <v/>
      </c>
      <c r="CP17" s="7453">
        <f>IF(AND(CL17,BU17,CI17,NOT(BZ17)),1,0)</f>
        <v/>
      </c>
      <c r="CQ17" s="7453">
        <f>IF(BJ17&lt;&gt;"",0,IF(BL17&lt;&gt;"",1,IF(AND(CM17,BU17,CI17),1,0)))</f>
        <v/>
      </c>
      <c r="CR17" s="7453">
        <f>IF(OR(CL17,CM17),MAX(0,1-SUM(CO17:CQ17)),0)</f>
        <v/>
      </c>
      <c r="CU17" s="1282">
        <f>AND(Z17&lt;&gt;"",AC17&lt;&gt;"")</f>
        <v/>
      </c>
      <c r="CV17" s="1282">
        <f>AND(OR(CA17,AND(CB17,CC17),CE17),CD17,CU17)</f>
        <v/>
      </c>
      <c r="CX17" s="7453">
        <f>IF(CV17,1,0)</f>
        <v/>
      </c>
    </row>
    <row r="18" ht="18" customHeight="1" s="7635">
      <c r="A18" s="11074" t="n">
        <v>10</v>
      </c>
      <c r="B18" s="1273" t="n"/>
      <c r="C18" s="1273" t="n"/>
      <c r="D18" s="1273" t="n"/>
      <c r="E18" s="7489" t="n"/>
      <c r="F18" s="8007" t="n"/>
      <c r="G18" s="8007" t="n"/>
      <c r="H18" s="8007" t="n"/>
      <c r="I18" s="11914" t="n"/>
      <c r="J18" s="8007" t="n"/>
      <c r="K18" s="8007" t="n"/>
      <c r="L18" s="8008" t="n"/>
      <c r="M18" s="11915">
        <f>IF(OR(E18&lt;&gt;"",I18&lt;&gt;"",S18&lt;&gt;"",AS18&lt;&gt;"",AV18&lt;&gt;"",Z18&lt;&gt;"",AC18&lt;&gt;"",AF18&lt;&gt;"",AI18&lt;&gt;"",AK18&lt;&gt;""),"001-01-00"&amp;A18,"")</f>
        <v/>
      </c>
      <c r="N18" s="8007" t="n"/>
      <c r="O18" s="8007" t="n"/>
      <c r="P18" s="8007" t="n"/>
      <c r="Q18" s="8007" t="n"/>
      <c r="R18" s="8008" t="n"/>
      <c r="S18" s="276" t="n"/>
      <c r="T18" s="8007" t="n"/>
      <c r="U18" s="8007" t="n"/>
      <c r="V18" s="8007" t="n"/>
      <c r="W18" s="8007" t="n"/>
      <c r="X18" s="8008" t="n"/>
      <c r="Y18" s="1034" t="n"/>
      <c r="Z18" s="276" t="n"/>
      <c r="AA18" s="1035" t="n"/>
      <c r="AB18" s="1034" t="n"/>
      <c r="AC18" s="276" t="n"/>
      <c r="AD18" s="1036" t="n"/>
      <c r="AE18" s="1034" t="n"/>
      <c r="AF18" s="276" t="n"/>
      <c r="AG18" s="1035" t="n"/>
      <c r="AH18" s="1034" t="n"/>
      <c r="AI18" s="276" t="n"/>
      <c r="AJ18" s="1036" t="n"/>
      <c r="AK18" s="11916" t="n"/>
      <c r="AL18" s="8007" t="n"/>
      <c r="AM18" s="8007" t="n"/>
      <c r="AN18" s="8007" t="n"/>
      <c r="AO18" s="8007" t="n"/>
      <c r="AP18" s="8008" t="n"/>
      <c r="AQ18" s="11917">
        <f>IF(AK18="","",TaxYear-YEAR(AK18))</f>
        <v/>
      </c>
      <c r="AR18" s="6161" t="n"/>
      <c r="AS18" s="276" t="n"/>
      <c r="AT18" s="1036" t="n"/>
      <c r="AU18" s="1034" t="n"/>
      <c r="AV18" s="276" t="n"/>
      <c r="AW18" s="1036" t="n"/>
      <c r="AX18" s="1034" t="n"/>
      <c r="AY18" s="276" t="n"/>
      <c r="AZ18" s="1036" t="n"/>
      <c r="BA18" s="6183" t="n"/>
      <c r="BB18" s="1846">
        <f>IF(CO18=1,"X","")</f>
        <v/>
      </c>
      <c r="BC18" s="6184" t="n"/>
      <c r="BD18" s="11918" t="n"/>
      <c r="BE18" s="6149" t="n"/>
      <c r="BF18" s="11917" t="n"/>
      <c r="BG18" s="1034" t="n"/>
      <c r="BH18" s="276" t="n"/>
      <c r="BI18" s="1036" t="n"/>
      <c r="BJ18" s="6183" t="n"/>
      <c r="BK18" s="1846">
        <f>IF(OR(CP18=1,CQ18=1),"X","")</f>
        <v/>
      </c>
      <c r="BL18" s="6189" t="n"/>
      <c r="BM18" s="1277" t="n"/>
      <c r="BN18" s="11418">
        <f>IF(M18="","",IF(BQ18,"Error - two credit boxes checked.",IF(BX18,"Error - You can't claim spouse if filing jointly.",IF(BC18&lt;&gt;"","Override:CTC",IF(BL18&lt;&gt;"","Override CFOD",IF(AND(CC18,CP18=1),"CFOD for full-time student - at least "&amp;$CA$4&amp;" and under "&amp;$CB$4&amp;".",IF(AND(CE18,CP18=1),"CFOD for permanently &amp; totally disabled child.",IF(OR(CP18=1,CQ18=1),"CFOD - Credit for other dependent.",IF(AND(CL18,BZ18),"CTC for dependent child under "&amp;CTC_AgeLimit&amp;".",IF(CL18,"Dependent child.",IF(CM18,"Dependent relative.",IF(CX18,"Qualified child for EIC.","Not qualified as a dependent."))))))))))))</f>
        <v/>
      </c>
      <c r="BO18" s="8043" t="n"/>
      <c r="BP18" s="8043" t="n"/>
      <c r="BQ18" s="7453">
        <f>AND(BB18&lt;&gt;"",BK18&lt;&gt;"")</f>
        <v/>
      </c>
      <c r="BR18" s="8043" t="n"/>
      <c r="BS18" s="7453">
        <f>TEXT(M18,"000-00-0000")</f>
        <v/>
      </c>
      <c r="BT18" s="7453">
        <f>LEFT(BS18,3)</f>
        <v/>
      </c>
      <c r="BU18" s="1282">
        <f>M18&lt;&gt;"n"</f>
        <v/>
      </c>
      <c r="BV18" s="1282">
        <f>LEFT(M18,6)="001-01"</f>
        <v/>
      </c>
      <c r="BW18" s="7453">
        <f>AND(M18&lt;&gt;"",BU18)</f>
        <v/>
      </c>
      <c r="BX18" s="3615">
        <f>AND(File_Marr_Joint&lt;&gt;"",OR(S18="spouse",S18="wife",S18="husband"))</f>
        <v/>
      </c>
      <c r="BY18" s="1282">
        <f>AND(AK18="",OR(Z18&lt;&gt;"",AC18&lt;&gt;""))</f>
        <v/>
      </c>
      <c r="BZ18" s="5960">
        <f>AND(NOT(BY18),AQ18&lt;BZ$4)</f>
        <v/>
      </c>
      <c r="CA18" s="5957">
        <f>AND(CD18,AQ18&lt;CA$4)</f>
        <v/>
      </c>
      <c r="CB18" s="5957">
        <f>AND(AQ18&lt;&gt;"",AQ18&lt;CB$4)</f>
        <v/>
      </c>
      <c r="CC18" s="5957">
        <f>AF18&lt;&gt;""</f>
        <v/>
      </c>
      <c r="CD18" s="5957">
        <f>IF(AK18=0,TRUE,IF(OR(ISERROR(YourBirthDate),ISERROR(AK18)),TRUE,IF(AND(File_Marr_Joint&lt;&gt;"",ISERROR(SpouseBirthDate)),TRUE,IF(File_Marr_Joint&lt;&gt;"",AND(AK18&gt;YourBirthDate,AK18&gt;SpouseBirthDate),AK18&gt;YourBirthDate))))</f>
        <v/>
      </c>
      <c r="CE18" s="5957">
        <f>AI18&lt;&gt;""</f>
        <v/>
      </c>
      <c r="CF18" s="5957">
        <f>AV18&lt;&gt;""</f>
        <v/>
      </c>
      <c r="CG18" s="6156">
        <f>(Z18&lt;&gt;"")</f>
        <v/>
      </c>
      <c r="CH18" s="5960">
        <f>AS18&lt;&gt;""</f>
        <v/>
      </c>
      <c r="CI18" s="5960">
        <f>AY18&lt;&gt;""</f>
        <v/>
      </c>
      <c r="CJ18" s="8407">
        <f>BE18&lt;&gt;""</f>
        <v/>
      </c>
      <c r="CK18" s="6151">
        <f>BH18&lt;&gt;""</f>
        <v/>
      </c>
      <c r="CL18" s="5979">
        <f>AND(OR(AND(CA18,CD18),AND(CC18,NOT(CA18),CB18,CD18),CE18),CF18,CG18,CH18)</f>
        <v/>
      </c>
      <c r="CM18" s="5983">
        <f>AND(NOT(BX18),NOT(CL18),CJ18,CK18,CH18)</f>
        <v/>
      </c>
      <c r="CN18" s="7453" t="n"/>
      <c r="CO18" s="7453">
        <f>IF(BA18&lt;&gt;"",0,IF(BC18&lt;&gt;"",1,IF(AND(CL18,BU18,CI18,BZ18),1,0)))</f>
        <v/>
      </c>
      <c r="CP18" s="7453">
        <f>IF(AND(CL18,BU18,CI18,NOT(BZ18)),1,0)</f>
        <v/>
      </c>
      <c r="CQ18" s="7453">
        <f>IF(BJ18&lt;&gt;"",0,IF(BL18&lt;&gt;"",1,IF(AND(CM18,BU18,CI18),1,0)))</f>
        <v/>
      </c>
      <c r="CR18" s="7453">
        <f>IF(OR(CL18,CM18),MAX(0,1-SUM(CO18:CQ18)),0)</f>
        <v/>
      </c>
      <c r="CU18" s="1282">
        <f>AND(Z18&lt;&gt;"",AC18&lt;&gt;"")</f>
        <v/>
      </c>
      <c r="CV18" s="1282">
        <f>AND(OR(CA18,AND(CB18,CC18),CE18),CD18,CU18)</f>
        <v/>
      </c>
      <c r="CX18" s="7453">
        <f>IF(CV18,1,0)</f>
        <v/>
      </c>
    </row>
    <row r="19" ht="18" customHeight="1" s="7635">
      <c r="A19" s="11074" t="n">
        <v>11</v>
      </c>
      <c r="B19" s="1273" t="n"/>
      <c r="C19" s="1273" t="n"/>
      <c r="D19" s="1273" t="n"/>
      <c r="E19" s="7489" t="n"/>
      <c r="F19" s="8007" t="n"/>
      <c r="G19" s="8007" t="n"/>
      <c r="H19" s="8007" t="n"/>
      <c r="I19" s="11914" t="n"/>
      <c r="J19" s="8007" t="n"/>
      <c r="K19" s="8007" t="n"/>
      <c r="L19" s="8008" t="n"/>
      <c r="M19" s="11915">
        <f>IF(OR(E19&lt;&gt;"",I19&lt;&gt;"",S19&lt;&gt;"",AS19&lt;&gt;"",AV19&lt;&gt;"",Z19&lt;&gt;"",AC19&lt;&gt;"",AF19&lt;&gt;"",AI19&lt;&gt;"",AK19&lt;&gt;""),"001-01-00"&amp;A19,"")</f>
        <v/>
      </c>
      <c r="N19" s="8007" t="n"/>
      <c r="O19" s="8007" t="n"/>
      <c r="P19" s="8007" t="n"/>
      <c r="Q19" s="8007" t="n"/>
      <c r="R19" s="8008" t="n"/>
      <c r="S19" s="276" t="n"/>
      <c r="T19" s="8007" t="n"/>
      <c r="U19" s="8007" t="n"/>
      <c r="V19" s="8007" t="n"/>
      <c r="W19" s="8007" t="n"/>
      <c r="X19" s="8008" t="n"/>
      <c r="Y19" s="1034" t="n"/>
      <c r="Z19" s="276" t="n"/>
      <c r="AA19" s="1035" t="n"/>
      <c r="AB19" s="1034" t="n"/>
      <c r="AC19" s="276" t="n"/>
      <c r="AD19" s="1036" t="n"/>
      <c r="AE19" s="1034" t="n"/>
      <c r="AF19" s="276" t="n"/>
      <c r="AG19" s="1035" t="n"/>
      <c r="AH19" s="1034" t="n"/>
      <c r="AI19" s="276" t="n"/>
      <c r="AJ19" s="1036" t="n"/>
      <c r="AK19" s="11916" t="n"/>
      <c r="AL19" s="8007" t="n"/>
      <c r="AM19" s="8007" t="n"/>
      <c r="AN19" s="8007" t="n"/>
      <c r="AO19" s="8007" t="n"/>
      <c r="AP19" s="8008" t="n"/>
      <c r="AQ19" s="11917">
        <f>IF(AK19="","",TaxYear-YEAR(AK19))</f>
        <v/>
      </c>
      <c r="AR19" s="6161" t="n"/>
      <c r="AS19" s="276" t="n"/>
      <c r="AT19" s="1036" t="n"/>
      <c r="AU19" s="1034" t="n"/>
      <c r="AV19" s="276" t="n"/>
      <c r="AW19" s="1036" t="n"/>
      <c r="AX19" s="1034" t="n"/>
      <c r="AY19" s="276" t="n"/>
      <c r="AZ19" s="1036" t="n"/>
      <c r="BA19" s="6183" t="n"/>
      <c r="BB19" s="1846">
        <f>IF(CO19=1,"X","")</f>
        <v/>
      </c>
      <c r="BC19" s="6184" t="n"/>
      <c r="BD19" s="11918" t="n"/>
      <c r="BE19" s="6149" t="n"/>
      <c r="BF19" s="11917" t="n"/>
      <c r="BG19" s="1034" t="n"/>
      <c r="BH19" s="276" t="n"/>
      <c r="BI19" s="1036" t="n"/>
      <c r="BJ19" s="6183" t="n"/>
      <c r="BK19" s="1846">
        <f>IF(OR(CP19=1,CQ19=1),"X","")</f>
        <v/>
      </c>
      <c r="BL19" s="6189" t="n"/>
      <c r="BM19" s="1277" t="n"/>
      <c r="BN19" s="11418">
        <f>IF(M19="","",IF(BQ19,"Error - two credit boxes checked.",IF(BX19,"Error - You can't claim spouse if filing jointly.",IF(BC19&lt;&gt;"","Override:CTC",IF(BL19&lt;&gt;"","Override CFOD",IF(AND(CC19,CP19=1),"CFOD for full-time student - at least "&amp;$CA$4&amp;" and under "&amp;$CB$4&amp;".",IF(AND(CE19,CP19=1),"CFOD for permanently &amp; totally disabled child.",IF(OR(CP19=1,CQ19=1),"CFOD - Credit for other dependent.",IF(AND(CL19,BZ19),"CTC for dependent child under "&amp;CTC_AgeLimit&amp;".",IF(CL19,"Dependent child.",IF(CM19,"Dependent relative.",IF(CX19,"Qualified child for EIC.","Not qualified as a dependent."))))))))))))</f>
        <v/>
      </c>
      <c r="BO19" s="8043" t="n"/>
      <c r="BP19" s="8043" t="n"/>
      <c r="BQ19" s="7453">
        <f>AND(BB19&lt;&gt;"",BK19&lt;&gt;"")</f>
        <v/>
      </c>
      <c r="BR19" s="8043" t="n"/>
      <c r="BS19" s="7453">
        <f>TEXT(M19,"000-00-0000")</f>
        <v/>
      </c>
      <c r="BT19" s="7453">
        <f>LEFT(BS19,3)</f>
        <v/>
      </c>
      <c r="BU19" s="1282">
        <f>M19&lt;&gt;"n"</f>
        <v/>
      </c>
      <c r="BV19" s="1282">
        <f>LEFT(M19,6)="001-01"</f>
        <v/>
      </c>
      <c r="BW19" s="7453">
        <f>AND(M19&lt;&gt;"",BU19)</f>
        <v/>
      </c>
      <c r="BX19" s="3615">
        <f>AND(File_Marr_Joint&lt;&gt;"",OR(S19="spouse",S19="wife",S19="husband"))</f>
        <v/>
      </c>
      <c r="BY19" s="1282">
        <f>AND(AK19="",OR(Z19&lt;&gt;"",AC19&lt;&gt;""))</f>
        <v/>
      </c>
      <c r="BZ19" s="5960">
        <f>AND(NOT(BY19),AQ19&lt;BZ$4)</f>
        <v/>
      </c>
      <c r="CA19" s="5957">
        <f>AND(CD19,AQ19&lt;CA$4)</f>
        <v/>
      </c>
      <c r="CB19" s="5957">
        <f>AND(AQ19&lt;&gt;"",AQ19&lt;CB$4)</f>
        <v/>
      </c>
      <c r="CC19" s="5957">
        <f>AF19&lt;&gt;""</f>
        <v/>
      </c>
      <c r="CD19" s="5957">
        <f>IF(AK19=0,TRUE,IF(OR(ISERROR(YourBirthDate),ISERROR(AK19)),TRUE,IF(AND(File_Marr_Joint&lt;&gt;"",ISERROR(SpouseBirthDate)),TRUE,IF(File_Marr_Joint&lt;&gt;"",AND(AK19&gt;YourBirthDate,AK19&gt;SpouseBirthDate),AK19&gt;YourBirthDate))))</f>
        <v/>
      </c>
      <c r="CE19" s="5957">
        <f>AI19&lt;&gt;""</f>
        <v/>
      </c>
      <c r="CF19" s="5957">
        <f>AV19&lt;&gt;""</f>
        <v/>
      </c>
      <c r="CG19" s="6156">
        <f>(Z19&lt;&gt;"")</f>
        <v/>
      </c>
      <c r="CH19" s="5960">
        <f>AS19&lt;&gt;""</f>
        <v/>
      </c>
      <c r="CI19" s="5960">
        <f>AY19&lt;&gt;""</f>
        <v/>
      </c>
      <c r="CJ19" s="8407">
        <f>BE19&lt;&gt;""</f>
        <v/>
      </c>
      <c r="CK19" s="6151">
        <f>BH19&lt;&gt;""</f>
        <v/>
      </c>
      <c r="CL19" s="5979">
        <f>AND(OR(AND(CA19,CD19),AND(CC19,NOT(CA19),CB19,CD19),CE19),CF19,CG19,CH19)</f>
        <v/>
      </c>
      <c r="CM19" s="5983">
        <f>AND(NOT(BX19),NOT(CL19),CJ19,CK19,CH19)</f>
        <v/>
      </c>
      <c r="CN19" s="7453" t="n"/>
      <c r="CO19" s="7453">
        <f>IF(BA19&lt;&gt;"",0,IF(BC19&lt;&gt;"",1,IF(AND(CL19,BU19,CI19,BZ19),1,0)))</f>
        <v/>
      </c>
      <c r="CP19" s="7453">
        <f>IF(AND(CL19,BU19,CI19,NOT(BZ19)),1,0)</f>
        <v/>
      </c>
      <c r="CQ19" s="7453">
        <f>IF(BJ19&lt;&gt;"",0,IF(BL19&lt;&gt;"",1,IF(AND(CM19,BU19,CI19),1,0)))</f>
        <v/>
      </c>
      <c r="CR19" s="7453">
        <f>IF(OR(CL19,CM19),MAX(0,1-SUM(CO19:CQ19)),0)</f>
        <v/>
      </c>
      <c r="CU19" s="1282">
        <f>AND(Z19&lt;&gt;"",AC19&lt;&gt;"")</f>
        <v/>
      </c>
      <c r="CV19" s="1282">
        <f>AND(OR(CA19,AND(CB19,CC19),CE19),CD19,CU19)</f>
        <v/>
      </c>
      <c r="CX19" s="7453">
        <f>IF(CV19,1,0)</f>
        <v/>
      </c>
    </row>
    <row r="20" ht="18" customHeight="1" s="7635">
      <c r="A20" s="11074" t="n">
        <v>12</v>
      </c>
      <c r="B20" s="1273" t="n"/>
      <c r="C20" s="1273" t="n"/>
      <c r="D20" s="1273" t="n"/>
      <c r="E20" s="7489" t="n"/>
      <c r="F20" s="8007" t="n"/>
      <c r="G20" s="8007" t="n"/>
      <c r="H20" s="8007" t="n"/>
      <c r="I20" s="11914" t="n"/>
      <c r="J20" s="8007" t="n"/>
      <c r="K20" s="8007" t="n"/>
      <c r="L20" s="8008" t="n"/>
      <c r="M20" s="11915">
        <f>IF(OR(E20&lt;&gt;"",I20&lt;&gt;"",S20&lt;&gt;"",AS20&lt;&gt;"",AV20&lt;&gt;"",Z20&lt;&gt;"",AC20&lt;&gt;"",AF20&lt;&gt;"",AI20&lt;&gt;"",AK20&lt;&gt;""),"001-01-00"&amp;A20,"")</f>
        <v/>
      </c>
      <c r="N20" s="8007" t="n"/>
      <c r="O20" s="8007" t="n"/>
      <c r="P20" s="8007" t="n"/>
      <c r="Q20" s="8007" t="n"/>
      <c r="R20" s="8008" t="n"/>
      <c r="S20" s="276" t="n"/>
      <c r="T20" s="8007" t="n"/>
      <c r="U20" s="8007" t="n"/>
      <c r="V20" s="8007" t="n"/>
      <c r="W20" s="8007" t="n"/>
      <c r="X20" s="8008" t="n"/>
      <c r="Y20" s="1034" t="n"/>
      <c r="Z20" s="276" t="n"/>
      <c r="AA20" s="1035" t="n"/>
      <c r="AB20" s="1034" t="n"/>
      <c r="AC20" s="276" t="n"/>
      <c r="AD20" s="1036" t="n"/>
      <c r="AE20" s="1034" t="n"/>
      <c r="AF20" s="276" t="n"/>
      <c r="AG20" s="1035" t="n"/>
      <c r="AH20" s="1034" t="n"/>
      <c r="AI20" s="276" t="n"/>
      <c r="AJ20" s="1036" t="n"/>
      <c r="AK20" s="11916" t="n"/>
      <c r="AL20" s="8007" t="n"/>
      <c r="AM20" s="8007" t="n"/>
      <c r="AN20" s="8007" t="n"/>
      <c r="AO20" s="8007" t="n"/>
      <c r="AP20" s="8008" t="n"/>
      <c r="AQ20" s="11917">
        <f>IF(AK20="","",TaxYear-YEAR(AK20))</f>
        <v/>
      </c>
      <c r="AR20" s="6161" t="n"/>
      <c r="AS20" s="276" t="n"/>
      <c r="AT20" s="1036" t="n"/>
      <c r="AU20" s="1034" t="n"/>
      <c r="AV20" s="276" t="n"/>
      <c r="AW20" s="1036" t="n"/>
      <c r="AX20" s="1034" t="n"/>
      <c r="AY20" s="276" t="n"/>
      <c r="AZ20" s="1036" t="n"/>
      <c r="BA20" s="6183" t="n"/>
      <c r="BB20" s="1846">
        <f>IF(CO20=1,"X","")</f>
        <v/>
      </c>
      <c r="BC20" s="6184" t="n"/>
      <c r="BD20" s="11918" t="n"/>
      <c r="BE20" s="6149" t="n"/>
      <c r="BF20" s="11917" t="n"/>
      <c r="BG20" s="1034" t="n"/>
      <c r="BH20" s="276" t="n"/>
      <c r="BI20" s="1036" t="n"/>
      <c r="BJ20" s="6183" t="n"/>
      <c r="BK20" s="1846">
        <f>IF(OR(CP20=1,CQ20=1),"X","")</f>
        <v/>
      </c>
      <c r="BL20" s="6189" t="n"/>
      <c r="BM20" s="1277" t="n"/>
      <c r="BN20" s="11418">
        <f>IF(M20="","",IF(BQ20,"Error - two credit boxes checked.",IF(BX20,"Error - You can't claim spouse if filing jointly.",IF(BC20&lt;&gt;"","Override:CTC",IF(BL20&lt;&gt;"","Override CFOD",IF(AND(CC20,CP20=1),"CFOD for full-time student - at least "&amp;$CA$4&amp;" and under "&amp;$CB$4&amp;".",IF(AND(CE20,CP20=1),"CFOD for permanently &amp; totally disabled child.",IF(OR(CP20=1,CQ20=1),"CFOD - Credit for other dependent.",IF(AND(CL20,BZ20),"CTC for dependent child under "&amp;CTC_AgeLimit&amp;".",IF(CL20,"Dependent child.",IF(CM20,"Dependent relative.",IF(CX20,"Qualified child for EIC.","Not qualified as a dependent."))))))))))))</f>
        <v/>
      </c>
      <c r="BO20" s="8043" t="n"/>
      <c r="BP20" s="8043" t="n"/>
      <c r="BQ20" s="7453">
        <f>AND(BB20&lt;&gt;"",BK20&lt;&gt;"")</f>
        <v/>
      </c>
      <c r="BR20" s="8043" t="n"/>
      <c r="BS20" s="7453">
        <f>TEXT(M20,"000-00-0000")</f>
        <v/>
      </c>
      <c r="BT20" s="7453">
        <f>LEFT(BS20,3)</f>
        <v/>
      </c>
      <c r="BU20" s="1282">
        <f>M20&lt;&gt;"n"</f>
        <v/>
      </c>
      <c r="BV20" s="1282">
        <f>LEFT(M20,6)="001-01"</f>
        <v/>
      </c>
      <c r="BW20" s="7453">
        <f>AND(M20&lt;&gt;"",BU20)</f>
        <v/>
      </c>
      <c r="BX20" s="3615">
        <f>AND(File_Marr_Joint&lt;&gt;"",OR(S20="spouse",S20="wife",S20="husband"))</f>
        <v/>
      </c>
      <c r="BY20" s="1282">
        <f>AND(AK20="",OR(Z20&lt;&gt;"",AC20&lt;&gt;""))</f>
        <v/>
      </c>
      <c r="BZ20" s="5960">
        <f>AND(NOT(BY20),AQ20&lt;BZ$4)</f>
        <v/>
      </c>
      <c r="CA20" s="5957">
        <f>AND(CD20,AQ20&lt;CA$4)</f>
        <v/>
      </c>
      <c r="CB20" s="5957">
        <f>AND(AQ20&lt;&gt;"",AQ20&lt;CB$4)</f>
        <v/>
      </c>
      <c r="CC20" s="5957">
        <f>AF20&lt;&gt;""</f>
        <v/>
      </c>
      <c r="CD20" s="5957">
        <f>IF(AK20=0,TRUE,IF(OR(ISERROR(YourBirthDate),ISERROR(AK20)),TRUE,IF(AND(File_Marr_Joint&lt;&gt;"",ISERROR(SpouseBirthDate)),TRUE,IF(File_Marr_Joint&lt;&gt;"",AND(AK20&gt;YourBirthDate,AK20&gt;SpouseBirthDate),AK20&gt;YourBirthDate))))</f>
        <v/>
      </c>
      <c r="CE20" s="5957">
        <f>AI20&lt;&gt;""</f>
        <v/>
      </c>
      <c r="CF20" s="5957">
        <f>AV20&lt;&gt;""</f>
        <v/>
      </c>
      <c r="CG20" s="6156">
        <f>(Z20&lt;&gt;"")</f>
        <v/>
      </c>
      <c r="CH20" s="5960">
        <f>AS20&lt;&gt;""</f>
        <v/>
      </c>
      <c r="CI20" s="5960">
        <f>AY20&lt;&gt;""</f>
        <v/>
      </c>
      <c r="CJ20" s="8407">
        <f>BE20&lt;&gt;""</f>
        <v/>
      </c>
      <c r="CK20" s="6151">
        <f>BH20&lt;&gt;""</f>
        <v/>
      </c>
      <c r="CL20" s="5979">
        <f>AND(OR(AND(CA20,CD20),AND(CC20,NOT(CA20),CB20,CD20),CE20),CF20,CG20,CH20)</f>
        <v/>
      </c>
      <c r="CM20" s="5983">
        <f>AND(NOT(BX20),NOT(CL20),CJ20,CK20,CH20)</f>
        <v/>
      </c>
      <c r="CN20" s="7453" t="n"/>
      <c r="CO20" s="7453">
        <f>IF(BA20&lt;&gt;"",0,IF(BC20&lt;&gt;"",1,IF(AND(CL20,BU20,CI20,BZ20),1,0)))</f>
        <v/>
      </c>
      <c r="CP20" s="7453">
        <f>IF(AND(CL20,BU20,CI20,NOT(BZ20)),1,0)</f>
        <v/>
      </c>
      <c r="CQ20" s="7453">
        <f>IF(BJ20&lt;&gt;"",0,IF(BL20&lt;&gt;"",1,IF(AND(CM20,BU20,CI20),1,0)))</f>
        <v/>
      </c>
      <c r="CR20" s="7453">
        <f>IF(OR(CL20,CM20),MAX(0,1-SUM(CO20:CQ20)),0)</f>
        <v/>
      </c>
      <c r="CU20" s="1282">
        <f>AND(Z20&lt;&gt;"",AC20&lt;&gt;"")</f>
        <v/>
      </c>
      <c r="CV20" s="1282">
        <f>AND(OR(CA20,AND(CB20,CC20),CE20),CD20,CU20)</f>
        <v/>
      </c>
      <c r="CX20" s="7453">
        <f>IF(CV20,1,0)</f>
        <v/>
      </c>
    </row>
    <row r="21" ht="18" customHeight="1" s="7635">
      <c r="A21" s="11074" t="n">
        <v>13</v>
      </c>
      <c r="B21" s="1273" t="n"/>
      <c r="C21" s="1273" t="n"/>
      <c r="D21" s="1273" t="n"/>
      <c r="E21" s="7489" t="n"/>
      <c r="F21" s="8007" t="n"/>
      <c r="G21" s="8007" t="n"/>
      <c r="H21" s="8007" t="n"/>
      <c r="I21" s="11914" t="n"/>
      <c r="J21" s="8007" t="n"/>
      <c r="K21" s="8007" t="n"/>
      <c r="L21" s="8008" t="n"/>
      <c r="M21" s="11915">
        <f>IF(OR(E21&lt;&gt;"",I21&lt;&gt;"",S21&lt;&gt;"",AS21&lt;&gt;"",AV21&lt;&gt;"",Z21&lt;&gt;"",AC21&lt;&gt;"",AF21&lt;&gt;"",AI21&lt;&gt;"",AK21&lt;&gt;""),"001-01-00"&amp;A21,"")</f>
        <v/>
      </c>
      <c r="N21" s="8007" t="n"/>
      <c r="O21" s="8007" t="n"/>
      <c r="P21" s="8007" t="n"/>
      <c r="Q21" s="8007" t="n"/>
      <c r="R21" s="8008" t="n"/>
      <c r="S21" s="276" t="n"/>
      <c r="T21" s="8007" t="n"/>
      <c r="U21" s="8007" t="n"/>
      <c r="V21" s="8007" t="n"/>
      <c r="W21" s="8007" t="n"/>
      <c r="X21" s="8008" t="n"/>
      <c r="Y21" s="1034" t="n"/>
      <c r="Z21" s="276" t="n"/>
      <c r="AA21" s="1035" t="n"/>
      <c r="AB21" s="1034" t="n"/>
      <c r="AC21" s="276" t="n"/>
      <c r="AD21" s="1036" t="n"/>
      <c r="AE21" s="1034" t="n"/>
      <c r="AF21" s="276" t="n"/>
      <c r="AG21" s="1035" t="n"/>
      <c r="AH21" s="1034" t="n"/>
      <c r="AI21" s="276" t="n"/>
      <c r="AJ21" s="1036" t="n"/>
      <c r="AK21" s="11916" t="n"/>
      <c r="AL21" s="8007" t="n"/>
      <c r="AM21" s="8007" t="n"/>
      <c r="AN21" s="8007" t="n"/>
      <c r="AO21" s="8007" t="n"/>
      <c r="AP21" s="8008" t="n"/>
      <c r="AQ21" s="11917">
        <f>IF(AK21="","",TaxYear-YEAR(AK21))</f>
        <v/>
      </c>
      <c r="AR21" s="6161" t="n"/>
      <c r="AS21" s="276" t="n"/>
      <c r="AT21" s="1036" t="n"/>
      <c r="AU21" s="1034" t="n"/>
      <c r="AV21" s="276" t="n"/>
      <c r="AW21" s="1036" t="n"/>
      <c r="AX21" s="1034" t="n"/>
      <c r="AY21" s="276" t="n"/>
      <c r="AZ21" s="1036" t="n"/>
      <c r="BA21" s="6183" t="n"/>
      <c r="BB21" s="1846">
        <f>IF(CO21=1,"X","")</f>
        <v/>
      </c>
      <c r="BC21" s="6184" t="n"/>
      <c r="BD21" s="11918" t="n"/>
      <c r="BE21" s="6149" t="n"/>
      <c r="BF21" s="11917" t="n"/>
      <c r="BG21" s="1034" t="n"/>
      <c r="BH21" s="276" t="n"/>
      <c r="BI21" s="1036" t="n"/>
      <c r="BJ21" s="6183" t="n"/>
      <c r="BK21" s="1846">
        <f>IF(OR(CP21=1,CQ21=1),"X","")</f>
        <v/>
      </c>
      <c r="BL21" s="6189" t="n"/>
      <c r="BM21" s="1277" t="n"/>
      <c r="BN21" s="11418">
        <f>IF(M21="","",IF(BQ21,"Error - two credit boxes checked.",IF(BX21,"Error - You can't claim spouse if filing jointly.",IF(BC21&lt;&gt;"","Override:CTC",IF(BL21&lt;&gt;"","Override CFOD",IF(AND(CC21,CP21=1),"CFOD for full-time student - at least "&amp;$CA$4&amp;" and under "&amp;$CB$4&amp;".",IF(AND(CE21,CP21=1),"CFOD for permanently &amp; totally disabled child.",IF(OR(CP21=1,CQ21=1),"CFOD - Credit for other dependent.",IF(AND(CL21,BZ21),"CTC for dependent child under "&amp;CTC_AgeLimit&amp;".",IF(CL21,"Dependent child.",IF(CM21,"Dependent relative.",IF(CX21,"Qualified child for EIC.","Not qualified as a dependent."))))))))))))</f>
        <v/>
      </c>
      <c r="BO21" s="8043" t="n"/>
      <c r="BP21" s="8043" t="n"/>
      <c r="BQ21" s="7453">
        <f>AND(BB21&lt;&gt;"",BK21&lt;&gt;"")</f>
        <v/>
      </c>
      <c r="BR21" s="8043" t="n"/>
      <c r="BS21" s="7453">
        <f>TEXT(M21,"000-00-0000")</f>
        <v/>
      </c>
      <c r="BT21" s="7453">
        <f>LEFT(BS21,3)</f>
        <v/>
      </c>
      <c r="BU21" s="1282">
        <f>M21&lt;&gt;"n"</f>
        <v/>
      </c>
      <c r="BV21" s="1282">
        <f>LEFT(M21,6)="001-01"</f>
        <v/>
      </c>
      <c r="BW21" s="7453">
        <f>AND(M21&lt;&gt;"",BU21)</f>
        <v/>
      </c>
      <c r="BX21" s="3615">
        <f>AND(File_Marr_Joint&lt;&gt;"",OR(S21="spouse",S21="wife",S21="husband"))</f>
        <v/>
      </c>
      <c r="BY21" s="1282">
        <f>AND(AK21="",OR(Z21&lt;&gt;"",AC21&lt;&gt;""))</f>
        <v/>
      </c>
      <c r="BZ21" s="5960">
        <f>AND(NOT(BY21),AQ21&lt;BZ$4)</f>
        <v/>
      </c>
      <c r="CA21" s="5957">
        <f>AND(CD21,AQ21&lt;CA$4)</f>
        <v/>
      </c>
      <c r="CB21" s="5957">
        <f>AND(AQ21&lt;&gt;"",AQ21&lt;CB$4)</f>
        <v/>
      </c>
      <c r="CC21" s="5957">
        <f>AF21&lt;&gt;""</f>
        <v/>
      </c>
      <c r="CD21" s="5957">
        <f>IF(AK21=0,TRUE,IF(OR(ISERROR(YourBirthDate),ISERROR(AK21)),TRUE,IF(AND(File_Marr_Joint&lt;&gt;"",ISERROR(SpouseBirthDate)),TRUE,IF(File_Marr_Joint&lt;&gt;"",AND(AK21&gt;YourBirthDate,AK21&gt;SpouseBirthDate),AK21&gt;YourBirthDate))))</f>
        <v/>
      </c>
      <c r="CE21" s="5957">
        <f>AI21&lt;&gt;""</f>
        <v/>
      </c>
      <c r="CF21" s="5957">
        <f>AV21&lt;&gt;""</f>
        <v/>
      </c>
      <c r="CG21" s="6156">
        <f>(Z21&lt;&gt;"")</f>
        <v/>
      </c>
      <c r="CH21" s="5960">
        <f>AS21&lt;&gt;""</f>
        <v/>
      </c>
      <c r="CI21" s="5960">
        <f>AY21&lt;&gt;""</f>
        <v/>
      </c>
      <c r="CJ21" s="8407">
        <f>BE21&lt;&gt;""</f>
        <v/>
      </c>
      <c r="CK21" s="6151">
        <f>BH21&lt;&gt;""</f>
        <v/>
      </c>
      <c r="CL21" s="5979">
        <f>AND(OR(AND(CA21,CD21),AND(CC21,NOT(CA21),CB21,CD21),CE21),CF21,CG21,CH21)</f>
        <v/>
      </c>
      <c r="CM21" s="5983">
        <f>AND(NOT(BX21),NOT(CL21),CJ21,CK21,CH21)</f>
        <v/>
      </c>
      <c r="CN21" s="7453" t="n"/>
      <c r="CO21" s="7453">
        <f>IF(BA21&lt;&gt;"",0,IF(BC21&lt;&gt;"",1,IF(AND(CL21,BU21,CI21,BZ21),1,0)))</f>
        <v/>
      </c>
      <c r="CP21" s="7453">
        <f>IF(AND(CL21,BU21,CI21,NOT(BZ21)),1,0)</f>
        <v/>
      </c>
      <c r="CQ21" s="7453">
        <f>IF(BJ21&lt;&gt;"",0,IF(BL21&lt;&gt;"",1,IF(AND(CM21,BU21,CI21),1,0)))</f>
        <v/>
      </c>
      <c r="CR21" s="7453">
        <f>IF(OR(CL21,CM21),MAX(0,1-SUM(CO21:CQ21)),0)</f>
        <v/>
      </c>
      <c r="CU21" s="1282">
        <f>AND(Z21&lt;&gt;"",AC21&lt;&gt;"")</f>
        <v/>
      </c>
      <c r="CV21" s="1282">
        <f>AND(OR(CA21,AND(CB21,CC21),CE21),CD21,CU21)</f>
        <v/>
      </c>
      <c r="CX21" s="7453">
        <f>IF(CV21,1,0)</f>
        <v/>
      </c>
    </row>
    <row r="22" ht="18" customHeight="1" s="7635">
      <c r="A22" s="11074" t="n">
        <v>14</v>
      </c>
      <c r="B22" s="1273" t="n"/>
      <c r="C22" s="1273" t="n"/>
      <c r="D22" s="1273" t="n"/>
      <c r="E22" s="7489" t="n"/>
      <c r="F22" s="8007" t="n"/>
      <c r="G22" s="8007" t="n"/>
      <c r="H22" s="8007" t="n"/>
      <c r="I22" s="11914" t="n"/>
      <c r="J22" s="8007" t="n"/>
      <c r="K22" s="8007" t="n"/>
      <c r="L22" s="8008" t="n"/>
      <c r="M22" s="11915">
        <f>IF(OR(E22&lt;&gt;"",I22&lt;&gt;"",S22&lt;&gt;"",AS22&lt;&gt;"",AV22&lt;&gt;"",Z22&lt;&gt;"",AC22&lt;&gt;"",AF22&lt;&gt;"",AI22&lt;&gt;"",AK22&lt;&gt;""),"001-01-00"&amp;A22,"")</f>
        <v/>
      </c>
      <c r="N22" s="8007" t="n"/>
      <c r="O22" s="8007" t="n"/>
      <c r="P22" s="8007" t="n"/>
      <c r="Q22" s="8007" t="n"/>
      <c r="R22" s="8008" t="n"/>
      <c r="S22" s="276" t="n"/>
      <c r="T22" s="8007" t="n"/>
      <c r="U22" s="8007" t="n"/>
      <c r="V22" s="8007" t="n"/>
      <c r="W22" s="8007" t="n"/>
      <c r="X22" s="8008" t="n"/>
      <c r="Y22" s="1034" t="n"/>
      <c r="Z22" s="276" t="n"/>
      <c r="AA22" s="1035" t="n"/>
      <c r="AB22" s="1034" t="n"/>
      <c r="AC22" s="276" t="n"/>
      <c r="AD22" s="1036" t="n"/>
      <c r="AE22" s="1034" t="n"/>
      <c r="AF22" s="276" t="n"/>
      <c r="AG22" s="1035" t="n"/>
      <c r="AH22" s="1034" t="n"/>
      <c r="AI22" s="276" t="n"/>
      <c r="AJ22" s="1036" t="n"/>
      <c r="AK22" s="11916" t="n"/>
      <c r="AL22" s="8007" t="n"/>
      <c r="AM22" s="8007" t="n"/>
      <c r="AN22" s="8007" t="n"/>
      <c r="AO22" s="8007" t="n"/>
      <c r="AP22" s="8008" t="n"/>
      <c r="AQ22" s="11917">
        <f>IF(AK22="","",TaxYear-YEAR(AK22))</f>
        <v/>
      </c>
      <c r="AR22" s="6161" t="n"/>
      <c r="AS22" s="276" t="n"/>
      <c r="AT22" s="1036" t="n"/>
      <c r="AU22" s="1034" t="n"/>
      <c r="AV22" s="276" t="n"/>
      <c r="AW22" s="1036" t="n"/>
      <c r="AX22" s="1034" t="n"/>
      <c r="AY22" s="276" t="n"/>
      <c r="AZ22" s="1036" t="n"/>
      <c r="BA22" s="6183" t="n"/>
      <c r="BB22" s="1846">
        <f>IF(CO22=1,"X","")</f>
        <v/>
      </c>
      <c r="BC22" s="6184" t="n"/>
      <c r="BD22" s="11918" t="n"/>
      <c r="BE22" s="6149" t="n"/>
      <c r="BF22" s="11917" t="n"/>
      <c r="BG22" s="1034" t="n"/>
      <c r="BH22" s="276" t="n"/>
      <c r="BI22" s="1036" t="n"/>
      <c r="BJ22" s="6183" t="n"/>
      <c r="BK22" s="1846">
        <f>IF(OR(CP22=1,CQ22=1),"X","")</f>
        <v/>
      </c>
      <c r="BL22" s="6189" t="n"/>
      <c r="BM22" s="1277" t="n"/>
      <c r="BN22" s="11418">
        <f>IF(M22="","",IF(BQ22,"Error - two credit boxes checked.",IF(BX22,"Error - You can't claim spouse if filing jointly.",IF(BC22&lt;&gt;"","Override:CTC",IF(BL22&lt;&gt;"","Override CFOD",IF(AND(CC22,CP22=1),"CFOD for full-time student - at least "&amp;$CA$4&amp;" and under "&amp;$CB$4&amp;".",IF(AND(CE22,CP22=1),"CFOD for permanently &amp; totally disabled child.",IF(OR(CP22=1,CQ22=1),"CFOD - Credit for other dependent.",IF(AND(CL22,BZ22),"CTC for dependent child under "&amp;CTC_AgeLimit&amp;".",IF(CL22,"Dependent child.",IF(CM22,"Dependent relative.",IF(CX22,"Qualified child for EIC.","Not qualified as a dependent."))))))))))))</f>
        <v/>
      </c>
      <c r="BO22" s="8043" t="n"/>
      <c r="BP22" s="8043" t="n"/>
      <c r="BQ22" s="7453">
        <f>AND(BB22&lt;&gt;"",BK22&lt;&gt;"")</f>
        <v/>
      </c>
      <c r="BR22" s="8043" t="n"/>
      <c r="BS22" s="7453">
        <f>TEXT(M22,"000-00-0000")</f>
        <v/>
      </c>
      <c r="BT22" s="7453">
        <f>LEFT(BS22,3)</f>
        <v/>
      </c>
      <c r="BU22" s="1282">
        <f>M22&lt;&gt;"n"</f>
        <v/>
      </c>
      <c r="BV22" s="1282">
        <f>LEFT(M22,6)="001-01"</f>
        <v/>
      </c>
      <c r="BW22" s="7453">
        <f>AND(M22&lt;&gt;"",BU22)</f>
        <v/>
      </c>
      <c r="BX22" s="3615">
        <f>AND(File_Marr_Joint&lt;&gt;"",OR(S22="spouse",S22="wife",S22="husband"))</f>
        <v/>
      </c>
      <c r="BY22" s="1282">
        <f>AND(AK22="",OR(Z22&lt;&gt;"",AC22&lt;&gt;""))</f>
        <v/>
      </c>
      <c r="BZ22" s="5960">
        <f>AND(NOT(BY22),AQ22&lt;BZ$4)</f>
        <v/>
      </c>
      <c r="CA22" s="5957">
        <f>AND(CD22,AQ22&lt;CA$4)</f>
        <v/>
      </c>
      <c r="CB22" s="5957">
        <f>AND(AQ22&lt;&gt;"",AQ22&lt;CB$4)</f>
        <v/>
      </c>
      <c r="CC22" s="5957">
        <f>AF22&lt;&gt;""</f>
        <v/>
      </c>
      <c r="CD22" s="5957">
        <f>IF(AK22=0,TRUE,IF(OR(ISERROR(YourBirthDate),ISERROR(AK22)),TRUE,IF(AND(File_Marr_Joint&lt;&gt;"",ISERROR(SpouseBirthDate)),TRUE,IF(File_Marr_Joint&lt;&gt;"",AND(AK22&gt;YourBirthDate,AK22&gt;SpouseBirthDate),AK22&gt;YourBirthDate))))</f>
        <v/>
      </c>
      <c r="CE22" s="5957">
        <f>AI22&lt;&gt;""</f>
        <v/>
      </c>
      <c r="CF22" s="5957">
        <f>AV22&lt;&gt;""</f>
        <v/>
      </c>
      <c r="CG22" s="6156">
        <f>(Z22&lt;&gt;"")</f>
        <v/>
      </c>
      <c r="CH22" s="5960">
        <f>AS22&lt;&gt;""</f>
        <v/>
      </c>
      <c r="CI22" s="5960">
        <f>AY22&lt;&gt;""</f>
        <v/>
      </c>
      <c r="CJ22" s="8407">
        <f>BE22&lt;&gt;""</f>
        <v/>
      </c>
      <c r="CK22" s="6151">
        <f>BH22&lt;&gt;""</f>
        <v/>
      </c>
      <c r="CL22" s="5979">
        <f>AND(OR(AND(CA22,CD22),AND(CC22,NOT(CA22),CB22,CD22),CE22),CF22,CG22,CH22)</f>
        <v/>
      </c>
      <c r="CM22" s="5983">
        <f>AND(NOT(BX22),NOT(CL22),CJ22,CK22,CH22)</f>
        <v/>
      </c>
      <c r="CN22" s="7453" t="n"/>
      <c r="CO22" s="7453">
        <f>IF(BA22&lt;&gt;"",0,IF(BC22&lt;&gt;"",1,IF(AND(CL22,BU22,CI22,BZ22),1,0)))</f>
        <v/>
      </c>
      <c r="CP22" s="7453">
        <f>IF(AND(CL22,BU22,CI22,NOT(BZ22)),1,0)</f>
        <v/>
      </c>
      <c r="CQ22" s="7453">
        <f>IF(BJ22&lt;&gt;"",0,IF(BL22&lt;&gt;"",1,IF(AND(CM22,BU22,CI22),1,0)))</f>
        <v/>
      </c>
      <c r="CR22" s="7453">
        <f>IF(OR(CL22,CM22),MAX(0,1-SUM(CO22:CQ22)),0)</f>
        <v/>
      </c>
      <c r="CU22" s="1282">
        <f>AND(Z22&lt;&gt;"",AC22&lt;&gt;"")</f>
        <v/>
      </c>
      <c r="CV22" s="1282">
        <f>AND(OR(CA22,AND(CB22,CC22),CE22),CD22,CU22)</f>
        <v/>
      </c>
      <c r="CX22" s="7453">
        <f>IF(CV22,1,0)</f>
        <v/>
      </c>
    </row>
    <row r="23" ht="18" customHeight="1" s="7635">
      <c r="A23" s="11074" t="n">
        <v>15</v>
      </c>
      <c r="B23" s="1273" t="n"/>
      <c r="C23" s="1273" t="n"/>
      <c r="D23" s="1273" t="n"/>
      <c r="E23" s="7489" t="n"/>
      <c r="F23" s="8007" t="n"/>
      <c r="G23" s="8007" t="n"/>
      <c r="H23" s="8007" t="n"/>
      <c r="I23" s="11914" t="n"/>
      <c r="J23" s="8007" t="n"/>
      <c r="K23" s="8007" t="n"/>
      <c r="L23" s="8008" t="n"/>
      <c r="M23" s="11915">
        <f>IF(OR(E23&lt;&gt;"",I23&lt;&gt;"",S23&lt;&gt;"",AS23&lt;&gt;"",AV23&lt;&gt;"",Z23&lt;&gt;"",AC23&lt;&gt;"",AF23&lt;&gt;"",AI23&lt;&gt;"",AK23&lt;&gt;""),"001-01-00"&amp;A23,"")</f>
        <v/>
      </c>
      <c r="N23" s="8007" t="n"/>
      <c r="O23" s="8007" t="n"/>
      <c r="P23" s="8007" t="n"/>
      <c r="Q23" s="8007" t="n"/>
      <c r="R23" s="8008" t="n"/>
      <c r="S23" s="276" t="n"/>
      <c r="T23" s="8007" t="n"/>
      <c r="U23" s="8007" t="n"/>
      <c r="V23" s="8007" t="n"/>
      <c r="W23" s="8007" t="n"/>
      <c r="X23" s="8008" t="n"/>
      <c r="Y23" s="1034" t="n"/>
      <c r="Z23" s="276" t="n"/>
      <c r="AA23" s="1035" t="n"/>
      <c r="AB23" s="1034" t="n"/>
      <c r="AC23" s="276" t="n"/>
      <c r="AD23" s="1036" t="n"/>
      <c r="AE23" s="1034" t="n"/>
      <c r="AF23" s="276" t="n"/>
      <c r="AG23" s="1035" t="n"/>
      <c r="AH23" s="1034" t="n"/>
      <c r="AI23" s="276" t="n"/>
      <c r="AJ23" s="1036" t="n"/>
      <c r="AK23" s="11916" t="n"/>
      <c r="AL23" s="8007" t="n"/>
      <c r="AM23" s="8007" t="n"/>
      <c r="AN23" s="8007" t="n"/>
      <c r="AO23" s="8007" t="n"/>
      <c r="AP23" s="8008" t="n"/>
      <c r="AQ23" s="11917">
        <f>IF(AK23="","",TaxYear-YEAR(AK23))</f>
        <v/>
      </c>
      <c r="AR23" s="6161" t="n"/>
      <c r="AS23" s="276" t="n"/>
      <c r="AT23" s="1036" t="n"/>
      <c r="AU23" s="1034" t="n"/>
      <c r="AV23" s="276" t="n"/>
      <c r="AW23" s="1036" t="n"/>
      <c r="AX23" s="1034" t="n"/>
      <c r="AY23" s="276" t="n"/>
      <c r="AZ23" s="1036" t="n"/>
      <c r="BA23" s="6183" t="n"/>
      <c r="BB23" s="1846">
        <f>IF(CO23=1,"X","")</f>
        <v/>
      </c>
      <c r="BC23" s="6184" t="n"/>
      <c r="BD23" s="11918" t="n"/>
      <c r="BE23" s="6149" t="n"/>
      <c r="BF23" s="11917" t="n"/>
      <c r="BG23" s="1034" t="n"/>
      <c r="BH23" s="276" t="n"/>
      <c r="BI23" s="1036" t="n"/>
      <c r="BJ23" s="6183" t="n"/>
      <c r="BK23" s="1846">
        <f>IF(OR(CP23=1,CQ23=1),"X","")</f>
        <v/>
      </c>
      <c r="BL23" s="6189" t="n"/>
      <c r="BM23" s="1277" t="n"/>
      <c r="BN23" s="11418">
        <f>IF(M23="","",IF(BQ23,"Error - two credit boxes checked.",IF(BX23,"Error - You can't claim spouse if filing jointly.",IF(BC23&lt;&gt;"","Override:CTC",IF(BL23&lt;&gt;"","Override CFOD",IF(AND(CC23,CP23=1),"CFOD for full-time student - at least "&amp;$CA$4&amp;" and under "&amp;$CB$4&amp;".",IF(AND(CE23,CP23=1),"CFOD for permanently &amp; totally disabled child.",IF(OR(CP23=1,CQ23=1),"CFOD - Credit for other dependent.",IF(AND(CL23,BZ23),"CTC for dependent child under "&amp;CTC_AgeLimit&amp;".",IF(CL23,"Dependent child.",IF(CM23,"Dependent relative.",IF(CX23,"Qualified child for EIC.","Not qualified as a dependent."))))))))))))</f>
        <v/>
      </c>
      <c r="BO23" s="8043" t="n"/>
      <c r="BP23" s="8043" t="n"/>
      <c r="BQ23" s="7453">
        <f>AND(BB23&lt;&gt;"",BK23&lt;&gt;"")</f>
        <v/>
      </c>
      <c r="BR23" s="8043" t="n"/>
      <c r="BS23" s="7453">
        <f>TEXT(M23,"000-00-0000")</f>
        <v/>
      </c>
      <c r="BT23" s="7453">
        <f>LEFT(BS23,3)</f>
        <v/>
      </c>
      <c r="BU23" s="1282">
        <f>M23&lt;&gt;"n"</f>
        <v/>
      </c>
      <c r="BV23" s="1282">
        <f>LEFT(M23,6)="001-01"</f>
        <v/>
      </c>
      <c r="BW23" s="7453">
        <f>AND(M23&lt;&gt;"",BU23)</f>
        <v/>
      </c>
      <c r="BX23" s="3615">
        <f>AND(File_Marr_Joint&lt;&gt;"",OR(S23="spouse",S23="wife",S23="husband"))</f>
        <v/>
      </c>
      <c r="BY23" s="1282">
        <f>AND(AK23="",OR(Z23&lt;&gt;"",AC23&lt;&gt;""))</f>
        <v/>
      </c>
      <c r="BZ23" s="5960">
        <f>AND(NOT(BY23),AQ23&lt;BZ$4)</f>
        <v/>
      </c>
      <c r="CA23" s="5957">
        <f>AND(CD23,AQ23&lt;CA$4)</f>
        <v/>
      </c>
      <c r="CB23" s="5957">
        <f>AND(AQ23&lt;&gt;"",AQ23&lt;CB$4)</f>
        <v/>
      </c>
      <c r="CC23" s="5957">
        <f>AF23&lt;&gt;""</f>
        <v/>
      </c>
      <c r="CD23" s="5957">
        <f>IF(AK23=0,TRUE,IF(OR(ISERROR(YourBirthDate),ISERROR(AK23)),TRUE,IF(AND(File_Marr_Joint&lt;&gt;"",ISERROR(SpouseBirthDate)),TRUE,IF(File_Marr_Joint&lt;&gt;"",AND(AK23&gt;YourBirthDate,AK23&gt;SpouseBirthDate),AK23&gt;YourBirthDate))))</f>
        <v/>
      </c>
      <c r="CE23" s="5957">
        <f>AI23&lt;&gt;""</f>
        <v/>
      </c>
      <c r="CF23" s="5957">
        <f>AV23&lt;&gt;""</f>
        <v/>
      </c>
      <c r="CG23" s="6156">
        <f>(Z23&lt;&gt;"")</f>
        <v/>
      </c>
      <c r="CH23" s="5960">
        <f>AS23&lt;&gt;""</f>
        <v/>
      </c>
      <c r="CI23" s="5960">
        <f>AY23&lt;&gt;""</f>
        <v/>
      </c>
      <c r="CJ23" s="8407">
        <f>BE23&lt;&gt;""</f>
        <v/>
      </c>
      <c r="CK23" s="6151">
        <f>BH23&lt;&gt;""</f>
        <v/>
      </c>
      <c r="CL23" s="5979">
        <f>AND(OR(AND(CA23,CD23),AND(CC23,NOT(CA23),CB23,CD23),CE23),CF23,CG23,CH23)</f>
        <v/>
      </c>
      <c r="CM23" s="5983">
        <f>AND(NOT(BX23),NOT(CL23),CJ23,CK23,CH23)</f>
        <v/>
      </c>
      <c r="CN23" s="7453" t="n"/>
      <c r="CO23" s="7453">
        <f>IF(BA23&lt;&gt;"",0,IF(BC23&lt;&gt;"",1,IF(AND(CL23,BU23,CI23,BZ23),1,0)))</f>
        <v/>
      </c>
      <c r="CP23" s="7453">
        <f>IF(AND(CL23,BU23,CI23,NOT(BZ23)),1,0)</f>
        <v/>
      </c>
      <c r="CQ23" s="7453">
        <f>IF(BJ23&lt;&gt;"",0,IF(BL23&lt;&gt;"",1,IF(AND(CM23,BU23,CI23),1,0)))</f>
        <v/>
      </c>
      <c r="CR23" s="7453">
        <f>IF(OR(CL23,CM23),MAX(0,1-SUM(CO23:CQ23)),0)</f>
        <v/>
      </c>
      <c r="CU23" s="1282">
        <f>AND(Z23&lt;&gt;"",AC23&lt;&gt;"")</f>
        <v/>
      </c>
      <c r="CV23" s="1282">
        <f>AND(OR(CA23,AND(CB23,CC23),CE23),CD23,CU23)</f>
        <v/>
      </c>
      <c r="CX23" s="7453">
        <f>IF(CV23,1,0)</f>
        <v/>
      </c>
    </row>
    <row r="24" ht="18" customHeight="1" s="7635">
      <c r="A24" s="11074" t="n">
        <v>16</v>
      </c>
      <c r="B24" s="1273" t="n"/>
      <c r="C24" s="1273" t="n"/>
      <c r="D24" s="1273" t="n"/>
      <c r="E24" s="7489" t="n"/>
      <c r="F24" s="8007" t="n"/>
      <c r="G24" s="8007" t="n"/>
      <c r="H24" s="8007" t="n"/>
      <c r="I24" s="11914" t="n"/>
      <c r="J24" s="8007" t="n"/>
      <c r="K24" s="8007" t="n"/>
      <c r="L24" s="8008" t="n"/>
      <c r="M24" s="11915">
        <f>IF(OR(E24&lt;&gt;"",I24&lt;&gt;"",S24&lt;&gt;"",AS24&lt;&gt;"",AV24&lt;&gt;"",Z24&lt;&gt;"",AC24&lt;&gt;"",AF24&lt;&gt;"",AI24&lt;&gt;"",AK24&lt;&gt;""),"001-01-00"&amp;A24,"")</f>
        <v/>
      </c>
      <c r="N24" s="8007" t="n"/>
      <c r="O24" s="8007" t="n"/>
      <c r="P24" s="8007" t="n"/>
      <c r="Q24" s="8007" t="n"/>
      <c r="R24" s="8008" t="n"/>
      <c r="S24" s="276" t="n"/>
      <c r="T24" s="8007" t="n"/>
      <c r="U24" s="8007" t="n"/>
      <c r="V24" s="8007" t="n"/>
      <c r="W24" s="8007" t="n"/>
      <c r="X24" s="8008" t="n"/>
      <c r="Y24" s="1034" t="n"/>
      <c r="Z24" s="276" t="n"/>
      <c r="AA24" s="1035" t="n"/>
      <c r="AB24" s="1034" t="n"/>
      <c r="AC24" s="276" t="n"/>
      <c r="AD24" s="1036" t="n"/>
      <c r="AE24" s="1034" t="n"/>
      <c r="AF24" s="276" t="n"/>
      <c r="AG24" s="1035" t="n"/>
      <c r="AH24" s="1034" t="n"/>
      <c r="AI24" s="276" t="n"/>
      <c r="AJ24" s="1036" t="n"/>
      <c r="AK24" s="11916" t="n"/>
      <c r="AL24" s="8007" t="n"/>
      <c r="AM24" s="8007" t="n"/>
      <c r="AN24" s="8007" t="n"/>
      <c r="AO24" s="8007" t="n"/>
      <c r="AP24" s="8008" t="n"/>
      <c r="AQ24" s="11917">
        <f>IF(AK24="","",TaxYear-YEAR(AK24))</f>
        <v/>
      </c>
      <c r="AR24" s="6161" t="n"/>
      <c r="AS24" s="276" t="n"/>
      <c r="AT24" s="1036" t="n"/>
      <c r="AU24" s="1034" t="n"/>
      <c r="AV24" s="276" t="n"/>
      <c r="AW24" s="1036" t="n"/>
      <c r="AX24" s="1034" t="n"/>
      <c r="AY24" s="276" t="n"/>
      <c r="AZ24" s="1036" t="n"/>
      <c r="BA24" s="6183" t="n"/>
      <c r="BB24" s="1846">
        <f>IF(CO24=1,"X","")</f>
        <v/>
      </c>
      <c r="BC24" s="6184" t="n"/>
      <c r="BD24" s="11918" t="n"/>
      <c r="BE24" s="6149" t="n"/>
      <c r="BF24" s="11917" t="n"/>
      <c r="BG24" s="1034" t="n"/>
      <c r="BH24" s="276" t="n"/>
      <c r="BI24" s="1036" t="n"/>
      <c r="BJ24" s="6183" t="n"/>
      <c r="BK24" s="1846">
        <f>IF(OR(CP24=1,CQ24=1),"X","")</f>
        <v/>
      </c>
      <c r="BL24" s="6189" t="n"/>
      <c r="BM24" s="1277" t="n"/>
      <c r="BN24" s="11418">
        <f>IF(M24="","",IF(BQ24,"Error - two credit boxes checked.",IF(BX24,"Error - You can't claim spouse if filing jointly.",IF(BC24&lt;&gt;"","Override:CTC",IF(BL24&lt;&gt;"","Override CFOD",IF(AND(CC24,CP24=1),"CFOD for full-time student - at least "&amp;$CA$4&amp;" and under "&amp;$CB$4&amp;".",IF(AND(CE24,CP24=1),"CFOD for permanently &amp; totally disabled child.",IF(OR(CP24=1,CQ24=1),"CFOD - Credit for other dependent.",IF(AND(CL24,BZ24),"CTC for dependent child under "&amp;CTC_AgeLimit&amp;".",IF(CL24,"Dependent child.",IF(CM24,"Dependent relative.",IF(CX24,"Qualified child for EIC.","Not qualified as a dependent."))))))))))))</f>
        <v/>
      </c>
      <c r="BO24" s="8043" t="n"/>
      <c r="BP24" s="8043" t="n"/>
      <c r="BQ24" s="7453">
        <f>AND(BB24&lt;&gt;"",BK24&lt;&gt;"")</f>
        <v/>
      </c>
      <c r="BR24" s="8043" t="n"/>
      <c r="BS24" s="7453">
        <f>TEXT(M24,"000-00-0000")</f>
        <v/>
      </c>
      <c r="BT24" s="7453">
        <f>LEFT(BS24,3)</f>
        <v/>
      </c>
      <c r="BU24" s="1282">
        <f>M24&lt;&gt;"n"</f>
        <v/>
      </c>
      <c r="BV24" s="1282">
        <f>LEFT(M24,6)="001-01"</f>
        <v/>
      </c>
      <c r="BW24" s="7453">
        <f>AND(M24&lt;&gt;"",BU24)</f>
        <v/>
      </c>
      <c r="BX24" s="3615">
        <f>AND(File_Marr_Joint&lt;&gt;"",OR(S24="spouse",S24="wife",S24="husband"))</f>
        <v/>
      </c>
      <c r="BY24" s="1282">
        <f>AND(AK24="",OR(Z24&lt;&gt;"",AC24&lt;&gt;""))</f>
        <v/>
      </c>
      <c r="BZ24" s="5960">
        <f>AND(NOT(BY24),AQ24&lt;BZ$4)</f>
        <v/>
      </c>
      <c r="CA24" s="5957">
        <f>AND(CD24,AQ24&lt;CA$4)</f>
        <v/>
      </c>
      <c r="CB24" s="5957">
        <f>AND(AQ24&lt;&gt;"",AQ24&lt;CB$4)</f>
        <v/>
      </c>
      <c r="CC24" s="5957">
        <f>AF24&lt;&gt;""</f>
        <v/>
      </c>
      <c r="CD24" s="5957">
        <f>IF(AK24=0,TRUE,IF(OR(ISERROR(YourBirthDate),ISERROR(AK24)),TRUE,IF(AND(File_Marr_Joint&lt;&gt;"",ISERROR(SpouseBirthDate)),TRUE,IF(File_Marr_Joint&lt;&gt;"",AND(AK24&gt;YourBirthDate,AK24&gt;SpouseBirthDate),AK24&gt;YourBirthDate))))</f>
        <v/>
      </c>
      <c r="CE24" s="5957">
        <f>AI24&lt;&gt;""</f>
        <v/>
      </c>
      <c r="CF24" s="5957">
        <f>AV24&lt;&gt;""</f>
        <v/>
      </c>
      <c r="CG24" s="6156">
        <f>(Z24&lt;&gt;"")</f>
        <v/>
      </c>
      <c r="CH24" s="5960">
        <f>AS24&lt;&gt;""</f>
        <v/>
      </c>
      <c r="CI24" s="5960">
        <f>AY24&lt;&gt;""</f>
        <v/>
      </c>
      <c r="CJ24" s="8407">
        <f>BE24&lt;&gt;""</f>
        <v/>
      </c>
      <c r="CK24" s="6151">
        <f>BH24&lt;&gt;""</f>
        <v/>
      </c>
      <c r="CL24" s="5979">
        <f>AND(OR(AND(CA24,CD24),AND(CC24,NOT(CA24),CB24,CD24),CE24),CF24,CG24,CH24)</f>
        <v/>
      </c>
      <c r="CM24" s="5983">
        <f>AND(NOT(BX24),NOT(CL24),CJ24,CK24,CH24)</f>
        <v/>
      </c>
      <c r="CN24" s="7453" t="n"/>
      <c r="CO24" s="7453">
        <f>IF(BA24&lt;&gt;"",0,IF(BC24&lt;&gt;"",1,IF(AND(CL24,BU24,CI24,BZ24),1,0)))</f>
        <v/>
      </c>
      <c r="CP24" s="7453">
        <f>IF(AND(CL24,BU24,CI24,NOT(BZ24)),1,0)</f>
        <v/>
      </c>
      <c r="CQ24" s="7453">
        <f>IF(BJ24&lt;&gt;"",0,IF(BL24&lt;&gt;"",1,IF(AND(CM24,BU24,CI24),1,0)))</f>
        <v/>
      </c>
      <c r="CR24" s="7453">
        <f>IF(OR(CL24,CM24),MAX(0,1-SUM(CO24:CQ24)),0)</f>
        <v/>
      </c>
      <c r="CU24" s="1282">
        <f>AND(Z24&lt;&gt;"",AC24&lt;&gt;"")</f>
        <v/>
      </c>
      <c r="CV24" s="1282">
        <f>AND(OR(CA24,AND(CB24,CC24),CE24),CD24,CU24)</f>
        <v/>
      </c>
      <c r="CX24" s="7453">
        <f>IF(CV24,1,0)</f>
        <v/>
      </c>
    </row>
    <row r="25" ht="18" customHeight="1" s="7635">
      <c r="A25" s="11074" t="n">
        <v>17</v>
      </c>
      <c r="B25" s="1273" t="n"/>
      <c r="C25" s="1273" t="n"/>
      <c r="D25" s="1273" t="n"/>
      <c r="E25" s="7489" t="n"/>
      <c r="F25" s="8007" t="n"/>
      <c r="G25" s="8007" t="n"/>
      <c r="H25" s="8007" t="n"/>
      <c r="I25" s="11914" t="n"/>
      <c r="J25" s="8007" t="n"/>
      <c r="K25" s="8007" t="n"/>
      <c r="L25" s="8008" t="n"/>
      <c r="M25" s="11915">
        <f>IF(OR(E25&lt;&gt;"",I25&lt;&gt;"",S25&lt;&gt;"",AS25&lt;&gt;"",AV25&lt;&gt;"",Z25&lt;&gt;"",AC25&lt;&gt;"",AF25&lt;&gt;"",AI25&lt;&gt;"",AK25&lt;&gt;""),"001-01-00"&amp;A25,"")</f>
        <v/>
      </c>
      <c r="N25" s="8007" t="n"/>
      <c r="O25" s="8007" t="n"/>
      <c r="P25" s="8007" t="n"/>
      <c r="Q25" s="8007" t="n"/>
      <c r="R25" s="8008" t="n"/>
      <c r="S25" s="276" t="n"/>
      <c r="T25" s="8007" t="n"/>
      <c r="U25" s="8007" t="n"/>
      <c r="V25" s="8007" t="n"/>
      <c r="W25" s="8007" t="n"/>
      <c r="X25" s="8008" t="n"/>
      <c r="Y25" s="1034" t="n"/>
      <c r="Z25" s="276" t="n"/>
      <c r="AA25" s="1035" t="n"/>
      <c r="AB25" s="1034" t="n"/>
      <c r="AC25" s="276" t="n"/>
      <c r="AD25" s="1036" t="n"/>
      <c r="AE25" s="1034" t="n"/>
      <c r="AF25" s="276" t="n"/>
      <c r="AG25" s="1035" t="n"/>
      <c r="AH25" s="1034" t="n"/>
      <c r="AI25" s="276" t="n"/>
      <c r="AJ25" s="1036" t="n"/>
      <c r="AK25" s="11916" t="n"/>
      <c r="AL25" s="8007" t="n"/>
      <c r="AM25" s="8007" t="n"/>
      <c r="AN25" s="8007" t="n"/>
      <c r="AO25" s="8007" t="n"/>
      <c r="AP25" s="8008" t="n"/>
      <c r="AQ25" s="11917">
        <f>IF(AK25="","",TaxYear-YEAR(AK25))</f>
        <v/>
      </c>
      <c r="AR25" s="6161" t="n"/>
      <c r="AS25" s="276" t="n"/>
      <c r="AT25" s="1036" t="n"/>
      <c r="AU25" s="1034" t="n"/>
      <c r="AV25" s="276" t="n"/>
      <c r="AW25" s="1036" t="n"/>
      <c r="AX25" s="1034" t="n"/>
      <c r="AY25" s="276" t="n"/>
      <c r="AZ25" s="1036" t="n"/>
      <c r="BA25" s="6183" t="n"/>
      <c r="BB25" s="1846">
        <f>IF(CO25=1,"X","")</f>
        <v/>
      </c>
      <c r="BC25" s="6184" t="n"/>
      <c r="BD25" s="11918" t="n"/>
      <c r="BE25" s="6149" t="n"/>
      <c r="BF25" s="11917" t="n"/>
      <c r="BG25" s="1034" t="n"/>
      <c r="BH25" s="276" t="n"/>
      <c r="BI25" s="1036" t="n"/>
      <c r="BJ25" s="6183" t="n"/>
      <c r="BK25" s="1846">
        <f>IF(OR(CP25=1,CQ25=1),"X","")</f>
        <v/>
      </c>
      <c r="BL25" s="6189" t="n"/>
      <c r="BM25" s="1277" t="n"/>
      <c r="BN25" s="11418">
        <f>IF(M25="","",IF(BQ25,"Error - two credit boxes checked.",IF(BX25,"Error - You can't claim spouse if filing jointly.",IF(BC25&lt;&gt;"","Override:CTC",IF(BL25&lt;&gt;"","Override CFOD",IF(AND(CC25,CP25=1),"CFOD for full-time student - at least "&amp;$CA$4&amp;" and under "&amp;$CB$4&amp;".",IF(AND(CE25,CP25=1),"CFOD for permanently &amp; totally disabled child.",IF(OR(CP25=1,CQ25=1),"CFOD - Credit for other dependent.",IF(AND(CL25,BZ25),"CTC for dependent child under "&amp;CTC_AgeLimit&amp;".",IF(CL25,"Dependent child.",IF(CM25,"Dependent relative.",IF(CX25,"Qualified child for EIC.","Not qualified as a dependent."))))))))))))</f>
        <v/>
      </c>
      <c r="BO25" s="8043" t="n"/>
      <c r="BP25" s="8043" t="n"/>
      <c r="BQ25" s="7453">
        <f>AND(BB25&lt;&gt;"",BK25&lt;&gt;"")</f>
        <v/>
      </c>
      <c r="BR25" s="8043" t="n"/>
      <c r="BS25" s="7453">
        <f>TEXT(M25,"000-00-0000")</f>
        <v/>
      </c>
      <c r="BT25" s="7453">
        <f>LEFT(BS25,3)</f>
        <v/>
      </c>
      <c r="BU25" s="1282">
        <f>M25&lt;&gt;"n"</f>
        <v/>
      </c>
      <c r="BV25" s="1282">
        <f>LEFT(M25,6)="001-01"</f>
        <v/>
      </c>
      <c r="BW25" s="7453">
        <f>AND(M25&lt;&gt;"",BU25)</f>
        <v/>
      </c>
      <c r="BX25" s="3615">
        <f>AND(File_Marr_Joint&lt;&gt;"",OR(S25="spouse",S25="wife",S25="husband"))</f>
        <v/>
      </c>
      <c r="BY25" s="1282">
        <f>AND(AK25="",OR(Z25&lt;&gt;"",AC25&lt;&gt;""))</f>
        <v/>
      </c>
      <c r="BZ25" s="5960">
        <f>AND(NOT(BY25),AQ25&lt;BZ$4)</f>
        <v/>
      </c>
      <c r="CA25" s="5957">
        <f>AND(CD25,AQ25&lt;CA$4)</f>
        <v/>
      </c>
      <c r="CB25" s="5957">
        <f>AND(AQ25&lt;&gt;"",AQ25&lt;CB$4)</f>
        <v/>
      </c>
      <c r="CC25" s="5957">
        <f>AF25&lt;&gt;""</f>
        <v/>
      </c>
      <c r="CD25" s="5957">
        <f>IF(AK25=0,TRUE,IF(OR(ISERROR(YourBirthDate),ISERROR(AK25)),TRUE,IF(AND(File_Marr_Joint&lt;&gt;"",ISERROR(SpouseBirthDate)),TRUE,IF(File_Marr_Joint&lt;&gt;"",AND(AK25&gt;YourBirthDate,AK25&gt;SpouseBirthDate),AK25&gt;YourBirthDate))))</f>
        <v/>
      </c>
      <c r="CE25" s="5957">
        <f>AI25&lt;&gt;""</f>
        <v/>
      </c>
      <c r="CF25" s="5957">
        <f>AV25&lt;&gt;""</f>
        <v/>
      </c>
      <c r="CG25" s="6156">
        <f>(Z25&lt;&gt;"")</f>
        <v/>
      </c>
      <c r="CH25" s="5960">
        <f>AS25&lt;&gt;""</f>
        <v/>
      </c>
      <c r="CI25" s="5960">
        <f>AY25&lt;&gt;""</f>
        <v/>
      </c>
      <c r="CJ25" s="8407">
        <f>BE25&lt;&gt;""</f>
        <v/>
      </c>
      <c r="CK25" s="6151">
        <f>BH25&lt;&gt;""</f>
        <v/>
      </c>
      <c r="CL25" s="5979">
        <f>AND(OR(AND(CA25,CD25),AND(CC25,NOT(CA25),CB25,CD25),CE25),CF25,CG25,CH25)</f>
        <v/>
      </c>
      <c r="CM25" s="5983">
        <f>AND(NOT(BX25),NOT(CL25),CJ25,CK25,CH25)</f>
        <v/>
      </c>
      <c r="CN25" s="7453" t="n"/>
      <c r="CO25" s="7453">
        <f>IF(BA25&lt;&gt;"",0,IF(BC25&lt;&gt;"",1,IF(AND(CL25,BU25,CI25,BZ25),1,0)))</f>
        <v/>
      </c>
      <c r="CP25" s="7453">
        <f>IF(AND(CL25,BU25,CI25,NOT(BZ25)),1,0)</f>
        <v/>
      </c>
      <c r="CQ25" s="7453">
        <f>IF(BJ25&lt;&gt;"",0,IF(BL25&lt;&gt;"",1,IF(AND(CM25,BU25,CI25),1,0)))</f>
        <v/>
      </c>
      <c r="CR25" s="7453">
        <f>IF(OR(CL25,CM25),MAX(0,1-SUM(CO25:CQ25)),0)</f>
        <v/>
      </c>
      <c r="CU25" s="1282">
        <f>AND(Z25&lt;&gt;"",AC25&lt;&gt;"")</f>
        <v/>
      </c>
      <c r="CV25" s="1282">
        <f>AND(OR(CA25,AND(CB25,CC25),CE25),CD25,CU25)</f>
        <v/>
      </c>
      <c r="CX25" s="7453">
        <f>IF(CV25,1,0)</f>
        <v/>
      </c>
    </row>
    <row r="26" ht="18" customHeight="1" s="7635">
      <c r="A26" s="11074" t="n">
        <v>18</v>
      </c>
      <c r="B26" s="1273" t="n"/>
      <c r="C26" s="1273" t="n"/>
      <c r="D26" s="1273" t="n"/>
      <c r="E26" s="7489" t="n"/>
      <c r="F26" s="8007" t="n"/>
      <c r="G26" s="8007" t="n"/>
      <c r="H26" s="8007" t="n"/>
      <c r="I26" s="11914" t="n"/>
      <c r="J26" s="8007" t="n"/>
      <c r="K26" s="8007" t="n"/>
      <c r="L26" s="8008" t="n"/>
      <c r="M26" s="11915">
        <f>IF(OR(E26&lt;&gt;"",I26&lt;&gt;"",S26&lt;&gt;"",AS26&lt;&gt;"",AV26&lt;&gt;"",Z26&lt;&gt;"",AC26&lt;&gt;"",AF26&lt;&gt;"",AI26&lt;&gt;"",AK26&lt;&gt;""),"001-01-00"&amp;A26,"")</f>
        <v/>
      </c>
      <c r="N26" s="8007" t="n"/>
      <c r="O26" s="8007" t="n"/>
      <c r="P26" s="8007" t="n"/>
      <c r="Q26" s="8007" t="n"/>
      <c r="R26" s="8008" t="n"/>
      <c r="S26" s="276" t="n"/>
      <c r="T26" s="8007" t="n"/>
      <c r="U26" s="8007" t="n"/>
      <c r="V26" s="8007" t="n"/>
      <c r="W26" s="8007" t="n"/>
      <c r="X26" s="8008" t="n"/>
      <c r="Y26" s="1034" t="n"/>
      <c r="Z26" s="276" t="n"/>
      <c r="AA26" s="1035" t="n"/>
      <c r="AB26" s="1034" t="n"/>
      <c r="AC26" s="276" t="n"/>
      <c r="AD26" s="1036" t="n"/>
      <c r="AE26" s="1034" t="n"/>
      <c r="AF26" s="276" t="n"/>
      <c r="AG26" s="1035" t="n"/>
      <c r="AH26" s="1034" t="n"/>
      <c r="AI26" s="276" t="n"/>
      <c r="AJ26" s="1036" t="n"/>
      <c r="AK26" s="11916" t="n"/>
      <c r="AL26" s="8007" t="n"/>
      <c r="AM26" s="8007" t="n"/>
      <c r="AN26" s="8007" t="n"/>
      <c r="AO26" s="8007" t="n"/>
      <c r="AP26" s="8008" t="n"/>
      <c r="AQ26" s="11917">
        <f>IF(AK26="","",TaxYear-YEAR(AK26))</f>
        <v/>
      </c>
      <c r="AR26" s="6161" t="n"/>
      <c r="AS26" s="276" t="n"/>
      <c r="AT26" s="1036" t="n"/>
      <c r="AU26" s="1034" t="n"/>
      <c r="AV26" s="276" t="n"/>
      <c r="AW26" s="1036" t="n"/>
      <c r="AX26" s="1034" t="n"/>
      <c r="AY26" s="276" t="n"/>
      <c r="AZ26" s="1036" t="n"/>
      <c r="BA26" s="6183" t="n"/>
      <c r="BB26" s="1846">
        <f>IF(CO26=1,"X","")</f>
        <v/>
      </c>
      <c r="BC26" s="6184" t="n"/>
      <c r="BD26" s="11918" t="n"/>
      <c r="BE26" s="6149" t="n"/>
      <c r="BF26" s="11917" t="n"/>
      <c r="BG26" s="1034" t="n"/>
      <c r="BH26" s="276" t="n"/>
      <c r="BI26" s="1036" t="n"/>
      <c r="BJ26" s="6183" t="n"/>
      <c r="BK26" s="1846">
        <f>IF(OR(CP26=1,CQ26=1),"X","")</f>
        <v/>
      </c>
      <c r="BL26" s="6189" t="n"/>
      <c r="BM26" s="1277" t="n"/>
      <c r="BN26" s="11418">
        <f>IF(M26="","",IF(BQ26,"Error - two credit boxes checked.",IF(BX26,"Error - You can't claim spouse if filing jointly.",IF(BC26&lt;&gt;"","Override:CTC",IF(BL26&lt;&gt;"","Override CFOD",IF(AND(CC26,CP26=1),"CFOD for full-time student - at least "&amp;$CA$4&amp;" and under "&amp;$CB$4&amp;".",IF(AND(CE26,CP26=1),"CFOD for permanently &amp; totally disabled child.",IF(OR(CP26=1,CQ26=1),"CFOD - Credit for other dependent.",IF(AND(CL26,BZ26),"CTC for dependent child under "&amp;CTC_AgeLimit&amp;".",IF(CL26,"Dependent child.",IF(CM26,"Dependent relative.",IF(CX26,"Qualified child for EIC.","Not qualified as a dependent."))))))))))))</f>
        <v/>
      </c>
      <c r="BO26" s="8043" t="n"/>
      <c r="BP26" s="8043" t="n"/>
      <c r="BQ26" s="7453">
        <f>AND(BB26&lt;&gt;"",BK26&lt;&gt;"")</f>
        <v/>
      </c>
      <c r="BR26" s="8043" t="n"/>
      <c r="BS26" s="7453">
        <f>TEXT(M26,"000-00-0000")</f>
        <v/>
      </c>
      <c r="BT26" s="7453">
        <f>LEFT(BS26,3)</f>
        <v/>
      </c>
      <c r="BU26" s="1282">
        <f>M26&lt;&gt;"n"</f>
        <v/>
      </c>
      <c r="BV26" s="1282">
        <f>LEFT(M26,6)="001-01"</f>
        <v/>
      </c>
      <c r="BW26" s="7453">
        <f>AND(M26&lt;&gt;"",BU26)</f>
        <v/>
      </c>
      <c r="BX26" s="3615">
        <f>AND(File_Marr_Joint&lt;&gt;"",OR(S26="spouse",S26="wife",S26="husband"))</f>
        <v/>
      </c>
      <c r="BY26" s="1282">
        <f>AND(AK26="",OR(Z26&lt;&gt;"",AC26&lt;&gt;""))</f>
        <v/>
      </c>
      <c r="BZ26" s="5960">
        <f>AND(NOT(BY26),AQ26&lt;BZ$4)</f>
        <v/>
      </c>
      <c r="CA26" s="5957">
        <f>AND(CD26,AQ26&lt;CA$4)</f>
        <v/>
      </c>
      <c r="CB26" s="5957">
        <f>AND(AQ26&lt;&gt;"",AQ26&lt;CB$4)</f>
        <v/>
      </c>
      <c r="CC26" s="5957">
        <f>AF26&lt;&gt;""</f>
        <v/>
      </c>
      <c r="CD26" s="5957">
        <f>IF(AK26=0,TRUE,IF(OR(ISERROR(YourBirthDate),ISERROR(AK26)),TRUE,IF(AND(File_Marr_Joint&lt;&gt;"",ISERROR(SpouseBirthDate)),TRUE,IF(File_Marr_Joint&lt;&gt;"",AND(AK26&gt;YourBirthDate,AK26&gt;SpouseBirthDate),AK26&gt;YourBirthDate))))</f>
        <v/>
      </c>
      <c r="CE26" s="5957">
        <f>AI26&lt;&gt;""</f>
        <v/>
      </c>
      <c r="CF26" s="5957">
        <f>AV26&lt;&gt;""</f>
        <v/>
      </c>
      <c r="CG26" s="6156">
        <f>(Z26&lt;&gt;"")</f>
        <v/>
      </c>
      <c r="CH26" s="5960">
        <f>AS26&lt;&gt;""</f>
        <v/>
      </c>
      <c r="CI26" s="5960">
        <f>AY26&lt;&gt;""</f>
        <v/>
      </c>
      <c r="CJ26" s="8407">
        <f>BE26&lt;&gt;""</f>
        <v/>
      </c>
      <c r="CK26" s="6151">
        <f>BH26&lt;&gt;""</f>
        <v/>
      </c>
      <c r="CL26" s="5979">
        <f>AND(OR(AND(CA26,CD26),AND(CC26,NOT(CA26),CB26,CD26),CE26),CF26,CG26,CH26)</f>
        <v/>
      </c>
      <c r="CM26" s="5983">
        <f>AND(NOT(BX26),NOT(CL26),CJ26,CK26,CH26)</f>
        <v/>
      </c>
      <c r="CN26" s="7453" t="n"/>
      <c r="CO26" s="7453">
        <f>IF(BA26&lt;&gt;"",0,IF(BC26&lt;&gt;"",1,IF(AND(CL26,BU26,CI26,BZ26),1,0)))</f>
        <v/>
      </c>
      <c r="CP26" s="7453">
        <f>IF(AND(CL26,BU26,CI26,NOT(BZ26)),1,0)</f>
        <v/>
      </c>
      <c r="CQ26" s="7453">
        <f>IF(BJ26&lt;&gt;"",0,IF(BL26&lt;&gt;"",1,IF(AND(CM26,BU26,CI26),1,0)))</f>
        <v/>
      </c>
      <c r="CR26" s="7453">
        <f>IF(OR(CL26,CM26),MAX(0,1-SUM(CO26:CQ26)),0)</f>
        <v/>
      </c>
      <c r="CU26" s="1282">
        <f>AND(Z26&lt;&gt;"",AC26&lt;&gt;"")</f>
        <v/>
      </c>
      <c r="CV26" s="1282">
        <f>AND(OR(CA26,AND(CB26,CC26),CE26),CD26,CU26)</f>
        <v/>
      </c>
      <c r="CX26" s="7453">
        <f>IF(CV26,1,0)</f>
        <v/>
      </c>
    </row>
    <row r="27" ht="18" customHeight="1" s="7635">
      <c r="A27" s="11074" t="n">
        <v>19</v>
      </c>
      <c r="B27" s="1273" t="n"/>
      <c r="C27" s="1273" t="n"/>
      <c r="D27" s="1273" t="n"/>
      <c r="E27" s="7489" t="n"/>
      <c r="F27" s="8007" t="n"/>
      <c r="G27" s="8007" t="n"/>
      <c r="H27" s="8007" t="n"/>
      <c r="I27" s="11914" t="n"/>
      <c r="J27" s="8007" t="n"/>
      <c r="K27" s="8007" t="n"/>
      <c r="L27" s="8008" t="n"/>
      <c r="M27" s="11915">
        <f>IF(OR(E27&lt;&gt;"",I27&lt;&gt;"",S27&lt;&gt;"",AS27&lt;&gt;"",AV27&lt;&gt;"",Z27&lt;&gt;"",AC27&lt;&gt;"",AF27&lt;&gt;"",AI27&lt;&gt;"",AK27&lt;&gt;""),"001-01-00"&amp;A27,"")</f>
        <v/>
      </c>
      <c r="N27" s="8007" t="n"/>
      <c r="O27" s="8007" t="n"/>
      <c r="P27" s="8007" t="n"/>
      <c r="Q27" s="8007" t="n"/>
      <c r="R27" s="8008" t="n"/>
      <c r="S27" s="276" t="n"/>
      <c r="T27" s="8007" t="n"/>
      <c r="U27" s="8007" t="n"/>
      <c r="V27" s="8007" t="n"/>
      <c r="W27" s="8007" t="n"/>
      <c r="X27" s="8008" t="n"/>
      <c r="Y27" s="1034" t="n"/>
      <c r="Z27" s="276" t="n"/>
      <c r="AA27" s="1035" t="n"/>
      <c r="AB27" s="1034" t="n"/>
      <c r="AC27" s="276" t="n"/>
      <c r="AD27" s="1036" t="n"/>
      <c r="AE27" s="1034" t="n"/>
      <c r="AF27" s="276" t="n"/>
      <c r="AG27" s="1035" t="n"/>
      <c r="AH27" s="1034" t="n"/>
      <c r="AI27" s="276" t="n"/>
      <c r="AJ27" s="1036" t="n"/>
      <c r="AK27" s="11916" t="n"/>
      <c r="AL27" s="8007" t="n"/>
      <c r="AM27" s="8007" t="n"/>
      <c r="AN27" s="8007" t="n"/>
      <c r="AO27" s="8007" t="n"/>
      <c r="AP27" s="8008" t="n"/>
      <c r="AQ27" s="11917">
        <f>IF(AK27="","",TaxYear-YEAR(AK27))</f>
        <v/>
      </c>
      <c r="AR27" s="6161" t="n"/>
      <c r="AS27" s="276" t="n"/>
      <c r="AT27" s="1036" t="n"/>
      <c r="AU27" s="1034" t="n"/>
      <c r="AV27" s="276" t="n"/>
      <c r="AW27" s="1036" t="n"/>
      <c r="AX27" s="1034" t="n"/>
      <c r="AY27" s="276" t="n"/>
      <c r="AZ27" s="1036" t="n"/>
      <c r="BA27" s="6183" t="n"/>
      <c r="BB27" s="1846">
        <f>IF(CO27=1,"X","")</f>
        <v/>
      </c>
      <c r="BC27" s="6184" t="n"/>
      <c r="BD27" s="11918" t="n"/>
      <c r="BE27" s="6149" t="n"/>
      <c r="BF27" s="11917" t="n"/>
      <c r="BG27" s="1034" t="n"/>
      <c r="BH27" s="276" t="n"/>
      <c r="BI27" s="1036" t="n"/>
      <c r="BJ27" s="6183" t="n"/>
      <c r="BK27" s="1846">
        <f>IF(OR(CP27=1,CQ27=1),"X","")</f>
        <v/>
      </c>
      <c r="BL27" s="6189" t="n"/>
      <c r="BM27" s="1277" t="n"/>
      <c r="BN27" s="11418">
        <f>IF(M27="","",IF(BQ27,"Error - two credit boxes checked.",IF(BX27,"Error - You can't claim spouse if filing jointly.",IF(BC27&lt;&gt;"","Override:CTC",IF(BL27&lt;&gt;"","Override CFOD",IF(AND(CC27,CP27=1),"CFOD for full-time student - at least "&amp;$CA$4&amp;" and under "&amp;$CB$4&amp;".",IF(AND(CE27,CP27=1),"CFOD for permanently &amp; totally disabled child.",IF(OR(CP27=1,CQ27=1),"CFOD - Credit for other dependent.",IF(AND(CL27,BZ27),"CTC for dependent child under "&amp;CTC_AgeLimit&amp;".",IF(CL27,"Dependent child.",IF(CM27,"Dependent relative.",IF(CX27,"Qualified child for EIC.","Not qualified as a dependent."))))))))))))</f>
        <v/>
      </c>
      <c r="BO27" s="8043" t="n"/>
      <c r="BP27" s="8043" t="n"/>
      <c r="BQ27" s="7453">
        <f>AND(BB27&lt;&gt;"",BK27&lt;&gt;"")</f>
        <v/>
      </c>
      <c r="BR27" s="8043" t="n"/>
      <c r="BS27" s="7453">
        <f>TEXT(M27,"000-00-0000")</f>
        <v/>
      </c>
      <c r="BT27" s="7453">
        <f>LEFT(BS27,3)</f>
        <v/>
      </c>
      <c r="BU27" s="1282">
        <f>M27&lt;&gt;"n"</f>
        <v/>
      </c>
      <c r="BV27" s="1282">
        <f>LEFT(M27,6)="001-01"</f>
        <v/>
      </c>
      <c r="BW27" s="7453">
        <f>AND(M27&lt;&gt;"",BU27)</f>
        <v/>
      </c>
      <c r="BX27" s="3615">
        <f>AND(File_Marr_Joint&lt;&gt;"",OR(S27="spouse",S27="wife",S27="husband"))</f>
        <v/>
      </c>
      <c r="BY27" s="1282">
        <f>AND(AK27="",OR(Z27&lt;&gt;"",AC27&lt;&gt;""))</f>
        <v/>
      </c>
      <c r="BZ27" s="5960">
        <f>AND(NOT(BY27),AQ27&lt;BZ$4)</f>
        <v/>
      </c>
      <c r="CA27" s="5957">
        <f>AND(CD27,AQ27&lt;CA$4)</f>
        <v/>
      </c>
      <c r="CB27" s="5957">
        <f>AND(AQ27&lt;&gt;"",AQ27&lt;CB$4)</f>
        <v/>
      </c>
      <c r="CC27" s="5957">
        <f>AF27&lt;&gt;""</f>
        <v/>
      </c>
      <c r="CD27" s="5957">
        <f>IF(AK27=0,TRUE,IF(OR(ISERROR(YourBirthDate),ISERROR(AK27)),TRUE,IF(AND(File_Marr_Joint&lt;&gt;"",ISERROR(SpouseBirthDate)),TRUE,IF(File_Marr_Joint&lt;&gt;"",AND(AK27&gt;YourBirthDate,AK27&gt;SpouseBirthDate),AK27&gt;YourBirthDate))))</f>
        <v/>
      </c>
      <c r="CE27" s="5957">
        <f>AI27&lt;&gt;""</f>
        <v/>
      </c>
      <c r="CF27" s="5957">
        <f>AV27&lt;&gt;""</f>
        <v/>
      </c>
      <c r="CG27" s="6156">
        <f>(Z27&lt;&gt;"")</f>
        <v/>
      </c>
      <c r="CH27" s="5960">
        <f>AS27&lt;&gt;""</f>
        <v/>
      </c>
      <c r="CI27" s="5960">
        <f>AY27&lt;&gt;""</f>
        <v/>
      </c>
      <c r="CJ27" s="8407">
        <f>BE27&lt;&gt;""</f>
        <v/>
      </c>
      <c r="CK27" s="6151">
        <f>BH27&lt;&gt;""</f>
        <v/>
      </c>
      <c r="CL27" s="5979">
        <f>AND(OR(AND(CA27,CD27),AND(CC27,NOT(CA27),CB27,CD27),CE27),CF27,CG27,CH27)</f>
        <v/>
      </c>
      <c r="CM27" s="5983">
        <f>AND(NOT(BX27),NOT(CL27),CJ27,CK27,CH27)</f>
        <v/>
      </c>
      <c r="CN27" s="7453" t="n"/>
      <c r="CO27" s="7453">
        <f>IF(BA27&lt;&gt;"",0,IF(BC27&lt;&gt;"",1,IF(AND(CL27,BU27,CI27,BZ27),1,0)))</f>
        <v/>
      </c>
      <c r="CP27" s="7453">
        <f>IF(AND(CL27,BU27,CI27,NOT(BZ27)),1,0)</f>
        <v/>
      </c>
      <c r="CQ27" s="7453">
        <f>IF(BJ27&lt;&gt;"",0,IF(BL27&lt;&gt;"",1,IF(AND(CM27,BU27,CI27),1,0)))</f>
        <v/>
      </c>
      <c r="CR27" s="7453">
        <f>IF(OR(CL27,CM27),MAX(0,1-SUM(CO27:CQ27)),0)</f>
        <v/>
      </c>
      <c r="CU27" s="1282">
        <f>AND(Z27&lt;&gt;"",AC27&lt;&gt;"")</f>
        <v/>
      </c>
      <c r="CV27" s="1282">
        <f>AND(OR(CA27,AND(CB27,CC27),CE27),CD27,CU27)</f>
        <v/>
      </c>
      <c r="CX27" s="7453">
        <f>IF(CV27,1,0)</f>
        <v/>
      </c>
    </row>
    <row r="28" ht="18" customHeight="1" s="7635">
      <c r="A28" s="11074" t="n">
        <v>20</v>
      </c>
      <c r="B28" s="1273" t="n"/>
      <c r="C28" s="1273" t="n"/>
      <c r="D28" s="1273" t="n"/>
      <c r="E28" s="7489" t="n"/>
      <c r="F28" s="8007" t="n"/>
      <c r="G28" s="8007" t="n"/>
      <c r="H28" s="8007" t="n"/>
      <c r="I28" s="11914" t="n"/>
      <c r="J28" s="8007" t="n"/>
      <c r="K28" s="8007" t="n"/>
      <c r="L28" s="8008" t="n"/>
      <c r="M28" s="11915">
        <f>IF(OR(E28&lt;&gt;"",I28&lt;&gt;"",S28&lt;&gt;"",AS28&lt;&gt;"",AV28&lt;&gt;"",Z28&lt;&gt;"",AC28&lt;&gt;"",AF28&lt;&gt;"",AI28&lt;&gt;"",AK28&lt;&gt;""),"001-01-00"&amp;A28,"")</f>
        <v/>
      </c>
      <c r="N28" s="8007" t="n"/>
      <c r="O28" s="8007" t="n"/>
      <c r="P28" s="8007" t="n"/>
      <c r="Q28" s="8007" t="n"/>
      <c r="R28" s="8008" t="n"/>
      <c r="S28" s="276" t="n"/>
      <c r="T28" s="8007" t="n"/>
      <c r="U28" s="8007" t="n"/>
      <c r="V28" s="8007" t="n"/>
      <c r="W28" s="8007" t="n"/>
      <c r="X28" s="8008" t="n"/>
      <c r="Y28" s="1034" t="n"/>
      <c r="Z28" s="276" t="n"/>
      <c r="AA28" s="1035" t="n"/>
      <c r="AB28" s="1034" t="n"/>
      <c r="AC28" s="276" t="n"/>
      <c r="AD28" s="1036" t="n"/>
      <c r="AE28" s="1034" t="n"/>
      <c r="AF28" s="276" t="n"/>
      <c r="AG28" s="1035" t="n"/>
      <c r="AH28" s="1034" t="n"/>
      <c r="AI28" s="276" t="n"/>
      <c r="AJ28" s="1036" t="n"/>
      <c r="AK28" s="11916" t="n"/>
      <c r="AL28" s="8007" t="n"/>
      <c r="AM28" s="8007" t="n"/>
      <c r="AN28" s="8007" t="n"/>
      <c r="AO28" s="8007" t="n"/>
      <c r="AP28" s="8008" t="n"/>
      <c r="AQ28" s="11917">
        <f>IF(AK28="","",TaxYear-YEAR(AK28))</f>
        <v/>
      </c>
      <c r="AR28" s="6161" t="n"/>
      <c r="AS28" s="276" t="n"/>
      <c r="AT28" s="1036" t="n"/>
      <c r="AU28" s="1034" t="n"/>
      <c r="AV28" s="276" t="n"/>
      <c r="AW28" s="1036" t="n"/>
      <c r="AX28" s="1034" t="n"/>
      <c r="AY28" s="276" t="n"/>
      <c r="AZ28" s="1036" t="n"/>
      <c r="BA28" s="6183" t="n"/>
      <c r="BB28" s="1846">
        <f>IF(CO28=1,"X","")</f>
        <v/>
      </c>
      <c r="BC28" s="6184" t="n"/>
      <c r="BD28" s="11918" t="n"/>
      <c r="BE28" s="6149" t="n"/>
      <c r="BF28" s="11917" t="n"/>
      <c r="BG28" s="1034" t="n"/>
      <c r="BH28" s="276" t="n"/>
      <c r="BI28" s="1036" t="n"/>
      <c r="BJ28" s="6183" t="n"/>
      <c r="BK28" s="1846">
        <f>IF(OR(CP28=1,CQ28=1),"X","")</f>
        <v/>
      </c>
      <c r="BL28" s="6189" t="n"/>
      <c r="BM28" s="1277" t="n"/>
      <c r="BN28" s="11418">
        <f>IF(M28="","",IF(BQ28,"Error - two credit boxes checked.",IF(BX28,"Error - You can't claim spouse if filing jointly.",IF(BC28&lt;&gt;"","Override:CTC",IF(BL28&lt;&gt;"","Override CFOD",IF(AND(CC28,CP28=1),"CFOD for full-time student - at least "&amp;$CA$4&amp;" and under "&amp;$CB$4&amp;".",IF(AND(CE28,CP28=1),"CFOD for permanently &amp; totally disabled child.",IF(OR(CP28=1,CQ28=1),"CFOD - Credit for other dependent.",IF(AND(CL28,BZ28),"CTC for dependent child under "&amp;CTC_AgeLimit&amp;".",IF(CL28,"Dependent child.",IF(CM28,"Dependent relative.",IF(CX28,"Qualified child for EIC.","Not qualified as a dependent."))))))))))))</f>
        <v/>
      </c>
      <c r="BO28" s="8043" t="n"/>
      <c r="BP28" s="8043" t="n"/>
      <c r="BQ28" s="7453">
        <f>AND(BB28&lt;&gt;"",BK28&lt;&gt;"")</f>
        <v/>
      </c>
      <c r="BR28" s="8043" t="n"/>
      <c r="BS28" s="7453">
        <f>TEXT(M28,"000-00-0000")</f>
        <v/>
      </c>
      <c r="BT28" s="7453">
        <f>LEFT(BS28,3)</f>
        <v/>
      </c>
      <c r="BU28" s="1282">
        <f>M28&lt;&gt;"n"</f>
        <v/>
      </c>
      <c r="BV28" s="1282">
        <f>LEFT(M28,6)="001-01"</f>
        <v/>
      </c>
      <c r="BW28" s="7453">
        <f>AND(M28&lt;&gt;"",BU28)</f>
        <v/>
      </c>
      <c r="BX28" s="3615">
        <f>AND(File_Marr_Joint&lt;&gt;"",OR(S28="spouse",S28="wife",S28="husband"))</f>
        <v/>
      </c>
      <c r="BY28" s="1282">
        <f>AND(AK28="",OR(Z28&lt;&gt;"",AC28&lt;&gt;""))</f>
        <v/>
      </c>
      <c r="BZ28" s="5960">
        <f>AND(NOT(BY28),AQ28&lt;BZ$4)</f>
        <v/>
      </c>
      <c r="CA28" s="5957">
        <f>AND(CD28,AQ28&lt;CA$4)</f>
        <v/>
      </c>
      <c r="CB28" s="5957">
        <f>AND(AQ28&lt;&gt;"",AQ28&lt;CB$4)</f>
        <v/>
      </c>
      <c r="CC28" s="5957">
        <f>AF28&lt;&gt;""</f>
        <v/>
      </c>
      <c r="CD28" s="5957">
        <f>IF(AK28=0,TRUE,IF(OR(ISERROR(YourBirthDate),ISERROR(AK28)),TRUE,IF(AND(File_Marr_Joint&lt;&gt;"",ISERROR(SpouseBirthDate)),TRUE,IF(File_Marr_Joint&lt;&gt;"",AND(AK28&gt;YourBirthDate,AK28&gt;SpouseBirthDate),AK28&gt;YourBirthDate))))</f>
        <v/>
      </c>
      <c r="CE28" s="5957">
        <f>AI28&lt;&gt;""</f>
        <v/>
      </c>
      <c r="CF28" s="5957">
        <f>AV28&lt;&gt;""</f>
        <v/>
      </c>
      <c r="CG28" s="6156">
        <f>(Z28&lt;&gt;"")</f>
        <v/>
      </c>
      <c r="CH28" s="5960">
        <f>AS28&lt;&gt;""</f>
        <v/>
      </c>
      <c r="CI28" s="5960">
        <f>AY28&lt;&gt;""</f>
        <v/>
      </c>
      <c r="CJ28" s="8407">
        <f>BE28&lt;&gt;""</f>
        <v/>
      </c>
      <c r="CK28" s="6151">
        <f>BH28&lt;&gt;""</f>
        <v/>
      </c>
      <c r="CL28" s="5979">
        <f>AND(OR(AND(CA28,CD28),AND(CC28,NOT(CA28),CB28,CD28),CE28),CF28,CG28,CH28)</f>
        <v/>
      </c>
      <c r="CM28" s="5983">
        <f>AND(NOT(BX28),NOT(CL28),CJ28,CK28,CH28)</f>
        <v/>
      </c>
      <c r="CN28" s="7453" t="n"/>
      <c r="CO28" s="7453">
        <f>IF(BA28&lt;&gt;"",0,IF(BC28&lt;&gt;"",1,IF(AND(CL28,BU28,CI28,BZ28),1,0)))</f>
        <v/>
      </c>
      <c r="CP28" s="7453">
        <f>IF(AND(CL28,BU28,CI28,NOT(BZ28)),1,0)</f>
        <v/>
      </c>
      <c r="CQ28" s="7453">
        <f>IF(BJ28&lt;&gt;"",0,IF(BL28&lt;&gt;"",1,IF(AND(CM28,BU28,CI28),1,0)))</f>
        <v/>
      </c>
      <c r="CR28" s="7453">
        <f>IF(OR(CL28,CM28),MAX(0,1-SUM(CO28:CQ28)),0)</f>
        <v/>
      </c>
      <c r="CU28" s="1282">
        <f>AND(Z28&lt;&gt;"",AC28&lt;&gt;"")</f>
        <v/>
      </c>
      <c r="CV28" s="1282">
        <f>AND(OR(CA28,AND(CB28,CC28),CE28),CD28,CU28)</f>
        <v/>
      </c>
      <c r="CX28" s="7453">
        <f>IF(CV28,1,0)</f>
        <v/>
      </c>
    </row>
    <row r="29" ht="18" customHeight="1" s="7635">
      <c r="A29" s="11074" t="n">
        <v>21</v>
      </c>
      <c r="B29" s="1273" t="n"/>
      <c r="C29" s="1273" t="n"/>
      <c r="D29" s="1273" t="n"/>
      <c r="E29" s="7489" t="n"/>
      <c r="F29" s="8007" t="n"/>
      <c r="G29" s="8007" t="n"/>
      <c r="H29" s="8007" t="n"/>
      <c r="I29" s="11914" t="n"/>
      <c r="J29" s="8007" t="n"/>
      <c r="K29" s="8007" t="n"/>
      <c r="L29" s="8008" t="n"/>
      <c r="M29" s="11915">
        <f>IF(OR(E29&lt;&gt;"",I29&lt;&gt;"",S29&lt;&gt;"",AS29&lt;&gt;"",AV29&lt;&gt;"",Z29&lt;&gt;"",AC29&lt;&gt;"",AF29&lt;&gt;"",AI29&lt;&gt;"",AK29&lt;&gt;""),"001-01-00"&amp;A29,"")</f>
        <v/>
      </c>
      <c r="N29" s="8007" t="n"/>
      <c r="O29" s="8007" t="n"/>
      <c r="P29" s="8007" t="n"/>
      <c r="Q29" s="8007" t="n"/>
      <c r="R29" s="8008" t="n"/>
      <c r="S29" s="276" t="n"/>
      <c r="T29" s="8007" t="n"/>
      <c r="U29" s="8007" t="n"/>
      <c r="V29" s="8007" t="n"/>
      <c r="W29" s="8007" t="n"/>
      <c r="X29" s="8008" t="n"/>
      <c r="Y29" s="1034" t="n"/>
      <c r="Z29" s="276" t="n"/>
      <c r="AA29" s="1035" t="n"/>
      <c r="AB29" s="1034" t="n"/>
      <c r="AC29" s="276" t="n"/>
      <c r="AD29" s="1036" t="n"/>
      <c r="AE29" s="1034" t="n"/>
      <c r="AF29" s="276" t="n"/>
      <c r="AG29" s="1035" t="n"/>
      <c r="AH29" s="1034" t="n"/>
      <c r="AI29" s="276" t="n"/>
      <c r="AJ29" s="1036" t="n"/>
      <c r="AK29" s="11916" t="n"/>
      <c r="AL29" s="8007" t="n"/>
      <c r="AM29" s="8007" t="n"/>
      <c r="AN29" s="8007" t="n"/>
      <c r="AO29" s="8007" t="n"/>
      <c r="AP29" s="8008" t="n"/>
      <c r="AQ29" s="11917">
        <f>IF(AK29="","",TaxYear-YEAR(AK29))</f>
        <v/>
      </c>
      <c r="AR29" s="6161" t="n"/>
      <c r="AS29" s="276" t="n"/>
      <c r="AT29" s="1036" t="n"/>
      <c r="AU29" s="1034" t="n"/>
      <c r="AV29" s="276" t="n"/>
      <c r="AW29" s="1036" t="n"/>
      <c r="AX29" s="1034" t="n"/>
      <c r="AY29" s="276" t="n"/>
      <c r="AZ29" s="1036" t="n"/>
      <c r="BA29" s="6183" t="n"/>
      <c r="BB29" s="1846">
        <f>IF(CO29=1,"X","")</f>
        <v/>
      </c>
      <c r="BC29" s="6184" t="n"/>
      <c r="BD29" s="11918" t="n"/>
      <c r="BE29" s="6149" t="n"/>
      <c r="BF29" s="11917" t="n"/>
      <c r="BG29" s="1034" t="n"/>
      <c r="BH29" s="276" t="n"/>
      <c r="BI29" s="1036" t="n"/>
      <c r="BJ29" s="6183" t="n"/>
      <c r="BK29" s="1846">
        <f>IF(OR(CP29=1,CQ29=1),"X","")</f>
        <v/>
      </c>
      <c r="BL29" s="6189" t="n"/>
      <c r="BM29" s="1277" t="n"/>
      <c r="BN29" s="11418">
        <f>IF(M29="","",IF(BQ29,"Error - two credit boxes checked.",IF(BX29,"Error - You can't claim spouse if filing jointly.",IF(BC29&lt;&gt;"","Override:CTC",IF(BL29&lt;&gt;"","Override CFOD",IF(AND(CC29,CP29=1),"CFOD for full-time student - at least "&amp;$CA$4&amp;" and under "&amp;$CB$4&amp;".",IF(AND(CE29,CP29=1),"CFOD for permanently &amp; totally disabled child.",IF(OR(CP29=1,CQ29=1),"CFOD - Credit for other dependent.",IF(AND(CL29,BZ29),"CTC for dependent child under "&amp;CTC_AgeLimit&amp;".",IF(CL29,"Dependent child.",IF(CM29,"Dependent relative.",IF(CX29,"Qualified child for EIC.","Not qualified as a dependent."))))))))))))</f>
        <v/>
      </c>
      <c r="BO29" s="8043" t="n"/>
      <c r="BP29" s="8043" t="n"/>
      <c r="BQ29" s="7453">
        <f>AND(BB29&lt;&gt;"",BK29&lt;&gt;"")</f>
        <v/>
      </c>
      <c r="BR29" s="8043" t="n"/>
      <c r="BS29" s="7453">
        <f>TEXT(M29,"000-00-0000")</f>
        <v/>
      </c>
      <c r="BT29" s="7453">
        <f>LEFT(BS29,3)</f>
        <v/>
      </c>
      <c r="BU29" s="1282">
        <f>M29&lt;&gt;"n"</f>
        <v/>
      </c>
      <c r="BV29" s="1282">
        <f>LEFT(M29,6)="001-01"</f>
        <v/>
      </c>
      <c r="BW29" s="7453">
        <f>AND(M29&lt;&gt;"",BU29)</f>
        <v/>
      </c>
      <c r="BX29" s="3615">
        <f>AND(File_Marr_Joint&lt;&gt;"",OR(S29="spouse",S29="wife",S29="husband"))</f>
        <v/>
      </c>
      <c r="BY29" s="1282">
        <f>AND(AK29="",OR(Z29&lt;&gt;"",AC29&lt;&gt;""))</f>
        <v/>
      </c>
      <c r="BZ29" s="5960">
        <f>AND(NOT(BY29),AQ29&lt;BZ$4)</f>
        <v/>
      </c>
      <c r="CA29" s="5957">
        <f>AND(CD29,AQ29&lt;CA$4)</f>
        <v/>
      </c>
      <c r="CB29" s="5957">
        <f>AND(AQ29&lt;&gt;"",AQ29&lt;CB$4)</f>
        <v/>
      </c>
      <c r="CC29" s="5957">
        <f>AF29&lt;&gt;""</f>
        <v/>
      </c>
      <c r="CD29" s="5957">
        <f>IF(AK29=0,TRUE,IF(OR(ISERROR(YourBirthDate),ISERROR(AK29)),TRUE,IF(AND(File_Marr_Joint&lt;&gt;"",ISERROR(SpouseBirthDate)),TRUE,IF(File_Marr_Joint&lt;&gt;"",AND(AK29&gt;YourBirthDate,AK29&gt;SpouseBirthDate),AK29&gt;YourBirthDate))))</f>
        <v/>
      </c>
      <c r="CE29" s="5957">
        <f>AI29&lt;&gt;""</f>
        <v/>
      </c>
      <c r="CF29" s="5957">
        <f>AV29&lt;&gt;""</f>
        <v/>
      </c>
      <c r="CG29" s="6156">
        <f>(Z29&lt;&gt;"")</f>
        <v/>
      </c>
      <c r="CH29" s="5960">
        <f>AS29&lt;&gt;""</f>
        <v/>
      </c>
      <c r="CI29" s="5960">
        <f>AY29&lt;&gt;""</f>
        <v/>
      </c>
      <c r="CJ29" s="8407">
        <f>BE29&lt;&gt;""</f>
        <v/>
      </c>
      <c r="CK29" s="6151">
        <f>BH29&lt;&gt;""</f>
        <v/>
      </c>
      <c r="CL29" s="5979">
        <f>AND(OR(AND(CA29,CD29),AND(CC29,NOT(CA29),CB29,CD29),CE29),CF29,CG29,CH29)</f>
        <v/>
      </c>
      <c r="CM29" s="5983">
        <f>AND(NOT(BX29),NOT(CL29),CJ29,CK29,CH29)</f>
        <v/>
      </c>
      <c r="CN29" s="7453" t="n"/>
      <c r="CO29" s="7453">
        <f>IF(BA29&lt;&gt;"",0,IF(BC29&lt;&gt;"",1,IF(AND(CL29,BU29,CI29,BZ29),1,0)))</f>
        <v/>
      </c>
      <c r="CP29" s="7453">
        <f>IF(AND(CL29,BU29,CI29,NOT(BZ29)),1,0)</f>
        <v/>
      </c>
      <c r="CQ29" s="7453">
        <f>IF(BJ29&lt;&gt;"",0,IF(BL29&lt;&gt;"",1,IF(AND(CM29,BU29,CI29),1,0)))</f>
        <v/>
      </c>
      <c r="CR29" s="7453">
        <f>IF(OR(CL29,CM29),MAX(0,1-SUM(CO29:CQ29)),0)</f>
        <v/>
      </c>
      <c r="CU29" s="1282">
        <f>AND(Z29&lt;&gt;"",AC29&lt;&gt;"")</f>
        <v/>
      </c>
      <c r="CV29" s="1282">
        <f>AND(OR(CA29,AND(CB29,CC29),CE29),CD29,CU29)</f>
        <v/>
      </c>
      <c r="CX29" s="7453">
        <f>IF(CV29,1,0)</f>
        <v/>
      </c>
    </row>
    <row r="30" ht="18.75" customHeight="1" s="7635" thickBot="1">
      <c r="A30" s="11074" t="n">
        <v>22</v>
      </c>
      <c r="B30" s="7482" t="n"/>
      <c r="C30" s="11919" t="n"/>
      <c r="D30" s="1278" t="n"/>
      <c r="E30" s="7491" t="n"/>
      <c r="F30" s="11820" t="n"/>
      <c r="G30" s="11820" t="n"/>
      <c r="H30" s="11820" t="n"/>
      <c r="I30" s="11920" t="n"/>
      <c r="J30" s="11820" t="n"/>
      <c r="K30" s="11820" t="n"/>
      <c r="L30" s="11821" t="n"/>
      <c r="M30" s="11921">
        <f>IF(OR(E30&lt;&gt;"",I30&lt;&gt;"",S30&lt;&gt;"",AS30&lt;&gt;"",AV30&lt;&gt;"",Z30&lt;&gt;"",AC30&lt;&gt;"",AF30&lt;&gt;"",AI30&lt;&gt;"",AK30&lt;&gt;""),"001-01-00"&amp;A30,"")</f>
        <v/>
      </c>
      <c r="N30" s="11820" t="n"/>
      <c r="O30" s="11820" t="n"/>
      <c r="P30" s="11820" t="n"/>
      <c r="Q30" s="11820" t="n"/>
      <c r="R30" s="11821" t="n"/>
      <c r="S30" s="1172" t="n"/>
      <c r="T30" s="11820" t="n"/>
      <c r="U30" s="11820" t="n"/>
      <c r="V30" s="11820" t="n"/>
      <c r="W30" s="11820" t="n"/>
      <c r="X30" s="11821" t="n"/>
      <c r="Y30" s="1173" t="n"/>
      <c r="Z30" s="1172" t="n"/>
      <c r="AA30" s="1174" t="n"/>
      <c r="AB30" s="1173" t="n"/>
      <c r="AC30" s="1172" t="n"/>
      <c r="AD30" s="1175" t="n"/>
      <c r="AE30" s="1173" t="n"/>
      <c r="AF30" s="1172" t="n"/>
      <c r="AG30" s="1174" t="n"/>
      <c r="AH30" s="1173" t="n"/>
      <c r="AI30" s="1172" t="n"/>
      <c r="AJ30" s="1175" t="n"/>
      <c r="AK30" s="11922" t="n"/>
      <c r="AL30" s="11820" t="n"/>
      <c r="AM30" s="11820" t="n"/>
      <c r="AN30" s="11820" t="n"/>
      <c r="AO30" s="11820" t="n"/>
      <c r="AP30" s="11821" t="n"/>
      <c r="AQ30" s="11923">
        <f>IF(AK30="","",TaxYear-YEAR(AK30))</f>
        <v/>
      </c>
      <c r="AR30" s="6162" t="n"/>
      <c r="AS30" s="1172" t="n"/>
      <c r="AT30" s="1175" t="n"/>
      <c r="AU30" s="1173" t="n"/>
      <c r="AV30" s="1172" t="n"/>
      <c r="AW30" s="1175" t="n"/>
      <c r="AX30" s="1173" t="n"/>
      <c r="AY30" s="1172" t="n"/>
      <c r="AZ30" s="1175" t="n"/>
      <c r="BA30" s="6185" t="n"/>
      <c r="BB30" s="6164">
        <f>IF(CO30=1,"X","")</f>
        <v/>
      </c>
      <c r="BC30" s="6186" t="n"/>
      <c r="BD30" s="11924" t="n"/>
      <c r="BE30" s="6150" t="n"/>
      <c r="BF30" s="11923" t="n"/>
      <c r="BG30" s="1173" t="n"/>
      <c r="BH30" s="1172" t="n"/>
      <c r="BI30" s="1175" t="n"/>
      <c r="BJ30" s="6185" t="n"/>
      <c r="BK30" s="6164">
        <f>IF(OR(CP30=1,CQ30=1),"X","")</f>
        <v/>
      </c>
      <c r="BL30" s="6190" t="n"/>
      <c r="BM30" s="1277" t="n"/>
      <c r="BN30" s="11418">
        <f>IF(M30="","",IF(BQ30,"Error - two credit boxes checked.",IF(BX30,"Error - You can't claim spouse if filing jointly.",IF(BC30&lt;&gt;"","Override:CTC",IF(BL30&lt;&gt;"","Override CFOD",IF(AND(CC30,CP30=1),"CFOD for full-time student - at least "&amp;$CA$4&amp;" and under "&amp;$CB$4&amp;".",IF(AND(CE30,CP30=1),"CFOD for permanently &amp; totally disabled child.",IF(OR(CP30=1,CQ30=1),"CFOD - Credit for other dependent.",IF(AND(CL30,BZ30),"CTC for dependent child under "&amp;CTC_AgeLimit&amp;".",IF(CL30,"Dependent child.",IF(CM30,"Dependent relative.",IF(CX30,"Qualified child for EIC.","Not qualified as a dependent."))))))))))))</f>
        <v/>
      </c>
      <c r="BO30" s="8043" t="n"/>
      <c r="BP30" s="8043" t="n"/>
      <c r="BQ30" s="7453">
        <f>AND(BB30&lt;&gt;"",BK30&lt;&gt;"")</f>
        <v/>
      </c>
      <c r="BR30" s="8043" t="n"/>
      <c r="BS30" s="7453">
        <f>TEXT(M30,"000-00-0000")</f>
        <v/>
      </c>
      <c r="BT30" s="7453">
        <f>LEFT(BS30,3)</f>
        <v/>
      </c>
      <c r="BU30" s="1283">
        <f>M30&lt;&gt;"n"</f>
        <v/>
      </c>
      <c r="BV30" s="1283">
        <f>LEFT(M30,6)="001-01"</f>
        <v/>
      </c>
      <c r="BW30" s="7453">
        <f>AND(M30&lt;&gt;"",BU30)</f>
        <v/>
      </c>
      <c r="BX30" s="3615">
        <f>AND(File_Marr_Joint&lt;&gt;"",OR(S30="spouse",S30="wife",S30="husband"))</f>
        <v/>
      </c>
      <c r="BY30" s="1283">
        <f>AND(AK30="",OR(Z30&lt;&gt;"",AC30&lt;&gt;""))</f>
        <v/>
      </c>
      <c r="BZ30" s="5961">
        <f>AND(NOT(BY30),AQ30&lt;BZ$4)</f>
        <v/>
      </c>
      <c r="CA30" s="8386">
        <f>AND(CD30,AQ30&lt;CA$4)</f>
        <v/>
      </c>
      <c r="CB30" s="8386">
        <f>AND(AQ30&lt;&gt;"",AQ30&lt;CB$4)</f>
        <v/>
      </c>
      <c r="CC30" s="8386">
        <f>AF30&lt;&gt;""</f>
        <v/>
      </c>
      <c r="CD30" s="8386">
        <f>IF(AK30=0,TRUE,IF(OR(ISERROR(YourBirthDate),ISERROR(AK30)),TRUE,IF(AND(File_Marr_Joint&lt;&gt;"",ISERROR(SpouseBirthDate)),TRUE,IF(File_Marr_Joint&lt;&gt;"",AND(AK30&gt;YourBirthDate,AK30&gt;SpouseBirthDate),AK30&gt;YourBirthDate))))</f>
        <v/>
      </c>
      <c r="CE30" s="8386">
        <f>AI30&lt;&gt;""</f>
        <v/>
      </c>
      <c r="CF30" s="8386">
        <f>AV30&lt;&gt;""</f>
        <v/>
      </c>
      <c r="CG30" s="6157">
        <f>(Z30&lt;&gt;"")</f>
        <v/>
      </c>
      <c r="CH30" s="5961">
        <f>AS30&lt;&gt;""</f>
        <v/>
      </c>
      <c r="CI30" s="5961">
        <f>AY30&lt;&gt;""</f>
        <v/>
      </c>
      <c r="CJ30" s="8627">
        <f>BE30&lt;&gt;""</f>
        <v/>
      </c>
      <c r="CK30" s="5981">
        <f>BH30&lt;&gt;""</f>
        <v/>
      </c>
      <c r="CL30" s="5984">
        <f>AND(OR(AND(CA30,CD30),AND(CC30,NOT(CA30),CB30,CD30),CE30),CF30,CG30,CH30)</f>
        <v/>
      </c>
      <c r="CM30" s="5986">
        <f>AND(NOT(BX30),NOT(CL30),CJ30,CK30,CH30)</f>
        <v/>
      </c>
      <c r="CN30" s="7453" t="n"/>
      <c r="CO30" s="7453">
        <f>IF(BA30&lt;&gt;"",0,IF(BC30&lt;&gt;"",1,IF(AND(CL30,BU30,CI30,BZ30),1,0)))</f>
        <v/>
      </c>
      <c r="CP30" s="7453">
        <f>IF(AND(CL30,BU30,CI30,NOT(BZ30)),1,0)</f>
        <v/>
      </c>
      <c r="CQ30" s="7453">
        <f>IF(BJ30&lt;&gt;"",0,IF(BL30&lt;&gt;"",1,IF(AND(CM30,BU30,CI30),1,0)))</f>
        <v/>
      </c>
      <c r="CR30" s="7453">
        <f>IF(OR(CL30,CM30),MAX(0,1-SUM(CO30:CQ30)),0)</f>
        <v/>
      </c>
      <c r="CU30" s="1283">
        <f>AND(Z30&lt;&gt;"",AC30&lt;&gt;"")</f>
        <v/>
      </c>
      <c r="CV30" s="1283">
        <f>AND(OR(CA30,AND(CB30,CC30),CE30),CD30,CU30)</f>
        <v/>
      </c>
      <c r="CX30" s="7453">
        <f>IF(CV30,1,0)</f>
        <v/>
      </c>
    </row>
    <row r="31" ht="34.5" customHeight="1" s="7635" thickTop="1">
      <c r="A31" s="10706" t="n"/>
      <c r="B31" s="723" t="n"/>
      <c r="C31" s="723" t="n"/>
      <c r="D31" s="723" t="n"/>
      <c r="E31" s="723" t="n"/>
      <c r="F31" s="723" t="n"/>
      <c r="G31" s="723" t="n"/>
      <c r="H31" s="723" t="n"/>
      <c r="I31" s="723" t="n"/>
      <c r="J31" s="723" t="n"/>
      <c r="K31" s="723" t="n"/>
      <c r="L31" s="723" t="n"/>
      <c r="M31" s="723" t="n"/>
      <c r="N31" s="723" t="n"/>
      <c r="O31" s="723" t="n"/>
      <c r="P31" s="723" t="n"/>
      <c r="Q31" s="723" t="n"/>
      <c r="R31" s="723" t="n"/>
      <c r="S31" s="723" t="n"/>
      <c r="T31" s="723" t="n"/>
      <c r="U31" s="723" t="n"/>
      <c r="V31" s="723" t="n"/>
      <c r="W31" s="723" t="n"/>
      <c r="X31" s="723" t="n"/>
      <c r="Y31" s="723" t="n"/>
      <c r="Z31" s="723" t="n"/>
      <c r="AA31" s="723" t="n"/>
      <c r="AB31" s="723" t="n"/>
      <c r="AC31" s="723" t="n"/>
      <c r="AD31" s="723" t="n"/>
      <c r="AE31" s="723" t="n"/>
      <c r="AF31" s="723" t="n"/>
      <c r="AG31" s="723" t="n"/>
      <c r="AH31" s="723" t="n"/>
      <c r="AI31" s="723" t="n"/>
      <c r="AJ31" s="723" t="n"/>
      <c r="AK31" s="723" t="n"/>
      <c r="AL31" s="723" t="n"/>
      <c r="AM31" s="723" t="n"/>
      <c r="AN31" s="723" t="n"/>
      <c r="AO31" s="723" t="n"/>
      <c r="AP31" s="723" t="n"/>
      <c r="AQ31" s="723" t="n"/>
      <c r="AR31" s="723" t="n"/>
      <c r="AS31" s="723" t="n"/>
      <c r="AT31" s="723" t="n"/>
      <c r="AU31" s="723" t="n"/>
      <c r="AV31" s="723" t="n"/>
      <c r="AW31" s="723" t="n"/>
      <c r="AX31" s="723" t="n"/>
      <c r="AY31" s="723" t="n"/>
      <c r="AZ31" s="723" t="n"/>
      <c r="BA31" s="723" t="n"/>
      <c r="BB31" s="723" t="n"/>
      <c r="BC31" s="723" t="n"/>
      <c r="BD31" s="723" t="n"/>
      <c r="BE31" s="723" t="n"/>
      <c r="BF31" s="723" t="n"/>
      <c r="BG31" s="723" t="n"/>
      <c r="BH31" s="723" t="n"/>
      <c r="BI31" s="723" t="n"/>
      <c r="BJ31" s="723" t="n"/>
      <c r="BK31" s="723" t="n"/>
      <c r="BL31" s="723" t="n"/>
      <c r="BM31" s="723" t="n"/>
      <c r="BQ31" s="1421" t="n"/>
      <c r="CF31" s="6160">
        <f>OR(CF7:CF10,CF15:CF30)</f>
        <v/>
      </c>
      <c r="CH31" s="6160">
        <f>OR(CH7:CH10,CH15:CH30)</f>
        <v/>
      </c>
      <c r="CI31" s="6160">
        <f>OR(CI7:CI10,CI15:CI30)</f>
        <v/>
      </c>
      <c r="CN31" s="1421" t="n"/>
      <c r="CO31" s="1421">
        <f>SUM(CO15:CO30)</f>
        <v/>
      </c>
      <c r="CP31" s="1421">
        <f>SUM(CP15:CP30)</f>
        <v/>
      </c>
      <c r="CQ31" s="1421">
        <f>SUM(CQ15:CQ30)</f>
        <v/>
      </c>
      <c r="CR31" s="1421">
        <f>SUM(CR15:CR30)</f>
        <v/>
      </c>
      <c r="CS31" s="7453" t="n"/>
      <c r="CT31" s="7453" t="n"/>
      <c r="CW31" s="7453" t="n"/>
      <c r="CX31" s="1421">
        <f>SUM(CX15:CX30)</f>
        <v/>
      </c>
      <c r="CY31" s="7453" t="n"/>
      <c r="CZ31" s="8043" t="n"/>
    </row>
    <row r="32" ht="21.75" customHeight="1" s="7635" thickBot="1">
      <c r="A32" s="6996" t="n"/>
      <c r="B32" s="11602" t="n"/>
      <c r="C32" s="11602" t="n"/>
      <c r="D32" s="11602" t="n"/>
      <c r="E32" s="11602" t="n"/>
      <c r="F32" s="11602" t="n"/>
      <c r="G32" s="11602" t="n"/>
      <c r="H32" s="11602" t="n"/>
      <c r="I32" s="11602" t="n"/>
      <c r="J32" s="11602" t="n"/>
      <c r="K32" s="11602" t="n"/>
      <c r="L32" s="11602" t="n"/>
      <c r="M32" s="11602" t="n"/>
      <c r="N32" s="11602" t="n"/>
      <c r="O32" s="11602" t="n"/>
      <c r="P32" s="11602" t="n"/>
      <c r="Q32" s="11602" t="n"/>
      <c r="R32" s="11602" t="n"/>
      <c r="S32" s="11602" t="n"/>
      <c r="T32" s="11602" t="n"/>
      <c r="U32" s="11602" t="n"/>
      <c r="V32" s="11602" t="n"/>
      <c r="W32" s="11602" t="n"/>
      <c r="X32" s="11602" t="n"/>
      <c r="Y32" s="11602" t="n"/>
      <c r="Z32" s="11602" t="n"/>
      <c r="AA32" s="11602" t="n"/>
      <c r="AB32" s="11602" t="n"/>
      <c r="AC32" s="11602" t="n"/>
      <c r="AD32" s="11602" t="n"/>
      <c r="AE32" s="11602" t="n"/>
      <c r="AF32" s="11602" t="n"/>
      <c r="AG32" s="11602" t="n"/>
      <c r="AH32" s="11602" t="n"/>
      <c r="AI32" s="11602" t="n"/>
      <c r="AJ32" s="11602" t="n"/>
      <c r="AK32" s="11602" t="n"/>
      <c r="AL32" s="11602" t="n"/>
      <c r="AM32" s="11602" t="n"/>
      <c r="AN32" s="11602" t="n"/>
      <c r="AO32" s="11602" t="n"/>
      <c r="AP32" s="11602" t="n"/>
      <c r="AQ32" s="11602" t="n"/>
      <c r="AR32" s="11602" t="n"/>
      <c r="AS32" s="11602" t="n"/>
      <c r="AT32" s="11602" t="n"/>
      <c r="AU32" s="11602" t="n"/>
      <c r="AV32" s="11602" t="n"/>
      <c r="AW32" s="11602" t="n"/>
      <c r="AX32" s="11602" t="n"/>
      <c r="AY32" s="11602" t="n"/>
      <c r="AZ32" s="11602" t="n"/>
      <c r="BA32" s="11602" t="n"/>
      <c r="BB32" s="11602" t="n"/>
      <c r="BC32" s="11602" t="n"/>
      <c r="BD32" s="11602" t="n"/>
      <c r="BE32" s="11602" t="n"/>
      <c r="BF32" s="11602" t="n"/>
      <c r="BG32" s="11602" t="n"/>
      <c r="BH32" s="11602" t="n"/>
      <c r="BI32" s="11602" t="n"/>
      <c r="BJ32" s="11602" t="n"/>
      <c r="BK32" s="11602" t="n"/>
      <c r="BL32" s="11602" t="n"/>
      <c r="BM32" s="11602" t="n"/>
      <c r="BN32" s="6996" t="n"/>
      <c r="BO32" s="7453" t="n"/>
      <c r="BP32" s="7453" t="n"/>
      <c r="BQ32" s="7453" t="n"/>
      <c r="BR32" s="7453" t="n"/>
      <c r="BZ32" s="7466" t="n"/>
      <c r="CA32" s="7466" t="n"/>
      <c r="CB32" s="7466" t="n"/>
      <c r="CC32" s="7466" t="n"/>
      <c r="CD32" s="7466" t="n"/>
      <c r="CE32" s="7466" t="n"/>
      <c r="CF32" s="7466" t="n"/>
      <c r="CG32" s="7466" t="n"/>
      <c r="CH32" s="7466" t="n"/>
      <c r="CI32" s="7466" t="n"/>
      <c r="CJ32" s="7466" t="n"/>
      <c r="CK32" s="7466" t="n"/>
      <c r="CL32" s="7466" t="n"/>
      <c r="CM32" s="7466" t="n"/>
      <c r="CN32" s="7453" t="n"/>
      <c r="CO32" s="1422" t="n"/>
      <c r="CP32" s="1422" t="n"/>
      <c r="CQ32" s="1422" t="n"/>
      <c r="CR32" s="1422" t="n"/>
      <c r="CS32" s="7453" t="n"/>
      <c r="CU32" s="7466" t="n"/>
      <c r="CV32" s="7466" t="n"/>
      <c r="CW32" s="7453" t="n"/>
    </row>
    <row r="33" ht="24" customHeight="1" s="7635" thickTop="1">
      <c r="A33" s="6996" t="n"/>
      <c r="B33" s="338" t="n"/>
      <c r="C33" s="5964" t="inlineStr">
        <is>
          <t>General rules for dependents</t>
        </is>
      </c>
      <c r="D33" s="377" t="n"/>
      <c r="E33" s="377" t="n"/>
      <c r="F33" s="377" t="n"/>
      <c r="G33" s="377" t="n"/>
      <c r="H33" s="377" t="n"/>
      <c r="I33" s="377" t="n"/>
      <c r="J33" s="377" t="n"/>
      <c r="K33" s="377" t="n"/>
      <c r="L33" s="377" t="n"/>
      <c r="M33" s="377" t="n"/>
      <c r="N33" s="377" t="n"/>
      <c r="O33" s="377" t="n"/>
      <c r="P33" s="377" t="n"/>
      <c r="Q33" s="377" t="n"/>
      <c r="R33" s="377" t="n"/>
      <c r="S33" s="377" t="n"/>
      <c r="T33" s="377" t="n"/>
      <c r="U33" s="377" t="n"/>
      <c r="V33" s="377" t="n"/>
      <c r="W33" s="377" t="n"/>
      <c r="X33" s="377" t="n"/>
      <c r="Y33" s="377" t="n"/>
      <c r="Z33" s="377" t="n"/>
      <c r="AA33" s="377" t="n"/>
      <c r="AB33" s="377" t="n"/>
      <c r="AC33" s="377" t="n"/>
      <c r="AD33" s="377" t="n"/>
      <c r="AE33" s="377" t="n"/>
      <c r="AF33" s="377" t="n"/>
      <c r="AG33" s="377" t="n"/>
      <c r="AH33" s="377" t="n"/>
      <c r="AI33" s="377" t="n"/>
      <c r="AJ33" s="377" t="n"/>
      <c r="AK33" s="377" t="n"/>
      <c r="AL33" s="377" t="n"/>
      <c r="AM33" s="378" t="n"/>
      <c r="AN33" s="11602" t="n"/>
      <c r="AO33" s="338" t="n"/>
      <c r="AP33" s="377" t="n"/>
      <c r="AQ33" s="377" t="n"/>
      <c r="AR33" s="377" t="n"/>
      <c r="AS33" s="377" t="n"/>
      <c r="AT33" s="377" t="n"/>
      <c r="AU33" s="377" t="n"/>
      <c r="AV33" s="7553" t="inlineStr">
        <is>
          <t>Dependents Summary</t>
        </is>
      </c>
      <c r="AW33" s="2506" t="n"/>
      <c r="AX33" s="2506" t="n"/>
      <c r="AY33" s="2506" t="n"/>
      <c r="AZ33" s="2506" t="n"/>
      <c r="BA33" s="2506" t="n"/>
      <c r="BB33" s="2506" t="n"/>
      <c r="BC33" s="2506" t="n"/>
      <c r="BD33" s="2506" t="n"/>
      <c r="BE33" s="2506" t="n"/>
      <c r="BF33" s="2506" t="n"/>
      <c r="BG33" s="2506" t="n"/>
      <c r="BH33" s="2506" t="n"/>
      <c r="BI33" s="2506" t="n"/>
      <c r="BJ33" s="2506" t="n"/>
      <c r="BK33" s="2506" t="n"/>
      <c r="BL33" s="2506" t="n"/>
      <c r="BM33" s="2506" t="n"/>
      <c r="BN33" s="6172" t="n"/>
      <c r="BQ33" s="7453" t="n"/>
      <c r="BT33" s="11392" t="n"/>
      <c r="BU33" s="11392" t="n"/>
      <c r="BV33" s="11392" t="n"/>
      <c r="BW33" s="11392" t="n"/>
      <c r="BX33" s="11392" t="n"/>
      <c r="BZ33" s="7466" t="n"/>
      <c r="CA33" s="7466" t="n"/>
      <c r="CB33" s="7466" t="n"/>
      <c r="CC33" s="7466" t="n"/>
      <c r="CD33" s="7466" t="n"/>
      <c r="CE33" s="7466" t="n"/>
      <c r="CF33" s="7466" t="n"/>
      <c r="CG33" s="7466" t="n"/>
      <c r="CH33" s="7466" t="n"/>
      <c r="CI33" s="7466" t="n"/>
      <c r="CJ33" s="7466" t="n"/>
      <c r="CK33" s="7466" t="n"/>
      <c r="CL33" s="7466" t="n"/>
      <c r="CM33" s="7466" t="n"/>
      <c r="CN33" s="7453" t="n"/>
      <c r="CO33" s="1286">
        <f>SUM(CO11,CO31)</f>
        <v/>
      </c>
      <c r="CP33" s="1286">
        <f>SUM(CP11,CP31)</f>
        <v/>
      </c>
      <c r="CQ33" s="1286">
        <f>SUM(CQ11,CQ31)</f>
        <v/>
      </c>
      <c r="CR33" s="1286">
        <f>SUM(CR11,CR31)</f>
        <v/>
      </c>
      <c r="CS33" s="7453" t="n"/>
      <c r="CU33" s="7466" t="n"/>
      <c r="CV33" s="7466" t="n"/>
      <c r="CW33" s="7453" t="n"/>
      <c r="CX33" s="1286">
        <f>SUM(CX11,CX31)</f>
        <v/>
      </c>
    </row>
    <row r="34" ht="15" customHeight="1" s="7635">
      <c r="A34" s="6996" t="n"/>
      <c r="B34" s="341" t="n"/>
      <c r="C34" s="5965" t="n"/>
      <c r="D34" s="11602" t="n"/>
      <c r="E34" s="11602" t="n"/>
      <c r="F34" s="11602" t="n"/>
      <c r="G34" s="11602" t="n"/>
      <c r="H34" s="11602" t="n"/>
      <c r="I34" s="11602" t="n"/>
      <c r="J34" s="11602" t="n"/>
      <c r="K34" s="11602" t="n"/>
      <c r="L34" s="11602" t="n"/>
      <c r="M34" s="11602" t="n"/>
      <c r="N34" s="11602" t="n"/>
      <c r="O34" s="11602" t="n"/>
      <c r="P34" s="11602" t="n"/>
      <c r="Q34" s="11602" t="n"/>
      <c r="R34" s="11602" t="n"/>
      <c r="S34" s="11602" t="n"/>
      <c r="T34" s="11602" t="n"/>
      <c r="U34" s="11602" t="n"/>
      <c r="V34" s="11602" t="n"/>
      <c r="W34" s="11602" t="n"/>
      <c r="X34" s="11602" t="n"/>
      <c r="Y34" s="11602" t="n"/>
      <c r="Z34" s="11602" t="n"/>
      <c r="AA34" s="11602" t="n"/>
      <c r="AB34" s="11602" t="n"/>
      <c r="AC34" s="11602" t="n"/>
      <c r="AD34" s="11602" t="n"/>
      <c r="AE34" s="11602" t="n"/>
      <c r="AF34" s="11602" t="n"/>
      <c r="AG34" s="11602" t="n"/>
      <c r="AH34" s="11602" t="n"/>
      <c r="AI34" s="11602" t="n"/>
      <c r="AJ34" s="11602" t="n"/>
      <c r="AK34" s="11602" t="n"/>
      <c r="AL34" s="11602" t="n"/>
      <c r="AM34" s="379" t="n"/>
      <c r="AN34" s="11602" t="n"/>
      <c r="AO34" s="341" t="n"/>
      <c r="AP34" s="11602" t="n"/>
      <c r="AQ34" s="11602" t="n"/>
      <c r="AR34" s="11602" t="n"/>
      <c r="AS34" s="11602" t="n"/>
      <c r="AT34" s="11602" t="n"/>
      <c r="AU34" s="11602" t="n"/>
      <c r="BN34" s="379" t="n"/>
      <c r="BQ34" s="7453" t="n"/>
      <c r="BR34" s="7453" t="n"/>
      <c r="BS34" s="11392" t="n"/>
      <c r="BT34" s="11392" t="n"/>
      <c r="BU34" s="11392" t="n"/>
      <c r="BV34" s="11392" t="n"/>
      <c r="BW34" s="11392" t="n"/>
      <c r="BZ34" s="7466" t="n"/>
      <c r="CA34" s="7466" t="n"/>
      <c r="CB34" s="7466" t="n"/>
      <c r="CC34" s="7466" t="n"/>
      <c r="CD34" s="7466" t="n"/>
      <c r="CE34" s="7466" t="n"/>
      <c r="CF34" s="7466" t="n"/>
      <c r="CG34" s="7466" t="n"/>
      <c r="CH34" s="7466" t="n"/>
      <c r="CI34" s="7466" t="n"/>
      <c r="CJ34" s="7466" t="n"/>
      <c r="CK34" s="7466" t="n"/>
      <c r="CL34" s="7466" t="n"/>
      <c r="CM34" s="7466" t="n"/>
      <c r="CN34" s="7453" t="n"/>
      <c r="CO34" s="7453" t="n"/>
      <c r="CP34" s="7453" t="n"/>
      <c r="CQ34" s="7453" t="n"/>
      <c r="CS34" s="7453" t="n"/>
      <c r="CU34" s="7466" t="n"/>
      <c r="CV34" s="7466" t="n"/>
    </row>
    <row r="35" ht="15.75" customHeight="1" s="7635">
      <c r="A35" s="6996" t="n"/>
      <c r="B35" s="341" t="n"/>
      <c r="C35" s="5965" t="inlineStr">
        <is>
          <t>These rules generally apply to all dependents:</t>
        </is>
      </c>
      <c r="D35" s="11602" t="n"/>
      <c r="E35" s="11602" t="n"/>
      <c r="F35" s="11602" t="n"/>
      <c r="G35" s="11602" t="n"/>
      <c r="H35" s="11602" t="n"/>
      <c r="I35" s="11602" t="n"/>
      <c r="J35" s="11602" t="n"/>
      <c r="K35" s="11602" t="n"/>
      <c r="L35" s="11602" t="n"/>
      <c r="M35" s="11602" t="n"/>
      <c r="N35" s="11602" t="n"/>
      <c r="O35" s="11602" t="n"/>
      <c r="P35" s="11602" t="n"/>
      <c r="Q35" s="11602" t="n"/>
      <c r="R35" s="11602" t="n"/>
      <c r="S35" s="11602" t="n"/>
      <c r="T35" s="11602" t="n"/>
      <c r="U35" s="11602" t="n"/>
      <c r="V35" s="11602" t="n"/>
      <c r="W35" s="11602" t="n"/>
      <c r="X35" s="11602" t="n"/>
      <c r="Y35" s="11602" t="n"/>
      <c r="Z35" s="11602" t="n"/>
      <c r="AA35" s="11602" t="n"/>
      <c r="AB35" s="11602" t="n"/>
      <c r="AC35" s="11602" t="n"/>
      <c r="AD35" s="11602" t="n"/>
      <c r="AE35" s="11602" t="n"/>
      <c r="AF35" s="11602" t="n"/>
      <c r="AG35" s="11602" t="n"/>
      <c r="AH35" s="11602" t="n"/>
      <c r="AI35" s="11602" t="n"/>
      <c r="AJ35" s="11602" t="n"/>
      <c r="AK35" s="11602" t="n"/>
      <c r="AL35" s="11602" t="n"/>
      <c r="AM35" s="379" t="n"/>
      <c r="AN35" s="11602" t="n"/>
      <c r="AO35" s="341" t="n"/>
      <c r="AP35" s="11602" t="n"/>
      <c r="AQ35" s="11602" t="n"/>
      <c r="AR35" s="11602" t="n"/>
      <c r="AS35" s="11602" t="n"/>
      <c r="AT35" s="11602" t="n"/>
      <c r="AU35" s="11602" t="n"/>
      <c r="AV35" s="11602" t="n"/>
      <c r="AW35" s="11602" t="n"/>
      <c r="AX35" s="11602" t="n"/>
      <c r="AY35" s="11602" t="n"/>
      <c r="AZ35" s="11602" t="n"/>
      <c r="BA35" s="11602" t="n"/>
      <c r="BB35" s="11602" t="n"/>
      <c r="BC35" s="11602" t="n"/>
      <c r="BD35" s="11602" t="n"/>
      <c r="BE35" s="11602" t="n"/>
      <c r="BF35" s="11602" t="n"/>
      <c r="BG35" s="11602" t="n"/>
      <c r="BH35" s="11602" t="n"/>
      <c r="BI35" s="11602" t="n"/>
      <c r="BJ35" s="11602" t="n"/>
      <c r="BK35" s="11602" t="n"/>
      <c r="BL35" s="11602" t="n"/>
      <c r="BM35" s="11602" t="n"/>
      <c r="BN35" s="379" t="n"/>
      <c r="BO35" s="11612" t="n"/>
      <c r="BP35" s="7453" t="n"/>
      <c r="BQ35" s="7466" t="n"/>
      <c r="BR35" s="7466" t="n"/>
      <c r="BS35" s="7466" t="n"/>
      <c r="BT35" s="7466" t="n"/>
      <c r="BU35" s="7466" t="n"/>
      <c r="BV35" s="7466" t="n"/>
      <c r="BW35" s="7466" t="n"/>
      <c r="BX35" s="7466" t="n"/>
      <c r="BY35" s="7466" t="n"/>
      <c r="BZ35" s="7466" t="n"/>
      <c r="CA35" s="7466" t="n"/>
      <c r="CB35" s="7466" t="n"/>
      <c r="CC35" s="7466" t="n"/>
      <c r="CD35" s="7466" t="n"/>
      <c r="CE35" s="7453" t="n"/>
      <c r="CL35" s="7466" t="n"/>
    </row>
    <row r="36" ht="16.5" customHeight="1" s="7635" thickBot="1">
      <c r="A36" s="6996" t="n"/>
      <c r="B36" s="341" t="n"/>
      <c r="C36" s="5966" t="inlineStr">
        <is>
          <t>--</t>
        </is>
      </c>
      <c r="D36" s="5962" t="inlineStr">
        <is>
          <t>A dependent must be a U.S. citizen, resident alien or national or a resident of Canada or Mexico</t>
        </is>
      </c>
      <c r="E36" s="11602" t="n"/>
      <c r="F36" s="11602" t="n"/>
      <c r="G36" s="11602" t="n"/>
      <c r="H36" s="11602" t="n"/>
      <c r="I36" s="11602" t="n"/>
      <c r="J36" s="11602" t="n"/>
      <c r="K36" s="11602" t="n"/>
      <c r="L36" s="11602" t="n"/>
      <c r="M36" s="11602" t="n"/>
      <c r="N36" s="11602" t="n"/>
      <c r="O36" s="11602" t="n"/>
      <c r="P36" s="11602" t="n"/>
      <c r="Q36" s="11602" t="n"/>
      <c r="R36" s="11602" t="n"/>
      <c r="S36" s="11602" t="n"/>
      <c r="T36" s="11602" t="n"/>
      <c r="U36" s="11602" t="n"/>
      <c r="V36" s="11602" t="n"/>
      <c r="W36" s="11602" t="n"/>
      <c r="X36" s="11602" t="n"/>
      <c r="Y36" s="11602" t="n"/>
      <c r="Z36" s="11602" t="n"/>
      <c r="AA36" s="11602" t="n"/>
      <c r="AB36" s="11602" t="n"/>
      <c r="AC36" s="11602" t="n"/>
      <c r="AD36" s="11602" t="n"/>
      <c r="AE36" s="11602" t="n"/>
      <c r="AF36" s="11602" t="n"/>
      <c r="AG36" s="11602" t="n"/>
      <c r="AH36" s="11602" t="n"/>
      <c r="AI36" s="11602" t="n"/>
      <c r="AJ36" s="11602" t="n"/>
      <c r="AK36" s="11602" t="n"/>
      <c r="AL36" s="11602" t="n"/>
      <c r="AM36" s="379" t="n"/>
      <c r="AN36" s="11602" t="n"/>
      <c r="AO36" s="341" t="n"/>
      <c r="AP36" s="11602" t="n"/>
      <c r="AQ36" s="11602" t="n"/>
      <c r="AR36" s="11602" t="n"/>
      <c r="AS36" s="11602" t="n"/>
      <c r="AT36" s="11602" t="n"/>
      <c r="AU36" s="11602" t="n"/>
      <c r="AV36" s="11602" t="n"/>
      <c r="AW36" s="11602" t="n"/>
      <c r="AX36" s="11602" t="n"/>
      <c r="AY36" s="11602" t="n"/>
      <c r="AZ36" s="11602" t="n"/>
      <c r="BA36" s="11602" t="n"/>
      <c r="BB36" s="11602" t="n"/>
      <c r="BC36" s="11602" t="n"/>
      <c r="BD36" s="11602" t="n"/>
      <c r="BE36" s="6173" t="inlineStr">
        <is>
          <t>Qualifying Child</t>
        </is>
      </c>
      <c r="BF36" s="7914" t="n"/>
      <c r="BG36" s="3789" t="inlineStr">
        <is>
          <t>Override</t>
        </is>
      </c>
      <c r="BH36" s="11602" t="n"/>
      <c r="BI36" s="6996" t="n"/>
      <c r="BJ36" s="11602" t="n"/>
      <c r="BK36" s="11602" t="n"/>
      <c r="BL36" s="6996" t="n"/>
      <c r="BM36" s="6996" t="n"/>
      <c r="BN36" s="6997" t="n"/>
      <c r="BO36" s="7453" t="n"/>
      <c r="BP36" s="7453" t="n"/>
      <c r="BQ36" s="7466" t="n"/>
      <c r="BR36" s="7466" t="n"/>
      <c r="BS36" s="7466" t="n"/>
      <c r="BT36" s="7466" t="n"/>
      <c r="BU36" s="7466" t="n"/>
      <c r="BV36" s="7466" t="n"/>
      <c r="BW36" s="7466" t="n"/>
      <c r="BX36" s="7466" t="n"/>
      <c r="BY36" s="7466" t="n"/>
      <c r="BZ36" s="7466" t="n"/>
      <c r="CA36" s="7466" t="n"/>
      <c r="CB36" s="7466" t="n"/>
      <c r="CC36" s="7466" t="n"/>
      <c r="CD36" s="7466" t="n"/>
      <c r="CE36" s="7453" t="n"/>
      <c r="CL36" s="7466" t="n"/>
    </row>
    <row r="37" ht="16.5" customHeight="1" s="7635" thickBot="1">
      <c r="A37" s="6996" t="n"/>
      <c r="B37" s="341" t="n"/>
      <c r="C37" s="5966" t="inlineStr">
        <is>
          <t>--</t>
        </is>
      </c>
      <c r="D37" s="5962" t="inlineStr">
        <is>
          <t>A person can't be claimed as a dependent on more than one tax return, with rare exceptions</t>
        </is>
      </c>
      <c r="E37" s="11602" t="n"/>
      <c r="F37" s="11602" t="n"/>
      <c r="G37" s="11602" t="n"/>
      <c r="H37" s="11602" t="n"/>
      <c r="I37" s="11602" t="n"/>
      <c r="J37" s="11602" t="n"/>
      <c r="K37" s="11602" t="n"/>
      <c r="L37" s="11602" t="n"/>
      <c r="M37" s="11602" t="n"/>
      <c r="N37" s="11602" t="n"/>
      <c r="O37" s="11602" t="n"/>
      <c r="P37" s="11602" t="n"/>
      <c r="Q37" s="11602" t="n"/>
      <c r="R37" s="11602" t="n"/>
      <c r="S37" s="11602" t="n"/>
      <c r="T37" s="11602" t="n"/>
      <c r="U37" s="11602" t="n"/>
      <c r="V37" s="11602" t="n"/>
      <c r="W37" s="11602" t="n"/>
      <c r="X37" s="11602" t="n"/>
      <c r="Y37" s="11602" t="n"/>
      <c r="Z37" s="11602" t="n"/>
      <c r="AA37" s="11602" t="n"/>
      <c r="AB37" s="11602" t="n"/>
      <c r="AC37" s="11602" t="n"/>
      <c r="AD37" s="11602" t="n"/>
      <c r="AE37" s="11602" t="n"/>
      <c r="AF37" s="11602" t="n"/>
      <c r="AG37" s="11602" t="n"/>
      <c r="AH37" s="11602" t="n"/>
      <c r="AI37" s="11602" t="n"/>
      <c r="AJ37" s="11602" t="n"/>
      <c r="AK37" s="11602" t="n"/>
      <c r="AL37" s="11602" t="n"/>
      <c r="AM37" s="379" t="n"/>
      <c r="AN37" s="11602" t="n"/>
      <c r="AO37" s="341" t="n"/>
      <c r="AP37" s="11602" t="n"/>
      <c r="AQ37" s="11602" t="n"/>
      <c r="AR37" s="11602" t="n"/>
      <c r="AS37" s="11602" t="n"/>
      <c r="AT37" s="11602" t="n"/>
      <c r="AU37" s="11602" t="n"/>
      <c r="AV37" s="11602" t="n"/>
      <c r="AW37" s="11602" t="n"/>
      <c r="AX37" s="11602" t="n"/>
      <c r="AY37" s="11602" t="n"/>
      <c r="AZ37" s="11602" t="n"/>
      <c r="BA37" s="11602" t="n"/>
      <c r="BB37" s="11602" t="n"/>
      <c r="BC37" s="11602" t="n"/>
      <c r="BD37" s="11602" t="n"/>
      <c r="BE37" s="7899" t="inlineStr">
        <is>
          <t>CTC - Qualifying childen under 17 w/ SSN</t>
        </is>
      </c>
      <c r="BF37" s="6165">
        <f>IF(BG37&lt;&gt;"",ROUND(BG37,0),CO33)</f>
        <v/>
      </c>
      <c r="BG37" s="1423" t="n"/>
      <c r="BH37" s="11602" t="n"/>
      <c r="BI37" s="6996" t="n"/>
      <c r="BJ37" s="11602" t="n"/>
      <c r="BK37" s="11602" t="n"/>
      <c r="BL37" s="6996" t="n"/>
      <c r="BM37" s="6996" t="n"/>
      <c r="BN37" s="346" t="inlineStr">
        <is>
          <t>Used as input to Sch. 8812, line 4.</t>
        </is>
      </c>
      <c r="BO37" s="7453" t="n"/>
      <c r="BP37" s="7453" t="n"/>
      <c r="BQ37" s="7466" t="n"/>
      <c r="BR37" s="7466" t="n"/>
      <c r="BS37" s="7466" t="n"/>
      <c r="BT37" s="7466" t="n"/>
      <c r="BU37" s="7466" t="n"/>
      <c r="BV37" s="7466" t="n"/>
      <c r="BW37" s="7466" t="n"/>
      <c r="BX37" s="7466" t="n"/>
      <c r="BY37" s="7466" t="n"/>
      <c r="BZ37" s="7466" t="n"/>
      <c r="CA37" s="7466" t="n"/>
      <c r="CB37" s="7466" t="n"/>
      <c r="CC37" s="7466" t="n"/>
      <c r="CD37" s="7466" t="n"/>
      <c r="CE37" s="7453" t="n"/>
      <c r="CL37" s="7466" t="n"/>
    </row>
    <row r="38" ht="16.5" customHeight="1" s="7635" thickBot="1">
      <c r="A38" s="6996" t="n"/>
      <c r="B38" s="341" t="n"/>
      <c r="C38" s="5966" t="inlineStr">
        <is>
          <t>--</t>
        </is>
      </c>
      <c r="D38" s="5962" t="inlineStr">
        <is>
          <t>A dependent can't claim a dependent on their own tax return</t>
        </is>
      </c>
      <c r="E38" s="11602" t="n"/>
      <c r="F38" s="11602" t="n"/>
      <c r="G38" s="11602" t="n"/>
      <c r="H38" s="11602" t="n"/>
      <c r="I38" s="11602" t="n"/>
      <c r="J38" s="11602" t="n"/>
      <c r="K38" s="11602" t="n"/>
      <c r="L38" s="11602" t="n"/>
      <c r="M38" s="11602" t="n"/>
      <c r="N38" s="11602" t="n"/>
      <c r="O38" s="11602" t="n"/>
      <c r="P38" s="11602" t="n"/>
      <c r="Q38" s="11602" t="n"/>
      <c r="R38" s="11602" t="n"/>
      <c r="S38" s="11602" t="n"/>
      <c r="T38" s="11602" t="n"/>
      <c r="U38" s="11602" t="n"/>
      <c r="V38" s="11602" t="n"/>
      <c r="W38" s="11602" t="n"/>
      <c r="X38" s="11602" t="n"/>
      <c r="Y38" s="11602" t="n"/>
      <c r="Z38" s="11602" t="n"/>
      <c r="AA38" s="11602" t="n"/>
      <c r="AB38" s="11602" t="n"/>
      <c r="AC38" s="11602" t="n"/>
      <c r="AD38" s="11602" t="n"/>
      <c r="AE38" s="11602" t="n"/>
      <c r="AF38" s="11602" t="n"/>
      <c r="AG38" s="11602" t="n"/>
      <c r="AH38" s="11602" t="n"/>
      <c r="AI38" s="11602" t="n"/>
      <c r="AJ38" s="11602" t="n"/>
      <c r="AK38" s="11602" t="n"/>
      <c r="AL38" s="11602" t="n"/>
      <c r="AM38" s="379" t="n"/>
      <c r="AN38" s="11602" t="n"/>
      <c r="AO38" s="341" t="n"/>
      <c r="AP38" s="11602" t="n"/>
      <c r="AQ38" s="11602" t="n"/>
      <c r="AR38" s="11602" t="n"/>
      <c r="AS38" s="11602" t="n"/>
      <c r="AT38" s="11602" t="n"/>
      <c r="AU38" s="11602" t="n"/>
      <c r="AV38" s="11602" t="n"/>
      <c r="AW38" s="11602" t="n"/>
      <c r="AX38" s="11602" t="n"/>
      <c r="AY38" s="11602" t="n"/>
      <c r="AZ38" s="11602" t="n"/>
      <c r="BA38" s="11602" t="n"/>
      <c r="BB38" s="11602" t="n"/>
      <c r="BC38" s="11602" t="n"/>
      <c r="BD38" s="11602" t="n"/>
      <c r="BE38" s="7899" t="inlineStr">
        <is>
          <t>CFOD - Credit for Other Dependent - Qualifying childen not under 17</t>
        </is>
      </c>
      <c r="BF38" s="6165">
        <f>IF(BG38&lt;&gt;"",ROUND(BG38,0),CP33)</f>
        <v/>
      </c>
      <c r="BG38" s="1423" t="n"/>
      <c r="BH38" s="6168" t="n"/>
      <c r="BI38" s="7601" t="n"/>
      <c r="BJ38" s="6171" t="n"/>
      <c r="BK38" s="380" t="n"/>
      <c r="BL38" s="6996" t="n"/>
      <c r="BM38" s="6996" t="n"/>
      <c r="BN38" s="346" t="inlineStr">
        <is>
          <t>Used as input to Sch. 8812, line 6.</t>
        </is>
      </c>
      <c r="BO38" s="7453" t="n"/>
      <c r="BP38" s="7453" t="n"/>
      <c r="BQ38" s="7453" t="n"/>
      <c r="BR38" s="7466" t="n"/>
      <c r="BS38" s="7466" t="n"/>
      <c r="BT38" s="7466" t="n"/>
      <c r="BU38" s="7466" t="n"/>
      <c r="BV38" s="7466" t="n"/>
      <c r="BW38" s="7466" t="n"/>
      <c r="BX38" s="7466" t="n"/>
      <c r="BY38" s="7466" t="n"/>
      <c r="BZ38" s="7466" t="n"/>
      <c r="CA38" s="7466" t="n"/>
      <c r="CB38" s="7466" t="n"/>
      <c r="CC38" s="7466" t="n"/>
      <c r="CD38" s="7466" t="n"/>
      <c r="CE38" s="7453" t="n"/>
      <c r="CL38" s="7466" t="n"/>
    </row>
    <row r="39" ht="16.5" customHeight="1" s="7635" thickBot="1">
      <c r="A39" s="6996" t="n"/>
      <c r="B39" s="341" t="n"/>
      <c r="C39" s="5966" t="inlineStr">
        <is>
          <t>--</t>
        </is>
      </c>
      <c r="D39" s="5962" t="inlineStr">
        <is>
          <t>You can't claim your spouse as a dependent if you file jointly</t>
        </is>
      </c>
      <c r="E39" s="11602" t="n"/>
      <c r="F39" s="11602" t="n"/>
      <c r="G39" s="11602" t="n"/>
      <c r="H39" s="11602" t="n"/>
      <c r="I39" s="11602" t="n"/>
      <c r="J39" s="11602" t="n"/>
      <c r="K39" s="11602" t="n"/>
      <c r="L39" s="11602" t="n"/>
      <c r="M39" s="11602" t="n"/>
      <c r="N39" s="11602" t="n"/>
      <c r="O39" s="11602" t="n"/>
      <c r="P39" s="11602" t="n"/>
      <c r="Q39" s="11602" t="n"/>
      <c r="R39" s="11602" t="n"/>
      <c r="S39" s="11602" t="n"/>
      <c r="T39" s="11602" t="n"/>
      <c r="U39" s="11602" t="n"/>
      <c r="V39" s="11602" t="n"/>
      <c r="W39" s="11602" t="n"/>
      <c r="X39" s="11602" t="n"/>
      <c r="Y39" s="11602" t="n"/>
      <c r="Z39" s="11602" t="n"/>
      <c r="AA39" s="11602" t="n"/>
      <c r="AB39" s="11602" t="n"/>
      <c r="AC39" s="11602" t="n"/>
      <c r="AD39" s="11602" t="n"/>
      <c r="AE39" s="11602" t="n"/>
      <c r="AF39" s="11602" t="n"/>
      <c r="AG39" s="11602" t="n"/>
      <c r="AH39" s="11602" t="n"/>
      <c r="AI39" s="11602" t="n"/>
      <c r="AJ39" s="11602" t="n"/>
      <c r="AK39" s="11602" t="n"/>
      <c r="AL39" s="11602" t="n"/>
      <c r="AM39" s="379" t="n"/>
      <c r="AN39" s="11602" t="n"/>
      <c r="AO39" s="341" t="n"/>
      <c r="AP39" s="11602" t="n"/>
      <c r="AQ39" s="11602" t="n"/>
      <c r="AR39" s="11602" t="n"/>
      <c r="AS39" s="11602" t="n"/>
      <c r="AT39" s="11602" t="n"/>
      <c r="AU39" s="11602" t="n"/>
      <c r="AV39" s="11602" t="n"/>
      <c r="AW39" s="11602" t="n"/>
      <c r="AX39" s="11602" t="n"/>
      <c r="AY39" s="11602" t="n"/>
      <c r="AZ39" s="11602" t="n"/>
      <c r="BA39" s="11602" t="n"/>
      <c r="BB39" s="11602" t="n"/>
      <c r="BC39" s="11602" t="n"/>
      <c r="BD39" s="11602" t="n"/>
      <c r="BE39" s="11602" t="n"/>
      <c r="BF39" s="11602" t="n"/>
      <c r="BG39" s="11602" t="n"/>
      <c r="BH39" s="11602" t="n"/>
      <c r="BI39" s="11602" t="n"/>
      <c r="BJ39" s="11602" t="n"/>
      <c r="BK39" s="6166">
        <f>SUM(BF37:BF38)</f>
        <v/>
      </c>
      <c r="BL39" s="3775" t="inlineStr">
        <is>
          <t>Total Qualifying Children</t>
        </is>
      </c>
      <c r="BM39" s="11602" t="n"/>
      <c r="BN39" s="6997" t="n"/>
      <c r="BO39" s="7453" t="n"/>
      <c r="BP39" s="7453" t="n"/>
      <c r="BQ39" s="7466" t="n"/>
      <c r="BR39" s="7466" t="n"/>
      <c r="BS39" s="7466" t="n"/>
      <c r="BT39" s="7466" t="n"/>
      <c r="BU39" s="7466" t="n"/>
      <c r="BV39" s="7466" t="n"/>
      <c r="BW39" s="7466" t="n"/>
      <c r="BX39" s="7466" t="n"/>
      <c r="BY39" s="7466" t="n"/>
      <c r="BZ39" s="7466" t="n"/>
      <c r="CA39" s="7466" t="n"/>
      <c r="CB39" s="7466" t="n"/>
      <c r="CC39" s="7466" t="n"/>
      <c r="CD39" s="7466" t="n"/>
      <c r="CE39" s="7453" t="n"/>
      <c r="CL39" s="7466" t="n"/>
      <c r="CM39" s="7453" t="n"/>
    </row>
    <row r="40" ht="15" customHeight="1" s="7635">
      <c r="A40" s="6996" t="n"/>
      <c r="B40" s="341" t="n"/>
      <c r="C40" s="5966" t="inlineStr">
        <is>
          <t>--</t>
        </is>
      </c>
      <c r="D40" s="5969" t="inlineStr">
        <is>
          <t>A dependent must be a Qualifying Child or Qualifying Relative</t>
        </is>
      </c>
      <c r="E40" s="11602" t="n"/>
      <c r="F40" s="11602" t="n"/>
      <c r="G40" s="11602" t="n"/>
      <c r="H40" s="11602" t="n"/>
      <c r="I40" s="11602" t="n"/>
      <c r="J40" s="11602" t="n"/>
      <c r="K40" s="11602" t="n"/>
      <c r="L40" s="11602" t="n"/>
      <c r="M40" s="11602" t="n"/>
      <c r="N40" s="11602" t="n"/>
      <c r="O40" s="11602" t="n"/>
      <c r="P40" s="11602" t="n"/>
      <c r="Q40" s="11602" t="n"/>
      <c r="R40" s="11602" t="n"/>
      <c r="S40" s="11602" t="n"/>
      <c r="T40" s="11602" t="n"/>
      <c r="U40" s="11602" t="n"/>
      <c r="V40" s="11602" t="n"/>
      <c r="W40" s="11602" t="n"/>
      <c r="X40" s="11602" t="n"/>
      <c r="Y40" s="11602" t="n"/>
      <c r="Z40" s="11602" t="n"/>
      <c r="AA40" s="11602" t="n"/>
      <c r="AB40" s="11602" t="n"/>
      <c r="AC40" s="11602" t="n"/>
      <c r="AD40" s="11602" t="n"/>
      <c r="AE40" s="11602" t="n"/>
      <c r="AF40" s="11602" t="n"/>
      <c r="AG40" s="11602" t="n"/>
      <c r="AH40" s="11602" t="n"/>
      <c r="AI40" s="11602" t="n"/>
      <c r="AJ40" s="11602" t="n"/>
      <c r="AK40" s="11602" t="n"/>
      <c r="AL40" s="11602" t="n"/>
      <c r="AM40" s="379" t="n"/>
      <c r="AN40" s="11602" t="n"/>
      <c r="AO40" s="341" t="n"/>
      <c r="AP40" s="11602" t="n"/>
      <c r="AQ40" s="11602" t="n"/>
      <c r="AR40" s="11602" t="n"/>
      <c r="AS40" s="11602" t="n"/>
      <c r="AT40" s="11602" t="n"/>
      <c r="AU40" s="11602" t="n"/>
      <c r="AV40" s="11602" t="n"/>
      <c r="AW40" s="11602" t="n"/>
      <c r="AX40" s="11602" t="n"/>
      <c r="AY40" s="11602" t="n"/>
      <c r="AZ40" s="11602" t="n"/>
      <c r="BA40" s="11602" t="n"/>
      <c r="BB40" s="11602" t="n"/>
      <c r="BC40" s="11602" t="n"/>
      <c r="BD40" s="11602" t="n"/>
      <c r="BE40" s="11602" t="n"/>
      <c r="BF40" s="11602" t="n"/>
      <c r="BG40" s="11602" t="n"/>
      <c r="BH40" s="11602" t="n"/>
      <c r="BI40" s="11602" t="n"/>
      <c r="BJ40" s="11602" t="n"/>
      <c r="BK40" s="344" t="n"/>
      <c r="BL40" s="6996" t="n"/>
      <c r="BM40" s="6996" t="n"/>
      <c r="BN40" s="346" t="inlineStr">
        <is>
          <t>Used on sheet '1040' to calculate 'Tax Family Size'.</t>
        </is>
      </c>
      <c r="BO40" s="7453" t="n"/>
      <c r="BP40" s="7453" t="n"/>
      <c r="BQ40" s="7466" t="n"/>
      <c r="BR40" s="7466" t="n"/>
      <c r="BS40" s="7466" t="n"/>
      <c r="BT40" s="7466" t="n"/>
      <c r="BU40" s="7466" t="n"/>
      <c r="BV40" s="7466" t="n"/>
      <c r="BW40" s="7466" t="n"/>
      <c r="BX40" s="7466" t="n"/>
      <c r="BY40" s="7466" t="n"/>
      <c r="BZ40" s="7466" t="n"/>
      <c r="CA40" s="7466" t="n"/>
      <c r="CB40" s="7466" t="n"/>
      <c r="CC40" s="7466" t="n"/>
      <c r="CD40" s="7466" t="n"/>
      <c r="CL40" s="7466" t="n"/>
      <c r="CM40" s="7453" t="n"/>
    </row>
    <row r="41" ht="13.5" customHeight="1" s="7635">
      <c r="A41" s="6996" t="n"/>
      <c r="B41" s="341" t="n"/>
      <c r="C41" s="5962" t="n"/>
      <c r="D41" s="11602" t="n"/>
      <c r="E41" s="11602" t="n"/>
      <c r="F41" s="11602" t="n"/>
      <c r="G41" s="11602" t="n"/>
      <c r="H41" s="11602" t="n"/>
      <c r="I41" s="11602" t="n"/>
      <c r="J41" s="11602" t="n"/>
      <c r="K41" s="11602" t="n"/>
      <c r="L41" s="11602" t="n"/>
      <c r="M41" s="11602" t="n"/>
      <c r="N41" s="11602" t="n"/>
      <c r="O41" s="11602" t="n"/>
      <c r="P41" s="11602" t="n"/>
      <c r="Q41" s="11602" t="n"/>
      <c r="R41" s="11602" t="n"/>
      <c r="S41" s="11602" t="n"/>
      <c r="T41" s="11602" t="n"/>
      <c r="U41" s="11602" t="n"/>
      <c r="V41" s="11602" t="n"/>
      <c r="W41" s="11602" t="n"/>
      <c r="X41" s="11602" t="n"/>
      <c r="Y41" s="11602" t="n"/>
      <c r="Z41" s="11602" t="n"/>
      <c r="AA41" s="11602" t="n"/>
      <c r="AB41" s="11602" t="n"/>
      <c r="AC41" s="11602" t="n"/>
      <c r="AD41" s="11602" t="n"/>
      <c r="AE41" s="11602" t="n"/>
      <c r="AF41" s="11602" t="n"/>
      <c r="AG41" s="11602" t="n"/>
      <c r="AH41" s="11602" t="n"/>
      <c r="AI41" s="11602" t="n"/>
      <c r="AJ41" s="11602" t="n"/>
      <c r="AK41" s="11602" t="n"/>
      <c r="AL41" s="11602" t="n"/>
      <c r="AM41" s="379" t="n"/>
      <c r="AN41" s="11602" t="n"/>
      <c r="AO41" s="341" t="n"/>
      <c r="AP41" s="11602" t="n"/>
      <c r="AQ41" s="11602" t="n"/>
      <c r="AR41" s="11602" t="n"/>
      <c r="AS41" s="11602" t="n"/>
      <c r="AT41" s="11602" t="n"/>
      <c r="AU41" s="11602" t="n"/>
      <c r="AV41" s="11602" t="n"/>
      <c r="AW41" s="11602" t="n"/>
      <c r="AX41" s="11602" t="n"/>
      <c r="AY41" s="11602" t="n"/>
      <c r="AZ41" s="11602" t="n"/>
      <c r="BA41" s="11602" t="n"/>
      <c r="BB41" s="11602" t="n"/>
      <c r="BC41" s="11602" t="n"/>
      <c r="BD41" s="11602" t="n"/>
      <c r="BE41" s="11602" t="n"/>
      <c r="BF41" s="11602" t="n"/>
      <c r="BG41" s="11602" t="n"/>
      <c r="BH41" s="11602" t="n"/>
      <c r="BI41" s="11602" t="n"/>
      <c r="BJ41" s="11602" t="n"/>
      <c r="BK41" s="11602" t="n"/>
      <c r="BL41" s="6996" t="n"/>
      <c r="BM41" s="6996" t="n"/>
      <c r="BN41" s="6997" t="n"/>
      <c r="BO41" s="7453" t="n"/>
      <c r="BP41" s="7453" t="n"/>
      <c r="BQ41" s="7466" t="n"/>
      <c r="BR41" s="7466" t="n"/>
      <c r="BS41" s="7466" t="n"/>
      <c r="BT41" s="7466" t="n"/>
      <c r="BU41" s="7466" t="n"/>
      <c r="BV41" s="7466" t="n"/>
      <c r="BW41" s="7466" t="n"/>
      <c r="BX41" s="7466" t="n"/>
      <c r="BY41" s="7466" t="n"/>
      <c r="BZ41" s="7466" t="n"/>
      <c r="CA41" s="7466" t="n"/>
      <c r="CB41" s="7466" t="n"/>
      <c r="CC41" s="7466" t="n"/>
      <c r="CD41" s="7466" t="n"/>
      <c r="CL41" s="7466" t="n"/>
      <c r="CM41" s="7453" t="n"/>
    </row>
    <row r="42" ht="18.75" customHeight="1" s="7635" thickBot="1">
      <c r="A42" s="6996" t="n"/>
      <c r="B42" s="341" t="n"/>
      <c r="C42" s="5967" t="inlineStr">
        <is>
          <t>Qualifying child</t>
        </is>
      </c>
      <c r="D42" s="11602" t="n"/>
      <c r="E42" s="11602" t="n"/>
      <c r="F42" s="11602" t="n"/>
      <c r="G42" s="11602" t="n"/>
      <c r="H42" s="11602" t="n"/>
      <c r="I42" s="11602" t="n"/>
      <c r="J42" s="11602" t="n"/>
      <c r="K42" s="11602" t="n"/>
      <c r="L42" s="11602" t="n"/>
      <c r="M42" s="11602" t="n"/>
      <c r="N42" s="11602" t="n"/>
      <c r="O42" s="11602" t="n"/>
      <c r="P42" s="11602" t="n"/>
      <c r="Q42" s="11602" t="n"/>
      <c r="R42" s="11602" t="n"/>
      <c r="S42" s="11602" t="n"/>
      <c r="T42" s="11602" t="n"/>
      <c r="U42" s="11602" t="n"/>
      <c r="V42" s="11602" t="n"/>
      <c r="W42" s="11602" t="n"/>
      <c r="X42" s="11602" t="n"/>
      <c r="Y42" s="11602" t="n"/>
      <c r="Z42" s="11602" t="n"/>
      <c r="AA42" s="11602" t="n"/>
      <c r="AB42" s="11602" t="n"/>
      <c r="AC42" s="11602" t="n"/>
      <c r="AD42" s="11602" t="n"/>
      <c r="AE42" s="11602" t="n"/>
      <c r="AF42" s="11602" t="n"/>
      <c r="AG42" s="11602" t="n"/>
      <c r="AH42" s="11602" t="n"/>
      <c r="AI42" s="11602" t="n"/>
      <c r="AJ42" s="11602" t="n"/>
      <c r="AK42" s="11602" t="n"/>
      <c r="AL42" s="11602" t="n"/>
      <c r="AM42" s="379" t="n"/>
      <c r="AN42" s="11602" t="n"/>
      <c r="AO42" s="341" t="n"/>
      <c r="AP42" s="11602" t="n"/>
      <c r="AQ42" s="11602" t="n"/>
      <c r="AR42" s="11602" t="n"/>
      <c r="AS42" s="11602" t="n"/>
      <c r="AT42" s="11602" t="n"/>
      <c r="AU42" s="11602" t="n"/>
      <c r="AV42" s="11602" t="n"/>
      <c r="AW42" s="11602" t="n"/>
      <c r="AX42" s="11602" t="n"/>
      <c r="AY42" s="11602" t="n"/>
      <c r="AZ42" s="11602" t="n"/>
      <c r="BA42" s="11602" t="n"/>
      <c r="BB42" s="11602" t="n"/>
      <c r="BC42" s="11602" t="n"/>
      <c r="BD42" s="11602" t="n"/>
      <c r="BE42" s="6173" t="inlineStr">
        <is>
          <t>Qualifying Relative</t>
        </is>
      </c>
      <c r="BF42" s="1401" t="n"/>
      <c r="BG42" s="3789" t="inlineStr">
        <is>
          <t>Override</t>
        </is>
      </c>
      <c r="BH42" s="11602" t="n"/>
      <c r="BI42" s="11602" t="n"/>
      <c r="BJ42" s="11602" t="n"/>
      <c r="BK42" s="6996" t="n"/>
      <c r="BL42" s="6996" t="n"/>
      <c r="BM42" s="6996" t="n"/>
      <c r="BN42" s="6997" t="n"/>
      <c r="BO42" s="7453" t="n"/>
      <c r="BP42" s="7453" t="n"/>
      <c r="BQ42" s="7466" t="n"/>
      <c r="BR42" s="7466" t="n"/>
      <c r="BS42" s="7466" t="n"/>
      <c r="BT42" s="7466" t="n"/>
      <c r="BU42" s="7466" t="n"/>
      <c r="BV42" s="7466" t="n"/>
      <c r="BW42" s="7466" t="n"/>
      <c r="BX42" s="7466" t="n"/>
      <c r="BY42" s="7466" t="n"/>
      <c r="BZ42" s="7466" t="n"/>
      <c r="CA42" s="7466" t="n"/>
      <c r="CB42" s="7466" t="n"/>
      <c r="CC42" s="7466" t="n"/>
      <c r="CD42" s="7466" t="n"/>
      <c r="CL42" s="7466" t="n"/>
      <c r="CM42" s="7453" t="n"/>
    </row>
    <row r="43" ht="16.5" customHeight="1" s="7635" thickBot="1">
      <c r="A43" s="6996" t="n"/>
      <c r="B43" s="341" t="n"/>
      <c r="C43" s="5965" t="inlineStr">
        <is>
          <t>To qualify as a dependent, a child must also pass these tests:</t>
        </is>
      </c>
      <c r="D43" s="11602" t="n"/>
      <c r="E43" s="11602" t="n"/>
      <c r="F43" s="11602" t="n"/>
      <c r="G43" s="11602" t="n"/>
      <c r="H43" s="11602" t="n"/>
      <c r="I43" s="11602" t="n"/>
      <c r="J43" s="11602" t="n"/>
      <c r="K43" s="11602" t="n"/>
      <c r="L43" s="11602" t="n"/>
      <c r="M43" s="11602" t="n"/>
      <c r="N43" s="11602" t="n"/>
      <c r="O43" s="11602" t="n"/>
      <c r="P43" s="11602" t="n"/>
      <c r="Q43" s="11602" t="n"/>
      <c r="R43" s="11602" t="n"/>
      <c r="S43" s="11602" t="n"/>
      <c r="T43" s="11602" t="n"/>
      <c r="U43" s="11602" t="n"/>
      <c r="V43" s="11602" t="n"/>
      <c r="W43" s="11602" t="n"/>
      <c r="X43" s="11602" t="n"/>
      <c r="Y43" s="11602" t="n"/>
      <c r="Z43" s="11602" t="n"/>
      <c r="AA43" s="11602" t="n"/>
      <c r="AB43" s="11602" t="n"/>
      <c r="AC43" s="11602" t="n"/>
      <c r="AD43" s="11602" t="n"/>
      <c r="AE43" s="11602" t="n"/>
      <c r="AF43" s="11602" t="n"/>
      <c r="AG43" s="11602" t="n"/>
      <c r="AH43" s="11602" t="n"/>
      <c r="AI43" s="11602" t="n"/>
      <c r="AJ43" s="11602" t="n"/>
      <c r="AK43" s="11602" t="n"/>
      <c r="AL43" s="11602" t="n"/>
      <c r="AM43" s="379" t="n"/>
      <c r="AN43" s="11602" t="n"/>
      <c r="AO43" s="341" t="n"/>
      <c r="AP43" s="11602" t="n"/>
      <c r="AQ43" s="11602" t="n"/>
      <c r="AR43" s="11602" t="n"/>
      <c r="AS43" s="11602" t="n"/>
      <c r="AT43" s="11602" t="n"/>
      <c r="AU43" s="11602" t="n"/>
      <c r="AV43" s="11602" t="n"/>
      <c r="AW43" s="11602" t="n"/>
      <c r="AX43" s="11602" t="n"/>
      <c r="AY43" s="11602" t="n"/>
      <c r="AZ43" s="11602" t="n"/>
      <c r="BA43" s="11602" t="n"/>
      <c r="BB43" s="11602" t="n"/>
      <c r="BC43" s="11602" t="n"/>
      <c r="BD43" s="11602" t="n"/>
      <c r="BE43" s="6174" t="inlineStr">
        <is>
          <t>CFOD - Credit for Other Dependents</t>
        </is>
      </c>
      <c r="BF43" s="6165">
        <f>IF(BG43&lt;&gt;"",ROUND(BG43,0),CQ33)</f>
        <v/>
      </c>
      <c r="BG43" s="1423" t="n"/>
      <c r="BH43" s="11602" t="n"/>
      <c r="BI43" s="11602" t="n"/>
      <c r="BJ43" s="11602" t="n"/>
      <c r="BK43" s="6996" t="n"/>
      <c r="BL43" s="6996" t="n"/>
      <c r="BM43" s="6996" t="n"/>
      <c r="BN43" s="346" t="inlineStr">
        <is>
          <t>Used as input to Sch. 8812, line 6.</t>
        </is>
      </c>
      <c r="BO43" s="7453" t="n"/>
      <c r="BP43" s="7453" t="n"/>
      <c r="BQ43" s="7466" t="n"/>
      <c r="BR43" s="7466" t="n"/>
      <c r="BS43" s="7466" t="n"/>
      <c r="BT43" s="7466" t="n"/>
      <c r="BU43" s="7466" t="n"/>
      <c r="BV43" s="7466" t="n"/>
      <c r="BW43" s="7466" t="n"/>
      <c r="BX43" s="7466" t="n"/>
      <c r="BY43" s="7466" t="n"/>
      <c r="BZ43" s="7466" t="n"/>
      <c r="CA43" s="7466" t="n"/>
      <c r="CB43" s="7466" t="n"/>
      <c r="CC43" s="7466" t="n"/>
      <c r="CD43" s="7466" t="n"/>
      <c r="CL43" s="7466" t="n"/>
      <c r="CM43" s="7453" t="n"/>
    </row>
    <row r="44" ht="16.5" customHeight="1" s="7635" thickBot="1">
      <c r="A44" s="6996" t="n"/>
      <c r="B44" s="341" t="n"/>
      <c r="C44" s="5968" t="inlineStr">
        <is>
          <t>--</t>
        </is>
      </c>
      <c r="D44" s="7772" t="inlineStr">
        <is>
          <t xml:space="preserve">Relationship: Be your son, daughter, stepchild, eligible foster child, brother, sister, half-sister or -brother, stepbrother, stepsister, </t>
        </is>
      </c>
      <c r="E44" s="11602" t="n"/>
      <c r="F44" s="11602" t="n"/>
      <c r="G44" s="11602" t="n"/>
      <c r="H44" s="11602" t="n"/>
      <c r="I44" s="11602" t="n"/>
      <c r="J44" s="11602" t="n"/>
      <c r="K44" s="11602" t="n"/>
      <c r="L44" s="11602" t="n"/>
      <c r="M44" s="11602" t="n"/>
      <c r="N44" s="11602" t="n"/>
      <c r="O44" s="11602" t="n"/>
      <c r="P44" s="11602" t="n"/>
      <c r="Q44" s="11602" t="n"/>
      <c r="R44" s="11602" t="n"/>
      <c r="S44" s="11602" t="n"/>
      <c r="T44" s="11602" t="n"/>
      <c r="U44" s="11602" t="n"/>
      <c r="V44" s="11602" t="n"/>
      <c r="W44" s="11602" t="n"/>
      <c r="X44" s="11602" t="n"/>
      <c r="Y44" s="11602" t="n"/>
      <c r="Z44" s="11602" t="n"/>
      <c r="AA44" s="11602" t="n"/>
      <c r="AB44" s="11602" t="n"/>
      <c r="AC44" s="11602" t="n"/>
      <c r="AD44" s="11602" t="n"/>
      <c r="AE44" s="11602" t="n"/>
      <c r="AF44" s="11602" t="n"/>
      <c r="AG44" s="11602" t="n"/>
      <c r="AH44" s="11602" t="n"/>
      <c r="AI44" s="11602" t="n"/>
      <c r="AJ44" s="11602" t="n"/>
      <c r="AK44" s="11602" t="n"/>
      <c r="AL44" s="11602" t="n"/>
      <c r="AM44" s="379" t="n"/>
      <c r="AN44" s="11602" t="n"/>
      <c r="AO44" s="341" t="n"/>
      <c r="AP44" s="11602" t="n"/>
      <c r="AQ44" s="11602" t="n"/>
      <c r="AR44" s="11602" t="n"/>
      <c r="AS44" s="11602" t="n"/>
      <c r="AT44" s="11602" t="n"/>
      <c r="AU44" s="11602" t="n"/>
      <c r="AV44" s="11602" t="n"/>
      <c r="AW44" s="11602" t="n"/>
      <c r="AX44" s="11602" t="n"/>
      <c r="AY44" s="11602" t="n"/>
      <c r="AZ44" s="11602" t="n"/>
      <c r="BA44" s="11602" t="n"/>
      <c r="BB44" s="11602" t="n"/>
      <c r="BC44" s="11602" t="n"/>
      <c r="BD44" s="11602" t="n"/>
      <c r="BE44" s="11602" t="n"/>
      <c r="BF44" s="11602" t="n"/>
      <c r="BG44" s="11602" t="n"/>
      <c r="BH44" s="11602" t="n"/>
      <c r="BI44" s="407" t="n"/>
      <c r="BJ44" s="11602" t="n"/>
      <c r="BK44" s="6996" t="n"/>
      <c r="BL44" s="6996" t="n"/>
      <c r="BM44" s="6996" t="n"/>
      <c r="BN44" s="6997" t="n"/>
      <c r="BO44" s="7453" t="n"/>
      <c r="BP44" s="7453" t="n"/>
      <c r="BQ44" s="7466" t="n"/>
      <c r="BR44" s="7466" t="n"/>
      <c r="BS44" s="7466" t="n"/>
      <c r="BT44" s="7466" t="n"/>
      <c r="BU44" s="7466" t="n"/>
      <c r="BV44" s="7466" t="n"/>
      <c r="BW44" s="7466" t="n"/>
      <c r="BX44" s="7466" t="n"/>
      <c r="BY44" s="7466" t="n"/>
      <c r="BZ44" s="7466" t="n"/>
      <c r="CA44" s="7466" t="n"/>
      <c r="CB44" s="7466" t="n"/>
      <c r="CC44" s="7466" t="n"/>
      <c r="CD44" s="7466" t="n"/>
      <c r="CL44" s="7466" t="n"/>
      <c r="CM44" s="7453" t="n"/>
    </row>
    <row r="45" ht="16.5" customHeight="1" s="7635" thickBot="1">
      <c r="A45" s="6996" t="n"/>
      <c r="B45" s="341" t="n"/>
      <c r="C45" s="5968" t="n"/>
      <c r="D45" s="7772" t="n"/>
      <c r="E45" s="7772" t="inlineStr">
        <is>
          <t>adopted child or the child of one of these</t>
        </is>
      </c>
      <c r="F45" s="11602" t="n"/>
      <c r="G45" s="11602" t="n"/>
      <c r="H45" s="11602" t="n"/>
      <c r="I45" s="11602" t="n"/>
      <c r="J45" s="11602" t="n"/>
      <c r="K45" s="11602" t="n"/>
      <c r="L45" s="11602" t="n"/>
      <c r="M45" s="11602" t="n"/>
      <c r="N45" s="11602" t="n"/>
      <c r="O45" s="11602" t="n"/>
      <c r="P45" s="11602" t="n"/>
      <c r="Q45" s="11602" t="n"/>
      <c r="R45" s="11602" t="n"/>
      <c r="S45" s="11602" t="n"/>
      <c r="T45" s="11602" t="n"/>
      <c r="U45" s="11602" t="n"/>
      <c r="V45" s="11602" t="n"/>
      <c r="W45" s="11602" t="n"/>
      <c r="X45" s="11602" t="n"/>
      <c r="Y45" s="11602" t="n"/>
      <c r="Z45" s="11602" t="n"/>
      <c r="AA45" s="11602" t="n"/>
      <c r="AB45" s="11602" t="n"/>
      <c r="AC45" s="11602" t="n"/>
      <c r="AD45" s="11602" t="n"/>
      <c r="AE45" s="11602" t="n"/>
      <c r="AF45" s="11602" t="n"/>
      <c r="AG45" s="11602" t="n"/>
      <c r="AH45" s="11602" t="n"/>
      <c r="AI45" s="11602" t="n"/>
      <c r="AJ45" s="11602" t="n"/>
      <c r="AK45" s="11602" t="n"/>
      <c r="AL45" s="11602" t="n"/>
      <c r="AM45" s="379" t="n"/>
      <c r="AN45" s="11602" t="n"/>
      <c r="AO45" s="341" t="n"/>
      <c r="AP45" s="11602" t="n"/>
      <c r="AQ45" s="11602" t="n"/>
      <c r="AR45" s="11602" t="n"/>
      <c r="AS45" s="11602" t="n"/>
      <c r="AT45" s="11602" t="n"/>
      <c r="AU45" s="11602" t="n"/>
      <c r="AV45" s="11602" t="n"/>
      <c r="AW45" s="11602" t="n"/>
      <c r="AX45" s="11602" t="n"/>
      <c r="AY45" s="11602" t="n"/>
      <c r="AZ45" s="11602" t="n"/>
      <c r="BA45" s="11602" t="n"/>
      <c r="BB45" s="11602" t="n"/>
      <c r="BC45" s="11602" t="n"/>
      <c r="BD45" s="11602" t="n"/>
      <c r="BE45" s="11602" t="n"/>
      <c r="BF45" s="11602" t="n"/>
      <c r="BG45" s="6996" t="n"/>
      <c r="BH45" s="11602" t="n"/>
      <c r="BI45" s="409" t="n"/>
      <c r="BJ45" s="6167" t="n"/>
      <c r="BK45" s="6166">
        <f>SUM(BF43,DependOther)</f>
        <v/>
      </c>
      <c r="BL45" s="3775" t="inlineStr">
        <is>
          <t>Total Other Dependents</t>
        </is>
      </c>
      <c r="BM45" s="6996" t="n"/>
      <c r="BN45" s="6997" t="n"/>
      <c r="BO45" s="7453" t="n"/>
      <c r="BP45" s="7453" t="n"/>
      <c r="BQ45" s="7466" t="n"/>
      <c r="BR45" s="7466" t="n"/>
      <c r="BS45" s="7466" t="n"/>
      <c r="BT45" s="7466" t="n"/>
      <c r="BU45" s="7466" t="n"/>
      <c r="BV45" s="7466" t="n"/>
      <c r="BW45" s="7466" t="n"/>
      <c r="BX45" s="7466" t="n"/>
      <c r="BY45" s="7466" t="n"/>
      <c r="BZ45" s="7466" t="n"/>
      <c r="CA45" s="7466" t="n"/>
      <c r="CB45" s="7466" t="n"/>
      <c r="CC45" s="7466" t="n"/>
      <c r="CD45" s="7466" t="n"/>
      <c r="CL45" s="7466" t="n"/>
      <c r="CM45" s="7453" t="n"/>
    </row>
    <row r="46" ht="15.75" customHeight="1" s="7635">
      <c r="A46" s="6996" t="n"/>
      <c r="B46" s="341" t="n"/>
      <c r="C46" s="5968" t="inlineStr">
        <is>
          <t>--</t>
        </is>
      </c>
      <c r="D46" s="514" t="inlineStr">
        <is>
          <t>Age:</t>
        </is>
      </c>
      <c r="E46" s="11602" t="n"/>
      <c r="F46" s="7772">
        <f>"Be under age "&amp;CTC_AgeLimit&amp;" or under "&amp;CB4&amp;" if a full-time student, or any age if permanently and totally disabled"</f>
        <v/>
      </c>
      <c r="G46" s="11602" t="n"/>
      <c r="H46" s="11602" t="n"/>
      <c r="I46" s="11602" t="n"/>
      <c r="J46" s="11602" t="n"/>
      <c r="K46" s="11602" t="n"/>
      <c r="L46" s="11602" t="n"/>
      <c r="M46" s="11602" t="n"/>
      <c r="N46" s="11602" t="n"/>
      <c r="O46" s="11602" t="n"/>
      <c r="P46" s="11602" t="n"/>
      <c r="Q46" s="11602" t="n"/>
      <c r="R46" s="11602" t="n"/>
      <c r="S46" s="11602" t="n"/>
      <c r="T46" s="11602" t="n"/>
      <c r="U46" s="11602" t="n"/>
      <c r="V46" s="11602" t="n"/>
      <c r="W46" s="11602" t="n"/>
      <c r="X46" s="11602" t="n"/>
      <c r="Y46" s="11602" t="n"/>
      <c r="Z46" s="11602" t="n"/>
      <c r="AA46" s="11602" t="n"/>
      <c r="AB46" s="11602" t="n"/>
      <c r="AC46" s="11602" t="n"/>
      <c r="AD46" s="11602" t="n"/>
      <c r="AE46" s="11602" t="n"/>
      <c r="AF46" s="11602" t="n"/>
      <c r="AG46" s="11602" t="n"/>
      <c r="AH46" s="11602" t="n"/>
      <c r="AI46" s="11602" t="n"/>
      <c r="AJ46" s="11602" t="n"/>
      <c r="AK46" s="11602" t="n"/>
      <c r="AL46" s="11602" t="n"/>
      <c r="AM46" s="379" t="n"/>
      <c r="AN46" s="11602" t="n"/>
      <c r="AO46" s="341" t="n"/>
      <c r="AP46" s="11602" t="n"/>
      <c r="AQ46" s="11602" t="n"/>
      <c r="AR46" s="11602" t="n"/>
      <c r="AS46" s="11602" t="n"/>
      <c r="AT46" s="11602" t="n"/>
      <c r="AU46" s="11602" t="n"/>
      <c r="AV46" s="11602" t="n"/>
      <c r="AW46" s="11602" t="n"/>
      <c r="AX46" s="11602" t="n"/>
      <c r="AY46" s="11602" t="n"/>
      <c r="AZ46" s="11602" t="n"/>
      <c r="BA46" s="11602" t="n"/>
      <c r="BB46" s="11602" t="n"/>
      <c r="BC46" s="11602" t="n"/>
      <c r="BD46" s="11602" t="n"/>
      <c r="BE46" s="11602" t="n"/>
      <c r="BF46" s="6996" t="n"/>
      <c r="BG46" s="6996" t="n"/>
      <c r="BH46" s="11602" t="n"/>
      <c r="BI46" s="409" t="n"/>
      <c r="BJ46" s="11602" t="n"/>
      <c r="BK46" s="344" t="n"/>
      <c r="BL46" s="6996" t="n"/>
      <c r="BM46" s="6996" t="n"/>
      <c r="BN46" s="346" t="inlineStr">
        <is>
          <t>Used on sheet '1040' to calculate 'Tax Family Size'.</t>
        </is>
      </c>
      <c r="BO46" s="7453" t="n"/>
      <c r="BP46" s="7453" t="n"/>
      <c r="CM46" s="7453" t="n"/>
    </row>
    <row r="47" ht="16.5" customHeight="1" s="7635" thickBot="1">
      <c r="A47" s="6996" t="n"/>
      <c r="B47" s="341" t="n"/>
      <c r="C47" s="5968" t="inlineStr">
        <is>
          <t>--</t>
        </is>
      </c>
      <c r="D47" s="7772" t="inlineStr">
        <is>
          <t>Residency: Live with you for more than half the year, with some exceptions</t>
        </is>
      </c>
      <c r="E47" s="11602" t="n"/>
      <c r="F47" s="11602" t="n"/>
      <c r="G47" s="11602" t="n"/>
      <c r="H47" s="11602" t="n"/>
      <c r="I47" s="11602" t="n"/>
      <c r="J47" s="11602" t="n"/>
      <c r="K47" s="11602" t="n"/>
      <c r="L47" s="11602" t="n"/>
      <c r="M47" s="11602" t="n"/>
      <c r="N47" s="11602" t="n"/>
      <c r="O47" s="11602" t="n"/>
      <c r="P47" s="11602" t="n"/>
      <c r="Q47" s="11602" t="n"/>
      <c r="R47" s="11602" t="n"/>
      <c r="S47" s="11602" t="n"/>
      <c r="T47" s="11602" t="n"/>
      <c r="U47" s="11602" t="n"/>
      <c r="V47" s="11602" t="n"/>
      <c r="W47" s="11602" t="n"/>
      <c r="X47" s="11602" t="n"/>
      <c r="Y47" s="11602" t="n"/>
      <c r="Z47" s="11602" t="n"/>
      <c r="AA47" s="11602" t="n"/>
      <c r="AB47" s="11602" t="n"/>
      <c r="AC47" s="11602" t="n"/>
      <c r="AD47" s="11602" t="n"/>
      <c r="AE47" s="11602" t="n"/>
      <c r="AF47" s="11602" t="n"/>
      <c r="AG47" s="11602" t="n"/>
      <c r="AH47" s="11602" t="n"/>
      <c r="AI47" s="11602" t="n"/>
      <c r="AJ47" s="11602" t="n"/>
      <c r="AK47" s="11602" t="n"/>
      <c r="AL47" s="11602" t="n"/>
      <c r="AM47" s="379" t="n"/>
      <c r="AN47" s="11602" t="n"/>
      <c r="AO47" s="341" t="n"/>
      <c r="AP47" s="11602" t="n"/>
      <c r="AQ47" s="11602" t="n"/>
      <c r="AR47" s="11602" t="n"/>
      <c r="AS47" s="11602" t="n"/>
      <c r="AT47" s="11602" t="n"/>
      <c r="AU47" s="11602" t="n"/>
      <c r="AV47" s="11602" t="n"/>
      <c r="AW47" s="11602" t="n"/>
      <c r="AX47" s="11602" t="n"/>
      <c r="AY47" s="11602" t="n"/>
      <c r="AZ47" s="11602" t="n"/>
      <c r="BA47" s="11602" t="n"/>
      <c r="BB47" s="11602" t="n"/>
      <c r="BC47" s="11602" t="n"/>
      <c r="BD47" s="11602" t="n"/>
      <c r="BE47" s="6173" t="inlineStr">
        <is>
          <t>Other Dependents</t>
        </is>
      </c>
      <c r="BF47" s="7914" t="n"/>
      <c r="BG47" s="3789" t="inlineStr">
        <is>
          <t>Override</t>
        </is>
      </c>
      <c r="BH47" s="11602" t="n"/>
      <c r="BI47" s="414" t="n"/>
      <c r="BJ47" s="11602" t="n"/>
      <c r="BK47" s="11602" t="n"/>
      <c r="BL47" s="6996" t="n"/>
      <c r="BM47" s="6996" t="n"/>
      <c r="BN47" s="6997" t="n"/>
      <c r="BO47" s="7453" t="n"/>
      <c r="BP47" s="7453" t="n"/>
      <c r="CJ47" s="7453" t="n"/>
      <c r="CM47" s="7453" t="n"/>
    </row>
    <row r="48" ht="16.5" customHeight="1" s="7635" thickBot="1">
      <c r="A48" s="6996" t="n"/>
      <c r="B48" s="341" t="n"/>
      <c r="C48" s="5968" t="inlineStr">
        <is>
          <t>--</t>
        </is>
      </c>
      <c r="D48" s="7772" t="inlineStr">
        <is>
          <t>Support: Get more than half their financial support from you</t>
        </is>
      </c>
      <c r="E48" s="11602" t="n"/>
      <c r="F48" s="11602" t="n"/>
      <c r="G48" s="11602" t="n"/>
      <c r="H48" s="11602" t="n"/>
      <c r="I48" s="11602" t="n"/>
      <c r="J48" s="11602" t="n"/>
      <c r="K48" s="11602" t="n"/>
      <c r="L48" s="11602" t="n"/>
      <c r="M48" s="11602" t="n"/>
      <c r="N48" s="11602" t="n"/>
      <c r="O48" s="11602" t="n"/>
      <c r="P48" s="11602" t="n"/>
      <c r="Q48" s="11602" t="n"/>
      <c r="R48" s="11602" t="n"/>
      <c r="S48" s="11602" t="n"/>
      <c r="T48" s="11602" t="n"/>
      <c r="U48" s="11602" t="n"/>
      <c r="V48" s="11602" t="n"/>
      <c r="W48" s="11602" t="n"/>
      <c r="X48" s="11602" t="n"/>
      <c r="Y48" s="11602" t="n"/>
      <c r="Z48" s="11602" t="n"/>
      <c r="AA48" s="11602" t="n"/>
      <c r="AB48" s="11602" t="n"/>
      <c r="AC48" s="11602" t="n"/>
      <c r="AD48" s="11602" t="n"/>
      <c r="AE48" s="11602" t="n"/>
      <c r="AF48" s="11602" t="n"/>
      <c r="AG48" s="11602" t="n"/>
      <c r="AH48" s="11602" t="n"/>
      <c r="AI48" s="11602" t="n"/>
      <c r="AJ48" s="11602" t="n"/>
      <c r="AK48" s="11602" t="n"/>
      <c r="AL48" s="11602" t="n"/>
      <c r="AM48" s="379" t="n"/>
      <c r="AN48" s="11602" t="n"/>
      <c r="AO48" s="341" t="n"/>
      <c r="AP48" s="11602" t="n"/>
      <c r="AQ48" s="11602" t="n"/>
      <c r="AR48" s="11602" t="n"/>
      <c r="AS48" s="11602" t="n"/>
      <c r="AT48" s="11602" t="n"/>
      <c r="AU48" s="11602" t="n"/>
      <c r="AV48" s="11602" t="n"/>
      <c r="AW48" s="11602" t="n"/>
      <c r="AX48" s="11602" t="n"/>
      <c r="AY48" s="11602" t="n"/>
      <c r="AZ48" s="11602" t="n"/>
      <c r="BA48" s="11602" t="n"/>
      <c r="BB48" s="11602" t="n"/>
      <c r="BC48" s="11602" t="n"/>
      <c r="BD48" s="11602" t="n"/>
      <c r="BE48" s="6174" t="inlineStr">
        <is>
          <t>Other qualifying dependents</t>
        </is>
      </c>
      <c r="BF48" s="6165">
        <f>IF(BG48&lt;&gt;"",ROUND(BG48,0),CR33)</f>
        <v/>
      </c>
      <c r="BG48" s="1423" t="n"/>
      <c r="BH48" s="11602" t="n"/>
      <c r="BI48" s="11602" t="n"/>
      <c r="BJ48" s="11602" t="n"/>
      <c r="BK48" s="11602" t="n"/>
      <c r="BL48" s="6996" t="n"/>
      <c r="BM48" s="6996" t="n"/>
      <c r="BN48" s="6997" t="n"/>
      <c r="BO48" s="7453" t="n"/>
      <c r="BP48" s="7453" t="n"/>
      <c r="CJ48" s="7453" t="n"/>
      <c r="CM48" s="7453" t="n"/>
    </row>
    <row r="49" ht="15.75" customHeight="1" s="7635">
      <c r="A49" s="6996" t="n"/>
      <c r="B49" s="341" t="n"/>
      <c r="C49" s="5968" t="inlineStr">
        <is>
          <t>--</t>
        </is>
      </c>
      <c r="D49" s="7772" t="inlineStr">
        <is>
          <t>Joint return: Not file as married filing jointly unless only to claim a refund of taxes paid or withheld</t>
        </is>
      </c>
      <c r="E49" s="11602" t="n"/>
      <c r="F49" s="11602" t="n"/>
      <c r="G49" s="11602" t="n"/>
      <c r="H49" s="11602" t="n"/>
      <c r="I49" s="11602" t="n"/>
      <c r="J49" s="11602" t="n"/>
      <c r="K49" s="11602" t="n"/>
      <c r="L49" s="11602" t="n"/>
      <c r="M49" s="11602" t="n"/>
      <c r="N49" s="11602" t="n"/>
      <c r="O49" s="11602" t="n"/>
      <c r="P49" s="11602" t="n"/>
      <c r="Q49" s="11602" t="n"/>
      <c r="R49" s="11602" t="n"/>
      <c r="S49" s="11602" t="n"/>
      <c r="T49" s="11602" t="n"/>
      <c r="U49" s="11602" t="n"/>
      <c r="V49" s="11602" t="n"/>
      <c r="W49" s="11602" t="n"/>
      <c r="X49" s="11602" t="n"/>
      <c r="Y49" s="11602" t="n"/>
      <c r="Z49" s="11602" t="n"/>
      <c r="AA49" s="11602" t="n"/>
      <c r="AB49" s="11602" t="n"/>
      <c r="AC49" s="11602" t="n"/>
      <c r="AD49" s="11602" t="n"/>
      <c r="AE49" s="11602" t="n"/>
      <c r="AF49" s="11602" t="n"/>
      <c r="AG49" s="11602" t="n"/>
      <c r="AH49" s="11602" t="n"/>
      <c r="AI49" s="11602" t="n"/>
      <c r="AJ49" s="11602" t="n"/>
      <c r="AK49" s="11602" t="n"/>
      <c r="AL49" s="11602" t="n"/>
      <c r="AM49" s="379" t="n"/>
      <c r="AN49" s="11602" t="n"/>
      <c r="AO49" s="341" t="n"/>
      <c r="AP49" s="11602" t="n"/>
      <c r="AQ49" s="11602" t="n"/>
      <c r="AR49" s="11602" t="n"/>
      <c r="AS49" s="11602" t="n"/>
      <c r="AT49" s="11602" t="n"/>
      <c r="AU49" s="11602" t="n"/>
      <c r="AV49" s="11602" t="n"/>
      <c r="AW49" s="11602" t="n"/>
      <c r="AX49" s="11602" t="n"/>
      <c r="AY49" s="11602" t="n"/>
      <c r="AZ49" s="11602" t="n"/>
      <c r="BA49" s="11602" t="n"/>
      <c r="BB49" s="11602" t="n"/>
      <c r="BC49" s="11602" t="n"/>
      <c r="BD49" s="11602" t="n"/>
      <c r="BE49" s="6174" t="n"/>
      <c r="BF49" s="11602" t="n"/>
      <c r="BG49" s="11602" t="n"/>
      <c r="BH49" s="11602" t="n"/>
      <c r="BI49" s="11602" t="n"/>
      <c r="BJ49" s="11602" t="n"/>
      <c r="BK49" s="11602" t="n"/>
      <c r="BL49" s="6996" t="n"/>
      <c r="BM49" s="6996" t="n"/>
      <c r="BN49" s="6997" t="n"/>
      <c r="BO49" s="7453" t="n"/>
      <c r="BP49" s="7453" t="n"/>
      <c r="CJ49" s="7453" t="n"/>
      <c r="CM49" s="7453" t="n"/>
    </row>
    <row r="50" ht="13.5" customHeight="1" s="7635" thickBot="1">
      <c r="A50" s="6996" t="n"/>
      <c r="B50" s="341" t="n"/>
      <c r="C50" s="11602" t="n"/>
      <c r="D50" s="11602" t="n"/>
      <c r="E50" s="11602" t="n"/>
      <c r="F50" s="11602" t="n"/>
      <c r="G50" s="11602" t="n"/>
      <c r="H50" s="11602" t="n"/>
      <c r="I50" s="11602" t="n"/>
      <c r="J50" s="11602" t="n"/>
      <c r="K50" s="11602" t="n"/>
      <c r="L50" s="11602" t="n"/>
      <c r="M50" s="11602" t="n"/>
      <c r="N50" s="11602" t="n"/>
      <c r="O50" s="11602" t="n"/>
      <c r="P50" s="11602" t="n"/>
      <c r="Q50" s="11602" t="n"/>
      <c r="R50" s="11602" t="n"/>
      <c r="S50" s="11602" t="n"/>
      <c r="T50" s="11602" t="n"/>
      <c r="U50" s="11602" t="n"/>
      <c r="V50" s="11602" t="n"/>
      <c r="W50" s="11602" t="n"/>
      <c r="X50" s="11602" t="n"/>
      <c r="Y50" s="11602" t="n"/>
      <c r="Z50" s="11602" t="n"/>
      <c r="AA50" s="11602" t="n"/>
      <c r="AB50" s="11602" t="n"/>
      <c r="AC50" s="11602" t="n"/>
      <c r="AD50" s="11602" t="n"/>
      <c r="AE50" s="11602" t="n"/>
      <c r="AF50" s="11602" t="n"/>
      <c r="AG50" s="11602" t="n"/>
      <c r="AH50" s="11602" t="n"/>
      <c r="AI50" s="11602" t="n"/>
      <c r="AJ50" s="11602" t="n"/>
      <c r="AK50" s="11602" t="n"/>
      <c r="AL50" s="11602" t="n"/>
      <c r="AM50" s="379" t="n"/>
      <c r="AN50" s="11602" t="n"/>
      <c r="AO50" s="341" t="n"/>
      <c r="AP50" s="11602" t="n"/>
      <c r="AQ50" s="11602" t="n"/>
      <c r="AR50" s="11602" t="n"/>
      <c r="AS50" s="11602" t="n"/>
      <c r="AT50" s="11602" t="n"/>
      <c r="AU50" s="11602" t="n"/>
      <c r="AV50" s="11602" t="n"/>
      <c r="AW50" s="11602" t="n"/>
      <c r="AX50" s="11602" t="n"/>
      <c r="AY50" s="11602" t="n"/>
      <c r="AZ50" s="11602" t="n"/>
      <c r="BA50" s="11602" t="n"/>
      <c r="BB50" s="11602" t="n"/>
      <c r="BC50" s="11602" t="n"/>
      <c r="BD50" s="11602" t="n"/>
      <c r="BE50" s="11602" t="n"/>
      <c r="BF50" s="11602" t="n"/>
      <c r="BG50" s="3789" t="inlineStr">
        <is>
          <t>Override</t>
        </is>
      </c>
      <c r="BH50" s="11602" t="n"/>
      <c r="BI50" s="11602" t="n"/>
      <c r="BJ50" s="11602" t="n"/>
      <c r="BK50" s="11602" t="n"/>
      <c r="BL50" s="6996" t="n"/>
      <c r="BM50" s="6996" t="n"/>
      <c r="BN50" s="6997" t="n"/>
      <c r="BO50" s="7453" t="n"/>
      <c r="BP50" s="7453" t="n"/>
      <c r="CJ50" s="7453" t="n"/>
      <c r="CM50" s="7453" t="n"/>
    </row>
    <row r="51" ht="18.75" customHeight="1" s="7635" thickBot="1">
      <c r="A51" s="6996" t="n"/>
      <c r="B51" s="341" t="n"/>
      <c r="C51" s="5967" t="inlineStr">
        <is>
          <t>Qualifying relative</t>
        </is>
      </c>
      <c r="D51" s="11602" t="n"/>
      <c r="E51" s="11602" t="n"/>
      <c r="F51" s="11602" t="n"/>
      <c r="G51" s="11602" t="n"/>
      <c r="H51" s="11602" t="n"/>
      <c r="I51" s="11602" t="n"/>
      <c r="J51" s="11602" t="n"/>
      <c r="K51" s="11602" t="n"/>
      <c r="L51" s="11602" t="n"/>
      <c r="M51" s="11602" t="n"/>
      <c r="N51" s="11602" t="n"/>
      <c r="O51" s="11602" t="n"/>
      <c r="P51" s="11602" t="n"/>
      <c r="Q51" s="11602" t="n"/>
      <c r="R51" s="11602" t="n"/>
      <c r="S51" s="11602" t="n"/>
      <c r="T51" s="11602" t="n"/>
      <c r="U51" s="11602" t="n"/>
      <c r="V51" s="11602" t="n"/>
      <c r="W51" s="11602" t="n"/>
      <c r="X51" s="11602" t="n"/>
      <c r="Y51" s="11602" t="n"/>
      <c r="Z51" s="11602" t="n"/>
      <c r="AA51" s="11602" t="n"/>
      <c r="AB51" s="11602" t="n"/>
      <c r="AC51" s="11602" t="n"/>
      <c r="AD51" s="11602" t="n"/>
      <c r="AE51" s="11602" t="n"/>
      <c r="AF51" s="11602" t="n"/>
      <c r="AG51" s="11602" t="n"/>
      <c r="AH51" s="11602" t="n"/>
      <c r="AI51" s="11602" t="n"/>
      <c r="AJ51" s="11602" t="n"/>
      <c r="AK51" s="11602" t="n"/>
      <c r="AL51" s="11602" t="n"/>
      <c r="AM51" s="379" t="n"/>
      <c r="AN51" s="11602" t="n"/>
      <c r="AO51" s="341" t="n"/>
      <c r="AP51" s="11602" t="n"/>
      <c r="AQ51" s="11602" t="n"/>
      <c r="AR51" s="11602" t="n"/>
      <c r="AS51" s="11602" t="n"/>
      <c r="AT51" s="11602" t="n"/>
      <c r="AU51" s="11602" t="n"/>
      <c r="AV51" s="11602" t="n"/>
      <c r="AW51" s="11602" t="n"/>
      <c r="AX51" s="11602" t="n"/>
      <c r="AY51" s="11602" t="n"/>
      <c r="AZ51" s="11602" t="n"/>
      <c r="BA51" s="11602" t="n"/>
      <c r="BB51" s="11602" t="n"/>
      <c r="BC51" s="11602" t="n"/>
      <c r="BD51" s="11602" t="n"/>
      <c r="BE51" s="6174" t="inlineStr">
        <is>
          <t>Total dependents</t>
        </is>
      </c>
      <c r="BF51" s="6165">
        <f>IF(BG51&lt;&gt;"",ROUND(BG51,0),SUM(Qual_Childen_Under_17,BF38,BF43,BF48))</f>
        <v/>
      </c>
      <c r="BG51" s="1423" t="n"/>
      <c r="BH51" s="11602" t="n"/>
      <c r="BI51" s="11602" t="n"/>
      <c r="BJ51" s="11602" t="n"/>
      <c r="BK51" s="6996" t="n"/>
      <c r="BL51" s="6996" t="n"/>
      <c r="BM51" s="6996" t="n"/>
      <c r="BN51" s="346" t="inlineStr">
        <is>
          <t>Used on sheet '1040' to check Dependents &gt; 4 box.</t>
        </is>
      </c>
      <c r="BO51" s="7453" t="n"/>
      <c r="BP51" s="7453" t="n"/>
    </row>
    <row r="52" ht="15" customHeight="1" s="7635">
      <c r="A52" s="6996" t="n"/>
      <c r="B52" s="341" t="n"/>
      <c r="C52" s="7772" t="inlineStr">
        <is>
          <t>A qualifying relative must meet general rules for dependents and pass these tests:</t>
        </is>
      </c>
      <c r="D52" s="11602" t="n"/>
      <c r="E52" s="11602" t="n"/>
      <c r="F52" s="11602" t="n"/>
      <c r="G52" s="11602" t="n"/>
      <c r="H52" s="11602" t="n"/>
      <c r="I52" s="11602" t="n"/>
      <c r="J52" s="11602" t="n"/>
      <c r="K52" s="11602" t="n"/>
      <c r="L52" s="11602" t="n"/>
      <c r="M52" s="11602" t="n"/>
      <c r="N52" s="11602" t="n"/>
      <c r="O52" s="11602" t="n"/>
      <c r="P52" s="11602" t="n"/>
      <c r="Q52" s="11602" t="n"/>
      <c r="R52" s="11602" t="n"/>
      <c r="S52" s="11602" t="n"/>
      <c r="T52" s="11602" t="n"/>
      <c r="U52" s="11602" t="n"/>
      <c r="V52" s="11602" t="n"/>
      <c r="W52" s="11602" t="n"/>
      <c r="X52" s="11602" t="n"/>
      <c r="Y52" s="11602" t="n"/>
      <c r="Z52" s="11602" t="n"/>
      <c r="AA52" s="11602" t="n"/>
      <c r="AB52" s="11602" t="n"/>
      <c r="AC52" s="11602" t="n"/>
      <c r="AD52" s="11602" t="n"/>
      <c r="AE52" s="11602" t="n"/>
      <c r="AF52" s="11602" t="n"/>
      <c r="AG52" s="11602" t="n"/>
      <c r="AH52" s="11602" t="n"/>
      <c r="AI52" s="11602" t="n"/>
      <c r="AJ52" s="11602" t="n"/>
      <c r="AK52" s="11602" t="n"/>
      <c r="AL52" s="11602" t="n"/>
      <c r="AM52" s="379" t="n"/>
      <c r="AN52" s="11602" t="n"/>
      <c r="AO52" s="341" t="n"/>
      <c r="AP52" s="11602" t="n"/>
      <c r="AQ52" s="11602" t="n"/>
      <c r="AR52" s="11602" t="n"/>
      <c r="AS52" s="11602" t="n"/>
      <c r="AT52" s="11602" t="n"/>
      <c r="AU52" s="11602" t="n"/>
      <c r="AV52" s="11602" t="n"/>
      <c r="AW52" s="11602" t="n"/>
      <c r="AX52" s="11602" t="n"/>
      <c r="AY52" s="11602" t="n"/>
      <c r="AZ52" s="11602" t="n"/>
      <c r="BA52" s="11602" t="n"/>
      <c r="BB52" s="11602" t="n"/>
      <c r="BC52" s="11602" t="n"/>
      <c r="BD52" s="11602" t="n"/>
      <c r="BE52" s="11602" t="n"/>
      <c r="BF52" s="7552">
        <f>BF51&gt;4</f>
        <v/>
      </c>
      <c r="BG52" s="2506" t="n"/>
      <c r="BH52" s="11602" t="n"/>
      <c r="BI52" s="11602" t="n"/>
      <c r="BJ52" s="11602" t="n"/>
      <c r="BK52" s="11602" t="n"/>
      <c r="BL52" s="11602" t="n"/>
      <c r="BM52" s="11602" t="n"/>
      <c r="BN52" s="379" t="n"/>
    </row>
    <row r="53" ht="15.75" customHeight="1" s="7635">
      <c r="A53" s="6996" t="n"/>
      <c r="B53" s="341" t="n"/>
      <c r="C53" s="5968" t="inlineStr">
        <is>
          <t>--</t>
        </is>
      </c>
      <c r="D53" s="7772" t="inlineStr">
        <is>
          <t>Not a qualifying child: Isn't your qualifying child or the qualifying child of any other taxpayer</t>
        </is>
      </c>
      <c r="E53" s="11602" t="n"/>
      <c r="F53" s="11602" t="n"/>
      <c r="G53" s="11602" t="n"/>
      <c r="H53" s="11602" t="n"/>
      <c r="I53" s="11602" t="n"/>
      <c r="J53" s="11602" t="n"/>
      <c r="K53" s="11602" t="n"/>
      <c r="L53" s="11602" t="n"/>
      <c r="M53" s="11602" t="n"/>
      <c r="N53" s="11602" t="n"/>
      <c r="O53" s="11602" t="n"/>
      <c r="P53" s="11602" t="n"/>
      <c r="Q53" s="11602" t="n"/>
      <c r="R53" s="11602" t="n"/>
      <c r="S53" s="11602" t="n"/>
      <c r="T53" s="11602" t="n"/>
      <c r="U53" s="11602" t="n"/>
      <c r="V53" s="11602" t="n"/>
      <c r="W53" s="11602" t="n"/>
      <c r="X53" s="11602" t="n"/>
      <c r="Y53" s="11602" t="n"/>
      <c r="Z53" s="11602" t="n"/>
      <c r="AA53" s="11602" t="n"/>
      <c r="AB53" s="11602" t="n"/>
      <c r="AC53" s="11602" t="n"/>
      <c r="AD53" s="11602" t="n"/>
      <c r="AE53" s="11602" t="n"/>
      <c r="AF53" s="11602" t="n"/>
      <c r="AG53" s="11602" t="n"/>
      <c r="AH53" s="11602" t="n"/>
      <c r="AI53" s="11602" t="n"/>
      <c r="AJ53" s="11602" t="n"/>
      <c r="AK53" s="11602" t="n"/>
      <c r="AL53" s="11602" t="n"/>
      <c r="AM53" s="379" t="n"/>
      <c r="AN53" s="11602" t="n"/>
      <c r="AO53" s="341" t="n"/>
      <c r="AP53" s="11602" t="n"/>
      <c r="AQ53" s="11602" t="n"/>
      <c r="AR53" s="11602" t="n"/>
      <c r="AS53" s="11602" t="n"/>
      <c r="AT53" s="11602" t="n"/>
      <c r="AU53" s="11602" t="n"/>
      <c r="AV53" s="11602" t="n"/>
      <c r="AW53" s="11602" t="n"/>
      <c r="AX53" s="11602" t="n"/>
      <c r="AY53" s="11602" t="n"/>
      <c r="AZ53" s="11602" t="n"/>
      <c r="BA53" s="11602" t="n"/>
      <c r="BB53" s="11602" t="n"/>
      <c r="BC53" s="11602" t="n"/>
      <c r="BD53" s="11602" t="n"/>
      <c r="BE53" s="11602" t="n"/>
      <c r="BF53" s="11602" t="n"/>
      <c r="BG53" s="11602" t="n"/>
      <c r="BH53" s="11602" t="n"/>
      <c r="BI53" s="11602" t="n"/>
      <c r="BJ53" s="11602" t="n"/>
      <c r="BK53" s="11602" t="n"/>
      <c r="BL53" s="11602" t="n"/>
      <c r="BM53" s="11602" t="n"/>
      <c r="BN53" s="379" t="n"/>
      <c r="CD53" s="7453" t="n"/>
    </row>
    <row r="54" ht="15.75" customHeight="1" s="7635">
      <c r="A54" s="6996" t="n"/>
      <c r="B54" s="341" t="n"/>
      <c r="C54" s="5968" t="inlineStr">
        <is>
          <t>--</t>
        </is>
      </c>
      <c r="D54" s="7772" t="inlineStr">
        <is>
          <t>Member of household or relationship: Lives with you all year as a member of your household or is a specific type of relative</t>
        </is>
      </c>
      <c r="E54" s="11602" t="n"/>
      <c r="F54" s="11602" t="n"/>
      <c r="G54" s="11602" t="n"/>
      <c r="H54" s="11602" t="n"/>
      <c r="I54" s="11602" t="n"/>
      <c r="J54" s="11602" t="n"/>
      <c r="K54" s="11602" t="n"/>
      <c r="L54" s="11602" t="n"/>
      <c r="M54" s="11602" t="n"/>
      <c r="N54" s="11602" t="n"/>
      <c r="O54" s="11602" t="n"/>
      <c r="P54" s="11602" t="n"/>
      <c r="Q54" s="11602" t="n"/>
      <c r="R54" s="11602" t="n"/>
      <c r="S54" s="11602" t="n"/>
      <c r="T54" s="11602" t="n"/>
      <c r="U54" s="11602" t="n"/>
      <c r="V54" s="11602" t="n"/>
      <c r="W54" s="11602" t="n"/>
      <c r="X54" s="11602" t="n"/>
      <c r="Y54" s="11602" t="n"/>
      <c r="Z54" s="11602" t="n"/>
      <c r="AA54" s="11602" t="n"/>
      <c r="AB54" s="11602" t="n"/>
      <c r="AC54" s="11602" t="n"/>
      <c r="AD54" s="11602" t="n"/>
      <c r="AE54" s="11602" t="n"/>
      <c r="AF54" s="11602" t="n"/>
      <c r="AG54" s="11602" t="n"/>
      <c r="AH54" s="11602" t="n"/>
      <c r="AI54" s="11602" t="n"/>
      <c r="AJ54" s="11602" t="n"/>
      <c r="AK54" s="11602" t="n"/>
      <c r="AL54" s="11602" t="n"/>
      <c r="AM54" s="379" t="n"/>
      <c r="AN54" s="11602" t="n"/>
      <c r="AO54" s="341" t="n"/>
      <c r="AP54" s="11602" t="n"/>
      <c r="AQ54" s="11602" t="n"/>
      <c r="AR54" s="11602" t="n"/>
      <c r="AS54" s="11602" t="n"/>
      <c r="AT54" s="11602" t="n"/>
      <c r="AU54" s="11602" t="n"/>
      <c r="AV54" s="11602" t="n"/>
      <c r="AW54" s="11602" t="n"/>
      <c r="AX54" s="11602" t="n"/>
      <c r="AY54" s="11602" t="n"/>
      <c r="AZ54" s="11602" t="n"/>
      <c r="BA54" s="11602" t="n"/>
      <c r="BB54" s="11602" t="n"/>
      <c r="BC54" s="11602" t="n"/>
      <c r="BD54" s="11602" t="n"/>
      <c r="BE54" s="11602" t="n"/>
      <c r="BF54" s="11602" t="n"/>
      <c r="BG54" s="11602" t="n"/>
      <c r="BH54" s="11602" t="n"/>
      <c r="BI54" s="11602" t="n"/>
      <c r="BJ54" s="11602" t="n"/>
      <c r="BK54" s="11602" t="n"/>
      <c r="BL54" s="11602" t="n"/>
      <c r="BM54" s="11602" t="n"/>
      <c r="BN54" s="379" t="n"/>
      <c r="CD54" s="7453" t="n"/>
      <c r="CS54" s="7453" t="n"/>
      <c r="CW54" s="7453" t="n"/>
    </row>
    <row r="55" ht="16.5" customHeight="1" s="7635" thickBot="1">
      <c r="A55" s="6996" t="n"/>
      <c r="B55" s="341" t="n"/>
      <c r="C55" s="5968" t="inlineStr">
        <is>
          <t>--</t>
        </is>
      </c>
      <c r="D55" s="7772" t="inlineStr">
        <is>
          <t>Gross income: Has gross income under $5,200</t>
        </is>
      </c>
      <c r="E55" s="11602" t="n"/>
      <c r="F55" s="11602" t="n"/>
      <c r="G55" s="11602" t="n"/>
      <c r="H55" s="11602" t="n"/>
      <c r="I55" s="11602" t="n"/>
      <c r="J55" s="11602" t="n"/>
      <c r="K55" s="11602" t="n"/>
      <c r="L55" s="11602" t="n"/>
      <c r="M55" s="11602" t="n"/>
      <c r="N55" s="11602" t="n"/>
      <c r="O55" s="11602" t="n"/>
      <c r="P55" s="11602" t="n"/>
      <c r="Q55" s="11602" t="n"/>
      <c r="R55" s="11602" t="n"/>
      <c r="S55" s="11602" t="n"/>
      <c r="T55" s="11602" t="n"/>
      <c r="U55" s="11602" t="n"/>
      <c r="V55" s="11602" t="n"/>
      <c r="W55" s="11602" t="n"/>
      <c r="X55" s="11602" t="n"/>
      <c r="Y55" s="11602" t="n"/>
      <c r="Z55" s="11602" t="n"/>
      <c r="AA55" s="11602" t="n"/>
      <c r="AB55" s="11602" t="n"/>
      <c r="AC55" s="11602" t="n"/>
      <c r="AD55" s="11602" t="n"/>
      <c r="AE55" s="11602" t="n"/>
      <c r="AF55" s="11602" t="n"/>
      <c r="AG55" s="11602" t="n"/>
      <c r="AH55" s="11602" t="n"/>
      <c r="AI55" s="11602" t="n"/>
      <c r="AJ55" s="11602" t="n"/>
      <c r="AK55" s="11602" t="n"/>
      <c r="AL55" s="11602" t="n"/>
      <c r="AM55" s="379" t="n"/>
      <c r="AN55" s="11602" t="n"/>
      <c r="AO55" s="341" t="n"/>
      <c r="AP55" s="11602" t="n"/>
      <c r="AQ55" s="11602" t="n"/>
      <c r="AR55" s="11602" t="n"/>
      <c r="AS55" s="11602" t="n"/>
      <c r="AT55" s="11602" t="n"/>
      <c r="AU55" s="11602" t="n"/>
      <c r="AV55" s="11602" t="n"/>
      <c r="AW55" s="11602" t="n"/>
      <c r="AX55" s="11602" t="n"/>
      <c r="AY55" s="11602" t="n"/>
      <c r="AZ55" s="11602" t="n"/>
      <c r="BA55" s="11602" t="n"/>
      <c r="BB55" s="11602" t="n"/>
      <c r="BC55" s="11602" t="n"/>
      <c r="BD55" s="11602" t="n"/>
      <c r="BE55" s="11602" t="n"/>
      <c r="BF55" s="11602" t="n"/>
      <c r="BG55" s="3789" t="inlineStr">
        <is>
          <t>Override</t>
        </is>
      </c>
      <c r="BH55" s="11602" t="n"/>
      <c r="BI55" s="11602" t="n"/>
      <c r="BJ55" s="11602" t="n"/>
      <c r="BK55" s="11602" t="n"/>
      <c r="BL55" s="11602" t="n"/>
      <c r="BM55" s="11602" t="n"/>
      <c r="BN55" s="379" t="n"/>
      <c r="CD55" s="7453" t="n"/>
      <c r="CS55" s="7453" t="n"/>
      <c r="CW55" s="7453" t="n"/>
    </row>
    <row r="56" ht="16.5" customHeight="1" s="7635" thickBot="1">
      <c r="A56" s="6996" t="n"/>
      <c r="B56" s="341" t="n"/>
      <c r="C56" s="5968" t="inlineStr">
        <is>
          <t>--</t>
        </is>
      </c>
      <c r="D56" s="7772" t="inlineStr">
        <is>
          <t>Support: Gets more than half their financial support from you</t>
        </is>
      </c>
      <c r="E56" s="11602" t="n"/>
      <c r="F56" s="11602" t="n"/>
      <c r="G56" s="11602" t="n"/>
      <c r="H56" s="11602" t="n"/>
      <c r="I56" s="11602" t="n"/>
      <c r="J56" s="11602" t="n"/>
      <c r="K56" s="11602" t="n"/>
      <c r="L56" s="11602" t="n"/>
      <c r="M56" s="11602" t="n"/>
      <c r="N56" s="11602" t="n"/>
      <c r="O56" s="11602" t="n"/>
      <c r="P56" s="11602" t="n"/>
      <c r="Q56" s="11602" t="n"/>
      <c r="R56" s="11602" t="n"/>
      <c r="S56" s="11602" t="n"/>
      <c r="T56" s="11602" t="n"/>
      <c r="U56" s="11602" t="n"/>
      <c r="V56" s="11602" t="n"/>
      <c r="W56" s="11602" t="n"/>
      <c r="X56" s="11602" t="n"/>
      <c r="Y56" s="11602" t="n"/>
      <c r="Z56" s="11602" t="n"/>
      <c r="AA56" s="11602" t="n"/>
      <c r="AB56" s="11602" t="n"/>
      <c r="AC56" s="11602" t="n"/>
      <c r="AD56" s="11602" t="n"/>
      <c r="AE56" s="11602" t="n"/>
      <c r="AF56" s="11602" t="n"/>
      <c r="AG56" s="11602" t="n"/>
      <c r="AH56" s="11602" t="n"/>
      <c r="AI56" s="11602" t="n"/>
      <c r="AJ56" s="11602" t="n"/>
      <c r="AK56" s="11602" t="n"/>
      <c r="AL56" s="11602" t="n"/>
      <c r="AM56" s="379" t="n"/>
      <c r="AN56" s="11602" t="n"/>
      <c r="AO56" s="341" t="n"/>
      <c r="AP56" s="11602" t="n"/>
      <c r="AQ56" s="11602" t="n"/>
      <c r="AR56" s="11602" t="n"/>
      <c r="AS56" s="11602" t="n"/>
      <c r="AT56" s="11602" t="n"/>
      <c r="AU56" s="11602" t="n"/>
      <c r="AV56" s="11602" t="n"/>
      <c r="AW56" s="11602" t="n"/>
      <c r="AX56" s="11602" t="n"/>
      <c r="AY56" s="11602" t="n"/>
      <c r="AZ56" s="11602" t="n"/>
      <c r="BA56" s="11602" t="n"/>
      <c r="BB56" s="11602" t="n"/>
      <c r="BC56" s="11602" t="n"/>
      <c r="BD56" s="11602" t="n"/>
      <c r="BE56" s="6174" t="inlineStr">
        <is>
          <t>Total Qualified Children for Earned Income Credit (EIC)</t>
        </is>
      </c>
      <c r="BF56" s="6165">
        <f>IF(BG56&lt;&gt;"",ROUND(BG56,0),CX33)</f>
        <v/>
      </c>
      <c r="BG56" s="1423" t="n"/>
      <c r="BH56" s="11602" t="n"/>
      <c r="BI56" s="11602" t="n"/>
      <c r="BJ56" s="11602" t="n"/>
      <c r="BK56" s="11602" t="n"/>
      <c r="BL56" s="11602" t="n"/>
      <c r="BM56" s="11602" t="n"/>
      <c r="BN56" s="346" t="inlineStr">
        <is>
          <t>Used as input to 'Line 27 (EIC)', steps 1 and 3.</t>
        </is>
      </c>
      <c r="CD56" s="7453" t="n"/>
      <c r="CS56" s="7453" t="n"/>
      <c r="CW56" s="7453" t="n"/>
    </row>
    <row r="57">
      <c r="A57" s="6996" t="n"/>
      <c r="B57" s="341" t="n"/>
      <c r="C57" s="11602" t="n"/>
      <c r="D57" s="11602" t="n"/>
      <c r="E57" s="11602" t="n"/>
      <c r="F57" s="11602" t="n"/>
      <c r="G57" s="11602" t="n"/>
      <c r="H57" s="11602" t="n"/>
      <c r="I57" s="11602" t="n"/>
      <c r="J57" s="11602" t="n"/>
      <c r="K57" s="11602" t="n"/>
      <c r="L57" s="11602" t="n"/>
      <c r="M57" s="11602" t="n"/>
      <c r="N57" s="11602" t="n"/>
      <c r="O57" s="11602" t="n"/>
      <c r="P57" s="11602" t="n"/>
      <c r="Q57" s="11602" t="n"/>
      <c r="R57" s="11602" t="n"/>
      <c r="S57" s="11602" t="n"/>
      <c r="T57" s="11602" t="n"/>
      <c r="U57" s="11602" t="n"/>
      <c r="V57" s="11602" t="n"/>
      <c r="W57" s="11602" t="n"/>
      <c r="X57" s="11602" t="n"/>
      <c r="Y57" s="11602" t="n"/>
      <c r="Z57" s="11602" t="n"/>
      <c r="AA57" s="11602" t="n"/>
      <c r="AB57" s="11602" t="n"/>
      <c r="AC57" s="11602" t="n"/>
      <c r="AD57" s="11602" t="n"/>
      <c r="AE57" s="11602" t="n"/>
      <c r="AF57" s="11602" t="n"/>
      <c r="AG57" s="11602" t="n"/>
      <c r="AH57" s="11602" t="n"/>
      <c r="AI57" s="11602" t="n"/>
      <c r="AJ57" s="11602" t="n"/>
      <c r="AK57" s="11602" t="n"/>
      <c r="AL57" s="11602" t="n"/>
      <c r="AM57" s="379" t="n"/>
      <c r="AN57" s="11602" t="n"/>
      <c r="AO57" s="341" t="n"/>
      <c r="AP57" s="11602" t="n"/>
      <c r="AQ57" s="11602" t="n"/>
      <c r="AR57" s="11602" t="n"/>
      <c r="AS57" s="11602" t="n"/>
      <c r="AT57" s="11602" t="n"/>
      <c r="AU57" s="11602" t="n"/>
      <c r="AV57" s="11602" t="n"/>
      <c r="AW57" s="11602" t="n"/>
      <c r="AX57" s="11602" t="n"/>
      <c r="AY57" s="11602" t="n"/>
      <c r="AZ57" s="11602" t="n"/>
      <c r="BA57" s="11602" t="n"/>
      <c r="BB57" s="11602" t="n"/>
      <c r="BC57" s="11602" t="n"/>
      <c r="BD57" s="11602" t="n"/>
      <c r="BE57" s="11602" t="n"/>
      <c r="BF57" s="11602" t="n"/>
      <c r="BG57" s="11602" t="n"/>
      <c r="BH57" s="11602" t="n"/>
      <c r="BI57" s="11602" t="n"/>
      <c r="BJ57" s="11602" t="n"/>
      <c r="BK57" s="11602" t="n"/>
      <c r="BL57" s="11602" t="n"/>
      <c r="BM57" s="11602" t="n"/>
      <c r="BN57" s="379" t="n"/>
      <c r="CS57" s="7453" t="n"/>
      <c r="CW57" s="7453" t="n"/>
    </row>
    <row r="58">
      <c r="A58" s="6996" t="n"/>
      <c r="B58" s="341" t="n"/>
      <c r="C58" s="344" t="inlineStr">
        <is>
          <t>Source:</t>
        </is>
      </c>
      <c r="D58" s="5963" t="inlineStr">
        <is>
          <t>https://www.irs.gov/credits-deductions/individuals/dependents</t>
        </is>
      </c>
      <c r="E58" s="11602" t="n"/>
      <c r="F58" s="11602" t="n"/>
      <c r="G58" s="11602" t="n"/>
      <c r="H58" s="11602" t="n"/>
      <c r="I58" s="11602" t="n"/>
      <c r="J58" s="11602" t="n"/>
      <c r="K58" s="11602" t="n"/>
      <c r="L58" s="11602" t="n"/>
      <c r="M58" s="11602" t="n"/>
      <c r="N58" s="11602" t="n"/>
      <c r="O58" s="11602" t="n"/>
      <c r="P58" s="11602" t="n"/>
      <c r="Q58" s="11602" t="n"/>
      <c r="R58" s="11602" t="n"/>
      <c r="S58" s="11602" t="n"/>
      <c r="T58" s="11602" t="n"/>
      <c r="U58" s="11602" t="n"/>
      <c r="V58" s="11602" t="n"/>
      <c r="W58" s="11602" t="n"/>
      <c r="X58" s="11602" t="n"/>
      <c r="Y58" s="11602" t="n"/>
      <c r="Z58" s="11602" t="n"/>
      <c r="AA58" s="11602" t="n"/>
      <c r="AB58" s="11602" t="n"/>
      <c r="AC58" s="11602" t="n"/>
      <c r="AD58" s="11602" t="n"/>
      <c r="AE58" s="11602" t="n"/>
      <c r="AF58" s="11602" t="n"/>
      <c r="AG58" s="11602" t="n"/>
      <c r="AH58" s="11602" t="n"/>
      <c r="AI58" s="11602" t="n"/>
      <c r="AJ58" s="11602" t="n"/>
      <c r="AK58" s="11602" t="n"/>
      <c r="AL58" s="11602" t="n"/>
      <c r="AM58" s="379" t="n"/>
      <c r="AN58" s="11602" t="n"/>
      <c r="AO58" s="341" t="n"/>
      <c r="AP58" s="11602" t="n"/>
      <c r="AQ58" s="11602" t="n"/>
      <c r="AR58" s="11602" t="n"/>
      <c r="AS58" s="11602" t="n"/>
      <c r="AT58" s="11602" t="n"/>
      <c r="AU58" s="11602" t="n"/>
      <c r="AV58" s="11602" t="n"/>
      <c r="AW58" s="11602" t="n"/>
      <c r="AX58" s="11602" t="n"/>
      <c r="AY58" s="11602" t="n"/>
      <c r="AZ58" s="11602" t="n"/>
      <c r="BA58" s="11602" t="n"/>
      <c r="BB58" s="11602" t="n"/>
      <c r="BC58" s="11602" t="n"/>
      <c r="BD58" s="11602" t="n"/>
      <c r="BE58" s="11602" t="n"/>
      <c r="BF58" s="11602" t="n"/>
      <c r="BG58" s="11602" t="n"/>
      <c r="BH58" s="11602" t="n"/>
      <c r="BI58" s="11602" t="n"/>
      <c r="BJ58" s="11602" t="n"/>
      <c r="BK58" s="11602" t="n"/>
      <c r="BL58" s="11602" t="n"/>
      <c r="BM58" s="11602" t="n"/>
      <c r="BN58" s="379" t="n"/>
    </row>
    <row r="59" ht="13.5" customHeight="1" s="7635" thickBot="1">
      <c r="A59" s="6996" t="n"/>
      <c r="B59" s="347" t="n"/>
      <c r="C59" s="380" t="n"/>
      <c r="D59" s="380" t="n"/>
      <c r="E59" s="380" t="n"/>
      <c r="F59" s="380" t="n"/>
      <c r="G59" s="380" t="n"/>
      <c r="H59" s="380" t="n"/>
      <c r="I59" s="380" t="n"/>
      <c r="J59" s="380" t="n"/>
      <c r="K59" s="380" t="n"/>
      <c r="L59" s="380" t="n"/>
      <c r="M59" s="380" t="n"/>
      <c r="N59" s="380" t="n"/>
      <c r="O59" s="380" t="n"/>
      <c r="P59" s="380" t="n"/>
      <c r="Q59" s="380" t="n"/>
      <c r="R59" s="380" t="n"/>
      <c r="S59" s="380" t="n"/>
      <c r="T59" s="380" t="n"/>
      <c r="U59" s="380" t="n"/>
      <c r="V59" s="380" t="n"/>
      <c r="W59" s="380" t="n"/>
      <c r="X59" s="380" t="n"/>
      <c r="Y59" s="380" t="n"/>
      <c r="Z59" s="380" t="n"/>
      <c r="AA59" s="380" t="n"/>
      <c r="AB59" s="380" t="n"/>
      <c r="AC59" s="380" t="n"/>
      <c r="AD59" s="380" t="n"/>
      <c r="AE59" s="380" t="n"/>
      <c r="AF59" s="380" t="n"/>
      <c r="AG59" s="380" t="n"/>
      <c r="AH59" s="380" t="n"/>
      <c r="AI59" s="380" t="n"/>
      <c r="AJ59" s="380" t="n"/>
      <c r="AK59" s="380" t="n"/>
      <c r="AL59" s="380" t="n"/>
      <c r="AM59" s="381" t="n"/>
      <c r="AN59" s="11602" t="n"/>
      <c r="AO59" s="347" t="n"/>
      <c r="AP59" s="380" t="n"/>
      <c r="AQ59" s="380" t="n"/>
      <c r="AR59" s="380" t="n"/>
      <c r="AS59" s="380" t="n"/>
      <c r="AT59" s="380" t="n"/>
      <c r="AU59" s="380" t="n"/>
      <c r="AV59" s="380" t="n"/>
      <c r="AW59" s="380" t="n"/>
      <c r="AX59" s="380" t="n"/>
      <c r="AY59" s="380" t="n"/>
      <c r="AZ59" s="380" t="n"/>
      <c r="BA59" s="380" t="n"/>
      <c r="BB59" s="380" t="n"/>
      <c r="BC59" s="380" t="n"/>
      <c r="BD59" s="380" t="n"/>
      <c r="BE59" s="380" t="n"/>
      <c r="BF59" s="380" t="n"/>
      <c r="BG59" s="380" t="n"/>
      <c r="BH59" s="380" t="n"/>
      <c r="BI59" s="380" t="n"/>
      <c r="BJ59" s="380" t="n"/>
      <c r="BK59" s="380" t="n"/>
      <c r="BL59" s="380" t="n"/>
      <c r="BM59" s="380" t="n"/>
      <c r="BN59" s="381" t="n"/>
    </row>
    <row r="60">
      <c r="A60" s="6996" t="n"/>
      <c r="B60" s="11602" t="n"/>
      <c r="C60" s="11602" t="n"/>
      <c r="D60" s="11602" t="n"/>
      <c r="E60" s="11602" t="n"/>
      <c r="F60" s="11602" t="n"/>
      <c r="G60" s="11602" t="n"/>
      <c r="H60" s="11602" t="n"/>
      <c r="I60" s="11602" t="n"/>
      <c r="J60" s="11602" t="n"/>
      <c r="K60" s="11602" t="n"/>
      <c r="L60" s="11602" t="n"/>
      <c r="M60" s="11602" t="n"/>
      <c r="N60" s="11602" t="n"/>
      <c r="O60" s="11602" t="n"/>
      <c r="P60" s="11602" t="n"/>
      <c r="Q60" s="11602" t="n"/>
      <c r="R60" s="11602" t="n"/>
      <c r="S60" s="11602" t="n"/>
      <c r="T60" s="11602" t="n"/>
      <c r="U60" s="11602" t="n"/>
      <c r="V60" s="11602" t="n"/>
      <c r="W60" s="11602" t="n"/>
      <c r="X60" s="11602" t="n"/>
      <c r="Y60" s="11602" t="n"/>
      <c r="Z60" s="11602" t="n"/>
      <c r="AA60" s="11602" t="n"/>
      <c r="AB60" s="11602" t="n"/>
      <c r="AC60" s="11602" t="n"/>
      <c r="AD60" s="11602" t="n"/>
      <c r="AE60" s="11602" t="n"/>
      <c r="AF60" s="11602" t="n"/>
      <c r="AG60" s="11602" t="n"/>
      <c r="AH60" s="11602" t="n"/>
      <c r="AI60" s="11602" t="n"/>
      <c r="AJ60" s="11602" t="n"/>
      <c r="AK60" s="11602" t="n"/>
      <c r="AL60" s="11602" t="n"/>
      <c r="AM60" s="11602" t="n"/>
      <c r="AN60" s="11602" t="n"/>
      <c r="AO60" s="11602" t="n"/>
      <c r="AP60" s="11602" t="n"/>
      <c r="AQ60" s="11602" t="n"/>
      <c r="AR60" s="11602" t="n"/>
      <c r="AS60" s="11602" t="n"/>
      <c r="AT60" s="11602" t="n"/>
      <c r="AU60" s="11602" t="n"/>
      <c r="AV60" s="11602" t="n"/>
      <c r="AW60" s="11602" t="n"/>
      <c r="AX60" s="11602" t="n"/>
      <c r="AY60" s="11602" t="n"/>
      <c r="AZ60" s="11602" t="n"/>
      <c r="BA60" s="11602" t="n"/>
      <c r="BB60" s="11602" t="n"/>
      <c r="BC60" s="11602" t="n"/>
      <c r="BD60" s="11602" t="n"/>
      <c r="BE60" s="11602" t="n"/>
      <c r="BF60" s="11602" t="n"/>
      <c r="BG60" s="11602" t="n"/>
      <c r="BH60" s="11602" t="n"/>
      <c r="BI60" s="11602" t="n"/>
      <c r="BJ60" s="11602" t="n"/>
      <c r="BK60" s="11602" t="n"/>
      <c r="BL60" s="11602" t="n"/>
      <c r="BM60" s="11602" t="n"/>
      <c r="BN60" s="11602" t="n"/>
    </row>
    <row r="61">
      <c r="A61" s="6996" t="n"/>
      <c r="B61" s="11602" t="n"/>
      <c r="C61" s="11602" t="n"/>
      <c r="D61" s="11602" t="n"/>
      <c r="E61" s="11602" t="n"/>
      <c r="F61" s="11602" t="n"/>
      <c r="G61" s="11602" t="n"/>
      <c r="H61" s="11602" t="n"/>
      <c r="I61" s="11602" t="n"/>
      <c r="J61" s="11602" t="n"/>
      <c r="K61" s="11602" t="n"/>
      <c r="L61" s="11602" t="n"/>
      <c r="M61" s="11602" t="n"/>
      <c r="N61" s="11602" t="n"/>
      <c r="O61" s="11602" t="n"/>
      <c r="P61" s="11602" t="n"/>
      <c r="Q61" s="11602" t="n"/>
      <c r="R61" s="11602" t="n"/>
      <c r="S61" s="11602" t="n"/>
      <c r="T61" s="11602" t="n"/>
      <c r="U61" s="11602" t="n"/>
      <c r="V61" s="11602" t="n"/>
      <c r="W61" s="11602" t="n"/>
      <c r="X61" s="11602" t="n"/>
      <c r="Y61" s="11602" t="n"/>
      <c r="Z61" s="11602" t="n"/>
      <c r="AA61" s="11602" t="n"/>
      <c r="AB61" s="11602" t="n"/>
      <c r="AC61" s="11602" t="n"/>
      <c r="AD61" s="11602" t="n"/>
      <c r="AE61" s="11602" t="n"/>
      <c r="AF61" s="11602" t="n"/>
      <c r="AG61" s="11602" t="n"/>
      <c r="AH61" s="11602" t="n"/>
      <c r="AI61" s="11602" t="n"/>
      <c r="AJ61" s="11602" t="n"/>
      <c r="AK61" s="11602" t="n"/>
      <c r="AL61" s="11602" t="n"/>
      <c r="AM61" s="11602" t="n"/>
      <c r="AN61" s="11602" t="n"/>
      <c r="AO61" s="11602" t="n"/>
      <c r="AP61" s="11602" t="n"/>
      <c r="AQ61" s="11602" t="n"/>
      <c r="AR61" s="11602" t="n"/>
      <c r="AS61" s="11602" t="n"/>
      <c r="AT61" s="11602" t="n"/>
      <c r="AU61" s="11602" t="n"/>
      <c r="AV61" s="11602" t="n"/>
      <c r="AW61" s="11602" t="n"/>
      <c r="AX61" s="11602" t="n"/>
      <c r="AY61" s="11602" t="n"/>
      <c r="AZ61" s="11602" t="n"/>
      <c r="BA61" s="11602" t="n"/>
      <c r="BB61" s="11602" t="n"/>
      <c r="BC61" s="11602" t="n"/>
      <c r="BD61" s="11602" t="n"/>
      <c r="BE61" s="11602" t="n"/>
      <c r="BF61" s="11602" t="n"/>
      <c r="BG61" s="11602" t="n"/>
      <c r="BH61" s="11602" t="n"/>
      <c r="BI61" s="11602" t="n"/>
      <c r="BJ61" s="11602" t="n"/>
      <c r="BK61" s="11602" t="n"/>
      <c r="BL61" s="11602" t="n"/>
      <c r="BM61" s="11602" t="n"/>
      <c r="BN61" s="11602" t="n"/>
    </row>
  </sheetData>
  <sheetProtection selectLockedCells="0" selectUnlockedCells="0" algorithmName="SHA-512" sheet="1" objects="0" insertRows="1" insertHyperlinks="1" autoFilter="1" scenarios="0" formatColumns="0" deleteColumns="1" insertColumns="1" pivotTables="1" deleteRows="1" formatCells="0" saltValue="RB3HFllc4wbkbf+rLp8QbA==" formatRows="0" sort="1" spinCount="100000" hashValue="oLdoC9AUhrVdaSbj7EOp6HoXsFQmWRkIz6KwdsCt415uR0PdZ1pT8orU3ifDweyxr2q7bzWOO/taTCDOY4bl+A=="/>
  <mergeCells count="175">
    <mergeCell ref="AK25:AP25"/>
    <mergeCell ref="I14:L14"/>
    <mergeCell ref="Y5:AD5"/>
    <mergeCell ref="AU6:AW6"/>
    <mergeCell ref="AV33:BM34"/>
    <mergeCell ref="AE14:AG14"/>
    <mergeCell ref="E4:H5"/>
    <mergeCell ref="AQ4:AQ6"/>
    <mergeCell ref="BF52:BG52"/>
    <mergeCell ref="S28:X28"/>
    <mergeCell ref="M22:R22"/>
    <mergeCell ref="Y1:AJ3"/>
    <mergeCell ref="AE4:AJ5"/>
    <mergeCell ref="AK29:AP29"/>
    <mergeCell ref="BA6:BC6"/>
    <mergeCell ref="M15:R15"/>
    <mergeCell ref="M28:R28"/>
    <mergeCell ref="E24:H24"/>
    <mergeCell ref="S29:X29"/>
    <mergeCell ref="M29:R29"/>
    <mergeCell ref="I26:L26"/>
    <mergeCell ref="AK8:AP8"/>
    <mergeCell ref="M23:R23"/>
    <mergeCell ref="E8:H8"/>
    <mergeCell ref="AX14:AZ14"/>
    <mergeCell ref="I16:L16"/>
    <mergeCell ref="AK23:AP23"/>
    <mergeCell ref="I25:L25"/>
    <mergeCell ref="S4:X6"/>
    <mergeCell ref="Y4:AD4"/>
    <mergeCell ref="E10:H10"/>
    <mergeCell ref="AB6:AD6"/>
    <mergeCell ref="S21:X21"/>
    <mergeCell ref="AK7:AP7"/>
    <mergeCell ref="I18:L18"/>
    <mergeCell ref="AX6:AZ6"/>
    <mergeCell ref="AH14:AJ14"/>
    <mergeCell ref="AK18:AP18"/>
    <mergeCell ref="AK4:AP6"/>
    <mergeCell ref="E27:H27"/>
    <mergeCell ref="Y14:AA14"/>
    <mergeCell ref="I20:L20"/>
    <mergeCell ref="I29:L29"/>
    <mergeCell ref="M25:R25"/>
    <mergeCell ref="M30:R30"/>
    <mergeCell ref="E22:H22"/>
    <mergeCell ref="S19:X19"/>
    <mergeCell ref="BA12:BC13"/>
    <mergeCell ref="BG6:BI6"/>
    <mergeCell ref="AK20:AP20"/>
    <mergeCell ref="Y6:AA6"/>
    <mergeCell ref="AK16:AP16"/>
    <mergeCell ref="S9:X9"/>
    <mergeCell ref="BA14:BC14"/>
    <mergeCell ref="E21:H21"/>
    <mergeCell ref="I6:L6"/>
    <mergeCell ref="I15:L15"/>
    <mergeCell ref="AK22:AP22"/>
    <mergeCell ref="M17:R17"/>
    <mergeCell ref="S30:X30"/>
    <mergeCell ref="AE6:AG6"/>
    <mergeCell ref="CO2:CO6"/>
    <mergeCell ref="CQ2:CQ6"/>
    <mergeCell ref="AE12:AJ13"/>
    <mergeCell ref="S20:X20"/>
    <mergeCell ref="E14:H14"/>
    <mergeCell ref="E23:H23"/>
    <mergeCell ref="M19:R19"/>
    <mergeCell ref="AE11:AJ11"/>
    <mergeCell ref="C2:J2"/>
    <mergeCell ref="S22:X22"/>
    <mergeCell ref="I7:L7"/>
    <mergeCell ref="AR4:AZ5"/>
    <mergeCell ref="CL5:CM5"/>
    <mergeCell ref="AB14:AD14"/>
    <mergeCell ref="AR12:AZ13"/>
    <mergeCell ref="BV5:BV6"/>
    <mergeCell ref="BD4:BI5"/>
    <mergeCell ref="CX2:CX6"/>
    <mergeCell ref="AR14:AT14"/>
    <mergeCell ref="I24:L24"/>
    <mergeCell ref="S12:X14"/>
    <mergeCell ref="CR2:CR6"/>
    <mergeCell ref="AK12:AP14"/>
    <mergeCell ref="AK15:AP15"/>
    <mergeCell ref="E26:H26"/>
    <mergeCell ref="BJ6:BL6"/>
    <mergeCell ref="I17:L17"/>
    <mergeCell ref="AK24:AP24"/>
    <mergeCell ref="B6:D9"/>
    <mergeCell ref="S7:X7"/>
    <mergeCell ref="M10:R10"/>
    <mergeCell ref="E16:H16"/>
    <mergeCell ref="E25:H25"/>
    <mergeCell ref="BJ12:BL13"/>
    <mergeCell ref="I10:L10"/>
    <mergeCell ref="M7:R7"/>
    <mergeCell ref="AK1:AP3"/>
    <mergeCell ref="I19:L19"/>
    <mergeCell ref="AK26:AP26"/>
    <mergeCell ref="M16:R16"/>
    <mergeCell ref="BJ4:BL5"/>
    <mergeCell ref="AH6:AJ6"/>
    <mergeCell ref="S10:X10"/>
    <mergeCell ref="E18:H18"/>
    <mergeCell ref="S24:X24"/>
    <mergeCell ref="I9:L9"/>
    <mergeCell ref="AK10:AP10"/>
    <mergeCell ref="M27:R27"/>
    <mergeCell ref="CH4:CH5"/>
    <mergeCell ref="BD12:BI13"/>
    <mergeCell ref="M18:R18"/>
    <mergeCell ref="I30:L30"/>
    <mergeCell ref="BQ2:BQ6"/>
    <mergeCell ref="M8:R8"/>
    <mergeCell ref="E20:H20"/>
    <mergeCell ref="E29:H29"/>
    <mergeCell ref="B30:C30"/>
    <mergeCell ref="M9:R9"/>
    <mergeCell ref="I21:L21"/>
    <mergeCell ref="AK28:AP28"/>
    <mergeCell ref="BG14:BI14"/>
    <mergeCell ref="E6:H6"/>
    <mergeCell ref="E15:H15"/>
    <mergeCell ref="AK9:AP9"/>
    <mergeCell ref="Y12:AD13"/>
    <mergeCell ref="I23:L23"/>
    <mergeCell ref="AK30:AP30"/>
    <mergeCell ref="Y11:AD11"/>
    <mergeCell ref="I8:L8"/>
    <mergeCell ref="M1:R3"/>
    <mergeCell ref="S23:X23"/>
    <mergeCell ref="B4:D5"/>
    <mergeCell ref="BD14:BF14"/>
    <mergeCell ref="E7:H7"/>
    <mergeCell ref="AK21:AP21"/>
    <mergeCell ref="CP2:CP6"/>
    <mergeCell ref="CJ5:CK5"/>
    <mergeCell ref="M21:R21"/>
    <mergeCell ref="AR6:AT6"/>
    <mergeCell ref="S15:X15"/>
    <mergeCell ref="BD6:BF6"/>
    <mergeCell ref="M26:R26"/>
    <mergeCell ref="M12:R14"/>
    <mergeCell ref="B12:D15"/>
    <mergeCell ref="I27:L27"/>
    <mergeCell ref="M24:R24"/>
    <mergeCell ref="E17:H17"/>
    <mergeCell ref="BU5:BU6"/>
    <mergeCell ref="S26:X26"/>
    <mergeCell ref="AK27:AP27"/>
    <mergeCell ref="BJ14:BL14"/>
    <mergeCell ref="B10:C10"/>
    <mergeCell ref="M4:R6"/>
    <mergeCell ref="E19:H19"/>
    <mergeCell ref="S16:X16"/>
    <mergeCell ref="AK17:AP17"/>
    <mergeCell ref="E28:H28"/>
    <mergeCell ref="BZ5:CG5"/>
    <mergeCell ref="S25:X25"/>
    <mergeCell ref="I22:L22"/>
    <mergeCell ref="I28:L28"/>
    <mergeCell ref="E9:H9"/>
    <mergeCell ref="BA2:BL2"/>
    <mergeCell ref="AU14:AW14"/>
    <mergeCell ref="S27:X27"/>
    <mergeCell ref="E12:H13"/>
    <mergeCell ref="S18:X18"/>
    <mergeCell ref="E30:H30"/>
    <mergeCell ref="AK19:AP19"/>
    <mergeCell ref="AQ12:AQ14"/>
    <mergeCell ref="S8:X8"/>
    <mergeCell ref="S17:X17"/>
    <mergeCell ref="M20:R20"/>
    <mergeCell ref="BA4:BC5"/>
  </mergeCells>
  <conditionalFormatting sqref="B6 I6">
    <cfRule type="expression" priority="245" dxfId="6">
      <formula>NoColor</formula>
    </cfRule>
  </conditionalFormatting>
  <conditionalFormatting sqref="B12 M12 S12">
    <cfRule type="expression" priority="206" dxfId="6">
      <formula>NoColor</formula>
    </cfRule>
  </conditionalFormatting>
  <conditionalFormatting sqref="D10">
    <cfRule type="expression" priority="228" dxfId="6">
      <formula>NoColor</formula>
    </cfRule>
    <cfRule type="expression" priority="226" dxfId="3254">
      <formula>AND(#REF!,D10&lt;&gt;"")</formula>
    </cfRule>
  </conditionalFormatting>
  <conditionalFormatting sqref="D30">
    <cfRule type="expression" priority="188" dxfId="6">
      <formula>NoColor</formula>
    </cfRule>
    <cfRule type="expression" priority="186" dxfId="3254">
      <formula>AND(#REF!,D30&lt;&gt;"")</formula>
    </cfRule>
  </conditionalFormatting>
  <conditionalFormatting sqref="E6:E10">
    <cfRule type="expression" priority="222" dxfId="6">
      <formula>NoColor</formula>
    </cfRule>
  </conditionalFormatting>
  <conditionalFormatting sqref="E12">
    <cfRule type="expression" priority="29" dxfId="6">
      <formula>NoColor</formula>
    </cfRule>
  </conditionalFormatting>
  <conditionalFormatting sqref="E14:E30">
    <cfRule type="expression" priority="111" dxfId="6">
      <formula>NoColor</formula>
    </cfRule>
  </conditionalFormatting>
  <conditionalFormatting sqref="I14">
    <cfRule type="expression" priority="65" dxfId="6">
      <formula>NoColor</formula>
    </cfRule>
  </conditionalFormatting>
  <conditionalFormatting sqref="I4:L5">
    <cfRule type="expression" priority="229" dxfId="6">
      <formula>NoColor</formula>
    </cfRule>
  </conditionalFormatting>
  <conditionalFormatting sqref="I12:L13">
    <cfRule type="expression" priority="189" dxfId="6">
      <formula>NoColor</formula>
    </cfRule>
  </conditionalFormatting>
  <conditionalFormatting sqref="M4">
    <cfRule type="expression" priority="64" dxfId="6">
      <formula>NoColor</formula>
    </cfRule>
  </conditionalFormatting>
  <conditionalFormatting sqref="M7:N10">
    <cfRule type="expression" priority="73" dxfId="46">
      <formula>NoSSN</formula>
    </cfRule>
    <cfRule type="expression" priority="72" dxfId="20">
      <formula>AND(NoColor,NoSSN)</formula>
    </cfRule>
    <cfRule type="expression" priority="71" dxfId="0">
      <formula>NOT(BW7)</formula>
    </cfRule>
    <cfRule type="expression" priority="37" dxfId="0">
      <formula>NOT(BW7)</formula>
    </cfRule>
    <cfRule type="expression" priority="38" dxfId="20">
      <formula>AND(NoColor,NoSSN)</formula>
    </cfRule>
    <cfRule type="expression" priority="39" dxfId="46">
      <formula>NoSSN</formula>
    </cfRule>
  </conditionalFormatting>
  <conditionalFormatting sqref="M15:N30">
    <cfRule type="expression" priority="41" dxfId="0">
      <formula>NOT(BW15)</formula>
    </cfRule>
    <cfRule type="expression" priority="42" dxfId="20">
      <formula>AND(NoColor,NoSSN)</formula>
    </cfRule>
    <cfRule type="expression" priority="43" dxfId="46">
      <formula>NoSSN</formula>
    </cfRule>
  </conditionalFormatting>
  <conditionalFormatting sqref="O7:O10 O15:O30">
    <cfRule type="expression" priority="4598" dxfId="0">
      <formula>CA7&gt;0</formula>
    </cfRule>
  </conditionalFormatting>
  <conditionalFormatting sqref="O7:P10 O15:P30">
    <cfRule type="expression" priority="4600" dxfId="46">
      <formula>NoSSN</formula>
    </cfRule>
    <cfRule type="expression" priority="4599" dxfId="20">
      <formula>AND(NoColor,NoSSN)</formula>
    </cfRule>
  </conditionalFormatting>
  <conditionalFormatting sqref="Q7:R10 Q15:R30">
    <cfRule type="expression" priority="203" dxfId="46">
      <formula>NoSSN</formula>
    </cfRule>
    <cfRule type="expression" priority="199" dxfId="20">
      <formula>AND(NoColor,NoSSN)</formula>
    </cfRule>
  </conditionalFormatting>
  <conditionalFormatting sqref="Y4">
    <cfRule type="expression" priority="248" dxfId="968">
      <formula>NoColor</formula>
    </cfRule>
  </conditionalFormatting>
  <conditionalFormatting sqref="Y12">
    <cfRule type="expression" priority="45" dxfId="968">
      <formula>NoColor</formula>
    </cfRule>
  </conditionalFormatting>
  <conditionalFormatting sqref="Y4:AR4">
    <cfRule type="expression" priority="221" dxfId="6">
      <formula>NoColor</formula>
    </cfRule>
  </conditionalFormatting>
  <conditionalFormatting sqref="Y12:AR12">
    <cfRule type="expression" priority="44" dxfId="6">
      <formula>NoColor</formula>
    </cfRule>
  </conditionalFormatting>
  <conditionalFormatting sqref="AB6">
    <cfRule type="expression" priority="247" dxfId="968">
      <formula>NoColor</formula>
    </cfRule>
  </conditionalFormatting>
  <conditionalFormatting sqref="AB14">
    <cfRule type="expression" priority="51" dxfId="968">
      <formula>NoColor</formula>
    </cfRule>
  </conditionalFormatting>
  <conditionalFormatting sqref="AE4">
    <cfRule type="expression" priority="63" dxfId="968">
      <formula>NoColor</formula>
    </cfRule>
  </conditionalFormatting>
  <conditionalFormatting sqref="AE12">
    <cfRule type="expression" priority="46" dxfId="968">
      <formula>NoColor</formula>
    </cfRule>
  </conditionalFormatting>
  <conditionalFormatting sqref="AH6">
    <cfRule type="expression" priority="62" dxfId="968">
      <formula>NoColor</formula>
    </cfRule>
  </conditionalFormatting>
  <conditionalFormatting sqref="AH14">
    <cfRule type="expression" priority="48" dxfId="968">
      <formula>NoColor</formula>
    </cfRule>
  </conditionalFormatting>
  <conditionalFormatting sqref="AR4">
    <cfRule type="expression" priority="6719" dxfId="3585">
      <formula>OR(NOT($CH$31),NOT($CF$31),NOT($CI$31))</formula>
    </cfRule>
  </conditionalFormatting>
  <conditionalFormatting sqref="AR6">
    <cfRule type="expression" priority="31" dxfId="968">
      <formula>NoColor</formula>
    </cfRule>
  </conditionalFormatting>
  <conditionalFormatting sqref="AR6:AT6">
    <cfRule type="expression" priority="25" dxfId="3585">
      <formula>NOT($CH$31)</formula>
    </cfRule>
  </conditionalFormatting>
  <conditionalFormatting sqref="AR14:AT14">
    <cfRule type="expression" priority="2" dxfId="3585">
      <formula>NOT($CH$31)</formula>
    </cfRule>
  </conditionalFormatting>
  <conditionalFormatting sqref="AU6">
    <cfRule type="expression" priority="28" dxfId="968">
      <formula>NoColor</formula>
    </cfRule>
  </conditionalFormatting>
  <conditionalFormatting sqref="AU14">
    <cfRule type="expression" priority="5" dxfId="968">
      <formula>NoColor</formula>
    </cfRule>
  </conditionalFormatting>
  <conditionalFormatting sqref="AU6:AW6">
    <cfRule type="expression" priority="6720" dxfId="3585">
      <formula>NOT($CF$31)</formula>
    </cfRule>
  </conditionalFormatting>
  <conditionalFormatting sqref="AU14:AW14">
    <cfRule type="expression" priority="6" dxfId="3585">
      <formula>NOT($CF$31)</formula>
    </cfRule>
  </conditionalFormatting>
  <conditionalFormatting sqref="AX6">
    <cfRule type="expression" priority="22" dxfId="968">
      <formula>NoColor</formula>
    </cfRule>
  </conditionalFormatting>
  <conditionalFormatting sqref="AX14">
    <cfRule type="expression" priority="4" dxfId="968">
      <formula>NoColor</formula>
    </cfRule>
  </conditionalFormatting>
  <conditionalFormatting sqref="AX6:AZ6">
    <cfRule type="expression" priority="3" dxfId="3585">
      <formula>NOT($CI$31)</formula>
    </cfRule>
  </conditionalFormatting>
  <conditionalFormatting sqref="AX14:AZ14">
    <cfRule type="expression" priority="1" dxfId="3585">
      <formula>NOT($CI$31)</formula>
    </cfRule>
  </conditionalFormatting>
  <conditionalFormatting sqref="BA4">
    <cfRule type="expression" priority="69" dxfId="968">
      <formula>NoColor</formula>
    </cfRule>
  </conditionalFormatting>
  <conditionalFormatting sqref="BA12">
    <cfRule type="expression" priority="55" dxfId="968">
      <formula>NoColor</formula>
    </cfRule>
    <cfRule type="expression" priority="56" dxfId="6">
      <formula>NoColor</formula>
    </cfRule>
  </conditionalFormatting>
  <conditionalFormatting sqref="B4 E4 I7:AW10 I15:BL30 S4 Y6:AW6 Y14:AR14 AU14:BA14 AX6:AZ10 BA4 BA6 BA7:BL10 BD4 BD12 BD14:BJ14 BG6:BI10 BG37:BG38 BJ4 BJ12 BP34">
    <cfRule type="expression" priority="246" dxfId="6">
      <formula>NoColor</formula>
    </cfRule>
  </conditionalFormatting>
  <conditionalFormatting sqref="BB7:BB10">
    <cfRule type="expression" priority="15" dxfId="3570">
      <formula>BB7&lt;&gt;""</formula>
    </cfRule>
  </conditionalFormatting>
  <conditionalFormatting sqref="BB15:BB30">
    <cfRule type="expression" priority="9" dxfId="3570">
      <formula>BB15&lt;&gt;""</formula>
    </cfRule>
  </conditionalFormatting>
  <conditionalFormatting sqref="BD6:BJ6">
    <cfRule type="expression" priority="34" dxfId="6">
      <formula>NoColor</formula>
    </cfRule>
  </conditionalFormatting>
  <conditionalFormatting sqref="BG6">
    <cfRule type="expression" priority="33" dxfId="968">
      <formula>NoColor</formula>
    </cfRule>
  </conditionalFormatting>
  <conditionalFormatting sqref="BG14">
    <cfRule type="expression" priority="32" dxfId="968">
      <formula>NoColor</formula>
    </cfRule>
  </conditionalFormatting>
  <conditionalFormatting sqref="BG43">
    <cfRule type="expression" priority="36" dxfId="6">
      <formula>NoColor</formula>
    </cfRule>
  </conditionalFormatting>
  <conditionalFormatting sqref="BG48">
    <cfRule type="expression" priority="19" dxfId="6">
      <formula>NoColor</formula>
    </cfRule>
  </conditionalFormatting>
  <conditionalFormatting sqref="BG51">
    <cfRule type="expression" priority="18" dxfId="6">
      <formula>NoColor</formula>
    </cfRule>
  </conditionalFormatting>
  <conditionalFormatting sqref="BG56">
    <cfRule type="expression" priority="17" dxfId="6">
      <formula>NoColor</formula>
    </cfRule>
  </conditionalFormatting>
  <conditionalFormatting sqref="BK7:BK10">
    <cfRule type="expression" priority="11" dxfId="3570">
      <formula>BK7&lt;&gt;""</formula>
    </cfRule>
  </conditionalFormatting>
  <conditionalFormatting sqref="BK15:BK30">
    <cfRule type="expression" priority="7" dxfId="3570">
      <formula>BK15&lt;&gt;""</formula>
    </cfRule>
  </conditionalFormatting>
  <hyperlinks>
    <hyperlink xmlns:r="http://schemas.openxmlformats.org/officeDocument/2006/relationships" ref="D58" r:id="rId1"/>
  </hyperlinks>
  <pageMargins left="0.75" right="0.25" top="0.36" bottom="0.29" header="0.36" footer="0.21"/>
  <pageSetup orientation="landscape" scale="50" fitToHeight="0"/>
</worksheet>
</file>

<file path=xl/worksheets/sheet15.xml><?xml version="1.0" encoding="utf-8"?>
<worksheet xmlns="http://schemas.openxmlformats.org/spreadsheetml/2006/main">
  <sheetPr>
    <outlinePr summaryBelow="1" summaryRight="1"/>
    <pageSetUpPr fitToPage="1"/>
  </sheetPr>
  <dimension ref="A1:BC134"/>
  <sheetViews>
    <sheetView zoomScaleNormal="100" zoomScaleSheetLayoutView="130" workbookViewId="0">
      <selection activeCell="A1" sqref="A1"/>
    </sheetView>
  </sheetViews>
  <sheetFormatPr baseColWidth="8" defaultColWidth="3.42578125" defaultRowHeight="15"/>
  <cols>
    <col width="3.85546875" customWidth="1" style="7635" min="2" max="5"/>
    <col width="5.7109375" customWidth="1" style="7635" min="6" max="8"/>
    <col width="4.85546875" customWidth="1" style="7635" min="9" max="9"/>
    <col width="3.42578125" customWidth="1" style="7635" min="10" max="12"/>
    <col width="5.7109375" customWidth="1" style="7635" min="13" max="14"/>
    <col width="5" customWidth="1" style="7635" min="15" max="15"/>
    <col width="5.7109375" customWidth="1" style="7635" min="16" max="17"/>
    <col width="3.42578125" customWidth="1" style="7635" min="18" max="19"/>
    <col width="6" customWidth="1" style="7635" min="20" max="20"/>
    <col width="1.85546875" customWidth="1" style="7635" min="21" max="21"/>
    <col width="4.42578125" customWidth="1" style="7635" min="22" max="22"/>
    <col width="1.85546875" customWidth="1" style="7635" min="23" max="23"/>
    <col width="4.140625" customWidth="1" style="7635" min="24" max="24"/>
    <col width="4.42578125" customWidth="1" style="7635" min="25" max="25"/>
    <col width="3.42578125" customWidth="1" style="7635" min="26" max="26"/>
    <col width="2.28515625" customWidth="1" style="7635" min="27" max="27"/>
    <col width="6" customWidth="1" style="7635" min="28" max="28"/>
    <col width="3" customWidth="1" style="7635" min="29" max="30"/>
    <col width="5.42578125" customWidth="1" style="7635" min="31" max="31"/>
    <col width="3.5703125" customWidth="1" style="7635" min="32" max="32"/>
    <col width="3" customWidth="1" style="7635" min="33" max="33"/>
    <col width="18.7109375" customWidth="1" style="7635" min="35" max="35"/>
    <col hidden="1" width="12.42578125" customWidth="1" style="6612" min="36" max="36"/>
    <col width="15" customWidth="1" style="7635" min="37" max="37"/>
    <col width="4" customWidth="1" style="7635" min="38" max="38"/>
    <col width="27.85546875" customWidth="1" style="7635" min="39" max="39"/>
    <col width="16.7109375" customWidth="1" style="7635" min="40" max="40"/>
    <col width="24.42578125" customWidth="1" style="7635" min="41" max="41"/>
    <col width="7.42578125" customWidth="1" style="7635" min="43" max="43"/>
    <col width="10.7109375" customWidth="1" style="816" min="44" max="44"/>
    <col width="10.7109375" customWidth="1" style="815" min="45" max="54"/>
  </cols>
  <sheetData>
    <row r="1">
      <c r="A1" s="1277"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I1" s="11602" t="n"/>
      <c r="AJ1" s="6608" t="n"/>
      <c r="AK1" s="2875" t="n"/>
      <c r="AL1" s="11602" t="n"/>
      <c r="AM1" s="11602" t="n"/>
      <c r="AN1" s="11602" t="n"/>
      <c r="AO1" s="11602" t="n"/>
      <c r="AP1" s="11602" t="n"/>
      <c r="AQ1" s="11602" t="n"/>
      <c r="AR1" s="769" t="inlineStr">
        <is>
          <t>Notes</t>
        </is>
      </c>
      <c r="AS1" s="769" t="n"/>
      <c r="AT1" s="769" t="n"/>
      <c r="AU1" s="769" t="n"/>
      <c r="AV1" s="769" t="n"/>
      <c r="AW1" s="769" t="n"/>
      <c r="AX1" s="769" t="n"/>
      <c r="AY1" s="769" t="n"/>
      <c r="AZ1" s="769" t="n"/>
      <c r="BA1" s="769" t="n"/>
      <c r="BB1" s="769" t="n"/>
    </row>
    <row r="2" ht="18" customHeight="1" s="7635">
      <c r="A2" s="7656" t="n"/>
      <c r="B2" s="7563" t="inlineStr">
        <is>
          <t>SCHEDULE 1
(Form 1040)</t>
        </is>
      </c>
      <c r="F2" s="1066" t="n"/>
      <c r="G2" s="11602" t="n"/>
      <c r="H2" s="11602" t="n"/>
      <c r="I2" s="11602" t="n"/>
      <c r="J2" s="11602" t="n"/>
      <c r="K2" s="11602" t="n"/>
      <c r="L2" s="11602" t="n"/>
      <c r="M2" s="11602" t="n"/>
      <c r="N2" s="11602" t="n"/>
      <c r="O2" s="11602" t="n"/>
      <c r="P2" s="11602" t="n"/>
      <c r="Q2" s="11602" t="n"/>
      <c r="R2" s="11602" t="n"/>
      <c r="S2" s="11602" t="n"/>
      <c r="T2" s="11602" t="n"/>
      <c r="U2" s="11602" t="n"/>
      <c r="V2" s="11602" t="n"/>
      <c r="W2" s="11602" t="n"/>
      <c r="X2" s="11602" t="n"/>
      <c r="Y2" s="11602" t="n"/>
      <c r="Z2" s="11602" t="n"/>
      <c r="AA2" s="11602" t="n"/>
      <c r="AB2" s="7620">
        <f>IF(AND(AH2="",'Table of Contents'!A20="D"),"DRAFT","OMB No. 1545-0074")</f>
        <v/>
      </c>
      <c r="AC2" s="7637" t="n"/>
      <c r="AD2" s="7637" t="n"/>
      <c r="AE2" s="7637" t="n"/>
      <c r="AF2" s="7637" t="n"/>
      <c r="AG2" s="7637" t="n"/>
      <c r="AH2" s="770" t="n"/>
      <c r="AI2" s="11602">
        <f>IF('Table of Contents'!A20="D","Hide 'DRAFT'.","")</f>
        <v/>
      </c>
      <c r="AJ2" s="6608" t="n"/>
      <c r="AK2" s="2875" t="n"/>
      <c r="AL2" s="11602" t="n"/>
      <c r="AM2" s="11602" t="n"/>
      <c r="AN2" s="11602" t="n"/>
      <c r="AO2" s="11602" t="n"/>
      <c r="AP2" s="11602" t="n"/>
      <c r="AQ2" s="11602" t="n"/>
      <c r="AR2" s="948" t="n"/>
      <c r="AS2" s="769" t="n"/>
      <c r="AT2" s="769" t="n"/>
      <c r="AU2" s="769" t="n"/>
      <c r="AV2" s="769" t="n"/>
      <c r="AW2" s="769" t="n"/>
      <c r="AX2" s="769" t="n"/>
      <c r="AY2" s="769" t="n"/>
      <c r="AZ2" s="769" t="n"/>
      <c r="BA2" s="769" t="n"/>
      <c r="BB2" s="769" t="n"/>
    </row>
    <row r="3" ht="16.5" customHeight="1" s="7635">
      <c r="F3" s="1066" t="n"/>
      <c r="G3" s="6137" t="inlineStr">
        <is>
          <t>Additional Income and Adjustments to Income</t>
        </is>
      </c>
      <c r="H3" s="766" t="n"/>
      <c r="I3" s="766" t="n"/>
      <c r="J3" s="766" t="n"/>
      <c r="K3" s="766" t="n"/>
      <c r="L3" s="766" t="n"/>
      <c r="M3" s="766" t="n"/>
      <c r="N3" s="766" t="n"/>
      <c r="O3" s="766" t="n"/>
      <c r="P3" s="766" t="n"/>
      <c r="Q3" s="766" t="n"/>
      <c r="R3" s="766" t="n"/>
      <c r="S3" s="766" t="n"/>
      <c r="T3" s="766" t="n"/>
      <c r="U3" s="766" t="n"/>
      <c r="V3" s="766" t="n"/>
      <c r="W3" s="766" t="n"/>
      <c r="X3" s="766" t="n"/>
      <c r="Y3" s="766" t="n"/>
      <c r="Z3" s="766" t="n"/>
      <c r="AA3" s="767" t="n"/>
      <c r="AB3" s="7625">
        <f>TaxYear</f>
        <v/>
      </c>
      <c r="AC3" s="7839" t="n"/>
      <c r="AD3" s="7839" t="n"/>
      <c r="AE3" s="7839" t="n"/>
      <c r="AF3" s="7839" t="n"/>
      <c r="AG3" s="7839" t="n"/>
      <c r="AH3" s="1277" t="n"/>
      <c r="AI3" s="11602" t="n"/>
      <c r="AJ3" s="6608" t="n"/>
      <c r="AK3" s="2875" t="n"/>
      <c r="AL3" s="11602" t="n"/>
      <c r="AM3" s="11602" t="n"/>
      <c r="AN3" s="11602" t="n"/>
      <c r="AO3" s="11602" t="n"/>
      <c r="AP3" s="11602" t="n"/>
      <c r="AQ3" s="11602" t="n"/>
      <c r="AR3" s="948" t="inlineStr">
        <is>
          <t>Date:</t>
        </is>
      </c>
      <c r="AS3" s="769" t="n"/>
      <c r="AT3" s="769" t="n"/>
      <c r="AU3" s="769" t="n"/>
      <c r="AV3" s="769" t="n"/>
      <c r="AW3" s="769" t="n"/>
      <c r="AX3" s="769" t="n"/>
      <c r="AY3" s="769" t="n"/>
      <c r="AZ3" s="769" t="n"/>
      <c r="BA3" s="769" t="n"/>
      <c r="BB3" s="769" t="n"/>
    </row>
    <row r="4" ht="15.75" customHeight="1" s="7635">
      <c r="A4" s="770" t="n"/>
      <c r="F4" s="1066" t="n"/>
      <c r="G4" s="11929" t="inlineStr">
        <is>
          <t>Attach to Form 1040, 1040-SR, or 1040-NR.</t>
        </is>
      </c>
      <c r="AA4" s="1066" t="n"/>
      <c r="AB4" s="11741" t="n"/>
      <c r="AH4" s="1277" t="n"/>
      <c r="AI4" s="11602" t="n"/>
      <c r="AJ4" s="6608" t="n"/>
      <c r="AK4" s="2875" t="n"/>
      <c r="AL4" s="11602" t="n"/>
      <c r="AM4" s="11602" t="n"/>
      <c r="AN4" s="11602" t="n"/>
      <c r="AO4" s="11602" t="n"/>
      <c r="AP4" s="11602" t="n"/>
      <c r="AQ4" s="11602" t="n"/>
      <c r="AR4" s="769" t="n"/>
      <c r="AS4" s="769" t="n"/>
      <c r="AT4" s="769" t="n"/>
      <c r="AU4" s="769" t="n"/>
      <c r="AV4" s="769" t="n"/>
      <c r="AW4" s="769" t="n"/>
      <c r="AX4" s="769" t="n"/>
      <c r="AY4" s="769" t="n"/>
      <c r="AZ4" s="769" t="n"/>
      <c r="BA4" s="769" t="n"/>
      <c r="BB4" s="769" t="n"/>
    </row>
    <row r="5" ht="18" customHeight="1" s="7635">
      <c r="A5" s="1277" t="n"/>
      <c r="B5" s="7650" t="inlineStr">
        <is>
          <t>Department of the Treasury Internal Revenue Service</t>
        </is>
      </c>
      <c r="F5" s="1066" t="n"/>
      <c r="G5" s="11930" t="inlineStr">
        <is>
          <t>Go to www.irs.gov/Form1040 for instructions and the latest information.</t>
        </is>
      </c>
      <c r="AA5" s="1066" t="n"/>
      <c r="AB5" s="6082" t="n"/>
      <c r="AC5" s="7630" t="inlineStr">
        <is>
          <t>Attachment
Sequence  01</t>
        </is>
      </c>
      <c r="AH5" s="1277" t="n"/>
      <c r="AI5" s="11602" t="n"/>
      <c r="AJ5" s="6608" t="n"/>
      <c r="AK5" s="2875" t="n"/>
      <c r="AL5" s="11602" t="n"/>
      <c r="AM5" s="11602" t="n"/>
      <c r="AN5" s="11602" t="n"/>
      <c r="AO5" s="11602" t="n"/>
      <c r="AP5" s="11602" t="n"/>
      <c r="AQ5" s="11602" t="n"/>
      <c r="AR5" s="769" t="n"/>
      <c r="AS5" s="769" t="n"/>
      <c r="AT5" s="769" t="n"/>
      <c r="AU5" s="769" t="n"/>
      <c r="AV5" s="769" t="n"/>
      <c r="AW5" s="769" t="n"/>
      <c r="AX5" s="769" t="n"/>
      <c r="AY5" s="769" t="n"/>
      <c r="AZ5" s="769" t="n"/>
      <c r="BA5" s="769" t="n"/>
      <c r="BB5" s="769" t="n"/>
    </row>
    <row r="6" ht="9.75" customHeight="1" s="7635" thickBot="1">
      <c r="A6" s="1277" t="n"/>
      <c r="B6" s="8848" t="n"/>
      <c r="C6" s="8848" t="n"/>
      <c r="D6" s="8848" t="n"/>
      <c r="E6" s="8848" t="n"/>
      <c r="F6" s="2627" t="n"/>
      <c r="G6" s="2879" t="n"/>
      <c r="H6" s="2880" t="n"/>
      <c r="I6" s="2879" t="n"/>
      <c r="J6" s="2881" t="n"/>
      <c r="K6" s="2880" t="n"/>
      <c r="L6" s="2880" t="n"/>
      <c r="M6" s="2880" t="n"/>
      <c r="N6" s="2880" t="n"/>
      <c r="O6" s="2880" t="n"/>
      <c r="P6" s="2880" t="n"/>
      <c r="Q6" s="2880" t="n"/>
      <c r="R6" s="2880" t="n"/>
      <c r="S6" s="2880" t="n"/>
      <c r="T6" s="2880" t="n"/>
      <c r="U6" s="2880" t="n"/>
      <c r="V6" s="2880" t="n"/>
      <c r="W6" s="2880" t="n"/>
      <c r="X6" s="2880" t="n"/>
      <c r="Y6" s="2880" t="n"/>
      <c r="Z6" s="2880" t="n"/>
      <c r="AA6" s="2880" t="n"/>
      <c r="AB6" s="6083" t="n"/>
      <c r="AC6" s="8848" t="n"/>
      <c r="AD6" s="8848" t="n"/>
      <c r="AE6" s="8848" t="n"/>
      <c r="AF6" s="8848" t="n"/>
      <c r="AG6" s="8848" t="n"/>
      <c r="AH6" s="1277" t="n"/>
      <c r="AI6" s="11602" t="n"/>
      <c r="AJ6" s="6608" t="n"/>
      <c r="AK6" s="2875" t="n"/>
      <c r="AL6" s="11602" t="n"/>
      <c r="AM6" s="11602" t="n"/>
      <c r="AN6" s="11602" t="n"/>
      <c r="AO6" s="11602" t="n"/>
      <c r="AP6" s="11602" t="n"/>
      <c r="AQ6" s="11602" t="n"/>
      <c r="AR6" s="769" t="n"/>
      <c r="AS6" s="769" t="n"/>
      <c r="AT6" s="769" t="n"/>
      <c r="AU6" s="769" t="n"/>
      <c r="AV6" s="769" t="n"/>
      <c r="AW6" s="769" t="n"/>
      <c r="AX6" s="769" t="n"/>
      <c r="AY6" s="769" t="n"/>
      <c r="AZ6" s="769" t="n"/>
      <c r="BA6" s="769" t="n"/>
      <c r="BB6" s="769" t="n"/>
    </row>
    <row r="7">
      <c r="A7" s="1277" t="n"/>
      <c r="B7" s="344" t="inlineStr">
        <is>
          <t>Name(s) shown on Form 1040, 1040-SR, or 1040-NR</t>
        </is>
      </c>
      <c r="C7" s="11602" t="n"/>
      <c r="D7" s="11602" t="n"/>
      <c r="E7" s="11602" t="n"/>
      <c r="F7" s="11602" t="n"/>
      <c r="G7" s="11602" t="n"/>
      <c r="H7" s="11602" t="n"/>
      <c r="I7" s="11602" t="n"/>
      <c r="J7" s="11602" t="n"/>
      <c r="K7" s="11602" t="n"/>
      <c r="L7" s="11602" t="n"/>
      <c r="M7" s="11602" t="n"/>
      <c r="N7" s="11602" t="n"/>
      <c r="O7" s="11602" t="n"/>
      <c r="P7" s="11602" t="n"/>
      <c r="Q7" s="11602" t="n"/>
      <c r="R7" s="11602" t="n"/>
      <c r="S7" s="11602" t="n"/>
      <c r="T7" s="11602" t="n"/>
      <c r="U7" s="11602" t="n"/>
      <c r="V7" s="11602" t="n"/>
      <c r="W7" s="11602" t="n"/>
      <c r="X7" s="11602" t="n"/>
      <c r="Y7" s="11602" t="n"/>
      <c r="Z7" s="11602" t="n"/>
      <c r="AA7" s="11602" t="n"/>
      <c r="AB7" s="5881" t="inlineStr">
        <is>
          <t>Your social security number</t>
        </is>
      </c>
      <c r="AC7" s="377" t="n"/>
      <c r="AD7" s="377" t="n"/>
      <c r="AE7" s="377" t="n"/>
      <c r="AF7" s="377" t="n"/>
      <c r="AG7" s="377" t="n"/>
      <c r="AH7" s="1277" t="n"/>
      <c r="AI7" s="11602" t="n"/>
      <c r="AJ7" s="6608" t="n"/>
      <c r="AK7" s="11931" t="inlineStr">
        <is>
          <t>Manual
Override</t>
        </is>
      </c>
      <c r="AL7" s="11602" t="n"/>
      <c r="AM7" s="7886" t="n"/>
      <c r="AN7" s="11602" t="n"/>
      <c r="AO7" s="11602" t="n"/>
      <c r="AP7" s="11602" t="n"/>
      <c r="AQ7" s="11602" t="n"/>
      <c r="AR7" s="769" t="n"/>
      <c r="AS7" s="769" t="n"/>
      <c r="AT7" s="769" t="n"/>
      <c r="AU7" s="769" t="n"/>
      <c r="AV7" s="769" t="n"/>
      <c r="AW7" s="769" t="n"/>
      <c r="AX7" s="769" t="n"/>
      <c r="AY7" s="769" t="n"/>
      <c r="AZ7" s="769" t="n"/>
      <c r="BA7" s="769" t="n"/>
      <c r="BB7" s="769" t="n"/>
    </row>
    <row r="8" ht="9.75" customHeight="1" s="7635">
      <c r="A8" s="1277" t="n"/>
      <c r="B8" s="11932">
        <f>Names</f>
        <v/>
      </c>
      <c r="AA8" s="7636" t="n"/>
      <c r="AB8" s="11933">
        <f>IF(NoSSN,"",SS_Yours)</f>
        <v/>
      </c>
      <c r="AH8" s="1277" t="n"/>
      <c r="AI8" s="11602" t="n"/>
      <c r="AJ8" s="6608" t="n"/>
      <c r="AK8" s="11747" t="n"/>
      <c r="AL8" s="11602" t="n"/>
      <c r="AM8" s="11602" t="n"/>
      <c r="AN8" s="11602" t="n"/>
      <c r="AO8" s="11602" t="n"/>
      <c r="AP8" s="11602" t="n"/>
      <c r="AQ8" s="11602" t="n"/>
      <c r="AR8" s="769" t="n"/>
      <c r="AS8" s="769" t="n"/>
      <c r="AT8" s="769" t="n"/>
      <c r="AU8" s="769" t="n"/>
      <c r="AV8" s="769" t="n"/>
      <c r="AW8" s="769" t="n"/>
      <c r="AX8" s="769" t="n"/>
      <c r="AY8" s="769" t="n"/>
      <c r="AZ8" s="769" t="n"/>
      <c r="BA8" s="769" t="n"/>
      <c r="BB8" s="769" t="n"/>
    </row>
    <row r="9" ht="9.75" customHeight="1" s="7635">
      <c r="A9" s="1277"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7" t="n"/>
      <c r="Y9" s="7637" t="n"/>
      <c r="Z9" s="7637" t="n"/>
      <c r="AA9" s="7638" t="n"/>
      <c r="AB9" s="3614" t="n"/>
      <c r="AC9" s="7637" t="n"/>
      <c r="AD9" s="7637" t="n"/>
      <c r="AE9" s="7637" t="n"/>
      <c r="AF9" s="7637" t="n"/>
      <c r="AG9" s="7637" t="n"/>
      <c r="AH9" s="1277" t="n"/>
      <c r="AI9" s="11602" t="n"/>
      <c r="AJ9" s="6608" t="n"/>
      <c r="AK9" s="11934" t="n"/>
      <c r="AL9" s="11602" t="n"/>
      <c r="AM9" s="11602" t="n"/>
      <c r="AN9" s="11602" t="n"/>
      <c r="AO9" s="11935" t="n">
        <v>43465</v>
      </c>
      <c r="AP9" s="11602" t="n"/>
      <c r="AQ9" s="11602" t="n"/>
      <c r="AR9" s="769" t="n"/>
      <c r="AS9" s="769" t="n"/>
      <c r="AT9" s="769" t="n"/>
      <c r="AU9" s="769" t="n"/>
      <c r="AV9" s="769" t="n"/>
      <c r="AW9" s="769" t="n"/>
      <c r="AX9" s="769" t="n"/>
      <c r="AY9" s="769" t="n"/>
      <c r="AZ9" s="769" t="n"/>
      <c r="BA9" s="769" t="n"/>
      <c r="BB9" s="769" t="n"/>
    </row>
    <row r="10" ht="14.25" customHeight="1" s="7635">
      <c r="A10" s="1277" t="n"/>
      <c r="B10" s="7772">
        <f>"For "&amp;TaxYear&amp;", enter the amount reported to you on Form(s) 1099-K that was included in error or for personal"</f>
        <v/>
      </c>
      <c r="C10" s="344" t="n"/>
      <c r="D10" s="565" t="n"/>
      <c r="E10" s="565" t="n"/>
      <c r="F10" s="565" t="n"/>
      <c r="G10" s="565" t="n"/>
      <c r="H10" s="565" t="n"/>
      <c r="I10" s="565" t="n"/>
      <c r="J10" s="565" t="n"/>
      <c r="K10" s="565" t="n"/>
      <c r="L10" s="565" t="n"/>
      <c r="M10" s="565" t="n"/>
      <c r="N10" s="565" t="n"/>
      <c r="O10" s="565" t="n"/>
      <c r="P10" s="565" t="n"/>
      <c r="Q10" s="565" t="n"/>
      <c r="R10" s="565" t="n"/>
      <c r="S10" s="565" t="n"/>
      <c r="T10" s="565" t="n"/>
      <c r="U10" s="565" t="n"/>
      <c r="V10" s="565" t="n"/>
      <c r="W10" s="565" t="n"/>
      <c r="X10" s="565" t="n"/>
      <c r="Y10" s="565" t="n"/>
      <c r="Z10" s="565" t="n"/>
      <c r="AA10" s="565" t="n"/>
      <c r="AB10" s="10229" t="n"/>
      <c r="AC10" s="10229" t="n"/>
      <c r="AD10" s="10229" t="n"/>
      <c r="AE10" s="10229" t="n"/>
      <c r="AF10" s="10229" t="n"/>
      <c r="AG10" s="10229" t="n"/>
      <c r="AH10" s="1277" t="n"/>
      <c r="AI10" s="11602" t="n"/>
      <c r="AJ10" s="6608" t="n"/>
      <c r="AK10" s="2875" t="n"/>
      <c r="AL10" s="11602" t="n"/>
      <c r="AM10" s="11602" t="n"/>
      <c r="AN10" s="11602" t="n"/>
      <c r="AO10" s="11935" t="n"/>
      <c r="AP10" s="11602" t="n"/>
      <c r="AQ10" s="11602" t="n"/>
      <c r="AR10" s="11704" t="n"/>
      <c r="AS10" s="769" t="n"/>
      <c r="AT10" s="769" t="n"/>
      <c r="AU10" s="769" t="n"/>
      <c r="AV10" s="769" t="n"/>
      <c r="AW10" s="769" t="n"/>
      <c r="AX10" s="769" t="n"/>
      <c r="AY10" s="769" t="n"/>
      <c r="AZ10" s="769" t="n"/>
      <c r="BA10" s="769" t="n"/>
      <c r="BB10" s="769" t="n"/>
    </row>
    <row r="11" ht="15.75" customHeight="1" s="7635">
      <c r="A11" s="1277" t="n"/>
      <c r="B11" s="7772" t="inlineStr">
        <is>
          <t>items sold at a loss</t>
        </is>
      </c>
      <c r="C11" s="344" t="n"/>
      <c r="D11" s="344" t="n"/>
      <c r="E11" s="344" t="n"/>
      <c r="F11" s="344" t="n"/>
      <c r="G11" s="344" t="n"/>
      <c r="H11" s="344" t="n"/>
      <c r="I11" s="344" t="n"/>
      <c r="J11" s="344" t="n"/>
      <c r="K11" s="344" t="n"/>
      <c r="L11" s="344" t="n"/>
      <c r="M11" s="344" t="n"/>
      <c r="N11" s="344" t="n"/>
      <c r="O11" s="344" t="n"/>
      <c r="P11" s="344" t="n"/>
      <c r="Q11" s="344" t="n"/>
      <c r="R11" s="344" t="n"/>
      <c r="S11" s="344" t="n"/>
      <c r="T11" s="344" t="n"/>
      <c r="U11" s="344" t="n"/>
      <c r="V11" s="344" t="n"/>
      <c r="W11" s="344" t="n"/>
      <c r="X11" s="344" t="n"/>
      <c r="Y11" s="344" t="n"/>
      <c r="Z11" s="344" t="n"/>
      <c r="AA11" s="344" t="n"/>
      <c r="AB11" s="873" t="n"/>
      <c r="AC11" s="7651" t="n"/>
      <c r="AD11" s="11717" t="n"/>
      <c r="AE11" s="11717" t="n"/>
      <c r="AF11" s="11717" t="n"/>
      <c r="AG11" s="11717" t="n"/>
      <c r="AH11" s="1277" t="n"/>
      <c r="AI11" s="11602" t="n"/>
      <c r="AJ11" s="6608" t="n"/>
      <c r="AK11" s="2875" t="n"/>
      <c r="AL11" s="11602" t="n"/>
      <c r="AM11" s="11602" t="n"/>
      <c r="AN11" s="11602" t="n"/>
      <c r="AO11" s="11935" t="n"/>
      <c r="AP11" s="11602" t="n"/>
      <c r="AQ11" s="11602" t="n"/>
      <c r="AR11" s="11704" t="n"/>
      <c r="AS11" s="769" t="n"/>
      <c r="AT11" s="769" t="n"/>
      <c r="AU11" s="769" t="n"/>
      <c r="AV11" s="769" t="n"/>
      <c r="AW11" s="769" t="n"/>
      <c r="AX11" s="769" t="n"/>
      <c r="AY11" s="769" t="n"/>
      <c r="AZ11" s="769" t="n"/>
      <c r="BA11" s="769" t="n"/>
      <c r="BB11" s="769" t="n"/>
    </row>
    <row r="12" ht="20.25" customHeight="1" s="7635">
      <c r="A12" s="1277" t="n"/>
      <c r="B12" s="7772" t="inlineStr">
        <is>
          <t>Note: The remaining amounts reported to you on Form(s) 1099-K should be reported elsewhere on your return depending on the</t>
        </is>
      </c>
      <c r="C12" s="344" t="n"/>
      <c r="D12" s="344" t="n"/>
      <c r="E12" s="344" t="n"/>
      <c r="F12" s="344" t="n"/>
      <c r="G12" s="344" t="n"/>
      <c r="H12" s="344" t="n"/>
      <c r="I12" s="344" t="n"/>
      <c r="J12" s="344" t="n"/>
      <c r="K12" s="344" t="n"/>
      <c r="L12" s="344" t="n"/>
      <c r="M12" s="344" t="n"/>
      <c r="N12" s="344" t="n"/>
      <c r="O12" s="344" t="n"/>
      <c r="P12" s="344" t="n"/>
      <c r="Q12" s="344" t="n"/>
      <c r="R12" s="344" t="n"/>
      <c r="S12" s="344" t="n"/>
      <c r="T12" s="344" t="n"/>
      <c r="U12" s="344" t="n"/>
      <c r="V12" s="344" t="n"/>
      <c r="W12" s="344" t="n"/>
      <c r="X12" s="344" t="n"/>
      <c r="Y12" s="344" t="n"/>
      <c r="Z12" s="344" t="n"/>
      <c r="AA12" s="344" t="n"/>
      <c r="AB12" s="873" t="n"/>
      <c r="AC12" s="873" t="n"/>
      <c r="AD12" s="873" t="n"/>
      <c r="AE12" s="873" t="n"/>
      <c r="AF12" s="873" t="n"/>
      <c r="AG12" s="873" t="n"/>
      <c r="AH12" s="1277" t="n"/>
      <c r="AI12" s="11602" t="n"/>
      <c r="AJ12" s="6608" t="n"/>
      <c r="AK12" s="2875" t="n"/>
      <c r="AL12" s="11602" t="n"/>
      <c r="AM12" s="11602" t="n"/>
      <c r="AN12" s="11602" t="n"/>
      <c r="AO12" s="11935" t="n"/>
      <c r="AP12" s="11602" t="n"/>
      <c r="AQ12" s="11602" t="n"/>
      <c r="AR12" s="11704" t="n"/>
      <c r="AS12" s="769" t="n"/>
      <c r="AT12" s="769" t="n"/>
      <c r="AU12" s="769" t="n"/>
      <c r="AV12" s="769" t="n"/>
      <c r="AW12" s="769" t="n"/>
      <c r="AX12" s="769" t="n"/>
      <c r="AY12" s="769" t="n"/>
      <c r="AZ12" s="769" t="n"/>
      <c r="BA12" s="769" t="n"/>
      <c r="BB12" s="769" t="n"/>
    </row>
    <row r="13" ht="18.75" customHeight="1" s="7635">
      <c r="A13" s="1277" t="n"/>
      <c r="B13" s="2006" t="inlineStr">
        <is>
          <t>nature of the transaction. See www.irs.gov/1099k.</t>
        </is>
      </c>
      <c r="C13" s="344" t="n"/>
      <c r="D13" s="569" t="n"/>
      <c r="E13" s="569" t="n"/>
      <c r="F13" s="569" t="n"/>
      <c r="G13" s="569" t="n"/>
      <c r="H13" s="569" t="n"/>
      <c r="I13" s="569" t="n"/>
      <c r="J13" s="569" t="n"/>
      <c r="K13" s="569" t="n"/>
      <c r="L13" s="569" t="n"/>
      <c r="M13" s="569" t="n"/>
      <c r="N13" s="569" t="n"/>
      <c r="O13" s="569" t="n"/>
      <c r="P13" s="569" t="n"/>
      <c r="Q13" s="569" t="n"/>
      <c r="R13" s="569" t="n"/>
      <c r="S13" s="569" t="n"/>
      <c r="T13" s="569" t="n"/>
      <c r="U13" s="569" t="n"/>
      <c r="V13" s="569" t="n"/>
      <c r="W13" s="569" t="n"/>
      <c r="X13" s="569" t="n"/>
      <c r="Y13" s="569" t="n"/>
      <c r="Z13" s="569" t="n"/>
      <c r="AA13" s="569" t="n"/>
      <c r="AB13" s="10231" t="n"/>
      <c r="AC13" s="10231" t="n"/>
      <c r="AD13" s="10231" t="n"/>
      <c r="AE13" s="10231" t="n"/>
      <c r="AF13" s="10231" t="n"/>
      <c r="AG13" s="10231" t="n"/>
      <c r="AH13" s="1277" t="n"/>
      <c r="AI13" s="11602" t="n"/>
      <c r="AJ13" s="6608" t="n"/>
      <c r="AK13" s="2875" t="n"/>
      <c r="AL13" s="11602" t="n"/>
      <c r="AM13" s="11602" t="n"/>
      <c r="AN13" s="11602" t="n"/>
      <c r="AO13" s="11935" t="n"/>
      <c r="AP13" s="11602" t="n"/>
      <c r="AQ13" s="11602" t="n"/>
      <c r="AR13" s="11704" t="n"/>
      <c r="AS13" s="769" t="n"/>
      <c r="AT13" s="769" t="n"/>
      <c r="AU13" s="769" t="n"/>
      <c r="AV13" s="769" t="n"/>
      <c r="AW13" s="769" t="n"/>
      <c r="AX13" s="769" t="n"/>
      <c r="AY13" s="769" t="n"/>
      <c r="AZ13" s="769" t="n"/>
      <c r="BA13" s="769" t="n"/>
      <c r="BB13" s="769" t="n"/>
    </row>
    <row r="14" ht="21" customHeight="1" s="7635">
      <c r="A14" s="1277" t="n"/>
      <c r="B14" s="7639" t="inlineStr">
        <is>
          <t>Part I</t>
        </is>
      </c>
      <c r="C14" s="7839" t="n"/>
      <c r="D14" s="7839" t="n"/>
      <c r="E14" s="4446" t="n"/>
      <c r="F14" s="3376" t="inlineStr">
        <is>
          <t>Additional Income</t>
        </is>
      </c>
      <c r="G14" s="4446" t="n"/>
      <c r="H14" s="4446" t="n"/>
      <c r="I14" s="4446" t="n"/>
      <c r="J14" s="4446" t="n"/>
      <c r="K14" s="4446" t="n"/>
      <c r="L14" s="773" t="n"/>
      <c r="M14" s="773" t="n"/>
      <c r="N14" s="773" t="n"/>
      <c r="O14" s="773" t="n"/>
      <c r="P14" s="773" t="n"/>
      <c r="Q14" s="773" t="n"/>
      <c r="R14" s="773" t="n"/>
      <c r="S14" s="773" t="n"/>
      <c r="T14" s="773" t="n"/>
      <c r="U14" s="773" t="n"/>
      <c r="V14" s="773" t="n"/>
      <c r="W14" s="773" t="n"/>
      <c r="X14" s="773" t="n"/>
      <c r="Y14" s="773" t="n"/>
      <c r="Z14" s="773" t="n"/>
      <c r="AA14" s="773" t="n"/>
      <c r="AB14" s="773" t="n"/>
      <c r="AC14" s="773" t="n"/>
      <c r="AD14" s="773" t="n"/>
      <c r="AE14" s="773" t="n"/>
      <c r="AF14" s="773" t="n"/>
      <c r="AG14" s="773" t="n"/>
      <c r="AH14" s="1277" t="n"/>
      <c r="AI14" s="11602" t="n"/>
      <c r="AJ14" s="6608" t="n"/>
      <c r="AK14" s="2875" t="n"/>
      <c r="AL14" s="11602" t="n"/>
      <c r="AM14" s="514" t="inlineStr">
        <is>
          <t>Source:</t>
        </is>
      </c>
      <c r="AN14" s="11602" t="n"/>
      <c r="AO14" s="512">
        <f>AND(AlimonyRcvd&gt;0,OR(V17="",V17&gt;=$AO$9))</f>
        <v/>
      </c>
      <c r="AP14" s="11602" t="n"/>
      <c r="AQ14" s="11602" t="n"/>
      <c r="AR14" s="769" t="n"/>
      <c r="AS14" s="769" t="n"/>
      <c r="AT14" s="769" t="n"/>
      <c r="AU14" s="769" t="n"/>
      <c r="AV14" s="769" t="n"/>
      <c r="AW14" s="769" t="n"/>
      <c r="AX14" s="769" t="n"/>
      <c r="AY14" s="769" t="n"/>
      <c r="AZ14" s="769" t="n"/>
      <c r="BA14" s="769" t="n"/>
      <c r="BB14" s="769" t="n"/>
    </row>
    <row r="15" ht="18.75" customHeight="1" s="7635">
      <c r="A15" s="1277" t="n"/>
      <c r="B15" s="10886" t="n"/>
      <c r="C15" s="8439" t="n">
        <v>1</v>
      </c>
      <c r="D15" s="7772" t="inlineStr">
        <is>
          <t>Taxable refunds, credits, or offsets of state and local income taxes</t>
        </is>
      </c>
      <c r="E15" s="344" t="n"/>
      <c r="F15" s="11602" t="n"/>
      <c r="G15" s="11602" t="n"/>
      <c r="H15" s="11602" t="n"/>
      <c r="I15" s="11602" t="n"/>
      <c r="J15" s="11602" t="n"/>
      <c r="K15" s="11602" t="n"/>
      <c r="L15" s="11602" t="n"/>
      <c r="M15" s="11602" t="n"/>
      <c r="N15" s="11602" t="n"/>
      <c r="O15" s="10886" t="n"/>
      <c r="P15" s="10886" t="n"/>
      <c r="Q15" s="10886" t="n"/>
      <c r="R15" s="11602" t="n"/>
      <c r="S15" s="11602" t="n"/>
      <c r="T15" s="11602" t="n"/>
      <c r="U15" s="11602" t="n"/>
      <c r="V15" s="11602" t="n"/>
      <c r="W15" s="11602" t="n"/>
      <c r="X15" s="11602" t="n"/>
      <c r="Y15" s="11602" t="n"/>
      <c r="Z15" s="11602" t="n"/>
      <c r="AA15" s="1401" t="inlineStr">
        <is>
          <t xml:space="preserve">.   .   .   .   .   .   .   .   .   .  </t>
        </is>
      </c>
      <c r="AB15" s="7612" t="n">
        <v>1</v>
      </c>
      <c r="AC15" s="7608">
        <f>IF(AK15&lt;&gt;"",ROUND(AK15,0),Taxable_State_Local_Tax_Refund)</f>
        <v/>
      </c>
      <c r="AD15" s="7637" t="n"/>
      <c r="AE15" s="7637" t="n"/>
      <c r="AF15" s="7637" t="n"/>
      <c r="AG15" s="7637" t="n"/>
      <c r="AH15" s="1277" t="n"/>
      <c r="AI15" s="11602" t="n"/>
      <c r="AJ15" s="6608" t="n"/>
      <c r="AK15" s="6135" t="n"/>
      <c r="AL15" s="11602" t="n"/>
      <c r="AM15" s="344" t="inlineStr">
        <is>
          <t>Sch 1, Line 1 (SALT), line 9</t>
        </is>
      </c>
      <c r="AN15" s="11602" t="n"/>
      <c r="AO15" s="7619" t="inlineStr">
        <is>
          <t>TIP</t>
        </is>
      </c>
      <c r="AP15" s="11602" t="n"/>
      <c r="AQ15" s="11602" t="n"/>
      <c r="AR15" s="769" t="n"/>
      <c r="AS15" s="769" t="n"/>
      <c r="AT15" s="769" t="n"/>
      <c r="AU15" s="769" t="n"/>
      <c r="AV15" s="769" t="n"/>
      <c r="AW15" s="769" t="n"/>
      <c r="AX15" s="769" t="n"/>
      <c r="AY15" s="769" t="n"/>
      <c r="AZ15" s="769" t="n"/>
      <c r="BA15" s="769" t="n"/>
      <c r="BB15" s="769" t="n"/>
    </row>
    <row r="16" ht="18.75" customHeight="1" s="7635">
      <c r="A16" s="1277" t="n"/>
      <c r="B16" s="10886" t="n"/>
      <c r="C16" s="5883" t="inlineStr">
        <is>
          <t>2a</t>
        </is>
      </c>
      <c r="D16" s="7772" t="inlineStr">
        <is>
          <t>Alimony received</t>
        </is>
      </c>
      <c r="E16" s="11602" t="n"/>
      <c r="F16" s="11602" t="n"/>
      <c r="G16" s="11602" t="n"/>
      <c r="H16" s="11602" t="n"/>
      <c r="I16" s="11602" t="n"/>
      <c r="J16" s="11602" t="n"/>
      <c r="K16" s="11602" t="n"/>
      <c r="L16" s="11602" t="n"/>
      <c r="M16" s="11602" t="n"/>
      <c r="N16" s="11602" t="n"/>
      <c r="O16" s="10886" t="n"/>
      <c r="P16" s="10886" t="n"/>
      <c r="Q16" s="10886" t="n"/>
      <c r="R16" s="11602" t="n"/>
      <c r="S16" s="11602" t="n"/>
      <c r="T16" s="11602" t="n"/>
      <c r="U16" s="11602" t="n"/>
      <c r="V16" s="11602" t="n"/>
      <c r="W16" s="11602" t="n"/>
      <c r="X16" s="11602" t="n"/>
      <c r="Y16" s="11602" t="n"/>
      <c r="Z16" s="11602" t="n"/>
      <c r="AA16" s="1401" t="inlineStr">
        <is>
          <t xml:space="preserve">.   .   .   .   .   .   .   .   .   .   .   .   .   .   .   .   .   .   .   .   .   .   .   .   .   .   .   .   .   .  </t>
        </is>
      </c>
      <c r="AB16" s="10008" t="inlineStr">
        <is>
          <t>2a</t>
        </is>
      </c>
      <c r="AC16" s="7631">
        <f>ROUND(AK16,0)</f>
        <v/>
      </c>
      <c r="AD16" s="8412" t="n"/>
      <c r="AE16" s="8412" t="n"/>
      <c r="AF16" s="8412" t="n"/>
      <c r="AG16" s="8412" t="n"/>
      <c r="AH16" s="1277" t="n"/>
      <c r="AI16" s="6084">
        <f>IF(AO14,"See TIP. &gt;&gt;","")</f>
        <v/>
      </c>
      <c r="AJ16" s="6609" t="n"/>
      <c r="AK16" s="6135" t="n"/>
      <c r="AL16" s="350" t="inlineStr">
        <is>
          <t>&lt;&lt;&lt; Enter Alimony Received here.</t>
        </is>
      </c>
      <c r="AM16" s="350" t="n"/>
      <c r="AN16" s="11602" t="n"/>
      <c r="AP16" s="11602" t="n"/>
      <c r="AQ16" s="11602" t="n"/>
      <c r="AR16" s="769" t="n"/>
      <c r="AS16" s="769" t="n"/>
      <c r="AT16" s="769" t="n"/>
      <c r="AU16" s="769" t="n"/>
      <c r="AV16" s="769" t="n"/>
      <c r="AW16" s="769" t="n"/>
      <c r="AX16" s="769" t="n"/>
      <c r="AY16" s="769" t="n"/>
      <c r="AZ16" s="769" t="n"/>
      <c r="BA16" s="769" t="n"/>
      <c r="BB16" s="769" t="n"/>
    </row>
    <row r="17" ht="18.75" customHeight="1" s="7635">
      <c r="A17" s="1277" t="n"/>
      <c r="B17" s="11602" t="n"/>
      <c r="C17" s="8439" t="inlineStr">
        <is>
          <t>b</t>
        </is>
      </c>
      <c r="D17" s="7772" t="inlineStr">
        <is>
          <t>Date of original divorce or separation agreement (see instructions):</t>
        </is>
      </c>
      <c r="E17" s="11602" t="n"/>
      <c r="F17" s="11602" t="n"/>
      <c r="G17" s="11602" t="n"/>
      <c r="H17" s="11602" t="n"/>
      <c r="I17" s="580" t="n"/>
      <c r="J17" s="11602" t="n"/>
      <c r="K17" s="11602" t="n"/>
      <c r="L17" s="11602" t="n"/>
      <c r="M17" s="11602" t="n"/>
      <c r="N17" s="11602" t="n"/>
      <c r="O17" s="1218" t="n"/>
      <c r="P17" s="2373" t="n"/>
      <c r="Q17" s="11602" t="n"/>
      <c r="R17" s="11602" t="n"/>
      <c r="S17" s="11602" t="n"/>
      <c r="T17" s="11602" t="n"/>
      <c r="U17" s="11602" t="n"/>
      <c r="V17" s="11936" t="n"/>
      <c r="W17" s="11717" t="n"/>
      <c r="X17" s="11717" t="n"/>
      <c r="Y17" s="11717" t="n"/>
      <c r="Z17" s="11717" t="n"/>
      <c r="AA17" s="11602" t="n"/>
      <c r="AB17" s="5884" t="n"/>
      <c r="AC17" s="7602">
        <f>ROUND(AC16,0)</f>
        <v/>
      </c>
      <c r="AD17" s="7839" t="n"/>
      <c r="AE17" s="7839" t="n"/>
      <c r="AF17" s="7839" t="n"/>
      <c r="AG17" s="7839" t="n"/>
      <c r="AH17" s="1277" t="n"/>
      <c r="AI17" s="4213" t="n"/>
      <c r="AJ17" s="6610" t="n"/>
      <c r="AK17" s="2875" t="n"/>
      <c r="AL17" s="11602" t="n"/>
      <c r="AM17" s="11602" t="n"/>
      <c r="AN17" s="11602" t="n"/>
      <c r="AO17" s="7654" t="inlineStr">
        <is>
          <t>Enter amounts received as alimony or separate maintenance pursuant to a divorce or separation agreement entered into on or before December 31, 2018, unless that agreement was changed after December 31, 2018, to expressly provide that alimony received isn't included in your income. Alimony received is not included in your income if you entered into a divorce or separation agreement after December 31, 2018. If you are including alimony in your income, you must let the person who made the payments know your social security number. If you don’t, you may have to pay a penalty. For more details, see Pub. 504. If you are including alimony payments from more than one divorce or separation agreement in your income, enter the total of all alimony received on line 2a.</t>
        </is>
      </c>
      <c r="AP17" s="11602" t="n"/>
      <c r="AQ17" s="11602" t="n"/>
      <c r="AR17" s="769" t="n"/>
      <c r="AS17" s="769" t="n"/>
      <c r="AT17" s="769" t="n"/>
      <c r="AU17" s="769" t="n"/>
      <c r="AV17" s="769" t="n"/>
      <c r="AW17" s="769" t="n"/>
      <c r="AX17" s="769" t="n"/>
      <c r="AY17" s="769" t="n"/>
      <c r="AZ17" s="769" t="n"/>
      <c r="BA17" s="769" t="n"/>
      <c r="BB17" s="769" t="n"/>
    </row>
    <row r="18" ht="18.75" customHeight="1" s="7635">
      <c r="A18" s="1277" t="n"/>
      <c r="B18" s="11602" t="n"/>
      <c r="C18" s="10886" t="n">
        <v>3</v>
      </c>
      <c r="D18" s="7772" t="inlineStr">
        <is>
          <t>Business income or (loss). Attach Schedule C</t>
        </is>
      </c>
      <c r="E18" s="11602" t="n"/>
      <c r="F18" s="11602" t="n"/>
      <c r="G18" s="11602" t="n"/>
      <c r="H18" s="11602" t="n"/>
      <c r="I18" s="11602" t="n"/>
      <c r="J18" s="11602" t="n"/>
      <c r="K18" s="11602" t="n"/>
      <c r="L18" s="11602" t="n"/>
      <c r="M18" s="11602" t="n"/>
      <c r="N18" s="11602" t="n"/>
      <c r="O18" s="1218" t="n"/>
      <c r="P18" s="2373" t="n"/>
      <c r="Q18" s="11602" t="n"/>
      <c r="R18" s="11602" t="n"/>
      <c r="S18" s="11602" t="n"/>
      <c r="T18" s="11602" t="n"/>
      <c r="U18" s="11602" t="n"/>
      <c r="V18" s="11602" t="n"/>
      <c r="W18" s="11602" t="n"/>
      <c r="X18" s="11602" t="n"/>
      <c r="Y18" s="11602" t="n"/>
      <c r="Z18" s="11602" t="n"/>
      <c r="AA18" s="1401" t="inlineStr">
        <is>
          <t xml:space="preserve">.   .   .   .   .   .   .   .   .   .   .   .   .   .   .   .   .   .   .   .   .   .   .   .  </t>
        </is>
      </c>
      <c r="AB18" s="8389" t="n">
        <v>3</v>
      </c>
      <c r="AC18" s="7608">
        <f>IF(AK18&lt;&gt;"",ROUND(AK18,0),Business_Profit)</f>
        <v/>
      </c>
      <c r="AD18" s="7637" t="n"/>
      <c r="AE18" s="7637" t="n"/>
      <c r="AF18" s="7637" t="n"/>
      <c r="AG18" s="7637" t="n"/>
      <c r="AH18" s="1277" t="n"/>
      <c r="AI18" s="11602" t="n"/>
      <c r="AJ18" s="6608" t="n"/>
      <c r="AK18" s="6135" t="n"/>
      <c r="AL18" s="11602" t="n"/>
      <c r="AM18" s="344" t="inlineStr">
        <is>
          <t>Sch. C</t>
        </is>
      </c>
      <c r="AN18" s="11602" t="n"/>
      <c r="AP18" s="11602" t="n"/>
      <c r="AQ18" s="11602" t="n"/>
      <c r="AR18" s="769" t="n"/>
      <c r="AS18" s="769" t="n"/>
      <c r="AT18" s="769" t="n"/>
      <c r="AU18" s="769" t="n"/>
      <c r="AV18" s="769" t="n"/>
      <c r="AW18" s="769" t="n"/>
      <c r="AX18" s="769" t="n"/>
      <c r="AY18" s="769" t="n"/>
      <c r="AZ18" s="769" t="n"/>
      <c r="BA18" s="769" t="n"/>
      <c r="BB18" s="769" t="n"/>
    </row>
    <row r="19" ht="18.75" customHeight="1" s="7635">
      <c r="A19" s="1277" t="n"/>
      <c r="B19" s="11602" t="n"/>
      <c r="C19" s="10886" t="n">
        <v>4</v>
      </c>
      <c r="D19" s="7772" t="inlineStr">
        <is>
          <t>Other gains or (losses). Check if any from Form(s):</t>
        </is>
      </c>
      <c r="E19" s="11602" t="n"/>
      <c r="F19" s="11602" t="n"/>
      <c r="G19" s="11602" t="n"/>
      <c r="H19" s="11602" t="n"/>
      <c r="I19" s="11602" t="n"/>
      <c r="J19" s="11602" t="n"/>
      <c r="K19" s="11602" t="n"/>
      <c r="L19" s="11602" t="n"/>
      <c r="M19" s="11602" t="n"/>
      <c r="N19" s="11602" t="n"/>
      <c r="O19" s="1111" t="n"/>
      <c r="P19" s="2341" t="inlineStr">
        <is>
          <t xml:space="preserve">  4797</t>
        </is>
      </c>
      <c r="Q19" s="11602" t="n"/>
      <c r="R19" s="1111" t="n"/>
      <c r="S19" s="2341" t="inlineStr">
        <is>
          <t xml:space="preserve">  4684</t>
        </is>
      </c>
      <c r="T19" s="11602" t="n"/>
      <c r="U19" s="11602" t="n"/>
      <c r="V19" s="11602" t="n"/>
      <c r="W19" s="11602" t="n"/>
      <c r="X19" s="11602" t="n"/>
      <c r="Y19" s="11602" t="n"/>
      <c r="Z19" s="11602" t="n"/>
      <c r="AA19" s="1401" t="inlineStr">
        <is>
          <t xml:space="preserve">.   .   .   .   .   .   .   .   .  </t>
        </is>
      </c>
      <c r="AB19" s="10008" t="n">
        <v>4</v>
      </c>
      <c r="AC19" s="7575" t="n"/>
      <c r="AD19" s="8007" t="n"/>
      <c r="AE19" s="8007" t="n"/>
      <c r="AF19" s="8007" t="n"/>
      <c r="AG19" s="8007" t="n"/>
      <c r="AH19" s="1277" t="n"/>
      <c r="AI19" s="11602" t="n"/>
      <c r="AJ19" s="6608">
        <f>ROUND(AC19,0)</f>
        <v/>
      </c>
      <c r="AK19" s="2875" t="n"/>
      <c r="AL19" s="11602" t="n"/>
      <c r="AM19" s="990" t="n"/>
      <c r="AN19" s="11602" t="n"/>
      <c r="AP19" s="11602" t="n"/>
      <c r="AQ19" s="11602" t="n"/>
      <c r="AR19" s="769" t="n"/>
      <c r="AS19" s="769" t="n"/>
      <c r="AT19" s="769" t="n"/>
      <c r="AU19" s="769" t="n"/>
      <c r="AV19" s="769" t="n"/>
      <c r="AW19" s="769" t="n"/>
      <c r="AX19" s="769" t="n"/>
      <c r="AY19" s="769" t="n"/>
      <c r="AZ19" s="769" t="n"/>
      <c r="BA19" s="769" t="n"/>
      <c r="BB19" s="769" t="n"/>
    </row>
    <row r="20" ht="18.75" customHeight="1" s="7635">
      <c r="A20" s="1277" t="n"/>
      <c r="B20" s="11602" t="n"/>
      <c r="C20" s="10886" t="n">
        <v>5</v>
      </c>
      <c r="D20" s="7772" t="inlineStr">
        <is>
          <t>Rental real estate, royalties, partnerships, S corporations, trusts, etc. Attach Schedule E</t>
        </is>
      </c>
      <c r="E20" s="11602" t="n"/>
      <c r="F20" s="11602" t="n"/>
      <c r="G20" s="11602" t="n"/>
      <c r="H20" s="11602" t="n"/>
      <c r="I20" s="11602" t="n"/>
      <c r="J20" s="11602" t="n"/>
      <c r="K20" s="11602" t="n"/>
      <c r="L20" s="11602" t="n"/>
      <c r="M20" s="11602" t="n"/>
      <c r="N20" s="11602" t="n"/>
      <c r="O20" s="1218" t="n"/>
      <c r="P20" s="2373" t="n"/>
      <c r="Q20" s="11602" t="n"/>
      <c r="R20" s="11602" t="n"/>
      <c r="S20" s="11602" t="n"/>
      <c r="T20" s="11602" t="n"/>
      <c r="U20" s="11602" t="n"/>
      <c r="V20" s="11602" t="n"/>
      <c r="W20" s="11602" t="n"/>
      <c r="X20" s="11602" t="n"/>
      <c r="Y20" s="11602" t="n"/>
      <c r="Z20" s="11602" t="n"/>
      <c r="AA20" s="1401" t="inlineStr">
        <is>
          <t xml:space="preserve">.  </t>
        </is>
      </c>
      <c r="AB20" s="10008" t="n">
        <v>5</v>
      </c>
      <c r="AC20" s="7572">
        <f>IF(AK20&lt;&gt;"",ROUND(AK20,0),SUM(ScheduleE1,ScheduleE2,ScheduleE3,ScheduleE4))</f>
        <v/>
      </c>
      <c r="AD20" s="8412" t="n"/>
      <c r="AE20" s="8412" t="n"/>
      <c r="AF20" s="8412" t="n"/>
      <c r="AG20" s="8412" t="n"/>
      <c r="AH20" s="1277" t="n"/>
      <c r="AI20" s="11602" t="n"/>
      <c r="AJ20" s="6608" t="n"/>
      <c r="AK20" s="6135" t="n"/>
      <c r="AL20" s="11602" t="n"/>
      <c r="AM20" s="344" t="inlineStr">
        <is>
          <t>Sch. E</t>
        </is>
      </c>
      <c r="AN20" s="11602" t="n"/>
      <c r="AP20" s="11602" t="n"/>
      <c r="AQ20" s="11602" t="n"/>
      <c r="AR20" s="769" t="n"/>
      <c r="AS20" s="769" t="n"/>
      <c r="AT20" s="769" t="n"/>
      <c r="AU20" s="769" t="n"/>
      <c r="AV20" s="769" t="n"/>
      <c r="AW20" s="769" t="n"/>
      <c r="AX20" s="769" t="n"/>
      <c r="AY20" s="769" t="n"/>
      <c r="AZ20" s="769" t="n"/>
      <c r="BA20" s="769" t="n"/>
      <c r="BB20" s="769" t="n"/>
    </row>
    <row r="21" ht="18.75" customHeight="1" s="7635">
      <c r="A21" s="1277" t="n"/>
      <c r="B21" s="11602" t="n"/>
      <c r="C21" s="10886" t="n">
        <v>6</v>
      </c>
      <c r="D21" s="7772" t="inlineStr">
        <is>
          <t>Farm income or (loss). Attach Schedule F</t>
        </is>
      </c>
      <c r="E21" s="11602" t="n"/>
      <c r="F21" s="11602" t="n"/>
      <c r="G21" s="11602" t="n"/>
      <c r="H21" s="11602" t="n"/>
      <c r="I21" s="11602" t="n"/>
      <c r="J21" s="11602" t="n"/>
      <c r="K21" s="11602" t="n"/>
      <c r="L21" s="11602" t="n"/>
      <c r="M21" s="11602" t="n"/>
      <c r="N21" s="11602" t="n"/>
      <c r="O21" s="1218" t="n"/>
      <c r="P21" s="2373" t="n"/>
      <c r="Q21" s="11602" t="n"/>
      <c r="R21" s="11602" t="n"/>
      <c r="S21" s="11602" t="n"/>
      <c r="T21" s="11602" t="n"/>
      <c r="U21" s="11602" t="n"/>
      <c r="V21" s="11602" t="n"/>
      <c r="W21" s="11602" t="n"/>
      <c r="X21" s="11602" t="n"/>
      <c r="Y21" s="11602" t="n"/>
      <c r="Z21" s="11602" t="n"/>
      <c r="AA21" s="1401" t="inlineStr">
        <is>
          <t xml:space="preserve">.   .   .   .   .   .   .   .   .   .   .   .   .   .   .   .   .   .   .   .   .   .   .  </t>
        </is>
      </c>
      <c r="AB21" s="10008" t="n">
        <v>6</v>
      </c>
      <c r="AC21" s="7572">
        <f>IF(AK21&lt;&gt;"",ROUND(AK21,0),FarmProfitNet)</f>
        <v/>
      </c>
      <c r="AD21" s="8412" t="n"/>
      <c r="AE21" s="8412" t="n"/>
      <c r="AF21" s="8412" t="n"/>
      <c r="AG21" s="8412" t="n"/>
      <c r="AH21" s="1277" t="n"/>
      <c r="AI21" s="11602" t="n"/>
      <c r="AJ21" s="6608" t="n"/>
      <c r="AK21" s="6135" t="n"/>
      <c r="AL21" s="11602" t="n"/>
      <c r="AM21" s="344" t="inlineStr">
        <is>
          <t>Sch. F</t>
        </is>
      </c>
      <c r="AN21" s="11602" t="n"/>
      <c r="AP21" s="11602" t="n"/>
      <c r="AQ21" s="11602" t="n"/>
      <c r="AR21" s="769" t="n"/>
      <c r="AS21" s="769" t="n"/>
      <c r="AT21" s="769" t="n"/>
      <c r="AU21" s="769" t="n"/>
      <c r="AV21" s="769" t="n"/>
      <c r="AW21" s="769" t="n"/>
      <c r="AX21" s="769" t="n"/>
      <c r="AY21" s="769" t="n"/>
      <c r="AZ21" s="769" t="n"/>
      <c r="BA21" s="769" t="n"/>
      <c r="BB21" s="769" t="n"/>
    </row>
    <row r="22" ht="18.75" customHeight="1" s="7635">
      <c r="A22" s="1277" t="n"/>
      <c r="B22" s="11602" t="n"/>
      <c r="C22" s="10886" t="n">
        <v>7</v>
      </c>
      <c r="D22" s="8650">
        <f>"Unemployment compensation. If you repaid a "&amp;TaxYear&amp;" overpayment (see instructions), check here"</f>
        <v/>
      </c>
      <c r="E22" s="11602" t="n"/>
      <c r="F22" s="11602" t="n"/>
      <c r="G22" s="11602" t="n"/>
      <c r="H22" s="11602" t="n"/>
      <c r="I22" s="11602" t="n"/>
      <c r="J22" s="11602" t="n"/>
      <c r="K22" s="11602" t="n"/>
      <c r="L22" s="11602" t="n"/>
      <c r="M22" s="11602" t="n"/>
      <c r="N22" s="11602" t="n"/>
      <c r="O22" s="1218" t="n"/>
      <c r="P22" s="2373" t="n"/>
      <c r="Q22" s="11602" t="n"/>
      <c r="R22" s="11602" t="n"/>
      <c r="S22" s="11602" t="n"/>
      <c r="T22" s="11602" t="n"/>
      <c r="U22" s="11602" t="n"/>
      <c r="V22" s="11602" t="n"/>
      <c r="W22" s="11602" t="n"/>
      <c r="X22" s="1111" t="n"/>
      <c r="Y22" s="7772" t="inlineStr">
        <is>
          <t xml:space="preserve">  and</t>
        </is>
      </c>
      <c r="Z22" s="344" t="n"/>
      <c r="AA22" s="1401" t="n"/>
      <c r="AB22" s="5884" t="n"/>
      <c r="AC22" s="7602">
        <f>ROUND(AC21,0)</f>
        <v/>
      </c>
      <c r="AD22" s="7839" t="n"/>
      <c r="AE22" s="7839" t="n"/>
      <c r="AF22" s="7839" t="n"/>
      <c r="AG22" s="7839" t="n"/>
      <c r="AH22" s="1277" t="n"/>
      <c r="AI22" s="11602" t="n"/>
      <c r="AJ22" s="6608" t="n"/>
      <c r="AK22" s="6135" t="n"/>
      <c r="AL22" s="11602" t="n"/>
      <c r="AM22" s="344" t="n"/>
      <c r="AN22" s="11602" t="n"/>
      <c r="AP22" s="11602" t="n"/>
      <c r="AQ22" s="11602" t="n"/>
      <c r="AR22" s="769" t="n"/>
      <c r="AS22" s="769" t="n"/>
      <c r="AT22" s="769" t="n"/>
      <c r="AU22" s="769" t="n"/>
      <c r="AV22" s="769" t="n"/>
      <c r="AW22" s="769" t="n"/>
      <c r="AX22" s="769" t="n"/>
      <c r="AY22" s="769" t="n"/>
      <c r="AZ22" s="769" t="n"/>
      <c r="BA22" s="769" t="n"/>
      <c r="BB22" s="769" t="n"/>
    </row>
    <row r="23" ht="18.75" customHeight="1" s="7635">
      <c r="A23" s="1277" t="n"/>
      <c r="B23" s="11602" t="n"/>
      <c r="C23" s="10886" t="n"/>
      <c r="D23" s="8650" t="inlineStr">
        <is>
          <t>enter amount repaid:</t>
        </is>
      </c>
      <c r="E23" s="11602" t="n"/>
      <c r="F23" s="11602" t="n"/>
      <c r="G23" s="11602" t="n"/>
      <c r="H23" s="11602" t="n"/>
      <c r="I23" s="11936" t="n"/>
      <c r="J23" s="11717" t="n"/>
      <c r="K23" s="11717" t="n"/>
      <c r="L23" s="11717" t="n"/>
      <c r="M23" s="11717" t="n"/>
      <c r="N23" s="11602" t="n"/>
      <c r="O23" s="1218" t="n"/>
      <c r="P23" s="2373" t="n"/>
      <c r="Q23" s="11602" t="n"/>
      <c r="R23" s="11602" t="n"/>
      <c r="S23" s="11602" t="n"/>
      <c r="T23" s="11602" t="n"/>
      <c r="U23" s="11602" t="n"/>
      <c r="V23" s="11602" t="n"/>
      <c r="W23" s="11602" t="n"/>
      <c r="X23" s="11602" t="n"/>
      <c r="Y23" s="11602" t="n"/>
      <c r="Z23" s="11602" t="n"/>
      <c r="AA23" s="1401" t="inlineStr">
        <is>
          <t xml:space="preserve">.   .   .   .   .   .   .   .   .   .   .   .   .   .   .   .   .   .   .   .  </t>
        </is>
      </c>
      <c r="AB23" s="8389" t="n">
        <v>7</v>
      </c>
      <c r="AC23" s="7608">
        <f>IF(AK23&lt;&gt;"",ROUND(AK23,0),UnemployComp)</f>
        <v/>
      </c>
      <c r="AD23" s="7637" t="n"/>
      <c r="AE23" s="7637" t="n"/>
      <c r="AF23" s="7637" t="n"/>
      <c r="AG23" s="7637" t="n"/>
      <c r="AH23" s="1277" t="n"/>
      <c r="AI23" s="5427">
        <f>SUM(AC15,AC16,BusinessIncomeLoss,OtherGainsLosses,SchE_IncomeLoss,FarmIncomeLoss,UnEmploymentComp)</f>
        <v/>
      </c>
      <c r="AJ23" s="6608" t="n"/>
      <c r="AK23" s="6135" t="n"/>
      <c r="AL23" s="11602" t="n"/>
      <c r="AM23" s="344" t="inlineStr">
        <is>
          <t>Form 1099-G</t>
        </is>
      </c>
      <c r="AN23" s="11602" t="n"/>
      <c r="AP23" s="11602" t="n"/>
      <c r="AQ23" s="11602" t="n"/>
      <c r="AR23" s="769" t="n"/>
      <c r="AS23" s="769" t="n"/>
      <c r="AT23" s="769" t="n"/>
      <c r="AU23" s="769" t="n"/>
      <c r="AV23" s="769" t="n"/>
      <c r="AW23" s="769" t="n"/>
      <c r="AX23" s="769" t="n"/>
      <c r="AY23" s="769" t="n"/>
      <c r="AZ23" s="769" t="n"/>
      <c r="BA23" s="769" t="n"/>
      <c r="BB23" s="769" t="n"/>
    </row>
    <row r="24" ht="18.75" customHeight="1" s="7635">
      <c r="A24" s="1277" t="n"/>
      <c r="B24" s="11602" t="n"/>
      <c r="C24" s="10886" t="n">
        <v>8</v>
      </c>
      <c r="D24" s="7772" t="inlineStr">
        <is>
          <t>Other income:</t>
        </is>
      </c>
      <c r="E24" s="1807" t="n"/>
      <c r="F24" s="1248" t="n"/>
      <c r="G24" s="1248" t="n"/>
      <c r="H24" s="1248" t="n"/>
      <c r="I24" s="1248" t="n"/>
      <c r="J24" s="1248" t="n"/>
      <c r="K24" s="1248" t="n"/>
      <c r="L24" s="1248" t="n"/>
      <c r="M24" s="1248" t="n"/>
      <c r="N24" s="1248" t="n"/>
      <c r="O24" s="1248" t="n"/>
      <c r="P24" s="1248" t="n"/>
      <c r="Q24" s="1248" t="n"/>
      <c r="R24" s="1248" t="n"/>
      <c r="S24" s="1248" t="n"/>
      <c r="T24" s="1248" t="n"/>
      <c r="U24" s="1248" t="n"/>
      <c r="V24" s="1249" t="n"/>
      <c r="W24" s="1248" t="n"/>
      <c r="X24" s="1248" t="n"/>
      <c r="Y24" s="1248" t="n"/>
      <c r="Z24" s="1248" t="n"/>
      <c r="AA24" s="11602" t="n"/>
      <c r="AB24" s="5884" t="n"/>
      <c r="AC24" s="7602" t="n"/>
      <c r="AD24" s="7606" t="n"/>
      <c r="AE24" s="7606" t="n"/>
      <c r="AF24" s="7606" t="n"/>
      <c r="AG24" s="7606" t="n"/>
      <c r="AH24" s="1277" t="n"/>
      <c r="AI24" s="11602" t="n"/>
      <c r="AJ24" s="6608" t="n"/>
      <c r="AK24" s="2875" t="n"/>
      <c r="AL24" s="712" t="n"/>
      <c r="AM24" s="5888">
        <f>IF(AND(UnEmploymentComp&lt;&gt;"",UnEmploymentComp&gt;0),"Check if UEC was REPAID.","")</f>
        <v/>
      </c>
      <c r="AN24" s="11602" t="n"/>
      <c r="AP24" s="11602" t="n"/>
      <c r="AQ24" s="11602" t="n"/>
      <c r="AR24" s="769" t="n"/>
      <c r="AS24" s="769" t="n"/>
      <c r="AT24" s="769" t="n"/>
      <c r="AU24" s="769" t="n"/>
      <c r="AV24" s="769" t="n"/>
      <c r="AW24" s="769" t="n"/>
      <c r="AX24" s="769" t="n"/>
      <c r="AY24" s="769" t="n"/>
      <c r="AZ24" s="769" t="n"/>
      <c r="BA24" s="769" t="n"/>
      <c r="BB24" s="769" t="n"/>
    </row>
    <row r="25" ht="18.75" customHeight="1" s="7635">
      <c r="A25" s="1277" t="n"/>
      <c r="B25" s="11602" t="n"/>
      <c r="C25" s="8439" t="inlineStr">
        <is>
          <t>a</t>
        </is>
      </c>
      <c r="D25" s="7772" t="inlineStr">
        <is>
          <t>Net operating loss</t>
        </is>
      </c>
      <c r="E25" s="7772" t="n"/>
      <c r="F25" s="11602" t="n"/>
      <c r="G25" s="11602" t="n"/>
      <c r="H25" s="11602" t="n"/>
      <c r="I25" s="11602" t="n"/>
      <c r="J25" s="11602" t="n"/>
      <c r="K25" s="11602" t="n"/>
      <c r="L25" s="11602" t="n"/>
      <c r="M25" s="11602" t="n"/>
      <c r="N25" s="11602" t="n"/>
      <c r="O25" s="11602" t="n"/>
      <c r="P25" s="11602" t="n"/>
      <c r="Q25" s="11602" t="n"/>
      <c r="R25" s="11602" t="n"/>
      <c r="S25" s="11602" t="n"/>
      <c r="T25" s="11602" t="n"/>
      <c r="U25" s="1401" t="inlineStr">
        <is>
          <t xml:space="preserve">.   .   .   .   .   .   .   .   .   .   .   .   .   .   .   .   .   .   .   .   .   .   .  </t>
        </is>
      </c>
      <c r="V25" s="5372" t="inlineStr">
        <is>
          <t>8a</t>
        </is>
      </c>
      <c r="W25" s="6085" t="inlineStr">
        <is>
          <t>(</t>
        </is>
      </c>
      <c r="X25" s="7569" t="n"/>
      <c r="Y25" s="11717" t="n"/>
      <c r="Z25" s="11717" t="n"/>
      <c r="AA25" s="6086" t="inlineStr">
        <is>
          <t>)</t>
        </is>
      </c>
      <c r="AB25" s="5884" t="n"/>
      <c r="AC25" s="7566">
        <f>-ROUND(X25,0)</f>
        <v/>
      </c>
      <c r="AH25" s="1277" t="n"/>
      <c r="AI25" s="11602" t="n"/>
      <c r="AJ25" s="6608" t="n"/>
      <c r="AK25" s="2875" t="n"/>
      <c r="AL25" s="11602" t="n"/>
      <c r="AM25" s="5888" t="n"/>
      <c r="AN25" s="11602" t="n"/>
      <c r="AP25" s="11602" t="n"/>
      <c r="AQ25" s="11602" t="n"/>
      <c r="AR25" s="769" t="n"/>
      <c r="AS25" s="769" t="n"/>
      <c r="AT25" s="769" t="n"/>
      <c r="AU25" s="769" t="n"/>
      <c r="AV25" s="769" t="n"/>
      <c r="AW25" s="769" t="n"/>
      <c r="AX25" s="769" t="n"/>
      <c r="AY25" s="769" t="n"/>
      <c r="AZ25" s="769" t="n"/>
      <c r="BA25" s="769" t="n"/>
      <c r="BB25" s="769" t="n"/>
    </row>
    <row r="26" ht="18.75" customHeight="1" s="7635">
      <c r="A26" s="1277" t="n"/>
      <c r="B26" s="11602" t="n"/>
      <c r="C26" s="8439" t="inlineStr">
        <is>
          <t>b</t>
        </is>
      </c>
      <c r="D26" s="7772" t="inlineStr">
        <is>
          <t>Gambling</t>
        </is>
      </c>
      <c r="E26" s="7772" t="n"/>
      <c r="F26" s="11602" t="n"/>
      <c r="G26" s="11602" t="n"/>
      <c r="H26" s="11602" t="n"/>
      <c r="I26" s="11602" t="n"/>
      <c r="J26" s="11602" t="n"/>
      <c r="K26" s="11602" t="n"/>
      <c r="L26" s="11602" t="n"/>
      <c r="M26" s="11602" t="n"/>
      <c r="N26" s="11602" t="n"/>
      <c r="O26" s="11602" t="n"/>
      <c r="P26" s="11602" t="n"/>
      <c r="Q26" s="11602" t="n"/>
      <c r="R26" s="11602" t="n"/>
      <c r="S26" s="11602" t="n"/>
      <c r="T26" s="11602" t="n"/>
      <c r="U26" s="1401" t="inlineStr">
        <is>
          <t xml:space="preserve">.   .   .   .   .   .   .   .   .   .   .   .   .   .   .   .   .   .   .   .   .   .   .  </t>
        </is>
      </c>
      <c r="V26" s="5372" t="inlineStr">
        <is>
          <t>8b</t>
        </is>
      </c>
      <c r="W26" s="7571" t="n"/>
      <c r="X26" s="11717" t="n"/>
      <c r="Y26" s="11717" t="n"/>
      <c r="Z26" s="11717" t="n"/>
      <c r="AA26" s="11718" t="n"/>
      <c r="AB26" s="5884" t="n"/>
      <c r="AC26" s="7566">
        <f>ROUND(W26,0)</f>
        <v/>
      </c>
      <c r="AH26" s="1277" t="n"/>
      <c r="AI26" s="11602" t="n"/>
      <c r="AJ26" s="6608" t="n"/>
      <c r="AK26" s="2875" t="n"/>
      <c r="AL26" s="11602" t="n"/>
      <c r="AM26" s="5888" t="n"/>
      <c r="AN26" s="11602" t="n"/>
      <c r="AP26" s="11602" t="n"/>
      <c r="AQ26" s="11602" t="n"/>
      <c r="AR26" s="769" t="n"/>
      <c r="AS26" s="769" t="n"/>
      <c r="AT26" s="769" t="n"/>
      <c r="AU26" s="769" t="n"/>
      <c r="AV26" s="769" t="n"/>
      <c r="AW26" s="769" t="n"/>
      <c r="AX26" s="769" t="n"/>
      <c r="AY26" s="769" t="n"/>
      <c r="AZ26" s="769" t="n"/>
      <c r="BA26" s="769" t="n"/>
      <c r="BB26" s="769" t="n"/>
    </row>
    <row r="27" ht="18.75" customHeight="1" s="7635">
      <c r="A27" s="1277" t="n"/>
      <c r="B27" s="11602" t="n"/>
      <c r="C27" s="8439" t="inlineStr">
        <is>
          <t>c</t>
        </is>
      </c>
      <c r="D27" s="7772" t="inlineStr">
        <is>
          <t>Cancellation of debt</t>
        </is>
      </c>
      <c r="E27" s="7772" t="n"/>
      <c r="F27" s="11602" t="n"/>
      <c r="G27" s="11602" t="n"/>
      <c r="H27" s="11602" t="n"/>
      <c r="I27" s="11602" t="n"/>
      <c r="J27" s="11602" t="n"/>
      <c r="K27" s="11602" t="n"/>
      <c r="L27" s="11602" t="n"/>
      <c r="M27" s="11602" t="n"/>
      <c r="N27" s="11602" t="n"/>
      <c r="O27" s="11602" t="n"/>
      <c r="P27" s="11602" t="n"/>
      <c r="Q27" s="11602" t="n"/>
      <c r="R27" s="11602" t="n"/>
      <c r="S27" s="11602" t="n"/>
      <c r="T27" s="11602" t="n"/>
      <c r="U27" s="1401" t="inlineStr">
        <is>
          <t xml:space="preserve">.   .   .   .   .   .   .   .   .   .   .   .   .   .   .   .   .   .   .  </t>
        </is>
      </c>
      <c r="V27" s="5372" t="inlineStr">
        <is>
          <t>8c</t>
        </is>
      </c>
      <c r="W27" s="7571" t="n"/>
      <c r="X27" s="11717" t="n"/>
      <c r="Y27" s="11717" t="n"/>
      <c r="Z27" s="11717" t="n"/>
      <c r="AA27" s="11718" t="n"/>
      <c r="AB27" s="5884" t="n"/>
      <c r="AC27" s="7566">
        <f>ROUND(W27,0)</f>
        <v/>
      </c>
      <c r="AH27" s="1277" t="n"/>
      <c r="AI27" s="11602" t="n"/>
      <c r="AJ27" s="6608" t="n"/>
      <c r="AK27" s="2875" t="n"/>
      <c r="AL27" s="11602" t="n"/>
      <c r="AM27" s="5888" t="n"/>
      <c r="AN27" s="11602" t="n"/>
      <c r="AP27" s="11602" t="n"/>
      <c r="AQ27" s="11602" t="n"/>
      <c r="AR27" s="769" t="n"/>
      <c r="AS27" s="769" t="n"/>
      <c r="AT27" s="769" t="n"/>
      <c r="AU27" s="769" t="n"/>
      <c r="AV27" s="769" t="n"/>
      <c r="AW27" s="769" t="n"/>
      <c r="AX27" s="769" t="n"/>
      <c r="AY27" s="769" t="n"/>
      <c r="AZ27" s="769" t="n"/>
      <c r="BA27" s="769" t="n"/>
      <c r="BB27" s="769" t="n"/>
    </row>
    <row r="28" ht="18.75" customHeight="1" s="7635">
      <c r="A28" s="1277" t="n"/>
      <c r="B28" s="11602" t="n"/>
      <c r="C28" s="8439" t="inlineStr">
        <is>
          <t>d</t>
        </is>
      </c>
      <c r="D28" s="7772" t="inlineStr">
        <is>
          <t>Foreign earned income exclusion from Form 2555</t>
        </is>
      </c>
      <c r="E28" s="7772" t="n"/>
      <c r="F28" s="11602" t="n"/>
      <c r="G28" s="11602" t="n"/>
      <c r="H28" s="11602" t="n"/>
      <c r="I28" s="11602" t="n"/>
      <c r="J28" s="11602" t="n"/>
      <c r="K28" s="11602" t="n"/>
      <c r="L28" s="11602" t="n"/>
      <c r="M28" s="11602" t="n"/>
      <c r="N28" s="11602" t="n"/>
      <c r="O28" s="11602" t="n"/>
      <c r="P28" s="11602" t="n"/>
      <c r="Q28" s="11602" t="n"/>
      <c r="R28" s="11602" t="n"/>
      <c r="S28" s="11602" t="n"/>
      <c r="T28" s="11602" t="n"/>
      <c r="U28" s="1401" t="inlineStr">
        <is>
          <t xml:space="preserve">.   .   .   .   .   .   .  </t>
        </is>
      </c>
      <c r="V28" s="5372" t="inlineStr">
        <is>
          <t>8d</t>
        </is>
      </c>
      <c r="W28" s="6085" t="inlineStr">
        <is>
          <t>(</t>
        </is>
      </c>
      <c r="X28" s="7590">
        <f>IF(AND(AK28&lt;&gt;"",AK28&lt;0),-ROUND(AK28,0),IF(AK28&lt;&gt;"",ROUND(AK28,0),F2555_Line45_Total))</f>
        <v/>
      </c>
      <c r="Y28" s="7637" t="n"/>
      <c r="Z28" s="7637" t="n"/>
      <c r="AA28" s="6086" t="inlineStr">
        <is>
          <t>)</t>
        </is>
      </c>
      <c r="AB28" s="5884" t="n"/>
      <c r="AC28" s="7566">
        <f>-ROUND(X28,0)</f>
        <v/>
      </c>
      <c r="AH28" s="1277" t="n"/>
      <c r="AI28" s="990">
        <f>OR(ForeignIncExclusionYou&gt;FEI_Exclusion_Limit,ForeignIncExclusionSpouse&gt;FEI_Exclusion_Limit,AND(File_Marr_Joint&lt;&gt;"",X28&gt;2*FEI_Exclusion_Limit),AND(File_Marr_Joint="",X28&gt;FEI_Exclusion_Limit))</f>
        <v/>
      </c>
      <c r="AJ28" s="6608" t="n"/>
      <c r="AK28" s="6135" t="n"/>
      <c r="AL28" s="11602" t="n"/>
      <c r="AM28" s="2338">
        <f>IF(X28&gt;0,"Note: For "&amp;TaxYear&amp;", the total maximum","")</f>
        <v/>
      </c>
      <c r="AN28" s="11602" t="n"/>
      <c r="AP28" s="11602" t="n"/>
      <c r="AQ28" s="11602" t="n"/>
      <c r="AR28" s="769" t="n"/>
      <c r="AS28" s="769" t="n"/>
      <c r="AT28" s="769" t="n"/>
      <c r="AU28" s="769" t="n"/>
      <c r="AV28" s="769" t="n"/>
      <c r="AW28" s="769" t="n"/>
      <c r="AX28" s="769" t="n"/>
      <c r="AY28" s="769" t="n"/>
      <c r="AZ28" s="769" t="n"/>
      <c r="BA28" s="769" t="n"/>
      <c r="BB28" s="769" t="n"/>
    </row>
    <row r="29" ht="18.75" customHeight="1" s="7635">
      <c r="A29" s="1277" t="n"/>
      <c r="B29" s="11602" t="n"/>
      <c r="C29" s="8439" t="inlineStr">
        <is>
          <t>e</t>
        </is>
      </c>
      <c r="D29" s="7772" t="inlineStr">
        <is>
          <t>Income from Form 8853</t>
        </is>
      </c>
      <c r="E29" s="7772" t="n"/>
      <c r="F29" s="11602" t="n"/>
      <c r="G29" s="11602" t="n"/>
      <c r="H29" s="11602" t="n"/>
      <c r="I29" s="11602" t="n"/>
      <c r="J29" s="11602" t="n"/>
      <c r="K29" s="11602" t="n"/>
      <c r="L29" s="11602" t="n"/>
      <c r="M29" s="11602" t="n"/>
      <c r="N29" s="11602" t="n"/>
      <c r="O29" s="11602" t="n"/>
      <c r="P29" s="11602" t="n"/>
      <c r="Q29" s="11602" t="n"/>
      <c r="R29" s="11602" t="n"/>
      <c r="S29" s="11602" t="n"/>
      <c r="T29" s="11602" t="n"/>
      <c r="U29" s="1401" t="inlineStr">
        <is>
          <t xml:space="preserve">.   .   .   .   .   .   .   .   .   .   .   .   .   .   .   .   .  </t>
        </is>
      </c>
      <c r="V29" s="5372" t="inlineStr">
        <is>
          <t>8e</t>
        </is>
      </c>
      <c r="W29" s="7571" t="n"/>
      <c r="X29" s="11717" t="n"/>
      <c r="Y29" s="11717" t="n"/>
      <c r="Z29" s="11717" t="n"/>
      <c r="AA29" s="11718" t="n"/>
      <c r="AB29" s="5884" t="n"/>
      <c r="AC29" s="7566">
        <f>ROUND(W29,0)</f>
        <v/>
      </c>
      <c r="AH29" s="1277" t="n"/>
      <c r="AI29" s="11602" t="n"/>
      <c r="AJ29" s="6608" t="n"/>
      <c r="AK29" s="2875" t="n"/>
      <c r="AL29" s="11602" t="n"/>
      <c r="AM29" s="6087">
        <f>IF(X28&gt;0,"FEI exclusion is "&amp;TEXT(FEI_Exclusion_Limit,"$0,000")&amp;" per taxpayer.","")</f>
        <v/>
      </c>
      <c r="AN29" s="11602" t="n"/>
      <c r="AP29" s="11602" t="n"/>
      <c r="AQ29" s="11602" t="n"/>
      <c r="AR29" s="769" t="n"/>
      <c r="AS29" s="769" t="n"/>
      <c r="AT29" s="769" t="n"/>
      <c r="AU29" s="769" t="n"/>
      <c r="AV29" s="769" t="n"/>
      <c r="AW29" s="769" t="n"/>
      <c r="AX29" s="769" t="n"/>
      <c r="AY29" s="769" t="n"/>
      <c r="AZ29" s="769" t="n"/>
      <c r="BA29" s="769" t="n"/>
      <c r="BB29" s="769" t="n"/>
    </row>
    <row r="30" ht="18.75" customHeight="1" s="7635">
      <c r="A30" s="1277" t="n"/>
      <c r="B30" s="11602" t="n"/>
      <c r="C30" s="8439" t="inlineStr">
        <is>
          <t>f</t>
        </is>
      </c>
      <c r="D30" s="7772" t="inlineStr">
        <is>
          <t>Income from Form 8889</t>
        </is>
      </c>
      <c r="E30" s="7772" t="n"/>
      <c r="F30" s="11602" t="n"/>
      <c r="G30" s="11602" t="n"/>
      <c r="H30" s="11602" t="n"/>
      <c r="I30" s="11602" t="n"/>
      <c r="J30" s="11602" t="n"/>
      <c r="K30" s="11602" t="n"/>
      <c r="L30" s="11602" t="n"/>
      <c r="M30" s="11602" t="n"/>
      <c r="N30" s="11602" t="n"/>
      <c r="O30" s="11602" t="n"/>
      <c r="P30" s="11602" t="n"/>
      <c r="Q30" s="11602" t="n"/>
      <c r="R30" s="11602" t="n"/>
      <c r="S30" s="11602" t="n"/>
      <c r="T30" s="11602" t="n"/>
      <c r="U30" s="1401" t="inlineStr">
        <is>
          <t xml:space="preserve">.   .   .   .   .   .   .   .   .   .   .   .   .   .   .   .   .  </t>
        </is>
      </c>
      <c r="V30" s="5372" t="inlineStr">
        <is>
          <t>8f</t>
        </is>
      </c>
      <c r="W30" s="7589">
        <f>IF(AK30&lt;&gt;"",ROUND(AK30,0),SUM(F8889_Line16,F8889_Line20))</f>
        <v/>
      </c>
      <c r="X30" s="7637" t="n"/>
      <c r="Y30" s="7637" t="n"/>
      <c r="Z30" s="7637" t="n"/>
      <c r="AA30" s="7638" t="n"/>
      <c r="AB30" s="5884" t="n"/>
      <c r="AC30" s="7566">
        <f>ROUND(W30,0)</f>
        <v/>
      </c>
      <c r="AH30" s="1277" t="n"/>
      <c r="AI30" s="11602" t="n"/>
      <c r="AJ30" s="6608" t="n"/>
      <c r="AK30" s="6135" t="n"/>
      <c r="AL30" s="11602" t="n"/>
      <c r="AM30" s="5888" t="n"/>
      <c r="AN30" s="11602" t="n"/>
      <c r="AP30" s="11602" t="n"/>
      <c r="AQ30" s="11602" t="n"/>
      <c r="AR30" s="769" t="n"/>
      <c r="AS30" s="769" t="n"/>
      <c r="AT30" s="769" t="n"/>
      <c r="AU30" s="769" t="n"/>
      <c r="AV30" s="769" t="n"/>
      <c r="AW30" s="769" t="n"/>
      <c r="AX30" s="769" t="n"/>
      <c r="AY30" s="769" t="n"/>
      <c r="AZ30" s="769" t="n"/>
      <c r="BA30" s="769" t="n"/>
      <c r="BB30" s="769" t="n"/>
    </row>
    <row r="31" ht="18.75" customHeight="1" s="7635">
      <c r="A31" s="1277" t="n"/>
      <c r="B31" s="11602" t="n"/>
      <c r="C31" s="8439" t="inlineStr">
        <is>
          <t>g</t>
        </is>
      </c>
      <c r="D31" s="7772" t="inlineStr">
        <is>
          <t>Alaska Permanent Fund dividends</t>
        </is>
      </c>
      <c r="E31" s="7772" t="n"/>
      <c r="F31" s="11602" t="n"/>
      <c r="G31" s="11602" t="n"/>
      <c r="H31" s="11602" t="n"/>
      <c r="I31" s="11602" t="n"/>
      <c r="J31" s="11602" t="n"/>
      <c r="K31" s="11602" t="n"/>
      <c r="L31" s="11602" t="n"/>
      <c r="M31" s="11602" t="n"/>
      <c r="N31" s="11602" t="n"/>
      <c r="O31" s="11602" t="n"/>
      <c r="P31" s="11602" t="n"/>
      <c r="Q31" s="11602" t="n"/>
      <c r="R31" s="11602" t="n"/>
      <c r="S31" s="11602" t="n"/>
      <c r="T31" s="11602" t="n"/>
      <c r="U31" s="1401" t="inlineStr">
        <is>
          <t xml:space="preserve">.   .   .   .   .   .   .   .   .   .   .   .   .   .  </t>
        </is>
      </c>
      <c r="V31" s="5372" t="inlineStr">
        <is>
          <t>8g</t>
        </is>
      </c>
      <c r="W31" s="7571" t="n"/>
      <c r="X31" s="11717" t="n"/>
      <c r="Y31" s="11717" t="n"/>
      <c r="Z31" s="11717" t="n"/>
      <c r="AA31" s="11718" t="n"/>
      <c r="AB31" s="5884" t="n"/>
      <c r="AC31" s="7566">
        <f>ROUND(W31,0)</f>
        <v/>
      </c>
      <c r="AH31" s="1277" t="n"/>
      <c r="AI31" s="11602" t="n"/>
      <c r="AJ31" s="6608" t="n"/>
      <c r="AK31" s="2875" t="n"/>
      <c r="AL31" s="11602" t="n"/>
      <c r="AM31" s="5888" t="n"/>
      <c r="AN31" s="11602" t="n"/>
      <c r="AP31" s="11602" t="n"/>
      <c r="AQ31" s="11602" t="n"/>
      <c r="AR31" s="769" t="n"/>
      <c r="AS31" s="769" t="n"/>
      <c r="AT31" s="769" t="n"/>
      <c r="AU31" s="769" t="n"/>
      <c r="AV31" s="769" t="n"/>
      <c r="AW31" s="769" t="n"/>
      <c r="AX31" s="769" t="n"/>
      <c r="AY31" s="769" t="n"/>
      <c r="AZ31" s="769" t="n"/>
      <c r="BA31" s="769" t="n"/>
      <c r="BB31" s="769" t="n"/>
    </row>
    <row r="32" ht="18.75" customHeight="1" s="7635">
      <c r="A32" s="1277" t="n"/>
      <c r="B32" s="11602" t="n"/>
      <c r="C32" s="8439" t="inlineStr">
        <is>
          <t>h</t>
        </is>
      </c>
      <c r="D32" s="7772" t="inlineStr">
        <is>
          <t>Jury duty pay</t>
        </is>
      </c>
      <c r="E32" s="7772" t="n"/>
      <c r="F32" s="11602" t="n"/>
      <c r="G32" s="11602" t="n"/>
      <c r="H32" s="11602" t="n"/>
      <c r="I32" s="11602" t="n"/>
      <c r="J32" s="11602" t="n"/>
      <c r="K32" s="11602" t="n"/>
      <c r="L32" s="11602" t="n"/>
      <c r="M32" s="11602" t="n"/>
      <c r="N32" s="11602" t="n"/>
      <c r="O32" s="11602" t="n"/>
      <c r="P32" s="11602" t="n"/>
      <c r="Q32" s="11602" t="n"/>
      <c r="R32" s="11602" t="n"/>
      <c r="S32" s="11602" t="n"/>
      <c r="T32" s="11602" t="n"/>
      <c r="U32" s="1401" t="inlineStr">
        <is>
          <t xml:space="preserve">.   .   .   .   .   .   .   .   .   .   .   .   .   .   .   .   .   .   .   .  </t>
        </is>
      </c>
      <c r="V32" s="5372" t="inlineStr">
        <is>
          <t>8h</t>
        </is>
      </c>
      <c r="W32" s="7571" t="n"/>
      <c r="X32" s="11717" t="n"/>
      <c r="Y32" s="11717" t="n"/>
      <c r="Z32" s="11717" t="n"/>
      <c r="AA32" s="11718" t="n"/>
      <c r="AB32" s="5884" t="n"/>
      <c r="AC32" s="7566">
        <f>ROUND(W32,0)</f>
        <v/>
      </c>
      <c r="AH32" s="1277" t="n"/>
      <c r="AI32" s="11602" t="n"/>
      <c r="AJ32" s="6608" t="n"/>
      <c r="AK32" s="2875" t="n"/>
      <c r="AL32" s="11602" t="n"/>
      <c r="AM32" s="5888" t="n"/>
      <c r="AN32" s="11602" t="n"/>
      <c r="AP32" s="11602" t="n"/>
      <c r="AQ32" s="11602" t="n"/>
      <c r="AR32" s="769" t="n"/>
      <c r="AS32" s="769" t="n"/>
      <c r="AT32" s="769" t="n"/>
      <c r="AU32" s="769" t="n"/>
      <c r="AV32" s="769" t="n"/>
      <c r="AW32" s="769" t="n"/>
      <c r="AX32" s="769" t="n"/>
      <c r="AY32" s="769" t="n"/>
      <c r="AZ32" s="769" t="n"/>
      <c r="BA32" s="769" t="n"/>
      <c r="BB32" s="769" t="n"/>
    </row>
    <row r="33" ht="18.75" customHeight="1" s="7635">
      <c r="A33" s="1277" t="n"/>
      <c r="B33" s="11602" t="n"/>
      <c r="C33" s="8439" t="inlineStr">
        <is>
          <t>i</t>
        </is>
      </c>
      <c r="D33" s="7772" t="inlineStr">
        <is>
          <t>Prizes and awards</t>
        </is>
      </c>
      <c r="E33" s="7772" t="n"/>
      <c r="F33" s="11602" t="n"/>
      <c r="G33" s="11602" t="n"/>
      <c r="H33" s="11602" t="n"/>
      <c r="I33" s="11602" t="n"/>
      <c r="J33" s="11602" t="n"/>
      <c r="K33" s="11602" t="n"/>
      <c r="L33" s="11602" t="n"/>
      <c r="M33" s="11602" t="n"/>
      <c r="N33" s="11602" t="n"/>
      <c r="O33" s="11602" t="n"/>
      <c r="P33" s="11602" t="n"/>
      <c r="Q33" s="11602" t="n"/>
      <c r="R33" s="11602" t="n"/>
      <c r="S33" s="11602" t="n"/>
      <c r="T33" s="11602" t="n"/>
      <c r="U33" s="1401" t="inlineStr">
        <is>
          <t xml:space="preserve">.   .   .   .   .   .   .   .   .   .   .   .   .   .   .   .   .   .   .   .  </t>
        </is>
      </c>
      <c r="V33" s="5372" t="inlineStr">
        <is>
          <t>8i</t>
        </is>
      </c>
      <c r="W33" s="7571" t="n"/>
      <c r="X33" s="11717" t="n"/>
      <c r="Y33" s="11717" t="n"/>
      <c r="Z33" s="11717" t="n"/>
      <c r="AA33" s="11718" t="n"/>
      <c r="AB33" s="5884" t="n"/>
      <c r="AC33" s="7566">
        <f>ROUND(W33,0)</f>
        <v/>
      </c>
      <c r="AH33" s="1277" t="n"/>
      <c r="AI33" s="11602" t="n"/>
      <c r="AJ33" s="6608" t="n"/>
      <c r="AK33" s="2875" t="n"/>
      <c r="AL33" s="11602" t="n"/>
      <c r="AM33" s="5888" t="n"/>
      <c r="AN33" s="11602" t="n"/>
      <c r="AO33" s="5887" t="n"/>
      <c r="AP33" s="11602" t="n"/>
      <c r="AQ33" s="11602" t="n"/>
      <c r="AR33" s="769" t="n"/>
      <c r="AS33" s="769" t="n"/>
      <c r="AT33" s="769" t="n"/>
      <c r="AU33" s="769" t="n"/>
      <c r="AV33" s="769" t="n"/>
      <c r="AW33" s="769" t="n"/>
      <c r="AX33" s="769" t="n"/>
      <c r="AY33" s="769" t="n"/>
      <c r="AZ33" s="769" t="n"/>
      <c r="BA33" s="769" t="n"/>
      <c r="BB33" s="769" t="n"/>
    </row>
    <row r="34" ht="18.75" customHeight="1" s="7635">
      <c r="A34" s="1277" t="n"/>
      <c r="B34" s="11602" t="n"/>
      <c r="C34" s="8439" t="inlineStr">
        <is>
          <t>j</t>
        </is>
      </c>
      <c r="D34" s="7772" t="inlineStr">
        <is>
          <t>Activity not engaged in for profit income</t>
        </is>
      </c>
      <c r="E34" s="7772" t="n"/>
      <c r="F34" s="11602" t="n"/>
      <c r="G34" s="11602" t="n"/>
      <c r="H34" s="11602" t="n"/>
      <c r="I34" s="11602" t="n"/>
      <c r="J34" s="11602" t="n"/>
      <c r="K34" s="11602" t="n"/>
      <c r="L34" s="11602" t="n"/>
      <c r="M34" s="11602" t="n"/>
      <c r="N34" s="11602" t="n"/>
      <c r="O34" s="11602" t="n"/>
      <c r="P34" s="11602" t="n"/>
      <c r="Q34" s="11602" t="n"/>
      <c r="R34" s="11602" t="n"/>
      <c r="S34" s="11602" t="n"/>
      <c r="T34" s="11602" t="n"/>
      <c r="U34" s="1401" t="inlineStr">
        <is>
          <t xml:space="preserve">.   .   .   .   .   .   .   .   .   .   .  </t>
        </is>
      </c>
      <c r="V34" s="5372" t="inlineStr">
        <is>
          <t>8j</t>
        </is>
      </c>
      <c r="W34" s="7571" t="n"/>
      <c r="X34" s="11717" t="n"/>
      <c r="Y34" s="11717" t="n"/>
      <c r="Z34" s="11717" t="n"/>
      <c r="AA34" s="11718" t="n"/>
      <c r="AB34" s="5884" t="n"/>
      <c r="AC34" s="7566">
        <f>ROUND(W34,0)</f>
        <v/>
      </c>
      <c r="AH34" s="1277" t="n"/>
      <c r="AI34" s="11602" t="n"/>
      <c r="AJ34" s="6608" t="n"/>
      <c r="AK34" s="2875" t="n"/>
      <c r="AL34" s="11602" t="n"/>
      <c r="AM34" s="5888" t="n"/>
      <c r="AN34" s="11602" t="n"/>
      <c r="AO34" s="5887" t="n"/>
      <c r="AP34" s="11602" t="n"/>
      <c r="AQ34" s="11602" t="n"/>
      <c r="AR34" s="769" t="n"/>
      <c r="AS34" s="769" t="n"/>
      <c r="AT34" s="769" t="n"/>
      <c r="AU34" s="769" t="n"/>
      <c r="AV34" s="769" t="n"/>
      <c r="AW34" s="769" t="n"/>
      <c r="AX34" s="769" t="n"/>
      <c r="AY34" s="769" t="n"/>
      <c r="AZ34" s="769" t="n"/>
      <c r="BA34" s="769" t="n"/>
      <c r="BB34" s="769" t="n"/>
    </row>
    <row r="35" ht="18.75" customHeight="1" s="7635">
      <c r="A35" s="1277" t="n"/>
      <c r="B35" s="11602" t="n"/>
      <c r="C35" s="8439" t="inlineStr">
        <is>
          <t>k</t>
        </is>
      </c>
      <c r="D35" s="7772" t="inlineStr">
        <is>
          <t>Stock options</t>
        </is>
      </c>
      <c r="E35" s="7772" t="n"/>
      <c r="F35" s="11602" t="n"/>
      <c r="G35" s="11602" t="n"/>
      <c r="H35" s="11602" t="n"/>
      <c r="I35" s="11602" t="n"/>
      <c r="J35" s="11602" t="n"/>
      <c r="K35" s="11602" t="n"/>
      <c r="L35" s="11602" t="n"/>
      <c r="M35" s="11602" t="n"/>
      <c r="N35" s="11602" t="n"/>
      <c r="O35" s="11602" t="n"/>
      <c r="P35" s="11602" t="n"/>
      <c r="Q35" s="11602" t="n"/>
      <c r="R35" s="11602" t="n"/>
      <c r="S35" s="11602" t="n"/>
      <c r="T35" s="11602" t="n"/>
      <c r="U35" s="1401" t="inlineStr">
        <is>
          <t xml:space="preserve">.   .  </t>
        </is>
      </c>
      <c r="V35" s="5372" t="inlineStr">
        <is>
          <t>8k</t>
        </is>
      </c>
      <c r="W35" s="11937" t="n"/>
      <c r="X35" s="11717" t="n"/>
      <c r="Y35" s="11717" t="n"/>
      <c r="Z35" s="11717" t="n"/>
      <c r="AA35" s="11718" t="n"/>
      <c r="AB35" s="5884" t="n"/>
      <c r="AC35" s="7566">
        <f>ROUND(W35,0)</f>
        <v/>
      </c>
      <c r="AH35" s="1277" t="n"/>
      <c r="AI35" s="11602" t="n"/>
      <c r="AJ35" s="6608" t="n"/>
      <c r="AK35" s="2875" t="n"/>
      <c r="AL35" s="11602" t="n"/>
      <c r="AM35" s="5888" t="n"/>
      <c r="AN35" s="11602" t="n"/>
      <c r="AO35" s="5887" t="n"/>
      <c r="AP35" s="11602" t="n"/>
      <c r="AQ35" s="11602" t="n"/>
      <c r="AR35" s="769" t="n"/>
      <c r="AS35" s="769" t="n"/>
      <c r="AT35" s="769" t="n"/>
      <c r="AU35" s="769" t="n"/>
      <c r="AV35" s="769" t="n"/>
      <c r="AW35" s="769" t="n"/>
      <c r="AX35" s="769" t="n"/>
      <c r="AY35" s="769" t="n"/>
      <c r="AZ35" s="769" t="n"/>
      <c r="BA35" s="769" t="n"/>
      <c r="BB35" s="769" t="n"/>
    </row>
    <row r="36" ht="18.75" customHeight="1" s="7635">
      <c r="A36" s="1277" t="n"/>
      <c r="B36" s="11602" t="n"/>
      <c r="C36" s="8439" t="inlineStr">
        <is>
          <t>l</t>
        </is>
      </c>
      <c r="D36" s="7772" t="inlineStr">
        <is>
          <t>Income from rental of personal property if you engaged in the rental</t>
        </is>
      </c>
      <c r="E36" s="7772" t="n"/>
      <c r="F36" s="11602" t="n"/>
      <c r="G36" s="11602" t="n"/>
      <c r="H36" s="11602" t="n"/>
      <c r="I36" s="11602" t="n"/>
      <c r="J36" s="11602" t="n"/>
      <c r="K36" s="11602" t="n"/>
      <c r="L36" s="11602" t="n"/>
      <c r="M36" s="11602" t="n"/>
      <c r="N36" s="11602" t="n"/>
      <c r="O36" s="11602" t="n"/>
      <c r="P36" s="11602" t="n"/>
      <c r="Q36" s="11602" t="n"/>
      <c r="R36" s="11602" t="n"/>
      <c r="S36" s="11602" t="n"/>
      <c r="T36" s="11602" t="n"/>
      <c r="U36" s="11602" t="n"/>
      <c r="V36" s="5890" t="n"/>
      <c r="W36" s="11938" t="n"/>
      <c r="X36" s="194" t="n"/>
      <c r="Y36" s="194" t="n"/>
      <c r="Z36" s="194" t="n"/>
      <c r="AA36" s="11726" t="n"/>
      <c r="AB36" s="5884" t="n"/>
      <c r="AC36" s="7566" t="n"/>
      <c r="AD36" s="5405" t="n"/>
      <c r="AE36" s="5405" t="n"/>
      <c r="AF36" s="5405" t="n"/>
      <c r="AG36" s="5405" t="n"/>
      <c r="AH36" s="1277" t="n"/>
      <c r="AI36" s="11602" t="n"/>
      <c r="AJ36" s="6608" t="n"/>
      <c r="AK36" s="2875" t="n"/>
      <c r="AL36" s="11602" t="n"/>
      <c r="AM36" s="5888" t="n"/>
      <c r="AN36" s="11602" t="n"/>
      <c r="AO36" s="5887" t="n"/>
      <c r="AP36" s="11602" t="n"/>
      <c r="AQ36" s="11602" t="n"/>
      <c r="AR36" s="769" t="n"/>
      <c r="AS36" s="769" t="n"/>
      <c r="AT36" s="769" t="n"/>
      <c r="AU36" s="769" t="n"/>
      <c r="AV36" s="769" t="n"/>
      <c r="AW36" s="769" t="n"/>
      <c r="AX36" s="769" t="n"/>
      <c r="AY36" s="769" t="n"/>
      <c r="AZ36" s="769" t="n"/>
      <c r="BA36" s="769" t="n"/>
      <c r="BB36" s="769" t="n"/>
    </row>
    <row r="37" ht="18.75" customHeight="1" s="7635">
      <c r="A37" s="1277" t="n"/>
      <c r="B37" s="11602" t="n"/>
      <c r="C37" s="8439" t="n"/>
      <c r="D37" s="7772" t="inlineStr">
        <is>
          <t>for profit but were not in the business of renting such property</t>
        </is>
      </c>
      <c r="E37" s="7772" t="n"/>
      <c r="F37" s="11602" t="n"/>
      <c r="G37" s="11602" t="n"/>
      <c r="H37" s="11602" t="n"/>
      <c r="I37" s="11602" t="n"/>
      <c r="J37" s="11602" t="n"/>
      <c r="K37" s="11602" t="n"/>
      <c r="L37" s="11602" t="n"/>
      <c r="M37" s="11602" t="n"/>
      <c r="N37" s="11602" t="n"/>
      <c r="O37" s="11602" t="n"/>
      <c r="P37" s="11602" t="n"/>
      <c r="Q37" s="11602" t="n"/>
      <c r="R37" s="11602" t="n"/>
      <c r="S37" s="11602" t="n"/>
      <c r="T37" s="11602" t="n"/>
      <c r="U37" s="1401" t="inlineStr">
        <is>
          <t xml:space="preserve">.   .   .  </t>
        </is>
      </c>
      <c r="V37" s="5372" t="inlineStr">
        <is>
          <t>8l</t>
        </is>
      </c>
      <c r="W37" s="11937" t="n"/>
      <c r="X37" s="11717" t="n"/>
      <c r="Y37" s="11717" t="n"/>
      <c r="Z37" s="11717" t="n"/>
      <c r="AA37" s="11718" t="n"/>
      <c r="AB37" s="5884" t="n"/>
      <c r="AC37" s="7566">
        <f>ROUND(W37,0)</f>
        <v/>
      </c>
      <c r="AH37" s="1277" t="n"/>
      <c r="AI37" s="11602" t="n"/>
      <c r="AJ37" s="6608" t="n"/>
      <c r="AK37" s="2875" t="n"/>
      <c r="AL37" s="11602" t="n"/>
      <c r="AM37" s="5888" t="n"/>
      <c r="AN37" s="11602" t="n"/>
      <c r="AO37" s="7654" t="n"/>
      <c r="AP37" s="11602" t="n"/>
      <c r="AQ37" s="11602" t="n"/>
      <c r="AR37" s="769" t="n"/>
      <c r="AS37" s="769" t="n"/>
      <c r="AT37" s="769" t="n"/>
      <c r="AU37" s="769" t="n"/>
      <c r="AV37" s="769" t="n"/>
      <c r="AW37" s="769" t="n"/>
      <c r="AX37" s="769" t="n"/>
      <c r="AY37" s="769" t="n"/>
      <c r="AZ37" s="769" t="n"/>
      <c r="BA37" s="769" t="n"/>
      <c r="BB37" s="769" t="n"/>
    </row>
    <row r="38" ht="18.75" customHeight="1" s="7635">
      <c r="A38" s="1277" t="n"/>
      <c r="B38" s="11602" t="n"/>
      <c r="C38" s="8439" t="inlineStr">
        <is>
          <t>m</t>
        </is>
      </c>
      <c r="D38" s="7772" t="inlineStr">
        <is>
          <t>Olympic and Paralympic medals and USOC prize money (see instructions)</t>
        </is>
      </c>
      <c r="E38" s="7772" t="n"/>
      <c r="F38" s="11602" t="n"/>
      <c r="G38" s="11602" t="n"/>
      <c r="H38" s="11602" t="n"/>
      <c r="I38" s="11602" t="n"/>
      <c r="J38" s="11602" t="n"/>
      <c r="K38" s="11602" t="n"/>
      <c r="L38" s="11602" t="n"/>
      <c r="M38" s="11602" t="n"/>
      <c r="N38" s="11602" t="n"/>
      <c r="O38" s="11602" t="n"/>
      <c r="P38" s="11602" t="n"/>
      <c r="Q38" s="11602" t="n"/>
      <c r="R38" s="11602" t="n"/>
      <c r="S38" s="11602" t="n"/>
      <c r="T38" s="1401" t="inlineStr">
        <is>
          <t xml:space="preserve">.   .  </t>
        </is>
      </c>
      <c r="U38" s="1401" t="n"/>
      <c r="V38" s="5372" t="inlineStr">
        <is>
          <t>8m</t>
        </is>
      </c>
      <c r="W38" s="7571" t="n"/>
      <c r="X38" s="11717" t="n"/>
      <c r="Y38" s="11717" t="n"/>
      <c r="Z38" s="11717" t="n"/>
      <c r="AA38" s="11718" t="n"/>
      <c r="AB38" s="5884" t="n"/>
      <c r="AC38" s="7566">
        <f>ROUND(W38,0)</f>
        <v/>
      </c>
      <c r="AH38" s="1277" t="n"/>
      <c r="AI38" s="11602" t="n"/>
      <c r="AJ38" s="6608" t="n"/>
      <c r="AK38" s="2875" t="n"/>
      <c r="AL38" s="11602" t="n"/>
      <c r="AM38" s="5888" t="n"/>
      <c r="AN38" s="11602" t="n"/>
      <c r="AO38" s="7654" t="n"/>
      <c r="AP38" s="11602" t="n"/>
      <c r="AQ38" s="11602" t="n"/>
      <c r="AR38" s="769" t="n"/>
      <c r="AS38" s="769" t="n"/>
      <c r="AT38" s="769" t="n"/>
      <c r="AU38" s="769" t="n"/>
      <c r="AV38" s="769" t="n"/>
      <c r="AW38" s="769" t="n"/>
      <c r="AX38" s="769" t="n"/>
      <c r="AY38" s="769" t="n"/>
      <c r="AZ38" s="769" t="n"/>
      <c r="BA38" s="769" t="n"/>
      <c r="BB38" s="769" t="n"/>
    </row>
    <row r="39" ht="18.75" customHeight="1" s="7635">
      <c r="A39" s="1277" t="n"/>
      <c r="B39" s="11602" t="n"/>
      <c r="C39" s="8439" t="inlineStr">
        <is>
          <t>n</t>
        </is>
      </c>
      <c r="D39" s="7772" t="inlineStr">
        <is>
          <t>Section 951(a) inclusion (see instructions)</t>
        </is>
      </c>
      <c r="E39" s="7772" t="n"/>
      <c r="F39" s="11602" t="n"/>
      <c r="G39" s="11602" t="n"/>
      <c r="H39" s="11602" t="n"/>
      <c r="I39" s="11602" t="n"/>
      <c r="J39" s="11602" t="n"/>
      <c r="K39" s="11602" t="n"/>
      <c r="L39" s="11602" t="n"/>
      <c r="M39" s="11602" t="n"/>
      <c r="N39" s="11602" t="n"/>
      <c r="O39" s="11602" t="n"/>
      <c r="P39" s="11602" t="n"/>
      <c r="Q39" s="11602" t="n"/>
      <c r="R39" s="11602" t="n"/>
      <c r="S39" s="11602" t="n"/>
      <c r="T39" s="11602" t="n"/>
      <c r="U39" s="1401" t="inlineStr">
        <is>
          <t xml:space="preserve">.   .   .   .   .   .   .   .   .   .   .   .  </t>
        </is>
      </c>
      <c r="V39" s="5372" t="inlineStr">
        <is>
          <t>8n</t>
        </is>
      </c>
      <c r="W39" s="7571" t="n"/>
      <c r="X39" s="11717" t="n"/>
      <c r="Y39" s="11717" t="n"/>
      <c r="Z39" s="11717" t="n"/>
      <c r="AA39" s="11718" t="n"/>
      <c r="AB39" s="5884" t="n"/>
      <c r="AC39" s="7566">
        <f>ROUND(W39,0)</f>
        <v/>
      </c>
      <c r="AH39" s="1277" t="n"/>
      <c r="AI39" s="11602" t="n"/>
      <c r="AJ39" s="6608" t="n"/>
      <c r="AK39" s="2875" t="n"/>
      <c r="AL39" s="11602" t="n"/>
      <c r="AM39" s="5888" t="n"/>
      <c r="AN39" s="11602" t="n"/>
      <c r="AO39" s="5887" t="n"/>
      <c r="AP39" s="11602" t="n"/>
      <c r="AQ39" s="11602" t="n"/>
      <c r="AR39" s="769" t="n"/>
      <c r="AS39" s="769" t="n"/>
      <c r="AT39" s="769" t="n"/>
      <c r="AU39" s="769" t="n"/>
      <c r="AV39" s="769" t="n"/>
      <c r="AW39" s="769" t="n"/>
      <c r="AX39" s="769" t="n"/>
      <c r="AY39" s="769" t="n"/>
      <c r="AZ39" s="769" t="n"/>
      <c r="BA39" s="769" t="n"/>
      <c r="BB39" s="769" t="n"/>
    </row>
    <row r="40" ht="18.75" customHeight="1" s="7635">
      <c r="A40" s="1277" t="n"/>
      <c r="B40" s="11602" t="n"/>
      <c r="C40" s="8439" t="inlineStr">
        <is>
          <t>o</t>
        </is>
      </c>
      <c r="D40" s="7772" t="inlineStr">
        <is>
          <t>Section 951A(a) inclusion (see instructions)</t>
        </is>
      </c>
      <c r="E40" s="7772" t="n"/>
      <c r="F40" s="11602" t="n"/>
      <c r="G40" s="11602" t="n"/>
      <c r="H40" s="11602" t="n"/>
      <c r="I40" s="11602" t="n"/>
      <c r="J40" s="11602" t="n"/>
      <c r="K40" s="11602" t="n"/>
      <c r="L40" s="11602" t="n"/>
      <c r="M40" s="11602" t="n"/>
      <c r="N40" s="11602" t="n"/>
      <c r="O40" s="11602" t="n"/>
      <c r="P40" s="11602" t="n"/>
      <c r="Q40" s="11602" t="n"/>
      <c r="R40" s="11602" t="n"/>
      <c r="S40" s="11602" t="n"/>
      <c r="T40" s="11602" t="n"/>
      <c r="U40" s="1401" t="inlineStr">
        <is>
          <t xml:space="preserve">.   .   .   .   .   .   .   .   .   .  </t>
        </is>
      </c>
      <c r="V40" s="5372" t="inlineStr">
        <is>
          <t>8o</t>
        </is>
      </c>
      <c r="W40" s="7571" t="n"/>
      <c r="X40" s="11717" t="n"/>
      <c r="Y40" s="11717" t="n"/>
      <c r="Z40" s="11717" t="n"/>
      <c r="AA40" s="11718" t="n"/>
      <c r="AB40" s="5884" t="n"/>
      <c r="AC40" s="7566">
        <f>ROUND(W40,0)</f>
        <v/>
      </c>
      <c r="AH40" s="1277" t="n"/>
      <c r="AI40" s="11602" t="n"/>
      <c r="AJ40" s="6608" t="n"/>
      <c r="AK40" s="2875" t="n"/>
      <c r="AL40" s="11602" t="n"/>
      <c r="AM40" s="5888" t="n"/>
      <c r="AN40" s="11602" t="n"/>
      <c r="AO40" s="5887" t="n"/>
      <c r="AP40" s="11602" t="n"/>
      <c r="AQ40" s="11602" t="n"/>
      <c r="AR40" s="769" t="n"/>
      <c r="AS40" s="769" t="n"/>
      <c r="AT40" s="769" t="n"/>
      <c r="AU40" s="769" t="n"/>
      <c r="AV40" s="769" t="n"/>
      <c r="AW40" s="769" t="n"/>
      <c r="AX40" s="769" t="n"/>
      <c r="AY40" s="769" t="n"/>
      <c r="AZ40" s="769" t="n"/>
      <c r="BA40" s="769" t="n"/>
      <c r="BB40" s="769" t="n"/>
    </row>
    <row r="41" ht="18.75" customHeight="1" s="7635">
      <c r="A41" s="1277" t="n"/>
      <c r="B41" s="11602" t="n"/>
      <c r="C41" s="8439" t="inlineStr">
        <is>
          <t>p</t>
        </is>
      </c>
      <c r="D41" s="7772" t="inlineStr">
        <is>
          <t>Section 461(l) excess business loss adjustment</t>
        </is>
      </c>
      <c r="E41" s="7772" t="n"/>
      <c r="F41" s="11602" t="n"/>
      <c r="G41" s="11602" t="n"/>
      <c r="H41" s="11602" t="n"/>
      <c r="I41" s="11602" t="n"/>
      <c r="J41" s="11602" t="n"/>
      <c r="K41" s="11602" t="n"/>
      <c r="L41" s="11602" t="n"/>
      <c r="M41" s="11602" t="n"/>
      <c r="N41" s="11602" t="n"/>
      <c r="O41" s="11602" t="n"/>
      <c r="P41" s="11602" t="n"/>
      <c r="Q41" s="11602" t="n"/>
      <c r="R41" s="11602" t="n"/>
      <c r="S41" s="11602" t="n"/>
      <c r="T41" s="11602" t="n"/>
      <c r="U41" s="1401" t="inlineStr">
        <is>
          <t xml:space="preserve">.   .   .   .   .   .   .   .  </t>
        </is>
      </c>
      <c r="V41" s="5372" t="inlineStr">
        <is>
          <t>8p</t>
        </is>
      </c>
      <c r="W41" s="7571" t="n"/>
      <c r="X41" s="11717" t="n"/>
      <c r="Y41" s="11717" t="n"/>
      <c r="Z41" s="11717" t="n"/>
      <c r="AA41" s="11718" t="n"/>
      <c r="AB41" s="5884" t="n"/>
      <c r="AC41" s="7566">
        <f>ROUND(W41,0)</f>
        <v/>
      </c>
      <c r="AH41" s="1277" t="n"/>
      <c r="AI41" s="11602" t="n"/>
      <c r="AJ41" s="6608" t="n"/>
      <c r="AK41" s="2875" t="n"/>
      <c r="AL41" s="11602" t="n"/>
      <c r="AM41" s="5888" t="n"/>
      <c r="AN41" s="11602" t="n"/>
      <c r="AO41" s="5887" t="n"/>
      <c r="AP41" s="11602" t="n"/>
      <c r="AQ41" s="11602" t="n"/>
      <c r="AR41" s="769" t="n"/>
      <c r="AS41" s="769" t="n"/>
      <c r="AT41" s="769" t="n"/>
      <c r="AU41" s="769" t="n"/>
      <c r="AV41" s="769" t="n"/>
      <c r="AW41" s="769" t="n"/>
      <c r="AX41" s="769" t="n"/>
      <c r="AY41" s="769" t="n"/>
      <c r="AZ41" s="769" t="n"/>
      <c r="BA41" s="769" t="n"/>
      <c r="BB41" s="769" t="n"/>
    </row>
    <row r="42" ht="18.75" customHeight="1" s="7635">
      <c r="A42" s="1277" t="n"/>
      <c r="B42" s="11602" t="n"/>
      <c r="C42" s="8439" t="inlineStr">
        <is>
          <t>q</t>
        </is>
      </c>
      <c r="D42" s="7772" t="inlineStr">
        <is>
          <t>Taxable distributions from an ABLE account (see instructions)</t>
        </is>
      </c>
      <c r="E42" s="7772" t="n"/>
      <c r="F42" s="11602" t="n"/>
      <c r="G42" s="11602" t="n"/>
      <c r="H42" s="11602" t="n"/>
      <c r="I42" s="11602" t="n"/>
      <c r="J42" s="11602" t="n"/>
      <c r="K42" s="11602" t="n"/>
      <c r="L42" s="11602" t="n"/>
      <c r="M42" s="11602" t="n"/>
      <c r="N42" s="11602" t="n"/>
      <c r="O42" s="11602" t="n"/>
      <c r="P42" s="11602" t="n"/>
      <c r="Q42" s="11602" t="n"/>
      <c r="R42" s="11602" t="n"/>
      <c r="S42" s="11602" t="n"/>
      <c r="T42" s="11602" t="n"/>
      <c r="U42" s="1401" t="inlineStr">
        <is>
          <t xml:space="preserve">.   .  </t>
        </is>
      </c>
      <c r="V42" s="5372" t="inlineStr">
        <is>
          <t>8q</t>
        </is>
      </c>
      <c r="W42" s="7571" t="n"/>
      <c r="X42" s="11717" t="n"/>
      <c r="Y42" s="11717" t="n"/>
      <c r="Z42" s="11717" t="n"/>
      <c r="AA42" s="11718" t="n"/>
      <c r="AB42" s="5884" t="n"/>
      <c r="AC42" s="7566">
        <f>ROUND(W42,0)</f>
        <v/>
      </c>
      <c r="AH42" s="1277" t="n"/>
      <c r="AI42" s="11602" t="n"/>
      <c r="AJ42" s="6608" t="n"/>
      <c r="AK42" s="2875" t="n"/>
      <c r="AL42" s="11602" t="n"/>
      <c r="AM42" s="5888" t="n"/>
      <c r="AN42" s="11602" t="n"/>
      <c r="AO42" s="5887" t="n"/>
      <c r="AP42" s="11602" t="n"/>
      <c r="AQ42" s="11602" t="n"/>
      <c r="AR42" s="769" t="n"/>
      <c r="AS42" s="769" t="n"/>
      <c r="AT42" s="769" t="n"/>
      <c r="AU42" s="769" t="n"/>
      <c r="AV42" s="769" t="n"/>
      <c r="AW42" s="769" t="n"/>
      <c r="AX42" s="769" t="n"/>
      <c r="AY42" s="769" t="n"/>
      <c r="AZ42" s="769" t="n"/>
      <c r="BA42" s="769" t="n"/>
      <c r="BB42" s="769" t="n"/>
    </row>
    <row r="43" ht="18.75" customHeight="1" s="7635">
      <c r="A43" s="1277" t="n"/>
      <c r="B43" s="11602" t="n"/>
      <c r="C43" s="8439" t="inlineStr">
        <is>
          <t>r</t>
        </is>
      </c>
      <c r="D43" s="7772" t="inlineStr">
        <is>
          <t>Scholarship and fellowship grants not reported on Form W-2</t>
        </is>
      </c>
      <c r="E43" s="7772" t="n"/>
      <c r="F43" s="11602" t="n"/>
      <c r="G43" s="11602" t="n"/>
      <c r="H43" s="11602" t="n"/>
      <c r="I43" s="11602" t="n"/>
      <c r="J43" s="11602" t="n"/>
      <c r="K43" s="11602" t="n"/>
      <c r="L43" s="11602" t="n"/>
      <c r="M43" s="11602" t="n"/>
      <c r="N43" s="11602" t="n"/>
      <c r="O43" s="11602" t="n"/>
      <c r="P43" s="11602" t="n"/>
      <c r="Q43" s="11602" t="n"/>
      <c r="R43" s="11602" t="n"/>
      <c r="S43" s="11602" t="n"/>
      <c r="T43" s="11602" t="n"/>
      <c r="U43" s="1401" t="inlineStr">
        <is>
          <t xml:space="preserve">.   .   .  </t>
        </is>
      </c>
      <c r="V43" s="5372" t="inlineStr">
        <is>
          <t>8r</t>
        </is>
      </c>
      <c r="W43" s="7571" t="n"/>
      <c r="X43" s="11717" t="n"/>
      <c r="Y43" s="11717" t="n"/>
      <c r="Z43" s="11717" t="n"/>
      <c r="AA43" s="11718" t="n"/>
      <c r="AB43" s="5884" t="n"/>
      <c r="AC43" s="7566">
        <f>ROUND(W43,0)</f>
        <v/>
      </c>
      <c r="AH43" s="1277" t="n"/>
      <c r="AI43" s="11602" t="n"/>
      <c r="AJ43" s="6608" t="n"/>
      <c r="AK43" s="2875" t="n"/>
      <c r="AL43" s="11602" t="n"/>
      <c r="AM43" s="5888" t="n"/>
      <c r="AN43" s="11602" t="n"/>
      <c r="AO43" s="5887" t="n"/>
      <c r="AP43" s="11602" t="n"/>
      <c r="AQ43" s="11602" t="n"/>
      <c r="AR43" s="769" t="n"/>
      <c r="AS43" s="769" t="n"/>
      <c r="AT43" s="769" t="n"/>
      <c r="AU43" s="769" t="n"/>
      <c r="AV43" s="769" t="n"/>
      <c r="AW43" s="769" t="n"/>
      <c r="AX43" s="769" t="n"/>
      <c r="AY43" s="769" t="n"/>
      <c r="AZ43" s="769" t="n"/>
      <c r="BA43" s="769" t="n"/>
      <c r="BB43" s="769" t="n"/>
    </row>
    <row r="44" ht="18.75" customHeight="1" s="7635">
      <c r="A44" s="1277" t="n"/>
      <c r="B44" s="11602" t="n"/>
      <c r="C44" s="8439" t="inlineStr">
        <is>
          <t>s</t>
        </is>
      </c>
      <c r="D44" s="7772" t="inlineStr">
        <is>
          <t>Nontaxable amount of Medicaid waiver payments included on Form 1040, line</t>
        </is>
      </c>
      <c r="E44" s="7772" t="n"/>
      <c r="F44" s="11602" t="n"/>
      <c r="G44" s="11602" t="n"/>
      <c r="H44" s="11602" t="n"/>
      <c r="I44" s="11602" t="n"/>
      <c r="J44" s="11602" t="n"/>
      <c r="K44" s="11602" t="n"/>
      <c r="L44" s="11602" t="n"/>
      <c r="M44" s="11602" t="n"/>
      <c r="N44" s="11602" t="n"/>
      <c r="O44" s="11602" t="n"/>
      <c r="P44" s="11602" t="n"/>
      <c r="Q44" s="11602" t="n"/>
      <c r="R44" s="11602" t="n"/>
      <c r="S44" s="11602" t="n"/>
      <c r="T44" s="11602" t="n"/>
      <c r="U44" s="1401" t="n"/>
      <c r="V44" s="5890" t="n"/>
      <c r="W44" s="11938" t="n"/>
      <c r="X44" s="194" t="n"/>
      <c r="Y44" s="194" t="n"/>
      <c r="Z44" s="194" t="n"/>
      <c r="AA44" s="11726" t="n"/>
      <c r="AB44" s="5884" t="n"/>
      <c r="AC44" s="7566" t="n"/>
      <c r="AH44" s="1277" t="n"/>
      <c r="AI44" s="11602" t="n"/>
      <c r="AJ44" s="6608" t="n"/>
      <c r="AK44" s="2875" t="n"/>
      <c r="AL44" s="11602" t="n"/>
      <c r="AM44" s="5888" t="n"/>
      <c r="AN44" s="11602" t="n"/>
      <c r="AO44" s="5887" t="n"/>
      <c r="AP44" s="11602" t="n"/>
      <c r="AQ44" s="11602" t="n"/>
      <c r="AR44" s="769" t="n"/>
      <c r="AS44" s="769" t="n"/>
      <c r="AT44" s="769" t="n"/>
      <c r="AU44" s="769" t="n"/>
      <c r="AV44" s="769" t="n"/>
      <c r="AW44" s="769" t="n"/>
      <c r="AX44" s="769" t="n"/>
      <c r="AY44" s="769" t="n"/>
      <c r="AZ44" s="769" t="n"/>
      <c r="BA44" s="769" t="n"/>
      <c r="BB44" s="769" t="n"/>
    </row>
    <row r="45" ht="18.75" customHeight="1" s="7635">
      <c r="A45" s="1277" t="n"/>
      <c r="B45" s="11602" t="n"/>
      <c r="C45" s="8439" t="n"/>
      <c r="D45" s="7772" t="inlineStr">
        <is>
          <t>1a or 1d</t>
        </is>
      </c>
      <c r="E45" s="7772" t="n"/>
      <c r="F45" s="11602" t="n"/>
      <c r="G45" s="11602" t="n"/>
      <c r="H45" s="11602" t="n"/>
      <c r="I45" s="11602" t="n"/>
      <c r="J45" s="11602" t="n"/>
      <c r="K45" s="11602" t="n"/>
      <c r="L45" s="11602" t="n"/>
      <c r="M45" s="11602" t="n"/>
      <c r="N45" s="11602" t="n"/>
      <c r="O45" s="11602" t="n"/>
      <c r="P45" s="11602" t="n"/>
      <c r="Q45" s="11602" t="n"/>
      <c r="R45" s="11602" t="n"/>
      <c r="S45" s="11602" t="n"/>
      <c r="T45" s="11602" t="n"/>
      <c r="U45" s="1401" t="inlineStr">
        <is>
          <t xml:space="preserve">.   .   .   .   .   .   .   .   .   .   .   .   .   .   .   .   .   .   .   .  </t>
        </is>
      </c>
      <c r="V45" s="5372" t="inlineStr">
        <is>
          <t>8s</t>
        </is>
      </c>
      <c r="W45" s="6085" t="inlineStr">
        <is>
          <t>(</t>
        </is>
      </c>
      <c r="X45" s="7569" t="n"/>
      <c r="Y45" s="11717" t="n"/>
      <c r="Z45" s="11717" t="n"/>
      <c r="AA45" s="6086" t="inlineStr">
        <is>
          <t>)</t>
        </is>
      </c>
      <c r="AB45" s="5884" t="n"/>
      <c r="AC45" s="7566">
        <f>-ROUND(X45,0)</f>
        <v/>
      </c>
      <c r="AH45" s="1277" t="n"/>
      <c r="AI45" s="11602" t="n"/>
      <c r="AJ45" s="6608" t="n"/>
      <c r="AK45" s="2875" t="n"/>
      <c r="AL45" s="2875" t="n"/>
      <c r="AM45" s="2875" t="n"/>
      <c r="AN45" s="2875" t="n"/>
      <c r="AO45" s="2875" t="n"/>
      <c r="AP45" s="2875" t="n"/>
      <c r="AQ45" s="11602" t="n"/>
      <c r="AR45" s="769" t="n"/>
      <c r="AS45" s="769" t="n"/>
      <c r="AT45" s="769" t="n"/>
      <c r="AU45" s="769" t="n"/>
      <c r="AV45" s="769" t="n"/>
      <c r="AW45" s="769" t="n"/>
      <c r="AX45" s="769" t="n"/>
      <c r="AY45" s="769" t="n"/>
      <c r="AZ45" s="769" t="n"/>
      <c r="BA45" s="769" t="n"/>
      <c r="BB45" s="769" t="n"/>
    </row>
    <row r="46" ht="18.75" customHeight="1" s="7635" thickBot="1">
      <c r="A46" s="1277" t="n"/>
      <c r="B46" s="11602" t="n"/>
      <c r="C46" s="8439" t="inlineStr">
        <is>
          <t>t</t>
        </is>
      </c>
      <c r="D46" s="7772" t="inlineStr">
        <is>
          <t>Pension or annuity from a nonqualifed deferred compensation plan or a</t>
        </is>
      </c>
      <c r="E46" s="7772" t="n"/>
      <c r="F46" s="11602" t="n"/>
      <c r="G46" s="11602" t="n"/>
      <c r="H46" s="11602" t="n"/>
      <c r="I46" s="11602" t="n"/>
      <c r="J46" s="11602" t="n"/>
      <c r="K46" s="11602" t="n"/>
      <c r="L46" s="11602" t="n"/>
      <c r="M46" s="11602" t="n"/>
      <c r="N46" s="11602" t="n"/>
      <c r="O46" s="11602" t="n"/>
      <c r="P46" s="11602" t="n"/>
      <c r="Q46" s="11602" t="n"/>
      <c r="R46" s="11602" t="n"/>
      <c r="S46" s="11602" t="n"/>
      <c r="T46" s="11602" t="n"/>
      <c r="U46" s="1401" t="n"/>
      <c r="V46" s="5890" t="n"/>
      <c r="W46" s="11938" t="n"/>
      <c r="X46" s="194" t="n"/>
      <c r="Y46" s="194" t="n"/>
      <c r="Z46" s="194" t="n"/>
      <c r="AA46" s="11726" t="n"/>
      <c r="AB46" s="5884" t="n"/>
      <c r="AC46" s="7566" t="n"/>
      <c r="AH46" s="1277" t="n"/>
      <c r="AI46" s="11602" t="n"/>
      <c r="AJ46" s="6608" t="n"/>
      <c r="AK46" s="2875" t="n"/>
      <c r="AL46" s="2875" t="n"/>
      <c r="AM46" s="2875" t="n"/>
      <c r="AN46" s="7587" t="inlineStr">
        <is>
          <t>Line 8z Entry</t>
        </is>
      </c>
      <c r="AO46" s="8848" t="n"/>
      <c r="AP46" s="2875" t="n"/>
      <c r="AQ46" s="11602" t="n"/>
      <c r="AR46" s="769" t="n"/>
      <c r="AS46" s="769" t="n"/>
      <c r="AT46" s="769" t="n"/>
      <c r="AU46" s="769" t="n"/>
      <c r="AV46" s="769" t="n"/>
      <c r="AW46" s="769" t="n"/>
      <c r="AX46" s="769" t="n"/>
      <c r="AY46" s="769" t="n"/>
      <c r="AZ46" s="769" t="n"/>
      <c r="BA46" s="769" t="n"/>
      <c r="BB46" s="769" t="n"/>
    </row>
    <row r="47" ht="18.75" customHeight="1" s="7635">
      <c r="A47" s="1277" t="n"/>
      <c r="B47" s="11602" t="n"/>
      <c r="C47" s="8439" t="n"/>
      <c r="D47" s="2006" t="inlineStr">
        <is>
          <t>nongovernmental section 457 plan</t>
        </is>
      </c>
      <c r="E47" s="7772" t="n"/>
      <c r="F47" s="11602" t="n"/>
      <c r="G47" s="11602" t="n"/>
      <c r="H47" s="11602" t="n"/>
      <c r="I47" s="11602" t="n"/>
      <c r="J47" s="11602" t="n"/>
      <c r="K47" s="11602" t="n"/>
      <c r="L47" s="11602" t="n"/>
      <c r="M47" s="11602" t="n"/>
      <c r="N47" s="11602" t="n"/>
      <c r="O47" s="11602" t="n"/>
      <c r="P47" s="11602" t="n"/>
      <c r="Q47" s="11602" t="n"/>
      <c r="R47" s="11602" t="n"/>
      <c r="S47" s="11602" t="n"/>
      <c r="T47" s="11602" t="n"/>
      <c r="U47" s="1401" t="inlineStr">
        <is>
          <t xml:space="preserve">.   .   .   .   .   .   .   .   .   .   .   .   .   .   .   .   .   .  </t>
        </is>
      </c>
      <c r="V47" s="6088" t="inlineStr">
        <is>
          <t>8t</t>
        </is>
      </c>
      <c r="W47" s="7571" t="n"/>
      <c r="X47" s="11717" t="n"/>
      <c r="Y47" s="11717" t="n"/>
      <c r="Z47" s="11717" t="n"/>
      <c r="AA47" s="11718" t="n"/>
      <c r="AB47" s="5884" t="n"/>
      <c r="AC47" s="7566">
        <f>ROUND(W47,0)</f>
        <v/>
      </c>
      <c r="AH47" s="1277" t="n"/>
      <c r="AI47" s="11602" t="n"/>
      <c r="AJ47" s="6608" t="n"/>
      <c r="AK47" s="2875" t="n"/>
      <c r="AL47" s="2875" t="n"/>
      <c r="AM47" s="2875" t="n"/>
      <c r="AN47" s="11939" t="inlineStr">
        <is>
          <t>Type</t>
        </is>
      </c>
      <c r="AO47" s="11940" t="inlineStr">
        <is>
          <t>Amount</t>
        </is>
      </c>
      <c r="AP47" s="2875" t="n"/>
      <c r="AQ47" s="11602" t="n"/>
      <c r="AR47" s="769" t="n"/>
      <c r="AS47" s="769" t="n"/>
      <c r="AT47" s="769" t="n"/>
      <c r="AU47" s="769" t="n"/>
      <c r="AV47" s="769" t="n"/>
      <c r="AW47" s="769" t="n"/>
      <c r="AX47" s="769" t="n"/>
      <c r="AY47" s="769" t="n"/>
      <c r="AZ47" s="769" t="n"/>
      <c r="BA47" s="769" t="n"/>
      <c r="BB47" s="769" t="n"/>
    </row>
    <row r="48" ht="18.75" customHeight="1" s="7635" thickBot="1">
      <c r="A48" s="1277" t="n"/>
      <c r="B48" s="11602" t="n"/>
      <c r="C48" s="8439" t="inlineStr">
        <is>
          <t>u</t>
        </is>
      </c>
      <c r="D48" s="7772" t="inlineStr">
        <is>
          <t>Wages earned while incarcerated</t>
        </is>
      </c>
      <c r="E48" s="7772" t="n"/>
      <c r="F48" s="11602" t="n"/>
      <c r="G48" s="11602" t="n"/>
      <c r="H48" s="11602" t="n"/>
      <c r="I48" s="11602" t="n"/>
      <c r="J48" s="11602" t="n"/>
      <c r="K48" s="11602" t="n"/>
      <c r="L48" s="11602" t="n"/>
      <c r="M48" s="11602" t="n"/>
      <c r="N48" s="11602" t="n"/>
      <c r="O48" s="11602" t="n"/>
      <c r="P48" s="11602" t="n"/>
      <c r="Q48" s="11602" t="n"/>
      <c r="R48" s="11602" t="n"/>
      <c r="S48" s="11602" t="n"/>
      <c r="T48" s="11602" t="n"/>
      <c r="U48" s="1401" t="inlineStr">
        <is>
          <t xml:space="preserve">.   .   .   .   .   .   .   .   .   .   .   .   .   .   .   .   .   .   .   .  </t>
        </is>
      </c>
      <c r="V48" s="5372" t="inlineStr">
        <is>
          <t>8u</t>
        </is>
      </c>
      <c r="W48" s="7571" t="n"/>
      <c r="X48" s="11717" t="n"/>
      <c r="Y48" s="11717" t="n"/>
      <c r="Z48" s="11717" t="n"/>
      <c r="AA48" s="11718" t="n"/>
      <c r="AB48" s="5884" t="n"/>
      <c r="AC48" s="7566">
        <f>ROUND(W48,0)</f>
        <v/>
      </c>
      <c r="AH48" s="1277" t="n"/>
      <c r="AI48" s="11602" t="n"/>
      <c r="AJ48" s="6608" t="n"/>
      <c r="AK48" s="2875" t="n"/>
      <c r="AL48" s="2875" t="n"/>
      <c r="AM48" s="2875" t="n"/>
      <c r="AN48" s="11941" t="n"/>
      <c r="AO48" s="11942" t="n"/>
      <c r="AP48" s="2875" t="n"/>
      <c r="AQ48" s="11602" t="n"/>
      <c r="AR48" s="769" t="n"/>
      <c r="AS48" s="769" t="n"/>
      <c r="AT48" s="769" t="n"/>
      <c r="AU48" s="769" t="n"/>
      <c r="AV48" s="769" t="n"/>
      <c r="AW48" s="769" t="n"/>
      <c r="AX48" s="769" t="n"/>
      <c r="AY48" s="769" t="n"/>
      <c r="AZ48" s="769" t="n"/>
      <c r="BA48" s="769" t="n"/>
      <c r="BB48" s="769" t="n"/>
    </row>
    <row r="49" ht="18.75" customHeight="1" s="7635">
      <c r="A49" s="1277" t="n"/>
      <c r="B49" s="11602" t="n"/>
      <c r="C49" s="8439" t="inlineStr">
        <is>
          <t>v</t>
        </is>
      </c>
      <c r="D49" s="7772" t="inlineStr">
        <is>
          <t>Digital assets received as ordinary income not reported elsewhere.</t>
        </is>
      </c>
      <c r="E49" s="7772" t="n"/>
      <c r="F49" s="11602" t="n"/>
      <c r="G49" s="11602" t="n"/>
      <c r="H49" s="11602" t="n"/>
      <c r="I49" s="11602" t="n"/>
      <c r="J49" s="11602" t="n"/>
      <c r="K49" s="11602" t="n"/>
      <c r="L49" s="11602" t="n"/>
      <c r="M49" s="11602" t="n"/>
      <c r="N49" s="11602" t="n"/>
      <c r="O49" s="11602" t="n"/>
      <c r="P49" s="11602" t="n"/>
      <c r="Q49" s="11602" t="n"/>
      <c r="R49" s="11602" t="n"/>
      <c r="S49" s="11602" t="n"/>
      <c r="T49" s="11602" t="n"/>
      <c r="U49" s="1401" t="n"/>
      <c r="V49" s="5890" t="n"/>
      <c r="W49" s="11938" t="n"/>
      <c r="X49" s="194" t="n"/>
      <c r="Y49" s="194" t="n"/>
      <c r="Z49" s="194" t="n"/>
      <c r="AA49" s="11726" t="n"/>
      <c r="AB49" s="5884" t="n"/>
      <c r="AC49" s="7566" t="n"/>
      <c r="AD49" s="7567" t="n"/>
      <c r="AE49" s="7567" t="n"/>
      <c r="AF49" s="7567" t="n"/>
      <c r="AG49" s="7567" t="n"/>
      <c r="AH49" s="1277" t="n"/>
      <c r="AI49" s="11602" t="n"/>
      <c r="AJ49" s="6608" t="n"/>
      <c r="AK49" s="2875" t="n"/>
      <c r="AL49" s="2875" t="n"/>
      <c r="AM49" s="2875" t="n"/>
      <c r="AN49" s="4642" t="n"/>
      <c r="AO49" s="4643" t="n"/>
      <c r="AP49" s="2875" t="n"/>
      <c r="AQ49" s="990">
        <f>IF(AO49="",0,AO49)</f>
        <v/>
      </c>
      <c r="AR49" s="769" t="n"/>
      <c r="AS49" s="769" t="n"/>
      <c r="AT49" s="769" t="n"/>
      <c r="AU49" s="769" t="n"/>
      <c r="AV49" s="769" t="n"/>
      <c r="AW49" s="769" t="n"/>
      <c r="AX49" s="769" t="n"/>
      <c r="AY49" s="769" t="n"/>
      <c r="AZ49" s="769" t="n"/>
      <c r="BA49" s="769" t="n"/>
      <c r="BB49" s="769" t="n"/>
    </row>
    <row r="50" ht="18.75" customHeight="1" s="7635">
      <c r="A50" s="1277" t="n"/>
      <c r="B50" s="11602" t="n"/>
      <c r="C50" s="8439" t="n"/>
      <c r="D50" s="7772" t="inlineStr">
        <is>
          <t>See instructions</t>
        </is>
      </c>
      <c r="E50" s="7772" t="n"/>
      <c r="F50" s="11602" t="n"/>
      <c r="G50" s="11602" t="n"/>
      <c r="H50" s="11602" t="n"/>
      <c r="I50" s="11602" t="n"/>
      <c r="J50" s="11602" t="n"/>
      <c r="K50" s="11602" t="n"/>
      <c r="L50" s="11602" t="n"/>
      <c r="M50" s="11602" t="n"/>
      <c r="N50" s="11602" t="n"/>
      <c r="O50" s="11602" t="n"/>
      <c r="P50" s="11602" t="n"/>
      <c r="Q50" s="11602" t="n"/>
      <c r="R50" s="11602" t="n"/>
      <c r="S50" s="11602" t="n"/>
      <c r="T50" s="11602" t="n"/>
      <c r="U50" s="1401" t="inlineStr">
        <is>
          <t xml:space="preserve">.   .   .   .   .   .   .   .   .   .   .   .   .   .   .   .   .   .   .   .  </t>
        </is>
      </c>
      <c r="V50" s="6088" t="inlineStr">
        <is>
          <t>8v</t>
        </is>
      </c>
      <c r="W50" s="7571" t="n"/>
      <c r="X50" s="11717" t="n"/>
      <c r="Y50" s="11717" t="n"/>
      <c r="Z50" s="11717" t="n"/>
      <c r="AA50" s="11718" t="n"/>
      <c r="AB50" s="5884" t="n"/>
      <c r="AC50" s="7566">
        <f>ROUND(W50,0)</f>
        <v/>
      </c>
      <c r="AH50" s="1277" t="n"/>
      <c r="AI50" s="11602" t="n"/>
      <c r="AJ50" s="6608" t="n"/>
      <c r="AK50" s="2875" t="n"/>
      <c r="AL50" s="2875" t="n"/>
      <c r="AM50" s="2875" t="n"/>
      <c r="AN50" s="4644" t="n"/>
      <c r="AO50" s="4645" t="n"/>
      <c r="AP50" s="2875" t="n"/>
      <c r="AQ50" s="990">
        <f>IF(AO50="",0,AO50)</f>
        <v/>
      </c>
      <c r="AR50" s="769" t="n"/>
      <c r="AS50" s="769" t="n"/>
      <c r="AT50" s="769" t="n"/>
      <c r="AU50" s="769" t="n"/>
      <c r="AV50" s="769" t="n"/>
      <c r="AW50" s="769" t="n"/>
      <c r="AX50" s="769" t="n"/>
      <c r="AY50" s="769" t="n"/>
      <c r="AZ50" s="769" t="n"/>
      <c r="BA50" s="769" t="n"/>
      <c r="BB50" s="769" t="n"/>
    </row>
    <row r="51" ht="18.75" customHeight="1" s="7635">
      <c r="A51" s="1277" t="n"/>
      <c r="B51" s="11602" t="n"/>
      <c r="C51" s="8439" t="inlineStr">
        <is>
          <t>z</t>
        </is>
      </c>
      <c r="D51" s="7772" t="inlineStr">
        <is>
          <t>Other income.  List type and amount:</t>
        </is>
      </c>
      <c r="E51" s="7772" t="n"/>
      <c r="F51" s="11602" t="n"/>
      <c r="G51" s="11602" t="n"/>
      <c r="H51" s="11602" t="n"/>
      <c r="I51" s="11602" t="n"/>
      <c r="J51" s="11602" t="n"/>
      <c r="K51" s="11602" t="n"/>
      <c r="L51" s="11602" t="n"/>
      <c r="M51" s="7655" t="n"/>
      <c r="N51" s="11717" t="n"/>
      <c r="O51" s="11717" t="n"/>
      <c r="P51" s="11717" t="n"/>
      <c r="Q51" s="11717" t="n"/>
      <c r="R51" s="11717" t="n"/>
      <c r="S51" s="11717" t="n"/>
      <c r="T51" s="11717" t="n"/>
      <c r="U51" s="11602" t="n"/>
      <c r="V51" s="5890" t="n"/>
      <c r="W51" s="11938" t="n"/>
      <c r="X51" s="194" t="n"/>
      <c r="Y51" s="194" t="n"/>
      <c r="Z51" s="194" t="n"/>
      <c r="AA51" s="11726" t="n"/>
      <c r="AB51" s="5884" t="n"/>
      <c r="AC51" s="7566" t="n"/>
      <c r="AD51" s="5405" t="n"/>
      <c r="AE51" s="5405" t="n"/>
      <c r="AF51" s="5405" t="n"/>
      <c r="AG51" s="5405" t="n"/>
      <c r="AH51" s="1277" t="n"/>
      <c r="AI51" s="7657" t="inlineStr">
        <is>
          <t>Make line 8z entries to the right &gt;&gt;</t>
        </is>
      </c>
      <c r="AL51" s="2875" t="n"/>
      <c r="AM51" s="2875" t="n"/>
      <c r="AN51" s="4644" t="n"/>
      <c r="AO51" s="4645" t="n"/>
      <c r="AP51" s="2875" t="n"/>
      <c r="AQ51" s="990">
        <f>IF(AO51="",0,AO51)</f>
        <v/>
      </c>
      <c r="AR51" s="769" t="n"/>
      <c r="AS51" s="769" t="n"/>
      <c r="AT51" s="769" t="n"/>
      <c r="AU51" s="769" t="n"/>
      <c r="AV51" s="769" t="n"/>
      <c r="AW51" s="769" t="n"/>
      <c r="AX51" s="769" t="n"/>
      <c r="AY51" s="769" t="n"/>
      <c r="AZ51" s="769" t="n"/>
      <c r="BA51" s="769" t="n"/>
      <c r="BB51" s="769" t="n"/>
    </row>
    <row r="52" ht="18.75" customHeight="1" s="7635">
      <c r="A52" s="1277" t="n"/>
      <c r="B52" s="11602" t="n"/>
      <c r="C52" s="8439" t="n"/>
      <c r="D52" s="7564">
        <f>IF(F8889_Line20&gt;0,"HSA "&amp; TEXT(F8889_Line20,"$0"),"")</f>
        <v/>
      </c>
      <c r="E52" s="7637" t="n"/>
      <c r="F52" s="7637" t="n"/>
      <c r="G52" s="7637" t="n"/>
      <c r="H52" s="7637" t="n"/>
      <c r="I52" s="7637" t="n"/>
      <c r="J52" s="7637" t="n"/>
      <c r="K52" s="7637" t="n"/>
      <c r="L52" s="7637" t="n"/>
      <c r="M52" s="7637" t="n"/>
      <c r="N52" s="7637" t="n"/>
      <c r="O52" s="7637" t="n"/>
      <c r="P52" s="7637" t="n"/>
      <c r="Q52" s="7637" t="n"/>
      <c r="R52" s="7637" t="n"/>
      <c r="S52" s="7637" t="n"/>
      <c r="T52" s="7637" t="n"/>
      <c r="U52" s="11602" t="n"/>
      <c r="V52" s="5890" t="n"/>
      <c r="W52" s="11938" t="n"/>
      <c r="X52" s="194" t="n"/>
      <c r="Y52" s="194" t="n"/>
      <c r="Z52" s="194" t="n"/>
      <c r="AA52" s="11726" t="n"/>
      <c r="AB52" s="5884" t="n"/>
      <c r="AC52" s="7566">
        <f>IF(W52="",0,ROUND(W52,0))</f>
        <v/>
      </c>
      <c r="AH52" s="1277" t="n"/>
      <c r="AI52" s="11602" t="n"/>
      <c r="AJ52" s="6608" t="n"/>
      <c r="AK52" s="2875" t="n"/>
      <c r="AL52" s="2875" t="n"/>
      <c r="AM52" s="2875" t="n"/>
      <c r="AN52" s="4644" t="n"/>
      <c r="AO52" s="4645" t="n"/>
      <c r="AP52" s="2875" t="n"/>
      <c r="AQ52" s="990">
        <f>IF(AO52="",0,AO52)</f>
        <v/>
      </c>
      <c r="AR52" s="769" t="n"/>
      <c r="AS52" s="769" t="n"/>
      <c r="AT52" s="769" t="n"/>
      <c r="AU52" s="769" t="n"/>
      <c r="AV52" s="769" t="n"/>
      <c r="AW52" s="769" t="n"/>
      <c r="AX52" s="769" t="n"/>
      <c r="AY52" s="769" t="n"/>
      <c r="AZ52" s="769" t="n"/>
      <c r="BA52" s="769" t="n"/>
      <c r="BB52" s="769" t="n"/>
    </row>
    <row r="53" ht="18.75" customHeight="1" s="7635">
      <c r="A53" s="1277" t="n"/>
      <c r="B53" s="11602" t="n"/>
      <c r="C53" s="8439" t="n"/>
      <c r="D53" s="7593">
        <f>AN49&amp;" "&amp;AO58&amp;"    "&amp;AN50&amp;" "&amp;AO59&amp;"    "&amp;AN51&amp;" "&amp;AO60&amp;"    "&amp;AN52&amp;" "&amp;AO61&amp;"    "&amp;AN53&amp;" "&amp;AO62&amp;"    "&amp;AN54&amp;" "&amp;AO63&amp;"    "&amp;AN55&amp;" "&amp;AO64</f>
        <v/>
      </c>
      <c r="E53" s="8412" t="n"/>
      <c r="F53" s="8412" t="n"/>
      <c r="G53" s="8412" t="n"/>
      <c r="H53" s="8412" t="n"/>
      <c r="I53" s="8412" t="n"/>
      <c r="J53" s="8412" t="n"/>
      <c r="K53" s="8412" t="n"/>
      <c r="L53" s="8412" t="n"/>
      <c r="M53" s="8412" t="n"/>
      <c r="N53" s="8412" t="n"/>
      <c r="O53" s="8412" t="n"/>
      <c r="P53" s="8412" t="n"/>
      <c r="Q53" s="8412" t="n"/>
      <c r="R53" s="8412" t="n"/>
      <c r="S53" s="8412" t="n"/>
      <c r="T53" s="8412" t="n"/>
      <c r="U53" s="11602" t="n"/>
      <c r="V53" s="5372" t="inlineStr">
        <is>
          <t>8z</t>
        </is>
      </c>
      <c r="W53" s="7589">
        <f>IF(SUM(AQ49:AQ55)=0,"",SUM(AQ49:AQ55))</f>
        <v/>
      </c>
      <c r="X53" s="7637" t="n"/>
      <c r="Y53" s="7637" t="n"/>
      <c r="Z53" s="7637" t="n"/>
      <c r="AA53" s="7638" t="n"/>
      <c r="AB53" s="5884" t="n"/>
      <c r="AC53" s="7566">
        <f>IF(W53="",0,ROUND(W53,0))</f>
        <v/>
      </c>
      <c r="AH53" s="1277" t="n"/>
      <c r="AI53" s="11602" t="n"/>
      <c r="AJ53" s="6608" t="n"/>
      <c r="AK53" s="2875" t="n"/>
      <c r="AL53" s="2875" t="n"/>
      <c r="AM53" s="2875" t="n"/>
      <c r="AN53" s="4644" t="n"/>
      <c r="AO53" s="4645" t="n"/>
      <c r="AP53" s="2875" t="n"/>
      <c r="AQ53" s="990">
        <f>IF(AO53="",0,AO53)</f>
        <v/>
      </c>
      <c r="AR53" s="769" t="n"/>
      <c r="AS53" s="769" t="n"/>
      <c r="AT53" s="769" t="n"/>
      <c r="AU53" s="769" t="n"/>
      <c r="AV53" s="769" t="n"/>
      <c r="AW53" s="769" t="n"/>
      <c r="AX53" s="769" t="n"/>
      <c r="AY53" s="769" t="n"/>
      <c r="AZ53" s="769" t="n"/>
      <c r="BA53" s="769" t="n"/>
      <c r="BB53" s="769" t="n"/>
    </row>
    <row r="54" ht="18.75" customHeight="1" s="7635">
      <c r="A54" s="1277" t="n"/>
      <c r="B54" s="11602" t="n"/>
      <c r="C54" s="10886" t="n">
        <v>9</v>
      </c>
      <c r="D54" s="7772" t="inlineStr">
        <is>
          <t>Total other income. Add lines 8a through 8z</t>
        </is>
      </c>
      <c r="E54" s="11602" t="n"/>
      <c r="F54" s="11602" t="n"/>
      <c r="G54" s="11602" t="n"/>
      <c r="H54" s="11602" t="n"/>
      <c r="I54" s="11602" t="n"/>
      <c r="J54" s="11602" t="n"/>
      <c r="K54" s="11602" t="n"/>
      <c r="L54" s="11602" t="n"/>
      <c r="M54" s="11602" t="n"/>
      <c r="N54" s="11602" t="n"/>
      <c r="O54" s="11602" t="n"/>
      <c r="P54" s="11602" t="n"/>
      <c r="Q54" s="11602" t="n"/>
      <c r="R54" s="11602" t="n"/>
      <c r="S54" s="11602" t="n"/>
      <c r="T54" s="11602" t="n"/>
      <c r="U54" s="11602" t="n"/>
      <c r="V54" s="11602" t="n"/>
      <c r="W54" s="11602" t="n"/>
      <c r="X54" s="11602" t="n"/>
      <c r="Y54" s="11602" t="n"/>
      <c r="Z54" s="11602" t="n"/>
      <c r="AA54" s="1401" t="inlineStr">
        <is>
          <t xml:space="preserve">.   .   .   .   .   .   .   .   .   .   .   .   .   .   .   .   .   .   .  </t>
        </is>
      </c>
      <c r="AB54" s="8389" t="n">
        <v>9</v>
      </c>
      <c r="AC54" s="7595">
        <f>IF(AK54&lt;&gt;"",ROUND(AK54,0),SUM(AC25:AC34,AC35,AC37:AC50,AC53))</f>
        <v/>
      </c>
      <c r="AD54" s="7637" t="n"/>
      <c r="AE54" s="7637" t="n"/>
      <c r="AF54" s="7637" t="n"/>
      <c r="AG54" s="7637" t="n"/>
      <c r="AH54" s="1277" t="n"/>
      <c r="AI54" s="11602" t="n"/>
      <c r="AJ54" s="6608" t="n"/>
      <c r="AK54" s="6135" t="n"/>
      <c r="AL54" s="2875" t="n"/>
      <c r="AM54" s="6089" t="inlineStr">
        <is>
          <t xml:space="preserve">From 1099-G, line 5  </t>
        </is>
      </c>
      <c r="AN54" s="6090">
        <f>IF(RTAApayments&gt;0,"RTAA","")</f>
        <v/>
      </c>
      <c r="AO54" s="4125">
        <f>IF(RTAApayments&gt;0,RTAApayments,"")</f>
        <v/>
      </c>
      <c r="AP54" s="2875" t="n"/>
      <c r="AQ54" s="990">
        <f>IF(AO54="",0,AO54)</f>
        <v/>
      </c>
      <c r="AR54" s="769" t="n"/>
      <c r="AS54" s="769" t="n"/>
      <c r="AT54" s="769" t="n"/>
      <c r="AU54" s="769" t="n"/>
      <c r="AV54" s="769" t="n"/>
      <c r="AW54" s="769" t="n"/>
      <c r="AX54" s="769" t="n"/>
      <c r="AY54" s="769" t="n"/>
      <c r="AZ54" s="769" t="n"/>
      <c r="BA54" s="769" t="n"/>
      <c r="BB54" s="769" t="n"/>
    </row>
    <row r="55" ht="18.75" customHeight="1" s="7635" thickBot="1">
      <c r="A55" s="1277" t="n"/>
      <c r="B55" s="11602" t="n"/>
      <c r="C55" s="10886" t="n">
        <v>10</v>
      </c>
      <c r="D55" s="7772" t="inlineStr">
        <is>
          <t>Combine lines 1 through 7 and 9. This is your additional income. Enter here and on Form 1040,</t>
        </is>
      </c>
      <c r="E55" s="11602" t="n"/>
      <c r="F55" s="11602" t="n"/>
      <c r="G55" s="11602" t="n"/>
      <c r="H55" s="11602" t="n"/>
      <c r="I55" s="580" t="n"/>
      <c r="J55" s="11602" t="n"/>
      <c r="K55" s="11602" t="n"/>
      <c r="L55" s="11602" t="n"/>
      <c r="M55" s="11602" t="n"/>
      <c r="N55" s="11602" t="n"/>
      <c r="O55" s="1218" t="n"/>
      <c r="P55" s="2373" t="n"/>
      <c r="Q55" s="11602" t="n"/>
      <c r="R55" s="11602" t="n"/>
      <c r="S55" s="11602" t="n"/>
      <c r="T55" s="11602" t="n"/>
      <c r="U55" s="11602" t="n"/>
      <c r="V55" s="11943" t="n"/>
      <c r="W55" s="11944" t="n"/>
      <c r="X55" s="11944" t="n"/>
      <c r="Y55" s="11944" t="n"/>
      <c r="Z55" s="11944" t="n"/>
      <c r="AA55" s="11602" t="n"/>
      <c r="AB55" s="4454" t="n"/>
      <c r="AC55" s="7602">
        <f>ROUND(AC54,0)</f>
        <v/>
      </c>
      <c r="AD55" s="7839" t="n"/>
      <c r="AE55" s="7839" t="n"/>
      <c r="AF55" s="7839" t="n"/>
      <c r="AG55" s="7839" t="n"/>
      <c r="AH55" s="1277" t="n"/>
      <c r="AI55" s="4213" t="n"/>
      <c r="AJ55" s="6610" t="n"/>
      <c r="AK55" s="2875" t="n"/>
      <c r="AL55" s="2875" t="n"/>
      <c r="AM55" s="6089" t="inlineStr">
        <is>
          <t xml:space="preserve">From 1099-G, line 6  </t>
        </is>
      </c>
      <c r="AN55" s="6091">
        <f>IF(F1099G_TaxGrants&gt;0,"TFG","")</f>
        <v/>
      </c>
      <c r="AO55" s="4126">
        <f>IF(F1099G_TaxGrants&gt;0,F1099G_TaxGrants,"")</f>
        <v/>
      </c>
      <c r="AP55" s="2875" t="n"/>
      <c r="AQ55" s="990">
        <f>IF(AO55="",0,AO55)</f>
        <v/>
      </c>
      <c r="AR55" s="769" t="n"/>
      <c r="AS55" s="769" t="n"/>
      <c r="AT55" s="769" t="n"/>
      <c r="AU55" s="769" t="n"/>
      <c r="AV55" s="769" t="n"/>
      <c r="AW55" s="769" t="n"/>
      <c r="AX55" s="769" t="n"/>
      <c r="AY55" s="769" t="n"/>
      <c r="AZ55" s="769" t="n"/>
      <c r="BA55" s="769" t="n"/>
      <c r="BB55" s="769" t="n"/>
    </row>
    <row r="56" ht="18.75" customHeight="1" s="7635" thickBot="1">
      <c r="A56" s="1277" t="n"/>
      <c r="B56" s="721" t="n"/>
      <c r="C56" s="6092" t="n"/>
      <c r="D56" s="5710" t="inlineStr">
        <is>
          <t>1040-SR, or 1040-NR, line 8</t>
        </is>
      </c>
      <c r="E56" s="721" t="n"/>
      <c r="F56" s="721" t="n"/>
      <c r="G56" s="721" t="n"/>
      <c r="H56" s="721" t="n"/>
      <c r="I56" s="721" t="n"/>
      <c r="J56" s="721" t="n"/>
      <c r="K56" s="721" t="n"/>
      <c r="L56" s="721" t="n"/>
      <c r="M56" s="721" t="n"/>
      <c r="N56" s="721" t="n"/>
      <c r="O56" s="4460" t="n"/>
      <c r="P56" s="4461" t="n"/>
      <c r="Q56" s="721" t="n"/>
      <c r="R56" s="721" t="n"/>
      <c r="S56" s="721" t="n"/>
      <c r="T56" s="721" t="n"/>
      <c r="U56" s="721" t="n"/>
      <c r="V56" s="721" t="n"/>
      <c r="W56" s="721" t="n"/>
      <c r="X56" s="721" t="n"/>
      <c r="Y56" s="721" t="n"/>
      <c r="Z56" s="721" t="n"/>
      <c r="AA56" s="1401" t="inlineStr">
        <is>
          <t xml:space="preserve">.   .   .   .   .   .   .   .   .   .   .   .   .   .   .   .   .   .   .   .   .   .   .   .   .   .   .   .   .   .  </t>
        </is>
      </c>
      <c r="AB56" s="4463" t="n">
        <v>10</v>
      </c>
      <c r="AC56" s="7663">
        <f>IF(AK56&lt;&gt;"",ROUND(AK56,0),SUM(AC15,AC16,BusinessIncomeLoss,ROUND(AC19,0),SchE_IncomeLoss,FarmIncomeLoss,UnEmploymentComp,OtherIncome))</f>
        <v/>
      </c>
      <c r="AD56" s="11705" t="n"/>
      <c r="AE56" s="11705" t="n"/>
      <c r="AF56" s="11705" t="n"/>
      <c r="AG56" s="11705" t="n"/>
      <c r="AH56" s="1277" t="n"/>
      <c r="AI56" s="11602" t="n"/>
      <c r="AJ56" s="6608" t="n"/>
      <c r="AK56" s="6135" t="n"/>
      <c r="AL56" s="2875" t="n"/>
      <c r="AM56" s="2875" t="n"/>
      <c r="AN56" s="2875" t="n"/>
      <c r="AO56" s="2875" t="n"/>
      <c r="AP56" s="2875" t="n"/>
      <c r="AQ56" s="11602" t="n"/>
      <c r="AR56" s="769" t="n"/>
      <c r="AS56" s="769" t="n"/>
      <c r="AT56" s="769" t="n"/>
      <c r="AU56" s="769" t="n"/>
      <c r="AV56" s="769" t="n"/>
      <c r="AW56" s="769" t="n"/>
      <c r="AX56" s="769" t="n"/>
      <c r="AY56" s="769" t="n"/>
      <c r="AZ56" s="769" t="n"/>
      <c r="BA56" s="769" t="n"/>
      <c r="BB56" s="769" t="n"/>
    </row>
    <row r="57" ht="14.25" customHeight="1" s="7635" thickTop="1">
      <c r="A57" s="1277" t="n"/>
      <c r="B57" s="6093" t="inlineStr">
        <is>
          <t>For Paperwork Reduction Act Notice, see your tax return instructions.</t>
        </is>
      </c>
      <c r="C57" s="5895" t="n"/>
      <c r="D57" s="257" t="n"/>
      <c r="E57" s="257" t="n"/>
      <c r="F57" s="257" t="n"/>
      <c r="G57" s="257" t="n"/>
      <c r="H57" s="257" t="n"/>
      <c r="I57" s="257" t="n"/>
      <c r="J57" s="257" t="n"/>
      <c r="K57" s="257" t="n"/>
      <c r="L57" s="257" t="n"/>
      <c r="M57" s="257" t="n"/>
      <c r="N57" s="257" t="n"/>
      <c r="O57" s="257" t="n"/>
      <c r="P57" s="257" t="n"/>
      <c r="Q57" s="257" t="n"/>
      <c r="R57" s="257" t="n"/>
      <c r="S57" s="257" t="n"/>
      <c r="T57" s="5896" t="n"/>
      <c r="U57" s="5896" t="inlineStr">
        <is>
          <t>Cat. No. 71479F</t>
        </is>
      </c>
      <c r="V57" s="257" t="n"/>
      <c r="W57" s="2279" t="n"/>
      <c r="X57" s="257" t="n"/>
      <c r="Y57" s="257" t="n"/>
      <c r="Z57" s="257" t="n"/>
      <c r="AA57" s="257" t="n"/>
      <c r="AB57" s="257" t="n"/>
      <c r="AC57" s="257" t="n"/>
      <c r="AD57" s="257" t="n"/>
      <c r="AE57" s="257" t="n"/>
      <c r="AF57" s="257" t="n"/>
      <c r="AG57" s="5897">
        <f>"Schedule 1 (Form 1040) "&amp;TaxYear</f>
        <v/>
      </c>
      <c r="AH57" s="1277" t="n"/>
      <c r="AI57" s="11602" t="n"/>
      <c r="AJ57" s="6608" t="n"/>
      <c r="AK57" s="2875" t="n"/>
      <c r="AL57" s="3819" t="n">
        <v>300</v>
      </c>
      <c r="AM57" s="3819" t="n">
        <v>600</v>
      </c>
      <c r="AN57" s="3819">
        <f>IF(File_Marr_Joint&lt;&gt;"",AM57,AL57)</f>
        <v/>
      </c>
      <c r="AO57" s="6094">
        <f>EducatorExpenses&gt;AN57</f>
        <v/>
      </c>
      <c r="AP57" s="11602" t="n"/>
      <c r="AQ57" s="11602" t="n"/>
      <c r="AR57" s="769" t="n"/>
      <c r="AS57" s="769" t="n"/>
      <c r="AT57" s="769" t="n"/>
      <c r="AU57" s="769" t="n"/>
      <c r="AV57" s="769" t="n"/>
      <c r="AW57" s="769" t="n"/>
      <c r="AX57" s="769" t="n"/>
      <c r="AY57" s="769" t="n"/>
      <c r="AZ57" s="769" t="n"/>
      <c r="BA57" s="769" t="n"/>
      <c r="BB57" s="769" t="n"/>
    </row>
    <row r="58" ht="17.25" customHeight="1" s="7635" thickBot="1">
      <c r="A58" s="1277" t="n"/>
      <c r="B58" s="5898">
        <f>"Schedule 1 (Form 1040)  " &amp; TaxYear</f>
        <v/>
      </c>
      <c r="C58" s="5386" t="n"/>
      <c r="D58" s="380" t="n"/>
      <c r="E58" s="380" t="n"/>
      <c r="F58" s="380" t="n"/>
      <c r="G58" s="380" t="n"/>
      <c r="H58" s="380" t="n"/>
      <c r="I58" s="380" t="n"/>
      <c r="J58" s="380" t="n"/>
      <c r="K58" s="380" t="n"/>
      <c r="L58" s="380" t="n"/>
      <c r="M58" s="380" t="n"/>
      <c r="N58" s="380" t="n"/>
      <c r="O58" s="380" t="n"/>
      <c r="P58" s="380" t="n"/>
      <c r="Q58" s="380" t="n"/>
      <c r="R58" s="380" t="n"/>
      <c r="S58" s="380" t="n"/>
      <c r="T58" s="348" t="n"/>
      <c r="U58" s="348" t="n"/>
      <c r="V58" s="380" t="n"/>
      <c r="W58" s="2266" t="n"/>
      <c r="X58" s="380" t="n"/>
      <c r="Y58" s="380" t="n"/>
      <c r="Z58" s="380" t="n"/>
      <c r="AA58" s="380" t="n"/>
      <c r="AB58" s="380" t="n"/>
      <c r="AC58" s="380" t="n"/>
      <c r="AD58" s="380" t="n"/>
      <c r="AE58" s="380" t="n"/>
      <c r="AF58" s="380" t="n"/>
      <c r="AG58" s="4188" t="inlineStr">
        <is>
          <t>Page 2</t>
        </is>
      </c>
      <c r="AH58" s="1277" t="n"/>
      <c r="AI58" s="11602" t="n"/>
      <c r="AJ58" s="6608" t="n"/>
      <c r="AK58" s="7658">
        <f>IF(AO57,"For your filing status, this amount is limited to "&amp;TEXT(AN57,"$0")&amp;".","")</f>
        <v/>
      </c>
      <c r="AL58" s="512" t="n"/>
      <c r="AM58" s="2516" t="n"/>
      <c r="AN58" s="512" t="n"/>
      <c r="AO58" s="5900">
        <f>IF(AO49="","",IF(AO49&gt;999,TEXT(AO49,"$0,000"),TEXT(AO49,"$0")))</f>
        <v/>
      </c>
      <c r="AP58" s="11602" t="n"/>
      <c r="AQ58" s="11602" t="n"/>
      <c r="AR58" s="769" t="n"/>
      <c r="AS58" s="769" t="n"/>
      <c r="AT58" s="769" t="n"/>
      <c r="AU58" s="769" t="n"/>
      <c r="AV58" s="769" t="n"/>
      <c r="AW58" s="769" t="n"/>
      <c r="AX58" s="769" t="n"/>
      <c r="AY58" s="769" t="n"/>
      <c r="AZ58" s="769" t="n"/>
      <c r="BA58" s="769" t="n"/>
      <c r="BB58" s="769" t="n"/>
    </row>
    <row r="59" ht="21" customHeight="1" s="7635">
      <c r="A59" s="1277" t="n"/>
      <c r="B59" s="7597" t="inlineStr">
        <is>
          <t>Part II</t>
        </is>
      </c>
      <c r="E59" s="2009" t="n"/>
      <c r="F59" s="5388" t="inlineStr">
        <is>
          <t>Adjustments to Income</t>
        </is>
      </c>
      <c r="G59" s="2009" t="n"/>
      <c r="H59" s="2009" t="n"/>
      <c r="I59" s="2009" t="n"/>
      <c r="J59" s="2009" t="n"/>
      <c r="K59" s="2009" t="n"/>
      <c r="L59" s="413" t="n"/>
      <c r="M59" s="413" t="n"/>
      <c r="N59" s="413" t="n"/>
      <c r="O59" s="413" t="n"/>
      <c r="P59" s="413" t="n"/>
      <c r="Q59" s="413" t="n"/>
      <c r="R59" s="413" t="n"/>
      <c r="S59" s="413" t="n"/>
      <c r="T59" s="413" t="n"/>
      <c r="U59" s="413" t="n"/>
      <c r="V59" s="413" t="n"/>
      <c r="W59" s="413" t="n"/>
      <c r="X59" s="7601" t="n"/>
      <c r="Y59" s="7637" t="n"/>
      <c r="Z59" s="7637" t="n"/>
      <c r="AA59" s="7637" t="n"/>
      <c r="AB59" s="1996" t="n"/>
      <c r="AC59" s="7601" t="n"/>
      <c r="AD59" s="7637" t="n"/>
      <c r="AE59" s="7637" t="n"/>
      <c r="AF59" s="7637" t="n"/>
      <c r="AG59" s="7637" t="n"/>
      <c r="AH59" s="1277" t="n"/>
      <c r="AI59" s="11602" t="n"/>
      <c r="AJ59" s="6608" t="n"/>
      <c r="AL59" s="512" t="n"/>
      <c r="AM59" s="512">
        <f>IF(OR(F8889_Line16&gt;0,F8889_Line20),"HSA = "&amp;TEXT(SUM(F8889_Line16,F8889_Line20),"$0"),"")</f>
        <v/>
      </c>
      <c r="AN59" s="512" t="n"/>
      <c r="AO59" s="5900">
        <f>IF(AO50="","",IF(AO50&gt;999,TEXT(AO50,"$0,000"),TEXT(AO50,"$0")))</f>
        <v/>
      </c>
      <c r="AP59" s="11602" t="n"/>
      <c r="AQ59" s="11602" t="n"/>
      <c r="AR59" s="769" t="n"/>
      <c r="AS59" s="769" t="n"/>
      <c r="AT59" s="769" t="n"/>
      <c r="AU59" s="769" t="n"/>
      <c r="AV59" s="769" t="n"/>
      <c r="AW59" s="769" t="n"/>
      <c r="AX59" s="769" t="n"/>
      <c r="AY59" s="769" t="n"/>
      <c r="AZ59" s="769" t="n"/>
      <c r="BA59" s="769" t="n"/>
      <c r="BB59" s="769" t="n"/>
    </row>
    <row r="60" ht="18.75" customHeight="1" s="7635">
      <c r="A60" s="1277" t="n"/>
      <c r="B60" s="8650" t="n"/>
      <c r="C60" s="8439" t="n">
        <v>11</v>
      </c>
      <c r="D60" s="7772" t="inlineStr">
        <is>
          <t>Educator expenses</t>
        </is>
      </c>
      <c r="E60" s="11602" t="n"/>
      <c r="F60" s="11602" t="n"/>
      <c r="G60" s="11602" t="n"/>
      <c r="H60" s="11602" t="n"/>
      <c r="I60" s="11602" t="n"/>
      <c r="J60" s="11602" t="n"/>
      <c r="K60" s="11602" t="n"/>
      <c r="L60" s="11602" t="n"/>
      <c r="M60" s="11602" t="n"/>
      <c r="N60" s="11602" t="n"/>
      <c r="O60" s="11602" t="n"/>
      <c r="P60" s="11602" t="n"/>
      <c r="Q60" s="11602" t="n"/>
      <c r="R60" s="1401" t="n"/>
      <c r="S60" s="1218" t="n"/>
      <c r="T60" s="2373" t="n"/>
      <c r="U60" s="11602" t="n"/>
      <c r="V60" s="9766" t="n"/>
      <c r="W60" s="2903" t="n"/>
      <c r="X60" s="2903" t="n"/>
      <c r="Y60" s="2903" t="n"/>
      <c r="Z60" s="2903" t="n"/>
      <c r="AA60" s="1657" t="inlineStr">
        <is>
          <t xml:space="preserve"> .   .   .   .   .   .   .   .   .   .   .   .   .   .   .   .   .   .   .   .   .   .   .   .   .   .   .  </t>
        </is>
      </c>
      <c r="AB60" s="10008" t="n">
        <v>11</v>
      </c>
      <c r="AC60" s="7575" t="n"/>
      <c r="AD60" s="8007" t="n"/>
      <c r="AE60" s="8007" t="n"/>
      <c r="AF60" s="8007" t="n"/>
      <c r="AG60" s="8007" t="n"/>
      <c r="AH60" s="1277" t="n"/>
      <c r="AI60" s="11602" t="n"/>
      <c r="AJ60" s="6608">
        <f>ROUND(AC60,0)</f>
        <v/>
      </c>
      <c r="AL60" s="512" t="n"/>
      <c r="AM60" s="514" t="inlineStr">
        <is>
          <t>Source:</t>
        </is>
      </c>
      <c r="AN60" s="512" t="n"/>
      <c r="AO60" s="5900">
        <f>IF(AO51="","",IF(AO51&gt;999,TEXT(AO51,"$0,000"),TEXT(AO51,"$0")))</f>
        <v/>
      </c>
      <c r="AP60" s="11602" t="n"/>
      <c r="AQ60" s="11602" t="n"/>
      <c r="AR60" s="769" t="n"/>
      <c r="AS60" s="769" t="n"/>
      <c r="AT60" s="769" t="n"/>
      <c r="AU60" s="769" t="n"/>
      <c r="AV60" s="769" t="n"/>
      <c r="AW60" s="769" t="n"/>
      <c r="AX60" s="769" t="n"/>
      <c r="AY60" s="769" t="n"/>
      <c r="AZ60" s="769" t="n"/>
      <c r="BA60" s="769" t="n"/>
      <c r="BB60" s="769" t="n"/>
    </row>
    <row r="61" ht="18.75" customHeight="1" s="7635">
      <c r="A61" s="1277" t="n"/>
      <c r="B61" s="8650" t="n"/>
      <c r="C61" s="8439" t="n">
        <v>12</v>
      </c>
      <c r="D61" s="7772" t="inlineStr">
        <is>
          <t>Certain business expenses of reservists, performing artists, and fee-basis government officials. Attach</t>
        </is>
      </c>
      <c r="E61" s="11602" t="n"/>
      <c r="F61" s="11602" t="n"/>
      <c r="G61" s="11602" t="n"/>
      <c r="H61" s="11602" t="n"/>
      <c r="I61" s="11602" t="n"/>
      <c r="J61" s="11602" t="n"/>
      <c r="K61" s="11602" t="n"/>
      <c r="L61" s="11602" t="n"/>
      <c r="M61" s="11602" t="n"/>
      <c r="N61" s="11602" t="n"/>
      <c r="O61" s="11602" t="n"/>
      <c r="P61" s="11602" t="n"/>
      <c r="Q61" s="11602" t="n"/>
      <c r="R61" s="11602" t="n"/>
      <c r="S61" s="1218" t="n"/>
      <c r="T61" s="2373" t="n"/>
      <c r="U61" s="11602" t="n"/>
      <c r="V61" s="7914" t="n"/>
      <c r="W61" s="11602" t="n"/>
      <c r="X61" s="11602" t="n"/>
      <c r="Y61" s="11602" t="n"/>
      <c r="Z61" s="11602" t="n"/>
      <c r="AA61" s="1657" t="n"/>
      <c r="AB61" s="4452" t="n"/>
      <c r="AC61" s="7599" t="n"/>
      <c r="AD61" s="7839" t="n"/>
      <c r="AE61" s="7839" t="n"/>
      <c r="AF61" s="7839" t="n"/>
      <c r="AG61" s="7839" t="n"/>
      <c r="AH61" s="1277" t="n"/>
      <c r="AI61" s="11602" t="n"/>
      <c r="AJ61" s="6608" t="n"/>
      <c r="AL61" s="512" t="n"/>
      <c r="AM61" s="512" t="n"/>
      <c r="AN61" s="512" t="n"/>
      <c r="AO61" s="5900">
        <f>IF(AO52="","",IF(AO52&gt;999,TEXT(AO52,"$0,000"),TEXT(AO52,"$0")))</f>
        <v/>
      </c>
      <c r="AP61" s="11602" t="n"/>
      <c r="AQ61" s="11602" t="n"/>
      <c r="AR61" s="769" t="n"/>
      <c r="AS61" s="769" t="n"/>
      <c r="AT61" s="769" t="n"/>
      <c r="AU61" s="769" t="n"/>
      <c r="AV61" s="769" t="n"/>
      <c r="AW61" s="769" t="n"/>
      <c r="AX61" s="769" t="n"/>
      <c r="AY61" s="769" t="n"/>
      <c r="AZ61" s="769" t="n"/>
      <c r="BA61" s="769" t="n"/>
      <c r="BB61" s="769" t="n"/>
    </row>
    <row r="62" ht="18.75" customHeight="1" s="7635">
      <c r="A62" s="1277" t="n"/>
      <c r="B62" s="8650" t="n"/>
      <c r="C62" s="8439" t="n"/>
      <c r="D62" s="7772" t="inlineStr">
        <is>
          <t>Form 2106</t>
        </is>
      </c>
      <c r="E62" s="11602" t="n"/>
      <c r="F62" s="11602" t="n"/>
      <c r="G62" s="11602" t="n"/>
      <c r="H62" s="11602" t="n"/>
      <c r="I62" s="11602" t="n"/>
      <c r="J62" s="11602" t="n"/>
      <c r="K62" s="11602" t="n"/>
      <c r="L62" s="11602" t="n"/>
      <c r="M62" s="11602" t="n"/>
      <c r="N62" s="11602" t="n"/>
      <c r="O62" s="11602" t="n"/>
      <c r="P62" s="11602" t="n"/>
      <c r="Q62" s="11602" t="n"/>
      <c r="R62" s="1401" t="n"/>
      <c r="S62" s="1218" t="n"/>
      <c r="T62" s="2373" t="n"/>
      <c r="U62" s="11602" t="n"/>
      <c r="V62" s="7914" t="n"/>
      <c r="W62" s="1991" t="n"/>
      <c r="X62" s="1991" t="n"/>
      <c r="Y62" s="1991" t="n"/>
      <c r="Z62" s="1991" t="n"/>
      <c r="AA62" s="1657" t="inlineStr">
        <is>
          <t xml:space="preserve">.   .   .   .   .   .   .   .   .   .   .   .   .   .   .   .   .   .   .   .   .   .   .   .   .   .   .   .   .   .   .   .   .   .   .   .   .  </t>
        </is>
      </c>
      <c r="AB62" s="8389" t="n">
        <v>12</v>
      </c>
      <c r="AC62" s="7575" t="n"/>
      <c r="AD62" s="8007" t="n"/>
      <c r="AE62" s="8007" t="n"/>
      <c r="AF62" s="8007" t="n"/>
      <c r="AG62" s="8007" t="n"/>
      <c r="AH62" s="1277" t="n"/>
      <c r="AI62" s="11602" t="n"/>
      <c r="AJ62" s="6608">
        <f>ROUND(AC62,0)</f>
        <v/>
      </c>
      <c r="AK62" s="2875" t="n"/>
      <c r="AL62" s="724" t="n"/>
      <c r="AM62" s="344" t="n"/>
      <c r="AN62" s="724" t="n"/>
      <c r="AO62" s="5900">
        <f>IF(AO53="","",IF(AO53&gt;999,TEXT(AO53,"$0,000"),TEXT(AO53,"$0")))</f>
        <v/>
      </c>
      <c r="AP62" s="11602" t="n"/>
      <c r="AQ62" s="11602" t="n"/>
      <c r="AR62" s="769" t="n"/>
      <c r="AS62" s="769" t="n"/>
      <c r="AT62" s="769" t="n"/>
      <c r="AU62" s="769" t="n"/>
      <c r="AV62" s="769" t="n"/>
      <c r="AW62" s="769" t="n"/>
      <c r="AX62" s="769" t="n"/>
      <c r="AY62" s="769" t="n"/>
      <c r="AZ62" s="769" t="n"/>
      <c r="BA62" s="769" t="n"/>
      <c r="BB62" s="769" t="n"/>
    </row>
    <row r="63" ht="18.75" customHeight="1" s="7635">
      <c r="A63" s="1277" t="n"/>
      <c r="B63" s="8650" t="n"/>
      <c r="C63" s="8439" t="n">
        <v>13</v>
      </c>
      <c r="D63" s="7772" t="inlineStr">
        <is>
          <t>Health savings account deduction. Attach Form 8889</t>
        </is>
      </c>
      <c r="E63" s="11602" t="n"/>
      <c r="F63" s="11602" t="n"/>
      <c r="G63" s="11602" t="n"/>
      <c r="H63" s="11602" t="n"/>
      <c r="I63" s="11602" t="n"/>
      <c r="J63" s="11602" t="n"/>
      <c r="K63" s="11602" t="n"/>
      <c r="L63" s="11602" t="n"/>
      <c r="M63" s="11602" t="n"/>
      <c r="N63" s="11602" t="n"/>
      <c r="O63" s="11602" t="n"/>
      <c r="P63" s="11602" t="n"/>
      <c r="Q63" s="11602" t="n"/>
      <c r="R63" s="1401" t="n"/>
      <c r="S63" s="1218" t="n"/>
      <c r="T63" s="2373" t="n"/>
      <c r="U63" s="11602" t="n"/>
      <c r="V63" s="7914" t="n"/>
      <c r="W63" s="1991" t="n"/>
      <c r="X63" s="851" t="n"/>
      <c r="Y63" s="851" t="n"/>
      <c r="Z63" s="851" t="n"/>
      <c r="AA63" s="1657" t="inlineStr">
        <is>
          <t xml:space="preserve">.   .   .   .   .   .   .   .   .   .   .   .  </t>
        </is>
      </c>
      <c r="AB63" s="10008" t="n">
        <v>13</v>
      </c>
      <c r="AC63" s="7572">
        <f>IF(AK63&lt;&gt;"",ROUND(AK63,0),F8889_Line13)</f>
        <v/>
      </c>
      <c r="AD63" s="8412" t="n"/>
      <c r="AE63" s="8412" t="n"/>
      <c r="AF63" s="8412" t="n"/>
      <c r="AG63" s="8412" t="n"/>
      <c r="AH63" s="1277" t="n"/>
      <c r="AI63" s="11602" t="n"/>
      <c r="AJ63" s="6608">
        <f>AC63</f>
        <v/>
      </c>
      <c r="AK63" s="6135" t="n"/>
      <c r="AL63" s="11602" t="n"/>
      <c r="AM63" s="344" t="inlineStr">
        <is>
          <t>Sheet "8889", line 13</t>
        </is>
      </c>
      <c r="AN63" s="11602" t="n"/>
      <c r="AO63" s="6993">
        <f>IF(AO54="","",IF(AO54&gt;999,TEXT(AO54,"$0,000"),TEXT(AO54,"$0")))</f>
        <v/>
      </c>
      <c r="AP63" s="11602" t="n"/>
      <c r="AQ63" s="11602" t="n"/>
      <c r="AR63" s="769" t="n"/>
      <c r="AS63" s="769" t="n"/>
      <c r="AT63" s="769" t="n"/>
      <c r="AU63" s="769" t="n"/>
      <c r="AV63" s="769" t="n"/>
      <c r="AW63" s="769" t="n"/>
      <c r="AX63" s="769" t="n"/>
      <c r="AY63" s="769" t="n"/>
      <c r="AZ63" s="769" t="n"/>
      <c r="BA63" s="769" t="n"/>
      <c r="BB63" s="769" t="n"/>
    </row>
    <row r="64" ht="18.75" customHeight="1" s="7635">
      <c r="A64" s="1277" t="n"/>
      <c r="B64" s="8650" t="n"/>
      <c r="C64" s="8439" t="n">
        <v>14</v>
      </c>
      <c r="D64" s="7772" t="inlineStr">
        <is>
          <t>Moving expenses for members of the Armed Forces. Attach Form 3903. If claiming only storage fees</t>
        </is>
      </c>
      <c r="E64" s="11602" t="n"/>
      <c r="F64" s="11602" t="n"/>
      <c r="G64" s="11602" t="n"/>
      <c r="H64" s="11602" t="n"/>
      <c r="I64" s="11602" t="n"/>
      <c r="J64" s="11602" t="n"/>
      <c r="K64" s="11602" t="n"/>
      <c r="L64" s="11602" t="n"/>
      <c r="M64" s="11602" t="n"/>
      <c r="N64" s="11602" t="n"/>
      <c r="O64" s="11602" t="n"/>
      <c r="P64" s="11602" t="n"/>
      <c r="Q64" s="11602" t="n"/>
      <c r="R64" s="1401" t="n"/>
      <c r="S64" s="1218" t="n"/>
      <c r="T64" s="2373" t="n"/>
      <c r="U64" s="11602" t="n"/>
      <c r="V64" s="7914" t="n"/>
      <c r="W64" s="11602" t="n"/>
      <c r="X64" s="11602" t="n"/>
      <c r="Y64" s="11602" t="n"/>
      <c r="Z64" s="11602" t="n"/>
      <c r="AA64" s="1657" t="n"/>
      <c r="AB64" s="4452" t="n"/>
      <c r="AC64" s="7599" t="n"/>
      <c r="AD64" s="7839" t="n"/>
      <c r="AE64" s="7839" t="n"/>
      <c r="AF64" s="7839" t="n"/>
      <c r="AG64" s="7839" t="n"/>
      <c r="AH64" s="1277" t="n"/>
      <c r="AI64" s="11602" t="n"/>
      <c r="AJ64" s="6608" t="n"/>
      <c r="AK64" s="2875" t="n"/>
      <c r="AL64" s="11602" t="n"/>
      <c r="AM64" s="11602" t="n"/>
      <c r="AN64" s="11602" t="n"/>
      <c r="AO64" s="6993">
        <f>IF(AO55="","",IF(AO55&gt;999,TEXT(AO55,"$0,000"),TEXT(AO55,"$0")))</f>
        <v/>
      </c>
      <c r="AP64" s="11602" t="n"/>
      <c r="AQ64" s="11602" t="n"/>
      <c r="AR64" s="769" t="n"/>
      <c r="AS64" s="769" t="n"/>
      <c r="AT64" s="769" t="n"/>
      <c r="AU64" s="769" t="n"/>
      <c r="AV64" s="769" t="n"/>
      <c r="AW64" s="769" t="n"/>
      <c r="AX64" s="769" t="n"/>
      <c r="AY64" s="769" t="n"/>
      <c r="AZ64" s="769" t="n"/>
      <c r="BA64" s="769" t="n"/>
      <c r="BB64" s="769" t="n"/>
    </row>
    <row r="65" ht="18.75" customHeight="1" s="7635">
      <c r="A65" s="1277" t="n"/>
      <c r="B65" s="8650" t="n"/>
      <c r="C65" s="8439" t="n"/>
      <c r="D65" s="7772" t="inlineStr">
        <is>
          <t>(see instructions), check here</t>
        </is>
      </c>
      <c r="E65" s="11602" t="n"/>
      <c r="F65" s="11602" t="n"/>
      <c r="G65" s="11602" t="n"/>
      <c r="H65" s="11602" t="n"/>
      <c r="I65" s="11602" t="n"/>
      <c r="J65" s="11602" t="n"/>
      <c r="K65" s="1111" t="n"/>
      <c r="L65" s="11602" t="n"/>
      <c r="M65" s="11602" t="n"/>
      <c r="N65" s="11602" t="n"/>
      <c r="O65" s="11602" t="n"/>
      <c r="P65" s="11602" t="n"/>
      <c r="Q65" s="11602" t="n"/>
      <c r="R65" s="1401" t="n"/>
      <c r="S65" s="1218" t="n"/>
      <c r="T65" s="2373" t="n"/>
      <c r="U65" s="11602" t="n"/>
      <c r="V65" s="7914" t="n"/>
      <c r="W65" s="11602" t="n"/>
      <c r="X65" s="11602" t="n"/>
      <c r="Y65" s="11602" t="n"/>
      <c r="Z65" s="11602" t="n"/>
      <c r="AA65" s="1657" t="inlineStr">
        <is>
          <t xml:space="preserve">.   .   .   .   .   .   .   .   .   .   .   .   .   .   .   .   .   .   .   .   .   .   .   .   .   .  </t>
        </is>
      </c>
      <c r="AB65" s="8389" t="n">
        <v>14</v>
      </c>
      <c r="AC65" s="7572">
        <f>IF(AK65&lt;&gt;"",ROUND(AK65,0),'W-2s'!D92)</f>
        <v/>
      </c>
      <c r="AD65" s="8412" t="n"/>
      <c r="AE65" s="8412" t="n"/>
      <c r="AF65" s="8412" t="n"/>
      <c r="AG65" s="8412" t="n"/>
      <c r="AH65" s="1277" t="n"/>
      <c r="AI65" s="11602" t="n"/>
      <c r="AJ65" s="6608">
        <f>ROUND(AC65,0)</f>
        <v/>
      </c>
      <c r="AK65" s="6135" t="n"/>
      <c r="AL65" s="11602" t="n"/>
      <c r="AM65" s="344" t="inlineStr">
        <is>
          <t>W-2, line 12, Code P, Excludable moving expense reimbursement for military</t>
        </is>
      </c>
      <c r="AN65" s="11602" t="n"/>
      <c r="AO65" s="5904" t="n"/>
      <c r="AP65" s="11602" t="n"/>
      <c r="AQ65" s="11602" t="n"/>
      <c r="AR65" s="769" t="n"/>
      <c r="AS65" s="769" t="n"/>
      <c r="AT65" s="769" t="n"/>
      <c r="AU65" s="769" t="n"/>
      <c r="AV65" s="769" t="n"/>
      <c r="AW65" s="769" t="n"/>
      <c r="AX65" s="769" t="n"/>
      <c r="AY65" s="769" t="n"/>
      <c r="AZ65" s="769" t="n"/>
      <c r="BA65" s="769" t="n"/>
      <c r="BB65" s="769" t="n"/>
    </row>
    <row r="66" ht="18.75" customHeight="1" s="7635">
      <c r="A66" s="1277" t="n"/>
      <c r="B66" s="8650" t="n"/>
      <c r="C66" s="8439" t="n">
        <v>15</v>
      </c>
      <c r="D66" s="7772" t="inlineStr">
        <is>
          <t>Deductible part of self-employment tax. Attach Schedule SE</t>
        </is>
      </c>
      <c r="E66" s="11602" t="n"/>
      <c r="F66" s="11602" t="n"/>
      <c r="G66" s="11602" t="n"/>
      <c r="H66" s="11602" t="n"/>
      <c r="I66" s="11602" t="n"/>
      <c r="J66" s="11602" t="n"/>
      <c r="K66" s="11602" t="n"/>
      <c r="L66" s="11602" t="n"/>
      <c r="M66" s="11602" t="n"/>
      <c r="N66" s="11602" t="n"/>
      <c r="O66" s="11602" t="n"/>
      <c r="P66" s="11602" t="n"/>
      <c r="Q66" s="11602" t="n"/>
      <c r="R66" s="11602" t="n"/>
      <c r="S66" s="1218" t="n"/>
      <c r="T66" s="2373" t="n"/>
      <c r="U66" s="11602" t="n"/>
      <c r="V66" s="7914" t="n"/>
      <c r="W66" s="1991" t="n"/>
      <c r="X66" s="851" t="n"/>
      <c r="Y66" s="851" t="n"/>
      <c r="Z66" s="851" t="n"/>
      <c r="AA66" s="1657" t="inlineStr">
        <is>
          <t xml:space="preserve">.   .   .   .   .   .   .   .   .   .   .   .   .   .   .   .   .  </t>
        </is>
      </c>
      <c r="AB66" s="10008" t="n">
        <v>15</v>
      </c>
      <c r="AC66" s="7572">
        <f>IF(AK66&lt;&gt;"",ROUND(AK66,0),SchSE_Deduction)</f>
        <v/>
      </c>
      <c r="AD66" s="8412" t="n"/>
      <c r="AE66" s="8412" t="n"/>
      <c r="AF66" s="8412" t="n"/>
      <c r="AG66" s="8412" t="n"/>
      <c r="AH66" s="1277" t="n"/>
      <c r="AI66" s="11602" t="n"/>
      <c r="AJ66" s="6608">
        <f>AC66</f>
        <v/>
      </c>
      <c r="AK66" s="6135" t="n"/>
      <c r="AL66" s="11602" t="n"/>
      <c r="AM66" s="344" t="inlineStr">
        <is>
          <t>Sch. SE, line 13 (Sum of both forms)</t>
        </is>
      </c>
      <c r="AN66" s="11602" t="n"/>
      <c r="AO66" s="512">
        <f>AND(AlimonyPaid&gt;0,OR(V72="",V72&gt;=$AO$9))</f>
        <v/>
      </c>
      <c r="AP66" s="11602" t="n"/>
      <c r="AQ66" s="11602" t="n"/>
      <c r="AR66" s="769" t="n"/>
      <c r="AS66" s="769" t="n"/>
      <c r="AT66" s="769" t="n"/>
      <c r="AU66" s="769" t="n"/>
      <c r="AV66" s="769" t="n"/>
      <c r="AW66" s="769" t="n"/>
      <c r="AX66" s="769" t="n"/>
      <c r="AY66" s="769" t="n"/>
      <c r="AZ66" s="769" t="n"/>
      <c r="BA66" s="769" t="n"/>
      <c r="BB66" s="769" t="n"/>
    </row>
    <row r="67" ht="18.75" customHeight="1" s="7635">
      <c r="A67" s="1277" t="n"/>
      <c r="B67" s="8650" t="n"/>
      <c r="C67" s="8439" t="n">
        <v>16</v>
      </c>
      <c r="D67" s="7772" t="inlineStr">
        <is>
          <t>Self-employed SEP, SIMPLE, and qualified plans</t>
        </is>
      </c>
      <c r="E67" s="11602" t="n"/>
      <c r="F67" s="11602" t="n"/>
      <c r="G67" s="11602" t="n"/>
      <c r="H67" s="11602" t="n"/>
      <c r="I67" s="11602" t="n"/>
      <c r="J67" s="11602" t="n"/>
      <c r="K67" s="11602" t="n"/>
      <c r="L67" s="11602" t="n"/>
      <c r="M67" s="11602" t="n"/>
      <c r="N67" s="11602" t="n"/>
      <c r="O67" s="11602" t="n"/>
      <c r="P67" s="11602" t="n"/>
      <c r="Q67" s="11602" t="n"/>
      <c r="R67" s="1401" t="n"/>
      <c r="S67" s="1218" t="n"/>
      <c r="T67" s="2373" t="n"/>
      <c r="U67" s="11602" t="n"/>
      <c r="V67" s="7914" t="n"/>
      <c r="W67" s="1991" t="n"/>
      <c r="X67" s="1991" t="n"/>
      <c r="Y67" s="1991" t="n"/>
      <c r="Z67" s="1991" t="n"/>
      <c r="AA67" s="1657" t="inlineStr">
        <is>
          <t xml:space="preserve">.   .   .   .   .   .   .   .   .   .   .   .   .   .   .   .   .   .   .   .  </t>
        </is>
      </c>
      <c r="AB67" s="10008" t="n">
        <v>16</v>
      </c>
      <c r="AC67" s="7575" t="n"/>
      <c r="AD67" s="8007" t="n"/>
      <c r="AE67" s="8007" t="n"/>
      <c r="AF67" s="8007" t="n"/>
      <c r="AG67" s="8007" t="n"/>
      <c r="AH67" s="1277" t="n"/>
      <c r="AI67" s="11602" t="n"/>
      <c r="AJ67" s="6608">
        <f>ROUND(AC67,0)</f>
        <v/>
      </c>
      <c r="AK67" s="2875">
        <f>IF($AI$68,"Line 17 - Your SE Health Insurance deduction cannot","")</f>
        <v/>
      </c>
      <c r="AL67" s="11602" t="n"/>
      <c r="AM67" s="344" t="n"/>
      <c r="AN67" s="11602" t="n"/>
      <c r="AO67" s="7619" t="inlineStr">
        <is>
          <t>TIP</t>
        </is>
      </c>
      <c r="AP67" s="11602" t="n"/>
      <c r="AQ67" s="11602" t="n"/>
      <c r="AR67" s="769" t="n"/>
      <c r="AS67" s="769" t="n"/>
      <c r="AT67" s="769" t="n"/>
      <c r="AU67" s="769" t="n"/>
      <c r="AV67" s="769" t="n"/>
      <c r="AW67" s="769" t="n"/>
      <c r="AX67" s="769" t="n"/>
      <c r="AY67" s="769" t="n"/>
      <c r="AZ67" s="769" t="n"/>
      <c r="BA67" s="769" t="n"/>
      <c r="BB67" s="769" t="n"/>
    </row>
    <row r="68" ht="18.75" customHeight="1" s="7635">
      <c r="A68" s="1277" t="n"/>
      <c r="B68" s="8650" t="n"/>
      <c r="C68" s="8439" t="n">
        <v>17</v>
      </c>
      <c r="D68" s="7772" t="inlineStr">
        <is>
          <t>Self-employed health insurance deduction</t>
        </is>
      </c>
      <c r="E68" s="11602" t="n"/>
      <c r="F68" s="11602" t="n"/>
      <c r="G68" s="11602" t="n"/>
      <c r="H68" s="11602" t="n"/>
      <c r="I68" s="11602" t="n"/>
      <c r="J68" s="11602" t="n"/>
      <c r="K68" s="11602" t="n"/>
      <c r="L68" s="11602" t="n"/>
      <c r="M68" s="11602" t="n"/>
      <c r="N68" s="11602" t="n"/>
      <c r="O68" s="11602" t="n"/>
      <c r="P68" s="11602" t="n"/>
      <c r="Q68" s="11602" t="n"/>
      <c r="R68" s="1401" t="n"/>
      <c r="S68" s="1218" t="n"/>
      <c r="T68" s="2373" t="n"/>
      <c r="U68" s="11602" t="n"/>
      <c r="V68" s="7914" t="n"/>
      <c r="W68" s="1991" t="n"/>
      <c r="X68" s="1991" t="n"/>
      <c r="Y68" s="1991" t="n"/>
      <c r="Z68" s="1991" t="n"/>
      <c r="AA68" s="1657" t="inlineStr">
        <is>
          <t xml:space="preserve">.   .   .   .   .   .   .   .   .   .   .   .   .   .   .   .   .   .   .   .   .   .   .   .   .  </t>
        </is>
      </c>
      <c r="AB68" s="10008" t="n">
        <v>17</v>
      </c>
      <c r="AC68" s="7575" t="n"/>
      <c r="AD68" s="8007" t="n"/>
      <c r="AE68" s="8007" t="n"/>
      <c r="AF68" s="8007" t="n"/>
      <c r="AG68" s="8007" t="n"/>
      <c r="AH68" s="1277" t="n"/>
      <c r="AI68" s="512">
        <f>SEHealthInsDeduct&gt;SUM(SchSE_Profit1,SchSE_Profit2)</f>
        <v/>
      </c>
      <c r="AJ68" s="6608">
        <f>ROUND(AC68,0)</f>
        <v/>
      </c>
      <c r="AK68" s="6095">
        <f>IF($AI$68,"be more than your Schedule SE business profit.","")</f>
        <v/>
      </c>
      <c r="AL68" s="11602" t="n"/>
      <c r="AM68" s="11602" t="n"/>
      <c r="AN68" s="11602" t="n"/>
      <c r="AO68" s="7654" t="inlineStr">
        <is>
          <t>If you made payments to or for your spouse or former spouse under a divorce or separation agreement entered into on or before December 31, 2018, you may be able to take this deduction. You can't take a deduction for alimony payments you made to or for your spouse if you entered into your divorce or separation agreement after December 31, 2018, or if you entered into the agreement on or before December 31, 2018, and the agreement was changed after December 31, 2018, to expressly provide that alimony received is not included in your former spouse's income. Use Tax Topic 452 or see Pub. 504.</t>
        </is>
      </c>
      <c r="AP68" s="11602" t="n"/>
      <c r="AQ68" s="11602" t="n"/>
      <c r="AR68" s="769" t="n"/>
      <c r="AS68" s="769" t="n"/>
      <c r="AT68" s="769" t="n"/>
      <c r="AU68" s="769" t="n"/>
      <c r="AV68" s="769" t="n"/>
      <c r="AW68" s="769" t="n"/>
      <c r="AX68" s="769" t="n"/>
      <c r="AY68" s="769" t="n"/>
      <c r="AZ68" s="769" t="n"/>
      <c r="BA68" s="769" t="n"/>
      <c r="BB68" s="769" t="n"/>
    </row>
    <row r="69" ht="18.75" customHeight="1" s="7635">
      <c r="A69" s="1277" t="n"/>
      <c r="B69" s="8650" t="n"/>
      <c r="C69" s="8439" t="n">
        <v>18</v>
      </c>
      <c r="D69" s="7772" t="inlineStr">
        <is>
          <t>Penalty on early withdrawal of savings</t>
        </is>
      </c>
      <c r="E69" s="11602" t="n"/>
      <c r="F69" s="11602" t="n"/>
      <c r="G69" s="11602" t="n"/>
      <c r="H69" s="11602" t="n"/>
      <c r="I69" s="11602" t="n"/>
      <c r="J69" s="11602" t="n"/>
      <c r="K69" s="11602" t="n"/>
      <c r="L69" s="11602" t="n"/>
      <c r="M69" s="11602" t="n"/>
      <c r="N69" s="11602" t="n"/>
      <c r="O69" s="11602" t="n"/>
      <c r="P69" s="11602" t="n"/>
      <c r="Q69" s="11602" t="n"/>
      <c r="R69" s="1401" t="n"/>
      <c r="S69" s="1218" t="n"/>
      <c r="T69" s="2373" t="n"/>
      <c r="U69" s="11602" t="n"/>
      <c r="V69" s="7914" t="n"/>
      <c r="W69" s="1991" t="n"/>
      <c r="X69" s="851" t="n"/>
      <c r="Y69" s="851" t="n"/>
      <c r="Z69" s="851" t="n"/>
      <c r="AA69" s="1657" t="inlineStr">
        <is>
          <t xml:space="preserve">.   .   .   .   .   .   .   .   .   .   .   .   .   .   .   .   .   .   .   .   .   .   .   .   .   .   .  </t>
        </is>
      </c>
      <c r="AB69" s="10008" t="n">
        <v>18</v>
      </c>
      <c r="AC69" s="7572">
        <f>IF(AK69&lt;&gt;"",ROUND(AK69,0),Penalty4EW)</f>
        <v/>
      </c>
      <c r="AD69" s="8412" t="n"/>
      <c r="AE69" s="8412" t="n"/>
      <c r="AF69" s="8412" t="n"/>
      <c r="AG69" s="8412" t="n"/>
      <c r="AH69" s="1277" t="n"/>
      <c r="AI69" s="11602" t="n"/>
      <c r="AJ69" s="6608">
        <f>AC69</f>
        <v/>
      </c>
      <c r="AK69" s="6135" t="n"/>
      <c r="AL69" s="11602" t="n"/>
      <c r="AM69" s="344" t="inlineStr">
        <is>
          <t>Sheet "1099-INT", Line 2</t>
        </is>
      </c>
      <c r="AN69" s="11602" t="n"/>
      <c r="AP69" s="11602" t="n"/>
      <c r="AQ69" s="11602" t="n"/>
      <c r="AR69" s="769" t="n"/>
      <c r="AS69" s="769" t="n"/>
      <c r="AT69" s="769" t="n"/>
      <c r="AU69" s="769" t="n"/>
      <c r="AV69" s="769" t="n"/>
      <c r="AW69" s="769" t="n"/>
      <c r="AX69" s="769" t="n"/>
      <c r="AY69" s="769" t="n"/>
      <c r="AZ69" s="769" t="n"/>
      <c r="BA69" s="769" t="n"/>
      <c r="BB69" s="769" t="n"/>
    </row>
    <row r="70" ht="18.75" customHeight="1" s="7635">
      <c r="A70" s="1277" t="n"/>
      <c r="B70" s="8650" t="n"/>
      <c r="C70" s="8439" t="inlineStr">
        <is>
          <t>19a</t>
        </is>
      </c>
      <c r="D70" s="7772" t="inlineStr">
        <is>
          <t>Alimony paid</t>
        </is>
      </c>
      <c r="E70" s="11602" t="n"/>
      <c r="F70" s="11602" t="n"/>
      <c r="G70" s="1401" t="n"/>
      <c r="H70" s="344" t="n"/>
      <c r="I70" s="11602" t="n"/>
      <c r="J70" s="11602" t="n"/>
      <c r="K70" s="11602" t="n"/>
      <c r="L70" s="11602" t="n"/>
      <c r="M70" s="2373" t="n"/>
      <c r="N70" s="2373" t="n"/>
      <c r="O70" s="2373" t="n"/>
      <c r="P70" s="2373" t="n"/>
      <c r="Q70" s="2373" t="n"/>
      <c r="R70" s="11602" t="n"/>
      <c r="S70" s="1218" t="n"/>
      <c r="T70" s="2373" t="n"/>
      <c r="U70" s="2373" t="n"/>
      <c r="V70" s="2373" t="n"/>
      <c r="W70" s="2373" t="n"/>
      <c r="X70" s="2373" t="n"/>
      <c r="Y70" s="2373" t="n"/>
      <c r="Z70" s="2373" t="n"/>
      <c r="AA70" s="1657" t="inlineStr">
        <is>
          <t xml:space="preserve">.   .   .   .   .   .   .   .   .   .   .   .   .   .   .   .   .   .   .   .   .   .   .   .   .   .   .   .   .   .   .   .   .   .  </t>
        </is>
      </c>
      <c r="AB70" s="10008" t="inlineStr">
        <is>
          <t>19a</t>
        </is>
      </c>
      <c r="AC70" s="7575" t="n"/>
      <c r="AD70" s="8007" t="n"/>
      <c r="AE70" s="8007" t="n"/>
      <c r="AF70" s="8007" t="n"/>
      <c r="AG70" s="8007" t="n"/>
      <c r="AH70" s="1277" t="n"/>
      <c r="AI70" s="6096">
        <f>IF(AO66,"See TIP. &gt;&gt;","")</f>
        <v/>
      </c>
      <c r="AJ70" s="6608">
        <f>ROUND(AC70,0)</f>
        <v/>
      </c>
      <c r="AK70" s="2875" t="n"/>
      <c r="AL70" s="11602" t="n"/>
      <c r="AM70" s="11602" t="n"/>
      <c r="AN70" s="11602" t="n"/>
      <c r="AP70" s="11602" t="n"/>
      <c r="AQ70" s="11602" t="n"/>
      <c r="AR70" s="769" t="n"/>
      <c r="AS70" s="769" t="n"/>
      <c r="AT70" s="769" t="n"/>
      <c r="AU70" s="769" t="n"/>
      <c r="AV70" s="769" t="n"/>
      <c r="AW70" s="769" t="n"/>
      <c r="AX70" s="769" t="n"/>
      <c r="AY70" s="769" t="n"/>
      <c r="AZ70" s="769" t="n"/>
      <c r="BA70" s="769" t="n"/>
      <c r="BB70" s="769" t="n"/>
    </row>
    <row r="71" ht="18.75" customHeight="1" s="7635">
      <c r="A71" s="1277" t="n"/>
      <c r="B71" s="8650" t="n"/>
      <c r="C71" s="2039" t="inlineStr">
        <is>
          <t>b</t>
        </is>
      </c>
      <c r="D71" s="7772" t="inlineStr">
        <is>
          <t>Recipient's SSN</t>
        </is>
      </c>
      <c r="E71" s="11602" t="n"/>
      <c r="F71" s="11602" t="n"/>
      <c r="G71" s="1401" t="n"/>
      <c r="H71" s="344" t="n"/>
      <c r="I71" s="11602" t="n"/>
      <c r="J71" s="11602" t="n"/>
      <c r="K71" s="11602" t="n"/>
      <c r="L71" s="11602" t="n"/>
      <c r="M71" s="11602" t="n"/>
      <c r="N71" s="11602" t="n"/>
      <c r="O71" s="11602" t="n"/>
      <c r="P71" s="11602" t="n"/>
      <c r="Q71" s="11602" t="n"/>
      <c r="R71" s="11602" t="n"/>
      <c r="S71" s="1218" t="n"/>
      <c r="T71" s="2373" t="n"/>
      <c r="U71" s="1401" t="inlineStr">
        <is>
          <t xml:space="preserve">.   .   .   .   .   .   .   .   .   .   .   .   .   .   .   .   .   .   .   .   .   .   .   .   .   .   .  </t>
        </is>
      </c>
      <c r="V71" s="11945" t="n"/>
      <c r="W71" s="11717" t="n"/>
      <c r="X71" s="11717" t="n"/>
      <c r="Y71" s="11717" t="n"/>
      <c r="Z71" s="11717" t="n"/>
      <c r="AA71" s="1657" t="n"/>
      <c r="AB71" s="5884" t="n"/>
      <c r="AC71" s="2902" t="n"/>
      <c r="AD71" s="2903" t="n"/>
      <c r="AE71" s="2903" t="n"/>
      <c r="AF71" s="2903" t="n"/>
      <c r="AG71" s="3633" t="n"/>
      <c r="AH71" s="1277" t="n"/>
      <c r="AI71" s="9132" t="n"/>
      <c r="AJ71" s="6608">
        <f>SUM(AJ60:AJ70)</f>
        <v/>
      </c>
      <c r="AK71" s="2875" t="n"/>
      <c r="AL71" s="11602" t="n"/>
      <c r="AM71" s="11602" t="n"/>
      <c r="AN71" s="11602" t="n"/>
      <c r="AP71" s="11602" t="n"/>
      <c r="AQ71" s="11602" t="n"/>
      <c r="AR71" s="769" t="n"/>
      <c r="AS71" s="769" t="n"/>
      <c r="AT71" s="769" t="n"/>
      <c r="AU71" s="769" t="n"/>
      <c r="AV71" s="769" t="n"/>
      <c r="AW71" s="769" t="n"/>
      <c r="AX71" s="769" t="n"/>
      <c r="AY71" s="769" t="n"/>
      <c r="AZ71" s="769" t="n"/>
      <c r="BA71" s="769" t="n"/>
      <c r="BB71" s="769" t="n"/>
    </row>
    <row r="72" ht="18.75" customHeight="1" s="7635">
      <c r="A72" s="1277" t="n"/>
      <c r="B72" s="8650" t="n"/>
      <c r="C72" s="2039" t="inlineStr">
        <is>
          <t>c</t>
        </is>
      </c>
      <c r="D72" s="8650" t="inlineStr">
        <is>
          <t>Date of original divorce or separation agreement (see instructions)</t>
        </is>
      </c>
      <c r="E72" s="11602" t="n"/>
      <c r="F72" s="11602" t="n"/>
      <c r="G72" s="1401" t="n"/>
      <c r="H72" s="344" t="n"/>
      <c r="I72" s="11602" t="n"/>
      <c r="J72" s="11602" t="n"/>
      <c r="K72" s="11602" t="n"/>
      <c r="L72" s="11602" t="n"/>
      <c r="M72" s="11602" t="n"/>
      <c r="N72" s="11602" t="n"/>
      <c r="O72" s="11602" t="n"/>
      <c r="P72" s="11602" t="n"/>
      <c r="Q72" s="11602" t="n"/>
      <c r="R72" s="11946" t="n"/>
      <c r="S72" s="11717" t="n"/>
      <c r="T72" s="11717" t="n"/>
      <c r="U72" s="11717" t="n"/>
      <c r="V72" s="11717" t="n"/>
      <c r="W72" s="11717" t="n"/>
      <c r="X72" s="11717" t="n"/>
      <c r="Y72" s="11717" t="n"/>
      <c r="Z72" s="11717" t="n"/>
      <c r="AA72" s="1657" t="n"/>
      <c r="AB72" s="5884" t="n"/>
      <c r="AC72" s="7885" t="n"/>
      <c r="AD72" s="1991" t="n"/>
      <c r="AE72" s="1991" t="n"/>
      <c r="AF72" s="1991" t="n"/>
      <c r="AG72" s="851" t="n"/>
      <c r="AH72" s="1277" t="n"/>
      <c r="AI72" s="9132" t="n"/>
      <c r="AJ72" s="6611" t="n"/>
      <c r="AK72" s="2875" t="n"/>
      <c r="AL72" s="11602" t="n"/>
      <c r="AM72" s="11602" t="n"/>
      <c r="AN72" s="11602" t="n"/>
      <c r="AP72" s="11602" t="n"/>
      <c r="AQ72" s="11602" t="n"/>
      <c r="AR72" s="769" t="n"/>
      <c r="AS72" s="769" t="n"/>
      <c r="AT72" s="769" t="n"/>
      <c r="AU72" s="769" t="n"/>
      <c r="AV72" s="769" t="n"/>
      <c r="AW72" s="769" t="n"/>
      <c r="AX72" s="769" t="n"/>
      <c r="AY72" s="769" t="n"/>
      <c r="AZ72" s="769" t="n"/>
      <c r="BA72" s="769" t="n"/>
      <c r="BB72" s="769" t="n"/>
    </row>
    <row r="73" ht="18.75" customHeight="1" s="7635">
      <c r="A73" s="1277" t="n"/>
      <c r="B73" s="8650" t="n"/>
      <c r="C73" s="8439" t="n">
        <v>20</v>
      </c>
      <c r="D73" s="7772" t="inlineStr">
        <is>
          <t>IRA deduction. If you are married filing separately and lived apart from your spouse for the entire year</t>
        </is>
      </c>
      <c r="E73" s="11602" t="n"/>
      <c r="F73" s="11602" t="n"/>
      <c r="G73" s="1401" t="n"/>
      <c r="H73" s="344" t="n"/>
      <c r="I73" s="11602" t="n"/>
      <c r="J73" s="11602" t="n"/>
      <c r="K73" s="11602" t="n"/>
      <c r="L73" s="11602" t="n"/>
      <c r="M73" s="11602" t="n"/>
      <c r="N73" s="11602" t="n"/>
      <c r="O73" s="11602" t="n"/>
      <c r="P73" s="11602" t="n"/>
      <c r="Q73" s="11602" t="n"/>
      <c r="R73" s="11602" t="n"/>
      <c r="S73" s="1218" t="n"/>
      <c r="T73" s="1218" t="n"/>
      <c r="U73" s="1218" t="n"/>
      <c r="V73" s="1218" t="n"/>
      <c r="W73" s="1218" t="n"/>
      <c r="X73" s="1218" t="n"/>
      <c r="Y73" s="1218" t="n"/>
      <c r="Z73" s="1218" t="n"/>
      <c r="AA73" s="1657" t="n"/>
      <c r="AB73" s="5884" t="n"/>
      <c r="AC73" s="7885" t="n"/>
      <c r="AD73" s="1991" t="n"/>
      <c r="AE73" s="1991" t="n"/>
      <c r="AF73" s="1991" t="n"/>
      <c r="AG73" s="851" t="n"/>
      <c r="AH73" s="1277" t="n"/>
      <c r="AI73" s="9132" t="n"/>
      <c r="AJ73" s="6611" t="n"/>
      <c r="AK73" s="2875" t="n"/>
      <c r="AL73" s="11602" t="n"/>
      <c r="AM73" s="11602" t="n"/>
      <c r="AN73" s="11602" t="n"/>
      <c r="AP73" s="11602" t="n"/>
      <c r="AQ73" s="11602" t="n"/>
      <c r="AR73" s="769" t="n"/>
      <c r="AS73" s="769" t="n"/>
      <c r="AT73" s="769" t="n"/>
      <c r="AU73" s="769" t="n"/>
      <c r="AV73" s="769" t="n"/>
      <c r="AW73" s="769" t="n"/>
      <c r="AX73" s="769" t="n"/>
      <c r="AY73" s="769" t="n"/>
      <c r="AZ73" s="769" t="n"/>
      <c r="BA73" s="769" t="n"/>
      <c r="BB73" s="769" t="n"/>
    </row>
    <row r="74" ht="18.75" customHeight="1" s="7635">
      <c r="A74" s="1277" t="n"/>
      <c r="B74" s="8650" t="n"/>
      <c r="C74" s="8439" t="n"/>
      <c r="D74" s="7772" t="inlineStr">
        <is>
          <t>(see instructions), check here</t>
        </is>
      </c>
      <c r="E74" s="11602" t="n"/>
      <c r="F74" s="11602" t="n"/>
      <c r="G74" s="11602" t="n"/>
      <c r="H74" s="11602" t="n"/>
      <c r="I74" s="11602" t="n"/>
      <c r="J74" s="11602" t="n"/>
      <c r="K74" s="1111">
        <f>IF(AND(IRADeduct&gt;0,IRADeduct&lt;&gt;"",LivedApart),"X","")</f>
        <v/>
      </c>
      <c r="L74" s="11602" t="n"/>
      <c r="M74" s="11602" t="n"/>
      <c r="N74" s="11602" t="n"/>
      <c r="O74" s="11602" t="n"/>
      <c r="P74" s="11602" t="n"/>
      <c r="Q74" s="11602" t="n"/>
      <c r="R74" s="1401" t="n"/>
      <c r="S74" s="1218" t="n"/>
      <c r="T74" s="2373" t="n"/>
      <c r="U74" s="11602" t="n"/>
      <c r="V74" s="7914" t="n"/>
      <c r="W74" s="1991" t="n"/>
      <c r="X74" s="851" t="n"/>
      <c r="Y74" s="851" t="n"/>
      <c r="Z74" s="851" t="n"/>
      <c r="AA74" s="1657" t="inlineStr">
        <is>
          <t xml:space="preserve">.   .   .   .   .   .   .   .   .   .   .   .   .   .   .   .   .   .   .   .   .   .   .   .   .   .   .  </t>
        </is>
      </c>
      <c r="AB74" s="8389" t="n">
        <v>20</v>
      </c>
      <c r="AC74" s="7608">
        <f>IF(AK74&lt;&gt;"",ROUND(AK74,0),IRA_Deduction)</f>
        <v/>
      </c>
      <c r="AD74" s="7637" t="n"/>
      <c r="AE74" s="7637" t="n"/>
      <c r="AF74" s="7637" t="n"/>
      <c r="AG74" s="7637" t="n"/>
      <c r="AH74" s="1277" t="n"/>
      <c r="AI74" s="11602" t="n"/>
      <c r="AJ74" s="6608" t="n"/>
      <c r="AK74" s="6135" t="n"/>
      <c r="AL74" s="11602" t="n"/>
      <c r="AM74" s="344" t="inlineStr">
        <is>
          <t>Sheet "Sch. 1, Line 20 (IRA)"</t>
        </is>
      </c>
      <c r="AN74" s="11602" t="n"/>
      <c r="AP74" s="11602" t="n"/>
      <c r="AQ74" s="11602" t="n"/>
      <c r="AR74" s="769" t="n"/>
      <c r="AS74" s="769" t="n"/>
      <c r="AT74" s="769" t="n"/>
      <c r="AU74" s="769" t="n"/>
      <c r="AV74" s="769" t="n"/>
      <c r="AW74" s="769" t="n"/>
      <c r="AX74" s="769" t="n"/>
      <c r="AY74" s="769" t="n"/>
      <c r="AZ74" s="769" t="n"/>
      <c r="BA74" s="769" t="n"/>
      <c r="BB74" s="769" t="n"/>
    </row>
    <row r="75" ht="18.75" customHeight="1" s="7635">
      <c r="A75" s="1277" t="n"/>
      <c r="B75" s="8650" t="n"/>
      <c r="C75" s="8439" t="n">
        <v>21</v>
      </c>
      <c r="D75" s="7772" t="inlineStr">
        <is>
          <t>Student loan interest deduction</t>
        </is>
      </c>
      <c r="E75" s="11602" t="n"/>
      <c r="F75" s="11602" t="n"/>
      <c r="G75" s="11602" t="n"/>
      <c r="H75" s="11602" t="n"/>
      <c r="I75" s="11602" t="n"/>
      <c r="J75" s="11602" t="n"/>
      <c r="K75" s="11602" t="n"/>
      <c r="L75" s="11602" t="n"/>
      <c r="M75" s="11602" t="n"/>
      <c r="N75" s="11602" t="n"/>
      <c r="O75" s="11602" t="n"/>
      <c r="P75" s="11602" t="n"/>
      <c r="Q75" s="11602" t="n"/>
      <c r="R75" s="1401" t="n"/>
      <c r="S75" s="1218" t="n"/>
      <c r="T75" s="2373" t="n"/>
      <c r="U75" s="11602" t="n"/>
      <c r="V75" s="7914" t="n"/>
      <c r="W75" s="1991" t="n"/>
      <c r="X75" s="851" t="n"/>
      <c r="Y75" s="851" t="n"/>
      <c r="Z75" s="851" t="n"/>
      <c r="AA75" s="1657" t="inlineStr">
        <is>
          <t xml:space="preserve">.   .   .   .   .   .   .   .   .   .   .   .   .   .   .   .   .   .   .   .   .   .   .   .   .   .   .  </t>
        </is>
      </c>
      <c r="AB75" s="10008" t="n">
        <v>21</v>
      </c>
      <c r="AC75" s="7572">
        <f>IF(AK75&lt;&gt;"",ROUND(AK75,0),StuLoanIntDeduct)</f>
        <v/>
      </c>
      <c r="AD75" s="8412" t="n"/>
      <c r="AE75" s="8412" t="n"/>
      <c r="AF75" s="8412" t="n"/>
      <c r="AG75" s="8412" t="n"/>
      <c r="AH75" s="1277" t="n"/>
      <c r="AI75" s="4213" t="n"/>
      <c r="AJ75" s="6610" t="n"/>
      <c r="AK75" s="6135" t="n"/>
      <c r="AL75" s="11602" t="n"/>
      <c r="AM75" s="344" t="inlineStr">
        <is>
          <t>Sheet "Line 21 (Stu Loan)", Line 12</t>
        </is>
      </c>
      <c r="AN75" s="11602" t="n"/>
      <c r="AP75" s="11602" t="n"/>
      <c r="AQ75" s="11602" t="n"/>
      <c r="AR75" s="769" t="n"/>
      <c r="AS75" s="769" t="n"/>
      <c r="AT75" s="769" t="n"/>
      <c r="AU75" s="769" t="n"/>
      <c r="AV75" s="769" t="n"/>
      <c r="AW75" s="769" t="n"/>
      <c r="AX75" s="769" t="n"/>
      <c r="AY75" s="769" t="n"/>
      <c r="AZ75" s="769" t="n"/>
      <c r="BA75" s="769" t="n"/>
      <c r="BB75" s="769" t="n"/>
    </row>
    <row r="76" ht="18.75" customHeight="1" s="7635">
      <c r="A76" s="1277" t="n"/>
      <c r="B76" s="8650" t="n"/>
      <c r="C76" s="8439" t="n">
        <v>22</v>
      </c>
      <c r="D76" s="7772" t="inlineStr">
        <is>
          <t>Reserved for future use</t>
        </is>
      </c>
      <c r="E76" s="11602" t="n"/>
      <c r="F76" s="11602" t="n"/>
      <c r="G76" s="11602" t="n"/>
      <c r="H76" s="11602" t="n"/>
      <c r="I76" s="11602" t="n"/>
      <c r="J76" s="11602" t="n"/>
      <c r="K76" s="11602" t="n"/>
      <c r="L76" s="11602" t="n"/>
      <c r="M76" s="11602" t="n"/>
      <c r="N76" s="11602" t="n"/>
      <c r="O76" s="11602" t="n"/>
      <c r="P76" s="11602" t="n"/>
      <c r="Q76" s="11602" t="n"/>
      <c r="R76" s="1401" t="n"/>
      <c r="S76" s="1218" t="n"/>
      <c r="T76" s="2373" t="n"/>
      <c r="U76" s="11602" t="n"/>
      <c r="V76" s="7914" t="n"/>
      <c r="W76" s="11602" t="n"/>
      <c r="X76" s="11602" t="n"/>
      <c r="Y76" s="11602" t="n"/>
      <c r="Z76" s="11602" t="n"/>
      <c r="AA76" s="1657" t="inlineStr">
        <is>
          <t xml:space="preserve">.   .   .   .   .   .   .   .   .   .   .   .   .   .   .   .   .   .   .   .   .   .   .   .   .   .   .   .   .   .   .   .   .  </t>
        </is>
      </c>
      <c r="AB76" s="10008" t="n">
        <v>22</v>
      </c>
      <c r="AC76" s="7666" t="n"/>
      <c r="AD76" s="8412" t="n"/>
      <c r="AE76" s="8412" t="n"/>
      <c r="AF76" s="8412" t="n"/>
      <c r="AG76" s="8412" t="n"/>
      <c r="AH76" s="1277" t="n"/>
      <c r="AI76" s="11602" t="n"/>
      <c r="AJ76" s="6608" t="n"/>
      <c r="AK76" s="2875" t="n"/>
      <c r="AL76" s="11602" t="n"/>
      <c r="AM76" s="11602" t="n"/>
      <c r="AN76" s="11602" t="n"/>
      <c r="AP76" s="11602" t="n"/>
      <c r="AQ76" s="11602" t="n"/>
      <c r="AR76" s="769" t="n"/>
      <c r="AS76" s="769" t="n"/>
      <c r="AT76" s="769" t="n"/>
      <c r="AU76" s="769" t="n"/>
      <c r="AV76" s="769" t="n"/>
      <c r="AW76" s="769" t="n"/>
      <c r="AX76" s="769" t="n"/>
      <c r="AY76" s="769" t="n"/>
      <c r="AZ76" s="769" t="n"/>
      <c r="BA76" s="769" t="n"/>
      <c r="BB76" s="769" t="n"/>
    </row>
    <row r="77" ht="18.75" customHeight="1" s="7635">
      <c r="A77" s="1277" t="n"/>
      <c r="B77" s="8650" t="n"/>
      <c r="C77" s="8439" t="n">
        <v>23</v>
      </c>
      <c r="D77" s="7772" t="inlineStr">
        <is>
          <t>Archer MSA deduction</t>
        </is>
      </c>
      <c r="E77" s="11602" t="n"/>
      <c r="F77" s="11602" t="n"/>
      <c r="G77" s="11602" t="n"/>
      <c r="H77" s="11602" t="n"/>
      <c r="I77" s="11602" t="n"/>
      <c r="J77" s="11602" t="n"/>
      <c r="K77" s="11602" t="n"/>
      <c r="L77" s="11602" t="n"/>
      <c r="M77" s="11602" t="n"/>
      <c r="N77" s="11602" t="n"/>
      <c r="O77" s="11602" t="n"/>
      <c r="P77" s="11602" t="n"/>
      <c r="Q77" s="11602" t="n"/>
      <c r="R77" s="1401" t="n"/>
      <c r="S77" s="1218" t="n"/>
      <c r="T77" s="2373" t="n"/>
      <c r="U77" s="11602" t="n"/>
      <c r="V77" s="7914" t="n"/>
      <c r="W77" s="11602" t="n"/>
      <c r="X77" s="11602" t="n"/>
      <c r="Y77" s="11602" t="n"/>
      <c r="Z77" s="11602" t="n"/>
      <c r="AA77" s="1657" t="inlineStr">
        <is>
          <t xml:space="preserve">.   .   .   .   .   .   .   .   .   .   .   .   .   .   .   .   .   .   .   .   .   .   .   .   .   .   .   .   .   .   .   .   .   .  </t>
        </is>
      </c>
      <c r="AB77" s="10008" t="n">
        <v>23</v>
      </c>
      <c r="AC77" s="7575" t="n"/>
      <c r="AD77" s="8007" t="n"/>
      <c r="AE77" s="8007" t="n"/>
      <c r="AF77" s="8007" t="n"/>
      <c r="AG77" s="8007" t="n"/>
      <c r="AH77" s="1277" t="n"/>
      <c r="AI77" s="11602" t="n"/>
      <c r="AJ77" s="6608">
        <f>ROUND(AC77,0)</f>
        <v/>
      </c>
      <c r="AK77" s="2875" t="n"/>
      <c r="AL77" s="11602" t="n"/>
      <c r="AM77" s="11602" t="n"/>
      <c r="AN77" s="11602" t="n"/>
      <c r="AP77" s="11602" t="n"/>
      <c r="AQ77" s="11602" t="n"/>
      <c r="AR77" s="769" t="n"/>
      <c r="AS77" s="769" t="n"/>
      <c r="AT77" s="769" t="n"/>
      <c r="AU77" s="769" t="n"/>
      <c r="AV77" s="769" t="n"/>
      <c r="AW77" s="769" t="n"/>
      <c r="AX77" s="769" t="n"/>
      <c r="AY77" s="769" t="n"/>
      <c r="AZ77" s="769" t="n"/>
      <c r="BA77" s="769" t="n"/>
      <c r="BB77" s="769" t="n"/>
    </row>
    <row r="78" ht="18.75" customHeight="1" s="7635">
      <c r="A78" s="1277" t="n"/>
      <c r="B78" s="8650" t="n"/>
      <c r="C78" s="8439" t="n">
        <v>24</v>
      </c>
      <c r="D78" s="7772" t="inlineStr">
        <is>
          <t>Other adjustments:</t>
        </is>
      </c>
      <c r="E78" s="11602" t="n"/>
      <c r="F78" s="11602" t="n"/>
      <c r="G78" s="11602" t="n"/>
      <c r="H78" s="11602" t="n"/>
      <c r="I78" s="11602" t="n"/>
      <c r="J78" s="11602" t="n"/>
      <c r="K78" s="11602" t="n"/>
      <c r="L78" s="11602" t="n"/>
      <c r="M78" s="11602" t="n"/>
      <c r="N78" s="11602" t="n"/>
      <c r="O78" s="11602" t="n"/>
      <c r="P78" s="11602" t="n"/>
      <c r="Q78" s="11602" t="n"/>
      <c r="R78" s="1401" t="n"/>
      <c r="S78" s="1218" t="n"/>
      <c r="T78" s="2373" t="n"/>
      <c r="U78" s="11602" t="n"/>
      <c r="V78" s="5890" t="n"/>
      <c r="W78" s="11602" t="n"/>
      <c r="X78" s="11602" t="n"/>
      <c r="Y78" s="11602" t="n"/>
      <c r="Z78" s="11602" t="n"/>
      <c r="AA78" s="1657" t="n"/>
      <c r="AB78" s="5884" t="n"/>
      <c r="AC78" s="2902" t="n"/>
      <c r="AD78" s="2903" t="n"/>
      <c r="AE78" s="2903" t="n"/>
      <c r="AF78" s="2903" t="n"/>
      <c r="AG78" s="3633" t="n"/>
      <c r="AH78" s="1277" t="n"/>
      <c r="AI78" s="11602" t="n"/>
      <c r="AJ78" s="6608" t="n"/>
      <c r="AK78" s="2875" t="n"/>
      <c r="AL78" s="11602" t="n"/>
      <c r="AM78" s="11602" t="n"/>
      <c r="AN78" s="11602" t="n"/>
      <c r="AP78" s="11602" t="n"/>
      <c r="AQ78" s="11602" t="n"/>
      <c r="AR78" s="769" t="n"/>
      <c r="AS78" s="769" t="n"/>
      <c r="AT78" s="769" t="n"/>
      <c r="AU78" s="769" t="n"/>
      <c r="AV78" s="769" t="n"/>
      <c r="AW78" s="769" t="n"/>
      <c r="AX78" s="769" t="n"/>
      <c r="AY78" s="769" t="n"/>
      <c r="AZ78" s="769" t="n"/>
      <c r="BA78" s="769" t="n"/>
      <c r="BB78" s="769" t="n"/>
    </row>
    <row r="79" ht="18.75" customHeight="1" s="7635">
      <c r="A79" s="1277" t="n"/>
      <c r="B79" s="11602" t="n"/>
      <c r="C79" s="2039" t="inlineStr">
        <is>
          <t>a</t>
        </is>
      </c>
      <c r="D79" s="7772" t="inlineStr">
        <is>
          <t>Jury duty pay (see instructions)</t>
        </is>
      </c>
      <c r="E79" s="11602" t="n"/>
      <c r="F79" s="11602" t="n"/>
      <c r="G79" s="11602" t="n"/>
      <c r="H79" s="11602" t="n"/>
      <c r="I79" s="11602" t="n"/>
      <c r="J79" s="11602" t="n"/>
      <c r="K79" s="11602" t="n"/>
      <c r="L79" s="11602" t="n"/>
      <c r="M79" s="11602" t="n"/>
      <c r="N79" s="11602" t="n"/>
      <c r="O79" s="11602" t="n"/>
      <c r="P79" s="11602" t="n"/>
      <c r="Q79" s="11602" t="n"/>
      <c r="R79" s="11602" t="n"/>
      <c r="S79" s="11602" t="n"/>
      <c r="T79" s="11602" t="n"/>
      <c r="U79" s="1657" t="inlineStr">
        <is>
          <t xml:space="preserve">.   .   .   .   .   .   .   .   .   .   .   .   .   .   .   .   .   .   .   .   .   .  </t>
        </is>
      </c>
      <c r="V79" s="5372" t="inlineStr">
        <is>
          <t>24a</t>
        </is>
      </c>
      <c r="W79" s="7579" t="n"/>
      <c r="X79" s="11717" t="n"/>
      <c r="Y79" s="11717" t="n"/>
      <c r="Z79" s="11717" t="n"/>
      <c r="AA79" s="11718" t="n"/>
      <c r="AB79" s="5884" t="n"/>
      <c r="AC79" s="7561">
        <f>ROUND(W79,0)</f>
        <v/>
      </c>
      <c r="AH79" s="1277" t="n"/>
      <c r="AI79" s="11602" t="n"/>
      <c r="AJ79" s="6608" t="n"/>
      <c r="AK79" s="2875" t="n"/>
      <c r="AL79" s="11602" t="n"/>
      <c r="AM79" s="5888" t="n"/>
      <c r="AN79" s="11602" t="n"/>
      <c r="AP79" s="11602" t="n"/>
      <c r="AQ79" s="11602" t="n"/>
      <c r="AR79" s="769" t="n"/>
      <c r="AS79" s="769" t="n"/>
      <c r="AT79" s="769" t="n"/>
      <c r="AU79" s="769" t="n"/>
      <c r="AV79" s="769" t="n"/>
      <c r="AW79" s="769" t="n"/>
      <c r="AX79" s="769" t="n"/>
      <c r="AY79" s="769" t="n"/>
      <c r="AZ79" s="769" t="n"/>
      <c r="BA79" s="769" t="n"/>
      <c r="BB79" s="769" t="n"/>
    </row>
    <row r="80" ht="18.75" customHeight="1" s="7635">
      <c r="A80" s="1277" t="n"/>
      <c r="B80" s="11602" t="n"/>
      <c r="C80" s="2039" t="inlineStr">
        <is>
          <t>b</t>
        </is>
      </c>
      <c r="D80" s="7772" t="inlineStr">
        <is>
          <t>Deductible expenses related to income reported on line 8l from the rental of</t>
        </is>
      </c>
      <c r="E80" s="11602" t="n"/>
      <c r="F80" s="11602" t="n"/>
      <c r="G80" s="11602" t="n"/>
      <c r="H80" s="11602" t="n"/>
      <c r="I80" s="11602" t="n"/>
      <c r="J80" s="11602" t="n"/>
      <c r="K80" s="11602" t="n"/>
      <c r="L80" s="11602" t="n"/>
      <c r="M80" s="11602" t="n"/>
      <c r="N80" s="11602" t="n"/>
      <c r="O80" s="11602" t="n"/>
      <c r="P80" s="11602" t="n"/>
      <c r="Q80" s="11602" t="n"/>
      <c r="R80" s="11602" t="n"/>
      <c r="S80" s="11602" t="n"/>
      <c r="T80" s="11602" t="n"/>
      <c r="U80" s="11602" t="n"/>
      <c r="V80" s="5890" t="n"/>
      <c r="W80" s="11938" t="n"/>
      <c r="X80" s="194" t="n"/>
      <c r="Y80" s="194" t="n"/>
      <c r="Z80" s="194" t="n"/>
      <c r="AA80" s="11726" t="n"/>
      <c r="AB80" s="5884" t="n"/>
      <c r="AC80" s="7566" t="n"/>
      <c r="AD80" s="5405" t="n"/>
      <c r="AE80" s="5405" t="n"/>
      <c r="AF80" s="5405" t="n"/>
      <c r="AG80" s="5405" t="n"/>
      <c r="AH80" s="1277" t="n"/>
      <c r="AI80" s="11602" t="n"/>
      <c r="AJ80" s="6608" t="n"/>
      <c r="AK80" s="2875" t="n"/>
      <c r="AL80" s="11602" t="n"/>
      <c r="AM80" s="5888" t="n"/>
      <c r="AN80" s="11602" t="n"/>
      <c r="AP80" s="11602" t="n"/>
      <c r="AQ80" s="11602" t="n"/>
      <c r="AR80" s="769" t="n"/>
      <c r="AS80" s="769" t="n"/>
      <c r="AT80" s="769" t="n"/>
      <c r="AU80" s="769" t="n"/>
      <c r="AV80" s="769" t="n"/>
      <c r="AW80" s="769" t="n"/>
      <c r="AX80" s="769" t="n"/>
      <c r="AY80" s="769" t="n"/>
      <c r="AZ80" s="769" t="n"/>
      <c r="BA80" s="769" t="n"/>
      <c r="BB80" s="769" t="n"/>
    </row>
    <row r="81" ht="18.75" customHeight="1" s="7635">
      <c r="A81" s="1277" t="n"/>
      <c r="B81" s="11602" t="n"/>
      <c r="C81" s="2039" t="n"/>
      <c r="D81" s="2006" t="inlineStr">
        <is>
          <t>personal property engaged in for profit</t>
        </is>
      </c>
      <c r="E81" s="11602" t="n"/>
      <c r="F81" s="11602" t="n"/>
      <c r="G81" s="11602" t="n"/>
      <c r="H81" s="11602" t="n"/>
      <c r="I81" s="11602" t="n"/>
      <c r="J81" s="11602" t="n"/>
      <c r="K81" s="11602" t="n"/>
      <c r="L81" s="11602" t="n"/>
      <c r="M81" s="11602" t="n"/>
      <c r="N81" s="11602" t="n"/>
      <c r="O81" s="11602" t="n"/>
      <c r="P81" s="11602" t="n"/>
      <c r="Q81" s="11602" t="n"/>
      <c r="R81" s="11602" t="n"/>
      <c r="S81" s="11602" t="n"/>
      <c r="T81" s="11602" t="n"/>
      <c r="U81" s="1657" t="inlineStr">
        <is>
          <t xml:space="preserve">.   .   .   .   .   .   .   .   .   .   .   .   .   .   .   .   .   .  </t>
        </is>
      </c>
      <c r="V81" s="5372" t="inlineStr">
        <is>
          <t>24b</t>
        </is>
      </c>
      <c r="W81" s="7579" t="n"/>
      <c r="X81" s="11717" t="n"/>
      <c r="Y81" s="11717" t="n"/>
      <c r="Z81" s="11717" t="n"/>
      <c r="AA81" s="11718" t="n"/>
      <c r="AB81" s="5884" t="n"/>
      <c r="AC81" s="7561">
        <f>ROUND(W81,0)</f>
        <v/>
      </c>
      <c r="AH81" s="1277" t="n"/>
      <c r="AI81" s="11602" t="n"/>
      <c r="AJ81" s="6608" t="n"/>
      <c r="AK81" s="2875" t="n"/>
      <c r="AL81" s="11602" t="n"/>
      <c r="AM81" s="5888" t="n"/>
      <c r="AN81" s="11602" t="n"/>
      <c r="AP81" s="11602" t="n"/>
      <c r="AQ81" s="11602" t="n"/>
      <c r="AR81" s="769" t="n"/>
      <c r="AS81" s="769" t="n"/>
      <c r="AT81" s="769" t="n"/>
      <c r="AU81" s="769" t="n"/>
      <c r="AV81" s="769" t="n"/>
      <c r="AW81" s="769" t="n"/>
      <c r="AX81" s="769" t="n"/>
      <c r="AY81" s="769" t="n"/>
      <c r="AZ81" s="769" t="n"/>
      <c r="BA81" s="769" t="n"/>
      <c r="BB81" s="769" t="n"/>
    </row>
    <row r="82" ht="18.75" customHeight="1" s="7635">
      <c r="A82" s="1277" t="n"/>
      <c r="B82" s="11602" t="n"/>
      <c r="C82" s="2039" t="inlineStr">
        <is>
          <t>c</t>
        </is>
      </c>
      <c r="D82" s="7772" t="inlineStr">
        <is>
          <t>Nontaxable amount of the value of Olympic and Paralympic medals and USOC</t>
        </is>
      </c>
      <c r="E82" s="11602" t="n"/>
      <c r="F82" s="11602" t="n"/>
      <c r="G82" s="11602" t="n"/>
      <c r="H82" s="11602" t="n"/>
      <c r="I82" s="11602" t="n"/>
      <c r="J82" s="11602" t="n"/>
      <c r="K82" s="11602" t="n"/>
      <c r="L82" s="11602" t="n"/>
      <c r="M82" s="11602" t="n"/>
      <c r="N82" s="11602" t="n"/>
      <c r="O82" s="11602" t="n"/>
      <c r="P82" s="11602" t="n"/>
      <c r="Q82" s="11602" t="n"/>
      <c r="R82" s="11602" t="n"/>
      <c r="S82" s="11602" t="n"/>
      <c r="T82" s="11602" t="n"/>
      <c r="U82" s="11602" t="n"/>
      <c r="V82" s="5890" t="n"/>
      <c r="W82" s="11938" t="n"/>
      <c r="X82" s="194" t="n"/>
      <c r="Y82" s="194" t="n"/>
      <c r="Z82" s="194" t="n"/>
      <c r="AA82" s="11726" t="n"/>
      <c r="AB82" s="5884" t="n"/>
      <c r="AC82" s="7566" t="n"/>
      <c r="AD82" s="5405" t="n"/>
      <c r="AE82" s="5405" t="n"/>
      <c r="AF82" s="5405" t="n"/>
      <c r="AG82" s="5405" t="n"/>
      <c r="AH82" s="1277" t="n"/>
      <c r="AI82" s="11602" t="n"/>
      <c r="AJ82" s="6608" t="n"/>
      <c r="AK82" s="2875" t="n"/>
      <c r="AL82" s="11602" t="n"/>
      <c r="AM82" s="5888" t="n"/>
      <c r="AN82" s="11602" t="n"/>
      <c r="AP82" s="11602" t="n"/>
      <c r="AQ82" s="11602" t="n"/>
      <c r="AR82" s="769" t="n"/>
      <c r="AS82" s="769" t="n"/>
      <c r="AT82" s="769" t="n"/>
      <c r="AU82" s="769" t="n"/>
      <c r="AV82" s="769" t="n"/>
      <c r="AW82" s="769" t="n"/>
      <c r="AX82" s="769" t="n"/>
      <c r="AY82" s="769" t="n"/>
      <c r="AZ82" s="769" t="n"/>
      <c r="BA82" s="769" t="n"/>
      <c r="BB82" s="769" t="n"/>
    </row>
    <row r="83" ht="18.75" customHeight="1" s="7635">
      <c r="A83" s="1277" t="n"/>
      <c r="B83" s="11602" t="n"/>
      <c r="C83" s="2039" t="n"/>
      <c r="D83" s="2006" t="inlineStr">
        <is>
          <t>prize money reported on line 8m</t>
        </is>
      </c>
      <c r="E83" s="11602" t="n"/>
      <c r="F83" s="11602" t="n"/>
      <c r="G83" s="11602" t="n"/>
      <c r="H83" s="11602" t="n"/>
      <c r="I83" s="11602" t="n"/>
      <c r="J83" s="11602" t="n"/>
      <c r="K83" s="11602" t="n"/>
      <c r="L83" s="11602" t="n"/>
      <c r="M83" s="11602" t="n"/>
      <c r="N83" s="11602" t="n"/>
      <c r="O83" s="11602" t="n"/>
      <c r="P83" s="11602" t="n"/>
      <c r="Q83" s="11602" t="n"/>
      <c r="R83" s="11602" t="n"/>
      <c r="S83" s="11602" t="n"/>
      <c r="T83" s="11602" t="n"/>
      <c r="U83" s="1657" t="inlineStr">
        <is>
          <t xml:space="preserve">.   .   .   .   .   .   .   .   .   .   .   .   .   .   .   .   .   .  </t>
        </is>
      </c>
      <c r="V83" s="5372" t="inlineStr">
        <is>
          <t>24c</t>
        </is>
      </c>
      <c r="W83" s="7579" t="n"/>
      <c r="X83" s="11717" t="n"/>
      <c r="Y83" s="11717" t="n"/>
      <c r="Z83" s="11717" t="n"/>
      <c r="AA83" s="11718" t="n"/>
      <c r="AB83" s="5884" t="n"/>
      <c r="AC83" s="7561">
        <f>ROUND(W83,0)</f>
        <v/>
      </c>
      <c r="AH83" s="1277" t="n"/>
      <c r="AI83" s="11602" t="n"/>
      <c r="AJ83" s="6608" t="n"/>
      <c r="AK83" s="2875" t="n"/>
      <c r="AL83" s="11602" t="n"/>
      <c r="AM83" s="5888" t="n"/>
      <c r="AN83" s="11602" t="n"/>
      <c r="AO83" s="5888" t="n"/>
      <c r="AP83" s="11602" t="n"/>
      <c r="AQ83" s="11602" t="n"/>
      <c r="AR83" s="769" t="n"/>
      <c r="AS83" s="769" t="n"/>
      <c r="AT83" s="769" t="n"/>
      <c r="AU83" s="769" t="n"/>
      <c r="AV83" s="769" t="n"/>
      <c r="AW83" s="769" t="n"/>
      <c r="AX83" s="769" t="n"/>
      <c r="AY83" s="769" t="n"/>
      <c r="AZ83" s="769" t="n"/>
      <c r="BA83" s="769" t="n"/>
      <c r="BB83" s="769" t="n"/>
    </row>
    <row r="84" ht="18.75" customHeight="1" s="7635">
      <c r="A84" s="1277" t="n"/>
      <c r="B84" s="11602" t="n"/>
      <c r="C84" s="2039" t="inlineStr">
        <is>
          <t>d</t>
        </is>
      </c>
      <c r="D84" s="7772" t="inlineStr">
        <is>
          <t>Reforestation amortization and expenses</t>
        </is>
      </c>
      <c r="E84" s="11602" t="n"/>
      <c r="F84" s="11602" t="n"/>
      <c r="G84" s="11602" t="n"/>
      <c r="H84" s="11602" t="n"/>
      <c r="I84" s="11602" t="n"/>
      <c r="J84" s="11602" t="n"/>
      <c r="K84" s="11602" t="n"/>
      <c r="L84" s="11602" t="n"/>
      <c r="M84" s="11602" t="n"/>
      <c r="N84" s="11602" t="n"/>
      <c r="O84" s="11602" t="n"/>
      <c r="P84" s="11602" t="n"/>
      <c r="Q84" s="11602" t="n"/>
      <c r="R84" s="11602" t="n"/>
      <c r="S84" s="11602" t="n"/>
      <c r="T84" s="11602" t="n"/>
      <c r="U84" s="1657" t="inlineStr">
        <is>
          <t xml:space="preserve">.   .   .   .   .   .   .   .   .   .   .   .   .   .   .  </t>
        </is>
      </c>
      <c r="V84" s="5372" t="inlineStr">
        <is>
          <t>24d</t>
        </is>
      </c>
      <c r="W84" s="7579" t="n"/>
      <c r="X84" s="11717" t="n"/>
      <c r="Y84" s="11717" t="n"/>
      <c r="Z84" s="11717" t="n"/>
      <c r="AA84" s="11718" t="n"/>
      <c r="AB84" s="5884" t="n"/>
      <c r="AC84" s="7561">
        <f>ROUND(W84,0)</f>
        <v/>
      </c>
      <c r="AH84" s="1277" t="n"/>
      <c r="AI84" s="11602" t="n"/>
      <c r="AJ84" s="6608" t="n"/>
      <c r="AK84" s="2875" t="n"/>
      <c r="AL84" s="11602" t="n"/>
      <c r="AM84" s="5888" t="n"/>
      <c r="AN84" s="11602" t="n"/>
      <c r="AO84" s="5888" t="n"/>
      <c r="AP84" s="11602" t="n"/>
      <c r="AQ84" s="11602" t="n"/>
      <c r="AR84" s="769" t="n"/>
      <c r="AS84" s="769" t="n"/>
      <c r="AT84" s="769" t="n"/>
      <c r="AU84" s="769" t="n"/>
      <c r="AV84" s="769" t="n"/>
      <c r="AW84" s="769" t="n"/>
      <c r="AX84" s="769" t="n"/>
      <c r="AY84" s="769" t="n"/>
      <c r="AZ84" s="769" t="n"/>
      <c r="BA84" s="769" t="n"/>
      <c r="BB84" s="769" t="n"/>
    </row>
    <row r="85" ht="18.75" customHeight="1" s="7635">
      <c r="A85" s="1277" t="n"/>
      <c r="B85" s="11602" t="n"/>
      <c r="C85" s="2039" t="inlineStr">
        <is>
          <t>e</t>
        </is>
      </c>
      <c r="D85" s="7772" t="inlineStr">
        <is>
          <t>Repayment of supplemental unemployment benefits under the Trade Act of</t>
        </is>
      </c>
      <c r="E85" s="11602" t="n"/>
      <c r="F85" s="11602" t="n"/>
      <c r="G85" s="11602" t="n"/>
      <c r="H85" s="11602" t="n"/>
      <c r="I85" s="11602" t="n"/>
      <c r="J85" s="11602" t="n"/>
      <c r="K85" s="11602" t="n"/>
      <c r="L85" s="11602" t="n"/>
      <c r="M85" s="11602" t="n"/>
      <c r="N85" s="11602" t="n"/>
      <c r="O85" s="11602" t="n"/>
      <c r="P85" s="11602" t="n"/>
      <c r="Q85" s="11602" t="n"/>
      <c r="R85" s="11602" t="n"/>
      <c r="S85" s="11602" t="n"/>
      <c r="T85" s="11602" t="n"/>
      <c r="U85" s="11602" t="n"/>
      <c r="V85" s="5890" t="n"/>
      <c r="W85" s="11938" t="n"/>
      <c r="X85" s="194" t="n"/>
      <c r="Y85" s="194" t="n"/>
      <c r="Z85" s="194" t="n"/>
      <c r="AA85" s="11726" t="n"/>
      <c r="AB85" s="5884" t="n"/>
      <c r="AC85" s="7566" t="n"/>
      <c r="AD85" s="5405" t="n"/>
      <c r="AE85" s="5405" t="n"/>
      <c r="AF85" s="5405" t="n"/>
      <c r="AG85" s="5405" t="n"/>
      <c r="AH85" s="1277" t="n"/>
      <c r="AI85" s="11602" t="n"/>
      <c r="AJ85" s="6608" t="n"/>
      <c r="AK85" s="2875" t="n"/>
      <c r="AL85" s="11602" t="n"/>
      <c r="AM85" s="5888" t="n"/>
      <c r="AN85" s="11602" t="n"/>
      <c r="AO85" s="5888" t="n"/>
      <c r="AP85" s="11602" t="n"/>
      <c r="AQ85" s="11602" t="n"/>
      <c r="AR85" s="769" t="n"/>
      <c r="AS85" s="769" t="n"/>
      <c r="AT85" s="769" t="n"/>
      <c r="AU85" s="769" t="n"/>
      <c r="AV85" s="769" t="n"/>
      <c r="AW85" s="769" t="n"/>
      <c r="AX85" s="769" t="n"/>
      <c r="AY85" s="769" t="n"/>
      <c r="AZ85" s="769" t="n"/>
      <c r="BA85" s="769" t="n"/>
      <c r="BB85" s="769" t="n"/>
    </row>
    <row r="86" ht="18.75" customHeight="1" s="7635">
      <c r="A86" s="1277" t="n"/>
      <c r="B86" s="11602" t="n"/>
      <c r="C86" s="2039" t="n"/>
      <c r="D86" s="6136" t="inlineStr">
        <is>
          <t>1974</t>
        </is>
      </c>
      <c r="E86" s="11602" t="n"/>
      <c r="F86" s="11602" t="n"/>
      <c r="G86" s="11602" t="n"/>
      <c r="H86" s="11602" t="n"/>
      <c r="I86" s="11602" t="n"/>
      <c r="J86" s="11602" t="n"/>
      <c r="K86" s="11602" t="n"/>
      <c r="L86" s="11602" t="n"/>
      <c r="M86" s="11602" t="n"/>
      <c r="N86" s="11602" t="n"/>
      <c r="O86" s="11602" t="n"/>
      <c r="P86" s="11602" t="n"/>
      <c r="Q86" s="11602" t="n"/>
      <c r="R86" s="11602" t="n"/>
      <c r="S86" s="11602" t="n"/>
      <c r="T86" s="11602" t="n"/>
      <c r="U86" s="1657" t="inlineStr">
        <is>
          <t xml:space="preserve">.   .   .   .   .   .   .   .   .   .   .   .   .   .   .   .   .   .   .   .   .   .   .   .   .   .   .   .   .   .   .   .  </t>
        </is>
      </c>
      <c r="V86" s="5372" t="inlineStr">
        <is>
          <t>24e</t>
        </is>
      </c>
      <c r="W86" s="7579" t="n"/>
      <c r="X86" s="11717" t="n"/>
      <c r="Y86" s="11717" t="n"/>
      <c r="Z86" s="11717" t="n"/>
      <c r="AA86" s="11718" t="n"/>
      <c r="AB86" s="5884" t="n"/>
      <c r="AC86" s="7561">
        <f>ROUND(W86,0)</f>
        <v/>
      </c>
      <c r="AH86" s="1277" t="n"/>
      <c r="AI86" s="11602" t="n"/>
      <c r="AJ86" s="6608" t="n"/>
      <c r="AK86" s="2875" t="n"/>
      <c r="AL86" s="11602" t="n"/>
      <c r="AM86" s="5888" t="n"/>
      <c r="AN86" s="11602" t="n"/>
      <c r="AO86" s="5888" t="n"/>
      <c r="AP86" s="11602" t="n"/>
      <c r="AQ86" s="11602" t="n"/>
      <c r="AR86" s="769" t="n"/>
      <c r="AS86" s="769" t="n"/>
      <c r="AT86" s="769" t="n"/>
      <c r="AU86" s="769" t="n"/>
      <c r="AV86" s="769" t="n"/>
      <c r="AW86" s="769" t="n"/>
      <c r="AX86" s="769" t="n"/>
      <c r="AY86" s="769" t="n"/>
      <c r="AZ86" s="769" t="n"/>
      <c r="BA86" s="769" t="n"/>
      <c r="BB86" s="769" t="n"/>
    </row>
    <row r="87" ht="18.75" customHeight="1" s="7635">
      <c r="A87" s="1277" t="n"/>
      <c r="B87" s="11602" t="n"/>
      <c r="C87" s="2039" t="inlineStr">
        <is>
          <t>f</t>
        </is>
      </c>
      <c r="D87" s="7772" t="inlineStr">
        <is>
          <t>Contributions to section 501(c)(18)(D) pension plans</t>
        </is>
      </c>
      <c r="E87" s="11602" t="n"/>
      <c r="F87" s="11602" t="n"/>
      <c r="G87" s="11602" t="n"/>
      <c r="H87" s="11602" t="n"/>
      <c r="I87" s="11602" t="n"/>
      <c r="J87" s="11602" t="n"/>
      <c r="K87" s="11602" t="n"/>
      <c r="L87" s="11602" t="n"/>
      <c r="M87" s="11602" t="n"/>
      <c r="N87" s="11602" t="n"/>
      <c r="O87" s="11602" t="n"/>
      <c r="P87" s="11602" t="n"/>
      <c r="Q87" s="11602" t="n"/>
      <c r="R87" s="11602" t="n"/>
      <c r="S87" s="11602" t="n"/>
      <c r="T87" s="11602" t="n"/>
      <c r="U87" s="1657" t="inlineStr">
        <is>
          <t xml:space="preserve">.   .   .   .   .   .   .   .   .   .   .  </t>
        </is>
      </c>
      <c r="V87" s="5372" t="inlineStr">
        <is>
          <t>24f</t>
        </is>
      </c>
      <c r="W87" s="7579" t="n"/>
      <c r="X87" s="11717" t="n"/>
      <c r="Y87" s="11717" t="n"/>
      <c r="Z87" s="11717" t="n"/>
      <c r="AA87" s="11718" t="n"/>
      <c r="AB87" s="5884" t="n"/>
      <c r="AC87" s="7561">
        <f>ROUND(W87,0)</f>
        <v/>
      </c>
      <c r="AH87" s="1277" t="n"/>
      <c r="AI87" s="11602" t="n"/>
      <c r="AJ87" s="6608" t="n"/>
      <c r="AK87" s="2875" t="n"/>
      <c r="AL87" s="11602" t="n"/>
      <c r="AM87" s="5888" t="n"/>
      <c r="AN87" s="11602" t="n"/>
      <c r="AO87" s="5888" t="n"/>
      <c r="AP87" s="11602" t="n"/>
      <c r="AQ87" s="11602" t="n"/>
      <c r="AR87" s="769" t="n"/>
      <c r="AS87" s="769" t="n"/>
      <c r="AT87" s="769" t="n"/>
      <c r="AU87" s="769" t="n"/>
      <c r="AV87" s="769" t="n"/>
      <c r="AW87" s="769" t="n"/>
      <c r="AX87" s="769" t="n"/>
      <c r="AY87" s="769" t="n"/>
      <c r="AZ87" s="769" t="n"/>
      <c r="BA87" s="769" t="n"/>
      <c r="BB87" s="769" t="n"/>
    </row>
    <row r="88" ht="18.75" customHeight="1" s="7635">
      <c r="A88" s="1277" t="n"/>
      <c r="B88" s="11602" t="n"/>
      <c r="C88" s="2039" t="inlineStr">
        <is>
          <t>g</t>
        </is>
      </c>
      <c r="D88" s="7772" t="inlineStr">
        <is>
          <t>Contributions by certain chaplains to section 403(b) plans</t>
        </is>
      </c>
      <c r="E88" s="11602" t="n"/>
      <c r="F88" s="11602" t="n"/>
      <c r="G88" s="11602" t="n"/>
      <c r="H88" s="11602" t="n"/>
      <c r="I88" s="11602" t="n"/>
      <c r="J88" s="11602" t="n"/>
      <c r="K88" s="11602" t="n"/>
      <c r="L88" s="11602" t="n"/>
      <c r="M88" s="11602" t="n"/>
      <c r="N88" s="11602" t="n"/>
      <c r="O88" s="11602" t="n"/>
      <c r="P88" s="11602" t="n"/>
      <c r="Q88" s="11602" t="n"/>
      <c r="R88" s="11602" t="n"/>
      <c r="S88" s="11602" t="n"/>
      <c r="T88" s="11602" t="n"/>
      <c r="U88" s="1657" t="inlineStr">
        <is>
          <t xml:space="preserve">.   .   .   .   .   .   .   .   .  </t>
        </is>
      </c>
      <c r="V88" s="5372" t="inlineStr">
        <is>
          <t>24g</t>
        </is>
      </c>
      <c r="W88" s="7579" t="n"/>
      <c r="X88" s="11717" t="n"/>
      <c r="Y88" s="11717" t="n"/>
      <c r="Z88" s="11717" t="n"/>
      <c r="AA88" s="11718" t="n"/>
      <c r="AB88" s="5884" t="n"/>
      <c r="AC88" s="7561">
        <f>ROUND(W88,0)</f>
        <v/>
      </c>
      <c r="AH88" s="1277" t="n"/>
      <c r="AI88" s="11602" t="n"/>
      <c r="AJ88" s="6608" t="n"/>
      <c r="AK88" s="2875" t="n"/>
      <c r="AL88" s="11602" t="n"/>
      <c r="AM88" s="5888" t="n"/>
      <c r="AN88" s="11602" t="n"/>
      <c r="AO88" s="5888" t="n"/>
      <c r="AP88" s="11602" t="n"/>
      <c r="AQ88" s="11602" t="n"/>
      <c r="AR88" s="769" t="n"/>
      <c r="AS88" s="769" t="n"/>
      <c r="AT88" s="769" t="n"/>
      <c r="AU88" s="769" t="n"/>
      <c r="AV88" s="769" t="n"/>
      <c r="AW88" s="769" t="n"/>
      <c r="AX88" s="769" t="n"/>
      <c r="AY88" s="769" t="n"/>
      <c r="AZ88" s="769" t="n"/>
      <c r="BA88" s="769" t="n"/>
      <c r="BB88" s="769" t="n"/>
    </row>
    <row r="89" ht="18.75" customHeight="1" s="7635">
      <c r="A89" s="1277" t="n"/>
      <c r="B89" s="11602" t="n"/>
      <c r="C89" s="2039" t="inlineStr">
        <is>
          <t>h</t>
        </is>
      </c>
      <c r="D89" s="7772" t="inlineStr">
        <is>
          <t>Attorney fees and court costs for actions involving certain unlawful</t>
        </is>
      </c>
      <c r="E89" s="11602" t="n"/>
      <c r="F89" s="11602" t="n"/>
      <c r="G89" s="11602" t="n"/>
      <c r="H89" s="11602" t="n"/>
      <c r="I89" s="11602" t="n"/>
      <c r="J89" s="11602" t="n"/>
      <c r="K89" s="11602" t="n"/>
      <c r="L89" s="11602" t="n"/>
      <c r="M89" s="11602" t="n"/>
      <c r="N89" s="11602" t="n"/>
      <c r="O89" s="11602" t="n"/>
      <c r="P89" s="11602" t="n"/>
      <c r="Q89" s="11602" t="n"/>
      <c r="R89" s="11602" t="n"/>
      <c r="S89" s="11602" t="n"/>
      <c r="T89" s="11602" t="n"/>
      <c r="U89" s="11602" t="n"/>
      <c r="V89" s="5890" t="n"/>
      <c r="W89" s="11938" t="n"/>
      <c r="X89" s="194" t="n"/>
      <c r="Y89" s="194" t="n"/>
      <c r="Z89" s="194" t="n"/>
      <c r="AA89" s="11726" t="n"/>
      <c r="AB89" s="5884" t="n"/>
      <c r="AC89" s="7566" t="n"/>
      <c r="AD89" s="5405" t="n"/>
      <c r="AE89" s="5405" t="n"/>
      <c r="AF89" s="5405" t="n"/>
      <c r="AG89" s="5405" t="n"/>
      <c r="AH89" s="1277" t="n"/>
      <c r="AI89" s="11602" t="n"/>
      <c r="AJ89" s="6608" t="n"/>
      <c r="AK89" s="2875" t="n"/>
      <c r="AL89" s="11602" t="n"/>
      <c r="AM89" s="5888" t="n"/>
      <c r="AN89" s="11602" t="n"/>
      <c r="AO89" s="5888" t="n"/>
      <c r="AP89" s="11602" t="n"/>
      <c r="AQ89" s="11602" t="n"/>
      <c r="AR89" s="769" t="n"/>
      <c r="AS89" s="769" t="n"/>
      <c r="AT89" s="769" t="n"/>
      <c r="AU89" s="769" t="n"/>
      <c r="AV89" s="769" t="n"/>
      <c r="AW89" s="769" t="n"/>
      <c r="AX89" s="769" t="n"/>
      <c r="AY89" s="769" t="n"/>
      <c r="AZ89" s="769" t="n"/>
      <c r="BA89" s="769" t="n"/>
      <c r="BB89" s="769" t="n"/>
    </row>
    <row r="90" ht="18.75" customHeight="1" s="7635">
      <c r="A90" s="1277" t="n"/>
      <c r="B90" s="11602" t="n"/>
      <c r="C90" s="2039" t="n"/>
      <c r="D90" s="2006" t="inlineStr">
        <is>
          <t>discrimination claims (see instructions)</t>
        </is>
      </c>
      <c r="E90" s="11602" t="n"/>
      <c r="F90" s="11602" t="n"/>
      <c r="G90" s="11602" t="n"/>
      <c r="H90" s="11602" t="n"/>
      <c r="I90" s="11602" t="n"/>
      <c r="J90" s="11602" t="n"/>
      <c r="K90" s="11602" t="n"/>
      <c r="L90" s="11602" t="n"/>
      <c r="M90" s="11602" t="n"/>
      <c r="N90" s="11602" t="n"/>
      <c r="O90" s="11602" t="n"/>
      <c r="P90" s="11602" t="n"/>
      <c r="Q90" s="11602" t="n"/>
      <c r="R90" s="11602" t="n"/>
      <c r="S90" s="11602" t="n"/>
      <c r="T90" s="11602" t="n"/>
      <c r="U90" s="1657" t="inlineStr">
        <is>
          <t xml:space="preserve">.   .   .   .   .   .   .   .   .   .   .   .   .   .   .   .   .  </t>
        </is>
      </c>
      <c r="V90" s="5372" t="inlineStr">
        <is>
          <t>24h</t>
        </is>
      </c>
      <c r="W90" s="7579" t="n"/>
      <c r="X90" s="11717" t="n"/>
      <c r="Y90" s="11717" t="n"/>
      <c r="Z90" s="11717" t="n"/>
      <c r="AA90" s="11718" t="n"/>
      <c r="AB90" s="5884" t="n"/>
      <c r="AC90" s="7561">
        <f>ROUND(W90,0)</f>
        <v/>
      </c>
      <c r="AH90" s="1277" t="n"/>
      <c r="AI90" s="11602" t="n"/>
      <c r="AJ90" s="6608" t="n"/>
      <c r="AK90" s="2875" t="n"/>
      <c r="AL90" s="11602" t="n"/>
      <c r="AM90" s="5888" t="n"/>
      <c r="AN90" s="11602" t="n"/>
      <c r="AO90" s="5888" t="n"/>
      <c r="AP90" s="11602" t="n"/>
      <c r="AQ90" s="11602" t="n"/>
      <c r="AR90" s="769" t="n"/>
      <c r="AS90" s="769" t="n"/>
      <c r="AT90" s="769" t="n"/>
      <c r="AU90" s="769" t="n"/>
      <c r="AV90" s="769" t="n"/>
      <c r="AW90" s="769" t="n"/>
      <c r="AX90" s="769" t="n"/>
      <c r="AY90" s="769" t="n"/>
      <c r="AZ90" s="769" t="n"/>
      <c r="BA90" s="769" t="n"/>
      <c r="BB90" s="769" t="n"/>
    </row>
    <row r="91" ht="18.75" customHeight="1" s="7635">
      <c r="A91" s="1277" t="n"/>
      <c r="B91" s="11602" t="n"/>
      <c r="C91" s="2039" t="inlineStr">
        <is>
          <t>i</t>
        </is>
      </c>
      <c r="D91" s="7772" t="inlineStr">
        <is>
          <t>Attorney fees and court costs you paid in connection with an award from the</t>
        </is>
      </c>
      <c r="E91" s="11602" t="n"/>
      <c r="F91" s="11602" t="n"/>
      <c r="G91" s="11602" t="n"/>
      <c r="H91" s="11602" t="n"/>
      <c r="I91" s="11602" t="n"/>
      <c r="J91" s="11602" t="n"/>
      <c r="K91" s="11602" t="n"/>
      <c r="L91" s="11602" t="n"/>
      <c r="M91" s="11602" t="n"/>
      <c r="N91" s="11602" t="n"/>
      <c r="O91" s="11602" t="n"/>
      <c r="P91" s="11602" t="n"/>
      <c r="Q91" s="11602" t="n"/>
      <c r="R91" s="11602" t="n"/>
      <c r="S91" s="11602" t="n"/>
      <c r="T91" s="11602" t="n"/>
      <c r="U91" s="11602" t="n"/>
      <c r="V91" s="5382" t="n"/>
      <c r="W91" s="11947" t="n"/>
      <c r="X91" s="11745" t="n"/>
      <c r="Y91" s="11745" t="n"/>
      <c r="Z91" s="11745" t="n"/>
      <c r="AA91" s="11948" t="n"/>
      <c r="AB91" s="5884" t="n"/>
      <c r="AC91" s="7566" t="n"/>
      <c r="AD91" s="5405" t="n"/>
      <c r="AE91" s="5405" t="n"/>
      <c r="AF91" s="5405" t="n"/>
      <c r="AG91" s="5405" t="n"/>
      <c r="AH91" s="1277" t="n"/>
      <c r="AI91" s="11602" t="n"/>
      <c r="AJ91" s="6608" t="n"/>
      <c r="AK91" s="2875" t="n"/>
      <c r="AL91" s="11602" t="n"/>
      <c r="AM91" s="5888" t="n"/>
      <c r="AN91" s="11602" t="n"/>
      <c r="AO91" s="5888" t="n"/>
      <c r="AP91" s="11602" t="n"/>
      <c r="AQ91" s="11602" t="n"/>
      <c r="AR91" s="769" t="n"/>
      <c r="AS91" s="769" t="n"/>
      <c r="AT91" s="769" t="n"/>
      <c r="AU91" s="769" t="n"/>
      <c r="AV91" s="769" t="n"/>
      <c r="AW91" s="769" t="n"/>
      <c r="AX91" s="769" t="n"/>
      <c r="AY91" s="769" t="n"/>
      <c r="AZ91" s="769" t="n"/>
      <c r="BA91" s="769" t="n"/>
      <c r="BB91" s="769" t="n"/>
    </row>
    <row r="92" ht="18.75" customHeight="1" s="7635">
      <c r="A92" s="1277" t="n"/>
      <c r="B92" s="11602" t="n"/>
      <c r="C92" s="2039" t="n"/>
      <c r="D92" s="7772" t="inlineStr">
        <is>
          <t>IRS for information you provided that helped the IRS detect tax law violations</t>
        </is>
      </c>
      <c r="E92" s="11602" t="n"/>
      <c r="F92" s="11602" t="n"/>
      <c r="G92" s="11602" t="n"/>
      <c r="H92" s="11602" t="n"/>
      <c r="I92" s="11602" t="n"/>
      <c r="J92" s="11602" t="n"/>
      <c r="K92" s="11602" t="n"/>
      <c r="L92" s="11602" t="n"/>
      <c r="M92" s="11602" t="n"/>
      <c r="N92" s="11602" t="n"/>
      <c r="O92" s="11602" t="n"/>
      <c r="P92" s="11602" t="n"/>
      <c r="Q92" s="11602" t="n"/>
      <c r="R92" s="11602" t="n"/>
      <c r="S92" s="11602" t="n"/>
      <c r="T92" s="11602" t="n"/>
      <c r="U92" s="1657" t="inlineStr">
        <is>
          <t xml:space="preserve">.   .  </t>
        </is>
      </c>
      <c r="V92" s="5372" t="inlineStr">
        <is>
          <t>24i</t>
        </is>
      </c>
      <c r="W92" s="7579" t="n"/>
      <c r="X92" s="11717" t="n"/>
      <c r="Y92" s="11717" t="n"/>
      <c r="Z92" s="11717" t="n"/>
      <c r="AA92" s="11718" t="n"/>
      <c r="AB92" s="5884" t="n"/>
      <c r="AC92" s="7561">
        <f>ROUND(W92,0)</f>
        <v/>
      </c>
      <c r="AH92" s="1277" t="n"/>
      <c r="AI92" s="11602" t="n"/>
      <c r="AJ92" s="6608" t="n"/>
      <c r="AK92" s="2875" t="n"/>
      <c r="AL92" s="11602" t="n"/>
      <c r="AM92" s="5888" t="n"/>
      <c r="AN92" s="11602" t="n"/>
      <c r="AO92" s="5888" t="n"/>
      <c r="AP92" s="11602" t="n"/>
      <c r="AQ92" s="11602" t="n"/>
      <c r="AR92" s="769" t="n"/>
      <c r="AS92" s="769" t="n"/>
      <c r="AT92" s="769" t="n"/>
      <c r="AU92" s="769" t="n"/>
      <c r="AV92" s="769" t="n"/>
      <c r="AW92" s="769" t="n"/>
      <c r="AX92" s="769" t="n"/>
      <c r="AY92" s="769" t="n"/>
      <c r="AZ92" s="769" t="n"/>
      <c r="BA92" s="769" t="n"/>
      <c r="BB92" s="769" t="n"/>
    </row>
    <row r="93" ht="18.75" customHeight="1" s="7635">
      <c r="A93" s="1277" t="n"/>
      <c r="B93" s="11602" t="n"/>
      <c r="C93" s="2039" t="inlineStr">
        <is>
          <t>j</t>
        </is>
      </c>
      <c r="D93" s="7772" t="inlineStr">
        <is>
          <t>Housing deduction from Form 2555</t>
        </is>
      </c>
      <c r="E93" s="11602" t="n"/>
      <c r="F93" s="11602" t="n"/>
      <c r="G93" s="11602" t="n"/>
      <c r="H93" s="11602" t="n"/>
      <c r="I93" s="11602" t="n"/>
      <c r="J93" s="11602" t="n"/>
      <c r="K93" s="11602" t="n"/>
      <c r="L93" s="11602" t="n"/>
      <c r="M93" s="11602" t="n"/>
      <c r="N93" s="11602" t="n"/>
      <c r="O93" s="11602" t="n"/>
      <c r="P93" s="11602" t="n"/>
      <c r="Q93" s="11602" t="n"/>
      <c r="R93" s="11602" t="n"/>
      <c r="S93" s="11602" t="n"/>
      <c r="T93" s="11602" t="n"/>
      <c r="U93" s="1657" t="inlineStr">
        <is>
          <t xml:space="preserve">.   .   .   .   .   .   .   .   .   .   .   .   .   .   .   .   .  </t>
        </is>
      </c>
      <c r="V93" s="5372" t="inlineStr">
        <is>
          <t>24j</t>
        </is>
      </c>
      <c r="W93" s="7592">
        <f>IF(AK93&lt;&gt;"",ROUND(AK93,0),ForeignHousingDeductionTotal)</f>
        <v/>
      </c>
      <c r="X93" s="7637" t="n"/>
      <c r="Y93" s="7637" t="n"/>
      <c r="Z93" s="7637" t="n"/>
      <c r="AA93" s="7638" t="n"/>
      <c r="AB93" s="5884" t="n"/>
      <c r="AC93" s="7561">
        <f>ROUND(W93,0)</f>
        <v/>
      </c>
      <c r="AH93" s="1277" t="n"/>
      <c r="AI93" s="11602" t="n"/>
      <c r="AJ93" s="6608" t="n"/>
      <c r="AK93" s="6135" t="n"/>
      <c r="AL93" s="11602" t="n"/>
      <c r="AM93" s="344" t="inlineStr">
        <is>
          <t>Sheet "2555", line 50</t>
        </is>
      </c>
      <c r="AN93" s="11602" t="n"/>
      <c r="AO93" s="5888" t="n"/>
      <c r="AP93" s="11602" t="n"/>
      <c r="AQ93" s="11602" t="n"/>
      <c r="AR93" s="769" t="n"/>
      <c r="AS93" s="769" t="n"/>
      <c r="AT93" s="769" t="n"/>
      <c r="AU93" s="769" t="n"/>
      <c r="AV93" s="769" t="n"/>
      <c r="AW93" s="769" t="n"/>
      <c r="AX93" s="769" t="n"/>
      <c r="AY93" s="769" t="n"/>
      <c r="AZ93" s="769" t="n"/>
      <c r="BA93" s="769" t="n"/>
      <c r="BB93" s="769" t="n"/>
    </row>
    <row r="94" ht="18.75" customHeight="1" s="7635">
      <c r="A94" s="1277" t="n"/>
      <c r="B94" s="11602" t="n"/>
      <c r="C94" s="2039" t="inlineStr">
        <is>
          <t>k</t>
        </is>
      </c>
      <c r="D94" s="7772" t="inlineStr">
        <is>
          <t>Excess deductions of section 67(e) expenses from Sch. K-1 (Form 1041)</t>
        </is>
      </c>
      <c r="E94" s="11602" t="n"/>
      <c r="F94" s="11602" t="n"/>
      <c r="G94" s="11602" t="n"/>
      <c r="H94" s="11602" t="n"/>
      <c r="I94" s="11602" t="n"/>
      <c r="J94" s="11602" t="n"/>
      <c r="K94" s="11602" t="n"/>
      <c r="L94" s="11602" t="n"/>
      <c r="M94" s="11602" t="n"/>
      <c r="N94" s="11602" t="n"/>
      <c r="O94" s="11602" t="n"/>
      <c r="P94" s="11602" t="n"/>
      <c r="Q94" s="11602" t="n"/>
      <c r="R94" s="11602" t="n"/>
      <c r="S94" s="11602" t="n"/>
      <c r="T94" s="11602" t="n"/>
      <c r="U94" s="1657" t="n"/>
      <c r="V94" s="5372" t="inlineStr">
        <is>
          <t>24k</t>
        </is>
      </c>
      <c r="W94" s="7579" t="n"/>
      <c r="X94" s="11717" t="n"/>
      <c r="Y94" s="11717" t="n"/>
      <c r="Z94" s="11717" t="n"/>
      <c r="AA94" s="11718" t="n"/>
      <c r="AB94" s="5884" t="n"/>
      <c r="AC94" s="7561">
        <f>ROUND(W94,0)</f>
        <v/>
      </c>
      <c r="AH94" s="1277" t="n"/>
      <c r="AI94" s="11602" t="n"/>
      <c r="AJ94" s="6608" t="n"/>
      <c r="AK94" s="2875" t="n"/>
      <c r="AL94" s="11602" t="n"/>
      <c r="AM94" s="5888" t="n"/>
      <c r="AN94" s="11602" t="n"/>
      <c r="AO94" s="5888" t="n"/>
      <c r="AP94" s="11602" t="n"/>
      <c r="AQ94" s="11602" t="n"/>
      <c r="AR94" s="769" t="n"/>
      <c r="AS94" s="769" t="n"/>
      <c r="AT94" s="769" t="n"/>
      <c r="AU94" s="769" t="n"/>
      <c r="AV94" s="769" t="n"/>
      <c r="AW94" s="769" t="n"/>
      <c r="AX94" s="769" t="n"/>
      <c r="AY94" s="769" t="n"/>
      <c r="AZ94" s="769" t="n"/>
      <c r="BA94" s="769" t="n"/>
      <c r="BB94" s="769" t="n"/>
    </row>
    <row r="95" ht="18.75" customHeight="1" s="7635">
      <c r="A95" s="1277" t="n"/>
      <c r="B95" s="11602" t="n"/>
      <c r="C95" s="2039" t="inlineStr">
        <is>
          <t>z</t>
        </is>
      </c>
      <c r="D95" s="7772" t="inlineStr">
        <is>
          <t>Other adjustments.  List type and amount:</t>
        </is>
      </c>
      <c r="E95" s="11602" t="n"/>
      <c r="F95" s="11602" t="n"/>
      <c r="G95" s="11602" t="n"/>
      <c r="H95" s="11602" t="n"/>
      <c r="I95" s="11602" t="n"/>
      <c r="J95" s="11602" t="n"/>
      <c r="K95" s="11602" t="n"/>
      <c r="L95" s="11602" t="n"/>
      <c r="M95" s="11602" t="n"/>
      <c r="N95" s="1401" t="n"/>
      <c r="O95" s="11602" t="n"/>
      <c r="P95" s="11602" t="n"/>
      <c r="Q95" s="11602" t="n"/>
      <c r="R95" s="11602" t="n"/>
      <c r="S95" s="11602" t="n"/>
      <c r="T95" s="11602" t="n"/>
      <c r="U95" s="11602" t="n"/>
      <c r="V95" s="5890" t="n"/>
      <c r="W95" s="11938" t="n"/>
      <c r="X95" s="194" t="n"/>
      <c r="Y95" s="194" t="n"/>
      <c r="Z95" s="194" t="n"/>
      <c r="AA95" s="11726" t="n"/>
      <c r="AB95" s="5884" t="n"/>
      <c r="AC95" s="7566" t="n"/>
      <c r="AD95" s="5405" t="n"/>
      <c r="AE95" s="5405" t="n"/>
      <c r="AF95" s="5405" t="n"/>
      <c r="AG95" s="5405" t="n"/>
      <c r="AH95" s="1277" t="n"/>
      <c r="AI95" s="11602" t="n"/>
      <c r="AJ95" s="6608" t="n"/>
      <c r="AK95" s="2875" t="n"/>
      <c r="AL95" s="11602" t="n"/>
      <c r="AM95" s="5888" t="n"/>
      <c r="AN95" s="11602" t="n"/>
      <c r="AO95" s="5888" t="n"/>
      <c r="AP95" s="11602" t="n"/>
      <c r="AQ95" s="11602" t="n"/>
      <c r="AR95" s="769" t="n"/>
      <c r="AS95" s="769" t="n"/>
      <c r="AT95" s="769" t="n"/>
      <c r="AU95" s="769" t="n"/>
      <c r="AV95" s="769" t="n"/>
      <c r="AW95" s="769" t="n"/>
      <c r="AX95" s="769" t="n"/>
      <c r="AY95" s="769" t="n"/>
      <c r="AZ95" s="769" t="n"/>
      <c r="BA95" s="769" t="n"/>
      <c r="BB95" s="769" t="n"/>
    </row>
    <row r="96" ht="18.75" customHeight="1" s="7635">
      <c r="A96" s="1277" t="n"/>
      <c r="B96" s="11602" t="n"/>
      <c r="C96" s="8439" t="n"/>
      <c r="D96" s="7604" t="n"/>
      <c r="E96" s="11730" t="n"/>
      <c r="F96" s="11730" t="n"/>
      <c r="G96" s="11730" t="n"/>
      <c r="H96" s="11730" t="n"/>
      <c r="I96" s="11730" t="n"/>
      <c r="J96" s="11730" t="n"/>
      <c r="K96" s="11730" t="n"/>
      <c r="L96" s="11730" t="n"/>
      <c r="M96" s="11730" t="n"/>
      <c r="N96" s="11730" t="n"/>
      <c r="O96" s="11730" t="n"/>
      <c r="P96" s="11730" t="n"/>
      <c r="Q96" s="11730" t="n"/>
      <c r="R96" s="11730" t="n"/>
      <c r="S96" s="11730" t="n"/>
      <c r="T96" s="11730" t="n"/>
      <c r="U96" s="11602" t="n"/>
      <c r="V96" s="5890" t="n"/>
      <c r="W96" s="11938" t="n"/>
      <c r="X96" s="194" t="n"/>
      <c r="Y96" s="194" t="n"/>
      <c r="Z96" s="194" t="n"/>
      <c r="AA96" s="11726" t="n"/>
      <c r="AB96" s="5884" t="n"/>
      <c r="AC96" s="7561">
        <f>ROUND(W96,0)</f>
        <v/>
      </c>
      <c r="AH96" s="1277" t="n"/>
      <c r="AI96" s="11602" t="n"/>
      <c r="AJ96" s="6608" t="n"/>
      <c r="AK96" s="2875" t="n"/>
      <c r="AL96" s="11602" t="n"/>
      <c r="AM96" s="5888" t="n"/>
      <c r="AN96" s="11602" t="n"/>
      <c r="AO96" s="5888" t="n"/>
      <c r="AP96" s="11602" t="n"/>
      <c r="AQ96" s="11602" t="n"/>
      <c r="AR96" s="769" t="n"/>
      <c r="AS96" s="769" t="n"/>
      <c r="AT96" s="769" t="n"/>
      <c r="AU96" s="769" t="n"/>
      <c r="AV96" s="769" t="n"/>
      <c r="AW96" s="769" t="n"/>
      <c r="AX96" s="769" t="n"/>
      <c r="AY96" s="769" t="n"/>
      <c r="AZ96" s="769" t="n"/>
      <c r="BA96" s="769" t="n"/>
      <c r="BB96" s="769" t="n"/>
    </row>
    <row r="97" ht="18.75" customHeight="1" s="7635">
      <c r="A97" s="1277" t="n"/>
      <c r="B97" s="11602" t="n"/>
      <c r="C97" s="8439" t="n"/>
      <c r="D97" s="7604" t="n"/>
      <c r="E97" s="11730" t="n"/>
      <c r="F97" s="11730" t="n"/>
      <c r="G97" s="11730" t="n"/>
      <c r="H97" s="11730" t="n"/>
      <c r="I97" s="11730" t="n"/>
      <c r="J97" s="11730" t="n"/>
      <c r="K97" s="11730" t="n"/>
      <c r="L97" s="11730" t="n"/>
      <c r="M97" s="11730" t="n"/>
      <c r="N97" s="11730" t="n"/>
      <c r="O97" s="11730" t="n"/>
      <c r="P97" s="11730" t="n"/>
      <c r="Q97" s="11730" t="n"/>
      <c r="R97" s="11730" t="n"/>
      <c r="S97" s="11730" t="n"/>
      <c r="T97" s="11730" t="n"/>
      <c r="U97" s="11602" t="n"/>
      <c r="V97" s="5372" t="inlineStr">
        <is>
          <t>24z</t>
        </is>
      </c>
      <c r="W97" s="7579" t="n"/>
      <c r="X97" s="11717" t="n"/>
      <c r="Y97" s="11717" t="n"/>
      <c r="Z97" s="11717" t="n"/>
      <c r="AA97" s="11718" t="n"/>
      <c r="AB97" s="5884" t="n"/>
      <c r="AC97" s="7561">
        <f>ROUND(W97,0)</f>
        <v/>
      </c>
      <c r="AH97" s="1277" t="n"/>
      <c r="AI97" s="11602" t="n"/>
      <c r="AJ97" s="6608" t="n"/>
      <c r="AK97" s="2875" t="n"/>
      <c r="AL97" s="11602" t="n"/>
      <c r="AM97" s="5888" t="n"/>
      <c r="AN97" s="11602" t="n"/>
      <c r="AO97" s="5888" t="n"/>
      <c r="AP97" s="11602" t="n"/>
      <c r="AQ97" s="11602" t="n"/>
      <c r="AR97" s="769" t="n"/>
      <c r="AS97" s="769" t="n"/>
      <c r="AT97" s="769" t="n"/>
      <c r="AU97" s="769" t="n"/>
      <c r="AV97" s="769" t="n"/>
      <c r="AW97" s="769" t="n"/>
      <c r="AX97" s="769" t="n"/>
      <c r="AY97" s="769" t="n"/>
      <c r="AZ97" s="769" t="n"/>
      <c r="BA97" s="769" t="n"/>
      <c r="BB97" s="769" t="n"/>
    </row>
    <row r="98" ht="18.75" customHeight="1" s="7635">
      <c r="A98" s="1277" t="n"/>
      <c r="B98" s="11602" t="n"/>
      <c r="C98" s="10886" t="n">
        <v>25</v>
      </c>
      <c r="D98" s="7772" t="inlineStr">
        <is>
          <t>Total other adjustments. Add lines 24a through 24z</t>
        </is>
      </c>
      <c r="E98" s="11602" t="n"/>
      <c r="F98" s="11602" t="n"/>
      <c r="G98" s="11602" t="n"/>
      <c r="H98" s="11602" t="n"/>
      <c r="I98" s="11602" t="n"/>
      <c r="J98" s="11602" t="n"/>
      <c r="K98" s="11602" t="n"/>
      <c r="L98" s="11602" t="n"/>
      <c r="M98" s="11602" t="n"/>
      <c r="N98" s="11602" t="n"/>
      <c r="O98" s="11602" t="n"/>
      <c r="P98" s="11602" t="n"/>
      <c r="Q98" s="11602" t="n"/>
      <c r="R98" s="11602" t="n"/>
      <c r="S98" s="11602" t="n"/>
      <c r="T98" s="11602" t="n"/>
      <c r="U98" s="11602" t="n"/>
      <c r="V98" s="11602" t="n"/>
      <c r="W98" s="11602" t="n"/>
      <c r="X98" s="11602" t="n"/>
      <c r="Y98" s="11602" t="n"/>
      <c r="Z98" s="11602" t="n"/>
      <c r="AA98" s="1657" t="inlineStr">
        <is>
          <t xml:space="preserve">.   .   .   .   .   .   .   .   .   .   .   .   .   .   .   .   .   .   .   .  </t>
        </is>
      </c>
      <c r="AB98" s="8389" t="n">
        <v>25</v>
      </c>
      <c r="AC98" s="7595">
        <f>IF(AK98&lt;&gt;"",ROUND(AK98,0),SUM(AC79,AC81,AC83:AG84,AC86:AG88,AC90,AC92,AC93,AC94,AC97))</f>
        <v/>
      </c>
      <c r="AD98" s="7637" t="n"/>
      <c r="AE98" s="7637" t="n"/>
      <c r="AF98" s="7637" t="n"/>
      <c r="AG98" s="7637" t="n"/>
      <c r="AH98" s="1277" t="n"/>
      <c r="AI98" s="11602" t="n"/>
      <c r="AJ98" s="6608" t="n"/>
      <c r="AK98" s="6135" t="n"/>
      <c r="AL98" s="11602" t="n"/>
      <c r="AM98" s="6097" t="n"/>
      <c r="AN98" s="11602" t="n"/>
      <c r="AO98" s="6097" t="n"/>
      <c r="AP98" s="11602" t="n"/>
      <c r="AQ98" s="11602" t="n"/>
      <c r="AR98" s="769" t="n"/>
      <c r="AS98" s="769" t="n"/>
      <c r="AT98" s="769" t="n"/>
      <c r="AU98" s="769" t="n"/>
      <c r="AV98" s="769" t="n"/>
      <c r="AW98" s="769" t="n"/>
      <c r="AX98" s="769" t="n"/>
      <c r="AY98" s="769" t="n"/>
      <c r="AZ98" s="769" t="n"/>
      <c r="BA98" s="769" t="n"/>
      <c r="BB98" s="769" t="n"/>
    </row>
    <row r="99" ht="18.75" customHeight="1" s="7635">
      <c r="A99" s="1277" t="n"/>
      <c r="B99" s="8650" t="n"/>
      <c r="C99" s="8439" t="n">
        <v>26</v>
      </c>
      <c r="D99" s="7772" t="inlineStr">
        <is>
          <t>Add lines 11 through 23 and 25. These are your adjustments to income. Enter here and on Form</t>
        </is>
      </c>
      <c r="E99" s="11602" t="n"/>
      <c r="F99" s="11602" t="n"/>
      <c r="G99" s="11602" t="n"/>
      <c r="H99" s="11602" t="n"/>
      <c r="I99" s="11602" t="n"/>
      <c r="J99" s="11602" t="n"/>
      <c r="K99" s="11602" t="n"/>
      <c r="L99" s="11602" t="n"/>
      <c r="M99" s="11602" t="n"/>
      <c r="N99" s="11602" t="n"/>
      <c r="O99" s="11602" t="n"/>
      <c r="P99" s="11602" t="n"/>
      <c r="Q99" s="11602" t="n"/>
      <c r="R99" s="11602" t="n"/>
      <c r="S99" s="11602" t="n"/>
      <c r="T99" s="11602" t="n"/>
      <c r="U99" s="11602" t="n"/>
      <c r="V99" s="11602" t="n"/>
      <c r="W99" s="11602" t="n"/>
      <c r="X99" s="11602" t="n"/>
      <c r="Y99" s="11602" t="n"/>
      <c r="Z99" s="11602" t="n"/>
      <c r="AA99" s="11602" t="n"/>
      <c r="AB99" s="4452" t="n"/>
      <c r="AC99" s="7602" t="n"/>
      <c r="AD99" s="7839" t="n"/>
      <c r="AE99" s="7839" t="n"/>
      <c r="AF99" s="7839" t="n"/>
      <c r="AG99" s="7839" t="n"/>
      <c r="AH99" s="1277" t="n"/>
      <c r="AI99" s="11602" t="n"/>
      <c r="AJ99" s="6608" t="n"/>
      <c r="AK99" s="2875" t="n"/>
      <c r="AL99" s="11602" t="n"/>
      <c r="AM99" s="11602" t="n"/>
      <c r="AN99" s="11602" t="n"/>
      <c r="AO99" s="11602" t="n"/>
      <c r="AP99" s="11602" t="n"/>
      <c r="AQ99" s="11602" t="n"/>
      <c r="AR99" s="769" t="n"/>
      <c r="AS99" s="769" t="n"/>
      <c r="AT99" s="769" t="n"/>
      <c r="AU99" s="769" t="n"/>
      <c r="AV99" s="769" t="n"/>
      <c r="AW99" s="769" t="n"/>
      <c r="AX99" s="769" t="n"/>
      <c r="AY99" s="769" t="n"/>
      <c r="AZ99" s="769" t="n"/>
      <c r="BA99" s="769" t="n"/>
      <c r="BB99" s="769" t="n"/>
    </row>
    <row r="100" ht="15" customHeight="1" s="7635">
      <c r="A100" s="1277" t="n"/>
      <c r="B100" s="8650" t="n"/>
      <c r="C100" s="7642" t="n"/>
      <c r="D100" s="7772" t="inlineStr">
        <is>
          <t>1040, 1040-SR, or 1040-NR, line 10</t>
        </is>
      </c>
      <c r="E100" s="11602" t="n"/>
      <c r="F100" s="11602" t="n"/>
      <c r="G100" s="11602" t="n"/>
      <c r="H100" s="11602" t="n"/>
      <c r="I100" s="11602" t="n"/>
      <c r="J100" s="11602" t="n"/>
      <c r="K100" s="11602" t="n"/>
      <c r="L100" s="11602" t="n"/>
      <c r="M100" s="11602" t="n"/>
      <c r="N100" s="11602" t="n"/>
      <c r="O100" s="6098" t="n"/>
      <c r="P100" s="733" t="n"/>
      <c r="Q100" s="733" t="n"/>
      <c r="R100" s="733" t="n"/>
      <c r="S100" s="733" t="n"/>
      <c r="T100" s="733" t="n"/>
      <c r="U100" s="733" t="n"/>
      <c r="V100" s="733" t="n"/>
      <c r="W100" s="733" t="n"/>
      <c r="X100" s="733" t="n"/>
      <c r="Y100" s="733" t="n"/>
      <c r="Z100" s="733" t="n"/>
      <c r="AA100" s="1657" t="inlineStr">
        <is>
          <t xml:space="preserve">.   .   .   .   .   .   .   .   .   .   .   .   .   .   .   .   .   .   .   .   .   .   .   .   .  </t>
        </is>
      </c>
      <c r="AB100" s="7613" t="n">
        <v>26</v>
      </c>
      <c r="AC100" s="7616">
        <f>IF(AK100&lt;&gt;"",ROUND(AK100,0),SUM(Sch1_Line11_19a,IRADeduct,StudentLoanIntDeduct,ArcherMSADeduct,TotalOtherAdjust))</f>
        <v/>
      </c>
      <c r="AH100" s="1277" t="n"/>
      <c r="AI100" s="11602" t="n"/>
      <c r="AJ100" s="6608" t="n"/>
      <c r="AK100" s="6135" t="n"/>
      <c r="AL100" s="11602" t="n"/>
      <c r="AM100" s="2741" t="n"/>
      <c r="AN100" s="11602" t="n"/>
      <c r="AO100" s="2741" t="n"/>
      <c r="AP100" s="11602" t="n"/>
      <c r="AQ100" s="11602" t="n"/>
      <c r="AR100" s="769" t="n"/>
      <c r="AS100" s="769" t="n"/>
      <c r="AT100" s="769" t="n"/>
      <c r="AU100" s="769" t="n"/>
      <c r="AV100" s="769" t="n"/>
      <c r="AW100" s="769" t="n"/>
      <c r="AX100" s="769" t="n"/>
      <c r="AY100" s="769" t="n"/>
      <c r="AZ100" s="769" t="n"/>
      <c r="BA100" s="769" t="n"/>
      <c r="BB100" s="769" t="n"/>
    </row>
    <row r="101" ht="5.25" customHeight="1" s="7635" thickBot="1">
      <c r="A101" s="1277" t="n"/>
      <c r="B101" s="8650" t="n"/>
      <c r="C101" s="7642" t="n"/>
      <c r="D101" s="8650" t="n"/>
      <c r="E101" s="11602" t="n"/>
      <c r="F101" s="11602" t="n"/>
      <c r="G101" s="11602" t="n"/>
      <c r="H101" s="11602" t="n"/>
      <c r="I101" s="11602" t="n"/>
      <c r="J101" s="11602" t="n"/>
      <c r="K101" s="11602" t="n"/>
      <c r="L101" s="11602" t="n"/>
      <c r="M101" s="11602" t="n"/>
      <c r="N101" s="11602" t="n"/>
      <c r="O101" s="11602" t="n"/>
      <c r="P101" s="11602" t="n"/>
      <c r="Q101" s="11602" t="n"/>
      <c r="R101" s="11602" t="n"/>
      <c r="S101" s="11602" t="n"/>
      <c r="T101" s="11602" t="n"/>
      <c r="U101" s="11602" t="n"/>
      <c r="V101" s="11602" t="n"/>
      <c r="W101" s="11602" t="n"/>
      <c r="X101" s="11602" t="n"/>
      <c r="Y101" s="11602" t="n"/>
      <c r="Z101" s="11602" t="n"/>
      <c r="AA101" s="11602" t="n"/>
      <c r="AB101" s="11949" t="n"/>
      <c r="AC101" s="11950" t="n"/>
      <c r="AD101" s="8848" t="n"/>
      <c r="AE101" s="8848" t="n"/>
      <c r="AF101" s="8848" t="n"/>
      <c r="AG101" s="8848" t="n"/>
      <c r="AH101" s="1277" t="n"/>
      <c r="AI101" s="11602" t="n"/>
      <c r="AJ101" s="6608" t="n"/>
      <c r="AK101" s="6138" t="n"/>
      <c r="AL101" s="11602" t="n"/>
      <c r="AM101" s="2741" t="n"/>
      <c r="AN101" s="11602" t="n"/>
      <c r="AO101" s="2741" t="n"/>
      <c r="AP101" s="11602" t="n"/>
      <c r="AQ101" s="11602" t="n"/>
      <c r="AR101" s="769" t="n"/>
      <c r="AS101" s="769" t="n"/>
      <c r="AT101" s="769" t="n"/>
      <c r="AU101" s="769" t="n"/>
      <c r="AV101" s="769" t="n"/>
      <c r="AW101" s="769" t="n"/>
      <c r="AX101" s="769" t="n"/>
      <c r="AY101" s="769" t="n"/>
      <c r="AZ101" s="769" t="n"/>
      <c r="BA101" s="769" t="n"/>
      <c r="BB101" s="769" t="n"/>
    </row>
    <row r="102" ht="14.25" customHeight="1" s="7635">
      <c r="A102" s="1277" t="n"/>
      <c r="B102" s="2907" t="n"/>
      <c r="C102" s="2908" t="n"/>
      <c r="D102" s="377" t="n"/>
      <c r="E102" s="377" t="n"/>
      <c r="F102" s="377" t="n"/>
      <c r="G102" s="377" t="n"/>
      <c r="H102" s="377" t="n"/>
      <c r="I102" s="377" t="n"/>
      <c r="J102" s="377" t="n"/>
      <c r="K102" s="377" t="n"/>
      <c r="L102" s="377" t="n"/>
      <c r="M102" s="377" t="n"/>
      <c r="N102" s="377" t="n"/>
      <c r="O102" s="377" t="n"/>
      <c r="P102" s="377" t="n"/>
      <c r="Q102" s="377" t="n"/>
      <c r="R102" s="377" t="n"/>
      <c r="S102" s="377" t="n"/>
      <c r="T102" s="1993" t="n"/>
      <c r="U102" s="1993" t="n"/>
      <c r="V102" s="377" t="n"/>
      <c r="W102" s="1994" t="n"/>
      <c r="X102" s="377" t="n"/>
      <c r="Y102" s="377" t="n"/>
      <c r="Z102" s="377" t="n"/>
      <c r="AA102" s="377" t="n"/>
      <c r="AB102" s="1994">
        <f>"Schedule 1 (Form 1040)  "&amp;TaxYear</f>
        <v/>
      </c>
      <c r="AC102" s="377" t="n"/>
      <c r="AD102" s="377" t="n"/>
      <c r="AE102" s="377" t="n"/>
      <c r="AF102" s="377" t="n"/>
      <c r="AG102" s="6555" t="inlineStr">
        <is>
          <t>Created 7/25/25</t>
        </is>
      </c>
      <c r="AH102" s="1277" t="n"/>
      <c r="AI102" s="11602" t="n"/>
      <c r="AJ102" s="6608" t="n"/>
      <c r="AK102" s="2875" t="n"/>
      <c r="AL102" s="11602" t="n"/>
      <c r="AM102" s="2741" t="n"/>
      <c r="AN102" s="11602" t="n"/>
      <c r="AO102" s="2741" t="n"/>
      <c r="AP102" s="11602" t="n"/>
      <c r="AQ102" s="11602" t="n"/>
      <c r="AR102" s="769" t="n"/>
      <c r="AS102" s="769" t="n"/>
      <c r="AT102" s="769" t="n"/>
      <c r="AU102" s="769" t="n"/>
      <c r="AV102" s="769" t="n"/>
      <c r="AW102" s="769" t="n"/>
      <c r="AX102" s="769" t="n"/>
      <c r="AY102" s="769" t="n"/>
      <c r="AZ102" s="769" t="n"/>
      <c r="BA102" s="769" t="n"/>
      <c r="BB102" s="769" t="n"/>
    </row>
    <row r="103" ht="14.25" customHeight="1" s="7635">
      <c r="A103" s="1277" t="n"/>
      <c r="B103" s="1277" t="n"/>
      <c r="C103" s="1277" t="n"/>
      <c r="D103" s="1277" t="n"/>
      <c r="E103" s="1277" t="n"/>
      <c r="F103" s="1277" t="n"/>
      <c r="G103" s="1277" t="n"/>
      <c r="H103" s="1277" t="n"/>
      <c r="I103" s="1277" t="n"/>
      <c r="J103" s="1277" t="n"/>
      <c r="K103" s="1277" t="n"/>
      <c r="L103" s="1277" t="n"/>
      <c r="M103" s="1277" t="n"/>
      <c r="N103" s="1277" t="n"/>
      <c r="O103" s="1277" t="n"/>
      <c r="P103" s="1277" t="n"/>
      <c r="Q103" s="1277" t="n"/>
      <c r="R103" s="1277" t="n"/>
      <c r="S103" s="1277" t="n"/>
      <c r="T103" s="1277" t="n"/>
      <c r="U103" s="1277" t="n"/>
      <c r="V103" s="5908" t="n"/>
      <c r="W103" s="1277" t="n"/>
      <c r="X103" s="1277" t="n"/>
      <c r="Y103" s="1277" t="n"/>
      <c r="Z103" s="1277" t="n"/>
      <c r="AA103" s="1277" t="n"/>
      <c r="AB103" s="1277" t="n"/>
      <c r="AC103" s="1277" t="n"/>
      <c r="AD103" s="1277" t="n"/>
      <c r="AE103" s="1277" t="n"/>
      <c r="AF103" s="1277" t="n"/>
      <c r="AG103" s="1277" t="n"/>
      <c r="AH103" s="1277" t="n"/>
      <c r="AI103" s="11602" t="n"/>
      <c r="AJ103" s="6608" t="n"/>
      <c r="AK103" s="2875" t="n"/>
      <c r="AL103" s="11602" t="n"/>
      <c r="AM103" s="11602" t="n"/>
      <c r="AN103" s="11602" t="n"/>
      <c r="AO103" s="11602" t="n"/>
      <c r="AP103" s="11602" t="n"/>
      <c r="AQ103" s="11602" t="n"/>
      <c r="AR103" s="769" t="n"/>
      <c r="AS103" s="769" t="n"/>
      <c r="AT103" s="769" t="n"/>
      <c r="AU103" s="769" t="n"/>
      <c r="AV103" s="769" t="n"/>
      <c r="AW103" s="769" t="n"/>
      <c r="AX103" s="769" t="n"/>
      <c r="AY103" s="769" t="n"/>
      <c r="AZ103" s="769" t="n"/>
      <c r="BA103" s="769" t="n"/>
      <c r="BB103" s="769" t="n"/>
    </row>
    <row r="104" ht="14.25" customHeight="1" s="7635">
      <c r="F104" s="1224" t="n"/>
      <c r="G104" s="1224" t="n"/>
      <c r="H104" s="1224" t="n"/>
      <c r="I104" s="1224" t="n"/>
      <c r="J104" s="1224" t="n"/>
      <c r="K104" s="1224" t="n"/>
      <c r="L104" s="1224" t="n"/>
      <c r="M104" s="1224" t="n"/>
      <c r="N104" s="1224" t="n"/>
      <c r="O104" s="1224" t="n"/>
      <c r="P104" s="1224" t="n"/>
      <c r="Q104" s="1224" t="n"/>
      <c r="R104" s="1224" t="n"/>
      <c r="S104" s="1224" t="n"/>
      <c r="T104" s="1224" t="n"/>
      <c r="U104" s="1224" t="n"/>
      <c r="V104" s="1224" t="n"/>
      <c r="W104" s="1224" t="n"/>
      <c r="X104" s="1224" t="n"/>
      <c r="Y104" s="1224" t="n"/>
      <c r="Z104" s="1224" t="n"/>
      <c r="AA104" s="1224" t="n"/>
      <c r="AB104" s="1224" t="n"/>
      <c r="AC104" s="1224" t="n"/>
      <c r="AD104" s="1224" t="n"/>
      <c r="AE104" s="1224" t="n"/>
      <c r="AF104" s="1224" t="n"/>
      <c r="AG104" s="1224" t="n"/>
      <c r="AH104" s="1224" t="n"/>
      <c r="AI104" s="1224" t="n"/>
      <c r="AK104" s="1224" t="n"/>
      <c r="AL104" s="1224" t="n"/>
      <c r="AM104" s="1224" t="n"/>
      <c r="AN104" s="1224" t="n"/>
      <c r="AO104" s="1224" t="n"/>
      <c r="AP104" s="1224" t="n"/>
      <c r="AQ104" s="1224" t="n"/>
      <c r="AR104" s="1224" t="n"/>
      <c r="AS104" s="1224" t="n"/>
      <c r="AT104" s="1224" t="n"/>
      <c r="AU104" s="1224" t="n"/>
      <c r="AV104" s="1224" t="n"/>
      <c r="AW104" s="1224" t="n"/>
      <c r="AX104" s="1224" t="n"/>
      <c r="AY104" s="1224" t="n"/>
      <c r="AZ104" s="1224" t="n"/>
      <c r="BA104" s="1224" t="n"/>
      <c r="BB104" s="1224" t="n"/>
      <c r="BC104" s="1224" t="n"/>
    </row>
    <row r="105" ht="14.25" customHeight="1" s="7635" thickBot="1">
      <c r="G105" s="1224" t="n"/>
      <c r="H105" s="1224" t="n"/>
      <c r="I105" s="1224" t="n"/>
      <c r="J105" s="1224" t="n"/>
      <c r="K105" s="1224" t="n"/>
      <c r="L105" s="1224" t="n"/>
      <c r="M105" s="1224" t="n"/>
      <c r="N105" s="1224" t="n"/>
      <c r="O105" s="1224" t="n"/>
      <c r="P105" s="1224" t="n"/>
      <c r="Q105" s="1224" t="n"/>
      <c r="R105" s="1224" t="n"/>
      <c r="S105" s="1224" t="n"/>
      <c r="T105" s="1224" t="n"/>
      <c r="U105" s="1224" t="n"/>
      <c r="V105" s="1224" t="n"/>
      <c r="W105" s="1224" t="n"/>
      <c r="X105" s="1224" t="n"/>
      <c r="Y105" s="1224" t="n"/>
      <c r="Z105" s="1224" t="n"/>
      <c r="AA105" s="1224" t="n"/>
      <c r="AB105" s="1224" t="n"/>
      <c r="AC105" s="1224" t="n"/>
      <c r="AD105" s="1224" t="n"/>
      <c r="AE105" s="1224" t="n"/>
      <c r="AF105" s="1224" t="n"/>
      <c r="AG105" s="1224" t="n"/>
      <c r="AH105" s="1224" t="n"/>
      <c r="AI105" s="1224" t="n"/>
      <c r="AK105" s="1224" t="n"/>
      <c r="AL105" s="1224" t="n"/>
      <c r="AM105" s="1224" t="n"/>
      <c r="AN105" s="1224" t="n"/>
      <c r="AO105" s="1224" t="n"/>
      <c r="AP105" s="1224" t="n"/>
      <c r="AQ105" s="1224" t="n"/>
      <c r="AR105" s="1224" t="n"/>
      <c r="AS105" s="1224" t="n"/>
      <c r="AT105" s="1224" t="n"/>
      <c r="AU105" s="1224" t="n"/>
      <c r="AV105" s="1224" t="n"/>
      <c r="AW105" s="1224" t="n"/>
      <c r="AX105" s="1224" t="n"/>
      <c r="AY105" s="1224" t="n"/>
      <c r="AZ105" s="1224" t="n"/>
      <c r="BA105" s="1224" t="n"/>
      <c r="BB105" s="1224" t="n"/>
      <c r="BC105" s="1224" t="n"/>
    </row>
    <row r="106" ht="14.25" customHeight="1" s="7635">
      <c r="B106" s="11827" t="inlineStr">
        <is>
          <t>Table of Contents</t>
        </is>
      </c>
      <c r="C106" s="2506" t="n"/>
      <c r="D106" s="2506" t="n"/>
      <c r="E106" s="2614" t="n"/>
      <c r="G106" s="1224" t="n"/>
      <c r="H106" s="1224" t="n"/>
      <c r="I106" s="1224" t="n"/>
      <c r="J106" s="1224" t="n"/>
      <c r="K106" s="1224" t="n"/>
      <c r="L106" s="1224" t="n"/>
      <c r="M106" s="1224" t="n"/>
      <c r="N106" s="1224" t="n"/>
      <c r="O106" s="1224" t="n"/>
      <c r="P106" s="1224" t="n"/>
      <c r="Q106" s="1224" t="n"/>
      <c r="R106" s="1224" t="n"/>
      <c r="S106" s="1224" t="n"/>
      <c r="T106" s="1224" t="n"/>
      <c r="U106" s="1224" t="n"/>
      <c r="V106" s="1224" t="n"/>
      <c r="W106" s="1224" t="n"/>
      <c r="X106" s="1224" t="n"/>
      <c r="Y106" s="1224" t="n"/>
      <c r="Z106" s="1224" t="n"/>
      <c r="AA106" s="1224" t="n"/>
      <c r="AB106" s="1224" t="n"/>
      <c r="AC106" s="1224" t="n"/>
      <c r="AD106" s="1224" t="n"/>
      <c r="AE106" s="1224" t="n"/>
      <c r="AF106" s="1224" t="n"/>
      <c r="AG106" s="1224" t="n"/>
      <c r="AH106" s="1224" t="n"/>
      <c r="AI106" s="4451">
        <f>IF(T106&lt;&gt;"",ROUND(T106,0),"")</f>
        <v/>
      </c>
      <c r="AK106" s="4451">
        <f>IF(U106&lt;&gt;"",ROUND(U106,0),"")</f>
        <v/>
      </c>
      <c r="AL106" s="4451">
        <f>IF(V106&lt;&gt;"",ROUND(V106,0),"")</f>
        <v/>
      </c>
      <c r="AM106" s="4451">
        <f>IF(W106&lt;&gt;"",ROUND(W106,0),"")</f>
        <v/>
      </c>
      <c r="AN106" s="4451">
        <f>IF(X106&lt;&gt;"",ROUND(X106,0),"")</f>
        <v/>
      </c>
      <c r="AO106" s="4451">
        <f>IF(Y106&lt;&gt;"",ROUND(Y106,0),"")</f>
        <v/>
      </c>
      <c r="AP106" s="4451">
        <f>IF(Z106&lt;&gt;"",ROUND(Z106,0),"")</f>
        <v/>
      </c>
      <c r="AQ106" s="4451" t="n"/>
      <c r="AR106" s="4451">
        <f>IF(AA106&lt;&gt;"",ROUND(AA106,0),"")</f>
        <v/>
      </c>
      <c r="AS106" s="4451">
        <f>IF(AB106&lt;&gt;"",ROUND(AB106,0),"")</f>
        <v/>
      </c>
      <c r="AT106" s="4451">
        <f>IF(AC106&lt;&gt;"",ROUND(AC106,0),"")</f>
        <v/>
      </c>
      <c r="AU106" s="4451">
        <f>IF(AD106&lt;&gt;"",ROUND(AD106,0),"")</f>
        <v/>
      </c>
      <c r="AV106" s="4451">
        <f>IF(AE106&lt;&gt;"",ROUND(AE106,0),"")</f>
        <v/>
      </c>
      <c r="AW106" s="4451">
        <f>IF(AF106&lt;&gt;"",ROUND(AF106,0),"")</f>
        <v/>
      </c>
      <c r="AX106" s="4451">
        <f>IF(AG106&lt;&gt;"",ROUND(AG106,0),"")</f>
        <v/>
      </c>
      <c r="AY106" s="4451">
        <f>IF(AH106&lt;&gt;"",ROUND(AH106,0),"")</f>
        <v/>
      </c>
      <c r="AZ106" s="4451">
        <f>IF(AI106&lt;&gt;"",ROUND(AI106,0),"")</f>
        <v/>
      </c>
      <c r="BA106" s="4451">
        <f>IF(AK106&lt;&gt;"",ROUND(AK106,0),"")</f>
        <v/>
      </c>
      <c r="BB106" s="4451">
        <f>IF(AL106&lt;&gt;"",ROUND(AL106,0),"")</f>
        <v/>
      </c>
      <c r="BC106" s="4451">
        <f>IF(AM106&lt;&gt;"",ROUND(AM106,0),"")</f>
        <v/>
      </c>
    </row>
    <row r="107" ht="16.5" customHeight="1" s="7635">
      <c r="B107" s="11741" t="n"/>
      <c r="E107" s="1066" t="n"/>
      <c r="G107" s="1224" t="n"/>
      <c r="H107" s="1224" t="n"/>
      <c r="I107" s="1224" t="n"/>
      <c r="J107" s="1224" t="n"/>
      <c r="K107" s="1224" t="n"/>
      <c r="L107" s="1224" t="n"/>
      <c r="M107" s="1224" t="n"/>
      <c r="N107" s="1224" t="n"/>
      <c r="O107" s="1224" t="n"/>
      <c r="P107" s="1224" t="n"/>
      <c r="Q107" s="1224" t="n"/>
      <c r="R107" s="1224" t="n"/>
      <c r="S107" s="1224" t="n"/>
      <c r="T107" s="1224" t="n"/>
      <c r="U107" s="1224" t="n"/>
      <c r="V107" s="1224" t="n"/>
      <c r="W107" s="1224" t="n"/>
      <c r="X107" s="1224" t="n"/>
      <c r="Y107" s="1224" t="n"/>
      <c r="Z107" s="1224" t="n"/>
      <c r="AA107" s="1224" t="n"/>
      <c r="AB107" s="1224" t="n"/>
      <c r="AC107" s="1224" t="n"/>
      <c r="AD107" s="1224" t="n"/>
      <c r="AE107" s="1224" t="n"/>
      <c r="AF107" s="1224" t="n"/>
      <c r="AG107" s="1224" t="n"/>
      <c r="AH107" s="1224" t="n"/>
      <c r="AI107" s="4451">
        <f>IF(T107&lt;&gt;"",ROUND(T107,0),"")</f>
        <v/>
      </c>
      <c r="AK107" s="5909" t="n"/>
      <c r="AL107" s="5909" t="n"/>
      <c r="AM107" s="5909" t="n"/>
      <c r="AN107" s="5909" t="n"/>
      <c r="AO107" s="5909" t="n"/>
      <c r="AP107" s="5909" t="n"/>
      <c r="AQ107" s="5909" t="n"/>
      <c r="AR107" s="5909" t="n"/>
      <c r="AS107" s="5909" t="n"/>
      <c r="AT107" s="5909" t="n"/>
      <c r="AU107" s="5909" t="n"/>
      <c r="AV107" s="5909" t="n"/>
      <c r="AW107" s="5909" t="n"/>
      <c r="AX107" s="5909" t="n"/>
      <c r="AY107" s="5909" t="n"/>
      <c r="AZ107" s="5909" t="n"/>
      <c r="BA107" s="5909" t="n"/>
      <c r="BB107" s="5909" t="n"/>
      <c r="BC107" s="5909" t="n"/>
    </row>
    <row r="108" ht="15.75" customHeight="1" s="7635" thickBot="1">
      <c r="B108" s="11743" t="n"/>
      <c r="C108" s="8848" t="n"/>
      <c r="D108" s="8848" t="n"/>
      <c r="E108" s="2627" t="n"/>
      <c r="G108" s="1224" t="n"/>
      <c r="H108" s="1224" t="n"/>
      <c r="I108" s="1224" t="n"/>
      <c r="J108" s="1224" t="n"/>
      <c r="K108" s="1224" t="n"/>
      <c r="L108" s="1224" t="n"/>
      <c r="M108" s="1224" t="n"/>
      <c r="N108" s="1224" t="n"/>
      <c r="O108" s="1224" t="n"/>
      <c r="P108" s="1224" t="n"/>
      <c r="Q108" s="1224" t="n"/>
      <c r="R108" s="1224" t="n"/>
      <c r="S108" s="1224" t="n"/>
      <c r="T108" s="1224" t="n"/>
      <c r="U108" s="1224" t="n"/>
      <c r="V108" s="1224" t="n"/>
      <c r="W108" s="1224" t="n"/>
      <c r="X108" s="1224" t="n"/>
      <c r="Y108" s="1224" t="n"/>
      <c r="Z108" s="1224" t="n"/>
      <c r="AA108" s="1224" t="n"/>
      <c r="AB108" s="1224" t="n"/>
      <c r="AC108" s="1224" t="n"/>
      <c r="AD108" s="1224" t="n"/>
      <c r="AE108" s="1224" t="n"/>
      <c r="AF108" s="1224" t="n"/>
      <c r="AG108" s="1224" t="n"/>
      <c r="AH108" s="1224" t="n"/>
      <c r="AI108" s="4451">
        <f>IF(T108&lt;&gt;"",ROUND(T108,0),"")</f>
        <v/>
      </c>
      <c r="AK108" s="5909" t="n"/>
      <c r="AL108" s="5909" t="n"/>
      <c r="AM108" s="5909" t="n"/>
      <c r="AN108" s="4700" t="n"/>
      <c r="AO108" s="4700" t="n"/>
      <c r="AP108" s="4700" t="n"/>
      <c r="AQ108" s="4700" t="n"/>
      <c r="AR108" s="4700" t="n"/>
      <c r="AS108" s="4700" t="n"/>
      <c r="AT108" s="4700" t="n"/>
      <c r="AU108" s="4700" t="n"/>
      <c r="AV108" s="4700" t="n"/>
      <c r="AW108" s="4700" t="n"/>
      <c r="AX108" s="4700" t="n"/>
      <c r="AY108" s="4700" t="n"/>
      <c r="AZ108" s="4700" t="n"/>
      <c r="BA108" s="4700" t="n"/>
      <c r="BB108" s="4700" t="n"/>
      <c r="BC108" s="4700" t="n"/>
    </row>
    <row r="109">
      <c r="G109" s="1224" t="n"/>
      <c r="H109" s="1224" t="n"/>
      <c r="I109" s="1224" t="n"/>
      <c r="J109" s="1224" t="n"/>
      <c r="K109" s="1224" t="n"/>
      <c r="L109" s="1224" t="n"/>
      <c r="M109" s="1224" t="n"/>
      <c r="N109" s="1224" t="n"/>
      <c r="O109" s="1224" t="n"/>
      <c r="P109" s="1224" t="n"/>
      <c r="Q109" s="1224" t="n"/>
      <c r="R109" s="1224" t="n"/>
      <c r="S109" s="1224" t="n"/>
      <c r="T109" s="1224" t="n"/>
      <c r="U109" s="1224" t="n"/>
      <c r="V109" s="1224" t="n"/>
      <c r="W109" s="1224" t="n"/>
      <c r="X109" s="1224" t="n"/>
      <c r="Y109" s="1224" t="n"/>
      <c r="Z109" s="1224" t="n"/>
      <c r="AA109" s="1224" t="n"/>
      <c r="AB109" s="1224" t="n"/>
      <c r="AC109" s="1224" t="n"/>
      <c r="AD109" s="1224" t="n"/>
      <c r="AE109" s="1224" t="n"/>
      <c r="AF109" s="1224" t="n"/>
      <c r="AG109" s="1224" t="n"/>
      <c r="AH109" s="1224" t="n"/>
      <c r="AI109" s="4451" t="n"/>
      <c r="AK109" s="5909" t="n"/>
      <c r="AL109" s="5909" t="n"/>
      <c r="AM109" s="5909" t="n"/>
      <c r="AN109" s="4700" t="n"/>
      <c r="AO109" s="4700" t="n"/>
      <c r="AP109" s="4700" t="n"/>
      <c r="AQ109" s="4700" t="n"/>
      <c r="AR109" s="4700" t="n"/>
      <c r="AS109" s="4700" t="n"/>
      <c r="AT109" s="4700" t="n"/>
      <c r="AU109" s="4700" t="n"/>
      <c r="AV109" s="4700" t="n"/>
      <c r="AW109" s="4700" t="n"/>
      <c r="AX109" s="4700" t="n"/>
      <c r="AY109" s="4700" t="n"/>
      <c r="AZ109" s="4700" t="n"/>
      <c r="BA109" s="4700" t="n"/>
      <c r="BB109" s="4700" t="n"/>
      <c r="BC109" s="4700" t="n"/>
    </row>
    <row r="110">
      <c r="G110" s="1224" t="n"/>
      <c r="H110" s="1224" t="n"/>
      <c r="I110" s="1224" t="n"/>
      <c r="J110" s="1224" t="n"/>
      <c r="K110" s="1224" t="n"/>
      <c r="L110" s="1224" t="n"/>
      <c r="M110" s="1224" t="n"/>
      <c r="N110" s="1224" t="n"/>
      <c r="O110" s="1224" t="n"/>
      <c r="P110" s="1224" t="n"/>
      <c r="Q110" s="1224" t="n"/>
      <c r="R110" s="1224" t="n"/>
      <c r="S110" s="1224" t="n"/>
      <c r="T110" s="1224" t="n"/>
      <c r="U110" s="1224" t="n"/>
      <c r="V110" s="1224" t="n"/>
      <c r="W110" s="1224" t="n"/>
      <c r="X110" s="1224" t="n"/>
      <c r="Y110" s="1224" t="n"/>
      <c r="Z110" s="1224" t="n"/>
      <c r="AA110" s="1224" t="n"/>
      <c r="AB110" s="1224" t="n"/>
      <c r="AC110" s="1224" t="n"/>
      <c r="AD110" s="1224" t="n"/>
      <c r="AE110" s="1224" t="n"/>
      <c r="AF110" s="1224" t="n"/>
      <c r="AG110" s="1224" t="n"/>
      <c r="AH110" s="1224" t="n"/>
      <c r="AI110" s="4451">
        <f>IF(T110&lt;&gt;"",ROUND(T110,0),"")</f>
        <v/>
      </c>
      <c r="AK110" s="5909" t="n"/>
      <c r="AL110" s="5909" t="n"/>
      <c r="AM110" s="5909" t="n"/>
      <c r="AN110" s="4700" t="n"/>
      <c r="AO110" s="4700" t="n"/>
      <c r="AP110" s="4700" t="n"/>
      <c r="AQ110" s="4700" t="n"/>
    </row>
    <row r="111">
      <c r="G111" s="1224" t="n"/>
      <c r="H111" s="1224" t="n"/>
      <c r="I111" s="1224" t="n"/>
      <c r="J111" s="1224" t="n"/>
      <c r="K111" s="1224" t="n"/>
      <c r="L111" s="1224" t="n"/>
      <c r="M111" s="1224" t="n"/>
      <c r="N111" s="1224" t="n"/>
      <c r="O111" s="1224" t="n"/>
      <c r="P111" s="1224" t="n"/>
      <c r="Q111" s="1224" t="n"/>
      <c r="R111" s="1224" t="n"/>
      <c r="S111" s="1224" t="n"/>
      <c r="T111" s="1224" t="n"/>
      <c r="U111" s="1224" t="n"/>
      <c r="V111" s="1224" t="n"/>
      <c r="W111" s="1224" t="n"/>
      <c r="X111" s="1224" t="n"/>
      <c r="Y111" s="1224" t="n"/>
      <c r="Z111" s="1224" t="n"/>
      <c r="AA111" s="1224" t="n"/>
      <c r="AB111" s="1224" t="n"/>
      <c r="AC111" s="1224" t="n"/>
      <c r="AD111" s="1224" t="n"/>
      <c r="AE111" s="1224" t="n"/>
      <c r="AF111" s="1224" t="n"/>
      <c r="AG111" s="1224" t="n"/>
      <c r="AH111" s="1224" t="n"/>
      <c r="AI111" s="4451" t="n"/>
      <c r="AK111" s="5909" t="n"/>
      <c r="AL111" s="5909" t="n"/>
      <c r="AM111" s="5909" t="n"/>
      <c r="AN111" s="4700" t="n"/>
      <c r="AO111" s="4700" t="n"/>
      <c r="AP111" s="4700" t="n"/>
      <c r="AQ111" s="4700" t="n"/>
    </row>
    <row r="112">
      <c r="G112" s="1224" t="n"/>
      <c r="H112" s="1224" t="n"/>
      <c r="I112" s="1224" t="n"/>
      <c r="J112" s="1224" t="n"/>
      <c r="K112" s="1224" t="n"/>
      <c r="L112" s="1224" t="n"/>
      <c r="M112" s="1224" t="n"/>
      <c r="N112" s="1224" t="n"/>
      <c r="O112" s="1224" t="n"/>
      <c r="P112" s="1224" t="n"/>
      <c r="Q112" s="1224" t="n"/>
      <c r="R112" s="1224" t="n"/>
      <c r="S112" s="1224" t="n"/>
      <c r="T112" s="1224" t="n"/>
      <c r="U112" s="1224" t="n"/>
      <c r="V112" s="1224" t="n"/>
      <c r="W112" s="1224" t="n"/>
      <c r="X112" s="1224" t="n"/>
      <c r="Y112" s="1224" t="n"/>
      <c r="Z112" s="1224" t="n"/>
      <c r="AA112" s="1224" t="n"/>
      <c r="AB112" s="1224" t="n"/>
      <c r="AC112" s="1224" t="n"/>
      <c r="AD112" s="1224" t="n"/>
      <c r="AE112" s="1224" t="n"/>
      <c r="AF112" s="1224" t="n"/>
      <c r="AG112" s="1224" t="n"/>
      <c r="AH112" s="1224" t="n"/>
      <c r="AI112" s="4451">
        <f>IF(T112&lt;&gt;"",ROUND(T112,0),"")</f>
        <v/>
      </c>
      <c r="AK112" s="5909" t="n"/>
      <c r="AL112" s="1224" t="n"/>
      <c r="AM112" s="1224" t="n"/>
      <c r="AO112" s="4700" t="n"/>
    </row>
    <row r="113">
      <c r="G113" s="1224" t="n"/>
      <c r="H113" s="1224" t="n"/>
      <c r="I113" s="1224" t="n"/>
      <c r="J113" s="1224" t="n"/>
      <c r="K113" s="1224" t="n"/>
      <c r="L113" s="1224" t="n"/>
      <c r="M113" s="1224" t="n"/>
      <c r="N113" s="1224" t="n"/>
      <c r="O113" s="1224" t="n"/>
      <c r="P113" s="1224" t="n"/>
      <c r="Q113" s="1224" t="n"/>
      <c r="R113" s="1224" t="n"/>
      <c r="S113" s="1224" t="n"/>
      <c r="T113" s="1224" t="n"/>
      <c r="U113" s="1224" t="n"/>
      <c r="V113" s="1224" t="n"/>
      <c r="W113" s="1224" t="n"/>
      <c r="X113" s="1224" t="n"/>
      <c r="Y113" s="1224" t="n"/>
      <c r="Z113" s="1224" t="n"/>
      <c r="AA113" s="1224" t="n"/>
      <c r="AB113" s="1224" t="n"/>
      <c r="AC113" s="1224" t="n"/>
      <c r="AD113" s="1224" t="n"/>
      <c r="AE113" s="1224" t="n"/>
      <c r="AF113" s="1224" t="n"/>
      <c r="AG113" s="1224" t="n"/>
      <c r="AH113" s="1224" t="n"/>
      <c r="AI113" s="4451" t="n"/>
      <c r="AK113" s="5909" t="n"/>
      <c r="AL113" s="1224" t="n"/>
      <c r="AM113" s="1224" t="n"/>
    </row>
    <row r="114">
      <c r="G114" s="1224" t="n"/>
      <c r="H114" s="1224" t="n"/>
      <c r="I114" s="1224" t="n"/>
      <c r="J114" s="1224" t="n"/>
      <c r="K114" s="1224" t="n"/>
      <c r="L114" s="1224" t="n"/>
      <c r="M114" s="1224" t="n"/>
      <c r="N114" s="1224" t="n"/>
      <c r="O114" s="1224" t="n"/>
      <c r="P114" s="1224" t="n"/>
      <c r="Q114" s="1224" t="n"/>
      <c r="R114" s="1224" t="n"/>
      <c r="S114" s="1224" t="n"/>
      <c r="T114" s="1224" t="n"/>
      <c r="U114" s="1224" t="n"/>
      <c r="V114" s="1224" t="n"/>
      <c r="W114" s="1224" t="n"/>
      <c r="X114" s="1224" t="n"/>
      <c r="Y114" s="1224" t="n"/>
      <c r="Z114" s="1224" t="n"/>
      <c r="AA114" s="1224" t="n"/>
      <c r="AB114" s="1224" t="n"/>
      <c r="AC114" s="1224" t="n"/>
      <c r="AD114" s="1224" t="n"/>
      <c r="AE114" s="1224" t="n"/>
      <c r="AF114" s="1224" t="n"/>
      <c r="AG114" s="1224" t="n"/>
      <c r="AH114" s="1224" t="n"/>
      <c r="AI114" s="4451" t="n"/>
      <c r="AK114" s="5909" t="n"/>
      <c r="AL114" s="1224" t="n"/>
      <c r="AM114" s="1224" t="n"/>
    </row>
    <row r="115">
      <c r="G115" s="1224" t="n"/>
      <c r="H115" s="1224" t="n"/>
      <c r="I115" s="1224" t="n"/>
      <c r="J115" s="1224" t="n"/>
      <c r="K115" s="1224" t="n"/>
      <c r="L115" s="1224" t="n"/>
      <c r="M115" s="1224" t="n"/>
      <c r="N115" s="1224" t="n"/>
      <c r="O115" s="1224" t="n"/>
      <c r="P115" s="1224" t="n"/>
      <c r="Q115" s="1224" t="n"/>
      <c r="R115" s="1224" t="n"/>
      <c r="S115" s="1224" t="n"/>
      <c r="T115" s="1224" t="n"/>
      <c r="U115" s="1224" t="n"/>
      <c r="V115" s="1224" t="n"/>
      <c r="W115" s="1224" t="n"/>
      <c r="X115" s="1224" t="n"/>
      <c r="Y115" s="1224" t="n"/>
      <c r="Z115" s="1224" t="n"/>
      <c r="AA115" s="1224" t="n"/>
      <c r="AB115" s="1224" t="n"/>
      <c r="AC115" s="1224" t="n"/>
      <c r="AD115" s="1224" t="n"/>
      <c r="AE115" s="1224" t="n"/>
      <c r="AF115" s="1224" t="n"/>
      <c r="AG115" s="1224" t="n"/>
      <c r="AH115" s="1224" t="n"/>
      <c r="AI115" s="4451">
        <f>IF(T115&lt;&gt;"",ROUND(T115,0),"")</f>
        <v/>
      </c>
      <c r="AK115" s="5909" t="n"/>
      <c r="AL115" s="1224" t="n"/>
      <c r="AM115" s="1224" t="n"/>
    </row>
    <row r="116">
      <c r="G116" s="1224" t="n"/>
      <c r="H116" s="1224" t="n"/>
      <c r="I116" s="1224" t="n"/>
      <c r="J116" s="1224" t="n"/>
      <c r="K116" s="1224" t="n"/>
      <c r="L116" s="1224" t="n"/>
      <c r="M116" s="1224" t="n"/>
      <c r="N116" s="1224" t="n"/>
      <c r="O116" s="1224" t="n"/>
      <c r="P116" s="1224" t="n"/>
      <c r="Q116" s="1224" t="n"/>
      <c r="R116" s="1224" t="n"/>
      <c r="S116" s="1224" t="n"/>
      <c r="T116" s="1224" t="n"/>
      <c r="U116" s="1224" t="n"/>
      <c r="V116" s="1224" t="n"/>
      <c r="W116" s="1224" t="n"/>
      <c r="X116" s="1224" t="n"/>
      <c r="Y116" s="1224" t="n"/>
      <c r="Z116" s="1224" t="n"/>
      <c r="AA116" s="1224" t="n"/>
      <c r="AB116" s="1224" t="n"/>
      <c r="AC116" s="1224" t="n"/>
      <c r="AD116" s="1224" t="n"/>
      <c r="AE116" s="1224" t="n"/>
      <c r="AF116" s="1224" t="n"/>
      <c r="AG116" s="1224" t="n"/>
      <c r="AH116" s="1224" t="n"/>
      <c r="AI116" s="4451" t="n"/>
      <c r="AK116" s="5909" t="n"/>
      <c r="AL116" s="1224" t="n"/>
      <c r="AM116" s="1224" t="n"/>
    </row>
    <row r="117">
      <c r="G117" s="1224" t="n"/>
      <c r="H117" s="1224" t="n"/>
      <c r="I117" s="1224" t="n"/>
      <c r="J117" s="1224" t="n"/>
      <c r="K117" s="1224" t="n"/>
      <c r="L117" s="1224" t="n"/>
      <c r="M117" s="1224" t="n"/>
      <c r="N117" s="1224" t="n"/>
      <c r="O117" s="1224" t="n"/>
      <c r="P117" s="1224" t="n"/>
      <c r="Q117" s="1224" t="n"/>
      <c r="R117" s="1224" t="n"/>
      <c r="S117" s="1224" t="n"/>
      <c r="T117" s="1224" t="n"/>
      <c r="U117" s="1224" t="n"/>
      <c r="V117" s="1224" t="n"/>
      <c r="W117" s="1224" t="n"/>
      <c r="X117" s="1224" t="n"/>
      <c r="Y117" s="1224" t="n"/>
      <c r="Z117" s="1224" t="n"/>
      <c r="AA117" s="1224" t="n"/>
      <c r="AB117" s="1224" t="n"/>
      <c r="AC117" s="1224" t="n"/>
      <c r="AD117" s="1224" t="n"/>
      <c r="AE117" s="1224" t="n"/>
      <c r="AF117" s="1224" t="n"/>
      <c r="AG117" s="1224" t="n"/>
      <c r="AH117" s="1224" t="n"/>
      <c r="AI117" s="4451">
        <f>IF(T117&lt;&gt;"",ROUND(T117,0),"")</f>
        <v/>
      </c>
      <c r="AK117" s="5909" t="n"/>
      <c r="AL117" s="1224" t="n"/>
      <c r="AM117" s="1224" t="n"/>
    </row>
    <row r="118">
      <c r="G118" s="1224" t="n"/>
      <c r="H118" s="1224" t="n"/>
      <c r="I118" s="1224" t="n"/>
      <c r="J118" s="1224" t="n"/>
      <c r="K118" s="1224" t="n"/>
      <c r="L118" s="1224" t="n"/>
      <c r="M118" s="1224" t="n"/>
      <c r="N118" s="1224" t="n"/>
      <c r="O118" s="1224" t="n"/>
      <c r="P118" s="1224" t="n"/>
      <c r="Q118" s="1224" t="n"/>
      <c r="R118" s="1224" t="n"/>
      <c r="S118" s="1224" t="n"/>
      <c r="T118" s="1224" t="n"/>
      <c r="U118" s="1224" t="n"/>
      <c r="V118" s="1224" t="n"/>
      <c r="W118" s="1224" t="n"/>
      <c r="X118" s="1224" t="n"/>
      <c r="Y118" s="1224" t="n"/>
      <c r="Z118" s="1224" t="n"/>
      <c r="AA118" s="1224" t="n"/>
      <c r="AB118" s="1224" t="n"/>
      <c r="AC118" s="1224" t="n"/>
      <c r="AD118" s="1224" t="n"/>
      <c r="AE118" s="1224" t="n"/>
      <c r="AF118" s="1224" t="n"/>
      <c r="AG118" s="1224" t="n"/>
      <c r="AH118" s="1224" t="n"/>
      <c r="AI118" s="4451" t="n"/>
      <c r="AK118" s="5909" t="n"/>
      <c r="AL118" s="1224" t="n"/>
      <c r="AM118" s="1224" t="n"/>
    </row>
    <row r="119">
      <c r="G119" s="1224" t="n"/>
      <c r="H119" s="1224" t="n"/>
      <c r="I119" s="1224" t="n"/>
      <c r="J119" s="1224" t="n"/>
      <c r="K119" s="1224" t="n"/>
      <c r="L119" s="1224" t="n"/>
      <c r="M119" s="1224" t="n"/>
      <c r="N119" s="1224" t="n"/>
      <c r="O119" s="1224" t="n"/>
      <c r="P119" s="1224" t="n"/>
      <c r="Q119" s="1224" t="n"/>
      <c r="R119" s="1224" t="n"/>
      <c r="S119" s="1224" t="n"/>
      <c r="T119" s="1224" t="n"/>
      <c r="U119" s="1224" t="n"/>
      <c r="V119" s="1224" t="n"/>
      <c r="W119" s="1224" t="n"/>
      <c r="X119" s="1224" t="n"/>
      <c r="Y119" s="1224" t="n"/>
      <c r="Z119" s="1224" t="n"/>
      <c r="AA119" s="1224" t="n"/>
      <c r="AB119" s="1224" t="n"/>
      <c r="AC119" s="1224" t="n"/>
      <c r="AD119" s="1224" t="n"/>
      <c r="AE119" s="1224" t="n"/>
      <c r="AF119" s="1224" t="n"/>
      <c r="AG119" s="1224" t="n"/>
      <c r="AH119" s="1224" t="n"/>
      <c r="AI119" s="4451">
        <f>IF(T119&lt;&gt;"",ROUND(T119,0),"")</f>
        <v/>
      </c>
      <c r="AK119" s="5909" t="n"/>
      <c r="AL119" s="1224" t="n"/>
      <c r="AM119" s="1224" t="n"/>
    </row>
    <row r="120">
      <c r="G120" s="1224" t="n"/>
      <c r="H120" s="1224" t="n"/>
      <c r="I120" s="1224" t="n"/>
      <c r="J120" s="1224" t="n"/>
      <c r="K120" s="1224" t="n"/>
      <c r="L120" s="1224" t="n"/>
      <c r="M120" s="1224" t="n"/>
      <c r="N120" s="1224" t="n"/>
      <c r="O120" s="1224" t="n"/>
      <c r="P120" s="1224" t="n"/>
      <c r="Q120" s="1224" t="n"/>
      <c r="R120" s="1224" t="n"/>
      <c r="S120" s="1224" t="n"/>
      <c r="T120" s="1224" t="n"/>
      <c r="U120" s="1224" t="n"/>
      <c r="V120" s="1224" t="n"/>
      <c r="W120" s="1224" t="n"/>
      <c r="X120" s="1224" t="n"/>
      <c r="Y120" s="1224" t="n"/>
      <c r="Z120" s="1224" t="n"/>
      <c r="AA120" s="1224" t="n"/>
      <c r="AB120" s="1224" t="n"/>
      <c r="AC120" s="1224" t="n"/>
      <c r="AD120" s="1224" t="n"/>
      <c r="AE120" s="1224" t="n"/>
      <c r="AF120" s="1224" t="n"/>
      <c r="AG120" s="1224" t="n"/>
      <c r="AH120" s="1224" t="n"/>
      <c r="AI120" s="4451" t="n"/>
      <c r="AK120" s="5909" t="n"/>
      <c r="AL120" s="1224" t="n"/>
      <c r="AM120" s="1224" t="n"/>
    </row>
    <row r="121">
      <c r="G121" s="1224" t="n"/>
      <c r="H121" s="1224" t="n"/>
      <c r="I121" s="1224" t="n"/>
      <c r="J121" s="1224" t="n"/>
      <c r="K121" s="1224" t="n"/>
      <c r="L121" s="1224" t="n"/>
      <c r="M121" s="1224" t="n"/>
      <c r="N121" s="1224" t="n"/>
      <c r="O121" s="1224" t="n"/>
      <c r="P121" s="1224" t="n"/>
      <c r="Q121" s="1224" t="n"/>
      <c r="R121" s="1224" t="n"/>
      <c r="S121" s="1224" t="n"/>
      <c r="T121" s="1224" t="n"/>
      <c r="U121" s="1224" t="n"/>
      <c r="V121" s="1224" t="n"/>
      <c r="W121" s="1224" t="n"/>
      <c r="X121" s="1224" t="n"/>
      <c r="Y121" s="1224" t="n"/>
      <c r="Z121" s="1224" t="n"/>
      <c r="AA121" s="1224" t="n"/>
      <c r="AB121" s="1224" t="n"/>
      <c r="AC121" s="1224" t="n"/>
      <c r="AD121" s="1224" t="n"/>
      <c r="AE121" s="1224" t="n"/>
      <c r="AF121" s="1224" t="n"/>
      <c r="AG121" s="1224" t="n"/>
      <c r="AH121" s="1224" t="n"/>
      <c r="AI121" s="4451">
        <f>IF(T121&lt;&gt;"",ROUND(T121,0),"")</f>
        <v/>
      </c>
      <c r="AK121" s="5909" t="n"/>
      <c r="AL121" s="1224" t="n"/>
      <c r="AM121" s="1224" t="n"/>
    </row>
    <row r="122">
      <c r="G122" s="1224" t="n"/>
      <c r="H122" s="1224" t="n"/>
      <c r="I122" s="1224" t="n"/>
      <c r="J122" s="1224" t="n"/>
      <c r="K122" s="1224" t="n"/>
      <c r="L122" s="1224" t="n"/>
      <c r="M122" s="1224" t="n"/>
      <c r="N122" s="1224" t="n"/>
      <c r="O122" s="1224" t="n"/>
      <c r="P122" s="1224" t="n"/>
      <c r="Q122" s="1224" t="n"/>
      <c r="R122" s="1224" t="n"/>
      <c r="S122" s="1224" t="n"/>
      <c r="T122" s="1224" t="n"/>
      <c r="U122" s="1224" t="n"/>
      <c r="V122" s="1224" t="n"/>
      <c r="W122" s="1224" t="n"/>
      <c r="X122" s="1224" t="n"/>
      <c r="Y122" s="1224" t="n"/>
      <c r="Z122" s="1224" t="n"/>
      <c r="AA122" s="1224" t="n"/>
      <c r="AB122" s="1224" t="n"/>
      <c r="AC122" s="1224" t="n"/>
      <c r="AD122" s="1224" t="n"/>
      <c r="AE122" s="1224" t="n"/>
      <c r="AF122" s="1224" t="n"/>
      <c r="AG122" s="1224" t="n"/>
      <c r="AH122" s="1224" t="n"/>
      <c r="AI122" s="4451" t="n"/>
      <c r="AK122" s="5909" t="n"/>
      <c r="AL122" s="1224" t="n"/>
      <c r="AM122" s="1224" t="n"/>
    </row>
    <row r="123">
      <c r="G123" s="1224" t="n"/>
      <c r="H123" s="1224" t="n"/>
      <c r="I123" s="1224" t="n"/>
      <c r="J123" s="1224" t="n"/>
      <c r="K123" s="1224" t="n"/>
      <c r="L123" s="1224" t="n"/>
      <c r="M123" s="1224" t="n"/>
      <c r="N123" s="1224" t="n"/>
      <c r="O123" s="1224" t="n"/>
      <c r="P123" s="1224" t="n"/>
      <c r="Q123" s="1224" t="n"/>
      <c r="R123" s="1224" t="n"/>
      <c r="S123" s="1224" t="n"/>
      <c r="T123" s="1224" t="n"/>
      <c r="U123" s="1224" t="n"/>
      <c r="V123" s="1224" t="n"/>
      <c r="W123" s="1224" t="n"/>
      <c r="X123" s="1224" t="n"/>
      <c r="Y123" s="1224" t="n"/>
      <c r="Z123" s="1224" t="n"/>
      <c r="AA123" s="1224" t="n"/>
      <c r="AB123" s="1224" t="n"/>
      <c r="AC123" s="1224" t="n"/>
      <c r="AD123" s="1224" t="n"/>
      <c r="AE123" s="1224" t="n"/>
      <c r="AF123" s="1224" t="n"/>
      <c r="AG123" s="1224" t="n"/>
      <c r="AH123" s="1224" t="n"/>
      <c r="AI123" s="4451" t="n"/>
      <c r="AK123" s="5909" t="n"/>
      <c r="AL123" s="1224" t="n"/>
      <c r="AM123" s="1224" t="n"/>
    </row>
    <row r="124">
      <c r="G124" s="1224" t="n"/>
      <c r="H124" s="1224" t="n"/>
      <c r="I124" s="1224" t="n"/>
      <c r="J124" s="1224" t="n"/>
      <c r="K124" s="1224" t="n"/>
      <c r="L124" s="1224" t="n"/>
      <c r="M124" s="1224" t="n"/>
      <c r="N124" s="1224" t="n"/>
      <c r="O124" s="1224" t="n"/>
      <c r="P124" s="1224" t="n"/>
      <c r="Q124" s="1224" t="n"/>
      <c r="R124" s="1224" t="n"/>
      <c r="S124" s="1224" t="n"/>
      <c r="T124" s="1224" t="n"/>
      <c r="U124" s="1224" t="n"/>
      <c r="V124" s="1224" t="n"/>
      <c r="W124" s="1224" t="n"/>
      <c r="X124" s="1224" t="n"/>
      <c r="Y124" s="1224" t="n"/>
      <c r="Z124" s="1224" t="n"/>
      <c r="AA124" s="1224" t="n"/>
      <c r="AB124" s="1224" t="n"/>
      <c r="AC124" s="1224" t="n"/>
      <c r="AD124" s="1224" t="n"/>
      <c r="AE124" s="1224" t="n"/>
      <c r="AF124" s="1224" t="n"/>
      <c r="AG124" s="1224" t="n"/>
      <c r="AH124" s="1224" t="n"/>
      <c r="AI124" s="4451">
        <f>IF(T124&lt;&gt;"",ROUND(T124,0),"")</f>
        <v/>
      </c>
      <c r="AK124" s="5909" t="n"/>
      <c r="AL124" s="1224" t="n"/>
      <c r="AM124" s="1224" t="n"/>
    </row>
    <row r="125">
      <c r="G125" s="1224" t="n"/>
      <c r="H125" s="1224" t="n"/>
      <c r="I125" s="1224" t="n"/>
      <c r="J125" s="1224" t="n"/>
      <c r="K125" s="1224" t="n"/>
      <c r="L125" s="1224" t="n"/>
      <c r="M125" s="1224" t="n"/>
      <c r="N125" s="1224" t="n"/>
      <c r="O125" s="1224" t="n"/>
      <c r="P125" s="1224" t="n"/>
      <c r="Q125" s="1224" t="n"/>
      <c r="R125" s="1224" t="n"/>
      <c r="S125" s="1224" t="n"/>
      <c r="T125" s="1224" t="n"/>
      <c r="U125" s="1224" t="n"/>
      <c r="V125" s="1224" t="n"/>
      <c r="W125" s="1224" t="n"/>
      <c r="X125" s="1224" t="n"/>
      <c r="Y125" s="1224" t="n"/>
      <c r="Z125" s="1224" t="n"/>
      <c r="AA125" s="1224" t="n"/>
      <c r="AB125" s="1224" t="n"/>
      <c r="AC125" s="1224" t="n"/>
      <c r="AD125" s="1224" t="n"/>
      <c r="AE125" s="1224" t="n"/>
      <c r="AF125" s="1224" t="n"/>
      <c r="AG125" s="1224" t="n"/>
      <c r="AH125" s="1224" t="n"/>
      <c r="AI125" s="4451" t="n"/>
      <c r="AK125" s="5909" t="n"/>
      <c r="AL125" s="1224" t="n"/>
      <c r="AM125" s="1224" t="n"/>
    </row>
    <row r="126">
      <c r="G126" s="1224" t="n"/>
      <c r="H126" s="1224" t="n"/>
      <c r="I126" s="1224" t="n"/>
      <c r="J126" s="1224" t="n"/>
      <c r="K126" s="1224" t="n"/>
      <c r="L126" s="1224" t="n"/>
      <c r="M126" s="1224" t="n"/>
      <c r="N126" s="1224" t="n"/>
      <c r="O126" s="1224" t="n"/>
      <c r="P126" s="1224" t="n"/>
      <c r="Q126" s="1224" t="n"/>
      <c r="R126" s="1224" t="n"/>
      <c r="S126" s="1224" t="n"/>
      <c r="T126" s="1224" t="n"/>
      <c r="U126" s="1224" t="n"/>
      <c r="V126" s="1224" t="n"/>
      <c r="W126" s="1224" t="n"/>
      <c r="X126" s="1224" t="n"/>
      <c r="Y126" s="1224" t="n"/>
      <c r="Z126" s="1224" t="n"/>
      <c r="AA126" s="1224" t="n"/>
      <c r="AB126" s="1224" t="n"/>
      <c r="AC126" s="1224" t="n"/>
      <c r="AD126" s="1224" t="n"/>
      <c r="AE126" s="1224" t="n"/>
      <c r="AF126" s="1224" t="n"/>
      <c r="AG126" s="1224" t="n"/>
      <c r="AH126" s="1224" t="n"/>
      <c r="AI126" s="4451">
        <f>IF(T126&lt;&gt;"",ROUND(T126,0),"")</f>
        <v/>
      </c>
      <c r="AK126" s="5909" t="n"/>
      <c r="AL126" s="1224" t="n"/>
      <c r="AM126" s="1224" t="n"/>
    </row>
    <row r="127">
      <c r="G127" s="1224" t="n"/>
      <c r="H127" s="1224" t="n"/>
      <c r="I127" s="1224" t="n"/>
      <c r="J127" s="1224" t="n"/>
      <c r="K127" s="1224" t="n"/>
      <c r="L127" s="1224" t="n"/>
      <c r="M127" s="1224" t="n"/>
      <c r="N127" s="1224" t="n"/>
      <c r="O127" s="1224" t="n"/>
      <c r="P127" s="1224" t="n"/>
      <c r="Q127" s="1224" t="n"/>
      <c r="R127" s="1224" t="n"/>
      <c r="S127" s="1224" t="n"/>
      <c r="T127" s="1224" t="n"/>
      <c r="U127" s="1224" t="n"/>
      <c r="V127" s="1224" t="n"/>
      <c r="W127" s="1224" t="n"/>
      <c r="X127" s="1224" t="n"/>
      <c r="Y127" s="1224" t="n"/>
      <c r="Z127" s="1224" t="n"/>
      <c r="AA127" s="1224" t="n"/>
      <c r="AB127" s="1224" t="n"/>
      <c r="AC127" s="1224" t="n"/>
      <c r="AD127" s="1224" t="n"/>
      <c r="AE127" s="1224" t="n"/>
      <c r="AF127" s="1224" t="n"/>
      <c r="AG127" s="1224" t="n"/>
      <c r="AH127" s="1224" t="n"/>
      <c r="AI127" s="4451" t="n"/>
      <c r="AK127" s="5909" t="n"/>
      <c r="AL127" s="1224" t="n"/>
      <c r="AM127" s="1224" t="n"/>
    </row>
    <row r="128">
      <c r="G128" s="1224" t="n"/>
      <c r="H128" s="1224" t="n"/>
      <c r="I128" s="1224" t="n"/>
      <c r="J128" s="1224" t="n"/>
      <c r="K128" s="1224" t="n"/>
      <c r="L128" s="1224" t="n"/>
      <c r="M128" s="1224" t="n"/>
      <c r="N128" s="1224" t="n"/>
      <c r="O128" s="1224" t="n"/>
      <c r="P128" s="1224" t="n"/>
      <c r="Q128" s="1224" t="n"/>
      <c r="R128" s="1224" t="n"/>
      <c r="S128" s="1224" t="n"/>
      <c r="T128" s="1224" t="n"/>
      <c r="U128" s="1224" t="n"/>
      <c r="V128" s="1224" t="n"/>
      <c r="W128" s="1224" t="n"/>
      <c r="X128" s="1224" t="n"/>
      <c r="Y128" s="1224" t="n"/>
      <c r="Z128" s="1224" t="n"/>
      <c r="AA128" s="1224" t="n"/>
      <c r="AB128" s="1224" t="n"/>
      <c r="AC128" s="1224" t="n"/>
      <c r="AD128" s="1224" t="n"/>
      <c r="AE128" s="1224" t="n"/>
      <c r="AF128" s="1224" t="n"/>
      <c r="AG128" s="1224" t="n"/>
      <c r="AH128" s="1224" t="n"/>
      <c r="AI128" s="4451">
        <f>IF(T128&lt;&gt;"",ROUND(T128,0),"")</f>
        <v/>
      </c>
      <c r="AK128" s="5909" t="n"/>
      <c r="AL128" s="1224" t="n"/>
      <c r="AM128" s="1224" t="n"/>
    </row>
    <row r="129">
      <c r="G129" s="1224" t="n"/>
      <c r="H129" s="1224" t="n"/>
      <c r="I129" s="1224" t="n"/>
      <c r="J129" s="1224" t="n"/>
      <c r="K129" s="1224" t="n"/>
      <c r="L129" s="1224" t="n"/>
      <c r="M129" s="1224" t="n"/>
      <c r="N129" s="1224" t="n"/>
      <c r="O129" s="1224" t="n"/>
      <c r="P129" s="1224" t="n"/>
      <c r="Q129" s="1224" t="n"/>
      <c r="R129" s="1224" t="n"/>
      <c r="S129" s="1224" t="n"/>
      <c r="T129" s="1224" t="n"/>
      <c r="U129" s="1224" t="n"/>
      <c r="V129" s="1224" t="n"/>
      <c r="W129" s="1224" t="n"/>
      <c r="X129" s="1224" t="n"/>
      <c r="Y129" s="1224" t="n"/>
      <c r="Z129" s="1224" t="n"/>
      <c r="AA129" s="1224" t="n"/>
      <c r="AB129" s="1224" t="n"/>
      <c r="AC129" s="1224" t="n"/>
      <c r="AD129" s="1224" t="n"/>
      <c r="AE129" s="1224" t="n"/>
      <c r="AF129" s="1224" t="n"/>
      <c r="AG129" s="1224" t="n"/>
      <c r="AH129" s="1224" t="n"/>
      <c r="AI129" s="1224" t="n"/>
      <c r="AK129" s="5909" t="n"/>
      <c r="AL129" s="1224" t="n"/>
      <c r="AM129" s="1224" t="n"/>
    </row>
    <row r="130">
      <c r="G130" s="1224" t="n"/>
      <c r="H130" s="1224" t="n"/>
      <c r="I130" s="1224" t="n"/>
      <c r="J130" s="1224" t="n"/>
      <c r="K130" s="1224" t="n"/>
      <c r="L130" s="1224" t="n"/>
      <c r="M130" s="1224" t="n"/>
      <c r="N130" s="1224" t="n"/>
      <c r="O130" s="1224" t="n"/>
      <c r="P130" s="1224" t="n"/>
      <c r="Q130" s="1224" t="n"/>
      <c r="R130" s="1224" t="n"/>
      <c r="S130" s="1224" t="n"/>
      <c r="T130" s="1224" t="n"/>
      <c r="U130" s="1224" t="n"/>
      <c r="V130" s="1224" t="n"/>
      <c r="W130" s="1224" t="n"/>
      <c r="X130" s="1224" t="n"/>
      <c r="Y130" s="1224" t="n"/>
      <c r="Z130" s="1224" t="n"/>
      <c r="AA130" s="1224" t="n"/>
      <c r="AB130" s="1224" t="n"/>
      <c r="AC130" s="1224" t="n"/>
      <c r="AD130" s="1224" t="n"/>
      <c r="AE130" s="1224" t="n"/>
      <c r="AF130" s="1224" t="n"/>
      <c r="AG130" s="1224" t="n"/>
      <c r="AH130" s="1224" t="n"/>
      <c r="AI130" s="1224" t="n"/>
      <c r="AK130" s="5316" t="n"/>
      <c r="AL130" s="1224" t="n"/>
      <c r="AM130" s="1224" t="n"/>
    </row>
    <row r="131">
      <c r="G131" s="1224" t="n"/>
      <c r="H131" s="1224" t="n"/>
      <c r="I131" s="1224" t="n"/>
      <c r="J131" s="1224" t="n"/>
      <c r="K131" s="1224" t="n"/>
      <c r="L131" s="1224" t="n"/>
      <c r="M131" s="1224" t="n"/>
      <c r="N131" s="1224" t="n"/>
      <c r="O131" s="1224" t="n"/>
      <c r="P131" s="1224" t="n"/>
      <c r="Q131" s="1224" t="n"/>
      <c r="R131" s="1224" t="n"/>
      <c r="S131" s="1224" t="n"/>
      <c r="T131" s="1224" t="n"/>
      <c r="U131" s="1224" t="n"/>
      <c r="V131" s="1224" t="n"/>
      <c r="W131" s="1224" t="n"/>
      <c r="X131" s="1224" t="n"/>
      <c r="Y131" s="1224" t="n"/>
      <c r="Z131" s="1224" t="n"/>
      <c r="AA131" s="1224" t="n"/>
      <c r="AB131" s="1224" t="n"/>
      <c r="AC131" s="1224" t="n"/>
      <c r="AD131" s="1224" t="n"/>
      <c r="AE131" s="1224" t="n"/>
      <c r="AF131" s="1224" t="n"/>
      <c r="AG131" s="1224" t="n"/>
      <c r="AH131" s="1224" t="n"/>
      <c r="AI131" s="1224" t="n"/>
      <c r="AK131" s="1224" t="n"/>
      <c r="AL131" s="1224" t="n"/>
      <c r="AM131" s="1224" t="n"/>
    </row>
    <row r="132">
      <c r="G132" s="1224" t="n"/>
      <c r="H132" s="1224" t="n"/>
      <c r="I132" s="1224" t="n"/>
      <c r="J132" s="1224" t="n"/>
      <c r="K132" s="1224" t="n"/>
      <c r="L132" s="1224" t="n"/>
      <c r="M132" s="1224" t="n"/>
      <c r="N132" s="1224" t="n"/>
      <c r="O132" s="1224" t="n"/>
      <c r="P132" s="1224" t="n"/>
      <c r="Q132" s="1224" t="n"/>
      <c r="R132" s="1224" t="n"/>
      <c r="S132" s="1224" t="n"/>
      <c r="T132" s="1224" t="n"/>
      <c r="U132" s="1224" t="n"/>
      <c r="V132" s="1224" t="n"/>
      <c r="W132" s="1224" t="n"/>
      <c r="AK132" s="7834" t="n"/>
    </row>
    <row r="133">
      <c r="G133" s="1224" t="n"/>
      <c r="H133" s="1224" t="n"/>
      <c r="I133" s="1224" t="n"/>
      <c r="J133" s="1224" t="n"/>
      <c r="K133" s="1224" t="n"/>
      <c r="L133" s="1224" t="n"/>
      <c r="M133" s="1224" t="n"/>
      <c r="N133" s="1224" t="n"/>
      <c r="O133" s="1224" t="n"/>
      <c r="P133" s="1224" t="n"/>
      <c r="Q133" s="1224" t="n"/>
      <c r="R133" s="1224" t="n"/>
      <c r="S133" s="1224" t="n"/>
      <c r="T133" s="1224" t="n"/>
      <c r="U133" s="1224" t="n"/>
      <c r="V133" s="1224" t="n"/>
      <c r="W133" s="1224" t="n"/>
    </row>
    <row r="134">
      <c r="G134" s="1224" t="n"/>
      <c r="H134" s="1224" t="n"/>
      <c r="I134" s="1224" t="n"/>
      <c r="J134" s="1224" t="n"/>
      <c r="K134" s="1224" t="n"/>
      <c r="L134" s="1224" t="n"/>
      <c r="M134" s="1224" t="n"/>
      <c r="N134" s="1224" t="n"/>
      <c r="O134" s="1224" t="n"/>
      <c r="P134" s="1224" t="n"/>
      <c r="Q134" s="1224" t="n"/>
      <c r="R134" s="1224" t="n"/>
      <c r="S134" s="1224" t="n"/>
      <c r="T134" s="1224" t="n"/>
      <c r="U134" s="1224" t="n"/>
      <c r="V134" s="1224" t="n"/>
      <c r="W134" s="1224" t="n"/>
    </row>
  </sheetData>
  <sheetProtection selectLockedCells="0" selectUnlockedCells="0" algorithmName="SHA-512" sheet="1" objects="0" insertRows="1" insertHyperlinks="1" autoFilter="1" scenarios="0" formatColumns="0" deleteColumns="1" insertColumns="1" pivotTables="1" deleteRows="1" formatCells="0" saltValue="qOY7j8r6tfjen8odD93KYw==" formatRows="0" sort="1" spinCount="100000" hashValue="e5FaXqaovYZzNiEdqIP1fYmVc7Ei8z/wzVy2vr5y3jNr6sZjNqeWNauTxxjw4HWdS0CpKoWNX3BL0GIqFbJcLg=="/>
  <mergeCells count="152">
    <mergeCell ref="AO47:AO48"/>
    <mergeCell ref="AC28:AG28"/>
    <mergeCell ref="AC37:AG37"/>
    <mergeCell ref="AO15:AO16"/>
    <mergeCell ref="AC83:AG83"/>
    <mergeCell ref="AB100:AB101"/>
    <mergeCell ref="AC92:AG92"/>
    <mergeCell ref="D96:T96"/>
    <mergeCell ref="AC30:AG30"/>
    <mergeCell ref="W95:AA95"/>
    <mergeCell ref="AC53:AG53"/>
    <mergeCell ref="X45:Z45"/>
    <mergeCell ref="B5:F6"/>
    <mergeCell ref="A2:A3"/>
    <mergeCell ref="AK7:AK9"/>
    <mergeCell ref="W79:AA79"/>
    <mergeCell ref="AC23:AG23"/>
    <mergeCell ref="W32:AA32"/>
    <mergeCell ref="W97:AA97"/>
    <mergeCell ref="AC55:AG55"/>
    <mergeCell ref="AC64:AG64"/>
    <mergeCell ref="W81:AA81"/>
    <mergeCell ref="W96:AA96"/>
    <mergeCell ref="AO17:AO32"/>
    <mergeCell ref="W90:AA90"/>
    <mergeCell ref="AC54:AG54"/>
    <mergeCell ref="AC46:AG46"/>
    <mergeCell ref="AC98:AG98"/>
    <mergeCell ref="AC40:AG40"/>
    <mergeCell ref="AC56:AG56"/>
    <mergeCell ref="W82:AA82"/>
    <mergeCell ref="AC27:AG27"/>
    <mergeCell ref="AC41:AG41"/>
    <mergeCell ref="W53:AA53"/>
    <mergeCell ref="W44:AA44"/>
    <mergeCell ref="AC17:AG17"/>
    <mergeCell ref="W34:AA34"/>
    <mergeCell ref="AC66:AG66"/>
    <mergeCell ref="AC75:AG75"/>
    <mergeCell ref="W84:AA84"/>
    <mergeCell ref="W36:AA36"/>
    <mergeCell ref="W92:AA92"/>
    <mergeCell ref="W30:AA30"/>
    <mergeCell ref="AC74:AG74"/>
    <mergeCell ref="AC86:AG86"/>
    <mergeCell ref="AC68:AG68"/>
    <mergeCell ref="W94:AA94"/>
    <mergeCell ref="AC67:AG67"/>
    <mergeCell ref="W47:AA47"/>
    <mergeCell ref="AC39:AG39"/>
    <mergeCell ref="X25:Z25"/>
    <mergeCell ref="B106:E108"/>
    <mergeCell ref="AC97:AG97"/>
    <mergeCell ref="R72:Z72"/>
    <mergeCell ref="AC42:AG42"/>
    <mergeCell ref="W31:AA31"/>
    <mergeCell ref="AC20:AG20"/>
    <mergeCell ref="D97:T97"/>
    <mergeCell ref="AC29:AG29"/>
    <mergeCell ref="AC69:AG69"/>
    <mergeCell ref="AC38:AG38"/>
    <mergeCell ref="AC94:AG94"/>
    <mergeCell ref="W46:AA46"/>
    <mergeCell ref="AN46:AO46"/>
    <mergeCell ref="AC84:AG84"/>
    <mergeCell ref="I23:M23"/>
    <mergeCell ref="AC22:AG22"/>
    <mergeCell ref="AC44:AG44"/>
    <mergeCell ref="AC31:AG31"/>
    <mergeCell ref="AB8:AG9"/>
    <mergeCell ref="B59:D59"/>
    <mergeCell ref="W48:AA48"/>
    <mergeCell ref="AC99:AG99"/>
    <mergeCell ref="AC21:AG21"/>
    <mergeCell ref="W38:AA38"/>
    <mergeCell ref="B8:AA9"/>
    <mergeCell ref="AC70:AG70"/>
    <mergeCell ref="W88:AA88"/>
    <mergeCell ref="V17:Z17"/>
    <mergeCell ref="AB3:AG4"/>
    <mergeCell ref="B14:D14"/>
    <mergeCell ref="W40:AA40"/>
    <mergeCell ref="W49:AA49"/>
    <mergeCell ref="AC96:AG96"/>
    <mergeCell ref="AC16:AG16"/>
    <mergeCell ref="W33:AA33"/>
    <mergeCell ref="AC62:AG62"/>
    <mergeCell ref="AI51:AK51"/>
    <mergeCell ref="X59:AA59"/>
    <mergeCell ref="AK58:AK61"/>
    <mergeCell ref="AC18:AG18"/>
    <mergeCell ref="W83:AA83"/>
    <mergeCell ref="W26:AA26"/>
    <mergeCell ref="M51:T51"/>
    <mergeCell ref="W35:AA35"/>
    <mergeCell ref="AC77:AG77"/>
    <mergeCell ref="AC33:AG33"/>
    <mergeCell ref="AO68:AO82"/>
    <mergeCell ref="G5:AA5"/>
    <mergeCell ref="W85:AA85"/>
    <mergeCell ref="AC43:AG43"/>
    <mergeCell ref="AC35:AG35"/>
    <mergeCell ref="G4:AA4"/>
    <mergeCell ref="AC19:AG19"/>
    <mergeCell ref="AC25:AG25"/>
    <mergeCell ref="AC34:AG34"/>
    <mergeCell ref="AC60:AG60"/>
    <mergeCell ref="W52:AA52"/>
    <mergeCell ref="W86:AA86"/>
    <mergeCell ref="W39:AA39"/>
    <mergeCell ref="AC59:AG59"/>
    <mergeCell ref="AC11:AG11"/>
    <mergeCell ref="W29:AA29"/>
    <mergeCell ref="V71:Z71"/>
    <mergeCell ref="W37:AA37"/>
    <mergeCell ref="AC52:AG52"/>
    <mergeCell ref="AC61:AG61"/>
    <mergeCell ref="AC48:AG48"/>
    <mergeCell ref="X28:Z28"/>
    <mergeCell ref="W87:AA87"/>
    <mergeCell ref="AC45:AG45"/>
    <mergeCell ref="AC81:AG81"/>
    <mergeCell ref="AC32:AG32"/>
    <mergeCell ref="W80:AA80"/>
    <mergeCell ref="W89:AA89"/>
    <mergeCell ref="AC47:AG47"/>
    <mergeCell ref="AC100:AG101"/>
    <mergeCell ref="AB2:AG2"/>
    <mergeCell ref="AC87:AG87"/>
    <mergeCell ref="W51:AA51"/>
    <mergeCell ref="D52:T52"/>
    <mergeCell ref="AC15:AG15"/>
    <mergeCell ref="AN47:AN48"/>
    <mergeCell ref="B2:F4"/>
    <mergeCell ref="AC76:AG76"/>
    <mergeCell ref="W41:AA41"/>
    <mergeCell ref="W50:AA50"/>
    <mergeCell ref="AC79:AG79"/>
    <mergeCell ref="AC88:AG88"/>
    <mergeCell ref="AC26:AG26"/>
    <mergeCell ref="W91:AA91"/>
    <mergeCell ref="W43:AA43"/>
    <mergeCell ref="D53:T53"/>
    <mergeCell ref="AC63:AG63"/>
    <mergeCell ref="AC93:AG93"/>
    <mergeCell ref="AC50:AG50"/>
    <mergeCell ref="AC90:AG90"/>
    <mergeCell ref="W27:AA27"/>
    <mergeCell ref="W93:AA93"/>
    <mergeCell ref="W42:AA42"/>
    <mergeCell ref="AC65:AG65"/>
    <mergeCell ref="AC5:AG6"/>
  </mergeCells>
  <conditionalFormatting sqref="B8 AB8">
    <cfRule type="expression" priority="246" dxfId="6">
      <formula>NoColor</formula>
    </cfRule>
  </conditionalFormatting>
  <conditionalFormatting sqref="D52:T53">
    <cfRule type="expression" priority="6" dxfId="6">
      <formula>NoColor</formula>
    </cfRule>
  </conditionalFormatting>
  <conditionalFormatting sqref="D96:T97">
    <cfRule type="expression" priority="9" dxfId="6">
      <formula>NoColor</formula>
    </cfRule>
  </conditionalFormatting>
  <conditionalFormatting sqref="E24:Z24">
    <cfRule type="expression" priority="97" dxfId="6">
      <formula>NoColor</formula>
    </cfRule>
  </conditionalFormatting>
  <conditionalFormatting sqref="I23">
    <cfRule type="expression" priority="14" dxfId="6">
      <formula>IF(NoColor,1,0)</formula>
    </cfRule>
  </conditionalFormatting>
  <conditionalFormatting sqref="K65">
    <cfRule type="expression" priority="11" dxfId="6">
      <formula>NoColor</formula>
    </cfRule>
  </conditionalFormatting>
  <conditionalFormatting sqref="K74">
    <cfRule type="expression" priority="12" dxfId="6">
      <formula>NoColor</formula>
    </cfRule>
  </conditionalFormatting>
  <conditionalFormatting sqref="O19">
    <cfRule type="expression" priority="13" dxfId="6">
      <formula>NoColor</formula>
    </cfRule>
  </conditionalFormatting>
  <conditionalFormatting sqref="R19">
    <cfRule type="expression" priority="16" dxfId="6">
      <formula>NoColor</formula>
    </cfRule>
  </conditionalFormatting>
  <conditionalFormatting sqref="V17">
    <cfRule type="expression" priority="51" dxfId="6">
      <formula>IF(NoColor,1,0)</formula>
    </cfRule>
  </conditionalFormatting>
  <conditionalFormatting sqref="V55">
    <cfRule type="expression" priority="21" dxfId="6">
      <formula>IF(NoColor,1,0)</formula>
    </cfRule>
  </conditionalFormatting>
  <conditionalFormatting sqref="V71">
    <cfRule type="expression" priority="100" dxfId="6">
      <formula>IF(NoColor,1,0)</formula>
    </cfRule>
  </conditionalFormatting>
  <conditionalFormatting sqref="W60:Z60">
    <cfRule type="expression" priority="138" dxfId="6">
      <formula>IF(NoColor,1,0)</formula>
    </cfRule>
  </conditionalFormatting>
  <conditionalFormatting sqref="W62:Z63">
    <cfRule type="expression" priority="139" dxfId="6">
      <formula>IF(NoColor,1,0)</formula>
    </cfRule>
  </conditionalFormatting>
  <conditionalFormatting sqref="W66:Z69">
    <cfRule type="expression" priority="130" dxfId="6">
      <formula>IF(NoColor,1,0)</formula>
    </cfRule>
  </conditionalFormatting>
  <conditionalFormatting sqref="W74:Z75">
    <cfRule type="expression" priority="129" dxfId="6">
      <formula>IF(NoColor,1,0)</formula>
    </cfRule>
  </conditionalFormatting>
  <conditionalFormatting sqref="W26:AA27">
    <cfRule type="expression" priority="44" dxfId="6">
      <formula>NoColor</formula>
    </cfRule>
  </conditionalFormatting>
  <conditionalFormatting sqref="W29:AA35">
    <cfRule type="expression" priority="41" dxfId="6">
      <formula>NoColor</formula>
    </cfRule>
  </conditionalFormatting>
  <conditionalFormatting sqref="W37:AA43">
    <cfRule type="expression" priority="40" dxfId="6">
      <formula>NoColor</formula>
    </cfRule>
  </conditionalFormatting>
  <conditionalFormatting sqref="W47:AA48 W50:AA50">
    <cfRule type="expression" priority="42" dxfId="6">
      <formula>NoColor</formula>
    </cfRule>
  </conditionalFormatting>
  <conditionalFormatting sqref="W53:AA53">
    <cfRule type="expression" priority="39" dxfId="6">
      <formula>NoColor</formula>
    </cfRule>
  </conditionalFormatting>
  <conditionalFormatting sqref="W79:AA79">
    <cfRule type="expression" priority="36" dxfId="6">
      <formula>NoColor</formula>
    </cfRule>
  </conditionalFormatting>
  <conditionalFormatting sqref="W81:AA81">
    <cfRule type="expression" priority="35" dxfId="6">
      <formula>NoColor</formula>
    </cfRule>
  </conditionalFormatting>
  <conditionalFormatting sqref="W83:AA84">
    <cfRule type="expression" priority="37" dxfId="6">
      <formula>NoColor</formula>
    </cfRule>
  </conditionalFormatting>
  <conditionalFormatting sqref="W86:AA88">
    <cfRule type="expression" priority="38" dxfId="6">
      <formula>NoColor</formula>
    </cfRule>
  </conditionalFormatting>
  <conditionalFormatting sqref="W90:AA90">
    <cfRule type="expression" priority="29" dxfId="6">
      <formula>NoColor</formula>
    </cfRule>
  </conditionalFormatting>
  <conditionalFormatting sqref="W92:AA94">
    <cfRule type="expression" priority="22" dxfId="6">
      <formula>NoColor</formula>
    </cfRule>
  </conditionalFormatting>
  <conditionalFormatting sqref="W97:AA97">
    <cfRule type="expression" priority="32" dxfId="6">
      <formula>NoColor</formula>
    </cfRule>
  </conditionalFormatting>
  <conditionalFormatting sqref="X22">
    <cfRule type="expression" priority="15" dxfId="6">
      <formula>NoColor</formula>
    </cfRule>
  </conditionalFormatting>
  <conditionalFormatting sqref="X25:Z25">
    <cfRule type="expression" priority="23" dxfId="6">
      <formula>NoColor</formula>
    </cfRule>
  </conditionalFormatting>
  <conditionalFormatting sqref="X28:Z28">
    <cfRule type="expression" priority="45" dxfId="6">
      <formula>NoColor</formula>
    </cfRule>
  </conditionalFormatting>
  <conditionalFormatting sqref="X45:Z45">
    <cfRule type="expression" priority="24" dxfId="6">
      <formula>NoColor</formula>
    </cfRule>
  </conditionalFormatting>
  <conditionalFormatting sqref="AC24 AC54">
    <cfRule type="expression" priority="99" dxfId="6">
      <formula>IF(NoColor,1,0)</formula>
    </cfRule>
  </conditionalFormatting>
  <conditionalFormatting sqref="AC98">
    <cfRule type="expression" priority="61" dxfId="6">
      <formula>IF(NoColor,1,0)</formula>
    </cfRule>
  </conditionalFormatting>
  <conditionalFormatting sqref="AC100">
    <cfRule type="expression" priority="166" dxfId="6">
      <formula>IF(NoColor,1,0)</formula>
    </cfRule>
  </conditionalFormatting>
  <conditionalFormatting sqref="AC60:AD60">
    <cfRule type="expression" priority="5100" dxfId="0">
      <formula>AND(AO57,NOT(NoColor))</formula>
    </cfRule>
  </conditionalFormatting>
  <conditionalFormatting sqref="AC11:AG11">
    <cfRule type="expression" priority="4" dxfId="6">
      <formula>NoColor</formula>
    </cfRule>
  </conditionalFormatting>
  <conditionalFormatting sqref="AC15:AG16">
    <cfRule type="expression" priority="118" dxfId="6">
      <formula>IF(NoColor,1,0)</formula>
    </cfRule>
  </conditionalFormatting>
  <conditionalFormatting sqref="AC18:AG21 AC23:AG23">
    <cfRule type="expression" priority="120" dxfId="6">
      <formula>IF(NoColor,1,0)</formula>
    </cfRule>
  </conditionalFormatting>
  <conditionalFormatting sqref="AC56:AG56">
    <cfRule type="expression" priority="132" dxfId="6">
      <formula>IF(NoColor,1,0)</formula>
    </cfRule>
  </conditionalFormatting>
  <conditionalFormatting sqref="AC60:AG60">
    <cfRule type="expression" priority="106" dxfId="6">
      <formula>IF(NoColor,1,0)</formula>
    </cfRule>
  </conditionalFormatting>
  <conditionalFormatting sqref="AC62:AG62">
    <cfRule type="expression" priority="2" dxfId="6">
      <formula>NoColor</formula>
    </cfRule>
  </conditionalFormatting>
  <conditionalFormatting sqref="AC63:AG63 AC65:AG78">
    <cfRule type="expression" priority="52" dxfId="6">
      <formula>IF(NoColor,1,0)</formula>
    </cfRule>
  </conditionalFormatting>
  <conditionalFormatting sqref="AC99:AG99">
    <cfRule type="expression" priority="95" dxfId="6">
      <formula>IF(NoColor,1,0)</formula>
    </cfRule>
  </conditionalFormatting>
  <conditionalFormatting sqref="AE60:AG60">
    <cfRule type="expression" priority="26" dxfId="0">
      <formula>AND(AR61,NOT(NoColor))</formula>
    </cfRule>
  </conditionalFormatting>
  <conditionalFormatting sqref="AK58:AK61">
    <cfRule type="expression" priority="27" dxfId="3481">
      <formula>$AO$57</formula>
    </cfRule>
  </conditionalFormatting>
  <conditionalFormatting sqref="AK67:AK68">
    <cfRule type="expression" priority="92" dxfId="2004">
      <formula>$AI$68</formula>
    </cfRule>
  </conditionalFormatting>
  <conditionalFormatting sqref="AL24">
    <cfRule type="expression" priority="49" dxfId="4">
      <formula>AND($AC$23&lt;&gt;"",$AC$23&gt;0)</formula>
    </cfRule>
  </conditionalFormatting>
  <conditionalFormatting sqref="AM28:AM29">
    <cfRule type="expression" priority="28" dxfId="0">
      <formula>$AI$28</formula>
    </cfRule>
  </conditionalFormatting>
  <conditionalFormatting sqref="AO15:AO16">
    <cfRule type="expression" priority="116" dxfId="3479">
      <formula>$AO$14</formula>
    </cfRule>
  </conditionalFormatting>
  <conditionalFormatting sqref="AO17:AO32">
    <cfRule type="expression" priority="50" dxfId="3465">
      <formula>$AO$14</formula>
    </cfRule>
  </conditionalFormatting>
  <conditionalFormatting sqref="AO37">
    <cfRule type="expression" priority="4814" dxfId="3465">
      <formula>#REF!</formula>
    </cfRule>
  </conditionalFormatting>
  <conditionalFormatting sqref="AO67">
    <cfRule type="expression" priority="126" dxfId="3464">
      <formula>$AO$66</formula>
    </cfRule>
  </conditionalFormatting>
  <conditionalFormatting sqref="AO68:AO82">
    <cfRule type="expression" priority="2939" dxfId="3463">
      <formula>$AO$66</formula>
    </cfRule>
  </conditionalFormatting>
  <hyperlinks>
    <hyperlink ref="B106" location="'Table of Contents'!A1" display="Table of Contents"/>
  </hyperlinks>
  <pageMargins left="0.75" right="0.25" top="0.36" bottom="0.29" header="0.36" footer="0.21"/>
  <pageSetup orientation="portrait" scale="72" fitToHeight="0"/>
  <rowBreaks count="1" manualBreakCount="1">
    <brk id="57" min="1" max="32" man="1"/>
  </rowBreaks>
</worksheet>
</file>

<file path=xl/worksheets/sheet16.xml><?xml version="1.0" encoding="utf-8"?>
<worksheet xmlns="http://schemas.openxmlformats.org/spreadsheetml/2006/main">
  <sheetPr>
    <outlinePr summaryBelow="1" summaryRight="1"/>
    <pageSetUpPr fitToPage="1"/>
  </sheetPr>
  <dimension ref="A1:BD139"/>
  <sheetViews>
    <sheetView zoomScaleNormal="100" zoomScaleSheetLayoutView="110" workbookViewId="0">
      <selection activeCell="B1" sqref="B1"/>
    </sheetView>
  </sheetViews>
  <sheetFormatPr baseColWidth="8" defaultColWidth="3.42578125" defaultRowHeight="12.75"/>
  <cols>
    <col width="3.85546875" customWidth="1" style="7635" min="2" max="3"/>
    <col width="1.7109375" customWidth="1" style="7635" min="4" max="4"/>
    <col width="3.85546875" customWidth="1" style="7635" min="5" max="5"/>
    <col width="5.28515625" customWidth="1" style="7635" min="6" max="7"/>
    <col width="5.140625" customWidth="1" style="7635" min="8" max="22"/>
    <col width="5.42578125" customWidth="1" style="7635" min="23" max="23"/>
    <col width="3.5703125" customWidth="1" style="7635" min="24" max="28"/>
    <col width="6" customWidth="1" style="7635" min="29" max="29"/>
    <col width="3" customWidth="1" style="7635" min="30" max="31"/>
    <col width="5.42578125" customWidth="1" style="7635" min="32" max="32"/>
    <col width="3.5703125" customWidth="1" style="7635" min="33" max="33"/>
    <col width="3" customWidth="1" style="7635" min="34" max="34"/>
    <col width="12.5703125" customWidth="1" style="7834" min="36" max="36"/>
    <col width="15" customWidth="1" style="7635" min="37" max="37"/>
    <col width="4" customWidth="1" style="7635" min="38" max="38"/>
    <col hidden="1" width="13.28515625" customWidth="1" style="7635" min="39" max="41"/>
    <col hidden="1" width="3.42578125" customWidth="1" style="7635" min="42" max="42"/>
    <col width="7.42578125" customWidth="1" style="7635" min="43" max="43"/>
    <col width="10.7109375" customWidth="1" style="816" min="44" max="44"/>
    <col width="10.7109375" customWidth="1" style="815" min="45" max="46"/>
    <col width="13.5703125" customWidth="1" style="815" min="47" max="47"/>
    <col width="13.85546875" customWidth="1" style="815" min="48" max="48"/>
    <col width="13.5703125" customWidth="1" style="815" min="49" max="51"/>
    <col width="12.85546875" customWidth="1" style="815" min="52" max="52"/>
    <col width="6.140625" customWidth="1" style="6457" min="53" max="55"/>
  </cols>
  <sheetData>
    <row r="1" ht="21" customHeight="1" s="7635">
      <c r="A1" s="1277"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5369">
        <f>IF('Table of Contents'!A21="D","DRAFT FORM","")</f>
        <v/>
      </c>
      <c r="V1" s="1277" t="n"/>
      <c r="W1" s="1277" t="n"/>
      <c r="X1" s="1277" t="n"/>
      <c r="Y1" s="1277" t="n"/>
      <c r="Z1" s="1277" t="n"/>
      <c r="AA1" s="1277" t="n"/>
      <c r="AB1" s="1277" t="n"/>
      <c r="AC1" s="1277" t="n"/>
      <c r="AD1" s="1277" t="n"/>
      <c r="AE1" s="1277" t="n"/>
      <c r="AF1" s="1277" t="n"/>
      <c r="AG1" s="1277" t="n"/>
      <c r="AH1" s="1277" t="n"/>
      <c r="AI1" s="1277" t="n"/>
      <c r="AJ1" s="512" t="n"/>
      <c r="AK1" s="2875" t="n"/>
      <c r="AL1" s="11602" t="n"/>
      <c r="AM1" s="11602" t="n"/>
      <c r="AN1" s="11602" t="n"/>
      <c r="AO1" s="11602" t="n"/>
      <c r="AP1" s="11602" t="n"/>
      <c r="AQ1" s="11602" t="n"/>
      <c r="AR1" s="769" t="inlineStr">
        <is>
          <t>Notes</t>
        </is>
      </c>
      <c r="AS1" s="769" t="n"/>
      <c r="AT1" s="769" t="n"/>
      <c r="AU1" s="769" t="n"/>
      <c r="AV1" s="769" t="n"/>
      <c r="AW1" s="769" t="n"/>
      <c r="AX1" s="769" t="n"/>
      <c r="AY1" s="769" t="n"/>
      <c r="AZ1" s="769" t="n"/>
      <c r="BA1" s="6450" t="n"/>
      <c r="BB1" s="6450" t="n"/>
      <c r="BC1" s="6450" t="n"/>
    </row>
    <row r="2" ht="11.25" customHeight="1" s="7635">
      <c r="A2" s="7656">
        <f>IF('Table of Contents'!A20="D","Hide","")</f>
        <v/>
      </c>
      <c r="B2" s="11951" t="inlineStr">
        <is>
          <t>SCHEDULE 1-A
(Form 1040)</t>
        </is>
      </c>
      <c r="G2" s="1066" t="n"/>
      <c r="H2" s="11602" t="n"/>
      <c r="I2" s="11602" t="n"/>
      <c r="J2" s="11602" t="n"/>
      <c r="K2" s="11602" t="n"/>
      <c r="L2" s="11602" t="n"/>
      <c r="M2" s="11602" t="n"/>
      <c r="N2" s="11602" t="n"/>
      <c r="O2" s="11602" t="n"/>
      <c r="P2" s="11602" t="n"/>
      <c r="Q2" s="11602" t="n"/>
      <c r="R2" s="11602" t="n"/>
      <c r="S2" s="11602" t="n"/>
      <c r="T2" s="11602" t="n"/>
      <c r="U2" s="11602" t="n"/>
      <c r="V2" s="11602" t="n"/>
      <c r="W2" s="11602" t="n"/>
      <c r="X2" s="11602" t="n"/>
      <c r="Y2" s="11602" t="n"/>
      <c r="Z2" s="11602" t="n"/>
      <c r="AA2" s="11602" t="n"/>
      <c r="AB2" s="11602" t="n"/>
      <c r="AC2" s="7620" t="inlineStr">
        <is>
          <t>OMB No. 1545-0074</t>
        </is>
      </c>
      <c r="AD2" s="7637" t="n"/>
      <c r="AE2" s="7637" t="n"/>
      <c r="AF2" s="7637" t="n"/>
      <c r="AG2" s="7637" t="n"/>
      <c r="AH2" s="7637" t="n"/>
      <c r="AI2" s="1277" t="n"/>
      <c r="AJ2" s="512" t="n"/>
      <c r="AK2" s="2875" t="n"/>
      <c r="AL2" s="11602" t="n"/>
      <c r="AM2" s="11602" t="n"/>
      <c r="AN2" s="11602" t="n"/>
      <c r="AO2" s="11602" t="n"/>
      <c r="AP2" s="11602" t="n"/>
      <c r="AQ2" s="11602" t="n"/>
      <c r="AR2" s="948" t="n"/>
      <c r="AS2" s="769" t="n"/>
      <c r="AT2" s="769" t="n"/>
      <c r="AU2" s="769" t="n"/>
      <c r="AV2" s="769" t="n"/>
      <c r="AW2" s="769" t="n"/>
      <c r="AX2" s="769" t="n"/>
      <c r="AY2" s="769" t="n"/>
      <c r="AZ2" s="769" t="n"/>
      <c r="BA2" s="6450" t="n"/>
      <c r="BB2" s="6450" t="n"/>
      <c r="BC2" s="6450" t="n"/>
    </row>
    <row r="3" ht="21.75" customHeight="1" s="7635">
      <c r="G3" s="1066" t="n"/>
      <c r="H3" s="5880" t="inlineStr">
        <is>
          <t>Additional Deductions</t>
        </is>
      </c>
      <c r="I3" s="766" t="n"/>
      <c r="J3" s="766" t="n"/>
      <c r="K3" s="766" t="n"/>
      <c r="L3" s="766" t="n"/>
      <c r="M3" s="766" t="n"/>
      <c r="N3" s="766" t="n"/>
      <c r="O3" s="766" t="n"/>
      <c r="P3" s="766" t="n"/>
      <c r="Q3" s="766" t="n"/>
      <c r="R3" s="766" t="n"/>
      <c r="S3" s="766" t="n"/>
      <c r="T3" s="766" t="n"/>
      <c r="U3" s="766" t="n"/>
      <c r="V3" s="766" t="n"/>
      <c r="W3" s="766" t="n"/>
      <c r="X3" s="766" t="n"/>
      <c r="Y3" s="766" t="n"/>
      <c r="Z3" s="766" t="n"/>
      <c r="AA3" s="766" t="n"/>
      <c r="AB3" s="767" t="n"/>
      <c r="AC3" s="7781">
        <f>TaxYear</f>
        <v/>
      </c>
      <c r="AD3" s="7839" t="n"/>
      <c r="AE3" s="7839" t="n"/>
      <c r="AF3" s="7839" t="n"/>
      <c r="AG3" s="7839" t="n"/>
      <c r="AH3" s="7839" t="n"/>
      <c r="AI3" s="1277" t="n"/>
      <c r="AJ3" s="512" t="n"/>
      <c r="AK3" s="2875" t="n"/>
      <c r="AL3" s="11602" t="n"/>
      <c r="AM3" s="11602" t="n"/>
      <c r="AN3" s="11602" t="n"/>
      <c r="AO3" s="11602" t="n"/>
      <c r="AP3" s="11602" t="n"/>
      <c r="AQ3" s="11602" t="n"/>
      <c r="AR3" s="948" t="inlineStr">
        <is>
          <t>Date:</t>
        </is>
      </c>
      <c r="AS3" s="769" t="n"/>
      <c r="AT3" s="769" t="n"/>
      <c r="AU3" s="769" t="n"/>
      <c r="AV3" s="769" t="n"/>
      <c r="AW3" s="769" t="n"/>
      <c r="AX3" s="769" t="n"/>
      <c r="AY3" s="769" t="n"/>
      <c r="AZ3" s="769" t="n"/>
      <c r="BA3" s="6450" t="n"/>
      <c r="BB3" s="6450" t="n"/>
      <c r="BC3" s="6450" t="n"/>
    </row>
    <row r="4" ht="15.75" customHeight="1" s="7635">
      <c r="A4" s="770" t="n"/>
      <c r="B4" s="7786">
        <f>IF(AND(A4="",'Table of Contents'!A20="D"),"DRAFT FORM","")</f>
        <v/>
      </c>
      <c r="C4" s="194" t="n"/>
      <c r="D4" s="194" t="n"/>
      <c r="E4" s="194" t="n"/>
      <c r="F4" s="194" t="n"/>
      <c r="G4" s="11952" t="n"/>
      <c r="H4" s="11929" t="inlineStr">
        <is>
          <t>Attach to Form 1040, 1040-SR, or 1040-NR.</t>
        </is>
      </c>
      <c r="AB4" s="1066" t="n"/>
      <c r="AC4" s="11741" t="n"/>
      <c r="AI4" s="1277" t="n"/>
      <c r="AJ4" s="512" t="n"/>
      <c r="AK4" s="2875" t="n"/>
      <c r="AL4" s="11602" t="n"/>
      <c r="AM4" s="11602" t="n"/>
      <c r="AN4" s="11602" t="n"/>
      <c r="AO4" s="11602" t="n"/>
      <c r="AP4" s="11602" t="n"/>
      <c r="AQ4" s="11602" t="n"/>
      <c r="AR4" s="769" t="n"/>
      <c r="AS4" s="769" t="n"/>
      <c r="AT4" s="769" t="n"/>
      <c r="AU4" s="769" t="n"/>
      <c r="AV4" s="769" t="n"/>
      <c r="AW4" s="769" t="n"/>
      <c r="AX4" s="769" t="n"/>
      <c r="AY4" s="769" t="n"/>
      <c r="AZ4" s="769" t="n"/>
      <c r="BA4" s="6450" t="n"/>
      <c r="BB4" s="6450" t="n"/>
      <c r="BC4" s="6450" t="n"/>
    </row>
    <row r="5" ht="18" customHeight="1" s="7635">
      <c r="A5" s="1277" t="n"/>
      <c r="B5" s="7650" t="inlineStr">
        <is>
          <t>Department of the Treasury Internal Revenue Service</t>
        </is>
      </c>
      <c r="G5" s="1066" t="n"/>
      <c r="H5" s="11953" t="inlineStr">
        <is>
          <t>Go to www.irs.gov/Form1040 for instructions and the latest information.</t>
        </is>
      </c>
      <c r="AB5" s="1066" t="n"/>
      <c r="AC5" s="7792" t="inlineStr">
        <is>
          <t>Attachment
Sequence No.</t>
        </is>
      </c>
      <c r="AG5" s="11954" t="inlineStr">
        <is>
          <t>1A</t>
        </is>
      </c>
      <c r="AI5" s="1277" t="n"/>
      <c r="AJ5" s="512" t="n"/>
      <c r="AK5" s="2875" t="n"/>
      <c r="AL5" s="11602" t="n"/>
      <c r="AM5" s="11602" t="n"/>
      <c r="AN5" s="11602" t="n"/>
      <c r="AO5" s="11602" t="n"/>
      <c r="AP5" s="11602" t="n"/>
      <c r="AQ5" s="11602" t="n"/>
      <c r="AR5" s="769" t="n"/>
      <c r="AS5" s="769" t="n"/>
      <c r="AT5" s="769" t="n"/>
      <c r="AU5" s="769" t="n"/>
      <c r="AV5" s="769" t="n"/>
      <c r="AW5" s="769" t="n"/>
      <c r="AX5" s="769" t="n"/>
      <c r="AY5" s="769" t="n"/>
      <c r="AZ5" s="769" t="n"/>
      <c r="BA5" s="6450" t="n"/>
      <c r="BB5" s="6450" t="n"/>
      <c r="BC5" s="6450" t="n"/>
    </row>
    <row r="6" ht="9.75" customHeight="1" s="7635" thickBot="1">
      <c r="A6" s="1277" t="n"/>
      <c r="B6" s="8848" t="n"/>
      <c r="C6" s="8848" t="n"/>
      <c r="D6" s="8848" t="n"/>
      <c r="E6" s="8848" t="n"/>
      <c r="F6" s="8848" t="n"/>
      <c r="G6" s="2627" t="n"/>
      <c r="H6" s="2879" t="n"/>
      <c r="I6" s="2880" t="n"/>
      <c r="J6" s="2879" t="n"/>
      <c r="K6" s="2881" t="n"/>
      <c r="L6" s="2880" t="n"/>
      <c r="M6" s="2880" t="n"/>
      <c r="N6" s="2880" t="n"/>
      <c r="O6" s="2880" t="n"/>
      <c r="P6" s="2880" t="n"/>
      <c r="Q6" s="2880" t="n"/>
      <c r="R6" s="2880" t="n"/>
      <c r="S6" s="2880" t="n"/>
      <c r="T6" s="2880" t="n"/>
      <c r="U6" s="2880" t="n"/>
      <c r="V6" s="2880" t="n"/>
      <c r="W6" s="2880" t="n"/>
      <c r="X6" s="2880" t="n"/>
      <c r="Y6" s="2880" t="n"/>
      <c r="Z6" s="2880" t="n"/>
      <c r="AA6" s="2880" t="n"/>
      <c r="AB6" s="2880" t="n"/>
      <c r="AC6" s="11743" t="n"/>
      <c r="AD6" s="8848" t="n"/>
      <c r="AE6" s="8848" t="n"/>
      <c r="AF6" s="8848" t="n"/>
      <c r="AG6" s="8848" t="n"/>
      <c r="AH6" s="8848" t="n"/>
      <c r="AI6" s="1277" t="n"/>
      <c r="AJ6" s="512" t="n"/>
      <c r="AK6" s="2875" t="n"/>
      <c r="AL6" s="11602" t="n"/>
      <c r="AM6" s="11602" t="n"/>
      <c r="AN6" s="11602" t="n"/>
      <c r="AO6" s="11602" t="n"/>
      <c r="AP6" s="11602" t="n"/>
      <c r="AQ6" s="11602" t="n"/>
      <c r="AR6" s="769" t="n"/>
      <c r="AS6" s="769" t="n"/>
      <c r="AT6" s="769" t="n"/>
      <c r="AU6" s="769" t="n"/>
      <c r="AV6" s="769" t="n"/>
      <c r="AW6" s="769" t="n"/>
      <c r="AX6" s="769" t="n"/>
      <c r="AY6" s="769" t="n"/>
      <c r="AZ6" s="769" t="n"/>
      <c r="BA6" s="6450" t="n"/>
      <c r="BB6" s="6450" t="n"/>
      <c r="BC6" s="6450" t="n"/>
    </row>
    <row r="7">
      <c r="A7" s="1277" t="n"/>
      <c r="B7" s="344" t="inlineStr">
        <is>
          <t>Name(s) shown on Form 1040, 1040-SR, or 1040-NR</t>
        </is>
      </c>
      <c r="C7" s="11602" t="n"/>
      <c r="D7" s="11602" t="n"/>
      <c r="E7" s="11602" t="n"/>
      <c r="F7" s="11602" t="n"/>
      <c r="G7" s="11602" t="n"/>
      <c r="H7" s="11602" t="n"/>
      <c r="I7" s="11602" t="n"/>
      <c r="J7" s="11602" t="n"/>
      <c r="K7" s="11602" t="n"/>
      <c r="L7" s="11602" t="n"/>
      <c r="M7" s="11602" t="n"/>
      <c r="N7" s="11602" t="n"/>
      <c r="O7" s="11602" t="n"/>
      <c r="P7" s="11602" t="n"/>
      <c r="Q7" s="11602" t="n"/>
      <c r="R7" s="11602" t="n"/>
      <c r="S7" s="11602" t="n"/>
      <c r="T7" s="11602" t="n"/>
      <c r="U7" s="11602" t="n"/>
      <c r="V7" s="11602" t="n"/>
      <c r="W7" s="11602" t="n"/>
      <c r="X7" s="11602" t="n"/>
      <c r="Y7" s="11602" t="n"/>
      <c r="Z7" s="11602" t="n"/>
      <c r="AA7" s="11602" t="n"/>
      <c r="AB7" s="11602" t="n"/>
      <c r="AC7" s="5881" t="inlineStr">
        <is>
          <t>Your social security number</t>
        </is>
      </c>
      <c r="AD7" s="377" t="n"/>
      <c r="AE7" s="377" t="n"/>
      <c r="AF7" s="377" t="n"/>
      <c r="AG7" s="377" t="n"/>
      <c r="AH7" s="377" t="n"/>
      <c r="AI7" s="1277" t="n"/>
      <c r="AJ7" s="512" t="n"/>
      <c r="AK7" s="11931" t="inlineStr">
        <is>
          <t>Manual
Override</t>
        </is>
      </c>
      <c r="AL7" s="11602" t="n"/>
      <c r="AM7" s="7886" t="n"/>
      <c r="AN7" s="11602" t="n"/>
      <c r="AO7" s="11602" t="n"/>
      <c r="AP7" s="11602" t="n"/>
      <c r="AQ7" s="11602" t="n"/>
      <c r="AR7" s="769" t="n"/>
      <c r="AS7" s="769" t="n"/>
      <c r="AT7" s="769" t="n"/>
      <c r="AU7" s="769" t="n"/>
      <c r="AV7" s="769" t="n"/>
      <c r="AW7" s="769" t="n"/>
      <c r="AX7" s="769" t="n"/>
      <c r="AY7" s="769" t="n"/>
      <c r="AZ7" s="769" t="n"/>
      <c r="BA7" s="6450" t="n"/>
      <c r="BB7" s="6450" t="n"/>
      <c r="BC7" s="6450" t="n"/>
    </row>
    <row r="8" ht="9.75" customHeight="1" s="7635">
      <c r="A8" s="1277" t="n"/>
      <c r="B8" s="11932">
        <f>Names</f>
        <v/>
      </c>
      <c r="AB8" s="7636" t="n"/>
      <c r="AC8" s="11933">
        <f>IF(NoSSN,"",SS_Yours)</f>
        <v/>
      </c>
      <c r="AI8" s="1277" t="n"/>
      <c r="AJ8" s="512" t="n"/>
      <c r="AK8" s="11747" t="n"/>
      <c r="AL8" s="11602" t="n"/>
      <c r="AM8" s="11602" t="n"/>
      <c r="AN8" s="11602" t="n"/>
      <c r="AO8" s="11602" t="n"/>
      <c r="AP8" s="11602" t="n"/>
      <c r="AQ8" s="11602" t="n"/>
      <c r="AR8" s="769" t="n"/>
      <c r="AS8" s="769" t="n"/>
      <c r="AT8" s="769" t="n"/>
      <c r="AU8" s="769" t="n"/>
      <c r="AV8" s="769" t="n"/>
      <c r="AW8" s="769" t="n"/>
      <c r="AX8" s="769" t="n"/>
      <c r="AY8" s="769" t="n"/>
      <c r="AZ8" s="769" t="n"/>
      <c r="BA8" s="6450" t="n"/>
      <c r="BB8" s="6450" t="n"/>
      <c r="BC8" s="6450" t="n"/>
    </row>
    <row r="9" ht="9.75" customHeight="1" s="7635">
      <c r="A9" s="1277"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7" t="n"/>
      <c r="Y9" s="7637" t="n"/>
      <c r="Z9" s="7637" t="n"/>
      <c r="AA9" s="7637" t="n"/>
      <c r="AB9" s="7638" t="n"/>
      <c r="AC9" s="3614" t="n"/>
      <c r="AD9" s="7637" t="n"/>
      <c r="AE9" s="7637" t="n"/>
      <c r="AF9" s="7637" t="n"/>
      <c r="AG9" s="7637" t="n"/>
      <c r="AH9" s="7637" t="n"/>
      <c r="AI9" s="1277" t="n"/>
      <c r="AJ9" s="512" t="n"/>
      <c r="AK9" s="11934" t="n"/>
      <c r="AL9" s="11602" t="n"/>
      <c r="AM9" s="11602" t="n"/>
      <c r="AN9" s="11602" t="n"/>
      <c r="AO9" s="11935" t="n">
        <v>43465</v>
      </c>
      <c r="AP9" s="11602" t="n"/>
      <c r="AQ9" s="11602" t="n"/>
      <c r="AR9" s="769" t="n"/>
      <c r="AS9" s="769" t="n"/>
      <c r="AT9" s="769" t="n"/>
      <c r="AU9" s="769" t="n"/>
      <c r="AV9" s="769" t="n"/>
      <c r="AW9" s="769" t="n"/>
      <c r="AX9" s="769" t="n"/>
      <c r="AY9" s="769" t="n"/>
      <c r="AZ9" s="769" t="n"/>
      <c r="BA9" s="6450" t="n"/>
      <c r="BB9" s="6450" t="n"/>
      <c r="BC9" s="6450" t="n"/>
    </row>
    <row r="10" ht="21" customHeight="1" s="7635">
      <c r="A10" s="1277" t="n"/>
      <c r="B10" s="7639" t="inlineStr">
        <is>
          <t>Part I</t>
        </is>
      </c>
      <c r="C10" s="7839" t="n"/>
      <c r="D10" s="7839" t="n"/>
      <c r="E10" s="7839" t="n"/>
      <c r="F10" s="4446" t="n"/>
      <c r="G10" s="3376" t="inlineStr">
        <is>
          <t>Modified Adjusted Gross Income (MAGI) Amount</t>
        </is>
      </c>
      <c r="H10" s="4446" t="n"/>
      <c r="I10" s="4446" t="n"/>
      <c r="J10" s="4446" t="n"/>
      <c r="K10" s="4446" t="n"/>
      <c r="L10" s="4446" t="n"/>
      <c r="M10" s="773" t="n"/>
      <c r="N10" s="773" t="n"/>
      <c r="O10" s="773" t="n"/>
      <c r="P10" s="773" t="n"/>
      <c r="Q10" s="773" t="n"/>
      <c r="R10" s="773" t="n"/>
      <c r="S10" s="773" t="n"/>
      <c r="T10" s="773" t="n"/>
      <c r="U10" s="773" t="n"/>
      <c r="V10" s="773" t="n"/>
      <c r="W10" s="773" t="n"/>
      <c r="X10" s="773" t="n"/>
      <c r="Y10" s="773" t="n"/>
      <c r="Z10" s="773" t="n"/>
      <c r="AA10" s="773" t="n"/>
      <c r="AB10" s="773" t="n"/>
      <c r="AC10" s="773" t="n"/>
      <c r="AD10" s="773" t="n"/>
      <c r="AE10" s="773" t="n"/>
      <c r="AF10" s="773" t="n"/>
      <c r="AG10" s="773" t="n"/>
      <c r="AH10" s="773" t="n"/>
      <c r="AI10" s="1277" t="n"/>
      <c r="AJ10" s="512">
        <f>AND(AND(X12="",AK11="",AK13="",AK14="",X15="",AK16="",AK17=""),OR(Adj_Gross_Inc_Pg2=0,Adj_Gross_Inc_Pg2="",AND(AJ30,AJ38,AJ53,AJ79,AJ93)))</f>
        <v/>
      </c>
      <c r="AK10" s="2875" t="n"/>
      <c r="AL10" s="11602" t="n"/>
      <c r="AM10" s="11602" t="n"/>
      <c r="AN10" s="11602" t="n"/>
      <c r="AO10" s="512">
        <f>AND(AlimonyRcvd&gt;0,OR(W13="",W13&gt;=$AO$9))</f>
        <v/>
      </c>
      <c r="AP10" s="11602" t="n"/>
      <c r="AQ10" s="11602" t="n"/>
      <c r="AR10" s="769" t="n"/>
      <c r="AS10" s="769" t="n"/>
      <c r="AT10" s="769" t="n"/>
      <c r="AU10" s="769" t="n"/>
      <c r="AV10" s="769" t="n"/>
      <c r="AW10" s="769" t="n"/>
      <c r="AX10" s="769" t="n"/>
      <c r="AY10" s="769" t="n"/>
      <c r="AZ10" s="769" t="n"/>
      <c r="BA10" s="6450" t="n"/>
      <c r="BB10" s="6450" t="n"/>
      <c r="BC10" s="6450" t="n"/>
    </row>
    <row r="11" ht="18" customHeight="1" s="7635">
      <c r="A11" s="1277" t="n"/>
      <c r="B11" s="10886" t="n"/>
      <c r="C11" s="8439" t="n">
        <v>1</v>
      </c>
      <c r="D11" s="8439" t="n"/>
      <c r="E11" s="5995" t="inlineStr">
        <is>
          <t>Enter the amount from Form 1040, 1040-SR, or 1040-NR, line 11b</t>
        </is>
      </c>
      <c r="F11" s="344" t="n"/>
      <c r="G11" s="11602" t="n"/>
      <c r="H11" s="11602" t="n"/>
      <c r="I11" s="11602" t="n"/>
      <c r="J11" s="11602" t="n"/>
      <c r="K11" s="11602" t="n"/>
      <c r="L11" s="11602" t="n"/>
      <c r="M11" s="11602" t="n"/>
      <c r="N11" s="11602" t="n"/>
      <c r="O11" s="11602" t="n"/>
      <c r="P11" s="10886" t="n"/>
      <c r="Q11" s="10886" t="n"/>
      <c r="R11" s="10886" t="n"/>
      <c r="S11" s="11602" t="n"/>
      <c r="T11" s="11602" t="n"/>
      <c r="U11" s="11602" t="n"/>
      <c r="V11" s="11602" t="n"/>
      <c r="W11" s="11602" t="n"/>
      <c r="X11" s="11602" t="n"/>
      <c r="Y11" s="11602" t="n"/>
      <c r="Z11" s="11602" t="n"/>
      <c r="AA11" s="11602" t="n"/>
      <c r="AB11" s="1401" t="inlineStr">
        <is>
          <t xml:space="preserve">.   .   .   .   .   .   .   .   .   .   .   .   .   .   .   .   .   .   .   .  </t>
        </is>
      </c>
      <c r="AC11" s="10008" t="n">
        <v>1</v>
      </c>
      <c r="AD11" s="7608">
        <f>IF(AK11&lt;&gt;"",ROUND(AK11,0),IF($AJ$10,"",Adj_Gross_Inc_Pg2))</f>
        <v/>
      </c>
      <c r="AE11" s="7637" t="n"/>
      <c r="AF11" s="7637" t="n"/>
      <c r="AG11" s="7637" t="n"/>
      <c r="AH11" s="7637" t="n"/>
      <c r="AI11" s="1277" t="n"/>
      <c r="AJ11" s="512" t="n"/>
      <c r="AK11" s="1329" t="n"/>
      <c r="AL11" s="11602" t="n"/>
      <c r="AM11" s="11602" t="n"/>
      <c r="AN11" s="11602" t="n"/>
      <c r="AO11" s="7619" t="inlineStr">
        <is>
          <t>TIP</t>
        </is>
      </c>
      <c r="AP11" s="11602" t="n"/>
      <c r="AQ11" s="11602" t="n"/>
      <c r="AR11" s="769" t="n"/>
      <c r="AS11" s="769" t="n"/>
      <c r="AT11" s="769" t="n"/>
      <c r="AU11" s="769" t="n"/>
      <c r="AV11" s="769" t="n"/>
      <c r="AW11" s="769" t="n"/>
      <c r="AX11" s="769" t="n"/>
      <c r="AY11" s="769" t="n"/>
      <c r="AZ11" s="769" t="n"/>
      <c r="BA11" s="6450" t="n"/>
      <c r="BB11" s="6450" t="n"/>
      <c r="BC11" s="6450" t="n"/>
    </row>
    <row r="12" ht="18" customHeight="1" s="7635">
      <c r="A12" s="1277" t="n"/>
      <c r="B12" s="10886" t="n"/>
      <c r="C12" s="5883" t="inlineStr">
        <is>
          <t>2a</t>
        </is>
      </c>
      <c r="D12" s="5883" t="n"/>
      <c r="E12" s="5995" t="inlineStr">
        <is>
          <t>Enter any income from Puerto Rico that you excluded</t>
        </is>
      </c>
      <c r="F12" s="11602" t="n"/>
      <c r="G12" s="11602" t="n"/>
      <c r="H12" s="11602" t="n"/>
      <c r="I12" s="11602" t="n"/>
      <c r="J12" s="11602" t="n"/>
      <c r="K12" s="11602" t="n"/>
      <c r="L12" s="11602" t="n"/>
      <c r="M12" s="11602" t="n"/>
      <c r="N12" s="11602" t="n"/>
      <c r="O12" s="11602" t="n"/>
      <c r="P12" s="10886" t="n"/>
      <c r="Q12" s="10886" t="n"/>
      <c r="R12" s="10886" t="n"/>
      <c r="S12" s="11602" t="n"/>
      <c r="T12" s="11602" t="n"/>
      <c r="U12" s="11602" t="n"/>
      <c r="V12" s="1401" t="inlineStr">
        <is>
          <t xml:space="preserve">.   .   .   .   .   .   .   .   .   .   .   .   .   .  </t>
        </is>
      </c>
      <c r="W12" s="8389" t="inlineStr">
        <is>
          <t>2a</t>
        </is>
      </c>
      <c r="X12" s="7571" t="n"/>
      <c r="Y12" s="11717" t="n"/>
      <c r="Z12" s="11717" t="n"/>
      <c r="AA12" s="11717" t="n"/>
      <c r="AB12" s="11718" t="n"/>
      <c r="AC12" s="5884" t="n"/>
      <c r="AD12" s="7602">
        <f>ROUND(AD11,0)</f>
        <v/>
      </c>
      <c r="AE12" s="7606" t="n"/>
      <c r="AF12" s="7606" t="n"/>
      <c r="AG12" s="7606" t="n"/>
      <c r="AH12" s="7606" t="n"/>
      <c r="AI12" s="1277" t="n"/>
      <c r="AJ12" s="512" t="n"/>
      <c r="AK12" s="2875" t="n"/>
      <c r="AL12" s="11602" t="n"/>
      <c r="AM12" s="851">
        <f>IF(X12&lt;&gt;"",ROUND(X12,0),0)</f>
        <v/>
      </c>
      <c r="AN12" s="11602" t="n"/>
      <c r="AP12" s="11602" t="n"/>
      <c r="AQ12" s="11602" t="n"/>
      <c r="AR12" s="769" t="n"/>
      <c r="AS12" s="769" t="n"/>
      <c r="AT12" s="769" t="n"/>
      <c r="AU12" s="769" t="n"/>
      <c r="AV12" s="769" t="n"/>
      <c r="AW12" s="769" t="n"/>
      <c r="AX12" s="769" t="n"/>
      <c r="AY12" s="769" t="n"/>
      <c r="AZ12" s="769" t="n"/>
      <c r="BA12" s="6450" t="n"/>
      <c r="BB12" s="6450" t="n"/>
      <c r="BC12" s="6450" t="n"/>
    </row>
    <row r="13" ht="18" customHeight="1" s="7635">
      <c r="A13" s="1277" t="n"/>
      <c r="B13" s="7772" t="n"/>
      <c r="C13" s="2039" t="inlineStr">
        <is>
          <t>b</t>
        </is>
      </c>
      <c r="D13" s="2039" t="n"/>
      <c r="E13" s="5995" t="inlineStr">
        <is>
          <t>Enter the amount from Form 2555, line 45</t>
        </is>
      </c>
      <c r="F13" s="11602" t="n"/>
      <c r="G13" s="11602" t="n"/>
      <c r="H13" s="11602" t="n"/>
      <c r="I13" s="11602" t="n"/>
      <c r="J13" s="580" t="n"/>
      <c r="K13" s="11602" t="n"/>
      <c r="L13" s="11602" t="n"/>
      <c r="M13" s="11602" t="n"/>
      <c r="N13" s="11602" t="n"/>
      <c r="O13" s="11602" t="n"/>
      <c r="P13" s="1218" t="n"/>
      <c r="Q13" s="2373" t="n"/>
      <c r="R13" s="11602" t="n"/>
      <c r="S13" s="11602" t="n"/>
      <c r="T13" s="11602" t="n"/>
      <c r="U13" s="11602" t="n"/>
      <c r="V13" s="1401" t="inlineStr">
        <is>
          <t xml:space="preserve">.   .   .   .   .   .   .   .   .   .   .   .   .   .   .   .   .   .   .  </t>
        </is>
      </c>
      <c r="W13" s="8389" t="inlineStr">
        <is>
          <t>2b</t>
        </is>
      </c>
      <c r="X13" s="7589">
        <f>IF(AK13&lt;&gt;"",ROUND(AK13,0),IF($AJ$10,"",F2555_Line45_Total))</f>
        <v/>
      </c>
      <c r="Y13" s="7637" t="n"/>
      <c r="Z13" s="7637" t="n"/>
      <c r="AA13" s="7637" t="n"/>
      <c r="AB13" s="7638" t="n"/>
      <c r="AC13" s="5884" t="n"/>
      <c r="AD13" s="7566" t="n"/>
      <c r="AE13" s="5405" t="n"/>
      <c r="AF13" s="5405" t="n"/>
      <c r="AG13" s="5405" t="n"/>
      <c r="AH13" s="5405" t="n"/>
      <c r="AI13" s="1277" t="n"/>
      <c r="AJ13" s="2210" t="n"/>
      <c r="AK13" s="1329" t="n"/>
      <c r="AL13" s="11602" t="n"/>
      <c r="AM13" s="11602" t="n"/>
      <c r="AN13" s="11602" t="n"/>
      <c r="AO13" s="5887" t="n"/>
      <c r="AP13" s="11602" t="n"/>
      <c r="AQ13" s="11602" t="n"/>
      <c r="AR13" s="769" t="n"/>
      <c r="AS13" s="769" t="n"/>
      <c r="AT13" s="769" t="n"/>
      <c r="AU13" s="769" t="n"/>
      <c r="AV13" s="769" t="n"/>
      <c r="AW13" s="769" t="n"/>
      <c r="AX13" s="769" t="n"/>
      <c r="AY13" s="769" t="n"/>
      <c r="AZ13" s="769" t="n"/>
      <c r="BA13" s="6450" t="n"/>
      <c r="BB13" s="6450" t="n"/>
      <c r="BC13" s="6450" t="n"/>
    </row>
    <row r="14" ht="18" customHeight="1" s="7635">
      <c r="A14" s="1277" t="n"/>
      <c r="B14" s="7772" t="n"/>
      <c r="C14" s="2039" t="inlineStr">
        <is>
          <t>c</t>
        </is>
      </c>
      <c r="D14" s="2039" t="n"/>
      <c r="E14" s="5995" t="inlineStr">
        <is>
          <t>Enter the amount from Form 2555, line 50</t>
        </is>
      </c>
      <c r="F14" s="11602" t="n"/>
      <c r="G14" s="11602" t="n"/>
      <c r="H14" s="11602" t="n"/>
      <c r="I14" s="11602" t="n"/>
      <c r="J14" s="11602" t="n"/>
      <c r="K14" s="11602" t="n"/>
      <c r="L14" s="11602" t="n"/>
      <c r="M14" s="11602" t="n"/>
      <c r="N14" s="11602" t="n"/>
      <c r="O14" s="11602" t="n"/>
      <c r="P14" s="1218" t="n"/>
      <c r="Q14" s="2373" t="n"/>
      <c r="R14" s="11602" t="n"/>
      <c r="S14" s="11602" t="n"/>
      <c r="T14" s="11602" t="n"/>
      <c r="U14" s="11602" t="n"/>
      <c r="V14" s="1401" t="inlineStr">
        <is>
          <t xml:space="preserve">.   .   .   .   .   .   .   .   .   .   .   .   .   .   .   .   .   .   .  </t>
        </is>
      </c>
      <c r="W14" s="8389" t="inlineStr">
        <is>
          <t>2c</t>
        </is>
      </c>
      <c r="X14" s="7589">
        <f>IF(AK14&lt;&gt;"",ROUND(AK14,0),IF($AJ$10,"",IF(FEI_HousingDeduction,ForeignHousingDeductionTotal,"")))</f>
        <v/>
      </c>
      <c r="Y14" s="7637" t="n"/>
      <c r="Z14" s="7637" t="n"/>
      <c r="AA14" s="7637" t="n"/>
      <c r="AB14" s="7638" t="n"/>
      <c r="AC14" s="5884" t="n"/>
      <c r="AD14" s="7566" t="n"/>
      <c r="AE14" s="5405" t="n"/>
      <c r="AF14" s="5405" t="n"/>
      <c r="AG14" s="5405" t="n"/>
      <c r="AH14" s="5405" t="n"/>
      <c r="AI14" s="1277" t="n"/>
      <c r="AJ14" s="512" t="n"/>
      <c r="AK14" s="1329" t="n"/>
      <c r="AL14" s="11602" t="n"/>
      <c r="AM14" s="11602" t="n"/>
      <c r="AN14" s="11602" t="n"/>
      <c r="AO14" s="5887" t="n"/>
      <c r="AP14" s="11602" t="n"/>
      <c r="AQ14" s="11602" t="n"/>
      <c r="AR14" s="769" t="n"/>
      <c r="AS14" s="769" t="n"/>
      <c r="AT14" s="769" t="n"/>
      <c r="AU14" s="769" t="n"/>
      <c r="AV14" s="769" t="n"/>
      <c r="AW14" s="769" t="n"/>
      <c r="AX14" s="769" t="n"/>
      <c r="AY14" s="769" t="n"/>
      <c r="AZ14" s="769" t="n"/>
      <c r="BA14" s="6450" t="n"/>
      <c r="BB14" s="6450" t="n"/>
      <c r="BC14" s="6450" t="n"/>
    </row>
    <row r="15" ht="18" customHeight="1" s="7635">
      <c r="A15" s="1277" t="n"/>
      <c r="B15" s="7772" t="n"/>
      <c r="C15" s="2039" t="inlineStr">
        <is>
          <t>d</t>
        </is>
      </c>
      <c r="D15" s="2039" t="n"/>
      <c r="E15" s="5995" t="inlineStr">
        <is>
          <t>Enter the amount from Form 4563, line 15</t>
        </is>
      </c>
      <c r="F15" s="11602" t="n"/>
      <c r="G15" s="11602" t="n"/>
      <c r="H15" s="11602" t="n"/>
      <c r="I15" s="11602" t="n"/>
      <c r="J15" s="11602" t="n"/>
      <c r="K15" s="11602" t="n"/>
      <c r="L15" s="11602" t="n"/>
      <c r="M15" s="11602" t="n"/>
      <c r="N15" s="11602" t="n"/>
      <c r="O15" s="11602" t="n"/>
      <c r="P15" s="1218" t="n"/>
      <c r="Q15" s="2373" t="n"/>
      <c r="R15" s="11602" t="n"/>
      <c r="S15" s="11602" t="n"/>
      <c r="T15" s="11602" t="n"/>
      <c r="U15" s="11602" t="n"/>
      <c r="V15" s="1401" t="inlineStr">
        <is>
          <t xml:space="preserve">.   .   .   .   .   .   .   .   .   .   .   .   .   .   .   .   .   .   .  </t>
        </is>
      </c>
      <c r="W15" s="8389" t="inlineStr">
        <is>
          <t>2d</t>
        </is>
      </c>
      <c r="X15" s="7571" t="n"/>
      <c r="Y15" s="11717" t="n"/>
      <c r="Z15" s="11717" t="n"/>
      <c r="AA15" s="11717" t="n"/>
      <c r="AB15" s="11718" t="n"/>
      <c r="AC15" s="5884" t="n"/>
      <c r="AD15" s="7566" t="n"/>
      <c r="AE15" s="5405" t="n"/>
      <c r="AF15" s="5405" t="n"/>
      <c r="AG15" s="5405" t="n"/>
      <c r="AH15" s="5405" t="n"/>
      <c r="AI15" s="1277" t="n"/>
      <c r="AJ15" s="512" t="n"/>
      <c r="AK15" s="2875" t="n"/>
      <c r="AL15" s="11602" t="n"/>
      <c r="AM15" s="851">
        <f>IF(X15&lt;&gt;"",ROUND(X15,0),0)</f>
        <v/>
      </c>
      <c r="AN15" s="11602" t="n"/>
      <c r="AO15" s="5887" t="n"/>
      <c r="AP15" s="11602" t="n"/>
      <c r="AQ15" s="11602" t="n"/>
      <c r="AR15" s="11955" t="inlineStr">
        <is>
          <t>Qualified Tips From Employer Worksheet
  Important: Columns (a) and (b) receive information from Form W-2. However, these cells are not protected.</t>
        </is>
      </c>
      <c r="AS15" s="11745" t="n"/>
      <c r="AT15" s="11745" t="n"/>
      <c r="AU15" s="11745" t="n"/>
      <c r="AV15" s="11745" t="n"/>
      <c r="AW15" s="11745" t="n"/>
      <c r="AX15" s="11745" t="n"/>
      <c r="AY15" s="11745" t="n"/>
      <c r="AZ15" s="11948" t="n"/>
      <c r="BA15" s="6450" t="n"/>
      <c r="BB15" s="6450" t="n"/>
      <c r="BC15" s="6450" t="n"/>
    </row>
    <row r="16" ht="18" customHeight="1" s="7635">
      <c r="A16" s="1277" t="n"/>
      <c r="B16" s="7772" t="n"/>
      <c r="C16" s="2039" t="inlineStr">
        <is>
          <t>e</t>
        </is>
      </c>
      <c r="D16" s="2039" t="n"/>
      <c r="E16" s="5995" t="inlineStr">
        <is>
          <t>Add lines 2a, 2b, 2c, and 2d</t>
        </is>
      </c>
      <c r="F16" s="11602" t="n"/>
      <c r="G16" s="11602" t="n"/>
      <c r="H16" s="11602" t="n"/>
      <c r="I16" s="11602" t="n"/>
      <c r="J16" s="11602" t="n"/>
      <c r="K16" s="11602" t="n"/>
      <c r="L16" s="11602" t="n"/>
      <c r="M16" s="11602" t="n"/>
      <c r="N16" s="11602" t="n"/>
      <c r="O16" s="11602" t="n"/>
      <c r="P16" s="1218" t="n"/>
      <c r="Q16" s="2373" t="n"/>
      <c r="R16" s="11602" t="n"/>
      <c r="S16" s="11602" t="n"/>
      <c r="T16" s="11602" t="n"/>
      <c r="U16" s="11602" t="n"/>
      <c r="V16" s="11602" t="n"/>
      <c r="W16" s="11602" t="n"/>
      <c r="X16" s="11602" t="n"/>
      <c r="Y16" s="11602" t="n"/>
      <c r="Z16" s="11602" t="n"/>
      <c r="AA16" s="11602" t="n"/>
      <c r="AB16" s="1401" t="inlineStr">
        <is>
          <t xml:space="preserve">.   .   .   .   .   .   .   .   .   .   .   .   .   .   .   .   .   .   .   .   .   .   .   .   .   .   .   .   .   .   .   .   .   .   .   .   .  </t>
        </is>
      </c>
      <c r="AC16" s="8389" t="inlineStr">
        <is>
          <t>2e</t>
        </is>
      </c>
      <c r="AD16" s="7773">
        <f>IF(AK16&lt;&gt;"",ROUND(AK16,0),IF($AJ$10,"",SUM(AM12,X13,X14,AM15)))</f>
        <v/>
      </c>
      <c r="AE16" s="7637" t="n"/>
      <c r="AF16" s="7637" t="n"/>
      <c r="AG16" s="7637" t="n"/>
      <c r="AH16" s="7637" t="n"/>
      <c r="AI16" s="1277" t="n"/>
      <c r="AJ16" s="512" t="n"/>
      <c r="AK16" s="1329" t="n"/>
      <c r="AL16" s="11602" t="n"/>
      <c r="AM16" s="11602" t="n"/>
      <c r="AN16" s="11602" t="n"/>
      <c r="AO16" s="5887" t="n"/>
      <c r="AP16" s="11602" t="n"/>
      <c r="AQ16" s="11602" t="n"/>
      <c r="AR16" s="11956" t="n"/>
      <c r="AS16" s="194" t="n"/>
      <c r="AT16" s="194" t="n"/>
      <c r="AU16" s="194" t="n"/>
      <c r="AV16" s="194" t="n"/>
      <c r="AW16" s="194" t="n"/>
      <c r="AX16" s="194" t="n"/>
      <c r="AY16" s="194" t="n"/>
      <c r="AZ16" s="11726" t="n"/>
      <c r="BA16" s="6450" t="n"/>
      <c r="BB16" s="6450" t="n"/>
      <c r="BC16" s="6450" t="n"/>
    </row>
    <row r="17" ht="18" customHeight="1" s="7635">
      <c r="A17" s="1277" t="n"/>
      <c r="B17" s="7772" t="n"/>
      <c r="C17" s="10886" t="n">
        <v>3</v>
      </c>
      <c r="D17" s="10886" t="n"/>
      <c r="E17" s="5995" t="inlineStr">
        <is>
          <t>Add lines 1 and 2e</t>
        </is>
      </c>
      <c r="F17" s="11602" t="n"/>
      <c r="G17" s="11602" t="n"/>
      <c r="H17" s="11602" t="n"/>
      <c r="I17" s="11602" t="n"/>
      <c r="J17" s="11602" t="n"/>
      <c r="K17" s="11602" t="n"/>
      <c r="L17" s="11602" t="n"/>
      <c r="M17" s="11602" t="n"/>
      <c r="N17" s="11602" t="n"/>
      <c r="O17" s="11602" t="n"/>
      <c r="P17" s="1218" t="n"/>
      <c r="Q17" s="2373" t="n"/>
      <c r="R17" s="11602" t="n"/>
      <c r="S17" s="11602" t="n"/>
      <c r="T17" s="11602" t="n"/>
      <c r="U17" s="11602" t="n"/>
      <c r="V17" s="11602" t="n"/>
      <c r="W17" s="11602" t="n"/>
      <c r="X17" s="11602" t="n"/>
      <c r="Y17" s="11602" t="n"/>
      <c r="Z17" s="11602" t="n"/>
      <c r="AA17" s="11602" t="n"/>
      <c r="AB17" s="1401" t="inlineStr">
        <is>
          <t xml:space="preserve">.   .   .   .   .   .   .   .   .   .   .   .   .   .   .   .   .   .   .   .   .   .   .   .   .   .   .   .   .   .   .   .   .   .   .   .   .   .   .   .   .  </t>
        </is>
      </c>
      <c r="AC17" s="10008" t="n">
        <v>3</v>
      </c>
      <c r="AD17" s="7572">
        <f>IF(AK17&lt;&gt;"",ROUND(AK17,0),IF($AJ$10,"",SUM(AD11,AD16)))</f>
        <v/>
      </c>
      <c r="AE17" s="8412" t="n"/>
      <c r="AF17" s="8412" t="n"/>
      <c r="AG17" s="8412" t="n"/>
      <c r="AH17" s="8412" t="n"/>
      <c r="AI17" s="1277" t="n"/>
      <c r="AJ17" s="512" t="n"/>
      <c r="AK17" s="1329" t="n"/>
      <c r="AL17" s="11602" t="n"/>
      <c r="AM17" s="11602" t="n"/>
      <c r="AN17" s="11602" t="n"/>
      <c r="AO17" s="5887" t="n"/>
      <c r="AP17" s="11602" t="n"/>
      <c r="AQ17" s="11602" t="n"/>
      <c r="AR17" s="11728" t="n"/>
      <c r="AS17" s="11717" t="n"/>
      <c r="AT17" s="11717" t="n"/>
      <c r="AU17" s="11717" t="n"/>
      <c r="AV17" s="11717" t="n"/>
      <c r="AW17" s="11717" t="n"/>
      <c r="AX17" s="11717" t="n"/>
      <c r="AY17" s="11717" t="n"/>
      <c r="AZ17" s="11718" t="n"/>
      <c r="BA17" s="6450" t="n"/>
      <c r="BB17" s="6450" t="n"/>
      <c r="BC17" s="6450" t="n"/>
    </row>
    <row r="18" ht="21" customHeight="1" s="7635">
      <c r="A18" s="1277" t="n"/>
      <c r="B18" s="7639" t="inlineStr">
        <is>
          <t>Part II</t>
        </is>
      </c>
      <c r="C18" s="7839" t="n"/>
      <c r="D18" s="7839" t="n"/>
      <c r="E18" s="7839" t="n"/>
      <c r="F18" s="4446" t="n"/>
      <c r="G18" s="3376" t="inlineStr">
        <is>
          <t>No Tax on Tips</t>
        </is>
      </c>
      <c r="H18" s="4446" t="n"/>
      <c r="I18" s="4446" t="n"/>
      <c r="J18" s="4446" t="n"/>
      <c r="K18" s="4446" t="n"/>
      <c r="L18" s="4446" t="n"/>
      <c r="M18" s="773" t="n"/>
      <c r="N18" s="773" t="n"/>
      <c r="O18" s="773" t="n"/>
      <c r="P18" s="773" t="n"/>
      <c r="Q18" s="773" t="n"/>
      <c r="R18" s="773" t="n"/>
      <c r="S18" s="773" t="n"/>
      <c r="T18" s="773" t="n"/>
      <c r="U18" s="773" t="n"/>
      <c r="V18" s="773" t="n"/>
      <c r="W18" s="773" t="n"/>
      <c r="X18" s="773" t="n"/>
      <c r="Y18" s="773" t="n"/>
      <c r="Z18" s="773" t="n"/>
      <c r="AA18" s="773" t="n"/>
      <c r="AB18" s="773" t="n"/>
      <c r="AC18" s="773" t="n"/>
      <c r="AD18" s="6448" t="n"/>
      <c r="AE18" s="6448" t="n"/>
      <c r="AF18" s="6448" t="n"/>
      <c r="AG18" s="6448" t="n"/>
      <c r="AH18" s="6448" t="n"/>
      <c r="AI18" s="1277" t="n"/>
      <c r="AJ18" s="512" t="n"/>
      <c r="AK18" s="2875" t="n"/>
      <c r="AL18" s="11602" t="n"/>
      <c r="AM18" s="11602" t="n"/>
      <c r="AN18" s="11602" t="n"/>
      <c r="AO18" s="512">
        <f>AND(AlimonyRcvd&gt;0,OR(W31="",W31&gt;=$AO$9))</f>
        <v/>
      </c>
      <c r="AP18" s="11602" t="n"/>
      <c r="AQ18" s="11602" t="n"/>
      <c r="AR18" s="6215" t="inlineStr">
        <is>
          <t>1</t>
        </is>
      </c>
      <c r="AS18" s="11957" t="inlineStr">
        <is>
          <t>(a) Name of Employer</t>
        </is>
      </c>
      <c r="AT18" s="11948" t="n"/>
      <c r="AU18" s="11958" t="inlineStr">
        <is>
          <t>(b) Amount of qualified tips reported by this employer on Form W-2, or reported by you to this employer on
Form(s) 4070</t>
        </is>
      </c>
      <c r="AV18" s="11948" t="n"/>
      <c r="AW18" s="11959" t="inlineStr">
        <is>
          <t>(c) Qualified tips reported on 
Form 4137, 
column 1(c), 
for this employer</t>
        </is>
      </c>
      <c r="AX18" s="11948" t="n"/>
      <c r="AY18" s="11959" t="inlineStr">
        <is>
          <t>(d) Enter the greater of column (b) or 
column (c)</t>
        </is>
      </c>
      <c r="AZ18" s="11948" t="n"/>
      <c r="BA18" s="6450" t="n"/>
      <c r="BB18" s="6450" t="n"/>
      <c r="BC18" s="6450" t="n"/>
    </row>
    <row r="19" ht="18.75" customHeight="1" s="7635">
      <c r="A19" s="1277" t="n"/>
      <c r="B19" s="2329" t="inlineStr">
        <is>
          <t>Caution: Fill out Part II only if you received qualified tips. These tips must have been received in an occupation listed at</t>
        </is>
      </c>
      <c r="C19" s="10886" t="n"/>
      <c r="D19" s="10886" t="n"/>
      <c r="E19" s="10886" t="n"/>
      <c r="F19" s="10886" t="n"/>
      <c r="G19" s="10886" t="n"/>
      <c r="H19" s="10886" t="n"/>
      <c r="I19" s="10886" t="n"/>
      <c r="J19" s="10886" t="n"/>
      <c r="K19" s="10886" t="n"/>
      <c r="L19" s="10886" t="n"/>
      <c r="M19" s="11602" t="n"/>
      <c r="N19" s="11602" t="n"/>
      <c r="O19" s="11602" t="n"/>
      <c r="P19" s="11602" t="n"/>
      <c r="Q19" s="11602" t="n"/>
      <c r="R19" s="11602" t="n"/>
      <c r="S19" s="11602" t="n"/>
      <c r="T19" s="11602" t="n"/>
      <c r="U19" s="11602" t="n"/>
      <c r="V19" s="11602" t="n"/>
      <c r="W19" s="11602" t="n"/>
      <c r="X19" s="11602" t="n"/>
      <c r="Y19" s="11602" t="n"/>
      <c r="Z19" s="11602" t="n"/>
      <c r="AA19" s="11602" t="n"/>
      <c r="AB19" s="11602" t="n"/>
      <c r="AC19" s="11602" t="n"/>
      <c r="AD19" s="406" t="n"/>
      <c r="AE19" s="406" t="n"/>
      <c r="AF19" s="406" t="n"/>
      <c r="AG19" s="406" t="n"/>
      <c r="AH19" s="406" t="n"/>
      <c r="AI19" s="1277" t="n"/>
      <c r="AJ19" s="7669" t="inlineStr">
        <is>
          <t>Enter tips using 
worksheets &gt;&gt;&gt;</t>
        </is>
      </c>
      <c r="AL19" s="11602" t="n"/>
      <c r="AM19" s="11602" t="n"/>
      <c r="AN19" s="11602" t="n"/>
      <c r="AO19" s="512" t="n"/>
      <c r="AP19" s="11602" t="n"/>
      <c r="AQ19" s="11602" t="n"/>
      <c r="AR19" s="6216" t="n"/>
      <c r="AS19" s="11956" t="n"/>
      <c r="AT19" s="11726" t="n"/>
      <c r="AU19" s="11956" t="n"/>
      <c r="AV19" s="11726" t="n"/>
      <c r="AW19" s="11956" t="n"/>
      <c r="AX19" s="11726" t="n"/>
      <c r="AY19" s="11956" t="n"/>
      <c r="AZ19" s="11726" t="n"/>
      <c r="BA19" s="6450" t="n"/>
      <c r="BB19" s="6450" t="n"/>
      <c r="BC19" s="6450" t="n"/>
    </row>
    <row r="20" ht="18.75" customHeight="1" s="7635">
      <c r="A20" s="1277" t="n"/>
      <c r="B20" s="2325" t="inlineStr">
        <is>
          <t>IRS.gov/TippedOccupations. You and/or your spouse who received qualified tips must have valid social security numbers</t>
        </is>
      </c>
      <c r="C20" s="10886" t="n"/>
      <c r="D20" s="10886" t="n"/>
      <c r="E20" s="10886" t="n"/>
      <c r="F20" s="10886" t="n"/>
      <c r="G20" s="10886" t="n"/>
      <c r="H20" s="10886" t="n"/>
      <c r="I20" s="10886" t="n"/>
      <c r="J20" s="10886" t="n"/>
      <c r="K20" s="10886" t="n"/>
      <c r="L20" s="10886" t="n"/>
      <c r="M20" s="11602" t="n"/>
      <c r="N20" s="11602" t="n"/>
      <c r="O20" s="11602" t="n"/>
      <c r="P20" s="11602" t="n"/>
      <c r="Q20" s="11602" t="n"/>
      <c r="R20" s="11602" t="n"/>
      <c r="S20" s="11602" t="n"/>
      <c r="T20" s="11602" t="n"/>
      <c r="U20" s="11602" t="n"/>
      <c r="V20" s="11602" t="n"/>
      <c r="W20" s="11602" t="n"/>
      <c r="X20" s="11602" t="n"/>
      <c r="Y20" s="11602" t="n"/>
      <c r="Z20" s="11602" t="n"/>
      <c r="AA20" s="11602" t="n"/>
      <c r="AB20" s="11602" t="n"/>
      <c r="AC20" s="11602" t="n"/>
      <c r="AD20" s="11602" t="n"/>
      <c r="AE20" s="11602" t="n"/>
      <c r="AF20" s="11602" t="n"/>
      <c r="AG20" s="11602" t="n"/>
      <c r="AH20" s="11602" t="n"/>
      <c r="AI20" s="1277" t="n"/>
      <c r="AL20" s="11602" t="n"/>
      <c r="AM20" s="11602" t="n"/>
      <c r="AN20" s="11602" t="n"/>
      <c r="AO20" s="512" t="n"/>
      <c r="AP20" s="11602" t="n"/>
      <c r="AQ20" s="11602" t="n"/>
      <c r="AR20" s="6216" t="n"/>
      <c r="AS20" s="11728" t="n"/>
      <c r="AT20" s="11718" t="n"/>
      <c r="AU20" s="11728" t="n"/>
      <c r="AV20" s="11718" t="n"/>
      <c r="AW20" s="11728" t="n"/>
      <c r="AX20" s="11718" t="n"/>
      <c r="AY20" s="11728" t="n"/>
      <c r="AZ20" s="11718" t="n"/>
      <c r="BA20" s="6450" t="n"/>
      <c r="BB20" s="6450" t="n"/>
      <c r="BC20" s="6450" t="n"/>
    </row>
    <row r="21" ht="18.75" customHeight="1" s="7635">
      <c r="A21" s="1277" t="n"/>
      <c r="B21" s="6467" t="inlineStr">
        <is>
          <t>to claim the deduction.</t>
        </is>
      </c>
      <c r="C21" s="2009" t="n"/>
      <c r="D21" s="2009" t="n"/>
      <c r="E21" s="2009" t="n"/>
      <c r="F21" s="2009" t="n"/>
      <c r="G21" s="2009" t="n"/>
      <c r="H21" s="2009" t="n"/>
      <c r="I21" s="6467" t="inlineStr">
        <is>
          <t>If married, you must file jointly to claim this deduction. See instructions.</t>
        </is>
      </c>
      <c r="J21" s="2009" t="n"/>
      <c r="K21" s="2009" t="n"/>
      <c r="L21" s="2009" t="n"/>
      <c r="M21" s="413" t="n"/>
      <c r="N21" s="413" t="n"/>
      <c r="O21" s="413" t="n"/>
      <c r="P21" s="413" t="n"/>
      <c r="Q21" s="413" t="n"/>
      <c r="R21" s="413" t="n"/>
      <c r="S21" s="413" t="n"/>
      <c r="T21" s="413" t="n"/>
      <c r="U21" s="413" t="n"/>
      <c r="V21" s="413" t="n"/>
      <c r="W21" s="413" t="n"/>
      <c r="X21" s="413" t="n"/>
      <c r="Y21" s="413" t="n"/>
      <c r="Z21" s="413" t="n"/>
      <c r="AA21" s="413" t="n"/>
      <c r="AB21" s="413" t="n"/>
      <c r="AC21" s="413" t="n"/>
      <c r="AD21" s="413" t="n"/>
      <c r="AE21" s="413" t="n"/>
      <c r="AF21" s="413" t="n"/>
      <c r="AG21" s="413" t="n"/>
      <c r="AH21" s="413" t="n"/>
      <c r="AI21" s="5596" t="n"/>
      <c r="AJ21" s="516">
        <f>IF(File_Marr_Sep&lt;&gt;"","Claim anyway.","")</f>
        <v/>
      </c>
      <c r="AK21" s="2875" t="n"/>
      <c r="AL21" s="11602" t="n"/>
      <c r="AM21" s="11602" t="n"/>
      <c r="AN21" s="11602" t="n"/>
      <c r="AO21" s="512" t="n"/>
      <c r="AP21" s="11602" t="n"/>
      <c r="AQ21" s="11602" t="n"/>
      <c r="AR21" s="6217" t="inlineStr">
        <is>
          <t>A</t>
        </is>
      </c>
      <c r="AS21" s="11960">
        <f>IF(AND('W-2s'!D9&lt;&gt;"",'W-2s'!D9&gt;0),'W-2s'!D2,"")</f>
        <v/>
      </c>
      <c r="AT21" s="8008" t="n"/>
      <c r="AU21" s="11961">
        <f>IF(AND('W-2s'!D9&lt;&gt;"",'W-2s'!D9&gt;0),'W-2s'!D9,"")</f>
        <v/>
      </c>
      <c r="AV21" s="8008" t="n"/>
      <c r="AW21" s="11561" t="n"/>
      <c r="AX21" s="8008" t="n"/>
      <c r="AY21" s="11962">
        <f>IF(AND(AU21&lt;&gt;"",AW21&lt;&gt;""),MAX(AU21,AW21),IF(AU21&lt;&gt;"",AU21,IF(AW21&lt;&gt;"",AW21,"")))</f>
        <v/>
      </c>
      <c r="AZ21" s="11734" t="n"/>
      <c r="BA21" s="6459">
        <f>IF(AND(AU21&lt;&gt;0,AU21&lt;&gt;""),1,0)</f>
        <v/>
      </c>
      <c r="BB21" s="6459">
        <f>IF(AND(AW21&lt;&gt;0,AW21&lt;&gt;""),1,0)</f>
        <v/>
      </c>
      <c r="BC21" s="6459">
        <f>SUM(BA21,BB21)</f>
        <v/>
      </c>
    </row>
    <row r="22" ht="18" customHeight="1" s="7635">
      <c r="A22" s="1277" t="n"/>
      <c r="B22" s="11602" t="n"/>
      <c r="C22" s="10886" t="n">
        <v>4</v>
      </c>
      <c r="D22" s="10886" t="n"/>
      <c r="E22" s="5995" t="inlineStr">
        <is>
          <t>Qualified tips received as an employee. If you received tips as an employee with</t>
        </is>
      </c>
      <c r="F22" s="1248" t="n"/>
      <c r="G22" s="1248" t="n"/>
      <c r="H22" s="1248" t="n"/>
      <c r="I22" s="1248" t="n"/>
      <c r="J22" s="1248" t="n"/>
      <c r="K22" s="1248" t="n"/>
      <c r="L22" s="1248" t="n"/>
      <c r="M22" s="1248" t="n"/>
      <c r="N22" s="1248" t="n"/>
      <c r="O22" s="1248" t="n"/>
      <c r="P22" s="1248" t="n"/>
      <c r="Q22" s="1248" t="n"/>
      <c r="R22" s="1248" t="n"/>
      <c r="S22" s="1248" t="n"/>
      <c r="T22" s="1248" t="n"/>
      <c r="U22" s="1248" t="n"/>
      <c r="V22" s="1248" t="n"/>
      <c r="W22" s="1249" t="n"/>
      <c r="X22" s="1248" t="n"/>
      <c r="Y22" s="1248" t="n"/>
      <c r="Z22" s="1248" t="n"/>
      <c r="AA22" s="1248" t="n"/>
      <c r="AB22" s="11602" t="n"/>
      <c r="AC22" s="5884" t="n"/>
      <c r="AD22" s="7566" t="n"/>
      <c r="AE22" s="5405" t="n"/>
      <c r="AF22" s="5405" t="n"/>
      <c r="AG22" s="5405" t="n"/>
      <c r="AH22" s="5405" t="n"/>
      <c r="AI22" s="1277" t="n"/>
      <c r="AJ22" s="512">
        <f>AND(File_Marr_Sep&lt;&gt;"",$AI21="")</f>
        <v/>
      </c>
      <c r="AK22" s="2875" t="n"/>
      <c r="AL22" s="11602" t="n"/>
      <c r="AM22" s="5888">
        <f>IF(AND(UnEmploymentComp&lt;&gt;"",UnEmploymentComp&gt;0),"Check if UEC was REPAID.","")</f>
        <v/>
      </c>
      <c r="AN22" s="11602" t="n"/>
      <c r="AO22" s="5887" t="n"/>
      <c r="AP22" s="11602" t="n"/>
      <c r="AQ22" s="11602" t="n"/>
      <c r="AR22" s="6217" t="inlineStr">
        <is>
          <t>B</t>
        </is>
      </c>
      <c r="AS22" s="11960">
        <f>IF(AND('W-2s'!E$9&lt;&gt;"",'W-2s'!E$9&gt;0),'W-2s'!E$2,"")</f>
        <v/>
      </c>
      <c r="AT22" s="8008" t="n"/>
      <c r="AU22" s="11961">
        <f>IF(AND('W-2s'!E$9&lt;&gt;"",'W-2s'!E$9&gt;0),'W-2s'!E$9,"")</f>
        <v/>
      </c>
      <c r="AV22" s="8008" t="n"/>
      <c r="AW22" s="11561" t="n"/>
      <c r="AX22" s="8008" t="n"/>
      <c r="AY22" s="11962">
        <f>IF(AND(AU22&lt;&gt;"",AW22&lt;&gt;""),MAX(AU22,AW22),IF(AU22&lt;&gt;"",AU22,IF(AW22&lt;&gt;"",AW22,"")))</f>
        <v/>
      </c>
      <c r="AZ22" s="11734" t="n"/>
      <c r="BA22" s="6459">
        <f>IF(AND(AU22&lt;&gt;0,AU22&lt;&gt;""),1,0)</f>
        <v/>
      </c>
      <c r="BB22" s="6459">
        <f>IF(AND(AW22&lt;&gt;0,AW22&lt;&gt;""),1,0)</f>
        <v/>
      </c>
      <c r="BC22" s="6459">
        <f>SUM(BA22,BB22)</f>
        <v/>
      </c>
    </row>
    <row r="23" ht="18" customHeight="1" s="7635">
      <c r="A23" s="1277" t="n"/>
      <c r="B23" s="11602" t="n"/>
      <c r="C23" s="10886" t="n"/>
      <c r="D23" s="10886" t="n"/>
      <c r="E23" s="5995" t="inlineStr">
        <is>
          <t>respect to employment with more than one employer, enter -0- on lines 4a and</t>
        </is>
      </c>
      <c r="F23" s="1248" t="n"/>
      <c r="G23" s="1248" t="n"/>
      <c r="H23" s="1248" t="n"/>
      <c r="I23" s="1248" t="n"/>
      <c r="J23" s="1248" t="n"/>
      <c r="K23" s="1248" t="n"/>
      <c r="L23" s="1248" t="n"/>
      <c r="M23" s="1248" t="n"/>
      <c r="N23" s="1248" t="n"/>
      <c r="O23" s="1248" t="n"/>
      <c r="P23" s="1248" t="n"/>
      <c r="Q23" s="1248" t="n"/>
      <c r="R23" s="1248" t="n"/>
      <c r="S23" s="1248" t="n"/>
      <c r="T23" s="1248" t="n"/>
      <c r="U23" s="1248" t="n"/>
      <c r="V23" s="1248" t="n"/>
      <c r="W23" s="1249" t="n"/>
      <c r="X23" s="1248" t="n"/>
      <c r="Y23" s="1248" t="n"/>
      <c r="Z23" s="1248" t="n"/>
      <c r="AA23" s="1248" t="n"/>
      <c r="AB23" s="11602" t="n"/>
      <c r="AC23" s="5884" t="n"/>
      <c r="AD23" s="7566" t="n"/>
      <c r="AE23" s="5405" t="n"/>
      <c r="AF23" s="5405" t="n"/>
      <c r="AG23" s="5405" t="n"/>
      <c r="AH23" s="5405" t="n"/>
      <c r="AI23" s="1277" t="n"/>
      <c r="AJ23" s="724" t="n"/>
      <c r="AK23" s="2875" t="n"/>
      <c r="AL23" s="11602" t="n"/>
      <c r="AM23" s="5888" t="n"/>
      <c r="AN23" s="11602" t="n"/>
      <c r="AO23" s="5887" t="n"/>
      <c r="AP23" s="11602" t="n"/>
      <c r="AQ23" s="11602" t="n"/>
      <c r="AR23" s="6217" t="inlineStr">
        <is>
          <t>C</t>
        </is>
      </c>
      <c r="AS23" s="11960">
        <f>IF(AND('W-2s'!F$9&lt;&gt;"",'W-2s'!F$9&gt;0),'W-2s'!F$2,"")</f>
        <v/>
      </c>
      <c r="AT23" s="8008" t="n"/>
      <c r="AU23" s="11961">
        <f>IF(AND('W-2s'!F$9&lt;&gt;"",'W-2s'!F$9&gt;0),'W-2s'!F$9,"")</f>
        <v/>
      </c>
      <c r="AV23" s="8008" t="n"/>
      <c r="AW23" s="11561" t="n"/>
      <c r="AX23" s="8008" t="n"/>
      <c r="AY23" s="11962">
        <f>IF(AND(AU23&lt;&gt;"",AW23&lt;&gt;""),MAX(AU23,AW23),IF(AU23&lt;&gt;"",AU23,IF(AW23&lt;&gt;"",AW23,"")))</f>
        <v/>
      </c>
      <c r="AZ23" s="11734" t="n"/>
      <c r="BA23" s="6459">
        <f>IF(AND(AU23&lt;&gt;0,AU23&lt;&gt;""),1,0)</f>
        <v/>
      </c>
      <c r="BB23" s="6459">
        <f>IF(AND(AW23&lt;&gt;0,AW23&lt;&gt;""),1,0)</f>
        <v/>
      </c>
      <c r="BC23" s="6459">
        <f>SUM(BA23,BB23)</f>
        <v/>
      </c>
    </row>
    <row r="24" ht="18" customHeight="1" s="7635">
      <c r="A24" s="1277" t="n"/>
      <c r="B24" s="11602" t="n"/>
      <c r="C24" s="10886" t="n"/>
      <c r="D24" s="10886" t="n"/>
      <c r="E24" s="5995" t="inlineStr">
        <is>
          <t>4b and see the instructions to determine the amount to enter on line 4c. If you</t>
        </is>
      </c>
      <c r="F24" s="1248" t="n"/>
      <c r="G24" s="1248" t="n"/>
      <c r="H24" s="1248" t="n"/>
      <c r="I24" s="1248" t="n"/>
      <c r="J24" s="1248" t="n"/>
      <c r="K24" s="1248" t="n"/>
      <c r="L24" s="1248" t="n"/>
      <c r="M24" s="1248" t="n"/>
      <c r="N24" s="1248" t="n"/>
      <c r="O24" s="1248" t="n"/>
      <c r="P24" s="1248" t="n"/>
      <c r="Q24" s="1248" t="n"/>
      <c r="R24" s="1248" t="n"/>
      <c r="S24" s="1248" t="n"/>
      <c r="T24" s="1248" t="n"/>
      <c r="U24" s="1248" t="n"/>
      <c r="V24" s="1248" t="n"/>
      <c r="W24" s="1249" t="n"/>
      <c r="X24" s="1248" t="n"/>
      <c r="Y24" s="1248" t="n"/>
      <c r="Z24" s="1248" t="n"/>
      <c r="AA24" s="1248" t="n"/>
      <c r="AB24" s="11602" t="n"/>
      <c r="AC24" s="5884" t="n"/>
      <c r="AD24" s="7566" t="n"/>
      <c r="AE24" s="5405" t="n"/>
      <c r="AF24" s="5405" t="n"/>
      <c r="AG24" s="5405" t="n"/>
      <c r="AH24" s="5405" t="n"/>
      <c r="AI24" s="1277" t="n"/>
      <c r="AJ24" s="724" t="n"/>
      <c r="AK24" s="2875" t="n"/>
      <c r="AL24" s="11602" t="n"/>
      <c r="AM24" s="5888" t="n"/>
      <c r="AN24" s="11602" t="n"/>
      <c r="AO24" s="5887" t="n"/>
      <c r="AP24" s="11602" t="n"/>
      <c r="AQ24" s="11602" t="n"/>
      <c r="AR24" s="6217" t="inlineStr">
        <is>
          <t>D</t>
        </is>
      </c>
      <c r="AS24" s="11960">
        <f>IF(AND('W-2s'!G$9&lt;&gt;"",'W-2s'!G$9&gt;0),'W-2s'!G$2,"")</f>
        <v/>
      </c>
      <c r="AT24" s="8008" t="n"/>
      <c r="AU24" s="11961">
        <f>IF(AND('W-2s'!G$9&lt;&gt;"",'W-2s'!G$9&gt;0),'W-2s'!G$9,"")</f>
        <v/>
      </c>
      <c r="AV24" s="8008" t="n"/>
      <c r="AW24" s="11561" t="n"/>
      <c r="AX24" s="8008" t="n"/>
      <c r="AY24" s="11962">
        <f>IF(AND(AU24&lt;&gt;"",AW24&lt;&gt;""),MAX(AU24,AW24),IF(AU24&lt;&gt;"",AU24,IF(AW24&lt;&gt;"",AW24,"")))</f>
        <v/>
      </c>
      <c r="AZ24" s="11734" t="n"/>
      <c r="BA24" s="6459">
        <f>IF(AND(AU24&lt;&gt;0,AU24&lt;&gt;""),1,0)</f>
        <v/>
      </c>
      <c r="BB24" s="6459">
        <f>IF(AND(AW24&lt;&gt;0,AW24&lt;&gt;""),1,0)</f>
        <v/>
      </c>
      <c r="BC24" s="6459">
        <f>SUM(BA24,BB24)</f>
        <v/>
      </c>
    </row>
    <row r="25" ht="18" customHeight="1" s="7635">
      <c r="A25" s="1277" t="n"/>
      <c r="B25" s="11602" t="n"/>
      <c r="C25" s="10886" t="n"/>
      <c r="D25" s="10886" t="n"/>
      <c r="E25" s="5995" t="inlineStr">
        <is>
          <t>received tips as an employee in more than one occupation, see the instructions.</t>
        </is>
      </c>
      <c r="F25" s="1248" t="n"/>
      <c r="G25" s="1248" t="n"/>
      <c r="H25" s="1248" t="n"/>
      <c r="I25" s="1248" t="n"/>
      <c r="J25" s="1248" t="n"/>
      <c r="K25" s="1248" t="n"/>
      <c r="L25" s="1248" t="n"/>
      <c r="M25" s="1248" t="n"/>
      <c r="N25" s="1248" t="n"/>
      <c r="O25" s="1248" t="n"/>
      <c r="P25" s="1248" t="n"/>
      <c r="Q25" s="1248" t="n"/>
      <c r="R25" s="1248" t="n"/>
      <c r="S25" s="1248" t="n"/>
      <c r="T25" s="1248" t="n"/>
      <c r="U25" s="1248" t="n"/>
      <c r="V25" s="1248" t="n"/>
      <c r="W25" s="1249" t="n"/>
      <c r="X25" s="11963">
        <f>IF(AND(AI25="",BC35),"See Qualified Tips from Employer Worksheet.","")</f>
        <v/>
      </c>
      <c r="Y25" s="194" t="n"/>
      <c r="Z25" s="194" t="n"/>
      <c r="AA25" s="194" t="n"/>
      <c r="AB25" s="11726" t="n"/>
      <c r="AC25" s="5884" t="n"/>
      <c r="AD25" s="7566" t="n"/>
      <c r="AE25" s="5405" t="n"/>
      <c r="AF25" s="5405" t="n"/>
      <c r="AG25" s="5405" t="n"/>
      <c r="AH25" s="5405" t="n"/>
      <c r="AI25" s="1821" t="n"/>
      <c r="AJ25" s="5888">
        <f>IF(BC35,"Hide note.","")</f>
        <v/>
      </c>
      <c r="AK25" s="2875" t="n"/>
      <c r="AL25" s="11602" t="n"/>
      <c r="AM25" s="5888" t="n"/>
      <c r="AN25" s="11602" t="n"/>
      <c r="AO25" s="5887" t="n"/>
      <c r="AP25" s="11602" t="n"/>
      <c r="AQ25" s="11602" t="n"/>
      <c r="AR25" s="6217" t="inlineStr">
        <is>
          <t>E</t>
        </is>
      </c>
      <c r="AS25" s="11960">
        <f>IF(AND('W-2s'!H$9&lt;&gt;"",'W-2s'!H$9&gt;0),'W-2s'!H$2,"")</f>
        <v/>
      </c>
      <c r="AT25" s="8008" t="n"/>
      <c r="AU25" s="11961">
        <f>IF(AND('W-2s'!H$9&lt;&gt;"",'W-2s'!H$9&gt;0),'W-2s'!H$9,"")</f>
        <v/>
      </c>
      <c r="AV25" s="8008" t="n"/>
      <c r="AW25" s="11561" t="n"/>
      <c r="AX25" s="8008" t="n"/>
      <c r="AY25" s="11962">
        <f>IF(AND(AU25&lt;&gt;"",AW25&lt;&gt;""),MAX(AU25,AW25),IF(AU25&lt;&gt;"",AU25,IF(AW25&lt;&gt;"",AW25,"")))</f>
        <v/>
      </c>
      <c r="AZ25" s="11734" t="n"/>
      <c r="BA25" s="6459">
        <f>IF(AND(AU25&lt;&gt;0,AU25&lt;&gt;""),1,0)</f>
        <v/>
      </c>
      <c r="BB25" s="6459">
        <f>IF(AND(AW25&lt;&gt;0,AW25&lt;&gt;""),1,0)</f>
        <v/>
      </c>
      <c r="BC25" s="6459">
        <f>SUM(BA25,BB25)</f>
        <v/>
      </c>
    </row>
    <row r="26" ht="18" customHeight="1" s="7635">
      <c r="A26" s="1277" t="n"/>
      <c r="B26" s="11602" t="n"/>
      <c r="C26" s="2039" t="inlineStr">
        <is>
          <t>a</t>
        </is>
      </c>
      <c r="D26" s="2039" t="n"/>
      <c r="E26" s="5995" t="inlineStr">
        <is>
          <t>Enter qualified tips included on Form W-2, box 7, but see the instructions if</t>
        </is>
      </c>
      <c r="F26" s="1248" t="n"/>
      <c r="G26" s="1248" t="n"/>
      <c r="H26" s="1248" t="n"/>
      <c r="I26" s="1248" t="n"/>
      <c r="J26" s="1248" t="n"/>
      <c r="K26" s="1248" t="n"/>
      <c r="L26" s="1248" t="n"/>
      <c r="M26" s="1248" t="n"/>
      <c r="N26" s="1248" t="n"/>
      <c r="O26" s="1248" t="n"/>
      <c r="P26" s="1248" t="n"/>
      <c r="Q26" s="1248" t="n"/>
      <c r="R26" s="1248" t="n"/>
      <c r="S26" s="1248" t="n"/>
      <c r="T26" s="1248" t="n"/>
      <c r="U26" s="1248" t="n"/>
      <c r="V26" s="1248" t="n"/>
      <c r="W26" s="1249" t="n"/>
      <c r="X26" s="11956" t="n"/>
      <c r="Y26" s="194" t="n"/>
      <c r="Z26" s="194" t="n"/>
      <c r="AA26" s="194" t="n"/>
      <c r="AB26" s="11726" t="n"/>
      <c r="AC26" s="5884" t="n"/>
      <c r="AD26" s="7566" t="n"/>
      <c r="AE26" s="5405" t="n"/>
      <c r="AF26" s="5405" t="n"/>
      <c r="AG26" s="5405" t="n"/>
      <c r="AH26" s="5405" t="n"/>
      <c r="AI26" s="1277" t="n"/>
      <c r="AJ26" s="7669" t="inlineStr">
        <is>
          <t>Enter tips using 
worksheets &gt;&gt;&gt;</t>
        </is>
      </c>
      <c r="AL26" s="11602" t="n"/>
      <c r="AM26" s="5888">
        <f>IF(AND(UnEmploymentComp&lt;&gt;"",UnEmploymentComp&gt;0),"Check if UEC was REPAID.","")</f>
        <v/>
      </c>
      <c r="AN26" s="851" t="n"/>
      <c r="AO26" s="5887" t="n"/>
      <c r="AP26" s="11602" t="n"/>
      <c r="AQ26" s="11602" t="n"/>
      <c r="AR26" s="6217" t="inlineStr">
        <is>
          <t>F</t>
        </is>
      </c>
      <c r="AS26" s="11960">
        <f>IF(AND('W-2s'!I$9&lt;&gt;"",'W-2s'!I$9&gt;0),'W-2s'!I$2,"")</f>
        <v/>
      </c>
      <c r="AT26" s="8008" t="n"/>
      <c r="AU26" s="11961">
        <f>IF(AND('W-2s'!I$9&lt;&gt;"",'W-2s'!I$9&gt;0),'W-2s'!I$9,"")</f>
        <v/>
      </c>
      <c r="AV26" s="8008" t="n"/>
      <c r="AW26" s="11561" t="n"/>
      <c r="AX26" s="8008" t="n"/>
      <c r="AY26" s="11962">
        <f>IF(AND(AU26&lt;&gt;"",AW26&lt;&gt;""),MAX(AU26,AW26),IF(AU26&lt;&gt;"",AU26,IF(AW26&lt;&gt;"",AW26,"")))</f>
        <v/>
      </c>
      <c r="AZ26" s="11734" t="n"/>
      <c r="BA26" s="6459">
        <f>IF(AND(AU26&lt;&gt;0,AU26&lt;&gt;""),1,0)</f>
        <v/>
      </c>
      <c r="BB26" s="6459">
        <f>IF(AND(AW26&lt;&gt;0,AW26&lt;&gt;""),1,0)</f>
        <v/>
      </c>
      <c r="BC26" s="6459">
        <f>SUM(BA26,BB26)</f>
        <v/>
      </c>
    </row>
    <row r="27" ht="18" customHeight="1" s="7635">
      <c r="A27" s="1277" t="n"/>
      <c r="B27" s="11602" t="n"/>
      <c r="C27" s="2039" t="n"/>
      <c r="D27" s="2039" t="n"/>
      <c r="E27" s="5995">
        <f>"Form W-2, box 5, is more than "&amp;TEXT(MaxSSTaxEarnings,"$0,000")&amp;" or you received tips that are not"</f>
        <v/>
      </c>
      <c r="F27" s="1248" t="n"/>
      <c r="G27" s="1248" t="n"/>
      <c r="H27" s="1248" t="n"/>
      <c r="I27" s="1248" t="n"/>
      <c r="J27" s="1248" t="n"/>
      <c r="K27" s="1248" t="n"/>
      <c r="L27" s="1248" t="n"/>
      <c r="M27" s="1248" t="n"/>
      <c r="N27" s="1248" t="n"/>
      <c r="O27" s="1248" t="n"/>
      <c r="P27" s="1248" t="n"/>
      <c r="Q27" s="1248" t="n"/>
      <c r="R27" s="1248" t="n"/>
      <c r="S27" s="1248" t="n"/>
      <c r="T27" s="1248" t="n"/>
      <c r="U27" s="1248" t="n"/>
      <c r="V27" s="1248" t="n"/>
      <c r="W27" s="1249" t="n"/>
      <c r="X27" s="11956" t="n"/>
      <c r="Y27" s="194" t="n"/>
      <c r="Z27" s="194" t="n"/>
      <c r="AA27" s="194" t="n"/>
      <c r="AB27" s="11726" t="n"/>
      <c r="AC27" s="5884" t="n"/>
      <c r="AD27" s="7801">
        <f>AND(AK28="",AV33=0)</f>
        <v/>
      </c>
      <c r="AI27" s="1277" t="n"/>
      <c r="AL27" s="11602" t="n"/>
      <c r="AM27" s="5888" t="n"/>
      <c r="AN27" s="851" t="n"/>
      <c r="AO27" s="5887" t="n"/>
      <c r="AP27" s="11602" t="n"/>
      <c r="AQ27" s="11602" t="n"/>
      <c r="AR27" s="6217" t="inlineStr">
        <is>
          <t>G</t>
        </is>
      </c>
      <c r="AS27" s="11960">
        <f>IF(AND('W-2s'!D$46&lt;&gt;"",'W-2s'!D$46&gt;0),'W-2s'!D$39,"")</f>
        <v/>
      </c>
      <c r="AT27" s="8008" t="n"/>
      <c r="AU27" s="11961">
        <f>IF(AND('W-2s'!D$46&lt;&gt;"",'W-2s'!D$46&gt;0),'W-2s'!D$46,"")</f>
        <v/>
      </c>
      <c r="AV27" s="8008" t="n"/>
      <c r="AW27" s="11561" t="n"/>
      <c r="AX27" s="8008" t="n"/>
      <c r="AY27" s="11962">
        <f>IF(AND(AU27&lt;&gt;"",AW27&lt;&gt;""),MAX(AU27,AW27),IF(AU27&lt;&gt;"",AU27,IF(AW27&lt;&gt;"",AW27,"")))</f>
        <v/>
      </c>
      <c r="AZ27" s="11734" t="n"/>
      <c r="BA27" s="6459">
        <f>IF(AND(AU27&lt;&gt;0,AU27&lt;&gt;""),1,0)</f>
        <v/>
      </c>
      <c r="BB27" s="6459">
        <f>IF(AND(AW27&lt;&gt;0,AW27&lt;&gt;""),1,0)</f>
        <v/>
      </c>
      <c r="BC27" s="6459">
        <f>SUM(BA27,BB27)</f>
        <v/>
      </c>
    </row>
    <row r="28" ht="18" customHeight="1" s="7635">
      <c r="A28" s="1277" t="n"/>
      <c r="B28" s="11602" t="n"/>
      <c r="C28" s="2039" t="n"/>
      <c r="D28" s="2039" t="n"/>
      <c r="E28" s="5995" t="inlineStr">
        <is>
          <t>subject to social security and Medicare taxes</t>
        </is>
      </c>
      <c r="F28" s="11602" t="n"/>
      <c r="G28" s="11602" t="n"/>
      <c r="H28" s="11602" t="n"/>
      <c r="I28" s="11602" t="n"/>
      <c r="J28" s="11602" t="n"/>
      <c r="K28" s="11602" t="n"/>
      <c r="L28" s="11602" t="n"/>
      <c r="M28" s="11602" t="n"/>
      <c r="N28" s="11602" t="n"/>
      <c r="O28" s="11602" t="n"/>
      <c r="P28" s="1218" t="n"/>
      <c r="Q28" s="2373" t="n"/>
      <c r="R28" s="11602" t="n"/>
      <c r="S28" s="11602" t="n"/>
      <c r="T28" s="11602" t="n"/>
      <c r="U28" s="11602" t="n"/>
      <c r="V28" s="1401" t="inlineStr">
        <is>
          <t xml:space="preserve">.   .   .   .   .   .   .   .   .   .   .   .   .   .   .   .   .   .  </t>
        </is>
      </c>
      <c r="W28" s="8389" t="inlineStr">
        <is>
          <t>4a</t>
        </is>
      </c>
      <c r="X28" s="7589">
        <f>IF(AK28&lt;&gt;"",ROUND(AK28,0),IF(OR(AJ22,BC35,AND(BA33=0,BB33=0,AK28="")),"",AV33))</f>
        <v/>
      </c>
      <c r="Y28" s="7637" t="n"/>
      <c r="Z28" s="7637" t="n"/>
      <c r="AA28" s="7637" t="n"/>
      <c r="AB28" s="7638" t="n"/>
      <c r="AC28" s="5884" t="n"/>
      <c r="AD28" s="7765">
        <f>IF(X28="",0,X28)</f>
        <v/>
      </c>
      <c r="AI28" s="1277" t="n"/>
      <c r="AJ28" s="990">
        <f>X28=""</f>
        <v/>
      </c>
      <c r="AK28" s="1329" t="n"/>
      <c r="AL28" s="11602" t="n"/>
      <c r="AM28" s="11602" t="n"/>
      <c r="AN28" s="11602" t="n"/>
      <c r="AO28" s="5887" t="n"/>
      <c r="AP28" s="11602" t="n"/>
      <c r="AQ28" s="11602" t="n"/>
      <c r="AR28" s="6217" t="inlineStr">
        <is>
          <t>H</t>
        </is>
      </c>
      <c r="AS28" s="11960">
        <f>IF(AND('W-2s'!E$46&lt;&gt;"",'W-2s'!E$46&gt;0),'W-2s'!E$39,"")</f>
        <v/>
      </c>
      <c r="AT28" s="8008" t="n"/>
      <c r="AU28" s="11961">
        <f>IF(AND('W-2s'!E$46&lt;&gt;"",'W-2s'!E$46&gt;0),'W-2s'!E$46,"")</f>
        <v/>
      </c>
      <c r="AV28" s="8008" t="n"/>
      <c r="AW28" s="11561" t="n"/>
      <c r="AX28" s="8008" t="n"/>
      <c r="AY28" s="11962">
        <f>IF(AND(AU28&lt;&gt;"",AW28&lt;&gt;""),MAX(AU28,AW28),IF(AU28&lt;&gt;"",AU28,IF(AW28&lt;&gt;"",AW28,"")))</f>
        <v/>
      </c>
      <c r="AZ28" s="11734" t="n"/>
      <c r="BA28" s="6459">
        <f>IF(AND(AU28&lt;&gt;0,AU28&lt;&gt;""),1,0)</f>
        <v/>
      </c>
      <c r="BB28" s="6459">
        <f>IF(AND(AW28&lt;&gt;0,AW28&lt;&gt;""),1,0)</f>
        <v/>
      </c>
      <c r="BC28" s="6459">
        <f>SUM(BA28,BB28)</f>
        <v/>
      </c>
    </row>
    <row r="29" ht="18" customHeight="1" s="7635">
      <c r="A29" s="1277" t="n"/>
      <c r="B29" s="11602" t="n"/>
      <c r="C29" s="2039" t="inlineStr">
        <is>
          <t>b</t>
        </is>
      </c>
      <c r="D29" s="2039" t="n"/>
      <c r="E29" s="5995" t="inlineStr">
        <is>
          <t>Qualified tips included on Form 4137, line 1, row A, column (c). If Form 4137 is</t>
        </is>
      </c>
      <c r="F29" s="1248" t="n"/>
      <c r="G29" s="1248" t="n"/>
      <c r="H29" s="1248" t="n"/>
      <c r="I29" s="1248" t="n"/>
      <c r="J29" s="1248" t="n"/>
      <c r="K29" s="1248" t="n"/>
      <c r="L29" s="1248" t="n"/>
      <c r="M29" s="1248" t="n"/>
      <c r="N29" s="1248" t="n"/>
      <c r="O29" s="1248" t="n"/>
      <c r="P29" s="1248" t="n"/>
      <c r="Q29" s="1248" t="n"/>
      <c r="R29" s="1248" t="n"/>
      <c r="S29" s="1248" t="n"/>
      <c r="T29" s="1248" t="n"/>
      <c r="U29" s="1248" t="n"/>
      <c r="V29" s="1248" t="n"/>
      <c r="W29" s="1249" t="n"/>
      <c r="X29" s="1248" t="n"/>
      <c r="Y29" s="1248" t="n"/>
      <c r="Z29" s="1248" t="n"/>
      <c r="AA29" s="1248" t="n"/>
      <c r="AB29" s="11602" t="n"/>
      <c r="AC29" s="5884" t="n"/>
      <c r="AD29" s="7566" t="n"/>
      <c r="AE29" s="5405" t="n"/>
      <c r="AF29" s="5405" t="n"/>
      <c r="AG29" s="5405" t="n"/>
      <c r="AH29" s="5405" t="n"/>
      <c r="AI29" s="1277" t="n"/>
      <c r="AJ29" s="724" t="n"/>
      <c r="AK29" s="2875" t="n"/>
      <c r="AL29" s="11602" t="n"/>
      <c r="AM29" s="5888" t="n"/>
      <c r="AN29" s="851" t="n"/>
      <c r="AO29" s="5887" t="n"/>
      <c r="AP29" s="11602" t="n"/>
      <c r="AQ29" s="11602" t="n"/>
      <c r="AR29" s="6217" t="inlineStr">
        <is>
          <t>I</t>
        </is>
      </c>
      <c r="AS29" s="11960">
        <f>IF(AND('W-2s'!F$46&lt;&gt;"",'W-2s'!F$46&gt;0),'W-2s'!F$39,"")</f>
        <v/>
      </c>
      <c r="AT29" s="8008" t="n"/>
      <c r="AU29" s="11961">
        <f>IF(AND('W-2s'!F$46&lt;&gt;"",'W-2s'!F$46&gt;0),'W-2s'!F$46,"")</f>
        <v/>
      </c>
      <c r="AV29" s="8008" t="n"/>
      <c r="AW29" s="11561" t="n"/>
      <c r="AX29" s="8008" t="n"/>
      <c r="AY29" s="11962">
        <f>IF(AND(AU29&lt;&gt;"",AW29&lt;&gt;""),MAX(AU29,AW29),IF(AU29&lt;&gt;"",AU29,IF(AW29&lt;&gt;"",AW29,"")))</f>
        <v/>
      </c>
      <c r="AZ29" s="11734" t="n"/>
      <c r="BA29" s="6459">
        <f>IF(AND(AU29&lt;&gt;0,AU29&lt;&gt;""),1,0)</f>
        <v/>
      </c>
      <c r="BB29" s="6459">
        <f>IF(AND(AW29&lt;&gt;0,AW29&lt;&gt;""),1,0)</f>
        <v/>
      </c>
      <c r="BC29" s="6459">
        <f>SUM(BA29,BB29)</f>
        <v/>
      </c>
    </row>
    <row r="30" ht="18" customHeight="1" s="7635">
      <c r="A30" s="1277" t="n"/>
      <c r="B30" s="11602" t="n"/>
      <c r="C30" s="2039" t="n"/>
      <c r="D30" s="2039" t="n"/>
      <c r="E30" s="5995" t="inlineStr">
        <is>
          <t>not filed, enter -0-</t>
        </is>
      </c>
      <c r="F30" s="11602" t="n"/>
      <c r="G30" s="11602" t="n"/>
      <c r="H30" s="11602" t="n"/>
      <c r="I30" s="11602" t="n"/>
      <c r="J30" s="11602" t="n"/>
      <c r="K30" s="11602" t="n"/>
      <c r="L30" s="11602" t="n"/>
      <c r="M30" s="11602" t="n"/>
      <c r="N30" s="11602" t="n"/>
      <c r="O30" s="11602" t="n"/>
      <c r="P30" s="1218" t="n"/>
      <c r="Q30" s="2373" t="n"/>
      <c r="R30" s="11602" t="n"/>
      <c r="S30" s="11602" t="n"/>
      <c r="T30" s="11602" t="n"/>
      <c r="U30" s="11602" t="n"/>
      <c r="V30" s="1401" t="inlineStr">
        <is>
          <t xml:space="preserve">.   .   .   .   .   .   .   .   .   .   .   .   .   .   .   .   .   .   .   .   .   .   .   .   .   .   .   .   .   .  </t>
        </is>
      </c>
      <c r="W30" s="8389" t="inlineStr">
        <is>
          <t>4b</t>
        </is>
      </c>
      <c r="X30" s="7589">
        <f>IF(AK30&lt;&gt;"",ROUND(AK30,0),IF(OR(AJ22,BC35,AND(BA33=0,BB33=0,AK28="")),"",AX33))</f>
        <v/>
      </c>
      <c r="Y30" s="7637" t="n"/>
      <c r="Z30" s="7637" t="n"/>
      <c r="AA30" s="7637" t="n"/>
      <c r="AB30" s="7638" t="n"/>
      <c r="AC30" s="5884" t="n"/>
      <c r="AD30" s="7765">
        <f>IF(X30="",0,X30)</f>
        <v/>
      </c>
      <c r="AI30" s="1277" t="n"/>
      <c r="AJ30" s="990">
        <f>X30=""</f>
        <v/>
      </c>
      <c r="AK30" s="1329" t="n"/>
      <c r="AL30" s="11602" t="n"/>
      <c r="AM30" s="851" t="n"/>
      <c r="AN30" s="11602" t="n"/>
      <c r="AO30" s="5887" t="n"/>
      <c r="AP30" s="11602" t="n"/>
      <c r="AQ30" s="11602" t="n"/>
      <c r="AR30" s="6217" t="inlineStr">
        <is>
          <t>J</t>
        </is>
      </c>
      <c r="AS30" s="11960">
        <f>IF(AND('W-2s'!G$46&lt;&gt;"",'W-2s'!G$46&gt;0),'W-2s'!G$39,"")</f>
        <v/>
      </c>
      <c r="AT30" s="8008" t="n"/>
      <c r="AU30" s="11960">
        <f>IF(AND('W-2s'!G$46&lt;&gt;"",'W-2s'!G$46&gt;0),'W-2s'!G$39,"")</f>
        <v/>
      </c>
      <c r="AV30" s="8008" t="n"/>
      <c r="AW30" s="11561" t="n"/>
      <c r="AX30" s="8008" t="n"/>
      <c r="AY30" s="11962">
        <f>IF(AND(AU30&lt;&gt;"",AW30&lt;&gt;""),MAX(AU30,AW30),IF(AU30&lt;&gt;"",AU30,IF(AW30&lt;&gt;"",AW30,"")))</f>
        <v/>
      </c>
      <c r="AZ30" s="11734" t="n"/>
      <c r="BA30" s="6459">
        <f>IF(AND(AU30&lt;&gt;0,AU30&lt;&gt;""),1,0)</f>
        <v/>
      </c>
      <c r="BB30" s="6459">
        <f>IF(AND(AW30&lt;&gt;0,AW30&lt;&gt;""),1,0)</f>
        <v/>
      </c>
      <c r="BC30" s="6459">
        <f>SUM(BA30,BB30)</f>
        <v/>
      </c>
    </row>
    <row r="31" ht="18" customHeight="1" s="7635">
      <c r="A31" s="1277" t="n"/>
      <c r="B31" s="11602" t="n"/>
      <c r="C31" s="2039" t="inlineStr">
        <is>
          <t>c</t>
        </is>
      </c>
      <c r="D31" s="2039" t="n"/>
      <c r="E31" s="5995" t="inlineStr">
        <is>
          <t>If you only received qualified tips as an employee with respect to employment with one employer,</t>
        </is>
      </c>
      <c r="F31" s="1248" t="n"/>
      <c r="G31" s="1248" t="n"/>
      <c r="H31" s="1248" t="n"/>
      <c r="I31" s="1248" t="n"/>
      <c r="J31" s="1248" t="n"/>
      <c r="K31" s="1248" t="n"/>
      <c r="L31" s="1248" t="n"/>
      <c r="M31" s="1248" t="n"/>
      <c r="N31" s="1248" t="n"/>
      <c r="O31" s="1248" t="n"/>
      <c r="P31" s="1248" t="n"/>
      <c r="Q31" s="1248" t="n"/>
      <c r="R31" s="1248" t="n"/>
      <c r="S31" s="1248" t="n"/>
      <c r="T31" s="1248" t="n"/>
      <c r="U31" s="1248" t="n"/>
      <c r="V31" s="1248" t="n"/>
      <c r="W31" s="1248" t="n"/>
      <c r="X31" s="1248" t="n"/>
      <c r="Y31" s="1248" t="n"/>
      <c r="Z31" s="1248" t="n"/>
      <c r="AA31" s="1248" t="n"/>
      <c r="AB31" s="1248" t="n"/>
      <c r="AC31" s="5884" t="n"/>
      <c r="AD31" s="7566" t="n"/>
      <c r="AE31" s="5405" t="n"/>
      <c r="AF31" s="5405" t="n"/>
      <c r="AG31" s="5405" t="n"/>
      <c r="AH31" s="5405" t="n"/>
      <c r="AI31" s="1277" t="n"/>
      <c r="AJ31" s="5028" t="n"/>
      <c r="AK31" s="2875" t="n"/>
      <c r="AL31" s="11602" t="n"/>
      <c r="AM31" s="5888">
        <f>IF(AND(UnEmploymentComp&lt;&gt;"",UnEmploymentComp&gt;0),"Check if UEC was REPAID.","")</f>
        <v/>
      </c>
      <c r="AN31" s="11602" t="n"/>
      <c r="AO31" s="5887" t="n"/>
      <c r="AP31" s="11602" t="n"/>
      <c r="AQ31" s="11602" t="n"/>
      <c r="AR31" s="6217" t="inlineStr">
        <is>
          <t>K</t>
        </is>
      </c>
      <c r="AS31" s="11960">
        <f>IF(AND('W-2s'!H$46&lt;&gt;"",'W-2s'!H$46&gt;0),'W-2s'!H$39,"")</f>
        <v/>
      </c>
      <c r="AT31" s="8008" t="n"/>
      <c r="AU31" s="11961">
        <f>IF(AND('W-2s'!H$46&lt;&gt;"",'W-2s'!H$46&gt;0),'W-2s'!H$46,"")</f>
        <v/>
      </c>
      <c r="AV31" s="8008" t="n"/>
      <c r="AW31" s="11561" t="n"/>
      <c r="AX31" s="8008" t="n"/>
      <c r="AY31" s="11962">
        <f>IF(AND(AU31&lt;&gt;"",AW31&lt;&gt;""),MAX(AU31,AW31),IF(AU31&lt;&gt;"",AU31,IF(AW31&lt;&gt;"",AW31,"")))</f>
        <v/>
      </c>
      <c r="AZ31" s="11734" t="n"/>
      <c r="BA31" s="6459">
        <f>IF(AND(AU31&lt;&gt;0,AU31&lt;&gt;""),1,0)</f>
        <v/>
      </c>
      <c r="BB31" s="6459">
        <f>IF(AND(AW31&lt;&gt;0,AW31&lt;&gt;""),1,0)</f>
        <v/>
      </c>
      <c r="BC31" s="6459">
        <f>SUM(BA31,BB31)</f>
        <v/>
      </c>
    </row>
    <row r="32" ht="18" customHeight="1" s="7635">
      <c r="A32" s="1277" t="n"/>
      <c r="B32" s="11602" t="n"/>
      <c r="C32" s="8439" t="n"/>
      <c r="D32" s="8439" t="n"/>
      <c r="E32" s="5995" t="inlineStr">
        <is>
          <t>enter the larger of line 4a or line 4b. Otherwise, see the instructions to determine the amount to enter</t>
        </is>
      </c>
      <c r="F32" s="11602" t="n"/>
      <c r="G32" s="11602" t="n"/>
      <c r="H32" s="11602" t="n"/>
      <c r="I32" s="11602" t="n"/>
      <c r="J32" s="11602" t="n"/>
      <c r="K32" s="11602" t="n"/>
      <c r="L32" s="11602" t="n"/>
      <c r="M32" s="11602" t="n"/>
      <c r="N32" s="11602" t="n"/>
      <c r="O32" s="11602" t="n"/>
      <c r="P32" s="11602" t="n"/>
      <c r="Q32" s="11602" t="n"/>
      <c r="R32" s="11602" t="n"/>
      <c r="S32" s="11602" t="n"/>
      <c r="T32" s="11602" t="n"/>
      <c r="U32" s="11602" t="n"/>
      <c r="V32" s="1401" t="n"/>
      <c r="W32" s="11602" t="n"/>
      <c r="X32" s="11602" t="n"/>
      <c r="Y32" s="11602" t="n"/>
      <c r="Z32" s="11602" t="n"/>
      <c r="AA32" s="11602" t="n"/>
      <c r="AB32" s="11602" t="n"/>
      <c r="AC32" s="5884" t="n"/>
      <c r="AD32" s="7566">
        <f>ROUND(X32,0)</f>
        <v/>
      </c>
      <c r="AI32" s="1277" t="n"/>
      <c r="AJ32" s="5028" t="n"/>
      <c r="AK32" s="2875" t="n"/>
      <c r="AL32" s="11602" t="n"/>
      <c r="AM32" s="5888" t="n"/>
      <c r="AN32" s="11602" t="n"/>
      <c r="AO32" s="5887" t="n"/>
      <c r="AP32" s="11602" t="n"/>
      <c r="AQ32" s="11602" t="n"/>
      <c r="AR32" s="6217" t="inlineStr">
        <is>
          <t>L</t>
        </is>
      </c>
      <c r="AS32" s="11960">
        <f>IF(AND('W-2s'!I$46&lt;&gt;"",'W-2s'!I$46&gt;0),'W-2s'!I$39,"")</f>
        <v/>
      </c>
      <c r="AT32" s="8008" t="n"/>
      <c r="AU32" s="11961">
        <f>IF(AND('W-2s'!I$46&lt;&gt;"",'W-2s'!I$46&gt;0),'W-2s'!I$46,"")</f>
        <v/>
      </c>
      <c r="AV32" s="8008" t="n"/>
      <c r="AW32" s="11561" t="n"/>
      <c r="AX32" s="8008" t="n"/>
      <c r="AY32" s="11962">
        <f>IF(AND(AU32&lt;&gt;"",AW32&lt;&gt;""),MAX(AU32,AW32),IF(AU32&lt;&gt;"",AU32,IF(AW32&lt;&gt;"",AW32,"")))</f>
        <v/>
      </c>
      <c r="AZ32" s="11734" t="n"/>
      <c r="BA32" s="6459">
        <f>IF(AND(AU32&lt;&gt;0,AU32&lt;&gt;""),1,0)</f>
        <v/>
      </c>
      <c r="BB32" s="6459">
        <f>IF(AND(AW32&lt;&gt;0,AW32&lt;&gt;""),1,0)</f>
        <v/>
      </c>
      <c r="BC32" s="6459">
        <f>SUM(BA32,BB32)</f>
        <v/>
      </c>
    </row>
    <row r="33" ht="18" customHeight="1" s="7635">
      <c r="A33" s="1277" t="n"/>
      <c r="B33" s="11602" t="n"/>
      <c r="C33" s="8439" t="n"/>
      <c r="D33" s="8439" t="n"/>
      <c r="E33" s="5995" t="inlineStr">
        <is>
          <t>on line 4c. If you received tips as an employee in more than one occupation, see the instructions</t>
        </is>
      </c>
      <c r="F33" s="11602" t="n"/>
      <c r="G33" s="11602" t="n"/>
      <c r="H33" s="11602" t="n"/>
      <c r="I33" s="11602" t="n"/>
      <c r="J33" s="11602" t="n"/>
      <c r="K33" s="11602" t="n"/>
      <c r="L33" s="11602" t="n"/>
      <c r="M33" s="11602" t="n"/>
      <c r="N33" s="11602" t="n"/>
      <c r="O33" s="11602" t="n"/>
      <c r="P33" s="11602" t="n"/>
      <c r="Q33" s="11602" t="n"/>
      <c r="R33" s="11602" t="n"/>
      <c r="S33" s="11602" t="n"/>
      <c r="T33" s="11602" t="n"/>
      <c r="U33" s="11602" t="n"/>
      <c r="V33" s="11602" t="n"/>
      <c r="W33" s="11602" t="n"/>
      <c r="X33" s="11602" t="n"/>
      <c r="Y33" s="11602" t="n"/>
      <c r="Z33" s="11602" t="n"/>
      <c r="AA33" s="11602" t="n"/>
      <c r="AB33" s="1401" t="inlineStr">
        <is>
          <t xml:space="preserve">.   .   .   .  </t>
        </is>
      </c>
      <c r="AC33" s="8389" t="inlineStr">
        <is>
          <t>4c</t>
        </is>
      </c>
      <c r="AD33" s="7595">
        <f>IF(AK33&lt;&gt;"",ROUND(AK33,0),IF(AND(AJ28,AJ30,AV33=0),"",IF(BC35,AY33,MAX(AD28,AD30))))</f>
        <v/>
      </c>
      <c r="AE33" s="7637" t="n"/>
      <c r="AF33" s="7637" t="n"/>
      <c r="AG33" s="7637" t="n"/>
      <c r="AH33" s="7637" t="n"/>
      <c r="AI33" s="1277" t="n"/>
      <c r="AJ33" s="5028" t="n"/>
      <c r="AK33" s="1329" t="n"/>
      <c r="AL33" s="11602" t="n"/>
      <c r="AM33" s="5888" t="n"/>
      <c r="AN33" s="11602" t="n"/>
      <c r="AO33" s="5887" t="n"/>
      <c r="AP33" s="11602" t="n"/>
      <c r="AQ33" s="11602" t="n"/>
      <c r="AR33" s="6215" t="inlineStr">
        <is>
          <t>2</t>
        </is>
      </c>
      <c r="AS33" s="7753" t="inlineStr">
        <is>
          <t>Add lines 1A through 1E, column (d), and enter this amount on Schedule 1-A, line 4c</t>
        </is>
      </c>
      <c r="AT33" s="11948" t="n"/>
      <c r="AU33" s="6220" t="n"/>
      <c r="AV33" s="6225">
        <f>SUM(AU21:AV32)</f>
        <v/>
      </c>
      <c r="AW33" s="6449" t="n"/>
      <c r="AX33" s="6225">
        <f>SUM(AW21:AX32)</f>
        <v/>
      </c>
      <c r="AY33" s="7754">
        <f>IF(BC35,SUM(AY21:AZ32),"")</f>
        <v/>
      </c>
      <c r="AZ33" s="10091" t="n"/>
      <c r="BA33" s="6458">
        <f>SUM(BA21:BA32)</f>
        <v/>
      </c>
      <c r="BB33" s="6458">
        <f>SUM(BB21:BB32)</f>
        <v/>
      </c>
      <c r="BC33" s="6458">
        <f>SUM(BC21:BC32)</f>
        <v/>
      </c>
    </row>
    <row r="34" ht="18" customHeight="1" s="7635">
      <c r="A34" s="1277" t="n"/>
      <c r="B34" s="11602" t="n"/>
      <c r="C34" s="10886" t="n">
        <v>5</v>
      </c>
      <c r="D34" s="10886" t="n"/>
      <c r="E34" s="5995" t="inlineStr">
        <is>
          <t>Qualified tips received in the course of a trade or business.</t>
        </is>
      </c>
      <c r="F34" s="11602" t="n"/>
      <c r="G34" s="11602" t="n"/>
      <c r="H34" s="11602" t="n"/>
      <c r="I34" s="11602" t="n"/>
      <c r="J34" s="11602" t="n"/>
      <c r="K34" s="11602" t="n"/>
      <c r="L34" s="11602" t="n"/>
      <c r="M34" s="11602" t="n"/>
      <c r="N34" s="11602" t="n"/>
      <c r="O34" s="11602" t="n"/>
      <c r="P34" s="11602" t="n"/>
      <c r="Q34" s="11602" t="n"/>
      <c r="R34" s="11602" t="n"/>
      <c r="S34" s="11602" t="n"/>
      <c r="T34" s="11602" t="n"/>
      <c r="U34" s="11602" t="n"/>
      <c r="V34" s="1401" t="n"/>
      <c r="W34" s="11602" t="n"/>
      <c r="X34" s="11602" t="n"/>
      <c r="Y34" s="11602" t="n"/>
      <c r="Z34" s="11602" t="n"/>
      <c r="AA34" s="11602" t="n"/>
      <c r="AB34" s="11602" t="n"/>
      <c r="AC34" s="5884" t="n"/>
      <c r="AD34" s="7566">
        <f>-ROUND(Y34,0)</f>
        <v/>
      </c>
      <c r="AI34" s="1277" t="n"/>
      <c r="AJ34" s="4984" t="n"/>
      <c r="AK34" s="2875" t="n"/>
      <c r="AL34" s="11602" t="n"/>
      <c r="AM34" s="5888" t="n"/>
      <c r="AN34" s="11602" t="n"/>
      <c r="AO34" s="5887" t="n"/>
      <c r="AP34" s="11602" t="n"/>
      <c r="AQ34" s="11602" t="n"/>
      <c r="AR34" s="6218" t="n"/>
      <c r="AS34" s="11956" t="n"/>
      <c r="AT34" s="11726" t="n"/>
      <c r="AU34" s="6223" t="n"/>
      <c r="AV34" s="6224" t="n"/>
      <c r="AW34" s="6223" t="n"/>
      <c r="AX34" s="6224" t="n"/>
      <c r="AY34" s="4772" t="n"/>
      <c r="AZ34" s="7636" t="n"/>
      <c r="BA34" s="6451">
        <f>BA33&gt;1</f>
        <v/>
      </c>
      <c r="BB34" s="6451">
        <f>BB33&gt;1</f>
        <v/>
      </c>
      <c r="BC34" s="6451">
        <f>AND(MAX(BC21:BC32)&lt;2,BC33&gt;=2)</f>
        <v/>
      </c>
    </row>
    <row r="35" ht="18" customHeight="1" s="7635">
      <c r="A35" s="1277" t="n"/>
      <c r="B35" s="11602" t="n"/>
      <c r="C35" s="8439" t="n"/>
      <c r="D35" s="8439" t="n"/>
      <c r="E35" s="5995" t="inlineStr">
        <is>
          <t>Qualified tip amount included in Form 1099-NEC, box 1; Form 1099-MISC, box 3; or Form 1099-K,</t>
        </is>
      </c>
      <c r="F35" s="11602" t="n"/>
      <c r="G35" s="11602" t="n"/>
      <c r="H35" s="11602" t="n"/>
      <c r="I35" s="11602" t="n"/>
      <c r="J35" s="11602" t="n"/>
      <c r="K35" s="11602" t="n"/>
      <c r="L35" s="11602" t="n"/>
      <c r="M35" s="11602" t="n"/>
      <c r="N35" s="11602" t="n"/>
      <c r="O35" s="11602" t="n"/>
      <c r="P35" s="11602" t="n"/>
      <c r="Q35" s="11602" t="n"/>
      <c r="R35" s="11602" t="n"/>
      <c r="S35" s="11602" t="n"/>
      <c r="T35" s="11602" t="n"/>
      <c r="U35" s="11602" t="n"/>
      <c r="V35" s="1401" t="n"/>
      <c r="W35" s="11602" t="n"/>
      <c r="X35" s="11602" t="n"/>
      <c r="Y35" s="11602" t="n"/>
      <c r="Z35" s="11602" t="n"/>
      <c r="AA35" s="11602" t="n"/>
      <c r="AB35" s="11602" t="n"/>
      <c r="AC35" s="5884" t="n"/>
      <c r="AD35" s="7566">
        <f>ROUND(X35,0)</f>
        <v/>
      </c>
      <c r="AI35" s="1277" t="n"/>
      <c r="AJ35" s="7669" t="inlineStr">
        <is>
          <t>Enter tips using 
worksheets &gt;&gt;&gt;</t>
        </is>
      </c>
      <c r="AL35" s="11602" t="n"/>
      <c r="AM35" s="5888" t="n"/>
      <c r="AN35" s="11602" t="n"/>
      <c r="AO35" s="5887" t="n"/>
      <c r="AP35" s="11602" t="n"/>
      <c r="AQ35" s="11602" t="n"/>
      <c r="AR35" s="6219" t="n"/>
      <c r="AS35" s="11728" t="n"/>
      <c r="AT35" s="11718" t="n"/>
      <c r="AU35" s="6221" t="n"/>
      <c r="AV35" s="6222" t="n"/>
      <c r="AW35" s="6221" t="n"/>
      <c r="AX35" s="6222" t="n"/>
      <c r="AY35" s="3614" t="n"/>
      <c r="AZ35" s="7638" t="n"/>
      <c r="BA35" s="6451" t="n"/>
      <c r="BB35" s="6451" t="n"/>
      <c r="BC35" s="6451">
        <f>OR(BA34,BB34,BC34)</f>
        <v/>
      </c>
    </row>
    <row r="36" ht="18" customHeight="1" s="7635">
      <c r="A36" s="1277" t="n"/>
      <c r="B36" s="11602" t="n"/>
      <c r="C36" s="8439" t="n"/>
      <c r="D36" s="8439" t="n"/>
      <c r="E36" s="5995" t="inlineStr">
        <is>
          <t>box 1a. Do not enter more than the net profit from the trade or business. If you received qualified tips</t>
        </is>
      </c>
      <c r="F36" s="11602" t="n"/>
      <c r="G36" s="11602" t="n"/>
      <c r="H36" s="11602" t="n"/>
      <c r="I36" s="11602" t="n"/>
      <c r="J36" s="11602" t="n"/>
      <c r="K36" s="11602" t="n"/>
      <c r="L36" s="11602" t="n"/>
      <c r="M36" s="11602" t="n"/>
      <c r="N36" s="11602" t="n"/>
      <c r="O36" s="11602" t="n"/>
      <c r="P36" s="11602" t="n"/>
      <c r="Q36" s="11602" t="n"/>
      <c r="R36" s="11602" t="n"/>
      <c r="S36" s="11602" t="n"/>
      <c r="T36" s="11602" t="n"/>
      <c r="U36" s="11602" t="n"/>
      <c r="V36" s="1401" t="n"/>
      <c r="W36" s="11602" t="n"/>
      <c r="X36" s="11602" t="n"/>
      <c r="Y36" s="11602" t="n"/>
      <c r="Z36" s="11602" t="n"/>
      <c r="AA36" s="11602" t="n"/>
      <c r="AB36" s="11602" t="n"/>
      <c r="AC36" s="5884" t="n"/>
      <c r="AD36" s="7566">
        <f>-ROUND(Y36,0)</f>
        <v/>
      </c>
      <c r="AI36" s="1277" t="n"/>
      <c r="AL36" s="11602" t="n"/>
      <c r="AM36" s="2338">
        <f>IF(Y36&gt;0,"Note: For "&amp;TaxYear&amp;", the total maximum","")</f>
        <v/>
      </c>
      <c r="AN36" s="11602" t="n"/>
      <c r="AO36" s="5887" t="n"/>
      <c r="AP36" s="11602" t="n"/>
      <c r="AQ36" s="11602" t="n"/>
      <c r="AR36" s="769" t="n"/>
      <c r="AS36" s="769" t="n"/>
      <c r="AT36" s="769" t="n"/>
      <c r="AU36" s="769" t="n"/>
      <c r="AV36" s="769" t="n"/>
      <c r="AW36" s="769" t="n"/>
      <c r="AX36" s="769" t="n"/>
      <c r="AY36" s="769" t="n"/>
      <c r="AZ36" s="769" t="n"/>
      <c r="BA36" s="6450" t="n"/>
      <c r="BB36" s="6450" t="n"/>
      <c r="BC36" s="6450" t="n"/>
    </row>
    <row r="37" ht="18" customHeight="1" s="7635">
      <c r="A37" s="1277" t="n"/>
      <c r="B37" s="11602" t="n"/>
      <c r="C37" s="8439" t="n"/>
      <c r="D37" s="8439" t="n"/>
      <c r="E37" s="5995" t="inlineStr">
        <is>
          <t>the course of more than one trade or business or in more than one occupation, see instructions</t>
        </is>
      </c>
      <c r="F37" s="11602" t="n"/>
      <c r="G37" s="11602" t="n"/>
      <c r="H37" s="11602" t="n"/>
      <c r="I37" s="11602" t="n"/>
      <c r="J37" s="11602" t="n"/>
      <c r="K37" s="11602" t="n"/>
      <c r="L37" s="11602" t="n"/>
      <c r="M37" s="11602" t="n"/>
      <c r="N37" s="11602" t="n"/>
      <c r="O37" s="11602" t="n"/>
      <c r="P37" s="11602" t="n"/>
      <c r="Q37" s="11602" t="n"/>
      <c r="R37" s="11602" t="n"/>
      <c r="S37" s="11602" t="n"/>
      <c r="T37" s="11602" t="n"/>
      <c r="U37" s="11602" t="n"/>
      <c r="V37" s="1401" t="n"/>
      <c r="W37" s="11602" t="n"/>
      <c r="X37" s="11602" t="n"/>
      <c r="Y37" s="11602" t="n"/>
      <c r="Z37" s="11602" t="n"/>
      <c r="AA37" s="11602" t="n"/>
      <c r="AB37" s="1401" t="inlineStr">
        <is>
          <t xml:space="preserve">.   .   .   .   .  </t>
        </is>
      </c>
      <c r="AC37" s="8389" t="n">
        <v>5</v>
      </c>
      <c r="AD37" s="7595">
        <f>IF(AK37&lt;&gt;"",ROUND(AK37,0),IF(AJ37,"",ROUND(AZ51,0)))</f>
        <v/>
      </c>
      <c r="AE37" s="7637" t="n"/>
      <c r="AF37" s="7637" t="n"/>
      <c r="AG37" s="7637" t="n"/>
      <c r="AH37" s="7637" t="n"/>
      <c r="AI37" s="1277" t="n"/>
      <c r="AJ37" s="512">
        <f>AND(OR(AZ51="",AZ51=0),OR(AK37="",AK37=0))</f>
        <v/>
      </c>
      <c r="AK37" s="1329" t="n"/>
      <c r="AL37" s="11602" t="n"/>
      <c r="AM37" s="851">
        <f>IF(AD37&lt;&gt;"",ROUND(AD37,0),0)</f>
        <v/>
      </c>
      <c r="AN37" s="11602" t="n"/>
      <c r="AO37" s="5887" t="n"/>
      <c r="AP37" s="11602" t="n"/>
      <c r="AQ37" s="11602" t="n"/>
      <c r="AR37" s="769" t="n"/>
      <c r="AS37" s="769" t="n"/>
      <c r="AT37" s="769" t="n"/>
      <c r="AU37" s="769" t="n"/>
      <c r="AV37" s="769" t="n"/>
      <c r="AW37" s="769" t="n"/>
      <c r="AX37" s="769" t="n"/>
      <c r="AY37" s="769" t="n"/>
      <c r="AZ37" s="769" t="n"/>
      <c r="BA37" s="6452" t="n"/>
      <c r="BB37" s="6452" t="n"/>
      <c r="BC37" s="6452" t="n"/>
    </row>
    <row r="38" ht="18" customHeight="1" s="7635">
      <c r="A38" s="1277" t="n"/>
      <c r="B38" s="11602" t="n"/>
      <c r="C38" s="10886" t="n">
        <v>6</v>
      </c>
      <c r="D38" s="10886" t="n"/>
      <c r="E38" s="5995" t="inlineStr">
        <is>
          <t>Add lines 4c and 5</t>
        </is>
      </c>
      <c r="F38" s="11602" t="n"/>
      <c r="G38" s="11602" t="n"/>
      <c r="H38" s="11602" t="n"/>
      <c r="I38" s="11602" t="n"/>
      <c r="J38" s="11602" t="n"/>
      <c r="K38" s="11602" t="n"/>
      <c r="L38" s="11602" t="n"/>
      <c r="M38" s="11602" t="n"/>
      <c r="N38" s="11602" t="n"/>
      <c r="O38" s="11602" t="n"/>
      <c r="P38" s="11602" t="n"/>
      <c r="Q38" s="11602" t="n"/>
      <c r="R38" s="11602" t="n"/>
      <c r="S38" s="11602" t="n"/>
      <c r="T38" s="11602" t="n"/>
      <c r="U38" s="11602" t="n"/>
      <c r="V38" s="1401" t="n"/>
      <c r="W38" s="11602" t="n"/>
      <c r="X38" s="11602" t="n"/>
      <c r="Y38" s="11602" t="n"/>
      <c r="Z38" s="11602" t="n"/>
      <c r="AA38" s="11602" t="n"/>
      <c r="AB38" s="1401" t="inlineStr">
        <is>
          <t xml:space="preserve">.   .   .   .   .   .   .   .   .   .   .   .   .   .   .   .   .   .   .   .   .   .   .   .   .   .   .   .   .   .   .   .   .   .   .   .   .   .   .  </t>
        </is>
      </c>
      <c r="AC38" s="8389" t="n">
        <v>6</v>
      </c>
      <c r="AD38" s="7595">
        <f>IF($AJ$38,"",SUM(AD33,AM37))</f>
        <v/>
      </c>
      <c r="AE38" s="7637" t="n"/>
      <c r="AF38" s="7637" t="n"/>
      <c r="AG38" s="7637" t="n"/>
      <c r="AH38" s="7637" t="n"/>
      <c r="AI38" s="1277" t="n"/>
      <c r="AJ38" s="512">
        <f>OR(AJ22,AND(AJ28,AJ30,AJ37))</f>
        <v/>
      </c>
      <c r="AK38" s="2875" t="n"/>
      <c r="AL38" s="11602" t="n"/>
      <c r="AM38" s="5888" t="n"/>
      <c r="AN38" s="11602" t="n"/>
      <c r="AO38" s="5887" t="n"/>
      <c r="AP38" s="11602" t="n"/>
      <c r="AQ38" s="11602" t="n"/>
      <c r="AR38" s="11964" t="inlineStr">
        <is>
          <t>Qualified Tips from Multiple Trades or Businesses Worksheet
Note: As a minumun, amounts must be entered by the user into column (b) and column (c), (d) or (e).</t>
        </is>
      </c>
      <c r="AS38" s="11745" t="n"/>
      <c r="AT38" s="11745" t="n"/>
      <c r="AU38" s="11745" t="n"/>
      <c r="AV38" s="11745" t="n"/>
      <c r="AW38" s="11745" t="n"/>
      <c r="AX38" s="11745" t="n"/>
      <c r="AY38" s="11745" t="n"/>
      <c r="AZ38" s="6227" t="n"/>
      <c r="BA38" s="6453" t="n"/>
      <c r="BB38" s="6450" t="n"/>
      <c r="BC38" s="6450" t="n"/>
    </row>
    <row r="39" ht="18" customHeight="1" s="7635">
      <c r="A39" s="1277" t="n"/>
      <c r="B39" s="11602" t="n"/>
      <c r="C39" s="10886" t="n">
        <v>7</v>
      </c>
      <c r="D39" s="10886" t="n"/>
      <c r="E39" s="5995">
        <f>"Enter the smaller of the amount on line 6 or "&amp;TEXT(AN39,"$0,000")</f>
        <v/>
      </c>
      <c r="F39" s="11602" t="n"/>
      <c r="G39" s="11602" t="n"/>
      <c r="H39" s="11602" t="n"/>
      <c r="I39" s="11602" t="n"/>
      <c r="J39" s="11602" t="n"/>
      <c r="K39" s="11602" t="n"/>
      <c r="L39" s="11602" t="n"/>
      <c r="M39" s="11602" t="n"/>
      <c r="N39" s="11602" t="n"/>
      <c r="O39" s="11602" t="n"/>
      <c r="P39" s="11602" t="n"/>
      <c r="Q39" s="11602" t="n"/>
      <c r="R39" s="11602" t="n"/>
      <c r="S39" s="11602" t="n"/>
      <c r="T39" s="11602" t="n"/>
      <c r="U39" s="11602" t="n"/>
      <c r="V39" s="1401" t="n"/>
      <c r="W39" s="11602" t="n"/>
      <c r="X39" s="11602" t="n"/>
      <c r="Y39" s="11602" t="n"/>
      <c r="Z39" s="11602" t="n"/>
      <c r="AA39" s="11602" t="n"/>
      <c r="AB39" s="1401" t="inlineStr">
        <is>
          <t xml:space="preserve">.   .   .   .   .   .   .   .   .   .   .   .   .   .   .   .   .   .   .   .   .   .   .   .  </t>
        </is>
      </c>
      <c r="AC39" s="8389" t="n">
        <v>7</v>
      </c>
      <c r="AD39" s="7595">
        <f>IF(AK39&lt;&gt;"",ROUND(AK39,0),IF($AJ$38,"",MIN(AD38,AN39)))</f>
        <v/>
      </c>
      <c r="AE39" s="7637" t="n"/>
      <c r="AF39" s="7637" t="n"/>
      <c r="AG39" s="7637" t="n"/>
      <c r="AH39" s="7637" t="n"/>
      <c r="AI39" s="1277" t="n"/>
      <c r="AJ39" s="512" t="n"/>
      <c r="AK39" s="1329" t="n"/>
      <c r="AL39" s="11602" t="n"/>
      <c r="AM39" s="5888" t="n"/>
      <c r="AN39" s="851" t="n">
        <v>25000</v>
      </c>
      <c r="AO39" s="5887" t="n"/>
      <c r="AP39" s="11602" t="n"/>
      <c r="AQ39" s="11602" t="n"/>
      <c r="AR39" s="11956" t="n"/>
      <c r="AS39" s="194" t="n"/>
      <c r="AT39" s="194" t="n"/>
      <c r="AU39" s="194" t="n"/>
      <c r="AV39" s="194" t="n"/>
      <c r="AW39" s="194" t="n"/>
      <c r="AX39" s="194" t="n"/>
      <c r="AY39" s="194" t="n"/>
      <c r="AZ39" s="6228" t="n"/>
      <c r="BA39" s="6453" t="n"/>
      <c r="BB39" s="6450" t="n"/>
      <c r="BC39" s="6450" t="n"/>
    </row>
    <row r="40" ht="18" customHeight="1" s="7635">
      <c r="A40" s="1277" t="n"/>
      <c r="B40" s="11602" t="n"/>
      <c r="C40" s="10886" t="n">
        <v>8</v>
      </c>
      <c r="D40" s="10886" t="n"/>
      <c r="E40" s="5995" t="inlineStr">
        <is>
          <t xml:space="preserve">Enter the amount from line 3 </t>
        </is>
      </c>
      <c r="F40" s="11602" t="n"/>
      <c r="G40" s="11602" t="n"/>
      <c r="H40" s="11602" t="n"/>
      <c r="I40" s="11602" t="n"/>
      <c r="J40" s="11602" t="n"/>
      <c r="K40" s="11602" t="n"/>
      <c r="L40" s="11602" t="n"/>
      <c r="M40" s="11602" t="n"/>
      <c r="N40" s="11602" t="n"/>
      <c r="O40" s="11602" t="n"/>
      <c r="P40" s="11602" t="n"/>
      <c r="Q40" s="11602" t="n"/>
      <c r="R40" s="11602" t="n"/>
      <c r="S40" s="11602" t="n"/>
      <c r="T40" s="11602" t="n"/>
      <c r="U40" s="11602" t="n"/>
      <c r="V40" s="1401" t="n"/>
      <c r="W40" s="11602" t="n"/>
      <c r="X40" s="11602" t="n"/>
      <c r="Y40" s="11602" t="n"/>
      <c r="Z40" s="11602" t="n"/>
      <c r="AA40" s="11602" t="n"/>
      <c r="AB40" s="1401" t="inlineStr">
        <is>
          <t xml:space="preserve">.   .   .   .   .   .   .   .   .   .   .   .   .   .   .   .   .   .   .   .   .   .   .   .   .   .   .   .   .   .   .   .   .   .   .  </t>
        </is>
      </c>
      <c r="AC40" s="8389" t="n">
        <v>8</v>
      </c>
      <c r="AD40" s="7595">
        <f>IF($AJ$38,"",AD17)</f>
        <v/>
      </c>
      <c r="AE40" s="7637" t="n"/>
      <c r="AF40" s="7637" t="n"/>
      <c r="AG40" s="7637" t="n"/>
      <c r="AH40" s="7637" t="n"/>
      <c r="AI40" s="1277" t="n"/>
      <c r="AJ40" s="512" t="n"/>
      <c r="AK40" s="2875" t="n"/>
      <c r="AL40" s="11602" t="n"/>
      <c r="AM40" s="5888" t="n"/>
      <c r="AN40" s="851" t="n">
        <v>150000</v>
      </c>
      <c r="AO40" s="5887" t="n"/>
      <c r="AP40" s="11602" t="n"/>
      <c r="AQ40" s="11602" t="n"/>
      <c r="AR40" s="11728" t="n"/>
      <c r="AS40" s="11717" t="n"/>
      <c r="AT40" s="11717" t="n"/>
      <c r="AU40" s="11717" t="n"/>
      <c r="AV40" s="11717" t="n"/>
      <c r="AW40" s="11717" t="n"/>
      <c r="AX40" s="11717" t="n"/>
      <c r="AY40" s="11717" t="n"/>
      <c r="AZ40" s="6229" t="n"/>
      <c r="BA40" s="6453" t="n"/>
      <c r="BB40" s="6450" t="n"/>
      <c r="BC40" s="6450" t="n"/>
    </row>
    <row r="41" ht="18" customHeight="1" s="7635">
      <c r="A41" s="1277" t="n"/>
      <c r="B41" s="11602" t="n"/>
      <c r="C41" s="10886" t="n">
        <v>9</v>
      </c>
      <c r="D41" s="10886" t="n"/>
      <c r="E41" s="5995">
        <f>"Enter "&amp;TEXT($AN$40,"$0,000")&amp;" ("&amp;TEXT($AN$41,"$0,000")&amp;" if married filing jointly)"</f>
        <v/>
      </c>
      <c r="F41" s="11602" t="n"/>
      <c r="G41" s="11602" t="n"/>
      <c r="H41" s="11602" t="n"/>
      <c r="I41" s="11602" t="n"/>
      <c r="J41" s="11602" t="n"/>
      <c r="K41" s="11602" t="n"/>
      <c r="L41" s="11602" t="n"/>
      <c r="M41" s="11602" t="n"/>
      <c r="N41" s="11602" t="n"/>
      <c r="O41" s="11602" t="n"/>
      <c r="P41" s="11602" t="n"/>
      <c r="Q41" s="11602" t="n"/>
      <c r="R41" s="11602" t="n"/>
      <c r="S41" s="11602" t="n"/>
      <c r="T41" s="11602" t="n"/>
      <c r="U41" s="11602" t="n"/>
      <c r="V41" s="1401" t="n"/>
      <c r="W41" s="11602" t="n"/>
      <c r="X41" s="11602" t="n"/>
      <c r="Y41" s="11602" t="n"/>
      <c r="Z41" s="11602" t="n"/>
      <c r="AA41" s="11602" t="n"/>
      <c r="AB41" s="1401" t="inlineStr">
        <is>
          <t xml:space="preserve">.   .   .   .   .   .   .   .   .   .   .   .   .   .   .   .   .   .   .   .   .   .   .   .  </t>
        </is>
      </c>
      <c r="AC41" s="8389" t="n">
        <v>9</v>
      </c>
      <c r="AD41" s="7595">
        <f>IF(AK41&lt;&gt;"",ROUND(AK41,0),IF($AJ$38,"",AO41))</f>
        <v/>
      </c>
      <c r="AE41" s="7637" t="n"/>
      <c r="AF41" s="7637" t="n"/>
      <c r="AG41" s="7637" t="n"/>
      <c r="AH41" s="7637" t="n"/>
      <c r="AI41" s="1277" t="n"/>
      <c r="AJ41" s="512" t="n"/>
      <c r="AK41" s="1329" t="n"/>
      <c r="AL41" s="11602" t="n"/>
      <c r="AM41" s="5888" t="n"/>
      <c r="AN41" s="851" t="n">
        <v>300000</v>
      </c>
      <c r="AO41" s="851">
        <f>IF(File_Marr_Joint&lt;&gt;"",AN41,AN40)</f>
        <v/>
      </c>
      <c r="AP41" s="11602" t="n"/>
      <c r="AQ41" s="11602" t="n"/>
      <c r="AR41" s="7676" t="inlineStr">
        <is>
          <t>1</t>
        </is>
      </c>
      <c r="AS41" s="7737" t="inlineStr">
        <is>
          <t>(a) Name of Your Business</t>
        </is>
      </c>
      <c r="AT41" s="11948" t="n"/>
      <c r="AU41" s="7735" t="inlineStr">
        <is>
          <t>(b) Net profit of business from Sch. C, line 31; Sch. E, lines 28(g) thru 28(k); or 
Sch. F, line 34</t>
        </is>
      </c>
      <c r="AV41" s="7735" t="inlineStr">
        <is>
          <t>(c) Qualified tip amount from first Form 1099-NEC, box 1; Form 1099-MISC, box 3; or Form 1099-K, box 1a</t>
        </is>
      </c>
      <c r="AW41" s="7735" t="inlineStr">
        <is>
          <t>(d) Qualified tip amount from second Form 1099-NEC, box 1; Form 1099-MISC, box 3; or Form 1099-K, box 1a</t>
        </is>
      </c>
      <c r="AX41" s="7735" t="inlineStr">
        <is>
          <t>(e) Qualified tip amount from third Form 1099-NEC, box 1; Form 1099-MISC, box 3; or Form 1099-K, box 1a</t>
        </is>
      </c>
      <c r="AY41" s="7737" t="inlineStr">
        <is>
          <t>(f) Total qualified tip amount. Add columns
(c), (d), and (e)</t>
        </is>
      </c>
      <c r="AZ41" s="7737" t="inlineStr">
        <is>
          <t>(g) Enter the lesser of 
column (b) and 
column (f)</t>
        </is>
      </c>
      <c r="BA41" s="6453" t="n"/>
      <c r="BB41" s="6450" t="n"/>
      <c r="BC41" s="6450" t="n"/>
    </row>
    <row r="42" ht="18" customHeight="1" s="7635">
      <c r="A42" s="1277" t="n"/>
      <c r="B42" s="11602" t="n"/>
      <c r="C42" s="10886" t="n">
        <v>10</v>
      </c>
      <c r="D42" s="10886" t="n"/>
      <c r="E42" s="5995" t="inlineStr">
        <is>
          <t>Subtract line 9 from line 8. If zero or less, enter the amount from line 7 on line 13</t>
        </is>
      </c>
      <c r="F42" s="11602" t="n"/>
      <c r="G42" s="11602" t="n"/>
      <c r="H42" s="11602" t="n"/>
      <c r="I42" s="11602" t="n"/>
      <c r="J42" s="11602" t="n"/>
      <c r="K42" s="11602" t="n"/>
      <c r="L42" s="11602" t="n"/>
      <c r="M42" s="11602" t="n"/>
      <c r="N42" s="11602" t="n"/>
      <c r="O42" s="11602" t="n"/>
      <c r="P42" s="11602" t="n"/>
      <c r="Q42" s="11602" t="n"/>
      <c r="R42" s="11602" t="n"/>
      <c r="S42" s="11602" t="n"/>
      <c r="T42" s="11602" t="n"/>
      <c r="U42" s="11602" t="n"/>
      <c r="V42" s="1401" t="n"/>
      <c r="W42" s="11602" t="n"/>
      <c r="X42" s="11602" t="n"/>
      <c r="Y42" s="11602" t="n"/>
      <c r="Z42" s="11602" t="n"/>
      <c r="AA42" s="11602" t="n"/>
      <c r="AB42" s="1401" t="inlineStr">
        <is>
          <t xml:space="preserve">.   .   .   .   .   .   .   .   .   .   .  </t>
        </is>
      </c>
      <c r="AC42" s="8389" t="n">
        <v>10</v>
      </c>
      <c r="AD42" s="7595">
        <f>IF($AJ$38,"",SUM(AD40,-AD41))</f>
        <v/>
      </c>
      <c r="AE42" s="7637" t="n"/>
      <c r="AF42" s="7637" t="n"/>
      <c r="AG42" s="7637" t="n"/>
      <c r="AH42" s="7637" t="n"/>
      <c r="AI42" s="1277" t="n"/>
      <c r="AJ42" s="512">
        <f>AD42&lt;=0</f>
        <v/>
      </c>
      <c r="AK42" s="2875" t="n"/>
      <c r="AL42" s="11602" t="n"/>
      <c r="AM42" s="5888" t="n"/>
      <c r="AN42" s="11602" t="n"/>
      <c r="AO42" s="5887" t="n"/>
      <c r="AP42" s="11602" t="n"/>
      <c r="AQ42" s="11602" t="n"/>
      <c r="AR42" s="11965" t="n"/>
      <c r="AS42" s="11956" t="n"/>
      <c r="AT42" s="11726" t="n"/>
      <c r="AU42" s="11965" t="n"/>
      <c r="AV42" s="11965" t="n"/>
      <c r="AW42" s="11965" t="n"/>
      <c r="AX42" s="11965" t="n"/>
      <c r="AY42" s="11965" t="n"/>
      <c r="AZ42" s="11965" t="n"/>
      <c r="BA42" s="6453" t="n"/>
      <c r="BB42" s="6450" t="n"/>
      <c r="BC42" s="6450" t="n"/>
    </row>
    <row r="43" ht="18" customHeight="1" s="7635">
      <c r="A43" s="1277" t="n"/>
      <c r="B43" s="11602" t="n"/>
      <c r="C43" s="10886" t="n">
        <v>11</v>
      </c>
      <c r="D43" s="10886" t="n"/>
      <c r="E43" s="5995">
        <f>"Divide line 10 by "&amp;TEXT($AN$44,"$0,000")&amp;". If the resulting number isn’t a whole number, decrease the result to the next"</f>
        <v/>
      </c>
      <c r="F43" s="11602" t="n"/>
      <c r="G43" s="11602" t="n"/>
      <c r="H43" s="11602" t="n"/>
      <c r="I43" s="11602" t="n"/>
      <c r="J43" s="11602" t="n"/>
      <c r="K43" s="11602" t="n"/>
      <c r="L43" s="11602" t="n"/>
      <c r="M43" s="11602" t="n"/>
      <c r="N43" s="11602" t="n"/>
      <c r="O43" s="11602" t="n"/>
      <c r="P43" s="11602" t="n"/>
      <c r="Q43" s="11602" t="n"/>
      <c r="R43" s="11602" t="n"/>
      <c r="S43" s="11602" t="n"/>
      <c r="T43" s="11602" t="n"/>
      <c r="U43" s="11602" t="n"/>
      <c r="V43" s="1401" t="n"/>
      <c r="W43" s="11602" t="n"/>
      <c r="X43" s="11602" t="n"/>
      <c r="Y43" s="344" t="n"/>
      <c r="Z43" s="11602" t="n"/>
      <c r="AA43" s="11602" t="n"/>
      <c r="AB43" s="11602" t="n"/>
      <c r="AC43" s="5884" t="n"/>
      <c r="AD43" s="7566" t="n"/>
      <c r="AE43" s="5405" t="n"/>
      <c r="AF43" s="5405" t="n"/>
      <c r="AG43" s="5405" t="n"/>
      <c r="AH43" s="5405" t="n"/>
      <c r="AI43" s="1277" t="n"/>
      <c r="AJ43" s="512" t="n"/>
      <c r="AK43" s="2875" t="n"/>
      <c r="AL43" s="11602" t="n"/>
      <c r="AM43" s="5888" t="n"/>
      <c r="AN43" s="11602" t="n"/>
      <c r="AO43" s="7654" t="n"/>
      <c r="AP43" s="11602" t="n"/>
      <c r="AQ43" s="11602" t="n"/>
      <c r="AR43" s="11965" t="n"/>
      <c r="AS43" s="11956" t="n"/>
      <c r="AT43" s="11726" t="n"/>
      <c r="AU43" s="11965" t="n"/>
      <c r="AV43" s="11965" t="n"/>
      <c r="AW43" s="11965" t="n"/>
      <c r="AX43" s="11965" t="n"/>
      <c r="AY43" s="11965" t="n"/>
      <c r="AZ43" s="11965" t="n"/>
      <c r="BA43" s="6453" t="n"/>
      <c r="BB43" s="6450" t="n"/>
      <c r="BC43" s="6450" t="n"/>
    </row>
    <row r="44" ht="18" customHeight="1" s="7635">
      <c r="A44" s="1277" t="n"/>
      <c r="B44" s="11602" t="n"/>
      <c r="C44" s="10886" t="n"/>
      <c r="D44" s="10886" t="n"/>
      <c r="E44" s="5995" t="inlineStr">
        <is>
          <t>lower whole number. (For example, decrease 1.5 to 1, and decrease 0.05 to 0.)</t>
        </is>
      </c>
      <c r="F44" s="11602" t="n"/>
      <c r="G44" s="11602" t="n"/>
      <c r="H44" s="11602" t="n"/>
      <c r="I44" s="11602" t="n"/>
      <c r="J44" s="11602" t="n"/>
      <c r="K44" s="11602" t="n"/>
      <c r="L44" s="11602" t="n"/>
      <c r="M44" s="11602" t="n"/>
      <c r="N44" s="11602" t="n"/>
      <c r="O44" s="11602" t="n"/>
      <c r="P44" s="11602" t="n"/>
      <c r="Q44" s="11602" t="n"/>
      <c r="R44" s="11602" t="n"/>
      <c r="S44" s="11602" t="n"/>
      <c r="T44" s="11602" t="n"/>
      <c r="U44" s="11602" t="n"/>
      <c r="V44" s="11602" t="n"/>
      <c r="W44" s="11602" t="n"/>
      <c r="X44" s="11602" t="n"/>
      <c r="Y44" s="11602" t="n"/>
      <c r="Z44" s="11602" t="n"/>
      <c r="AA44" s="11602" t="n"/>
      <c r="AB44" s="1401" t="inlineStr">
        <is>
          <t xml:space="preserve">.   .   .   .   .   .   .   .   .   .   .  </t>
        </is>
      </c>
      <c r="AC44" s="8389" t="n">
        <v>11</v>
      </c>
      <c r="AD44" s="7595">
        <f>IF(OR($AJ$38,$AJ$42),"",ROUNDDOWN(AD42/AN44,0))</f>
        <v/>
      </c>
      <c r="AE44" s="7637" t="n"/>
      <c r="AF44" s="7637" t="n"/>
      <c r="AG44" s="7637" t="n"/>
      <c r="AH44" s="7637" t="n"/>
      <c r="AI44" s="1277" t="n"/>
      <c r="AJ44" s="512" t="n"/>
      <c r="AK44" s="2875" t="n"/>
      <c r="AL44" s="11602" t="n"/>
      <c r="AM44" s="5888" t="n"/>
      <c r="AN44" s="851" t="n">
        <v>1000</v>
      </c>
      <c r="AO44" s="7654" t="n"/>
      <c r="AP44" s="11602" t="n"/>
      <c r="AQ44" s="11602" t="n"/>
      <c r="AR44" s="11965" t="n"/>
      <c r="AS44" s="11956" t="n"/>
      <c r="AT44" s="11726" t="n"/>
      <c r="AU44" s="11965" t="n"/>
      <c r="AV44" s="11965" t="n"/>
      <c r="AW44" s="11965" t="n"/>
      <c r="AX44" s="11965" t="n"/>
      <c r="AY44" s="11965" t="n"/>
      <c r="AZ44" s="11965" t="n"/>
      <c r="BA44" s="6453" t="n"/>
      <c r="BB44" s="6450" t="n"/>
      <c r="BC44" s="6450" t="n"/>
    </row>
    <row r="45" ht="20.25" customHeight="1" s="7635">
      <c r="A45" s="1277" t="n"/>
      <c r="B45" s="11602" t="n"/>
      <c r="C45" s="10886" t="n">
        <v>12</v>
      </c>
      <c r="D45" s="10886" t="n"/>
      <c r="E45" s="5995">
        <f>"Multiply line 11 by "&amp;TEXT($AN$45,"$0")</f>
        <v/>
      </c>
      <c r="F45" s="11602" t="n"/>
      <c r="G45" s="11602" t="n"/>
      <c r="H45" s="11602" t="n"/>
      <c r="I45" s="11602" t="n"/>
      <c r="J45" s="11602" t="n"/>
      <c r="K45" s="11602" t="n"/>
      <c r="L45" s="11602" t="n"/>
      <c r="M45" s="11602" t="n"/>
      <c r="N45" s="11602" t="n"/>
      <c r="O45" s="11602" t="n"/>
      <c r="P45" s="11602" t="n"/>
      <c r="Q45" s="11602" t="n"/>
      <c r="R45" s="11602" t="n"/>
      <c r="S45" s="11602" t="n"/>
      <c r="T45" s="11602" t="n"/>
      <c r="U45" s="11602" t="n"/>
      <c r="V45" s="1401" t="n"/>
      <c r="W45" s="11602" t="n"/>
      <c r="X45" s="11602" t="n"/>
      <c r="Y45" s="11602" t="n"/>
      <c r="Z45" s="11602" t="n"/>
      <c r="AA45" s="11602" t="n"/>
      <c r="AB45" s="1401" t="inlineStr">
        <is>
          <t xml:space="preserve">.   .   .   .   .   .   .   .   .   .   .   .   .   .   .   .   .   .   .   .   .   .   .   .   .   .   .   .   .   .   .   .   .   .   .  </t>
        </is>
      </c>
      <c r="AC45" s="8389" t="n">
        <v>12</v>
      </c>
      <c r="AD45" s="7595">
        <f>IF(OR($AJ$38,$AJ$42),"",ROUND(AD44*AN45,0))</f>
        <v/>
      </c>
      <c r="AE45" s="7637" t="n"/>
      <c r="AF45" s="7637" t="n"/>
      <c r="AG45" s="7637" t="n"/>
      <c r="AH45" s="7637" t="n"/>
      <c r="AI45" s="1277" t="n"/>
      <c r="AJ45" s="512" t="n"/>
      <c r="AK45" s="2875" t="n"/>
      <c r="AL45" s="11602" t="n"/>
      <c r="AM45" s="5888" t="n"/>
      <c r="AN45" s="851" t="n">
        <v>100</v>
      </c>
      <c r="AO45" s="7654" t="n"/>
      <c r="AP45" s="11602" t="n"/>
      <c r="AQ45" s="11602" t="n"/>
      <c r="AR45" s="11965" t="n"/>
      <c r="AS45" s="11956" t="n"/>
      <c r="AT45" s="11726" t="n"/>
      <c r="AU45" s="11965" t="n"/>
      <c r="AV45" s="11965" t="n"/>
      <c r="AW45" s="11965" t="n"/>
      <c r="AX45" s="11965" t="n"/>
      <c r="AY45" s="11965" t="n"/>
      <c r="AZ45" s="11965" t="n"/>
      <c r="BA45" s="6453" t="n"/>
      <c r="BB45" s="6450" t="n"/>
      <c r="BC45" s="6450" t="n"/>
    </row>
    <row r="46" ht="18" customHeight="1" s="7635">
      <c r="A46" s="1277" t="n"/>
      <c r="B46" s="413" t="n"/>
      <c r="C46" s="2009" t="n">
        <v>13</v>
      </c>
      <c r="D46" s="2009" t="n"/>
      <c r="E46" s="5996" t="inlineStr">
        <is>
          <t>Qualified tips deduction. Subtract line 12 from line 7. If zero or less, enter -0-</t>
        </is>
      </c>
      <c r="F46" s="413" t="n"/>
      <c r="G46" s="413" t="n"/>
      <c r="H46" s="413" t="n"/>
      <c r="I46" s="413" t="n"/>
      <c r="J46" s="413" t="n"/>
      <c r="K46" s="413" t="n"/>
      <c r="L46" s="413" t="n"/>
      <c r="M46" s="413" t="n"/>
      <c r="N46" s="413" t="n"/>
      <c r="O46" s="413" t="n"/>
      <c r="P46" s="413" t="n"/>
      <c r="Q46" s="413" t="n"/>
      <c r="R46" s="413" t="n"/>
      <c r="S46" s="413" t="n"/>
      <c r="T46" s="413" t="n"/>
      <c r="U46" s="413" t="n"/>
      <c r="V46" s="413" t="n"/>
      <c r="W46" s="413" t="n"/>
      <c r="X46" s="413" t="n"/>
      <c r="Y46" s="413" t="n"/>
      <c r="Z46" s="5879" t="n"/>
      <c r="AA46" s="5879" t="n"/>
      <c r="AB46" s="6212" t="inlineStr">
        <is>
          <t xml:space="preserve">.   .   .   .   .   .   .   .   .   .   .   .   .  </t>
        </is>
      </c>
      <c r="AC46" s="8389" t="n">
        <v>13</v>
      </c>
      <c r="AD46" s="7595">
        <f>IF(AK46&lt;&gt;"",ROUND(AK46,0),IF($AJ$38,"",IF(AJ42,AD39,MAX(0,SUM(AD39,-AD45)))))</f>
        <v/>
      </c>
      <c r="AE46" s="7637" t="n"/>
      <c r="AF46" s="7637" t="n"/>
      <c r="AG46" s="7637" t="n"/>
      <c r="AH46" s="7637" t="n"/>
      <c r="AI46" s="1277" t="n"/>
      <c r="AJ46" s="512" t="n"/>
      <c r="AK46" s="1329" t="n"/>
      <c r="AL46" s="11602" t="n"/>
      <c r="AM46" s="5888" t="n"/>
      <c r="AN46" s="11602" t="n"/>
      <c r="AO46" s="7654" t="n"/>
      <c r="AP46" s="11602" t="n"/>
      <c r="AQ46" s="11602" t="n"/>
      <c r="AR46" s="6217" t="inlineStr">
        <is>
          <t>A</t>
        </is>
      </c>
      <c r="AS46" s="11960" t="n"/>
      <c r="AT46" s="8008" t="n"/>
      <c r="AU46" s="6230" t="n"/>
      <c r="AV46" s="6226" t="n"/>
      <c r="AW46" s="6226" t="n"/>
      <c r="AX46" s="6226" t="n"/>
      <c r="AY46" s="6231">
        <f>IF(AND(AV46="",AW46="",AX46=""),"",SUM(AV46:AX46))</f>
        <v/>
      </c>
      <c r="AZ46" s="6231">
        <f>IF(AND(AU46="",AY46=""),"",IF(OR(AU46="",AY46=""),0,MIN(AU46,AY46)))</f>
        <v/>
      </c>
      <c r="BA46" s="6453" t="n"/>
      <c r="BB46" s="6450" t="n"/>
      <c r="BC46" s="6450" t="n"/>
    </row>
    <row r="47" ht="21" customHeight="1" s="7635">
      <c r="A47" s="1277" t="n"/>
      <c r="B47" s="7639" t="inlineStr">
        <is>
          <t>Part III</t>
        </is>
      </c>
      <c r="C47" s="7839" t="n"/>
      <c r="D47" s="7839" t="n"/>
      <c r="E47" s="7839" t="n"/>
      <c r="F47" s="4446" t="n"/>
      <c r="G47" s="3376" t="inlineStr">
        <is>
          <t>No Tax on Overtime</t>
        </is>
      </c>
      <c r="H47" s="4446" t="n"/>
      <c r="I47" s="4446" t="n"/>
      <c r="J47" s="4446" t="n"/>
      <c r="K47" s="4446" t="n"/>
      <c r="L47" s="4446" t="n"/>
      <c r="M47" s="773" t="n"/>
      <c r="N47" s="773" t="n"/>
      <c r="O47" s="773" t="n"/>
      <c r="P47" s="773" t="n"/>
      <c r="Q47" s="773" t="n"/>
      <c r="R47" s="773" t="n"/>
      <c r="S47" s="773" t="n"/>
      <c r="T47" s="773" t="n"/>
      <c r="U47" s="773" t="n"/>
      <c r="V47" s="773" t="n"/>
      <c r="W47" s="773" t="n"/>
      <c r="X47" s="773" t="n"/>
      <c r="Y47" s="773" t="n"/>
      <c r="Z47" s="773" t="n"/>
      <c r="AA47" s="773" t="n"/>
      <c r="AB47" s="773" t="n"/>
      <c r="AC47" s="773" t="n"/>
      <c r="AD47" s="773" t="n"/>
      <c r="AE47" s="773" t="n"/>
      <c r="AF47" s="773" t="n"/>
      <c r="AG47" s="773" t="n"/>
      <c r="AH47" s="773" t="n"/>
      <c r="AI47" s="1277" t="n"/>
      <c r="AJ47" s="512" t="n"/>
      <c r="AK47" s="2875" t="n"/>
      <c r="AL47" s="11602" t="n"/>
      <c r="AM47" s="11602" t="n"/>
      <c r="AN47" s="11602" t="n"/>
      <c r="AO47" s="512">
        <f>AND(AlimonyRcvd&gt;0,OR(W55="",W55&gt;=$AO$9))</f>
        <v/>
      </c>
      <c r="AP47" s="11602" t="n"/>
      <c r="AQ47" s="11602" t="n"/>
      <c r="AR47" s="6217" t="inlineStr">
        <is>
          <t>B</t>
        </is>
      </c>
      <c r="AS47" s="11960" t="n"/>
      <c r="AT47" s="8008" t="n"/>
      <c r="AU47" s="6226" t="n"/>
      <c r="AV47" s="6226" t="n"/>
      <c r="AW47" s="6226" t="n"/>
      <c r="AX47" s="6226" t="n"/>
      <c r="AY47" s="6231">
        <f>IF(AND(AV47="",AW47="",AX47=""),"",SUM(AV47:AX47))</f>
        <v/>
      </c>
      <c r="AZ47" s="6231">
        <f>IF(AND(AU47="",AY47=""),"",IF(OR(AU47="",AY47=""),0,MIN(AU47,AY47)))</f>
        <v/>
      </c>
      <c r="BA47" s="6453" t="n"/>
      <c r="BB47" s="6450" t="n"/>
      <c r="BC47" s="6450" t="n"/>
    </row>
    <row r="48" ht="17.25" customHeight="1" s="7635">
      <c r="A48" s="1277" t="n"/>
      <c r="B48" s="5997" t="inlineStr">
        <is>
          <t>Caution: Fill out Part III only if you received qualified overtime compensation. You and/or your spouse who received the qualified</t>
        </is>
      </c>
      <c r="C48" s="10886" t="n"/>
      <c r="D48" s="10886" t="n"/>
      <c r="E48" s="10886" t="n"/>
      <c r="F48" s="10886" t="n"/>
      <c r="G48" s="10886" t="n"/>
      <c r="H48" s="10886" t="n"/>
      <c r="I48" s="10886" t="n"/>
      <c r="J48" s="10886" t="n"/>
      <c r="K48" s="10886" t="n"/>
      <c r="L48" s="10886" t="n"/>
      <c r="M48" s="11602" t="n"/>
      <c r="N48" s="11602" t="n"/>
      <c r="O48" s="11602" t="n"/>
      <c r="P48" s="11602" t="n"/>
      <c r="Q48" s="11602" t="n"/>
      <c r="R48" s="11602" t="n"/>
      <c r="S48" s="11602" t="n"/>
      <c r="T48" s="11602" t="n"/>
      <c r="U48" s="11602" t="n"/>
      <c r="V48" s="11602" t="n"/>
      <c r="W48" s="11602" t="n"/>
      <c r="X48" s="11602" t="n"/>
      <c r="Y48" s="11602" t="n"/>
      <c r="Z48" s="11602" t="n"/>
      <c r="AA48" s="11602" t="n"/>
      <c r="AB48" s="11602" t="n"/>
      <c r="AC48" s="11602" t="n"/>
      <c r="AD48" s="11602" t="n"/>
      <c r="AE48" s="11602" t="n"/>
      <c r="AF48" s="11602" t="n"/>
      <c r="AG48" s="11602" t="n"/>
      <c r="AH48" s="11602" t="n"/>
      <c r="AI48" s="1277" t="n"/>
      <c r="AJ48" s="7669" t="inlineStr">
        <is>
          <t>Enter OT using 
worksheets &gt;&gt;&gt;</t>
        </is>
      </c>
      <c r="AL48" s="11602" t="n"/>
      <c r="AM48" s="11602" t="n"/>
      <c r="AN48" s="11602" t="n"/>
      <c r="AO48" s="512" t="n"/>
      <c r="AP48" s="11602" t="n"/>
      <c r="AQ48" s="11602" t="n"/>
      <c r="AR48" s="6217" t="inlineStr">
        <is>
          <t>C</t>
        </is>
      </c>
      <c r="AS48" s="11960" t="n"/>
      <c r="AT48" s="8008" t="n"/>
      <c r="AU48" s="6226" t="n"/>
      <c r="AV48" s="6226" t="n"/>
      <c r="AW48" s="6226" t="n"/>
      <c r="AX48" s="6226" t="n"/>
      <c r="AY48" s="6231">
        <f>IF(AND(AV48="",AW48="",AX48=""),"",SUM(AV48:AX48))</f>
        <v/>
      </c>
      <c r="AZ48" s="6231">
        <f>IF(AND(AU48="",AY48=""),"",IF(OR(AU48="",AY48=""),0,MIN(AU48,AY48)))</f>
        <v/>
      </c>
      <c r="BA48" s="6453" t="n"/>
      <c r="BB48" s="6450" t="n"/>
      <c r="BC48" s="6450" t="n"/>
    </row>
    <row r="49" ht="17.25" customHeight="1" s="7635">
      <c r="A49" s="1277" t="n"/>
      <c r="B49" s="5998" t="inlineStr">
        <is>
          <t>overtime compensation must have a valid social security number to claim this deduction. If married, you must file jointly to claim this</t>
        </is>
      </c>
      <c r="C49" s="10886" t="n"/>
      <c r="D49" s="10886" t="n"/>
      <c r="E49" s="10886" t="n"/>
      <c r="F49" s="10886" t="n"/>
      <c r="G49" s="10886" t="n"/>
      <c r="H49" s="10886" t="n"/>
      <c r="I49" s="10886" t="n"/>
      <c r="J49" s="10886" t="n"/>
      <c r="K49" s="10886" t="n"/>
      <c r="L49" s="10886" t="n"/>
      <c r="M49" s="11602" t="n"/>
      <c r="N49" s="11602" t="n"/>
      <c r="O49" s="11602" t="n"/>
      <c r="P49" s="11602" t="n"/>
      <c r="Q49" s="11602" t="n"/>
      <c r="R49" s="11602" t="n"/>
      <c r="S49" s="11602" t="n"/>
      <c r="T49" s="11602" t="n"/>
      <c r="U49" s="11602" t="n"/>
      <c r="V49" s="11602" t="n"/>
      <c r="W49" s="11602" t="n"/>
      <c r="X49" s="11602" t="n"/>
      <c r="Y49" s="11602" t="n"/>
      <c r="Z49" s="11602" t="n"/>
      <c r="AA49" s="11602" t="n"/>
      <c r="AB49" s="11602" t="n"/>
      <c r="AC49" s="11602" t="n"/>
      <c r="AD49" s="11602" t="n"/>
      <c r="AE49" s="11602" t="n"/>
      <c r="AF49" s="11602" t="n"/>
      <c r="AG49" s="11602" t="n"/>
      <c r="AH49" s="11602" t="n"/>
      <c r="AI49" s="1277" t="n"/>
      <c r="AL49" s="11602" t="n"/>
      <c r="AM49" s="11602" t="n"/>
      <c r="AN49" s="11602" t="n"/>
      <c r="AO49" s="512" t="n"/>
      <c r="AP49" s="11602" t="n"/>
      <c r="AQ49" s="11602" t="n"/>
      <c r="AR49" s="6217" t="inlineStr">
        <is>
          <t>D</t>
        </is>
      </c>
      <c r="AS49" s="11960" t="n"/>
      <c r="AT49" s="8008" t="n"/>
      <c r="AU49" s="6226" t="n"/>
      <c r="AV49" s="6226" t="n"/>
      <c r="AW49" s="6226" t="n"/>
      <c r="AX49" s="6226" t="n"/>
      <c r="AY49" s="6231">
        <f>IF(AND(AV49="",AW49="",AX49=""),"",SUM(AV49:AX49))</f>
        <v/>
      </c>
      <c r="AZ49" s="6231">
        <f>IF(AND(AU49="",AY49=""),"",IF(OR(AU49="",AY49=""),0,MIN(AU49,AY49)))</f>
        <v/>
      </c>
      <c r="BA49" s="6453" t="n"/>
      <c r="BB49" s="6450" t="n"/>
      <c r="BC49" s="6450" t="n"/>
    </row>
    <row r="50" ht="17.25" customHeight="1" s="7635">
      <c r="A50" s="1277" t="n"/>
      <c r="B50" s="5999" t="inlineStr">
        <is>
          <t>deduction. See instructions.</t>
        </is>
      </c>
      <c r="C50" s="2009" t="n"/>
      <c r="D50" s="2009" t="n"/>
      <c r="E50" s="2009" t="n"/>
      <c r="F50" s="2009" t="n"/>
      <c r="G50" s="2009" t="n"/>
      <c r="H50" s="2009" t="n"/>
      <c r="I50" s="2009" t="n"/>
      <c r="J50" s="2009" t="n"/>
      <c r="K50" s="2009" t="n"/>
      <c r="L50" s="2009" t="n"/>
      <c r="M50" s="413" t="n"/>
      <c r="N50" s="413" t="n"/>
      <c r="O50" s="413" t="n"/>
      <c r="P50" s="413" t="n"/>
      <c r="Q50" s="413" t="n"/>
      <c r="R50" s="413" t="n"/>
      <c r="S50" s="413" t="n"/>
      <c r="T50" s="413" t="n"/>
      <c r="U50" s="413" t="n"/>
      <c r="V50" s="413" t="n"/>
      <c r="W50" s="413" t="n"/>
      <c r="X50" s="413" t="n"/>
      <c r="Y50" s="413" t="n"/>
      <c r="Z50" s="413" t="n"/>
      <c r="AA50" s="413" t="n"/>
      <c r="AB50" s="413" t="n"/>
      <c r="AC50" s="413" t="n"/>
      <c r="AD50" s="413" t="n"/>
      <c r="AE50" s="413" t="n"/>
      <c r="AF50" s="413" t="n"/>
      <c r="AG50" s="413" t="n"/>
      <c r="AH50" s="413" t="n"/>
      <c r="AI50" s="1277" t="n"/>
      <c r="AJ50" s="512" t="n"/>
      <c r="AK50" s="2875" t="n"/>
      <c r="AL50" s="11602" t="n"/>
      <c r="AM50" s="11602" t="n"/>
      <c r="AN50" s="11602" t="n"/>
      <c r="AO50" s="512" t="n"/>
      <c r="AP50" s="11602" t="n"/>
      <c r="AQ50" s="11602" t="n"/>
      <c r="AR50" s="6217" t="inlineStr">
        <is>
          <t>E</t>
        </is>
      </c>
      <c r="AS50" s="11960" t="n"/>
      <c r="AT50" s="8008" t="n"/>
      <c r="AU50" s="6226" t="n"/>
      <c r="AV50" s="6226" t="n"/>
      <c r="AW50" s="6226" t="n"/>
      <c r="AX50" s="6226" t="n"/>
      <c r="AY50" s="6231">
        <f>IF(AND(AV50="",AW50="",AX50=""),"",SUM(AV50:AX50))</f>
        <v/>
      </c>
      <c r="AZ50" s="6231">
        <f>IF(AND(AU50="",AY50=""),"",IF(OR(AU50="",AY50=""),0,MIN(AU50,AY50)))</f>
        <v/>
      </c>
      <c r="BA50" s="6453" t="n"/>
      <c r="BB50" s="6450" t="n"/>
      <c r="BC50" s="6450" t="n"/>
    </row>
    <row r="51" ht="18" customHeight="1" s="7635">
      <c r="A51" s="1277" t="n"/>
      <c r="B51" s="11602" t="n"/>
      <c r="C51" s="5883" t="inlineStr">
        <is>
          <t>14a</t>
        </is>
      </c>
      <c r="D51" s="5883" t="n"/>
      <c r="E51" s="5995" t="inlineStr">
        <is>
          <t>Qualified overtime compensation included on Form W-2, box 1 (see instructions)</t>
        </is>
      </c>
      <c r="F51" s="11602" t="n"/>
      <c r="G51" s="11602" t="n"/>
      <c r="H51" s="11602" t="n"/>
      <c r="I51" s="11602" t="n"/>
      <c r="J51" s="11602" t="n"/>
      <c r="K51" s="11602" t="n"/>
      <c r="L51" s="11602" t="n"/>
      <c r="M51" s="11602" t="n"/>
      <c r="N51" s="11602" t="n"/>
      <c r="O51" s="11602" t="n"/>
      <c r="P51" s="11602" t="n"/>
      <c r="Q51" s="11602" t="n"/>
      <c r="R51" s="11602" t="n"/>
      <c r="S51" s="11602" t="n"/>
      <c r="T51" s="11602" t="n"/>
      <c r="U51" s="11602" t="n"/>
      <c r="V51" s="1401" t="n"/>
      <c r="W51" s="5890" t="inlineStr">
        <is>
          <t>14a</t>
        </is>
      </c>
      <c r="X51" s="11966">
        <f>IF(AK51&lt;&gt;"",ROUND(AK51,0),IF(AW62&lt;&gt;"",AW62,""))</f>
        <v/>
      </c>
      <c r="Y51" s="8412" t="n"/>
      <c r="Z51" s="8412" t="n"/>
      <c r="AA51" s="8412" t="n"/>
      <c r="AB51" s="11734" t="n"/>
      <c r="AC51" s="5884" t="n"/>
      <c r="AD51" s="7771" t="n"/>
      <c r="AI51" s="1277" t="n"/>
      <c r="AJ51" s="512" t="n"/>
      <c r="AK51" s="1329" t="n"/>
      <c r="AL51" s="11602" t="n"/>
      <c r="AM51" s="851" t="n"/>
      <c r="AN51" s="11602" t="n"/>
      <c r="AO51" s="7654" t="n"/>
      <c r="AP51" s="11602" t="n"/>
      <c r="AQ51" s="11602" t="n"/>
      <c r="AR51" s="6215" t="inlineStr">
        <is>
          <t>2</t>
        </is>
      </c>
      <c r="AS51" s="7690" t="inlineStr">
        <is>
          <t>Add lines 1A through 1E, column (g), and enter the total on Schedule 1-A, line 5</t>
        </is>
      </c>
      <c r="AT51" s="11948" t="n"/>
      <c r="AU51" s="6232" t="n"/>
      <c r="AV51" s="6232" t="n"/>
      <c r="AW51" s="6232" t="n"/>
      <c r="AX51" s="6232" t="n"/>
      <c r="AY51" s="6232" t="n"/>
      <c r="AZ51" s="11967">
        <f>IF(AND(AZ46="",AZ47="",AZ48="",AZ49="",AZ50=""),"",SUM(AZ46:AZ50))</f>
        <v/>
      </c>
      <c r="BA51" s="6453" t="n"/>
      <c r="BB51" s="6450" t="n"/>
      <c r="BC51" s="6450" t="n"/>
    </row>
    <row r="52" ht="18" customHeight="1" s="7635">
      <c r="A52" s="1277" t="n"/>
      <c r="B52" s="11602" t="n"/>
      <c r="C52" s="2039" t="inlineStr">
        <is>
          <t>b</t>
        </is>
      </c>
      <c r="D52" s="2039" t="n"/>
      <c r="E52" s="5995" t="inlineStr">
        <is>
          <t>Qualified overtime compensation included on Form 1099-NEC, box 1 or Form</t>
        </is>
      </c>
      <c r="F52" s="11602" t="n"/>
      <c r="G52" s="11602" t="n"/>
      <c r="H52" s="11602" t="n"/>
      <c r="I52" s="11602" t="n"/>
      <c r="J52" s="11602" t="n"/>
      <c r="K52" s="11602" t="n"/>
      <c r="L52" s="11602" t="n"/>
      <c r="M52" s="11602" t="n"/>
      <c r="N52" s="11602" t="n"/>
      <c r="O52" s="11602" t="n"/>
      <c r="P52" s="11602" t="n"/>
      <c r="Q52" s="11602" t="n"/>
      <c r="R52" s="11602" t="n"/>
      <c r="S52" s="11602" t="n"/>
      <c r="T52" s="11602" t="n"/>
      <c r="U52" s="11602" t="n"/>
      <c r="V52" s="1401" t="n"/>
      <c r="W52" s="5891" t="n"/>
      <c r="X52" s="5892" t="n"/>
      <c r="Y52" s="4844" t="n"/>
      <c r="Z52" s="4844" t="n"/>
      <c r="AA52" s="4844" t="n"/>
      <c r="AB52" s="5893" t="n"/>
      <c r="AC52" s="5884" t="n"/>
      <c r="AD52" s="7566">
        <f>ROUND(X52,0)</f>
        <v/>
      </c>
      <c r="AI52" s="1277" t="n"/>
      <c r="AJ52" s="512" t="n"/>
      <c r="AK52" s="2875" t="n"/>
      <c r="AL52" s="11602" t="n"/>
      <c r="AM52" s="5888" t="n"/>
      <c r="AN52" s="11602" t="n"/>
      <c r="AO52" s="5887" t="n"/>
      <c r="AP52" s="11602" t="n"/>
      <c r="AQ52" s="11602" t="n"/>
      <c r="AR52" s="6218" t="n"/>
      <c r="AS52" s="11956" t="n"/>
      <c r="AT52" s="11726" t="n"/>
      <c r="AU52" s="6213" t="n"/>
      <c r="AV52" s="6213" t="n"/>
      <c r="AW52" s="6213" t="n"/>
      <c r="AX52" s="6213" t="n"/>
      <c r="AY52" s="6213" t="n"/>
      <c r="AZ52" s="11965" t="n"/>
      <c r="BA52" s="6450" t="n"/>
      <c r="BB52" s="6450" t="n"/>
      <c r="BC52" s="6450" t="n"/>
    </row>
    <row r="53" ht="18" customHeight="1" s="7635">
      <c r="A53" s="1277" t="n"/>
      <c r="B53" s="11602" t="n"/>
      <c r="C53" s="8439" t="n"/>
      <c r="D53" s="8439" t="n"/>
      <c r="E53" s="5995" t="inlineStr">
        <is>
          <t>1099-MISC, box 3 (see instructions)</t>
        </is>
      </c>
      <c r="F53" s="11602" t="n"/>
      <c r="G53" s="11602" t="n"/>
      <c r="H53" s="11602" t="n"/>
      <c r="I53" s="11602" t="n"/>
      <c r="J53" s="11602" t="n"/>
      <c r="K53" s="11602" t="n"/>
      <c r="L53" s="11602" t="n"/>
      <c r="M53" s="11602" t="n"/>
      <c r="N53" s="11602" t="n"/>
      <c r="O53" s="11602" t="n"/>
      <c r="P53" s="11602" t="n"/>
      <c r="Q53" s="11602" t="n"/>
      <c r="R53" s="11602" t="n"/>
      <c r="S53" s="11602" t="n"/>
      <c r="T53" s="11602" t="n"/>
      <c r="U53" s="11602" t="n"/>
      <c r="V53" s="1401" t="n"/>
      <c r="W53" s="5372" t="inlineStr">
        <is>
          <t>14b</t>
        </is>
      </c>
      <c r="X53" s="11968">
        <f>IF(AK53&lt;&gt;"",ROUND(AK53,0),IF(AW73&lt;&gt;"",AW73,""))</f>
        <v/>
      </c>
      <c r="Y53" s="7637" t="n"/>
      <c r="Z53" s="7637" t="n"/>
      <c r="AA53" s="7637" t="n"/>
      <c r="AB53" s="7638" t="n"/>
      <c r="AC53" s="5884" t="n"/>
      <c r="AD53" s="7771" t="n"/>
      <c r="AI53" s="1277" t="n"/>
      <c r="AJ53" s="512">
        <f>AND(X51="",X53="")</f>
        <v/>
      </c>
      <c r="AK53" s="1329" t="n"/>
      <c r="AL53" s="11602" t="n"/>
      <c r="AM53" s="851" t="n"/>
      <c r="AN53" s="11602" t="n"/>
      <c r="AO53" s="5887" t="n"/>
      <c r="AP53" s="11602" t="n"/>
      <c r="AQ53" s="11602" t="n"/>
      <c r="AR53" s="6219" t="n"/>
      <c r="AS53" s="11728" t="n"/>
      <c r="AT53" s="11718" t="n"/>
      <c r="AU53" s="6214" t="n"/>
      <c r="AV53" s="6214" t="n"/>
      <c r="AW53" s="6214" t="n"/>
      <c r="AX53" s="6214" t="n"/>
      <c r="AY53" s="6214" t="n"/>
      <c r="AZ53" s="11969" t="n"/>
      <c r="BA53" s="6450" t="n"/>
      <c r="BB53" s="6450" t="n"/>
      <c r="BC53" s="6450" t="n"/>
    </row>
    <row r="54" ht="18" customHeight="1" s="7635">
      <c r="A54" s="1277" t="n"/>
      <c r="B54" s="11602" t="n"/>
      <c r="C54" s="2039" t="inlineStr">
        <is>
          <t>c</t>
        </is>
      </c>
      <c r="D54" s="8439" t="n"/>
      <c r="E54" s="5995" t="inlineStr">
        <is>
          <t>Add lines 14a and 14b</t>
        </is>
      </c>
      <c r="F54" s="11602" t="n"/>
      <c r="G54" s="11602" t="n"/>
      <c r="H54" s="11602" t="n"/>
      <c r="I54" s="11602" t="n"/>
      <c r="J54" s="11602" t="n"/>
      <c r="K54" s="11602" t="n"/>
      <c r="L54" s="11602" t="n"/>
      <c r="M54" s="11602" t="n"/>
      <c r="N54" s="11602" t="n"/>
      <c r="O54" s="11602" t="n"/>
      <c r="P54" s="11602" t="n"/>
      <c r="Q54" s="11602" t="n"/>
      <c r="R54" s="11602" t="n"/>
      <c r="S54" s="11602" t="n"/>
      <c r="T54" s="11602" t="n"/>
      <c r="U54" s="11602" t="n"/>
      <c r="V54" s="11602" t="n"/>
      <c r="W54" s="11602" t="n"/>
      <c r="X54" s="11602" t="n"/>
      <c r="Y54" s="11602" t="n"/>
      <c r="Z54" s="11602" t="n"/>
      <c r="AA54" s="11602" t="n"/>
      <c r="AB54" s="11602" t="n"/>
      <c r="AC54" s="8389" t="inlineStr">
        <is>
          <t>14c</t>
        </is>
      </c>
      <c r="AD54" s="7595">
        <f>IF($AJ$53,"",SUM(X51,X53))</f>
        <v/>
      </c>
      <c r="AE54" s="7637" t="n"/>
      <c r="AF54" s="7637" t="n"/>
      <c r="AG54" s="7637" t="n"/>
      <c r="AH54" s="7637" t="n"/>
      <c r="AI54" s="1277" t="n"/>
      <c r="AJ54" s="512" t="n"/>
      <c r="AK54" s="2875" t="n"/>
      <c r="AL54" s="11602" t="n"/>
      <c r="AM54" s="5888" t="n"/>
      <c r="AN54" s="851" t="n">
        <v>12500</v>
      </c>
      <c r="AO54" s="5887" t="n"/>
      <c r="AP54" s="11602" t="n"/>
      <c r="AQ54" s="11602" t="n"/>
      <c r="AR54" s="769" t="n"/>
      <c r="AS54" s="769" t="n"/>
      <c r="AT54" s="769" t="n"/>
      <c r="AU54" s="769" t="n"/>
      <c r="AV54" s="769" t="n"/>
      <c r="AW54" s="769" t="n"/>
      <c r="AX54" s="769" t="n"/>
      <c r="AY54" s="769" t="n"/>
      <c r="AZ54" s="769" t="n"/>
      <c r="BA54" s="6450" t="n"/>
      <c r="BB54" s="6450" t="n"/>
      <c r="BC54" s="6450" t="n"/>
    </row>
    <row r="55" ht="18" customHeight="1" s="7635">
      <c r="A55" s="1277" t="n"/>
      <c r="B55" s="11602" t="n"/>
      <c r="C55" s="10886" t="n">
        <v>15</v>
      </c>
      <c r="D55" s="8439" t="n"/>
      <c r="E55" s="5995">
        <f>"Enter the smaller of the amount on line 14c or "&amp;TEXT(AN54,"$0,000")&amp;" ("&amp;TEXT(AN55,"$0,000")&amp;" if married filing jointly)"</f>
        <v/>
      </c>
      <c r="F55" s="11602" t="n"/>
      <c r="G55" s="11602" t="n"/>
      <c r="H55" s="11602" t="n"/>
      <c r="I55" s="11602" t="n"/>
      <c r="J55" s="11602" t="n"/>
      <c r="K55" s="11602" t="n"/>
      <c r="L55" s="11602" t="n"/>
      <c r="M55" s="11602" t="n"/>
      <c r="N55" s="11602" t="n"/>
      <c r="O55" s="11602" t="n"/>
      <c r="P55" s="11602" t="n"/>
      <c r="Q55" s="11602" t="n"/>
      <c r="R55" s="11602" t="n"/>
      <c r="S55" s="11602" t="n"/>
      <c r="T55" s="11602" t="n"/>
      <c r="U55" s="11602" t="n"/>
      <c r="V55" s="11602" t="n"/>
      <c r="W55" s="11602" t="n"/>
      <c r="X55" s="11602" t="n"/>
      <c r="Y55" s="11602" t="n"/>
      <c r="Z55" s="11602" t="n"/>
      <c r="AA55" s="11602" t="n"/>
      <c r="AB55" s="11602" t="n"/>
      <c r="AC55" s="8389" t="n">
        <v>15</v>
      </c>
      <c r="AD55" s="7595">
        <f>IF(AK55&lt;&gt;"",ROUND(AK55,0),IF($AJ$53,"",MIN(AD54,AO55)))</f>
        <v/>
      </c>
      <c r="AE55" s="7637" t="n"/>
      <c r="AF55" s="7637" t="n"/>
      <c r="AG55" s="7637" t="n"/>
      <c r="AH55" s="7637" t="n"/>
      <c r="AI55" s="1277" t="n"/>
      <c r="AJ55" s="512" t="n"/>
      <c r="AK55" s="1329" t="n"/>
      <c r="AL55" s="11602" t="n"/>
      <c r="AM55" s="5888" t="n"/>
      <c r="AN55" s="851" t="n">
        <v>25000</v>
      </c>
      <c r="AO55" s="851">
        <f>IF(File_Marr_Joint&lt;&gt;"",AN55,AN54)</f>
        <v/>
      </c>
      <c r="AP55" s="11602" t="n"/>
      <c r="AQ55" s="11602" t="n"/>
      <c r="AR55" s="6238" t="inlineStr">
        <is>
          <t>Qualified Overtime Compensation From More Than One Employer Worksheet</t>
        </is>
      </c>
      <c r="AS55" s="769" t="n"/>
      <c r="AT55" s="769" t="n"/>
      <c r="AU55" s="769" t="n"/>
      <c r="AV55" s="769" t="n"/>
      <c r="AW55" s="769" t="n"/>
      <c r="AX55" s="769" t="n"/>
      <c r="AY55" s="769" t="n"/>
      <c r="AZ55" s="769" t="n"/>
      <c r="BA55" s="6450" t="n"/>
      <c r="BB55" s="6450" t="n"/>
      <c r="BC55" s="6450" t="n"/>
    </row>
    <row r="56" ht="18" customHeight="1" s="7635">
      <c r="A56" s="1277" t="n"/>
      <c r="B56" s="11602" t="n"/>
      <c r="C56" s="10886" t="n">
        <v>16</v>
      </c>
      <c r="D56" s="8439" t="n"/>
      <c r="E56" s="5995" t="inlineStr">
        <is>
          <t>Enter the amount from line 3</t>
        </is>
      </c>
      <c r="F56" s="11602" t="n"/>
      <c r="G56" s="11602" t="n"/>
      <c r="H56" s="11602" t="n"/>
      <c r="I56" s="11602" t="n"/>
      <c r="J56" s="11602" t="n"/>
      <c r="K56" s="11602" t="n"/>
      <c r="L56" s="11602" t="n"/>
      <c r="M56" s="11602" t="n"/>
      <c r="N56" s="11602" t="n"/>
      <c r="O56" s="11602" t="n"/>
      <c r="P56" s="11602" t="n"/>
      <c r="Q56" s="11602" t="n"/>
      <c r="R56" s="11602" t="n"/>
      <c r="S56" s="11602" t="n"/>
      <c r="T56" s="11602" t="n"/>
      <c r="U56" s="11602" t="n"/>
      <c r="V56" s="11602" t="n"/>
      <c r="W56" s="11602" t="n"/>
      <c r="X56" s="11602" t="n"/>
      <c r="Y56" s="11602" t="n"/>
      <c r="Z56" s="11602" t="n"/>
      <c r="AA56" s="11602" t="n"/>
      <c r="AB56" s="11602" t="n"/>
      <c r="AC56" s="8389" t="n">
        <v>16</v>
      </c>
      <c r="AD56" s="7595">
        <f>IF(AK56&lt;&gt;"",ROUND(AK56,0),IF($AJ$53,"",$AD$17))</f>
        <v/>
      </c>
      <c r="AE56" s="7637" t="n"/>
      <c r="AF56" s="7637" t="n"/>
      <c r="AG56" s="7637" t="n"/>
      <c r="AH56" s="7637" t="n"/>
      <c r="AI56" s="1277" t="n"/>
      <c r="AJ56" s="512" t="n"/>
      <c r="AK56" s="1329" t="n"/>
      <c r="AL56" s="11602" t="n"/>
      <c r="AM56" s="5888" t="n"/>
      <c r="AN56" s="11602" t="n"/>
      <c r="AO56" s="5887" t="n"/>
      <c r="AP56" s="11602" t="n"/>
      <c r="AQ56" s="11602" t="n"/>
      <c r="AR56" s="6243" t="inlineStr">
        <is>
          <t>1</t>
        </is>
      </c>
      <c r="AS56" s="6239" t="inlineStr">
        <is>
          <t>(a) Name of employer</t>
        </is>
      </c>
      <c r="AT56" s="6241" t="n"/>
      <c r="AU56" s="6241" t="n"/>
      <c r="AV56" s="6242" t="n"/>
      <c r="AW56" s="6239" t="inlineStr">
        <is>
          <t>(b) Qualified Overtime reported on Form W-2, box 1</t>
        </is>
      </c>
      <c r="AX56" s="6240" t="n"/>
      <c r="AY56" s="6241" t="n"/>
      <c r="AZ56" s="6242" t="n"/>
      <c r="BA56" s="6450" t="n"/>
      <c r="BB56" s="6450" t="n"/>
      <c r="BC56" s="6450" t="n"/>
    </row>
    <row r="57" ht="18" customHeight="1" s="7635">
      <c r="A57" s="1277" t="n"/>
      <c r="B57" s="11602" t="n"/>
      <c r="C57" s="10886" t="n">
        <v>17</v>
      </c>
      <c r="D57" s="8439" t="n"/>
      <c r="E57" s="5995">
        <f>"Enter "&amp;TEXT($AN$40,"$0,000")&amp;" ("&amp;TEXT($AN$41,"$0,000")&amp;" if married filing jointly)"</f>
        <v/>
      </c>
      <c r="F57" s="11602" t="n"/>
      <c r="G57" s="11602" t="n"/>
      <c r="H57" s="11602" t="n"/>
      <c r="I57" s="11602" t="n"/>
      <c r="J57" s="11602" t="n"/>
      <c r="K57" s="11602" t="n"/>
      <c r="L57" s="11602" t="n"/>
      <c r="M57" s="11602" t="n"/>
      <c r="N57" s="11602" t="n"/>
      <c r="O57" s="11602" t="n"/>
      <c r="P57" s="11602" t="n"/>
      <c r="Q57" s="11602" t="n"/>
      <c r="R57" s="11602" t="n"/>
      <c r="S57" s="11602" t="n"/>
      <c r="T57" s="11602" t="n"/>
      <c r="U57" s="11602" t="n"/>
      <c r="V57" s="11602" t="n"/>
      <c r="W57" s="11602" t="n"/>
      <c r="X57" s="11602" t="n"/>
      <c r="Y57" s="11602" t="n"/>
      <c r="Z57" s="11602" t="n"/>
      <c r="AA57" s="11602" t="n"/>
      <c r="AB57" s="11602" t="n"/>
      <c r="AC57" s="8389" t="n">
        <v>17</v>
      </c>
      <c r="AD57" s="7595">
        <f>IF($AJ$53,"",AO41)</f>
        <v/>
      </c>
      <c r="AE57" s="7637" t="n"/>
      <c r="AF57" s="7637" t="n"/>
      <c r="AG57" s="7637" t="n"/>
      <c r="AH57" s="7637" t="n"/>
      <c r="AI57" s="1277" t="n"/>
      <c r="AJ57" s="512" t="n"/>
      <c r="AK57" s="2875" t="n"/>
      <c r="AL57" s="11602" t="n"/>
      <c r="AM57" s="5888" t="n"/>
      <c r="AN57" s="11602" t="n"/>
      <c r="AO57" s="5887" t="n"/>
      <c r="AP57" s="11602" t="n"/>
      <c r="AQ57" s="11602" t="n"/>
      <c r="AR57" s="6217" t="inlineStr">
        <is>
          <t>A</t>
        </is>
      </c>
      <c r="AS57" s="11970" t="n"/>
      <c r="AT57" s="8007" t="n"/>
      <c r="AU57" s="8007" t="n"/>
      <c r="AV57" s="8008" t="n"/>
      <c r="AW57" s="11971" t="n"/>
      <c r="AX57" s="8007" t="n"/>
      <c r="AY57" s="8007" t="n"/>
      <c r="AZ57" s="8008" t="n"/>
      <c r="BA57" s="6450" t="n"/>
      <c r="BB57" s="6450" t="n"/>
      <c r="BC57" s="6450" t="n"/>
    </row>
    <row r="58" ht="18" customHeight="1" s="7635">
      <c r="A58" s="1277" t="n"/>
      <c r="B58" s="11602" t="n"/>
      <c r="C58" s="10886" t="n">
        <v>18</v>
      </c>
      <c r="D58" s="8439" t="n"/>
      <c r="E58" s="5995" t="inlineStr">
        <is>
          <t>Subtract line 17 from line 16. If zero or less, enter the amount from line 15 on line 21</t>
        </is>
      </c>
      <c r="F58" s="11602" t="n"/>
      <c r="G58" s="11602" t="n"/>
      <c r="H58" s="11602" t="n"/>
      <c r="I58" s="11602" t="n"/>
      <c r="J58" s="11602" t="n"/>
      <c r="K58" s="11602" t="n"/>
      <c r="L58" s="11602" t="n"/>
      <c r="M58" s="11602" t="n"/>
      <c r="N58" s="11602" t="n"/>
      <c r="O58" s="11602" t="n"/>
      <c r="P58" s="11602" t="n"/>
      <c r="Q58" s="11602" t="n"/>
      <c r="R58" s="11602" t="n"/>
      <c r="S58" s="11602" t="n"/>
      <c r="T58" s="11602" t="n"/>
      <c r="U58" s="11602" t="n"/>
      <c r="V58" s="11602" t="n"/>
      <c r="W58" s="11602" t="n"/>
      <c r="X58" s="11602" t="n"/>
      <c r="Y58" s="11602" t="n"/>
      <c r="Z58" s="11602" t="n"/>
      <c r="AA58" s="11602" t="n"/>
      <c r="AB58" s="11602" t="n"/>
      <c r="AC58" s="8389" t="n">
        <v>18</v>
      </c>
      <c r="AD58" s="7595">
        <f>IF(AK58&lt;&gt;"",ROUND(AK58,0),IF($AJ$53,"",SUM(AD56,-AD57)))</f>
        <v/>
      </c>
      <c r="AE58" s="7637" t="n"/>
      <c r="AF58" s="7637" t="n"/>
      <c r="AG58" s="7637" t="n"/>
      <c r="AH58" s="7637" t="n"/>
      <c r="AI58" s="1277" t="n"/>
      <c r="AJ58" s="5943">
        <f>AD58&lt;=0</f>
        <v/>
      </c>
      <c r="AK58" s="1329" t="n"/>
      <c r="AL58" s="11602" t="n"/>
      <c r="AM58" s="5888" t="n"/>
      <c r="AN58" s="11602" t="n"/>
      <c r="AO58" s="5887" t="n"/>
      <c r="AP58" s="11602" t="n"/>
      <c r="AQ58" s="11602" t="n"/>
      <c r="AR58" s="6217" t="inlineStr">
        <is>
          <t>B</t>
        </is>
      </c>
      <c r="AS58" s="11970" t="n"/>
      <c r="AT58" s="8007" t="n"/>
      <c r="AU58" s="8007" t="n"/>
      <c r="AV58" s="8008" t="n"/>
      <c r="AW58" s="11971" t="n"/>
      <c r="AX58" s="8007" t="n"/>
      <c r="AY58" s="8007" t="n"/>
      <c r="AZ58" s="8008" t="n"/>
      <c r="BA58" s="6450" t="n"/>
      <c r="BB58" s="6450" t="n"/>
      <c r="BC58" s="6450" t="n"/>
    </row>
    <row r="59" ht="18" customHeight="1" s="7635">
      <c r="A59" s="1277" t="n"/>
      <c r="B59" s="11602" t="n"/>
      <c r="C59" s="10886" t="n">
        <v>19</v>
      </c>
      <c r="D59" s="8439" t="n"/>
      <c r="E59" s="5995">
        <f>"Divide line 18 by "&amp;TEXT($AN$44,"$0,000")&amp;". If the resulting number isn’t a whole number, decrease the result to the next"</f>
        <v/>
      </c>
      <c r="F59" s="11602" t="n"/>
      <c r="G59" s="11602" t="n"/>
      <c r="H59" s="11602" t="n"/>
      <c r="I59" s="11602" t="n"/>
      <c r="J59" s="11602" t="n"/>
      <c r="K59" s="11602" t="n"/>
      <c r="L59" s="11602" t="n"/>
      <c r="M59" s="11602" t="n"/>
      <c r="N59" s="11602" t="n"/>
      <c r="O59" s="11602" t="n"/>
      <c r="P59" s="11602" t="n"/>
      <c r="Q59" s="11602" t="n"/>
      <c r="R59" s="11602" t="n"/>
      <c r="S59" s="11602" t="n"/>
      <c r="T59" s="11602" t="n"/>
      <c r="U59" s="11602" t="n"/>
      <c r="V59" s="11602" t="n"/>
      <c r="W59" s="11602" t="n"/>
      <c r="X59" s="11602" t="n"/>
      <c r="Y59" s="11602" t="n"/>
      <c r="Z59" s="11602" t="n"/>
      <c r="AA59" s="11602" t="n"/>
      <c r="AB59" s="11602" t="n"/>
      <c r="AC59" s="4454" t="n"/>
      <c r="AD59" s="7566" t="n"/>
      <c r="AI59" s="1277" t="n"/>
      <c r="AJ59" s="7669" t="inlineStr">
        <is>
          <t>Enter OT using 
worksheets &gt;&gt;&gt;</t>
        </is>
      </c>
      <c r="AL59" s="11602" t="n"/>
      <c r="AM59" s="5888" t="n"/>
      <c r="AN59" s="11602" t="n"/>
      <c r="AO59" s="5887" t="n"/>
      <c r="AP59" s="11602" t="n"/>
      <c r="AQ59" s="11602" t="n"/>
      <c r="AR59" s="6217" t="inlineStr">
        <is>
          <t>C</t>
        </is>
      </c>
      <c r="AS59" s="11970" t="n"/>
      <c r="AT59" s="8007" t="n"/>
      <c r="AU59" s="8007" t="n"/>
      <c r="AV59" s="8008" t="n"/>
      <c r="AW59" s="11971" t="n"/>
      <c r="AX59" s="8007" t="n"/>
      <c r="AY59" s="8007" t="n"/>
      <c r="AZ59" s="8008" t="n"/>
      <c r="BA59" s="6450" t="n"/>
      <c r="BB59" s="6450" t="n"/>
      <c r="BC59" s="6450" t="n"/>
    </row>
    <row r="60" ht="18" customHeight="1" s="7635">
      <c r="A60" s="1277" t="n"/>
      <c r="B60" s="11602" t="n"/>
      <c r="C60" s="8439" t="n"/>
      <c r="D60" s="8439" t="n"/>
      <c r="E60" s="5995" t="inlineStr">
        <is>
          <t>lower whole number. (For example, decrease 1.5 to 1, and decrease 0.05 to 0.)</t>
        </is>
      </c>
      <c r="F60" s="11602" t="n"/>
      <c r="G60" s="11602" t="n"/>
      <c r="H60" s="11602" t="n"/>
      <c r="I60" s="11602" t="n"/>
      <c r="J60" s="11602" t="n"/>
      <c r="K60" s="11602" t="n"/>
      <c r="L60" s="11602" t="n"/>
      <c r="M60" s="11602" t="n"/>
      <c r="N60" s="11602" t="n"/>
      <c r="O60" s="11602" t="n"/>
      <c r="P60" s="11602" t="n"/>
      <c r="Q60" s="11602" t="n"/>
      <c r="R60" s="11602" t="n"/>
      <c r="S60" s="11602" t="n"/>
      <c r="T60" s="11602" t="n"/>
      <c r="U60" s="11602" t="n"/>
      <c r="V60" s="11602" t="n"/>
      <c r="W60" s="11602" t="n"/>
      <c r="X60" s="11602" t="n"/>
      <c r="Y60" s="11602" t="n"/>
      <c r="Z60" s="11602" t="n"/>
      <c r="AA60" s="11602" t="n"/>
      <c r="AB60" s="11602" t="n"/>
      <c r="AC60" s="8389" t="n">
        <v>19</v>
      </c>
      <c r="AD60" s="7595">
        <f>IF(OR(AJ53,AJ58),"",ROUNDDOWN(AD58/$AN$44,0))</f>
        <v/>
      </c>
      <c r="AE60" s="7637" t="n"/>
      <c r="AF60" s="7637" t="n"/>
      <c r="AG60" s="7637" t="n"/>
      <c r="AH60" s="7637" t="n"/>
      <c r="AI60" s="1277" t="n"/>
      <c r="AL60" s="11602" t="n"/>
      <c r="AM60" s="5888" t="n"/>
      <c r="AN60" s="11602" t="n"/>
      <c r="AO60" s="5887" t="n"/>
      <c r="AP60" s="11602" t="n"/>
      <c r="AQ60" s="11602" t="n"/>
      <c r="AR60" s="6217" t="inlineStr">
        <is>
          <t>D</t>
        </is>
      </c>
      <c r="AS60" s="11970" t="n"/>
      <c r="AT60" s="8007" t="n"/>
      <c r="AU60" s="8007" t="n"/>
      <c r="AV60" s="8008" t="n"/>
      <c r="AW60" s="11971" t="n"/>
      <c r="AX60" s="8007" t="n"/>
      <c r="AY60" s="8007" t="n"/>
      <c r="AZ60" s="8008" t="n"/>
      <c r="BA60" s="6450" t="n"/>
      <c r="BB60" s="6450" t="n"/>
      <c r="BC60" s="6450" t="n"/>
    </row>
    <row r="61" ht="16.5" customHeight="1" s="7635">
      <c r="A61" s="1277" t="n"/>
      <c r="B61" s="11602" t="n"/>
      <c r="C61" s="10886" t="n">
        <v>20</v>
      </c>
      <c r="D61" s="8439" t="n"/>
      <c r="E61" s="5995">
        <f>"Multiply line 19 by "&amp;TEXT($AN$45,"$0")</f>
        <v/>
      </c>
      <c r="F61" s="11602" t="n"/>
      <c r="G61" s="11602" t="n"/>
      <c r="H61" s="11602" t="n"/>
      <c r="I61" s="11602" t="n"/>
      <c r="J61" s="11602" t="n"/>
      <c r="K61" s="11602" t="n"/>
      <c r="L61" s="11602" t="n"/>
      <c r="M61" s="11602" t="n"/>
      <c r="N61" s="11602" t="n"/>
      <c r="O61" s="11602" t="n"/>
      <c r="P61" s="11602" t="n"/>
      <c r="Q61" s="11602" t="n"/>
      <c r="R61" s="11602" t="n"/>
      <c r="S61" s="11602" t="n"/>
      <c r="T61" s="11602" t="n"/>
      <c r="U61" s="11602" t="n"/>
      <c r="V61" s="11602" t="n"/>
      <c r="W61" s="11602" t="n"/>
      <c r="X61" s="11602" t="n"/>
      <c r="Y61" s="11602" t="n"/>
      <c r="Z61" s="11602" t="n"/>
      <c r="AA61" s="11602" t="n"/>
      <c r="AB61" s="11602" t="n"/>
      <c r="AC61" s="8389" t="n">
        <v>20</v>
      </c>
      <c r="AD61" s="7595">
        <f>IF(OR(AJ53,AJ58),"",ROUND(AD60*AN45,0))</f>
        <v/>
      </c>
      <c r="AE61" s="7637" t="n"/>
      <c r="AF61" s="7637" t="n"/>
      <c r="AG61" s="7637" t="n"/>
      <c r="AH61" s="7637" t="n"/>
      <c r="AI61" s="1277" t="n"/>
      <c r="AJ61" s="512" t="n"/>
      <c r="AK61" s="1329" t="n"/>
      <c r="AL61" s="11602" t="n"/>
      <c r="AM61" s="5888" t="n"/>
      <c r="AN61" s="11602" t="n"/>
      <c r="AO61" s="5887" t="n"/>
      <c r="AP61" s="11602" t="n"/>
      <c r="AQ61" s="11602" t="n"/>
      <c r="AR61" s="6217" t="inlineStr">
        <is>
          <t>E</t>
        </is>
      </c>
      <c r="AS61" s="11970" t="n"/>
      <c r="AT61" s="8007" t="n"/>
      <c r="AU61" s="8007" t="n"/>
      <c r="AV61" s="8008" t="n"/>
      <c r="AW61" s="11971" t="n"/>
      <c r="AX61" s="8007" t="n"/>
      <c r="AY61" s="8007" t="n"/>
      <c r="AZ61" s="8008" t="n"/>
      <c r="BA61" s="6450" t="n"/>
      <c r="BB61" s="6450" t="n"/>
      <c r="BC61" s="6450" t="n"/>
    </row>
    <row r="62" ht="17.25" customHeight="1" s="7635" thickBot="1">
      <c r="A62" s="1277" t="n"/>
      <c r="B62" s="413" t="n"/>
      <c r="C62" s="8595" t="n">
        <v>21</v>
      </c>
      <c r="D62" s="8595" t="n"/>
      <c r="E62" s="5996" t="inlineStr">
        <is>
          <t>Qualified overtime compensation deduction. Subtract line 20 from line 15. If zero or less, enter -0-</t>
        </is>
      </c>
      <c r="F62" s="413" t="n"/>
      <c r="G62" s="413" t="n"/>
      <c r="H62" s="413" t="n"/>
      <c r="I62" s="413" t="n"/>
      <c r="J62" s="413" t="n"/>
      <c r="K62" s="413" t="n"/>
      <c r="L62" s="413" t="n"/>
      <c r="M62" s="413" t="n"/>
      <c r="N62" s="413" t="n"/>
      <c r="O62" s="413" t="n"/>
      <c r="P62" s="413" t="n"/>
      <c r="Q62" s="413" t="n"/>
      <c r="R62" s="413" t="n"/>
      <c r="S62" s="413" t="n"/>
      <c r="T62" s="413" t="n"/>
      <c r="U62" s="413" t="n"/>
      <c r="V62" s="413" t="n"/>
      <c r="W62" s="413" t="n"/>
      <c r="X62" s="413" t="n"/>
      <c r="Y62" s="413" t="n"/>
      <c r="Z62" s="413" t="n"/>
      <c r="AA62" s="413" t="n"/>
      <c r="AB62" s="413" t="n"/>
      <c r="AC62" s="8389" t="n">
        <v>21</v>
      </c>
      <c r="AD62" s="7595">
        <f>IF(AK62&lt;&gt;"",ROUND(AK62,0),IF($AJ$53,"",IF(AND(NOT(AJ53),AJ58),AD55,MAX(0,SUM(AD55,-AD61)))))</f>
        <v/>
      </c>
      <c r="AE62" s="7637" t="n"/>
      <c r="AF62" s="7637" t="n"/>
      <c r="AG62" s="7637" t="n"/>
      <c r="AH62" s="7637" t="n"/>
      <c r="AI62" s="1277" t="n"/>
      <c r="AJ62" s="512" t="n"/>
      <c r="AK62" s="2875" t="n"/>
      <c r="AL62" s="11602" t="n"/>
      <c r="AM62" s="5888" t="n"/>
      <c r="AN62" s="11602" t="n"/>
      <c r="AO62" s="5887" t="n"/>
      <c r="AP62" s="11602" t="n"/>
      <c r="AQ62" s="11602" t="n"/>
      <c r="AR62" s="6243" t="inlineStr">
        <is>
          <t>2</t>
        </is>
      </c>
      <c r="AS62" s="11972" t="inlineStr">
        <is>
          <t>Add the amounts from lines 1A through 1E, column (b), and enter this amount on Schedule 1-A, line 14a</t>
        </is>
      </c>
      <c r="AT62" s="11745" t="n"/>
      <c r="AU62" s="11745" t="n"/>
      <c r="AV62" s="11948" t="n"/>
      <c r="AW62" s="7713">
        <f>IF(SUM(AW57:AZ61)&gt;0,ROUND(SUM(AW57:AZ61),0),"")</f>
        <v/>
      </c>
      <c r="AX62" s="7839" t="n"/>
      <c r="AY62" s="7839" t="n"/>
      <c r="AZ62" s="7839" t="n"/>
      <c r="BA62" s="6450" t="n"/>
      <c r="BB62" s="6450" t="n"/>
      <c r="BC62" s="6450" t="n"/>
    </row>
    <row r="63" ht="14.25" customHeight="1" s="7635" thickTop="1">
      <c r="A63" s="1277" t="n"/>
      <c r="B63" s="5894" t="inlineStr">
        <is>
          <t>For Paperwork Reduction Act Notice, see your tax return instructions.</t>
        </is>
      </c>
      <c r="C63" s="5895" t="n"/>
      <c r="D63" s="5895" t="n"/>
      <c r="E63" s="257" t="n"/>
      <c r="F63" s="257" t="n"/>
      <c r="G63" s="257" t="n"/>
      <c r="H63" s="257" t="n"/>
      <c r="I63" s="257" t="n"/>
      <c r="J63" s="257" t="n"/>
      <c r="K63" s="257" t="n"/>
      <c r="L63" s="257" t="n"/>
      <c r="M63" s="257" t="n"/>
      <c r="N63" s="257" t="n"/>
      <c r="O63" s="257" t="n"/>
      <c r="P63" s="257" t="n"/>
      <c r="Q63" s="257" t="n"/>
      <c r="R63" s="257" t="n"/>
      <c r="S63" s="2279" t="inlineStr">
        <is>
          <t>Cat. No. 95872Q</t>
        </is>
      </c>
      <c r="T63" s="2279" t="n"/>
      <c r="U63" s="5896" t="n"/>
      <c r="V63" s="2279" t="n"/>
      <c r="W63" s="257" t="n"/>
      <c r="X63" s="2279" t="n"/>
      <c r="Y63" s="257" t="n"/>
      <c r="Z63" s="257" t="n"/>
      <c r="AA63" s="257" t="n"/>
      <c r="AB63" s="5897" t="n"/>
      <c r="AC63" s="257" t="n"/>
      <c r="AD63" s="5897">
        <f>"Schedule 1-A (Form 1040) "&amp;TaxYear</f>
        <v/>
      </c>
      <c r="AE63" s="257" t="n"/>
      <c r="AF63" s="257" t="n"/>
      <c r="AG63" s="257" t="n"/>
      <c r="AH63" s="2935" t="inlineStr">
        <is>
          <t>Created 11/4/25</t>
        </is>
      </c>
      <c r="AI63" s="1277" t="n"/>
      <c r="AJ63" s="512" t="n"/>
      <c r="AK63" s="2875" t="n"/>
      <c r="AL63" s="11602" t="n"/>
      <c r="AM63" s="5888" t="n"/>
      <c r="AN63" s="11602" t="n"/>
      <c r="AO63" s="5887" t="n"/>
      <c r="AP63" s="11602" t="n"/>
      <c r="AQ63" s="11602" t="n"/>
      <c r="AR63" s="11969" t="n"/>
      <c r="AS63" s="11728" t="n"/>
      <c r="AT63" s="11717" t="n"/>
      <c r="AU63" s="11717" t="n"/>
      <c r="AV63" s="11718" t="n"/>
      <c r="AW63" s="4772" t="n"/>
      <c r="BA63" s="6450" t="n"/>
      <c r="BB63" s="6450" t="n"/>
      <c r="BC63" s="6450" t="n"/>
    </row>
    <row r="64" ht="20.25" customHeight="1" s="7635" thickBot="1">
      <c r="A64" s="1277" t="n"/>
      <c r="B64" s="5898">
        <f>"Schedule 1-A (Form 1040)  " &amp; TaxYear</f>
        <v/>
      </c>
      <c r="C64" s="5386" t="n"/>
      <c r="D64" s="5386" t="n"/>
      <c r="E64" s="380" t="n"/>
      <c r="F64" s="380" t="n"/>
      <c r="G64" s="380" t="n"/>
      <c r="H64" s="380" t="n"/>
      <c r="I64" s="380" t="n"/>
      <c r="J64" s="380" t="n"/>
      <c r="K64" s="380" t="n"/>
      <c r="L64" s="380" t="n"/>
      <c r="M64" s="380" t="n"/>
      <c r="N64" s="380" t="n"/>
      <c r="O64" s="380" t="n"/>
      <c r="P64" s="380" t="n"/>
      <c r="Q64" s="380" t="n"/>
      <c r="R64" s="380" t="n"/>
      <c r="S64" s="380" t="n"/>
      <c r="T64" s="380" t="n"/>
      <c r="U64" s="348" t="n"/>
      <c r="V64" s="348" t="n"/>
      <c r="W64" s="380" t="n"/>
      <c r="X64" s="2266" t="n"/>
      <c r="Y64" s="380" t="n"/>
      <c r="Z64" s="380" t="n"/>
      <c r="AA64" s="380" t="n"/>
      <c r="AB64" s="380" t="n"/>
      <c r="AC64" s="380" t="n"/>
      <c r="AD64" s="380" t="n"/>
      <c r="AE64" s="380" t="n"/>
      <c r="AF64" s="380" t="n"/>
      <c r="AG64" s="380" t="n"/>
      <c r="AH64" s="4188" t="inlineStr">
        <is>
          <t>Page 2</t>
        </is>
      </c>
      <c r="AI64" s="1277" t="n"/>
      <c r="AJ64" s="512" t="n"/>
      <c r="AK64" s="5899" t="n"/>
      <c r="AL64" s="512" t="n"/>
      <c r="AM64" s="2516" t="n"/>
      <c r="AN64" s="512" t="n"/>
      <c r="AO64" s="5900" t="n"/>
      <c r="AP64" s="11602" t="n"/>
      <c r="AQ64" s="11602" t="n"/>
      <c r="AR64" s="769" t="n"/>
      <c r="AS64" s="769" t="n"/>
      <c r="AT64" s="769" t="n"/>
      <c r="AU64" s="769" t="n"/>
      <c r="AV64" s="769" t="n"/>
      <c r="AW64" s="769" t="n"/>
      <c r="AX64" s="769" t="n"/>
      <c r="AY64" s="769" t="n"/>
      <c r="AZ64" s="769" t="n"/>
      <c r="BA64" s="6450" t="n"/>
      <c r="BB64" s="6450" t="n"/>
      <c r="BC64" s="6450" t="n"/>
    </row>
    <row r="65" ht="21" customHeight="1" s="7635">
      <c r="A65" s="1277" t="n"/>
      <c r="B65" s="7597" t="inlineStr">
        <is>
          <t>Part IV</t>
        </is>
      </c>
      <c r="F65" s="2009" t="n"/>
      <c r="G65" s="5388" t="inlineStr">
        <is>
          <t>No Tax on Car Loan Interest</t>
        </is>
      </c>
      <c r="H65" s="2009" t="n"/>
      <c r="I65" s="2009" t="n"/>
      <c r="J65" s="2009" t="n"/>
      <c r="K65" s="2009" t="n"/>
      <c r="L65" s="2009" t="n"/>
      <c r="M65" s="413" t="n"/>
      <c r="N65" s="413" t="n"/>
      <c r="O65" s="413" t="n"/>
      <c r="P65" s="413" t="n"/>
      <c r="Q65" s="413" t="n"/>
      <c r="R65" s="413" t="n"/>
      <c r="S65" s="413" t="n"/>
      <c r="T65" s="413" t="n"/>
      <c r="U65" s="413" t="n"/>
      <c r="V65" s="413" t="n"/>
      <c r="W65" s="413" t="n"/>
      <c r="X65" s="413" t="n"/>
      <c r="Y65" s="7601" t="n"/>
      <c r="Z65" s="7637" t="n"/>
      <c r="AA65" s="7637" t="n"/>
      <c r="AB65" s="7637" t="n"/>
      <c r="AC65" s="1996" t="n"/>
      <c r="AD65" s="7601" t="n"/>
      <c r="AE65" s="7637" t="n"/>
      <c r="AF65" s="7637" t="n"/>
      <c r="AG65" s="7637" t="n"/>
      <c r="AH65" s="7637" t="n"/>
      <c r="AI65" s="1277" t="n"/>
      <c r="AJ65" s="512" t="n"/>
      <c r="AK65" s="5899" t="n"/>
      <c r="AL65" s="512" t="n"/>
      <c r="AM65" s="512">
        <f>IF(OR(F8889_Line16&gt;0,F8889_Line20),"HSA = "&amp;TEXT(SUM(F8889_Line16,F8889_Line20),"$0"),"")</f>
        <v/>
      </c>
      <c r="AN65" s="512" t="n"/>
      <c r="AO65" s="5900" t="n"/>
      <c r="AP65" s="11602" t="n"/>
      <c r="AQ65" s="11602" t="n"/>
      <c r="AR65" s="6238" t="inlineStr">
        <is>
          <t>Qualified Overtime Compensation From More Than One Payor Worksheet</t>
        </is>
      </c>
      <c r="AS65" s="769" t="n"/>
      <c r="AT65" s="769" t="n"/>
      <c r="AU65" s="769" t="n"/>
      <c r="AV65" s="769" t="n"/>
      <c r="AW65" s="769" t="n"/>
      <c r="AX65" s="769" t="n"/>
      <c r="AY65" s="769" t="n"/>
      <c r="AZ65" s="769" t="n"/>
      <c r="BA65" s="6450" t="n"/>
      <c r="BB65" s="6450" t="n"/>
      <c r="BC65" s="6450" t="n"/>
    </row>
    <row r="66" ht="17.25" customHeight="1" s="7635">
      <c r="A66" s="1277" t="n"/>
      <c r="B66" s="5997" t="inlineStr">
        <is>
          <t xml:space="preserve">Caution: Fill out Part IV only if you, or your spouse if married filing jointly, paid or accrued qualified passenger vehicle loan interest </t>
        </is>
      </c>
      <c r="C66" s="10886" t="n"/>
      <c r="D66" s="10886" t="n"/>
      <c r="E66" s="10886" t="n"/>
      <c r="F66" s="10886" t="n"/>
      <c r="G66" s="10886" t="n"/>
      <c r="H66" s="10886" t="n"/>
      <c r="I66" s="10886" t="n"/>
      <c r="J66" s="10886" t="n"/>
      <c r="K66" s="10886" t="n"/>
      <c r="L66" s="10886" t="n"/>
      <c r="M66" s="11602" t="n"/>
      <c r="N66" s="11602" t="n"/>
      <c r="O66" s="11602" t="n"/>
      <c r="P66" s="11602" t="n"/>
      <c r="Q66" s="11602" t="n"/>
      <c r="R66" s="11602" t="n"/>
      <c r="S66" s="11602" t="n"/>
      <c r="T66" s="11602" t="n"/>
      <c r="U66" s="11602" t="n"/>
      <c r="V66" s="11602" t="n"/>
      <c r="W66" s="11602" t="n"/>
      <c r="X66" s="11602" t="n"/>
      <c r="Y66" s="11602" t="n"/>
      <c r="Z66" s="11602" t="n"/>
      <c r="AA66" s="11602" t="n"/>
      <c r="AB66" s="11602" t="n"/>
      <c r="AC66" s="11602" t="n"/>
      <c r="AD66" s="11602" t="n"/>
      <c r="AE66" s="11602" t="n"/>
      <c r="AF66" s="11602" t="n"/>
      <c r="AG66" s="11602" t="n"/>
      <c r="AH66" s="11602" t="n"/>
      <c r="AI66" s="1277" t="n"/>
      <c r="AJ66" s="512" t="n"/>
      <c r="AK66" s="5899" t="n"/>
      <c r="AL66" s="11602" t="n"/>
      <c r="AM66" s="11602" t="n"/>
      <c r="AN66" s="11602" t="n"/>
      <c r="AO66" s="512" t="n"/>
      <c r="AP66" s="11602" t="n"/>
      <c r="AQ66" s="11602" t="n"/>
      <c r="AR66" s="11973" t="inlineStr">
        <is>
          <t>1</t>
        </is>
      </c>
      <c r="AS66" s="11959" t="inlineStr">
        <is>
          <t xml:space="preserve">
(a) Payor’s name</t>
        </is>
      </c>
      <c r="AT66" s="11745" t="n"/>
      <c r="AU66" s="11745" t="n"/>
      <c r="AV66" s="11948" t="n"/>
      <c r="AW66" s="11974" t="inlineStr">
        <is>
          <t>(b) Qualified overtime reported on Form 1099-NEC, box 1, or Form 1099-MISC, box 3</t>
        </is>
      </c>
      <c r="AX66" s="11745" t="n"/>
      <c r="AY66" s="11745" t="n"/>
      <c r="AZ66" s="11948" t="n"/>
      <c r="BA66" s="6450" t="n"/>
      <c r="BB66" s="6450" t="n"/>
      <c r="BC66" s="6450" t="n"/>
    </row>
    <row r="67" ht="17.25" customHeight="1" s="7635">
      <c r="A67" s="1277" t="n"/>
      <c r="B67" s="5999" t="inlineStr">
        <is>
          <t xml:space="preserve">(QPVLI). Column (iii) is the total QPVLI paid in 2025 less the amounts reported in column (ii). See instructions. </t>
        </is>
      </c>
      <c r="C67" s="2009" t="n"/>
      <c r="D67" s="2009" t="n"/>
      <c r="E67" s="2009" t="n"/>
      <c r="F67" s="2009" t="n"/>
      <c r="G67" s="2009" t="n"/>
      <c r="H67" s="2009" t="n"/>
      <c r="I67" s="2009" t="n"/>
      <c r="J67" s="2009" t="n"/>
      <c r="K67" s="2009" t="n"/>
      <c r="L67" s="2009" t="n"/>
      <c r="M67" s="413" t="n"/>
      <c r="N67" s="413" t="n"/>
      <c r="O67" s="413" t="n"/>
      <c r="P67" s="413" t="n"/>
      <c r="Q67" s="413" t="n"/>
      <c r="R67" s="413" t="n"/>
      <c r="S67" s="413" t="n"/>
      <c r="T67" s="413" t="n"/>
      <c r="U67" s="413" t="n"/>
      <c r="V67" s="413" t="n"/>
      <c r="W67" s="413" t="n"/>
      <c r="X67" s="413" t="n"/>
      <c r="Y67" s="413" t="n"/>
      <c r="Z67" s="413" t="n"/>
      <c r="AA67" s="413" t="n"/>
      <c r="AB67" s="413" t="n"/>
      <c r="AC67" s="413" t="n"/>
      <c r="AD67" s="413" t="n"/>
      <c r="AE67" s="413" t="n"/>
      <c r="AF67" s="413" t="n"/>
      <c r="AG67" s="413" t="n"/>
      <c r="AH67" s="413" t="n"/>
      <c r="AI67" s="1277" t="n"/>
      <c r="AJ67" s="512" t="n"/>
      <c r="AK67" s="5899" t="n"/>
      <c r="AL67" s="11602" t="n"/>
      <c r="AM67" s="11602" t="n"/>
      <c r="AN67" s="11602" t="n"/>
      <c r="AO67" s="512" t="n"/>
      <c r="AP67" s="11602" t="n"/>
      <c r="AQ67" s="11602" t="n"/>
      <c r="AR67" s="11969" t="n"/>
      <c r="AS67" s="11728" t="n"/>
      <c r="AT67" s="11717" t="n"/>
      <c r="AU67" s="11717" t="n"/>
      <c r="AV67" s="11718" t="n"/>
      <c r="AW67" s="11728" t="n"/>
      <c r="AX67" s="11717" t="n"/>
      <c r="AY67" s="11717" t="n"/>
      <c r="AZ67" s="11718" t="n"/>
      <c r="BA67" s="6450" t="n"/>
      <c r="BB67" s="6450" t="n"/>
      <c r="BC67" s="6450" t="n"/>
    </row>
    <row r="68" ht="18" customHeight="1" s="7635">
      <c r="A68" s="1277" t="n"/>
      <c r="B68" s="8650" t="n"/>
      <c r="C68" s="8439" t="n">
        <v>22</v>
      </c>
      <c r="D68" s="8439" t="n"/>
      <c r="E68" s="2120" t="inlineStr">
        <is>
          <t>Applicable passenger vehicle (see instructions). If more than two VINs, see instructions.</t>
        </is>
      </c>
      <c r="F68" s="3901" t="n"/>
      <c r="G68" s="3901" t="n"/>
      <c r="H68" s="773" t="n"/>
      <c r="I68" s="773" t="n"/>
      <c r="J68" s="773" t="n"/>
      <c r="K68" s="773" t="n"/>
      <c r="L68" s="773" t="n"/>
      <c r="M68" s="773" t="n"/>
      <c r="N68" s="773" t="n"/>
      <c r="O68" s="773" t="n"/>
      <c r="P68" s="773" t="n"/>
      <c r="Q68" s="773" t="n"/>
      <c r="R68" s="773" t="n"/>
      <c r="S68" s="4038" t="n"/>
      <c r="T68" s="5901" t="n"/>
      <c r="U68" s="5902" t="n"/>
      <c r="V68" s="773" t="n"/>
      <c r="W68" s="4039" t="n"/>
      <c r="X68" s="4039" t="n"/>
      <c r="Y68" s="4039" t="n"/>
      <c r="Z68" s="4039" t="n"/>
      <c r="AA68" s="4039" t="n"/>
      <c r="AB68" s="4039" t="n"/>
      <c r="AC68" s="4039" t="n"/>
      <c r="AD68" s="4039" t="n"/>
      <c r="AE68" s="4039" t="n"/>
      <c r="AF68" s="4039" t="n"/>
      <c r="AG68" s="4039" t="n"/>
      <c r="AH68" s="4039" t="n"/>
      <c r="AI68" s="1277" t="n"/>
      <c r="AJ68" s="512" t="n"/>
      <c r="AK68" s="5899" t="n"/>
      <c r="AL68" s="512" t="n"/>
      <c r="AM68" s="514" t="n"/>
      <c r="AN68" s="512" t="n"/>
      <c r="AO68" s="5900" t="n"/>
      <c r="AP68" s="11602" t="n"/>
      <c r="AQ68" s="11602" t="n"/>
      <c r="AR68" s="6217" t="inlineStr">
        <is>
          <t>A</t>
        </is>
      </c>
      <c r="AS68" s="11970" t="n"/>
      <c r="AT68" s="8007" t="n"/>
      <c r="AU68" s="8007" t="n"/>
      <c r="AV68" s="8008" t="n"/>
      <c r="AW68" s="11971" t="n"/>
      <c r="AX68" s="8007" t="n"/>
      <c r="AY68" s="8007" t="n"/>
      <c r="AZ68" s="8008" t="n"/>
      <c r="BA68" s="6450" t="n"/>
      <c r="BB68" s="6450" t="n"/>
      <c r="BC68" s="6450" t="n"/>
    </row>
    <row r="69" ht="18" customHeight="1" s="7635">
      <c r="A69" s="1277" t="n"/>
      <c r="B69" s="8650" t="n"/>
      <c r="C69" s="8439" t="n"/>
      <c r="D69" s="8439" t="n"/>
      <c r="E69" s="8650" t="n"/>
      <c r="F69" s="8650" t="n"/>
      <c r="G69" s="8650" t="n"/>
      <c r="H69" s="11602" t="n"/>
      <c r="I69" s="11602" t="n"/>
      <c r="J69" s="11602" t="n"/>
      <c r="K69" s="11602" t="n"/>
      <c r="L69" s="11602" t="n"/>
      <c r="M69" s="11602" t="n"/>
      <c r="N69" s="11602" t="n"/>
      <c r="O69" s="11602" t="n"/>
      <c r="P69" s="11602" t="n"/>
      <c r="Q69" s="11602" t="n"/>
      <c r="R69" s="11602" t="n"/>
      <c r="S69" s="11602" t="n"/>
      <c r="T69" s="1218" t="n"/>
      <c r="U69" s="2373" t="n"/>
      <c r="V69" s="11602" t="n"/>
      <c r="W69" s="7914" t="n"/>
      <c r="X69" s="11602" t="n"/>
      <c r="Y69" s="11975" t="inlineStr">
        <is>
          <t>Interest for this loan:</t>
        </is>
      </c>
      <c r="Z69" s="7839" t="n"/>
      <c r="AA69" s="7839" t="n"/>
      <c r="AB69" s="7839" t="n"/>
      <c r="AC69" s="7839" t="n"/>
      <c r="AD69" s="7839" t="n"/>
      <c r="AE69" s="7839" t="n"/>
      <c r="AF69" s="7839" t="n"/>
      <c r="AG69" s="7839" t="n"/>
      <c r="AH69" s="7839" t="n"/>
      <c r="AI69" s="1277" t="n"/>
      <c r="AJ69" s="512" t="n"/>
      <c r="AK69" s="5899" t="n"/>
      <c r="AL69" s="512" t="n"/>
      <c r="AM69" s="512" t="n"/>
      <c r="AN69" s="512" t="n"/>
      <c r="AO69" s="5900" t="n"/>
      <c r="AP69" s="11602" t="n"/>
      <c r="AQ69" s="11602" t="n"/>
      <c r="AR69" s="6217" t="inlineStr">
        <is>
          <t>B</t>
        </is>
      </c>
      <c r="AS69" s="11970" t="n"/>
      <c r="AT69" s="8007" t="n"/>
      <c r="AU69" s="8007" t="n"/>
      <c r="AV69" s="8008" t="n"/>
      <c r="AW69" s="11971" t="n"/>
      <c r="AX69" s="8007" t="n"/>
      <c r="AY69" s="8007" t="n"/>
      <c r="AZ69" s="8008" t="n"/>
      <c r="BA69" s="6450" t="n"/>
      <c r="BB69" s="6450" t="n"/>
      <c r="BC69" s="6450" t="n"/>
    </row>
    <row r="70" ht="18" customHeight="1" s="7635">
      <c r="A70" s="1277" t="n"/>
      <c r="B70" s="8650" t="n"/>
      <c r="C70" s="8439" t="n"/>
      <c r="D70" s="8439" t="n"/>
      <c r="E70" s="8650" t="n"/>
      <c r="F70" s="8650" t="n"/>
      <c r="G70" s="8650" t="n"/>
      <c r="H70" s="11602" t="n"/>
      <c r="I70" s="11602" t="n"/>
      <c r="J70" s="11602" t="n"/>
      <c r="K70" s="11602" t="n"/>
      <c r="L70" s="11602" t="n"/>
      <c r="M70" s="11602" t="n"/>
      <c r="N70" s="11602" t="n"/>
      <c r="O70" s="11602" t="n"/>
      <c r="P70" s="11602" t="n"/>
      <c r="Q70" s="11602" t="n"/>
      <c r="R70" s="11602" t="n"/>
      <c r="S70" s="1401" t="n"/>
      <c r="T70" s="1218" t="n"/>
      <c r="U70" s="2373" t="n"/>
      <c r="V70" s="11602" t="n"/>
      <c r="W70" s="7914" t="n"/>
      <c r="X70" s="1991" t="n"/>
      <c r="Y70" s="3614" t="n"/>
      <c r="Z70" s="7637" t="n"/>
      <c r="AA70" s="7637" t="n"/>
      <c r="AB70" s="7637" t="n"/>
      <c r="AC70" s="7637" t="n"/>
      <c r="AD70" s="7637" t="n"/>
      <c r="AE70" s="7637" t="n"/>
      <c r="AF70" s="7637" t="n"/>
      <c r="AG70" s="7637" t="n"/>
      <c r="AH70" s="7637" t="n"/>
      <c r="AI70" s="1277" t="n"/>
      <c r="AJ70" s="512" t="n"/>
      <c r="AK70" s="5899" t="n"/>
      <c r="AL70" s="724" t="n"/>
      <c r="AM70" s="724" t="n"/>
      <c r="AN70" s="724" t="n"/>
      <c r="AO70" s="5903" t="n"/>
      <c r="AP70" s="11602" t="n"/>
      <c r="AQ70" s="11602" t="n"/>
      <c r="AR70" s="6217" t="inlineStr">
        <is>
          <t>C</t>
        </is>
      </c>
      <c r="AS70" s="11970" t="n"/>
      <c r="AT70" s="8007" t="n"/>
      <c r="AU70" s="8007" t="n"/>
      <c r="AV70" s="8008" t="n"/>
      <c r="AW70" s="11971" t="n"/>
      <c r="AX70" s="8007" t="n"/>
      <c r="AY70" s="8007" t="n"/>
      <c r="AZ70" s="8008" t="n"/>
      <c r="BA70" s="6450" t="n"/>
      <c r="BB70" s="6450" t="n"/>
      <c r="BC70" s="6450" t="n"/>
    </row>
    <row r="71" ht="18" customHeight="1" s="7635">
      <c r="A71" s="1277" t="n"/>
      <c r="B71" s="8650" t="n"/>
      <c r="C71" s="8439" t="n"/>
      <c r="D71" s="8439" t="n"/>
      <c r="E71" s="8650" t="n"/>
      <c r="F71" s="8650" t="n"/>
      <c r="G71" s="8650" t="n"/>
      <c r="H71" s="11602" t="n"/>
      <c r="I71" s="11602" t="n"/>
      <c r="J71" s="8650" t="n"/>
      <c r="K71" s="11602" t="n"/>
      <c r="L71" s="11602" t="n"/>
      <c r="M71" s="11602" t="n"/>
      <c r="N71" s="11602" t="n"/>
      <c r="O71" s="11602" t="n"/>
      <c r="P71" s="11602" t="n"/>
      <c r="Q71" s="11602" t="n"/>
      <c r="R71" s="11602" t="n"/>
      <c r="S71" s="1401" t="n"/>
      <c r="T71" s="1218" t="n"/>
      <c r="U71" s="2373" t="n"/>
      <c r="V71" s="11602" t="n"/>
      <c r="W71" s="7914" t="n"/>
      <c r="X71" s="1991" t="n"/>
      <c r="Y71" s="11976" t="inlineStr">
        <is>
          <t>(ii) Deducted on 
Schedule C, 
Schedule E, or 
Schedule F</t>
        </is>
      </c>
      <c r="Z71" s="7839" t="n"/>
      <c r="AA71" s="7839" t="n"/>
      <c r="AB71" s="7839" t="n"/>
      <c r="AC71" s="10091" t="n"/>
      <c r="AD71" s="11977" t="inlineStr">
        <is>
          <t>(iii) Schedule 1-A</t>
        </is>
      </c>
      <c r="AE71" s="7839" t="n"/>
      <c r="AF71" s="7839" t="n"/>
      <c r="AG71" s="7839" t="n"/>
      <c r="AH71" s="7839" t="n"/>
      <c r="AI71" s="1277" t="n"/>
      <c r="AJ71" s="512" t="n"/>
      <c r="AK71" s="5899" t="n"/>
      <c r="AL71" s="11602" t="n"/>
      <c r="AM71" s="344" t="n"/>
      <c r="AN71" s="11602" t="n"/>
      <c r="AO71" s="5900" t="n"/>
      <c r="AP71" s="11602" t="n"/>
      <c r="AQ71" s="11602" t="n"/>
      <c r="AR71" s="6217" t="inlineStr">
        <is>
          <t>D</t>
        </is>
      </c>
      <c r="AS71" s="11970" t="n"/>
      <c r="AT71" s="8007" t="n"/>
      <c r="AU71" s="8007" t="n"/>
      <c r="AV71" s="8008" t="n"/>
      <c r="AW71" s="11971" t="n"/>
      <c r="AX71" s="8007" t="n"/>
      <c r="AY71" s="8007" t="n"/>
      <c r="AZ71" s="8008" t="n"/>
      <c r="BA71" s="6450" t="n"/>
      <c r="BB71" s="6450" t="n"/>
      <c r="BC71" s="6450" t="n"/>
    </row>
    <row r="72" ht="18" customHeight="1" s="7635">
      <c r="A72" s="1277" t="n"/>
      <c r="B72" s="8650" t="n"/>
      <c r="C72" s="8439" t="n"/>
      <c r="D72" s="8439" t="n"/>
      <c r="E72" s="8650" t="n"/>
      <c r="F72" s="8650" t="n"/>
      <c r="G72" s="8650" t="n"/>
      <c r="H72" s="11602" t="n"/>
      <c r="I72" s="11602" t="n"/>
      <c r="J72" s="7772" t="inlineStr">
        <is>
          <t>(i) Vehicle identification number (VIN)</t>
        </is>
      </c>
      <c r="K72" s="11602" t="n"/>
      <c r="L72" s="11602" t="n"/>
      <c r="M72" s="11602" t="n"/>
      <c r="N72" s="11602" t="n"/>
      <c r="O72" s="11602" t="n"/>
      <c r="P72" s="11602" t="n"/>
      <c r="Q72" s="11602" t="n"/>
      <c r="R72" s="11602" t="n"/>
      <c r="S72" s="1401" t="n"/>
      <c r="T72" s="1218" t="n"/>
      <c r="U72" s="2373" t="n"/>
      <c r="V72" s="11602" t="n"/>
      <c r="W72" s="7914" t="n"/>
      <c r="X72" s="11602" t="n"/>
      <c r="Y72" s="4772" t="n"/>
      <c r="AC72" s="7636" t="n"/>
      <c r="AD72" s="4772" t="n"/>
      <c r="AI72" s="1277" t="n"/>
      <c r="AJ72" s="512" t="n"/>
      <c r="AK72" s="5899" t="n"/>
      <c r="AL72" s="11602" t="n"/>
      <c r="AM72" s="11602" t="n"/>
      <c r="AN72" s="11602" t="n"/>
      <c r="AO72" s="5904" t="n"/>
      <c r="AP72" s="11602" t="n"/>
      <c r="AQ72" s="11602" t="n"/>
      <c r="AR72" s="6217" t="inlineStr">
        <is>
          <t>E</t>
        </is>
      </c>
      <c r="AS72" s="11970" t="n"/>
      <c r="AT72" s="8007" t="n"/>
      <c r="AU72" s="8007" t="n"/>
      <c r="AV72" s="8008" t="n"/>
      <c r="AW72" s="11971" t="n"/>
      <c r="AX72" s="8007" t="n"/>
      <c r="AY72" s="8007" t="n"/>
      <c r="AZ72" s="8008" t="n"/>
      <c r="BA72" s="6450" t="n"/>
      <c r="BB72" s="6450" t="n"/>
      <c r="BC72" s="6450" t="n"/>
    </row>
    <row r="73" ht="15" customHeight="1" s="7635">
      <c r="A73" s="1277" t="n"/>
      <c r="B73" s="8650" t="n"/>
      <c r="C73" s="8439" t="n"/>
      <c r="D73" s="8439" t="n"/>
      <c r="E73" s="8650" t="n"/>
      <c r="F73" s="8650" t="n"/>
      <c r="G73" s="8650" t="n"/>
      <c r="H73" s="11602" t="n"/>
      <c r="I73" s="11602" t="n"/>
      <c r="J73" s="7772" t="n"/>
      <c r="K73" s="11602" t="n"/>
      <c r="L73" s="11602" t="n"/>
      <c r="M73" s="11602" t="n"/>
      <c r="N73" s="11602" t="n"/>
      <c r="O73" s="11602" t="n"/>
      <c r="P73" s="11602" t="n"/>
      <c r="Q73" s="11602" t="n"/>
      <c r="R73" s="11602" t="n"/>
      <c r="S73" s="11602" t="n"/>
      <c r="T73" s="1218" t="n"/>
      <c r="U73" s="2373" t="n"/>
      <c r="V73" s="11602" t="n"/>
      <c r="W73" s="7914" t="n"/>
      <c r="X73" s="1991" t="n"/>
      <c r="Y73" s="4772" t="n"/>
      <c r="AC73" s="7636" t="n"/>
      <c r="AD73" s="4772" t="n"/>
      <c r="AI73" s="1277" t="n"/>
      <c r="AJ73" s="512" t="n"/>
      <c r="AK73" s="5899" t="n"/>
      <c r="AL73" s="11602" t="n"/>
      <c r="AM73" s="344" t="n"/>
      <c r="AN73" s="11602" t="n"/>
      <c r="AO73" s="512" t="n"/>
      <c r="AP73" s="11602" t="n"/>
      <c r="AQ73" s="11602" t="n"/>
      <c r="AR73" s="11978" t="inlineStr">
        <is>
          <t>2</t>
        </is>
      </c>
      <c r="AS73" s="11959" t="inlineStr">
        <is>
          <t>Add the amounts from lines 1A through 1E, column (b) and enter this amount on Schedule 1-A, line 14b</t>
        </is>
      </c>
      <c r="AT73" s="11745" t="n"/>
      <c r="AU73" s="11745" t="n"/>
      <c r="AV73" s="11948" t="n"/>
      <c r="AW73" s="11979">
        <f>IF(SUM(AW68:AZ72)&gt;0,ROUND(SUM(AW68:AZ72),0),"")</f>
        <v/>
      </c>
      <c r="AX73" s="7839" t="n"/>
      <c r="AY73" s="7839" t="n"/>
      <c r="AZ73" s="10091" t="n"/>
      <c r="BA73" s="6450" t="n"/>
      <c r="BB73" s="6450" t="n"/>
      <c r="BC73" s="6450" t="n"/>
    </row>
    <row r="74" ht="15" customHeight="1" s="7635">
      <c r="A74" s="1277" t="n"/>
      <c r="B74" s="8650" t="n"/>
      <c r="C74" s="8439" t="n"/>
      <c r="D74" s="8439" t="n"/>
      <c r="E74" s="1996" t="n"/>
      <c r="F74" s="1996" t="n"/>
      <c r="G74" s="1996" t="n"/>
      <c r="H74" s="413" t="n"/>
      <c r="I74" s="413" t="n"/>
      <c r="J74" s="413" t="n"/>
      <c r="K74" s="413" t="n"/>
      <c r="L74" s="413" t="n"/>
      <c r="M74" s="413" t="n"/>
      <c r="N74" s="413" t="n"/>
      <c r="O74" s="413" t="n"/>
      <c r="P74" s="413" t="n"/>
      <c r="Q74" s="413" t="n"/>
      <c r="R74" s="413" t="n"/>
      <c r="S74" s="8323" t="n"/>
      <c r="T74" s="5905" t="n"/>
      <c r="U74" s="4156" t="n"/>
      <c r="V74" s="413" t="n"/>
      <c r="W74" s="9794" t="n"/>
      <c r="X74" s="5906" t="n"/>
      <c r="Y74" s="3614" t="n"/>
      <c r="Z74" s="7637" t="n"/>
      <c r="AA74" s="7637" t="n"/>
      <c r="AB74" s="7637" t="n"/>
      <c r="AC74" s="7638" t="n"/>
      <c r="AD74" s="3614" t="n"/>
      <c r="AE74" s="7637" t="n"/>
      <c r="AF74" s="7637" t="n"/>
      <c r="AG74" s="7637" t="n"/>
      <c r="AH74" s="7637" t="n"/>
      <c r="AI74" s="1277" t="n"/>
      <c r="AJ74" s="512" t="n"/>
      <c r="AK74" s="5899" t="n"/>
      <c r="AL74" s="11602" t="n"/>
      <c r="AM74" s="344" t="n"/>
      <c r="AN74" s="11602" t="n"/>
      <c r="AO74" s="7619" t="n"/>
      <c r="AP74" s="11602" t="n"/>
      <c r="AQ74" s="11602" t="n"/>
      <c r="AR74" s="11965" t="n"/>
      <c r="AS74" s="11956" t="n"/>
      <c r="AT74" s="194" t="n"/>
      <c r="AU74" s="194" t="n"/>
      <c r="AV74" s="11726" t="n"/>
      <c r="AW74" s="4772" t="n"/>
      <c r="AZ74" s="7636" t="n"/>
      <c r="BA74" s="6450" t="n"/>
      <c r="BB74" s="6450" t="n"/>
      <c r="BC74" s="6450" t="n"/>
    </row>
    <row r="75" ht="6.75" customHeight="1" s="7635">
      <c r="A75" s="1277" t="n"/>
      <c r="B75" s="8650" t="n"/>
      <c r="C75" s="8439" t="n"/>
      <c r="D75" s="8439" t="n"/>
      <c r="E75" s="8650" t="n"/>
      <c r="F75" s="8650" t="n"/>
      <c r="G75" s="8650" t="n"/>
      <c r="H75" s="11602" t="n"/>
      <c r="I75" s="11602" t="n"/>
      <c r="J75" s="11602" t="n"/>
      <c r="K75" s="11602" t="n"/>
      <c r="L75" s="11602" t="n"/>
      <c r="M75" s="11602" t="n"/>
      <c r="N75" s="11602" t="n"/>
      <c r="O75" s="11602" t="n"/>
      <c r="P75" s="11602" t="n"/>
      <c r="Q75" s="11602" t="n"/>
      <c r="R75" s="11602" t="n"/>
      <c r="S75" s="1401" t="n"/>
      <c r="T75" s="1218" t="n"/>
      <c r="U75" s="2373" t="n"/>
      <c r="V75" s="11602" t="n"/>
      <c r="W75" s="7914" t="n"/>
      <c r="X75" s="1991" t="n"/>
      <c r="Y75" s="408" t="n"/>
      <c r="Z75" s="11602" t="n"/>
      <c r="AA75" s="11602" t="n"/>
      <c r="AB75" s="11602" t="n"/>
      <c r="AC75" s="409" t="n"/>
      <c r="AD75" s="408" t="n"/>
      <c r="AE75" s="11602" t="n"/>
      <c r="AF75" s="11602" t="n"/>
      <c r="AG75" s="11602" t="n"/>
      <c r="AH75" s="11602" t="n"/>
      <c r="AI75" s="1277" t="n"/>
      <c r="AJ75" s="512" t="n"/>
      <c r="AK75" s="5899" t="n"/>
      <c r="AL75" s="11602" t="n"/>
      <c r="AM75" s="11602" t="n"/>
      <c r="AN75" s="11602" t="n"/>
      <c r="AO75" s="5887" t="n"/>
      <c r="AP75" s="11602" t="n"/>
      <c r="AQ75" s="11602" t="n"/>
      <c r="AR75" s="11969" t="n"/>
      <c r="AS75" s="11728" t="n"/>
      <c r="AT75" s="11717" t="n"/>
      <c r="AU75" s="11717" t="n"/>
      <c r="AV75" s="11718" t="n"/>
      <c r="AW75" s="3614" t="n"/>
      <c r="AX75" s="7637" t="n"/>
      <c r="AY75" s="7637" t="n"/>
      <c r="AZ75" s="7638" t="n"/>
      <c r="BA75" s="6450" t="n"/>
      <c r="BB75" s="6450" t="n"/>
      <c r="BC75" s="6450" t="n"/>
    </row>
    <row r="76" ht="22.5" customHeight="1" s="7635">
      <c r="A76" s="1277" t="n"/>
      <c r="B76" s="8650" t="n"/>
      <c r="C76" s="2039" t="inlineStr">
        <is>
          <t>a</t>
        </is>
      </c>
      <c r="D76" s="8439" t="n"/>
      <c r="E76" s="8650" t="n"/>
      <c r="F76" s="5912" t="n"/>
      <c r="G76" s="5912" t="n"/>
      <c r="H76" s="5912" t="n"/>
      <c r="I76" s="5912" t="n"/>
      <c r="J76" s="5912" t="n"/>
      <c r="K76" s="5912" t="n"/>
      <c r="L76" s="5912" t="n"/>
      <c r="M76" s="5912" t="n"/>
      <c r="N76" s="5912" t="n"/>
      <c r="O76" s="5912" t="n"/>
      <c r="P76" s="5912" t="n"/>
      <c r="Q76" s="5912" t="n"/>
      <c r="R76" s="5912" t="n"/>
      <c r="S76" s="5912" t="n"/>
      <c r="T76" s="5912" t="n"/>
      <c r="U76" s="5912" t="n"/>
      <c r="V76" s="5912" t="n"/>
      <c r="W76" s="7914" t="n"/>
      <c r="X76" s="1991" t="n"/>
      <c r="Y76" s="11980" t="n"/>
      <c r="Z76" s="194" t="n"/>
      <c r="AA76" s="194" t="n"/>
      <c r="AB76" s="194" t="n"/>
      <c r="AC76" s="11726" t="n"/>
      <c r="AD76" s="7775" t="n"/>
      <c r="AE76" s="194" t="n"/>
      <c r="AF76" s="194" t="n"/>
      <c r="AG76" s="194" t="n"/>
      <c r="AH76" s="194" t="n"/>
      <c r="AI76" s="1277" t="n"/>
      <c r="AJ76" s="512" t="n"/>
      <c r="AK76" s="5899" t="n"/>
      <c r="AL76" s="11602" t="n"/>
      <c r="AM76" s="851">
        <f>IF(Y76&lt;&gt;"",ROUND(Y76,0),0)</f>
        <v/>
      </c>
      <c r="AN76" s="851">
        <f>IF(AD76&lt;&gt;"",ROUND(AD76,0),0)</f>
        <v/>
      </c>
      <c r="AO76" s="5887" t="n"/>
      <c r="AP76" s="11602" t="n"/>
      <c r="AQ76" s="11602" t="n"/>
      <c r="AR76" s="769" t="n"/>
      <c r="AS76" s="6244" t="n"/>
      <c r="AT76" s="6244" t="n"/>
      <c r="AU76" s="6244" t="n"/>
      <c r="AV76" s="6244" t="n"/>
      <c r="AW76" s="769" t="n"/>
      <c r="AX76" s="769" t="n"/>
      <c r="AY76" s="769" t="n"/>
      <c r="AZ76" s="769" t="n"/>
      <c r="BA76" s="6450" t="n"/>
      <c r="BB76" s="6450" t="n"/>
      <c r="BC76" s="6450" t="n"/>
    </row>
    <row r="77" ht="6.75" customHeight="1" s="7635">
      <c r="A77" s="1277" t="n"/>
      <c r="B77" s="8650" t="n"/>
      <c r="C77" s="8439" t="n"/>
      <c r="D77" s="8439" t="n"/>
      <c r="E77" s="1996" t="n"/>
      <c r="F77" s="1996" t="n"/>
      <c r="G77" s="1996" t="n"/>
      <c r="H77" s="413" t="n"/>
      <c r="I77" s="413" t="n"/>
      <c r="J77" s="413" t="n"/>
      <c r="K77" s="413" t="n"/>
      <c r="L77" s="413" t="n"/>
      <c r="M77" s="413" t="n"/>
      <c r="N77" s="413" t="n"/>
      <c r="O77" s="413" t="n"/>
      <c r="P77" s="413" t="n"/>
      <c r="Q77" s="413" t="n"/>
      <c r="R77" s="413" t="n"/>
      <c r="S77" s="8323" t="n"/>
      <c r="T77" s="5905" t="n"/>
      <c r="U77" s="4156" t="n"/>
      <c r="V77" s="413" t="n"/>
      <c r="W77" s="9794" t="n"/>
      <c r="X77" s="5907" t="n"/>
      <c r="Y77" s="412" t="n"/>
      <c r="Z77" s="413" t="n"/>
      <c r="AA77" s="413" t="n"/>
      <c r="AB77" s="413" t="n"/>
      <c r="AC77" s="414" t="n"/>
      <c r="AD77" s="412" t="n"/>
      <c r="AE77" s="413" t="n"/>
      <c r="AF77" s="413" t="n"/>
      <c r="AG77" s="413" t="n"/>
      <c r="AH77" s="413" t="n"/>
      <c r="AI77" s="1277" t="n"/>
      <c r="AJ77" s="512" t="n"/>
      <c r="AK77" s="5899" t="n"/>
      <c r="AL77" s="11602" t="n"/>
      <c r="AM77" s="11602" t="n"/>
      <c r="AN77" s="11602" t="n"/>
      <c r="AO77" s="5887" t="n"/>
      <c r="AP77" s="11602" t="n"/>
      <c r="AQ77" s="11602" t="n"/>
      <c r="AR77" s="769" t="n"/>
      <c r="AS77" s="769" t="n"/>
      <c r="AT77" s="769" t="n"/>
      <c r="AU77" s="769" t="n"/>
      <c r="AV77" s="769" t="n"/>
      <c r="AW77" s="769" t="n"/>
      <c r="AX77" s="769" t="n"/>
      <c r="AY77" s="769" t="n"/>
      <c r="AZ77" s="769" t="n"/>
      <c r="BA77" s="6450" t="n"/>
      <c r="BB77" s="6450" t="n"/>
      <c r="BC77" s="6450" t="n"/>
    </row>
    <row r="78" ht="6.75" customHeight="1" s="7635">
      <c r="A78" s="1277" t="n"/>
      <c r="B78" s="8650" t="n"/>
      <c r="C78" s="8439" t="n"/>
      <c r="D78" s="8439" t="n"/>
      <c r="E78" s="8650" t="n"/>
      <c r="F78" s="8650" t="n"/>
      <c r="G78" s="8650" t="n"/>
      <c r="H78" s="11602" t="n"/>
      <c r="I78" s="11602" t="n"/>
      <c r="J78" s="11602" t="n"/>
      <c r="K78" s="11602" t="n"/>
      <c r="L78" s="11602" t="n"/>
      <c r="M78" s="11602" t="n"/>
      <c r="N78" s="11602" t="n"/>
      <c r="O78" s="11602" t="n"/>
      <c r="P78" s="11602" t="n"/>
      <c r="Q78" s="11602" t="n"/>
      <c r="R78" s="11602" t="n"/>
      <c r="S78" s="1401" t="n"/>
      <c r="T78" s="1218" t="n"/>
      <c r="U78" s="2373" t="n"/>
      <c r="V78" s="11602" t="n"/>
      <c r="W78" s="7914" t="n"/>
      <c r="X78" s="1991" t="n"/>
      <c r="Y78" s="408" t="n"/>
      <c r="Z78" s="11602" t="n"/>
      <c r="AA78" s="11602" t="n"/>
      <c r="AB78" s="11602" t="n"/>
      <c r="AC78" s="409" t="n"/>
      <c r="AD78" s="408" t="n"/>
      <c r="AE78" s="11602" t="n"/>
      <c r="AF78" s="11602" t="n"/>
      <c r="AG78" s="11602" t="n"/>
      <c r="AH78" s="11602" t="n"/>
      <c r="AI78" s="1277" t="n"/>
      <c r="AJ78" s="512" t="n"/>
      <c r="AK78" s="5899" t="n"/>
      <c r="AL78" s="11602" t="n"/>
      <c r="AM78" s="11602" t="n"/>
      <c r="AN78" s="11602" t="n"/>
      <c r="AO78" s="5887" t="n"/>
      <c r="AP78" s="11602" t="n"/>
      <c r="AQ78" s="11602" t="n"/>
      <c r="AR78" s="769" t="n"/>
      <c r="AS78" s="769" t="n"/>
      <c r="AT78" s="769" t="n"/>
      <c r="AU78" s="769" t="n"/>
      <c r="AV78" s="769" t="n"/>
      <c r="AW78" s="769" t="n"/>
      <c r="AX78" s="769" t="n"/>
      <c r="AY78" s="769" t="n"/>
      <c r="AZ78" s="769" t="n"/>
      <c r="BA78" s="6450" t="n"/>
      <c r="BB78" s="6450" t="n"/>
      <c r="BC78" s="6450" t="n"/>
    </row>
    <row r="79" ht="21.75" customHeight="1" s="7635">
      <c r="A79" s="1277" t="n"/>
      <c r="B79" s="8650" t="n"/>
      <c r="C79" s="2039" t="inlineStr">
        <is>
          <t>b</t>
        </is>
      </c>
      <c r="D79" s="8439" t="n"/>
      <c r="E79" s="8650" t="n"/>
      <c r="F79" s="5912" t="n"/>
      <c r="G79" s="5912" t="n"/>
      <c r="H79" s="5912" t="n"/>
      <c r="I79" s="5912" t="n"/>
      <c r="J79" s="5912" t="n"/>
      <c r="K79" s="5912" t="n"/>
      <c r="L79" s="5912" t="n"/>
      <c r="M79" s="5912" t="n"/>
      <c r="N79" s="5912" t="n"/>
      <c r="O79" s="5912" t="n"/>
      <c r="P79" s="5912" t="n"/>
      <c r="Q79" s="5912" t="n"/>
      <c r="R79" s="5912" t="n"/>
      <c r="S79" s="5912" t="n"/>
      <c r="T79" s="5912" t="n"/>
      <c r="U79" s="5912" t="n"/>
      <c r="V79" s="5912" t="n"/>
      <c r="W79" s="7914" t="n"/>
      <c r="X79" s="1991" t="n"/>
      <c r="Y79" s="11980" t="n"/>
      <c r="Z79" s="194" t="n"/>
      <c r="AA79" s="194" t="n"/>
      <c r="AB79" s="194" t="n"/>
      <c r="AC79" s="11726" t="n"/>
      <c r="AD79" s="7775" t="n"/>
      <c r="AE79" s="194" t="n"/>
      <c r="AF79" s="194" t="n"/>
      <c r="AG79" s="194" t="n"/>
      <c r="AH79" s="194" t="n"/>
      <c r="AI79" s="1277" t="n"/>
      <c r="AJ79" s="512">
        <f>AND(Y76="",AD76="",Y79="",AD79="")</f>
        <v/>
      </c>
      <c r="AK79" s="5899" t="n"/>
      <c r="AL79" s="11602" t="n"/>
      <c r="AM79" s="851">
        <f>IF(Y79&lt;&gt;"",ROUND(Y79,0),0)</f>
        <v/>
      </c>
      <c r="AN79" s="851">
        <f>IF(AD79&lt;&gt;"",ROUND(AD79,0),0)</f>
        <v/>
      </c>
      <c r="AO79" s="5887" t="n"/>
      <c r="AP79" s="11602" t="n"/>
      <c r="AQ79" s="11602" t="n"/>
      <c r="AR79" s="769" t="n"/>
      <c r="AS79" s="769" t="n"/>
      <c r="AT79" s="769" t="n"/>
      <c r="AU79" s="769" t="n"/>
      <c r="AV79" s="769" t="n"/>
      <c r="AW79" s="769" t="n"/>
      <c r="AX79" s="769" t="n"/>
      <c r="AY79" s="769" t="n"/>
      <c r="AZ79" s="769" t="n"/>
      <c r="BA79" s="6450" t="n"/>
      <c r="BB79" s="6450" t="n"/>
      <c r="BC79" s="6450" t="n"/>
    </row>
    <row r="80" ht="6.75" customHeight="1" s="7635">
      <c r="A80" s="1277" t="n"/>
      <c r="B80" s="8650" t="n"/>
      <c r="C80" s="8439" t="n"/>
      <c r="D80" s="8439" t="n"/>
      <c r="E80" s="1996" t="n"/>
      <c r="F80" s="1996" t="n"/>
      <c r="G80" s="1996" t="n"/>
      <c r="H80" s="413" t="n"/>
      <c r="I80" s="413" t="n"/>
      <c r="J80" s="413" t="n"/>
      <c r="K80" s="413" t="n"/>
      <c r="L80" s="413" t="n"/>
      <c r="M80" s="413" t="n"/>
      <c r="N80" s="413" t="n"/>
      <c r="O80" s="413" t="n"/>
      <c r="P80" s="413" t="n"/>
      <c r="Q80" s="413" t="n"/>
      <c r="R80" s="413" t="n"/>
      <c r="S80" s="8323" t="n"/>
      <c r="T80" s="5905" t="n"/>
      <c r="U80" s="4156" t="n"/>
      <c r="V80" s="413" t="n"/>
      <c r="W80" s="9794" t="n"/>
      <c r="X80" s="5907" t="n"/>
      <c r="Y80" s="412" t="n"/>
      <c r="Z80" s="413" t="n"/>
      <c r="AA80" s="413" t="n"/>
      <c r="AB80" s="413" t="n"/>
      <c r="AC80" s="414" t="n"/>
      <c r="AD80" s="412" t="n"/>
      <c r="AE80" s="413" t="n"/>
      <c r="AF80" s="413" t="n"/>
      <c r="AG80" s="413" t="n"/>
      <c r="AH80" s="413" t="n"/>
      <c r="AI80" s="1277" t="n"/>
      <c r="AJ80" s="512" t="n"/>
      <c r="AK80" s="5899" t="n"/>
      <c r="AL80" s="11602" t="n"/>
      <c r="AM80" s="11602" t="n"/>
      <c r="AN80" s="11602" t="n"/>
      <c r="AO80" s="5887" t="n"/>
      <c r="AP80" s="11602" t="n"/>
      <c r="AQ80" s="11602" t="n"/>
      <c r="AR80" s="769" t="n"/>
      <c r="AS80" s="769" t="n"/>
      <c r="AT80" s="769" t="n"/>
      <c r="AU80" s="769" t="n"/>
      <c r="AV80" s="769" t="n"/>
      <c r="AW80" s="769" t="n"/>
      <c r="AX80" s="769" t="n"/>
      <c r="AY80" s="769" t="n"/>
      <c r="AZ80" s="769" t="n"/>
      <c r="BA80" s="6450" t="n"/>
      <c r="BB80" s="6450" t="n"/>
      <c r="BC80" s="6450" t="n"/>
    </row>
    <row r="81" ht="16.5" customHeight="1" s="7635">
      <c r="A81" s="1277" t="n"/>
      <c r="B81" s="8650" t="n"/>
      <c r="C81" s="8439" t="n">
        <v>23</v>
      </c>
      <c r="D81" s="8439" t="n"/>
      <c r="E81" s="5995" t="inlineStr">
        <is>
          <t>Add lines 22a and 22b, column (iii)</t>
        </is>
      </c>
      <c r="F81" s="8650" t="n"/>
      <c r="G81" s="8650" t="n"/>
      <c r="H81" s="11602" t="n"/>
      <c r="I81" s="11602" t="n"/>
      <c r="J81" s="11602" t="n"/>
      <c r="K81" s="11602" t="n"/>
      <c r="L81" s="11602" t="n"/>
      <c r="M81" s="11602" t="n"/>
      <c r="N81" s="11602" t="n"/>
      <c r="O81" s="11602" t="n"/>
      <c r="P81" s="11602" t="n"/>
      <c r="Q81" s="11602" t="n"/>
      <c r="R81" s="11602" t="n"/>
      <c r="S81" s="1401" t="n"/>
      <c r="T81" s="1218" t="n"/>
      <c r="U81" s="2373" t="n"/>
      <c r="V81" s="11602" t="n"/>
      <c r="W81" s="7914" t="n"/>
      <c r="X81" s="11602" t="n"/>
      <c r="Y81" s="11602" t="n"/>
      <c r="Z81" s="11602" t="n"/>
      <c r="AA81" s="11602" t="n"/>
      <c r="AB81" s="1657" t="inlineStr">
        <is>
          <t xml:space="preserve">.   .   .   .   .   .   .   .   .   .   .   .   .   .   .   .   .   .   .   .   .   .   .   .   .   .  </t>
        </is>
      </c>
      <c r="AC81" s="10008" t="n">
        <v>23</v>
      </c>
      <c r="AD81" s="7631">
        <f>IF(AK81&lt;&gt;"",ROUND(AK81,0),IF($AJ$79,"",SUM(AM76,AN76,AM79,AN79)))</f>
        <v/>
      </c>
      <c r="AE81" s="8412" t="n"/>
      <c r="AF81" s="8412" t="n"/>
      <c r="AG81" s="8412" t="n"/>
      <c r="AH81" s="8412" t="n"/>
      <c r="AI81" s="1277" t="n"/>
      <c r="AJ81" s="512" t="n"/>
      <c r="AK81" s="1329" t="n"/>
      <c r="AL81" s="11602" t="n"/>
      <c r="AM81" s="11602" t="n"/>
      <c r="AN81" s="11602" t="n"/>
      <c r="AO81" s="5887" t="n"/>
      <c r="AP81" s="11602" t="n"/>
      <c r="AQ81" s="11602" t="n"/>
      <c r="AR81" s="769" t="n"/>
      <c r="AS81" s="769" t="n"/>
      <c r="AT81" s="769" t="n"/>
      <c r="AU81" s="769" t="n"/>
      <c r="AV81" s="769" t="n"/>
      <c r="AW81" s="769" t="n"/>
      <c r="AX81" s="769" t="n"/>
      <c r="AY81" s="769" t="n"/>
      <c r="AZ81" s="769" t="n"/>
      <c r="BA81" s="6450" t="n"/>
      <c r="BB81" s="6450" t="n"/>
      <c r="BC81" s="6450" t="n"/>
    </row>
    <row r="82" ht="16.5" customHeight="1" s="7635">
      <c r="A82" s="1277" t="n"/>
      <c r="B82" s="8650" t="n"/>
      <c r="C82" s="8439" t="n">
        <v>24</v>
      </c>
      <c r="D82" s="8439" t="n"/>
      <c r="E82" s="5995">
        <f>"Enter the smaller of the amount on line 23 or "&amp;TEXT($AN$82,"$0,000")</f>
        <v/>
      </c>
      <c r="F82" s="8650" t="n"/>
      <c r="G82" s="8650" t="n"/>
      <c r="H82" s="11602" t="n"/>
      <c r="I82" s="11602" t="n"/>
      <c r="J82" s="11602" t="n"/>
      <c r="K82" s="11602" t="n"/>
      <c r="L82" s="11602" t="n"/>
      <c r="M82" s="11602" t="n"/>
      <c r="N82" s="11602" t="n"/>
      <c r="O82" s="11602" t="n"/>
      <c r="P82" s="11602" t="n"/>
      <c r="Q82" s="11602" t="n"/>
      <c r="R82" s="11602" t="n"/>
      <c r="S82" s="1401" t="n"/>
      <c r="T82" s="1218" t="n"/>
      <c r="U82" s="2373" t="n"/>
      <c r="V82" s="11602" t="n"/>
      <c r="W82" s="7914" t="n"/>
      <c r="X82" s="11602" t="n"/>
      <c r="Y82" s="11602" t="n"/>
      <c r="Z82" s="11602" t="n"/>
      <c r="AA82" s="11602" t="n"/>
      <c r="AB82" s="1657" t="inlineStr">
        <is>
          <t xml:space="preserve">.   .   .   .   .   .   .   .   .   .   .   .   .   .   .   .   .   .   .   .   .   .  </t>
        </is>
      </c>
      <c r="AC82" s="10008" t="n">
        <v>24</v>
      </c>
      <c r="AD82" s="7631">
        <f>IF($AJ$79,"",MIN(AD81,AN82))</f>
        <v/>
      </c>
      <c r="AE82" s="8412" t="n"/>
      <c r="AF82" s="8412" t="n"/>
      <c r="AG82" s="8412" t="n"/>
      <c r="AH82" s="8412" t="n"/>
      <c r="AI82" s="1277" t="n"/>
      <c r="AJ82" s="512" t="n"/>
      <c r="AK82" s="2875" t="n"/>
      <c r="AL82" s="11602" t="n"/>
      <c r="AM82" s="11602" t="n"/>
      <c r="AN82" s="851" t="n">
        <v>10000</v>
      </c>
      <c r="AO82" s="5887" t="n"/>
      <c r="AP82" s="11602" t="n"/>
      <c r="AQ82" s="11602" t="n"/>
      <c r="AR82" s="769" t="n"/>
      <c r="AS82" s="769" t="n"/>
      <c r="AT82" s="769" t="n"/>
      <c r="AU82" s="769" t="n"/>
      <c r="AV82" s="769" t="n"/>
      <c r="AW82" s="769" t="n"/>
      <c r="AX82" s="769" t="n"/>
      <c r="AY82" s="769" t="n"/>
      <c r="AZ82" s="769" t="n"/>
      <c r="BA82" s="6450" t="n"/>
      <c r="BB82" s="6450" t="n"/>
      <c r="BC82" s="6450" t="n"/>
    </row>
    <row r="83" ht="16.5" customHeight="1" s="7635">
      <c r="A83" s="1277" t="n"/>
      <c r="B83" s="8650" t="n"/>
      <c r="C83" s="8439" t="n">
        <v>25</v>
      </c>
      <c r="D83" s="8439" t="n"/>
      <c r="E83" s="5995" t="inlineStr">
        <is>
          <t>Enter the amount from line 3</t>
        </is>
      </c>
      <c r="F83" s="8650" t="n"/>
      <c r="G83" s="8650" t="n"/>
      <c r="H83" s="11602" t="n"/>
      <c r="I83" s="11602" t="n"/>
      <c r="J83" s="11602" t="n"/>
      <c r="K83" s="11602" t="n"/>
      <c r="L83" s="11602" t="n"/>
      <c r="M83" s="11602" t="n"/>
      <c r="N83" s="11602" t="n"/>
      <c r="O83" s="11602" t="n"/>
      <c r="P83" s="11602" t="n"/>
      <c r="Q83" s="11602" t="n"/>
      <c r="R83" s="11602" t="n"/>
      <c r="S83" s="1401" t="n"/>
      <c r="T83" s="1218" t="n"/>
      <c r="U83" s="2373" t="n"/>
      <c r="V83" s="11602" t="n"/>
      <c r="W83" s="7914" t="n"/>
      <c r="X83" s="11602" t="n"/>
      <c r="Y83" s="11602" t="n"/>
      <c r="Z83" s="11602" t="n"/>
      <c r="AA83" s="11602" t="n"/>
      <c r="AB83" s="1657" t="inlineStr">
        <is>
          <t xml:space="preserve">.   .   .   .   .   .   .   .   .   .   .   .   .   .   .   .   .   .   .   .   .   .   .   .   .   .  </t>
        </is>
      </c>
      <c r="AC83" s="10008" t="n">
        <v>25</v>
      </c>
      <c r="AD83" s="7631">
        <f>IF($AJ$79,"",$AD$17)</f>
        <v/>
      </c>
      <c r="AE83" s="8412" t="n"/>
      <c r="AF83" s="8412" t="n"/>
      <c r="AG83" s="8412" t="n"/>
      <c r="AH83" s="8412" t="n"/>
      <c r="AI83" s="1277" t="n"/>
      <c r="AJ83" s="512" t="n"/>
      <c r="AK83" s="2875" t="n"/>
      <c r="AL83" s="11602" t="n"/>
      <c r="AM83" s="11602" t="n"/>
      <c r="AN83" s="851" t="n">
        <v>100000</v>
      </c>
      <c r="AO83" s="5887" t="n"/>
      <c r="AP83" s="11602" t="n"/>
      <c r="AQ83" s="11602" t="n"/>
      <c r="AR83" s="769" t="n"/>
      <c r="AS83" s="769" t="n"/>
      <c r="AT83" s="769" t="n"/>
      <c r="AU83" s="769" t="n"/>
      <c r="AV83" s="769" t="n"/>
      <c r="AW83" s="769" t="n"/>
      <c r="AX83" s="769" t="n"/>
      <c r="AY83" s="769" t="n"/>
      <c r="AZ83" s="769" t="n"/>
      <c r="BA83" s="6450" t="n"/>
      <c r="BB83" s="6450" t="n"/>
      <c r="BC83" s="6450" t="n"/>
    </row>
    <row r="84" ht="16.5" customHeight="1" s="7635">
      <c r="A84" s="1277" t="n"/>
      <c r="B84" s="8650" t="n"/>
      <c r="C84" s="8439" t="n">
        <v>26</v>
      </c>
      <c r="D84" s="8439" t="n"/>
      <c r="E84" s="5995">
        <f>"Enter "&amp;TEXT(AN83,"$0,000")&amp;" ("&amp;TEXT(AN84,"$0,000")&amp;" if married filing jointly)"</f>
        <v/>
      </c>
      <c r="F84" s="8650" t="n"/>
      <c r="G84" s="8650" t="n"/>
      <c r="H84" s="11602" t="n"/>
      <c r="I84" s="11602" t="n"/>
      <c r="J84" s="11602" t="n"/>
      <c r="K84" s="11602" t="n"/>
      <c r="L84" s="11602" t="n"/>
      <c r="M84" s="11602" t="n"/>
      <c r="N84" s="11602" t="n"/>
      <c r="O84" s="11602" t="n"/>
      <c r="P84" s="11602" t="n"/>
      <c r="Q84" s="11602" t="n"/>
      <c r="R84" s="11602" t="n"/>
      <c r="S84" s="1401" t="n"/>
      <c r="T84" s="1218" t="n"/>
      <c r="U84" s="2373" t="n"/>
      <c r="V84" s="11602" t="n"/>
      <c r="W84" s="7914" t="n"/>
      <c r="X84" s="11602" t="n"/>
      <c r="Y84" s="11602" t="n"/>
      <c r="Z84" s="11602" t="n"/>
      <c r="AA84" s="11602" t="n"/>
      <c r="AB84" s="1657" t="inlineStr">
        <is>
          <t xml:space="preserve">.   .   .   .   .   .   .   .   .   .   .   .   .   .   .   .   .   .   .   .   .   .   .   .  </t>
        </is>
      </c>
      <c r="AC84" s="10008" t="n">
        <v>26</v>
      </c>
      <c r="AD84" s="7631">
        <f>IF($AJ$79,"",AO84)</f>
        <v/>
      </c>
      <c r="AE84" s="8412" t="n"/>
      <c r="AF84" s="8412" t="n"/>
      <c r="AG84" s="8412" t="n"/>
      <c r="AH84" s="8412" t="n"/>
      <c r="AI84" s="1277" t="n"/>
      <c r="AJ84" s="512" t="n"/>
      <c r="AK84" s="2875" t="n"/>
      <c r="AL84" s="11602" t="n"/>
      <c r="AM84" s="11602" t="n"/>
      <c r="AN84" s="851" t="n">
        <v>200000</v>
      </c>
      <c r="AO84" s="851">
        <f>IF(File_Marr_Joint&lt;&gt;"",AN84,AN83)</f>
        <v/>
      </c>
      <c r="AP84" s="11602" t="n"/>
      <c r="AQ84" s="11602" t="n"/>
      <c r="AR84" s="769" t="n"/>
      <c r="AS84" s="769" t="n"/>
      <c r="AT84" s="769" t="n"/>
      <c r="AU84" s="769" t="n"/>
      <c r="AV84" s="769" t="n"/>
      <c r="AW84" s="769" t="n"/>
      <c r="AX84" s="769" t="n"/>
      <c r="AY84" s="769" t="n"/>
      <c r="AZ84" s="769" t="n"/>
      <c r="BA84" s="6450" t="n"/>
      <c r="BB84" s="6450" t="n"/>
      <c r="BC84" s="6450" t="n"/>
    </row>
    <row r="85" ht="16.5" customHeight="1" s="7635">
      <c r="A85" s="1277" t="n"/>
      <c r="B85" s="8650" t="n"/>
      <c r="C85" s="8439" t="n">
        <v>27</v>
      </c>
      <c r="D85" s="8439" t="n"/>
      <c r="E85" s="5995" t="inlineStr">
        <is>
          <t>Subtract line 26 from line 25. If zero or less, enter the amount from line 24 on line 30</t>
        </is>
      </c>
      <c r="F85" s="8650" t="n"/>
      <c r="G85" s="8650" t="n"/>
      <c r="H85" s="11602" t="n"/>
      <c r="I85" s="11602" t="n"/>
      <c r="J85" s="11602" t="n"/>
      <c r="K85" s="11602" t="n"/>
      <c r="L85" s="11602" t="n"/>
      <c r="M85" s="11602" t="n"/>
      <c r="N85" s="11602" t="n"/>
      <c r="O85" s="11602" t="n"/>
      <c r="P85" s="11602" t="n"/>
      <c r="Q85" s="11602" t="n"/>
      <c r="R85" s="11602" t="n"/>
      <c r="S85" s="1401" t="n"/>
      <c r="T85" s="1218" t="n"/>
      <c r="U85" s="2373" t="n"/>
      <c r="V85" s="11602" t="n"/>
      <c r="W85" s="7914" t="n"/>
      <c r="X85" s="11602" t="n"/>
      <c r="Y85" s="11602" t="n"/>
      <c r="Z85" s="11602" t="n"/>
      <c r="AA85" s="11602" t="n"/>
      <c r="AB85" s="1657" t="inlineStr">
        <is>
          <t xml:space="preserve"> .   .   .   .   .   .   .   .   .   .  </t>
        </is>
      </c>
      <c r="AC85" s="10008" t="n">
        <v>27</v>
      </c>
      <c r="AD85" s="7631">
        <f>IF($AJ$79,"",SUM(AD83,-AD84))</f>
        <v/>
      </c>
      <c r="AE85" s="8412" t="n"/>
      <c r="AF85" s="8412" t="n"/>
      <c r="AG85" s="8412" t="n"/>
      <c r="AH85" s="8412" t="n"/>
      <c r="AI85" s="1277" t="n"/>
      <c r="AJ85" s="512">
        <f>AD85&lt;=0</f>
        <v/>
      </c>
      <c r="AK85" s="2875" t="n"/>
      <c r="AL85" s="11602" t="n"/>
      <c r="AM85" s="11602" t="n"/>
      <c r="AN85" s="11602" t="n"/>
      <c r="AO85" s="5887" t="n"/>
      <c r="AP85" s="11602" t="n"/>
      <c r="AQ85" s="11602" t="n"/>
      <c r="AR85" s="769" t="n"/>
      <c r="AS85" s="769" t="n"/>
      <c r="AT85" s="769" t="n"/>
      <c r="AU85" s="769" t="n"/>
      <c r="AV85" s="769" t="n"/>
      <c r="AW85" s="769" t="n"/>
      <c r="AX85" s="769" t="n"/>
      <c r="AY85" s="769" t="n"/>
      <c r="AZ85" s="769" t="n"/>
      <c r="BA85" s="6450" t="n"/>
      <c r="BB85" s="6450" t="n"/>
      <c r="BC85" s="6450" t="n"/>
    </row>
    <row r="86" ht="15.75" customHeight="1" s="7635">
      <c r="A86" s="1277" t="n"/>
      <c r="B86" s="8650" t="n"/>
      <c r="C86" s="8439" t="n">
        <v>28</v>
      </c>
      <c r="D86" s="8439" t="n"/>
      <c r="E86" s="5995">
        <f>"Divide line 27 by "&amp;TEXT($AN$44,"$0,000")&amp;". If the resulting number isn’t a whole number, increase the result to the next"</f>
        <v/>
      </c>
      <c r="F86" s="8650" t="n"/>
      <c r="G86" s="8650" t="n"/>
      <c r="H86" s="1401" t="n"/>
      <c r="I86" s="344" t="n"/>
      <c r="J86" s="11602" t="n"/>
      <c r="K86" s="11602" t="n"/>
      <c r="L86" s="11602" t="n"/>
      <c r="M86" s="11602" t="n"/>
      <c r="N86" s="2373" t="n"/>
      <c r="O86" s="2373" t="n"/>
      <c r="P86" s="2373" t="n"/>
      <c r="Q86" s="2373" t="n"/>
      <c r="R86" s="2373" t="n"/>
      <c r="S86" s="11602" t="n"/>
      <c r="T86" s="1218" t="n"/>
      <c r="U86" s="2373" t="n"/>
      <c r="V86" s="2373" t="n"/>
      <c r="W86" s="2373" t="n"/>
      <c r="X86" s="2373" t="n"/>
      <c r="Y86" s="2373" t="n"/>
      <c r="Z86" s="11602" t="n"/>
      <c r="AA86" s="11602" t="n"/>
      <c r="AB86" s="11602" t="n"/>
      <c r="AC86" s="2890" t="n"/>
      <c r="AD86" s="11602" t="n"/>
      <c r="AE86" s="11602" t="n"/>
      <c r="AF86" s="11602" t="n"/>
      <c r="AG86" s="11602" t="n"/>
      <c r="AH86" s="11602" t="n"/>
      <c r="AI86" s="1277" t="n"/>
      <c r="AJ86" s="3875">
        <f>IF(AO73,"See TIP. &gt;&gt;","")</f>
        <v/>
      </c>
      <c r="AK86" s="5899" t="n"/>
      <c r="AL86" s="11602" t="n"/>
      <c r="AM86" s="11602" t="n"/>
      <c r="AN86" s="11602" t="n"/>
      <c r="AO86" s="5887" t="n"/>
      <c r="AP86" s="11602" t="n"/>
      <c r="AQ86" s="11602" t="n"/>
      <c r="AR86" s="769" t="n"/>
      <c r="AS86" s="769" t="n"/>
      <c r="AT86" s="769" t="n"/>
      <c r="AU86" s="769" t="n"/>
      <c r="AV86" s="769" t="n"/>
      <c r="AW86" s="769" t="n"/>
      <c r="AX86" s="769" t="n"/>
      <c r="AY86" s="769" t="n"/>
      <c r="AZ86" s="769" t="n"/>
      <c r="BA86" s="6450" t="n"/>
      <c r="BB86" s="6450" t="n"/>
      <c r="BC86" s="6450" t="n"/>
    </row>
    <row r="87" ht="15.75" customHeight="1" s="7635">
      <c r="A87" s="1277" t="n"/>
      <c r="B87" s="8650" t="n"/>
      <c r="C87" s="2039" t="n"/>
      <c r="D87" s="2039" t="n"/>
      <c r="E87" s="5995" t="inlineStr">
        <is>
          <t>higher whole number. (For example, increase 1.5 to 2, and increase 0.05 to 1.)</t>
        </is>
      </c>
      <c r="F87" s="8650" t="n"/>
      <c r="G87" s="8650" t="n"/>
      <c r="H87" s="1401" t="n"/>
      <c r="I87" s="344" t="n"/>
      <c r="J87" s="11602" t="n"/>
      <c r="K87" s="11602" t="n"/>
      <c r="L87" s="11602" t="n"/>
      <c r="M87" s="11602" t="n"/>
      <c r="N87" s="11602" t="n"/>
      <c r="O87" s="11602" t="n"/>
      <c r="P87" s="11602" t="n"/>
      <c r="Q87" s="11602" t="n"/>
      <c r="R87" s="11602" t="n"/>
      <c r="S87" s="11602" t="n"/>
      <c r="T87" s="1218" t="n"/>
      <c r="U87" s="2373" t="n"/>
      <c r="V87" s="1401" t="n"/>
      <c r="W87" s="1401" t="n"/>
      <c r="X87" s="1401" t="n"/>
      <c r="Y87" s="1401" t="n"/>
      <c r="Z87" s="11602" t="n"/>
      <c r="AA87" s="11602" t="n"/>
      <c r="AB87" s="1657" t="inlineStr">
        <is>
          <t xml:space="preserve"> .   .   .   .   .   .   .   .   .   .  </t>
        </is>
      </c>
      <c r="AC87" s="8389" t="n">
        <v>28</v>
      </c>
      <c r="AD87" s="7608">
        <f>IF(OR($AJ$79,AJ85),"",ROUNDUP(AD85/AN44,0))</f>
        <v/>
      </c>
      <c r="AE87" s="7637" t="n"/>
      <c r="AF87" s="7637" t="n"/>
      <c r="AG87" s="7637" t="n"/>
      <c r="AH87" s="7637" t="n"/>
      <c r="AI87" s="1277" t="n"/>
      <c r="AJ87" s="9253" t="n"/>
      <c r="AK87" s="2875" t="n"/>
      <c r="AL87" s="11602" t="n"/>
      <c r="AM87" s="11602" t="n"/>
      <c r="AN87" s="11602" t="n"/>
      <c r="AO87" s="5887" t="n"/>
      <c r="AP87" s="11602" t="n"/>
      <c r="AQ87" s="11602" t="n"/>
      <c r="AR87" s="769" t="n"/>
      <c r="AS87" s="769" t="n"/>
      <c r="AT87" s="769" t="n"/>
      <c r="AU87" s="769" t="n"/>
      <c r="AV87" s="769" t="n"/>
      <c r="AW87" s="769" t="n"/>
      <c r="AX87" s="769" t="n"/>
      <c r="AY87" s="769" t="n"/>
      <c r="AZ87" s="769" t="n"/>
      <c r="BA87" s="6450" t="n"/>
      <c r="BB87" s="6450" t="n"/>
      <c r="BC87" s="6450" t="n"/>
    </row>
    <row r="88" ht="15.75" customHeight="1" s="7635">
      <c r="A88" s="1277" t="n"/>
      <c r="B88" s="8650" t="n"/>
      <c r="C88" s="10886" t="n">
        <v>29</v>
      </c>
      <c r="D88" s="8439" t="n"/>
      <c r="E88" s="5995">
        <f>"Multiply line 28 by "&amp;TEXT(AN88,"$0")</f>
        <v/>
      </c>
      <c r="F88" s="8650" t="n"/>
      <c r="G88" s="8650" t="n"/>
      <c r="H88" s="1401" t="n"/>
      <c r="I88" s="344" t="n"/>
      <c r="J88" s="11602" t="n"/>
      <c r="K88" s="11602" t="n"/>
      <c r="L88" s="11602" t="n"/>
      <c r="M88" s="11602" t="n"/>
      <c r="N88" s="11602" t="n"/>
      <c r="O88" s="11602" t="n"/>
      <c r="P88" s="11602" t="n"/>
      <c r="Q88" s="11602" t="n"/>
      <c r="R88" s="11602" t="n"/>
      <c r="S88" s="11602" t="n"/>
      <c r="T88" s="1218" t="n"/>
      <c r="U88" s="2373" t="n"/>
      <c r="V88" s="11602" t="n"/>
      <c r="W88" s="7914" t="n"/>
      <c r="X88" s="1991" t="n"/>
      <c r="Y88" s="11602" t="n"/>
      <c r="Z88" s="11602" t="n"/>
      <c r="AA88" s="11602" t="n"/>
      <c r="AB88" s="1657" t="inlineStr">
        <is>
          <t xml:space="preserve">.   .   .   .   .   .   .   .   .   .   .   .   .   .   .   .   .   .   .   .   .   .   .   .   .   .   .   .   .   .   .   .   .   .   .  </t>
        </is>
      </c>
      <c r="AC88" s="10008" t="n">
        <v>29</v>
      </c>
      <c r="AD88" s="7608">
        <f>IF(OR($AJ$79,AJ85),"",ROUND(AD87*AN88,0))</f>
        <v/>
      </c>
      <c r="AE88" s="7637" t="n"/>
      <c r="AF88" s="7637" t="n"/>
      <c r="AG88" s="7637" t="n"/>
      <c r="AH88" s="7637" t="n"/>
      <c r="AI88" s="1277" t="n"/>
      <c r="AJ88" s="9253" t="n"/>
      <c r="AK88" s="2875" t="n"/>
      <c r="AL88" s="11602" t="n"/>
      <c r="AM88" s="11602" t="n"/>
      <c r="AN88" s="11602" t="n">
        <v>200</v>
      </c>
      <c r="AO88" s="5887" t="n"/>
      <c r="AP88" s="11602" t="n"/>
      <c r="AQ88" s="11602" t="n"/>
      <c r="AR88" s="769" t="n"/>
      <c r="AS88" s="769" t="n"/>
      <c r="AT88" s="769" t="n"/>
      <c r="AU88" s="769" t="n"/>
      <c r="AV88" s="769" t="n"/>
      <c r="AW88" s="769" t="n"/>
      <c r="AX88" s="769" t="n"/>
      <c r="AY88" s="769" t="n"/>
      <c r="AZ88" s="769" t="n"/>
      <c r="BA88" s="6450" t="n"/>
      <c r="BB88" s="6450" t="n"/>
      <c r="BC88" s="6450" t="n"/>
    </row>
    <row r="89" ht="16.5" customHeight="1" s="7635">
      <c r="A89" s="1277" t="n"/>
      <c r="B89" s="1996" t="n"/>
      <c r="C89" s="8595" t="n">
        <v>30</v>
      </c>
      <c r="D89" s="8595" t="n"/>
      <c r="E89" s="5996" t="inlineStr">
        <is>
          <t>Qualified car loan interest deduction. Subtract line 29 from line 24. If zero or less, enter -0-</t>
        </is>
      </c>
      <c r="F89" s="1996" t="n"/>
      <c r="G89" s="1996" t="n"/>
      <c r="H89" s="413" t="n"/>
      <c r="I89" s="413" t="n"/>
      <c r="J89" s="413" t="n"/>
      <c r="K89" s="413" t="n"/>
      <c r="L89" s="413" t="n"/>
      <c r="M89" s="413" t="n"/>
      <c r="N89" s="413" t="n"/>
      <c r="O89" s="413" t="n"/>
      <c r="P89" s="413" t="n"/>
      <c r="Q89" s="413" t="n"/>
      <c r="R89" s="413" t="n"/>
      <c r="S89" s="8323" t="n"/>
      <c r="T89" s="5905" t="n"/>
      <c r="U89" s="4156" t="n"/>
      <c r="V89" s="413" t="n"/>
      <c r="W89" s="9794" t="n"/>
      <c r="X89" s="5907" t="n"/>
      <c r="Y89" s="5907" t="n"/>
      <c r="Z89" s="5907" t="n"/>
      <c r="AA89" s="5907" t="n"/>
      <c r="AB89" s="8324" t="inlineStr">
        <is>
          <t xml:space="preserve">.   .   .   .   .   .   .  </t>
        </is>
      </c>
      <c r="AC89" s="10008" t="n">
        <v>30</v>
      </c>
      <c r="AD89" s="7608">
        <f>IF($AJ$79,"",IF(AJ85,AD82,MAX(0,SUM(AD82,-AD88))))</f>
        <v/>
      </c>
      <c r="AE89" s="7637" t="n"/>
      <c r="AF89" s="7637" t="n"/>
      <c r="AG89" s="7637" t="n"/>
      <c r="AH89" s="7637" t="n"/>
      <c r="AI89" s="1277" t="n"/>
      <c r="AJ89" s="512" t="n"/>
      <c r="AK89" s="1329" t="n"/>
      <c r="AL89" s="11602" t="n"/>
      <c r="AM89" s="344" t="n"/>
      <c r="AN89" s="11602" t="n"/>
      <c r="AO89" s="5887" t="n"/>
      <c r="AP89" s="11602" t="n"/>
      <c r="AQ89" s="11602" t="n"/>
      <c r="AR89" s="769" t="n"/>
      <c r="AS89" s="769" t="n"/>
      <c r="AT89" s="769" t="n"/>
      <c r="AU89" s="769" t="n"/>
      <c r="AV89" s="769" t="n"/>
      <c r="AW89" s="769" t="n"/>
      <c r="AX89" s="769" t="n"/>
      <c r="AY89" s="769" t="n"/>
      <c r="AZ89" s="769" t="n"/>
      <c r="BA89" s="6450" t="n"/>
      <c r="BB89" s="6450" t="n"/>
      <c r="BC89" s="6450" t="n"/>
    </row>
    <row r="90" ht="21" customHeight="1" s="7635">
      <c r="A90" s="1277" t="n"/>
      <c r="B90" s="7597" t="inlineStr">
        <is>
          <t>Part V</t>
        </is>
      </c>
      <c r="F90" s="2009" t="n"/>
      <c r="G90" s="5388" t="inlineStr">
        <is>
          <t>Enhanced Deduction for Seniors</t>
        </is>
      </c>
      <c r="H90" s="2009" t="n"/>
      <c r="I90" s="2009" t="n"/>
      <c r="J90" s="2009" t="n"/>
      <c r="K90" s="2009" t="n"/>
      <c r="L90" s="2009" t="n"/>
      <c r="M90" s="413" t="n"/>
      <c r="N90" s="413" t="n"/>
      <c r="O90" s="413" t="n"/>
      <c r="P90" s="413" t="n"/>
      <c r="Q90" s="413" t="n"/>
      <c r="R90" s="413" t="n"/>
      <c r="S90" s="413" t="n"/>
      <c r="T90" s="413" t="n"/>
      <c r="U90" s="413" t="n"/>
      <c r="V90" s="413" t="n"/>
      <c r="W90" s="413" t="n"/>
      <c r="X90" s="413" t="n"/>
      <c r="Y90" s="7601" t="n"/>
      <c r="Z90" s="7637" t="n"/>
      <c r="AA90" s="7637" t="n"/>
      <c r="AB90" s="7637" t="n"/>
      <c r="AC90" s="1996" t="n"/>
      <c r="AD90" s="7601" t="n"/>
      <c r="AE90" s="7637" t="n"/>
      <c r="AF90" s="7637" t="n"/>
      <c r="AG90" s="7637" t="n"/>
      <c r="AH90" s="7637" t="n"/>
      <c r="AI90" s="1277" t="n"/>
      <c r="AJ90" s="512" t="n"/>
      <c r="AK90" s="5899" t="n"/>
      <c r="AL90" s="512" t="n"/>
      <c r="AM90" s="512">
        <f>IF(OR(F8889_Line16&gt;0,F8889_Line20),"HSA = "&amp;TEXT(SUM(F8889_Line16,F8889_Line20),"$0"),"")</f>
        <v/>
      </c>
      <c r="AN90" s="512" t="n"/>
      <c r="AO90" s="5887" t="n"/>
      <c r="AP90" s="11602" t="n"/>
      <c r="AQ90" s="11602" t="n"/>
      <c r="AR90" s="769" t="n"/>
      <c r="AS90" s="769" t="n"/>
      <c r="AT90" s="769" t="n"/>
      <c r="AU90" s="769" t="n"/>
      <c r="AV90" s="769" t="n"/>
      <c r="AW90" s="769" t="n"/>
      <c r="AX90" s="769" t="n"/>
      <c r="AY90" s="769" t="n"/>
      <c r="AZ90" s="769" t="n"/>
      <c r="BA90" s="6450" t="n"/>
      <c r="BB90" s="6450" t="n"/>
      <c r="BC90" s="6450" t="n"/>
    </row>
    <row r="91" ht="17.25" customHeight="1" s="7635">
      <c r="A91" s="1277" t="n"/>
      <c r="B91" s="5997" t="inlineStr">
        <is>
          <t>Caution: You and/or your spouse must have a valid social security number.</t>
        </is>
      </c>
      <c r="C91" s="10886" t="n"/>
      <c r="D91" s="10886" t="n"/>
      <c r="E91" s="10886" t="n"/>
      <c r="F91" s="10886" t="n"/>
      <c r="G91" s="10886" t="n"/>
      <c r="H91" s="10886" t="n"/>
      <c r="I91" s="10886" t="n"/>
      <c r="J91" s="10886" t="n"/>
      <c r="K91" s="10886" t="n"/>
      <c r="L91" s="10886" t="n"/>
      <c r="M91" s="11602" t="n"/>
      <c r="N91" s="11602" t="n"/>
      <c r="O91" s="11602" t="n"/>
      <c r="P91" s="11602" t="n"/>
      <c r="Q91" s="11602" t="n"/>
      <c r="R91" s="11602" t="n"/>
      <c r="S91" s="7772" t="inlineStr">
        <is>
          <t>If married, you must file jointly to claim this deduction.</t>
        </is>
      </c>
      <c r="T91" s="11602" t="n"/>
      <c r="U91" s="11602" t="n"/>
      <c r="V91" s="11602" t="n"/>
      <c r="W91" s="11602" t="n"/>
      <c r="X91" s="11602" t="n"/>
      <c r="Y91" s="11602" t="n"/>
      <c r="Z91" s="11602" t="n"/>
      <c r="AA91" s="11602" t="n"/>
      <c r="AB91" s="11602" t="n"/>
      <c r="AC91" s="11602" t="n"/>
      <c r="AD91" s="11602" t="n"/>
      <c r="AE91" s="11602" t="n"/>
      <c r="AF91" s="11602" t="n"/>
      <c r="AG91" s="11602" t="n"/>
      <c r="AH91" s="11602" t="n"/>
      <c r="AI91" s="6601" t="n"/>
      <c r="AJ91" s="512">
        <f>AND(AI91="",File_Marr_Sep&lt;&gt;"")</f>
        <v/>
      </c>
      <c r="AK91" s="5899" t="n"/>
      <c r="AL91" s="11602" t="n"/>
      <c r="AM91" s="11602" t="n"/>
      <c r="AN91" s="851" t="n"/>
      <c r="AO91" s="5887" t="n"/>
      <c r="AP91" s="11602" t="n"/>
      <c r="AQ91" s="11602" t="n"/>
      <c r="AR91" s="769" t="n"/>
      <c r="AS91" s="769" t="n"/>
      <c r="AT91" s="769" t="n"/>
      <c r="AU91" s="769" t="n"/>
      <c r="AV91" s="769" t="n"/>
      <c r="AW91" s="769" t="n"/>
      <c r="AX91" s="769" t="n"/>
      <c r="AY91" s="769" t="n"/>
      <c r="AZ91" s="769" t="n"/>
      <c r="BA91" s="6450" t="n"/>
      <c r="BB91" s="6450" t="n"/>
      <c r="BC91" s="6450" t="n"/>
    </row>
    <row r="92" ht="17.25" customHeight="1" s="7635">
      <c r="A92" s="1277" t="n"/>
      <c r="B92" s="5999" t="inlineStr">
        <is>
          <t>See instructions.</t>
        </is>
      </c>
      <c r="C92" s="2009" t="n"/>
      <c r="D92" s="2009" t="n"/>
      <c r="E92" s="2009" t="n"/>
      <c r="F92" s="2009" t="n"/>
      <c r="G92" s="2009" t="n"/>
      <c r="H92" s="2009" t="n"/>
      <c r="I92" s="2009" t="n"/>
      <c r="J92" s="2009" t="n"/>
      <c r="K92" s="2009" t="n"/>
      <c r="L92" s="2009" t="n"/>
      <c r="M92" s="413" t="n"/>
      <c r="N92" s="413" t="n"/>
      <c r="O92" s="413" t="n"/>
      <c r="P92" s="413" t="n"/>
      <c r="Q92" s="413" t="n"/>
      <c r="R92" s="413" t="n"/>
      <c r="S92" s="413" t="n"/>
      <c r="T92" s="413" t="n"/>
      <c r="U92" s="413" t="n"/>
      <c r="V92" s="413" t="n"/>
      <c r="W92" s="413" t="n"/>
      <c r="X92" s="413" t="n"/>
      <c r="Y92" s="413" t="n"/>
      <c r="Z92" s="413" t="n"/>
      <c r="AA92" s="413" t="n"/>
      <c r="AB92" s="413" t="n"/>
      <c r="AC92" s="413" t="n"/>
      <c r="AD92" s="413" t="n"/>
      <c r="AE92" s="413" t="n"/>
      <c r="AF92" s="413" t="n"/>
      <c r="AG92" s="413" t="n"/>
      <c r="AH92" s="413" t="n"/>
      <c r="AI92" s="7797">
        <f>IF(File_Marr_Sep&lt;&gt;"","Hide","")</f>
        <v/>
      </c>
      <c r="AJ92" s="724" t="n"/>
      <c r="AK92" s="5899" t="n"/>
      <c r="AL92" s="11602" t="n"/>
      <c r="AM92" s="11602" t="n"/>
      <c r="AN92" s="851" t="n">
        <v>75000</v>
      </c>
      <c r="AO92" s="5887" t="n"/>
      <c r="AP92" s="11602" t="n"/>
      <c r="AQ92" s="11602" t="n"/>
      <c r="AR92" s="769" t="n"/>
      <c r="AS92" s="769" t="n"/>
      <c r="AT92" s="769" t="n"/>
      <c r="AU92" s="769" t="n"/>
      <c r="AV92" s="769" t="n"/>
      <c r="AW92" s="769" t="n"/>
      <c r="AX92" s="769" t="n"/>
      <c r="AY92" s="769" t="n"/>
      <c r="AZ92" s="769" t="n"/>
      <c r="BA92" s="6450" t="n"/>
      <c r="BB92" s="6450" t="n"/>
      <c r="BC92" s="6450" t="n"/>
    </row>
    <row r="93" ht="16.5" customHeight="1" s="7635">
      <c r="A93" s="1277" t="n"/>
      <c r="B93" s="8650" t="n"/>
      <c r="C93" s="8439" t="n">
        <v>31</v>
      </c>
      <c r="D93" s="8650" t="n"/>
      <c r="E93" s="5995" t="inlineStr">
        <is>
          <t>Enter the amount from line 3</t>
        </is>
      </c>
      <c r="F93" s="8650" t="n"/>
      <c r="G93" s="8650" t="n"/>
      <c r="H93" s="8650" t="n"/>
      <c r="I93" s="8650" t="n"/>
      <c r="J93" s="8650" t="n"/>
      <c r="K93" s="8650" t="n"/>
      <c r="L93" s="8650" t="n"/>
      <c r="M93" s="8650" t="n"/>
      <c r="N93" s="8650" t="n"/>
      <c r="O93" s="8650" t="n"/>
      <c r="P93" s="8650" t="n"/>
      <c r="Q93" s="8650" t="n"/>
      <c r="R93" s="8650" t="n"/>
      <c r="S93" s="8650" t="n"/>
      <c r="T93" s="8650" t="n"/>
      <c r="U93" s="8650" t="n"/>
      <c r="V93" s="8650" t="n"/>
      <c r="W93" s="8650" t="n"/>
      <c r="X93" s="8650" t="n"/>
      <c r="Y93" s="8650" t="n"/>
      <c r="Z93" s="8650" t="n"/>
      <c r="AA93" s="8650" t="n"/>
      <c r="AB93" s="8650" t="n"/>
      <c r="AC93" s="8389" t="n">
        <v>31</v>
      </c>
      <c r="AD93" s="7608">
        <f>IF(AK93&lt;&gt;"",ROUND(AK93,0),IF($AJ$93,"",IF(AD17="",0,AD17)))</f>
        <v/>
      </c>
      <c r="AE93" s="7637" t="n"/>
      <c r="AF93" s="7637" t="n"/>
      <c r="AG93" s="7637" t="n"/>
      <c r="AH93" s="7637" t="n"/>
      <c r="AJ93" s="512">
        <f>AND(AK93="",OR(File_Marr_Sep&lt;&gt;"",AND(you_over_64="",sp_over_64="")))</f>
        <v/>
      </c>
      <c r="AK93" s="1329" t="n"/>
      <c r="AL93" s="11602" t="n"/>
      <c r="AM93" s="344" t="n"/>
      <c r="AN93" s="851" t="n">
        <v>150000</v>
      </c>
      <c r="AO93" s="851">
        <f>IF(File_Marr_Joint&lt;&gt;"",AN93,AN92)</f>
        <v/>
      </c>
      <c r="AP93" s="11602" t="n"/>
      <c r="AQ93" s="11602" t="n"/>
      <c r="AR93" s="769" t="n"/>
      <c r="AS93" s="769" t="n"/>
      <c r="AT93" s="769" t="n"/>
      <c r="AU93" s="769" t="n"/>
      <c r="AV93" s="769" t="n"/>
      <c r="AW93" s="769" t="n"/>
      <c r="AX93" s="769" t="n"/>
      <c r="AY93" s="769" t="n"/>
      <c r="AZ93" s="769" t="n"/>
      <c r="BA93" s="6450" t="n"/>
      <c r="BB93" s="6450" t="n"/>
      <c r="BC93" s="6450" t="n"/>
    </row>
    <row r="94" ht="16.5" customHeight="1" s="7635">
      <c r="A94" s="1277" t="n"/>
      <c r="B94" s="8650" t="n"/>
      <c r="C94" s="8439" t="n">
        <v>32</v>
      </c>
      <c r="D94" s="8439" t="n"/>
      <c r="E94" s="5995">
        <f>"Enter "&amp;TEXT(AN92,"$0,000")&amp;" ("&amp;TEXT(AN93,"$0,000")&amp;" if married filing jointly)"</f>
        <v/>
      </c>
      <c r="F94" s="8650" t="n"/>
      <c r="G94" s="8650" t="n"/>
      <c r="H94" s="11602" t="n"/>
      <c r="I94" s="11602" t="n"/>
      <c r="J94" s="11602" t="n"/>
      <c r="K94" s="11602" t="n"/>
      <c r="L94" s="11602" t="n"/>
      <c r="M94" s="11602" t="n"/>
      <c r="N94" s="11602" t="n"/>
      <c r="O94" s="11602" t="n"/>
      <c r="P94" s="11602" t="n"/>
      <c r="Q94" s="11602" t="n"/>
      <c r="R94" s="11602" t="n"/>
      <c r="S94" s="1401" t="n"/>
      <c r="T94" s="1218" t="n"/>
      <c r="U94" s="2373" t="n"/>
      <c r="V94" s="11602" t="n"/>
      <c r="W94" s="7914" t="n"/>
      <c r="X94" s="11602" t="n"/>
      <c r="Y94" s="11602" t="n"/>
      <c r="Z94" s="11602" t="n"/>
      <c r="AA94" s="11602" t="n"/>
      <c r="AB94" s="1657" t="n"/>
      <c r="AC94" s="10008" t="n">
        <v>32</v>
      </c>
      <c r="AD94" s="7631">
        <f>IF($AJ$93,"",AO93)</f>
        <v/>
      </c>
      <c r="AE94" s="8412" t="n"/>
      <c r="AF94" s="8412" t="n"/>
      <c r="AG94" s="8412" t="n"/>
      <c r="AH94" s="8412" t="n"/>
      <c r="AJ94" s="512" t="n"/>
      <c r="AK94" s="2875" t="n"/>
      <c r="AL94" s="11602" t="n"/>
      <c r="AM94" s="11602" t="n"/>
      <c r="AN94" s="851" t="n">
        <v>6000</v>
      </c>
      <c r="AO94" s="5887" t="n"/>
      <c r="AP94" s="11602" t="n"/>
      <c r="AQ94" s="11602" t="n"/>
      <c r="AR94" s="769" t="n"/>
      <c r="AS94" s="769" t="n"/>
      <c r="AT94" s="769" t="n"/>
      <c r="AU94" s="769" t="n"/>
      <c r="AV94" s="769" t="n"/>
      <c r="AW94" s="769" t="n"/>
      <c r="AX94" s="769" t="n"/>
      <c r="AY94" s="769" t="n"/>
      <c r="AZ94" s="769" t="n"/>
      <c r="BA94" s="6450" t="n"/>
      <c r="BB94" s="6450" t="n"/>
      <c r="BC94" s="6450" t="n"/>
    </row>
    <row r="95" ht="16.5" customHeight="1" s="7635">
      <c r="A95" s="1277" t="n"/>
      <c r="B95" s="8650" t="n"/>
      <c r="C95" s="8439" t="n">
        <v>33</v>
      </c>
      <c r="D95" s="8439" t="n"/>
      <c r="E95" s="5995" t="inlineStr">
        <is>
          <t>Subtract line 32 from line 31. If zero or less, enter $6,000 on line 35</t>
        </is>
      </c>
      <c r="F95" s="8650" t="n"/>
      <c r="G95" s="8650" t="n"/>
      <c r="H95" s="11602" t="n"/>
      <c r="I95" s="11602" t="n"/>
      <c r="J95" s="11602" t="n"/>
      <c r="K95" s="11602" t="n"/>
      <c r="L95" s="11602" t="n"/>
      <c r="M95" s="11602" t="n"/>
      <c r="N95" s="11602" t="n"/>
      <c r="O95" s="11602" t="n"/>
      <c r="P95" s="11602" t="n"/>
      <c r="Q95" s="11602" t="n"/>
      <c r="R95" s="11602" t="n"/>
      <c r="S95" s="1401" t="n"/>
      <c r="T95" s="1218" t="n"/>
      <c r="U95" s="2373" t="n"/>
      <c r="V95" s="11602" t="n"/>
      <c r="W95" s="7914" t="n"/>
      <c r="X95" s="11602" t="n"/>
      <c r="Y95" s="11602" t="n"/>
      <c r="Z95" s="11602" t="n"/>
      <c r="AA95" s="11602" t="n"/>
      <c r="AB95" s="1657" t="n"/>
      <c r="AC95" s="10008" t="n">
        <v>33</v>
      </c>
      <c r="AD95" s="7631">
        <f>IF($AJ$93,"",SUM(AD93,-AD94))</f>
        <v/>
      </c>
      <c r="AE95" s="8412" t="n"/>
      <c r="AF95" s="8412" t="n"/>
      <c r="AG95" s="8412" t="n"/>
      <c r="AH95" s="8412" t="n"/>
      <c r="AI95" s="6602" t="n"/>
      <c r="AJ95" s="512">
        <f>AD95&lt;=0</f>
        <v/>
      </c>
      <c r="AK95" s="2875" t="n"/>
      <c r="AL95" s="11602" t="n"/>
      <c r="AM95" s="11602" t="n"/>
      <c r="AN95" s="11602" t="n">
        <v>0.06</v>
      </c>
      <c r="AO95" s="5887" t="n"/>
      <c r="AP95" s="11602" t="n"/>
      <c r="AQ95" s="11602" t="n"/>
      <c r="AR95" s="769" t="n"/>
      <c r="AS95" s="769" t="n"/>
      <c r="AT95" s="769" t="n"/>
      <c r="AU95" s="769" t="n"/>
      <c r="AV95" s="769" t="n"/>
      <c r="AW95" s="769" t="n"/>
      <c r="AX95" s="769" t="n"/>
      <c r="AY95" s="769" t="n"/>
      <c r="AZ95" s="769" t="n"/>
      <c r="BA95" s="6450" t="n"/>
      <c r="BB95" s="6450" t="n"/>
      <c r="BC95" s="6450" t="n"/>
    </row>
    <row r="96" ht="16.5" customHeight="1" s="7635">
      <c r="A96" s="1277" t="n"/>
      <c r="B96" s="8650" t="n"/>
      <c r="C96" s="8439" t="n">
        <v>34</v>
      </c>
      <c r="D96" s="8439" t="n"/>
      <c r="E96" s="5995">
        <f>"Multiply line 33 by "&amp;TEXT(AN95,"0%")&amp;" ("&amp;TEXT(AN95,"0.00")&amp;")"</f>
        <v/>
      </c>
      <c r="F96" s="8650" t="n"/>
      <c r="G96" s="8650" t="n"/>
      <c r="H96" s="11602" t="n"/>
      <c r="I96" s="11602" t="n"/>
      <c r="J96" s="11602" t="n"/>
      <c r="K96" s="11602" t="n"/>
      <c r="L96" s="11602" t="n"/>
      <c r="M96" s="11602" t="n"/>
      <c r="N96" s="11602" t="n"/>
      <c r="O96" s="11602" t="n"/>
      <c r="P96" s="11602" t="n"/>
      <c r="Q96" s="11602" t="n"/>
      <c r="R96" s="11602" t="n"/>
      <c r="S96" s="1401" t="n"/>
      <c r="T96" s="1218" t="n"/>
      <c r="U96" s="2373" t="n"/>
      <c r="V96" s="11602" t="n"/>
      <c r="W96" s="7914" t="n"/>
      <c r="X96" s="11602" t="n"/>
      <c r="Y96" s="11602" t="n"/>
      <c r="Z96" s="11602" t="n"/>
      <c r="AA96" s="11602" t="n"/>
      <c r="AB96" s="1657" t="n"/>
      <c r="AC96" s="10008" t="n">
        <v>34</v>
      </c>
      <c r="AD96" s="7631">
        <f>IF(OR(AJ93,AJ95),"",ROUND(AD95*AN95,0))</f>
        <v/>
      </c>
      <c r="AE96" s="8412" t="n"/>
      <c r="AF96" s="8412" t="n"/>
      <c r="AG96" s="8412" t="n"/>
      <c r="AH96" s="8412" t="n"/>
      <c r="AI96" s="1277" t="n"/>
      <c r="AJ96" s="512" t="n"/>
      <c r="AK96" s="2875" t="n"/>
      <c r="AL96" s="11602" t="n"/>
      <c r="AM96" s="11602" t="n"/>
      <c r="AN96" s="11602" t="n"/>
      <c r="AO96" s="5887" t="n"/>
      <c r="AP96" s="11602" t="n"/>
      <c r="AQ96" s="11602" t="n"/>
      <c r="AR96" s="769" t="n"/>
      <c r="AS96" s="769" t="n"/>
      <c r="AT96" s="769" t="n"/>
      <c r="AU96" s="769" t="n"/>
      <c r="AV96" s="769" t="n"/>
      <c r="AW96" s="769" t="n"/>
      <c r="AX96" s="769" t="n"/>
      <c r="AY96" s="769" t="n"/>
      <c r="AZ96" s="769" t="n"/>
      <c r="BA96" s="6450" t="n"/>
      <c r="BB96" s="6450" t="n"/>
      <c r="BC96" s="6450" t="n"/>
    </row>
    <row r="97" ht="18" customHeight="1" s="7635">
      <c r="A97" s="1277" t="n"/>
      <c r="B97" s="11602" t="n"/>
      <c r="C97" s="8439" t="n">
        <v>35</v>
      </c>
      <c r="D97" s="2039" t="n"/>
      <c r="E97" s="5995">
        <f>"Subtract line 34 from "&amp;TEXT(AN94,"$0,000")&amp;". If zero or less, enter -0-"</f>
        <v/>
      </c>
      <c r="F97" s="8650" t="n"/>
      <c r="G97" s="8650" t="n"/>
      <c r="H97" s="11602" t="n"/>
      <c r="I97" s="11602" t="n"/>
      <c r="J97" s="11602" t="n"/>
      <c r="K97" s="11602" t="n"/>
      <c r="L97" s="11602" t="n"/>
      <c r="M97" s="11602" t="n"/>
      <c r="N97" s="11602" t="n"/>
      <c r="O97" s="11602" t="n"/>
      <c r="P97" s="11602" t="n"/>
      <c r="Q97" s="11602" t="n"/>
      <c r="R97" s="11602" t="n"/>
      <c r="S97" s="11602" t="n"/>
      <c r="T97" s="11602" t="n"/>
      <c r="U97" s="11602" t="n"/>
      <c r="V97" s="1401" t="n"/>
      <c r="W97" s="7914" t="n"/>
      <c r="X97" s="11602" t="n"/>
      <c r="Y97" s="11602" t="n"/>
      <c r="Z97" s="11602" t="n"/>
      <c r="AA97" s="11602" t="n"/>
      <c r="AB97" s="1657" t="n"/>
      <c r="AC97" s="10008" t="n">
        <v>35</v>
      </c>
      <c r="AD97" s="7631">
        <f>IF($AJ$93,"",IF(AJ95,AN94,MAX(0,SUM(AN94,-AD96))))</f>
        <v/>
      </c>
      <c r="AE97" s="8412" t="n"/>
      <c r="AF97" s="8412" t="n"/>
      <c r="AG97" s="8412" t="n"/>
      <c r="AH97" s="8412" t="n"/>
      <c r="AI97" s="1277" t="n"/>
      <c r="AJ97" s="512" t="n"/>
      <c r="AK97" s="2875" t="n"/>
      <c r="AL97" s="11602" t="n"/>
      <c r="AM97" s="5888" t="n"/>
      <c r="AN97" s="11602" t="n"/>
      <c r="AO97" s="5887" t="n"/>
      <c r="AP97" s="11602" t="n"/>
      <c r="AQ97" s="11602" t="n"/>
      <c r="AR97" s="769" t="n"/>
      <c r="AS97" s="769" t="n"/>
      <c r="AT97" s="769" t="n"/>
      <c r="AU97" s="769" t="n"/>
      <c r="AV97" s="769" t="n"/>
      <c r="AW97" s="769" t="n"/>
      <c r="AX97" s="769" t="n"/>
      <c r="AY97" s="769" t="n"/>
      <c r="AZ97" s="769" t="n"/>
      <c r="BA97" s="6450" t="n"/>
      <c r="BB97" s="6450" t="n"/>
      <c r="BC97" s="6450" t="n"/>
    </row>
    <row r="98" ht="18" customHeight="1" s="7635">
      <c r="A98" s="1277" t="n"/>
      <c r="B98" s="11602" t="n"/>
      <c r="C98" s="8439" t="inlineStr">
        <is>
          <t xml:space="preserve">36a </t>
        </is>
      </c>
      <c r="D98" s="2039" t="n"/>
      <c r="E98" s="5995">
        <f>"If you have a valid social security number (see instructions) and were born before January 2, "&amp;TaxYear-64&amp;","</f>
        <v/>
      </c>
      <c r="F98" s="8650" t="n"/>
      <c r="G98" s="8650" t="n"/>
      <c r="H98" s="11602" t="n"/>
      <c r="I98" s="11602" t="n"/>
      <c r="J98" s="11602" t="n"/>
      <c r="K98" s="11602" t="n"/>
      <c r="L98" s="11602" t="n"/>
      <c r="M98" s="11602" t="n"/>
      <c r="N98" s="11602" t="n"/>
      <c r="O98" s="11602" t="n"/>
      <c r="P98" s="11602" t="n"/>
      <c r="Q98" s="11602" t="n"/>
      <c r="R98" s="11602" t="n"/>
      <c r="S98" s="11602" t="n"/>
      <c r="T98" s="11602" t="n"/>
      <c r="U98" s="11602" t="n"/>
      <c r="V98" s="11602" t="n"/>
      <c r="W98" s="7914" t="n"/>
      <c r="X98" s="11602" t="n"/>
      <c r="Y98" s="11602" t="n"/>
      <c r="Z98" s="11602" t="n"/>
      <c r="AA98" s="11602" t="n"/>
      <c r="AB98" s="1657" t="n"/>
      <c r="AC98" s="5910" t="n"/>
      <c r="AD98" s="7602" t="n"/>
      <c r="AE98" s="7606" t="n"/>
      <c r="AF98" s="7606" t="n"/>
      <c r="AG98" s="7606" t="n"/>
      <c r="AH98" s="7606" t="n"/>
      <c r="AI98" s="1277" t="n"/>
      <c r="AJ98" s="512" t="n"/>
      <c r="AK98" s="2875" t="n"/>
      <c r="AL98" s="11602" t="n"/>
      <c r="AM98" s="5888" t="n"/>
      <c r="AN98" s="11602" t="n"/>
      <c r="AO98" s="5887" t="n"/>
      <c r="AP98" s="11602" t="n"/>
      <c r="AQ98" s="11602" t="n"/>
      <c r="AR98" s="769" t="n"/>
      <c r="AS98" s="769" t="n"/>
      <c r="AT98" s="769" t="n"/>
      <c r="AU98" s="769" t="n"/>
      <c r="AV98" s="769" t="n"/>
      <c r="AW98" s="769" t="n"/>
      <c r="AX98" s="769" t="n"/>
      <c r="AY98" s="769" t="n"/>
      <c r="AZ98" s="769" t="n"/>
      <c r="BA98" s="6450" t="n"/>
      <c r="BB98" s="6450" t="n"/>
      <c r="BC98" s="6450" t="n"/>
    </row>
    <row r="99" ht="18" customHeight="1" s="7635">
      <c r="A99" s="1277" t="n"/>
      <c r="B99" s="11602" t="n"/>
      <c r="C99" s="2039" t="n"/>
      <c r="D99" s="2039" t="n"/>
      <c r="E99" s="6000" t="inlineStr">
        <is>
          <t>enter the amount from line 35</t>
        </is>
      </c>
      <c r="F99" s="8650" t="n"/>
      <c r="G99" s="8650" t="n"/>
      <c r="H99" s="11602" t="n"/>
      <c r="I99" s="11602" t="n"/>
      <c r="J99" s="11602" t="n"/>
      <c r="K99" s="11602" t="n"/>
      <c r="L99" s="11602" t="n"/>
      <c r="M99" s="11602" t="n"/>
      <c r="N99" s="11602" t="n"/>
      <c r="O99" s="11602" t="n"/>
      <c r="P99" s="11602" t="n"/>
      <c r="Q99" s="11602" t="n"/>
      <c r="R99" s="11602" t="n"/>
      <c r="S99" s="11602" t="n"/>
      <c r="T99" s="11602" t="n"/>
      <c r="U99" s="11602" t="n"/>
      <c r="V99" s="1401" t="n"/>
      <c r="W99" s="7914" t="n"/>
      <c r="X99" s="11602" t="n"/>
      <c r="Y99" s="11602" t="n"/>
      <c r="Z99" s="11602" t="n"/>
      <c r="AA99" s="11602" t="n"/>
      <c r="AB99" s="1657" t="n"/>
      <c r="AC99" s="8389" t="inlineStr">
        <is>
          <t>36a</t>
        </is>
      </c>
      <c r="AD99" s="7773">
        <f>IF(AK99&lt;&gt;"",ROUND(AK99,0),IF($AJ$93,"",IF(you_over_64&lt;&gt;"",AD97,"")))</f>
        <v/>
      </c>
      <c r="AE99" s="7637" t="n"/>
      <c r="AF99" s="7637" t="n"/>
      <c r="AG99" s="7637" t="n"/>
      <c r="AH99" s="7637" t="n"/>
      <c r="AI99" s="1277" t="n"/>
      <c r="AJ99" s="512" t="n"/>
      <c r="AK99" s="1329" t="n"/>
      <c r="AL99" s="11602" t="n"/>
      <c r="AM99" s="5888" t="n"/>
      <c r="AN99" s="11602" t="n"/>
      <c r="AO99" s="5887" t="n"/>
      <c r="AP99" s="11602" t="n"/>
      <c r="AQ99" s="11602" t="n"/>
      <c r="AR99" s="769" t="n"/>
      <c r="AS99" s="769" t="n"/>
      <c r="AT99" s="769" t="n"/>
      <c r="AU99" s="769" t="n"/>
      <c r="AV99" s="769" t="n"/>
      <c r="AW99" s="769" t="n"/>
      <c r="AX99" s="769" t="n"/>
      <c r="AY99" s="769" t="n"/>
      <c r="AZ99" s="769" t="n"/>
      <c r="BA99" s="6450" t="n"/>
      <c r="BB99" s="6450" t="n"/>
      <c r="BC99" s="6450" t="n"/>
    </row>
    <row r="100" ht="12.75" customHeight="1" s="7635">
      <c r="A100" s="1277" t="n"/>
      <c r="B100" s="11602" t="n"/>
      <c r="C100" s="2039" t="inlineStr">
        <is>
          <t>b</t>
        </is>
      </c>
      <c r="D100" s="2039" t="n"/>
      <c r="E100" s="5995" t="inlineStr">
        <is>
          <t>If you are married filing jointly, your spouse has a valid social security number (see instructions), and</t>
        </is>
      </c>
      <c r="F100" s="8650" t="n"/>
      <c r="G100" s="8650" t="n"/>
      <c r="H100" s="11602" t="n"/>
      <c r="I100" s="11602" t="n"/>
      <c r="J100" s="11602" t="n"/>
      <c r="K100" s="11602" t="n"/>
      <c r="L100" s="11602" t="n"/>
      <c r="M100" s="11602" t="n"/>
      <c r="N100" s="11602" t="n"/>
      <c r="O100" s="11602" t="n"/>
      <c r="P100" s="11602" t="n"/>
      <c r="Q100" s="11602" t="n"/>
      <c r="R100" s="11602" t="n"/>
      <c r="S100" s="11602" t="n"/>
      <c r="T100" s="11602" t="n"/>
      <c r="U100" s="11602" t="n"/>
      <c r="V100" s="11602" t="n"/>
      <c r="W100" s="7914" t="n"/>
      <c r="X100" s="11602" t="n"/>
      <c r="Y100" s="11602" t="n"/>
      <c r="Z100" s="11602" t="n"/>
      <c r="AA100" s="11602" t="n"/>
      <c r="AB100" s="1657" t="n"/>
      <c r="AC100" s="5910" t="n"/>
      <c r="AD100" s="7602" t="n"/>
      <c r="AE100" s="7606" t="n"/>
      <c r="AF100" s="7606" t="n"/>
      <c r="AG100" s="7606" t="n"/>
      <c r="AH100" s="7606" t="n"/>
      <c r="AI100" s="1277" t="n"/>
      <c r="AJ100" s="512" t="n"/>
      <c r="AK100" s="2875" t="n"/>
      <c r="AL100" s="11602" t="n"/>
      <c r="AM100" s="5888" t="n"/>
      <c r="AN100" s="11602" t="n"/>
      <c r="AO100" s="5887" t="n"/>
      <c r="AP100" s="11602" t="n"/>
      <c r="AQ100" s="11602" t="n"/>
      <c r="AR100" s="769" t="n"/>
      <c r="AS100" s="769" t="n"/>
      <c r="AT100" s="769" t="n"/>
      <c r="AU100" s="769" t="n"/>
      <c r="AV100" s="769" t="n"/>
      <c r="AW100" s="769" t="n"/>
      <c r="AX100" s="769" t="n"/>
      <c r="AY100" s="769" t="n"/>
      <c r="AZ100" s="769" t="n"/>
      <c r="BA100" s="6450" t="n"/>
      <c r="BB100" s="6450" t="n"/>
      <c r="BC100" s="6450" t="n"/>
    </row>
    <row r="101" ht="16.5" customHeight="1" s="7635">
      <c r="A101" s="1277" t="n"/>
      <c r="B101" s="11602" t="n"/>
      <c r="C101" s="2039" t="n"/>
      <c r="D101" s="2039" t="n"/>
      <c r="E101" s="6000">
        <f>"your spouse was born before January 2, "&amp;TaxYear-64&amp;", enter the amount from line 35"</f>
        <v/>
      </c>
      <c r="F101" s="8650" t="n"/>
      <c r="G101" s="8650" t="n"/>
      <c r="H101" s="11602" t="n"/>
      <c r="I101" s="11602" t="n"/>
      <c r="J101" s="11602" t="n"/>
      <c r="K101" s="11602" t="n"/>
      <c r="L101" s="11602" t="n"/>
      <c r="M101" s="11602" t="n"/>
      <c r="N101" s="11602" t="n"/>
      <c r="O101" s="11602" t="n"/>
      <c r="P101" s="11602" t="n"/>
      <c r="Q101" s="11602" t="n"/>
      <c r="R101" s="11602" t="n"/>
      <c r="S101" s="11602" t="n"/>
      <c r="T101" s="11602" t="n"/>
      <c r="U101" s="11602" t="n"/>
      <c r="V101" s="1401" t="n"/>
      <c r="W101" s="7914" t="n"/>
      <c r="X101" s="11602" t="n"/>
      <c r="Y101" s="11602" t="n"/>
      <c r="Z101" s="11602" t="n"/>
      <c r="AA101" s="11602" t="n"/>
      <c r="AB101" s="1657" t="n"/>
      <c r="AC101" s="8389" t="inlineStr">
        <is>
          <t>36b</t>
        </is>
      </c>
      <c r="AD101" s="7773">
        <f>IF(AK101&lt;&gt;"",ROUND(AK101,0),IF($AJ$93,"",IF(sp_over_64&lt;&gt;"",AD97,"")))</f>
        <v/>
      </c>
      <c r="AE101" s="7637" t="n"/>
      <c r="AF101" s="7637" t="n"/>
      <c r="AG101" s="7637" t="n"/>
      <c r="AH101" s="7637" t="n"/>
      <c r="AI101" s="1277" t="n"/>
      <c r="AJ101" s="512" t="n"/>
      <c r="AK101" s="1329" t="n"/>
      <c r="AL101" s="11602" t="n"/>
      <c r="AM101" s="5888" t="n"/>
      <c r="AN101" s="11602" t="n"/>
      <c r="AO101" s="5888" t="n"/>
      <c r="AP101" s="11602" t="n"/>
      <c r="AQ101" s="11602" t="n"/>
      <c r="AR101" s="769" t="n"/>
      <c r="AS101" s="769" t="n"/>
      <c r="AT101" s="769" t="n"/>
      <c r="AU101" s="769" t="n"/>
      <c r="AV101" s="769" t="n"/>
      <c r="AW101" s="769" t="n"/>
      <c r="AX101" s="769" t="n"/>
      <c r="AY101" s="769" t="n"/>
      <c r="AZ101" s="769" t="n"/>
      <c r="BA101" s="6450" t="n"/>
      <c r="BB101" s="6450" t="n"/>
      <c r="BC101" s="6450" t="n"/>
    </row>
    <row r="102" ht="15.75" customHeight="1" s="7635">
      <c r="A102" s="1277" t="n"/>
      <c r="B102" s="413" t="n"/>
      <c r="C102" s="5911" t="n">
        <v>37</v>
      </c>
      <c r="D102" s="5911" t="n"/>
      <c r="E102" s="5996" t="inlineStr">
        <is>
          <t>Enhanced deduction for seniors. Add lines 36a and 36b</t>
        </is>
      </c>
      <c r="F102" s="1996" t="n"/>
      <c r="G102" s="1996" t="n"/>
      <c r="H102" s="413" t="n"/>
      <c r="I102" s="413" t="n"/>
      <c r="J102" s="413" t="n"/>
      <c r="K102" s="413" t="n"/>
      <c r="L102" s="413" t="n"/>
      <c r="M102" s="413" t="n"/>
      <c r="N102" s="413" t="n"/>
      <c r="O102" s="413" t="n"/>
      <c r="P102" s="413" t="n"/>
      <c r="Q102" s="413" t="n"/>
      <c r="R102" s="413" t="n"/>
      <c r="S102" s="413" t="n"/>
      <c r="T102" s="413" t="n"/>
      <c r="U102" s="413" t="n"/>
      <c r="V102" s="8323" t="n"/>
      <c r="W102" s="9794" t="n"/>
      <c r="X102" s="413" t="n"/>
      <c r="Y102" s="413" t="n"/>
      <c r="Z102" s="413" t="n"/>
      <c r="AA102" s="413" t="n"/>
      <c r="AB102" s="8324" t="n"/>
      <c r="AC102" s="10008" t="n">
        <v>37</v>
      </c>
      <c r="AD102" s="7631">
        <f>IF(AK102&lt;&gt;"",ROUND(AK102,0),IF($AJ$93,"",SUM(AD99,AD101)))</f>
        <v/>
      </c>
      <c r="AE102" s="8412" t="n"/>
      <c r="AF102" s="8412" t="n"/>
      <c r="AG102" s="8412" t="n"/>
      <c r="AH102" s="8412" t="n"/>
      <c r="AI102" s="1277" t="n"/>
      <c r="AJ102" s="512" t="n"/>
      <c r="AK102" s="1329" t="n"/>
      <c r="AL102" s="11602" t="n"/>
      <c r="AM102" s="5888" t="n"/>
      <c r="AN102" s="11602" t="n"/>
      <c r="AO102" s="5888" t="n"/>
      <c r="AP102" s="11602" t="n"/>
      <c r="AQ102" s="11602" t="n"/>
      <c r="AR102" s="769" t="n"/>
      <c r="AS102" s="769" t="n"/>
      <c r="AT102" s="769" t="n"/>
      <c r="AU102" s="769" t="n"/>
      <c r="AV102" s="769" t="n"/>
      <c r="AW102" s="769" t="n"/>
      <c r="AX102" s="769" t="n"/>
      <c r="AY102" s="769" t="n"/>
      <c r="AZ102" s="769" t="n"/>
      <c r="BA102" s="6450" t="n"/>
      <c r="BB102" s="6450" t="n"/>
      <c r="BC102" s="6450" t="n"/>
    </row>
    <row r="103" ht="21" customHeight="1" s="7635">
      <c r="A103" s="1277" t="n"/>
      <c r="B103" s="7597" t="inlineStr">
        <is>
          <t>Part VI</t>
        </is>
      </c>
      <c r="F103" s="2009" t="n"/>
      <c r="G103" s="5388" t="inlineStr">
        <is>
          <t>Total Additional Deductions</t>
        </is>
      </c>
      <c r="H103" s="2009" t="n"/>
      <c r="I103" s="2009" t="n"/>
      <c r="J103" s="2009" t="n"/>
      <c r="K103" s="2009" t="n"/>
      <c r="L103" s="2009" t="n"/>
      <c r="M103" s="413" t="n"/>
      <c r="N103" s="413" t="n"/>
      <c r="O103" s="413" t="n"/>
      <c r="P103" s="413" t="n"/>
      <c r="Q103" s="413" t="n"/>
      <c r="R103" s="413" t="n"/>
      <c r="S103" s="413" t="n"/>
      <c r="T103" s="413" t="n"/>
      <c r="U103" s="413" t="n"/>
      <c r="V103" s="413" t="n"/>
      <c r="W103" s="413" t="n"/>
      <c r="X103" s="413" t="n"/>
      <c r="Y103" s="7601" t="n"/>
      <c r="Z103" s="7637" t="n"/>
      <c r="AA103" s="7637" t="n"/>
      <c r="AB103" s="7637" t="n"/>
      <c r="AC103" s="1996" t="n"/>
      <c r="AD103" s="7601" t="n"/>
      <c r="AE103" s="7637" t="n"/>
      <c r="AF103" s="7637" t="n"/>
      <c r="AG103" s="7637" t="n"/>
      <c r="AH103" s="7637" t="n"/>
      <c r="AI103" s="1277" t="n"/>
      <c r="AJ103" s="512">
        <f>AND(AJ10,AJ38,AJ53,AJ79,AJ93)</f>
        <v/>
      </c>
      <c r="AK103" s="5899" t="n"/>
      <c r="AL103" s="512" t="n"/>
      <c r="AM103" s="512">
        <f>IF(OR(F8889_Line16&gt;0,F8889_Line20),"HSA = "&amp;TEXT(SUM(F8889_Line16,F8889_Line20),"$0"),"")</f>
        <v/>
      </c>
      <c r="AN103" s="512" t="n"/>
      <c r="AO103" s="5888" t="n"/>
      <c r="AP103" s="11602" t="n"/>
      <c r="AQ103" s="11602" t="n"/>
      <c r="AR103" s="769" t="n"/>
      <c r="AS103" s="769" t="n"/>
      <c r="AT103" s="769" t="n"/>
      <c r="AU103" s="769" t="n"/>
      <c r="AV103" s="769" t="n"/>
      <c r="AW103" s="769" t="n"/>
      <c r="AX103" s="769" t="n"/>
      <c r="AY103" s="769" t="n"/>
      <c r="AZ103" s="769" t="n"/>
      <c r="BA103" s="6450" t="n"/>
      <c r="BB103" s="6450" t="n"/>
      <c r="BC103" s="6450" t="n"/>
    </row>
    <row r="104" ht="15.75" customHeight="1" s="7635">
      <c r="A104" s="1277" t="n"/>
      <c r="B104" s="11602" t="n"/>
      <c r="C104" s="8439" t="n">
        <v>38</v>
      </c>
      <c r="D104" s="2039" t="n"/>
      <c r="E104" s="5995" t="inlineStr">
        <is>
          <t>Add lines 13, 21, 30, and 37. Enter here and on Form 1040 or 1040-SR, line 13b, or on Form 1040-NR,</t>
        </is>
      </c>
      <c r="F104" s="8650" t="n"/>
      <c r="G104" s="8650" t="n"/>
      <c r="H104" s="11602" t="n"/>
      <c r="I104" s="11602" t="n"/>
      <c r="J104" s="11602" t="n"/>
      <c r="K104" s="11602" t="n"/>
      <c r="L104" s="11602" t="n"/>
      <c r="M104" s="11602" t="n"/>
      <c r="N104" s="11602" t="n"/>
      <c r="O104" s="11602" t="n"/>
      <c r="P104" s="11602" t="n"/>
      <c r="Q104" s="11602" t="n"/>
      <c r="R104" s="11602" t="n"/>
      <c r="S104" s="11602" t="n"/>
      <c r="T104" s="11602" t="n"/>
      <c r="U104" s="11602" t="n"/>
      <c r="V104" s="11602" t="n"/>
      <c r="W104" s="7914" t="n"/>
      <c r="X104" s="11602" t="n"/>
      <c r="Y104" s="11602" t="n"/>
      <c r="Z104" s="11602" t="n"/>
      <c r="AA104" s="11602" t="n"/>
      <c r="AB104" s="1657" t="n"/>
      <c r="AC104" s="5910" t="n"/>
      <c r="AD104" s="7602" t="n"/>
      <c r="AE104" s="7606" t="n"/>
      <c r="AF104" s="7606" t="n"/>
      <c r="AG104" s="7606" t="n"/>
      <c r="AH104" s="7606" t="n"/>
      <c r="AI104" s="1277" t="n"/>
      <c r="AJ104" s="512" t="n"/>
      <c r="AK104" s="2875" t="n"/>
      <c r="AL104" s="11602" t="n"/>
      <c r="AM104" s="5888" t="n"/>
      <c r="AN104" s="11602" t="n"/>
      <c r="AO104" s="5888" t="n"/>
      <c r="AP104" s="11602" t="n"/>
      <c r="AQ104" s="11602" t="n"/>
      <c r="AR104" s="769" t="n"/>
      <c r="AS104" s="769" t="n"/>
      <c r="AT104" s="769" t="n"/>
      <c r="AU104" s="769" t="n"/>
      <c r="AV104" s="769" t="n"/>
      <c r="AW104" s="769" t="n"/>
      <c r="AX104" s="769" t="n"/>
      <c r="AY104" s="769" t="n"/>
      <c r="AZ104" s="769" t="n"/>
      <c r="BA104" s="6450" t="n"/>
      <c r="BB104" s="6450" t="n"/>
      <c r="BC104" s="6450" t="n"/>
    </row>
    <row r="105" ht="15.75" customHeight="1" s="7635" thickBot="1">
      <c r="A105" s="1277" t="n"/>
      <c r="B105" s="11602" t="n"/>
      <c r="C105" s="2039" t="n"/>
      <c r="D105" s="2039" t="n"/>
      <c r="E105" s="6000" t="inlineStr">
        <is>
          <t>line 13b</t>
        </is>
      </c>
      <c r="F105" s="8650" t="n"/>
      <c r="G105" s="8650" t="n"/>
      <c r="H105" s="11602" t="n"/>
      <c r="I105" s="11602" t="n"/>
      <c r="J105" s="11602" t="n"/>
      <c r="K105" s="11602" t="n"/>
      <c r="L105" s="11602" t="n"/>
      <c r="M105" s="11602" t="n"/>
      <c r="N105" s="11602" t="n"/>
      <c r="O105" s="11602" t="n"/>
      <c r="P105" s="11602" t="n"/>
      <c r="Q105" s="11602" t="n"/>
      <c r="R105" s="11602" t="n"/>
      <c r="S105" s="11602" t="n"/>
      <c r="T105" s="11602" t="n"/>
      <c r="U105" s="11602" t="n"/>
      <c r="V105" s="1401" t="n"/>
      <c r="W105" s="7914" t="n"/>
      <c r="X105" s="11602" t="n"/>
      <c r="Y105" s="11602" t="n"/>
      <c r="Z105" s="11602" t="n"/>
      <c r="AA105" s="11602" t="n"/>
      <c r="AB105" s="1657" t="n"/>
      <c r="AC105" s="8389" t="n">
        <v>38</v>
      </c>
      <c r="AD105" s="7631">
        <f>IF(AK105&lt;&gt;"",ROUND(AK105,0),IF($AJ$103,"",SUM(AD46,AD62,AD89,AD102)))</f>
        <v/>
      </c>
      <c r="AE105" s="8412" t="n"/>
      <c r="AF105" s="8412" t="n"/>
      <c r="AG105" s="8412" t="n"/>
      <c r="AH105" s="8412" t="n"/>
      <c r="AI105" s="1277" t="n"/>
      <c r="AJ105" s="512" t="n"/>
      <c r="AK105" s="1329" t="n"/>
      <c r="AL105" s="11602" t="n"/>
      <c r="AM105" s="5888" t="n"/>
      <c r="AN105" s="11602" t="n"/>
      <c r="AO105" s="5888" t="n"/>
      <c r="AP105" s="11602" t="n"/>
      <c r="AQ105" s="11602" t="n"/>
      <c r="AR105" s="769" t="n"/>
      <c r="AS105" s="769" t="n"/>
      <c r="AT105" s="769" t="n"/>
      <c r="AU105" s="769" t="n"/>
      <c r="AV105" s="769" t="n"/>
      <c r="AW105" s="769" t="n"/>
      <c r="AX105" s="769" t="n"/>
      <c r="AY105" s="769" t="n"/>
      <c r="AZ105" s="769" t="n"/>
      <c r="BA105" s="6450" t="n"/>
      <c r="BB105" s="6450" t="n"/>
      <c r="BC105" s="6450" t="n"/>
    </row>
    <row r="106" ht="14.25" customHeight="1" s="7635">
      <c r="A106" s="1277" t="n"/>
      <c r="B106" s="2907" t="n"/>
      <c r="C106" s="2908" t="n"/>
      <c r="D106" s="2908" t="n"/>
      <c r="E106" s="377" t="n"/>
      <c r="F106" s="377" t="n"/>
      <c r="G106" s="377" t="n"/>
      <c r="H106" s="377" t="n"/>
      <c r="I106" s="377" t="n"/>
      <c r="J106" s="377" t="n"/>
      <c r="K106" s="377" t="n"/>
      <c r="L106" s="377" t="n"/>
      <c r="M106" s="377" t="n"/>
      <c r="N106" s="377" t="n"/>
      <c r="O106" s="377" t="n"/>
      <c r="P106" s="377" t="n"/>
      <c r="Q106" s="377" t="n"/>
      <c r="R106" s="377" t="n"/>
      <c r="S106" s="377" t="n"/>
      <c r="T106" s="377" t="n"/>
      <c r="U106" s="1993" t="n"/>
      <c r="V106" s="1993" t="n"/>
      <c r="W106" s="377" t="n"/>
      <c r="X106" s="2267" t="n"/>
      <c r="Y106" s="377" t="n"/>
      <c r="Z106" s="377" t="n"/>
      <c r="AA106" s="377" t="n"/>
      <c r="AB106" s="377" t="n"/>
      <c r="AC106" s="377" t="n"/>
      <c r="AD106" s="377" t="n"/>
      <c r="AE106" s="377" t="n"/>
      <c r="AF106" s="377" t="n"/>
      <c r="AG106" s="377" t="n"/>
      <c r="AH106" s="1994">
        <f>"Schedule 1-A (Form 1040) "&amp;TaxYear</f>
        <v/>
      </c>
      <c r="AI106" s="1277" t="n"/>
      <c r="AJ106" s="512" t="n"/>
      <c r="AK106" s="2875" t="n"/>
      <c r="AL106" s="11602" t="n"/>
      <c r="AM106" s="2741" t="n"/>
      <c r="AN106" s="11602" t="n"/>
      <c r="AO106" s="2741" t="n"/>
      <c r="AP106" s="11602" t="n"/>
      <c r="AQ106" s="11602" t="n"/>
      <c r="AR106" s="769" t="n"/>
      <c r="AS106" s="769" t="n"/>
      <c r="AT106" s="769" t="n"/>
      <c r="AU106" s="769" t="n"/>
      <c r="AV106" s="769" t="n"/>
      <c r="AW106" s="769" t="n"/>
      <c r="AX106" s="769" t="n"/>
      <c r="AY106" s="769" t="n"/>
      <c r="AZ106" s="769" t="n"/>
      <c r="BA106" s="6450" t="n"/>
      <c r="BB106" s="6450" t="n"/>
      <c r="BC106" s="6450" t="n"/>
    </row>
    <row r="107" ht="14.25" customHeight="1" s="7635">
      <c r="A107" s="1277" t="n"/>
      <c r="B107" s="1277" t="n"/>
      <c r="C107" s="1277" t="n"/>
      <c r="D107" s="1277" t="n"/>
      <c r="E107" s="1277" t="n"/>
      <c r="F107" s="1277" t="n"/>
      <c r="G107" s="1277" t="n"/>
      <c r="H107" s="1277" t="n"/>
      <c r="I107" s="1277" t="n"/>
      <c r="J107" s="1277" t="n"/>
      <c r="K107" s="1277" t="n"/>
      <c r="L107" s="1277" t="n"/>
      <c r="M107" s="1277" t="n"/>
      <c r="N107" s="1277" t="n"/>
      <c r="O107" s="1277" t="n"/>
      <c r="P107" s="1277" t="n"/>
      <c r="Q107" s="1277" t="n"/>
      <c r="R107" s="1277" t="n"/>
      <c r="S107" s="1277" t="n"/>
      <c r="T107" s="1277" t="n"/>
      <c r="U107" s="1277" t="n"/>
      <c r="V107" s="1277" t="n"/>
      <c r="W107" s="5908" t="n"/>
      <c r="X107" s="1277" t="n"/>
      <c r="Y107" s="1277" t="n"/>
      <c r="Z107" s="1277" t="n"/>
      <c r="AA107" s="1277" t="n"/>
      <c r="AB107" s="1277" t="n"/>
      <c r="AC107" s="1277" t="n"/>
      <c r="AD107" s="1277" t="n"/>
      <c r="AE107" s="1277" t="n"/>
      <c r="AF107" s="1277" t="n"/>
      <c r="AG107" s="1277" t="n"/>
      <c r="AH107" s="1277" t="n"/>
      <c r="AI107" s="1277" t="n"/>
      <c r="AJ107" s="512" t="n"/>
      <c r="AK107" s="2875" t="n"/>
      <c r="AL107" s="11602" t="n"/>
      <c r="AM107" s="11602" t="n"/>
      <c r="AN107" s="11602" t="n"/>
      <c r="AO107" s="11602" t="n"/>
      <c r="AP107" s="11602" t="n"/>
      <c r="AQ107" s="11602" t="n"/>
      <c r="AR107" s="769" t="n"/>
      <c r="AS107" s="769" t="n"/>
      <c r="AT107" s="769" t="n"/>
      <c r="AU107" s="769" t="n"/>
      <c r="AV107" s="769" t="n"/>
      <c r="AW107" s="769" t="n"/>
      <c r="AX107" s="769" t="n"/>
      <c r="AY107" s="769" t="n"/>
      <c r="AZ107" s="769" t="n"/>
      <c r="BA107" s="6450" t="n"/>
      <c r="BB107" s="6450" t="n"/>
      <c r="BC107" s="6450" t="n"/>
    </row>
    <row r="108" ht="14.25" customHeight="1" s="7635">
      <c r="G108" s="1224" t="n"/>
      <c r="H108" s="1224" t="n"/>
      <c r="I108" s="1224" t="n"/>
      <c r="J108" s="1224" t="n"/>
      <c r="K108" s="1224" t="n"/>
      <c r="L108" s="1224" t="n"/>
      <c r="M108" s="1224" t="n"/>
      <c r="N108" s="1224" t="n"/>
      <c r="O108" s="1224" t="n"/>
      <c r="P108" s="1224" t="n"/>
      <c r="Q108" s="1224" t="n"/>
      <c r="R108" s="1224" t="n"/>
      <c r="S108" s="1224" t="n"/>
      <c r="T108" s="1224" t="n"/>
      <c r="U108" s="1224" t="n"/>
      <c r="V108" s="1224" t="n"/>
      <c r="W108" s="1224" t="n"/>
      <c r="X108" s="1224" t="n"/>
      <c r="Y108" s="1224" t="n"/>
      <c r="Z108" s="1224" t="n"/>
      <c r="AA108" s="1224" t="n"/>
      <c r="AB108" s="1224" t="n"/>
      <c r="AC108" s="1224" t="n"/>
      <c r="AD108" s="1224" t="n"/>
      <c r="AE108" s="1224" t="n"/>
      <c r="AF108" s="1224" t="n"/>
      <c r="AG108" s="1224" t="n"/>
      <c r="AH108" s="1224" t="n"/>
      <c r="AI108" s="1224" t="n"/>
      <c r="AK108" s="1224" t="n"/>
      <c r="AL108" s="1224" t="n"/>
      <c r="AM108" s="1224" t="n"/>
      <c r="AN108" s="1224" t="n"/>
      <c r="AO108" s="1224" t="n"/>
      <c r="AP108" s="1224" t="n"/>
      <c r="AQ108" s="1224" t="n"/>
      <c r="AR108" s="769" t="n"/>
      <c r="AS108" s="769" t="n"/>
      <c r="AT108" s="769" t="n"/>
      <c r="AU108" s="769" t="n"/>
      <c r="AV108" s="769" t="n"/>
      <c r="AW108" s="769" t="n"/>
      <c r="AX108" s="769" t="n"/>
      <c r="AY108" s="769" t="n"/>
      <c r="AZ108" s="769" t="n"/>
      <c r="BA108" s="6450" t="n"/>
      <c r="BB108" s="6450" t="n"/>
      <c r="BC108" s="6450" t="n"/>
      <c r="BD108" s="1224" t="n"/>
    </row>
    <row r="109" ht="14.25" customHeight="1" s="7635" thickBot="1">
      <c r="H109" s="1224" t="n"/>
      <c r="I109" s="1224" t="n"/>
      <c r="J109" s="1224" t="n"/>
      <c r="K109" s="1224" t="n"/>
      <c r="L109" s="1224" t="n"/>
      <c r="M109" s="1224" t="n"/>
      <c r="N109" s="1224" t="n"/>
      <c r="O109" s="1224" t="n"/>
      <c r="P109" s="1224" t="n"/>
      <c r="Q109" s="1224" t="n"/>
      <c r="R109" s="1224" t="n"/>
      <c r="S109" s="1224" t="n"/>
      <c r="T109" s="1224" t="n"/>
      <c r="U109" s="1224" t="n"/>
      <c r="V109" s="1224" t="n"/>
      <c r="W109" s="1224" t="n"/>
      <c r="X109" s="1224" t="n"/>
      <c r="Y109" s="1224" t="n"/>
      <c r="Z109" s="1224" t="n"/>
      <c r="AA109" s="1224" t="n"/>
      <c r="AB109" s="1224" t="n"/>
      <c r="AC109" s="1224" t="n"/>
      <c r="AD109" s="1224" t="n"/>
      <c r="AE109" s="1224" t="n"/>
      <c r="AF109" s="1224" t="n"/>
      <c r="AG109" s="1224" t="n"/>
      <c r="AH109" s="1224" t="n"/>
      <c r="AI109" s="1224" t="n"/>
      <c r="AK109" s="1224" t="n"/>
      <c r="AL109" s="1224" t="n"/>
      <c r="AM109" s="1224" t="n"/>
      <c r="AN109" s="1224" t="n"/>
      <c r="AO109" s="1224" t="n"/>
      <c r="AP109" s="1224" t="n"/>
      <c r="AQ109" s="1224" t="n"/>
      <c r="AR109" s="769" t="n"/>
      <c r="AS109" s="769" t="n"/>
      <c r="AT109" s="769" t="n"/>
      <c r="AU109" s="769" t="n"/>
      <c r="AV109" s="769" t="n"/>
      <c r="AW109" s="769" t="n"/>
      <c r="AX109" s="769" t="n"/>
      <c r="AY109" s="769" t="n"/>
      <c r="AZ109" s="769" t="n"/>
      <c r="BA109" s="6450" t="n"/>
      <c r="BB109" s="6450" t="n"/>
      <c r="BC109" s="6450" t="n"/>
      <c r="BD109" s="1224" t="n"/>
    </row>
    <row r="110" ht="14.25" customHeight="1" s="7635">
      <c r="B110" s="11981" t="inlineStr">
        <is>
          <t>Table of Contents</t>
        </is>
      </c>
      <c r="C110" s="2506" t="n"/>
      <c r="D110" s="2506" t="n"/>
      <c r="E110" s="2506" t="n"/>
      <c r="F110" s="2614" t="n"/>
      <c r="H110" s="1224" t="n"/>
      <c r="I110" s="1224" t="n"/>
      <c r="J110" s="1224" t="n"/>
      <c r="K110" s="1224" t="n"/>
      <c r="L110" s="1224" t="n"/>
      <c r="M110" s="1224" t="n"/>
      <c r="N110" s="1224" t="n"/>
      <c r="O110" s="1224" t="n"/>
      <c r="P110" s="1224" t="n"/>
      <c r="Q110" s="1224" t="n"/>
      <c r="R110" s="1224" t="n"/>
      <c r="S110" s="1224" t="n"/>
      <c r="T110" s="1224" t="n"/>
      <c r="U110" s="1224" t="n"/>
      <c r="V110" s="1224" t="n"/>
      <c r="W110" s="1224" t="n"/>
      <c r="X110" s="1224" t="n"/>
      <c r="Y110" s="1224" t="n"/>
      <c r="Z110" s="1224" t="n"/>
      <c r="AA110" s="1224" t="n"/>
      <c r="AB110" s="1224" t="n"/>
      <c r="AC110" s="1224" t="n"/>
      <c r="AD110" s="1224" t="n"/>
      <c r="AE110" s="1224" t="n"/>
      <c r="AF110" s="1224" t="n"/>
      <c r="AG110" s="1224" t="n"/>
      <c r="AH110" s="1224" t="n"/>
      <c r="AI110" s="1224" t="n"/>
      <c r="AJ110" s="7562">
        <f>IF(U110&lt;&gt;"",ROUND(U110,0),"")</f>
        <v/>
      </c>
      <c r="AK110" s="4451">
        <f>IF(V110&lt;&gt;"",ROUND(V110,0),"")</f>
        <v/>
      </c>
      <c r="AL110" s="4451">
        <f>IF(W110&lt;&gt;"",ROUND(W110,0),"")</f>
        <v/>
      </c>
      <c r="AM110" s="4451">
        <f>IF(X110&lt;&gt;"",ROUND(X110,0),"")</f>
        <v/>
      </c>
      <c r="AN110" s="4451">
        <f>IF(Y110&lt;&gt;"",ROUND(Y110,0),"")</f>
        <v/>
      </c>
      <c r="AO110" s="4451">
        <f>IF(Z110&lt;&gt;"",ROUND(Z110,0),"")</f>
        <v/>
      </c>
      <c r="AP110" s="4451">
        <f>IF(AA110&lt;&gt;"",ROUND(AA110,0),"")</f>
        <v/>
      </c>
      <c r="AQ110" s="4451" t="n"/>
      <c r="AR110" s="769" t="n"/>
      <c r="AS110" s="769" t="n"/>
      <c r="AT110" s="769" t="n"/>
      <c r="AU110" s="769" t="n"/>
      <c r="AV110" s="769" t="n"/>
      <c r="AW110" s="769" t="n"/>
      <c r="AX110" s="769" t="n"/>
      <c r="AY110" s="769" t="n"/>
      <c r="AZ110" s="769" t="n"/>
      <c r="BA110" s="6450" t="n"/>
      <c r="BB110" s="6450" t="n"/>
      <c r="BC110" s="6450" t="n"/>
      <c r="BD110" s="4451">
        <f>IF(AM110&lt;&gt;"",ROUND(AM110,0),"")</f>
        <v/>
      </c>
    </row>
    <row r="111" ht="14.25" customHeight="1" s="7635">
      <c r="B111" s="11741" t="n"/>
      <c r="F111" s="1066" t="n"/>
      <c r="H111" s="1224" t="n"/>
      <c r="I111" s="1224" t="n"/>
      <c r="J111" s="1224" t="n"/>
      <c r="K111" s="1224" t="n"/>
      <c r="L111" s="1224" t="n"/>
      <c r="M111" s="1224" t="n"/>
      <c r="N111" s="1224" t="n"/>
      <c r="O111" s="1224" t="n"/>
      <c r="P111" s="1224" t="n"/>
      <c r="Q111" s="1224" t="n"/>
      <c r="R111" s="1224" t="n"/>
      <c r="S111" s="1224" t="n"/>
      <c r="T111" s="1224" t="n"/>
      <c r="U111" s="1224" t="n"/>
      <c r="V111" s="1224" t="n"/>
      <c r="W111" s="1224" t="n"/>
      <c r="X111" s="1224" t="n"/>
      <c r="Y111" s="1224" t="n"/>
      <c r="Z111" s="1224" t="n"/>
      <c r="AA111" s="1224" t="n"/>
      <c r="AB111" s="1224" t="n"/>
      <c r="AC111" s="1224" t="n"/>
      <c r="AD111" s="1224" t="n"/>
      <c r="AE111" s="1224" t="n"/>
      <c r="AF111" s="1224" t="n"/>
      <c r="AG111" s="1224" t="n"/>
      <c r="AH111" s="1224" t="n"/>
      <c r="AI111" s="1224" t="n"/>
      <c r="AJ111" s="7562" t="n"/>
      <c r="AK111" s="4451" t="n"/>
      <c r="AL111" s="4451" t="n"/>
      <c r="AM111" s="4451" t="n"/>
      <c r="AN111" s="4451" t="n"/>
      <c r="AO111" s="4451" t="n"/>
      <c r="AP111" s="4451" t="n"/>
      <c r="AQ111" s="4451" t="n"/>
      <c r="AR111" s="769" t="n"/>
      <c r="AS111" s="769" t="n"/>
      <c r="AT111" s="769" t="n"/>
      <c r="AU111" s="769" t="n"/>
      <c r="AV111" s="769" t="n"/>
      <c r="AW111" s="769" t="n"/>
      <c r="AX111" s="769" t="n"/>
      <c r="AY111" s="769" t="n"/>
      <c r="AZ111" s="769" t="n"/>
      <c r="BA111" s="6450" t="n"/>
      <c r="BB111" s="6450" t="n"/>
      <c r="BC111" s="6450" t="n"/>
      <c r="BD111" s="4451" t="n"/>
    </row>
    <row r="112" ht="16.5" customHeight="1" s="7635">
      <c r="B112" s="11982" t="inlineStr">
        <is>
          <t>Form 1040</t>
        </is>
      </c>
      <c r="F112" s="1066" t="n"/>
      <c r="H112" s="1224" t="n"/>
      <c r="I112" s="1224" t="n"/>
      <c r="J112" s="1224" t="n"/>
      <c r="K112" s="1224" t="n"/>
      <c r="L112" s="1224" t="n"/>
      <c r="M112" s="1224" t="n"/>
      <c r="N112" s="1224" t="n"/>
      <c r="O112" s="1224" t="n"/>
      <c r="P112" s="1224" t="n"/>
      <c r="Q112" s="1224" t="n"/>
      <c r="R112" s="1224" t="n"/>
      <c r="S112" s="1224" t="n"/>
      <c r="T112" s="1224" t="n"/>
      <c r="U112" s="1224" t="n"/>
      <c r="V112" s="1224" t="n"/>
      <c r="W112" s="1224" t="n"/>
      <c r="X112" s="1224" t="n"/>
      <c r="Y112" s="1224" t="n"/>
      <c r="Z112" s="1224" t="n"/>
      <c r="AA112" s="1224" t="n"/>
      <c r="AB112" s="1224" t="n"/>
      <c r="AC112" s="1224" t="n"/>
      <c r="AD112" s="1224" t="n"/>
      <c r="AE112" s="1224" t="n"/>
      <c r="AF112" s="1224" t="n"/>
      <c r="AG112" s="1224" t="n"/>
      <c r="AH112" s="1224" t="n"/>
      <c r="AI112" s="1224" t="n"/>
      <c r="AJ112" s="7562">
        <f>IF(U112&lt;&gt;"",ROUND(U112,0),"")</f>
        <v/>
      </c>
      <c r="AK112" s="5909" t="n"/>
      <c r="AL112" s="5909" t="n"/>
      <c r="AM112" s="5909" t="n"/>
      <c r="AN112" s="5909" t="n"/>
      <c r="AO112" s="5909" t="n"/>
      <c r="AP112" s="5909" t="n"/>
      <c r="AQ112" s="5909" t="n"/>
      <c r="AR112" s="769" t="n"/>
      <c r="AS112" s="769" t="n"/>
      <c r="AT112" s="769" t="n"/>
      <c r="AU112" s="769" t="n"/>
      <c r="AV112" s="769" t="n"/>
      <c r="AW112" s="769" t="n"/>
      <c r="AX112" s="769" t="n"/>
      <c r="AY112" s="769" t="n"/>
      <c r="AZ112" s="769" t="n"/>
      <c r="BA112" s="6450" t="n"/>
      <c r="BB112" s="6450" t="n"/>
      <c r="BC112" s="6450" t="n"/>
      <c r="BD112" s="5909" t="n"/>
    </row>
    <row r="113" ht="13.5" customHeight="1" s="7635" thickBot="1">
      <c r="B113" s="11743" t="n"/>
      <c r="C113" s="8848" t="n"/>
      <c r="D113" s="8848" t="n"/>
      <c r="E113" s="8848" t="n"/>
      <c r="F113" s="2627" t="n"/>
      <c r="H113" s="1224" t="n"/>
      <c r="I113" s="1224" t="n"/>
      <c r="J113" s="1224" t="n"/>
      <c r="K113" s="1224" t="n"/>
      <c r="L113" s="1224" t="n"/>
      <c r="M113" s="1224" t="n"/>
      <c r="N113" s="1224" t="n"/>
      <c r="O113" s="1224" t="n"/>
      <c r="P113" s="1224" t="n"/>
      <c r="Q113" s="1224" t="n"/>
      <c r="R113" s="1224" t="n"/>
      <c r="S113" s="1224" t="n"/>
      <c r="T113" s="1224" t="n"/>
      <c r="U113" s="1224" t="n"/>
      <c r="V113" s="1224" t="n"/>
      <c r="W113" s="1224" t="n"/>
      <c r="X113" s="1224" t="n"/>
      <c r="Y113" s="1224" t="n"/>
      <c r="Z113" s="1224" t="n"/>
      <c r="AA113" s="1224" t="n"/>
      <c r="AB113" s="1224" t="n"/>
      <c r="AC113" s="1224" t="n"/>
      <c r="AD113" s="1224" t="n"/>
      <c r="AE113" s="1224" t="n"/>
      <c r="AF113" s="1224" t="n"/>
      <c r="AG113" s="1224" t="n"/>
      <c r="AH113" s="1224" t="n"/>
      <c r="AI113" s="1224" t="n"/>
      <c r="AJ113" s="7562">
        <f>IF(U113&lt;&gt;"",ROUND(U113,0),"")</f>
        <v/>
      </c>
      <c r="AK113" s="5909" t="n"/>
      <c r="AL113" s="5909" t="n"/>
      <c r="AM113" s="5909" t="n"/>
      <c r="AN113" s="4700" t="n"/>
      <c r="AO113" s="4700" t="n"/>
      <c r="AP113" s="4700" t="n"/>
      <c r="AQ113" s="4700" t="n"/>
      <c r="AR113" s="769" t="n"/>
      <c r="AS113" s="769" t="n"/>
      <c r="AT113" s="769" t="n"/>
      <c r="AU113" s="769" t="n"/>
      <c r="AV113" s="769" t="n"/>
      <c r="AW113" s="769" t="n"/>
      <c r="AX113" s="769" t="n"/>
      <c r="AY113" s="769" t="n"/>
      <c r="AZ113" s="769" t="n"/>
      <c r="BA113" s="6450" t="n"/>
      <c r="BB113" s="6450" t="n"/>
      <c r="BC113" s="6450" t="n"/>
      <c r="BD113" s="4700" t="n"/>
    </row>
    <row r="114">
      <c r="H114" s="1224" t="n"/>
      <c r="I114" s="1224" t="n"/>
      <c r="J114" s="1224" t="n"/>
      <c r="K114" s="1224" t="n"/>
      <c r="L114" s="1224" t="n"/>
      <c r="M114" s="1224" t="n"/>
      <c r="N114" s="1224" t="n"/>
      <c r="O114" s="1224" t="n"/>
      <c r="P114" s="1224" t="n"/>
      <c r="Q114" s="1224" t="n"/>
      <c r="R114" s="1224" t="n"/>
      <c r="S114" s="1224" t="n"/>
      <c r="T114" s="1224" t="n"/>
      <c r="U114" s="1224" t="n"/>
      <c r="V114" s="1224" t="n"/>
      <c r="W114" s="1224" t="n"/>
      <c r="X114" s="1224" t="n"/>
      <c r="Y114" s="1224" t="n"/>
      <c r="Z114" s="1224" t="n"/>
      <c r="AA114" s="1224" t="n"/>
      <c r="AB114" s="1224" t="n"/>
      <c r="AC114" s="1224" t="n"/>
      <c r="AD114" s="1224" t="n"/>
      <c r="AE114" s="1224" t="n"/>
      <c r="AF114" s="1224" t="n"/>
      <c r="AG114" s="1224" t="n"/>
      <c r="AH114" s="1224" t="n"/>
      <c r="AI114" s="1224" t="n"/>
      <c r="AJ114" s="7562" t="n"/>
      <c r="AK114" s="5909" t="n"/>
      <c r="AL114" s="5909" t="n"/>
      <c r="AM114" s="5909" t="n"/>
      <c r="AN114" s="4700" t="n"/>
      <c r="AO114" s="4700" t="n"/>
      <c r="AP114" s="4700" t="n"/>
      <c r="AQ114" s="4700" t="n"/>
      <c r="AR114" s="769" t="n"/>
      <c r="AS114" s="769" t="n"/>
      <c r="AT114" s="769" t="n"/>
      <c r="AU114" s="769" t="n"/>
      <c r="AV114" s="769" t="n"/>
      <c r="AW114" s="769" t="n"/>
      <c r="AX114" s="769" t="n"/>
      <c r="AY114" s="769" t="n"/>
      <c r="AZ114" s="769" t="n"/>
      <c r="BA114" s="6450" t="n"/>
      <c r="BB114" s="6450" t="n"/>
      <c r="BC114" s="6450" t="n"/>
      <c r="BD114" s="4700" t="n"/>
    </row>
    <row r="115">
      <c r="H115" s="1224" t="n"/>
      <c r="I115" s="1224" t="n"/>
      <c r="J115" s="1224" t="n"/>
      <c r="K115" s="1224" t="n"/>
      <c r="L115" s="1224" t="n"/>
      <c r="M115" s="1224" t="n"/>
      <c r="N115" s="1224" t="n"/>
      <c r="O115" s="1224" t="n"/>
      <c r="P115" s="1224" t="n"/>
      <c r="Q115" s="1224" t="n"/>
      <c r="R115" s="1224" t="n"/>
      <c r="S115" s="1224" t="n"/>
      <c r="T115" s="1224" t="n"/>
      <c r="U115" s="1224" t="n"/>
      <c r="V115" s="1224" t="n"/>
      <c r="W115" s="1224" t="n"/>
      <c r="X115" s="1224" t="n"/>
      <c r="Y115" s="1224" t="n"/>
      <c r="Z115" s="1224" t="n"/>
      <c r="AA115" s="1224" t="n"/>
      <c r="AB115" s="1224" t="n"/>
      <c r="AC115" s="1224" t="n"/>
      <c r="AD115" s="1224" t="n"/>
      <c r="AE115" s="1224" t="n"/>
      <c r="AF115" s="1224" t="n"/>
      <c r="AG115" s="1224" t="n"/>
      <c r="AH115" s="1224" t="n"/>
      <c r="AI115" s="1224" t="n"/>
      <c r="AJ115" s="7562">
        <f>IF(U115&lt;&gt;"",ROUND(U115,0),"")</f>
        <v/>
      </c>
      <c r="AK115" s="5909" t="n"/>
      <c r="AL115" s="5909" t="n"/>
      <c r="AM115" s="5909" t="n"/>
      <c r="AN115" s="4700" t="n"/>
      <c r="AO115" s="4700" t="n"/>
      <c r="AP115" s="4700" t="n"/>
      <c r="AQ115" s="4700" t="n"/>
      <c r="AR115" s="769" t="n"/>
      <c r="AS115" s="769" t="n"/>
      <c r="AT115" s="769" t="n"/>
      <c r="AU115" s="769" t="n"/>
      <c r="AV115" s="769" t="n"/>
      <c r="AW115" s="769" t="n"/>
      <c r="AX115" s="769" t="n"/>
      <c r="AY115" s="769" t="n"/>
      <c r="AZ115" s="769" t="n"/>
      <c r="BA115" s="6450" t="n"/>
      <c r="BB115" s="6450" t="n"/>
      <c r="BC115" s="6450" t="n"/>
    </row>
    <row r="116">
      <c r="H116" s="1224" t="n"/>
      <c r="I116" s="1224" t="n"/>
      <c r="J116" s="1224" t="n"/>
      <c r="K116" s="1224" t="n"/>
      <c r="L116" s="1224" t="n"/>
      <c r="M116" s="1224" t="n"/>
      <c r="N116" s="1224" t="n"/>
      <c r="O116" s="1224" t="n"/>
      <c r="P116" s="1224" t="n"/>
      <c r="Q116" s="1224" t="n"/>
      <c r="R116" s="1224" t="n"/>
      <c r="S116" s="1224" t="n"/>
      <c r="T116" s="1224" t="n"/>
      <c r="U116" s="1224" t="n"/>
      <c r="V116" s="1224" t="n"/>
      <c r="W116" s="1224" t="n"/>
      <c r="X116" s="1224" t="n"/>
      <c r="Y116" s="1224" t="n"/>
      <c r="Z116" s="1224" t="n"/>
      <c r="AA116" s="1224" t="n"/>
      <c r="AB116" s="1224" t="n"/>
      <c r="AC116" s="1224" t="n"/>
      <c r="AD116" s="1224" t="n"/>
      <c r="AE116" s="1224" t="n"/>
      <c r="AF116" s="1224" t="n"/>
      <c r="AG116" s="1224" t="n"/>
      <c r="AH116" s="1224" t="n"/>
      <c r="AI116" s="1224" t="n"/>
      <c r="AJ116" s="7562" t="n"/>
      <c r="AK116" s="5909" t="n"/>
      <c r="AL116" s="5909" t="n"/>
      <c r="AM116" s="5909" t="n"/>
      <c r="AN116" s="4700" t="n"/>
      <c r="AO116" s="4700" t="n"/>
      <c r="AP116" s="4700" t="n"/>
      <c r="AQ116" s="4700" t="n"/>
      <c r="AR116" s="1224" t="n"/>
      <c r="AS116" s="1224" t="n"/>
      <c r="AT116" s="1224" t="n"/>
      <c r="AU116" s="1224" t="n"/>
      <c r="AV116" s="1224" t="n"/>
      <c r="AW116" s="1224" t="n"/>
      <c r="AX116" s="1224" t="n"/>
      <c r="AY116" s="1224" t="n"/>
      <c r="AZ116" s="1224" t="n"/>
      <c r="BA116" s="5061" t="n"/>
      <c r="BB116" s="5061" t="n"/>
      <c r="BC116" s="5061" t="n"/>
    </row>
    <row r="117">
      <c r="H117" s="1224" t="n"/>
      <c r="I117" s="1224" t="n"/>
      <c r="J117" s="1224" t="n"/>
      <c r="K117" s="1224" t="n"/>
      <c r="L117" s="1224" t="n"/>
      <c r="M117" s="1224" t="n"/>
      <c r="N117" s="1224" t="n"/>
      <c r="O117" s="1224" t="n"/>
      <c r="P117" s="1224" t="n"/>
      <c r="Q117" s="1224" t="n"/>
      <c r="R117" s="1224" t="n"/>
      <c r="S117" s="1224" t="n"/>
      <c r="T117" s="1224" t="n"/>
      <c r="U117" s="1224" t="n"/>
      <c r="V117" s="1224" t="n"/>
      <c r="W117" s="1224" t="n"/>
      <c r="X117" s="1224" t="n"/>
      <c r="Y117" s="1224" t="n"/>
      <c r="Z117" s="1224" t="n"/>
      <c r="AA117" s="1224" t="n"/>
      <c r="AB117" s="1224" t="n"/>
      <c r="AC117" s="1224" t="n"/>
      <c r="AD117" s="1224" t="n"/>
      <c r="AE117" s="1224" t="n"/>
      <c r="AF117" s="1224" t="n"/>
      <c r="AG117" s="1224" t="n"/>
      <c r="AH117" s="1224" t="n"/>
      <c r="AI117" s="1224" t="n"/>
      <c r="AJ117" s="7562">
        <f>IF(U117&lt;&gt;"",ROUND(U117,0),"")</f>
        <v/>
      </c>
      <c r="AK117" s="5909" t="n"/>
      <c r="AL117" s="1224" t="n"/>
      <c r="AM117" s="1224" t="n"/>
      <c r="AO117" s="4700" t="n"/>
      <c r="AR117" s="1224" t="n"/>
      <c r="AS117" s="1224" t="n"/>
      <c r="AT117" s="1224" t="n"/>
      <c r="AU117" s="1224" t="n"/>
      <c r="AV117" s="1224" t="n"/>
      <c r="AW117" s="1224" t="n"/>
      <c r="AX117" s="1224" t="n"/>
      <c r="AY117" s="1224" t="n"/>
      <c r="AZ117" s="1224" t="n"/>
      <c r="BA117" s="5061" t="n"/>
      <c r="BB117" s="5061" t="n"/>
      <c r="BC117" s="5061" t="n"/>
    </row>
    <row r="118">
      <c r="H118" s="1224" t="n"/>
      <c r="I118" s="1224" t="n"/>
      <c r="J118" s="1224" t="n"/>
      <c r="K118" s="1224" t="n"/>
      <c r="L118" s="1224" t="n"/>
      <c r="M118" s="1224" t="n"/>
      <c r="N118" s="1224" t="n"/>
      <c r="O118" s="1224" t="n"/>
      <c r="P118" s="1224" t="n"/>
      <c r="Q118" s="1224" t="n"/>
      <c r="R118" s="1224" t="n"/>
      <c r="S118" s="1224" t="n"/>
      <c r="T118" s="1224" t="n"/>
      <c r="U118" s="1224" t="n"/>
      <c r="V118" s="1224" t="n"/>
      <c r="W118" s="1224" t="n"/>
      <c r="X118" s="1224" t="n"/>
      <c r="Y118" s="1224" t="n"/>
      <c r="Z118" s="1224" t="n"/>
      <c r="AA118" s="1224" t="n"/>
      <c r="AB118" s="1224" t="n"/>
      <c r="AC118" s="1224" t="n"/>
      <c r="AD118" s="1224" t="n"/>
      <c r="AE118" s="1224" t="n"/>
      <c r="AF118" s="1224" t="n"/>
      <c r="AG118" s="1224" t="n"/>
      <c r="AH118" s="1224" t="n"/>
      <c r="AI118" s="1224" t="n"/>
      <c r="AJ118" s="7562" t="n"/>
      <c r="AK118" s="5909" t="n"/>
      <c r="AL118" s="1224" t="n"/>
      <c r="AM118" s="1224" t="n"/>
      <c r="AR118" s="4451">
        <f>IF(AB110&lt;&gt;"",ROUND(AB110,0),"")</f>
        <v/>
      </c>
      <c r="AS118" s="4451">
        <f>IF(AC110&lt;&gt;"",ROUND(AC110,0),"")</f>
        <v/>
      </c>
      <c r="AT118" s="4451">
        <f>IF(AD110&lt;&gt;"",ROUND(AD110,0),"")</f>
        <v/>
      </c>
      <c r="AU118" s="4451">
        <f>IF(AE110&lt;&gt;"",ROUND(AE110,0),"")</f>
        <v/>
      </c>
      <c r="AV118" s="4451">
        <f>IF(AF110&lt;&gt;"",ROUND(AF110,0),"")</f>
        <v/>
      </c>
      <c r="AW118" s="4451">
        <f>IF(AG110&lt;&gt;"",ROUND(AG110,0),"")</f>
        <v/>
      </c>
      <c r="AX118" s="4451">
        <f>IF(AH110&lt;&gt;"",ROUND(AH110,0),"")</f>
        <v/>
      </c>
      <c r="AY118" s="4451">
        <f>IF(AI110&lt;&gt;"",ROUND(AI110,0),"")</f>
        <v/>
      </c>
      <c r="AZ118" s="4451">
        <f>IF(AJ110&lt;&gt;"",ROUND(AJ110,0),"")</f>
        <v/>
      </c>
      <c r="BA118" s="6454">
        <f>IF(AK110&lt;&gt;"",ROUND(AK110,0),"")</f>
        <v/>
      </c>
      <c r="BB118" s="6454">
        <f>IF(AL110&lt;&gt;"",ROUND(AL110,0),"")</f>
        <v/>
      </c>
      <c r="BC118" s="6454">
        <f>IF(AM110&lt;&gt;"",ROUND(AM110,0),"")</f>
        <v/>
      </c>
    </row>
    <row r="119">
      <c r="H119" s="1224" t="n"/>
      <c r="I119" s="1224" t="n"/>
      <c r="J119" s="1224" t="n"/>
      <c r="K119" s="1224" t="n"/>
      <c r="L119" s="1224" t="n"/>
      <c r="M119" s="1224" t="n"/>
      <c r="N119" s="1224" t="n"/>
      <c r="O119" s="1224" t="n"/>
      <c r="P119" s="1224" t="n"/>
      <c r="Q119" s="1224" t="n"/>
      <c r="R119" s="1224" t="n"/>
      <c r="S119" s="1224" t="n"/>
      <c r="T119" s="1224" t="n"/>
      <c r="U119" s="1224" t="n"/>
      <c r="V119" s="1224" t="n"/>
      <c r="W119" s="1224" t="n"/>
      <c r="X119" s="1224" t="n"/>
      <c r="Y119" s="1224" t="n"/>
      <c r="Z119" s="1224" t="n"/>
      <c r="AA119" s="1224" t="n"/>
      <c r="AB119" s="1224" t="n"/>
      <c r="AC119" s="1224" t="n"/>
      <c r="AD119" s="1224" t="n"/>
      <c r="AE119" s="1224" t="n"/>
      <c r="AF119" s="1224" t="n"/>
      <c r="AG119" s="1224" t="n"/>
      <c r="AH119" s="1224" t="n"/>
      <c r="AI119" s="1224" t="n"/>
      <c r="AJ119" s="7562" t="n"/>
      <c r="AK119" s="5909" t="n"/>
      <c r="AL119" s="1224" t="n"/>
      <c r="AM119" s="1224" t="n"/>
      <c r="AR119" s="4451" t="n"/>
      <c r="AS119" s="4451" t="n"/>
      <c r="AT119" s="4451" t="n"/>
      <c r="AU119" s="4451" t="n"/>
      <c r="AV119" s="4451" t="n"/>
      <c r="AW119" s="4451" t="n"/>
      <c r="AX119" s="4451" t="n"/>
      <c r="AY119" s="4451" t="n"/>
      <c r="AZ119" s="4451" t="n"/>
      <c r="BA119" s="6454" t="n"/>
      <c r="BB119" s="6454" t="n"/>
      <c r="BC119" s="6454" t="n"/>
    </row>
    <row r="120">
      <c r="H120" s="1224" t="n"/>
      <c r="I120" s="1224" t="n"/>
      <c r="J120" s="1224" t="n"/>
      <c r="K120" s="1224" t="n"/>
      <c r="L120" s="1224" t="n"/>
      <c r="M120" s="1224" t="n"/>
      <c r="N120" s="1224" t="n"/>
      <c r="O120" s="1224" t="n"/>
      <c r="P120" s="1224" t="n"/>
      <c r="Q120" s="1224" t="n"/>
      <c r="R120" s="1224" t="n"/>
      <c r="S120" s="1224" t="n"/>
      <c r="T120" s="1224" t="n"/>
      <c r="U120" s="1224" t="n"/>
      <c r="V120" s="1224" t="n"/>
      <c r="W120" s="1224" t="n"/>
      <c r="X120" s="1224" t="n"/>
      <c r="Y120" s="1224" t="n"/>
      <c r="Z120" s="1224" t="n"/>
      <c r="AA120" s="1224" t="n"/>
      <c r="AB120" s="1224" t="n"/>
      <c r="AC120" s="1224" t="n"/>
      <c r="AD120" s="1224" t="n"/>
      <c r="AE120" s="1224" t="n"/>
      <c r="AF120" s="1224" t="n"/>
      <c r="AG120" s="1224" t="n"/>
      <c r="AH120" s="1224" t="n"/>
      <c r="AI120" s="1224" t="n"/>
      <c r="AJ120" s="7562">
        <f>IF(U120&lt;&gt;"",ROUND(U120,0),"")</f>
        <v/>
      </c>
      <c r="AK120" s="5909" t="n"/>
      <c r="AL120" s="1224" t="n"/>
      <c r="AM120" s="1224" t="n"/>
      <c r="AR120" s="5909" t="n"/>
      <c r="AS120" s="5909" t="n"/>
      <c r="AT120" s="5909" t="n"/>
      <c r="AU120" s="5909" t="n"/>
      <c r="AV120" s="5909" t="n"/>
      <c r="AW120" s="5909" t="n"/>
      <c r="AX120" s="5909" t="n"/>
      <c r="AY120" s="5909" t="n"/>
      <c r="AZ120" s="5909" t="n"/>
      <c r="BA120" s="6455" t="n"/>
      <c r="BB120" s="6455" t="n"/>
      <c r="BC120" s="6455" t="n"/>
    </row>
    <row r="121">
      <c r="H121" s="1224" t="n"/>
      <c r="I121" s="1224" t="n"/>
      <c r="J121" s="1224" t="n"/>
      <c r="K121" s="1224" t="n"/>
      <c r="L121" s="1224" t="n"/>
      <c r="M121" s="1224" t="n"/>
      <c r="N121" s="1224" t="n"/>
      <c r="O121" s="1224" t="n"/>
      <c r="P121" s="1224" t="n"/>
      <c r="Q121" s="1224" t="n"/>
      <c r="R121" s="1224" t="n"/>
      <c r="S121" s="1224" t="n"/>
      <c r="T121" s="1224" t="n"/>
      <c r="U121" s="1224" t="n"/>
      <c r="V121" s="1224" t="n"/>
      <c r="W121" s="1224" t="n"/>
      <c r="X121" s="1224" t="n"/>
      <c r="Y121" s="1224" t="n"/>
      <c r="Z121" s="1224" t="n"/>
      <c r="AA121" s="1224" t="n"/>
      <c r="AB121" s="1224" t="n"/>
      <c r="AC121" s="1224" t="n"/>
      <c r="AD121" s="1224" t="n"/>
      <c r="AE121" s="1224" t="n"/>
      <c r="AF121" s="1224" t="n"/>
      <c r="AG121" s="1224" t="n"/>
      <c r="AH121" s="1224" t="n"/>
      <c r="AI121" s="1224" t="n"/>
      <c r="AJ121" s="7562" t="n"/>
      <c r="AK121" s="5909" t="n"/>
      <c r="AL121" s="1224" t="n"/>
      <c r="AM121" s="1224" t="n"/>
      <c r="AR121" s="4700" t="n"/>
      <c r="AS121" s="4700" t="n"/>
      <c r="AT121" s="4700" t="n"/>
      <c r="AU121" s="4700" t="n"/>
      <c r="AV121" s="4700" t="n"/>
      <c r="AW121" s="4700" t="n"/>
      <c r="AX121" s="4700" t="n"/>
      <c r="AY121" s="4700" t="n"/>
      <c r="AZ121" s="4700" t="n"/>
      <c r="BA121" s="6456" t="n"/>
      <c r="BB121" s="6456" t="n"/>
      <c r="BC121" s="6456" t="n"/>
    </row>
    <row r="122">
      <c r="H122" s="1224" t="n"/>
      <c r="I122" s="1224" t="n"/>
      <c r="J122" s="1224" t="n"/>
      <c r="K122" s="1224" t="n"/>
      <c r="L122" s="1224" t="n"/>
      <c r="M122" s="1224" t="n"/>
      <c r="N122" s="1224" t="n"/>
      <c r="O122" s="1224" t="n"/>
      <c r="P122" s="1224" t="n"/>
      <c r="Q122" s="1224" t="n"/>
      <c r="R122" s="1224" t="n"/>
      <c r="S122" s="1224" t="n"/>
      <c r="T122" s="1224" t="n"/>
      <c r="U122" s="1224" t="n"/>
      <c r="V122" s="1224" t="n"/>
      <c r="W122" s="1224" t="n"/>
      <c r="X122" s="1224" t="n"/>
      <c r="Y122" s="1224" t="n"/>
      <c r="Z122" s="1224" t="n"/>
      <c r="AA122" s="1224" t="n"/>
      <c r="AB122" s="1224" t="n"/>
      <c r="AC122" s="1224" t="n"/>
      <c r="AD122" s="1224" t="n"/>
      <c r="AE122" s="1224" t="n"/>
      <c r="AF122" s="1224" t="n"/>
      <c r="AG122" s="1224" t="n"/>
      <c r="AH122" s="1224" t="n"/>
      <c r="AI122" s="1224" t="n"/>
      <c r="AJ122" s="7562">
        <f>IF(U122&lt;&gt;"",ROUND(U122,0),"")</f>
        <v/>
      </c>
      <c r="AK122" s="5909" t="n"/>
      <c r="AL122" s="1224" t="n"/>
      <c r="AM122" s="1224" t="n"/>
      <c r="AR122" s="4700" t="n"/>
      <c r="AS122" s="4700" t="n"/>
      <c r="AT122" s="4700" t="n"/>
      <c r="AU122" s="4700" t="n"/>
      <c r="AV122" s="4700" t="n"/>
      <c r="AW122" s="4700" t="n"/>
      <c r="AX122" s="4700" t="n"/>
      <c r="AY122" s="4700" t="n"/>
      <c r="AZ122" s="4700" t="n"/>
      <c r="BA122" s="6456" t="n"/>
      <c r="BB122" s="6456" t="n"/>
      <c r="BC122" s="6456" t="n"/>
    </row>
    <row r="123">
      <c r="H123" s="1224" t="n"/>
      <c r="I123" s="1224" t="n"/>
      <c r="J123" s="1224" t="n"/>
      <c r="K123" s="1224" t="n"/>
      <c r="L123" s="1224" t="n"/>
      <c r="M123" s="1224" t="n"/>
      <c r="N123" s="1224" t="n"/>
      <c r="O123" s="1224" t="n"/>
      <c r="P123" s="1224" t="n"/>
      <c r="Q123" s="1224" t="n"/>
      <c r="R123" s="1224" t="n"/>
      <c r="S123" s="1224" t="n"/>
      <c r="T123" s="1224" t="n"/>
      <c r="U123" s="1224" t="n"/>
      <c r="V123" s="1224" t="n"/>
      <c r="W123" s="1224" t="n"/>
      <c r="X123" s="1224" t="n"/>
      <c r="Y123" s="1224" t="n"/>
      <c r="Z123" s="1224" t="n"/>
      <c r="AA123" s="1224" t="n"/>
      <c r="AB123" s="1224" t="n"/>
      <c r="AC123" s="1224" t="n"/>
      <c r="AD123" s="1224" t="n"/>
      <c r="AE123" s="1224" t="n"/>
      <c r="AF123" s="1224" t="n"/>
      <c r="AG123" s="1224" t="n"/>
      <c r="AH123" s="1224" t="n"/>
      <c r="AI123" s="1224" t="n"/>
      <c r="AJ123" s="7562" t="n"/>
      <c r="AK123" s="5909" t="n"/>
      <c r="AL123" s="1224" t="n"/>
      <c r="AM123" s="1224" t="n"/>
    </row>
    <row r="124">
      <c r="H124" s="1224" t="n"/>
      <c r="I124" s="1224" t="n"/>
      <c r="J124" s="1224" t="n"/>
      <c r="K124" s="1224" t="n"/>
      <c r="L124" s="1224" t="n"/>
      <c r="M124" s="1224" t="n"/>
      <c r="N124" s="1224" t="n"/>
      <c r="O124" s="1224" t="n"/>
      <c r="P124" s="1224" t="n"/>
      <c r="Q124" s="1224" t="n"/>
      <c r="R124" s="1224" t="n"/>
      <c r="S124" s="1224" t="n"/>
      <c r="T124" s="1224" t="n"/>
      <c r="U124" s="1224" t="n"/>
      <c r="V124" s="1224" t="n"/>
      <c r="W124" s="1224" t="n"/>
      <c r="X124" s="1224" t="n"/>
      <c r="Y124" s="1224" t="n"/>
      <c r="Z124" s="1224" t="n"/>
      <c r="AA124" s="1224" t="n"/>
      <c r="AB124" s="1224" t="n"/>
      <c r="AC124" s="1224" t="n"/>
      <c r="AD124" s="1224" t="n"/>
      <c r="AE124" s="1224" t="n"/>
      <c r="AF124" s="1224" t="n"/>
      <c r="AG124" s="1224" t="n"/>
      <c r="AH124" s="1224" t="n"/>
      <c r="AI124" s="1224" t="n"/>
      <c r="AJ124" s="7562">
        <f>IF(U124&lt;&gt;"",ROUND(U124,0),"")</f>
        <v/>
      </c>
      <c r="AK124" s="5909" t="n"/>
      <c r="AL124" s="1224" t="n"/>
      <c r="AM124" s="1224" t="n"/>
    </row>
    <row r="125">
      <c r="H125" s="1224" t="n"/>
      <c r="I125" s="1224" t="n"/>
      <c r="J125" s="1224" t="n"/>
      <c r="K125" s="1224" t="n"/>
      <c r="L125" s="1224" t="n"/>
      <c r="M125" s="1224" t="n"/>
      <c r="N125" s="1224" t="n"/>
      <c r="O125" s="1224" t="n"/>
      <c r="P125" s="1224" t="n"/>
      <c r="Q125" s="1224" t="n"/>
      <c r="R125" s="1224" t="n"/>
      <c r="S125" s="1224" t="n"/>
      <c r="T125" s="1224" t="n"/>
      <c r="U125" s="1224" t="n"/>
      <c r="V125" s="1224" t="n"/>
      <c r="W125" s="1224" t="n"/>
      <c r="X125" s="1224" t="n"/>
      <c r="Y125" s="1224" t="n"/>
      <c r="Z125" s="1224" t="n"/>
      <c r="AA125" s="1224" t="n"/>
      <c r="AB125" s="1224" t="n"/>
      <c r="AC125" s="1224" t="n"/>
      <c r="AD125" s="1224" t="n"/>
      <c r="AE125" s="1224" t="n"/>
      <c r="AF125" s="1224" t="n"/>
      <c r="AG125" s="1224" t="n"/>
      <c r="AH125" s="1224" t="n"/>
      <c r="AI125" s="1224" t="n"/>
      <c r="AJ125" s="7562" t="n"/>
      <c r="AK125" s="5909" t="n"/>
      <c r="AL125" s="1224" t="n"/>
      <c r="AM125" s="1224" t="n"/>
    </row>
    <row r="126">
      <c r="H126" s="1224" t="n"/>
      <c r="I126" s="1224" t="n"/>
      <c r="J126" s="1224" t="n"/>
      <c r="K126" s="1224" t="n"/>
      <c r="L126" s="1224" t="n"/>
      <c r="M126" s="1224" t="n"/>
      <c r="N126" s="1224" t="n"/>
      <c r="O126" s="1224" t="n"/>
      <c r="P126" s="1224" t="n"/>
      <c r="Q126" s="1224" t="n"/>
      <c r="R126" s="1224" t="n"/>
      <c r="S126" s="1224" t="n"/>
      <c r="T126" s="1224" t="n"/>
      <c r="U126" s="1224" t="n"/>
      <c r="V126" s="1224" t="n"/>
      <c r="W126" s="1224" t="n"/>
      <c r="X126" s="1224" t="n"/>
      <c r="Y126" s="1224" t="n"/>
      <c r="Z126" s="1224" t="n"/>
      <c r="AA126" s="1224" t="n"/>
      <c r="AB126" s="1224" t="n"/>
      <c r="AC126" s="1224" t="n"/>
      <c r="AD126" s="1224" t="n"/>
      <c r="AE126" s="1224" t="n"/>
      <c r="AF126" s="1224" t="n"/>
      <c r="AG126" s="1224" t="n"/>
      <c r="AH126" s="1224" t="n"/>
      <c r="AI126" s="1224" t="n"/>
      <c r="AJ126" s="7562">
        <f>IF(U126&lt;&gt;"",ROUND(U126,0),"")</f>
        <v/>
      </c>
      <c r="AK126" s="5909" t="n"/>
      <c r="AL126" s="1224" t="n"/>
      <c r="AM126" s="1224" t="n"/>
    </row>
    <row r="127">
      <c r="H127" s="1224" t="n"/>
      <c r="I127" s="1224" t="n"/>
      <c r="J127" s="1224" t="n"/>
      <c r="K127" s="1224" t="n"/>
      <c r="L127" s="1224" t="n"/>
      <c r="M127" s="1224" t="n"/>
      <c r="N127" s="1224" t="n"/>
      <c r="O127" s="1224" t="n"/>
      <c r="P127" s="1224" t="n"/>
      <c r="Q127" s="1224" t="n"/>
      <c r="R127" s="1224" t="n"/>
      <c r="S127" s="1224" t="n"/>
      <c r="T127" s="1224" t="n"/>
      <c r="U127" s="1224" t="n"/>
      <c r="V127" s="1224" t="n"/>
      <c r="W127" s="1224" t="n"/>
      <c r="X127" s="1224" t="n"/>
      <c r="Y127" s="1224" t="n"/>
      <c r="Z127" s="1224" t="n"/>
      <c r="AA127" s="1224" t="n"/>
      <c r="AB127" s="1224" t="n"/>
      <c r="AC127" s="1224" t="n"/>
      <c r="AD127" s="1224" t="n"/>
      <c r="AE127" s="1224" t="n"/>
      <c r="AF127" s="1224" t="n"/>
      <c r="AG127" s="1224" t="n"/>
      <c r="AH127" s="1224" t="n"/>
      <c r="AI127" s="1224" t="n"/>
      <c r="AJ127" s="7562" t="n"/>
      <c r="AK127" s="5909" t="n"/>
      <c r="AL127" s="1224" t="n"/>
      <c r="AM127" s="1224" t="n"/>
    </row>
    <row r="128">
      <c r="H128" s="1224" t="n"/>
      <c r="I128" s="1224" t="n"/>
      <c r="J128" s="1224" t="n"/>
      <c r="K128" s="1224" t="n"/>
      <c r="L128" s="1224" t="n"/>
      <c r="M128" s="1224" t="n"/>
      <c r="N128" s="1224" t="n"/>
      <c r="O128" s="1224" t="n"/>
      <c r="P128" s="1224" t="n"/>
      <c r="Q128" s="1224" t="n"/>
      <c r="R128" s="1224" t="n"/>
      <c r="S128" s="1224" t="n"/>
      <c r="T128" s="1224" t="n"/>
      <c r="U128" s="1224" t="n"/>
      <c r="V128" s="1224" t="n"/>
      <c r="W128" s="1224" t="n"/>
      <c r="X128" s="1224" t="n"/>
      <c r="Y128" s="1224" t="n"/>
      <c r="Z128" s="1224" t="n"/>
      <c r="AA128" s="1224" t="n"/>
      <c r="AB128" s="1224" t="n"/>
      <c r="AC128" s="1224" t="n"/>
      <c r="AD128" s="1224" t="n"/>
      <c r="AE128" s="1224" t="n"/>
      <c r="AF128" s="1224" t="n"/>
      <c r="AG128" s="1224" t="n"/>
      <c r="AH128" s="1224" t="n"/>
      <c r="AI128" s="1224" t="n"/>
      <c r="AJ128" s="7562" t="n"/>
      <c r="AK128" s="5909" t="n"/>
      <c r="AL128" s="1224" t="n"/>
      <c r="AM128" s="1224" t="n"/>
    </row>
    <row r="129">
      <c r="H129" s="1224" t="n"/>
      <c r="I129" s="1224" t="n"/>
      <c r="J129" s="1224" t="n"/>
      <c r="K129" s="1224" t="n"/>
      <c r="L129" s="1224" t="n"/>
      <c r="M129" s="1224" t="n"/>
      <c r="N129" s="1224" t="n"/>
      <c r="O129" s="1224" t="n"/>
      <c r="P129" s="1224" t="n"/>
      <c r="Q129" s="1224" t="n"/>
      <c r="R129" s="1224" t="n"/>
      <c r="S129" s="1224" t="n"/>
      <c r="T129" s="1224" t="n"/>
      <c r="U129" s="1224" t="n"/>
      <c r="V129" s="1224" t="n"/>
      <c r="W129" s="1224" t="n"/>
      <c r="X129" s="1224" t="n"/>
      <c r="Y129" s="1224" t="n"/>
      <c r="Z129" s="1224" t="n"/>
      <c r="AA129" s="1224" t="n"/>
      <c r="AB129" s="1224" t="n"/>
      <c r="AC129" s="1224" t="n"/>
      <c r="AD129" s="1224" t="n"/>
      <c r="AE129" s="1224" t="n"/>
      <c r="AF129" s="1224" t="n"/>
      <c r="AG129" s="1224" t="n"/>
      <c r="AH129" s="1224" t="n"/>
      <c r="AI129" s="1224" t="n"/>
      <c r="AJ129" s="7562">
        <f>IF(U129&lt;&gt;"",ROUND(U129,0),"")</f>
        <v/>
      </c>
      <c r="AK129" s="5909" t="n"/>
      <c r="AL129" s="1224" t="n"/>
      <c r="AM129" s="1224" t="n"/>
    </row>
    <row r="130">
      <c r="H130" s="1224" t="n"/>
      <c r="I130" s="1224" t="n"/>
      <c r="J130" s="1224" t="n"/>
      <c r="K130" s="1224" t="n"/>
      <c r="L130" s="1224" t="n"/>
      <c r="M130" s="1224" t="n"/>
      <c r="N130" s="1224" t="n"/>
      <c r="O130" s="1224" t="n"/>
      <c r="P130" s="1224" t="n"/>
      <c r="Q130" s="1224" t="n"/>
      <c r="R130" s="1224" t="n"/>
      <c r="S130" s="1224" t="n"/>
      <c r="T130" s="1224" t="n"/>
      <c r="U130" s="1224" t="n"/>
      <c r="V130" s="1224" t="n"/>
      <c r="W130" s="1224" t="n"/>
      <c r="X130" s="1224" t="n"/>
      <c r="Y130" s="1224" t="n"/>
      <c r="Z130" s="1224" t="n"/>
      <c r="AA130" s="1224" t="n"/>
      <c r="AB130" s="1224" t="n"/>
      <c r="AC130" s="1224" t="n"/>
      <c r="AD130" s="1224" t="n"/>
      <c r="AE130" s="1224" t="n"/>
      <c r="AF130" s="1224" t="n"/>
      <c r="AG130" s="1224" t="n"/>
      <c r="AH130" s="1224" t="n"/>
      <c r="AI130" s="1224" t="n"/>
      <c r="AJ130" s="7562" t="n"/>
      <c r="AK130" s="5909" t="n"/>
      <c r="AL130" s="1224" t="n"/>
      <c r="AM130" s="1224" t="n"/>
    </row>
    <row r="131">
      <c r="H131" s="1224" t="n"/>
      <c r="I131" s="1224" t="n"/>
      <c r="J131" s="1224" t="n"/>
      <c r="K131" s="1224" t="n"/>
      <c r="L131" s="1224" t="n"/>
      <c r="M131" s="1224" t="n"/>
      <c r="N131" s="1224" t="n"/>
      <c r="O131" s="1224" t="n"/>
      <c r="P131" s="1224" t="n"/>
      <c r="Q131" s="1224" t="n"/>
      <c r="R131" s="1224" t="n"/>
      <c r="S131" s="1224" t="n"/>
      <c r="T131" s="1224" t="n"/>
      <c r="U131" s="1224" t="n"/>
      <c r="V131" s="1224" t="n"/>
      <c r="W131" s="1224" t="n"/>
      <c r="X131" s="1224" t="n"/>
      <c r="Y131" s="1224" t="n"/>
      <c r="Z131" s="1224" t="n"/>
      <c r="AA131" s="1224" t="n"/>
      <c r="AB131" s="1224" t="n"/>
      <c r="AC131" s="1224" t="n"/>
      <c r="AD131" s="1224" t="n"/>
      <c r="AE131" s="1224" t="n"/>
      <c r="AF131" s="1224" t="n"/>
      <c r="AG131" s="1224" t="n"/>
      <c r="AH131" s="1224" t="n"/>
      <c r="AI131" s="1224" t="n"/>
      <c r="AJ131" s="7562">
        <f>IF(U131&lt;&gt;"",ROUND(U131,0),"")</f>
        <v/>
      </c>
      <c r="AK131" s="5909" t="n"/>
      <c r="AL131" s="1224" t="n"/>
      <c r="AM131" s="1224" t="n"/>
    </row>
    <row r="132">
      <c r="H132" s="1224" t="n"/>
      <c r="I132" s="1224" t="n"/>
      <c r="J132" s="1224" t="n"/>
      <c r="K132" s="1224" t="n"/>
      <c r="L132" s="1224" t="n"/>
      <c r="M132" s="1224" t="n"/>
      <c r="N132" s="1224" t="n"/>
      <c r="O132" s="1224" t="n"/>
      <c r="P132" s="1224" t="n"/>
      <c r="Q132" s="1224" t="n"/>
      <c r="R132" s="1224" t="n"/>
      <c r="S132" s="1224" t="n"/>
      <c r="T132" s="1224" t="n"/>
      <c r="U132" s="1224" t="n"/>
      <c r="V132" s="1224" t="n"/>
      <c r="W132" s="1224" t="n"/>
      <c r="X132" s="1224" t="n"/>
      <c r="Y132" s="1224" t="n"/>
      <c r="Z132" s="1224" t="n"/>
      <c r="AA132" s="1224" t="n"/>
      <c r="AB132" s="1224" t="n"/>
      <c r="AC132" s="1224" t="n"/>
      <c r="AD132" s="1224" t="n"/>
      <c r="AE132" s="1224" t="n"/>
      <c r="AF132" s="1224" t="n"/>
      <c r="AG132" s="1224" t="n"/>
      <c r="AH132" s="1224" t="n"/>
      <c r="AI132" s="1224" t="n"/>
      <c r="AJ132" s="7562" t="n"/>
      <c r="AK132" s="5909" t="n"/>
      <c r="AL132" s="1224" t="n"/>
      <c r="AM132" s="1224" t="n"/>
    </row>
    <row r="133">
      <c r="H133" s="1224" t="n"/>
      <c r="I133" s="1224" t="n"/>
      <c r="J133" s="1224" t="n"/>
      <c r="K133" s="1224" t="n"/>
      <c r="L133" s="1224" t="n"/>
      <c r="M133" s="1224" t="n"/>
      <c r="N133" s="1224" t="n"/>
      <c r="O133" s="1224" t="n"/>
      <c r="P133" s="1224" t="n"/>
      <c r="Q133" s="1224" t="n"/>
      <c r="R133" s="1224" t="n"/>
      <c r="S133" s="1224" t="n"/>
      <c r="T133" s="1224" t="n"/>
      <c r="U133" s="1224" t="n"/>
      <c r="V133" s="1224" t="n"/>
      <c r="W133" s="1224" t="n"/>
      <c r="X133" s="1224" t="n"/>
      <c r="Y133" s="1224" t="n"/>
      <c r="Z133" s="1224" t="n"/>
      <c r="AA133" s="1224" t="n"/>
      <c r="AB133" s="1224" t="n"/>
      <c r="AC133" s="1224" t="n"/>
      <c r="AD133" s="1224" t="n"/>
      <c r="AE133" s="1224" t="n"/>
      <c r="AF133" s="1224" t="n"/>
      <c r="AG133" s="1224" t="n"/>
      <c r="AH133" s="1224" t="n"/>
      <c r="AI133" s="1224" t="n"/>
      <c r="AJ133" s="7562">
        <f>IF(U133&lt;&gt;"",ROUND(U133,0),"")</f>
        <v/>
      </c>
      <c r="AK133" s="5909" t="n"/>
      <c r="AL133" s="1224" t="n"/>
      <c r="AM133" s="1224" t="n"/>
    </row>
    <row r="134">
      <c r="H134" s="1224" t="n"/>
      <c r="I134" s="1224" t="n"/>
      <c r="J134" s="1224" t="n"/>
      <c r="K134" s="1224" t="n"/>
      <c r="L134" s="1224" t="n"/>
      <c r="M134" s="1224" t="n"/>
      <c r="N134" s="1224" t="n"/>
      <c r="O134" s="1224" t="n"/>
      <c r="P134" s="1224" t="n"/>
      <c r="Q134" s="1224" t="n"/>
      <c r="R134" s="1224" t="n"/>
      <c r="S134" s="1224" t="n"/>
      <c r="T134" s="1224" t="n"/>
      <c r="U134" s="1224" t="n"/>
      <c r="V134" s="1224" t="n"/>
      <c r="W134" s="1224" t="n"/>
      <c r="X134" s="1224" t="n"/>
      <c r="Y134" s="1224" t="n"/>
      <c r="Z134" s="1224" t="n"/>
      <c r="AA134" s="1224" t="n"/>
      <c r="AB134" s="1224" t="n"/>
      <c r="AC134" s="1224" t="n"/>
      <c r="AD134" s="1224" t="n"/>
      <c r="AE134" s="1224" t="n"/>
      <c r="AF134" s="1224" t="n"/>
      <c r="AG134" s="1224" t="n"/>
      <c r="AH134" s="1224" t="n"/>
      <c r="AI134" s="1224" t="n"/>
      <c r="AK134" s="5909" t="n"/>
      <c r="AL134" s="1224" t="n"/>
      <c r="AM134" s="1224" t="n"/>
    </row>
    <row r="135">
      <c r="H135" s="1224" t="n"/>
      <c r="I135" s="1224" t="n"/>
      <c r="J135" s="1224" t="n"/>
      <c r="K135" s="1224" t="n"/>
      <c r="L135" s="1224" t="n"/>
      <c r="M135" s="1224" t="n"/>
      <c r="N135" s="1224" t="n"/>
      <c r="O135" s="1224" t="n"/>
      <c r="P135" s="1224" t="n"/>
      <c r="Q135" s="1224" t="n"/>
      <c r="R135" s="1224" t="n"/>
      <c r="S135" s="1224" t="n"/>
      <c r="T135" s="1224" t="n"/>
      <c r="U135" s="1224" t="n"/>
      <c r="V135" s="1224" t="n"/>
      <c r="W135" s="1224" t="n"/>
      <c r="X135" s="1224" t="n"/>
      <c r="Y135" s="1224" t="n"/>
      <c r="Z135" s="1224" t="n"/>
      <c r="AA135" s="1224" t="n"/>
      <c r="AB135" s="1224" t="n"/>
      <c r="AC135" s="1224" t="n"/>
      <c r="AD135" s="1224" t="n"/>
      <c r="AE135" s="1224" t="n"/>
      <c r="AF135" s="1224" t="n"/>
      <c r="AG135" s="1224" t="n"/>
      <c r="AH135" s="1224" t="n"/>
      <c r="AI135" s="1224" t="n"/>
      <c r="AK135" s="5316" t="n"/>
      <c r="AL135" s="1224" t="n"/>
      <c r="AM135" s="1224" t="n"/>
    </row>
    <row r="136">
      <c r="H136" s="1224" t="n"/>
      <c r="I136" s="1224" t="n"/>
      <c r="J136" s="1224" t="n"/>
      <c r="K136" s="1224" t="n"/>
      <c r="L136" s="1224" t="n"/>
      <c r="M136" s="1224" t="n"/>
      <c r="N136" s="1224" t="n"/>
      <c r="O136" s="1224" t="n"/>
      <c r="P136" s="1224" t="n"/>
      <c r="Q136" s="1224" t="n"/>
      <c r="R136" s="1224" t="n"/>
      <c r="S136" s="1224" t="n"/>
      <c r="T136" s="1224" t="n"/>
      <c r="U136" s="1224" t="n"/>
      <c r="V136" s="1224" t="n"/>
      <c r="W136" s="1224" t="n"/>
      <c r="X136" s="1224" t="n"/>
      <c r="Y136" s="1224" t="n"/>
      <c r="Z136" s="1224" t="n"/>
      <c r="AA136" s="1224" t="n"/>
      <c r="AB136" s="1224" t="n"/>
      <c r="AC136" s="1224" t="n"/>
      <c r="AD136" s="1224" t="n"/>
      <c r="AE136" s="1224" t="n"/>
      <c r="AF136" s="1224" t="n"/>
      <c r="AG136" s="1224" t="n"/>
      <c r="AH136" s="1224" t="n"/>
      <c r="AI136" s="1224" t="n"/>
      <c r="AK136" s="1224" t="n"/>
      <c r="AL136" s="1224" t="n"/>
      <c r="AM136" s="1224" t="n"/>
    </row>
    <row r="137">
      <c r="H137" s="1224" t="n"/>
      <c r="I137" s="1224" t="n"/>
      <c r="J137" s="1224" t="n"/>
      <c r="K137" s="1224" t="n"/>
      <c r="L137" s="1224" t="n"/>
      <c r="M137" s="1224" t="n"/>
      <c r="N137" s="1224" t="n"/>
      <c r="O137" s="1224" t="n"/>
      <c r="P137" s="1224" t="n"/>
      <c r="Q137" s="1224" t="n"/>
      <c r="R137" s="1224" t="n"/>
      <c r="S137" s="1224" t="n"/>
      <c r="T137" s="1224" t="n"/>
      <c r="U137" s="1224" t="n"/>
      <c r="V137" s="1224" t="n"/>
      <c r="W137" s="1224" t="n"/>
      <c r="X137" s="1224" t="n"/>
      <c r="AK137" s="7834" t="n"/>
    </row>
    <row r="138">
      <c r="H138" s="1224" t="n"/>
      <c r="I138" s="1224" t="n"/>
      <c r="J138" s="1224" t="n"/>
      <c r="K138" s="1224" t="n"/>
      <c r="L138" s="1224" t="n"/>
      <c r="M138" s="1224" t="n"/>
      <c r="N138" s="1224" t="n"/>
      <c r="O138" s="1224" t="n"/>
      <c r="P138" s="1224" t="n"/>
      <c r="Q138" s="1224" t="n"/>
      <c r="R138" s="1224" t="n"/>
      <c r="S138" s="1224" t="n"/>
      <c r="T138" s="1224" t="n"/>
      <c r="U138" s="1224" t="n"/>
      <c r="V138" s="1224" t="n"/>
      <c r="W138" s="1224" t="n"/>
      <c r="X138" s="1224" t="n"/>
    </row>
    <row r="139">
      <c r="H139" s="1224" t="n"/>
      <c r="I139" s="1224" t="n"/>
      <c r="J139" s="1224" t="n"/>
      <c r="K139" s="1224" t="n"/>
      <c r="L139" s="1224" t="n"/>
      <c r="M139" s="1224" t="n"/>
      <c r="N139" s="1224" t="n"/>
      <c r="O139" s="1224" t="n"/>
      <c r="P139" s="1224" t="n"/>
      <c r="Q139" s="1224" t="n"/>
      <c r="R139" s="1224" t="n"/>
      <c r="S139" s="1224" t="n"/>
      <c r="T139" s="1224" t="n"/>
      <c r="U139" s="1224" t="n"/>
      <c r="V139" s="1224" t="n"/>
      <c r="W139" s="1224" t="n"/>
      <c r="X139" s="1224" t="n"/>
    </row>
  </sheetData>
  <sheetProtection selectLockedCells="0" selectUnlockedCells="0" algorithmName="SHA-512" sheet="1" objects="0" insertRows="1" insertHyperlinks="1" autoFilter="1" scenarios="0" formatColumns="0" deleteColumns="1" insertColumns="1" pivotTables="1" deleteRows="1" formatCells="0" saltValue="2Neh/+3MMDbvG7lf2fid8Q==" formatRows="0" sort="1" spinCount="100000" hashValue="MYq/w1W1Y3NDSon1vZFoEzqGy2M3ntOJRxRIsjJQxPoI+TogLC5jqLPFGTtiN/GQzEtWUy1XOKwXbtMR176x1Q=="/>
  <mergeCells count="199">
    <mergeCell ref="AD58:AH58"/>
    <mergeCell ref="AX41:AX45"/>
    <mergeCell ref="AU23:AV23"/>
    <mergeCell ref="AZ41:AZ45"/>
    <mergeCell ref="B65:E65"/>
    <mergeCell ref="AY21:AZ21"/>
    <mergeCell ref="AD33:AH33"/>
    <mergeCell ref="AD51:AH51"/>
    <mergeCell ref="AW32:AX32"/>
    <mergeCell ref="AY32:AZ32"/>
    <mergeCell ref="AY23:AZ23"/>
    <mergeCell ref="AW72:AZ72"/>
    <mergeCell ref="AW62:AZ63"/>
    <mergeCell ref="AD35:AH35"/>
    <mergeCell ref="AD44:AH44"/>
    <mergeCell ref="AD34:AH34"/>
    <mergeCell ref="AU24:AV24"/>
    <mergeCell ref="AW70:AZ70"/>
    <mergeCell ref="AD28:AH28"/>
    <mergeCell ref="AW24:AX24"/>
    <mergeCell ref="AD99:AH99"/>
    <mergeCell ref="B47:E47"/>
    <mergeCell ref="A2:A3"/>
    <mergeCell ref="AK7:AK9"/>
    <mergeCell ref="AY24:AZ24"/>
    <mergeCell ref="Y79:AC79"/>
    <mergeCell ref="AJ59:AK60"/>
    <mergeCell ref="AD27:AH27"/>
    <mergeCell ref="AD36:AH36"/>
    <mergeCell ref="AU26:AV26"/>
    <mergeCell ref="AD30:AH30"/>
    <mergeCell ref="AW26:AX26"/>
    <mergeCell ref="AD101:AH101"/>
    <mergeCell ref="B110:F111"/>
    <mergeCell ref="B8:AB9"/>
    <mergeCell ref="AD11:AH11"/>
    <mergeCell ref="AD85:AH85"/>
    <mergeCell ref="AU25:AV25"/>
    <mergeCell ref="H5:AB5"/>
    <mergeCell ref="AY41:AY45"/>
    <mergeCell ref="AD61:AH61"/>
    <mergeCell ref="Y71:AC74"/>
    <mergeCell ref="AS71:AV71"/>
    <mergeCell ref="AY25:AZ25"/>
    <mergeCell ref="X25:AB27"/>
    <mergeCell ref="Y76:AC76"/>
    <mergeCell ref="AY30:AZ30"/>
    <mergeCell ref="AZ51:AZ53"/>
    <mergeCell ref="AD55:AH55"/>
    <mergeCell ref="AJ48:AK49"/>
    <mergeCell ref="AW58:AZ58"/>
    <mergeCell ref="AS49:AT49"/>
    <mergeCell ref="AW73:AZ75"/>
    <mergeCell ref="AU18:AV20"/>
    <mergeCell ref="X12:AB12"/>
    <mergeCell ref="AD96:AH96"/>
    <mergeCell ref="AS30:AT30"/>
    <mergeCell ref="AS57:AV57"/>
    <mergeCell ref="AW60:AZ60"/>
    <mergeCell ref="AS29:AT29"/>
    <mergeCell ref="AR66:AR67"/>
    <mergeCell ref="AU29:AV29"/>
    <mergeCell ref="AD38:AH38"/>
    <mergeCell ref="AY33:AZ35"/>
    <mergeCell ref="AW23:AX23"/>
    <mergeCell ref="AS68:AV68"/>
    <mergeCell ref="AW59:AZ59"/>
    <mergeCell ref="AD79:AH79"/>
    <mergeCell ref="B112:F113"/>
    <mergeCell ref="AS22:AT22"/>
    <mergeCell ref="X13:AB13"/>
    <mergeCell ref="AC5:AF6"/>
    <mergeCell ref="AD88:AH88"/>
    <mergeCell ref="AS31:AT31"/>
    <mergeCell ref="AU31:AV31"/>
    <mergeCell ref="AS46:AT46"/>
    <mergeCell ref="AS21:AT21"/>
    <mergeCell ref="AW61:AZ61"/>
    <mergeCell ref="Y103:AB103"/>
    <mergeCell ref="B90:E90"/>
    <mergeCell ref="AD90:AH90"/>
    <mergeCell ref="AJ26:AK27"/>
    <mergeCell ref="AC3:AH4"/>
    <mergeCell ref="AJ35:AK36"/>
    <mergeCell ref="AD65:AH65"/>
    <mergeCell ref="B18:E18"/>
    <mergeCell ref="AD105:AH105"/>
    <mergeCell ref="B2:G3"/>
    <mergeCell ref="AC2:AH2"/>
    <mergeCell ref="AD71:AH74"/>
    <mergeCell ref="AY28:AZ28"/>
    <mergeCell ref="AS48:AT48"/>
    <mergeCell ref="AV41:AV45"/>
    <mergeCell ref="AD76:AH76"/>
    <mergeCell ref="AS72:AV72"/>
    <mergeCell ref="X51:AB51"/>
    <mergeCell ref="AD53:AH53"/>
    <mergeCell ref="AS70:AV70"/>
    <mergeCell ref="AR62:AR63"/>
    <mergeCell ref="B103:E103"/>
    <mergeCell ref="AD93:AH93"/>
    <mergeCell ref="H4:AB4"/>
    <mergeCell ref="Y90:AB90"/>
    <mergeCell ref="AD37:AH37"/>
    <mergeCell ref="AD102:AH102"/>
    <mergeCell ref="AW27:AX27"/>
    <mergeCell ref="AY27:AZ27"/>
    <mergeCell ref="AS18:AT20"/>
    <mergeCell ref="AD83:AH83"/>
    <mergeCell ref="AD52:AH52"/>
    <mergeCell ref="AS26:AT26"/>
    <mergeCell ref="AD39:AH39"/>
    <mergeCell ref="AS33:AT35"/>
    <mergeCell ref="AW66:AZ67"/>
    <mergeCell ref="AS51:AT53"/>
    <mergeCell ref="AR38:AY40"/>
    <mergeCell ref="AY18:AZ20"/>
    <mergeCell ref="AD94:AH94"/>
    <mergeCell ref="AU28:AV28"/>
    <mergeCell ref="AW28:AX28"/>
    <mergeCell ref="AY22:AZ22"/>
    <mergeCell ref="AW25:AX25"/>
    <mergeCell ref="AI92:AI94"/>
    <mergeCell ref="AU30:AV30"/>
    <mergeCell ref="AS41:AT45"/>
    <mergeCell ref="X53:AB53"/>
    <mergeCell ref="AD46:AH46"/>
    <mergeCell ref="AS58:AV58"/>
    <mergeCell ref="AD40:AH40"/>
    <mergeCell ref="AR41:AR45"/>
    <mergeCell ref="AD89:AH89"/>
    <mergeCell ref="AC8:AH9"/>
    <mergeCell ref="X15:AB15"/>
    <mergeCell ref="AS60:AV60"/>
    <mergeCell ref="AD57:AH57"/>
    <mergeCell ref="AS69:AV69"/>
    <mergeCell ref="AD54:AH54"/>
    <mergeCell ref="AR73:AR75"/>
    <mergeCell ref="AD32:AH32"/>
    <mergeCell ref="AS23:AT23"/>
    <mergeCell ref="AS32:AT32"/>
    <mergeCell ref="AU32:AV32"/>
    <mergeCell ref="AD41:AH41"/>
    <mergeCell ref="AW69:AZ69"/>
    <mergeCell ref="AS59:AV59"/>
    <mergeCell ref="AS47:AT47"/>
    <mergeCell ref="AS62:AV63"/>
    <mergeCell ref="AS61:AV61"/>
    <mergeCell ref="AS24:AT24"/>
    <mergeCell ref="AD42:AH42"/>
    <mergeCell ref="AY26:AZ26"/>
    <mergeCell ref="AD17:AH17"/>
    <mergeCell ref="Y65:AB65"/>
    <mergeCell ref="B5:G6"/>
    <mergeCell ref="AD82:AH82"/>
    <mergeCell ref="AS50:AT50"/>
    <mergeCell ref="AD59:AH59"/>
    <mergeCell ref="AU41:AU45"/>
    <mergeCell ref="AW41:AW45"/>
    <mergeCell ref="AW71:AZ71"/>
    <mergeCell ref="AD60:AH60"/>
    <mergeCell ref="AS25:AT25"/>
    <mergeCell ref="AD103:AH103"/>
    <mergeCell ref="AR15:AZ17"/>
    <mergeCell ref="X28:AB28"/>
    <mergeCell ref="Y69:AH70"/>
    <mergeCell ref="AD84:AH84"/>
    <mergeCell ref="AS27:AT27"/>
    <mergeCell ref="AG5:AH6"/>
    <mergeCell ref="AU27:AV27"/>
    <mergeCell ref="AW18:AX20"/>
    <mergeCell ref="AD45:AH45"/>
    <mergeCell ref="X30:AB30"/>
    <mergeCell ref="AW30:AX30"/>
    <mergeCell ref="AW57:AZ57"/>
    <mergeCell ref="AS73:AV75"/>
    <mergeCell ref="AS66:AV67"/>
    <mergeCell ref="AD95:AH95"/>
    <mergeCell ref="X14:AB14"/>
    <mergeCell ref="B4:G4"/>
    <mergeCell ref="AW29:AX29"/>
    <mergeCell ref="AY29:AZ29"/>
    <mergeCell ref="AS28:AT28"/>
    <mergeCell ref="AW68:AZ68"/>
    <mergeCell ref="AU22:AV22"/>
    <mergeCell ref="AW22:AX22"/>
    <mergeCell ref="AD97:AH97"/>
    <mergeCell ref="AW31:AX31"/>
    <mergeCell ref="AY31:AZ31"/>
    <mergeCell ref="AD16:AH16"/>
    <mergeCell ref="AD81:AH81"/>
    <mergeCell ref="AD87:AH87"/>
    <mergeCell ref="AU21:AV21"/>
    <mergeCell ref="AW21:AX21"/>
    <mergeCell ref="AO11:AO12"/>
    <mergeCell ref="AD62:AH62"/>
    <mergeCell ref="B10:E10"/>
    <mergeCell ref="AD56:AH56"/>
    <mergeCell ref="AJ19:AK20"/>
  </mergeCells>
  <conditionalFormatting sqref="B8 F22:AA24 F25:X25 F26:W27 Y76 Y79 AC8 AD76:AH76 AD79:AH79">
    <cfRule type="expression" priority="97" dxfId="6">
      <formula>NoColor</formula>
    </cfRule>
  </conditionalFormatting>
  <conditionalFormatting sqref="F76:V76">
    <cfRule type="expression" priority="18" dxfId="6">
      <formula>NoColor</formula>
    </cfRule>
  </conditionalFormatting>
  <conditionalFormatting sqref="F79:V79">
    <cfRule type="expression" priority="13" dxfId="6">
      <formula>NoColor</formula>
    </cfRule>
  </conditionalFormatting>
  <conditionalFormatting sqref="F29:AA29">
    <cfRule type="expression" priority="9" dxfId="6">
      <formula>NoColor</formula>
    </cfRule>
  </conditionalFormatting>
  <conditionalFormatting sqref="F31:AB31">
    <cfRule type="expression" priority="83" dxfId="6">
      <formula>NoColor</formula>
    </cfRule>
  </conditionalFormatting>
  <conditionalFormatting sqref="I21">
    <cfRule type="expression" priority="6" dxfId="40">
      <formula>AND(File_Marr_Sep&lt;&gt;"",NOT($AJ$22))</formula>
    </cfRule>
  </conditionalFormatting>
  <conditionalFormatting sqref="S91">
    <cfRule type="expression" priority="2" dxfId="40">
      <formula>$AJ$91</formula>
    </cfRule>
  </conditionalFormatting>
  <conditionalFormatting sqref="X51 X53">
    <cfRule type="expression" priority="71" dxfId="6">
      <formula>NoColor</formula>
    </cfRule>
  </conditionalFormatting>
  <conditionalFormatting sqref="X70:X71 X88">
    <cfRule type="expression" priority="95" dxfId="6">
      <formula>IF(NoColor,1,0)</formula>
    </cfRule>
  </conditionalFormatting>
  <conditionalFormatting sqref="X73:X80 X89:AA89">
    <cfRule type="expression" priority="92" dxfId="6">
      <formula>IF(NoColor,1,0)</formula>
    </cfRule>
  </conditionalFormatting>
  <conditionalFormatting sqref="X12:AB15">
    <cfRule type="expression" priority="48" dxfId="6">
      <formula>NoColor</formula>
    </cfRule>
  </conditionalFormatting>
  <conditionalFormatting sqref="X28:AB28 X30:AB30">
    <cfRule type="expression" priority="41" dxfId="6">
      <formula>NoColor</formula>
    </cfRule>
  </conditionalFormatting>
  <conditionalFormatting sqref="AD22:AD25">
    <cfRule type="expression" priority="46" dxfId="6">
      <formula>IF(NoColor,1,0)</formula>
    </cfRule>
  </conditionalFormatting>
  <conditionalFormatting sqref="AD33">
    <cfRule type="expression" priority="40" dxfId="6">
      <formula>IF(NoColor,1,0)</formula>
    </cfRule>
  </conditionalFormatting>
  <conditionalFormatting sqref="AD37:AD46">
    <cfRule type="expression" priority="4" dxfId="6">
      <formula>IF(NoColor,1,0)</formula>
    </cfRule>
  </conditionalFormatting>
  <conditionalFormatting sqref="AD54:AD58">
    <cfRule type="expression" priority="33" dxfId="6">
      <formula>IF(NoColor,1,0)</formula>
    </cfRule>
  </conditionalFormatting>
  <conditionalFormatting sqref="AD60:AD62">
    <cfRule type="expression" priority="14" dxfId="6">
      <formula>IF(NoColor,1,0)</formula>
    </cfRule>
  </conditionalFormatting>
  <conditionalFormatting sqref="AD11:AH11">
    <cfRule type="expression" priority="88" dxfId="6">
      <formula>IF(NoColor,1,0)</formula>
    </cfRule>
  </conditionalFormatting>
  <conditionalFormatting sqref="AD16:AH17">
    <cfRule type="expression" priority="89" dxfId="6">
      <formula>IF(NoColor,1,0)</formula>
    </cfRule>
  </conditionalFormatting>
  <conditionalFormatting sqref="AD81:AH85">
    <cfRule type="expression" priority="28" dxfId="6">
      <formula>IF(NoColor,1,0)</formula>
    </cfRule>
  </conditionalFormatting>
  <conditionalFormatting sqref="AD87:AH89">
    <cfRule type="expression" priority="26" dxfId="6">
      <formula>IF(NoColor,1,0)</formula>
    </cfRule>
  </conditionalFormatting>
  <conditionalFormatting sqref="AD93:AH97">
    <cfRule type="expression" priority="24" dxfId="6">
      <formula>IF(NoColor,1,0)</formula>
    </cfRule>
  </conditionalFormatting>
  <conditionalFormatting sqref="AD99:AH99">
    <cfRule type="expression" priority="23" dxfId="6">
      <formula>IF(NoColor,1,0)</formula>
    </cfRule>
  </conditionalFormatting>
  <conditionalFormatting sqref="AD101:AH102">
    <cfRule type="expression" priority="21" dxfId="6">
      <formula>IF(NoColor,1,0)</formula>
    </cfRule>
  </conditionalFormatting>
  <conditionalFormatting sqref="AD105:AH105">
    <cfRule type="expression" priority="12" dxfId="6">
      <formula>IF(NoColor,1,0)</formula>
    </cfRule>
  </conditionalFormatting>
  <conditionalFormatting sqref="AI21">
    <cfRule type="expression" priority="5" dxfId="5">
      <formula>File_Marr_Sep&lt;&gt;""</formula>
    </cfRule>
  </conditionalFormatting>
  <conditionalFormatting sqref="AI25">
    <cfRule type="expression" priority="3" dxfId="5">
      <formula>$BC$35</formula>
    </cfRule>
  </conditionalFormatting>
  <conditionalFormatting sqref="AI91">
    <cfRule type="expression" priority="1" dxfId="5">
      <formula>File_Marr_Sep&lt;&gt;""</formula>
    </cfRule>
  </conditionalFormatting>
  <conditionalFormatting sqref="AK64:AK65 AK68:AK80 AK86">
    <cfRule type="expression" priority="58" dxfId="3481">
      <formula>#REF!</formula>
    </cfRule>
  </conditionalFormatting>
  <conditionalFormatting sqref="AK90">
    <cfRule type="expression" priority="25" dxfId="3481">
      <formula>#REF!</formula>
    </cfRule>
  </conditionalFormatting>
  <conditionalFormatting sqref="AK103">
    <cfRule type="expression" priority="20" dxfId="3481">
      <formula>#REF!</formula>
    </cfRule>
  </conditionalFormatting>
  <conditionalFormatting sqref="AM36">
    <cfRule type="expression" priority="59" dxfId="0">
      <formula>$AJ$36</formula>
    </cfRule>
  </conditionalFormatting>
  <conditionalFormatting sqref="AO11:AO12">
    <cfRule type="expression" priority="87" dxfId="3479">
      <formula>$AO$10</formula>
    </cfRule>
  </conditionalFormatting>
  <conditionalFormatting sqref="AO13:AO15 AO36:AO40 AO42">
    <cfRule type="expression" priority="77" dxfId="3465">
      <formula>AO10</formula>
    </cfRule>
  </conditionalFormatting>
  <conditionalFormatting sqref="AO16:AO17 AO34:AO35">
    <cfRule type="expression" priority="101" dxfId="3465">
      <formula>AO12</formula>
    </cfRule>
  </conditionalFormatting>
  <conditionalFormatting sqref="AO22:AO24">
    <cfRule type="expression" priority="47" dxfId="3465">
      <formula>AO14</formula>
    </cfRule>
  </conditionalFormatting>
  <conditionalFormatting sqref="AO25">
    <cfRule type="expression" priority="6523" dxfId="3465">
      <formula>AO15</formula>
    </cfRule>
  </conditionalFormatting>
  <conditionalFormatting sqref="AO26:AO27">
    <cfRule type="expression" priority="6515" dxfId="3465">
      <formula>AO15</formula>
    </cfRule>
  </conditionalFormatting>
  <conditionalFormatting sqref="AO28">
    <cfRule type="expression" priority="6476" dxfId="3465">
      <formula>AO14</formula>
    </cfRule>
  </conditionalFormatting>
  <conditionalFormatting sqref="AO29">
    <cfRule type="expression" priority="10" dxfId="3465">
      <formula>AO18</formula>
    </cfRule>
  </conditionalFormatting>
  <conditionalFormatting sqref="AO30:AO31">
    <cfRule type="expression" priority="6479" dxfId="3465">
      <formula>AO16</formula>
    </cfRule>
  </conditionalFormatting>
  <conditionalFormatting sqref="AO32">
    <cfRule type="expression" priority="7" dxfId="3465">
      <formula>AO28</formula>
    </cfRule>
  </conditionalFormatting>
  <conditionalFormatting sqref="AO33">
    <cfRule type="expression" priority="6528" dxfId="3465">
      <formula>AO28</formula>
    </cfRule>
  </conditionalFormatting>
  <conditionalFormatting sqref="AO43:AO44">
    <cfRule type="expression" priority="99" dxfId="3465">
      <formula>AO42</formula>
    </cfRule>
  </conditionalFormatting>
  <conditionalFormatting sqref="AO45">
    <cfRule type="expression" priority="100" dxfId="3465">
      <formula>#REF!</formula>
    </cfRule>
  </conditionalFormatting>
  <conditionalFormatting sqref="AO46">
    <cfRule type="expression" priority="56" dxfId="3465">
      <formula>AO44</formula>
    </cfRule>
  </conditionalFormatting>
  <conditionalFormatting sqref="AO51">
    <cfRule type="expression" priority="6482" dxfId="3465">
      <formula>AO43</formula>
    </cfRule>
  </conditionalFormatting>
  <conditionalFormatting sqref="AO74">
    <cfRule type="expression" priority="90" dxfId="3464">
      <formula>$AO$73</formula>
    </cfRule>
  </conditionalFormatting>
  <conditionalFormatting sqref="AO75:AO83 AO85:AO89 AO94:AO100">
    <cfRule type="expression" priority="98" dxfId="3463">
      <formula>$AO$73</formula>
    </cfRule>
  </conditionalFormatting>
  <hyperlinks>
    <hyperlink ref="B110" location="'Table of Contents'!A1" display="Table of Contents"/>
    <hyperlink ref="B112" location="'1040'!A1" display="Form 1040"/>
  </hyperlinks>
  <pageMargins left="0.75" right="0.25" top="0.36" bottom="0.29" header="0.36" footer="0.21"/>
  <pageSetup orientation="portrait" scale="64" fitToHeight="0"/>
  <rowBreaks count="1" manualBreakCount="1">
    <brk id="63" min="1" max="33" man="1"/>
  </rowBreaks>
</worksheet>
</file>

<file path=xl/worksheets/sheet17.xml><?xml version="1.0" encoding="utf-8"?>
<worksheet xmlns="http://schemas.openxmlformats.org/spreadsheetml/2006/main">
  <sheetPr codeName="Sheet17">
    <outlinePr summaryBelow="1" summaryRight="1"/>
    <pageSetUpPr fitToPage="1"/>
  </sheetPr>
  <dimension ref="A1:AE83"/>
  <sheetViews>
    <sheetView zoomScaleNormal="100" workbookViewId="0">
      <selection activeCell="A1" sqref="A1"/>
    </sheetView>
  </sheetViews>
  <sheetFormatPr baseColWidth="8" defaultColWidth="9.140625" defaultRowHeight="12.75"/>
  <cols>
    <col width="2" customWidth="1" style="7635" min="1" max="1"/>
    <col width="3.5703125" customWidth="1" style="7635" min="2" max="2"/>
    <col width="2.85546875" customWidth="1" style="7635" min="3" max="3"/>
    <col width="5.28515625" customWidth="1" style="7635" min="4" max="4"/>
    <col width="9.5703125" customWidth="1" style="7635" min="5" max="5"/>
    <col width="2.85546875" customWidth="1" style="7635" min="6" max="6"/>
    <col width="42.7109375" customWidth="1" style="7635" min="7" max="7"/>
    <col width="7.5703125" customWidth="1" style="7635" min="8" max="8"/>
    <col width="3.28515625" customWidth="1" style="7635" min="9" max="9"/>
    <col width="13.42578125" customWidth="1" style="7635" min="10" max="10"/>
    <col width="5.5703125" customWidth="1" style="7635" min="11" max="11"/>
    <col width="13.42578125" customWidth="1" style="7635" min="12" max="12"/>
    <col width="3.42578125" customWidth="1" style="7635" min="13" max="13"/>
    <col width="2.5703125" customWidth="1" style="7635" min="14" max="14"/>
    <col width="2.7109375" customWidth="1" style="7635" min="15" max="15"/>
    <col width="3.28515625" customWidth="1" style="7635" min="16" max="16"/>
    <col width="1.85546875" customWidth="1" style="7635" min="17" max="17"/>
    <col width="10.85546875" customWidth="1" style="7635" min="18" max="18"/>
    <col width="18.5703125" customWidth="1" style="7635" min="19" max="19"/>
    <col width="8.85546875" customWidth="1" style="7635" min="20" max="20"/>
    <col width="9.140625" customWidth="1" style="658" min="22" max="31"/>
  </cols>
  <sheetData>
    <row r="1" ht="13.5" customHeight="1" s="7635" thickBot="1">
      <c r="A1" s="139" t="n"/>
      <c r="B1" s="139" t="n"/>
      <c r="C1" s="139" t="n"/>
      <c r="D1" s="139" t="n"/>
      <c r="E1" s="139" t="n"/>
      <c r="F1" s="139" t="n"/>
      <c r="G1" s="8355" t="n"/>
      <c r="H1" s="139" t="n"/>
      <c r="I1" s="139" t="n"/>
      <c r="J1" s="139" t="n"/>
      <c r="K1" s="139" t="n"/>
      <c r="L1" s="139" t="n"/>
      <c r="M1" s="139" t="n"/>
      <c r="N1" s="139" t="n"/>
      <c r="O1" s="88" t="n"/>
      <c r="P1" s="88" t="n"/>
      <c r="Q1" s="88" t="n"/>
      <c r="R1" s="7825" t="n"/>
      <c r="S1" s="88" t="n"/>
      <c r="T1" s="88" t="n"/>
      <c r="U1" s="11602" t="n"/>
    </row>
    <row r="2" ht="15.75" customHeight="1" s="7635">
      <c r="A2" s="139" t="n"/>
      <c r="B2" s="139" t="n"/>
      <c r="C2" s="139" t="n"/>
      <c r="D2" s="139" t="n"/>
      <c r="E2" s="139" t="n"/>
      <c r="F2" s="139" t="n"/>
      <c r="G2" s="8355" t="n"/>
      <c r="H2" s="139" t="n"/>
      <c r="I2" s="139" t="n"/>
      <c r="J2" s="139" t="n"/>
      <c r="K2" s="139" t="n"/>
      <c r="L2" s="139" t="n"/>
      <c r="M2" s="4363">
        <f>"Indicate your "&amp;TaxYear-1&amp;" filing status here. "</f>
        <v/>
      </c>
      <c r="N2" s="4364" t="inlineStr">
        <is>
          <t>®</t>
        </is>
      </c>
      <c r="O2" s="4365" t="n"/>
      <c r="P2" s="4366" t="n"/>
      <c r="Q2" s="89" t="n"/>
      <c r="R2" s="89" t="n"/>
      <c r="S2" s="89" t="n"/>
      <c r="T2" s="3428" t="n"/>
      <c r="U2" s="11602" t="n"/>
    </row>
    <row r="3" ht="15.75" customHeight="1" s="7635">
      <c r="A3" s="139" t="n"/>
      <c r="B3" s="139" t="n"/>
      <c r="C3" s="139" t="n"/>
      <c r="D3" s="139" t="n"/>
      <c r="E3" s="139" t="n"/>
      <c r="F3" s="139" t="n"/>
      <c r="G3" s="139" t="n"/>
      <c r="H3" s="139" t="n"/>
      <c r="I3" s="139" t="n"/>
      <c r="J3" s="139" t="n"/>
      <c r="K3" s="139" t="n"/>
      <c r="L3" s="139" t="n"/>
      <c r="M3" s="139" t="n"/>
      <c r="N3" s="139" t="n"/>
      <c r="O3" s="4367" t="n"/>
      <c r="P3" s="4368">
        <f>"Indicate your "&amp;TaxYear-1&amp;" filing status below:"</f>
        <v/>
      </c>
      <c r="Q3" s="88" t="n"/>
      <c r="R3" s="88" t="n"/>
      <c r="S3" s="88" t="n"/>
      <c r="T3" s="90" t="n"/>
      <c r="U3" s="11602" t="n"/>
      <c r="V3" s="657" t="inlineStr">
        <is>
          <t>Notes</t>
        </is>
      </c>
    </row>
    <row r="4" ht="13.5" customHeight="1" s="7635">
      <c r="A4" s="139" t="n"/>
      <c r="B4" s="3248" t="inlineStr">
        <is>
          <t>Exception. See Itemized Deduction Recoveries in Pub. 525 instead of using the worksheet below if any of the following applies.</t>
        </is>
      </c>
      <c r="C4" s="4369" t="n"/>
      <c r="D4" s="4369" t="n"/>
      <c r="E4" s="4369" t="n"/>
      <c r="F4" s="4369" t="n"/>
      <c r="G4" s="4369" t="n"/>
      <c r="H4" s="4369" t="n"/>
      <c r="I4" s="4369" t="n"/>
      <c r="J4" s="4369" t="n"/>
      <c r="K4" s="4369" t="n"/>
      <c r="L4" s="4369" t="n"/>
      <c r="M4" s="139" t="n"/>
      <c r="N4" s="139" t="n"/>
      <c r="O4" s="4370" t="n"/>
      <c r="P4" s="2417">
        <f>IF(O4=0,"Check one.",IF(O15&gt;1,"Check only one.",""))</f>
        <v/>
      </c>
      <c r="Q4" s="88" t="n"/>
      <c r="R4" s="88" t="n"/>
      <c r="S4" s="88" t="n"/>
      <c r="T4" s="90" t="n"/>
      <c r="U4" s="11602" t="n"/>
    </row>
    <row r="5" ht="13.5" customHeight="1" s="7635" thickBot="1">
      <c r="A5" s="139" t="n"/>
      <c r="B5" s="4369">
        <f>"1. You received a refund in "&amp;TaxYear&amp;" that is for a tax year other than "&amp;TaxYear-1&amp;"."</f>
        <v/>
      </c>
      <c r="C5" s="4369" t="n"/>
      <c r="D5" s="4369" t="n"/>
      <c r="E5" s="4369" t="n"/>
      <c r="F5" s="4369" t="n"/>
      <c r="G5" s="4369" t="n"/>
      <c r="H5" s="4369" t="n"/>
      <c r="I5" s="4369" t="n"/>
      <c r="J5" s="4369" t="n"/>
      <c r="K5" s="4369" t="n"/>
      <c r="L5" s="4369" t="n"/>
      <c r="M5" s="139" t="n"/>
      <c r="N5" s="139" t="n"/>
      <c r="O5" s="7827">
        <f>(O15=1)</f>
        <v/>
      </c>
      <c r="Q5" s="88" t="n"/>
      <c r="R5" s="88" t="n"/>
      <c r="S5" s="88" t="n"/>
      <c r="T5" s="90" t="n"/>
      <c r="U5" s="11602" t="n"/>
    </row>
    <row r="6" ht="13.5" customHeight="1" s="7635" thickBot="1">
      <c r="A6" s="139" t="n"/>
      <c r="B6" s="4369">
        <f>"2. You received a refund other than an income tax refund, such as a general sales tax or real property tax refund, in "&amp;TaxYear&amp;" of an amount deducted or"</f>
        <v/>
      </c>
      <c r="C6" s="4369" t="n"/>
      <c r="D6" s="4369" t="n"/>
      <c r="E6" s="4369" t="n"/>
      <c r="F6" s="4369" t="n"/>
      <c r="G6" s="4369" t="n"/>
      <c r="H6" s="4369" t="n"/>
      <c r="I6" s="4369" t="n"/>
      <c r="J6" s="4369" t="n"/>
      <c r="K6" s="4369" t="n"/>
      <c r="L6" s="4369" t="n"/>
      <c r="M6" s="139" t="n"/>
      <c r="N6" s="139" t="n"/>
      <c r="O6" s="4370">
        <f>IF(P6&lt;&gt;"",1,0)</f>
        <v/>
      </c>
      <c r="P6" s="280" t="n"/>
      <c r="Q6" s="88" t="n"/>
      <c r="R6" s="11403" t="inlineStr">
        <is>
          <t>Single  (S)</t>
        </is>
      </c>
      <c r="S6" s="88" t="n"/>
      <c r="T6" s="90" t="n"/>
      <c r="U6" s="6996" t="n"/>
    </row>
    <row r="7" ht="13.5" customHeight="1" s="7635" thickBot="1">
      <c r="A7" s="139" t="n"/>
      <c r="B7" s="4369" t="inlineStr">
        <is>
          <t xml:space="preserve">    credit claimed in an earlier year.</t>
        </is>
      </c>
      <c r="C7" s="4369" t="n"/>
      <c r="D7" s="4369" t="n"/>
      <c r="E7" s="4369" t="n"/>
      <c r="F7" s="4369" t="n"/>
      <c r="G7" s="4369" t="n"/>
      <c r="H7" s="4369" t="n"/>
      <c r="I7" s="4369" t="n"/>
      <c r="J7" s="4369" t="n"/>
      <c r="K7" s="4369" t="n"/>
      <c r="L7" s="4369" t="n"/>
      <c r="M7" s="139" t="n"/>
      <c r="N7" s="139" t="n"/>
      <c r="O7" s="4370" t="n"/>
      <c r="P7" s="2557" t="n"/>
      <c r="Q7" s="88" t="n"/>
      <c r="R7" s="88" t="n"/>
      <c r="S7" s="88" t="n"/>
      <c r="T7" s="90" t="n"/>
      <c r="U7" s="11602" t="n"/>
    </row>
    <row r="8" ht="13.5" customHeight="1" s="7635" thickBot="1">
      <c r="A8" s="139" t="n"/>
      <c r="B8" s="4369">
        <f>"3. You had taxable income on your "&amp;TaxYear-1&amp;" Form 1040 or 1040-SR, line 15, but no tax on your Form 1040 or 1040-SR, line 16, because of the 0% tax rate"</f>
        <v/>
      </c>
      <c r="C8" s="4369" t="n"/>
      <c r="D8" s="4369" t="n"/>
      <c r="E8" s="4369" t="n"/>
      <c r="F8" s="4369" t="n"/>
      <c r="G8" s="4369" t="n"/>
      <c r="H8" s="4369" t="n"/>
      <c r="I8" s="4369" t="n"/>
      <c r="J8" s="4369" t="n"/>
      <c r="K8" s="4369" t="n"/>
      <c r="L8" s="4369" t="n"/>
      <c r="M8" s="139" t="n"/>
      <c r="N8" s="139" t="n"/>
      <c r="O8" s="4370">
        <f>IF(P8&lt;&gt;"",1,0)</f>
        <v/>
      </c>
      <c r="P8" s="280" t="n"/>
      <c r="Q8" s="88" t="n"/>
      <c r="R8" s="11403" t="inlineStr">
        <is>
          <t>Married filing jointly  (MFJ)</t>
        </is>
      </c>
      <c r="S8" s="88" t="n"/>
      <c r="T8" s="90" t="n"/>
      <c r="U8" s="11602" t="n"/>
    </row>
    <row r="9" ht="13.5" customHeight="1" s="7635" thickBot="1">
      <c r="A9" s="139" t="n"/>
      <c r="B9" s="4369" t="inlineStr">
        <is>
          <t xml:space="preserve">    on net capital gain and qualified dividends in certain situations.</t>
        </is>
      </c>
      <c r="C9" s="4369" t="n"/>
      <c r="D9" s="4369" t="n"/>
      <c r="E9" s="4369" t="n"/>
      <c r="F9" s="4369" t="n"/>
      <c r="G9" s="4369" t="n"/>
      <c r="H9" s="4369" t="n"/>
      <c r="I9" s="4369" t="n"/>
      <c r="J9" s="4369" t="n"/>
      <c r="K9" s="4369" t="n"/>
      <c r="L9" s="4369" t="n"/>
      <c r="M9" s="139" t="n"/>
      <c r="N9" s="139" t="n"/>
      <c r="O9" s="4370" t="n"/>
      <c r="P9" s="2557" t="n"/>
      <c r="Q9" s="88" t="n"/>
      <c r="R9" s="88" t="n"/>
      <c r="S9" s="88" t="n"/>
      <c r="T9" s="90" t="n"/>
      <c r="U9" s="11602" t="n"/>
    </row>
    <row r="10" ht="13.5" customHeight="1" s="7635" thickBot="1">
      <c r="A10" s="139" t="n"/>
      <c r="B10" s="4369">
        <f>"4. Your "&amp;TaxYear-1&amp;" state and local income tax refund is more than your "&amp;TaxYear-1&amp;" state and local income tax deduction minus the amount you could have"</f>
        <v/>
      </c>
      <c r="C10" s="4369" t="n"/>
      <c r="D10" s="4369" t="n"/>
      <c r="E10" s="4369" t="n"/>
      <c r="F10" s="4369" t="n"/>
      <c r="G10" s="4369" t="n"/>
      <c r="H10" s="4369" t="n"/>
      <c r="I10" s="4369" t="n"/>
      <c r="J10" s="4369" t="n"/>
      <c r="K10" s="4369" t="n"/>
      <c r="L10" s="4369" t="n"/>
      <c r="M10" s="139" t="n"/>
      <c r="N10" s="139" t="n"/>
      <c r="O10" s="4370">
        <f>IF(P10&lt;&gt;"",1,0)</f>
        <v/>
      </c>
      <c r="P10" s="280" t="n"/>
      <c r="Q10" s="88" t="n"/>
      <c r="R10" s="11403" t="inlineStr">
        <is>
          <t>Married filing separately (MFS)</t>
        </is>
      </c>
      <c r="S10" s="88" t="n"/>
      <c r="T10" s="90" t="n"/>
      <c r="U10" s="11602" t="n"/>
    </row>
    <row r="11" ht="12.75" customHeight="1" s="7635" thickBot="1">
      <c r="A11" s="139" t="n"/>
      <c r="B11" s="4369">
        <f>"    deducted as your "&amp;TaxYear-1&amp;" state and local general sales taxes."</f>
        <v/>
      </c>
      <c r="C11" s="4369" t="n"/>
      <c r="D11" s="4369" t="n"/>
      <c r="E11" s="4369" t="n"/>
      <c r="F11" s="4369" t="n"/>
      <c r="G11" s="4369" t="n"/>
      <c r="H11" s="4369" t="n"/>
      <c r="I11" s="4369" t="n"/>
      <c r="J11" s="4369" t="n"/>
      <c r="K11" s="4369" t="n"/>
      <c r="L11" s="4369" t="n"/>
      <c r="M11" s="139" t="n"/>
      <c r="N11" s="139" t="n"/>
      <c r="O11" s="4370" t="n"/>
      <c r="P11" s="2700" t="n"/>
      <c r="Q11" s="88" t="n"/>
      <c r="R11" s="88" t="n"/>
      <c r="S11" s="88" t="n"/>
      <c r="T11" s="90" t="n"/>
      <c r="U11" s="11602" t="n"/>
    </row>
    <row r="12" ht="13.5" customHeight="1" s="7635" thickBot="1">
      <c r="A12" s="139" t="n"/>
      <c r="B12" s="4369">
        <f>"5. You made your last payment of "&amp;TaxYear-1&amp;" estimated state or local income tax in "&amp;TaxYear&amp;"."</f>
        <v/>
      </c>
      <c r="C12" s="4369" t="n"/>
      <c r="D12" s="4369" t="n"/>
      <c r="E12" s="4369" t="n"/>
      <c r="F12" s="4369" t="n"/>
      <c r="G12" s="4369" t="n"/>
      <c r="H12" s="4369" t="n"/>
      <c r="I12" s="4369" t="n"/>
      <c r="J12" s="4369" t="n"/>
      <c r="K12" s="4369" t="n"/>
      <c r="L12" s="4369" t="n"/>
      <c r="M12" s="139" t="n"/>
      <c r="N12" s="139" t="n"/>
      <c r="O12" s="4370">
        <f>IF(P12&lt;&gt;"",1,0)</f>
        <v/>
      </c>
      <c r="P12" s="280" t="n"/>
      <c r="Q12" s="88" t="n"/>
      <c r="R12" s="11403" t="inlineStr">
        <is>
          <t>Head of household  (HOH)</t>
        </is>
      </c>
      <c r="S12" s="88" t="n"/>
      <c r="T12" s="90" t="n"/>
      <c r="U12" s="11602" t="n"/>
    </row>
    <row r="13" ht="13.5" customHeight="1" s="7635" thickBot="1">
      <c r="A13" s="139" t="n"/>
      <c r="B13" s="4369">
        <f>"6. You owed alternative minimum tax in "&amp;TaxYear-1&amp;"."</f>
        <v/>
      </c>
      <c r="C13" s="4369" t="n"/>
      <c r="D13" s="4369" t="n"/>
      <c r="E13" s="4369" t="n"/>
      <c r="F13" s="4369" t="n"/>
      <c r="G13" s="4369" t="n"/>
      <c r="H13" s="4369" t="n"/>
      <c r="I13" s="4369" t="n"/>
      <c r="J13" s="4369" t="n"/>
      <c r="K13" s="4369" t="n"/>
      <c r="L13" s="4369" t="n"/>
      <c r="M13" s="139" t="n"/>
      <c r="N13" s="139" t="n"/>
      <c r="O13" s="4370" t="n"/>
      <c r="P13" s="2700" t="n"/>
      <c r="Q13" s="88" t="n"/>
      <c r="R13" s="88" t="n"/>
      <c r="S13" s="88" t="n"/>
      <c r="T13" s="90" t="n"/>
      <c r="U13" s="11602" t="n"/>
    </row>
    <row r="14" ht="13.5" customHeight="1" s="7635" thickBot="1">
      <c r="A14" s="139" t="n"/>
      <c r="B14" s="4369">
        <f>"7. You couldn't use the full amount of credits you were entitled to in "&amp;TaxYear-1&amp;" because the total credits were more than"</f>
        <v/>
      </c>
      <c r="C14" s="4369" t="n"/>
      <c r="D14" s="4369" t="n"/>
      <c r="E14" s="4369" t="n"/>
      <c r="F14" s="4369" t="n"/>
      <c r="G14" s="4369" t="n"/>
      <c r="H14" s="4369" t="n"/>
      <c r="I14" s="4369" t="n"/>
      <c r="J14" s="4369" t="n"/>
      <c r="K14" s="4369" t="n"/>
      <c r="L14" s="4369" t="n"/>
      <c r="M14" s="139" t="n"/>
      <c r="N14" s="139" t="n"/>
      <c r="O14" s="4370">
        <f>IF(P14&lt;&gt;"",1,0)</f>
        <v/>
      </c>
      <c r="P14" s="280" t="n"/>
      <c r="Q14" s="88" t="n"/>
      <c r="R14" s="11403" t="inlineStr">
        <is>
          <t>Qualifying widow(er)  (QW)</t>
        </is>
      </c>
      <c r="S14" s="88" t="n"/>
      <c r="T14" s="90" t="n"/>
      <c r="U14" s="11602" t="n"/>
    </row>
    <row r="15" ht="13.5" customHeight="1" s="7635" thickBot="1">
      <c r="A15" s="139" t="n"/>
      <c r="B15" s="4369">
        <f>"    the amount shown on your "&amp;TaxYear-1&amp;" Form 1040 or 1040-SR, line 16."</f>
        <v/>
      </c>
      <c r="C15" s="4369" t="n"/>
      <c r="D15" s="4369" t="n"/>
      <c r="E15" s="4369" t="n"/>
      <c r="F15" s="4369" t="n"/>
      <c r="G15" s="4369" t="n"/>
      <c r="H15" s="4369" t="n"/>
      <c r="I15" s="4369" t="n"/>
      <c r="J15" s="4369" t="n"/>
      <c r="K15" s="4369" t="n"/>
      <c r="L15" s="4369" t="n"/>
      <c r="M15" s="139" t="n"/>
      <c r="N15" s="139" t="n"/>
      <c r="O15" s="4371">
        <f>SUM(O6,O8,O10,O12,O14)</f>
        <v/>
      </c>
      <c r="P15" s="480" t="n"/>
      <c r="Q15" s="91" t="n"/>
      <c r="R15" s="91" t="n"/>
      <c r="S15" s="91" t="n"/>
      <c r="T15" s="2490" t="n"/>
      <c r="U15" s="11602" t="n"/>
    </row>
    <row r="16" ht="13.5" customHeight="1" s="7635" thickBot="1">
      <c r="A16" s="139" t="n"/>
      <c r="B16" s="3248">
        <f>"8. You could be claimed as a dependent by someone else in "&amp;TaxYear-1&amp;"."</f>
        <v/>
      </c>
      <c r="C16" s="4369" t="n"/>
      <c r="D16" s="4369" t="n"/>
      <c r="E16" s="4369" t="n"/>
      <c r="F16" s="4369" t="n"/>
      <c r="G16" s="4369" t="n"/>
      <c r="H16" s="4369" t="n"/>
      <c r="I16" s="4369" t="n"/>
      <c r="J16" s="4369" t="n"/>
      <c r="K16" s="4369" t="n"/>
      <c r="L16" s="4369" t="n"/>
      <c r="M16" s="139" t="n"/>
      <c r="N16" s="139" t="n"/>
      <c r="O16" s="4372" t="n"/>
      <c r="P16" s="4373" t="n"/>
      <c r="Q16" s="89" t="n"/>
      <c r="R16" s="89" t="n"/>
      <c r="S16" s="89" t="n"/>
      <c r="T16" s="3428" t="n"/>
      <c r="U16" s="11602" t="n"/>
    </row>
    <row r="17" ht="13.5" customHeight="1" s="7635" thickBot="1">
      <c r="A17" s="139" t="n"/>
      <c r="B17" s="4369">
        <f>"9. You received a refund because of a jointly filed state or local income tax return, but you are not filing a joint "&amp;TaxYear&amp;" Form 1040 or 1040-SR with"</f>
        <v/>
      </c>
      <c r="C17" s="4369" t="n"/>
      <c r="D17" s="4369" t="n"/>
      <c r="E17" s="4369" t="n"/>
      <c r="F17" s="4369" t="n"/>
      <c r="G17" s="4369" t="n"/>
      <c r="H17" s="4369" t="n"/>
      <c r="I17" s="4369" t="n"/>
      <c r="J17" s="4369" t="n"/>
      <c r="K17" s="4369" t="n"/>
      <c r="L17" s="4369" t="n"/>
      <c r="M17" s="139" t="n"/>
      <c r="N17" s="139" t="n"/>
      <c r="O17" s="4370" t="n"/>
      <c r="P17" s="280" t="n"/>
      <c r="Q17" s="88" t="n"/>
      <c r="R17" s="88" t="inlineStr">
        <is>
          <t>Claimed as dependent by someone else</t>
        </is>
      </c>
      <c r="S17" s="88" t="n"/>
      <c r="T17" s="90" t="n"/>
      <c r="U17" s="11602" t="n"/>
    </row>
    <row r="18">
      <c r="A18" s="139" t="n"/>
      <c r="B18" s="4369" t="inlineStr">
        <is>
          <t xml:space="preserve">    the same person.</t>
        </is>
      </c>
      <c r="C18" s="4369" t="n"/>
      <c r="D18" s="4369" t="n"/>
      <c r="E18" s="4369" t="n"/>
      <c r="F18" s="4369" t="n"/>
      <c r="G18" s="4369" t="n"/>
      <c r="H18" s="4369" t="n"/>
      <c r="I18" s="4369" t="n"/>
      <c r="J18" s="4369" t="n"/>
      <c r="K18" s="4369" t="n"/>
      <c r="L18" s="4369" t="n"/>
      <c r="M18" s="139" t="n"/>
      <c r="N18" s="139" t="n"/>
      <c r="O18" s="4367" t="n"/>
      <c r="P18" s="4374" t="n"/>
      <c r="Q18" s="88" t="n"/>
      <c r="R18" s="88">
        <f>"on your "&amp;TaxYear-1&amp;" tax return."</f>
        <v/>
      </c>
      <c r="S18" s="88" t="n"/>
      <c r="T18" s="4375">
        <f>(P17&lt;&gt;"")</f>
        <v/>
      </c>
      <c r="U18" s="11602" t="n"/>
    </row>
    <row r="19">
      <c r="A19" s="139" t="n"/>
      <c r="B19" s="7830">
        <f>IF(T18,"STOP!  You may not use this worksheet.   See Exception above and Publication 525.","")</f>
        <v/>
      </c>
      <c r="M19" s="139" t="n"/>
      <c r="N19" s="139" t="n"/>
      <c r="O19" s="4376" t="n"/>
      <c r="P19" s="4377" t="n"/>
      <c r="Q19" s="2432" t="n"/>
      <c r="R19" s="2432" t="n"/>
      <c r="S19" s="2432" t="n"/>
      <c r="T19" s="4378" t="n"/>
      <c r="U19" s="11602" t="n"/>
    </row>
    <row r="20" ht="13.5" customHeight="1" s="7635" thickBot="1">
      <c r="A20" s="139" t="n"/>
      <c r="B20" s="139" t="n"/>
      <c r="C20" s="139" t="n"/>
      <c r="D20" s="139" t="n"/>
      <c r="E20" s="139" t="n"/>
      <c r="F20" s="139" t="n"/>
      <c r="G20" s="8355" t="n"/>
      <c r="H20" s="139" t="n"/>
      <c r="I20" s="139" t="n"/>
      <c r="J20" s="139" t="n"/>
      <c r="K20" s="139" t="n"/>
      <c r="L20" s="139" t="n"/>
      <c r="M20" s="139" t="n"/>
      <c r="N20" s="139" t="n"/>
      <c r="O20" s="4379" t="n"/>
      <c r="P20" s="4380" t="n"/>
      <c r="Q20" s="1839" t="n"/>
      <c r="R20" s="1839" t="n"/>
      <c r="S20" s="1839" t="n"/>
      <c r="T20" s="4381" t="n"/>
      <c r="U20" s="11602" t="n"/>
    </row>
    <row r="21" ht="13.5" customHeight="1" s="7635" thickBot="1">
      <c r="A21" s="139" t="n"/>
      <c r="B21" s="139" t="n"/>
      <c r="C21" s="139" t="n"/>
      <c r="D21" s="139" t="n"/>
      <c r="E21" s="139" t="n"/>
      <c r="F21" s="139" t="n"/>
      <c r="G21" s="8355" t="n"/>
      <c r="H21" s="139" t="n"/>
      <c r="I21" s="139" t="n"/>
      <c r="J21" s="139" t="n"/>
      <c r="K21" s="139" t="n"/>
      <c r="L21" s="139" t="n"/>
      <c r="M21" s="139" t="n"/>
      <c r="N21" s="139" t="n"/>
      <c r="O21" s="4370" t="n"/>
      <c r="P21" s="280" t="n"/>
      <c r="Q21" s="88" t="n"/>
      <c r="R21" s="441" t="inlineStr">
        <is>
          <t xml:space="preserve">Check here if your spouse itemized </t>
        </is>
      </c>
      <c r="S21" s="88" t="n"/>
      <c r="T21" s="4375">
        <f>IF(AND(P10&lt;&gt;"",P21&lt;&gt;""),TRUE,FALSE)</f>
        <v/>
      </c>
      <c r="U21" s="11602" t="n"/>
    </row>
    <row r="22" ht="31.5" customHeight="1" s="7635" thickBot="1">
      <c r="A22" s="139" t="n"/>
      <c r="B22" s="7829" t="inlineStr">
        <is>
          <t>State and Local Income Tax (SALT) Refund Worksheet -- Schedule 1, Line 1</t>
        </is>
      </c>
      <c r="C22" s="7829" t="n"/>
      <c r="D22" s="3526" t="n"/>
      <c r="E22" s="3526" t="n"/>
      <c r="F22" s="3526" t="n"/>
      <c r="G22" s="3526" t="n"/>
      <c r="H22" s="3526" t="n"/>
      <c r="I22" s="4382" t="n"/>
      <c r="J22" s="4383" t="n"/>
      <c r="K22" s="4382" t="inlineStr">
        <is>
          <t>Keep for Your Records</t>
        </is>
      </c>
      <c r="L22" s="2537" t="n"/>
      <c r="M22" s="2537" t="n"/>
      <c r="N22" s="139" t="n"/>
      <c r="O22" s="4384" t="n"/>
      <c r="P22" s="4385" t="n"/>
      <c r="Q22" s="91" t="n"/>
      <c r="R22" s="4386">
        <f>"deductions on your "&amp;TaxYear-1&amp;" tax return."</f>
        <v/>
      </c>
      <c r="S22" s="91" t="n"/>
      <c r="T22" s="2490" t="n"/>
      <c r="U22" s="11602" t="n"/>
    </row>
    <row r="23" ht="15.75" customHeight="1" s="7635">
      <c r="A23" s="139" t="n"/>
      <c r="B23" s="4387" t="n"/>
      <c r="C23" s="3503" t="inlineStr">
        <is>
          <t>Before you begin:</t>
        </is>
      </c>
      <c r="D23" s="4388" t="n"/>
      <c r="E23" s="4388" t="n"/>
      <c r="F23" s="4389" t="inlineStr">
        <is>
          <t>Ö</t>
        </is>
      </c>
      <c r="G23" s="4390" t="inlineStr">
        <is>
          <t>Be sure you have read the Exception above to see if you can use this worksheet instead of</t>
        </is>
      </c>
      <c r="H23" s="4388" t="n"/>
      <c r="I23" s="4391" t="n"/>
      <c r="J23" s="4392" t="n"/>
      <c r="K23" s="4391" t="n"/>
      <c r="L23" s="2532" t="n"/>
      <c r="M23" s="2533" t="n"/>
      <c r="N23" s="139" t="n"/>
      <c r="O23" s="4393" t="n"/>
      <c r="P23" s="4374" t="n"/>
      <c r="Q23" s="89" t="n"/>
      <c r="R23" s="4394" t="n"/>
      <c r="S23" s="89" t="n"/>
      <c r="T23" s="89" t="n"/>
      <c r="U23" s="11602" t="n"/>
      <c r="Y23" s="659" t="n"/>
    </row>
    <row r="24" ht="15.75" customHeight="1" s="7635">
      <c r="A24" s="139" t="n"/>
      <c r="B24" s="4395" t="n"/>
      <c r="C24" s="4396" t="n"/>
      <c r="D24" s="4397" t="n"/>
      <c r="E24" s="4397" t="n"/>
      <c r="F24" s="4398" t="n"/>
      <c r="G24" s="4399" t="inlineStr">
        <is>
          <t>Pub. 525 to figure if any of your refund is taxable.</t>
        </is>
      </c>
      <c r="H24" s="4397" t="n"/>
      <c r="I24" s="4400" t="n"/>
      <c r="J24" s="4401" t="n"/>
      <c r="K24" s="4400" t="n"/>
      <c r="L24" s="4402" t="n"/>
      <c r="M24" s="4403" t="n"/>
      <c r="N24" s="139" t="n"/>
      <c r="O24" s="88" t="n"/>
      <c r="P24" s="88" t="n"/>
      <c r="Q24" s="88" t="n"/>
      <c r="R24" s="7826" t="inlineStr">
        <is>
          <t>Override ê</t>
        </is>
      </c>
      <c r="S24" s="88" t="n"/>
      <c r="T24" s="88" t="n"/>
      <c r="U24" s="11602" t="n"/>
    </row>
    <row r="25" ht="14.25" customHeight="1" s="7635">
      <c r="A25" s="139" t="n"/>
      <c r="B25" s="4404" t="n">
        <v>1</v>
      </c>
      <c r="C25" s="11403" t="inlineStr">
        <is>
          <t xml:space="preserve">Enter the income tax refund from Form(s) 1099-G (or similar statement).  </t>
        </is>
      </c>
      <c r="D25" s="2393" t="n"/>
      <c r="E25" s="2393" t="n"/>
      <c r="F25" s="2393" t="n"/>
      <c r="G25" s="2393" t="n"/>
      <c r="H25" s="2460" t="inlineStr">
        <is>
          <t>But don't enter more than the</t>
        </is>
      </c>
      <c r="I25" s="7829" t="n"/>
      <c r="J25" s="2393" t="n"/>
      <c r="K25" s="2446" t="n"/>
      <c r="L25" s="7833">
        <f>AND(O5,L26&lt;&gt;"",L26&gt;R28)</f>
        <v/>
      </c>
      <c r="M25" s="2418" t="n"/>
      <c r="N25" s="139" t="n"/>
      <c r="O25" s="88" t="n"/>
      <c r="P25" s="88" t="n"/>
      <c r="Q25" s="88" t="n"/>
      <c r="R25" s="7637" t="n"/>
      <c r="S25" s="88" t="n"/>
      <c r="T25" s="88" t="n"/>
      <c r="U25" s="11602" t="n"/>
    </row>
    <row r="26">
      <c r="A26" s="139" t="n"/>
      <c r="B26" s="4405" t="n"/>
      <c r="C26" s="2460">
        <f>"amount of your state and local income taxes shown on your "&amp;TaxYear-1&amp;" Schedule A, line 5d"</f>
        <v/>
      </c>
      <c r="D26" s="2393" t="n"/>
      <c r="E26" s="2393" t="n"/>
      <c r="F26" s="2393" t="n"/>
      <c r="G26" s="2393" t="n"/>
      <c r="H26" s="2393" t="n"/>
      <c r="I26" s="7829" t="n"/>
      <c r="J26" s="2473" t="inlineStr">
        <is>
          <t xml:space="preserve"> .   .   .   .   .   .</t>
        </is>
      </c>
      <c r="K26" s="2446" t="n">
        <v>1</v>
      </c>
      <c r="L26" s="2552">
        <f>IF(R26&lt;&gt;"",ROUND(R26,0),IF(AND(SALT_Refund&gt;0,NOT(O5)),"",IF(T18,"",SALT_Refund)))</f>
        <v/>
      </c>
      <c r="M26" s="4406" t="n"/>
      <c r="N26" s="139" t="n"/>
      <c r="O26" s="11602" t="n"/>
      <c r="P26" s="11983" t="n">
        <v>1</v>
      </c>
      <c r="Q26" s="7636" t="n"/>
      <c r="R26" s="1046" t="n"/>
      <c r="S26" s="11602" t="n"/>
      <c r="T26" s="11602" t="n"/>
      <c r="U26" s="11602" t="n"/>
    </row>
    <row r="27">
      <c r="A27" s="139" t="n"/>
      <c r="B27" s="4407" t="inlineStr">
        <is>
          <t>2.</t>
        </is>
      </c>
      <c r="C27" s="11403" t="inlineStr">
        <is>
          <t>Is the amount of state and local income taxes (or general sales taxes), real estate taxes, and personal property</t>
        </is>
      </c>
      <c r="D27" s="2393" t="n"/>
      <c r="E27" s="2393" t="n"/>
      <c r="F27" s="2393" t="n"/>
      <c r="G27" s="2393" t="n"/>
      <c r="H27" s="2393" t="n"/>
      <c r="I27" s="7829" t="n"/>
      <c r="J27" s="2393" t="n"/>
      <c r="K27" s="7829" t="n"/>
      <c r="L27" s="4408" t="n"/>
      <c r="M27" s="4406" t="n"/>
      <c r="N27" s="139" t="n"/>
      <c r="O27" s="11602" t="n"/>
      <c r="P27" s="11602" t="n"/>
      <c r="Q27" s="11602" t="n"/>
      <c r="R27" s="962" t="n"/>
      <c r="S27" s="11602" t="n"/>
      <c r="T27" s="11602" t="n"/>
      <c r="U27" s="990" t="n">
        <v>5000</v>
      </c>
    </row>
    <row r="28">
      <c r="A28" s="139" t="n"/>
      <c r="B28" s="4407" t="n"/>
      <c r="C28" s="11403">
        <f>"taxes paid in "&amp;TaxYear-1&amp;" (generally, this is the amount reported on your "&amp;TaxYear-1&amp;" Schedule A, line 5d), more than the"</f>
        <v/>
      </c>
      <c r="D28" s="2393" t="n"/>
      <c r="E28" s="2393" t="n"/>
      <c r="F28" s="2393" t="n"/>
      <c r="G28" s="2393" t="n"/>
      <c r="H28" s="2393" t="n"/>
      <c r="I28" s="7829" t="n"/>
      <c r="J28" s="2393" t="n"/>
      <c r="K28" s="7829" t="n"/>
      <c r="L28" s="4408" t="n"/>
      <c r="M28" s="4406" t="n"/>
      <c r="N28" s="139" t="n"/>
      <c r="O28" s="11602" t="n"/>
      <c r="P28" s="11602" t="n"/>
      <c r="Q28" s="11602" t="n"/>
      <c r="R28" s="1046" t="n"/>
      <c r="S28" s="1215">
        <f>TaxYear-1&amp;" Schedule A, line 5d"</f>
        <v/>
      </c>
      <c r="T28" s="11602" t="n"/>
      <c r="U28" s="990" t="n">
        <v>10000</v>
      </c>
    </row>
    <row r="29">
      <c r="A29" s="139" t="n"/>
      <c r="B29" s="4407" t="n"/>
      <c r="C29" s="11403">
        <f>"amount on your "&amp;TaxYear-1&amp;" Schedule A, line 5e?"</f>
        <v/>
      </c>
      <c r="D29" s="2393" t="n"/>
      <c r="E29" s="2393" t="n"/>
      <c r="F29" s="2393" t="n"/>
      <c r="G29" s="2393" t="n"/>
      <c r="H29" s="2393" t="n"/>
      <c r="I29" s="7829" t="n"/>
      <c r="J29" s="2393" t="n"/>
      <c r="K29" s="7829" t="n"/>
      <c r="L29" s="4409">
        <f>R28&gt;R29</f>
        <v/>
      </c>
      <c r="M29" s="4406" t="n"/>
      <c r="N29" s="139" t="n"/>
      <c r="O29" s="11602" t="n"/>
      <c r="P29" s="11602" t="n"/>
      <c r="Q29" s="11602" t="n"/>
      <c r="R29" s="4410">
        <f>IF($O$15=0,"",U29)</f>
        <v/>
      </c>
      <c r="S29" s="1215">
        <f>TaxYear-1&amp;" Schedule A, line 5e"</f>
        <v/>
      </c>
      <c r="T29" s="11602" t="n"/>
      <c r="U29" s="990">
        <f>IF(P10&lt;&gt;"",U27,U28)</f>
        <v/>
      </c>
    </row>
    <row r="30" ht="11.25" customHeight="1" s="7635" thickBot="1">
      <c r="A30" s="139" t="n"/>
      <c r="B30" s="4405" t="n"/>
      <c r="C30" s="88" t="n"/>
      <c r="D30" s="2393" t="n"/>
      <c r="E30" s="2393" t="n"/>
      <c r="F30" s="2393" t="n"/>
      <c r="G30" s="2393" t="n"/>
      <c r="H30" s="2393" t="n"/>
      <c r="I30" s="7829" t="n"/>
      <c r="J30" s="2393" t="n"/>
      <c r="K30" s="7829" t="n"/>
      <c r="L30" s="4411" t="n"/>
      <c r="M30" s="2418" t="n"/>
      <c r="N30" s="139" t="n"/>
      <c r="O30" s="11602" t="n"/>
      <c r="P30" s="11602" t="n"/>
      <c r="Q30" s="11602" t="n"/>
      <c r="R30" s="962" t="n"/>
      <c r="S30" s="11602" t="n"/>
      <c r="T30" s="11602" t="n"/>
      <c r="U30" s="11602" t="n"/>
    </row>
    <row r="31" ht="12" customHeight="1" s="7635" thickBot="1">
      <c r="A31" s="139" t="n"/>
      <c r="B31" s="4405" t="n"/>
      <c r="C31" s="2555">
        <f>IF(OR(NOT(O5),L29),"","X")</f>
        <v/>
      </c>
      <c r="D31" s="2393" t="inlineStr">
        <is>
          <t>No.</t>
        </is>
      </c>
      <c r="E31" s="2460" t="inlineStr">
        <is>
          <t>Enter the amount from line 1 on line 3 and go to line 4.</t>
        </is>
      </c>
      <c r="F31" s="2473" t="n"/>
      <c r="G31" s="2473" t="n"/>
      <c r="H31" s="2393" t="n"/>
      <c r="I31" s="7829" t="n"/>
      <c r="J31" s="2393" t="n"/>
      <c r="K31" s="7829" t="n"/>
      <c r="L31" s="2393" t="n"/>
      <c r="M31" s="2418" t="n"/>
      <c r="N31" s="139" t="n"/>
      <c r="O31" s="11602" t="n"/>
      <c r="P31" s="11602" t="n"/>
      <c r="Q31" s="11602" t="n"/>
      <c r="R31" s="962" t="n"/>
      <c r="S31" s="11602" t="n"/>
      <c r="T31" s="228" t="n"/>
      <c r="U31" s="11602" t="n"/>
    </row>
    <row r="32" ht="11.25" customHeight="1" s="7635" thickBot="1">
      <c r="A32" s="139" t="n"/>
      <c r="B32" s="4405" t="n"/>
      <c r="C32" s="2393" t="n"/>
      <c r="D32" s="2393" t="n"/>
      <c r="E32" s="2460" t="n"/>
      <c r="F32" s="2473" t="n"/>
      <c r="G32" s="2473" t="n"/>
      <c r="H32" s="2393" t="n"/>
      <c r="I32" s="7829" t="n"/>
      <c r="J32" s="2393" t="n"/>
      <c r="K32" s="7829" t="n"/>
      <c r="L32" s="2393" t="n"/>
      <c r="M32" s="2418" t="n"/>
      <c r="N32" s="139" t="n"/>
      <c r="O32" s="11602" t="n"/>
      <c r="P32" s="7829" t="n"/>
      <c r="R32" s="962" t="n"/>
      <c r="S32" s="11602" t="n"/>
      <c r="T32" s="228" t="n"/>
      <c r="U32" s="11602" t="n"/>
    </row>
    <row r="33" ht="12" customHeight="1" s="7635" thickBot="1">
      <c r="A33" s="139" t="n"/>
      <c r="B33" s="4405" t="n"/>
      <c r="C33" s="2555">
        <f>IF(L29,"X","")</f>
        <v/>
      </c>
      <c r="D33" s="2393" t="inlineStr">
        <is>
          <t>Yes.</t>
        </is>
      </c>
      <c r="E33" s="4412">
        <f>"Subtract the amount on your "&amp;TaxYear-1&amp;" Schedule A, line 5e,"</f>
        <v/>
      </c>
      <c r="F33" s="2473" t="n"/>
      <c r="G33" s="2473" t="n"/>
      <c r="H33" s="2393" t="n"/>
      <c r="I33" s="7829" t="n"/>
      <c r="J33" s="2393" t="n"/>
      <c r="K33" s="7829" t="n"/>
      <c r="L33" s="2393" t="n"/>
      <c r="M33" s="2418" t="n"/>
      <c r="N33" s="139" t="n"/>
      <c r="O33" s="11602" t="n"/>
      <c r="P33" s="11602" t="n"/>
      <c r="Q33" s="11602" t="n"/>
      <c r="R33" s="962" t="n"/>
      <c r="S33" s="11602" t="n"/>
      <c r="T33" s="228" t="n"/>
      <c r="U33" s="11602" t="n"/>
    </row>
    <row r="34" ht="11.25" customHeight="1" s="7635">
      <c r="A34" s="139" t="n"/>
      <c r="B34" s="4405" t="n"/>
      <c r="C34" s="88" t="n"/>
      <c r="D34" s="2393" t="n"/>
      <c r="E34" s="4412" t="inlineStr">
        <is>
          <t>from the amount of state and local income taxes (or</t>
        </is>
      </c>
      <c r="F34" s="2393" t="n"/>
      <c r="G34" s="2393" t="n"/>
      <c r="H34" s="2393" t="n"/>
      <c r="I34" s="7829" t="n"/>
      <c r="J34" s="2393" t="n"/>
      <c r="K34" s="7829" t="n"/>
      <c r="L34" s="2393" t="n"/>
      <c r="M34" s="2418" t="n"/>
      <c r="N34" s="139" t="n"/>
      <c r="O34" s="11602" t="n"/>
      <c r="P34" s="7829" t="n"/>
      <c r="R34" s="962" t="n"/>
      <c r="S34" s="1217" t="n"/>
      <c r="T34" s="11602" t="n"/>
      <c r="U34" s="11602" t="n"/>
    </row>
    <row r="35" ht="11.25" customHeight="1" s="7635">
      <c r="A35" s="139" t="n"/>
      <c r="B35" s="4405" t="n"/>
      <c r="C35" s="88" t="n"/>
      <c r="D35" s="2393" t="n"/>
      <c r="E35" s="4412" t="inlineStr">
        <is>
          <t>general sales taxes), real estate taxes, and personal</t>
        </is>
      </c>
      <c r="F35" s="2393" t="n"/>
      <c r="G35" s="2393" t="n"/>
      <c r="H35" s="2393" t="n"/>
      <c r="I35" s="7829" t="n"/>
      <c r="J35" s="2393" t="n"/>
      <c r="K35" s="7829" t="n"/>
      <c r="L35" s="2393" t="n"/>
      <c r="M35" s="2418" t="n"/>
      <c r="N35" s="139" t="n"/>
      <c r="O35" s="11602" t="n"/>
      <c r="P35" s="11602" t="n"/>
      <c r="Q35" s="11602" t="n"/>
      <c r="R35" s="962" t="n"/>
      <c r="S35" s="11602" t="n"/>
      <c r="T35" s="11602" t="n"/>
      <c r="U35" s="11602" t="n"/>
    </row>
    <row r="36" ht="12.75" customHeight="1" s="7635">
      <c r="A36" s="139" t="n"/>
      <c r="B36" s="4405" t="n"/>
      <c r="C36" s="88" t="n"/>
      <c r="D36" s="2393" t="n"/>
      <c r="E36" s="4412">
        <f>"property taxes paid in "&amp;TaxYear-1&amp;" (generally, this is the amount"</f>
        <v/>
      </c>
      <c r="F36" s="2393" t="n"/>
      <c r="G36" s="2393" t="n"/>
      <c r="H36" s="2393" t="n"/>
      <c r="I36" s="7829" t="n"/>
      <c r="J36" s="2393" t="n"/>
      <c r="K36" s="7829" t="n"/>
      <c r="L36" s="2393" t="n"/>
      <c r="M36" s="2418" t="n"/>
      <c r="N36" s="139" t="n"/>
      <c r="O36" s="11602" t="n"/>
      <c r="P36" s="11602" t="n"/>
      <c r="Q36" s="11602" t="n"/>
      <c r="R36" s="962" t="n"/>
      <c r="S36" s="11602" t="n"/>
      <c r="T36" s="11602" t="n"/>
      <c r="U36" s="11602" t="n"/>
    </row>
    <row r="37" ht="11.25" customHeight="1" s="7635">
      <c r="A37" s="139" t="n"/>
      <c r="B37" s="4405" t="n"/>
      <c r="C37" s="88" t="n"/>
      <c r="D37" s="2393" t="n"/>
      <c r="E37" s="4412">
        <f>"reported on your "&amp;TaxYear-1&amp;" Schedule A, line 5d)."</f>
        <v/>
      </c>
      <c r="F37" s="2393" t="n"/>
      <c r="G37" s="2393" t="n"/>
      <c r="H37" s="2393" t="n"/>
      <c r="I37" s="7829" t="n">
        <v>2</v>
      </c>
      <c r="J37" s="2552">
        <f>IF(R37&lt;&gt;"",ROUND(R37,0),IF(OR(NOT(O5),T18,C31="X"),"",SUM(R28,-R29)))</f>
        <v/>
      </c>
      <c r="K37" s="7829" t="n"/>
      <c r="L37" s="2393" t="n"/>
      <c r="M37" s="2418" t="n"/>
      <c r="N37" s="139" t="n"/>
      <c r="O37" s="11602" t="n"/>
      <c r="P37" s="11983" t="n">
        <v>2</v>
      </c>
      <c r="Q37" s="7636" t="n"/>
      <c r="R37" s="1046" t="n"/>
      <c r="S37" s="1217" t="n"/>
      <c r="T37" s="11602" t="n"/>
      <c r="U37" s="11602" t="n"/>
    </row>
    <row r="38" ht="11.25" customFormat="1" customHeight="1" s="801">
      <c r="A38" s="4413" t="n"/>
      <c r="B38" s="4414" t="n"/>
      <c r="C38" s="4415" t="n"/>
      <c r="D38" s="4415" t="n"/>
      <c r="E38" s="4416" t="n"/>
      <c r="F38" s="4415" t="n"/>
      <c r="G38" s="4415" t="n"/>
      <c r="H38" s="4415" t="n"/>
      <c r="I38" s="7829" t="n"/>
      <c r="J38" s="4417">
        <f>IF(J37="",0,J37)</f>
        <v/>
      </c>
      <c r="K38" s="4418" t="n"/>
      <c r="L38" s="4415" t="n"/>
      <c r="M38" s="4419" t="n"/>
      <c r="N38" s="4413" t="n"/>
      <c r="O38" s="88" t="n"/>
      <c r="P38" s="88" t="n"/>
      <c r="Q38" s="88" t="n"/>
      <c r="R38" s="962" t="n"/>
      <c r="S38" s="88" t="n"/>
      <c r="T38" s="88" t="n"/>
      <c r="U38" s="11602" t="n"/>
      <c r="V38" s="964" t="n"/>
      <c r="W38" s="964" t="n"/>
      <c r="X38" s="964" t="n"/>
      <c r="Y38" s="964" t="n"/>
      <c r="Z38" s="964" t="n"/>
      <c r="AA38" s="964" t="n"/>
      <c r="AB38" s="964" t="n"/>
      <c r="AC38" s="964" t="n"/>
      <c r="AD38" s="964" t="n"/>
      <c r="AE38" s="964" t="n"/>
    </row>
    <row r="39">
      <c r="A39" s="139" t="n"/>
      <c r="B39" s="4407" t="n">
        <v>3</v>
      </c>
      <c r="C39" s="11403" t="inlineStr">
        <is>
          <t>Is the amount on line 1 more than the amount on line 2?</t>
        </is>
      </c>
      <c r="D39" s="2393" t="n"/>
      <c r="E39" s="2393" t="n"/>
      <c r="F39" s="2393" t="n"/>
      <c r="G39" s="2393" t="n"/>
      <c r="H39" s="2393" t="n"/>
      <c r="I39" s="4418" t="n"/>
      <c r="J39" s="4417" t="n"/>
      <c r="K39" s="7829" t="n"/>
      <c r="L39" s="4409">
        <f>L26&gt;J37</f>
        <v/>
      </c>
      <c r="M39" s="4406" t="n"/>
      <c r="N39" s="139" t="n"/>
      <c r="O39" s="88" t="n"/>
      <c r="P39" s="88" t="n"/>
      <c r="Q39" s="88" t="n"/>
      <c r="R39" s="962" t="n"/>
      <c r="S39" s="88" t="n"/>
      <c r="T39" s="88" t="n"/>
      <c r="U39" s="11602" t="n"/>
    </row>
    <row r="40" ht="12" customHeight="1" s="7635" thickBot="1">
      <c r="A40" s="139" t="n"/>
      <c r="B40" s="4405" t="n"/>
      <c r="C40" s="88" t="n"/>
      <c r="D40" s="2393" t="n"/>
      <c r="E40" s="2393" t="n"/>
      <c r="F40" s="2393" t="n"/>
      <c r="G40" s="2393" t="n"/>
      <c r="H40" s="2393" t="n"/>
      <c r="I40" s="7829" t="n"/>
      <c r="J40" s="2393" t="n"/>
      <c r="K40" s="7829" t="n"/>
      <c r="L40" s="4411" t="n"/>
      <c r="M40" s="2418" t="n"/>
      <c r="N40" s="139" t="n"/>
      <c r="O40" s="851" t="n"/>
      <c r="P40" s="851" t="n"/>
      <c r="Q40" s="851" t="n"/>
      <c r="R40" s="962" t="n"/>
      <c r="S40" s="851" t="n"/>
      <c r="T40" s="851" t="n"/>
      <c r="U40" s="851" t="n"/>
    </row>
    <row r="41" ht="12" customHeight="1" s="7635" thickBot="1">
      <c r="A41" s="139" t="n"/>
      <c r="B41" s="4405" t="n"/>
      <c r="C41" s="2555">
        <f>IF(OR(NOT(O5),C31&lt;&gt;""),"",IF(L39,"","X"))</f>
        <v/>
      </c>
      <c r="D41" s="2473" t="inlineStr">
        <is>
          <t xml:space="preserve"> No.</t>
        </is>
      </c>
      <c r="E41" s="4420" t="inlineStr">
        <is>
          <t>STOP</t>
        </is>
      </c>
      <c r="F41" s="2473" t="n"/>
      <c r="G41" s="4412" t="inlineStr">
        <is>
          <t>None of your refund is taxable.</t>
        </is>
      </c>
      <c r="H41" s="2393" t="n"/>
      <c r="I41" s="7829" t="n"/>
      <c r="J41" s="2393" t="n"/>
      <c r="K41" s="7829" t="n"/>
      <c r="L41" s="2393" t="n"/>
      <c r="M41" s="2418" t="n"/>
      <c r="N41" s="139" t="n"/>
      <c r="O41" s="11602" t="n"/>
      <c r="P41" s="7829" t="n"/>
      <c r="R41" s="962" t="n"/>
      <c r="S41" s="1217" t="n"/>
      <c r="T41" s="11602" t="n"/>
      <c r="U41" s="11602" t="n"/>
    </row>
    <row r="42" ht="12" customHeight="1" s="7635" thickBot="1">
      <c r="A42" s="139" t="n"/>
      <c r="B42" s="4405" t="n"/>
      <c r="C42" s="2393" t="n"/>
      <c r="D42" s="2393" t="n"/>
      <c r="E42" s="2460" t="n"/>
      <c r="F42" s="2473" t="n"/>
      <c r="G42" s="2473" t="n"/>
      <c r="H42" s="2393" t="n"/>
      <c r="I42" s="7829" t="n"/>
      <c r="J42" s="2393" t="n"/>
      <c r="K42" s="7829" t="n"/>
      <c r="L42" s="2393" t="n"/>
      <c r="M42" s="2418" t="n"/>
      <c r="N42" s="139" t="n"/>
      <c r="O42" s="11602" t="n"/>
      <c r="P42" s="11602" t="n"/>
      <c r="Q42" s="11602" t="n"/>
      <c r="R42" s="962" t="n"/>
      <c r="S42" s="11602" t="n"/>
      <c r="T42" s="11602" t="n"/>
      <c r="U42" s="11602" t="n"/>
    </row>
    <row r="43" ht="12" customHeight="1" s="7635" thickBot="1">
      <c r="A43" s="139" t="n"/>
      <c r="B43" s="4405" t="n"/>
      <c r="C43" s="2555">
        <f>IF(OR(NOT(O5),C31&lt;&gt;""),"",IF(L39,"X",""))</f>
        <v/>
      </c>
      <c r="D43" s="2473" t="inlineStr">
        <is>
          <t xml:space="preserve"> Yes.</t>
        </is>
      </c>
      <c r="E43" s="4412" t="inlineStr">
        <is>
          <t>Subtract line 2 from line 1.</t>
        </is>
      </c>
      <c r="F43" s="2473" t="n"/>
      <c r="G43" s="2473" t="n"/>
      <c r="H43" s="2393" t="n"/>
      <c r="I43" s="4421" t="inlineStr">
        <is>
          <t>3.</t>
        </is>
      </c>
      <c r="J43" s="2552">
        <f>IF(R43&lt;&gt;"",ROUND(R43,0),IF(OR(NOT(O5),T18),"",IF(C31="X",L26,IF(C43="X",SUM(L26,-J38),0))))</f>
        <v/>
      </c>
      <c r="K43" s="7829" t="n"/>
      <c r="L43" s="2393" t="n"/>
      <c r="M43" s="2418" t="n"/>
      <c r="N43" s="139" t="n"/>
      <c r="O43" s="11602" t="n"/>
      <c r="P43" s="11983" t="n">
        <v>3</v>
      </c>
      <c r="Q43" s="7636" t="n"/>
      <c r="R43" s="1046" t="n"/>
      <c r="S43" s="1217" t="n"/>
      <c r="T43" s="11602" t="n"/>
      <c r="U43" s="11602" t="n"/>
    </row>
    <row r="44" ht="12.75" customHeight="1" s="7635">
      <c r="A44" s="139" t="n"/>
      <c r="B44" s="4405" t="n"/>
      <c r="C44" s="226" t="n"/>
      <c r="D44" s="2393" t="n"/>
      <c r="E44" s="2393" t="n"/>
      <c r="F44" s="2393" t="n"/>
      <c r="G44" s="2393" t="n"/>
      <c r="H44" s="2393" t="n"/>
      <c r="I44" s="7829" t="n"/>
      <c r="J44" s="2393" t="n"/>
      <c r="K44" s="7829" t="n"/>
      <c r="L44" s="2393" t="n"/>
      <c r="M44" s="4406" t="n"/>
      <c r="N44" s="139" t="n"/>
      <c r="O44" s="11602" t="n"/>
      <c r="P44" s="11602" t="n"/>
      <c r="Q44" s="11602" t="n"/>
      <c r="R44" s="962" t="n"/>
      <c r="S44" s="11602" t="n"/>
      <c r="T44" s="11602" t="n"/>
      <c r="U44" s="11602" t="n"/>
    </row>
    <row r="45" ht="15.75" customHeight="1" s="7635">
      <c r="A45" s="139" t="n"/>
      <c r="B45" s="4422" t="inlineStr">
        <is>
          <t>4.</t>
        </is>
      </c>
      <c r="C45" s="88">
        <f>"Enter your total itemized deductions from your "&amp;TaxYear-1&amp;" Schedule A, line 17."</f>
        <v/>
      </c>
      <c r="D45" s="2393" t="n"/>
      <c r="E45" s="2393" t="n"/>
      <c r="F45" s="2393" t="n"/>
      <c r="G45" s="2393" t="n"/>
      <c r="H45" s="2451" t="n"/>
      <c r="I45" s="4421" t="inlineStr">
        <is>
          <t>4.</t>
        </is>
      </c>
      <c r="J45" s="442" t="n"/>
      <c r="K45" s="7829" t="n"/>
      <c r="L45" s="4409" t="n"/>
      <c r="M45" s="4406" t="n"/>
      <c r="N45" s="139" t="n"/>
      <c r="O45" s="88" t="n"/>
      <c r="P45" s="88" t="n"/>
      <c r="Q45" s="88" t="n"/>
      <c r="R45" s="962" t="n"/>
      <c r="S45" s="88" t="n"/>
      <c r="T45" s="88" t="n"/>
      <c r="U45" s="11602" t="n"/>
    </row>
    <row r="46" ht="9" customHeight="1" s="7635">
      <c r="A46" s="139" t="n"/>
      <c r="B46" s="4405" t="n"/>
      <c r="C46" s="88" t="n"/>
      <c r="D46" s="2393" t="n"/>
      <c r="E46" s="2393" t="n"/>
      <c r="F46" s="2393" t="n"/>
      <c r="G46" s="2393" t="n"/>
      <c r="H46" s="2393" t="n"/>
      <c r="I46" s="7829" t="n"/>
      <c r="J46" s="4408" t="n"/>
      <c r="K46" s="7829" t="n"/>
      <c r="L46" s="4423" t="n"/>
      <c r="M46" s="4406" t="n"/>
      <c r="N46" s="139" t="n"/>
      <c r="O46" s="88" t="n"/>
      <c r="P46" s="88" t="n"/>
      <c r="Q46" s="88" t="n"/>
      <c r="R46" s="962" t="n"/>
      <c r="S46" s="88" t="n"/>
      <c r="T46" s="88" t="n"/>
      <c r="U46" s="11602" t="n"/>
    </row>
    <row r="47" ht="16.5" customHeight="1" s="7635">
      <c r="A47" s="139" t="n"/>
      <c r="B47" s="4405" t="n"/>
      <c r="C47" s="1894" t="inlineStr">
        <is>
          <t>Note.</t>
        </is>
      </c>
      <c r="D47" s="1894" t="n"/>
      <c r="E47" s="4424">
        <f>"If the filing status on your "&amp;TaxYear-1&amp;" Form 1040 return was married filing separately and"</f>
        <v/>
      </c>
      <c r="F47" s="4424" t="n"/>
      <c r="G47" s="4424" t="n"/>
      <c r="H47" s="4424" t="n"/>
      <c r="I47" s="7829" t="n"/>
      <c r="J47" s="2393" t="n"/>
      <c r="K47" s="7829" t="n"/>
      <c r="L47" s="3432" t="n"/>
      <c r="M47" s="2418" t="n"/>
      <c r="N47" s="139" t="n"/>
      <c r="O47" s="88" t="n"/>
      <c r="P47" s="88" t="n"/>
      <c r="Q47" s="88" t="n"/>
      <c r="R47" s="962" t="n"/>
      <c r="S47" s="88" t="n"/>
      <c r="T47" s="88" t="n"/>
      <c r="U47" s="11602" t="n"/>
    </row>
    <row r="48">
      <c r="A48" s="139" t="n"/>
      <c r="B48" s="4405" t="n"/>
      <c r="C48" s="11403">
        <f>"your spouse itemized deductions in "&amp;TaxYear-1&amp;", skip lines 5 through 7, enter the amount from"</f>
        <v/>
      </c>
      <c r="D48" s="2393" t="n"/>
      <c r="E48" s="2393" t="n"/>
      <c r="F48" s="2393" t="n"/>
      <c r="G48" s="2393" t="n"/>
      <c r="H48" s="2393" t="n"/>
      <c r="I48" s="7829" t="n"/>
      <c r="J48" s="3432" t="n"/>
      <c r="K48" s="7829" t="n"/>
      <c r="L48" s="3432" t="n"/>
      <c r="M48" s="2418" t="n"/>
      <c r="N48" s="139" t="n"/>
      <c r="O48" s="88" t="n"/>
      <c r="P48" s="88" t="n"/>
      <c r="Q48" s="88" t="n"/>
      <c r="R48" s="962" t="n"/>
      <c r="S48" s="88" t="n"/>
      <c r="T48" s="88" t="n"/>
      <c r="U48" s="11602" t="n"/>
    </row>
    <row r="49" ht="15" customHeight="1" s="7635">
      <c r="A49" s="139" t="n"/>
      <c r="B49" s="4405" t="n"/>
      <c r="C49" s="2449" t="inlineStr">
        <is>
          <t>line 4 on line 8, and go to line 9.</t>
        </is>
      </c>
      <c r="D49" s="4425" t="n"/>
      <c r="E49" s="4425" t="n"/>
      <c r="F49" s="4425" t="n"/>
      <c r="G49" s="4425" t="n"/>
      <c r="H49" s="2454" t="n"/>
      <c r="I49" s="3432" t="n"/>
      <c r="J49" s="3432" t="n"/>
      <c r="K49" s="7829" t="n"/>
      <c r="L49" s="2424" t="n"/>
      <c r="M49" s="4426" t="n"/>
      <c r="N49" s="139" t="n"/>
      <c r="O49" s="88" t="n"/>
      <c r="P49" s="88" t="n"/>
      <c r="Q49" s="88" t="n"/>
      <c r="R49" s="962" t="n"/>
      <c r="S49" s="88" t="n"/>
      <c r="T49" s="88" t="n"/>
      <c r="U49" s="11602" t="n"/>
    </row>
    <row r="50" ht="24.75" customHeight="1" s="7635">
      <c r="A50" s="139" t="n"/>
      <c r="B50" s="4404" t="n">
        <v>5</v>
      </c>
      <c r="C50" s="1843" t="inlineStr">
        <is>
          <t>Enter the amount shown below for the filing status claimed on your</t>
        </is>
      </c>
      <c r="D50" s="4424" t="n"/>
      <c r="E50" s="4424" t="n"/>
      <c r="F50" s="4424" t="n"/>
      <c r="G50" s="4424" t="n"/>
      <c r="H50" s="4427" t="n"/>
      <c r="I50" s="7829" t="n"/>
      <c r="J50" s="2393" t="n"/>
      <c r="K50" s="7829" t="n"/>
      <c r="L50" s="2424" t="n"/>
      <c r="M50" s="2418" t="n"/>
      <c r="N50" s="139" t="n"/>
      <c r="O50" s="88" t="n"/>
      <c r="P50" s="88" t="n"/>
      <c r="Q50" s="88" t="n"/>
      <c r="R50" s="962" t="n"/>
      <c r="S50" s="88" t="n"/>
      <c r="T50" s="88" t="n"/>
      <c r="U50" s="11602" t="n"/>
    </row>
    <row r="51">
      <c r="A51" s="139" t="n"/>
      <c r="B51" s="4405" t="n"/>
      <c r="C51" s="88">
        <f>TaxYear-1&amp;" Form 1040."</f>
        <v/>
      </c>
      <c r="D51" s="2393" t="n"/>
      <c r="E51" s="2393" t="n"/>
      <c r="F51" s="2393" t="n"/>
      <c r="G51" s="2393" t="n"/>
      <c r="H51" s="3483" t="n"/>
      <c r="I51" s="7829" t="n"/>
      <c r="J51" s="2393" t="n"/>
      <c r="K51" s="7829" t="n"/>
      <c r="L51" s="4428" t="n">
        <v>14600</v>
      </c>
      <c r="M51" s="2418" t="n"/>
      <c r="N51" s="139" t="n"/>
      <c r="O51" s="88" t="n"/>
      <c r="P51" s="88" t="n"/>
      <c r="Q51" s="88" t="n"/>
      <c r="R51" s="962" t="n"/>
      <c r="S51" s="88" t="n"/>
      <c r="T51" s="88" t="n"/>
      <c r="U51" s="11602" t="n"/>
    </row>
    <row r="52" ht="15.75" customHeight="1" s="7635">
      <c r="A52" s="139" t="n"/>
      <c r="B52" s="4405" t="n"/>
      <c r="C52" s="4429" t="inlineStr">
        <is>
          <t>l</t>
        </is>
      </c>
      <c r="D52" s="88">
        <f>"Single or married filing separately–- "&amp;TEXT(L51,"$0,000")</f>
        <v/>
      </c>
      <c r="E52" s="2393" t="n"/>
      <c r="F52" s="2393" t="n"/>
      <c r="G52" s="2393" t="n"/>
      <c r="H52" s="3483" t="n"/>
      <c r="I52" s="7829" t="n"/>
      <c r="J52" s="2393" t="n"/>
      <c r="K52" s="7829" t="n"/>
      <c r="L52" s="4428" t="n">
        <v>29200</v>
      </c>
      <c r="M52" s="4426" t="n"/>
      <c r="N52" s="139" t="n"/>
      <c r="O52" s="88" t="n"/>
      <c r="P52" s="88" t="n"/>
      <c r="Q52" s="88" t="n"/>
      <c r="R52" s="962" t="n"/>
      <c r="S52" s="88" t="n"/>
      <c r="T52" s="88" t="n"/>
      <c r="U52" s="6996" t="n"/>
    </row>
    <row r="53" ht="15" customHeight="1" s="7635">
      <c r="A53" s="139" t="n"/>
      <c r="B53" s="4405" t="n"/>
      <c r="C53" s="4429" t="inlineStr">
        <is>
          <t>l</t>
        </is>
      </c>
      <c r="D53" s="88">
        <f>"Married filing jointly or qualifying widow(er)–-"&amp;TEXT(L52,"$0,000")</f>
        <v/>
      </c>
      <c r="E53" s="2393" t="n"/>
      <c r="F53" s="2393" t="n"/>
      <c r="G53" s="2393" t="n"/>
      <c r="H53" s="2451" t="n"/>
      <c r="I53" s="7829" t="n">
        <v>5</v>
      </c>
      <c r="J53" s="4430">
        <f>IF(OR(T18,T21,O15&gt;1),"",IF(OR(P6&lt;&gt;"",P10&lt;&gt;""),L51,IF(OR(P8&lt;&gt;"",P14&lt;&gt;""),L52,IF(P12&lt;&gt;"",L53,""))))</f>
        <v/>
      </c>
      <c r="K53" s="7829" t="n"/>
      <c r="L53" s="4428" t="n">
        <v>21900</v>
      </c>
      <c r="M53" s="2418" t="n"/>
      <c r="N53" s="139" t="n"/>
      <c r="O53" s="88" t="n"/>
      <c r="P53" s="88" t="n"/>
      <c r="Q53" s="88" t="n"/>
      <c r="R53" s="962" t="n"/>
      <c r="S53" s="88" t="n"/>
      <c r="T53" s="88" t="n"/>
      <c r="U53" s="11602" t="n"/>
    </row>
    <row r="54">
      <c r="A54" s="139" t="n"/>
      <c r="B54" s="4405" t="n"/>
      <c r="C54" s="4429" t="inlineStr">
        <is>
          <t>l</t>
        </is>
      </c>
      <c r="D54" s="88">
        <f>"Head of household–-"&amp;TEXT(L53,"$0,000")</f>
        <v/>
      </c>
      <c r="E54" s="2393" t="n"/>
      <c r="F54" s="2393" t="n"/>
      <c r="G54" s="2393" t="n"/>
      <c r="H54" s="2473" t="n"/>
      <c r="I54" s="7829" t="n"/>
      <c r="J54" s="4408" t="n"/>
      <c r="K54" s="7829" t="n"/>
      <c r="L54" s="7833" t="n"/>
      <c r="M54" s="2418" t="n"/>
      <c r="N54" s="139" t="n"/>
      <c r="O54" s="88" t="n"/>
      <c r="P54" s="88" t="n"/>
      <c r="Q54" s="88" t="n"/>
      <c r="R54" s="962" t="n"/>
      <c r="S54" s="88" t="n"/>
      <c r="T54" s="88" t="n"/>
      <c r="U54" s="11602" t="n"/>
    </row>
    <row r="55" ht="11.25" customHeight="1" s="7635">
      <c r="A55" s="139" t="n"/>
      <c r="B55" s="4405" t="n"/>
      <c r="C55" s="4431" t="n"/>
      <c r="D55" s="88" t="n"/>
      <c r="E55" s="2393" t="n"/>
      <c r="F55" s="2393" t="n"/>
      <c r="G55" s="2393" t="n"/>
      <c r="H55" s="2393" t="n"/>
      <c r="I55" s="7829" t="n"/>
      <c r="J55" s="2393" t="n"/>
      <c r="K55" s="7829" t="n"/>
      <c r="L55" s="4432" t="n"/>
      <c r="M55" s="4426" t="n"/>
      <c r="N55" s="139" t="n"/>
      <c r="O55" s="88" t="n"/>
      <c r="P55" s="88" t="n"/>
      <c r="Q55" s="88" t="n"/>
      <c r="R55" s="962" t="n"/>
      <c r="S55" s="88" t="n"/>
      <c r="T55" s="88" t="n"/>
      <c r="U55" s="11602" t="n"/>
    </row>
    <row r="56">
      <c r="A56" s="139" t="n"/>
      <c r="B56" s="4404" t="n">
        <v>6</v>
      </c>
      <c r="C56" s="11403" t="inlineStr">
        <is>
          <t>Check any boxes that apply. *</t>
        </is>
      </c>
      <c r="D56" s="2393" t="n"/>
      <c r="E56" s="2393" t="n"/>
      <c r="F56" s="2393" t="n"/>
      <c r="G56" s="2393" t="n"/>
      <c r="H56" s="2393" t="n"/>
      <c r="I56" s="7829" t="n"/>
      <c r="J56" s="7841" t="n"/>
      <c r="K56" s="7829" t="n"/>
      <c r="L56" s="4432" t="n"/>
      <c r="M56" s="2418" t="n"/>
      <c r="N56" s="139" t="n"/>
      <c r="O56" s="88" t="n"/>
      <c r="P56" s="88" t="n"/>
      <c r="Q56" s="88" t="n"/>
      <c r="R56" s="962" t="n"/>
      <c r="S56" s="88" t="n"/>
      <c r="T56" s="88" t="n"/>
      <c r="U56" s="11602" t="n"/>
    </row>
    <row r="57" ht="9.75" customHeight="1" s="7635" thickBot="1">
      <c r="A57" s="139" t="n"/>
      <c r="B57" s="4404" t="n"/>
      <c r="C57" s="11403" t="n"/>
      <c r="D57" s="2393" t="n"/>
      <c r="E57" s="2393" t="n"/>
      <c r="F57" s="2393" t="n"/>
      <c r="G57" s="2393" t="n"/>
      <c r="H57" s="2393" t="n"/>
      <c r="I57" s="7829" t="n"/>
      <c r="J57" s="7841" t="n"/>
      <c r="K57" s="7829" t="n"/>
      <c r="L57" s="4433" t="n"/>
      <c r="M57" s="2418" t="n"/>
      <c r="N57" s="139" t="n"/>
      <c r="O57" s="88" t="n"/>
      <c r="P57" s="88" t="n"/>
      <c r="Q57" s="88" t="n"/>
      <c r="R57" s="962" t="n"/>
      <c r="S57" s="88" t="n"/>
      <c r="T57" s="88" t="n"/>
      <c r="U57" s="11602" t="n"/>
    </row>
    <row r="58" ht="12.75" customHeight="1" s="7635" thickBot="1">
      <c r="A58" s="139" t="n"/>
      <c r="B58" s="4434">
        <f>IF(C58&lt;&gt;"",1,0)</f>
        <v/>
      </c>
      <c r="C58" s="280">
        <f>IF(OR(NOT(O5),T18,T21),"",IF(You65onJan2,"X",""))</f>
        <v/>
      </c>
      <c r="D58" s="4435">
        <f>"You were born before January 2, "&amp;TaxYear-65&amp;"."</f>
        <v/>
      </c>
      <c r="E58" s="2393" t="n"/>
      <c r="F58" s="2393" t="n"/>
      <c r="G58" s="2393" t="n"/>
      <c r="H58" s="4436">
        <f>IF(I58&lt;&gt;"",1,0)</f>
        <v/>
      </c>
      <c r="I58" s="280">
        <f>IF(T21,"",IF(you_blind&lt;&gt;"","X",""))</f>
        <v/>
      </c>
      <c r="J58" s="2417" t="inlineStr">
        <is>
          <t xml:space="preserve"> You are blind.</t>
        </is>
      </c>
      <c r="K58" s="7829" t="n"/>
      <c r="L58" s="4428" t="n">
        <v>1550</v>
      </c>
      <c r="M58" s="2418" t="n"/>
      <c r="N58" s="139" t="n"/>
      <c r="O58" s="88" t="n"/>
      <c r="P58" s="88" t="n"/>
      <c r="Q58" s="88" t="n"/>
      <c r="R58" s="962" t="n"/>
      <c r="S58" s="88" t="n"/>
      <c r="T58" s="88" t="n"/>
      <c r="U58" s="11602" t="n"/>
    </row>
    <row r="59" ht="8.25" customHeight="1" s="7635" thickBot="1">
      <c r="A59" s="139" t="n"/>
      <c r="B59" s="4437" t="n"/>
      <c r="C59" s="2715" t="n"/>
      <c r="D59" s="4438" t="n"/>
      <c r="E59" s="2451" t="n"/>
      <c r="F59" s="2451" t="n"/>
      <c r="G59" s="2451" t="n"/>
      <c r="H59" s="4433" t="n"/>
      <c r="I59" s="2393" t="n"/>
      <c r="J59" s="7841" t="n"/>
      <c r="K59" s="7829" t="n"/>
      <c r="L59" s="4433" t="n"/>
      <c r="M59" s="2418" t="n"/>
      <c r="N59" s="139" t="n"/>
      <c r="O59" s="88" t="n"/>
      <c r="P59" s="88" t="n"/>
      <c r="Q59" s="88" t="n"/>
      <c r="R59" s="962" t="n"/>
      <c r="S59" s="88" t="n"/>
      <c r="T59" s="88" t="n"/>
      <c r="U59" s="11602" t="n"/>
    </row>
    <row r="60" ht="12.75" customHeight="1" s="7635" thickBot="1">
      <c r="A60" s="139" t="n"/>
      <c r="B60" s="4434">
        <f>IF(C60&lt;&gt;"",1,0)</f>
        <v/>
      </c>
      <c r="C60" s="280">
        <f>IF(OR(NOT(O5),T18,T21,P6&lt;&gt;"",P12&lt;&gt;""),"",IF(Spouse65onJan2,"X",""))</f>
        <v/>
      </c>
      <c r="D60" s="4435">
        <f>"Spouse was born before January 2, "&amp;TaxYear-65&amp;"."</f>
        <v/>
      </c>
      <c r="E60" s="2393" t="n"/>
      <c r="F60" s="2393" t="n"/>
      <c r="G60" s="2393" t="n"/>
      <c r="H60" s="4436">
        <f>IF(I60&lt;&gt;"",1,0)</f>
        <v/>
      </c>
      <c r="I60" s="280">
        <f>IF(OR(T21,P6&lt;&gt;"",P12&lt;&gt;""),"",IF(sp_blind&lt;&gt;"","X",""))</f>
        <v/>
      </c>
      <c r="J60" s="2417" t="inlineStr">
        <is>
          <t xml:space="preserve"> Spouse is blind.</t>
        </is>
      </c>
      <c r="K60" s="7829" t="n"/>
      <c r="L60" s="4428" t="n">
        <v>1950</v>
      </c>
      <c r="M60" s="2418" t="n"/>
      <c r="N60" s="139" t="n"/>
      <c r="O60" s="88" t="n"/>
      <c r="P60" s="88" t="n"/>
      <c r="Q60" s="88" t="n"/>
      <c r="R60" s="962" t="n"/>
      <c r="S60" s="88" t="n"/>
      <c r="T60" s="88" t="n"/>
      <c r="U60" s="11602" t="n"/>
    </row>
    <row r="61" ht="7.5" customHeight="1" s="7635">
      <c r="A61" s="139" t="n"/>
      <c r="B61" s="4437" t="n"/>
      <c r="C61" s="11403" t="n"/>
      <c r="D61" s="4435" t="n"/>
      <c r="E61" s="2393" t="n"/>
      <c r="F61" s="2393" t="n"/>
      <c r="G61" s="2393" t="n"/>
      <c r="H61" s="3433" t="n"/>
      <c r="I61" s="2393" t="n"/>
      <c r="J61" s="7841" t="n"/>
      <c r="K61" s="7829" t="n"/>
      <c r="L61" s="4439" t="n"/>
      <c r="M61" s="2418" t="n"/>
      <c r="N61" s="139" t="n"/>
      <c r="O61" s="88" t="n"/>
      <c r="P61" s="88" t="n"/>
      <c r="Q61" s="88" t="n"/>
      <c r="R61" s="962" t="n"/>
      <c r="S61" s="88" t="n"/>
      <c r="T61" s="88" t="n"/>
      <c r="U61" s="11602" t="n"/>
    </row>
    <row r="62" ht="12" customHeight="1" s="7635">
      <c r="A62" s="139" t="n"/>
      <c r="B62" s="4434">
        <f>SUM(B58,B60,H58,H60)</f>
        <v/>
      </c>
      <c r="C62" s="11403" t="n"/>
      <c r="D62" s="2393" t="n"/>
      <c r="E62" s="11403" t="inlineStr">
        <is>
          <t>No boxes checked. Enter -0-.</t>
        </is>
      </c>
      <c r="F62" s="11403" t="n"/>
      <c r="G62" s="11403" t="n"/>
      <c r="H62" s="226" t="n"/>
      <c r="I62" s="2450" t="n"/>
      <c r="J62" s="2393" t="n"/>
      <c r="K62" s="7829" t="n"/>
      <c r="L62" s="2393" t="n"/>
      <c r="M62" s="2418" t="n"/>
      <c r="N62" s="139" t="n"/>
      <c r="O62" s="88" t="n"/>
      <c r="P62" s="88" t="n"/>
      <c r="Q62" s="88" t="n"/>
      <c r="R62" s="962" t="n"/>
      <c r="S62" s="88" t="n"/>
      <c r="T62" s="88" t="n"/>
      <c r="U62" s="11602" t="n"/>
    </row>
    <row r="63" ht="8.25" customHeight="1" s="7635">
      <c r="A63" s="139" t="n"/>
      <c r="B63" s="4405" t="n"/>
      <c r="C63" s="11403" t="n"/>
      <c r="D63" s="2393" t="n"/>
      <c r="E63" s="2460" t="n"/>
      <c r="F63" s="2393" t="n"/>
      <c r="G63" s="2393" t="n"/>
      <c r="H63" s="2393" t="n"/>
      <c r="I63" s="4440" t="n"/>
      <c r="J63" s="2393" t="n"/>
      <c r="K63" s="7829" t="n"/>
      <c r="L63" s="2393" t="n"/>
      <c r="M63" s="2418" t="n"/>
      <c r="N63" s="139" t="n"/>
      <c r="O63" s="11602" t="n"/>
      <c r="P63" s="11602" t="n"/>
      <c r="Q63" s="11602" t="n"/>
      <c r="R63" s="962" t="n"/>
      <c r="S63" s="11602" t="n"/>
      <c r="T63" s="11602" t="n"/>
      <c r="U63" s="11602" t="n"/>
    </row>
    <row r="64" ht="13.5" customHeight="1" s="7635">
      <c r="A64" s="139" t="n"/>
      <c r="B64" s="4405" t="n"/>
      <c r="C64" s="11403" t="n"/>
      <c r="D64" s="2393" t="n"/>
      <c r="E64" s="2460">
        <f>"Multiply the number of boxes checked by "&amp;TEXT(L58,"$0,000")&amp;" ("&amp;TEXT(L60,"$0,000")</f>
        <v/>
      </c>
      <c r="F64" s="2393" t="n"/>
      <c r="G64" s="2393" t="n"/>
      <c r="H64" s="2393" t="n"/>
      <c r="I64" s="4440" t="n"/>
      <c r="J64" s="2393" t="n"/>
      <c r="K64" s="7829" t="n"/>
      <c r="L64" s="2424" t="n"/>
      <c r="M64" s="4426" t="n"/>
      <c r="N64" s="139" t="n"/>
      <c r="O64" s="11602" t="n"/>
      <c r="P64" s="11602" t="n"/>
      <c r="Q64" s="11602" t="n"/>
      <c r="R64" s="962" t="n"/>
      <c r="S64" s="11602" t="n"/>
      <c r="T64" s="11602" t="n"/>
      <c r="U64" s="11602" t="n"/>
    </row>
    <row r="65" ht="13.5" customHeight="1" s="7635">
      <c r="A65" s="139" t="n"/>
      <c r="B65" s="4405" t="n"/>
      <c r="C65" s="11403" t="n"/>
      <c r="D65" s="2393" t="n"/>
      <c r="E65" s="2393">
        <f>"if your "&amp;TaxYear-1&amp;" filing status was single or head of household)."</f>
        <v/>
      </c>
      <c r="F65" s="2393" t="n"/>
      <c r="G65" s="2393" t="n"/>
      <c r="H65" s="2393" t="n"/>
      <c r="I65" s="7829" t="n">
        <v>6</v>
      </c>
      <c r="J65" s="4430">
        <f>IF(OR(T18,T21,O15=0,O15&gt;1),"",IF(B62=0,0,L65))</f>
        <v/>
      </c>
      <c r="K65" s="7829" t="n"/>
      <c r="L65" s="4441">
        <f>IF(OR(P6&lt;&gt;"",P12&lt;&gt;""),B62*L60,B62*L58)</f>
        <v/>
      </c>
      <c r="M65" s="4426" t="n"/>
      <c r="N65" s="139" t="n"/>
      <c r="O65" s="11602" t="n"/>
      <c r="P65" s="11602" t="n"/>
      <c r="Q65" s="11602" t="n"/>
      <c r="R65" s="962" t="n"/>
      <c r="S65" s="11602" t="n"/>
      <c r="T65" s="11602" t="n"/>
      <c r="U65" s="11602" t="n"/>
    </row>
    <row r="66" ht="12" customHeight="1" s="7635">
      <c r="A66" s="139" t="n"/>
      <c r="B66" s="4405" t="n"/>
      <c r="C66" s="11403" t="n"/>
      <c r="D66" s="2393" t="n"/>
      <c r="E66" s="2393" t="n"/>
      <c r="F66" s="2393" t="n"/>
      <c r="G66" s="2393" t="n"/>
      <c r="H66" s="2393" t="n"/>
      <c r="I66" s="4440" t="n"/>
      <c r="J66" s="2393" t="n"/>
      <c r="K66" s="7829" t="n"/>
      <c r="L66" s="2424" t="n"/>
      <c r="M66" s="4426" t="n"/>
      <c r="N66" s="139" t="n"/>
      <c r="O66" s="11602" t="n"/>
      <c r="P66" s="11602" t="n"/>
      <c r="Q66" s="11602" t="n"/>
      <c r="R66" s="962" t="n"/>
      <c r="S66" s="11602" t="n"/>
      <c r="T66" s="11602" t="n"/>
      <c r="U66" s="11602" t="n"/>
    </row>
    <row r="67" ht="12" customHeight="1" s="7635">
      <c r="A67" s="139" t="n"/>
      <c r="B67" s="4405" t="n"/>
      <c r="C67" s="11403" t="inlineStr">
        <is>
          <t>*If your filing status is married filing separately, you can check the boxes for your spouse only</t>
        </is>
      </c>
      <c r="D67" s="2393" t="n"/>
      <c r="E67" s="2393" t="n"/>
      <c r="F67" s="2393" t="n"/>
      <c r="G67" s="2393" t="n"/>
      <c r="H67" s="2393" t="n"/>
      <c r="I67" s="4440" t="n"/>
      <c r="J67" s="2393" t="n"/>
      <c r="K67" s="7829" t="n"/>
      <c r="L67" s="2424" t="n"/>
      <c r="M67" s="4426" t="n"/>
      <c r="N67" s="139" t="n"/>
      <c r="O67" s="11602" t="n"/>
      <c r="P67" s="11602" t="n"/>
      <c r="Q67" s="11602" t="n"/>
      <c r="R67" s="962" t="n"/>
      <c r="S67" s="11602" t="n"/>
      <c r="T67" s="11602" t="n"/>
      <c r="U67" s="11602" t="n"/>
    </row>
    <row r="68" ht="11.25" customHeight="1" s="7635">
      <c r="A68" s="139" t="n"/>
      <c r="B68" s="4405" t="n"/>
      <c r="C68" s="2617" t="inlineStr">
        <is>
          <t>if your spouse had no income, isn't filing a return, and can't be claimed as a dependent on</t>
        </is>
      </c>
      <c r="D68" s="2393" t="n"/>
      <c r="E68" s="2393" t="n"/>
      <c r="F68" s="2393" t="n"/>
      <c r="G68" s="2393" t="n"/>
      <c r="H68" s="2393" t="n"/>
      <c r="I68" s="4440" t="n"/>
      <c r="J68" s="2393" t="n"/>
      <c r="K68" s="7829" t="n"/>
      <c r="L68" s="2424" t="n"/>
      <c r="M68" s="4426" t="n"/>
      <c r="N68" s="139" t="n"/>
      <c r="O68" s="11602" t="n"/>
      <c r="P68" s="11602" t="n"/>
      <c r="Q68" s="11602" t="n"/>
      <c r="R68" s="962" t="n"/>
      <c r="S68" s="11602" t="n"/>
      <c r="T68" s="11602" t="n"/>
      <c r="U68" s="11602" t="n"/>
    </row>
    <row r="69" ht="15.75" customHeight="1" s="7635">
      <c r="A69" s="139" t="n"/>
      <c r="B69" s="4405" t="n"/>
      <c r="C69" s="2449" t="inlineStr">
        <is>
          <t>another person's return.</t>
        </is>
      </c>
      <c r="D69" s="2393" t="n"/>
      <c r="E69" s="2393" t="n"/>
      <c r="F69" s="2393" t="n"/>
      <c r="G69" s="2393" t="n"/>
      <c r="H69" s="2393" t="n"/>
      <c r="I69" s="4440" t="n"/>
      <c r="J69" s="2393" t="n"/>
      <c r="K69" s="7829" t="n"/>
      <c r="L69" s="2424" t="n"/>
      <c r="M69" s="4426" t="n"/>
      <c r="N69" s="139" t="n"/>
      <c r="O69" s="11602" t="n"/>
      <c r="P69" s="11602" t="n"/>
      <c r="Q69" s="11602" t="n"/>
      <c r="R69" s="962" t="n"/>
      <c r="S69" s="11602" t="n"/>
      <c r="T69" s="11602" t="n"/>
      <c r="U69" s="11602" t="n"/>
    </row>
    <row r="70" ht="11.25" customHeight="1" s="7635">
      <c r="A70" s="139" t="n"/>
      <c r="B70" s="4405" t="n"/>
      <c r="C70" s="11403" t="n"/>
      <c r="D70" s="2393" t="n"/>
      <c r="E70" s="2393" t="n"/>
      <c r="F70" s="2393" t="n"/>
      <c r="G70" s="2393" t="n"/>
      <c r="H70" s="2393" t="n"/>
      <c r="I70" s="4440" t="n"/>
      <c r="J70" s="2393" t="n"/>
      <c r="K70" s="7829" t="n"/>
      <c r="L70" s="2424" t="n"/>
      <c r="M70" s="4426" t="n"/>
      <c r="N70" s="139" t="n"/>
      <c r="O70" s="11602" t="n"/>
      <c r="P70" s="11602" t="n"/>
      <c r="Q70" s="11602" t="n"/>
      <c r="R70" s="962" t="n"/>
      <c r="S70" s="11602" t="n"/>
      <c r="T70" s="11602" t="n"/>
      <c r="U70" s="11602" t="n"/>
    </row>
    <row r="71">
      <c r="A71" s="139" t="n"/>
      <c r="B71" s="4405" t="n">
        <v>7</v>
      </c>
      <c r="C71" s="11403" t="inlineStr">
        <is>
          <t>Add lines 5 and 6</t>
        </is>
      </c>
      <c r="D71" s="2393" t="n"/>
      <c r="E71" s="2393" t="n"/>
      <c r="F71" s="2393" t="n"/>
      <c r="G71" s="2393" t="n"/>
      <c r="H71" s="2715" t="inlineStr">
        <is>
          <t xml:space="preserve"> .   .   .   .   .   .   .   .   .   .   .   .   .   .   .   .   .   .   .   .   .   .</t>
        </is>
      </c>
      <c r="I71" s="7829" t="n">
        <v>7</v>
      </c>
      <c r="J71" s="4430">
        <f>IF(OR(T21,NOT(O5)),"",IF(OR(T18,AND(J53="",J65="")),"",ROUND(SUM(J53,J65),0)))</f>
        <v/>
      </c>
      <c r="K71" s="7829" t="n"/>
      <c r="L71" s="2393" t="n"/>
      <c r="M71" s="2418" t="n"/>
      <c r="N71" s="139" t="n"/>
      <c r="O71" s="11602" t="n"/>
      <c r="P71" s="11602" t="n"/>
      <c r="Q71" s="11602" t="n"/>
      <c r="R71" s="962" t="n"/>
      <c r="S71" s="11602" t="n"/>
      <c r="T71" s="11602" t="n"/>
      <c r="U71" s="11602" t="n"/>
    </row>
    <row r="72" ht="10.5" customHeight="1" s="7635">
      <c r="A72" s="139" t="n"/>
      <c r="B72" s="4405" t="n"/>
      <c r="C72" s="88" t="n"/>
      <c r="D72" s="2393" t="n"/>
      <c r="E72" s="2393" t="n"/>
      <c r="F72" s="2393" t="n"/>
      <c r="G72" s="2393" t="n"/>
      <c r="H72" s="2393" t="n"/>
      <c r="I72" s="7829" t="n"/>
      <c r="J72" s="2393" t="n"/>
      <c r="K72" s="7829" t="n"/>
      <c r="L72" s="2393" t="n"/>
      <c r="M72" s="2418" t="n"/>
      <c r="N72" s="139" t="n"/>
      <c r="O72" s="11602" t="n"/>
      <c r="P72" s="11602" t="n"/>
      <c r="Q72" s="11602" t="n"/>
      <c r="R72" s="962" t="n"/>
      <c r="S72" s="11602" t="n"/>
      <c r="T72" s="11602" t="n"/>
      <c r="U72" s="11602" t="n"/>
    </row>
    <row r="73">
      <c r="A73" s="139" t="n"/>
      <c r="B73" s="4405" t="n">
        <v>8</v>
      </c>
      <c r="C73" s="11403" t="inlineStr">
        <is>
          <t>Is the amount on line 7 less than the amount on line 4?</t>
        </is>
      </c>
      <c r="D73" s="2393" t="n"/>
      <c r="E73" s="2393" t="n"/>
      <c r="F73" s="2393" t="n"/>
      <c r="G73" s="2393" t="n"/>
      <c r="H73" s="2393" t="n"/>
      <c r="I73" s="7829" t="n"/>
      <c r="J73" s="2393" t="n"/>
      <c r="K73" s="7829" t="n"/>
      <c r="L73" s="4408" t="n"/>
      <c r="M73" s="4406" t="n"/>
      <c r="N73" s="139" t="n"/>
      <c r="O73" s="11602" t="n"/>
      <c r="P73" s="11602" t="n"/>
      <c r="Q73" s="11602" t="n"/>
      <c r="R73" s="962" t="n"/>
      <c r="S73" s="11602" t="n"/>
      <c r="T73" s="11602" t="n"/>
      <c r="U73" s="11602" t="n"/>
    </row>
    <row r="74" ht="12" customHeight="1" s="7635" thickBot="1">
      <c r="A74" s="139" t="n"/>
      <c r="B74" s="4405" t="n"/>
      <c r="C74" s="88" t="n"/>
      <c r="D74" s="2393" t="n"/>
      <c r="E74" s="2393" t="n"/>
      <c r="F74" s="2393" t="n"/>
      <c r="G74" s="2393" t="n"/>
      <c r="H74" s="2393" t="n"/>
      <c r="I74" s="7829" t="n"/>
      <c r="J74" s="2393" t="n"/>
      <c r="K74" s="7829" t="n"/>
      <c r="L74" s="4411">
        <f>AND(L26&gt;0,O15&lt;&gt;1)</f>
        <v/>
      </c>
      <c r="M74" s="2418" t="n"/>
      <c r="N74" s="139" t="n"/>
      <c r="O74" s="11602" t="n"/>
      <c r="P74" s="11602" t="n"/>
      <c r="Q74" s="11602" t="n"/>
      <c r="R74" s="962" t="n"/>
      <c r="S74" s="11602" t="n"/>
      <c r="T74" s="11602" t="n"/>
      <c r="U74" s="11602" t="n"/>
    </row>
    <row r="75" ht="13.5" customHeight="1" s="7635" thickBot="1">
      <c r="A75" s="139" t="n"/>
      <c r="B75" s="4405" t="n"/>
      <c r="C75" s="2555">
        <f>IF(OR(NOT(O5),J45="",L26="",T21,T18,J71&lt;J45),"","X")</f>
        <v/>
      </c>
      <c r="D75" s="2393" t="inlineStr">
        <is>
          <t>No.</t>
        </is>
      </c>
      <c r="E75" s="2473" t="inlineStr">
        <is>
          <t>STOP   None of your refund is taxable.</t>
        </is>
      </c>
      <c r="F75" s="2473" t="n"/>
      <c r="G75" s="2473" t="n"/>
      <c r="H75" s="2393" t="n"/>
      <c r="I75" s="7829" t="n"/>
      <c r="J75" s="2393" t="n"/>
      <c r="K75" s="7829" t="n"/>
      <c r="L75" s="2393" t="n"/>
      <c r="M75" s="2418" t="n"/>
      <c r="N75" s="139" t="n"/>
      <c r="O75" s="11602" t="n"/>
      <c r="P75" s="11602" t="n"/>
      <c r="Q75" s="11602" t="n"/>
      <c r="R75" s="962" t="n"/>
      <c r="S75" s="11602" t="n"/>
      <c r="T75" s="11602" t="n"/>
      <c r="U75" s="11602" t="n"/>
    </row>
    <row r="76" ht="7.5" customHeight="1" s="7635" thickBot="1">
      <c r="A76" s="139" t="n"/>
      <c r="B76" s="4405" t="n"/>
      <c r="C76" s="88" t="n"/>
      <c r="D76" s="2393" t="n"/>
      <c r="E76" s="2393" t="n"/>
      <c r="F76" s="2393" t="n"/>
      <c r="G76" s="2393" t="n"/>
      <c r="H76" s="2393" t="n"/>
      <c r="I76" s="7829" t="n"/>
      <c r="J76" s="2393" t="n"/>
      <c r="K76" s="7829" t="n"/>
      <c r="L76" s="2393" t="n"/>
      <c r="M76" s="2418" t="n"/>
      <c r="N76" s="139" t="n"/>
      <c r="O76" s="11602" t="n"/>
      <c r="P76" s="11602" t="n"/>
      <c r="Q76" s="11602" t="n"/>
      <c r="R76" s="962" t="n"/>
      <c r="S76" s="11602" t="n"/>
      <c r="T76" s="11602" t="n"/>
      <c r="U76" s="11602" t="n"/>
    </row>
    <row r="77" ht="13.5" customHeight="1" s="7635" thickBot="1">
      <c r="A77" s="139" t="n"/>
      <c r="B77" s="4405" t="n"/>
      <c r="C77" s="2555">
        <f>IF(OR(NOT(O5),L26="",T18,T21,C75="X"),"","X")</f>
        <v/>
      </c>
      <c r="D77" s="2393" t="inlineStr">
        <is>
          <t>Yes.</t>
        </is>
      </c>
      <c r="E77" s="2460" t="inlineStr">
        <is>
          <t>Subtract line 7 from line 4</t>
        </is>
      </c>
      <c r="F77" s="2393" t="n"/>
      <c r="G77" s="2393" t="n"/>
      <c r="H77" s="2393" t="n"/>
      <c r="I77" s="7829" t="n"/>
      <c r="J77" s="2451" t="inlineStr">
        <is>
          <t>.   .   .   .   .   .   .   .   .   .   .   .   .   .   .   .   .   .   .   .   .   .   .   .   .</t>
        </is>
      </c>
      <c r="K77" s="7829" t="n">
        <v>8</v>
      </c>
      <c r="L77" s="4430">
        <f>IF(OR(T18,NOT(O5)),"",IF(T21,J45,IF(J71&lt;J45,ROUND(J45-J71,0),0)))</f>
        <v/>
      </c>
      <c r="M77" s="2418" t="n"/>
      <c r="N77" s="139" t="n"/>
      <c r="O77" s="11602" t="n"/>
      <c r="P77" s="11602" t="n"/>
      <c r="Q77" s="11602" t="n"/>
      <c r="R77" s="226" t="inlineStr">
        <is>
          <t>Override ê</t>
        </is>
      </c>
      <c r="S77" s="11602" t="n"/>
      <c r="T77" s="11602" t="n"/>
      <c r="U77" s="11602" t="n"/>
    </row>
    <row r="78">
      <c r="A78" s="139" t="n"/>
      <c r="B78" s="4405" t="n"/>
      <c r="C78" s="226" t="n"/>
      <c r="D78" s="2393" t="n"/>
      <c r="E78" s="2393" t="n"/>
      <c r="F78" s="2393" t="n"/>
      <c r="G78" s="2393" t="n"/>
      <c r="H78" s="2393" t="n"/>
      <c r="I78" s="7829" t="n"/>
      <c r="J78" s="2393" t="n"/>
      <c r="K78" s="7829" t="n"/>
      <c r="L78" s="2393" t="n"/>
      <c r="M78" s="4406" t="n"/>
      <c r="N78" s="139" t="n"/>
      <c r="O78" s="11602" t="n"/>
      <c r="P78" s="11602" t="n"/>
      <c r="Q78" s="11602" t="n"/>
      <c r="R78" s="962" t="n"/>
      <c r="S78" s="11602" t="n"/>
      <c r="T78" s="11602" t="n"/>
      <c r="U78" s="11602" t="n"/>
    </row>
    <row r="79">
      <c r="A79" s="139" t="n"/>
      <c r="B79" s="4405" t="n">
        <v>9</v>
      </c>
      <c r="C79" s="226" t="inlineStr">
        <is>
          <t>Taxable part of your refund. Enter the smaller of line 3 or line 8 here and on Schedule 1, line 1.</t>
        </is>
      </c>
      <c r="D79" s="2393" t="n"/>
      <c r="E79" s="2393" t="n"/>
      <c r="F79" s="2393" t="n"/>
      <c r="G79" s="2393" t="n"/>
      <c r="H79" s="2393" t="n"/>
      <c r="I79" s="7829" t="n"/>
      <c r="J79" s="2451" t="n"/>
      <c r="K79" s="7829" t="n">
        <v>9</v>
      </c>
      <c r="L79" s="4430">
        <f>IF(R79&lt;&gt;"",ROUND(R79,0),IF(OR(T18,T21),"",IF(O5,MIN(J43,L77),0)))</f>
        <v/>
      </c>
      <c r="M79" s="2418" t="n"/>
      <c r="N79" s="139" t="n"/>
      <c r="O79" s="11602" t="n"/>
      <c r="P79" s="11602" t="n"/>
      <c r="Q79" s="11602" t="n"/>
      <c r="R79" s="1047" t="n"/>
      <c r="S79" s="11602" t="n"/>
      <c r="T79" s="11602" t="n"/>
      <c r="U79" s="11602" t="n"/>
    </row>
    <row r="80" ht="13.5" customHeight="1" s="7635" thickBot="1">
      <c r="A80" s="139" t="n"/>
      <c r="B80" s="2489" t="n"/>
      <c r="C80" s="91" t="n"/>
      <c r="D80" s="91" t="n"/>
      <c r="E80" s="91" t="n"/>
      <c r="F80" s="91" t="n"/>
      <c r="G80" s="91" t="n"/>
      <c r="H80" s="91" t="n"/>
      <c r="I80" s="91" t="n"/>
      <c r="J80" s="91" t="n"/>
      <c r="K80" s="91" t="n"/>
      <c r="L80" s="91" t="n"/>
      <c r="M80" s="2490" t="n"/>
      <c r="N80" s="139" t="n"/>
      <c r="O80" s="11602" t="n"/>
      <c r="P80" s="11602" t="n"/>
      <c r="Q80" s="11602" t="n"/>
      <c r="R80" s="962" t="n"/>
      <c r="S80" s="11602" t="n"/>
      <c r="T80" s="11602" t="n"/>
      <c r="U80" s="11602" t="n"/>
    </row>
    <row r="81">
      <c r="A81" s="139" t="n"/>
      <c r="B81" s="139" t="n"/>
      <c r="C81" s="139" t="n"/>
      <c r="D81" s="139" t="n"/>
      <c r="E81" s="139" t="n"/>
      <c r="F81" s="139" t="n"/>
      <c r="G81" s="139" t="n"/>
      <c r="H81" s="139" t="n"/>
      <c r="I81" s="139" t="n"/>
      <c r="J81" s="139" t="n"/>
      <c r="K81" s="139" t="n"/>
      <c r="L81" s="139" t="n"/>
      <c r="M81" s="139" t="n"/>
      <c r="N81" s="139" t="n"/>
      <c r="O81" s="11602" t="n"/>
      <c r="P81" s="11602" t="n"/>
      <c r="Q81" s="11602" t="n"/>
      <c r="R81" s="962" t="n"/>
      <c r="S81" s="11602" t="n"/>
      <c r="T81" s="11602" t="n"/>
      <c r="U81" s="11602" t="n"/>
    </row>
    <row r="82">
      <c r="A82" s="88" t="n"/>
      <c r="B82" s="88" t="n"/>
      <c r="C82" s="88" t="n"/>
      <c r="D82" s="88" t="n"/>
      <c r="E82" s="88" t="n"/>
      <c r="F82" s="88" t="n"/>
      <c r="G82" s="88" t="n"/>
      <c r="H82" s="88" t="n"/>
      <c r="I82" s="88" t="n"/>
      <c r="J82" s="88" t="n"/>
      <c r="K82" s="88" t="n"/>
      <c r="L82" s="88" t="n"/>
      <c r="M82" s="88" t="n"/>
      <c r="N82" s="88" t="n"/>
      <c r="O82" s="11602" t="n"/>
      <c r="P82" s="11602" t="n"/>
      <c r="Q82" s="11602" t="n"/>
      <c r="R82" s="11602" t="n"/>
      <c r="S82" s="11602" t="n"/>
      <c r="T82" s="11602" t="n"/>
      <c r="U82" s="11602" t="n"/>
    </row>
    <row r="83">
      <c r="A83" s="88" t="n"/>
      <c r="B83" s="88" t="n"/>
      <c r="C83" s="88" t="n"/>
      <c r="D83" s="88" t="n"/>
      <c r="E83" s="88" t="n"/>
      <c r="F83" s="88" t="n"/>
      <c r="G83" s="88" t="n"/>
      <c r="H83" s="88" t="n"/>
      <c r="I83" s="88" t="n"/>
      <c r="J83" s="88" t="n"/>
      <c r="K83" s="88" t="n"/>
      <c r="L83" s="88" t="n"/>
      <c r="M83" s="88" t="n"/>
      <c r="N83" s="88" t="n"/>
      <c r="O83" s="11602" t="n"/>
      <c r="P83" s="11602" t="n"/>
      <c r="Q83" s="11602" t="n"/>
      <c r="R83" s="11602" t="n"/>
      <c r="S83" s="11602" t="n"/>
      <c r="T83" s="11602" t="n"/>
      <c r="U83" s="11602" t="n"/>
    </row>
  </sheetData>
  <sheetProtection selectLockedCells="0" selectUnlockedCells="0" algorithmName="SHA-512" sheet="1" objects="0" insertRows="1" insertHyperlinks="1" autoFilter="1" scenarios="0" formatColumns="0" deleteColumns="1" insertColumns="1" pivotTables="1" deleteRows="1" formatCells="0" saltValue="NvStP+IcssBTZo92/y2J7Q==" formatRows="0" sort="1" spinCount="100000" hashValue="ITBQ33UbRoS4zMLzLJONV5QjhscvieuBqPDTkuUH5PjYeRu07iDU1pbX1ih4sz0P8zwdDmUsPVVgZHSqDCP4fQ=="/>
  <mergeCells count="8">
    <mergeCell ref="P26:Q26"/>
    <mergeCell ref="P43:Q43"/>
    <mergeCell ref="O5:P5"/>
    <mergeCell ref="P32:Q32"/>
    <mergeCell ref="B19:L19"/>
    <mergeCell ref="P41:Q41"/>
    <mergeCell ref="R24:R25"/>
    <mergeCell ref="P37:Q37"/>
  </mergeCells>
  <conditionalFormatting sqref="B16">
    <cfRule type="expression" priority="2911" dxfId="158">
      <formula>$T$18</formula>
    </cfRule>
  </conditionalFormatting>
  <conditionalFormatting sqref="B19">
    <cfRule type="expression" priority="4" dxfId="244">
      <formula>$T$18</formula>
    </cfRule>
  </conditionalFormatting>
  <conditionalFormatting sqref="C26">
    <cfRule type="expression" priority="7" dxfId="14">
      <formula>$L$25</formula>
    </cfRule>
  </conditionalFormatting>
  <conditionalFormatting sqref="C31">
    <cfRule type="expression" priority="41" dxfId="6">
      <formula>NoColor</formula>
    </cfRule>
  </conditionalFormatting>
  <conditionalFormatting sqref="C33">
    <cfRule type="expression" priority="23" dxfId="6">
      <formula>NoColor</formula>
    </cfRule>
  </conditionalFormatting>
  <conditionalFormatting sqref="C41">
    <cfRule type="expression" priority="34" dxfId="6">
      <formula>NoColor</formula>
    </cfRule>
  </conditionalFormatting>
  <conditionalFormatting sqref="C43">
    <cfRule type="expression" priority="20" dxfId="6">
      <formula>NoColor</formula>
    </cfRule>
  </conditionalFormatting>
  <conditionalFormatting sqref="C47:C49">
    <cfRule type="expression" priority="6" dxfId="34">
      <formula>$T$21</formula>
    </cfRule>
  </conditionalFormatting>
  <conditionalFormatting sqref="C58">
    <cfRule type="expression" priority="52" dxfId="6">
      <formula>NoColor</formula>
    </cfRule>
  </conditionalFormatting>
  <conditionalFormatting sqref="C60">
    <cfRule type="expression" priority="51" dxfId="6">
      <formula>NoColor</formula>
    </cfRule>
  </conditionalFormatting>
  <conditionalFormatting sqref="C75">
    <cfRule type="expression" priority="50" dxfId="6">
      <formula>NoColor</formula>
    </cfRule>
  </conditionalFormatting>
  <conditionalFormatting sqref="C77">
    <cfRule type="expression" priority="49" dxfId="6">
      <formula>NoColor</formula>
    </cfRule>
  </conditionalFormatting>
  <conditionalFormatting sqref="E41:E42">
    <cfRule type="expression" priority="35" dxfId="1297" stopIfTrue="1">
      <formula>AND(O5,NOT($L$39),$C$31="")</formula>
    </cfRule>
  </conditionalFormatting>
  <conditionalFormatting sqref="E47">
    <cfRule type="expression" priority="5" dxfId="34">
      <formula>$T$21</formula>
    </cfRule>
  </conditionalFormatting>
  <conditionalFormatting sqref="E75">
    <cfRule type="expression" priority="126" dxfId="1297" stopIfTrue="1">
      <formula>IF($C$75&lt;&gt;"",1,0)</formula>
    </cfRule>
  </conditionalFormatting>
  <conditionalFormatting sqref="F31:G33">
    <cfRule type="expression" priority="2904" dxfId="1297" stopIfTrue="1">
      <formula>IF(K25&gt;=K4,1,0)</formula>
    </cfRule>
  </conditionalFormatting>
  <conditionalFormatting sqref="F75:G75">
    <cfRule type="expression" priority="2902" dxfId="1297" stopIfTrue="1">
      <formula>IF(K71&gt;=K45,1,0)</formula>
    </cfRule>
  </conditionalFormatting>
  <conditionalFormatting sqref="G23:G24">
    <cfRule type="expression" priority="98" dxfId="1305" stopIfTrue="1">
      <formula>AND($O$5,$L$26="")</formula>
    </cfRule>
  </conditionalFormatting>
  <conditionalFormatting sqref="H25">
    <cfRule type="expression" priority="8" dxfId="14">
      <formula>$L$25</formula>
    </cfRule>
  </conditionalFormatting>
  <conditionalFormatting sqref="I58">
    <cfRule type="expression" priority="30" dxfId="6">
      <formula>NoColor</formula>
    </cfRule>
  </conditionalFormatting>
  <conditionalFormatting sqref="I60">
    <cfRule type="expression" priority="29" dxfId="6">
      <formula>NoColor</formula>
    </cfRule>
  </conditionalFormatting>
  <conditionalFormatting sqref="J37">
    <cfRule type="expression" priority="25" dxfId="6">
      <formula>IF(NoColor,1,0)</formula>
    </cfRule>
  </conditionalFormatting>
  <conditionalFormatting sqref="J43">
    <cfRule type="expression" priority="19" dxfId="6">
      <formula>IF(NoColor,1,0)</formula>
    </cfRule>
  </conditionalFormatting>
  <conditionalFormatting sqref="J45">
    <cfRule type="expression" priority="77" dxfId="6">
      <formula>IF(NoColor,1,0)</formula>
    </cfRule>
  </conditionalFormatting>
  <conditionalFormatting sqref="J53">
    <cfRule type="expression" priority="69" dxfId="6">
      <formula>IF(NoColor,1,0)</formula>
    </cfRule>
  </conditionalFormatting>
  <conditionalFormatting sqref="J65">
    <cfRule type="expression" priority="68" dxfId="6">
      <formula>IF(NoColor,1,0)</formula>
    </cfRule>
  </conditionalFormatting>
  <conditionalFormatting sqref="J71">
    <cfRule type="expression" priority="67" dxfId="6">
      <formula>IF(NoColor,1,0)</formula>
    </cfRule>
  </conditionalFormatting>
  <conditionalFormatting sqref="L26">
    <cfRule type="expression" priority="78" dxfId="6">
      <formula>IF(NoColor,1,0)</formula>
    </cfRule>
  </conditionalFormatting>
  <conditionalFormatting sqref="I49:J49 J48 L47:L48">
    <cfRule type="expression" priority="2906" dxfId="20" stopIfTrue="1">
      <formula>IF(OR(NOT($O$5),$P$10=""),1,0)</formula>
    </cfRule>
  </conditionalFormatting>
  <conditionalFormatting sqref="L64:L70">
    <cfRule type="expression" priority="2912" dxfId="1299" stopIfTrue="1">
      <formula>IF($R$38&lt;&gt;"",1,0)</formula>
    </cfRule>
  </conditionalFormatting>
  <conditionalFormatting sqref="L77">
    <cfRule type="expression" priority="66" dxfId="6">
      <formula>IF(NoColor,1,0)</formula>
    </cfRule>
  </conditionalFormatting>
  <conditionalFormatting sqref="L79">
    <cfRule type="expression" priority="65" dxfId="6">
      <formula>IF(NoColor,1,0)</formula>
    </cfRule>
  </conditionalFormatting>
  <conditionalFormatting sqref="L49:L50 M49 M52 M55">
    <cfRule type="expression" priority="2905" dxfId="1299" stopIfTrue="1">
      <formula>IF($O$15&gt;0,1,0)</formula>
    </cfRule>
  </conditionalFormatting>
  <conditionalFormatting sqref="M64:M70">
    <cfRule type="expression" priority="80" dxfId="1299" stopIfTrue="1">
      <formula>IF(L64="",1,0)</formula>
    </cfRule>
  </conditionalFormatting>
  <conditionalFormatting sqref="M2:N2">
    <cfRule type="expression" priority="9" dxfId="158" stopIfTrue="1">
      <formula>($O$15=0)</formula>
    </cfRule>
  </conditionalFormatting>
  <conditionalFormatting sqref="O15:T15">
    <cfRule type="expression" priority="96" dxfId="3427" stopIfTrue="1">
      <formula>IF(2&gt;1,1,0)</formula>
    </cfRule>
  </conditionalFormatting>
  <conditionalFormatting sqref="P3:P4">
    <cfRule type="expression" priority="63" dxfId="158" stopIfTrue="1">
      <formula>IF(NOT($O$5),1,0)</formula>
    </cfRule>
  </conditionalFormatting>
  <conditionalFormatting sqref="P6">
    <cfRule type="expression" priority="76" dxfId="6">
      <formula>IF(NoColor,1,0)</formula>
    </cfRule>
  </conditionalFormatting>
  <conditionalFormatting sqref="P8">
    <cfRule type="expression" priority="75" dxfId="6">
      <formula>IF(NoColor,1,0)</formula>
    </cfRule>
  </conditionalFormatting>
  <conditionalFormatting sqref="P10">
    <cfRule type="expression" priority="74" dxfId="6">
      <formula>IF(NoColor,1,0)</formula>
    </cfRule>
  </conditionalFormatting>
  <conditionalFormatting sqref="P12">
    <cfRule type="expression" priority="73" dxfId="6">
      <formula>IF(NoColor,1,0)</formula>
    </cfRule>
  </conditionalFormatting>
  <conditionalFormatting sqref="P14">
    <cfRule type="expression" priority="72" dxfId="6">
      <formula>IF(NoColor,1,0)</formula>
    </cfRule>
  </conditionalFormatting>
  <conditionalFormatting sqref="P17">
    <cfRule type="expression" priority="71" dxfId="6">
      <formula>IF(NoColor,1,0)</formula>
    </cfRule>
  </conditionalFormatting>
  <conditionalFormatting sqref="P21">
    <cfRule type="expression" priority="58" dxfId="6">
      <formula>IF(NoColor,1,0)</formula>
    </cfRule>
    <cfRule type="expression" priority="57" dxfId="478">
      <formula>IF($P$10="",1,0)</formula>
    </cfRule>
  </conditionalFormatting>
  <conditionalFormatting sqref="R21:R22">
    <cfRule type="expression" priority="54" dxfId="920">
      <formula>IF($P$10&lt;&gt;"",1,0)</formula>
    </cfRule>
  </conditionalFormatting>
  <conditionalFormatting sqref="R26">
    <cfRule type="expression" priority="28" dxfId="6">
      <formula>NoColor</formula>
    </cfRule>
  </conditionalFormatting>
  <conditionalFormatting sqref="R28:R29">
    <cfRule type="expression" priority="10" dxfId="6">
      <formula>NoColor</formula>
    </cfRule>
  </conditionalFormatting>
  <conditionalFormatting sqref="R37">
    <cfRule type="expression" priority="12" dxfId="6">
      <formula>NoColor</formula>
    </cfRule>
  </conditionalFormatting>
  <conditionalFormatting sqref="R43">
    <cfRule type="expression" priority="11" dxfId="6">
      <formula>NoColor</formula>
    </cfRule>
  </conditionalFormatting>
  <pageMargins left="0.75" right="0.25" top="0.36" bottom="0.29" header="0.36" footer="0.21"/>
  <pageSetup orientation="portrait" scale="86" fitToHeight="0"/>
  <drawing xmlns:r="http://schemas.openxmlformats.org/officeDocument/2006/relationships" r:id="rId1"/>
</worksheet>
</file>

<file path=xl/worksheets/sheet18.xml><?xml version="1.0" encoding="utf-8"?>
<worksheet xmlns="http://schemas.openxmlformats.org/spreadsheetml/2006/main">
  <sheetPr codeName="Sheet20">
    <outlinePr summaryBelow="1" summaryRight="1"/>
    <pageSetUpPr fitToPage="1"/>
  </sheetPr>
  <dimension ref="A1:AN104"/>
  <sheetViews>
    <sheetView zoomScaleNormal="100" zoomScaleSheetLayoutView="100" workbookViewId="0">
      <selection activeCell="A1" sqref="A1"/>
    </sheetView>
  </sheetViews>
  <sheetFormatPr baseColWidth="8" defaultRowHeight="12.75"/>
  <cols>
    <col width="1.7109375" customWidth="1" style="7635" min="1" max="1"/>
    <col width="4.5703125" customWidth="1" style="7635" min="2" max="2"/>
    <col width="2.7109375" customWidth="1" style="7635" min="3" max="3"/>
    <col width="5.28515625" customWidth="1" style="7635" min="4" max="4"/>
    <col width="7.85546875" customWidth="1" style="7635" min="5" max="5"/>
    <col width="6.28515625" customWidth="1" style="7635" min="6" max="6"/>
    <col width="40.28515625" customWidth="1" style="7635" min="7" max="7"/>
    <col width="9.5703125" customWidth="1" style="7635" min="8" max="8"/>
    <col width="8.28515625" customWidth="1" style="7635" min="9" max="9"/>
    <col width="9.28515625" customWidth="1" style="7635" min="10" max="10"/>
    <col width="4" customWidth="1" style="7635" min="11" max="11"/>
    <col width="8" customWidth="1" style="7635" min="12" max="12"/>
    <col width="3.28515625" customWidth="1" style="7635" min="13" max="13"/>
    <col width="4.5703125" customWidth="1" style="7635" min="14" max="14"/>
    <col width="1.5703125" customWidth="1" style="7635" min="15" max="15"/>
    <col width="3.28515625" customWidth="1" style="7635" min="16" max="16"/>
    <col width="6.28515625" customWidth="1" style="7635" min="17" max="17"/>
    <col width="3" customWidth="1" style="7635" min="18" max="18"/>
    <col width="4.42578125" customWidth="1" style="7635" min="19" max="19"/>
    <col width="2" customWidth="1" style="7635" min="20" max="20"/>
    <col width="1.85546875" customWidth="1" style="7635" min="21" max="21"/>
    <col width="1.42578125" customWidth="1" style="7635" min="22" max="22"/>
    <col width="3.140625" customWidth="1" style="7635" min="23" max="23"/>
    <col width="12.85546875" customWidth="1" style="7635" min="24" max="24"/>
    <col width="3.85546875" customWidth="1" style="7635" min="25" max="25"/>
    <col width="2.140625" customWidth="1" style="7635" min="26" max="26"/>
    <col width="13.28515625" customWidth="1" style="7635" min="27" max="27"/>
    <col width="4.28515625" customWidth="1" style="7635" min="28" max="28"/>
    <col width="18.5703125" customWidth="1" style="7635" min="29" max="29"/>
    <col width="9.140625" customWidth="1" style="658" min="30" max="40"/>
  </cols>
  <sheetData>
    <row r="1" ht="9.75" customHeight="1" s="7635">
      <c r="A1" s="3378" t="n"/>
      <c r="B1" s="3378" t="n"/>
      <c r="C1" s="3378" t="n"/>
      <c r="D1" s="3378" t="n"/>
      <c r="E1" s="3379" t="n"/>
      <c r="F1" s="3379" t="n"/>
      <c r="G1" s="3379" t="n"/>
      <c r="H1" s="3378" t="n"/>
      <c r="I1" s="3380" t="n"/>
      <c r="J1" s="3380" t="n"/>
      <c r="K1" s="3378" t="n"/>
      <c r="L1" s="3381" t="n"/>
      <c r="M1" s="3381" t="n"/>
      <c r="N1" s="3381" t="n"/>
      <c r="O1" s="3381" t="n"/>
      <c r="P1" s="3381" t="n"/>
      <c r="Q1" s="3381" t="n"/>
      <c r="R1" s="3381" t="n"/>
      <c r="S1" s="3381" t="n"/>
      <c r="T1" s="3381" t="n"/>
      <c r="U1" s="3381" t="n"/>
      <c r="V1" s="20" t="n"/>
      <c r="W1" s="20" t="n"/>
      <c r="X1" s="204" t="n"/>
      <c r="Y1" s="88" t="n"/>
      <c r="Z1" s="88" t="n"/>
      <c r="AA1" s="88" t="n"/>
      <c r="AB1" s="88" t="n"/>
      <c r="AC1" s="88" t="n"/>
    </row>
    <row r="2" ht="35.25" customHeight="1" s="7635" thickBot="1">
      <c r="A2" s="139" t="n"/>
      <c r="B2" s="3382" t="inlineStr">
        <is>
          <t>IRA Deduction Worksheet – Schedule 1, Line 20</t>
        </is>
      </c>
      <c r="C2" s="20" t="n"/>
      <c r="D2" s="20" t="n"/>
      <c r="E2" s="20" t="n"/>
      <c r="F2" s="20" t="n"/>
      <c r="G2" s="20" t="n"/>
      <c r="H2" s="20" t="n"/>
      <c r="I2" s="20" t="n"/>
      <c r="J2" s="3383" t="n"/>
      <c r="K2" s="3383" t="n"/>
      <c r="L2" s="3383" t="n"/>
      <c r="M2" s="3383" t="n"/>
      <c r="N2" s="3383" t="n"/>
      <c r="O2" s="3383" t="n"/>
      <c r="P2" s="3384" t="n"/>
      <c r="Q2" s="2398" t="n"/>
      <c r="R2" s="2398" t="n"/>
      <c r="S2" s="2398" t="n"/>
      <c r="T2" s="2398" t="n"/>
      <c r="U2" s="3385" t="n"/>
      <c r="V2" s="20" t="n"/>
      <c r="W2" s="20" t="n"/>
      <c r="X2" s="204" t="n"/>
      <c r="Y2" s="88" t="n"/>
      <c r="Z2" s="88" t="n"/>
      <c r="AA2" s="88" t="n"/>
      <c r="AB2" s="88" t="n"/>
      <c r="AC2" s="88" t="n"/>
      <c r="AD2" s="666" t="inlineStr">
        <is>
          <t>Notes</t>
        </is>
      </c>
    </row>
    <row r="3" ht="15.75" customHeight="1" s="7635">
      <c r="A3" s="139" t="n"/>
      <c r="B3" s="3386" t="inlineStr">
        <is>
          <t>Before you begin:</t>
        </is>
      </c>
      <c r="C3" s="3387" t="n"/>
      <c r="D3" s="3387" t="n"/>
      <c r="E3" s="3387" t="n"/>
      <c r="F3" s="3388" t="inlineStr">
        <is>
          <t>Ö</t>
        </is>
      </c>
      <c r="G3" s="3389" t="inlineStr">
        <is>
          <t>Be sure you have read the the instructions for this line. You may not be able to use this worksheet.</t>
        </is>
      </c>
      <c r="H3" s="3387" t="n"/>
      <c r="I3" s="3387" t="n"/>
      <c r="J3" s="20" t="n"/>
      <c r="K3" s="20" t="n"/>
      <c r="L3" s="20" t="n"/>
      <c r="M3" s="20" t="n"/>
      <c r="N3" s="20" t="n"/>
      <c r="O3" s="20" t="n"/>
      <c r="P3" s="20" t="n"/>
      <c r="Q3" s="20" t="n"/>
      <c r="R3" s="20" t="n"/>
      <c r="S3" s="20" t="n"/>
      <c r="T3" s="3390" t="n"/>
      <c r="U3" s="3391" t="n"/>
      <c r="V3" s="20" t="n"/>
      <c r="W3" s="20" t="n"/>
      <c r="X3" s="204" t="n"/>
      <c r="Y3" s="88" t="n"/>
      <c r="Z3" s="88" t="n"/>
      <c r="AA3" s="88" t="n"/>
      <c r="AB3" s="88" t="n"/>
      <c r="AC3" s="88" t="n"/>
    </row>
    <row r="4" ht="12.75" customHeight="1" s="7635">
      <c r="A4" s="139" t="n"/>
      <c r="B4" s="3392" t="n"/>
      <c r="C4" s="20" t="n"/>
      <c r="D4" s="20" t="n"/>
      <c r="E4" s="20" t="n"/>
      <c r="F4" s="3393" t="inlineStr">
        <is>
          <t>Ö</t>
        </is>
      </c>
      <c r="G4" s="3394" t="inlineStr">
        <is>
          <t>If the instructions for Schedule 1, line 24z, have you enter a write-in adjustment on line 24z, figure that write-in</t>
        </is>
      </c>
      <c r="H4" s="20" t="n"/>
      <c r="I4" s="20" t="n"/>
      <c r="J4" s="3395" t="n"/>
      <c r="K4" s="20" t="n"/>
      <c r="L4" s="20" t="n"/>
      <c r="M4" s="20" t="n"/>
      <c r="N4" s="20" t="n"/>
      <c r="O4" s="20" t="n"/>
      <c r="P4" s="20" t="n"/>
      <c r="Q4" s="20" t="n"/>
      <c r="R4" s="20" t="n"/>
      <c r="S4" s="20" t="n"/>
      <c r="T4" s="3390" t="n"/>
      <c r="U4" s="3391" t="n"/>
      <c r="V4" s="20" t="n"/>
      <c r="W4" s="20" t="n"/>
      <c r="X4" s="204" t="n"/>
      <c r="Y4" s="88" t="n"/>
      <c r="Z4" s="88" t="n"/>
      <c r="AA4" s="88" t="n"/>
      <c r="AB4" s="88" t="n"/>
      <c r="AC4" s="88" t="n"/>
    </row>
    <row r="5" ht="12.75" customHeight="1" s="7635">
      <c r="A5" s="139" t="n"/>
      <c r="B5" s="3392" t="n"/>
      <c r="C5" s="20" t="n"/>
      <c r="D5" s="20" t="n"/>
      <c r="E5" s="20" t="n"/>
      <c r="F5" s="3393" t="n"/>
      <c r="G5" s="3394" t="inlineStr">
        <is>
          <t>before completing this worksheet (see the instructions for Schedule 1, line 24z).</t>
        </is>
      </c>
      <c r="H5" s="20" t="n"/>
      <c r="I5" s="20" t="n"/>
      <c r="J5" s="3395" t="n"/>
      <c r="K5" s="20" t="n"/>
      <c r="L5" s="20" t="n"/>
      <c r="M5" s="20" t="n"/>
      <c r="N5" s="20" t="n"/>
      <c r="O5" s="20" t="n"/>
      <c r="P5" s="20" t="n"/>
      <c r="Q5" s="20" t="n"/>
      <c r="R5" s="20" t="n"/>
      <c r="S5" s="20" t="n"/>
      <c r="T5" s="3390" t="n"/>
      <c r="U5" s="3391" t="n"/>
      <c r="V5" s="20" t="n"/>
      <c r="W5" s="20" t="n"/>
      <c r="X5" s="204" t="n"/>
      <c r="Y5" s="88" t="n"/>
      <c r="Z5" s="88" t="n"/>
      <c r="AA5" s="88" t="n"/>
      <c r="AB5" s="88" t="n"/>
      <c r="AC5" s="88" t="n"/>
    </row>
    <row r="6" ht="16.5" customHeight="1" s="7635">
      <c r="A6" s="144" t="n"/>
      <c r="B6" s="3396" t="n"/>
      <c r="C6" s="3397" t="n"/>
      <c r="D6" s="3397" t="n"/>
      <c r="E6" s="3397" t="n"/>
      <c r="F6" s="6134" t="inlineStr">
        <is>
          <t>Ö</t>
        </is>
      </c>
      <c r="G6" s="3398">
        <f>"If you are married filing separately and you lived apart from your spouse for all of "&amp;TaxYear&amp;", check the box on line 20."</f>
        <v/>
      </c>
      <c r="H6" s="3399" t="n"/>
      <c r="I6" s="3399" t="n"/>
      <c r="J6" s="3399" t="n"/>
      <c r="K6" s="3399" t="n"/>
      <c r="L6" s="3399" t="n"/>
      <c r="M6" s="3399" t="n"/>
      <c r="N6" s="3399" t="n"/>
      <c r="O6" s="3399" t="n"/>
      <c r="P6" s="3399" t="n"/>
      <c r="Q6" s="3399" t="n"/>
      <c r="R6" s="3399" t="n"/>
      <c r="S6" s="3399" t="n"/>
      <c r="T6" s="3400" t="n"/>
      <c r="U6" s="3401" t="n"/>
      <c r="V6" s="20" t="n"/>
      <c r="W6" s="20" t="n"/>
      <c r="X6" s="204" t="n"/>
      <c r="Y6" s="88" t="n"/>
      <c r="Z6" s="88" t="n"/>
      <c r="AA6" s="88" t="n"/>
      <c r="AB6" s="88" t="n"/>
      <c r="AC6" s="88" t="n"/>
    </row>
    <row r="7" ht="15" customFormat="1" customHeight="1" s="9864">
      <c r="A7" s="144" t="n"/>
      <c r="B7" s="3402" t="n"/>
      <c r="C7" s="3403" t="n"/>
      <c r="D7" s="3404" t="n"/>
      <c r="E7" s="3403" t="n"/>
      <c r="F7" s="3403" t="n"/>
      <c r="G7" s="3405" t="n"/>
      <c r="H7" s="3406" t="n"/>
      <c r="I7" s="3406" t="n"/>
      <c r="J7" s="3407" t="n"/>
      <c r="K7" s="3408" t="n"/>
      <c r="L7" s="3409" t="inlineStr">
        <is>
          <t>Your IRA</t>
        </is>
      </c>
      <c r="M7" s="3408" t="n"/>
      <c r="N7" s="3410" t="inlineStr">
        <is>
          <t>Spouses IRA</t>
        </is>
      </c>
      <c r="O7" s="3410" t="n"/>
      <c r="P7" s="3408" t="n"/>
      <c r="Q7" s="3408" t="n"/>
      <c r="R7" s="3408" t="n"/>
      <c r="S7" s="3408" t="n"/>
      <c r="T7" s="3411" t="n"/>
      <c r="U7" s="3401" t="n"/>
      <c r="V7" s="181" t="n"/>
      <c r="W7" s="181" t="n"/>
      <c r="X7" s="205" t="n"/>
      <c r="Y7" s="182" t="n"/>
      <c r="Z7" s="182" t="n"/>
      <c r="AA7" s="182" t="n"/>
      <c r="AB7" s="182" t="n"/>
      <c r="AC7" s="182" t="n"/>
      <c r="AD7" s="665" t="n"/>
      <c r="AE7" s="665" t="n"/>
      <c r="AF7" s="665" t="n"/>
      <c r="AG7" s="665" t="n"/>
      <c r="AH7" s="665" t="n"/>
      <c r="AI7" s="665" t="n"/>
      <c r="AJ7" s="665" t="n"/>
      <c r="AK7" s="665" t="n"/>
      <c r="AL7" s="665" t="n"/>
      <c r="AM7" s="665" t="n"/>
      <c r="AN7" s="665" t="n"/>
    </row>
    <row r="8" ht="15.75" customHeight="1" s="7635" thickBot="1">
      <c r="A8" s="139" t="n"/>
      <c r="B8" s="3412" t="inlineStr">
        <is>
          <t>1a</t>
        </is>
      </c>
      <c r="C8" s="1836" t="inlineStr">
        <is>
          <t>Were you covered by a retirement plan (see Were You Covered by a</t>
        </is>
      </c>
      <c r="D8" s="88" t="n"/>
      <c r="E8" s="2393" t="n"/>
      <c r="F8" s="2393" t="n"/>
      <c r="G8" s="2393" t="n"/>
      <c r="H8" s="7829" t="n"/>
      <c r="I8" s="2450" t="n"/>
      <c r="J8" s="2450" t="n"/>
      <c r="K8" s="2450" t="n"/>
      <c r="L8" s="2450" t="n"/>
      <c r="M8" s="2450" t="n"/>
      <c r="N8" s="2473" t="n"/>
      <c r="O8" s="2473" t="n"/>
      <c r="P8" s="2476" t="n"/>
      <c r="Q8" s="2393" t="n"/>
      <c r="R8" s="2393" t="n"/>
      <c r="S8" s="2393" t="n"/>
      <c r="T8" s="2418" t="n"/>
      <c r="U8" s="2408" t="n"/>
      <c r="V8" s="20" t="n"/>
      <c r="W8" s="20" t="n"/>
      <c r="X8" s="1519" t="n">
        <v>7000</v>
      </c>
      <c r="Y8" s="88" t="n"/>
      <c r="Z8" s="88" t="n"/>
      <c r="AA8" s="88" t="n"/>
      <c r="AB8" s="88" t="n"/>
      <c r="AC8" s="88" t="n"/>
    </row>
    <row r="9" ht="15.75" customHeight="1" s="7635" thickBot="1">
      <c r="A9" s="139" t="n"/>
      <c r="B9" s="3412" t="n"/>
      <c r="C9" s="2442" t="inlineStr">
        <is>
          <t>Retirement Plan)?</t>
        </is>
      </c>
      <c r="D9" s="88" t="n"/>
      <c r="E9" s="2393" t="n"/>
      <c r="F9" s="2393" t="n"/>
      <c r="G9" s="2393" t="n"/>
      <c r="H9" s="7829" t="n"/>
      <c r="I9" s="2451" t="inlineStr">
        <is>
          <t xml:space="preserve">.   .   .   .   .   .   .   .   .   .   .   .   .   .   .   .   .   .   .   .   .   .   .   .   .   .   </t>
        </is>
      </c>
      <c r="J9" s="2450" t="inlineStr">
        <is>
          <t>1a.</t>
        </is>
      </c>
      <c r="K9" s="333" t="n"/>
      <c r="L9" s="2473" t="inlineStr">
        <is>
          <t>Yes</t>
        </is>
      </c>
      <c r="M9" s="3413">
        <f>IF(AND(Yourself,K9=""),"X","")</f>
        <v/>
      </c>
      <c r="N9" s="2473" t="inlineStr">
        <is>
          <t>No</t>
        </is>
      </c>
      <c r="O9" s="2473" t="n"/>
      <c r="P9" s="2476" t="n"/>
      <c r="Q9" s="2393" t="n"/>
      <c r="R9" s="2393" t="n"/>
      <c r="S9" s="2393" t="n"/>
      <c r="T9" s="2418" t="n"/>
      <c r="U9" s="2408" t="n"/>
      <c r="V9" s="20" t="n"/>
      <c r="W9" s="20" t="n"/>
      <c r="X9" s="1519" t="n"/>
      <c r="Y9" s="88" t="n"/>
      <c r="Z9" s="88" t="n"/>
      <c r="AA9" s="88" t="n"/>
      <c r="AB9" s="88" t="n"/>
      <c r="AC9" s="88" t="n"/>
    </row>
    <row r="10" ht="15.75" customHeight="1" s="7635" thickBot="1">
      <c r="A10" s="139" t="n"/>
      <c r="B10" s="3412" t="inlineStr">
        <is>
          <t>1b</t>
        </is>
      </c>
      <c r="C10" s="1836" t="inlineStr">
        <is>
          <t>If married filing jointly, was your spouse covered by a retirement plan?</t>
        </is>
      </c>
      <c r="D10" s="88" t="n"/>
      <c r="E10" s="2393" t="n"/>
      <c r="F10" s="2393" t="n"/>
      <c r="G10" s="2393" t="n"/>
      <c r="H10" s="7829" t="n"/>
      <c r="I10" s="2393" t="n"/>
      <c r="J10" s="2450" t="n"/>
      <c r="K10" s="2451" t="n"/>
      <c r="L10" s="2451" t="n"/>
      <c r="M10" s="2451" t="inlineStr">
        <is>
          <t xml:space="preserve">.   .   .   .   .   .   .   .   .   .   .   .   .   .   .   .   .   .  </t>
        </is>
      </c>
      <c r="N10" s="2451" t="n"/>
      <c r="O10" s="2451" t="inlineStr">
        <is>
          <t>1b.</t>
        </is>
      </c>
      <c r="P10" s="333" t="n"/>
      <c r="Q10" s="2473" t="inlineStr">
        <is>
          <t>Yes</t>
        </is>
      </c>
      <c r="R10" s="3413">
        <f>IF(AND(Spouse,P10=""),"X","")</f>
        <v/>
      </c>
      <c r="S10" s="2473" t="inlineStr">
        <is>
          <t>No</t>
        </is>
      </c>
      <c r="T10" s="2418" t="n"/>
      <c r="U10" s="2408" t="n"/>
      <c r="V10" s="20" t="n"/>
      <c r="W10" s="20" t="n"/>
      <c r="X10" s="1519" t="n">
        <v>8000</v>
      </c>
      <c r="Y10" s="88" t="n"/>
      <c r="Z10" s="88" t="n"/>
      <c r="AA10" s="88" t="n"/>
      <c r="AB10" s="88" t="n"/>
      <c r="AC10" s="88" t="n"/>
    </row>
    <row r="11" ht="18.75" customHeight="1" s="7635">
      <c r="A11" s="139" t="n"/>
      <c r="B11" s="3412" t="n"/>
      <c r="C11" s="11417" t="inlineStr">
        <is>
          <t xml:space="preserve">Next. If you checked “No” on line 1a (and “No” on line 1b if married filing jointly), </t>
        </is>
      </c>
      <c r="D11" s="226" t="n"/>
      <c r="E11" s="2393" t="n"/>
      <c r="F11" s="2393" t="n"/>
      <c r="G11" s="2393" t="n"/>
      <c r="H11" s="7829" t="n"/>
      <c r="I11" s="2451" t="n"/>
      <c r="J11" s="2451" t="n"/>
      <c r="K11" s="2451" t="n"/>
      <c r="L11" s="2451" t="n"/>
      <c r="M11" s="2473" t="n"/>
      <c r="N11" s="3415" t="n"/>
      <c r="O11" s="3415" t="n"/>
      <c r="P11" s="1555" t="n"/>
      <c r="Q11" s="2473" t="n"/>
      <c r="R11" s="3416" t="n"/>
      <c r="S11" s="2473" t="n"/>
      <c r="T11" s="3417" t="n"/>
      <c r="U11" s="3418" t="n"/>
      <c r="V11" s="20" t="n"/>
      <c r="W11" s="20" t="n"/>
      <c r="X11" s="186" t="n"/>
      <c r="Y11" s="88" t="n"/>
      <c r="Z11" s="88" t="n"/>
      <c r="AA11" s="88" t="n"/>
      <c r="AB11" s="88" t="n"/>
      <c r="AC11" s="88" t="n"/>
    </row>
    <row r="12" ht="15" customHeight="1" s="7635">
      <c r="A12" s="139" t="n"/>
      <c r="B12" s="3412" t="n"/>
      <c r="C12" s="3419" t="inlineStr">
        <is>
          <t>skip lines 2 through 6, enter the applicable amount below on line 7a (and line 7b if</t>
        </is>
      </c>
      <c r="D12" s="2460" t="n"/>
      <c r="E12" s="2393" t="n"/>
      <c r="F12" s="2393" t="n"/>
      <c r="G12" s="2393" t="n"/>
      <c r="H12" s="7829" t="n"/>
      <c r="I12" s="2393" t="n"/>
      <c r="J12" s="2393" t="n"/>
      <c r="K12" s="3415" t="n"/>
      <c r="L12" s="2473" t="n"/>
      <c r="M12" s="2473" t="n"/>
      <c r="N12" s="2473" t="n"/>
      <c r="O12" s="2473" t="n"/>
      <c r="P12" s="2473" t="n"/>
      <c r="Q12" s="2473" t="n"/>
      <c r="R12" s="2473" t="n"/>
      <c r="S12" s="3420">
        <f>IF(AND(K9="",P10=""),"",IF(OR(Q14,(AND(BadBirthdate_Yours,BadBirthdate_Spouse))),"Check birthdate entries on '1040' sheet.",IF(AND(File_Marr_Joint&lt;&gt;"",BadBirthdate_Spouse),"Check birthdate entry for spouse on '1040' sheet.",IF(BadBirthdate_Yours,"Check your birthdate entry on '1040' sheet.",""))))</f>
        <v/>
      </c>
      <c r="T12" s="3417" t="n"/>
      <c r="U12" s="3418" t="n"/>
      <c r="V12" s="20" t="n"/>
      <c r="W12" s="3421">
        <f>IF(OR(AND(File_Marr_Joint="",DependentYOU="",K9=""),AND(File_Marr_Joint&lt;&gt;"",DependentYOU="",DependentSPOUSE="",K9="",P10="")),"No","Yes")</f>
        <v/>
      </c>
      <c r="X12" s="186" t="n"/>
      <c r="Y12" s="88" t="n"/>
      <c r="Z12" s="88" t="n"/>
      <c r="AA12" s="88" t="n"/>
      <c r="AB12" s="88" t="n"/>
      <c r="AC12" s="88" t="n"/>
    </row>
    <row r="13" ht="15" customHeight="1" s="7635">
      <c r="A13" s="139" t="n"/>
      <c r="B13" s="3412" t="n"/>
      <c r="C13" s="3419" t="inlineStr">
        <is>
          <t>applicable), and go to line 8.</t>
        </is>
      </c>
      <c r="D13" s="2460" t="n"/>
      <c r="E13" s="2393" t="n"/>
      <c r="F13" s="2393" t="n"/>
      <c r="G13" s="2393" t="n"/>
      <c r="H13" s="7829" t="n"/>
      <c r="I13" s="2393" t="n"/>
      <c r="J13" s="2393" t="n"/>
      <c r="K13" s="3415" t="n"/>
      <c r="L13" s="2473" t="n"/>
      <c r="M13" s="2473" t="n"/>
      <c r="N13" s="2473" t="n"/>
      <c r="O13" s="2473" t="n"/>
      <c r="P13" s="2473" t="n"/>
      <c r="Q13" s="3422" t="n"/>
      <c r="R13" s="2473" t="n"/>
      <c r="S13" s="2473" t="n"/>
      <c r="T13" s="3417" t="n"/>
      <c r="U13" s="3418" t="n"/>
      <c r="V13" s="20" t="n"/>
      <c r="W13" s="126" t="n"/>
      <c r="X13" s="186" t="n"/>
      <c r="Y13" s="88" t="n"/>
      <c r="Z13" s="88" t="n"/>
      <c r="AA13" s="88" t="n"/>
      <c r="AB13" s="88" t="n"/>
      <c r="AC13" s="88" t="n"/>
    </row>
    <row r="14" ht="15" customHeight="1" s="7635">
      <c r="A14" s="139" t="n"/>
      <c r="B14" s="3412" t="n"/>
      <c r="C14" s="3423" t="inlineStr">
        <is>
          <t xml:space="preserve">· </t>
        </is>
      </c>
      <c r="D14" s="2393">
        <f>TEXT(X8,"$0,000")&amp;", if under age 50 at the end of "&amp;TaxYear&amp;"."</f>
        <v/>
      </c>
      <c r="E14" s="2393" t="n"/>
      <c r="F14" s="2393" t="n"/>
      <c r="G14" s="2393" t="n"/>
      <c r="H14" s="88" t="n"/>
      <c r="I14" s="88" t="n"/>
      <c r="J14" s="88" t="n"/>
      <c r="K14" s="7829" t="n"/>
      <c r="L14" s="2393" t="n"/>
      <c r="M14" s="2393" t="n"/>
      <c r="N14" s="2393" t="n"/>
      <c r="O14" s="2393" t="n"/>
      <c r="P14" s="3424" t="n"/>
      <c r="Q14" s="7833">
        <f>IF(AND(File_Marr_Joint&lt;&gt;"",OR(BadBirthdate_Yours,BadBirthdate_Spouse)),TRUE,IF(BadBirthdate_Yours,TRUE,FALSE))</f>
        <v/>
      </c>
      <c r="S14" s="2393" t="n"/>
      <c r="T14" s="2418" t="n"/>
      <c r="U14" s="2408" t="n"/>
      <c r="V14" s="181" t="n"/>
      <c r="W14" s="181" t="n"/>
      <c r="X14" s="1655" t="n">
        <v>89000</v>
      </c>
      <c r="Y14" s="182" t="n"/>
      <c r="Z14" s="182" t="n"/>
      <c r="AA14" s="88" t="n"/>
      <c r="AB14" s="88" t="n"/>
      <c r="AC14" s="88" t="n"/>
    </row>
    <row r="15" ht="15" customHeight="1" s="7635">
      <c r="A15" s="139" t="n"/>
      <c r="B15" s="3412" t="n"/>
      <c r="C15" s="3423" t="inlineStr">
        <is>
          <t xml:space="preserve">· </t>
        </is>
      </c>
      <c r="D15" s="2393">
        <f>TEXT(X10,"$0,000")&amp;", if age 50 or older at the end of "&amp;TaxYear&amp;"."</f>
        <v/>
      </c>
      <c r="E15" s="2393" t="n"/>
      <c r="F15" s="2393" t="n"/>
      <c r="G15" s="2393" t="n"/>
      <c r="H15" s="88" t="n"/>
      <c r="I15" s="88" t="n"/>
      <c r="J15" s="88" t="n"/>
      <c r="K15" s="7829" t="n"/>
      <c r="L15" s="3425" t="n"/>
      <c r="M15" s="2393" t="n"/>
      <c r="N15" s="2393" t="n"/>
      <c r="O15" s="2393" t="n"/>
      <c r="P15" s="3424" t="n"/>
      <c r="Q15" s="3425" t="n"/>
      <c r="R15" s="7833" t="n"/>
      <c r="S15" s="2393" t="n"/>
      <c r="T15" s="2418" t="n"/>
      <c r="U15" s="2408" t="n"/>
      <c r="V15" s="181" t="n"/>
      <c r="W15" s="181" t="n"/>
      <c r="X15" s="1655" t="n">
        <v>146000</v>
      </c>
      <c r="Y15" s="182" t="n"/>
      <c r="Z15" s="182" t="n"/>
      <c r="AA15" s="88" t="n"/>
      <c r="AB15" s="88" t="n"/>
      <c r="AC15" s="88" t="n"/>
    </row>
    <row r="16" ht="15" customHeight="1" s="7635">
      <c r="A16" s="139" t="n"/>
      <c r="B16" s="3412" t="n"/>
      <c r="C16" s="3419" t="inlineStr">
        <is>
          <t>Otherwise, go to line 2.</t>
        </is>
      </c>
      <c r="D16" s="2460" t="n"/>
      <c r="E16" s="2393" t="n"/>
      <c r="F16" s="2393" t="n"/>
      <c r="G16" s="2393" t="n"/>
      <c r="H16" s="7829" t="n"/>
      <c r="I16" s="2393" t="n"/>
      <c r="J16" s="2393" t="n"/>
      <c r="K16" s="3415" t="n"/>
      <c r="L16" s="2473" t="n"/>
      <c r="M16" s="2473" t="n"/>
      <c r="N16" s="2473" t="n"/>
      <c r="O16" s="2473" t="n"/>
      <c r="P16" s="2424" t="n"/>
      <c r="Q16" s="2424">
        <f>IF(AND(File_Marr_Joint="",P10&lt;&gt;""),"Your filing status must be","")</f>
        <v/>
      </c>
      <c r="R16" s="11984" t="n"/>
      <c r="T16" s="1066" t="n"/>
      <c r="U16" s="3418" t="n"/>
      <c r="V16" s="20" t="n"/>
      <c r="W16" s="126" t="n"/>
      <c r="X16" s="1656" t="n">
        <v>246000</v>
      </c>
      <c r="Y16" s="88" t="n"/>
      <c r="Z16" s="88" t="n"/>
      <c r="AA16" s="88" t="n"/>
      <c r="AB16" s="88" t="n"/>
      <c r="AC16" s="88" t="n"/>
    </row>
    <row r="17" ht="14.25" customHeight="1" s="7635" thickBot="1">
      <c r="A17" s="139" t="n"/>
      <c r="B17" s="3412" t="n">
        <v>2</v>
      </c>
      <c r="C17" s="1836" t="inlineStr">
        <is>
          <t>Enter the amount shown below that applies to you.</t>
        </is>
      </c>
      <c r="D17" s="88" t="n"/>
      <c r="E17" s="2393" t="n"/>
      <c r="F17" s="2393" t="n"/>
      <c r="G17" s="2393" t="n"/>
      <c r="H17" s="88" t="n"/>
      <c r="I17" s="88" t="n"/>
      <c r="J17" s="88" t="n"/>
      <c r="K17" s="7829" t="n"/>
      <c r="L17" s="2393" t="n"/>
      <c r="M17" s="2393" t="n"/>
      <c r="N17" s="2393" t="n"/>
      <c r="O17" s="2393" t="n"/>
      <c r="P17" s="3424">
        <f>IF(AND(File_Marr_Joint="",P10&lt;&gt;""),"Married Filing Jointly","")</f>
        <v/>
      </c>
      <c r="Q17" s="2393" t="n"/>
      <c r="R17" s="2393" t="n"/>
      <c r="S17" s="2393" t="n"/>
      <c r="T17" s="2418" t="n"/>
      <c r="U17" s="2408" t="n"/>
      <c r="V17" s="20" t="n"/>
      <c r="W17" s="20" t="n"/>
      <c r="X17" s="1656" t="n">
        <v>10000</v>
      </c>
      <c r="Y17" s="88" t="n"/>
      <c r="Z17" s="88" t="n"/>
      <c r="AA17" s="88" t="n"/>
      <c r="AB17" s="88" t="n"/>
      <c r="AC17" s="88" t="n"/>
    </row>
    <row r="18" ht="15" customHeight="1" s="7635">
      <c r="A18" s="139" t="n"/>
      <c r="B18" s="3412" t="n"/>
      <c r="C18" s="3423" t="inlineStr">
        <is>
          <t xml:space="preserve">· </t>
        </is>
      </c>
      <c r="D18" s="3419" t="inlineStr">
        <is>
          <t>Single, head of household, or married filing separately and you lived apart</t>
        </is>
      </c>
      <c r="E18" s="2393" t="n"/>
      <c r="F18" s="2393" t="n"/>
      <c r="G18" s="2393" t="n"/>
      <c r="H18" s="88" t="n"/>
      <c r="I18" s="88" t="n"/>
      <c r="J18" s="88" t="n"/>
      <c r="K18" s="7829" t="n"/>
      <c r="L18" s="2393" t="n"/>
      <c r="M18" s="2393" t="n"/>
      <c r="N18" s="2393" t="n"/>
      <c r="O18" s="2393" t="n"/>
      <c r="P18" s="3424">
        <f>IF(AND(File_Marr_Joint="",P10&lt;&gt;""),"to use the 'b' column.","")</f>
        <v/>
      </c>
      <c r="Q18" s="2393" t="n"/>
      <c r="R18" s="2393" t="n"/>
      <c r="S18" s="2393" t="n"/>
      <c r="T18" s="2418" t="n"/>
      <c r="U18" s="2408" t="n"/>
      <c r="V18" s="389" t="n"/>
      <c r="W18" s="89" t="n"/>
      <c r="X18" s="3427" t="n"/>
      <c r="Y18" s="3428" t="n"/>
      <c r="Z18" s="88" t="n"/>
      <c r="AA18" s="226" t="n"/>
      <c r="AB18" s="88" t="n"/>
      <c r="AC18" s="88" t="n"/>
    </row>
    <row r="19" ht="15" customHeight="1" s="7635">
      <c r="A19" s="139" t="n"/>
      <c r="B19" s="3412" t="n"/>
      <c r="C19" s="1836" t="n"/>
      <c r="D19" s="3419">
        <f>"from your spouse for all of "&amp;TaxYear&amp;", enter "&amp;TEXT(X14,"$0,000")</f>
        <v/>
      </c>
      <c r="E19" s="2460" t="n"/>
      <c r="F19" s="2460" t="n"/>
      <c r="G19" s="2473" t="n"/>
      <c r="H19" s="88" t="n"/>
      <c r="I19" s="88" t="n"/>
      <c r="J19" s="88" t="n"/>
      <c r="K19" s="7829" t="n"/>
      <c r="L19" s="2393" t="n"/>
      <c r="M19" s="2393" t="n"/>
      <c r="N19" s="2393" t="n"/>
      <c r="O19" s="2393" t="n"/>
      <c r="P19" s="3424" t="n"/>
      <c r="Q19" s="2393" t="n"/>
      <c r="R19" s="2393" t="n"/>
      <c r="S19" s="2393" t="n"/>
      <c r="T19" s="2418" t="n"/>
      <c r="U19" s="2408" t="n"/>
      <c r="V19" s="2412" t="n"/>
      <c r="W19" s="2410" t="n"/>
      <c r="X19" s="3429" t="n"/>
      <c r="Y19" s="90" t="n"/>
      <c r="Z19" s="88" t="n"/>
      <c r="AA19" s="226">
        <f>IF(File_Marr_Sep="","","Married persons filing separately.")</f>
        <v/>
      </c>
      <c r="AB19" s="88" t="n"/>
      <c r="AC19" s="88" t="n"/>
    </row>
    <row r="20" ht="15" customHeight="1" s="7635">
      <c r="A20" s="139" t="n"/>
      <c r="B20" s="3412" t="n"/>
      <c r="C20" s="3423" t="inlineStr">
        <is>
          <t xml:space="preserve">· </t>
        </is>
      </c>
      <c r="D20" s="1836">
        <f>"Qualifying surviving spouse, enter "&amp;TEXT(X15,"$0,000")</f>
        <v/>
      </c>
      <c r="E20" s="88" t="n"/>
      <c r="F20" s="88" t="n"/>
      <c r="G20" s="2473" t="n"/>
      <c r="H20" s="88" t="n"/>
      <c r="I20" s="88" t="n"/>
      <c r="J20" s="88" t="n"/>
      <c r="K20" s="7829" t="n"/>
      <c r="L20" s="2393" t="n"/>
      <c r="M20" s="2393" t="n"/>
      <c r="N20" s="2393" t="n"/>
      <c r="O20" s="2393" t="n"/>
      <c r="P20" s="2393" t="n"/>
      <c r="Q20" s="2393" t="n"/>
      <c r="R20" s="2393" t="n"/>
      <c r="S20" s="2393" t="n"/>
      <c r="T20" s="2418" t="n"/>
      <c r="U20" s="2408" t="n"/>
      <c r="V20" s="2412" t="n"/>
      <c r="W20" s="2410" t="n"/>
      <c r="X20" s="88" t="n"/>
      <c r="Y20" s="90" t="n"/>
      <c r="Z20" s="88" t="n"/>
      <c r="AA20" s="88">
        <f>IF(File_Marr_Sep="","","If you were not covered by a retirement plan but")</f>
        <v/>
      </c>
      <c r="AB20" s="88" t="n"/>
      <c r="AC20" s="88" t="n"/>
    </row>
    <row r="21" ht="15" customHeight="1" s="7635">
      <c r="A21" s="139" t="n"/>
      <c r="B21" s="3412" t="n"/>
      <c r="C21" s="3423" t="inlineStr">
        <is>
          <t xml:space="preserve">· </t>
        </is>
      </c>
      <c r="D21" s="3419">
        <f>"Married filing jointly, enter "&amp;TEXT(X15,"$0,000")&amp;" in both columns. But if you checked"</f>
        <v/>
      </c>
      <c r="E21" s="2460" t="n"/>
      <c r="F21" s="2460" t="n"/>
      <c r="G21" s="2460" t="n"/>
      <c r="H21" s="88" t="n"/>
      <c r="I21" s="88" t="n"/>
      <c r="J21" s="88" t="n"/>
      <c r="K21" s="2450" t="inlineStr">
        <is>
          <t>2a</t>
        </is>
      </c>
      <c r="L21" s="7596">
        <f>IF(OR(NOT(Yourself),Q14,BadBirthdate_Yours,NumFileStatusBoxes=0),"",L22)</f>
        <v/>
      </c>
      <c r="M21" s="7637" t="n"/>
      <c r="N21" s="7637" t="n"/>
      <c r="O21" s="9664" t="n"/>
      <c r="P21" s="2451" t="inlineStr">
        <is>
          <t>2b</t>
        </is>
      </c>
      <c r="Q21" s="7596">
        <f>IF(File_Marr_Joint="","",IF(Q14,"",IF(AND(File_Marr_Joint&lt;&gt;"",K9&lt;&gt;"",P10&lt;&gt;""),X15,IF(R16,"Age &gt; 70½    ",Q22))))</f>
        <v/>
      </c>
      <c r="R21" s="7637" t="n"/>
      <c r="S21" s="7637" t="n"/>
      <c r="T21" s="3430" t="n"/>
      <c r="U21" s="3431" t="n"/>
      <c r="V21" s="2412" t="n"/>
      <c r="W21" s="2410" t="n"/>
      <c r="X21" s="2420" t="n"/>
      <c r="Y21" s="90" t="n"/>
      <c r="Z21" s="88" t="n"/>
      <c r="AA21" s="88">
        <f>IF(File_Marr_Sep="","","your spouse was, you are considered covered")</f>
        <v/>
      </c>
      <c r="AB21" s="88" t="n"/>
      <c r="AC21" s="88" t="n"/>
    </row>
    <row r="22" ht="15" customHeight="1" s="7635">
      <c r="A22" s="139" t="n"/>
      <c r="B22" s="3412" t="n"/>
      <c r="C22" s="1836" t="n"/>
      <c r="D22" s="3419">
        <f>"'No' on either line 1a or 1b, enter "&amp;TEXT(X16,"$0,000")&amp;" for the person who was not"</f>
        <v/>
      </c>
      <c r="E22" s="2460" t="n"/>
      <c r="F22" s="2460" t="n"/>
      <c r="G22" s="2460" t="n"/>
      <c r="H22" s="88" t="n"/>
      <c r="I22" s="88" t="n"/>
      <c r="J22" s="88" t="n"/>
      <c r="K22" s="7829" t="n"/>
      <c r="L22" s="7835">
        <f>IF(W12="No","",IF(OR(File_Single&lt;&gt;"",File_Head&lt;&gt;"",AND(File_Marr_Sep&lt;&gt;"",LivedApart)),X14,IF(File_Qual_Widow&lt;&gt;"",X15,IF(AND(File_Marr_Joint&lt;&gt;"",K9&lt;&gt;""),X15,IF(AND(File_Marr_Joint&lt;&gt;"",K9=""),X16,IF(AND(File_Marr_Sep&lt;&gt;"",NOT(LivedApart)),X17,0))))))</f>
        <v/>
      </c>
      <c r="M22" s="7839" t="n"/>
      <c r="N22" s="7839" t="n"/>
      <c r="O22" s="2393" t="n"/>
      <c r="P22" s="2393" t="n"/>
      <c r="Q22" s="7836">
        <f>IF(OR(File_Marr_Joint="",W12="No"),"",IF(P10&lt;&gt;"",X15,IF(P10="",X16,0)))</f>
        <v/>
      </c>
      <c r="R22" s="7839" t="n"/>
      <c r="S22" s="7839" t="n"/>
      <c r="T22" s="2418" t="n"/>
      <c r="U22" s="2408" t="n"/>
      <c r="V22" s="2412" t="n"/>
      <c r="W22" s="2410" t="n"/>
      <c r="X22" s="88" t="n"/>
      <c r="Y22" s="90" t="n"/>
      <c r="Z22" s="88" t="n"/>
      <c r="AA22" s="88">
        <f>IF(File_Marr_Sep="","","by a plan unless you lived apart from")</f>
        <v/>
      </c>
      <c r="AB22" s="88" t="n"/>
      <c r="AC22" s="88" t="n"/>
    </row>
    <row r="23" ht="15" customHeight="1" s="7635">
      <c r="A23" s="139" t="n"/>
      <c r="B23" s="3412" t="n"/>
      <c r="C23" s="1836" t="n"/>
      <c r="D23" s="3419" t="inlineStr">
        <is>
          <t>covered by a plan</t>
        </is>
      </c>
      <c r="E23" s="2393" t="n"/>
      <c r="F23" s="2393" t="n"/>
      <c r="G23" s="2393" t="n"/>
      <c r="H23" s="88" t="n"/>
      <c r="I23" s="88" t="n"/>
      <c r="J23" s="88" t="n"/>
      <c r="K23" s="7829" t="n"/>
      <c r="L23" s="2393" t="n"/>
      <c r="M23" s="2393" t="n"/>
      <c r="N23" s="2393" t="n"/>
      <c r="O23" s="2393" t="n"/>
      <c r="P23" s="2393" t="n"/>
      <c r="Q23" s="2393" t="n"/>
      <c r="R23" s="2393" t="n"/>
      <c r="S23" s="2393" t="n"/>
      <c r="T23" s="2418" t="n"/>
      <c r="U23" s="2408" t="n"/>
      <c r="V23" s="2412" t="n"/>
      <c r="W23" s="226" t="n"/>
      <c r="X23" s="226" t="n"/>
      <c r="Y23" s="88" t="n"/>
      <c r="Z23" s="88" t="n"/>
      <c r="AA23" s="88" t="n"/>
      <c r="AB23" s="88" t="n"/>
      <c r="AC23" s="88" t="n"/>
    </row>
    <row r="24" ht="15" customHeight="1" s="7635">
      <c r="A24" s="139" t="n"/>
      <c r="B24" s="3412" t="n"/>
      <c r="C24" s="3423" t="inlineStr">
        <is>
          <t xml:space="preserve">· </t>
        </is>
      </c>
      <c r="D24" s="3419">
        <f>"Married filing separately and you lived with your spouse at any time in "&amp;TaxYear&amp;","</f>
        <v/>
      </c>
      <c r="E24" s="2460" t="n"/>
      <c r="F24" s="2460" t="n"/>
      <c r="G24" s="2460" t="n"/>
      <c r="H24" s="88" t="n"/>
      <c r="I24" s="88" t="n"/>
      <c r="J24" s="88" t="n"/>
      <c r="K24" s="7829" t="n"/>
      <c r="L24" s="2393" t="n"/>
      <c r="M24" s="2393" t="n"/>
      <c r="N24" s="2393" t="n"/>
      <c r="O24" s="2393" t="n"/>
      <c r="P24" s="2393" t="n"/>
      <c r="Q24" s="2393" t="n"/>
      <c r="R24" s="2393" t="n"/>
      <c r="S24" s="2393" t="n"/>
      <c r="T24" s="2418" t="n"/>
      <c r="U24" s="2408" t="n"/>
      <c r="V24" s="2412" t="n"/>
      <c r="W24" s="7831" t="n"/>
      <c r="Z24" s="7832" t="n"/>
      <c r="AA24" s="88" t="n"/>
      <c r="AB24" s="88" t="n"/>
      <c r="AC24" s="88" t="n"/>
    </row>
    <row r="25" ht="15.75" customHeight="1" s="7635" thickBot="1">
      <c r="A25" s="139" t="n"/>
      <c r="B25" s="3412" t="n"/>
      <c r="C25" s="1836" t="n"/>
      <c r="D25" s="3419">
        <f>"enter "&amp;TEXT(X17,"$0,000")&amp;"."</f>
        <v/>
      </c>
      <c r="E25" s="2460" t="n"/>
      <c r="F25" s="2460" t="n"/>
      <c r="G25" s="3432">
        <f>IF(File_Marr_Sep="","",IF(AND(K9="",W21&lt;&gt;"",R10&lt;&gt;"X",NOT(LivedApart)),"See NOTE in Column AA and check box 1a 'Yes' if spouse was covered by a retirement plan or check box 1b 'No'.",""))</f>
        <v/>
      </c>
      <c r="H25" s="88" t="n"/>
      <c r="I25" s="88" t="n"/>
      <c r="J25" s="88" t="n"/>
      <c r="K25" s="7829" t="n"/>
      <c r="L25" s="7841" t="n"/>
      <c r="O25" s="2393" t="n"/>
      <c r="P25" s="2393" t="n"/>
      <c r="Q25" s="2393" t="n"/>
      <c r="R25" s="2393" t="n"/>
      <c r="S25" s="2393" t="n"/>
      <c r="T25" s="2418" t="n"/>
      <c r="U25" s="2408" t="n"/>
      <c r="V25" s="2489" t="n"/>
      <c r="W25" s="226" t="inlineStr">
        <is>
          <t>Manual</t>
        </is>
      </c>
      <c r="X25" s="88" t="n"/>
      <c r="Y25" s="88" t="n"/>
      <c r="Z25" s="88" t="n"/>
      <c r="AA25" s="88" t="n"/>
      <c r="AB25" s="88" t="n"/>
      <c r="AC25" s="88" t="n"/>
    </row>
    <row r="26" ht="15" customHeight="1" s="7635">
      <c r="A26" s="139" t="n"/>
      <c r="B26" s="3412" t="n">
        <v>3</v>
      </c>
      <c r="C26" s="1836" t="inlineStr">
        <is>
          <t>Enter the amount from Form 1040 or 1040-SR, line 9</t>
        </is>
      </c>
      <c r="D26" s="88" t="n"/>
      <c r="E26" s="88" t="n"/>
      <c r="F26" s="88" t="n"/>
      <c r="G26" s="88" t="n"/>
      <c r="H26" s="2448" t="n">
        <v>3</v>
      </c>
      <c r="I26" s="7843" t="n"/>
      <c r="J26" s="11717" t="n"/>
      <c r="K26" s="7829" t="n"/>
      <c r="L26" s="2700">
        <f>IF(OR(I26&lt;&gt;"",AND(K9="",P10=""),Q14),"",IF(Total_Income&gt;=1000,"Manually enter "&amp;TEXT(Total_Income,"$0,000")&amp;" on this line.","Manually enter "&amp;TEXT(Total_Income,"$0")&amp;" on this line."))</f>
        <v/>
      </c>
      <c r="M26" s="3433" t="n"/>
      <c r="N26" s="3433" t="n"/>
      <c r="O26" s="3433" t="n"/>
      <c r="P26" s="2393" t="n"/>
      <c r="Q26" s="2393" t="n"/>
      <c r="R26" s="2393" t="n"/>
      <c r="S26" s="2393" t="n"/>
      <c r="T26" s="2418" t="n"/>
      <c r="U26" s="2408" t="n"/>
      <c r="V26" s="88" t="n"/>
      <c r="W26" s="7831" t="inlineStr">
        <is>
          <t>Override</t>
        </is>
      </c>
      <c r="Z26" s="88" t="n"/>
      <c r="AA26" s="88" t="n"/>
      <c r="AB26" s="88" t="n"/>
      <c r="AC26" s="88" t="n"/>
    </row>
    <row r="27" ht="15" customHeight="1" s="7635">
      <c r="A27" s="139" t="n"/>
      <c r="B27" s="3412" t="n">
        <v>4</v>
      </c>
      <c r="C27" s="1836" t="inlineStr">
        <is>
          <t>Enter the total of the amounts from</t>
        </is>
      </c>
      <c r="D27" s="11403" t="n"/>
      <c r="E27" s="3434" t="n"/>
      <c r="F27" s="3434" t="n"/>
      <c r="G27" s="88" t="n"/>
      <c r="H27" s="7829" t="n"/>
      <c r="I27" s="88" t="n"/>
      <c r="J27" s="88" t="n"/>
      <c r="K27" s="7829" t="n"/>
      <c r="L27" s="2393" t="n"/>
      <c r="M27" s="2393" t="n"/>
      <c r="N27" s="2393" t="n"/>
      <c r="O27" s="2393" t="n"/>
      <c r="P27" s="2393" t="n"/>
      <c r="Q27" s="2393" t="n"/>
      <c r="R27" s="2393" t="n"/>
      <c r="S27" s="2393" t="n"/>
      <c r="T27" s="2418" t="n"/>
      <c r="U27" s="2408" t="n"/>
      <c r="V27" s="88" t="n"/>
      <c r="W27" s="139" t="n"/>
      <c r="X27" s="150" t="n"/>
      <c r="Y27" s="139" t="n"/>
      <c r="Z27" s="139" t="n"/>
      <c r="AA27" s="139" t="n"/>
      <c r="AB27" s="139" t="n"/>
      <c r="AC27" s="88" t="n"/>
    </row>
    <row r="28" ht="15" customHeight="1" s="7635">
      <c r="A28" s="139" t="n"/>
      <c r="B28" s="3412" t="n"/>
      <c r="C28" s="1836" t="inlineStr">
        <is>
          <t>Schedule 1, lines 11 through 19a, plus 23 and 25</t>
        </is>
      </c>
      <c r="D28" s="11403" t="n"/>
      <c r="E28" s="3434" t="n"/>
      <c r="F28" s="3434" t="n"/>
      <c r="G28" s="2715" t="n"/>
      <c r="H28" s="2448" t="n">
        <v>4</v>
      </c>
      <c r="I28" s="7842">
        <f>IF(X28&lt;&gt;"",X28,IF(AND(K9="",P10=""),"",SUM(Sch1_Line11_19a,ArcherMSADeduct,TotalOtherAdjust)))</f>
        <v/>
      </c>
      <c r="J28" s="7637" t="n"/>
      <c r="K28" s="7829" t="n"/>
      <c r="L28" s="2393" t="n"/>
      <c r="M28" s="2393" t="n"/>
      <c r="N28" s="2393" t="n"/>
      <c r="O28" s="2393" t="n"/>
      <c r="P28" s="2393" t="n"/>
      <c r="Q28" s="2393" t="n"/>
      <c r="R28" s="2393" t="n"/>
      <c r="S28" s="2393" t="n"/>
      <c r="T28" s="2418" t="n"/>
      <c r="U28" s="2408" t="n"/>
      <c r="V28" s="88" t="n"/>
      <c r="W28" s="3435" t="n">
        <v>4</v>
      </c>
      <c r="X28" s="949" t="n"/>
      <c r="Y28" s="139" t="n"/>
      <c r="Z28" s="139" t="n"/>
      <c r="AA28" s="139" t="n"/>
      <c r="AB28" s="139" t="n"/>
      <c r="AC28" s="88" t="n"/>
    </row>
    <row r="29" ht="15.75" customHeight="1" s="7635">
      <c r="A29" s="139" t="n"/>
      <c r="B29" s="3412" t="n">
        <v>5</v>
      </c>
      <c r="C29" s="1836" t="inlineStr">
        <is>
          <t>Subtract line 4 from line 3. If married filing jointly, enter the result in both columns</t>
        </is>
      </c>
      <c r="D29" s="88" t="n"/>
      <c r="E29" s="88" t="n"/>
      <c r="F29" s="88" t="n"/>
      <c r="G29" s="88" t="n"/>
      <c r="H29" s="7829" t="n"/>
      <c r="I29" s="88" t="n"/>
      <c r="J29" s="2715" t="inlineStr">
        <is>
          <t xml:space="preserve"> .   .   .   .   .   .   .   .  </t>
        </is>
      </c>
      <c r="K29" s="2450" t="inlineStr">
        <is>
          <t>5a</t>
        </is>
      </c>
      <c r="L29" s="7596">
        <f>IF(X29&lt;&gt;"",ROUND(X29,0),IF(OR(NOT(Yourself),Q14,W12="No",I26=""),"",SUM(I26,-I28)))</f>
        <v/>
      </c>
      <c r="M29" s="7637" t="n"/>
      <c r="N29" s="7637" t="n"/>
      <c r="O29" s="9664" t="n"/>
      <c r="P29" s="2451" t="inlineStr">
        <is>
          <t>5b</t>
        </is>
      </c>
      <c r="Q29" s="7596">
        <f>IF(AA29&lt;&gt;"",ROUND(AA29,0),IF(OR(Q14,File_Marr_Joint="",R16,W12="No",I26=""),"",(I26-I28)))</f>
        <v/>
      </c>
      <c r="R29" s="7637" t="n"/>
      <c r="S29" s="7637" t="n"/>
      <c r="T29" s="3430" t="n"/>
      <c r="U29" s="3431" t="n"/>
      <c r="V29" s="88" t="n"/>
      <c r="W29" s="3435" t="inlineStr">
        <is>
          <t>5a</t>
        </is>
      </c>
      <c r="X29" s="949" t="n"/>
      <c r="Y29" s="3435" t="inlineStr">
        <is>
          <t>5b</t>
        </is>
      </c>
      <c r="Z29" s="3435" t="n"/>
      <c r="AA29" s="949" t="n"/>
      <c r="AB29" s="139" t="n"/>
      <c r="AC29" s="88" t="n"/>
    </row>
    <row r="30" ht="15.75" customHeight="1" s="7635">
      <c r="A30" s="139" t="n"/>
      <c r="B30" s="3412" t="n">
        <v>6</v>
      </c>
      <c r="C30" s="1836" t="inlineStr">
        <is>
          <t>Is the amount on line 5 less than the amount on line 2?</t>
        </is>
      </c>
      <c r="D30" s="88" t="n"/>
      <c r="E30" s="88" t="n"/>
      <c r="F30" s="88" t="n"/>
      <c r="G30" s="88" t="n"/>
      <c r="H30" s="88" t="n"/>
      <c r="I30" s="88" t="n"/>
      <c r="J30" s="88" t="n"/>
      <c r="K30" s="7829" t="n"/>
      <c r="L30" s="2393" t="n"/>
      <c r="M30" s="2393" t="n"/>
      <c r="N30" s="2393" t="n"/>
      <c r="O30" s="2393" t="n"/>
      <c r="P30" s="2393" t="n"/>
      <c r="Q30" s="2393" t="n"/>
      <c r="R30" s="2393" t="n"/>
      <c r="S30" s="2393" t="n"/>
      <c r="T30" s="2418" t="n"/>
      <c r="U30" s="2408" t="n"/>
      <c r="V30" s="88" t="n"/>
      <c r="W30" s="139" t="n"/>
      <c r="X30" s="150" t="n"/>
      <c r="Y30" s="139" t="n"/>
      <c r="Z30" s="139" t="n"/>
      <c r="AA30" s="150" t="n"/>
      <c r="AB30" s="139" t="n"/>
      <c r="AC30" s="88" t="n"/>
    </row>
    <row r="31" ht="6" customHeight="1" s="7635" thickBot="1">
      <c r="A31" s="139" t="n"/>
      <c r="B31" s="3436" t="n"/>
      <c r="C31" s="88" t="n"/>
      <c r="D31" s="88" t="n"/>
      <c r="E31" s="88" t="n"/>
      <c r="F31" s="88" t="n"/>
      <c r="G31" s="88" t="n"/>
      <c r="H31" s="88" t="n"/>
      <c r="I31" s="88" t="n"/>
      <c r="J31" s="88" t="n"/>
      <c r="K31" s="7829" t="n"/>
      <c r="L31" s="2393" t="n"/>
      <c r="M31" s="2393" t="n"/>
      <c r="N31" s="2393" t="n"/>
      <c r="O31" s="2393" t="n"/>
      <c r="P31" s="2393" t="n"/>
      <c r="Q31" s="2393" t="n"/>
      <c r="R31" s="2393" t="n"/>
      <c r="S31" s="2393" t="n"/>
      <c r="T31" s="2418" t="n"/>
      <c r="U31" s="2408" t="n"/>
      <c r="V31" s="88" t="n"/>
      <c r="W31" s="88" t="n"/>
      <c r="X31" s="3434" t="n"/>
      <c r="Y31" s="88" t="n"/>
      <c r="Z31" s="88" t="n"/>
      <c r="AA31" s="88" t="n"/>
      <c r="AB31" s="88" t="n"/>
      <c r="AC31" s="88" t="n"/>
    </row>
    <row r="32" ht="12.75" customHeight="1" s="7635" thickBot="1">
      <c r="A32" s="139" t="n"/>
      <c r="B32" s="3436" t="n"/>
      <c r="C32" s="2463">
        <f>IF(W12="No","",IF(OR(LEFT(L32,2)="No",LEFT(Q32,2)="No"),"X",""))</f>
        <v/>
      </c>
      <c r="D32" s="228" t="n"/>
      <c r="E32" s="11417" t="inlineStr">
        <is>
          <t xml:space="preserve">No.  Stop.  </t>
        </is>
      </c>
      <c r="F32" s="11417" t="n"/>
      <c r="G32" s="1836" t="inlineStr">
        <is>
          <t>None of your IRA contributions are deductible. For details on</t>
        </is>
      </c>
      <c r="H32" s="88" t="n"/>
      <c r="I32" s="7829" t="n"/>
      <c r="J32" s="7829" t="n"/>
      <c r="K32" s="2393" t="n"/>
      <c r="L32" s="3437">
        <f>IF(OR(I26="",AND(K9="",P10="")),"",IF(L29&lt;L21,"Yes","No.  Stop."))</f>
        <v/>
      </c>
      <c r="M32" s="2701" t="n"/>
      <c r="N32" s="2701" t="n"/>
      <c r="O32" s="2701" t="n"/>
      <c r="P32" s="3434" t="n"/>
      <c r="Q32" s="3437">
        <f>IF(OR(I26="",File_Marr_Joint="",W12="No"),"",IF(Q29&lt;Q21,"Yes","No.  Stop."))</f>
        <v/>
      </c>
      <c r="R32" s="2701" t="n"/>
      <c r="S32" s="2701" t="n"/>
      <c r="T32" s="3438" t="n"/>
      <c r="U32" s="1562" t="n"/>
      <c r="V32" s="88" t="n"/>
      <c r="W32" s="88" t="n"/>
      <c r="X32" s="3434" t="n"/>
      <c r="Y32" s="88" t="n"/>
      <c r="Z32" s="88" t="n"/>
      <c r="AA32" s="88" t="n"/>
      <c r="AB32" s="88" t="n"/>
      <c r="AC32" s="88" t="n"/>
    </row>
    <row r="33" ht="12" customHeight="1" s="7635">
      <c r="A33" s="139" t="n"/>
      <c r="B33" s="3436" t="n"/>
      <c r="C33" s="228" t="n"/>
      <c r="D33" s="228" t="n"/>
      <c r="E33" s="11417" t="n"/>
      <c r="F33" s="11417" t="n"/>
      <c r="G33" s="1836" t="inlineStr">
        <is>
          <t>nondeductible IRA contributions, see Form 8606.</t>
        </is>
      </c>
      <c r="H33" s="88" t="n"/>
      <c r="I33" s="7829" t="n"/>
      <c r="J33" s="7829" t="n"/>
      <c r="K33" s="2393" t="n"/>
      <c r="L33" s="3434" t="n"/>
      <c r="M33" s="3434" t="n"/>
      <c r="N33" s="3434" t="n"/>
      <c r="O33" s="3434" t="n"/>
      <c r="P33" s="3434" t="n"/>
      <c r="Q33" s="11602" t="n"/>
      <c r="R33" s="3439" t="n"/>
      <c r="S33" s="3439" t="n"/>
      <c r="T33" s="2418" t="n"/>
      <c r="U33" s="2408" t="n"/>
      <c r="V33" s="88" t="n"/>
      <c r="W33" s="88" t="n"/>
      <c r="X33" s="3434" t="n"/>
      <c r="Y33" s="88" t="n"/>
      <c r="Z33" s="88" t="n"/>
      <c r="AA33" s="88" t="n"/>
      <c r="AB33" s="88" t="n"/>
      <c r="AC33" s="88" t="n"/>
    </row>
    <row r="34" ht="6" customHeight="1" s="7635" thickBot="1">
      <c r="A34" s="139" t="n"/>
      <c r="B34" s="3436" t="n"/>
      <c r="C34" s="228" t="n"/>
      <c r="D34" s="228" t="n"/>
      <c r="E34" s="11417" t="n"/>
      <c r="F34" s="11417" t="n"/>
      <c r="G34" s="1836" t="n"/>
      <c r="H34" s="88" t="n"/>
      <c r="I34" s="7829" t="n"/>
      <c r="J34" s="7829" t="n"/>
      <c r="K34" s="2393" t="n"/>
      <c r="L34" s="3434" t="n"/>
      <c r="M34" s="3434" t="n"/>
      <c r="N34" s="3434" t="n"/>
      <c r="O34" s="3434" t="n"/>
      <c r="P34" s="3434" t="n"/>
      <c r="Q34" s="11602" t="n"/>
      <c r="R34" s="3439" t="n"/>
      <c r="S34" s="3439" t="n"/>
      <c r="T34" s="2418" t="n"/>
      <c r="U34" s="2408" t="n"/>
      <c r="V34" s="88" t="n"/>
      <c r="W34" s="88" t="n"/>
      <c r="X34" s="3434" t="n"/>
      <c r="Y34" s="88" t="n"/>
      <c r="Z34" s="88" t="n"/>
      <c r="AA34" s="88" t="n"/>
      <c r="AB34" s="88" t="n"/>
      <c r="AC34" s="88" t="n"/>
    </row>
    <row r="35" ht="12.75" customHeight="1" s="7635" thickBot="1">
      <c r="A35" s="139" t="n"/>
      <c r="B35" s="3436" t="n"/>
      <c r="C35" s="2463">
        <f>IF(W12="No","",IF(OR(LEFT(L32,3)="Yes",LEFT(Q32,3)="Yes"),"X",""))</f>
        <v/>
      </c>
      <c r="D35" s="228" t="n"/>
      <c r="E35" s="11417" t="inlineStr">
        <is>
          <t>Yes.</t>
        </is>
      </c>
      <c r="F35" s="11417" t="n"/>
      <c r="G35" s="3440" t="inlineStr">
        <is>
          <t>Subtract line 5 from line 2 in each column.  Follow the instruction below</t>
        </is>
      </c>
      <c r="H35" s="226" t="n"/>
      <c r="I35" s="7829" t="n"/>
      <c r="J35" s="7829" t="n"/>
      <c r="K35" s="2393" t="n"/>
      <c r="L35" s="3434" t="n"/>
      <c r="M35" s="3434" t="n"/>
      <c r="N35" s="3434" t="n"/>
      <c r="O35" s="3434" t="n"/>
      <c r="P35" s="3434" t="n"/>
      <c r="Q35" s="3439" t="n"/>
      <c r="R35" s="3439" t="n"/>
      <c r="S35" s="3439" t="n"/>
      <c r="T35" s="2418" t="n"/>
      <c r="U35" s="2408" t="n"/>
      <c r="V35" s="88" t="n"/>
      <c r="W35" s="88" t="n"/>
      <c r="X35" s="7847" t="n"/>
      <c r="Y35" s="88" t="n"/>
      <c r="Z35" s="88" t="n"/>
      <c r="AA35" s="88" t="n"/>
      <c r="AB35" s="88" t="n"/>
      <c r="AC35" s="88" t="n"/>
    </row>
    <row r="36" ht="15" customHeight="1" s="7635">
      <c r="A36" s="139" t="n"/>
      <c r="B36" s="3436" t="n"/>
      <c r="C36" s="226" t="n"/>
      <c r="D36" s="226" t="n"/>
      <c r="E36" s="11417" t="n"/>
      <c r="F36" s="11417" t="n"/>
      <c r="G36" s="3441" t="inlineStr">
        <is>
          <t>that applies to you.</t>
        </is>
      </c>
      <c r="H36" s="88" t="n"/>
      <c r="I36" s="7829" t="n"/>
      <c r="J36" s="7829" t="n"/>
      <c r="K36" s="2393" t="n"/>
      <c r="L36" s="3434" t="n"/>
      <c r="M36" s="3434" t="n"/>
      <c r="N36" s="3434" t="n"/>
      <c r="O36" s="3434" t="n"/>
      <c r="P36" s="3434" t="n"/>
      <c r="Q36" s="3439" t="n"/>
      <c r="R36" s="3439" t="n"/>
      <c r="S36" s="3439" t="n"/>
      <c r="T36" s="2418" t="n"/>
      <c r="U36" s="2408" t="n"/>
      <c r="V36" s="88" t="n"/>
      <c r="W36" s="88" t="n"/>
      <c r="X36" s="7847" t="n"/>
      <c r="Y36" s="88" t="n"/>
      <c r="Z36" s="88" t="n"/>
      <c r="AA36" s="88" t="n"/>
      <c r="AB36" s="88" t="n"/>
      <c r="AC36" s="88" t="n"/>
    </row>
    <row r="37" ht="12" customHeight="1" s="7635">
      <c r="A37" s="139" t="n"/>
      <c r="B37" s="3436" t="n"/>
      <c r="C37" s="7829" t="n"/>
      <c r="D37" s="226" t="n"/>
      <c r="E37" s="3423" t="inlineStr">
        <is>
          <t xml:space="preserve">· </t>
        </is>
      </c>
      <c r="F37" s="1836" t="inlineStr">
        <is>
          <t>If single, head of household, or married filing separately, and the</t>
        </is>
      </c>
      <c r="G37" s="11403" t="n"/>
      <c r="H37" s="88" t="n"/>
      <c r="I37" s="88" t="n"/>
      <c r="J37" s="7829" t="n"/>
      <c r="K37" s="2393" t="n"/>
      <c r="L37" s="3434" t="n"/>
      <c r="M37" s="3439" t="n"/>
      <c r="N37" s="3434" t="n"/>
      <c r="O37" s="3434" t="n"/>
      <c r="P37" s="3434" t="n"/>
      <c r="Q37" s="3439" t="n"/>
      <c r="R37" s="3439" t="n"/>
      <c r="S37" s="3439" t="n"/>
      <c r="T37" s="2418" t="n"/>
      <c r="U37" s="2408" t="n"/>
      <c r="V37" s="88" t="n"/>
      <c r="W37" s="88" t="n"/>
      <c r="X37" s="7847" t="n"/>
      <c r="Y37" s="88" t="n"/>
      <c r="Z37" s="88" t="n"/>
      <c r="AA37" s="88" t="n"/>
      <c r="AB37" s="88" t="n"/>
      <c r="AC37" s="88" t="n"/>
    </row>
    <row r="38" ht="12" customHeight="1" s="7635">
      <c r="A38" s="139" t="n"/>
      <c r="B38" s="3436" t="n"/>
      <c r="C38" s="7829" t="n"/>
      <c r="D38" s="226" t="n"/>
      <c r="E38" s="11417" t="n"/>
      <c r="F38" s="1836">
        <f>"result is "&amp;TEXT(X17,"$0,000")&amp;" or more, enter the applicable amount below on"</f>
        <v/>
      </c>
      <c r="G38" s="11403" t="n"/>
      <c r="H38" s="88" t="n"/>
      <c r="I38" s="88" t="n"/>
      <c r="J38" s="7829" t="n"/>
      <c r="K38" s="2393" t="n"/>
      <c r="L38" s="3434" t="n"/>
      <c r="M38" s="3434" t="n"/>
      <c r="N38" s="3434" t="n"/>
      <c r="O38" s="3434" t="n"/>
      <c r="P38" s="3434" t="n"/>
      <c r="Q38" s="3439" t="n"/>
      <c r="R38" s="3439" t="n"/>
      <c r="S38" s="3439" t="n"/>
      <c r="T38" s="2418" t="n"/>
      <c r="U38" s="2408" t="n"/>
      <c r="V38" s="88" t="n"/>
      <c r="W38" s="88" t="n"/>
      <c r="X38" s="7847" t="n"/>
      <c r="Y38" s="88" t="n"/>
      <c r="Z38" s="88" t="n"/>
      <c r="AA38" s="88" t="n"/>
      <c r="AB38" s="88" t="n"/>
      <c r="AC38" s="88" t="n"/>
    </row>
    <row r="39" ht="12" customHeight="1" s="7635">
      <c r="A39" s="139" t="n"/>
      <c r="B39" s="3436" t="n"/>
      <c r="C39" s="7829" t="n"/>
      <c r="D39" s="226" t="n"/>
      <c r="E39" s="11417" t="n"/>
      <c r="F39" s="1836" t="inlineStr">
        <is>
          <t>line 7 for that column and go to line 8.</t>
        </is>
      </c>
      <c r="G39" s="11403" t="n"/>
      <c r="H39" s="88" t="n"/>
      <c r="I39" s="88" t="n"/>
      <c r="J39" s="7829" t="n"/>
      <c r="K39" s="2393" t="n"/>
      <c r="L39" s="3434" t="n"/>
      <c r="M39" s="3434" t="n"/>
      <c r="N39" s="3434" t="n"/>
      <c r="O39" s="3434" t="n"/>
      <c r="P39" s="3434" t="n"/>
      <c r="Q39" s="3439" t="n"/>
      <c r="R39" s="3439" t="n"/>
      <c r="S39" s="3439" t="n"/>
      <c r="T39" s="2418" t="n"/>
      <c r="U39" s="2408" t="n"/>
      <c r="V39" s="88" t="n"/>
      <c r="W39" s="88" t="n"/>
      <c r="X39" s="7847" t="n"/>
      <c r="Y39" s="88" t="n"/>
      <c r="Z39" s="88" t="n"/>
      <c r="AA39" s="88" t="n"/>
      <c r="AB39" s="88" t="n"/>
      <c r="AC39" s="88" t="n"/>
    </row>
    <row r="40" ht="12" customHeight="1" s="7635">
      <c r="A40" s="139" t="n"/>
      <c r="B40" s="3436" t="n"/>
      <c r="C40" s="7829" t="n"/>
      <c r="D40" s="226" t="n"/>
      <c r="E40" s="11417" t="n"/>
      <c r="F40" s="3442">
        <f>"i. "&amp;TEXT($X$8,"$0,000")&amp;", if under age 50 at the end of "&amp;TaxYear&amp;"."</f>
        <v/>
      </c>
      <c r="G40" s="11403" t="n"/>
      <c r="H40" s="11403" t="n"/>
      <c r="I40" s="88" t="n"/>
      <c r="J40" s="7829" t="n"/>
      <c r="K40" s="2393" t="n"/>
      <c r="L40" s="3434" t="n"/>
      <c r="M40" s="3434" t="n"/>
      <c r="N40" s="3434" t="n"/>
      <c r="O40" s="3434" t="n"/>
      <c r="P40" s="3434" t="n"/>
      <c r="Q40" s="3439" t="n"/>
      <c r="R40" s="3439" t="n"/>
      <c r="S40" s="3439" t="n"/>
      <c r="T40" s="2418" t="n"/>
      <c r="U40" s="2408" t="n"/>
      <c r="V40" s="88" t="n"/>
      <c r="W40" s="226" t="inlineStr">
        <is>
          <t>Manual</t>
        </is>
      </c>
      <c r="X40" s="226" t="n"/>
      <c r="Y40" s="88" t="n"/>
      <c r="Z40" s="88" t="n"/>
      <c r="AA40" s="88" t="n"/>
      <c r="AB40" s="88" t="n"/>
      <c r="AC40" s="88" t="n"/>
    </row>
    <row r="41" ht="12" customFormat="1" customHeight="1" s="80">
      <c r="A41" s="962" t="n"/>
      <c r="B41" s="3443" t="n"/>
      <c r="C41" s="3444" t="n"/>
      <c r="D41" s="226" t="n"/>
      <c r="E41" s="1836" t="n"/>
      <c r="F41" s="3442">
        <f>"ii. "&amp;TEXT($X$10,"$0,000")&amp;", if age 50 or older at the"</f>
        <v/>
      </c>
      <c r="G41" s="11403" t="n"/>
      <c r="H41" s="11403" t="n"/>
      <c r="I41" s="11403" t="n"/>
      <c r="J41" s="3444" t="n"/>
      <c r="K41" s="2460" t="n"/>
      <c r="L41" s="3434" t="n"/>
      <c r="M41" s="3434" t="n"/>
      <c r="N41" s="3434" t="n"/>
      <c r="O41" s="3434" t="n"/>
      <c r="P41" s="3434" t="n"/>
      <c r="Q41" s="3439" t="n"/>
      <c r="R41" s="3439" t="n"/>
      <c r="S41" s="3439" t="n"/>
      <c r="T41" s="2458" t="n"/>
      <c r="U41" s="2459" t="n"/>
      <c r="V41" s="11403" t="n"/>
      <c r="W41" s="7831" t="inlineStr">
        <is>
          <t>Override</t>
        </is>
      </c>
      <c r="Z41" s="11403" t="n"/>
      <c r="AA41" s="11403" t="n"/>
      <c r="AB41" s="11403" t="n"/>
      <c r="AC41" s="11403" t="n"/>
      <c r="AD41" s="664" t="n"/>
      <c r="AE41" s="664" t="n"/>
      <c r="AF41" s="664" t="n"/>
      <c r="AG41" s="664" t="n"/>
      <c r="AH41" s="664" t="n"/>
      <c r="AI41" s="664" t="n"/>
      <c r="AJ41" s="664" t="n"/>
      <c r="AK41" s="664" t="n"/>
      <c r="AL41" s="664" t="n"/>
      <c r="AM41" s="664" t="n"/>
      <c r="AN41" s="664" t="n"/>
    </row>
    <row r="42" ht="12" customFormat="1" customHeight="1" s="80">
      <c r="A42" s="962" t="n"/>
      <c r="B42" s="3443" t="n"/>
      <c r="C42" s="3444" t="n"/>
      <c r="D42" s="226" t="n"/>
      <c r="E42" s="1836" t="n"/>
      <c r="F42" s="3442">
        <f>"   end of "&amp;TaxYear&amp;"."</f>
        <v/>
      </c>
      <c r="G42" s="11403" t="n"/>
      <c r="H42" s="11403" t="n"/>
      <c r="I42" s="11403" t="n"/>
      <c r="J42" s="3444" t="n"/>
      <c r="K42" s="2460" t="n"/>
      <c r="L42" s="3434" t="n"/>
      <c r="M42" s="3434" t="n"/>
      <c r="N42" s="3434" t="n"/>
      <c r="O42" s="3434" t="n"/>
      <c r="P42" s="3434" t="n"/>
      <c r="Q42" s="3439" t="n"/>
      <c r="R42" s="3439" t="n"/>
      <c r="S42" s="3439" t="n"/>
      <c r="T42" s="2458" t="n"/>
      <c r="U42" s="2459" t="n"/>
      <c r="V42" s="11403" t="n"/>
      <c r="W42" s="139" t="n"/>
      <c r="X42" s="150" t="n"/>
      <c r="Y42" s="139" t="n"/>
      <c r="Z42" s="139" t="n"/>
      <c r="AA42" s="150" t="n"/>
      <c r="AB42" s="139" t="n"/>
      <c r="AC42" s="11403" t="n"/>
      <c r="AD42" s="664" t="n"/>
      <c r="AE42" s="664" t="n"/>
      <c r="AF42" s="664" t="n"/>
      <c r="AG42" s="664" t="n"/>
      <c r="AH42" s="664" t="n"/>
      <c r="AI42" s="664" t="n"/>
      <c r="AJ42" s="664" t="n"/>
      <c r="AK42" s="664" t="n"/>
      <c r="AL42" s="664" t="n"/>
      <c r="AM42" s="664" t="n"/>
      <c r="AN42" s="664" t="n"/>
    </row>
    <row r="43" ht="12" customHeight="1" s="7635">
      <c r="A43" s="139" t="n"/>
      <c r="B43" s="3436" t="n"/>
      <c r="C43" s="7829" t="n"/>
      <c r="D43" s="226" t="n"/>
      <c r="E43" s="3445" t="n"/>
      <c r="F43" s="1836">
        <f>"If the result is less than "&amp;TEXT(X17,"$0,000")&amp;", go to line 7."</f>
        <v/>
      </c>
      <c r="G43" s="11403" t="n"/>
      <c r="H43" s="88" t="n"/>
      <c r="I43" s="88" t="n"/>
      <c r="J43" s="7829" t="n"/>
      <c r="K43" s="2450" t="inlineStr">
        <is>
          <t>6a.</t>
        </is>
      </c>
      <c r="L43" s="7596">
        <f>IF(X43&lt;&gt;"",ROUND(X43,0),IF(OR(BadBirthdate_Yours,L21="",$W$12="No",I26=""),"",IF(LEFT(L32,2)="No","",L21-L29)))</f>
        <v/>
      </c>
      <c r="M43" s="7637" t="n"/>
      <c r="N43" s="7637" t="n"/>
      <c r="O43" s="9664" t="n"/>
      <c r="P43" s="2450" t="inlineStr">
        <is>
          <t>6b.</t>
        </is>
      </c>
      <c r="Q43" s="7596">
        <f>IF(AA43&lt;&gt;"",ROUND(AA43,0),IF(OR(Q14,R16,File_Marr_Joint="",I26=""),"",IF(OR(AND(File_Marr_Sep&lt;&gt;"",LivedApart),Q21="",$W$12="No"),"",IF(LEFT(Q32,2)="No","",Q21-Q29))))</f>
        <v/>
      </c>
      <c r="R43" s="7637" t="n"/>
      <c r="S43" s="7637" t="n"/>
      <c r="T43" s="2482" t="n"/>
      <c r="U43" s="2483" t="n"/>
      <c r="V43" s="88" t="n"/>
      <c r="W43" s="3435" t="inlineStr">
        <is>
          <t>6a</t>
        </is>
      </c>
      <c r="X43" s="3446" t="n"/>
      <c r="Y43" s="3435" t="inlineStr">
        <is>
          <t>6b</t>
        </is>
      </c>
      <c r="Z43" s="3435" t="n"/>
      <c r="AA43" s="3446" t="n"/>
      <c r="AB43" s="139" t="n"/>
      <c r="AC43" s="88" t="n"/>
    </row>
    <row r="44" ht="12" customHeight="1" s="7635">
      <c r="A44" s="139" t="n"/>
      <c r="B44" s="3436" t="n"/>
      <c r="C44" s="7829" t="n"/>
      <c r="D44" s="226" t="n"/>
      <c r="E44" s="3423" t="inlineStr">
        <is>
          <t xml:space="preserve">· </t>
        </is>
      </c>
      <c r="F44" s="1836" t="inlineStr">
        <is>
          <t>If married filing jointly or qualifying surviving spouse, and the result is</t>
        </is>
      </c>
      <c r="G44" s="11403" t="n"/>
      <c r="H44" s="88" t="n"/>
      <c r="I44" s="88" t="n"/>
      <c r="J44" s="7829" t="n"/>
      <c r="K44" s="2393" t="n"/>
      <c r="L44" s="7838" t="n"/>
      <c r="M44" s="7839" t="n"/>
      <c r="N44" s="7839" t="n"/>
      <c r="O44" s="3434" t="n"/>
      <c r="P44" s="3434" t="n"/>
      <c r="Q44" s="7847">
        <f>IF(OR(File_Marr_Joint="",W12="No"),"",IF(OR(LivedApart,AND(File_Marr_Joint="",File_Marr_Sep="")),"",IF(LEFT(Q32,2)="No","",Q21-Q29)))</f>
        <v/>
      </c>
      <c r="T44" s="2418" t="n"/>
      <c r="U44" s="2408" t="n"/>
      <c r="V44" s="88" t="n"/>
      <c r="W44" s="139" t="n"/>
      <c r="X44" s="150" t="n"/>
      <c r="Y44" s="139" t="n"/>
      <c r="Z44" s="139" t="n"/>
      <c r="AA44" s="150" t="n"/>
      <c r="AB44" s="139" t="n"/>
      <c r="AC44" s="88" t="n"/>
    </row>
    <row r="45" ht="12" customHeight="1" s="7635">
      <c r="A45" s="139" t="n"/>
      <c r="B45" s="3436" t="n"/>
      <c r="C45" s="7829" t="n"/>
      <c r="D45" s="226" t="n"/>
      <c r="E45" s="11417" t="n"/>
      <c r="F45" s="1836">
        <f>TEXT(2*X17,"$0,000")&amp;" or more ("&amp;TEXT(X17,"$0,000")&amp;" or more in the column for the IRA of"</f>
        <v/>
      </c>
      <c r="G45" s="11403" t="n"/>
      <c r="H45" s="88" t="n"/>
      <c r="I45" s="88" t="n"/>
      <c r="J45" s="7829" t="n"/>
      <c r="K45" s="2393" t="n"/>
      <c r="L45" s="7847">
        <f>IF(K9&lt;&gt;"",2*$X$17,$X$17)</f>
        <v/>
      </c>
      <c r="O45" s="3434" t="n"/>
      <c r="P45" s="3434" t="n"/>
      <c r="Q45" s="7847">
        <f>IF(P10&lt;&gt;"",2*$X$17,$X$17)</f>
        <v/>
      </c>
      <c r="T45" s="2418" t="n"/>
      <c r="U45" s="2408" t="n"/>
      <c r="V45" s="88" t="n"/>
      <c r="W45" s="88" t="n"/>
      <c r="X45" s="7847" t="n"/>
      <c r="Y45" s="88" t="n"/>
      <c r="Z45" s="88" t="n"/>
      <c r="AA45" s="88" t="n"/>
      <c r="AB45" s="88" t="n"/>
      <c r="AC45" s="88" t="n"/>
    </row>
    <row r="46" ht="12" customHeight="1" s="7635">
      <c r="A46" s="139" t="n"/>
      <c r="B46" s="3436" t="n"/>
      <c r="C46" s="7829" t="n"/>
      <c r="D46" s="226" t="n"/>
      <c r="E46" s="11417" t="n"/>
      <c r="F46" s="1836" t="inlineStr">
        <is>
          <t>a person who was not covered by a retirement plan), enter the</t>
        </is>
      </c>
      <c r="G46" s="11403" t="n"/>
      <c r="H46" s="88" t="n"/>
      <c r="I46" s="88" t="n"/>
      <c r="J46" s="7829" t="n"/>
      <c r="K46" s="2393" t="n"/>
      <c r="L46" s="3434" t="n"/>
      <c r="M46" s="3434" t="n"/>
      <c r="N46" s="3434" t="n"/>
      <c r="O46" s="3434" t="n"/>
      <c r="P46" s="3434" t="n"/>
      <c r="Q46" s="7847" t="n"/>
      <c r="T46" s="2418" t="n"/>
      <c r="U46" s="2408" t="n"/>
      <c r="V46" s="88" t="n"/>
      <c r="W46" s="88" t="n"/>
      <c r="X46" s="7847" t="n"/>
      <c r="Y46" s="88" t="n"/>
      <c r="Z46" s="88" t="n"/>
      <c r="AA46" s="88" t="n"/>
      <c r="AB46" s="88" t="n"/>
      <c r="AC46" s="88" t="n"/>
    </row>
    <row r="47" ht="12" customHeight="1" s="7635">
      <c r="A47" s="139" t="n"/>
      <c r="B47" s="3436" t="n"/>
      <c r="C47" s="7829" t="n"/>
      <c r="D47" s="226" t="n"/>
      <c r="E47" s="11417" t="n"/>
      <c r="F47" s="1836" t="inlineStr">
        <is>
          <t>applicable amount below on line 7 for that column and go to line 8.</t>
        </is>
      </c>
      <c r="G47" s="11403" t="n"/>
      <c r="H47" s="88" t="n"/>
      <c r="I47" s="88" t="n"/>
      <c r="J47" s="7829" t="n"/>
      <c r="K47" s="2393" t="n"/>
      <c r="L47" s="3434" t="n"/>
      <c r="M47" s="3434" t="n"/>
      <c r="N47" s="3434" t="n"/>
      <c r="O47" s="3434" t="n"/>
      <c r="P47" s="3434" t="n"/>
      <c r="Q47" s="3439" t="n"/>
      <c r="R47" s="3439" t="n"/>
      <c r="S47" s="3439" t="n"/>
      <c r="T47" s="2418" t="n"/>
      <c r="U47" s="2408" t="n"/>
      <c r="V47" s="88" t="n"/>
      <c r="W47" s="88" t="n"/>
      <c r="X47" s="7847" t="n"/>
      <c r="Y47" s="88" t="n"/>
      <c r="Z47" s="88" t="n"/>
      <c r="AA47" s="88" t="n"/>
      <c r="AB47" s="88" t="n"/>
      <c r="AC47" s="88" t="n"/>
    </row>
    <row r="48" ht="12" customHeight="1" s="7635">
      <c r="A48" s="139" t="n"/>
      <c r="B48" s="3436" t="n"/>
      <c r="C48" s="7829" t="n"/>
      <c r="D48" s="226" t="n"/>
      <c r="E48" s="11417" t="n"/>
      <c r="F48" s="3442">
        <f>"i. "&amp;TEXT($X$8,"$0,000")&amp;", if under age 50 at the end of "&amp;TaxYear&amp;"."</f>
        <v/>
      </c>
      <c r="G48" s="11403" t="n"/>
      <c r="H48" s="11403" t="n"/>
      <c r="I48" s="88" t="n"/>
      <c r="J48" s="7829" t="n"/>
      <c r="K48" s="2393" t="n"/>
      <c r="L48" s="3434" t="n"/>
      <c r="M48" s="3434" t="n"/>
      <c r="N48" s="3434" t="n"/>
      <c r="O48" s="3434" t="n"/>
      <c r="P48" s="3434" t="n"/>
      <c r="Q48" s="3439" t="n"/>
      <c r="R48" s="3439" t="n"/>
      <c r="S48" s="3439" t="n"/>
      <c r="T48" s="2418" t="n"/>
      <c r="U48" s="2408" t="n"/>
      <c r="V48" s="88" t="n"/>
      <c r="W48" s="88" t="n"/>
      <c r="X48" s="7847" t="n"/>
      <c r="Y48" s="88" t="n"/>
      <c r="Z48" s="88" t="n"/>
      <c r="AA48" s="88" t="n"/>
      <c r="AB48" s="88" t="n"/>
      <c r="AC48" s="88" t="n"/>
    </row>
    <row r="49" ht="12" customFormat="1" customHeight="1" s="80">
      <c r="A49" s="962" t="n"/>
      <c r="B49" s="3443" t="n"/>
      <c r="C49" s="3444" t="n"/>
      <c r="D49" s="226" t="n"/>
      <c r="E49" s="1836" t="n"/>
      <c r="F49" s="3442">
        <f>"ii. "&amp;TEXT($X$10,"$0,000")&amp;", if age 50 or older at the end of "&amp;TaxYear&amp;"."</f>
        <v/>
      </c>
      <c r="G49" s="11403" t="n"/>
      <c r="H49" s="11403" t="n"/>
      <c r="I49" s="11403" t="n"/>
      <c r="J49" s="3444" t="n"/>
      <c r="K49" s="2460" t="n"/>
      <c r="L49" s="3434" t="n"/>
      <c r="M49" s="3434" t="n"/>
      <c r="N49" s="3434" t="n"/>
      <c r="O49" s="3434" t="n"/>
      <c r="P49" s="3434" t="n"/>
      <c r="Q49" s="3439" t="n"/>
      <c r="R49" s="3439" t="n"/>
      <c r="S49" s="3439" t="n"/>
      <c r="T49" s="2458" t="n"/>
      <c r="U49" s="2459" t="n"/>
      <c r="V49" s="11403" t="n"/>
      <c r="W49" s="11403" t="n"/>
      <c r="X49" s="7847" t="n"/>
      <c r="Y49" s="11403" t="n"/>
      <c r="Z49" s="11403" t="n"/>
      <c r="AA49" s="11403" t="n"/>
      <c r="AB49" s="11403" t="n"/>
      <c r="AC49" s="11403" t="n"/>
      <c r="AD49" s="664" t="n"/>
      <c r="AE49" s="664" t="n"/>
      <c r="AF49" s="664" t="n"/>
      <c r="AG49" s="664" t="n"/>
      <c r="AH49" s="664" t="n"/>
      <c r="AI49" s="664" t="n"/>
      <c r="AJ49" s="664" t="n"/>
      <c r="AK49" s="664" t="n"/>
      <c r="AL49" s="664" t="n"/>
      <c r="AM49" s="664" t="n"/>
      <c r="AN49" s="664" t="n"/>
    </row>
    <row r="50" ht="12" customHeight="1" s="7635">
      <c r="A50" s="139" t="n"/>
      <c r="B50" s="3436" t="n"/>
      <c r="C50" s="3444" t="n"/>
      <c r="D50" s="226" t="n"/>
      <c r="E50" s="3445" t="n"/>
      <c r="F50" s="1836" t="inlineStr">
        <is>
          <t>Otherwise, go to line 7.</t>
        </is>
      </c>
      <c r="G50" s="11403" t="n"/>
      <c r="H50" s="88" t="n"/>
      <c r="I50" s="88" t="n"/>
      <c r="J50" s="3444" t="n"/>
      <c r="K50" s="2460" t="n"/>
      <c r="L50" s="3434" t="n"/>
      <c r="M50" s="3434" t="n"/>
      <c r="N50" s="3434" t="n"/>
      <c r="O50" s="3434" t="n"/>
      <c r="P50" s="3434" t="n"/>
      <c r="Q50" s="3439" t="n"/>
      <c r="R50" s="3439" t="n"/>
      <c r="S50" s="3439" t="n"/>
      <c r="T50" s="2458" t="n"/>
      <c r="U50" s="2483" t="n"/>
      <c r="V50" s="88" t="n"/>
      <c r="W50" s="88" t="n"/>
      <c r="X50" s="7847" t="n"/>
      <c r="Y50" s="88" t="n"/>
      <c r="Z50" s="88" t="n"/>
      <c r="AA50" s="88" t="n"/>
      <c r="AB50" s="88" t="n"/>
      <c r="AC50" s="88" t="n"/>
    </row>
    <row r="51" ht="12" customHeight="1" s="7635" thickBot="1">
      <c r="A51" s="139" t="n"/>
      <c r="B51" s="3447" t="n"/>
      <c r="C51" s="3448" t="n"/>
      <c r="D51" s="3448" t="n"/>
      <c r="E51" s="3449" t="n"/>
      <c r="F51" s="3449" t="n"/>
      <c r="G51" s="91" t="n"/>
      <c r="H51" s="91" t="n"/>
      <c r="I51" s="3450" t="n"/>
      <c r="J51" s="3450" t="n"/>
      <c r="K51" s="3451" t="n"/>
      <c r="L51" s="3452" t="n"/>
      <c r="M51" s="203" t="n"/>
      <c r="N51" s="203" t="n"/>
      <c r="O51" s="3450" t="n"/>
      <c r="P51" s="3450" t="n"/>
      <c r="Q51" s="3452" t="n"/>
      <c r="R51" s="203" t="n"/>
      <c r="S51" s="203" t="n"/>
      <c r="T51" s="3453" t="n"/>
      <c r="U51" s="2483" t="n"/>
      <c r="V51" s="88" t="n"/>
      <c r="W51" s="88" t="n"/>
      <c r="X51" s="7847" t="n"/>
      <c r="Y51" s="88" t="n"/>
      <c r="Z51" s="88" t="n"/>
      <c r="AA51" s="88" t="n"/>
      <c r="AB51" s="88" t="n"/>
      <c r="AC51" s="88" t="n"/>
    </row>
    <row r="52" ht="1.5" customHeight="1" s="7635">
      <c r="A52" s="139" t="n"/>
      <c r="B52" s="3454" t="n"/>
      <c r="C52" s="3455" t="n"/>
      <c r="D52" s="3455" t="n"/>
      <c r="E52" s="3456" t="n"/>
      <c r="F52" s="3456" t="n"/>
      <c r="G52" s="3457" t="n"/>
      <c r="H52" s="3457" t="n"/>
      <c r="I52" s="3458" t="n"/>
      <c r="J52" s="3458" t="n"/>
      <c r="K52" s="3459" t="n"/>
      <c r="L52" s="3460" t="n"/>
      <c r="M52" s="3461" t="n"/>
      <c r="N52" s="3461" t="n"/>
      <c r="O52" s="3458" t="n"/>
      <c r="P52" s="3458" t="n"/>
      <c r="Q52" s="3460" t="n"/>
      <c r="R52" s="3461" t="n"/>
      <c r="S52" s="3461" t="n"/>
      <c r="T52" s="3462" t="n"/>
      <c r="U52" s="2483" t="n"/>
      <c r="V52" s="88" t="n"/>
      <c r="W52" s="88" t="n"/>
      <c r="X52" s="7847" t="n"/>
      <c r="Y52" s="88" t="n"/>
      <c r="Z52" s="88" t="n"/>
      <c r="AA52" s="88" t="n"/>
      <c r="AB52" s="88" t="n"/>
      <c r="AC52" s="88" t="n"/>
    </row>
    <row r="53" ht="22.5" customHeight="1" s="7635">
      <c r="A53" s="139" t="n"/>
      <c r="B53" s="3463">
        <f>B2&amp;"  -  Continued"</f>
        <v/>
      </c>
      <c r="C53" s="20" t="n"/>
      <c r="D53" s="20" t="n"/>
      <c r="E53" s="20" t="n"/>
      <c r="F53" s="20" t="n"/>
      <c r="G53" s="20" t="n"/>
      <c r="H53" s="3464" t="n"/>
      <c r="I53" s="20" t="n"/>
      <c r="J53" s="20" t="n"/>
      <c r="K53" s="20" t="n"/>
      <c r="L53" s="20" t="n"/>
      <c r="M53" s="20" t="n"/>
      <c r="N53" s="20" t="n"/>
      <c r="O53" s="20" t="n"/>
      <c r="P53" s="2523" t="n"/>
      <c r="Q53" s="2523" t="n"/>
      <c r="R53" s="2523" t="n"/>
      <c r="S53" s="3465" t="n"/>
      <c r="T53" s="3466" t="n"/>
      <c r="U53" s="3385" t="n"/>
      <c r="V53" s="20" t="n"/>
      <c r="W53" s="20" t="n"/>
      <c r="X53" s="20" t="n"/>
      <c r="Y53" s="88" t="n"/>
      <c r="Z53" s="88" t="n"/>
      <c r="AA53" s="88" t="n"/>
      <c r="AB53" s="88" t="n"/>
      <c r="AC53" s="88" t="n"/>
    </row>
    <row r="54" ht="21.75" customFormat="1" customHeight="1" s="9864">
      <c r="A54" s="144" t="n"/>
      <c r="B54" s="3402" t="n"/>
      <c r="C54" s="3403" t="n"/>
      <c r="D54" s="3403" t="n"/>
      <c r="E54" s="3403" t="n"/>
      <c r="F54" s="3403" t="n"/>
      <c r="G54" s="3405" t="n"/>
      <c r="H54" s="3406" t="n"/>
      <c r="I54" s="3406" t="n"/>
      <c r="J54" s="3407" t="n"/>
      <c r="K54" s="3408" t="n"/>
      <c r="L54" s="3409" t="inlineStr">
        <is>
          <t>Your IRA</t>
        </is>
      </c>
      <c r="M54" s="3408" t="n"/>
      <c r="N54" s="3410" t="inlineStr">
        <is>
          <t>Spouses IRA</t>
        </is>
      </c>
      <c r="O54" s="3410" t="n"/>
      <c r="P54" s="3408" t="n"/>
      <c r="Q54" s="3408" t="n"/>
      <c r="R54" s="3408" t="n"/>
      <c r="S54" s="3408" t="n"/>
      <c r="T54" s="3411" t="n"/>
      <c r="U54" s="3401" t="n"/>
      <c r="V54" s="181" t="n"/>
      <c r="W54" s="181" t="n"/>
      <c r="X54" s="181" t="n"/>
      <c r="Y54" s="182" t="n"/>
      <c r="Z54" s="182" t="n"/>
      <c r="AA54" s="182" t="n"/>
      <c r="AB54" s="182" t="n"/>
      <c r="AC54" s="182" t="n"/>
      <c r="AD54" s="665" t="n"/>
      <c r="AE54" s="665" t="n"/>
      <c r="AF54" s="658" t="n"/>
      <c r="AG54" s="658" t="n"/>
      <c r="AH54" s="658" t="n"/>
      <c r="AI54" s="665" t="n"/>
      <c r="AJ54" s="665" t="n"/>
      <c r="AK54" s="665" t="n"/>
      <c r="AL54" s="665" t="n"/>
      <c r="AM54" s="665" t="n"/>
      <c r="AN54" s="665" t="n"/>
    </row>
    <row r="55" ht="12" customHeight="1" s="7635">
      <c r="A55" s="139" t="n"/>
      <c r="B55" s="3412" t="n">
        <v>7</v>
      </c>
      <c r="C55" s="3467" t="inlineStr">
        <is>
          <t>Multiply lines 6a and 6b by the percentage below that applies to you. If the</t>
        </is>
      </c>
      <c r="D55" s="3467" t="n"/>
      <c r="E55" s="88" t="n"/>
      <c r="F55" s="88" t="n"/>
      <c r="G55" s="88" t="n"/>
      <c r="H55" s="88" t="n"/>
      <c r="I55" s="3468" t="n"/>
      <c r="J55" s="3469" t="n"/>
      <c r="K55" s="3470" t="inlineStr">
        <is>
          <t>Single, HOH, MFS</t>
        </is>
      </c>
      <c r="L55" s="7848">
        <f>IF(AND(L43&gt;$X$17,YourAge&lt;50),$X$8,IF(L43&gt;$X$17,$X$10,IF(YourAge&lt;50,ROUNDUP($AA$56*L43,-1),ROUNDUP($AA$57*L43,-1))))</f>
        <v/>
      </c>
      <c r="O55" s="3469" t="n"/>
      <c r="P55" s="3469" t="n"/>
      <c r="Q55" s="7848">
        <f>IF(L55&lt;$AA$55,$AA$55,L55)</f>
        <v/>
      </c>
      <c r="T55" s="3471" t="n"/>
      <c r="U55" s="3472" t="n"/>
      <c r="V55" s="3473" t="n"/>
      <c r="W55" s="3473" t="n"/>
      <c r="X55" s="3473" t="n"/>
      <c r="Y55" s="3473" t="n"/>
      <c r="Z55" s="3473" t="n"/>
      <c r="AA55" s="441" t="n">
        <v>200</v>
      </c>
      <c r="AB55" s="88" t="n"/>
      <c r="AC55" s="88" t="n"/>
    </row>
    <row r="56" ht="15" customHeight="1" s="7635">
      <c r="A56" s="139" t="n"/>
      <c r="B56" s="3412" t="n"/>
      <c r="C56" s="1836" t="inlineStr">
        <is>
          <t>result is not a multiple of $10, increase it to the next multiple of $10 (for</t>
        </is>
      </c>
      <c r="D56" s="1836" t="n"/>
      <c r="E56" s="2471" t="n"/>
      <c r="F56" s="2471" t="n"/>
      <c r="G56" s="2471" t="n"/>
      <c r="H56" s="7829" t="n"/>
      <c r="I56" s="3434" t="n"/>
      <c r="J56" s="7847" t="n"/>
      <c r="K56" s="3470" t="inlineStr">
        <is>
          <t>MFJ, QWidow(er)</t>
        </is>
      </c>
      <c r="L56" s="7848">
        <f>IF(YourAge="?","",IF(AND(L43&gt;L45,YourAge&lt;50),$X$8,IF(L43&gt;L45,$X$10,IF(ROUNDUP(L58*L43,-1)&lt;$AA$55,$AA$55,ROUNDUP(L58*L43,-1)))))</f>
        <v/>
      </c>
      <c r="O56" s="202" t="n"/>
      <c r="P56" s="3470" t="n"/>
      <c r="Q56" s="7848">
        <f>IF(SpouseAge="®","",IF(AND(Q43&gt;Q45,SpouseAge&lt;50),$X$8,IF(AND(Q43&gt;Q45),$X$10,IF(ROUNDUP(Q58*Q43,-1)&lt;$AA$55,$AA$55,ROUNDUP(Q58*Q43,-1)))))</f>
        <v/>
      </c>
      <c r="T56" s="3474" t="n"/>
      <c r="U56" s="3472" t="n"/>
      <c r="V56" s="3434" t="n"/>
      <c r="W56" s="3434" t="n"/>
      <c r="X56" s="3434" t="n"/>
      <c r="Y56" s="3434" t="n"/>
      <c r="Z56" s="3434" t="n"/>
      <c r="AA56" s="441" t="n">
        <v>0.7</v>
      </c>
      <c r="AB56" s="88" t="n"/>
      <c r="AC56" s="88" t="n"/>
    </row>
    <row r="57" ht="15" customHeight="1" s="7635">
      <c r="A57" s="139" t="n"/>
      <c r="B57" s="3412" t="n"/>
      <c r="C57" s="1836">
        <f>"example, increase $490.30 to $500). If the result is "&amp;TEXT(AA55,"$0")&amp;", or more, enter the"</f>
        <v/>
      </c>
      <c r="D57" s="1836" t="n"/>
      <c r="E57" s="2471" t="n"/>
      <c r="F57" s="2471" t="n"/>
      <c r="G57" s="2471" t="n"/>
      <c r="H57" s="7829" t="n"/>
      <c r="I57" s="3475" t="n"/>
      <c r="J57" s="3475" t="n"/>
      <c r="K57" s="3475" t="n"/>
      <c r="L57" s="3475" t="n"/>
      <c r="M57" s="3475" t="n"/>
      <c r="N57" s="3475" t="n"/>
      <c r="O57" s="3475" t="n"/>
      <c r="P57" s="3475" t="n"/>
      <c r="Q57" s="3475" t="n"/>
      <c r="R57" s="3475" t="n"/>
      <c r="S57" s="3475" t="n"/>
      <c r="T57" s="3474" t="n"/>
      <c r="U57" s="3472" t="n"/>
      <c r="V57" s="3434" t="n"/>
      <c r="W57" s="3434" t="n"/>
      <c r="X57" s="3434" t="n"/>
      <c r="Y57" s="3434" t="n"/>
      <c r="Z57" s="3434" t="n"/>
      <c r="AA57" s="441" t="n">
        <v>0.8</v>
      </c>
      <c r="AB57" s="88" t="n"/>
      <c r="AC57" s="88" t="n"/>
    </row>
    <row r="58" ht="15" customHeight="1" s="7635">
      <c r="A58" s="139" t="n"/>
      <c r="B58" s="3412" t="n"/>
      <c r="C58" s="1836">
        <f>"result. But if it is less than "&amp;TEXT(AA55,"$0")&amp;", enter "&amp;TEXT(AA55,"$0")&amp;"."</f>
        <v/>
      </c>
      <c r="D58" s="1836" t="n"/>
      <c r="E58" s="2471" t="n"/>
      <c r="F58" s="2471" t="n"/>
      <c r="G58" s="2471" t="n"/>
      <c r="H58" s="7829" t="n"/>
      <c r="I58" s="3475" t="n"/>
      <c r="J58" s="3475" t="n"/>
      <c r="K58" s="3475" t="n"/>
      <c r="L58" s="11985">
        <f>IF(AND(K9&lt;&gt;"",YourAge&lt;50),AA58,IF(K9&lt;&gt;"",AA59,IF(YourAge&lt;50,AA56,AA57)))</f>
        <v/>
      </c>
      <c r="M58" s="3475" t="n"/>
      <c r="N58" s="3475" t="n"/>
      <c r="O58" s="3475" t="n"/>
      <c r="P58" s="3475" t="n"/>
      <c r="Q58" s="11985">
        <f>IF(AND(P10&lt;&gt;"",SpouseAge&lt;50),AA58,IF(P10&lt;&gt;"",AA59,IF(SpouseAge&lt;50,AA56,AA57)))</f>
        <v/>
      </c>
      <c r="R58" s="3475" t="n"/>
      <c r="S58" s="3475" t="n"/>
      <c r="T58" s="3474" t="n"/>
      <c r="U58" s="3472" t="n"/>
      <c r="V58" s="3434" t="n"/>
      <c r="W58" s="226" t="inlineStr">
        <is>
          <t>Manual</t>
        </is>
      </c>
      <c r="X58" s="226" t="n"/>
      <c r="Y58" s="88" t="n"/>
      <c r="Z58" s="3434" t="n"/>
      <c r="AA58" s="441" t="n">
        <v>0.35</v>
      </c>
      <c r="AB58" s="88" t="n"/>
      <c r="AC58" s="88" t="n"/>
    </row>
    <row r="59" ht="15" customHeight="1" s="7635">
      <c r="A59" s="139" t="n"/>
      <c r="B59" s="3412" t="n"/>
      <c r="C59" s="3423" t="inlineStr">
        <is>
          <t xml:space="preserve">· </t>
        </is>
      </c>
      <c r="D59" s="1836">
        <f>"Single, head of household, or married filing separately, multiply by "&amp;TEXT(AA56,"0%")</f>
        <v/>
      </c>
      <c r="E59" s="2471" t="n"/>
      <c r="F59" s="2471" t="n"/>
      <c r="G59" s="2471" t="n"/>
      <c r="H59" s="7829" t="n"/>
      <c r="I59" s="3475" t="n"/>
      <c r="J59" s="3477" t="n"/>
      <c r="K59" s="3478" t="n"/>
      <c r="L59" s="3433" t="n"/>
      <c r="M59" s="3433" t="n"/>
      <c r="N59" s="3433" t="n"/>
      <c r="O59" s="3433" t="n"/>
      <c r="P59" s="3433" t="n"/>
      <c r="Q59" s="3433" t="n"/>
      <c r="R59" s="3475" t="n"/>
      <c r="S59" s="3479">
        <f>IF(AND(K9&lt;&gt;"",File_Marr_Joint="",YourAge="®"),"Birthdate information needed on 'Form 1040 or 1040-SR', Row 73.",IF(AND(P10&lt;&gt;"",File_Marr_Joint&lt;&gt;"",SpouseAge=""),"Birthdate information needed on 'Form 1040 or 1040-SR', Rows 73 &amp; 75.",""))</f>
        <v/>
      </c>
      <c r="T59" s="3474" t="n"/>
      <c r="U59" s="3472" t="n"/>
      <c r="V59" s="3434" t="n"/>
      <c r="W59" s="7831" t="inlineStr">
        <is>
          <t>Override</t>
        </is>
      </c>
      <c r="Z59" s="3434" t="n"/>
      <c r="AA59" s="441" t="n">
        <v>0.4</v>
      </c>
      <c r="AB59" s="88" t="n"/>
      <c r="AC59" s="88" t="n"/>
    </row>
    <row r="60" ht="15" customHeight="1" s="7635">
      <c r="A60" s="139" t="n"/>
      <c r="B60" s="3412" t="n"/>
      <c r="C60" s="1836" t="n"/>
      <c r="D60" s="1836">
        <f>"("&amp;TEXT(AA56,"0.00")&amp;")(or by "&amp;TEXT(AA57,"0%")&amp;" ("&amp;TEXT(AA57,"0.00")&amp;") in the column for the IRA of a person who is age"</f>
        <v/>
      </c>
      <c r="E60" s="2471" t="n"/>
      <c r="F60" s="2471" t="n"/>
      <c r="G60" s="2471" t="n"/>
      <c r="H60" s="7829" t="n"/>
      <c r="I60" s="2393" t="n"/>
      <c r="J60" s="2393" t="n"/>
      <c r="K60" s="7829" t="n"/>
      <c r="L60" s="3433" t="n"/>
      <c r="M60" s="3433" t="n"/>
      <c r="N60" s="3480" t="n"/>
      <c r="O60" s="3433" t="n"/>
      <c r="P60" s="3439" t="n"/>
      <c r="Q60" s="3439" t="n"/>
      <c r="R60" s="3439" t="n"/>
      <c r="S60" s="3479">
        <f>IF(AND(K9&lt;&gt;"",DependentYOU="",YourAge="®"),"Your birthdate is needed on Form 1040 or 1040-SR, Column AF.","")</f>
        <v/>
      </c>
      <c r="T60" s="2418" t="n"/>
      <c r="U60" s="2408" t="n"/>
      <c r="V60" s="88" t="n"/>
      <c r="W60" s="139" t="n"/>
      <c r="X60" s="150" t="n"/>
      <c r="Y60" s="139" t="n"/>
      <c r="Z60" s="139" t="n"/>
      <c r="AA60" s="150" t="n"/>
      <c r="AB60" s="139" t="n"/>
      <c r="AC60" s="88" t="n"/>
    </row>
    <row r="61" ht="15" customHeight="1" s="7635">
      <c r="A61" s="139" t="n"/>
      <c r="B61" s="3412" t="n"/>
      <c r="C61" s="1836" t="n"/>
      <c r="D61" s="1836">
        <f>"50 or older at the end of "&amp;TaxYear&amp;")"</f>
        <v/>
      </c>
      <c r="E61" s="2393" t="n"/>
      <c r="F61" s="2393" t="n"/>
      <c r="G61" s="2393" t="n"/>
      <c r="H61" s="7829" t="n"/>
      <c r="I61" s="2393" t="n"/>
      <c r="J61" s="2451" t="inlineStr">
        <is>
          <t xml:space="preserve">.   .   .   .   .   .   .   .   .   .   .   .   .   .   .   .   .   .   .   .   .   .   . </t>
        </is>
      </c>
      <c r="K61" s="2450" t="inlineStr">
        <is>
          <t>7a.</t>
        </is>
      </c>
      <c r="L61" s="7596">
        <f>IF(X61&lt;&gt;"",ROUND(X61,0),IF(OR(NOT(Yourself),Q14,BadBirthdate_Yours,LEFT(L32,3)="No."),"",IF(AND(K9="",YourAge&lt;50),$X$8,IF(AND(K9="",YourAge&gt;=50),$X$10,IF(OR(File_Single&lt;&gt;"",File_Head&lt;&gt;"",File_Marr_Sep&lt;&gt;""),Q55,IF(OR(File_Marr_Joint&lt;&gt;"",File_Qual_Widow&lt;&gt;""),L56,""))))))</f>
        <v/>
      </c>
      <c r="M61" s="7637" t="n"/>
      <c r="N61" s="7637" t="n"/>
      <c r="O61" s="9664" t="n"/>
      <c r="P61" s="2450" t="inlineStr">
        <is>
          <t>7b.</t>
        </is>
      </c>
      <c r="Q61" s="7596">
        <f>IF(AA61&lt;&gt;"",ROUND(AA61,0),IF(OR(R16,Q14,File_Marr_Joint="",SpouseAge="",LEFT(Q32,3)="No."),"",IF(AND(K9="",P10="",SpouseAge&lt;50),$X$8,IF(AND(K9="",P10="",SpouseAge&gt;=50),$X$10,Q56))))</f>
        <v/>
      </c>
      <c r="R61" s="7637" t="n"/>
      <c r="S61" s="7637" t="n"/>
      <c r="T61" s="2482" t="n"/>
      <c r="U61" s="2483" t="n"/>
      <c r="V61" s="88" t="n"/>
      <c r="W61" s="3435" t="inlineStr">
        <is>
          <t>7a</t>
        </is>
      </c>
      <c r="X61" s="949" t="n"/>
      <c r="Y61" s="3435" t="inlineStr">
        <is>
          <t>7b</t>
        </is>
      </c>
      <c r="Z61" s="3435" t="n"/>
      <c r="AA61" s="949" t="n"/>
      <c r="AB61" s="139" t="n"/>
      <c r="AC61" s="88" t="n"/>
    </row>
    <row r="62" ht="15" customHeight="1" s="7635">
      <c r="A62" s="139" t="n"/>
      <c r="B62" s="3412" t="n"/>
      <c r="C62" s="3423" t="inlineStr">
        <is>
          <t xml:space="preserve">· </t>
        </is>
      </c>
      <c r="D62" s="1836">
        <f>"Married filing jointly or qualifying surviving spouse, multiply by "&amp;TEXT(AA58,"0%")&amp;" ("&amp;TEXT(AA58,"0.00")&amp;")"</f>
        <v/>
      </c>
      <c r="E62" s="2471" t="n"/>
      <c r="F62" s="2471" t="n"/>
      <c r="G62" s="2471" t="n"/>
      <c r="H62" s="7829" t="n"/>
      <c r="I62" s="2393" t="n"/>
      <c r="J62" s="2393" t="n"/>
      <c r="K62" s="7829" t="n"/>
      <c r="L62" s="3433" t="n"/>
      <c r="M62" s="3433" t="n"/>
      <c r="N62" s="3433" t="n"/>
      <c r="O62" s="3433" t="n"/>
      <c r="P62" s="3439" t="n"/>
      <c r="Q62" s="3439" t="n"/>
      <c r="R62" s="3439" t="n"/>
      <c r="S62" s="3439" t="n"/>
      <c r="T62" s="2418" t="n"/>
      <c r="U62" s="2408" t="n"/>
      <c r="V62" s="88" t="n"/>
      <c r="W62" s="139" t="n"/>
      <c r="X62" s="150" t="n"/>
      <c r="Y62" s="139" t="n"/>
      <c r="Z62" s="139" t="n"/>
      <c r="AA62" s="150" t="n"/>
      <c r="AB62" s="139" t="n"/>
      <c r="AC62" s="88" t="n"/>
    </row>
    <row r="63" ht="15" customHeight="1" s="7635">
      <c r="A63" s="139" t="n"/>
      <c r="B63" s="3412" t="n"/>
      <c r="C63" s="1836" t="n"/>
      <c r="D63" s="1836">
        <f>"(or by "&amp;TEXT(AA59,"0%")&amp;" ("&amp;TEXT(AA59,"0.00")&amp;") in the column for the IRA of a person who is age 50 or"</f>
        <v/>
      </c>
      <c r="E63" s="2471" t="n"/>
      <c r="F63" s="2471" t="n"/>
      <c r="G63" s="2471" t="n"/>
      <c r="H63" s="7829" t="n"/>
      <c r="I63" s="2393" t="n"/>
      <c r="J63" s="2393" t="n"/>
      <c r="K63" s="7829" t="n"/>
      <c r="L63" s="3433" t="n"/>
      <c r="M63" s="3433" t="n"/>
      <c r="N63" s="3433" t="n"/>
      <c r="O63" s="3433" t="n"/>
      <c r="P63" s="3439" t="n"/>
      <c r="Q63" s="3439" t="n"/>
      <c r="R63" s="3439" t="n"/>
      <c r="S63" s="3439" t="n"/>
      <c r="T63" s="2418" t="n"/>
      <c r="U63" s="2408" t="n"/>
      <c r="V63" s="88" t="n"/>
      <c r="W63" s="139" t="n"/>
      <c r="X63" s="150" t="n"/>
      <c r="Y63" s="139" t="n"/>
      <c r="Z63" s="139" t="n"/>
      <c r="AA63" s="150" t="n"/>
      <c r="AB63" s="139" t="n"/>
      <c r="AC63" s="88" t="n"/>
    </row>
    <row r="64" ht="15" customHeight="1" s="7635">
      <c r="A64" s="139" t="n"/>
      <c r="B64" s="3412" t="n"/>
      <c r="C64" s="1836" t="n"/>
      <c r="D64" s="1836">
        <f>"older at the end of "&amp;TaxYear&amp;"). But if you checked “No” on either line 1a"</f>
        <v/>
      </c>
      <c r="E64" s="2471" t="n"/>
      <c r="F64" s="2471" t="n"/>
      <c r="G64" s="2471" t="n"/>
      <c r="H64" s="7829" t="n"/>
      <c r="I64" s="2393" t="n"/>
      <c r="J64" s="2393" t="n"/>
      <c r="K64" s="7829" t="n"/>
      <c r="L64" s="3433" t="n"/>
      <c r="M64" s="3433" t="n"/>
      <c r="N64" s="3433" t="n"/>
      <c r="O64" s="3433" t="n"/>
      <c r="P64" s="3439" t="n"/>
      <c r="Q64" s="3439" t="n"/>
      <c r="R64" s="3439" t="n"/>
      <c r="S64" s="3439" t="n"/>
      <c r="T64" s="2418" t="n"/>
      <c r="U64" s="2408" t="n"/>
      <c r="V64" s="88" t="n"/>
      <c r="W64" s="139" t="n"/>
      <c r="X64" s="150" t="n"/>
      <c r="Y64" s="139" t="n"/>
      <c r="Z64" s="139" t="n"/>
      <c r="AA64" s="150" t="n"/>
      <c r="AB64" s="139" t="n"/>
      <c r="AC64" s="88" t="n"/>
    </row>
    <row r="65" ht="15" customHeight="1" s="7635">
      <c r="A65" s="139" t="n"/>
      <c r="B65" s="3412" t="n"/>
      <c r="C65" s="1836" t="n"/>
      <c r="D65" s="1836" t="inlineStr">
        <is>
          <t>or 1b, then in the column for the IRA of the person who was not covered by a</t>
        </is>
      </c>
      <c r="E65" s="2471" t="n"/>
      <c r="F65" s="2471" t="n"/>
      <c r="G65" s="2471" t="n"/>
      <c r="H65" s="7829" t="n"/>
      <c r="I65" s="2393" t="n"/>
      <c r="J65" s="2393" t="n"/>
      <c r="K65" s="7829" t="n"/>
      <c r="L65" s="3433" t="n"/>
      <c r="M65" s="3433" t="n"/>
      <c r="N65" s="3433" t="n"/>
      <c r="O65" s="3433" t="n"/>
      <c r="P65" s="3439" t="n"/>
      <c r="Q65" s="3439" t="n"/>
      <c r="R65" s="3439" t="n"/>
      <c r="S65" s="3439" t="n"/>
      <c r="T65" s="2418" t="n"/>
      <c r="U65" s="2408" t="n"/>
      <c r="V65" s="88" t="n"/>
      <c r="W65" s="139" t="n"/>
      <c r="X65" s="150" t="n"/>
      <c r="Y65" s="139" t="n"/>
      <c r="Z65" s="139" t="n"/>
      <c r="AA65" s="150" t="n"/>
      <c r="AB65" s="139" t="n"/>
      <c r="AC65" s="88" t="n"/>
    </row>
    <row r="66" ht="15" customHeight="1" s="7635">
      <c r="A66" s="139" t="n"/>
      <c r="B66" s="3412" t="n"/>
      <c r="C66" s="1836" t="n"/>
      <c r="D66" s="1836">
        <f>"retirement plan, multiply by "&amp;TEXT(AA56,"0%")&amp;" ("&amp;TEXT(AA56,"0.00")&amp;") (or by "&amp;TEXT(AA57,"0%")&amp;" ("&amp;TEXT(AA57,"0.00")&amp;") if age 50 or"</f>
        <v/>
      </c>
      <c r="E66" s="2471" t="n"/>
      <c r="F66" s="2471" t="n"/>
      <c r="G66" s="2471" t="n"/>
      <c r="H66" s="7829" t="n"/>
      <c r="I66" s="2393" t="n"/>
      <c r="J66" s="2393" t="n"/>
      <c r="K66" s="7829" t="n"/>
      <c r="L66" s="3433" t="n"/>
      <c r="M66" s="3433" t="n"/>
      <c r="N66" s="3433" t="n"/>
      <c r="O66" s="3433" t="n"/>
      <c r="P66" s="3439" t="n"/>
      <c r="Q66" s="3439" t="n"/>
      <c r="R66" s="3439" t="n"/>
      <c r="S66" s="3439" t="n"/>
      <c r="T66" s="2418" t="n"/>
      <c r="U66" s="2408" t="n"/>
      <c r="V66" s="88" t="n"/>
      <c r="W66" s="139" t="n"/>
      <c r="X66" s="150" t="n"/>
      <c r="Y66" s="139" t="n"/>
      <c r="Z66" s="139" t="n"/>
      <c r="AA66" s="150" t="n"/>
      <c r="AB66" s="139" t="n"/>
      <c r="AC66" s="88" t="n"/>
    </row>
    <row r="67" ht="15" customHeight="1" s="7635">
      <c r="A67" s="139" t="n"/>
      <c r="B67" s="3412" t="n"/>
      <c r="C67" s="1836" t="n"/>
      <c r="D67" s="1836">
        <f>"older at the end of "&amp;TaxYear&amp;")."</f>
        <v/>
      </c>
      <c r="E67" s="2471" t="n"/>
      <c r="F67" s="2471" t="n"/>
      <c r="G67" s="2471" t="n"/>
      <c r="H67" s="7829" t="n"/>
      <c r="I67" s="2393" t="n"/>
      <c r="J67" s="2393" t="n"/>
      <c r="K67" s="7829" t="n"/>
      <c r="L67" s="3433" t="n"/>
      <c r="M67" s="3433" t="n"/>
      <c r="N67" s="3433" t="n"/>
      <c r="O67" s="3433" t="n"/>
      <c r="P67" s="3439" t="n"/>
      <c r="Q67" s="3439" t="n"/>
      <c r="R67" s="3439" t="n"/>
      <c r="S67" s="3439" t="n"/>
      <c r="T67" s="2418" t="n"/>
      <c r="U67" s="2408" t="n"/>
      <c r="V67" s="88" t="n"/>
      <c r="W67" s="139" t="n"/>
      <c r="X67" s="150" t="n"/>
      <c r="Y67" s="139" t="n"/>
      <c r="Z67" s="139" t="n"/>
      <c r="AA67" s="150" t="n"/>
      <c r="AB67" s="139" t="n"/>
      <c r="AC67" s="88" t="n"/>
    </row>
    <row r="68" ht="12.75" customHeight="1" s="7635">
      <c r="A68" s="139" t="n"/>
      <c r="B68" s="3412" t="n">
        <v>8</v>
      </c>
      <c r="C68" s="1836" t="inlineStr">
        <is>
          <t>Enter the total of your (and your spouse’s if filing jointly):</t>
        </is>
      </c>
      <c r="D68" s="1836" t="n"/>
      <c r="E68" s="2393" t="n"/>
      <c r="F68" s="2393" t="n"/>
      <c r="G68" s="2393" t="n"/>
      <c r="H68" s="7829" t="n"/>
      <c r="I68" s="2393" t="n"/>
      <c r="J68" s="2393" t="n"/>
      <c r="K68" s="2450" t="n"/>
      <c r="L68" s="3481" t="n"/>
      <c r="M68" s="3482" t="n"/>
      <c r="N68" s="8874" t="n"/>
      <c r="O68" s="2643" t="n"/>
      <c r="P68" s="2450" t="n"/>
      <c r="Q68" s="3483" t="n"/>
      <c r="R68" s="88" t="n"/>
      <c r="S68" s="3484" t="n"/>
      <c r="T68" s="2482" t="n"/>
      <c r="U68" s="2483" t="n"/>
      <c r="V68" s="88" t="n"/>
      <c r="W68" s="139" t="n"/>
      <c r="X68" s="150" t="n"/>
      <c r="Y68" s="139" t="n"/>
      <c r="Z68" s="139" t="n"/>
      <c r="AA68" s="150" t="n"/>
      <c r="AB68" s="139" t="n"/>
      <c r="AC68" s="88" t="n"/>
    </row>
    <row r="69" ht="12.75" customHeight="1" s="7635">
      <c r="A69" s="139" t="n"/>
      <c r="B69" s="3412" t="n"/>
      <c r="C69" s="3423" t="inlineStr">
        <is>
          <t xml:space="preserve">· </t>
        </is>
      </c>
      <c r="D69" s="3419" t="inlineStr">
        <is>
          <t>Wages, salaries, tips, etc. Generally, this is the</t>
        </is>
      </c>
      <c r="E69" s="2393" t="n"/>
      <c r="F69" s="2393" t="n"/>
      <c r="G69" s="2393" t="n"/>
      <c r="H69" s="7829" t="n"/>
      <c r="I69" s="2393" t="n"/>
      <c r="J69" s="2393" t="n"/>
      <c r="K69" s="2450" t="n"/>
      <c r="L69" s="3481" t="n"/>
      <c r="M69" s="2643" t="n"/>
      <c r="N69" s="2643" t="n"/>
      <c r="O69" s="2643" t="n"/>
      <c r="P69" s="2450" t="n"/>
      <c r="Q69" s="3483" t="n"/>
      <c r="R69" s="88" t="n"/>
      <c r="S69" s="88" t="n"/>
      <c r="T69" s="2482" t="n"/>
      <c r="U69" s="2483" t="n"/>
      <c r="V69" s="88" t="n"/>
      <c r="W69" s="226" t="inlineStr">
        <is>
          <t>Manual</t>
        </is>
      </c>
      <c r="X69" s="226" t="n"/>
      <c r="Y69" s="88" t="n"/>
      <c r="Z69" s="88" t="n"/>
      <c r="AA69" s="88" t="n"/>
      <c r="AB69" s="88" t="n"/>
      <c r="AC69" s="88" t="n"/>
    </row>
    <row r="70" ht="12.75" customHeight="1" s="7635">
      <c r="A70" s="139" t="n"/>
      <c r="B70" s="3412" t="n"/>
      <c r="C70" s="1836" t="n"/>
      <c r="D70" s="3419" t="inlineStr">
        <is>
          <t>amount reported in box 1 of Form W-2. Exceptions</t>
        </is>
      </c>
      <c r="E70" s="2460" t="n"/>
      <c r="F70" s="2393" t="n"/>
      <c r="G70" s="2393" t="n"/>
      <c r="H70" s="7829" t="n"/>
      <c r="I70" s="2393" t="n"/>
      <c r="J70" s="2393" t="n"/>
      <c r="K70" s="2450" t="n"/>
      <c r="L70" s="3481" t="n"/>
      <c r="M70" s="2643" t="n"/>
      <c r="N70" s="2643" t="n"/>
      <c r="O70" s="2643" t="n"/>
      <c r="P70" s="2450" t="n"/>
      <c r="Q70" s="3483" t="n"/>
      <c r="R70" s="88" t="n"/>
      <c r="S70" s="88" t="n"/>
      <c r="T70" s="2482" t="n"/>
      <c r="U70" s="2483" t="n"/>
      <c r="V70" s="88" t="n"/>
      <c r="W70" s="7831" t="inlineStr">
        <is>
          <t>Override</t>
        </is>
      </c>
      <c r="Z70" s="88" t="n"/>
      <c r="AA70" s="88" t="n"/>
      <c r="AB70" s="88" t="n"/>
      <c r="AC70" s="88" t="n"/>
    </row>
    <row r="71" ht="12.75" customHeight="1" s="7635">
      <c r="A71" s="139" t="n"/>
      <c r="B71" s="3412" t="n"/>
      <c r="C71" s="1836" t="n"/>
      <c r="D71" s="3419" t="inlineStr">
        <is>
          <t>are explained earlier in these instructions for line 20.</t>
        </is>
      </c>
      <c r="E71" s="2460" t="n"/>
      <c r="F71" s="2393" t="n"/>
      <c r="G71" s="2393" t="n"/>
      <c r="H71" s="7829" t="n"/>
      <c r="I71" s="2393" t="n"/>
      <c r="J71" s="2393" t="n"/>
      <c r="K71" s="2450" t="n"/>
      <c r="L71" s="3481" t="n"/>
      <c r="M71" s="2643" t="n"/>
      <c r="N71" s="2643" t="n"/>
      <c r="O71" s="2643" t="n"/>
      <c r="P71" s="2450" t="n"/>
      <c r="Q71" s="3483" t="n"/>
      <c r="R71" s="88" t="n"/>
      <c r="S71" s="88" t="n"/>
      <c r="T71" s="2482" t="n"/>
      <c r="U71" s="2483" t="n"/>
      <c r="V71" s="88" t="n"/>
      <c r="W71" s="139" t="n"/>
      <c r="X71" s="150" t="n"/>
      <c r="Y71" s="139" t="n"/>
      <c r="Z71" s="139" t="n"/>
      <c r="AA71" s="88" t="n"/>
      <c r="AB71" s="88" t="n"/>
      <c r="AC71" s="88" t="n"/>
    </row>
    <row r="72" ht="12.75" customHeight="1" s="7635">
      <c r="A72" s="139" t="n"/>
      <c r="B72" s="3412" t="n"/>
      <c r="C72" s="3423" t="inlineStr">
        <is>
          <t xml:space="preserve">· </t>
        </is>
      </c>
      <c r="D72" s="3419" t="inlineStr">
        <is>
          <t xml:space="preserve">Alimony and separate maintenance payments </t>
        </is>
      </c>
      <c r="E72" s="2393" t="n"/>
      <c r="F72" s="2393" t="n"/>
      <c r="G72" s="2393" t="n"/>
      <c r="H72" s="7829">
        <f>B68</f>
        <v/>
      </c>
      <c r="I72" s="7842">
        <f>IF(X72&lt;&gt;"",ROUND(X72,0),ROUND(SUM(W2_Wages,AlimonyRcvd,X77),2))</f>
        <v/>
      </c>
      <c r="J72" s="7637" t="n"/>
      <c r="K72" s="2450" t="n"/>
      <c r="L72" s="3481" t="n"/>
      <c r="M72" s="2643" t="n"/>
      <c r="N72" s="2643" t="n"/>
      <c r="O72" s="2643" t="n"/>
      <c r="P72" s="2450" t="n"/>
      <c r="Q72" s="3483" t="n"/>
      <c r="R72" s="88" t="n"/>
      <c r="S72" s="88" t="n"/>
      <c r="T72" s="2482" t="n"/>
      <c r="U72" s="2483" t="n"/>
      <c r="V72" s="88" t="n"/>
      <c r="W72" s="3485" t="inlineStr">
        <is>
          <t>8</t>
        </is>
      </c>
      <c r="X72" s="949" t="n"/>
      <c r="Y72" s="139" t="n"/>
      <c r="Z72" s="139" t="n"/>
      <c r="AA72" s="88" t="n"/>
      <c r="AB72" s="88" t="n"/>
      <c r="AC72" s="88" t="n"/>
    </row>
    <row r="73" ht="12.75" customHeight="1" s="7635">
      <c r="A73" s="139" t="n"/>
      <c r="B73" s="3412" t="n"/>
      <c r="C73" s="1836" t="n"/>
      <c r="D73" s="3419" t="inlineStr">
        <is>
          <t>reported on Schedule 1, line 2a</t>
        </is>
      </c>
      <c r="E73" s="2393" t="n"/>
      <c r="F73" s="2393" t="n"/>
      <c r="G73" s="2393" t="n"/>
      <c r="H73" s="7829" t="n"/>
      <c r="I73" s="2393" t="n"/>
      <c r="J73" s="2393" t="n"/>
      <c r="K73" s="2450" t="n"/>
      <c r="L73" s="3481" t="n"/>
      <c r="M73" s="2643" t="n"/>
      <c r="N73" s="2643" t="n"/>
      <c r="O73" s="2643" t="n"/>
      <c r="P73" s="2450" t="n"/>
      <c r="Q73" s="3483" t="n"/>
      <c r="R73" s="88" t="n"/>
      <c r="S73" s="88" t="n"/>
      <c r="T73" s="2482" t="n"/>
      <c r="U73" s="2483" t="n"/>
      <c r="V73" s="88" t="n"/>
      <c r="W73" s="139" t="n"/>
      <c r="X73" s="150" t="n"/>
      <c r="Y73" s="139" t="n"/>
      <c r="Z73" s="139" t="n"/>
      <c r="AA73" s="88" t="n"/>
      <c r="AB73" s="88" t="n"/>
      <c r="AC73" s="88" t="n"/>
    </row>
    <row r="74" ht="12.75" customHeight="1" s="7635">
      <c r="A74" s="139" t="n"/>
      <c r="B74" s="3412" t="n"/>
      <c r="C74" s="3423" t="inlineStr">
        <is>
          <t xml:space="preserve">· </t>
        </is>
      </c>
      <c r="D74" s="3419" t="inlineStr">
        <is>
          <t xml:space="preserve">Nontaxable combat pay. This amount should be </t>
        </is>
      </c>
      <c r="E74" s="2460" t="n"/>
      <c r="F74" s="2393" t="n"/>
      <c r="G74" s="2393" t="n"/>
      <c r="H74" s="7829" t="n"/>
      <c r="I74" s="2393" t="n"/>
      <c r="J74" s="2393" t="n"/>
      <c r="K74" s="2450" t="n"/>
      <c r="L74" s="3481" t="n"/>
      <c r="M74" s="2643" t="n"/>
      <c r="N74" s="2643" t="n"/>
      <c r="O74" s="2643" t="n"/>
      <c r="P74" s="2450" t="n"/>
      <c r="Q74" s="3483" t="n"/>
      <c r="R74" s="88" t="n"/>
      <c r="S74" s="88" t="n"/>
      <c r="T74" s="2482" t="n"/>
      <c r="U74" s="2483" t="n"/>
      <c r="V74" s="88" t="n"/>
      <c r="W74" s="3486" t="n"/>
      <c r="X74" s="3487" t="n"/>
      <c r="Y74" s="3488" t="n"/>
      <c r="Z74" s="3488" t="n"/>
      <c r="AA74" s="88" t="n"/>
      <c r="AB74" s="88" t="n"/>
      <c r="AC74" s="88" t="n"/>
    </row>
    <row r="75" ht="12.75" customHeight="1" s="7635">
      <c r="A75" s="139" t="n"/>
      <c r="B75" s="3412" t="n"/>
      <c r="C75" s="3423" t="n"/>
      <c r="D75" s="3419" t="inlineStr">
        <is>
          <t>reported in box 12 of Form W-2 with code Q or</t>
        </is>
      </c>
      <c r="E75" s="2460" t="n"/>
      <c r="F75" s="2393" t="n"/>
      <c r="G75" s="2393" t="n"/>
      <c r="H75" s="7829" t="n"/>
      <c r="I75" s="2393" t="n"/>
      <c r="J75" s="2393" t="n"/>
      <c r="K75" s="2450" t="n"/>
      <c r="L75" s="3481" t="n"/>
      <c r="M75" s="2643" t="n"/>
      <c r="N75" s="2643" t="n"/>
      <c r="O75" s="2643" t="n"/>
      <c r="P75" s="2450" t="n"/>
      <c r="Q75" s="3483" t="n"/>
      <c r="R75" s="88" t="n"/>
      <c r="S75" s="88" t="n"/>
      <c r="T75" s="2482" t="n"/>
      <c r="U75" s="2483" t="n"/>
      <c r="V75" s="88" t="n"/>
      <c r="W75" s="139" t="n"/>
      <c r="X75" s="3489" t="inlineStr">
        <is>
          <t>Form1040, line 1i</t>
        </is>
      </c>
      <c r="Y75" s="3490" t="n"/>
      <c r="Z75" s="3490" t="n"/>
      <c r="AA75" s="88" t="n"/>
      <c r="AB75" s="88" t="n"/>
      <c r="AC75" s="88" t="n"/>
    </row>
    <row r="76" ht="15" customHeight="1" s="7635">
      <c r="A76" s="139" t="n"/>
      <c r="B76" s="3412" t="n"/>
      <c r="C76" s="1836" t="n"/>
      <c r="D76" s="3419" t="inlineStr">
        <is>
          <t>reported on Form 1040, line 1i.</t>
        </is>
      </c>
      <c r="E76" s="2460" t="n"/>
      <c r="F76" s="2393" t="n"/>
      <c r="G76" s="2393" t="n"/>
      <c r="H76" s="7829" t="n"/>
      <c r="I76" s="2393" t="n"/>
      <c r="J76" s="2393" t="n"/>
      <c r="K76" s="2450" t="n"/>
      <c r="L76" s="3481" t="n"/>
      <c r="M76" s="2643" t="n"/>
      <c r="N76" s="2643" t="n"/>
      <c r="O76" s="2643" t="n"/>
      <c r="P76" s="2450" t="n"/>
      <c r="Q76" s="3483" t="n"/>
      <c r="R76" s="88" t="n"/>
      <c r="S76" s="88" t="n"/>
      <c r="T76" s="2482" t="n"/>
      <c r="U76" s="2483" t="n"/>
      <c r="V76" s="2393" t="n"/>
      <c r="W76" s="139" t="n"/>
      <c r="X76" s="2835" t="inlineStr">
        <is>
          <t>Form W-2</t>
        </is>
      </c>
      <c r="Y76" s="3490" t="inlineStr">
        <is>
          <t>Code</t>
        </is>
      </c>
      <c r="Z76" s="3490" t="n"/>
      <c r="AA76" s="88" t="n"/>
      <c r="AB76" s="88" t="n"/>
      <c r="AC76" s="88" t="n"/>
    </row>
    <row r="77" ht="13.5" customHeight="1" s="7635">
      <c r="A77" s="139" t="n"/>
      <c r="B77" s="3412" t="n">
        <v>9</v>
      </c>
      <c r="C77" s="1836" t="inlineStr">
        <is>
          <t>Enter the earned income you (and your spouse if filing jointly)</t>
        </is>
      </c>
      <c r="D77" s="1836" t="n"/>
      <c r="E77" s="2393" t="n"/>
      <c r="F77" s="2393" t="n"/>
      <c r="G77" s="2393" t="n"/>
      <c r="H77" s="7829" t="n"/>
      <c r="I77" s="2393" t="n"/>
      <c r="J77" s="2393" t="n"/>
      <c r="K77" s="2450" t="n"/>
      <c r="L77" s="3481" t="n"/>
      <c r="M77" s="2643" t="n"/>
      <c r="N77" s="2643" t="n"/>
      <c r="O77" s="2643" t="n"/>
      <c r="P77" s="2450" t="n"/>
      <c r="Q77" s="3483" t="n"/>
      <c r="R77" s="88" t="n"/>
      <c r="S77" s="88" t="n"/>
      <c r="T77" s="2482" t="n"/>
      <c r="U77" s="2483" t="n"/>
      <c r="V77" s="2393" t="n"/>
      <c r="W77" s="3485" t="inlineStr">
        <is>
          <t>12</t>
        </is>
      </c>
      <c r="X77" s="3491">
        <f>CombatPayNoTax</f>
        <v/>
      </c>
      <c r="Y77" s="1562" t="inlineStr">
        <is>
          <t>Q</t>
        </is>
      </c>
      <c r="Z77" s="1562" t="n"/>
      <c r="AA77" s="88" t="n"/>
      <c r="AB77" s="88" t="n"/>
      <c r="AC77" s="88" t="n"/>
    </row>
    <row r="78" ht="13.5" customHeight="1" s="7635">
      <c r="A78" s="139" t="n"/>
      <c r="B78" s="3412" t="n"/>
      <c r="C78" s="1836" t="inlineStr">
        <is>
          <t>received as a self-employed individual or a partner. Generally,</t>
        </is>
      </c>
      <c r="D78" s="1836" t="n"/>
      <c r="E78" s="2393" t="n"/>
      <c r="F78" s="2393" t="n"/>
      <c r="G78" s="2393" t="n"/>
      <c r="H78" s="7829" t="n"/>
      <c r="I78" s="2393" t="n"/>
      <c r="J78" s="2393" t="n"/>
      <c r="K78" s="2450" t="n"/>
      <c r="L78" s="3481" t="n"/>
      <c r="M78" s="2643" t="n"/>
      <c r="N78" s="2643" t="n"/>
      <c r="O78" s="2643" t="n"/>
      <c r="P78" s="2450" t="n"/>
      <c r="Q78" s="3483" t="n"/>
      <c r="R78" s="88" t="n"/>
      <c r="S78" s="88" t="n"/>
      <c r="T78" s="2482" t="n"/>
      <c r="U78" s="2483" t="n"/>
      <c r="V78" s="2393" t="n"/>
      <c r="W78" s="139" t="n"/>
      <c r="X78" s="3492" t="inlineStr">
        <is>
          <t>Nontaxable combat pay.</t>
        </is>
      </c>
      <c r="Y78" s="139" t="n"/>
      <c r="Z78" s="139" t="n"/>
      <c r="AA78" s="88" t="n"/>
      <c r="AB78" s="88" t="n"/>
      <c r="AC78" s="88" t="n"/>
    </row>
    <row r="79" ht="13.5" customHeight="1" s="7635">
      <c r="A79" s="139" t="n"/>
      <c r="B79" s="3412" t="n"/>
      <c r="C79" s="1836" t="inlineStr">
        <is>
          <t>this is your (and your spouse’s if filing jointly) net earnings from</t>
        </is>
      </c>
      <c r="D79" s="1836" t="n"/>
      <c r="E79" s="2393" t="n"/>
      <c r="F79" s="2393" t="n"/>
      <c r="G79" s="2393" t="n"/>
      <c r="H79" s="7829" t="n"/>
      <c r="I79" s="2393" t="n"/>
      <c r="J79" s="2393" t="n"/>
      <c r="K79" s="2450" t="n"/>
      <c r="L79" s="3481" t="n"/>
      <c r="M79" s="2643" t="n"/>
      <c r="N79" s="2643" t="n"/>
      <c r="O79" s="2643" t="n"/>
      <c r="P79" s="2450" t="n"/>
      <c r="Q79" s="3483" t="n"/>
      <c r="R79" s="88" t="n"/>
      <c r="S79" s="88" t="n"/>
      <c r="T79" s="2482" t="n"/>
      <c r="U79" s="2483" t="n"/>
      <c r="V79" s="88" t="n"/>
      <c r="W79" s="88" t="n"/>
      <c r="X79" s="88" t="n"/>
      <c r="Y79" s="88" t="n"/>
      <c r="Z79" s="88" t="n"/>
      <c r="AA79" s="88" t="n"/>
      <c r="AB79" s="88" t="n"/>
      <c r="AC79" s="88" t="n"/>
    </row>
    <row r="80" ht="13.5" customHeight="1" s="7635">
      <c r="A80" s="139" t="n"/>
      <c r="B80" s="3412" t="n"/>
      <c r="C80" s="1836" t="inlineStr">
        <is>
          <t>self-employment if your personal services were a material</t>
        </is>
      </c>
      <c r="D80" s="1836" t="n"/>
      <c r="E80" s="2393" t="n"/>
      <c r="F80" s="2393" t="n"/>
      <c r="G80" s="2393" t="n"/>
      <c r="H80" s="7829" t="n"/>
      <c r="I80" s="2393" t="n"/>
      <c r="J80" s="2393" t="n"/>
      <c r="K80" s="2450" t="n"/>
      <c r="L80" s="3481" t="n"/>
      <c r="M80" s="2643" t="n"/>
      <c r="N80" s="2643" t="n"/>
      <c r="O80" s="2643" t="n"/>
      <c r="P80" s="2450" t="n"/>
      <c r="Q80" s="3483" t="n"/>
      <c r="R80" s="88" t="n"/>
      <c r="S80" s="88" t="n"/>
      <c r="T80" s="2482" t="n"/>
      <c r="U80" s="2483" t="n"/>
      <c r="V80" s="88" t="n"/>
      <c r="W80" s="226" t="n"/>
      <c r="X80" s="226" t="n"/>
      <c r="Y80" s="88" t="n"/>
      <c r="Z80" s="88" t="n"/>
      <c r="AA80" s="88" t="n"/>
      <c r="AB80" s="88" t="n"/>
      <c r="AC80" s="88" t="n"/>
    </row>
    <row r="81" ht="13.5" customHeight="1" s="7635">
      <c r="A81" s="139" t="n"/>
      <c r="B81" s="3412" t="n"/>
      <c r="C81" s="1836" t="inlineStr">
        <is>
          <t>income-producing factor, minus any deductions on Schedule 1,</t>
        </is>
      </c>
      <c r="D81" s="1836" t="n"/>
      <c r="E81" s="2393" t="n"/>
      <c r="F81" s="2393" t="n"/>
      <c r="G81" s="2393" t="n"/>
      <c r="H81" s="7829" t="n"/>
      <c r="I81" s="2393" t="n"/>
      <c r="J81" s="2393" t="n"/>
      <c r="K81" s="2450" t="n"/>
      <c r="L81" s="3481" t="n"/>
      <c r="M81" s="2643" t="n"/>
      <c r="N81" s="2643" t="n"/>
      <c r="O81" s="2643" t="n"/>
      <c r="P81" s="2450" t="n"/>
      <c r="Q81" s="3483" t="n"/>
      <c r="R81" s="88" t="n"/>
      <c r="S81" s="88" t="n"/>
      <c r="T81" s="2482" t="n"/>
      <c r="U81" s="2483" t="n"/>
      <c r="V81" s="88" t="n"/>
      <c r="W81" s="7831" t="n"/>
      <c r="Z81" s="88" t="n"/>
      <c r="AA81" s="88" t="n"/>
      <c r="AB81" s="88" t="n"/>
      <c r="AC81" s="88" t="n"/>
    </row>
    <row r="82" ht="13.5" customHeight="1" s="7635">
      <c r="A82" s="139" t="n"/>
      <c r="B82" s="3412" t="n"/>
      <c r="C82" s="1836" t="inlineStr">
        <is>
          <t xml:space="preserve">lines 15 and 16. </t>
        </is>
      </c>
      <c r="D82" s="1836" t="n"/>
      <c r="E82" s="2393" t="n"/>
      <c r="F82" s="3419" t="inlineStr">
        <is>
          <t>If zero or less, enter -0-.</t>
        </is>
      </c>
      <c r="G82" s="2393" t="n"/>
      <c r="H82" s="7829" t="n"/>
      <c r="I82" s="2393" t="n"/>
      <c r="J82" s="2393" t="n"/>
      <c r="K82" s="2450" t="n"/>
      <c r="L82" s="3481" t="n"/>
      <c r="M82" s="2643" t="n"/>
      <c r="N82" s="2643" t="n"/>
      <c r="O82" s="2643" t="n"/>
      <c r="P82" s="2450" t="n"/>
      <c r="Q82" s="3483" t="n"/>
      <c r="R82" s="88" t="n"/>
      <c r="S82" s="88" t="n"/>
      <c r="T82" s="2482" t="n"/>
      <c r="U82" s="2483" t="n"/>
      <c r="V82" s="88" t="n"/>
      <c r="W82" s="7831" t="n"/>
      <c r="Z82" s="88" t="n"/>
      <c r="AA82" s="88" t="n"/>
      <c r="AB82" s="88" t="n"/>
      <c r="AC82" s="88" t="n"/>
    </row>
    <row r="83" ht="15.75" customHeight="1" s="7635">
      <c r="A83" s="139" t="n"/>
      <c r="B83" s="3412" t="n"/>
      <c r="C83" s="1836" t="inlineStr">
        <is>
          <t xml:space="preserve">For more details, see Pub. 590-A.   .   .   .   .   .   .   .   .   .   .   .   .   .   .   .   .   .   .   .   .   .   . </t>
        </is>
      </c>
      <c r="D83" s="1836" t="n"/>
      <c r="E83" s="2393" t="n"/>
      <c r="F83" s="2393" t="n"/>
      <c r="G83" s="2393" t="n"/>
      <c r="H83" s="7829">
        <f>B77</f>
        <v/>
      </c>
      <c r="I83" s="7843" t="n"/>
      <c r="J83" s="11717" t="n"/>
      <c r="K83" s="2450" t="n"/>
      <c r="L83" s="3481" t="n"/>
      <c r="M83" s="2643" t="n"/>
      <c r="N83" s="2643" t="n"/>
      <c r="O83" s="2643" t="n"/>
      <c r="P83" s="2450" t="n"/>
      <c r="Q83" s="3483" t="n"/>
      <c r="R83" s="88" t="n"/>
      <c r="S83" s="88" t="n"/>
      <c r="T83" s="2482" t="n"/>
      <c r="U83" s="2483" t="n"/>
      <c r="V83" s="88" t="n"/>
      <c r="W83" s="7831" t="n"/>
      <c r="Z83" s="88" t="n"/>
      <c r="AA83" s="88" t="n"/>
      <c r="AB83" s="88" t="n"/>
      <c r="AC83" s="88" t="n"/>
    </row>
    <row r="84" ht="18" customFormat="1" customHeight="1" s="3502">
      <c r="A84" s="3493" t="n"/>
      <c r="B84" s="3412" t="n">
        <v>10</v>
      </c>
      <c r="C84" s="3494" t="inlineStr">
        <is>
          <t>Add lines 8 and 9</t>
        </is>
      </c>
      <c r="D84" s="3494" t="n"/>
      <c r="E84" s="3495" t="n"/>
      <c r="F84" s="3495" t="n"/>
      <c r="G84" s="2451" t="inlineStr">
        <is>
          <t xml:space="preserve">  .   .   .   .   .   .   .   .   .   .   .   .   .   .   .   .   .   .   .   .</t>
        </is>
      </c>
      <c r="H84" s="3496">
        <f>B84</f>
        <v/>
      </c>
      <c r="I84" s="7842">
        <f>ROUND(SUM(I72,I83),2)</f>
        <v/>
      </c>
      <c r="J84" s="7637" t="n"/>
      <c r="K84" s="3497" t="n"/>
      <c r="L84" s="3498" t="n"/>
      <c r="M84" s="3499" t="n"/>
      <c r="N84" s="3499" t="n"/>
      <c r="O84" s="3499" t="n"/>
      <c r="P84" s="3497" t="n"/>
      <c r="Q84" s="3495" t="n"/>
      <c r="R84" s="3495" t="n"/>
      <c r="S84" s="3495" t="n"/>
      <c r="T84" s="3500" t="n"/>
      <c r="U84" s="3501" t="n"/>
      <c r="V84" s="3495" t="n"/>
      <c r="W84" s="7831" t="n"/>
      <c r="Z84" s="88" t="n"/>
      <c r="AA84" s="3495" t="n"/>
      <c r="AB84" s="3495" t="n"/>
      <c r="AC84" s="3495" t="n"/>
      <c r="AD84" s="658" t="n"/>
      <c r="AE84" s="658" t="n"/>
      <c r="AF84" s="658" t="n"/>
      <c r="AG84" s="658" t="n"/>
      <c r="AH84" s="658" t="n"/>
      <c r="AI84" s="658" t="n"/>
      <c r="AJ84" s="658" t="n"/>
      <c r="AK84" s="658" t="n"/>
      <c r="AL84" s="658" t="n"/>
      <c r="AM84" s="658" t="n"/>
      <c r="AN84" s="658" t="n"/>
    </row>
    <row r="85" ht="6.75" customHeight="1" s="7635" thickBot="1">
      <c r="A85" s="139" t="n"/>
      <c r="B85" s="3436" t="n"/>
      <c r="C85" s="88" t="n"/>
      <c r="D85" s="88" t="n"/>
      <c r="E85" s="2417" t="n"/>
      <c r="F85" s="2417" t="n"/>
      <c r="G85" s="2417" t="n"/>
      <c r="H85" s="7829" t="n"/>
      <c r="I85" s="3483" t="n"/>
      <c r="J85" s="3483" t="n"/>
      <c r="K85" s="7829" t="n"/>
      <c r="L85" s="2393" t="n"/>
      <c r="M85" s="2393" t="n"/>
      <c r="N85" s="2393" t="n"/>
      <c r="O85" s="2393" t="n"/>
      <c r="P85" s="2393" t="n"/>
      <c r="Q85" s="2393" t="n"/>
      <c r="R85" s="2393" t="n"/>
      <c r="S85" s="2393" t="n"/>
      <c r="T85" s="2418" t="n"/>
      <c r="U85" s="2408" t="n"/>
      <c r="V85" s="88" t="n"/>
      <c r="W85" s="7831" t="n"/>
      <c r="Z85" s="88" t="n"/>
      <c r="AA85" s="88" t="n"/>
      <c r="AB85" s="88" t="n"/>
      <c r="AC85" s="88" t="n"/>
    </row>
    <row r="86" ht="13.5" customHeight="1" s="7635">
      <c r="A86" s="139" t="n"/>
      <c r="B86" s="3436" t="n"/>
      <c r="C86" s="89" t="n"/>
      <c r="D86" s="89" t="n"/>
      <c r="E86" s="3503" t="n"/>
      <c r="F86" s="3503" t="n"/>
      <c r="G86" s="3504">
        <f>"If married filing jointly and line "&amp;B84&amp;" is less than "&amp;TEXT(X86,"$0,000")&amp;" ("&amp;TEXT(X87,"$0,000")&amp;" if one"</f>
        <v/>
      </c>
      <c r="H86" s="3505" t="n"/>
      <c r="I86" s="3505" t="n"/>
      <c r="J86" s="3505" t="n"/>
      <c r="K86" s="3506" t="n"/>
      <c r="L86" s="2393" t="n"/>
      <c r="M86" s="2393" t="n"/>
      <c r="N86" s="2393" t="n"/>
      <c r="O86" s="2393" t="n"/>
      <c r="P86" s="7829" t="n"/>
      <c r="Q86" s="2393" t="n"/>
      <c r="R86" s="2393" t="n"/>
      <c r="S86" s="2393" t="n"/>
      <c r="T86" s="2418" t="n"/>
      <c r="U86" s="2408" t="n"/>
      <c r="V86" s="88" t="n"/>
      <c r="W86" s="88" t="n"/>
      <c r="X86" s="2713" t="n">
        <v>14000</v>
      </c>
      <c r="Y86" s="88" t="n"/>
      <c r="Z86" s="88" t="n"/>
      <c r="AA86" s="88" t="n"/>
      <c r="AB86" s="88" t="n"/>
      <c r="AC86" s="88" t="n"/>
    </row>
    <row r="87" ht="13.5" customHeight="1" s="7635">
      <c r="A87" s="139" t="n"/>
      <c r="B87" s="3436" t="n"/>
      <c r="C87" s="88" t="n"/>
      <c r="D87" s="88" t="n"/>
      <c r="E87" s="2448" t="n"/>
      <c r="F87" s="2448" t="n"/>
      <c r="G87" s="2442">
        <f>"spouse is age 50 or older at the end of "&amp;TaxYear&amp;"; "&amp;TEXT(X88,"$0,000")&amp;" if both "</f>
        <v/>
      </c>
      <c r="H87" s="3507" t="n"/>
      <c r="I87" s="3507" t="n"/>
      <c r="J87" s="3507" t="n"/>
      <c r="K87" s="7829" t="n"/>
      <c r="L87" s="2473" t="n"/>
      <c r="M87" s="2473" t="n"/>
      <c r="N87" s="2473" t="n"/>
      <c r="O87" s="2473" t="n"/>
      <c r="P87" s="7829" t="n"/>
      <c r="Q87" s="2393" t="n"/>
      <c r="R87" s="2393" t="n"/>
      <c r="S87" s="2393" t="n"/>
      <c r="T87" s="2418" t="n"/>
      <c r="U87" s="2408" t="n"/>
      <c r="V87" s="88" t="n"/>
      <c r="W87" s="88" t="n"/>
      <c r="X87" s="2713" t="n">
        <v>15000</v>
      </c>
      <c r="Y87" s="88" t="n"/>
      <c r="Z87" s="88" t="n"/>
      <c r="AA87" s="88" t="n"/>
      <c r="AB87" s="88" t="n"/>
      <c r="AC87" s="88" t="n"/>
    </row>
    <row r="88" ht="13.5" customHeight="1" s="7635">
      <c r="A88" s="139" t="n"/>
      <c r="B88" s="3436" t="n"/>
      <c r="C88" s="88" t="n"/>
      <c r="D88" s="88" t="n"/>
      <c r="E88" s="2448" t="n"/>
      <c r="F88" s="2448" t="n"/>
      <c r="G88" s="2442">
        <f>"spouses are age 50 or older at  the end of  "&amp;TaxYear&amp;"), "</f>
        <v/>
      </c>
      <c r="H88" s="3508" t="n"/>
      <c r="I88" s="3509" t="inlineStr">
        <is>
          <t xml:space="preserve">stop here and </t>
        </is>
      </c>
      <c r="J88" s="3509" t="n"/>
      <c r="K88" s="7829" t="n"/>
      <c r="L88" s="2473" t="n"/>
      <c r="M88" s="2473" t="n"/>
      <c r="N88" s="2473" t="n"/>
      <c r="O88" s="2473" t="n"/>
      <c r="P88" s="7829" t="n"/>
      <c r="Q88" s="2393" t="n"/>
      <c r="R88" s="2393" t="n"/>
      <c r="S88" s="2393" t="n"/>
      <c r="T88" s="2418" t="n"/>
      <c r="U88" s="2408" t="n"/>
      <c r="V88" s="88" t="n"/>
      <c r="W88" s="88" t="n"/>
      <c r="X88" s="2713" t="n">
        <v>16000</v>
      </c>
      <c r="Y88" s="88" t="n"/>
      <c r="Z88" s="88" t="n"/>
      <c r="AA88" s="88" t="n"/>
      <c r="AB88" s="88" t="n"/>
      <c r="AC88" s="88" t="n"/>
    </row>
    <row r="89" ht="13.5" customHeight="1" s="7635">
      <c r="A89" s="139" t="n"/>
      <c r="B89" s="3436" t="n"/>
      <c r="C89" s="88" t="n"/>
      <c r="D89" s="88" t="n"/>
      <c r="E89" s="2448" t="n"/>
      <c r="F89" s="2448" t="n"/>
      <c r="G89" s="2442" t="inlineStr">
        <is>
          <t>see Pub. 590-A to figure your IRA deduction.</t>
        </is>
      </c>
      <c r="H89" s="7841" t="n"/>
      <c r="I89" s="3510" t="n"/>
      <c r="J89" s="3510" t="n"/>
      <c r="K89" s="3511" t="n"/>
      <c r="L89" s="3511">
        <f>IF(AND(YourAge&gt;=50,SpouseAge&gt;=50),X88,IF(OR(YourAge&gt;=50,SpouseAge&gt;=50),X87,X86))</f>
        <v/>
      </c>
      <c r="M89" s="3511" t="n"/>
      <c r="N89" s="3511" t="n"/>
      <c r="O89" s="3511" t="n"/>
      <c r="P89" s="7829" t="n"/>
      <c r="Q89" s="2393" t="n"/>
      <c r="R89" s="2393" t="n"/>
      <c r="S89" s="2393" t="n"/>
      <c r="T89" s="2418" t="n"/>
      <c r="U89" s="2408" t="n"/>
      <c r="V89" s="88" t="n"/>
      <c r="W89" s="88" t="n"/>
      <c r="X89" s="441">
        <f>"April 15, "&amp;TaxYear+1</f>
        <v/>
      </c>
      <c r="Y89" s="441">
        <f>WEEKDAY(X89)</f>
        <v/>
      </c>
      <c r="Z89" s="88" t="n"/>
      <c r="AA89" s="88" t="n"/>
      <c r="AB89" s="88" t="n"/>
      <c r="AC89" s="88" t="n"/>
    </row>
    <row r="90" ht="13.5" customHeight="1" s="7635" thickBot="1">
      <c r="A90" s="139" t="n"/>
      <c r="B90" s="3436" t="n"/>
      <c r="C90" s="91" t="n"/>
      <c r="D90" s="91" t="n"/>
      <c r="E90" s="3512" t="n"/>
      <c r="F90" s="3512" t="n"/>
      <c r="G90" s="3513">
        <f>IF(AND(L61="",Q61=""),"",IF(AND(File_Marr_Joint&lt;&gt;"",I84&lt;L89),"STOP HERE and see Publication 590 to figure your IRA deduction.",""))</f>
        <v/>
      </c>
      <c r="H90" s="3514" t="n"/>
      <c r="I90" s="3514" t="n"/>
      <c r="J90" s="3514" t="n"/>
      <c r="K90" s="2395" t="n"/>
      <c r="L90" s="2473" t="n"/>
      <c r="M90" s="2473" t="n"/>
      <c r="N90" s="2473" t="n"/>
      <c r="O90" s="2473" t="n"/>
      <c r="P90" s="7829" t="n"/>
      <c r="Q90" s="2473">
        <f>IF(AND(File_Marr_Joint&lt;&gt;"",I83&lt;4000,),"See Pub. 590 (below)","")</f>
        <v/>
      </c>
      <c r="R90" s="2473" t="n"/>
      <c r="S90" s="2473" t="n"/>
      <c r="T90" s="3417" t="n"/>
      <c r="U90" s="3418" t="n"/>
      <c r="V90" s="88" t="n"/>
      <c r="W90" s="88" t="n"/>
      <c r="X90" s="441" t="n"/>
      <c r="Y90" s="441" t="n"/>
      <c r="Z90" s="88" t="n"/>
      <c r="AA90" s="88" t="n"/>
      <c r="AB90" s="88" t="n"/>
      <c r="AC90" s="88" t="n"/>
    </row>
    <row r="91" ht="15" customHeight="1" s="7635">
      <c r="A91" s="139" t="n"/>
      <c r="B91" s="3412" t="n">
        <v>11</v>
      </c>
      <c r="C91" s="3515" t="inlineStr">
        <is>
          <t>Enter traditional IRA contributions made, or that will be made by the due date</t>
        </is>
      </c>
      <c r="D91" s="3515" t="n"/>
      <c r="E91" s="2471" t="n"/>
      <c r="F91" s="2471" t="n"/>
      <c r="G91" s="2471" t="n"/>
      <c r="H91" s="2471" t="n"/>
      <c r="I91" s="2471" t="n"/>
      <c r="J91" s="2471" t="n"/>
      <c r="K91" s="7829" t="n"/>
      <c r="L91" s="2473" t="n"/>
      <c r="M91" s="2473" t="n"/>
      <c r="N91" s="2473" t="n"/>
      <c r="O91" s="2473" t="n"/>
      <c r="P91" s="7829" t="n"/>
      <c r="Q91" s="2393" t="n"/>
      <c r="R91" s="2393" t="n"/>
      <c r="S91" s="2393" t="n"/>
      <c r="T91" s="2418" t="n"/>
      <c r="U91" s="2408" t="n"/>
      <c r="V91" s="88" t="n"/>
      <c r="W91" s="88" t="n"/>
      <c r="X91" s="11986">
        <f>IF(Y89=6,X89+3,IF(Y89=7,X89+2,IF(Y89=1,X89+1,X89)))</f>
        <v/>
      </c>
      <c r="Y91" s="441" t="n"/>
      <c r="Z91" s="88" t="n"/>
      <c r="AA91" s="88" t="n"/>
      <c r="AB91" s="88" t="n"/>
      <c r="AC91" s="88" t="n"/>
    </row>
    <row r="92" ht="15" customHeight="1" s="7635">
      <c r="A92" s="139" t="n"/>
      <c r="B92" s="3412" t="n"/>
      <c r="C92" s="3515">
        <f>"of your "&amp;TaxYear&amp;" return not counting extensions ("&amp;TEXT(TaxDay,"mmmm dd, yyyy")&amp;" for most people),"</f>
        <v/>
      </c>
      <c r="D92" s="3515" t="n"/>
      <c r="E92" s="2471" t="n"/>
      <c r="F92" s="2471" t="n"/>
      <c r="G92" s="2471" t="n"/>
      <c r="H92" s="2471" t="n"/>
      <c r="I92" s="2471" t="n"/>
      <c r="J92" s="2471" t="n"/>
      <c r="K92" s="7829" t="n"/>
      <c r="L92" s="2473" t="n"/>
      <c r="M92" s="2473" t="n"/>
      <c r="N92" s="2473" t="n"/>
      <c r="O92" s="2473" t="n"/>
      <c r="P92" s="7829" t="n"/>
      <c r="Q92" s="2393" t="n"/>
      <c r="R92" s="2393" t="n"/>
      <c r="S92" s="2393" t="n"/>
      <c r="T92" s="2418" t="n"/>
      <c r="U92" s="2408" t="n"/>
      <c r="V92" s="88" t="n"/>
      <c r="W92" s="88" t="n"/>
      <c r="X92" s="2868" t="n"/>
      <c r="Y92" s="88" t="n"/>
      <c r="Z92" s="88" t="n"/>
      <c r="AA92" s="88" t="n"/>
      <c r="AB92" s="88" t="n"/>
      <c r="AC92" s="88" t="n"/>
    </row>
    <row r="93" ht="12.75" customHeight="1" s="7635">
      <c r="A93" s="139" t="n"/>
      <c r="B93" s="3412" t="n"/>
      <c r="C93" s="3515">
        <f>"for "&amp;TaxYear&amp;" to your IRA on line 11a and to your spouse's IRA on line 11b"</f>
        <v/>
      </c>
      <c r="D93" s="3515" t="n"/>
      <c r="E93" s="2471" t="n"/>
      <c r="F93" s="2471" t="n"/>
      <c r="G93" s="2471" t="n"/>
      <c r="H93" s="2471" t="n"/>
      <c r="I93" s="2471" t="n"/>
      <c r="J93" s="2451" t="inlineStr">
        <is>
          <t xml:space="preserve">.   .   .   .   .   .   .   .   .   .   .  </t>
        </is>
      </c>
      <c r="K93" s="2450" t="inlineStr">
        <is>
          <t>11a.</t>
        </is>
      </c>
      <c r="L93" s="7843" t="n"/>
      <c r="M93" s="11717" t="n"/>
      <c r="N93" s="11717" t="n"/>
      <c r="O93" s="194" t="n"/>
      <c r="P93" s="2450" t="inlineStr">
        <is>
          <t>11b.</t>
        </is>
      </c>
      <c r="Q93" s="7843" t="n"/>
      <c r="R93" s="11717" t="n"/>
      <c r="S93" s="11717" t="n"/>
      <c r="T93" s="122" t="n"/>
      <c r="U93" s="179" t="n"/>
      <c r="V93" s="88" t="n"/>
      <c r="W93" s="88" t="n"/>
      <c r="X93" s="2868" t="n"/>
      <c r="Y93" s="88" t="n"/>
      <c r="Z93" s="88" t="n"/>
      <c r="AA93" s="88" t="n"/>
      <c r="AB93" s="88" t="n"/>
      <c r="AC93" s="88" t="n"/>
    </row>
    <row r="94" ht="17.25" customHeight="1" s="7635">
      <c r="A94" s="139" t="n"/>
      <c r="B94" s="3412" t="n">
        <v>12</v>
      </c>
      <c r="C94" s="1836" t="inlineStr">
        <is>
          <t>On line 12a, enter the smallest of line 7a, 10, or 11a. On line 12b, enter the</t>
        </is>
      </c>
      <c r="D94" s="1836" t="n"/>
      <c r="E94" s="2471" t="n"/>
      <c r="F94" s="2471" t="n"/>
      <c r="G94" s="2471" t="n"/>
      <c r="H94" s="2471" t="n"/>
      <c r="I94" s="2471" t="n"/>
      <c r="J94" s="2471" t="n"/>
      <c r="K94" s="7829" t="n"/>
      <c r="L94" s="3517">
        <f>IF(L93="",0,L93)</f>
        <v/>
      </c>
      <c r="M94" s="3517" t="n"/>
      <c r="N94" s="3517" t="n"/>
      <c r="O94" s="3517" t="n"/>
      <c r="P94" s="7829" t="n"/>
      <c r="Q94" s="3517">
        <f>IF(Q93="",0,Q93)</f>
        <v/>
      </c>
      <c r="R94" s="3517" t="n"/>
      <c r="S94" s="3517" t="n"/>
      <c r="T94" s="3518" t="n"/>
      <c r="U94" s="3519" t="n"/>
      <c r="V94" s="88" t="n"/>
      <c r="W94" s="226" t="inlineStr">
        <is>
          <t>Manual</t>
        </is>
      </c>
      <c r="X94" s="226" t="n"/>
      <c r="Y94" s="88" t="n"/>
      <c r="Z94" s="88" t="n"/>
      <c r="AA94" s="88" t="n"/>
      <c r="AB94" s="88" t="n"/>
      <c r="AC94" s="88" t="n"/>
    </row>
    <row r="95" ht="12.75" customHeight="1" s="7635">
      <c r="A95" s="139" t="n"/>
      <c r="B95" s="3520" t="n"/>
      <c r="C95" s="1836" t="inlineStr">
        <is>
          <t>smallest of line 7b, 10, or 11b. This is the most you can deduct. Add the amounts on lines 12a</t>
        </is>
      </c>
      <c r="D95" s="1836" t="n"/>
      <c r="E95" s="2471" t="n"/>
      <c r="F95" s="2471" t="n"/>
      <c r="G95" s="2471" t="n"/>
      <c r="H95" s="2471" t="n"/>
      <c r="I95" s="2471" t="n"/>
      <c r="J95" s="2471" t="n"/>
      <c r="K95" s="3521" t="n"/>
      <c r="L95" s="2473" t="n"/>
      <c r="M95" s="2473" t="n"/>
      <c r="N95" s="2473" t="n"/>
      <c r="O95" s="2473" t="n"/>
      <c r="P95" s="7829" t="n"/>
      <c r="Q95" s="2393" t="n"/>
      <c r="R95" s="2393" t="n"/>
      <c r="S95" s="2393" t="n"/>
      <c r="T95" s="2418" t="n"/>
      <c r="U95" s="2408" t="n"/>
      <c r="V95" s="88" t="n"/>
      <c r="W95" s="7831" t="inlineStr">
        <is>
          <t>Override</t>
        </is>
      </c>
      <c r="Z95" s="88" t="n"/>
      <c r="AA95" s="88" t="n"/>
      <c r="AB95" s="88" t="n"/>
      <c r="AC95" s="88" t="n"/>
    </row>
    <row r="96" ht="15" customHeight="1" s="7635">
      <c r="A96" s="139" t="n"/>
      <c r="B96" s="3520" t="n"/>
      <c r="C96" s="1836" t="inlineStr">
        <is>
          <t>and 12b and enter the total on Schedule 1, line 20. Or, if you want, you can deduct</t>
        </is>
      </c>
      <c r="D96" s="1836" t="n"/>
      <c r="E96" s="2471" t="n"/>
      <c r="F96" s="2471" t="n"/>
      <c r="G96" s="2471" t="n"/>
      <c r="H96" s="2471" t="n"/>
      <c r="I96" s="2471" t="n"/>
      <c r="J96" s="2471" t="n"/>
      <c r="K96" s="3521" t="n"/>
      <c r="L96" s="2473" t="n"/>
      <c r="M96" s="2473" t="n"/>
      <c r="N96" s="2473" t="n"/>
      <c r="O96" s="2473" t="n"/>
      <c r="P96" s="7829" t="n"/>
      <c r="Q96" s="2393" t="n"/>
      <c r="R96" s="2393" t="n"/>
      <c r="S96" s="2393" t="n"/>
      <c r="T96" s="2418" t="n"/>
      <c r="U96" s="2408" t="n"/>
      <c r="V96" s="88" t="n"/>
      <c r="W96" s="139" t="n"/>
      <c r="X96" s="150" t="n"/>
      <c r="Y96" s="139" t="n"/>
      <c r="Z96" s="139" t="n"/>
      <c r="AA96" s="150" t="n"/>
      <c r="AB96" s="139" t="n"/>
      <c r="AC96" s="88" t="n"/>
    </row>
    <row r="97" ht="15" customHeight="1" s="7635">
      <c r="A97" s="139" t="n"/>
      <c r="B97" s="3520" t="n"/>
      <c r="C97" s="1836" t="inlineStr">
        <is>
          <t>a smaller amount and treat the rest as a nondeductible contribution (see Form 8606) .   .   .   .   .</t>
        </is>
      </c>
      <c r="D97" s="1836" t="n"/>
      <c r="E97" s="7841" t="n"/>
      <c r="F97" s="7841" t="n"/>
      <c r="G97" s="7841" t="n"/>
      <c r="H97" s="7841" t="n"/>
      <c r="I97" s="7841" t="n"/>
      <c r="J97" s="2451" t="n"/>
      <c r="K97" s="2450" t="inlineStr">
        <is>
          <t>12a.</t>
        </is>
      </c>
      <c r="L97" s="7596">
        <f>IF(X97&lt;&gt;"",ROUND(X97,0),IF(OR(NOT(Yourself),Q14,BadBirthdate_Yours,LEFT(G90,4)="STOP",LEFT(L32,2)="No"),"",MIN(L61,I84,L94)))</f>
        <v/>
      </c>
      <c r="M97" s="7637" t="n"/>
      <c r="N97" s="7637" t="n"/>
      <c r="P97" s="2450" t="inlineStr">
        <is>
          <t>12b.</t>
        </is>
      </c>
      <c r="Q97" s="7596">
        <f>IF(AA97&lt;&gt;"",ROUND(AA97,0),IF(OR(LEFT(G90,4)="STOP",Q61=""),"",IF(LEFT(Q32,2)="No","",MIN(Q61,I84,Q94))))</f>
        <v/>
      </c>
      <c r="R97" s="7637" t="n"/>
      <c r="S97" s="7637" t="n"/>
      <c r="T97" s="3430" t="n"/>
      <c r="U97" s="3431" t="n"/>
      <c r="V97" s="88" t="n"/>
      <c r="W97" s="139" t="n"/>
      <c r="X97" s="187" t="n"/>
      <c r="Y97" s="139" t="n"/>
      <c r="Z97" s="139" t="n"/>
      <c r="AA97" s="187" t="n"/>
      <c r="AB97" s="139" t="n"/>
      <c r="AC97" s="88" t="n"/>
    </row>
    <row r="98" ht="15.75" customHeight="1" s="7635" thickBot="1">
      <c r="A98" s="139" t="n"/>
      <c r="B98" s="3522" t="n"/>
      <c r="C98" s="3449" t="n"/>
      <c r="D98" s="3449" t="n"/>
      <c r="E98" s="3523" t="n"/>
      <c r="F98" s="3523" t="n"/>
      <c r="G98" s="3523" t="n"/>
      <c r="H98" s="3523" t="n"/>
      <c r="I98" s="3523" t="n"/>
      <c r="J98" s="3523" t="n"/>
      <c r="K98" s="2395" t="n"/>
      <c r="L98" s="3523" t="n"/>
      <c r="M98" s="3523" t="n"/>
      <c r="N98" s="3523" t="n"/>
      <c r="O98" s="3523" t="n"/>
      <c r="P98" s="2395" t="n"/>
      <c r="Q98" s="3523" t="n"/>
      <c r="R98" s="3523" t="n"/>
      <c r="S98" s="3523" t="n"/>
      <c r="T98" s="3524" t="n"/>
      <c r="U98" s="2408" t="n"/>
      <c r="V98" s="88" t="n"/>
      <c r="W98" s="139" t="n"/>
      <c r="X98" s="150" t="n"/>
      <c r="Y98" s="139" t="n"/>
      <c r="Z98" s="139" t="n"/>
      <c r="AA98" s="150" t="n"/>
      <c r="AB98" s="139" t="n"/>
      <c r="AC98" s="88" t="n"/>
    </row>
    <row r="99">
      <c r="A99" s="139" t="n"/>
      <c r="B99" s="3525" t="n"/>
      <c r="C99" s="2448" t="n"/>
      <c r="D99" s="2448" t="n"/>
      <c r="E99" s="3526" t="n"/>
      <c r="F99" s="3526" t="n"/>
      <c r="G99" s="3526" t="n"/>
      <c r="H99" s="7829" t="n"/>
      <c r="I99" s="2393" t="n"/>
      <c r="J99" s="2393" t="n"/>
      <c r="K99" s="7829" t="n"/>
      <c r="L99" s="2393" t="n"/>
      <c r="M99" s="2393" t="n"/>
      <c r="N99" s="2393" t="n"/>
      <c r="O99" s="2393" t="n"/>
      <c r="P99" s="2393" t="n"/>
      <c r="Q99" s="2393" t="n"/>
      <c r="R99" s="2393" t="n"/>
      <c r="S99" s="2393" t="n"/>
      <c r="T99" s="2418" t="n"/>
      <c r="U99" s="2408" t="n"/>
      <c r="V99" s="88" t="n"/>
      <c r="W99" s="88" t="n"/>
      <c r="X99" s="88" t="n"/>
      <c r="Y99" s="88" t="n"/>
      <c r="Z99" s="88" t="n"/>
      <c r="AA99" s="88" t="n"/>
      <c r="AB99" s="88" t="n"/>
      <c r="AC99" s="88" t="n"/>
    </row>
    <row r="100" ht="15.75" customHeight="1" s="7635">
      <c r="A100" s="139" t="n"/>
      <c r="B100" s="3527" t="n"/>
      <c r="C100" s="2448" t="n"/>
      <c r="D100" s="2448" t="n"/>
      <c r="E100" s="3526" t="n"/>
      <c r="F100" s="3526" t="n"/>
      <c r="G100" s="3526" t="n"/>
      <c r="H100" s="7829" t="n"/>
      <c r="I100" s="2393" t="n"/>
      <c r="J100" s="2393" t="n"/>
      <c r="K100" s="3528" t="inlineStr">
        <is>
          <t>Amount entered on Schedule 1, line 20 --&gt;</t>
        </is>
      </c>
      <c r="L100" s="4630">
        <f>IF(AND(L97="",Q97=""),"",IF(Q97="",L97,SUM(L97,Q97)))</f>
        <v/>
      </c>
      <c r="M100" s="8412" t="n"/>
      <c r="N100" s="11734" t="n"/>
      <c r="P100" s="2393" t="n"/>
      <c r="Q100" s="2393" t="n"/>
      <c r="R100" s="2393" t="n"/>
      <c r="S100" s="2393" t="n"/>
      <c r="T100" s="2418" t="n"/>
      <c r="U100" s="2408" t="n"/>
      <c r="V100" s="88" t="n"/>
      <c r="W100" s="88" t="n"/>
      <c r="X100" s="88" t="n"/>
      <c r="Y100" s="88" t="n"/>
      <c r="Z100" s="88" t="n"/>
      <c r="AA100" s="88" t="n"/>
      <c r="AB100" s="88" t="n"/>
      <c r="AC100" s="88" t="n"/>
    </row>
    <row r="101" ht="16.5" customHeight="1" s="7635" thickBot="1">
      <c r="A101" s="139" t="n"/>
      <c r="B101" s="3529" t="n"/>
      <c r="C101" s="3512" t="n"/>
      <c r="D101" s="3512" t="n"/>
      <c r="E101" s="3530" t="n"/>
      <c r="F101" s="3530" t="n"/>
      <c r="G101" s="3530" t="n"/>
      <c r="H101" s="2395" t="n"/>
      <c r="I101" s="3523" t="n"/>
      <c r="J101" s="3523" t="n"/>
      <c r="K101" s="3531" t="n"/>
      <c r="L101" s="3532" t="n"/>
      <c r="M101" s="3532" t="n"/>
      <c r="N101" s="3532" t="n"/>
      <c r="O101" s="3532" t="n"/>
      <c r="P101" s="3523" t="n"/>
      <c r="Q101" s="3523" t="n"/>
      <c r="R101" s="3523" t="n"/>
      <c r="S101" s="3523" t="n"/>
      <c r="T101" s="3524" t="n"/>
      <c r="U101" s="2408" t="n"/>
      <c r="V101" s="88" t="n"/>
      <c r="W101" s="88" t="n"/>
      <c r="X101" s="88" t="n"/>
      <c r="Y101" s="88" t="n"/>
      <c r="Z101" s="88" t="n"/>
      <c r="AA101" s="88" t="n"/>
      <c r="AB101" s="88" t="n"/>
      <c r="AC101" s="88" t="n"/>
    </row>
    <row r="102">
      <c r="A102" s="139" t="n"/>
      <c r="B102" s="139" t="n"/>
      <c r="C102" s="139" t="n"/>
      <c r="D102" s="139" t="n"/>
      <c r="E102" s="139" t="n"/>
      <c r="F102" s="139" t="n"/>
      <c r="G102" s="139" t="n"/>
      <c r="H102" s="139" t="n"/>
      <c r="I102" s="139" t="n"/>
      <c r="J102" s="139" t="n"/>
      <c r="K102" s="139" t="n"/>
      <c r="L102" s="139" t="n"/>
      <c r="M102" s="139" t="n"/>
      <c r="N102" s="139" t="n"/>
      <c r="O102" s="139" t="n"/>
      <c r="P102" s="139" t="n"/>
      <c r="Q102" s="139" t="n"/>
      <c r="R102" s="139" t="n"/>
      <c r="S102" s="139" t="n"/>
      <c r="T102" s="139" t="n"/>
      <c r="U102" s="139" t="n"/>
      <c r="V102" s="88" t="n"/>
      <c r="W102" s="88" t="n"/>
      <c r="X102" s="88" t="n"/>
      <c r="Y102" s="88" t="n"/>
      <c r="Z102" s="88" t="n"/>
      <c r="AA102" s="88" t="n"/>
      <c r="AB102" s="88" t="n"/>
      <c r="AC102" s="88" t="n"/>
    </row>
    <row r="103">
      <c r="A103" s="88" t="n"/>
      <c r="B103" s="88" t="n"/>
      <c r="C103" s="88" t="n"/>
      <c r="D103" s="88" t="n"/>
      <c r="E103" s="88" t="n"/>
      <c r="F103" s="88" t="n"/>
      <c r="G103" s="88" t="n"/>
      <c r="H103" s="88" t="n"/>
      <c r="I103" s="88" t="n"/>
      <c r="J103" s="88" t="n"/>
      <c r="K103" s="88" t="n"/>
      <c r="L103" s="88" t="n"/>
      <c r="M103" s="88" t="n"/>
      <c r="N103" s="88" t="n"/>
      <c r="O103" s="88" t="n"/>
      <c r="P103" s="88" t="n"/>
      <c r="Q103" s="88" t="n"/>
      <c r="R103" s="88" t="n"/>
      <c r="S103" s="88" t="n"/>
      <c r="T103" s="88" t="n"/>
      <c r="U103" s="88" t="n"/>
      <c r="V103" s="88" t="n"/>
      <c r="W103" s="88" t="n"/>
      <c r="X103" s="88" t="n"/>
      <c r="Y103" s="88" t="n"/>
      <c r="Z103" s="88" t="n"/>
      <c r="AA103" s="88" t="n"/>
      <c r="AB103" s="88" t="n"/>
      <c r="AC103" s="88" t="n"/>
    </row>
    <row r="104">
      <c r="A104" s="88" t="n"/>
      <c r="B104" s="88" t="n"/>
      <c r="C104" s="88" t="n"/>
      <c r="D104" s="88" t="n"/>
      <c r="E104" s="88" t="n"/>
      <c r="F104" s="88" t="n"/>
      <c r="G104" s="88" t="n"/>
      <c r="H104" s="88" t="n"/>
      <c r="I104" s="88" t="n"/>
      <c r="J104" s="88" t="n"/>
      <c r="K104" s="88" t="n"/>
      <c r="L104" s="88" t="n"/>
      <c r="M104" s="88" t="n"/>
      <c r="N104" s="88" t="n"/>
      <c r="O104" s="88" t="n"/>
      <c r="P104" s="88" t="n"/>
      <c r="Q104" s="88" t="n"/>
      <c r="R104" s="88" t="n"/>
      <c r="S104" s="88" t="n"/>
      <c r="T104" s="88" t="n"/>
      <c r="U104" s="88" t="n"/>
      <c r="V104" s="88" t="n"/>
      <c r="W104" s="88" t="n"/>
      <c r="X104" s="88" t="n"/>
      <c r="Y104" s="88" t="n"/>
      <c r="Z104" s="88" t="n"/>
      <c r="AA104" s="88" t="n"/>
      <c r="AB104" s="88" t="n"/>
      <c r="AC104" s="88" t="n"/>
    </row>
  </sheetData>
  <sheetProtection selectLockedCells="0" selectUnlockedCells="0" algorithmName="SHA-512" sheet="1" objects="1" insertRows="1" insertHyperlinks="1" autoFilter="1" scenarios="1" formatColumns="0" deleteColumns="1" insertColumns="1" pivotTables="1" deleteRows="1" formatCells="0" saltValue="gIRb2ArhLgHFdar4k+grZw==" formatRows="0" sort="1" spinCount="100000" hashValue="GBClhgctIBnOAvVanwRq+ef0DIi7ZkQsiJv5+Uw6BMwyH76JeCp9ySrvFyS3hMufYsu/yQm98q/ZpC17XLDaig=="/>
  <mergeCells count="43">
    <mergeCell ref="W95:Y95"/>
    <mergeCell ref="Q29:S29"/>
    <mergeCell ref="L93:N93"/>
    <mergeCell ref="W85:Y85"/>
    <mergeCell ref="W41:Y41"/>
    <mergeCell ref="Q93:S93"/>
    <mergeCell ref="L45:N45"/>
    <mergeCell ref="L55:N55"/>
    <mergeCell ref="I26:J26"/>
    <mergeCell ref="W59:Y59"/>
    <mergeCell ref="L29:N29"/>
    <mergeCell ref="W81:Y81"/>
    <mergeCell ref="Q44:S44"/>
    <mergeCell ref="L25:N25"/>
    <mergeCell ref="Q22:S22"/>
    <mergeCell ref="Q46:S46"/>
    <mergeCell ref="I72:J72"/>
    <mergeCell ref="L44:N44"/>
    <mergeCell ref="L22:N22"/>
    <mergeCell ref="Q14:R14"/>
    <mergeCell ref="L100:N100"/>
    <mergeCell ref="W70:Y70"/>
    <mergeCell ref="I28:J28"/>
    <mergeCell ref="Q61:S61"/>
    <mergeCell ref="L56:N56"/>
    <mergeCell ref="L21:N21"/>
    <mergeCell ref="Q45:S45"/>
    <mergeCell ref="W82:Y82"/>
    <mergeCell ref="L61:N61"/>
    <mergeCell ref="Q56:S56"/>
    <mergeCell ref="I83:J83"/>
    <mergeCell ref="Q43:S43"/>
    <mergeCell ref="Q21:S21"/>
    <mergeCell ref="W24:Y24"/>
    <mergeCell ref="W84:Y84"/>
    <mergeCell ref="L97:N97"/>
    <mergeCell ref="W83:Y83"/>
    <mergeCell ref="L43:N43"/>
    <mergeCell ref="I84:J84"/>
    <mergeCell ref="W26:Y26"/>
    <mergeCell ref="Q97:S97"/>
    <mergeCell ref="Q55:S55"/>
    <mergeCell ref="R16:T16"/>
  </mergeCells>
  <conditionalFormatting sqref="F82">
    <cfRule type="expression" priority="21" dxfId="158">
      <formula>$I$83&lt;0</formula>
    </cfRule>
  </conditionalFormatting>
  <conditionalFormatting sqref="I26:J26">
    <cfRule type="expression" priority="17" dxfId="6">
      <formula>IF(NoColor,1,0)</formula>
    </cfRule>
  </conditionalFormatting>
  <conditionalFormatting sqref="I28:J28">
    <cfRule type="expression" priority="41" dxfId="6">
      <formula>IF(NoColor,1,0)</formula>
    </cfRule>
  </conditionalFormatting>
  <conditionalFormatting sqref="I72:J72">
    <cfRule type="expression" priority="32" dxfId="6">
      <formula>IF(NoColor,1,0)</formula>
    </cfRule>
  </conditionalFormatting>
  <conditionalFormatting sqref="I83:J84">
    <cfRule type="expression" priority="26" dxfId="6">
      <formula>IF(NoColor,1,0)</formula>
    </cfRule>
  </conditionalFormatting>
  <conditionalFormatting sqref="K9">
    <cfRule type="expression" priority="30" dxfId="6">
      <formula>IF(NoColor,1,0)</formula>
    </cfRule>
  </conditionalFormatting>
  <conditionalFormatting sqref="L93:M93">
    <cfRule type="expression" priority="48" dxfId="6">
      <formula>IF(NoColor,1,0)</formula>
    </cfRule>
  </conditionalFormatting>
  <conditionalFormatting sqref="L21:N21">
    <cfRule type="expression" priority="44" dxfId="6">
      <formula>IF(NoColor,1,0)</formula>
    </cfRule>
  </conditionalFormatting>
  <conditionalFormatting sqref="L29:N29">
    <cfRule type="expression" priority="43" dxfId="6">
      <formula>IF(NoColor,1,0)</formula>
    </cfRule>
  </conditionalFormatting>
  <conditionalFormatting sqref="L43:N43">
    <cfRule type="expression" priority="42" dxfId="6">
      <formula>IF(NoColor,1,0)</formula>
    </cfRule>
  </conditionalFormatting>
  <conditionalFormatting sqref="L61:N61">
    <cfRule type="expression" priority="35" dxfId="6">
      <formula>IF(NoColor,1,0)</formula>
    </cfRule>
  </conditionalFormatting>
  <conditionalFormatting sqref="L97:N97">
    <cfRule type="expression" priority="34" dxfId="6">
      <formula>IF(NoColor,1,0)</formula>
    </cfRule>
  </conditionalFormatting>
  <conditionalFormatting sqref="L100:N100">
    <cfRule type="expression" priority="33" dxfId="6">
      <formula>IF(NoColor,1,0)</formula>
    </cfRule>
  </conditionalFormatting>
  <conditionalFormatting sqref="M9">
    <cfRule type="expression" priority="29" dxfId="6">
      <formula>IF(NoColor,1,0)</formula>
    </cfRule>
  </conditionalFormatting>
  <conditionalFormatting sqref="P10">
    <cfRule type="expression" priority="51" dxfId="6">
      <formula>IF(NoColor,1,0)</formula>
    </cfRule>
  </conditionalFormatting>
  <conditionalFormatting sqref="Q93:R93">
    <cfRule type="expression" priority="47" dxfId="6">
      <formula>IF(NoColor,1,0)</formula>
    </cfRule>
  </conditionalFormatting>
  <conditionalFormatting sqref="Q21:S21">
    <cfRule type="expression" priority="19" dxfId="6">
      <formula>IF(NoColor,1,0)</formula>
    </cfRule>
  </conditionalFormatting>
  <conditionalFormatting sqref="Q29:S29">
    <cfRule type="expression" priority="39" dxfId="6">
      <formula>IF(NoColor,1,0)</formula>
    </cfRule>
  </conditionalFormatting>
  <conditionalFormatting sqref="Q43:S43">
    <cfRule type="expression" priority="38" dxfId="6">
      <formula>IF(NoColor,1,0)</formula>
    </cfRule>
  </conditionalFormatting>
  <conditionalFormatting sqref="Q61:S61">
    <cfRule type="expression" priority="37" dxfId="6">
      <formula>IF(NoColor,1,0)</formula>
    </cfRule>
  </conditionalFormatting>
  <conditionalFormatting sqref="Q97:S97">
    <cfRule type="expression" priority="36" dxfId="6">
      <formula>IF(NoColor,1,0)</formula>
    </cfRule>
  </conditionalFormatting>
  <conditionalFormatting sqref="R10">
    <cfRule type="expression" priority="45" dxfId="6">
      <formula>IF(NoColor,1,0)</formula>
    </cfRule>
  </conditionalFormatting>
  <conditionalFormatting sqref="V25:W25">
    <cfRule type="expression" priority="5" dxfId="1267">
      <formula>File_Marr_Sep=""</formula>
    </cfRule>
  </conditionalFormatting>
  <conditionalFormatting sqref="V18:Y24">
    <cfRule type="expression" priority="22" dxfId="1267">
      <formula>File_Marr_Sep=""</formula>
    </cfRule>
  </conditionalFormatting>
  <conditionalFormatting sqref="W19:W26">
    <cfRule type="expression" priority="4" dxfId="781">
      <formula>LivedApartAnswered</formula>
    </cfRule>
  </conditionalFormatting>
  <conditionalFormatting sqref="W26:Y26">
    <cfRule type="expression" priority="1" dxfId="1267">
      <formula>File_Marr_Sep=""</formula>
    </cfRule>
  </conditionalFormatting>
  <conditionalFormatting sqref="X24:Y24">
    <cfRule type="expression" priority="23" dxfId="781">
      <formula>LivedApartAnswered</formula>
    </cfRule>
  </conditionalFormatting>
  <conditionalFormatting sqref="X26:Y26">
    <cfRule type="expression" priority="2" dxfId="781">
      <formula>LivedApartAnswered</formula>
    </cfRule>
  </conditionalFormatting>
  <pageMargins left="0.75" right="0.25" top="0.36" bottom="0.29" header="0.36" footer="0.21"/>
  <pageSetup orientation="portrait" scale="73" fitToHeight="0"/>
  <rowBreaks count="1" manualBreakCount="1">
    <brk id="51" min="1" max="19" man="1"/>
  </rowBreaks>
  <drawing xmlns:r="http://schemas.openxmlformats.org/officeDocument/2006/relationships" r:id="rId1"/>
</worksheet>
</file>

<file path=xl/worksheets/sheet19.xml><?xml version="1.0" encoding="utf-8"?>
<worksheet xmlns="http://schemas.openxmlformats.org/spreadsheetml/2006/main">
  <sheetPr>
    <outlinePr summaryBelow="1" summaryRight="1"/>
    <pageSetUpPr fitToPage="1"/>
  </sheetPr>
  <dimension ref="A1:Z36"/>
  <sheetViews>
    <sheetView zoomScaleNormal="100" zoomScaleSheetLayoutView="100" workbookViewId="0">
      <selection activeCell="A1" sqref="A1"/>
    </sheetView>
  </sheetViews>
  <sheetFormatPr baseColWidth="8" defaultRowHeight="12.75"/>
  <cols>
    <col width="3.140625" customWidth="1" style="7635" min="1" max="1"/>
    <col width="8.140625" customWidth="1" style="7635" min="2" max="2"/>
    <col width="2.7109375" customWidth="1" style="7635" min="3" max="3"/>
    <col width="8.85546875" customWidth="1" style="7635" min="4" max="4"/>
    <col width="20.42578125" customWidth="1" style="7635" min="5" max="5"/>
    <col width="10.140625" customWidth="1" style="7635" min="6" max="6"/>
    <col width="18" customWidth="1" style="7635" min="7" max="7"/>
    <col width="17.140625" customWidth="1" style="7635" min="8" max="8"/>
    <col width="3.28515625" customWidth="1" style="7635" min="9" max="9"/>
    <col width="15" customWidth="1" style="7635" min="10" max="10"/>
    <col width="4.140625" customWidth="1" style="7635" min="11" max="11"/>
    <col width="14.85546875" customWidth="1" style="7635" min="12" max="12"/>
    <col width="2.7109375" customWidth="1" style="7635" min="13" max="13"/>
    <col width="3.5703125" customWidth="1" style="7635" min="14" max="14"/>
    <col width="10.7109375" customWidth="1" style="950" min="15" max="15"/>
    <col width="10.7109375" customWidth="1" style="815" min="16" max="26"/>
    <col width="10.7109375" customWidth="1" style="7635" min="27" max="28"/>
  </cols>
  <sheetData>
    <row r="1" ht="16.5" customHeight="1" s="7635" thickBot="1">
      <c r="A1" s="11602" t="n"/>
      <c r="B1" s="11602" t="n"/>
      <c r="C1" s="11602" t="n"/>
      <c r="D1" s="11602" t="n"/>
      <c r="E1" s="11602" t="n"/>
      <c r="F1" s="11602" t="n"/>
      <c r="G1" s="11602" t="n"/>
      <c r="H1" s="11602" t="n"/>
      <c r="I1" s="11602" t="n"/>
      <c r="J1" s="11602" t="n"/>
      <c r="K1" s="11602" t="n"/>
      <c r="L1" s="11602" t="n"/>
      <c r="M1" s="11602" t="n"/>
      <c r="N1" s="11602" t="n"/>
      <c r="O1" s="951" t="inlineStr">
        <is>
          <t>Notes</t>
        </is>
      </c>
      <c r="P1" s="658" t="n"/>
      <c r="Q1" s="658" t="n"/>
      <c r="R1" s="658" t="n"/>
      <c r="S1" s="658" t="n"/>
      <c r="T1" s="658" t="n"/>
      <c r="U1" s="658" t="n"/>
      <c r="V1" s="658" t="n"/>
      <c r="W1" s="658" t="n"/>
      <c r="X1" s="658" t="n"/>
      <c r="Y1" s="658" t="n"/>
      <c r="Z1" s="658" t="n"/>
    </row>
    <row r="2" ht="18.75" customHeight="1" s="7635">
      <c r="A2" s="11602" t="n"/>
      <c r="B2" s="6101" t="n"/>
      <c r="C2" s="6102" t="n"/>
      <c r="D2" s="6198" t="n"/>
      <c r="E2" s="2344" t="n"/>
      <c r="F2" s="2344" t="n"/>
      <c r="G2" s="2344" t="n"/>
      <c r="H2" s="2344" t="n"/>
      <c r="I2" s="2344" t="n"/>
      <c r="J2" s="6103" t="n"/>
      <c r="K2" s="6199" t="n"/>
      <c r="L2" s="2344" t="n"/>
      <c r="M2" s="3428" t="n"/>
      <c r="N2" s="11602" t="n"/>
      <c r="O2" s="952" t="inlineStr">
        <is>
          <t>Date:</t>
        </is>
      </c>
      <c r="P2" s="658" t="n"/>
      <c r="Q2" s="658" t="n"/>
      <c r="R2" s="658" t="n"/>
      <c r="S2" s="658" t="n"/>
      <c r="T2" s="658" t="n"/>
      <c r="U2" s="658" t="n"/>
      <c r="V2" s="658" t="n"/>
      <c r="W2" s="658" t="n"/>
      <c r="X2" s="658" t="n"/>
      <c r="Y2" s="658" t="n"/>
      <c r="Z2" s="658" t="n"/>
    </row>
    <row r="3" ht="14.25" customHeight="1" s="7635">
      <c r="A3" s="11602" t="n"/>
      <c r="B3" s="6104" t="inlineStr">
        <is>
          <t xml:space="preserve">    Student Loan Interest Deduction Worksheet—Schedule 1, Line 21</t>
        </is>
      </c>
      <c r="C3" s="2539" t="n"/>
      <c r="D3" s="11403" t="n"/>
      <c r="E3" s="11403" t="n"/>
      <c r="F3" s="11403" t="n"/>
      <c r="G3" s="11403" t="n"/>
      <c r="H3" s="11403" t="n"/>
      <c r="I3" s="11403" t="n"/>
      <c r="J3" s="6105" t="n"/>
      <c r="K3" s="2684" t="n"/>
      <c r="L3" s="11403" t="n"/>
      <c r="M3" s="90" t="n"/>
      <c r="N3" s="11602" t="n"/>
      <c r="O3" s="819" t="n"/>
      <c r="P3" s="658" t="n"/>
      <c r="Q3" s="658" t="n"/>
      <c r="R3" s="658" t="n"/>
      <c r="S3" s="658" t="n"/>
      <c r="T3" s="658" t="n"/>
      <c r="U3" s="658" t="n"/>
      <c r="V3" s="658" t="n"/>
      <c r="W3" s="658" t="n"/>
      <c r="X3" s="658" t="n"/>
      <c r="Y3" s="658" t="n"/>
      <c r="Z3" s="658" t="n"/>
    </row>
    <row r="4" ht="14.25" customHeight="1" s="7635">
      <c r="A4" s="11602" t="n"/>
      <c r="B4" s="6120" t="n"/>
      <c r="C4" s="226" t="inlineStr">
        <is>
          <t>Before you begin:</t>
        </is>
      </c>
      <c r="D4" s="226" t="n"/>
      <c r="E4" s="11403" t="n"/>
      <c r="F4" s="2604" t="n"/>
      <c r="G4" s="2605" t="n"/>
      <c r="H4" s="2606" t="n"/>
      <c r="I4" s="2607" t="n"/>
      <c r="J4" s="2607" t="n"/>
      <c r="K4" s="2607" t="n"/>
      <c r="L4" s="7847" t="n"/>
      <c r="M4" s="90" t="n"/>
      <c r="N4" s="11602" t="n"/>
      <c r="O4" s="819" t="n"/>
      <c r="P4" s="658" t="n"/>
      <c r="Q4" s="658" t="n"/>
      <c r="R4" s="658" t="n"/>
      <c r="S4" s="658" t="n"/>
      <c r="T4" s="658" t="n"/>
      <c r="U4" s="658" t="n"/>
      <c r="V4" s="658" t="n"/>
      <c r="W4" s="658" t="n"/>
      <c r="X4" s="658" t="n"/>
      <c r="Y4" s="658" t="n"/>
      <c r="Z4" s="658" t="n"/>
    </row>
    <row r="5" ht="14.25" customHeight="1" s="7635">
      <c r="A5" s="11602" t="n"/>
      <c r="B5" s="6200" t="inlineStr">
        <is>
          <t>Ö</t>
        </is>
      </c>
      <c r="C5" s="11403" t="inlineStr">
        <is>
          <t>If the instructions for Schedule 1, line 24z, have you enter a write-in adjustment on line 24z, figure that</t>
        </is>
      </c>
      <c r="D5" s="226" t="n"/>
      <c r="E5" s="11403" t="n"/>
      <c r="F5" s="2604" t="n"/>
      <c r="G5" s="2605" t="n"/>
      <c r="H5" s="2606" t="n"/>
      <c r="I5" s="2607" t="n"/>
      <c r="J5" s="2607" t="n"/>
      <c r="K5" s="2607" t="n"/>
      <c r="L5" s="7847" t="n"/>
      <c r="M5" s="90" t="n"/>
      <c r="N5" s="11602" t="n"/>
      <c r="O5" s="819" t="n"/>
      <c r="P5" s="658" t="n"/>
      <c r="Q5" s="658" t="n"/>
      <c r="R5" s="658" t="n"/>
      <c r="S5" s="658" t="n"/>
      <c r="T5" s="658" t="n"/>
      <c r="U5" s="658" t="n"/>
      <c r="V5" s="658" t="n"/>
      <c r="W5" s="658" t="n"/>
      <c r="X5" s="658" t="n"/>
      <c r="Y5" s="658" t="n"/>
      <c r="Z5" s="658" t="n"/>
    </row>
    <row r="6" ht="14.25" customHeight="1" s="7635">
      <c r="A6" s="11602" t="n"/>
      <c r="B6" s="6200" t="n"/>
      <c r="C6" s="11403" t="inlineStr">
        <is>
          <t>write-in before completing this worksheet (see the instructions for Schedule 1, line 24z).</t>
        </is>
      </c>
      <c r="D6" s="226" t="n"/>
      <c r="E6" s="11403" t="n"/>
      <c r="F6" s="2604" t="n"/>
      <c r="G6" s="2605" t="n"/>
      <c r="H6" s="2606" t="n"/>
      <c r="I6" s="2607" t="n"/>
      <c r="J6" s="2607" t="n"/>
      <c r="K6" s="2607" t="n"/>
      <c r="L6" s="7847" t="n"/>
      <c r="M6" s="90" t="n"/>
      <c r="N6" s="11602" t="n"/>
      <c r="O6" s="819" t="n"/>
      <c r="P6" s="658" t="n"/>
      <c r="Q6" s="658" t="n"/>
      <c r="R6" s="658" t="n"/>
      <c r="S6" s="658" t="n"/>
      <c r="T6" s="658" t="n"/>
      <c r="U6" s="658" t="n"/>
      <c r="V6" s="658" t="n"/>
      <c r="W6" s="658" t="n"/>
      <c r="X6" s="658" t="n"/>
      <c r="Y6" s="658" t="n"/>
      <c r="Z6" s="658" t="n"/>
    </row>
    <row r="7" ht="14.25" customHeight="1" s="7635">
      <c r="A7" s="11602" t="n"/>
      <c r="B7" s="6200" t="inlineStr">
        <is>
          <t>Ö</t>
        </is>
      </c>
      <c r="C7" s="11403" t="inlineStr">
        <is>
          <t>Be sure you have read the Exception in the instructions for this line to see if you can use this worksheet instead of</t>
        </is>
      </c>
      <c r="D7" s="226" t="n"/>
      <c r="E7" s="11403" t="n"/>
      <c r="F7" s="2604" t="n"/>
      <c r="G7" s="2605" t="n"/>
      <c r="H7" s="2606" t="n"/>
      <c r="I7" s="2607" t="n"/>
      <c r="J7" s="2607" t="n"/>
      <c r="K7" s="2607" t="n"/>
      <c r="L7" s="7847" t="n"/>
      <c r="M7" s="90" t="n"/>
      <c r="N7" s="11602" t="n"/>
      <c r="O7" s="819" t="n"/>
      <c r="P7" s="658" t="n"/>
      <c r="Q7" s="658" t="n"/>
      <c r="R7" s="658" t="n"/>
      <c r="S7" s="658" t="n"/>
      <c r="T7" s="658" t="n"/>
      <c r="U7" s="658" t="n"/>
      <c r="V7" s="658" t="n"/>
      <c r="W7" s="658" t="n"/>
      <c r="X7" s="658" t="n"/>
      <c r="Y7" s="658" t="n"/>
      <c r="Z7" s="658" t="n"/>
    </row>
    <row r="8" ht="14.25" customHeight="1" s="7635">
      <c r="A8" s="11602" t="n"/>
      <c r="B8" s="6201" t="n"/>
      <c r="C8" s="2594" t="inlineStr">
        <is>
          <t>Pub. 970 to figure your deduction.</t>
        </is>
      </c>
      <c r="D8" s="6202" t="n"/>
      <c r="E8" s="2594" t="n"/>
      <c r="F8" s="6203" t="n"/>
      <c r="G8" s="6204">
        <f>IF(L11="","",IF(NumFileStatusBoxes=0,"Indicate filing status.",IF(NumFileStatusBoxes&gt;1,"Too many filing status boxes are checked.",IF(Form2555_Used,"Use Pub. 974 to figure your deduction if you file Form 2555.",IF(File_Marr_Sep&lt;&gt;"","Cannot claim deduction if filing - Married Filing Separate return.",IF(OR(DependentYOU&lt;&gt;"",DependentSPOUSE&lt;&gt;""),"Cannot claim deduction if you (or spouse) are claimed as a dependent.",""))))))</f>
        <v/>
      </c>
      <c r="H8" s="6205" t="n"/>
      <c r="I8" s="6206" t="n"/>
      <c r="J8" s="6206" t="n"/>
      <c r="K8" s="6206" t="n"/>
      <c r="L8" s="2654" t="n"/>
      <c r="M8" s="4378" t="n"/>
      <c r="N8" s="11602" t="n"/>
      <c r="O8" s="819" t="n"/>
      <c r="P8" s="658" t="n"/>
      <c r="Q8" s="658" t="n"/>
      <c r="R8" s="658" t="n"/>
      <c r="S8" s="658" t="n"/>
      <c r="T8" s="658" t="n"/>
      <c r="U8" s="658" t="n"/>
      <c r="V8" s="658" t="n"/>
      <c r="W8" s="658" t="n"/>
      <c r="X8" s="658" t="n"/>
      <c r="Y8" s="658" t="n"/>
      <c r="Z8" s="658" t="n"/>
    </row>
    <row r="9" ht="14.25" customHeight="1" s="7635">
      <c r="A9" s="11602" t="n"/>
      <c r="B9" s="6120" t="n"/>
      <c r="C9" s="11403" t="n"/>
      <c r="D9" s="226" t="n"/>
      <c r="E9" s="11403" t="n"/>
      <c r="F9" s="2604" t="n"/>
      <c r="G9" s="2605" t="n"/>
      <c r="H9" s="2606" t="n"/>
      <c r="I9" s="2607" t="n"/>
      <c r="J9" s="2607" t="n"/>
      <c r="K9" s="2607" t="n"/>
      <c r="L9" s="7847">
        <f>OR(L11="",NumFileStatusBoxes&lt;&gt;1,File_Marr_Sep&lt;&gt;"",Form2555_Used,DependentYOU&lt;&gt;"",DependentSPOUSE&lt;&gt;"")</f>
        <v/>
      </c>
      <c r="M9" s="90" t="n"/>
      <c r="N9" s="11602" t="n"/>
      <c r="O9" s="819" t="n"/>
      <c r="P9" s="658" t="n"/>
      <c r="Q9" s="658" t="n"/>
      <c r="R9" s="658" t="n"/>
      <c r="S9" s="658" t="n"/>
      <c r="T9" s="658" t="n"/>
      <c r="U9" s="658" t="n"/>
      <c r="V9" s="658" t="n"/>
      <c r="W9" s="658" t="n"/>
      <c r="X9" s="658" t="n"/>
      <c r="Y9" s="658" t="n"/>
      <c r="Z9" s="658" t="n"/>
    </row>
    <row r="10" ht="14.25" customHeight="1" s="7635">
      <c r="A10" s="11602" t="n"/>
      <c r="B10" s="4734" t="inlineStr">
        <is>
          <t>1.</t>
        </is>
      </c>
      <c r="C10" s="220" t="n"/>
      <c r="D10" s="11403">
        <f>"Enter the total interest you paid in "&amp;TaxYear&amp;" on qualified student loans "</f>
        <v/>
      </c>
      <c r="E10" s="11403" t="n"/>
      <c r="F10" s="11403" t="n"/>
      <c r="G10" s="2605" t="n"/>
      <c r="H10" s="6127" t="inlineStr">
        <is>
          <t xml:space="preserve"> (see the instructions for line 20).  Don't</t>
        </is>
      </c>
      <c r="I10" s="2607" t="n"/>
      <c r="J10" s="7847" t="n"/>
      <c r="K10" s="7847" t="n"/>
      <c r="L10" s="7847" t="n"/>
      <c r="M10" s="90" t="n"/>
      <c r="N10" s="11602" t="n"/>
      <c r="O10" s="819" t="n"/>
      <c r="P10" s="658" t="n"/>
      <c r="Q10" s="658" t="n"/>
      <c r="R10" s="658" t="n"/>
      <c r="S10" s="658" t="n"/>
      <c r="T10" s="658" t="n"/>
      <c r="U10" s="658" t="n"/>
      <c r="V10" s="658" t="n"/>
      <c r="W10" s="658" t="n"/>
      <c r="X10" s="658" t="n"/>
      <c r="Y10" s="658" t="n"/>
      <c r="Z10" s="658" t="n"/>
    </row>
    <row r="11" ht="14.25" customHeight="1" s="7635">
      <c r="A11" s="11602" t="n"/>
      <c r="B11" s="4734" t="n"/>
      <c r="C11" s="220" t="n"/>
      <c r="D11" s="11403">
        <f>"enter more than "&amp;TEXT(L12,"$0,000")</f>
        <v/>
      </c>
      <c r="E11" s="11403" t="n"/>
      <c r="F11" s="11403" t="n"/>
      <c r="G11" s="2605" t="n"/>
      <c r="H11" s="2607" t="n"/>
      <c r="I11" s="2607" t="n"/>
      <c r="J11" s="2715" t="inlineStr">
        <is>
          <t xml:space="preserve">.   .   .   .   .   .   .   .   .   .   .   .   .   .   .   .   .   .   .   .   .   .   .   .   .   .   .   .  </t>
        </is>
      </c>
      <c r="K11" s="2609" t="inlineStr">
        <is>
          <t>1.</t>
        </is>
      </c>
      <c r="L11" s="1302" t="n"/>
      <c r="M11" s="90" t="n"/>
      <c r="N11" s="11602" t="n"/>
      <c r="O11" s="819" t="n"/>
      <c r="P11" s="658" t="n"/>
      <c r="Q11" s="658" t="n"/>
      <c r="R11" s="658" t="n"/>
      <c r="S11" s="658" t="n"/>
      <c r="T11" s="658" t="n"/>
      <c r="U11" s="658" t="n"/>
      <c r="V11" s="658" t="n"/>
      <c r="W11" s="658" t="n"/>
      <c r="X11" s="658" t="n"/>
      <c r="Y11" s="658" t="n"/>
      <c r="Z11" s="658" t="n"/>
    </row>
    <row r="12" ht="14.25" customHeight="1" s="7635">
      <c r="A12" s="11602" t="n"/>
      <c r="B12" s="4734" t="n"/>
      <c r="C12" s="226" t="n"/>
      <c r="D12" s="226" t="n"/>
      <c r="E12" s="88" t="n"/>
      <c r="F12" s="88" t="n"/>
      <c r="G12" s="88" t="n"/>
      <c r="H12" s="2607" t="n"/>
      <c r="I12" s="2607" t="n"/>
      <c r="J12" s="7847" t="n"/>
      <c r="K12" s="7847">
        <f>IF(L11&gt;L12,TRUE,FALSE)</f>
        <v/>
      </c>
      <c r="L12" s="7847" t="n">
        <v>2500</v>
      </c>
      <c r="M12" s="90" t="n"/>
      <c r="N12" s="11602" t="n"/>
      <c r="O12" s="819" t="n"/>
      <c r="P12" s="658" t="n"/>
      <c r="Q12" s="658" t="n"/>
      <c r="R12" s="658" t="n"/>
      <c r="S12" s="658" t="n"/>
      <c r="T12" s="658" t="n"/>
      <c r="U12" s="658" t="n"/>
      <c r="V12" s="658" t="n"/>
      <c r="W12" s="658" t="n"/>
      <c r="X12" s="658" t="n"/>
      <c r="Y12" s="658" t="n"/>
      <c r="Z12" s="658" t="n"/>
    </row>
    <row r="13" ht="14.25" customHeight="1" s="7635">
      <c r="A13" s="11602" t="n"/>
      <c r="B13" s="4734" t="inlineStr">
        <is>
          <t>2.</t>
        </is>
      </c>
      <c r="C13" s="220" t="n"/>
      <c r="D13" s="11403" t="inlineStr">
        <is>
          <t>Enter the amount from Form 1040 or 1040-SR, line 9</t>
        </is>
      </c>
      <c r="E13" s="11403" t="n"/>
      <c r="F13" s="11403" t="n"/>
      <c r="G13" s="2605" t="n"/>
      <c r="H13" s="6123" t="inlineStr">
        <is>
          <t xml:space="preserve"> .   .   .   .   .   .   .   .   .   .   .   .   </t>
        </is>
      </c>
      <c r="I13" s="2609" t="inlineStr">
        <is>
          <t>2.</t>
        </is>
      </c>
      <c r="J13" s="6124">
        <f>IF(OR(K12,Line33_NOT),"",Total_Income)</f>
        <v/>
      </c>
      <c r="K13" s="6123" t="n"/>
      <c r="L13" s="2689" t="n"/>
      <c r="M13" s="90" t="n"/>
      <c r="N13" s="11602" t="n"/>
      <c r="O13" s="819" t="n"/>
      <c r="P13" s="658" t="n"/>
      <c r="Q13" s="658" t="n"/>
      <c r="R13" s="658" t="n"/>
      <c r="S13" s="658" t="n"/>
      <c r="T13" s="658" t="n"/>
      <c r="U13" s="658" t="n"/>
      <c r="V13" s="658" t="n"/>
      <c r="W13" s="658" t="n"/>
      <c r="X13" s="658" t="n"/>
      <c r="Y13" s="658" t="n"/>
      <c r="Z13" s="658" t="n"/>
    </row>
    <row r="14" ht="14.25" customHeight="1" s="7635">
      <c r="A14" s="11602" t="n"/>
      <c r="B14" s="4734" t="n"/>
      <c r="C14" s="226" t="n"/>
      <c r="D14" s="11403" t="n"/>
      <c r="E14" s="88" t="n"/>
      <c r="F14" s="88" t="n"/>
      <c r="G14" s="88" t="n"/>
      <c r="H14" s="2607" t="n"/>
      <c r="I14" s="2607" t="n"/>
      <c r="J14" s="7847" t="n"/>
      <c r="K14" s="7847" t="n"/>
      <c r="L14" s="7847" t="n"/>
      <c r="M14" s="90" t="n"/>
      <c r="N14" s="11602" t="n"/>
      <c r="O14" s="819" t="n"/>
      <c r="P14" s="658" t="n"/>
      <c r="Q14" s="658" t="n"/>
      <c r="R14" s="658" t="n"/>
      <c r="S14" s="658" t="n"/>
      <c r="T14" s="658" t="n"/>
      <c r="U14" s="658" t="n"/>
      <c r="V14" s="658" t="n"/>
      <c r="W14" s="658" t="n"/>
      <c r="X14" s="658" t="n"/>
      <c r="Y14" s="658" t="n"/>
      <c r="Z14" s="658" t="n"/>
    </row>
    <row r="15" ht="14.25" customHeight="1" s="7635">
      <c r="A15" s="11602" t="n"/>
      <c r="B15" s="4734" t="inlineStr">
        <is>
          <t>3.</t>
        </is>
      </c>
      <c r="C15" s="226" t="n"/>
      <c r="D15" s="11403" t="inlineStr">
        <is>
          <t>Enter the total of the amounts from Schedule 1, lines 11 through 20, and 23 and 25</t>
        </is>
      </c>
      <c r="E15" s="88" t="n"/>
      <c r="F15" s="88" t="n"/>
      <c r="G15" s="88" t="n"/>
      <c r="H15" s="6123" t="n"/>
      <c r="I15" s="6123">
        <f>"3."</f>
        <v/>
      </c>
      <c r="J15" s="6124">
        <f>IF(OR(K12,Line33_NOT),"",SUM(Sch1_Line11_19a,IRADeduct,ArcherMSADeduct,TotalOtherAdjust))</f>
        <v/>
      </c>
      <c r="K15" s="7847" t="n"/>
      <c r="L15" s="7847" t="n"/>
      <c r="M15" s="90" t="n"/>
      <c r="N15" s="11602" t="n"/>
      <c r="O15" s="819" t="n"/>
      <c r="P15" s="658" t="n"/>
      <c r="Q15" s="658" t="n"/>
      <c r="R15" s="658" t="n"/>
      <c r="S15" s="658" t="n"/>
      <c r="T15" s="658" t="n"/>
      <c r="U15" s="658" t="n"/>
      <c r="V15" s="658" t="n"/>
      <c r="W15" s="658" t="n"/>
      <c r="X15" s="658" t="n"/>
      <c r="Y15" s="658" t="n"/>
      <c r="Z15" s="658" t="n"/>
    </row>
    <row r="16" ht="14.25" customHeight="1" s="7635">
      <c r="A16" s="11602" t="n"/>
      <c r="B16" s="4734" t="n"/>
      <c r="C16" s="226" t="n"/>
      <c r="D16" s="226" t="n"/>
      <c r="E16" s="88" t="n"/>
      <c r="F16" s="88" t="n"/>
      <c r="G16" s="88" t="n"/>
      <c r="H16" s="2607" t="n"/>
      <c r="I16" s="2607" t="n"/>
      <c r="J16" s="7847" t="n"/>
      <c r="K16" s="7847" t="n"/>
      <c r="L16" s="7847" t="n"/>
      <c r="M16" s="90" t="n"/>
      <c r="N16" s="11602" t="n"/>
      <c r="O16" s="819" t="n"/>
      <c r="P16" s="658" t="n"/>
      <c r="Q16" s="658" t="n"/>
      <c r="R16" s="658" t="n"/>
      <c r="S16" s="658" t="n"/>
      <c r="T16" s="658" t="n"/>
      <c r="U16" s="658" t="n"/>
      <c r="V16" s="658" t="n"/>
      <c r="W16" s="658" t="n"/>
      <c r="X16" s="658" t="n"/>
      <c r="Y16" s="658" t="n"/>
      <c r="Z16" s="658" t="n"/>
    </row>
    <row r="17" ht="14.25" customHeight="1" s="7635">
      <c r="A17" s="11602" t="n"/>
      <c r="B17" s="4734" t="inlineStr">
        <is>
          <t>4.</t>
        </is>
      </c>
      <c r="C17" s="220" t="n"/>
      <c r="D17" s="11403" t="inlineStr">
        <is>
          <t>Subtract line 3 from line 2</t>
        </is>
      </c>
      <c r="E17" s="11403" t="n"/>
      <c r="F17" s="11403" t="n"/>
      <c r="G17" s="2605" t="n"/>
      <c r="H17" s="6123" t="inlineStr">
        <is>
          <t xml:space="preserve">.   .   .   .   .   .   .   .   .   .   .   .   .   .   .   .   .   .   .   .   .   .   . </t>
        </is>
      </c>
      <c r="I17" s="6123">
        <f>"4."</f>
        <v/>
      </c>
      <c r="J17" s="6124">
        <f>IF(OR(K12,Line33_NOT),"",SUM(J13,-J15))</f>
        <v/>
      </c>
      <c r="K17" s="6123" t="n"/>
      <c r="L17" s="2689" t="n"/>
      <c r="M17" s="90" t="n"/>
      <c r="N17" s="11602" t="n"/>
      <c r="O17" s="819" t="n"/>
      <c r="P17" s="658" t="n"/>
      <c r="Q17" s="658" t="n"/>
      <c r="R17" s="658" t="n"/>
      <c r="S17" s="658" t="n"/>
      <c r="T17" s="658" t="n"/>
      <c r="U17" s="658" t="n"/>
      <c r="V17" s="658" t="n"/>
      <c r="W17" s="658" t="n"/>
      <c r="X17" s="658" t="n"/>
      <c r="Y17" s="658" t="n"/>
      <c r="Z17" s="658" t="n"/>
    </row>
    <row r="18" ht="14.25" customHeight="1" s="7635">
      <c r="A18" s="11602" t="n"/>
      <c r="B18" s="4734" t="n"/>
      <c r="C18" s="226" t="n"/>
      <c r="D18" s="226" t="n"/>
      <c r="E18" s="88" t="n"/>
      <c r="F18" s="88" t="n"/>
      <c r="G18" s="88" t="n"/>
      <c r="H18" s="2607" t="n"/>
      <c r="I18" s="2607" t="n"/>
      <c r="J18" s="7847" t="n"/>
      <c r="K18" s="7847" t="n"/>
      <c r="L18" s="7847" t="n"/>
      <c r="M18" s="90" t="n"/>
      <c r="N18" s="11602" t="n"/>
      <c r="O18" s="819" t="n"/>
      <c r="P18" s="658" t="n"/>
      <c r="Q18" s="658" t="n"/>
      <c r="R18" s="658" t="n"/>
      <c r="S18" s="658" t="n"/>
      <c r="T18" s="658" t="n"/>
      <c r="U18" s="658" t="n"/>
      <c r="V18" s="658" t="n"/>
      <c r="W18" s="658" t="n"/>
      <c r="X18" s="658" t="n"/>
      <c r="Y18" s="658" t="n"/>
      <c r="Z18" s="658" t="n"/>
    </row>
    <row r="19" ht="14.25" customHeight="1" s="7635">
      <c r="A19" s="11602" t="n"/>
      <c r="B19" s="4734" t="inlineStr">
        <is>
          <t>5.</t>
        </is>
      </c>
      <c r="C19" s="226" t="n"/>
      <c r="D19" s="11403" t="inlineStr">
        <is>
          <t>Enter the amount shown below for your filing status.</t>
        </is>
      </c>
      <c r="E19" s="88" t="n"/>
      <c r="F19" s="88" t="n"/>
      <c r="G19" s="88" t="n"/>
      <c r="H19" s="2607" t="n"/>
      <c r="I19" s="2607" t="n"/>
      <c r="J19" s="7847" t="n"/>
      <c r="K19" s="7847" t="n"/>
      <c r="L19" s="7847" t="n"/>
      <c r="M19" s="90" t="n"/>
      <c r="N19" s="11602" t="n"/>
      <c r="O19" s="819" t="n"/>
      <c r="P19" s="658" t="n"/>
      <c r="Q19" s="658" t="n"/>
      <c r="R19" s="658" t="n"/>
      <c r="S19" s="658" t="n"/>
      <c r="T19" s="658" t="n"/>
      <c r="U19" s="658" t="n"/>
      <c r="V19" s="658" t="n"/>
      <c r="W19" s="658" t="n"/>
      <c r="X19" s="658" t="n"/>
      <c r="Y19" s="658" t="n"/>
      <c r="Z19" s="658" t="n"/>
    </row>
    <row r="20" ht="14.25" customHeight="1" s="7635">
      <c r="A20" s="11602" t="n"/>
      <c r="B20" s="4734" t="n"/>
      <c r="C20" s="226" t="n"/>
      <c r="D20" s="11403">
        <f>"Single, head of household, or qualifying widow(er) — "&amp;TEXT(L20,"$0,000")</f>
        <v/>
      </c>
      <c r="E20" s="88" t="n"/>
      <c r="F20" s="88" t="n"/>
      <c r="G20" s="88" t="n"/>
      <c r="H20" s="2415" t="n"/>
      <c r="I20" s="6123">
        <f>".   .   .   .   5."</f>
        <v/>
      </c>
      <c r="J20" s="6124">
        <f>IF(Line33_NOT,"",IF(NumFileStatusBoxes&lt;&gt;1,"Filing status?",IF(OR(K12,Line33_NOT),"",IF(File_Marr_Joint&lt;&gt;"",L21,IF(OR(File_Single&lt;&gt;"",File_Head&lt;&gt;"",File_Qual_Widow&lt;&gt;""),L20,IF(File_Marr_Sep&lt;&gt;"","","Filing status?"))))))</f>
        <v/>
      </c>
      <c r="K20" s="7847" t="n"/>
      <c r="L20" s="7847" t="n">
        <v>85000</v>
      </c>
      <c r="M20" s="90" t="n"/>
      <c r="N20" s="11602" t="n"/>
      <c r="O20" s="819" t="n"/>
      <c r="P20" s="658" t="n"/>
      <c r="Q20" s="658" t="n"/>
      <c r="R20" s="658" t="n"/>
      <c r="S20" s="658" t="n"/>
      <c r="T20" s="658" t="n"/>
      <c r="U20" s="658" t="n"/>
      <c r="V20" s="658" t="n"/>
      <c r="W20" s="658" t="n"/>
      <c r="X20" s="658" t="n"/>
      <c r="Y20" s="658" t="n"/>
      <c r="Z20" s="658" t="n"/>
    </row>
    <row r="21" ht="14.25" customHeight="1" s="7635">
      <c r="A21" s="11602" t="n"/>
      <c r="B21" s="4734" t="n"/>
      <c r="C21" s="226" t="n"/>
      <c r="D21" s="2449">
        <f>"Married filing jointly — "&amp;TEXT(L21,"$0,000")</f>
        <v/>
      </c>
      <c r="E21" s="88" t="n"/>
      <c r="F21" s="2449" t="n"/>
      <c r="G21" s="88" t="n"/>
      <c r="H21" s="2449" t="n"/>
      <c r="I21" s="2607" t="n"/>
      <c r="J21" s="7847" t="n"/>
      <c r="K21" s="7847" t="n"/>
      <c r="L21" s="6207" t="n">
        <v>170000</v>
      </c>
      <c r="M21" s="90" t="n"/>
      <c r="N21" s="11602" t="n"/>
      <c r="O21" s="819" t="n"/>
      <c r="P21" s="658" t="n"/>
      <c r="Q21" s="658" t="n"/>
      <c r="R21" s="658" t="n"/>
      <c r="S21" s="658" t="n"/>
      <c r="T21" s="658" t="n"/>
      <c r="U21" s="658" t="n"/>
      <c r="V21" s="658" t="n"/>
      <c r="W21" s="658" t="n"/>
      <c r="X21" s="658" t="n"/>
      <c r="Y21" s="658" t="n"/>
      <c r="Z21" s="658" t="n"/>
    </row>
    <row r="22" ht="25.5" customHeight="1" s="7635">
      <c r="A22" s="11602" t="n"/>
      <c r="B22" s="4734" t="inlineStr">
        <is>
          <t>6.</t>
        </is>
      </c>
      <c r="C22" s="226" t="n"/>
      <c r="D22" s="11403" t="inlineStr">
        <is>
          <t>Is the amount on line 4 more than the amount on line 5?</t>
        </is>
      </c>
      <c r="E22" s="88" t="n"/>
      <c r="F22" s="88" t="n"/>
      <c r="G22" s="88" t="n"/>
      <c r="H22" s="2607" t="n"/>
      <c r="I22" s="2607" t="n"/>
      <c r="J22" s="7847">
        <f>J17&gt;J20</f>
        <v/>
      </c>
      <c r="K22" s="7847" t="n"/>
      <c r="L22" s="7847" t="n"/>
      <c r="M22" s="90" t="n"/>
      <c r="N22" s="11602" t="n"/>
      <c r="O22" s="819" t="n"/>
      <c r="P22" s="658" t="n"/>
      <c r="Q22" s="658" t="n"/>
      <c r="R22" s="658" t="n"/>
      <c r="S22" s="658" t="n"/>
      <c r="T22" s="658" t="n"/>
      <c r="U22" s="658" t="n"/>
      <c r="V22" s="658" t="n"/>
      <c r="W22" s="658" t="n"/>
      <c r="X22" s="658" t="n"/>
      <c r="Y22" s="658" t="n"/>
      <c r="Z22" s="658" t="n"/>
    </row>
    <row r="23" ht="14.25" customHeight="1" s="7635">
      <c r="A23" s="11602" t="n"/>
      <c r="B23" s="4734" t="n"/>
      <c r="C23" s="226" t="n"/>
      <c r="D23" s="226" t="n"/>
      <c r="E23" s="88" t="n"/>
      <c r="F23" s="88" t="n"/>
      <c r="G23" s="88" t="n"/>
      <c r="H23" s="2607" t="n"/>
      <c r="I23" s="2607" t="n"/>
      <c r="J23" s="7847" t="n"/>
      <c r="K23" s="7847" t="n"/>
      <c r="L23" s="7847" t="n"/>
      <c r="M23" s="90" t="n"/>
      <c r="N23" s="11602" t="n"/>
      <c r="O23" s="819" t="n"/>
      <c r="P23" s="658" t="n"/>
      <c r="Q23" s="658" t="n"/>
      <c r="R23" s="658" t="n"/>
      <c r="S23" s="658" t="n"/>
      <c r="T23" s="658" t="n"/>
      <c r="U23" s="658" t="n"/>
      <c r="V23" s="658" t="n"/>
      <c r="W23" s="658" t="n"/>
      <c r="X23" s="658" t="n"/>
      <c r="Y23" s="658" t="n"/>
      <c r="Z23" s="658" t="n"/>
    </row>
    <row r="24" ht="14.25" customHeight="1" s="7635">
      <c r="A24" s="11602" t="n"/>
      <c r="B24" s="4734" t="n"/>
      <c r="C24" s="6118">
        <f>IF(OR(NumFileStatusBoxes&lt;&gt;1,K12,Line33_NOT),"",IF(J22,"","X"))</f>
        <v/>
      </c>
      <c r="D24" s="228" t="inlineStr">
        <is>
          <t xml:space="preserve">No. </t>
        </is>
      </c>
      <c r="E24" s="11403" t="inlineStr">
        <is>
          <t>Skip lines 6 and 7, enter -0- on line 8, and go to line 9.</t>
        </is>
      </c>
      <c r="F24" s="88" t="n"/>
      <c r="G24" s="88" t="n"/>
      <c r="H24" s="2607" t="n"/>
      <c r="I24" s="2607" t="n"/>
      <c r="J24" s="7847" t="n"/>
      <c r="K24" s="7847" t="n"/>
      <c r="L24" s="7847" t="n"/>
      <c r="M24" s="90" t="n"/>
      <c r="N24" s="11602" t="n"/>
      <c r="O24" s="819" t="n"/>
      <c r="P24" s="658" t="n"/>
      <c r="Q24" s="658" t="n"/>
      <c r="R24" s="658" t="n"/>
      <c r="S24" s="658" t="n"/>
      <c r="T24" s="658" t="n"/>
      <c r="U24" s="658" t="n"/>
      <c r="V24" s="658" t="n"/>
      <c r="W24" s="658" t="n"/>
      <c r="X24" s="658" t="n"/>
      <c r="Y24" s="658" t="n"/>
      <c r="Z24" s="658" t="n"/>
    </row>
    <row r="25" ht="14.25" customHeight="1" s="7635">
      <c r="A25" s="11602" t="n"/>
      <c r="B25" s="4734" t="n"/>
      <c r="C25" s="226" t="n"/>
      <c r="D25" s="226" t="n"/>
      <c r="E25" s="88" t="n"/>
      <c r="F25" s="88" t="n"/>
      <c r="G25" s="88" t="n"/>
      <c r="H25" s="2607" t="n"/>
      <c r="I25" s="2607" t="n"/>
      <c r="J25" s="7847" t="n"/>
      <c r="K25" s="7847" t="n"/>
      <c r="L25" s="7847" t="n"/>
      <c r="M25" s="90" t="n"/>
      <c r="N25" s="11602" t="n"/>
      <c r="O25" s="819" t="n"/>
      <c r="P25" s="658" t="n"/>
      <c r="Q25" s="658" t="n"/>
      <c r="R25" s="658" t="n"/>
      <c r="S25" s="658" t="n"/>
      <c r="T25" s="658" t="n"/>
      <c r="U25" s="658" t="n"/>
      <c r="V25" s="658" t="n"/>
      <c r="W25" s="658" t="n"/>
      <c r="X25" s="658" t="n"/>
      <c r="Y25" s="658" t="n"/>
      <c r="Z25" s="658" t="n"/>
    </row>
    <row r="26" ht="14.25" customHeight="1" s="7635">
      <c r="A26" s="11602" t="n"/>
      <c r="B26" s="4734" t="n"/>
      <c r="C26" s="6118">
        <f>IF(OR(NumFileStatusBoxes&lt;&gt;1,K12,Line33_NOT),"",IF(J22,"X",""))</f>
        <v/>
      </c>
      <c r="D26" s="228" t="inlineStr">
        <is>
          <t>Yes.</t>
        </is>
      </c>
      <c r="E26" s="11403" t="inlineStr">
        <is>
          <t>Subtract line 5 from line 4</t>
        </is>
      </c>
      <c r="F26" s="88" t="n"/>
      <c r="G26" s="88" t="n"/>
      <c r="H26" s="6122" t="n"/>
      <c r="I26" s="6123">
        <f>".   .   .   .   .   .   .   .   .   .   .   .   .   .   .   .   .   6."</f>
        <v/>
      </c>
      <c r="J26" s="6208">
        <f>IF(OR(NumFileStatusBoxes&lt;&gt;1,K12,Line33_NOT,C24="X"),"",SUM(J17,-J20))</f>
        <v/>
      </c>
      <c r="K26" s="6123" t="n"/>
      <c r="L26" s="6121" t="n"/>
      <c r="M26" s="90" t="n"/>
      <c r="N26" s="11602" t="n"/>
      <c r="O26" s="819" t="n"/>
      <c r="P26" s="658" t="n"/>
      <c r="Q26" s="658" t="n"/>
      <c r="R26" s="658" t="n"/>
      <c r="S26" s="658" t="n"/>
      <c r="T26" s="658" t="n"/>
      <c r="U26" s="658" t="n"/>
      <c r="V26" s="658" t="n"/>
      <c r="W26" s="658" t="n"/>
      <c r="X26" s="658" t="n"/>
      <c r="Y26" s="658" t="n"/>
      <c r="Z26" s="658" t="n"/>
    </row>
    <row r="27" ht="14.25" customHeight="1" s="7635">
      <c r="A27" s="11602" t="n"/>
      <c r="B27" s="4734" t="n"/>
      <c r="C27" s="220" t="n"/>
      <c r="D27" s="11403" t="n"/>
      <c r="E27" s="11403" t="n"/>
      <c r="F27" s="11403" t="n"/>
      <c r="G27" s="2605" t="n"/>
      <c r="H27" s="2607" t="n"/>
      <c r="I27" s="2607" t="n"/>
      <c r="J27" s="7847" t="n"/>
      <c r="K27" s="88" t="n"/>
      <c r="L27" s="7847" t="n">
        <v>15000</v>
      </c>
      <c r="M27" s="90" t="n"/>
      <c r="N27" s="11602" t="n"/>
      <c r="O27" s="819" t="n"/>
      <c r="P27" s="658" t="n"/>
      <c r="Q27" s="658" t="n"/>
      <c r="R27" s="658" t="n"/>
      <c r="S27" s="658" t="n"/>
      <c r="T27" s="658" t="n"/>
      <c r="U27" s="658" t="n"/>
      <c r="V27" s="658" t="n"/>
      <c r="W27" s="658" t="n"/>
      <c r="X27" s="658" t="n"/>
      <c r="Y27" s="658" t="n"/>
      <c r="Z27" s="658" t="n"/>
    </row>
    <row r="28" ht="14.25" customHeight="1" s="7635">
      <c r="A28" s="11602" t="n"/>
      <c r="B28" s="4734" t="inlineStr">
        <is>
          <t>7.</t>
        </is>
      </c>
      <c r="C28" s="226" t="n"/>
      <c r="D28" s="11403">
        <f>"Divide line 6 by "&amp;TEXT(L27,"$0,000")&amp;" ("&amp;TEXT(L28,"$0,000")&amp;" if married filing jointly). Enter the result as a decimal"</f>
        <v/>
      </c>
      <c r="E28" s="11403" t="n"/>
      <c r="F28" s="88" t="n"/>
      <c r="G28" s="88" t="n"/>
      <c r="H28" s="2607" t="n"/>
      <c r="I28" s="2607" t="n"/>
      <c r="J28" s="7847" t="n"/>
      <c r="K28" s="7847" t="n"/>
      <c r="L28" s="7847" t="n">
        <v>30000</v>
      </c>
      <c r="M28" s="90" t="n"/>
      <c r="N28" s="11602" t="n"/>
      <c r="O28" s="819" t="n"/>
      <c r="P28" s="658" t="n"/>
      <c r="Q28" s="658" t="n"/>
      <c r="R28" s="658" t="n"/>
      <c r="S28" s="658" t="n"/>
      <c r="T28" s="658" t="n"/>
      <c r="U28" s="658" t="n"/>
      <c r="V28" s="658" t="n"/>
      <c r="W28" s="658" t="n"/>
      <c r="X28" s="658" t="n"/>
      <c r="Y28" s="658" t="n"/>
      <c r="Z28" s="658" t="n"/>
    </row>
    <row r="29" ht="14.25" customHeight="1" s="7635">
      <c r="A29" s="11602" t="n"/>
      <c r="B29" s="4734" t="n"/>
      <c r="C29" s="220" t="n"/>
      <c r="D29" s="11403" t="inlineStr">
        <is>
          <t>(rounded to at least three places). If the result is 1.000 or more, enter 1.000</t>
        </is>
      </c>
      <c r="E29" s="11403" t="n"/>
      <c r="F29" s="11403" t="n"/>
      <c r="G29" s="2605" t="n"/>
      <c r="H29" s="2607" t="n"/>
      <c r="I29" s="2607" t="n"/>
      <c r="J29" s="6123" t="inlineStr">
        <is>
          <t xml:space="preserve">.   .   .   .   .   .   .   .   </t>
        </is>
      </c>
      <c r="K29" s="2609" t="inlineStr">
        <is>
          <t>7.</t>
        </is>
      </c>
      <c r="L29" s="11987">
        <f>IF(OR(NumFileStatusBoxes&lt;&gt;1,K12,Line33_NOT,C24="X"),"",IF(File_Marr_Joint&lt;&gt;"",H30,G30))</f>
        <v/>
      </c>
      <c r="M29" s="90" t="n"/>
      <c r="N29" s="11602" t="n"/>
      <c r="O29" s="819" t="n"/>
      <c r="P29" s="658" t="n"/>
      <c r="Q29" s="658" t="n"/>
      <c r="R29" s="658" t="n"/>
      <c r="S29" s="658" t="n"/>
      <c r="T29" s="658" t="n"/>
      <c r="U29" s="658" t="n"/>
      <c r="V29" s="658" t="n"/>
      <c r="W29" s="658" t="n"/>
      <c r="X29" s="658" t="n"/>
      <c r="Y29" s="658" t="n"/>
      <c r="Z29" s="658" t="n"/>
    </row>
    <row r="30" ht="14.25" customHeight="1" s="7635">
      <c r="A30" s="11602" t="n"/>
      <c r="B30" s="4734" t="n"/>
      <c r="C30" s="220" t="n"/>
      <c r="D30" s="11403" t="n"/>
      <c r="E30" s="11403" t="n"/>
      <c r="F30" s="11403" t="n"/>
      <c r="G30" s="11988">
        <f>IF(J26="","",IF(ROUND(J26/L27,3)&gt;1,1,ROUND(J26/L27,3)))</f>
        <v/>
      </c>
      <c r="H30" s="11988">
        <f>IF(J26="","",IF(ROUND(J26/L28,3)&gt;1,1,ROUND(J26/L28,3)))</f>
        <v/>
      </c>
      <c r="I30" s="2607" t="n"/>
      <c r="J30" s="7847" t="n"/>
      <c r="K30" s="88" t="n"/>
      <c r="L30" s="7847" t="n"/>
      <c r="M30" s="90" t="n"/>
      <c r="N30" s="11602" t="n"/>
      <c r="O30" s="819" t="n"/>
      <c r="P30" s="658" t="n"/>
      <c r="Q30" s="658" t="n"/>
      <c r="R30" s="658" t="n"/>
      <c r="S30" s="658" t="n"/>
      <c r="T30" s="658" t="n"/>
      <c r="U30" s="658" t="n"/>
      <c r="V30" s="658" t="n"/>
      <c r="W30" s="658" t="n"/>
      <c r="X30" s="658" t="n"/>
      <c r="Y30" s="658" t="n"/>
      <c r="Z30" s="658" t="n"/>
    </row>
    <row r="31" ht="14.25" customHeight="1" s="7635">
      <c r="A31" s="11602" t="n"/>
      <c r="B31" s="4734" t="inlineStr">
        <is>
          <t>8.</t>
        </is>
      </c>
      <c r="C31" s="226" t="n"/>
      <c r="D31" s="11403" t="inlineStr">
        <is>
          <t>Multiply line 1 by line 7</t>
        </is>
      </c>
      <c r="E31" s="88" t="n"/>
      <c r="F31" s="88" t="n"/>
      <c r="G31" s="88" t="n"/>
      <c r="H31" s="2607" t="n"/>
      <c r="I31" s="2607" t="n"/>
      <c r="J31" s="6123" t="inlineStr">
        <is>
          <t xml:space="preserve"> .   .   .   .   .   .   .   .   .   .   .   .   .   .   .   .   .   .   .   .   .   .   .   .   .   .   .   .  </t>
        </is>
      </c>
      <c r="K31" s="2609" t="inlineStr">
        <is>
          <t>8.</t>
        </is>
      </c>
      <c r="L31" s="6124">
        <f>IF(OR(NumFileStatusBoxes&lt;&gt;1,K12,Line33_NOT),"",IF(C24="X",0,ROUND(L11*L29,0)))</f>
        <v/>
      </c>
      <c r="M31" s="90" t="n"/>
      <c r="N31" s="11602" t="n"/>
      <c r="O31" s="819" t="n"/>
      <c r="P31" s="658" t="n"/>
      <c r="Q31" s="658" t="n"/>
      <c r="R31" s="658" t="n"/>
      <c r="S31" s="658" t="n"/>
      <c r="T31" s="658" t="n"/>
      <c r="U31" s="658" t="n"/>
      <c r="V31" s="658" t="n"/>
      <c r="W31" s="658" t="n"/>
      <c r="X31" s="658" t="n"/>
      <c r="Y31" s="658" t="n"/>
      <c r="Z31" s="658" t="n"/>
    </row>
    <row r="32" ht="14.25" customHeight="1" s="7635">
      <c r="A32" s="11602" t="n"/>
      <c r="B32" s="4734" t="n"/>
      <c r="C32" s="220" t="n"/>
      <c r="D32" s="11403" t="n"/>
      <c r="E32" s="11403" t="n"/>
      <c r="F32" s="11403" t="n"/>
      <c r="G32" s="2605" t="n"/>
      <c r="H32" s="2607" t="n"/>
      <c r="I32" s="2607" t="n"/>
      <c r="J32" s="7847" t="n"/>
      <c r="K32" s="88" t="n"/>
      <c r="L32" s="7847" t="n"/>
      <c r="M32" s="90" t="n"/>
      <c r="N32" s="11602" t="n"/>
      <c r="O32" s="819" t="n"/>
      <c r="P32" s="658" t="n"/>
      <c r="Q32" s="658" t="n"/>
      <c r="R32" s="658" t="n"/>
      <c r="S32" s="658" t="n"/>
      <c r="T32" s="658" t="n"/>
      <c r="U32" s="658" t="n"/>
      <c r="V32" s="658" t="n"/>
      <c r="W32" s="658" t="n"/>
      <c r="X32" s="658" t="n"/>
      <c r="Y32" s="658" t="n"/>
      <c r="Z32" s="658" t="n"/>
    </row>
    <row r="33" ht="14.25" customHeight="1" s="7635">
      <c r="A33" s="11602" t="n"/>
      <c r="B33" s="4734" t="inlineStr">
        <is>
          <t>9.</t>
        </is>
      </c>
      <c r="C33" s="220" t="n"/>
      <c r="D33" s="11403" t="inlineStr">
        <is>
          <t>Student loan interest deduction. Subtract line 8 from line 1. Enter the result here and on Schedule 1, line 21</t>
        </is>
      </c>
      <c r="E33" s="11403" t="n"/>
      <c r="F33" s="11403" t="n"/>
      <c r="G33" s="2605" t="n"/>
      <c r="H33" s="2607" t="n"/>
      <c r="I33" s="2607" t="n"/>
      <c r="J33" s="7847" t="n"/>
      <c r="K33" s="88" t="n"/>
      <c r="L33" s="7847" t="n"/>
      <c r="M33" s="90" t="n"/>
      <c r="N33" s="11602" t="n"/>
      <c r="O33" s="819" t="n"/>
      <c r="P33" s="658" t="n"/>
      <c r="Q33" s="658" t="n"/>
      <c r="R33" s="658" t="n"/>
      <c r="S33" s="658" t="n"/>
      <c r="T33" s="658" t="n"/>
      <c r="U33" s="658" t="n"/>
      <c r="V33" s="658" t="n"/>
      <c r="W33" s="658" t="n"/>
      <c r="X33" s="658" t="n"/>
      <c r="Y33" s="658" t="n"/>
      <c r="Z33" s="658" t="n"/>
    </row>
    <row r="34" ht="14.25" customHeight="1" s="7635">
      <c r="A34" s="411" t="n"/>
      <c r="B34" s="4734" t="n"/>
      <c r="C34" s="220" t="n"/>
      <c r="D34" s="11403" t="inlineStr">
        <is>
          <t>Don't include this amount in figuring any other deduction on your return (such as on Schedule A, C, E, etc.)   .</t>
        </is>
      </c>
      <c r="E34" s="11403" t="n"/>
      <c r="F34" s="11403" t="n"/>
      <c r="G34" s="2605" t="n"/>
      <c r="H34" s="2607" t="n"/>
      <c r="I34" s="2607" t="n"/>
      <c r="J34" s="7847" t="n"/>
      <c r="K34" s="2609" t="inlineStr">
        <is>
          <t>9.</t>
        </is>
      </c>
      <c r="L34" s="6124">
        <f>IF(OR(NumFileStatusBoxes&lt;&gt;1,K12,Line33_NOT),"",SUM(L11,-L31))</f>
        <v/>
      </c>
      <c r="M34" s="90" t="n"/>
      <c r="N34" s="11602" t="n"/>
      <c r="O34" s="819" t="n"/>
      <c r="P34" s="658" t="n"/>
      <c r="Q34" s="658" t="n"/>
      <c r="R34" s="658" t="n"/>
      <c r="S34" s="658" t="n"/>
      <c r="T34" s="658" t="n"/>
      <c r="U34" s="658" t="n"/>
      <c r="V34" s="658" t="n"/>
      <c r="W34" s="658" t="n"/>
      <c r="X34" s="658" t="n"/>
      <c r="Y34" s="658" t="n"/>
      <c r="Z34" s="658" t="n"/>
    </row>
    <row r="35" ht="13.5" customHeight="1" s="7635" thickBot="1">
      <c r="A35" s="11602" t="n"/>
      <c r="B35" s="4743" t="n"/>
      <c r="C35" s="6211" t="n"/>
      <c r="D35" s="2543" t="n"/>
      <c r="E35" s="2543" t="n"/>
      <c r="F35" s="2543" t="n"/>
      <c r="G35" s="2632" t="n"/>
      <c r="H35" s="203" t="n"/>
      <c r="I35" s="203" t="n"/>
      <c r="J35" s="2633" t="n"/>
      <c r="K35" s="91" t="n"/>
      <c r="L35" s="2633" t="n"/>
      <c r="M35" s="2490" t="n"/>
      <c r="N35" s="11602" t="n"/>
      <c r="O35" s="819" t="n"/>
      <c r="P35" s="658" t="n"/>
      <c r="Q35" s="658" t="n"/>
      <c r="R35" s="658" t="n"/>
      <c r="S35" s="658" t="n"/>
      <c r="T35" s="658" t="n"/>
      <c r="U35" s="658" t="n"/>
      <c r="V35" s="658" t="n"/>
      <c r="W35" s="658" t="n"/>
      <c r="X35" s="658" t="n"/>
      <c r="Y35" s="658" t="n"/>
      <c r="Z35" s="658" t="n"/>
    </row>
    <row r="36" ht="19.5" customHeight="1" s="7635">
      <c r="A36" s="6100" t="n"/>
      <c r="B36" s="11602" t="n"/>
      <c r="C36" s="11602" t="n"/>
      <c r="D36" s="11602" t="n"/>
      <c r="E36" s="11602" t="n"/>
      <c r="F36" s="11602" t="n"/>
      <c r="G36" s="11602" t="n"/>
      <c r="H36" s="11602" t="n"/>
      <c r="I36" s="11602" t="n"/>
      <c r="J36" s="11602" t="n"/>
      <c r="K36" s="11602" t="n"/>
      <c r="L36" s="11602" t="n"/>
      <c r="M36" s="11602" t="n"/>
      <c r="N36" s="11602" t="n"/>
      <c r="O36" s="819" t="n"/>
      <c r="P36" s="658" t="n"/>
      <c r="Q36" s="658" t="n"/>
      <c r="R36" s="658" t="n"/>
      <c r="S36" s="658" t="n"/>
      <c r="T36" s="658" t="n"/>
      <c r="U36" s="658" t="n"/>
      <c r="V36" s="658" t="n"/>
      <c r="W36" s="658" t="n"/>
      <c r="X36" s="658" t="n"/>
      <c r="Y36" s="658" t="n"/>
      <c r="Z36" s="658" t="n"/>
    </row>
    <row r="38" ht="13.5" customHeight="1" s="7635"/>
  </sheetData>
  <sheetProtection selectLockedCells="0" selectUnlockedCells="0" algorithmName="SHA-512" sheet="1" objects="1" insertRows="1" insertHyperlinks="1" autoFilter="1" scenarios="1" formatColumns="0" deleteColumns="1" insertColumns="1" pivotTables="1" deleteRows="1" formatCells="0" saltValue="600W3rWGcDaJFRbi2ybueA==" formatRows="0" sort="1" spinCount="100000" hashValue="DH6Zm6LjHRIIfKu/IsO/JeBq5ayBn66dR11grsWpqtcXKP962MYRxr1FA3SrBku725YI7cLO3+euJpePLVxAlQ=="/>
  <conditionalFormatting sqref="C24">
    <cfRule type="expression" priority="16" dxfId="6">
      <formula>IF(NoColor,1,0)</formula>
    </cfRule>
  </conditionalFormatting>
  <conditionalFormatting sqref="C26">
    <cfRule type="expression" priority="15" dxfId="6">
      <formula>IF(NoColor,1,0)</formula>
    </cfRule>
  </conditionalFormatting>
  <conditionalFormatting sqref="D11">
    <cfRule type="expression" priority="5" dxfId="158">
      <formula>IF($K$12,1,0)</formula>
    </cfRule>
  </conditionalFormatting>
  <conditionalFormatting sqref="J13">
    <cfRule type="expression" priority="13" dxfId="6">
      <formula>IF(NoColor,1,0)</formula>
    </cfRule>
  </conditionalFormatting>
  <conditionalFormatting sqref="J15">
    <cfRule type="expression" priority="11" dxfId="6">
      <formula>IF(NoColor,1,0)</formula>
    </cfRule>
  </conditionalFormatting>
  <conditionalFormatting sqref="J17">
    <cfRule type="expression" priority="10" dxfId="6">
      <formula>IF(NoColor,1,0)</formula>
    </cfRule>
  </conditionalFormatting>
  <conditionalFormatting sqref="J20">
    <cfRule type="expression" priority="9" dxfId="6">
      <formula>IF(NoColor,1,0)</formula>
    </cfRule>
  </conditionalFormatting>
  <conditionalFormatting sqref="J26">
    <cfRule type="expression" priority="8" dxfId="6">
      <formula>IF(NoColor,1,0)</formula>
    </cfRule>
  </conditionalFormatting>
  <conditionalFormatting sqref="L11">
    <cfRule type="expression" priority="12" dxfId="6">
      <formula>IF(NoColor,1,0)</formula>
    </cfRule>
  </conditionalFormatting>
  <conditionalFormatting sqref="L29">
    <cfRule type="expression" priority="14" dxfId="6">
      <formula>IF(NoColor,1,0)</formula>
    </cfRule>
  </conditionalFormatting>
  <conditionalFormatting sqref="L31">
    <cfRule type="expression" priority="7" dxfId="6">
      <formula>IF(NoColor,1,0)</formula>
    </cfRule>
  </conditionalFormatting>
  <conditionalFormatting sqref="L34">
    <cfRule type="expression" priority="6" dxfId="6">
      <formula>IF(NoColor,1,0)</formula>
    </cfRule>
  </conditionalFormatting>
  <pageMargins left="0.75" right="0.25" top="0.36" bottom="0.29" header="0.36" footer="0.21"/>
  <pageSetup orientation="portrait" scale="81" fitToHeight="0"/>
</worksheet>
</file>

<file path=xl/worksheets/sheet20.xml><?xml version="1.0" encoding="utf-8"?>
<worksheet xmlns="http://schemas.openxmlformats.org/spreadsheetml/2006/main">
  <sheetPr>
    <outlinePr summaryBelow="1" summaryRight="1"/>
    <pageSetUpPr fitToPage="1"/>
  </sheetPr>
  <dimension ref="A1:BA96"/>
  <sheetViews>
    <sheetView zoomScaleNormal="100" zoomScaleSheetLayoutView="115" workbookViewId="0">
      <selection activeCell="A1" sqref="A1"/>
    </sheetView>
  </sheetViews>
  <sheetFormatPr baseColWidth="8" defaultColWidth="3.42578125" defaultRowHeight="12.75"/>
  <cols>
    <col width="3.28515625" customWidth="1" style="7635" min="2" max="2"/>
    <col width="3.85546875" customWidth="1" style="7635" min="3" max="3"/>
    <col width="2.5703125" customWidth="1" style="8043" min="4" max="4"/>
    <col width="5.7109375" customWidth="1" style="7635" min="5" max="5"/>
    <col width="2.5703125" customWidth="1" style="7635" min="6" max="6"/>
    <col width="3.42578125" customWidth="1" style="7635" min="7" max="11"/>
    <col width="3.140625" customWidth="1" style="7635" min="12" max="12"/>
    <col width="3.42578125" customWidth="1" style="7635" min="13" max="14"/>
    <col width="4.42578125" customWidth="1" style="7635" min="15" max="15"/>
    <col width="3.42578125" customWidth="1" style="7635" min="16" max="16"/>
    <col width="2.5703125" customWidth="1" style="7635" min="17" max="17"/>
    <col width="3.140625" customWidth="1" style="7635" min="18" max="18"/>
    <col width="1.85546875" customWidth="1" style="7635" min="19" max="19"/>
    <col width="3" customWidth="1" style="7635" min="20" max="20"/>
    <col width="11.7109375" customWidth="1" style="7635" min="21" max="21"/>
    <col width="5.7109375" customWidth="1" style="7635" min="22" max="22"/>
    <col width="5.42578125" customWidth="1" style="7635" min="23" max="23"/>
    <col width="1.5703125" customWidth="1" style="7635" min="24" max="24"/>
    <col width="4.85546875" customWidth="1" style="7635" min="25" max="25"/>
    <col width="11.7109375" customWidth="1" style="7635" min="26" max="26"/>
    <col width="2.85546875" customWidth="1" style="7635" min="27" max="27"/>
    <col width="1.85546875" customWidth="1" style="7635" min="28" max="28"/>
    <col width="5.7109375" customWidth="1" style="7635" min="29" max="29"/>
    <col width="4.42578125" customWidth="1" style="7635" min="30" max="30"/>
    <col width="2.140625" customWidth="1" style="7635" min="36" max="36"/>
    <col width="15" customWidth="1" style="7635" min="37" max="37"/>
    <col width="2.5703125" customWidth="1" style="7635" min="38" max="38"/>
    <col width="12.140625" customWidth="1" style="7635" min="39" max="40"/>
    <col hidden="1" width="15.140625" customWidth="1" style="7635" min="41" max="41"/>
    <col width="3.7109375" customWidth="1" style="7635" min="42" max="42"/>
    <col width="10.7109375" customWidth="1" style="816" min="43" max="43"/>
    <col width="10.7109375" customWidth="1" style="815" min="44" max="53"/>
  </cols>
  <sheetData>
    <row r="1" ht="18" customHeight="1" s="7635">
      <c r="A1" s="1277" t="n"/>
      <c r="B1" s="1277" t="n"/>
      <c r="C1" s="1277" t="n"/>
      <c r="D1" s="2260"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5369">
        <f>IF('Table of Contents'!A25="D","DRAFT FORM","")</f>
        <v/>
      </c>
      <c r="AA1" s="1277" t="n"/>
      <c r="AB1" s="1277" t="n"/>
      <c r="AC1" s="1277" t="n"/>
      <c r="AD1" s="1277" t="n"/>
      <c r="AE1" s="1277" t="n"/>
      <c r="AF1" s="1277" t="n"/>
      <c r="AG1" s="1277" t="n"/>
      <c r="AH1" s="1277" t="n"/>
      <c r="AI1" s="1277" t="n"/>
      <c r="AJ1" s="11602" t="n"/>
      <c r="AK1" s="2875" t="n"/>
      <c r="AL1" s="2875" t="n"/>
      <c r="AQ1" s="1324" t="inlineStr">
        <is>
          <t>Notes</t>
        </is>
      </c>
      <c r="AR1" s="658" t="n"/>
      <c r="AS1" s="658" t="n"/>
      <c r="AT1" s="658" t="n"/>
      <c r="AU1" s="769" t="n"/>
      <c r="AV1" s="658" t="n"/>
      <c r="AW1" s="658" t="n"/>
      <c r="AX1" s="658" t="n"/>
      <c r="AY1" s="769" t="n"/>
      <c r="AZ1" s="658" t="n"/>
      <c r="BA1" s="658" t="n"/>
    </row>
    <row r="2" ht="15.75" customHeight="1" s="7635">
      <c r="A2" s="1277" t="n"/>
      <c r="B2" s="7563" t="inlineStr">
        <is>
          <t>SCHEDULE 2
(Form 1040)</t>
        </is>
      </c>
      <c r="G2" s="1066" t="n"/>
      <c r="H2" s="11602" t="n"/>
      <c r="I2" s="11602" t="n"/>
      <c r="J2" s="11602" t="n"/>
      <c r="K2" s="11602" t="n"/>
      <c r="L2" s="11602" t="n"/>
      <c r="M2" s="11602" t="n"/>
      <c r="N2" s="11602" t="n"/>
      <c r="O2" s="11602" t="n"/>
      <c r="P2" s="11602" t="n"/>
      <c r="Q2" s="11602" t="n"/>
      <c r="R2" s="11602" t="n"/>
      <c r="S2" s="11602" t="n"/>
      <c r="T2" s="11602" t="n"/>
      <c r="U2" s="11602" t="n"/>
      <c r="V2" s="11602" t="n"/>
      <c r="W2" s="11602" t="n"/>
      <c r="X2" s="11602" t="n"/>
      <c r="Y2" s="11602" t="n"/>
      <c r="Z2" s="724" t="n"/>
      <c r="AA2" s="11602" t="n"/>
      <c r="AB2" s="379" t="n"/>
      <c r="AC2" s="7620" t="inlineStr">
        <is>
          <t>OMB No. 1545-0074</t>
        </is>
      </c>
      <c r="AD2" s="7637" t="n"/>
      <c r="AE2" s="7637" t="n"/>
      <c r="AF2" s="7637" t="n"/>
      <c r="AG2" s="7637" t="n"/>
      <c r="AH2" s="7637" t="n"/>
      <c r="AI2" s="1277" t="n"/>
      <c r="AJ2" s="11602" t="n"/>
      <c r="AK2" s="2875" t="n"/>
      <c r="AL2" s="2875" t="n"/>
      <c r="AQ2" s="11704" t="n"/>
      <c r="AR2" s="658" t="n"/>
      <c r="AS2" s="658" t="n"/>
      <c r="AT2" s="658" t="n"/>
      <c r="AU2" s="658" t="n"/>
      <c r="AV2" s="658" t="n"/>
      <c r="AW2" s="658" t="n"/>
      <c r="AX2" s="658" t="n"/>
      <c r="AY2" s="658" t="n"/>
      <c r="AZ2" s="658" t="n"/>
      <c r="BA2" s="658" t="n"/>
    </row>
    <row r="3" ht="16.5" customHeight="1" s="7635">
      <c r="A3" s="1277" t="n"/>
      <c r="G3" s="1066" t="n"/>
      <c r="H3" s="7913" t="inlineStr">
        <is>
          <t>Additional Taxes</t>
        </is>
      </c>
      <c r="AB3" s="1066" t="n"/>
      <c r="AC3" s="7892">
        <f>TaxYear</f>
        <v/>
      </c>
      <c r="AD3" s="7839" t="n"/>
      <c r="AE3" s="7839" t="n"/>
      <c r="AF3" s="7839" t="n"/>
      <c r="AG3" s="7839" t="n"/>
      <c r="AH3" s="7839" t="n"/>
      <c r="AI3" s="1277" t="n"/>
      <c r="AJ3" s="11602" t="n"/>
      <c r="AK3" s="2875" t="n"/>
      <c r="AL3" s="2875" t="n"/>
      <c r="AQ3" s="11704" t="n"/>
      <c r="AR3" s="658" t="n"/>
      <c r="AS3" s="658" t="n"/>
      <c r="AT3" s="658" t="n"/>
      <c r="AU3" s="658" t="n"/>
      <c r="AV3" s="658" t="n"/>
      <c r="AW3" s="658" t="n"/>
      <c r="AX3" s="658" t="n"/>
      <c r="AY3" s="658" t="n"/>
      <c r="AZ3" s="658" t="n"/>
      <c r="BA3" s="658" t="n"/>
    </row>
    <row r="4" ht="8.25" customHeight="1" s="7635">
      <c r="A4" s="1277" t="n"/>
      <c r="G4" s="1066" t="n"/>
      <c r="AB4" s="1066" t="n"/>
      <c r="AC4" s="11741" t="n"/>
      <c r="AI4" s="1277" t="n"/>
      <c r="AJ4" s="11602" t="n"/>
      <c r="AK4" s="2875" t="n"/>
      <c r="AL4" s="2875" t="n"/>
      <c r="AQ4" s="11704" t="n"/>
      <c r="AR4" s="658" t="n"/>
      <c r="AS4" s="658" t="n"/>
      <c r="AT4" s="658" t="n"/>
      <c r="AU4" s="658" t="n"/>
      <c r="AV4" s="658" t="n"/>
      <c r="AW4" s="658" t="n"/>
      <c r="AX4" s="658" t="n"/>
      <c r="AY4" s="658" t="n"/>
      <c r="AZ4" s="658" t="n"/>
      <c r="BA4" s="658" t="n"/>
    </row>
    <row r="5" ht="14.25" customHeight="1" s="7635">
      <c r="A5" s="1277" t="n"/>
      <c r="B5" s="7859" t="inlineStr">
        <is>
          <t>Department of Treasury Internal Revenue Service</t>
        </is>
      </c>
      <c r="G5" s="1066" t="n"/>
      <c r="H5" s="7915" t="inlineStr">
        <is>
          <t>Attach to Form 1040, 1040-SR, or 1040-NR.</t>
        </is>
      </c>
      <c r="AB5" s="1066" t="n"/>
      <c r="AC5" s="4444" t="n"/>
      <c r="AD5" s="7895" t="inlineStr">
        <is>
          <t>Attachment</t>
        </is>
      </c>
      <c r="AI5" s="1277" t="n"/>
      <c r="AJ5" s="11602" t="n"/>
      <c r="AK5" s="2875" t="n"/>
      <c r="AL5" s="2875" t="n"/>
      <c r="AQ5" s="11704" t="n"/>
      <c r="AR5" s="658" t="n"/>
      <c r="AS5" s="658" t="n"/>
      <c r="AT5" s="658" t="n"/>
      <c r="AU5" s="658" t="n"/>
      <c r="AV5" s="658" t="n"/>
      <c r="AW5" s="658" t="n"/>
      <c r="AX5" s="658" t="n"/>
      <c r="AY5" s="658" t="n"/>
      <c r="AZ5" s="658" t="n"/>
      <c r="BA5" s="658" t="n"/>
    </row>
    <row r="6" ht="14.25" customHeight="1" s="7635" thickBot="1">
      <c r="A6" s="1277" t="n"/>
      <c r="B6" s="8848" t="n"/>
      <c r="C6" s="8848" t="n"/>
      <c r="D6" s="8848" t="n"/>
      <c r="E6" s="8848" t="n"/>
      <c r="F6" s="8848" t="n"/>
      <c r="G6" s="2627" t="n"/>
      <c r="H6" s="11989" t="inlineStr">
        <is>
          <t>Go to www.irs.gov/Form1040 for instructions and the latest information.</t>
        </is>
      </c>
      <c r="I6" s="8848" t="n"/>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9264" t="n"/>
      <c r="AD6" s="7897" t="inlineStr">
        <is>
          <t>Sequence No.  02</t>
        </is>
      </c>
      <c r="AE6" s="8848" t="n"/>
      <c r="AF6" s="8848" t="n"/>
      <c r="AG6" s="8848" t="n"/>
      <c r="AH6" s="8848" t="n"/>
      <c r="AI6" s="1277" t="n"/>
      <c r="AJ6" s="11602" t="n"/>
      <c r="AK6" s="2875" t="n"/>
      <c r="AL6" s="2875" t="n"/>
      <c r="AQ6" s="11704" t="n"/>
      <c r="AR6" s="658" t="n"/>
      <c r="AS6" s="658" t="n"/>
      <c r="AT6" s="658" t="n"/>
      <c r="AU6" s="658" t="n"/>
      <c r="AV6" s="658" t="n"/>
      <c r="AW6" s="658" t="n"/>
      <c r="AX6" s="658" t="n"/>
      <c r="AY6" s="658" t="n"/>
      <c r="AZ6" s="658" t="n"/>
      <c r="BA6" s="658" t="n"/>
    </row>
    <row r="7" ht="15" customHeight="1" s="7635">
      <c r="A7" s="1277" t="n"/>
      <c r="B7" s="8650" t="inlineStr">
        <is>
          <t>Name(s) shown on Form 1040, 1040-SR, or 1040-NR</t>
        </is>
      </c>
      <c r="C7" s="8650" t="n"/>
      <c r="D7" s="810" t="n"/>
      <c r="E7" s="8650" t="n"/>
      <c r="F7" s="8650" t="n"/>
      <c r="G7" s="8650" t="n"/>
      <c r="H7" s="8650" t="n"/>
      <c r="I7" s="8650" t="n"/>
      <c r="J7" s="8650" t="n"/>
      <c r="K7" s="8650" t="n"/>
      <c r="L7" s="8650" t="n"/>
      <c r="M7" s="8650" t="n"/>
      <c r="N7" s="8650" t="n"/>
      <c r="O7" s="8650" t="n"/>
      <c r="P7" s="8650" t="n"/>
      <c r="Q7" s="8650" t="n"/>
      <c r="R7" s="8650" t="n"/>
      <c r="S7" s="8650" t="n"/>
      <c r="T7" s="8650" t="n"/>
      <c r="U7" s="8650" t="n"/>
      <c r="V7" s="8650" t="n"/>
      <c r="W7" s="8650" t="n"/>
      <c r="X7" s="8650" t="n"/>
      <c r="Y7" s="8650" t="n"/>
      <c r="Z7" s="8650" t="n"/>
      <c r="AA7" s="8650" t="n"/>
      <c r="AB7" s="8650" t="n"/>
      <c r="AC7" s="2884" t="inlineStr">
        <is>
          <t xml:space="preserve">  Your social security number</t>
        </is>
      </c>
      <c r="AD7" s="377" t="n"/>
      <c r="AE7" s="377" t="n"/>
      <c r="AF7" s="377" t="n"/>
      <c r="AG7" s="377" t="n"/>
      <c r="AH7" s="377" t="n"/>
      <c r="AI7" s="1277" t="n"/>
      <c r="AJ7" s="11602" t="n"/>
      <c r="AK7" s="11931" t="inlineStr">
        <is>
          <t>Manual
Override</t>
        </is>
      </c>
      <c r="AL7" s="2875" t="n"/>
      <c r="AQ7" s="11704" t="n"/>
      <c r="AR7" s="658" t="n"/>
      <c r="AS7" s="658" t="n"/>
      <c r="AT7" s="658" t="n"/>
      <c r="AU7" s="658" t="n"/>
      <c r="AV7" s="658" t="n"/>
      <c r="AW7" s="658" t="n"/>
      <c r="AX7" s="658" t="n"/>
      <c r="AY7" s="658" t="n"/>
      <c r="AZ7" s="658" t="n"/>
      <c r="BA7" s="658" t="n"/>
    </row>
    <row r="8" ht="9.75" customHeight="1" s="7635">
      <c r="A8" s="1277" t="n"/>
      <c r="B8" s="7909">
        <f>Names</f>
        <v/>
      </c>
      <c r="AB8" s="7636" t="n"/>
      <c r="AC8" s="11933">
        <f>IF(NoSSN,"",SS_Yours)</f>
        <v/>
      </c>
      <c r="AI8" s="1277" t="n"/>
      <c r="AJ8" s="11602" t="n"/>
      <c r="AK8" s="11747" t="n"/>
      <c r="AL8" s="2875" t="n"/>
      <c r="AQ8" s="11704" t="n"/>
      <c r="AR8" s="658" t="n"/>
      <c r="AS8" s="658" t="n"/>
      <c r="AT8" s="658" t="n"/>
      <c r="AU8" s="658" t="n"/>
      <c r="AV8" s="658" t="n"/>
      <c r="AW8" s="658" t="n"/>
      <c r="AX8" s="658" t="n"/>
      <c r="AY8" s="658" t="n"/>
      <c r="AZ8" s="658" t="n"/>
      <c r="BA8" s="658" t="n"/>
    </row>
    <row r="9" ht="9.75" customHeight="1" s="7635">
      <c r="A9" s="1277"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7" t="n"/>
      <c r="Y9" s="7637" t="n"/>
      <c r="Z9" s="7637" t="n"/>
      <c r="AA9" s="7637" t="n"/>
      <c r="AB9" s="7638" t="n"/>
      <c r="AC9" s="3614" t="n"/>
      <c r="AD9" s="7637" t="n"/>
      <c r="AE9" s="7637" t="n"/>
      <c r="AF9" s="7637" t="n"/>
      <c r="AG9" s="7637" t="n"/>
      <c r="AH9" s="7637" t="n"/>
      <c r="AI9" s="1277" t="n"/>
      <c r="AJ9" s="11602" t="n"/>
      <c r="AK9" s="11934" t="n"/>
      <c r="AL9" s="2875" t="n"/>
      <c r="AQ9" s="11704" t="n"/>
      <c r="AR9" s="658" t="n"/>
      <c r="AS9" s="658" t="n"/>
      <c r="AT9" s="658" t="n"/>
      <c r="AU9" s="658" t="n"/>
      <c r="AV9" s="658" t="n"/>
      <c r="AW9" s="658" t="n"/>
      <c r="AX9" s="658" t="n"/>
      <c r="AY9" s="658" t="n"/>
      <c r="AZ9" s="658" t="n"/>
      <c r="BA9" s="658" t="n"/>
    </row>
    <row r="10" ht="22.5" customHeight="1" s="7635">
      <c r="A10" s="1277" t="n"/>
      <c r="B10" s="7910" t="inlineStr">
        <is>
          <t>Part I</t>
        </is>
      </c>
      <c r="C10" s="7839" t="n"/>
      <c r="D10" s="7839" t="n"/>
      <c r="E10" s="4446" t="n"/>
      <c r="F10" s="3376" t="inlineStr">
        <is>
          <t>Tax</t>
        </is>
      </c>
      <c r="G10" s="4446" t="n"/>
      <c r="H10" s="4446" t="n"/>
      <c r="I10" s="4446" t="n"/>
      <c r="J10" s="4446" t="n"/>
      <c r="K10" s="4446" t="n"/>
      <c r="L10" s="773" t="n"/>
      <c r="M10" s="773" t="n"/>
      <c r="N10" s="773" t="n"/>
      <c r="O10" s="773" t="n"/>
      <c r="P10" s="773" t="n"/>
      <c r="Q10" s="773" t="n"/>
      <c r="R10" s="773" t="n"/>
      <c r="S10" s="773" t="n"/>
      <c r="T10" s="773" t="n"/>
      <c r="U10" s="773" t="n"/>
      <c r="V10" s="773" t="n"/>
      <c r="W10" s="773" t="n"/>
      <c r="X10" s="773" t="n"/>
      <c r="Y10" s="773" t="n"/>
      <c r="Z10" s="773" t="n"/>
      <c r="AA10" s="773" t="n"/>
      <c r="AB10" s="773" t="n"/>
      <c r="AC10" s="773" t="n"/>
      <c r="AD10" s="773" t="n"/>
      <c r="AE10" s="773" t="n"/>
      <c r="AF10" s="773" t="n"/>
      <c r="AG10" s="773" t="n"/>
      <c r="AH10" s="773" t="n"/>
      <c r="AI10" s="1277" t="n"/>
      <c r="AJ10" s="11602" t="n"/>
      <c r="AK10" s="2875" t="n"/>
      <c r="AL10" s="2875" t="n"/>
      <c r="AM10" s="8043" t="inlineStr">
        <is>
          <t>Source:</t>
        </is>
      </c>
      <c r="AQ10" s="11704" t="n"/>
      <c r="AR10" s="658" t="n"/>
      <c r="AS10" s="658" t="n"/>
      <c r="AT10" s="658" t="n"/>
      <c r="AU10" s="658" t="n"/>
      <c r="AV10" s="658" t="n"/>
      <c r="AW10" s="658" t="n"/>
      <c r="AX10" s="658" t="n"/>
      <c r="AY10" s="658" t="n"/>
      <c r="AZ10" s="658" t="n"/>
      <c r="BA10" s="658" t="n"/>
    </row>
    <row r="11" ht="18.75" customHeight="1" s="7635">
      <c r="A11" s="1277" t="n"/>
      <c r="B11" s="11602" t="n"/>
      <c r="C11" s="8439" t="n">
        <v>1</v>
      </c>
      <c r="D11" s="810" t="n"/>
      <c r="E11" s="5370" t="inlineStr">
        <is>
          <t>Additions to tax:</t>
        </is>
      </c>
      <c r="F11" s="11602" t="n"/>
      <c r="G11" s="11602" t="n"/>
      <c r="H11" s="11602" t="n"/>
      <c r="I11" s="11602" t="n"/>
      <c r="J11" s="11602" t="n"/>
      <c r="K11" s="11602" t="n"/>
      <c r="L11" s="11602" t="n"/>
      <c r="M11" s="11602" t="n"/>
      <c r="N11" s="11602" t="n"/>
      <c r="O11" s="11602" t="n"/>
      <c r="P11" s="11602" t="n"/>
      <c r="Q11" s="11602" t="n"/>
      <c r="R11" s="11602" t="n"/>
      <c r="S11" s="11602" t="n"/>
      <c r="T11" s="11602" t="n"/>
      <c r="U11" s="11602" t="n"/>
      <c r="V11" s="11602" t="n"/>
      <c r="W11" s="1218" t="n"/>
      <c r="X11" s="2373" t="n"/>
      <c r="Y11" s="2890" t="n"/>
      <c r="Z11" s="1401" t="n"/>
      <c r="AA11" s="1401" t="n"/>
      <c r="AB11" s="1401" t="n"/>
      <c r="AC11" s="5371" t="n"/>
      <c r="AD11" s="2333" t="n"/>
      <c r="AE11" s="2334" t="n"/>
      <c r="AF11" s="2334" t="n"/>
      <c r="AG11" s="2334" t="n"/>
      <c r="AH11" s="2334" t="n"/>
      <c r="AI11" s="1277" t="n"/>
      <c r="AJ11" s="11602" t="n"/>
      <c r="AK11" s="2875" t="n"/>
      <c r="AL11" s="2875" t="n"/>
      <c r="AM11" s="7301" t="n"/>
      <c r="AQ11" s="11704" t="n"/>
      <c r="AR11" s="658" t="n"/>
      <c r="AS11" s="658" t="n"/>
      <c r="AT11" s="658" t="n"/>
      <c r="AU11" s="658" t="n"/>
      <c r="AV11" s="658" t="n"/>
      <c r="AW11" s="658" t="n"/>
      <c r="AX11" s="658" t="n"/>
      <c r="AY11" s="658" t="n"/>
      <c r="AZ11" s="658" t="n"/>
      <c r="BA11" s="658" t="n"/>
    </row>
    <row r="12" ht="20.25" customHeight="1" s="7635">
      <c r="A12" s="1277" t="n"/>
      <c r="B12" s="11602" t="n"/>
      <c r="C12" s="8439" t="n"/>
      <c r="D12" s="514" t="inlineStr">
        <is>
          <t>a</t>
        </is>
      </c>
      <c r="E12" s="7772" t="inlineStr">
        <is>
          <t>Excess advance premium tax credit repayment. Attach Form 8962</t>
        </is>
      </c>
      <c r="F12" s="11602" t="n"/>
      <c r="G12" s="11602" t="n"/>
      <c r="H12" s="11602" t="n"/>
      <c r="I12" s="11602" t="n"/>
      <c r="J12" s="11602" t="n"/>
      <c r="K12" s="11602" t="n"/>
      <c r="L12" s="11602" t="n"/>
      <c r="M12" s="11602" t="n"/>
      <c r="N12" s="11602" t="n"/>
      <c r="O12" s="11602" t="n"/>
      <c r="P12" s="11602" t="n"/>
      <c r="Q12" s="11602" t="n"/>
      <c r="R12" s="11602" t="n"/>
      <c r="S12" s="11602" t="n"/>
      <c r="T12" s="11602" t="n"/>
      <c r="U12" s="11602" t="n"/>
      <c r="V12" s="11602" t="n"/>
      <c r="W12" s="1218" t="n"/>
      <c r="X12" s="2039" t="inlineStr">
        <is>
          <t xml:space="preserve">.   .   . </t>
        </is>
      </c>
      <c r="Y12" s="5372" t="inlineStr">
        <is>
          <t>1a</t>
        </is>
      </c>
      <c r="Z12" s="11968">
        <f>IF(AK12&lt;&gt;"",ROUND(AK12,0),PTC_Excess)</f>
        <v/>
      </c>
      <c r="AA12" s="7637" t="n"/>
      <c r="AB12" s="7638" t="n"/>
      <c r="AC12" s="5371" t="n"/>
      <c r="AD12" s="2332" t="n"/>
      <c r="AE12" s="514" t="n"/>
      <c r="AF12" s="514" t="n"/>
      <c r="AG12" s="514" t="n"/>
      <c r="AH12" s="514" t="n"/>
      <c r="AI12" s="1277" t="n"/>
      <c r="AJ12" s="11602" t="n"/>
      <c r="AK12" s="1329" t="n"/>
      <c r="AL12" s="2875" t="n"/>
      <c r="AM12" s="7301" t="inlineStr">
        <is>
          <t>Form 8962, line 29</t>
        </is>
      </c>
      <c r="AO12">
        <f>IF(PTC_ExcessAdv="",0,1)</f>
        <v/>
      </c>
      <c r="AQ12" s="11704" t="n"/>
      <c r="AR12" s="658" t="n"/>
      <c r="AS12" s="658" t="n"/>
      <c r="AT12" s="658" t="n"/>
      <c r="AU12" s="658" t="n"/>
      <c r="AV12" s="658" t="n"/>
      <c r="AW12" s="658" t="n"/>
      <c r="AX12" s="658" t="n"/>
      <c r="AY12" s="658" t="n"/>
      <c r="AZ12" s="658" t="n"/>
      <c r="BA12" s="658" t="n"/>
    </row>
    <row r="13" ht="18.75" customHeight="1" s="7635">
      <c r="A13" s="1277" t="n"/>
      <c r="B13" s="11602" t="n"/>
      <c r="C13" s="8439" t="n"/>
      <c r="D13" s="514" t="inlineStr">
        <is>
          <t>b</t>
        </is>
      </c>
      <c r="E13" s="7772" t="inlineStr">
        <is>
          <t>Repayment of new clean vehicle credit(s) transferred to a registered dealer</t>
        </is>
      </c>
      <c r="F13" s="11602" t="n"/>
      <c r="G13" s="11602" t="n"/>
      <c r="H13" s="11602" t="n"/>
      <c r="I13" s="11602" t="n"/>
      <c r="J13" s="11602" t="n"/>
      <c r="K13" s="11602" t="n"/>
      <c r="L13" s="11602" t="n"/>
      <c r="M13" s="11602" t="n"/>
      <c r="N13" s="11602" t="n"/>
      <c r="O13" s="11602" t="n"/>
      <c r="P13" s="11602" t="n"/>
      <c r="Q13" s="11602" t="n"/>
      <c r="R13" s="11602" t="n"/>
      <c r="S13" s="11602" t="n"/>
      <c r="T13" s="11602" t="n"/>
      <c r="U13" s="11602" t="n"/>
      <c r="V13" s="11602" t="n"/>
      <c r="W13" s="1218" t="n"/>
      <c r="X13" s="2373" t="n"/>
      <c r="Y13" s="726" t="n"/>
      <c r="Z13" s="1401" t="n"/>
      <c r="AA13" s="1401" t="n"/>
      <c r="AB13" s="1401" t="n"/>
      <c r="AC13" s="5371" t="n"/>
      <c r="AD13" s="2332" t="n"/>
      <c r="AE13" s="514" t="n"/>
      <c r="AF13" s="514" t="n"/>
      <c r="AG13" s="514" t="n"/>
      <c r="AH13" s="514" t="n"/>
      <c r="AI13" s="1277" t="n"/>
      <c r="AJ13" s="11602" t="n"/>
      <c r="AK13" s="2875" t="n"/>
      <c r="AL13" s="2875" t="n"/>
      <c r="AM13" s="7301" t="n"/>
      <c r="AQ13" s="11704" t="n"/>
      <c r="AR13" s="658" t="n"/>
      <c r="AS13" s="658" t="n"/>
      <c r="AT13" s="658" t="n"/>
      <c r="AU13" s="658" t="n"/>
      <c r="AV13" s="658" t="n"/>
      <c r="AW13" s="658" t="n"/>
      <c r="AX13" s="658" t="n"/>
      <c r="AY13" s="658" t="n"/>
      <c r="AZ13" s="658" t="n"/>
      <c r="BA13" s="658" t="n"/>
    </row>
    <row r="14" ht="15.75" customHeight="1" s="7635">
      <c r="A14" s="1277" t="n"/>
      <c r="B14" s="11602" t="n"/>
      <c r="C14" s="8439" t="n"/>
      <c r="D14" s="514" t="n"/>
      <c r="E14" s="7772" t="inlineStr">
        <is>
          <t>from Schedule A (Form 8936), Part II. Attach Form 8936 and Schedule A</t>
        </is>
      </c>
      <c r="F14" s="11602" t="n"/>
      <c r="G14" s="11602" t="n"/>
      <c r="H14" s="11602" t="n"/>
      <c r="I14" s="11602" t="n"/>
      <c r="J14" s="11602" t="n"/>
      <c r="K14" s="11602" t="n"/>
      <c r="L14" s="11602" t="n"/>
      <c r="M14" s="11602" t="n"/>
      <c r="N14" s="11602" t="n"/>
      <c r="O14" s="11602" t="n"/>
      <c r="P14" s="11602" t="n"/>
      <c r="Q14" s="11602" t="n"/>
      <c r="R14" s="11602" t="n"/>
      <c r="S14" s="11602" t="n"/>
      <c r="T14" s="11602" t="n"/>
      <c r="U14" s="11602" t="n"/>
      <c r="V14" s="11602" t="n"/>
      <c r="W14" s="1218" t="n"/>
      <c r="X14" s="2373" t="n"/>
      <c r="Y14" s="726" t="n"/>
      <c r="Z14" s="1401" t="n"/>
      <c r="AA14" s="1401" t="n"/>
      <c r="AB14" s="1401" t="n"/>
      <c r="AC14" s="5371" t="n"/>
      <c r="AD14" s="2332" t="n"/>
      <c r="AE14" s="514" t="n"/>
      <c r="AF14" s="514" t="n"/>
      <c r="AG14" s="514" t="n"/>
      <c r="AH14" s="514" t="n"/>
      <c r="AI14" s="1277" t="n"/>
      <c r="AJ14" s="11602" t="n"/>
      <c r="AK14" s="2875" t="n"/>
      <c r="AL14" s="2875" t="n"/>
      <c r="AM14" s="7301" t="n"/>
      <c r="AQ14" s="11704" t="n"/>
      <c r="AR14" s="658" t="n"/>
      <c r="AS14" s="658" t="n"/>
      <c r="AT14" s="658" t="n"/>
      <c r="AU14" s="658" t="n"/>
      <c r="AV14" s="658" t="n"/>
      <c r="AW14" s="658" t="n"/>
      <c r="AX14" s="658" t="n"/>
      <c r="AY14" s="658" t="n"/>
      <c r="AZ14" s="658" t="n"/>
      <c r="BA14" s="658" t="n"/>
    </row>
    <row r="15" ht="15.75" customHeight="1" s="7635">
      <c r="A15" s="1277" t="n"/>
      <c r="B15" s="11602" t="n"/>
      <c r="C15" s="8439" t="n"/>
      <c r="D15" s="514" t="n"/>
      <c r="E15" s="7772" t="inlineStr">
        <is>
          <t>(Form 8936)</t>
        </is>
      </c>
      <c r="F15" s="11602" t="n"/>
      <c r="G15" s="11602" t="n"/>
      <c r="H15" s="11602" t="n"/>
      <c r="I15" s="11602" t="n"/>
      <c r="J15" s="11602" t="n"/>
      <c r="K15" s="11602" t="n"/>
      <c r="L15" s="11602" t="n"/>
      <c r="M15" s="11602" t="n"/>
      <c r="N15" s="11602" t="n"/>
      <c r="O15" s="11602" t="n"/>
      <c r="P15" s="11602" t="n"/>
      <c r="Q15" s="11602" t="n"/>
      <c r="R15" s="11602" t="n"/>
      <c r="S15" s="11602" t="n"/>
      <c r="T15" s="11602" t="n"/>
      <c r="U15" s="11602" t="n"/>
      <c r="V15" s="11602" t="n"/>
      <c r="W15" s="1218" t="n"/>
      <c r="X15" s="2039" t="inlineStr">
        <is>
          <t xml:space="preserve"> .   .   .   .   .   .   .   .   .   .   .   .   .   .   .   .   .   .   .   .   .   .   . </t>
        </is>
      </c>
      <c r="Y15" s="5372" t="inlineStr">
        <is>
          <t>1b</t>
        </is>
      </c>
      <c r="Z15" s="11201" t="n"/>
      <c r="AA15" s="11717" t="n"/>
      <c r="AB15" s="11718" t="n"/>
      <c r="AC15" s="5371" t="n"/>
      <c r="AD15" s="2332" t="n"/>
      <c r="AE15" s="514" t="n"/>
      <c r="AF15" s="514" t="n"/>
      <c r="AG15" s="514" t="n"/>
      <c r="AH15" s="514" t="n"/>
      <c r="AI15" s="1277" t="n"/>
      <c r="AJ15" s="11602" t="n"/>
      <c r="AK15" s="2875" t="n"/>
      <c r="AL15" s="2875" t="n"/>
      <c r="AM15" s="7301" t="n"/>
      <c r="AO15">
        <f>IF(Z15="",0,1)</f>
        <v/>
      </c>
      <c r="AQ15" s="11704" t="n"/>
      <c r="AR15" s="658" t="n"/>
      <c r="AS15" s="658" t="n"/>
      <c r="AT15" s="658" t="n"/>
      <c r="AU15" s="658" t="n"/>
      <c r="AV15" s="658" t="n"/>
      <c r="AW15" s="658" t="n"/>
      <c r="AX15" s="658" t="n"/>
      <c r="AY15" s="658" t="n"/>
      <c r="AZ15" s="658" t="n"/>
      <c r="BA15" s="658" t="n"/>
    </row>
    <row r="16" ht="15.75" customHeight="1" s="7635">
      <c r="A16" s="1277" t="n"/>
      <c r="B16" s="11602" t="n"/>
      <c r="C16" s="8439" t="n"/>
      <c r="D16" s="2277" t="inlineStr">
        <is>
          <t>c</t>
        </is>
      </c>
      <c r="E16" s="7772" t="inlineStr">
        <is>
          <t>Repayment of previously owned clean vehicle credit(s) transferred to a</t>
        </is>
      </c>
      <c r="F16" s="5373" t="n"/>
      <c r="G16" s="5373" t="n"/>
      <c r="H16" s="5373" t="n"/>
      <c r="I16" s="5373" t="n"/>
      <c r="J16" s="5373" t="n"/>
      <c r="K16" s="5373" t="n"/>
      <c r="L16" s="5373" t="n"/>
      <c r="M16" s="5373" t="n"/>
      <c r="N16" s="5373" t="n"/>
      <c r="O16" s="5373" t="n"/>
      <c r="P16" s="5373" t="n"/>
      <c r="Q16" s="5373" t="n"/>
      <c r="R16" s="5373" t="n"/>
      <c r="S16" s="5373" t="n"/>
      <c r="T16" s="5373" t="n"/>
      <c r="U16" s="5373" t="n"/>
      <c r="V16" s="5373" t="n"/>
      <c r="W16" s="5373" t="n"/>
      <c r="X16" s="5373" t="n"/>
      <c r="Y16" s="5374" t="n"/>
      <c r="Z16" s="1401" t="n"/>
      <c r="AA16" s="1401" t="n"/>
      <c r="AB16" s="1401" t="n"/>
      <c r="AC16" s="5371" t="n"/>
      <c r="AD16" s="2332" t="n"/>
      <c r="AE16" s="514" t="n"/>
      <c r="AF16" s="514" t="n"/>
      <c r="AG16" s="514" t="n"/>
      <c r="AH16" s="514" t="n"/>
      <c r="AI16" s="1277" t="n"/>
      <c r="AJ16" s="11602" t="n"/>
      <c r="AK16" s="2875" t="n"/>
      <c r="AL16" s="2875" t="n"/>
      <c r="AM16" s="7301" t="n"/>
      <c r="AQ16" s="11704" t="n"/>
      <c r="AR16" s="658" t="n"/>
      <c r="AS16" s="658" t="n"/>
      <c r="AT16" s="658" t="n"/>
      <c r="AU16" s="658" t="n"/>
      <c r="AV16" s="658" t="n"/>
      <c r="AW16" s="658" t="n"/>
      <c r="AX16" s="658" t="n"/>
      <c r="AY16" s="658" t="n"/>
      <c r="AZ16" s="658" t="n"/>
      <c r="BA16" s="658" t="n"/>
    </row>
    <row r="17" ht="15.75" customHeight="1" s="7635">
      <c r="A17" s="1277" t="n"/>
      <c r="B17" s="11602" t="n"/>
      <c r="C17" s="8439" t="n"/>
      <c r="D17" s="2277" t="n"/>
      <c r="E17" s="7772" t="inlineStr">
        <is>
          <t>registered dealer from Schedule A (Form 8936), Part IV. Attach Form 8936</t>
        </is>
      </c>
      <c r="F17" s="5373" t="n"/>
      <c r="G17" s="5373" t="n"/>
      <c r="H17" s="5373" t="n"/>
      <c r="I17" s="5373" t="n"/>
      <c r="J17" s="5373" t="n"/>
      <c r="K17" s="5373" t="n"/>
      <c r="L17" s="5373" t="n"/>
      <c r="M17" s="5373" t="n"/>
      <c r="N17" s="5373" t="n"/>
      <c r="O17" s="5373" t="n"/>
      <c r="P17" s="5373" t="n"/>
      <c r="Q17" s="5373" t="n"/>
      <c r="R17" s="5373" t="n"/>
      <c r="S17" s="5373" t="n"/>
      <c r="T17" s="5373" t="n"/>
      <c r="U17" s="5373" t="n"/>
      <c r="V17" s="5373" t="n"/>
      <c r="W17" s="5373" t="n"/>
      <c r="X17" s="5373" t="n"/>
      <c r="Y17" s="5375" t="n"/>
      <c r="Z17" s="1401" t="n"/>
      <c r="AA17" s="1401" t="n"/>
      <c r="AB17" s="1401" t="n"/>
      <c r="AC17" s="5371" t="n"/>
      <c r="AD17" s="2332" t="n"/>
      <c r="AE17" s="514" t="n"/>
      <c r="AF17" s="514" t="n"/>
      <c r="AG17" s="514" t="n"/>
      <c r="AH17" s="514" t="n"/>
      <c r="AI17" s="1277" t="n"/>
      <c r="AJ17" s="11602" t="n"/>
      <c r="AK17" s="2875" t="n"/>
      <c r="AL17" s="2875" t="n"/>
      <c r="AM17" s="7301" t="n"/>
      <c r="AQ17" s="11704" t="n"/>
      <c r="AR17" s="658" t="n"/>
      <c r="AS17" s="658" t="n"/>
      <c r="AT17" s="658" t="n"/>
      <c r="AU17" s="658" t="n"/>
      <c r="AV17" s="658" t="n"/>
      <c r="AW17" s="658" t="n"/>
      <c r="AX17" s="658" t="n"/>
      <c r="AY17" s="658" t="n"/>
      <c r="AZ17" s="658" t="n"/>
      <c r="BA17" s="658" t="n"/>
    </row>
    <row r="18" ht="15.75" customHeight="1" s="7635">
      <c r="A18" s="1277" t="n"/>
      <c r="B18" s="11602" t="n"/>
      <c r="C18" s="8439" t="n"/>
      <c r="D18" s="514" t="n"/>
      <c r="E18" s="7772" t="inlineStr">
        <is>
          <t>and Schedule A (Form 8936)</t>
        </is>
      </c>
      <c r="F18" s="5373" t="n"/>
      <c r="G18" s="5373" t="n"/>
      <c r="H18" s="5373" t="n"/>
      <c r="I18" s="5373" t="n"/>
      <c r="J18" s="5373" t="n"/>
      <c r="K18" s="5373" t="n"/>
      <c r="L18" s="5373" t="n"/>
      <c r="M18" s="5373" t="n"/>
      <c r="N18" s="5373" t="n"/>
      <c r="O18" s="5373" t="n"/>
      <c r="P18" s="5373" t="n"/>
      <c r="Q18" s="5373" t="n"/>
      <c r="R18" s="5373" t="n"/>
      <c r="S18" s="5373" t="n"/>
      <c r="T18" s="5373" t="n"/>
      <c r="U18" s="5373" t="n"/>
      <c r="V18" s="5373" t="n"/>
      <c r="W18" s="5373" t="n"/>
      <c r="X18" s="2039" t="inlineStr">
        <is>
          <t xml:space="preserve">.   .   .   .   .   .   .   .   .   .   .   .   .   .   .   .   . </t>
        </is>
      </c>
      <c r="Y18" s="5372" t="inlineStr">
        <is>
          <t>1c</t>
        </is>
      </c>
      <c r="Z18" s="11201" t="n"/>
      <c r="AA18" s="11717" t="n"/>
      <c r="AB18" s="11718" t="n"/>
      <c r="AC18" s="5371" t="n"/>
      <c r="AD18" s="2332" t="n"/>
      <c r="AE18" s="514" t="n"/>
      <c r="AF18" s="514" t="n"/>
      <c r="AG18" s="514" t="n"/>
      <c r="AH18" s="514" t="n"/>
      <c r="AI18" s="1277" t="n"/>
      <c r="AJ18" s="11602" t="n"/>
      <c r="AK18" s="2875" t="n"/>
      <c r="AL18" s="2875" t="n"/>
      <c r="AM18" s="7301" t="n"/>
      <c r="AO18">
        <f>IF(Z18="",0,1)</f>
        <v/>
      </c>
      <c r="AQ18" s="11704" t="n"/>
      <c r="AR18" s="658" t="n"/>
      <c r="AS18" s="658" t="n"/>
      <c r="AT18" s="658" t="n"/>
      <c r="AU18" s="658" t="n"/>
      <c r="AV18" s="658" t="n"/>
      <c r="AW18" s="658" t="n"/>
      <c r="AX18" s="658" t="n"/>
      <c r="AY18" s="658" t="n"/>
      <c r="AZ18" s="658" t="n"/>
      <c r="BA18" s="658" t="n"/>
    </row>
    <row r="19" ht="18.75" customHeight="1" s="7635">
      <c r="A19" s="1277" t="n"/>
      <c r="B19" s="11602" t="n"/>
      <c r="C19" s="8439" t="n"/>
      <c r="D19" s="514" t="inlineStr">
        <is>
          <t>d</t>
        </is>
      </c>
      <c r="E19" s="7772" t="inlineStr">
        <is>
          <t>Recapture of net EPE from Form 4255, line 2a, column (l)</t>
        </is>
      </c>
      <c r="F19" s="11602" t="n"/>
      <c r="G19" s="11602" t="n"/>
      <c r="H19" s="11602" t="n"/>
      <c r="I19" s="11602" t="n"/>
      <c r="J19" s="11602" t="n"/>
      <c r="K19" s="11602" t="n"/>
      <c r="L19" s="11602" t="n"/>
      <c r="M19" s="11602" t="n"/>
      <c r="N19" s="11602" t="n"/>
      <c r="O19" s="11602" t="n"/>
      <c r="P19" s="11602" t="n"/>
      <c r="Q19" s="11602" t="n"/>
      <c r="R19" s="11602" t="n"/>
      <c r="S19" s="11602" t="n"/>
      <c r="T19" s="11602" t="n"/>
      <c r="U19" s="11602" t="n"/>
      <c r="V19" s="11602" t="n"/>
      <c r="W19" s="1218" t="n"/>
      <c r="X19" s="2039" t="inlineStr">
        <is>
          <t xml:space="preserve">.   .   .   .   .   .   . </t>
        </is>
      </c>
      <c r="Y19" s="5372" t="inlineStr">
        <is>
          <t>1d</t>
        </is>
      </c>
      <c r="Z19" s="11201" t="n"/>
      <c r="AA19" s="11717" t="n"/>
      <c r="AB19" s="11718" t="n"/>
      <c r="AC19" s="5371" t="n"/>
      <c r="AD19" s="2332" t="n"/>
      <c r="AE19" s="514" t="n"/>
      <c r="AF19" s="514" t="n"/>
      <c r="AG19" s="514" t="n"/>
      <c r="AH19" s="514" t="n"/>
      <c r="AI19" s="1277" t="n"/>
      <c r="AJ19" s="11602" t="n"/>
      <c r="AK19" s="2875" t="n"/>
      <c r="AL19" s="2875" t="n"/>
      <c r="AM19" s="7301" t="n"/>
      <c r="AO19">
        <f>IF(Z19="",0,1)</f>
        <v/>
      </c>
      <c r="AQ19" s="11704" t="n"/>
      <c r="AR19" s="658" t="n"/>
      <c r="AS19" s="658" t="n"/>
      <c r="AT19" s="658" t="n"/>
      <c r="AU19" s="658" t="n"/>
      <c r="AV19" s="658" t="n"/>
      <c r="AW19" s="658" t="n"/>
      <c r="AX19" s="658" t="n"/>
      <c r="AY19" s="658" t="n"/>
      <c r="AZ19" s="658" t="n"/>
      <c r="BA19" s="658" t="n"/>
    </row>
    <row r="20" ht="18.75" customHeight="1" s="7635">
      <c r="A20" s="1277" t="n"/>
      <c r="B20" s="11602" t="n"/>
      <c r="C20" s="8439" t="n"/>
      <c r="D20" s="514" t="inlineStr">
        <is>
          <t>e</t>
        </is>
      </c>
      <c r="E20" s="7868" t="inlineStr">
        <is>
          <t>Excessive payments (EP) from Form 4255. Check applicable box and</t>
        </is>
      </c>
      <c r="Y20" s="5375" t="n"/>
      <c r="Z20" s="5376" t="n"/>
      <c r="AA20" s="5373" t="n"/>
      <c r="AB20" s="5377" t="n"/>
      <c r="AC20" s="5371" t="n"/>
      <c r="AD20" s="2332" t="n"/>
      <c r="AE20" s="514" t="n"/>
      <c r="AF20" s="514" t="n"/>
      <c r="AG20" s="514" t="n"/>
      <c r="AH20" s="514" t="n"/>
      <c r="AI20" s="1277" t="n"/>
      <c r="AJ20" s="11602" t="n"/>
      <c r="AK20" s="2875" t="n"/>
      <c r="AL20" s="2875" t="n"/>
      <c r="AM20" s="7301" t="n"/>
      <c r="AQ20" s="11704" t="n"/>
      <c r="AR20" s="658" t="n"/>
      <c r="AS20" s="658" t="n"/>
      <c r="AT20" s="658" t="n"/>
      <c r="AU20" s="658" t="n"/>
      <c r="AV20" s="658" t="n"/>
      <c r="AW20" s="658" t="n"/>
      <c r="AX20" s="658" t="n"/>
      <c r="AY20" s="658" t="n"/>
      <c r="AZ20" s="658" t="n"/>
      <c r="BA20" s="658" t="n"/>
    </row>
    <row r="21" ht="18.75" customHeight="1" s="7635">
      <c r="A21" s="1277" t="n"/>
      <c r="B21" s="11602" t="n"/>
      <c r="C21" s="8439" t="n"/>
      <c r="D21" s="514" t="n"/>
      <c r="E21" s="7872" t="inlineStr">
        <is>
          <t>amount.</t>
        </is>
      </c>
      <c r="G21" s="5373" t="n"/>
      <c r="H21" s="5373" t="n"/>
      <c r="I21" s="5373" t="n"/>
      <c r="J21" s="5373" t="n"/>
      <c r="K21" s="5373" t="n"/>
      <c r="L21" s="5373" t="n"/>
      <c r="M21" s="5373" t="n"/>
      <c r="N21" s="5373" t="n"/>
      <c r="O21" s="5373" t="n"/>
      <c r="P21" s="5373" t="n"/>
      <c r="Q21" s="5373" t="n"/>
      <c r="R21" s="5373" t="n"/>
      <c r="S21" s="5373" t="n"/>
      <c r="T21" s="5373" t="n"/>
      <c r="U21" s="5373" t="n"/>
      <c r="V21" s="5373" t="n"/>
      <c r="W21" s="5373" t="n"/>
      <c r="X21" s="5373" t="n"/>
      <c r="Y21" s="5375" t="n"/>
      <c r="Z21" s="5376" t="n"/>
      <c r="AA21" s="5373" t="n"/>
      <c r="AB21" s="5377" t="n"/>
      <c r="AC21" s="5371" t="n"/>
      <c r="AD21" s="2332" t="n"/>
      <c r="AE21" s="514" t="n"/>
      <c r="AF21" s="514" t="n"/>
      <c r="AG21" s="514" t="n"/>
      <c r="AH21" s="514" t="n"/>
      <c r="AI21" s="1277" t="n"/>
      <c r="AJ21" s="11602" t="n"/>
      <c r="AK21" s="2875" t="n"/>
      <c r="AL21" s="2875" t="n"/>
      <c r="AM21" s="7301" t="n"/>
      <c r="AQ21" s="11704" t="n"/>
      <c r="AR21" s="658" t="n"/>
      <c r="AS21" s="658" t="n"/>
      <c r="AT21" s="658" t="n"/>
      <c r="AU21" s="658" t="n"/>
      <c r="AV21" s="658" t="n"/>
      <c r="AW21" s="658" t="n"/>
      <c r="AX21" s="658" t="n"/>
      <c r="AY21" s="658" t="n"/>
      <c r="AZ21" s="658" t="n"/>
      <c r="BA21" s="658" t="n"/>
    </row>
    <row r="22" ht="13.5" customHeight="1" s="7635">
      <c r="A22" s="1277" t="n"/>
      <c r="B22" s="11602" t="n"/>
      <c r="C22" s="8439" t="n"/>
      <c r="D22" s="514" t="n"/>
      <c r="E22" s="5378" t="inlineStr">
        <is>
          <t>(I)</t>
        </is>
      </c>
      <c r="F22" s="384" t="n"/>
      <c r="G22" s="7865" t="inlineStr">
        <is>
          <t xml:space="preserve"> Line 1a</t>
        </is>
      </c>
      <c r="H22" s="11602" t="n"/>
      <c r="I22" s="11602" t="n"/>
      <c r="J22" s="11602" t="n"/>
      <c r="K22" s="11602" t="n"/>
      <c r="L22" s="11602" t="n"/>
      <c r="M22" s="1218" t="n"/>
      <c r="N22" s="2373" t="n"/>
      <c r="O22" s="7862" t="inlineStr">
        <is>
          <t>(II)</t>
        </is>
      </c>
      <c r="P22" s="7636" t="n"/>
      <c r="Q22" s="384" t="n"/>
      <c r="R22" s="7865" t="inlineStr">
        <is>
          <t xml:space="preserve"> Line 1c</t>
        </is>
      </c>
      <c r="S22" s="11602" t="n"/>
      <c r="T22" s="11602" t="n"/>
      <c r="U22" s="11602" t="n"/>
      <c r="V22" s="11602" t="n"/>
      <c r="W22" s="11602" t="n"/>
      <c r="X22" s="11602" t="n"/>
      <c r="Y22" s="726" t="n"/>
      <c r="Z22" s="5379" t="n"/>
      <c r="AA22" s="1401" t="n"/>
      <c r="AB22" s="1657" t="n"/>
      <c r="AC22" s="5371" t="n"/>
      <c r="AD22" s="2332" t="n"/>
      <c r="AE22" s="514" t="n"/>
      <c r="AF22" s="514" t="n"/>
      <c r="AG22" s="514" t="n"/>
      <c r="AH22" s="514" t="n"/>
      <c r="AI22" s="1277" t="n"/>
      <c r="AJ22" s="11602" t="n"/>
      <c r="AK22" s="2875" t="n"/>
      <c r="AL22" s="2875" t="n"/>
      <c r="AM22" s="7301" t="n"/>
      <c r="AQ22" s="11704" t="n"/>
      <c r="AR22" s="658" t="n"/>
      <c r="AS22" s="658" t="n"/>
      <c r="AT22" s="658" t="n"/>
      <c r="AU22" s="658" t="n"/>
      <c r="AV22" s="658" t="n"/>
      <c r="AW22" s="658" t="n"/>
      <c r="AX22" s="658" t="n"/>
      <c r="AY22" s="658" t="n"/>
      <c r="AZ22" s="658" t="n"/>
      <c r="BA22" s="658" t="n"/>
    </row>
    <row r="23" ht="8.25" customHeight="1" s="7635">
      <c r="A23" s="1277" t="n"/>
      <c r="B23" s="11602" t="n"/>
      <c r="C23" s="8439" t="n"/>
      <c r="D23" s="514" t="n"/>
      <c r="E23" s="8650" t="n"/>
      <c r="F23" s="11602" t="n"/>
      <c r="G23" s="11602" t="n"/>
      <c r="H23" s="11602" t="n"/>
      <c r="I23" s="11602" t="n"/>
      <c r="J23" s="11602" t="n"/>
      <c r="K23" s="11602" t="n"/>
      <c r="L23" s="11602" t="n"/>
      <c r="M23" s="11602" t="n"/>
      <c r="N23" s="11602" t="n"/>
      <c r="O23" s="11602" t="n"/>
      <c r="P23" s="11602" t="n"/>
      <c r="Q23" s="11602" t="n"/>
      <c r="R23" s="11602" t="n"/>
      <c r="S23" s="11602" t="n"/>
      <c r="T23" s="11602" t="n"/>
      <c r="U23" s="11602" t="n"/>
      <c r="V23" s="11602" t="n"/>
      <c r="W23" s="1218" t="n"/>
      <c r="X23" s="2373" t="n"/>
      <c r="Y23" s="726" t="n"/>
      <c r="Z23" s="11201" t="n"/>
      <c r="AA23" s="194" t="n"/>
      <c r="AB23" s="11726" t="n"/>
      <c r="AC23" s="5371" t="n"/>
      <c r="AD23" s="2332" t="n"/>
      <c r="AE23" s="514" t="n"/>
      <c r="AF23" s="514" t="n"/>
      <c r="AG23" s="514" t="n"/>
      <c r="AH23" s="514" t="n"/>
      <c r="AI23" s="1277" t="n"/>
      <c r="AJ23" s="11602" t="n"/>
      <c r="AK23" s="2875" t="n"/>
      <c r="AL23" s="2875" t="n"/>
      <c r="AM23" s="7301" t="n"/>
      <c r="AQ23" s="11704" t="n"/>
      <c r="AR23" s="658" t="n"/>
      <c r="AS23" s="658" t="n"/>
      <c r="AT23" s="658" t="n"/>
      <c r="AU23" s="658" t="n"/>
      <c r="AV23" s="658" t="n"/>
      <c r="AW23" s="658" t="n"/>
      <c r="AX23" s="658" t="n"/>
      <c r="AY23" s="658" t="n"/>
      <c r="AZ23" s="658" t="n"/>
      <c r="BA23" s="658" t="n"/>
    </row>
    <row r="24" ht="13.5" customHeight="1" s="7635">
      <c r="A24" s="1277" t="n"/>
      <c r="B24" s="11602" t="n"/>
      <c r="C24" s="8439" t="n"/>
      <c r="D24" s="514" t="n"/>
      <c r="E24" s="5378" t="inlineStr">
        <is>
          <t>(III)</t>
        </is>
      </c>
      <c r="F24" s="384" t="n"/>
      <c r="G24" s="7865" t="inlineStr">
        <is>
          <t xml:space="preserve"> Line 1d</t>
        </is>
      </c>
      <c r="H24" s="11602" t="n"/>
      <c r="I24" s="11602" t="n"/>
      <c r="J24" s="11602" t="n"/>
      <c r="K24" s="11602" t="n"/>
      <c r="L24" s="11602" t="n"/>
      <c r="M24" s="1218" t="n"/>
      <c r="N24" s="2373" t="n"/>
      <c r="O24" s="7862" t="inlineStr">
        <is>
          <t>(IV)</t>
        </is>
      </c>
      <c r="P24" s="7636" t="n"/>
      <c r="Q24" s="384" t="n"/>
      <c r="R24" s="7865" t="inlineStr">
        <is>
          <t xml:space="preserve"> Line 2a</t>
        </is>
      </c>
      <c r="S24" s="11602" t="n"/>
      <c r="T24" s="11602" t="n"/>
      <c r="U24" s="11602" t="n"/>
      <c r="V24" s="11602" t="n"/>
      <c r="W24" s="11602" t="n"/>
      <c r="X24" s="1401" t="inlineStr">
        <is>
          <t xml:space="preserve">.   .   .   .   .   .   .   .   .  </t>
        </is>
      </c>
      <c r="Y24" s="5372" t="inlineStr">
        <is>
          <t>1e</t>
        </is>
      </c>
      <c r="Z24" s="11728" t="n"/>
      <c r="AA24" s="11717" t="n"/>
      <c r="AB24" s="11718" t="n"/>
      <c r="AC24" s="5371" t="n"/>
      <c r="AD24" s="2332" t="n"/>
      <c r="AE24" s="514" t="n"/>
      <c r="AF24" s="514" t="n"/>
      <c r="AG24" s="514" t="n"/>
      <c r="AH24" s="514" t="n"/>
      <c r="AI24" s="1277" t="n"/>
      <c r="AJ24" s="11602" t="n"/>
      <c r="AK24" s="2875" t="n"/>
      <c r="AL24" s="2875" t="n"/>
      <c r="AM24" s="7301" t="n"/>
      <c r="AO24">
        <f>IF(Z24="",0,1)</f>
        <v/>
      </c>
      <c r="AQ24" s="11704" t="n"/>
      <c r="AR24" s="658" t="n"/>
      <c r="AS24" s="658" t="n"/>
      <c r="AT24" s="658" t="n"/>
      <c r="AU24" s="658" t="n"/>
      <c r="AV24" s="658" t="n"/>
      <c r="AW24" s="658" t="n"/>
      <c r="AX24" s="658" t="n"/>
      <c r="AY24" s="658" t="n"/>
      <c r="AZ24" s="658" t="n"/>
      <c r="BA24" s="658" t="n"/>
    </row>
    <row r="25" ht="8.25" customHeight="1" s="7635">
      <c r="A25" s="1277" t="n"/>
      <c r="B25" s="11602" t="n"/>
      <c r="C25" s="8439" t="n"/>
      <c r="D25" s="514" t="n"/>
      <c r="E25" s="8650" t="n"/>
      <c r="F25" s="11602" t="n"/>
      <c r="G25" s="11602" t="n"/>
      <c r="H25" s="11602" t="n"/>
      <c r="I25" s="11602" t="n"/>
      <c r="J25" s="11602" t="n"/>
      <c r="K25" s="11602" t="n"/>
      <c r="L25" s="11602" t="n"/>
      <c r="M25" s="11602" t="n"/>
      <c r="N25" s="11602" t="n"/>
      <c r="O25" s="11602" t="n"/>
      <c r="P25" s="11602" t="n"/>
      <c r="Q25" s="11602" t="n"/>
      <c r="R25" s="11602" t="n"/>
      <c r="S25" s="11602" t="n"/>
      <c r="T25" s="11602" t="n"/>
      <c r="U25" s="11602" t="n"/>
      <c r="V25" s="11602" t="n"/>
      <c r="W25" s="1218" t="n"/>
      <c r="X25" s="2373" t="n"/>
      <c r="Y25" s="726" t="n"/>
      <c r="Z25" s="5380" t="n"/>
      <c r="AA25" s="4016" t="n"/>
      <c r="AB25" s="5381" t="n"/>
      <c r="AC25" s="5371" t="n"/>
      <c r="AD25" s="2332" t="n"/>
      <c r="AE25" s="514" t="n"/>
      <c r="AF25" s="514" t="n"/>
      <c r="AG25" s="514" t="n"/>
      <c r="AH25" s="514" t="n"/>
      <c r="AI25" s="1277" t="n"/>
      <c r="AJ25" s="11602" t="n"/>
      <c r="AK25" s="2875" t="n"/>
      <c r="AL25" s="2875" t="n"/>
      <c r="AM25" s="7301" t="n"/>
      <c r="AQ25" s="11704" t="n"/>
      <c r="AR25" s="658" t="n"/>
      <c r="AS25" s="658" t="n"/>
      <c r="AT25" s="658" t="n"/>
      <c r="AU25" s="658" t="n"/>
      <c r="AV25" s="658" t="n"/>
      <c r="AW25" s="658" t="n"/>
      <c r="AX25" s="658" t="n"/>
      <c r="AY25" s="658" t="n"/>
      <c r="AZ25" s="658" t="n"/>
      <c r="BA25" s="658" t="n"/>
    </row>
    <row r="26" ht="18.75" customHeight="1" s="7635">
      <c r="A26" s="1277" t="n"/>
      <c r="B26" s="11602" t="n"/>
      <c r="C26" s="8439" t="n"/>
      <c r="D26" s="514" t="inlineStr">
        <is>
          <t>f</t>
        </is>
      </c>
      <c r="E26" s="7869" t="inlineStr">
        <is>
          <t>20% EP from Form 4255. Check applicable box and enter amount. See</t>
        </is>
      </c>
      <c r="X26" s="7636" t="n"/>
      <c r="Y26" s="5375" t="n"/>
      <c r="Z26" s="5376" t="n"/>
      <c r="AA26" s="5373" t="n"/>
      <c r="AB26" s="5377" t="n"/>
      <c r="AC26" s="5371" t="n"/>
      <c r="AD26" s="2332" t="n"/>
      <c r="AE26" s="514" t="n"/>
      <c r="AF26" s="514" t="n"/>
      <c r="AG26" s="514" t="n"/>
      <c r="AH26" s="514" t="n"/>
      <c r="AI26" s="1277" t="n"/>
      <c r="AJ26" s="11602" t="n"/>
      <c r="AK26" s="2875" t="n"/>
      <c r="AL26" s="2875" t="n"/>
      <c r="AM26" s="7301" t="n"/>
      <c r="AQ26" s="11704" t="n"/>
      <c r="AR26" s="658" t="n"/>
      <c r="AS26" s="658" t="n"/>
      <c r="AT26" s="658" t="n"/>
      <c r="AU26" s="658" t="n"/>
      <c r="AV26" s="658" t="n"/>
      <c r="AW26" s="658" t="n"/>
      <c r="AX26" s="658" t="n"/>
      <c r="AY26" s="658" t="n"/>
      <c r="AZ26" s="658" t="n"/>
      <c r="BA26" s="658" t="n"/>
    </row>
    <row r="27" ht="18.75" customHeight="1" s="7635">
      <c r="A27" s="1277" t="n"/>
      <c r="B27" s="11602" t="n"/>
      <c r="C27" s="8439" t="n"/>
      <c r="D27" s="514" t="n"/>
      <c r="E27" s="7872" t="inlineStr">
        <is>
          <t>instructions.</t>
        </is>
      </c>
      <c r="I27" s="5373" t="n"/>
      <c r="J27" s="5373" t="n"/>
      <c r="K27" s="5373" t="n"/>
      <c r="L27" s="5373" t="n"/>
      <c r="M27" s="5373" t="n"/>
      <c r="N27" s="5373" t="n"/>
      <c r="O27" s="5373" t="n"/>
      <c r="P27" s="5373" t="n"/>
      <c r="Q27" s="5373" t="n"/>
      <c r="R27" s="5373" t="n"/>
      <c r="S27" s="5373" t="n"/>
      <c r="T27" s="5373" t="n"/>
      <c r="U27" s="5373" t="n"/>
      <c r="V27" s="5373" t="n"/>
      <c r="W27" s="5373" t="n"/>
      <c r="X27" s="5373" t="n"/>
      <c r="Y27" s="5375" t="n"/>
      <c r="Z27" s="5376" t="n"/>
      <c r="AA27" s="5373" t="n"/>
      <c r="AB27" s="5377" t="n"/>
      <c r="AC27" s="5371" t="n"/>
      <c r="AD27" s="2332" t="n"/>
      <c r="AE27" s="514" t="n"/>
      <c r="AF27" s="514" t="n"/>
      <c r="AG27" s="514" t="n"/>
      <c r="AH27" s="514" t="n"/>
      <c r="AI27" s="1277" t="n"/>
      <c r="AJ27" s="11602" t="n"/>
      <c r="AK27" s="2875" t="n"/>
      <c r="AL27" s="2875" t="n"/>
      <c r="AM27" s="7301" t="n"/>
      <c r="AQ27" s="11704" t="n"/>
      <c r="AR27" s="658" t="n"/>
      <c r="AS27" s="658" t="n"/>
      <c r="AT27" s="658" t="n"/>
      <c r="AU27" s="658" t="n"/>
      <c r="AV27" s="658" t="n"/>
      <c r="AW27" s="658" t="n"/>
      <c r="AX27" s="658" t="n"/>
      <c r="AY27" s="658" t="n"/>
      <c r="AZ27" s="658" t="n"/>
      <c r="BA27" s="658" t="n"/>
    </row>
    <row r="28" ht="13.5" customHeight="1" s="7635">
      <c r="A28" s="1277" t="n"/>
      <c r="B28" s="11602" t="n"/>
      <c r="C28" s="8439" t="n"/>
      <c r="D28" s="514" t="n"/>
      <c r="E28" s="5378" t="inlineStr">
        <is>
          <t>(I)</t>
        </is>
      </c>
      <c r="F28" s="384" t="n"/>
      <c r="G28" s="7865" t="inlineStr">
        <is>
          <t xml:space="preserve"> Line 1a</t>
        </is>
      </c>
      <c r="H28" s="11602" t="n"/>
      <c r="I28" s="11602" t="n"/>
      <c r="J28" s="11602" t="n"/>
      <c r="K28" s="11602" t="n"/>
      <c r="L28" s="11602" t="n"/>
      <c r="M28" s="1218" t="n"/>
      <c r="N28" s="2373" t="n"/>
      <c r="O28" s="7862" t="inlineStr">
        <is>
          <t>(II)</t>
        </is>
      </c>
      <c r="P28" s="7636" t="n"/>
      <c r="Q28" s="384" t="n"/>
      <c r="R28" s="7865" t="inlineStr">
        <is>
          <t xml:space="preserve"> Line 1c</t>
        </is>
      </c>
      <c r="S28" s="11602" t="n"/>
      <c r="T28" s="11602" t="n"/>
      <c r="U28" s="11602" t="n"/>
      <c r="V28" s="11602" t="n"/>
      <c r="W28" s="11602" t="n"/>
      <c r="X28" s="11602" t="n"/>
      <c r="Y28" s="726" t="n"/>
      <c r="Z28" s="5379" t="n"/>
      <c r="AA28" s="1401" t="n"/>
      <c r="AB28" s="1657" t="n"/>
      <c r="AC28" s="5371" t="n"/>
      <c r="AD28" s="2332" t="n"/>
      <c r="AE28" s="514" t="n"/>
      <c r="AF28" s="514" t="n"/>
      <c r="AG28" s="514" t="n"/>
      <c r="AH28" s="514" t="n"/>
      <c r="AI28" s="1277" t="n"/>
      <c r="AJ28" s="11602" t="n"/>
      <c r="AK28" s="2875" t="n"/>
      <c r="AL28" s="2875" t="n"/>
      <c r="AM28" s="7301" t="n"/>
      <c r="AQ28" s="11704" t="n"/>
      <c r="AR28" s="658" t="n"/>
      <c r="AS28" s="658" t="n"/>
      <c r="AT28" s="658" t="n"/>
      <c r="AU28" s="658" t="n"/>
      <c r="AV28" s="658" t="n"/>
      <c r="AW28" s="658" t="n"/>
      <c r="AX28" s="658" t="n"/>
      <c r="AY28" s="658" t="n"/>
      <c r="AZ28" s="658" t="n"/>
      <c r="BA28" s="658" t="n"/>
    </row>
    <row r="29" ht="8.25" customHeight="1" s="7635">
      <c r="A29" s="1277" t="n"/>
      <c r="B29" s="11602" t="n"/>
      <c r="C29" s="8439" t="n"/>
      <c r="D29" s="514" t="n"/>
      <c r="E29" s="8650" t="n"/>
      <c r="F29" s="11602" t="n"/>
      <c r="G29" s="11602" t="n"/>
      <c r="H29" s="11602" t="n"/>
      <c r="I29" s="11602" t="n"/>
      <c r="J29" s="11602" t="n"/>
      <c r="K29" s="11602" t="n"/>
      <c r="L29" s="11602" t="n"/>
      <c r="M29" s="11602" t="n"/>
      <c r="N29" s="11602" t="n"/>
      <c r="O29" s="11602" t="n"/>
      <c r="P29" s="11602" t="n"/>
      <c r="Q29" s="11602" t="n"/>
      <c r="R29" s="11602" t="n"/>
      <c r="S29" s="11602" t="n"/>
      <c r="T29" s="11602" t="n"/>
      <c r="U29" s="11602" t="n"/>
      <c r="V29" s="11602" t="n"/>
      <c r="W29" s="1218" t="n"/>
      <c r="X29" s="2373" t="n"/>
      <c r="Y29" s="726" t="n"/>
      <c r="Z29" s="11201" t="n"/>
      <c r="AA29" s="194" t="n"/>
      <c r="AB29" s="11726" t="n"/>
      <c r="AC29" s="5371" t="n"/>
      <c r="AD29" s="2332" t="n"/>
      <c r="AE29" s="514" t="n"/>
      <c r="AF29" s="514" t="n"/>
      <c r="AG29" s="514" t="n"/>
      <c r="AH29" s="514" t="n"/>
      <c r="AI29" s="1277" t="n"/>
      <c r="AJ29" s="11602" t="n"/>
      <c r="AK29" s="2875" t="n"/>
      <c r="AL29" s="2875" t="n"/>
      <c r="AM29" s="7301" t="n"/>
      <c r="AQ29" s="11704" t="n"/>
      <c r="AR29" s="658" t="n"/>
      <c r="AS29" s="658" t="n"/>
      <c r="AT29" s="658" t="n"/>
      <c r="AU29" s="658" t="n"/>
      <c r="AV29" s="658" t="n"/>
      <c r="AW29" s="658" t="n"/>
      <c r="AX29" s="658" t="n"/>
      <c r="AY29" s="658" t="n"/>
      <c r="AZ29" s="658" t="n"/>
      <c r="BA29" s="658" t="n"/>
    </row>
    <row r="30" ht="13.5" customHeight="1" s="7635">
      <c r="A30" s="1277" t="n"/>
      <c r="B30" s="11602" t="n"/>
      <c r="C30" s="8439" t="n"/>
      <c r="D30" s="514" t="n"/>
      <c r="E30" s="5378" t="inlineStr">
        <is>
          <t>(III)</t>
        </is>
      </c>
      <c r="F30" s="384" t="n"/>
      <c r="G30" s="7865" t="inlineStr">
        <is>
          <t xml:space="preserve"> Line 1d</t>
        </is>
      </c>
      <c r="H30" s="11602" t="n"/>
      <c r="I30" s="11602" t="n"/>
      <c r="J30" s="11602" t="n"/>
      <c r="K30" s="11602" t="n"/>
      <c r="L30" s="11602" t="n"/>
      <c r="M30" s="1218" t="n"/>
      <c r="N30" s="2373" t="n"/>
      <c r="O30" s="7862" t="inlineStr">
        <is>
          <t>(IV)</t>
        </is>
      </c>
      <c r="P30" s="7636" t="n"/>
      <c r="Q30" s="384" t="n"/>
      <c r="R30" s="7865" t="inlineStr">
        <is>
          <t xml:space="preserve"> Line 2a</t>
        </is>
      </c>
      <c r="S30" s="11602" t="n"/>
      <c r="T30" s="11602" t="n"/>
      <c r="U30" s="11602" t="n"/>
      <c r="V30" s="11602" t="n"/>
      <c r="W30" s="11602" t="n"/>
      <c r="X30" s="1401" t="inlineStr">
        <is>
          <t xml:space="preserve">.   .   .   .   .   .   .   .   .  </t>
        </is>
      </c>
      <c r="Y30" s="5372" t="inlineStr">
        <is>
          <t>1f</t>
        </is>
      </c>
      <c r="Z30" s="11728" t="n"/>
      <c r="AA30" s="11717" t="n"/>
      <c r="AB30" s="11718" t="n"/>
      <c r="AC30" s="5371" t="n"/>
      <c r="AD30" s="2332" t="n"/>
      <c r="AE30" s="514" t="n"/>
      <c r="AF30" s="514" t="n"/>
      <c r="AG30" s="514" t="n"/>
      <c r="AH30" s="514" t="n"/>
      <c r="AI30" s="1277" t="n"/>
      <c r="AJ30" s="11602" t="n"/>
      <c r="AK30" s="2875" t="n"/>
      <c r="AL30" s="2875" t="n"/>
      <c r="AM30" s="7301" t="n"/>
      <c r="AO30">
        <f>IF(Z30="",0,1)</f>
        <v/>
      </c>
      <c r="AQ30" s="11704" t="n"/>
      <c r="AR30" s="658" t="n"/>
      <c r="AS30" s="658" t="n"/>
      <c r="AT30" s="658" t="n"/>
      <c r="AU30" s="658" t="n"/>
      <c r="AV30" s="658" t="n"/>
      <c r="AW30" s="658" t="n"/>
      <c r="AX30" s="658" t="n"/>
      <c r="AY30" s="658" t="n"/>
      <c r="AZ30" s="658" t="n"/>
      <c r="BA30" s="658" t="n"/>
    </row>
    <row r="31" ht="8.25" customHeight="1" s="7635">
      <c r="A31" s="1277" t="n"/>
      <c r="B31" s="11602" t="n"/>
      <c r="C31" s="8439" t="n"/>
      <c r="D31" s="514" t="n"/>
      <c r="E31" s="7871" t="n"/>
      <c r="F31" s="11602" t="n"/>
      <c r="G31" s="11602" t="n"/>
      <c r="H31" s="11602" t="n"/>
      <c r="I31" s="11602" t="n"/>
      <c r="J31" s="11602" t="n"/>
      <c r="K31" s="11602" t="n"/>
      <c r="L31" s="11602" t="n"/>
      <c r="M31" s="11602" t="n"/>
      <c r="N31" s="11602" t="n"/>
      <c r="O31" s="11602" t="n"/>
      <c r="P31" s="11602" t="n"/>
      <c r="Q31" s="11602" t="n"/>
      <c r="R31" s="11602" t="n"/>
      <c r="S31" s="11602" t="n"/>
      <c r="T31" s="11602" t="n"/>
      <c r="U31" s="11602" t="n"/>
      <c r="V31" s="11602" t="n"/>
      <c r="W31" s="1218" t="n"/>
      <c r="X31" s="2373" t="n"/>
      <c r="Y31" s="726" t="n"/>
      <c r="Z31" s="1401" t="n"/>
      <c r="AA31" s="1401" t="n"/>
      <c r="AB31" s="1401" t="n"/>
      <c r="AC31" s="5371" t="n"/>
      <c r="AD31" s="1803" t="n"/>
      <c r="AE31" s="1804" t="n"/>
      <c r="AF31" s="1804" t="n"/>
      <c r="AG31" s="1804" t="n"/>
      <c r="AH31" s="1804" t="n"/>
      <c r="AI31" s="1277" t="n"/>
      <c r="AJ31" s="11602" t="n"/>
      <c r="AK31" s="2875" t="n"/>
      <c r="AL31" s="2875" t="n"/>
      <c r="AM31" s="7301" t="n"/>
      <c r="AQ31" s="11704" t="n"/>
      <c r="AR31" s="658" t="n"/>
      <c r="AS31" s="658" t="n"/>
      <c r="AT31" s="658" t="n"/>
      <c r="AU31" s="658" t="n"/>
      <c r="AV31" s="658" t="n"/>
      <c r="AW31" s="658" t="n"/>
      <c r="AX31" s="658" t="n"/>
      <c r="AY31" s="658" t="n"/>
      <c r="AZ31" s="658" t="n"/>
      <c r="BA31" s="658" t="n"/>
    </row>
    <row r="32" ht="21" customHeight="1" s="7635">
      <c r="A32" s="1277" t="n"/>
      <c r="B32" s="11602" t="n"/>
      <c r="C32" s="8439" t="n"/>
      <c r="D32" s="514" t="inlineStr">
        <is>
          <t>y</t>
        </is>
      </c>
      <c r="E32" s="7772" t="inlineStr">
        <is>
          <t>Other additions to tax (see instructions):</t>
        </is>
      </c>
      <c r="F32" s="11602" t="n"/>
      <c r="G32" s="11602" t="n"/>
      <c r="H32" s="11602" t="n"/>
      <c r="I32" s="11602" t="n"/>
      <c r="J32" s="11602" t="n"/>
      <c r="K32" s="11602" t="n"/>
      <c r="L32" s="11602" t="n"/>
      <c r="M32" s="11602" t="n"/>
      <c r="N32" s="11602" t="n"/>
      <c r="O32" s="11602" t="n"/>
      <c r="P32" s="11602" t="n"/>
      <c r="Q32" s="7860" t="n"/>
      <c r="R32" s="11717" t="n"/>
      <c r="S32" s="11717" t="n"/>
      <c r="T32" s="11717" t="n"/>
      <c r="U32" s="11717" t="n"/>
      <c r="V32" s="11717" t="n"/>
      <c r="W32" s="11717" t="n"/>
      <c r="X32" s="11602" t="n"/>
      <c r="Y32" s="5372" t="inlineStr">
        <is>
          <t>1y</t>
        </is>
      </c>
      <c r="Z32" s="11201" t="n"/>
      <c r="AA32" s="11717" t="n"/>
      <c r="AB32" s="11718" t="n"/>
      <c r="AC32" s="5371" t="n"/>
      <c r="AD32" s="2332" t="n"/>
      <c r="AE32" s="514" t="n"/>
      <c r="AF32" s="514" t="n"/>
      <c r="AG32" s="514" t="n"/>
      <c r="AH32" s="514" t="n"/>
      <c r="AI32" s="1277" t="n"/>
      <c r="AJ32" s="11602" t="n"/>
      <c r="AK32" s="2875" t="n"/>
      <c r="AL32" s="2875" t="n"/>
      <c r="AM32" s="7301" t="n"/>
      <c r="AO32">
        <f>IF(Z32="",0,1)</f>
        <v/>
      </c>
      <c r="AQ32" s="11704" t="n"/>
      <c r="AR32" s="658" t="n"/>
      <c r="AS32" s="658" t="n"/>
      <c r="AT32" s="658" t="n"/>
      <c r="AU32" s="658" t="n"/>
      <c r="AV32" s="658" t="n"/>
      <c r="AW32" s="658" t="n"/>
      <c r="AX32" s="658" t="n"/>
      <c r="AY32" s="658" t="n"/>
      <c r="AZ32" s="658" t="n"/>
      <c r="BA32" s="658" t="n"/>
    </row>
    <row r="33" ht="21" customHeight="1" s="7635">
      <c r="A33" s="1277" t="n"/>
      <c r="B33" s="11602" t="n"/>
      <c r="C33" s="8439" t="n"/>
      <c r="D33" s="514" t="inlineStr">
        <is>
          <t>z</t>
        </is>
      </c>
      <c r="E33" s="7772" t="inlineStr">
        <is>
          <t>Add lines 1a through 1y</t>
        </is>
      </c>
      <c r="F33" s="11602" t="n"/>
      <c r="G33" s="11602" t="n"/>
      <c r="H33" s="11602" t="n"/>
      <c r="I33" s="11602" t="n"/>
      <c r="J33" s="11602" t="n"/>
      <c r="K33" s="11602" t="n"/>
      <c r="L33" s="11602" t="n"/>
      <c r="M33" s="11602" t="n"/>
      <c r="N33" s="11602" t="n"/>
      <c r="O33" s="11602" t="n"/>
      <c r="P33" s="11602" t="n"/>
      <c r="Q33" s="11602" t="n"/>
      <c r="R33" s="11602" t="n"/>
      <c r="S33" s="11602" t="n"/>
      <c r="T33" s="11602" t="n"/>
      <c r="U33" s="11602" t="n"/>
      <c r="V33" s="11602" t="n"/>
      <c r="W33" s="1218" t="n"/>
      <c r="X33" s="2373" t="n"/>
      <c r="Y33" s="11602" t="n"/>
      <c r="Z33" s="1401" t="n"/>
      <c r="AA33" s="1401" t="n"/>
      <c r="AB33" s="1401" t="inlineStr">
        <is>
          <t xml:space="preserve">.   .   .   .   .   .   .   .   .   .   .   .   .   .   .   .   .   .   .   .   .   .   .   .   .   .   .   .   .   .  </t>
        </is>
      </c>
      <c r="AC33" s="5382" t="inlineStr">
        <is>
          <t>1z</t>
        </is>
      </c>
      <c r="AD33" s="7595">
        <f>IF(AK33&lt;&gt;"",ROUND(AK33,0),IF(AO33&gt;0,SUM(PTC_ExcessAdv,Z15,Z18,Z19,Z23,Z29,Z32),""))</f>
        <v/>
      </c>
      <c r="AE33" s="7637" t="n"/>
      <c r="AF33" s="7637" t="n"/>
      <c r="AG33" s="7637" t="n"/>
      <c r="AH33" s="7637" t="n"/>
      <c r="AI33" s="1277" t="n"/>
      <c r="AJ33" s="11602" t="n"/>
      <c r="AK33" s="1329" t="n"/>
      <c r="AL33" s="2875" t="n"/>
      <c r="AM33" s="7301" t="n"/>
      <c r="AO33">
        <f>SUM(AO12:AO32)</f>
        <v/>
      </c>
      <c r="AQ33" s="11704" t="n"/>
      <c r="AR33" s="658" t="n"/>
      <c r="AS33" s="658" t="n"/>
      <c r="AT33" s="658" t="n"/>
      <c r="AU33" s="658" t="n"/>
      <c r="AV33" s="658" t="n"/>
      <c r="AW33" s="658" t="n"/>
      <c r="AX33" s="658" t="n"/>
      <c r="AY33" s="658" t="n"/>
      <c r="AZ33" s="658" t="n"/>
      <c r="BA33" s="658" t="n"/>
    </row>
    <row r="34" ht="18.75" customHeight="1" s="7635">
      <c r="A34" s="1277" t="n"/>
      <c r="B34" s="11602" t="n"/>
      <c r="C34" s="7642" t="n">
        <v>2</v>
      </c>
      <c r="D34" s="810" t="n"/>
      <c r="E34" s="7772" t="inlineStr">
        <is>
          <t>Alternative minimum tax.  Attach Form 6251</t>
        </is>
      </c>
      <c r="F34" s="11602" t="n"/>
      <c r="G34" s="11602" t="n"/>
      <c r="H34" s="11602" t="n"/>
      <c r="I34" s="11602" t="n"/>
      <c r="J34" s="11602" t="n"/>
      <c r="K34" s="11602" t="n"/>
      <c r="L34" s="11602" t="n"/>
      <c r="M34" s="11602" t="n"/>
      <c r="N34" s="11602" t="n"/>
      <c r="O34" s="11602" t="n"/>
      <c r="P34" s="11602" t="n"/>
      <c r="Q34" s="11602" t="n"/>
      <c r="R34" s="11602" t="n"/>
      <c r="S34" s="11602" t="n"/>
      <c r="T34" s="11602" t="n"/>
      <c r="U34" s="11602" t="n"/>
      <c r="V34" s="11602" t="n"/>
      <c r="W34" s="1218" t="n"/>
      <c r="X34" s="2373" t="n"/>
      <c r="Y34" s="11602" t="n"/>
      <c r="Z34" s="1401" t="n"/>
      <c r="AA34" s="1401" t="n"/>
      <c r="AB34" s="1401" t="inlineStr">
        <is>
          <t xml:space="preserve">.   .   .   .   .   .   .   .   .   .   .   .   .   .   .   .   .   .   .   .   .  </t>
        </is>
      </c>
      <c r="AC34" s="5383" t="n">
        <v>2</v>
      </c>
      <c r="AD34" s="7572">
        <f>IF(AK34&lt;&gt;"",ROUND(AK34,0),IF(OR(NOT(F6251_Needed),FilingStatusError),"",AMT))</f>
        <v/>
      </c>
      <c r="AE34" s="8412" t="n"/>
      <c r="AF34" s="8412" t="n"/>
      <c r="AG34" s="8412" t="n"/>
      <c r="AH34" s="8412" t="n"/>
      <c r="AI34" s="1277" t="n"/>
      <c r="AJ34" s="11602" t="n"/>
      <c r="AK34" s="1329" t="n"/>
      <c r="AL34" s="2875" t="n"/>
      <c r="AM34" s="7301" t="inlineStr">
        <is>
          <t>Form 6251, Line 11</t>
        </is>
      </c>
      <c r="AQ34" s="11704" t="n"/>
      <c r="AR34" s="658" t="n"/>
      <c r="AS34" s="658" t="n"/>
      <c r="AT34" s="658" t="n"/>
      <c r="AU34" s="658" t="n"/>
      <c r="AV34" s="658" t="n"/>
      <c r="AW34" s="658" t="n"/>
      <c r="AX34" s="658" t="n"/>
      <c r="AY34" s="658" t="n"/>
      <c r="AZ34" s="658" t="n"/>
      <c r="BA34" s="658" t="n"/>
    </row>
    <row r="35" ht="18.75" customHeight="1" s="7635" thickBot="1">
      <c r="A35" s="1277" t="n"/>
      <c r="B35" s="380" t="n"/>
      <c r="C35" s="8481" t="n">
        <v>3</v>
      </c>
      <c r="D35" s="5384" t="n"/>
      <c r="E35" s="5003" t="inlineStr">
        <is>
          <t>Add lines 1z and 2. Enter here and on Form 1040, 1040-SR, or 1040-NR, line 17</t>
        </is>
      </c>
      <c r="F35" s="380" t="n"/>
      <c r="G35" s="380" t="n"/>
      <c r="H35" s="380" t="n"/>
      <c r="I35" s="380" t="n"/>
      <c r="J35" s="380" t="n"/>
      <c r="K35" s="380" t="n"/>
      <c r="L35" s="380" t="n"/>
      <c r="M35" s="380" t="n"/>
      <c r="N35" s="380" t="n"/>
      <c r="O35" s="380" t="n"/>
      <c r="P35" s="380" t="n"/>
      <c r="Q35" s="380" t="n"/>
      <c r="R35" s="380" t="n"/>
      <c r="S35" s="380" t="n"/>
      <c r="T35" s="380" t="n"/>
      <c r="U35" s="380" t="n"/>
      <c r="V35" s="380" t="n"/>
      <c r="W35" s="5385" t="n"/>
      <c r="X35" s="5386" t="n"/>
      <c r="Y35" s="380" t="n"/>
      <c r="Z35" s="10735" t="n"/>
      <c r="AA35" s="10735" t="n"/>
      <c r="AB35" s="10735" t="inlineStr">
        <is>
          <t xml:space="preserve">.   .   .   .   .   .  </t>
        </is>
      </c>
      <c r="AC35" s="5387" t="n">
        <v>3</v>
      </c>
      <c r="AD35" s="7876">
        <f>IF(AK35&lt;&gt;"",ROUND(AK35,0),IF(SUM(AD33,AD34)&gt;0,SUM(AD33,AD34),""))</f>
        <v/>
      </c>
      <c r="AE35" s="8848" t="n"/>
      <c r="AF35" s="8848" t="n"/>
      <c r="AG35" s="8848" t="n"/>
      <c r="AH35" s="8848" t="n"/>
      <c r="AI35" s="1277" t="n"/>
      <c r="AJ35" s="11602" t="n"/>
      <c r="AK35" s="1329" t="n"/>
      <c r="AL35" s="2875" t="n"/>
      <c r="AQ35" s="11704" t="n"/>
      <c r="AR35" s="658" t="n"/>
      <c r="AS35" s="658" t="n"/>
      <c r="AT35" s="658" t="n"/>
      <c r="AU35" s="658" t="n"/>
      <c r="AV35" s="658" t="n"/>
      <c r="AW35" s="658" t="n"/>
      <c r="AX35" s="658" t="n"/>
      <c r="AY35" s="658" t="n"/>
      <c r="AZ35" s="658" t="n"/>
      <c r="BA35" s="658" t="n"/>
    </row>
    <row r="36" ht="22.5" customHeight="1" s="7635">
      <c r="A36" s="1277" t="n"/>
      <c r="B36" s="7904" t="inlineStr">
        <is>
          <t>Part II</t>
        </is>
      </c>
      <c r="C36" s="2506" t="n"/>
      <c r="D36" s="2506" t="n"/>
      <c r="E36" s="2009" t="n"/>
      <c r="F36" s="5388" t="inlineStr">
        <is>
          <t>Other Taxes</t>
        </is>
      </c>
      <c r="G36" s="2009" t="n"/>
      <c r="H36" s="2009" t="n"/>
      <c r="I36" s="2009" t="n"/>
      <c r="J36" s="2009" t="n"/>
      <c r="K36" s="2009" t="n"/>
      <c r="L36" s="413" t="n"/>
      <c r="M36" s="413" t="n"/>
      <c r="N36" s="413" t="n"/>
      <c r="O36" s="413" t="n"/>
      <c r="P36" s="413" t="n"/>
      <c r="Q36" s="413" t="n"/>
      <c r="R36" s="413" t="n"/>
      <c r="S36" s="413" t="n"/>
      <c r="T36" s="413" t="n"/>
      <c r="U36" s="413" t="n"/>
      <c r="V36" s="413" t="n"/>
      <c r="W36" s="413" t="n"/>
      <c r="X36" s="413" t="n"/>
      <c r="Y36" s="413" t="n"/>
      <c r="Z36" s="413" t="n"/>
      <c r="AA36" s="413" t="n"/>
      <c r="AB36" s="413" t="n"/>
      <c r="AC36" s="413" t="n"/>
      <c r="AD36" s="413" t="n"/>
      <c r="AE36" s="413" t="n"/>
      <c r="AF36" s="413" t="n"/>
      <c r="AG36" s="413" t="n"/>
      <c r="AH36" s="413" t="n"/>
      <c r="AI36" s="1277" t="n"/>
      <c r="AJ36" s="11602" t="n"/>
      <c r="AK36" s="2875" t="n"/>
      <c r="AL36" s="2875" t="n"/>
      <c r="AQ36" s="11704" t="n"/>
      <c r="AR36" s="658" t="n"/>
      <c r="AS36" s="658" t="n"/>
      <c r="AT36" s="658" t="n"/>
      <c r="AU36" s="658" t="n"/>
      <c r="AV36" s="658" t="n"/>
      <c r="AW36" s="658" t="n"/>
      <c r="AX36" s="658" t="n"/>
      <c r="AY36" s="658" t="n"/>
      <c r="AZ36" s="658" t="n"/>
      <c r="BA36" s="658" t="n"/>
    </row>
    <row r="37" ht="21" customFormat="1" customHeight="1" s="9864">
      <c r="A37" s="2113" t="n"/>
      <c r="B37" s="411" t="n"/>
      <c r="C37" s="7788" t="n">
        <v>4</v>
      </c>
      <c r="D37" s="1856" t="n"/>
      <c r="E37" s="1672" t="inlineStr">
        <is>
          <t>Self-employment tax. Attach Schedule SE. Check if any exemption from (see instructions):</t>
        </is>
      </c>
      <c r="F37" s="411" t="n"/>
      <c r="G37" s="411" t="n"/>
      <c r="H37" s="411" t="n"/>
      <c r="I37" s="411" t="n"/>
      <c r="J37" s="411" t="n"/>
      <c r="K37" s="411" t="n"/>
      <c r="L37" s="411" t="n"/>
      <c r="M37" s="411" t="n"/>
      <c r="N37" s="411" t="n"/>
      <c r="O37" s="411" t="n"/>
      <c r="P37" s="411" t="n"/>
      <c r="Q37" s="411" t="n"/>
      <c r="R37" s="411" t="n"/>
      <c r="S37" s="411" t="n"/>
      <c r="T37" s="411" t="n"/>
      <c r="U37" s="411" t="n"/>
      <c r="V37" s="411" t="n"/>
      <c r="W37" s="2162" t="n"/>
      <c r="X37" s="2197" t="n"/>
      <c r="Y37" s="411" t="n"/>
      <c r="Z37" s="1321" t="n"/>
      <c r="AA37" s="1321" t="n"/>
      <c r="AB37" s="1321" t="n"/>
      <c r="AC37" s="5593" t="n"/>
      <c r="AD37" s="5594" t="n"/>
      <c r="AE37" s="2311" t="n"/>
      <c r="AF37" s="2311" t="n"/>
      <c r="AG37" s="2311" t="n"/>
      <c r="AH37" s="2311" t="n"/>
      <c r="AI37" s="2113" t="n"/>
      <c r="AJ37" s="411" t="n"/>
      <c r="AK37" s="4064" t="n"/>
      <c r="AL37" s="4064" t="n"/>
      <c r="AM37" s="3784" t="n"/>
      <c r="AO37" s="5595" t="n"/>
      <c r="AQ37" s="11704" t="n"/>
      <c r="AR37" s="658" t="n"/>
      <c r="AS37" s="658" t="n"/>
      <c r="AT37" s="658" t="n"/>
      <c r="AU37" s="658" t="n"/>
      <c r="AV37" s="658" t="n"/>
      <c r="AW37" s="665" t="n"/>
      <c r="AX37" s="665" t="n"/>
      <c r="AY37" s="665" t="n"/>
      <c r="AZ37" s="665" t="n"/>
      <c r="BA37" s="665" t="n"/>
    </row>
    <row r="38" ht="15" customHeight="1" s="7635">
      <c r="A38" s="1277" t="n"/>
      <c r="B38" s="11602" t="n"/>
      <c r="C38" s="7642" t="n"/>
      <c r="D38" s="810" t="n"/>
      <c r="E38" s="7899" t="n">
        <v>1</v>
      </c>
      <c r="F38" s="384" t="n"/>
      <c r="G38" s="7870" t="n">
        <v>4361</v>
      </c>
      <c r="J38" s="7900" t="n">
        <v>2</v>
      </c>
      <c r="K38" s="7636" t="n"/>
      <c r="L38" s="384" t="n"/>
      <c r="M38" s="7870" t="n">
        <v>4029</v>
      </c>
      <c r="P38" s="7900" t="n">
        <v>3</v>
      </c>
      <c r="Q38" s="7636" t="n"/>
      <c r="R38" s="384" t="n"/>
      <c r="S38" s="5528" t="n"/>
      <c r="T38" s="7655" t="n"/>
      <c r="U38" s="11717" t="n"/>
      <c r="V38" s="11717" t="n"/>
      <c r="W38" s="2373" t="n"/>
      <c r="X38" s="11602" t="n"/>
      <c r="Y38" s="11602" t="n"/>
      <c r="Z38" s="1401" t="n"/>
      <c r="AA38" s="1401" t="n"/>
      <c r="AB38" s="1401" t="inlineStr">
        <is>
          <t xml:space="preserve">.   .   .   .   .   .   .   .   .   .   .  </t>
        </is>
      </c>
      <c r="AC38" s="2895" t="n">
        <v>4</v>
      </c>
      <c r="AD38" s="7608">
        <f>IF(AK38&lt;&gt;"",ROUND(AK38,0),SchSE_Tax)</f>
        <v/>
      </c>
      <c r="AE38" s="7637" t="n"/>
      <c r="AF38" s="7637" t="n"/>
      <c r="AG38" s="7637" t="n"/>
      <c r="AH38" s="7637" t="n"/>
      <c r="AI38" s="1277" t="n"/>
      <c r="AJ38" s="11602" t="n"/>
      <c r="AK38" s="732" t="n"/>
      <c r="AL38" s="2875" t="n"/>
      <c r="AM38" s="7301" t="inlineStr">
        <is>
          <t>Form 1040, Sch. SE, line 12</t>
        </is>
      </c>
      <c r="AO38" s="801" t="n"/>
      <c r="AQ38" s="11704" t="n"/>
      <c r="AR38" s="658" t="n"/>
      <c r="AS38" s="658" t="n"/>
      <c r="AT38" s="658" t="n"/>
      <c r="AU38" s="658" t="n"/>
      <c r="AV38" s="658" t="n"/>
      <c r="AW38" s="658" t="n"/>
      <c r="AX38" s="658" t="n"/>
      <c r="AY38" s="658" t="n"/>
      <c r="AZ38" s="658" t="n"/>
      <c r="BA38" s="658" t="n"/>
    </row>
    <row r="39" ht="23.25" customHeight="1" s="7635">
      <c r="A39" s="1277" t="n"/>
      <c r="B39" s="11602" t="n"/>
      <c r="C39" s="7642" t="n">
        <v>5</v>
      </c>
      <c r="D39" s="810" t="n"/>
      <c r="E39" s="8650" t="inlineStr">
        <is>
          <t>Social security and Medicare tax on unreported tip income. Attach Form 4137</t>
        </is>
      </c>
      <c r="F39" s="11602" t="n"/>
      <c r="G39" s="11602" t="n"/>
      <c r="H39" s="11602" t="n"/>
      <c r="I39" s="11602" t="n"/>
      <c r="J39" s="11602" t="n"/>
      <c r="K39" s="11602" t="n"/>
      <c r="L39" s="11602" t="n"/>
      <c r="M39" s="11602" t="n"/>
      <c r="N39" s="11602" t="n"/>
      <c r="O39" s="11602" t="n"/>
      <c r="P39" s="11602" t="n"/>
      <c r="Q39" s="11602" t="n"/>
      <c r="R39" s="11602" t="n"/>
      <c r="S39" s="11602" t="n"/>
      <c r="T39" s="11602" t="n"/>
      <c r="U39" s="1401" t="n"/>
      <c r="V39" s="7914" t="n"/>
      <c r="W39" s="1806" t="n"/>
      <c r="X39" s="1805" t="n"/>
      <c r="Y39" s="5372" t="n">
        <v>5</v>
      </c>
      <c r="Z39" s="11968">
        <f>IF(AK39&lt;&gt;"",ROUND(AK39,0),IF(F4137_Line13_Total=0,"",F4137_Line13_Total))</f>
        <v/>
      </c>
      <c r="AA39" s="7637" t="n"/>
      <c r="AB39" s="7638" t="n"/>
      <c r="AC39" s="1947" t="n"/>
      <c r="AD39" s="2332" t="n"/>
      <c r="AE39" s="7772" t="n"/>
      <c r="AF39" s="7772" t="n"/>
      <c r="AG39" s="7772" t="n"/>
      <c r="AH39" s="7772" t="n"/>
      <c r="AI39" s="1277" t="n"/>
      <c r="AJ39" s="11602" t="n"/>
      <c r="AK39" s="1329" t="n"/>
      <c r="AL39" s="2875" t="n"/>
      <c r="AM39" s="801" t="n"/>
      <c r="AO39" s="801" t="n"/>
      <c r="AQ39" s="11704" t="n"/>
      <c r="AR39" s="658" t="n"/>
      <c r="AS39" s="658" t="n"/>
      <c r="AT39" s="658" t="n"/>
      <c r="AU39" s="658" t="n"/>
      <c r="AV39" s="658" t="n"/>
      <c r="AW39" s="658" t="n"/>
      <c r="AX39" s="658" t="n"/>
      <c r="AY39" s="658" t="n"/>
      <c r="AZ39" s="658" t="n"/>
      <c r="BA39" s="658" t="n"/>
    </row>
    <row r="40" ht="23.25" customHeight="1" s="7635">
      <c r="A40" s="1277" t="n"/>
      <c r="B40" s="11602" t="n"/>
      <c r="C40" s="7642" t="n">
        <v>6</v>
      </c>
      <c r="D40" s="810" t="n"/>
      <c r="E40" s="8650" t="inlineStr">
        <is>
          <t>Uncollected social security and Medicare tax on wages. Attach Form 8919</t>
        </is>
      </c>
      <c r="F40" s="11602" t="n"/>
      <c r="G40" s="11602" t="n"/>
      <c r="H40" s="11602" t="n"/>
      <c r="I40" s="11602" t="n"/>
      <c r="J40" s="11602" t="n"/>
      <c r="K40" s="11602" t="n"/>
      <c r="L40" s="11602" t="n"/>
      <c r="M40" s="11602" t="n"/>
      <c r="N40" s="11602" t="n"/>
      <c r="O40" s="11602" t="n"/>
      <c r="P40" s="11602" t="n"/>
      <c r="Q40" s="11602" t="n"/>
      <c r="R40" s="11602" t="n"/>
      <c r="S40" s="11602" t="n"/>
      <c r="T40" s="11602" t="n"/>
      <c r="U40" s="1401" t="n"/>
      <c r="V40" s="7914" t="n"/>
      <c r="W40" s="1806" t="n"/>
      <c r="X40" s="1401" t="inlineStr">
        <is>
          <t xml:space="preserve"> .   .  </t>
        </is>
      </c>
      <c r="Y40" s="5372" t="n">
        <v>6</v>
      </c>
      <c r="Z40" s="11966">
        <f>IF(AK40&lt;&gt;"",ROUND(AK40,0),IF(F8919_Line13_Both=0,"",F8919_Line13_Both))</f>
        <v/>
      </c>
      <c r="AA40" s="8412" t="n"/>
      <c r="AB40" s="11734" t="n"/>
      <c r="AC40" s="1947" t="n"/>
      <c r="AD40" s="2332" t="n"/>
      <c r="AE40" s="7772" t="n"/>
      <c r="AF40" s="7772" t="n"/>
      <c r="AG40" s="7772" t="n"/>
      <c r="AH40" s="7772" t="n"/>
      <c r="AI40" s="1277" t="n"/>
      <c r="AJ40" s="11602" t="n"/>
      <c r="AK40" s="1329" t="n"/>
      <c r="AL40" s="2875" t="n"/>
      <c r="AM40" s="801" t="n"/>
      <c r="AO40" s="801" t="n"/>
      <c r="AQ40" s="11704" t="n"/>
      <c r="AR40" s="658" t="n"/>
      <c r="AS40" s="658" t="n"/>
      <c r="AT40" s="658" t="n"/>
      <c r="AU40" s="658" t="n"/>
      <c r="AV40" s="658" t="n"/>
      <c r="AW40" s="658" t="n"/>
      <c r="AX40" s="658" t="n"/>
      <c r="AY40" s="658" t="n"/>
      <c r="AZ40" s="658" t="n"/>
      <c r="BA40" s="658" t="n"/>
    </row>
    <row r="41" ht="23.25" customHeight="1" s="7635">
      <c r="A41" s="1277" t="n"/>
      <c r="B41" s="11602" t="n"/>
      <c r="C41" s="7642" t="n">
        <v>7</v>
      </c>
      <c r="D41" s="810" t="n"/>
      <c r="E41" s="7772" t="inlineStr">
        <is>
          <t>Total additional social security and Medicare tax.  Add lines 5 and 6</t>
        </is>
      </c>
      <c r="F41" s="11602" t="n"/>
      <c r="G41" s="11602" t="n"/>
      <c r="H41" s="11602" t="n"/>
      <c r="I41" s="11602" t="n"/>
      <c r="J41" s="11602" t="n"/>
      <c r="K41" s="11602" t="n"/>
      <c r="L41" s="11602" t="n"/>
      <c r="M41" s="11602" t="n"/>
      <c r="N41" s="11602" t="n"/>
      <c r="O41" s="11602" t="n"/>
      <c r="P41" s="11602" t="n"/>
      <c r="Q41" s="11602" t="n"/>
      <c r="R41" s="11602" t="n"/>
      <c r="S41" s="11602" t="n"/>
      <c r="T41" s="11602" t="n"/>
      <c r="U41" s="11602" t="n"/>
      <c r="V41" s="11602" t="n"/>
      <c r="W41" s="1218" t="n"/>
      <c r="X41" s="2373" t="n"/>
      <c r="Y41" s="11602" t="n"/>
      <c r="Z41" s="1401" t="n"/>
      <c r="AA41" s="1401" t="n"/>
      <c r="AB41" s="1401" t="inlineStr">
        <is>
          <t xml:space="preserve">.   .   .   .   .   .   .   .   .  </t>
        </is>
      </c>
      <c r="AC41" s="2895" t="n">
        <v>7</v>
      </c>
      <c r="AD41" s="7773">
        <f>IF(AND(Z39="",Z40=""),"",SUM(Z39,Z40))</f>
        <v/>
      </c>
      <c r="AE41" s="7637" t="n"/>
      <c r="AF41" s="7637" t="n"/>
      <c r="AG41" s="7637" t="n"/>
      <c r="AH41" s="7637" t="n"/>
      <c r="AI41" s="1277" t="n"/>
      <c r="AJ41" s="11602" t="n"/>
      <c r="AK41" s="2875" t="n"/>
      <c r="AL41" s="2875" t="n"/>
      <c r="AO41" s="801">
        <f>AD41</f>
        <v/>
      </c>
      <c r="AQ41" s="11704" t="n"/>
      <c r="AR41" s="658" t="n"/>
      <c r="AS41" s="658" t="n"/>
      <c r="AT41" s="658" t="n"/>
      <c r="AU41" s="658" t="n"/>
      <c r="AV41" s="658" t="n"/>
      <c r="AW41" s="658" t="n"/>
      <c r="AX41" s="658" t="n"/>
      <c r="AY41" s="658" t="n"/>
      <c r="AZ41" s="658" t="n"/>
      <c r="BA41" s="658" t="n"/>
    </row>
    <row r="42" ht="23.25" customHeight="1" s="7635">
      <c r="A42" s="1277" t="n"/>
      <c r="B42" s="11602" t="n"/>
      <c r="C42" s="7642" t="n">
        <v>8</v>
      </c>
      <c r="D42" s="810" t="n"/>
      <c r="E42" s="7772" t="inlineStr">
        <is>
          <t>Additional tax on IRAs or other tax-favored accounts. Attach Form 5329 if required</t>
        </is>
      </c>
      <c r="F42" s="11602" t="n"/>
      <c r="G42" s="11602" t="n"/>
      <c r="H42" s="11602" t="n"/>
      <c r="I42" s="11602" t="n"/>
      <c r="J42" s="11602" t="n"/>
      <c r="K42" s="11602" t="n"/>
      <c r="L42" s="11602" t="n"/>
      <c r="M42" s="11602" t="n"/>
      <c r="N42" s="11602" t="n"/>
      <c r="O42" s="11602" t="n"/>
      <c r="P42" s="11602" t="n"/>
      <c r="Q42" s="11602" t="n"/>
      <c r="R42" s="11602" t="n"/>
      <c r="S42" s="11602" t="n"/>
      <c r="T42" s="11602" t="n"/>
      <c r="U42" s="11602" t="n"/>
      <c r="V42" s="11602" t="n"/>
      <c r="W42" s="1218" t="n"/>
      <c r="X42" s="2373" t="n"/>
      <c r="Y42" s="11602" t="n"/>
      <c r="Z42" s="1401" t="n"/>
      <c r="AA42" s="1401" t="n"/>
      <c r="AB42" s="1401" t="n"/>
      <c r="AC42" s="2898" t="n"/>
      <c r="AD42" s="7878" t="n"/>
      <c r="AE42" s="11745" t="n"/>
      <c r="AF42" s="11745" t="n"/>
      <c r="AG42" s="11745" t="n"/>
      <c r="AH42" s="11745" t="n"/>
      <c r="AI42" s="1277" t="n"/>
      <c r="AJ42" s="11602" t="n"/>
      <c r="AK42" s="2875" t="n"/>
      <c r="AL42" s="2875" t="n"/>
      <c r="AM42" s="5058" t="n"/>
      <c r="AO42" s="801" t="n"/>
      <c r="AQ42" s="11704" t="n"/>
      <c r="AR42" s="658" t="n"/>
      <c r="AS42" s="658" t="n"/>
      <c r="AT42" s="658" t="n"/>
      <c r="AU42" s="658" t="n"/>
      <c r="AV42" s="658" t="n"/>
      <c r="AW42" s="658" t="n"/>
      <c r="AX42" s="658" t="n"/>
      <c r="AY42" s="658" t="n"/>
      <c r="AZ42" s="658" t="n"/>
      <c r="BA42" s="658" t="n"/>
    </row>
    <row r="43" ht="15.75" customHeight="1" s="7635">
      <c r="A43" s="1277" t="n"/>
      <c r="B43" s="11602" t="n"/>
      <c r="C43" s="7642" t="n"/>
      <c r="D43" s="810" t="n"/>
      <c r="E43" s="7772" t="inlineStr">
        <is>
          <t>If not required, check here</t>
        </is>
      </c>
      <c r="F43" s="11602" t="n"/>
      <c r="G43" s="11602" t="n"/>
      <c r="H43" s="11602" t="n"/>
      <c r="I43" s="11602" t="n"/>
      <c r="J43" s="11602" t="n"/>
      <c r="K43" s="11602" t="n"/>
      <c r="L43" s="11602" t="n"/>
      <c r="M43" s="11602" t="n"/>
      <c r="N43" s="11602" t="n"/>
      <c r="O43" s="11602" t="n"/>
      <c r="P43" s="11602" t="n"/>
      <c r="Q43" s="11602" t="n"/>
      <c r="R43" s="11602" t="n"/>
      <c r="S43" s="11602" t="n"/>
      <c r="T43" s="11602" t="n"/>
      <c r="U43" s="11602" t="n"/>
      <c r="V43" s="11602" t="n"/>
      <c r="W43" s="1218" t="n"/>
      <c r="X43" s="2373" t="n"/>
      <c r="Y43" s="1401" t="n"/>
      <c r="Z43" s="1401" t="inlineStr">
        <is>
          <t xml:space="preserve">.   .   .   .   .   .   .   .   .   .   .   .   .   .   .   .   .   .   .   .   .   .  </t>
        </is>
      </c>
      <c r="AA43" s="384" t="n"/>
      <c r="AB43" s="7914" t="n"/>
      <c r="AC43" s="2895" t="n">
        <v>8</v>
      </c>
      <c r="AD43" s="7850" t="n"/>
      <c r="AE43" s="11717" t="n"/>
      <c r="AF43" s="11717" t="n"/>
      <c r="AG43" s="11717" t="n"/>
      <c r="AH43" s="11717" t="n"/>
      <c r="AI43" s="1277" t="n"/>
      <c r="AJ43" s="11602" t="n"/>
      <c r="AK43" s="2875" t="n"/>
      <c r="AL43" s="2875" t="n"/>
      <c r="AO43" s="801">
        <f>ROUND(AD43,0)</f>
        <v/>
      </c>
      <c r="AQ43" s="11704" t="n"/>
      <c r="AR43" s="658" t="n"/>
      <c r="AS43" s="658" t="n"/>
      <c r="AT43" s="658" t="n"/>
      <c r="AU43" s="658" t="n"/>
      <c r="AV43" s="658" t="n"/>
      <c r="AW43" s="658" t="n"/>
      <c r="AX43" s="658" t="n"/>
      <c r="AY43" s="658" t="n"/>
      <c r="AZ43" s="658" t="n"/>
      <c r="BA43" s="658" t="n"/>
    </row>
    <row r="44" ht="23.25" customHeight="1" s="7635">
      <c r="A44" s="1277" t="n"/>
      <c r="B44" s="11602" t="n"/>
      <c r="C44" s="7642" t="n">
        <v>9</v>
      </c>
      <c r="D44" s="810" t="n"/>
      <c r="E44" s="7772" t="inlineStr">
        <is>
          <t>Household employment taxes. Attach Schedule H</t>
        </is>
      </c>
      <c r="F44" s="11602" t="n"/>
      <c r="G44" s="11602" t="n"/>
      <c r="H44" s="11602" t="n"/>
      <c r="I44" s="11602" t="n"/>
      <c r="J44" s="11602" t="n"/>
      <c r="K44" s="11602" t="n"/>
      <c r="L44" s="11602" t="n"/>
      <c r="M44" s="11602" t="n"/>
      <c r="N44" s="11602" t="n"/>
      <c r="O44" s="11602" t="n"/>
      <c r="P44" s="11602" t="n"/>
      <c r="Q44" s="11602" t="n"/>
      <c r="R44" s="11602" t="n"/>
      <c r="S44" s="11602" t="n"/>
      <c r="T44" s="11602" t="n"/>
      <c r="U44" s="11602" t="n"/>
      <c r="V44" s="11602" t="n"/>
      <c r="W44" s="1218" t="n"/>
      <c r="X44" s="2373" t="n"/>
      <c r="Y44" s="11602" t="n"/>
      <c r="Z44" s="1401" t="n"/>
      <c r="AA44" s="1401" t="n"/>
      <c r="AB44" s="1401" t="inlineStr">
        <is>
          <t xml:space="preserve">.   .   .   .   .   .   .   .   .   .   .   .   .   .   .  </t>
        </is>
      </c>
      <c r="AC44" s="2895" t="n">
        <v>9</v>
      </c>
      <c r="AD44" s="7850" t="n"/>
      <c r="AE44" s="11717" t="n"/>
      <c r="AF44" s="11717" t="n"/>
      <c r="AG44" s="11717" t="n"/>
      <c r="AH44" s="11717" t="n"/>
      <c r="AI44" s="1277" t="n"/>
      <c r="AJ44" s="11602" t="n"/>
      <c r="AK44" s="2875" t="n"/>
      <c r="AL44" s="2875" t="n"/>
      <c r="AM44" s="5058" t="n"/>
      <c r="AN44" s="7834" t="n"/>
      <c r="AO44" s="801">
        <f>ROUND(AD44,0)</f>
        <v/>
      </c>
      <c r="AP44" s="7834" t="n"/>
      <c r="AQ44" s="11704" t="n"/>
      <c r="AR44" s="658" t="n"/>
      <c r="AS44" s="658" t="n"/>
      <c r="AT44" s="658" t="n"/>
      <c r="AU44" s="658" t="n"/>
      <c r="AV44" s="658" t="n"/>
      <c r="AW44" s="658" t="n"/>
      <c r="AX44" s="658" t="n"/>
      <c r="AY44" s="658" t="n"/>
      <c r="AZ44" s="658" t="n"/>
      <c r="BA44" s="658" t="n"/>
    </row>
    <row r="45" ht="23.25" customHeight="1" s="7635">
      <c r="A45" s="1277" t="n"/>
      <c r="B45" s="11602" t="n"/>
      <c r="C45" s="7642" t="n">
        <v>10</v>
      </c>
      <c r="D45" s="810" t="n"/>
      <c r="E45" s="7772" t="inlineStr">
        <is>
          <t>Reserved for future use</t>
        </is>
      </c>
      <c r="F45" s="11602" t="n"/>
      <c r="G45" s="11602" t="n"/>
      <c r="H45" s="11602" t="n"/>
      <c r="I45" s="11602" t="n"/>
      <c r="J45" s="11602" t="n"/>
      <c r="K45" s="11602" t="n"/>
      <c r="L45" s="11602" t="n"/>
      <c r="M45" s="11602" t="n"/>
      <c r="N45" s="11602" t="n"/>
      <c r="O45" s="11602" t="n"/>
      <c r="P45" s="11602" t="n"/>
      <c r="Q45" s="11602" t="n"/>
      <c r="R45" s="11602" t="n"/>
      <c r="S45" s="11602" t="n"/>
      <c r="T45" s="11602" t="n"/>
      <c r="U45" s="11602" t="n"/>
      <c r="V45" s="11602" t="n"/>
      <c r="W45" s="1218" t="n"/>
      <c r="X45" s="2373" t="n"/>
      <c r="Y45" s="11602" t="n"/>
      <c r="Z45" s="1401" t="n"/>
      <c r="AA45" s="1401" t="n"/>
      <c r="AB45" s="1401" t="inlineStr">
        <is>
          <t xml:space="preserve">.   .   .   .   .   .   .   .   .   .   .   .   .   .   .   .   .   .   .   .   .   .   .   .   .   .   .   .   .  </t>
        </is>
      </c>
      <c r="AC45" s="2926" t="n">
        <v>10</v>
      </c>
      <c r="AD45" s="1277" t="n"/>
      <c r="AE45" s="1277" t="n"/>
      <c r="AF45" s="1277" t="n"/>
      <c r="AG45" s="1277" t="n"/>
      <c r="AH45" s="1277" t="n"/>
      <c r="AI45" s="1277" t="n"/>
      <c r="AJ45" s="11602" t="n"/>
      <c r="AK45" s="2875" t="n"/>
      <c r="AL45" s="2875" t="n"/>
      <c r="AM45" s="9655" t="n"/>
      <c r="AN45" s="7834" t="n"/>
      <c r="AO45" s="801">
        <f>ROUND(AD45,0)</f>
        <v/>
      </c>
      <c r="AP45" s="7834" t="n"/>
      <c r="AQ45" s="11704" t="n"/>
      <c r="AR45" s="658" t="n"/>
      <c r="AS45" s="658" t="n"/>
      <c r="AT45" s="658" t="n"/>
      <c r="AU45" s="658" t="n"/>
      <c r="AV45" s="658" t="n"/>
      <c r="AW45" s="658" t="n"/>
      <c r="AX45" s="658" t="n"/>
      <c r="AY45" s="658" t="n"/>
      <c r="AZ45" s="658" t="n"/>
      <c r="BA45" s="658" t="n"/>
    </row>
    <row r="46" ht="23.25" customHeight="1" s="7635">
      <c r="A46" s="1277" t="n"/>
      <c r="B46" s="11602" t="n"/>
      <c r="C46" s="7642" t="n">
        <v>11</v>
      </c>
      <c r="D46" s="810" t="n"/>
      <c r="E46" s="7772" t="inlineStr">
        <is>
          <t>Additional Medicare Tax.  Attach Form 8959</t>
        </is>
      </c>
      <c r="F46" s="11602" t="n"/>
      <c r="G46" s="11602" t="n"/>
      <c r="H46" s="11602" t="n"/>
      <c r="I46" s="11602" t="n"/>
      <c r="J46" s="11602" t="n"/>
      <c r="K46" s="11602" t="n"/>
      <c r="L46" s="11602" t="n"/>
      <c r="M46" s="11602" t="n"/>
      <c r="N46" s="11602" t="n"/>
      <c r="O46" s="11602" t="n"/>
      <c r="P46" s="11602" t="n"/>
      <c r="Q46" s="11602" t="n"/>
      <c r="R46" s="11602" t="n"/>
      <c r="S46" s="11602" t="n"/>
      <c r="T46" s="11602" t="n"/>
      <c r="U46" s="11602" t="n"/>
      <c r="V46" s="11602" t="n"/>
      <c r="W46" s="1218" t="n"/>
      <c r="X46" s="2373" t="n"/>
      <c r="Y46" s="11602" t="n"/>
      <c r="Z46" s="1401" t="n"/>
      <c r="AA46" s="1401" t="n"/>
      <c r="AB46" s="1401" t="inlineStr">
        <is>
          <t xml:space="preserve">.   .   .   .   .   .   .   .   .   .   .   .   .   .   .   .   .  </t>
        </is>
      </c>
      <c r="AC46" s="2926" t="n">
        <v>11</v>
      </c>
      <c r="AD46" s="7767">
        <f>IF(AK46&lt;&gt;"",ROUND(AK46,0),F8959_Tax)</f>
        <v/>
      </c>
      <c r="AE46" s="8412" t="n"/>
      <c r="AF46" s="8412" t="n"/>
      <c r="AG46" s="8412" t="n"/>
      <c r="AH46" s="8412" t="n"/>
      <c r="AI46" s="1277" t="n"/>
      <c r="AJ46" s="11602" t="n"/>
      <c r="AK46" s="732" t="n"/>
      <c r="AL46" s="2875" t="n"/>
      <c r="AM46" s="7301" t="inlineStr">
        <is>
          <t>Form 8959, line 18.</t>
        </is>
      </c>
      <c r="AN46" s="7834" t="n"/>
      <c r="AO46" s="801">
        <f>IF(AD46="",0,AD46)</f>
        <v/>
      </c>
      <c r="AP46" s="7834" t="n"/>
      <c r="AQ46" s="11704" t="n"/>
      <c r="AR46" s="658" t="n"/>
      <c r="AS46" s="658" t="n"/>
      <c r="AT46" s="658" t="n"/>
      <c r="AU46" s="658" t="n"/>
      <c r="AV46" s="658" t="n"/>
      <c r="AW46" s="658" t="n"/>
      <c r="AX46" s="658" t="n"/>
      <c r="AY46" s="658" t="n"/>
      <c r="AZ46" s="658" t="n"/>
      <c r="BA46" s="658" t="n"/>
    </row>
    <row r="47" ht="23.25" customHeight="1" s="7635">
      <c r="A47" s="1277" t="n"/>
      <c r="B47" s="11602" t="n"/>
      <c r="C47" s="7642" t="n">
        <v>12</v>
      </c>
      <c r="D47" s="810" t="n"/>
      <c r="E47" s="7772" t="inlineStr">
        <is>
          <t>Net investment income tax.  Attach Form 8960</t>
        </is>
      </c>
      <c r="F47" s="11602" t="n"/>
      <c r="G47" s="11602" t="n"/>
      <c r="H47" s="11602" t="n"/>
      <c r="I47" s="11602" t="n"/>
      <c r="J47" s="11602" t="n"/>
      <c r="K47" s="11602" t="n"/>
      <c r="L47" s="11602" t="n"/>
      <c r="M47" s="11602" t="n"/>
      <c r="N47" s="11602" t="n"/>
      <c r="O47" s="11602" t="n"/>
      <c r="P47" s="11602" t="n"/>
      <c r="Q47" s="11602" t="n"/>
      <c r="R47" s="11602" t="n"/>
      <c r="S47" s="11602" t="n"/>
      <c r="T47" s="11602" t="n"/>
      <c r="U47" s="11602" t="n"/>
      <c r="V47" s="11602" t="n"/>
      <c r="W47" s="1218" t="n"/>
      <c r="X47" s="2373" t="n"/>
      <c r="Y47" s="11602" t="n"/>
      <c r="Z47" s="1401" t="n"/>
      <c r="AA47" s="1401" t="n"/>
      <c r="AB47" s="1401" t="inlineStr">
        <is>
          <t xml:space="preserve">.   .   .   .   .   .   .   .   .   .   .   .   .   .   .   .  </t>
        </is>
      </c>
      <c r="AC47" s="2926" t="n">
        <v>12</v>
      </c>
      <c r="AD47" s="7767">
        <f>IF(AK47&lt;&gt;"",ROUND(AK47,0),F8960_Tax)</f>
        <v/>
      </c>
      <c r="AE47" s="8412" t="n"/>
      <c r="AF47" s="8412" t="n"/>
      <c r="AG47" s="8412" t="n"/>
      <c r="AH47" s="8412" t="n"/>
      <c r="AI47" s="1277" t="n"/>
      <c r="AJ47" s="11602" t="n"/>
      <c r="AK47" s="732" t="n"/>
      <c r="AL47" s="2875" t="n"/>
      <c r="AM47" s="7301" t="inlineStr">
        <is>
          <t>Form 8960, line 17.</t>
        </is>
      </c>
      <c r="AN47" s="7834" t="n"/>
      <c r="AO47" s="801">
        <f>IF(AD47="",0,AD47)</f>
        <v/>
      </c>
      <c r="AP47" s="7834" t="n"/>
      <c r="AQ47" s="11704" t="n"/>
      <c r="AR47" s="658" t="n"/>
      <c r="AS47" s="658" t="n"/>
      <c r="AT47" s="658" t="n"/>
      <c r="AU47" s="658" t="n"/>
      <c r="AV47" s="658" t="n"/>
      <c r="AW47" s="658" t="n"/>
      <c r="AX47" s="658" t="n"/>
      <c r="AY47" s="658" t="n"/>
      <c r="AZ47" s="658" t="n"/>
      <c r="BA47" s="658" t="n"/>
    </row>
    <row r="48" ht="23.25" customHeight="1" s="7635">
      <c r="A48" s="1277" t="n"/>
      <c r="B48" s="11602" t="n"/>
      <c r="C48" s="7642" t="n">
        <v>13</v>
      </c>
      <c r="D48" s="810" t="n"/>
      <c r="E48" s="7772" t="inlineStr">
        <is>
          <t>Uncollected social security and Medicare or RRTA tax on tips or group-term life insurance from</t>
        </is>
      </c>
      <c r="F48" s="11602" t="n"/>
      <c r="G48" s="11602" t="n"/>
      <c r="H48" s="11602" t="n"/>
      <c r="I48" s="11602" t="n"/>
      <c r="J48" s="11602" t="n"/>
      <c r="K48" s="11602" t="n"/>
      <c r="L48" s="11602" t="n"/>
      <c r="M48" s="11602" t="n"/>
      <c r="N48" s="11602" t="n"/>
      <c r="O48" s="11602" t="n"/>
      <c r="P48" s="11602" t="n"/>
      <c r="Q48" s="11602" t="n"/>
      <c r="R48" s="11602" t="n"/>
      <c r="S48" s="11602" t="n"/>
      <c r="T48" s="11602" t="n"/>
      <c r="U48" s="11602" t="n"/>
      <c r="V48" s="11602" t="n"/>
      <c r="W48" s="1218" t="n"/>
      <c r="X48" s="2373" t="n"/>
      <c r="Y48" s="11602" t="n"/>
      <c r="Z48" s="1401" t="n"/>
      <c r="AA48" s="1401" t="n"/>
      <c r="AB48" s="1401" t="n"/>
      <c r="AC48" s="2898" t="n"/>
      <c r="AD48" s="7885" t="n"/>
      <c r="AI48" s="1277" t="n"/>
      <c r="AJ48" s="11602" t="n"/>
      <c r="AK48" s="2875" t="n"/>
      <c r="AL48" s="2875" t="n"/>
      <c r="AM48" s="9655" t="n"/>
      <c r="AN48" s="7834" t="n"/>
      <c r="AO48" s="5389" t="n"/>
      <c r="AP48" s="7834" t="n"/>
      <c r="AQ48" s="11704" t="n"/>
      <c r="AR48" s="658" t="n"/>
      <c r="AS48" s="658" t="n"/>
      <c r="AT48" s="658" t="n"/>
      <c r="AU48" s="658" t="n"/>
      <c r="AV48" s="658" t="n"/>
      <c r="AW48" s="658" t="n"/>
      <c r="AX48" s="658" t="n"/>
      <c r="AY48" s="658" t="n"/>
      <c r="AZ48" s="658" t="n"/>
      <c r="BA48" s="658" t="n"/>
    </row>
    <row r="49" ht="18" customHeight="1" s="7635">
      <c r="A49" s="1277" t="n"/>
      <c r="B49" s="11602" t="n"/>
      <c r="C49" s="7642" t="n"/>
      <c r="D49" s="810" t="n"/>
      <c r="E49" s="7772" t="inlineStr">
        <is>
          <t>Form W-2, box 12</t>
        </is>
      </c>
      <c r="F49" s="11602" t="n"/>
      <c r="G49" s="11602" t="n"/>
      <c r="H49" s="11602" t="n"/>
      <c r="I49" s="11602" t="n"/>
      <c r="J49" s="11602" t="n"/>
      <c r="K49" s="11602" t="n"/>
      <c r="L49" s="11602" t="n"/>
      <c r="M49" s="11602" t="n"/>
      <c r="N49" s="11602" t="n"/>
      <c r="O49" s="11602" t="n"/>
      <c r="P49" s="11602" t="n"/>
      <c r="Q49" s="11602" t="n"/>
      <c r="R49" s="11602" t="n"/>
      <c r="S49" s="11602" t="n"/>
      <c r="T49" s="11602" t="n"/>
      <c r="U49" s="11602" t="n"/>
      <c r="V49" s="11602" t="n"/>
      <c r="W49" s="1218" t="n"/>
      <c r="X49" s="2373" t="n"/>
      <c r="Y49" s="11602" t="n"/>
      <c r="Z49" s="1401" t="n"/>
      <c r="AA49" s="1401" t="n"/>
      <c r="AB49" s="1401" t="inlineStr">
        <is>
          <t xml:space="preserve">.   .   .   .   .   .   .   .   .   .   .   .   .   .   .   .   .   .   .   .   .   .   .   .   .   .   .   .   .   .  </t>
        </is>
      </c>
      <c r="AC49" s="2895" t="n">
        <v>13</v>
      </c>
      <c r="AD49" s="7767">
        <f>IF(AK49&lt;&gt;"",ROUND(AK49,0),SUM('W-2s'!D90,'W-2s'!D91))</f>
        <v/>
      </c>
      <c r="AE49" s="8412" t="n"/>
      <c r="AF49" s="8412" t="n"/>
      <c r="AG49" s="8412" t="n"/>
      <c r="AH49" s="8412" t="n"/>
      <c r="AI49" s="1277" t="n"/>
      <c r="AJ49" s="11602" t="n"/>
      <c r="AK49" s="732" t="n"/>
      <c r="AL49" s="2875" t="n"/>
      <c r="AM49" s="7301" t="inlineStr">
        <is>
          <t>W-2, line 12, codes M &amp; N</t>
        </is>
      </c>
      <c r="AN49" s="7834" t="n"/>
      <c r="AO49" s="801">
        <f>ROUND(AD49,0)</f>
        <v/>
      </c>
      <c r="AP49" s="7834" t="n"/>
      <c r="AQ49" s="11704" t="n"/>
      <c r="AR49" s="658" t="n"/>
      <c r="AS49" s="658" t="n"/>
      <c r="AT49" s="658" t="n"/>
      <c r="AU49" s="658" t="n"/>
      <c r="AV49" s="658" t="n"/>
      <c r="AW49" s="658" t="n"/>
      <c r="AX49" s="658" t="n"/>
      <c r="AY49" s="658" t="n"/>
      <c r="AZ49" s="658" t="n"/>
      <c r="BA49" s="658" t="n"/>
    </row>
    <row r="50" ht="23.25" customHeight="1" s="7635">
      <c r="A50" s="1277" t="n"/>
      <c r="B50" s="7886" t="n"/>
      <c r="C50" s="810" t="n">
        <v>14</v>
      </c>
      <c r="D50" s="7886" t="n"/>
      <c r="E50" s="7772" t="inlineStr">
        <is>
          <t>Interest on tax due on installment income from the sale of certain residential lots and timeshares</t>
        </is>
      </c>
      <c r="F50" s="11602" t="n"/>
      <c r="G50" s="11602" t="n"/>
      <c r="H50" s="11602" t="n"/>
      <c r="I50" s="11602" t="n"/>
      <c r="J50" s="11602" t="n"/>
      <c r="K50" s="11602" t="n"/>
      <c r="L50" s="11602" t="n"/>
      <c r="M50" s="11602" t="n"/>
      <c r="N50" s="11602" t="n"/>
      <c r="O50" s="11602" t="n"/>
      <c r="P50" s="11602" t="n"/>
      <c r="Q50" s="11602" t="n"/>
      <c r="R50" s="11602" t="n"/>
      <c r="S50" s="11602" t="n"/>
      <c r="T50" s="11602" t="n"/>
      <c r="U50" s="11602" t="n"/>
      <c r="V50" s="11602" t="n"/>
      <c r="W50" s="11602" t="n"/>
      <c r="X50" s="11602" t="n"/>
      <c r="Y50" s="11602" t="n"/>
      <c r="Z50" s="1401" t="n"/>
      <c r="AA50" s="1401" t="n"/>
      <c r="AB50" s="1401" t="inlineStr">
        <is>
          <t xml:space="preserve"> .   .  </t>
        </is>
      </c>
      <c r="AC50" s="2895" t="n">
        <v>14</v>
      </c>
      <c r="AD50" s="7850" t="n"/>
      <c r="AE50" s="11717" t="n"/>
      <c r="AF50" s="11717" t="n"/>
      <c r="AG50" s="11717" t="n"/>
      <c r="AH50" s="11717" t="n"/>
      <c r="AI50" s="1277" t="n"/>
      <c r="AJ50" s="11602" t="n"/>
      <c r="AK50" s="2875" t="n"/>
      <c r="AL50" s="2875" t="n"/>
      <c r="AM50" s="9655" t="n"/>
      <c r="AN50" s="7834" t="n"/>
      <c r="AO50" s="801">
        <f>ROUND(AD50,0)</f>
        <v/>
      </c>
      <c r="AP50" s="7834" t="n"/>
      <c r="AQ50" s="11704" t="n"/>
      <c r="AR50" s="658" t="n"/>
      <c r="AS50" s="658" t="n"/>
      <c r="AT50" s="658" t="n"/>
      <c r="AU50" s="658" t="n"/>
      <c r="AV50" s="658" t="n"/>
      <c r="AW50" s="658" t="n"/>
      <c r="AX50" s="658" t="n"/>
      <c r="AY50" s="658" t="n"/>
      <c r="AZ50" s="658" t="n"/>
      <c r="BA50" s="658" t="n"/>
    </row>
    <row r="51" ht="23.25" customHeight="1" s="7635">
      <c r="A51" s="1277" t="n"/>
      <c r="B51" s="7886" t="n"/>
      <c r="C51" s="810" t="n">
        <v>15</v>
      </c>
      <c r="D51" s="7886" t="n"/>
      <c r="E51" s="7866" t="inlineStr">
        <is>
          <t>Interest on deferred tax on gain from certain installment sales with a sales price over $150,000.</t>
        </is>
      </c>
      <c r="AB51" s="7636" t="n"/>
      <c r="AC51" s="2895" t="n">
        <v>15</v>
      </c>
      <c r="AD51" s="7850" t="n"/>
      <c r="AE51" s="11717" t="n"/>
      <c r="AF51" s="11717" t="n"/>
      <c r="AG51" s="11717" t="n"/>
      <c r="AH51" s="11717" t="n"/>
      <c r="AI51" s="1277" t="n"/>
      <c r="AJ51" s="11602" t="n"/>
      <c r="AK51" s="2875" t="n"/>
      <c r="AL51" s="2875" t="n"/>
      <c r="AM51" s="9655" t="n"/>
      <c r="AN51" s="7834" t="n"/>
      <c r="AO51" s="801">
        <f>ROUND(AD51,0)</f>
        <v/>
      </c>
      <c r="AP51" s="7834" t="n"/>
      <c r="AQ51" s="11704" t="n"/>
      <c r="AR51" s="658" t="n"/>
      <c r="AS51" s="658" t="n"/>
      <c r="AT51" s="658" t="n"/>
      <c r="AU51" s="658" t="n"/>
      <c r="AV51" s="658" t="n"/>
      <c r="AW51" s="658" t="n"/>
      <c r="AX51" s="658" t="n"/>
      <c r="AY51" s="658" t="n"/>
      <c r="AZ51" s="658" t="n"/>
      <c r="BA51" s="658" t="n"/>
    </row>
    <row r="52" ht="23.25" customHeight="1" s="7635">
      <c r="A52" s="1277" t="n"/>
      <c r="B52" s="7886" t="n"/>
      <c r="C52" s="810" t="n">
        <v>16</v>
      </c>
      <c r="D52" s="7886" t="n"/>
      <c r="E52" s="7772" t="inlineStr">
        <is>
          <t>Recapture of low-income housing credit. Attach Form 8611</t>
        </is>
      </c>
      <c r="F52" s="11602" t="n"/>
      <c r="G52" s="11602" t="n"/>
      <c r="H52" s="11602" t="n"/>
      <c r="I52" s="11602" t="n"/>
      <c r="J52" s="11602" t="n"/>
      <c r="K52" s="11602" t="n"/>
      <c r="L52" s="11602" t="n"/>
      <c r="M52" s="11602" t="n"/>
      <c r="N52" s="11602" t="n"/>
      <c r="O52" s="11602" t="n"/>
      <c r="P52" s="11602" t="n"/>
      <c r="Q52" s="11602" t="n"/>
      <c r="R52" s="11602" t="n"/>
      <c r="S52" s="11602" t="n"/>
      <c r="T52" s="11602" t="n"/>
      <c r="U52" s="11602" t="n"/>
      <c r="V52" s="11602" t="n"/>
      <c r="W52" s="11602" t="n"/>
      <c r="X52" s="11602" t="n"/>
      <c r="Y52" s="11602" t="n"/>
      <c r="Z52" s="1401" t="n"/>
      <c r="AA52" s="1401" t="n"/>
      <c r="AB52" s="1401" t="inlineStr">
        <is>
          <t xml:space="preserve">.   .   .   .   .   .   .   .   .   .   .  </t>
        </is>
      </c>
      <c r="AC52" s="2895" t="n">
        <v>16</v>
      </c>
      <c r="AD52" s="7850" t="n"/>
      <c r="AE52" s="11717" t="n"/>
      <c r="AF52" s="11717" t="n"/>
      <c r="AG52" s="11717" t="n"/>
      <c r="AH52" s="11717" t="n"/>
      <c r="AI52" s="1277" t="n"/>
      <c r="AJ52" s="11602" t="n"/>
      <c r="AK52" s="2875" t="n"/>
      <c r="AL52" s="2875" t="n"/>
      <c r="AM52" s="1405" t="n"/>
      <c r="AN52" s="7834" t="n"/>
      <c r="AO52" s="801">
        <f>ROUND(AD52,0)</f>
        <v/>
      </c>
      <c r="AP52" s="7834" t="n"/>
      <c r="AQ52" s="11704" t="n"/>
      <c r="AR52" s="658" t="n"/>
      <c r="AS52" s="658" t="n"/>
      <c r="AT52" s="658" t="n"/>
      <c r="AU52" s="658" t="n"/>
      <c r="AV52" s="658" t="n"/>
      <c r="AW52" s="658" t="n"/>
      <c r="AX52" s="658" t="n"/>
      <c r="AY52" s="658" t="n"/>
      <c r="AZ52" s="658" t="n"/>
      <c r="BA52" s="658" t="n"/>
    </row>
    <row r="53" ht="19.5" customHeight="1" s="7635" thickBot="1">
      <c r="A53" s="1277" t="n"/>
      <c r="B53" s="11602" t="n"/>
      <c r="C53" s="7642" t="n"/>
      <c r="D53" s="810" t="n"/>
      <c r="E53" s="11602" t="n"/>
      <c r="F53" s="11602" t="n"/>
      <c r="G53" s="11602" t="n"/>
      <c r="H53" s="11602" t="n"/>
      <c r="I53" s="11602" t="n"/>
      <c r="J53" s="11602" t="n"/>
      <c r="K53" s="11602" t="n"/>
      <c r="L53" s="11602" t="n"/>
      <c r="M53" s="11602" t="n"/>
      <c r="N53" s="11602" t="n"/>
      <c r="O53" s="11602" t="n"/>
      <c r="P53" s="11602" t="n"/>
      <c r="Q53" s="11602" t="n"/>
      <c r="R53" s="11602" t="n"/>
      <c r="S53" s="11602" t="n"/>
      <c r="T53" s="11602" t="n"/>
      <c r="U53" s="11602" t="n"/>
      <c r="V53" s="11602" t="n"/>
      <c r="W53" s="11602" t="n"/>
      <c r="X53" s="11602" t="n"/>
      <c r="Y53" s="11602" t="n"/>
      <c r="Z53" s="11602" t="n"/>
      <c r="AA53" s="11602" t="n"/>
      <c r="AB53" s="11602" t="n"/>
      <c r="AC53" s="11602" t="n"/>
      <c r="AD53" s="11602" t="n"/>
      <c r="AE53" s="11602" t="n"/>
      <c r="AF53" s="11602" t="n"/>
      <c r="AG53" s="11602" t="n"/>
      <c r="AH53" s="5390" t="inlineStr">
        <is>
          <t>(continued on page 2)</t>
        </is>
      </c>
      <c r="AI53" s="1277" t="n"/>
      <c r="AJ53" s="11602" t="n"/>
      <c r="AK53" s="2875" t="n"/>
      <c r="AL53" s="2875" t="n"/>
      <c r="AM53" s="9655" t="n"/>
      <c r="AN53" s="7834" t="n"/>
      <c r="AO53" s="5389">
        <f>SUM(AO41:AO52)</f>
        <v/>
      </c>
      <c r="AP53" s="7834" t="n"/>
      <c r="AQ53" s="11704" t="n"/>
      <c r="AR53" s="658" t="n"/>
      <c r="AS53" s="658" t="n"/>
      <c r="AT53" s="658" t="n"/>
      <c r="AU53" s="658" t="n"/>
      <c r="AV53" s="658" t="n"/>
      <c r="AW53" s="658" t="n"/>
      <c r="AX53" s="658" t="n"/>
      <c r="AY53" s="658" t="n"/>
      <c r="AZ53" s="658" t="n"/>
      <c r="BA53" s="658" t="n"/>
    </row>
    <row r="54" ht="16.5" customHeight="1" s="7635">
      <c r="A54" s="1277" t="n"/>
      <c r="B54" s="5391" t="inlineStr">
        <is>
          <t>For Paperwork Reduction Act Notice, see your tax return instructions.</t>
        </is>
      </c>
      <c r="C54" s="5392" t="n"/>
      <c r="D54" s="5393" t="n"/>
      <c r="E54" s="5394" t="n"/>
      <c r="F54" s="5394" t="n"/>
      <c r="G54" s="5394" t="n"/>
      <c r="H54" s="5394" t="n"/>
      <c r="I54" s="5394" t="n"/>
      <c r="J54" s="5394" t="n"/>
      <c r="K54" s="5394" t="n"/>
      <c r="L54" s="5394" t="n"/>
      <c r="M54" s="5394" t="n"/>
      <c r="N54" s="5394" t="n"/>
      <c r="O54" s="5394" t="n"/>
      <c r="P54" s="5394" t="n"/>
      <c r="Q54" s="5394" t="n"/>
      <c r="R54" s="5394" t="n"/>
      <c r="S54" s="5394" t="n"/>
      <c r="T54" s="5394" t="n"/>
      <c r="U54" s="5394" t="n"/>
      <c r="V54" s="5395" t="n"/>
      <c r="W54" s="5396" t="n"/>
      <c r="X54" s="5396" t="inlineStr">
        <is>
          <t>Cat. No. 71478U</t>
        </is>
      </c>
      <c r="Y54" s="5394" t="n"/>
      <c r="Z54" s="5394" t="n"/>
      <c r="AA54" s="5394" t="n"/>
      <c r="AB54" s="5394" t="n"/>
      <c r="AC54" s="5394" t="n"/>
      <c r="AD54" s="5394" t="n"/>
      <c r="AE54" s="5394" t="n"/>
      <c r="AF54" s="5394" t="n"/>
      <c r="AG54" s="5394" t="n"/>
      <c r="AH54" s="4788">
        <f>"Schedule 2 (Form 1040) "&amp;TaxYear</f>
        <v/>
      </c>
      <c r="AI54" s="1277" t="n"/>
      <c r="AJ54" s="11602" t="n"/>
      <c r="AK54" s="2875" t="n"/>
      <c r="AL54" s="2875" t="n"/>
      <c r="AM54" s="9655" t="n"/>
      <c r="AN54" s="7834" t="n"/>
      <c r="AO54" s="5389" t="n"/>
      <c r="AP54" s="7834" t="n"/>
      <c r="AQ54" s="11704" t="n"/>
      <c r="AR54" s="658" t="n"/>
      <c r="AS54" s="658" t="n"/>
      <c r="AT54" s="658" t="n"/>
      <c r="AU54" s="658" t="n"/>
      <c r="AV54" s="658" t="n"/>
      <c r="AW54" s="658" t="n"/>
      <c r="AX54" s="658" t="n"/>
      <c r="AY54" s="658" t="n"/>
      <c r="AZ54" s="658" t="n"/>
      <c r="BA54" s="658" t="n"/>
    </row>
    <row r="55" ht="19.5" customHeight="1" s="7635" thickBot="1">
      <c r="A55" s="1277" t="n"/>
      <c r="B55" s="5397">
        <f>"Schedule 2 (Form 1040)  "&amp;TaxYear</f>
        <v/>
      </c>
      <c r="C55" s="4461" t="n"/>
      <c r="D55" s="5398" t="n"/>
      <c r="E55" s="721" t="n"/>
      <c r="F55" s="721" t="n"/>
      <c r="G55" s="721" t="n"/>
      <c r="H55" s="721" t="n"/>
      <c r="I55" s="721" t="n"/>
      <c r="J55" s="721" t="n"/>
      <c r="K55" s="721" t="n"/>
      <c r="L55" s="721" t="n"/>
      <c r="M55" s="721" t="n"/>
      <c r="N55" s="721" t="n"/>
      <c r="O55" s="721" t="n"/>
      <c r="P55" s="721" t="n"/>
      <c r="Q55" s="721" t="n"/>
      <c r="R55" s="721" t="n"/>
      <c r="S55" s="721" t="n"/>
      <c r="T55" s="5399" t="n"/>
      <c r="U55" s="5399" t="n"/>
      <c r="V55" s="721" t="n"/>
      <c r="W55" s="2247" t="n"/>
      <c r="X55" s="721" t="n"/>
      <c r="Y55" s="721" t="n"/>
      <c r="Z55" s="721" t="n"/>
      <c r="AA55" s="721" t="n"/>
      <c r="AB55" s="721" t="n"/>
      <c r="AC55" s="721" t="n"/>
      <c r="AD55" s="721" t="n"/>
      <c r="AE55" s="721" t="n"/>
      <c r="AF55" s="721" t="n"/>
      <c r="AG55" s="721" t="n"/>
      <c r="AH55" s="5400" t="inlineStr">
        <is>
          <t>Page 2</t>
        </is>
      </c>
      <c r="AI55" s="1277" t="n"/>
      <c r="AJ55" s="11602" t="n"/>
      <c r="AK55" s="2875" t="n"/>
      <c r="AL55" s="2875" t="n"/>
      <c r="AM55" s="9655" t="n"/>
      <c r="AN55" s="7834" t="n"/>
      <c r="AO55" s="5389" t="n"/>
      <c r="AP55" s="7834" t="n"/>
      <c r="AQ55" s="11704" t="n"/>
      <c r="AR55" s="658" t="n"/>
      <c r="AS55" s="658" t="n"/>
      <c r="AT55" s="658" t="n"/>
      <c r="AU55" s="658" t="n"/>
      <c r="AV55" s="658" t="n"/>
      <c r="AW55" s="658" t="n"/>
      <c r="AX55" s="658" t="n"/>
      <c r="AY55" s="658" t="n"/>
      <c r="AZ55" s="658" t="n"/>
      <c r="BA55" s="658" t="n"/>
    </row>
    <row r="56" ht="16.5" customHeight="1" s="7635" thickTop="1">
      <c r="A56" s="1277" t="n"/>
      <c r="B56" s="7863" t="inlineStr">
        <is>
          <t>Part II</t>
        </is>
      </c>
      <c r="C56" s="11713" t="n"/>
      <c r="D56" s="11713" t="n"/>
      <c r="E56" s="5401" t="n"/>
      <c r="F56" s="5402" t="inlineStr">
        <is>
          <t>Other Taxes  (continued)</t>
        </is>
      </c>
      <c r="G56" s="5401" t="n"/>
      <c r="H56" s="5401" t="n"/>
      <c r="I56" s="5401" t="n"/>
      <c r="J56" s="5401" t="n"/>
      <c r="K56" s="5401" t="n"/>
      <c r="L56" s="5045" t="n"/>
      <c r="M56" s="5045" t="n"/>
      <c r="N56" s="5045" t="n"/>
      <c r="O56" s="5045" t="n"/>
      <c r="P56" s="5045" t="n"/>
      <c r="Q56" s="5045" t="n"/>
      <c r="R56" s="5045" t="n"/>
      <c r="S56" s="5045" t="n"/>
      <c r="T56" s="5045" t="n"/>
      <c r="U56" s="5045" t="n"/>
      <c r="V56" s="5045" t="n"/>
      <c r="W56" s="5045" t="n"/>
      <c r="X56" s="5045" t="n"/>
      <c r="Y56" s="5045" t="n"/>
      <c r="Z56" s="5045" t="n"/>
      <c r="AA56" s="5045" t="n"/>
      <c r="AB56" s="5045" t="n"/>
      <c r="AC56" s="5045" t="n"/>
      <c r="AD56" s="5045" t="n"/>
      <c r="AE56" s="5045" t="n"/>
      <c r="AF56" s="5045" t="n"/>
      <c r="AG56" s="5045" t="n"/>
      <c r="AH56" s="5045" t="n"/>
      <c r="AI56" s="1277" t="n"/>
      <c r="AJ56" s="11602" t="n"/>
      <c r="AK56" s="2875" t="n"/>
      <c r="AL56" s="2875" t="n"/>
      <c r="AM56" s="8043" t="inlineStr">
        <is>
          <t>Source:</t>
        </is>
      </c>
      <c r="AN56" s="7834" t="n"/>
      <c r="AO56" s="5389" t="n"/>
      <c r="AP56" s="7834" t="n"/>
      <c r="AQ56" s="11704" t="n"/>
      <c r="AR56" s="658" t="n"/>
      <c r="AS56" s="658" t="n"/>
      <c r="AT56" s="658" t="n"/>
      <c r="AU56" s="658" t="n"/>
      <c r="AV56" s="658" t="n"/>
      <c r="AW56" s="658" t="n"/>
      <c r="AX56" s="658" t="n"/>
      <c r="AY56" s="658" t="n"/>
      <c r="AZ56" s="658" t="n"/>
      <c r="BA56" s="658" t="n"/>
    </row>
    <row r="57" ht="23.25" customHeight="1" s="7635">
      <c r="A57" s="1277" t="n"/>
      <c r="B57" s="7886" t="n"/>
      <c r="C57" s="810" t="n">
        <v>17</v>
      </c>
      <c r="D57" s="7886" t="n"/>
      <c r="E57" s="7772" t="inlineStr">
        <is>
          <t>Other additional taxes:</t>
        </is>
      </c>
      <c r="F57" s="11602" t="n"/>
      <c r="G57" s="11602" t="n"/>
      <c r="H57" s="11602" t="n"/>
      <c r="I57" s="11602" t="n"/>
      <c r="J57" s="11602" t="n"/>
      <c r="K57" s="11602" t="n"/>
      <c r="L57" s="11602" t="n"/>
      <c r="M57" s="11602" t="n"/>
      <c r="N57" s="11602" t="n"/>
      <c r="O57" s="11602" t="n"/>
      <c r="P57" s="11602" t="n"/>
      <c r="Q57" s="11602" t="n"/>
      <c r="R57" s="11602" t="n"/>
      <c r="S57" s="11602" t="n"/>
      <c r="T57" s="11602" t="n"/>
      <c r="U57" s="406" t="n"/>
      <c r="V57" s="406" t="n"/>
      <c r="W57" s="406" t="n"/>
      <c r="X57" s="11602" t="n"/>
      <c r="Y57" s="2890" t="n"/>
      <c r="Z57" s="11602" t="n"/>
      <c r="AA57" s="11602" t="n"/>
      <c r="AB57" s="11602" t="n"/>
      <c r="AC57" s="1946" t="n"/>
      <c r="AD57" s="2333" t="inlineStr"/>
      <c r="AE57" s="2334" t="n"/>
      <c r="AF57" s="2334" t="n"/>
      <c r="AG57" s="2334" t="n"/>
      <c r="AH57" s="2334" t="n"/>
      <c r="AI57" s="1277" t="n"/>
      <c r="AJ57" s="11602" t="n"/>
      <c r="AK57" s="2875" t="n"/>
      <c r="AL57" s="2875" t="n"/>
      <c r="AM57" s="9655" t="n"/>
      <c r="AN57" s="7834" t="n"/>
      <c r="AO57" s="5389" t="n"/>
      <c r="AP57" s="7834" t="n"/>
      <c r="AQ57" s="11704" t="n"/>
      <c r="AR57" s="658" t="n"/>
      <c r="AS57" s="658" t="n"/>
      <c r="AT57" s="658" t="n"/>
      <c r="AU57" s="658" t="n"/>
      <c r="AV57" s="658" t="n"/>
      <c r="AW57" s="658" t="n"/>
      <c r="AX57" s="658" t="n"/>
      <c r="AY57" s="658" t="n"/>
      <c r="AZ57" s="658" t="n"/>
      <c r="BA57" s="658" t="n"/>
    </row>
    <row r="58" ht="23.25" customHeight="1" s="7635">
      <c r="A58" s="1277" t="n"/>
      <c r="B58" s="11602" t="n"/>
      <c r="C58" s="8650" t="n"/>
      <c r="D58" s="810" t="inlineStr">
        <is>
          <t>a</t>
        </is>
      </c>
      <c r="E58" s="7772" t="inlineStr">
        <is>
          <t>Recapture of other credits. List type, form number, and amount:</t>
        </is>
      </c>
      <c r="F58" s="11602" t="n"/>
      <c r="G58" s="11602" t="n"/>
      <c r="H58" s="11602" t="n"/>
      <c r="I58" s="11602" t="n"/>
      <c r="J58" s="11602" t="n"/>
      <c r="K58" s="11602" t="n"/>
      <c r="L58" s="11602" t="n"/>
      <c r="M58" s="11602" t="n"/>
      <c r="N58" s="11602" t="n"/>
      <c r="O58" s="11602" t="n"/>
      <c r="P58" s="11602" t="n"/>
      <c r="Q58" s="11602" t="n"/>
      <c r="R58" s="1218" t="n"/>
      <c r="S58" s="2373" t="n"/>
      <c r="T58" s="11602" t="n"/>
      <c r="U58" s="1807" t="n"/>
      <c r="V58" s="1807" t="n"/>
      <c r="W58" s="1807" t="n"/>
      <c r="X58" s="11602" t="n"/>
      <c r="Y58" s="2921" t="n"/>
      <c r="Z58" s="1803" t="n"/>
      <c r="AA58" s="1807" t="n"/>
      <c r="AB58" s="1807" t="n"/>
      <c r="AC58" s="5403" t="n"/>
      <c r="AD58" s="2332" t="n"/>
      <c r="AE58" s="1664" t="n"/>
      <c r="AF58" s="1664" t="n"/>
      <c r="AG58" s="1664" t="n"/>
      <c r="AH58" s="1664" t="n"/>
      <c r="AI58" s="1277" t="n"/>
      <c r="AJ58" s="344" t="n"/>
      <c r="AK58" s="2875" t="n"/>
      <c r="AL58" s="2875" t="n"/>
      <c r="AM58" s="9655" t="n"/>
      <c r="AN58" s="7834" t="n"/>
      <c r="AO58" s="5389" t="n"/>
      <c r="AP58" s="7834" t="n"/>
      <c r="AQ58" s="11704" t="n"/>
      <c r="AR58" s="658" t="n"/>
      <c r="AS58" s="658" t="n"/>
      <c r="AT58" s="658" t="n"/>
      <c r="AU58" s="658" t="n"/>
      <c r="AV58" s="658" t="n"/>
      <c r="AW58" s="658" t="n"/>
      <c r="AX58" s="658" t="n"/>
      <c r="AY58" s="658" t="n"/>
      <c r="AZ58" s="658" t="n"/>
      <c r="BA58" s="658" t="n"/>
    </row>
    <row r="59" ht="15" customHeight="1" s="7635">
      <c r="A59" s="1277" t="n"/>
      <c r="B59" s="11602" t="n"/>
      <c r="C59" s="8650" t="n"/>
      <c r="D59" s="810" t="n"/>
      <c r="E59" s="7867" t="n"/>
      <c r="F59" s="11990" t="n"/>
      <c r="G59" s="11990" t="n"/>
      <c r="H59" s="11990" t="n"/>
      <c r="I59" s="11990" t="n"/>
      <c r="J59" s="11990" t="n"/>
      <c r="K59" s="11990" t="n"/>
      <c r="L59" s="11990" t="n"/>
      <c r="M59" s="11990" t="n"/>
      <c r="N59" s="11990" t="n"/>
      <c r="O59" s="11990" t="n"/>
      <c r="P59" s="11990" t="n"/>
      <c r="Q59" s="11990" t="n"/>
      <c r="R59" s="11990" t="n"/>
      <c r="S59" s="11990" t="n"/>
      <c r="T59" s="11990" t="n"/>
      <c r="U59" s="11990" t="n"/>
      <c r="V59" s="11990" t="n"/>
      <c r="W59" s="11990" t="n"/>
      <c r="X59" s="1401" t="n"/>
      <c r="Y59" s="2895" t="inlineStr">
        <is>
          <t>17a</t>
        </is>
      </c>
      <c r="Z59" s="11201" t="n"/>
      <c r="AA59" s="11717" t="n"/>
      <c r="AB59" s="11718" t="n"/>
      <c r="AC59" s="5403" t="n"/>
      <c r="AD59" s="7854">
        <f>ROUND(Z59,0)</f>
        <v/>
      </c>
      <c r="AI59" s="1277" t="n"/>
      <c r="AJ59" s="344" t="n"/>
      <c r="AK59" s="2875" t="n"/>
      <c r="AL59" s="2875" t="n"/>
      <c r="AM59" s="9655" t="n"/>
      <c r="AN59" s="7834" t="n"/>
      <c r="AO59" s="5389">
        <f>ROUND(Z59,0)</f>
        <v/>
      </c>
      <c r="AP59" s="7834" t="n"/>
      <c r="AQ59" s="11704" t="n"/>
      <c r="AR59" s="658" t="n"/>
      <c r="AS59" s="658" t="n"/>
      <c r="AT59" s="658" t="n"/>
      <c r="AU59" s="658" t="n"/>
      <c r="AV59" s="658" t="n"/>
      <c r="AW59" s="658" t="n"/>
      <c r="AX59" s="658" t="n"/>
      <c r="AY59" s="658" t="n"/>
      <c r="AZ59" s="658" t="n"/>
      <c r="BA59" s="658" t="n"/>
    </row>
    <row r="60" ht="23.25" customHeight="1" s="7635">
      <c r="A60" s="1277" t="n"/>
      <c r="B60" s="11602" t="n"/>
      <c r="C60" s="8650" t="n"/>
      <c r="D60" s="810" t="inlineStr">
        <is>
          <t>b</t>
        </is>
      </c>
      <c r="E60" s="7772" t="inlineStr">
        <is>
          <t>Recapture of federal mortgage subsidy. If you sold your home</t>
        </is>
      </c>
      <c r="F60" s="11602" t="n"/>
      <c r="G60" s="11602" t="n"/>
      <c r="H60" s="11602" t="n"/>
      <c r="I60" s="11602" t="n"/>
      <c r="J60" s="11602" t="n"/>
      <c r="K60" s="11602" t="n"/>
      <c r="L60" s="11602" t="n"/>
      <c r="M60" s="11602" t="n"/>
      <c r="N60" s="11602" t="n"/>
      <c r="O60" s="11602" t="n"/>
      <c r="P60" s="11602" t="n"/>
      <c r="Q60" s="11602" t="n"/>
      <c r="R60" s="1218" t="n"/>
      <c r="S60" s="2373" t="n"/>
      <c r="T60" s="11602" t="n"/>
      <c r="U60" s="1807" t="n"/>
      <c r="V60" s="1807" t="n"/>
      <c r="W60" s="1807" t="n"/>
      <c r="X60" s="11602" t="n"/>
      <c r="Y60" s="2921" t="n"/>
      <c r="Z60" s="7878" t="n"/>
      <c r="AA60" s="7879" t="n"/>
      <c r="AB60" s="7879" t="n"/>
      <c r="AC60" s="5403" t="n"/>
      <c r="AD60" s="7566" t="n"/>
      <c r="AE60" s="5405" t="n"/>
      <c r="AF60" s="5405" t="n"/>
      <c r="AG60" s="5405" t="n"/>
      <c r="AH60" s="5405" t="n"/>
      <c r="AI60" s="1277" t="n"/>
      <c r="AJ60" s="344" t="n"/>
      <c r="AK60" s="11931" t="inlineStr">
        <is>
          <t>Manual
Override</t>
        </is>
      </c>
      <c r="AL60" s="2875" t="n"/>
      <c r="AM60" s="9655" t="n"/>
      <c r="AN60" s="7834" t="n"/>
      <c r="AO60" s="5389" t="n"/>
      <c r="AP60" s="7834" t="n"/>
      <c r="AQ60" s="11704" t="n"/>
      <c r="AR60" s="658" t="n"/>
      <c r="AS60" s="658" t="n"/>
      <c r="AT60" s="658" t="n"/>
      <c r="AU60" s="658" t="n"/>
      <c r="AV60" s="658" t="n"/>
      <c r="AW60" s="658" t="n"/>
      <c r="AX60" s="658" t="n"/>
      <c r="AY60" s="658" t="n"/>
      <c r="AZ60" s="658" t="n"/>
      <c r="BA60" s="658" t="n"/>
    </row>
    <row r="61" ht="15" customHeight="1" s="7635">
      <c r="A61" s="1277" t="n"/>
      <c r="B61" s="11602" t="n"/>
      <c r="C61" s="8650" t="n"/>
      <c r="D61" s="810" t="n"/>
      <c r="E61" s="7772" t="inlineStr">
        <is>
          <t>see instructions</t>
        </is>
      </c>
      <c r="F61" s="11602" t="n"/>
      <c r="G61" s="11602" t="n"/>
      <c r="H61" s="11602" t="n"/>
      <c r="I61" s="11602" t="n"/>
      <c r="J61" s="11602" t="n"/>
      <c r="K61" s="11602" t="n"/>
      <c r="L61" s="11602" t="n"/>
      <c r="M61" s="11602" t="n"/>
      <c r="N61" s="11602" t="n"/>
      <c r="O61" s="11602" t="n"/>
      <c r="P61" s="11602" t="n"/>
      <c r="Q61" s="11602" t="n"/>
      <c r="R61" s="1218" t="n"/>
      <c r="S61" s="2373" t="n"/>
      <c r="T61" s="11602" t="n"/>
      <c r="U61" s="1807" t="n"/>
      <c r="V61" s="1807" t="n"/>
      <c r="W61" s="1807" t="n"/>
      <c r="X61" s="1401" t="inlineStr">
        <is>
          <t xml:space="preserve">.   .   .   .   .   .   .   .   .   .   .   .   .   .   .   .   .   .   .  </t>
        </is>
      </c>
      <c r="Y61" s="2895" t="inlineStr">
        <is>
          <t>17b</t>
        </is>
      </c>
      <c r="Z61" s="11201" t="n"/>
      <c r="AA61" s="11717" t="n"/>
      <c r="AB61" s="11718" t="n"/>
      <c r="AC61" s="5403" t="n"/>
      <c r="AD61" s="7854">
        <f>ROUND(Z61,0)</f>
        <v/>
      </c>
      <c r="AI61" s="1277" t="n"/>
      <c r="AJ61" s="344" t="n"/>
      <c r="AK61" s="11934" t="n"/>
      <c r="AL61" s="2875" t="n"/>
      <c r="AM61" s="9655" t="n"/>
      <c r="AN61" s="7834" t="n"/>
      <c r="AO61" s="5389">
        <f>ROUND(Z61,0)</f>
        <v/>
      </c>
      <c r="AP61" s="7834" t="n"/>
      <c r="AQ61" s="11704" t="n"/>
      <c r="AR61" s="658" t="n"/>
      <c r="AS61" s="658" t="n"/>
      <c r="AT61" s="658" t="n"/>
      <c r="AU61" s="658" t="n"/>
      <c r="AV61" s="658" t="n"/>
      <c r="AW61" s="658" t="n"/>
      <c r="AX61" s="658" t="n"/>
      <c r="AY61" s="658" t="n"/>
      <c r="AZ61" s="658" t="n"/>
      <c r="BA61" s="658" t="n"/>
    </row>
    <row r="62" ht="23.25" customHeight="1" s="7635">
      <c r="A62" s="1277" t="n"/>
      <c r="B62" s="11602" t="n"/>
      <c r="C62" s="8650" t="n"/>
      <c r="D62" s="810" t="inlineStr">
        <is>
          <t>c</t>
        </is>
      </c>
      <c r="E62" s="7772" t="inlineStr">
        <is>
          <t>Additional tax on HSA distributions.   Attach Form 8889</t>
        </is>
      </c>
      <c r="F62" s="11602" t="n"/>
      <c r="G62" s="11602" t="n"/>
      <c r="H62" s="11602" t="n"/>
      <c r="I62" s="11602" t="n"/>
      <c r="J62" s="11602" t="n"/>
      <c r="K62" s="11602" t="n"/>
      <c r="L62" s="11602" t="n"/>
      <c r="M62" s="11602" t="n"/>
      <c r="N62" s="11602" t="n"/>
      <c r="O62" s="11602" t="n"/>
      <c r="P62" s="11602" t="n"/>
      <c r="Q62" s="11602" t="n"/>
      <c r="R62" s="1218" t="n"/>
      <c r="S62" s="2373" t="n"/>
      <c r="T62" s="11602" t="n"/>
      <c r="U62" s="7772" t="n"/>
      <c r="V62" s="7772" t="n"/>
      <c r="W62" s="7772" t="n"/>
      <c r="X62" s="1401" t="inlineStr">
        <is>
          <t xml:space="preserve">.   .   .   .   .   .   .  </t>
        </is>
      </c>
      <c r="Y62" s="2895" t="inlineStr">
        <is>
          <t>17c</t>
        </is>
      </c>
      <c r="Z62" s="11966">
        <f>IF(AK62&lt;&gt;"",ROUND(AK62,0),F8889_Line17b)</f>
        <v/>
      </c>
      <c r="AA62" s="8412" t="n"/>
      <c r="AB62" s="11734" t="n"/>
      <c r="AC62" s="5403" t="n"/>
      <c r="AD62" s="7854">
        <f>ROUND(Z62,0)</f>
        <v/>
      </c>
      <c r="AI62" s="1277" t="n"/>
      <c r="AJ62" s="344" t="n"/>
      <c r="AK62" s="732" t="n"/>
      <c r="AL62" s="2875" t="n"/>
      <c r="AM62" s="7301" t="inlineStr">
        <is>
          <t>Form 8889, line 17b</t>
        </is>
      </c>
      <c r="AN62" s="7834" t="n"/>
      <c r="AO62" s="5389">
        <f>ROUND(Z62,0)</f>
        <v/>
      </c>
      <c r="AP62" s="7834" t="n"/>
      <c r="AQ62" s="11704" t="n"/>
      <c r="AR62" s="658" t="n"/>
      <c r="AS62" s="658" t="n"/>
      <c r="AT62" s="658" t="n"/>
      <c r="AU62" s="658" t="n"/>
      <c r="AV62" s="658" t="n"/>
      <c r="AW62" s="658" t="n"/>
      <c r="AX62" s="658" t="n"/>
      <c r="AY62" s="658" t="n"/>
      <c r="AZ62" s="658" t="n"/>
      <c r="BA62" s="658" t="n"/>
    </row>
    <row r="63" ht="23.25" customHeight="1" s="7635">
      <c r="A63" s="1277" t="n"/>
      <c r="B63" s="11602" t="n"/>
      <c r="C63" s="8650" t="n"/>
      <c r="D63" s="810" t="inlineStr">
        <is>
          <t>d</t>
        </is>
      </c>
      <c r="E63" s="7772" t="inlineStr">
        <is>
          <t>Additional tax on an HSA because you didn't remain an eligible individual</t>
        </is>
      </c>
      <c r="F63" s="11602" t="n"/>
      <c r="G63" s="11602" t="n"/>
      <c r="H63" s="11602" t="n"/>
      <c r="I63" s="11602" t="n"/>
      <c r="J63" s="11602" t="n"/>
      <c r="K63" s="11602" t="n"/>
      <c r="L63" s="11602" t="n"/>
      <c r="M63" s="11602" t="n"/>
      <c r="N63" s="11602" t="n"/>
      <c r="O63" s="11602" t="n"/>
      <c r="P63" s="11602" t="n"/>
      <c r="Q63" s="11602" t="n"/>
      <c r="R63" s="1218" t="n"/>
      <c r="S63" s="2373" t="n"/>
      <c r="T63" s="11602" t="n"/>
      <c r="U63" s="1807" t="n"/>
      <c r="V63" s="1807" t="n"/>
      <c r="W63" s="1807" t="n"/>
      <c r="X63" s="11602" t="n"/>
      <c r="Y63" s="2921" t="n"/>
      <c r="Z63" s="7878" t="n"/>
      <c r="AA63" s="7879" t="n"/>
      <c r="AB63" s="7879" t="n"/>
      <c r="AC63" s="5403" t="n"/>
      <c r="AD63" s="7566" t="n"/>
      <c r="AE63" s="5405" t="n"/>
      <c r="AF63" s="5405" t="n"/>
      <c r="AG63" s="5405" t="n"/>
      <c r="AH63" s="5405" t="n"/>
      <c r="AI63" s="1277" t="n"/>
      <c r="AJ63" s="344" t="n"/>
      <c r="AK63" s="2875" t="n"/>
      <c r="AL63" s="2875" t="n"/>
      <c r="AM63" s="9655" t="n"/>
      <c r="AN63" s="7834" t="n"/>
      <c r="AO63" s="5389" t="n"/>
      <c r="AP63" s="7834" t="n"/>
      <c r="AQ63" s="11704" t="n"/>
      <c r="AR63" s="658" t="n"/>
      <c r="AS63" s="658" t="n"/>
      <c r="AT63" s="658" t="n"/>
      <c r="AU63" s="658" t="n"/>
      <c r="AV63" s="658" t="n"/>
      <c r="AW63" s="658" t="n"/>
      <c r="AX63" s="658" t="n"/>
      <c r="AY63" s="658" t="n"/>
      <c r="AZ63" s="658" t="n"/>
      <c r="BA63" s="658" t="n"/>
    </row>
    <row r="64" ht="15" customHeight="1" s="7635">
      <c r="A64" s="1277" t="n"/>
      <c r="B64" s="11602" t="n"/>
      <c r="C64" s="8650" t="n"/>
      <c r="D64" s="810" t="n"/>
      <c r="E64" s="7772" t="inlineStr">
        <is>
          <t>Attach Form 8889</t>
        </is>
      </c>
      <c r="F64" s="11602" t="n"/>
      <c r="G64" s="11602" t="n"/>
      <c r="H64" s="11602" t="n"/>
      <c r="I64" s="11602" t="n"/>
      <c r="J64" s="11602" t="n"/>
      <c r="K64" s="11602" t="n"/>
      <c r="L64" s="11602" t="n"/>
      <c r="M64" s="11602" t="n"/>
      <c r="N64" s="11602" t="n"/>
      <c r="O64" s="11602" t="n"/>
      <c r="P64" s="11602" t="n"/>
      <c r="Q64" s="11602" t="n"/>
      <c r="R64" s="1218" t="n"/>
      <c r="S64" s="2373" t="n"/>
      <c r="T64" s="11602" t="n"/>
      <c r="U64" s="7772" t="n"/>
      <c r="V64" s="7772" t="n"/>
      <c r="W64" s="7772" t="n"/>
      <c r="X64" s="1401" t="inlineStr">
        <is>
          <t xml:space="preserve">.   .   .   .   .   .   .   .   .   .   .   .   .   .   .   .   .   .   .   .   .   .   .  </t>
        </is>
      </c>
      <c r="Y64" s="2895" t="inlineStr">
        <is>
          <t>17d</t>
        </is>
      </c>
      <c r="Z64" s="11968">
        <f>IF(AK64&lt;&gt;"",ROUND(AK64,0),F8889_Line21)</f>
        <v/>
      </c>
      <c r="AA64" s="7637" t="n"/>
      <c r="AB64" s="7638" t="n"/>
      <c r="AC64" s="5403" t="n"/>
      <c r="AD64" s="7854">
        <f>ROUND(Z64,0)</f>
        <v/>
      </c>
      <c r="AI64" s="1277" t="n"/>
      <c r="AJ64" s="344" t="n"/>
      <c r="AK64" s="732" t="n"/>
      <c r="AL64" s="2875" t="n"/>
      <c r="AM64" s="8648" t="inlineStr">
        <is>
          <t>Form 8889, line 21</t>
        </is>
      </c>
      <c r="AN64" s="7834" t="n"/>
      <c r="AO64" s="5389">
        <f>ROUND(Z64,0)</f>
        <v/>
      </c>
      <c r="AP64" s="7834" t="n"/>
      <c r="AQ64" s="11704" t="n"/>
      <c r="AR64" s="658" t="n"/>
      <c r="AS64" s="658" t="n"/>
      <c r="AT64" s="658" t="n"/>
      <c r="AU64" s="658" t="n"/>
      <c r="AV64" s="658" t="n"/>
      <c r="AW64" s="658" t="n"/>
      <c r="AX64" s="658" t="n"/>
      <c r="AY64" s="658" t="n"/>
      <c r="AZ64" s="658" t="n"/>
      <c r="BA64" s="658" t="n"/>
    </row>
    <row r="65" ht="23.25" customHeight="1" s="7635">
      <c r="A65" s="1277" t="n"/>
      <c r="B65" s="11602" t="n"/>
      <c r="C65" s="8650" t="n"/>
      <c r="D65" s="810" t="inlineStr">
        <is>
          <t>e</t>
        </is>
      </c>
      <c r="E65" s="7772" t="inlineStr">
        <is>
          <t>Additional tax on Archer MSA distributions. Attach Form 8853</t>
        </is>
      </c>
      <c r="F65" s="11602" t="n"/>
      <c r="G65" s="11602" t="n"/>
      <c r="H65" s="11602" t="n"/>
      <c r="I65" s="11602" t="n"/>
      <c r="J65" s="11602" t="n"/>
      <c r="K65" s="11602" t="n"/>
      <c r="L65" s="11602" t="n"/>
      <c r="M65" s="11602" t="n"/>
      <c r="N65" s="11602" t="n"/>
      <c r="O65" s="11602" t="n"/>
      <c r="P65" s="11602" t="n"/>
      <c r="Q65" s="11602" t="n"/>
      <c r="R65" s="1218" t="n"/>
      <c r="S65" s="2373" t="n"/>
      <c r="T65" s="11602" t="n"/>
      <c r="U65" s="1807" t="n"/>
      <c r="V65" s="1807" t="n"/>
      <c r="W65" s="1807" t="n"/>
      <c r="X65" s="1401" t="inlineStr">
        <is>
          <t xml:space="preserve">.   .   .   .   .  </t>
        </is>
      </c>
      <c r="Y65" s="2895" t="inlineStr">
        <is>
          <t>17e</t>
        </is>
      </c>
      <c r="Z65" s="11201" t="n"/>
      <c r="AA65" s="11717" t="n"/>
      <c r="AB65" s="11718" t="n"/>
      <c r="AC65" s="5403" t="n"/>
      <c r="AD65" s="7854">
        <f>ROUND(Z65,0)</f>
        <v/>
      </c>
      <c r="AI65" s="1277" t="n"/>
      <c r="AJ65" s="344" t="n"/>
      <c r="AK65" s="2875" t="n"/>
      <c r="AL65" s="2875" t="n"/>
      <c r="AM65" s="9655" t="n"/>
      <c r="AN65" s="7834" t="n"/>
      <c r="AO65" s="5389">
        <f>ROUND(Z65,0)</f>
        <v/>
      </c>
      <c r="AP65" s="7834" t="n"/>
      <c r="AQ65" s="11704" t="n"/>
      <c r="AR65" s="658" t="n"/>
      <c r="AS65" s="658" t="n"/>
      <c r="AT65" s="658" t="n"/>
      <c r="AU65" s="658" t="n"/>
      <c r="AV65" s="658" t="n"/>
      <c r="AW65" s="658" t="n"/>
      <c r="AX65" s="658" t="n"/>
      <c r="AY65" s="658" t="n"/>
      <c r="AZ65" s="658" t="n"/>
      <c r="BA65" s="658" t="n"/>
    </row>
    <row r="66" ht="23.25" customHeight="1" s="7635">
      <c r="A66" s="1277" t="n"/>
      <c r="B66" s="11602" t="n"/>
      <c r="C66" s="8650" t="n"/>
      <c r="D66" s="810" t="inlineStr">
        <is>
          <t>f</t>
        </is>
      </c>
      <c r="E66" s="7772" t="inlineStr">
        <is>
          <t>Additional tax on Medicare Advantage MSA distributions. Attach</t>
        </is>
      </c>
      <c r="F66" s="11602" t="n"/>
      <c r="G66" s="11602" t="n"/>
      <c r="H66" s="11602" t="n"/>
      <c r="I66" s="11602" t="n"/>
      <c r="J66" s="11602" t="n"/>
      <c r="K66" s="11602" t="n"/>
      <c r="L66" s="11602" t="n"/>
      <c r="M66" s="11602" t="n"/>
      <c r="N66" s="11602" t="n"/>
      <c r="O66" s="11602" t="n"/>
      <c r="P66" s="11602" t="n"/>
      <c r="Q66" s="11602" t="n"/>
      <c r="R66" s="1218" t="n"/>
      <c r="S66" s="2373" t="n"/>
      <c r="T66" s="11602" t="n"/>
      <c r="U66" s="1807" t="n"/>
      <c r="V66" s="1807" t="n"/>
      <c r="W66" s="1807" t="n"/>
      <c r="X66" s="11602" t="n"/>
      <c r="Y66" s="2921" t="n"/>
      <c r="Z66" s="7878" t="n"/>
      <c r="AA66" s="7879" t="n"/>
      <c r="AB66" s="7879" t="n"/>
      <c r="AC66" s="5403" t="n"/>
      <c r="AD66" s="7566" t="n"/>
      <c r="AE66" s="5405" t="n"/>
      <c r="AF66" s="5405" t="n"/>
      <c r="AG66" s="5405" t="n"/>
      <c r="AH66" s="5405" t="n"/>
      <c r="AI66" s="1277" t="n"/>
      <c r="AJ66" s="344" t="n"/>
      <c r="AK66" s="2875" t="n"/>
      <c r="AL66" s="2875" t="n"/>
      <c r="AM66" s="9655" t="n"/>
      <c r="AN66" s="7834" t="n"/>
      <c r="AO66" s="5389" t="n"/>
      <c r="AP66" s="7834" t="n"/>
      <c r="AQ66" s="11704" t="n"/>
      <c r="AR66" s="658" t="n"/>
      <c r="AS66" s="658" t="n"/>
      <c r="AT66" s="658" t="n"/>
      <c r="AU66" s="658" t="n"/>
      <c r="AV66" s="658" t="n"/>
      <c r="AW66" s="658" t="n"/>
      <c r="AX66" s="658" t="n"/>
      <c r="AY66" s="658" t="n"/>
      <c r="AZ66" s="658" t="n"/>
      <c r="BA66" s="658" t="n"/>
    </row>
    <row r="67" ht="15" customHeight="1" s="7635">
      <c r="A67" s="1277" t="n"/>
      <c r="B67" s="11602" t="n"/>
      <c r="C67" s="8650" t="n"/>
      <c r="D67" s="810" t="n"/>
      <c r="E67" s="7772" t="inlineStr">
        <is>
          <t>Form 8853</t>
        </is>
      </c>
      <c r="F67" s="11602" t="n"/>
      <c r="G67" s="11602" t="n"/>
      <c r="H67" s="11602" t="n"/>
      <c r="I67" s="11602" t="n"/>
      <c r="J67" s="11602" t="n"/>
      <c r="K67" s="11602" t="n"/>
      <c r="L67" s="11602" t="n"/>
      <c r="M67" s="11602" t="n"/>
      <c r="N67" s="11602" t="n"/>
      <c r="O67" s="11602" t="n"/>
      <c r="P67" s="11602" t="n"/>
      <c r="Q67" s="11602" t="n"/>
      <c r="R67" s="1218" t="n"/>
      <c r="S67" s="2373" t="n"/>
      <c r="T67" s="11602" t="n"/>
      <c r="U67" s="1807" t="n"/>
      <c r="V67" s="1807" t="n"/>
      <c r="W67" s="1807" t="n"/>
      <c r="X67" s="1401" t="inlineStr">
        <is>
          <t xml:space="preserve">.   .   .   .   .   .   .   .   .   .   .   .   .   .   .   .   .   .   .   .   .   .  </t>
        </is>
      </c>
      <c r="Y67" s="2895" t="inlineStr">
        <is>
          <t>17f</t>
        </is>
      </c>
      <c r="Z67" s="11201" t="n"/>
      <c r="AA67" s="11717" t="n"/>
      <c r="AB67" s="11718" t="n"/>
      <c r="AC67" s="5403" t="n"/>
      <c r="AD67" s="7854">
        <f>ROUND(Z67,0)</f>
        <v/>
      </c>
      <c r="AI67" s="1277" t="n"/>
      <c r="AJ67" s="344" t="n"/>
      <c r="AK67" s="2875" t="n"/>
      <c r="AL67" s="2875" t="n"/>
      <c r="AM67" s="9655" t="n"/>
      <c r="AN67" s="7834" t="n"/>
      <c r="AO67" s="5389">
        <f>ROUND(Z67,0)</f>
        <v/>
      </c>
      <c r="AP67" s="7834" t="n"/>
      <c r="AQ67" s="11704" t="n"/>
      <c r="AR67" s="658" t="n"/>
      <c r="AS67" s="658" t="n"/>
      <c r="AT67" s="658" t="n"/>
      <c r="AU67" s="658" t="n"/>
      <c r="AV67" s="658" t="n"/>
      <c r="AW67" s="658" t="n"/>
      <c r="AX67" s="658" t="n"/>
      <c r="AY67" s="658" t="n"/>
      <c r="AZ67" s="658" t="n"/>
      <c r="BA67" s="658" t="n"/>
    </row>
    <row r="68" ht="23.25" customHeight="1" s="7635">
      <c r="A68" s="1277" t="n"/>
      <c r="B68" s="11602" t="n"/>
      <c r="C68" s="8650" t="n"/>
      <c r="D68" s="810" t="inlineStr">
        <is>
          <t>g</t>
        </is>
      </c>
      <c r="E68" s="7772" t="inlineStr">
        <is>
          <t>Recapture of a charitable contribution deduction related to a</t>
        </is>
      </c>
      <c r="F68" s="11602" t="n"/>
      <c r="G68" s="11602" t="n"/>
      <c r="H68" s="11602" t="n"/>
      <c r="I68" s="11602" t="n"/>
      <c r="J68" s="11602" t="n"/>
      <c r="K68" s="11602" t="n"/>
      <c r="L68" s="11602" t="n"/>
      <c r="M68" s="11602" t="n"/>
      <c r="N68" s="11602" t="n"/>
      <c r="O68" s="11602" t="n"/>
      <c r="P68" s="11602" t="n"/>
      <c r="Q68" s="11602" t="n"/>
      <c r="R68" s="1218" t="n"/>
      <c r="S68" s="2373" t="n"/>
      <c r="T68" s="11602" t="n"/>
      <c r="U68" s="1807" t="n"/>
      <c r="V68" s="1807" t="n"/>
      <c r="W68" s="1807" t="n"/>
      <c r="X68" s="11602" t="n"/>
      <c r="Y68" s="2921" t="n"/>
      <c r="Z68" s="7878" t="n"/>
      <c r="AA68" s="7879" t="n"/>
      <c r="AB68" s="7879" t="n"/>
      <c r="AC68" s="5403" t="n"/>
      <c r="AD68" s="7566" t="n"/>
      <c r="AE68" s="5405" t="n"/>
      <c r="AF68" s="5405" t="n"/>
      <c r="AG68" s="5405" t="n"/>
      <c r="AH68" s="5405" t="n"/>
      <c r="AI68" s="1277" t="n"/>
      <c r="AJ68" s="344" t="n"/>
      <c r="AK68" s="2875" t="n"/>
      <c r="AL68" s="2875" t="n"/>
      <c r="AM68" s="9655" t="n"/>
      <c r="AN68" s="7834" t="n"/>
      <c r="AO68" s="5389" t="n"/>
      <c r="AP68" s="7834" t="n"/>
      <c r="AQ68" s="11704" t="n"/>
      <c r="AR68" s="658" t="n"/>
      <c r="AS68" s="658" t="n"/>
      <c r="AT68" s="658" t="n"/>
      <c r="AU68" s="658" t="n"/>
      <c r="AV68" s="658" t="n"/>
      <c r="AW68" s="658" t="n"/>
      <c r="AX68" s="658" t="n"/>
      <c r="AY68" s="658" t="n"/>
      <c r="AZ68" s="658" t="n"/>
      <c r="BA68" s="658" t="n"/>
    </row>
    <row r="69" ht="15" customHeight="1" s="7635">
      <c r="A69" s="1277" t="n"/>
      <c r="B69" s="11602" t="n"/>
      <c r="C69" s="8650" t="n"/>
      <c r="D69" s="810" t="n"/>
      <c r="E69" s="7772" t="inlineStr">
        <is>
          <t>fractional interest in tangible personal property</t>
        </is>
      </c>
      <c r="F69" s="11602" t="n"/>
      <c r="G69" s="11602" t="n"/>
      <c r="H69" s="11602" t="n"/>
      <c r="I69" s="11602" t="n"/>
      <c r="J69" s="11602" t="n"/>
      <c r="K69" s="11602" t="n"/>
      <c r="L69" s="11602" t="n"/>
      <c r="M69" s="11602" t="n"/>
      <c r="N69" s="11602" t="n"/>
      <c r="O69" s="11602" t="n"/>
      <c r="P69" s="11602" t="n"/>
      <c r="Q69" s="11602" t="n"/>
      <c r="R69" s="1218" t="n"/>
      <c r="S69" s="2373" t="n"/>
      <c r="T69" s="11602" t="n"/>
      <c r="U69" s="1807" t="n"/>
      <c r="V69" s="1807" t="n"/>
      <c r="W69" s="1807" t="n"/>
      <c r="X69" s="1401" t="inlineStr">
        <is>
          <t xml:space="preserve">.   .   .   .   .   .   .  </t>
        </is>
      </c>
      <c r="Y69" s="2895" t="inlineStr">
        <is>
          <t>17g</t>
        </is>
      </c>
      <c r="Z69" s="11201" t="n"/>
      <c r="AA69" s="11717" t="n"/>
      <c r="AB69" s="11718" t="n"/>
      <c r="AC69" s="5403" t="n"/>
      <c r="AD69" s="7854">
        <f>ROUND(Z69,0)</f>
        <v/>
      </c>
      <c r="AI69" s="1277" t="n"/>
      <c r="AJ69" s="344" t="n"/>
      <c r="AK69" s="2875" t="n"/>
      <c r="AL69" s="2875" t="n"/>
      <c r="AM69" s="9655" t="n"/>
      <c r="AN69" s="7834" t="n"/>
      <c r="AO69" s="5389">
        <f>ROUND(Z69,0)</f>
        <v/>
      </c>
      <c r="AP69" s="7834" t="n"/>
      <c r="AQ69" s="11704" t="n"/>
      <c r="AR69" s="658" t="n"/>
      <c r="AS69" s="658" t="n"/>
      <c r="AT69" s="658" t="n"/>
      <c r="AU69" s="658" t="n"/>
      <c r="AV69" s="658" t="n"/>
      <c r="AW69" s="658" t="n"/>
      <c r="AX69" s="658" t="n"/>
      <c r="AY69" s="658" t="n"/>
      <c r="AZ69" s="658" t="n"/>
      <c r="BA69" s="658" t="n"/>
    </row>
    <row r="70" ht="23.25" customHeight="1" s="7635">
      <c r="A70" s="1277" t="n"/>
      <c r="B70" s="11602" t="n"/>
      <c r="C70" s="8650" t="n"/>
      <c r="D70" s="810" t="inlineStr">
        <is>
          <t>h</t>
        </is>
      </c>
      <c r="E70" s="7772" t="inlineStr">
        <is>
          <t>Income you received from a nonqualified deferred compensation plan that</t>
        </is>
      </c>
      <c r="F70" s="11602" t="n"/>
      <c r="G70" s="11602" t="n"/>
      <c r="H70" s="11602" t="n"/>
      <c r="I70" s="11602" t="n"/>
      <c r="J70" s="11602" t="n"/>
      <c r="K70" s="11602" t="n"/>
      <c r="L70" s="11602" t="n"/>
      <c r="M70" s="11602" t="n"/>
      <c r="N70" s="11602" t="n"/>
      <c r="O70" s="11602" t="n"/>
      <c r="P70" s="11602" t="n"/>
      <c r="Q70" s="11602" t="n"/>
      <c r="R70" s="1218" t="n"/>
      <c r="S70" s="2373" t="n"/>
      <c r="T70" s="11602" t="n"/>
      <c r="U70" s="1807" t="n"/>
      <c r="V70" s="1807" t="n"/>
      <c r="W70" s="1807" t="n"/>
      <c r="X70" s="11602" t="n"/>
      <c r="Y70" s="2921" t="n"/>
      <c r="Z70" s="7878" t="n"/>
      <c r="AA70" s="7879" t="n"/>
      <c r="AB70" s="7879" t="n"/>
      <c r="AC70" s="5403" t="n"/>
      <c r="AD70" s="7566" t="n"/>
      <c r="AE70" s="5405" t="n"/>
      <c r="AF70" s="5405" t="n"/>
      <c r="AG70" s="5405" t="n"/>
      <c r="AH70" s="5405" t="n"/>
      <c r="AI70" s="1277" t="n"/>
      <c r="AJ70" s="344" t="n"/>
      <c r="AK70" s="2875" t="n"/>
      <c r="AL70" s="2875" t="n"/>
      <c r="AM70" s="9655" t="n"/>
      <c r="AN70" s="7834" t="n"/>
      <c r="AO70" s="5389" t="n"/>
      <c r="AP70" s="7834" t="n"/>
      <c r="AQ70" s="11704" t="n"/>
      <c r="AR70" s="658" t="n"/>
      <c r="AS70" s="658" t="n"/>
      <c r="AT70" s="658" t="n"/>
      <c r="AU70" s="658" t="n"/>
      <c r="AV70" s="658" t="n"/>
      <c r="AW70" s="658" t="n"/>
      <c r="AX70" s="658" t="n"/>
      <c r="AY70" s="658" t="n"/>
      <c r="AZ70" s="658" t="n"/>
      <c r="BA70" s="658" t="n"/>
    </row>
    <row r="71" ht="15" customHeight="1" s="7635">
      <c r="A71" s="1277" t="n"/>
      <c r="B71" s="11602" t="n"/>
      <c r="C71" s="8650" t="n"/>
      <c r="D71" s="810" t="n"/>
      <c r="E71" s="7772" t="inlineStr">
        <is>
          <t>fails to meet the requirements of section 409A</t>
        </is>
      </c>
      <c r="F71" s="11602" t="n"/>
      <c r="G71" s="11602" t="n"/>
      <c r="H71" s="11602" t="n"/>
      <c r="I71" s="11602" t="n"/>
      <c r="J71" s="11602" t="n"/>
      <c r="K71" s="11602" t="n"/>
      <c r="L71" s="11602" t="n"/>
      <c r="M71" s="11602" t="n"/>
      <c r="N71" s="11602" t="n"/>
      <c r="O71" s="11602" t="n"/>
      <c r="P71" s="11602" t="n"/>
      <c r="Q71" s="11602" t="n"/>
      <c r="R71" s="1218" t="n"/>
      <c r="S71" s="2373" t="n"/>
      <c r="T71" s="11602" t="n"/>
      <c r="U71" s="1807" t="n"/>
      <c r="V71" s="1807" t="n"/>
      <c r="W71" s="1807" t="n"/>
      <c r="X71" s="1401" t="inlineStr">
        <is>
          <t xml:space="preserve">.   .   .   .   .   .   .   .   .   .  </t>
        </is>
      </c>
      <c r="Y71" s="2895" t="inlineStr">
        <is>
          <t>17h</t>
        </is>
      </c>
      <c r="Z71" s="11201" t="n"/>
      <c r="AA71" s="11717" t="n"/>
      <c r="AB71" s="11718" t="n"/>
      <c r="AC71" s="5403" t="n"/>
      <c r="AD71" s="7854">
        <f>ROUND(Z71,0)</f>
        <v/>
      </c>
      <c r="AI71" s="1277" t="n"/>
      <c r="AJ71" s="344" t="n"/>
      <c r="AK71" s="2875" t="n"/>
      <c r="AL71" s="2875" t="n"/>
      <c r="AM71" s="9655" t="n"/>
      <c r="AN71" s="7834" t="n"/>
      <c r="AO71" s="5389">
        <f>ROUND(Z71,0)</f>
        <v/>
      </c>
      <c r="AP71" s="7834" t="n"/>
      <c r="AQ71" s="11704" t="n"/>
      <c r="AR71" s="658" t="n"/>
      <c r="AS71" s="658" t="n"/>
      <c r="AT71" s="658" t="n"/>
      <c r="AU71" s="658" t="n"/>
      <c r="AV71" s="658" t="n"/>
      <c r="AW71" s="658" t="n"/>
      <c r="AX71" s="658" t="n"/>
      <c r="AY71" s="658" t="n"/>
      <c r="AZ71" s="658" t="n"/>
      <c r="BA71" s="658" t="n"/>
    </row>
    <row r="72" ht="23.25" customHeight="1" s="7635">
      <c r="A72" s="1277" t="n"/>
      <c r="B72" s="11602" t="n"/>
      <c r="C72" s="8650" t="n"/>
      <c r="D72" s="810" t="inlineStr">
        <is>
          <t>i</t>
        </is>
      </c>
      <c r="E72" s="7772" t="inlineStr">
        <is>
          <t>Compensation you received from a nonqualified deferred compensation</t>
        </is>
      </c>
      <c r="F72" s="11602" t="n"/>
      <c r="G72" s="11602" t="n"/>
      <c r="H72" s="11602" t="n"/>
      <c r="I72" s="11602" t="n"/>
      <c r="J72" s="11602" t="n"/>
      <c r="K72" s="11602" t="n"/>
      <c r="L72" s="11602" t="n"/>
      <c r="M72" s="11602" t="n"/>
      <c r="N72" s="11602" t="n"/>
      <c r="O72" s="11602" t="n"/>
      <c r="P72" s="11602" t="n"/>
      <c r="Q72" s="11602" t="n"/>
      <c r="R72" s="1218" t="n"/>
      <c r="S72" s="2373" t="n"/>
      <c r="T72" s="11602" t="n"/>
      <c r="U72" s="1807" t="n"/>
      <c r="V72" s="1807" t="n"/>
      <c r="W72" s="1807" t="n"/>
      <c r="X72" s="11602" t="n"/>
      <c r="Y72" s="2921" t="n"/>
      <c r="Z72" s="7878" t="n"/>
      <c r="AA72" s="7879" t="n"/>
      <c r="AB72" s="7879" t="n"/>
      <c r="AC72" s="5403" t="n"/>
      <c r="AD72" s="7566" t="n"/>
      <c r="AE72" s="5405" t="n"/>
      <c r="AF72" s="5405" t="n"/>
      <c r="AG72" s="5405" t="n"/>
      <c r="AH72" s="5405" t="n"/>
      <c r="AI72" s="1277" t="n"/>
      <c r="AJ72" s="344" t="n"/>
      <c r="AK72" s="2875" t="n"/>
      <c r="AL72" s="2875" t="n"/>
      <c r="AM72" s="9655" t="n"/>
      <c r="AN72" s="7834" t="n"/>
      <c r="AO72" s="5389" t="n"/>
      <c r="AP72" s="7834" t="n"/>
      <c r="AQ72" s="11704" t="n"/>
      <c r="AR72" s="658" t="n"/>
      <c r="AS72" s="658" t="n"/>
      <c r="AT72" s="658" t="n"/>
      <c r="AU72" s="658" t="n"/>
      <c r="AV72" s="658" t="n"/>
      <c r="AW72" s="658" t="n"/>
      <c r="AX72" s="658" t="n"/>
      <c r="AY72" s="658" t="n"/>
      <c r="AZ72" s="658" t="n"/>
      <c r="BA72" s="658" t="n"/>
    </row>
    <row r="73" ht="19.5" customHeight="1" s="7635">
      <c r="A73" s="1277" t="n"/>
      <c r="B73" s="11602" t="n"/>
      <c r="C73" s="8650" t="n"/>
      <c r="D73" s="810" t="n"/>
      <c r="E73" s="2006" t="inlineStr">
        <is>
          <t>plan described in section 457A</t>
        </is>
      </c>
      <c r="F73" s="11602" t="n"/>
      <c r="G73" s="11602" t="n"/>
      <c r="H73" s="11602" t="n"/>
      <c r="I73" s="11602" t="n"/>
      <c r="J73" s="11602" t="n"/>
      <c r="K73" s="11602" t="n"/>
      <c r="L73" s="11602" t="n"/>
      <c r="M73" s="11602" t="n"/>
      <c r="N73" s="11602" t="n"/>
      <c r="O73" s="11602" t="n"/>
      <c r="P73" s="11602" t="n"/>
      <c r="Q73" s="11602" t="n"/>
      <c r="R73" s="1218" t="n"/>
      <c r="S73" s="2373" t="n"/>
      <c r="T73" s="11602" t="n"/>
      <c r="U73" s="1807" t="n"/>
      <c r="V73" s="1807" t="n"/>
      <c r="W73" s="1807" t="n"/>
      <c r="X73" s="1401" t="inlineStr">
        <is>
          <t xml:space="preserve">.   .   .   .   .   .   .   .   .   .   .   .   .   .   .   .   .  </t>
        </is>
      </c>
      <c r="Y73" s="2895" t="inlineStr">
        <is>
          <t>17i</t>
        </is>
      </c>
      <c r="Z73" s="11201" t="n"/>
      <c r="AA73" s="11717" t="n"/>
      <c r="AB73" s="11718" t="n"/>
      <c r="AC73" s="5403" t="n"/>
      <c r="AD73" s="7854">
        <f>ROUND(Z73,0)</f>
        <v/>
      </c>
      <c r="AI73" s="1277" t="n"/>
      <c r="AJ73" s="344" t="n"/>
      <c r="AK73" s="2875" t="n"/>
      <c r="AL73" s="2875" t="n"/>
      <c r="AM73" s="9655" t="n"/>
      <c r="AN73" s="7834" t="n"/>
      <c r="AO73" s="5389">
        <f>ROUND(Z73,0)</f>
        <v/>
      </c>
      <c r="AP73" s="7834" t="n"/>
      <c r="AQ73" s="11704" t="n"/>
      <c r="AR73" s="658" t="n"/>
      <c r="AS73" s="658" t="n"/>
      <c r="AT73" s="658" t="n"/>
      <c r="AU73" s="658" t="n"/>
      <c r="AV73" s="658" t="n"/>
      <c r="AW73" s="658" t="n"/>
      <c r="AX73" s="658" t="n"/>
      <c r="AY73" s="658" t="n"/>
      <c r="AZ73" s="658" t="n"/>
      <c r="BA73" s="658" t="n"/>
    </row>
    <row r="74" ht="19.5" customHeight="1" s="7635">
      <c r="A74" s="1277" t="n"/>
      <c r="B74" s="11602" t="n"/>
      <c r="C74" s="8650" t="n"/>
      <c r="D74" s="810" t="inlineStr">
        <is>
          <t>j</t>
        </is>
      </c>
      <c r="E74" s="7772" t="inlineStr">
        <is>
          <t>Section 72(m)(5) excess benefits tax</t>
        </is>
      </c>
      <c r="F74" s="11602" t="n"/>
      <c r="G74" s="11602" t="n"/>
      <c r="H74" s="11602" t="n"/>
      <c r="I74" s="11602" t="n"/>
      <c r="J74" s="11602" t="n"/>
      <c r="K74" s="11602" t="n"/>
      <c r="L74" s="11602" t="n"/>
      <c r="M74" s="11602" t="n"/>
      <c r="N74" s="11602" t="n"/>
      <c r="O74" s="11602" t="n"/>
      <c r="P74" s="11602" t="n"/>
      <c r="Q74" s="11602" t="n"/>
      <c r="R74" s="1218" t="n"/>
      <c r="S74" s="2373" t="n"/>
      <c r="T74" s="11602" t="n"/>
      <c r="U74" s="1807" t="n"/>
      <c r="V74" s="1807" t="n"/>
      <c r="W74" s="1807" t="n"/>
      <c r="X74" s="1401" t="inlineStr">
        <is>
          <t xml:space="preserve">.   .   .   .   .   .   .   .   .   .   .   .   .   .   .   .  </t>
        </is>
      </c>
      <c r="Y74" s="2895" t="inlineStr">
        <is>
          <t>17j</t>
        </is>
      </c>
      <c r="Z74" s="11201" t="n"/>
      <c r="AA74" s="11717" t="n"/>
      <c r="AB74" s="11718" t="n"/>
      <c r="AC74" s="5403" t="n"/>
      <c r="AD74" s="7854">
        <f>ROUND(Z74,0)</f>
        <v/>
      </c>
      <c r="AI74" s="1277" t="n"/>
      <c r="AJ74" s="344" t="n"/>
      <c r="AK74" s="2875" t="n"/>
      <c r="AL74" s="2875" t="n"/>
      <c r="AM74" s="9655" t="n"/>
      <c r="AN74" s="7834" t="n"/>
      <c r="AO74" s="5389">
        <f>ROUND(Z74,0)</f>
        <v/>
      </c>
      <c r="AP74" s="7834" t="n"/>
      <c r="AQ74" s="11704" t="n"/>
      <c r="AR74" s="658" t="n"/>
      <c r="AS74" s="658" t="n"/>
      <c r="AT74" s="658" t="n"/>
      <c r="AU74" s="658" t="n"/>
      <c r="AV74" s="658" t="n"/>
      <c r="AW74" s="658" t="n"/>
      <c r="AX74" s="658" t="n"/>
      <c r="AY74" s="658" t="n"/>
      <c r="AZ74" s="658" t="n"/>
      <c r="BA74" s="658" t="n"/>
    </row>
    <row r="75" ht="21" customHeight="1" s="7635">
      <c r="A75" s="1277" t="n"/>
      <c r="B75" s="11602" t="n"/>
      <c r="C75" s="8650" t="n"/>
      <c r="D75" s="810" t="inlineStr">
        <is>
          <t>k</t>
        </is>
      </c>
      <c r="E75" s="7772" t="inlineStr">
        <is>
          <t>Golden parachute payments</t>
        </is>
      </c>
      <c r="F75" s="11602" t="n"/>
      <c r="G75" s="11602" t="n"/>
      <c r="H75" s="11602" t="n"/>
      <c r="I75" s="11602" t="n"/>
      <c r="J75" s="11602" t="n"/>
      <c r="K75" s="11602" t="n"/>
      <c r="L75" s="11602" t="n"/>
      <c r="M75" s="11602" t="n"/>
      <c r="N75" s="11602" t="n"/>
      <c r="O75" s="11602" t="n"/>
      <c r="P75" s="11602" t="n"/>
      <c r="Q75" s="11602" t="n"/>
      <c r="R75" s="1218" t="n"/>
      <c r="S75" s="2373" t="n"/>
      <c r="T75" s="11602" t="n"/>
      <c r="U75" s="1807" t="n"/>
      <c r="V75" s="1807" t="n"/>
      <c r="W75" s="1807" t="n"/>
      <c r="X75" s="1401" t="inlineStr">
        <is>
          <t xml:space="preserve">.   .   .   .   .   .   .   .   .   .   .   .   .   .   .   .   .  </t>
        </is>
      </c>
      <c r="Y75" s="2895" t="inlineStr">
        <is>
          <t>17k</t>
        </is>
      </c>
      <c r="Z75" s="11968">
        <f>IF(AK75&lt;&gt;"",ROUND(AK75,0),ExciseTaxGoldParachute)</f>
        <v/>
      </c>
      <c r="AA75" s="7637" t="n"/>
      <c r="AB75" s="7638" t="n"/>
      <c r="AC75" s="5403" t="n"/>
      <c r="AD75" s="7854">
        <f>ROUND(Z75,0)</f>
        <v/>
      </c>
      <c r="AI75" s="1277" t="n"/>
      <c r="AJ75" s="344" t="n"/>
      <c r="AK75" s="1329" t="n"/>
      <c r="AL75" s="2875" t="n"/>
      <c r="AM75" s="8648" t="inlineStr">
        <is>
          <t>W-2, line 12, Code  K</t>
        </is>
      </c>
      <c r="AN75" s="7834" t="n"/>
      <c r="AO75" s="5389">
        <f>ROUND(Z75,0)</f>
        <v/>
      </c>
      <c r="AP75" s="7834" t="n"/>
      <c r="AQ75" s="11704" t="n"/>
      <c r="AR75" s="658" t="n"/>
      <c r="AS75" s="658" t="n"/>
      <c r="AT75" s="658" t="n"/>
      <c r="AU75" s="658" t="n"/>
      <c r="AV75" s="658" t="n"/>
      <c r="AW75" s="658" t="n"/>
      <c r="AX75" s="658" t="n"/>
      <c r="AY75" s="658" t="n"/>
      <c r="AZ75" s="658" t="n"/>
      <c r="BA75" s="658" t="n"/>
    </row>
    <row r="76" ht="21" customHeight="1" s="7635">
      <c r="A76" s="1277" t="n"/>
      <c r="B76" s="11602" t="n"/>
      <c r="C76" s="8650" t="n"/>
      <c r="D76" s="810" t="inlineStr">
        <is>
          <t>l</t>
        </is>
      </c>
      <c r="E76" s="7772" t="inlineStr">
        <is>
          <t>Tax on accumulation distribution of trusts</t>
        </is>
      </c>
      <c r="F76" s="11602" t="n"/>
      <c r="G76" s="11602" t="n"/>
      <c r="H76" s="11602" t="n"/>
      <c r="I76" s="11602" t="n"/>
      <c r="J76" s="11602" t="n"/>
      <c r="K76" s="11602" t="n"/>
      <c r="L76" s="11602" t="n"/>
      <c r="M76" s="11602" t="n"/>
      <c r="N76" s="11602" t="n"/>
      <c r="O76" s="11602" t="n"/>
      <c r="P76" s="11602" t="n"/>
      <c r="Q76" s="11602" t="n"/>
      <c r="R76" s="1218" t="n"/>
      <c r="S76" s="2373" t="n"/>
      <c r="T76" s="11602" t="n"/>
      <c r="U76" s="1807" t="n"/>
      <c r="V76" s="1807" t="n"/>
      <c r="W76" s="1807" t="n"/>
      <c r="X76" s="1401" t="inlineStr">
        <is>
          <t xml:space="preserve">.   .   .   .   .   .   .   .   .   .   .   .  </t>
        </is>
      </c>
      <c r="Y76" s="2895" t="inlineStr">
        <is>
          <t>17l</t>
        </is>
      </c>
      <c r="Z76" s="11201" t="n"/>
      <c r="AA76" s="11717" t="n"/>
      <c r="AB76" s="11718" t="n"/>
      <c r="AC76" s="5403" t="n"/>
      <c r="AD76" s="7854">
        <f>ROUND(Z76,0)</f>
        <v/>
      </c>
      <c r="AI76" s="1277" t="n"/>
      <c r="AJ76" s="344" t="n"/>
      <c r="AK76" s="2875" t="n"/>
      <c r="AL76" s="2875" t="n"/>
      <c r="AM76" s="9655" t="n"/>
      <c r="AN76" s="7834" t="n"/>
      <c r="AO76" s="5389">
        <f>ROUND(Z76,0)</f>
        <v/>
      </c>
      <c r="AP76" s="7834" t="n"/>
      <c r="AQ76" s="11704" t="n"/>
      <c r="AR76" s="658" t="n"/>
      <c r="AS76" s="658" t="n"/>
      <c r="AT76" s="658" t="n"/>
      <c r="AU76" s="658" t="n"/>
      <c r="AV76" s="658" t="n"/>
      <c r="AW76" s="658" t="n"/>
      <c r="AX76" s="658" t="n"/>
      <c r="AY76" s="658" t="n"/>
      <c r="AZ76" s="658" t="n"/>
      <c r="BA76" s="658" t="n"/>
    </row>
    <row r="77" ht="21" customHeight="1" s="7635">
      <c r="A77" s="1277" t="n"/>
      <c r="B77" s="11602" t="n"/>
      <c r="C77" s="8650" t="n"/>
      <c r="D77" s="810" t="inlineStr">
        <is>
          <t>m</t>
        </is>
      </c>
      <c r="E77" s="7772" t="inlineStr">
        <is>
          <t>Excise tax on insider stock compensation from an expatriated corporation</t>
        </is>
      </c>
      <c r="F77" s="11602" t="n"/>
      <c r="G77" s="11602" t="n"/>
      <c r="H77" s="11602" t="n"/>
      <c r="I77" s="11602" t="n"/>
      <c r="J77" s="11602" t="n"/>
      <c r="K77" s="11602" t="n"/>
      <c r="L77" s="11602" t="n"/>
      <c r="M77" s="11602" t="n"/>
      <c r="N77" s="11602" t="n"/>
      <c r="O77" s="11602" t="n"/>
      <c r="P77" s="11602" t="n"/>
      <c r="Q77" s="11602" t="n"/>
      <c r="R77" s="1218" t="n"/>
      <c r="S77" s="2373" t="n"/>
      <c r="T77" s="11602" t="n"/>
      <c r="U77" s="1807" t="n"/>
      <c r="V77" s="1807" t="n"/>
      <c r="W77" s="1807" t="n"/>
      <c r="X77" s="1401" t="inlineStr">
        <is>
          <t xml:space="preserve">.  </t>
        </is>
      </c>
      <c r="Y77" s="2895" t="inlineStr">
        <is>
          <t>17m</t>
        </is>
      </c>
      <c r="Z77" s="11201" t="n"/>
      <c r="AA77" s="11717" t="n"/>
      <c r="AB77" s="11718" t="n"/>
      <c r="AC77" s="5403" t="n"/>
      <c r="AD77" s="7854">
        <f>ROUND(Z77,0)</f>
        <v/>
      </c>
      <c r="AI77" s="1277" t="n"/>
      <c r="AJ77" s="344" t="n"/>
      <c r="AK77" s="2875" t="n"/>
      <c r="AL77" s="2875" t="n"/>
      <c r="AM77" s="9655" t="n"/>
      <c r="AN77" s="7834" t="n"/>
      <c r="AO77" s="5389">
        <f>ROUND(Z77,0)</f>
        <v/>
      </c>
      <c r="AP77" s="7834" t="n"/>
      <c r="AQ77" s="11704" t="n"/>
      <c r="AR77" s="658" t="n"/>
      <c r="AS77" s="658" t="n"/>
      <c r="AT77" s="658" t="n"/>
      <c r="AU77" s="658" t="n"/>
      <c r="AV77" s="658" t="n"/>
      <c r="AW77" s="658" t="n"/>
      <c r="AX77" s="658" t="n"/>
      <c r="AY77" s="658" t="n"/>
      <c r="AZ77" s="658" t="n"/>
      <c r="BA77" s="658" t="n"/>
    </row>
    <row r="78" ht="21" customHeight="1" s="7635">
      <c r="A78" s="1277" t="n"/>
      <c r="B78" s="11602" t="n"/>
      <c r="C78" s="8650" t="n"/>
      <c r="D78" s="810" t="inlineStr">
        <is>
          <t>n</t>
        </is>
      </c>
      <c r="E78" s="7772" t="inlineStr">
        <is>
          <t>Look-back interest under section 167(g) or 460(b) from From 8697 or 8866</t>
        </is>
      </c>
      <c r="F78" s="11602" t="n"/>
      <c r="G78" s="11602" t="n"/>
      <c r="H78" s="11602" t="n"/>
      <c r="I78" s="11602" t="n"/>
      <c r="J78" s="11602" t="n"/>
      <c r="K78" s="11602" t="n"/>
      <c r="L78" s="11602" t="n"/>
      <c r="M78" s="11602" t="n"/>
      <c r="N78" s="11602" t="n"/>
      <c r="O78" s="11602" t="n"/>
      <c r="P78" s="11602" t="n"/>
      <c r="Q78" s="11602" t="n"/>
      <c r="R78" s="1218" t="n"/>
      <c r="S78" s="2373" t="n"/>
      <c r="T78" s="11602" t="n"/>
      <c r="U78" s="1807" t="n"/>
      <c r="V78" s="1807" t="n"/>
      <c r="W78" s="1807" t="n"/>
      <c r="X78" s="1401" t="n"/>
      <c r="Y78" s="2895" t="inlineStr">
        <is>
          <t>17n</t>
        </is>
      </c>
      <c r="Z78" s="11201" t="n"/>
      <c r="AA78" s="11717" t="n"/>
      <c r="AB78" s="11718" t="n"/>
      <c r="AC78" s="5403" t="n"/>
      <c r="AD78" s="7854">
        <f>ROUND(Z78,0)</f>
        <v/>
      </c>
      <c r="AI78" s="1277" t="n"/>
      <c r="AJ78" s="344" t="n"/>
      <c r="AK78" s="2875" t="n"/>
      <c r="AL78" s="2875" t="n"/>
      <c r="AM78" s="9655" t="n"/>
      <c r="AN78" s="7834" t="n"/>
      <c r="AO78" s="5389">
        <f>ROUND(Z78,0)</f>
        <v/>
      </c>
      <c r="AP78" s="7834" t="n"/>
      <c r="AQ78" s="11704" t="n"/>
      <c r="AR78" s="658" t="n"/>
      <c r="AS78" s="658" t="n"/>
      <c r="AT78" s="658" t="n"/>
      <c r="AU78" s="658" t="n"/>
      <c r="AV78" s="658" t="n"/>
      <c r="AW78" s="658" t="n"/>
      <c r="AX78" s="658" t="n"/>
      <c r="AY78" s="658" t="n"/>
      <c r="AZ78" s="658" t="n"/>
      <c r="BA78" s="658" t="n"/>
    </row>
    <row r="79" ht="23.25" customHeight="1" s="7635">
      <c r="A79" s="1277" t="n"/>
      <c r="B79" s="11602" t="n"/>
      <c r="C79" s="8650" t="n"/>
      <c r="D79" s="810" t="inlineStr">
        <is>
          <t>o</t>
        </is>
      </c>
      <c r="E79" s="7772" t="inlineStr">
        <is>
          <t>Tax on non-effectively connected income for any part of the year you were</t>
        </is>
      </c>
      <c r="F79" s="11602" t="n"/>
      <c r="G79" s="11602" t="n"/>
      <c r="H79" s="11602" t="n"/>
      <c r="I79" s="11602" t="n"/>
      <c r="J79" s="11602" t="n"/>
      <c r="K79" s="11602" t="n"/>
      <c r="L79" s="11602" t="n"/>
      <c r="M79" s="11602" t="n"/>
      <c r="N79" s="11602" t="n"/>
      <c r="O79" s="11602" t="n"/>
      <c r="P79" s="11602" t="n"/>
      <c r="Q79" s="11602" t="n"/>
      <c r="R79" s="1218" t="n"/>
      <c r="S79" s="2373" t="n"/>
      <c r="T79" s="11602" t="n"/>
      <c r="U79" s="1807" t="n"/>
      <c r="V79" s="1807" t="n"/>
      <c r="W79" s="1807" t="n"/>
      <c r="X79" s="11602" t="n"/>
      <c r="Y79" s="2921" t="n"/>
      <c r="Z79" s="7878" t="n"/>
      <c r="AA79" s="7879" t="n"/>
      <c r="AB79" s="7879" t="n"/>
      <c r="AC79" s="5403" t="n"/>
      <c r="AD79" s="7566" t="n"/>
      <c r="AE79" s="5405" t="n"/>
      <c r="AF79" s="5405" t="n"/>
      <c r="AG79" s="5405" t="n"/>
      <c r="AH79" s="5405" t="n"/>
      <c r="AI79" s="1277" t="n"/>
      <c r="AJ79" s="344" t="n"/>
      <c r="AK79" s="2875" t="n"/>
      <c r="AL79" s="2875" t="n"/>
      <c r="AM79" s="9655" t="n"/>
      <c r="AN79" s="7834" t="n"/>
      <c r="AO79" s="5389" t="n"/>
      <c r="AP79" s="7834" t="n"/>
      <c r="AQ79" s="11704" t="n"/>
      <c r="AR79" s="658" t="n"/>
      <c r="AS79" s="658" t="n"/>
      <c r="AT79" s="658" t="n"/>
      <c r="AU79" s="658" t="n"/>
      <c r="AV79" s="658" t="n"/>
      <c r="AW79" s="658" t="n"/>
      <c r="AX79" s="658" t="n"/>
      <c r="AY79" s="658" t="n"/>
      <c r="AZ79" s="658" t="n"/>
      <c r="BA79" s="658" t="n"/>
    </row>
    <row r="80" ht="15" customHeight="1" s="7635">
      <c r="A80" s="1277" t="n"/>
      <c r="B80" s="11602" t="n"/>
      <c r="C80" s="8650" t="n"/>
      <c r="D80" s="810" t="n"/>
      <c r="E80" s="7772" t="inlineStr">
        <is>
          <t>a nonresident alien from Form 1040-NR</t>
        </is>
      </c>
      <c r="F80" s="11602" t="n"/>
      <c r="G80" s="11602" t="n"/>
      <c r="H80" s="11602" t="n"/>
      <c r="I80" s="11602" t="n"/>
      <c r="J80" s="11602" t="n"/>
      <c r="K80" s="11602" t="n"/>
      <c r="L80" s="11602" t="n"/>
      <c r="M80" s="11602" t="n"/>
      <c r="N80" s="11602" t="n"/>
      <c r="O80" s="11602" t="n"/>
      <c r="P80" s="11602" t="n"/>
      <c r="Q80" s="11602" t="n"/>
      <c r="R80" s="1218" t="n"/>
      <c r="S80" s="2373" t="n"/>
      <c r="T80" s="11602" t="n"/>
      <c r="U80" s="1807" t="n"/>
      <c r="V80" s="1807" t="n"/>
      <c r="W80" s="1807" t="n"/>
      <c r="X80" s="1401" t="inlineStr">
        <is>
          <t xml:space="preserve">   .   .   .   .   .   .   .   .   .   .   .   .   .  </t>
        </is>
      </c>
      <c r="Y80" s="2895" t="inlineStr">
        <is>
          <t>17o</t>
        </is>
      </c>
      <c r="Z80" s="11201" t="n"/>
      <c r="AA80" s="11717" t="n"/>
      <c r="AB80" s="11718" t="n"/>
      <c r="AC80" s="5403" t="n"/>
      <c r="AD80" s="7854">
        <f>ROUND(Z80,0)</f>
        <v/>
      </c>
      <c r="AI80" s="1277" t="n"/>
      <c r="AJ80" s="344" t="n"/>
      <c r="AK80" s="2875" t="n"/>
      <c r="AL80" s="2875" t="n"/>
      <c r="AM80" s="9655" t="n"/>
      <c r="AN80" s="7834" t="n"/>
      <c r="AO80" s="5389">
        <f>ROUND(Z80,0)</f>
        <v/>
      </c>
      <c r="AP80" s="7834" t="n"/>
      <c r="AQ80" s="11704" t="n"/>
      <c r="AR80" s="658" t="n"/>
      <c r="AS80" s="658" t="n"/>
      <c r="AT80" s="658" t="n"/>
      <c r="AU80" s="658" t="n"/>
      <c r="AV80" s="658" t="n"/>
      <c r="AW80" s="658" t="n"/>
      <c r="AX80" s="658" t="n"/>
      <c r="AY80" s="658" t="n"/>
      <c r="AZ80" s="658" t="n"/>
      <c r="BA80" s="658" t="n"/>
    </row>
    <row r="81" ht="23.25" customHeight="1" s="7635">
      <c r="A81" s="1277" t="n"/>
      <c r="B81" s="11602" t="n"/>
      <c r="C81" s="8650" t="n"/>
      <c r="D81" s="810" t="inlineStr">
        <is>
          <t>p</t>
        </is>
      </c>
      <c r="E81" s="7772" t="inlineStr">
        <is>
          <t>Any interest from Form 8621, line 16f, relating to distributions from, and</t>
        </is>
      </c>
      <c r="F81" s="11602" t="n"/>
      <c r="G81" s="11602" t="n"/>
      <c r="H81" s="11602" t="n"/>
      <c r="I81" s="11602" t="n"/>
      <c r="J81" s="11602" t="n"/>
      <c r="K81" s="11602" t="n"/>
      <c r="L81" s="11602" t="n"/>
      <c r="M81" s="11602" t="n"/>
      <c r="N81" s="11602" t="n"/>
      <c r="O81" s="11602" t="n"/>
      <c r="P81" s="11602" t="n"/>
      <c r="Q81" s="11602" t="n"/>
      <c r="R81" s="1218" t="n"/>
      <c r="S81" s="2373" t="n"/>
      <c r="T81" s="11602" t="n"/>
      <c r="U81" s="1807" t="n"/>
      <c r="V81" s="1807" t="n"/>
      <c r="W81" s="1807" t="n"/>
      <c r="X81" s="11602" t="n"/>
      <c r="Y81" s="2921" t="n"/>
      <c r="Z81" s="7878" t="n"/>
      <c r="AA81" s="7879" t="n"/>
      <c r="AB81" s="7879" t="n"/>
      <c r="AC81" s="5403" t="n"/>
      <c r="AD81" s="7566" t="n"/>
      <c r="AE81" s="5405" t="n"/>
      <c r="AF81" s="5405" t="n"/>
      <c r="AG81" s="5405" t="n"/>
      <c r="AH81" s="5405" t="n"/>
      <c r="AI81" s="1277" t="n"/>
      <c r="AJ81" s="344" t="n"/>
      <c r="AK81" s="2875" t="n"/>
      <c r="AL81" s="2875" t="n"/>
      <c r="AM81" s="9655" t="n"/>
      <c r="AN81" s="7834" t="n"/>
      <c r="AO81" s="5389" t="n"/>
      <c r="AP81" s="7834" t="n"/>
      <c r="AQ81" s="11704" t="n"/>
      <c r="AR81" s="658" t="n"/>
      <c r="AS81" s="658" t="n"/>
      <c r="AT81" s="658" t="n"/>
      <c r="AU81" s="658" t="n"/>
      <c r="AV81" s="658" t="n"/>
      <c r="AW81" s="658" t="n"/>
      <c r="AX81" s="658" t="n"/>
      <c r="AY81" s="658" t="n"/>
      <c r="AZ81" s="658" t="n"/>
      <c r="BA81" s="658" t="n"/>
    </row>
    <row r="82" ht="15" customHeight="1" s="7635">
      <c r="A82" s="1277" t="n"/>
      <c r="B82" s="11602" t="n"/>
      <c r="C82" s="8650" t="n"/>
      <c r="D82" s="810" t="n"/>
      <c r="E82" s="7772" t="inlineStr">
        <is>
          <t>dispositions of, stock of a section 1291 fund</t>
        </is>
      </c>
      <c r="F82" s="11602" t="n"/>
      <c r="G82" s="11602" t="n"/>
      <c r="H82" s="11602" t="n"/>
      <c r="I82" s="11602" t="n"/>
      <c r="J82" s="11602" t="n"/>
      <c r="K82" s="11602" t="n"/>
      <c r="L82" s="11602" t="n"/>
      <c r="M82" s="11602" t="n"/>
      <c r="N82" s="11602" t="n"/>
      <c r="O82" s="11602" t="n"/>
      <c r="P82" s="11602" t="n"/>
      <c r="Q82" s="11602" t="n"/>
      <c r="R82" s="1218" t="n"/>
      <c r="S82" s="2373" t="n"/>
      <c r="T82" s="11602" t="n"/>
      <c r="U82" s="1807" t="n"/>
      <c r="V82" s="1807" t="n"/>
      <c r="W82" s="1807" t="n"/>
      <c r="X82" s="1401" t="inlineStr">
        <is>
          <t xml:space="preserve">   .   .   .   .   .   .   .   .   .   .   .   .   .  </t>
        </is>
      </c>
      <c r="Y82" s="2895" t="inlineStr">
        <is>
          <t>17p</t>
        </is>
      </c>
      <c r="Z82" s="11201" t="n"/>
      <c r="AA82" s="11717" t="n"/>
      <c r="AB82" s="11718" t="n"/>
      <c r="AC82" s="5403" t="n"/>
      <c r="AD82" s="7854">
        <f>ROUND(Z82,0)</f>
        <v/>
      </c>
      <c r="AI82" s="1277" t="n"/>
      <c r="AJ82" s="344" t="n"/>
      <c r="AK82" s="2875" t="n"/>
      <c r="AL82" s="2875" t="n"/>
      <c r="AM82" s="9655" t="n"/>
      <c r="AN82" s="7834" t="n"/>
      <c r="AO82" s="5389">
        <f>ROUND(Z82,0)</f>
        <v/>
      </c>
      <c r="AP82" s="7834" t="n"/>
      <c r="AQ82" s="11704" t="n"/>
      <c r="AR82" s="658" t="n"/>
      <c r="AS82" s="658" t="n"/>
      <c r="AT82" s="658" t="n"/>
      <c r="AU82" s="658" t="n"/>
      <c r="AV82" s="658" t="n"/>
      <c r="AW82" s="658" t="n"/>
      <c r="AX82" s="658" t="n"/>
      <c r="AY82" s="658" t="n"/>
      <c r="AZ82" s="658" t="n"/>
      <c r="BA82" s="658" t="n"/>
    </row>
    <row r="83" ht="23.25" customHeight="1" s="7635">
      <c r="A83" s="1277" t="n"/>
      <c r="B83" s="11602" t="n"/>
      <c r="C83" s="8650" t="n"/>
      <c r="D83" s="810" t="inlineStr">
        <is>
          <t>q</t>
        </is>
      </c>
      <c r="E83" s="7772" t="inlineStr">
        <is>
          <t>Any interest from Form 8621, line 24</t>
        </is>
      </c>
      <c r="F83" s="11602" t="n"/>
      <c r="G83" s="11602" t="n"/>
      <c r="H83" s="11602" t="n"/>
      <c r="I83" s="11602" t="n"/>
      <c r="J83" s="11602" t="n"/>
      <c r="K83" s="11602" t="n"/>
      <c r="L83" s="11602" t="n"/>
      <c r="M83" s="11602" t="n"/>
      <c r="N83" s="11602" t="n"/>
      <c r="O83" s="11602" t="n"/>
      <c r="P83" s="11602" t="n"/>
      <c r="Q83" s="11602" t="n"/>
      <c r="R83" s="1218" t="n"/>
      <c r="S83" s="2373" t="n"/>
      <c r="T83" s="11602" t="n"/>
      <c r="U83" s="1807" t="n"/>
      <c r="V83" s="1807" t="n"/>
      <c r="W83" s="1807" t="n"/>
      <c r="X83" s="1401" t="inlineStr">
        <is>
          <t xml:space="preserve">   .   .   .   .    .   .   .   .   .   .   .   .   .   .   .   .   .  </t>
        </is>
      </c>
      <c r="Y83" s="2895" t="inlineStr">
        <is>
          <t>17q</t>
        </is>
      </c>
      <c r="Z83" s="11201" t="n"/>
      <c r="AA83" s="11717" t="n"/>
      <c r="AB83" s="11718" t="n"/>
      <c r="AC83" s="5403" t="n"/>
      <c r="AD83" s="7854">
        <f>ROUND(Z83,0)</f>
        <v/>
      </c>
      <c r="AI83" s="1277" t="n"/>
      <c r="AJ83" s="344" t="n"/>
      <c r="AK83" s="2875" t="n"/>
      <c r="AL83" s="2875" t="n"/>
      <c r="AM83" s="9655" t="n"/>
      <c r="AN83" s="7834" t="n"/>
      <c r="AO83" s="5389">
        <f>ROUND(Z83,0)</f>
        <v/>
      </c>
      <c r="AP83" s="7834" t="n"/>
      <c r="AQ83" s="11704" t="n"/>
      <c r="AR83" s="658" t="n"/>
      <c r="AS83" s="658" t="n"/>
      <c r="AT83" s="658" t="n"/>
      <c r="AU83" s="658" t="n"/>
      <c r="AV83" s="658" t="n"/>
      <c r="AW83" s="658" t="n"/>
      <c r="AX83" s="658" t="n"/>
      <c r="AY83" s="658" t="n"/>
      <c r="AZ83" s="658" t="n"/>
      <c r="BA83" s="658" t="n"/>
    </row>
    <row r="84" ht="19.5" customHeight="1" s="7635">
      <c r="A84" s="1277" t="n"/>
      <c r="B84" s="11602" t="n"/>
      <c r="C84" s="8650" t="n"/>
      <c r="D84" s="810" t="inlineStr">
        <is>
          <t>z</t>
        </is>
      </c>
      <c r="E84" s="7772" t="inlineStr">
        <is>
          <t>Any other taxes. List type and amount</t>
        </is>
      </c>
      <c r="F84" s="11602" t="n"/>
      <c r="G84" s="11602" t="n"/>
      <c r="H84" s="11602" t="n"/>
      <c r="I84" s="11602" t="n"/>
      <c r="J84" s="11602" t="n"/>
      <c r="K84" s="11602" t="n"/>
      <c r="L84" s="11602" t="n"/>
      <c r="M84" s="11602" t="n"/>
      <c r="N84" s="11602" t="n"/>
      <c r="O84" s="11602" t="n"/>
      <c r="P84" s="1409" t="n"/>
      <c r="Q84" s="1409" t="n"/>
      <c r="R84" s="1409" t="n"/>
      <c r="S84" s="1409" t="n"/>
      <c r="T84" s="1409" t="n"/>
      <c r="U84" s="1409" t="n"/>
      <c r="V84" s="1409" t="n"/>
      <c r="W84" s="1409" t="n"/>
      <c r="X84" s="11602" t="n"/>
      <c r="Y84" s="2921" t="n"/>
      <c r="Z84" s="7878" t="n"/>
      <c r="AA84" s="7879" t="n"/>
      <c r="AB84" s="7879" t="n"/>
      <c r="AC84" s="5403" t="n"/>
      <c r="AD84" s="7566" t="n"/>
      <c r="AE84" s="5405" t="n"/>
      <c r="AF84" s="5405" t="n"/>
      <c r="AG84" s="5405" t="n"/>
      <c r="AH84" s="5405" t="n"/>
      <c r="AI84" s="1277" t="n"/>
      <c r="AJ84" s="344" t="n"/>
      <c r="AK84" s="2875" t="n"/>
      <c r="AL84" s="2875" t="n"/>
      <c r="AM84" s="9655" t="n"/>
      <c r="AN84" s="7834" t="n"/>
      <c r="AO84" s="5389" t="n"/>
      <c r="AP84" s="7834" t="n"/>
      <c r="AQ84" s="11704" t="n"/>
      <c r="AR84" s="658" t="n"/>
      <c r="AS84" s="658" t="n"/>
      <c r="AT84" s="658" t="n"/>
      <c r="AU84" s="658" t="n"/>
      <c r="AV84" s="658" t="n"/>
      <c r="AW84" s="658" t="n"/>
      <c r="AX84" s="658" t="n"/>
      <c r="AY84" s="658" t="n"/>
      <c r="AZ84" s="658" t="n"/>
      <c r="BA84" s="658" t="n"/>
    </row>
    <row r="85" ht="19.5" customHeight="1" s="7635">
      <c r="A85" s="1277" t="n"/>
      <c r="B85" s="11602" t="n"/>
      <c r="C85" s="8650" t="n"/>
      <c r="D85" s="810" t="n"/>
      <c r="E85" s="7860" t="n"/>
      <c r="F85" s="11717" t="n"/>
      <c r="G85" s="11717" t="n"/>
      <c r="H85" s="11717" t="n"/>
      <c r="I85" s="11717" t="n"/>
      <c r="J85" s="11717" t="n"/>
      <c r="K85" s="11717" t="n"/>
      <c r="L85" s="11717" t="n"/>
      <c r="M85" s="11717" t="n"/>
      <c r="N85" s="11717" t="n"/>
      <c r="O85" s="11717" t="n"/>
      <c r="P85" s="11717" t="n"/>
      <c r="Q85" s="11717" t="n"/>
      <c r="R85" s="11717" t="n"/>
      <c r="S85" s="11717" t="n"/>
      <c r="T85" s="11717" t="n"/>
      <c r="U85" s="11717" t="n"/>
      <c r="V85" s="11717" t="n"/>
      <c r="W85" s="11717" t="n"/>
      <c r="X85" s="1657" t="n"/>
      <c r="Y85" s="2921" t="n"/>
      <c r="Z85" s="11991" t="n"/>
      <c r="AA85" s="194" t="n"/>
      <c r="AB85" s="11726" t="n"/>
      <c r="AC85" s="5403" t="n"/>
      <c r="AD85" s="7854">
        <f>ROUND(Z85,0)</f>
        <v/>
      </c>
      <c r="AI85" s="1277" t="n"/>
      <c r="AJ85" s="344" t="n"/>
      <c r="AK85" s="11931" t="inlineStr">
        <is>
          <t>Manual
Override</t>
        </is>
      </c>
      <c r="AL85" s="2875" t="n"/>
      <c r="AM85" s="9655" t="n"/>
      <c r="AN85" s="7834" t="n"/>
      <c r="AO85" s="5389">
        <f>ROUND(Z85,0)</f>
        <v/>
      </c>
      <c r="AP85" s="7834" t="n"/>
      <c r="AQ85" s="11704" t="n"/>
      <c r="AR85" s="658" t="n"/>
      <c r="AS85" s="658" t="n"/>
      <c r="AT85" s="658" t="n"/>
      <c r="AU85" s="658" t="n"/>
      <c r="AV85" s="658" t="n"/>
      <c r="AW85" s="658" t="n"/>
      <c r="AX85" s="658" t="n"/>
      <c r="AY85" s="658" t="n"/>
      <c r="AZ85" s="658" t="n"/>
      <c r="BA85" s="658" t="n"/>
    </row>
    <row r="86" ht="19.5" customHeight="1" s="7635" thickBot="1">
      <c r="A86" s="1277" t="n"/>
      <c r="B86" s="11602" t="n"/>
      <c r="C86" s="8650" t="n"/>
      <c r="D86" s="810" t="n"/>
      <c r="E86" s="7860" t="n"/>
      <c r="F86" s="11717" t="n"/>
      <c r="G86" s="11717" t="n"/>
      <c r="H86" s="11717" t="n"/>
      <c r="I86" s="11717" t="n"/>
      <c r="J86" s="11717" t="n"/>
      <c r="K86" s="11717" t="n"/>
      <c r="L86" s="11717" t="n"/>
      <c r="M86" s="11717" t="n"/>
      <c r="N86" s="11717" t="n"/>
      <c r="O86" s="11717" t="n"/>
      <c r="P86" s="11717" t="n"/>
      <c r="Q86" s="11717" t="n"/>
      <c r="R86" s="11717" t="n"/>
      <c r="S86" s="11717" t="n"/>
      <c r="T86" s="11717" t="n"/>
      <c r="U86" s="11717" t="n"/>
      <c r="V86" s="11717" t="n"/>
      <c r="W86" s="11717" t="n"/>
      <c r="X86" s="1657" t="n"/>
      <c r="Y86" s="3840" t="inlineStr">
        <is>
          <t>17z</t>
        </is>
      </c>
      <c r="Z86" s="11201" t="n"/>
      <c r="AA86" s="11717" t="n"/>
      <c r="AB86" s="11718" t="n"/>
      <c r="AC86" s="5403" t="n"/>
      <c r="AD86" s="7854">
        <f>ROUND(Z86,0)</f>
        <v/>
      </c>
      <c r="AI86" s="1277" t="n"/>
      <c r="AJ86" s="344" t="n"/>
      <c r="AK86" s="11934" t="n"/>
      <c r="AL86" s="2875" t="n"/>
      <c r="AM86" s="9655" t="n"/>
      <c r="AN86" s="7834" t="n"/>
      <c r="AO86" s="5389">
        <f>ROUND(Z86,0)</f>
        <v/>
      </c>
      <c r="AP86" s="7834" t="n"/>
      <c r="AQ86" s="11704" t="n"/>
      <c r="AR86" s="658" t="n"/>
      <c r="AS86" s="658" t="n"/>
      <c r="AT86" s="658" t="n"/>
      <c r="AU86" s="658" t="n"/>
      <c r="AV86" s="658" t="n"/>
      <c r="AW86" s="658" t="n"/>
      <c r="AX86" s="658" t="n"/>
      <c r="AY86" s="658" t="n"/>
      <c r="AZ86" s="658" t="n"/>
      <c r="BA86" s="658" t="n"/>
    </row>
    <row r="87" ht="23.25" customHeight="1" s="7635">
      <c r="A87" s="1277" t="n"/>
      <c r="B87" s="11602" t="n"/>
      <c r="C87" s="810" t="n">
        <v>18</v>
      </c>
      <c r="D87" s="810" t="n"/>
      <c r="E87" s="7772" t="inlineStr">
        <is>
          <t>Total additional taxes.  Add lines 17a through 17z</t>
        </is>
      </c>
      <c r="F87" s="11602" t="n"/>
      <c r="G87" s="11602" t="n"/>
      <c r="H87" s="11602" t="n"/>
      <c r="I87" s="11602" t="n"/>
      <c r="J87" s="11602" t="n"/>
      <c r="K87" s="11602" t="n"/>
      <c r="L87" s="11602" t="n"/>
      <c r="M87" s="11602" t="n"/>
      <c r="N87" s="11602" t="n"/>
      <c r="O87" s="11602" t="n"/>
      <c r="P87" s="11602" t="n"/>
      <c r="Q87" s="11602" t="n"/>
      <c r="R87" s="1218" t="n"/>
      <c r="S87" s="2373" t="n"/>
      <c r="T87" s="11602" t="n"/>
      <c r="U87" s="11602" t="n"/>
      <c r="V87" s="11602" t="n"/>
      <c r="W87" s="11602" t="n"/>
      <c r="X87" s="11602" t="n"/>
      <c r="Y87" s="11602" t="n"/>
      <c r="Z87" s="1401" t="n"/>
      <c r="AA87" s="1401" t="n"/>
      <c r="AB87" s="1401" t="inlineStr">
        <is>
          <t xml:space="preserve">.   .   .   .   .   .   .   .   .   .   .   .   .   .   .   .   .   .   .  </t>
        </is>
      </c>
      <c r="AC87" s="5372" t="n">
        <v>18</v>
      </c>
      <c r="AD87" s="7773">
        <f>IF(AK87&lt;&gt;"",ROUND(AK87,0),AO87)</f>
        <v/>
      </c>
      <c r="AE87" s="7637" t="n"/>
      <c r="AF87" s="7637" t="n"/>
      <c r="AG87" s="7637" t="n"/>
      <c r="AH87" s="7637" t="n"/>
      <c r="AI87" s="1277" t="n"/>
      <c r="AJ87" s="344" t="n"/>
      <c r="AK87" s="732" t="n"/>
      <c r="AL87" s="2875" t="n"/>
      <c r="AM87" s="9655" t="n"/>
      <c r="AN87" s="7834" t="n"/>
      <c r="AO87" s="5389">
        <f>SUM(AO59:AO86)</f>
        <v/>
      </c>
      <c r="AP87" s="7834" t="n"/>
      <c r="AQ87" s="11704" t="n"/>
      <c r="AR87" s="658" t="n"/>
      <c r="AS87" s="658" t="n"/>
      <c r="AT87" s="658" t="n"/>
      <c r="AU87" s="658" t="n"/>
      <c r="AV87" s="658" t="n"/>
      <c r="AW87" s="658" t="n"/>
      <c r="AX87" s="658" t="n"/>
      <c r="AY87" s="658" t="n"/>
      <c r="AZ87" s="658" t="n"/>
      <c r="BA87" s="658" t="n"/>
    </row>
    <row r="88" ht="23.25" customHeight="1" s="7635">
      <c r="A88" s="1277" t="n"/>
      <c r="B88" s="11602" t="n"/>
      <c r="C88" s="810" t="n">
        <v>19</v>
      </c>
      <c r="D88" s="810" t="n"/>
      <c r="E88" s="7772" t="inlineStr">
        <is>
          <t>Recapture of net EPE from Form 4255, line 1d, column (l)</t>
        </is>
      </c>
      <c r="F88" s="11602" t="n"/>
      <c r="G88" s="11602" t="n"/>
      <c r="H88" s="11602" t="n"/>
      <c r="I88" s="11602" t="n"/>
      <c r="J88" s="11602" t="n"/>
      <c r="K88" s="11602" t="n"/>
      <c r="L88" s="11602" t="n"/>
      <c r="M88" s="11602" t="n"/>
      <c r="N88" s="11602" t="n"/>
      <c r="O88" s="11602" t="n"/>
      <c r="P88" s="11602" t="n"/>
      <c r="Q88" s="11602" t="n"/>
      <c r="R88" s="1218" t="n"/>
      <c r="S88" s="2373" t="n"/>
      <c r="T88" s="11602" t="n"/>
      <c r="U88" s="11602" t="n"/>
      <c r="V88" s="11602" t="n"/>
      <c r="W88" s="11602" t="n"/>
      <c r="X88" s="11602" t="n"/>
      <c r="Y88" s="11602" t="n"/>
      <c r="Z88" s="1401" t="n"/>
      <c r="AA88" s="1401" t="n"/>
      <c r="AB88" s="1401" t="inlineStr">
        <is>
          <t xml:space="preserve">.   .   .   .   .   .   .   .   .   .   .   .   .   .   .   .  </t>
        </is>
      </c>
      <c r="AC88" s="5372" t="n">
        <v>19</v>
      </c>
      <c r="AD88" s="7883" t="n"/>
      <c r="AE88" s="8007" t="n"/>
      <c r="AF88" s="8007" t="n"/>
      <c r="AG88" s="8007" t="n"/>
      <c r="AH88" s="8007" t="n"/>
      <c r="AI88" s="1277" t="n"/>
      <c r="AJ88" s="344" t="n"/>
      <c r="AK88" s="2875" t="n"/>
      <c r="AL88" s="2875" t="n"/>
      <c r="AM88" s="9655" t="n"/>
      <c r="AN88" s="7834" t="n"/>
      <c r="AO88" s="5389" t="n"/>
      <c r="AP88" s="7834" t="n"/>
      <c r="AQ88" s="11704" t="n"/>
      <c r="AR88" s="658" t="n"/>
      <c r="AS88" s="658" t="n"/>
      <c r="AT88" s="658" t="n"/>
      <c r="AU88" s="658" t="n"/>
      <c r="AV88" s="658" t="n"/>
      <c r="AW88" s="658" t="n"/>
      <c r="AX88" s="658" t="n"/>
      <c r="AY88" s="658" t="n"/>
      <c r="AZ88" s="658" t="n"/>
      <c r="BA88" s="658" t="n"/>
    </row>
    <row r="89" ht="23.25" customHeight="1" s="7635">
      <c r="A89" s="1277" t="n"/>
      <c r="B89" s="11602" t="n"/>
      <c r="C89" s="810" t="n">
        <v>20</v>
      </c>
      <c r="D89" s="810" t="n"/>
      <c r="E89" s="7772" t="inlineStr">
        <is>
          <t>Section 965 net tax liability installment from Form 965-A</t>
        </is>
      </c>
      <c r="F89" s="11602" t="n"/>
      <c r="G89" s="11602" t="n"/>
      <c r="H89" s="11602" t="n"/>
      <c r="I89" s="11602" t="n"/>
      <c r="J89" s="11602" t="n"/>
      <c r="K89" s="11602" t="n"/>
      <c r="L89" s="11602" t="n"/>
      <c r="M89" s="11602" t="n"/>
      <c r="N89" s="11602" t="n"/>
      <c r="O89" s="11602" t="n"/>
      <c r="P89" s="11602" t="n"/>
      <c r="Q89" s="11602" t="n"/>
      <c r="R89" s="1218" t="n"/>
      <c r="S89" s="2373" t="n"/>
      <c r="T89" s="11602" t="n"/>
      <c r="U89" s="1664" t="n"/>
      <c r="V89" s="1664" t="n"/>
      <c r="W89" s="1664" t="n"/>
      <c r="X89" s="1401" t="inlineStr">
        <is>
          <t xml:space="preserve">  .   .   .   .   .   .   .  </t>
        </is>
      </c>
      <c r="Y89" s="2895" t="n">
        <v>20</v>
      </c>
      <c r="Z89" s="11201" t="n"/>
      <c r="AA89" s="11717" t="n"/>
      <c r="AB89" s="11718" t="n"/>
      <c r="AC89" s="5403" t="n"/>
      <c r="AD89" s="7887">
        <f>ROUND(Z89,0)</f>
        <v/>
      </c>
      <c r="AE89" s="7839" t="n"/>
      <c r="AF89" s="7839" t="n"/>
      <c r="AG89" s="7839" t="n"/>
      <c r="AH89" s="7839" t="n"/>
      <c r="AI89" s="1277" t="n"/>
      <c r="AJ89" s="344" t="n"/>
      <c r="AK89" s="2875" t="n"/>
      <c r="AL89" s="2875" t="n"/>
      <c r="AM89" s="9655" t="n"/>
      <c r="AN89" s="7834" t="n"/>
      <c r="AO89" s="5389" t="n"/>
      <c r="AP89" s="7834" t="n"/>
      <c r="AQ89" s="11704" t="n"/>
      <c r="AR89" s="658" t="n"/>
      <c r="AS89" s="658" t="n"/>
      <c r="AT89" s="658" t="n"/>
      <c r="AU89" s="658" t="n"/>
      <c r="AV89" s="658" t="n"/>
      <c r="AW89" s="658" t="n"/>
      <c r="AX89" s="658" t="n"/>
      <c r="AY89" s="658" t="n"/>
      <c r="AZ89" s="658" t="n"/>
      <c r="BA89" s="658" t="n"/>
    </row>
    <row r="90" ht="23.25" customHeight="1" s="7635">
      <c r="A90" s="1277" t="n"/>
      <c r="B90" s="7886" t="n"/>
      <c r="C90" s="810" t="n">
        <v>21</v>
      </c>
      <c r="D90" s="810" t="n"/>
      <c r="E90" s="7772" t="inlineStr">
        <is>
          <t>Add lines 4, 7 through 16, 18, and 19.  These are your total other taxes.  Enter here and</t>
        </is>
      </c>
      <c r="F90" s="11602" t="n"/>
      <c r="G90" s="11602" t="n"/>
      <c r="H90" s="11602" t="n"/>
      <c r="I90" s="11602" t="n"/>
      <c r="J90" s="11602" t="n"/>
      <c r="K90" s="11602" t="n"/>
      <c r="L90" s="11602" t="n"/>
      <c r="M90" s="11602" t="n"/>
      <c r="N90" s="11602" t="n"/>
      <c r="O90" s="11602" t="n"/>
      <c r="P90" s="11602" t="n"/>
      <c r="Q90" s="11602" t="n"/>
      <c r="R90" s="11602" t="n"/>
      <c r="S90" s="11602" t="n"/>
      <c r="T90" s="11602" t="n"/>
      <c r="U90" s="11602" t="n"/>
      <c r="V90" s="11602" t="n"/>
      <c r="W90" s="11602" t="n"/>
      <c r="X90" s="11602" t="n"/>
      <c r="Y90" s="11602" t="n"/>
      <c r="Z90" s="11602" t="n"/>
      <c r="AA90" s="11602" t="n"/>
      <c r="AB90" s="11602" t="n"/>
      <c r="AC90" s="5403" t="n"/>
      <c r="AD90" s="7885" t="n"/>
      <c r="AI90" s="1277" t="n"/>
      <c r="AJ90" s="11602" t="n"/>
      <c r="AK90" s="2875" t="n"/>
      <c r="AL90" s="2875" t="n"/>
      <c r="AM90" s="9655" t="n"/>
      <c r="AN90" s="7834" t="n"/>
      <c r="AO90" s="5389" t="n"/>
      <c r="AP90" s="7834" t="n"/>
      <c r="AQ90" s="11704" t="n"/>
      <c r="AR90" s="658" t="n"/>
      <c r="AS90" s="658" t="n"/>
      <c r="AT90" s="658" t="n"/>
      <c r="AU90" s="658" t="n"/>
      <c r="AV90" s="658" t="n"/>
      <c r="AW90" s="658" t="n"/>
      <c r="AX90" s="658" t="n"/>
      <c r="AY90" s="658" t="n"/>
      <c r="AZ90" s="658" t="n"/>
      <c r="BA90" s="658" t="n"/>
    </row>
    <row r="91" ht="18.75" customHeight="1" s="7635" thickBot="1">
      <c r="A91" s="1277" t="n"/>
      <c r="B91" s="5406" t="n"/>
      <c r="C91" s="5384" t="n"/>
      <c r="D91" s="5384" t="n"/>
      <c r="E91" s="5003" t="inlineStr">
        <is>
          <t>on Form 1040 or 1040-SR, line 23, or Form 1040-NR, line 23b</t>
        </is>
      </c>
      <c r="F91" s="380" t="n"/>
      <c r="G91" s="380" t="n"/>
      <c r="H91" s="380" t="n"/>
      <c r="I91" s="380" t="n"/>
      <c r="J91" s="380" t="n"/>
      <c r="K91" s="380" t="n"/>
      <c r="L91" s="380" t="n"/>
      <c r="M91" s="380" t="n"/>
      <c r="N91" s="380" t="n"/>
      <c r="O91" s="380" t="n"/>
      <c r="P91" s="380" t="n"/>
      <c r="Q91" s="380" t="n"/>
      <c r="R91" s="380" t="n"/>
      <c r="S91" s="380" t="n"/>
      <c r="T91" s="380" t="n"/>
      <c r="U91" s="380" t="n"/>
      <c r="V91" s="380" t="n"/>
      <c r="W91" s="380" t="n"/>
      <c r="X91" s="380" t="n"/>
      <c r="Y91" s="380" t="n"/>
      <c r="Z91" s="10735" t="n"/>
      <c r="AA91" s="10735" t="n"/>
      <c r="AB91" s="1401" t="inlineStr">
        <is>
          <t xml:space="preserve">  .   .   .   .   .   .   .   .   .   .   .   .   .  </t>
        </is>
      </c>
      <c r="AC91" s="3840" t="n">
        <v>21</v>
      </c>
      <c r="AD91" s="7881">
        <f>IF(AK91&lt;&gt;"",ROUND(AK91,0),SUM(SelfEmploymentTax,AO53,AD87,ROUND(AD88,0)))</f>
        <v/>
      </c>
      <c r="AE91" s="8848" t="n"/>
      <c r="AF91" s="8848" t="n"/>
      <c r="AG91" s="8848" t="n"/>
      <c r="AH91" s="8848" t="n"/>
      <c r="AI91" s="1277" t="n"/>
      <c r="AJ91" s="11602" t="n"/>
      <c r="AK91" s="732" t="n"/>
      <c r="AL91" s="2875" t="n"/>
      <c r="AM91" s="9655" t="n"/>
      <c r="AN91" s="7834" t="n"/>
      <c r="AO91" s="5389" t="n"/>
      <c r="AP91" s="7834" t="n"/>
      <c r="AQ91" s="11704" t="n"/>
      <c r="AR91" s="658" t="n"/>
      <c r="AS91" s="658" t="n"/>
      <c r="AT91" s="658" t="n"/>
      <c r="AU91" s="658" t="n"/>
      <c r="AV91" s="658" t="n"/>
      <c r="AW91" s="658" t="n"/>
      <c r="AX91" s="658" t="n"/>
      <c r="AY91" s="658" t="n"/>
      <c r="AZ91" s="658" t="n"/>
      <c r="BA91" s="658" t="n"/>
    </row>
    <row r="92" ht="16.5" customHeight="1" s="7635">
      <c r="A92" s="1277" t="n"/>
      <c r="B92" s="5407" t="n"/>
      <c r="C92" s="2176" t="n"/>
      <c r="D92" s="5408" t="n"/>
      <c r="E92" s="1199" t="n"/>
      <c r="F92" s="1199" t="n"/>
      <c r="G92" s="1199" t="n"/>
      <c r="H92" s="1199" t="n"/>
      <c r="I92" s="1199" t="n"/>
      <c r="J92" s="1199" t="n"/>
      <c r="K92" s="1199" t="n"/>
      <c r="L92" s="1199" t="n"/>
      <c r="M92" s="1199" t="n"/>
      <c r="N92" s="1199" t="n"/>
      <c r="O92" s="1199" t="n"/>
      <c r="P92" s="1199" t="n"/>
      <c r="Q92" s="1199" t="n"/>
      <c r="R92" s="1199" t="n"/>
      <c r="S92" s="1199" t="n"/>
      <c r="T92" s="5409" t="n"/>
      <c r="U92" s="5409" t="n"/>
      <c r="V92" s="5410" t="n"/>
      <c r="W92" s="1054" t="n"/>
      <c r="X92" s="1199" t="n"/>
      <c r="Y92" s="1199" t="n"/>
      <c r="Z92" s="1199" t="n"/>
      <c r="AA92" s="1199" t="n"/>
      <c r="AB92" s="1199" t="n"/>
      <c r="AC92" s="1199" t="n"/>
      <c r="AD92" s="1199" t="n"/>
      <c r="AE92" s="1199" t="n"/>
      <c r="AF92" s="1199" t="n"/>
      <c r="AG92" s="1199" t="n"/>
      <c r="AH92" s="4788">
        <f>"Schedule 2 (Form 1040) "&amp;TaxYear</f>
        <v/>
      </c>
      <c r="AI92" s="1277" t="n"/>
      <c r="AJ92" s="11602" t="n"/>
      <c r="AK92" s="2875" t="n"/>
      <c r="AL92" s="2875" t="n"/>
      <c r="AM92" s="9655" t="n"/>
      <c r="AN92" s="7834" t="n"/>
      <c r="AO92" s="5389" t="n"/>
      <c r="AP92" s="7834" t="n"/>
      <c r="AQ92" s="11704" t="n"/>
      <c r="AR92" s="658" t="n"/>
      <c r="AS92" s="658" t="n"/>
      <c r="AT92" s="658" t="n"/>
      <c r="AU92" s="658" t="n"/>
      <c r="AV92" s="658" t="n"/>
      <c r="AW92" s="658" t="n"/>
      <c r="AX92" s="658" t="n"/>
      <c r="AY92" s="658" t="n"/>
      <c r="AZ92" s="658" t="n"/>
      <c r="BA92" s="658" t="n"/>
    </row>
    <row r="93">
      <c r="A93" s="1277" t="n"/>
      <c r="B93" s="1277" t="n"/>
      <c r="C93" s="1277" t="n"/>
      <c r="D93" s="1277" t="n"/>
      <c r="E93" s="1277" t="n"/>
      <c r="F93" s="1277" t="n"/>
      <c r="G93" s="1277" t="n"/>
      <c r="H93" s="1277" t="n"/>
      <c r="I93" s="1277" t="n"/>
      <c r="J93" s="1277" t="n"/>
      <c r="K93" s="1277" t="n"/>
      <c r="L93" s="1277" t="n"/>
      <c r="M93" s="1277" t="n"/>
      <c r="N93" s="1277" t="n"/>
      <c r="O93" s="1277" t="n"/>
      <c r="P93" s="1277" t="n"/>
      <c r="Q93" s="1277" t="n"/>
      <c r="R93" s="1277" t="n"/>
      <c r="S93" s="1277" t="n"/>
      <c r="T93" s="1277" t="n"/>
      <c r="U93" s="1277" t="n"/>
      <c r="V93" s="1277" t="n"/>
      <c r="W93" s="1277" t="n"/>
      <c r="X93" s="1277" t="n"/>
      <c r="Y93" s="1277" t="n"/>
      <c r="Z93" s="1277" t="n"/>
      <c r="AA93" s="1277" t="n"/>
      <c r="AB93" s="1277" t="n"/>
      <c r="AC93" s="1277" t="n"/>
      <c r="AD93" s="1277" t="n"/>
      <c r="AE93" s="1277" t="n"/>
      <c r="AF93" s="1277" t="n"/>
      <c r="AG93" s="1277" t="n"/>
      <c r="AH93" s="1277" t="n"/>
      <c r="AI93" s="1277" t="n"/>
      <c r="AK93" s="2875" t="n"/>
      <c r="AL93" s="2875" t="n"/>
      <c r="AM93" s="9655" t="n"/>
      <c r="AN93" s="7834" t="n"/>
      <c r="AO93" s="5389" t="n"/>
      <c r="AP93" s="7834" t="n"/>
      <c r="AQ93" s="11704" t="n"/>
      <c r="AR93" s="658" t="n"/>
      <c r="AS93" s="658" t="n"/>
      <c r="AT93" s="658" t="n"/>
      <c r="AU93" s="658" t="n"/>
      <c r="AV93" s="658" t="n"/>
      <c r="AW93" s="658" t="n"/>
      <c r="AX93" s="658" t="n"/>
      <c r="AY93" s="658" t="n"/>
      <c r="AZ93" s="658" t="n"/>
      <c r="BA93" s="658" t="n"/>
    </row>
    <row r="94">
      <c r="AQ94" s="11704" t="n"/>
      <c r="AR94" s="658" t="n"/>
      <c r="AS94" s="658" t="n"/>
      <c r="AT94" s="658" t="n"/>
      <c r="AU94" s="658" t="n"/>
      <c r="AV94" s="658" t="n"/>
    </row>
    <row r="95">
      <c r="AQ95" s="11704" t="n"/>
      <c r="AR95" s="658" t="n"/>
      <c r="AS95" s="658" t="n"/>
      <c r="AT95" s="658" t="n"/>
      <c r="AU95" s="658" t="n"/>
      <c r="AV95" s="658" t="n"/>
    </row>
    <row r="96">
      <c r="B96" s="5411" t="inlineStr">
        <is>
          <t>Table of Contents</t>
        </is>
      </c>
      <c r="AQ96" s="11704" t="n"/>
      <c r="AR96" s="658" t="n"/>
      <c r="AS96" s="658" t="n"/>
      <c r="AT96" s="658" t="n"/>
      <c r="AU96" s="658" t="n"/>
      <c r="AV96" s="658" t="n"/>
    </row>
  </sheetData>
  <sheetProtection selectLockedCells="0" selectUnlockedCells="0" algorithmName="SHA-512" sheet="1" objects="0" insertRows="1" insertHyperlinks="1" autoFilter="1" scenarios="0" formatColumns="0" deleteColumns="1" insertColumns="1" pivotTables="1" deleteRows="1" formatCells="0" saltValue="8S1fw1LoTW4N2P3Ybj3zQg==" formatRows="0" sort="1" spinCount="100000" hashValue="+tnqGwD81fNY101BmT+ubth8hjKwNpg5Q0iqLMOUfTSHwRj476gCHk1inMhgc1abfeK/cb1mKNgt5v5P2jSVxA=="/>
  <mergeCells count="103">
    <mergeCell ref="G38:I38"/>
    <mergeCell ref="AD64:AH64"/>
    <mergeCell ref="Z18:AB18"/>
    <mergeCell ref="AD33:AH33"/>
    <mergeCell ref="AD73:AH73"/>
    <mergeCell ref="AD51:AH51"/>
    <mergeCell ref="Z82:AB82"/>
    <mergeCell ref="AD35:AH35"/>
    <mergeCell ref="AD44:AH44"/>
    <mergeCell ref="Z67:AB67"/>
    <mergeCell ref="AD34:AH34"/>
    <mergeCell ref="AK7:AK9"/>
    <mergeCell ref="Z69:AB69"/>
    <mergeCell ref="Z59:AB59"/>
    <mergeCell ref="AD77:AH77"/>
    <mergeCell ref="B8:AB9"/>
    <mergeCell ref="AD85:AH85"/>
    <mergeCell ref="H5:AB5"/>
    <mergeCell ref="AD61:AH61"/>
    <mergeCell ref="Z86:AB86"/>
    <mergeCell ref="AD75:AH75"/>
    <mergeCell ref="B56:D56"/>
    <mergeCell ref="E59:W59"/>
    <mergeCell ref="E27:H27"/>
    <mergeCell ref="AD47:AH47"/>
    <mergeCell ref="Z23:AB24"/>
    <mergeCell ref="E86:W86"/>
    <mergeCell ref="AD48:AH48"/>
    <mergeCell ref="Z62:AB62"/>
    <mergeCell ref="Z71:AB71"/>
    <mergeCell ref="AD38:AH38"/>
    <mergeCell ref="Z64:AB64"/>
    <mergeCell ref="B10:D10"/>
    <mergeCell ref="AD88:AH88"/>
    <mergeCell ref="Z73:AB73"/>
    <mergeCell ref="AD90:AH90"/>
    <mergeCell ref="AC3:AH4"/>
    <mergeCell ref="AD65:AH65"/>
    <mergeCell ref="Z19:AB19"/>
    <mergeCell ref="AD74:AH74"/>
    <mergeCell ref="AC2:AH2"/>
    <mergeCell ref="M38:O38"/>
    <mergeCell ref="B36:D36"/>
    <mergeCell ref="AD49:AH49"/>
    <mergeCell ref="AD76:AH76"/>
    <mergeCell ref="Z77:AB77"/>
    <mergeCell ref="AD91:AH91"/>
    <mergeCell ref="Z85:AB85"/>
    <mergeCell ref="Z29:AB30"/>
    <mergeCell ref="AD50:AH50"/>
    <mergeCell ref="Z61:AB61"/>
    <mergeCell ref="Z75:AB75"/>
    <mergeCell ref="AD52:AH52"/>
    <mergeCell ref="AD83:AH83"/>
    <mergeCell ref="B2:G4"/>
    <mergeCell ref="H6:AB6"/>
    <mergeCell ref="J38:K38"/>
    <mergeCell ref="E51:AB51"/>
    <mergeCell ref="O28:P28"/>
    <mergeCell ref="Q32:W32"/>
    <mergeCell ref="O30:P30"/>
    <mergeCell ref="AD78:AH78"/>
    <mergeCell ref="E20:X20"/>
    <mergeCell ref="AD6:AH6"/>
    <mergeCell ref="AD46:AH46"/>
    <mergeCell ref="AK85:AK86"/>
    <mergeCell ref="AD80:AH80"/>
    <mergeCell ref="O22:P22"/>
    <mergeCell ref="AD89:AH89"/>
    <mergeCell ref="AC8:AH9"/>
    <mergeCell ref="Z65:AB65"/>
    <mergeCell ref="Z74:AB74"/>
    <mergeCell ref="AD41:AH41"/>
    <mergeCell ref="E26:X26"/>
    <mergeCell ref="Z76:AB76"/>
    <mergeCell ref="AD43:AH43"/>
    <mergeCell ref="AD42:AH42"/>
    <mergeCell ref="H3:AB4"/>
    <mergeCell ref="P38:Q38"/>
    <mergeCell ref="B5:G6"/>
    <mergeCell ref="AD82:AH82"/>
    <mergeCell ref="O24:P24"/>
    <mergeCell ref="Z12:AB12"/>
    <mergeCell ref="AD67:AH67"/>
    <mergeCell ref="Z83:AB83"/>
    <mergeCell ref="AD5:AH5"/>
    <mergeCell ref="E85:W85"/>
    <mergeCell ref="Z39:AB39"/>
    <mergeCell ref="AD59:AH59"/>
    <mergeCell ref="AD69:AH69"/>
    <mergeCell ref="AK60:AK61"/>
    <mergeCell ref="Z78:AB78"/>
    <mergeCell ref="Z15:AB15"/>
    <mergeCell ref="AD86:AH86"/>
    <mergeCell ref="Z40:AB40"/>
    <mergeCell ref="Z80:AB80"/>
    <mergeCell ref="Z89:AB89"/>
    <mergeCell ref="T38:V38"/>
    <mergeCell ref="Z32:AB32"/>
    <mergeCell ref="AD87:AH87"/>
    <mergeCell ref="AD62:AH62"/>
    <mergeCell ref="AD71:AH71"/>
    <mergeCell ref="E21:F21"/>
  </mergeCells>
  <conditionalFormatting sqref="B8 AC8">
    <cfRule type="expression" priority="217" dxfId="6">
      <formula>NoColor</formula>
    </cfRule>
  </conditionalFormatting>
  <conditionalFormatting sqref="E59">
    <cfRule type="expression" priority="8" dxfId="6">
      <formula>NoColor</formula>
    </cfRule>
  </conditionalFormatting>
  <conditionalFormatting sqref="E85:E86">
    <cfRule type="expression" priority="6" dxfId="6">
      <formula>NoColor</formula>
    </cfRule>
  </conditionalFormatting>
  <conditionalFormatting sqref="F22">
    <cfRule type="expression" priority="20" dxfId="6">
      <formula>NoColor</formula>
    </cfRule>
  </conditionalFormatting>
  <conditionalFormatting sqref="F24">
    <cfRule type="expression" priority="18" dxfId="6">
      <formula>NoColor</formula>
    </cfRule>
  </conditionalFormatting>
  <conditionalFormatting sqref="F28">
    <cfRule type="expression" priority="16" dxfId="6">
      <formula>NoColor</formula>
    </cfRule>
  </conditionalFormatting>
  <conditionalFormatting sqref="F30">
    <cfRule type="expression" priority="14" dxfId="6">
      <formula>NoColor</formula>
    </cfRule>
  </conditionalFormatting>
  <conditionalFormatting sqref="F38">
    <cfRule type="expression" priority="5" dxfId="6">
      <formula>NoColor</formula>
    </cfRule>
  </conditionalFormatting>
  <conditionalFormatting sqref="L38">
    <cfRule type="expression" priority="4" dxfId="6">
      <formula>NoColor</formula>
    </cfRule>
  </conditionalFormatting>
  <conditionalFormatting sqref="P84">
    <cfRule type="expression" priority="7" dxfId="6">
      <formula>NoColor</formula>
    </cfRule>
  </conditionalFormatting>
  <conditionalFormatting sqref="Q22">
    <cfRule type="expression" priority="19" dxfId="6">
      <formula>NoColor</formula>
    </cfRule>
  </conditionalFormatting>
  <conditionalFormatting sqref="Q24">
    <cfRule type="expression" priority="17" dxfId="6">
      <formula>NoColor</formula>
    </cfRule>
  </conditionalFormatting>
  <conditionalFormatting sqref="Q28">
    <cfRule type="expression" priority="15" dxfId="6">
      <formula>NoColor</formula>
    </cfRule>
  </conditionalFormatting>
  <conditionalFormatting sqref="Q30">
    <cfRule type="expression" priority="13" dxfId="6">
      <formula>NoColor</formula>
    </cfRule>
  </conditionalFormatting>
  <conditionalFormatting sqref="Q32:W32">
    <cfRule type="expression" priority="11" dxfId="6">
      <formula>NoColor</formula>
    </cfRule>
  </conditionalFormatting>
  <conditionalFormatting sqref="R38">
    <cfRule type="expression" priority="3" dxfId="6">
      <formula>NoColor</formula>
    </cfRule>
  </conditionalFormatting>
  <conditionalFormatting sqref="T38:V38">
    <cfRule type="expression" priority="2" dxfId="6">
      <formula>NoColor</formula>
    </cfRule>
  </conditionalFormatting>
  <conditionalFormatting sqref="U60:W83 Z61:Z62">
    <cfRule type="expression" priority="42" dxfId="6">
      <formula>IF(NoColor,1,0)</formula>
    </cfRule>
  </conditionalFormatting>
  <conditionalFormatting sqref="Z64:Z65">
    <cfRule type="expression" priority="41" dxfId="6">
      <formula>IF(NoColor,1,0)</formula>
    </cfRule>
  </conditionalFormatting>
  <conditionalFormatting sqref="Z67">
    <cfRule type="expression" priority="40" dxfId="6">
      <formula>IF(NoColor,1,0)</formula>
    </cfRule>
  </conditionalFormatting>
  <conditionalFormatting sqref="Z69">
    <cfRule type="expression" priority="39" dxfId="6">
      <formula>IF(NoColor,1,0)</formula>
    </cfRule>
  </conditionalFormatting>
  <conditionalFormatting sqref="Z71">
    <cfRule type="expression" priority="38" dxfId="6">
      <formula>IF(NoColor,1,0)</formula>
    </cfRule>
  </conditionalFormatting>
  <conditionalFormatting sqref="Z73:Z78">
    <cfRule type="expression" priority="32" dxfId="6">
      <formula>IF(NoColor,1,0)</formula>
    </cfRule>
  </conditionalFormatting>
  <conditionalFormatting sqref="Z80">
    <cfRule type="expression" priority="31" dxfId="6">
      <formula>IF(NoColor,1,0)</formula>
    </cfRule>
  </conditionalFormatting>
  <conditionalFormatting sqref="Z82:Z83">
    <cfRule type="expression" priority="29" dxfId="6">
      <formula>IF(NoColor,1,0)</formula>
    </cfRule>
  </conditionalFormatting>
  <conditionalFormatting sqref="Z85:Z86">
    <cfRule type="expression" priority="28" dxfId="6">
      <formula>IF(NoColor,1,0)</formula>
    </cfRule>
  </conditionalFormatting>
  <conditionalFormatting sqref="Z12:AB12">
    <cfRule type="expression" priority="9" dxfId="6">
      <formula>NoColor</formula>
    </cfRule>
  </conditionalFormatting>
  <conditionalFormatting sqref="Z15:AB15">
    <cfRule type="expression" priority="26" dxfId="6">
      <formula>NoColor</formula>
    </cfRule>
  </conditionalFormatting>
  <conditionalFormatting sqref="Z18:AB19">
    <cfRule type="expression" priority="24" dxfId="6">
      <formula>NoColor</formula>
    </cfRule>
  </conditionalFormatting>
  <conditionalFormatting sqref="Z23:AB24">
    <cfRule type="expression" priority="23" dxfId="6">
      <formula>NoColor</formula>
    </cfRule>
  </conditionalFormatting>
  <conditionalFormatting sqref="Z29:AB30">
    <cfRule type="expression" priority="22" dxfId="6">
      <formula>NoColor</formula>
    </cfRule>
  </conditionalFormatting>
  <conditionalFormatting sqref="Z32:AB32">
    <cfRule type="expression" priority="21" dxfId="6">
      <formula>NoColor</formula>
    </cfRule>
  </conditionalFormatting>
  <conditionalFormatting sqref="AA43">
    <cfRule type="expression" priority="10" dxfId="6">
      <formula>NoColor</formula>
    </cfRule>
  </conditionalFormatting>
  <conditionalFormatting sqref="U58:W58 W39:X39 W40 Z58:AB58 Z59 Z60:AB60 Z63:AB63 Z66:AB66 Z68:AB68 Z70:AB70 Z72:AB72 Z79:AB79 Z81:AB81 Z84:AB84 Z89 AD11 AD34:AH35">
    <cfRule type="expression" priority="151" dxfId="6">
      <formula>IF(NoColor,1,0)</formula>
    </cfRule>
  </conditionalFormatting>
  <conditionalFormatting sqref="AD33">
    <cfRule type="expression" priority="46" dxfId="6">
      <formula>IF(NoColor,1,0)</formula>
    </cfRule>
  </conditionalFormatting>
  <conditionalFormatting sqref="AD43">
    <cfRule type="expression" priority="150" dxfId="6">
      <formula>IF(NoColor,1,0)</formula>
    </cfRule>
  </conditionalFormatting>
  <conditionalFormatting sqref="AD50:AD52">
    <cfRule type="expression" priority="137" dxfId="6">
      <formula>IF(NoColor,1,0)</formula>
    </cfRule>
  </conditionalFormatting>
  <conditionalFormatting sqref="AD57">
    <cfRule type="expression" priority="191" dxfId="6">
      <formula>IF(NoColor,1,0)</formula>
    </cfRule>
  </conditionalFormatting>
  <conditionalFormatting sqref="AD91">
    <cfRule type="expression" priority="68" dxfId="6">
      <formula>IF(NoColor,1,0)</formula>
    </cfRule>
  </conditionalFormatting>
  <conditionalFormatting sqref="AD12:AH32">
    <cfRule type="expression" priority="45" dxfId="6">
      <formula>IF(NoColor,1,0)</formula>
    </cfRule>
  </conditionalFormatting>
  <conditionalFormatting sqref="Z39:Z40 AD37:AH42">
    <cfRule type="expression" priority="44" dxfId="6">
      <formula>IF(NoColor,1,0)</formula>
    </cfRule>
  </conditionalFormatting>
  <conditionalFormatting sqref="AD44:AH44">
    <cfRule type="expression" priority="147" dxfId="6">
      <formula>IF(NoColor,1,0)</formula>
    </cfRule>
  </conditionalFormatting>
  <conditionalFormatting sqref="AD46:AH49">
    <cfRule type="expression" priority="1" dxfId="6">
      <formula>IF(NoColor,1,0)</formula>
    </cfRule>
  </conditionalFormatting>
  <conditionalFormatting sqref="AD87:AH87">
    <cfRule type="expression" priority="103" dxfId="6">
      <formula>IF(NoColor,1,0)</formula>
    </cfRule>
  </conditionalFormatting>
  <conditionalFormatting sqref="AD88:AH88">
    <cfRule type="expression" priority="27" dxfId="6">
      <formula>NoColor</formula>
    </cfRule>
  </conditionalFormatting>
  <conditionalFormatting sqref="AD90:AH90">
    <cfRule type="expression" priority="69" dxfId="6">
      <formula>IF(NoColor,1,0)</formula>
    </cfRule>
  </conditionalFormatting>
  <pageMargins left="0.5" right="0.5" top="0.36" bottom="0.29" header="0.36" footer="0.21"/>
  <pageSetup orientation="portrait" scale="74" fitToHeight="0"/>
  <rowBreaks count="1" manualBreakCount="1">
    <brk id="54" min="1" max="33" man="1"/>
  </rowBreaks>
</worksheet>
</file>

<file path=xl/worksheets/sheet21.xml><?xml version="1.0" encoding="utf-8"?>
<worksheet xmlns="http://schemas.openxmlformats.org/spreadsheetml/2006/main">
  <sheetPr>
    <outlinePr summaryBelow="1" summaryRight="1"/>
    <pageSetUpPr fitToPage="1"/>
  </sheetPr>
  <dimension ref="A1:AY58"/>
  <sheetViews>
    <sheetView zoomScaleNormal="100" zoomScaleSheetLayoutView="130" workbookViewId="0">
      <selection activeCell="A1" sqref="A1"/>
    </sheetView>
  </sheetViews>
  <sheetFormatPr baseColWidth="8" defaultColWidth="3.42578125" defaultRowHeight="12.75"/>
  <cols>
    <col width="4.7109375" customWidth="1" style="7635" min="2" max="2"/>
    <col width="2.5703125" customWidth="1" style="7635" min="3" max="3"/>
    <col width="3.85546875" customWidth="1" style="7635" min="4" max="5"/>
    <col width="5.7109375" customWidth="1" style="7635" min="6" max="6"/>
    <col width="3.5703125" customWidth="1" style="7635" min="7" max="18"/>
    <col width="15" customWidth="1" style="7635" min="19" max="19"/>
    <col width="7.28515625" customWidth="1" style="7635" min="20" max="20"/>
    <col width="1.140625" customWidth="1" style="7635" min="21" max="21"/>
    <col width="4.7109375" customWidth="1" style="7635" min="22" max="22"/>
    <col width="4.28515625" customWidth="1" style="7635" min="23" max="26"/>
    <col width="2" customWidth="1" style="7635" min="27" max="27"/>
    <col width="5.7109375" customWidth="1" style="7635" min="28" max="28"/>
    <col width="3.85546875" customWidth="1" style="7635" min="29" max="33"/>
    <col width="2.140625" customWidth="1" style="7635" min="35" max="35"/>
    <col width="15" customWidth="1" style="7635" min="36" max="36"/>
    <col width="2.5703125" customWidth="1" style="7635" min="37" max="37"/>
    <col width="21.85546875" customWidth="1" style="7635" min="38" max="38"/>
    <col width="6.28515625" customWidth="1" style="7635" min="39" max="39"/>
    <col width="10.7109375" customWidth="1" style="769" min="41" max="41"/>
    <col width="10.7109375" customWidth="1" style="658" min="42" max="51"/>
    <col width="3.28515625" customWidth="1" style="7635" min="54" max="64"/>
  </cols>
  <sheetData>
    <row r="1" ht="15" customHeight="1" s="7635">
      <c r="A1" s="1277"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7917">
        <f>IF('Table of Contents'!A26="D","DRAFT","")</f>
        <v/>
      </c>
      <c r="AH1" s="1277" t="n"/>
      <c r="AI1" s="344" t="n"/>
      <c r="AJ1" s="2875" t="n"/>
      <c r="AO1" s="768" t="inlineStr">
        <is>
          <t>Notes</t>
        </is>
      </c>
    </row>
    <row r="2" ht="14.25" customHeight="1" s="7635">
      <c r="A2" s="1277" t="n"/>
      <c r="B2" s="11992" t="inlineStr">
        <is>
          <t>SCHEDULE 3
(Form 1040)</t>
        </is>
      </c>
      <c r="F2" s="1066" t="n"/>
      <c r="G2" s="11993" t="inlineStr">
        <is>
          <t>Additional Credits and Payments</t>
        </is>
      </c>
      <c r="AA2" s="1066" t="n"/>
      <c r="AB2" s="7620">
        <f>IF(AND(AB1="DRAFT",AH2=""),"DRAFT","OMB No. 1545-0074")</f>
        <v/>
      </c>
      <c r="AC2" s="7637" t="n"/>
      <c r="AD2" s="7637" t="n"/>
      <c r="AE2" s="7637" t="n"/>
      <c r="AF2" s="7637" t="n"/>
      <c r="AG2" s="7637" t="n"/>
      <c r="AH2" s="770" t="n"/>
      <c r="AI2" s="344" t="n"/>
      <c r="AJ2" s="2875" t="n"/>
    </row>
    <row r="3" ht="16.5" customHeight="1" s="7635">
      <c r="A3" s="1277" t="n"/>
      <c r="F3" s="1066" t="n"/>
      <c r="G3" s="11741" t="n"/>
      <c r="AA3" s="1066" t="n"/>
      <c r="AB3" s="7892">
        <f>TaxYear</f>
        <v/>
      </c>
      <c r="AC3" s="7839" t="n"/>
      <c r="AD3" s="7839" t="n"/>
      <c r="AE3" s="7839" t="n"/>
      <c r="AF3" s="7839" t="n"/>
      <c r="AG3" s="7839" t="n"/>
      <c r="AH3" s="1277" t="n"/>
      <c r="AI3" s="344" t="n"/>
      <c r="AJ3" s="2875" t="n"/>
    </row>
    <row r="4" ht="14.25" customHeight="1" s="7635">
      <c r="A4" s="1277" t="n"/>
      <c r="B4" s="11994" t="n"/>
      <c r="F4" s="1066" t="n"/>
      <c r="G4" s="4442" t="n"/>
      <c r="H4" s="11602" t="n"/>
      <c r="I4" s="11602" t="n"/>
      <c r="J4" s="11602" t="n"/>
      <c r="K4" s="11602" t="n"/>
      <c r="L4" s="11602" t="n"/>
      <c r="M4" s="11602" t="n"/>
      <c r="N4" s="11602" t="n"/>
      <c r="O4" s="11602" t="n"/>
      <c r="P4" s="11602" t="n"/>
      <c r="Q4" s="7914" t="inlineStr">
        <is>
          <t>Attach to Form 1040, 1040-SR, or 1040-NR.</t>
        </is>
      </c>
      <c r="R4" s="11602" t="n"/>
      <c r="S4" s="11602" t="n"/>
      <c r="T4" s="11602" t="n"/>
      <c r="U4" s="11602" t="n"/>
      <c r="V4" s="11602" t="n"/>
      <c r="W4" s="11602" t="n"/>
      <c r="X4" s="11602" t="n"/>
      <c r="Y4" s="11602" t="n"/>
      <c r="Z4" s="11602" t="n"/>
      <c r="AA4" s="11602" t="n"/>
      <c r="AB4" s="11741" t="n"/>
      <c r="AH4" s="1277" t="n"/>
      <c r="AI4" s="344" t="n"/>
      <c r="AJ4" s="2875" t="n"/>
    </row>
    <row r="5" ht="14.25" customHeight="1" s="7635">
      <c r="A5" s="1277" t="n"/>
      <c r="B5" s="7952" t="inlineStr">
        <is>
          <t>Department of the Treasury</t>
        </is>
      </c>
      <c r="F5" s="1066" t="n"/>
      <c r="G5" s="4443" t="n"/>
      <c r="H5" s="11602" t="n"/>
      <c r="I5" s="11602" t="n"/>
      <c r="J5" s="11602" t="n"/>
      <c r="K5" s="11602" t="n"/>
      <c r="L5" s="11602" t="n"/>
      <c r="M5" s="7886" t="n"/>
      <c r="N5" s="7886" t="n"/>
      <c r="O5" s="7886" t="n"/>
      <c r="P5" s="7886" t="n"/>
      <c r="Q5" s="7914" t="inlineStr">
        <is>
          <t>Go to www.irs.gov/Form1040 for instructions and the latest information.</t>
        </is>
      </c>
      <c r="R5" s="11602" t="n"/>
      <c r="S5" s="11602" t="n"/>
      <c r="T5" s="11602" t="n"/>
      <c r="U5" s="11602" t="n"/>
      <c r="V5" s="11602" t="n"/>
      <c r="W5" s="11602" t="n"/>
      <c r="X5" s="11602" t="n"/>
      <c r="Y5" s="11602" t="n"/>
      <c r="Z5" s="11602" t="n"/>
      <c r="AA5" s="379" t="n"/>
      <c r="AB5" s="4444" t="n"/>
      <c r="AC5" s="7630" t="inlineStr">
        <is>
          <t>Attachment
Sequence  03</t>
        </is>
      </c>
      <c r="AH5" s="1277" t="n"/>
      <c r="AI5" s="344" t="n"/>
      <c r="AJ5" s="2875" t="n"/>
    </row>
    <row r="6" ht="13.5" customHeight="1" s="7635" thickBot="1">
      <c r="A6" s="1277" t="n"/>
      <c r="B6" s="7950" t="inlineStr">
        <is>
          <t>Internal Revenue Service</t>
        </is>
      </c>
      <c r="C6" s="8848" t="n"/>
      <c r="D6" s="8848" t="n"/>
      <c r="E6" s="8848" t="n"/>
      <c r="F6" s="2627" t="n"/>
      <c r="G6" s="2879" t="n"/>
      <c r="H6" s="2880" t="n"/>
      <c r="I6" s="2879" t="n"/>
      <c r="J6" s="2881" t="n"/>
      <c r="K6" s="2880" t="n"/>
      <c r="L6" s="2880" t="n"/>
      <c r="M6" s="2880" t="n"/>
      <c r="N6" s="2880" t="n"/>
      <c r="O6" s="2880" t="n"/>
      <c r="P6" s="2880" t="n"/>
      <c r="Q6" s="2880" t="n"/>
      <c r="R6" s="2880" t="n"/>
      <c r="S6" s="2880" t="n"/>
      <c r="T6" s="2880" t="n"/>
      <c r="U6" s="2880" t="n"/>
      <c r="V6" s="2880" t="n"/>
      <c r="W6" s="2880" t="n"/>
      <c r="X6" s="2880" t="n"/>
      <c r="Y6" s="2880" t="n"/>
      <c r="Z6" s="2880" t="n"/>
      <c r="AA6" s="2880" t="n"/>
      <c r="AB6" s="9264" t="n"/>
      <c r="AC6" s="8848" t="n"/>
      <c r="AD6" s="8848" t="n"/>
      <c r="AE6" s="8848" t="n"/>
      <c r="AF6" s="8848" t="n"/>
      <c r="AG6" s="8848" t="n"/>
      <c r="AH6" s="1277" t="n"/>
      <c r="AI6" s="344" t="n"/>
      <c r="AJ6" s="2875" t="n"/>
      <c r="AL6" s="7834" t="n"/>
    </row>
    <row r="7">
      <c r="A7" s="1277" t="n"/>
      <c r="B7" s="344" t="inlineStr">
        <is>
          <t>Name(s) shown on Form 1040, 1040-SR, or 1040-NR</t>
        </is>
      </c>
      <c r="C7" s="11602" t="n"/>
      <c r="D7" s="11602" t="n"/>
      <c r="E7" s="11602" t="n"/>
      <c r="F7" s="11602" t="n"/>
      <c r="G7" s="11602" t="n"/>
      <c r="H7" s="11602" t="n"/>
      <c r="I7" s="11602" t="n"/>
      <c r="J7" s="11602" t="n"/>
      <c r="K7" s="11602" t="n"/>
      <c r="L7" s="11602" t="n"/>
      <c r="M7" s="11602" t="n"/>
      <c r="N7" s="11602" t="n"/>
      <c r="O7" s="11602" t="n"/>
      <c r="P7" s="11602" t="n"/>
      <c r="Q7" s="11602" t="n"/>
      <c r="R7" s="11602" t="n"/>
      <c r="S7" s="11602" t="n"/>
      <c r="T7" s="11602" t="n"/>
      <c r="U7" s="11602" t="n"/>
      <c r="V7" s="11602" t="n"/>
      <c r="W7" s="11602" t="n"/>
      <c r="X7" s="11602" t="n"/>
      <c r="Y7" s="11602" t="n"/>
      <c r="Z7" s="11602" t="n"/>
      <c r="AA7" s="11602" t="n"/>
      <c r="AB7" s="4445" t="inlineStr">
        <is>
          <t>Your social security number</t>
        </is>
      </c>
      <c r="AC7" s="3375" t="n"/>
      <c r="AD7" s="3375" t="n"/>
      <c r="AE7" s="3375" t="n"/>
      <c r="AF7" s="3375" t="n"/>
      <c r="AG7" s="3375" t="n"/>
      <c r="AH7" s="1277" t="n"/>
      <c r="AI7" s="344" t="n"/>
      <c r="AJ7" s="11931" t="inlineStr">
        <is>
          <t>Manual
Override</t>
        </is>
      </c>
      <c r="AL7" s="987">
        <f>AND(ForeignTaxPaid&lt;&gt;"",ForeignTaxPaid&gt;0,ForeignTaxPaid_F1116=0)</f>
        <v/>
      </c>
    </row>
    <row r="8" ht="9.75" customHeight="1" s="7635">
      <c r="A8" s="1277" t="n"/>
      <c r="B8" s="11932">
        <f>Names</f>
        <v/>
      </c>
      <c r="AA8" s="7636" t="n"/>
      <c r="AB8" s="11933">
        <f>IF(NoSSN,"",SS_Yours)</f>
        <v/>
      </c>
      <c r="AH8" s="1277" t="n"/>
      <c r="AI8" s="344" t="n"/>
      <c r="AJ8" s="11747" t="n"/>
    </row>
    <row r="9" ht="9.75" customHeight="1" s="7635">
      <c r="A9" s="1277"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7" t="n"/>
      <c r="Y9" s="7637" t="n"/>
      <c r="Z9" s="7637" t="n"/>
      <c r="AA9" s="7638" t="n"/>
      <c r="AB9" s="3614" t="n"/>
      <c r="AC9" s="7637" t="n"/>
      <c r="AD9" s="7637" t="n"/>
      <c r="AE9" s="7637" t="n"/>
      <c r="AF9" s="7637" t="n"/>
      <c r="AG9" s="7637" t="n"/>
      <c r="AH9" s="1277" t="n"/>
      <c r="AI9" s="344" t="n"/>
      <c r="AJ9" s="11934" t="n"/>
    </row>
    <row r="10" ht="23.25" customHeight="1" s="7635">
      <c r="A10" s="1277" t="n"/>
      <c r="B10" s="7938" t="inlineStr">
        <is>
          <t>Part I</t>
        </is>
      </c>
      <c r="C10" s="8412" t="n"/>
      <c r="D10" s="8412" t="n"/>
      <c r="E10" s="4446" t="n"/>
      <c r="F10" s="3376" t="inlineStr">
        <is>
          <t>Nonrefundable Credits</t>
        </is>
      </c>
      <c r="G10" s="4446" t="n"/>
      <c r="H10" s="4446" t="n"/>
      <c r="I10" s="4446" t="n"/>
      <c r="J10" s="4446" t="n"/>
      <c r="K10" s="4446" t="n"/>
      <c r="L10" s="773" t="n"/>
      <c r="M10" s="773" t="n"/>
      <c r="N10" s="773" t="n"/>
      <c r="O10" s="773" t="n"/>
      <c r="P10" s="773" t="n"/>
      <c r="Q10" s="773" t="n"/>
      <c r="R10" s="773" t="n"/>
      <c r="S10" s="773" t="n"/>
      <c r="T10" s="773" t="n"/>
      <c r="U10" s="773" t="n"/>
      <c r="V10" s="773" t="n"/>
      <c r="W10" s="773" t="n"/>
      <c r="X10" s="773" t="n"/>
      <c r="Y10" s="773" t="n"/>
      <c r="Z10" s="773" t="n"/>
      <c r="AA10" s="773" t="n"/>
      <c r="AB10" s="773" t="n"/>
      <c r="AC10" s="7920">
        <f>IF(ForeignTaxPaid&gt;0,SUM(ForeignTaxCredit_1,ForeignTaxCredit_2,ForeignTaxCredit_3),0)</f>
        <v/>
      </c>
      <c r="AD10" s="8412" t="n"/>
      <c r="AE10" s="8412" t="n"/>
      <c r="AF10" s="8412" t="n"/>
      <c r="AG10" s="8412" t="n"/>
      <c r="AH10" s="1277" t="n"/>
      <c r="AI10" s="11602" t="n"/>
      <c r="AJ10" s="2875" t="n"/>
      <c r="AL10" s="7916">
        <f>IF(AL7,"See"&amp;CHAR(10)&amp;"Form 1116, Foreign Tax Credit,"&amp;CHAR(10)&amp;"to determine if the form"&amp;CHAR(10)&amp;"needs to be filed.","")</f>
        <v/>
      </c>
      <c r="AO10" s="658" t="n"/>
      <c r="AQ10" s="769" t="n"/>
      <c r="AR10" s="769" t="n"/>
      <c r="AS10" s="769" t="n"/>
      <c r="AT10" s="769" t="n"/>
      <c r="AU10" s="769" t="n"/>
      <c r="AV10" s="769" t="n"/>
      <c r="AW10" s="769" t="n"/>
      <c r="AX10" s="769" t="n"/>
      <c r="AY10" s="769" t="n"/>
    </row>
    <row r="11" ht="20.25" customHeight="1" s="7635">
      <c r="A11" s="1277" t="n"/>
      <c r="B11" s="2039" t="n">
        <v>1</v>
      </c>
      <c r="C11" s="7642" t="n"/>
      <c r="D11" s="7772" t="inlineStr">
        <is>
          <t>Foreign tax credit.  Attach Form 1116, if required</t>
        </is>
      </c>
      <c r="E11" s="344" t="n"/>
      <c r="F11" s="11602" t="n"/>
      <c r="G11" s="11602" t="n"/>
      <c r="H11" s="11602" t="n"/>
      <c r="I11" s="11602" t="n"/>
      <c r="J11" s="11602" t="n"/>
      <c r="K11" s="11602" t="n"/>
      <c r="L11" s="11602" t="n"/>
      <c r="M11" s="11602" t="n"/>
      <c r="N11" s="11602" t="n"/>
      <c r="O11" s="11602" t="n"/>
      <c r="P11" s="11602" t="n"/>
      <c r="Q11" s="11602" t="n"/>
      <c r="R11" s="1218" t="n"/>
      <c r="S11" s="2373" t="n"/>
      <c r="T11" s="11602" t="n"/>
      <c r="U11" s="11602" t="n"/>
      <c r="V11" s="11602" t="n"/>
      <c r="W11" s="11602" t="n"/>
      <c r="X11" s="11602" t="n"/>
      <c r="Y11" s="11602" t="n"/>
      <c r="Z11" s="11602" t="n"/>
      <c r="AA11" s="1401" t="inlineStr">
        <is>
          <t xml:space="preserve">.   .   .   .   .   .   .   .   .   .   .   .   .   .   .   .   .   .   .   .  </t>
        </is>
      </c>
      <c r="AB11" s="7612" t="n">
        <v>1</v>
      </c>
      <c r="AC11" s="7608">
        <f>IF(AJ11&lt;&gt;"",ROUND(AJ11,0),IF(AC10&gt;0,AC10,""))</f>
        <v/>
      </c>
      <c r="AD11" s="7637" t="n"/>
      <c r="AE11" s="7637" t="n"/>
      <c r="AF11" s="7637" t="n"/>
      <c r="AG11" s="7637" t="n"/>
      <c r="AH11" s="1277" t="n"/>
      <c r="AI11" s="344" t="n"/>
      <c r="AJ11" s="1329" t="n"/>
    </row>
    <row r="12" ht="20.25" customHeight="1" s="7635">
      <c r="A12" s="1277" t="n"/>
      <c r="B12" s="2039" t="n">
        <v>2</v>
      </c>
      <c r="C12" s="7642" t="n"/>
      <c r="D12" s="7772" t="inlineStr">
        <is>
          <t>Credit for child and dependent care expenses from Form 2441, line 11.  Attach Form 2441</t>
        </is>
      </c>
      <c r="E12" s="11602" t="n"/>
      <c r="F12" s="11602" t="n"/>
      <c r="G12" s="11602" t="n"/>
      <c r="H12" s="11602" t="n"/>
      <c r="I12" s="11602" t="n"/>
      <c r="J12" s="11602" t="n"/>
      <c r="K12" s="11602" t="n"/>
      <c r="L12" s="11602" t="n"/>
      <c r="M12" s="11602" t="n"/>
      <c r="N12" s="11602" t="n"/>
      <c r="O12" s="11602" t="n"/>
      <c r="P12" s="11602" t="n"/>
      <c r="Q12" s="11602" t="n"/>
      <c r="R12" s="1218" t="n"/>
      <c r="S12" s="2373" t="n"/>
      <c r="T12" s="11602" t="n"/>
      <c r="U12" s="11602" t="n"/>
      <c r="V12" s="11602" t="n"/>
      <c r="W12" s="11602" t="n"/>
      <c r="X12" s="11602" t="n"/>
      <c r="Y12" s="11602" t="n"/>
      <c r="Z12" s="11602" t="n"/>
      <c r="AA12" s="1401" t="inlineStr">
        <is>
          <t xml:space="preserve">.  </t>
        </is>
      </c>
      <c r="AB12" s="8389" t="n">
        <v>2</v>
      </c>
      <c r="AC12" s="7608">
        <f>IF(AJ12&lt;&gt;"",ROUND(AJ12,0),IF(F2441_NonRefund&gt;0,F2441_NonRefund,""))</f>
        <v/>
      </c>
      <c r="AD12" s="7637" t="n"/>
      <c r="AE12" s="7637" t="n"/>
      <c r="AF12" s="7637" t="n"/>
      <c r="AG12" s="7637" t="n"/>
      <c r="AH12" s="1277" t="n"/>
      <c r="AI12" s="344" t="n"/>
      <c r="AJ12" s="1329" t="n"/>
    </row>
    <row r="13" ht="20.25" customHeight="1" s="7635">
      <c r="A13" s="1277" t="n"/>
      <c r="B13" s="2039" t="n">
        <v>3</v>
      </c>
      <c r="C13" s="7642" t="n"/>
      <c r="D13" s="7865" t="inlineStr">
        <is>
          <t>Education credits from Form 8863, line 19</t>
        </is>
      </c>
      <c r="E13" s="344" t="n"/>
      <c r="F13" s="11602" t="n"/>
      <c r="G13" s="11602" t="n"/>
      <c r="H13" s="11602" t="n"/>
      <c r="I13" s="11602" t="n"/>
      <c r="J13" s="11602" t="n"/>
      <c r="K13" s="11602" t="n"/>
      <c r="L13" s="11602" t="n"/>
      <c r="M13" s="11602" t="n"/>
      <c r="N13" s="11602" t="n"/>
      <c r="O13" s="11602" t="n"/>
      <c r="P13" s="11602" t="n"/>
      <c r="Q13" s="11602" t="n"/>
      <c r="R13" s="1218" t="n"/>
      <c r="S13" s="2373" t="n"/>
      <c r="T13" s="11602" t="n"/>
      <c r="U13" s="11602" t="n"/>
      <c r="V13" s="11602" t="n"/>
      <c r="W13" s="11602" t="n"/>
      <c r="X13" s="11602" t="n"/>
      <c r="Y13" s="11602" t="n"/>
      <c r="Z13" s="11602" t="n"/>
      <c r="AA13" s="1401" t="inlineStr">
        <is>
          <t xml:space="preserve">.   .   .   .   .   .   .   .   .   .   .   .   .   .   .   .   .   .   .   .   .   .  </t>
        </is>
      </c>
      <c r="AB13" s="10008" t="n">
        <v>3</v>
      </c>
      <c r="AC13" s="7572">
        <f>IF(AJ13&lt;&gt;"",ROUND(AJ13,0),EducationCredits_NR)</f>
        <v/>
      </c>
      <c r="AD13" s="8412" t="n"/>
      <c r="AE13" s="8412" t="n"/>
      <c r="AF13" s="8412" t="n"/>
      <c r="AG13" s="8412" t="n"/>
      <c r="AH13" s="1277" t="n"/>
      <c r="AI13" s="344" t="n"/>
      <c r="AJ13" s="1329" t="n"/>
    </row>
    <row r="14" ht="20.25" customHeight="1" s="7635">
      <c r="A14" s="1277" t="n"/>
      <c r="B14" s="2039" t="n">
        <v>4</v>
      </c>
      <c r="C14" s="7642" t="n"/>
      <c r="D14" s="7772" t="inlineStr">
        <is>
          <t>Retirement savings contributions credit.  Attach Form 8880</t>
        </is>
      </c>
      <c r="E14" s="11602" t="n"/>
      <c r="F14" s="11602" t="n"/>
      <c r="G14" s="11602" t="n"/>
      <c r="H14" s="11602" t="n"/>
      <c r="I14" s="11602" t="n"/>
      <c r="J14" s="11602" t="n"/>
      <c r="K14" s="11602" t="n"/>
      <c r="L14" s="11602" t="n"/>
      <c r="M14" s="11602" t="n"/>
      <c r="N14" s="11602" t="n"/>
      <c r="O14" s="11602" t="n"/>
      <c r="P14" s="11602" t="n"/>
      <c r="Q14" s="11602" t="n"/>
      <c r="R14" s="1218" t="n"/>
      <c r="S14" s="2373" t="n"/>
      <c r="T14" s="11602" t="n"/>
      <c r="U14" s="11602" t="n"/>
      <c r="V14" s="11602" t="n"/>
      <c r="W14" s="11602" t="n"/>
      <c r="X14" s="11602" t="n"/>
      <c r="Y14" s="11602" t="n"/>
      <c r="Z14" s="11602" t="n"/>
      <c r="AA14" s="1401" t="inlineStr">
        <is>
          <t xml:space="preserve">.   .   .   .   .   .   .   .   .   .   .   .   .   .   .  </t>
        </is>
      </c>
      <c r="AB14" s="10008" t="n">
        <v>4</v>
      </c>
      <c r="AC14" s="7631">
        <f>IF(AJ14&lt;&gt;"",ROUND(AJ14,0),F8880_Credit)</f>
        <v/>
      </c>
      <c r="AD14" s="8412" t="n"/>
      <c r="AE14" s="8412" t="n"/>
      <c r="AF14" s="8412" t="n"/>
      <c r="AG14" s="8412" t="n"/>
      <c r="AH14" s="1277" t="n"/>
      <c r="AI14" s="344" t="n"/>
      <c r="AJ14" s="1329" t="n"/>
      <c r="AL14" s="7562">
        <f>IF(Retirement_Savings="",0,ROUND(Retirement_Savings,0))</f>
        <v/>
      </c>
    </row>
    <row r="15" ht="20.25" customHeight="1" s="7635">
      <c r="A15" s="1277" t="n"/>
      <c r="B15" s="2039" t="n">
        <v>5</v>
      </c>
      <c r="C15" s="7642" t="inlineStr">
        <is>
          <t>a</t>
        </is>
      </c>
      <c r="D15" s="7772" t="inlineStr">
        <is>
          <t>Residential energy credit.  Attach Form 5695, line 15</t>
        </is>
      </c>
      <c r="E15" s="11602" t="n"/>
      <c r="F15" s="11602" t="n"/>
      <c r="G15" s="11602" t="n"/>
      <c r="H15" s="11602" t="n"/>
      <c r="I15" s="11602" t="n"/>
      <c r="J15" s="11602" t="n"/>
      <c r="K15" s="11602" t="n"/>
      <c r="L15" s="11602" t="n"/>
      <c r="M15" s="11602" t="n"/>
      <c r="N15" s="11602" t="n"/>
      <c r="O15" s="11602" t="n"/>
      <c r="P15" s="11602" t="n"/>
      <c r="Q15" s="11602" t="n"/>
      <c r="R15" s="1218" t="n"/>
      <c r="S15" s="2373" t="n"/>
      <c r="T15" s="11602" t="n"/>
      <c r="U15" s="11602" t="n"/>
      <c r="V15" s="11602" t="n"/>
      <c r="W15" s="11602" t="n"/>
      <c r="X15" s="11602" t="n"/>
      <c r="Y15" s="11602" t="n"/>
      <c r="Z15" s="11602" t="n"/>
      <c r="AA15" s="1401" t="inlineStr">
        <is>
          <t xml:space="preserve">.   .   .   .   .   .   .   .   .   .   .   .   .   .   .   .   .   .   .  </t>
        </is>
      </c>
      <c r="AB15" s="10008" t="inlineStr">
        <is>
          <t>5a</t>
        </is>
      </c>
      <c r="AC15" s="7927">
        <f>IF(AJ15&lt;&gt;"",ROUND(AJ15,0),IF(OR(F5695_Line15="",F5695_Line15=0),"",F5695_Line15))</f>
        <v/>
      </c>
      <c r="AD15" s="8007" t="n"/>
      <c r="AE15" s="8007" t="n"/>
      <c r="AF15" s="8007" t="n"/>
      <c r="AG15" s="8007" t="n"/>
      <c r="AH15" s="1277" t="n"/>
      <c r="AI15" s="344" t="n"/>
      <c r="AJ15" s="1329" t="n"/>
      <c r="AL15" s="7562">
        <f>IF(AC15="",0,ROUND(AC15,0))</f>
        <v/>
      </c>
    </row>
    <row r="16" ht="20.25" customHeight="1" s="7635">
      <c r="A16" s="1277" t="n"/>
      <c r="B16" s="2039" t="n"/>
      <c r="C16" s="7642" t="inlineStr">
        <is>
          <t>b</t>
        </is>
      </c>
      <c r="D16" s="7772" t="inlineStr">
        <is>
          <t>Energy efficient home improvement credit from Form 5695, line 32</t>
        </is>
      </c>
      <c r="E16" s="11602" t="n"/>
      <c r="F16" s="11602" t="n"/>
      <c r="G16" s="11602" t="n"/>
      <c r="H16" s="11602" t="n"/>
      <c r="I16" s="11602" t="n"/>
      <c r="J16" s="11602" t="n"/>
      <c r="K16" s="11602" t="n"/>
      <c r="L16" s="11602" t="n"/>
      <c r="M16" s="11602" t="n"/>
      <c r="N16" s="11602" t="n"/>
      <c r="O16" s="11602" t="n"/>
      <c r="P16" s="11602" t="n"/>
      <c r="Q16" s="11602" t="n"/>
      <c r="R16" s="1218" t="n"/>
      <c r="S16" s="2373" t="n"/>
      <c r="T16" s="11602" t="n"/>
      <c r="U16" s="11602" t="n"/>
      <c r="V16" s="11602" t="n"/>
      <c r="W16" s="11602" t="n"/>
      <c r="X16" s="11602" t="n"/>
      <c r="Y16" s="11602" t="n"/>
      <c r="Z16" s="11602" t="n"/>
      <c r="AA16" s="1401" t="inlineStr">
        <is>
          <t xml:space="preserve">.   .   .   .   .   .   .   .   .   .   .   .  </t>
        </is>
      </c>
      <c r="AB16" s="10008" t="inlineStr">
        <is>
          <t>5b</t>
        </is>
      </c>
      <c r="AC16" s="7631">
        <f>IF(AJ16&lt;&gt;"",ROUND(AJ16,0),EEHI_Credit)</f>
        <v/>
      </c>
      <c r="AD16" s="8412" t="n"/>
      <c r="AE16" s="8412" t="n"/>
      <c r="AF16" s="8412" t="n"/>
      <c r="AG16" s="8412" t="n"/>
      <c r="AH16" s="1277" t="n"/>
      <c r="AI16" s="344" t="n"/>
      <c r="AJ16" s="1329" t="n"/>
      <c r="AL16" s="7562" t="n"/>
    </row>
    <row r="17" ht="20.25" customHeight="1" s="7635">
      <c r="A17" s="1277" t="n"/>
      <c r="B17" s="2039" t="n">
        <v>6</v>
      </c>
      <c r="C17" s="7642" t="n"/>
      <c r="D17" s="7772" t="inlineStr">
        <is>
          <t>Other nonrefundable credits:</t>
        </is>
      </c>
      <c r="E17" s="11602" t="n"/>
      <c r="F17" s="11602" t="n"/>
      <c r="G17" s="11602" t="n"/>
      <c r="H17" s="11602" t="n"/>
      <c r="I17" s="11602" t="n"/>
      <c r="J17" s="11602" t="n"/>
      <c r="K17" s="11602" t="n"/>
      <c r="L17" s="11602" t="n"/>
      <c r="M17" s="11602" t="n"/>
      <c r="N17" s="11602" t="n"/>
      <c r="O17" s="11602" t="n"/>
      <c r="P17" s="11602" t="n"/>
      <c r="Q17" s="11602" t="n"/>
      <c r="R17" s="11602" t="n"/>
      <c r="S17" s="11602" t="n"/>
      <c r="T17" s="11602" t="n"/>
      <c r="U17" s="11602" t="n"/>
      <c r="V17" s="726" t="n"/>
      <c r="W17" s="11995" t="n"/>
      <c r="AA17" s="7636" t="n"/>
      <c r="AB17" s="1947" t="n"/>
      <c r="AC17" s="7878" t="n"/>
      <c r="AD17" s="11745" t="n"/>
      <c r="AE17" s="11745" t="n"/>
      <c r="AF17" s="11745" t="n"/>
      <c r="AG17" s="11745" t="n"/>
      <c r="AH17" s="1277" t="n"/>
      <c r="AI17" s="344" t="n"/>
      <c r="AJ17" s="2875" t="n"/>
      <c r="AL17" s="7562" t="n"/>
    </row>
    <row r="18" ht="20.25" customHeight="1" s="7635">
      <c r="A18" s="1277" t="n"/>
      <c r="B18" s="2039" t="n"/>
      <c r="C18" s="8439" t="inlineStr">
        <is>
          <t>a</t>
        </is>
      </c>
      <c r="D18" s="7772" t="inlineStr">
        <is>
          <t>General business credit.  Attach Form 3800</t>
        </is>
      </c>
      <c r="E18" s="11602" t="n"/>
      <c r="F18" s="11602" t="n"/>
      <c r="G18" s="11602" t="n"/>
      <c r="H18" s="11602" t="n"/>
      <c r="I18" s="11602" t="n"/>
      <c r="J18" s="11602" t="n"/>
      <c r="K18" s="11602" t="n"/>
      <c r="L18" s="11602" t="n"/>
      <c r="M18" s="11602" t="n"/>
      <c r="N18" s="11602" t="n"/>
      <c r="O18" s="11602" t="n"/>
      <c r="P18" s="11602" t="n"/>
      <c r="Q18" s="11602" t="n"/>
      <c r="R18" s="11602" t="n"/>
      <c r="S18" s="11602" t="n"/>
      <c r="T18" s="11602" t="n"/>
      <c r="U18" s="1401" t="inlineStr">
        <is>
          <t xml:space="preserve">.   .   .   .   .   .   .   .   .   .   .   </t>
        </is>
      </c>
      <c r="V18" s="8389" t="inlineStr">
        <is>
          <t>6a</t>
        </is>
      </c>
      <c r="W18" s="11201" t="n"/>
      <c r="X18" s="11717" t="n"/>
      <c r="Y18" s="11717" t="n"/>
      <c r="Z18" s="11717" t="n"/>
      <c r="AA18" s="11718" t="n"/>
      <c r="AB18" s="1947" t="n"/>
      <c r="AC18" s="7918">
        <f>IF(W18="",0,ROUND(W18,0))</f>
        <v/>
      </c>
      <c r="AD18" s="194" t="n"/>
      <c r="AE18" s="194" t="n"/>
      <c r="AF18" s="194" t="n"/>
      <c r="AG18" s="194" t="n"/>
      <c r="AH18" s="1277" t="n"/>
      <c r="AI18" s="344" t="n"/>
      <c r="AJ18" s="2875" t="n"/>
      <c r="AL18" s="7562" t="n"/>
    </row>
    <row r="19" ht="20.25" customHeight="1" s="7635">
      <c r="A19" s="1277" t="n"/>
      <c r="B19" s="2039" t="n"/>
      <c r="C19" s="8439" t="inlineStr">
        <is>
          <t>b</t>
        </is>
      </c>
      <c r="D19" s="7772" t="inlineStr">
        <is>
          <t>Credit for prior year minimum tax.  Attach Form 8801</t>
        </is>
      </c>
      <c r="E19" s="11602" t="n"/>
      <c r="F19" s="11602" t="n"/>
      <c r="G19" s="11602" t="n"/>
      <c r="H19" s="11602" t="n"/>
      <c r="I19" s="11602" t="n"/>
      <c r="J19" s="11602" t="n"/>
      <c r="K19" s="11602" t="n"/>
      <c r="L19" s="11602" t="n"/>
      <c r="M19" s="11602" t="n"/>
      <c r="N19" s="11602" t="n"/>
      <c r="O19" s="11602" t="n"/>
      <c r="P19" s="11602" t="n"/>
      <c r="Q19" s="11602" t="n"/>
      <c r="R19" s="11602" t="n"/>
      <c r="S19" s="11602" t="n"/>
      <c r="T19" s="11602" t="n"/>
      <c r="U19" s="1401" t="inlineStr">
        <is>
          <t xml:space="preserve">.   .   .   .   .   .   .   </t>
        </is>
      </c>
      <c r="V19" s="8389" t="inlineStr">
        <is>
          <t>6b</t>
        </is>
      </c>
      <c r="W19" s="11968">
        <f>IF(AJ19&lt;&gt;"",ROUND(AJ19,0),F8801_MinimumTaxCredit)</f>
        <v/>
      </c>
      <c r="X19" s="7637" t="n"/>
      <c r="Y19" s="7637" t="n"/>
      <c r="Z19" s="7637" t="n"/>
      <c r="AA19" s="7638" t="n"/>
      <c r="AB19" s="1947" t="n"/>
      <c r="AC19" s="7918">
        <f>IF(W19="",0,ROUND(W19,0))</f>
        <v/>
      </c>
      <c r="AD19" s="194" t="n"/>
      <c r="AE19" s="194" t="n"/>
      <c r="AF19" s="194" t="n"/>
      <c r="AG19" s="194" t="n"/>
      <c r="AH19" s="1277" t="n"/>
      <c r="AI19" s="344" t="n"/>
      <c r="AJ19" s="1329" t="n"/>
      <c r="AL19" s="7562" t="n"/>
    </row>
    <row r="20" ht="20.25" customHeight="1" s="7635">
      <c r="A20" s="1277" t="n"/>
      <c r="B20" s="2039" t="n"/>
      <c r="C20" s="8439" t="inlineStr">
        <is>
          <t>c</t>
        </is>
      </c>
      <c r="D20" s="7772" t="inlineStr">
        <is>
          <t>Adoption credit. Attach Form 8839</t>
        </is>
      </c>
      <c r="E20" s="11602" t="n"/>
      <c r="F20" s="11602" t="n"/>
      <c r="G20" s="11602" t="n"/>
      <c r="H20" s="11602" t="n"/>
      <c r="I20" s="11602" t="n"/>
      <c r="J20" s="11602" t="n"/>
      <c r="K20" s="11602" t="n"/>
      <c r="L20" s="11602" t="n"/>
      <c r="M20" s="11602" t="n"/>
      <c r="N20" s="11602" t="n"/>
      <c r="O20" s="11602" t="n"/>
      <c r="P20" s="11602" t="n"/>
      <c r="Q20" s="11602" t="n"/>
      <c r="R20" s="11602" t="n"/>
      <c r="S20" s="11602" t="n"/>
      <c r="T20" s="11602" t="n"/>
      <c r="U20" s="1401" t="inlineStr">
        <is>
          <t xml:space="preserve">.   .   .   .   .   .   .   .   .   .   .   .   </t>
        </is>
      </c>
      <c r="V20" s="8389" t="inlineStr">
        <is>
          <t>6c</t>
        </is>
      </c>
      <c r="W20" s="11201" t="n"/>
      <c r="X20" s="11717" t="n"/>
      <c r="Y20" s="11717" t="n"/>
      <c r="Z20" s="11717" t="n"/>
      <c r="AA20" s="11718" t="n"/>
      <c r="AB20" s="1947" t="n"/>
      <c r="AC20" s="7918">
        <f>IF(W20="",0,ROUND(W20,0))</f>
        <v/>
      </c>
      <c r="AD20" s="194" t="n"/>
      <c r="AE20" s="194" t="n"/>
      <c r="AF20" s="194" t="n"/>
      <c r="AG20" s="194" t="n"/>
      <c r="AH20" s="1277" t="n"/>
      <c r="AI20" s="344" t="n"/>
      <c r="AJ20" s="2875" t="n"/>
      <c r="AL20" s="7562" t="n"/>
    </row>
    <row r="21" ht="20.25" customHeight="1" s="7635">
      <c r="A21" s="1277" t="n"/>
      <c r="B21" s="2039" t="n"/>
      <c r="C21" s="8439" t="inlineStr">
        <is>
          <t>d</t>
        </is>
      </c>
      <c r="D21" s="7772" t="inlineStr">
        <is>
          <t>Credit for the elderly or disabled. Attach Schedule R</t>
        </is>
      </c>
      <c r="E21" s="11602" t="n"/>
      <c r="F21" s="11602" t="n"/>
      <c r="G21" s="11602" t="n"/>
      <c r="H21" s="11602" t="n"/>
      <c r="I21" s="11602" t="n"/>
      <c r="J21" s="11602" t="n"/>
      <c r="K21" s="11602" t="n"/>
      <c r="L21" s="11602" t="n"/>
      <c r="M21" s="11602" t="n"/>
      <c r="N21" s="11602" t="n"/>
      <c r="O21" s="11602" t="n"/>
      <c r="P21" s="11602" t="n"/>
      <c r="Q21" s="11602" t="n"/>
      <c r="R21" s="11602" t="n"/>
      <c r="S21" s="11602" t="n"/>
      <c r="T21" s="11602" t="n"/>
      <c r="U21" s="1401" t="inlineStr">
        <is>
          <t xml:space="preserve">.   .   .   .   .   .   .   </t>
        </is>
      </c>
      <c r="V21" s="8389" t="inlineStr">
        <is>
          <t>6d</t>
        </is>
      </c>
      <c r="W21" s="11966">
        <f>IF(AJ21&lt;&gt;"",ROUND(AJ21,0),SchR_Line22)</f>
        <v/>
      </c>
      <c r="X21" s="8412" t="n"/>
      <c r="Y21" s="8412" t="n"/>
      <c r="Z21" s="8412" t="n"/>
      <c r="AA21" s="11734" t="n"/>
      <c r="AB21" s="1947" t="n"/>
      <c r="AC21" s="7918">
        <f>IF(W21="",0,ROUND(W21,0))</f>
        <v/>
      </c>
      <c r="AD21" s="194" t="n"/>
      <c r="AE21" s="194" t="n"/>
      <c r="AF21" s="194" t="n"/>
      <c r="AG21" s="194" t="n"/>
      <c r="AH21" s="1277" t="n"/>
      <c r="AI21" s="344" t="n"/>
      <c r="AJ21" s="1329" t="n"/>
      <c r="AL21" s="4450" t="n"/>
    </row>
    <row r="22" ht="20.25" customHeight="1" s="7635">
      <c r="A22" s="1277" t="n"/>
      <c r="B22" s="2039" t="n"/>
      <c r="C22" s="8439" t="inlineStr">
        <is>
          <t>e</t>
        </is>
      </c>
      <c r="D22" s="7772" t="inlineStr">
        <is>
          <t>Reserved for future use</t>
        </is>
      </c>
      <c r="E22" s="11602" t="n"/>
      <c r="F22" s="11602" t="n"/>
      <c r="G22" s="11602" t="n"/>
      <c r="H22" s="11602" t="n"/>
      <c r="I22" s="11602" t="n"/>
      <c r="J22" s="11602" t="n"/>
      <c r="K22" s="11602" t="n"/>
      <c r="L22" s="11602" t="n"/>
      <c r="M22" s="11602" t="n"/>
      <c r="N22" s="11602" t="n"/>
      <c r="O22" s="11602" t="n"/>
      <c r="P22" s="11602" t="n"/>
      <c r="Q22" s="11602" t="n"/>
      <c r="R22" s="11602" t="n"/>
      <c r="S22" s="11602" t="n"/>
      <c r="T22" s="1401" t="inlineStr">
        <is>
          <t xml:space="preserve">.   .   .   .   .   .   .   .   .   .   .   .   .   .   .   .   .   .   .  </t>
        </is>
      </c>
      <c r="U22" s="1401" t="inlineStr">
        <is>
          <t xml:space="preserve">.   .   .   .   .   .   .   .   </t>
        </is>
      </c>
      <c r="V22" s="8389" t="inlineStr">
        <is>
          <t>6e</t>
        </is>
      </c>
      <c r="W22" s="11996" t="n"/>
      <c r="X22" s="7637" t="n"/>
      <c r="Y22" s="7637" t="n"/>
      <c r="Z22" s="7637" t="n"/>
      <c r="AA22" s="7638" t="n"/>
      <c r="AB22" s="1947" t="n"/>
      <c r="AC22" s="7918">
        <f>IF(W22="",0,ROUND(W22,0))</f>
        <v/>
      </c>
      <c r="AD22" s="194" t="n"/>
      <c r="AE22" s="194" t="n"/>
      <c r="AF22" s="194" t="n"/>
      <c r="AG22" s="194" t="n"/>
      <c r="AH22" s="1277" t="n"/>
      <c r="AI22" s="344" t="n"/>
      <c r="AJ22" s="2875" t="n"/>
      <c r="AL22" s="7562" t="n"/>
    </row>
    <row r="23" ht="20.25" customHeight="1" s="7635">
      <c r="A23" s="1277" t="n"/>
      <c r="B23" s="2039" t="n"/>
      <c r="C23" s="8439" t="inlineStr">
        <is>
          <t>f</t>
        </is>
      </c>
      <c r="D23" s="7772" t="inlineStr">
        <is>
          <t>Clean vehicle credit. Attach Form 8936</t>
        </is>
      </c>
      <c r="E23" s="11602" t="n"/>
      <c r="F23" s="11602" t="n"/>
      <c r="G23" s="11602" t="n"/>
      <c r="H23" s="11602" t="n"/>
      <c r="I23" s="11602" t="n"/>
      <c r="J23" s="11602" t="n"/>
      <c r="K23" s="11602" t="n"/>
      <c r="L23" s="11602" t="n"/>
      <c r="M23" s="11602" t="n"/>
      <c r="N23" s="11602" t="n"/>
      <c r="O23" s="11602" t="n"/>
      <c r="P23" s="11602" t="n"/>
      <c r="Q23" s="11602" t="n"/>
      <c r="R23" s="11602" t="n"/>
      <c r="S23" s="11602" t="n"/>
      <c r="T23" s="11602" t="n"/>
      <c r="U23" s="1401" t="inlineStr">
        <is>
          <t xml:space="preserve">.   .   .   .   .   .   .   .   .   .   .   .   .   </t>
        </is>
      </c>
      <c r="V23" s="8389" t="inlineStr">
        <is>
          <t>6f</t>
        </is>
      </c>
      <c r="W23" s="11201" t="n"/>
      <c r="X23" s="11717" t="n"/>
      <c r="Y23" s="11717" t="n"/>
      <c r="Z23" s="11717" t="n"/>
      <c r="AA23" s="11718" t="n"/>
      <c r="AB23" s="1947" t="n"/>
      <c r="AC23" s="7918">
        <f>IF(W23="",0,ROUND(W23,0))</f>
        <v/>
      </c>
      <c r="AD23" s="194" t="n"/>
      <c r="AE23" s="194" t="n"/>
      <c r="AF23" s="194" t="n"/>
      <c r="AG23" s="194" t="n"/>
      <c r="AH23" s="1277" t="n"/>
      <c r="AI23" s="344" t="n"/>
      <c r="AJ23" s="2875" t="n"/>
      <c r="AL23" s="7562" t="n"/>
    </row>
    <row r="24" ht="20.25" customHeight="1" s="7635">
      <c r="A24" s="1277" t="n"/>
      <c r="B24" s="2039" t="n"/>
      <c r="C24" s="8439" t="inlineStr">
        <is>
          <t>g</t>
        </is>
      </c>
      <c r="D24" s="7772" t="inlineStr">
        <is>
          <t>Mortgage interest credit. Attach Form 8396</t>
        </is>
      </c>
      <c r="E24" s="11602" t="n"/>
      <c r="F24" s="11602" t="n"/>
      <c r="G24" s="11602" t="n"/>
      <c r="H24" s="11602" t="n"/>
      <c r="I24" s="11602" t="n"/>
      <c r="J24" s="11602" t="n"/>
      <c r="K24" s="11602" t="n"/>
      <c r="L24" s="11602" t="n"/>
      <c r="M24" s="11602" t="n"/>
      <c r="N24" s="11602" t="n"/>
      <c r="O24" s="11602" t="n"/>
      <c r="P24" s="11602" t="n"/>
      <c r="Q24" s="11602" t="n"/>
      <c r="R24" s="11602" t="n"/>
      <c r="S24" s="11602" t="n"/>
      <c r="T24" s="11602" t="n"/>
      <c r="U24" s="1401" t="inlineStr">
        <is>
          <t xml:space="preserve">.   .   .   .   .   .   .   .   .   .   .   </t>
        </is>
      </c>
      <c r="V24" s="8389" t="inlineStr">
        <is>
          <t>6g</t>
        </is>
      </c>
      <c r="W24" s="11201" t="n"/>
      <c r="X24" s="11717" t="n"/>
      <c r="Y24" s="11717" t="n"/>
      <c r="Z24" s="11717" t="n"/>
      <c r="AA24" s="11718" t="n"/>
      <c r="AB24" s="1947" t="n"/>
      <c r="AC24" s="7918">
        <f>IF(W24="",0,ROUND(W24,0))</f>
        <v/>
      </c>
      <c r="AD24" s="194" t="n"/>
      <c r="AE24" s="194" t="n"/>
      <c r="AF24" s="194" t="n"/>
      <c r="AG24" s="194" t="n"/>
      <c r="AH24" s="1277" t="n"/>
      <c r="AI24" s="344" t="n"/>
      <c r="AJ24" s="2875" t="n"/>
      <c r="AL24" s="7562" t="n"/>
    </row>
    <row r="25" ht="20.25" customHeight="1" s="7635">
      <c r="A25" s="1277" t="n"/>
      <c r="B25" s="2039" t="n"/>
      <c r="C25" s="8439" t="inlineStr">
        <is>
          <t>h</t>
        </is>
      </c>
      <c r="D25" s="7772" t="inlineStr">
        <is>
          <t>District of Columbia first-time homebuyer credit. Attach Form 8859</t>
        </is>
      </c>
      <c r="E25" s="11602" t="n"/>
      <c r="F25" s="11602" t="n"/>
      <c r="G25" s="11602" t="n"/>
      <c r="H25" s="11602" t="n"/>
      <c r="I25" s="11602" t="n"/>
      <c r="J25" s="11602" t="n"/>
      <c r="K25" s="11602" t="n"/>
      <c r="L25" s="11602" t="n"/>
      <c r="M25" s="11602" t="n"/>
      <c r="N25" s="11602" t="n"/>
      <c r="O25" s="11602" t="n"/>
      <c r="P25" s="11602" t="n"/>
      <c r="Q25" s="11602" t="n"/>
      <c r="R25" s="11602" t="n"/>
      <c r="S25" s="11602" t="n"/>
      <c r="T25" s="11602" t="n"/>
      <c r="U25" s="1401" t="inlineStr">
        <is>
          <t xml:space="preserve">.   </t>
        </is>
      </c>
      <c r="V25" s="8389" t="inlineStr">
        <is>
          <t>6h</t>
        </is>
      </c>
      <c r="W25" s="11201" t="n"/>
      <c r="X25" s="11717" t="n"/>
      <c r="Y25" s="11717" t="n"/>
      <c r="Z25" s="11717" t="n"/>
      <c r="AA25" s="11718" t="n"/>
      <c r="AB25" s="1947" t="n"/>
      <c r="AC25" s="7918">
        <f>IF(W25="",0,ROUND(W25,0))</f>
        <v/>
      </c>
      <c r="AD25" s="194" t="n"/>
      <c r="AE25" s="194" t="n"/>
      <c r="AF25" s="194" t="n"/>
      <c r="AG25" s="194" t="n"/>
      <c r="AH25" s="1277" t="n"/>
      <c r="AI25" s="344" t="n"/>
      <c r="AJ25" s="2875" t="n"/>
      <c r="AL25" s="7562" t="n"/>
    </row>
    <row r="26" ht="20.25" customHeight="1" s="7635">
      <c r="A26" s="1277" t="n"/>
      <c r="B26" s="2039" t="n"/>
      <c r="C26" s="8439" t="inlineStr">
        <is>
          <t>i</t>
        </is>
      </c>
      <c r="D26" s="7772" t="inlineStr">
        <is>
          <t>Qualified electric vehicle credit. Attach Form 8834</t>
        </is>
      </c>
      <c r="E26" s="11602" t="n"/>
      <c r="F26" s="11602" t="n"/>
      <c r="G26" s="11602" t="n"/>
      <c r="H26" s="11602" t="n"/>
      <c r="I26" s="11602" t="n"/>
      <c r="J26" s="11602" t="n"/>
      <c r="K26" s="11602" t="n"/>
      <c r="L26" s="11602" t="n"/>
      <c r="M26" s="11602" t="n"/>
      <c r="N26" s="11602" t="n"/>
      <c r="O26" s="11602" t="n"/>
      <c r="P26" s="11602" t="n"/>
      <c r="Q26" s="11602" t="n"/>
      <c r="R26" s="11602" t="n"/>
      <c r="S26" s="11602" t="n"/>
      <c r="T26" s="11602" t="n"/>
      <c r="U26" s="1401" t="inlineStr">
        <is>
          <t xml:space="preserve">.   .   .   .   .   .   .   .   </t>
        </is>
      </c>
      <c r="V26" s="8389" t="inlineStr">
        <is>
          <t>6i</t>
        </is>
      </c>
      <c r="W26" s="11201" t="n"/>
      <c r="X26" s="11717" t="n"/>
      <c r="Y26" s="11717" t="n"/>
      <c r="Z26" s="11717" t="n"/>
      <c r="AA26" s="11718" t="n"/>
      <c r="AB26" s="1947" t="n"/>
      <c r="AC26" s="7918">
        <f>IF(W26="",0,ROUND(W26,0))</f>
        <v/>
      </c>
      <c r="AD26" s="194" t="n"/>
      <c r="AE26" s="194" t="n"/>
      <c r="AF26" s="194" t="n"/>
      <c r="AG26" s="194" t="n"/>
      <c r="AH26" s="1277" t="n"/>
      <c r="AI26" s="344" t="n"/>
      <c r="AJ26" s="2875" t="n"/>
      <c r="AL26" s="7562" t="n"/>
    </row>
    <row r="27" ht="20.25" customHeight="1" s="7635">
      <c r="A27" s="1277" t="n"/>
      <c r="B27" s="2039" t="n"/>
      <c r="C27" s="8439" t="inlineStr">
        <is>
          <t>j</t>
        </is>
      </c>
      <c r="D27" s="7772" t="inlineStr">
        <is>
          <t>Alternative fuel vehicle refueling property credit. Attach Form 8911</t>
        </is>
      </c>
      <c r="E27" s="11602" t="n"/>
      <c r="F27" s="11602" t="n"/>
      <c r="G27" s="11602" t="n"/>
      <c r="H27" s="11602" t="n"/>
      <c r="I27" s="11602" t="n"/>
      <c r="J27" s="11602" t="n"/>
      <c r="K27" s="11602" t="n"/>
      <c r="L27" s="11602" t="n"/>
      <c r="M27" s="11602" t="n"/>
      <c r="N27" s="11602" t="n"/>
      <c r="O27" s="11602" t="n"/>
      <c r="P27" s="11602" t="n"/>
      <c r="Q27" s="11602" t="n"/>
      <c r="R27" s="11602" t="n"/>
      <c r="S27" s="11602" t="n"/>
      <c r="T27" s="11602" t="n"/>
      <c r="U27" s="1401" t="n"/>
      <c r="V27" s="8389" t="inlineStr">
        <is>
          <t>6j</t>
        </is>
      </c>
      <c r="W27" s="11201" t="n"/>
      <c r="X27" s="11717" t="n"/>
      <c r="Y27" s="11717" t="n"/>
      <c r="Z27" s="11717" t="n"/>
      <c r="AA27" s="11718" t="n"/>
      <c r="AB27" s="1947" t="n"/>
      <c r="AC27" s="7918">
        <f>IF(W27="",0,ROUND(W27,0))</f>
        <v/>
      </c>
      <c r="AD27" s="194" t="n"/>
      <c r="AE27" s="194" t="n"/>
      <c r="AF27" s="194" t="n"/>
      <c r="AG27" s="194" t="n"/>
      <c r="AH27" s="1277" t="n"/>
      <c r="AI27" s="344" t="n"/>
      <c r="AJ27" s="2875" t="n"/>
      <c r="AL27" s="7562" t="n"/>
    </row>
    <row r="28" ht="20.25" customHeight="1" s="7635">
      <c r="A28" s="1277" t="n"/>
      <c r="B28" s="2039" t="n"/>
      <c r="C28" s="8439" t="inlineStr">
        <is>
          <t>k</t>
        </is>
      </c>
      <c r="D28" s="7772" t="inlineStr">
        <is>
          <t>Credit to holders of tax credit bonds. Attach Form 8912</t>
        </is>
      </c>
      <c r="E28" s="11602" t="n"/>
      <c r="F28" s="11602" t="n"/>
      <c r="G28" s="11602" t="n"/>
      <c r="H28" s="11602" t="n"/>
      <c r="I28" s="11602" t="n"/>
      <c r="J28" s="11602" t="n"/>
      <c r="K28" s="11602" t="n"/>
      <c r="L28" s="11602" t="n"/>
      <c r="M28" s="11602" t="n"/>
      <c r="N28" s="11602" t="n"/>
      <c r="O28" s="11602" t="n"/>
      <c r="P28" s="11602" t="n"/>
      <c r="Q28" s="11602" t="n"/>
      <c r="R28" s="11602" t="n"/>
      <c r="S28" s="11602" t="n"/>
      <c r="T28" s="11602" t="n"/>
      <c r="U28" s="1401" t="inlineStr">
        <is>
          <t xml:space="preserve">.   .   .   .   .   .   </t>
        </is>
      </c>
      <c r="V28" s="8389" t="inlineStr">
        <is>
          <t>6k</t>
        </is>
      </c>
      <c r="W28" s="11201" t="n"/>
      <c r="X28" s="11717" t="n"/>
      <c r="Y28" s="11717" t="n"/>
      <c r="Z28" s="11717" t="n"/>
      <c r="AA28" s="11718" t="n"/>
      <c r="AB28" s="1947" t="n"/>
      <c r="AC28" s="7918">
        <f>IF(W28="",0,ROUND(W28,0))</f>
        <v/>
      </c>
      <c r="AD28" s="194" t="n"/>
      <c r="AE28" s="194" t="n"/>
      <c r="AF28" s="194" t="n"/>
      <c r="AG28" s="194" t="n"/>
      <c r="AH28" s="1277" t="n"/>
      <c r="AI28" s="344" t="n"/>
      <c r="AJ28" s="2875" t="n"/>
      <c r="AL28" s="7562" t="n"/>
    </row>
    <row r="29" ht="20.25" customHeight="1" s="7635">
      <c r="A29" s="1277" t="n"/>
      <c r="B29" s="2039" t="n"/>
      <c r="C29" s="8439" t="inlineStr">
        <is>
          <t>l</t>
        </is>
      </c>
      <c r="D29" s="7772" t="inlineStr">
        <is>
          <t>Amount on Form 8978, line 14. See instructions</t>
        </is>
      </c>
      <c r="E29" s="11602" t="n"/>
      <c r="F29" s="11602" t="n"/>
      <c r="G29" s="11602" t="n"/>
      <c r="H29" s="11602" t="n"/>
      <c r="I29" s="11602" t="n"/>
      <c r="J29" s="11602" t="n"/>
      <c r="K29" s="11602" t="n"/>
      <c r="L29" s="11602" t="n"/>
      <c r="M29" s="11602" t="n"/>
      <c r="N29" s="11602" t="n"/>
      <c r="O29" s="11602" t="n"/>
      <c r="P29" s="11602" t="n"/>
      <c r="Q29" s="11602" t="n"/>
      <c r="R29" s="11602" t="n"/>
      <c r="S29" s="11602" t="n"/>
      <c r="T29" s="11602" t="n"/>
      <c r="U29" s="1401" t="inlineStr">
        <is>
          <t xml:space="preserve">.   .   .   .   .   .   .   .   .   </t>
        </is>
      </c>
      <c r="V29" s="8389" t="inlineStr">
        <is>
          <t>6l</t>
        </is>
      </c>
      <c r="W29" s="11201" t="n"/>
      <c r="X29" s="11717" t="n"/>
      <c r="Y29" s="11717" t="n"/>
      <c r="Z29" s="11717" t="n"/>
      <c r="AA29" s="11718" t="n"/>
      <c r="AB29" s="1947" t="n"/>
      <c r="AC29" s="7918">
        <f>IF(W29="",0,ROUND(W29,0))</f>
        <v/>
      </c>
      <c r="AD29" s="194" t="n"/>
      <c r="AE29" s="194" t="n"/>
      <c r="AF29" s="194" t="n"/>
      <c r="AG29" s="194" t="n"/>
      <c r="AH29" s="1277" t="n"/>
      <c r="AI29" s="344" t="n"/>
      <c r="AJ29" s="2875" t="n"/>
      <c r="AL29" s="4451" t="n"/>
    </row>
    <row r="30" ht="20.25" customHeight="1" s="7635">
      <c r="A30" s="1277" t="n"/>
      <c r="B30" s="2039" t="n"/>
      <c r="C30" s="8439" t="inlineStr">
        <is>
          <t>m</t>
        </is>
      </c>
      <c r="D30" s="7772" t="inlineStr">
        <is>
          <t>Credit for previously owned clean vehicles. Attach Form 8936</t>
        </is>
      </c>
      <c r="E30" s="11602" t="n"/>
      <c r="F30" s="11602" t="n"/>
      <c r="G30" s="11602" t="n"/>
      <c r="H30" s="11602" t="n"/>
      <c r="I30" s="11602" t="n"/>
      <c r="J30" s="11602" t="n"/>
      <c r="K30" s="11602" t="n"/>
      <c r="L30" s="11602" t="n"/>
      <c r="M30" s="11602" t="n"/>
      <c r="N30" s="11602" t="n"/>
      <c r="O30" s="11602" t="n"/>
      <c r="P30" s="11602" t="n"/>
      <c r="Q30" s="11602" t="n"/>
      <c r="R30" s="11602" t="n"/>
      <c r="S30" s="11602" t="n"/>
      <c r="T30" s="11602" t="n"/>
      <c r="U30" s="1401" t="inlineStr">
        <is>
          <t xml:space="preserve">.   .   .   </t>
        </is>
      </c>
      <c r="V30" s="8389" t="inlineStr">
        <is>
          <t>6m</t>
        </is>
      </c>
      <c r="W30" s="11201" t="n"/>
      <c r="X30" s="11717" t="n"/>
      <c r="Y30" s="11717" t="n"/>
      <c r="Z30" s="11717" t="n"/>
      <c r="AA30" s="11718" t="n"/>
      <c r="AB30" s="1947" t="n"/>
      <c r="AC30" s="7918">
        <f>IF(W30="",0,ROUND(W30,0))</f>
        <v/>
      </c>
      <c r="AD30" s="194" t="n"/>
      <c r="AE30" s="194" t="n"/>
      <c r="AF30" s="194" t="n"/>
      <c r="AG30" s="194" t="n"/>
      <c r="AH30" s="1277" t="n"/>
      <c r="AI30" s="344" t="n"/>
      <c r="AJ30" s="2875" t="n"/>
      <c r="AL30" s="7562" t="n"/>
    </row>
    <row r="31" ht="20.25" customHeight="1" s="7635">
      <c r="A31" s="1277" t="n"/>
      <c r="B31" s="2039" t="n"/>
      <c r="C31" s="8439" t="inlineStr">
        <is>
          <t>z</t>
        </is>
      </c>
      <c r="D31" s="7772" t="inlineStr">
        <is>
          <t>Other nonrefundable credits.  List type and amount:</t>
        </is>
      </c>
      <c r="E31" s="11602" t="n"/>
      <c r="F31" s="11602" t="n"/>
      <c r="G31" s="11602" t="n"/>
      <c r="H31" s="11602" t="n"/>
      <c r="I31" s="11602" t="n"/>
      <c r="J31" s="11602" t="n"/>
      <c r="K31" s="11602" t="n"/>
      <c r="L31" s="11602" t="n"/>
      <c r="M31" s="11602" t="n"/>
      <c r="N31" s="11602" t="n"/>
      <c r="O31" s="11602" t="n"/>
      <c r="P31" s="11602" t="n"/>
      <c r="Q31" s="11602" t="n"/>
      <c r="R31" s="11602" t="n"/>
      <c r="S31" s="1518" t="n"/>
      <c r="T31" s="1518" t="n"/>
      <c r="U31" s="11602" t="n"/>
      <c r="V31" s="4452" t="n"/>
      <c r="W31" s="4770" t="n"/>
      <c r="X31" s="7839" t="n"/>
      <c r="Y31" s="7839" t="n"/>
      <c r="Z31" s="7839" t="n"/>
      <c r="AA31" s="10091" t="n"/>
      <c r="AB31" s="1947" t="n"/>
      <c r="AC31" s="1327" t="n"/>
      <c r="AD31" s="1328" t="n"/>
      <c r="AE31" s="1328" t="n"/>
      <c r="AF31" s="1328" t="n"/>
      <c r="AG31" s="1328" t="n"/>
      <c r="AH31" s="1277" t="n"/>
      <c r="AI31" s="344" t="n"/>
      <c r="AJ31" s="2875" t="n"/>
      <c r="AL31" s="7562" t="n"/>
    </row>
    <row r="32" ht="20.25" customHeight="1" s="7635">
      <c r="A32" s="1277" t="n"/>
      <c r="B32" s="2039" t="n"/>
      <c r="C32" s="7642" t="n"/>
      <c r="D32" s="7923" t="n"/>
      <c r="E32" s="11717" t="n"/>
      <c r="F32" s="11717" t="n"/>
      <c r="G32" s="11717" t="n"/>
      <c r="H32" s="11717" t="n"/>
      <c r="I32" s="11717" t="n"/>
      <c r="J32" s="11717" t="n"/>
      <c r="K32" s="11717" t="n"/>
      <c r="L32" s="11717" t="n"/>
      <c r="M32" s="11717" t="n"/>
      <c r="N32" s="11717" t="n"/>
      <c r="O32" s="11717" t="n"/>
      <c r="P32" s="11717" t="n"/>
      <c r="Q32" s="11717" t="n"/>
      <c r="R32" s="11717" t="n"/>
      <c r="S32" s="11717" t="n"/>
      <c r="T32" s="11717" t="n"/>
      <c r="U32" s="11602" t="n"/>
      <c r="V32" s="7612" t="n"/>
      <c r="W32" s="11997" t="n"/>
      <c r="AA32" s="7636" t="n"/>
      <c r="AB32" s="1947" t="n"/>
      <c r="AC32" s="7918" t="n"/>
      <c r="AD32" s="194" t="n"/>
      <c r="AE32" s="194" t="n"/>
      <c r="AF32" s="194" t="n"/>
      <c r="AG32" s="194" t="n"/>
      <c r="AH32" s="1277" t="n"/>
      <c r="AI32" s="344" t="n"/>
      <c r="AJ32" s="2875" t="n"/>
      <c r="AL32" s="4451" t="n"/>
    </row>
    <row r="33" ht="20.25" customHeight="1" s="7635">
      <c r="A33" s="1277" t="n"/>
      <c r="B33" s="2039" t="n"/>
      <c r="C33" s="7642" t="n"/>
      <c r="D33" s="7923" t="n"/>
      <c r="E33" s="11717" t="n"/>
      <c r="F33" s="11717" t="n"/>
      <c r="G33" s="11717" t="n"/>
      <c r="H33" s="11717" t="n"/>
      <c r="I33" s="11717" t="n"/>
      <c r="J33" s="11717" t="n"/>
      <c r="K33" s="11717" t="n"/>
      <c r="L33" s="11717" t="n"/>
      <c r="M33" s="11717" t="n"/>
      <c r="N33" s="11717" t="n"/>
      <c r="O33" s="11717" t="n"/>
      <c r="P33" s="11717" t="n"/>
      <c r="Q33" s="11717" t="n"/>
      <c r="R33" s="11717" t="n"/>
      <c r="S33" s="11717" t="n"/>
      <c r="T33" s="11717" t="n"/>
      <c r="U33" s="11602" t="n"/>
      <c r="V33" s="8389" t="inlineStr">
        <is>
          <t>6z</t>
        </is>
      </c>
      <c r="W33" s="11201" t="n"/>
      <c r="X33" s="11717" t="n"/>
      <c r="Y33" s="11717" t="n"/>
      <c r="Z33" s="11717" t="n"/>
      <c r="AA33" s="11718" t="n"/>
      <c r="AB33" s="1947" t="n"/>
      <c r="AC33" s="7918">
        <f>IF(W33="",0,ROUND(W33,0))</f>
        <v/>
      </c>
      <c r="AD33" s="194" t="n"/>
      <c r="AE33" s="194" t="n"/>
      <c r="AF33" s="194" t="n"/>
      <c r="AG33" s="194" t="n"/>
      <c r="AH33" s="1277" t="n"/>
      <c r="AI33" s="344" t="n"/>
      <c r="AJ33" s="2875" t="n"/>
      <c r="AL33" s="4451" t="n"/>
    </row>
    <row r="34" ht="20.25" customHeight="1" s="7635">
      <c r="A34" s="1277" t="n"/>
      <c r="B34" s="2039" t="n">
        <v>7</v>
      </c>
      <c r="C34" s="7642" t="n"/>
      <c r="D34" s="7772" t="inlineStr">
        <is>
          <t>Total other nonrefundable credits. Add lines 6a through 6z</t>
        </is>
      </c>
      <c r="E34" s="11602" t="n"/>
      <c r="F34" s="11602" t="n"/>
      <c r="G34" s="11602" t="n"/>
      <c r="H34" s="11602" t="n"/>
      <c r="I34" s="11602" t="n"/>
      <c r="J34" s="11602" t="n"/>
      <c r="K34" s="11602" t="n"/>
      <c r="L34" s="11602" t="n"/>
      <c r="M34" s="11602" t="n"/>
      <c r="N34" s="11602" t="n"/>
      <c r="O34" s="11602" t="n"/>
      <c r="P34" s="11602" t="n"/>
      <c r="Q34" s="11602" t="n"/>
      <c r="R34" s="11602" t="n"/>
      <c r="S34" s="11602" t="n"/>
      <c r="T34" s="11602" t="n"/>
      <c r="U34" s="11602" t="n"/>
      <c r="V34" s="11602" t="n"/>
      <c r="W34" s="11602" t="n"/>
      <c r="X34" s="11602" t="n"/>
      <c r="Y34" s="11602" t="n"/>
      <c r="Z34" s="11602" t="n"/>
      <c r="AA34" s="1401" t="inlineStr">
        <is>
          <t xml:space="preserve">.   .   .   .   .   .   .   .   .   .   .   .   .   .  </t>
        </is>
      </c>
      <c r="AB34" s="8389" t="n">
        <v>7</v>
      </c>
      <c r="AC34" s="7595">
        <f>IF(AJ34&lt;&gt;"",ROUND(AJ34,0),IF(AL34,"",SUM(AC18:AC33)))</f>
        <v/>
      </c>
      <c r="AD34" s="7637" t="n"/>
      <c r="AE34" s="7637" t="n"/>
      <c r="AF34" s="7637" t="n"/>
      <c r="AG34" s="7637" t="n"/>
      <c r="AH34" s="1277" t="n"/>
      <c r="AI34" s="344" t="n"/>
      <c r="AJ34" s="1329" t="n"/>
      <c r="AL34" s="7562">
        <f>SUM(AC11:AG16,W18:AA30,W33)=0</f>
        <v/>
      </c>
    </row>
    <row r="35" ht="20.25" customHeight="1" s="7635" thickBot="1">
      <c r="A35" s="1277" t="n"/>
      <c r="B35" s="6461" t="n">
        <v>8</v>
      </c>
      <c r="C35" s="8481" t="n"/>
      <c r="D35" s="5003" t="inlineStr">
        <is>
          <t>Add lines 1 through 4, 5a, 5b, and 7. Enter here and on Form 1040 or 1040-SR, line 20</t>
        </is>
      </c>
      <c r="E35" s="380" t="n"/>
      <c r="F35" s="380" t="n"/>
      <c r="G35" s="380" t="n"/>
      <c r="H35" s="380" t="n"/>
      <c r="I35" s="380" t="n"/>
      <c r="J35" s="380" t="n"/>
      <c r="K35" s="380" t="n"/>
      <c r="L35" s="380" t="n"/>
      <c r="M35" s="380" t="n"/>
      <c r="N35" s="380" t="n"/>
      <c r="O35" s="380" t="n"/>
      <c r="P35" s="380" t="n"/>
      <c r="Q35" s="380" t="n"/>
      <c r="R35" s="5385" t="n"/>
      <c r="S35" s="5386" t="n"/>
      <c r="T35" s="380" t="n"/>
      <c r="U35" s="380" t="n"/>
      <c r="V35" s="380" t="n"/>
      <c r="W35" s="380" t="n"/>
      <c r="X35" s="380" t="n"/>
      <c r="Y35" s="380" t="n"/>
      <c r="Z35" s="380" t="n"/>
      <c r="AA35" s="10736" t="inlineStr">
        <is>
          <t xml:space="preserve"> .   .  </t>
        </is>
      </c>
      <c r="AB35" s="8385" t="n">
        <v>8</v>
      </c>
      <c r="AC35" s="7930">
        <f>IF(AJ35&lt;&gt;"",ROUND(AJ35,0),IF(AL35,"",SUM(AC11, AC12, AC13,AL14, ResNRGCredit,AC16,AC34)))</f>
        <v/>
      </c>
      <c r="AD35" s="11811" t="n"/>
      <c r="AE35" s="11811" t="n"/>
      <c r="AF35" s="11811" t="n"/>
      <c r="AG35" s="11811" t="n"/>
      <c r="AH35" s="1277" t="n"/>
      <c r="AI35" s="344" t="n"/>
      <c r="AJ35" s="1329" t="n"/>
      <c r="AL35" s="7834">
        <f>AND(AL34,AJ35="")</f>
        <v/>
      </c>
    </row>
    <row r="36" ht="20.25" customHeight="1" s="7635">
      <c r="A36" s="1277" t="n"/>
      <c r="B36" s="7921" t="inlineStr">
        <is>
          <t>Part II</t>
        </is>
      </c>
      <c r="C36" s="7637" t="n"/>
      <c r="D36" s="7637" t="n"/>
      <c r="E36" s="2009" t="n"/>
      <c r="F36" s="5388" t="inlineStr">
        <is>
          <t>Other Payments and Refundable Credits</t>
        </is>
      </c>
      <c r="G36" s="2009" t="n"/>
      <c r="H36" s="2009" t="n"/>
      <c r="I36" s="2009" t="n"/>
      <c r="J36" s="2009" t="n"/>
      <c r="K36" s="2009" t="n"/>
      <c r="L36" s="413" t="n"/>
      <c r="M36" s="413" t="n"/>
      <c r="N36" s="413" t="n"/>
      <c r="O36" s="413" t="n"/>
      <c r="P36" s="413" t="n"/>
      <c r="Q36" s="413" t="n"/>
      <c r="R36" s="413" t="n"/>
      <c r="S36" s="413" t="n"/>
      <c r="T36" s="413" t="n"/>
      <c r="U36" s="413" t="n"/>
      <c r="V36" s="413" t="n"/>
      <c r="W36" s="413" t="n"/>
      <c r="X36" s="413" t="n"/>
      <c r="Y36" s="413" t="n"/>
      <c r="Z36" s="413" t="n"/>
      <c r="AA36" s="413" t="n"/>
      <c r="AB36" s="413" t="n"/>
      <c r="AC36" s="413" t="n"/>
      <c r="AD36" s="413" t="n"/>
      <c r="AE36" s="413" t="n"/>
      <c r="AF36" s="413" t="n"/>
      <c r="AG36" s="413" t="n"/>
      <c r="AH36" s="1277" t="n"/>
      <c r="AI36" s="11602" t="n"/>
      <c r="AJ36" s="2875" t="n"/>
      <c r="AO36" s="658" t="n"/>
      <c r="AQ36" s="769" t="n"/>
      <c r="AR36" s="769" t="n"/>
      <c r="AS36" s="769" t="n"/>
      <c r="AT36" s="769" t="n"/>
      <c r="AU36" s="769" t="n"/>
      <c r="AV36" s="769" t="n"/>
      <c r="AW36" s="769" t="n"/>
      <c r="AX36" s="769" t="n"/>
      <c r="AY36" s="769" t="n"/>
    </row>
    <row r="37" ht="20.25" customHeight="1" s="7635">
      <c r="A37" s="1277" t="n"/>
      <c r="B37" s="2039" t="n">
        <v>9</v>
      </c>
      <c r="C37" s="8439" t="n"/>
      <c r="D37" s="7772" t="inlineStr">
        <is>
          <t>Net premium tax credit. Attach Form 8962</t>
        </is>
      </c>
      <c r="E37" s="11602" t="n"/>
      <c r="F37" s="11602" t="n"/>
      <c r="G37" s="11602" t="n"/>
      <c r="H37" s="11602" t="n"/>
      <c r="I37" s="11602" t="n"/>
      <c r="J37" s="11602" t="n"/>
      <c r="K37" s="11602" t="n"/>
      <c r="L37" s="11602" t="n"/>
      <c r="M37" s="11602" t="n"/>
      <c r="N37" s="11602" t="n"/>
      <c r="O37" s="11602" t="n"/>
      <c r="P37" s="11602" t="n"/>
      <c r="Q37" s="11602" t="n"/>
      <c r="R37" s="1218" t="n"/>
      <c r="S37" s="2373" t="n"/>
      <c r="T37" s="11602" t="n"/>
      <c r="U37" s="11602" t="n"/>
      <c r="V37" s="11602" t="n"/>
      <c r="W37" s="11602" t="n"/>
      <c r="X37" s="11602" t="n"/>
      <c r="Y37" s="11602" t="n"/>
      <c r="Z37" s="11602" t="n"/>
      <c r="AA37" s="1401" t="inlineStr">
        <is>
          <t xml:space="preserve">.   .   .   .   .   .   .   .   .   .   .   .   .   .   .   .   .   .   .   .   .   .  </t>
        </is>
      </c>
      <c r="AB37" s="10008" t="n">
        <v>9</v>
      </c>
      <c r="AC37" s="7572">
        <f>IF(AJ37&lt;&gt;"",ROUND(AJ37,0),PTC_Net)</f>
        <v/>
      </c>
      <c r="AD37" s="8412" t="n"/>
      <c r="AE37" s="8412" t="n"/>
      <c r="AF37" s="8412" t="n"/>
      <c r="AG37" s="8412" t="n"/>
      <c r="AH37" s="1277" t="n"/>
      <c r="AI37" s="344" t="n"/>
      <c r="AJ37" s="1329" t="n"/>
    </row>
    <row r="38" ht="20.25" customHeight="1" s="7635">
      <c r="A38" s="1277" t="n"/>
      <c r="B38" s="2039" t="n">
        <v>10</v>
      </c>
      <c r="C38" s="8439" t="n"/>
      <c r="D38" s="7865" t="inlineStr">
        <is>
          <t>Amount paid with request for extension to file (see instructions)</t>
        </is>
      </c>
      <c r="E38" s="344" t="n"/>
      <c r="F38" s="11602" t="n"/>
      <c r="G38" s="11602" t="n"/>
      <c r="H38" s="11602" t="n"/>
      <c r="I38" s="11602" t="n"/>
      <c r="J38" s="11602" t="n"/>
      <c r="K38" s="11602" t="n"/>
      <c r="L38" s="11602" t="n"/>
      <c r="M38" s="11602" t="n"/>
      <c r="N38" s="11602" t="n"/>
      <c r="O38" s="11602" t="n"/>
      <c r="P38" s="11602" t="n"/>
      <c r="Q38" s="11602" t="n"/>
      <c r="R38" s="1218" t="n"/>
      <c r="S38" s="2373" t="n"/>
      <c r="T38" s="11602" t="n"/>
      <c r="U38" s="11602" t="n"/>
      <c r="V38" s="11602" t="n"/>
      <c r="W38" s="11602" t="n"/>
      <c r="X38" s="11602" t="n"/>
      <c r="Y38" s="11602" t="n"/>
      <c r="Z38" s="11602" t="n"/>
      <c r="AA38" s="1401" t="inlineStr">
        <is>
          <t xml:space="preserve">.   .   .   .   .   .   .   .   .   .   .   .   .   .  </t>
        </is>
      </c>
      <c r="AB38" s="10008" t="n">
        <v>10</v>
      </c>
      <c r="AC38" s="7575" t="n"/>
      <c r="AD38" s="8007" t="n"/>
      <c r="AE38" s="8007" t="n"/>
      <c r="AF38" s="8007" t="n"/>
      <c r="AG38" s="8007" t="n"/>
      <c r="AH38" s="1277" t="n"/>
      <c r="AI38" s="344" t="n"/>
      <c r="AJ38" s="2889" t="n"/>
    </row>
    <row r="39" ht="20.25" customHeight="1" s="7635">
      <c r="A39" s="1277" t="n"/>
      <c r="B39" s="2039" t="n">
        <v>11</v>
      </c>
      <c r="C39" s="8439" t="n"/>
      <c r="D39" s="7772" t="inlineStr">
        <is>
          <t>Excess social security and tier 1 RRTA tax withheld</t>
        </is>
      </c>
      <c r="E39" s="11602" t="n"/>
      <c r="F39" s="11602" t="n"/>
      <c r="G39" s="11602" t="n"/>
      <c r="H39" s="11602" t="n"/>
      <c r="I39" s="11602" t="n"/>
      <c r="J39" s="11602" t="n"/>
      <c r="K39" s="11602" t="n"/>
      <c r="L39" s="11602" t="n"/>
      <c r="M39" s="11602" t="n"/>
      <c r="N39" s="11602" t="n"/>
      <c r="O39" s="11602" t="n"/>
      <c r="P39" s="11602" t="n"/>
      <c r="Q39" s="11602" t="n"/>
      <c r="R39" s="1218" t="n"/>
      <c r="S39" s="2373" t="n"/>
      <c r="T39" s="11602" t="n"/>
      <c r="U39" s="11602" t="n"/>
      <c r="V39" s="11602" t="n"/>
      <c r="W39" s="11602" t="n"/>
      <c r="X39" s="11602" t="n"/>
      <c r="Y39" s="11602" t="n"/>
      <c r="Z39" s="11602" t="n"/>
      <c r="AA39" s="1401" t="inlineStr">
        <is>
          <t xml:space="preserve">.   .   .   .   .   .   .   .   .   .   .   .   .   .   .   .   .  </t>
        </is>
      </c>
      <c r="AB39" s="10008" t="n">
        <v>11</v>
      </c>
      <c r="AC39" s="7572">
        <f>IF(AJ39&lt;&gt;"",ROUND(AJ39,0),IF(OR(W2_SS_Tax_Excess="",W2_SS_Tax_Excess=0),"",W2_SS_Tax_Excess))</f>
        <v/>
      </c>
      <c r="AD39" s="8412" t="n"/>
      <c r="AE39" s="8412" t="n"/>
      <c r="AF39" s="8412" t="n"/>
      <c r="AG39" s="8412" t="n"/>
      <c r="AH39" s="1277" t="n"/>
      <c r="AI39" s="344" t="n"/>
      <c r="AJ39" s="1329" t="n"/>
    </row>
    <row r="40" ht="20.25" customHeight="1" s="7635">
      <c r="A40" s="1277" t="n"/>
      <c r="B40" s="2039" t="n">
        <v>12</v>
      </c>
      <c r="C40" s="8439" t="n"/>
      <c r="D40" s="7772" t="inlineStr">
        <is>
          <t>Credit for federal tax on fuels. Attach Form 4136</t>
        </is>
      </c>
      <c r="E40" s="11602" t="n"/>
      <c r="F40" s="11602" t="n"/>
      <c r="G40" s="11602" t="n"/>
      <c r="H40" s="11602" t="n"/>
      <c r="I40" s="11602" t="n"/>
      <c r="J40" s="11602" t="n"/>
      <c r="K40" s="11602" t="n"/>
      <c r="L40" s="11602" t="n"/>
      <c r="M40" s="11602" t="n"/>
      <c r="N40" s="11602" t="n"/>
      <c r="O40" s="11602" t="n"/>
      <c r="P40" s="11602" t="n"/>
      <c r="Q40" s="11602" t="n"/>
      <c r="R40" s="1218" t="n"/>
      <c r="S40" s="2373" t="n"/>
      <c r="T40" s="11602" t="n"/>
      <c r="U40" s="11602" t="n"/>
      <c r="V40" s="11602" t="n"/>
      <c r="W40" s="11602" t="n"/>
      <c r="X40" s="11602" t="n"/>
      <c r="Y40" s="11602" t="n"/>
      <c r="Z40" s="11602" t="n"/>
      <c r="AA40" s="1401" t="inlineStr">
        <is>
          <t xml:space="preserve">.   .   .   .   .   .   .   .   .   .   .   .   .   .   .   .   .   .   .  </t>
        </is>
      </c>
      <c r="AB40" s="10008" t="n">
        <v>12</v>
      </c>
      <c r="AC40" s="7575" t="n"/>
      <c r="AD40" s="8007" t="n"/>
      <c r="AE40" s="8007" t="n"/>
      <c r="AF40" s="8007" t="n"/>
      <c r="AG40" s="8007" t="n"/>
      <c r="AH40" s="1277" t="n"/>
      <c r="AI40" s="344" t="n"/>
      <c r="AJ40" s="2875" t="n"/>
    </row>
    <row r="41" ht="20.25" customHeight="1" s="7635">
      <c r="A41" s="1277" t="n"/>
      <c r="B41" s="2039" t="n">
        <v>13</v>
      </c>
      <c r="C41" s="8439" t="n"/>
      <c r="D41" s="7772" t="inlineStr">
        <is>
          <t>Other payments or refundable credits:</t>
        </is>
      </c>
      <c r="E41" s="11602" t="n"/>
      <c r="F41" s="11602" t="n"/>
      <c r="G41" s="11602" t="n"/>
      <c r="H41" s="11602" t="n"/>
      <c r="I41" s="11602" t="n"/>
      <c r="J41" s="11602" t="n"/>
      <c r="K41" s="11602" t="n"/>
      <c r="L41" s="11602" t="n"/>
      <c r="M41" s="11602" t="n"/>
      <c r="N41" s="11602" t="n"/>
      <c r="O41" s="11602" t="n"/>
      <c r="P41" s="11602" t="n"/>
      <c r="Q41" s="11602" t="n"/>
      <c r="R41" s="11602" t="n"/>
      <c r="S41" s="11602" t="n"/>
      <c r="T41" s="11602" t="n"/>
      <c r="U41" s="11602" t="n"/>
      <c r="V41" s="726" t="n"/>
      <c r="W41" s="408" t="n"/>
      <c r="X41" s="11602" t="n"/>
      <c r="Y41" s="11602" t="n"/>
      <c r="Z41" s="11602" t="n"/>
      <c r="AA41" s="409" t="n"/>
      <c r="AB41" s="1947" t="n"/>
      <c r="AC41" s="1176" t="n"/>
      <c r="AD41" s="1177" t="n"/>
      <c r="AE41" s="1177" t="n"/>
      <c r="AF41" s="1177" t="n"/>
      <c r="AG41" s="1178" t="n"/>
      <c r="AH41" s="1277" t="n"/>
      <c r="AI41" s="344" t="n"/>
      <c r="AJ41" s="2875" t="n"/>
    </row>
    <row r="42" ht="20.25" customHeight="1" s="7635">
      <c r="A42" s="1277" t="n"/>
      <c r="B42" s="7772" t="n"/>
      <c r="C42" s="8439" t="inlineStr">
        <is>
          <t>a</t>
        </is>
      </c>
      <c r="D42" s="7772" t="inlineStr">
        <is>
          <t>Form 2439</t>
        </is>
      </c>
      <c r="E42" s="11602" t="n"/>
      <c r="F42" s="11602" t="n"/>
      <c r="G42" s="11602" t="n"/>
      <c r="H42" s="11602" t="n"/>
      <c r="I42" s="11602" t="n"/>
      <c r="J42" s="11602" t="n"/>
      <c r="K42" s="11602" t="n"/>
      <c r="L42" s="11602" t="n"/>
      <c r="M42" s="11602" t="n"/>
      <c r="N42" s="11602" t="n"/>
      <c r="O42" s="11602" t="n"/>
      <c r="P42" s="11602" t="n"/>
      <c r="Q42" s="11602" t="n"/>
      <c r="R42" s="11602" t="n"/>
      <c r="S42" s="11602" t="n"/>
      <c r="T42" s="11602" t="n"/>
      <c r="U42" s="1401" t="inlineStr">
        <is>
          <t xml:space="preserve">.   .   .   .   .   .   .   .   .   .   .   .   .   .   .   .   .   .   .   .   .   .   .   .   .   </t>
        </is>
      </c>
      <c r="V42" s="4453" t="inlineStr">
        <is>
          <t>13a</t>
        </is>
      </c>
      <c r="W42" s="7574" t="n"/>
      <c r="X42" s="11717" t="n"/>
      <c r="Y42" s="11717" t="n"/>
      <c r="Z42" s="11717" t="n"/>
      <c r="AA42" s="11717" t="n"/>
      <c r="AB42" s="1947" t="n"/>
      <c r="AC42" s="1176" t="n"/>
      <c r="AD42" s="1177" t="n"/>
      <c r="AE42" s="1177" t="n"/>
      <c r="AF42" s="1177" t="n"/>
      <c r="AG42" s="1178" t="n"/>
      <c r="AH42" s="1277" t="n"/>
      <c r="AI42" s="344" t="n"/>
      <c r="AJ42" s="2875" t="n"/>
      <c r="AL42" s="7562">
        <f>ROUND(W42,0)</f>
        <v/>
      </c>
    </row>
    <row r="43" ht="20.25" customHeight="1" s="7635">
      <c r="A43" s="1277" t="n"/>
      <c r="B43" s="7772" t="n"/>
      <c r="C43" s="8439" t="inlineStr">
        <is>
          <t>b</t>
        </is>
      </c>
      <c r="D43" s="7772" t="inlineStr">
        <is>
          <t>Section 1341 credit for repayment of amounts included in income from earlier</t>
        </is>
      </c>
      <c r="E43" s="11602" t="n"/>
      <c r="F43" s="11602" t="n"/>
      <c r="G43" s="11602" t="n"/>
      <c r="H43" s="11602" t="n"/>
      <c r="I43" s="11602" t="n"/>
      <c r="J43" s="11602" t="n"/>
      <c r="K43" s="11602" t="n"/>
      <c r="L43" s="11602" t="n"/>
      <c r="M43" s="11602" t="n"/>
      <c r="N43" s="11602" t="n"/>
      <c r="O43" s="11602" t="n"/>
      <c r="P43" s="11602" t="n"/>
      <c r="Q43" s="11602" t="n"/>
      <c r="R43" s="11602" t="n"/>
      <c r="S43" s="11602" t="n"/>
      <c r="T43" s="11602" t="n"/>
      <c r="U43" s="11602" t="n"/>
      <c r="V43" s="4454" t="n"/>
      <c r="W43" s="7878" t="n"/>
      <c r="X43" s="7929" t="n"/>
      <c r="Y43" s="7929" t="n"/>
      <c r="Z43" s="7929" t="n"/>
      <c r="AA43" s="1257" t="n"/>
      <c r="AB43" s="1947" t="n"/>
      <c r="AC43" s="1176" t="n"/>
      <c r="AD43" s="1177" t="n"/>
      <c r="AE43" s="1177" t="n"/>
      <c r="AF43" s="1177" t="n"/>
      <c r="AG43" s="1178" t="n"/>
      <c r="AH43" s="1277" t="n"/>
      <c r="AI43" s="344" t="n"/>
      <c r="AJ43" s="2875" t="n"/>
      <c r="AL43" s="7834" t="n"/>
    </row>
    <row r="44" ht="20.25" customHeight="1" s="7635">
      <c r="A44" s="1277" t="n"/>
      <c r="B44" s="7772" t="n"/>
      <c r="C44" s="8439" t="n"/>
      <c r="D44" s="7772" t="inlineStr">
        <is>
          <t>years</t>
        </is>
      </c>
      <c r="E44" s="11602" t="n"/>
      <c r="F44" s="11602" t="n"/>
      <c r="G44" s="11602" t="n"/>
      <c r="H44" s="11602" t="n"/>
      <c r="I44" s="11602" t="n"/>
      <c r="J44" s="11602" t="n"/>
      <c r="K44" s="11602" t="n"/>
      <c r="L44" s="11602" t="n"/>
      <c r="M44" s="11602" t="n"/>
      <c r="N44" s="11602" t="n"/>
      <c r="O44" s="11602" t="n"/>
      <c r="P44" s="11602" t="n"/>
      <c r="Q44" s="11602" t="n"/>
      <c r="R44" s="11602" t="n"/>
      <c r="S44" s="11602" t="n"/>
      <c r="T44" s="11602" t="n"/>
      <c r="U44" s="1401" t="inlineStr">
        <is>
          <t xml:space="preserve">.   .   .   .   .   .   .   .   .   .   .   .   .   .   .   .   .   .   .   .   .   .   .   .   .   .   .   .   </t>
        </is>
      </c>
      <c r="V44" s="4453" t="inlineStr">
        <is>
          <t>13b</t>
        </is>
      </c>
      <c r="W44" s="7574" t="n"/>
      <c r="X44" s="11717" t="n"/>
      <c r="Y44" s="11717" t="n"/>
      <c r="Z44" s="11717" t="n"/>
      <c r="AA44" s="11717" t="n"/>
      <c r="AB44" s="1947" t="n"/>
      <c r="AC44" s="1176" t="n"/>
      <c r="AD44" s="1177" t="n"/>
      <c r="AE44" s="1177" t="n"/>
      <c r="AF44" s="1177" t="n"/>
      <c r="AG44" s="1178" t="n"/>
      <c r="AH44" s="1277" t="n"/>
      <c r="AI44" s="344" t="n"/>
      <c r="AJ44" s="2875" t="n"/>
      <c r="AL44" s="7562">
        <f>ROUND(W44,0)</f>
        <v/>
      </c>
    </row>
    <row r="45" ht="20.25" customHeight="1" s="7635">
      <c r="A45" s="1277" t="n"/>
      <c r="B45" s="7772" t="n"/>
      <c r="C45" s="8439" t="inlineStr">
        <is>
          <t>c</t>
        </is>
      </c>
      <c r="D45" s="7772" t="inlineStr">
        <is>
          <t>Net elective payment election amount from Form 3800, Part III, line 6, column (j)</t>
        </is>
      </c>
      <c r="E45" s="11602" t="n"/>
      <c r="F45" s="11602" t="n"/>
      <c r="G45" s="11602" t="n"/>
      <c r="H45" s="11602" t="n"/>
      <c r="I45" s="11602" t="n"/>
      <c r="J45" s="11602" t="n"/>
      <c r="K45" s="11602" t="n"/>
      <c r="L45" s="11602" t="n"/>
      <c r="M45" s="11602" t="n"/>
      <c r="N45" s="11602" t="n"/>
      <c r="O45" s="11602" t="n"/>
      <c r="P45" s="11602" t="n"/>
      <c r="Q45" s="11602" t="n"/>
      <c r="R45" s="11602" t="n"/>
      <c r="S45" s="11602" t="n"/>
      <c r="T45" s="11602" t="n"/>
      <c r="U45" s="1401" t="inlineStr">
        <is>
          <t xml:space="preserve">.   .   .   .   .   .   .   .   .   .   .   .   .   .   .   .   .   .   .   .   .   .   .   .   .   .   </t>
        </is>
      </c>
      <c r="V45" s="4453" t="inlineStr">
        <is>
          <t>13c</t>
        </is>
      </c>
      <c r="W45" s="7574" t="n"/>
      <c r="X45" s="11717" t="n"/>
      <c r="Y45" s="11717" t="n"/>
      <c r="Z45" s="11717" t="n"/>
      <c r="AA45" s="11717" t="n"/>
      <c r="AB45" s="1947" t="n"/>
      <c r="AC45" s="1176" t="n"/>
      <c r="AD45" s="1177" t="n"/>
      <c r="AE45" s="1177" t="n"/>
      <c r="AF45" s="1177" t="n"/>
      <c r="AG45" s="1178" t="n"/>
      <c r="AH45" s="1277" t="n"/>
      <c r="AI45" s="344" t="n"/>
      <c r="AJ45" s="2875" t="n"/>
      <c r="AL45" s="7562">
        <f>ROUND(W45,0)</f>
        <v/>
      </c>
    </row>
    <row r="46" ht="20.25" customHeight="1" s="7635">
      <c r="A46" s="1277" t="n"/>
      <c r="B46" s="7772" t="n"/>
      <c r="C46" s="8439" t="inlineStr">
        <is>
          <t>d</t>
        </is>
      </c>
      <c r="D46" s="7772" t="inlineStr">
        <is>
          <t>Deferred amount of net 965 tax liability (see instructions)</t>
        </is>
      </c>
      <c r="E46" s="11602" t="n"/>
      <c r="F46" s="11602" t="n"/>
      <c r="G46" s="11602" t="n"/>
      <c r="H46" s="11602" t="n"/>
      <c r="I46" s="11602" t="n"/>
      <c r="J46" s="11602" t="n"/>
      <c r="K46" s="11602" t="n"/>
      <c r="L46" s="11602" t="n"/>
      <c r="M46" s="11602" t="n"/>
      <c r="N46" s="11602" t="n"/>
      <c r="O46" s="11602" t="n"/>
      <c r="P46" s="11602" t="n"/>
      <c r="Q46" s="11602" t="n"/>
      <c r="R46" s="11602" t="n"/>
      <c r="S46" s="11602" t="n"/>
      <c r="T46" s="11602" t="n"/>
      <c r="U46" s="1401" t="inlineStr">
        <is>
          <t xml:space="preserve">.   .   .   .   .   .   </t>
        </is>
      </c>
      <c r="V46" s="4453" t="inlineStr">
        <is>
          <t>13d</t>
        </is>
      </c>
      <c r="W46" s="7574" t="n"/>
      <c r="X46" s="11717" t="n"/>
      <c r="Y46" s="11717" t="n"/>
      <c r="Z46" s="11717" t="n"/>
      <c r="AA46" s="11717" t="n"/>
      <c r="AB46" s="1947" t="n"/>
      <c r="AC46" s="1176" t="n"/>
      <c r="AD46" s="1177" t="n"/>
      <c r="AE46" s="1177" t="n"/>
      <c r="AF46" s="1177" t="n"/>
      <c r="AG46" s="1178" t="n"/>
      <c r="AH46" s="1277" t="n"/>
      <c r="AI46" s="344" t="n"/>
      <c r="AJ46" s="2875" t="n"/>
      <c r="AL46" s="7562">
        <f>ROUND(W46,0)</f>
        <v/>
      </c>
    </row>
    <row r="47" ht="20.25" customHeight="1" s="7635">
      <c r="A47" s="1277" t="n"/>
      <c r="B47" s="7772" t="n"/>
      <c r="C47" s="8439" t="inlineStr">
        <is>
          <t>z</t>
        </is>
      </c>
      <c r="D47" s="7772" t="inlineStr">
        <is>
          <t>Other refundable credits (see instructions):</t>
        </is>
      </c>
      <c r="E47" s="11602" t="n"/>
      <c r="F47" s="11602" t="n"/>
      <c r="G47" s="11602" t="n"/>
      <c r="H47" s="11602" t="n"/>
      <c r="I47" s="11602" t="n"/>
      <c r="J47" s="11602" t="n"/>
      <c r="K47" s="11602" t="n"/>
      <c r="L47" s="11602" t="n"/>
      <c r="M47" s="11602" t="n"/>
      <c r="N47" s="11602" t="n"/>
      <c r="O47" s="11602" t="n"/>
      <c r="P47" s="1804" t="n"/>
      <c r="Q47" s="1804" t="n"/>
      <c r="R47" s="1804" t="n"/>
      <c r="S47" s="1804" t="n"/>
      <c r="T47" s="1804" t="n"/>
      <c r="U47" s="11602" t="n"/>
      <c r="V47" s="4455" t="n"/>
      <c r="W47" s="7878" t="n"/>
      <c r="X47" s="7929" t="n"/>
      <c r="Y47" s="7929" t="n"/>
      <c r="Z47" s="7929" t="n"/>
      <c r="AA47" s="1257" t="n"/>
      <c r="AB47" s="1947" t="n"/>
      <c r="AC47" s="1176" t="n"/>
      <c r="AD47" s="1177" t="n"/>
      <c r="AE47" s="1177" t="n"/>
      <c r="AF47" s="1177" t="n"/>
      <c r="AG47" s="1178" t="n"/>
      <c r="AH47" s="1277" t="n"/>
      <c r="AI47" s="344" t="n"/>
      <c r="AJ47" s="2875" t="n"/>
      <c r="AL47" s="7834" t="n"/>
    </row>
    <row r="48" ht="20.25" customHeight="1" s="7635">
      <c r="A48" s="1277" t="n"/>
      <c r="B48" s="7772" t="n"/>
      <c r="C48" s="8439" t="n"/>
      <c r="D48" s="7356" t="n"/>
      <c r="E48" s="11717" t="n"/>
      <c r="F48" s="11717" t="n"/>
      <c r="G48" s="11717" t="n"/>
      <c r="H48" s="11717" t="n"/>
      <c r="I48" s="11717" t="n"/>
      <c r="J48" s="11717" t="n"/>
      <c r="K48" s="11717" t="n"/>
      <c r="L48" s="11717" t="n"/>
      <c r="M48" s="11717" t="n"/>
      <c r="N48" s="11717" t="n"/>
      <c r="O48" s="11717" t="n"/>
      <c r="P48" s="11717" t="n"/>
      <c r="Q48" s="11717" t="n"/>
      <c r="R48" s="11717" t="n"/>
      <c r="S48" s="11717" t="n"/>
      <c r="T48" s="11717" t="n"/>
      <c r="U48" s="11602" t="n"/>
      <c r="V48" s="6460" t="n"/>
      <c r="W48" s="1803" t="n"/>
      <c r="X48" s="1806" t="n"/>
      <c r="Y48" s="1806" t="n"/>
      <c r="Z48" s="1806" t="n"/>
      <c r="AA48" s="1806" t="n"/>
      <c r="AB48" s="1947" t="n"/>
      <c r="AC48" s="1176" t="n"/>
      <c r="AD48" s="1177" t="n"/>
      <c r="AE48" s="1177" t="n"/>
      <c r="AF48" s="1177" t="n"/>
      <c r="AG48" s="1178" t="n"/>
      <c r="AH48" s="1277" t="n"/>
      <c r="AI48" s="344" t="n"/>
      <c r="AJ48" s="2875" t="n"/>
      <c r="AL48" s="7562">
        <f>ROUND(W48,0)</f>
        <v/>
      </c>
    </row>
    <row r="49" ht="20.25" customHeight="1" s="7635">
      <c r="A49" s="1277" t="n"/>
      <c r="B49" s="7772" t="n"/>
      <c r="C49" s="8439" t="n"/>
      <c r="D49" s="7356" t="n"/>
      <c r="E49" s="11717" t="n"/>
      <c r="F49" s="11717" t="n"/>
      <c r="G49" s="11717" t="n"/>
      <c r="H49" s="11717" t="n"/>
      <c r="I49" s="11717" t="n"/>
      <c r="J49" s="11717" t="n"/>
      <c r="K49" s="11717" t="n"/>
      <c r="L49" s="11717" t="n"/>
      <c r="M49" s="11717" t="n"/>
      <c r="N49" s="11717" t="n"/>
      <c r="O49" s="11717" t="n"/>
      <c r="P49" s="11717" t="n"/>
      <c r="Q49" s="11717" t="n"/>
      <c r="R49" s="11717" t="n"/>
      <c r="S49" s="11717" t="n"/>
      <c r="T49" s="11717" t="n"/>
      <c r="U49" s="11602" t="n"/>
      <c r="V49" s="4453" t="inlineStr">
        <is>
          <t>13z</t>
        </is>
      </c>
      <c r="W49" s="7574" t="n"/>
      <c r="X49" s="11717" t="n"/>
      <c r="Y49" s="11717" t="n"/>
      <c r="Z49" s="11717" t="n"/>
      <c r="AA49" s="11717" t="n"/>
      <c r="AB49" s="1947" t="n"/>
      <c r="AC49" s="1176" t="n"/>
      <c r="AD49" s="1177" t="n"/>
      <c r="AE49" s="1177" t="n"/>
      <c r="AF49" s="1177" t="n"/>
      <c r="AG49" s="1178" t="n"/>
      <c r="AH49" s="1277" t="n"/>
      <c r="AI49" s="344" t="n"/>
      <c r="AJ49" s="2875" t="n"/>
      <c r="AL49" s="7562">
        <f>ROUND(W49,0)</f>
        <v/>
      </c>
    </row>
    <row r="50" ht="20.25" customHeight="1" s="7635" thickBot="1">
      <c r="A50" s="1277" t="n"/>
      <c r="B50" s="2039" t="n">
        <v>14</v>
      </c>
      <c r="C50" s="8439" t="n"/>
      <c r="D50" s="7772" t="inlineStr">
        <is>
          <t>Total other payments or refundable credits. Add lines 13a through 13z</t>
        </is>
      </c>
      <c r="E50" s="11602" t="n"/>
      <c r="F50" s="11602" t="n"/>
      <c r="G50" s="11602" t="n"/>
      <c r="H50" s="11602" t="n"/>
      <c r="I50" s="11602" t="n"/>
      <c r="J50" s="11602" t="n"/>
      <c r="K50" s="11602" t="n"/>
      <c r="L50" s="11602" t="n"/>
      <c r="M50" s="11602" t="n"/>
      <c r="N50" s="11602" t="n"/>
      <c r="O50" s="11602" t="n"/>
      <c r="P50" s="11602" t="n"/>
      <c r="Q50" s="11602" t="n"/>
      <c r="R50" s="11602" t="n"/>
      <c r="S50" s="11602" t="n"/>
      <c r="T50" s="11602" t="n"/>
      <c r="U50" s="11602" t="n"/>
      <c r="V50" s="11602" t="n"/>
      <c r="W50" s="11602" t="n"/>
      <c r="X50" s="11602" t="n"/>
      <c r="Y50" s="11602" t="n"/>
      <c r="Z50" s="11602" t="n"/>
      <c r="AA50" s="1401" t="inlineStr">
        <is>
          <t xml:space="preserve">.    .   .   .   .   .   .   .   .   .  </t>
        </is>
      </c>
      <c r="AB50" s="8385" t="n">
        <v>14</v>
      </c>
      <c r="AC50" s="7876">
        <f>IF(AJ50&lt;&gt;"",ROUND(AJ50,0),IF(SUM(AL42:AL49)=0,"",SUM(AL42:AL49)))</f>
        <v/>
      </c>
      <c r="AD50" s="8848" t="n"/>
      <c r="AE50" s="8848" t="n"/>
      <c r="AF50" s="8848" t="n"/>
      <c r="AG50" s="8848" t="n"/>
      <c r="AH50" s="1277" t="n"/>
      <c r="AI50" s="344" t="n"/>
      <c r="AJ50" s="1329" t="n"/>
    </row>
    <row r="51" ht="20.25" customHeight="1" s="7635" thickBot="1">
      <c r="A51" s="1277" t="n"/>
      <c r="B51" s="4457" t="n">
        <v>15</v>
      </c>
      <c r="C51" s="4458" t="n"/>
      <c r="D51" s="4459" t="inlineStr">
        <is>
          <t>Add lines 9 through 12 and 14. Enter here and on Form 1040 or 1040-SR, line 31.</t>
        </is>
      </c>
      <c r="E51" s="721" t="n"/>
      <c r="F51" s="721" t="n"/>
      <c r="G51" s="721" t="n"/>
      <c r="H51" s="721" t="n"/>
      <c r="I51" s="721" t="n"/>
      <c r="J51" s="721" t="n"/>
      <c r="K51" s="721" t="n"/>
      <c r="L51" s="721" t="n"/>
      <c r="M51" s="721" t="n"/>
      <c r="N51" s="721" t="n"/>
      <c r="O51" s="721" t="n"/>
      <c r="P51" s="721" t="n"/>
      <c r="Q51" s="721" t="n"/>
      <c r="R51" s="4460" t="n"/>
      <c r="S51" s="4461" t="n"/>
      <c r="T51" s="721" t="n"/>
      <c r="U51" s="721" t="n"/>
      <c r="V51" s="721" t="n"/>
      <c r="W51" s="721" t="n"/>
      <c r="X51" s="721" t="n"/>
      <c r="Y51" s="721" t="n"/>
      <c r="Z51" s="721" t="n"/>
      <c r="AA51" s="4462" t="inlineStr">
        <is>
          <t>.   .   .   .   .</t>
        </is>
      </c>
      <c r="AB51" s="4463" t="n">
        <v>15</v>
      </c>
      <c r="AC51" s="7663">
        <f>IF(AJ51&lt;&gt;"",ROUND(AJ51,0),IF(SUM(PTCNet,ROUND(AC38,0),ExcessSSTax,ROUND(FedFuelTaxCredit,0),AC50)=0,"",SUM(PTCNet,ROUND(AC38,0),ExcessSSTax,ROUND(FedFuelTaxCredit,0),AC50)))</f>
        <v/>
      </c>
      <c r="AD51" s="11705" t="n"/>
      <c r="AE51" s="11705" t="n"/>
      <c r="AF51" s="11705" t="n"/>
      <c r="AG51" s="11705" t="n"/>
      <c r="AH51" s="1277" t="n"/>
      <c r="AI51" s="344" t="n"/>
      <c r="AJ51" s="1329" t="n"/>
    </row>
    <row r="52" ht="17.25" customHeight="1" s="7635" thickTop="1">
      <c r="A52" s="1277" t="n"/>
      <c r="B52" s="2162" t="inlineStr">
        <is>
          <t>For Paperwork Reduction Act Notice, see your tax return instructions.</t>
        </is>
      </c>
      <c r="C52" s="2197" t="n"/>
      <c r="D52" s="411" t="n"/>
      <c r="E52" s="411" t="n"/>
      <c r="F52" s="411" t="n"/>
      <c r="G52" s="411" t="n"/>
      <c r="H52" s="411" t="n"/>
      <c r="I52" s="411" t="n"/>
      <c r="J52" s="411" t="n"/>
      <c r="K52" s="411" t="n"/>
      <c r="L52" s="411" t="n"/>
      <c r="M52" s="411" t="n"/>
      <c r="N52" s="411" t="n"/>
      <c r="O52" s="411" t="n"/>
      <c r="P52" s="411" t="n"/>
      <c r="Q52" s="411" t="n"/>
      <c r="R52" s="411" t="n"/>
      <c r="S52" s="411" t="n"/>
      <c r="T52" s="505" t="inlineStr">
        <is>
          <t>Cat. No. 71480G</t>
        </is>
      </c>
      <c r="U52" s="505" t="n"/>
      <c r="V52" s="411" t="n"/>
      <c r="W52" s="1052" t="n"/>
      <c r="X52" s="411" t="n"/>
      <c r="Y52" s="411" t="n"/>
      <c r="Z52" s="411" t="n"/>
      <c r="AA52" s="411" t="n"/>
      <c r="AB52" s="411" t="n"/>
      <c r="AC52" s="411" t="n"/>
      <c r="AD52" s="411" t="n"/>
      <c r="AE52" s="411" t="n"/>
      <c r="AF52" s="411" t="n"/>
      <c r="AG52" s="2004">
        <f>"Schedule 3 (Form 1040) "&amp;TaxYear</f>
        <v/>
      </c>
      <c r="AH52" s="1277" t="n"/>
      <c r="AI52" s="344" t="n"/>
      <c r="AJ52" s="2875" t="n"/>
    </row>
    <row r="53">
      <c r="A53" s="1277" t="n"/>
      <c r="B53" s="1277" t="n"/>
      <c r="C53" s="1277" t="n"/>
      <c r="D53" s="1277" t="n"/>
      <c r="E53" s="1277" t="n"/>
      <c r="F53" s="1277" t="n"/>
      <c r="G53" s="1277" t="n"/>
      <c r="H53" s="1277" t="n"/>
      <c r="I53" s="1277" t="n"/>
      <c r="J53" s="1277" t="n"/>
      <c r="K53" s="1277" t="n"/>
      <c r="L53" s="1277" t="n"/>
      <c r="M53" s="1277" t="n"/>
      <c r="N53" s="1277" t="n"/>
      <c r="O53" s="1277" t="n"/>
      <c r="P53" s="1277" t="n"/>
      <c r="Q53" s="1277" t="n"/>
      <c r="R53" s="1277" t="n"/>
      <c r="S53" s="1277" t="n"/>
      <c r="T53" s="1277" t="n"/>
      <c r="U53" s="1277" t="n"/>
      <c r="V53" s="1277" t="n"/>
      <c r="W53" s="1277" t="n"/>
      <c r="X53" s="1277" t="n"/>
      <c r="Y53" s="1277" t="n"/>
      <c r="Z53" s="1277" t="n"/>
      <c r="AA53" s="1277" t="n"/>
      <c r="AB53" s="1277" t="n"/>
      <c r="AC53" s="1277" t="n"/>
      <c r="AD53" s="1277" t="n"/>
      <c r="AE53" s="1277" t="n"/>
      <c r="AF53" s="1277" t="n"/>
      <c r="AG53" s="1277" t="n"/>
      <c r="AH53" s="1277" t="n"/>
      <c r="AI53" s="344" t="n"/>
      <c r="AJ53" s="2875" t="n"/>
    </row>
    <row r="55" ht="13.5" customHeight="1" s="7635" thickBot="1"/>
    <row r="56">
      <c r="B56" s="11827" t="inlineStr">
        <is>
          <t>Table of Contents</t>
        </is>
      </c>
      <c r="C56" s="2506" t="n"/>
      <c r="D56" s="2506" t="n"/>
      <c r="E56" s="2506" t="n"/>
      <c r="F56" s="2614" t="n"/>
    </row>
    <row r="57">
      <c r="B57" s="11741" t="n"/>
      <c r="F57" s="1066" t="n"/>
    </row>
    <row r="58" ht="13.5" customHeight="1" s="7635" thickBot="1">
      <c r="B58" s="11743" t="n"/>
      <c r="C58" s="8848" t="n"/>
      <c r="D58" s="8848" t="n"/>
      <c r="E58" s="8848" t="n"/>
      <c r="F58" s="2627" t="n"/>
    </row>
  </sheetData>
  <sheetProtection selectLockedCells="0" selectUnlockedCells="0" algorithmName="SHA-512" sheet="1" objects="0" insertRows="1" insertHyperlinks="1" autoFilter="1" scenarios="0" formatColumns="0" deleteColumns="1" insertColumns="1" pivotTables="1" deleteRows="1" formatCells="0" saltValue="qmruOrRTUiq/7XsHe1hnQw==" formatRows="0" sort="1" spinCount="100000" hashValue="wXqHvQpnYfStxYOlXeLKQ/OYcOaSZZlhgAHxofYeYkJdylK8VXio86F0cQLelBeiwlCdVp/qQgcB5+L3Jsv6/g=="/>
  <mergeCells count="73">
    <mergeCell ref="B4:F4"/>
    <mergeCell ref="W44:AA44"/>
    <mergeCell ref="AB1:AG1"/>
    <mergeCell ref="AB3:AG4"/>
    <mergeCell ref="AC17:AG17"/>
    <mergeCell ref="W49:AA49"/>
    <mergeCell ref="W25:AA25"/>
    <mergeCell ref="AC5:AG6"/>
    <mergeCell ref="AC16:AG16"/>
    <mergeCell ref="AC32:AG32"/>
    <mergeCell ref="B56:F58"/>
    <mergeCell ref="W33:AA33"/>
    <mergeCell ref="AC28:AG28"/>
    <mergeCell ref="W24:AA24"/>
    <mergeCell ref="AC13:AG13"/>
    <mergeCell ref="AC37:AG37"/>
    <mergeCell ref="B10:D10"/>
    <mergeCell ref="AB2:AG2"/>
    <mergeCell ref="AC12:AG12"/>
    <mergeCell ref="W45:AA45"/>
    <mergeCell ref="W30:AA30"/>
    <mergeCell ref="AC18:AG18"/>
    <mergeCell ref="W26:AA26"/>
    <mergeCell ref="AC30:AG30"/>
    <mergeCell ref="W20:AA20"/>
    <mergeCell ref="AC15:AG15"/>
    <mergeCell ref="AC33:AG33"/>
    <mergeCell ref="G2:AA3"/>
    <mergeCell ref="AC24:AG24"/>
    <mergeCell ref="AC14:AG14"/>
    <mergeCell ref="D49:T49"/>
    <mergeCell ref="W32:AA32"/>
    <mergeCell ref="AC23:AG23"/>
    <mergeCell ref="AC39:AG39"/>
    <mergeCell ref="AL10:AM13"/>
    <mergeCell ref="W22:AA22"/>
    <mergeCell ref="D32:T32"/>
    <mergeCell ref="AC35:AG35"/>
    <mergeCell ref="W31:AA31"/>
    <mergeCell ref="B36:D36"/>
    <mergeCell ref="AC26:AG26"/>
    <mergeCell ref="D48:T48"/>
    <mergeCell ref="AC20:AG20"/>
    <mergeCell ref="AC29:AG29"/>
    <mergeCell ref="AC38:AG38"/>
    <mergeCell ref="AC19:AG19"/>
    <mergeCell ref="AC25:AG25"/>
    <mergeCell ref="AC34:AG34"/>
    <mergeCell ref="W21:AA21"/>
    <mergeCell ref="W46:AA46"/>
    <mergeCell ref="AC10:AG10"/>
    <mergeCell ref="AC50:AG50"/>
    <mergeCell ref="W27:AA27"/>
    <mergeCell ref="AC22:AG22"/>
    <mergeCell ref="AC40:AG40"/>
    <mergeCell ref="W42:AA42"/>
    <mergeCell ref="W18:AA18"/>
    <mergeCell ref="AB8:AG9"/>
    <mergeCell ref="W17:AA17"/>
    <mergeCell ref="B6:F6"/>
    <mergeCell ref="AC21:AG21"/>
    <mergeCell ref="B2:F3"/>
    <mergeCell ref="AC27:AG27"/>
    <mergeCell ref="B5:F5"/>
    <mergeCell ref="AC51:AG51"/>
    <mergeCell ref="AJ7:AJ9"/>
    <mergeCell ref="AC11:AG11"/>
    <mergeCell ref="W29:AA29"/>
    <mergeCell ref="W23:AA23"/>
    <mergeCell ref="B8:AA9"/>
    <mergeCell ref="W19:AA19"/>
    <mergeCell ref="W28:AA28"/>
    <mergeCell ref="D33:T33"/>
  </mergeCells>
  <conditionalFormatting sqref="B8 AB8">
    <cfRule type="expression" priority="91" dxfId="6">
      <formula>NoColor</formula>
    </cfRule>
  </conditionalFormatting>
  <conditionalFormatting sqref="B4:G4">
    <cfRule type="expression" priority="75" dxfId="20">
      <formula>NOT(Draft)</formula>
    </cfRule>
  </conditionalFormatting>
  <conditionalFormatting sqref="D32:T33">
    <cfRule type="expression" priority="3" dxfId="6">
      <formula>NoColor</formula>
    </cfRule>
  </conditionalFormatting>
  <conditionalFormatting sqref="D48:T49">
    <cfRule type="expression" priority="1" dxfId="6">
      <formula>NoColor</formula>
    </cfRule>
  </conditionalFormatting>
  <conditionalFormatting sqref="W18:AA30">
    <cfRule type="expression" priority="27" dxfId="6">
      <formula>NoColor</formula>
    </cfRule>
  </conditionalFormatting>
  <conditionalFormatting sqref="W33:AA33">
    <cfRule type="expression" priority="10" dxfId="6">
      <formula>NoColor</formula>
    </cfRule>
  </conditionalFormatting>
  <conditionalFormatting sqref="AB2:AG2">
    <cfRule type="expression" priority="5" dxfId="40">
      <formula>AND(AB1="DRAFT",AH2="")</formula>
    </cfRule>
  </conditionalFormatting>
  <conditionalFormatting sqref="W42:AA49 AC18:AC30 AC31:AG31 AC37:AG51">
    <cfRule type="expression" priority="79" dxfId="6">
      <formula>IF(NoColor,1,0)</formula>
    </cfRule>
  </conditionalFormatting>
  <conditionalFormatting sqref="AC32:AC34">
    <cfRule type="expression" priority="6" dxfId="6">
      <formula>IF(NoColor,1,0)</formula>
    </cfRule>
  </conditionalFormatting>
  <conditionalFormatting sqref="AC11:AG17">
    <cfRule type="expression" priority="45" dxfId="6">
      <formula>IF(NoColor,1,0)</formula>
    </cfRule>
  </conditionalFormatting>
  <conditionalFormatting sqref="AC35:AG35">
    <cfRule type="expression" priority="7" dxfId="6">
      <formula>IF(NoColor,1,0)</formula>
    </cfRule>
  </conditionalFormatting>
  <conditionalFormatting sqref="AH2">
    <cfRule type="expression" priority="4" dxfId="5">
      <formula>AB1="DRAFT"</formula>
    </cfRule>
  </conditionalFormatting>
  <conditionalFormatting sqref="AL10:AM13">
    <cfRule type="expression" priority="69" dxfId="3314">
      <formula>$AL$7</formula>
    </cfRule>
  </conditionalFormatting>
  <hyperlinks>
    <hyperlink ref="B56" location="'Table of Contents'!A1" display="Table of Contents"/>
  </hyperlinks>
  <pageMargins left="0.75" right="0.25" top="0.36" bottom="0.29" header="0.36" footer="0.21"/>
  <pageSetup orientation="portrait" scale="76" fitToHeight="0"/>
</worksheet>
</file>

<file path=xl/worksheets/sheet22.xml><?xml version="1.0" encoding="utf-8"?>
<worksheet xmlns="http://schemas.openxmlformats.org/spreadsheetml/2006/main">
  <sheetPr>
    <outlinePr summaryBelow="1" summaryRight="1"/>
    <pageSetUpPr fitToPage="1"/>
  </sheetPr>
  <dimension ref="A1:AM92"/>
  <sheetViews>
    <sheetView zoomScaleNormal="100" zoomScaleSheetLayoutView="100" workbookViewId="0">
      <selection activeCell="A1" sqref="A1"/>
    </sheetView>
  </sheetViews>
  <sheetFormatPr baseColWidth="8" defaultRowHeight="12.75"/>
  <cols>
    <col width="2.5703125" customWidth="1" style="7635" min="1" max="1"/>
    <col width="5.5703125" customWidth="1" style="7635" min="2" max="2"/>
    <col width="4.42578125" customWidth="1" style="7635" min="3" max="3"/>
    <col width="18.85546875" customWidth="1" style="7635" min="4" max="4"/>
    <col width="14.7109375" customWidth="1" style="7635" min="5" max="5"/>
    <col width="4.7109375" customWidth="1" style="7635" min="6" max="6"/>
    <col width="24.140625" customWidth="1" style="7635" min="7" max="7"/>
    <col width="19.7109375" customWidth="1" style="7635" min="8" max="8"/>
    <col width="4.5703125" customWidth="1" style="7635" min="9" max="9"/>
    <col width="13" customWidth="1" style="7635" min="10" max="10"/>
    <col width="3.7109375" customWidth="1" style="7635" min="12" max="12"/>
    <col width="12" customWidth="1" style="7635" min="13" max="13"/>
    <col width="6.7109375" customWidth="1" style="7635" min="14" max="14"/>
    <col width="13.5703125" customWidth="1" style="769" min="15" max="15"/>
    <col width="9.140625" customWidth="1" style="658" min="16" max="26"/>
  </cols>
  <sheetData>
    <row r="1" ht="16.5" customHeight="1" s="7635" thickBot="1">
      <c r="M1" s="110" t="n"/>
      <c r="O1" s="768" t="inlineStr">
        <is>
          <t>Notes</t>
        </is>
      </c>
    </row>
    <row r="2" ht="8.25" customHeight="1" s="7635">
      <c r="B2" s="463" t="n"/>
      <c r="C2" s="307" t="n"/>
      <c r="D2" s="307" t="n"/>
      <c r="E2" s="307" t="n"/>
      <c r="F2" s="307" t="n"/>
      <c r="G2" s="307" t="n"/>
      <c r="H2" s="307" t="n"/>
      <c r="I2" s="307" t="n"/>
      <c r="J2" s="307" t="n"/>
      <c r="K2" s="308" t="n"/>
      <c r="L2" s="26" t="n"/>
      <c r="M2" s="110" t="n"/>
      <c r="N2" s="26" t="n"/>
    </row>
    <row r="3" ht="20.25" customHeight="1" s="7635">
      <c r="B3" s="1070" t="inlineStr">
        <is>
          <t xml:space="preserve"> Earned Income Worksheet</t>
        </is>
      </c>
      <c r="C3" s="275" t="n"/>
      <c r="D3" s="275" t="n"/>
      <c r="E3" s="275" t="n"/>
      <c r="F3" s="275" t="n"/>
      <c r="G3" s="275" t="n"/>
      <c r="H3" s="275" t="n"/>
      <c r="I3" s="275" t="n"/>
      <c r="J3" s="1076" t="inlineStr">
        <is>
          <t>Keep for Your Records</t>
        </is>
      </c>
      <c r="K3" s="298" t="n"/>
      <c r="L3" s="26" t="n"/>
      <c r="M3" s="110" t="n"/>
      <c r="N3" s="26" t="n"/>
      <c r="O3" s="968" t="inlineStr">
        <is>
          <t>Date</t>
        </is>
      </c>
    </row>
    <row r="4" ht="15" customHeight="1" s="7635">
      <c r="B4" s="464" t="n"/>
      <c r="C4" s="774" t="inlineStr">
        <is>
          <t>for</t>
        </is>
      </c>
      <c r="D4" s="275" t="n"/>
      <c r="E4" s="275" t="n"/>
      <c r="F4" s="275" t="n"/>
      <c r="G4" s="275" t="n"/>
      <c r="H4" s="275" t="n"/>
      <c r="I4" s="275" t="n"/>
      <c r="J4" s="275" t="n"/>
      <c r="K4" s="298" t="n"/>
      <c r="L4" s="26" t="n"/>
      <c r="M4" s="110" t="n"/>
      <c r="N4" s="26" t="n"/>
    </row>
    <row r="5" ht="15.75" customHeight="1" s="7635">
      <c r="B5" s="464" t="n"/>
      <c r="C5" s="995" t="inlineStr">
        <is>
          <t>o</t>
        </is>
      </c>
      <c r="D5" s="995" t="inlineStr">
        <is>
          <t>Sheet 'Line 12a, Standard Deduction for Dependents'</t>
        </is>
      </c>
      <c r="E5" s="275" t="n"/>
      <c r="F5" s="275" t="n"/>
      <c r="G5" s="275" t="n"/>
      <c r="H5" s="275" t="n"/>
      <c r="I5" s="275" t="n"/>
      <c r="J5" s="275" t="n"/>
      <c r="K5" s="298" t="n"/>
      <c r="L5" s="26" t="n"/>
      <c r="M5" s="110" t="n"/>
      <c r="N5" s="26" t="n"/>
    </row>
    <row r="6" ht="15.75" customHeight="1" s="7635">
      <c r="B6" s="464" t="n"/>
      <c r="C6" s="995" t="inlineStr">
        <is>
          <t>o</t>
        </is>
      </c>
      <c r="D6" s="7959" t="inlineStr">
        <is>
          <t>Schedule 8812, Credits for Qualifying Children and Other Dependents, line 18a, and/or</t>
        </is>
      </c>
      <c r="E6" s="26" t="n"/>
      <c r="F6" s="26" t="n"/>
      <c r="G6" s="26" t="n"/>
      <c r="H6" s="26" t="n"/>
      <c r="I6" s="26" t="n"/>
      <c r="J6" s="26" t="n"/>
      <c r="K6" s="298" t="n"/>
      <c r="L6" s="26" t="n"/>
      <c r="M6" s="110" t="n"/>
      <c r="N6" s="26" t="n"/>
    </row>
    <row r="7" ht="15.75" customFormat="1" customHeight="1" s="138">
      <c r="B7" s="4127" t="n"/>
      <c r="C7" s="1295" t="inlineStr">
        <is>
          <t>o</t>
        </is>
      </c>
      <c r="D7" s="7959" t="inlineStr">
        <is>
          <t>Schedule 8812, Instructions, Credit Limit Worksheet B, line 3.</t>
        </is>
      </c>
      <c r="E7" s="26" t="n"/>
      <c r="F7" s="26" t="n"/>
      <c r="G7" s="26" t="n"/>
      <c r="H7" s="26" t="n"/>
      <c r="I7" s="26" t="n"/>
      <c r="J7" s="26" t="n"/>
      <c r="K7" s="4128" t="n"/>
      <c r="L7" s="208" t="n"/>
      <c r="M7" s="1246" t="n"/>
      <c r="N7" s="208" t="n"/>
      <c r="O7" s="967" t="n"/>
      <c r="P7" s="662" t="n"/>
      <c r="Q7" s="662" t="n"/>
      <c r="R7" s="662" t="n"/>
      <c r="S7" s="662" t="n"/>
      <c r="T7" s="662" t="n"/>
      <c r="U7" s="662" t="n"/>
      <c r="V7" s="662" t="n"/>
      <c r="W7" s="662" t="n"/>
      <c r="X7" s="662" t="n"/>
      <c r="Y7" s="662" t="n"/>
      <c r="Z7" s="662" t="n"/>
    </row>
    <row r="8" ht="9" customHeight="1" s="7635" thickBot="1">
      <c r="B8" s="1068" t="n"/>
      <c r="C8" s="1069" t="n"/>
      <c r="D8" s="312" t="n"/>
      <c r="E8" s="312" t="n"/>
      <c r="F8" s="312" t="n"/>
      <c r="G8" s="312" t="n"/>
      <c r="H8" s="312" t="n"/>
      <c r="I8" s="312" t="n"/>
      <c r="J8" s="312" t="n"/>
      <c r="K8" s="313" t="n"/>
      <c r="L8" s="26" t="n"/>
      <c r="M8" s="110" t="n"/>
      <c r="N8" s="26" t="n"/>
    </row>
    <row r="9" ht="15.75" customHeight="1" s="7635">
      <c r="B9" s="1071" t="inlineStr">
        <is>
          <t>Before you begin:</t>
        </is>
      </c>
      <c r="C9" s="995" t="n"/>
      <c r="D9" s="275" t="n"/>
      <c r="E9" s="275" t="n"/>
      <c r="F9" s="275" t="n"/>
      <c r="G9" s="275" t="n"/>
      <c r="H9" s="275" t="n"/>
      <c r="I9" s="275" t="n"/>
      <c r="J9" s="275" t="n"/>
      <c r="K9" s="298" t="n"/>
      <c r="L9" s="26" t="n"/>
      <c r="M9" s="110" t="n"/>
      <c r="N9" s="26" t="n"/>
    </row>
    <row r="10">
      <c r="B10" s="1072" t="inlineStr">
        <is>
          <t>o</t>
        </is>
      </c>
      <c r="C10" s="309" t="inlineStr">
        <is>
          <t>Use this worksheet for input to:</t>
        </is>
      </c>
      <c r="D10" s="275" t="n"/>
      <c r="E10" s="275" t="n"/>
      <c r="F10" s="275" t="n"/>
      <c r="G10" s="275" t="n"/>
      <c r="H10" s="275" t="n"/>
      <c r="I10" s="275" t="n"/>
      <c r="J10" s="275" t="n"/>
      <c r="K10" s="298" t="n"/>
      <c r="L10" s="26" t="n"/>
      <c r="M10" s="110" t="n"/>
      <c r="N10" s="26" t="n"/>
    </row>
    <row r="11" ht="15.75" customHeight="1" s="7635">
      <c r="B11" s="464" t="n"/>
      <c r="C11" s="823" t="inlineStr">
        <is>
          <t>-   line 2 of the Line 12, Standard Deductions for Dependents, Worksheet,</t>
        </is>
      </c>
      <c r="D11" s="275" t="n"/>
      <c r="E11" s="275" t="n"/>
      <c r="F11" s="275" t="n"/>
      <c r="G11" s="275" t="n"/>
      <c r="H11" s="275" t="n"/>
      <c r="I11" s="275" t="n"/>
      <c r="J11" s="275" t="n"/>
      <c r="K11" s="298" t="n"/>
      <c r="L11" s="26" t="n"/>
      <c r="M11" s="110" t="n"/>
      <c r="N11" s="26" t="n"/>
    </row>
    <row r="12" ht="15.75" customHeight="1" s="7635">
      <c r="B12" s="464" t="n"/>
      <c r="C12" s="823" t="inlineStr">
        <is>
          <t xml:space="preserve">-   line 18a of Schedule 8812, Credits for Qualifying Children and Other Dependents,  and/or </t>
        </is>
      </c>
      <c r="D12" s="275" t="n"/>
      <c r="E12" s="275" t="n"/>
      <c r="F12" s="275" t="n"/>
      <c r="G12" s="275" t="n"/>
      <c r="H12" s="275" t="n"/>
      <c r="I12" s="275" t="n"/>
      <c r="J12" s="275" t="n"/>
      <c r="K12" s="298" t="n"/>
      <c r="L12" s="26" t="n"/>
      <c r="M12" s="110" t="n"/>
      <c r="N12" s="26" t="n"/>
    </row>
    <row r="13" ht="15.75" customHeight="1" s="7635">
      <c r="B13" s="464" t="n"/>
      <c r="C13" s="823" t="inlineStr">
        <is>
          <t>-   line 3 of Credit Limit Worksheet B in Schedule 8812 instructions.</t>
        </is>
      </c>
      <c r="D13" s="275" t="n"/>
      <c r="E13" s="275" t="n"/>
      <c r="F13" s="275" t="n"/>
      <c r="G13" s="275" t="n"/>
      <c r="H13" s="275" t="n"/>
      <c r="I13" s="275" t="n"/>
      <c r="J13" s="275" t="n"/>
      <c r="K13" s="298" t="n"/>
      <c r="L13" s="26" t="n"/>
      <c r="M13" s="110" t="n"/>
      <c r="N13" s="26" t="n"/>
    </row>
    <row r="14">
      <c r="B14" s="1072" t="inlineStr">
        <is>
          <t>o</t>
        </is>
      </c>
      <c r="C14" s="309" t="inlineStr">
        <is>
          <t>Disregard community property laws when figuring the amounts to enter on this worksheet.</t>
        </is>
      </c>
      <c r="D14" s="275" t="n"/>
      <c r="E14" s="275" t="n"/>
      <c r="F14" s="275" t="n"/>
      <c r="G14" s="275" t="n"/>
      <c r="H14" s="275" t="n"/>
      <c r="I14" s="275" t="n"/>
      <c r="J14" s="275" t="n"/>
      <c r="K14" s="298" t="n"/>
      <c r="L14" s="26" t="n"/>
      <c r="M14" s="110" t="n"/>
      <c r="N14" s="26" t="n"/>
    </row>
    <row r="15" ht="17.25" customHeight="1" s="7635">
      <c r="B15" s="1074" t="inlineStr">
        <is>
          <t>o</t>
        </is>
      </c>
      <c r="C15" s="714" t="inlineStr">
        <is>
          <t>If married filing jointly, include your spouse's amounts with yours when completing this worksheet.</t>
        </is>
      </c>
      <c r="D15" s="436" t="n"/>
      <c r="E15" s="436" t="n"/>
      <c r="F15" s="436" t="n"/>
      <c r="G15" s="436" t="n"/>
      <c r="H15" s="436" t="n"/>
      <c r="I15" s="436" t="n"/>
      <c r="J15" s="436" t="n"/>
      <c r="K15" s="1075" t="n"/>
      <c r="L15" s="26" t="n"/>
      <c r="M15" s="110" t="n"/>
      <c r="N15" s="26" t="n"/>
    </row>
    <row r="16">
      <c r="B16" s="1073" t="n"/>
      <c r="C16" s="344" t="n"/>
      <c r="D16" s="344" t="n"/>
      <c r="E16" s="344" t="n"/>
      <c r="F16" s="344" t="n"/>
      <c r="G16" s="344" t="n"/>
      <c r="H16" s="344" t="n"/>
      <c r="I16" s="344" t="n"/>
      <c r="J16" s="344" t="n"/>
      <c r="K16" s="346" t="n"/>
      <c r="M16" s="110" t="n"/>
      <c r="N16" s="26" t="n"/>
    </row>
    <row r="17">
      <c r="B17" s="1073" t="n"/>
      <c r="C17" s="4129" t="inlineStr">
        <is>
          <t>Note from Standard Deduction Worksheet for Dependents -- Line 12</t>
        </is>
      </c>
      <c r="D17" s="344" t="n"/>
      <c r="E17" s="344" t="n"/>
      <c r="F17" s="344" t="n"/>
      <c r="G17" s="344" t="n"/>
      <c r="H17" s="344" t="n"/>
      <c r="I17" s="344" t="n"/>
      <c r="J17" s="344" t="n"/>
      <c r="K17" s="346" t="n"/>
      <c r="M17" s="110" t="n"/>
      <c r="N17" s="26" t="n"/>
    </row>
    <row r="18" ht="12.75" customHeight="1" s="7635">
      <c r="B18" s="1073" t="n"/>
      <c r="C18" s="7960" t="inlineStr">
        <is>
          <t>Earned income includes wages, salaries, tips, professional fees, and other compensation received for personal services you performed. It also includes any taxable scholarship or fellowship grant. Generally, your earned income is the total of the amount(s) you reported on Form 1040 or 1040-SR, line 1z, and Schedule 1, line 3 (Sch. C), line 6 (Sch. F), line 8r (Scholarships not reported on W-2), line 8t (Non-Qualified Pension/Annuity), and line 8u (Prison Pay) minus the amount, if any, on Schedule 1, line 15.</t>
        </is>
      </c>
      <c r="K18" s="346" t="n"/>
      <c r="M18" s="110" t="n"/>
      <c r="N18" s="26" t="n"/>
    </row>
    <row r="19" ht="12.75" customHeight="1" s="7635">
      <c r="B19" s="1073" t="n"/>
      <c r="K19" s="346" t="n"/>
      <c r="M19" s="110" t="n"/>
      <c r="N19" s="26" t="n"/>
    </row>
    <row r="20" ht="12.75" customHeight="1" s="7635">
      <c r="B20" s="1073" t="n"/>
      <c r="K20" s="346" t="n"/>
      <c r="M20" s="110" t="n"/>
      <c r="N20" s="26" t="n"/>
    </row>
    <row r="21">
      <c r="B21" s="1073" t="n"/>
      <c r="K21" s="346" t="n"/>
      <c r="M21" s="110" t="n"/>
      <c r="N21" s="26" t="n"/>
    </row>
    <row r="22">
      <c r="B22" s="1073" t="n"/>
      <c r="K22" s="346" t="n"/>
      <c r="M22" s="66" t="inlineStr">
        <is>
          <t>Manual</t>
        </is>
      </c>
      <c r="N22" s="26" t="n"/>
    </row>
    <row r="23" ht="13.5" customFormat="1" customHeight="1" s="26" thickBot="1">
      <c r="B23" s="310" t="n"/>
      <c r="C23" s="309" t="n"/>
      <c r="D23" s="275" t="n"/>
      <c r="E23" s="275" t="n"/>
      <c r="F23" s="275" t="n"/>
      <c r="G23" s="275" t="n"/>
      <c r="H23" s="275" t="n"/>
      <c r="I23" s="468" t="n"/>
      <c r="J23" s="275" t="n"/>
      <c r="K23" s="298" t="n"/>
      <c r="M23" s="66" t="inlineStr">
        <is>
          <t>Override ê</t>
        </is>
      </c>
      <c r="N23" s="466" t="n"/>
      <c r="O23" s="769" t="n"/>
      <c r="P23" s="658" t="n"/>
      <c r="Q23" s="658" t="n"/>
      <c r="R23" s="658" t="n"/>
      <c r="S23" s="658" t="n"/>
      <c r="T23" s="658" t="n"/>
      <c r="U23" s="658" t="n"/>
      <c r="V23" s="658" t="n"/>
      <c r="W23" s="658" t="n"/>
      <c r="X23" s="658" t="n"/>
      <c r="Y23" s="658" t="n"/>
      <c r="Z23" s="658" t="n"/>
      <c r="AG23" s="466" t="n"/>
      <c r="AH23" s="466" t="n"/>
    </row>
    <row r="24" ht="13.5" customFormat="1" customHeight="1" s="26" thickBot="1">
      <c r="B24" s="469" t="inlineStr">
        <is>
          <t>1a.</t>
        </is>
      </c>
      <c r="C24" s="309" t="inlineStr">
        <is>
          <t>Enter the amount of Earned Income from Form 1040 or 1040-SR, line 1</t>
        </is>
      </c>
      <c r="D24" s="275" t="n"/>
      <c r="E24" s="275" t="n"/>
      <c r="F24" s="275" t="n"/>
      <c r="G24" s="275" t="n"/>
      <c r="H24" s="275" t="n"/>
      <c r="I24" s="468" t="inlineStr">
        <is>
          <t>1a.</t>
        </is>
      </c>
      <c r="J24" s="465">
        <f>IF(M24&lt;&gt;"",ROUND(M24,0),F1040_Line1z)</f>
        <v/>
      </c>
      <c r="K24" s="298" t="n"/>
      <c r="M24" s="467" t="n"/>
      <c r="N24" s="466" t="n"/>
      <c r="O24" s="769" t="n"/>
      <c r="P24" s="658" t="n"/>
      <c r="Q24" s="658" t="n"/>
      <c r="R24" s="658" t="n"/>
      <c r="S24" s="658" t="n"/>
      <c r="T24" s="658" t="n"/>
      <c r="U24" s="658" t="n"/>
      <c r="V24" s="658" t="n"/>
      <c r="W24" s="658" t="n"/>
      <c r="X24" s="658" t="n"/>
      <c r="Y24" s="658" t="n"/>
      <c r="Z24" s="658" t="n"/>
      <c r="AG24" s="466" t="n"/>
      <c r="AH24" s="466" t="n">
        <v>65</v>
      </c>
    </row>
    <row r="25" customFormat="1" s="26">
      <c r="B25" s="310" t="n"/>
      <c r="C25" s="275" t="n"/>
      <c r="D25" s="275" t="n"/>
      <c r="E25" s="275" t="n"/>
      <c r="F25" s="275" t="n"/>
      <c r="G25" s="275" t="n"/>
      <c r="H25" s="275" t="n"/>
      <c r="I25" s="275" t="n"/>
      <c r="J25" s="117" t="inlineStr">
        <is>
          <t>Source: Form 1040, line 1z.</t>
        </is>
      </c>
      <c r="K25" s="298" t="n"/>
      <c r="M25" s="110" t="n"/>
      <c r="N25" s="466" t="n"/>
      <c r="O25" s="769" t="n"/>
      <c r="P25" s="658" t="n"/>
      <c r="Q25" s="658" t="n"/>
      <c r="R25" s="658" t="n"/>
      <c r="S25" s="658" t="n"/>
      <c r="T25" s="658" t="n"/>
      <c r="U25" s="658" t="n"/>
      <c r="V25" s="658" t="n"/>
      <c r="W25" s="658" t="n"/>
      <c r="X25" s="658" t="n"/>
      <c r="Y25" s="658" t="n"/>
      <c r="Z25" s="658" t="n"/>
      <c r="AG25" s="466" t="n"/>
      <c r="AH25" s="466" t="n"/>
    </row>
    <row r="26" customFormat="1" s="26">
      <c r="B26" s="469" t="inlineStr">
        <is>
          <t>b.</t>
        </is>
      </c>
      <c r="C26" s="309" t="inlineStr">
        <is>
          <t>Enter the amount of any nontaxable combat pay received.</t>
        </is>
      </c>
      <c r="D26" s="275" t="n"/>
      <c r="E26" s="275" t="n"/>
      <c r="F26" s="275" t="n"/>
      <c r="G26" s="275" t="n"/>
      <c r="H26" s="275" t="n"/>
      <c r="I26" s="275" t="n"/>
      <c r="J26" s="275" t="n"/>
      <c r="K26" s="298" t="n"/>
      <c r="M26" s="110" t="n"/>
      <c r="N26" s="466" t="n"/>
      <c r="O26" s="769" t="n"/>
      <c r="P26" s="658" t="n"/>
      <c r="Q26" s="658" t="n"/>
      <c r="R26" s="658" t="n"/>
      <c r="S26" s="658" t="n"/>
      <c r="T26" s="658" t="n"/>
      <c r="U26" s="658" t="n"/>
      <c r="V26" s="658" t="n"/>
      <c r="W26" s="658" t="n"/>
      <c r="X26" s="658" t="n"/>
      <c r="Y26" s="658" t="n"/>
      <c r="Z26" s="658" t="n"/>
      <c r="AG26" s="466" t="n"/>
      <c r="AH26" s="466" t="n"/>
    </row>
    <row r="27" ht="13.5" customFormat="1" customHeight="1" s="26" thickBot="1">
      <c r="B27" s="310" t="n"/>
      <c r="C27" s="309" t="inlineStr">
        <is>
          <t>This amount will automatically be entered on Schedule 8812, line 6b.</t>
        </is>
      </c>
      <c r="D27" s="275" t="n"/>
      <c r="E27" s="275" t="n"/>
      <c r="F27" s="275" t="n"/>
      <c r="G27" s="275" t="n"/>
      <c r="H27" s="275" t="n"/>
      <c r="I27" s="275" t="n"/>
      <c r="J27" s="275" t="n"/>
      <c r="K27" s="298" t="n"/>
      <c r="M27" s="110" t="n"/>
      <c r="N27" s="466" t="n"/>
      <c r="O27" s="769" t="n"/>
      <c r="P27" s="658" t="n"/>
      <c r="Q27" s="658" t="n"/>
      <c r="R27" s="658" t="n"/>
      <c r="S27" s="658" t="n"/>
      <c r="T27" s="658" t="n"/>
      <c r="U27" s="658" t="n"/>
      <c r="V27" s="658" t="n"/>
      <c r="W27" s="658" t="n"/>
      <c r="X27" s="658" t="n"/>
      <c r="Y27" s="658" t="n"/>
      <c r="Z27" s="658" t="n"/>
      <c r="AG27" s="466" t="n"/>
      <c r="AH27" s="466" t="n"/>
    </row>
    <row r="28" ht="13.5" customFormat="1" customHeight="1" s="26" thickBot="1">
      <c r="B28" s="310" t="n"/>
      <c r="C28" s="309" t="inlineStr">
        <is>
          <t>This amount should be shown in Form(s) W-2, box 12, with code Q</t>
        </is>
      </c>
      <c r="D28" s="275" t="n"/>
      <c r="E28" s="275" t="n"/>
      <c r="F28" s="275" t="n"/>
      <c r="G28" s="275" t="n"/>
      <c r="H28" s="275" t="n"/>
      <c r="I28" s="468" t="inlineStr">
        <is>
          <t>1b.</t>
        </is>
      </c>
      <c r="J28" s="465">
        <f>IF(M28&lt;&gt;"",ROUND(M28,0),CombatPayNoTax)</f>
        <v/>
      </c>
      <c r="K28" s="298" t="n"/>
      <c r="M28" s="467" t="n"/>
      <c r="N28" s="466" t="n"/>
      <c r="O28" s="769" t="n"/>
      <c r="P28" s="658" t="n"/>
      <c r="Q28" s="658" t="n"/>
      <c r="R28" s="658" t="n"/>
      <c r="S28" s="658" t="n"/>
      <c r="T28" s="658" t="n"/>
      <c r="U28" s="658" t="n"/>
      <c r="V28" s="658" t="n"/>
      <c r="W28" s="658" t="n"/>
      <c r="X28" s="658" t="n"/>
      <c r="Y28" s="658" t="n"/>
      <c r="Z28" s="658" t="n"/>
      <c r="AG28" s="466" t="n"/>
      <c r="AH28" s="466" t="n"/>
    </row>
    <row r="29" customFormat="1" s="26">
      <c r="B29" s="310" t="n"/>
      <c r="C29" s="275" t="n"/>
      <c r="D29" s="275" t="n"/>
      <c r="E29" s="275" t="n"/>
      <c r="F29" s="275" t="n"/>
      <c r="G29" s="275" t="n"/>
      <c r="H29" s="33" t="n"/>
      <c r="I29" s="275" t="n"/>
      <c r="J29" s="117" t="inlineStr">
        <is>
          <t>Source: Form 1040, line 1i.</t>
        </is>
      </c>
      <c r="K29" s="298" t="n"/>
      <c r="M29" s="110" t="n"/>
      <c r="N29" s="466" t="n"/>
      <c r="O29" s="769" t="n"/>
      <c r="P29" s="658" t="n"/>
      <c r="Q29" s="658" t="n"/>
      <c r="R29" s="658" t="n"/>
      <c r="S29" s="658" t="n"/>
      <c r="T29" s="658" t="n"/>
      <c r="U29" s="658" t="n"/>
      <c r="V29" s="658" t="n"/>
      <c r="W29" s="658" t="n"/>
      <c r="X29" s="658" t="n"/>
      <c r="Y29" s="658" t="n"/>
      <c r="Z29" s="658" t="n"/>
      <c r="AG29" s="466" t="n"/>
      <c r="AH29" s="466" t="n"/>
    </row>
    <row r="30" customFormat="1" s="26">
      <c r="B30" s="310" t="n"/>
      <c r="C30" s="275" t="n"/>
      <c r="D30" s="275" t="n"/>
      <c r="E30" s="275" t="n"/>
      <c r="F30" s="275" t="n"/>
      <c r="G30" s="275" t="n"/>
      <c r="H30" s="33" t="n"/>
      <c r="I30" s="275" t="n"/>
      <c r="J30" s="432" t="n"/>
      <c r="K30" s="298" t="n"/>
      <c r="M30" s="110" t="n"/>
      <c r="N30" s="466" t="n"/>
      <c r="O30" s="769" t="n"/>
      <c r="P30" s="658" t="n"/>
      <c r="Q30" s="658" t="n"/>
      <c r="R30" s="658" t="n"/>
      <c r="S30" s="658" t="n"/>
      <c r="T30" s="658" t="n"/>
      <c r="U30" s="658" t="n"/>
      <c r="V30" s="658" t="n"/>
      <c r="W30" s="658" t="n"/>
      <c r="X30" s="658" t="n"/>
      <c r="Y30" s="658" t="n"/>
      <c r="Z30" s="658" t="n"/>
      <c r="AG30" s="466" t="n"/>
      <c r="AH30" s="466" t="n"/>
    </row>
    <row r="31" customFormat="1" s="26">
      <c r="B31" s="310" t="n"/>
      <c r="C31" s="309" t="inlineStr">
        <is>
          <t xml:space="preserve">NEXT:  If you are filing Schedule C, F, or SE, or you received a Schedule K-1 (Form 1065), go to line 2a. </t>
        </is>
      </c>
      <c r="D31" s="275" t="n"/>
      <c r="E31" s="275" t="n"/>
      <c r="F31" s="275" t="n"/>
      <c r="G31" s="275" t="n"/>
      <c r="H31" s="275" t="n"/>
      <c r="I31" s="275" t="n"/>
      <c r="J31" s="275" t="n"/>
      <c r="K31" s="298" t="n"/>
      <c r="M31" s="110" t="n"/>
      <c r="N31" s="466" t="n"/>
      <c r="O31" s="769" t="n"/>
      <c r="P31" s="658" t="n"/>
      <c r="Q31" s="658" t="n"/>
      <c r="R31" s="658" t="n"/>
      <c r="S31" s="658" t="n"/>
      <c r="T31" s="658" t="n"/>
      <c r="U31" s="658" t="n"/>
      <c r="V31" s="658" t="n"/>
      <c r="W31" s="658" t="n"/>
      <c r="X31" s="658" t="n"/>
      <c r="Y31" s="658" t="n"/>
      <c r="Z31" s="658" t="n"/>
      <c r="AG31" s="466" t="n"/>
      <c r="AH31" s="466" t="n"/>
    </row>
    <row r="32" customFormat="1" s="26">
      <c r="B32" s="310" t="n"/>
      <c r="C32" s="309" t="inlineStr">
        <is>
          <t>Otherwise, skip lines 2a through 2e and go to line 2f.</t>
        </is>
      </c>
      <c r="D32" s="275" t="n"/>
      <c r="E32" s="275" t="n"/>
      <c r="F32" s="275" t="n"/>
      <c r="G32" s="275" t="n"/>
      <c r="H32" s="275" t="n"/>
      <c r="I32" s="275" t="n"/>
      <c r="J32" s="275" t="n"/>
      <c r="K32" s="298" t="n"/>
      <c r="M32" s="110" t="n"/>
      <c r="N32" s="466" t="n"/>
      <c r="O32" s="769" t="n"/>
      <c r="P32" s="658" t="n"/>
      <c r="Q32" s="658" t="n"/>
      <c r="R32" s="658" t="n"/>
      <c r="S32" s="658" t="n"/>
      <c r="T32" s="658" t="n"/>
      <c r="U32" s="658" t="n"/>
      <c r="V32" s="658" t="n"/>
      <c r="W32" s="658" t="n"/>
      <c r="X32" s="658" t="n"/>
      <c r="Y32" s="658" t="n"/>
      <c r="Z32" s="658" t="n"/>
      <c r="AG32" s="466" t="n"/>
      <c r="AH32" s="466" t="n"/>
    </row>
    <row r="33" ht="13.5" customFormat="1" customHeight="1" s="26" thickBot="1">
      <c r="B33" s="310" t="n"/>
      <c r="C33" s="309" t="n"/>
      <c r="D33" s="275" t="n"/>
      <c r="E33" s="275" t="n"/>
      <c r="F33" s="275" t="n"/>
      <c r="G33" s="275" t="n"/>
      <c r="H33" s="275" t="n"/>
      <c r="I33" s="275" t="n"/>
      <c r="J33" s="275" t="n"/>
      <c r="K33" s="298" t="n"/>
      <c r="M33" s="110" t="n"/>
      <c r="N33" s="466" t="n"/>
      <c r="O33" s="769" t="n"/>
      <c r="P33" s="658" t="n"/>
      <c r="Q33" s="658" t="n"/>
      <c r="R33" s="658" t="n"/>
      <c r="S33" s="658" t="n"/>
      <c r="T33" s="658" t="n"/>
      <c r="U33" s="658" t="n"/>
      <c r="V33" s="658" t="n"/>
      <c r="W33" s="658" t="n"/>
      <c r="X33" s="658" t="n"/>
      <c r="Y33" s="658" t="n"/>
      <c r="Z33" s="658" t="n"/>
      <c r="AG33" s="466" t="n"/>
      <c r="AH33" s="466" t="n"/>
    </row>
    <row r="34" ht="13.5" customFormat="1" customHeight="1" s="26" thickBot="1">
      <c r="B34" s="469" t="inlineStr">
        <is>
          <t>2a.</t>
        </is>
      </c>
      <c r="C34" s="309" t="inlineStr">
        <is>
          <t>Enter any statutory employee income reported on line 1 of Schedule C.</t>
        </is>
      </c>
      <c r="D34" s="275" t="n"/>
      <c r="E34" s="275" t="n"/>
      <c r="F34" s="275" t="n"/>
      <c r="G34" s="275" t="n"/>
      <c r="H34" s="275" t="n"/>
      <c r="I34" s="468" t="inlineStr">
        <is>
          <t>2a.</t>
        </is>
      </c>
      <c r="J34" s="465">
        <f>IF(M34&lt;&gt;"",ROUND(M34,0),SchC_StatEmp_Inc)</f>
        <v/>
      </c>
      <c r="K34" s="298" t="n"/>
      <c r="M34" s="467" t="n"/>
      <c r="N34" s="466" t="n"/>
      <c r="O34" s="769" t="n"/>
      <c r="P34" s="658" t="n"/>
      <c r="Q34" s="658" t="n"/>
      <c r="R34" s="658" t="n"/>
      <c r="S34" s="658" t="n"/>
      <c r="T34" s="658" t="n"/>
      <c r="U34" s="658" t="n"/>
      <c r="V34" s="658" t="n"/>
      <c r="W34" s="658" t="n"/>
      <c r="X34" s="658" t="n"/>
      <c r="Y34" s="658" t="n"/>
      <c r="Z34" s="658" t="n"/>
      <c r="AG34" s="466" t="n"/>
      <c r="AH34" s="466" t="n"/>
    </row>
    <row r="35" customFormat="1" s="26">
      <c r="B35" s="310" t="n"/>
      <c r="C35" s="309" t="n"/>
      <c r="D35" s="275" t="n"/>
      <c r="E35" s="275" t="n"/>
      <c r="F35" s="275" t="n"/>
      <c r="G35" s="275" t="n"/>
      <c r="H35" s="275" t="n"/>
      <c r="I35" s="275" t="n"/>
      <c r="J35" s="478" t="inlineStr">
        <is>
          <t>Sch. C, line 1 (if box is checked)</t>
        </is>
      </c>
      <c r="K35" s="298" t="n"/>
      <c r="M35" s="110" t="n"/>
      <c r="N35" s="466" t="n"/>
      <c r="O35" s="769" t="n"/>
      <c r="P35" s="658" t="n"/>
      <c r="Q35" s="658" t="n"/>
      <c r="R35" s="658" t="n"/>
      <c r="S35" s="658" t="n"/>
      <c r="T35" s="658" t="n"/>
      <c r="U35" s="658" t="n"/>
      <c r="V35" s="658" t="n"/>
      <c r="W35" s="658" t="n"/>
      <c r="X35" s="658" t="n"/>
      <c r="Y35" s="658" t="n"/>
      <c r="Z35" s="658" t="n"/>
      <c r="AG35" s="466" t="n"/>
      <c r="AH35" s="466" t="n"/>
    </row>
    <row r="36" ht="13.5" customFormat="1" customHeight="1" s="26" thickBot="1">
      <c r="B36" s="310" t="n"/>
      <c r="C36" s="309" t="n"/>
      <c r="D36" s="275" t="n"/>
      <c r="E36" s="275" t="n"/>
      <c r="F36" s="275" t="n"/>
      <c r="G36" s="275" t="n"/>
      <c r="H36" s="275" t="n"/>
      <c r="I36" s="275" t="n"/>
      <c r="J36" s="478" t="n"/>
      <c r="K36" s="298" t="n"/>
      <c r="M36" s="110" t="n"/>
      <c r="N36" s="466" t="n"/>
      <c r="O36" s="769" t="n"/>
      <c r="P36" s="658" t="n"/>
      <c r="Q36" s="658" t="n"/>
      <c r="R36" s="658" t="n"/>
      <c r="S36" s="658" t="n"/>
      <c r="T36" s="658" t="n"/>
      <c r="U36" s="658" t="n"/>
      <c r="V36" s="658" t="n"/>
      <c r="W36" s="658" t="n"/>
      <c r="X36" s="658" t="n"/>
      <c r="Y36" s="658" t="n"/>
      <c r="Z36" s="658" t="n"/>
      <c r="AG36" s="466" t="n"/>
      <c r="AH36" s="466" t="n"/>
    </row>
    <row r="37" ht="13.5" customFormat="1" customHeight="1" s="26" thickBot="1">
      <c r="B37" s="469" t="inlineStr">
        <is>
          <t>b.</t>
        </is>
      </c>
      <c r="C37" s="309" t="inlineStr">
        <is>
          <t>Enter any net profit or (loss) from Schedule C, line 31, and Schedule K-1 (Form 1065), box 14,</t>
        </is>
      </c>
      <c r="D37" s="275" t="n"/>
      <c r="E37" s="275" t="n"/>
      <c r="F37" s="275" t="n"/>
      <c r="G37" s="275" t="n"/>
      <c r="H37" s="275" t="n"/>
      <c r="I37" s="468" t="inlineStr">
        <is>
          <t>2b.</t>
        </is>
      </c>
      <c r="J37" s="465">
        <f>IF(M37&lt;&gt;"",ROUND(M37,0),SUM(SchC_ProfitLoss1,SchC_ProfitLoss2,-SchC_StatEmp_Inc))</f>
        <v/>
      </c>
      <c r="K37" s="298" t="n"/>
      <c r="M37" s="467" t="n"/>
      <c r="N37" s="466" t="n"/>
      <c r="O37" s="769" t="n"/>
      <c r="P37" s="658" t="n"/>
      <c r="Q37" s="658" t="n"/>
      <c r="R37" s="658" t="n"/>
      <c r="S37" s="658" t="n"/>
      <c r="T37" s="658" t="n"/>
      <c r="U37" s="658" t="n"/>
      <c r="V37" s="658" t="n"/>
      <c r="W37" s="658" t="n"/>
      <c r="X37" s="658" t="n"/>
      <c r="Y37" s="658" t="n"/>
      <c r="Z37" s="658" t="n"/>
      <c r="AG37" s="466" t="n"/>
      <c r="AH37" s="466" t="n"/>
    </row>
    <row r="38" customFormat="1" s="26">
      <c r="B38" s="469" t="n"/>
      <c r="C38" s="309" t="inlineStr">
        <is>
          <t>code A (other than farming). Reduce any Schedule K-1 amounts as described in the instructions for</t>
        </is>
      </c>
      <c r="D38" s="275" t="n"/>
      <c r="E38" s="275" t="n"/>
      <c r="F38" s="275" t="n"/>
      <c r="G38" s="275" t="n"/>
      <c r="H38" s="275" t="n"/>
      <c r="I38" s="275" t="n"/>
      <c r="J38" s="478" t="inlineStr">
        <is>
          <t>Sch. C, line 31</t>
        </is>
      </c>
      <c r="K38" s="298" t="n"/>
      <c r="M38" s="110" t="n"/>
      <c r="N38" s="466" t="n"/>
      <c r="O38" s="769" t="n"/>
      <c r="P38" s="658" t="n"/>
      <c r="Q38" s="658" t="n"/>
      <c r="R38" s="658" t="n"/>
      <c r="S38" s="658" t="n"/>
      <c r="T38" s="658" t="n"/>
      <c r="U38" s="658" t="n"/>
      <c r="V38" s="658" t="n"/>
      <c r="W38" s="658" t="n"/>
      <c r="X38" s="658" t="n"/>
      <c r="Y38" s="658" t="n"/>
      <c r="Z38" s="658" t="n"/>
      <c r="AG38" s="466" t="n"/>
      <c r="AH38" s="466" t="n"/>
    </row>
    <row r="39" customFormat="1" s="26">
      <c r="B39" s="469" t="n"/>
      <c r="C39" s="309" t="inlineStr">
        <is>
          <t>completing Schedule SE in the Partner's Instructions for Schedule K-1. Do not include on this line</t>
        </is>
      </c>
      <c r="D39" s="275" t="n"/>
      <c r="E39" s="275" t="n"/>
      <c r="F39" s="275" t="n"/>
      <c r="G39" s="275" t="n"/>
      <c r="H39" s="275" t="n"/>
      <c r="I39" s="275" t="n"/>
      <c r="J39" s="275" t="n"/>
      <c r="K39" s="298" t="n"/>
      <c r="M39" s="110" t="n"/>
      <c r="N39" s="466" t="n"/>
      <c r="O39" s="769" t="n"/>
      <c r="P39" s="658" t="n"/>
      <c r="Q39" s="658" t="n"/>
      <c r="R39" s="658" t="n"/>
      <c r="S39" s="658" t="n"/>
      <c r="T39" s="658" t="n"/>
      <c r="U39" s="658" t="n"/>
      <c r="V39" s="658" t="n"/>
      <c r="W39" s="658" t="n"/>
      <c r="X39" s="658" t="n"/>
      <c r="Y39" s="658" t="n"/>
      <c r="Z39" s="658" t="n"/>
      <c r="AG39" s="466" t="n"/>
      <c r="AH39" s="466" t="n"/>
    </row>
    <row r="40" customFormat="1" s="26">
      <c r="B40" s="469" t="n"/>
      <c r="C40" s="309" t="inlineStr">
        <is>
          <t>any statutory employee income or any other amounts exempt from self-employment tax. Options</t>
        </is>
      </c>
      <c r="D40" s="275" t="n"/>
      <c r="E40" s="275" t="n"/>
      <c r="F40" s="275" t="n"/>
      <c r="G40" s="275" t="n"/>
      <c r="H40" s="275" t="n"/>
      <c r="I40" s="275" t="n"/>
      <c r="J40" s="275" t="n"/>
      <c r="K40" s="298" t="n"/>
      <c r="M40" s="110" t="n"/>
      <c r="N40" s="466" t="n"/>
      <c r="O40" s="769" t="n"/>
      <c r="P40" s="658" t="n"/>
      <c r="Q40" s="658" t="n"/>
      <c r="R40" s="658" t="n"/>
      <c r="S40" s="658" t="n"/>
      <c r="T40" s="658" t="n"/>
      <c r="U40" s="658" t="n"/>
      <c r="V40" s="658" t="n"/>
      <c r="W40" s="658" t="n"/>
      <c r="X40" s="658" t="n"/>
      <c r="Y40" s="658" t="n"/>
      <c r="Z40" s="658" t="n"/>
      <c r="AG40" s="466" t="n"/>
      <c r="AH40" s="466" t="n"/>
    </row>
    <row r="41" customFormat="1" s="26">
      <c r="B41" s="469" t="n"/>
      <c r="C41" s="309" t="inlineStr">
        <is>
          <t>and commodities dealers must add any gain or subtract any loss (in the normal course of dealing in</t>
        </is>
      </c>
      <c r="D41" s="275" t="n"/>
      <c r="E41" s="275" t="n"/>
      <c r="F41" s="275" t="n"/>
      <c r="G41" s="275" t="n"/>
      <c r="H41" s="275" t="n"/>
      <c r="I41" s="275" t="n"/>
      <c r="J41" s="275" t="n"/>
      <c r="K41" s="298" t="n"/>
      <c r="M41" s="110" t="n"/>
      <c r="N41" s="466" t="n"/>
      <c r="O41" s="769" t="n"/>
      <c r="P41" s="658" t="n"/>
      <c r="Q41" s="658" t="n"/>
      <c r="R41" s="658" t="n"/>
      <c r="S41" s="658" t="n"/>
      <c r="T41" s="658" t="n"/>
      <c r="U41" s="658" t="n"/>
      <c r="V41" s="658" t="n"/>
      <c r="W41" s="658" t="n"/>
      <c r="X41" s="658" t="n"/>
      <c r="Y41" s="658" t="n"/>
      <c r="Z41" s="658" t="n"/>
      <c r="AG41" s="466" t="n"/>
      <c r="AH41" s="466" t="n"/>
    </row>
    <row r="42" customFormat="1" s="26">
      <c r="B42" s="310" t="n"/>
      <c r="C42" s="309" t="inlineStr">
        <is>
          <t>or trading section 1256 contracts) from section 1256 contracts or related property</t>
        </is>
      </c>
      <c r="D42" s="275" t="n"/>
      <c r="E42" s="275" t="n"/>
      <c r="F42" s="275" t="n"/>
      <c r="G42" s="275" t="n"/>
      <c r="H42" s="275" t="n"/>
      <c r="I42" s="275" t="n"/>
      <c r="J42" s="275" t="n"/>
      <c r="K42" s="298" t="n"/>
      <c r="M42" s="110" t="n"/>
      <c r="N42" s="466" t="n"/>
      <c r="O42" s="769" t="n"/>
      <c r="P42" s="658" t="n"/>
      <c r="Q42" s="658" t="n"/>
      <c r="R42" s="658" t="n"/>
      <c r="S42" s="658" t="n"/>
      <c r="T42" s="658" t="n"/>
      <c r="U42" s="658" t="n"/>
      <c r="V42" s="658" t="n"/>
      <c r="W42" s="658" t="n"/>
      <c r="X42" s="658" t="n"/>
      <c r="Y42" s="658" t="n"/>
      <c r="Z42" s="658" t="n"/>
      <c r="AG42" s="466" t="n"/>
      <c r="AH42" s="466" t="n"/>
    </row>
    <row r="43" ht="13.5" customFormat="1" customHeight="1" s="26" thickBot="1">
      <c r="B43" s="310" t="n"/>
      <c r="C43" s="309" t="n"/>
      <c r="D43" s="275" t="n"/>
      <c r="E43" s="275" t="n"/>
      <c r="F43" s="275" t="n"/>
      <c r="G43" s="275" t="n"/>
      <c r="H43" s="275" t="n"/>
      <c r="I43" s="275" t="n"/>
      <c r="J43" s="275" t="n"/>
      <c r="K43" s="298" t="n"/>
      <c r="M43" s="110" t="n"/>
      <c r="N43" s="466" t="n"/>
      <c r="O43" s="769" t="n"/>
      <c r="P43" s="658" t="n"/>
      <c r="Q43" s="658" t="n"/>
      <c r="R43" s="658" t="n"/>
      <c r="S43" s="658" t="n"/>
      <c r="T43" s="658" t="n"/>
      <c r="U43" s="658" t="n"/>
      <c r="V43" s="658" t="n"/>
      <c r="W43" s="658" t="n"/>
      <c r="X43" s="658" t="n"/>
      <c r="Y43" s="658" t="n"/>
      <c r="Z43" s="658" t="n"/>
      <c r="AG43" s="466" t="n"/>
      <c r="AH43" s="466" t="n"/>
    </row>
    <row r="44" ht="13.5" customFormat="1" customHeight="1" s="26" thickBot="1">
      <c r="B44" s="469" t="inlineStr">
        <is>
          <t>c.</t>
        </is>
      </c>
      <c r="C44" s="309" t="inlineStr">
        <is>
          <t>Enter any net farm profit or (loss) from Schedule F, line 34, and from farm</t>
        </is>
      </c>
      <c r="D44" s="275" t="n"/>
      <c r="E44" s="275" t="n"/>
      <c r="F44" s="275" t="n"/>
      <c r="G44" s="275" t="n"/>
      <c r="H44" s="275" t="n"/>
      <c r="I44" s="468" t="inlineStr">
        <is>
          <t>2c.</t>
        </is>
      </c>
      <c r="J44" s="465">
        <f>IF(M44&lt;&gt;"",ROUND(M44,0),FarmProfitNet)</f>
        <v/>
      </c>
      <c r="K44" s="298" t="n"/>
      <c r="M44" s="467" t="n"/>
      <c r="N44" s="466" t="n"/>
      <c r="O44" s="769" t="n"/>
      <c r="P44" s="658" t="n"/>
      <c r="Q44" s="658" t="n"/>
      <c r="R44" s="658" t="n"/>
      <c r="S44" s="658" t="n"/>
      <c r="T44" s="658" t="n"/>
      <c r="U44" s="658" t="n"/>
      <c r="V44" s="658" t="n"/>
      <c r="W44" s="658" t="n"/>
      <c r="X44" s="658" t="n"/>
      <c r="Y44" s="658" t="n"/>
      <c r="Z44" s="658" t="n"/>
      <c r="AG44" s="466" t="n"/>
      <c r="AH44" s="466" t="n"/>
    </row>
    <row r="45" customFormat="1" s="26">
      <c r="B45" s="469" t="n"/>
      <c r="C45" s="309" t="inlineStr">
        <is>
          <t>partnerships, Schedule K-1 (Form 1065), box 14, code A.* Reduce any</t>
        </is>
      </c>
      <c r="D45" s="275" t="n"/>
      <c r="E45" s="275" t="n"/>
      <c r="F45" s="275" t="n"/>
      <c r="G45" s="275" t="n"/>
      <c r="H45" s="275" t="n"/>
      <c r="I45" s="275" t="n"/>
      <c r="J45" s="478" t="inlineStr">
        <is>
          <t>Sch. F, line 34</t>
        </is>
      </c>
      <c r="K45" s="298" t="n"/>
      <c r="M45" s="110" t="n"/>
      <c r="N45" s="466" t="n"/>
      <c r="O45" s="769" t="n"/>
      <c r="P45" s="658" t="n"/>
      <c r="Q45" s="658" t="n"/>
      <c r="R45" s="658" t="n"/>
      <c r="S45" s="658" t="n"/>
      <c r="T45" s="658" t="n"/>
      <c r="U45" s="658" t="n"/>
      <c r="V45" s="658" t="n"/>
      <c r="W45" s="658" t="n"/>
      <c r="X45" s="658" t="n"/>
      <c r="Y45" s="658" t="n"/>
      <c r="Z45" s="658" t="n"/>
      <c r="AG45" s="466" t="n"/>
      <c r="AH45" s="466" t="n"/>
    </row>
    <row r="46" customFormat="1" s="26">
      <c r="B46" s="469" t="n"/>
      <c r="C46" s="309" t="inlineStr">
        <is>
          <t>Schedule K-1 amounts as described in the instructions for completing</t>
        </is>
      </c>
      <c r="D46" s="275" t="n"/>
      <c r="E46" s="275" t="n"/>
      <c r="F46" s="275" t="n"/>
      <c r="G46" s="275" t="n"/>
      <c r="H46" s="275" t="n"/>
      <c r="I46" s="275" t="n"/>
      <c r="J46" s="275" t="n"/>
      <c r="K46" s="298" t="n"/>
      <c r="M46" s="110" t="n"/>
      <c r="N46" s="466" t="n"/>
      <c r="O46" s="769" t="n"/>
      <c r="P46" s="658" t="n"/>
      <c r="Q46" s="658" t="n"/>
      <c r="R46" s="658" t="n"/>
      <c r="S46" s="658" t="n"/>
      <c r="T46" s="658" t="n"/>
      <c r="U46" s="658" t="n"/>
      <c r="V46" s="658" t="n"/>
      <c r="W46" s="658" t="n"/>
      <c r="X46" s="658" t="n"/>
      <c r="Y46" s="658" t="n"/>
      <c r="Z46" s="658" t="n"/>
      <c r="AG46" s="466" t="n"/>
      <c r="AH46" s="466" t="n"/>
    </row>
    <row r="47" customFormat="1" s="26">
      <c r="B47" s="469" t="n"/>
      <c r="C47" s="309" t="inlineStr">
        <is>
          <t>Schedule SE in the Partner's Instructions for Schedule K-1. Do not include on this</t>
        </is>
      </c>
      <c r="D47" s="275" t="n"/>
      <c r="E47" s="275" t="n"/>
      <c r="F47" s="275" t="n"/>
      <c r="G47" s="275" t="n"/>
      <c r="H47" s="275" t="n"/>
      <c r="I47" s="275" t="n"/>
      <c r="J47" s="275" t="n"/>
      <c r="K47" s="298" t="n"/>
      <c r="M47" s="110" t="n"/>
      <c r="N47" s="466" t="n"/>
      <c r="O47" s="769" t="n"/>
      <c r="P47" s="658" t="n"/>
      <c r="Q47" s="658" t="n"/>
      <c r="R47" s="658" t="n"/>
      <c r="S47" s="658" t="n"/>
      <c r="T47" s="658" t="n"/>
      <c r="U47" s="658" t="n"/>
      <c r="V47" s="658" t="n"/>
      <c r="W47" s="658" t="n"/>
      <c r="X47" s="658" t="n"/>
      <c r="Y47" s="658" t="n"/>
      <c r="Z47" s="658" t="n"/>
      <c r="AG47" s="466" t="n"/>
      <c r="AH47" s="466" t="n"/>
    </row>
    <row r="48" customFormat="1" s="26">
      <c r="B48" s="310" t="n"/>
      <c r="C48" s="309" t="inlineStr">
        <is>
          <t>line any amounts exempt from self-employment tax</t>
        </is>
      </c>
      <c r="D48" s="275" t="n"/>
      <c r="E48" s="275" t="n"/>
      <c r="F48" s="275" t="n"/>
      <c r="G48" s="275" t="n"/>
      <c r="H48" s="275" t="n"/>
      <c r="I48" s="275" t="n"/>
      <c r="J48" s="275" t="n"/>
      <c r="K48" s="298" t="n"/>
      <c r="M48" s="110" t="n"/>
      <c r="N48" s="466" t="n"/>
      <c r="O48" s="769" t="n"/>
      <c r="P48" s="658" t="n"/>
      <c r="Q48" s="658" t="n"/>
      <c r="R48" s="658" t="n"/>
      <c r="S48" s="658" t="n"/>
      <c r="T48" s="658" t="n"/>
      <c r="U48" s="658" t="n"/>
      <c r="V48" s="658" t="n"/>
      <c r="W48" s="658" t="n"/>
      <c r="X48" s="658" t="n"/>
      <c r="Y48" s="658" t="n"/>
      <c r="Z48" s="658" t="n"/>
      <c r="AG48" s="466" t="n"/>
      <c r="AH48" s="466" t="n"/>
    </row>
    <row r="49" ht="13.5" customFormat="1" customHeight="1" s="26" thickBot="1">
      <c r="B49" s="310" t="n"/>
      <c r="C49" s="309" t="n"/>
      <c r="D49" s="275" t="n"/>
      <c r="E49" s="275" t="n"/>
      <c r="F49" s="275" t="n"/>
      <c r="G49" s="275" t="n"/>
      <c r="H49" s="275" t="n"/>
      <c r="I49" s="275" t="n"/>
      <c r="J49" s="275" t="n"/>
      <c r="K49" s="298" t="n"/>
      <c r="M49" s="110" t="n"/>
      <c r="N49" s="466" t="n"/>
      <c r="O49" s="769" t="n"/>
      <c r="P49" s="658" t="n"/>
      <c r="Q49" s="658" t="n"/>
      <c r="R49" s="658" t="n"/>
      <c r="S49" s="658" t="n"/>
      <c r="T49" s="658" t="n"/>
      <c r="U49" s="658" t="n"/>
      <c r="V49" s="658" t="n"/>
      <c r="W49" s="658" t="n"/>
      <c r="X49" s="658" t="n"/>
      <c r="Y49" s="658" t="n"/>
      <c r="Z49" s="658" t="n"/>
      <c r="AG49" s="466" t="n"/>
      <c r="AH49" s="466" t="n"/>
    </row>
    <row r="50" ht="13.5" customFormat="1" customHeight="1" s="26" thickBot="1">
      <c r="B50" s="469" t="inlineStr">
        <is>
          <t>d.</t>
        </is>
      </c>
      <c r="C50" s="309" t="inlineStr">
        <is>
          <t>If you used the farm optional method to figure net earnings from self-employment,</t>
        </is>
      </c>
      <c r="D50" s="275" t="n"/>
      <c r="E50" s="275" t="n"/>
      <c r="F50" s="275" t="n"/>
      <c r="G50" s="275" t="n"/>
      <c r="H50" s="275" t="n"/>
      <c r="I50" s="468" t="inlineStr">
        <is>
          <t>2d.</t>
        </is>
      </c>
      <c r="J50" s="465">
        <f>IF(M50&lt;&gt;"",ROUND(M50,0),SUM(ROUND(FarmOptMeth1,0),ROUND(FarmOptMeth2,0)))</f>
        <v/>
      </c>
      <c r="K50" s="298" t="n"/>
      <c r="M50" s="467" t="n"/>
      <c r="N50" s="466" t="n"/>
      <c r="O50" s="769" t="n"/>
      <c r="P50" s="658" t="n"/>
      <c r="Q50" s="658" t="n"/>
      <c r="R50" s="658" t="n"/>
      <c r="S50" s="658" t="n"/>
      <c r="T50" s="658" t="n"/>
      <c r="U50" s="658" t="n"/>
      <c r="V50" s="658" t="n"/>
      <c r="W50" s="658" t="n"/>
      <c r="X50" s="658" t="n"/>
      <c r="Y50" s="658" t="n"/>
      <c r="Z50" s="658" t="n"/>
      <c r="AG50" s="466" t="n"/>
      <c r="AH50" s="466" t="n"/>
    </row>
    <row r="51" customFormat="1" s="26">
      <c r="B51" s="469" t="n"/>
      <c r="C51" s="309" t="inlineStr">
        <is>
          <t>enter the amount from Schedule SE, Section B, line 15. Otherwise, skip this line</t>
        </is>
      </c>
      <c r="D51" s="275" t="n"/>
      <c r="E51" s="275" t="n"/>
      <c r="F51" s="275" t="n"/>
      <c r="G51" s="275" t="n"/>
      <c r="H51" s="275" t="n"/>
      <c r="I51" s="275" t="n"/>
      <c r="J51" s="478" t="inlineStr">
        <is>
          <t>Sch. SE, line 15</t>
        </is>
      </c>
      <c r="K51" s="298" t="n"/>
      <c r="M51" s="110" t="n"/>
      <c r="N51" s="466" t="n"/>
      <c r="O51" s="769" t="n"/>
      <c r="P51" s="658" t="n"/>
      <c r="Q51" s="658" t="n"/>
      <c r="R51" s="658" t="n"/>
      <c r="S51" s="658" t="n"/>
      <c r="T51" s="658" t="n"/>
      <c r="U51" s="658" t="n"/>
      <c r="V51" s="658" t="n"/>
      <c r="W51" s="658" t="n"/>
      <c r="X51" s="658" t="n"/>
      <c r="Y51" s="658" t="n"/>
      <c r="Z51" s="658" t="n"/>
      <c r="AG51" s="466" t="n"/>
      <c r="AH51" s="466" t="n"/>
    </row>
    <row r="52" customFormat="1" s="26">
      <c r="B52" s="310" t="n"/>
      <c r="C52" s="309" t="inlineStr">
        <is>
          <t>and enter on line 2e the amount from line 2c</t>
        </is>
      </c>
      <c r="D52" s="275" t="n"/>
      <c r="E52" s="275" t="n"/>
      <c r="F52" s="275" t="n"/>
      <c r="G52" s="275" t="n"/>
      <c r="H52" s="275" t="n"/>
      <c r="I52" s="275" t="n"/>
      <c r="J52" s="478" t="inlineStr">
        <is>
          <t>(Sum of both forms)</t>
        </is>
      </c>
      <c r="K52" s="298" t="n"/>
      <c r="M52" s="110" t="n"/>
      <c r="N52" s="466" t="n"/>
      <c r="O52" s="769" t="n"/>
      <c r="P52" s="658" t="n"/>
      <c r="Q52" s="658" t="n"/>
      <c r="R52" s="658" t="n"/>
      <c r="S52" s="658" t="n"/>
      <c r="T52" s="658" t="n"/>
      <c r="U52" s="658" t="n"/>
      <c r="V52" s="658" t="n"/>
      <c r="W52" s="658" t="n"/>
      <c r="X52" s="658" t="n"/>
      <c r="Y52" s="658" t="n"/>
      <c r="Z52" s="658" t="n"/>
      <c r="AG52" s="466" t="n"/>
      <c r="AH52" s="466" t="n"/>
    </row>
    <row r="53" ht="13.5" customFormat="1" customHeight="1" s="26" thickBot="1">
      <c r="B53" s="469" t="n"/>
      <c r="C53" s="309" t="n"/>
      <c r="D53" s="275" t="n"/>
      <c r="E53" s="275" t="n"/>
      <c r="F53" s="275" t="n"/>
      <c r="G53" s="275" t="n"/>
      <c r="H53" s="275" t="n"/>
      <c r="I53" s="275" t="n"/>
      <c r="J53" s="275" t="n"/>
      <c r="K53" s="298" t="n"/>
      <c r="M53" s="110" t="n"/>
      <c r="N53" s="466" t="n"/>
      <c r="O53" s="769" t="n"/>
      <c r="P53" s="658" t="n"/>
      <c r="Q53" s="658" t="n"/>
      <c r="R53" s="658" t="n"/>
      <c r="S53" s="658" t="n"/>
      <c r="T53" s="658" t="n"/>
      <c r="U53" s="658" t="n"/>
      <c r="V53" s="658" t="n"/>
      <c r="W53" s="658" t="n"/>
      <c r="X53" s="658" t="n"/>
      <c r="Y53" s="658" t="n"/>
      <c r="Z53" s="658" t="n"/>
      <c r="AG53" s="466" t="n"/>
      <c r="AH53" s="466" t="n"/>
    </row>
    <row r="54" ht="13.5" customFormat="1" customHeight="1" s="26" thickBot="1">
      <c r="B54" s="469" t="inlineStr">
        <is>
          <t>e.</t>
        </is>
      </c>
      <c r="C54" s="309" t="inlineStr">
        <is>
          <t>If line 2c is a profit, enter the smaller of line 2c or line 2d.</t>
        </is>
      </c>
      <c r="D54" s="275" t="n"/>
      <c r="E54" s="275" t="n"/>
      <c r="F54" s="275" t="n"/>
      <c r="G54" s="275" t="n"/>
      <c r="H54" s="275" t="n"/>
      <c r="I54" s="468" t="inlineStr">
        <is>
          <t>2e.</t>
        </is>
      </c>
      <c r="J54" s="465">
        <f>IF(M54&lt;&gt;"",ROUND(M54,0),IF(J44&gt;0,MIN(J44,J50),IF(J44&lt;0,J44,0)))</f>
        <v/>
      </c>
      <c r="K54" s="298" t="n"/>
      <c r="M54" s="467" t="n"/>
      <c r="N54" s="466" t="n"/>
      <c r="O54" s="769" t="n"/>
      <c r="P54" s="658" t="n"/>
      <c r="Q54" s="658" t="n"/>
      <c r="R54" s="658" t="n"/>
      <c r="S54" s="658" t="n"/>
      <c r="T54" s="658" t="n"/>
      <c r="U54" s="658" t="n"/>
      <c r="V54" s="658" t="n"/>
      <c r="W54" s="658" t="n"/>
      <c r="X54" s="658" t="n"/>
      <c r="Y54" s="658" t="n"/>
      <c r="Z54" s="658" t="n"/>
      <c r="AG54" s="466" t="n"/>
      <c r="AH54" s="466" t="n"/>
    </row>
    <row r="55" customFormat="1" s="26">
      <c r="B55" s="310" t="n"/>
      <c r="C55" s="309" t="inlineStr">
        <is>
          <t>If line 2c is a (loss), enter the (loss) from line 2c</t>
        </is>
      </c>
      <c r="D55" s="275" t="n"/>
      <c r="E55" s="275" t="n"/>
      <c r="F55" s="275" t="n"/>
      <c r="G55" s="275" t="n"/>
      <c r="H55" s="275" t="n"/>
      <c r="I55" s="275" t="n"/>
      <c r="J55" s="478" t="n"/>
      <c r="K55" s="298" t="n"/>
      <c r="M55" s="110" t="n"/>
      <c r="N55" s="466" t="n"/>
      <c r="O55" s="769" t="n"/>
      <c r="P55" s="658" t="n"/>
      <c r="Q55" s="658" t="n"/>
      <c r="R55" s="658" t="n"/>
      <c r="S55" s="658" t="n"/>
      <c r="T55" s="658" t="n"/>
      <c r="U55" s="658" t="n"/>
      <c r="V55" s="658" t="n"/>
      <c r="W55" s="658" t="n"/>
      <c r="X55" s="658" t="n"/>
      <c r="Y55" s="658" t="n"/>
      <c r="Z55" s="658" t="n"/>
      <c r="AG55" s="466" t="n"/>
      <c r="AH55" s="466" t="n"/>
    </row>
    <row r="56" ht="13.5" customFormat="1" customHeight="1" s="26" thickBot="1">
      <c r="B56" s="310" t="n"/>
      <c r="C56" s="309" t="n"/>
      <c r="D56" s="275" t="n"/>
      <c r="E56" s="275" t="n"/>
      <c r="F56" s="275" t="n"/>
      <c r="G56" s="275" t="n"/>
      <c r="H56" s="275" t="n"/>
      <c r="I56" s="468" t="n"/>
      <c r="J56" s="468" t="n"/>
      <c r="K56" s="298" t="n"/>
      <c r="M56" s="110" t="n"/>
      <c r="N56" s="466" t="n"/>
      <c r="O56" s="769" t="n"/>
      <c r="P56" s="658" t="n"/>
      <c r="Q56" s="658" t="n"/>
      <c r="R56" s="658" t="n"/>
      <c r="S56" s="658" t="n"/>
      <c r="T56" s="658" t="n"/>
      <c r="U56" s="658" t="n"/>
      <c r="V56" s="658" t="n"/>
      <c r="W56" s="658" t="n"/>
      <c r="X56" s="658" t="n"/>
      <c r="Y56" s="658" t="n"/>
      <c r="Z56" s="658" t="n"/>
      <c r="AG56" s="466" t="n"/>
      <c r="AH56" s="466" t="n"/>
    </row>
    <row r="57" ht="13.5" customFormat="1" customHeight="1" s="26" thickBot="1">
      <c r="B57" s="469" t="inlineStr">
        <is>
          <t>f.</t>
        </is>
      </c>
      <c r="C57" s="309" t="inlineStr">
        <is>
          <t>Enter Scholarships not Reported on W-2 from Schedule 1 line 8r</t>
        </is>
      </c>
      <c r="D57" s="275" t="n"/>
      <c r="E57" s="275" t="n"/>
      <c r="F57" s="275" t="n"/>
      <c r="G57" s="275" t="n"/>
      <c r="H57" s="275" t="n"/>
      <c r="I57" s="468" t="inlineStr">
        <is>
          <t>2f.</t>
        </is>
      </c>
      <c r="J57" s="465">
        <f>IF(M57&lt;&gt;"",ROUND(M57,0),'Sch. 1'!W43)</f>
        <v/>
      </c>
      <c r="K57" s="298" t="n"/>
      <c r="M57" s="467" t="n"/>
      <c r="N57" s="466" t="n"/>
      <c r="O57" s="769" t="n"/>
      <c r="P57" s="658" t="n"/>
      <c r="Q57" s="658" t="n"/>
      <c r="R57" s="658" t="n"/>
      <c r="S57" s="658" t="n"/>
      <c r="T57" s="658" t="n"/>
      <c r="U57" s="658" t="n"/>
      <c r="V57" s="658" t="n"/>
      <c r="W57" s="658" t="n"/>
      <c r="X57" s="658" t="n"/>
      <c r="Y57" s="658" t="n"/>
      <c r="Z57" s="658" t="n"/>
      <c r="AG57" s="466" t="n"/>
      <c r="AH57" s="466" t="n"/>
    </row>
    <row r="58" ht="13.5" customFormat="1" customHeight="1" s="26" thickBot="1">
      <c r="B58" s="310" t="n"/>
      <c r="C58" s="309" t="n"/>
      <c r="D58" s="275" t="n"/>
      <c r="E58" s="275" t="n"/>
      <c r="F58" s="275" t="n"/>
      <c r="G58" s="275" t="n"/>
      <c r="H58" s="275" t="n"/>
      <c r="I58" s="468" t="n"/>
      <c r="J58" s="4130" t="inlineStr">
        <is>
          <t>Sch. 1, line 8r</t>
        </is>
      </c>
      <c r="K58" s="298" t="n"/>
      <c r="M58" s="110" t="n"/>
      <c r="N58" s="466" t="n"/>
      <c r="O58" s="769" t="n"/>
      <c r="P58" s="658" t="n"/>
      <c r="Q58" s="658" t="n"/>
      <c r="R58" s="658" t="n"/>
      <c r="S58" s="658" t="n"/>
      <c r="T58" s="658" t="n"/>
      <c r="U58" s="658" t="n"/>
      <c r="V58" s="658" t="n"/>
      <c r="W58" s="658" t="n"/>
      <c r="X58" s="658" t="n"/>
      <c r="Y58" s="658" t="n"/>
      <c r="Z58" s="658" t="n"/>
      <c r="AG58" s="466" t="n"/>
      <c r="AH58" s="466" t="n"/>
    </row>
    <row r="59" ht="13.5" customFormat="1" customHeight="1" s="26" thickBot="1">
      <c r="B59" s="469" t="inlineStr">
        <is>
          <t>g.</t>
        </is>
      </c>
      <c r="C59" s="309" t="inlineStr">
        <is>
          <t>Enter Non-Qualified Pension/Annuity Income from Schedule 1 line 8t</t>
        </is>
      </c>
      <c r="D59" s="275" t="n"/>
      <c r="E59" s="275" t="n"/>
      <c r="F59" s="275" t="n"/>
      <c r="G59" s="275" t="n"/>
      <c r="H59" s="275" t="n"/>
      <c r="I59" s="468" t="inlineStr">
        <is>
          <t>2g.</t>
        </is>
      </c>
      <c r="J59" s="465">
        <f>IF(M59&lt;&gt;"",ROUND(M59,0),'Sch. 1'!W47)</f>
        <v/>
      </c>
      <c r="K59" s="298" t="n"/>
      <c r="M59" s="467" t="n"/>
      <c r="N59" s="466" t="n"/>
      <c r="O59" s="769" t="n"/>
      <c r="P59" s="658" t="n"/>
      <c r="Q59" s="658" t="n"/>
      <c r="R59" s="658" t="n"/>
      <c r="S59" s="658" t="n"/>
      <c r="T59" s="658" t="n"/>
      <c r="U59" s="658" t="n"/>
      <c r="V59" s="658" t="n"/>
      <c r="W59" s="658" t="n"/>
      <c r="X59" s="658" t="n"/>
      <c r="Y59" s="658" t="n"/>
      <c r="Z59" s="658" t="n"/>
      <c r="AG59" s="466" t="n"/>
      <c r="AH59" s="466" t="n"/>
    </row>
    <row r="60" ht="13.5" customFormat="1" customHeight="1" s="26" thickBot="1">
      <c r="B60" s="310" t="n"/>
      <c r="C60" s="309" t="n"/>
      <c r="D60" s="275" t="n"/>
      <c r="E60" s="275" t="n"/>
      <c r="F60" s="275" t="n"/>
      <c r="G60" s="275" t="n"/>
      <c r="H60" s="275" t="n"/>
      <c r="I60" s="468" t="n"/>
      <c r="J60" s="4130" t="inlineStr">
        <is>
          <t>Sch. 1, line 8t</t>
        </is>
      </c>
      <c r="K60" s="298" t="n"/>
      <c r="M60" s="110" t="n"/>
      <c r="N60" s="466" t="n"/>
      <c r="O60" s="769" t="n"/>
      <c r="P60" s="658" t="n"/>
      <c r="Q60" s="658" t="n"/>
      <c r="R60" s="658" t="n"/>
      <c r="S60" s="658" t="n"/>
      <c r="T60" s="658" t="n"/>
      <c r="U60" s="658" t="n"/>
      <c r="V60" s="658" t="n"/>
      <c r="W60" s="658" t="n"/>
      <c r="X60" s="658" t="n"/>
      <c r="Y60" s="658" t="n"/>
      <c r="Z60" s="658" t="n"/>
      <c r="AG60" s="466" t="n"/>
      <c r="AH60" s="466" t="n"/>
    </row>
    <row r="61" ht="13.5" customFormat="1" customHeight="1" s="26" thickBot="1">
      <c r="B61" s="469" t="inlineStr">
        <is>
          <t>h.</t>
        </is>
      </c>
      <c r="C61" s="309" t="inlineStr">
        <is>
          <t>Enter Wages While Incarcerated from Schedule 1 line 8u</t>
        </is>
      </c>
      <c r="D61" s="275" t="n"/>
      <c r="E61" s="275" t="n"/>
      <c r="F61" s="275" t="n"/>
      <c r="G61" s="275" t="n"/>
      <c r="H61" s="275" t="n"/>
      <c r="I61" s="468" t="inlineStr">
        <is>
          <t>2h.</t>
        </is>
      </c>
      <c r="J61" s="465">
        <f>IF(M61&lt;&gt;"",ROUND(M61,0),'Sch. 1'!W48)</f>
        <v/>
      </c>
      <c r="K61" s="298" t="n"/>
      <c r="M61" s="467" t="n"/>
      <c r="N61" s="466" t="n"/>
      <c r="O61" s="769" t="n"/>
      <c r="P61" s="658" t="n"/>
      <c r="Q61" s="658" t="n"/>
      <c r="R61" s="658" t="n"/>
      <c r="S61" s="658" t="n"/>
      <c r="T61" s="658" t="n"/>
      <c r="U61" s="658" t="n"/>
      <c r="V61" s="658" t="n"/>
      <c r="W61" s="658" t="n"/>
      <c r="X61" s="658" t="n"/>
      <c r="Y61" s="658" t="n"/>
      <c r="Z61" s="658" t="n"/>
      <c r="AG61" s="466" t="n"/>
      <c r="AH61" s="466" t="n"/>
    </row>
    <row r="62" customFormat="1" s="26">
      <c r="B62" s="469" t="n"/>
      <c r="C62" s="309" t="n"/>
      <c r="D62" s="275" t="n"/>
      <c r="E62" s="275" t="n"/>
      <c r="F62" s="275" t="n"/>
      <c r="G62" s="275" t="n"/>
      <c r="H62" s="275" t="n"/>
      <c r="I62" s="275" t="n"/>
      <c r="J62" s="4130" t="inlineStr">
        <is>
          <t>Sch. 1, line 8u</t>
        </is>
      </c>
      <c r="K62" s="298" t="n"/>
      <c r="M62" s="110" t="n"/>
      <c r="N62" s="466" t="n"/>
      <c r="O62" s="769" t="n"/>
      <c r="P62" s="658" t="n"/>
      <c r="Q62" s="658" t="n"/>
      <c r="R62" s="658" t="n"/>
      <c r="S62" s="658" t="n"/>
      <c r="T62" s="658" t="n"/>
      <c r="U62" s="658" t="n"/>
      <c r="V62" s="658" t="n"/>
      <c r="W62" s="658" t="n"/>
      <c r="X62" s="658" t="n"/>
      <c r="Y62" s="658" t="n"/>
      <c r="Z62" s="658" t="n"/>
      <c r="AG62" s="466" t="n"/>
      <c r="AH62" s="466" t="n"/>
    </row>
    <row r="63" customFormat="1" s="26">
      <c r="B63" s="469" t="inlineStr">
        <is>
          <t>3.</t>
        </is>
      </c>
      <c r="C63" s="309" t="inlineStr">
        <is>
          <t>Combine lines 1a, 1b, 1c, 1d, 2a, 2b, and 2e.</t>
        </is>
      </c>
      <c r="D63" s="275" t="n"/>
      <c r="E63" s="275" t="n"/>
      <c r="F63" s="309" t="inlineStr">
        <is>
          <t>If zero or less, stop. Do not complete the rest of this worksheet.</t>
        </is>
      </c>
      <c r="G63" s="309" t="n"/>
      <c r="H63" s="275" t="n"/>
      <c r="I63" s="275" t="n"/>
      <c r="J63" s="478" t="n"/>
      <c r="K63" s="298" t="n"/>
      <c r="M63" s="110" t="n"/>
      <c r="N63" s="466" t="n"/>
      <c r="O63" s="769" t="n"/>
      <c r="P63" s="658" t="n"/>
      <c r="Q63" s="658" t="n"/>
      <c r="R63" s="658" t="n"/>
      <c r="S63" s="658" t="n"/>
      <c r="T63" s="658" t="n"/>
      <c r="U63" s="658" t="n"/>
      <c r="V63" s="658" t="n"/>
      <c r="W63" s="658" t="n"/>
      <c r="X63" s="658" t="n"/>
      <c r="Y63" s="658" t="n"/>
      <c r="Z63" s="658" t="n"/>
      <c r="AG63" s="466" t="n"/>
      <c r="AH63" s="466" t="n"/>
    </row>
    <row r="64" ht="13.5" customFormat="1" customHeight="1" s="26" thickBot="1">
      <c r="B64" s="469" t="n"/>
      <c r="C64" s="309" t="inlineStr">
        <is>
          <t>If zero or less, stop. Do not complete the rest of this worksheet.</t>
        </is>
      </c>
      <c r="D64" s="275" t="n"/>
      <c r="E64" s="275" t="n"/>
      <c r="F64" s="309" t="n"/>
      <c r="G64" s="309" t="n"/>
      <c r="H64" s="275" t="n"/>
      <c r="I64" s="275" t="n"/>
      <c r="J64" s="478" t="n"/>
      <c r="K64" s="298" t="n"/>
      <c r="M64" s="110" t="n"/>
      <c r="N64" s="466" t="n"/>
      <c r="O64" s="769" t="n"/>
      <c r="P64" s="658" t="n"/>
      <c r="Q64" s="658" t="n"/>
      <c r="R64" s="658" t="n"/>
      <c r="S64" s="658" t="n"/>
      <c r="T64" s="658" t="n"/>
      <c r="U64" s="658" t="n"/>
      <c r="V64" s="658" t="n"/>
      <c r="W64" s="658" t="n"/>
      <c r="X64" s="658" t="n"/>
      <c r="Y64" s="658" t="n"/>
      <c r="Z64" s="658" t="n"/>
      <c r="AG64" s="466" t="n"/>
      <c r="AH64" s="466" t="n"/>
    </row>
    <row r="65" ht="13.5" customFormat="1" customHeight="1" s="26" thickBot="1">
      <c r="B65" s="310" t="n"/>
      <c r="C65" s="309" t="inlineStr">
        <is>
          <t>Instead, enter -0- on line 18a of Schedule 8812, line 3 of the Credit Limit Worksheet B, or</t>
        </is>
      </c>
      <c r="D65" s="275" t="n"/>
      <c r="E65" s="275" t="n"/>
      <c r="F65" s="275" t="n"/>
      <c r="G65" s="275" t="n"/>
      <c r="H65" s="275" t="n"/>
      <c r="I65" s="468" t="inlineStr">
        <is>
          <t>3.</t>
        </is>
      </c>
      <c r="J65" s="465">
        <f>IF(M65&lt;&gt;"",ROUND(M65,0),SUM(J24,J28,J34,J37,J54,J57,J59,J61))</f>
        <v/>
      </c>
      <c r="K65" s="298" t="n"/>
      <c r="M65" s="467" t="n"/>
      <c r="N65" s="466" t="n"/>
      <c r="O65" s="769" t="n"/>
      <c r="P65" s="658" t="n"/>
      <c r="Q65" s="658" t="n"/>
      <c r="R65" s="658" t="n"/>
      <c r="S65" s="658" t="n"/>
      <c r="T65" s="658" t="n"/>
      <c r="U65" s="658" t="n"/>
      <c r="V65" s="658" t="n"/>
      <c r="W65" s="658" t="n"/>
      <c r="X65" s="658" t="n"/>
      <c r="Y65" s="658" t="n"/>
      <c r="Z65" s="658" t="n"/>
      <c r="AG65" s="466" t="n"/>
      <c r="AH65" s="466" t="n"/>
    </row>
    <row r="66" customFormat="1" s="26">
      <c r="B66" s="310" t="n"/>
      <c r="C66" s="309" t="inlineStr">
        <is>
          <t>on the Line 12, Standard Deduction for Dependents Worksheet, whichever applies.</t>
        </is>
      </c>
      <c r="D66" s="275" t="n"/>
      <c r="E66" s="275" t="n"/>
      <c r="F66" s="275" t="n"/>
      <c r="G66" s="275" t="n"/>
      <c r="H66" s="275" t="n"/>
      <c r="I66" s="468" t="n"/>
      <c r="J66" s="4131">
        <f>J65&lt;=0</f>
        <v/>
      </c>
      <c r="K66" s="298" t="n"/>
      <c r="M66" s="110" t="n"/>
      <c r="N66" s="466" t="n"/>
      <c r="O66" s="769" t="n"/>
      <c r="P66" s="658" t="n"/>
      <c r="Q66" s="658" t="n"/>
      <c r="R66" s="658" t="n"/>
      <c r="S66" s="658" t="n"/>
      <c r="T66" s="658" t="n"/>
      <c r="U66" s="658" t="n"/>
      <c r="V66" s="658" t="n"/>
      <c r="W66" s="658" t="n"/>
      <c r="X66" s="658" t="n"/>
      <c r="Y66" s="658" t="n"/>
      <c r="Z66" s="658" t="n"/>
      <c r="AG66" s="466" t="n"/>
      <c r="AH66" s="466" t="n"/>
    </row>
    <row r="67" customFormat="1" s="26">
      <c r="B67" s="310" t="n"/>
      <c r="C67" s="309" t="n"/>
      <c r="D67" s="275" t="n"/>
      <c r="E67" s="275" t="n"/>
      <c r="F67" s="275" t="n"/>
      <c r="G67" s="275" t="n"/>
      <c r="H67" s="275" t="n"/>
      <c r="I67" s="275" t="n"/>
      <c r="J67" s="275" t="n"/>
      <c r="K67" s="298" t="n"/>
      <c r="M67" s="110" t="n"/>
      <c r="N67" s="466" t="n"/>
      <c r="O67" s="769" t="n"/>
      <c r="P67" s="658" t="n"/>
      <c r="Q67" s="658" t="n"/>
      <c r="R67" s="658" t="n"/>
      <c r="S67" s="658" t="n"/>
      <c r="T67" s="658" t="n"/>
      <c r="U67" s="658" t="n"/>
      <c r="V67" s="658" t="n"/>
      <c r="W67" s="658" t="n"/>
      <c r="X67" s="658" t="n"/>
      <c r="Y67" s="658" t="n"/>
      <c r="Z67" s="658" t="n"/>
      <c r="AG67" s="466" t="n"/>
      <c r="AH67" s="466" t="n"/>
    </row>
    <row r="68" customFormat="1" s="26">
      <c r="B68" s="310" t="n"/>
      <c r="C68" s="309" t="inlineStr">
        <is>
          <t>If more than zero, continue to line 4.</t>
        </is>
      </c>
      <c r="D68" s="275" t="n"/>
      <c r="E68" s="275" t="n"/>
      <c r="F68" s="275" t="n"/>
      <c r="G68" s="275" t="n"/>
      <c r="H68" s="275" t="n"/>
      <c r="I68" s="468" t="n"/>
      <c r="J68" s="468" t="n"/>
      <c r="K68" s="298" t="n"/>
      <c r="M68" s="110" t="n"/>
      <c r="N68" s="466" t="n"/>
      <c r="O68" s="769" t="n"/>
      <c r="P68" s="658" t="n"/>
      <c r="Q68" s="658" t="n"/>
      <c r="R68" s="658" t="n"/>
      <c r="S68" s="658" t="n"/>
      <c r="T68" s="658" t="n"/>
      <c r="U68" s="658" t="n"/>
      <c r="V68" s="658" t="n"/>
      <c r="W68" s="658" t="n"/>
      <c r="X68" s="658" t="n"/>
      <c r="Y68" s="658" t="n"/>
      <c r="Z68" s="658" t="n"/>
      <c r="AG68" s="466" t="n"/>
      <c r="AH68" s="466" t="n"/>
    </row>
    <row r="69" customFormat="1" s="26">
      <c r="B69" s="469" t="n"/>
      <c r="C69" s="309" t="n"/>
      <c r="D69" s="275" t="n"/>
      <c r="E69" s="275" t="n"/>
      <c r="F69" s="275" t="n"/>
      <c r="G69" s="275" t="n"/>
      <c r="H69" s="275" t="n"/>
      <c r="I69" s="275" t="n"/>
      <c r="J69" s="636" t="n"/>
      <c r="K69" s="298" t="n"/>
      <c r="M69" s="110" t="n"/>
      <c r="N69" s="466" t="n"/>
      <c r="O69" s="769" t="n"/>
      <c r="P69" s="658" t="n"/>
      <c r="Q69" s="658" t="n"/>
      <c r="R69" s="658" t="n"/>
      <c r="S69" s="658" t="n"/>
      <c r="T69" s="658" t="n"/>
      <c r="U69" s="658" t="n"/>
      <c r="V69" s="658" t="n"/>
      <c r="W69" s="658" t="n"/>
      <c r="X69" s="658" t="n"/>
      <c r="Y69" s="658" t="n"/>
      <c r="Z69" s="658" t="n"/>
      <c r="AG69" s="466" t="n"/>
      <c r="AH69" s="466" t="n"/>
    </row>
    <row r="70" customFormat="1" s="26">
      <c r="B70" s="469" t="n"/>
      <c r="C70" s="309" t="n"/>
      <c r="D70" s="275" t="n"/>
      <c r="E70" s="275" t="n"/>
      <c r="F70" s="275" t="n"/>
      <c r="G70" s="275" t="n"/>
      <c r="H70" s="275" t="n"/>
      <c r="I70" s="275" t="n"/>
      <c r="J70" s="636" t="n"/>
      <c r="K70" s="298" t="n"/>
      <c r="M70" s="110" t="n"/>
      <c r="N70" s="466" t="n"/>
      <c r="O70" s="769" t="n"/>
      <c r="P70" s="658" t="n"/>
      <c r="Q70" s="658" t="n"/>
      <c r="R70" s="658" t="n"/>
      <c r="S70" s="658" t="n"/>
      <c r="T70" s="658" t="n"/>
      <c r="U70" s="658" t="n"/>
      <c r="V70" s="658" t="n"/>
      <c r="W70" s="658" t="n"/>
      <c r="X70" s="658" t="n"/>
      <c r="Y70" s="658" t="n"/>
      <c r="Z70" s="658" t="n"/>
      <c r="AG70" s="466" t="n"/>
      <c r="AH70" s="466" t="n"/>
    </row>
    <row r="71" ht="12.75" customFormat="1" customHeight="1" s="26">
      <c r="B71" s="469" t="inlineStr">
        <is>
          <t>4.</t>
        </is>
      </c>
      <c r="C71" s="7961" t="inlineStr">
        <is>
          <t>Enter the Medicaid waiver payment amounts excluded from income on Schedule 1 (Form 1040), 
line 8s, unless you choose to include these amounts in earned income. See the instructions for Schedule 1, line 8s. If you and your spouse both received Medicaid waiver payments during the year, you and your spouse can make different choices about including the full amount of your payments in earned income. Enter only the amount of the Medicaid waiver payments that you or your spouse, if filing a joint return, do not want to include in earned income. 
To include all nontaxable Medicaid waiver payment amounts in earned income, enter -0-</t>
        </is>
      </c>
      <c r="D71" s="26" t="n"/>
      <c r="E71" s="26" t="n"/>
      <c r="F71" s="26" t="n"/>
      <c r="G71" s="26" t="n"/>
      <c r="H71" s="26" t="n"/>
      <c r="I71" s="468" t="inlineStr">
        <is>
          <t>4.</t>
        </is>
      </c>
      <c r="J71" s="7843" t="n"/>
      <c r="K71" s="298" t="n"/>
      <c r="M71" s="110" t="n"/>
      <c r="N71" s="466" t="n"/>
      <c r="O71" s="769" t="n"/>
      <c r="P71" s="658" t="n"/>
      <c r="Q71" s="658" t="n"/>
      <c r="R71" s="658" t="n"/>
      <c r="S71" s="658" t="n"/>
      <c r="T71" s="658" t="n"/>
      <c r="U71" s="658" t="n"/>
      <c r="V71" s="658" t="n"/>
      <c r="W71" s="658" t="n"/>
      <c r="X71" s="658" t="n"/>
      <c r="Y71" s="658" t="n"/>
      <c r="Z71" s="658" t="n"/>
      <c r="AG71" s="466" t="n"/>
      <c r="AH71" s="466" t="n"/>
    </row>
    <row r="72" customFormat="1" s="26">
      <c r="B72" s="469" t="n"/>
      <c r="C72" s="26" t="n"/>
      <c r="D72" s="26" t="n"/>
      <c r="E72" s="26" t="n"/>
      <c r="F72" s="26" t="n"/>
      <c r="G72" s="26" t="n"/>
      <c r="H72" s="26" t="n"/>
      <c r="I72" s="468" t="n"/>
      <c r="J72" s="991">
        <f>ROUND(J71,0)</f>
        <v/>
      </c>
      <c r="K72" s="298" t="n"/>
      <c r="M72" s="110" t="n"/>
      <c r="N72" s="466" t="n"/>
      <c r="O72" s="769" t="n"/>
      <c r="P72" s="658" t="n"/>
      <c r="Q72" s="658" t="n"/>
      <c r="R72" s="658" t="n"/>
      <c r="S72" s="658" t="n"/>
      <c r="T72" s="658" t="n"/>
      <c r="U72" s="658" t="n"/>
      <c r="V72" s="658" t="n"/>
      <c r="W72" s="658" t="n"/>
      <c r="X72" s="658" t="n"/>
      <c r="Y72" s="658" t="n"/>
      <c r="Z72" s="658" t="n"/>
      <c r="AG72" s="466" t="n"/>
      <c r="AH72" s="466" t="n"/>
    </row>
    <row r="73" customFormat="1" s="26">
      <c r="B73" s="469" t="n"/>
      <c r="C73" s="26" t="n"/>
      <c r="D73" s="26" t="n"/>
      <c r="E73" s="26" t="n"/>
      <c r="F73" s="26" t="n"/>
      <c r="G73" s="26" t="n"/>
      <c r="H73" s="26" t="n"/>
      <c r="I73" s="468" t="n"/>
      <c r="J73" s="275" t="n"/>
      <c r="K73" s="298" t="n"/>
      <c r="M73" s="110" t="n"/>
      <c r="N73" s="466" t="n"/>
      <c r="O73" s="769" t="n"/>
      <c r="P73" s="658" t="n"/>
      <c r="Q73" s="658" t="n"/>
      <c r="R73" s="658" t="n"/>
      <c r="S73" s="658" t="n"/>
      <c r="T73" s="658" t="n"/>
      <c r="U73" s="658" t="n"/>
      <c r="V73" s="658" t="n"/>
      <c r="W73" s="658" t="n"/>
      <c r="X73" s="658" t="n"/>
      <c r="Y73" s="658" t="n"/>
      <c r="Z73" s="658" t="n"/>
      <c r="AG73" s="466" t="n"/>
      <c r="AH73" s="466" t="n"/>
    </row>
    <row r="74" customFormat="1" s="26">
      <c r="B74" s="469" t="n"/>
      <c r="C74" s="26" t="n"/>
      <c r="D74" s="26" t="n"/>
      <c r="E74" s="26" t="n"/>
      <c r="F74" s="26" t="n"/>
      <c r="G74" s="26" t="n"/>
      <c r="H74" s="26" t="n"/>
      <c r="I74" s="468" t="n"/>
      <c r="J74" s="275" t="n"/>
      <c r="K74" s="298" t="n"/>
      <c r="M74" s="110" t="n"/>
      <c r="N74" s="466" t="n"/>
      <c r="O74" s="769" t="n"/>
      <c r="P74" s="658" t="n"/>
      <c r="Q74" s="658" t="n"/>
      <c r="R74" s="658" t="n"/>
      <c r="S74" s="658" t="n"/>
      <c r="T74" s="658" t="n"/>
      <c r="U74" s="658" t="n"/>
      <c r="V74" s="658" t="n"/>
      <c r="W74" s="658" t="n"/>
      <c r="X74" s="658" t="n"/>
      <c r="Y74" s="658" t="n"/>
      <c r="Z74" s="658" t="n"/>
      <c r="AG74" s="466" t="n"/>
      <c r="AH74" s="466" t="n"/>
    </row>
    <row r="75" customFormat="1" s="26">
      <c r="B75" s="469" t="n"/>
      <c r="C75" s="26" t="n"/>
      <c r="D75" s="26" t="n"/>
      <c r="E75" s="26" t="n"/>
      <c r="F75" s="26" t="n"/>
      <c r="G75" s="26" t="n"/>
      <c r="H75" s="26" t="n"/>
      <c r="I75" s="468" t="n"/>
      <c r="J75" s="275" t="n"/>
      <c r="K75" s="298" t="n"/>
      <c r="M75" s="110" t="n"/>
      <c r="N75" s="466" t="n"/>
      <c r="O75" s="769" t="n"/>
      <c r="P75" s="658" t="n"/>
      <c r="Q75" s="658" t="n"/>
      <c r="R75" s="658" t="n"/>
      <c r="S75" s="658" t="n"/>
      <c r="T75" s="658" t="n"/>
      <c r="U75" s="658" t="n"/>
      <c r="V75" s="658" t="n"/>
      <c r="W75" s="658" t="n"/>
      <c r="X75" s="658" t="n"/>
      <c r="Y75" s="658" t="n"/>
      <c r="Z75" s="658" t="n"/>
      <c r="AG75" s="466" t="n"/>
      <c r="AH75" s="466" t="n"/>
    </row>
    <row r="76" customFormat="1" s="26">
      <c r="B76" s="469" t="n"/>
      <c r="C76" s="26" t="n"/>
      <c r="D76" s="26" t="n"/>
      <c r="E76" s="26" t="n"/>
      <c r="F76" s="26" t="n"/>
      <c r="G76" s="26" t="n"/>
      <c r="H76" s="26" t="n"/>
      <c r="I76" s="468" t="n"/>
      <c r="J76" s="275" t="n"/>
      <c r="K76" s="298" t="n"/>
      <c r="M76" s="110" t="n"/>
      <c r="N76" s="466" t="n"/>
      <c r="O76" s="769" t="n"/>
      <c r="P76" s="658" t="n"/>
      <c r="Q76" s="658" t="n"/>
      <c r="R76" s="658" t="n"/>
      <c r="S76" s="658" t="n"/>
      <c r="T76" s="658" t="n"/>
      <c r="U76" s="658" t="n"/>
      <c r="V76" s="658" t="n"/>
      <c r="W76" s="658" t="n"/>
      <c r="X76" s="658" t="n"/>
      <c r="Y76" s="658" t="n"/>
      <c r="Z76" s="658" t="n"/>
      <c r="AG76" s="466" t="n"/>
      <c r="AH76" s="466" t="n"/>
    </row>
    <row r="77" customFormat="1" s="26">
      <c r="B77" s="469" t="n"/>
      <c r="C77" s="26" t="n"/>
      <c r="D77" s="26" t="n"/>
      <c r="E77" s="26" t="n"/>
      <c r="F77" s="26" t="n"/>
      <c r="G77" s="26" t="n"/>
      <c r="H77" s="26" t="n"/>
      <c r="I77" s="275" t="n"/>
      <c r="J77" s="275" t="n"/>
      <c r="K77" s="298" t="n"/>
      <c r="M77" s="110" t="n"/>
      <c r="N77" s="466" t="n"/>
      <c r="O77" s="769" t="n"/>
      <c r="P77" s="658" t="n"/>
      <c r="Q77" s="658" t="n"/>
      <c r="R77" s="658" t="n"/>
      <c r="S77" s="658" t="n"/>
      <c r="T77" s="658" t="n"/>
      <c r="U77" s="658" t="n"/>
      <c r="V77" s="658" t="n"/>
      <c r="W77" s="658" t="n"/>
      <c r="X77" s="658" t="n"/>
      <c r="Y77" s="658" t="n"/>
      <c r="Z77" s="658" t="n"/>
      <c r="AG77" s="466" t="n"/>
      <c r="AH77" s="466" t="n"/>
    </row>
    <row r="78" customFormat="1" s="26">
      <c r="B78" s="469" t="n"/>
      <c r="C78" s="309" t="n"/>
      <c r="D78" s="275" t="n"/>
      <c r="E78" s="275" t="n"/>
      <c r="F78" s="275" t="n"/>
      <c r="G78" s="275" t="n"/>
      <c r="H78" s="275" t="n"/>
      <c r="I78" s="275" t="n"/>
      <c r="J78" s="275" t="n"/>
      <c r="K78" s="298" t="n"/>
      <c r="M78" s="110" t="n"/>
      <c r="N78" s="466" t="n"/>
      <c r="O78" s="769" t="n"/>
      <c r="P78" s="658" t="n"/>
      <c r="Q78" s="658" t="n"/>
      <c r="R78" s="658" t="n"/>
      <c r="S78" s="658" t="n"/>
      <c r="T78" s="658" t="n"/>
      <c r="U78" s="658" t="n"/>
      <c r="V78" s="658" t="n"/>
      <c r="W78" s="658" t="n"/>
      <c r="X78" s="658" t="n"/>
      <c r="Y78" s="658" t="n"/>
      <c r="Z78" s="658" t="n"/>
      <c r="AG78" s="466" t="n"/>
      <c r="AH78" s="466" t="n"/>
    </row>
    <row r="79" customFormat="1" s="26">
      <c r="B79" s="469" t="inlineStr">
        <is>
          <t>5.</t>
        </is>
      </c>
      <c r="C79" s="309" t="inlineStr">
        <is>
          <t>Enter the amount from Schedule 1 (Form 1040), line 15</t>
        </is>
      </c>
      <c r="D79" s="275" t="n"/>
      <c r="E79" s="275" t="n"/>
      <c r="F79" s="275" t="n"/>
      <c r="G79" s="275" t="n"/>
      <c r="H79" s="275" t="n"/>
      <c r="I79" s="468" t="inlineStr">
        <is>
          <t>5.</t>
        </is>
      </c>
      <c r="J79" s="465">
        <f>IF(J66,"",SE_Deduct)</f>
        <v/>
      </c>
      <c r="K79" s="298" t="n"/>
      <c r="M79" s="110" t="n"/>
      <c r="N79" s="466" t="n"/>
      <c r="O79" s="769" t="n"/>
      <c r="P79" s="658" t="n"/>
      <c r="Q79" s="658" t="n"/>
      <c r="R79" s="658" t="n"/>
      <c r="S79" s="658" t="n"/>
      <c r="T79" s="658" t="n"/>
      <c r="U79" s="658" t="n"/>
      <c r="V79" s="658" t="n"/>
      <c r="W79" s="658" t="n"/>
      <c r="X79" s="658" t="n"/>
      <c r="Y79" s="658" t="n"/>
      <c r="Z79" s="658" t="n"/>
      <c r="AG79" s="466" t="n"/>
      <c r="AH79" s="466" t="n"/>
    </row>
    <row r="80" ht="13.5" customFormat="1" customHeight="1" s="26" thickBot="1">
      <c r="B80" s="310" t="n"/>
      <c r="C80" s="309" t="n"/>
      <c r="D80" s="275" t="n"/>
      <c r="E80" s="275" t="n"/>
      <c r="F80" s="275" t="n"/>
      <c r="G80" s="275" t="n"/>
      <c r="H80" s="275" t="n"/>
      <c r="I80" s="275" t="n"/>
      <c r="J80" s="275" t="n"/>
      <c r="K80" s="298" t="n"/>
      <c r="M80" s="110" t="n"/>
      <c r="N80" s="466" t="n"/>
      <c r="O80" s="769" t="n"/>
      <c r="P80" s="658" t="n"/>
      <c r="Q80" s="658" t="n"/>
      <c r="R80" s="658" t="n"/>
      <c r="S80" s="658" t="n"/>
      <c r="T80" s="658" t="n"/>
      <c r="U80" s="658" t="n"/>
      <c r="V80" s="658" t="n"/>
      <c r="W80" s="658" t="n"/>
      <c r="X80" s="658" t="n"/>
      <c r="Y80" s="658" t="n"/>
      <c r="Z80" s="658" t="n"/>
      <c r="AG80" s="466" t="n"/>
      <c r="AH80" s="466" t="n"/>
    </row>
    <row r="81" ht="13.5" customFormat="1" customHeight="1" s="466" thickBot="1">
      <c r="B81" s="469" t="inlineStr">
        <is>
          <t>6.</t>
        </is>
      </c>
      <c r="C81" s="309" t="inlineStr">
        <is>
          <t>Add lines 4 and 5</t>
        </is>
      </c>
      <c r="D81" s="275" t="n"/>
      <c r="E81" s="275" t="n"/>
      <c r="F81" s="275" t="n"/>
      <c r="G81" s="275" t="n"/>
      <c r="H81" s="275" t="n"/>
      <c r="I81" s="468" t="inlineStr">
        <is>
          <t>6.</t>
        </is>
      </c>
      <c r="J81" s="465">
        <f>IF(M81&lt;&gt;"",ROUND(M81,0),IF(J66,"",SUM(J72,J79)))</f>
        <v/>
      </c>
      <c r="K81" s="298" t="n"/>
      <c r="L81" s="26" t="n"/>
      <c r="M81" s="467" t="n"/>
      <c r="O81" s="769" t="n"/>
      <c r="P81" s="658" t="n"/>
      <c r="Q81" s="658" t="n"/>
      <c r="R81" s="658" t="n"/>
      <c r="S81" s="658" t="n"/>
      <c r="T81" s="658" t="n"/>
      <c r="U81" s="658" t="n"/>
      <c r="V81" s="658" t="n"/>
      <c r="W81" s="658" t="n"/>
      <c r="X81" s="658" t="n"/>
      <c r="Y81" s="658" t="n"/>
      <c r="Z81" s="658" t="n"/>
      <c r="AA81" s="26" t="n"/>
      <c r="AB81" s="26" t="n"/>
      <c r="AC81" s="26" t="n"/>
      <c r="AD81" s="26" t="n"/>
      <c r="AE81" s="26" t="n"/>
      <c r="AF81" s="26" t="n"/>
      <c r="AI81" s="26" t="n"/>
      <c r="AJ81" s="26" t="n"/>
      <c r="AK81" s="26" t="n"/>
      <c r="AL81" s="26" t="n"/>
      <c r="AM81" s="26" t="n"/>
    </row>
    <row r="82" ht="13.5" customFormat="1" customHeight="1" s="26" thickBot="1">
      <c r="B82" s="310" t="n"/>
      <c r="C82" s="309" t="n"/>
      <c r="D82" s="275" t="n"/>
      <c r="E82" s="275" t="n"/>
      <c r="F82" s="275" t="n"/>
      <c r="G82" s="275" t="n"/>
      <c r="H82" s="275" t="n"/>
      <c r="I82" s="275" t="n"/>
      <c r="J82" s="275" t="n"/>
      <c r="K82" s="298" t="n"/>
      <c r="M82" s="110" t="n"/>
      <c r="N82" s="466" t="n"/>
      <c r="O82" s="769" t="n"/>
      <c r="P82" s="658" t="n"/>
      <c r="Q82" s="658" t="n"/>
      <c r="R82" s="658" t="n"/>
      <c r="S82" s="658" t="n"/>
      <c r="T82" s="658" t="n"/>
      <c r="U82" s="658" t="n"/>
      <c r="V82" s="658" t="n"/>
      <c r="W82" s="658" t="n"/>
      <c r="X82" s="658" t="n"/>
      <c r="Y82" s="658" t="n"/>
      <c r="Z82" s="658" t="n"/>
      <c r="AG82" s="466" t="n"/>
      <c r="AH82" s="466" t="n"/>
    </row>
    <row r="83" ht="13.5" customFormat="1" customHeight="1" s="466" thickBot="1">
      <c r="B83" s="469" t="inlineStr">
        <is>
          <t>7.</t>
        </is>
      </c>
      <c r="C83" s="309" t="inlineStr">
        <is>
          <t>Earned Income.   Subtract line 6 from line 3</t>
        </is>
      </c>
      <c r="D83" s="275" t="n"/>
      <c r="E83" s="275" t="n"/>
      <c r="F83" s="275" t="n"/>
      <c r="G83" s="275" t="n"/>
      <c r="H83" s="275" t="n"/>
      <c r="I83" s="468" t="inlineStr">
        <is>
          <t>7.</t>
        </is>
      </c>
      <c r="J83" s="465">
        <f>IF(M83&lt;&gt;"",ROUND(M83,0),IF(J66,"",SUM(J65,-J81)))</f>
        <v/>
      </c>
      <c r="K83" s="298" t="n"/>
      <c r="L83" s="26" t="n"/>
      <c r="M83" s="467" t="n"/>
      <c r="O83" s="769" t="n"/>
      <c r="P83" s="658" t="n"/>
      <c r="Q83" s="658" t="n"/>
      <c r="R83" s="658" t="n"/>
      <c r="S83" s="658" t="n"/>
      <c r="T83" s="658" t="n"/>
      <c r="U83" s="658" t="n"/>
      <c r="V83" s="658" t="n"/>
      <c r="W83" s="658" t="n"/>
      <c r="X83" s="658" t="n"/>
      <c r="Y83" s="658" t="n"/>
      <c r="Z83" s="658" t="n"/>
      <c r="AA83" s="26" t="n"/>
      <c r="AB83" s="26" t="n"/>
      <c r="AC83" s="26" t="n"/>
      <c r="AD83" s="26" t="n"/>
      <c r="AE83" s="26" t="n"/>
      <c r="AF83" s="26" t="n"/>
      <c r="AI83" s="26" t="n"/>
      <c r="AJ83" s="26" t="n"/>
      <c r="AK83" s="26" t="n"/>
      <c r="AL83" s="26" t="n"/>
      <c r="AM83" s="26" t="n"/>
    </row>
    <row r="84" ht="15" customFormat="1" customHeight="1" s="466">
      <c r="B84" s="469" t="n"/>
      <c r="C84" s="1077" t="inlineStr">
        <is>
          <t>•</t>
        </is>
      </c>
      <c r="D84" s="309" t="inlineStr">
        <is>
          <t>If you were sent here from Line 12a, Standard Deduction for Dependents Worksheet,</t>
        </is>
      </c>
      <c r="E84" s="275" t="n"/>
      <c r="F84" s="275" t="n"/>
      <c r="G84" s="275" t="n"/>
      <c r="H84" s="275" t="n"/>
      <c r="I84" s="1078" t="n"/>
      <c r="J84" s="281" t="n"/>
      <c r="K84" s="298" t="n"/>
      <c r="L84" s="26" t="n"/>
      <c r="M84" s="110" t="n"/>
      <c r="O84" s="769" t="n"/>
      <c r="P84" s="658" t="n"/>
      <c r="Q84" s="658" t="n"/>
      <c r="R84" s="658" t="n"/>
      <c r="S84" s="658" t="n"/>
      <c r="T84" s="658" t="n"/>
      <c r="U84" s="658" t="n"/>
      <c r="V84" s="658" t="n"/>
      <c r="W84" s="658" t="n"/>
      <c r="X84" s="658" t="n"/>
      <c r="Y84" s="658" t="n"/>
      <c r="Z84" s="658" t="n"/>
      <c r="AA84" s="26" t="n"/>
      <c r="AB84" s="26" t="n"/>
      <c r="AC84" s="26" t="n"/>
      <c r="AD84" s="26" t="n"/>
      <c r="AE84" s="26" t="n"/>
      <c r="AF84" s="26" t="n"/>
      <c r="AI84" s="26" t="n"/>
      <c r="AJ84" s="26" t="n"/>
      <c r="AK84" s="26" t="n"/>
      <c r="AL84" s="26" t="n"/>
      <c r="AM84" s="26" t="n"/>
    </row>
    <row r="85" ht="15" customFormat="1" customHeight="1" s="466">
      <c r="B85" s="469" t="n"/>
      <c r="C85" s="1077" t="n"/>
      <c r="D85" s="309" t="inlineStr">
        <is>
          <t>enter this amount in the space provided prior to line 2.</t>
        </is>
      </c>
      <c r="E85" s="275" t="n"/>
      <c r="F85" s="275" t="n"/>
      <c r="G85" s="275" t="n"/>
      <c r="H85" s="275" t="n"/>
      <c r="I85" s="1078" t="n"/>
      <c r="J85" s="281" t="n"/>
      <c r="K85" s="298" t="n"/>
      <c r="L85" s="26" t="n"/>
      <c r="M85" s="110" t="n"/>
      <c r="O85" s="769" t="n"/>
      <c r="P85" s="658" t="n"/>
      <c r="Q85" s="658" t="n"/>
      <c r="R85" s="658" t="n"/>
      <c r="S85" s="658" t="n"/>
      <c r="T85" s="658" t="n"/>
      <c r="U85" s="658" t="n"/>
      <c r="V85" s="658" t="n"/>
      <c r="W85" s="658" t="n"/>
      <c r="X85" s="658" t="n"/>
      <c r="Y85" s="658" t="n"/>
      <c r="Z85" s="658" t="n"/>
      <c r="AA85" s="26" t="n"/>
      <c r="AB85" s="26" t="n"/>
      <c r="AC85" s="26" t="n"/>
      <c r="AD85" s="26" t="n"/>
      <c r="AE85" s="26" t="n"/>
      <c r="AF85" s="26" t="n"/>
      <c r="AI85" s="26" t="n"/>
      <c r="AJ85" s="26" t="n"/>
      <c r="AK85" s="26" t="n"/>
      <c r="AL85" s="26" t="n"/>
      <c r="AM85" s="26" t="n"/>
    </row>
    <row r="86" ht="15" customFormat="1" customHeight="1" s="466">
      <c r="B86" s="469" t="n"/>
      <c r="C86" s="1077" t="inlineStr">
        <is>
          <t>•</t>
        </is>
      </c>
      <c r="D86" s="309" t="inlineStr">
        <is>
          <t>If you were sent here from Schedule 8812, enter this amount on line 18a of that form.</t>
        </is>
      </c>
      <c r="E86" s="275" t="n"/>
      <c r="F86" s="275" t="n"/>
      <c r="G86" s="275" t="n"/>
      <c r="H86" s="275" t="n"/>
      <c r="I86" s="1078" t="n"/>
      <c r="J86" s="281" t="n"/>
      <c r="K86" s="298" t="n"/>
      <c r="L86" s="26" t="n"/>
      <c r="M86" s="110" t="n"/>
      <c r="O86" s="769" t="n"/>
      <c r="P86" s="658" t="n"/>
      <c r="Q86" s="658" t="n"/>
      <c r="R86" s="658" t="n"/>
      <c r="S86" s="658" t="n"/>
      <c r="T86" s="658" t="n"/>
      <c r="U86" s="658" t="n"/>
      <c r="V86" s="658" t="n"/>
      <c r="W86" s="658" t="n"/>
      <c r="X86" s="658" t="n"/>
      <c r="Y86" s="658" t="n"/>
      <c r="Z86" s="658" t="n"/>
      <c r="AA86" s="26" t="n"/>
      <c r="AB86" s="26" t="n"/>
      <c r="AC86" s="26" t="n"/>
      <c r="AD86" s="26" t="n"/>
      <c r="AE86" s="26" t="n"/>
      <c r="AF86" s="26" t="n"/>
      <c r="AI86" s="26" t="n"/>
      <c r="AJ86" s="26" t="n"/>
      <c r="AK86" s="26" t="n"/>
      <c r="AL86" s="26" t="n"/>
      <c r="AM86" s="26" t="n"/>
    </row>
    <row r="87" ht="15" customFormat="1" customHeight="1" s="466">
      <c r="B87" s="469" t="n"/>
      <c r="C87" s="1077" t="inlineStr">
        <is>
          <t>•</t>
        </is>
      </c>
      <c r="D87" s="309" t="inlineStr">
        <is>
          <t>If you were sent here from Credit Limit Worksheet B, enter this amount on line 3 of that worksheet.</t>
        </is>
      </c>
      <c r="E87" s="275" t="n"/>
      <c r="F87" s="275" t="n"/>
      <c r="G87" s="275" t="n"/>
      <c r="H87" s="275" t="n"/>
      <c r="I87" s="1078" t="n"/>
      <c r="J87" s="281" t="n"/>
      <c r="K87" s="298" t="n"/>
      <c r="L87" s="26" t="n"/>
      <c r="M87" s="110" t="n"/>
      <c r="O87" s="769" t="n"/>
      <c r="P87" s="658" t="n"/>
      <c r="Q87" s="658" t="n"/>
      <c r="R87" s="658" t="n"/>
      <c r="S87" s="658" t="n"/>
      <c r="T87" s="658" t="n"/>
      <c r="U87" s="658" t="n"/>
      <c r="V87" s="658" t="n"/>
      <c r="W87" s="658" t="n"/>
      <c r="X87" s="658" t="n"/>
      <c r="Y87" s="658" t="n"/>
      <c r="Z87" s="658" t="n"/>
      <c r="AA87" s="26" t="n"/>
      <c r="AB87" s="26" t="n"/>
      <c r="AC87" s="26" t="n"/>
      <c r="AD87" s="26" t="n"/>
      <c r="AE87" s="26" t="n"/>
      <c r="AF87" s="26" t="n"/>
      <c r="AI87" s="26" t="n"/>
      <c r="AJ87" s="26" t="n"/>
      <c r="AK87" s="26" t="n"/>
      <c r="AL87" s="26" t="n"/>
      <c r="AM87" s="26" t="n"/>
    </row>
    <row r="88" customFormat="1" s="466">
      <c r="B88" s="469" t="n"/>
      <c r="C88" s="309" t="n"/>
      <c r="D88" s="275" t="n"/>
      <c r="E88" s="275" t="n"/>
      <c r="F88" s="275" t="n"/>
      <c r="G88" s="275" t="n"/>
      <c r="H88" s="275" t="n"/>
      <c r="I88" s="468" t="n"/>
      <c r="J88" s="275" t="n"/>
      <c r="K88" s="298" t="n"/>
      <c r="L88" s="26" t="n"/>
      <c r="M88" s="110" t="n"/>
      <c r="O88" s="769" t="n"/>
      <c r="P88" s="658" t="n"/>
      <c r="Q88" s="658" t="n"/>
      <c r="R88" s="658" t="n"/>
      <c r="S88" s="658" t="n"/>
      <c r="T88" s="658" t="n"/>
      <c r="U88" s="658" t="n"/>
      <c r="V88" s="658" t="n"/>
      <c r="W88" s="658" t="n"/>
      <c r="X88" s="658" t="n"/>
      <c r="Y88" s="658" t="n"/>
      <c r="Z88" s="658" t="n"/>
      <c r="AA88" s="26" t="n"/>
      <c r="AB88" s="26" t="n"/>
      <c r="AC88" s="26" t="n"/>
      <c r="AD88" s="26" t="n"/>
      <c r="AE88" s="26" t="n"/>
      <c r="AF88" s="26" t="n"/>
      <c r="AI88" s="26" t="n"/>
      <c r="AJ88" s="26" t="n"/>
      <c r="AK88" s="26" t="n"/>
      <c r="AL88" s="26" t="n"/>
      <c r="AM88" s="26" t="n"/>
    </row>
    <row r="89" customFormat="1" s="466">
      <c r="B89" s="469" t="n"/>
      <c r="C89" s="470" t="inlineStr">
        <is>
          <t>*If you have any Schedule K-1 amounts and you are not required to file Schedule SE, complete the appropriate</t>
        </is>
      </c>
      <c r="D89" s="275" t="n"/>
      <c r="E89" s="275" t="n"/>
      <c r="F89" s="275" t="n"/>
      <c r="G89" s="275" t="n"/>
      <c r="H89" s="275" t="n"/>
      <c r="I89" s="468" t="n"/>
      <c r="J89" s="275" t="n"/>
      <c r="K89" s="298" t="n"/>
      <c r="L89" s="26" t="n"/>
      <c r="M89" s="110" t="n"/>
      <c r="O89" s="769" t="n"/>
      <c r="P89" s="658" t="n"/>
      <c r="Q89" s="658" t="n"/>
      <c r="R89" s="658" t="n"/>
      <c r="S89" s="658" t="n"/>
      <c r="T89" s="658" t="n"/>
      <c r="U89" s="658" t="n"/>
      <c r="V89" s="658" t="n"/>
      <c r="W89" s="658" t="n"/>
      <c r="X89" s="658" t="n"/>
      <c r="Y89" s="658" t="n"/>
      <c r="Z89" s="658" t="n"/>
      <c r="AA89" s="26" t="n"/>
      <c r="AB89" s="26" t="n"/>
      <c r="AC89" s="26" t="n"/>
      <c r="AD89" s="26" t="n"/>
      <c r="AE89" s="26" t="n"/>
      <c r="AF89" s="26" t="n"/>
      <c r="AI89" s="26" t="n"/>
      <c r="AJ89" s="26" t="n"/>
      <c r="AK89" s="26" t="n"/>
      <c r="AL89" s="26" t="n"/>
      <c r="AM89" s="26" t="n"/>
    </row>
    <row r="90" customFormat="1" s="466">
      <c r="B90" s="469" t="n"/>
      <c r="C90" s="470" t="inlineStr">
        <is>
          <t>line(s) of Schedule SE, Section A. Put your name and social security number on Schedule SE and attach it to</t>
        </is>
      </c>
      <c r="D90" s="275" t="n"/>
      <c r="E90" s="275" t="n"/>
      <c r="F90" s="275" t="n"/>
      <c r="G90" s="275" t="n"/>
      <c r="H90" s="275" t="n"/>
      <c r="I90" s="468" t="n"/>
      <c r="J90" s="275" t="n"/>
      <c r="K90" s="298" t="n"/>
      <c r="L90" s="26" t="n"/>
      <c r="M90" s="110" t="n"/>
      <c r="O90" s="769" t="n"/>
      <c r="P90" s="658" t="n"/>
      <c r="Q90" s="658" t="n"/>
      <c r="R90" s="658" t="n"/>
      <c r="S90" s="658" t="n"/>
      <c r="T90" s="658" t="n"/>
      <c r="U90" s="658" t="n"/>
      <c r="V90" s="658" t="n"/>
      <c r="W90" s="658" t="n"/>
      <c r="X90" s="658" t="n"/>
      <c r="Y90" s="658" t="n"/>
      <c r="Z90" s="658" t="n"/>
      <c r="AA90" s="26" t="n"/>
      <c r="AB90" s="26" t="n"/>
      <c r="AC90" s="26" t="n"/>
      <c r="AD90" s="26" t="n"/>
      <c r="AE90" s="26" t="n"/>
      <c r="AF90" s="26" t="n"/>
      <c r="AI90" s="26" t="n"/>
      <c r="AJ90" s="26" t="n"/>
      <c r="AK90" s="26" t="n"/>
      <c r="AL90" s="26" t="n"/>
      <c r="AM90" s="26" t="n"/>
    </row>
    <row r="91" customFormat="1" s="466">
      <c r="B91" s="469" t="n"/>
      <c r="C91" s="470" t="inlineStr">
        <is>
          <t>your return.</t>
        </is>
      </c>
      <c r="D91" s="275" t="n"/>
      <c r="E91" s="275" t="n"/>
      <c r="F91" s="275" t="n"/>
      <c r="G91" s="275" t="n"/>
      <c r="H91" s="275" t="n"/>
      <c r="I91" s="468" t="n"/>
      <c r="J91" s="275" t="n"/>
      <c r="K91" s="298" t="n"/>
      <c r="L91" s="26" t="n"/>
      <c r="M91" s="110" t="n"/>
      <c r="O91" s="769" t="n"/>
      <c r="P91" s="658" t="n"/>
      <c r="Q91" s="658" t="n"/>
      <c r="R91" s="658" t="n"/>
      <c r="S91" s="658" t="n"/>
      <c r="T91" s="658" t="n"/>
      <c r="U91" s="658" t="n"/>
      <c r="V91" s="658" t="n"/>
      <c r="W91" s="658" t="n"/>
      <c r="X91" s="658" t="n"/>
      <c r="Y91" s="658" t="n"/>
      <c r="Z91" s="658" t="n"/>
      <c r="AA91" s="26" t="n"/>
      <c r="AB91" s="26" t="n"/>
      <c r="AC91" s="26" t="n"/>
      <c r="AD91" s="26" t="n"/>
      <c r="AE91" s="26" t="n"/>
      <c r="AF91" s="26" t="n"/>
      <c r="AI91" s="26" t="n"/>
      <c r="AJ91" s="26" t="n"/>
      <c r="AK91" s="26" t="n"/>
      <c r="AL91" s="26" t="n"/>
      <c r="AM91" s="26" t="n"/>
    </row>
    <row r="92" ht="13.5" customFormat="1" customHeight="1" s="26" thickBot="1">
      <c r="B92" s="311" t="n"/>
      <c r="C92" s="312" t="n"/>
      <c r="D92" s="312" t="n"/>
      <c r="E92" s="312" t="n"/>
      <c r="F92" s="312" t="n"/>
      <c r="G92" s="312" t="n"/>
      <c r="H92" s="312" t="n"/>
      <c r="I92" s="312" t="n"/>
      <c r="J92" s="312" t="n"/>
      <c r="K92" s="313" t="n"/>
      <c r="M92" s="110" t="n"/>
      <c r="N92" s="466" t="n"/>
      <c r="O92" s="769" t="n"/>
      <c r="P92" s="658" t="n"/>
      <c r="Q92" s="658" t="n"/>
      <c r="R92" s="658" t="n"/>
      <c r="S92" s="658" t="n"/>
      <c r="T92" s="658" t="n"/>
      <c r="U92" s="658" t="n"/>
      <c r="V92" s="658" t="n"/>
      <c r="W92" s="658" t="n"/>
      <c r="X92" s="658" t="n"/>
      <c r="Y92" s="658" t="n"/>
      <c r="Z92" s="658" t="n"/>
      <c r="AG92" s="466" t="n"/>
      <c r="AH92" s="466" t="n"/>
    </row>
  </sheetData>
  <sheetProtection selectLockedCells="0" selectUnlockedCells="0" algorithmName="SHA-512" sheet="1" objects="1" insertRows="1" insertHyperlinks="1" autoFilter="1" scenarios="1" formatColumns="1" deleteColumns="1" insertColumns="1" pivotTables="1" deleteRows="1" formatCells="1" saltValue="YC1/XBExkJHsNthdGop9SQ==" formatRows="1" sort="1" spinCount="100000" hashValue="vFvyR6wgyBBNSRQFfyAzyjPm/3oNskwbIxh5uzRu36NHVQVwtdl3cnektUT5k4ouYmL/aZgBqltkhE23Ya4vLQ=="/>
  <mergeCells count="4">
    <mergeCell ref="D6:J6"/>
    <mergeCell ref="C18:J22"/>
    <mergeCell ref="C71:H77"/>
    <mergeCell ref="D7:J7"/>
  </mergeCells>
  <conditionalFormatting sqref="C64 F64:G64">
    <cfRule type="expression" priority="7" dxfId="14">
      <formula>$J$66</formula>
    </cfRule>
  </conditionalFormatting>
  <conditionalFormatting sqref="C68">
    <cfRule type="expression" priority="4" dxfId="34">
      <formula>NOT($J$66)</formula>
    </cfRule>
  </conditionalFormatting>
  <conditionalFormatting sqref="F63:G63">
    <cfRule type="expression" priority="5401" dxfId="14">
      <formula>#REF!</formula>
    </cfRule>
  </conditionalFormatting>
  <conditionalFormatting sqref="J24">
    <cfRule type="expression" priority="12" dxfId="6">
      <formula>NoColor</formula>
    </cfRule>
  </conditionalFormatting>
  <conditionalFormatting sqref="J28">
    <cfRule type="expression" priority="33" dxfId="6">
      <formula>IF(NoColor,1,0)</formula>
    </cfRule>
  </conditionalFormatting>
  <conditionalFormatting sqref="J34">
    <cfRule type="expression" priority="32" dxfId="6">
      <formula>IF(NoColor,1,0)</formula>
    </cfRule>
  </conditionalFormatting>
  <conditionalFormatting sqref="J37">
    <cfRule type="expression" priority="30" dxfId="6">
      <formula>IF(NoColor,1,0)</formula>
    </cfRule>
  </conditionalFormatting>
  <conditionalFormatting sqref="J44">
    <cfRule type="expression" priority="29" dxfId="6">
      <formula>IF(NoColor,1,0)</formula>
    </cfRule>
  </conditionalFormatting>
  <conditionalFormatting sqref="J50">
    <cfRule type="expression" priority="28" dxfId="6">
      <formula>IF(NoColor,1,0)</formula>
    </cfRule>
  </conditionalFormatting>
  <conditionalFormatting sqref="J54">
    <cfRule type="expression" priority="27" dxfId="6">
      <formula>IF(NoColor,1,0)</formula>
    </cfRule>
  </conditionalFormatting>
  <conditionalFormatting sqref="J57 J59">
    <cfRule type="expression" priority="9" dxfId="6">
      <formula>IF(NoColor,1,0)</formula>
    </cfRule>
  </conditionalFormatting>
  <conditionalFormatting sqref="J61">
    <cfRule type="expression" priority="8" dxfId="6">
      <formula>IF(NoColor,1,0)</formula>
    </cfRule>
  </conditionalFormatting>
  <conditionalFormatting sqref="J64:J65">
    <cfRule type="expression" priority="6" dxfId="6">
      <formula>IF(NoColor,1,0)</formula>
    </cfRule>
  </conditionalFormatting>
  <conditionalFormatting sqref="J71">
    <cfRule type="expression" priority="5" dxfId="6">
      <formula>IF(NoColor,1,0)</formula>
    </cfRule>
  </conditionalFormatting>
  <conditionalFormatting sqref="J79">
    <cfRule type="expression" priority="1" dxfId="6">
      <formula>IF(NoColor,1,0)</formula>
    </cfRule>
  </conditionalFormatting>
  <conditionalFormatting sqref="J81">
    <cfRule type="expression" priority="3" dxfId="6">
      <formula>IF(NoColor,1,0)</formula>
    </cfRule>
  </conditionalFormatting>
  <conditionalFormatting sqref="J83">
    <cfRule type="expression" priority="14" dxfId="6">
      <formula>IF(NoColor,1,0)</formula>
    </cfRule>
  </conditionalFormatting>
  <pageMargins left="0.75" right="0.25" top="0.36" bottom="0.29" header="0.36" footer="0.21"/>
  <pageSetup orientation="portrait" scale="82" fitToHeight="0"/>
  <rowBreaks count="1" manualBreakCount="1">
    <brk id="69" min="1" max="10" man="1"/>
  </rowBreaks>
  <drawing xmlns:r="http://schemas.openxmlformats.org/officeDocument/2006/relationships" r:id="rId1"/>
</worksheet>
</file>

<file path=xl/worksheets/sheet23.xml><?xml version="1.0" encoding="utf-8"?>
<worksheet xmlns="http://schemas.openxmlformats.org/spreadsheetml/2006/main">
  <sheetPr codeName="Sheet18">
    <outlinePr summaryBelow="1" summaryRight="1"/>
    <pageSetUpPr fitToPage="1"/>
  </sheetPr>
  <dimension ref="A1:X103"/>
  <sheetViews>
    <sheetView zoomScaleNormal="100" zoomScaleSheetLayoutView="100" workbookViewId="0">
      <selection activeCell="A1" sqref="A1"/>
    </sheetView>
  </sheetViews>
  <sheetFormatPr baseColWidth="8" defaultColWidth="9.140625" defaultRowHeight="12.75"/>
  <cols>
    <col width="1.85546875" customWidth="1" style="26" min="1" max="1"/>
    <col width="4.42578125" customWidth="1" style="26" min="2" max="2"/>
    <col width="2.7109375" customWidth="1" style="26" min="3" max="3"/>
    <col width="25.28515625" customWidth="1" style="26" min="4" max="4"/>
    <col width="15.7109375" customWidth="1" style="26" min="5" max="5"/>
    <col width="8.5703125" customWidth="1" style="26" min="6" max="6"/>
    <col width="8.85546875" customWidth="1" style="26" min="7" max="7"/>
    <col width="9.5703125" customWidth="1" style="26" min="8" max="8"/>
    <col width="6" customWidth="1" style="26" min="9" max="9"/>
    <col width="13.85546875" customWidth="1" style="26" min="10" max="10"/>
    <col width="3.5703125" customWidth="1" style="26" min="11" max="11"/>
    <col width="12.7109375" customWidth="1" style="26" min="12" max="12"/>
    <col width="4.5703125" customWidth="1" style="26" min="13" max="13"/>
    <col width="1.5703125" customWidth="1" style="26" min="14" max="15"/>
    <col width="1.42578125" customWidth="1" style="26" min="16" max="16"/>
    <col width="2.5703125" customWidth="1" style="26" min="17" max="17"/>
    <col width="10.42578125" customWidth="1" style="26" min="18" max="18"/>
    <col width="2.42578125" customWidth="1" style="26" min="19" max="19"/>
    <col width="12.85546875" customWidth="1" style="26" min="20" max="20"/>
    <col width="2.7109375" customWidth="1" style="26" min="21" max="21"/>
    <col width="10.42578125" customWidth="1" style="26" min="22" max="23"/>
    <col width="9.140625" customWidth="1" style="658" min="24" max="33"/>
    <col width="9.140625" customWidth="1" style="26" min="34" max="16384"/>
  </cols>
  <sheetData>
    <row r="1" ht="18" customHeight="1" s="7635">
      <c r="A1" s="18" t="n"/>
      <c r="B1" s="18" t="n"/>
      <c r="C1" s="18" t="n"/>
      <c r="D1" s="2391">
        <f>IF('Table of Contents'!A28="D","DRAFT","")</f>
        <v/>
      </c>
      <c r="E1" s="18" t="n"/>
      <c r="F1" s="18" t="n"/>
      <c r="G1" s="18" t="n"/>
      <c r="H1" s="18" t="n"/>
      <c r="I1" s="18" t="n"/>
      <c r="J1" s="18" t="n"/>
      <c r="K1" s="18" t="n"/>
      <c r="L1" s="18" t="n"/>
      <c r="M1" s="18" t="n"/>
      <c r="N1" s="18" t="n"/>
      <c r="O1" s="18" t="n"/>
      <c r="P1" s="18" t="n"/>
      <c r="Q1" s="18" t="n"/>
      <c r="R1" s="18" t="n"/>
      <c r="S1" s="18" t="n"/>
      <c r="T1" s="18" t="n"/>
      <c r="U1" s="18" t="n"/>
      <c r="V1" s="18" t="n"/>
      <c r="W1" s="18" t="n"/>
      <c r="X1" s="657" t="inlineStr">
        <is>
          <t>Notes</t>
        </is>
      </c>
    </row>
    <row r="2">
      <c r="A2" s="18" t="n"/>
      <c r="B2" s="19" t="inlineStr">
        <is>
          <t>Important Instructions for use of this Worksheet:</t>
        </is>
      </c>
      <c r="C2" s="18" t="n"/>
      <c r="D2" s="18" t="n"/>
      <c r="E2" s="18" t="n"/>
      <c r="F2" s="18" t="n"/>
      <c r="G2" s="18" t="n"/>
      <c r="H2" s="18" t="n"/>
      <c r="I2" s="18" t="n"/>
      <c r="J2" s="18" t="n"/>
      <c r="K2" s="18" t="n"/>
      <c r="L2" s="18" t="n"/>
      <c r="M2" s="18" t="n"/>
      <c r="N2" s="18" t="n"/>
      <c r="O2" s="18" t="n"/>
      <c r="P2" s="18" t="n"/>
      <c r="Q2" s="18" t="n"/>
      <c r="R2" s="18" t="n"/>
      <c r="S2" s="18" t="n"/>
      <c r="T2" s="18" t="n"/>
      <c r="U2" s="18" t="n"/>
      <c r="V2" s="18" t="n"/>
      <c r="W2" s="18" t="n"/>
    </row>
    <row r="3">
      <c r="A3" s="18" t="n"/>
      <c r="B3" s="491" t="inlineStr">
        <is>
          <t xml:space="preserve">l </t>
        </is>
      </c>
      <c r="C3" s="33" t="inlineStr">
        <is>
          <t xml:space="preserve">If your Form 1099-R doesn't show the taxable amount, you must use the General Rule explained in Pub. 939 to figure the </t>
        </is>
      </c>
      <c r="D3" s="18" t="n"/>
      <c r="E3" s="18" t="n"/>
      <c r="F3" s="18" t="n"/>
      <c r="G3" s="18" t="n"/>
      <c r="H3" s="18" t="n"/>
      <c r="I3" s="18" t="n"/>
      <c r="J3" s="18" t="n"/>
      <c r="K3" s="18" t="n"/>
      <c r="L3" s="18" t="n"/>
      <c r="M3" s="18" t="n"/>
      <c r="N3" s="18" t="n"/>
      <c r="O3" s="18" t="n"/>
      <c r="P3" s="18" t="n"/>
      <c r="Q3" s="18" t="n"/>
      <c r="R3" s="18" t="n"/>
      <c r="S3" s="18" t="n"/>
      <c r="T3" s="18" t="n"/>
      <c r="U3" s="18" t="n"/>
      <c r="V3" s="18" t="n"/>
      <c r="W3" s="18" t="n"/>
    </row>
    <row r="4">
      <c r="A4" s="18" t="n"/>
      <c r="B4" s="18" t="n"/>
      <c r="C4" s="33" t="inlineStr">
        <is>
          <t>taxable part to enter on line 5b. But if your annuity starting date was after July 1, 1986, see Simplified Method to find out</t>
        </is>
      </c>
      <c r="D4" s="18" t="n"/>
      <c r="E4" s="18" t="n"/>
      <c r="F4" s="18" t="n"/>
      <c r="G4" s="18" t="n"/>
      <c r="H4" s="18" t="n"/>
      <c r="I4" s="18" t="n"/>
      <c r="J4" s="18" t="n"/>
      <c r="K4" s="18" t="n"/>
      <c r="L4" s="18" t="n"/>
      <c r="M4" s="18" t="n"/>
      <c r="N4" s="18" t="n"/>
      <c r="O4" s="18" t="n"/>
      <c r="P4" s="18" t="n"/>
      <c r="Q4" s="18" t="n"/>
      <c r="R4" s="18" t="n"/>
      <c r="S4" s="18" t="n"/>
      <c r="T4" s="18" t="n"/>
      <c r="U4" s="18" t="n"/>
      <c r="V4" s="18" t="n"/>
      <c r="W4" s="18" t="n"/>
    </row>
    <row r="5">
      <c r="A5" s="18" t="n"/>
      <c r="B5" s="18" t="n"/>
      <c r="C5" s="33" t="inlineStr">
        <is>
          <t>if you must use that method to figure the taxable part.  You can ask the IRS to figure the taxable for a $1,000 fee. For details, see Pub. 939.</t>
        </is>
      </c>
      <c r="D5" s="18" t="n"/>
      <c r="E5" s="18" t="n"/>
      <c r="F5" s="18" t="n"/>
      <c r="G5" s="18" t="n"/>
      <c r="H5" s="18" t="n"/>
      <c r="I5" s="18" t="n"/>
      <c r="J5" s="18" t="n"/>
      <c r="K5" s="18" t="n"/>
      <c r="L5" s="18" t="n"/>
      <c r="M5" s="18" t="n"/>
      <c r="N5" s="18" t="n"/>
      <c r="O5" s="18" t="n"/>
      <c r="P5" s="18" t="n"/>
      <c r="Q5" s="18" t="n"/>
      <c r="R5" s="18" t="n"/>
      <c r="S5" s="18" t="n"/>
      <c r="T5" s="18" t="n"/>
      <c r="U5" s="18" t="n"/>
      <c r="V5" s="18" t="n"/>
      <c r="W5" s="18" t="n"/>
    </row>
    <row r="6" ht="9.75" customHeight="1" s="7635">
      <c r="A6" s="18" t="n"/>
      <c r="B6" s="18" t="n"/>
      <c r="C6" s="18" t="n"/>
      <c r="D6" s="18" t="n"/>
      <c r="E6" s="18" t="n"/>
      <c r="F6" s="18" t="n"/>
      <c r="G6" s="18" t="n"/>
      <c r="H6" s="18" t="n"/>
      <c r="I6" s="18" t="n"/>
      <c r="J6" s="18" t="n"/>
      <c r="K6" s="18" t="n"/>
      <c r="L6" s="18" t="n"/>
      <c r="M6" s="18" t="n"/>
      <c r="N6" s="18" t="n"/>
      <c r="O6" s="18" t="n"/>
      <c r="P6" s="18" t="n"/>
      <c r="Q6" s="18" t="n"/>
      <c r="R6" s="18" t="n"/>
      <c r="S6" s="18" t="n"/>
      <c r="T6" s="18" t="n"/>
      <c r="U6" s="18" t="n"/>
      <c r="V6" s="18" t="n"/>
      <c r="W6" s="18" t="n"/>
    </row>
    <row r="7">
      <c r="A7" s="18" t="n"/>
      <c r="B7" s="491" t="inlineStr">
        <is>
          <t xml:space="preserve">l </t>
        </is>
      </c>
      <c r="C7" s="33" t="inlineStr">
        <is>
          <t>If your Form 1099-R shows a taxable amount, you can report that amount on Form 1040, line 5b. But you may be able to report</t>
        </is>
      </c>
      <c r="D7" s="18" t="n"/>
      <c r="E7" s="18" t="n"/>
      <c r="F7" s="18" t="n"/>
      <c r="G7" s="18" t="n"/>
      <c r="H7" s="18" t="n"/>
      <c r="I7" s="18" t="n"/>
      <c r="J7" s="18" t="n"/>
      <c r="K7" s="18" t="n"/>
      <c r="L7" s="18" t="n"/>
      <c r="M7" s="18" t="n"/>
      <c r="N7" s="18" t="n"/>
      <c r="O7" s="18" t="n"/>
      <c r="P7" s="18" t="n"/>
      <c r="Q7" s="18" t="n"/>
      <c r="R7" s="18" t="n"/>
      <c r="S7" s="18" t="n"/>
      <c r="T7" s="18" t="n"/>
      <c r="U7" s="18" t="n"/>
      <c r="V7" s="18" t="n"/>
      <c r="W7" s="18" t="n"/>
    </row>
    <row r="8">
      <c r="A8" s="18" t="n"/>
      <c r="B8" s="18" t="n"/>
      <c r="C8" s="33" t="inlineStr">
        <is>
          <t>a lower taxable amount by using the General Rule or the Simplified Method or if the exclusion for retired public safety officers applies.</t>
        </is>
      </c>
      <c r="D8" s="18" t="n"/>
      <c r="E8" s="18" t="n"/>
      <c r="F8" s="18" t="n"/>
      <c r="G8" s="18" t="n"/>
      <c r="H8" s="18" t="n"/>
      <c r="I8" s="18" t="n"/>
      <c r="J8" s="18" t="n"/>
      <c r="K8" s="18" t="n"/>
      <c r="L8" s="18" t="n"/>
      <c r="M8" s="18" t="n"/>
      <c r="N8" s="18" t="n"/>
      <c r="O8" s="18" t="n"/>
      <c r="P8" s="18" t="n"/>
      <c r="Q8" s="18" t="n"/>
      <c r="R8" s="18" t="n"/>
      <c r="S8" s="18" t="n"/>
      <c r="T8" s="18" t="n"/>
      <c r="U8" s="18" t="n"/>
      <c r="V8" s="18" t="n"/>
      <c r="W8" s="18" t="n"/>
    </row>
    <row r="9">
      <c r="A9" s="18" t="n"/>
      <c r="B9" s="18" t="n"/>
      <c r="C9" s="33" t="n"/>
      <c r="D9" s="18" t="n"/>
      <c r="E9" s="18" t="n"/>
      <c r="F9" s="18" t="n"/>
      <c r="G9" s="18" t="n"/>
      <c r="H9" s="18" t="n"/>
      <c r="I9" s="18" t="n"/>
      <c r="J9" s="18" t="n"/>
      <c r="K9" s="18" t="n"/>
      <c r="L9" s="18" t="n"/>
      <c r="M9" s="18" t="n"/>
      <c r="N9" s="18" t="n"/>
      <c r="O9" s="18" t="n"/>
      <c r="P9" s="18" t="n"/>
      <c r="Q9" s="18" t="n"/>
      <c r="R9" s="18" t="n"/>
      <c r="S9" s="18" t="n"/>
      <c r="T9" s="18" t="n"/>
      <c r="U9" s="18" t="n"/>
      <c r="V9" s="18" t="n"/>
      <c r="W9" s="18" t="n"/>
    </row>
    <row r="10">
      <c r="A10" s="18" t="n"/>
      <c r="B10" s="491" t="inlineStr">
        <is>
          <t xml:space="preserve">l </t>
        </is>
      </c>
      <c r="C10" s="33" t="inlineStr">
        <is>
          <t xml:space="preserve">This worksheet is used as a tool for calculating the taxable amount of one annuity.  </t>
        </is>
      </c>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row>
    <row r="11" ht="15" customHeight="1" s="7635">
      <c r="A11" s="18" t="n"/>
      <c r="B11" s="18" t="n"/>
      <c r="C11" s="812" t="inlineStr">
        <is>
          <t>The output of this worksheet must be manually entered into line 2a of the sheet labeled "1099-R",</t>
        </is>
      </c>
      <c r="D11" s="18" t="n"/>
      <c r="E11" s="18" t="n"/>
      <c r="F11" s="18" t="n"/>
      <c r="G11" s="18" t="n"/>
      <c r="H11" s="18" t="n"/>
      <c r="I11" s="18" t="n"/>
      <c r="J11" s="18" t="n"/>
      <c r="K11" s="18" t="n"/>
      <c r="L11" s="18" t="n"/>
      <c r="M11" s="18" t="n"/>
      <c r="N11" s="18" t="n"/>
      <c r="O11" s="18" t="n"/>
      <c r="P11" s="7969">
        <f>IF($V$16,"Annuity started on or before","")</f>
        <v/>
      </c>
      <c r="Q11" s="26" t="n"/>
      <c r="R11" s="26" t="n"/>
      <c r="S11" s="26" t="n"/>
      <c r="T11" s="26" t="n"/>
      <c r="U11" s="18" t="n"/>
      <c r="V11" s="18" t="n"/>
      <c r="W11" s="18" t="n"/>
    </row>
    <row r="12" ht="15" customHeight="1" s="7635">
      <c r="A12" s="18" t="n"/>
      <c r="B12" s="18" t="n"/>
      <c r="C12" s="812" t="inlineStr">
        <is>
          <t>Taxable Amount, for the annuity for which the Taxable Amount has not been determined OR</t>
        </is>
      </c>
      <c r="D12" s="18" t="n"/>
      <c r="E12" s="18" t="n"/>
      <c r="F12" s="18" t="n"/>
      <c r="G12" s="18" t="n"/>
      <c r="H12" s="18" t="n"/>
      <c r="I12" s="18" t="n"/>
      <c r="J12" s="18" t="n"/>
      <c r="K12" s="18" t="n"/>
      <c r="L12" s="18" t="n"/>
      <c r="M12" s="18" t="n"/>
      <c r="N12" s="18" t="n"/>
      <c r="O12" s="18" t="n"/>
      <c r="P12" s="7969">
        <f>IF($V$16,TEXT(V15,"mmmm d, yyyy")&amp;".  See Pub. 939.","")</f>
        <v/>
      </c>
      <c r="Q12" s="26" t="n"/>
      <c r="R12" s="26" t="n"/>
      <c r="S12" s="26" t="n"/>
      <c r="T12" s="26" t="n"/>
      <c r="U12" s="18" t="n"/>
      <c r="V12" s="18" t="n"/>
      <c r="W12" s="18" t="n"/>
    </row>
    <row r="13" ht="15" customHeight="1" s="7635">
      <c r="A13" s="18" t="n"/>
      <c r="B13" s="18" t="n"/>
      <c r="C13" s="812" t="inlineStr">
        <is>
          <t>for which a lower taxable amount is applicable for retired public safety officers.</t>
        </is>
      </c>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row>
    <row r="14" ht="15.75" customHeight="1" s="7635" thickBot="1">
      <c r="A14" s="18" t="n"/>
      <c r="B14" s="18" t="n"/>
      <c r="C14" s="812"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row>
    <row r="15" ht="13.5" customHeight="1" s="7635" thickBot="1">
      <c r="A15" s="18" t="n"/>
      <c r="B15" s="19" t="inlineStr">
        <is>
          <t>Annuity Starting Date</t>
        </is>
      </c>
      <c r="C15" s="18" t="n"/>
      <c r="D15" s="18" t="n"/>
      <c r="E15" s="18" t="n"/>
      <c r="F15" s="18" t="n"/>
      <c r="G15" s="18" t="n"/>
      <c r="H15" s="18" t="n"/>
      <c r="I15" s="18" t="n"/>
      <c r="J15" s="18" t="n"/>
      <c r="K15" s="18" t="n"/>
      <c r="L15" s="18" t="n"/>
      <c r="M15" s="18" t="n"/>
      <c r="N15" s="18" t="n"/>
      <c r="O15" s="18" t="n"/>
      <c r="P15" s="42" t="n"/>
      <c r="Q15" s="43" t="n"/>
      <c r="R15" s="43" t="n"/>
      <c r="S15" s="43" t="n"/>
      <c r="T15" s="135" t="n"/>
      <c r="U15" s="18" t="n"/>
      <c r="V15" s="11998" t="n">
        <v>31594</v>
      </c>
      <c r="W15" s="18" t="n"/>
    </row>
    <row r="16" ht="16.5" customHeight="1" s="7635" thickBot="1">
      <c r="A16" s="18" t="n"/>
      <c r="B16" s="18" t="inlineStr">
        <is>
          <t>Your annuity starting date is the later of the first day of:</t>
        </is>
      </c>
      <c r="C16" s="18" t="n"/>
      <c r="D16" s="18" t="n"/>
      <c r="E16" s="18" t="n"/>
      <c r="F16" s="18" t="n"/>
      <c r="G16" s="18" t="n"/>
      <c r="H16" s="18" t="n"/>
      <c r="I16" s="18" t="n"/>
      <c r="J16" s="18" t="n"/>
      <c r="K16" s="18" t="n"/>
      <c r="L16" s="18" t="n"/>
      <c r="M16" s="695">
        <f>IF(R16="","Enter annuity starting date.","")</f>
        <v/>
      </c>
      <c r="N16" s="18" t="n"/>
      <c r="O16" s="484">
        <f>IF(R16="","®","")</f>
        <v/>
      </c>
      <c r="P16" s="44" t="n"/>
      <c r="Q16" s="37" t="n"/>
      <c r="R16" s="11999" t="n"/>
      <c r="S16" s="11798" t="n"/>
      <c r="T16" s="136" t="n"/>
      <c r="U16" s="18" t="n"/>
      <c r="V16" s="273">
        <f>IF(AND(R16&lt;&gt;"",R16&lt;=V15),TRUE,FALSE)</f>
        <v/>
      </c>
      <c r="W16" s="18" t="n"/>
    </row>
    <row r="17">
      <c r="A17" s="18" t="n"/>
      <c r="B17" s="18" t="n"/>
      <c r="C17" s="18">
        <f>"-  the first period for which you received a payment"</f>
        <v/>
      </c>
      <c r="D17" s="18" t="n"/>
      <c r="E17" s="18" t="n"/>
      <c r="F17" s="18" t="n"/>
      <c r="G17" s="18" t="n"/>
      <c r="H17" s="18" t="n"/>
      <c r="I17" s="18" t="n"/>
      <c r="J17" s="18" t="n"/>
      <c r="K17" s="18" t="n"/>
      <c r="L17" s="18" t="n"/>
      <c r="M17" s="18" t="n"/>
      <c r="N17" s="18" t="n"/>
      <c r="O17" s="18" t="n"/>
      <c r="P17" s="44" t="n"/>
      <c r="Q17" s="37" t="n"/>
      <c r="R17" s="169" t="inlineStr">
        <is>
          <t>Annuity starting date</t>
        </is>
      </c>
      <c r="S17" s="45" t="n"/>
      <c r="T17" s="136" t="n"/>
      <c r="U17" s="18" t="n"/>
      <c r="V17" s="18" t="n"/>
      <c r="W17" s="18" t="n"/>
    </row>
    <row r="18">
      <c r="A18" s="18" t="n"/>
      <c r="B18" s="18" t="n"/>
      <c r="C18" s="25" t="inlineStr">
        <is>
          <t>or</t>
        </is>
      </c>
      <c r="D18" s="18" t="n"/>
      <c r="E18" s="18" t="n"/>
      <c r="F18" s="18" t="n"/>
      <c r="G18" s="18" t="n"/>
      <c r="H18" s="18" t="n"/>
      <c r="I18" s="18" t="n"/>
      <c r="J18" s="18" t="n"/>
      <c r="K18" s="18" t="n"/>
      <c r="L18" s="18" t="n"/>
      <c r="M18" s="18" t="n"/>
      <c r="N18" s="18" t="n"/>
      <c r="O18" s="18" t="n"/>
      <c r="P18" s="44" t="n"/>
      <c r="Q18" s="37" t="n"/>
      <c r="R18" s="45" t="n"/>
      <c r="S18" s="45" t="n"/>
      <c r="T18" s="136" t="n"/>
      <c r="U18" s="18" t="n"/>
      <c r="V18" s="482" t="n">
        <v>35795</v>
      </c>
      <c r="W18" s="18" t="n"/>
    </row>
    <row r="19" ht="13.5" customHeight="1" s="7635" thickBot="1">
      <c r="A19" s="18" t="n"/>
      <c r="B19" s="18" t="n"/>
      <c r="C19" s="18">
        <f>"-  the date the plan’s obligations became fixed."</f>
        <v/>
      </c>
      <c r="D19" s="18" t="n"/>
      <c r="E19" s="18" t="n"/>
      <c r="F19" s="18" t="n"/>
      <c r="G19" s="18" t="n"/>
      <c r="H19" s="18" t="n"/>
      <c r="I19" s="18" t="n"/>
      <c r="J19" s="18" t="n"/>
      <c r="K19" s="18" t="n"/>
      <c r="L19" s="18" t="n"/>
      <c r="M19" s="18" t="n"/>
      <c r="N19" s="18" t="n"/>
      <c r="O19" s="18" t="n"/>
      <c r="P19" s="46" t="n"/>
      <c r="Q19" s="38" t="n"/>
      <c r="R19" s="47" t="n"/>
      <c r="S19" s="47" t="n"/>
      <c r="T19" s="137" t="n"/>
      <c r="U19" s="18" t="n"/>
      <c r="V19" s="273">
        <f>IF(R16&gt;V18,TRUE,FALSE)</f>
        <v/>
      </c>
      <c r="W19" s="18" t="n"/>
    </row>
    <row r="20" ht="13.5" customHeight="1" s="7635" thickBot="1">
      <c r="A20" s="18" t="n"/>
      <c r="B20" s="18" t="n"/>
      <c r="C20" s="18" t="n"/>
      <c r="D20" s="18" t="n"/>
      <c r="E20" s="18" t="n"/>
      <c r="F20" s="18" t="n"/>
      <c r="G20" s="18" t="n"/>
      <c r="H20" s="18" t="n"/>
      <c r="I20" s="18" t="n"/>
      <c r="J20" s="18" t="n"/>
      <c r="K20" s="18" t="n"/>
      <c r="L20" s="18" t="n"/>
      <c r="M20" s="18" t="n"/>
      <c r="N20" s="18" t="n"/>
      <c r="O20" s="18" t="n"/>
      <c r="P20" s="7973" t="n"/>
      <c r="Q20" s="11834" t="n"/>
      <c r="R20" s="11834" t="n"/>
      <c r="S20" s="11834" t="n"/>
      <c r="T20" s="11834" t="n"/>
      <c r="U20" s="18" t="n"/>
      <c r="V20" s="18" t="n"/>
      <c r="W20" s="18" t="n"/>
    </row>
    <row r="21" ht="13.5" customHeight="1" s="7635" thickBot="1">
      <c r="A21" s="18" t="n"/>
      <c r="B21" s="19" t="inlineStr">
        <is>
          <t>Simplified Method</t>
        </is>
      </c>
      <c r="C21" s="18" t="n"/>
      <c r="D21" s="18" t="n"/>
      <c r="E21" s="18" t="n"/>
      <c r="F21" s="18" t="n"/>
      <c r="G21" s="18" t="n"/>
      <c r="H21" s="18" t="n"/>
      <c r="I21" s="18" t="n"/>
      <c r="J21" s="18" t="n"/>
      <c r="K21" s="18" t="n"/>
      <c r="L21" s="18" t="n"/>
      <c r="M21" s="18" t="n"/>
      <c r="N21" s="18" t="n"/>
      <c r="O21" s="18" t="n"/>
      <c r="P21" s="40" t="n"/>
      <c r="Q21" s="23" t="n"/>
      <c r="R21" s="23" t="n"/>
      <c r="S21" s="23" t="n"/>
      <c r="T21" s="48" t="n"/>
      <c r="U21" s="27" t="n"/>
      <c r="V21" s="493" t="n">
        <v>31778</v>
      </c>
      <c r="W21" s="18" t="n"/>
    </row>
    <row r="22" ht="16.5" customHeight="1" s="7635" thickBot="1">
      <c r="A22" s="18" t="n"/>
      <c r="B22" s="18" t="inlineStr">
        <is>
          <t>You must use the Simplified Method if either of the following applies.</t>
        </is>
      </c>
      <c r="C22" s="18" t="n"/>
      <c r="D22" s="18" t="n"/>
      <c r="E22" s="18" t="n"/>
      <c r="F22" s="18" t="n"/>
      <c r="G22" s="18" t="n"/>
      <c r="H22" s="18" t="n"/>
      <c r="I22" s="18" t="n"/>
      <c r="J22" s="18" t="n"/>
      <c r="K22" s="18" t="n"/>
      <c r="L22" s="18" t="n"/>
      <c r="M22" s="305">
        <f>IF(R16&lt;J85,"",IF(AND(Q22="",S22=""),"Check one.",IF(AND(Q22&lt;&gt;"",S22&lt;&gt;""),"Check ONLY one.","")))</f>
        <v/>
      </c>
      <c r="N22" s="18" t="n"/>
      <c r="O22" s="484">
        <f>IF(R16&lt;J85,"",IF(OR(AND(Q22="",S22=""),AND(Q22&lt;&gt;"",S22&lt;&gt;"")),"®",""))</f>
        <v/>
      </c>
      <c r="P22" s="27" t="n"/>
      <c r="Q22" s="125" t="n"/>
      <c r="R22" s="86" t="inlineStr">
        <is>
          <t xml:space="preserve"> Yes</t>
        </is>
      </c>
      <c r="S22" s="125" t="n"/>
      <c r="T22" s="483" t="inlineStr">
        <is>
          <t xml:space="preserve"> No</t>
        </is>
      </c>
      <c r="U22" s="27" t="n"/>
      <c r="V22" s="494">
        <f>IF(AND(R16&lt;&gt;"",R16&lt;V21),TRUE,FALSE)</f>
        <v/>
      </c>
      <c r="W22" s="18" t="n"/>
    </row>
    <row r="23">
      <c r="A23" s="18" t="n"/>
      <c r="B23" s="18" t="n"/>
      <c r="C23" s="18">
        <f>"1. Your annuity starting date (defined above) was after "&amp;TEXT(V15,"mmmm d, yyyy")&amp;", and you used this method last year to figure the taxable part."</f>
        <v/>
      </c>
      <c r="D23" s="18" t="n"/>
      <c r="E23" s="18" t="n"/>
      <c r="F23" s="18" t="n"/>
      <c r="G23" s="18" t="n"/>
      <c r="H23" s="18" t="n"/>
      <c r="I23" s="18" t="n"/>
      <c r="J23" s="18" t="n"/>
      <c r="K23" s="18" t="n"/>
      <c r="L23" s="18" t="n"/>
      <c r="M23" s="18" t="n"/>
      <c r="N23" s="18" t="n"/>
      <c r="O23" s="18" t="n"/>
      <c r="P23" s="12000" t="inlineStr">
        <is>
          <t>Were annuity payments for your life</t>
        </is>
      </c>
      <c r="Q23" s="26" t="n"/>
      <c r="R23" s="26" t="n"/>
      <c r="S23" s="26" t="n"/>
      <c r="T23" s="11837" t="n"/>
      <c r="U23" s="21" t="inlineStr">
        <is>
          <t xml:space="preserve"> </t>
        </is>
      </c>
      <c r="V23" s="18" t="n"/>
      <c r="W23" s="18" t="n"/>
    </row>
    <row r="24">
      <c r="A24" s="18" t="n"/>
      <c r="B24" s="18" t="n"/>
      <c r="C24" s="18">
        <f>"2. Your annuity starting date was after "&amp;TEXT(J74,"mmmm d, yyyy")&amp;", "</f>
        <v/>
      </c>
      <c r="D24" s="18" t="n"/>
      <c r="E24" s="18" t="n"/>
      <c r="F24" s="18" t="n"/>
      <c r="G24" s="175" t="inlineStr">
        <is>
          <t>and both of the following apply.</t>
        </is>
      </c>
      <c r="H24" s="18" t="n"/>
      <c r="I24" s="18" t="n"/>
      <c r="J24" s="18" t="n"/>
      <c r="K24" s="18" t="n"/>
      <c r="L24" s="18" t="n"/>
      <c r="M24" s="18" t="n"/>
      <c r="N24" s="18" t="n"/>
      <c r="O24" s="18" t="n"/>
      <c r="P24" s="12000" t="inlineStr">
        <is>
          <t>and that of your beneficiary?</t>
        </is>
      </c>
      <c r="Q24" s="26" t="n"/>
      <c r="R24" s="26" t="n"/>
      <c r="S24" s="26" t="n"/>
      <c r="T24" s="11837" t="n"/>
      <c r="U24" s="1565" t="n"/>
      <c r="V24" s="18" t="n"/>
      <c r="W24" s="18" t="n"/>
    </row>
    <row r="25" ht="13.5" customHeight="1" s="7635" thickBot="1">
      <c r="A25" s="18" t="n"/>
      <c r="B25" s="18" t="n"/>
      <c r="C25" s="18" t="n"/>
      <c r="D25" s="18" t="inlineStr">
        <is>
          <t>a. The payments are from a qualified employee plan, a qualified employee annuity, or a tax-sheltered annuity.</t>
        </is>
      </c>
      <c r="E25" s="18" t="n"/>
      <c r="F25" s="18" t="n"/>
      <c r="G25" s="18" t="n"/>
      <c r="H25" s="18" t="n"/>
      <c r="I25" s="18" t="n"/>
      <c r="J25" s="18" t="n"/>
      <c r="K25" s="18" t="n"/>
      <c r="L25" s="18" t="n"/>
      <c r="M25" s="18" t="n"/>
      <c r="N25" s="18" t="n"/>
      <c r="O25" s="18" t="n"/>
      <c r="P25" s="41" t="n"/>
      <c r="Q25" s="24" t="n"/>
      <c r="R25" s="24" t="n"/>
      <c r="S25" s="24" t="n"/>
      <c r="T25" s="50" t="n"/>
      <c r="U25" s="27" t="n"/>
      <c r="V25" s="18" t="n"/>
      <c r="W25" s="18" t="n"/>
    </row>
    <row r="26" ht="13.5" customHeight="1" s="7635" thickBot="1">
      <c r="A26" s="18" t="n"/>
      <c r="B26" s="18" t="n"/>
      <c r="C26" s="18" t="n"/>
      <c r="D26" s="18" t="inlineStr">
        <is>
          <t>b. On your annuity starting date, either:</t>
        </is>
      </c>
      <c r="E26" s="18" t="n"/>
      <c r="F26" s="18" t="n"/>
      <c r="G26" s="18" t="n"/>
      <c r="H26" s="18" t="n"/>
      <c r="I26" s="18" t="n"/>
      <c r="J26" s="18" t="n"/>
      <c r="K26" s="18" t="n"/>
      <c r="L26" s="18" t="n"/>
      <c r="M26" s="18" t="n"/>
      <c r="N26" s="18" t="n"/>
      <c r="O26" s="18" t="n"/>
      <c r="P26" s="18" t="n"/>
      <c r="Q26" s="18" t="n"/>
      <c r="R26" s="18" t="n"/>
      <c r="S26" s="18" t="n"/>
      <c r="T26" s="18" t="n"/>
      <c r="U26" s="18" t="n"/>
      <c r="V26" s="18" t="n"/>
      <c r="W26" s="18" t="n"/>
    </row>
    <row r="27" ht="13.5" customHeight="1" s="7635" thickBot="1">
      <c r="A27" s="18" t="n"/>
      <c r="B27" s="18" t="n"/>
      <c r="C27" s="18" t="n"/>
      <c r="D27" s="18">
        <f>"    -  you were under age 75"</f>
        <v/>
      </c>
      <c r="E27" s="18" t="n"/>
      <c r="F27" s="18" t="n"/>
      <c r="G27" s="18" t="n"/>
      <c r="H27" s="18" t="n"/>
      <c r="I27" s="18" t="n"/>
      <c r="J27" s="18" t="n"/>
      <c r="K27" s="18" t="n"/>
      <c r="L27" s="18" t="n"/>
      <c r="M27" s="18" t="n"/>
      <c r="N27" s="18" t="n"/>
      <c r="O27" s="18" t="n"/>
      <c r="P27" s="42" t="n"/>
      <c r="Q27" s="43" t="n"/>
      <c r="R27" s="170" t="n"/>
      <c r="S27" s="170" t="n"/>
      <c r="T27" s="167" t="n"/>
      <c r="U27" s="18" t="n"/>
      <c r="V27" s="18" t="n"/>
      <c r="W27" s="18" t="n"/>
    </row>
    <row r="28" ht="13.5" customHeight="1" s="7635" thickBot="1">
      <c r="A28" s="18" t="n"/>
      <c r="B28" s="18" t="n"/>
      <c r="C28" s="18" t="n"/>
      <c r="D28" s="18" t="inlineStr">
        <is>
          <t xml:space="preserve">       or</t>
        </is>
      </c>
      <c r="E28" s="18" t="n"/>
      <c r="F28" s="18" t="n"/>
      <c r="G28" s="18" t="n"/>
      <c r="H28" s="18" t="n"/>
      <c r="I28" s="18" t="n"/>
      <c r="J28" s="18" t="n"/>
      <c r="K28" s="18" t="n"/>
      <c r="L28" s="18" t="n"/>
      <c r="M28" s="18" t="n"/>
      <c r="N28" s="18" t="n"/>
      <c r="O28" s="18" t="n"/>
      <c r="P28" s="44" t="n"/>
      <c r="Q28" s="37" t="n"/>
      <c r="R28" s="12001" t="n"/>
      <c r="S28" s="11798" t="n"/>
      <c r="T28" s="136" t="n"/>
      <c r="U28" s="18" t="n"/>
      <c r="V28" s="18" t="n"/>
      <c r="W28" s="18" t="n"/>
    </row>
    <row r="29">
      <c r="A29" s="18" t="n"/>
      <c r="B29" s="18" t="n"/>
      <c r="C29" s="18" t="n"/>
      <c r="D29" s="18">
        <f>"    -  the number of years of guaranteed payments was fewer than 5. See Pub. 575 for the definition of guaranteed payments."</f>
        <v/>
      </c>
      <c r="E29" s="18" t="n"/>
      <c r="F29" s="18" t="n"/>
      <c r="G29" s="18" t="n"/>
      <c r="H29" s="18" t="n"/>
      <c r="I29" s="18" t="n"/>
      <c r="J29" s="18" t="n"/>
      <c r="K29" s="18" t="n"/>
      <c r="L29" s="18" t="n"/>
      <c r="M29" s="18" t="n"/>
      <c r="N29" s="18" t="n"/>
      <c r="O29" s="18" t="n"/>
      <c r="P29" s="169" t="n"/>
      <c r="Q29" s="485" t="n"/>
      <c r="R29" s="487">
        <f>IF(AND($V$19,$Q$22&lt;&gt;""),"COMBINED ages","Your age")</f>
        <v/>
      </c>
      <c r="S29" s="485" t="n"/>
      <c r="T29" s="486" t="n"/>
      <c r="U29" s="18" t="n"/>
      <c r="V29" s="18" t="n"/>
      <c r="W29" s="18" t="n"/>
    </row>
    <row r="30" ht="8.25" customHeight="1" s="7635">
      <c r="A30" s="18" t="n"/>
      <c r="B30" s="18" t="n"/>
      <c r="C30" s="18" t="n"/>
      <c r="D30" s="18" t="n"/>
      <c r="E30" s="18" t="n"/>
      <c r="F30" s="18" t="n"/>
      <c r="G30" s="18" t="n"/>
      <c r="H30" s="18" t="n"/>
      <c r="I30" s="18" t="n"/>
      <c r="J30" s="18" t="n"/>
      <c r="K30" s="18" t="n"/>
      <c r="L30" s="18" t="n"/>
      <c r="M30" s="18" t="n"/>
      <c r="N30" s="18" t="n"/>
      <c r="O30" s="18" t="n"/>
      <c r="P30" s="169" t="n"/>
      <c r="Q30" s="485" t="n"/>
      <c r="R30" s="153" t="inlineStr">
        <is>
          <t>at annuity starting date</t>
        </is>
      </c>
      <c r="S30" s="485" t="n"/>
      <c r="T30" s="486" t="n"/>
      <c r="U30" s="18" t="n"/>
      <c r="V30" s="18" t="n"/>
      <c r="W30" s="18" t="n"/>
    </row>
    <row r="31" ht="13.5" customHeight="1" s="7635" thickBot="1">
      <c r="A31" s="37" t="n"/>
      <c r="B31" s="37" t="n"/>
      <c r="C31" s="37" t="n"/>
      <c r="D31" s="37" t="n"/>
      <c r="E31" s="37" t="n"/>
      <c r="F31" s="37" t="n"/>
      <c r="G31" s="37" t="n"/>
      <c r="H31" s="37" t="n"/>
      <c r="I31" s="37" t="n"/>
      <c r="J31" s="37" t="n"/>
      <c r="K31" s="37" t="n"/>
      <c r="L31" s="37" t="n"/>
      <c r="M31" s="37" t="n"/>
      <c r="N31" s="37" t="n"/>
      <c r="O31" s="18" t="n"/>
      <c r="P31" s="46" t="n"/>
      <c r="Q31" s="38" t="n"/>
      <c r="R31" s="47" t="n"/>
      <c r="S31" s="47" t="n"/>
      <c r="T31" s="137" t="n"/>
      <c r="U31" s="18" t="n"/>
      <c r="V31" s="18" t="n"/>
      <c r="W31" s="18" t="n"/>
    </row>
    <row r="32" ht="36" customHeight="1" s="7635">
      <c r="A32" s="37" t="n"/>
      <c r="B32" s="796" t="inlineStr">
        <is>
          <t>Simplified Method Worksheet—Lines 5a and 5b</t>
        </is>
      </c>
      <c r="C32" s="828" t="n"/>
      <c r="D32" s="39" t="n"/>
      <c r="E32" s="39" t="n"/>
      <c r="F32" s="39" t="n"/>
      <c r="G32" s="2391" t="n"/>
      <c r="H32" s="39" t="n"/>
      <c r="I32" s="828" t="n"/>
      <c r="J32" s="1566" t="n"/>
      <c r="K32" s="92" t="inlineStr">
        <is>
          <t>Keep for Your Records</t>
        </is>
      </c>
      <c r="L32" s="92" t="n"/>
      <c r="M32" s="92" t="n"/>
      <c r="N32" s="157" t="n"/>
      <c r="O32" s="92" t="n"/>
      <c r="P32" s="7978">
        <f>IF(AND(V19,Q22&lt;&gt;"",R16&lt;&gt;"",R28="",S22=""),"If your annuity starting date was after 1997 and the payments are for your life and that of your beneficiary, use your combined ages on the annuity starting date.","")</f>
        <v/>
      </c>
      <c r="Q32" s="26" t="n"/>
      <c r="R32" s="26" t="n"/>
      <c r="S32" s="26" t="n"/>
      <c r="T32" s="26" t="n"/>
      <c r="U32" s="18" t="n"/>
      <c r="V32" s="18" t="n"/>
      <c r="W32" s="18" t="n"/>
    </row>
    <row r="33" ht="5.25" customHeight="1" s="7635" thickBot="1">
      <c r="A33" s="37" t="n"/>
      <c r="B33" s="24" t="n"/>
      <c r="C33" s="24" t="n"/>
      <c r="D33" s="24" t="n"/>
      <c r="E33" s="24" t="n"/>
      <c r="F33" s="24" t="n"/>
      <c r="G33" s="24" t="n"/>
      <c r="H33" s="24" t="n"/>
      <c r="I33" s="24" t="n"/>
      <c r="J33" s="24" t="n"/>
      <c r="K33" s="24" t="n"/>
      <c r="L33" s="24" t="n"/>
      <c r="M33" s="18" t="n"/>
      <c r="N33" s="37" t="n"/>
      <c r="O33" s="18" t="n"/>
      <c r="P33" s="26" t="n"/>
      <c r="Q33" s="26" t="n"/>
      <c r="R33" s="26" t="n"/>
      <c r="S33" s="26" t="n"/>
      <c r="T33" s="26" t="n"/>
      <c r="U33" s="18" t="n"/>
      <c r="V33" s="18" t="n"/>
      <c r="W33" s="18" t="n"/>
    </row>
    <row r="34" ht="13.5" customHeight="1" s="7635">
      <c r="A34" s="37" t="n"/>
      <c r="B34" s="40" t="n"/>
      <c r="C34" s="18" t="n"/>
      <c r="D34" s="18" t="n"/>
      <c r="E34" s="18" t="n"/>
      <c r="F34" s="18" t="n"/>
      <c r="G34" s="18" t="n"/>
      <c r="H34" s="18" t="n"/>
      <c r="I34" s="18" t="n"/>
      <c r="J34" s="18" t="n"/>
      <c r="K34" s="18" t="n"/>
      <c r="L34" s="33" t="n"/>
      <c r="M34" s="1567" t="n"/>
      <c r="N34" s="218" t="n"/>
      <c r="O34" s="33" t="n"/>
      <c r="P34" s="26" t="n"/>
      <c r="Q34" s="26" t="n"/>
      <c r="R34" s="26" t="n"/>
      <c r="S34" s="26" t="n"/>
      <c r="T34" s="26" t="n"/>
      <c r="U34" s="18" t="n"/>
      <c r="V34" s="18" t="n"/>
      <c r="W34" s="18" t="n"/>
    </row>
    <row r="35" ht="13.5" customHeight="1" s="7635">
      <c r="A35" s="37" t="n"/>
      <c r="B35" s="27" t="n"/>
      <c r="C35" s="113" t="n"/>
      <c r="D35" s="1568" t="inlineStr">
        <is>
          <t>Before you begin:</t>
        </is>
      </c>
      <c r="E35" s="1568" t="n"/>
      <c r="F35" s="1568" t="n"/>
      <c r="G35" s="1568" t="n"/>
      <c r="H35" s="1568" t="n"/>
      <c r="I35" s="18" t="n"/>
      <c r="J35" s="18" t="n"/>
      <c r="K35" s="18" t="n"/>
      <c r="L35" s="33" t="n"/>
      <c r="M35" s="1569" t="n"/>
      <c r="N35" s="218" t="n"/>
      <c r="O35" s="33" t="n"/>
      <c r="P35" s="26" t="n"/>
      <c r="Q35" s="26" t="n"/>
      <c r="R35" s="26" t="n"/>
      <c r="S35" s="26" t="n"/>
      <c r="T35" s="26" t="n"/>
      <c r="U35" s="18" t="n"/>
      <c r="V35" s="18" t="n"/>
      <c r="W35" s="18" t="n"/>
    </row>
    <row r="36" ht="13.5" customHeight="1" s="7635">
      <c r="A36" s="37" t="n"/>
      <c r="B36" s="27" t="n"/>
      <c r="C36" s="161" t="inlineStr">
        <is>
          <t>Ö</t>
        </is>
      </c>
      <c r="D36" s="33" t="inlineStr">
        <is>
          <t>If you are the beneficiary of a deceased employee or former employee who died before August 21, 1996, include</t>
        </is>
      </c>
      <c r="E36" s="18" t="n"/>
      <c r="F36" s="18" t="n"/>
      <c r="G36" s="18" t="n"/>
      <c r="H36" s="18" t="n"/>
      <c r="I36" s="18" t="n"/>
      <c r="J36" s="18" t="n"/>
      <c r="K36" s="18" t="n"/>
      <c r="L36" s="33" t="n"/>
      <c r="M36" s="1569" t="n"/>
      <c r="N36" s="218" t="n"/>
      <c r="O36" s="33" t="n"/>
      <c r="P36" s="26" t="n"/>
      <c r="Q36" s="26" t="n"/>
      <c r="R36" s="26" t="n"/>
      <c r="S36" s="26" t="n"/>
      <c r="T36" s="26" t="n"/>
      <c r="U36" s="18" t="n"/>
      <c r="V36" s="18" t="n"/>
      <c r="W36" s="18" t="n"/>
    </row>
    <row r="37" ht="12" customHeight="1" s="7635">
      <c r="A37" s="37" t="n"/>
      <c r="B37" s="27" t="n"/>
      <c r="C37" s="18" t="n"/>
      <c r="D37" s="33" t="inlineStr">
        <is>
          <t>any death benefit exclusion that you are entitled to (up to $5,000) in the amount entered on line 2 below.</t>
        </is>
      </c>
      <c r="E37" s="33" t="n"/>
      <c r="F37" s="33" t="n"/>
      <c r="G37" s="33" t="n"/>
      <c r="H37" s="33" t="n"/>
      <c r="I37" s="18" t="n"/>
      <c r="J37" s="18" t="n"/>
      <c r="K37" s="18" t="n"/>
      <c r="L37" s="33" t="n"/>
      <c r="M37" s="1569" t="n"/>
      <c r="N37" s="218" t="n"/>
      <c r="O37" s="33" t="n"/>
      <c r="P37" s="18" t="n"/>
      <c r="Q37" s="18" t="n"/>
      <c r="R37" s="18" t="n"/>
      <c r="S37" s="18" t="n"/>
      <c r="T37" s="18" t="n"/>
      <c r="U37" s="18" t="n"/>
      <c r="V37" s="18" t="n"/>
      <c r="W37" s="18" t="n"/>
    </row>
    <row r="38" ht="16.5" customHeight="1" s="7635">
      <c r="A38" s="218" t="n"/>
      <c r="B38" s="976" t="inlineStr">
        <is>
          <t>More than one pension or annuity:  If you had more than one partially taxable pension or annuity, figure the taxable part of each separately.</t>
        </is>
      </c>
      <c r="C38" s="425" t="n"/>
      <c r="D38" s="425" t="n"/>
      <c r="E38" s="425" t="n"/>
      <c r="F38" s="425" t="n"/>
      <c r="G38" s="425" t="n"/>
      <c r="H38" s="425" t="n"/>
      <c r="I38" s="33" t="n"/>
      <c r="J38" s="33" t="n"/>
      <c r="K38" s="33" t="n"/>
      <c r="L38" s="33" t="n"/>
      <c r="M38" s="1569" t="n"/>
      <c r="N38" s="218" t="n"/>
      <c r="O38" s="33" t="n"/>
      <c r="P38" s="18" t="n"/>
      <c r="Q38" s="18" t="n"/>
      <c r="R38" s="19" t="n"/>
      <c r="S38" s="18" t="n"/>
      <c r="T38" s="18" t="n"/>
      <c r="U38" s="18" t="n"/>
      <c r="V38" s="18" t="n"/>
      <c r="W38" s="18" t="n"/>
    </row>
    <row r="39">
      <c r="A39" s="218" t="n"/>
      <c r="B39" s="1180" t="inlineStr">
        <is>
          <t>Enter the total of the taxable parts on Form 1040 or 1040-SR, line 5b.</t>
        </is>
      </c>
      <c r="C39" s="425" t="n"/>
      <c r="D39" s="425" t="n"/>
      <c r="E39" s="425" t="n"/>
      <c r="F39" s="28" t="n"/>
      <c r="G39" s="33" t="n"/>
      <c r="H39" s="425" t="n"/>
      <c r="I39" s="33" t="n"/>
      <c r="J39" s="33" t="n"/>
      <c r="K39" s="33" t="n"/>
      <c r="L39" s="59" t="n"/>
      <c r="M39" s="1558" t="n"/>
      <c r="N39" s="1559" t="n"/>
      <c r="O39" s="33" t="n"/>
      <c r="P39" s="18" t="n"/>
      <c r="Q39" s="18" t="n"/>
      <c r="R39" s="19" t="n"/>
      <c r="S39" s="18" t="n"/>
      <c r="T39" s="18" t="n"/>
      <c r="U39" s="18" t="n"/>
      <c r="V39" s="18" t="n"/>
      <c r="W39" s="18" t="n"/>
    </row>
    <row r="40">
      <c r="A40" s="218" t="n"/>
      <c r="B40" s="1179">
        <f>"Enter  the total  pension  or  annuity  payments  received  in "&amp;TaxYear&amp;" on Form 1040 or 1040-SR, line 5a."</f>
        <v/>
      </c>
      <c r="C40" s="1570" t="n"/>
      <c r="D40" s="1570" t="n"/>
      <c r="E40" s="1570" t="n"/>
      <c r="F40" s="292" t="n"/>
      <c r="G40" s="292" t="n"/>
      <c r="H40" s="292" t="n"/>
      <c r="I40" s="292" t="n"/>
      <c r="J40" s="292" t="n"/>
      <c r="K40" s="292" t="n"/>
      <c r="L40" s="1571" t="n"/>
      <c r="M40" s="1572" t="n"/>
      <c r="N40" s="1559" t="n"/>
      <c r="O40" s="33" t="n"/>
      <c r="P40" s="18" t="n"/>
      <c r="Q40" s="18" t="n"/>
      <c r="R40" s="19" t="n"/>
      <c r="S40" s="18" t="n"/>
      <c r="T40" s="18" t="n"/>
      <c r="U40" s="18" t="n"/>
      <c r="V40" s="18" t="n"/>
      <c r="W40" s="18" t="n"/>
    </row>
    <row r="41" ht="16.5" customHeight="1" s="7635">
      <c r="A41" s="37" t="n"/>
      <c r="B41" s="1576">
        <f>"1."</f>
        <v/>
      </c>
      <c r="C41" s="28" t="inlineStr">
        <is>
          <t xml:space="preserve">Enter the total pension or annuity payments from Form 1099-R, box 1. </t>
        </is>
      </c>
      <c r="D41" s="29" t="n"/>
      <c r="E41" s="29" t="n"/>
      <c r="F41" s="29" t="n"/>
      <c r="G41" s="29" t="n"/>
      <c r="H41" s="29" t="n"/>
      <c r="I41" s="828" t="n"/>
      <c r="J41" s="29" t="n"/>
      <c r="K41" s="1554" t="n"/>
      <c r="L41" s="29" t="n"/>
      <c r="M41" s="30" t="n"/>
      <c r="N41" s="158" t="n"/>
      <c r="O41" s="97" t="n"/>
      <c r="P41" s="18" t="n"/>
      <c r="Q41" s="18" t="n"/>
      <c r="R41" s="19" t="n"/>
      <c r="S41" s="18" t="n"/>
      <c r="T41" s="18" t="n"/>
      <c r="U41" s="18" t="n"/>
      <c r="V41" s="18" t="n"/>
      <c r="W41" s="18" t="n"/>
    </row>
    <row r="42">
      <c r="A42" s="37" t="n"/>
      <c r="B42" s="1553" t="n"/>
      <c r="C42" s="28" t="inlineStr">
        <is>
          <t>Also, include this amount on Form 1040 or 1040-SR, line 5a</t>
        </is>
      </c>
      <c r="D42" s="29" t="n"/>
      <c r="E42" s="29" t="n"/>
      <c r="F42" s="29" t="n"/>
      <c r="G42" s="29" t="n"/>
      <c r="H42" s="29" t="n"/>
      <c r="I42" s="828" t="n"/>
      <c r="J42" s="32" t="inlineStr">
        <is>
          <t>.   .   .   .   .   .   .   .   .   .   .   .   .   .   .   .   .</t>
        </is>
      </c>
      <c r="K42" s="1554" t="n">
        <v>1</v>
      </c>
      <c r="L42" s="332" t="n"/>
      <c r="M42" s="121" t="n"/>
      <c r="N42" s="159" t="n"/>
      <c r="O42" s="29" t="n"/>
      <c r="P42" s="18" t="n"/>
      <c r="Q42" s="18" t="n"/>
      <c r="R42" s="19" t="n"/>
      <c r="S42" s="18" t="n"/>
      <c r="T42" s="18" t="n"/>
      <c r="U42" s="18" t="n"/>
      <c r="V42" s="18" t="n"/>
      <c r="W42" s="18" t="n"/>
    </row>
    <row r="43">
      <c r="A43" s="37" t="n"/>
      <c r="B43" s="1553" t="n">
        <v>2</v>
      </c>
      <c r="C43" s="28" t="inlineStr">
        <is>
          <t>Enter your cost in the plan at the annuity starting date</t>
        </is>
      </c>
      <c r="D43" s="29" t="n"/>
      <c r="E43" s="29" t="n"/>
      <c r="F43" s="32" t="n"/>
      <c r="G43" s="32" t="n"/>
      <c r="H43" s="32" t="inlineStr">
        <is>
          <t>.   .   .   .   .   .   .   .   .   .   .</t>
        </is>
      </c>
      <c r="I43" s="828" t="n">
        <v>2</v>
      </c>
      <c r="J43" s="332" t="n"/>
      <c r="K43" s="828" t="n"/>
      <c r="L43" s="97" t="n"/>
      <c r="M43" s="121" t="n"/>
      <c r="N43" s="158" t="n"/>
      <c r="O43" s="29" t="n"/>
      <c r="P43" s="18" t="n"/>
      <c r="Q43" s="18" t="n"/>
      <c r="R43" s="19" t="n"/>
      <c r="S43" s="18" t="n"/>
      <c r="T43" s="18" t="n"/>
      <c r="U43" s="18" t="n"/>
      <c r="V43" s="18" t="n"/>
      <c r="W43" s="18" t="n"/>
    </row>
    <row r="44" ht="13.5" customHeight="1" s="7635" thickBot="1">
      <c r="A44" s="37" t="n"/>
      <c r="B44" s="1553" t="n"/>
      <c r="C44" s="86" t="inlineStr">
        <is>
          <t>Note. If you completed this worksheet last year, skip line 3 and enter the amount from line 4</t>
        </is>
      </c>
      <c r="D44" s="29" t="n"/>
      <c r="E44" s="29" t="n"/>
      <c r="F44" s="32" t="n"/>
      <c r="G44" s="32" t="n"/>
      <c r="H44" s="32" t="n"/>
      <c r="I44" s="828" t="n"/>
      <c r="J44" s="188" t="n"/>
      <c r="K44" s="828" t="n"/>
      <c r="L44" s="215" t="n"/>
      <c r="M44" s="121" t="n"/>
      <c r="N44" s="158" t="n"/>
      <c r="O44" s="29" t="n"/>
      <c r="P44" s="18" t="n"/>
      <c r="Q44" s="18" t="n"/>
      <c r="R44" s="18" t="n"/>
      <c r="S44" s="18" t="n"/>
      <c r="T44" s="18" t="n"/>
      <c r="U44" s="18" t="n"/>
      <c r="V44" s="18" t="n"/>
      <c r="W44" s="18" t="n"/>
    </row>
    <row r="45" ht="13.5" customHeight="1" s="7635" thickBot="1">
      <c r="A45" s="37" t="n"/>
      <c r="B45" s="1553" t="n"/>
      <c r="C45" s="28" t="inlineStr">
        <is>
          <t>of last year’s worksheet on line 4 below (even if the amount of your pension or annuity has changed).</t>
        </is>
      </c>
      <c r="D45" s="29" t="n"/>
      <c r="E45" s="29" t="n"/>
      <c r="F45" s="32" t="n"/>
      <c r="G45" s="32" t="n"/>
      <c r="H45" s="32" t="n"/>
      <c r="I45" s="828" t="n"/>
      <c r="J45" s="188" t="n"/>
      <c r="K45" s="828" t="n"/>
      <c r="L45" s="215" t="n"/>
      <c r="M45" s="121" t="n"/>
      <c r="N45" s="158" t="n"/>
      <c r="O45" s="29" t="n"/>
      <c r="P45" s="18" t="n"/>
      <c r="Q45" s="303" t="n"/>
      <c r="R45" s="33" t="inlineStr">
        <is>
          <t xml:space="preserve">  Check here if you completed this worksheet last year.</t>
        </is>
      </c>
      <c r="S45" s="18" t="n"/>
      <c r="T45" s="18" t="n"/>
      <c r="U45" s="18" t="n"/>
      <c r="V45" s="18" t="n"/>
      <c r="W45" s="18" t="n"/>
    </row>
    <row r="46">
      <c r="A46" s="37" t="n"/>
      <c r="B46" s="1553" t="n"/>
      <c r="C46" s="28" t="inlineStr">
        <is>
          <t>Otherwise, go to line 3.</t>
        </is>
      </c>
      <c r="D46" s="29" t="n"/>
      <c r="E46" s="29" t="n"/>
      <c r="F46" s="32" t="n"/>
      <c r="G46" s="32" t="n"/>
      <c r="H46" s="32" t="n"/>
      <c r="I46" s="828" t="n"/>
      <c r="J46" s="188" t="n"/>
      <c r="K46" s="828" t="n"/>
      <c r="L46" s="168" t="n"/>
      <c r="M46" s="121" t="n"/>
      <c r="N46" s="158" t="n"/>
      <c r="O46" s="29" t="n"/>
      <c r="P46" s="18" t="n"/>
      <c r="Q46" s="489" t="n"/>
      <c r="R46" s="33" t="n"/>
      <c r="S46" s="18" t="n"/>
      <c r="T46" s="18" t="n"/>
      <c r="U46" s="18" t="n"/>
      <c r="V46" s="18" t="n"/>
      <c r="W46" s="18" t="n"/>
    </row>
    <row r="47">
      <c r="A47" s="37" t="n"/>
      <c r="B47" s="1553" t="n">
        <v>3</v>
      </c>
      <c r="C47" s="28" t="inlineStr">
        <is>
          <t>Enter the appropriate number from Table 1 below. But if your annuity starting date was after</t>
        </is>
      </c>
      <c r="D47" s="29" t="n"/>
      <c r="E47" s="29" t="n"/>
      <c r="F47" s="29" t="n"/>
      <c r="G47" s="29" t="n"/>
      <c r="H47" s="29" t="n"/>
      <c r="I47" s="828" t="n"/>
      <c r="J47" s="1577" t="n"/>
      <c r="K47" s="828" t="n"/>
      <c r="L47" s="168" t="n"/>
      <c r="M47" s="30" t="n"/>
      <c r="N47" s="158" t="n"/>
      <c r="O47" s="29" t="n"/>
      <c r="P47" s="18" t="n"/>
      <c r="Q47" s="490" t="n"/>
      <c r="R47" s="33" t="n"/>
      <c r="S47" s="18" t="n"/>
      <c r="T47" s="18" t="n"/>
      <c r="U47" s="18" t="n"/>
      <c r="V47" s="18" t="n"/>
      <c r="W47" s="18" t="n"/>
    </row>
    <row r="48" ht="11.25" customHeight="1" s="7635" thickBot="1">
      <c r="A48" s="37" t="n"/>
      <c r="B48" s="183" t="n"/>
      <c r="C48" s="191" t="inlineStr">
        <is>
          <t>1997 and the payments are for your life and that of your beneficiary, enter the appropriate</t>
        </is>
      </c>
      <c r="D48" s="93" t="n"/>
      <c r="E48" s="93" t="n"/>
      <c r="F48" s="93" t="n"/>
      <c r="G48" s="93" t="n"/>
      <c r="H48" s="93" t="n"/>
      <c r="I48" s="1578" t="n"/>
      <c r="J48" s="1579" t="n"/>
      <c r="K48" s="1578" t="n"/>
      <c r="L48" s="168" t="n"/>
      <c r="M48" s="219" t="n"/>
      <c r="N48" s="158" t="n"/>
      <c r="O48" s="29" t="n"/>
      <c r="P48" s="24" t="n"/>
      <c r="Q48" s="24" t="n"/>
      <c r="R48" s="24" t="n"/>
      <c r="S48" s="24" t="n"/>
      <c r="T48" s="24" t="n"/>
      <c r="U48" s="24" t="n"/>
      <c r="V48" s="18" t="n"/>
      <c r="W48" s="18" t="n"/>
    </row>
    <row r="49" ht="14.25" customHeight="1" s="7635">
      <c r="A49" s="37" t="n"/>
      <c r="B49" s="27" t="n"/>
      <c r="C49" s="28" t="inlineStr">
        <is>
          <t>number from Table 2 below</t>
        </is>
      </c>
      <c r="D49" s="18" t="n"/>
      <c r="E49" s="18" t="n"/>
      <c r="F49" s="18" t="n"/>
      <c r="G49" s="18" t="n"/>
      <c r="H49" s="32" t="inlineStr">
        <is>
          <t xml:space="preserve"> .   .   .   .   .   .   .   .   .   .   .   .   .   .   .   .   .   .   .</t>
        </is>
      </c>
      <c r="I49" s="828" t="n">
        <v>3</v>
      </c>
      <c r="J49" s="331">
        <f>IF(Q45&lt;&gt;"","",IF(R16="","Enter date above",IF(R28="","Enter age above",IF(L85,J94,L84))))</f>
        <v/>
      </c>
      <c r="K49" s="828" t="n"/>
      <c r="L49" s="488" t="inlineStr">
        <is>
          <t>Last year's amount</t>
        </is>
      </c>
      <c r="M49" s="172" t="n"/>
      <c r="N49" s="158" t="n"/>
      <c r="O49" s="29" t="n"/>
      <c r="P49" s="40" t="n"/>
      <c r="Q49" s="23" t="n"/>
      <c r="R49" s="23" t="n"/>
      <c r="S49" s="23" t="n"/>
      <c r="T49" s="23" t="n"/>
      <c r="U49" s="48" t="n"/>
      <c r="V49" s="18" t="n"/>
      <c r="W49" s="18" t="n"/>
    </row>
    <row r="50" ht="14.25" customHeight="1" s="7635" thickBot="1">
      <c r="A50" s="37" t="n"/>
      <c r="B50" s="1553" t="n">
        <v>4</v>
      </c>
      <c r="C50" s="28" t="inlineStr">
        <is>
          <t>Divide line 2 by the number on line 3</t>
        </is>
      </c>
      <c r="D50" s="18" t="n"/>
      <c r="E50" s="18" t="n"/>
      <c r="F50" s="18" t="n"/>
      <c r="G50" s="18" t="n"/>
      <c r="H50" s="32" t="inlineStr">
        <is>
          <t>.   .   .   .   .   .   .   .   .   .   .   .   .   .   .</t>
        </is>
      </c>
      <c r="I50" s="828" t="n">
        <v>4</v>
      </c>
      <c r="J50" s="331">
        <f>IF(L50&lt;&gt;"",L50,IF(OR(J49="",J49=0),"",IF(ISERROR(ROUND((J43/J49),0)),"",ROUND((J43/J49),0))))</f>
        <v/>
      </c>
      <c r="K50" s="828" t="n"/>
      <c r="L50" s="332" t="n"/>
      <c r="M50" s="30" t="n"/>
      <c r="N50" s="158" t="n"/>
      <c r="O50" s="29" t="n"/>
      <c r="P50" s="27" t="n"/>
      <c r="Q50" s="18" t="n"/>
      <c r="R50" s="18" t="n"/>
      <c r="S50" s="18" t="n"/>
      <c r="T50" s="18" t="n"/>
      <c r="U50" s="49" t="n"/>
      <c r="V50" s="18" t="n"/>
      <c r="W50" s="18" t="n"/>
    </row>
    <row r="51" ht="16.5" customHeight="1" s="7635" thickBot="1">
      <c r="A51" s="37" t="n"/>
      <c r="B51" s="1553" t="n">
        <v>5</v>
      </c>
      <c r="C51" s="28" t="inlineStr">
        <is>
          <t>Multiply line 4 by the number of months for which this year’s payments were made. If your</t>
        </is>
      </c>
      <c r="D51" s="18" t="n"/>
      <c r="E51" s="18" t="n"/>
      <c r="F51" s="18" t="n"/>
      <c r="G51" s="18" t="n"/>
      <c r="H51" s="18" t="n"/>
      <c r="I51" s="828" t="n"/>
      <c r="J51" s="29" t="n"/>
      <c r="K51" s="828" t="n"/>
      <c r="L51" s="168" t="inlineStr">
        <is>
          <t>The number</t>
        </is>
      </c>
      <c r="M51" s="172" t="inlineStr">
        <is>
          <t>®</t>
        </is>
      </c>
      <c r="N51" s="158" t="n"/>
      <c r="O51" s="29" t="n"/>
      <c r="P51" s="27" t="n"/>
      <c r="Q51" s="176" t="n"/>
      <c r="R51" s="173" t="n"/>
      <c r="S51" s="18" t="n"/>
      <c r="T51" s="18" t="n"/>
      <c r="U51" s="49" t="n"/>
      <c r="V51" s="18" t="n"/>
      <c r="W51" s="18" t="n"/>
    </row>
    <row r="52" ht="12.75" customHeight="1" s="7635">
      <c r="A52" s="37" t="n"/>
      <c r="B52" s="27" t="n"/>
      <c r="C52" s="28" t="inlineStr">
        <is>
          <t>annuity starting date was before 1987, skip lines 6 and 7 and enter this amount on line 8.</t>
        </is>
      </c>
      <c r="D52" s="18" t="n"/>
      <c r="E52" s="18" t="n"/>
      <c r="F52" s="18" t="n"/>
      <c r="G52" s="18" t="n"/>
      <c r="H52" s="18" t="n"/>
      <c r="I52" s="828" t="n"/>
      <c r="J52" s="12002" t="n">
        <v>31778</v>
      </c>
      <c r="K52" s="174">
        <f>IF(R16&lt;J52,TRUE,FALSE)</f>
        <v/>
      </c>
      <c r="L52" s="168" t="inlineStr">
        <is>
          <t>of months</t>
        </is>
      </c>
      <c r="M52" s="172" t="n"/>
      <c r="N52" s="158" t="n"/>
      <c r="O52" s="29" t="n"/>
      <c r="P52" s="12000" t="inlineStr">
        <is>
          <t>Enter number of months for which</t>
        </is>
      </c>
      <c r="Q52" s="26" t="n"/>
      <c r="R52" s="26" t="n"/>
      <c r="S52" s="26" t="n"/>
      <c r="T52" s="26" t="n"/>
      <c r="U52" s="11837" t="n"/>
      <c r="V52" s="18" t="n"/>
      <c r="W52" s="18" t="n"/>
    </row>
    <row r="53" ht="12.75" customHeight="1" s="7635">
      <c r="A53" s="37" t="n"/>
      <c r="B53" s="27" t="n"/>
      <c r="C53" s="28" t="inlineStr">
        <is>
          <t>Otherwise, go to line 6</t>
        </is>
      </c>
      <c r="D53" s="18" t="n"/>
      <c r="E53" s="18" t="n"/>
      <c r="F53" s="18" t="n"/>
      <c r="G53" s="18" t="n"/>
      <c r="H53" s="32" t="inlineStr">
        <is>
          <t>.   .   .   .   .   .   .   .   .   .   .   .   .   .   .   .   .   .   .   .   .</t>
        </is>
      </c>
      <c r="I53" s="828" t="n">
        <v>5</v>
      </c>
      <c r="J53" s="331">
        <f>IF(OR(R51&gt;12,R51="",J50=""),"",J50*R51)</f>
        <v/>
      </c>
      <c r="K53" s="828" t="n"/>
      <c r="L53" s="168" t="inlineStr">
        <is>
          <t>cannot be</t>
        </is>
      </c>
      <c r="M53" s="30" t="n"/>
      <c r="N53" s="158" t="n"/>
      <c r="O53" s="29" t="n"/>
      <c r="P53" s="12000" t="inlineStr">
        <is>
          <t>this year's payments were made.</t>
        </is>
      </c>
      <c r="Q53" s="26" t="n"/>
      <c r="R53" s="26" t="n"/>
      <c r="S53" s="26" t="n"/>
      <c r="T53" s="26" t="n"/>
      <c r="U53" s="11837" t="n"/>
      <c r="V53" s="18" t="n"/>
      <c r="W53" s="18" t="n"/>
    </row>
    <row r="54" ht="16.5" customHeight="1" s="7635" thickBot="1">
      <c r="A54" s="37" t="n"/>
      <c r="B54" s="1553" t="n">
        <v>6</v>
      </c>
      <c r="C54" s="28" t="inlineStr">
        <is>
          <t>Enter the amount, if any, recovered tax free in years after 1986. If you completed this</t>
        </is>
      </c>
      <c r="D54" s="18" t="n"/>
      <c r="E54" s="18" t="n"/>
      <c r="F54" s="18" t="n"/>
      <c r="G54" s="18" t="n"/>
      <c r="H54" s="32" t="n"/>
      <c r="I54" s="828" t="n"/>
      <c r="J54" s="201" t="n"/>
      <c r="K54" s="828" t="n"/>
      <c r="L54" s="168" t="inlineStr">
        <is>
          <t>more than 12.</t>
        </is>
      </c>
      <c r="M54" s="172" t="n"/>
      <c r="N54" s="158" t="n"/>
      <c r="O54" s="29" t="n"/>
      <c r="P54" s="41" t="n"/>
      <c r="Q54" s="24" t="n"/>
      <c r="R54" s="24" t="n"/>
      <c r="S54" s="24" t="n"/>
      <c r="T54" s="24" t="n"/>
      <c r="U54" s="50" t="n"/>
      <c r="V54" s="18" t="n"/>
      <c r="W54" s="18" t="n"/>
    </row>
    <row r="55" ht="13.5" customHeight="1" s="7635">
      <c r="A55" s="37" t="n"/>
      <c r="B55" s="1553" t="n"/>
      <c r="C55" s="28" t="inlineStr">
        <is>
          <t>worksheet last year, enter the amount from line 10 of last year’s worksheet.   .    .    .</t>
        </is>
      </c>
      <c r="D55" s="18" t="n"/>
      <c r="E55" s="18" t="n"/>
      <c r="F55" s="18" t="n"/>
      <c r="G55" s="18" t="n"/>
      <c r="H55" s="32" t="n"/>
      <c r="I55" s="828" t="n">
        <v>6</v>
      </c>
      <c r="J55" s="332" t="n"/>
      <c r="K55" s="828" t="n"/>
      <c r="L55" s="168" t="n"/>
      <c r="M55" s="172" t="n"/>
      <c r="N55" s="158" t="n"/>
      <c r="O55" s="29" t="n"/>
      <c r="P55" s="18" t="n"/>
      <c r="Q55" s="18" t="n"/>
      <c r="R55" s="18" t="n"/>
      <c r="S55" s="18" t="n"/>
      <c r="T55" s="18" t="n"/>
      <c r="U55" s="18" t="n"/>
      <c r="V55" s="18" t="n"/>
      <c r="W55" s="18" t="n"/>
    </row>
    <row r="56">
      <c r="A56" s="37" t="n"/>
      <c r="B56" s="1553" t="n">
        <v>7</v>
      </c>
      <c r="C56" s="87" t="inlineStr">
        <is>
          <t>Subtract line 6 from line 2.</t>
        </is>
      </c>
      <c r="D56" s="18" t="n"/>
      <c r="E56" s="18" t="n"/>
      <c r="F56" s="18" t="n"/>
      <c r="G56" s="18" t="n"/>
      <c r="H56" s="32" t="inlineStr">
        <is>
          <t>.   .   .   .   .   .   .   .   .   .   .   .   .   .   .   .   .   .   .</t>
        </is>
      </c>
      <c r="I56" s="828" t="n">
        <v>7</v>
      </c>
      <c r="J56" s="331">
        <f>IF(OR(K52,J53=""),"",J43-J55)</f>
        <v/>
      </c>
      <c r="K56" s="828" t="n"/>
      <c r="L56" s="29" t="n"/>
      <c r="M56" s="30" t="n"/>
      <c r="N56" s="158" t="n"/>
      <c r="O56" s="29" t="n"/>
      <c r="P56" s="18" t="n"/>
      <c r="Q56" s="18" t="n"/>
      <c r="R56" s="18" t="n"/>
      <c r="S56" s="18" t="n"/>
      <c r="T56" s="18" t="n"/>
      <c r="U56" s="18" t="n"/>
      <c r="V56" s="18" t="n"/>
      <c r="W56" s="18" t="n"/>
    </row>
    <row r="57">
      <c r="A57" s="37" t="n"/>
      <c r="B57" s="1553" t="n">
        <v>8</v>
      </c>
      <c r="C57" s="87" t="inlineStr">
        <is>
          <t>Enter the smaller of line 5 or line 7</t>
        </is>
      </c>
      <c r="D57" s="18" t="n"/>
      <c r="E57" s="18" t="n"/>
      <c r="F57" s="18" t="n"/>
      <c r="G57" s="18" t="n"/>
      <c r="H57" s="18" t="n"/>
      <c r="I57" s="18" t="n"/>
      <c r="J57" s="32" t="inlineStr">
        <is>
          <t>.   .   .   .   .   .   .   .   .   .   .   .   .   .   .   .   .   .   .   .   .   .   .   .</t>
        </is>
      </c>
      <c r="K57" s="828" t="n">
        <v>8</v>
      </c>
      <c r="L57" s="331">
        <f>IF(K52,J53,MIN(J53,J56))</f>
        <v/>
      </c>
      <c r="M57" s="121" t="n"/>
      <c r="N57" s="158" t="n"/>
      <c r="O57" s="97" t="n"/>
      <c r="P57" s="18" t="n"/>
      <c r="Q57" s="18" t="n"/>
      <c r="R57" s="18" t="n"/>
      <c r="S57" s="18" t="n"/>
      <c r="T57" s="18" t="n"/>
      <c r="U57" s="18" t="n"/>
      <c r="V57" s="18" t="n"/>
      <c r="W57" s="18" t="n"/>
    </row>
    <row r="58">
      <c r="A58" s="218" t="n"/>
      <c r="B58" s="1062" t="inlineStr">
        <is>
          <t>If you manually enter the taxable amount from line 9 of this worksheet into 1099-R, line 2a, this spreadsheet will automatically update Form 1040, line 5a.</t>
        </is>
      </c>
      <c r="C58" s="978" t="n"/>
      <c r="D58" s="1573" t="n"/>
      <c r="E58" s="1573" t="n"/>
      <c r="F58" s="977" t="n"/>
      <c r="G58" s="1573" t="n"/>
      <c r="H58" s="1573" t="n"/>
      <c r="I58" s="225" t="n"/>
      <c r="J58" s="225" t="n"/>
      <c r="K58" s="225" t="n"/>
      <c r="L58" s="1574" t="n"/>
      <c r="M58" s="1575" t="n"/>
      <c r="N58" s="1559" t="n"/>
      <c r="O58" s="33" t="n"/>
      <c r="P58" s="18" t="n"/>
      <c r="Q58" s="18" t="n"/>
      <c r="R58" s="19" t="n"/>
      <c r="S58" s="18" t="n"/>
      <c r="T58" s="18" t="n"/>
      <c r="U58" s="18" t="n"/>
      <c r="V58" s="18" t="n"/>
      <c r="W58" s="18" t="n"/>
    </row>
    <row r="59">
      <c r="A59" s="37" t="n"/>
      <c r="B59" s="1553" t="n">
        <v>9</v>
      </c>
      <c r="C59" s="28" t="inlineStr">
        <is>
          <t>Taxable amount. Subtract line 8 from line 1. Enter the result, but not less than zero. Also, enter this amount on Sheet</t>
        </is>
      </c>
      <c r="D59" s="18" t="n"/>
      <c r="E59" s="18" t="n"/>
      <c r="F59" s="18" t="n"/>
      <c r="G59" s="18" t="n"/>
      <c r="H59" s="18" t="n"/>
      <c r="I59" s="18" t="n"/>
      <c r="J59" s="18" t="n"/>
      <c r="K59" s="828" t="n"/>
      <c r="L59" s="29" t="n"/>
      <c r="M59" s="30" t="n"/>
      <c r="N59" s="158" t="n"/>
      <c r="O59" s="97" t="n"/>
      <c r="P59" s="18" t="n"/>
      <c r="Q59" s="18" t="n"/>
      <c r="R59" s="18" t="n"/>
      <c r="S59" s="18" t="n"/>
      <c r="T59" s="18" t="n"/>
      <c r="U59" s="18" t="n"/>
      <c r="V59" s="18" t="n"/>
      <c r="W59" s="18" t="n"/>
    </row>
    <row r="60" ht="12.75" customHeight="1" s="7635">
      <c r="A60" s="37" t="n"/>
      <c r="B60" s="1553" t="n"/>
      <c r="C60" s="691" t="inlineStr">
        <is>
          <t>'1099-R', line 2a.  If your Form 1099-R shows a larger amount, use the amount on this line instead of the amount from</t>
        </is>
      </c>
      <c r="D60" s="34" t="n"/>
      <c r="E60" s="34" t="n"/>
      <c r="F60" s="34" t="n"/>
      <c r="G60" s="34" t="n"/>
      <c r="H60" s="34" t="n"/>
      <c r="I60" s="828" t="n"/>
      <c r="J60" s="29" t="n"/>
      <c r="K60" s="828" t="n"/>
      <c r="L60" s="29" t="n"/>
      <c r="M60" s="30" t="n"/>
      <c r="N60" s="158" t="n"/>
      <c r="O60" s="97" t="n"/>
      <c r="P60" s="18" t="n"/>
      <c r="Q60" s="18" t="n"/>
      <c r="R60" s="19" t="inlineStr">
        <is>
          <t>Manual</t>
        </is>
      </c>
      <c r="S60" s="18" t="n"/>
      <c r="T60" s="18" t="n"/>
      <c r="U60" s="18" t="n"/>
      <c r="V60" s="18" t="n"/>
      <c r="W60" s="18" t="n"/>
    </row>
    <row r="61" ht="12.75" customHeight="1" s="7635">
      <c r="A61" s="37" t="n"/>
      <c r="B61" s="1553" t="n"/>
      <c r="C61" s="28" t="inlineStr">
        <is>
          <t>Form 1099-R. If you are a retired public safety officer, see Insurance Premiums for Retired Public Safety Officers</t>
        </is>
      </c>
      <c r="D61" s="34" t="n"/>
      <c r="E61" s="34" t="n"/>
      <c r="F61" s="34" t="n"/>
      <c r="G61" s="34" t="n"/>
      <c r="H61" s="34" t="n"/>
      <c r="I61" s="828" t="n"/>
      <c r="J61" s="29" t="n"/>
      <c r="K61" s="828" t="n"/>
      <c r="L61" s="29" t="n"/>
      <c r="M61" s="30" t="n"/>
      <c r="N61" s="158" t="n"/>
      <c r="O61" s="97" t="n"/>
      <c r="P61" s="18" t="n"/>
      <c r="Q61" s="18" t="n"/>
      <c r="R61" s="19" t="inlineStr">
        <is>
          <t>Override ê</t>
        </is>
      </c>
      <c r="S61" s="18" t="n"/>
      <c r="T61" s="18" t="n"/>
      <c r="U61" s="18" t="n"/>
      <c r="V61" s="18" t="n"/>
      <c r="W61" s="18" t="n"/>
    </row>
    <row r="62">
      <c r="A62" s="37" t="n"/>
      <c r="B62" s="1553" t="n"/>
      <c r="C62" s="28" t="inlineStr">
        <is>
          <t>before entering an amount on line 5b of '1099-R'</t>
        </is>
      </c>
      <c r="D62" s="29" t="n"/>
      <c r="E62" s="29" t="n"/>
      <c r="F62" s="29" t="n"/>
      <c r="G62" s="29" t="n"/>
      <c r="H62" s="29" t="n"/>
      <c r="I62" s="828" t="n"/>
      <c r="J62" s="32" t="inlineStr">
        <is>
          <t>.   .   .   .   .   .   .   .   .   .   .   .   .   .   .   .   .   .   .   .   .   .</t>
        </is>
      </c>
      <c r="K62" s="828" t="n">
        <v>9</v>
      </c>
      <c r="L62" s="331">
        <f>IF(R62&lt;&gt;"",R62,IF(OR(L57="",R16=""),"",IF(Pension_total="",0,MAX(0,SUM(L42,-L57)))))</f>
        <v/>
      </c>
      <c r="M62" s="121" t="n"/>
      <c r="N62" s="158" t="n"/>
      <c r="O62" s="97" t="n"/>
      <c r="P62" s="18" t="n"/>
      <c r="Q62" s="18" t="n"/>
      <c r="R62" s="109" t="n"/>
      <c r="S62" s="18" t="n"/>
      <c r="T62" s="18" t="n"/>
      <c r="U62" s="18" t="n"/>
      <c r="V62" s="18" t="n"/>
      <c r="W62" s="18" t="n"/>
    </row>
    <row r="63">
      <c r="A63" s="37" t="n"/>
      <c r="B63" s="692" t="inlineStr">
        <is>
          <t>10.</t>
        </is>
      </c>
      <c r="C63" s="28" t="inlineStr">
        <is>
          <t>Was your annuity starting date before 1987?</t>
        </is>
      </c>
      <c r="D63" s="29" t="n"/>
      <c r="E63" s="29" t="n"/>
      <c r="F63" s="29" t="n"/>
      <c r="G63" s="29" t="n"/>
      <c r="H63" s="29" t="n"/>
      <c r="I63" s="828" t="n"/>
      <c r="J63" s="32" t="n"/>
      <c r="K63" s="828" t="n"/>
      <c r="L63" s="97" t="n"/>
      <c r="M63" s="121" t="n"/>
      <c r="N63" s="158" t="n"/>
      <c r="O63" s="97" t="n"/>
      <c r="P63" s="18" t="n"/>
      <c r="Q63" s="18" t="n"/>
      <c r="R63" s="189" t="n"/>
      <c r="S63" s="18" t="n"/>
      <c r="T63" s="18" t="n"/>
      <c r="U63" s="18" t="n"/>
      <c r="V63" s="18" t="n"/>
      <c r="W63" s="18" t="n"/>
    </row>
    <row r="64" ht="7.5" customHeight="1" s="7635">
      <c r="A64" s="37" t="n"/>
      <c r="B64" s="1553" t="n"/>
      <c r="C64" s="18" t="n"/>
      <c r="D64" s="29" t="n"/>
      <c r="E64" s="29" t="n"/>
      <c r="F64" s="29" t="n"/>
      <c r="G64" s="29" t="n"/>
      <c r="H64" s="29" t="n"/>
      <c r="I64" s="828" t="n"/>
      <c r="J64" s="32" t="n"/>
      <c r="K64" s="828" t="n"/>
      <c r="L64" s="97" t="n"/>
      <c r="M64" s="121" t="n"/>
      <c r="N64" s="158" t="n"/>
      <c r="O64" s="97" t="n"/>
      <c r="P64" s="18" t="n"/>
      <c r="Q64" s="18" t="n"/>
      <c r="R64" s="189" t="n"/>
      <c r="S64" s="18" t="n"/>
      <c r="T64" s="18" t="n"/>
      <c r="U64" s="18" t="n"/>
      <c r="V64" s="18" t="n"/>
      <c r="W64" s="18" t="n"/>
    </row>
    <row r="65" ht="13.5" customHeight="1" s="7635">
      <c r="A65" s="37" t="n"/>
      <c r="B65" s="1553" t="n"/>
      <c r="C65" s="503">
        <f>IF(V22,"X","")</f>
        <v/>
      </c>
      <c r="D65" s="190" t="inlineStr">
        <is>
          <t xml:space="preserve"> Yes.               STOP</t>
        </is>
      </c>
      <c r="E65" s="59" t="inlineStr">
        <is>
          <t>Do not complete the rest of this worksheet.</t>
        </is>
      </c>
      <c r="F65" s="29" t="n"/>
      <c r="G65" s="29" t="n"/>
      <c r="H65" s="29" t="n"/>
      <c r="I65" s="828" t="n"/>
      <c r="J65" s="32" t="n"/>
      <c r="K65" s="828" t="n"/>
      <c r="L65" s="97" t="n"/>
      <c r="M65" s="121" t="n"/>
      <c r="N65" s="158" t="n"/>
      <c r="O65" s="97" t="n"/>
      <c r="P65" s="18" t="n"/>
      <c r="Q65" s="18" t="n"/>
      <c r="R65" s="12003" t="n"/>
      <c r="S65" s="18" t="n"/>
      <c r="T65" s="18" t="n"/>
      <c r="U65" s="18" t="n"/>
      <c r="V65" s="18" t="n"/>
      <c r="W65" s="18" t="n"/>
    </row>
    <row r="66">
      <c r="A66" s="37" t="n"/>
      <c r="B66" s="1553" t="n"/>
      <c r="C66" s="18" t="n"/>
      <c r="D66" s="29" t="n"/>
      <c r="E66" s="29" t="n"/>
      <c r="F66" s="29" t="n"/>
      <c r="G66" s="29" t="n"/>
      <c r="H66" s="29" t="n"/>
      <c r="I66" s="828" t="n"/>
      <c r="J66" s="32" t="n"/>
      <c r="K66" s="828" t="n"/>
      <c r="L66" s="97" t="n"/>
      <c r="M66" s="121" t="n"/>
      <c r="N66" s="158" t="n"/>
      <c r="O66" s="97" t="n"/>
      <c r="P66" s="18" t="n"/>
      <c r="Q66" s="18" t="n"/>
      <c r="R66" s="19" t="inlineStr">
        <is>
          <t>Manual</t>
        </is>
      </c>
      <c r="S66" s="18" t="n"/>
      <c r="T66" s="18" t="n"/>
      <c r="U66" s="18" t="n"/>
      <c r="V66" s="18" t="n"/>
      <c r="W66" s="18" t="n"/>
    </row>
    <row r="67" ht="15" customHeight="1" s="7635">
      <c r="A67" s="37" t="n"/>
      <c r="B67" s="1553" t="n"/>
      <c r="C67" s="503">
        <f>IF(V22,"","X")</f>
        <v/>
      </c>
      <c r="D67" s="31" t="inlineStr">
        <is>
          <t>No.    Add lines 6 and 8.</t>
        </is>
      </c>
      <c r="E67" s="1294" t="n"/>
      <c r="F67" s="29" t="n"/>
      <c r="G67" s="29" t="n"/>
      <c r="H67" s="29" t="n"/>
      <c r="I67" s="944" t="inlineStr">
        <is>
          <t>This is the amount you have recovered tax free through</t>
        </is>
      </c>
      <c r="J67" s="12004">
        <f>TaxYear&amp;"."</f>
        <v/>
      </c>
      <c r="K67" s="828" t="n"/>
      <c r="L67" s="97" t="n"/>
      <c r="M67" s="121" t="n"/>
      <c r="N67" s="158" t="n"/>
      <c r="O67" s="97" t="n"/>
      <c r="P67" s="18" t="n"/>
      <c r="Q67" s="18" t="n"/>
      <c r="R67" s="19" t="inlineStr">
        <is>
          <t>Override ê</t>
        </is>
      </c>
      <c r="S67" s="18" t="n"/>
      <c r="T67" s="18" t="n"/>
      <c r="U67" s="18" t="n"/>
      <c r="V67" s="18" t="n"/>
      <c r="W67" s="18" t="n"/>
    </row>
    <row r="68">
      <c r="A68" s="37" t="n"/>
      <c r="B68" s="1553" t="n"/>
      <c r="C68" s="18" t="n"/>
      <c r="D68" s="29" t="inlineStr">
        <is>
          <t xml:space="preserve">       You will need this number when you fill out this worksheet next year</t>
        </is>
      </c>
      <c r="E68" s="29" t="n"/>
      <c r="F68" s="29" t="n"/>
      <c r="G68" s="29" t="n"/>
      <c r="H68" s="29" t="n"/>
      <c r="I68" s="828" t="n"/>
      <c r="J68" s="32" t="inlineStr">
        <is>
          <t xml:space="preserve">  .   .   .   .   .   .   .   .   .   .</t>
        </is>
      </c>
      <c r="K68" s="943">
        <f>B63</f>
        <v/>
      </c>
      <c r="L68" s="331">
        <f>IF(R68&lt;&gt;"",R68,IF(R16="","",IF(C65="X","",SUM(J55,L57))))</f>
        <v/>
      </c>
      <c r="M68" s="121" t="n"/>
      <c r="N68" s="158" t="n"/>
      <c r="O68" s="97" t="n"/>
      <c r="P68" s="18" t="n"/>
      <c r="Q68" s="18" t="n"/>
      <c r="R68" s="109" t="n"/>
      <c r="S68" s="18" t="n"/>
      <c r="T68" s="18" t="n"/>
      <c r="U68" s="18" t="n"/>
      <c r="V68" s="18" t="n"/>
      <c r="W68" s="18" t="n"/>
    </row>
    <row r="69">
      <c r="A69" s="37" t="n"/>
      <c r="B69" s="1553" t="n"/>
      <c r="C69" s="18" t="n"/>
      <c r="D69" s="29" t="n"/>
      <c r="E69" s="29" t="n"/>
      <c r="F69" s="29" t="n"/>
      <c r="G69" s="29" t="n"/>
      <c r="H69" s="29" t="n"/>
      <c r="I69" s="828" t="n"/>
      <c r="J69" s="32" t="n"/>
      <c r="K69" s="943" t="n"/>
      <c r="L69" s="694" t="n"/>
      <c r="M69" s="121" t="n"/>
      <c r="N69" s="158" t="n"/>
      <c r="O69" s="97" t="n"/>
      <c r="P69" s="18" t="n"/>
      <c r="Q69" s="18" t="n"/>
      <c r="R69" s="189" t="n"/>
      <c r="S69" s="18" t="n"/>
      <c r="T69" s="18" t="n"/>
      <c r="U69" s="18" t="n"/>
      <c r="V69" s="18" t="n"/>
      <c r="W69" s="18" t="n"/>
    </row>
    <row r="70">
      <c r="A70" s="37" t="n"/>
      <c r="B70" s="692" t="inlineStr">
        <is>
          <t>11.</t>
        </is>
      </c>
      <c r="C70" s="33" t="inlineStr">
        <is>
          <t>Balance of cost to be recovered. Subtract line 10 from line 2. If zero, you won’t have to complete this</t>
        </is>
      </c>
      <c r="D70" s="29" t="n"/>
      <c r="E70" s="29" t="n"/>
      <c r="F70" s="29" t="n"/>
      <c r="G70" s="29" t="n"/>
      <c r="H70" s="29" t="n"/>
      <c r="I70" s="828" t="n"/>
      <c r="J70" s="32" t="n"/>
      <c r="K70" s="943" t="n"/>
      <c r="L70" s="694" t="n"/>
      <c r="M70" s="121" t="n"/>
      <c r="N70" s="158" t="n"/>
      <c r="O70" s="97" t="n"/>
      <c r="P70" s="18" t="n"/>
      <c r="Q70" s="18" t="n"/>
      <c r="R70" s="189" t="n"/>
      <c r="S70" s="18" t="n"/>
      <c r="T70" s="18" t="n"/>
      <c r="U70" s="18" t="n"/>
      <c r="V70" s="18" t="n"/>
      <c r="W70" s="18" t="n"/>
    </row>
    <row r="71">
      <c r="A71" s="37" t="n"/>
      <c r="B71" s="1553" t="n"/>
      <c r="C71" s="18" t="inlineStr">
        <is>
          <t>worksheet next year. The payments you receive next year will generally be fully taxable</t>
        </is>
      </c>
      <c r="D71" s="29" t="n"/>
      <c r="E71" s="29" t="n"/>
      <c r="F71" s="29" t="n"/>
      <c r="G71" s="29" t="n"/>
      <c r="H71" s="29" t="n"/>
      <c r="I71" s="828" t="n"/>
      <c r="J71" s="32" t="inlineStr">
        <is>
          <t>.   .   .   .   .   .</t>
        </is>
      </c>
      <c r="K71" s="693" t="inlineStr">
        <is>
          <t>11.</t>
        </is>
      </c>
      <c r="L71" s="331">
        <f>IF(R71&lt;&gt;"",R71,IF(R16="","",IF(C65="X","",SUM(J43,-L68))))</f>
        <v/>
      </c>
      <c r="M71" s="121" t="n"/>
      <c r="N71" s="158" t="n"/>
      <c r="O71" s="97" t="n"/>
      <c r="P71" s="18" t="n"/>
      <c r="Q71" s="18" t="n"/>
      <c r="R71" s="109" t="n"/>
      <c r="S71" s="18" t="n"/>
      <c r="T71" s="18" t="n"/>
      <c r="U71" s="18" t="n"/>
      <c r="V71" s="18" t="n"/>
      <c r="W71" s="18" t="n"/>
    </row>
    <row r="72" ht="12.75" customHeight="1" s="7635" thickBot="1">
      <c r="A72" s="37" t="n"/>
      <c r="B72" s="1581" t="n"/>
      <c r="C72" s="328" t="n"/>
      <c r="D72" s="35" t="n"/>
      <c r="E72" s="35" t="n"/>
      <c r="F72" s="35" t="n"/>
      <c r="G72" s="35" t="n"/>
      <c r="H72" s="35" t="n"/>
      <c r="I72" s="1564" t="n"/>
      <c r="J72" s="35" t="n"/>
      <c r="K72" s="1564" t="n"/>
      <c r="L72" s="35" t="n"/>
      <c r="M72" s="36" t="n"/>
      <c r="N72" s="159" t="n"/>
      <c r="O72" s="29" t="n"/>
      <c r="P72" s="18" t="n"/>
      <c r="Q72" s="18" t="n"/>
      <c r="R72" s="18" t="n"/>
      <c r="S72" s="18" t="n"/>
      <c r="T72" s="18" t="n"/>
      <c r="U72" s="18" t="n"/>
      <c r="V72" s="18" t="n"/>
      <c r="W72" s="18" t="n"/>
    </row>
    <row r="73" ht="17.25" customHeight="1" s="7635">
      <c r="A73" s="37" t="n"/>
      <c r="B73" s="1553" t="n"/>
      <c r="C73" s="18" t="n"/>
      <c r="D73" s="943" t="n"/>
      <c r="E73" s="943" t="n"/>
      <c r="F73" s="943" t="inlineStr">
        <is>
          <t>Table 1 For Line 3 Above</t>
        </is>
      </c>
      <c r="G73" s="943" t="n"/>
      <c r="H73" s="943" t="n"/>
      <c r="I73" s="943" t="n"/>
      <c r="J73" s="29" t="n"/>
      <c r="K73" s="828" t="n"/>
      <c r="L73" s="29" t="n"/>
      <c r="M73" s="55" t="n"/>
      <c r="N73" s="158" t="n"/>
      <c r="O73" s="29" t="n"/>
      <c r="P73" s="18" t="n"/>
      <c r="Q73" s="18" t="n"/>
      <c r="R73" s="18" t="n"/>
      <c r="S73" s="18" t="n"/>
      <c r="T73" s="18" t="n"/>
      <c r="U73" s="18" t="n"/>
      <c r="V73" s="18" t="n"/>
      <c r="W73" s="18" t="n"/>
    </row>
    <row r="74" ht="12" customHeight="1" s="7635">
      <c r="A74" s="37" t="n"/>
      <c r="B74" s="1553" t="n"/>
      <c r="C74" s="18" t="n"/>
      <c r="D74" s="29" t="n"/>
      <c r="E74" s="29" t="n"/>
      <c r="F74" s="29" t="n"/>
      <c r="G74" s="29" t="n"/>
      <c r="H74" s="29" t="n"/>
      <c r="I74" s="828" t="n"/>
      <c r="J74" s="493" t="n">
        <v>35387</v>
      </c>
      <c r="K74" s="828" t="n"/>
      <c r="L74" s="171" t="inlineStr">
        <is>
          <t>Enter age</t>
        </is>
      </c>
      <c r="M74" s="55" t="n"/>
      <c r="N74" s="158" t="n"/>
      <c r="O74" s="29" t="n"/>
      <c r="P74" s="18" t="n"/>
      <c r="Q74" s="18" t="n"/>
      <c r="R74" s="18" t="n"/>
      <c r="S74" s="18" t="n"/>
      <c r="T74" s="18" t="n"/>
      <c r="U74" s="18" t="n"/>
      <c r="V74" s="18" t="n"/>
      <c r="W74" s="18" t="n"/>
    </row>
    <row r="75">
      <c r="A75" s="37" t="n"/>
      <c r="B75" s="1553" t="n"/>
      <c r="C75" s="18" t="n"/>
      <c r="D75" s="53" t="n"/>
      <c r="E75" s="53" t="n"/>
      <c r="F75" s="828" t="n"/>
      <c r="G75" s="31" t="inlineStr">
        <is>
          <t>AND your annuity starting date was----</t>
        </is>
      </c>
      <c r="H75" s="31" t="n"/>
      <c r="I75" s="828" t="n"/>
      <c r="J75" s="29" t="n"/>
      <c r="K75" s="29" t="n"/>
      <c r="L75" s="171" t="inlineStr">
        <is>
          <t>at annuity</t>
        </is>
      </c>
      <c r="M75" s="55" t="n"/>
      <c r="N75" s="159" t="n"/>
      <c r="O75" s="29" t="n"/>
      <c r="P75" s="18" t="n"/>
      <c r="Q75" s="18" t="n"/>
      <c r="R75" s="18" t="n"/>
      <c r="S75" s="18" t="n"/>
      <c r="T75" s="18" t="n"/>
      <c r="U75" s="18" t="n"/>
      <c r="V75" s="18" t="n"/>
      <c r="W75" s="18" t="n"/>
    </row>
    <row r="76">
      <c r="A76" s="37" t="n"/>
      <c r="B76" s="1553" t="n"/>
      <c r="C76" s="18" t="n"/>
      <c r="D76" s="58" t="inlineStr">
        <is>
          <t>IF the age at annuity starting</t>
        </is>
      </c>
      <c r="E76" s="58" t="n"/>
      <c r="F76" s="943" t="inlineStr">
        <is>
          <t>before</t>
        </is>
      </c>
      <c r="G76" s="12005">
        <f>J74+1</f>
        <v/>
      </c>
      <c r="H76" s="26" t="n"/>
      <c r="I76" s="943" t="inlineStr">
        <is>
          <t>after</t>
        </is>
      </c>
      <c r="J76" s="12005">
        <f>J74</f>
        <v/>
      </c>
      <c r="K76" s="26" t="n"/>
      <c r="L76" s="171" t="inlineStr">
        <is>
          <t>starting date</t>
        </is>
      </c>
      <c r="M76" s="55" t="n"/>
      <c r="N76" s="158" t="n"/>
      <c r="O76" s="29" t="n"/>
      <c r="P76" s="18" t="n"/>
      <c r="Q76" s="18" t="n"/>
      <c r="R76" s="18" t="n"/>
      <c r="S76" s="18" t="n"/>
      <c r="T76" s="18" t="n"/>
      <c r="U76" s="18" t="n"/>
      <c r="V76" s="18" t="n"/>
      <c r="W76" s="18" t="n"/>
    </row>
    <row r="77" ht="12" customHeight="1" s="7635">
      <c r="A77" s="37" t="n"/>
      <c r="B77" s="1553" t="n"/>
      <c r="C77" s="18" t="n"/>
      <c r="D77" s="1467" t="inlineStr">
        <is>
          <t>date was …</t>
        </is>
      </c>
      <c r="E77" s="1582" t="n"/>
      <c r="F77" s="1583" t="inlineStr">
        <is>
          <t xml:space="preserve">     enter on line 3 …</t>
        </is>
      </c>
      <c r="G77" s="1583" t="n"/>
      <c r="H77" s="1584" t="n"/>
      <c r="I77" s="828" t="n"/>
      <c r="J77" s="1585" t="inlineStr">
        <is>
          <t>enter on line 3 …</t>
        </is>
      </c>
      <c r="K77" s="1557" t="n"/>
      <c r="L77" s="171" t="inlineStr">
        <is>
          <t>(above)</t>
        </is>
      </c>
      <c r="M77" s="55" t="n"/>
      <c r="N77" s="158" t="n"/>
      <c r="O77" s="29" t="n"/>
      <c r="P77" s="18" t="n"/>
      <c r="Q77" s="18" t="n"/>
      <c r="R77" s="18" t="n"/>
      <c r="S77" s="18" t="n"/>
      <c r="T77" s="18" t="n"/>
      <c r="U77" s="18" t="n"/>
      <c r="V77" s="18" t="n"/>
      <c r="W77" s="18" t="n"/>
    </row>
    <row r="78" ht="5.25" customHeight="1" s="7635">
      <c r="A78" s="37" t="n"/>
      <c r="B78" s="1553" t="n"/>
      <c r="C78" s="18" t="n"/>
      <c r="D78" s="58" t="n"/>
      <c r="E78" s="1582" t="n"/>
      <c r="F78" s="1294" t="n"/>
      <c r="G78" s="1294" t="n"/>
      <c r="H78" s="944" t="n"/>
      <c r="I78" s="828" t="n"/>
      <c r="J78" s="1557" t="n"/>
      <c r="K78" s="1557" t="n"/>
      <c r="L78" s="1557" t="n"/>
      <c r="M78" s="55" t="n"/>
      <c r="N78" s="158" t="n"/>
      <c r="O78" s="29" t="n"/>
      <c r="P78" s="18" t="n"/>
      <c r="Q78" s="18" t="n"/>
      <c r="R78" s="18" t="n"/>
      <c r="S78" s="18" t="n"/>
      <c r="T78" s="18" t="n"/>
      <c r="U78" s="18" t="n"/>
      <c r="V78" s="18" t="n"/>
      <c r="W78" s="18" t="n"/>
    </row>
    <row r="79">
      <c r="A79" s="37" t="n"/>
      <c r="B79" s="1553" t="n"/>
      <c r="C79" s="18" t="n"/>
      <c r="D79" s="53">
        <f>(E80-1)&amp;" or under"</f>
        <v/>
      </c>
      <c r="E79" s="1582" t="n"/>
      <c r="F79" s="1563" t="n"/>
      <c r="G79" s="54" t="n">
        <v>300</v>
      </c>
      <c r="H79" s="95" t="n"/>
      <c r="I79" s="828" t="n"/>
      <c r="J79" s="54" t="n">
        <v>360</v>
      </c>
      <c r="K79" s="54" t="n"/>
      <c r="L79" s="162" t="n"/>
      <c r="M79" s="55" t="n"/>
      <c r="N79" s="158" t="n"/>
      <c r="O79" s="29" t="n"/>
      <c r="P79" s="18" t="n"/>
      <c r="Q79" s="18" t="n"/>
      <c r="R79" s="18" t="n"/>
      <c r="S79" s="18" t="n"/>
      <c r="T79" s="18" t="n"/>
      <c r="U79" s="18" t="n"/>
      <c r="V79" s="18" t="n"/>
      <c r="W79" s="18" t="n"/>
    </row>
    <row r="80">
      <c r="A80" s="37" t="n"/>
      <c r="B80" s="1553" t="n"/>
      <c r="C80" s="18" t="n"/>
      <c r="D80" s="53">
        <f>E80&amp;"--"&amp;(E80+4)</f>
        <v/>
      </c>
      <c r="E80" s="163" t="n">
        <v>56</v>
      </c>
      <c r="F80" s="1563" t="n"/>
      <c r="G80" s="54" t="n">
        <v>260</v>
      </c>
      <c r="H80" s="95" t="n"/>
      <c r="I80" s="828" t="n"/>
      <c r="J80" s="54" t="n">
        <v>310</v>
      </c>
      <c r="K80" s="54" t="n"/>
      <c r="L80" s="171" t="n"/>
      <c r="M80" s="55" t="n"/>
      <c r="N80" s="158" t="n"/>
      <c r="O80" s="29" t="n"/>
      <c r="P80" s="18" t="n"/>
      <c r="Q80" s="18" t="n"/>
      <c r="R80" s="18" t="n"/>
      <c r="S80" s="18" t="n"/>
      <c r="T80" s="18" t="n"/>
      <c r="U80" s="18" t="n"/>
      <c r="V80" s="18" t="n"/>
      <c r="W80" s="18" t="n"/>
    </row>
    <row r="81">
      <c r="A81" s="37" t="n"/>
      <c r="B81" s="1553" t="n"/>
      <c r="C81" s="18" t="n"/>
      <c r="D81" s="53">
        <f>E81&amp;"--"&amp;(E81+4)</f>
        <v/>
      </c>
      <c r="E81" s="163" t="n">
        <v>61</v>
      </c>
      <c r="F81" s="166" t="n"/>
      <c r="G81" s="54" t="n">
        <v>240</v>
      </c>
      <c r="H81" s="95" t="n"/>
      <c r="I81" s="828" t="n"/>
      <c r="J81" s="54" t="n">
        <v>260</v>
      </c>
      <c r="K81" s="54" t="n"/>
      <c r="L81" s="171" t="n"/>
      <c r="M81" s="55" t="n"/>
      <c r="N81" s="1586" t="n"/>
      <c r="O81" s="29" t="n"/>
      <c r="P81" s="18" t="n"/>
      <c r="Q81" s="18" t="n"/>
      <c r="R81" s="18" t="n"/>
      <c r="S81" s="18" t="n"/>
      <c r="T81" s="18" t="n"/>
      <c r="U81" s="18" t="n"/>
      <c r="V81" s="18" t="n"/>
      <c r="W81" s="18" t="n"/>
    </row>
    <row r="82" ht="13.5" customHeight="1" s="7635">
      <c r="A82" s="37" t="n"/>
      <c r="B82" s="1553" t="n"/>
      <c r="C82" s="18" t="n"/>
      <c r="D82" s="53">
        <f>E82&amp;"--"&amp;(E82+4)</f>
        <v/>
      </c>
      <c r="E82" s="163" t="n">
        <v>66</v>
      </c>
      <c r="F82" s="1563" t="n"/>
      <c r="G82" s="54" t="n">
        <v>170</v>
      </c>
      <c r="H82" s="95" t="n"/>
      <c r="I82" s="828" t="n"/>
      <c r="J82" s="54" t="n">
        <v>210</v>
      </c>
      <c r="K82" s="54" t="n"/>
      <c r="L82" s="171" t="n"/>
      <c r="M82" s="55" t="n"/>
      <c r="N82" s="1587" t="n"/>
      <c r="O82" s="29" t="n"/>
      <c r="P82" s="18" t="n"/>
      <c r="Q82" s="18" t="n"/>
      <c r="R82" s="18" t="n"/>
      <c r="S82" s="18" t="n"/>
      <c r="T82" s="18" t="n"/>
      <c r="U82" s="18" t="n"/>
      <c r="V82" s="18" t="n"/>
      <c r="W82" s="18" t="n"/>
    </row>
    <row r="83">
      <c r="A83" s="37" t="n"/>
      <c r="B83" s="1553" t="n"/>
      <c r="C83" s="18" t="n"/>
      <c r="D83" s="53">
        <f>E83&amp;" or older"</f>
        <v/>
      </c>
      <c r="E83" s="163" t="n">
        <v>71</v>
      </c>
      <c r="F83" s="1563" t="n"/>
      <c r="G83" s="54" t="n">
        <v>120</v>
      </c>
      <c r="H83" s="95" t="n"/>
      <c r="I83" s="828" t="n"/>
      <c r="J83" s="54" t="n">
        <v>160</v>
      </c>
      <c r="K83" s="54" t="n"/>
      <c r="L83" s="54" t="n"/>
      <c r="M83" s="55" t="n"/>
      <c r="N83" s="160" t="n"/>
      <c r="O83" s="29" t="n"/>
      <c r="P83" s="18" t="n"/>
      <c r="Q83" s="18" t="n"/>
      <c r="R83" s="18" t="n"/>
      <c r="S83" s="18" t="n"/>
      <c r="T83" s="18" t="n"/>
      <c r="U83" s="18" t="n"/>
      <c r="V83" s="18" t="n"/>
      <c r="W83" s="18" t="n"/>
    </row>
    <row r="84" ht="13.5" customHeight="1" s="7635" thickBot="1">
      <c r="A84" s="37" t="n"/>
      <c r="B84" s="1581" t="n"/>
      <c r="C84" s="24" t="n"/>
      <c r="D84" s="35" t="n"/>
      <c r="E84" s="35" t="n"/>
      <c r="F84" s="165" t="n"/>
      <c r="G84" s="1370">
        <f>IF(R28&lt;E80,G79,LOOKUP(R28,E80:E83,G80:G83))</f>
        <v/>
      </c>
      <c r="H84" s="164" t="n"/>
      <c r="I84" s="1561" t="n"/>
      <c r="J84" s="1370">
        <f>IF(R28&lt;E80,J79,LOOKUP(R28,E80:E83,J80:J83))</f>
        <v/>
      </c>
      <c r="K84" s="1564" t="n"/>
      <c r="L84" s="1368">
        <f>IF(OR(R16="",R28=""),"",IF(R16&gt;J74,J84,G84))</f>
        <v/>
      </c>
      <c r="M84" s="36" t="n"/>
      <c r="N84" s="160" t="n"/>
      <c r="O84" s="29" t="n"/>
      <c r="P84" s="18" t="n"/>
      <c r="Q84" s="18" t="n"/>
      <c r="R84" s="18" t="n"/>
      <c r="S84" s="18" t="n"/>
      <c r="T84" s="18" t="n"/>
      <c r="U84" s="18" t="n"/>
      <c r="V84" s="18" t="n"/>
      <c r="W84" s="18" t="n"/>
    </row>
    <row r="85">
      <c r="A85" s="37" t="n"/>
      <c r="B85" s="1553" t="n"/>
      <c r="C85" s="18" t="n"/>
      <c r="D85" s="943" t="n"/>
      <c r="E85" s="943" t="n"/>
      <c r="F85" s="1588" t="inlineStr">
        <is>
          <t>Table 2 For Line 3 Above</t>
        </is>
      </c>
      <c r="G85" s="943" t="n"/>
      <c r="H85" s="943" t="n"/>
      <c r="I85" s="943" t="n"/>
      <c r="J85" s="493" t="n">
        <v>35796</v>
      </c>
      <c r="K85" s="1369" t="n"/>
      <c r="L85" s="457">
        <f>AND(Q22&lt;&gt;"",R16&gt;=J85)</f>
        <v/>
      </c>
      <c r="M85" s="30" t="n"/>
      <c r="N85" s="160" t="n"/>
      <c r="O85" s="29" t="n"/>
      <c r="P85" s="18" t="n"/>
      <c r="Q85" s="18" t="n"/>
      <c r="R85" s="18" t="n"/>
      <c r="S85" s="18" t="n"/>
      <c r="T85" s="18" t="n"/>
      <c r="U85" s="18" t="n"/>
      <c r="V85" s="18" t="n"/>
      <c r="W85" s="18" t="n"/>
    </row>
    <row r="86">
      <c r="A86" s="37" t="n"/>
      <c r="B86" s="1553" t="n"/>
      <c r="C86" s="18" t="n"/>
      <c r="D86" s="29" t="n"/>
      <c r="E86" s="29" t="n"/>
      <c r="F86" s="29" t="n"/>
      <c r="G86" s="29" t="n"/>
      <c r="H86" s="29" t="n"/>
      <c r="I86" s="828" t="n"/>
      <c r="J86" s="29" t="n"/>
      <c r="K86" s="828" t="n"/>
      <c r="L86" s="162" t="n"/>
      <c r="M86" s="30" t="n"/>
      <c r="N86" s="160" t="n"/>
      <c r="O86" s="29" t="n"/>
      <c r="P86" s="18" t="n"/>
      <c r="Q86" s="18" t="n"/>
      <c r="R86" s="18" t="n"/>
      <c r="S86" s="18" t="n"/>
      <c r="T86" s="18" t="n"/>
      <c r="U86" s="18" t="n"/>
      <c r="V86" s="18" t="n"/>
      <c r="W86" s="18" t="n"/>
    </row>
    <row r="87">
      <c r="A87" s="37" t="n"/>
      <c r="B87" s="57" t="n"/>
      <c r="C87" s="180" t="inlineStr">
        <is>
          <t>IF the combined ages at annuity</t>
        </is>
      </c>
      <c r="D87" s="58" t="n"/>
      <c r="E87" s="58" t="n"/>
      <c r="F87" s="58" t="n"/>
      <c r="G87" s="58" t="n"/>
      <c r="H87" s="58" t="n"/>
      <c r="I87" s="828" t="n"/>
      <c r="J87" s="31" t="n"/>
      <c r="K87" s="828" t="n"/>
      <c r="L87" s="162" t="n"/>
      <c r="M87" s="30" t="n"/>
      <c r="N87" s="160" t="n"/>
      <c r="O87" s="29" t="n"/>
      <c r="P87" s="18" t="n"/>
      <c r="Q87" s="18" t="n"/>
      <c r="R87" s="18" t="n"/>
      <c r="S87" s="18" t="n"/>
      <c r="T87" s="18" t="n"/>
      <c r="U87" s="18" t="n"/>
      <c r="V87" s="18" t="n"/>
      <c r="W87" s="18" t="n"/>
    </row>
    <row r="88">
      <c r="A88" s="37" t="n"/>
      <c r="B88" s="1589" t="n"/>
      <c r="C88" s="1466" t="n"/>
      <c r="D88" s="1467" t="inlineStr">
        <is>
          <t xml:space="preserve"> starting date were . . .</t>
        </is>
      </c>
      <c r="E88" s="119" t="n"/>
      <c r="F88" s="119" t="n"/>
      <c r="G88" s="119" t="n"/>
      <c r="H88" s="119" t="n"/>
      <c r="I88" s="1468" t="inlineStr">
        <is>
          <t>THEN enter on line 3. . .</t>
        </is>
      </c>
      <c r="J88" s="52" t="n"/>
      <c r="K88" s="1468" t="n"/>
      <c r="L88" s="162" t="n"/>
      <c r="M88" s="1590" t="n"/>
      <c r="N88" s="158" t="n"/>
      <c r="O88" s="29" t="n"/>
      <c r="P88" s="18" t="n"/>
      <c r="Q88" s="18" t="n"/>
      <c r="R88" s="18" t="n"/>
      <c r="S88" s="18" t="n"/>
      <c r="T88" s="18" t="n"/>
      <c r="U88" s="18" t="n"/>
      <c r="V88" s="18" t="n"/>
      <c r="W88" s="18" t="n"/>
    </row>
    <row r="89" ht="13.5" customHeight="1" s="7635">
      <c r="A89" s="37" t="n"/>
      <c r="B89" s="57" t="n"/>
      <c r="C89" s="56" t="n"/>
      <c r="D89" s="53">
        <f>(E90-1)&amp;" or under"</f>
        <v/>
      </c>
      <c r="E89" s="53" t="n"/>
      <c r="F89" s="53" t="n"/>
      <c r="G89" s="53" t="n"/>
      <c r="H89" s="53" t="n"/>
      <c r="I89" s="95" t="n"/>
      <c r="J89" s="54" t="n">
        <v>410</v>
      </c>
      <c r="K89" s="828" t="n"/>
      <c r="L89" s="162" t="n"/>
      <c r="M89" s="156" t="n"/>
      <c r="N89" s="158" t="n"/>
      <c r="O89" s="29" t="n"/>
      <c r="P89" s="18" t="n"/>
      <c r="Q89" s="18" t="n"/>
      <c r="R89" s="18" t="n"/>
      <c r="S89" s="18" t="n"/>
      <c r="T89" s="18" t="n"/>
      <c r="U89" s="18" t="n"/>
      <c r="V89" s="18" t="n"/>
      <c r="W89" s="18" t="n"/>
    </row>
    <row r="90">
      <c r="A90" s="37" t="n"/>
      <c r="B90" s="57" t="n"/>
      <c r="C90" s="56" t="n"/>
      <c r="D90" s="53">
        <f>E90&amp;"--"&amp;E90+9</f>
        <v/>
      </c>
      <c r="E90" s="163" t="n">
        <v>111</v>
      </c>
      <c r="F90" s="53" t="n"/>
      <c r="G90" s="53" t="n"/>
      <c r="H90" s="53" t="n"/>
      <c r="I90" s="95" t="n"/>
      <c r="J90" s="54" t="n">
        <v>360</v>
      </c>
      <c r="K90" s="828" t="n"/>
      <c r="L90" s="54" t="n"/>
      <c r="M90" s="55" t="n"/>
      <c r="N90" s="158" t="n"/>
      <c r="O90" s="29" t="n"/>
      <c r="P90" s="18" t="n"/>
      <c r="Q90" s="18" t="n"/>
      <c r="R90" s="18" t="n"/>
      <c r="S90" s="18" t="n"/>
      <c r="T90" s="18" t="n"/>
      <c r="U90" s="18" t="n"/>
      <c r="V90" s="18" t="n"/>
      <c r="W90" s="18" t="n"/>
    </row>
    <row r="91">
      <c r="A91" s="37" t="n"/>
      <c r="B91" s="57" t="n"/>
      <c r="C91" s="56" t="n"/>
      <c r="D91" s="53">
        <f>E91&amp;"--"&amp;E91+9</f>
        <v/>
      </c>
      <c r="E91" s="163" t="n">
        <v>121</v>
      </c>
      <c r="F91" s="53" t="n"/>
      <c r="G91" s="53" t="n"/>
      <c r="H91" s="53" t="n"/>
      <c r="I91" s="95" t="n"/>
      <c r="J91" s="54" t="n">
        <v>310</v>
      </c>
      <c r="K91" s="828" t="n"/>
      <c r="L91" s="54" t="n"/>
      <c r="M91" s="55" t="n"/>
      <c r="N91" s="158" t="n"/>
      <c r="O91" s="29" t="n"/>
      <c r="P91" s="18" t="n"/>
      <c r="Q91" s="18" t="n"/>
      <c r="R91" s="18" t="n"/>
      <c r="S91" s="18" t="n"/>
      <c r="T91" s="18" t="n"/>
      <c r="U91" s="18" t="n"/>
      <c r="V91" s="18" t="n"/>
      <c r="W91" s="18" t="n"/>
    </row>
    <row r="92">
      <c r="A92" s="37" t="n"/>
      <c r="B92" s="57" t="n"/>
      <c r="C92" s="56" t="n"/>
      <c r="D92" s="53">
        <f>E92&amp;"--"&amp;E92+9</f>
        <v/>
      </c>
      <c r="E92" s="163" t="n">
        <v>131</v>
      </c>
      <c r="F92" s="53" t="n"/>
      <c r="G92" s="53" t="n"/>
      <c r="H92" s="53" t="n"/>
      <c r="I92" s="95" t="n"/>
      <c r="J92" s="54" t="n">
        <v>260</v>
      </c>
      <c r="K92" s="828" t="n"/>
      <c r="L92" s="54" t="n"/>
      <c r="M92" s="55" t="n"/>
      <c r="N92" s="1586" t="n"/>
      <c r="O92" s="29" t="n"/>
      <c r="P92" s="18" t="n"/>
      <c r="Q92" s="18" t="n"/>
      <c r="R92" s="18" t="n"/>
      <c r="S92" s="18" t="n"/>
      <c r="T92" s="18" t="n"/>
      <c r="U92" s="18" t="n"/>
      <c r="V92" s="18" t="n"/>
      <c r="W92" s="18" t="n"/>
    </row>
    <row r="93">
      <c r="A93" s="37" t="n"/>
      <c r="B93" s="57" t="n"/>
      <c r="C93" s="56" t="n"/>
      <c r="D93" s="53">
        <f>E93&amp;" or older"</f>
        <v/>
      </c>
      <c r="E93" s="163" t="n">
        <v>141</v>
      </c>
      <c r="F93" s="53" t="n"/>
      <c r="G93" s="53" t="n"/>
      <c r="H93" s="53" t="n"/>
      <c r="I93" s="95" t="n"/>
      <c r="J93" s="54" t="n">
        <v>210</v>
      </c>
      <c r="K93" s="828" t="n"/>
      <c r="L93" s="54" t="n"/>
      <c r="M93" s="55" t="n"/>
      <c r="N93" s="160" t="n"/>
      <c r="O93" s="29" t="n"/>
      <c r="P93" s="18" t="n"/>
      <c r="Q93" s="18" t="n"/>
      <c r="R93" s="18" t="n"/>
      <c r="S93" s="18" t="n"/>
      <c r="T93" s="18" t="n"/>
      <c r="U93" s="18" t="n"/>
      <c r="V93" s="18" t="n"/>
      <c r="W93" s="18" t="n"/>
    </row>
    <row r="94" ht="13.5" customHeight="1" s="7635" thickBot="1">
      <c r="A94" s="37" t="n"/>
      <c r="B94" s="1581" t="n"/>
      <c r="C94" s="24" t="n"/>
      <c r="D94" s="35" t="n"/>
      <c r="E94" s="35" t="n"/>
      <c r="F94" s="35" t="n"/>
      <c r="G94" s="35" t="n"/>
      <c r="H94" s="35" t="n"/>
      <c r="I94" s="1564" t="n"/>
      <c r="J94" s="1368">
        <f>IF(OR(Q22="",R28=""),"",IF(R28&lt;E90,J89,LOOKUP(R28,E90:E93,J90:J93)))</f>
        <v/>
      </c>
      <c r="K94" s="1564" t="n"/>
      <c r="L94" s="35" t="n"/>
      <c r="M94" s="36" t="n"/>
      <c r="N94" s="160" t="n"/>
      <c r="O94" s="29" t="n"/>
      <c r="P94" s="18" t="n"/>
      <c r="Q94" s="18" t="n"/>
      <c r="R94" s="18" t="n"/>
      <c r="S94" s="18" t="n"/>
      <c r="T94" s="18" t="n"/>
      <c r="U94" s="18" t="n"/>
      <c r="V94" s="18" t="n"/>
      <c r="W94" s="18" t="n"/>
    </row>
    <row r="95" ht="9.75" customHeight="1" s="7635">
      <c r="A95" s="37" t="n"/>
      <c r="B95" s="177" t="n"/>
      <c r="C95" s="1591" t="n"/>
      <c r="D95" s="178" t="n"/>
      <c r="E95" s="178" t="n"/>
      <c r="F95" s="178" t="n"/>
      <c r="G95" s="178" t="n"/>
      <c r="H95" s="178" t="n"/>
      <c r="I95" s="1592" t="n"/>
      <c r="J95" s="158" t="n"/>
      <c r="K95" s="1593" t="n"/>
      <c r="L95" s="158" t="n"/>
      <c r="M95" s="158" t="n"/>
      <c r="N95" s="160" t="n"/>
      <c r="O95" s="29" t="n"/>
      <c r="P95" s="18" t="n"/>
      <c r="Q95" s="18" t="n"/>
      <c r="R95" s="18" t="n"/>
      <c r="S95" s="18" t="n"/>
      <c r="T95" s="18" t="n"/>
      <c r="U95" s="18" t="n"/>
      <c r="V95" s="18" t="n"/>
      <c r="W95" s="18" t="n"/>
    </row>
    <row r="96" ht="12.75" customHeight="1" s="7635">
      <c r="A96" s="1556" t="n"/>
      <c r="B96" s="1556" t="n"/>
      <c r="C96" s="1556" t="n"/>
      <c r="D96" s="39" t="n"/>
      <c r="E96" s="39" t="n"/>
      <c r="F96" s="39" t="n"/>
      <c r="G96" s="39" t="n"/>
      <c r="H96" s="39" t="n"/>
      <c r="I96" s="828" t="n"/>
      <c r="J96" s="29" t="n"/>
      <c r="K96" s="828" t="n"/>
      <c r="L96" s="29" t="n"/>
      <c r="M96" s="29" t="n"/>
      <c r="N96" s="29" t="n"/>
      <c r="O96" s="29" t="n"/>
      <c r="P96" s="18" t="n"/>
      <c r="Q96" s="18" t="n"/>
      <c r="R96" s="18" t="n"/>
      <c r="S96" s="18" t="n"/>
      <c r="T96" s="18" t="n"/>
      <c r="U96" s="29" t="n"/>
      <c r="V96" s="18" t="n"/>
      <c r="W96" s="18" t="n"/>
    </row>
    <row r="97" ht="13.5" customHeight="1" s="7635"/>
    <row r="98" ht="14.25" customHeight="1" s="7635"/>
    <row r="100" ht="13.5" customHeight="1" s="7635" thickBot="1"/>
    <row r="101">
      <c r="D101" s="12006" t="inlineStr">
        <is>
          <t>Table of Contents</t>
        </is>
      </c>
    </row>
    <row r="102">
      <c r="D102" s="12007" t="n"/>
    </row>
    <row r="103" ht="13.5" customHeight="1" s="7635" thickBot="1">
      <c r="D103" s="12008" t="n"/>
    </row>
  </sheetData>
  <sheetProtection selectLockedCells="0" selectUnlockedCells="0" algorithmName="SHA-512" sheet="1" objects="1" insertRows="1" insertHyperlinks="1" autoFilter="1" scenarios="1" formatColumns="0" deleteColumns="1" insertColumns="1" pivotTables="1" deleteRows="1" formatCells="0" saltValue="ZVCnSwFBusFAX7x2glur5w==" formatRows="0" sort="1" spinCount="100000" hashValue="nagmCBwwmMhPM9LX6tVY1lGsxTmfV/YeP6UB/iaTJ0nhPFDh30tIALRweAOf16BTwCqYZAcCotBKWBfFQdmgJg=="/>
  <mergeCells count="13">
    <mergeCell ref="P23:T23"/>
    <mergeCell ref="D101:D103"/>
    <mergeCell ref="R16:S16"/>
    <mergeCell ref="P12:T12"/>
    <mergeCell ref="P52:U52"/>
    <mergeCell ref="P20:T20"/>
    <mergeCell ref="G76:H76"/>
    <mergeCell ref="P32:T36"/>
    <mergeCell ref="P53:U53"/>
    <mergeCell ref="P11:T11"/>
    <mergeCell ref="J76:K76"/>
    <mergeCell ref="R28:S28"/>
    <mergeCell ref="P24:T24"/>
  </mergeCells>
  <conditionalFormatting sqref="B38">
    <cfRule type="expression" priority="5" dxfId="0">
      <formula>IF($L$42="",1,0)</formula>
    </cfRule>
  </conditionalFormatting>
  <conditionalFormatting sqref="B58">
    <cfRule type="expression" priority="1" dxfId="0">
      <formula>($L$42="")</formula>
    </cfRule>
  </conditionalFormatting>
  <conditionalFormatting sqref="C65">
    <cfRule type="expression" priority="3" dxfId="6">
      <formula>NoColor</formula>
    </cfRule>
  </conditionalFormatting>
  <conditionalFormatting sqref="C67">
    <cfRule type="expression" priority="2" dxfId="6">
      <formula>NoColor</formula>
    </cfRule>
  </conditionalFormatting>
  <conditionalFormatting sqref="D65">
    <cfRule type="expression" priority="60" dxfId="1305" stopIfTrue="1">
      <formula>IF(C65="X",1,0)</formula>
    </cfRule>
  </conditionalFormatting>
  <conditionalFormatting sqref="G79:G83">
    <cfRule type="expression" priority="1529" dxfId="3284" stopIfTrue="1">
      <formula>IF(AND($L$85=FALSE,G79=$L$84,$R$16&lt;=$J$74),1,0)</formula>
    </cfRule>
  </conditionalFormatting>
  <conditionalFormatting sqref="J43">
    <cfRule type="expression" priority="35" dxfId="6">
      <formula>IF(NoColor,1,0)</formula>
    </cfRule>
  </conditionalFormatting>
  <conditionalFormatting sqref="J49">
    <cfRule type="expression" priority="5404" dxfId="14">
      <formula>IF(OR(R28="",AND(L84="",J94="")),1,0)</formula>
    </cfRule>
  </conditionalFormatting>
  <conditionalFormatting sqref="J49:J50">
    <cfRule type="expression" priority="41" dxfId="6">
      <formula>IF(NoColor,1,0)</formula>
    </cfRule>
  </conditionalFormatting>
  <conditionalFormatting sqref="J53">
    <cfRule type="expression" priority="40" dxfId="6">
      <formula>IF(NoColor,1,0)</formula>
    </cfRule>
  </conditionalFormatting>
  <conditionalFormatting sqref="J55:J56">
    <cfRule type="expression" priority="33" dxfId="6">
      <formula>IF(NoColor,1,0)</formula>
    </cfRule>
  </conditionalFormatting>
  <conditionalFormatting sqref="J79:J83">
    <cfRule type="expression" priority="1530" dxfId="3284" stopIfTrue="1">
      <formula>IF(AND($L$85=FALSE,J79=$L$84,$R$16&gt;$J$74),1,0)</formula>
    </cfRule>
  </conditionalFormatting>
  <conditionalFormatting sqref="J89:J93">
    <cfRule type="expression" priority="1528" dxfId="3284" stopIfTrue="1">
      <formula>IF(AND($L$85=TRUE,J89=$J$94),1,0)</formula>
    </cfRule>
  </conditionalFormatting>
  <conditionalFormatting sqref="L42">
    <cfRule type="expression" priority="6" dxfId="6">
      <formula>IF(NoColor,1,0)</formula>
    </cfRule>
  </conditionalFormatting>
  <conditionalFormatting sqref="L44:L45">
    <cfRule type="expression" priority="63" dxfId="1299" stopIfTrue="1">
      <formula>IF($K$45&lt;&gt;"",1,0)</formula>
    </cfRule>
  </conditionalFormatting>
  <conditionalFormatting sqref="L46:L48 L55:M55">
    <cfRule type="expression" priority="15" dxfId="1299" stopIfTrue="1">
      <formula>IF($R$51&lt;=12,1,0)</formula>
    </cfRule>
  </conditionalFormatting>
  <conditionalFormatting sqref="L49">
    <cfRule type="expression" priority="19" dxfId="3280" stopIfTrue="1">
      <formula>IF(AND($Q$45&lt;&gt;"",$L$50=""),1,0)</formula>
    </cfRule>
    <cfRule type="expression" priority="20" dxfId="2975">
      <formula>IF(AND($Q$45&lt;&gt;"",$L$50&lt;&gt;""),1,0)</formula>
    </cfRule>
  </conditionalFormatting>
  <conditionalFormatting sqref="L50">
    <cfRule type="expression" priority="14" dxfId="3278">
      <formula>IF($Q$45="",1,0)</formula>
    </cfRule>
    <cfRule type="expression" priority="34" dxfId="6">
      <formula>IF(NoColor,1,0)</formula>
    </cfRule>
  </conditionalFormatting>
  <conditionalFormatting sqref="L51:L54">
    <cfRule type="expression" priority="10" dxfId="1299" stopIfTrue="1">
      <formula>IF($R$51&lt;=12,1,0)</formula>
    </cfRule>
  </conditionalFormatting>
  <conditionalFormatting sqref="L57:L58">
    <cfRule type="expression" priority="38" dxfId="6">
      <formula>IF(NoColor,1,0)</formula>
    </cfRule>
  </conditionalFormatting>
  <conditionalFormatting sqref="L62">
    <cfRule type="expression" priority="37" dxfId="6">
      <formula>IF(NoColor,1,0)</formula>
    </cfRule>
  </conditionalFormatting>
  <conditionalFormatting sqref="L68:L71">
    <cfRule type="expression" priority="36" dxfId="6">
      <formula>IF(NoColor,1,0)</formula>
    </cfRule>
  </conditionalFormatting>
  <conditionalFormatting sqref="L74:L77">
    <cfRule type="expression" priority="1267" dxfId="1299" stopIfTrue="1">
      <formula>IF(OR($R$16="",$L$75=TRUE,$R$28&lt;&gt;""),1,0)</formula>
    </cfRule>
  </conditionalFormatting>
  <conditionalFormatting sqref="L79">
    <cfRule type="expression" priority="1564" dxfId="1299" stopIfTrue="1">
      <formula>IF(OR($L$85=TRUE,$R$77&lt;&gt;""),1,0)</formula>
    </cfRule>
  </conditionalFormatting>
  <conditionalFormatting sqref="L80:L82">
    <cfRule type="expression" priority="55" dxfId="1299" stopIfTrue="1">
      <formula>IF($R$16&lt;&gt;"",1,0)</formula>
    </cfRule>
  </conditionalFormatting>
  <conditionalFormatting sqref="L86:L89 M89">
    <cfRule type="expression" priority="1565" dxfId="1299" stopIfTrue="1">
      <formula>IF(OR($R$89&lt;&gt;"",$L$85=FALSE),1,0)</formula>
    </cfRule>
  </conditionalFormatting>
  <conditionalFormatting sqref="M49">
    <cfRule type="expression" priority="21" dxfId="1299" stopIfTrue="1">
      <formula>IF($R$51&lt;=12,1,0)</formula>
    </cfRule>
  </conditionalFormatting>
  <conditionalFormatting sqref="M51:M52">
    <cfRule type="expression" priority="4" dxfId="1299" stopIfTrue="1">
      <formula>IF($R$51&lt;=12,1,0)</formula>
    </cfRule>
  </conditionalFormatting>
  <conditionalFormatting sqref="M54">
    <cfRule type="expression" priority="46" dxfId="1299" stopIfTrue="1">
      <formula>IF($R$51&lt;=12,1,0)</formula>
    </cfRule>
  </conditionalFormatting>
  <conditionalFormatting sqref="P21 U21">
    <cfRule type="expression" priority="5407" dxfId="3259" stopIfTrue="1">
      <formula>IF($R$16&lt;$J$75,1,0)</formula>
    </cfRule>
  </conditionalFormatting>
  <conditionalFormatting sqref="P22">
    <cfRule type="expression" priority="5409" dxfId="3264" stopIfTrue="1">
      <formula>IF($R$16&lt;$J$75,1,0)</formula>
    </cfRule>
  </conditionalFormatting>
  <conditionalFormatting sqref="P25:U25">
    <cfRule type="expression" priority="5410" dxfId="3263" stopIfTrue="1">
      <formula>IF($R$16&lt;$J$75,1,0)</formula>
    </cfRule>
  </conditionalFormatting>
  <conditionalFormatting sqref="Q22">
    <cfRule type="expression" priority="5411" dxfId="3262" stopIfTrue="1">
      <formula>IF($R$16&lt;$J$83,1,0)</formula>
    </cfRule>
  </conditionalFormatting>
  <conditionalFormatting sqref="Q21:T21">
    <cfRule type="expression" priority="5412" dxfId="3261" stopIfTrue="1">
      <formula>IF($R$16&lt;$J$75,1,0)</formula>
    </cfRule>
  </conditionalFormatting>
  <conditionalFormatting sqref="P23:P24 R22 T22">
    <cfRule type="expression" priority="5413" dxfId="1299" stopIfTrue="1">
      <formula>IF($R$16&lt;$J$83,1,0)</formula>
    </cfRule>
  </conditionalFormatting>
  <conditionalFormatting sqref="S22">
    <cfRule type="expression" priority="5416" dxfId="3259" stopIfTrue="1">
      <formula>IF($R$16&lt;$J$83,1,0)</formula>
    </cfRule>
  </conditionalFormatting>
  <conditionalFormatting sqref="U22:U24">
    <cfRule type="expression" priority="5417" dxfId="3258" stopIfTrue="1">
      <formula>IF($R$16&lt;$J$75,1,0)</formula>
    </cfRule>
  </conditionalFormatting>
  <hyperlinks>
    <hyperlink ref="D101" location="'Table of Contents'!A1" display="Table of Contents"/>
  </hyperlinks>
  <pageMargins left="0.75" right="0.25" top="0.36" bottom="0.29" header="0.36" footer="0.21"/>
  <pageSetup orientation="portrait" scale="84" fitToHeight="0"/>
</worksheet>
</file>

<file path=xl/worksheets/sheet24.xml><?xml version="1.0" encoding="utf-8"?>
<worksheet xmlns="http://schemas.openxmlformats.org/spreadsheetml/2006/main">
  <sheetPr codeName="Sheet19">
    <outlinePr summaryBelow="1" summaryRight="1"/>
    <pageSetUpPr fitToPage="1"/>
  </sheetPr>
  <dimension ref="A1:AC54"/>
  <sheetViews>
    <sheetView zoomScaleNormal="100" workbookViewId="0">
      <selection activeCell="A1" sqref="A1"/>
    </sheetView>
  </sheetViews>
  <sheetFormatPr baseColWidth="8" defaultColWidth="9.140625" defaultRowHeight="12.75"/>
  <cols>
    <col width="2.42578125" customWidth="1" style="7635" min="1" max="1"/>
    <col width="1.5703125" customWidth="1" style="7635" min="2" max="2"/>
    <col width="3.5703125" customWidth="1" style="7635" min="3" max="3"/>
    <col width="2.28515625" customWidth="1" style="7635" min="4" max="4"/>
    <col width="29.140625" customWidth="1" style="7635" min="5" max="5"/>
    <col width="9.7109375" customWidth="1" style="7635" min="6" max="6"/>
    <col width="12.7109375" customWidth="1" style="7635" min="7" max="7"/>
    <col width="17.140625" customWidth="1" style="7635" min="8" max="8"/>
    <col width="12.140625" customWidth="1" style="7635" min="9" max="9"/>
    <col width="8.140625" customWidth="1" style="7635" min="10" max="10"/>
    <col width="4.28515625" customWidth="1" style="7635" min="11" max="11"/>
    <col width="16.42578125" customWidth="1" style="7635" min="12" max="12"/>
    <col width="2.140625" customWidth="1" style="7635" min="13" max="15"/>
    <col width="2" customWidth="1" style="7635" min="16" max="16"/>
    <col width="3.140625" customWidth="1" style="7635" min="17" max="17"/>
    <col width="11.42578125" customWidth="1" style="7635" min="18" max="18"/>
    <col width="9.7109375" customWidth="1" style="7635" min="19" max="19"/>
    <col width="12" customWidth="1" style="12009" min="21" max="21"/>
    <col width="9.140625" customWidth="1" style="815" min="22" max="23"/>
    <col width="10.140625" bestFit="1" customWidth="1" style="815" min="24" max="24"/>
    <col width="9.140625" customWidth="1" style="815" min="25" max="28"/>
    <col width="9.140625" customWidth="1" style="2496" min="29" max="29"/>
  </cols>
  <sheetData>
    <row r="1" ht="16.5" customHeight="1" s="7635">
      <c r="A1" s="139" t="n"/>
      <c r="B1" s="139" t="n"/>
      <c r="C1" s="139" t="n"/>
      <c r="D1" s="139" t="n"/>
      <c r="E1" s="139" t="n"/>
      <c r="F1" s="139" t="n"/>
      <c r="G1" s="139" t="n"/>
      <c r="H1" s="139" t="n"/>
      <c r="I1" s="139" t="n"/>
      <c r="J1" s="139" t="n"/>
      <c r="K1" s="139" t="n"/>
      <c r="L1" s="8355">
        <f>IF('Table of Contents'!A29="D","DRAFT","")</f>
        <v/>
      </c>
      <c r="M1" s="139" t="n"/>
      <c r="N1" s="139" t="n"/>
      <c r="O1" s="88" t="n"/>
      <c r="P1" s="2393" t="n"/>
      <c r="Q1" s="88" t="n"/>
      <c r="R1" s="88" t="n"/>
      <c r="S1" s="88" t="n"/>
      <c r="T1" s="88" t="n"/>
      <c r="U1" s="11697" t="inlineStr">
        <is>
          <t>Notes</t>
        </is>
      </c>
      <c r="V1" s="658" t="n"/>
      <c r="W1" s="658" t="n"/>
      <c r="X1" s="658" t="n"/>
      <c r="Y1" s="658" t="n"/>
      <c r="Z1" s="658" t="n"/>
      <c r="AA1" s="658" t="n"/>
      <c r="AB1" s="658" t="n"/>
      <c r="AC1" s="2494" t="n"/>
    </row>
    <row r="2" ht="37.5" customHeight="1" s="7635" thickBot="1">
      <c r="A2" s="139" t="n"/>
      <c r="B2" s="88" t="n"/>
      <c r="C2" s="2394" t="inlineStr">
        <is>
          <t>Social Security Benefits Worksheet – Lines 6a and 6b</t>
        </is>
      </c>
      <c r="D2" s="2395" t="n"/>
      <c r="E2" s="91" t="n"/>
      <c r="F2" s="91" t="n"/>
      <c r="G2" s="91" t="n"/>
      <c r="H2" s="2395" t="n"/>
      <c r="I2" s="2396" t="n"/>
      <c r="J2" s="2397" t="inlineStr">
        <is>
          <t>Keep for Your Records</t>
        </is>
      </c>
      <c r="K2" s="2397" t="n"/>
      <c r="L2" s="2398" t="n"/>
      <c r="M2" s="2399" t="n"/>
      <c r="N2" s="2400" t="n"/>
      <c r="O2" s="2399" t="n"/>
      <c r="P2" s="2393" t="n"/>
      <c r="Q2" s="88" t="n"/>
      <c r="R2" s="88" t="n"/>
      <c r="S2" s="88" t="n"/>
      <c r="T2" s="88" t="n"/>
      <c r="U2" s="12010" t="inlineStr">
        <is>
          <t>Date</t>
        </is>
      </c>
      <c r="V2" s="658" t="n"/>
      <c r="W2" s="658" t="n"/>
      <c r="X2" s="658" t="n"/>
      <c r="Y2" s="658" t="n"/>
      <c r="Z2" s="658" t="n"/>
      <c r="AA2" s="658" t="n"/>
      <c r="AB2" s="658" t="n"/>
      <c r="AC2" s="2494" t="n"/>
    </row>
    <row r="3" ht="18.75" customHeight="1" s="7635">
      <c r="A3" s="2401" t="n"/>
      <c r="B3" s="2402" t="n"/>
      <c r="C3" s="2403" t="inlineStr">
        <is>
          <t>Before you begin:</t>
        </is>
      </c>
      <c r="D3" s="2403" t="n"/>
      <c r="E3" s="2404" t="n"/>
      <c r="F3" s="2404" t="n"/>
      <c r="G3" s="2404" t="n"/>
      <c r="H3" s="2403" t="n"/>
      <c r="I3" s="2405" t="n"/>
      <c r="J3" s="2405" t="n"/>
      <c r="K3" s="2406" t="n"/>
      <c r="L3" s="2393" t="n"/>
      <c r="M3" s="2407" t="n"/>
      <c r="N3" s="2408" t="n"/>
      <c r="O3" s="2393" t="n"/>
      <c r="P3" s="9460" t="n"/>
      <c r="Q3" s="2410">
        <f>IF(File_Marr_Sep="","",IF(LivedApartAnswered,"You have indicated on","Be sure to indicate on"))</f>
        <v/>
      </c>
      <c r="R3" s="1839" t="n"/>
      <c r="S3" s="2411" t="n"/>
      <c r="T3" s="88" t="n"/>
      <c r="U3" s="12011" t="inlineStr">
        <is>
          <t xml:space="preserve">Publication 915, Social Security and Equivalent Railroad Retirement Benefits </t>
        </is>
      </c>
      <c r="V3" s="658" t="n"/>
      <c r="W3" s="658" t="n"/>
      <c r="X3" s="658" t="n"/>
      <c r="Y3" s="658" t="n"/>
      <c r="Z3" s="658" t="n"/>
      <c r="AA3" s="658" t="n"/>
      <c r="AB3" s="658" t="n"/>
      <c r="AC3" s="2494" t="n"/>
    </row>
    <row r="4" ht="15.75" customHeight="1" s="7635">
      <c r="A4" s="139" t="n"/>
      <c r="B4" s="2412" t="n"/>
      <c r="C4" s="6069" t="inlineStr">
        <is>
          <t>ü</t>
        </is>
      </c>
      <c r="D4" s="7829" t="n"/>
      <c r="E4" s="3467" t="inlineStr">
        <is>
          <t>If the instructions for Schedule 1, line 24z, have you enter a write-in adjustment on line 24z, figure that</t>
        </is>
      </c>
      <c r="F4" s="3467" t="n"/>
      <c r="G4" s="3467" t="n"/>
      <c r="H4" s="2416" t="n"/>
      <c r="I4" s="2406" t="n"/>
      <c r="J4" s="2406" t="n"/>
      <c r="K4" s="2417" t="n"/>
      <c r="L4" s="2393" t="n"/>
      <c r="M4" s="2418" t="n"/>
      <c r="N4" s="2408" t="n"/>
      <c r="O4" s="2393" t="n"/>
      <c r="P4" s="2419" t="n"/>
      <c r="Q4" s="6195">
        <f>IF(File_Marr_Sep="","",IF(LivedApartAnswered,"on Form 1040 that you have","Form 1040 whether you have"))</f>
        <v/>
      </c>
      <c r="R4" s="2420" t="n"/>
      <c r="S4" s="2421" t="n"/>
      <c r="T4" s="88" t="n"/>
      <c r="U4" s="11700" t="inlineStr">
        <is>
          <t>Enter your total income that is taxable (excluding line A), such as pensions, wages, interest,</t>
        </is>
      </c>
      <c r="V4" s="658" t="n"/>
      <c r="W4" s="658" t="n"/>
      <c r="X4" s="658" t="n"/>
      <c r="Y4" s="658" t="n"/>
      <c r="Z4" s="658" t="n"/>
      <c r="AA4" s="658" t="n"/>
      <c r="AB4" s="658" t="n"/>
      <c r="AC4" s="2494" t="n"/>
    </row>
    <row r="5" ht="13.5" customHeight="1" s="7635">
      <c r="A5" s="139" t="n"/>
      <c r="B5" s="2412" t="n"/>
      <c r="C5" s="7829" t="n"/>
      <c r="D5" s="7829" t="n"/>
      <c r="E5" s="3467" t="inlineStr">
        <is>
          <t>write-in before completing this worksheet (see the instructions for Schedule 1, line 24z).</t>
        </is>
      </c>
      <c r="F5" s="3467" t="n"/>
      <c r="G5" s="3467" t="n"/>
      <c r="H5" s="2416" t="n"/>
      <c r="I5" s="2406" t="n"/>
      <c r="J5" s="2406" t="n"/>
      <c r="K5" s="2417" t="n"/>
      <c r="L5" s="2393" t="n"/>
      <c r="M5" s="2418" t="n"/>
      <c r="N5" s="2408" t="n"/>
      <c r="O5" s="2393" t="n"/>
      <c r="P5" s="2419" t="n"/>
      <c r="Q5" s="6195">
        <f>IF(AND(File_Marr_Sep&lt;&gt;"",NOT(LivedApartAnswered)),"lived apart",IF(AND(File_Marr_Sep&lt;&gt;"",LivedApart),"LIVED APART",IF(AND(File_Marr_Sep&lt;&gt;"",NOT(LivedApart)),"NOT LIVED APART","")))</f>
        <v/>
      </c>
      <c r="R5" s="2422" t="n"/>
      <c r="S5" s="2421" t="n"/>
      <c r="T5" s="88" t="n"/>
      <c r="U5" s="11700" t="inlineStr">
        <is>
          <t>ordinary dividends, and capital gain distributions. Don’t reduce your income by any deductions,</t>
        </is>
      </c>
      <c r="V5" s="658" t="n"/>
      <c r="W5" s="658" t="n"/>
      <c r="X5" s="658" t="n"/>
      <c r="Y5" s="658" t="n"/>
      <c r="Z5" s="658" t="n"/>
      <c r="AA5" s="658" t="n"/>
      <c r="AB5" s="658" t="n"/>
      <c r="AC5" s="2494" t="n"/>
    </row>
    <row r="6" ht="13.5" customHeight="1" s="7635">
      <c r="A6" s="139" t="n"/>
      <c r="B6" s="2412" t="n"/>
      <c r="C6" s="6069" t="inlineStr">
        <is>
          <t>ü</t>
        </is>
      </c>
      <c r="D6" s="7829" t="n"/>
      <c r="E6" s="3467" t="inlineStr">
        <is>
          <t>If  you  are  married  filing  separately  and  you  lived apart from your</t>
        </is>
      </c>
      <c r="F6" s="3467" t="n"/>
      <c r="G6" s="3467" t="n"/>
      <c r="H6" s="2423" t="n"/>
      <c r="I6" s="3467">
        <f>"spouse for all of "&amp;TaxYear&amp;", check the box"</f>
        <v/>
      </c>
      <c r="J6" s="2406" t="n"/>
      <c r="K6" s="2417" t="n"/>
      <c r="L6" s="2424" t="n"/>
      <c r="M6" s="2418" t="n"/>
      <c r="N6" s="2408" t="n"/>
      <c r="O6" s="2393" t="n"/>
      <c r="P6" s="2419" t="n"/>
      <c r="Q6" s="2410">
        <f>IF(File_Marr_Sep&lt;&gt;"","from your spouse","")</f>
        <v/>
      </c>
      <c r="R6" s="2420" t="n"/>
      <c r="S6" s="2421" t="n"/>
      <c r="T6" s="88" t="n"/>
      <c r="U6" s="11700" t="inlineStr">
        <is>
          <t>exclusions (listed earlier), or exemptions</t>
        </is>
      </c>
      <c r="V6" s="658" t="n"/>
      <c r="W6" s="658" t="n"/>
      <c r="X6" s="658" t="n"/>
      <c r="Y6" s="658" t="n"/>
      <c r="Z6" s="658" t="n"/>
      <c r="AA6" s="658" t="n"/>
      <c r="AB6" s="658" t="n"/>
      <c r="AC6" s="2494" t="n"/>
    </row>
    <row r="7" ht="13.5" customHeight="1" s="7635">
      <c r="A7" s="139" t="n"/>
      <c r="B7" s="2412" t="n"/>
      <c r="C7" s="2413" t="n"/>
      <c r="D7" s="7829" t="n"/>
      <c r="E7" s="3467" t="inlineStr">
        <is>
          <t>on line 6d.</t>
        </is>
      </c>
      <c r="F7" s="3467" t="n"/>
      <c r="G7" s="3467" t="n"/>
      <c r="H7" s="2416" t="n"/>
      <c r="I7" s="2406" t="n"/>
      <c r="J7" s="2406" t="n"/>
      <c r="K7" s="2417" t="n"/>
      <c r="L7" s="2426" t="n"/>
      <c r="M7" s="2427" t="n"/>
      <c r="N7" s="2408" t="n"/>
      <c r="O7" s="2393" t="n"/>
      <c r="P7" s="8936" t="n"/>
      <c r="Q7" s="6195">
        <f>IF(File_Marr_Sep&lt;&gt;"","for ALL of "&amp;TaxYear&amp;".","")</f>
        <v/>
      </c>
      <c r="R7" s="2430" t="n"/>
      <c r="S7" s="2421" t="n"/>
      <c r="T7" s="88" t="n"/>
      <c r="U7" s="11704" t="n"/>
      <c r="V7" s="658" t="n"/>
      <c r="W7" s="658" t="n"/>
      <c r="X7" s="658" t="n"/>
      <c r="Y7" s="658" t="n"/>
      <c r="Z7" s="658" t="n"/>
      <c r="AA7" s="658" t="n"/>
      <c r="AB7" s="658" t="n"/>
      <c r="AC7" s="2494" t="n"/>
    </row>
    <row r="8" ht="13.5" customHeight="1" s="7635">
      <c r="A8" s="139" t="n"/>
      <c r="B8" s="2412" t="n"/>
      <c r="C8" s="6069" t="inlineStr">
        <is>
          <t>ü</t>
        </is>
      </c>
      <c r="D8" s="7829" t="n"/>
      <c r="E8" s="3467" t="inlineStr">
        <is>
          <t>Be sure you have read the Exception in the line 6a and 6b instructions to see if you can use this</t>
        </is>
      </c>
      <c r="F8" s="3467" t="n"/>
      <c r="G8" s="3467" t="n"/>
      <c r="H8" s="2416" t="n"/>
      <c r="I8" s="2406" t="n"/>
      <c r="J8" s="2406" t="n"/>
      <c r="K8" s="2417" t="n"/>
      <c r="L8" s="2393" t="n"/>
      <c r="M8" s="2418" t="n"/>
      <c r="N8" s="2408" t="n"/>
      <c r="O8" s="2425" t="n"/>
      <c r="P8" s="1839" t="n"/>
      <c r="Q8" s="6194" t="n"/>
      <c r="R8" s="6698">
        <f>AND(File_Marr_Sep&lt;&gt;"",NOT(LivedApart))</f>
        <v/>
      </c>
      <c r="S8" s="1839" t="n"/>
      <c r="T8" s="88" t="n"/>
      <c r="U8" s="11704" t="n"/>
      <c r="V8" s="658" t="n"/>
      <c r="W8" s="658" t="n"/>
      <c r="X8" s="658" t="n"/>
      <c r="Y8" s="658" t="n"/>
      <c r="Z8" s="658" t="n"/>
      <c r="AA8" s="658" t="n"/>
      <c r="AB8" s="658" t="n"/>
      <c r="AC8" s="2494" t="n"/>
    </row>
    <row r="9" ht="13.5" customHeight="1" s="7635">
      <c r="A9" s="139" t="n"/>
      <c r="B9" s="2412" t="n"/>
      <c r="C9" s="2467" t="n"/>
      <c r="D9" s="7829" t="n"/>
      <c r="E9" s="3467" t="inlineStr">
        <is>
          <t>worksheet instead of a publication to find out if any of your benefits are taxable.</t>
        </is>
      </c>
      <c r="F9" s="3467" t="n"/>
      <c r="G9" s="3467" t="n"/>
      <c r="H9" s="2416" t="n"/>
      <c r="I9" s="2406" t="n"/>
      <c r="J9" s="2406" t="n"/>
      <c r="K9" s="2417" t="n"/>
      <c r="L9" s="2393" t="n"/>
      <c r="M9" s="2418" t="n"/>
      <c r="N9" s="2428" t="n"/>
      <c r="O9" s="2425" t="n"/>
      <c r="P9" s="88" t="n"/>
      <c r="Q9" s="88" t="n"/>
      <c r="R9" s="88" t="n"/>
      <c r="S9" s="88" t="n"/>
      <c r="T9" s="88" t="n"/>
      <c r="U9" s="11704" t="n"/>
      <c r="V9" s="658" t="n"/>
      <c r="W9" s="658" t="n"/>
      <c r="X9" s="658" t="n"/>
      <c r="Y9" s="658" t="n"/>
      <c r="Z9" s="658" t="n"/>
      <c r="AA9" s="658" t="n"/>
      <c r="AB9" s="658" t="n"/>
      <c r="AC9" s="2494" t="n"/>
    </row>
    <row r="10" ht="5.25" customHeight="1" s="7635">
      <c r="A10" s="139" t="n"/>
      <c r="B10" s="2434" t="n"/>
      <c r="C10" s="2435" t="n"/>
      <c r="D10" s="2436" t="n"/>
      <c r="E10" s="2437" t="n"/>
      <c r="F10" s="2437" t="n"/>
      <c r="G10" s="2437" t="n"/>
      <c r="H10" s="2438" t="n"/>
      <c r="I10" s="2438" t="n"/>
      <c r="J10" s="2438" t="n"/>
      <c r="K10" s="2438" t="n"/>
      <c r="L10" s="2439" t="n"/>
      <c r="M10" s="2440" t="n"/>
      <c r="N10" s="2408" t="n"/>
      <c r="O10" s="2393" t="n"/>
      <c r="P10" s="88" t="n"/>
      <c r="Q10" s="7847" t="n"/>
      <c r="R10" s="7831" t="inlineStr">
        <is>
          <t>Manual</t>
        </is>
      </c>
      <c r="S10" s="88" t="n"/>
      <c r="T10" s="88" t="n"/>
      <c r="U10" s="11704" t="n"/>
      <c r="V10" s="658" t="n"/>
      <c r="W10" s="658" t="n"/>
      <c r="X10" s="658" t="n"/>
      <c r="Y10" s="658" t="n"/>
      <c r="Z10" s="658" t="n"/>
      <c r="AA10" s="658" t="n"/>
      <c r="AB10" s="658" t="n"/>
      <c r="AC10" s="2494" t="n"/>
    </row>
    <row r="11" ht="6" customHeight="1" s="7635">
      <c r="A11" s="139" t="n"/>
      <c r="B11" s="2412" t="n"/>
      <c r="C11" s="2442" t="n"/>
      <c r="D11" s="2443" t="n"/>
      <c r="E11" s="2444" t="n"/>
      <c r="F11" s="2444" t="n"/>
      <c r="G11" s="2444" t="n"/>
      <c r="H11" s="2445" t="n"/>
      <c r="I11" s="2445" t="n"/>
      <c r="J11" s="2445" t="n"/>
      <c r="K11" s="2445" t="n"/>
      <c r="L11" s="2393" t="n"/>
      <c r="M11" s="2418" t="n"/>
      <c r="N11" s="2408" t="n"/>
      <c r="O11" s="2393" t="n"/>
      <c r="P11" s="88" t="n"/>
      <c r="Q11" s="88" t="n"/>
      <c r="S11" s="88" t="n"/>
      <c r="T11" s="88" t="n"/>
      <c r="U11" s="11704" t="n"/>
      <c r="V11" s="658" t="n"/>
      <c r="W11" s="658" t="n"/>
      <c r="X11" s="658" t="n"/>
      <c r="Y11" s="658" t="n"/>
      <c r="Z11" s="658" t="n"/>
      <c r="AA11" s="658" t="n"/>
      <c r="AB11" s="658" t="n"/>
      <c r="AC11" s="2494" t="n"/>
    </row>
    <row r="12" ht="12.75" customHeight="1" s="7635">
      <c r="A12" s="139" t="n"/>
      <c r="B12" s="2412" t="n"/>
      <c r="C12" s="7829" t="n">
        <v>1</v>
      </c>
      <c r="D12" s="3467" t="inlineStr">
        <is>
          <t>Enter the total amount from box 5 of all your Forms SSA-1099 and RRB-1099.</t>
        </is>
      </c>
      <c r="E12" s="2393" t="n"/>
      <c r="F12" s="2393" t="n"/>
      <c r="G12" s="2393" t="n"/>
      <c r="H12" s="7829" t="n"/>
      <c r="I12" s="2393" t="n"/>
      <c r="J12" s="2393" t="n"/>
      <c r="K12" s="2446" t="n"/>
      <c r="L12" s="2393" t="n"/>
      <c r="M12" s="2418" t="n"/>
      <c r="N12" s="2408" t="n"/>
      <c r="O12" s="2393" t="n"/>
      <c r="P12" s="88" t="n"/>
      <c r="Q12" s="88" t="n"/>
      <c r="R12" s="226" t="inlineStr">
        <is>
          <t>Override ê</t>
        </is>
      </c>
      <c r="S12" s="88" t="n"/>
      <c r="T12" s="88" t="n"/>
      <c r="U12" s="11704" t="n"/>
      <c r="V12" s="658" t="n"/>
      <c r="W12" s="658" t="n"/>
      <c r="X12" s="658" t="n"/>
      <c r="Y12" s="658" t="n"/>
      <c r="Z12" s="658" t="n"/>
      <c r="AA12" s="658" t="n"/>
      <c r="AB12" s="658" t="n"/>
      <c r="AC12" s="2494" t="n"/>
    </row>
    <row r="13">
      <c r="A13" s="139" t="n"/>
      <c r="B13" s="2412" t="n"/>
      <c r="C13" s="2448" t="n"/>
      <c r="D13" s="2449" t="inlineStr">
        <is>
          <t>Also, enter this amount on Form 1040 or 1040-SR,  line 6a</t>
        </is>
      </c>
      <c r="E13" s="2393" t="n"/>
      <c r="F13" s="2393" t="n"/>
      <c r="G13" s="2393" t="n"/>
      <c r="H13" s="2450" t="inlineStr">
        <is>
          <t>.   .   .   .   .   .   .   .  1.</t>
        </is>
      </c>
      <c r="I13" s="7982">
        <f>IF(R13&lt;&gt;"",ROUND(R13,0),TotalSocSecBenefits)</f>
        <v/>
      </c>
      <c r="J13" s="7637" t="n"/>
      <c r="K13" s="2446" t="n"/>
      <c r="L13" s="2393" t="n"/>
      <c r="M13" s="2418" t="n"/>
      <c r="N13" s="2408" t="n"/>
      <c r="O13" s="2393" t="n"/>
      <c r="P13" s="88" t="n"/>
      <c r="Q13" s="88" t="n"/>
      <c r="R13" s="209" t="n"/>
      <c r="S13" s="88" t="n"/>
      <c r="T13" s="88" t="n"/>
      <c r="U13" s="11704" t="n"/>
      <c r="V13" s="658" t="n"/>
      <c r="W13" s="658" t="n"/>
      <c r="X13" s="658" t="n"/>
      <c r="Y13" s="658" t="n"/>
      <c r="Z13" s="658" t="n"/>
      <c r="AA13" s="658" t="n"/>
      <c r="AB13" s="658" t="n"/>
      <c r="AC13" s="2494" t="n"/>
    </row>
    <row r="14">
      <c r="A14" s="139" t="n"/>
      <c r="B14" s="2412" t="n"/>
      <c r="C14" s="2448" t="n">
        <v>2</v>
      </c>
      <c r="D14" s="11403">
        <f>"Multiply line 1 by "&amp;TEXT(R14,"0%")&amp;" ("&amp;TEXT(R14,"0.00")&amp;")"</f>
        <v/>
      </c>
      <c r="E14" s="2393" t="n"/>
      <c r="F14" s="2393" t="n"/>
      <c r="G14" s="2393" t="n"/>
      <c r="H14" s="7829" t="n"/>
      <c r="I14" s="2393" t="n"/>
      <c r="J14" s="2451" t="inlineStr">
        <is>
          <t xml:space="preserve"> .   .   .   .   .   .   .   .   .   .   .   .   .   .   .   .   .   .   .   .   .   .   .   .   .   .</t>
        </is>
      </c>
      <c r="K14" s="7829">
        <f>C14</f>
        <v/>
      </c>
      <c r="L14" s="7758">
        <f>ROUND((R14*I13),0)</f>
        <v/>
      </c>
      <c r="M14" s="2418" t="n"/>
      <c r="N14" s="2408" t="n"/>
      <c r="O14" s="2453" t="n"/>
      <c r="P14" s="88" t="n"/>
      <c r="Q14" s="88" t="n"/>
      <c r="R14" s="2454" t="n">
        <v>0.5</v>
      </c>
      <c r="S14" s="88" t="n"/>
      <c r="T14" s="88" t="n"/>
      <c r="U14" s="11704" t="n"/>
      <c r="V14" s="658" t="n"/>
      <c r="W14" s="658" t="n"/>
      <c r="X14" s="658" t="n"/>
      <c r="Y14" s="658" t="n"/>
      <c r="Z14" s="658" t="n"/>
      <c r="AA14" s="658" t="n"/>
      <c r="AB14" s="658" t="n"/>
      <c r="AC14" s="2494" t="n"/>
    </row>
    <row r="15">
      <c r="A15" s="139" t="n"/>
      <c r="B15" s="2412" t="n"/>
      <c r="C15" s="2448" t="n">
        <v>3</v>
      </c>
      <c r="D15" s="11403" t="inlineStr">
        <is>
          <t>Combine the amounts from Form 1040 or 1040-SR, lines 1z, 2b, 3b, 4b, 5b, 7a, and 8</t>
        </is>
      </c>
      <c r="E15" s="88" t="n"/>
      <c r="F15" s="88" t="n"/>
      <c r="G15" s="88" t="n"/>
      <c r="H15" s="88" t="n"/>
      <c r="I15" s="88" t="n"/>
      <c r="J15" s="2451" t="inlineStr">
        <is>
          <t>.   .   .</t>
        </is>
      </c>
      <c r="K15" s="7829">
        <f>C15</f>
        <v/>
      </c>
      <c r="L15" s="7758">
        <f>IF(R15&lt;&gt;"",ROUND(R15,0),ROUND(SUM(F1040_Line1z,TaxableInterest,OrdinaryDividends,IRA_Taxable,PA_Taxable,CapitalGains,OtherIncome1040),0))</f>
        <v/>
      </c>
      <c r="M15" s="2455" t="n"/>
      <c r="N15" s="2456" t="n"/>
      <c r="O15" s="2457" t="n"/>
      <c r="P15" s="88" t="n"/>
      <c r="Q15" s="88" t="n"/>
      <c r="R15" s="109" t="n"/>
      <c r="S15" s="88" t="n"/>
      <c r="T15" s="88" t="n"/>
      <c r="U15" s="11704" t="n"/>
      <c r="V15" s="658" t="n"/>
      <c r="W15" s="658" t="n"/>
      <c r="X15" s="658" t="n"/>
      <c r="Y15" s="658" t="n"/>
      <c r="Z15" s="658" t="n"/>
      <c r="AA15" s="658" t="n"/>
      <c r="AB15" s="658" t="n"/>
      <c r="AC15" s="2494" t="n"/>
    </row>
    <row r="16">
      <c r="A16" s="139" t="n"/>
      <c r="B16" s="2412" t="n"/>
      <c r="C16" s="2448" t="n">
        <v>4</v>
      </c>
      <c r="D16" s="11403" t="inlineStr">
        <is>
          <t>Enter the amount, if any, from Form 1040 or 1040-SR, line 2a</t>
        </is>
      </c>
      <c r="E16" s="88" t="n"/>
      <c r="F16" s="88" t="n"/>
      <c r="G16" s="88" t="n"/>
      <c r="H16" s="7829" t="n"/>
      <c r="I16" s="88" t="n"/>
      <c r="J16" s="2451" t="inlineStr">
        <is>
          <t>.   .   .   .   .   .   .   .   .   .   .   .   .</t>
        </is>
      </c>
      <c r="K16" s="7829">
        <f>C16</f>
        <v/>
      </c>
      <c r="L16" s="7758">
        <f>IF(R16&lt;&gt;"",ROUND(R16,0),ROUND(TaxExemptInt,0))</f>
        <v/>
      </c>
      <c r="M16" s="2455" t="n"/>
      <c r="N16" s="2456" t="n"/>
      <c r="O16" s="2457" t="n"/>
      <c r="P16" s="88" t="n"/>
      <c r="Q16" s="88" t="n"/>
      <c r="R16" s="109" t="n"/>
      <c r="S16" s="88" t="n"/>
      <c r="T16" s="88" t="n"/>
      <c r="U16" s="12011" t="n"/>
      <c r="V16" s="658" t="n"/>
      <c r="W16" s="658" t="n"/>
      <c r="X16" s="658" t="n"/>
      <c r="Y16" s="658" t="n"/>
      <c r="Z16" s="658" t="n"/>
      <c r="AA16" s="658" t="n"/>
      <c r="AB16" s="658" t="n"/>
      <c r="AC16" s="2494" t="n"/>
    </row>
    <row r="17">
      <c r="A17" s="139" t="n"/>
      <c r="B17" s="2412" t="n"/>
      <c r="C17" s="2448" t="n">
        <v>5</v>
      </c>
      <c r="D17" s="11403" t="inlineStr">
        <is>
          <t>Combine lines 2, 3, and 4</t>
        </is>
      </c>
      <c r="E17" s="88" t="n"/>
      <c r="F17" s="88" t="n"/>
      <c r="G17" s="88" t="n"/>
      <c r="H17" s="7829" t="n"/>
      <c r="I17" s="88" t="n"/>
      <c r="J17" s="2451" t="inlineStr">
        <is>
          <t>.   .   .   .   .   .   .   .   .   .   .   .   .   .   .   .   .   .   .   .   .   .   .   .   .   .   .</t>
        </is>
      </c>
      <c r="K17" s="7829">
        <f>C17</f>
        <v/>
      </c>
      <c r="L17" s="7758">
        <f>SUM(L14,L15,L16)</f>
        <v/>
      </c>
      <c r="M17" s="2455" t="n"/>
      <c r="N17" s="2456" t="n"/>
      <c r="O17" s="2457" t="n"/>
      <c r="P17" s="88" t="n"/>
      <c r="Q17" s="88" t="n"/>
      <c r="R17" s="88" t="n"/>
      <c r="S17" s="88" t="n"/>
      <c r="T17" s="88" t="n"/>
      <c r="U17" s="11700" t="n"/>
      <c r="V17" s="658" t="n"/>
      <c r="W17" s="658" t="n"/>
      <c r="X17" s="658" t="n"/>
      <c r="Y17" s="658" t="n"/>
      <c r="Z17" s="658" t="n"/>
      <c r="AA17" s="658" t="n"/>
      <c r="AB17" s="658" t="n"/>
      <c r="AC17" s="2494" t="n"/>
    </row>
    <row r="18">
      <c r="A18" s="139" t="n"/>
      <c r="B18" s="2412" t="n"/>
      <c r="C18" s="2448" t="n">
        <v>6</v>
      </c>
      <c r="D18" s="11403" t="inlineStr">
        <is>
          <t>Enter the total of the amounts from Schedule 1, lines 11 through 20, and 23 and 25</t>
        </is>
      </c>
      <c r="E18" s="88" t="n"/>
      <c r="F18" s="88" t="n"/>
      <c r="G18" s="88" t="n"/>
      <c r="H18" s="88" t="n"/>
      <c r="I18" s="88" t="n"/>
      <c r="J18" s="2451" t="inlineStr">
        <is>
          <t>.   .   .   .   .   .   .   .</t>
        </is>
      </c>
      <c r="K18" s="7829">
        <f>C18</f>
        <v/>
      </c>
      <c r="L18" s="7758">
        <f>SUM(Sch1_Line11_19a,IRADeduct,ArcherMSADeduct,TotalOtherAdjust)</f>
        <v/>
      </c>
      <c r="M18" s="2458" t="n"/>
      <c r="N18" s="2459" t="n"/>
      <c r="O18" s="2460" t="n"/>
      <c r="P18" s="88" t="n"/>
      <c r="Q18" s="88" t="n"/>
      <c r="R18" s="11403" t="n"/>
      <c r="S18" s="88" t="n"/>
      <c r="T18" s="2461" t="n"/>
      <c r="U18" s="11704" t="n"/>
      <c r="V18" s="658" t="n"/>
      <c r="W18" s="658" t="n"/>
      <c r="X18" s="658" t="n"/>
      <c r="Y18" s="658" t="n"/>
      <c r="Z18" s="658" t="n"/>
      <c r="AA18" s="658" t="n"/>
      <c r="AB18" s="658" t="n"/>
      <c r="AC18" s="2494" t="n"/>
    </row>
    <row r="19">
      <c r="A19" s="139" t="n"/>
      <c r="B19" s="2412" t="n"/>
      <c r="C19" s="2448" t="n">
        <v>7</v>
      </c>
      <c r="D19" s="11403" t="inlineStr">
        <is>
          <t>Is the amount on line 6 less than the amount on line 5?</t>
        </is>
      </c>
      <c r="E19" s="88" t="n"/>
      <c r="F19" s="88" t="n"/>
      <c r="G19" s="88" t="n"/>
      <c r="H19" s="88" t="n"/>
      <c r="I19" s="88" t="n"/>
      <c r="J19" s="88" t="n"/>
      <c r="K19" s="7829" t="n"/>
      <c r="L19" s="2460" t="n"/>
      <c r="M19" s="2458" t="n"/>
      <c r="N19" s="2459" t="n"/>
      <c r="O19" s="2460" t="n"/>
      <c r="P19" s="88" t="n"/>
      <c r="Q19" s="88" t="n"/>
      <c r="R19" s="11403" t="n"/>
      <c r="S19" s="88" t="n"/>
      <c r="T19" s="2461" t="n"/>
      <c r="U19" s="11704" t="n"/>
      <c r="V19" s="658" t="n"/>
      <c r="W19" s="658" t="n"/>
      <c r="X19" s="658" t="n"/>
      <c r="Y19" s="658" t="n"/>
      <c r="Z19" s="658" t="n"/>
      <c r="AA19" s="658" t="n"/>
      <c r="AB19" s="658" t="n"/>
      <c r="AC19" s="2494" t="n"/>
    </row>
    <row r="20" ht="13.5" customHeight="1" s="7635" thickBot="1">
      <c r="A20" s="139" t="n"/>
      <c r="B20" s="2412" t="n"/>
      <c r="C20" s="2448" t="n"/>
      <c r="D20" s="88" t="n"/>
      <c r="E20" s="88" t="n"/>
      <c r="F20" s="88" t="n"/>
      <c r="G20" s="88" t="n"/>
      <c r="H20" s="88" t="n"/>
      <c r="I20" s="88" t="n"/>
      <c r="J20" s="88" t="n"/>
      <c r="K20" s="7829" t="n"/>
      <c r="L20" s="2460" t="n"/>
      <c r="M20" s="2458" t="n"/>
      <c r="N20" s="2459" t="n"/>
      <c r="O20" s="2460" t="n"/>
      <c r="P20" s="88" t="n"/>
      <c r="Q20" s="88" t="n"/>
      <c r="R20" s="11403" t="n"/>
      <c r="S20" s="88" t="n"/>
      <c r="T20" s="2461" t="n"/>
      <c r="U20" s="11704" t="n"/>
      <c r="V20" s="658" t="n"/>
      <c r="W20" s="658" t="n"/>
      <c r="X20" s="658" t="n"/>
      <c r="Y20" s="658" t="n"/>
      <c r="Z20" s="658" t="n"/>
      <c r="AA20" s="658" t="n"/>
      <c r="AB20" s="658" t="n"/>
      <c r="AC20" s="2494" t="n"/>
    </row>
    <row r="21" ht="13.5" customHeight="1" s="7635" thickBot="1">
      <c r="A21" s="139" t="n"/>
      <c r="B21" s="2412" t="n"/>
      <c r="C21" s="2448" t="n"/>
      <c r="D21" s="2462">
        <f>IF(L18&lt;L17,"","X")</f>
        <v/>
      </c>
      <c r="E21" s="2460" t="inlineStr">
        <is>
          <t xml:space="preserve"> No.                None of your social security benefits are taxable.  Enter -0- on Form 1040</t>
        </is>
      </c>
      <c r="F21" s="2460" t="n"/>
      <c r="G21" s="2460" t="n"/>
      <c r="H21" s="7829" t="n"/>
      <c r="I21" s="2393" t="n"/>
      <c r="J21" s="2393" t="n"/>
      <c r="K21" s="7829" t="n"/>
      <c r="L21" s="2393" t="n"/>
      <c r="M21" s="2418" t="n"/>
      <c r="N21" s="2408" t="n"/>
      <c r="O21" s="2393" t="n"/>
      <c r="P21" s="88" t="n"/>
      <c r="Q21" s="88" t="n"/>
      <c r="R21" s="11403" t="n"/>
      <c r="S21" s="88" t="n"/>
      <c r="T21" s="2461" t="n"/>
      <c r="U21" s="11704" t="n"/>
      <c r="V21" s="658" t="n"/>
      <c r="W21" s="658" t="n"/>
      <c r="X21" s="658" t="n"/>
      <c r="Y21" s="658" t="n"/>
      <c r="Z21" s="658" t="n"/>
      <c r="AA21" s="658" t="n"/>
      <c r="AB21" s="658" t="n"/>
      <c r="AC21" s="2494" t="n"/>
    </row>
    <row r="22" ht="15" customHeight="1" s="7635" thickBot="1">
      <c r="A22" s="139" t="n"/>
      <c r="B22" s="2412" t="n"/>
      <c r="C22" s="2448" t="n"/>
      <c r="D22" s="2448" t="n"/>
      <c r="E22" s="6070" t="inlineStr">
        <is>
          <t xml:space="preserve">                       or 1040-SR, line 6b.</t>
        </is>
      </c>
      <c r="F22" s="6070" t="n"/>
      <c r="G22" s="6070" t="n"/>
      <c r="H22" s="7829" t="n"/>
      <c r="I22" s="2393" t="n"/>
      <c r="J22" s="2393" t="n"/>
      <c r="K22" s="7829" t="n"/>
      <c r="L22" s="2393" t="n"/>
      <c r="M22" s="2418" t="n"/>
      <c r="N22" s="2408" t="n"/>
      <c r="O22" s="2393" t="n"/>
      <c r="P22" s="88" t="n"/>
      <c r="Q22" s="88" t="n"/>
      <c r="R22" s="11403" t="n"/>
      <c r="S22" s="88" t="n"/>
      <c r="T22" s="11403" t="n"/>
      <c r="U22" s="11704" t="n"/>
      <c r="V22" s="658" t="n"/>
      <c r="W22" s="658" t="n"/>
      <c r="X22" s="658" t="n"/>
      <c r="Y22" s="658" t="n"/>
      <c r="Z22" s="658" t="n"/>
      <c r="AA22" s="658" t="n"/>
      <c r="AB22" s="658" t="n"/>
      <c r="AC22" s="2494" t="n"/>
    </row>
    <row r="23" ht="15" customHeight="1" s="7635" thickBot="1">
      <c r="A23" s="139" t="n"/>
      <c r="B23" s="2412" t="n"/>
      <c r="C23" s="2448" t="n"/>
      <c r="D23" s="2463">
        <f>IF(L18&lt;L17,"X","")</f>
        <v/>
      </c>
      <c r="E23" s="2464" t="inlineStr">
        <is>
          <t xml:space="preserve"> Yes.  Subtract line 6 from line 5</t>
        </is>
      </c>
      <c r="F23" s="2464" t="n"/>
      <c r="G23" s="2464" t="n"/>
      <c r="H23" s="88" t="n"/>
      <c r="I23" s="88" t="n"/>
      <c r="J23" s="2465" t="inlineStr">
        <is>
          <t>.   .   .   .   .   .   .   .   .   .   .   .   .   .   .   .   .   .   .   .   .   .   .   .   .   .   .   .   .   .   .   .   .   .   .   .   .   .   .   .   .   .   .   .   .</t>
        </is>
      </c>
      <c r="K23" s="7829">
        <f>C19</f>
        <v/>
      </c>
      <c r="L23" s="2466">
        <f>IF(D21="X","Stop",L17-L18)</f>
        <v/>
      </c>
      <c r="M23" s="2455" t="n"/>
      <c r="N23" s="2456" t="n"/>
      <c r="O23" s="2393" t="n"/>
      <c r="P23" s="88" t="n"/>
      <c r="Q23" s="88" t="n"/>
      <c r="R23" s="11403" t="n"/>
      <c r="S23" s="88" t="n"/>
      <c r="T23" s="88" t="n"/>
      <c r="U23" s="11704" t="n"/>
      <c r="V23" s="658" t="n"/>
      <c r="W23" s="658" t="n"/>
      <c r="X23" s="658" t="n"/>
      <c r="Y23" s="658" t="n"/>
      <c r="Z23" s="658" t="n"/>
      <c r="AA23" s="658" t="n"/>
      <c r="AB23" s="658" t="n"/>
      <c r="AC23" s="2494" t="n"/>
    </row>
    <row r="24" ht="17.25" customHeight="1" s="7635">
      <c r="A24" s="139" t="n"/>
      <c r="B24" s="2412" t="n"/>
      <c r="C24" s="2448" t="n"/>
      <c r="D24" s="88" t="n"/>
      <c r="E24" s="88" t="n"/>
      <c r="F24" s="88" t="n"/>
      <c r="G24" s="88" t="n"/>
      <c r="H24" s="88" t="n"/>
      <c r="I24" s="88" t="n"/>
      <c r="J24" s="88" t="n"/>
      <c r="K24" s="7829" t="n"/>
      <c r="L24" s="2460" t="n"/>
      <c r="M24" s="2458" t="n"/>
      <c r="N24" s="2459" t="n"/>
      <c r="O24" s="2393" t="n"/>
      <c r="P24" s="88" t="n"/>
      <c r="Q24" s="88" t="n"/>
      <c r="R24" s="441">
        <f>LivedApart</f>
        <v/>
      </c>
      <c r="S24" s="88" t="n"/>
      <c r="T24" s="88" t="n"/>
      <c r="U24" s="11704" t="n"/>
      <c r="V24" s="658" t="n"/>
      <c r="W24" s="658" t="n"/>
      <c r="X24" s="658" t="n"/>
      <c r="Y24" s="658" t="n"/>
      <c r="Z24" s="658" t="n"/>
      <c r="AA24" s="658" t="n"/>
      <c r="AB24" s="658" t="n"/>
      <c r="AC24" s="2494" t="n"/>
    </row>
    <row r="25">
      <c r="A25" s="139" t="n"/>
      <c r="B25" s="2412" t="n"/>
      <c r="C25" s="2448" t="n">
        <v>8</v>
      </c>
      <c r="D25" s="88" t="inlineStr">
        <is>
          <t>If you are:</t>
        </is>
      </c>
      <c r="E25" s="88" t="n"/>
      <c r="F25" s="88" t="n"/>
      <c r="G25" s="88" t="n"/>
      <c r="H25" s="88" t="n"/>
      <c r="I25" s="88" t="n"/>
      <c r="J25" s="88" t="n"/>
      <c r="K25" s="7829" t="n"/>
      <c r="L25" s="2460" t="n"/>
      <c r="M25" s="2458" t="n"/>
      <c r="N25" s="2456" t="n"/>
      <c r="O25" s="2393" t="n"/>
      <c r="P25" s="88" t="n"/>
      <c r="Q25" s="88" t="n"/>
      <c r="R25" s="11403" t="n"/>
      <c r="S25" s="88" t="n"/>
      <c r="T25" s="88" t="n"/>
      <c r="U25" s="11704" t="n"/>
      <c r="V25" s="658" t="n"/>
      <c r="W25" s="658" t="n"/>
      <c r="X25" s="658" t="n"/>
      <c r="Y25" s="658" t="n"/>
      <c r="Z25" s="658" t="n"/>
      <c r="AA25" s="658" t="n"/>
      <c r="AB25" s="658" t="n"/>
      <c r="AC25" s="2494" t="n"/>
    </row>
    <row r="26">
      <c r="A26" s="139" t="n"/>
      <c r="B26" s="2412" t="n"/>
      <c r="C26" s="2448" t="n"/>
      <c r="D26" s="6071" t="inlineStr">
        <is>
          <t xml:space="preserve">l </t>
        </is>
      </c>
      <c r="E26" s="2393">
        <f>"Married filing jointly, enter "&amp;TEXT(J26,"$0,000")</f>
        <v/>
      </c>
      <c r="F26" s="2393" t="n"/>
      <c r="G26" s="2393" t="n"/>
      <c r="H26" s="2393" t="n"/>
      <c r="I26" s="88" t="n"/>
      <c r="J26" s="2468" t="n">
        <v>32000</v>
      </c>
      <c r="K26" s="7829" t="n"/>
      <c r="L26" s="2460" t="n"/>
      <c r="M26" s="2458" t="n"/>
      <c r="N26" s="2456" t="n"/>
      <c r="O26" s="2393" t="n"/>
      <c r="P26" s="88" t="n"/>
      <c r="Q26" s="88" t="n"/>
      <c r="R26" s="11403" t="n"/>
      <c r="S26" s="88" t="n"/>
      <c r="T26" s="88" t="n"/>
      <c r="U26" s="11704" t="n"/>
      <c r="V26" s="658" t="n"/>
      <c r="W26" s="658" t="n"/>
      <c r="X26" s="658" t="n"/>
      <c r="Y26" s="658" t="n"/>
      <c r="Z26" s="658" t="n"/>
      <c r="AA26" s="658" t="n"/>
      <c r="AB26" s="658" t="n"/>
      <c r="AC26" s="2494" t="n"/>
    </row>
    <row r="27">
      <c r="A27" s="139" t="n"/>
      <c r="B27" s="2412" t="n"/>
      <c r="C27" s="2448" t="n"/>
      <c r="D27" s="6071" t="inlineStr">
        <is>
          <t xml:space="preserve">l </t>
        </is>
      </c>
      <c r="E27" s="2393" t="inlineStr">
        <is>
          <t>Single, head of household, qualifying widow(er), or married filing</t>
        </is>
      </c>
      <c r="F27" s="2393" t="n"/>
      <c r="G27" s="2393" t="n"/>
      <c r="H27" s="2393" t="n"/>
      <c r="I27" s="88" t="n"/>
      <c r="J27" s="88" t="n"/>
      <c r="K27" s="7829" t="n"/>
      <c r="L27" s="2460" t="n"/>
      <c r="M27" s="2458" t="n"/>
      <c r="N27" s="2456" t="n"/>
      <c r="O27" s="2393" t="n"/>
      <c r="P27" s="88" t="n"/>
      <c r="Q27" s="88" t="n"/>
      <c r="R27" s="11403" t="n"/>
      <c r="S27" s="88" t="n"/>
      <c r="T27" s="88" t="n"/>
      <c r="U27" s="11704" t="n"/>
      <c r="V27" s="658" t="n"/>
      <c r="W27" s="658" t="n"/>
      <c r="X27" s="658" t="n"/>
      <c r="Y27" s="658" t="n"/>
      <c r="Z27" s="658" t="n"/>
      <c r="AA27" s="658" t="n"/>
      <c r="AB27" s="658" t="n"/>
      <c r="AC27" s="2494" t="n"/>
    </row>
    <row r="28">
      <c r="A28" s="139" t="n"/>
      <c r="B28" s="2412" t="n"/>
      <c r="C28" s="2448" t="n"/>
      <c r="D28" s="2467" t="n"/>
      <c r="E28" s="2460" t="inlineStr">
        <is>
          <t>separately  and  you  lived apart  from your spouse  for all</t>
        </is>
      </c>
      <c r="F28" s="2460" t="n"/>
      <c r="G28" s="2460" t="n"/>
      <c r="H28" s="2393" t="n"/>
      <c r="I28" s="88" t="n"/>
      <c r="J28" s="2468" t="n">
        <v>25000</v>
      </c>
      <c r="K28" s="7829" t="n"/>
      <c r="L28" s="2460" t="n"/>
      <c r="M28" s="2458" t="n"/>
      <c r="N28" s="2459" t="n"/>
      <c r="O28" s="2393" t="n"/>
      <c r="P28" s="88" t="n"/>
      <c r="Q28" s="88" t="n"/>
      <c r="R28" s="88" t="n"/>
      <c r="S28" s="88" t="n"/>
      <c r="T28" s="88" t="n"/>
      <c r="U28" s="11704" t="n"/>
      <c r="V28" s="658" t="n"/>
      <c r="W28" s="658" t="n"/>
      <c r="X28" s="658" t="n"/>
      <c r="Y28" s="658" t="n"/>
      <c r="Z28" s="658" t="n"/>
      <c r="AA28" s="658" t="n"/>
      <c r="AB28" s="658" t="n"/>
      <c r="AC28" s="2494" t="n"/>
    </row>
    <row r="29">
      <c r="A29" s="139" t="n"/>
      <c r="B29" s="2412" t="n"/>
      <c r="C29" s="2448" t="n"/>
      <c r="D29" s="2467" t="n"/>
      <c r="E29" s="2393">
        <f>"of "&amp;TEXT(TaxYear,"0")&amp;" enter "&amp;TEXT(J28,"$0,000")</f>
        <v/>
      </c>
      <c r="F29" s="2393" t="n"/>
      <c r="G29" s="2393" t="n"/>
      <c r="H29" s="2393" t="n"/>
      <c r="I29" s="88" t="n"/>
      <c r="J29" s="2451" t="inlineStr">
        <is>
          <t>.   .    .   .   .   .   .</t>
        </is>
      </c>
      <c r="K29" s="7829">
        <f>C25</f>
        <v/>
      </c>
      <c r="L29" s="2466">
        <f>IF(R29&lt;&gt;"",ROUND(R29,0),IF(D21="X","",IF(AND(File_Marr_Sep&lt;&gt;"",NOT(LivedApartAnswered)),"Answer question.",IF(R8,"",IF(File_Marr_Joint&lt;&gt;"",J26,J28)))))</f>
        <v/>
      </c>
      <c r="M29" s="2458" t="n"/>
      <c r="N29" s="2459" t="n"/>
      <c r="O29" s="2393" t="n"/>
      <c r="P29" s="88" t="n"/>
      <c r="Q29" s="88" t="n"/>
      <c r="R29" s="209" t="n"/>
      <c r="S29" s="88" t="n"/>
      <c r="T29" s="88" t="n"/>
      <c r="U29" s="11704" t="n"/>
      <c r="V29" s="658" t="n"/>
      <c r="W29" s="658" t="n"/>
      <c r="X29" s="658" t="n"/>
      <c r="Y29" s="658" t="n"/>
      <c r="Z29" s="658" t="n"/>
      <c r="AA29" s="658" t="n"/>
      <c r="AB29" s="658" t="n"/>
      <c r="AC29" s="2494" t="n"/>
    </row>
    <row r="30">
      <c r="A30" s="139" t="n"/>
      <c r="B30" s="2412" t="n"/>
      <c r="C30" s="2448" t="n"/>
      <c r="D30" s="6071" t="inlineStr">
        <is>
          <t xml:space="preserve">l </t>
        </is>
      </c>
      <c r="E30" s="2393" t="inlineStr">
        <is>
          <t>Married filing separately and you lived with your spouse at any time</t>
        </is>
      </c>
      <c r="F30" s="2393" t="n"/>
      <c r="G30" s="2393" t="n"/>
      <c r="H30" s="2393" t="n"/>
      <c r="I30" s="88" t="n"/>
      <c r="J30" s="88" t="n"/>
      <c r="K30" s="7829" t="n"/>
      <c r="L30" s="2460" t="n"/>
      <c r="M30" s="2458" t="n"/>
      <c r="N30" s="2459" t="n"/>
      <c r="O30" s="2393" t="n"/>
      <c r="P30" s="88" t="n"/>
      <c r="Q30" s="88" t="n"/>
      <c r="R30" s="88" t="n"/>
      <c r="S30" s="88" t="n"/>
      <c r="T30" s="88" t="n"/>
      <c r="U30" s="11704" t="n"/>
      <c r="V30" s="658" t="n"/>
      <c r="W30" s="658" t="n"/>
      <c r="X30" s="658" t="n"/>
      <c r="Y30" s="658" t="n"/>
      <c r="Z30" s="658" t="n"/>
      <c r="AA30" s="658" t="n"/>
      <c r="AB30" s="658" t="n"/>
      <c r="AC30" s="2494" t="n"/>
    </row>
    <row r="31">
      <c r="A31" s="139" t="n"/>
      <c r="B31" s="2412" t="n"/>
      <c r="C31" s="2448" t="n"/>
      <c r="D31" s="2467" t="n"/>
      <c r="E31" s="2393">
        <f>"in "&amp;TaxYear&amp;", skip lines 8 through 15; multiply line 7 by "&amp;TEXT(J31,"0%")&amp;" ("&amp;TEXT(J31,"0.00")&amp;") and"</f>
        <v/>
      </c>
      <c r="F31" s="2393" t="n"/>
      <c r="G31" s="2393" t="n"/>
      <c r="H31" s="2393" t="n"/>
      <c r="I31" s="88" t="n"/>
      <c r="J31" s="2469" t="n">
        <v>0.85</v>
      </c>
      <c r="K31" s="7829" t="n"/>
      <c r="L31" s="2460" t="n"/>
      <c r="M31" s="2458" t="n"/>
      <c r="N31" s="2459" t="n"/>
      <c r="O31" s="2393" t="n"/>
      <c r="P31" s="88" t="n"/>
      <c r="Q31" s="88" t="n"/>
      <c r="R31" s="88" t="n"/>
      <c r="S31" s="88" t="n"/>
      <c r="T31" s="88" t="n"/>
      <c r="U31" s="11704" t="n"/>
      <c r="V31" s="658" t="n"/>
      <c r="W31" s="658" t="n"/>
      <c r="X31" s="658" t="n"/>
      <c r="Y31" s="658" t="n"/>
      <c r="Z31" s="658" t="n"/>
      <c r="AA31" s="658" t="n"/>
      <c r="AB31" s="658" t="n"/>
      <c r="AC31" s="2494" t="n"/>
    </row>
    <row r="32" ht="12.75" customHeight="1" s="7635">
      <c r="A32" s="139" t="n"/>
      <c r="B32" s="2412" t="n"/>
      <c r="C32" s="2448" t="n"/>
      <c r="D32" s="88" t="n"/>
      <c r="E32" s="11403" t="inlineStr">
        <is>
          <t>enter the result on line 16. Then go to line 17</t>
        </is>
      </c>
      <c r="F32" s="11403" t="n"/>
      <c r="G32" s="11403" t="n"/>
      <c r="H32" s="88" t="n"/>
      <c r="I32" s="88" t="n"/>
      <c r="J32" s="2470" t="n"/>
      <c r="K32" s="88" t="n"/>
      <c r="L32" s="88" t="n"/>
      <c r="M32" s="2455" t="n"/>
      <c r="N32" s="2456" t="n"/>
      <c r="O32" s="2393" t="n"/>
      <c r="P32" s="88" t="n"/>
      <c r="Q32" s="88" t="n"/>
      <c r="R32" s="88" t="n"/>
      <c r="S32" s="88" t="n"/>
      <c r="T32" s="88" t="n"/>
      <c r="U32" s="11704" t="n"/>
      <c r="V32" s="658" t="n"/>
      <c r="W32" s="658" t="n"/>
      <c r="X32" s="658" t="n"/>
      <c r="Y32" s="658" t="n"/>
      <c r="Z32" s="658" t="n"/>
      <c r="AA32" s="658" t="n"/>
      <c r="AB32" s="658" t="n"/>
      <c r="AC32" s="2494" t="n"/>
    </row>
    <row r="33" ht="13.5" customHeight="1" s="7635">
      <c r="A33" s="139" t="n"/>
      <c r="B33" s="2412" t="n"/>
      <c r="C33" s="2448" t="n">
        <v>9</v>
      </c>
      <c r="D33" s="2415" t="inlineStr">
        <is>
          <t>Is the amount on line 8 less than the amount on line 7?</t>
        </is>
      </c>
      <c r="E33" s="88" t="n"/>
      <c r="F33" s="88" t="n"/>
      <c r="G33" s="88" t="n"/>
      <c r="H33" s="88" t="n"/>
      <c r="I33" s="88" t="n"/>
      <c r="J33" s="88" t="n"/>
      <c r="K33" s="88" t="n"/>
      <c r="L33" s="88" t="n"/>
      <c r="M33" s="2455" t="n"/>
      <c r="N33" s="2456" t="n"/>
      <c r="O33" s="2393" t="n"/>
      <c r="P33" s="88" t="n"/>
      <c r="Q33" s="88" t="n"/>
      <c r="R33" s="88" t="n"/>
      <c r="S33" s="88" t="n"/>
      <c r="T33" s="88" t="n"/>
      <c r="U33" s="11704" t="n"/>
      <c r="V33" s="658" t="n"/>
      <c r="W33" s="658" t="n"/>
      <c r="X33" s="658" t="n"/>
      <c r="Y33" s="658" t="n"/>
      <c r="Z33" s="658" t="n"/>
      <c r="AA33" s="658" t="n"/>
      <c r="AB33" s="658" t="n"/>
      <c r="AC33" s="2494" t="n"/>
    </row>
    <row r="34" ht="12.75" customHeight="1" s="7635" thickBot="1">
      <c r="A34" s="139" t="n"/>
      <c r="B34" s="2412" t="n"/>
      <c r="C34" s="2448" t="n"/>
      <c r="D34" s="2415" t="n"/>
      <c r="E34" s="88" t="n"/>
      <c r="F34" s="88" t="n"/>
      <c r="G34" s="88" t="n"/>
      <c r="H34" s="88" t="n"/>
      <c r="I34" s="88" t="n"/>
      <c r="J34" s="202" t="n"/>
      <c r="K34" s="88" t="n"/>
      <c r="L34" s="88" t="n"/>
      <c r="M34" s="2455" t="n"/>
      <c r="N34" s="2456" t="n"/>
      <c r="O34" s="2393" t="n"/>
      <c r="P34" s="88" t="n"/>
      <c r="Q34" s="88" t="n"/>
      <c r="R34" s="88" t="n"/>
      <c r="S34" s="88" t="n"/>
      <c r="T34" s="88" t="n"/>
      <c r="U34" s="11704" t="n"/>
      <c r="V34" s="658" t="n"/>
      <c r="W34" s="658" t="n"/>
      <c r="X34" s="658" t="n"/>
      <c r="Y34" s="658" t="n"/>
      <c r="Z34" s="658" t="n"/>
      <c r="AA34" s="658" t="n"/>
      <c r="AB34" s="658" t="n"/>
      <c r="AC34" s="2494" t="n"/>
    </row>
    <row r="35" ht="13.5" customHeight="1" s="7635" thickBot="1">
      <c r="A35" s="139" t="n"/>
      <c r="B35" s="2412" t="n"/>
      <c r="C35" s="2448" t="n"/>
      <c r="D35" s="2463">
        <f>IF(OR(D21="X",R8),"",IF(L29&lt;L23,"","X"))</f>
        <v/>
      </c>
      <c r="E35" s="226" t="inlineStr">
        <is>
          <t>No.               None of your social security benefits are taxable. Enter -0- on Form 1040 or 1040-SR, line 6b.</t>
        </is>
      </c>
      <c r="F35" s="226" t="n"/>
      <c r="G35" s="226" t="n"/>
      <c r="H35" s="88" t="n"/>
      <c r="I35" s="88" t="n"/>
      <c r="J35" s="88" t="n"/>
      <c r="K35" s="7829" t="n"/>
      <c r="L35" s="2393" t="n"/>
      <c r="M35" s="2418" t="n"/>
      <c r="N35" s="2408" t="n"/>
      <c r="O35" s="2393" t="n"/>
      <c r="P35" s="88" t="n"/>
      <c r="Q35" s="88" t="n"/>
      <c r="R35" s="88" t="n"/>
      <c r="S35" s="88" t="n"/>
      <c r="T35" s="88" t="n"/>
      <c r="U35" s="11704" t="n"/>
      <c r="V35" s="658" t="n"/>
      <c r="W35" s="658" t="n"/>
      <c r="X35" s="658" t="n"/>
      <c r="Y35" s="658" t="n"/>
      <c r="Z35" s="658" t="n"/>
      <c r="AA35" s="658" t="n"/>
      <c r="AB35" s="658" t="n"/>
      <c r="AC35" s="2494" t="n"/>
    </row>
    <row r="36" ht="15" customHeight="1" s="7635">
      <c r="A36" s="139" t="n"/>
      <c r="B36" s="2412" t="n"/>
      <c r="C36" s="2448" t="n"/>
      <c r="D36" s="88" t="n"/>
      <c r="E36" s="2471" t="inlineStr">
        <is>
          <t>If you are married filing separately and you lived apart from your spouse for all of</t>
        </is>
      </c>
      <c r="F36" s="2471" t="n"/>
      <c r="G36" s="2471" t="n"/>
      <c r="H36" s="7829" t="n"/>
      <c r="I36" s="2393" t="n"/>
      <c r="J36" s="12012" t="n"/>
      <c r="K36" s="7829" t="n"/>
      <c r="L36" s="2393" t="n"/>
      <c r="M36" s="2418" t="n"/>
      <c r="N36" s="2408" t="n"/>
      <c r="O36" s="2393" t="n"/>
      <c r="P36" s="88" t="n"/>
      <c r="Q36" s="88" t="n"/>
      <c r="R36" s="88" t="n"/>
      <c r="S36" s="88" t="n"/>
      <c r="T36" s="88" t="n"/>
      <c r="U36" s="11704" t="n"/>
      <c r="V36" s="658" t="n"/>
      <c r="W36" s="658" t="n"/>
      <c r="X36" s="658" t="n"/>
      <c r="Y36" s="658" t="n"/>
      <c r="Z36" s="658" t="n"/>
      <c r="AA36" s="658" t="n"/>
      <c r="AB36" s="658" t="n"/>
      <c r="AC36" s="2494" t="n"/>
    </row>
    <row r="37" ht="13.5" customHeight="1" s="7635" thickBot="1">
      <c r="A37" s="139" t="n"/>
      <c r="B37" s="2412" t="n"/>
      <c r="C37" s="2448" t="n"/>
      <c r="D37" s="88" t="n"/>
      <c r="E37" s="2460">
        <f>TaxYear&amp; ", be sure you checked the box on line 6d."</f>
        <v/>
      </c>
      <c r="F37" s="2460" t="n"/>
      <c r="G37" s="2460" t="n"/>
      <c r="H37" s="2393" t="n"/>
      <c r="I37" s="2393" t="n"/>
      <c r="J37" s="2393" t="n"/>
      <c r="K37" s="7829" t="n"/>
      <c r="L37" s="2393" t="n"/>
      <c r="M37" s="2418" t="n"/>
      <c r="N37" s="2408" t="n"/>
      <c r="O37" s="2393" t="n"/>
      <c r="P37" s="88" t="n"/>
      <c r="Q37" s="88" t="n"/>
      <c r="R37" s="88" t="n"/>
      <c r="S37" s="88" t="n"/>
      <c r="T37" s="88" t="n"/>
      <c r="U37" s="11704" t="n"/>
      <c r="V37" s="658" t="n"/>
      <c r="W37" s="658" t="n"/>
      <c r="X37" s="658" t="n"/>
      <c r="Y37" s="658" t="n"/>
      <c r="Z37" s="658" t="n"/>
      <c r="AA37" s="658" t="n"/>
      <c r="AB37" s="658" t="n"/>
      <c r="AC37" s="2494" t="n"/>
    </row>
    <row r="38" ht="13.5" customHeight="1" s="7635" thickBot="1">
      <c r="A38" s="139" t="n"/>
      <c r="B38" s="2412" t="n"/>
      <c r="C38" s="2448" t="n"/>
      <c r="D38" s="2463">
        <f>IF(OR(D21="X",AND(File_Marr_Sep&lt;&gt;"",Q4="")),"",IF(L29&lt;L23,"X",""))</f>
        <v/>
      </c>
      <c r="E38" s="2473" t="inlineStr">
        <is>
          <t>Yes.  Subtract line 8 from line 7</t>
        </is>
      </c>
      <c r="F38" s="2473" t="n"/>
      <c r="G38" s="2473" t="n"/>
      <c r="H38" s="7829" t="n"/>
      <c r="I38" s="2393" t="n"/>
      <c r="J38" s="2451" t="inlineStr">
        <is>
          <t>.   .   .   .   .   .   .   .   .   .   .   .   .   .   .   .   .   .   .   .   .   .   .   .   .   .   .   .   .   .   .   .   .   .   .   .   .   .   .   .   .   .   .   .   .   .   .   .   .   .   .   .   .   .   .   .   .   .   .   .   .   .   .   .   .</t>
        </is>
      </c>
      <c r="K38" s="7829">
        <f>C33</f>
        <v/>
      </c>
      <c r="L38" s="2466">
        <f>IF(OR(D21="X",R8,D35="X"),"",L23-L29)</f>
        <v/>
      </c>
      <c r="M38" s="2418" t="n"/>
      <c r="N38" s="2408" t="n"/>
      <c r="O38" s="2393" t="n"/>
      <c r="P38" s="88" t="n"/>
      <c r="Q38" s="88" t="n"/>
      <c r="R38" s="88" t="n"/>
      <c r="S38" s="88" t="n"/>
      <c r="T38" s="88" t="n"/>
      <c r="U38" s="11704" t="n"/>
      <c r="V38" s="658" t="n"/>
      <c r="W38" s="658" t="n"/>
      <c r="X38" s="658" t="n"/>
      <c r="Y38" s="658" t="n"/>
      <c r="Z38" s="658" t="n"/>
      <c r="AA38" s="658" t="n"/>
      <c r="AB38" s="658" t="n"/>
      <c r="AC38" s="2494" t="n"/>
    </row>
    <row r="39" ht="27.75" customFormat="1" customHeight="1" s="7832">
      <c r="A39" s="2474" t="n"/>
      <c r="B39" s="2475" t="n"/>
      <c r="C39" s="2416" t="n">
        <v>10</v>
      </c>
      <c r="D39" s="2423">
        <f>"Enter: "&amp;TEXT(R41,"$0,000")&amp;" if married filing jointly; "&amp;TEXT(R42,"$0,000")&amp;" if single, head of household, qualifying"</f>
        <v/>
      </c>
      <c r="E39" s="2471" t="n"/>
      <c r="F39" s="2471" t="n"/>
      <c r="G39" s="2471" t="n"/>
      <c r="H39" s="2416" t="n"/>
      <c r="I39" s="2476" t="n"/>
      <c r="J39" s="2476" t="n"/>
      <c r="K39" s="2416" t="n"/>
      <c r="L39" s="2471" t="n"/>
      <c r="M39" s="2477" t="n"/>
      <c r="N39" s="2478" t="n"/>
      <c r="O39" s="2471" t="n"/>
      <c r="P39" s="2423" t="n"/>
      <c r="Q39" s="2423" t="n"/>
      <c r="R39" s="2423" t="n"/>
      <c r="S39" s="2423" t="n"/>
      <c r="T39" s="2423" t="n"/>
      <c r="U39" s="12013" t="n"/>
      <c r="V39" s="713" t="n"/>
      <c r="W39" s="713" t="n"/>
      <c r="X39" s="713" t="n"/>
      <c r="Y39" s="713" t="n"/>
      <c r="Z39" s="713" t="n"/>
      <c r="AA39" s="713" t="n"/>
      <c r="AB39" s="713" t="n"/>
      <c r="AC39" s="2495" t="n"/>
    </row>
    <row r="40">
      <c r="A40" s="139" t="n"/>
      <c r="B40" s="2412" t="n"/>
      <c r="C40" s="2448" t="n"/>
      <c r="D40" s="2617" t="inlineStr">
        <is>
          <t>widow(er), or married filing separately and you lived apart  from</t>
        </is>
      </c>
      <c r="E40" s="2479" t="n"/>
      <c r="F40" s="2479" t="n"/>
      <c r="G40" s="2479" t="n"/>
      <c r="H40" s="3444">
        <f>"your spouse for all of "&amp;TaxYear</f>
        <v/>
      </c>
      <c r="I40" s="12012" t="n"/>
      <c r="J40" s="2451" t="inlineStr">
        <is>
          <t xml:space="preserve">  .   .   .   .   .</t>
        </is>
      </c>
      <c r="K40" s="7829">
        <f>C39</f>
        <v/>
      </c>
      <c r="L40" s="2466">
        <f>IF(R40&lt;&gt;"",ROUND(R40,0),IF(OR(D21="X",D35="X",R8),"",IF(OR(File_Single&lt;&gt;"",File_Head&lt;&gt;"",File_Qual_Widow&lt;&gt;"",AND(File_Marr_Sep&lt;&gt;"",Q4&lt;&gt;"")),R42,IF(AND(File_Marr_Joint&lt;&gt;""),R41,IF(AND(File_Marr_Sep&lt;&gt;"",Q4=""),0,0)))))</f>
        <v/>
      </c>
      <c r="M40" s="2455" t="n"/>
      <c r="N40" s="2456" t="n"/>
      <c r="O40" s="2393" t="n"/>
      <c r="P40" s="88" t="n"/>
      <c r="Q40" s="88" t="n"/>
      <c r="R40" s="209" t="n"/>
      <c r="S40" s="88" t="n"/>
      <c r="T40" s="88" t="n"/>
      <c r="U40" s="11704" t="n"/>
      <c r="V40" s="658" t="n"/>
      <c r="W40" s="658" t="n"/>
      <c r="X40" s="658" t="n"/>
      <c r="Y40" s="658" t="n"/>
      <c r="Z40" s="658" t="n"/>
      <c r="AA40" s="658" t="n"/>
      <c r="AB40" s="658" t="n"/>
      <c r="AC40" s="2494" t="n"/>
    </row>
    <row r="41">
      <c r="A41" s="139" t="n"/>
      <c r="B41" s="2412" t="n"/>
      <c r="C41" s="2448" t="n">
        <v>11</v>
      </c>
      <c r="D41" s="11403" t="inlineStr">
        <is>
          <t xml:space="preserve">Subtract line 10 from line 9. If zero or less, enter -0- </t>
        </is>
      </c>
      <c r="E41" s="7841" t="n"/>
      <c r="F41" s="7841" t="n"/>
      <c r="G41" s="7841" t="n"/>
      <c r="H41" s="7829" t="n"/>
      <c r="I41" s="2481" t="n"/>
      <c r="J41" s="2451" t="inlineStr">
        <is>
          <t>.   .   .   .   .   .   .   .   .   .   .   .   .   .   .   .   .</t>
        </is>
      </c>
      <c r="K41" s="7829">
        <f>C41</f>
        <v/>
      </c>
      <c r="L41" s="2466">
        <f>IF(OR(D21="X",D35="X",R8),"",IF((L38-L40)&lt;0,0,(L38-L40)))</f>
        <v/>
      </c>
      <c r="M41" s="2482" t="n"/>
      <c r="N41" s="2483" t="n"/>
      <c r="O41" s="2393" t="n"/>
      <c r="P41" s="88" t="n"/>
      <c r="Q41" s="88" t="n"/>
      <c r="R41" s="441" t="n">
        <v>12000</v>
      </c>
      <c r="S41" s="88" t="n"/>
      <c r="T41" s="88" t="n"/>
      <c r="U41" s="11704" t="n"/>
      <c r="V41" s="658" t="n"/>
      <c r="W41" s="658" t="n"/>
      <c r="X41" s="658" t="n"/>
      <c r="Y41" s="658" t="n"/>
      <c r="Z41" s="658" t="n"/>
      <c r="AA41" s="658" t="n"/>
      <c r="AB41" s="658" t="n"/>
      <c r="AC41" s="2494" t="n"/>
    </row>
    <row r="42">
      <c r="A42" s="139" t="n"/>
      <c r="B42" s="2412" t="n"/>
      <c r="C42" s="2448" t="n">
        <v>12</v>
      </c>
      <c r="D42" s="11403" t="inlineStr">
        <is>
          <t>Enter the smaller of line 9 or line 10</t>
        </is>
      </c>
      <c r="E42" s="7841" t="n"/>
      <c r="F42" s="7841" t="n"/>
      <c r="G42" s="7841" t="n"/>
      <c r="H42" s="7829" t="n"/>
      <c r="I42" s="2481" t="n"/>
      <c r="J42" s="2451" t="inlineStr">
        <is>
          <t>.   .   .   .   .   .   .   .   .   .   .   .   .   .   .   .   .   .   .   .   .   .   .</t>
        </is>
      </c>
      <c r="K42" s="7829">
        <f>C42</f>
        <v/>
      </c>
      <c r="L42" s="2466">
        <f>IF(OR(D21="X",D35="X",R8),"",MIN(L38,L40))</f>
        <v/>
      </c>
      <c r="M42" s="2482" t="n"/>
      <c r="N42" s="2483" t="n"/>
      <c r="O42" s="2393" t="n"/>
      <c r="P42" s="88" t="n"/>
      <c r="Q42" s="88" t="n"/>
      <c r="R42" s="441" t="n">
        <v>9000</v>
      </c>
      <c r="S42" s="88" t="n"/>
      <c r="T42" s="88" t="n"/>
      <c r="U42" s="11704" t="n"/>
      <c r="V42" s="658" t="n"/>
      <c r="W42" s="658" t="n"/>
      <c r="X42" s="658" t="n"/>
      <c r="Y42" s="658" t="n"/>
      <c r="Z42" s="658" t="n"/>
      <c r="AA42" s="658" t="n"/>
      <c r="AB42" s="658" t="n"/>
      <c r="AC42" s="2494" t="n"/>
    </row>
    <row r="43">
      <c r="A43" s="139" t="n"/>
      <c r="B43" s="2412" t="n"/>
      <c r="C43" s="2448" t="n">
        <v>13</v>
      </c>
      <c r="D43" s="11403" t="inlineStr">
        <is>
          <t>Enter one-half of line 12</t>
        </is>
      </c>
      <c r="E43" s="7841" t="n"/>
      <c r="F43" s="7841" t="n"/>
      <c r="G43" s="7841" t="n"/>
      <c r="H43" s="7829" t="n"/>
      <c r="I43" s="2481" t="n"/>
      <c r="J43" s="2451" t="inlineStr">
        <is>
          <t>.   .   .   .   .   .   .   .   .   .   .   .   .   .   .   .   .   .   .   .   .   .   .   .   .   .   .</t>
        </is>
      </c>
      <c r="K43" s="7829">
        <f>C43</f>
        <v/>
      </c>
      <c r="L43" s="2466">
        <f>IF(OR(D21="X",D35="X",R8),"",0.5*L42)</f>
        <v/>
      </c>
      <c r="M43" s="2482" t="n"/>
      <c r="N43" s="2483" t="n"/>
      <c r="O43" s="2393" t="n"/>
      <c r="P43" s="88" t="n"/>
      <c r="Q43" s="88" t="n"/>
      <c r="R43" s="441" t="n">
        <v>0.5</v>
      </c>
      <c r="S43" s="88" t="n"/>
      <c r="T43" s="88" t="n"/>
      <c r="U43" s="11704" t="n"/>
      <c r="V43" s="658" t="n"/>
      <c r="W43" s="658" t="n"/>
      <c r="X43" s="658" t="n"/>
      <c r="Y43" s="658" t="n"/>
      <c r="Z43" s="658" t="n"/>
      <c r="AA43" s="658" t="n"/>
      <c r="AB43" s="658" t="n"/>
      <c r="AC43" s="2494" t="n"/>
    </row>
    <row r="44">
      <c r="A44" s="139" t="n"/>
      <c r="B44" s="2412" t="n"/>
      <c r="C44" s="2448" t="n">
        <v>14</v>
      </c>
      <c r="D44" s="11403" t="inlineStr">
        <is>
          <t>Enter the smaller of line 2 or line 13</t>
        </is>
      </c>
      <c r="E44" s="7841" t="n"/>
      <c r="F44" s="7841" t="n"/>
      <c r="G44" s="7841" t="n"/>
      <c r="H44" s="7829" t="n"/>
      <c r="I44" s="2481" t="n"/>
      <c r="J44" s="2451" t="inlineStr">
        <is>
          <t>.   .   .   .   .   .   .   .   .   .   .   .   .   .   .   .   .   .   .   .   .   .</t>
        </is>
      </c>
      <c r="K44" s="7829">
        <f>C44</f>
        <v/>
      </c>
      <c r="L44" s="2466">
        <f>IF(OR(D21="X",D35="X",R8),"",MIN(L14,L43))</f>
        <v/>
      </c>
      <c r="M44" s="2482" t="n"/>
      <c r="N44" s="2483" t="n"/>
      <c r="O44" s="2393" t="n"/>
      <c r="P44" s="88" t="n"/>
      <c r="Q44" s="88" t="n"/>
      <c r="R44" s="88" t="n"/>
      <c r="S44" s="88" t="n"/>
      <c r="T44" s="88" t="n"/>
      <c r="U44" s="11704" t="n"/>
      <c r="V44" s="658" t="n"/>
      <c r="W44" s="658" t="n"/>
      <c r="X44" s="658" t="n"/>
      <c r="Y44" s="658" t="n"/>
      <c r="Z44" s="658" t="n"/>
      <c r="AA44" s="658" t="n"/>
      <c r="AB44" s="658" t="n"/>
      <c r="AC44" s="2494" t="n"/>
    </row>
    <row r="45">
      <c r="A45" s="139" t="n"/>
      <c r="B45" s="2412" t="n"/>
      <c r="C45" s="2448" t="n">
        <v>15</v>
      </c>
      <c r="D45" s="88">
        <f>"Multiply line 11 by "&amp;TEXT(J31,"0%")&amp;" ("&amp;TEXT(J31,"0.00")&amp;").  If line 11 is zero, enter -0-"</f>
        <v/>
      </c>
      <c r="E45" s="7841" t="n"/>
      <c r="F45" s="7841" t="n"/>
      <c r="G45" s="7841" t="n"/>
      <c r="H45" s="7829" t="n"/>
      <c r="I45" s="2481" t="n"/>
      <c r="J45" s="2451" t="inlineStr">
        <is>
          <t>.   .   .   .   .   .   .   .   .   .   .   .   .   .   .   .</t>
        </is>
      </c>
      <c r="K45" s="7829">
        <f>C45</f>
        <v/>
      </c>
      <c r="L45" s="2466">
        <f>IF(OR(D21="X",D35="X",R8),"",ROUND(L41*J31,0))</f>
        <v/>
      </c>
      <c r="M45" s="2482" t="n"/>
      <c r="N45" s="2483" t="n"/>
      <c r="O45" s="2393" t="n"/>
      <c r="P45" s="88" t="n"/>
      <c r="Q45" s="88" t="n"/>
      <c r="R45" s="88" t="n"/>
      <c r="S45" s="88" t="n"/>
      <c r="T45" s="88" t="n"/>
      <c r="U45" s="11704" t="n"/>
      <c r="V45" s="658" t="n"/>
      <c r="W45" s="658" t="n"/>
      <c r="X45" s="658" t="n"/>
      <c r="Y45" s="658" t="n"/>
      <c r="Z45" s="658" t="n"/>
      <c r="AA45" s="658" t="n"/>
      <c r="AB45" s="658" t="n"/>
      <c r="AC45" s="2494" t="n"/>
    </row>
    <row r="46">
      <c r="A46" s="139" t="n"/>
      <c r="B46" s="2412" t="n"/>
      <c r="C46" s="2448" t="n">
        <v>16</v>
      </c>
      <c r="D46" s="11403" t="inlineStr">
        <is>
          <t>Add lines 14 and 15</t>
        </is>
      </c>
      <c r="E46" s="7841" t="n"/>
      <c r="F46" s="7841" t="n"/>
      <c r="G46" s="7841" t="n"/>
      <c r="H46" s="7829" t="n"/>
      <c r="I46" s="2481" t="n"/>
      <c r="J46" s="2451" t="inlineStr">
        <is>
          <t>.   .   .   .   .   .   .   .   .   .   .   .   .   .   .   .   .   .   .   .   .   .   .   .   .   .   .   .</t>
        </is>
      </c>
      <c r="K46" s="7829">
        <f>C46</f>
        <v/>
      </c>
      <c r="L46" s="2466">
        <f>IF(OR(D21="X",D35="X"),"",IF(R8,ROUND(L23*J31,0),IF(D35="X","",SUM(L44,L45))))</f>
        <v/>
      </c>
      <c r="M46" s="2482" t="n"/>
      <c r="N46" s="2483" t="n"/>
      <c r="O46" s="2393" t="n"/>
      <c r="P46" s="88" t="n"/>
      <c r="Q46" s="88" t="n"/>
      <c r="R46" s="88" t="n"/>
      <c r="S46" s="88" t="n"/>
      <c r="T46" s="88" t="n"/>
      <c r="U46" s="11704" t="n"/>
      <c r="V46" s="658" t="n"/>
      <c r="W46" s="658" t="n"/>
      <c r="X46" s="658" t="n"/>
      <c r="Y46" s="658" t="n"/>
      <c r="Z46" s="658" t="n"/>
      <c r="AA46" s="658" t="n"/>
      <c r="AB46" s="658" t="n"/>
      <c r="AC46" s="2494" t="n"/>
    </row>
    <row r="47">
      <c r="A47" s="139" t="n"/>
      <c r="B47" s="2412" t="n"/>
      <c r="C47" s="2448" t="n">
        <v>17</v>
      </c>
      <c r="D47" s="88">
        <f>"Multiply line 1 by "&amp;TEXT(J31,"0%")&amp;" ("&amp;TEXT(J31,"0.00")&amp;")."</f>
        <v/>
      </c>
      <c r="E47" s="88" t="n"/>
      <c r="F47" s="88" t="n"/>
      <c r="G47" s="88" t="n"/>
      <c r="H47" s="7829" t="n"/>
      <c r="I47" s="2481" t="n"/>
      <c r="J47" s="2451" t="inlineStr">
        <is>
          <t>.   .   .   .   .   .   .   .   .   .   .   .   .   .   .   .   .   .   .   .   .   .   .   .   .</t>
        </is>
      </c>
      <c r="K47" s="7829">
        <f>C47</f>
        <v/>
      </c>
      <c r="L47" s="2466">
        <f>IF(OR(D21="X",AND(File_Marr_Sep&lt;&gt;"",NOT(LivedApartAnswered))),"",IF(OR(I13="",I13=0),0,IF(D35="X","",ROUND(I13*J31,0))))</f>
        <v/>
      </c>
      <c r="M47" s="2482" t="n"/>
      <c r="N47" s="2483" t="n"/>
      <c r="O47" s="2393" t="n"/>
      <c r="P47" s="88" t="n"/>
      <c r="Q47" s="88" t="n"/>
      <c r="R47" s="88" t="n"/>
      <c r="S47" s="88" t="n"/>
      <c r="T47" s="88" t="n"/>
      <c r="U47" s="11704" t="n"/>
      <c r="V47" s="658" t="n"/>
      <c r="W47" s="658" t="n"/>
      <c r="X47" s="658" t="n"/>
      <c r="Y47" s="658" t="n"/>
      <c r="Z47" s="658" t="n"/>
      <c r="AA47" s="658" t="n"/>
      <c r="AB47" s="658" t="n"/>
      <c r="AC47" s="2494" t="n"/>
    </row>
    <row r="48">
      <c r="A48" s="139" t="n"/>
      <c r="B48" s="2412" t="n"/>
      <c r="C48" s="2448" t="n">
        <v>18</v>
      </c>
      <c r="D48" s="226" t="inlineStr">
        <is>
          <t>Taxable social security benefits.  Enter the smaller of line 16 or line 17</t>
        </is>
      </c>
      <c r="E48" s="7841" t="n"/>
      <c r="F48" s="7841" t="n"/>
      <c r="G48" s="7841" t="n"/>
      <c r="H48" s="7829" t="n"/>
      <c r="I48" s="2481" t="n"/>
      <c r="J48" s="2481" t="n"/>
      <c r="K48" s="7829" t="n"/>
      <c r="L48" s="2393" t="n"/>
      <c r="M48" s="2482" t="n"/>
      <c r="N48" s="2483" t="n"/>
      <c r="O48" s="2393" t="n"/>
      <c r="P48" s="88" t="n"/>
      <c r="Q48" s="88" t="n"/>
      <c r="R48" s="88" t="n"/>
      <c r="S48" s="88" t="n"/>
      <c r="T48" s="88" t="n"/>
      <c r="U48" s="11704" t="n"/>
      <c r="V48" s="658" t="n"/>
      <c r="W48" s="658" t="n"/>
      <c r="X48" s="658" t="n"/>
      <c r="Y48" s="658" t="n"/>
      <c r="Z48" s="658" t="n"/>
      <c r="AA48" s="658" t="n"/>
      <c r="AB48" s="658" t="n"/>
      <c r="AC48" s="2494" t="n"/>
    </row>
    <row r="49">
      <c r="A49" s="139" t="n"/>
      <c r="B49" s="2412" t="n"/>
      <c r="C49" s="2448" t="n"/>
      <c r="D49" s="2417" t="inlineStr">
        <is>
          <t>Also, enter this amount on Form 1040 or 1040-SR, line 6b.</t>
        </is>
      </c>
      <c r="E49" s="2471" t="n"/>
      <c r="F49" s="2471" t="n"/>
      <c r="G49" s="2471" t="n"/>
      <c r="H49" s="7829" t="n"/>
      <c r="I49" s="2481" t="n"/>
      <c r="J49" s="2451" t="inlineStr">
        <is>
          <t>.   .   .   .   .   .   .   .   .   .   .   .   .   .   .</t>
        </is>
      </c>
      <c r="K49" s="7829">
        <f>C48</f>
        <v/>
      </c>
      <c r="L49" s="2466">
        <f>IF(R49&lt;&gt;"",ROUND(R49,0),IF(AND(R13="",TotalSocSecBenefits=0),0,IF(AND(I13&lt;&gt;0,File_Marr_Sep&lt;&gt;"",NOT(LivedApartAnswered)),"Answer question.",IF(OR(D21="X",D35="X"),0,IF(D35="X",0,MIN(L46,L47))))))</f>
        <v/>
      </c>
      <c r="M49" s="2484" t="n"/>
      <c r="N49" s="2485" t="n"/>
      <c r="O49" s="2393" t="n"/>
      <c r="P49" s="88" t="n"/>
      <c r="Q49" s="88" t="n"/>
      <c r="R49" s="109" t="n"/>
      <c r="S49" s="88" t="n"/>
      <c r="T49" s="88" t="n"/>
      <c r="U49" s="11704" t="n"/>
      <c r="V49" s="658" t="n"/>
      <c r="W49" s="658" t="n"/>
      <c r="X49" s="658" t="n"/>
      <c r="Y49" s="658" t="n"/>
      <c r="Z49" s="658" t="n"/>
      <c r="AA49" s="658" t="n"/>
      <c r="AB49" s="658" t="n"/>
      <c r="AC49" s="2494" t="n"/>
    </row>
    <row r="50" ht="7.5" customHeight="1" s="7635">
      <c r="A50" s="139" t="n"/>
      <c r="B50" s="2412" t="n"/>
      <c r="C50" s="2448" t="n"/>
      <c r="D50" s="2486" t="n"/>
      <c r="E50" s="2487" t="n"/>
      <c r="F50" s="2487" t="n"/>
      <c r="G50" s="2487" t="n"/>
      <c r="H50" s="7829" t="n"/>
      <c r="I50" s="2481" t="n"/>
      <c r="J50" s="2481" t="n"/>
      <c r="K50" s="7829" t="n"/>
      <c r="L50" s="2481" t="n"/>
      <c r="M50" s="2484" t="n"/>
      <c r="N50" s="2485" t="n"/>
      <c r="O50" s="2393" t="n"/>
      <c r="P50" s="88" t="n"/>
      <c r="Q50" s="88" t="n"/>
      <c r="R50" s="88" t="n"/>
      <c r="S50" s="88" t="n"/>
      <c r="T50" s="88" t="n"/>
      <c r="U50" s="11704" t="n"/>
      <c r="V50" s="658" t="n"/>
      <c r="W50" s="658" t="n"/>
      <c r="X50" s="658" t="n"/>
      <c r="Y50" s="658" t="n"/>
      <c r="Z50" s="658" t="n"/>
      <c r="AA50" s="658" t="n"/>
      <c r="AB50" s="658" t="n"/>
      <c r="AC50" s="2494" t="n"/>
    </row>
    <row r="51" ht="12.75" customHeight="1" s="7635">
      <c r="A51" s="139" t="n"/>
      <c r="B51" s="2412" t="n"/>
      <c r="C51" s="2448" t="n"/>
      <c r="D51" s="2488" t="n"/>
      <c r="E51" s="4564">
        <f>"If any of your benefits are  taxable  for "&amp;TaxYear</f>
        <v/>
      </c>
      <c r="F51" s="4564" t="n"/>
      <c r="G51" s="2487" t="inlineStr">
        <is>
          <t>and they include a lump-sum benefit payment that was for an earlier</t>
        </is>
      </c>
      <c r="H51" s="7829" t="n"/>
      <c r="I51" s="2481" t="n"/>
      <c r="J51" s="2481" t="n"/>
      <c r="K51" s="7829" t="n"/>
      <c r="L51" s="2481" t="n"/>
      <c r="M51" s="2484" t="n"/>
      <c r="N51" s="2485" t="n"/>
      <c r="O51" s="2393" t="n"/>
      <c r="P51" s="88" t="n"/>
      <c r="Q51" s="88" t="n"/>
      <c r="R51" s="88" t="n"/>
      <c r="S51" s="88" t="n"/>
      <c r="T51" s="88" t="n"/>
      <c r="U51" s="11704" t="n"/>
      <c r="V51" s="658" t="n"/>
      <c r="W51" s="658" t="n"/>
      <c r="X51" s="658" t="n"/>
      <c r="Y51" s="658" t="n"/>
      <c r="Z51" s="658" t="n"/>
      <c r="AA51" s="658" t="n"/>
      <c r="AB51" s="658" t="n"/>
      <c r="AC51" s="2494" t="n"/>
    </row>
    <row r="52">
      <c r="A52" s="139" t="n"/>
      <c r="B52" s="2412" t="n"/>
      <c r="C52" s="2448" t="n"/>
      <c r="D52" s="2486" t="n"/>
      <c r="E52" s="4565" t="inlineStr">
        <is>
          <t>year, you may be able to reduce the taxable amount. See Lump-Sum Election in Pub. 915 for details.</t>
        </is>
      </c>
      <c r="F52" s="4565" t="n"/>
      <c r="G52" s="4565" t="n"/>
      <c r="H52" s="7829" t="n"/>
      <c r="I52" s="2481" t="n"/>
      <c r="J52" s="2481" t="n"/>
      <c r="K52" s="7829" t="n"/>
      <c r="L52" s="2481" t="n"/>
      <c r="M52" s="2484" t="n"/>
      <c r="N52" s="2485" t="n"/>
      <c r="O52" s="2393" t="n"/>
      <c r="P52" s="88" t="n"/>
      <c r="Q52" s="88" t="n"/>
      <c r="R52" s="88" t="n"/>
      <c r="S52" s="88" t="n"/>
      <c r="T52" s="88" t="n"/>
      <c r="U52" s="11704" t="n"/>
      <c r="V52" s="658" t="n"/>
      <c r="W52" s="658" t="n"/>
      <c r="X52" s="658" t="n"/>
      <c r="Y52" s="658" t="n"/>
      <c r="Z52" s="658" t="n"/>
      <c r="AA52" s="658" t="n"/>
      <c r="AB52" s="658" t="n"/>
      <c r="AC52" s="2494" t="n"/>
    </row>
    <row r="53" ht="13.5" customHeight="1" s="7635" thickBot="1">
      <c r="A53" s="139" t="n"/>
      <c r="B53" s="2489" t="n"/>
      <c r="C53" s="91" t="n"/>
      <c r="D53" s="91" t="n"/>
      <c r="E53" s="91" t="n"/>
      <c r="F53" s="91" t="n"/>
      <c r="G53" s="91" t="n"/>
      <c r="H53" s="91" t="n"/>
      <c r="I53" s="91" t="n"/>
      <c r="J53" s="91" t="n"/>
      <c r="K53" s="91" t="n"/>
      <c r="L53" s="91" t="n"/>
      <c r="M53" s="2490" t="n"/>
      <c r="N53" s="139" t="n"/>
      <c r="O53" s="2393" t="n"/>
      <c r="P53" s="88" t="n"/>
      <c r="Q53" s="88" t="n"/>
      <c r="R53" s="88" t="n"/>
      <c r="S53" s="88" t="n"/>
      <c r="T53" s="88" t="n"/>
      <c r="U53" s="11704" t="n"/>
      <c r="V53" s="658" t="n"/>
      <c r="W53" s="658" t="n"/>
      <c r="X53" s="658" t="n"/>
      <c r="Y53" s="658" t="n"/>
      <c r="Z53" s="658" t="n"/>
      <c r="AA53" s="658" t="n"/>
      <c r="AB53" s="658" t="n"/>
      <c r="AC53" s="2494" t="n"/>
    </row>
    <row r="54">
      <c r="A54" s="139" t="n"/>
      <c r="B54" s="139" t="n"/>
      <c r="C54" s="139" t="n"/>
      <c r="D54" s="139" t="n"/>
      <c r="E54" s="139" t="n"/>
      <c r="F54" s="139" t="n"/>
      <c r="G54" s="139" t="n"/>
      <c r="H54" s="139" t="n"/>
      <c r="I54" s="139" t="n"/>
      <c r="J54" s="139" t="n"/>
      <c r="K54" s="139" t="n"/>
      <c r="L54" s="139" t="n"/>
      <c r="M54" s="139" t="n"/>
      <c r="N54" s="139" t="n"/>
      <c r="O54" s="2393" t="n"/>
      <c r="P54" s="88" t="n"/>
      <c r="Q54" s="88" t="n"/>
      <c r="R54" s="88" t="n"/>
      <c r="S54" s="88" t="n"/>
      <c r="T54" s="88" t="n"/>
      <c r="U54" s="11704" t="n"/>
      <c r="V54" s="658" t="n"/>
      <c r="W54" s="658" t="n"/>
      <c r="X54" s="658" t="n"/>
      <c r="Y54" s="658" t="n"/>
      <c r="Z54" s="658" t="n"/>
      <c r="AA54" s="658" t="n"/>
      <c r="AB54" s="658" t="n"/>
      <c r="AC54" s="2494" t="n"/>
    </row>
  </sheetData>
  <sheetProtection selectLockedCells="0" selectUnlockedCells="0" algorithmName="SHA-512" sheet="1" objects="1" insertRows="1" insertHyperlinks="1" autoFilter="1" scenarios="1" formatColumns="0" deleteColumns="1" insertColumns="1" pivotTables="1" deleteRows="1" formatCells="0" saltValue="36F0/cXc3ThDw/KvqMJQhQ==" formatRows="0" sort="1" spinCount="100000" hashValue="TknfY8Hq1wXorP8pcF0Ief6UIm3lTM++OG06VStuighHp0QBgI5WD904bijIDpTISVLT4XYzYM3+sLQXVGZMAg=="/>
  <mergeCells count="2">
    <mergeCell ref="R10:R11"/>
    <mergeCell ref="I13:J13"/>
  </mergeCells>
  <conditionalFormatting sqref="I13:J13 L40:L47 L49">
    <cfRule type="expression" priority="26" dxfId="6">
      <formula>IF(NoColor,1,0)</formula>
    </cfRule>
  </conditionalFormatting>
  <conditionalFormatting sqref="L14:L18">
    <cfRule type="expression" priority="24" dxfId="6">
      <formula>IF(NoColor,1,0)</formula>
    </cfRule>
  </conditionalFormatting>
  <conditionalFormatting sqref="L23">
    <cfRule type="expression" priority="22" dxfId="6">
      <formula>IF(NoColor,1,0)</formula>
    </cfRule>
  </conditionalFormatting>
  <conditionalFormatting sqref="L29">
    <cfRule type="expression" priority="18" dxfId="3254">
      <formula>IF(LivedApart="?",1,0)</formula>
    </cfRule>
    <cfRule type="expression" priority="21" dxfId="6">
      <formula>IF(NoColor,1,0)</formula>
    </cfRule>
  </conditionalFormatting>
  <conditionalFormatting sqref="L38">
    <cfRule type="expression" priority="20" dxfId="6">
      <formula>IF(NoColor,1,0)</formula>
    </cfRule>
  </conditionalFormatting>
  <conditionalFormatting sqref="L49">
    <cfRule type="expression" priority="17" dxfId="14">
      <formula>IF(AND(TotalSocSecBenefit&gt;0,LivedApart="?"),1,0)</formula>
    </cfRule>
  </conditionalFormatting>
  <conditionalFormatting sqref="P3 P4:S9 R3:S3">
    <cfRule type="expression" priority="6" dxfId="1267" stopIfTrue="1">
      <formula>(File_Marr_Sep="")</formula>
    </cfRule>
  </conditionalFormatting>
  <conditionalFormatting sqref="Q3 Q8">
    <cfRule type="expression" priority="3" dxfId="3249">
      <formula>AND(LivedApartAnswered,File_Marr_Sep&lt;&gt;"")</formula>
    </cfRule>
  </conditionalFormatting>
  <conditionalFormatting sqref="Q3 Q8:Q9">
    <cfRule type="expression" priority="4" dxfId="1267" stopIfTrue="1">
      <formula>(File_Marr_Sep&lt;&gt;"")</formula>
    </cfRule>
  </conditionalFormatting>
  <conditionalFormatting sqref="Q4:Q9">
    <cfRule type="expression" priority="7" dxfId="781">
      <formula>AND(LivedApartAnswered,File_Marr_Sep&lt;&gt;"")</formula>
    </cfRule>
  </conditionalFormatting>
  <conditionalFormatting sqref="R4">
    <cfRule type="expression" priority="12" dxfId="41">
      <formula>IF($P$5=1,1,0)</formula>
    </cfRule>
  </conditionalFormatting>
  <conditionalFormatting sqref="R6">
    <cfRule type="expression" priority="11" dxfId="41">
      <formula>IF($P$5=1,1,0)</formula>
    </cfRule>
  </conditionalFormatting>
  <pageMargins left="0.75" right="0.25" top="0.36" bottom="0.29" header="0.36" footer="0.21"/>
  <pageSetup orientation="portrait" scale="88" fitToHeight="0"/>
  <drawing xmlns:r="http://schemas.openxmlformats.org/officeDocument/2006/relationships" r:id="rId1"/>
</worksheet>
</file>

<file path=xl/worksheets/sheet25.xml><?xml version="1.0" encoding="utf-8"?>
<worksheet xmlns="http://schemas.openxmlformats.org/spreadsheetml/2006/main">
  <sheetPr>
    <outlinePr summaryBelow="1" summaryRight="1"/>
    <pageSetUpPr fitToPage="1"/>
  </sheetPr>
  <dimension ref="A1:AE42"/>
  <sheetViews>
    <sheetView zoomScaleNormal="100" workbookViewId="0">
      <selection activeCell="A1" sqref="A1"/>
    </sheetView>
  </sheetViews>
  <sheetFormatPr baseColWidth="8" defaultRowHeight="12.75"/>
  <cols>
    <col width="3.140625" customWidth="1" style="7635" min="1" max="1"/>
    <col width="8.140625" customWidth="1" style="7635" min="2" max="2"/>
    <col width="3.42578125" customWidth="1" style="7635" min="3" max="3"/>
    <col width="8.28515625" customWidth="1" style="7635" min="4" max="4"/>
    <col width="3.28515625" customWidth="1" style="7635" min="5" max="5"/>
    <col width="11.28515625" customWidth="1" style="7635" min="6" max="6"/>
    <col width="12" customWidth="1" style="7635" min="7" max="7"/>
    <col width="15.5703125" customWidth="1" style="7635" min="8" max="8"/>
    <col width="8.5703125" customWidth="1" style="7635" min="9" max="9"/>
    <col width="8" customWidth="1" style="7635" min="10" max="10"/>
    <col width="10.140625" customWidth="1" style="7635" min="11" max="11"/>
    <col width="9.85546875" customWidth="1" style="7635" min="12" max="12"/>
    <col width="3.42578125" customWidth="1" style="7635" min="13" max="13"/>
    <col width="11.140625" customWidth="1" style="7635" min="14" max="14"/>
    <col width="2.7109375" customWidth="1" style="7635" min="15" max="15"/>
    <col width="3.5703125" customWidth="1" style="7635" min="16" max="16"/>
    <col width="13.5703125" customWidth="1" style="7635" min="17" max="17"/>
    <col width="3.5703125" customWidth="1" style="7635" min="18" max="18"/>
    <col width="13.7109375" customWidth="1" style="816" min="19" max="19"/>
    <col width="10.7109375" customWidth="1" style="815" min="20" max="30"/>
  </cols>
  <sheetData>
    <row r="1" ht="21" customHeight="1" s="7635" thickBot="1">
      <c r="A1" s="6100" t="n"/>
      <c r="B1" s="11602" t="n"/>
      <c r="C1" s="11602" t="n"/>
      <c r="D1" s="11602" t="n"/>
      <c r="E1" s="11602" t="n"/>
      <c r="F1" s="11602" t="n"/>
      <c r="G1" s="11602" t="n"/>
      <c r="H1" s="11602" t="n"/>
      <c r="I1" s="11602" t="n"/>
      <c r="J1" s="11602" t="n"/>
      <c r="K1" s="11602" t="n"/>
      <c r="L1" s="11602" t="n"/>
      <c r="M1" s="7983">
        <f>IF('Table of Contents'!A30="D","DRAFT","")</f>
        <v/>
      </c>
      <c r="N1" s="8848" t="n"/>
      <c r="O1" s="8848" t="n"/>
      <c r="P1" s="344" t="n"/>
      <c r="Q1" s="344" t="n"/>
      <c r="R1" s="344" t="n"/>
      <c r="S1" s="768" t="inlineStr">
        <is>
          <t>Notes</t>
        </is>
      </c>
      <c r="T1" s="658" t="n"/>
      <c r="U1" s="658" t="n"/>
      <c r="V1" s="658" t="n"/>
      <c r="W1" s="658" t="n"/>
      <c r="X1" s="658" t="n"/>
      <c r="Y1" s="658" t="n"/>
      <c r="Z1" s="658" t="n"/>
      <c r="AA1" s="658" t="n"/>
      <c r="AB1" s="658" t="n"/>
    </row>
    <row r="2" ht="14.25" customHeight="1" s="7635">
      <c r="A2" s="6100" t="n"/>
      <c r="B2" s="6101" t="n"/>
      <c r="C2" s="6102" t="n"/>
      <c r="D2" s="2344" t="n"/>
      <c r="E2" s="2344" t="n"/>
      <c r="F2" s="2344" t="n"/>
      <c r="G2" s="2344" t="n"/>
      <c r="H2" s="2344" t="n"/>
      <c r="I2" s="2344" t="n"/>
      <c r="J2" s="6103" t="n"/>
      <c r="K2" s="6103" t="n"/>
      <c r="L2" s="6103" t="n"/>
      <c r="M2" s="6103" t="n"/>
      <c r="N2" s="2344" t="n"/>
      <c r="O2" s="3428" t="n"/>
      <c r="P2" s="344" t="n"/>
      <c r="Q2" s="344" t="n"/>
      <c r="R2" s="344" t="n"/>
      <c r="S2" s="795" t="inlineStr">
        <is>
          <t>Date</t>
        </is>
      </c>
      <c r="T2" s="658" t="n"/>
      <c r="U2" s="658" t="n"/>
      <c r="V2" s="658" t="n"/>
      <c r="W2" s="658" t="n"/>
      <c r="X2" s="658" t="n"/>
      <c r="Y2" s="658" t="n"/>
      <c r="Z2" s="658" t="n"/>
      <c r="AA2" s="658" t="n"/>
      <c r="AB2" s="658" t="n"/>
    </row>
    <row r="3" ht="16.5" customHeight="1" s="7635" thickBot="1">
      <c r="A3" s="6100" t="n"/>
      <c r="B3" s="6104" t="inlineStr">
        <is>
          <t xml:space="preserve">    Standard Deduction Worksheet for Dependents -- Line 12e</t>
        </is>
      </c>
      <c r="C3" s="2539" t="n"/>
      <c r="D3" s="11403" t="n"/>
      <c r="E3" s="11403" t="n"/>
      <c r="F3" s="11403" t="n"/>
      <c r="G3" s="11403" t="n"/>
      <c r="H3" s="11403" t="n"/>
      <c r="I3" s="11403" t="n"/>
      <c r="J3" s="6105" t="inlineStr">
        <is>
          <t>Applicable?</t>
        </is>
      </c>
      <c r="K3" s="6105" t="n"/>
      <c r="L3" s="6106" t="n"/>
      <c r="M3" s="6107" t="n"/>
      <c r="N3" s="6108" t="inlineStr">
        <is>
          <t>Keep for Your Records</t>
        </is>
      </c>
      <c r="O3" s="90" t="n"/>
      <c r="P3" s="6109" t="n"/>
      <c r="Q3" s="6109" t="n"/>
      <c r="R3" s="6109" t="n"/>
      <c r="S3" s="769" t="n"/>
      <c r="T3" s="658" t="n"/>
      <c r="U3" s="658" t="n"/>
      <c r="V3" s="658" t="n"/>
      <c r="W3" s="658" t="n"/>
      <c r="X3" s="658" t="n"/>
      <c r="Y3" s="658" t="n"/>
      <c r="Z3" s="658" t="n"/>
      <c r="AA3" s="658" t="n"/>
      <c r="AB3" s="658" t="n"/>
    </row>
    <row r="4" ht="12.75" customHeight="1" s="7635" thickBot="1">
      <c r="A4" s="6100" t="n"/>
      <c r="B4" s="6110" t="n"/>
      <c r="C4" s="11403" t="n"/>
      <c r="D4" s="2677" t="n"/>
      <c r="E4" s="11403" t="n"/>
      <c r="F4" s="11403" t="n"/>
      <c r="G4" s="11403" t="n"/>
      <c r="H4" s="2700" t="n"/>
      <c r="I4" s="88" t="n"/>
      <c r="J4" s="228">
        <f>IF(L4,"Yes","No")</f>
        <v/>
      </c>
      <c r="K4" s="228" t="n"/>
      <c r="L4" s="6111">
        <f>OR(DependentYOU&lt;&gt;"",DependentSPOUSE&lt;&gt;"",P4&lt;&gt;"")</f>
        <v/>
      </c>
      <c r="M4" s="6111" t="n"/>
      <c r="N4" s="7847" t="n"/>
      <c r="O4" s="90" t="n"/>
      <c r="P4" s="1079" t="n"/>
      <c r="Q4" s="344" t="inlineStr">
        <is>
          <t>Use form anyway.</t>
        </is>
      </c>
      <c r="R4" s="344" t="n"/>
      <c r="S4" s="769" t="n"/>
      <c r="T4" s="658" t="n"/>
      <c r="U4" s="658" t="n"/>
      <c r="V4" s="658" t="n"/>
      <c r="W4" s="658" t="n"/>
      <c r="X4" s="658" t="n"/>
      <c r="Y4" s="658" t="n"/>
      <c r="Z4" s="658" t="n"/>
      <c r="AA4" s="658" t="n"/>
      <c r="AB4" s="658" t="n"/>
      <c r="AE4" s="8648" t="n"/>
    </row>
    <row r="5" ht="13.5" customHeight="1" s="7635">
      <c r="A5" s="344" t="n"/>
      <c r="B5" s="6112" t="n"/>
      <c r="C5" s="6113" t="inlineStr">
        <is>
          <t>Use the worksheet only if someone can claim you, or your spouse, if filing jointly, as a dependent.</t>
        </is>
      </c>
      <c r="D5" s="5731" t="n"/>
      <c r="E5" s="5731" t="n"/>
      <c r="F5" s="5731" t="n"/>
      <c r="G5" s="5731" t="n"/>
      <c r="H5" s="6114" t="n"/>
      <c r="I5" s="5661" t="n"/>
      <c r="J5" s="5661" t="n"/>
      <c r="K5" s="5661" t="n"/>
      <c r="L5" s="4574" t="n"/>
      <c r="M5" s="4577" t="n"/>
      <c r="N5" s="6115" t="n"/>
      <c r="O5" s="6116" t="n"/>
      <c r="P5" s="344" t="n"/>
      <c r="Q5" s="344" t="n"/>
      <c r="R5" s="344" t="n"/>
      <c r="S5" s="769" t="n"/>
      <c r="T5" s="658" t="n"/>
      <c r="U5" s="658" t="n"/>
      <c r="V5" s="658" t="n"/>
      <c r="W5" s="658" t="n"/>
      <c r="X5" s="658" t="n"/>
      <c r="Y5" s="658" t="n"/>
      <c r="Z5" s="658" t="n"/>
      <c r="AA5" s="658" t="n"/>
      <c r="AB5" s="658" t="n"/>
    </row>
    <row r="6" ht="13.5" customHeight="1" s="7635">
      <c r="A6" s="344" t="n"/>
      <c r="B6" s="6110" t="n"/>
      <c r="C6" s="5455" t="n"/>
      <c r="D6" s="11403" t="n"/>
      <c r="E6" s="11403" t="n"/>
      <c r="F6" s="11403" t="n"/>
      <c r="G6" s="11403" t="n"/>
      <c r="H6" s="2700" t="n"/>
      <c r="I6" s="88" t="n"/>
      <c r="J6" s="88" t="n"/>
      <c r="K6" s="88" t="n"/>
      <c r="L6" s="228" t="n"/>
      <c r="M6" s="228" t="n"/>
      <c r="N6" s="7847" t="n"/>
      <c r="O6" s="90" t="n"/>
      <c r="P6" s="344" t="n"/>
      <c r="Q6" s="344" t="n"/>
      <c r="R6" s="344" t="n"/>
      <c r="S6" s="769" t="n"/>
      <c r="T6" s="658" t="n"/>
      <c r="U6" s="658" t="n"/>
      <c r="V6" s="658" t="n"/>
      <c r="W6" s="658" t="n"/>
      <c r="X6" s="658" t="n"/>
      <c r="Y6" s="658" t="n"/>
      <c r="Z6" s="658" t="n"/>
      <c r="AA6" s="658" t="n"/>
      <c r="AB6" s="658" t="n"/>
    </row>
    <row r="7" ht="13.5" customHeight="1" s="7635">
      <c r="A7" s="1318">
        <f>IF(E7&lt;&gt;"",1,0)</f>
        <v/>
      </c>
      <c r="B7" s="4734" t="inlineStr">
        <is>
          <t>1.</t>
        </is>
      </c>
      <c r="C7" s="5455" t="n"/>
      <c r="D7" s="6117" t="inlineStr">
        <is>
          <t>Check if:</t>
        </is>
      </c>
      <c r="E7" s="6118">
        <f>IF(NOT(L4),"",IF(you_over_64&lt;&gt;"","X",""))</f>
        <v/>
      </c>
      <c r="F7" s="4693" t="inlineStr">
        <is>
          <t>You  were  born   before</t>
        </is>
      </c>
      <c r="G7" s="4693" t="n"/>
      <c r="H7" s="11403">
        <f>"January 2, "&amp;TaxYear-64</f>
        <v/>
      </c>
      <c r="I7" s="88" t="n"/>
      <c r="J7" s="88" t="n"/>
      <c r="K7" s="88" t="n"/>
      <c r="L7" s="228" t="n"/>
      <c r="M7" s="228" t="n"/>
      <c r="N7" s="7847" t="n"/>
      <c r="O7" s="90" t="n"/>
      <c r="P7" s="344" t="n"/>
      <c r="Q7" s="344" t="n"/>
      <c r="R7" s="344" t="n"/>
      <c r="S7" s="769" t="n"/>
      <c r="T7" s="658" t="n"/>
      <c r="U7" s="658" t="n"/>
      <c r="V7" s="658" t="n"/>
      <c r="W7" s="658" t="n"/>
      <c r="X7" s="658" t="n"/>
      <c r="Y7" s="658" t="n"/>
      <c r="Z7" s="658" t="n"/>
      <c r="AA7" s="658" t="n"/>
      <c r="AB7" s="658" t="n"/>
    </row>
    <row r="8" ht="7.5" customHeight="1" s="7635">
      <c r="A8" s="512" t="n"/>
      <c r="B8" s="6110" t="n"/>
      <c r="C8" s="5455" t="n"/>
      <c r="D8" s="11403" t="n"/>
      <c r="E8" s="11403" t="n"/>
      <c r="F8" s="11403" t="n"/>
      <c r="G8" s="11403" t="n"/>
      <c r="H8" s="2700" t="n"/>
      <c r="I8" s="88" t="n"/>
      <c r="J8" s="88" t="n"/>
      <c r="K8" s="88" t="n"/>
      <c r="L8" s="228" t="n"/>
      <c r="M8" s="228" t="n"/>
      <c r="N8" s="7847" t="n"/>
      <c r="O8" s="90" t="n"/>
      <c r="P8" s="344" t="n"/>
      <c r="Q8" s="344" t="n"/>
      <c r="R8" s="344" t="n"/>
      <c r="S8" s="769" t="n"/>
      <c r="T8" s="658" t="n"/>
      <c r="U8" s="658" t="n"/>
      <c r="V8" s="658" t="n"/>
      <c r="W8" s="658" t="n"/>
      <c r="X8" s="658" t="n"/>
      <c r="Y8" s="658" t="n"/>
      <c r="Z8" s="658" t="n"/>
      <c r="AA8" s="658" t="n"/>
      <c r="AB8" s="658" t="n"/>
    </row>
    <row r="9" ht="13.5" customHeight="1" s="7635">
      <c r="A9" s="1318">
        <f>IF(E9&lt;&gt;"",1,0)</f>
        <v/>
      </c>
      <c r="B9" s="6110" t="n"/>
      <c r="C9" s="5455" t="n"/>
      <c r="D9" s="11403" t="n"/>
      <c r="E9" s="6118">
        <f>IF(NOT(L4),"",IF(you_blind&lt;&gt;"","X",""))</f>
        <v/>
      </c>
      <c r="F9" s="4693" t="inlineStr">
        <is>
          <t>You  are blind</t>
        </is>
      </c>
      <c r="G9" s="4693" t="n"/>
      <c r="H9" s="2700" t="n"/>
      <c r="I9" s="88" t="n"/>
      <c r="J9" s="11403" t="inlineStr">
        <is>
          <t>Total number of boxes</t>
        </is>
      </c>
      <c r="K9" s="11403" t="n"/>
      <c r="L9" s="228" t="n"/>
      <c r="M9" s="228" t="n"/>
      <c r="N9" s="7847" t="n"/>
      <c r="O9" s="90" t="n"/>
      <c r="P9" s="344" t="n"/>
      <c r="Q9" s="344" t="n"/>
      <c r="R9" s="344" t="n"/>
      <c r="S9" s="769" t="n"/>
      <c r="T9" s="658" t="n"/>
      <c r="U9" s="658" t="n"/>
      <c r="V9" s="658" t="n"/>
      <c r="W9" s="658" t="n"/>
      <c r="X9" s="658" t="n"/>
      <c r="Y9" s="658" t="n"/>
      <c r="Z9" s="658" t="n"/>
      <c r="AA9" s="658" t="n"/>
      <c r="AB9" s="658" t="n"/>
    </row>
    <row r="10" ht="13.5" customHeight="1" s="7635">
      <c r="A10" s="512" t="n"/>
      <c r="B10" s="6110" t="n"/>
      <c r="C10" s="5455" t="n"/>
      <c r="D10" s="11403" t="n"/>
      <c r="E10" s="11403" t="n"/>
      <c r="F10" s="11403" t="n"/>
      <c r="G10" s="11403" t="n"/>
      <c r="H10" s="2700" t="n"/>
      <c r="I10" s="88" t="n"/>
      <c r="J10" s="88" t="n"/>
      <c r="K10" s="88" t="n"/>
      <c r="L10" s="228" t="inlineStr">
        <is>
          <t xml:space="preserve">checked  .   .   .   .   .   .   .   .   .   .   .   .   .   .  </t>
        </is>
      </c>
      <c r="M10" s="2609" t="inlineStr">
        <is>
          <t>1.</t>
        </is>
      </c>
      <c r="N10" s="12014">
        <f>IF(NOT(L4),"",IF(SUM(A7:A13)=0,0,SUM(A7:A13)))</f>
        <v/>
      </c>
      <c r="O10" s="90" t="n"/>
      <c r="P10" s="344" t="n"/>
      <c r="Q10" s="344" t="n"/>
      <c r="R10" s="344" t="n"/>
      <c r="S10" s="769" t="n"/>
      <c r="T10" s="658" t="n"/>
      <c r="U10" s="658" t="n"/>
      <c r="V10" s="658" t="n"/>
      <c r="W10" s="658" t="n"/>
      <c r="X10" s="658" t="n"/>
      <c r="Y10" s="658" t="n"/>
      <c r="Z10" s="658" t="n"/>
      <c r="AA10" s="658" t="n"/>
      <c r="AB10" s="658" t="n"/>
    </row>
    <row r="11" ht="13.5" customHeight="1" s="7635">
      <c r="A11" s="1318">
        <f>IF(E11&lt;&gt;"",1,0)</f>
        <v/>
      </c>
      <c r="B11" s="4734" t="n"/>
      <c r="C11" s="5455" t="n"/>
      <c r="D11" s="11403" t="n"/>
      <c r="E11" s="6118">
        <f>IF(NOT(L4),"",IF(sp_over_64&lt;&gt;"","X",""))</f>
        <v/>
      </c>
      <c r="F11" s="4693" t="inlineStr">
        <is>
          <t>Spouse was born before</t>
        </is>
      </c>
      <c r="G11" s="4693" t="n"/>
      <c r="H11" s="11403">
        <f>"January 2, "&amp;TaxYear-64</f>
        <v/>
      </c>
      <c r="I11" s="88" t="n"/>
      <c r="J11" s="88" t="n"/>
      <c r="K11" s="88" t="n"/>
      <c r="L11" s="228" t="n"/>
      <c r="M11" s="228" t="n"/>
      <c r="N11" s="7847" t="n"/>
      <c r="O11" s="90" t="n"/>
      <c r="P11" s="344" t="n"/>
      <c r="Q11" s="344" t="n"/>
      <c r="R11" s="344" t="n"/>
      <c r="S11" s="769" t="n"/>
      <c r="T11" s="658" t="n"/>
      <c r="U11" s="658" t="n"/>
      <c r="V11" s="658" t="n"/>
      <c r="W11" s="658" t="n"/>
      <c r="X11" s="658" t="n"/>
      <c r="Y11" s="658" t="n"/>
      <c r="Z11" s="658" t="n"/>
      <c r="AA11" s="658" t="n"/>
      <c r="AB11" s="658" t="n"/>
    </row>
    <row r="12" ht="7.5" customHeight="1" s="7635">
      <c r="A12" s="512" t="n"/>
      <c r="B12" s="6110" t="n"/>
      <c r="C12" s="5455" t="n"/>
      <c r="D12" s="11403" t="n"/>
      <c r="E12" s="11403" t="n"/>
      <c r="F12" s="11403" t="n"/>
      <c r="G12" s="11403" t="n"/>
      <c r="H12" s="2700" t="n"/>
      <c r="I12" s="88" t="n"/>
      <c r="J12" s="88" t="n"/>
      <c r="K12" s="88" t="n"/>
      <c r="L12" s="228" t="n"/>
      <c r="M12" s="228" t="n"/>
      <c r="N12" s="7847" t="n"/>
      <c r="O12" s="90" t="n"/>
      <c r="P12" s="344" t="n"/>
      <c r="Q12" s="344" t="n"/>
      <c r="R12" s="344" t="n"/>
      <c r="S12" s="769" t="n"/>
      <c r="T12" s="658" t="n"/>
      <c r="U12" s="658" t="n"/>
      <c r="V12" s="658" t="n"/>
      <c r="W12" s="658" t="n"/>
      <c r="X12" s="658" t="n"/>
      <c r="Y12" s="658" t="n"/>
      <c r="Z12" s="658" t="n"/>
      <c r="AA12" s="658" t="n"/>
      <c r="AB12" s="658" t="n"/>
    </row>
    <row r="13" ht="13.5" customHeight="1" s="7635">
      <c r="A13" s="1318">
        <f>IF(E13&lt;&gt;"",1,0)</f>
        <v/>
      </c>
      <c r="B13" s="6110" t="n"/>
      <c r="C13" s="5455" t="n"/>
      <c r="D13" s="11403" t="n"/>
      <c r="E13" s="6118">
        <f>IF(NOT(L4),"",IF(sp_blind&lt;&gt;"","X",""))</f>
        <v/>
      </c>
      <c r="F13" s="4693" t="inlineStr">
        <is>
          <t>Spouse is blind</t>
        </is>
      </c>
      <c r="G13" s="4693" t="n"/>
      <c r="H13" s="2700" t="n"/>
      <c r="I13" s="88" t="n"/>
      <c r="J13" s="88" t="n"/>
      <c r="K13" s="88" t="n"/>
      <c r="L13" s="228" t="n"/>
      <c r="M13" s="228" t="n"/>
      <c r="N13" s="7847" t="n"/>
      <c r="O13" s="90" t="n"/>
      <c r="P13" s="344" t="n"/>
      <c r="Q13" s="810" t="inlineStr">
        <is>
          <t>Manual</t>
        </is>
      </c>
      <c r="R13" s="344" t="n"/>
      <c r="S13" s="769" t="n"/>
      <c r="T13" s="658" t="n"/>
      <c r="U13" s="658" t="n"/>
      <c r="V13" s="658" t="n"/>
      <c r="W13" s="658" t="n"/>
      <c r="X13" s="658" t="n"/>
      <c r="Y13" s="658" t="n"/>
      <c r="Z13" s="658" t="n"/>
      <c r="AA13" s="658" t="n"/>
      <c r="AB13" s="658" t="n"/>
    </row>
    <row r="14" ht="13.5" customHeight="1" s="7635">
      <c r="A14" s="344" t="n"/>
      <c r="B14" s="6120" t="n"/>
      <c r="C14" s="11403" t="n"/>
      <c r="D14" s="226" t="n"/>
      <c r="E14" s="11403" t="n"/>
      <c r="F14" s="2604" t="n"/>
      <c r="G14" s="2604" t="n"/>
      <c r="H14" s="2605" t="n"/>
      <c r="I14" s="2606" t="n"/>
      <c r="J14" s="2607" t="n"/>
      <c r="K14" s="2607" t="n"/>
      <c r="L14" s="2607" t="n"/>
      <c r="M14" s="2607" t="n"/>
      <c r="N14" s="7847" t="n"/>
      <c r="O14" s="90" t="n"/>
      <c r="P14" s="344" t="n"/>
      <c r="Q14" s="810" t="inlineStr">
        <is>
          <t>Override</t>
        </is>
      </c>
      <c r="R14" s="344" t="n"/>
      <c r="S14" s="769" t="n"/>
      <c r="T14" s="658" t="n"/>
      <c r="U14" s="658" t="n"/>
      <c r="V14" s="658" t="n"/>
      <c r="W14" s="658" t="n"/>
      <c r="X14" s="658" t="n"/>
      <c r="Y14" s="658" t="n"/>
      <c r="Z14" s="658" t="n"/>
      <c r="AA14" s="658" t="n"/>
      <c r="AB14" s="658" t="n"/>
    </row>
    <row r="15" ht="13.5" customHeight="1" s="7635">
      <c r="A15" s="344" t="n"/>
      <c r="B15" s="6120" t="n"/>
      <c r="C15" s="11403" t="n"/>
      <c r="D15" s="226" t="n"/>
      <c r="E15" s="11403" t="n"/>
      <c r="F15" s="2604" t="n"/>
      <c r="G15" s="2604" t="n"/>
      <c r="H15" s="2605" t="n"/>
      <c r="I15" s="2606" t="n"/>
      <c r="J15" s="2607" t="n"/>
      <c r="K15" s="2607" t="n"/>
      <c r="L15" s="6121" t="inlineStr">
        <is>
          <t>Earned Income (from 'Earned Inc WS', line 7)</t>
        </is>
      </c>
      <c r="M15" s="2607" t="n"/>
      <c r="N15" s="7982">
        <f>IF(Q15&lt;&gt;"",ROUND(Q15,0),IF(NOT(L4),"",Earned_Income))</f>
        <v/>
      </c>
      <c r="O15" s="90" t="n"/>
      <c r="P15" s="344" t="n"/>
      <c r="Q15" s="1030" t="n"/>
      <c r="R15" s="344" t="n"/>
      <c r="S15" s="769" t="n"/>
      <c r="T15" s="658" t="n"/>
      <c r="U15" s="658" t="n"/>
      <c r="V15" s="658" t="n"/>
      <c r="W15" s="658" t="n"/>
      <c r="X15" s="658" t="n"/>
      <c r="Y15" s="658" t="n"/>
      <c r="Z15" s="658" t="n"/>
      <c r="AA15" s="658" t="n"/>
      <c r="AB15" s="658" t="n"/>
    </row>
    <row r="16" ht="18.75" customHeight="1" s="7635">
      <c r="A16" s="344" t="n"/>
      <c r="B16" s="4734" t="inlineStr">
        <is>
          <t>2.</t>
        </is>
      </c>
      <c r="C16" s="220" t="n"/>
      <c r="D16" s="11403" t="inlineStr">
        <is>
          <t xml:space="preserve">Is  your  earned income* </t>
        </is>
      </c>
      <c r="E16" s="11403" t="n"/>
      <c r="F16" s="11403" t="n"/>
      <c r="G16" s="11403">
        <f>"more than "&amp;TEXT(L16,"$0")&amp;"?"</f>
        <v/>
      </c>
      <c r="H16" s="2605" t="n"/>
      <c r="I16" s="2607" t="n">
        <v>1350</v>
      </c>
      <c r="J16" s="2607" t="n"/>
      <c r="K16" s="2607" t="n"/>
      <c r="L16" s="7847" t="n">
        <v>900</v>
      </c>
      <c r="M16" s="7847" t="n"/>
      <c r="N16" s="2689" t="n"/>
      <c r="O16" s="90" t="n"/>
      <c r="P16" s="344" t="n"/>
      <c r="Q16" s="344" t="n"/>
      <c r="R16" s="344" t="n"/>
      <c r="S16" s="769" t="n"/>
      <c r="T16" s="658" t="n"/>
      <c r="U16" s="658" t="n"/>
      <c r="V16" s="658" t="n"/>
      <c r="W16" s="658" t="n"/>
      <c r="X16" s="658" t="n"/>
      <c r="Y16" s="658" t="n"/>
      <c r="Z16" s="658" t="n"/>
      <c r="AA16" s="658" t="n"/>
      <c r="AB16" s="658" t="n"/>
    </row>
    <row r="17" ht="6.75" customHeight="1" s="7635">
      <c r="A17" s="344" t="n"/>
      <c r="B17" s="4734" t="n"/>
      <c r="C17" s="220" t="n"/>
      <c r="D17" s="11403" t="n"/>
      <c r="E17" s="11403" t="n"/>
      <c r="F17" s="11403" t="n"/>
      <c r="G17" s="11403" t="n"/>
      <c r="H17" s="2605" t="n"/>
      <c r="I17" s="2607" t="n"/>
      <c r="J17" s="2607" t="n"/>
      <c r="K17" s="2607" t="n"/>
      <c r="L17" s="7847" t="n"/>
      <c r="M17" s="7847" t="n"/>
      <c r="N17" s="7847" t="n"/>
      <c r="O17" s="90" t="n"/>
      <c r="P17" s="344" t="n"/>
      <c r="Q17" s="344" t="n"/>
      <c r="R17" s="344" t="n"/>
      <c r="S17" s="769" t="n"/>
      <c r="T17" s="658" t="n"/>
      <c r="U17" s="658" t="n"/>
      <c r="V17" s="658" t="n"/>
      <c r="W17" s="658" t="n"/>
      <c r="X17" s="658" t="n"/>
      <c r="Y17" s="658" t="n"/>
      <c r="Z17" s="658" t="n"/>
      <c r="AA17" s="658" t="n"/>
      <c r="AB17" s="658" t="n"/>
    </row>
    <row r="18" ht="13.5" customHeight="1" s="7635">
      <c r="A18" s="344" t="n"/>
      <c r="B18" s="4734" t="n"/>
      <c r="C18" s="6118">
        <f>IF(NOT(L4),"",IF(N15&gt;L16,"X",""))</f>
        <v/>
      </c>
      <c r="D18" s="228" t="inlineStr">
        <is>
          <t>Yes.</t>
        </is>
      </c>
      <c r="E18" s="88">
        <f>"Add "&amp;TEXT(I18,"$0")&amp;" to your earned income. Enter the total"</f>
        <v/>
      </c>
      <c r="F18" s="88" t="n"/>
      <c r="G18" s="88" t="n"/>
      <c r="H18" s="88" t="n"/>
      <c r="I18" s="2607" t="n">
        <v>450</v>
      </c>
      <c r="J18" s="2607" t="n"/>
      <c r="K18" s="2607" t="n"/>
      <c r="L18" s="7847" t="n"/>
      <c r="M18" s="7847" t="n"/>
      <c r="N18" s="7847" t="n"/>
      <c r="O18" s="90" t="n"/>
      <c r="P18" s="344" t="n"/>
      <c r="Q18" s="344" t="n"/>
      <c r="R18" s="344" t="n"/>
      <c r="S18" s="769" t="n"/>
      <c r="T18" s="658" t="n"/>
      <c r="U18" s="658" t="n"/>
      <c r="V18" s="658" t="n"/>
      <c r="W18" s="658" t="n"/>
      <c r="X18" s="658" t="n"/>
      <c r="Y18" s="658" t="n"/>
      <c r="Z18" s="658" t="n"/>
      <c r="AA18" s="658" t="n"/>
      <c r="AB18" s="658" t="n"/>
    </row>
    <row r="19" ht="8.25" customHeight="1" s="7635">
      <c r="A19" s="344" t="n"/>
      <c r="B19" s="4734" t="n"/>
      <c r="C19" s="228" t="n"/>
      <c r="D19" s="228" t="n"/>
      <c r="E19" s="88" t="n"/>
      <c r="F19" s="88" t="n"/>
      <c r="G19" s="88" t="n"/>
      <c r="H19" s="88" t="n"/>
      <c r="I19" s="2607" t="n"/>
      <c r="J19" s="2607" t="n"/>
      <c r="K19" s="2607" t="n"/>
      <c r="L19" s="7847" t="n"/>
      <c r="M19" s="7847" t="n"/>
      <c r="N19" s="7847" t="n"/>
      <c r="O19" s="90" t="n"/>
      <c r="P19" s="344" t="n"/>
      <c r="Q19" s="344" t="n"/>
      <c r="R19" s="344" t="n"/>
      <c r="S19" s="769" t="n"/>
      <c r="T19" s="658" t="n"/>
      <c r="U19" s="658" t="n"/>
      <c r="V19" s="658" t="n"/>
      <c r="W19" s="658" t="n"/>
      <c r="X19" s="658" t="n"/>
      <c r="Y19" s="658" t="n"/>
      <c r="Z19" s="658" t="n"/>
      <c r="AA19" s="658" t="n"/>
      <c r="AB19" s="658" t="n"/>
    </row>
    <row r="20" ht="13.5" customHeight="1" s="7635">
      <c r="A20" s="344" t="n"/>
      <c r="B20" s="4734" t="n"/>
      <c r="C20" s="6118">
        <f>IF(NOT(L4),"",IF(N15&gt;L16,"","X"))</f>
        <v/>
      </c>
      <c r="D20" s="228" t="inlineStr">
        <is>
          <t>No.</t>
        </is>
      </c>
      <c r="E20" s="88">
        <f>"Enter "&amp;TEXT(I16,"$0,000")</f>
        <v/>
      </c>
      <c r="F20" s="88" t="n"/>
      <c r="G20" s="88" t="n"/>
      <c r="H20" s="88" t="n"/>
      <c r="I20" s="6122" t="n"/>
      <c r="J20" s="2715" t="n"/>
      <c r="K20" s="2715" t="n"/>
      <c r="L20" s="2715" t="n"/>
      <c r="M20" s="6123">
        <f>" .   .   .   .   .   .   .   .   .   .   .   .   .   .   2."</f>
        <v/>
      </c>
      <c r="N20" s="6124">
        <f>IF(NOT(L4),"",IF(C18="X",SUM(I18,N15),I16))</f>
        <v/>
      </c>
      <c r="O20" s="90" t="n"/>
      <c r="P20" s="344" t="n"/>
      <c r="Q20" s="344" t="n"/>
      <c r="R20" s="344" t="n"/>
      <c r="S20" s="769" t="n"/>
      <c r="T20" s="658" t="n"/>
      <c r="U20" s="658" t="n"/>
      <c r="V20" s="658" t="n"/>
      <c r="W20" s="658" t="n"/>
      <c r="X20" s="658" t="n"/>
      <c r="Y20" s="658" t="n"/>
      <c r="Z20" s="658" t="n"/>
      <c r="AA20" s="658" t="n"/>
      <c r="AB20" s="658" t="n"/>
    </row>
    <row r="21" ht="13.5" customHeight="1" s="7635">
      <c r="A21" s="344" t="n"/>
      <c r="B21" s="4734" t="n"/>
      <c r="C21" s="220" t="n"/>
      <c r="D21" s="11403" t="n"/>
      <c r="E21" s="11403" t="n"/>
      <c r="F21" s="11403" t="n"/>
      <c r="G21" s="11403" t="n"/>
      <c r="H21" s="2605" t="n"/>
      <c r="I21" s="2607" t="n"/>
      <c r="J21" s="2607" t="n"/>
      <c r="K21" s="2607" t="n"/>
      <c r="L21" s="7847" t="n"/>
      <c r="M21" s="88" t="n"/>
      <c r="N21" s="7847" t="n"/>
      <c r="O21" s="90" t="n"/>
      <c r="P21" s="344" t="n"/>
      <c r="Q21" s="344" t="n"/>
      <c r="R21" s="344" t="n"/>
      <c r="S21" s="769" t="n"/>
      <c r="T21" s="658" t="n"/>
      <c r="U21" s="658" t="n"/>
      <c r="V21" s="658" t="n"/>
      <c r="W21" s="658" t="n"/>
      <c r="X21" s="658" t="n"/>
      <c r="Y21" s="658" t="n"/>
      <c r="Z21" s="658" t="n"/>
      <c r="AA21" s="658" t="n"/>
      <c r="AB21" s="658" t="n"/>
    </row>
    <row r="22" ht="13.5" customHeight="1" s="7635">
      <c r="A22" s="344" t="n"/>
      <c r="B22" s="4734" t="inlineStr">
        <is>
          <t>3.</t>
        </is>
      </c>
      <c r="C22" s="220" t="n"/>
      <c r="D22" s="88" t="inlineStr">
        <is>
          <t>Enter the amount shown below for your filing status.</t>
        </is>
      </c>
      <c r="E22" s="88" t="n"/>
      <c r="F22" s="88" t="n"/>
      <c r="G22" s="88" t="n"/>
      <c r="H22" s="88" t="n"/>
      <c r="I22" s="7847" t="n"/>
      <c r="J22" s="2608" t="n"/>
      <c r="K22" s="2608" t="n"/>
      <c r="L22" s="7847" t="n"/>
      <c r="M22" s="6123" t="n"/>
      <c r="N22" s="2689" t="n"/>
      <c r="O22" s="90" t="n"/>
      <c r="P22" s="344" t="n"/>
      <c r="Q22" s="344" t="n"/>
      <c r="R22" s="344" t="n"/>
      <c r="S22" s="769" t="n"/>
      <c r="T22" s="658" t="n"/>
      <c r="U22" s="658" t="n"/>
      <c r="V22" s="658" t="n"/>
      <c r="W22" s="658" t="n"/>
      <c r="X22" s="658" t="n"/>
      <c r="Y22" s="658" t="n"/>
      <c r="Z22" s="658" t="n"/>
      <c r="AA22" s="658" t="n"/>
      <c r="AB22" s="658" t="n"/>
    </row>
    <row r="23" ht="13.5" customHeight="1" s="7635">
      <c r="A23" s="344" t="n"/>
      <c r="B23" s="6110" t="n"/>
      <c r="C23" s="88" t="n"/>
      <c r="D23" s="6125">
        <f>"•  Single or married filing separately -- "&amp;TEXT(SD_Single,"$0,000")</f>
        <v/>
      </c>
      <c r="E23" s="88" t="n"/>
      <c r="F23" s="88" t="n"/>
      <c r="G23" s="88" t="n"/>
      <c r="H23" s="6126" t="n"/>
      <c r="I23" s="6126" t="n"/>
      <c r="J23" s="6126" t="n"/>
      <c r="K23" s="6126" t="n"/>
      <c r="L23" s="7847" t="n"/>
      <c r="M23" s="2689" t="n"/>
      <c r="N23" s="88" t="n"/>
      <c r="O23" s="90" t="n"/>
      <c r="P23" s="344" t="n"/>
      <c r="Q23" s="344" t="n"/>
      <c r="R23" s="344" t="n"/>
      <c r="S23" s="769" t="n"/>
      <c r="T23" s="658" t="n"/>
      <c r="U23" s="658" t="n"/>
      <c r="V23" s="658" t="n"/>
      <c r="W23" s="658" t="n"/>
      <c r="X23" s="658" t="n"/>
      <c r="Y23" s="658" t="n"/>
      <c r="Z23" s="658" t="n"/>
      <c r="AA23" s="658" t="n"/>
      <c r="AB23" s="658" t="n"/>
    </row>
    <row r="24" ht="13.5" customHeight="1" s="7635">
      <c r="A24" s="1061" t="n"/>
      <c r="B24" s="6110" t="n"/>
      <c r="C24" s="88" t="n"/>
      <c r="D24" s="88">
        <f>"•  Married filing jointly or qualifying widow(er) -- "&amp;TEXT(SD_MFJW,"$0,000")</f>
        <v/>
      </c>
      <c r="E24" s="88" t="n"/>
      <c r="F24" s="88" t="n"/>
      <c r="G24" s="88" t="n"/>
      <c r="H24" s="88" t="n"/>
      <c r="I24" s="88" t="n"/>
      <c r="J24" s="88" t="n"/>
      <c r="K24" s="88" t="n"/>
      <c r="L24" s="2689" t="n"/>
      <c r="M24" s="6123">
        <f>" .   .   .   .   .   .   .   .   .   .   .   .   .   .   3."</f>
        <v/>
      </c>
      <c r="N24" s="6124">
        <f>IF(NOT(L4),"",IF(OR(File_Single&lt;&gt;"",File_Marr_Sep&lt;&gt;""),SD_Single,IF(OR(File_Marr_Joint&lt;&gt;"",File_Qual_Widow&lt;&gt;""),SD_MFJW,IF(File_Head&lt;&gt;"",SD_Head,""))))</f>
        <v/>
      </c>
      <c r="O24" s="90" t="n"/>
      <c r="P24" s="344" t="n"/>
      <c r="Q24" s="344" t="n"/>
      <c r="R24" s="344" t="n"/>
      <c r="S24" s="769" t="n"/>
      <c r="T24" s="658" t="n"/>
      <c r="U24" s="658" t="n"/>
      <c r="V24" s="658" t="n"/>
      <c r="W24" s="658" t="n"/>
      <c r="X24" s="658" t="n"/>
      <c r="Y24" s="658" t="n"/>
      <c r="Z24" s="658" t="n"/>
      <c r="AA24" s="658" t="n"/>
      <c r="AB24" s="658" t="n"/>
    </row>
    <row r="25" ht="13.5" customHeight="1" s="7635">
      <c r="A25" s="1061" t="n"/>
      <c r="B25" s="6110" t="n"/>
      <c r="C25" s="88" t="n"/>
      <c r="D25" s="88">
        <f>"•  Head of household -- "&amp;TEXT(SD_Head,"$0,000")</f>
        <v/>
      </c>
      <c r="E25" s="88" t="n"/>
      <c r="F25" s="88" t="n"/>
      <c r="G25" s="88" t="n"/>
      <c r="H25" s="88" t="n"/>
      <c r="I25" s="88" t="n"/>
      <c r="J25" s="88" t="n"/>
      <c r="K25" s="88" t="n"/>
      <c r="L25" s="2689" t="n"/>
      <c r="M25" s="2689" t="n"/>
      <c r="N25" s="88" t="n"/>
      <c r="O25" s="90" t="n"/>
      <c r="P25" s="344" t="n"/>
      <c r="Q25" s="344" t="n"/>
      <c r="R25" s="344" t="n"/>
      <c r="S25" s="769" t="n"/>
      <c r="T25" s="658" t="n"/>
      <c r="U25" s="658" t="n"/>
      <c r="V25" s="658" t="n"/>
      <c r="W25" s="658" t="n"/>
      <c r="X25" s="658" t="n"/>
      <c r="Y25" s="658" t="n"/>
      <c r="Z25" s="658" t="n"/>
      <c r="AA25" s="658" t="n"/>
      <c r="AB25" s="658" t="n"/>
    </row>
    <row r="26" ht="13.5" customHeight="1" s="7635">
      <c r="A26" s="1061" t="n"/>
      <c r="B26" s="6110" t="n"/>
      <c r="C26" s="88" t="n"/>
      <c r="D26" s="88" t="n"/>
      <c r="E26" s="88" t="n"/>
      <c r="F26" s="88" t="n"/>
      <c r="G26" s="88" t="n"/>
      <c r="H26" s="88" t="n"/>
      <c r="I26" s="88" t="n"/>
      <c r="J26" s="88" t="n"/>
      <c r="K26" s="88" t="n"/>
      <c r="L26" s="2689" t="n"/>
      <c r="M26" s="2689" t="n"/>
      <c r="N26" s="88" t="n"/>
      <c r="O26" s="90" t="n"/>
      <c r="P26" s="344" t="n"/>
      <c r="Q26" s="344" t="n"/>
      <c r="R26" s="344" t="n"/>
      <c r="S26" s="769" t="n"/>
      <c r="T26" s="658" t="n"/>
      <c r="U26" s="658" t="n"/>
      <c r="V26" s="658" t="n"/>
      <c r="W26" s="658" t="n"/>
      <c r="X26" s="658" t="n"/>
      <c r="Y26" s="658" t="n"/>
      <c r="Z26" s="658" t="n"/>
      <c r="AA26" s="658" t="n"/>
      <c r="AB26" s="658" t="n"/>
    </row>
    <row r="27" ht="13.5" customHeight="1" s="7635">
      <c r="A27" s="1061" t="n"/>
      <c r="B27" s="4734" t="inlineStr">
        <is>
          <t>4.</t>
        </is>
      </c>
      <c r="C27" s="220" t="n"/>
      <c r="D27" s="226" t="inlineStr">
        <is>
          <t>Standard deduction.</t>
        </is>
      </c>
      <c r="E27" s="88" t="n"/>
      <c r="F27" s="88" t="n"/>
      <c r="G27" s="88" t="n"/>
      <c r="H27" s="88" t="n"/>
      <c r="I27" s="88" t="n"/>
      <c r="J27" s="88" t="n"/>
      <c r="K27" s="88" t="n"/>
      <c r="L27" s="2689" t="n"/>
      <c r="M27" s="2689" t="n"/>
      <c r="N27" s="729" t="n"/>
      <c r="O27" s="90" t="n"/>
      <c r="P27" s="344" t="n"/>
      <c r="Q27" s="344" t="n"/>
      <c r="R27" s="344" t="n"/>
      <c r="S27" s="769" t="n"/>
      <c r="T27" s="658" t="n"/>
      <c r="U27" s="658" t="n"/>
      <c r="V27" s="658" t="n"/>
      <c r="W27" s="658" t="n"/>
      <c r="X27" s="658" t="n"/>
      <c r="Y27" s="658" t="n"/>
      <c r="Z27" s="658" t="n"/>
      <c r="AA27" s="658" t="n"/>
      <c r="AB27" s="658" t="n"/>
    </row>
    <row r="28" ht="15.75" customHeight="1" s="7635">
      <c r="A28" s="1061" t="n"/>
      <c r="B28" s="4734" t="n"/>
      <c r="C28" s="2608" t="inlineStr">
        <is>
          <t>a.</t>
        </is>
      </c>
      <c r="D28" s="11403" t="inlineStr">
        <is>
          <t>Enter the smaller of line 2 or line 3.</t>
        </is>
      </c>
      <c r="E28" s="88" t="n"/>
      <c r="F28" s="88" t="n"/>
      <c r="G28" s="88" t="n"/>
      <c r="H28" s="2052" t="inlineStr">
        <is>
          <t>If born after January 1,</t>
        </is>
      </c>
      <c r="I28" s="6127">
        <f>TaxYear-64&amp;" and not blind,"</f>
        <v/>
      </c>
      <c r="J28" s="6127" t="n"/>
      <c r="K28" s="6127" t="inlineStr">
        <is>
          <t>stop here and enter</t>
        </is>
      </c>
      <c r="L28" s="6127" t="n"/>
      <c r="M28" s="2689" t="n"/>
      <c r="N28" s="729" t="n"/>
      <c r="O28" s="90" t="n"/>
      <c r="P28" s="344" t="n"/>
      <c r="Q28" s="344" t="n"/>
      <c r="R28" s="344" t="n"/>
      <c r="S28" s="769" t="n"/>
      <c r="T28" s="658" t="n"/>
      <c r="U28" s="658" t="n"/>
      <c r="V28" s="658" t="n"/>
      <c r="W28" s="658" t="n"/>
      <c r="X28" s="658" t="n"/>
      <c r="Y28" s="658" t="n"/>
      <c r="Z28" s="658" t="n"/>
      <c r="AA28" s="658" t="n"/>
      <c r="AB28" s="658" t="n"/>
    </row>
    <row r="29" ht="13.5" customHeight="1" s="7635">
      <c r="A29" s="1061" t="n"/>
      <c r="B29" s="4734" t="n"/>
      <c r="C29" s="220" t="n"/>
      <c r="D29" s="11403" t="inlineStr">
        <is>
          <t>this amount on Form 1040 or 1040-SR, line 12e. Otherwise, go to line 4b</t>
        </is>
      </c>
      <c r="E29" s="88" t="n"/>
      <c r="F29" s="88" t="n"/>
      <c r="G29" s="88" t="n"/>
      <c r="H29" s="88" t="n"/>
      <c r="I29" s="88" t="n"/>
      <c r="J29" s="88" t="n"/>
      <c r="K29" s="88" t="n"/>
      <c r="L29" s="6123" t="inlineStr">
        <is>
          <t xml:space="preserve">.   .   .   .   .   .   .   .   .   .   .   .  </t>
        </is>
      </c>
      <c r="M29" s="6123" t="inlineStr">
        <is>
          <t xml:space="preserve"> 4a.</t>
        </is>
      </c>
      <c r="N29" s="6124">
        <f>IF(NOT(L4),"",MIN(N20,N24))</f>
        <v/>
      </c>
      <c r="O29" s="90" t="n"/>
      <c r="P29" s="344" t="n"/>
      <c r="Q29" s="344" t="n"/>
      <c r="R29" s="344" t="n"/>
      <c r="S29" s="769" t="n"/>
      <c r="T29" s="658" t="n"/>
      <c r="U29" s="658" t="n"/>
      <c r="V29" s="658" t="n"/>
      <c r="W29" s="658" t="n"/>
      <c r="X29" s="658" t="n"/>
      <c r="Y29" s="658" t="n"/>
      <c r="Z29" s="658" t="n"/>
      <c r="AA29" s="658" t="n"/>
      <c r="AB29" s="658" t="n"/>
    </row>
    <row r="30" ht="13.5" customHeight="1" s="7635">
      <c r="A30" s="344" t="n"/>
      <c r="B30" s="4734" t="n"/>
      <c r="C30" s="2608" t="inlineStr">
        <is>
          <t>b.</t>
        </is>
      </c>
      <c r="D30" s="11403">
        <f>"If born before January 2, "&amp;TaxYear-64&amp;", or blind, multiply the number on line 1 by "&amp;TEXT(L30,"$0,000")</f>
        <v/>
      </c>
      <c r="E30" s="88" t="n"/>
      <c r="F30" s="88" t="n"/>
      <c r="G30" s="88" t="n"/>
      <c r="H30" s="88" t="n"/>
      <c r="I30" s="88" t="n"/>
      <c r="J30" s="88" t="n"/>
      <c r="K30" s="88" t="n"/>
      <c r="L30" s="8839">
        <f>SD_Inc_Married</f>
        <v/>
      </c>
      <c r="M30" s="2468" t="n"/>
      <c r="N30" s="441">
        <f>SD_Inc_Single</f>
        <v/>
      </c>
      <c r="O30" s="90" t="n"/>
      <c r="P30" s="344" t="n"/>
      <c r="Q30" s="344" t="n"/>
      <c r="R30" s="344" t="n"/>
      <c r="S30" s="769" t="n"/>
      <c r="T30" s="658" t="n"/>
      <c r="U30" s="658" t="n"/>
      <c r="V30" s="658" t="n"/>
      <c r="W30" s="658" t="n"/>
      <c r="X30" s="658" t="n"/>
      <c r="Y30" s="658" t="n"/>
      <c r="Z30" s="658" t="n"/>
      <c r="AA30" s="658" t="n"/>
      <c r="AB30" s="658" t="n"/>
    </row>
    <row r="31" ht="13.5" customHeight="1" s="7635">
      <c r="A31" s="11602" t="n"/>
      <c r="B31" s="4734" t="n"/>
      <c r="C31" s="220" t="n"/>
      <c r="D31" s="11403">
        <f>"("&amp;TEXT(N30,"$0,000")&amp;" if single or head of household)"</f>
        <v/>
      </c>
      <c r="E31" s="88" t="n"/>
      <c r="F31" s="88" t="n"/>
      <c r="G31" s="88" t="n"/>
      <c r="H31" s="88" t="n"/>
      <c r="I31" s="88" t="n"/>
      <c r="J31" s="88" t="n"/>
      <c r="K31" s="88" t="n"/>
      <c r="L31" s="2689" t="n"/>
      <c r="M31" s="6123" t="inlineStr">
        <is>
          <t>.   .   .   .   .   .   .   .   .   .   .   .   .   .   .   .   .   .   .   .   .   .   .   .   4b.</t>
        </is>
      </c>
      <c r="N31" s="6124">
        <f>IF(OR(NOT(L4),AND(you_over_64="",sp_over_64="",you_blind="",sp_blind="")),"",IF(OR(File_Single&lt;&gt;"",File_Head&lt;&gt;""),N10*N30,N10*L30))</f>
        <v/>
      </c>
      <c r="O31" s="90" t="n"/>
      <c r="P31" s="344" t="n"/>
      <c r="Q31" s="344" t="n"/>
      <c r="R31" s="344" t="n"/>
      <c r="S31" s="769" t="n"/>
      <c r="T31" s="658" t="n"/>
      <c r="U31" s="658" t="n"/>
      <c r="V31" s="658" t="n"/>
      <c r="W31" s="658" t="n"/>
      <c r="X31" s="658" t="n"/>
      <c r="Y31" s="658" t="n"/>
      <c r="Z31" s="658" t="n"/>
      <c r="AA31" s="658" t="n"/>
      <c r="AB31" s="658" t="n"/>
    </row>
    <row r="32" ht="13.5" customHeight="1" s="7635">
      <c r="A32" s="11602" t="n"/>
      <c r="B32" s="4734" t="n"/>
      <c r="C32" s="2715" t="inlineStr">
        <is>
          <t>c.</t>
        </is>
      </c>
      <c r="D32" s="11403" t="inlineStr">
        <is>
          <t>Add lines 4a and 4b. Enter the total here and on Form 1040 or 1040-SR, line 12e</t>
        </is>
      </c>
      <c r="E32" s="88" t="n"/>
      <c r="F32" s="88" t="n"/>
      <c r="G32" s="88" t="n"/>
      <c r="H32" s="88" t="n"/>
      <c r="I32" s="88" t="n"/>
      <c r="J32" s="88" t="n"/>
      <c r="K32" s="88" t="n"/>
      <c r="L32" s="88" t="n"/>
      <c r="M32" s="6123" t="inlineStr">
        <is>
          <t>.   .   .   .   .   .   .   .   .   4c.</t>
        </is>
      </c>
      <c r="N32" s="6124">
        <f>IF(NOT(L4),"",SUM(N29,N31))</f>
        <v/>
      </c>
      <c r="O32" s="90" t="n"/>
      <c r="P32" s="344" t="n"/>
      <c r="Q32" s="344" t="n"/>
      <c r="R32" s="344" t="n"/>
      <c r="S32" s="769" t="n"/>
      <c r="T32" s="658" t="n"/>
      <c r="U32" s="658" t="n"/>
      <c r="V32" s="658" t="n"/>
      <c r="W32" s="658" t="n"/>
      <c r="X32" s="658" t="n"/>
      <c r="Y32" s="658" t="n"/>
      <c r="Z32" s="658" t="n"/>
      <c r="AA32" s="658" t="n"/>
      <c r="AB32" s="658" t="n"/>
    </row>
    <row r="33" ht="13.5" customHeight="1" s="7635">
      <c r="A33" s="11602" t="n"/>
      <c r="B33" s="4734" t="n"/>
      <c r="C33" s="11403" t="n"/>
      <c r="D33" s="11403" t="n"/>
      <c r="E33" s="88" t="n"/>
      <c r="F33" s="88" t="n"/>
      <c r="G33" s="88" t="n"/>
      <c r="H33" s="88" t="n"/>
      <c r="I33" s="88" t="n"/>
      <c r="J33" s="88" t="n"/>
      <c r="K33" s="88" t="n"/>
      <c r="L33" s="88" t="n"/>
      <c r="M33" s="2715" t="n"/>
      <c r="N33" s="2689" t="n"/>
      <c r="O33" s="90" t="n"/>
      <c r="P33" s="344" t="n"/>
      <c r="Q33" s="344" t="n"/>
      <c r="R33" s="344" t="n"/>
      <c r="S33" s="769" t="n"/>
      <c r="T33" s="658" t="n"/>
      <c r="U33" s="658" t="n"/>
      <c r="V33" s="658" t="n"/>
      <c r="W33" s="658" t="n"/>
      <c r="X33" s="658" t="n"/>
      <c r="Y33" s="658" t="n"/>
      <c r="Z33" s="658" t="n"/>
      <c r="AA33" s="658" t="n"/>
      <c r="AB33" s="658" t="n"/>
    </row>
    <row r="34" ht="13.5" customHeight="1" s="7635">
      <c r="A34" s="11602" t="n"/>
      <c r="B34" s="6128" t="inlineStr">
        <is>
          <t xml:space="preserve">  *Earned income includes wages, salaries, tips, professional fees, and other compensation received for personal services you performed. It</t>
        </is>
      </c>
      <c r="C34" s="220" t="n"/>
      <c r="D34" s="88" t="n"/>
      <c r="E34" s="88" t="n"/>
      <c r="F34" s="88" t="n"/>
      <c r="G34" s="88" t="n"/>
      <c r="H34" s="88" t="n"/>
      <c r="I34" s="88" t="n"/>
      <c r="J34" s="88" t="n"/>
      <c r="K34" s="88" t="n"/>
      <c r="L34" s="88" t="n"/>
      <c r="M34" s="88" t="n"/>
      <c r="N34" s="88" t="n"/>
      <c r="O34" s="90" t="n"/>
      <c r="P34" s="344" t="n"/>
      <c r="Q34" s="344" t="n"/>
      <c r="R34" s="344" t="n"/>
      <c r="S34" s="769" t="n"/>
      <c r="T34" s="658" t="n"/>
      <c r="U34" s="658" t="n"/>
      <c r="V34" s="658" t="n"/>
      <c r="W34" s="658" t="n"/>
      <c r="X34" s="658" t="n"/>
      <c r="Y34" s="658" t="n"/>
      <c r="Z34" s="658" t="n"/>
      <c r="AA34" s="658" t="n"/>
      <c r="AB34" s="658" t="n"/>
    </row>
    <row r="35" ht="13.5" customHeight="1" s="7635">
      <c r="A35" s="11602" t="n"/>
      <c r="B35" s="6129" t="inlineStr">
        <is>
          <t xml:space="preserve">    also includes any taxable scholarship or fellowship grant. Generally, your earned income is the total of the amount(s) you reported on Form</t>
        </is>
      </c>
      <c r="C35" s="220" t="n"/>
      <c r="D35" s="88" t="n"/>
      <c r="E35" s="88" t="n"/>
      <c r="F35" s="88" t="n"/>
      <c r="G35" s="88" t="n"/>
      <c r="H35" s="88" t="n"/>
      <c r="I35" s="88" t="n"/>
      <c r="J35" s="88" t="n"/>
      <c r="K35" s="88" t="n"/>
      <c r="L35" s="88" t="n"/>
      <c r="M35" s="88" t="n"/>
      <c r="N35" s="88" t="n"/>
      <c r="O35" s="90" t="n"/>
      <c r="P35" s="344" t="n"/>
      <c r="Q35" s="344" t="n"/>
      <c r="R35" s="344" t="n"/>
      <c r="S35" s="769" t="n"/>
      <c r="T35" s="658" t="n"/>
      <c r="U35" s="658" t="n"/>
      <c r="V35" s="658" t="n"/>
      <c r="W35" s="658" t="n"/>
      <c r="X35" s="658" t="n"/>
      <c r="Y35" s="658" t="n"/>
      <c r="Z35" s="658" t="n"/>
      <c r="AA35" s="658" t="n"/>
      <c r="AB35" s="658" t="n"/>
    </row>
    <row r="36" ht="16.5" customHeight="1" s="7635">
      <c r="A36" s="11602" t="n"/>
      <c r="B36" s="6130" t="inlineStr">
        <is>
          <t xml:space="preserve">   1040 or 1040-SR, line 1z,  and Schedule 1, lines 3, 6, 8r, 8t, and 8u, minus the amount, if any, on Schedule 1, line 15. </t>
        </is>
      </c>
      <c r="C36" s="88" t="n"/>
      <c r="D36" s="88" t="n"/>
      <c r="E36" s="88" t="n"/>
      <c r="F36" s="88" t="n"/>
      <c r="G36" s="88" t="n"/>
      <c r="H36" s="88" t="n"/>
      <c r="I36" s="88" t="n"/>
      <c r="J36" s="88" t="n"/>
      <c r="K36" s="88" t="n"/>
      <c r="L36" s="88" t="n"/>
      <c r="M36" s="2449" t="inlineStr">
        <is>
          <t>→</t>
        </is>
      </c>
      <c r="N36" s="6099">
        <f>SUM(F1040_Line1z,BusinessIncomeLoss,FarmIncomeLoss,'Sch. 1'!W43,'Sch. 1'!W47,'Sch. 1'!W48,-SE_Deduct)</f>
        <v/>
      </c>
      <c r="O36" s="90" t="n"/>
      <c r="P36" s="344" t="n"/>
      <c r="Q36" s="344" t="n"/>
      <c r="R36" s="344" t="n"/>
      <c r="S36" s="769" t="n"/>
      <c r="T36" s="658" t="n"/>
      <c r="U36" s="658" t="n"/>
      <c r="V36" s="658" t="n"/>
      <c r="W36" s="658" t="n"/>
      <c r="X36" s="658" t="n"/>
      <c r="Y36" s="658" t="n"/>
      <c r="Z36" s="658" t="n"/>
      <c r="AA36" s="658" t="n"/>
      <c r="AB36" s="658" t="n"/>
    </row>
    <row r="37" ht="16.5" customHeight="1" s="7635" thickBot="1">
      <c r="A37" s="11602" t="n"/>
      <c r="B37" s="6131" t="inlineStr">
        <is>
          <t>NOTE:  This spreadsheet includes an "Earned Inc WS" which is designed to help you calculate your earned income.</t>
        </is>
      </c>
      <c r="C37" s="91" t="n"/>
      <c r="D37" s="91" t="n"/>
      <c r="E37" s="91" t="n"/>
      <c r="F37" s="91" t="n"/>
      <c r="G37" s="91" t="n"/>
      <c r="H37" s="91" t="n"/>
      <c r="I37" s="91" t="n"/>
      <c r="J37" s="91" t="n"/>
      <c r="K37" s="91" t="n"/>
      <c r="L37" s="91" t="n"/>
      <c r="M37" s="6133" t="inlineStr">
        <is>
          <t>→</t>
        </is>
      </c>
      <c r="N37" s="6132">
        <f>IF(Earned_Income="",0,Earned_Income)</f>
        <v/>
      </c>
      <c r="O37" s="2490" t="n"/>
      <c r="P37" s="344" t="n"/>
      <c r="Q37" s="344" t="n"/>
      <c r="R37" s="344" t="n"/>
      <c r="S37" s="769" t="n"/>
      <c r="T37" s="658" t="n"/>
      <c r="U37" s="658" t="n"/>
      <c r="V37" s="658" t="n"/>
      <c r="W37" s="658" t="n"/>
      <c r="X37" s="658" t="n"/>
      <c r="Y37" s="658" t="n"/>
      <c r="Z37" s="658" t="n"/>
      <c r="AA37" s="658" t="n"/>
      <c r="AB37" s="658" t="n"/>
    </row>
    <row r="38" ht="13.5" customHeight="1" s="7635">
      <c r="A38" s="11602" t="n"/>
      <c r="B38" s="377" t="n"/>
      <c r="C38" s="377" t="n"/>
      <c r="D38" s="377" t="n"/>
      <c r="E38" s="377" t="n"/>
      <c r="F38" s="377" t="n"/>
      <c r="G38" s="377" t="n"/>
      <c r="H38" s="377" t="n"/>
      <c r="I38" s="377" t="n"/>
      <c r="J38" s="377" t="n"/>
      <c r="K38" s="377" t="n"/>
      <c r="L38" s="377" t="n"/>
      <c r="M38" s="377" t="n"/>
      <c r="N38" s="377" t="n"/>
      <c r="O38" s="377" t="n"/>
      <c r="P38" s="344" t="n"/>
      <c r="Q38" s="344" t="n"/>
      <c r="R38" s="344" t="n"/>
      <c r="S38" s="945" t="n"/>
      <c r="T38" s="946" t="n"/>
      <c r="U38" s="946" t="n"/>
      <c r="V38" s="946" t="n"/>
      <c r="W38" s="946" t="n"/>
      <c r="X38" s="946" t="n"/>
      <c r="Y38" s="946" t="n"/>
      <c r="Z38" s="946" t="n"/>
      <c r="AA38" s="946" t="n"/>
      <c r="AB38" s="946" t="n"/>
    </row>
    <row r="42">
      <c r="H42" s="8648" t="n"/>
    </row>
  </sheetData>
  <sheetProtection selectLockedCells="0" selectUnlockedCells="0" algorithmName="SHA-512" sheet="1" objects="1" insertRows="1" insertHyperlinks="1" autoFilter="1" scenarios="1" formatColumns="0" deleteColumns="1" insertColumns="1" pivotTables="1" deleteRows="1" formatCells="0" saltValue="LQPyXNQAVhepihy7JCtAgg==" formatRows="0" sort="1" spinCount="100000" hashValue="SBR6BHYfOPmCa2weyYuOm0nvBG5rDOYsuxafEAU6SYeZ/IxUqhAEjrhb37+3X084aNFztqpNkz74FVxgyH/Eyg=="/>
  <mergeCells count="1">
    <mergeCell ref="M1:O1"/>
  </mergeCells>
  <conditionalFormatting sqref="C5">
    <cfRule type="expression" priority="1" dxfId="14">
      <formula>AND(NOT(NoColor),NOT($L$4))</formula>
    </cfRule>
  </conditionalFormatting>
  <conditionalFormatting sqref="C18 C20">
    <cfRule type="expression" priority="40" dxfId="6">
      <formula>IF(NoColor,1,0)</formula>
    </cfRule>
  </conditionalFormatting>
  <conditionalFormatting sqref="E7">
    <cfRule type="expression" priority="6" dxfId="6">
      <formula>IF(NoColor,1,0)</formula>
    </cfRule>
  </conditionalFormatting>
  <conditionalFormatting sqref="E9">
    <cfRule type="expression" priority="4" dxfId="6">
      <formula>IF(NoColor,1,0)</formula>
    </cfRule>
  </conditionalFormatting>
  <conditionalFormatting sqref="E11">
    <cfRule type="expression" priority="5" dxfId="6">
      <formula>IF(NoColor,1,0)</formula>
    </cfRule>
  </conditionalFormatting>
  <conditionalFormatting sqref="E13">
    <cfRule type="expression" priority="3" dxfId="6">
      <formula>IF(NoColor,1,0)</formula>
    </cfRule>
  </conditionalFormatting>
  <conditionalFormatting sqref="N10">
    <cfRule type="expression" priority="2" dxfId="6">
      <formula>IF(NoColor,1,0)</formula>
    </cfRule>
  </conditionalFormatting>
  <conditionalFormatting sqref="N20">
    <cfRule type="expression" priority="39" dxfId="6">
      <formula>IF(NoColor,1,0)</formula>
    </cfRule>
  </conditionalFormatting>
  <conditionalFormatting sqref="N24">
    <cfRule type="expression" priority="38" dxfId="6">
      <formula>IF(NoColor,1,0)</formula>
    </cfRule>
  </conditionalFormatting>
  <conditionalFormatting sqref="N29">
    <cfRule type="expression" priority="37" dxfId="6">
      <formula>IF(NoColor,1,0)</formula>
    </cfRule>
  </conditionalFormatting>
  <conditionalFormatting sqref="N31:N32">
    <cfRule type="expression" priority="35" dxfId="6">
      <formula>IF(NoColor,1,0)</formula>
    </cfRule>
  </conditionalFormatting>
  <pageMargins left="0.75" right="0.25" top="0.36" bottom="0.29" header="0.36" footer="0.21"/>
  <pageSetup orientation="portrait" scale="84" fitToHeight="0"/>
</worksheet>
</file>

<file path=xl/worksheets/sheet26.xml><?xml version="1.0" encoding="utf-8"?>
<worksheet xmlns="http://schemas.openxmlformats.org/spreadsheetml/2006/main">
  <sheetPr>
    <outlinePr summaryBelow="1" summaryRight="1"/>
    <pageSetUpPr fitToPage="1"/>
  </sheetPr>
  <dimension ref="A1:AE173"/>
  <sheetViews>
    <sheetView zoomScaleNormal="100" zoomScaleSheetLayoutView="100" workbookViewId="0">
      <selection activeCell="A1" sqref="A1"/>
    </sheetView>
  </sheetViews>
  <sheetFormatPr baseColWidth="8" defaultColWidth="9.140625" defaultRowHeight="12.75"/>
  <cols>
    <col width="2.5703125" customWidth="1" style="7635" min="1" max="1"/>
    <col width="1.7109375" customWidth="1" style="7635" min="2" max="2"/>
    <col width="3" customWidth="1" style="7635" min="3" max="3"/>
    <col width="2.28515625" customWidth="1" style="7635" min="4" max="4"/>
    <col width="6" customWidth="1" style="7635" min="5" max="5"/>
    <col width="9" customWidth="1" style="7635" min="6" max="6"/>
    <col width="4" customWidth="1" style="7635" min="7" max="7"/>
    <col width="31.140625" customWidth="1" style="7635" min="8" max="8"/>
    <col width="4" customWidth="1" style="7635" min="9" max="9"/>
    <col width="15.7109375" customWidth="1" style="7635" min="10" max="10"/>
    <col width="4" customWidth="1" style="7635" min="11" max="11"/>
    <col width="15.7109375" customWidth="1" style="7635" min="12" max="12"/>
    <col width="4" customWidth="1" style="7635" min="13" max="13"/>
    <col width="15" customWidth="1" style="7635" min="14" max="14"/>
    <col width="1.85546875" customWidth="1" style="7635" min="15" max="15"/>
    <col width="2.28515625" customWidth="1" style="7635" min="16" max="17"/>
    <col width="13.85546875" customWidth="1" style="7635" min="18" max="18"/>
    <col width="3" customWidth="1" style="7635" min="19" max="19"/>
    <col width="3.42578125" customWidth="1" style="7635" min="20" max="20"/>
    <col hidden="1" width="11.85546875" customWidth="1" style="7635" min="21" max="26"/>
    <col hidden="1" width="11.42578125" customWidth="1" style="7635" min="27" max="27"/>
    <col width="3.42578125" customWidth="1" style="7635" min="28" max="28"/>
    <col width="10.7109375" customWidth="1" style="658" min="29" max="30"/>
    <col width="14.42578125" customWidth="1" style="658" min="31" max="31"/>
    <col width="10.7109375" customWidth="1" style="658" min="32" max="39"/>
    <col width="10.7109375" customWidth="1" style="7635" min="40" max="46"/>
  </cols>
  <sheetData>
    <row r="1" ht="19.5" customHeight="1" s="7635">
      <c r="A1" s="139" t="n"/>
      <c r="B1" s="139" t="n"/>
      <c r="C1" s="139" t="n"/>
      <c r="D1" s="139" t="n"/>
      <c r="E1" s="139" t="n"/>
      <c r="F1" s="139" t="n"/>
      <c r="G1" s="139" t="n"/>
      <c r="H1" s="139" t="n"/>
      <c r="I1" s="139" t="n"/>
      <c r="J1" s="2507" t="n"/>
      <c r="K1" s="2507" t="n"/>
      <c r="L1" s="139" t="n"/>
      <c r="M1" s="139" t="n"/>
      <c r="N1" s="139" t="n"/>
      <c r="O1" s="139" t="n"/>
      <c r="P1" s="139" t="n"/>
      <c r="Q1" s="148" t="n"/>
      <c r="R1" s="6280" t="n"/>
      <c r="S1" s="148" t="n"/>
      <c r="V1" s="801" t="n"/>
      <c r="AC1" s="657" t="inlineStr">
        <is>
          <t>Notes</t>
        </is>
      </c>
    </row>
    <row r="2" ht="13.5" customHeight="1" s="7635" thickBot="1">
      <c r="A2" s="139" t="n"/>
      <c r="B2" s="139" t="n"/>
      <c r="C2" s="139" t="n"/>
      <c r="D2" s="139" t="n"/>
      <c r="E2" s="139" t="n"/>
      <c r="F2" s="2508">
        <f>AND(SchD_NotReqd,OR(AND(SchDLine18&lt;&gt;"",SchDLine18&gt;0),AND(SchDLine19&lt;&gt;"",SchDLine19&gt;0)))</f>
        <v/>
      </c>
      <c r="G2" s="139" t="n"/>
      <c r="H2" s="139" t="n"/>
      <c r="I2" s="139" t="n"/>
      <c r="J2" s="2507" t="n"/>
      <c r="K2" s="2507" t="n"/>
      <c r="L2" s="2508">
        <f>Form4952_Filed</f>
        <v/>
      </c>
      <c r="M2" s="139" t="n"/>
      <c r="N2" s="139" t="n"/>
      <c r="O2" s="139" t="n"/>
      <c r="P2" s="139" t="n"/>
      <c r="Q2" s="148" t="n"/>
      <c r="R2" s="6280" t="n"/>
      <c r="S2" s="148" t="n"/>
      <c r="V2" s="801" t="n"/>
    </row>
    <row r="3" ht="19.5" customHeight="1" s="7635">
      <c r="A3" s="139" t="n"/>
      <c r="B3" s="139" t="n"/>
      <c r="C3" s="7985">
        <f>IF(R3,"Yes","No")</f>
        <v/>
      </c>
      <c r="D3" s="2506" t="n"/>
      <c r="E3" s="2506" t="n"/>
      <c r="F3" s="339" t="inlineStr">
        <is>
          <t>If you are filing Form 2555, you must use the Foreign Earned Income Tax Worksheet (below) instead.</t>
        </is>
      </c>
      <c r="G3" s="377" t="n"/>
      <c r="H3" s="377" t="n"/>
      <c r="I3" s="377" t="n"/>
      <c r="J3" s="2509" t="n"/>
      <c r="K3" s="2509" t="n"/>
      <c r="L3" s="377" t="n"/>
      <c r="M3" s="377" t="n"/>
      <c r="N3" s="377" t="n"/>
      <c r="O3" s="378" t="n"/>
      <c r="P3" s="139" t="n"/>
      <c r="Q3" s="148" t="n"/>
      <c r="R3" s="2510">
        <f>FEI_Tax_Worksheet</f>
        <v/>
      </c>
      <c r="S3" s="148" t="n"/>
      <c r="V3" s="801" t="n"/>
      <c r="AC3" s="769" t="n"/>
    </row>
    <row r="4" ht="6" customHeight="1" s="7635" thickBot="1">
      <c r="A4" s="139" t="n"/>
      <c r="B4" s="139" t="n"/>
      <c r="C4" s="347" t="n"/>
      <c r="D4" s="380" t="n"/>
      <c r="E4" s="380" t="n"/>
      <c r="F4" s="981" t="n"/>
      <c r="G4" s="380" t="n"/>
      <c r="H4" s="380" t="n"/>
      <c r="I4" s="380" t="n"/>
      <c r="J4" s="2511" t="n"/>
      <c r="K4" s="2511" t="n"/>
      <c r="L4" s="380" t="n"/>
      <c r="M4" s="380" t="n"/>
      <c r="N4" s="380" t="n"/>
      <c r="O4" s="381" t="n"/>
      <c r="P4" s="139" t="n"/>
      <c r="Q4" s="148" t="n"/>
      <c r="R4" s="2510" t="n"/>
      <c r="S4" s="148" t="n"/>
      <c r="V4" s="801" t="n"/>
      <c r="AC4" s="769" t="n"/>
    </row>
    <row r="5" ht="24.75" customHeight="1" s="7635">
      <c r="A5" s="139" t="n"/>
      <c r="B5" s="139" t="n"/>
      <c r="C5" s="12015" t="inlineStr">
        <is>
          <t>Use the Schedule D Tax Worksheet in the Instructions for Schedule D to figure the amount to enter on 
Form 1040 or 1040-SR, line 16, if:</t>
        </is>
      </c>
      <c r="O5" s="1066" t="n"/>
      <c r="P5" s="139" t="n"/>
      <c r="Q5" s="148" t="n"/>
      <c r="R5" s="2510" t="n"/>
      <c r="S5" s="148" t="n"/>
      <c r="V5" s="801" t="n"/>
      <c r="AC5" s="769" t="n"/>
    </row>
    <row r="6" ht="13.5" customHeight="1" s="7635">
      <c r="A6" s="139" t="n"/>
      <c r="B6" s="139" t="n"/>
      <c r="C6" s="6998">
        <f>IF(R6,"Yes","No")</f>
        <v/>
      </c>
      <c r="F6" s="2512" t="inlineStr">
        <is>
          <t>h  You have to file Schedule D, line 18 or 19 of Schedule D is more than zero, and lines 15 and 16 of Schedule D</t>
        </is>
      </c>
      <c r="G6" s="11602" t="n"/>
      <c r="H6" s="11602" t="n"/>
      <c r="I6" s="11602" t="n"/>
      <c r="J6" s="2513" t="n"/>
      <c r="K6" s="2513" t="n"/>
      <c r="L6" s="344" t="n"/>
      <c r="M6" s="11602" t="n"/>
      <c r="N6" s="11602" t="n"/>
      <c r="O6" s="379" t="n"/>
      <c r="P6" s="139" t="n"/>
      <c r="Q6" s="148" t="n"/>
      <c r="R6" s="2510">
        <f>AND(SchD_Used,OR(AND(SchDLine18&lt;&gt;"",SchDLine18&gt;0),AND(SchDLine19&lt;&gt;"",SchDLine19&gt;0)),AND(SchDLine15&lt;&gt;"",SchDLine15&gt;0,SchDLine16&lt;&gt;"",SchDLine16&gt;0))</f>
        <v/>
      </c>
      <c r="S6" s="148" t="n"/>
      <c r="V6" s="801" t="n"/>
      <c r="AC6" s="1187" t="inlineStr">
        <is>
          <t>Date</t>
        </is>
      </c>
    </row>
    <row r="7" ht="13.5" customHeight="1" s="7635">
      <c r="A7" s="139" t="n"/>
      <c r="B7" s="139" t="n"/>
      <c r="C7" s="6998" t="n"/>
      <c r="D7" s="6996" t="n"/>
      <c r="E7" s="6996" t="n"/>
      <c r="F7" s="2512" t="inlineStr">
        <is>
          <t xml:space="preserve">      are gains; or</t>
        </is>
      </c>
      <c r="G7" s="11602" t="n"/>
      <c r="H7" s="11602" t="n"/>
      <c r="I7" s="11602" t="n"/>
      <c r="J7" s="2513" t="n"/>
      <c r="K7" s="2513" t="n"/>
      <c r="L7" s="344" t="n"/>
      <c r="M7" s="11602" t="n"/>
      <c r="N7" s="11602" t="n"/>
      <c r="O7" s="379" t="n"/>
      <c r="P7" s="139" t="n"/>
      <c r="Q7" s="148" t="n"/>
      <c r="R7" s="2510" t="n"/>
      <c r="S7" s="148" t="n"/>
      <c r="V7" s="801" t="n"/>
      <c r="AC7" s="6475" t="n"/>
    </row>
    <row r="8" ht="13.5" customHeight="1" s="7635">
      <c r="A8" s="139" t="n"/>
      <c r="B8" s="139" t="n"/>
      <c r="C8" s="6998">
        <f>IF(R8,"Yes","No")</f>
        <v/>
      </c>
      <c r="F8" s="2512" t="inlineStr">
        <is>
          <t>h  you have to file Form 4952 and you have an amount on line 4g, even if you don't need to file Schedule D.</t>
        </is>
      </c>
      <c r="G8" s="11602" t="n"/>
      <c r="H8" s="11602" t="n"/>
      <c r="I8" s="11602" t="n"/>
      <c r="J8" s="2513" t="n"/>
      <c r="K8" s="2513" t="n"/>
      <c r="L8" s="11602" t="n"/>
      <c r="M8" s="11602" t="n"/>
      <c r="N8" s="11602" t="n"/>
      <c r="O8" s="379" t="n"/>
      <c r="P8" s="139" t="n"/>
      <c r="Q8" s="148" t="n"/>
      <c r="R8" s="2510">
        <f>AND(Form4952_Line4g&lt;&gt;"",Form4952_Line4g&lt;&gt;0)</f>
        <v/>
      </c>
      <c r="S8" s="148" t="n"/>
      <c r="V8" s="801" t="n"/>
      <c r="AC8" s="769" t="n"/>
    </row>
    <row r="9" ht="13.5" customHeight="1" s="7635" thickBot="1">
      <c r="A9" s="139" t="n"/>
      <c r="B9" s="139" t="n"/>
      <c r="C9" s="6541" t="n"/>
      <c r="D9" s="4225" t="n"/>
      <c r="E9" s="4225" t="n"/>
      <c r="F9" s="2514" t="n"/>
      <c r="G9" s="380" t="n"/>
      <c r="H9" s="380" t="n"/>
      <c r="I9" s="380" t="n"/>
      <c r="J9" s="2511" t="n"/>
      <c r="K9" s="2511" t="n"/>
      <c r="L9" s="380" t="n"/>
      <c r="M9" s="380" t="n"/>
      <c r="N9" s="380" t="n"/>
      <c r="O9" s="381" t="n"/>
      <c r="P9" s="139" t="n"/>
      <c r="Q9" s="148" t="n"/>
      <c r="R9" s="2510">
        <f>OR(R6,R8)</f>
        <v/>
      </c>
      <c r="S9" s="148" t="n"/>
      <c r="V9" s="801" t="n"/>
      <c r="AC9" s="769" t="n"/>
    </row>
    <row r="10" ht="13.5" customHeight="1" s="7635">
      <c r="A10" s="139" t="n"/>
      <c r="B10" s="139" t="n"/>
      <c r="C10" s="7987">
        <f>IF(CGTW,"Yes","No")</f>
        <v/>
      </c>
      <c r="F10" s="516" t="inlineStr">
        <is>
          <t>Use this worksheet to figure your tax if you don't have to use the Sch. D Tax Worksheet and</t>
        </is>
      </c>
      <c r="G10" s="11602" t="n"/>
      <c r="H10" s="11602" t="n"/>
      <c r="I10" s="11602" t="n"/>
      <c r="J10" s="2513" t="n"/>
      <c r="K10" s="2513" t="n"/>
      <c r="L10" s="11602" t="n"/>
      <c r="M10" s="11602" t="n"/>
      <c r="N10" s="11602" t="n"/>
      <c r="O10" s="379" t="n"/>
      <c r="P10" s="139" t="n"/>
      <c r="Q10" s="148" t="n"/>
      <c r="R10" s="2510">
        <f>OR(C21&lt;&gt;"",AND(NOT(R9),OR(R12,R13,R14)))</f>
        <v/>
      </c>
      <c r="S10" s="148" t="n"/>
      <c r="V10" s="801" t="n"/>
      <c r="AC10" s="769" t="n"/>
    </row>
    <row r="11" ht="13.5" customHeight="1" s="7635">
      <c r="A11" s="139" t="n"/>
      <c r="B11" s="139" t="n"/>
      <c r="C11" s="7999" t="n"/>
      <c r="F11" s="516" t="inlineStr">
        <is>
          <t>if any of the following applies:</t>
        </is>
      </c>
      <c r="G11" s="11602" t="n"/>
      <c r="H11" s="11602" t="n"/>
      <c r="I11" s="11602" t="n"/>
      <c r="J11" s="2513" t="n"/>
      <c r="K11" s="2513" t="n"/>
      <c r="L11" s="11602" t="n"/>
      <c r="M11" s="11602" t="n"/>
      <c r="N11" s="11602" t="n"/>
      <c r="O11" s="379" t="n"/>
      <c r="P11" s="139" t="n"/>
      <c r="Q11" s="148" t="n"/>
      <c r="R11" s="2510">
        <f>NOT(SchDTW_Used)</f>
        <v/>
      </c>
      <c r="S11" s="148" t="n"/>
      <c r="V11" s="801" t="n"/>
      <c r="AC11" s="769" t="n"/>
    </row>
    <row r="12" ht="13.5" customHeight="1" s="7635">
      <c r="A12" s="139" t="n"/>
      <c r="B12" s="139" t="n"/>
      <c r="C12" s="7989">
        <f>IF(AND(R11,R12),"®","")</f>
        <v/>
      </c>
      <c r="F12" s="2515" t="inlineStr">
        <is>
          <t>h  You reported qualified dividends on Form 1040 or 1040-SR, line 3a,</t>
        </is>
      </c>
      <c r="G12" s="11602" t="n"/>
      <c r="H12" s="11602" t="n"/>
      <c r="I12" s="11602" t="n"/>
      <c r="J12" s="2513" t="n"/>
      <c r="K12" s="2513" t="n"/>
      <c r="L12" s="11602" t="n"/>
      <c r="M12" s="11602" t="n"/>
      <c r="N12" s="11602" t="n"/>
      <c r="O12" s="379" t="n"/>
      <c r="P12" s="139" t="n"/>
      <c r="Q12" s="148" t="n"/>
      <c r="R12" s="2510">
        <f>Qualified_Dividends&gt;0</f>
        <v/>
      </c>
      <c r="S12" s="148" t="n"/>
      <c r="V12" s="801" t="n"/>
      <c r="AC12" s="769" t="n"/>
    </row>
    <row r="13" ht="13.5" customHeight="1" s="7635">
      <c r="A13" s="139" t="n"/>
      <c r="B13" s="139" t="n"/>
      <c r="C13" s="7989">
        <f>IF(AND(R11,R13),"®","")</f>
        <v/>
      </c>
      <c r="F13" s="2515" t="inlineStr">
        <is>
          <t>h  You don't have to file Schedule D and you reported capital gain distributions on Form 1040 or 1040-SR, line 7a.</t>
        </is>
      </c>
      <c r="G13" s="11602" t="n"/>
      <c r="H13" s="11602" t="n"/>
      <c r="I13" s="11602" t="n"/>
      <c r="J13" s="2513" t="n"/>
      <c r="K13" s="2513" t="n"/>
      <c r="L13" s="11602" t="n"/>
      <c r="M13" s="11602" t="n"/>
      <c r="N13" s="11602" t="n"/>
      <c r="O13" s="379" t="n"/>
      <c r="P13" s="139" t="n"/>
      <c r="Q13" s="148" t="n"/>
      <c r="R13" s="2510">
        <f>AND(SchD_NotReqd,CapitalGains&gt;0)</f>
        <v/>
      </c>
      <c r="S13" s="148" t="n"/>
      <c r="V13" s="801" t="n"/>
      <c r="AC13" s="769" t="n"/>
    </row>
    <row r="14" ht="13.5" customHeight="1" s="7635">
      <c r="A14" s="139" t="n"/>
      <c r="B14" s="139" t="n"/>
      <c r="C14" s="7989">
        <f>IF(AND(R11,R14),"®","")</f>
        <v/>
      </c>
      <c r="F14" s="2515" t="inlineStr">
        <is>
          <t>h  You are filing Schedule D and Schedule D, lines 15 and 16, are both more than zero and</t>
        </is>
      </c>
      <c r="G14" s="11602" t="n"/>
      <c r="H14" s="11602" t="n"/>
      <c r="I14" s="11602" t="n"/>
      <c r="J14" s="2513" t="n"/>
      <c r="K14" s="2513" t="n"/>
      <c r="L14" s="11602" t="n"/>
      <c r="M14" s="11602" t="n"/>
      <c r="N14" s="2516" t="n"/>
      <c r="O14" s="379" t="n"/>
      <c r="P14" s="139" t="n"/>
      <c r="Q14" s="148" t="n"/>
      <c r="R14" s="2510">
        <f>AND(SchD_Used,SchDLine15&lt;&gt;"",SchDLine15&gt;0,SchDLine16&lt;&gt;"",SchDLine16&gt;0,R16)</f>
        <v/>
      </c>
      <c r="S14" s="148" t="n"/>
      <c r="V14" s="801" t="n"/>
      <c r="AC14" s="769" t="n"/>
    </row>
    <row r="15" ht="13.5" customHeight="1" s="7635">
      <c r="A15" s="139" t="n"/>
      <c r="B15" s="139" t="n"/>
      <c r="C15" s="7991">
        <f>OR(SchDLine18="",SchDLine18=0)</f>
        <v/>
      </c>
      <c r="F15" s="344" t="inlineStr">
        <is>
          <t xml:space="preserve">      you are not required to complete the 28% Rate Gain Worksheet (Sch. D, line 18) and</t>
        </is>
      </c>
      <c r="G15" s="11602" t="n"/>
      <c r="H15" s="11602" t="n"/>
      <c r="I15" s="11602" t="n"/>
      <c r="J15" s="2513" t="n"/>
      <c r="K15" s="2513" t="n"/>
      <c r="L15" s="11602" t="n"/>
      <c r="M15" s="11602" t="n"/>
      <c r="N15" s="11602" t="n"/>
      <c r="O15" s="379" t="n"/>
      <c r="P15" s="139" t="n"/>
      <c r="Q15" s="148" t="n"/>
      <c r="R15" s="2510" t="n"/>
      <c r="S15" s="148" t="n"/>
      <c r="V15" s="801" t="n"/>
      <c r="AC15" s="769" t="n"/>
    </row>
    <row r="16" ht="13.5" customHeight="1" s="7635">
      <c r="A16" s="139" t="n"/>
      <c r="B16" s="139" t="n"/>
      <c r="C16" s="7991">
        <f>OR(SchDLine19="",SchDLine19=0)</f>
        <v/>
      </c>
      <c r="F16" s="344" t="inlineStr">
        <is>
          <t xml:space="preserve">      you are not required to complete the Unrecaptured Section 1250 Gain Worksheet (Schedule D, line 19), and</t>
        </is>
      </c>
      <c r="G16" s="11602" t="n"/>
      <c r="H16" s="11602" t="n"/>
      <c r="I16" s="11602" t="n"/>
      <c r="J16" s="2513" t="n"/>
      <c r="K16" s="2513" t="n"/>
      <c r="L16" s="11602" t="n"/>
      <c r="M16" s="11602" t="n"/>
      <c r="N16" s="11602" t="n"/>
      <c r="O16" s="379" t="n"/>
      <c r="P16" s="139" t="n"/>
      <c r="Q16" s="148" t="n"/>
      <c r="R16" s="2510">
        <f>AND(C15,C16,C17)</f>
        <v/>
      </c>
      <c r="S16" s="148" t="n"/>
      <c r="V16" s="801" t="n"/>
      <c r="AC16" s="769" t="n"/>
    </row>
    <row r="17" ht="13.5" customHeight="1" s="7635">
      <c r="A17" s="139" t="n"/>
      <c r="B17" s="139" t="n"/>
      <c r="C17" s="7991">
        <f>NOT(Form4952_Filed)</f>
        <v/>
      </c>
      <c r="F17" s="344" t="inlineStr">
        <is>
          <t xml:space="preserve">      you are not filing Form 4952. (See Schedule D, line 20.) </t>
        </is>
      </c>
      <c r="G17" s="11602" t="n"/>
      <c r="H17" s="11602" t="n"/>
      <c r="I17" s="11602" t="n"/>
      <c r="J17" s="2513" t="n"/>
      <c r="K17" s="2513" t="n"/>
      <c r="L17" s="11602" t="n"/>
      <c r="M17" s="11602" t="n"/>
      <c r="N17" s="11602" t="n"/>
      <c r="O17" s="379" t="n"/>
      <c r="P17" s="139" t="n"/>
      <c r="Q17" s="148" t="n"/>
      <c r="R17" s="6547" t="n"/>
      <c r="S17" s="148" t="n"/>
      <c r="V17" s="801" t="n"/>
      <c r="AC17" s="769" t="n"/>
    </row>
    <row r="18" ht="13.5" customHeight="1" s="7635">
      <c r="A18" s="139" t="n"/>
      <c r="B18" s="139" t="n"/>
      <c r="C18" s="1073" t="inlineStr">
        <is>
          <t>Note: If you had income from farming or fishing, your tax may be less if you choose to figure it using income averaging on Schedule J.</t>
        </is>
      </c>
      <c r="D18" s="344" t="n"/>
      <c r="E18" s="344" t="n"/>
      <c r="F18" s="11602" t="n"/>
      <c r="G18" s="11602" t="n"/>
      <c r="H18" s="11602" t="n"/>
      <c r="I18" s="11602" t="n"/>
      <c r="J18" s="2513" t="n"/>
      <c r="K18" s="2513" t="n"/>
      <c r="L18" s="11602" t="n"/>
      <c r="M18" s="11602" t="n"/>
      <c r="N18" s="11602" t="n"/>
      <c r="O18" s="379" t="n"/>
      <c r="P18" s="139" t="n"/>
      <c r="Q18" s="148" t="n"/>
      <c r="R18" s="6547" t="n"/>
      <c r="S18" s="148" t="n"/>
      <c r="V18" s="801" t="n"/>
      <c r="AC18" s="769" t="n"/>
    </row>
    <row r="19" ht="13.5" customHeight="1" s="7635" thickBot="1">
      <c r="A19" s="139" t="n"/>
      <c r="B19" s="139" t="n"/>
      <c r="C19" s="347" t="n"/>
      <c r="D19" s="380" t="n"/>
      <c r="E19" s="380" t="n"/>
      <c r="F19" s="2517" t="inlineStr">
        <is>
          <t>(Form 1040, Schedule J, Income Averaging for Farmers and Fishermen, is NOT included in this spreadsheet.)</t>
        </is>
      </c>
      <c r="G19" s="380" t="n"/>
      <c r="H19" s="380" t="n"/>
      <c r="I19" s="380" t="n"/>
      <c r="J19" s="2511" t="n"/>
      <c r="K19" s="2511" t="n"/>
      <c r="L19" s="380" t="n"/>
      <c r="M19" s="380" t="n"/>
      <c r="N19" s="380" t="n"/>
      <c r="O19" s="381" t="n"/>
      <c r="P19" s="139" t="n"/>
      <c r="Q19" s="148" t="n"/>
      <c r="R19" s="6547" t="n"/>
      <c r="S19" s="148" t="n"/>
      <c r="V19" s="801" t="n"/>
      <c r="AC19" s="769" t="n"/>
    </row>
    <row r="20" ht="13.5" customHeight="1" s="7635" thickBot="1">
      <c r="A20" s="139" t="n"/>
      <c r="B20" s="139" t="n"/>
      <c r="C20" s="139" t="n"/>
      <c r="D20" s="139" t="n"/>
      <c r="E20" s="139" t="n"/>
      <c r="F20" s="139" t="n"/>
      <c r="G20" s="139" t="n"/>
      <c r="H20" s="139" t="n"/>
      <c r="I20" s="139" t="n"/>
      <c r="J20" s="2507" t="n"/>
      <c r="K20" s="2507" t="n"/>
      <c r="L20" s="139" t="n"/>
      <c r="M20" s="139" t="n"/>
      <c r="N20" s="139" t="n"/>
      <c r="O20" s="139" t="n"/>
      <c r="P20" s="139" t="n"/>
      <c r="Q20" s="148" t="n"/>
      <c r="R20" s="148" t="n"/>
      <c r="S20" s="148" t="n"/>
      <c r="V20" s="801" t="n"/>
      <c r="AC20" s="769" t="n"/>
    </row>
    <row r="21" ht="13.5" customHeight="1" s="7635" thickBot="1">
      <c r="A21" s="139" t="n"/>
      <c r="B21" s="139" t="n"/>
      <c r="C21" s="501" t="n"/>
      <c r="D21" s="139" t="n"/>
      <c r="E21" s="344" t="inlineStr">
        <is>
          <t>Check here to use this worksheet anyway.</t>
        </is>
      </c>
      <c r="F21" s="11602" t="n"/>
      <c r="G21" s="11602" t="n"/>
      <c r="H21" s="11602" t="n"/>
      <c r="I21" s="139" t="n"/>
      <c r="J21" s="2507" t="n"/>
      <c r="K21" s="2507" t="n"/>
      <c r="L21" s="139" t="n"/>
      <c r="M21" s="139" t="n"/>
      <c r="N21" s="139" t="n"/>
      <c r="O21" s="139" t="n"/>
      <c r="P21" s="139" t="n"/>
      <c r="Q21" s="148" t="n"/>
      <c r="R21" s="148" t="n"/>
      <c r="S21" s="148" t="n"/>
      <c r="V21" s="801" t="n"/>
      <c r="AC21" s="769" t="n"/>
    </row>
    <row r="22" ht="13.5" customHeight="1" s="7635">
      <c r="A22" s="139" t="n"/>
      <c r="B22" s="139" t="n"/>
      <c r="C22" s="139" t="n"/>
      <c r="D22" s="139" t="n"/>
      <c r="E22" s="139" t="n"/>
      <c r="F22" s="139" t="n"/>
      <c r="G22" s="139" t="n"/>
      <c r="H22" s="139" t="n"/>
      <c r="I22" s="139" t="n"/>
      <c r="J22" s="2507" t="n"/>
      <c r="K22" s="2507" t="n"/>
      <c r="L22" s="139" t="n"/>
      <c r="M22" s="139" t="n"/>
      <c r="N22" s="139" t="n"/>
      <c r="O22" s="139" t="n"/>
      <c r="P22" s="139" t="n"/>
      <c r="Q22" s="148" t="n"/>
      <c r="R22" s="148" t="n"/>
      <c r="S22" s="148" t="n"/>
      <c r="V22" s="801" t="n"/>
      <c r="AC22" s="769" t="n"/>
    </row>
    <row r="23" ht="13.5" customHeight="1" s="7635">
      <c r="A23" s="139" t="n"/>
      <c r="B23" s="11602" t="n"/>
      <c r="C23" s="11602" t="n"/>
      <c r="D23" s="11602" t="n"/>
      <c r="E23" s="11602" t="n"/>
      <c r="F23" s="11602" t="n"/>
      <c r="G23" s="11602" t="n"/>
      <c r="H23" s="11602" t="n"/>
      <c r="I23" s="11602" t="n"/>
      <c r="J23" s="2513" t="n"/>
      <c r="K23" s="2513" t="n"/>
      <c r="L23" s="11602" t="n"/>
      <c r="M23" s="11602" t="n"/>
      <c r="N23" s="9935">
        <f>IF('Table of Contents'!$A$31="D","DRAFT","")</f>
        <v/>
      </c>
      <c r="O23" s="11602" t="n"/>
      <c r="P23" s="139" t="n"/>
      <c r="Q23" s="148" t="n"/>
      <c r="R23" s="148" t="n"/>
      <c r="S23" s="148" t="n"/>
      <c r="V23" s="801" t="n"/>
      <c r="AC23" s="769" t="n"/>
    </row>
    <row r="24" ht="27.75" customHeight="1" s="7635">
      <c r="A24" s="139" t="n"/>
      <c r="B24" s="88" t="n"/>
      <c r="C24" s="2518" t="n"/>
      <c r="D24" s="88" t="n"/>
      <c r="E24" s="88" t="n"/>
      <c r="F24" s="88" t="n"/>
      <c r="G24" s="88" t="n"/>
      <c r="H24" s="88" t="n"/>
      <c r="I24" s="88" t="n"/>
      <c r="J24" s="2519" t="n"/>
      <c r="K24" s="2519" t="n"/>
      <c r="L24" s="88" t="n"/>
      <c r="M24" s="88" t="n"/>
      <c r="N24" s="88" t="n"/>
      <c r="O24" s="88" t="n"/>
      <c r="P24" s="139" t="n"/>
      <c r="Q24" s="148" t="n"/>
      <c r="R24" s="148" t="n"/>
      <c r="S24" s="148" t="n"/>
      <c r="V24" s="801" t="n"/>
      <c r="AC24" s="769" t="n"/>
    </row>
    <row r="25" ht="16.5" customHeight="1" s="7635" thickBot="1">
      <c r="A25" s="139" t="n"/>
      <c r="B25" s="2520" t="inlineStr">
        <is>
          <t>Qualified Dividends and Capital Gain Tax Worksheet—Line 16</t>
        </is>
      </c>
      <c r="C25" s="2520" t="n"/>
      <c r="D25" s="1901" t="n"/>
      <c r="E25" s="91" t="n"/>
      <c r="F25" s="91" t="n"/>
      <c r="G25" s="91" t="n"/>
      <c r="H25" s="91" t="n"/>
      <c r="I25" s="91" t="n"/>
      <c r="J25" s="2521" t="n"/>
      <c r="K25" s="2522" t="n"/>
      <c r="L25" s="2523" t="n"/>
      <c r="M25" s="2524" t="inlineStr">
        <is>
          <t>Keep for your records.</t>
        </is>
      </c>
      <c r="N25" s="2525" t="n"/>
      <c r="O25" s="2525" t="n"/>
      <c r="P25" s="2526" t="n"/>
      <c r="Q25" s="148" t="n"/>
      <c r="R25" s="148" t="n"/>
      <c r="S25" s="148" t="n"/>
      <c r="V25" s="801" t="n"/>
      <c r="AC25" s="769" t="n"/>
    </row>
    <row r="26" ht="19.5" customHeight="1" s="7635">
      <c r="A26" s="139" t="n"/>
      <c r="B26" s="2527" t="n"/>
      <c r="C26" s="2528" t="inlineStr">
        <is>
          <t xml:space="preserve">Before you begin: </t>
        </is>
      </c>
      <c r="D26" s="1986" t="n"/>
      <c r="E26" s="89" t="n"/>
      <c r="F26" s="88" t="n"/>
      <c r="G26" s="2529" t="inlineStr">
        <is>
          <t>P</t>
        </is>
      </c>
      <c r="H26" s="2344" t="inlineStr">
        <is>
          <t>See the earlier instructions for line 16 to see if you can use this worksheet to figure your tax.</t>
        </is>
      </c>
      <c r="I26" s="89" t="n"/>
      <c r="J26" s="2530" t="n"/>
      <c r="K26" s="2531" t="n"/>
      <c r="L26" s="89" t="n"/>
      <c r="M26" s="89" t="n"/>
      <c r="N26" s="2532" t="n"/>
      <c r="O26" s="2533" t="n"/>
      <c r="P26" s="2526" t="n"/>
      <c r="Q26" s="148" t="n"/>
      <c r="R26" s="148" t="n"/>
      <c r="S26" s="148" t="n"/>
      <c r="V26" s="801" t="n"/>
      <c r="AC26" s="769" t="n"/>
    </row>
    <row r="27" ht="14.25" customHeight="1" s="7635">
      <c r="A27" s="139" t="n"/>
      <c r="B27" s="2534" t="n"/>
      <c r="C27" s="2444" t="n"/>
      <c r="D27" s="226" t="n"/>
      <c r="E27" s="88" t="n"/>
      <c r="F27" s="88" t="n"/>
      <c r="G27" s="2529" t="inlineStr">
        <is>
          <t>P</t>
        </is>
      </c>
      <c r="H27" s="2535" t="inlineStr">
        <is>
          <t>Before completing this worksheet, complete Form 1040 or 1040-SR through line 15.</t>
        </is>
      </c>
      <c r="I27" s="88" t="n"/>
      <c r="J27" s="2519" t="n"/>
      <c r="K27" s="2536" t="n"/>
      <c r="L27" s="88" t="n"/>
      <c r="M27" s="88" t="n"/>
      <c r="N27" s="2537" t="n"/>
      <c r="O27" s="2538" t="n"/>
      <c r="P27" s="2526" t="n"/>
      <c r="Q27" s="148" t="n"/>
      <c r="R27" s="148" t="n"/>
      <c r="S27" s="148" t="n"/>
      <c r="V27" s="801" t="n"/>
      <c r="AC27" s="769" t="n"/>
    </row>
    <row r="28" ht="15.75" customHeight="1" s="7635">
      <c r="A28" s="139" t="n"/>
      <c r="B28" s="2534" t="n"/>
      <c r="C28" s="2539" t="n"/>
      <c r="D28" s="226" t="n"/>
      <c r="E28" s="88" t="n"/>
      <c r="F28" s="88" t="n"/>
      <c r="G28" s="2529" t="inlineStr">
        <is>
          <t>P</t>
        </is>
      </c>
      <c r="H28" s="88" t="inlineStr">
        <is>
          <t>If you do not have to file Schedule D and you received capital gain distributions, be sure</t>
        </is>
      </c>
      <c r="I28" s="88" t="n"/>
      <c r="J28" s="2519" t="n"/>
      <c r="K28" s="2536" t="n"/>
      <c r="L28" s="88" t="n"/>
      <c r="M28" s="88" t="n"/>
      <c r="N28" s="2540" t="n"/>
      <c r="O28" s="2538" t="n"/>
      <c r="P28" s="2526" t="n"/>
      <c r="Q28" s="148" t="n"/>
      <c r="R28" s="148" t="n"/>
      <c r="S28" s="148" t="n"/>
      <c r="V28" s="801" t="n"/>
      <c r="AC28" s="769" t="n"/>
    </row>
    <row r="29" ht="13.5" customHeight="1" s="7635" thickBot="1">
      <c r="A29" s="139" t="n"/>
      <c r="B29" s="2541" t="n"/>
      <c r="C29" s="2520" t="n"/>
      <c r="D29" s="1901" t="n"/>
      <c r="E29" s="91" t="n"/>
      <c r="F29" s="91" t="n"/>
      <c r="G29" s="2542" t="n"/>
      <c r="H29" s="2543" t="inlineStr">
        <is>
          <t>you checked the box on Form 1040 or 1040-SR, line 7b.</t>
        </is>
      </c>
      <c r="I29" s="91" t="n"/>
      <c r="J29" s="2544" t="n"/>
      <c r="K29" s="2522" t="n"/>
      <c r="L29" s="2545" t="n"/>
      <c r="M29" s="91" t="n"/>
      <c r="N29" s="2546" t="n"/>
      <c r="O29" s="2547" t="n"/>
      <c r="P29" s="2526" t="n"/>
      <c r="Q29" s="148" t="n"/>
      <c r="R29" s="148" t="n"/>
      <c r="S29" s="148" t="n"/>
      <c r="V29" s="801" t="n"/>
      <c r="AC29" s="769" t="n"/>
    </row>
    <row r="30" ht="15.75" customHeight="1" s="7635">
      <c r="A30" s="139" t="n"/>
      <c r="B30" s="2548" t="n"/>
      <c r="C30" s="2519" t="inlineStr">
        <is>
          <t>1.</t>
        </is>
      </c>
      <c r="D30" s="2519" t="n"/>
      <c r="E30" s="8922" t="inlineStr">
        <is>
          <t>Enter the amount from Form 1040 or 1040-SR, line 15.  However, if you are filing</t>
        </is>
      </c>
      <c r="F30" s="8922" t="n"/>
      <c r="G30" s="7300" t="n"/>
      <c r="H30" s="8922" t="n"/>
      <c r="I30" s="8922" t="n"/>
      <c r="J30" s="2519" t="n"/>
      <c r="K30" s="2549" t="n"/>
      <c r="L30" s="2549" t="n"/>
      <c r="M30" s="2549" t="n"/>
      <c r="N30" s="2549" t="n"/>
      <c r="O30" s="2550" t="n"/>
      <c r="P30" s="2526" t="n"/>
      <c r="Q30" s="148" t="n"/>
      <c r="R30" s="2551" t="inlineStr">
        <is>
          <t>Manual</t>
        </is>
      </c>
      <c r="S30" s="148" t="n"/>
      <c r="V30" s="801" t="n"/>
      <c r="AC30" s="769" t="n"/>
    </row>
    <row r="31">
      <c r="A31" s="139" t="n"/>
      <c r="B31" s="2534" t="n"/>
      <c r="C31" s="2519" t="n"/>
      <c r="D31" s="2519" t="n"/>
      <c r="E31" s="8922" t="inlineStr">
        <is>
          <t>Form 2555 (relating to foreign earned income), enter the amount from</t>
        </is>
      </c>
      <c r="F31" s="8922" t="n"/>
      <c r="G31" s="7300" t="n"/>
      <c r="H31" s="8922" t="n"/>
      <c r="I31" s="8922" t="n"/>
      <c r="J31" s="2519" t="n"/>
      <c r="K31" s="2549" t="n"/>
      <c r="L31" s="2549" t="n"/>
      <c r="M31" s="2549" t="n"/>
      <c r="N31" s="2549" t="n"/>
      <c r="O31" s="2550" t="n"/>
      <c r="P31" s="2526" t="n"/>
      <c r="Q31" s="148" t="n"/>
      <c r="R31" s="2551" t="inlineStr">
        <is>
          <t>Override ê</t>
        </is>
      </c>
      <c r="S31" s="148" t="n"/>
      <c r="V31" s="801" t="n"/>
      <c r="AC31" s="769" t="n"/>
    </row>
    <row r="32" ht="13.5" customHeight="1" s="7635">
      <c r="A32" s="139" t="n"/>
      <c r="B32" s="2534" t="n"/>
      <c r="C32" s="2519" t="n"/>
      <c r="D32" s="2519" t="n"/>
      <c r="E32" s="8922" t="inlineStr">
        <is>
          <t>line 3 of the Foreign Earned Income Tax Worksheet</t>
        </is>
      </c>
      <c r="F32" s="8922" t="n"/>
      <c r="G32" s="7300" t="n"/>
      <c r="H32" s="8922" t="n"/>
      <c r="I32" s="8922" t="n"/>
      <c r="J32" s="2519" t="inlineStr">
        <is>
          <t xml:space="preserve"> .    .    .    .    .    .    .    .    .    .    . </t>
        </is>
      </c>
      <c r="K32" s="2519">
        <f>C30</f>
        <v/>
      </c>
      <c r="L32" s="2552">
        <f>IF(R32&lt;&gt;"",R32,IF(FEI_Tax_Worksheet,FEI_TW_Line3,IF(NOT(CGTW),"",Taxable_Inc)))</f>
        <v/>
      </c>
      <c r="M32" s="8922" t="n"/>
      <c r="N32" s="8922" t="n"/>
      <c r="O32" s="2553" t="n"/>
      <c r="P32" s="2526" t="n"/>
      <c r="Q32" s="148" t="n"/>
      <c r="R32" s="274" t="n"/>
      <c r="S32" s="148" t="n"/>
      <c r="V32" s="801" t="n"/>
      <c r="AC32" s="769" t="n"/>
    </row>
    <row r="33" ht="13.5" customHeight="1" s="7635">
      <c r="A33" s="139" t="n"/>
      <c r="B33" s="2534" t="n"/>
      <c r="C33" s="2519" t="inlineStr">
        <is>
          <t>2.</t>
        </is>
      </c>
      <c r="D33" s="2519" t="n"/>
      <c r="E33" s="8922" t="inlineStr">
        <is>
          <t>Enter the amount from Form 1040 or 1040-SR, line 3a* .    .    .    .    .    .    .</t>
        </is>
      </c>
      <c r="F33" s="8922" t="n"/>
      <c r="G33" s="7300" t="n"/>
      <c r="H33" s="2519" t="n"/>
      <c r="I33" s="2519" t="inlineStr">
        <is>
          <t>2.</t>
        </is>
      </c>
      <c r="J33" s="2552">
        <f>IF(NOT(CGTW),"",'1040'!$S$62)</f>
        <v/>
      </c>
      <c r="K33" s="2519" t="n"/>
      <c r="L33" s="2519" t="n"/>
      <c r="M33" s="8922" t="n"/>
      <c r="N33" s="8922" t="n"/>
      <c r="O33" s="2553" t="n"/>
      <c r="P33" s="2526" t="n"/>
      <c r="Q33" s="148" t="n"/>
      <c r="R33" s="148" t="n"/>
      <c r="S33" s="148" t="n"/>
      <c r="V33" s="801" t="n"/>
      <c r="AC33" s="769" t="n"/>
    </row>
    <row r="34" ht="13.5" customHeight="1" s="7635" thickBot="1">
      <c r="A34" s="139" t="n"/>
      <c r="B34" s="2534" t="n"/>
      <c r="C34" s="2519" t="inlineStr">
        <is>
          <t>3.</t>
        </is>
      </c>
      <c r="D34" s="2519" t="n"/>
      <c r="E34" s="8922" t="inlineStr">
        <is>
          <t>Are you filing Schedule D?*</t>
        </is>
      </c>
      <c r="F34" s="8922" t="n"/>
      <c r="G34" s="7300" t="n"/>
      <c r="H34" s="2519" t="n"/>
      <c r="I34" s="2519" t="n"/>
      <c r="J34" s="2554">
        <f>AND(NOT(SchD_NotReqd),OR(AND(SchDLine15&lt;&gt;"",SchDLine15&lt;&gt;0),AND(SchDLine16&lt;&gt;"",SchDLine16&lt;&gt;0)))</f>
        <v/>
      </c>
      <c r="K34" s="2519" t="n"/>
      <c r="L34" s="2519" t="n"/>
      <c r="M34" s="2519" t="n"/>
      <c r="N34" s="8922" t="n"/>
      <c r="O34" s="2553" t="n"/>
      <c r="P34" s="139" t="n"/>
      <c r="Q34" s="148" t="n"/>
      <c r="R34" s="148" t="n"/>
      <c r="S34" s="148" t="n"/>
      <c r="V34" s="801" t="n"/>
      <c r="AC34" s="769" t="n"/>
    </row>
    <row r="35" ht="13.5" customHeight="1" s="7635" thickBot="1">
      <c r="A35" s="139" t="n"/>
      <c r="B35" s="2534" t="n"/>
      <c r="C35" s="2519" t="n"/>
      <c r="D35" s="2555">
        <f>IF(NOT(CGTW),"",IF(J34,"X",""))</f>
        <v/>
      </c>
      <c r="E35" s="1183" t="inlineStr">
        <is>
          <t xml:space="preserve">  Yes.</t>
        </is>
      </c>
      <c r="F35" s="8922" t="inlineStr">
        <is>
          <t>Enter the smaller of line 15 or 16 of</t>
        </is>
      </c>
      <c r="G35" s="7300" t="n"/>
      <c r="H35" s="2519" t="n"/>
      <c r="I35" s="2519" t="n"/>
      <c r="J35" s="2519" t="n"/>
      <c r="K35" s="2519" t="n"/>
      <c r="L35" s="2519" t="n"/>
      <c r="M35" s="2519" t="n"/>
      <c r="N35" s="8922" t="n"/>
      <c r="O35" s="2553" t="n"/>
      <c r="P35" s="139" t="n"/>
      <c r="Q35" s="148" t="n"/>
      <c r="R35" s="148" t="n"/>
      <c r="S35" s="148" t="n"/>
      <c r="U35" s="2556" t="n"/>
      <c r="V35" s="2556" t="n"/>
      <c r="W35" s="2556" t="n"/>
      <c r="X35" s="2556" t="n"/>
      <c r="Y35" s="2556" t="n"/>
      <c r="AC35" s="769" t="n"/>
    </row>
    <row r="36">
      <c r="A36" s="139" t="n"/>
      <c r="B36" s="2534" t="n"/>
      <c r="C36" s="2519" t="n"/>
      <c r="D36" s="2557" t="n"/>
      <c r="E36" s="8922" t="n"/>
      <c r="F36" s="8922" t="inlineStr">
        <is>
          <t>Schedule D. If either line 15 or line 16 is</t>
        </is>
      </c>
      <c r="G36" s="1183" t="n"/>
      <c r="H36" s="2519" t="n"/>
      <c r="I36" s="2519" t="n"/>
      <c r="J36" s="2519" t="n"/>
      <c r="K36" s="2519" t="n"/>
      <c r="L36" s="2519" t="n"/>
      <c r="M36" s="2519" t="n"/>
      <c r="N36" s="8922" t="n"/>
      <c r="O36" s="2553" t="n"/>
      <c r="P36" s="139" t="n"/>
      <c r="Q36" s="148" t="n"/>
      <c r="R36" s="148" t="n"/>
      <c r="S36" s="148" t="n"/>
      <c r="U36" s="1330">
        <f>IF(CapitalGains="",0,CapitalGains)</f>
        <v/>
      </c>
      <c r="V36" s="2556" t="n"/>
      <c r="W36" s="2556" t="n"/>
      <c r="X36" s="2556" t="n"/>
      <c r="Y36" s="2556" t="n"/>
      <c r="AC36" s="769" t="n"/>
    </row>
    <row r="37" ht="13.5" customHeight="1" s="7635" thickBot="1">
      <c r="A37" s="139" t="n"/>
      <c r="B37" s="2534" t="n"/>
      <c r="C37" s="2519" t="n"/>
      <c r="D37" s="2557" t="n"/>
      <c r="E37" s="8922" t="n"/>
      <c r="F37" s="8922" t="inlineStr">
        <is>
          <t>blank or a loss, enter -0-.</t>
        </is>
      </c>
      <c r="G37" s="1183" t="n"/>
      <c r="H37" s="2519" t="n"/>
      <c r="I37" s="2519" t="inlineStr">
        <is>
          <t>3.</t>
        </is>
      </c>
      <c r="J37" s="2558">
        <f>IF(NOT(CGTW),"",IF(NOT(FilingScheduleD),U36,IF(OR(SchDLine15="",SchDLine15&lt;=0,SchDLine16="",SchDLine16&lt;=0),0,MIN(SchDLine15,SchDLine16))))</f>
        <v/>
      </c>
      <c r="K37" s="2519" t="n"/>
      <c r="L37" s="2519" t="n"/>
      <c r="M37" s="2519" t="n"/>
      <c r="N37" s="8922" t="n"/>
      <c r="O37" s="2553" t="n"/>
      <c r="P37" s="139" t="n"/>
      <c r="Q37" s="148" t="n"/>
      <c r="R37" s="148" t="n"/>
      <c r="S37" s="148" t="n"/>
      <c r="U37" s="2556" t="n"/>
      <c r="V37" s="2556" t="n"/>
      <c r="W37" s="2556" t="n"/>
      <c r="X37" s="2556" t="n"/>
      <c r="Y37" s="2556" t="n"/>
      <c r="AC37" s="769" t="n"/>
    </row>
    <row r="38" ht="13.5" customHeight="1" s="7635" thickBot="1">
      <c r="A38" s="139" t="n"/>
      <c r="B38" s="2534" t="n"/>
      <c r="C38" s="2519" t="n"/>
      <c r="D38" s="2555">
        <f>IF(NOT(CGTW),"",IF(J34,"","X"))</f>
        <v/>
      </c>
      <c r="E38" s="1183" t="inlineStr">
        <is>
          <t xml:space="preserve">  No.</t>
        </is>
      </c>
      <c r="F38" s="8922" t="inlineStr">
        <is>
          <t xml:space="preserve">Enter the amount from Form 1040 or </t>
        </is>
      </c>
      <c r="G38" s="1183" t="n"/>
      <c r="H38" s="2519" t="n"/>
      <c r="I38" s="2519" t="n"/>
      <c r="J38" s="2559" t="n"/>
      <c r="K38" s="2519" t="n"/>
      <c r="L38" s="2519" t="n"/>
      <c r="M38" s="2519" t="n"/>
      <c r="N38" s="2560" t="n"/>
      <c r="O38" s="2553" t="n"/>
      <c r="P38" s="139" t="n"/>
      <c r="Q38" s="148" t="n"/>
      <c r="R38" s="148" t="n"/>
      <c r="S38" s="148" t="n"/>
      <c r="AC38" s="769" t="n"/>
    </row>
    <row r="39" ht="13.5" customHeight="1" s="7635">
      <c r="A39" s="139" t="n"/>
      <c r="B39" s="2534" t="n"/>
      <c r="C39" s="2519" t="n"/>
      <c r="D39" s="1183" t="n"/>
      <c r="E39" s="1183" t="n"/>
      <c r="F39" s="8922" t="inlineStr">
        <is>
          <t>1040-SR, line 7a</t>
        </is>
      </c>
      <c r="G39" s="1183" t="n"/>
      <c r="H39" s="2519" t="n"/>
      <c r="I39" s="2519" t="n"/>
      <c r="J39" s="2560" t="n"/>
      <c r="K39" s="2519" t="n"/>
      <c r="L39" s="2519" t="n"/>
      <c r="M39" s="2519" t="n"/>
      <c r="N39" s="2560" t="n"/>
      <c r="O39" s="2553" t="n"/>
      <c r="P39" s="139" t="n"/>
      <c r="Q39" s="148" t="n"/>
      <c r="R39" s="148" t="n"/>
      <c r="S39" s="148" t="n"/>
      <c r="AC39" s="769" t="n"/>
    </row>
    <row r="40" ht="13.5" customHeight="1" s="7635">
      <c r="A40" s="139" t="n"/>
      <c r="B40" s="2534" t="n"/>
      <c r="C40" s="2519" t="inlineStr">
        <is>
          <t>4.</t>
        </is>
      </c>
      <c r="D40" s="1183" t="n"/>
      <c r="E40" s="8922" t="inlineStr">
        <is>
          <t>Add lines 2 and 3</t>
        </is>
      </c>
      <c r="F40" s="8922" t="n"/>
      <c r="G40" s="8922" t="n"/>
      <c r="H40" s="2519" t="inlineStr">
        <is>
          <t xml:space="preserve"> .    .    .    .    .    .    .    .    .    .    .    .    . </t>
        </is>
      </c>
      <c r="I40" s="2519" t="inlineStr">
        <is>
          <t>4.</t>
        </is>
      </c>
      <c r="J40" s="2552">
        <f>IF(NOT(CGTW),"",SUM(J33,J37))</f>
        <v/>
      </c>
      <c r="K40" s="2519" t="n"/>
      <c r="L40" s="2519" t="n"/>
      <c r="M40" s="2519" t="n"/>
      <c r="N40" s="2560" t="n"/>
      <c r="O40" s="2553" t="n"/>
      <c r="P40" s="139" t="n"/>
      <c r="Q40" s="148" t="n"/>
      <c r="R40" s="148" t="n"/>
      <c r="S40" s="148" t="n"/>
      <c r="Z40" s="8648" t="n"/>
      <c r="AA40" s="8648" t="n"/>
      <c r="AC40" s="769" t="n"/>
    </row>
    <row r="41" ht="12.75" customHeight="1" s="7635">
      <c r="A41" s="139" t="n"/>
      <c r="B41" s="2534" t="n"/>
      <c r="C41" s="2519" t="inlineStr">
        <is>
          <t>5.</t>
        </is>
      </c>
      <c r="D41" s="1183" t="n"/>
      <c r="E41" s="8922" t="inlineStr">
        <is>
          <t>Subtract line 4 from line 1.  If zero or less, enter -0-</t>
        </is>
      </c>
      <c r="F41" s="8922" t="n"/>
      <c r="G41" s="8922" t="n"/>
      <c r="H41" s="8922" t="n"/>
      <c r="I41" s="8922" t="n"/>
      <c r="J41" s="2519" t="inlineStr">
        <is>
          <t xml:space="preserve"> .    .    .    .    .    .    .    .    .    .    .    . </t>
        </is>
      </c>
      <c r="K41" s="2519">
        <f>C41</f>
        <v/>
      </c>
      <c r="L41" s="2552">
        <f>IF(NOT(CGTW),"",MAX(0,SUM(CGTW_Line1,-J40)))</f>
        <v/>
      </c>
      <c r="M41" s="8922" t="n"/>
      <c r="N41" s="2561" t="n"/>
      <c r="O41" s="2553" t="n"/>
      <c r="P41" s="2526" t="n"/>
      <c r="Q41" s="148" t="n"/>
      <c r="R41" s="148" t="n"/>
      <c r="S41" s="148" t="n"/>
      <c r="Z41" s="2556" t="n"/>
      <c r="AA41" s="2556" t="n"/>
      <c r="AC41" s="769" t="n"/>
    </row>
    <row r="42">
      <c r="A42" s="139" t="n"/>
      <c r="B42" s="2534" t="n"/>
      <c r="C42" s="2519" t="inlineStr">
        <is>
          <t>6.</t>
        </is>
      </c>
      <c r="D42" s="8922" t="n"/>
      <c r="E42" s="8922" t="inlineStr">
        <is>
          <t>Enter:</t>
        </is>
      </c>
      <c r="F42" s="8922" t="n"/>
      <c r="G42" s="229" t="n"/>
      <c r="H42" s="229" t="n"/>
      <c r="I42" s="229" t="n"/>
      <c r="J42" s="229" t="n"/>
      <c r="K42" s="2519" t="n"/>
      <c r="L42" s="2560" t="n"/>
      <c r="M42" s="229" t="n"/>
      <c r="N42" s="2562" t="n"/>
      <c r="O42" s="2553" t="n"/>
      <c r="P42" s="2526" t="n"/>
      <c r="Q42" s="148" t="n"/>
      <c r="R42" s="148" t="n"/>
      <c r="S42" s="148" t="n"/>
      <c r="Z42" s="2556" t="n"/>
      <c r="AA42" s="2556" t="n"/>
      <c r="AC42" s="769" t="n"/>
    </row>
    <row r="43">
      <c r="A43" s="139" t="n"/>
      <c r="B43" s="2534" t="n"/>
      <c r="C43" s="2519" t="n"/>
      <c r="D43" s="2563" t="n"/>
      <c r="E43" s="8922">
        <f>TEXT(N43,"$0,000")&amp;" if single or married filing separately,"</f>
        <v/>
      </c>
      <c r="F43" s="8922" t="n"/>
      <c r="G43" s="8922" t="n"/>
      <c r="H43" s="229" t="n"/>
      <c r="I43" s="229" t="n"/>
      <c r="J43" s="2519" t="n"/>
      <c r="K43" s="229" t="n"/>
      <c r="L43" s="229" t="n"/>
      <c r="M43" s="229" t="n"/>
      <c r="N43" s="2564" t="n">
        <v>48350</v>
      </c>
      <c r="O43" s="2565" t="n"/>
      <c r="P43" s="2526" t="n"/>
      <c r="Q43" s="148" t="n"/>
      <c r="R43" s="148" t="n"/>
      <c r="S43" s="148" t="n"/>
      <c r="Z43" s="2556" t="n"/>
      <c r="AA43" s="2556" t="n"/>
      <c r="AC43" s="769" t="n"/>
    </row>
    <row r="44">
      <c r="A44" s="139" t="n"/>
      <c r="B44" s="2534" t="n"/>
      <c r="C44" s="2519" t="n"/>
      <c r="D44" s="2563" t="n"/>
      <c r="E44" s="8922">
        <f>TEXT(N44,"$0,000")&amp;" if married filing jointly or qualifying widow(er),"</f>
        <v/>
      </c>
      <c r="F44" s="8922" t="n"/>
      <c r="G44" s="8922" t="n"/>
      <c r="H44" s="229" t="n"/>
      <c r="I44" s="229" t="n"/>
      <c r="J44" s="2519" t="inlineStr">
        <is>
          <t xml:space="preserve"> .    .    .    .    .    .    .    . </t>
        </is>
      </c>
      <c r="K44" s="2566" t="inlineStr">
        <is>
          <t>6.</t>
        </is>
      </c>
      <c r="L44" s="2552">
        <f>IF(NOT(CGTW),"",N46)</f>
        <v/>
      </c>
      <c r="M44" s="229" t="n"/>
      <c r="N44" s="2564" t="n">
        <v>96700</v>
      </c>
      <c r="O44" s="2565" t="n"/>
      <c r="P44" s="2526" t="n"/>
      <c r="Q44" s="148" t="n"/>
      <c r="R44" s="148" t="n"/>
      <c r="S44" s="148" t="n"/>
      <c r="Z44" s="2556" t="n"/>
      <c r="AA44" s="2556" t="n"/>
      <c r="AC44" s="769" t="n"/>
    </row>
    <row r="45" ht="12" customHeight="1" s="7635">
      <c r="A45" s="139" t="n"/>
      <c r="B45" s="2534" t="n"/>
      <c r="C45" s="2519" t="n"/>
      <c r="D45" s="2563" t="n"/>
      <c r="E45" s="8922">
        <f>TEXT(N45,"$0,000")&amp;" if head of household."</f>
        <v/>
      </c>
      <c r="F45" s="8922" t="n"/>
      <c r="G45" s="8922" t="n"/>
      <c r="H45" s="229" t="n"/>
      <c r="I45" s="229" t="n"/>
      <c r="J45" s="1879" t="n"/>
      <c r="K45" s="229" t="n"/>
      <c r="L45" s="229" t="n"/>
      <c r="M45" s="229" t="n"/>
      <c r="N45" s="2564" t="n">
        <v>64750</v>
      </c>
      <c r="O45" s="2567" t="n"/>
      <c r="P45" s="2526" t="n"/>
      <c r="Q45" s="148" t="n"/>
      <c r="R45" s="148" t="n"/>
      <c r="S45" s="148" t="n"/>
      <c r="Z45" s="2556" t="n"/>
      <c r="AA45" s="2556" t="n"/>
      <c r="AC45" s="769" t="n"/>
    </row>
    <row r="46" ht="13.5" customHeight="1" s="7635">
      <c r="A46" s="139" t="n"/>
      <c r="B46" s="2568" t="n"/>
      <c r="C46" s="2519" t="inlineStr">
        <is>
          <t>7.</t>
        </is>
      </c>
      <c r="D46" s="2563" t="n"/>
      <c r="E46" s="8922" t="inlineStr">
        <is>
          <t>Enter the smaller of line 1 or line 6</t>
        </is>
      </c>
      <c r="F46" s="8922" t="n"/>
      <c r="G46" s="8922" t="n"/>
      <c r="H46" s="8922" t="n"/>
      <c r="I46" s="8922" t="n"/>
      <c r="J46" s="2519" t="inlineStr">
        <is>
          <t xml:space="preserve"> .    .    .    .    .    .    .    .    .    .    .    .    .    .    .    .    . </t>
        </is>
      </c>
      <c r="K46" s="2519">
        <f>C46</f>
        <v/>
      </c>
      <c r="L46" s="2552">
        <f>MIN(CGTW_Line1,L44)</f>
        <v/>
      </c>
      <c r="M46" s="8922" t="n"/>
      <c r="N46" s="2569">
        <f>IF(OR(File_Single&lt;&gt;"",File_Marr_Sep&lt;&gt;""),N43,IF(OR(File_Marr_Joint&lt;&gt;"",File_Qual_Widow&lt;&gt;""),N44,IF(File_Head&lt;&gt;"",N45,"")))</f>
        <v/>
      </c>
      <c r="O46" s="2553" t="n"/>
      <c r="P46" s="2526" t="n"/>
      <c r="Q46" s="148" t="n"/>
      <c r="R46" s="148" t="n"/>
      <c r="S46" s="148" t="n"/>
      <c r="Z46" s="2556" t="n"/>
      <c r="AA46" s="2556" t="n"/>
      <c r="AC46" s="769" t="n"/>
    </row>
    <row r="47" ht="12" customHeight="1" s="7635">
      <c r="A47" s="139" t="n"/>
      <c r="B47" s="2534" t="n"/>
      <c r="C47" s="2519" t="inlineStr">
        <is>
          <t>8.</t>
        </is>
      </c>
      <c r="D47" s="2557" t="n"/>
      <c r="E47" s="8922" t="inlineStr">
        <is>
          <t>Enter the smaller of line 5 or line 7</t>
        </is>
      </c>
      <c r="F47" s="8922" t="n"/>
      <c r="G47" s="1183" t="n"/>
      <c r="H47" s="8922" t="n"/>
      <c r="I47" s="8922" t="n"/>
      <c r="J47" s="2519" t="inlineStr">
        <is>
          <t xml:space="preserve">.    .    .    .    .    .    .    .    .    .    .    .    .    .    .    .    . </t>
        </is>
      </c>
      <c r="K47" s="2519">
        <f>C47</f>
        <v/>
      </c>
      <c r="L47" s="2552">
        <f>MIN(CGTW_Line5,L46)</f>
        <v/>
      </c>
      <c r="M47" s="8922" t="n"/>
      <c r="N47" s="8922" t="n"/>
      <c r="O47" s="2553" t="n"/>
      <c r="P47" s="2526" t="n"/>
      <c r="Q47" s="148" t="n"/>
      <c r="R47" s="148" t="n"/>
      <c r="S47" s="148" t="n"/>
      <c r="AC47" s="769" t="n"/>
    </row>
    <row r="48" ht="12" customHeight="1" s="7635">
      <c r="A48" s="139" t="n"/>
      <c r="B48" s="2534" t="n"/>
      <c r="C48" s="2519" t="inlineStr">
        <is>
          <t>9.</t>
        </is>
      </c>
      <c r="D48" s="2519" t="n"/>
      <c r="E48" s="8922" t="inlineStr">
        <is>
          <t>Subtract line 8 from line 7. This amount is taxed at 0%</t>
        </is>
      </c>
      <c r="F48" s="8922" t="n"/>
      <c r="G48" s="2570" t="n"/>
      <c r="H48" s="229" t="n"/>
      <c r="I48" s="229" t="n"/>
      <c r="J48" s="2519" t="inlineStr">
        <is>
          <t xml:space="preserve"> .    .    .    .    .    .    .    .    .    . </t>
        </is>
      </c>
      <c r="K48" s="2519">
        <f>C48</f>
        <v/>
      </c>
      <c r="L48" s="2552">
        <f>SUM(L46,-L47)</f>
        <v/>
      </c>
      <c r="M48" s="229" t="n"/>
      <c r="N48" s="229" t="n"/>
      <c r="O48" s="2553" t="n"/>
      <c r="P48" s="2526" t="n"/>
      <c r="Q48" s="148" t="n"/>
      <c r="R48" s="148" t="n"/>
      <c r="S48" s="148" t="n"/>
      <c r="AC48" s="769" t="n"/>
    </row>
    <row r="49" ht="12.75" customHeight="1" s="7635">
      <c r="A49" s="139" t="n"/>
      <c r="B49" s="2568" t="n"/>
      <c r="C49" s="2519" t="inlineStr">
        <is>
          <t>10.</t>
        </is>
      </c>
      <c r="D49" s="8922" t="n"/>
      <c r="E49" s="8922" t="inlineStr">
        <is>
          <t>Enter the smaller of line 1 or line 4</t>
        </is>
      </c>
      <c r="F49" s="8922" t="n"/>
      <c r="G49" s="8922" t="n"/>
      <c r="H49" s="8922" t="n"/>
      <c r="I49" s="8922" t="n"/>
      <c r="J49" s="2519" t="inlineStr">
        <is>
          <t xml:space="preserve">  .    .    .    .    .    .    .    .    .    .    .    .    .    .    .    . </t>
        </is>
      </c>
      <c r="K49" s="2519">
        <f>C49</f>
        <v/>
      </c>
      <c r="L49" s="2552">
        <f>MIN(CGTW_Line1,J40)</f>
        <v/>
      </c>
      <c r="M49" s="2519" t="n"/>
      <c r="N49" s="1183" t="n"/>
      <c r="O49" s="2553" t="n"/>
      <c r="P49" s="2526" t="n"/>
      <c r="Q49" s="148" t="n"/>
      <c r="R49" s="148" t="n"/>
      <c r="S49" s="148" t="n"/>
      <c r="AC49" s="769" t="n"/>
    </row>
    <row r="50" ht="13.5" customHeight="1" s="7635">
      <c r="A50" s="139" t="n"/>
      <c r="B50" s="2534" t="n"/>
      <c r="C50" s="2519" t="inlineStr">
        <is>
          <t>11.</t>
        </is>
      </c>
      <c r="D50" s="8922" t="n"/>
      <c r="E50" s="8922" t="inlineStr">
        <is>
          <t>Enter the amount from line 9</t>
        </is>
      </c>
      <c r="F50" s="8922" t="n"/>
      <c r="G50" s="8922" t="n"/>
      <c r="H50" s="8922" t="n"/>
      <c r="I50" s="8922" t="n"/>
      <c r="J50" s="248" t="inlineStr">
        <is>
          <t xml:space="preserve"> .    .    .    .    .    .    .    .    .    .    .    .    .    .    .    .    . </t>
        </is>
      </c>
      <c r="K50" s="2519">
        <f>C50</f>
        <v/>
      </c>
      <c r="L50" s="2552">
        <f>L48</f>
        <v/>
      </c>
      <c r="M50" s="8922" t="n"/>
      <c r="N50" s="2562" t="n"/>
      <c r="O50" s="2553" t="n"/>
      <c r="P50" s="2526" t="n"/>
      <c r="Q50" s="148" t="n"/>
      <c r="R50" s="148" t="n"/>
      <c r="S50" s="148" t="n"/>
      <c r="AC50" s="769" t="n"/>
    </row>
    <row r="51" ht="13.5" customHeight="1" s="7635">
      <c r="A51" s="139" t="n"/>
      <c r="B51" s="2534" t="n"/>
      <c r="C51" s="2519" t="inlineStr">
        <is>
          <t>12.</t>
        </is>
      </c>
      <c r="D51" s="2557" t="n"/>
      <c r="E51" s="8922" t="inlineStr">
        <is>
          <t>Subtract line 11 from line 10</t>
        </is>
      </c>
      <c r="F51" s="8922" t="n"/>
      <c r="G51" s="1183" t="n"/>
      <c r="H51" s="8922" t="n"/>
      <c r="I51" s="8922" t="n"/>
      <c r="J51" s="248" t="inlineStr">
        <is>
          <t xml:space="preserve">   .    .    .    .    .    .    .    .    .    .    .    .    .    .    .    .    .    . </t>
        </is>
      </c>
      <c r="K51" s="2519">
        <f>C51</f>
        <v/>
      </c>
      <c r="L51" s="2552">
        <f>SUM(L49,-L50)</f>
        <v/>
      </c>
      <c r="M51" s="2519" t="n"/>
      <c r="N51" s="2560" t="n"/>
      <c r="O51" s="2571" t="n"/>
      <c r="P51" s="2526" t="n"/>
      <c r="Q51" s="148" t="n"/>
      <c r="R51" s="148" t="n"/>
      <c r="S51" s="148" t="n"/>
      <c r="AC51" s="769" t="n"/>
    </row>
    <row r="52" ht="13.5" customHeight="1" s="7635">
      <c r="A52" s="139" t="n"/>
      <c r="B52" s="2534" t="n"/>
      <c r="C52" s="2519" t="inlineStr">
        <is>
          <t>13.</t>
        </is>
      </c>
      <c r="D52" s="8922" t="n"/>
      <c r="E52" s="8922" t="inlineStr">
        <is>
          <t>Enter:</t>
        </is>
      </c>
      <c r="F52" s="8922" t="n"/>
      <c r="G52" s="229" t="n"/>
      <c r="H52" s="229" t="n"/>
      <c r="I52" s="229" t="n"/>
      <c r="J52" s="229" t="n"/>
      <c r="K52" s="2519" t="n"/>
      <c r="L52" s="2560" t="n"/>
      <c r="M52" s="229" t="n"/>
      <c r="N52" s="2562" t="n"/>
      <c r="O52" s="2553" t="n"/>
      <c r="P52" s="2526" t="n"/>
      <c r="Q52" s="148" t="n"/>
      <c r="R52" s="148" t="n"/>
      <c r="S52" s="148" t="n"/>
      <c r="AC52" s="769" t="n"/>
    </row>
    <row r="53">
      <c r="A53" s="139" t="n"/>
      <c r="B53" s="2534" t="n"/>
      <c r="C53" s="2519" t="n"/>
      <c r="D53" s="2563" t="n"/>
      <c r="E53" s="8922">
        <f>TEXT(N53,"$0,000")&amp;" if single,"</f>
        <v/>
      </c>
      <c r="F53" s="8922" t="n"/>
      <c r="G53" s="8922" t="n"/>
      <c r="H53" s="229" t="n"/>
      <c r="I53" s="229" t="n"/>
      <c r="J53" s="2519" t="n"/>
      <c r="K53" s="229" t="n"/>
      <c r="L53" s="229" t="n"/>
      <c r="M53" s="229" t="n"/>
      <c r="N53" s="2564" t="n">
        <v>533400</v>
      </c>
      <c r="O53" s="2565" t="n"/>
      <c r="P53" s="2526" t="n"/>
      <c r="Q53" s="148" t="n"/>
      <c r="R53" s="148" t="n"/>
      <c r="S53" s="148" t="n"/>
      <c r="AC53" s="769" t="n"/>
    </row>
    <row r="54">
      <c r="A54" s="139" t="n"/>
      <c r="B54" s="2534" t="n"/>
      <c r="C54" s="2519" t="n"/>
      <c r="D54" s="2563" t="n"/>
      <c r="E54" s="8922">
        <f>TEXT(N54,"$0,000")&amp;" if married filing separately,"</f>
        <v/>
      </c>
      <c r="F54" s="8922" t="n"/>
      <c r="G54" s="8922" t="n"/>
      <c r="H54" s="229" t="n"/>
      <c r="I54" s="229" t="n"/>
      <c r="J54" s="2519" t="n"/>
      <c r="K54" s="229" t="n"/>
      <c r="L54" s="229" t="n"/>
      <c r="M54" s="229" t="n"/>
      <c r="N54" s="2564" t="n">
        <v>300000</v>
      </c>
      <c r="O54" s="2565" t="n"/>
      <c r="P54" s="2526" t="n"/>
      <c r="Q54" s="148" t="n"/>
      <c r="R54" s="148" t="n"/>
      <c r="S54" s="148" t="n"/>
      <c r="AC54" s="769" t="n"/>
    </row>
    <row r="55">
      <c r="A55" s="139" t="n"/>
      <c r="B55" s="2534" t="n"/>
      <c r="C55" s="2519" t="n"/>
      <c r="D55" s="2563" t="n"/>
      <c r="E55" s="8922">
        <f>TEXT(N55,"$0,000")&amp;" if married filing jointly or qualifying widow(er),"</f>
        <v/>
      </c>
      <c r="F55" s="8922" t="n"/>
      <c r="G55" s="8922" t="n"/>
      <c r="H55" s="229" t="n"/>
      <c r="I55" s="229" t="n"/>
      <c r="J55" s="2519" t="inlineStr">
        <is>
          <t xml:space="preserve"> .    .    .    .    .    .    .    . </t>
        </is>
      </c>
      <c r="K55" s="2566" t="inlineStr">
        <is>
          <t>13.</t>
        </is>
      </c>
      <c r="L55" s="2552">
        <f>IF(NOT(CGTW),"",N57)</f>
        <v/>
      </c>
      <c r="M55" s="229" t="n"/>
      <c r="N55" s="2564" t="n">
        <v>600050</v>
      </c>
      <c r="O55" s="2565" t="n"/>
      <c r="P55" s="2526" t="n"/>
      <c r="Q55" s="148" t="n"/>
      <c r="R55" s="148" t="n"/>
      <c r="S55" s="148" t="n"/>
      <c r="AC55" s="769" t="n"/>
    </row>
    <row r="56" ht="12" customHeight="1" s="7635" thickBot="1">
      <c r="A56" s="139" t="n"/>
      <c r="B56" s="2534" t="n"/>
      <c r="C56" s="2519" t="n"/>
      <c r="D56" s="2563" t="n"/>
      <c r="E56" s="8922">
        <f>TEXT(N56,"$0,000")&amp;" if head of household."</f>
        <v/>
      </c>
      <c r="F56" s="8922" t="n"/>
      <c r="G56" s="8922" t="n"/>
      <c r="H56" s="229" t="n"/>
      <c r="I56" s="229" t="n"/>
      <c r="J56" s="1879" t="n"/>
      <c r="K56" s="229" t="n"/>
      <c r="L56" s="229" t="n"/>
      <c r="M56" s="229" t="n"/>
      <c r="N56" s="2564" t="n">
        <v>566700</v>
      </c>
      <c r="O56" s="2567" t="n"/>
      <c r="P56" s="2526" t="n"/>
      <c r="Q56" s="148" t="n"/>
      <c r="R56" s="148" t="n"/>
      <c r="S56" s="148" t="n"/>
      <c r="U56" s="8648" t="inlineStr">
        <is>
          <t>CGTW_Line5</t>
        </is>
      </c>
      <c r="V56" s="7453" t="inlineStr">
        <is>
          <t>Single</t>
        </is>
      </c>
      <c r="W56" s="7453" t="inlineStr">
        <is>
          <t>MFJ/QW</t>
        </is>
      </c>
      <c r="X56" s="7453" t="inlineStr">
        <is>
          <t>MFS</t>
        </is>
      </c>
      <c r="Y56" s="7453" t="inlineStr">
        <is>
          <t>HOH</t>
        </is>
      </c>
      <c r="AC56" s="769" t="n"/>
    </row>
    <row r="57" ht="13.5" customHeight="1" s="7635" thickBot="1" thickTop="1">
      <c r="A57" s="139" t="n"/>
      <c r="B57" s="2568" t="n"/>
      <c r="C57" s="2566" t="inlineStr">
        <is>
          <t>14.</t>
        </is>
      </c>
      <c r="D57" s="8922" t="n"/>
      <c r="E57" s="8922" t="inlineStr">
        <is>
          <t>Enter the smaller of line 1 or line 13</t>
        </is>
      </c>
      <c r="F57" s="8922" t="n"/>
      <c r="G57" s="8922" t="n"/>
      <c r="H57" s="8922" t="n"/>
      <c r="I57" s="8922" t="n"/>
      <c r="J57" s="2519" t="inlineStr">
        <is>
          <t xml:space="preserve">  .    .    .    .    .    .    .    .    .    .    .    .    .    .    .    . </t>
        </is>
      </c>
      <c r="K57" s="2519">
        <f>C57</f>
        <v/>
      </c>
      <c r="L57" s="2552">
        <f>MIN(CGTW_Line1,L55)</f>
        <v/>
      </c>
      <c r="M57" s="2519" t="n"/>
      <c r="N57" s="2564">
        <f>IF(File_Single&lt;&gt;"",CGTW_Line13_Single,IF(File_Marr_Sep&lt;&gt;"",CGTW_Line13_MFS,IF(OR(File_Marr_Joint&lt;&gt;"",File_Qual_Widow&lt;&gt;""),CGTW_Line13_MFJQW,IF(File_Head&lt;&gt;"",CGTW_Line13_HOH,""))))</f>
        <v/>
      </c>
      <c r="O57" s="2553" t="n"/>
      <c r="P57" s="2526" t="n"/>
      <c r="Q57" s="148" t="n"/>
      <c r="R57" s="148" t="n"/>
      <c r="S57" s="148" t="n"/>
      <c r="U57" s="5358">
        <f>CGTW_Line5</f>
        <v/>
      </c>
      <c r="V57" s="2572">
        <f>LOOKUP(U57,'Tax Table'!$B$2:$B$2063,'Tax Table'!$D$2:$D$2063)</f>
        <v/>
      </c>
      <c r="W57" s="2572">
        <f>LOOKUP(U57,'Tax Table'!$B$2:$B$2063,'Tax Table'!$E$2:$E$2063)</f>
        <v/>
      </c>
      <c r="X57" s="2572">
        <f>LOOKUP(U57,'Tax Table'!$B$2:$B$2063,'Tax Table'!$F$2:$F$2063)</f>
        <v/>
      </c>
      <c r="Y57" s="2573">
        <f>LOOKUP(U57,'Tax Table'!$B$2:$B$2063,'Tax Table'!$G$2:$G$2063)</f>
        <v/>
      </c>
      <c r="AC57" s="769" t="n"/>
    </row>
    <row r="58" ht="13.5" customHeight="1" s="7635" thickBot="1">
      <c r="A58" s="139" t="n"/>
      <c r="B58" s="2534" t="n"/>
      <c r="C58" s="2566" t="inlineStr">
        <is>
          <t>15.</t>
        </is>
      </c>
      <c r="D58" s="2557" t="n"/>
      <c r="E58" s="8922" t="inlineStr">
        <is>
          <t>Add lines 5 and 9</t>
        </is>
      </c>
      <c r="F58" s="8922" t="n"/>
      <c r="G58" s="1183" t="n"/>
      <c r="H58" s="8922" t="n"/>
      <c r="I58" s="8922" t="n"/>
      <c r="J58" s="2519" t="inlineStr">
        <is>
          <t xml:space="preserve">.    .    .    .    .    .    .    .    .    .    .    .    .    .    .    .    . </t>
        </is>
      </c>
      <c r="K58" s="2519">
        <f>C58</f>
        <v/>
      </c>
      <c r="L58" s="2552">
        <f>SUM(CGTW_Line5,L48)</f>
        <v/>
      </c>
      <c r="M58" s="8922" t="n"/>
      <c r="N58" s="8922" t="n"/>
      <c r="O58" s="2553" t="n"/>
      <c r="P58" s="2526" t="n"/>
      <c r="Q58" s="148" t="n"/>
      <c r="R58" s="148" t="n"/>
      <c r="S58" s="148" t="n"/>
      <c r="U58" s="4640" t="n"/>
      <c r="V58" s="2574">
        <f>IF(U57&lt;SectA_a2,"---",IF(U57&lt;=SectA_a3,ROUND(U57*(SectA_b3/100),0)-SectA_d3,IF(U57&lt;=SectA_a4,ROUND(U57*(SectA_b4/100),0)-SectA_d4,IF(U57&lt;=SectA_a5,ROUND(U57*(SectA_b5/100),0)-SectA_d5,IF(U57&lt;=SectA_a6,ROUND(U57*(SectA_b6/100),0)-SectA_d6,ROUND(U57*(SectA_b7/100),0)-SectA_d7)))))</f>
        <v/>
      </c>
      <c r="W58" s="2574">
        <f>IF(U57&lt;SectB_a2,"---",IF(U57&lt;=SectB_a3,ROUND(U57*(SectB_b3/100),0)-SectB_d3,IF(U57&lt;=SectB_a4,ROUND(U57*(SectB_b4/100),0)-SectB_d4,IF(U57&lt;=SectB_a5,ROUND(U57*(SectB_b5/100),0)-SectB_d5,IF(U57&lt;=SectB_a6,ROUND(U57*(SectB_b6/100),0)-SectB_d6,ROUND(U57*(SectB_b7/100),0)-SectB_d7)))))</f>
        <v/>
      </c>
      <c r="X58" s="2574">
        <f>IF(U57&lt;SectC_a1,"---",IF(U57&lt;=SectC_a2,ROUND(U57*(SectC_b2/100),0)-SectC_d2,IF(U57&lt;=SectC_a3,ROUND(U57*(SectC_b3/100),0)-SectC_d3,IF(U57&lt;=SectC_a4,ROUND(U57*(SectC_b4/100),0)-SectC_d4,IF(U57&lt;=SectC_a5,ROUND(U57*(SectC_b5/100),0)-SectC_d5,ROUND(U57*(SectC_b6/100),0)-SectC_d6)))))</f>
        <v/>
      </c>
      <c r="Y58" s="2575">
        <f>IF(U57&lt;SectD_a2,"---",IF(U57&lt;=SectD_a3,ROUND(U57*(SectD_b3/100),0)-SectD_d3,IF(U57&lt;=SectD_a4,ROUND(U57*(SectD_b4/100),0)-SectD_d4,IF(U57&lt;=SectD_a5,ROUND(U57*(SectD_b5/100),0)-SectD_d5,IF(U57&lt;=SectD_a6,ROUND(U57*(SectD_b6/100),0)-SectD_d6,ROUND(U57*(SectD_b7/100),0)-SectD_d7)))))</f>
        <v/>
      </c>
      <c r="AC58" s="769" t="n"/>
    </row>
    <row r="59" ht="12" customHeight="1" s="7635" thickBot="1">
      <c r="A59" s="139" t="n"/>
      <c r="B59" s="2534" t="n"/>
      <c r="C59" s="2566" t="inlineStr">
        <is>
          <t>16.</t>
        </is>
      </c>
      <c r="D59" s="1183" t="n"/>
      <c r="E59" s="8922" t="inlineStr">
        <is>
          <t>Subtract line 15 from line 14. If zero or less, enter -0-</t>
        </is>
      </c>
      <c r="F59" s="8922" t="n"/>
      <c r="G59" s="8922" t="n"/>
      <c r="H59" s="8922" t="n"/>
      <c r="I59" s="8922" t="n"/>
      <c r="J59" s="2519" t="inlineStr">
        <is>
          <t xml:space="preserve"> .    .    .    .    .    .    .    .    .    .    .    . </t>
        </is>
      </c>
      <c r="K59" s="2519">
        <f>C59</f>
        <v/>
      </c>
      <c r="L59" s="2552">
        <f>IF(NOT(CGTW),"",IF(SUM(L57,-L58)&lt;=0,0,SUM(L57,-L58)))</f>
        <v/>
      </c>
      <c r="M59" s="8922" t="n"/>
      <c r="N59" s="2561" t="n"/>
      <c r="O59" s="2553" t="n"/>
      <c r="P59" s="2526" t="n"/>
      <c r="Q59" s="148" t="n"/>
      <c r="R59" s="148" t="n"/>
      <c r="S59" s="148" t="n"/>
      <c r="U59" s="2576">
        <f>IF(File_Single&lt;&gt;"",V57,IF(File_Marr_Joint&lt;&gt;"",W57,IF(File_Marr_Sep&lt;&gt;"", X57,IF(File_Head&lt;&gt;"",Y57,IF(File_Qual_Widow&lt;&gt;"",W57,"Filing status?")))))</f>
        <v/>
      </c>
      <c r="V59" s="1061">
        <f>"&lt;100k"</f>
        <v/>
      </c>
      <c r="W59" s="1061" t="n"/>
      <c r="X59" s="1061" t="n"/>
      <c r="Y59" s="2577" t="n"/>
      <c r="AC59" s="769" t="n"/>
      <c r="AE59" s="664" t="inlineStr">
        <is>
          <t xml:space="preserve"> </t>
        </is>
      </c>
    </row>
    <row r="60" ht="12.75" customHeight="1" s="7635" thickBot="1">
      <c r="A60" s="139" t="n"/>
      <c r="B60" s="2568" t="n"/>
      <c r="C60" s="2566" t="inlineStr">
        <is>
          <t>17.</t>
        </is>
      </c>
      <c r="D60" s="8922" t="n"/>
      <c r="E60" s="8922" t="inlineStr">
        <is>
          <t>Enter the smaller of line 12 or line 16</t>
        </is>
      </c>
      <c r="F60" s="8922" t="n"/>
      <c r="G60" s="8922" t="n"/>
      <c r="H60" s="8922" t="n"/>
      <c r="I60" s="8922" t="n"/>
      <c r="J60" s="2519" t="inlineStr">
        <is>
          <t xml:space="preserve">  .    .    .    .    .    .    .    .    .    .    .    .    .    .    .    . </t>
        </is>
      </c>
      <c r="K60" s="2519">
        <f>C60</f>
        <v/>
      </c>
      <c r="L60" s="2552">
        <f>MIN(L51,L59)</f>
        <v/>
      </c>
      <c r="M60" s="2519" t="n"/>
      <c r="N60" s="2578" t="n">
        <v>0.15</v>
      </c>
      <c r="O60" s="2553" t="n"/>
      <c r="P60" s="2526" t="n"/>
      <c r="Q60" s="148" t="n"/>
      <c r="R60" s="148" t="n"/>
      <c r="S60" s="148" t="n"/>
      <c r="U60" s="2579">
        <f>IF(File_Single&lt;&gt;"",V58,IF(OR(File_Marr_Joint&lt;&gt;"",File_Qual_Widow&lt;&gt;""),W58,IF(File_Marr_Sep&lt;&gt;"", X58,IF(File_Head&lt;&gt;"",Y58,"Filing status?"))))</f>
        <v/>
      </c>
      <c r="V60" s="2580">
        <f>"&gt;=100k"</f>
        <v/>
      </c>
      <c r="W60" s="2580" t="n"/>
      <c r="X60" s="2580" t="inlineStr">
        <is>
          <t>Tax &gt;&gt;</t>
        </is>
      </c>
      <c r="Y60" s="2581">
        <f>IF(NumFileStatusBoxes=0,"FilingStatus?",IF(U57&gt;100000,ROUND(U60,0),ROUND(U59,0)))</f>
        <v/>
      </c>
      <c r="AC60" s="769" t="n"/>
    </row>
    <row r="61" ht="13.5" customHeight="1" s="7635" thickTop="1">
      <c r="A61" s="139" t="n"/>
      <c r="B61" s="2534" t="n"/>
      <c r="C61" s="2566" t="inlineStr">
        <is>
          <t>18.</t>
        </is>
      </c>
      <c r="D61" s="2557" t="n"/>
      <c r="E61" s="8922">
        <f>"Multiply line 17 by "&amp;TEXT(N60,"0%")&amp;" ("&amp;TEXT(N60,"0.00")&amp;") "</f>
        <v/>
      </c>
      <c r="F61" s="8922" t="n"/>
      <c r="G61" s="1183" t="n"/>
      <c r="H61" s="8922" t="n"/>
      <c r="I61" s="8922" t="n"/>
      <c r="J61" s="2519" t="n"/>
      <c r="K61" s="2519" t="n"/>
      <c r="L61" s="248" t="inlineStr">
        <is>
          <t xml:space="preserve"> .    .    .    .    .    .    .    .    .    .    .    .    .    .    .    .    .    .    .    .    .    .    .    .    .    .  </t>
        </is>
      </c>
      <c r="M61" s="2566" t="inlineStr">
        <is>
          <t>18.</t>
        </is>
      </c>
      <c r="N61" s="2552">
        <f>ROUND(L60*N60,0)</f>
        <v/>
      </c>
      <c r="O61" s="2571" t="n"/>
      <c r="P61" s="2526" t="n"/>
      <c r="Q61" s="148" t="n"/>
      <c r="R61" s="148" t="n"/>
      <c r="S61" s="148" t="n"/>
      <c r="AC61" s="769" t="n"/>
    </row>
    <row r="62" ht="13.5" customHeight="1" s="7635">
      <c r="A62" s="139" t="n"/>
      <c r="B62" s="2534" t="n"/>
      <c r="C62" s="2566" t="inlineStr">
        <is>
          <t>19.</t>
        </is>
      </c>
      <c r="D62" s="2557" t="n"/>
      <c r="E62" s="8922" t="inlineStr">
        <is>
          <t>Add lines 9 and 17</t>
        </is>
      </c>
      <c r="F62" s="8922" t="n"/>
      <c r="G62" s="1183" t="n"/>
      <c r="H62" s="8922" t="n"/>
      <c r="I62" s="8922" t="n"/>
      <c r="J62" s="2519" t="inlineStr">
        <is>
          <t xml:space="preserve">.    .    .    .    .    .    .    .    .    .    .    .    .    .    .    .    .    .    .    . </t>
        </is>
      </c>
      <c r="K62" s="2519">
        <f>C62</f>
        <v/>
      </c>
      <c r="L62" s="2552">
        <f>SUM(L48,L60)</f>
        <v/>
      </c>
      <c r="M62" s="8922" t="n"/>
      <c r="N62" s="8922" t="n"/>
      <c r="O62" s="2553" t="n"/>
      <c r="P62" s="2526" t="n"/>
      <c r="Q62" s="148" t="n"/>
      <c r="R62" s="148" t="n"/>
      <c r="S62" s="148" t="n"/>
      <c r="AC62" s="769" t="n"/>
    </row>
    <row r="63" ht="12" customHeight="1" s="7635" thickBot="1">
      <c r="A63" s="139" t="n"/>
      <c r="B63" s="2534" t="n"/>
      <c r="C63" s="2566" t="inlineStr">
        <is>
          <t>20.</t>
        </is>
      </c>
      <c r="D63" s="2557" t="n"/>
      <c r="E63" s="8922" t="inlineStr">
        <is>
          <t>Subtract line 19 from line 10</t>
        </is>
      </c>
      <c r="F63" s="8922" t="n"/>
      <c r="G63" s="1183" t="n"/>
      <c r="H63" s="8922" t="n"/>
      <c r="I63" s="8922" t="n"/>
      <c r="J63" s="248" t="inlineStr">
        <is>
          <t xml:space="preserve">   .    .    .    .    .    .    .    .    .    .    .    .    .    .    .    .    .    . </t>
        </is>
      </c>
      <c r="K63" s="2519">
        <f>C63</f>
        <v/>
      </c>
      <c r="L63" s="2552">
        <f>SUM(L49,-L62)</f>
        <v/>
      </c>
      <c r="M63" s="2519" t="n"/>
      <c r="N63" s="2578" t="n">
        <v>0.2</v>
      </c>
      <c r="O63" s="2571" t="n"/>
      <c r="P63" s="2526" t="n"/>
      <c r="Q63" s="148" t="n"/>
      <c r="R63" s="148" t="n"/>
      <c r="S63" s="148" t="n"/>
      <c r="U63" s="8648" t="inlineStr">
        <is>
          <t>CGTW_Line1</t>
        </is>
      </c>
      <c r="V63" s="7453" t="inlineStr">
        <is>
          <t>Single</t>
        </is>
      </c>
      <c r="W63" s="7453" t="inlineStr">
        <is>
          <t>MFJ/QW</t>
        </is>
      </c>
      <c r="X63" s="7453" t="inlineStr">
        <is>
          <t>MFS</t>
        </is>
      </c>
      <c r="Y63" s="7453" t="inlineStr">
        <is>
          <t>HOH</t>
        </is>
      </c>
      <c r="AC63" s="769" t="n"/>
    </row>
    <row r="64" ht="13.5" customHeight="1" s="7635" thickBot="1" thickTop="1">
      <c r="A64" s="139" t="n"/>
      <c r="B64" s="2534" t="n"/>
      <c r="C64" s="2566" t="inlineStr">
        <is>
          <t>21.</t>
        </is>
      </c>
      <c r="D64" s="2557" t="n"/>
      <c r="E64" s="8922">
        <f>"Multiply line 20 by "&amp;TEXT(N63,"0%")&amp;" ("&amp;TEXT(N63,"0.00")&amp;") "</f>
        <v/>
      </c>
      <c r="F64" s="8922" t="n"/>
      <c r="G64" s="1183" t="n"/>
      <c r="H64" s="8922" t="n"/>
      <c r="I64" s="8922" t="n"/>
      <c r="J64" s="2519" t="n"/>
      <c r="K64" s="2519" t="n"/>
      <c r="L64" s="248" t="inlineStr">
        <is>
          <t xml:space="preserve"> .    .    .    .    .    .    .    .    .    .    .    .    .    .    .    .    .    .    .    .    .    .    .    .    .    .  </t>
        </is>
      </c>
      <c r="M64" s="2566" t="inlineStr">
        <is>
          <t>21.</t>
        </is>
      </c>
      <c r="N64" s="2552">
        <f>ROUND(L63*N63,0)</f>
        <v/>
      </c>
      <c r="O64" s="2571" t="n"/>
      <c r="P64" s="2526" t="n"/>
      <c r="Q64" s="148" t="n"/>
      <c r="R64" s="148" t="n"/>
      <c r="S64" s="148" t="n"/>
      <c r="U64" s="5358">
        <f>CGTW_Line1</f>
        <v/>
      </c>
      <c r="V64" s="2572">
        <f>LOOKUP(U64,'Tax Table'!$B$2:$B$2063,'Tax Table'!$D$2:$D$2063)</f>
        <v/>
      </c>
      <c r="W64" s="2572">
        <f>LOOKUP(U64,'Tax Table'!$B$2:$B$2063,'Tax Table'!$E$2:$E$2063)</f>
        <v/>
      </c>
      <c r="X64" s="2572">
        <f>LOOKUP(U64,'Tax Table'!$B$2:$B$2063,'Tax Table'!$F$2:$F$2063)</f>
        <v/>
      </c>
      <c r="Y64" s="2573">
        <f>LOOKUP(U64,'Tax Table'!$B$2:$B$2063,'Tax Table'!$G$2:$G$2063)</f>
        <v/>
      </c>
      <c r="AC64" s="769" t="n"/>
    </row>
    <row r="65" ht="13.5" customHeight="1" s="7635" thickBot="1">
      <c r="A65" s="139" t="n"/>
      <c r="B65" s="2534" t="n"/>
      <c r="C65" s="2566" t="inlineStr">
        <is>
          <t>22.</t>
        </is>
      </c>
      <c r="D65" s="2557" t="n"/>
      <c r="E65" s="8922" t="inlineStr">
        <is>
          <t>Figure the tax on the amount on line 5. If the amount on line 5 is less than $100,000, use the Tax</t>
        </is>
      </c>
      <c r="F65" s="8922" t="n"/>
      <c r="G65" s="1183" t="n"/>
      <c r="H65" s="8922" t="n"/>
      <c r="I65" s="8922" t="n"/>
      <c r="J65" s="2519" t="n"/>
      <c r="K65" s="2519" t="n"/>
      <c r="L65" s="248" t="n"/>
      <c r="M65" s="2519" t="n"/>
      <c r="N65" s="2560" t="n"/>
      <c r="O65" s="2571" t="n"/>
      <c r="P65" s="2526" t="n"/>
      <c r="Q65" s="148" t="n"/>
      <c r="R65" s="148" t="n"/>
      <c r="S65" s="148" t="n"/>
      <c r="U65" s="4640" t="n"/>
      <c r="V65" s="2574">
        <f>IF(U64&lt;SectA_a2,"---",IF(U64&lt;=SectA_a3,ROUND(U64*(SectA_b3/100),0)-SectA_d3,IF(U64&lt;=SectA_a4,ROUND(U64*(SectA_b4/100),0)-SectA_d4,IF(U64&lt;=SectA_a5,ROUND(U64*(SectA_b5/100),0)-SectA_d5,IF(U64&lt;=SectA_a6,ROUND(U64*(SectA_b6/100),0)-SectA_d6,ROUND(U64*(SectA_b7/100),0)-SectA_d7)))))</f>
        <v/>
      </c>
      <c r="W65" s="2574">
        <f>IF(U64&lt;SectB_a2,"---",IF(U64&lt;=SectB_a3,ROUND(U64*(SectB_b3/100),0)-SectB_d3,IF(U64&lt;=SectB_a4,ROUND(U64*(SectB_b4/100),0)-SectB_d4,IF(U64&lt;=SectB_a5,ROUND(U64*(SectB_b5/100),0)-SectB_d5,IF(U64&lt;=SectB_a6,ROUND(U64*(SectB_b6/100),0)-SectB_d6,ROUND(U64*(SectB_b7/100),0)-SectB_d7)))))</f>
        <v/>
      </c>
      <c r="X65" s="2574">
        <f>IF(U64&lt;SectC_a1,"---",IF(U64&lt;=SectC_a2,ROUND(U64*(SectC_b2/100),0)-SectC_d2,IF(U64&lt;=SectC_a3,ROUND(U64*(SectC_b3/100),0)-SectC_d3,IF(U64&lt;=SectC_a4,ROUND(U64*(SectC_b4/100),0)-SectC_d4,IF(U64&lt;=SectC_a5,ROUND(U64*(SectC_b5/100),0)-SectC_d5,ROUND(U64*(SectC_b6/100),0)-SectC_d6)))))</f>
        <v/>
      </c>
      <c r="Y65" s="2575">
        <f>IF(U64&lt;SectD_a2,"---",IF(U64&lt;=SectD_a3,ROUND(U64*(SectD_b3/100),0)-SectD_d3,IF(U64&lt;=SectD_a4,ROUND(U64*(SectD_b4/100),0)-SectD_d4,IF(U64&lt;=SectD_a5,ROUND(U64*(SectD_b5/100),0)-SectD_d5,IF(U64&lt;=SectD_a6,ROUND(U64*(SectD_b6/100),0)-SectD_d6,ROUND(U64*(SectD_b7/100),0)-SectD_d7)))))</f>
        <v/>
      </c>
      <c r="AC65" s="769" t="n"/>
    </row>
    <row r="66" ht="13.5" customHeight="1" s="7635" thickBot="1">
      <c r="A66" s="139" t="n"/>
      <c r="B66" s="2534" t="n"/>
      <c r="C66" s="2519" t="n"/>
      <c r="D66" s="2557" t="n"/>
      <c r="E66" s="8922" t="inlineStr">
        <is>
          <t>Table to figure this tax. If the amount on line 5 is $100,000 or more, use the Tax Computation</t>
        </is>
      </c>
      <c r="F66" s="8922" t="n"/>
      <c r="G66" s="1183" t="n"/>
      <c r="H66" s="8922" t="n"/>
      <c r="I66" s="8922" t="n"/>
      <c r="J66" s="2519" t="n"/>
      <c r="K66" s="2519" t="n"/>
      <c r="L66" s="248" t="n"/>
      <c r="M66" s="2519" t="n"/>
      <c r="N66" s="2560" t="n"/>
      <c r="O66" s="2571" t="n"/>
      <c r="P66" s="2526" t="n"/>
      <c r="Q66" s="148" t="n"/>
      <c r="R66" s="148" t="n"/>
      <c r="S66" s="148" t="n"/>
      <c r="U66" s="2576">
        <f>IF(File_Single&lt;&gt;"",V64,IF(File_Marr_Joint&lt;&gt;"",W64,IF(File_Marr_Sep&lt;&gt;"", X64,IF(File_Head&lt;&gt;"",Y64,IF(File_Qual_Widow&lt;&gt;"",W64,"Filing status?")))))</f>
        <v/>
      </c>
      <c r="V66" s="1061">
        <f>"&lt;100k"</f>
        <v/>
      </c>
      <c r="W66" s="1061" t="n"/>
      <c r="X66" s="1061" t="n"/>
      <c r="Y66" s="2577" t="n"/>
      <c r="AC66" s="769" t="n"/>
    </row>
    <row r="67" ht="13.5" customHeight="1" s="7635" thickBot="1">
      <c r="A67" s="139" t="n"/>
      <c r="B67" s="2534" t="n"/>
      <c r="C67" s="2566" t="n"/>
      <c r="D67" s="2519" t="n"/>
      <c r="E67" s="8922" t="inlineStr">
        <is>
          <t>Worksheet</t>
        </is>
      </c>
      <c r="F67" s="8922" t="n"/>
      <c r="G67" s="8922" t="n"/>
      <c r="H67" s="1183" t="n"/>
      <c r="I67" s="1183" t="n"/>
      <c r="J67" s="2519" t="n"/>
      <c r="K67" s="2519" t="n"/>
      <c r="L67" s="248" t="inlineStr">
        <is>
          <t xml:space="preserve">   .    .    .    .    .    .    .    .    .    .    .    .    .    .    .    .    .    .    .    .    .    .    .    .    .    .    .    .    .    .    .    .    . </t>
        </is>
      </c>
      <c r="M67" s="2519">
        <f>C65</f>
        <v/>
      </c>
      <c r="N67" s="2552">
        <f>IF(NOT(CGTW),"",Y60)</f>
        <v/>
      </c>
      <c r="O67" s="2553" t="n"/>
      <c r="P67" s="2526" t="n"/>
      <c r="Q67" s="148" t="n"/>
      <c r="R67" s="148" t="n"/>
      <c r="S67" s="148" t="n"/>
      <c r="U67" s="2579">
        <f>IF(File_Single&lt;&gt;"",V65,IF(OR(File_Marr_Joint&lt;&gt;"",File_Qual_Widow&lt;&gt;""),W65,IF(File_Marr_Sep&lt;&gt;"", X65,IF(File_Head&lt;&gt;"",Y65,"Filing status?"))))</f>
        <v/>
      </c>
      <c r="V67" s="2580">
        <f>"&gt;=100k"</f>
        <v/>
      </c>
      <c r="W67" s="2580" t="n"/>
      <c r="X67" s="2580" t="inlineStr">
        <is>
          <t>Tax &gt;&gt;</t>
        </is>
      </c>
      <c r="Y67" s="2581">
        <f>IF(NumFileStatusBoxes=0,"FilingStatus?",IF(U64&gt;100000,ROUND(U67,0),ROUND(U66,0)))</f>
        <v/>
      </c>
      <c r="AC67" s="769" t="n"/>
    </row>
    <row r="68" ht="13.5" customHeight="1" s="7635" thickTop="1">
      <c r="A68" s="139" t="n"/>
      <c r="B68" s="2534" t="n"/>
      <c r="C68" s="2519" t="inlineStr">
        <is>
          <t>23.</t>
        </is>
      </c>
      <c r="D68" s="2557" t="n"/>
      <c r="E68" s="8922" t="inlineStr">
        <is>
          <t>Add lines 18, 21, and 22</t>
        </is>
      </c>
      <c r="F68" s="8922" t="n"/>
      <c r="G68" s="1183" t="n"/>
      <c r="H68" s="8922" t="n"/>
      <c r="I68" s="8922" t="n"/>
      <c r="J68" s="2519" t="n"/>
      <c r="K68" s="2519" t="n"/>
      <c r="L68" s="248" t="inlineStr">
        <is>
          <t xml:space="preserve">.    .    .    .    .    .    .    .    .    .    .    .    .    .    .    .    .    .    .    .    .    .    .    .    .    .    .    . </t>
        </is>
      </c>
      <c r="M68" s="2519">
        <f>C68</f>
        <v/>
      </c>
      <c r="N68" s="2552">
        <f>IF(NOT(CGTW),"",SUM(N61,N64,N67))</f>
        <v/>
      </c>
      <c r="O68" s="2571" t="n"/>
      <c r="P68" s="2526" t="n"/>
      <c r="Q68" s="148" t="n"/>
      <c r="R68" s="148" t="n"/>
      <c r="S68" s="148" t="n"/>
      <c r="AC68" s="769" t="n"/>
    </row>
    <row r="69" ht="13.5" customHeight="1" s="7635">
      <c r="A69" s="139" t="n"/>
      <c r="B69" s="2534" t="n"/>
      <c r="C69" s="2519" t="inlineStr">
        <is>
          <t>24.</t>
        </is>
      </c>
      <c r="D69" s="2519" t="n"/>
      <c r="E69" s="8922" t="inlineStr">
        <is>
          <t>Figure the tax on the amount on line 1. If the amount on line 1 is less than $100,000, use the Tax</t>
        </is>
      </c>
      <c r="F69" s="8922" t="n"/>
      <c r="G69" s="8922" t="n"/>
      <c r="H69" s="1183" t="n"/>
      <c r="I69" s="1183" t="n"/>
      <c r="J69" s="2519" t="n"/>
      <c r="K69" s="2519" t="n"/>
      <c r="L69" s="248" t="n"/>
      <c r="M69" s="2519" t="n"/>
      <c r="N69" s="2559" t="n"/>
      <c r="O69" s="2553" t="n"/>
      <c r="P69" s="2526" t="n"/>
      <c r="Q69" s="148" t="n"/>
      <c r="R69" s="148" t="n"/>
      <c r="S69" s="148" t="n"/>
      <c r="AC69" s="769" t="n"/>
    </row>
    <row r="70" ht="13.5" customHeight="1" s="7635">
      <c r="A70" s="139" t="n"/>
      <c r="B70" s="2534" t="n"/>
      <c r="C70" s="2519" t="n"/>
      <c r="D70" s="2519" t="n"/>
      <c r="E70" s="8922" t="inlineStr">
        <is>
          <t>Table to figure this tax. If the amount on line 1 is $100,000 or more, use the Tax Computation</t>
        </is>
      </c>
      <c r="F70" s="8922" t="n"/>
      <c r="G70" s="8922" t="n"/>
      <c r="H70" s="1183" t="n"/>
      <c r="I70" s="1183" t="n"/>
      <c r="J70" s="2519" t="n"/>
      <c r="K70" s="2519" t="n"/>
      <c r="L70" s="248" t="n"/>
      <c r="M70" s="2519" t="n"/>
      <c r="N70" s="2560" t="n"/>
      <c r="O70" s="2553" t="n"/>
      <c r="P70" s="2526" t="n"/>
      <c r="Q70" s="148" t="n"/>
      <c r="R70" s="148" t="n"/>
      <c r="S70" s="148" t="n"/>
      <c r="AC70" s="769" t="n"/>
    </row>
    <row r="71" ht="13.5" customHeight="1" s="7635">
      <c r="A71" s="139" t="n"/>
      <c r="B71" s="2534" t="n"/>
      <c r="C71" s="2566" t="n"/>
      <c r="D71" s="2519" t="n"/>
      <c r="E71" s="8922" t="inlineStr">
        <is>
          <t>Worksheet</t>
        </is>
      </c>
      <c r="F71" s="8922" t="n"/>
      <c r="G71" s="8922" t="n"/>
      <c r="H71" s="1183" t="n"/>
      <c r="I71" s="1183" t="n"/>
      <c r="J71" s="2519" t="n"/>
      <c r="K71" s="2519" t="n"/>
      <c r="L71" s="248" t="inlineStr">
        <is>
          <t xml:space="preserve">   .    .    .    .    .    .    .    .    .    .    .    .    .    .    .    .    .    .    .    .    .    .    .    .    .    .    .    .    .    .    .    .    .    . </t>
        </is>
      </c>
      <c r="M71" s="2519">
        <f>C69</f>
        <v/>
      </c>
      <c r="N71" s="2552">
        <f>IF(NOT(CGTW),"",Y67)</f>
        <v/>
      </c>
      <c r="O71" s="2553" t="n"/>
      <c r="P71" s="2526" t="n"/>
      <c r="Q71" s="148" t="n"/>
      <c r="R71" s="148" t="n"/>
      <c r="S71" s="148" t="n"/>
      <c r="AC71" s="769" t="n"/>
    </row>
    <row r="72">
      <c r="A72" s="139" t="n"/>
      <c r="B72" s="2534" t="n"/>
      <c r="C72" s="2566" t="inlineStr">
        <is>
          <t>25.</t>
        </is>
      </c>
      <c r="D72" s="2519" t="n"/>
      <c r="E72" s="1183" t="inlineStr">
        <is>
          <t>Tax on all taxable income.  Enter the smaller of line 23 or line 24.   Also include this amount on the entry</t>
        </is>
      </c>
      <c r="F72" s="8922" t="n"/>
      <c r="G72" s="8922" t="n"/>
      <c r="H72" s="1183" t="n"/>
      <c r="I72" s="1183" t="n"/>
      <c r="J72" s="2519" t="n"/>
      <c r="K72" s="2519" t="n"/>
      <c r="L72" s="248" t="n"/>
      <c r="M72" s="2519" t="n"/>
      <c r="N72" s="2559" t="n"/>
      <c r="O72" s="2553" t="n"/>
      <c r="P72" s="2526" t="n"/>
      <c r="Q72" s="148" t="n"/>
      <c r="R72" s="2551" t="n"/>
      <c r="S72" s="148" t="n"/>
      <c r="AC72" s="769" t="n"/>
    </row>
    <row r="73">
      <c r="A73" s="139" t="n"/>
      <c r="B73" s="2534" t="n"/>
      <c r="C73" s="2519" t="n"/>
      <c r="D73" s="2519" t="n"/>
      <c r="E73" s="8922" t="inlineStr">
        <is>
          <t>space for Form 1040 or 1040-SR, line 16.  If you are filing Form 2555, do not enter this amount on the</t>
        </is>
      </c>
      <c r="F73" s="8922" t="n"/>
      <c r="G73" s="8922" t="n"/>
      <c r="H73" s="1183" t="n"/>
      <c r="I73" s="1183" t="n"/>
      <c r="J73" s="2519" t="n"/>
      <c r="K73" s="2519" t="n"/>
      <c r="L73" s="248" t="n"/>
      <c r="M73" s="2519" t="n"/>
      <c r="N73" s="2560" t="n"/>
      <c r="O73" s="2553" t="n"/>
      <c r="P73" s="2526" t="n"/>
      <c r="Q73" s="148" t="n"/>
      <c r="R73" s="2551" t="inlineStr">
        <is>
          <t>Manual</t>
        </is>
      </c>
      <c r="S73" s="148" t="n"/>
      <c r="AC73" s="769" t="n"/>
    </row>
    <row r="74">
      <c r="A74" s="139" t="n"/>
      <c r="B74" s="2534" t="n"/>
      <c r="C74" s="2519" t="n"/>
      <c r="D74" s="2519" t="n"/>
      <c r="E74" s="8922" t="inlineStr">
        <is>
          <t>entry space on Form 1040 or 1040-SR, line 16. Instead, enter it on line 4 of the Foreign Earned Income</t>
        </is>
      </c>
      <c r="F74" s="8922" t="n"/>
      <c r="G74" s="8922" t="n"/>
      <c r="H74" s="1183" t="n"/>
      <c r="I74" s="1183" t="n"/>
      <c r="J74" s="2519" t="n"/>
      <c r="K74" s="2519" t="n"/>
      <c r="L74" s="248" t="n"/>
      <c r="M74" s="2519" t="n"/>
      <c r="N74" s="2560" t="n"/>
      <c r="O74" s="2553" t="n"/>
      <c r="P74" s="2526" t="n"/>
      <c r="Q74" s="148" t="n"/>
      <c r="R74" s="2551" t="inlineStr">
        <is>
          <t>Override ê</t>
        </is>
      </c>
      <c r="S74" s="148" t="n"/>
      <c r="AC74" s="769" t="n"/>
    </row>
    <row r="75">
      <c r="A75" s="139" t="n"/>
      <c r="B75" s="2534" t="n"/>
      <c r="C75" s="2566" t="n"/>
      <c r="D75" s="2519" t="n"/>
      <c r="E75" s="8922" t="inlineStr">
        <is>
          <t>Tax Worksheet</t>
        </is>
      </c>
      <c r="F75" s="8922" t="n"/>
      <c r="G75" s="8922" t="n"/>
      <c r="H75" s="1183" t="n"/>
      <c r="I75" s="1183" t="n"/>
      <c r="J75" s="2519" t="n"/>
      <c r="K75" s="2519" t="n"/>
      <c r="L75" s="248" t="inlineStr">
        <is>
          <t xml:space="preserve">.    .    .    .    .    .    .    .    .    .    .    .    .    .    .    .    .    .    .    .    .    .    .    .    .    .    .    .    .    .    .    .    . </t>
        </is>
      </c>
      <c r="M75" s="2519">
        <f>C72</f>
        <v/>
      </c>
      <c r="N75" s="2552">
        <f>IF(R75&lt;&gt;"",R75,IF(NOT(CGTW),"",MIN(N68,N71)))</f>
        <v/>
      </c>
      <c r="O75" s="2553" t="n"/>
      <c r="P75" s="2526" t="n"/>
      <c r="Q75" s="148" t="n"/>
      <c r="R75" s="274" t="n"/>
      <c r="S75" s="148" t="n"/>
      <c r="AC75" s="769" t="n"/>
    </row>
    <row r="76" ht="15" customHeight="1" s="7635">
      <c r="A76" s="139" t="n"/>
      <c r="B76" s="2534" t="n"/>
      <c r="C76" s="2582" t="inlineStr">
        <is>
          <t>* If you are filing Form 2555, see the footnote in the Foreign Earned Income Tax Worksheet before completing this line.</t>
        </is>
      </c>
      <c r="D76" s="2519" t="n"/>
      <c r="E76" s="8922" t="n"/>
      <c r="F76" s="8922" t="n"/>
      <c r="G76" s="8922" t="n"/>
      <c r="H76" s="1183" t="n"/>
      <c r="I76" s="1183" t="n"/>
      <c r="J76" s="2519" t="n"/>
      <c r="K76" s="2519" t="n"/>
      <c r="L76" s="248" t="n"/>
      <c r="M76" s="2519" t="n"/>
      <c r="N76" s="2560" t="n"/>
      <c r="O76" s="2553" t="n"/>
      <c r="P76" s="2526" t="n"/>
      <c r="Q76" s="148" t="n"/>
      <c r="R76" s="148" t="n"/>
      <c r="S76" s="148" t="n"/>
      <c r="AC76" s="769" t="n"/>
    </row>
    <row r="77" ht="11.25" customHeight="1" s="7635" thickBot="1">
      <c r="A77" s="139" t="n"/>
      <c r="B77" s="2541" t="n"/>
      <c r="C77" s="2521" t="n"/>
      <c r="D77" s="2521" t="n"/>
      <c r="E77" s="2583" t="n"/>
      <c r="F77" s="2583" t="n"/>
      <c r="G77" s="2583" t="n"/>
      <c r="H77" s="2584" t="n"/>
      <c r="I77" s="2584" t="n"/>
      <c r="J77" s="2584" t="n"/>
      <c r="K77" s="2584" t="n"/>
      <c r="L77" s="2584" t="n"/>
      <c r="M77" s="2521" t="n"/>
      <c r="N77" s="2585" t="n"/>
      <c r="O77" s="2586" t="n"/>
      <c r="P77" s="2526" t="n"/>
      <c r="Q77" s="148" t="n"/>
      <c r="R77" s="148" t="n"/>
      <c r="S77" s="148" t="n"/>
      <c r="U77" s="688" t="inlineStr">
        <is>
          <t>FEI_TW_Line3</t>
        </is>
      </c>
      <c r="V77" s="7453" t="inlineStr">
        <is>
          <t>Single</t>
        </is>
      </c>
      <c r="W77" s="7453" t="inlineStr">
        <is>
          <t>MFJ/QW</t>
        </is>
      </c>
      <c r="X77" s="7453" t="inlineStr">
        <is>
          <t>MFS</t>
        </is>
      </c>
      <c r="Y77" s="7453" t="inlineStr">
        <is>
          <t>HOH</t>
        </is>
      </c>
      <c r="AC77" s="769" t="n"/>
    </row>
    <row r="78" ht="41.25" customHeight="1" s="7635" thickBot="1" thickTop="1">
      <c r="A78" s="148" t="n"/>
      <c r="B78" s="2587" t="inlineStr">
        <is>
          <t>Foreign Earned Income Tax Worksheet — Line 16</t>
        </is>
      </c>
      <c r="C78" s="2587" t="n"/>
      <c r="D78" s="1997" t="n"/>
      <c r="E78" s="7373" t="n"/>
      <c r="F78" s="2589" t="n"/>
      <c r="G78" s="2590" t="n"/>
      <c r="H78" s="2590" t="n"/>
      <c r="I78" s="2590" t="n"/>
      <c r="J78" s="2591">
        <f>IF(NOT(FEI_Tax_Worksheet),"Complete Form 2555 before completing this worksheet.","")</f>
        <v/>
      </c>
      <c r="K78" s="2590" t="n"/>
      <c r="L78" s="2592" t="inlineStr">
        <is>
          <t>Keep for Your Records</t>
        </is>
      </c>
      <c r="M78" s="2593" t="n"/>
      <c r="N78" s="2594" t="n"/>
      <c r="O78" s="2432" t="n"/>
      <c r="P78" s="148" t="n"/>
      <c r="Q78" s="148" t="n"/>
      <c r="R78" s="148" t="n"/>
      <c r="S78" s="148" t="n"/>
      <c r="U78" s="5358">
        <f>FEI_TW_Line3</f>
        <v/>
      </c>
      <c r="V78" s="2572">
        <f>LOOKUP(U78,'Tax Table'!$B$2:$B$2063,'Tax Table'!$D$2:$D$2063)</f>
        <v/>
      </c>
      <c r="W78" s="2572">
        <f>LOOKUP(U78,'Tax Table'!$B$2:$B$2063,'Tax Table'!$E$2:$E$2063)</f>
        <v/>
      </c>
      <c r="X78" s="2572">
        <f>LOOKUP(U78,'Tax Table'!$B$2:$B$2063,'Tax Table'!$F$2:$F$2063)</f>
        <v/>
      </c>
      <c r="Y78" s="2573">
        <f>LOOKUP(U78,'Tax Table'!$B$2:$B$2063,'Tax Table'!$G$2:$G$2063)</f>
        <v/>
      </c>
      <c r="AC78" s="769" t="n"/>
    </row>
    <row r="79" ht="24.75" customHeight="1" s="7635" thickBot="1">
      <c r="A79" s="148" t="n"/>
      <c r="B79" s="2595" t="n"/>
      <c r="C79" s="88" t="n"/>
      <c r="D79" s="2539" t="n"/>
      <c r="E79" s="12016" t="n"/>
      <c r="F79" s="7839" t="n"/>
      <c r="G79" s="7839" t="n"/>
      <c r="H79" s="7839" t="n"/>
      <c r="I79" s="7839" t="n"/>
      <c r="J79" s="7839" t="n"/>
      <c r="K79" s="7839" t="n"/>
      <c r="L79" s="7839" t="n"/>
      <c r="M79" s="7839" t="n"/>
      <c r="N79" s="7839" t="n"/>
      <c r="O79" s="12017" t="n"/>
      <c r="P79" s="148" t="n"/>
      <c r="Q79" s="148" t="n"/>
      <c r="R79" s="2596">
        <f>AND(Taxable_Inc&gt;0,FEI_Tax_WS_Required)</f>
        <v/>
      </c>
      <c r="S79" s="148" t="n"/>
      <c r="U79" s="4640" t="n"/>
      <c r="V79" s="2574">
        <f>IF(U78&lt;SectA_a2,"---",IF(U78&lt;=SectA_a3,ROUND(U78*(SectA_b3/100),0)-SectA_d3,IF(U78&lt;=SectA_a4,ROUND(U78*(SectA_b4/100),0)-SectA_d4,IF(U78&lt;=SectA_a5,ROUND(U78*(SectA_b5/100),0)-SectA_d5,IF(U78&lt;=SectA_a6,ROUND(U78*(SectA_b6/100),0)-SectA_d6,ROUND(U78*(SectA_b7/100),0)-SectA_d7)))))</f>
        <v/>
      </c>
      <c r="W79" s="2574">
        <f>IF(U78&lt;SectB_a2,"---",IF(U78&lt;=SectB_a3,ROUND(U78*(SectB_b3/100),0)-SectB_d3,IF(U78&lt;=SectB_a4,ROUND(U78*(SectB_b4/100),0)-SectB_d4,IF(U78&lt;=SectB_a5,ROUND(U78*(SectB_b5/100),0)-SectB_d5,IF(U78&lt;=SectB_a6,ROUND(U78*(SectB_b6/100),0)-SectB_d6,ROUND(U78*(SectB_b7/100),0)-SectB_d7)))))</f>
        <v/>
      </c>
      <c r="X79" s="2574">
        <f>IF(U78&lt;SectC_a1,"---",IF(U78&lt;=SectC_a2,ROUND(U78*(SectC_b2/100),0)-SectC_d2,IF(U78&lt;=SectC_a3,ROUND(U78*(SectC_b3/100),0)-SectC_d3,IF(U78&lt;=SectC_a4,ROUND(U78*(SectC_b4/100),0)-SectC_d4,IF(U78&lt;=SectC_a5,ROUND(U78*(SectC_b5/100),0)-SectC_d5,ROUND(U78*(SectC_b6/100),0)-SectC_d6)))))</f>
        <v/>
      </c>
      <c r="Y79" s="2575">
        <f>IF(U78&lt;SectD_a2,"---",IF(U78&lt;=SectD_a3,ROUND(U78*(SectD_b3/100),0)-SectD_d3,IF(U78&lt;=SectD_a4,ROUND(U78*(SectD_b4/100),0)-SectD_d4,IF(U78&lt;=SectD_a5,ROUND(U78*(SectD_b5/100),0)-SectD_d5,IF(U78&lt;=SectD_a6,ROUND(U78*(SectD_b6/100),0)-SectD_d6,ROUND(U78*(SectD_b7/100),0)-SectD_d7)))))</f>
        <v/>
      </c>
      <c r="AC79" s="769" t="n"/>
    </row>
    <row r="80" ht="12.75" customHeight="1" s="7635" thickBot="1">
      <c r="A80" s="148" t="n"/>
      <c r="B80" s="2597" t="n"/>
      <c r="C80" s="2594" t="n"/>
      <c r="D80" s="2598" t="n"/>
      <c r="E80" s="2599" t="inlineStr">
        <is>
          <t>If Form 1040 or 1040-SR, line 15, is zero, do not complete this worksheet.</t>
        </is>
      </c>
      <c r="F80" s="2598" t="n"/>
      <c r="G80" s="2594" t="n"/>
      <c r="H80" s="2594" t="n"/>
      <c r="I80" s="2594" t="n"/>
      <c r="J80" s="2594" t="n"/>
      <c r="K80" s="569" t="n"/>
      <c r="L80" s="2600" t="n"/>
      <c r="M80" s="2601" t="n"/>
      <c r="N80" s="2636">
        <f>IF('Table of Contents'!$A$31="D","DRAFT","")</f>
        <v/>
      </c>
      <c r="O80" s="2602" t="n"/>
      <c r="P80" s="148" t="n"/>
      <c r="Q80" s="148" t="n"/>
      <c r="R80" s="148" t="inlineStr">
        <is>
          <t>Manual</t>
        </is>
      </c>
      <c r="S80" s="148" t="n"/>
      <c r="U80" s="2576">
        <f>IF(File_Single&lt;&gt;"",V78,IF(File_Marr_Joint&lt;&gt;"",W78,IF(File_Marr_Sep&lt;&gt;"", X78,IF(File_Head&lt;&gt;"",Y78,IF(File_Qual_Widow&lt;&gt;"",W78,"Filing status?")))))</f>
        <v/>
      </c>
      <c r="V80" s="1061">
        <f>"&lt;100k"</f>
        <v/>
      </c>
      <c r="W80" s="1061" t="n"/>
      <c r="X80" s="1061" t="n"/>
      <c r="Y80" s="2577" t="n"/>
      <c r="AC80" s="769" t="n"/>
    </row>
    <row r="81" ht="13.5" customHeight="1" s="7635" thickBot="1">
      <c r="A81" s="148" t="n"/>
      <c r="B81" s="2595" t="n"/>
      <c r="C81" s="88" t="n"/>
      <c r="D81" s="2603" t="n"/>
      <c r="E81" s="11403" t="n"/>
      <c r="F81" s="226" t="n"/>
      <c r="G81" s="11403" t="n"/>
      <c r="H81" s="2604" t="n"/>
      <c r="I81" s="2605" t="n"/>
      <c r="J81" s="2606" t="n"/>
      <c r="K81" s="2606" t="n"/>
      <c r="L81" s="2607" t="n"/>
      <c r="M81" s="2607" t="n"/>
      <c r="N81" s="7847" t="n"/>
      <c r="O81" s="90" t="n"/>
      <c r="P81" s="148" t="n"/>
      <c r="Q81" s="148" t="n"/>
      <c r="R81" s="148" t="inlineStr">
        <is>
          <t>Override ê</t>
        </is>
      </c>
      <c r="S81" s="148" t="n"/>
      <c r="U81" s="2579">
        <f>IF(File_Single&lt;&gt;"",V79,IF(OR(File_Marr_Joint&lt;&gt;"",File_Qual_Widow&lt;&gt;""),W79,IF(File_Marr_Sep&lt;&gt;"", X79,IF(File_Head&lt;&gt;"",Y79,"Filing status?"))))</f>
        <v/>
      </c>
      <c r="V81" s="2580">
        <f>"&gt;=100k"</f>
        <v/>
      </c>
      <c r="W81" s="2580" t="n"/>
      <c r="X81" s="2580" t="inlineStr">
        <is>
          <t>Tax &gt;&gt;</t>
        </is>
      </c>
      <c r="Y81" s="2581">
        <f>IF(NumFileStatusBoxes=0,"FilingStatus?",IF(U78&gt;100000,ROUND(U81,0),ROUND(U80,0)))</f>
        <v/>
      </c>
      <c r="AC81" s="769" t="n"/>
    </row>
    <row r="82" ht="13.5" customHeight="1" s="7635" thickTop="1">
      <c r="A82" s="148" t="n"/>
      <c r="B82" s="2595" t="n"/>
      <c r="C82" s="88" t="n"/>
      <c r="D82" s="2608" t="inlineStr">
        <is>
          <t>1.</t>
        </is>
      </c>
      <c r="E82" s="11403" t="inlineStr">
        <is>
          <t>Enter the amount from Form 1040 or 1040-SR, line 15</t>
        </is>
      </c>
      <c r="F82" s="11403" t="n"/>
      <c r="G82" s="11403" t="n"/>
      <c r="H82" s="2605" t="n"/>
      <c r="I82" s="2605" t="n"/>
      <c r="J82" s="2607" t="n"/>
      <c r="K82" s="2607" t="n"/>
      <c r="L82" s="248" t="inlineStr">
        <is>
          <t xml:space="preserve">.    .    .    .    .    .    .    .    .    .    .    .    .    .    .    .    .    . </t>
        </is>
      </c>
      <c r="M82" s="2609" t="inlineStr">
        <is>
          <t>1.</t>
        </is>
      </c>
      <c r="N82" s="7758">
        <f>IF(R82&lt;&gt;"",ROUND(R82,0),IF(FEI_Tax_Worksheet,Taxable_Inc,""))</f>
        <v/>
      </c>
      <c r="O82" s="90" t="n"/>
      <c r="P82" s="148" t="n"/>
      <c r="Q82" s="148" t="n"/>
      <c r="R82" s="947" t="n"/>
      <c r="S82" s="148" t="n"/>
      <c r="Y82">
        <f>Y81=MIN(Y81,V114,X173)</f>
        <v/>
      </c>
      <c r="AC82" s="769" t="n"/>
    </row>
    <row r="83" ht="13.5" customHeight="1" s="7635" thickBot="1">
      <c r="A83" s="148" t="n"/>
      <c r="B83" s="2595" t="n"/>
      <c r="C83" s="88" t="n"/>
      <c r="D83" s="2608" t="n"/>
      <c r="E83" s="11403" t="n"/>
      <c r="F83" s="11403" t="n"/>
      <c r="G83" s="11403" t="n"/>
      <c r="H83" s="2605" t="n"/>
      <c r="I83" s="2605" t="n"/>
      <c r="J83" s="2607" t="n"/>
      <c r="K83" s="2607" t="n"/>
      <c r="L83" s="7847" t="n"/>
      <c r="M83" s="7847" t="n"/>
      <c r="N83" s="7847" t="n"/>
      <c r="O83" s="90" t="n"/>
      <c r="P83" s="148" t="n"/>
      <c r="Q83" s="148" t="n"/>
      <c r="R83" s="148" t="n"/>
      <c r="S83" s="148" t="n"/>
      <c r="U83" s="688" t="inlineStr">
        <is>
          <t>FEI_TW_Line2c</t>
        </is>
      </c>
      <c r="V83" s="7453" t="inlineStr">
        <is>
          <t>Single</t>
        </is>
      </c>
      <c r="W83" s="7453" t="inlineStr">
        <is>
          <t>MFJ/QW</t>
        </is>
      </c>
      <c r="X83" s="7453" t="inlineStr">
        <is>
          <t>MFS</t>
        </is>
      </c>
      <c r="Y83" s="7453" t="inlineStr">
        <is>
          <t>HOH</t>
        </is>
      </c>
      <c r="AC83" s="769" t="n"/>
    </row>
    <row r="84" ht="14.25" customHeight="1" s="7635" thickBot="1" thickTop="1">
      <c r="A84" s="148" t="n"/>
      <c r="B84" s="2595" t="n"/>
      <c r="C84" s="11602" t="n"/>
      <c r="D84" s="2608" t="inlineStr">
        <is>
          <t>2a.</t>
        </is>
      </c>
      <c r="E84" s="11403" t="inlineStr">
        <is>
          <t>Enter the amount from your (and your spouse's, if filing jointly) Form 2555, lines 45 and 50  .    .    .    .    .    .    .    .    .</t>
        </is>
      </c>
      <c r="F84" s="11403" t="n"/>
      <c r="G84" s="11403" t="n"/>
      <c r="H84" s="2605" t="n"/>
      <c r="I84" s="2605" t="n"/>
      <c r="J84" s="2607" t="n"/>
      <c r="K84" s="2607" t="n"/>
      <c r="L84" s="248" t="n"/>
      <c r="M84" s="2609" t="inlineStr">
        <is>
          <t>2a.</t>
        </is>
      </c>
      <c r="N84" s="7758">
        <f>IF(R84&lt;&gt;"",ROUND(R84,0),IF(FEI_Tax_Worksheet,SUM(F2555_Line45_Total,ForeignHousingDeductionTotal),""))</f>
        <v/>
      </c>
      <c r="O84" s="90" t="n"/>
      <c r="P84" s="148" t="n"/>
      <c r="Q84" s="148" t="n"/>
      <c r="R84" s="947" t="n"/>
      <c r="S84" s="148" t="n"/>
      <c r="U84" s="5358">
        <f>FEI_TW_Line2c</f>
        <v/>
      </c>
      <c r="V84" s="2572">
        <f>LOOKUP(U84,'Tax Table'!$B$2:$B$2063,'Tax Table'!$D$2:$D$2063)</f>
        <v/>
      </c>
      <c r="W84" s="2572">
        <f>LOOKUP(U84,'Tax Table'!$B$2:$B$2063,'Tax Table'!$E$2:$E$2063)</f>
        <v/>
      </c>
      <c r="X84" s="2572">
        <f>LOOKUP(U84,'Tax Table'!$B$2:$B$2063,'Tax Table'!$F$2:$F$2063)</f>
        <v/>
      </c>
      <c r="Y84" s="2573">
        <f>LOOKUP(U84,'Tax Table'!$B$2:$B$2063,'Tax Table'!$G$2:$G$2063)</f>
        <v/>
      </c>
      <c r="AC84" s="769" t="n"/>
    </row>
    <row r="85" ht="13.5" customHeight="1" s="7635" thickBot="1">
      <c r="A85" s="148" t="n"/>
      <c r="B85" s="2595" t="n"/>
      <c r="C85" s="11602" t="n"/>
      <c r="D85" s="2608" t="inlineStr">
        <is>
          <t>b.</t>
        </is>
      </c>
      <c r="E85" s="11403" t="inlineStr">
        <is>
          <t>Enter the total amount of any itemized deductions or exclusions you couldn't claim because they are</t>
        </is>
      </c>
      <c r="F85" s="11403" t="n"/>
      <c r="G85" s="11403" t="n"/>
      <c r="H85" s="2605" t="n"/>
      <c r="I85" s="2605" t="n"/>
      <c r="J85" s="2607" t="n"/>
      <c r="K85" s="2607" t="n"/>
      <c r="L85" s="7847" t="n"/>
      <c r="M85" s="7847" t="n"/>
      <c r="N85" s="7847" t="n"/>
      <c r="O85" s="90" t="n"/>
      <c r="P85" s="148" t="n"/>
      <c r="Q85" s="148" t="n"/>
      <c r="R85" s="148" t="n"/>
      <c r="S85" s="148" t="n"/>
      <c r="U85" s="4640" t="n"/>
      <c r="V85" s="2574">
        <f>IF(U84&lt;SectA_a2,"---",IF(U84&lt;=SectA_a3,ROUND(U84*(SectA_b3/100),0)-SectA_d3,IF(U84&lt;=SectA_a4,ROUND(U84*(SectA_b4/100),0)-SectA_d4,IF(U84&lt;=SectA_a5,ROUND(U84*(SectA_b5/100),0)-SectA_d5,IF(U84&lt;=SectA_a6,ROUND(U84*(SectA_b6/100),0)-SectA_d6,ROUND(U84*(SectA_b7/100),0)-SectA_d7)))))</f>
        <v/>
      </c>
      <c r="W85" s="2574">
        <f>IF(U84&lt;SectB_a2,"---",IF(U84&lt;=SectB_a3,ROUND(U84*(SectB_b3/100),0)-SectB_d3,IF(U84&lt;=SectB_a4,ROUND(U84*(SectB_b4/100),0)-SectB_d4,IF(U84&lt;=SectB_a5,ROUND(U84*(SectB_b5/100),0)-SectB_d5,IF(U84&lt;=SectB_a6,ROUND(U84*(SectB_b6/100),0)-SectB_d6,ROUND(U84*(SectB_b7/100),0)-SectB_d7)))))</f>
        <v/>
      </c>
      <c r="X85" s="2574">
        <f>IF(U84&lt;SectC_a1,"---",IF(U84&lt;=SectC_a2,ROUND(U84*(SectC_b2/100),0)-SectC_d2,IF(U84&lt;=SectC_a3,ROUND(U84*(SectC_b3/100),0)-SectC_d3,IF(U84&lt;=SectC_a4,ROUND(U84*(SectC_b4/100),0)-SectC_d4,IF(U84&lt;=SectC_a5,ROUND(U84*(SectC_b5/100),0)-SectC_d5,ROUND(U84*(SectC_b6/100),0)-SectC_d6)))))</f>
        <v/>
      </c>
      <c r="Y85" s="2575">
        <f>IF(U84&lt;SectD_a2,"---",IF(U84&lt;=SectD_a3,ROUND(U84*(SectD_b3/100),0)-SectD_d3,IF(U84&lt;=SectD_a4,ROUND(U84*(SectD_b4/100),0)-SectD_d4,IF(U84&lt;=SectD_a5,ROUND(U84*(SectD_b5/100),0)-SectD_d5,IF(U84&lt;=SectD_a6,ROUND(U84*(SectD_b6/100),0)-SectD_d6,ROUND(U84*(SectD_b7/100),0)-SectD_d7)))))</f>
        <v/>
      </c>
      <c r="AC85" s="769" t="n"/>
    </row>
    <row r="86" ht="13.5" customHeight="1" s="7635" thickBot="1">
      <c r="A86" s="148" t="n"/>
      <c r="B86" s="2595" t="n"/>
      <c r="C86" s="11602" t="n"/>
      <c r="D86" s="2608" t="n"/>
      <c r="E86" s="11403" t="inlineStr">
        <is>
          <t>related to excluded income</t>
        </is>
      </c>
      <c r="F86" s="11403" t="n"/>
      <c r="G86" s="11403" t="n"/>
      <c r="H86" s="2605" t="n"/>
      <c r="I86" s="2605" t="n"/>
      <c r="J86" s="2607" t="n"/>
      <c r="K86" s="2607" t="n"/>
      <c r="L86" s="248" t="inlineStr">
        <is>
          <t xml:space="preserve"> .    .    .    .    .    .    .    .    .    .    .    .    .    .    .    .    .    .    .    .    .    .    .    .    .    . </t>
        </is>
      </c>
      <c r="M86" s="2609" t="inlineStr">
        <is>
          <t>b.</t>
        </is>
      </c>
      <c r="N86" s="1302" t="n"/>
      <c r="O86" s="90" t="n"/>
      <c r="P86" s="148" t="n"/>
      <c r="Q86" s="148" t="n"/>
      <c r="R86" s="148" t="n"/>
      <c r="S86" s="148" t="n"/>
      <c r="U86" s="2576">
        <f>IF(File_Single&lt;&gt;"",V84,IF(File_Marr_Joint&lt;&gt;"",W84,IF(File_Marr_Sep&lt;&gt;"", X84,IF(File_Head&lt;&gt;"",Y84,IF(File_Qual_Widow&lt;&gt;"",W84,"Filing status?")))))</f>
        <v/>
      </c>
      <c r="V86" s="1061">
        <f>"&lt;100k"</f>
        <v/>
      </c>
      <c r="W86" s="1061" t="n"/>
      <c r="X86" s="1061" t="n"/>
      <c r="Y86" s="2577" t="n"/>
      <c r="AC86" s="769" t="n"/>
    </row>
    <row r="87" ht="13.5" customHeight="1" s="7635" thickBot="1">
      <c r="A87" s="148" t="n"/>
      <c r="B87" s="2595" t="n"/>
      <c r="C87" s="11602" t="n"/>
      <c r="D87" s="2608" t="inlineStr">
        <is>
          <t>c.</t>
        </is>
      </c>
      <c r="E87" s="11403" t="inlineStr">
        <is>
          <t>Subtract line 2b from line 2a. If zero or less, enter -0-</t>
        </is>
      </c>
      <c r="F87" s="11403" t="n"/>
      <c r="G87" s="11403" t="n"/>
      <c r="H87" s="2605" t="n"/>
      <c r="I87" s="2605" t="n"/>
      <c r="J87" s="2607" t="n"/>
      <c r="K87" s="2607" t="n"/>
      <c r="L87" s="248" t="inlineStr">
        <is>
          <t xml:space="preserve">.    .    .    .    .    .    .    .    .    .    .    .    .    .    .    .    .    .    . </t>
        </is>
      </c>
      <c r="M87" s="2609" t="inlineStr">
        <is>
          <t>c.</t>
        </is>
      </c>
      <c r="N87" s="7758">
        <f>IF(FEI_Tax_Worksheet,MAX(0,SUM(N84,-N86)),"")</f>
        <v/>
      </c>
      <c r="O87" s="90" t="n"/>
      <c r="P87" s="148" t="n"/>
      <c r="Q87" s="148" t="n"/>
      <c r="R87" s="148" t="n"/>
      <c r="S87" s="148" t="n"/>
      <c r="U87" s="2579">
        <f>IF(File_Single&lt;&gt;"",V85,IF(OR(File_Marr_Joint&lt;&gt;"",File_Qual_Widow&lt;&gt;""),W85,IF(File_Marr_Sep&lt;&gt;"", X85,IF(File_Head&lt;&gt;"",Y85,"Filing status?"))))</f>
        <v/>
      </c>
      <c r="V87" s="2580">
        <f>"&gt;=100k"</f>
        <v/>
      </c>
      <c r="W87" s="2580" t="n"/>
      <c r="X87" s="2580" t="inlineStr">
        <is>
          <t>Tax &gt;&gt;</t>
        </is>
      </c>
      <c r="Y87" s="2581">
        <f>IF(NumFileStatusBoxes=0,"FilingStatus?",IF(U84&gt;100000,ROUND(U87,0),ROUND(U86,0)))</f>
        <v/>
      </c>
      <c r="AC87" s="769" t="n"/>
    </row>
    <row r="88" ht="13.5" customHeight="1" s="7635" thickTop="1">
      <c r="A88" s="148" t="n"/>
      <c r="B88" s="2595" t="n"/>
      <c r="C88" s="11602" t="n"/>
      <c r="D88" s="2608" t="n"/>
      <c r="E88" s="11403" t="n"/>
      <c r="F88" s="11403" t="n"/>
      <c r="G88" s="11403" t="n"/>
      <c r="H88" s="2605" t="n"/>
      <c r="I88" s="2605" t="n"/>
      <c r="J88" s="2607" t="n"/>
      <c r="K88" s="2607" t="n"/>
      <c r="L88" s="7847" t="n"/>
      <c r="M88" s="7847" t="n"/>
      <c r="N88" s="7847" t="n"/>
      <c r="O88" s="90" t="n"/>
      <c r="P88" s="148" t="n"/>
      <c r="Q88" s="148" t="n"/>
      <c r="R88" s="148" t="n"/>
      <c r="S88" s="148" t="n"/>
      <c r="U88" s="2556" t="n"/>
      <c r="V88" s="2556" t="n"/>
      <c r="W88" s="2556" t="n"/>
      <c r="X88" s="2556" t="n"/>
      <c r="Y88" s="2556" t="n"/>
      <c r="AC88" s="769" t="n"/>
    </row>
    <row r="89" ht="13.5" customHeight="1" s="7635" thickBot="1">
      <c r="A89" s="148" t="n"/>
      <c r="B89" s="2595" t="n"/>
      <c r="C89" s="11602" t="n"/>
      <c r="D89" s="2608" t="inlineStr">
        <is>
          <t>3.</t>
        </is>
      </c>
      <c r="E89" s="11403" t="inlineStr">
        <is>
          <t>Add lines 1 and 2c</t>
        </is>
      </c>
      <c r="F89" s="11403" t="n"/>
      <c r="G89" s="11403" t="n"/>
      <c r="H89" s="2605" t="n"/>
      <c r="I89" s="2605" t="n"/>
      <c r="J89" s="2607" t="n"/>
      <c r="K89" s="2607" t="n"/>
      <c r="L89" s="248" t="inlineStr">
        <is>
          <t xml:space="preserve">.    .    .    .    .    .    .    .    .    .    .    .    .    .    .    .    .    .    .    .    .    .    .    .    .    .    .    .    .    . </t>
        </is>
      </c>
      <c r="M89" s="2609" t="inlineStr">
        <is>
          <t>3.</t>
        </is>
      </c>
      <c r="N89" s="7758">
        <f>IF(FEI_Tax_Worksheet,SUM(N82,N87),"")</f>
        <v/>
      </c>
      <c r="O89" s="90" t="n"/>
      <c r="P89" s="148" t="n"/>
      <c r="Q89" s="148" t="n"/>
      <c r="R89" s="148" t="n"/>
      <c r="S89" s="148" t="n"/>
      <c r="U89" s="2556" t="n"/>
      <c r="V89" s="2556" t="n"/>
      <c r="W89" s="2556" t="n"/>
      <c r="X89" s="2556" t="n"/>
      <c r="Y89" s="2556" t="n"/>
      <c r="AC89" s="769" t="n"/>
    </row>
    <row r="90">
      <c r="A90" s="148" t="n"/>
      <c r="B90" s="2595" t="n"/>
      <c r="C90" s="11602" t="n"/>
      <c r="D90" s="2608" t="n"/>
      <c r="E90" s="11403" t="n"/>
      <c r="F90" s="11403" t="n"/>
      <c r="G90" s="11403" t="n"/>
      <c r="H90" s="2605" t="n"/>
      <c r="I90" s="2605" t="n"/>
      <c r="J90" s="2607" t="n"/>
      <c r="K90" s="2607" t="n"/>
      <c r="L90" s="7847" t="n"/>
      <c r="M90" s="7847" t="n"/>
      <c r="N90" s="7847">
        <f>IF(N89="",0,N89)</f>
        <v/>
      </c>
      <c r="O90" s="90" t="n"/>
      <c r="P90" s="148" t="n"/>
      <c r="Q90" s="148" t="n"/>
      <c r="R90" s="148" t="n"/>
      <c r="S90" s="148" t="n"/>
      <c r="U90" s="2610" t="inlineStr">
        <is>
          <t>1.</t>
        </is>
      </c>
      <c r="V90" s="2611">
        <f>IF(OR(NOT(FEI_Tax_Worksheet),NOT(Y90)),"",IF(FEI_TW_Line3="",0,FEI_TW_Line3))</f>
        <v/>
      </c>
      <c r="W90" s="2612" t="inlineStr">
        <is>
          <t>FEITW, Line 3</t>
        </is>
      </c>
      <c r="X90" s="2506" t="n"/>
      <c r="Y90" s="2506">
        <f>CGTW</f>
        <v/>
      </c>
      <c r="Z90" s="2613" t="inlineStr">
        <is>
          <t>Qualified Dividends and</t>
        </is>
      </c>
      <c r="AA90" s="2614" t="n"/>
      <c r="AC90" s="769" t="n"/>
    </row>
    <row r="91">
      <c r="A91" s="148" t="n"/>
      <c r="B91" s="2595" t="n"/>
      <c r="C91" s="11602" t="n"/>
      <c r="D91" s="2608" t="inlineStr">
        <is>
          <t>4.</t>
        </is>
      </c>
      <c r="E91" s="11403" t="inlineStr">
        <is>
          <t>Figure the tax on the amount on line 3. Use the Tax Table, Tax Computation Worksheet,</t>
        </is>
      </c>
      <c r="F91" s="11403" t="n"/>
      <c r="G91" s="11403" t="n"/>
      <c r="H91" s="2605" t="n"/>
      <c r="I91" s="2605" t="n"/>
      <c r="J91" s="2607" t="n"/>
      <c r="K91" s="2607" t="n"/>
      <c r="L91" s="7847" t="n"/>
      <c r="M91" s="7847" t="n"/>
      <c r="N91" s="7847" t="n"/>
      <c r="O91" s="90" t="n"/>
      <c r="P91" s="148" t="n"/>
      <c r="Q91" s="148" t="n"/>
      <c r="R91" s="148" t="n"/>
      <c r="S91" s="148" t="n"/>
      <c r="U91" s="2618" t="inlineStr">
        <is>
          <t>2.</t>
        </is>
      </c>
      <c r="V91" s="2615">
        <f>Qualified_Dividends</f>
        <v/>
      </c>
      <c r="W91" s="8648" t="inlineStr">
        <is>
          <t>Amount from Form 1040, Line 3a.</t>
        </is>
      </c>
      <c r="Z91" s="8043" t="n"/>
      <c r="AA91" s="2616" t="inlineStr">
        <is>
          <t>Capital Gain Tax Worksheet</t>
        </is>
      </c>
      <c r="AC91" s="769" t="n"/>
    </row>
    <row r="92">
      <c r="A92" s="148" t="n"/>
      <c r="B92" s="2595" t="n"/>
      <c r="C92" s="11602" t="n"/>
      <c r="D92" s="2608" t="n"/>
      <c r="E92" s="11403" t="inlineStr">
        <is>
          <t>Qualified Dividends and Capital Gain Tax Worksheet*, Schedule D Tax Worksheet*, or Form 8615</t>
        </is>
      </c>
      <c r="F92" s="11403" t="n"/>
      <c r="G92" s="11403" t="n"/>
      <c r="H92" s="2605" t="n"/>
      <c r="I92" s="2605" t="n"/>
      <c r="J92" s="2607" t="n"/>
      <c r="K92" s="2607" t="n"/>
      <c r="L92" s="7847" t="n"/>
      <c r="M92" s="7847" t="n"/>
      <c r="N92" s="7984">
        <f>IF(R95&lt;&gt;"","Manual override",IF(NOT(FEI_Tax_Worksheet),"",IF(AND(U78&gt;100000,Y82),"Tax Formula",IF(Y82,"Tax Table",IF(Z173,"Sch. D Tax Worksheet",IF(AA115,"Qualified Div &amp; Capital Gain Tax Worksheet",""))))))</f>
        <v/>
      </c>
      <c r="O92" s="90" t="n"/>
      <c r="P92" s="148" t="n"/>
      <c r="Q92" s="148" t="n"/>
      <c r="R92" s="148" t="n"/>
      <c r="S92" s="148" t="n"/>
      <c r="U92" s="2618" t="inlineStr">
        <is>
          <t>3.</t>
        </is>
      </c>
      <c r="V92" s="2615">
        <f>IF(NOT(FilingScheduleD),CapitalGains,IF(OR(SchDLine15="",SchDLine15&lt;=0,SchDLine16="",SchDLine16&lt;=0),0,MIN(SchDLine15,SchDLine16)))</f>
        <v/>
      </c>
      <c r="W92" s="8648" t="inlineStr">
        <is>
          <t>Amount from Form 1040, Line 7, or smallest of Sch. D, Line 15 or 16.</t>
        </is>
      </c>
      <c r="AA92" s="1066" t="n"/>
      <c r="AC92" s="769" t="n"/>
    </row>
    <row r="93" ht="13.5" customHeight="1" s="7635">
      <c r="A93" s="148" t="n"/>
      <c r="B93" s="2595" t="n"/>
      <c r="C93" s="11602" t="n"/>
      <c r="D93" s="2608" t="n"/>
      <c r="E93" s="2617" t="inlineStr">
        <is>
          <t>whichever applies. See the instructions for Form 1040 or 1040-SR, line 16 to see which tax</t>
        </is>
      </c>
      <c r="F93" s="11403" t="n"/>
      <c r="G93" s="11403" t="n"/>
      <c r="H93" s="2605" t="n"/>
      <c r="I93" s="2605" t="n"/>
      <c r="J93" s="2607" t="n"/>
      <c r="K93" s="2607" t="n"/>
      <c r="L93" s="7847" t="n"/>
      <c r="M93" s="7847" t="n"/>
      <c r="O93" s="90" t="n"/>
      <c r="P93" s="148" t="n"/>
      <c r="Q93" s="148" t="n"/>
      <c r="R93" s="148" t="n"/>
      <c r="S93" s="148" t="n"/>
      <c r="U93" s="2618" t="inlineStr">
        <is>
          <t>4.</t>
        </is>
      </c>
      <c r="V93" s="801">
        <f>SUM(V91,V92)</f>
        <v/>
      </c>
      <c r="W93" s="8648" t="inlineStr">
        <is>
          <t>Sum of Lines 2 and 3.</t>
        </is>
      </c>
      <c r="AA93" s="1066" t="n"/>
      <c r="AC93" s="769" t="n"/>
    </row>
    <row r="94" ht="13.5" customHeight="1" s="7635" thickBot="1">
      <c r="A94" s="148" t="n"/>
      <c r="B94" s="2595" t="n"/>
      <c r="C94" s="11602" t="n"/>
      <c r="D94" s="2608" t="n"/>
      <c r="E94" s="11403" t="inlineStr">
        <is>
          <t>computation method applies. (Do not use a second Foreign Earned Income Tax Worksheet to figure</t>
        </is>
      </c>
      <c r="F94" s="11403" t="n"/>
      <c r="G94" s="11403" t="n"/>
      <c r="H94" s="2605" t="n"/>
      <c r="I94" s="2605" t="n"/>
      <c r="J94" s="2607" t="n"/>
      <c r="K94" s="2607" t="n"/>
      <c r="L94" s="7847" t="n"/>
      <c r="M94" s="7847" t="n"/>
      <c r="O94" s="90" t="n"/>
      <c r="P94" s="148" t="n"/>
      <c r="Q94" s="148" t="n"/>
      <c r="R94" s="148" t="n"/>
      <c r="S94" s="148" t="n"/>
      <c r="U94" s="2618" t="inlineStr">
        <is>
          <t>5.</t>
        </is>
      </c>
      <c r="V94" s="801">
        <f>MAX(0,SUM(V90,-V93))</f>
        <v/>
      </c>
      <c r="W94" s="2619" t="inlineStr">
        <is>
          <t>V89</t>
        </is>
      </c>
      <c r="X94" s="7453" t="inlineStr">
        <is>
          <t>Single</t>
        </is>
      </c>
      <c r="Y94" s="7453" t="inlineStr">
        <is>
          <t>MFJ/QW</t>
        </is>
      </c>
      <c r="Z94" s="7453" t="inlineStr">
        <is>
          <t>MFS</t>
        </is>
      </c>
      <c r="AA94" s="7981" t="inlineStr">
        <is>
          <t>HOH</t>
        </is>
      </c>
      <c r="AC94" s="769" t="n"/>
    </row>
    <row r="95" ht="14.25" customHeight="1" s="7635" thickBot="1" thickTop="1">
      <c r="A95" s="148" t="n"/>
      <c r="B95" s="2595" t="n"/>
      <c r="C95" s="11602" t="n"/>
      <c r="D95" s="2608" t="n"/>
      <c r="E95" s="11403" t="inlineStr">
        <is>
          <t>the tax on this line)</t>
        </is>
      </c>
      <c r="F95" s="11403" t="n"/>
      <c r="G95" s="11403" t="n"/>
      <c r="H95" s="2605" t="n"/>
      <c r="I95" s="2605" t="n"/>
      <c r="J95" s="2607" t="n"/>
      <c r="K95" s="2607" t="n"/>
      <c r="L95" s="248" t="inlineStr">
        <is>
          <t xml:space="preserve">.    .    .    .    .    .    .    .    .    .    .    .    .    .    .    .    .    .    .    .    .    .    .    .    .    .    .    .    . </t>
        </is>
      </c>
      <c r="M95" s="2609" t="inlineStr">
        <is>
          <t>4.</t>
        </is>
      </c>
      <c r="N95" s="7758">
        <f>IF(R95&lt;&gt;"",ROUND(R95,0),IF(NOT(FEI_Tax_Worksheet),"",IF(AND(U78&gt;100000,Y82),U81,IF(Y82,U80,IF(Z173,X173,IF(AA115,V114,""))))))</f>
        <v/>
      </c>
      <c r="O95" s="90" t="n"/>
      <c r="P95" s="148" t="n"/>
      <c r="Q95" s="148" t="n"/>
      <c r="R95" s="947" t="n"/>
      <c r="S95" s="148" t="n"/>
      <c r="U95" s="2618" t="inlineStr">
        <is>
          <t>6.</t>
        </is>
      </c>
      <c r="V95" s="801">
        <f>IF(OR(File_Single&lt;&gt;"",File_Marr_Sep&lt;&gt;""),CGTW_Line6_SMFS,IF(OR(File_Marr_Joint&lt;&gt;"",File_Qual_Widow&lt;&gt;""),CGTW_Line6_MFJQW,IF(File_Head&lt;&gt;"",CGTW_Line6_HOH,"")))</f>
        <v/>
      </c>
      <c r="W95" s="5358">
        <f>V90</f>
        <v/>
      </c>
      <c r="X95" s="2572">
        <f>LOOKUP(W95,'Tax Table'!$B$2:$B$2063,'Tax Table'!$D$2:$D$2063)</f>
        <v/>
      </c>
      <c r="Y95" s="2572">
        <f>LOOKUP(W95,'Tax Table'!$B$2:$B$2063,'Tax Table'!$E$2:$E$2063)</f>
        <v/>
      </c>
      <c r="Z95" s="2572">
        <f>LOOKUP(W95,'Tax Table'!$B$2:$B$2063,'Tax Table'!$F$2:$F$2063)</f>
        <v/>
      </c>
      <c r="AA95" s="2573">
        <f>LOOKUP(W95,'Tax Table'!$B$2:$B$2063,'Tax Table'!$G$2:$G$2063)</f>
        <v/>
      </c>
      <c r="AC95" s="769" t="n"/>
    </row>
    <row r="96" ht="13.5" customHeight="1" s="7635" thickBot="1">
      <c r="A96" s="148" t="n"/>
      <c r="B96" s="2595" t="n"/>
      <c r="C96" s="11602" t="n"/>
      <c r="D96" s="2608" t="n"/>
      <c r="E96" s="11403" t="n"/>
      <c r="F96" s="11403" t="n"/>
      <c r="G96" s="11403" t="n"/>
      <c r="H96" s="2605" t="n"/>
      <c r="I96" s="2605" t="n"/>
      <c r="J96" s="2607" t="n"/>
      <c r="K96" s="2607" t="n"/>
      <c r="L96" s="7847" t="n"/>
      <c r="M96" s="7847" t="n"/>
      <c r="N96" s="7847" t="n"/>
      <c r="O96" s="90" t="n"/>
      <c r="P96" s="148" t="n"/>
      <c r="Q96" s="148" t="n"/>
      <c r="R96" s="148" t="n"/>
      <c r="S96" s="148" t="n"/>
      <c r="U96" s="2618" t="inlineStr">
        <is>
          <t>7.</t>
        </is>
      </c>
      <c r="V96" s="801">
        <f>MIN(V90,V95)</f>
        <v/>
      </c>
      <c r="W96" s="4640" t="n"/>
      <c r="X96" s="2574">
        <f>IF(W95&lt;SectA_a2,"---",IF(W95&lt;=SectA_a3,ROUND(W95*(SectA_b3/100),0)-SectA_d3,IF(W95&lt;=SectA_a4,ROUND(W95*(SectA_b4/100),0)-SectA_d4,IF(W95&lt;=SectA_a5,ROUND(W95*(SectA_b5/100),0)-SectA_d5,IF(W95&lt;=SectA_a6,ROUND(W95*(SectA_b6/100),0)-SectA_d6,ROUND(W95*(SectA_b7/100),0)-SectA_d7)))))</f>
        <v/>
      </c>
      <c r="Y96" s="2574">
        <f>IF(W95&lt;SectB_a2,"---",IF(W95&lt;=SectB_a3,ROUND(W95*(SectB_b3/100),0)-SectB_d3,IF(W95&lt;=SectB_a4,ROUND(W95*(SectB_b4/100),0)-SectB_d4,IF(W95&lt;=SectB_a5,ROUND(W95*(SectB_b5/100),0)-SectB_d5,IF(W95&lt;=SectB_a6,ROUND(W95*(SectB_b6/100),0)-SectB_d6,ROUND(W95*(SectB_b7/100),0)-SectB_d7)))))</f>
        <v/>
      </c>
      <c r="Z96" s="2574">
        <f>IF(W95&lt;SectC_a1,"---",IF(W95&lt;=SectC_a2,ROUND(W95*(SectC_b2/100),0)-SectC_d2,IF(W95&lt;=SectC_a3,ROUND(W95*(SectC_b3/100),0)-SectC_d3,IF(W95&lt;=SectC_a4,ROUND(W95*(SectC_b4/100),0)-SectC_d4,IF(W95&lt;=SectC_a5,ROUND(W95*(SectC_b5/100),0)-SectC_d5,ROUND(W95*(SectC_b6/100),0)-SectC_d6)))))</f>
        <v/>
      </c>
      <c r="AA96" s="2575">
        <f>IF(W95&lt;SectD_a2,"---",IF(W95&lt;=SectD_a3,ROUND(W95*(SectD_b3/100),0)-SectD_d3,IF(W95&lt;=SectD_a4,ROUND(W95*(SectD_b4/100),0)-SectD_d4,IF(W95&lt;=SectD_a5,ROUND(W95*(SectD_b5/100),0)-SectD_d5,IF(W95&lt;=SectD_a6,ROUND(W95*(SectD_b6/100),0)-SectD_d6,ROUND(W95*(SectD_b7/100),0)-SectD_d7)))))</f>
        <v/>
      </c>
      <c r="AC96" s="769" t="n"/>
    </row>
    <row r="97" ht="13.5" customHeight="1" s="7635" thickBot="1">
      <c r="A97" s="148" t="n"/>
      <c r="B97" s="2595" t="n"/>
      <c r="C97" s="11602" t="n"/>
      <c r="D97" s="2608" t="inlineStr">
        <is>
          <t>5.</t>
        </is>
      </c>
      <c r="E97" s="11403" t="inlineStr">
        <is>
          <t>Figure the tax on the amount on line 2c. If the amount on line 2c is less than $100,000, use the</t>
        </is>
      </c>
      <c r="F97" s="11403" t="n"/>
      <c r="G97" s="11403" t="n"/>
      <c r="H97" s="2605" t="n"/>
      <c r="I97" s="2605" t="n"/>
      <c r="J97" s="2607" t="n"/>
      <c r="K97" s="2607" t="n"/>
      <c r="L97" s="7847" t="n"/>
      <c r="M97" s="7847" t="n"/>
      <c r="N97" s="7847" t="n"/>
      <c r="O97" s="90" t="n"/>
      <c r="P97" s="148" t="n"/>
      <c r="Q97" s="148" t="n"/>
      <c r="R97" s="148" t="n"/>
      <c r="S97" s="148" t="n"/>
      <c r="U97" s="2618" t="inlineStr">
        <is>
          <t>8.</t>
        </is>
      </c>
      <c r="V97" s="801">
        <f>MIN(V94,V96)</f>
        <v/>
      </c>
      <c r="W97" s="2576">
        <f>IF(File_Single&lt;&gt;"",X95,IF(File_Marr_Joint&lt;&gt;"",Y95,IF(File_Marr_Sep&lt;&gt;"", Z95,IF(File_Head&lt;&gt;"",AA95,IF(File_Qual_Widow&lt;&gt;"",Y95,"Filing status?")))))</f>
        <v/>
      </c>
      <c r="X97" s="1061">
        <f>"&lt;100k"</f>
        <v/>
      </c>
      <c r="Y97" s="1061" t="n"/>
      <c r="Z97" s="1061" t="n"/>
      <c r="AA97" s="2577" t="n"/>
      <c r="AC97" s="769" t="n"/>
    </row>
    <row r="98" ht="13.5" customHeight="1" s="7635" thickBot="1">
      <c r="A98" s="148" t="n"/>
      <c r="B98" s="2595" t="n"/>
      <c r="C98" s="11602" t="n"/>
      <c r="D98" s="2608" t="n"/>
      <c r="E98" s="11403" t="inlineStr">
        <is>
          <t>Tax Table to figure this tax. If the amount on line 2c is $100,000 or more, use the Tax Computation</t>
        </is>
      </c>
      <c r="F98" s="11403" t="n"/>
      <c r="G98" s="11403" t="n"/>
      <c r="H98" s="2605" t="n"/>
      <c r="I98" s="2605" t="n"/>
      <c r="J98" s="2607" t="n"/>
      <c r="K98" s="2607" t="n"/>
      <c r="L98" s="7847" t="n"/>
      <c r="M98" s="7847" t="n"/>
      <c r="N98" s="7847" t="n"/>
      <c r="O98" s="90" t="n"/>
      <c r="P98" s="148" t="n"/>
      <c r="Q98" s="148" t="n"/>
      <c r="R98" s="148" t="n"/>
      <c r="S98" s="148" t="n"/>
      <c r="U98" s="2618" t="inlineStr">
        <is>
          <t>9.</t>
        </is>
      </c>
      <c r="V98" s="801">
        <f>SUM(V96,-V97)</f>
        <v/>
      </c>
      <c r="W98" s="2579">
        <f>IF(File_Single&lt;&gt;"",X96,IF(OR(File_Marr_Joint&lt;&gt;"",File_Qual_Widow&lt;&gt;""),Y96,IF(File_Marr_Sep&lt;&gt;"", Z96,IF(File_Head&lt;&gt;"",AA96,"Filing status?"))))</f>
        <v/>
      </c>
      <c r="X98" s="2580">
        <f>"&gt;=100k"</f>
        <v/>
      </c>
      <c r="Y98" s="2580" t="n"/>
      <c r="Z98" s="2580" t="inlineStr">
        <is>
          <t>Tax &gt;&gt;</t>
        </is>
      </c>
      <c r="AA98" s="2581">
        <f>IF(NumFileStatusBoxes=0,"FilingStatus?",IF(W95&gt;100000,ROUND(W98,0),ROUND(W97,0)))</f>
        <v/>
      </c>
      <c r="AC98" s="769" t="n"/>
    </row>
    <row r="99" ht="13.5" customHeight="1" s="7635" thickTop="1">
      <c r="A99" s="148" t="n"/>
      <c r="B99" s="2595" t="n"/>
      <c r="C99" s="11602" t="n"/>
      <c r="D99" s="2608" t="n"/>
      <c r="E99" s="11403" t="inlineStr">
        <is>
          <t>Worksheet</t>
        </is>
      </c>
      <c r="F99" s="11403" t="n"/>
      <c r="G99" s="11403" t="n"/>
      <c r="H99" s="2605" t="n"/>
      <c r="I99" s="2605" t="n"/>
      <c r="J99" s="2607" t="n"/>
      <c r="K99" s="2607" t="n"/>
      <c r="L99" s="248" t="inlineStr">
        <is>
          <t xml:space="preserve">.    .    .    .    .    .    .    .    .    .    .    .    .    .    .    .    .    .    .    .    .    .    .    .    .    .    .    .    .    .    .    . </t>
        </is>
      </c>
      <c r="M99" s="2609" t="inlineStr">
        <is>
          <t>5.</t>
        </is>
      </c>
      <c r="N99" s="7758">
        <f>IF(R99&lt;&gt;"",ROUND(R99,0),IF(FEI_Tax_Worksheet,Y87,""))</f>
        <v/>
      </c>
      <c r="O99" s="90" t="n"/>
      <c r="P99" s="148" t="n"/>
      <c r="Q99" s="148" t="n"/>
      <c r="R99" s="947" t="n"/>
      <c r="S99" s="148" t="n"/>
      <c r="U99" s="2618" t="inlineStr">
        <is>
          <t>10.</t>
        </is>
      </c>
      <c r="V99" s="801">
        <f>MIN(V90,V93)</f>
        <v/>
      </c>
      <c r="AA99" s="2620" t="inlineStr">
        <is>
          <t>Line 26</t>
        </is>
      </c>
      <c r="AC99" s="769" t="n"/>
    </row>
    <row r="100">
      <c r="A100" s="148" t="n"/>
      <c r="B100" s="2595" t="n"/>
      <c r="C100" s="11602" t="n"/>
      <c r="D100" s="2608" t="n"/>
      <c r="E100" s="11403" t="n"/>
      <c r="F100" s="11403" t="n"/>
      <c r="G100" s="11403" t="n"/>
      <c r="H100" s="2605" t="n"/>
      <c r="I100" s="2605" t="n"/>
      <c r="J100" s="2607" t="n"/>
      <c r="K100" s="2607" t="n"/>
      <c r="L100" s="7847" t="n"/>
      <c r="M100" s="7847" t="n"/>
      <c r="N100" s="7847" t="n"/>
      <c r="O100" s="90" t="n"/>
      <c r="P100" s="148" t="n"/>
      <c r="Q100" s="148" t="n"/>
      <c r="R100" s="148" t="n"/>
      <c r="S100" s="148" t="n"/>
      <c r="U100" s="2618" t="inlineStr">
        <is>
          <t>11.</t>
        </is>
      </c>
      <c r="V100" s="801">
        <f>V98</f>
        <v/>
      </c>
      <c r="AA100" s="1066" t="n"/>
    </row>
    <row r="101">
      <c r="A101" s="148" t="n"/>
      <c r="B101" s="2595" t="n"/>
      <c r="C101" s="11602" t="n"/>
      <c r="D101" s="2608" t="inlineStr">
        <is>
          <t>6.</t>
        </is>
      </c>
      <c r="E101" s="11403" t="inlineStr">
        <is>
          <t>Subtract line 5 from line 4. Enter the result. If zero or less, enter -0-. Also include this amount on</t>
        </is>
      </c>
      <c r="F101" s="11403" t="n"/>
      <c r="G101" s="11403" t="n"/>
      <c r="H101" s="2605" t="n"/>
      <c r="I101" s="2605" t="n"/>
      <c r="J101" s="2607" t="n"/>
      <c r="K101" s="2607" t="n"/>
      <c r="L101" s="7847" t="n"/>
      <c r="M101" s="7847" t="n"/>
      <c r="N101" s="7847" t="n"/>
      <c r="O101" s="90" t="n"/>
      <c r="P101" s="148" t="n"/>
      <c r="Q101" s="148" t="n"/>
      <c r="R101" s="148" t="n"/>
      <c r="S101" s="148" t="n"/>
      <c r="U101" s="2618" t="inlineStr">
        <is>
          <t>12.</t>
        </is>
      </c>
      <c r="V101" s="801">
        <f>SUM(V99,-V100)</f>
        <v/>
      </c>
      <c r="AA101" s="1066" t="n"/>
    </row>
    <row r="102" ht="13.5" customHeight="1" s="7635" thickBot="1">
      <c r="A102" s="148" t="n"/>
      <c r="B102" s="2595" t="n"/>
      <c r="C102" s="11602" t="n"/>
      <c r="D102" s="2608" t="n"/>
      <c r="E102" s="11403" t="inlineStr">
        <is>
          <t>Form 1040 or 1040-SR, line 16</t>
        </is>
      </c>
      <c r="F102" s="11403" t="n"/>
      <c r="G102" s="11403" t="n"/>
      <c r="H102" s="2605" t="n"/>
      <c r="I102" s="2605" t="n"/>
      <c r="J102" s="2607" t="n"/>
      <c r="K102" s="2607" t="n"/>
      <c r="L102" s="248" t="inlineStr">
        <is>
          <t xml:space="preserve">.    .    .    .    .    .    .    .    .    .    .    .    .    .    .    .    .    .    .    .    .    .    .    .    . </t>
        </is>
      </c>
      <c r="M102" s="2609" t="inlineStr">
        <is>
          <t>6.</t>
        </is>
      </c>
      <c r="N102" s="7758">
        <f>IF(R102&lt;&gt;"",ROUND(R102,0),IF(FEI_Tax_Worksheet,MAX(0,SUM(N95,-N99)),""))</f>
        <v/>
      </c>
      <c r="O102" s="90" t="n"/>
      <c r="P102" s="148" t="n"/>
      <c r="Q102" s="148" t="n"/>
      <c r="R102" s="947" t="n"/>
      <c r="S102" s="148" t="n"/>
      <c r="U102" s="2618" t="inlineStr">
        <is>
          <t>13.</t>
        </is>
      </c>
      <c r="V102" s="801">
        <f>IF(File_Single&lt;&gt;"",CGTW_Line13_Single,IF(File_Marr_Sep&lt;&gt;"",CGTW_Line13_MFS,IF(OR(File_Marr_Joint&lt;&gt;"",File_Qual_Widow&lt;&gt;""),CGTW_Line13_MFJQW,IF(File_Head&lt;&gt;"",CGTW_Line13_HOH,""))))</f>
        <v/>
      </c>
      <c r="W102" s="2619" t="inlineStr">
        <is>
          <t>V93</t>
        </is>
      </c>
      <c r="X102" s="7453" t="inlineStr">
        <is>
          <t>Single</t>
        </is>
      </c>
      <c r="Y102" s="7453" t="inlineStr">
        <is>
          <t>MFJ/QW</t>
        </is>
      </c>
      <c r="Z102" s="7453" t="inlineStr">
        <is>
          <t>MFS</t>
        </is>
      </c>
      <c r="AA102" s="7981" t="inlineStr">
        <is>
          <t>HOH</t>
        </is>
      </c>
    </row>
    <row r="103" ht="14.25" customHeight="1" s="7635" thickBot="1" thickTop="1">
      <c r="A103" s="148" t="n"/>
      <c r="B103" s="2595" t="n"/>
      <c r="C103" s="11602" t="n"/>
      <c r="D103" s="2608" t="n"/>
      <c r="E103" s="220" t="n"/>
      <c r="F103" s="11403" t="n"/>
      <c r="G103" s="11403" t="n"/>
      <c r="H103" s="11403" t="n"/>
      <c r="I103" s="2605" t="n"/>
      <c r="J103" s="2607" t="n"/>
      <c r="K103" s="2607" t="n"/>
      <c r="L103" s="7847" t="n"/>
      <c r="M103" s="7847" t="n"/>
      <c r="N103" s="7847" t="n"/>
      <c r="O103" s="90" t="n"/>
      <c r="P103" s="148" t="n"/>
      <c r="Q103" s="148" t="n"/>
      <c r="R103" s="148" t="n"/>
      <c r="S103" s="148" t="n"/>
      <c r="U103" s="2618" t="inlineStr">
        <is>
          <t>14.</t>
        </is>
      </c>
      <c r="V103" s="801">
        <f>MIN(V90,V102)</f>
        <v/>
      </c>
      <c r="W103" s="5358">
        <f>V94</f>
        <v/>
      </c>
      <c r="X103" s="2572">
        <f>LOOKUP(W103,'Tax Table'!$B$2:$B$2063,'Tax Table'!$D$2:$D$2063)</f>
        <v/>
      </c>
      <c r="Y103" s="2572">
        <f>LOOKUP(W103,'Tax Table'!$B$2:$B$2063,'Tax Table'!$E$2:$E$2063)</f>
        <v/>
      </c>
      <c r="Z103" s="2572">
        <f>LOOKUP(W103,'Tax Table'!$B$2:$B$2063,'Tax Table'!$F$2:$F$2063)</f>
        <v/>
      </c>
      <c r="AA103" s="2573">
        <f>LOOKUP(W103,'Tax Table'!$B$2:$B$2063,'Tax Table'!$G$2:$G$2063)</f>
        <v/>
      </c>
    </row>
    <row r="104" ht="13.5" customHeight="1" s="7635" thickBot="1">
      <c r="A104" s="2621" t="n"/>
      <c r="B104" s="2622" t="inlineStr">
        <is>
          <t>*Enter the amount from line 3 above on line 1 of the Qualified Dividends and Capital Gain Tax Worksheet or Schedule D Tax Worksheet if you</t>
        </is>
      </c>
      <c r="C104" s="2595" t="n"/>
      <c r="D104" s="11602" t="n"/>
      <c r="E104" s="11403" t="n"/>
      <c r="F104" s="11403" t="n"/>
      <c r="G104" s="11403" t="n"/>
      <c r="H104" s="2605" t="n"/>
      <c r="I104" s="2607" t="n"/>
      <c r="J104" s="2607" t="n"/>
      <c r="K104" s="2607" t="n"/>
      <c r="L104" s="7847" t="n"/>
      <c r="M104" s="7847" t="n"/>
      <c r="N104" s="7847" t="n"/>
      <c r="O104" s="90" t="n"/>
      <c r="P104" s="148" t="n"/>
      <c r="Q104" s="148" t="n"/>
      <c r="R104" s="148" t="n"/>
      <c r="S104" s="148" t="n"/>
      <c r="U104" s="2618" t="inlineStr">
        <is>
          <t>15.</t>
        </is>
      </c>
      <c r="V104" s="801">
        <f>SUM(V94,V98)</f>
        <v/>
      </c>
      <c r="W104" s="4640" t="n"/>
      <c r="X104" s="2574">
        <f>IF(W103&lt;SectA_a2,"---",IF(W103&lt;=SectA_a3,ROUND(W103*(SectA_b3/100),0)-SectA_d3,IF(W103&lt;=SectA_a4,ROUND(W103*(SectA_b4/100),0)-SectA_d4,IF(W103&lt;=SectA_a5,ROUND(W103*(SectA_b5/100),0)-SectA_d5,IF(W103&lt;=SectA_a6,ROUND(W103*(SectA_b6/100),0)-SectA_d6,ROUND(W103*(SectA_b7/100),0)-SectA_d7)))))</f>
        <v/>
      </c>
      <c r="Y104" s="2574">
        <f>IF(W103&lt;SectB_a2,"---",IF(W103&lt;=SectB_a3,ROUND(W103*(SectB_b3/100),0)-SectB_d3,IF(W103&lt;=SectB_a4,ROUND(W103*(SectB_b4/100),0)-SectB_d4,IF(W103&lt;=SectB_a5,ROUND(W103*(SectB_b5/100),0)-SectB_d5,IF(W103&lt;=SectB_a6,ROUND(W103*(SectB_b6/100),0)-SectB_d6,ROUND(W103*(SectB_b7/100),0)-SectB_d7)))))</f>
        <v/>
      </c>
      <c r="Z104" s="2574">
        <f>IF(W103&lt;SectC_a1,"---",IF(W103&lt;=SectC_a2,ROUND(W103*(SectC_b2/100),0)-SectC_d2,IF(W103&lt;=SectC_a3,ROUND(W103*(SectC_b3/100),0)-SectC_d3,IF(W103&lt;=SectC_a4,ROUND(W103*(SectC_b4/100),0)-SectC_d4,IF(W103&lt;=SectC_a5,ROUND(W103*(SectC_b5/100),0)-SectC_d5,ROUND(W103*(SectC_b6/100),0)-SectC_d6)))))</f>
        <v/>
      </c>
      <c r="AA104" s="2575">
        <f>IF(W103&lt;SectD_a2,"---",IF(W103&lt;=SectD_a3,ROUND(W103*(SectD_b3/100),0)-SectD_d3,IF(W103&lt;=SectD_a4,ROUND(W103*(SectD_b4/100),0)-SectD_d4,IF(W103&lt;=SectD_a5,ROUND(W103*(SectD_b5/100),0)-SectD_d5,IF(W103&lt;=SectD_a6,ROUND(W103*(SectD_b6/100),0)-SectD_d6,ROUND(W103*(SectD_b7/100),0)-SectD_d7)))))</f>
        <v/>
      </c>
    </row>
    <row r="105" ht="13.5" customHeight="1" s="7635" thickBot="1">
      <c r="A105" s="2621" t="n"/>
      <c r="B105" s="2622" t="inlineStr">
        <is>
          <t>use either of those worksheets to figure the tax on line 4 above. Complete the rest of that worksheet through line 6 (line 10 if you use the</t>
        </is>
      </c>
      <c r="C105" s="2595" t="n"/>
      <c r="D105" s="11602" t="n"/>
      <c r="E105" s="11403" t="n"/>
      <c r="F105" s="11403" t="n"/>
      <c r="G105" s="11403" t="n"/>
      <c r="H105" s="2605" t="n"/>
      <c r="I105" s="2607" t="n"/>
      <c r="J105" s="2607" t="n"/>
      <c r="K105" s="2607" t="n"/>
      <c r="L105" s="7847" t="n"/>
      <c r="M105" s="7847" t="n"/>
      <c r="N105" s="7847" t="n"/>
      <c r="O105" s="90" t="n"/>
      <c r="P105" s="148" t="n"/>
      <c r="Q105" s="148" t="n"/>
      <c r="R105" s="148" t="n"/>
      <c r="S105" s="148" t="n"/>
      <c r="U105" s="2618" t="inlineStr">
        <is>
          <t>16.</t>
        </is>
      </c>
      <c r="V105" s="801">
        <f>MAX(0,SUM(V103,-V104))</f>
        <v/>
      </c>
      <c r="W105" s="2576">
        <f>IF(File_Single&lt;&gt;"",X103,IF(File_Marr_Joint&lt;&gt;"",Y103,IF(File_Marr_Sep&lt;&gt;"", Z103,IF(File_Head&lt;&gt;"",AA103,IF(File_Qual_Widow&lt;&gt;"",Y103,"Filing status?")))))</f>
        <v/>
      </c>
      <c r="X105" s="1061">
        <f>"&lt;100k"</f>
        <v/>
      </c>
      <c r="Y105" s="1061" t="n"/>
      <c r="Z105" s="1061" t="n"/>
      <c r="AA105" s="2577" t="n"/>
    </row>
    <row r="106" ht="13.5" customHeight="1" s="7635" thickBot="1">
      <c r="A106" s="2621" t="n"/>
      <c r="B106" s="2622" t="inlineStr">
        <is>
          <t>Schedule D Tax Worksheet). Next, you must determine if you have a capital gain excess. To find out if you have a capital gain excess, subtract</t>
        </is>
      </c>
      <c r="C106" s="2595" t="n"/>
      <c r="D106" s="11602" t="n"/>
      <c r="E106" s="11403" t="n"/>
      <c r="F106" s="11403" t="n"/>
      <c r="G106" s="11403" t="n"/>
      <c r="H106" s="2605" t="n"/>
      <c r="I106" s="2607" t="n"/>
      <c r="J106" s="2607" t="n"/>
      <c r="K106" s="2607" t="n"/>
      <c r="L106" s="7847" t="n"/>
      <c r="M106" s="7847" t="n"/>
      <c r="N106" s="7847" t="n"/>
      <c r="O106" s="90" t="n"/>
      <c r="P106" s="148" t="n"/>
      <c r="Q106" s="148" t="n"/>
      <c r="R106" s="148" t="n"/>
      <c r="S106" s="148" t="n"/>
      <c r="U106" s="2618" t="inlineStr">
        <is>
          <t>17.</t>
        </is>
      </c>
      <c r="V106" s="801">
        <f>MIN(V101,V105)</f>
        <v/>
      </c>
      <c r="W106" s="2579">
        <f>IF(File_Single&lt;&gt;"",X104,IF(OR(File_Marr_Joint&lt;&gt;"",File_Qual_Widow&lt;&gt;""),Y104,IF(File_Marr_Sep&lt;&gt;"", Z104,IF(File_Head&lt;&gt;"",AA104,"Filing status?"))))</f>
        <v/>
      </c>
      <c r="X106" s="2580">
        <f>"&gt;=100k"</f>
        <v/>
      </c>
      <c r="Y106" s="2580" t="n"/>
      <c r="Z106" s="2580" t="inlineStr">
        <is>
          <t>Tax &gt;&gt;</t>
        </is>
      </c>
      <c r="AA106" s="2581">
        <f>IF(NumFileStatusBoxes=0,"FilingStatus?",IF(W103&gt;100000,ROUND(W106,0),ROUND(W105,0)))</f>
        <v/>
      </c>
    </row>
    <row r="107" ht="13.5" customHeight="1" s="7635" thickTop="1">
      <c r="A107" s="2621" t="n"/>
      <c r="B107" s="2622" t="inlineStr">
        <is>
          <t>Form 1040 or 1040-SR, line 15, from line 4 of your Qualified Dividends and Capital Gain Tax Worksheet (line 10 of your Schedule D Tax</t>
        </is>
      </c>
      <c r="C107" s="2595" t="n"/>
      <c r="D107" s="11602" t="n"/>
      <c r="E107" s="11403" t="n"/>
      <c r="F107" s="11403" t="n"/>
      <c r="G107" s="11403" t="n"/>
      <c r="H107" s="2605" t="n"/>
      <c r="I107" s="2607" t="n"/>
      <c r="J107" s="2607" t="n"/>
      <c r="K107" s="2607" t="n"/>
      <c r="L107" s="7847" t="n"/>
      <c r="M107" s="7847" t="n"/>
      <c r="N107" s="7847" t="n"/>
      <c r="O107" s="90" t="n"/>
      <c r="P107" s="148" t="n"/>
      <c r="Q107" s="148" t="n"/>
      <c r="R107" s="148" t="n"/>
      <c r="S107" s="148" t="n"/>
      <c r="U107" s="2623" t="inlineStr">
        <is>
          <t>18.</t>
        </is>
      </c>
      <c r="V107" s="801">
        <f>ROUND((V106*CGTW_Line18_PCT),0)</f>
        <v/>
      </c>
      <c r="AA107" s="2620" t="inlineStr">
        <is>
          <t>Line 24</t>
        </is>
      </c>
    </row>
    <row r="108">
      <c r="A108" s="2621" t="n"/>
      <c r="B108" s="2622" t="inlineStr">
        <is>
          <t>Worksheet).  If the result is more than zero, that amount is your capital gain excess.</t>
        </is>
      </c>
      <c r="C108" s="2595" t="n"/>
      <c r="D108" s="11602" t="n"/>
      <c r="E108" s="11403" t="n"/>
      <c r="F108" s="11403" t="n"/>
      <c r="G108" s="11403" t="n"/>
      <c r="H108" s="2605" t="n"/>
      <c r="I108" s="2607" t="n"/>
      <c r="J108" s="2607" t="n"/>
      <c r="K108" s="2607" t="n"/>
      <c r="L108" s="7847" t="n"/>
      <c r="M108" s="7847" t="n"/>
      <c r="N108" s="7847" t="n"/>
      <c r="O108" s="90" t="n"/>
      <c r="P108" s="148" t="n"/>
      <c r="Q108" s="148" t="n"/>
      <c r="R108" s="148" t="n"/>
      <c r="S108" s="148" t="n"/>
      <c r="U108" s="2618" t="inlineStr">
        <is>
          <t>19.</t>
        </is>
      </c>
      <c r="V108" s="801">
        <f>SUM(V98,V106)</f>
        <v/>
      </c>
      <c r="AA108" s="1066" t="n"/>
    </row>
    <row r="109" ht="19.5" customHeight="1" s="7635">
      <c r="A109" s="2621" t="n"/>
      <c r="B109" s="2622" t="inlineStr">
        <is>
          <t>If you don't have a capital gain excess, complete the rest of either of those worksheets according to the worksheet's instructions. Then</t>
        </is>
      </c>
      <c r="C109" s="2595" t="n"/>
      <c r="D109" s="11602" t="n"/>
      <c r="E109" s="11403" t="n"/>
      <c r="F109" s="11403" t="n"/>
      <c r="G109" s="11403" t="n"/>
      <c r="H109" s="2605" t="n"/>
      <c r="I109" s="2607" t="n"/>
      <c r="J109" s="2607" t="n"/>
      <c r="K109" s="2607" t="n"/>
      <c r="L109" s="7847" t="n"/>
      <c r="M109" s="7847" t="n"/>
      <c r="N109" s="7847" t="n"/>
      <c r="O109" s="90" t="n"/>
      <c r="P109" s="148" t="n"/>
      <c r="Q109" s="148" t="n"/>
      <c r="R109" s="148" t="n"/>
      <c r="S109" s="148" t="n"/>
      <c r="U109" s="2618" t="inlineStr">
        <is>
          <t>20.</t>
        </is>
      </c>
      <c r="V109" s="801">
        <f>SUM(V99,-V108)</f>
        <v/>
      </c>
      <c r="AA109" s="1066" t="n"/>
    </row>
    <row r="110">
      <c r="A110" s="2621" t="n"/>
      <c r="B110" s="2622" t="inlineStr">
        <is>
          <t>complete lines 5 and 6 above.</t>
        </is>
      </c>
      <c r="C110" s="2595" t="n"/>
      <c r="D110" s="11602" t="n"/>
      <c r="E110" s="11403" t="n"/>
      <c r="F110" s="11403" t="n"/>
      <c r="G110" s="11403" t="n"/>
      <c r="H110" s="2605" t="n"/>
      <c r="I110" s="2607" t="n"/>
      <c r="J110" s="2607" t="n"/>
      <c r="K110" s="2607" t="n"/>
      <c r="L110" s="7847" t="n"/>
      <c r="M110" s="7847" t="n"/>
      <c r="N110" s="7847" t="n"/>
      <c r="O110" s="90" t="n"/>
      <c r="P110" s="148" t="n"/>
      <c r="Q110" s="148" t="n"/>
      <c r="R110" s="148" t="n"/>
      <c r="S110" s="148" t="n"/>
      <c r="U110" s="2623" t="inlineStr">
        <is>
          <t>21.</t>
        </is>
      </c>
      <c r="V110" s="801">
        <f>ROUND(V109*CGTW_Line21_PCT,0)</f>
        <v/>
      </c>
      <c r="AA110" s="1066" t="n"/>
    </row>
    <row r="111" ht="19.5" customHeight="1" s="7635">
      <c r="A111" s="2621" t="n"/>
      <c r="B111" s="2622" t="inlineStr">
        <is>
          <t>If you have a capital gain excess, complete a second Qualified Dividends and Capital Gain Tax Worksheet or Schedule D Tax Worksheet</t>
        </is>
      </c>
      <c r="C111" s="2595" t="n"/>
      <c r="D111" s="11602" t="n"/>
      <c r="E111" s="11403" t="n"/>
      <c r="F111" s="11403" t="n"/>
      <c r="G111" s="11403" t="n"/>
      <c r="H111" s="2605" t="n"/>
      <c r="I111" s="2607" t="n"/>
      <c r="J111" s="2607" t="n"/>
      <c r="K111" s="2607" t="n"/>
      <c r="L111" s="7847" t="n"/>
      <c r="M111" s="7847" t="n"/>
      <c r="N111" s="7847" t="n"/>
      <c r="O111" s="90" t="n"/>
      <c r="P111" s="148" t="n"/>
      <c r="Q111" s="148" t="n"/>
      <c r="R111" s="148" t="n"/>
      <c r="S111" s="148" t="n"/>
      <c r="U111" s="2623" t="inlineStr">
        <is>
          <t>22.</t>
        </is>
      </c>
      <c r="V111" s="801">
        <f>AA106</f>
        <v/>
      </c>
      <c r="W111" s="8648" t="inlineStr">
        <is>
          <t>Tax on Line 5.</t>
        </is>
      </c>
      <c r="AA111" s="1066" t="n"/>
    </row>
    <row r="112">
      <c r="A112" s="2621" t="n"/>
      <c r="B112" s="2622" t="inlineStr">
        <is>
          <t>(whichever applies) as instructed above but in its entirety and with the following additional modifications. Then complete lines 5 and 6 above.</t>
        </is>
      </c>
      <c r="C112" s="2595" t="n"/>
      <c r="D112" s="11602" t="n"/>
      <c r="E112" s="11403" t="n"/>
      <c r="F112" s="11403" t="n"/>
      <c r="G112" s="11403" t="n"/>
      <c r="H112" s="2605" t="n"/>
      <c r="I112" s="2607" t="n"/>
      <c r="J112" s="2607" t="n"/>
      <c r="K112" s="2607" t="n"/>
      <c r="L112" s="7847" t="n"/>
      <c r="M112" s="7847" t="n"/>
      <c r="N112" s="7847" t="n"/>
      <c r="O112" s="90" t="n"/>
      <c r="P112" s="148" t="n"/>
      <c r="Q112" s="148" t="n"/>
      <c r="R112" s="148" t="n"/>
      <c r="S112" s="148" t="n"/>
      <c r="U112" s="2623" t="inlineStr">
        <is>
          <t>23.</t>
        </is>
      </c>
      <c r="V112" s="801">
        <f>SUM(V107,V110,V111)</f>
        <v/>
      </c>
      <c r="AA112" s="1066" t="n"/>
    </row>
    <row r="113">
      <c r="A113" s="2621" t="n"/>
      <c r="B113" s="2622" t="inlineStr">
        <is>
          <t>These modifications are to be made only for purposes of filling out the Foreign Earned Income Tax Worksheet above.</t>
        </is>
      </c>
      <c r="C113" s="2595" t="n"/>
      <c r="D113" s="11602" t="n"/>
      <c r="E113" s="11403" t="n"/>
      <c r="F113" s="11403" t="n"/>
      <c r="G113" s="11403" t="n"/>
      <c r="H113" s="2605" t="n"/>
      <c r="I113" s="2607" t="n"/>
      <c r="J113" s="2607" t="n"/>
      <c r="K113" s="2607" t="n"/>
      <c r="L113" s="7847" t="n"/>
      <c r="M113" s="7847" t="n"/>
      <c r="N113" s="7847" t="n"/>
      <c r="O113" s="90" t="n"/>
      <c r="P113" s="148" t="n"/>
      <c r="Q113" s="148" t="n"/>
      <c r="R113" s="148" t="n"/>
      <c r="S113" s="148" t="n"/>
      <c r="U113" s="2623" t="inlineStr">
        <is>
          <t>24.</t>
        </is>
      </c>
      <c r="V113" s="801">
        <f>AA98</f>
        <v/>
      </c>
      <c r="W113" s="8648" t="inlineStr">
        <is>
          <t>Tax on Line 1.</t>
        </is>
      </c>
      <c r="AA113" s="1066" t="n"/>
    </row>
    <row r="114" ht="13.5" customHeight="1" s="7635" thickBot="1">
      <c r="A114" s="2621" t="n"/>
      <c r="B114" s="2622" t="inlineStr">
        <is>
          <t>1. Reduce (but not below zero) the amount you would otherwise enter on line 3 of your Qualified Dividends and Capital Gain Tax Worksheet</t>
        </is>
      </c>
      <c r="C114" s="2595" t="n"/>
      <c r="D114" s="11602" t="n"/>
      <c r="E114" s="11403" t="n"/>
      <c r="F114" s="11403" t="n"/>
      <c r="G114" s="11403" t="n"/>
      <c r="H114" s="2605" t="n"/>
      <c r="I114" s="2607" t="n"/>
      <c r="J114" s="2607" t="n"/>
      <c r="K114" s="2607" t="n"/>
      <c r="L114" s="7847" t="n"/>
      <c r="M114" s="7847" t="n"/>
      <c r="N114" s="7847" t="n"/>
      <c r="O114" s="90" t="n"/>
      <c r="P114" s="148" t="n"/>
      <c r="Q114" s="148" t="n"/>
      <c r="R114" s="148" t="n"/>
      <c r="S114" s="148" t="n"/>
      <c r="U114" s="2624" t="inlineStr">
        <is>
          <t>25.</t>
        </is>
      </c>
      <c r="V114" s="2625">
        <f>IF(NOT(Y90),"",MIN(V112,V113))</f>
        <v/>
      </c>
      <c r="W114" s="2626" t="inlineStr">
        <is>
          <t>Tax on all taxable income.</t>
        </is>
      </c>
      <c r="X114" s="8848" t="n"/>
      <c r="Y114" s="8848" t="n"/>
      <c r="Z114" s="8848" t="n"/>
      <c r="AA114" s="2627" t="n"/>
    </row>
    <row r="115">
      <c r="A115" s="2621" t="n"/>
      <c r="B115" s="2622" t="inlineStr">
        <is>
          <t>or line 9 of your Schedule D Tax Worksheet by your capital gain excess.</t>
        </is>
      </c>
      <c r="C115" s="2595" t="n"/>
      <c r="D115" s="11602" t="n"/>
      <c r="E115" s="11403" t="n"/>
      <c r="F115" s="11403" t="n"/>
      <c r="G115" s="11403" t="n"/>
      <c r="H115" s="2605" t="n"/>
      <c r="I115" s="2607" t="n"/>
      <c r="J115" s="2607" t="n"/>
      <c r="K115" s="2607" t="n"/>
      <c r="L115" s="7847" t="n"/>
      <c r="M115" s="7847" t="n"/>
      <c r="N115" s="7847" t="n"/>
      <c r="O115" s="90" t="n"/>
      <c r="P115" s="148" t="n"/>
      <c r="Q115" s="148" t="n"/>
      <c r="R115" s="148" t="n"/>
      <c r="S115" s="148" t="n"/>
      <c r="AA115">
        <f>V114=MIN(Y81,V114,X173)</f>
        <v/>
      </c>
    </row>
    <row r="116">
      <c r="A116" s="2621" t="n"/>
      <c r="B116" s="2622" t="inlineStr">
        <is>
          <t>2. Reduce (but not below zero) the amount you would otherwise enter on line 2 of your Qualified Dividends and Capital Gain Tax Worksheet</t>
        </is>
      </c>
      <c r="C116" s="2595" t="n"/>
      <c r="D116" s="11602" t="n"/>
      <c r="E116" s="11403" t="n"/>
      <c r="F116" s="11403" t="n"/>
      <c r="G116" s="11403" t="n"/>
      <c r="H116" s="2605" t="n"/>
      <c r="I116" s="2607" t="n"/>
      <c r="J116" s="2607" t="n"/>
      <c r="K116" s="2607" t="n"/>
      <c r="L116" s="7847" t="n"/>
      <c r="M116" s="7847" t="n"/>
      <c r="N116" s="7847" t="n"/>
      <c r="O116" s="90" t="n"/>
      <c r="P116" s="148" t="n"/>
      <c r="Q116" s="148" t="n"/>
      <c r="R116" s="148" t="n"/>
      <c r="S116" s="148" t="n"/>
      <c r="U116" s="829" t="inlineStr">
        <is>
          <t>Schedule D Tax Worksheet</t>
        </is>
      </c>
      <c r="V116" s="830" t="n"/>
      <c r="W116" s="830" t="n"/>
      <c r="X116" s="830">
        <f>SchDTW_Used</f>
        <v/>
      </c>
      <c r="Y116" s="843" t="inlineStr">
        <is>
          <t>&lt;&lt; Used?</t>
        </is>
      </c>
      <c r="Z116" s="8648" t="n"/>
      <c r="AA116" s="8648" t="n"/>
      <c r="AB116" s="8648" t="n"/>
    </row>
    <row r="117">
      <c r="A117" s="2621" t="n"/>
      <c r="B117" s="2622" t="inlineStr">
        <is>
          <t>or line 6 of your Schedule D Tax Worksheet by any of your capital gain excess not used in (1) above.</t>
        </is>
      </c>
      <c r="C117" s="2595" t="n"/>
      <c r="D117" s="11602" t="n"/>
      <c r="E117" s="11403" t="n"/>
      <c r="F117" s="11403" t="n"/>
      <c r="G117" s="11403" t="n"/>
      <c r="H117" s="2605" t="n"/>
      <c r="I117" s="2607" t="n"/>
      <c r="J117" s="2607" t="n"/>
      <c r="K117" s="2607" t="n"/>
      <c r="L117" s="7847" t="n"/>
      <c r="M117" s="7847" t="n"/>
      <c r="N117" s="7847" t="n"/>
      <c r="O117" s="90" t="n"/>
      <c r="P117" s="148" t="n"/>
      <c r="Q117" s="148" t="n"/>
      <c r="R117" s="148" t="n"/>
      <c r="S117" s="148" t="n"/>
      <c r="U117" s="831" t="inlineStr">
        <is>
          <t>1.</t>
        </is>
      </c>
      <c r="V117" s="8648" t="inlineStr">
        <is>
          <t>&lt; FEITW, Line 3 &gt;</t>
        </is>
      </c>
      <c r="X117" s="2628">
        <f>IF(NOT(X116),"",IF(Form2555_Used,FEI_TW_Line3,IF(Taxable_Inc&lt;&gt;"",Taxable_Inc,0)))</f>
        <v/>
      </c>
      <c r="Y117" s="832" t="n"/>
      <c r="Z117" s="8648" t="n"/>
      <c r="AA117" s="8648" t="n"/>
      <c r="AB117" s="8648" t="n"/>
    </row>
    <row r="118">
      <c r="A118" s="2621" t="n"/>
      <c r="B118" s="2622" t="inlineStr">
        <is>
          <t>3. Reduce (but not below zero) the amount on your Schedule D (Form 1040), line 18, by your capital gain excess.</t>
        </is>
      </c>
      <c r="C118" s="2595" t="n"/>
      <c r="D118" s="11602" t="n"/>
      <c r="E118" s="11403" t="n"/>
      <c r="F118" s="11403" t="n"/>
      <c r="G118" s="11403" t="n"/>
      <c r="H118" s="2605" t="n"/>
      <c r="I118" s="2607" t="n"/>
      <c r="J118" s="2607" t="n"/>
      <c r="K118" s="2607" t="n"/>
      <c r="L118" s="7847" t="n"/>
      <c r="M118" s="7847" t="n"/>
      <c r="N118" s="7847" t="n"/>
      <c r="O118" s="90" t="n"/>
      <c r="P118" s="148" t="n"/>
      <c r="Q118" s="148" t="n"/>
      <c r="R118" s="148" t="n"/>
      <c r="S118" s="148" t="n"/>
      <c r="U118" s="833" t="inlineStr">
        <is>
          <t>2.</t>
        </is>
      </c>
      <c r="V118" s="8648" t="inlineStr">
        <is>
          <t>Form 1040, line 3a</t>
        </is>
      </c>
      <c r="X118" s="2628">
        <f>Qualified_Dividends</f>
        <v/>
      </c>
      <c r="Y118" s="832" t="n"/>
      <c r="Z118" s="8648" t="n"/>
      <c r="AA118" s="8648" t="n"/>
      <c r="AB118" s="8648" t="n"/>
    </row>
    <row r="119">
      <c r="A119" s="2621" t="n"/>
      <c r="B119" s="2622" t="inlineStr">
        <is>
          <t>4. Include your capital gain excess as a loss on line 16 of your Unrecaptured Section 1250 Gain Worksheet in the Instructions for Schedule D.</t>
        </is>
      </c>
      <c r="C119" s="2595" t="n"/>
      <c r="D119" s="11602" t="n"/>
      <c r="E119" s="11403" t="n"/>
      <c r="F119" s="11403" t="n"/>
      <c r="G119" s="11403" t="n"/>
      <c r="H119" s="2605" t="n"/>
      <c r="I119" s="2607" t="n"/>
      <c r="J119" s="2607" t="n"/>
      <c r="K119" s="2607" t="n"/>
      <c r="L119" s="7847" t="n"/>
      <c r="M119" s="7847" t="n"/>
      <c r="N119" s="7847" t="n"/>
      <c r="O119" s="90" t="n"/>
      <c r="P119" s="148" t="n"/>
      <c r="Q119" s="148" t="n"/>
      <c r="R119" s="148" t="n"/>
      <c r="S119" s="148" t="n"/>
      <c r="U119" s="834" t="inlineStr">
        <is>
          <t>3.</t>
        </is>
      </c>
      <c r="V119" s="8648" t="inlineStr">
        <is>
          <t>Form 4952, line 4g</t>
        </is>
      </c>
      <c r="X119" s="2628">
        <f>Form4952_Line4g</f>
        <v/>
      </c>
      <c r="Y119" s="832" t="n"/>
      <c r="Z119" s="8648" t="n"/>
      <c r="AA119" s="8648" t="n"/>
      <c r="AB119" s="8648" t="n"/>
    </row>
    <row r="120">
      <c r="A120" s="2621" t="n"/>
      <c r="B120" s="2622" t="inlineStr">
        <is>
          <t>Schedule D (Form 1040).</t>
        </is>
      </c>
      <c r="C120" s="2595" t="n"/>
      <c r="D120" s="11602" t="n"/>
      <c r="E120" s="11403" t="n"/>
      <c r="F120" s="11403" t="n"/>
      <c r="G120" s="11403" t="n"/>
      <c r="H120" s="2605" t="n"/>
      <c r="I120" s="2607" t="n"/>
      <c r="J120" s="2607" t="n"/>
      <c r="K120" s="2607" t="n"/>
      <c r="L120" s="7847" t="n"/>
      <c r="M120" s="7847" t="n"/>
      <c r="N120" s="7847" t="n"/>
      <c r="O120" s="90" t="n"/>
      <c r="P120" s="148" t="n"/>
      <c r="Q120" s="148" t="n"/>
      <c r="R120" s="148" t="n"/>
      <c r="S120" s="148" t="n"/>
      <c r="U120" s="834" t="inlineStr">
        <is>
          <t>4.</t>
        </is>
      </c>
      <c r="V120" s="8648" t="inlineStr">
        <is>
          <t>Form 4952, line 4e</t>
        </is>
      </c>
      <c r="X120" s="2628">
        <f>Form4952_Line4e</f>
        <v/>
      </c>
      <c r="Y120" s="832" t="n"/>
      <c r="Z120" s="8648" t="n"/>
      <c r="AA120" s="8648" t="n"/>
      <c r="AB120" s="8648" t="n"/>
    </row>
    <row r="121" ht="13.5" customHeight="1" s="7635" thickBot="1">
      <c r="A121" s="2621" t="n"/>
      <c r="B121" s="2629" t="n"/>
      <c r="C121" s="380" t="n"/>
      <c r="D121" s="2630" t="n"/>
      <c r="E121" s="2631" t="n"/>
      <c r="F121" s="2543" t="n"/>
      <c r="G121" s="2543" t="n"/>
      <c r="H121" s="2543" t="n"/>
      <c r="I121" s="2632" t="n"/>
      <c r="J121" s="203" t="n"/>
      <c r="K121" s="203" t="n"/>
      <c r="L121" s="2633" t="n"/>
      <c r="M121" s="2633" t="n"/>
      <c r="N121" s="2633" t="n"/>
      <c r="O121" s="2490" t="n"/>
      <c r="P121" s="148" t="n"/>
      <c r="Q121" s="148" t="n"/>
      <c r="R121" s="148" t="n"/>
      <c r="S121" s="148" t="n"/>
      <c r="U121" s="833" t="inlineStr">
        <is>
          <t>5.</t>
        </is>
      </c>
      <c r="V121" s="8648" t="inlineStr">
        <is>
          <t>Subtract line 4 from 3</t>
        </is>
      </c>
      <c r="X121" s="2628">
        <f>MAX(0,SUM(X119-X120))</f>
        <v/>
      </c>
      <c r="Y121" s="832" t="n"/>
      <c r="Z121" s="8648" t="n"/>
      <c r="AA121" s="8648" t="n"/>
      <c r="AB121" s="8648" t="n"/>
    </row>
    <row r="122">
      <c r="A122" s="148" t="n"/>
      <c r="B122" s="148" t="n"/>
      <c r="C122" s="148" t="n"/>
      <c r="D122" s="148" t="n"/>
      <c r="E122" s="148" t="n"/>
      <c r="F122" s="148" t="n"/>
      <c r="G122" s="148" t="n"/>
      <c r="H122" s="148" t="n"/>
      <c r="I122" s="148" t="n"/>
      <c r="J122" s="148" t="n"/>
      <c r="K122" s="148" t="n"/>
      <c r="L122" s="148" t="n"/>
      <c r="M122" s="148" t="n"/>
      <c r="N122" s="148" t="n"/>
      <c r="O122" s="148" t="n"/>
      <c r="P122" s="148" t="n"/>
      <c r="Q122" s="148" t="n"/>
      <c r="R122" s="148" t="n"/>
      <c r="S122" s="148" t="n"/>
      <c r="U122" s="835" t="inlineStr">
        <is>
          <t>6.</t>
        </is>
      </c>
      <c r="V122" s="8648" t="inlineStr">
        <is>
          <t>Subtract line 5 from 2</t>
        </is>
      </c>
      <c r="X122" s="2628">
        <f>MAX(0,SUM(X118,-X121))</f>
        <v/>
      </c>
      <c r="Y122" s="832" t="n"/>
      <c r="Z122" s="8648" t="n"/>
      <c r="AA122" s="8648" t="n"/>
      <c r="AB122" s="8648" t="n"/>
    </row>
    <row r="123">
      <c r="U123" s="833" t="inlineStr">
        <is>
          <t>7.</t>
        </is>
      </c>
      <c r="V123" s="8648" t="inlineStr">
        <is>
          <t>Smaller of Sch. D, L15 or 16</t>
        </is>
      </c>
      <c r="X123" s="2628">
        <f>MIN(SchDLine15,SchDLine16)</f>
        <v/>
      </c>
      <c r="Y123" s="832" t="n"/>
      <c r="Z123" s="8648" t="n"/>
      <c r="AA123" s="8648" t="n"/>
      <c r="AB123" s="8648" t="n"/>
    </row>
    <row r="124">
      <c r="U124" s="833" t="inlineStr">
        <is>
          <t>8.</t>
        </is>
      </c>
      <c r="V124" s="8648" t="inlineStr">
        <is>
          <t>Smaller of line 3 or 4</t>
        </is>
      </c>
      <c r="X124" s="2628">
        <f>MIN(X119,X120)</f>
        <v/>
      </c>
      <c r="Y124" s="832" t="n"/>
      <c r="Z124" s="8648" t="n"/>
      <c r="AA124" s="8648" t="n"/>
      <c r="AB124" s="8648" t="n"/>
    </row>
    <row r="125">
      <c r="U125" s="835" t="inlineStr">
        <is>
          <t>9.</t>
        </is>
      </c>
      <c r="V125" s="8648" t="inlineStr">
        <is>
          <t>Subtract line 8 from 7</t>
        </is>
      </c>
      <c r="X125" s="2628">
        <f>MAX(0,SUM(X123,-X124))</f>
        <v/>
      </c>
      <c r="Y125" s="832" t="n"/>
      <c r="Z125" s="8648" t="n"/>
      <c r="AA125" s="8648" t="n"/>
      <c r="AB125" s="8648" t="n"/>
    </row>
    <row r="126">
      <c r="U126" s="833" t="inlineStr">
        <is>
          <t>10.</t>
        </is>
      </c>
      <c r="V126" s="8648" t="inlineStr">
        <is>
          <t>Add lines 6 and 9</t>
        </is>
      </c>
      <c r="X126" s="2628">
        <f>SUM(X122,X125)</f>
        <v/>
      </c>
      <c r="Y126" s="832" t="n"/>
      <c r="Z126" s="8648" t="n"/>
      <c r="AA126" s="8648" t="n"/>
      <c r="AB126" s="8648" t="n"/>
    </row>
    <row r="127">
      <c r="U127" s="835" t="inlineStr">
        <is>
          <t>11.</t>
        </is>
      </c>
      <c r="V127" s="8648" t="inlineStr">
        <is>
          <t>Add Sch. D, L 18 &amp; 19</t>
        </is>
      </c>
      <c r="X127" s="2628">
        <f>SUM(SchDLine18,SchDLine19)</f>
        <v/>
      </c>
      <c r="Y127" s="832" t="n"/>
      <c r="Z127" s="8648" t="n"/>
      <c r="AA127" s="8648" t="n"/>
      <c r="AB127" s="8648" t="n"/>
    </row>
    <row r="128">
      <c r="U128" s="833" t="inlineStr">
        <is>
          <t>12.</t>
        </is>
      </c>
      <c r="V128" s="8648" t="inlineStr">
        <is>
          <t>Smaller of line 9 or 11</t>
        </is>
      </c>
      <c r="X128" s="2628">
        <f>MIN(X125,X127)</f>
        <v/>
      </c>
      <c r="Y128" s="832" t="n"/>
      <c r="Z128" s="8648" t="n"/>
      <c r="AA128" s="8648" t="n"/>
      <c r="AB128" s="8648" t="n"/>
    </row>
    <row r="129">
      <c r="U129" s="831" t="inlineStr">
        <is>
          <t>13.</t>
        </is>
      </c>
      <c r="V129" s="8648" t="inlineStr">
        <is>
          <t>Subtract line 12 from 10</t>
        </is>
      </c>
      <c r="X129" s="2628">
        <f>SUM(X126,-X128)</f>
        <v/>
      </c>
      <c r="Y129" s="832" t="n"/>
      <c r="Z129" s="8648" t="n"/>
      <c r="AA129" s="8648" t="n"/>
      <c r="AB129" s="8648" t="n"/>
    </row>
    <row r="130">
      <c r="U130" s="831" t="inlineStr">
        <is>
          <t>14.</t>
        </is>
      </c>
      <c r="V130" s="8648" t="inlineStr">
        <is>
          <t>Subtract line 13 from 1</t>
        </is>
      </c>
      <c r="X130" s="2628">
        <f>MAX(0,SUM(X117,-X129))</f>
        <v/>
      </c>
      <c r="Y130" s="832" t="n"/>
      <c r="Z130" s="8648" t="n"/>
      <c r="AA130" s="8648" t="n"/>
      <c r="AB130" s="8648" t="n"/>
    </row>
    <row r="131">
      <c r="U131" s="833" t="inlineStr">
        <is>
          <t>15.</t>
        </is>
      </c>
      <c r="V131" s="8648" t="inlineStr">
        <is>
          <t>Sch. DTW line 15</t>
        </is>
      </c>
      <c r="X131" s="2628">
        <f>SchDTW_Line15</f>
        <v/>
      </c>
      <c r="Y131" s="832" t="n"/>
      <c r="Z131" s="8648" t="n"/>
      <c r="AA131" s="8648" t="n"/>
      <c r="AB131" s="8648" t="n"/>
    </row>
    <row r="132">
      <c r="U132" s="835" t="inlineStr">
        <is>
          <t>16.</t>
        </is>
      </c>
      <c r="V132" s="8648" t="inlineStr">
        <is>
          <t>Smaller of line 1 or 15</t>
        </is>
      </c>
      <c r="X132" s="2628">
        <f>MIN(X117,X131)</f>
        <v/>
      </c>
      <c r="Y132" s="832" t="n"/>
      <c r="Z132" s="8648" t="n"/>
      <c r="AA132" s="8648" t="n"/>
      <c r="AB132" s="8648" t="n"/>
    </row>
    <row r="133">
      <c r="U133" s="833" t="inlineStr">
        <is>
          <t>17.</t>
        </is>
      </c>
      <c r="V133" s="8648" t="inlineStr">
        <is>
          <t>Smaller of line 14 or 16</t>
        </is>
      </c>
      <c r="X133" s="2628">
        <f>MIN(X130,X132)</f>
        <v/>
      </c>
      <c r="Y133" s="832" t="n"/>
      <c r="Z133" s="8648" t="n"/>
      <c r="AA133" s="8648" t="n"/>
      <c r="AB133" s="8648" t="n"/>
    </row>
    <row r="134">
      <c r="U134" s="833" t="inlineStr">
        <is>
          <t>18.</t>
        </is>
      </c>
      <c r="V134" s="8648" t="inlineStr">
        <is>
          <t>Subtract line 10 from 1</t>
        </is>
      </c>
      <c r="X134" s="2628">
        <f>MAX(0,SUM(X117,-X126))</f>
        <v/>
      </c>
      <c r="Y134" s="832" t="n"/>
      <c r="Z134" s="8648" t="n"/>
      <c r="AA134" s="8648" t="n"/>
      <c r="AB134" s="8648" t="n"/>
    </row>
    <row r="135">
      <c r="U135" s="835" t="inlineStr">
        <is>
          <t>19.</t>
        </is>
      </c>
      <c r="V135" s="8648" t="inlineStr">
        <is>
          <t>Smaller of line 1 or Amt.</t>
        </is>
      </c>
      <c r="X135" s="2628">
        <f>IF(X117="",0,MIN(X117,SchDTW_Line19))</f>
        <v/>
      </c>
      <c r="Y135" s="832" t="n"/>
      <c r="Z135" s="8648" t="n"/>
      <c r="AA135" s="8648" t="n"/>
      <c r="AB135" s="8648" t="n"/>
    </row>
    <row r="136">
      <c r="U136" s="835" t="inlineStr">
        <is>
          <t>20.</t>
        </is>
      </c>
      <c r="V136" s="8648" t="inlineStr">
        <is>
          <t>Smaller of line 14 or 19</t>
        </is>
      </c>
      <c r="X136" s="2628">
        <f>MIN(X130,X135)</f>
        <v/>
      </c>
      <c r="Y136" s="832" t="n"/>
      <c r="Z136" s="8648" t="n"/>
      <c r="AA136" s="8648" t="n"/>
      <c r="AB136" s="8648" t="n"/>
    </row>
    <row r="137">
      <c r="U137" s="833" t="inlineStr">
        <is>
          <t>21.</t>
        </is>
      </c>
      <c r="V137" s="8648" t="inlineStr">
        <is>
          <t>Larger of line 18 or 20</t>
        </is>
      </c>
      <c r="X137" s="2628">
        <f>MAX(X134,X136)</f>
        <v/>
      </c>
      <c r="Y137" s="832" t="n"/>
      <c r="Z137" s="8648" t="n"/>
      <c r="AA137" s="8648" t="n"/>
      <c r="AB137" s="8648" t="n"/>
    </row>
    <row r="138">
      <c r="U138" s="835" t="n">
        <v>22</v>
      </c>
      <c r="V138" s="8648" t="inlineStr">
        <is>
          <t>Subtract line 17 from 16</t>
        </is>
      </c>
      <c r="X138" s="2628">
        <f>SUM(X132,-X133)</f>
        <v/>
      </c>
      <c r="Y138" s="832" t="n"/>
      <c r="Z138" s="8648" t="n"/>
      <c r="AA138" s="8648" t="n"/>
      <c r="AB138" s="8648" t="n"/>
    </row>
    <row r="139">
      <c r="U139" s="833" t="inlineStr">
        <is>
          <t>23.</t>
        </is>
      </c>
      <c r="V139" s="8648" t="inlineStr">
        <is>
          <t>Enter smaller of line 1 or 13</t>
        </is>
      </c>
      <c r="X139" s="2628">
        <f>IF(Y139,"",MIN(X117,X129))</f>
        <v/>
      </c>
      <c r="Y139" s="1186">
        <f>IF(X117="",X132=0,X117=X132)</f>
        <v/>
      </c>
      <c r="Z139" s="8648" t="n"/>
      <c r="AA139" s="8648" t="n"/>
      <c r="AB139" s="8648" t="n"/>
    </row>
    <row r="140">
      <c r="U140" s="833" t="inlineStr">
        <is>
          <t>24.</t>
        </is>
      </c>
      <c r="V140" s="8648" t="inlineStr">
        <is>
          <t>Amt. from line 22.</t>
        </is>
      </c>
      <c r="X140" s="2628">
        <f>IF(Y139,"",IF(X138="",0,X138))</f>
        <v/>
      </c>
      <c r="Y140" s="832" t="n"/>
      <c r="Z140" s="8648" t="n"/>
      <c r="AA140" s="8648" t="n"/>
      <c r="AB140" s="8648" t="n"/>
    </row>
    <row r="141">
      <c r="U141" s="833" t="inlineStr">
        <is>
          <t>25.</t>
        </is>
      </c>
      <c r="V141" s="8648" t="inlineStr">
        <is>
          <t>Subt. Line 24 from 23 (&gt;=0)</t>
        </is>
      </c>
      <c r="X141" s="2628">
        <f>IF(Y139,"",MAX(0,SUM(X139,-X140)))</f>
        <v/>
      </c>
      <c r="Y141" s="832" t="n"/>
      <c r="Z141" s="8648" t="n"/>
      <c r="AA141" s="8648" t="n"/>
      <c r="AB141" s="8648" t="n"/>
    </row>
    <row r="142">
      <c r="U142" s="835" t="n">
        <v>26</v>
      </c>
      <c r="V142" s="8648" t="inlineStr">
        <is>
          <t>Amt. from line 26</t>
        </is>
      </c>
      <c r="X142" s="2628">
        <f>IF(Y139,"",SchDTW_Line26)</f>
        <v/>
      </c>
      <c r="Y142" s="832" t="n"/>
      <c r="Z142" s="8648" t="n"/>
      <c r="AA142" s="8648" t="n"/>
      <c r="AB142" s="8648" t="n"/>
    </row>
    <row r="143">
      <c r="U143" s="835" t="inlineStr">
        <is>
          <t>27.</t>
        </is>
      </c>
      <c r="V143" s="8648" t="inlineStr">
        <is>
          <t>Smaller of line 1 or 26</t>
        </is>
      </c>
      <c r="X143" s="2628">
        <f>IF(Y139,"",IF(X117="",MIN(0,X142),MIN(X117,X142)))</f>
        <v/>
      </c>
      <c r="Y143" s="832" t="n"/>
      <c r="Z143" s="8648" t="n"/>
      <c r="AA143" s="8648" t="n"/>
      <c r="AB143" s="8648" t="n"/>
    </row>
    <row r="144">
      <c r="U144" s="835" t="inlineStr">
        <is>
          <t>28.</t>
        </is>
      </c>
      <c r="V144" s="8648" t="inlineStr">
        <is>
          <t>Add lines 21 and 22</t>
        </is>
      </c>
      <c r="X144" s="2628">
        <f>IF(Y139,"",SUM(X137,X138))</f>
        <v/>
      </c>
      <c r="Y144" s="832" t="n"/>
      <c r="Z144" s="8648" t="n"/>
      <c r="AA144" s="8648" t="n"/>
      <c r="AB144" s="8648" t="n"/>
    </row>
    <row r="145">
      <c r="U145" s="835" t="inlineStr">
        <is>
          <t>29.</t>
        </is>
      </c>
      <c r="V145" s="8648" t="inlineStr">
        <is>
          <t>Subt. line 28 from 27. (&gt;=0)</t>
        </is>
      </c>
      <c r="X145" s="2628">
        <f>IF(Y139,"",MAX(0,SUM(X143,-X144)))</f>
        <v/>
      </c>
      <c r="Y145" s="832" t="n"/>
      <c r="Z145" s="8648" t="n"/>
      <c r="AA145" s="8648" t="n"/>
      <c r="AB145" s="8648" t="n"/>
    </row>
    <row r="146">
      <c r="U146" s="1185" t="inlineStr">
        <is>
          <t xml:space="preserve">   30</t>
        </is>
      </c>
      <c r="V146" s="8648" t="inlineStr">
        <is>
          <t>Smaller of line 23 or 27</t>
        </is>
      </c>
      <c r="X146" s="2628">
        <f>IF(Y139,"",MIN(X139,X145))</f>
        <v/>
      </c>
      <c r="Y146" s="832" t="n"/>
      <c r="Z146" s="8648" t="n"/>
      <c r="AA146" s="8648" t="n"/>
      <c r="AB146" s="8648" t="n"/>
    </row>
    <row r="147">
      <c r="U147" s="831" t="inlineStr">
        <is>
          <t>31.</t>
        </is>
      </c>
      <c r="V147" s="8648">
        <f>"Multiply line 30 by "&amp;TEXT(Y147,"0%")</f>
        <v/>
      </c>
      <c r="X147" s="2628">
        <f>IF(Y139,"",ROUND(X146*Y147,0))</f>
        <v/>
      </c>
      <c r="Y147" s="836">
        <f>SchDTW_Line31Rate</f>
        <v/>
      </c>
      <c r="Z147" s="8648" t="n"/>
      <c r="AA147" s="8648" t="n"/>
      <c r="AB147" s="8648" t="n"/>
    </row>
    <row r="148">
      <c r="U148" s="833" t="inlineStr">
        <is>
          <t>32.</t>
        </is>
      </c>
      <c r="V148" s="8648" t="inlineStr">
        <is>
          <t>Add lines 24 and 30</t>
        </is>
      </c>
      <c r="X148" s="2628">
        <f>IF(Y139,"",SUM(X140,X146))</f>
        <v/>
      </c>
      <c r="Y148" s="1186">
        <f>IF(X117="",X148=0,X117=X148)</f>
        <v/>
      </c>
      <c r="Z148" s="8648" t="n"/>
      <c r="AA148" s="8648" t="n"/>
      <c r="AB148" s="8648" t="n"/>
    </row>
    <row r="149">
      <c r="U149" s="835" t="inlineStr">
        <is>
          <t>33.</t>
        </is>
      </c>
      <c r="V149" s="8648" t="inlineStr">
        <is>
          <t>Subtract line 32 from 23</t>
        </is>
      </c>
      <c r="X149" s="2628">
        <f>IF(OR(Y139,Y148),"",SUM(X139,-X148))</f>
        <v/>
      </c>
      <c r="Y149" s="1186" t="n"/>
      <c r="Z149" s="8648" t="n"/>
      <c r="AA149" s="8648" t="n"/>
      <c r="AB149" s="8648" t="n"/>
    </row>
    <row r="150">
      <c r="U150" s="831" t="inlineStr">
        <is>
          <t>34.</t>
        </is>
      </c>
      <c r="V150" s="8648">
        <f>"Multiply line 33 by "&amp;TEXT(Y150,"0%")</f>
        <v/>
      </c>
      <c r="X150" s="2628">
        <f>IF(OR(Y139,Y148),"",ROUND(X149*Y150,0))</f>
        <v/>
      </c>
      <c r="Y150" s="836">
        <f>SchDTW_Line34Rate</f>
        <v/>
      </c>
      <c r="Z150" s="8648" t="n"/>
      <c r="AA150" s="8648" t="n"/>
      <c r="AB150" s="8648" t="n"/>
    </row>
    <row r="151">
      <c r="U151" s="833" t="inlineStr">
        <is>
          <t>35.</t>
        </is>
      </c>
      <c r="V151" s="8648" t="inlineStr">
        <is>
          <t>Smaller of L9 or SchD L19</t>
        </is>
      </c>
      <c r="X151" s="2628">
        <f>IF(OR(Y139,Y148,Y151),"",MIN(X125,SchDLine19))</f>
        <v/>
      </c>
      <c r="Y151" s="1186">
        <f>OR(SchDLine19=0,SchDLine19="")</f>
        <v/>
      </c>
      <c r="Z151" s="8648" t="n"/>
      <c r="AA151" s="8648" t="n"/>
      <c r="AB151" s="8648" t="n"/>
    </row>
    <row r="152">
      <c r="U152" s="837" t="inlineStr">
        <is>
          <t>36.</t>
        </is>
      </c>
      <c r="V152" s="8648" t="inlineStr">
        <is>
          <t>Add lines 10 and 21</t>
        </is>
      </c>
      <c r="X152" s="2628">
        <f>IF(OR(Y139,Y148,Y151),"",SUM(X126,X137))</f>
        <v/>
      </c>
      <c r="Y152" s="832" t="n"/>
      <c r="Z152" s="8648" t="n"/>
      <c r="AA152" s="8648" t="n"/>
      <c r="AB152" s="8648" t="n"/>
    </row>
    <row r="153">
      <c r="U153" s="837" t="inlineStr">
        <is>
          <t>37.</t>
        </is>
      </c>
      <c r="V153" s="8648" t="inlineStr">
        <is>
          <t>Amount from line 1</t>
        </is>
      </c>
      <c r="X153" s="2628">
        <f>IF(OR(Y139,Y148,Y151),"",IF(X117="",0,X117))</f>
        <v/>
      </c>
      <c r="Y153" s="832" t="n"/>
      <c r="Z153" s="8648" t="n"/>
      <c r="AA153" s="8648" t="n"/>
      <c r="AB153" s="8648" t="n"/>
    </row>
    <row r="154">
      <c r="U154" s="833" t="inlineStr">
        <is>
          <t>38.</t>
        </is>
      </c>
      <c r="V154" s="8648" t="inlineStr">
        <is>
          <t>Subt. line 37 from 36 (&gt;=0)</t>
        </is>
      </c>
      <c r="X154" s="2628">
        <f>IF(OR(Y139,Y148,Y151),"",MAX(0,SUM(X152,-X153)))</f>
        <v/>
      </c>
      <c r="Y154" s="832" t="n"/>
      <c r="Z154" s="8648" t="n"/>
      <c r="AA154" s="8648" t="n"/>
      <c r="AB154" s="8648" t="n"/>
    </row>
    <row r="155">
      <c r="U155" s="835" t="inlineStr">
        <is>
          <t>39.</t>
        </is>
      </c>
      <c r="V155" s="8648" t="inlineStr">
        <is>
          <t>Subt. line 38 from 35 (&gt;=0)</t>
        </is>
      </c>
      <c r="X155" s="2628">
        <f>IF(OR(Y139,Y148,Y151),"",MAX(0,SUM(X151,-X154)))</f>
        <v/>
      </c>
      <c r="Y155" s="832" t="n"/>
      <c r="Z155" s="8648" t="n"/>
      <c r="AA155" s="8648" t="n"/>
      <c r="AB155" s="8648" t="n"/>
    </row>
    <row r="156">
      <c r="U156" s="831" t="inlineStr">
        <is>
          <t>40.</t>
        </is>
      </c>
      <c r="V156" s="8648">
        <f>"Multiply line 39 by "&amp;TEXT(Y156,"0%")</f>
        <v/>
      </c>
      <c r="X156" s="2628">
        <f>IF(OR(Y139,Y148,Y151),"",ROUND(X155*Y156,0))</f>
        <v/>
      </c>
      <c r="Y156" s="836">
        <f>SchDTW_Line40Rate</f>
        <v/>
      </c>
      <c r="Z156" s="8648" t="n"/>
      <c r="AA156" s="8648" t="n"/>
      <c r="AB156" s="8648" t="n"/>
    </row>
    <row r="157">
      <c r="U157" s="835" t="inlineStr">
        <is>
          <t>41.</t>
        </is>
      </c>
      <c r="V157" s="8648" t="inlineStr">
        <is>
          <t>Add line 21, 22, 30, 33, &amp; 39</t>
        </is>
      </c>
      <c r="X157" s="2628">
        <f>IF(OR(Y139,Y148,Y157),"",SUM(X137,X138,X146,X149,X155))</f>
        <v/>
      </c>
      <c r="Y157" s="1186">
        <f>OR(SchDLine18=0,SchDLine18="")</f>
        <v/>
      </c>
      <c r="Z157" s="8648" t="n"/>
      <c r="AA157" s="8648" t="n"/>
      <c r="AB157" s="8648" t="n"/>
    </row>
    <row r="158">
      <c r="U158" s="835" t="inlineStr">
        <is>
          <t>42.</t>
        </is>
      </c>
      <c r="V158" s="8648" t="inlineStr">
        <is>
          <t>Subtract line 41 from 1</t>
        </is>
      </c>
      <c r="X158" s="2628">
        <f>IF(OR(Y139,Y148,Y157),"",SUM(X117,-X157))</f>
        <v/>
      </c>
      <c r="Y158" s="832" t="n"/>
      <c r="Z158" s="8648" t="n"/>
      <c r="AA158" s="8648" t="n"/>
      <c r="AB158" s="8648" t="n"/>
    </row>
    <row r="159">
      <c r="U159" s="831" t="inlineStr">
        <is>
          <t>43.</t>
        </is>
      </c>
      <c r="V159" s="8648">
        <f>"Multiply line 42 by "&amp;TEXT(Y159,"0%")</f>
        <v/>
      </c>
      <c r="X159" s="2628">
        <f>IF(OR(Y139,Y148,Y157),"",ROUND(X158*Y159,0))</f>
        <v/>
      </c>
      <c r="Y159" s="836">
        <f>SchDTW_Line43Rate</f>
        <v/>
      </c>
      <c r="Z159" s="8648" t="n"/>
      <c r="AA159" s="8648" t="n"/>
      <c r="AB159" s="8648" t="n"/>
    </row>
    <row r="160">
      <c r="U160" s="831" t="inlineStr">
        <is>
          <t>44.</t>
        </is>
      </c>
      <c r="V160" s="8648" t="inlineStr">
        <is>
          <t>Tax on Line 21</t>
        </is>
      </c>
      <c r="X160" s="2628">
        <f>Y165</f>
        <v/>
      </c>
      <c r="Y160" s="832" t="n"/>
      <c r="Z160" s="8648" t="n"/>
      <c r="AA160" s="8648" t="n"/>
      <c r="AB160" s="8648" t="n"/>
    </row>
    <row r="161" ht="13.5" customHeight="1" s="7635" thickBot="1">
      <c r="U161" s="2634" t="inlineStr">
        <is>
          <t>X135</t>
        </is>
      </c>
      <c r="V161" s="7453" t="inlineStr">
        <is>
          <t>Single</t>
        </is>
      </c>
      <c r="W161" s="7453" t="inlineStr">
        <is>
          <t>MFJ/QW</t>
        </is>
      </c>
      <c r="X161" s="7453" t="inlineStr">
        <is>
          <t>MFS</t>
        </is>
      </c>
      <c r="Y161" s="838" t="inlineStr">
        <is>
          <t>HOH</t>
        </is>
      </c>
      <c r="Z161" s="8648" t="n"/>
      <c r="AA161" s="8648" t="n"/>
      <c r="AB161" s="8648" t="n"/>
    </row>
    <row r="162" ht="14.25" customHeight="1" s="7635" thickBot="1" thickTop="1">
      <c r="U162" s="5358">
        <f>X137</f>
        <v/>
      </c>
      <c r="V162" s="2572">
        <f>LOOKUP(U162,'Tax Table'!$B$2:$B$2063,'Tax Table'!$D$2:$D$2063)</f>
        <v/>
      </c>
      <c r="W162" s="2572">
        <f>LOOKUP(U162,'Tax Table'!$B$2:$B$2063,'Tax Table'!$E$2:$E$2063)</f>
        <v/>
      </c>
      <c r="X162" s="2572">
        <f>LOOKUP(U162,'Tax Table'!$B$2:$B$2063,'Tax Table'!$F$2:$F$2063)</f>
        <v/>
      </c>
      <c r="Y162" s="2573">
        <f>LOOKUP(U162,'Tax Table'!$B$2:$B$2063,'Tax Table'!$G$2:$G$2063)</f>
        <v/>
      </c>
      <c r="Z162" s="8648" t="n"/>
      <c r="AA162" s="8648" t="n"/>
      <c r="AB162" s="8648" t="n"/>
    </row>
    <row r="163" ht="13.5" customHeight="1" s="7635" thickBot="1">
      <c r="U163" s="4640" t="n"/>
      <c r="V163" s="2574">
        <f>IF(U162&lt;SectA_a2,"---",IF(U162&lt;=SectA_a3,ROUND(U162*(SectA_b3/100),0)-SectA_d3,IF(U162&lt;=SectA_a4,ROUND(U162*(SectA_b4/100),0)-SectA_d4,IF(U162&lt;=SectA_a5,ROUND(U162*(SectA_b5/100),0)-SectA_d5,IF(U162&lt;=SectA_a6,ROUND(U162*(SectA_b6/100),0)-SectA_d6,ROUND(U162*(SectA_b7/100),0)-SectA_d7)))))</f>
        <v/>
      </c>
      <c r="W163" s="2574">
        <f>IF(U162&lt;SectB_a2,"---",IF(U162&lt;=SectB_a3,ROUND(U162*(SectB_b3/100),0)-SectB_d3,IF(U162&lt;=SectB_a4,ROUND(U162*(SectB_b4/100),0)-SectB_d4,IF(U162&lt;=SectB_a5,ROUND(U162*(SectB_b5/100),0)-SectB_d5,IF(U162&lt;=SectB_a6,ROUND(U162*(SectB_b6/100),0)-SectB_d6,ROUND(U162*(SectB_b7/100),0)-SectB_d7)))))</f>
        <v/>
      </c>
      <c r="X163" s="2574">
        <f>IF(U162&lt;SectC_a1,"---",IF(U162&lt;=SectC_a2,ROUND(U162*(SectC_b2/100),0)-SectC_d2,IF(U162&lt;=SectC_a3,ROUND(U162*(SectC_b3/100),0)-SectC_d3,IF(U162&lt;=SectC_a4,ROUND(U162*(SectC_b4/100),0)-SectC_d4,IF(U162&lt;=SectC_a5,ROUND(U162*(SectC_b5/100),0)-SectC_d5,ROUND(U162*(SectC_b6/100),0)-SectC_d6)))))</f>
        <v/>
      </c>
      <c r="Y163" s="2575">
        <f>IF(U162&lt;SectD_a2,"---",IF(U162&lt;=SectD_a3,ROUND(U162*(SectD_b3/100),0)-SectD_d3,IF(U162&lt;=SectD_a4,ROUND(U162*(SectD_b4/100),0)-SectD_d4,IF(U162&lt;=SectD_a5,ROUND(U162*(SectD_b5/100),0)-SectD_d5,IF(U162&lt;=SectD_a6,ROUND(U162*(SectD_b6/100),0)-SectD_d6,ROUND(U162*(SectD_b7/100),0)-SectD_d7)))))</f>
        <v/>
      </c>
      <c r="Z163" s="8648" t="n"/>
      <c r="AA163" s="8648" t="n"/>
      <c r="AB163" s="8648" t="n"/>
    </row>
    <row r="164" ht="13.5" customHeight="1" s="7635" thickBot="1">
      <c r="U164" s="2576">
        <f>IF(File_Single&lt;&gt;"",V162,IF(File_Marr_Joint&lt;&gt;"",W162,IF(File_Marr_Sep&lt;&gt;"", X162,IF(File_Head&lt;&gt;"",Y162,IF(File_Qual_Widow&lt;&gt;"",W162,"Filing status?")))))</f>
        <v/>
      </c>
      <c r="V164" s="1061">
        <f>"&lt;100k"</f>
        <v/>
      </c>
      <c r="W164" s="1061" t="n"/>
      <c r="X164" s="1061" t="n"/>
      <c r="Y164" s="2577" t="n"/>
      <c r="Z164" s="8648" t="n"/>
      <c r="AA164" s="8648" t="n"/>
      <c r="AB164" s="8648" t="n"/>
    </row>
    <row r="165" ht="13.5" customHeight="1" s="7635" thickBot="1">
      <c r="U165" s="2579">
        <f>IF(File_Single&lt;&gt;"",V163,IF(OR(File_Marr_Joint&lt;&gt;"",File_Qual_Widow&lt;&gt;""),W163,IF(File_Marr_Sep&lt;&gt;"", X163,IF(File_Head&lt;&gt;"",Y163,"Filing status?"))))</f>
        <v/>
      </c>
      <c r="V165" s="2580">
        <f>"&gt;=100k"</f>
        <v/>
      </c>
      <c r="W165" s="2580" t="n"/>
      <c r="X165" s="2580" t="inlineStr">
        <is>
          <t>Tax &gt;&gt;</t>
        </is>
      </c>
      <c r="Y165" s="2581">
        <f>IF(NumFileStatusBoxes=0,"FilingStatus?",IF(U162&gt;100000,ROUND(U165,0),ROUND(U164,0)))</f>
        <v/>
      </c>
      <c r="Z165" s="8648" t="n"/>
      <c r="AA165" s="8648" t="n"/>
      <c r="AB165" s="8648" t="n"/>
    </row>
    <row r="166" ht="13.5" customHeight="1" s="7635" thickTop="1">
      <c r="U166" s="831" t="inlineStr">
        <is>
          <t>45.</t>
        </is>
      </c>
      <c r="V166" s="8648" t="inlineStr">
        <is>
          <t>Add line 31, 34, 40, 43, &amp; 44</t>
        </is>
      </c>
      <c r="X166" s="2628">
        <f>SUM(X147,X150,X156,X159,X160)</f>
        <v/>
      </c>
      <c r="Y166" s="832" t="n"/>
      <c r="Z166" s="8648" t="n"/>
      <c r="AA166" s="8648" t="n"/>
      <c r="AB166" s="8648" t="n"/>
    </row>
    <row r="167">
      <c r="U167" s="831" t="inlineStr">
        <is>
          <t>46.</t>
        </is>
      </c>
      <c r="V167" s="8648" t="inlineStr">
        <is>
          <t>Tax on Line 1</t>
        </is>
      </c>
      <c r="X167" s="2628">
        <f>Y172</f>
        <v/>
      </c>
      <c r="Y167" s="832" t="n"/>
      <c r="Z167" s="8648" t="n"/>
      <c r="AA167" s="8648" t="n"/>
      <c r="AB167" s="8648" t="n"/>
    </row>
    <row r="168" ht="13.5" customHeight="1" s="7635" thickBot="1">
      <c r="U168" s="2634" t="inlineStr">
        <is>
          <t>X115</t>
        </is>
      </c>
      <c r="V168" s="7453" t="inlineStr">
        <is>
          <t>Single</t>
        </is>
      </c>
      <c r="W168" s="7453" t="inlineStr">
        <is>
          <t>MFJ/QW</t>
        </is>
      </c>
      <c r="X168" s="7453" t="inlineStr">
        <is>
          <t>MFS</t>
        </is>
      </c>
      <c r="Y168" s="838" t="inlineStr">
        <is>
          <t>HOH</t>
        </is>
      </c>
      <c r="Z168" s="8648" t="n"/>
      <c r="AA168" s="8648" t="n"/>
      <c r="AB168" s="8648" t="n"/>
    </row>
    <row r="169" ht="14.25" customHeight="1" s="7635" thickBot="1" thickTop="1">
      <c r="U169" s="5358">
        <f>X117</f>
        <v/>
      </c>
      <c r="V169" s="2572">
        <f>LOOKUP(U169,'Tax Table'!$B$2:$B$2063,'Tax Table'!$D$2:$D$2063)</f>
        <v/>
      </c>
      <c r="W169" s="2572">
        <f>LOOKUP(U169,'Tax Table'!$B$2:$B$2063,'Tax Table'!$E$2:$E$2063)</f>
        <v/>
      </c>
      <c r="X169" s="2572">
        <f>LOOKUP(U169,'Tax Table'!$B$2:$B$2063,'Tax Table'!$F$2:$F$2063)</f>
        <v/>
      </c>
      <c r="Y169" s="2573">
        <f>LOOKUP(U169,'Tax Table'!$B$2:$B$2063,'Tax Table'!$G$2:$G$2063)</f>
        <v/>
      </c>
      <c r="Z169" s="8648" t="n"/>
      <c r="AA169" s="8648" t="n"/>
      <c r="AB169" s="8648" t="n"/>
    </row>
    <row r="170" ht="13.5" customHeight="1" s="7635" thickBot="1">
      <c r="U170" s="4640" t="n"/>
      <c r="V170" s="2574">
        <f>IF(U169&lt;SectA_a2,"---",IF(U169&lt;=SectA_a3,ROUND(U169*(SectA_b3/100),0)-SectA_d3,IF(U169&lt;=SectA_a4,ROUND(U169*(SectA_b4/100),0)-SectA_d4,IF(U169&lt;=SectA_a5,ROUND(U169*(SectA_b5/100),0)-SectA_d5,IF(U169&lt;=SectA_a6,ROUND(U169*(SectA_b6/100),0)-SectA_d6,ROUND(U169*(SectA_b7/100),0)-SectA_d7)))))</f>
        <v/>
      </c>
      <c r="W170" s="2574">
        <f>IF(U169&lt;SectB_a2,"---",IF(U169&lt;=SectB_a3,ROUND(U169*(SectB_b3/100),0)-SectB_d3,IF(U169&lt;=SectB_a4,ROUND(U169*(SectB_b4/100),0)-SectB_d4,IF(U169&lt;=SectB_a5,ROUND(U169*(SectB_b5/100),0)-SectB_d5,IF(U169&lt;=SectB_a6,ROUND(U169*(SectB_b6/100),0)-SectB_d6,ROUND(U169*(SectB_b7/100),0)-SectB_d7)))))</f>
        <v/>
      </c>
      <c r="X170" s="2574">
        <f>IF(U169&lt;SectC_a1,"---",IF(U169&lt;=SectC_a2,ROUND(U169*(SectC_b2/100),0)-SectC_d2,IF(U169&lt;=SectC_a3,ROUND(U169*(SectC_b3/100),0)-SectC_d3,IF(U169&lt;=SectC_a4,ROUND(U169*(SectC_b4/100),0)-SectC_d4,IF(U169&lt;=SectC_a5,ROUND(U169*(SectC_b5/100),0)-SectC_d5,ROUND(U169*(SectC_b6/100),0)-SectC_d6)))))</f>
        <v/>
      </c>
      <c r="Y170" s="2575">
        <f>IF(U169&lt;SectD_a2,"---",IF(U169&lt;=SectD_a3,ROUND(U169*(SectD_b3/100),0)-SectD_d3,IF(U169&lt;=SectD_a4,ROUND(U169*(SectD_b4/100),0)-SectD_d4,IF(U169&lt;=SectD_a5,ROUND(U169*(SectD_b5/100),0)-SectD_d5,IF(U169&lt;=SectD_a6,ROUND(U169*(SectD_b6/100),0)-SectD_d6,ROUND(U169*(SectD_b7/100),0)-SectD_d7)))))</f>
        <v/>
      </c>
      <c r="Z170" s="8648" t="n"/>
      <c r="AA170" s="8648" t="n"/>
      <c r="AB170" s="8648" t="n"/>
    </row>
    <row r="171" ht="13.5" customHeight="1" s="7635" thickBot="1">
      <c r="U171" s="2576">
        <f>IF(File_Single&lt;&gt;"",V169,IF(File_Marr_Joint&lt;&gt;"",W169,IF(File_Marr_Sep&lt;&gt;"", X169,IF(File_Head&lt;&gt;"",Y169,IF(File_Qual_Widow&lt;&gt;"",W169,"Filing status?")))))</f>
        <v/>
      </c>
      <c r="V171" s="1061">
        <f>"&lt;100k"</f>
        <v/>
      </c>
      <c r="W171" s="1061" t="n"/>
      <c r="X171" s="1061" t="n"/>
      <c r="Y171" s="2577" t="n"/>
      <c r="Z171" s="8648" t="n"/>
      <c r="AA171" s="8648" t="n"/>
      <c r="AB171" s="8648" t="n"/>
    </row>
    <row r="172" ht="13.5" customHeight="1" s="7635" thickBot="1">
      <c r="U172" s="2579">
        <f>IF(File_Single&lt;&gt;"",V170,IF(OR(File_Marr_Joint&lt;&gt;"",File_Qual_Widow&lt;&gt;""),W170,IF(File_Marr_Sep&lt;&gt;"", X170,IF(File_Head&lt;&gt;"",Y170,"Filing status?"))))</f>
        <v/>
      </c>
      <c r="V172" s="2580">
        <f>"&gt;=100k"</f>
        <v/>
      </c>
      <c r="W172" s="2580" t="n"/>
      <c r="X172" s="2580" t="inlineStr">
        <is>
          <t>Tax &gt;&gt;</t>
        </is>
      </c>
      <c r="Y172" s="2581">
        <f>IF(NumFileStatusBoxes=0,"FilingStatus?",IF(U169&gt;100000,ROUND(U172,0),ROUND(U171,0)))</f>
        <v/>
      </c>
      <c r="Z172" s="8648" t="n"/>
      <c r="AA172" s="8648" t="n"/>
      <c r="AB172" s="8648" t="n"/>
    </row>
    <row r="173" ht="13.5" customHeight="1" s="7635" thickTop="1">
      <c r="U173" s="839" t="inlineStr">
        <is>
          <t>47.</t>
        </is>
      </c>
      <c r="V173" s="840" t="inlineStr">
        <is>
          <t>TAX: Smaller of line 45 or 46</t>
        </is>
      </c>
      <c r="W173" s="841" t="n"/>
      <c r="X173" s="2635">
        <f>IF(X116,MIN(X166,X167),"")</f>
        <v/>
      </c>
      <c r="Y173" s="842" t="n"/>
      <c r="Z173">
        <f>IF(X116,X173=MIN(Y81,V114,X173),FALSE)</f>
        <v/>
      </c>
      <c r="AA173" s="8648" t="n"/>
      <c r="AB173" s="8648" t="n"/>
    </row>
  </sheetData>
  <sheetProtection selectLockedCells="0" selectUnlockedCells="0" algorithmName="SHA-512" sheet="1" objects="0" insertRows="1" insertHyperlinks="1" autoFilter="1" scenarios="0" formatColumns="0" deleteColumns="1" insertColumns="1" pivotTables="1" deleteRows="1" formatCells="0" saltValue="dy8SafFimItFpUWRdY3t8Q==" formatRows="0" sort="1" spinCount="100000" hashValue="//W8hFQMfqCZjLbVlmqRUBZqsTTCwn4GWBD+f1ZTbn7EsFYGT6W/WJy1/oqN76uxy/j9aW0I6mr8S2Vcs2RsLw=="/>
  <mergeCells count="14">
    <mergeCell ref="C16:E16"/>
    <mergeCell ref="E79:O79"/>
    <mergeCell ref="C14:E14"/>
    <mergeCell ref="C5:O5"/>
    <mergeCell ref="C11:E11"/>
    <mergeCell ref="C13:E13"/>
    <mergeCell ref="N92:N94"/>
    <mergeCell ref="C8:E8"/>
    <mergeCell ref="C3:E3"/>
    <mergeCell ref="C17:E17"/>
    <mergeCell ref="C15:E15"/>
    <mergeCell ref="C12:E12"/>
    <mergeCell ref="C6:E6"/>
    <mergeCell ref="C10:E10"/>
  </mergeCells>
  <conditionalFormatting sqref="C8:E9">
    <cfRule type="expression" priority="1" dxfId="34">
      <formula>R8</formula>
    </cfRule>
  </conditionalFormatting>
  <conditionalFormatting sqref="C10:E10">
    <cfRule type="expression" priority="7" dxfId="0">
      <formula>NOT($R$10)</formula>
    </cfRule>
    <cfRule type="expression" priority="8" dxfId="34">
      <formula>$R$10</formula>
    </cfRule>
  </conditionalFormatting>
  <conditionalFormatting sqref="C5:O5">
    <cfRule type="expression" priority="2" dxfId="781">
      <formula>OR(R6,R8)</formula>
    </cfRule>
  </conditionalFormatting>
  <conditionalFormatting sqref="D35">
    <cfRule type="expression" priority="73" dxfId="6">
      <formula>IF(NoColor,1,0)</formula>
    </cfRule>
  </conditionalFormatting>
  <conditionalFormatting sqref="D38">
    <cfRule type="expression" priority="72" dxfId="6">
      <formula>IF(NoColor,1,0)</formula>
    </cfRule>
  </conditionalFormatting>
  <conditionalFormatting sqref="E80">
    <cfRule type="expression" priority="64" dxfId="14">
      <formula>IF(OR(Taxable_Inc="",Taxable_Inc=0),1,0)</formula>
    </cfRule>
  </conditionalFormatting>
  <conditionalFormatting sqref="F6:F7">
    <cfRule type="expression" priority="4" dxfId="781">
      <formula>AND(SchDTW_Used,SchD_Line1819_GT_0,SchD_Line1516_GT_0)</formula>
    </cfRule>
  </conditionalFormatting>
  <conditionalFormatting sqref="F8:F9">
    <cfRule type="expression" priority="3" dxfId="781">
      <formula>R8</formula>
    </cfRule>
  </conditionalFormatting>
  <conditionalFormatting sqref="J33">
    <cfRule type="expression" priority="76" dxfId="6">
      <formula>IF(NoColor,1,0)</formula>
    </cfRule>
  </conditionalFormatting>
  <conditionalFormatting sqref="J37">
    <cfRule type="expression" priority="75" dxfId="6">
      <formula>IF(NoColor,1,0)</formula>
    </cfRule>
  </conditionalFormatting>
  <conditionalFormatting sqref="J40">
    <cfRule type="expression" priority="74" dxfId="6">
      <formula>IF(NoColor,1,0)</formula>
    </cfRule>
  </conditionalFormatting>
  <conditionalFormatting sqref="L6:L7">
    <cfRule type="expression" priority="57" dxfId="781">
      <formula>L2</formula>
    </cfRule>
  </conditionalFormatting>
  <conditionalFormatting sqref="L32">
    <cfRule type="expression" priority="86" dxfId="6">
      <formula>IF(NoColor,1,0)</formula>
    </cfRule>
  </conditionalFormatting>
  <conditionalFormatting sqref="L41">
    <cfRule type="expression" priority="85" dxfId="6">
      <formula>IF(NoColor,1,0)</formula>
    </cfRule>
  </conditionalFormatting>
  <conditionalFormatting sqref="L44">
    <cfRule type="expression" priority="84" dxfId="6">
      <formula>IF(NoColor,1,0)</formula>
    </cfRule>
  </conditionalFormatting>
  <conditionalFormatting sqref="L46:L51">
    <cfRule type="expression" priority="80" dxfId="6">
      <formula>IF(NoColor,1,0)</formula>
    </cfRule>
  </conditionalFormatting>
  <conditionalFormatting sqref="L55">
    <cfRule type="expression" priority="79" dxfId="6">
      <formula>IF(NoColor,1,0)</formula>
    </cfRule>
  </conditionalFormatting>
  <conditionalFormatting sqref="L57:L60">
    <cfRule type="expression" priority="78" dxfId="6">
      <formula>IF(NoColor,1,0)</formula>
    </cfRule>
  </conditionalFormatting>
  <conditionalFormatting sqref="L62:L63">
    <cfRule type="expression" priority="77" dxfId="6">
      <formula>IF(NoColor,1,0)</formula>
    </cfRule>
  </conditionalFormatting>
  <conditionalFormatting sqref="N61">
    <cfRule type="expression" priority="71" dxfId="6">
      <formula>IF(NoColor,1,0)</formula>
    </cfRule>
  </conditionalFormatting>
  <conditionalFormatting sqref="N64">
    <cfRule type="expression" priority="70" dxfId="6">
      <formula>IF(NoColor,1,0)</formula>
    </cfRule>
  </conditionalFormatting>
  <conditionalFormatting sqref="N67:N68">
    <cfRule type="expression" priority="69" dxfId="6">
      <formula>IF(NoColor,1,0)</formula>
    </cfRule>
  </conditionalFormatting>
  <conditionalFormatting sqref="N71">
    <cfRule type="expression" priority="68" dxfId="6">
      <formula>IF(NoColor,1,0)</formula>
    </cfRule>
  </conditionalFormatting>
  <conditionalFormatting sqref="N75">
    <cfRule type="expression" priority="67" dxfId="6">
      <formula>IF(NoColor,1,0)</formula>
    </cfRule>
  </conditionalFormatting>
  <conditionalFormatting sqref="N82">
    <cfRule type="expression" priority="66" dxfId="6">
      <formula>IF(NoColor,1,0)</formula>
    </cfRule>
  </conditionalFormatting>
  <conditionalFormatting sqref="N84">
    <cfRule type="expression" priority="63" dxfId="6">
      <formula>IF(NoColor,1,0)</formula>
    </cfRule>
  </conditionalFormatting>
  <conditionalFormatting sqref="N86:N87">
    <cfRule type="expression" priority="62" dxfId="6">
      <formula>IF(NoColor,1,0)</formula>
    </cfRule>
  </conditionalFormatting>
  <conditionalFormatting sqref="N89">
    <cfRule type="expression" priority="61" dxfId="6">
      <formula>IF(NoColor,1,0)</formula>
    </cfRule>
  </conditionalFormatting>
  <conditionalFormatting sqref="N95">
    <cfRule type="expression" priority="60" dxfId="6">
      <formula>IF(NoColor,1,0)</formula>
    </cfRule>
  </conditionalFormatting>
  <conditionalFormatting sqref="N99">
    <cfRule type="expression" priority="59" dxfId="6">
      <formula>IF(NoColor,1,0)</formula>
    </cfRule>
  </conditionalFormatting>
  <conditionalFormatting sqref="N102">
    <cfRule type="expression" priority="58" dxfId="6">
      <formula>IF(NoColor,1,0)</formula>
    </cfRule>
  </conditionalFormatting>
  <conditionalFormatting sqref="X117:X160">
    <cfRule type="expression" priority="9" dxfId="6">
      <formula>IF(NoColor,1,0)</formula>
    </cfRule>
  </conditionalFormatting>
  <conditionalFormatting sqref="X166:X167">
    <cfRule type="expression" priority="16" dxfId="6">
      <formula>IF(NoColor,1,0)</formula>
    </cfRule>
  </conditionalFormatting>
  <conditionalFormatting sqref="X173">
    <cfRule type="expression" priority="15" dxfId="6">
      <formula>IF(NoColor,1,0)</formula>
    </cfRule>
  </conditionalFormatting>
  <pageMargins left="0.75" right="0.25" top="0.36" bottom="0.29" header="0.36" footer="0.21"/>
  <pageSetup orientation="portrait" scale="84" fitToHeight="0"/>
  <drawing xmlns:r="http://schemas.openxmlformats.org/officeDocument/2006/relationships" r:id="rId1"/>
</worksheet>
</file>

<file path=xl/worksheets/sheet27.xml><?xml version="1.0" encoding="utf-8"?>
<worksheet xmlns="http://schemas.openxmlformats.org/spreadsheetml/2006/main">
  <sheetPr>
    <outlinePr summaryBelow="1" summaryRight="1"/>
    <pageSetUpPr fitToPage="1"/>
  </sheetPr>
  <dimension ref="A1:AV506"/>
  <sheetViews>
    <sheetView zoomScale="115" zoomScaleNormal="115" zoomScaleSheetLayoutView="100" workbookViewId="0">
      <pane ySplit="1" topLeftCell="A2" activePane="bottomLeft" state="frozen"/>
      <selection activeCell="E24" sqref="E24"/>
      <selection pane="bottomLeft" activeCell="A1" sqref="A1"/>
    </sheetView>
  </sheetViews>
  <sheetFormatPr baseColWidth="8" defaultColWidth="9.140625" defaultRowHeight="12.75"/>
  <cols>
    <col width="11.28515625" customWidth="1" style="88" min="1" max="1"/>
    <col width="3.140625" customWidth="1" style="228" min="2" max="2"/>
    <col width="3.85546875" customWidth="1" style="88" min="3" max="3"/>
    <col width="9.140625" customWidth="1" style="88" min="4" max="5"/>
    <col width="10.7109375" customWidth="1" style="88" min="6" max="6"/>
    <col width="9.140625" customWidth="1" style="88" min="7" max="7"/>
    <col width="3.140625" customWidth="1" style="88" min="8" max="8"/>
    <col width="6" customWidth="1" style="88" min="9" max="9"/>
    <col width="7.140625" customWidth="1" style="88" min="10" max="10"/>
    <col width="10.28515625" customWidth="1" style="88" min="11" max="11"/>
    <col width="11" customWidth="1" style="88" min="12" max="12"/>
    <col width="10.140625" customWidth="1" style="88" min="13" max="13"/>
    <col width="10.42578125" customWidth="1" style="7847" min="14" max="14"/>
    <col width="9.85546875" customWidth="1" style="88" min="15" max="15"/>
    <col width="1" customWidth="1" style="88" min="16" max="16"/>
    <col width="3" customWidth="1" style="88" min="17" max="17"/>
    <col width="1" customWidth="1" style="88" min="18" max="18"/>
    <col width="3" customWidth="1" style="88" min="19" max="19"/>
    <col width="1" customWidth="1" style="88" min="20" max="20"/>
    <col width="3" customWidth="1" style="88" min="21" max="21"/>
    <col width="1" customWidth="1" style="88" min="22" max="22"/>
    <col width="3" customWidth="1" style="88" min="23" max="23"/>
    <col width="1" customWidth="1" style="88" min="24" max="24"/>
    <col width="3" customWidth="1" style="88" min="25" max="26"/>
    <col width="9.140625" customWidth="1" style="88" min="27" max="39"/>
    <col hidden="1" width="12.5703125" customWidth="1" style="7847" min="40" max="40"/>
    <col hidden="1" width="9.140625" customWidth="1" style="7847" min="41" max="41"/>
    <col hidden="1" width="9.140625" customWidth="1" style="88" min="42" max="48"/>
    <col width="9.140625" customWidth="1" style="88" min="49" max="16384"/>
  </cols>
  <sheetData>
    <row r="1" ht="42.75" customFormat="1" customHeight="1" s="182">
      <c r="A1" s="2637">
        <f>OR(N1,H21&lt;&gt;"",H28&lt;&gt;"",B34&lt;&gt;"",H65&lt;&gt;"",B157&lt;&gt;"",H294&lt;&gt;"",L316=0,EarnedIncomeWSB&lt;=0,O458&lt;=0)</f>
        <v/>
      </c>
      <c r="B1" s="2638">
        <f>IF(OR(H28&lt;&gt;"",B157&lt;&gt;"",AND(B310&lt;&gt;"",L316=0),AND(B370&lt;&gt;"",O428=0),B450&lt;&gt;"",AND($B$370&lt;&gt;"",O458=0)),1,0)</f>
        <v/>
      </c>
      <c r="C1" s="2639">
        <f>IF(OR(TaxYear="",Adj_Gross_Inc=""),"Answer questions as indicated in blue.",IF(AND(AN1="",AO1="",AP1="",B310&lt;&gt;"",N354&gt;0),"Your Earned Income Credit is "&amp;O354&amp;" - as indicated on Worksheet A, Part 3, Step 6.",IF(AND(AN1="",AO1="",AP1="",B370&lt;&gt;"",O496&gt;0),"Your Earned Income Credit is "&amp;AA496&amp;" - as indicated on Worksheet B, Part 7.",IF(AN1&lt;&gt;"",AN1,IF(AO1&lt;&gt;"",AO1,IF(AP1&lt;&gt;"",AP1,""))))))</f>
        <v/>
      </c>
      <c r="L1" s="2640" t="n"/>
      <c r="N1" s="2641">
        <f>OR(G28,A157,G185,G199,A216,A321,A430,O462)</f>
        <v/>
      </c>
      <c r="O1" s="6192">
        <f>OR(G28,A157,G199,A216,A321,A430,O462)</f>
        <v/>
      </c>
      <c r="AA1" s="686" t="inlineStr">
        <is>
          <t>Notes</t>
        </is>
      </c>
      <c r="AB1" s="665" t="n"/>
      <c r="AC1" s="665" t="n"/>
      <c r="AD1" s="665" t="n"/>
      <c r="AE1" s="665" t="n"/>
      <c r="AF1" s="665" t="n"/>
      <c r="AG1" s="665" t="n"/>
      <c r="AH1" s="665" t="n"/>
      <c r="AI1" s="665" t="n"/>
      <c r="AJ1" s="665" t="n"/>
      <c r="AK1" s="665" t="n"/>
      <c r="AL1" s="665" t="n"/>
      <c r="AN1" s="667">
        <f>IF(AND(B81&lt;&gt;"",H83=""),"Check box at Step 2 if you can take the credit",IF(NoEICredit,"You can't take the Earned Income Credit. Scroll down to see why.",IF(AND(B28="",H28=""),"Please answer question at Step 1, Question 2.",IF(AND(B34="",H34=""),"Please answer question at Step 1, Question 3.",IF(AND(B39="",H39=""),"Please answer question at Step 1, Question 4.",IF(AND(B60&lt;&gt;"",B65=""),"Please answer question at Step 2, Question 3.",IF(AND(A60,B71="",B73="",B76="",H81="",N60),"Please answer question at Step 2, Question 4.","")))))))</f>
        <v/>
      </c>
      <c r="AO1" s="667">
        <f>IF(B112="","Please indicate number of qualifying children at Step 3.",IF(AND(B120&lt;&gt;"",B125&lt;&gt;"X",B157="",H157=""),"Please answer question at Step 3, Question 3.",""))</f>
        <v/>
      </c>
      <c r="AP1" s="667">
        <f>IF(AND(B235="",H235=""),"Please answer question at Step 5, Question 1.",IF(AND(B276="",H276=""),"Please answer question at Step 5, Question 2.",IF(AND(H276&lt;&gt;"",B302="",H302=""),"Please answer question at Step 6, Question 1.",IF(AND(B370&lt;&gt;"",OR(O401="",R403="",R404="",R405="")),"Please enter values at Worksheet B, Part 2, Question 2.",""))))</f>
        <v/>
      </c>
      <c r="AQ1" s="665" t="n"/>
      <c r="AR1" s="665" t="n"/>
      <c r="AS1" s="665" t="n"/>
      <c r="AT1" s="665" t="n"/>
      <c r="AU1" s="665" t="n"/>
      <c r="AV1" s="665" t="n"/>
    </row>
    <row r="2" ht="15.75" customFormat="1" customHeight="1" s="2445">
      <c r="A2" s="2642" t="inlineStr">
        <is>
          <t>line 27a --</t>
        </is>
      </c>
      <c r="B2" s="2642" t="n"/>
      <c r="C2" s="2642" t="n"/>
      <c r="AA2" s="668" t="n"/>
      <c r="AB2" s="668" t="n"/>
      <c r="AC2" s="668" t="n"/>
      <c r="AD2" s="668" t="n"/>
      <c r="AE2" s="668" t="n"/>
      <c r="AF2" s="668" t="n"/>
      <c r="AG2" s="668" t="n"/>
      <c r="AH2" s="668" t="n"/>
      <c r="AI2" s="668" t="n"/>
      <c r="AJ2" s="668" t="n"/>
      <c r="AK2" s="668" t="n"/>
      <c r="AL2" s="668" t="n"/>
      <c r="AN2" s="669" t="n"/>
      <c r="AO2" s="669" t="n"/>
      <c r="AP2" s="668" t="n"/>
      <c r="AQ2" s="668" t="n"/>
      <c r="AR2" s="668" t="n"/>
      <c r="AS2" s="668" t="n"/>
      <c r="AT2" s="668" t="n"/>
      <c r="AU2" s="668" t="n"/>
      <c r="AV2" s="668" t="n"/>
    </row>
    <row r="3" ht="15.75" customFormat="1" customHeight="1" s="2445">
      <c r="A3" s="2642" t="inlineStr">
        <is>
          <t>Earned Income Credit (EIC)</t>
        </is>
      </c>
      <c r="B3" s="2642" t="n"/>
      <c r="C3" s="2642" t="n"/>
      <c r="G3" s="813" t="n"/>
      <c r="H3" s="2643" t="n"/>
      <c r="I3" s="2643" t="n"/>
      <c r="J3" s="2643" t="n"/>
      <c r="K3" s="2643" t="n"/>
      <c r="L3" s="2643" t="n"/>
      <c r="M3" s="2643" t="n"/>
      <c r="N3" s="2643" t="n"/>
      <c r="O3" s="2643" t="n"/>
      <c r="P3" s="2643" t="n"/>
      <c r="Q3" s="2643" t="n"/>
      <c r="R3" s="2643" t="n"/>
      <c r="S3" s="2643" t="n"/>
      <c r="T3" s="2643" t="n"/>
      <c r="U3" s="2643" t="n"/>
      <c r="V3" s="2643" t="n"/>
      <c r="W3" s="2643" t="n"/>
      <c r="X3" s="2643" t="n"/>
      <c r="Y3" s="2643" t="n"/>
      <c r="Z3" s="2643" t="n"/>
      <c r="AA3" s="668" t="n"/>
      <c r="AB3" s="668" t="n"/>
      <c r="AC3" s="668" t="n"/>
      <c r="AD3" s="668" t="n"/>
      <c r="AE3" s="668" t="n"/>
      <c r="AF3" s="668" t="n"/>
      <c r="AG3" s="668" t="n"/>
      <c r="AH3" s="668" t="n"/>
      <c r="AI3" s="668" t="n"/>
      <c r="AJ3" s="668" t="n"/>
      <c r="AK3" s="668" t="n"/>
      <c r="AL3" s="668" t="n"/>
      <c r="AN3" s="669" t="n"/>
      <c r="AO3" s="669" t="n"/>
      <c r="AP3" s="668" t="n"/>
      <c r="AQ3" s="668" t="n"/>
      <c r="AR3" s="668" t="n"/>
      <c r="AS3" s="668" t="n"/>
      <c r="AT3" s="668" t="n"/>
      <c r="AU3" s="668" t="n"/>
      <c r="AV3" s="668" t="n"/>
    </row>
    <row r="4" ht="15.75" customHeight="1" s="7635">
      <c r="A4" s="2644" t="n"/>
      <c r="B4" s="2644" t="n"/>
      <c r="C4" s="2644" t="n"/>
      <c r="H4" s="2643" t="n"/>
      <c r="N4" s="88" t="n"/>
      <c r="AA4" s="658" t="n"/>
      <c r="AB4" s="658" t="n"/>
      <c r="AC4" s="658" t="n"/>
      <c r="AD4" s="658" t="n"/>
      <c r="AE4" s="658" t="n"/>
      <c r="AF4" s="658" t="n"/>
      <c r="AG4" s="658" t="n"/>
      <c r="AH4" s="658" t="n"/>
      <c r="AI4" s="658" t="n"/>
      <c r="AJ4" s="658" t="n"/>
      <c r="AK4" s="658" t="n"/>
      <c r="AL4" s="658" t="n"/>
      <c r="AN4" s="670" t="n"/>
      <c r="AO4" s="670" t="n"/>
      <c r="AP4" s="658" t="n"/>
      <c r="AQ4" s="658" t="n"/>
      <c r="AR4" s="658" t="n"/>
      <c r="AS4" s="658" t="n"/>
      <c r="AT4" s="658" t="n"/>
      <c r="AU4" s="658" t="n"/>
      <c r="AV4" s="658" t="n"/>
    </row>
    <row r="5" ht="15.75" customFormat="1" customHeight="1" s="2445">
      <c r="A5" s="9180" t="inlineStr">
        <is>
          <t>Step 1</t>
        </is>
      </c>
      <c r="B5" s="2647" t="inlineStr">
        <is>
          <t>All Filers</t>
        </is>
      </c>
      <c r="C5" s="2642" t="n"/>
      <c r="G5" s="88" t="n"/>
      <c r="H5" s="2643" t="n"/>
      <c r="I5" s="88" t="n"/>
      <c r="J5" s="88" t="n"/>
      <c r="K5" s="88" t="n"/>
      <c r="L5" s="88" t="n"/>
      <c r="M5" s="2643" t="n"/>
      <c r="N5" s="2643" t="n"/>
      <c r="O5" s="8874" t="inlineStr">
        <is>
          <t>Override</t>
        </is>
      </c>
      <c r="P5" s="88" t="n"/>
      <c r="Q5" s="88" t="n"/>
      <c r="R5" s="88" t="n"/>
      <c r="S5" s="88" t="n"/>
      <c r="T5" s="88" t="n"/>
      <c r="U5" s="88" t="n"/>
      <c r="V5" s="88" t="n"/>
      <c r="W5" s="88" t="n"/>
      <c r="X5" s="88" t="n"/>
      <c r="Y5" s="88" t="n"/>
      <c r="Z5" s="88" t="n"/>
      <c r="AA5" s="668" t="n"/>
      <c r="AB5" s="668" t="n"/>
      <c r="AC5" s="668" t="n"/>
      <c r="AD5" s="668" t="n"/>
      <c r="AE5" s="668" t="n"/>
      <c r="AF5" s="668" t="n"/>
      <c r="AG5" s="668" t="n"/>
      <c r="AH5" s="668" t="n"/>
      <c r="AI5" s="668" t="n"/>
      <c r="AJ5" s="668" t="n"/>
      <c r="AK5" s="668" t="n"/>
      <c r="AL5" s="668" t="n"/>
      <c r="AN5" s="669" t="n"/>
      <c r="AO5" s="669" t="n"/>
      <c r="AP5" s="668" t="n"/>
      <c r="AQ5" s="668" t="n"/>
      <c r="AR5" s="668" t="n"/>
      <c r="AS5" s="668" t="n"/>
      <c r="AT5" s="668" t="n"/>
      <c r="AU5" s="668" t="n"/>
      <c r="AV5" s="668" t="n"/>
    </row>
    <row r="6">
      <c r="H6" s="2643" t="n"/>
      <c r="M6" s="2052" t="inlineStr">
        <is>
          <t>Number of qualified children for EIC from 'Dependents' sheet</t>
        </is>
      </c>
      <c r="N6" s="6170">
        <f>IF(O6&lt;&gt;"",ROUND(O6,0),Qual_Child_Number_EIC)</f>
        <v/>
      </c>
      <c r="O6" s="1303" t="n"/>
      <c r="P6" s="2868" t="n"/>
      <c r="Q6" s="2868" t="n"/>
      <c r="R6" s="2868" t="n"/>
      <c r="S6" s="2868" t="n"/>
      <c r="T6" s="2868" t="n"/>
      <c r="U6" s="2868" t="n"/>
      <c r="V6" s="2868" t="n"/>
      <c r="W6" s="2868" t="n"/>
      <c r="X6" s="2868" t="n"/>
      <c r="Y6" s="2868" t="n"/>
      <c r="AA6" s="658" t="n"/>
      <c r="AB6" s="658" t="n"/>
      <c r="AC6" s="658" t="n"/>
      <c r="AD6" s="658" t="n"/>
      <c r="AE6" s="658" t="n"/>
      <c r="AF6" s="658" t="n"/>
      <c r="AG6" s="658" t="n"/>
      <c r="AH6" s="658" t="n"/>
      <c r="AI6" s="658" t="n"/>
      <c r="AJ6" s="658" t="n"/>
      <c r="AK6" s="658" t="n"/>
      <c r="AL6" s="658" t="n"/>
      <c r="AN6" s="670" t="n"/>
      <c r="AO6" s="670" t="n"/>
      <c r="AP6" s="658" t="n"/>
      <c r="AQ6" s="658" t="n"/>
      <c r="AR6" s="658" t="n"/>
      <c r="AS6" s="658" t="n"/>
      <c r="AT6" s="658" t="n"/>
      <c r="AU6" s="658" t="n"/>
      <c r="AV6" s="658" t="n"/>
    </row>
    <row r="7">
      <c r="C7" s="2648" t="inlineStr">
        <is>
          <t>1.</t>
        </is>
      </c>
      <c r="D7" s="88">
        <f>"If, in "&amp;TaxYear&amp;":"</f>
        <v/>
      </c>
      <c r="M7" s="2868" t="n"/>
      <c r="N7" s="2868" t="n"/>
      <c r="O7" s="2868" t="n"/>
      <c r="P7" s="2868" t="n"/>
      <c r="Q7" s="2868" t="n"/>
      <c r="R7" s="2868" t="n"/>
      <c r="S7" s="2868" t="n"/>
      <c r="T7" s="2868" t="n"/>
      <c r="U7" s="2868" t="n"/>
      <c r="V7" s="2868" t="n"/>
      <c r="W7" s="2868" t="n"/>
      <c r="X7" s="2868" t="n"/>
      <c r="Y7" s="2868" t="n"/>
      <c r="AA7" s="658" t="n"/>
      <c r="AB7" s="658" t="n"/>
      <c r="AC7" s="658" t="n"/>
      <c r="AD7" s="658" t="n"/>
      <c r="AE7" s="658" t="n"/>
      <c r="AF7" s="658" t="n"/>
      <c r="AG7" s="658" t="n"/>
      <c r="AH7" s="658" t="n"/>
      <c r="AI7" s="658" t="n"/>
      <c r="AJ7" s="658" t="n"/>
      <c r="AK7" s="658" t="n"/>
      <c r="AL7" s="658" t="n"/>
      <c r="AN7" s="670" t="n"/>
      <c r="AO7" s="670" t="n"/>
      <c r="AP7" s="658" t="n"/>
      <c r="AQ7" s="658" t="n"/>
      <c r="AR7" s="658" t="n"/>
      <c r="AS7" s="658" t="n"/>
      <c r="AT7" s="658" t="n"/>
      <c r="AU7" s="658" t="n"/>
      <c r="AV7" s="658" t="n"/>
    </row>
    <row r="8" ht="7.5" customHeight="1" s="7635">
      <c r="M8" s="2868" t="n"/>
      <c r="N8" s="2869" t="n"/>
      <c r="O8" s="2868" t="n"/>
      <c r="P8" s="2868" t="n"/>
      <c r="Q8" s="2868" t="n"/>
      <c r="R8" s="2868" t="n"/>
      <c r="S8" s="2868" t="n"/>
      <c r="T8" s="2868" t="n"/>
      <c r="U8" s="2868" t="n"/>
      <c r="V8" s="2868" t="n"/>
      <c r="W8" s="2868" t="n"/>
      <c r="X8" s="2868" t="n"/>
      <c r="Y8" s="2868" t="n"/>
      <c r="AA8" s="658" t="n"/>
      <c r="AB8" s="658" t="n"/>
      <c r="AC8" s="658" t="n"/>
      <c r="AD8" s="658" t="n"/>
      <c r="AE8" s="658" t="n"/>
      <c r="AF8" s="658" t="n"/>
      <c r="AG8" s="658" t="n"/>
      <c r="AH8" s="658" t="n"/>
      <c r="AI8" s="658" t="n"/>
      <c r="AJ8" s="658" t="n"/>
      <c r="AK8" s="658" t="n"/>
      <c r="AL8" s="658" t="n"/>
      <c r="AN8" s="670" t="n"/>
      <c r="AO8" s="670" t="n"/>
      <c r="AP8" s="658" t="n"/>
      <c r="AQ8" s="658" t="n"/>
      <c r="AR8" s="658" t="n"/>
      <c r="AS8" s="658" t="n"/>
      <c r="AT8" s="658" t="n"/>
      <c r="AU8" s="658" t="n"/>
      <c r="AV8" s="658" t="n"/>
    </row>
    <row r="9">
      <c r="B9" s="2650">
        <f>IF(OR(NumFileStatusBoxes=0,Adj_Gross_Inc=""),"",IF(N6&gt;=3,"®",""))</f>
        <v/>
      </c>
      <c r="C9" s="2643" t="inlineStr">
        <is>
          <t>●</t>
        </is>
      </c>
      <c r="D9" s="11403" t="inlineStr">
        <is>
          <t>3 or more children lived with you,</t>
        </is>
      </c>
      <c r="M9" s="2868" t="n"/>
      <c r="N9" s="2469" t="inlineStr">
        <is>
          <t>All, except MFJ</t>
        </is>
      </c>
      <c r="O9" s="8839" t="inlineStr">
        <is>
          <t>MFJ</t>
        </is>
      </c>
      <c r="P9" s="2868" t="n"/>
      <c r="Q9" s="2868" t="n"/>
      <c r="R9" s="2868" t="n"/>
      <c r="S9" s="2868" t="n"/>
      <c r="T9" s="2868" t="n"/>
      <c r="U9" s="2868" t="n"/>
      <c r="V9" s="2868" t="n"/>
      <c r="W9" s="2868" t="n"/>
      <c r="X9" s="2868" t="n"/>
      <c r="Y9" s="2868" t="n"/>
      <c r="AA9" s="658" t="n"/>
      <c r="AB9" s="658" t="n"/>
      <c r="AC9" s="658" t="n"/>
      <c r="AD9" s="658" t="n"/>
      <c r="AE9" s="658" t="n"/>
      <c r="AF9" s="658" t="n"/>
      <c r="AG9" s="658" t="n"/>
      <c r="AH9" s="658" t="n"/>
      <c r="AI9" s="658" t="n"/>
      <c r="AJ9" s="658" t="n"/>
      <c r="AK9" s="658" t="n"/>
      <c r="AL9" s="658" t="n"/>
      <c r="AN9" s="670" t="n"/>
      <c r="AO9" s="670" t="n"/>
      <c r="AP9" s="658" t="n"/>
      <c r="AQ9" s="658" t="n"/>
      <c r="AR9" s="658" t="n"/>
      <c r="AS9" s="658" t="n"/>
      <c r="AT9" s="658" t="n"/>
      <c r="AU9" s="658" t="n"/>
      <c r="AV9" s="658" t="n"/>
    </row>
    <row r="10">
      <c r="B10" s="2652" t="n"/>
      <c r="D10" s="88">
        <f>"Is the amount on Form 1040, line 11, less than "&amp;TEXT(N10,"$0,000")&amp;" ("&amp;TEXT(O10,"$0,000")&amp;" if married filing jointly)?"</f>
        <v/>
      </c>
      <c r="M10" s="2870">
        <f>IF(B9&lt;&gt;"®","",IF(Adj_Gross_Inc&lt;N11,"Yes","No"))</f>
        <v/>
      </c>
      <c r="N10" s="2468">
        <f t="array" ref="N10">EIC_Max_ThreeChildren</f>
        <v/>
      </c>
      <c r="O10" s="2468">
        <f t="array" ref="O10">EIC_Max_MFJ_ThreeChildren</f>
        <v/>
      </c>
      <c r="P10" s="2868" t="n"/>
      <c r="Q10" s="2868" t="n"/>
      <c r="R10" s="2868" t="n"/>
      <c r="S10" s="2868" t="n"/>
      <c r="T10" s="2868" t="n"/>
      <c r="U10" s="2868" t="n"/>
      <c r="V10" s="2868" t="n"/>
      <c r="W10" s="2868" t="n"/>
      <c r="X10" s="2868" t="n"/>
      <c r="Y10" s="2868" t="n"/>
      <c r="AA10" s="658" t="n"/>
      <c r="AB10" s="658" t="n"/>
      <c r="AC10" s="658" t="n"/>
      <c r="AD10" s="658" t="n"/>
      <c r="AE10" s="658" t="n"/>
      <c r="AF10" s="658" t="n"/>
      <c r="AG10" s="658" t="n"/>
      <c r="AH10" s="658" t="n"/>
      <c r="AI10" s="658" t="n"/>
      <c r="AJ10" s="658" t="n"/>
      <c r="AK10" s="658" t="n"/>
      <c r="AL10" s="658" t="n"/>
      <c r="AN10" s="670" t="n"/>
      <c r="AO10" s="670" t="n"/>
      <c r="AP10" s="658" t="n"/>
      <c r="AQ10" s="658" t="n"/>
      <c r="AR10" s="658" t="n"/>
      <c r="AS10" s="658" t="n"/>
      <c r="AT10" s="658" t="n"/>
      <c r="AU10" s="658" t="n"/>
      <c r="AV10" s="658" t="n"/>
    </row>
    <row r="11">
      <c r="B11" s="2652" t="n"/>
      <c r="C11" s="228" t="inlineStr">
        <is>
          <t>or</t>
        </is>
      </c>
      <c r="M11" s="2868" t="n"/>
      <c r="N11" s="2468">
        <f>IF(File_Marr_Joint&lt;&gt;"",O10,N10)</f>
        <v/>
      </c>
      <c r="O11" s="441" t="n"/>
      <c r="P11" s="2868" t="n"/>
      <c r="Q11" s="2868" t="n"/>
      <c r="R11" s="2868" t="n"/>
      <c r="S11" s="2868" t="n"/>
      <c r="T11" s="2868" t="n"/>
      <c r="U11" s="2868" t="n"/>
      <c r="V11" s="2868" t="n"/>
      <c r="W11" s="2868" t="n"/>
      <c r="X11" s="2868" t="n"/>
      <c r="Y11" s="2868" t="n"/>
      <c r="AA11" s="658" t="n"/>
      <c r="AB11" s="658" t="n"/>
      <c r="AC11" s="658" t="n"/>
      <c r="AD11" s="658" t="n"/>
      <c r="AE11" s="658" t="n"/>
      <c r="AF11" s="658" t="n"/>
      <c r="AG11" s="658" t="n"/>
      <c r="AH11" s="658" t="n"/>
      <c r="AI11" s="658" t="n"/>
      <c r="AJ11" s="658" t="n"/>
      <c r="AK11" s="658" t="n"/>
      <c r="AL11" s="658" t="n"/>
      <c r="AN11" s="670" t="n"/>
      <c r="AO11" s="670" t="n"/>
      <c r="AP11" s="658" t="n"/>
      <c r="AQ11" s="658" t="n"/>
      <c r="AR11" s="658" t="n"/>
      <c r="AS11" s="658" t="n"/>
      <c r="AT11" s="658" t="n"/>
      <c r="AU11" s="658" t="n"/>
      <c r="AV11" s="658" t="n"/>
    </row>
    <row r="12">
      <c r="B12" s="2650">
        <f>IF(OR(NumFileStatusBoxes=0,Adj_Gross_Inc=""),"",IF(N6=2,"®",""))</f>
        <v/>
      </c>
      <c r="C12" s="2643" t="inlineStr">
        <is>
          <t>●</t>
        </is>
      </c>
      <c r="D12" s="11403" t="inlineStr">
        <is>
          <t>2 children lived with you,</t>
        </is>
      </c>
      <c r="M12" s="2868" t="n"/>
      <c r="N12" s="2469" t="n"/>
      <c r="O12" s="441" t="n"/>
      <c r="P12" s="2868" t="n"/>
      <c r="Q12" s="2868" t="n"/>
      <c r="R12" s="2868" t="n"/>
      <c r="S12" s="2868" t="n"/>
      <c r="T12" s="2868" t="n"/>
      <c r="U12" s="2868" t="n"/>
      <c r="V12" s="2868" t="n"/>
      <c r="W12" s="2868" t="n"/>
      <c r="X12" s="2868" t="n"/>
      <c r="Y12" s="2868" t="n"/>
      <c r="AA12" s="658" t="n"/>
      <c r="AB12" s="658" t="n"/>
      <c r="AC12" s="658" t="n"/>
      <c r="AD12" s="658" t="n"/>
      <c r="AE12" s="658" t="n"/>
      <c r="AF12" s="658" t="n"/>
      <c r="AG12" s="658" t="n"/>
      <c r="AH12" s="658" t="n"/>
      <c r="AI12" s="658" t="n"/>
      <c r="AJ12" s="658" t="n"/>
      <c r="AK12" s="658" t="n"/>
      <c r="AL12" s="658" t="n"/>
      <c r="AN12" s="670" t="n"/>
      <c r="AO12" s="670" t="n"/>
      <c r="AP12" s="658" t="n"/>
      <c r="AQ12" s="658" t="n"/>
      <c r="AR12" s="658" t="n"/>
      <c r="AS12" s="658" t="n"/>
      <c r="AT12" s="658" t="n"/>
      <c r="AU12" s="658" t="n"/>
      <c r="AV12" s="658" t="n"/>
    </row>
    <row r="13">
      <c r="B13" s="2652" t="n"/>
      <c r="D13" s="88">
        <f>"Is the amount on Form 1040, line 11, less than "&amp;TEXT(N13,"$0,000")&amp;" ("&amp;TEXT(O13,"$0,000")&amp;" if married filing jointly)?"</f>
        <v/>
      </c>
      <c r="M13" s="2870">
        <f>IF(B12&lt;&gt;"®","",IF(Adj_Gross_Inc&lt;N14,"Yes","No"))</f>
        <v/>
      </c>
      <c r="N13" s="2468">
        <f t="array" ref="N13">EIC_Max_TwoChildren</f>
        <v/>
      </c>
      <c r="O13" s="2468">
        <f t="array" ref="O13">EIC_Max_MFJ_TwoChildren</f>
        <v/>
      </c>
      <c r="P13" s="2868" t="n"/>
      <c r="Q13" s="2868" t="n"/>
      <c r="R13" s="2868" t="n"/>
      <c r="S13" s="2868" t="n"/>
      <c r="T13" s="2868" t="n"/>
      <c r="U13" s="2868" t="n"/>
      <c r="V13" s="2868" t="n"/>
      <c r="W13" s="2868" t="n"/>
      <c r="X13" s="2868" t="n"/>
      <c r="Y13" s="2868" t="n"/>
      <c r="AA13" s="658" t="n"/>
      <c r="AB13" s="658" t="n"/>
      <c r="AC13" s="658" t="n"/>
      <c r="AD13" s="658" t="n"/>
      <c r="AE13" s="658" t="n"/>
      <c r="AF13" s="658" t="n"/>
      <c r="AG13" s="658" t="n"/>
      <c r="AH13" s="658" t="n"/>
      <c r="AI13" s="658" t="n"/>
      <c r="AJ13" s="658" t="n"/>
      <c r="AK13" s="658" t="n"/>
      <c r="AL13" s="658" t="n"/>
      <c r="AN13" s="670" t="n"/>
      <c r="AO13" s="670" t="n"/>
      <c r="AP13" s="658" t="n"/>
      <c r="AQ13" s="658" t="n"/>
      <c r="AR13" s="658" t="n"/>
      <c r="AS13" s="658" t="n"/>
      <c r="AT13" s="658" t="n"/>
      <c r="AU13" s="658" t="n"/>
      <c r="AV13" s="658" t="n"/>
    </row>
    <row r="14">
      <c r="B14" s="2652" t="n"/>
      <c r="C14" s="228" t="inlineStr">
        <is>
          <t>or</t>
        </is>
      </c>
      <c r="M14" s="2868" t="n"/>
      <c r="N14" s="2468">
        <f>IF(File_Marr_Joint&lt;&gt;"",O13,N13)</f>
        <v/>
      </c>
      <c r="O14" s="441" t="n"/>
      <c r="P14" s="2868" t="n"/>
      <c r="Q14" s="2868" t="n"/>
      <c r="R14" s="2868" t="n"/>
      <c r="S14" s="2868" t="n"/>
      <c r="T14" s="2868" t="n"/>
      <c r="U14" s="2868" t="n"/>
      <c r="V14" s="2868" t="n"/>
      <c r="W14" s="2868" t="n"/>
      <c r="X14" s="2868" t="n"/>
      <c r="Y14" s="2868" t="n"/>
      <c r="AA14" s="658" t="n"/>
      <c r="AB14" s="658" t="n"/>
      <c r="AC14" s="658" t="n"/>
      <c r="AD14" s="658" t="n"/>
      <c r="AE14" s="658" t="n"/>
      <c r="AF14" s="658" t="n"/>
      <c r="AG14" s="658" t="n"/>
      <c r="AH14" s="658" t="n"/>
      <c r="AI14" s="658" t="n"/>
      <c r="AJ14" s="658" t="n"/>
      <c r="AK14" s="658" t="n"/>
      <c r="AL14" s="658" t="n"/>
      <c r="AN14" s="670" t="n"/>
      <c r="AO14" s="670" t="n"/>
      <c r="AP14" s="658" t="n"/>
      <c r="AQ14" s="658" t="n"/>
      <c r="AR14" s="658" t="n"/>
      <c r="AS14" s="658" t="n"/>
      <c r="AT14" s="658" t="n"/>
      <c r="AU14" s="658" t="n"/>
      <c r="AV14" s="658" t="n"/>
    </row>
    <row r="15">
      <c r="B15" s="2650">
        <f>IF(OR(NumFileStatusBoxes=0,Adj_Gross_Inc=""),"",IF(N6=1,"®",""))</f>
        <v/>
      </c>
      <c r="C15" s="2643" t="inlineStr">
        <is>
          <t>●</t>
        </is>
      </c>
      <c r="D15" s="11403" t="inlineStr">
        <is>
          <t>1 child lived with you,</t>
        </is>
      </c>
      <c r="M15" s="2868" t="n"/>
      <c r="N15" s="441" t="n"/>
      <c r="O15" s="441" t="n"/>
      <c r="P15" s="2868" t="n"/>
      <c r="Q15" s="2868" t="n"/>
      <c r="R15" s="2868" t="n"/>
      <c r="S15" s="2868" t="n"/>
      <c r="T15" s="2868" t="n"/>
      <c r="U15" s="2868" t="n"/>
      <c r="V15" s="2868" t="n"/>
      <c r="W15" s="2868" t="n"/>
      <c r="X15" s="2868" t="n"/>
      <c r="Y15" s="2868" t="n"/>
      <c r="AA15" s="658" t="n"/>
      <c r="AB15" s="658" t="n"/>
      <c r="AC15" s="658" t="n"/>
      <c r="AD15" s="658" t="n"/>
      <c r="AE15" s="658" t="n"/>
      <c r="AF15" s="658" t="n"/>
      <c r="AG15" s="658" t="n"/>
      <c r="AH15" s="658" t="n"/>
      <c r="AI15" s="658" t="n"/>
      <c r="AJ15" s="658" t="n"/>
      <c r="AK15" s="658" t="n"/>
      <c r="AL15" s="658" t="n"/>
      <c r="AN15" s="670" t="n"/>
      <c r="AO15" s="670" t="n"/>
      <c r="AP15" s="658" t="n"/>
      <c r="AQ15" s="658" t="n"/>
      <c r="AR15" s="658" t="n"/>
      <c r="AS15" s="658" t="n"/>
      <c r="AT15" s="658" t="n"/>
      <c r="AU15" s="658" t="n"/>
      <c r="AV15" s="658" t="n"/>
    </row>
    <row r="16">
      <c r="B16" s="2652" t="n"/>
      <c r="D16" s="88">
        <f>"Is the amount on Form 1040, line 11, less than "&amp;TEXT(N16,"$0,000")&amp;" ("&amp;TEXT(O16,"$0,000")&amp;" if married filing jointly)?"</f>
        <v/>
      </c>
      <c r="M16" s="2870">
        <f>IF(B15&lt;&gt;"®","",IF(Adj_Gross_Inc&lt;N17,"Yes","No"))</f>
        <v/>
      </c>
      <c r="N16" s="2468">
        <f t="array" ref="N16">EIC_Max_OneChild</f>
        <v/>
      </c>
      <c r="O16" s="2468">
        <f t="array" ref="O16">EIC_Max_MFJ_OneChild</f>
        <v/>
      </c>
      <c r="P16" s="2868" t="n"/>
      <c r="Q16" s="2868" t="n"/>
      <c r="R16" s="2868" t="n"/>
      <c r="S16" s="2868" t="n"/>
      <c r="T16" s="2868" t="n"/>
      <c r="U16" s="2868" t="n"/>
      <c r="V16" s="2868" t="n"/>
      <c r="W16" s="2868" t="n"/>
      <c r="X16" s="2868" t="n"/>
      <c r="Y16" s="2868" t="n"/>
      <c r="AA16" s="658" t="n"/>
      <c r="AB16" s="658" t="n"/>
      <c r="AC16" s="658" t="n"/>
      <c r="AD16" s="658" t="n"/>
      <c r="AE16" s="658" t="n"/>
      <c r="AF16" s="658" t="n"/>
      <c r="AG16" s="658" t="n"/>
      <c r="AH16" s="658" t="n"/>
      <c r="AI16" s="658" t="n"/>
      <c r="AJ16" s="658" t="n"/>
      <c r="AK16" s="658" t="n"/>
      <c r="AL16" s="658" t="n"/>
      <c r="AN16" s="670" t="n"/>
      <c r="AO16" s="670" t="n"/>
      <c r="AP16" s="658" t="n"/>
      <c r="AQ16" s="658" t="n"/>
      <c r="AR16" s="658" t="n"/>
      <c r="AS16" s="658" t="n"/>
      <c r="AT16" s="658" t="n"/>
      <c r="AU16" s="658" t="n"/>
      <c r="AV16" s="658" t="n"/>
    </row>
    <row r="17">
      <c r="B17" s="2652" t="n"/>
      <c r="C17" s="228" t="inlineStr">
        <is>
          <t>or</t>
        </is>
      </c>
      <c r="M17" s="2868" t="n"/>
      <c r="N17" s="2468">
        <f>IF(File_Marr_Joint&lt;&gt;"",O16,N16)</f>
        <v/>
      </c>
      <c r="O17" s="441" t="n"/>
      <c r="P17" s="2868" t="n"/>
      <c r="Q17" s="2868" t="n"/>
      <c r="R17" s="2868" t="n"/>
      <c r="S17" s="2868" t="n"/>
      <c r="T17" s="2868" t="n"/>
      <c r="U17" s="2868" t="n"/>
      <c r="V17" s="2868" t="n"/>
      <c r="W17" s="2868" t="n"/>
      <c r="X17" s="2868" t="n"/>
      <c r="Y17" s="2868" t="n"/>
      <c r="AA17" s="658" t="n"/>
      <c r="AB17" s="658" t="n"/>
      <c r="AC17" s="658" t="n"/>
      <c r="AD17" s="658" t="n"/>
      <c r="AE17" s="658" t="n"/>
      <c r="AF17" s="658" t="n"/>
      <c r="AG17" s="658" t="n"/>
      <c r="AH17" s="658" t="n"/>
      <c r="AI17" s="658" t="n"/>
      <c r="AJ17" s="658" t="n"/>
      <c r="AK17" s="658" t="n"/>
      <c r="AL17" s="658" t="n"/>
      <c r="AN17" s="670" t="n"/>
      <c r="AO17" s="670" t="n"/>
      <c r="AP17" s="658" t="n"/>
      <c r="AQ17" s="658" t="n"/>
      <c r="AR17" s="658" t="n"/>
      <c r="AS17" s="658" t="n"/>
      <c r="AT17" s="658" t="n"/>
      <c r="AU17" s="658" t="n"/>
      <c r="AV17" s="658" t="n"/>
    </row>
    <row r="18">
      <c r="B18" s="2650">
        <f>IF(OR(NumFileStatusBoxes=0,Adj_Gross_Inc=""),"",IF(N6=0,"®",""))</f>
        <v/>
      </c>
      <c r="C18" s="2643" t="inlineStr">
        <is>
          <t>●</t>
        </is>
      </c>
      <c r="D18" s="11403" t="inlineStr">
        <is>
          <t>No children lived with you,</t>
        </is>
      </c>
      <c r="M18" s="2868" t="n"/>
      <c r="N18" s="441" t="n"/>
      <c r="O18" s="441" t="n"/>
      <c r="P18" s="2868" t="n"/>
      <c r="Q18" s="2868" t="n"/>
      <c r="R18" s="2868" t="n"/>
      <c r="S18" s="2868" t="n"/>
      <c r="T18" s="2868" t="n"/>
      <c r="U18" s="2868" t="n"/>
      <c r="V18" s="2868" t="n"/>
      <c r="W18" s="2868" t="n"/>
      <c r="X18" s="2868" t="n"/>
      <c r="Y18" s="2868" t="n"/>
      <c r="AA18" s="658" t="n"/>
      <c r="AB18" s="658" t="n"/>
      <c r="AC18" s="658" t="n"/>
      <c r="AD18" s="658" t="n"/>
      <c r="AE18" s="658" t="n"/>
      <c r="AF18" s="658" t="n"/>
      <c r="AG18" s="658" t="n"/>
      <c r="AH18" s="658" t="n"/>
      <c r="AI18" s="658" t="n"/>
      <c r="AJ18" s="658" t="n"/>
      <c r="AK18" s="658" t="n"/>
      <c r="AL18" s="658" t="n"/>
      <c r="AN18" s="670" t="n"/>
      <c r="AO18" s="670" t="n"/>
      <c r="AP18" s="658" t="n"/>
      <c r="AQ18" s="658" t="n"/>
      <c r="AR18" s="658" t="n"/>
      <c r="AS18" s="658" t="n"/>
      <c r="AT18" s="658" t="n"/>
      <c r="AU18" s="658" t="n"/>
      <c r="AV18" s="658" t="n"/>
    </row>
    <row r="19">
      <c r="D19" s="88">
        <f>"Is the amount on Form 1040, line 11, less than "&amp;TEXT(N19,"$0,000")&amp;" ("&amp;TEXT(O19,"$0,000")&amp;" if married filing jointly)?"</f>
        <v/>
      </c>
      <c r="M19" s="4464">
        <f>IF(B18&lt;&gt;"®","",IF(Adj_Gross_Inc&lt;N20,"Yes","No"))</f>
        <v/>
      </c>
      <c r="N19" s="2468">
        <f t="array" ref="N19">EIC_Max_NoChildren</f>
        <v/>
      </c>
      <c r="O19" s="2468">
        <f t="array" ref="O19">EIC_Max_MFJ_NoChildren</f>
        <v/>
      </c>
      <c r="P19" s="2868" t="n"/>
      <c r="Q19" s="2868" t="n"/>
      <c r="R19" s="2868" t="n"/>
      <c r="S19" s="2868" t="n"/>
      <c r="T19" s="2868" t="n"/>
      <c r="U19" s="2868" t="n"/>
      <c r="V19" s="2868" t="n"/>
      <c r="W19" s="2868" t="n"/>
      <c r="X19" s="2868" t="n"/>
      <c r="Y19" s="2868" t="n"/>
      <c r="AA19" s="658" t="n"/>
      <c r="AB19" s="658" t="n"/>
      <c r="AC19" s="658" t="n"/>
      <c r="AD19" s="658" t="n"/>
      <c r="AE19" s="658" t="n"/>
      <c r="AF19" s="658" t="n"/>
      <c r="AG19" s="658" t="n"/>
      <c r="AH19" s="658" t="n"/>
      <c r="AI19" s="658" t="n"/>
      <c r="AJ19" s="658" t="n"/>
      <c r="AK19" s="658" t="n"/>
      <c r="AL19" s="658" t="n"/>
      <c r="AN19" s="670" t="n"/>
      <c r="AO19" s="670" t="n"/>
      <c r="AP19" s="658" t="n"/>
      <c r="AQ19" s="658" t="n"/>
      <c r="AR19" s="658" t="n"/>
      <c r="AS19" s="658" t="n"/>
      <c r="AT19" s="658" t="n"/>
      <c r="AU19" s="658" t="n"/>
      <c r="AV19" s="658" t="n"/>
    </row>
    <row r="20">
      <c r="M20" s="2868" t="n"/>
      <c r="N20" s="2468">
        <f>IF(File_Marr_Joint&lt;&gt;"",O19,N19)</f>
        <v/>
      </c>
      <c r="O20" s="441" t="n"/>
      <c r="P20" s="2868" t="n"/>
      <c r="Q20" s="2868" t="n"/>
      <c r="R20" s="2868" t="n"/>
      <c r="S20" s="2868" t="n"/>
      <c r="T20" s="2868" t="n"/>
      <c r="U20" s="2868" t="n"/>
      <c r="V20" s="2868" t="n"/>
      <c r="W20" s="2868" t="n"/>
      <c r="X20" s="2868" t="n"/>
      <c r="Y20" s="2868" t="n"/>
      <c r="AA20" s="658" t="n"/>
      <c r="AB20" s="658" t="n"/>
      <c r="AC20" s="658" t="n"/>
      <c r="AD20" s="658" t="n"/>
      <c r="AE20" s="658" t="n"/>
      <c r="AF20" s="658" t="n"/>
      <c r="AG20" s="658" t="n"/>
      <c r="AH20" s="658" t="n"/>
      <c r="AI20" s="658" t="n"/>
      <c r="AJ20" s="658" t="n"/>
      <c r="AK20" s="658" t="n"/>
      <c r="AL20" s="658" t="n"/>
      <c r="AN20" s="670" t="n"/>
      <c r="AO20" s="670" t="n"/>
      <c r="AP20" s="658" t="n"/>
      <c r="AQ20" s="658" t="n"/>
      <c r="AR20" s="658" t="n"/>
      <c r="AS20" s="658" t="n"/>
      <c r="AT20" s="658" t="n"/>
      <c r="AU20" s="658" t="n"/>
      <c r="AV20" s="658" t="n"/>
    </row>
    <row r="21">
      <c r="A21" s="441">
        <f>OR(M10="Yes",M13="Yes",M16="Yes",M19="Yes")</f>
        <v/>
      </c>
      <c r="B21" s="2653">
        <f>IF(A21,"X","")</f>
        <v/>
      </c>
      <c r="D21" s="11403" t="inlineStr">
        <is>
          <t>Yes.  Continue.</t>
        </is>
      </c>
      <c r="G21" s="441">
        <f>H21="X"</f>
        <v/>
      </c>
      <c r="H21" s="2653">
        <f>IF(OR(NumFileStatusBoxes&lt;&gt;1,AND(M10="",M13="",M16="",M19="")),"",IF(OR(M10="Yes",M13="Yes",M16="Yes",M19="Yes"),"","X"))</f>
        <v/>
      </c>
      <c r="J21" s="11403" t="inlineStr">
        <is>
          <t>No.  STOP  You can't take the credit.</t>
        </is>
      </c>
      <c r="N21" s="2649" t="n"/>
      <c r="O21" s="2649" t="n"/>
      <c r="P21" s="2649" t="n"/>
      <c r="Q21" s="2649" t="n"/>
      <c r="AA21" s="658" t="n"/>
      <c r="AB21" s="658" t="n"/>
      <c r="AC21" s="658" t="n"/>
      <c r="AD21" s="658" t="n"/>
      <c r="AE21" s="658" t="n"/>
      <c r="AF21" s="658" t="n"/>
      <c r="AG21" s="658" t="n"/>
      <c r="AH21" s="658" t="n"/>
      <c r="AI21" s="658" t="n"/>
      <c r="AJ21" s="658" t="n"/>
      <c r="AK21" s="658" t="n"/>
      <c r="AL21" s="658" t="n"/>
      <c r="AN21" s="670" t="n"/>
      <c r="AO21" s="670" t="n"/>
      <c r="AP21" s="658" t="n"/>
      <c r="AQ21" s="658" t="n"/>
      <c r="AR21" s="658" t="n"/>
      <c r="AS21" s="658" t="n"/>
      <c r="AT21" s="658" t="n"/>
      <c r="AU21" s="658" t="n"/>
      <c r="AV21" s="658" t="n"/>
    </row>
    <row r="22" ht="8.25" customHeight="1" s="7635">
      <c r="D22" s="2432" t="n"/>
      <c r="E22" s="2432" t="n"/>
      <c r="F22" s="2432" t="n"/>
      <c r="G22" s="2432" t="n"/>
      <c r="H22" s="2432" t="n"/>
      <c r="I22" s="2432" t="n"/>
      <c r="J22" s="2432" t="n"/>
      <c r="K22" s="2432" t="n"/>
      <c r="L22" s="2432" t="n"/>
      <c r="M22" s="2432" t="n"/>
      <c r="N22" s="2654" t="n"/>
      <c r="O22" s="2655" t="n"/>
      <c r="AA22" s="658" t="n"/>
      <c r="AB22" s="658" t="n"/>
      <c r="AC22" s="658" t="n"/>
      <c r="AD22" s="658" t="n"/>
      <c r="AE22" s="658" t="n"/>
      <c r="AF22" s="658" t="n"/>
      <c r="AG22" s="658" t="n"/>
      <c r="AH22" s="658" t="n"/>
      <c r="AI22" s="658" t="n"/>
      <c r="AJ22" s="658" t="n"/>
      <c r="AK22" s="658" t="n"/>
      <c r="AL22" s="658" t="n"/>
      <c r="AN22" s="670" t="n"/>
      <c r="AO22" s="670" t="n"/>
      <c r="AP22" s="658" t="n"/>
      <c r="AQ22" s="658" t="n"/>
      <c r="AR22" s="658" t="n"/>
      <c r="AS22" s="658" t="n"/>
      <c r="AT22" s="658" t="n"/>
      <c r="AU22" s="658" t="n"/>
      <c r="AV22" s="658" t="n"/>
    </row>
    <row r="23" ht="8.25" customHeight="1" s="7635">
      <c r="D23" s="1839" t="n"/>
      <c r="E23" s="1839" t="n"/>
      <c r="F23" s="1839" t="n"/>
      <c r="G23" s="1839" t="n"/>
      <c r="H23" s="1839" t="n"/>
      <c r="I23" s="1839" t="n"/>
      <c r="J23" s="1839" t="n"/>
      <c r="K23" s="1839" t="n"/>
      <c r="L23" s="1839" t="n"/>
      <c r="M23" s="1839" t="n"/>
      <c r="N23" s="8940" t="n"/>
      <c r="O23" s="2655" t="n"/>
      <c r="AA23" s="658" t="n"/>
      <c r="AB23" s="658" t="n"/>
      <c r="AC23" s="658" t="n"/>
      <c r="AD23" s="658" t="n"/>
      <c r="AE23" s="658" t="n"/>
      <c r="AF23" s="658" t="n"/>
      <c r="AG23" s="658" t="n"/>
      <c r="AH23" s="658" t="n"/>
      <c r="AI23" s="658" t="n"/>
      <c r="AJ23" s="658" t="n"/>
      <c r="AK23" s="658" t="n"/>
      <c r="AL23" s="658" t="n"/>
      <c r="AN23" s="670" t="n"/>
      <c r="AO23" s="670" t="n"/>
      <c r="AP23" s="658" t="n"/>
      <c r="AQ23" s="658" t="n"/>
      <c r="AR23" s="658" t="n"/>
      <c r="AS23" s="658" t="n"/>
      <c r="AT23" s="658" t="n"/>
      <c r="AU23" s="658" t="n"/>
      <c r="AV23" s="658" t="n"/>
    </row>
    <row r="24">
      <c r="C24" s="2648" t="inlineStr">
        <is>
          <t>2.</t>
        </is>
      </c>
      <c r="D24" s="11403" t="inlineStr">
        <is>
          <t>Do you, and your spouse if filing a joint return, have a social security number issued on or before the due date</t>
        </is>
      </c>
      <c r="AA24" s="658" t="n"/>
      <c r="AB24" s="658" t="n"/>
      <c r="AC24" s="658" t="n"/>
      <c r="AD24" s="658" t="n"/>
      <c r="AE24" s="658" t="n"/>
      <c r="AF24" s="658" t="n"/>
      <c r="AG24" s="658" t="n"/>
      <c r="AH24" s="658" t="n"/>
      <c r="AI24" s="658" t="n"/>
      <c r="AJ24" s="658" t="n"/>
      <c r="AK24" s="658" t="n"/>
      <c r="AL24" s="658" t="n"/>
      <c r="AN24" s="670" t="n"/>
      <c r="AO24" s="670" t="n"/>
      <c r="AP24" s="658" t="n"/>
      <c r="AQ24" s="658" t="n"/>
      <c r="AR24" s="658" t="n"/>
      <c r="AS24" s="658" t="n"/>
      <c r="AT24" s="658" t="n"/>
      <c r="AU24" s="658" t="n"/>
      <c r="AV24" s="658" t="n"/>
    </row>
    <row r="25">
      <c r="D25" s="11403">
        <f>"of your "&amp;TaxYear&amp;" return (including extensions) that allows you to work and is valid for EIC purposes"</f>
        <v/>
      </c>
      <c r="AA25" s="658" t="n"/>
      <c r="AB25" s="658" t="n"/>
      <c r="AC25" s="658" t="n"/>
      <c r="AD25" s="658" t="n"/>
      <c r="AE25" s="658" t="n"/>
      <c r="AF25" s="658" t="n"/>
      <c r="AG25" s="658" t="n"/>
      <c r="AH25" s="658" t="n"/>
      <c r="AI25" s="658" t="n"/>
      <c r="AJ25" s="658" t="n"/>
      <c r="AK25" s="658" t="n"/>
      <c r="AL25" s="658" t="n"/>
      <c r="AN25" s="670" t="n"/>
      <c r="AO25" s="670" t="n"/>
      <c r="AP25" s="658" t="n"/>
      <c r="AQ25" s="658" t="n"/>
      <c r="AR25" s="658" t="n"/>
      <c r="AS25" s="658" t="n"/>
      <c r="AT25" s="658" t="n"/>
      <c r="AU25" s="658" t="n"/>
      <c r="AV25" s="658" t="n"/>
    </row>
    <row r="26">
      <c r="D26" s="11403" t="inlineStr">
        <is>
          <t>(explained later under Definitions and Special Rules)?</t>
        </is>
      </c>
      <c r="AA26" s="658" t="n"/>
      <c r="AB26" s="658" t="n"/>
      <c r="AC26" s="658" t="n"/>
      <c r="AD26" s="658" t="n"/>
      <c r="AE26" s="658" t="n"/>
      <c r="AF26" s="658" t="n"/>
      <c r="AG26" s="658" t="n"/>
      <c r="AH26" s="658" t="n"/>
      <c r="AI26" s="658" t="n"/>
      <c r="AJ26" s="658" t="n"/>
      <c r="AK26" s="658" t="n"/>
      <c r="AL26" s="658" t="n"/>
      <c r="AN26" s="670" t="n"/>
      <c r="AO26" s="670" t="n"/>
      <c r="AP26" s="658" t="n"/>
      <c r="AQ26" s="658" t="n"/>
      <c r="AR26" s="658" t="n"/>
      <c r="AS26" s="658" t="n"/>
      <c r="AT26" s="658" t="n"/>
      <c r="AU26" s="658" t="n"/>
      <c r="AV26" s="658" t="n"/>
    </row>
    <row r="27">
      <c r="AA27" s="658" t="n"/>
      <c r="AB27" s="658" t="n"/>
      <c r="AC27" s="658" t="n"/>
      <c r="AD27" s="658" t="n"/>
      <c r="AE27" s="658" t="n"/>
      <c r="AF27" s="658" t="n"/>
      <c r="AG27" s="658" t="n"/>
      <c r="AH27" s="658" t="n"/>
      <c r="AI27" s="658" t="n"/>
      <c r="AJ27" s="658" t="n"/>
      <c r="AK27" s="658" t="n"/>
      <c r="AL27" s="658" t="n"/>
      <c r="AN27" s="670" t="n"/>
      <c r="AO27" s="670" t="n"/>
      <c r="AP27" s="658" t="n"/>
      <c r="AQ27" s="658" t="n"/>
      <c r="AR27" s="658" t="n"/>
      <c r="AS27" s="658" t="n"/>
      <c r="AT27" s="658" t="n"/>
      <c r="AU27" s="658" t="n"/>
      <c r="AV27" s="658" t="n"/>
    </row>
    <row r="28">
      <c r="A28" s="441">
        <f>AND(A21,H28="",OR(AND(File_Marr_Joint&lt;&gt;"",SS_Yours&lt;&gt;"",SS_Spouse&lt;&gt;""),AND(File_Marr_Joint="",SS_Yours&lt;&gt;"")))</f>
        <v/>
      </c>
      <c r="B28" s="2653">
        <f>IF(A28,"X","")</f>
        <v/>
      </c>
      <c r="D28" s="11403" t="inlineStr">
        <is>
          <t>Yes.  Continue.</t>
        </is>
      </c>
      <c r="G28" s="441">
        <f>OR(NOT(A28),H28&lt;&gt;"")</f>
        <v/>
      </c>
      <c r="H28" s="325" t="n"/>
      <c r="J28" s="11403" t="inlineStr">
        <is>
          <t>No.  STOP  You cannot take the credit.</t>
        </is>
      </c>
      <c r="AA28" s="658" t="n"/>
      <c r="AB28" s="658" t="n"/>
      <c r="AC28" s="658" t="n"/>
      <c r="AD28" s="658" t="n"/>
      <c r="AE28" s="658" t="n"/>
      <c r="AF28" s="658" t="n"/>
      <c r="AG28" s="658" t="n"/>
      <c r="AH28" s="658" t="n"/>
      <c r="AI28" s="658" t="n"/>
      <c r="AJ28" s="658" t="n"/>
      <c r="AK28" s="658" t="n"/>
      <c r="AL28" s="658" t="n"/>
      <c r="AN28" s="670" t="n"/>
      <c r="AO28" s="670" t="n"/>
      <c r="AP28" s="658" t="n"/>
      <c r="AQ28" s="658" t="n"/>
      <c r="AR28" s="658" t="n"/>
      <c r="AS28" s="658" t="n"/>
      <c r="AT28" s="658" t="n"/>
      <c r="AU28" s="658" t="n"/>
      <c r="AV28" s="658" t="n"/>
    </row>
    <row r="29">
      <c r="D29" s="2657">
        <f>IF(AND(H28="",OR(AND(File_Marr_Joint&lt;&gt;"",OR(SS_Yours="",SS_Spouse="")),SS_Yours="")),"If so, enter your social security","")</f>
        <v/>
      </c>
      <c r="J29" s="11403" t="inlineStr">
        <is>
          <t>Check the box on line 27c.</t>
        </is>
      </c>
      <c r="AA29" s="658" t="n"/>
      <c r="AB29" s="658" t="n"/>
      <c r="AC29" s="658" t="n"/>
      <c r="AD29" s="658" t="n"/>
      <c r="AE29" s="658" t="n"/>
      <c r="AF29" s="658" t="n"/>
      <c r="AG29" s="658" t="n"/>
      <c r="AH29" s="658" t="n"/>
      <c r="AI29" s="658" t="n"/>
      <c r="AJ29" s="658" t="n"/>
      <c r="AK29" s="658" t="n"/>
      <c r="AL29" s="658" t="n"/>
      <c r="AN29" s="670" t="n"/>
      <c r="AO29" s="670" t="n"/>
      <c r="AP29" s="658" t="n"/>
      <c r="AQ29" s="658" t="n"/>
      <c r="AR29" s="658" t="n"/>
      <c r="AS29" s="658" t="n"/>
      <c r="AT29" s="658" t="n"/>
      <c r="AU29" s="658" t="n"/>
      <c r="AV29" s="658" t="n"/>
    </row>
    <row r="30" ht="6" customHeight="1" s="7635">
      <c r="D30" s="2657">
        <f>IF(AND(H28="",OR(AND(File_Marr_Joint&lt;&gt;"",OR(SS_Yours="",SS_Spouse="")))),"numbers on the sheet labeled '1040'.",IF(AND(H28="",SS_Yours=""),"number on the sheet labeled '1040'.",""))</f>
        <v/>
      </c>
      <c r="AA30" s="658" t="n"/>
      <c r="AB30" s="658" t="n"/>
      <c r="AC30" s="658" t="n"/>
      <c r="AD30" s="658" t="n"/>
      <c r="AE30" s="658" t="n"/>
      <c r="AF30" s="658" t="n"/>
      <c r="AG30" s="658" t="n"/>
      <c r="AH30" s="658" t="n"/>
      <c r="AI30" s="658" t="n"/>
      <c r="AJ30" s="658" t="n"/>
      <c r="AK30" s="658" t="n"/>
      <c r="AL30" s="658" t="n"/>
      <c r="AN30" s="670" t="n"/>
      <c r="AO30" s="670" t="n"/>
      <c r="AP30" s="658" t="n"/>
      <c r="AQ30" s="658" t="n"/>
      <c r="AR30" s="658" t="n"/>
      <c r="AS30" s="658" t="n"/>
      <c r="AT30" s="658" t="n"/>
      <c r="AU30" s="658" t="n"/>
      <c r="AV30" s="658" t="n"/>
    </row>
    <row r="31" ht="8.25" customHeight="1" s="7635">
      <c r="D31" s="1839" t="n"/>
      <c r="E31" s="1839" t="n"/>
      <c r="F31" s="1839" t="n"/>
      <c r="G31" s="1839" t="n"/>
      <c r="H31" s="1839" t="n"/>
      <c r="I31" s="1839" t="n"/>
      <c r="J31" s="1839" t="n"/>
      <c r="K31" s="1839" t="n"/>
      <c r="L31" s="1839" t="n"/>
      <c r="M31" s="1839" t="n"/>
      <c r="N31" s="8940" t="n"/>
      <c r="O31" s="2655" t="n"/>
      <c r="AA31" s="658" t="n"/>
      <c r="AB31" s="658" t="n"/>
      <c r="AC31" s="658" t="n"/>
      <c r="AD31" s="658" t="n"/>
      <c r="AE31" s="658" t="n"/>
      <c r="AF31" s="658" t="n"/>
      <c r="AG31" s="658" t="n"/>
      <c r="AH31" s="658" t="n"/>
      <c r="AI31" s="658" t="n"/>
      <c r="AJ31" s="658" t="n"/>
      <c r="AK31" s="658" t="n"/>
      <c r="AL31" s="658" t="n"/>
      <c r="AN31" s="670" t="n"/>
      <c r="AO31" s="670" t="n"/>
      <c r="AP31" s="658" t="n"/>
      <c r="AQ31" s="658" t="n"/>
      <c r="AR31" s="658" t="n"/>
      <c r="AS31" s="658" t="n"/>
      <c r="AT31" s="658" t="n"/>
      <c r="AU31" s="658" t="n"/>
      <c r="AV31" s="658" t="n"/>
    </row>
    <row r="32">
      <c r="C32" s="220" t="inlineStr">
        <is>
          <t>3.</t>
        </is>
      </c>
      <c r="D32" s="11403" t="inlineStr">
        <is>
          <t>Are you filing Form 2555 (relating to foreign earned income)?</t>
        </is>
      </c>
      <c r="AA32" s="658" t="n"/>
      <c r="AB32" s="658" t="n"/>
      <c r="AC32" s="658" t="n"/>
      <c r="AD32" s="658" t="n"/>
      <c r="AE32" s="658" t="n"/>
      <c r="AF32" s="658" t="n"/>
      <c r="AG32" s="658" t="n"/>
      <c r="AH32" s="658" t="n"/>
      <c r="AI32" s="658" t="n"/>
      <c r="AJ32" s="658" t="n"/>
      <c r="AK32" s="658" t="n"/>
      <c r="AL32" s="658" t="n"/>
      <c r="AN32" s="670" t="n"/>
      <c r="AO32" s="670" t="n"/>
      <c r="AP32" s="658" t="n"/>
      <c r="AQ32" s="658" t="n"/>
      <c r="AR32" s="658" t="n"/>
      <c r="AS32" s="658" t="n"/>
      <c r="AT32" s="658" t="n"/>
      <c r="AU32" s="658" t="n"/>
      <c r="AV32" s="658" t="n"/>
    </row>
    <row r="33">
      <c r="AA33" s="658" t="n"/>
      <c r="AB33" s="658" t="n"/>
      <c r="AC33" s="658" t="n"/>
      <c r="AD33" s="658" t="n"/>
      <c r="AE33" s="658" t="n"/>
      <c r="AF33" s="658" t="n"/>
      <c r="AG33" s="658" t="n"/>
      <c r="AH33" s="658" t="n"/>
      <c r="AI33" s="658" t="n"/>
      <c r="AJ33" s="658" t="n"/>
      <c r="AK33" s="658" t="n"/>
      <c r="AL33" s="658" t="n"/>
      <c r="AN33" s="670" t="n"/>
      <c r="AO33" s="670" t="n"/>
      <c r="AP33" s="658" t="n"/>
      <c r="AQ33" s="658" t="n"/>
      <c r="AR33" s="658" t="n"/>
      <c r="AS33" s="658" t="n"/>
      <c r="AT33" s="658" t="n"/>
      <c r="AU33" s="658" t="n"/>
      <c r="AV33" s="658" t="n"/>
    </row>
    <row r="34">
      <c r="A34" s="441">
        <f>AND(A28,Form2555_Used)</f>
        <v/>
      </c>
      <c r="B34" s="2658">
        <f>IF(A34,"X","")</f>
        <v/>
      </c>
      <c r="D34" s="11403" t="inlineStr">
        <is>
          <t>Yes.  STOP  You can't take the credit.</t>
        </is>
      </c>
      <c r="H34" s="2658">
        <f>IF(M34,"X","")</f>
        <v/>
      </c>
      <c r="J34" s="11403" t="inlineStr">
        <is>
          <t>No.  Continue</t>
        </is>
      </c>
      <c r="M34" s="441">
        <f>AND(A28,NOT(A34))</f>
        <v/>
      </c>
      <c r="AA34" s="658" t="n"/>
      <c r="AB34" s="658" t="n"/>
      <c r="AC34" s="658" t="n"/>
      <c r="AD34" s="658" t="n"/>
      <c r="AE34" s="658" t="n"/>
      <c r="AF34" s="658" t="n"/>
      <c r="AG34" s="658" t="n"/>
      <c r="AH34" s="658" t="n"/>
      <c r="AI34" s="658" t="n"/>
      <c r="AJ34" s="658" t="n"/>
      <c r="AK34" s="658" t="n"/>
      <c r="AL34" s="658" t="n"/>
      <c r="AN34" s="670" t="n"/>
      <c r="AO34" s="670" t="n"/>
      <c r="AP34" s="658" t="n"/>
      <c r="AQ34" s="658" t="n"/>
      <c r="AR34" s="658" t="n"/>
      <c r="AS34" s="658" t="n"/>
      <c r="AT34" s="658" t="n"/>
      <c r="AU34" s="658" t="n"/>
      <c r="AV34" s="658" t="n"/>
    </row>
    <row r="35">
      <c r="AA35" s="658" t="n"/>
      <c r="AB35" s="658" t="n"/>
      <c r="AC35" s="658" t="n"/>
      <c r="AD35" s="658" t="n"/>
      <c r="AE35" s="658" t="n"/>
      <c r="AF35" s="658" t="n"/>
      <c r="AG35" s="658" t="n"/>
      <c r="AH35" s="658" t="n"/>
      <c r="AI35" s="658" t="n"/>
      <c r="AJ35" s="658" t="n"/>
      <c r="AK35" s="658" t="n"/>
      <c r="AL35" s="658" t="n"/>
      <c r="AN35" s="670" t="n"/>
      <c r="AO35" s="670" t="n"/>
      <c r="AP35" s="658" t="n"/>
      <c r="AQ35" s="658" t="n"/>
      <c r="AR35" s="658" t="n"/>
      <c r="AS35" s="658" t="n"/>
      <c r="AT35" s="658" t="n"/>
      <c r="AU35" s="658" t="n"/>
      <c r="AV35" s="658" t="n"/>
    </row>
    <row r="36" ht="8.25" customHeight="1" s="7635">
      <c r="D36" s="1839" t="n"/>
      <c r="E36" s="1839" t="n"/>
      <c r="F36" s="1839" t="n"/>
      <c r="G36" s="1839" t="n"/>
      <c r="H36" s="1839" t="n"/>
      <c r="I36" s="1839" t="n"/>
      <c r="J36" s="1839" t="n"/>
      <c r="K36" s="1839" t="n"/>
      <c r="L36" s="1839" t="n"/>
      <c r="M36" s="1839" t="n"/>
      <c r="N36" s="8940" t="n"/>
      <c r="O36" s="2655" t="n"/>
      <c r="AA36" s="658" t="n"/>
      <c r="AB36" s="658" t="n"/>
      <c r="AC36" s="658" t="n"/>
      <c r="AD36" s="658" t="n"/>
      <c r="AE36" s="658" t="n"/>
      <c r="AF36" s="658" t="n"/>
      <c r="AG36" s="658" t="n"/>
      <c r="AH36" s="658" t="n"/>
      <c r="AI36" s="658" t="n"/>
      <c r="AJ36" s="658" t="n"/>
      <c r="AK36" s="658" t="n"/>
      <c r="AL36" s="658" t="n"/>
      <c r="AN36" s="670" t="n"/>
      <c r="AO36" s="670" t="n"/>
      <c r="AP36" s="658" t="n"/>
      <c r="AQ36" s="658" t="n"/>
      <c r="AR36" s="658" t="n"/>
      <c r="AS36" s="658" t="n"/>
      <c r="AT36" s="658" t="n"/>
      <c r="AU36" s="658" t="n"/>
      <c r="AV36" s="658" t="n"/>
    </row>
    <row r="37">
      <c r="C37" s="2648" t="inlineStr">
        <is>
          <t>4.</t>
        </is>
      </c>
      <c r="D37" s="11403">
        <f>"Were you or your spouse a nonresident alien for any part of "&amp;TaxYear&amp;"?"</f>
        <v/>
      </c>
      <c r="AA37" s="658" t="n"/>
      <c r="AB37" s="658" t="n"/>
      <c r="AC37" s="658" t="n"/>
      <c r="AD37" s="658" t="n"/>
      <c r="AE37" s="658" t="n"/>
      <c r="AF37" s="658" t="n"/>
      <c r="AG37" s="658" t="n"/>
      <c r="AH37" s="658" t="n"/>
      <c r="AI37" s="658" t="n"/>
      <c r="AJ37" s="658" t="n"/>
      <c r="AK37" s="658" t="n"/>
      <c r="AL37" s="658" t="n"/>
      <c r="AN37" s="670" t="n"/>
      <c r="AO37" s="670" t="n"/>
      <c r="AP37" s="658" t="n"/>
      <c r="AQ37" s="658" t="n"/>
      <c r="AR37" s="658" t="n"/>
      <c r="AS37" s="658" t="n"/>
      <c r="AT37" s="658" t="n"/>
      <c r="AU37" s="658" t="n"/>
      <c r="AV37" s="658" t="n"/>
    </row>
    <row r="38">
      <c r="AA38" s="658" t="n"/>
      <c r="AB38" s="658" t="n"/>
      <c r="AC38" s="658" t="n"/>
      <c r="AD38" s="658" t="n"/>
      <c r="AE38" s="658" t="n"/>
      <c r="AF38" s="658" t="n"/>
      <c r="AG38" s="658" t="n"/>
      <c r="AH38" s="658" t="n"/>
      <c r="AI38" s="658" t="n"/>
      <c r="AJ38" s="658" t="n"/>
      <c r="AK38" s="658" t="n"/>
      <c r="AL38" s="658" t="n"/>
      <c r="AN38" s="670" t="n"/>
      <c r="AO38" s="670" t="n"/>
      <c r="AP38" s="658" t="n"/>
      <c r="AQ38" s="658" t="n"/>
      <c r="AR38" s="658" t="n"/>
      <c r="AS38" s="658" t="n"/>
      <c r="AT38" s="658" t="n"/>
      <c r="AU38" s="658" t="n"/>
      <c r="AV38" s="658" t="n"/>
    </row>
    <row r="39">
      <c r="A39" s="441">
        <f>OR(B39&lt;&gt;"",H39&lt;&gt;"")</f>
        <v/>
      </c>
      <c r="B39" s="325" t="n"/>
      <c r="D39" s="226" t="inlineStr">
        <is>
          <t>Yes.</t>
        </is>
      </c>
      <c r="H39" s="2653">
        <f>IF(AND(B39="",NOT(EIC_Check)),"X","")</f>
        <v/>
      </c>
      <c r="J39" s="11403" t="inlineStr">
        <is>
          <t>No.  Go to Step 2.</t>
        </is>
      </c>
      <c r="M39" s="2655" t="n"/>
      <c r="AA39" s="658" t="n"/>
      <c r="AB39" s="658" t="n"/>
      <c r="AC39" s="658" t="n"/>
      <c r="AD39" s="658" t="n"/>
      <c r="AE39" s="658" t="n"/>
      <c r="AF39" s="658" t="n"/>
      <c r="AG39" s="658" t="n"/>
      <c r="AH39" s="658" t="n"/>
      <c r="AI39" s="658" t="n"/>
      <c r="AJ39" s="658" t="n"/>
      <c r="AK39" s="658" t="n"/>
      <c r="AL39" s="658" t="n"/>
      <c r="AN39" s="670" t="n"/>
      <c r="AO39" s="670" t="n"/>
      <c r="AP39" s="658" t="n"/>
      <c r="AQ39" s="658" t="n"/>
      <c r="AR39" s="658" t="n"/>
      <c r="AS39" s="658" t="n"/>
      <c r="AT39" s="658" t="n"/>
      <c r="AU39" s="658" t="n"/>
      <c r="AV39" s="658" t="n"/>
    </row>
    <row r="40">
      <c r="D40" s="88" t="inlineStr">
        <is>
          <t xml:space="preserve">See Non-resident aliens, later, </t>
        </is>
      </c>
      <c r="AA40" s="658" t="n"/>
      <c r="AB40" s="658" t="n"/>
      <c r="AC40" s="658" t="n"/>
      <c r="AD40" s="658" t="n"/>
      <c r="AE40" s="658" t="n"/>
      <c r="AF40" s="658" t="n"/>
      <c r="AG40" s="658" t="n"/>
      <c r="AH40" s="658" t="n"/>
      <c r="AI40" s="658" t="n"/>
      <c r="AJ40" s="658" t="n"/>
      <c r="AK40" s="658" t="n"/>
      <c r="AL40" s="658" t="n"/>
      <c r="AN40" s="670" t="n"/>
      <c r="AO40" s="670" t="n"/>
      <c r="AP40" s="658" t="n"/>
      <c r="AQ40" s="658" t="n"/>
      <c r="AR40" s="658" t="n"/>
      <c r="AS40" s="658" t="n"/>
      <c r="AT40" s="658" t="n"/>
      <c r="AU40" s="658" t="n"/>
      <c r="AV40" s="658" t="n"/>
    </row>
    <row r="41">
      <c r="A41" s="441">
        <f>OR(G21,G28,A34)</f>
        <v/>
      </c>
      <c r="D41" s="88" t="inlineStr">
        <is>
          <t>under Definitions and Special Rules</t>
        </is>
      </c>
      <c r="AA41" s="658" t="n"/>
      <c r="AB41" s="658" t="n"/>
      <c r="AC41" s="658" t="n"/>
      <c r="AD41" s="658" t="n"/>
      <c r="AE41" s="658" t="n"/>
      <c r="AF41" s="658" t="n"/>
      <c r="AG41" s="658" t="n"/>
      <c r="AH41" s="658" t="n"/>
      <c r="AI41" s="658" t="n"/>
      <c r="AJ41" s="658" t="n"/>
      <c r="AK41" s="658" t="n"/>
      <c r="AL41" s="658" t="n"/>
      <c r="AN41" s="670" t="n"/>
      <c r="AO41" s="670" t="n"/>
      <c r="AP41" s="658" t="n"/>
      <c r="AQ41" s="658" t="n"/>
      <c r="AR41" s="658" t="n"/>
      <c r="AS41" s="658" t="n"/>
      <c r="AT41" s="658" t="n"/>
      <c r="AU41" s="658" t="n"/>
      <c r="AV41" s="658" t="n"/>
    </row>
    <row r="42">
      <c r="AA42" s="658" t="n"/>
      <c r="AB42" s="658" t="n"/>
      <c r="AC42" s="658" t="n"/>
      <c r="AD42" s="658" t="n"/>
      <c r="AE42" s="658" t="n"/>
      <c r="AF42" s="658" t="n"/>
      <c r="AG42" s="658" t="n"/>
      <c r="AH42" s="658" t="n"/>
      <c r="AI42" s="658" t="n"/>
      <c r="AJ42" s="658" t="n"/>
      <c r="AK42" s="658" t="n"/>
      <c r="AL42" s="658" t="n"/>
      <c r="AN42" s="670" t="n"/>
      <c r="AO42" s="670" t="n"/>
      <c r="AP42" s="658" t="n"/>
      <c r="AQ42" s="658" t="n"/>
      <c r="AR42" s="658" t="n"/>
      <c r="AS42" s="658" t="n"/>
      <c r="AT42" s="658" t="n"/>
      <c r="AU42" s="658" t="n"/>
      <c r="AV42" s="658" t="n"/>
    </row>
    <row r="43" customFormat="1" s="2659">
      <c r="B43" s="2660" t="n"/>
      <c r="N43" s="2661" t="n"/>
      <c r="AA43" s="671" t="n"/>
      <c r="AB43" s="671" t="n"/>
      <c r="AC43" s="671" t="n"/>
      <c r="AD43" s="671" t="n"/>
      <c r="AE43" s="671" t="n"/>
      <c r="AF43" s="671" t="n"/>
      <c r="AG43" s="671" t="n"/>
      <c r="AH43" s="671" t="n"/>
      <c r="AI43" s="671" t="n"/>
      <c r="AJ43" s="671" t="n"/>
      <c r="AK43" s="671" t="n"/>
      <c r="AL43" s="671" t="n"/>
      <c r="AN43" s="672" t="n"/>
      <c r="AO43" s="672" t="n"/>
      <c r="AP43" s="671" t="n"/>
      <c r="AQ43" s="671" t="n"/>
      <c r="AR43" s="671" t="n"/>
      <c r="AS43" s="671" t="n"/>
      <c r="AT43" s="671" t="n"/>
      <c r="AU43" s="671" t="n"/>
      <c r="AV43" s="671" t="n"/>
    </row>
    <row r="44" ht="15.75" customFormat="1" customHeight="1" s="2445">
      <c r="A44" s="9180" t="inlineStr">
        <is>
          <t>Step 2</t>
        </is>
      </c>
      <c r="B44" s="2647" t="inlineStr">
        <is>
          <t>Investment Income</t>
        </is>
      </c>
      <c r="C44" s="2642" t="n"/>
      <c r="N44" s="2662" t="n"/>
      <c r="AA44" s="668" t="n"/>
      <c r="AB44" s="668" t="n"/>
      <c r="AC44" s="668" t="n"/>
      <c r="AD44" s="668" t="n"/>
      <c r="AE44" s="668" t="n"/>
      <c r="AF44" s="668" t="n"/>
      <c r="AG44" s="668" t="n"/>
      <c r="AH44" s="668" t="n"/>
      <c r="AI44" s="668" t="n"/>
      <c r="AJ44" s="668" t="n"/>
      <c r="AK44" s="668" t="n"/>
      <c r="AL44" s="668" t="n"/>
      <c r="AN44" s="669" t="n"/>
      <c r="AO44" s="669" t="n"/>
      <c r="AP44" s="668" t="n"/>
      <c r="AQ44" s="668" t="n"/>
      <c r="AR44" s="668" t="n"/>
      <c r="AS44" s="668" t="n"/>
      <c r="AT44" s="668" t="n"/>
      <c r="AU44" s="668" t="n"/>
      <c r="AV44" s="668" t="n"/>
    </row>
    <row r="45">
      <c r="A45" s="7831" t="n"/>
      <c r="B45" s="7831" t="n"/>
      <c r="C45" s="7831" t="n"/>
      <c r="AA45" s="658" t="n"/>
      <c r="AB45" s="658" t="n"/>
      <c r="AC45" s="658" t="n"/>
      <c r="AD45" s="658" t="n"/>
      <c r="AE45" s="658" t="n"/>
      <c r="AF45" s="658" t="n"/>
      <c r="AG45" s="658" t="n"/>
      <c r="AH45" s="658" t="n"/>
      <c r="AI45" s="658" t="n"/>
      <c r="AJ45" s="658" t="n"/>
      <c r="AK45" s="658" t="n"/>
      <c r="AL45" s="658" t="n"/>
      <c r="AN45" s="670" t="n"/>
      <c r="AO45" s="670" t="n"/>
      <c r="AP45" s="658" t="n"/>
      <c r="AQ45" s="658" t="n"/>
      <c r="AR45" s="658" t="n"/>
      <c r="AS45" s="658" t="n"/>
      <c r="AT45" s="658" t="n"/>
      <c r="AU45" s="658" t="n"/>
      <c r="AV45" s="658" t="n"/>
    </row>
    <row r="46">
      <c r="C46" s="2648" t="inlineStr">
        <is>
          <t>1.</t>
        </is>
      </c>
      <c r="D46" s="11403" t="inlineStr">
        <is>
          <t>Add the amounts from Form 1040 or 1040-SR:       (This is automatically completed.)</t>
        </is>
      </c>
      <c r="AA46" s="658" t="n"/>
      <c r="AB46" s="658" t="n"/>
      <c r="AC46" s="658" t="n"/>
      <c r="AD46" s="658" t="n"/>
      <c r="AE46" s="658" t="n"/>
      <c r="AF46" s="658" t="n"/>
      <c r="AG46" s="658" t="n"/>
      <c r="AH46" s="658" t="n"/>
      <c r="AI46" s="658" t="n"/>
      <c r="AJ46" s="658" t="n"/>
      <c r="AK46" s="658" t="n"/>
      <c r="AL46" s="658" t="n"/>
      <c r="AN46" s="670" t="n"/>
      <c r="AO46" s="670" t="n"/>
      <c r="AP46" s="658" t="n"/>
      <c r="AQ46" s="658" t="n"/>
      <c r="AR46" s="658" t="n"/>
      <c r="AS46" s="658" t="n"/>
      <c r="AT46" s="658" t="n"/>
      <c r="AU46" s="658" t="n"/>
      <c r="AV46" s="658" t="n"/>
    </row>
    <row r="47">
      <c r="C47" s="2648" t="n"/>
      <c r="AA47" s="658" t="n"/>
      <c r="AB47" s="658" t="n"/>
      <c r="AC47" s="658" t="n"/>
      <c r="AD47" s="658" t="n"/>
      <c r="AE47" s="658" t="n"/>
      <c r="AF47" s="658" t="n"/>
      <c r="AG47" s="658" t="n"/>
      <c r="AH47" s="658" t="n"/>
      <c r="AI47" s="658" t="n"/>
      <c r="AJ47" s="658" t="n"/>
      <c r="AK47" s="658" t="n"/>
      <c r="AL47" s="658" t="n"/>
      <c r="AN47" s="670" t="n"/>
      <c r="AO47" s="670" t="n"/>
      <c r="AP47" s="658" t="n"/>
      <c r="AQ47" s="658" t="n"/>
      <c r="AR47" s="658" t="n"/>
      <c r="AS47" s="658" t="n"/>
      <c r="AT47" s="658" t="n"/>
      <c r="AU47" s="658" t="n"/>
      <c r="AV47" s="658" t="n"/>
    </row>
    <row r="48">
      <c r="C48" s="2648" t="n"/>
      <c r="D48" s="2052" t="inlineStr">
        <is>
          <t xml:space="preserve">Line 2a     </t>
        </is>
      </c>
      <c r="E48" s="424">
        <f>IF(EIC_Check,"",TaxExemptInt)</f>
        <v/>
      </c>
      <c r="AA48" s="658" t="n"/>
      <c r="AB48" s="658" t="n"/>
      <c r="AC48" s="658" t="n"/>
      <c r="AD48" s="658" t="n"/>
      <c r="AE48" s="658" t="n"/>
      <c r="AF48" s="658" t="n"/>
      <c r="AG48" s="658" t="n"/>
      <c r="AH48" s="658" t="n"/>
      <c r="AI48" s="658" t="n"/>
      <c r="AJ48" s="658" t="n"/>
      <c r="AK48" s="658" t="n"/>
      <c r="AL48" s="658" t="n"/>
      <c r="AN48" s="670" t="n"/>
      <c r="AO48" s="670" t="n"/>
      <c r="AP48" s="658" t="n"/>
      <c r="AQ48" s="658" t="n"/>
      <c r="AR48" s="658" t="n"/>
      <c r="AS48" s="658" t="n"/>
      <c r="AT48" s="658" t="n"/>
      <c r="AU48" s="658" t="n"/>
      <c r="AV48" s="658" t="n"/>
    </row>
    <row r="49">
      <c r="C49" s="2648" t="n"/>
      <c r="D49" s="220" t="inlineStr">
        <is>
          <t>Line 2b   +</t>
        </is>
      </c>
      <c r="E49" s="424">
        <f>IF(OR(NOT(EIC_Started),EIC_Check),"",TaxableInterest)</f>
        <v/>
      </c>
      <c r="AA49" s="658" t="n"/>
      <c r="AB49" s="658" t="n"/>
      <c r="AC49" s="658" t="n"/>
      <c r="AD49" s="658" t="n"/>
      <c r="AE49" s="658" t="n"/>
      <c r="AF49" s="658" t="n"/>
      <c r="AG49" s="658" t="n"/>
      <c r="AH49" s="658" t="n"/>
      <c r="AI49" s="658" t="n"/>
      <c r="AJ49" s="658" t="n"/>
      <c r="AK49" s="658" t="n"/>
      <c r="AL49" s="658" t="n"/>
      <c r="AN49" s="670" t="n"/>
      <c r="AO49" s="670" t="n"/>
      <c r="AP49" s="658" t="n"/>
      <c r="AQ49" s="658" t="n"/>
      <c r="AR49" s="658" t="n"/>
      <c r="AS49" s="658" t="n"/>
      <c r="AT49" s="658" t="n"/>
      <c r="AU49" s="658" t="n"/>
      <c r="AV49" s="658" t="n"/>
    </row>
    <row r="50">
      <c r="C50" s="2648" t="n"/>
      <c r="D50" s="220" t="inlineStr">
        <is>
          <t>Line 3b   +</t>
        </is>
      </c>
      <c r="E50" s="424">
        <f>IF(OR(NOT(EIC_Started),EIC_Check),"",OrdinaryDividends)</f>
        <v/>
      </c>
      <c r="AA50" s="658" t="n"/>
      <c r="AB50" s="658" t="n"/>
      <c r="AC50" s="658" t="n"/>
      <c r="AD50" s="658" t="n"/>
      <c r="AE50" s="658" t="n"/>
      <c r="AF50" s="658" t="n"/>
      <c r="AG50" s="658" t="n"/>
      <c r="AH50" s="658" t="n"/>
      <c r="AI50" s="658" t="n"/>
      <c r="AJ50" s="658" t="n"/>
      <c r="AK50" s="658" t="n"/>
      <c r="AL50" s="658" t="n"/>
      <c r="AN50" s="670" t="n"/>
      <c r="AO50" s="670" t="n"/>
      <c r="AP50" s="658" t="n"/>
      <c r="AQ50" s="658" t="n"/>
      <c r="AR50" s="658" t="n"/>
      <c r="AS50" s="658" t="n"/>
      <c r="AT50" s="658" t="n"/>
      <c r="AU50" s="658" t="n"/>
      <c r="AV50" s="658" t="n"/>
    </row>
    <row r="51">
      <c r="C51" s="2648" t="n"/>
      <c r="D51" s="220" t="inlineStr">
        <is>
          <t>Line 7a*   +</t>
        </is>
      </c>
      <c r="E51" s="424">
        <f>IF(OR(NOT(EIC_Started),EIC_Check),"",MAX(0,CapitalGains))</f>
        <v/>
      </c>
      <c r="AA51" s="658" t="n"/>
      <c r="AB51" s="658" t="n"/>
      <c r="AC51" s="658" t="n"/>
      <c r="AD51" s="658" t="n"/>
      <c r="AE51" s="658" t="n"/>
      <c r="AF51" s="658" t="n"/>
      <c r="AG51" s="658" t="n"/>
      <c r="AH51" s="658" t="n"/>
      <c r="AI51" s="658" t="n"/>
      <c r="AJ51" s="658" t="n"/>
      <c r="AK51" s="658" t="n"/>
      <c r="AL51" s="658" t="n"/>
      <c r="AN51" s="670" t="n"/>
      <c r="AO51" s="670" t="n"/>
      <c r="AP51" s="658" t="n"/>
      <c r="AQ51" s="658" t="n"/>
      <c r="AR51" s="658" t="n"/>
      <c r="AS51" s="658" t="n"/>
      <c r="AT51" s="658" t="n"/>
      <c r="AU51" s="658" t="n"/>
      <c r="AV51" s="658" t="n"/>
    </row>
    <row r="52">
      <c r="C52" s="2648" t="n"/>
      <c r="G52" s="11403" t="inlineStr">
        <is>
          <t>Override</t>
        </is>
      </c>
      <c r="AA52" s="658" t="n"/>
      <c r="AB52" s="658" t="n"/>
      <c r="AC52" s="658" t="n"/>
      <c r="AD52" s="658" t="n"/>
      <c r="AE52" s="658" t="n"/>
      <c r="AF52" s="658" t="n"/>
      <c r="AG52" s="658" t="n"/>
      <c r="AH52" s="658" t="n"/>
      <c r="AI52" s="658" t="n"/>
      <c r="AJ52" s="658" t="n"/>
      <c r="AK52" s="658" t="n"/>
      <c r="AL52" s="658" t="n"/>
      <c r="AN52" s="670" t="n"/>
      <c r="AO52" s="670" t="n"/>
      <c r="AP52" s="658" t="n"/>
      <c r="AQ52" s="658" t="n"/>
      <c r="AR52" s="658" t="n"/>
      <c r="AS52" s="658" t="n"/>
      <c r="AT52" s="658" t="n"/>
      <c r="AU52" s="658" t="n"/>
      <c r="AV52" s="658" t="n"/>
    </row>
    <row r="53">
      <c r="C53" s="2648" t="n"/>
      <c r="D53" s="2052" t="inlineStr">
        <is>
          <t>Investment Income =</t>
        </is>
      </c>
      <c r="E53" s="2663">
        <f>IF(G53&lt;&gt;"",ROUND(G53,0),SUM(E48:E51))</f>
        <v/>
      </c>
      <c r="G53" s="1403" t="n"/>
      <c r="AA53" s="658" t="n"/>
      <c r="AB53" s="658" t="n"/>
      <c r="AC53" s="658" t="n"/>
      <c r="AD53" s="658" t="n"/>
      <c r="AE53" s="658" t="n"/>
      <c r="AF53" s="658" t="n"/>
      <c r="AG53" s="658" t="n"/>
      <c r="AH53" s="658" t="n"/>
      <c r="AI53" s="658" t="n"/>
      <c r="AJ53" s="658" t="n"/>
      <c r="AK53" s="658" t="n"/>
      <c r="AL53" s="658" t="n"/>
      <c r="AN53" s="670" t="n"/>
      <c r="AO53" s="670" t="n"/>
      <c r="AP53" s="658" t="n"/>
      <c r="AQ53" s="658" t="n"/>
      <c r="AR53" s="658" t="n"/>
      <c r="AS53" s="658" t="n"/>
      <c r="AT53" s="658" t="n"/>
      <c r="AU53" s="658" t="n"/>
      <c r="AV53" s="658" t="n"/>
    </row>
    <row r="54">
      <c r="AA54" s="658" t="n"/>
      <c r="AB54" s="658" t="n"/>
      <c r="AC54" s="658" t="n"/>
      <c r="AD54" s="658" t="n"/>
      <c r="AE54" s="658" t="n"/>
      <c r="AF54" s="658" t="n"/>
      <c r="AG54" s="658" t="n"/>
      <c r="AH54" s="658" t="n"/>
      <c r="AI54" s="658" t="n"/>
      <c r="AJ54" s="658" t="n"/>
      <c r="AK54" s="658" t="n"/>
      <c r="AL54" s="658" t="n"/>
      <c r="AN54" s="670" t="n"/>
      <c r="AO54" s="670" t="n"/>
      <c r="AP54" s="658" t="n"/>
      <c r="AQ54" s="658" t="n"/>
      <c r="AR54" s="658" t="n"/>
      <c r="AS54" s="658" t="n"/>
      <c r="AT54" s="658" t="n"/>
      <c r="AU54" s="658" t="n"/>
      <c r="AV54" s="658" t="n"/>
    </row>
    <row r="55">
      <c r="C55" s="11403" t="inlineStr">
        <is>
          <t>*If line 7a is a loss, enter -0-.</t>
        </is>
      </c>
      <c r="AA55" s="658" t="n"/>
      <c r="AB55" s="658" t="n"/>
      <c r="AC55" s="658" t="n"/>
      <c r="AD55" s="658" t="n"/>
      <c r="AE55" s="658" t="n"/>
      <c r="AF55" s="658" t="n"/>
      <c r="AG55" s="658" t="n"/>
      <c r="AH55" s="658" t="n"/>
      <c r="AI55" s="658" t="n"/>
      <c r="AJ55" s="658" t="n"/>
      <c r="AK55" s="658" t="n"/>
      <c r="AL55" s="658" t="n"/>
      <c r="AN55" s="670" t="n"/>
      <c r="AO55" s="670" t="n"/>
      <c r="AP55" s="658" t="n"/>
      <c r="AQ55" s="658" t="n"/>
      <c r="AR55" s="658" t="n"/>
      <c r="AS55" s="658" t="n"/>
      <c r="AT55" s="658" t="n"/>
      <c r="AU55" s="658" t="n"/>
      <c r="AV55" s="658" t="n"/>
    </row>
    <row r="56" ht="12.75" customHeight="1" s="7635">
      <c r="AA56" s="658" t="n"/>
      <c r="AB56" s="658" t="n"/>
      <c r="AC56" s="658" t="n"/>
      <c r="AD56" s="658" t="n"/>
      <c r="AE56" s="658" t="n"/>
      <c r="AF56" s="658" t="n"/>
      <c r="AG56" s="658" t="n"/>
      <c r="AH56" s="658" t="n"/>
      <c r="AI56" s="658" t="n"/>
      <c r="AJ56" s="658" t="n"/>
      <c r="AK56" s="658" t="n"/>
      <c r="AL56" s="658" t="n"/>
      <c r="AN56" s="670" t="n"/>
      <c r="AO56" s="670" t="n"/>
      <c r="AP56" s="658" t="n"/>
      <c r="AQ56" s="658" t="n"/>
      <c r="AR56" s="658" t="n"/>
      <c r="AS56" s="658" t="n"/>
      <c r="AT56" s="658" t="n"/>
      <c r="AU56" s="658" t="n"/>
      <c r="AV56" s="658" t="n"/>
    </row>
    <row r="57" ht="8.25" customHeight="1" s="7635">
      <c r="D57" s="1839" t="n"/>
      <c r="E57" s="1839" t="n"/>
      <c r="F57" s="1839" t="n"/>
      <c r="G57" s="1839" t="n"/>
      <c r="H57" s="1839" t="n"/>
      <c r="I57" s="1839" t="n"/>
      <c r="J57" s="1839" t="n"/>
      <c r="K57" s="1839" t="n"/>
      <c r="L57" s="1839" t="n"/>
      <c r="M57" s="1839" t="n"/>
      <c r="N57" s="8940" t="n"/>
      <c r="O57" s="2655" t="n"/>
      <c r="AA57" s="658" t="n"/>
      <c r="AB57" s="658" t="n"/>
      <c r="AC57" s="658" t="n"/>
      <c r="AD57" s="658" t="n"/>
      <c r="AE57" s="658" t="n"/>
      <c r="AF57" s="658" t="n"/>
      <c r="AG57" s="658" t="n"/>
      <c r="AH57" s="658" t="n"/>
      <c r="AI57" s="658" t="n"/>
      <c r="AJ57" s="658" t="n"/>
      <c r="AK57" s="658" t="n"/>
      <c r="AL57" s="658" t="n"/>
      <c r="AN57" s="670" t="n"/>
      <c r="AO57" s="670" t="n"/>
      <c r="AP57" s="658" t="n"/>
      <c r="AQ57" s="658" t="n"/>
      <c r="AR57" s="658" t="n"/>
      <c r="AS57" s="658" t="n"/>
      <c r="AT57" s="658" t="n"/>
      <c r="AU57" s="658" t="n"/>
      <c r="AV57" s="658" t="n"/>
    </row>
    <row r="58">
      <c r="C58" s="2648" t="inlineStr">
        <is>
          <t>2.</t>
        </is>
      </c>
      <c r="D58" s="88">
        <f>"Is your investment income more than "&amp;TEXT(N58,"$0,000")&amp;"?"</f>
        <v/>
      </c>
      <c r="N58" s="7847" t="n">
        <v>11950</v>
      </c>
      <c r="AA58" s="658" t="n"/>
      <c r="AB58" s="658" t="n"/>
      <c r="AC58" s="658" t="n"/>
      <c r="AD58" s="658" t="n"/>
      <c r="AE58" s="658" t="n"/>
      <c r="AF58" s="658" t="n"/>
      <c r="AG58" s="658" t="n"/>
      <c r="AH58" s="658" t="n"/>
      <c r="AI58" s="658" t="n"/>
      <c r="AJ58" s="658" t="n"/>
      <c r="AK58" s="658" t="n"/>
      <c r="AL58" s="658" t="n"/>
      <c r="AN58" s="670" t="n"/>
      <c r="AO58" s="670" t="n"/>
      <c r="AP58" s="658" t="n"/>
      <c r="AQ58" s="658" t="n"/>
      <c r="AR58" s="658" t="n"/>
      <c r="AS58" s="658" t="n"/>
      <c r="AT58" s="658" t="n"/>
      <c r="AU58" s="658" t="n"/>
      <c r="AV58" s="658" t="n"/>
    </row>
    <row r="59">
      <c r="AA59" s="658" t="n"/>
      <c r="AB59" s="658" t="n"/>
      <c r="AC59" s="658" t="n"/>
      <c r="AD59" s="658" t="n"/>
      <c r="AE59" s="658" t="n"/>
      <c r="AF59" s="658" t="n"/>
      <c r="AG59" s="658" t="n"/>
      <c r="AH59" s="658" t="n"/>
      <c r="AI59" s="658" t="n"/>
      <c r="AJ59" s="658" t="n"/>
      <c r="AK59" s="658" t="n"/>
      <c r="AL59" s="658" t="n"/>
      <c r="AN59" s="670" t="n"/>
      <c r="AO59" s="670" t="n"/>
      <c r="AP59" s="658" t="n"/>
      <c r="AQ59" s="658" t="n"/>
      <c r="AR59" s="658" t="n"/>
      <c r="AS59" s="658" t="n"/>
      <c r="AT59" s="658" t="n"/>
      <c r="AU59" s="658" t="n"/>
      <c r="AV59" s="658" t="n"/>
    </row>
    <row r="60">
      <c r="A60" s="441">
        <f>B60&lt;&gt;""</f>
        <v/>
      </c>
      <c r="B60" s="2658">
        <f>IF(E53&gt;N58,"X","")</f>
        <v/>
      </c>
      <c r="D60" s="11403" t="inlineStr">
        <is>
          <t>Yes.  Continue</t>
        </is>
      </c>
      <c r="H60" s="2658">
        <f>IF(OR(NOT(EIC_trigger),E53&gt;N58),"","X")</f>
        <v/>
      </c>
      <c r="J60" s="11403" t="inlineStr">
        <is>
          <t>No.  Skip question 3; go to question 4.</t>
        </is>
      </c>
      <c r="N60" s="441">
        <f>H60&lt;&gt;""</f>
        <v/>
      </c>
      <c r="AA60" s="658" t="n"/>
      <c r="AB60" s="658" t="n"/>
      <c r="AC60" s="658" t="n"/>
      <c r="AD60" s="658" t="n"/>
      <c r="AE60" s="658" t="n"/>
      <c r="AF60" s="658" t="n"/>
      <c r="AG60" s="658" t="n"/>
      <c r="AH60" s="658" t="n"/>
      <c r="AI60" s="658" t="n"/>
      <c r="AJ60" s="658" t="n"/>
      <c r="AK60" s="658" t="n"/>
      <c r="AL60" s="658" t="n"/>
      <c r="AN60" s="670" t="n"/>
      <c r="AO60" s="670" t="n"/>
      <c r="AP60" s="658" t="n"/>
      <c r="AQ60" s="658" t="n"/>
      <c r="AR60" s="658" t="n"/>
      <c r="AS60" s="658" t="n"/>
      <c r="AT60" s="658" t="n"/>
      <c r="AU60" s="658" t="n"/>
      <c r="AV60" s="658" t="n"/>
    </row>
    <row r="61" ht="12.75" customHeight="1" s="7635">
      <c r="AA61" s="658" t="n"/>
      <c r="AB61" s="658" t="n"/>
      <c r="AC61" s="658" t="n"/>
      <c r="AD61" s="658" t="n"/>
      <c r="AE61" s="658" t="n"/>
      <c r="AF61" s="658" t="n"/>
      <c r="AG61" s="658" t="n"/>
      <c r="AH61" s="658" t="n"/>
      <c r="AI61" s="658" t="n"/>
      <c r="AJ61" s="658" t="n"/>
      <c r="AK61" s="658" t="n"/>
      <c r="AL61" s="658" t="n"/>
      <c r="AN61" s="670" t="n"/>
      <c r="AO61" s="670" t="n"/>
      <c r="AP61" s="658" t="n"/>
      <c r="AQ61" s="658" t="n"/>
      <c r="AR61" s="658" t="n"/>
      <c r="AS61" s="658" t="n"/>
      <c r="AT61" s="658" t="n"/>
      <c r="AU61" s="658" t="n"/>
      <c r="AV61" s="658" t="n"/>
    </row>
    <row r="62" ht="8.25" customHeight="1" s="7635">
      <c r="D62" s="1839" t="n"/>
      <c r="E62" s="1839" t="n"/>
      <c r="F62" s="1839" t="n"/>
      <c r="G62" s="1839" t="n"/>
      <c r="H62" s="1839" t="n"/>
      <c r="I62" s="1839" t="n"/>
      <c r="J62" s="1839" t="n"/>
      <c r="K62" s="1839" t="n"/>
      <c r="L62" s="1839" t="n"/>
      <c r="M62" s="1839" t="n"/>
      <c r="N62" s="8940" t="n"/>
      <c r="O62" s="2655" t="n"/>
      <c r="AA62" s="658" t="n"/>
      <c r="AB62" s="658" t="n"/>
      <c r="AC62" s="658" t="n"/>
      <c r="AD62" s="658" t="n"/>
      <c r="AE62" s="658" t="n"/>
      <c r="AF62" s="658" t="n"/>
      <c r="AG62" s="658" t="n"/>
      <c r="AH62" s="658" t="n"/>
      <c r="AI62" s="658" t="n"/>
      <c r="AJ62" s="658" t="n"/>
      <c r="AK62" s="658" t="n"/>
      <c r="AL62" s="658" t="n"/>
      <c r="AN62" s="670" t="n"/>
      <c r="AO62" s="670" t="n"/>
      <c r="AP62" s="658" t="n"/>
      <c r="AQ62" s="658" t="n"/>
      <c r="AR62" s="658" t="n"/>
      <c r="AS62" s="658" t="n"/>
      <c r="AT62" s="658" t="n"/>
      <c r="AU62" s="658" t="n"/>
      <c r="AV62" s="658" t="n"/>
    </row>
    <row r="63">
      <c r="A63" s="8025">
        <f>IF(NoEICredit,"",IF(H60&lt;&gt;"","Skip",""))</f>
        <v/>
      </c>
      <c r="C63" s="2648" t="inlineStr">
        <is>
          <t>3.</t>
        </is>
      </c>
      <c r="D63" s="88" t="inlineStr">
        <is>
          <t>Are you filing Form 4797 (relating to sales of business property)?</t>
        </is>
      </c>
      <c r="N63" s="1913">
        <f>IF(A60,"Form 4797 filers. If the amount on Form 1040 or 1040-SR,","")</f>
        <v/>
      </c>
      <c r="O63" s="1839" t="n"/>
      <c r="P63" s="1839" t="n"/>
      <c r="Q63" s="1839" t="n"/>
      <c r="R63" s="1839" t="n"/>
      <c r="S63" s="1839" t="n"/>
      <c r="T63" s="1839" t="n"/>
      <c r="U63" s="1839" t="n"/>
      <c r="V63" s="1839" t="n"/>
      <c r="W63" s="1839" t="n"/>
      <c r="X63" s="1839" t="n"/>
      <c r="Y63" s="2411" t="n"/>
      <c r="AA63" s="658" t="n"/>
      <c r="AB63" s="658" t="n"/>
      <c r="AC63" s="658" t="n"/>
      <c r="AD63" s="658" t="n"/>
      <c r="AE63" s="658" t="n"/>
      <c r="AF63" s="658" t="n"/>
      <c r="AG63" s="658" t="n"/>
      <c r="AH63" s="658" t="n"/>
      <c r="AI63" s="658" t="n"/>
      <c r="AJ63" s="658" t="n"/>
      <c r="AK63" s="658" t="n"/>
      <c r="AL63" s="658" t="n"/>
      <c r="AN63" s="670" t="n"/>
      <c r="AO63" s="670" t="n"/>
      <c r="AP63" s="658" t="n"/>
      <c r="AQ63" s="658" t="n"/>
      <c r="AR63" s="658" t="n"/>
      <c r="AS63" s="658" t="n"/>
      <c r="AT63" s="658" t="n"/>
      <c r="AU63" s="658" t="n"/>
      <c r="AV63" s="658" t="n"/>
    </row>
    <row r="64">
      <c r="N64" s="2666">
        <f>IF(A60,"line 7, includes an amount from Form 4797, you must use","")</f>
        <v/>
      </c>
      <c r="Y64" s="2431" t="n"/>
      <c r="AA64" s="658" t="n"/>
      <c r="AB64" s="658" t="n"/>
      <c r="AC64" s="658" t="n"/>
      <c r="AD64" s="658" t="n"/>
      <c r="AE64" s="658" t="n"/>
      <c r="AF64" s="658" t="n"/>
      <c r="AG64" s="658" t="n"/>
      <c r="AH64" s="658" t="n"/>
      <c r="AI64" s="658" t="n"/>
      <c r="AJ64" s="658" t="n"/>
      <c r="AK64" s="658" t="n"/>
      <c r="AL64" s="658" t="n"/>
      <c r="AN64" s="670" t="n"/>
      <c r="AO64" s="670" t="n"/>
      <c r="AP64" s="658" t="n"/>
      <c r="AQ64" s="658" t="n"/>
      <c r="AR64" s="658" t="n"/>
      <c r="AS64" s="658" t="n"/>
      <c r="AT64" s="658" t="n"/>
      <c r="AU64" s="658" t="n"/>
      <c r="AV64" s="658" t="n"/>
    </row>
    <row r="65">
      <c r="A65" s="441">
        <f>B65&lt;&gt;""</f>
        <v/>
      </c>
      <c r="B65" s="325" t="n"/>
      <c r="D65" s="11403" t="inlineStr">
        <is>
          <t>Yes.  See Form 4797 filers,</t>
        </is>
      </c>
      <c r="H65" s="325" t="n"/>
      <c r="J65" s="11403" t="inlineStr">
        <is>
          <t>No.  You cannot take the credit.</t>
        </is>
      </c>
      <c r="N65" s="2666">
        <f>IF(A60,"Worksheet 1 in Pub. 596 to see if you can take the EIC.","")</f>
        <v/>
      </c>
      <c r="Y65" s="2431" t="n"/>
      <c r="AA65" s="658" t="n"/>
      <c r="AB65" s="658" t="n"/>
      <c r="AC65" s="658" t="n"/>
      <c r="AD65" s="658" t="n"/>
      <c r="AE65" s="658" t="n"/>
      <c r="AF65" s="658" t="n"/>
      <c r="AG65" s="658" t="n"/>
      <c r="AH65" s="658" t="n"/>
      <c r="AI65" s="658" t="n"/>
      <c r="AJ65" s="658" t="n"/>
      <c r="AK65" s="658" t="n"/>
      <c r="AL65" s="658" t="n"/>
      <c r="AN65" s="670" t="n"/>
      <c r="AO65" s="670" t="n"/>
      <c r="AP65" s="658" t="n"/>
      <c r="AQ65" s="658" t="n"/>
      <c r="AR65" s="658" t="n"/>
      <c r="AS65" s="658" t="n"/>
      <c r="AT65" s="658" t="n"/>
      <c r="AU65" s="658" t="n"/>
      <c r="AV65" s="658" t="n"/>
    </row>
    <row r="66">
      <c r="B66" s="423" t="n"/>
      <c r="D66" s="11403" t="inlineStr">
        <is>
          <t>under Definitions and Special Rules</t>
        </is>
      </c>
      <c r="H66" s="423" t="n"/>
      <c r="N66" s="1912">
        <f>IF(A60,"Otherwise, stop; you can't take the EIC.","")</f>
        <v/>
      </c>
      <c r="O66" s="2432" t="n"/>
      <c r="P66" s="2432" t="n"/>
      <c r="Q66" s="2432" t="n"/>
      <c r="R66" s="2432" t="n"/>
      <c r="S66" s="2432" t="n"/>
      <c r="T66" s="2432" t="n"/>
      <c r="U66" s="2432" t="n"/>
      <c r="V66" s="2432" t="n"/>
      <c r="W66" s="2432" t="n"/>
      <c r="X66" s="2432" t="n"/>
      <c r="Y66" s="2433" t="n"/>
      <c r="AA66" s="658" t="n"/>
      <c r="AB66" s="658" t="n"/>
      <c r="AC66" s="658" t="n"/>
      <c r="AD66" s="658" t="n"/>
      <c r="AE66" s="658" t="n"/>
      <c r="AF66" s="658" t="n"/>
      <c r="AG66" s="658" t="n"/>
      <c r="AH66" s="658" t="n"/>
      <c r="AI66" s="658" t="n"/>
      <c r="AJ66" s="658" t="n"/>
      <c r="AK66" s="658" t="n"/>
      <c r="AL66" s="658" t="n"/>
      <c r="AN66" s="670" t="n"/>
      <c r="AO66" s="670" t="n"/>
      <c r="AP66" s="658" t="n"/>
      <c r="AQ66" s="658" t="n"/>
      <c r="AR66" s="658" t="n"/>
      <c r="AS66" s="658" t="n"/>
      <c r="AT66" s="658" t="n"/>
      <c r="AU66" s="658" t="n"/>
      <c r="AV66" s="658" t="n"/>
    </row>
    <row r="67" ht="12.75" customHeight="1" s="7635">
      <c r="H67" s="423" t="n"/>
      <c r="J67" s="2667">
        <f>IF(AND(A60,H67&lt;&gt;""),"Go to Step 4.",IF(A65,"Check here if you can take the credit.",""))</f>
        <v/>
      </c>
      <c r="N67" s="441">
        <f>H65&lt;&gt;""</f>
        <v/>
      </c>
      <c r="AA67" s="658" t="n"/>
      <c r="AB67" s="658" t="n"/>
      <c r="AC67" s="658" t="n"/>
      <c r="AD67" s="658" t="n"/>
      <c r="AE67" s="658" t="n"/>
      <c r="AF67" s="658" t="n"/>
      <c r="AG67" s="658" t="n"/>
      <c r="AH67" s="658" t="n"/>
      <c r="AI67" s="658" t="n"/>
      <c r="AJ67" s="658" t="n"/>
      <c r="AK67" s="658" t="n"/>
      <c r="AL67" s="658" t="n"/>
      <c r="AN67" s="670" t="n"/>
      <c r="AO67" s="670" t="n"/>
      <c r="AP67" s="658" t="n"/>
      <c r="AQ67" s="658" t="n"/>
      <c r="AR67" s="658" t="n"/>
      <c r="AS67" s="658" t="n"/>
      <c r="AT67" s="658" t="n"/>
      <c r="AU67" s="658" t="n"/>
      <c r="AV67" s="658" t="n"/>
    </row>
    <row r="68" ht="8.25" customHeight="1" s="7635">
      <c r="D68" s="1839" t="n"/>
      <c r="E68" s="1839" t="n"/>
      <c r="F68" s="1839" t="n"/>
      <c r="G68" s="1839" t="n"/>
      <c r="H68" s="1839" t="n"/>
      <c r="I68" s="1839" t="n"/>
      <c r="J68" s="1839" t="n"/>
      <c r="K68" s="1839" t="n"/>
      <c r="L68" s="1839" t="n"/>
      <c r="M68" s="1839" t="n"/>
      <c r="N68" s="8940" t="n"/>
      <c r="O68" s="2655" t="n"/>
      <c r="AA68" s="658" t="n"/>
      <c r="AB68" s="658" t="n"/>
      <c r="AC68" s="658" t="n"/>
      <c r="AD68" s="658" t="n"/>
      <c r="AE68" s="658" t="n"/>
      <c r="AF68" s="658" t="n"/>
      <c r="AG68" s="658" t="n"/>
      <c r="AH68" s="658" t="n"/>
      <c r="AI68" s="658" t="n"/>
      <c r="AJ68" s="658" t="n"/>
      <c r="AK68" s="658" t="n"/>
      <c r="AL68" s="658" t="n"/>
      <c r="AN68" s="670" t="n"/>
      <c r="AO68" s="670" t="n"/>
      <c r="AP68" s="658" t="n"/>
      <c r="AQ68" s="658" t="n"/>
      <c r="AR68" s="658" t="n"/>
      <c r="AS68" s="658" t="n"/>
      <c r="AT68" s="658" t="n"/>
      <c r="AU68" s="658" t="n"/>
      <c r="AV68" s="658" t="n"/>
    </row>
    <row r="69">
      <c r="C69" s="2648" t="inlineStr">
        <is>
          <t>4.</t>
        </is>
      </c>
      <c r="D69" s="88">
        <f>"Do any of the following apply for "&amp;TaxYear&amp;"?"</f>
        <v/>
      </c>
      <c r="AA69" s="658" t="n"/>
      <c r="AB69" s="658" t="n"/>
      <c r="AC69" s="658" t="n"/>
      <c r="AD69" s="658" t="n"/>
      <c r="AE69" s="658" t="n"/>
      <c r="AF69" s="658" t="n"/>
      <c r="AG69" s="658" t="n"/>
      <c r="AH69" s="658" t="n"/>
      <c r="AI69" s="658" t="n"/>
      <c r="AJ69" s="658" t="n"/>
      <c r="AK69" s="658" t="n"/>
      <c r="AL69" s="658" t="n"/>
      <c r="AN69" s="670" t="n"/>
      <c r="AO69" s="670" t="n"/>
      <c r="AP69" s="658" t="n"/>
      <c r="AQ69" s="658" t="n"/>
      <c r="AR69" s="658" t="n"/>
      <c r="AS69" s="658" t="n"/>
      <c r="AT69" s="658" t="n"/>
      <c r="AU69" s="658" t="n"/>
      <c r="AV69" s="658" t="n"/>
    </row>
    <row r="70" ht="7.5" customHeight="1" s="7635">
      <c r="AA70" s="658" t="n"/>
      <c r="AB70" s="658" t="n"/>
      <c r="AC70" s="658" t="n"/>
      <c r="AD70" s="658" t="n"/>
      <c r="AE70" s="658" t="n"/>
      <c r="AF70" s="658" t="n"/>
      <c r="AG70" s="658" t="n"/>
      <c r="AH70" s="658" t="n"/>
      <c r="AI70" s="658" t="n"/>
      <c r="AJ70" s="658" t="n"/>
      <c r="AK70" s="658" t="n"/>
      <c r="AL70" s="658" t="n"/>
      <c r="AN70" s="670" t="n"/>
      <c r="AO70" s="670" t="n"/>
      <c r="AP70" s="658" t="n"/>
      <c r="AQ70" s="658" t="n"/>
      <c r="AR70" s="658" t="n"/>
      <c r="AS70" s="658" t="n"/>
      <c r="AT70" s="658" t="n"/>
      <c r="AU70" s="658" t="n"/>
      <c r="AV70" s="658" t="n"/>
    </row>
    <row r="71" ht="15.75" customHeight="1" s="7635">
      <c r="A71" s="2668" t="inlineStr">
        <is>
          <t>®</t>
        </is>
      </c>
      <c r="B71" s="2653">
        <f>IF(SchE2_Completed,"X","")</f>
        <v/>
      </c>
      <c r="C71" s="2643" t="inlineStr">
        <is>
          <t>●</t>
        </is>
      </c>
      <c r="D71" s="11403" t="inlineStr">
        <is>
          <t>You are filing Schedule E.       (This is automatically completed.)</t>
        </is>
      </c>
      <c r="AA71" s="658" t="n"/>
      <c r="AB71" s="658" t="n"/>
      <c r="AC71" s="658" t="n"/>
      <c r="AD71" s="658" t="n"/>
      <c r="AE71" s="658" t="n"/>
      <c r="AF71" s="658" t="n"/>
      <c r="AG71" s="658" t="n"/>
      <c r="AH71" s="658" t="n"/>
      <c r="AI71" s="658" t="n"/>
      <c r="AJ71" s="658" t="n"/>
      <c r="AK71" s="658" t="n"/>
      <c r="AL71" s="658" t="n"/>
      <c r="AN71" s="670" t="n"/>
      <c r="AO71" s="670" t="n"/>
      <c r="AP71" s="658" t="n"/>
      <c r="AQ71" s="658" t="n"/>
      <c r="AR71" s="658" t="n"/>
      <c r="AS71" s="658" t="n"/>
      <c r="AT71" s="658" t="n"/>
      <c r="AU71" s="658" t="n"/>
      <c r="AV71" s="658" t="n"/>
    </row>
    <row r="72">
      <c r="C72" s="228" t="inlineStr">
        <is>
          <t>or</t>
        </is>
      </c>
      <c r="AA72" s="658" t="n"/>
      <c r="AB72" s="658" t="n"/>
      <c r="AC72" s="658" t="n"/>
      <c r="AD72" s="658" t="n"/>
      <c r="AE72" s="658" t="n"/>
      <c r="AF72" s="658" t="n"/>
      <c r="AG72" s="658" t="n"/>
      <c r="AH72" s="658" t="n"/>
      <c r="AI72" s="658" t="n"/>
      <c r="AJ72" s="658" t="n"/>
      <c r="AK72" s="658" t="n"/>
      <c r="AL72" s="658" t="n"/>
      <c r="AN72" s="670" t="n"/>
      <c r="AO72" s="670" t="n"/>
      <c r="AP72" s="658" t="n"/>
      <c r="AQ72" s="658" t="n"/>
      <c r="AR72" s="658" t="n"/>
      <c r="AS72" s="658" t="n"/>
      <c r="AT72" s="658" t="n"/>
      <c r="AU72" s="658" t="n"/>
      <c r="AV72" s="658" t="n"/>
    </row>
    <row r="73" ht="15.75" customHeight="1" s="7635">
      <c r="A73" s="2668" t="inlineStr">
        <is>
          <t>®</t>
        </is>
      </c>
      <c r="B73" s="325" t="n"/>
      <c r="C73" s="2643" t="inlineStr">
        <is>
          <t>●</t>
        </is>
      </c>
      <c r="D73" s="88" t="inlineStr">
        <is>
          <t xml:space="preserve">You are reporting income or a loss from the rental of </t>
        </is>
      </c>
      <c r="AA73" s="658" t="n"/>
      <c r="AB73" s="658" t="n"/>
      <c r="AC73" s="658" t="n"/>
      <c r="AD73" s="658" t="n"/>
      <c r="AE73" s="658" t="n"/>
      <c r="AF73" s="658" t="n"/>
      <c r="AG73" s="658" t="n"/>
      <c r="AH73" s="658" t="n"/>
      <c r="AI73" s="658" t="n"/>
      <c r="AJ73" s="658" t="n"/>
      <c r="AK73" s="658" t="n"/>
      <c r="AL73" s="658" t="n"/>
      <c r="AN73" s="670" t="n"/>
      <c r="AO73" s="670" t="n"/>
      <c r="AP73" s="658" t="n"/>
      <c r="AQ73" s="658" t="n"/>
      <c r="AR73" s="658" t="n"/>
      <c r="AS73" s="658" t="n"/>
      <c r="AT73" s="658" t="n"/>
      <c r="AU73" s="658" t="n"/>
      <c r="AV73" s="658" t="n"/>
    </row>
    <row r="74">
      <c r="D74" s="88">
        <f>"personal property not used in a trade or business."</f>
        <v/>
      </c>
      <c r="AA74" s="658" t="n"/>
      <c r="AB74" s="658" t="n"/>
      <c r="AC74" s="658" t="n"/>
      <c r="AD74" s="658" t="n"/>
      <c r="AE74" s="658" t="n"/>
      <c r="AF74" s="658" t="n"/>
      <c r="AG74" s="658" t="n"/>
      <c r="AH74" s="658" t="n"/>
      <c r="AI74" s="658" t="n"/>
      <c r="AJ74" s="658" t="n"/>
      <c r="AK74" s="658" t="n"/>
      <c r="AL74" s="658" t="n"/>
      <c r="AN74" s="670" t="n"/>
      <c r="AO74" s="670" t="n"/>
      <c r="AP74" s="658" t="n"/>
      <c r="AQ74" s="658" t="n"/>
      <c r="AR74" s="658" t="n"/>
      <c r="AS74" s="658" t="n"/>
      <c r="AT74" s="658" t="n"/>
      <c r="AU74" s="658" t="n"/>
      <c r="AV74" s="658" t="n"/>
    </row>
    <row r="75">
      <c r="C75" s="228" t="inlineStr">
        <is>
          <t>or</t>
        </is>
      </c>
      <c r="AA75" s="658" t="n"/>
      <c r="AB75" s="658" t="n"/>
      <c r="AC75" s="658" t="n"/>
      <c r="AD75" s="658" t="n"/>
      <c r="AE75" s="658" t="n"/>
      <c r="AF75" s="658" t="n"/>
      <c r="AG75" s="658" t="n"/>
      <c r="AH75" s="658" t="n"/>
      <c r="AI75" s="658" t="n"/>
      <c r="AJ75" s="658" t="n"/>
      <c r="AK75" s="658" t="n"/>
      <c r="AL75" s="658" t="n"/>
      <c r="AN75" s="670" t="n"/>
      <c r="AO75" s="670" t="n"/>
      <c r="AP75" s="658" t="n"/>
      <c r="AQ75" s="658" t="n"/>
      <c r="AR75" s="658" t="n"/>
      <c r="AS75" s="658" t="n"/>
      <c r="AT75" s="658" t="n"/>
      <c r="AU75" s="658" t="n"/>
      <c r="AV75" s="658" t="n"/>
    </row>
    <row r="76" ht="15.75" customHeight="1" s="7635">
      <c r="A76" s="2668" t="inlineStr">
        <is>
          <t>®</t>
        </is>
      </c>
      <c r="B76" s="325" t="n"/>
      <c r="C76" s="2643" t="inlineStr">
        <is>
          <t>●</t>
        </is>
      </c>
      <c r="D76" s="11403" t="inlineStr">
        <is>
          <t>You are filing Form 8814 (relating to election to report child’s interest</t>
        </is>
      </c>
      <c r="AA76" s="658" t="n"/>
      <c r="AB76" s="658" t="n"/>
      <c r="AC76" s="658" t="n"/>
      <c r="AD76" s="658" t="n"/>
      <c r="AE76" s="658" t="n"/>
      <c r="AF76" s="658" t="n"/>
      <c r="AG76" s="658" t="n"/>
      <c r="AH76" s="658" t="n"/>
      <c r="AI76" s="658" t="n"/>
      <c r="AJ76" s="658" t="n"/>
      <c r="AK76" s="658" t="n"/>
      <c r="AL76" s="658" t="n"/>
      <c r="AN76" s="670" t="n"/>
      <c r="AO76" s="670" t="n"/>
      <c r="AP76" s="658" t="n"/>
      <c r="AQ76" s="658" t="n"/>
      <c r="AR76" s="658" t="n"/>
      <c r="AS76" s="658" t="n"/>
      <c r="AT76" s="658" t="n"/>
      <c r="AU76" s="658" t="n"/>
      <c r="AV76" s="658" t="n"/>
    </row>
    <row r="77">
      <c r="D77" s="11403" t="inlineStr">
        <is>
          <t>and dividends on your return).</t>
        </is>
      </c>
      <c r="AA77" s="658" t="n"/>
      <c r="AB77" s="658" t="n"/>
      <c r="AC77" s="658" t="n"/>
      <c r="AD77" s="658" t="n"/>
      <c r="AE77" s="658" t="n"/>
      <c r="AF77" s="658" t="n"/>
      <c r="AG77" s="658" t="n"/>
      <c r="AH77" s="658" t="n"/>
      <c r="AI77" s="658" t="n"/>
      <c r="AJ77" s="658" t="n"/>
      <c r="AK77" s="658" t="n"/>
      <c r="AL77" s="658" t="n"/>
      <c r="AN77" s="670" t="n"/>
      <c r="AO77" s="670" t="n"/>
      <c r="AP77" s="658" t="n"/>
      <c r="AQ77" s="658" t="n"/>
      <c r="AR77" s="658" t="n"/>
      <c r="AS77" s="658" t="n"/>
      <c r="AT77" s="658" t="n"/>
      <c r="AU77" s="658" t="n"/>
      <c r="AV77" s="658" t="n"/>
    </row>
    <row r="78">
      <c r="C78" s="228" t="inlineStr">
        <is>
          <t>or</t>
        </is>
      </c>
      <c r="AA78" s="658" t="n"/>
      <c r="AB78" s="658" t="n"/>
      <c r="AC78" s="658" t="n"/>
      <c r="AD78" s="658" t="n"/>
      <c r="AE78" s="658" t="n"/>
      <c r="AF78" s="658" t="n"/>
      <c r="AG78" s="658" t="n"/>
      <c r="AH78" s="658" t="n"/>
      <c r="AI78" s="658" t="n"/>
      <c r="AJ78" s="658" t="n"/>
      <c r="AK78" s="658" t="n"/>
      <c r="AL78" s="658" t="n"/>
      <c r="AN78" s="670" t="n"/>
      <c r="AO78" s="670" t="n"/>
      <c r="AP78" s="658" t="n"/>
      <c r="AQ78" s="658" t="n"/>
      <c r="AR78" s="658" t="n"/>
      <c r="AS78" s="658" t="n"/>
      <c r="AT78" s="658" t="n"/>
      <c r="AU78" s="658" t="n"/>
      <c r="AV78" s="658" t="n"/>
    </row>
    <row r="79" ht="15.75" customHeight="1" s="7635">
      <c r="A79" s="2668" t="inlineStr">
        <is>
          <t>®</t>
        </is>
      </c>
      <c r="B79" s="325" t="n"/>
      <c r="C79" s="2643" t="inlineStr">
        <is>
          <t>●</t>
        </is>
      </c>
      <c r="D79" s="11403" t="inlineStr">
        <is>
          <t>You have income or loss from a passive activity.</t>
        </is>
      </c>
      <c r="AA79" s="658" t="n"/>
      <c r="AB79" s="658" t="n"/>
      <c r="AC79" s="658" t="n"/>
      <c r="AD79" s="658" t="n"/>
      <c r="AE79" s="658" t="n"/>
      <c r="AF79" s="658" t="n"/>
      <c r="AG79" s="658" t="n"/>
      <c r="AH79" s="658" t="n"/>
      <c r="AI79" s="658" t="n"/>
      <c r="AJ79" s="658" t="n"/>
      <c r="AK79" s="658" t="n"/>
      <c r="AL79" s="658" t="n"/>
      <c r="AN79" s="670" t="n"/>
      <c r="AO79" s="670" t="n"/>
      <c r="AP79" s="658" t="n"/>
      <c r="AQ79" s="658" t="n"/>
      <c r="AR79" s="658" t="n"/>
      <c r="AS79" s="658" t="n"/>
      <c r="AT79" s="658" t="n"/>
      <c r="AU79" s="658" t="n"/>
      <c r="AV79" s="658" t="n"/>
    </row>
    <row r="80">
      <c r="AA80" s="658" t="n"/>
      <c r="AB80" s="658" t="n"/>
      <c r="AC80" s="658" t="n"/>
      <c r="AD80" s="658" t="n"/>
      <c r="AE80" s="658" t="n"/>
      <c r="AF80" s="658" t="n"/>
      <c r="AG80" s="658" t="n"/>
      <c r="AH80" s="658" t="n"/>
      <c r="AI80" s="658" t="n"/>
      <c r="AJ80" s="658" t="n"/>
      <c r="AK80" s="658" t="n"/>
      <c r="AL80" s="658" t="n"/>
      <c r="AN80" s="670" t="n"/>
      <c r="AO80" s="670" t="n"/>
      <c r="AP80" s="658" t="n"/>
      <c r="AQ80" s="658" t="n"/>
      <c r="AR80" s="658" t="n"/>
      <c r="AS80" s="658" t="n"/>
      <c r="AT80" s="658" t="n"/>
      <c r="AU80" s="658" t="n"/>
      <c r="AV80" s="658" t="n"/>
    </row>
    <row r="81" ht="15.75" customHeight="1" s="7635">
      <c r="A81" s="441">
        <f>B81&lt;&gt;""</f>
        <v/>
      </c>
      <c r="B81" s="2658">
        <f>IF(N67,"",IF(OR(B71&lt;&gt;"",B73&lt;&gt;"",B76&lt;&gt;"",B79&lt;&gt;""),"X",""))</f>
        <v/>
      </c>
      <c r="D81" s="11403" t="inlineStr">
        <is>
          <t>Yes.  Use Worksheet 1</t>
        </is>
      </c>
      <c r="G81" s="2668" t="inlineStr">
        <is>
          <t>®</t>
        </is>
      </c>
      <c r="H81" s="2653">
        <f>IF(NOT(A81),"X","")</f>
        <v/>
      </c>
      <c r="J81" s="11403" t="inlineStr">
        <is>
          <t>No.  Go to Step 3.</t>
        </is>
      </c>
      <c r="N81" s="441">
        <f>AND(N60,NOT(A81))</f>
        <v/>
      </c>
      <c r="AA81" s="658" t="n"/>
      <c r="AB81" s="658" t="n"/>
      <c r="AC81" s="658" t="n"/>
      <c r="AD81" s="658" t="n"/>
      <c r="AE81" s="658" t="n"/>
      <c r="AF81" s="658" t="n"/>
      <c r="AG81" s="658" t="n"/>
      <c r="AH81" s="658" t="n"/>
      <c r="AI81" s="658" t="n"/>
      <c r="AJ81" s="658" t="n"/>
      <c r="AK81" s="658" t="n"/>
      <c r="AL81" s="658" t="n"/>
      <c r="AN81" s="670" t="n"/>
      <c r="AO81" s="670" t="n"/>
      <c r="AP81" s="658" t="n"/>
      <c r="AQ81" s="658" t="n"/>
      <c r="AR81" s="658" t="n"/>
      <c r="AS81" s="658" t="n"/>
      <c r="AT81" s="658" t="n"/>
      <c r="AU81" s="658" t="n"/>
      <c r="AV81" s="658" t="n"/>
    </row>
    <row r="82">
      <c r="D82" s="11403" t="inlineStr">
        <is>
          <t xml:space="preserve">         in Pub. 596 to see if you</t>
        </is>
      </c>
      <c r="H82" s="228" t="n"/>
      <c r="AA82" s="658" t="n"/>
      <c r="AB82" s="658" t="n"/>
      <c r="AC82" s="658" t="n"/>
      <c r="AD82" s="658" t="n"/>
      <c r="AE82" s="658" t="n"/>
      <c r="AF82" s="658" t="n"/>
      <c r="AG82" s="658" t="n"/>
      <c r="AH82" s="658" t="n"/>
      <c r="AI82" s="658" t="n"/>
      <c r="AJ82" s="658" t="n"/>
      <c r="AK82" s="658" t="n"/>
      <c r="AL82" s="658" t="n"/>
      <c r="AN82" s="670" t="n"/>
      <c r="AO82" s="670" t="n"/>
      <c r="AP82" s="658" t="n"/>
      <c r="AQ82" s="658" t="n"/>
      <c r="AR82" s="658" t="n"/>
      <c r="AS82" s="658" t="n"/>
      <c r="AT82" s="658" t="n"/>
      <c r="AU82" s="658" t="n"/>
      <c r="AV82" s="658" t="n"/>
    </row>
    <row r="83" ht="15.75" customHeight="1" s="7635">
      <c r="D83" s="11403" t="inlineStr">
        <is>
          <t xml:space="preserve">         can take the credit.</t>
        </is>
      </c>
      <c r="G83" s="2668" t="inlineStr">
        <is>
          <t>®</t>
        </is>
      </c>
      <c r="H83" s="423" t="n"/>
      <c r="J83" s="2667">
        <f>IF(H83&lt;&gt;"","Go to Step 3.","Check here if you can take the credit.")</f>
        <v/>
      </c>
      <c r="AA83" s="658" t="n"/>
      <c r="AB83" s="658" t="n"/>
      <c r="AC83" s="658" t="n"/>
      <c r="AD83" s="658" t="n"/>
      <c r="AE83" s="658" t="n"/>
      <c r="AF83" s="658" t="n"/>
      <c r="AG83" s="658" t="n"/>
      <c r="AH83" s="658" t="n"/>
      <c r="AI83" s="658" t="n"/>
      <c r="AJ83" s="658" t="n"/>
      <c r="AK83" s="658" t="n"/>
      <c r="AL83" s="658" t="n"/>
      <c r="AN83" s="670" t="n"/>
      <c r="AO83" s="670" t="n"/>
      <c r="AP83" s="658" t="n"/>
      <c r="AQ83" s="658" t="n"/>
      <c r="AR83" s="658" t="n"/>
      <c r="AS83" s="658" t="n"/>
      <c r="AT83" s="658" t="n"/>
      <c r="AU83" s="658" t="n"/>
      <c r="AV83" s="658" t="n"/>
    </row>
    <row r="84">
      <c r="AA84" s="658" t="n"/>
      <c r="AB84" s="658" t="n"/>
      <c r="AC84" s="658" t="n"/>
      <c r="AD84" s="658" t="n"/>
      <c r="AE84" s="658" t="n"/>
      <c r="AF84" s="658" t="n"/>
      <c r="AG84" s="658" t="n"/>
      <c r="AH84" s="658" t="n"/>
      <c r="AI84" s="658" t="n"/>
      <c r="AJ84" s="658" t="n"/>
      <c r="AK84" s="658" t="n"/>
      <c r="AL84" s="658" t="n"/>
      <c r="AN84" s="670" t="n"/>
      <c r="AO84" s="670" t="n"/>
      <c r="AP84" s="658" t="n"/>
      <c r="AQ84" s="658" t="n"/>
      <c r="AR84" s="658" t="n"/>
      <c r="AS84" s="658" t="n"/>
      <c r="AT84" s="658" t="n"/>
      <c r="AU84" s="658" t="n"/>
      <c r="AV84" s="658" t="n"/>
    </row>
    <row r="85" customFormat="1" s="2659">
      <c r="B85" s="2660" t="n"/>
      <c r="N85" s="2661" t="n"/>
      <c r="AA85" s="671" t="n"/>
      <c r="AB85" s="671" t="n"/>
      <c r="AC85" s="671" t="n"/>
      <c r="AD85" s="671" t="n"/>
      <c r="AE85" s="671" t="n"/>
      <c r="AF85" s="671" t="n"/>
      <c r="AG85" s="671" t="n"/>
      <c r="AH85" s="671" t="n"/>
      <c r="AI85" s="671" t="n"/>
      <c r="AJ85" s="671" t="n"/>
      <c r="AK85" s="671" t="n"/>
      <c r="AL85" s="671" t="n"/>
      <c r="AN85" s="672" t="n"/>
      <c r="AO85" s="672" t="n"/>
      <c r="AP85" s="671" t="n"/>
      <c r="AQ85" s="671" t="n"/>
      <c r="AR85" s="671" t="n"/>
      <c r="AS85" s="671" t="n"/>
      <c r="AT85" s="671" t="n"/>
      <c r="AU85" s="671" t="n"/>
      <c r="AV85" s="671" t="n"/>
    </row>
    <row r="86" ht="15.75" customFormat="1" customHeight="1" s="2445">
      <c r="A86" s="9180" t="inlineStr">
        <is>
          <t xml:space="preserve">Step 3 </t>
        </is>
      </c>
      <c r="B86" s="2647" t="inlineStr">
        <is>
          <t>Qualifying Child</t>
        </is>
      </c>
      <c r="C86" s="2642" t="n"/>
      <c r="F86" s="2669" t="inlineStr">
        <is>
          <t>See CAUTIONS and TIP in the instructions.</t>
        </is>
      </c>
      <c r="N86" s="2662" t="n"/>
      <c r="AA86" s="668" t="n"/>
      <c r="AB86" s="668" t="n"/>
      <c r="AC86" s="668" t="n"/>
      <c r="AD86" s="668" t="n"/>
      <c r="AE86" s="668" t="n"/>
      <c r="AF86" s="668" t="n"/>
      <c r="AG86" s="668" t="n"/>
      <c r="AH86" s="668" t="n"/>
      <c r="AI86" s="668" t="n"/>
      <c r="AJ86" s="668" t="n"/>
      <c r="AK86" s="668" t="n"/>
      <c r="AL86" s="668" t="n"/>
      <c r="AN86" s="669" t="n"/>
      <c r="AO86" s="669" t="n"/>
      <c r="AP86" s="668" t="n"/>
      <c r="AQ86" s="668" t="n"/>
      <c r="AR86" s="668" t="n"/>
      <c r="AS86" s="668" t="n"/>
      <c r="AT86" s="668" t="n"/>
      <c r="AU86" s="668" t="n"/>
      <c r="AV86" s="668" t="n"/>
    </row>
    <row r="87">
      <c r="A87" s="7831" t="n"/>
      <c r="C87" s="7831" t="n"/>
      <c r="AA87" s="658" t="n"/>
      <c r="AB87" s="658" t="n"/>
      <c r="AC87" s="658" t="n"/>
      <c r="AD87" s="658" t="n"/>
      <c r="AE87" s="658" t="n"/>
      <c r="AF87" s="658" t="n"/>
      <c r="AG87" s="658" t="n"/>
      <c r="AH87" s="658" t="n"/>
      <c r="AI87" s="658" t="n"/>
      <c r="AJ87" s="658" t="n"/>
      <c r="AK87" s="658" t="n"/>
      <c r="AL87" s="658" t="n"/>
      <c r="AN87" s="670" t="n"/>
      <c r="AO87" s="670" t="n"/>
      <c r="AP87" s="658" t="n"/>
      <c r="AQ87" s="658" t="n"/>
      <c r="AR87" s="658" t="n"/>
      <c r="AS87" s="658" t="n"/>
      <c r="AT87" s="658" t="n"/>
      <c r="AU87" s="658" t="n"/>
      <c r="AV87" s="658" t="n"/>
    </row>
    <row r="88">
      <c r="B88" s="226" t="inlineStr">
        <is>
          <t>A qualifying child for the EIC is a child who is your…</t>
        </is>
      </c>
      <c r="C88" s="2648" t="n"/>
      <c r="D88" s="226" t="n"/>
      <c r="AA88" s="658" t="n"/>
      <c r="AB88" s="658" t="n"/>
      <c r="AC88" s="658" t="n"/>
      <c r="AD88" s="658" t="n"/>
      <c r="AE88" s="658" t="n"/>
      <c r="AF88" s="658" t="n"/>
      <c r="AG88" s="658" t="n"/>
      <c r="AH88" s="658" t="n"/>
      <c r="AI88" s="658" t="n"/>
      <c r="AJ88" s="658" t="n"/>
      <c r="AK88" s="658" t="n"/>
      <c r="AL88" s="658" t="n"/>
      <c r="AN88" s="670" t="n"/>
      <c r="AO88" s="670" t="n"/>
      <c r="AP88" s="658" t="n"/>
      <c r="AQ88" s="658" t="n"/>
      <c r="AR88" s="658" t="n"/>
      <c r="AS88" s="658" t="n"/>
      <c r="AT88" s="658" t="n"/>
      <c r="AU88" s="658" t="n"/>
      <c r="AV88" s="658" t="n"/>
    </row>
    <row r="89">
      <c r="C89" s="2648" t="n"/>
      <c r="AA89" s="658" t="n"/>
      <c r="AB89" s="658" t="n"/>
      <c r="AC89" s="658" t="n"/>
      <c r="AD89" s="658" t="n"/>
      <c r="AE89" s="658" t="n"/>
      <c r="AF89" s="658" t="n"/>
      <c r="AG89" s="658" t="n"/>
      <c r="AH89" s="658" t="n"/>
      <c r="AI89" s="658" t="n"/>
      <c r="AJ89" s="658" t="n"/>
      <c r="AK89" s="658" t="n"/>
      <c r="AL89" s="658" t="n"/>
      <c r="AN89" s="670" t="n"/>
      <c r="AO89" s="670" t="n"/>
      <c r="AP89" s="658" t="n"/>
      <c r="AQ89" s="658" t="n"/>
      <c r="AR89" s="658" t="n"/>
      <c r="AS89" s="658" t="n"/>
      <c r="AT89" s="658" t="n"/>
      <c r="AU89" s="658" t="n"/>
      <c r="AV89" s="658" t="n"/>
    </row>
    <row r="90" ht="13.5" customHeight="1" s="7635" thickBot="1">
      <c r="C90" s="2643" t="inlineStr">
        <is>
          <t>●</t>
        </is>
      </c>
      <c r="D90" s="11403" t="inlineStr">
        <is>
          <t xml:space="preserve">Son, daughter, stepchild, foster child, brother, sister, stepbrother, stepsister, </t>
        </is>
      </c>
      <c r="M90" s="2670" t="inlineStr">
        <is>
          <t>CAUTION:</t>
        </is>
      </c>
      <c r="AA90" s="658" t="n"/>
      <c r="AB90" s="658" t="n"/>
      <c r="AC90" s="658" t="n"/>
      <c r="AD90" s="658" t="n"/>
      <c r="AE90" s="658" t="n"/>
      <c r="AF90" s="658" t="n"/>
      <c r="AG90" s="658" t="n"/>
      <c r="AH90" s="658" t="n"/>
      <c r="AI90" s="658" t="n"/>
      <c r="AJ90" s="658" t="n"/>
      <c r="AK90" s="658" t="n"/>
      <c r="AL90" s="658" t="n"/>
      <c r="AN90" s="670" t="n"/>
      <c r="AO90" s="670" t="n"/>
      <c r="AP90" s="658" t="n"/>
      <c r="AQ90" s="658" t="n"/>
      <c r="AR90" s="658" t="n"/>
      <c r="AS90" s="658" t="n"/>
      <c r="AT90" s="658" t="n"/>
      <c r="AU90" s="658" t="n"/>
      <c r="AV90" s="658" t="n"/>
    </row>
    <row r="91" ht="12.75" customHeight="1" s="7635">
      <c r="D91" s="11403" t="inlineStr">
        <is>
          <t>half brother, half sister, or a descendant of any of them</t>
        </is>
      </c>
      <c r="M91" s="12018" t="inlineStr">
        <is>
          <t>You can't take the credit for a child who didn't live with you for more than half the year, even if you paid most of the child's living expenses.  The IRS may ask you for documents to show you lived with each qualifying child.  Documents you might want to keep for this purpose include school and child care records and other records that show your child's address.</t>
        </is>
      </c>
      <c r="N91" s="2506" t="n"/>
      <c r="O91" s="2506" t="n"/>
      <c r="P91" s="2506" t="n"/>
      <c r="Q91" s="2506" t="n"/>
      <c r="R91" s="2506" t="n"/>
      <c r="S91" s="2506" t="n"/>
      <c r="T91" s="2506" t="n"/>
      <c r="U91" s="2506" t="n"/>
      <c r="V91" s="2506" t="n"/>
      <c r="W91" s="2506" t="n"/>
      <c r="X91" s="2506" t="n"/>
      <c r="Y91" s="2614" t="n"/>
      <c r="Z91" s="1939" t="n"/>
      <c r="AA91" s="658" t="n"/>
      <c r="AB91" s="658" t="n"/>
      <c r="AC91" s="658" t="n"/>
      <c r="AD91" s="658" t="n"/>
      <c r="AE91" s="658" t="n"/>
      <c r="AF91" s="658" t="n"/>
      <c r="AG91" s="658" t="n"/>
      <c r="AH91" s="658" t="n"/>
      <c r="AI91" s="658" t="n"/>
      <c r="AJ91" s="658" t="n"/>
      <c r="AK91" s="658" t="n"/>
      <c r="AL91" s="658" t="n"/>
      <c r="AN91" s="670" t="n"/>
      <c r="AO91" s="670" t="n"/>
      <c r="AP91" s="658" t="n"/>
      <c r="AQ91" s="658" t="n"/>
      <c r="AR91" s="658" t="n"/>
      <c r="AS91" s="658" t="n"/>
      <c r="AT91" s="658" t="n"/>
      <c r="AU91" s="658" t="n"/>
      <c r="AV91" s="658" t="n"/>
    </row>
    <row r="92">
      <c r="D92" s="88" t="inlineStr">
        <is>
          <t>(for example, your grandchild, niece, or nephew)</t>
        </is>
      </c>
      <c r="M92" s="11741" t="n"/>
      <c r="Y92" s="1066" t="n"/>
      <c r="Z92" s="1939" t="n"/>
      <c r="AA92" s="658" t="n"/>
      <c r="AB92" s="658" t="n"/>
      <c r="AC92" s="658" t="n"/>
      <c r="AD92" s="658" t="n"/>
      <c r="AE92" s="658" t="n"/>
      <c r="AF92" s="658" t="n"/>
      <c r="AG92" s="658" t="n"/>
      <c r="AH92" s="658" t="n"/>
      <c r="AI92" s="658" t="n"/>
      <c r="AJ92" s="658" t="n"/>
      <c r="AK92" s="658" t="n"/>
      <c r="AL92" s="658" t="n"/>
      <c r="AN92" s="670" t="n"/>
      <c r="AO92" s="670" t="n"/>
      <c r="AP92" s="658" t="n"/>
      <c r="AQ92" s="658" t="n"/>
      <c r="AR92" s="658" t="n"/>
      <c r="AS92" s="658" t="n"/>
      <c r="AT92" s="658" t="n"/>
      <c r="AU92" s="658" t="n"/>
      <c r="AV92" s="658" t="n"/>
    </row>
    <row r="93">
      <c r="C93" s="226" t="inlineStr">
        <is>
          <t>and,</t>
        </is>
      </c>
      <c r="M93" s="11741" t="n"/>
      <c r="Y93" s="1066" t="n"/>
      <c r="Z93" s="1939" t="n"/>
      <c r="AA93" s="658" t="n"/>
      <c r="AB93" s="658" t="n"/>
      <c r="AC93" s="658" t="n"/>
      <c r="AD93" s="658" t="n"/>
      <c r="AE93" s="658" t="n"/>
      <c r="AF93" s="658" t="n"/>
      <c r="AG93" s="658" t="n"/>
      <c r="AH93" s="658" t="n"/>
      <c r="AI93" s="658" t="n"/>
      <c r="AJ93" s="658" t="n"/>
      <c r="AK93" s="658" t="n"/>
      <c r="AL93" s="658" t="n"/>
      <c r="AN93" s="670" t="n"/>
      <c r="AO93" s="670" t="n"/>
      <c r="AP93" s="658" t="n"/>
      <c r="AQ93" s="658" t="n"/>
      <c r="AR93" s="658" t="n"/>
      <c r="AS93" s="658" t="n"/>
      <c r="AT93" s="658" t="n"/>
      <c r="AU93" s="658" t="n"/>
      <c r="AV93" s="658" t="n"/>
    </row>
    <row r="94">
      <c r="C94" s="226" t="n"/>
      <c r="D94" s="11403" t="inlineStr">
        <is>
          <t>was …</t>
        </is>
      </c>
      <c r="M94" s="11741" t="n"/>
      <c r="Y94" s="1066" t="n"/>
      <c r="Z94" s="1939" t="n"/>
      <c r="AA94" s="658" t="n"/>
      <c r="AB94" s="658" t="n"/>
      <c r="AC94" s="658" t="n"/>
      <c r="AD94" s="658" t="n"/>
      <c r="AE94" s="658" t="n"/>
      <c r="AF94" s="658" t="n"/>
      <c r="AG94" s="658" t="n"/>
      <c r="AH94" s="658" t="n"/>
      <c r="AI94" s="658" t="n"/>
      <c r="AJ94" s="658" t="n"/>
      <c r="AK94" s="658" t="n"/>
      <c r="AL94" s="658" t="n"/>
      <c r="AN94" s="670" t="n"/>
      <c r="AO94" s="670" t="n"/>
      <c r="AP94" s="658" t="n"/>
      <c r="AQ94" s="658" t="n"/>
      <c r="AR94" s="658" t="n"/>
      <c r="AS94" s="658" t="n"/>
      <c r="AT94" s="658" t="n"/>
      <c r="AU94" s="658" t="n"/>
      <c r="AV94" s="658" t="n"/>
    </row>
    <row r="95">
      <c r="C95" s="2643" t="inlineStr">
        <is>
          <t>●</t>
        </is>
      </c>
      <c r="D95" s="88">
        <f>"Under age 19 at the end of "&amp;TaxYear&amp;" and younger than you (or your spouse, if filing jointly)"</f>
        <v/>
      </c>
      <c r="M95" s="11741" t="n"/>
      <c r="Y95" s="1066" t="n"/>
      <c r="Z95" s="1939" t="n"/>
      <c r="AA95" s="658" t="n"/>
      <c r="AB95" s="658" t="n"/>
      <c r="AC95" s="658" t="n"/>
      <c r="AD95" s="658" t="n"/>
      <c r="AE95" s="658" t="n"/>
      <c r="AF95" s="658" t="n"/>
      <c r="AG95" s="658" t="n"/>
      <c r="AH95" s="658" t="n"/>
      <c r="AI95" s="658" t="n"/>
      <c r="AJ95" s="658" t="n"/>
      <c r="AK95" s="658" t="n"/>
      <c r="AL95" s="658" t="n"/>
      <c r="AN95" s="670" t="n"/>
      <c r="AO95" s="670" t="n"/>
      <c r="AP95" s="658" t="n"/>
      <c r="AQ95" s="658" t="n"/>
      <c r="AR95" s="658" t="n"/>
      <c r="AS95" s="658" t="n"/>
      <c r="AT95" s="658" t="n"/>
      <c r="AU95" s="658" t="n"/>
      <c r="AV95" s="658" t="n"/>
    </row>
    <row r="96" ht="13.5" customHeight="1" s="7635" thickBot="1">
      <c r="C96" s="2643" t="n"/>
      <c r="D96" s="11403" t="inlineStr">
        <is>
          <t>or</t>
        </is>
      </c>
      <c r="M96" s="11743" t="n"/>
      <c r="N96" s="8848" t="n"/>
      <c r="O96" s="8848" t="n"/>
      <c r="P96" s="8848" t="n"/>
      <c r="Q96" s="8848" t="n"/>
      <c r="R96" s="8848" t="n"/>
      <c r="S96" s="8848" t="n"/>
      <c r="T96" s="8848" t="n"/>
      <c r="U96" s="8848" t="n"/>
      <c r="V96" s="8848" t="n"/>
      <c r="W96" s="8848" t="n"/>
      <c r="X96" s="8848" t="n"/>
      <c r="Y96" s="2627" t="n"/>
      <c r="AA96" s="658" t="n"/>
      <c r="AB96" s="658" t="n"/>
      <c r="AC96" s="658" t="n"/>
      <c r="AD96" s="658" t="n"/>
      <c r="AE96" s="658" t="n"/>
      <c r="AF96" s="658" t="n"/>
      <c r="AG96" s="658" t="n"/>
      <c r="AH96" s="658" t="n"/>
      <c r="AI96" s="658" t="n"/>
      <c r="AJ96" s="658" t="n"/>
      <c r="AK96" s="658" t="n"/>
      <c r="AL96" s="658" t="n"/>
      <c r="AN96" s="670" t="n"/>
      <c r="AO96" s="670" t="n"/>
      <c r="AP96" s="658" t="n"/>
      <c r="AQ96" s="658" t="n"/>
      <c r="AR96" s="658" t="n"/>
      <c r="AS96" s="658" t="n"/>
      <c r="AT96" s="658" t="n"/>
      <c r="AU96" s="658" t="n"/>
      <c r="AV96" s="658" t="n"/>
    </row>
    <row r="97">
      <c r="C97" s="2643" t="inlineStr">
        <is>
          <t>●</t>
        </is>
      </c>
      <c r="D97" s="88">
        <f>"Under age 24 at the end of "&amp;TaxYear&amp;" and a student (defined later) and younger than you"</f>
        <v/>
      </c>
      <c r="AA97" s="658" t="n"/>
      <c r="AB97" s="658" t="n"/>
      <c r="AC97" s="658" t="n"/>
      <c r="AD97" s="658" t="n"/>
      <c r="AE97" s="658" t="n"/>
      <c r="AF97" s="658" t="n"/>
      <c r="AG97" s="658" t="n"/>
      <c r="AH97" s="658" t="n"/>
      <c r="AI97" s="658" t="n"/>
      <c r="AJ97" s="658" t="n"/>
      <c r="AK97" s="658" t="n"/>
      <c r="AL97" s="658" t="n"/>
      <c r="AN97" s="670" t="n"/>
      <c r="AO97" s="670" t="n"/>
      <c r="AP97" s="658" t="n"/>
      <c r="AQ97" s="658" t="n"/>
      <c r="AR97" s="658" t="n"/>
      <c r="AS97" s="658" t="n"/>
      <c r="AT97" s="658" t="n"/>
      <c r="AU97" s="658" t="n"/>
      <c r="AV97" s="658" t="n"/>
    </row>
    <row r="98">
      <c r="C98" s="2643" t="n"/>
      <c r="D98" s="11403" t="inlineStr">
        <is>
          <t>(or your spouse, if filing jointly), If the child is a full-time student, check the "Full-time</t>
        </is>
      </c>
      <c r="M98" s="7847" t="n"/>
      <c r="AA98" s="658" t="n"/>
      <c r="AB98" s="658" t="n"/>
      <c r="AC98" s="658" t="n"/>
      <c r="AD98" s="658" t="n"/>
      <c r="AE98" s="658" t="n"/>
      <c r="AF98" s="658" t="n"/>
      <c r="AG98" s="658" t="n"/>
      <c r="AH98" s="658" t="n"/>
      <c r="AI98" s="658" t="n"/>
      <c r="AJ98" s="658" t="n"/>
      <c r="AK98" s="658" t="n"/>
      <c r="AL98" s="658" t="n"/>
      <c r="AN98" s="670" t="n"/>
      <c r="AO98" s="670" t="n"/>
      <c r="AP98" s="658" t="n"/>
      <c r="AQ98" s="658" t="n"/>
      <c r="AR98" s="658" t="n"/>
      <c r="AS98" s="658" t="n"/>
      <c r="AT98" s="658" t="n"/>
      <c r="AU98" s="658" t="n"/>
      <c r="AV98" s="658" t="n"/>
    </row>
    <row r="99" ht="13.5" customHeight="1" s="7635" thickBot="1">
      <c r="C99" s="2643" t="n"/>
      <c r="D99" s="11403" t="inlineStr">
        <is>
          <t>student" box on row (6) of the Dependents section on page 1 of Form 1040 or 1040-SR.</t>
        </is>
      </c>
      <c r="M99" s="2670" t="inlineStr">
        <is>
          <t>TIP:</t>
        </is>
      </c>
      <c r="AA99" s="658" t="n"/>
      <c r="AB99" s="658" t="n"/>
      <c r="AC99" s="658" t="n"/>
      <c r="AD99" s="658" t="n"/>
      <c r="AE99" s="658" t="n"/>
      <c r="AF99" s="658" t="n"/>
      <c r="AG99" s="658" t="n"/>
      <c r="AH99" s="658" t="n"/>
      <c r="AI99" s="658" t="n"/>
      <c r="AJ99" s="658" t="n"/>
      <c r="AK99" s="658" t="n"/>
      <c r="AL99" s="658" t="n"/>
      <c r="AN99" s="670" t="n"/>
      <c r="AO99" s="670" t="n"/>
      <c r="AP99" s="658" t="n"/>
      <c r="AQ99" s="658" t="n"/>
      <c r="AR99" s="658" t="n"/>
      <c r="AS99" s="658" t="n"/>
      <c r="AT99" s="658" t="n"/>
      <c r="AU99" s="658" t="n"/>
      <c r="AV99" s="658" t="n"/>
    </row>
    <row r="100" ht="12.75" customHeight="1" s="7635">
      <c r="C100" s="2643" t="n"/>
      <c r="D100" s="11403" t="inlineStr">
        <is>
          <t>or</t>
        </is>
      </c>
      <c r="M100" s="12018">
        <f>"If the child didn't live with you for more than half of "&amp;TaxYear&amp;" because of a temporary absence, birth, death, or kidnapping, see Exception to time lived with you, later."</f>
        <v/>
      </c>
      <c r="N100" s="2506" t="n"/>
      <c r="O100" s="2506" t="n"/>
      <c r="P100" s="2506" t="n"/>
      <c r="Q100" s="2506" t="n"/>
      <c r="R100" s="2506" t="n"/>
      <c r="S100" s="2506" t="n"/>
      <c r="T100" s="2506" t="n"/>
      <c r="U100" s="2506" t="n"/>
      <c r="V100" s="2506" t="n"/>
      <c r="W100" s="2506" t="n"/>
      <c r="X100" s="2506" t="n"/>
      <c r="Y100" s="2614" t="n"/>
      <c r="AA100" s="658" t="n"/>
      <c r="AB100" s="658" t="n"/>
      <c r="AC100" s="658" t="n"/>
      <c r="AD100" s="658" t="n"/>
      <c r="AE100" s="658" t="n"/>
      <c r="AF100" s="658" t="n"/>
      <c r="AG100" s="658" t="n"/>
      <c r="AH100" s="658" t="n"/>
      <c r="AI100" s="658" t="n"/>
      <c r="AJ100" s="658" t="n"/>
      <c r="AK100" s="658" t="n"/>
      <c r="AL100" s="658" t="n"/>
      <c r="AN100" s="670" t="n"/>
      <c r="AO100" s="670" t="n"/>
      <c r="AP100" s="658" t="n"/>
      <c r="AQ100" s="658" t="n"/>
      <c r="AR100" s="658" t="n"/>
      <c r="AS100" s="658" t="n"/>
      <c r="AT100" s="658" t="n"/>
      <c r="AU100" s="658" t="n"/>
      <c r="AV100" s="658" t="n"/>
    </row>
    <row r="101">
      <c r="C101" s="2643" t="inlineStr">
        <is>
          <t>●</t>
        </is>
      </c>
      <c r="D101" s="11403" t="inlineStr">
        <is>
          <t>Any age and permanently and totally disabled (defined later). If the child is permanently</t>
        </is>
      </c>
      <c r="M101" s="11741" t="n"/>
      <c r="Y101" s="1066" t="n"/>
      <c r="AA101" s="658" t="n"/>
      <c r="AB101" s="658" t="n"/>
      <c r="AC101" s="658" t="n"/>
      <c r="AD101" s="658" t="n"/>
      <c r="AE101" s="658" t="n"/>
      <c r="AF101" s="658" t="n"/>
      <c r="AG101" s="658" t="n"/>
      <c r="AH101" s="658" t="n"/>
      <c r="AI101" s="658" t="n"/>
      <c r="AJ101" s="658" t="n"/>
      <c r="AK101" s="658" t="n"/>
      <c r="AL101" s="658" t="n"/>
      <c r="AN101" s="670" t="n"/>
      <c r="AO101" s="670" t="n"/>
      <c r="AP101" s="658" t="n"/>
      <c r="AQ101" s="658" t="n"/>
      <c r="AR101" s="658" t="n"/>
      <c r="AS101" s="658" t="n"/>
      <c r="AT101" s="658" t="n"/>
      <c r="AU101" s="658" t="n"/>
      <c r="AV101" s="658" t="n"/>
    </row>
    <row r="102" ht="13.5" customHeight="1" s="7635" thickBot="1">
      <c r="C102" s="2643" t="n"/>
      <c r="D102" s="11403" t="inlineStr">
        <is>
          <t>and totally disabled, check the "permanently and totally disabled" box on row (6) of the</t>
        </is>
      </c>
      <c r="M102" s="11743" t="n"/>
      <c r="N102" s="8848" t="n"/>
      <c r="O102" s="8848" t="n"/>
      <c r="P102" s="8848" t="n"/>
      <c r="Q102" s="8848" t="n"/>
      <c r="R102" s="8848" t="n"/>
      <c r="S102" s="8848" t="n"/>
      <c r="T102" s="8848" t="n"/>
      <c r="U102" s="8848" t="n"/>
      <c r="V102" s="8848" t="n"/>
      <c r="W102" s="8848" t="n"/>
      <c r="X102" s="8848" t="n"/>
      <c r="Y102" s="2627" t="n"/>
      <c r="AA102" s="658" t="n"/>
      <c r="AB102" s="658" t="n"/>
      <c r="AC102" s="658" t="n"/>
      <c r="AD102" s="658" t="n"/>
      <c r="AE102" s="658" t="n"/>
      <c r="AF102" s="658" t="n"/>
      <c r="AG102" s="658" t="n"/>
      <c r="AH102" s="658" t="n"/>
      <c r="AI102" s="658" t="n"/>
      <c r="AJ102" s="658" t="n"/>
      <c r="AK102" s="658" t="n"/>
      <c r="AL102" s="658" t="n"/>
      <c r="AN102" s="670" t="n"/>
      <c r="AO102" s="670" t="n"/>
      <c r="AP102" s="658" t="n"/>
      <c r="AQ102" s="658" t="n"/>
      <c r="AR102" s="658" t="n"/>
      <c r="AS102" s="658" t="n"/>
      <c r="AT102" s="658" t="n"/>
      <c r="AU102" s="658" t="n"/>
      <c r="AV102" s="658" t="n"/>
    </row>
    <row r="103">
      <c r="C103" s="2643" t="n"/>
      <c r="D103" s="11403" t="inlineStr">
        <is>
          <t>Dependents section on page 1 of Form 1040 or 1040-SR.</t>
        </is>
      </c>
      <c r="M103" s="1939" t="n"/>
      <c r="N103" s="1939" t="n"/>
      <c r="O103" s="1939" t="n"/>
      <c r="P103" s="1939" t="n"/>
      <c r="Q103" s="1939" t="n"/>
      <c r="R103" s="1939" t="n"/>
      <c r="S103" s="1939" t="n"/>
      <c r="T103" s="1939" t="n"/>
      <c r="U103" s="1939" t="n"/>
      <c r="V103" s="1939" t="n"/>
      <c r="W103" s="1939" t="n"/>
      <c r="X103" s="1939" t="n"/>
      <c r="Y103" s="1939" t="n"/>
      <c r="AA103" s="658" t="n"/>
      <c r="AB103" s="658" t="n"/>
      <c r="AC103" s="658" t="n"/>
      <c r="AD103" s="658" t="n"/>
      <c r="AE103" s="658" t="n"/>
      <c r="AF103" s="658" t="n"/>
      <c r="AG103" s="658" t="n"/>
      <c r="AH103" s="658" t="n"/>
      <c r="AI103" s="658" t="n"/>
      <c r="AJ103" s="658" t="n"/>
      <c r="AK103" s="658" t="n"/>
      <c r="AL103" s="658" t="n"/>
      <c r="AN103" s="670" t="n"/>
      <c r="AO103" s="670" t="n"/>
      <c r="AP103" s="658" t="n"/>
      <c r="AQ103" s="658" t="n"/>
      <c r="AR103" s="658" t="n"/>
      <c r="AS103" s="658" t="n"/>
      <c r="AT103" s="658" t="n"/>
      <c r="AU103" s="658" t="n"/>
      <c r="AV103" s="658" t="n"/>
    </row>
    <row r="104" ht="13.5" customHeight="1" s="7635" thickBot="1">
      <c r="C104" s="226" t="inlineStr">
        <is>
          <t>and,</t>
        </is>
      </c>
      <c r="M104" s="2670" t="inlineStr">
        <is>
          <t>CAUTION:</t>
        </is>
      </c>
      <c r="N104" s="2497" t="n"/>
      <c r="O104" s="2497" t="n"/>
      <c r="P104" s="2497" t="n"/>
      <c r="Q104" s="2497" t="n"/>
      <c r="R104" s="2497" t="n"/>
      <c r="S104" s="2497" t="n"/>
      <c r="T104" s="2497" t="n"/>
      <c r="U104" s="2497" t="n"/>
      <c r="V104" s="2497" t="n"/>
      <c r="W104" s="2497" t="n"/>
      <c r="X104" s="2497" t="n"/>
      <c r="Y104" s="2497" t="n"/>
      <c r="AA104" s="658" t="n"/>
      <c r="AB104" s="658" t="n"/>
      <c r="AC104" s="658" t="n"/>
      <c r="AD104" s="658" t="n"/>
      <c r="AE104" s="658" t="n"/>
      <c r="AF104" s="658" t="n"/>
      <c r="AG104" s="658" t="n"/>
      <c r="AH104" s="658" t="n"/>
      <c r="AI104" s="658" t="n"/>
      <c r="AJ104" s="658" t="n"/>
      <c r="AK104" s="658" t="n"/>
      <c r="AL104" s="658" t="n"/>
      <c r="AN104" s="670" t="n"/>
      <c r="AO104" s="670" t="n"/>
      <c r="AP104" s="658" t="n"/>
      <c r="AQ104" s="658" t="n"/>
      <c r="AR104" s="658" t="n"/>
      <c r="AS104" s="658" t="n"/>
      <c r="AT104" s="658" t="n"/>
      <c r="AU104" s="658" t="n"/>
      <c r="AV104" s="658" t="n"/>
    </row>
    <row r="105">
      <c r="C105" s="2643" t="n"/>
      <c r="D105" s="88">
        <f>"Who isn't filing a joint return for "&amp;TaxYear</f>
        <v/>
      </c>
      <c r="M105" s="12018">
        <f>"If the child meets the conditions to be a qualifying child of any other person (other than your spouse if filing a joint return) for "&amp;TaxYear&amp;", see Qualifying child of more than one person, later. If the child was married, see Married child, later."</f>
        <v/>
      </c>
      <c r="N105" s="2506" t="n"/>
      <c r="O105" s="2506" t="n"/>
      <c r="P105" s="2506" t="n"/>
      <c r="Q105" s="2506" t="n"/>
      <c r="R105" s="2506" t="n"/>
      <c r="S105" s="2506" t="n"/>
      <c r="T105" s="2506" t="n"/>
      <c r="U105" s="2506" t="n"/>
      <c r="V105" s="2506" t="n"/>
      <c r="W105" s="2506" t="n"/>
      <c r="X105" s="2506" t="n"/>
      <c r="Y105" s="2614" t="n"/>
      <c r="Z105" s="2497" t="n"/>
      <c r="AA105" s="658" t="n"/>
      <c r="AB105" s="658" t="n"/>
      <c r="AC105" s="658" t="n"/>
      <c r="AD105" s="658" t="n"/>
      <c r="AE105" s="658" t="n"/>
      <c r="AF105" s="658" t="n"/>
      <c r="AG105" s="658" t="n"/>
      <c r="AH105" s="658" t="n"/>
      <c r="AI105" s="658" t="n"/>
      <c r="AJ105" s="658" t="n"/>
      <c r="AK105" s="658" t="n"/>
      <c r="AL105" s="658" t="n"/>
      <c r="AN105" s="670" t="n"/>
      <c r="AO105" s="670" t="n"/>
      <c r="AP105" s="658" t="n"/>
      <c r="AQ105" s="658" t="n"/>
      <c r="AR105" s="658" t="n"/>
      <c r="AS105" s="658" t="n"/>
      <c r="AT105" s="658" t="n"/>
      <c r="AU105" s="658" t="n"/>
      <c r="AV105" s="658" t="n"/>
    </row>
    <row r="106">
      <c r="C106" s="2643" t="n"/>
      <c r="D106" s="88">
        <f>"or is filing a joint return for "&amp;TaxYear&amp;" only to claim a refund of withheld income tax or"</f>
        <v/>
      </c>
      <c r="M106" s="11741" t="n"/>
      <c r="Y106" s="1066" t="n"/>
      <c r="Z106" s="2497" t="n"/>
      <c r="AA106" s="658" t="n"/>
      <c r="AB106" s="658" t="n"/>
      <c r="AC106" s="658" t="n"/>
      <c r="AD106" s="658" t="n"/>
      <c r="AE106" s="658" t="n"/>
      <c r="AF106" s="658" t="n"/>
      <c r="AG106" s="658" t="n"/>
      <c r="AH106" s="658" t="n"/>
      <c r="AI106" s="658" t="n"/>
      <c r="AJ106" s="658" t="n"/>
      <c r="AK106" s="658" t="n"/>
      <c r="AL106" s="658" t="n"/>
      <c r="AN106" s="670" t="n"/>
      <c r="AO106" s="670" t="n"/>
      <c r="AP106" s="658" t="n"/>
      <c r="AQ106" s="658" t="n"/>
      <c r="AR106" s="658" t="n"/>
      <c r="AS106" s="658" t="n"/>
      <c r="AT106" s="658" t="n"/>
      <c r="AU106" s="658" t="n"/>
      <c r="AV106" s="658" t="n"/>
    </row>
    <row r="107" ht="12.75" customHeight="1" s="7635">
      <c r="C107" s="2643" t="n"/>
      <c r="D107" s="11403" t="inlineStr">
        <is>
          <t>estimated tax paid (see Pub. 596 for examples)</t>
        </is>
      </c>
      <c r="M107" s="11741" t="n"/>
      <c r="Y107" s="1066" t="n"/>
      <c r="Z107" s="2497" t="n"/>
      <c r="AA107" s="658" t="n"/>
      <c r="AB107" s="658" t="n"/>
      <c r="AC107" s="658" t="n"/>
      <c r="AD107" s="658" t="n"/>
      <c r="AE107" s="658" t="n"/>
      <c r="AF107" s="658" t="n"/>
      <c r="AG107" s="658" t="n"/>
      <c r="AH107" s="658" t="n"/>
      <c r="AI107" s="658" t="n"/>
      <c r="AJ107" s="658" t="n"/>
      <c r="AK107" s="658" t="n"/>
      <c r="AL107" s="658" t="n"/>
      <c r="AN107" s="670" t="n"/>
      <c r="AO107" s="670" t="n"/>
      <c r="AP107" s="658" t="n"/>
      <c r="AQ107" s="658" t="n"/>
      <c r="AR107" s="658" t="n"/>
      <c r="AS107" s="658" t="n"/>
      <c r="AT107" s="658" t="n"/>
      <c r="AU107" s="658" t="n"/>
      <c r="AV107" s="658" t="n"/>
    </row>
    <row r="108" ht="13.5" customHeight="1" s="7635" thickBot="1">
      <c r="C108" s="226" t="inlineStr">
        <is>
          <t>and,</t>
        </is>
      </c>
      <c r="M108" s="11743" t="n"/>
      <c r="N108" s="8848" t="n"/>
      <c r="O108" s="8848" t="n"/>
      <c r="P108" s="8848" t="n"/>
      <c r="Q108" s="8848" t="n"/>
      <c r="R108" s="8848" t="n"/>
      <c r="S108" s="8848" t="n"/>
      <c r="T108" s="8848" t="n"/>
      <c r="U108" s="8848" t="n"/>
      <c r="V108" s="8848" t="n"/>
      <c r="W108" s="8848" t="n"/>
      <c r="X108" s="8848" t="n"/>
      <c r="Y108" s="2627" t="n"/>
      <c r="Z108" s="2497" t="n"/>
      <c r="AA108" s="658" t="n"/>
      <c r="AB108" s="658" t="n"/>
      <c r="AC108" s="658" t="n"/>
      <c r="AD108" s="658" t="n"/>
      <c r="AE108" s="658" t="n"/>
      <c r="AF108" s="658" t="n"/>
      <c r="AG108" s="658" t="n"/>
      <c r="AH108" s="658" t="n"/>
      <c r="AI108" s="658" t="n"/>
      <c r="AJ108" s="658" t="n"/>
      <c r="AK108" s="658" t="n"/>
      <c r="AL108" s="658" t="n"/>
      <c r="AN108" s="670" t="n"/>
      <c r="AO108" s="670" t="n"/>
      <c r="AP108" s="658" t="n"/>
      <c r="AQ108" s="658" t="n"/>
      <c r="AR108" s="658" t="n"/>
      <c r="AS108" s="658" t="n"/>
      <c r="AT108" s="658" t="n"/>
      <c r="AU108" s="658" t="n"/>
      <c r="AV108" s="658" t="n"/>
    </row>
    <row r="109">
      <c r="C109" s="2643" t="n"/>
      <c r="D109" s="88">
        <f>"Who lived with you in the United States for more than half of "&amp;TaxYear&amp;"."</f>
        <v/>
      </c>
      <c r="M109" s="2671" t="n"/>
      <c r="N109" s="2671" t="n"/>
      <c r="O109" s="2671" t="n"/>
      <c r="P109" s="2671" t="n"/>
      <c r="Q109" s="2671" t="n"/>
      <c r="R109" s="2671" t="n"/>
      <c r="S109" s="2671" t="n"/>
      <c r="T109" s="2671" t="n"/>
      <c r="U109" s="2671" t="n"/>
      <c r="V109" s="2671" t="n"/>
      <c r="W109" s="2671" t="n"/>
      <c r="X109" s="2671" t="n"/>
      <c r="Y109" s="2671" t="n"/>
      <c r="AA109" s="658" t="n"/>
      <c r="AB109" s="658" t="n"/>
      <c r="AC109" s="658" t="n"/>
      <c r="AD109" s="658" t="n"/>
      <c r="AE109" s="658" t="n"/>
      <c r="AF109" s="658" t="n"/>
      <c r="AG109" s="658" t="n"/>
      <c r="AH109" s="658" t="n"/>
      <c r="AI109" s="658" t="n"/>
      <c r="AJ109" s="658" t="n"/>
      <c r="AK109" s="658" t="n"/>
      <c r="AL109" s="658" t="n"/>
      <c r="AN109" s="670" t="n"/>
      <c r="AO109" s="670" t="n"/>
      <c r="AP109" s="658" t="n"/>
      <c r="AQ109" s="658" t="n"/>
      <c r="AR109" s="658" t="n"/>
      <c r="AS109" s="658" t="n"/>
      <c r="AT109" s="658" t="n"/>
      <c r="AU109" s="658" t="n"/>
      <c r="AV109" s="658" t="n"/>
    </row>
    <row r="110">
      <c r="C110" s="2643" t="n"/>
      <c r="K110" s="228" t="n"/>
      <c r="M110" s="2671" t="n"/>
      <c r="N110" s="2671" t="n"/>
      <c r="O110" s="2671" t="n"/>
      <c r="P110" s="2671" t="n"/>
      <c r="Q110" s="2671" t="n"/>
      <c r="R110" s="2671" t="n"/>
      <c r="S110" s="2671" t="n"/>
      <c r="T110" s="2671" t="n"/>
      <c r="U110" s="2671" t="n"/>
      <c r="V110" s="2671" t="n"/>
      <c r="W110" s="2671" t="n"/>
      <c r="X110" s="2671" t="n"/>
      <c r="Y110" s="2671" t="n"/>
      <c r="AA110" s="658" t="n"/>
      <c r="AB110" s="658" t="n"/>
      <c r="AC110" s="658" t="n"/>
      <c r="AD110" s="658" t="n"/>
      <c r="AE110" s="658" t="n"/>
      <c r="AF110" s="658" t="n"/>
      <c r="AG110" s="658" t="n"/>
      <c r="AH110" s="658" t="n"/>
      <c r="AI110" s="658" t="n"/>
      <c r="AJ110" s="658" t="n"/>
      <c r="AK110" s="658" t="n"/>
      <c r="AL110" s="658" t="n"/>
      <c r="AN110" s="670" t="n"/>
      <c r="AO110" s="670" t="n"/>
      <c r="AP110" s="658" t="n"/>
      <c r="AQ110" s="658" t="n"/>
      <c r="AR110" s="658" t="n"/>
      <c r="AS110" s="658" t="n"/>
      <c r="AT110" s="658" t="n"/>
      <c r="AU110" s="658" t="n"/>
      <c r="AV110" s="658" t="n"/>
    </row>
    <row r="111">
      <c r="C111" s="2643" t="n"/>
      <c r="K111" s="228" t="inlineStr">
        <is>
          <t>Override</t>
        </is>
      </c>
      <c r="M111" s="2671" t="n"/>
      <c r="N111" s="2671" t="n"/>
      <c r="O111" s="2671" t="n"/>
      <c r="P111" s="2671" t="n"/>
      <c r="Q111" s="2671" t="n"/>
      <c r="R111" s="2671" t="n"/>
      <c r="S111" s="2671" t="n"/>
      <c r="T111" s="2671" t="n"/>
      <c r="U111" s="2671" t="n"/>
      <c r="V111" s="2671" t="n"/>
      <c r="W111" s="2671" t="n"/>
      <c r="X111" s="2671" t="n"/>
      <c r="Y111" s="2671" t="n"/>
      <c r="AA111" s="658" t="n"/>
      <c r="AB111" s="658" t="n"/>
      <c r="AC111" s="658" t="n"/>
      <c r="AD111" s="658" t="n"/>
      <c r="AE111" s="658" t="n"/>
      <c r="AF111" s="658" t="n"/>
      <c r="AG111" s="658" t="n"/>
      <c r="AH111" s="658" t="n"/>
      <c r="AI111" s="658" t="n"/>
      <c r="AJ111" s="658" t="n"/>
      <c r="AK111" s="658" t="n"/>
      <c r="AL111" s="658" t="n"/>
      <c r="AN111" s="670" t="n"/>
      <c r="AO111" s="670" t="n"/>
      <c r="AP111" s="658" t="n"/>
      <c r="AQ111" s="658" t="n"/>
      <c r="AR111" s="658" t="n"/>
      <c r="AS111" s="658" t="n"/>
      <c r="AT111" s="658" t="n"/>
      <c r="AU111" s="658" t="n"/>
      <c r="AV111" s="658" t="n"/>
    </row>
    <row r="112">
      <c r="B112" s="6169">
        <f>IF(K112&lt;&gt;"",ROUND(K112,0),N6)</f>
        <v/>
      </c>
      <c r="C112" s="2643" t="n"/>
      <c r="D112" s="2672" t="inlineStr">
        <is>
          <t>&lt;-- Enter number of qualifying children here.</t>
        </is>
      </c>
      <c r="K112" s="1338" t="n"/>
      <c r="L112" s="226">
        <f>IF(O6&lt;&gt;"","&lt; Override from Line 1 (row 5).","")</f>
        <v/>
      </c>
      <c r="AA112" s="658" t="n"/>
      <c r="AB112" s="658" t="n"/>
      <c r="AC112" s="658" t="n"/>
      <c r="AD112" s="658" t="n"/>
      <c r="AE112" s="658" t="n"/>
      <c r="AF112" s="658" t="n"/>
      <c r="AG112" s="658" t="n"/>
      <c r="AH112" s="658" t="n"/>
      <c r="AI112" s="658" t="n"/>
      <c r="AJ112" s="658" t="n"/>
      <c r="AK112" s="658" t="n"/>
      <c r="AL112" s="658" t="n"/>
      <c r="AN112" s="670" t="n"/>
      <c r="AO112" s="670" t="n"/>
      <c r="AP112" s="658" t="n"/>
      <c r="AQ112" s="658" t="n"/>
      <c r="AR112" s="658" t="n"/>
      <c r="AS112" s="658" t="n"/>
      <c r="AT112" s="658" t="n"/>
      <c r="AU112" s="658" t="n"/>
      <c r="AV112" s="658" t="n"/>
    </row>
    <row r="113" ht="11.25" customHeight="1" s="7635">
      <c r="AA113" s="658" t="n"/>
      <c r="AB113" s="658" t="n"/>
      <c r="AC113" s="658" t="n"/>
      <c r="AD113" s="658" t="n"/>
      <c r="AE113" s="658" t="n"/>
      <c r="AF113" s="658" t="n"/>
      <c r="AG113" s="658" t="n"/>
      <c r="AH113" s="658" t="n"/>
      <c r="AI113" s="658" t="n"/>
      <c r="AJ113" s="658" t="n"/>
      <c r="AK113" s="658" t="n"/>
      <c r="AL113" s="658" t="n"/>
      <c r="AN113" s="670" t="n"/>
      <c r="AO113" s="670" t="n"/>
      <c r="AP113" s="658" t="n"/>
      <c r="AQ113" s="658" t="n"/>
      <c r="AR113" s="658" t="n"/>
      <c r="AS113" s="658" t="n"/>
      <c r="AT113" s="658" t="n"/>
      <c r="AU113" s="658" t="n"/>
      <c r="AV113" s="658" t="n"/>
    </row>
    <row r="114" customFormat="1" s="2659">
      <c r="B114" s="2660" t="n"/>
      <c r="N114" s="2661" t="n"/>
      <c r="AA114" s="671" t="n"/>
      <c r="AB114" s="671" t="n"/>
      <c r="AC114" s="671" t="n"/>
      <c r="AD114" s="671" t="n"/>
      <c r="AE114" s="671" t="n"/>
      <c r="AF114" s="671" t="n"/>
      <c r="AG114" s="671" t="n"/>
      <c r="AH114" s="671" t="n"/>
      <c r="AI114" s="671" t="n"/>
      <c r="AJ114" s="671" t="n"/>
      <c r="AK114" s="671" t="n"/>
      <c r="AL114" s="671" t="n"/>
      <c r="AN114" s="672" t="n"/>
      <c r="AO114" s="672" t="n"/>
      <c r="AP114" s="671" t="n"/>
      <c r="AQ114" s="671" t="n"/>
      <c r="AR114" s="671" t="n"/>
      <c r="AS114" s="671" t="n"/>
      <c r="AT114" s="671" t="n"/>
      <c r="AU114" s="671" t="n"/>
      <c r="AV114" s="671" t="n"/>
    </row>
    <row r="115" ht="15.75" customFormat="1" customHeight="1" s="2445">
      <c r="A115" s="9180" t="inlineStr">
        <is>
          <t xml:space="preserve">Step 3 </t>
        </is>
      </c>
      <c r="B115" s="2647" t="inlineStr">
        <is>
          <t>Qualifying Child (Con't.)</t>
        </is>
      </c>
      <c r="C115" s="2642" t="n"/>
      <c r="F115" s="2669" t="n"/>
      <c r="N115" s="2662" t="n"/>
      <c r="AA115" s="668" t="n"/>
      <c r="AB115" s="668" t="n"/>
      <c r="AC115" s="668" t="n"/>
      <c r="AD115" s="668" t="n"/>
      <c r="AE115" s="668" t="n"/>
      <c r="AF115" s="668" t="n"/>
      <c r="AG115" s="668" t="n"/>
      <c r="AH115" s="668" t="n"/>
      <c r="AI115" s="668" t="n"/>
      <c r="AJ115" s="668" t="n"/>
      <c r="AK115" s="668" t="n"/>
      <c r="AL115" s="668" t="n"/>
      <c r="AN115" s="669" t="n"/>
      <c r="AO115" s="669" t="n"/>
      <c r="AP115" s="668" t="n"/>
      <c r="AQ115" s="668" t="n"/>
      <c r="AR115" s="668" t="n"/>
      <c r="AS115" s="668" t="n"/>
      <c r="AT115" s="668" t="n"/>
      <c r="AU115" s="668" t="n"/>
      <c r="AV115" s="668" t="n"/>
    </row>
    <row r="116">
      <c r="A116" s="228" t="inlineStr">
        <is>
          <t>(Con't.)</t>
        </is>
      </c>
      <c r="C116" s="7831" t="n"/>
      <c r="AA116" s="658" t="n"/>
      <c r="AB116" s="658" t="n"/>
      <c r="AC116" s="658" t="n"/>
      <c r="AD116" s="658" t="n"/>
      <c r="AE116" s="658" t="n"/>
      <c r="AF116" s="658" t="n"/>
      <c r="AG116" s="658" t="n"/>
      <c r="AH116" s="658" t="n"/>
      <c r="AI116" s="658" t="n"/>
      <c r="AJ116" s="658" t="n"/>
      <c r="AK116" s="658" t="n"/>
      <c r="AL116" s="658" t="n"/>
      <c r="AN116" s="670" t="n"/>
      <c r="AO116" s="670" t="n"/>
      <c r="AP116" s="658" t="n"/>
      <c r="AQ116" s="658" t="n"/>
      <c r="AR116" s="658" t="n"/>
      <c r="AS116" s="658" t="n"/>
      <c r="AT116" s="658" t="n"/>
      <c r="AU116" s="658" t="n"/>
      <c r="AV116" s="658" t="n"/>
    </row>
    <row r="117">
      <c r="C117" s="2648" t="inlineStr">
        <is>
          <t>1.</t>
        </is>
      </c>
      <c r="D117" s="11403" t="inlineStr">
        <is>
          <t>Do you have at least one child who meets the conditions to</t>
        </is>
      </c>
      <c r="AA117" s="658" t="n"/>
      <c r="AB117" s="658" t="n"/>
      <c r="AC117" s="658" t="n"/>
      <c r="AD117" s="658" t="n"/>
      <c r="AE117" s="658" t="n"/>
      <c r="AF117" s="658" t="n"/>
      <c r="AG117" s="658" t="n"/>
      <c r="AH117" s="658" t="n"/>
      <c r="AI117" s="658" t="n"/>
      <c r="AJ117" s="658" t="n"/>
      <c r="AK117" s="658" t="n"/>
      <c r="AL117" s="658" t="n"/>
      <c r="AN117" s="670" t="n"/>
      <c r="AO117" s="670" t="n"/>
      <c r="AP117" s="658" t="n"/>
      <c r="AQ117" s="658" t="n"/>
      <c r="AR117" s="658" t="n"/>
      <c r="AS117" s="658" t="n"/>
      <c r="AT117" s="658" t="n"/>
      <c r="AU117" s="658" t="n"/>
      <c r="AV117" s="658" t="n"/>
    </row>
    <row r="118">
      <c r="C118" s="2648" t="n"/>
      <c r="D118" s="11403" t="inlineStr">
        <is>
          <t>be your qualifying child for the purpose of claiming the EIC?</t>
        </is>
      </c>
      <c r="AA118" s="658" t="n"/>
      <c r="AB118" s="658" t="n"/>
      <c r="AC118" s="658" t="n"/>
      <c r="AD118" s="658" t="n"/>
      <c r="AE118" s="658" t="n"/>
      <c r="AF118" s="658" t="n"/>
      <c r="AG118" s="658" t="n"/>
      <c r="AH118" s="658" t="n"/>
      <c r="AI118" s="658" t="n"/>
      <c r="AJ118" s="658" t="n"/>
      <c r="AK118" s="658" t="n"/>
      <c r="AL118" s="658" t="n"/>
      <c r="AN118" s="670" t="n"/>
      <c r="AO118" s="670" t="n"/>
      <c r="AP118" s="658" t="n"/>
      <c r="AQ118" s="658" t="n"/>
      <c r="AR118" s="658" t="n"/>
      <c r="AS118" s="658" t="n"/>
      <c r="AT118" s="658" t="n"/>
      <c r="AU118" s="658" t="n"/>
      <c r="AV118" s="658" t="n"/>
    </row>
    <row r="119">
      <c r="AA119" s="658" t="n"/>
      <c r="AB119" s="658" t="n"/>
      <c r="AC119" s="658" t="n"/>
      <c r="AD119" s="658" t="n"/>
      <c r="AE119" s="658" t="n"/>
      <c r="AF119" s="658" t="n"/>
      <c r="AG119" s="658" t="n"/>
      <c r="AH119" s="658" t="n"/>
      <c r="AI119" s="658" t="n"/>
      <c r="AJ119" s="658" t="n"/>
      <c r="AK119" s="658" t="n"/>
      <c r="AL119" s="658" t="n"/>
      <c r="AN119" s="670" t="n"/>
      <c r="AO119" s="670" t="n"/>
      <c r="AP119" s="658" t="n"/>
      <c r="AQ119" s="658" t="n"/>
      <c r="AR119" s="658" t="n"/>
      <c r="AS119" s="658" t="n"/>
      <c r="AT119" s="658" t="n"/>
      <c r="AU119" s="658" t="n"/>
      <c r="AV119" s="658" t="n"/>
    </row>
    <row r="120">
      <c r="A120" s="441">
        <f>AND(EIC_trigger,EICNumQualChild&lt;&gt;"",EICNumQualChild&gt;0)</f>
        <v/>
      </c>
      <c r="B120" s="2673">
        <f>IF(EICNumQualChild&gt;0,"X","")</f>
        <v/>
      </c>
      <c r="D120" s="11403" t="inlineStr">
        <is>
          <t>Yes.  Continue</t>
        </is>
      </c>
      <c r="H120" s="2673">
        <f>IF(EICNumQualChild="","",IF(EICNumQualChild&gt;0,"","X"))</f>
        <v/>
      </c>
      <c r="J120" s="11403" t="inlineStr">
        <is>
          <t>No.  Skip questions 2 through 6; go to Step 4.</t>
        </is>
      </c>
      <c r="N120" s="88" t="n"/>
      <c r="O120" s="441">
        <f>AND(EIC_trigger,NOT(A120))</f>
        <v/>
      </c>
      <c r="P120" s="11403" t="n"/>
      <c r="AA120" s="658" t="n"/>
      <c r="AB120" s="658" t="n"/>
      <c r="AC120" s="658" t="n"/>
      <c r="AD120" s="658" t="n"/>
      <c r="AE120" s="658" t="n"/>
      <c r="AF120" s="658" t="n"/>
      <c r="AG120" s="658" t="n"/>
      <c r="AH120" s="658" t="n"/>
      <c r="AI120" s="658" t="n"/>
      <c r="AJ120" s="658" t="n"/>
      <c r="AK120" s="658" t="n"/>
      <c r="AL120" s="658" t="n"/>
      <c r="AN120" s="670" t="n"/>
      <c r="AO120" s="670" t="n"/>
      <c r="AP120" s="658" t="n"/>
      <c r="AQ120" s="658" t="n"/>
      <c r="AR120" s="658" t="n"/>
      <c r="AS120" s="658" t="n"/>
      <c r="AT120" s="658" t="n"/>
      <c r="AU120" s="658" t="n"/>
      <c r="AV120" s="658" t="n"/>
    </row>
    <row r="121">
      <c r="C121" s="2432" t="n"/>
      <c r="D121" s="2432" t="n"/>
      <c r="E121" s="2432" t="n"/>
      <c r="F121" s="2432" t="n"/>
      <c r="G121" s="2432" t="n"/>
      <c r="H121" s="2432" t="n"/>
      <c r="I121" s="2432" t="n"/>
      <c r="J121" s="2432" t="n"/>
      <c r="K121" s="2432" t="n"/>
      <c r="L121" s="2432" t="n"/>
      <c r="M121" s="2432" t="n"/>
      <c r="AA121" s="658" t="n"/>
      <c r="AB121" s="658" t="n"/>
      <c r="AC121" s="658" t="n"/>
      <c r="AD121" s="658" t="n"/>
      <c r="AE121" s="658" t="n"/>
      <c r="AF121" s="658" t="n"/>
      <c r="AG121" s="658" t="n"/>
      <c r="AH121" s="658" t="n"/>
      <c r="AI121" s="658" t="n"/>
      <c r="AJ121" s="658" t="n"/>
      <c r="AK121" s="658" t="n"/>
      <c r="AL121" s="658" t="n"/>
      <c r="AN121" s="670" t="n"/>
      <c r="AO121" s="670" t="n"/>
      <c r="AP121" s="658" t="n"/>
      <c r="AQ121" s="658" t="n"/>
      <c r="AR121" s="658" t="n"/>
      <c r="AS121" s="658" t="n"/>
      <c r="AT121" s="658" t="n"/>
      <c r="AU121" s="658" t="n"/>
      <c r="AV121" s="658" t="n"/>
    </row>
    <row r="122">
      <c r="C122" s="1839" t="n"/>
      <c r="D122" s="1839" t="n"/>
      <c r="E122" s="1839" t="n"/>
      <c r="F122" s="1839" t="n"/>
      <c r="G122" s="1839" t="n"/>
      <c r="H122" s="1839" t="n"/>
      <c r="I122" s="1839" t="n"/>
      <c r="J122" s="1839" t="n"/>
      <c r="K122" s="1839" t="n"/>
      <c r="L122" s="1839" t="n"/>
      <c r="M122" s="1839" t="n"/>
      <c r="AA122" s="658" t="n"/>
      <c r="AB122" s="658" t="n"/>
      <c r="AC122" s="658" t="n"/>
      <c r="AD122" s="658" t="n"/>
      <c r="AE122" s="658" t="n"/>
      <c r="AF122" s="658" t="n"/>
      <c r="AG122" s="658" t="n"/>
      <c r="AH122" s="658" t="n"/>
      <c r="AI122" s="658" t="n"/>
      <c r="AJ122" s="658" t="n"/>
      <c r="AK122" s="658" t="n"/>
      <c r="AL122" s="658" t="n"/>
      <c r="AN122" s="670" t="n"/>
      <c r="AO122" s="670" t="n"/>
      <c r="AP122" s="658" t="n"/>
      <c r="AQ122" s="658" t="n"/>
      <c r="AR122" s="658" t="n"/>
      <c r="AS122" s="658" t="n"/>
      <c r="AT122" s="658" t="n"/>
      <c r="AU122" s="658" t="n"/>
      <c r="AV122" s="658" t="n"/>
    </row>
    <row r="123">
      <c r="A123" s="8025" t="n"/>
      <c r="C123" s="2648" t="inlineStr">
        <is>
          <t>2.</t>
        </is>
      </c>
      <c r="D123" s="88">
        <f>"Are you filing a joint return for "&amp;TaxYear&amp;"?"</f>
        <v/>
      </c>
      <c r="AA123" s="658" t="n"/>
      <c r="AB123" s="658" t="n"/>
      <c r="AC123" s="658" t="n"/>
      <c r="AD123" s="658" t="n"/>
      <c r="AE123" s="658" t="n"/>
      <c r="AF123" s="658" t="n"/>
      <c r="AG123" s="658" t="n"/>
      <c r="AH123" s="658" t="n"/>
      <c r="AI123" s="658" t="n"/>
      <c r="AJ123" s="658" t="n"/>
      <c r="AK123" s="658" t="n"/>
      <c r="AL123" s="658" t="n"/>
      <c r="AN123" s="670" t="n"/>
      <c r="AO123" s="670" t="n"/>
      <c r="AP123" s="658" t="n"/>
      <c r="AQ123" s="658" t="n"/>
      <c r="AR123" s="658" t="n"/>
      <c r="AS123" s="658" t="n"/>
      <c r="AT123" s="658" t="n"/>
      <c r="AU123" s="658" t="n"/>
      <c r="AV123" s="658" t="n"/>
    </row>
    <row r="124">
      <c r="AA124" s="658" t="n"/>
      <c r="AB124" s="658" t="n"/>
      <c r="AC124" s="658" t="n"/>
      <c r="AD124" s="658" t="n"/>
      <c r="AE124" s="658" t="n"/>
      <c r="AF124" s="658" t="n"/>
      <c r="AG124" s="658" t="n"/>
      <c r="AH124" s="658" t="n"/>
      <c r="AI124" s="658" t="n"/>
      <c r="AJ124" s="658" t="n"/>
      <c r="AK124" s="658" t="n"/>
      <c r="AL124" s="658" t="n"/>
      <c r="AN124" s="670" t="n"/>
      <c r="AO124" s="670" t="n"/>
      <c r="AP124" s="658" t="n"/>
      <c r="AQ124" s="658" t="n"/>
      <c r="AR124" s="658" t="n"/>
      <c r="AS124" s="658" t="n"/>
      <c r="AT124" s="658" t="n"/>
      <c r="AU124" s="658" t="n"/>
      <c r="AV124" s="658" t="n"/>
    </row>
    <row r="125">
      <c r="A125" s="441">
        <f>AND(EIC_trigger,A120,File_Marr_Joint&lt;&gt;"",NumFileStatusBoxes=1)</f>
        <v/>
      </c>
      <c r="B125" s="2658">
        <f>IF(A125,"X","")</f>
        <v/>
      </c>
      <c r="D125" s="11403" t="inlineStr">
        <is>
          <t>Yes.  Skip questions 3 through 6 and</t>
        </is>
      </c>
      <c r="H125" s="2658">
        <f>IF(N125,"X","")</f>
        <v/>
      </c>
      <c r="J125" s="11403" t="inlineStr">
        <is>
          <t>No.  Continue.</t>
        </is>
      </c>
      <c r="K125" s="7847" t="n"/>
      <c r="N125" s="441">
        <f>AND(A120,NOT(A125))</f>
        <v/>
      </c>
      <c r="AA125" s="658" t="n"/>
      <c r="AB125" s="658" t="n"/>
      <c r="AC125" s="658" t="n"/>
      <c r="AD125" s="658" t="n"/>
      <c r="AE125" s="658" t="n"/>
      <c r="AF125" s="658" t="n"/>
      <c r="AG125" s="658" t="n"/>
      <c r="AH125" s="658" t="n"/>
      <c r="AI125" s="658" t="n"/>
      <c r="AJ125" s="658" t="n"/>
      <c r="AK125" s="658" t="n"/>
      <c r="AL125" s="658" t="n"/>
      <c r="AN125" s="670" t="n"/>
      <c r="AO125" s="670" t="n"/>
      <c r="AP125" s="658" t="n"/>
      <c r="AQ125" s="658" t="n"/>
      <c r="AR125" s="658" t="n"/>
      <c r="AS125" s="658" t="n"/>
      <c r="AT125" s="658" t="n"/>
      <c r="AU125" s="658" t="n"/>
      <c r="AV125" s="658" t="n"/>
    </row>
    <row r="126">
      <c r="D126" s="11403" t="inlineStr">
        <is>
          <t xml:space="preserve">         Step 4; go to Step 5.</t>
        </is>
      </c>
      <c r="AA126" s="658" t="n"/>
      <c r="AB126" s="658" t="n"/>
      <c r="AC126" s="658" t="n"/>
      <c r="AD126" s="658" t="n"/>
      <c r="AE126" s="658" t="n"/>
      <c r="AF126" s="658" t="n"/>
      <c r="AG126" s="658" t="n"/>
      <c r="AH126" s="658" t="n"/>
      <c r="AI126" s="658" t="n"/>
      <c r="AJ126" s="658" t="n"/>
      <c r="AK126" s="658" t="n"/>
      <c r="AL126" s="658" t="n"/>
      <c r="AN126" s="670" t="n"/>
      <c r="AO126" s="670" t="n"/>
      <c r="AP126" s="658" t="n"/>
      <c r="AQ126" s="658" t="n"/>
      <c r="AR126" s="658" t="n"/>
      <c r="AS126" s="658" t="n"/>
      <c r="AT126" s="658" t="n"/>
      <c r="AU126" s="658" t="n"/>
      <c r="AV126" s="658" t="n"/>
    </row>
    <row r="127">
      <c r="C127" s="2432" t="n"/>
      <c r="D127" s="2432" t="n"/>
      <c r="E127" s="2432" t="n"/>
      <c r="F127" s="2432" t="n"/>
      <c r="G127" s="2432" t="n"/>
      <c r="H127" s="2432" t="n"/>
      <c r="I127" s="2432" t="n"/>
      <c r="J127" s="2432" t="n"/>
      <c r="K127" s="2432" t="n"/>
      <c r="L127" s="2432" t="n"/>
      <c r="M127" s="2432" t="n"/>
      <c r="AA127" s="658" t="n"/>
      <c r="AB127" s="658" t="n"/>
      <c r="AC127" s="658" t="n"/>
      <c r="AD127" s="658" t="n"/>
      <c r="AE127" s="658" t="n"/>
      <c r="AF127" s="658" t="n"/>
      <c r="AG127" s="658" t="n"/>
      <c r="AH127" s="658" t="n"/>
      <c r="AI127" s="658" t="n"/>
      <c r="AJ127" s="658" t="n"/>
      <c r="AK127" s="658" t="n"/>
      <c r="AL127" s="658" t="n"/>
      <c r="AN127" s="670" t="n"/>
      <c r="AO127" s="670" t="n"/>
      <c r="AP127" s="658" t="n"/>
      <c r="AQ127" s="658" t="n"/>
      <c r="AR127" s="658" t="n"/>
      <c r="AS127" s="658" t="n"/>
      <c r="AT127" s="658" t="n"/>
      <c r="AU127" s="658" t="n"/>
      <c r="AV127" s="658" t="n"/>
    </row>
    <row r="128">
      <c r="C128" s="1839" t="n"/>
      <c r="D128" s="1839" t="n"/>
      <c r="E128" s="1839" t="n"/>
      <c r="F128" s="1839" t="n"/>
      <c r="G128" s="1839" t="n"/>
      <c r="H128" s="1839" t="n"/>
      <c r="I128" s="1839" t="n"/>
      <c r="J128" s="1839" t="n"/>
      <c r="K128" s="1839" t="n"/>
      <c r="L128" s="1839" t="n"/>
      <c r="M128" s="1839" t="n"/>
      <c r="AA128" s="658" t="n"/>
      <c r="AB128" s="658" t="n"/>
      <c r="AC128" s="658" t="n"/>
      <c r="AD128" s="658" t="n"/>
      <c r="AE128" s="658" t="n"/>
      <c r="AF128" s="658" t="n"/>
      <c r="AG128" s="658" t="n"/>
      <c r="AH128" s="658" t="n"/>
      <c r="AI128" s="658" t="n"/>
      <c r="AJ128" s="658" t="n"/>
      <c r="AK128" s="658" t="n"/>
      <c r="AL128" s="658" t="n"/>
      <c r="AN128" s="670" t="n"/>
      <c r="AO128" s="670" t="n"/>
      <c r="AP128" s="658" t="n"/>
      <c r="AQ128" s="658" t="n"/>
      <c r="AR128" s="658" t="n"/>
      <c r="AS128" s="658" t="n"/>
      <c r="AT128" s="658" t="n"/>
      <c r="AU128" s="658" t="n"/>
      <c r="AV128" s="658" t="n"/>
    </row>
    <row r="129">
      <c r="A129" s="8025">
        <f>IF(H126&lt;&gt;"","Skip","")</f>
        <v/>
      </c>
      <c r="C129" s="220" t="inlineStr">
        <is>
          <t>3.</t>
        </is>
      </c>
      <c r="D129" s="11403" t="inlineStr">
        <is>
          <t>Are you a married taxpayer whose filing status is married</t>
        </is>
      </c>
      <c r="AA129" s="658" t="n"/>
      <c r="AB129" s="658" t="n"/>
      <c r="AC129" s="658" t="n"/>
      <c r="AD129" s="658" t="n"/>
      <c r="AE129" s="658" t="n"/>
      <c r="AF129" s="658" t="n"/>
      <c r="AG129" s="658" t="n"/>
      <c r="AH129" s="658" t="n"/>
      <c r="AI129" s="658" t="n"/>
      <c r="AJ129" s="658" t="n"/>
      <c r="AK129" s="658" t="n"/>
      <c r="AL129" s="658" t="n"/>
      <c r="AN129" s="670" t="n"/>
      <c r="AO129" s="670" t="n"/>
      <c r="AP129" s="658" t="n"/>
      <c r="AQ129" s="658" t="n"/>
      <c r="AR129" s="658" t="n"/>
      <c r="AS129" s="658" t="n"/>
      <c r="AT129" s="658" t="n"/>
      <c r="AU129" s="658" t="n"/>
      <c r="AV129" s="658" t="n"/>
    </row>
    <row r="130">
      <c r="A130" s="8025" t="n"/>
      <c r="B130" s="8026" t="n"/>
      <c r="C130" s="220" t="n"/>
      <c r="D130" s="11403" t="inlineStr">
        <is>
          <t>filing separately or head of household?</t>
        </is>
      </c>
      <c r="AA130" s="658" t="n"/>
      <c r="AB130" s="658" t="n"/>
      <c r="AC130" s="658" t="n"/>
      <c r="AD130" s="658" t="n"/>
      <c r="AE130" s="658" t="n"/>
      <c r="AF130" s="658" t="n"/>
      <c r="AG130" s="658" t="n"/>
      <c r="AH130" s="658" t="n"/>
      <c r="AI130" s="658" t="n"/>
      <c r="AJ130" s="658" t="n"/>
      <c r="AK130" s="658" t="n"/>
      <c r="AL130" s="658" t="n"/>
      <c r="AN130" s="670" t="n"/>
      <c r="AO130" s="670" t="n"/>
      <c r="AP130" s="658" t="n"/>
      <c r="AQ130" s="658" t="n"/>
      <c r="AR130" s="658" t="n"/>
      <c r="AS130" s="658" t="n"/>
      <c r="AT130" s="658" t="n"/>
      <c r="AU130" s="658" t="n"/>
      <c r="AV130" s="658" t="n"/>
    </row>
    <row r="131">
      <c r="AA131" s="658" t="n"/>
      <c r="AB131" s="658" t="n"/>
      <c r="AC131" s="658" t="n"/>
      <c r="AD131" s="658" t="n"/>
      <c r="AE131" s="658" t="n"/>
      <c r="AF131" s="658" t="n"/>
      <c r="AG131" s="658" t="n"/>
      <c r="AH131" s="658" t="n"/>
      <c r="AI131" s="658" t="n"/>
      <c r="AJ131" s="658" t="n"/>
      <c r="AK131" s="658" t="n"/>
      <c r="AL131" s="658" t="n"/>
      <c r="AN131" s="670" t="n"/>
      <c r="AO131" s="670" t="n"/>
      <c r="AP131" s="658" t="n"/>
      <c r="AQ131" s="658" t="n"/>
      <c r="AR131" s="658" t="n"/>
      <c r="AS131" s="658" t="n"/>
      <c r="AT131" s="658" t="n"/>
      <c r="AU131" s="658" t="n"/>
      <c r="AV131" s="658" t="n"/>
    </row>
    <row r="132">
      <c r="A132" s="441">
        <f>AND(EIC_trigger,N125,NumFileStatusBoxes=1,OR(File_Marr_Sep&lt;&gt;"",File_Head&lt;&gt;""))</f>
        <v/>
      </c>
      <c r="B132" s="2658">
        <f>IF(A132,"X","")</f>
        <v/>
      </c>
      <c r="D132" s="11403" t="inlineStr">
        <is>
          <t>Yes.  Continue</t>
        </is>
      </c>
      <c r="H132" s="2658">
        <f>IF(N132,"X","")</f>
        <v/>
      </c>
      <c r="J132" s="11403" t="inlineStr">
        <is>
          <t xml:space="preserve">No.  Skip questions 4 and 5; </t>
        </is>
      </c>
      <c r="N132" s="441">
        <f>AND(EIC_trigger,N125,NumFileStatusBoxes=1,NOT(OR(File_Marr_Sep&lt;&gt;"",File_Head&lt;&gt;"")))</f>
        <v/>
      </c>
      <c r="AA132" s="658" t="n"/>
      <c r="AB132" s="658" t="n"/>
      <c r="AC132" s="658" t="n"/>
      <c r="AD132" s="658" t="n"/>
      <c r="AE132" s="658" t="n"/>
      <c r="AF132" s="658" t="n"/>
      <c r="AG132" s="658" t="n"/>
      <c r="AH132" s="658" t="n"/>
      <c r="AI132" s="658" t="n"/>
      <c r="AJ132" s="658" t="n"/>
      <c r="AK132" s="658" t="n"/>
      <c r="AL132" s="658" t="n"/>
      <c r="AN132" s="670" t="n"/>
      <c r="AO132" s="670" t="n"/>
      <c r="AP132" s="658" t="n"/>
      <c r="AQ132" s="658" t="n"/>
      <c r="AR132" s="658" t="n"/>
      <c r="AS132" s="658" t="n"/>
      <c r="AT132" s="658" t="n"/>
      <c r="AU132" s="658" t="n"/>
      <c r="AV132" s="658" t="n"/>
    </row>
    <row r="133">
      <c r="D133" s="11403" t="n"/>
      <c r="J133" s="11403" t="inlineStr">
        <is>
          <t>go to question 6.</t>
        </is>
      </c>
      <c r="AA133" s="658" t="n"/>
      <c r="AB133" s="658" t="n"/>
      <c r="AC133" s="658" t="n"/>
      <c r="AD133" s="658" t="n"/>
      <c r="AE133" s="658" t="n"/>
      <c r="AF133" s="658" t="n"/>
      <c r="AG133" s="658" t="n"/>
      <c r="AH133" s="658" t="n"/>
      <c r="AI133" s="658" t="n"/>
      <c r="AJ133" s="658" t="n"/>
      <c r="AK133" s="658" t="n"/>
      <c r="AL133" s="658" t="n"/>
      <c r="AN133" s="670" t="n"/>
      <c r="AO133" s="670" t="n"/>
      <c r="AP133" s="658" t="n"/>
      <c r="AQ133" s="658" t="n"/>
      <c r="AR133" s="658" t="n"/>
      <c r="AS133" s="658" t="n"/>
      <c r="AT133" s="658" t="n"/>
      <c r="AU133" s="658" t="n"/>
      <c r="AV133" s="658" t="n"/>
    </row>
    <row r="134">
      <c r="C134" s="2432" t="n"/>
      <c r="D134" s="2432" t="n"/>
      <c r="E134" s="2432" t="n"/>
      <c r="F134" s="2432" t="n"/>
      <c r="G134" s="2432" t="n"/>
      <c r="H134" s="2432" t="n"/>
      <c r="I134" s="2432" t="n"/>
      <c r="J134" s="2432" t="n"/>
      <c r="K134" s="2432" t="n"/>
      <c r="L134" s="2432" t="n"/>
      <c r="M134" s="2432" t="n"/>
      <c r="AA134" s="658" t="n"/>
      <c r="AB134" s="658" t="n"/>
      <c r="AC134" s="658" t="n"/>
      <c r="AD134" s="658" t="n"/>
      <c r="AE134" s="658" t="n"/>
      <c r="AF134" s="658" t="n"/>
      <c r="AG134" s="658" t="n"/>
      <c r="AH134" s="658" t="n"/>
      <c r="AI134" s="658" t="n"/>
      <c r="AJ134" s="658" t="n"/>
      <c r="AK134" s="658" t="n"/>
      <c r="AL134" s="658" t="n"/>
      <c r="AN134" s="670" t="n"/>
      <c r="AO134" s="670" t="n"/>
      <c r="AP134" s="658" t="n"/>
      <c r="AQ134" s="658" t="n"/>
      <c r="AR134" s="658" t="n"/>
      <c r="AS134" s="658" t="n"/>
      <c r="AT134" s="658" t="n"/>
      <c r="AU134" s="658" t="n"/>
      <c r="AV134" s="658" t="n"/>
    </row>
    <row r="135">
      <c r="C135" s="1839" t="n"/>
      <c r="D135" s="1839" t="n"/>
      <c r="E135" s="1839" t="n"/>
      <c r="F135" s="1839" t="n"/>
      <c r="G135" s="1839" t="n"/>
      <c r="H135" s="1839" t="n"/>
      <c r="I135" s="1839" t="n"/>
      <c r="J135" s="1839" t="n"/>
      <c r="K135" s="1839" t="n"/>
      <c r="L135" s="1839" t="n"/>
      <c r="M135" s="1839" t="n"/>
      <c r="AA135" s="658" t="n"/>
      <c r="AB135" s="658" t="n"/>
      <c r="AC135" s="658" t="n"/>
      <c r="AD135" s="658" t="n"/>
      <c r="AE135" s="658" t="n"/>
      <c r="AF135" s="658" t="n"/>
      <c r="AG135" s="658" t="n"/>
      <c r="AH135" s="658" t="n"/>
      <c r="AI135" s="658" t="n"/>
      <c r="AJ135" s="658" t="n"/>
      <c r="AK135" s="658" t="n"/>
      <c r="AL135" s="658" t="n"/>
      <c r="AN135" s="670" t="n"/>
      <c r="AO135" s="670" t="n"/>
      <c r="AP135" s="658" t="n"/>
      <c r="AQ135" s="658" t="n"/>
      <c r="AR135" s="658" t="n"/>
      <c r="AS135" s="658" t="n"/>
      <c r="AT135" s="658" t="n"/>
      <c r="AU135" s="658" t="n"/>
      <c r="AV135" s="658" t="n"/>
    </row>
    <row r="136">
      <c r="A136" s="8025">
        <f>IF(H133&lt;&gt;"","Skip","")</f>
        <v/>
      </c>
      <c r="C136" s="220" t="inlineStr">
        <is>
          <t>4.</t>
        </is>
      </c>
      <c r="D136" s="11403" t="inlineStr">
        <is>
          <t>Did you and your spouse have the same principal residence</t>
        </is>
      </c>
      <c r="AA136" s="658" t="n"/>
      <c r="AB136" s="658" t="n"/>
      <c r="AC136" s="658" t="n"/>
      <c r="AD136" s="658" t="n"/>
      <c r="AE136" s="658" t="n"/>
      <c r="AF136" s="658" t="n"/>
      <c r="AG136" s="658" t="n"/>
      <c r="AH136" s="658" t="n"/>
      <c r="AI136" s="658" t="n"/>
      <c r="AJ136" s="658" t="n"/>
      <c r="AK136" s="658" t="n"/>
      <c r="AL136" s="658" t="n"/>
      <c r="AN136" s="670" t="n"/>
      <c r="AO136" s="670" t="n"/>
      <c r="AP136" s="658" t="n"/>
      <c r="AQ136" s="658" t="n"/>
      <c r="AR136" s="658" t="n"/>
      <c r="AS136" s="658" t="n"/>
      <c r="AT136" s="658" t="n"/>
      <c r="AU136" s="658" t="n"/>
      <c r="AV136" s="658" t="n"/>
    </row>
    <row r="137">
      <c r="A137" s="8025" t="n"/>
      <c r="B137" s="8026" t="n"/>
      <c r="C137" s="220" t="n"/>
      <c r="D137" s="11403">
        <f>"for the last 6 months of "&amp;TaxYear&amp;"?"</f>
        <v/>
      </c>
      <c r="AA137" s="658" t="n"/>
      <c r="AB137" s="658" t="n"/>
      <c r="AC137" s="658" t="n"/>
      <c r="AD137" s="658" t="n"/>
      <c r="AE137" s="658" t="n"/>
      <c r="AF137" s="658" t="n"/>
      <c r="AG137" s="658" t="n"/>
      <c r="AH137" s="658" t="n"/>
      <c r="AI137" s="658" t="n"/>
      <c r="AJ137" s="658" t="n"/>
      <c r="AK137" s="658" t="n"/>
      <c r="AL137" s="658" t="n"/>
      <c r="AN137" s="670" t="n"/>
      <c r="AO137" s="670" t="n"/>
      <c r="AP137" s="658" t="n"/>
      <c r="AQ137" s="658" t="n"/>
      <c r="AR137" s="658" t="n"/>
      <c r="AS137" s="658" t="n"/>
      <c r="AT137" s="658" t="n"/>
      <c r="AU137" s="658" t="n"/>
      <c r="AV137" s="658" t="n"/>
    </row>
    <row r="138">
      <c r="AA138" s="658" t="n"/>
      <c r="AB138" s="658" t="n"/>
      <c r="AC138" s="658" t="n"/>
      <c r="AD138" s="658" t="n"/>
      <c r="AE138" s="658" t="n"/>
      <c r="AF138" s="658" t="n"/>
      <c r="AG138" s="658" t="n"/>
      <c r="AH138" s="658" t="n"/>
      <c r="AI138" s="658" t="n"/>
      <c r="AJ138" s="658" t="n"/>
      <c r="AK138" s="658" t="n"/>
      <c r="AL138" s="658" t="n"/>
      <c r="AN138" s="670" t="n"/>
      <c r="AO138" s="670" t="n"/>
      <c r="AP138" s="658" t="n"/>
      <c r="AQ138" s="658" t="n"/>
      <c r="AR138" s="658" t="n"/>
      <c r="AS138" s="658" t="n"/>
      <c r="AT138" s="658" t="n"/>
      <c r="AU138" s="658" t="n"/>
      <c r="AV138" s="658" t="n"/>
    </row>
    <row r="139">
      <c r="A139" s="441">
        <f>AND(EIC_trigger,A132,H139="")</f>
        <v/>
      </c>
      <c r="B139" s="2653">
        <f>IF(N139,"X","")</f>
        <v/>
      </c>
      <c r="D139" s="11403" t="inlineStr">
        <is>
          <t>Yes.  Continue</t>
        </is>
      </c>
      <c r="H139" s="325" t="n"/>
      <c r="J139" s="11403" t="inlineStr">
        <is>
          <t>No.  Skip question 5; go to question 6.</t>
        </is>
      </c>
      <c r="N139" s="441">
        <f>AND(EIC_trigger,A120,N125,A132,H139&lt;&gt;"")</f>
        <v/>
      </c>
      <c r="AA139" s="658" t="n"/>
      <c r="AB139" s="658" t="n"/>
      <c r="AC139" s="658" t="n"/>
      <c r="AD139" s="658" t="n"/>
      <c r="AE139" s="658" t="n"/>
      <c r="AF139" s="658" t="n"/>
      <c r="AG139" s="658" t="n"/>
      <c r="AH139" s="658" t="n"/>
      <c r="AI139" s="658" t="n"/>
      <c r="AJ139" s="658" t="n"/>
      <c r="AK139" s="658" t="n"/>
      <c r="AL139" s="658" t="n"/>
      <c r="AN139" s="670" t="n"/>
      <c r="AO139" s="670" t="n"/>
      <c r="AP139" s="658" t="n"/>
      <c r="AQ139" s="658" t="n"/>
      <c r="AR139" s="658" t="n"/>
      <c r="AS139" s="658" t="n"/>
      <c r="AT139" s="658" t="n"/>
      <c r="AU139" s="658" t="n"/>
      <c r="AV139" s="658" t="n"/>
    </row>
    <row r="140">
      <c r="C140" s="2432" t="n"/>
      <c r="D140" s="2432" t="n"/>
      <c r="E140" s="2432" t="n"/>
      <c r="F140" s="2432" t="n"/>
      <c r="G140" s="2432" t="n"/>
      <c r="H140" s="2432" t="n"/>
      <c r="I140" s="2432" t="n"/>
      <c r="J140" s="2432" t="n"/>
      <c r="K140" s="2432" t="n"/>
      <c r="L140" s="2432" t="n"/>
      <c r="M140" s="2432" t="n"/>
      <c r="AA140" s="658" t="n"/>
      <c r="AB140" s="658" t="n"/>
      <c r="AC140" s="658" t="n"/>
      <c r="AD140" s="658" t="n"/>
      <c r="AE140" s="658" t="n"/>
      <c r="AF140" s="658" t="n"/>
      <c r="AG140" s="658" t="n"/>
      <c r="AH140" s="658" t="n"/>
      <c r="AI140" s="658" t="n"/>
      <c r="AJ140" s="658" t="n"/>
      <c r="AK140" s="658" t="n"/>
      <c r="AL140" s="658" t="n"/>
      <c r="AN140" s="670" t="n"/>
      <c r="AO140" s="670" t="n"/>
      <c r="AP140" s="658" t="n"/>
      <c r="AQ140" s="658" t="n"/>
      <c r="AR140" s="658" t="n"/>
      <c r="AS140" s="658" t="n"/>
      <c r="AT140" s="658" t="n"/>
      <c r="AU140" s="658" t="n"/>
      <c r="AV140" s="658" t="n"/>
    </row>
    <row r="141">
      <c r="C141" s="1839" t="n"/>
      <c r="D141" s="1839" t="n"/>
      <c r="E141" s="1839" t="n"/>
      <c r="F141" s="1839" t="n"/>
      <c r="G141" s="1839" t="n"/>
      <c r="H141" s="1839" t="n"/>
      <c r="I141" s="1839" t="n"/>
      <c r="J141" s="1839" t="n"/>
      <c r="K141" s="1839" t="n"/>
      <c r="L141" s="1839" t="n"/>
      <c r="M141" s="1839" t="n"/>
      <c r="AA141" s="658" t="n"/>
      <c r="AB141" s="658" t="n"/>
      <c r="AC141" s="658" t="n"/>
      <c r="AD141" s="658" t="n"/>
      <c r="AE141" s="658" t="n"/>
      <c r="AF141" s="658" t="n"/>
      <c r="AG141" s="658" t="n"/>
      <c r="AH141" s="658" t="n"/>
      <c r="AI141" s="658" t="n"/>
      <c r="AJ141" s="658" t="n"/>
      <c r="AK141" s="658" t="n"/>
      <c r="AL141" s="658" t="n"/>
      <c r="AN141" s="670" t="n"/>
      <c r="AO141" s="670" t="n"/>
      <c r="AP141" s="658" t="n"/>
      <c r="AQ141" s="658" t="n"/>
      <c r="AR141" s="658" t="n"/>
      <c r="AS141" s="658" t="n"/>
      <c r="AT141" s="658" t="n"/>
      <c r="AU141" s="658" t="n"/>
      <c r="AV141" s="658" t="n"/>
    </row>
    <row r="142">
      <c r="A142" s="8025" t="n"/>
      <c r="C142" s="220" t="inlineStr">
        <is>
          <t>5.</t>
        </is>
      </c>
      <c r="D142" s="11403" t="inlineStr">
        <is>
          <t>Are you legally separated according to your state law under</t>
        </is>
      </c>
      <c r="AA142" s="658" t="n"/>
      <c r="AB142" s="658" t="n"/>
      <c r="AC142" s="658" t="n"/>
      <c r="AD142" s="658" t="n"/>
      <c r="AE142" s="658" t="n"/>
      <c r="AF142" s="658" t="n"/>
      <c r="AG142" s="658" t="n"/>
      <c r="AH142" s="658" t="n"/>
      <c r="AI142" s="658" t="n"/>
      <c r="AJ142" s="658" t="n"/>
      <c r="AK142" s="658" t="n"/>
      <c r="AL142" s="658" t="n"/>
      <c r="AN142" s="670" t="n"/>
      <c r="AO142" s="670" t="n"/>
      <c r="AP142" s="658" t="n"/>
      <c r="AQ142" s="658" t="n"/>
      <c r="AR142" s="658" t="n"/>
      <c r="AS142" s="658" t="n"/>
      <c r="AT142" s="658" t="n"/>
      <c r="AU142" s="658" t="n"/>
      <c r="AV142" s="658" t="n"/>
    </row>
    <row r="143">
      <c r="A143" s="8025" t="n"/>
      <c r="B143" s="2674" t="n"/>
      <c r="C143" s="220" t="n"/>
      <c r="D143" s="11403" t="inlineStr">
        <is>
          <t>a written separation agreement or a decree of separate</t>
        </is>
      </c>
      <c r="AA143" s="658" t="n"/>
      <c r="AB143" s="658" t="n"/>
      <c r="AC143" s="658" t="n"/>
      <c r="AD143" s="658" t="n"/>
      <c r="AE143" s="658" t="n"/>
      <c r="AF143" s="658" t="n"/>
      <c r="AG143" s="658" t="n"/>
      <c r="AH143" s="658" t="n"/>
      <c r="AI143" s="658" t="n"/>
      <c r="AJ143" s="658" t="n"/>
      <c r="AK143" s="658" t="n"/>
      <c r="AL143" s="658" t="n"/>
      <c r="AN143" s="670" t="n"/>
      <c r="AO143" s="670" t="n"/>
      <c r="AP143" s="658" t="n"/>
      <c r="AQ143" s="658" t="n"/>
      <c r="AR143" s="658" t="n"/>
      <c r="AS143" s="658" t="n"/>
      <c r="AT143" s="658" t="n"/>
      <c r="AU143" s="658" t="n"/>
      <c r="AV143" s="658" t="n"/>
    </row>
    <row r="144">
      <c r="A144" s="8025" t="n"/>
      <c r="B144" s="2674" t="n"/>
      <c r="C144" s="220" t="n"/>
      <c r="D144" s="11403" t="inlineStr">
        <is>
          <t>maintenance and you lived apart from your spouse at the</t>
        </is>
      </c>
      <c r="AA144" s="658" t="n"/>
      <c r="AB144" s="658" t="n"/>
      <c r="AC144" s="658" t="n"/>
      <c r="AD144" s="658" t="n"/>
      <c r="AE144" s="658" t="n"/>
      <c r="AF144" s="658" t="n"/>
      <c r="AG144" s="658" t="n"/>
      <c r="AH144" s="658" t="n"/>
      <c r="AI144" s="658" t="n"/>
      <c r="AJ144" s="658" t="n"/>
      <c r="AK144" s="658" t="n"/>
      <c r="AL144" s="658" t="n"/>
      <c r="AN144" s="670" t="n"/>
      <c r="AO144" s="670" t="n"/>
      <c r="AP144" s="658" t="n"/>
      <c r="AQ144" s="658" t="n"/>
      <c r="AR144" s="658" t="n"/>
      <c r="AS144" s="658" t="n"/>
      <c r="AT144" s="658" t="n"/>
      <c r="AU144" s="658" t="n"/>
      <c r="AV144" s="658" t="n"/>
    </row>
    <row r="145">
      <c r="A145" s="8025" t="n"/>
      <c r="B145" s="8026" t="n"/>
      <c r="C145" s="220" t="n"/>
      <c r="D145" s="11403">
        <f>"end of "&amp;TaxYear&amp;"?"</f>
        <v/>
      </c>
      <c r="AA145" s="658" t="n"/>
      <c r="AB145" s="658" t="n"/>
      <c r="AC145" s="658" t="n"/>
      <c r="AD145" s="658" t="n"/>
      <c r="AE145" s="658" t="n"/>
      <c r="AF145" s="658" t="n"/>
      <c r="AG145" s="658" t="n"/>
      <c r="AH145" s="658" t="n"/>
      <c r="AI145" s="658" t="n"/>
      <c r="AJ145" s="658" t="n"/>
      <c r="AK145" s="658" t="n"/>
      <c r="AL145" s="658" t="n"/>
      <c r="AN145" s="670" t="n"/>
      <c r="AO145" s="670" t="n"/>
      <c r="AP145" s="658" t="n"/>
      <c r="AQ145" s="658" t="n"/>
      <c r="AR145" s="658" t="n"/>
      <c r="AS145" s="658" t="n"/>
      <c r="AT145" s="658" t="n"/>
      <c r="AU145" s="658" t="n"/>
      <c r="AV145" s="658" t="n"/>
    </row>
    <row r="146">
      <c r="AA146" s="658" t="n"/>
      <c r="AB146" s="658" t="n"/>
      <c r="AC146" s="658" t="n"/>
      <c r="AD146" s="658" t="n"/>
      <c r="AE146" s="658" t="n"/>
      <c r="AF146" s="658" t="n"/>
      <c r="AG146" s="658" t="n"/>
      <c r="AH146" s="658" t="n"/>
      <c r="AI146" s="658" t="n"/>
      <c r="AJ146" s="658" t="n"/>
      <c r="AK146" s="658" t="n"/>
      <c r="AL146" s="658" t="n"/>
      <c r="AN146" s="670" t="n"/>
      <c r="AO146" s="670" t="n"/>
      <c r="AP146" s="658" t="n"/>
      <c r="AQ146" s="658" t="n"/>
      <c r="AR146" s="658" t="n"/>
      <c r="AS146" s="658" t="n"/>
      <c r="AT146" s="658" t="n"/>
      <c r="AU146" s="658" t="n"/>
      <c r="AV146" s="658" t="n"/>
    </row>
    <row r="147">
      <c r="A147" s="441">
        <f>AND(EIC_trigger,A139,H147="")</f>
        <v/>
      </c>
      <c r="B147" s="2653">
        <f>IF(N147,"X","")</f>
        <v/>
      </c>
      <c r="D147" s="11403" t="inlineStr">
        <is>
          <t>Yes.  Continue</t>
        </is>
      </c>
      <c r="H147" s="325" t="n"/>
      <c r="J147" s="11403" t="inlineStr">
        <is>
          <t>No.  Stop</t>
        </is>
      </c>
      <c r="M147" s="11403" t="n"/>
      <c r="N147" s="441">
        <f>AND(EIC_trigger,A139,H147="")</f>
        <v/>
      </c>
      <c r="AA147" s="658" t="n"/>
      <c r="AB147" s="658" t="n"/>
      <c r="AC147" s="658" t="n"/>
      <c r="AD147" s="658" t="n"/>
      <c r="AE147" s="658" t="n"/>
      <c r="AF147" s="658" t="n"/>
      <c r="AG147" s="658" t="n"/>
      <c r="AH147" s="658" t="n"/>
      <c r="AI147" s="658" t="n"/>
      <c r="AJ147" s="658" t="n"/>
      <c r="AK147" s="658" t="n"/>
      <c r="AL147" s="658" t="n"/>
      <c r="AN147" s="670" t="n"/>
      <c r="AO147" s="670" t="n"/>
      <c r="AP147" s="658" t="n"/>
      <c r="AQ147" s="658" t="n"/>
      <c r="AR147" s="658" t="n"/>
      <c r="AS147" s="658" t="n"/>
      <c r="AT147" s="658" t="n"/>
      <c r="AU147" s="658" t="n"/>
      <c r="AV147" s="658" t="n"/>
    </row>
    <row r="148">
      <c r="B148" s="88" t="n"/>
      <c r="D148" s="11403" t="n"/>
      <c r="J148" s="11403" t="inlineStr">
        <is>
          <t>You can't take the credit.</t>
        </is>
      </c>
      <c r="M148" s="11403" t="n"/>
      <c r="AA148" s="658" t="n"/>
      <c r="AB148" s="658" t="n"/>
      <c r="AC148" s="658" t="n"/>
      <c r="AD148" s="658" t="n"/>
      <c r="AE148" s="658" t="n"/>
      <c r="AF148" s="658" t="n"/>
      <c r="AG148" s="658" t="n"/>
      <c r="AH148" s="658" t="n"/>
      <c r="AI148" s="658" t="n"/>
      <c r="AJ148" s="658" t="n"/>
      <c r="AK148" s="658" t="n"/>
      <c r="AL148" s="658" t="n"/>
      <c r="AN148" s="670" t="n"/>
      <c r="AO148" s="670" t="n"/>
      <c r="AP148" s="658" t="n"/>
      <c r="AQ148" s="658" t="n"/>
      <c r="AR148" s="658" t="n"/>
      <c r="AS148" s="658" t="n"/>
      <c r="AT148" s="658" t="n"/>
      <c r="AU148" s="658" t="n"/>
      <c r="AV148" s="658" t="n"/>
    </row>
    <row r="149">
      <c r="C149" s="2432" t="n"/>
      <c r="D149" s="2432" t="n"/>
      <c r="E149" s="2432" t="n"/>
      <c r="F149" s="2432" t="n"/>
      <c r="G149" s="2432" t="n"/>
      <c r="H149" s="2432" t="n"/>
      <c r="I149" s="2432" t="n"/>
      <c r="J149" s="2432" t="n"/>
      <c r="K149" s="2432" t="n"/>
      <c r="L149" s="2432" t="n"/>
      <c r="M149" s="2432" t="n"/>
      <c r="AA149" s="658" t="n"/>
      <c r="AB149" s="658" t="n"/>
      <c r="AC149" s="658" t="n"/>
      <c r="AD149" s="658" t="n"/>
      <c r="AE149" s="658" t="n"/>
      <c r="AF149" s="658" t="n"/>
      <c r="AG149" s="658" t="n"/>
      <c r="AH149" s="658" t="n"/>
      <c r="AI149" s="658" t="n"/>
      <c r="AJ149" s="658" t="n"/>
      <c r="AK149" s="658" t="n"/>
      <c r="AL149" s="658" t="n"/>
      <c r="AN149" s="670" t="n"/>
      <c r="AO149" s="670" t="n"/>
      <c r="AP149" s="658" t="n"/>
      <c r="AQ149" s="658" t="n"/>
      <c r="AR149" s="658" t="n"/>
      <c r="AS149" s="658" t="n"/>
      <c r="AT149" s="658" t="n"/>
      <c r="AU149" s="658" t="n"/>
      <c r="AV149" s="658" t="n"/>
    </row>
    <row r="150">
      <c r="C150" s="1839" t="n"/>
      <c r="D150" s="1839" t="n"/>
      <c r="E150" s="1839" t="n"/>
      <c r="F150" s="1839" t="n"/>
      <c r="G150" s="1839" t="n"/>
      <c r="H150" s="1839" t="n"/>
      <c r="I150" s="1839" t="n"/>
      <c r="J150" s="1839" t="n"/>
      <c r="K150" s="1839" t="n"/>
      <c r="L150" s="1839" t="n"/>
      <c r="M150" s="1839" t="n"/>
      <c r="AA150" s="658" t="n"/>
      <c r="AB150" s="658" t="n"/>
      <c r="AC150" s="658" t="n"/>
      <c r="AD150" s="658" t="n"/>
      <c r="AE150" s="658" t="n"/>
      <c r="AF150" s="658" t="n"/>
      <c r="AG150" s="658" t="n"/>
      <c r="AH150" s="658" t="n"/>
      <c r="AI150" s="658" t="n"/>
      <c r="AJ150" s="658" t="n"/>
      <c r="AK150" s="658" t="n"/>
      <c r="AL150" s="658" t="n"/>
      <c r="AN150" s="670" t="n"/>
      <c r="AO150" s="670" t="n"/>
      <c r="AP150" s="658" t="n"/>
      <c r="AQ150" s="658" t="n"/>
      <c r="AR150" s="658" t="n"/>
      <c r="AS150" s="658" t="n"/>
      <c r="AT150" s="658" t="n"/>
      <c r="AU150" s="658" t="n"/>
      <c r="AV150" s="658" t="n"/>
    </row>
    <row r="151">
      <c r="A151" s="8025" t="n"/>
      <c r="C151" s="220" t="inlineStr">
        <is>
          <t>6.</t>
        </is>
      </c>
      <c r="D151" s="88">
        <f>"Could you be a qualifying child of another person in "&amp;TaxYear&amp;"?"</f>
        <v/>
      </c>
      <c r="AA151" s="658" t="n"/>
      <c r="AB151" s="658" t="n"/>
      <c r="AC151" s="658" t="n"/>
      <c r="AD151" s="658" t="n"/>
      <c r="AE151" s="658" t="n"/>
      <c r="AF151" s="658" t="n"/>
      <c r="AG151" s="658" t="n"/>
      <c r="AH151" s="658" t="n"/>
      <c r="AI151" s="658" t="n"/>
      <c r="AJ151" s="658" t="n"/>
      <c r="AK151" s="658" t="n"/>
      <c r="AL151" s="658" t="n"/>
      <c r="AN151" s="670" t="n"/>
      <c r="AO151" s="670" t="n"/>
      <c r="AP151" s="658" t="n"/>
      <c r="AQ151" s="658" t="n"/>
      <c r="AR151" s="658" t="n"/>
      <c r="AS151" s="658" t="n"/>
      <c r="AT151" s="658" t="n"/>
      <c r="AU151" s="658" t="n"/>
      <c r="AV151" s="658" t="n"/>
    </row>
    <row r="152">
      <c r="A152" s="8025" t="n"/>
      <c r="C152" s="220" t="n"/>
      <c r="D152" s="11403" t="inlineStr">
        <is>
          <t xml:space="preserve">(Check "No" if the other person is not rquired to file, and </t>
        </is>
      </c>
      <c r="AA152" s="658" t="n"/>
      <c r="AB152" s="658" t="n"/>
      <c r="AC152" s="658" t="n"/>
      <c r="AD152" s="658" t="n"/>
      <c r="AE152" s="658" t="n"/>
      <c r="AF152" s="658" t="n"/>
      <c r="AG152" s="658" t="n"/>
      <c r="AH152" s="658" t="n"/>
      <c r="AI152" s="658" t="n"/>
      <c r="AJ152" s="658" t="n"/>
      <c r="AK152" s="658" t="n"/>
      <c r="AL152" s="658" t="n"/>
      <c r="AN152" s="670" t="n"/>
      <c r="AO152" s="670" t="n"/>
      <c r="AP152" s="658" t="n"/>
      <c r="AQ152" s="658" t="n"/>
      <c r="AR152" s="658" t="n"/>
      <c r="AS152" s="658" t="n"/>
      <c r="AT152" s="658" t="n"/>
      <c r="AU152" s="658" t="n"/>
      <c r="AV152" s="658" t="n"/>
    </row>
    <row r="153">
      <c r="A153" s="8025" t="n"/>
      <c r="C153" s="220" t="n"/>
      <c r="D153" s="11403">
        <f>"isn't filing, a "&amp;TaxYear&amp;" tax return or is filing a "&amp;TaxYear&amp;" return only"</f>
        <v/>
      </c>
      <c r="AA153" s="658" t="n"/>
      <c r="AB153" s="658" t="n"/>
      <c r="AC153" s="658" t="n"/>
      <c r="AD153" s="658" t="n"/>
      <c r="AE153" s="658" t="n"/>
      <c r="AF153" s="658" t="n"/>
      <c r="AG153" s="658" t="n"/>
      <c r="AH153" s="658" t="n"/>
      <c r="AI153" s="658" t="n"/>
      <c r="AJ153" s="658" t="n"/>
      <c r="AK153" s="658" t="n"/>
      <c r="AL153" s="658" t="n"/>
      <c r="AN153" s="670" t="n"/>
      <c r="AO153" s="670" t="n"/>
      <c r="AP153" s="658" t="n"/>
      <c r="AQ153" s="658" t="n"/>
      <c r="AR153" s="658" t="n"/>
      <c r="AS153" s="658" t="n"/>
      <c r="AT153" s="658" t="n"/>
      <c r="AU153" s="658" t="n"/>
      <c r="AV153" s="658" t="n"/>
    </row>
    <row r="154">
      <c r="A154" s="8025" t="n"/>
      <c r="C154" s="220" t="n"/>
      <c r="D154" s="11403" t="inlineStr">
        <is>
          <t>to claim a refund of withheld income tax or estimated tax</t>
        </is>
      </c>
      <c r="AA154" s="658" t="n"/>
      <c r="AB154" s="658" t="n"/>
      <c r="AC154" s="658" t="n"/>
      <c r="AD154" s="658" t="n"/>
      <c r="AE154" s="658" t="n"/>
      <c r="AF154" s="658" t="n"/>
      <c r="AG154" s="658" t="n"/>
      <c r="AH154" s="658" t="n"/>
      <c r="AI154" s="658" t="n"/>
      <c r="AJ154" s="658" t="n"/>
      <c r="AK154" s="658" t="n"/>
      <c r="AL154" s="658" t="n"/>
      <c r="AN154" s="670" t="n"/>
      <c r="AO154" s="670" t="n"/>
      <c r="AP154" s="658" t="n"/>
      <c r="AQ154" s="658" t="n"/>
      <c r="AR154" s="658" t="n"/>
      <c r="AS154" s="658" t="n"/>
      <c r="AT154" s="658" t="n"/>
      <c r="AU154" s="658" t="n"/>
      <c r="AV154" s="658" t="n"/>
    </row>
    <row r="155">
      <c r="A155" s="8025" t="n"/>
      <c r="C155" s="220" t="n"/>
      <c r="D155" s="11403" t="inlineStr">
        <is>
          <t>paid (see Pub. 596 for examples).)</t>
        </is>
      </c>
      <c r="AA155" s="658" t="n"/>
      <c r="AB155" s="658" t="n"/>
      <c r="AC155" s="658" t="n"/>
      <c r="AD155" s="658" t="n"/>
      <c r="AE155" s="658" t="n"/>
      <c r="AF155" s="658" t="n"/>
      <c r="AG155" s="658" t="n"/>
      <c r="AH155" s="658" t="n"/>
      <c r="AI155" s="658" t="n"/>
      <c r="AJ155" s="658" t="n"/>
      <c r="AK155" s="658" t="n"/>
      <c r="AL155" s="658" t="n"/>
      <c r="AN155" s="670" t="n"/>
      <c r="AO155" s="670" t="n"/>
      <c r="AP155" s="658" t="n"/>
      <c r="AQ155" s="658" t="n"/>
      <c r="AR155" s="658" t="n"/>
      <c r="AS155" s="658" t="n"/>
      <c r="AT155" s="658" t="n"/>
      <c r="AU155" s="658" t="n"/>
      <c r="AV155" s="658" t="n"/>
    </row>
    <row r="156">
      <c r="AA156" s="658" t="n"/>
      <c r="AB156" s="658" t="n"/>
      <c r="AC156" s="658" t="n"/>
      <c r="AD156" s="658" t="n"/>
      <c r="AE156" s="658" t="n"/>
      <c r="AF156" s="658" t="n"/>
      <c r="AG156" s="658" t="n"/>
      <c r="AH156" s="658" t="n"/>
      <c r="AI156" s="658" t="n"/>
      <c r="AJ156" s="658" t="n"/>
      <c r="AK156" s="658" t="n"/>
      <c r="AL156" s="658" t="n"/>
      <c r="AN156" s="670" t="n"/>
      <c r="AO156" s="670" t="n"/>
      <c r="AP156" s="658" t="n"/>
      <c r="AQ156" s="658" t="n"/>
      <c r="AR156" s="658" t="n"/>
      <c r="AS156" s="658" t="n"/>
      <c r="AT156" s="658" t="n"/>
      <c r="AU156" s="658" t="n"/>
      <c r="AV156" s="658" t="n"/>
    </row>
    <row r="157">
      <c r="A157" s="441">
        <f>AND(OR(A147,N132,N139),EIC_trigger,A147,OR(DependentYOU&lt;&gt;"",DependentSPOUSE&lt;&gt;""))</f>
        <v/>
      </c>
      <c r="B157" s="2658">
        <f>IF(A157,"X","")</f>
        <v/>
      </c>
      <c r="D157" s="11403" t="inlineStr">
        <is>
          <t>Yes.  You can't take the credit.</t>
        </is>
      </c>
      <c r="H157" s="2658">
        <f>IF(N157,"X","")</f>
        <v/>
      </c>
      <c r="J157" s="11403" t="inlineStr">
        <is>
          <t>No.  Check the box in the Dependents section</t>
        </is>
      </c>
      <c r="N157" s="441">
        <f>AND(OR(N132,A147,N139),EIC_trigger,B147,DependentYOU="",DependentSPOUSE="")</f>
        <v/>
      </c>
      <c r="O157" s="7847" t="n"/>
      <c r="AA157" s="658" t="n"/>
      <c r="AB157" s="658" t="n"/>
      <c r="AC157" s="658" t="n"/>
      <c r="AD157" s="658" t="n"/>
      <c r="AE157" s="658" t="n"/>
      <c r="AF157" s="658" t="n"/>
      <c r="AG157" s="658" t="n"/>
      <c r="AH157" s="658" t="n"/>
      <c r="AI157" s="658" t="n"/>
      <c r="AJ157" s="658" t="n"/>
      <c r="AK157" s="658" t="n"/>
      <c r="AL157" s="658" t="n"/>
      <c r="AN157" s="670" t="n"/>
      <c r="AO157" s="670" t="n"/>
      <c r="AP157" s="658" t="n"/>
      <c r="AQ157" s="658" t="n"/>
      <c r="AR157" s="658" t="n"/>
      <c r="AS157" s="658" t="n"/>
      <c r="AT157" s="658" t="n"/>
      <c r="AU157" s="658" t="n"/>
      <c r="AV157" s="658" t="n"/>
    </row>
    <row r="158">
      <c r="D158" s="11403" t="inlineStr">
        <is>
          <t xml:space="preserve">         Check the box on line 27c.</t>
        </is>
      </c>
      <c r="J158" s="11403" t="inlineStr">
        <is>
          <t>that discusses the special rule for separated spouses</t>
        </is>
      </c>
      <c r="AA158" s="658" t="n"/>
      <c r="AB158" s="658" t="n"/>
      <c r="AC158" s="658" t="n"/>
      <c r="AD158" s="658" t="n"/>
      <c r="AE158" s="658" t="n"/>
      <c r="AF158" s="658" t="n"/>
      <c r="AG158" s="658" t="n"/>
      <c r="AH158" s="658" t="n"/>
      <c r="AI158" s="658" t="n"/>
      <c r="AJ158" s="658" t="n"/>
      <c r="AK158" s="658" t="n"/>
      <c r="AL158" s="658" t="n"/>
      <c r="AN158" s="670" t="n"/>
      <c r="AO158" s="670" t="n"/>
      <c r="AP158" s="658" t="n"/>
      <c r="AQ158" s="658" t="n"/>
      <c r="AR158" s="658" t="n"/>
      <c r="AS158" s="658" t="n"/>
      <c r="AT158" s="658" t="n"/>
      <c r="AU158" s="658" t="n"/>
      <c r="AV158" s="658" t="n"/>
    </row>
    <row r="159">
      <c r="D159" s="11403" t="n"/>
      <c r="J159" s="11403" t="inlineStr">
        <is>
          <t>on page 1 of Form 1040 or 1040-SR. See Special rule</t>
        </is>
      </c>
      <c r="AA159" s="658" t="n"/>
      <c r="AB159" s="658" t="n"/>
      <c r="AC159" s="658" t="n"/>
      <c r="AD159" s="658" t="n"/>
      <c r="AE159" s="658" t="n"/>
      <c r="AF159" s="658" t="n"/>
      <c r="AG159" s="658" t="n"/>
      <c r="AH159" s="658" t="n"/>
      <c r="AI159" s="658" t="n"/>
      <c r="AJ159" s="658" t="n"/>
      <c r="AK159" s="658" t="n"/>
      <c r="AL159" s="658" t="n"/>
      <c r="AN159" s="670" t="n"/>
      <c r="AO159" s="670" t="n"/>
      <c r="AP159" s="658" t="n"/>
      <c r="AQ159" s="658" t="n"/>
      <c r="AR159" s="658" t="n"/>
      <c r="AS159" s="658" t="n"/>
      <c r="AT159" s="658" t="n"/>
      <c r="AU159" s="658" t="n"/>
      <c r="AV159" s="658" t="n"/>
    </row>
    <row r="160">
      <c r="J160" s="2669" t="inlineStr">
        <is>
          <t xml:space="preserve">for separated spouses, later, under Definitions and </t>
        </is>
      </c>
      <c r="AA160" s="658" t="n"/>
      <c r="AB160" s="658" t="n"/>
      <c r="AC160" s="658" t="n"/>
      <c r="AD160" s="658" t="n"/>
      <c r="AE160" s="658" t="n"/>
      <c r="AF160" s="658" t="n"/>
      <c r="AG160" s="658" t="n"/>
      <c r="AH160" s="658" t="n"/>
      <c r="AI160" s="658" t="n"/>
      <c r="AJ160" s="658" t="n"/>
      <c r="AK160" s="658" t="n"/>
      <c r="AL160" s="658" t="n"/>
      <c r="AN160" s="670" t="n"/>
      <c r="AO160" s="670" t="n"/>
      <c r="AP160" s="658" t="n"/>
      <c r="AQ160" s="658" t="n"/>
      <c r="AR160" s="658" t="n"/>
      <c r="AS160" s="658" t="n"/>
      <c r="AT160" s="658" t="n"/>
      <c r="AU160" s="658" t="n"/>
      <c r="AV160" s="658" t="n"/>
    </row>
    <row r="161">
      <c r="J161" s="2669" t="inlineStr">
        <is>
          <t>Special Rules.</t>
        </is>
      </c>
      <c r="AA161" s="658" t="n"/>
      <c r="AB161" s="658" t="n"/>
      <c r="AC161" s="658" t="n"/>
      <c r="AD161" s="658" t="n"/>
      <c r="AE161" s="658" t="n"/>
      <c r="AF161" s="658" t="n"/>
      <c r="AG161" s="658" t="n"/>
      <c r="AH161" s="658" t="n"/>
      <c r="AI161" s="658" t="n"/>
      <c r="AJ161" s="658" t="n"/>
      <c r="AK161" s="658" t="n"/>
      <c r="AL161" s="658" t="n"/>
      <c r="AN161" s="670" t="n"/>
      <c r="AO161" s="670" t="n"/>
      <c r="AP161" s="658" t="n"/>
      <c r="AQ161" s="658" t="n"/>
      <c r="AR161" s="658" t="n"/>
      <c r="AS161" s="658" t="n"/>
      <c r="AT161" s="658" t="n"/>
      <c r="AU161" s="658" t="n"/>
      <c r="AV161" s="658" t="n"/>
    </row>
    <row r="162">
      <c r="J162" s="226" t="inlineStr">
        <is>
          <t>Skip Step 4; go to Step 5.</t>
        </is>
      </c>
      <c r="AA162" s="658" t="n"/>
      <c r="AB162" s="658" t="n"/>
      <c r="AC162" s="658" t="n"/>
      <c r="AD162" s="658" t="n"/>
      <c r="AE162" s="658" t="n"/>
      <c r="AF162" s="658" t="n"/>
      <c r="AG162" s="658" t="n"/>
      <c r="AH162" s="658" t="n"/>
      <c r="AI162" s="658" t="n"/>
      <c r="AJ162" s="658" t="n"/>
      <c r="AK162" s="658" t="n"/>
      <c r="AL162" s="658" t="n"/>
      <c r="AN162" s="670" t="n"/>
      <c r="AO162" s="670" t="n"/>
      <c r="AP162" s="658" t="n"/>
      <c r="AQ162" s="658" t="n"/>
      <c r="AR162" s="658" t="n"/>
      <c r="AS162" s="658" t="n"/>
      <c r="AT162" s="658" t="n"/>
      <c r="AU162" s="658" t="n"/>
      <c r="AV162" s="658" t="n"/>
    </row>
    <row r="163" ht="7.5" customFormat="1" customHeight="1" s="2659">
      <c r="B163" s="2660" t="n"/>
      <c r="N163" s="2661" t="n"/>
      <c r="AA163" s="671" t="n"/>
      <c r="AB163" s="671" t="n"/>
      <c r="AC163" s="671" t="n"/>
      <c r="AD163" s="671" t="n"/>
      <c r="AE163" s="671" t="n"/>
      <c r="AF163" s="671" t="n"/>
      <c r="AG163" s="671" t="n"/>
      <c r="AH163" s="671" t="n"/>
      <c r="AI163" s="671" t="n"/>
      <c r="AJ163" s="671" t="n"/>
      <c r="AK163" s="671" t="n"/>
      <c r="AL163" s="671" t="n"/>
      <c r="AN163" s="672" t="n"/>
      <c r="AO163" s="672" t="n"/>
      <c r="AP163" s="671" t="n"/>
      <c r="AQ163" s="671" t="n"/>
      <c r="AR163" s="671" t="n"/>
      <c r="AS163" s="671" t="n"/>
      <c r="AT163" s="671" t="n"/>
      <c r="AU163" s="671" t="n"/>
      <c r="AV163" s="671" t="n"/>
    </row>
    <row r="164" ht="15.75" customFormat="1" customHeight="1" s="2445">
      <c r="A164" s="9180" t="inlineStr">
        <is>
          <t xml:space="preserve">Step 4 </t>
        </is>
      </c>
      <c r="B164" s="2647" t="inlineStr">
        <is>
          <t>Filers Without a Qualifying Child</t>
        </is>
      </c>
      <c r="C164" s="2642" t="n"/>
      <c r="H164" s="2675">
        <f>IF(File_Head&lt;&gt;"","Exception","")</f>
        <v/>
      </c>
      <c r="J164" s="6708" t="n"/>
      <c r="K164" s="2676">
        <f>AND(EIC_trigger,O120)</f>
        <v/>
      </c>
      <c r="L164" s="6708" t="n"/>
      <c r="M164" s="6708" t="n"/>
      <c r="N164" s="6708" t="n"/>
      <c r="AA164" s="668" t="n"/>
      <c r="AB164" s="668" t="n"/>
      <c r="AC164" s="668" t="n"/>
      <c r="AD164" s="668" t="n"/>
      <c r="AE164" s="668" t="n"/>
      <c r="AF164" s="668" t="n"/>
      <c r="AG164" s="668" t="n"/>
      <c r="AH164" s="668" t="n"/>
      <c r="AI164" s="668" t="n"/>
      <c r="AJ164" s="668" t="n"/>
      <c r="AK164" s="668" t="n"/>
      <c r="AL164" s="668" t="n"/>
      <c r="AN164" s="669" t="n"/>
      <c r="AO164" s="669" t="n"/>
      <c r="AP164" s="668" t="n"/>
      <c r="AQ164" s="668" t="n"/>
      <c r="AR164" s="668" t="n"/>
      <c r="AS164" s="668" t="n"/>
      <c r="AT164" s="668" t="n"/>
      <c r="AU164" s="668" t="n"/>
      <c r="AV164" s="668" t="n"/>
    </row>
    <row r="165" ht="15.75" customFormat="1" customHeight="1" s="2445">
      <c r="A165" s="7831" t="n"/>
      <c r="B165" s="2647" t="n"/>
      <c r="C165" s="2642" t="n"/>
      <c r="H165" s="2675">
        <f>IF(File_Head&lt;&gt;"","applies.","")</f>
        <v/>
      </c>
      <c r="J165" s="6708" t="n"/>
      <c r="K165" s="6708" t="n"/>
      <c r="L165" s="6708" t="n"/>
      <c r="M165" s="6708" t="n"/>
      <c r="N165" s="6708" t="n"/>
      <c r="AA165" s="668" t="n"/>
      <c r="AB165" s="668" t="n"/>
      <c r="AC165" s="668" t="n"/>
      <c r="AD165" s="668" t="n"/>
      <c r="AE165" s="668" t="n"/>
      <c r="AF165" s="668" t="n"/>
      <c r="AG165" s="668" t="n"/>
      <c r="AH165" s="668" t="n"/>
      <c r="AI165" s="668" t="n"/>
      <c r="AJ165" s="668" t="n"/>
      <c r="AK165" s="668" t="n"/>
      <c r="AL165" s="668" t="n"/>
      <c r="AN165" s="669" t="n"/>
      <c r="AO165" s="669" t="n"/>
      <c r="AP165" s="668" t="n"/>
      <c r="AQ165" s="668" t="n"/>
      <c r="AR165" s="668" t="n"/>
      <c r="AS165" s="668" t="n"/>
      <c r="AT165" s="668" t="n"/>
      <c r="AU165" s="668" t="n"/>
      <c r="AV165" s="668" t="n"/>
    </row>
    <row r="166" ht="12.75" customHeight="1" s="7635">
      <c r="A166" s="7831" t="n"/>
      <c r="C166" s="7831" t="n"/>
      <c r="H166" s="6712" t="n"/>
      <c r="J166" s="8023">
        <f>IF(File_Head&lt;&gt;"","HOH EXCEPTION: You are considered unmarried if you are married but lived apart from your spouse for the last 6 months of 2025 and you meet the other rules under Married persons who live apart OR your spouse was a nonresident alien. (See instructions.)","")</f>
        <v/>
      </c>
      <c r="O166" s="6710" t="n"/>
      <c r="P166" s="6710" t="n"/>
      <c r="Q166" s="6710" t="n"/>
      <c r="R166" s="6710" t="n"/>
      <c r="S166" s="6710" t="n"/>
      <c r="T166" s="6710" t="n"/>
      <c r="U166" s="6710" t="n"/>
      <c r="V166" s="6710" t="n"/>
      <c r="W166" s="6710" t="n"/>
      <c r="X166" s="6710" t="n"/>
      <c r="Y166" s="6710" t="n"/>
      <c r="AA166" s="658" t="n"/>
      <c r="AB166" s="658" t="n"/>
      <c r="AC166" s="658" t="n"/>
      <c r="AD166" s="658" t="n"/>
      <c r="AE166" s="658" t="n"/>
      <c r="AF166" s="658" t="n"/>
      <c r="AG166" s="658" t="n"/>
      <c r="AH166" s="658" t="n"/>
      <c r="AI166" s="658" t="n"/>
      <c r="AJ166" s="658" t="n"/>
      <c r="AK166" s="658" t="n"/>
      <c r="AL166" s="658" t="n"/>
      <c r="AN166" s="670" t="n"/>
      <c r="AO166" s="670" t="n"/>
      <c r="AP166" s="658" t="n"/>
      <c r="AQ166" s="658" t="n"/>
      <c r="AR166" s="658" t="n"/>
      <c r="AS166" s="658" t="n"/>
      <c r="AT166" s="658" t="n"/>
      <c r="AU166" s="658" t="n"/>
      <c r="AV166" s="658" t="n"/>
    </row>
    <row r="167">
      <c r="B167" s="8025" t="n"/>
      <c r="C167" s="2648" t="inlineStr">
        <is>
          <t>1.</t>
        </is>
      </c>
      <c r="D167" s="11403" t="inlineStr">
        <is>
          <t>Are you a married taxpayer whose filing</t>
        </is>
      </c>
      <c r="O167" s="6710" t="n"/>
      <c r="P167" s="6710" t="n"/>
      <c r="Q167" s="6710" t="n"/>
      <c r="R167" s="6710" t="n"/>
      <c r="S167" s="6710" t="n"/>
      <c r="T167" s="6710" t="n"/>
      <c r="U167" s="6710" t="n"/>
      <c r="V167" s="6710" t="n"/>
      <c r="W167" s="6710" t="n"/>
      <c r="X167" s="6710" t="n"/>
      <c r="Y167" s="6710" t="n"/>
      <c r="AA167" s="658" t="n"/>
      <c r="AB167" s="658" t="n"/>
      <c r="AC167" s="658" t="n"/>
      <c r="AD167" s="658" t="n"/>
      <c r="AE167" s="658" t="n"/>
      <c r="AF167" s="658" t="n"/>
      <c r="AG167" s="658" t="n"/>
      <c r="AH167" s="658" t="n"/>
      <c r="AI167" s="658" t="n"/>
      <c r="AJ167" s="658" t="n"/>
      <c r="AK167" s="658" t="n"/>
      <c r="AL167" s="658" t="n"/>
      <c r="AN167" s="670" t="n"/>
      <c r="AO167" s="670" t="n"/>
      <c r="AP167" s="658" t="n"/>
      <c r="AQ167" s="658" t="n"/>
      <c r="AR167" s="658" t="n"/>
      <c r="AS167" s="658" t="n"/>
      <c r="AT167" s="658" t="n"/>
      <c r="AU167" s="658" t="n"/>
      <c r="AV167" s="658" t="n"/>
    </row>
    <row r="168">
      <c r="B168" s="8025" t="n"/>
      <c r="C168" s="2648" t="n"/>
      <c r="D168" s="11403" t="inlineStr">
        <is>
          <t>status is married filing separately or</t>
        </is>
      </c>
      <c r="O168" s="6710" t="n"/>
      <c r="P168" s="6710" t="n"/>
      <c r="Q168" s="6710" t="n"/>
      <c r="R168" s="6710" t="n"/>
      <c r="S168" s="6710" t="n"/>
      <c r="T168" s="6710" t="n"/>
      <c r="U168" s="6710" t="n"/>
      <c r="V168" s="6710" t="n"/>
      <c r="W168" s="6710" t="n"/>
      <c r="X168" s="6710" t="n"/>
      <c r="Y168" s="6710" t="n"/>
      <c r="AA168" s="658" t="n"/>
      <c r="AB168" s="658" t="n"/>
      <c r="AC168" s="658" t="n"/>
      <c r="AD168" s="658" t="n"/>
      <c r="AE168" s="658" t="n"/>
      <c r="AF168" s="658" t="n"/>
      <c r="AG168" s="658" t="n"/>
      <c r="AH168" s="658" t="n"/>
      <c r="AI168" s="658" t="n"/>
      <c r="AJ168" s="658" t="n"/>
      <c r="AK168" s="658" t="n"/>
      <c r="AL168" s="658" t="n"/>
      <c r="AN168" s="670" t="n"/>
      <c r="AO168" s="670" t="n"/>
      <c r="AP168" s="658" t="n"/>
      <c r="AQ168" s="658" t="n"/>
      <c r="AR168" s="658" t="n"/>
      <c r="AS168" s="658" t="n"/>
      <c r="AT168" s="658" t="n"/>
      <c r="AU168" s="658" t="n"/>
      <c r="AV168" s="658" t="n"/>
    </row>
    <row r="169">
      <c r="C169" s="2648" t="n"/>
      <c r="D169" s="11403" t="inlineStr">
        <is>
          <t>head of household?</t>
        </is>
      </c>
      <c r="O169" s="6711" t="n"/>
      <c r="AA169" s="658" t="n"/>
      <c r="AB169" s="658" t="n"/>
      <c r="AC169" s="658" t="n"/>
      <c r="AD169" s="658" t="n"/>
      <c r="AE169" s="658" t="n"/>
      <c r="AF169" s="658" t="n"/>
      <c r="AG169" s="658" t="n"/>
      <c r="AH169" s="658" t="n"/>
      <c r="AI169" s="658" t="n"/>
      <c r="AJ169" s="658" t="n"/>
      <c r="AK169" s="658" t="n"/>
      <c r="AL169" s="658" t="n"/>
      <c r="AN169" s="670" t="n"/>
      <c r="AO169" s="670" t="n"/>
      <c r="AP169" s="658" t="n"/>
      <c r="AQ169" s="658" t="n"/>
      <c r="AR169" s="658" t="n"/>
      <c r="AS169" s="658" t="n"/>
      <c r="AT169" s="658" t="n"/>
      <c r="AU169" s="658" t="n"/>
      <c r="AV169" s="658" t="n"/>
    </row>
    <row r="170">
      <c r="C170" s="2648" t="n"/>
      <c r="O170" s="6711" t="n"/>
      <c r="AA170" s="658" t="n"/>
      <c r="AB170" s="658" t="n"/>
      <c r="AC170" s="658" t="n"/>
      <c r="AD170" s="658" t="n"/>
      <c r="AE170" s="658" t="n"/>
      <c r="AF170" s="658" t="n"/>
      <c r="AG170" s="658" t="n"/>
      <c r="AH170" s="658" t="n"/>
      <c r="AI170" s="658" t="n"/>
      <c r="AJ170" s="658" t="n"/>
      <c r="AK170" s="658" t="n"/>
      <c r="AL170" s="658" t="n"/>
      <c r="AN170" s="670" t="n"/>
      <c r="AO170" s="670" t="n"/>
      <c r="AP170" s="658" t="n"/>
      <c r="AQ170" s="658" t="n"/>
      <c r="AR170" s="658" t="n"/>
      <c r="AS170" s="658" t="n"/>
      <c r="AT170" s="658" t="n"/>
      <c r="AU170" s="658" t="n"/>
      <c r="AV170" s="658" t="n"/>
    </row>
    <row r="171">
      <c r="C171" s="2648" t="n"/>
      <c r="J171" s="8023" t="n"/>
      <c r="K171" s="8023" t="n"/>
      <c r="L171" s="8023" t="n"/>
      <c r="M171" s="8023" t="n"/>
      <c r="N171" s="8023" t="n"/>
      <c r="O171" s="6711" t="n"/>
      <c r="AA171" s="658" t="n"/>
      <c r="AB171" s="658" t="n"/>
      <c r="AC171" s="658" t="n"/>
      <c r="AD171" s="658" t="n"/>
      <c r="AE171" s="658" t="n"/>
      <c r="AF171" s="658" t="n"/>
      <c r="AG171" s="658" t="n"/>
      <c r="AH171" s="658" t="n"/>
      <c r="AI171" s="658" t="n"/>
      <c r="AJ171" s="658" t="n"/>
      <c r="AK171" s="658" t="n"/>
      <c r="AL171" s="658" t="n"/>
      <c r="AN171" s="670" t="n"/>
      <c r="AO171" s="670" t="n"/>
      <c r="AP171" s="658" t="n"/>
      <c r="AQ171" s="658" t="n"/>
      <c r="AR171" s="658" t="n"/>
      <c r="AS171" s="658" t="n"/>
      <c r="AT171" s="658" t="n"/>
      <c r="AU171" s="658" t="n"/>
      <c r="AV171" s="658" t="n"/>
    </row>
    <row r="172">
      <c r="A172" s="441">
        <f>AND(K164,OR(File_Marr_Sep&lt;&gt;"",AND(File_Head&lt;&gt;"",H166="")))</f>
        <v/>
      </c>
      <c r="B172" s="2658">
        <f>IF(A172,"X","")</f>
        <v/>
      </c>
      <c r="D172" s="11403" t="inlineStr">
        <is>
          <t>Yes.  Stop.</t>
        </is>
      </c>
      <c r="G172" s="441">
        <f>AND(K164,NOT(A172))</f>
        <v/>
      </c>
      <c r="H172" s="2658">
        <f>IF(G172,"X","")</f>
        <v/>
      </c>
      <c r="J172" s="11403" t="inlineStr">
        <is>
          <t>No.  Continue</t>
        </is>
      </c>
      <c r="M172" s="2677" t="n"/>
      <c r="AA172" s="658" t="n"/>
      <c r="AB172" s="658" t="n"/>
      <c r="AC172" s="658" t="n"/>
      <c r="AD172" s="658" t="n"/>
      <c r="AE172" s="658" t="n"/>
      <c r="AF172" s="658" t="n"/>
      <c r="AG172" s="658" t="n"/>
      <c r="AH172" s="658" t="n"/>
      <c r="AI172" s="658" t="n"/>
      <c r="AJ172" s="658" t="n"/>
      <c r="AK172" s="658" t="n"/>
      <c r="AL172" s="658" t="n"/>
      <c r="AN172" s="670" t="n"/>
      <c r="AO172" s="670" t="n"/>
      <c r="AP172" s="658" t="n"/>
      <c r="AQ172" s="658" t="n"/>
      <c r="AR172" s="658" t="n"/>
      <c r="AS172" s="658" t="n"/>
      <c r="AT172" s="658" t="n"/>
      <c r="AU172" s="658" t="n"/>
      <c r="AV172" s="658" t="n"/>
    </row>
    <row r="173">
      <c r="A173" s="7831" t="n"/>
      <c r="C173" s="7831" t="n"/>
      <c r="D173" s="11403" t="inlineStr">
        <is>
          <t>You can't take the credit.</t>
        </is>
      </c>
      <c r="AA173" s="658" t="n"/>
      <c r="AB173" s="658" t="n"/>
      <c r="AC173" s="658" t="n"/>
      <c r="AD173" s="658" t="n"/>
      <c r="AE173" s="658" t="n"/>
      <c r="AF173" s="658" t="n"/>
      <c r="AG173" s="658" t="n"/>
      <c r="AH173" s="658" t="n"/>
      <c r="AI173" s="658" t="n"/>
      <c r="AJ173" s="658" t="n"/>
      <c r="AK173" s="658" t="n"/>
      <c r="AL173" s="658" t="n"/>
      <c r="AN173" s="670" t="n"/>
      <c r="AO173" s="670" t="n"/>
      <c r="AP173" s="658" t="n"/>
      <c r="AQ173" s="658" t="n"/>
      <c r="AR173" s="658" t="n"/>
      <c r="AS173" s="658" t="n"/>
      <c r="AT173" s="658" t="n"/>
      <c r="AU173" s="658" t="n"/>
      <c r="AV173" s="658" t="n"/>
    </row>
    <row r="174" ht="6.75" customHeight="1" s="7635">
      <c r="A174" s="7831" t="n"/>
      <c r="C174" s="7831" t="n"/>
      <c r="AA174" s="658" t="n"/>
      <c r="AB174" s="658" t="n"/>
      <c r="AC174" s="658" t="n"/>
      <c r="AD174" s="658" t="n"/>
      <c r="AE174" s="658" t="n"/>
      <c r="AF174" s="658" t="n"/>
      <c r="AG174" s="658" t="n"/>
      <c r="AH174" s="658" t="n"/>
      <c r="AI174" s="658" t="n"/>
      <c r="AJ174" s="658" t="n"/>
      <c r="AK174" s="658" t="n"/>
      <c r="AL174" s="658" t="n"/>
      <c r="AN174" s="670" t="n"/>
      <c r="AO174" s="670" t="n"/>
      <c r="AP174" s="658" t="n"/>
      <c r="AQ174" s="658" t="n"/>
      <c r="AR174" s="658" t="n"/>
      <c r="AS174" s="658" t="n"/>
      <c r="AT174" s="658" t="n"/>
      <c r="AU174" s="658" t="n"/>
      <c r="AV174" s="658" t="n"/>
    </row>
    <row r="175" ht="6.75" customHeight="1" s="7635">
      <c r="C175" s="1839" t="n"/>
      <c r="D175" s="1839" t="n"/>
      <c r="E175" s="1839" t="n"/>
      <c r="F175" s="1839" t="n"/>
      <c r="G175" s="1839" t="n"/>
      <c r="H175" s="1839" t="n"/>
      <c r="I175" s="1839" t="n"/>
      <c r="J175" s="1839" t="n"/>
      <c r="K175" s="1839" t="n"/>
      <c r="L175" s="1839" t="n"/>
      <c r="M175" s="1839" t="n"/>
      <c r="AA175" s="658" t="n"/>
      <c r="AB175" s="658" t="n"/>
      <c r="AC175" s="658" t="n"/>
      <c r="AD175" s="658" t="n"/>
      <c r="AE175" s="658" t="n"/>
      <c r="AF175" s="658" t="n"/>
      <c r="AG175" s="658" t="n"/>
      <c r="AH175" s="658" t="n"/>
      <c r="AI175" s="658" t="n"/>
      <c r="AJ175" s="658" t="n"/>
      <c r="AK175" s="658" t="n"/>
      <c r="AL175" s="658" t="n"/>
      <c r="AN175" s="670" t="n"/>
      <c r="AO175" s="670" t="n"/>
      <c r="AP175" s="658" t="n"/>
      <c r="AQ175" s="658" t="n"/>
      <c r="AR175" s="658" t="n"/>
      <c r="AS175" s="658" t="n"/>
      <c r="AT175" s="658" t="n"/>
      <c r="AU175" s="658" t="n"/>
      <c r="AV175" s="658" t="n"/>
    </row>
    <row r="176">
      <c r="B176" s="8025" t="n"/>
      <c r="C176" s="220" t="inlineStr">
        <is>
          <t>2.</t>
        </is>
      </c>
      <c r="D176" s="11403" t="inlineStr">
        <is>
          <t>Were you, or your spouse if filing a joint return, at least age</t>
        </is>
      </c>
      <c r="L176" s="2643">
        <f>IF(K164,"Your age:","")</f>
        <v/>
      </c>
      <c r="M176" s="7831">
        <f>IF(K164,YourAge,"")</f>
        <v/>
      </c>
      <c r="N176" s="441" t="n">
        <v>25</v>
      </c>
      <c r="AA176" s="658" t="n"/>
      <c r="AB176" s="658" t="n"/>
      <c r="AC176" s="658" t="n"/>
      <c r="AD176" s="658" t="n"/>
      <c r="AE176" s="658" t="n"/>
      <c r="AF176" s="658" t="n"/>
      <c r="AG176" s="658" t="n"/>
      <c r="AH176" s="658" t="n"/>
      <c r="AI176" s="658" t="n"/>
      <c r="AJ176" s="658" t="n"/>
      <c r="AK176" s="658" t="n"/>
      <c r="AL176" s="658" t="n"/>
      <c r="AN176" s="670" t="n"/>
      <c r="AO176" s="670" t="n"/>
      <c r="AP176" s="658" t="n"/>
      <c r="AQ176" s="658" t="n"/>
      <c r="AR176" s="658" t="n"/>
      <c r="AS176" s="658" t="n"/>
      <c r="AT176" s="658" t="n"/>
      <c r="AU176" s="658" t="n"/>
      <c r="AV176" s="658" t="n"/>
    </row>
    <row r="177">
      <c r="B177" s="8025" t="n"/>
      <c r="C177" s="2648" t="n"/>
      <c r="D177" s="11403">
        <f>N176&amp;" but under age "&amp;N177&amp;" at the end of "&amp;TaxYear&amp;"?"</f>
        <v/>
      </c>
      <c r="L177" s="2643">
        <f>IF(File_Marr_Joint&lt;&gt;"","Spouse age:","")</f>
        <v/>
      </c>
      <c r="M177" s="7831">
        <f>IF(File_Marr_Joint&lt;&gt;"",SpouseAge,"")</f>
        <v/>
      </c>
      <c r="N177" s="441" t="n">
        <v>65</v>
      </c>
      <c r="AA177" s="658" t="n"/>
      <c r="AB177" s="658" t="n"/>
      <c r="AC177" s="658" t="n"/>
      <c r="AD177" s="658" t="n"/>
      <c r="AE177" s="658" t="n"/>
      <c r="AF177" s="658" t="n"/>
      <c r="AG177" s="658" t="n"/>
      <c r="AH177" s="658" t="n"/>
      <c r="AI177" s="658" t="n"/>
      <c r="AJ177" s="658" t="n"/>
      <c r="AK177" s="658" t="n"/>
      <c r="AL177" s="658" t="n"/>
      <c r="AN177" s="670" t="n"/>
      <c r="AO177" s="670" t="n"/>
      <c r="AP177" s="658" t="n"/>
      <c r="AQ177" s="658" t="n"/>
      <c r="AR177" s="658" t="n"/>
      <c r="AS177" s="658" t="n"/>
      <c r="AT177" s="658" t="n"/>
      <c r="AU177" s="658" t="n"/>
      <c r="AV177" s="658" t="n"/>
    </row>
    <row r="178">
      <c r="B178" s="8025" t="n"/>
      <c r="C178" s="2648" t="n"/>
      <c r="D178" s="11403" t="n"/>
      <c r="K178" s="2643" t="n"/>
      <c r="L178" s="7831" t="n"/>
      <c r="AA178" s="658" t="n"/>
      <c r="AB178" s="658" t="n"/>
      <c r="AC178" s="658" t="n"/>
      <c r="AD178" s="658" t="n"/>
      <c r="AE178" s="658" t="n"/>
      <c r="AF178" s="658" t="n"/>
      <c r="AG178" s="658" t="n"/>
      <c r="AH178" s="658" t="n"/>
      <c r="AI178" s="658" t="n"/>
      <c r="AJ178" s="658" t="n"/>
      <c r="AK178" s="658" t="n"/>
      <c r="AL178" s="658" t="n"/>
      <c r="AN178" s="670" t="n"/>
      <c r="AO178" s="670" t="n"/>
      <c r="AP178" s="658" t="n"/>
      <c r="AQ178" s="658" t="n"/>
      <c r="AR178" s="658" t="n"/>
      <c r="AS178" s="658" t="n"/>
      <c r="AT178" s="658" t="n"/>
      <c r="AU178" s="658" t="n"/>
      <c r="AV178" s="658" t="n"/>
    </row>
    <row r="179">
      <c r="B179" s="8025" t="n"/>
      <c r="C179" s="2648" t="n"/>
      <c r="D179" s="11403" t="inlineStr">
        <is>
          <t>(Check "Yes" if you, or your spouse if filing a joint return</t>
        </is>
      </c>
      <c r="K179" s="2643" t="n"/>
      <c r="L179" s="7831" t="n"/>
      <c r="AA179" s="658" t="n"/>
      <c r="AB179" s="658" t="n"/>
      <c r="AC179" s="658" t="n"/>
      <c r="AD179" s="658" t="n"/>
      <c r="AE179" s="658" t="n"/>
      <c r="AF179" s="658" t="n"/>
      <c r="AG179" s="658" t="n"/>
      <c r="AH179" s="658" t="n"/>
      <c r="AI179" s="658" t="n"/>
      <c r="AJ179" s="658" t="n"/>
      <c r="AK179" s="658" t="n"/>
      <c r="AL179" s="658" t="n"/>
      <c r="AN179" s="670" t="n"/>
      <c r="AO179" s="670" t="n"/>
      <c r="AP179" s="658" t="n"/>
      <c r="AQ179" s="658" t="n"/>
      <c r="AR179" s="658" t="n"/>
      <c r="AS179" s="658" t="n"/>
      <c r="AT179" s="658" t="n"/>
      <c r="AU179" s="658" t="n"/>
      <c r="AV179" s="658" t="n"/>
    </row>
    <row r="180">
      <c r="B180" s="8025" t="n"/>
      <c r="C180" s="2648" t="n"/>
      <c r="D180" s="11403">
        <f>"were born after December 31, "&amp;TaxYear-N177&amp;", and before January 2, "&amp;TaxYear-N176+1&amp;".)"</f>
        <v/>
      </c>
      <c r="AA180" s="658" t="n"/>
      <c r="AB180" s="658" t="n"/>
      <c r="AC180" s="658" t="n"/>
      <c r="AD180" s="658" t="n"/>
      <c r="AE180" s="658" t="n"/>
      <c r="AF180" s="658" t="n"/>
      <c r="AG180" s="658" t="n"/>
      <c r="AH180" s="658" t="n"/>
      <c r="AI180" s="658" t="n"/>
      <c r="AJ180" s="658" t="n"/>
      <c r="AK180" s="658" t="n"/>
      <c r="AL180" s="658" t="n"/>
      <c r="AN180" s="670" t="n"/>
      <c r="AO180" s="670" t="n"/>
      <c r="AP180" s="658" t="n"/>
      <c r="AQ180" s="658" t="n"/>
      <c r="AR180" s="658" t="n"/>
      <c r="AS180" s="658" t="n"/>
      <c r="AT180" s="658" t="n"/>
      <c r="AU180" s="658" t="n"/>
      <c r="AV180" s="658" t="n"/>
    </row>
    <row r="181">
      <c r="B181" s="8025" t="n"/>
      <c r="C181" s="2648" t="n"/>
      <c r="D181" s="11403" t="n"/>
      <c r="AA181" s="658" t="n"/>
      <c r="AB181" s="658" t="n"/>
      <c r="AC181" s="658" t="n"/>
      <c r="AD181" s="658" t="n"/>
      <c r="AE181" s="658" t="n"/>
      <c r="AF181" s="658" t="n"/>
      <c r="AG181" s="658" t="n"/>
      <c r="AH181" s="658" t="n"/>
      <c r="AI181" s="658" t="n"/>
      <c r="AJ181" s="658" t="n"/>
      <c r="AK181" s="658" t="n"/>
      <c r="AL181" s="658" t="n"/>
      <c r="AN181" s="670" t="n"/>
      <c r="AO181" s="670" t="n"/>
      <c r="AP181" s="658" t="n"/>
      <c r="AQ181" s="658" t="n"/>
      <c r="AR181" s="658" t="n"/>
      <c r="AS181" s="658" t="n"/>
      <c r="AT181" s="658" t="n"/>
      <c r="AU181" s="658" t="n"/>
      <c r="AV181" s="658" t="n"/>
    </row>
    <row r="182">
      <c r="B182" s="8025" t="n"/>
      <c r="C182" s="2648" t="n"/>
      <c r="D182" s="11403">
        <f>"If your spouse died in "&amp;TaxYear&amp;" or if you are preparing a return for"</f>
        <v/>
      </c>
      <c r="AA182" s="658" t="n"/>
      <c r="AB182" s="658" t="n"/>
      <c r="AC182" s="658" t="n"/>
      <c r="AD182" s="658" t="n"/>
      <c r="AE182" s="658" t="n"/>
      <c r="AF182" s="658" t="n"/>
      <c r="AG182" s="658" t="n"/>
      <c r="AH182" s="658" t="n"/>
      <c r="AI182" s="658" t="n"/>
      <c r="AJ182" s="658" t="n"/>
      <c r="AK182" s="658" t="n"/>
      <c r="AL182" s="658" t="n"/>
      <c r="AN182" s="670" t="n"/>
      <c r="AO182" s="670" t="n"/>
      <c r="AP182" s="658" t="n"/>
      <c r="AQ182" s="658" t="n"/>
      <c r="AR182" s="658" t="n"/>
      <c r="AS182" s="658" t="n"/>
      <c r="AT182" s="658" t="n"/>
      <c r="AU182" s="658" t="n"/>
      <c r="AV182" s="658" t="n"/>
    </row>
    <row r="183">
      <c r="B183" s="8025" t="n"/>
      <c r="C183" s="2648" t="n"/>
      <c r="D183" s="11403">
        <f>"someone who died in "&amp;TaxYear&amp;", see Pub. 596 before you answer."</f>
        <v/>
      </c>
      <c r="AA183" s="658" t="n"/>
      <c r="AB183" s="658" t="n"/>
      <c r="AC183" s="658" t="n"/>
      <c r="AD183" s="658" t="n"/>
      <c r="AE183" s="658" t="n"/>
      <c r="AF183" s="658" t="n"/>
      <c r="AG183" s="658" t="n"/>
      <c r="AH183" s="658" t="n"/>
      <c r="AI183" s="658" t="n"/>
      <c r="AJ183" s="658" t="n"/>
      <c r="AK183" s="658" t="n"/>
      <c r="AL183" s="658" t="n"/>
      <c r="AN183" s="670" t="n"/>
      <c r="AO183" s="670" t="n"/>
      <c r="AP183" s="658" t="n"/>
      <c r="AQ183" s="658" t="n"/>
      <c r="AR183" s="658" t="n"/>
      <c r="AS183" s="658" t="n"/>
      <c r="AT183" s="658" t="n"/>
      <c r="AU183" s="658" t="n"/>
      <c r="AV183" s="658" t="n"/>
    </row>
    <row r="184">
      <c r="C184" s="2648" t="n"/>
      <c r="AA184" s="658" t="n"/>
      <c r="AB184" s="658" t="n"/>
      <c r="AC184" s="658" t="n"/>
      <c r="AD184" s="658" t="n"/>
      <c r="AE184" s="658" t="n"/>
      <c r="AF184" s="658" t="n"/>
      <c r="AG184" s="658" t="n"/>
      <c r="AH184" s="658" t="n"/>
      <c r="AI184" s="658" t="n"/>
      <c r="AJ184" s="658" t="n"/>
      <c r="AK184" s="658" t="n"/>
      <c r="AL184" s="658" t="n"/>
      <c r="AN184" s="670" t="n"/>
      <c r="AO184" s="670" t="n"/>
      <c r="AP184" s="658" t="n"/>
      <c r="AQ184" s="658" t="n"/>
      <c r="AR184" s="658" t="n"/>
      <c r="AS184" s="658" t="n"/>
      <c r="AT184" s="658" t="n"/>
      <c r="AU184" s="658" t="n"/>
      <c r="AV184" s="658" t="n"/>
    </row>
    <row r="185">
      <c r="A185" s="441">
        <f>AND(K164,G172,OR(AND(File_Marr_Joint&lt;&gt;"",OR(AND(YourAge&gt;=N176,YourAge&lt;N177),AND(SpouseAge&gt;=N176,SpouseAge&lt;N177))),AND(YourAge&gt;=N176,YourAge&lt;N177)))</f>
        <v/>
      </c>
      <c r="B185" s="2658">
        <f>IF(A185,"X","")</f>
        <v/>
      </c>
      <c r="D185" s="11403" t="inlineStr">
        <is>
          <t>Yes.   Continue</t>
        </is>
      </c>
      <c r="G185" s="441">
        <f>AND(K164,G172,NOT(A185))</f>
        <v/>
      </c>
      <c r="H185" s="2658">
        <f>IF(G185,"X","")</f>
        <v/>
      </c>
      <c r="J185" s="11403" t="inlineStr">
        <is>
          <t>No.    Stop.</t>
        </is>
      </c>
      <c r="N185" s="2677" t="n"/>
      <c r="Q185" s="2677" t="n"/>
      <c r="AA185" s="658" t="n"/>
      <c r="AB185" s="658" t="n"/>
      <c r="AC185" s="658" t="n"/>
      <c r="AD185" s="658" t="n"/>
      <c r="AE185" s="658" t="n"/>
      <c r="AF185" s="658" t="n"/>
      <c r="AG185" s="658" t="n"/>
      <c r="AH185" s="658" t="n"/>
      <c r="AI185" s="658" t="n"/>
      <c r="AJ185" s="658" t="n"/>
      <c r="AK185" s="658" t="n"/>
      <c r="AL185" s="658" t="n"/>
      <c r="AN185" s="670" t="n"/>
      <c r="AO185" s="670" t="n"/>
      <c r="AP185" s="658" t="n"/>
      <c r="AQ185" s="658" t="n"/>
      <c r="AR185" s="658" t="n"/>
      <c r="AS185" s="658" t="n"/>
      <c r="AT185" s="658" t="n"/>
      <c r="AU185" s="658" t="n"/>
      <c r="AV185" s="658" t="n"/>
    </row>
    <row r="186">
      <c r="A186" s="7831" t="n"/>
      <c r="C186" s="7831" t="n"/>
      <c r="D186" s="11403" t="n"/>
      <c r="J186" s="11403" t="inlineStr">
        <is>
          <t>You can't take the credit</t>
        </is>
      </c>
      <c r="AA186" s="658" t="n"/>
      <c r="AB186" s="658" t="n"/>
      <c r="AC186" s="658" t="n"/>
      <c r="AD186" s="658" t="n"/>
      <c r="AE186" s="658" t="n"/>
      <c r="AF186" s="658" t="n"/>
      <c r="AG186" s="658" t="n"/>
      <c r="AH186" s="658" t="n"/>
      <c r="AI186" s="658" t="n"/>
      <c r="AJ186" s="658" t="n"/>
      <c r="AK186" s="658" t="n"/>
      <c r="AL186" s="658" t="n"/>
      <c r="AN186" s="670" t="n"/>
      <c r="AO186" s="670" t="n"/>
      <c r="AP186" s="658" t="n"/>
      <c r="AQ186" s="658" t="n"/>
      <c r="AR186" s="658" t="n"/>
      <c r="AS186" s="658" t="n"/>
      <c r="AT186" s="658" t="n"/>
      <c r="AU186" s="658" t="n"/>
      <c r="AV186" s="658" t="n"/>
    </row>
    <row r="187" customFormat="1" s="2423">
      <c r="A187" s="7831" t="n"/>
      <c r="B187" s="7831" t="n"/>
      <c r="C187" s="7831" t="n"/>
      <c r="D187" s="2415" t="n"/>
      <c r="N187" s="2678" t="n"/>
      <c r="AA187" s="713" t="n"/>
      <c r="AB187" s="713" t="n"/>
      <c r="AC187" s="713" t="n"/>
      <c r="AD187" s="713" t="n"/>
      <c r="AE187" s="713" t="n"/>
      <c r="AF187" s="713" t="n"/>
      <c r="AG187" s="713" t="n"/>
      <c r="AH187" s="713" t="n"/>
      <c r="AI187" s="713" t="n"/>
      <c r="AJ187" s="713" t="n"/>
      <c r="AK187" s="713" t="n"/>
      <c r="AL187" s="713" t="n"/>
      <c r="AN187" s="1333" t="n"/>
      <c r="AO187" s="1333" t="n"/>
      <c r="AP187" s="713" t="n"/>
      <c r="AQ187" s="713" t="n"/>
      <c r="AR187" s="713" t="n"/>
      <c r="AS187" s="713" t="n"/>
      <c r="AT187" s="713" t="n"/>
      <c r="AU187" s="713" t="n"/>
      <c r="AV187" s="713" t="n"/>
    </row>
    <row r="188">
      <c r="A188" s="7831" t="n"/>
      <c r="C188" s="2501" t="n"/>
      <c r="D188" s="1843" t="n"/>
      <c r="E188" s="1839" t="n"/>
      <c r="F188" s="1839" t="n"/>
      <c r="G188" s="1839" t="n"/>
      <c r="H188" s="1839" t="n"/>
      <c r="I188" s="1839" t="n"/>
      <c r="J188" s="1839" t="n"/>
      <c r="K188" s="1839" t="n"/>
      <c r="AA188" s="658" t="n"/>
      <c r="AB188" s="658" t="n"/>
      <c r="AC188" s="658" t="n"/>
      <c r="AD188" s="658" t="n"/>
      <c r="AE188" s="658" t="n"/>
      <c r="AF188" s="658" t="n"/>
      <c r="AG188" s="658" t="n"/>
      <c r="AH188" s="658" t="n"/>
      <c r="AI188" s="658" t="n"/>
      <c r="AJ188" s="658" t="n"/>
      <c r="AK188" s="658" t="n"/>
      <c r="AL188" s="658" t="n"/>
      <c r="AN188" s="670" t="n"/>
      <c r="AO188" s="670" t="n"/>
      <c r="AP188" s="658" t="n"/>
      <c r="AQ188" s="658" t="n"/>
      <c r="AR188" s="658" t="n"/>
      <c r="AS188" s="658" t="n"/>
      <c r="AT188" s="658" t="n"/>
      <c r="AU188" s="658" t="n"/>
      <c r="AV188" s="658" t="n"/>
    </row>
    <row r="189">
      <c r="B189" s="8025" t="n"/>
      <c r="C189" s="220" t="inlineStr">
        <is>
          <t>3.</t>
        </is>
      </c>
      <c r="D189" s="11403" t="inlineStr">
        <is>
          <t>Was your main home, and your spouse's if filing a joint</t>
        </is>
      </c>
      <c r="AA189" s="658" t="n"/>
      <c r="AB189" s="658" t="n"/>
      <c r="AC189" s="658" t="n"/>
      <c r="AD189" s="658" t="n"/>
      <c r="AE189" s="658" t="n"/>
      <c r="AF189" s="658" t="n"/>
      <c r="AG189" s="658" t="n"/>
      <c r="AH189" s="658" t="n"/>
      <c r="AI189" s="658" t="n"/>
      <c r="AJ189" s="658" t="n"/>
      <c r="AK189" s="658" t="n"/>
      <c r="AL189" s="658" t="n"/>
      <c r="AN189" s="670" t="n"/>
      <c r="AO189" s="670" t="n"/>
      <c r="AP189" s="658" t="n"/>
      <c r="AQ189" s="658" t="n"/>
      <c r="AR189" s="658" t="n"/>
      <c r="AS189" s="658" t="n"/>
      <c r="AT189" s="658" t="n"/>
      <c r="AU189" s="658" t="n"/>
      <c r="AV189" s="658" t="n"/>
    </row>
    <row r="190">
      <c r="B190" s="8025" t="n"/>
      <c r="C190" s="2648" t="n"/>
      <c r="D190" s="11403">
        <f>"return, in the United States for more than half of "&amp;TaxYear&amp;"?"</f>
        <v/>
      </c>
      <c r="F190" s="11403" t="n"/>
      <c r="AA190" s="658" t="n"/>
      <c r="AB190" s="658" t="n"/>
      <c r="AC190" s="658" t="n"/>
      <c r="AD190" s="658" t="n"/>
      <c r="AE190" s="658" t="n"/>
      <c r="AF190" s="658" t="n"/>
      <c r="AG190" s="658" t="n"/>
      <c r="AH190" s="658" t="n"/>
      <c r="AI190" s="658" t="n"/>
      <c r="AJ190" s="658" t="n"/>
      <c r="AK190" s="658" t="n"/>
      <c r="AL190" s="658" t="n"/>
      <c r="AN190" s="670" t="n"/>
      <c r="AO190" s="670" t="n"/>
      <c r="AP190" s="658" t="n"/>
      <c r="AQ190" s="658" t="n"/>
      <c r="AR190" s="658" t="n"/>
      <c r="AS190" s="658" t="n"/>
      <c r="AT190" s="658" t="n"/>
      <c r="AU190" s="658" t="n"/>
      <c r="AV190" s="658" t="n"/>
    </row>
    <row r="191">
      <c r="B191" s="8025" t="n"/>
      <c r="C191" s="2648" t="n"/>
      <c r="D191" s="11403" t="inlineStr">
        <is>
          <t>Your main home can be any location where your regularly</t>
        </is>
      </c>
      <c r="F191" s="11403" t="n"/>
      <c r="AA191" s="658" t="n"/>
      <c r="AB191" s="658" t="n"/>
      <c r="AC191" s="658" t="n"/>
      <c r="AD191" s="658" t="n"/>
      <c r="AE191" s="658" t="n"/>
      <c r="AF191" s="658" t="n"/>
      <c r="AG191" s="658" t="n"/>
      <c r="AH191" s="658" t="n"/>
      <c r="AI191" s="658" t="n"/>
      <c r="AJ191" s="658" t="n"/>
      <c r="AK191" s="658" t="n"/>
      <c r="AL191" s="658" t="n"/>
      <c r="AN191" s="670" t="n"/>
      <c r="AO191" s="670" t="n"/>
      <c r="AP191" s="658" t="n"/>
      <c r="AQ191" s="658" t="n"/>
      <c r="AR191" s="658" t="n"/>
      <c r="AS191" s="658" t="n"/>
      <c r="AT191" s="658" t="n"/>
      <c r="AU191" s="658" t="n"/>
      <c r="AV191" s="658" t="n"/>
    </row>
    <row r="192">
      <c r="B192" s="8025" t="n"/>
      <c r="C192" s="2648" t="n"/>
      <c r="D192" s="11403" t="inlineStr">
        <is>
          <t xml:space="preserve">live. If your main home (and spous's if filing a joing return) </t>
        </is>
      </c>
      <c r="F192" s="11403" t="n"/>
      <c r="AA192" s="658" t="n"/>
      <c r="AB192" s="658" t="n"/>
      <c r="AC192" s="658" t="n"/>
      <c r="AD192" s="658" t="n"/>
      <c r="AE192" s="658" t="n"/>
      <c r="AF192" s="658" t="n"/>
      <c r="AG192" s="658" t="n"/>
      <c r="AH192" s="658" t="n"/>
      <c r="AI192" s="658" t="n"/>
      <c r="AJ192" s="658" t="n"/>
      <c r="AK192" s="658" t="n"/>
      <c r="AL192" s="658" t="n"/>
      <c r="AN192" s="670" t="n"/>
      <c r="AO192" s="670" t="n"/>
      <c r="AP192" s="658" t="n"/>
      <c r="AQ192" s="658" t="n"/>
      <c r="AR192" s="658" t="n"/>
      <c r="AS192" s="658" t="n"/>
      <c r="AT192" s="658" t="n"/>
      <c r="AU192" s="658" t="n"/>
      <c r="AV192" s="658" t="n"/>
    </row>
    <row r="193">
      <c r="B193" s="8025" t="n"/>
      <c r="C193" s="2648" t="n"/>
      <c r="D193" s="11403">
        <f>"was in the United States for more than half of "&amp;TaxYear&amp;", check the"</f>
        <v/>
      </c>
      <c r="F193" s="11403" t="n"/>
      <c r="AA193" s="658" t="n"/>
      <c r="AB193" s="658" t="n"/>
      <c r="AC193" s="658" t="n"/>
      <c r="AD193" s="658" t="n"/>
      <c r="AE193" s="658" t="n"/>
      <c r="AF193" s="658" t="n"/>
      <c r="AG193" s="658" t="n"/>
      <c r="AH193" s="658" t="n"/>
      <c r="AI193" s="658" t="n"/>
      <c r="AJ193" s="658" t="n"/>
      <c r="AK193" s="658" t="n"/>
      <c r="AL193" s="658" t="n"/>
      <c r="AN193" s="670" t="n"/>
      <c r="AO193" s="670" t="n"/>
      <c r="AP193" s="658" t="n"/>
      <c r="AQ193" s="658" t="n"/>
      <c r="AR193" s="658" t="n"/>
      <c r="AS193" s="658" t="n"/>
      <c r="AT193" s="658" t="n"/>
      <c r="AU193" s="658" t="n"/>
      <c r="AV193" s="658" t="n"/>
    </row>
    <row r="194">
      <c r="B194" s="8025" t="n"/>
      <c r="C194" s="2648" t="n"/>
      <c r="D194" s="11403" t="inlineStr">
        <is>
          <t>box to the right of the address bock on page 1 for Form 1040.</t>
        </is>
      </c>
      <c r="F194" s="11403" t="n"/>
      <c r="AA194" s="658" t="n"/>
      <c r="AB194" s="658" t="n"/>
      <c r="AC194" s="658" t="n"/>
      <c r="AD194" s="658" t="n"/>
      <c r="AE194" s="658" t="n"/>
      <c r="AF194" s="658" t="n"/>
      <c r="AG194" s="658" t="n"/>
      <c r="AH194" s="658" t="n"/>
      <c r="AI194" s="658" t="n"/>
      <c r="AJ194" s="658" t="n"/>
      <c r="AK194" s="658" t="n"/>
      <c r="AL194" s="658" t="n"/>
      <c r="AN194" s="670" t="n"/>
      <c r="AO194" s="670" t="n"/>
      <c r="AP194" s="658" t="n"/>
      <c r="AQ194" s="658" t="n"/>
      <c r="AR194" s="658" t="n"/>
      <c r="AS194" s="658" t="n"/>
      <c r="AT194" s="658" t="n"/>
      <c r="AU194" s="658" t="n"/>
      <c r="AV194" s="658" t="n"/>
    </row>
    <row r="195">
      <c r="B195" s="8025" t="n"/>
      <c r="C195" s="2648" t="n"/>
      <c r="D195" s="11403" t="inlineStr">
        <is>
          <t>See Main home and United States, later</t>
        </is>
      </c>
      <c r="F195" s="11403" t="n"/>
      <c r="AA195" s="658" t="n"/>
      <c r="AB195" s="658" t="n"/>
      <c r="AC195" s="658" t="n"/>
      <c r="AD195" s="658" t="n"/>
      <c r="AE195" s="658" t="n"/>
      <c r="AF195" s="658" t="n"/>
      <c r="AG195" s="658" t="n"/>
      <c r="AH195" s="658" t="n"/>
      <c r="AI195" s="658" t="n"/>
      <c r="AJ195" s="658" t="n"/>
      <c r="AK195" s="658" t="n"/>
      <c r="AL195" s="658" t="n"/>
      <c r="AN195" s="670" t="n"/>
      <c r="AO195" s="670" t="n"/>
      <c r="AP195" s="658" t="n"/>
      <c r="AQ195" s="658" t="n"/>
      <c r="AR195" s="658" t="n"/>
      <c r="AS195" s="658" t="n"/>
      <c r="AT195" s="658" t="n"/>
      <c r="AU195" s="658" t="n"/>
      <c r="AV195" s="658" t="n"/>
    </row>
    <row r="196">
      <c r="B196" s="8025" t="n"/>
      <c r="C196" s="2648" t="n"/>
      <c r="D196" s="11403" t="inlineStr">
        <is>
          <t>Members of the military stationed outside the United States,</t>
        </is>
      </c>
      <c r="F196" s="11403" t="n"/>
      <c r="AA196" s="658" t="n"/>
      <c r="AB196" s="658" t="n"/>
      <c r="AC196" s="658" t="n"/>
      <c r="AD196" s="658" t="n"/>
      <c r="AE196" s="658" t="n"/>
      <c r="AF196" s="658" t="n"/>
      <c r="AG196" s="658" t="n"/>
      <c r="AH196" s="658" t="n"/>
      <c r="AI196" s="658" t="n"/>
      <c r="AJ196" s="658" t="n"/>
      <c r="AK196" s="658" t="n"/>
      <c r="AL196" s="658" t="n"/>
      <c r="AN196" s="670" t="n"/>
      <c r="AO196" s="670" t="n"/>
      <c r="AP196" s="658" t="n"/>
      <c r="AQ196" s="658" t="n"/>
      <c r="AR196" s="658" t="n"/>
      <c r="AS196" s="658" t="n"/>
      <c r="AT196" s="658" t="n"/>
      <c r="AU196" s="658" t="n"/>
      <c r="AV196" s="658" t="n"/>
    </row>
    <row r="197">
      <c r="C197" s="2648" t="n"/>
      <c r="D197" s="11403" t="inlineStr">
        <is>
          <t>see Members of the military, later, before you answer.</t>
        </is>
      </c>
      <c r="AA197" s="658" t="n"/>
      <c r="AB197" s="658" t="n"/>
      <c r="AC197" s="658" t="n"/>
      <c r="AD197" s="658" t="n"/>
      <c r="AE197" s="658" t="n"/>
      <c r="AF197" s="658" t="n"/>
      <c r="AG197" s="658" t="n"/>
      <c r="AH197" s="658" t="n"/>
      <c r="AI197" s="658" t="n"/>
      <c r="AJ197" s="658" t="n"/>
      <c r="AK197" s="658" t="n"/>
      <c r="AL197" s="658" t="n"/>
      <c r="AN197" s="670" t="n"/>
      <c r="AO197" s="670" t="n"/>
      <c r="AP197" s="658" t="n"/>
      <c r="AQ197" s="658" t="n"/>
      <c r="AR197" s="658" t="n"/>
      <c r="AS197" s="658" t="n"/>
      <c r="AT197" s="658" t="n"/>
      <c r="AU197" s="658" t="n"/>
      <c r="AV197" s="658" t="n"/>
    </row>
    <row r="198">
      <c r="C198" s="2648" t="n"/>
      <c r="D198" s="11403" t="n"/>
      <c r="AA198" s="658" t="n"/>
      <c r="AB198" s="658" t="n"/>
      <c r="AC198" s="658" t="n"/>
      <c r="AD198" s="658" t="n"/>
      <c r="AE198" s="658" t="n"/>
      <c r="AF198" s="658" t="n"/>
      <c r="AG198" s="658" t="n"/>
      <c r="AH198" s="658" t="n"/>
      <c r="AI198" s="658" t="n"/>
      <c r="AJ198" s="658" t="n"/>
      <c r="AK198" s="658" t="n"/>
      <c r="AL198" s="658" t="n"/>
      <c r="AN198" s="670" t="n"/>
      <c r="AO198" s="670" t="n"/>
      <c r="AP198" s="658" t="n"/>
      <c r="AQ198" s="658" t="n"/>
      <c r="AR198" s="658" t="n"/>
      <c r="AS198" s="658" t="n"/>
      <c r="AT198" s="658" t="n"/>
      <c r="AU198" s="658" t="n"/>
      <c r="AV198" s="658" t="n"/>
    </row>
    <row r="199">
      <c r="A199" s="441">
        <f>AND(OR(N132,N139,A185),NOT(G199))</f>
        <v/>
      </c>
      <c r="B199" s="2658">
        <f>IF(A199,"X","")</f>
        <v/>
      </c>
      <c r="D199" s="11403" t="inlineStr">
        <is>
          <t>Yes.  Continue</t>
        </is>
      </c>
      <c r="G199" s="441">
        <f>H199&lt;&gt;""</f>
        <v/>
      </c>
      <c r="H199" s="325" t="n"/>
      <c r="J199" s="11403" t="inlineStr">
        <is>
          <t>No.    STOP</t>
        </is>
      </c>
      <c r="M199" s="2677" t="n"/>
      <c r="AA199" s="658" t="n"/>
      <c r="AB199" s="658" t="n"/>
      <c r="AC199" s="658" t="n"/>
      <c r="AD199" s="658" t="n"/>
      <c r="AE199" s="658" t="n"/>
      <c r="AF199" s="658" t="n"/>
      <c r="AG199" s="658" t="n"/>
      <c r="AH199" s="658" t="n"/>
      <c r="AI199" s="658" t="n"/>
      <c r="AJ199" s="658" t="n"/>
      <c r="AK199" s="658" t="n"/>
      <c r="AL199" s="658" t="n"/>
      <c r="AN199" s="670" t="n"/>
      <c r="AO199" s="670" t="n"/>
      <c r="AP199" s="658" t="n"/>
      <c r="AQ199" s="658" t="n"/>
      <c r="AR199" s="658" t="n"/>
      <c r="AS199" s="658" t="n"/>
      <c r="AT199" s="658" t="n"/>
      <c r="AU199" s="658" t="n"/>
      <c r="AV199" s="658" t="n"/>
    </row>
    <row r="200">
      <c r="A200" s="7831" t="n"/>
      <c r="C200" s="7831" t="n"/>
      <c r="D200" s="11403" t="n"/>
      <c r="J200" s="11403" t="inlineStr">
        <is>
          <t>You can't take the credit.</t>
        </is>
      </c>
      <c r="AA200" s="658" t="n"/>
      <c r="AB200" s="658" t="n"/>
      <c r="AC200" s="658" t="n"/>
      <c r="AD200" s="658" t="n"/>
      <c r="AE200" s="658" t="n"/>
      <c r="AF200" s="658" t="n"/>
      <c r="AG200" s="658" t="n"/>
      <c r="AH200" s="658" t="n"/>
      <c r="AI200" s="658" t="n"/>
      <c r="AJ200" s="658" t="n"/>
      <c r="AK200" s="658" t="n"/>
      <c r="AL200" s="658" t="n"/>
      <c r="AN200" s="670" t="n"/>
      <c r="AO200" s="670" t="n"/>
      <c r="AP200" s="658" t="n"/>
      <c r="AQ200" s="658" t="n"/>
      <c r="AR200" s="658" t="n"/>
      <c r="AS200" s="658" t="n"/>
      <c r="AT200" s="658" t="n"/>
      <c r="AU200" s="658" t="n"/>
      <c r="AV200" s="658" t="n"/>
    </row>
    <row r="201">
      <c r="A201" s="7831" t="n"/>
      <c r="C201" s="7831" t="n"/>
      <c r="D201" s="11403" t="n"/>
      <c r="J201" s="11403" t="inlineStr">
        <is>
          <t>Check the box on line 27c.</t>
        </is>
      </c>
      <c r="AA201" s="658" t="n"/>
      <c r="AB201" s="658" t="n"/>
      <c r="AC201" s="658" t="n"/>
      <c r="AD201" s="658" t="n"/>
      <c r="AE201" s="658" t="n"/>
      <c r="AF201" s="658" t="n"/>
      <c r="AG201" s="658" t="n"/>
      <c r="AH201" s="658" t="n"/>
      <c r="AI201" s="658" t="n"/>
      <c r="AJ201" s="658" t="n"/>
      <c r="AK201" s="658" t="n"/>
      <c r="AL201" s="658" t="n"/>
      <c r="AN201" s="670" t="n"/>
      <c r="AO201" s="670" t="n"/>
      <c r="AP201" s="658" t="n"/>
      <c r="AQ201" s="658" t="n"/>
      <c r="AR201" s="658" t="n"/>
      <c r="AS201" s="658" t="n"/>
      <c r="AT201" s="658" t="n"/>
      <c r="AU201" s="658" t="n"/>
      <c r="AV201" s="658" t="n"/>
    </row>
    <row r="202">
      <c r="A202" s="7831" t="n"/>
      <c r="C202" s="7831" t="n"/>
      <c r="D202" s="11403" t="n"/>
      <c r="J202" s="11403" t="n"/>
      <c r="AA202" s="658" t="n"/>
      <c r="AB202" s="658" t="n"/>
      <c r="AC202" s="658" t="n"/>
      <c r="AD202" s="658" t="n"/>
      <c r="AE202" s="658" t="n"/>
      <c r="AF202" s="658" t="n"/>
      <c r="AG202" s="658" t="n"/>
      <c r="AH202" s="658" t="n"/>
      <c r="AI202" s="658" t="n"/>
      <c r="AJ202" s="658" t="n"/>
      <c r="AK202" s="658" t="n"/>
      <c r="AL202" s="658" t="n"/>
      <c r="AN202" s="670" t="n"/>
      <c r="AO202" s="670" t="n"/>
      <c r="AP202" s="658" t="n"/>
      <c r="AQ202" s="658" t="n"/>
      <c r="AR202" s="658" t="n"/>
      <c r="AS202" s="658" t="n"/>
      <c r="AT202" s="658" t="n"/>
      <c r="AU202" s="658" t="n"/>
      <c r="AV202" s="658" t="n"/>
    </row>
    <row r="203">
      <c r="A203" s="7831" t="n"/>
      <c r="C203" s="2501" t="n"/>
      <c r="D203" s="1843" t="n"/>
      <c r="E203" s="1839" t="n"/>
      <c r="F203" s="1839" t="n"/>
      <c r="G203" s="1839" t="n"/>
      <c r="H203" s="1839" t="n"/>
      <c r="I203" s="1839" t="n"/>
      <c r="J203" s="1839" t="n"/>
      <c r="K203" s="1839" t="n"/>
      <c r="AA203" s="658" t="n"/>
      <c r="AB203" s="658" t="n"/>
      <c r="AC203" s="658" t="n"/>
      <c r="AD203" s="658" t="n"/>
      <c r="AE203" s="658" t="n"/>
      <c r="AF203" s="658" t="n"/>
      <c r="AG203" s="658" t="n"/>
      <c r="AH203" s="658" t="n"/>
      <c r="AI203" s="658" t="n"/>
      <c r="AJ203" s="658" t="n"/>
      <c r="AK203" s="658" t="n"/>
      <c r="AL203" s="658" t="n"/>
      <c r="AN203" s="670" t="n"/>
      <c r="AO203" s="670" t="n"/>
      <c r="AP203" s="658" t="n"/>
      <c r="AQ203" s="658" t="n"/>
      <c r="AR203" s="658" t="n"/>
      <c r="AS203" s="658" t="n"/>
      <c r="AT203" s="658" t="n"/>
      <c r="AU203" s="658" t="n"/>
      <c r="AV203" s="658" t="n"/>
    </row>
    <row r="204">
      <c r="B204" s="8025" t="n"/>
      <c r="C204" s="220" t="inlineStr">
        <is>
          <t>4.</t>
        </is>
      </c>
      <c r="D204" s="11403">
        <f>"Are you filing a joint return for "&amp;TaxYear&amp;"?"</f>
        <v/>
      </c>
      <c r="AA204" s="658" t="n"/>
      <c r="AB204" s="658" t="n"/>
      <c r="AC204" s="658" t="n"/>
      <c r="AD204" s="658" t="n"/>
      <c r="AE204" s="658" t="n"/>
      <c r="AF204" s="658" t="n"/>
      <c r="AG204" s="658" t="n"/>
      <c r="AH204" s="658" t="n"/>
      <c r="AI204" s="658" t="n"/>
      <c r="AJ204" s="658" t="n"/>
      <c r="AK204" s="658" t="n"/>
      <c r="AL204" s="658" t="n"/>
      <c r="AN204" s="670" t="n"/>
      <c r="AO204" s="670" t="n"/>
      <c r="AP204" s="658" t="n"/>
      <c r="AQ204" s="658" t="n"/>
      <c r="AR204" s="658" t="n"/>
      <c r="AS204" s="658" t="n"/>
      <c r="AT204" s="658" t="n"/>
      <c r="AU204" s="658" t="n"/>
      <c r="AV204" s="658" t="n"/>
    </row>
    <row r="205">
      <c r="C205" s="2648" t="n"/>
      <c r="AA205" s="658" t="n"/>
      <c r="AB205" s="658" t="n"/>
      <c r="AC205" s="658" t="n"/>
      <c r="AD205" s="658" t="n"/>
      <c r="AE205" s="658" t="n"/>
      <c r="AF205" s="658" t="n"/>
      <c r="AG205" s="658" t="n"/>
      <c r="AH205" s="658" t="n"/>
      <c r="AI205" s="658" t="n"/>
      <c r="AJ205" s="658" t="n"/>
      <c r="AK205" s="658" t="n"/>
      <c r="AL205" s="658" t="n"/>
      <c r="AN205" s="670" t="n"/>
      <c r="AO205" s="670" t="n"/>
      <c r="AP205" s="658" t="n"/>
      <c r="AQ205" s="658" t="n"/>
      <c r="AR205" s="658" t="n"/>
      <c r="AS205" s="658" t="n"/>
      <c r="AT205" s="658" t="n"/>
      <c r="AU205" s="658" t="n"/>
      <c r="AV205" s="658" t="n"/>
    </row>
    <row r="206">
      <c r="A206" s="441">
        <f>AND(A199,File_Marr_Joint&lt;&gt;"")</f>
        <v/>
      </c>
      <c r="B206" s="2658">
        <f>IF(A206,"X","")</f>
        <v/>
      </c>
      <c r="D206" s="11403" t="inlineStr">
        <is>
          <t>Yes.  Skip questions 5 and 6;</t>
        </is>
      </c>
      <c r="G206" s="441">
        <f>AND(A199,NOT(A206))</f>
        <v/>
      </c>
      <c r="H206" s="2658">
        <f>IF(G206,"X","")</f>
        <v/>
      </c>
      <c r="J206" s="11403" t="inlineStr">
        <is>
          <t>No.    Continue</t>
        </is>
      </c>
      <c r="M206" s="2677" t="n"/>
      <c r="AA206" s="658" t="n"/>
      <c r="AB206" s="658" t="n"/>
      <c r="AC206" s="658" t="n"/>
      <c r="AD206" s="658" t="n"/>
      <c r="AE206" s="658" t="n"/>
      <c r="AF206" s="658" t="n"/>
      <c r="AG206" s="658" t="n"/>
      <c r="AH206" s="658" t="n"/>
      <c r="AI206" s="658" t="n"/>
      <c r="AJ206" s="658" t="n"/>
      <c r="AK206" s="658" t="n"/>
      <c r="AL206" s="658" t="n"/>
      <c r="AN206" s="670" t="n"/>
      <c r="AO206" s="670" t="n"/>
      <c r="AP206" s="658" t="n"/>
      <c r="AQ206" s="658" t="n"/>
      <c r="AR206" s="658" t="n"/>
      <c r="AS206" s="658" t="n"/>
      <c r="AT206" s="658" t="n"/>
      <c r="AU206" s="658" t="n"/>
      <c r="AV206" s="658" t="n"/>
    </row>
    <row r="207">
      <c r="A207" s="7831" t="n"/>
      <c r="C207" s="7831" t="n"/>
      <c r="D207" s="11403" t="inlineStr">
        <is>
          <t>go to Step 5.</t>
        </is>
      </c>
      <c r="AA207" s="658" t="n"/>
      <c r="AB207" s="658" t="n"/>
      <c r="AC207" s="658" t="n"/>
      <c r="AD207" s="658" t="n"/>
      <c r="AE207" s="658" t="n"/>
      <c r="AF207" s="658" t="n"/>
      <c r="AG207" s="658" t="n"/>
      <c r="AH207" s="658" t="n"/>
      <c r="AI207" s="658" t="n"/>
      <c r="AJ207" s="658" t="n"/>
      <c r="AK207" s="658" t="n"/>
      <c r="AL207" s="658" t="n"/>
      <c r="AN207" s="670" t="n"/>
      <c r="AO207" s="670" t="n"/>
      <c r="AP207" s="658" t="n"/>
      <c r="AQ207" s="658" t="n"/>
      <c r="AR207" s="658" t="n"/>
      <c r="AS207" s="658" t="n"/>
      <c r="AT207" s="658" t="n"/>
      <c r="AU207" s="658" t="n"/>
      <c r="AV207" s="658" t="n"/>
    </row>
    <row r="208">
      <c r="A208" s="7831" t="n"/>
      <c r="C208" s="7831" t="n"/>
      <c r="D208" s="11403" t="n"/>
      <c r="AA208" s="658" t="n"/>
      <c r="AB208" s="658" t="n"/>
      <c r="AC208" s="658" t="n"/>
      <c r="AD208" s="658" t="n"/>
      <c r="AE208" s="658" t="n"/>
      <c r="AF208" s="658" t="n"/>
      <c r="AG208" s="658" t="n"/>
      <c r="AH208" s="658" t="n"/>
      <c r="AI208" s="658" t="n"/>
      <c r="AJ208" s="658" t="n"/>
      <c r="AK208" s="658" t="n"/>
      <c r="AL208" s="658" t="n"/>
      <c r="AN208" s="670" t="n"/>
      <c r="AO208" s="670" t="n"/>
      <c r="AP208" s="658" t="n"/>
      <c r="AQ208" s="658" t="n"/>
      <c r="AR208" s="658" t="n"/>
      <c r="AS208" s="658" t="n"/>
      <c r="AT208" s="658" t="n"/>
      <c r="AU208" s="658" t="n"/>
      <c r="AV208" s="658" t="n"/>
    </row>
    <row r="209">
      <c r="A209" s="7831" t="n"/>
      <c r="C209" s="2501" t="n"/>
      <c r="D209" s="1843" t="n"/>
      <c r="E209" s="1839" t="n"/>
      <c r="F209" s="1839" t="n"/>
      <c r="G209" s="1839" t="n"/>
      <c r="H209" s="1839" t="n"/>
      <c r="I209" s="1839" t="n"/>
      <c r="J209" s="1839" t="n"/>
      <c r="K209" s="1839" t="n"/>
      <c r="AA209" s="658" t="n"/>
      <c r="AB209" s="658" t="n"/>
      <c r="AC209" s="658" t="n"/>
      <c r="AD209" s="658" t="n"/>
      <c r="AE209" s="658" t="n"/>
      <c r="AF209" s="658" t="n"/>
      <c r="AG209" s="658" t="n"/>
      <c r="AH209" s="658" t="n"/>
      <c r="AI209" s="658" t="n"/>
      <c r="AJ209" s="658" t="n"/>
      <c r="AK209" s="658" t="n"/>
      <c r="AL209" s="658" t="n"/>
      <c r="AN209" s="670" t="n"/>
      <c r="AO209" s="670" t="n"/>
      <c r="AP209" s="658" t="n"/>
      <c r="AQ209" s="658" t="n"/>
      <c r="AR209" s="658" t="n"/>
      <c r="AS209" s="658" t="n"/>
      <c r="AT209" s="658" t="n"/>
      <c r="AU209" s="658" t="n"/>
      <c r="AV209" s="658" t="n"/>
    </row>
    <row r="210">
      <c r="B210" s="8025" t="n"/>
      <c r="C210" s="220" t="inlineStr">
        <is>
          <t>5.</t>
        </is>
      </c>
      <c r="D210" s="11403">
        <f>"Could you be a qualifying child of another person for "&amp;TaxYear&amp;"?"</f>
        <v/>
      </c>
      <c r="AA210" s="658" t="n"/>
      <c r="AB210" s="658" t="n"/>
      <c r="AC210" s="658" t="n"/>
      <c r="AD210" s="658" t="n"/>
      <c r="AE210" s="658" t="n"/>
      <c r="AF210" s="658" t="n"/>
      <c r="AG210" s="658" t="n"/>
      <c r="AH210" s="658" t="n"/>
      <c r="AI210" s="658" t="n"/>
      <c r="AJ210" s="658" t="n"/>
      <c r="AK210" s="658" t="n"/>
      <c r="AL210" s="658" t="n"/>
      <c r="AN210" s="670" t="n"/>
      <c r="AO210" s="670" t="n"/>
      <c r="AP210" s="658" t="n"/>
      <c r="AQ210" s="658" t="n"/>
      <c r="AR210" s="658" t="n"/>
      <c r="AS210" s="658" t="n"/>
      <c r="AT210" s="658" t="n"/>
      <c r="AU210" s="658" t="n"/>
      <c r="AV210" s="658" t="n"/>
    </row>
    <row r="211">
      <c r="B211" s="8025" t="n"/>
      <c r="C211" s="2648" t="n"/>
      <c r="D211" s="11403" t="inlineStr">
        <is>
          <t>(Check “No” if the other person isn't required to file, and</t>
        </is>
      </c>
      <c r="F211" s="11403" t="n"/>
      <c r="AA211" s="658" t="n"/>
      <c r="AB211" s="658" t="n"/>
      <c r="AC211" s="658" t="n"/>
      <c r="AD211" s="658" t="n"/>
      <c r="AE211" s="658" t="n"/>
      <c r="AF211" s="658" t="n"/>
      <c r="AG211" s="658" t="n"/>
      <c r="AH211" s="658" t="n"/>
      <c r="AI211" s="658" t="n"/>
      <c r="AJ211" s="658" t="n"/>
      <c r="AK211" s="658" t="n"/>
      <c r="AL211" s="658" t="n"/>
      <c r="AN211" s="670" t="n"/>
      <c r="AO211" s="670" t="n"/>
      <c r="AP211" s="658" t="n"/>
      <c r="AQ211" s="658" t="n"/>
      <c r="AR211" s="658" t="n"/>
      <c r="AS211" s="658" t="n"/>
      <c r="AT211" s="658" t="n"/>
      <c r="AU211" s="658" t="n"/>
      <c r="AV211" s="658" t="n"/>
    </row>
    <row r="212">
      <c r="B212" s="8025" t="n"/>
      <c r="C212" s="2648" t="n"/>
      <c r="D212" s="11403">
        <f>"isn't filing, a "&amp;TaxYear&amp;" tax return or is filing a "&amp;TaxYear&amp;" return only"</f>
        <v/>
      </c>
      <c r="AA212" s="658" t="n"/>
      <c r="AB212" s="658" t="n"/>
      <c r="AC212" s="658" t="n"/>
      <c r="AD212" s="658" t="n"/>
      <c r="AE212" s="658" t="n"/>
      <c r="AF212" s="658" t="n"/>
      <c r="AG212" s="658" t="n"/>
      <c r="AH212" s="658" t="n"/>
      <c r="AI212" s="658" t="n"/>
      <c r="AJ212" s="658" t="n"/>
      <c r="AK212" s="658" t="n"/>
      <c r="AL212" s="658" t="n"/>
      <c r="AN212" s="670" t="n"/>
      <c r="AO212" s="670" t="n"/>
      <c r="AP212" s="658" t="n"/>
      <c r="AQ212" s="658" t="n"/>
      <c r="AR212" s="658" t="n"/>
      <c r="AS212" s="658" t="n"/>
      <c r="AT212" s="658" t="n"/>
      <c r="AU212" s="658" t="n"/>
      <c r="AV212" s="658" t="n"/>
    </row>
    <row r="213">
      <c r="B213" s="8025" t="n"/>
      <c r="C213" s="2648" t="n"/>
      <c r="D213" s="88" t="inlineStr">
        <is>
          <t>to claim a refund of withheld income tax or estimated tax</t>
        </is>
      </c>
      <c r="AA213" s="658" t="n"/>
      <c r="AB213" s="658" t="n"/>
      <c r="AC213" s="658" t="n"/>
      <c r="AD213" s="658" t="n"/>
      <c r="AE213" s="658" t="n"/>
      <c r="AF213" s="658" t="n"/>
      <c r="AG213" s="658" t="n"/>
      <c r="AH213" s="658" t="n"/>
      <c r="AI213" s="658" t="n"/>
      <c r="AJ213" s="658" t="n"/>
      <c r="AK213" s="658" t="n"/>
      <c r="AL213" s="658" t="n"/>
      <c r="AN213" s="670" t="n"/>
      <c r="AO213" s="670" t="n"/>
      <c r="AP213" s="658" t="n"/>
      <c r="AQ213" s="658" t="n"/>
      <c r="AR213" s="658" t="n"/>
      <c r="AS213" s="658" t="n"/>
      <c r="AT213" s="658" t="n"/>
      <c r="AU213" s="658" t="n"/>
      <c r="AV213" s="658" t="n"/>
    </row>
    <row r="214">
      <c r="B214" s="8025" t="n"/>
      <c r="C214" s="2648" t="n"/>
      <c r="D214" s="11403" t="inlineStr">
        <is>
          <t>paid (see Pub. 596 for examples).)</t>
        </is>
      </c>
      <c r="AA214" s="658" t="n"/>
      <c r="AB214" s="658" t="n"/>
      <c r="AC214" s="658" t="n"/>
      <c r="AD214" s="658" t="n"/>
      <c r="AE214" s="658" t="n"/>
      <c r="AF214" s="658" t="n"/>
      <c r="AG214" s="658" t="n"/>
      <c r="AH214" s="658" t="n"/>
      <c r="AI214" s="658" t="n"/>
      <c r="AJ214" s="658" t="n"/>
      <c r="AK214" s="658" t="n"/>
      <c r="AL214" s="658" t="n"/>
      <c r="AN214" s="670" t="n"/>
      <c r="AO214" s="670" t="n"/>
      <c r="AP214" s="658" t="n"/>
      <c r="AQ214" s="658" t="n"/>
      <c r="AR214" s="658" t="n"/>
      <c r="AS214" s="658" t="n"/>
      <c r="AT214" s="658" t="n"/>
      <c r="AU214" s="658" t="n"/>
      <c r="AV214" s="658" t="n"/>
    </row>
    <row r="215">
      <c r="C215" s="2648" t="n"/>
      <c r="AA215" s="658" t="n"/>
      <c r="AB215" s="658" t="n"/>
      <c r="AC215" s="658" t="n"/>
      <c r="AD215" s="658" t="n"/>
      <c r="AE215" s="658" t="n"/>
      <c r="AF215" s="658" t="n"/>
      <c r="AG215" s="658" t="n"/>
      <c r="AH215" s="658" t="n"/>
      <c r="AI215" s="658" t="n"/>
      <c r="AJ215" s="658" t="n"/>
      <c r="AK215" s="658" t="n"/>
      <c r="AL215" s="658" t="n"/>
      <c r="AN215" s="670" t="n"/>
      <c r="AO215" s="670" t="n"/>
      <c r="AP215" s="658" t="n"/>
      <c r="AQ215" s="658" t="n"/>
      <c r="AR215" s="658" t="n"/>
      <c r="AS215" s="658" t="n"/>
      <c r="AT215" s="658" t="n"/>
      <c r="AU215" s="658" t="n"/>
      <c r="AV215" s="658" t="n"/>
    </row>
    <row r="216">
      <c r="A216" s="441">
        <f>AND(G206,B216&lt;&gt;"")</f>
        <v/>
      </c>
      <c r="B216" s="325" t="n"/>
      <c r="D216" s="11403" t="inlineStr">
        <is>
          <t>Yes.  STOP</t>
        </is>
      </c>
      <c r="G216" s="441">
        <f>AND(G206,NOT(A216))</f>
        <v/>
      </c>
      <c r="H216" s="2653">
        <f>IF(G216,"X","")</f>
        <v/>
      </c>
      <c r="J216" s="11403" t="inlineStr">
        <is>
          <t>No.    Continue</t>
        </is>
      </c>
      <c r="M216" s="2677" t="n"/>
      <c r="AA216" s="658" t="n"/>
      <c r="AB216" s="658" t="n"/>
      <c r="AC216" s="658" t="n"/>
      <c r="AD216" s="658" t="n"/>
      <c r="AE216" s="658" t="n"/>
      <c r="AF216" s="658" t="n"/>
      <c r="AG216" s="658" t="n"/>
      <c r="AH216" s="658" t="n"/>
      <c r="AI216" s="658" t="n"/>
      <c r="AJ216" s="658" t="n"/>
      <c r="AK216" s="658" t="n"/>
      <c r="AL216" s="658" t="n"/>
      <c r="AN216" s="670" t="n"/>
      <c r="AO216" s="670" t="n"/>
      <c r="AP216" s="658" t="n"/>
      <c r="AQ216" s="658" t="n"/>
      <c r="AR216" s="658" t="n"/>
      <c r="AS216" s="658" t="n"/>
      <c r="AT216" s="658" t="n"/>
      <c r="AU216" s="658" t="n"/>
      <c r="AV216" s="658" t="n"/>
    </row>
    <row r="217">
      <c r="A217" s="7831" t="n"/>
      <c r="C217" s="7831" t="n"/>
      <c r="D217" s="11403" t="inlineStr">
        <is>
          <t>You can't take the credit.</t>
        </is>
      </c>
      <c r="AA217" s="658" t="n"/>
      <c r="AB217" s="658" t="n"/>
      <c r="AC217" s="658" t="n"/>
      <c r="AD217" s="658" t="n"/>
      <c r="AE217" s="658" t="n"/>
      <c r="AF217" s="658" t="n"/>
      <c r="AG217" s="658" t="n"/>
      <c r="AH217" s="658" t="n"/>
      <c r="AI217" s="658" t="n"/>
      <c r="AJ217" s="658" t="n"/>
      <c r="AK217" s="658" t="n"/>
      <c r="AL217" s="658" t="n"/>
      <c r="AN217" s="670" t="n"/>
      <c r="AO217" s="670" t="n"/>
      <c r="AP217" s="658" t="n"/>
      <c r="AQ217" s="658" t="n"/>
      <c r="AR217" s="658" t="n"/>
      <c r="AS217" s="658" t="n"/>
      <c r="AT217" s="658" t="n"/>
      <c r="AU217" s="658" t="n"/>
      <c r="AV217" s="658" t="n"/>
    </row>
    <row r="218">
      <c r="A218" s="7831" t="n"/>
      <c r="C218" s="7831" t="n"/>
      <c r="D218" s="11403" t="inlineStr">
        <is>
          <t>Check the box on line 27c.</t>
        </is>
      </c>
      <c r="AA218" s="658" t="n"/>
      <c r="AB218" s="658" t="n"/>
      <c r="AC218" s="658" t="n"/>
      <c r="AD218" s="658" t="n"/>
      <c r="AE218" s="658" t="n"/>
      <c r="AF218" s="658" t="n"/>
      <c r="AG218" s="658" t="n"/>
      <c r="AH218" s="658" t="n"/>
      <c r="AI218" s="658" t="n"/>
      <c r="AJ218" s="658" t="n"/>
      <c r="AK218" s="658" t="n"/>
      <c r="AL218" s="658" t="n"/>
      <c r="AN218" s="670" t="n"/>
      <c r="AO218" s="670" t="n"/>
      <c r="AP218" s="658" t="n"/>
      <c r="AQ218" s="658" t="n"/>
      <c r="AR218" s="658" t="n"/>
      <c r="AS218" s="658" t="n"/>
      <c r="AT218" s="658" t="n"/>
      <c r="AU218" s="658" t="n"/>
      <c r="AV218" s="658" t="n"/>
    </row>
    <row r="219">
      <c r="A219" s="7831" t="n"/>
      <c r="C219" s="7831" t="n"/>
      <c r="D219" s="11403" t="n"/>
      <c r="AA219" s="658" t="n"/>
      <c r="AB219" s="658" t="n"/>
      <c r="AC219" s="658" t="n"/>
      <c r="AD219" s="658" t="n"/>
      <c r="AE219" s="658" t="n"/>
      <c r="AF219" s="658" t="n"/>
      <c r="AG219" s="658" t="n"/>
      <c r="AH219" s="658" t="n"/>
      <c r="AI219" s="658" t="n"/>
      <c r="AJ219" s="658" t="n"/>
      <c r="AK219" s="658" t="n"/>
      <c r="AL219" s="658" t="n"/>
      <c r="AN219" s="670" t="n"/>
      <c r="AO219" s="670" t="n"/>
      <c r="AP219" s="658" t="n"/>
      <c r="AQ219" s="658" t="n"/>
      <c r="AR219" s="658" t="n"/>
      <c r="AS219" s="658" t="n"/>
      <c r="AT219" s="658" t="n"/>
      <c r="AU219" s="658" t="n"/>
      <c r="AV219" s="658" t="n"/>
    </row>
    <row r="220">
      <c r="A220" s="7831" t="n"/>
      <c r="B220" s="7831" t="n"/>
      <c r="C220" s="7831" t="n"/>
      <c r="D220" s="7831" t="n"/>
      <c r="E220" s="7831" t="n"/>
      <c r="F220" s="7831" t="n"/>
      <c r="G220" s="7831" t="n"/>
      <c r="H220" s="7831" t="n"/>
      <c r="I220" s="7831" t="n"/>
      <c r="J220" s="7831" t="n"/>
      <c r="K220" s="7831" t="n"/>
      <c r="L220" s="7831" t="n"/>
      <c r="AA220" s="658" t="n"/>
      <c r="AB220" s="658" t="n"/>
      <c r="AC220" s="658" t="n"/>
      <c r="AD220" s="658" t="n"/>
      <c r="AE220" s="658" t="n"/>
      <c r="AF220" s="658" t="n"/>
      <c r="AG220" s="658" t="n"/>
      <c r="AH220" s="658" t="n"/>
      <c r="AI220" s="658" t="n"/>
      <c r="AJ220" s="658" t="n"/>
      <c r="AK220" s="658" t="n"/>
      <c r="AL220" s="658" t="n"/>
      <c r="AN220" s="670" t="n"/>
      <c r="AO220" s="670" t="n"/>
      <c r="AP220" s="658" t="n"/>
      <c r="AQ220" s="658" t="n"/>
      <c r="AR220" s="658" t="n"/>
      <c r="AS220" s="658" t="n"/>
      <c r="AT220" s="658" t="n"/>
      <c r="AU220" s="658" t="n"/>
      <c r="AV220" s="658" t="n"/>
    </row>
    <row r="221">
      <c r="A221" s="7831" t="n"/>
      <c r="C221" s="2501" t="n"/>
      <c r="D221" s="1843" t="n"/>
      <c r="E221" s="1839" t="n"/>
      <c r="F221" s="1839" t="n"/>
      <c r="G221" s="1839" t="n"/>
      <c r="H221" s="1839" t="n"/>
      <c r="I221" s="1839" t="n"/>
      <c r="J221" s="1839" t="n"/>
      <c r="K221" s="1839" t="n"/>
      <c r="AA221" s="658" t="n"/>
      <c r="AB221" s="658" t="n"/>
      <c r="AC221" s="658" t="n"/>
      <c r="AD221" s="658" t="n"/>
      <c r="AE221" s="658" t="n"/>
      <c r="AF221" s="658" t="n"/>
      <c r="AG221" s="658" t="n"/>
      <c r="AH221" s="658" t="n"/>
      <c r="AI221" s="658" t="n"/>
      <c r="AJ221" s="658" t="n"/>
      <c r="AK221" s="658" t="n"/>
      <c r="AL221" s="658" t="n"/>
      <c r="AN221" s="670" t="n"/>
      <c r="AO221" s="670" t="n"/>
      <c r="AP221" s="658" t="n"/>
      <c r="AQ221" s="658" t="n"/>
      <c r="AR221" s="658" t="n"/>
      <c r="AS221" s="658" t="n"/>
      <c r="AT221" s="658" t="n"/>
      <c r="AU221" s="658" t="n"/>
      <c r="AV221" s="658" t="n"/>
    </row>
    <row r="222">
      <c r="B222" s="8025" t="n"/>
      <c r="C222" s="220" t="inlineStr">
        <is>
          <t>6.</t>
        </is>
      </c>
      <c r="D222" s="11403">
        <f>"Can you be claimed as a dependent on someone else's "&amp;TaxYear&amp;" tax return?"</f>
        <v/>
      </c>
      <c r="AA222" s="658" t="n"/>
      <c r="AB222" s="658" t="n"/>
      <c r="AC222" s="658" t="n"/>
      <c r="AD222" s="658" t="n"/>
      <c r="AE222" s="658" t="n"/>
      <c r="AF222" s="658" t="n"/>
      <c r="AG222" s="658" t="n"/>
      <c r="AH222" s="658" t="n"/>
      <c r="AI222" s="658" t="n"/>
      <c r="AJ222" s="658" t="n"/>
      <c r="AK222" s="658" t="n"/>
      <c r="AL222" s="658" t="n"/>
      <c r="AN222" s="670" t="n"/>
      <c r="AO222" s="670" t="n"/>
      <c r="AP222" s="658" t="n"/>
      <c r="AQ222" s="658" t="n"/>
      <c r="AR222" s="658" t="n"/>
      <c r="AS222" s="658" t="n"/>
      <c r="AT222" s="658" t="n"/>
      <c r="AU222" s="658" t="n"/>
      <c r="AV222" s="658" t="n"/>
    </row>
    <row r="223">
      <c r="B223" s="8025" t="n"/>
      <c r="C223" s="220" t="n"/>
      <c r="D223" s="11403">
        <f>"(If the person who could claim you on their "&amp;TaxYear&amp;" tax return is not required to file, and isn't filing a "&amp;TaxYear&amp;" tax return or"</f>
        <v/>
      </c>
      <c r="AA223" s="658" t="n"/>
      <c r="AB223" s="658" t="n"/>
      <c r="AC223" s="658" t="n"/>
      <c r="AD223" s="658" t="n"/>
      <c r="AE223" s="658" t="n"/>
      <c r="AF223" s="658" t="n"/>
      <c r="AG223" s="658" t="n"/>
      <c r="AH223" s="658" t="n"/>
      <c r="AI223" s="658" t="n"/>
      <c r="AJ223" s="658" t="n"/>
      <c r="AK223" s="658" t="n"/>
      <c r="AL223" s="658" t="n"/>
      <c r="AN223" s="670" t="n"/>
      <c r="AO223" s="670" t="n"/>
      <c r="AP223" s="658" t="n"/>
      <c r="AQ223" s="658" t="n"/>
      <c r="AR223" s="658" t="n"/>
      <c r="AS223" s="658" t="n"/>
      <c r="AT223" s="658" t="n"/>
      <c r="AU223" s="658" t="n"/>
      <c r="AV223" s="658" t="n"/>
    </row>
    <row r="224">
      <c r="B224" s="8025" t="n"/>
      <c r="C224" s="220" t="n"/>
      <c r="D224" s="11403">
        <f>"is filing a "&amp;TaxYear&amp;" return only to claim a refund of withheld income tax or estimated tax paid, check “No.”)"</f>
        <v/>
      </c>
      <c r="AA224" s="658" t="n"/>
      <c r="AB224" s="658" t="n"/>
      <c r="AC224" s="658" t="n"/>
      <c r="AD224" s="658" t="n"/>
      <c r="AE224" s="658" t="n"/>
      <c r="AF224" s="658" t="n"/>
      <c r="AG224" s="658" t="n"/>
      <c r="AH224" s="658" t="n"/>
      <c r="AI224" s="658" t="n"/>
      <c r="AJ224" s="658" t="n"/>
      <c r="AK224" s="658" t="n"/>
      <c r="AL224" s="658" t="n"/>
      <c r="AN224" s="670" t="n"/>
      <c r="AO224" s="670" t="n"/>
      <c r="AP224" s="658" t="n"/>
      <c r="AQ224" s="658" t="n"/>
      <c r="AR224" s="658" t="n"/>
      <c r="AS224" s="658" t="n"/>
      <c r="AT224" s="658" t="n"/>
      <c r="AU224" s="658" t="n"/>
      <c r="AV224" s="658" t="n"/>
    </row>
    <row r="225">
      <c r="C225" s="2648" t="n"/>
      <c r="AA225" s="658" t="n"/>
      <c r="AB225" s="658" t="n"/>
      <c r="AC225" s="658" t="n"/>
      <c r="AD225" s="658" t="n"/>
      <c r="AE225" s="658" t="n"/>
      <c r="AF225" s="658" t="n"/>
      <c r="AG225" s="658" t="n"/>
      <c r="AH225" s="658" t="n"/>
      <c r="AI225" s="658" t="n"/>
      <c r="AJ225" s="658" t="n"/>
      <c r="AK225" s="658" t="n"/>
      <c r="AL225" s="658" t="n"/>
      <c r="AN225" s="670" t="n"/>
      <c r="AO225" s="670" t="n"/>
      <c r="AP225" s="658" t="n"/>
      <c r="AQ225" s="658" t="n"/>
      <c r="AR225" s="658" t="n"/>
      <c r="AS225" s="658" t="n"/>
      <c r="AT225" s="658" t="n"/>
      <c r="AU225" s="658" t="n"/>
      <c r="AV225" s="658" t="n"/>
    </row>
    <row r="226">
      <c r="A226" s="441">
        <f>AND(G216,DependentYOU&lt;&gt;"")</f>
        <v/>
      </c>
      <c r="B226" s="2658">
        <f>IF(A226,"X","")</f>
        <v/>
      </c>
      <c r="D226" s="11403" t="inlineStr">
        <is>
          <t>Yes.  STOP</t>
        </is>
      </c>
      <c r="G226" s="441">
        <f>AND(G216,NOT(A226))</f>
        <v/>
      </c>
      <c r="H226" s="2653">
        <f>IF(G226,"X","")</f>
        <v/>
      </c>
      <c r="J226" s="11403" t="inlineStr">
        <is>
          <t>No.    Continue</t>
        </is>
      </c>
      <c r="M226" s="2677" t="n"/>
      <c r="AA226" s="658" t="n"/>
      <c r="AB226" s="658" t="n"/>
      <c r="AC226" s="658" t="n"/>
      <c r="AD226" s="658" t="n"/>
      <c r="AE226" s="658" t="n"/>
      <c r="AF226" s="658" t="n"/>
      <c r="AG226" s="658" t="n"/>
      <c r="AH226" s="658" t="n"/>
      <c r="AI226" s="658" t="n"/>
      <c r="AJ226" s="658" t="n"/>
      <c r="AK226" s="658" t="n"/>
      <c r="AL226" s="658" t="n"/>
      <c r="AN226" s="670" t="n"/>
      <c r="AO226" s="670" t="n"/>
      <c r="AP226" s="658" t="n"/>
      <c r="AQ226" s="658" t="n"/>
      <c r="AR226" s="658" t="n"/>
      <c r="AS226" s="658" t="n"/>
      <c r="AT226" s="658" t="n"/>
      <c r="AU226" s="658" t="n"/>
      <c r="AV226" s="658" t="n"/>
    </row>
    <row r="227">
      <c r="A227" s="7831" t="n"/>
      <c r="C227" s="7831" t="n"/>
      <c r="D227" s="11403" t="inlineStr">
        <is>
          <t>You can't take the credit.</t>
        </is>
      </c>
      <c r="AA227" s="658" t="n"/>
      <c r="AB227" s="658" t="n"/>
      <c r="AC227" s="658" t="n"/>
      <c r="AD227" s="658" t="n"/>
      <c r="AE227" s="658" t="n"/>
      <c r="AF227" s="658" t="n"/>
      <c r="AG227" s="658" t="n"/>
      <c r="AH227" s="658" t="n"/>
      <c r="AI227" s="658" t="n"/>
      <c r="AJ227" s="658" t="n"/>
      <c r="AK227" s="658" t="n"/>
      <c r="AL227" s="658" t="n"/>
      <c r="AN227" s="670" t="n"/>
      <c r="AO227" s="670" t="n"/>
      <c r="AP227" s="658" t="n"/>
      <c r="AQ227" s="658" t="n"/>
      <c r="AR227" s="658" t="n"/>
      <c r="AS227" s="658" t="n"/>
      <c r="AT227" s="658" t="n"/>
      <c r="AU227" s="658" t="n"/>
      <c r="AV227" s="658" t="n"/>
    </row>
    <row r="228">
      <c r="A228" s="7831" t="n"/>
      <c r="B228" s="7831" t="n"/>
      <c r="C228" s="7831" t="n"/>
      <c r="D228" s="7831" t="n"/>
      <c r="E228" s="7831" t="n"/>
      <c r="F228" s="7831" t="n"/>
      <c r="G228" s="7831" t="n"/>
      <c r="H228" s="7831" t="n"/>
      <c r="I228" s="7831" t="n"/>
      <c r="J228" s="7831" t="n"/>
      <c r="K228" s="7831" t="n"/>
      <c r="L228" s="7831" t="n"/>
      <c r="AA228" s="658" t="n"/>
      <c r="AB228" s="658" t="n"/>
      <c r="AC228" s="658" t="n"/>
      <c r="AD228" s="658" t="n"/>
      <c r="AE228" s="658" t="n"/>
      <c r="AF228" s="658" t="n"/>
      <c r="AG228" s="658" t="n"/>
      <c r="AH228" s="658" t="n"/>
      <c r="AI228" s="658" t="n"/>
      <c r="AJ228" s="658" t="n"/>
      <c r="AK228" s="658" t="n"/>
      <c r="AL228" s="658" t="n"/>
      <c r="AN228" s="670" t="n"/>
      <c r="AO228" s="670" t="n"/>
      <c r="AP228" s="658" t="n"/>
      <c r="AQ228" s="658" t="n"/>
      <c r="AR228" s="658" t="n"/>
      <c r="AS228" s="658" t="n"/>
      <c r="AT228" s="658" t="n"/>
      <c r="AU228" s="658" t="n"/>
      <c r="AV228" s="658" t="n"/>
    </row>
    <row r="229">
      <c r="A229" s="7831" t="n"/>
      <c r="B229" s="7831" t="n"/>
      <c r="C229" s="7831" t="n"/>
      <c r="D229" s="7831" t="n"/>
      <c r="E229" s="7831" t="n"/>
      <c r="F229" s="7831" t="n"/>
      <c r="G229" s="7831" t="n"/>
      <c r="H229" s="7831" t="n"/>
      <c r="I229" s="7831" t="n"/>
      <c r="J229" s="7831" t="n"/>
      <c r="K229" s="7831" t="n"/>
      <c r="L229" s="7831" t="n"/>
      <c r="AA229" s="658" t="n"/>
      <c r="AB229" s="658" t="n"/>
      <c r="AC229" s="658" t="n"/>
      <c r="AD229" s="658" t="n"/>
      <c r="AE229" s="658" t="n"/>
      <c r="AF229" s="658" t="n"/>
      <c r="AG229" s="658" t="n"/>
      <c r="AH229" s="658" t="n"/>
      <c r="AI229" s="658" t="n"/>
      <c r="AJ229" s="658" t="n"/>
      <c r="AK229" s="658" t="n"/>
      <c r="AL229" s="658" t="n"/>
      <c r="AN229" s="670" t="n"/>
      <c r="AO229" s="670" t="n"/>
      <c r="AP229" s="658" t="n"/>
      <c r="AQ229" s="658" t="n"/>
      <c r="AR229" s="658" t="n"/>
      <c r="AS229" s="658" t="n"/>
      <c r="AT229" s="658" t="n"/>
      <c r="AU229" s="658" t="n"/>
      <c r="AV229" s="658" t="n"/>
    </row>
    <row r="230">
      <c r="A230" s="7831" t="n"/>
      <c r="C230" s="2501" t="n"/>
      <c r="D230" s="1843" t="n"/>
      <c r="E230" s="1839" t="n"/>
      <c r="F230" s="1839" t="n"/>
      <c r="G230" s="1839" t="n"/>
      <c r="H230" s="1839" t="n"/>
      <c r="I230" s="1839" t="n"/>
      <c r="J230" s="1839" t="n"/>
      <c r="K230" s="1839" t="n"/>
      <c r="AA230" s="658" t="n"/>
      <c r="AB230" s="658" t="n"/>
      <c r="AC230" s="658" t="n"/>
      <c r="AD230" s="658" t="n"/>
      <c r="AE230" s="658" t="n"/>
      <c r="AF230" s="658" t="n"/>
      <c r="AG230" s="658" t="n"/>
      <c r="AH230" s="658" t="n"/>
      <c r="AI230" s="658" t="n"/>
      <c r="AJ230" s="658" t="n"/>
      <c r="AK230" s="658" t="n"/>
      <c r="AL230" s="658" t="n"/>
      <c r="AN230" s="670" t="n"/>
      <c r="AO230" s="670" t="n"/>
      <c r="AP230" s="658" t="n"/>
      <c r="AQ230" s="658" t="n"/>
      <c r="AR230" s="658" t="n"/>
      <c r="AS230" s="658" t="n"/>
      <c r="AT230" s="658" t="n"/>
      <c r="AU230" s="658" t="n"/>
      <c r="AV230" s="658" t="n"/>
    </row>
    <row r="231" ht="15.75" customFormat="1" customHeight="1" s="2445">
      <c r="A231" s="9180" t="inlineStr">
        <is>
          <t xml:space="preserve">Step 5 </t>
        </is>
      </c>
      <c r="B231" s="2647" t="inlineStr">
        <is>
          <t>Earned Income</t>
        </is>
      </c>
      <c r="C231" s="2642" t="n"/>
      <c r="N231" s="2662" t="n"/>
      <c r="AA231" s="668" t="n"/>
      <c r="AB231" s="668" t="n"/>
      <c r="AC231" s="668" t="n"/>
      <c r="AD231" s="668" t="n"/>
      <c r="AE231" s="668" t="n"/>
      <c r="AF231" s="668" t="n"/>
      <c r="AG231" s="668" t="n"/>
      <c r="AH231" s="668" t="n"/>
      <c r="AI231" s="668" t="n"/>
      <c r="AJ231" s="668" t="n"/>
      <c r="AK231" s="668" t="n"/>
      <c r="AL231" s="668" t="n"/>
      <c r="AN231" s="669" t="n"/>
      <c r="AO231" s="669" t="n"/>
      <c r="AP231" s="668" t="n"/>
      <c r="AQ231" s="668" t="n"/>
      <c r="AR231" s="668" t="n"/>
      <c r="AS231" s="668" t="n"/>
      <c r="AT231" s="668" t="n"/>
      <c r="AU231" s="668" t="n"/>
      <c r="AV231" s="668" t="n"/>
    </row>
    <row r="232">
      <c r="A232" s="7831" t="n"/>
      <c r="C232" s="7831" t="n"/>
      <c r="AA232" s="658" t="n"/>
      <c r="AB232" s="658" t="n"/>
      <c r="AC232" s="658" t="n"/>
      <c r="AD232" s="658" t="n"/>
      <c r="AE232" s="658" t="n"/>
      <c r="AF232" s="658" t="n"/>
      <c r="AG232" s="658" t="n"/>
      <c r="AH232" s="658" t="n"/>
      <c r="AI232" s="658" t="n"/>
      <c r="AJ232" s="658" t="n"/>
      <c r="AK232" s="658" t="n"/>
      <c r="AL232" s="658" t="n"/>
      <c r="AN232" s="670" t="n"/>
      <c r="AO232" s="670" t="n"/>
      <c r="AP232" s="658" t="n"/>
      <c r="AQ232" s="658" t="n"/>
      <c r="AR232" s="658" t="n"/>
      <c r="AS232" s="658" t="n"/>
      <c r="AT232" s="658" t="n"/>
      <c r="AU232" s="658" t="n"/>
      <c r="AV232" s="658" t="n"/>
    </row>
    <row r="233">
      <c r="A233" s="2648" t="inlineStr">
        <is>
          <t>1.</t>
        </is>
      </c>
      <c r="B233" s="88" t="inlineStr">
        <is>
          <t>Are you filing Schedule SE because you were a member of the clergy or you had church employee income of $108.28 or more?</t>
        </is>
      </c>
      <c r="AA233" s="658" t="n"/>
      <c r="AB233" s="658" t="n"/>
      <c r="AC233" s="658" t="n"/>
      <c r="AD233" s="658" t="n"/>
      <c r="AE233" s="658" t="n"/>
      <c r="AF233" s="658" t="n"/>
      <c r="AG233" s="658" t="n"/>
      <c r="AH233" s="658" t="n"/>
      <c r="AI233" s="658" t="n"/>
      <c r="AJ233" s="658" t="n"/>
      <c r="AK233" s="658" t="n"/>
      <c r="AL233" s="658" t="n"/>
      <c r="AN233" s="670" t="n"/>
      <c r="AO233" s="670" t="n"/>
      <c r="AP233" s="658" t="n"/>
      <c r="AQ233" s="658" t="n"/>
      <c r="AR233" s="658" t="n"/>
      <c r="AS233" s="658" t="n"/>
      <c r="AT233" s="658" t="n"/>
      <c r="AU233" s="658" t="n"/>
      <c r="AV233" s="658" t="n"/>
    </row>
    <row r="234">
      <c r="C234" s="2648" t="n"/>
      <c r="AA234" s="658" t="n"/>
      <c r="AB234" s="658" t="n"/>
      <c r="AC234" s="658" t="n"/>
      <c r="AD234" s="658" t="n"/>
      <c r="AE234" s="658" t="n"/>
      <c r="AF234" s="658" t="n"/>
      <c r="AG234" s="658" t="n"/>
      <c r="AH234" s="658" t="n"/>
      <c r="AI234" s="658" t="n"/>
      <c r="AJ234" s="658" t="n"/>
      <c r="AK234" s="658" t="n"/>
      <c r="AL234" s="658" t="n"/>
      <c r="AN234" s="670" t="n"/>
      <c r="AO234" s="670" t="n"/>
      <c r="AP234" s="658" t="n"/>
      <c r="AQ234" s="658" t="n"/>
      <c r="AR234" s="658" t="n"/>
      <c r="AS234" s="658" t="n"/>
      <c r="AT234" s="658" t="n"/>
      <c r="AU234" s="658" t="n"/>
      <c r="AV234" s="658" t="n"/>
    </row>
    <row r="235">
      <c r="A235" s="2679">
        <f>AND(OR(A125,N157,A206,G226),B235&lt;&gt;"")</f>
        <v/>
      </c>
      <c r="B235" s="325" t="n"/>
      <c r="D235" s="226" t="inlineStr">
        <is>
          <t>Yes.</t>
        </is>
      </c>
      <c r="G235" s="441">
        <f>AND(OR(A125,N157,A206,G226),NOT(A235))</f>
        <v/>
      </c>
      <c r="H235" s="2653">
        <f>IF(G235,"X","")</f>
        <v/>
      </c>
      <c r="J235" s="2415" t="inlineStr">
        <is>
          <t>No.  Complete the</t>
        </is>
      </c>
      <c r="AA235" s="658" t="n"/>
      <c r="AB235" s="658" t="n"/>
      <c r="AC235" s="658" t="n"/>
      <c r="AD235" s="658" t="n"/>
      <c r="AE235" s="658" t="n"/>
      <c r="AF235" s="658" t="n"/>
      <c r="AG235" s="658" t="n"/>
      <c r="AH235" s="658" t="n"/>
      <c r="AI235" s="658" t="n"/>
      <c r="AJ235" s="658" t="n"/>
      <c r="AK235" s="658" t="n"/>
      <c r="AL235" s="658" t="n"/>
      <c r="AN235" s="670" t="n"/>
      <c r="AO235" s="670" t="n"/>
      <c r="AP235" s="658" t="n"/>
      <c r="AQ235" s="658" t="n"/>
      <c r="AR235" s="658" t="n"/>
      <c r="AS235" s="658" t="n"/>
      <c r="AT235" s="658" t="n"/>
      <c r="AU235" s="658" t="n"/>
      <c r="AV235" s="658" t="n"/>
    </row>
    <row r="236">
      <c r="D236" s="88" t="inlineStr">
        <is>
          <t xml:space="preserve">See Clergy or Church employees, </t>
        </is>
      </c>
      <c r="J236" s="2415" t="inlineStr">
        <is>
          <t>following worksheet.</t>
        </is>
      </c>
      <c r="AA236" s="658" t="n"/>
      <c r="AB236" s="658" t="n"/>
      <c r="AC236" s="658" t="n"/>
      <c r="AD236" s="658" t="n"/>
      <c r="AE236" s="658" t="n"/>
      <c r="AF236" s="658" t="n"/>
      <c r="AG236" s="658" t="n"/>
      <c r="AH236" s="658" t="n"/>
      <c r="AI236" s="658" t="n"/>
      <c r="AJ236" s="658" t="n"/>
      <c r="AK236" s="658" t="n"/>
      <c r="AL236" s="658" t="n"/>
      <c r="AN236" s="670" t="n"/>
      <c r="AO236" s="670" t="n"/>
      <c r="AP236" s="658" t="n"/>
      <c r="AQ236" s="658" t="n"/>
      <c r="AR236" s="658" t="n"/>
      <c r="AS236" s="658" t="n"/>
      <c r="AT236" s="658" t="n"/>
      <c r="AU236" s="658" t="n"/>
      <c r="AV236" s="658" t="n"/>
    </row>
    <row r="237">
      <c r="D237" s="88" t="inlineStr">
        <is>
          <t>whichever applies.</t>
        </is>
      </c>
      <c r="M237" s="226" t="inlineStr">
        <is>
          <t>Manual</t>
        </is>
      </c>
      <c r="AA237" s="658" t="n"/>
      <c r="AB237" s="658" t="n"/>
      <c r="AC237" s="658" t="n"/>
      <c r="AD237" s="658" t="n"/>
      <c r="AE237" s="658" t="n"/>
      <c r="AF237" s="658" t="n"/>
      <c r="AG237" s="658" t="n"/>
      <c r="AH237" s="658" t="n"/>
      <c r="AI237" s="658" t="n"/>
      <c r="AJ237" s="658" t="n"/>
      <c r="AK237" s="658" t="n"/>
      <c r="AL237" s="658" t="n"/>
      <c r="AN237" s="670" t="n"/>
      <c r="AO237" s="670" t="n"/>
      <c r="AP237" s="658" t="n"/>
      <c r="AQ237" s="658" t="n"/>
      <c r="AR237" s="658" t="n"/>
      <c r="AS237" s="658" t="n"/>
      <c r="AT237" s="658" t="n"/>
      <c r="AU237" s="658" t="n"/>
      <c r="AV237" s="658" t="n"/>
    </row>
    <row r="238" ht="12.75" customHeight="1" s="7635" thickBot="1">
      <c r="M238" s="226" t="inlineStr">
        <is>
          <t>Override ê</t>
        </is>
      </c>
      <c r="AA238" s="658" t="n"/>
      <c r="AB238" s="658" t="n"/>
      <c r="AC238" s="658" t="n"/>
      <c r="AD238" s="658" t="n"/>
      <c r="AE238" s="658" t="n"/>
      <c r="AF238" s="658" t="n"/>
      <c r="AG238" s="658" t="n"/>
      <c r="AH238" s="658" t="n"/>
      <c r="AI238" s="658" t="n"/>
      <c r="AJ238" s="658" t="n"/>
      <c r="AK238" s="658" t="n"/>
      <c r="AL238" s="658" t="n"/>
      <c r="AN238" s="670" t="n"/>
      <c r="AO238" s="670" t="n"/>
      <c r="AP238" s="658" t="n"/>
      <c r="AQ238" s="658" t="n"/>
      <c r="AR238" s="658" t="n"/>
      <c r="AS238" s="658" t="n"/>
      <c r="AT238" s="658" t="n"/>
      <c r="AU238" s="658" t="n"/>
      <c r="AV238" s="658" t="n"/>
    </row>
    <row r="239" ht="13.5" customHeight="1" s="7635" thickBot="1">
      <c r="C239" s="220" t="inlineStr">
        <is>
          <t>1.</t>
        </is>
      </c>
      <c r="D239" s="11403" t="inlineStr">
        <is>
          <t>Enter the amount from Form 1040, line 1z</t>
        </is>
      </c>
      <c r="J239" s="220" t="inlineStr">
        <is>
          <t>1.</t>
        </is>
      </c>
      <c r="K239" s="7842">
        <f>IF(M239&lt;&gt;"",ROUND(M239,0),IF(G235,F1040_Line1z,""))</f>
        <v/>
      </c>
      <c r="M239" s="1465" t="n"/>
      <c r="AA239" s="658" t="n"/>
      <c r="AB239" s="658" t="n"/>
      <c r="AC239" s="658" t="n"/>
      <c r="AD239" s="658" t="n"/>
      <c r="AE239" s="658" t="n"/>
      <c r="AF239" s="658" t="n"/>
      <c r="AG239" s="658" t="n"/>
      <c r="AH239" s="658" t="n"/>
      <c r="AI239" s="658" t="n"/>
      <c r="AJ239" s="658" t="n"/>
      <c r="AK239" s="658" t="n"/>
      <c r="AL239" s="658" t="n"/>
      <c r="AN239" s="670" t="n"/>
      <c r="AO239" s="670" t="n">
        <v>65</v>
      </c>
      <c r="AP239" s="658" t="n"/>
      <c r="AQ239" s="658" t="n"/>
      <c r="AR239" s="658" t="n"/>
      <c r="AS239" s="658" t="n"/>
      <c r="AT239" s="658" t="n"/>
      <c r="AU239" s="658" t="n"/>
      <c r="AV239" s="658" t="n"/>
    </row>
    <row r="240">
      <c r="AA240" s="658" t="n"/>
      <c r="AB240" s="658" t="n"/>
      <c r="AC240" s="658" t="n"/>
      <c r="AD240" s="658" t="n"/>
      <c r="AE240" s="658" t="n"/>
      <c r="AF240" s="658" t="n"/>
      <c r="AG240" s="658" t="n"/>
      <c r="AH240" s="658" t="n"/>
      <c r="AI240" s="658" t="n"/>
      <c r="AJ240" s="658" t="n"/>
      <c r="AK240" s="658" t="n"/>
      <c r="AL240" s="658" t="n"/>
      <c r="AN240" s="670" t="n"/>
      <c r="AO240" s="670" t="n"/>
      <c r="AP240" s="658" t="n"/>
      <c r="AQ240" s="658" t="n"/>
      <c r="AR240" s="658" t="n"/>
      <c r="AS240" s="658" t="n"/>
      <c r="AT240" s="658" t="n"/>
      <c r="AU240" s="658" t="n"/>
      <c r="AV240" s="658" t="n"/>
    </row>
    <row r="241" customFormat="1" s="7847">
      <c r="A241" s="88" t="n"/>
      <c r="B241" s="228" t="n"/>
      <c r="C241" s="220" t="inlineStr">
        <is>
          <t>2.</t>
        </is>
      </c>
      <c r="D241" s="11403" t="inlineStr">
        <is>
          <t>Enter the Medicaid waiver payment amounts excluded</t>
        </is>
      </c>
      <c r="E241" s="88" t="n"/>
      <c r="F241" s="88" t="n"/>
      <c r="G241" s="88" t="n"/>
      <c r="H241" s="88" t="n"/>
      <c r="I241" s="88" t="n"/>
      <c r="J241" s="88" t="n"/>
      <c r="K241" s="88" t="n"/>
      <c r="L241" s="88" t="n"/>
      <c r="M241" s="88" t="n"/>
      <c r="O241" s="88" t="n"/>
      <c r="P241" s="88" t="n"/>
      <c r="Q241" s="88" t="n"/>
      <c r="R241" s="88" t="n"/>
      <c r="S241" s="88" t="n"/>
      <c r="T241" s="88" t="n"/>
      <c r="U241" s="88" t="n"/>
      <c r="V241" s="88" t="n"/>
      <c r="W241" s="88" t="n"/>
      <c r="X241" s="88" t="n"/>
      <c r="Y241" s="88" t="n"/>
      <c r="Z241" s="88" t="n"/>
      <c r="AA241" s="658" t="n"/>
      <c r="AB241" s="658" t="n"/>
      <c r="AC241" s="658" t="n"/>
      <c r="AD241" s="658" t="n"/>
      <c r="AE241" s="658" t="n"/>
      <c r="AF241" s="658" t="n"/>
      <c r="AG241" s="670" t="n"/>
      <c r="AH241" s="670" t="n"/>
      <c r="AI241" s="670" t="n"/>
      <c r="AJ241" s="670" t="n"/>
      <c r="AK241" s="670" t="n"/>
      <c r="AL241" s="670" t="n"/>
      <c r="AN241" s="670" t="n"/>
      <c r="AO241" s="670" t="n"/>
      <c r="AP241" s="658" t="n"/>
      <c r="AQ241" s="658" t="n"/>
      <c r="AR241" s="658" t="n"/>
      <c r="AS241" s="658" t="n"/>
      <c r="AT241" s="658" t="n"/>
      <c r="AU241" s="670" t="n"/>
      <c r="AV241" s="670" t="n"/>
    </row>
    <row r="242" customFormat="1" s="7847">
      <c r="A242" s="88" t="n"/>
      <c r="B242" s="228" t="n"/>
      <c r="C242" s="88" t="n"/>
      <c r="D242" s="11403" t="inlineStr">
        <is>
          <t xml:space="preserve">from income on  Schedule 1 (Form 1040), line 8s, </t>
        </is>
      </c>
      <c r="E242" s="88" t="n"/>
      <c r="F242" s="88" t="n"/>
      <c r="G242" s="88" t="n"/>
      <c r="H242" s="88" t="n"/>
      <c r="I242" s="88" t="n"/>
      <c r="J242" s="88" t="n"/>
      <c r="K242" s="88" t="n"/>
      <c r="L242" s="88" t="n"/>
      <c r="M242" s="88" t="n"/>
      <c r="O242" s="88" t="n"/>
      <c r="P242" s="88" t="n"/>
      <c r="Q242" s="88" t="n"/>
      <c r="R242" s="88" t="n"/>
      <c r="S242" s="88" t="n"/>
      <c r="T242" s="88" t="n"/>
      <c r="U242" s="88" t="n"/>
      <c r="V242" s="88" t="n"/>
      <c r="W242" s="88" t="n"/>
      <c r="X242" s="88" t="n"/>
      <c r="Y242" s="88" t="n"/>
      <c r="Z242" s="88" t="n"/>
      <c r="AA242" s="658" t="n"/>
      <c r="AB242" s="658" t="n"/>
      <c r="AC242" s="658" t="n"/>
      <c r="AD242" s="658" t="n"/>
      <c r="AE242" s="658" t="n"/>
      <c r="AF242" s="658" t="n"/>
      <c r="AG242" s="670" t="n"/>
      <c r="AH242" s="670" t="n"/>
      <c r="AI242" s="670" t="n"/>
      <c r="AJ242" s="670" t="n"/>
      <c r="AK242" s="670" t="n"/>
      <c r="AL242" s="670" t="n"/>
      <c r="AN242" s="670" t="n"/>
      <c r="AO242" s="670" t="n"/>
      <c r="AP242" s="658" t="n"/>
      <c r="AQ242" s="658" t="n"/>
      <c r="AR242" s="658" t="n"/>
      <c r="AS242" s="658" t="n"/>
      <c r="AT242" s="658" t="n"/>
      <c r="AU242" s="670" t="n"/>
      <c r="AV242" s="670" t="n"/>
    </row>
    <row r="243" customFormat="1" s="7847">
      <c r="A243" s="88" t="n"/>
      <c r="B243" s="228" t="n"/>
      <c r="C243" s="88" t="n"/>
      <c r="D243" s="11403" t="inlineStr">
        <is>
          <t>unless you choose to include these amounts in earned</t>
        </is>
      </c>
      <c r="E243" s="88" t="n"/>
      <c r="F243" s="88" t="n"/>
      <c r="G243" s="88" t="n"/>
      <c r="H243" s="88" t="n"/>
      <c r="I243" s="88" t="n"/>
      <c r="J243" s="88" t="n"/>
      <c r="K243" s="88" t="n"/>
      <c r="L243" s="88" t="n"/>
      <c r="M243" s="226" t="inlineStr">
        <is>
          <t>Manual</t>
        </is>
      </c>
      <c r="O243" s="88" t="n"/>
      <c r="P243" s="88" t="n"/>
      <c r="Q243" s="88" t="n"/>
      <c r="R243" s="88" t="n"/>
      <c r="S243" s="88" t="n"/>
      <c r="T243" s="88" t="n"/>
      <c r="U243" s="88" t="n"/>
      <c r="V243" s="88" t="n"/>
      <c r="W243" s="88" t="n"/>
      <c r="X243" s="88" t="n"/>
      <c r="Y243" s="88" t="n"/>
      <c r="Z243" s="88" t="n"/>
      <c r="AA243" s="658" t="n"/>
      <c r="AB243" s="658" t="n"/>
      <c r="AC243" s="658" t="n"/>
      <c r="AD243" s="658" t="n"/>
      <c r="AE243" s="658" t="n"/>
      <c r="AF243" s="658" t="n"/>
      <c r="AG243" s="670" t="n"/>
      <c r="AH243" s="670" t="n"/>
      <c r="AI243" s="670" t="n"/>
      <c r="AJ243" s="670" t="n"/>
      <c r="AK243" s="670" t="n"/>
      <c r="AL243" s="670" t="n"/>
      <c r="AN243" s="670" t="n"/>
      <c r="AO243" s="670" t="n"/>
      <c r="AP243" s="658" t="n"/>
      <c r="AQ243" s="658" t="n"/>
      <c r="AR243" s="658" t="n"/>
      <c r="AS243" s="658" t="n"/>
      <c r="AT243" s="658" t="n"/>
      <c r="AU243" s="670" t="n"/>
      <c r="AV243" s="670" t="n"/>
    </row>
    <row r="244" ht="13.5" customFormat="1" customHeight="1" s="7847" thickBot="1">
      <c r="A244" s="88" t="n"/>
      <c r="B244" s="228" t="n"/>
      <c r="C244" s="88" t="n"/>
      <c r="D244" s="11403" t="inlineStr">
        <is>
          <t>income, in which case enter -0-.</t>
        </is>
      </c>
      <c r="E244" s="88" t="n"/>
      <c r="F244" s="88" t="n"/>
      <c r="G244" s="88" t="n"/>
      <c r="H244" s="88" t="n"/>
      <c r="I244" s="88" t="n"/>
      <c r="J244" s="88" t="n"/>
      <c r="K244" s="88" t="n"/>
      <c r="L244" s="88" t="n"/>
      <c r="M244" s="226" t="inlineStr">
        <is>
          <t>Override ê</t>
        </is>
      </c>
      <c r="O244" s="88" t="n"/>
      <c r="P244" s="88" t="n"/>
      <c r="Q244" s="88" t="n"/>
      <c r="R244" s="88" t="n"/>
      <c r="S244" s="88" t="n"/>
      <c r="T244" s="88" t="n"/>
      <c r="U244" s="88" t="n"/>
      <c r="V244" s="88" t="n"/>
      <c r="W244" s="88" t="n"/>
      <c r="X244" s="88" t="n"/>
      <c r="Y244" s="88" t="n"/>
      <c r="Z244" s="88" t="n"/>
      <c r="AA244" s="658" t="n"/>
      <c r="AB244" s="658" t="n"/>
      <c r="AC244" s="658" t="n"/>
      <c r="AD244" s="658" t="n"/>
      <c r="AE244" s="658" t="n"/>
      <c r="AF244" s="658" t="n"/>
      <c r="AG244" s="670" t="n"/>
      <c r="AH244" s="670" t="n"/>
      <c r="AI244" s="670" t="n"/>
      <c r="AJ244" s="670" t="n"/>
      <c r="AK244" s="670" t="n"/>
      <c r="AL244" s="670" t="n"/>
      <c r="AN244" s="670" t="n"/>
      <c r="AO244" s="670" t="n"/>
      <c r="AP244" s="658" t="n"/>
      <c r="AQ244" s="658" t="n"/>
      <c r="AR244" s="658" t="n"/>
      <c r="AS244" s="658" t="n"/>
      <c r="AT244" s="658" t="n"/>
      <c r="AU244" s="670" t="n"/>
      <c r="AV244" s="670" t="n"/>
    </row>
    <row r="245" ht="13.5" customFormat="1" customHeight="1" s="7847" thickBot="1">
      <c r="A245" s="88" t="n"/>
      <c r="B245" s="228" t="n"/>
      <c r="C245" s="88" t="n"/>
      <c r="D245" s="11403" t="inlineStr">
        <is>
          <t>See the instructions for Schedule 1, line 8s.</t>
        </is>
      </c>
      <c r="E245" s="88" t="n"/>
      <c r="F245" s="88" t="n"/>
      <c r="G245" s="88" t="n"/>
      <c r="H245" s="88" t="n"/>
      <c r="I245" s="88" t="n"/>
      <c r="J245" s="220" t="inlineStr">
        <is>
          <t>2.</t>
        </is>
      </c>
      <c r="K245" s="7842">
        <f>IF(M245&lt;&gt;"",ROUND(M245,0),IF(G235,ROUND(Sch1_Line8s,0),""))</f>
        <v/>
      </c>
      <c r="L245" s="88" t="n"/>
      <c r="M245" s="1465" t="n"/>
      <c r="O245" s="88" t="n"/>
      <c r="P245" s="88" t="n"/>
      <c r="Q245" s="88" t="n"/>
      <c r="R245" s="88" t="n"/>
      <c r="S245" s="88" t="n"/>
      <c r="T245" s="88" t="n"/>
      <c r="U245" s="88" t="n"/>
      <c r="V245" s="88" t="n"/>
      <c r="W245" s="88" t="n"/>
      <c r="X245" s="88" t="n"/>
      <c r="Y245" s="88" t="n"/>
      <c r="Z245" s="88" t="n"/>
      <c r="AA245" s="658" t="n"/>
      <c r="AB245" s="658" t="n"/>
      <c r="AC245" s="658" t="n"/>
      <c r="AD245" s="658" t="n"/>
      <c r="AE245" s="658" t="n"/>
      <c r="AF245" s="658" t="n"/>
      <c r="AG245" s="670" t="n"/>
      <c r="AH245" s="670" t="n"/>
      <c r="AI245" s="670" t="n"/>
      <c r="AJ245" s="670" t="n"/>
      <c r="AK245" s="670" t="n"/>
      <c r="AL245" s="670" t="n"/>
      <c r="AN245" s="673" t="n"/>
      <c r="AO245" s="670" t="n"/>
      <c r="AP245" s="658" t="n"/>
      <c r="AQ245" s="658" t="n"/>
      <c r="AR245" s="658" t="n"/>
      <c r="AS245" s="658" t="n"/>
      <c r="AT245" s="658" t="n"/>
      <c r="AU245" s="670" t="n"/>
      <c r="AV245" s="670" t="n"/>
    </row>
    <row r="246" customFormat="1" s="7847">
      <c r="A246" s="88" t="n"/>
      <c r="B246" s="228" t="n"/>
      <c r="C246" s="88" t="n"/>
      <c r="D246" s="11403" t="n"/>
      <c r="E246" s="88" t="n"/>
      <c r="F246" s="88" t="n"/>
      <c r="G246" s="88" t="n"/>
      <c r="H246" s="88" t="n"/>
      <c r="I246" s="88" t="n"/>
      <c r="J246" s="88" t="n"/>
      <c r="K246" s="88" t="n"/>
      <c r="L246" s="88" t="n"/>
      <c r="M246" s="1067" t="n"/>
      <c r="O246" s="88" t="n"/>
      <c r="P246" s="88" t="n"/>
      <c r="Q246" s="88" t="n"/>
      <c r="R246" s="88" t="n"/>
      <c r="S246" s="88" t="n"/>
      <c r="T246" s="88" t="n"/>
      <c r="U246" s="88" t="n"/>
      <c r="V246" s="88" t="n"/>
      <c r="W246" s="88" t="n"/>
      <c r="X246" s="88" t="n"/>
      <c r="Y246" s="88" t="n"/>
      <c r="Z246" s="88" t="n"/>
      <c r="AA246" s="658" t="n"/>
      <c r="AB246" s="658" t="n"/>
      <c r="AC246" s="658" t="n"/>
      <c r="AD246" s="658" t="n"/>
      <c r="AE246" s="658" t="n"/>
      <c r="AF246" s="658" t="n"/>
      <c r="AG246" s="670" t="n"/>
      <c r="AH246" s="670" t="n"/>
      <c r="AI246" s="670" t="n"/>
      <c r="AJ246" s="670" t="n"/>
      <c r="AK246" s="670" t="n"/>
      <c r="AL246" s="670" t="n"/>
      <c r="AN246" s="673" t="n"/>
      <c r="AO246" s="670" t="n"/>
      <c r="AP246" s="658" t="n"/>
      <c r="AQ246" s="658" t="n"/>
      <c r="AR246" s="658" t="n"/>
      <c r="AS246" s="658" t="n"/>
      <c r="AT246" s="658" t="n"/>
      <c r="AU246" s="670" t="n"/>
      <c r="AV246" s="670" t="n"/>
    </row>
    <row r="247" ht="11.25" customFormat="1" customHeight="1" s="7847">
      <c r="A247" s="88" t="n"/>
      <c r="B247" s="8024" t="inlineStr">
        <is>
          <t>If you and your spouse both received Medicaid waiver payments during the year, you and your spouse can make different choices about including the full amount of your payments in earned income. Enter only the amount of Medicaid waiver payments that you or your spouse, if filing a joint return, do not want to include in earned income. To include all nontaxable Medicaid waiver payment amounts in earned income, enter -0-.</t>
        </is>
      </c>
      <c r="J247" s="88" t="n"/>
      <c r="K247" s="88" t="n"/>
      <c r="L247" s="88" t="n"/>
      <c r="M247" s="1067" t="n"/>
      <c r="O247" s="88" t="n"/>
      <c r="P247" s="88" t="n"/>
      <c r="Q247" s="88" t="n"/>
      <c r="R247" s="88" t="n"/>
      <c r="S247" s="88" t="n"/>
      <c r="T247" s="88" t="n"/>
      <c r="U247" s="88" t="n"/>
      <c r="V247" s="88" t="n"/>
      <c r="W247" s="88" t="n"/>
      <c r="X247" s="88" t="n"/>
      <c r="Y247" s="88" t="n"/>
      <c r="Z247" s="88" t="n"/>
      <c r="AA247" s="658" t="n"/>
      <c r="AB247" s="658" t="n"/>
      <c r="AC247" s="658" t="n"/>
      <c r="AD247" s="658" t="n"/>
      <c r="AE247" s="658" t="n"/>
      <c r="AF247" s="658" t="n"/>
      <c r="AG247" s="670" t="n"/>
      <c r="AH247" s="670" t="n"/>
      <c r="AI247" s="670" t="n"/>
      <c r="AJ247" s="670" t="n"/>
      <c r="AK247" s="670" t="n"/>
      <c r="AL247" s="670" t="n"/>
      <c r="AN247" s="673" t="n"/>
      <c r="AO247" s="670" t="n"/>
      <c r="AP247" s="658" t="n"/>
      <c r="AQ247" s="658" t="n"/>
      <c r="AR247" s="658" t="n"/>
      <c r="AS247" s="658" t="n"/>
      <c r="AT247" s="658" t="n"/>
      <c r="AU247" s="670" t="n"/>
      <c r="AV247" s="670" t="n"/>
    </row>
    <row r="248" ht="15.75" customFormat="1" customHeight="1" s="7847">
      <c r="A248" s="88" t="n"/>
      <c r="J248" s="88" t="n"/>
      <c r="K248" s="88" t="n"/>
      <c r="L248" s="88" t="n"/>
      <c r="M248" s="1067" t="n"/>
      <c r="O248" s="88" t="n"/>
      <c r="P248" s="88" t="n"/>
      <c r="Q248" s="88" t="n"/>
      <c r="R248" s="88" t="n"/>
      <c r="S248" s="88" t="n"/>
      <c r="T248" s="88" t="n"/>
      <c r="U248" s="88" t="n"/>
      <c r="V248" s="88" t="n"/>
      <c r="W248" s="88" t="n"/>
      <c r="X248" s="88" t="n"/>
      <c r="Y248" s="88" t="n"/>
      <c r="Z248" s="88" t="n"/>
      <c r="AA248" s="658" t="n"/>
      <c r="AB248" s="658" t="n"/>
      <c r="AC248" s="658" t="n"/>
      <c r="AD248" s="658" t="n"/>
      <c r="AE248" s="658" t="n"/>
      <c r="AF248" s="658" t="n"/>
      <c r="AG248" s="670" t="n"/>
      <c r="AH248" s="670" t="n"/>
      <c r="AI248" s="670" t="n"/>
      <c r="AJ248" s="670" t="n"/>
      <c r="AK248" s="670" t="n"/>
      <c r="AL248" s="670" t="n"/>
      <c r="AN248" s="673" t="n"/>
      <c r="AO248" s="670" t="n"/>
      <c r="AP248" s="658" t="n"/>
      <c r="AQ248" s="658" t="n"/>
      <c r="AR248" s="658" t="n"/>
      <c r="AS248" s="658" t="n"/>
      <c r="AT248" s="658" t="n"/>
      <c r="AU248" s="670" t="n"/>
      <c r="AV248" s="670" t="n"/>
    </row>
    <row r="249" ht="15.75" customFormat="1" customHeight="1" s="7847">
      <c r="A249" s="88" t="n"/>
      <c r="J249" s="88" t="n"/>
      <c r="K249" s="88" t="n"/>
      <c r="L249" s="88" t="n"/>
      <c r="M249" s="1067" t="n"/>
      <c r="O249" s="88" t="n"/>
      <c r="P249" s="88" t="n"/>
      <c r="Q249" s="88" t="n"/>
      <c r="R249" s="88" t="n"/>
      <c r="S249" s="88" t="n"/>
      <c r="T249" s="88" t="n"/>
      <c r="U249" s="88" t="n"/>
      <c r="V249" s="88" t="n"/>
      <c r="W249" s="88" t="n"/>
      <c r="X249" s="88" t="n"/>
      <c r="Y249" s="88" t="n"/>
      <c r="Z249" s="88" t="n"/>
      <c r="AA249" s="658" t="n"/>
      <c r="AB249" s="658" t="n"/>
      <c r="AC249" s="658" t="n"/>
      <c r="AD249" s="658" t="n"/>
      <c r="AE249" s="658" t="n"/>
      <c r="AF249" s="658" t="n"/>
      <c r="AG249" s="670" t="n"/>
      <c r="AH249" s="670" t="n"/>
      <c r="AI249" s="670" t="n"/>
      <c r="AJ249" s="670" t="n"/>
      <c r="AK249" s="670" t="n"/>
      <c r="AL249" s="670" t="n"/>
      <c r="AN249" s="673" t="n"/>
      <c r="AO249" s="670" t="n"/>
      <c r="AP249" s="658" t="n"/>
      <c r="AQ249" s="658" t="n"/>
      <c r="AR249" s="658" t="n"/>
      <c r="AS249" s="658" t="n"/>
      <c r="AT249" s="658" t="n"/>
      <c r="AU249" s="670" t="n"/>
      <c r="AV249" s="670" t="n"/>
    </row>
    <row r="250" ht="15.75" customFormat="1" customHeight="1" s="7847">
      <c r="A250" s="88" t="n"/>
      <c r="J250" s="88" t="n"/>
      <c r="K250" s="88" t="n"/>
      <c r="L250" s="88" t="n"/>
      <c r="M250" s="1067" t="n"/>
      <c r="O250" s="88" t="n"/>
      <c r="P250" s="88" t="n"/>
      <c r="Q250" s="88" t="n"/>
      <c r="R250" s="88" t="n"/>
      <c r="S250" s="88" t="n"/>
      <c r="T250" s="88" t="n"/>
      <c r="U250" s="88" t="n"/>
      <c r="V250" s="88" t="n"/>
      <c r="W250" s="88" t="n"/>
      <c r="X250" s="88" t="n"/>
      <c r="Y250" s="88" t="n"/>
      <c r="Z250" s="88" t="n"/>
      <c r="AA250" s="658" t="n"/>
      <c r="AB250" s="658" t="n"/>
      <c r="AC250" s="658" t="n"/>
      <c r="AD250" s="658" t="n"/>
      <c r="AE250" s="658" t="n"/>
      <c r="AF250" s="658" t="n"/>
      <c r="AG250" s="670" t="n"/>
      <c r="AH250" s="670" t="n"/>
      <c r="AI250" s="670" t="n"/>
      <c r="AJ250" s="670" t="n"/>
      <c r="AK250" s="670" t="n"/>
      <c r="AL250" s="670" t="n"/>
      <c r="AN250" s="673" t="n"/>
      <c r="AO250" s="670" t="n"/>
      <c r="AP250" s="658" t="n"/>
      <c r="AQ250" s="658" t="n"/>
      <c r="AR250" s="658" t="n"/>
      <c r="AS250" s="658" t="n"/>
      <c r="AT250" s="658" t="n"/>
      <c r="AU250" s="670" t="n"/>
      <c r="AV250" s="670" t="n"/>
    </row>
    <row r="251" ht="15.75" customFormat="1" customHeight="1" s="7847">
      <c r="A251" s="88" t="n"/>
      <c r="J251" s="88" t="n"/>
      <c r="K251" s="88" t="n"/>
      <c r="L251" s="88" t="n"/>
      <c r="M251" s="1067" t="n"/>
      <c r="O251" s="88" t="n"/>
      <c r="P251" s="88" t="n"/>
      <c r="Q251" s="88" t="n"/>
      <c r="R251" s="88" t="n"/>
      <c r="S251" s="88" t="n"/>
      <c r="T251" s="88" t="n"/>
      <c r="U251" s="88" t="n"/>
      <c r="V251" s="88" t="n"/>
      <c r="W251" s="88" t="n"/>
      <c r="X251" s="88" t="n"/>
      <c r="Y251" s="88" t="n"/>
      <c r="Z251" s="88" t="n"/>
      <c r="AA251" s="658" t="n"/>
      <c r="AB251" s="658" t="n"/>
      <c r="AC251" s="658" t="n"/>
      <c r="AD251" s="658" t="n"/>
      <c r="AE251" s="658" t="n"/>
      <c r="AF251" s="658" t="n"/>
      <c r="AG251" s="670" t="n"/>
      <c r="AH251" s="670" t="n"/>
      <c r="AI251" s="670" t="n"/>
      <c r="AJ251" s="670" t="n"/>
      <c r="AK251" s="670" t="n"/>
      <c r="AL251" s="670" t="n"/>
      <c r="AN251" s="673" t="n"/>
      <c r="AO251" s="670" t="n"/>
      <c r="AP251" s="658" t="n"/>
      <c r="AQ251" s="658" t="n"/>
      <c r="AR251" s="658" t="n"/>
      <c r="AS251" s="658" t="n"/>
      <c r="AT251" s="658" t="n"/>
      <c r="AU251" s="670" t="n"/>
      <c r="AV251" s="670" t="n"/>
    </row>
    <row r="252" ht="15.75" customHeight="1" s="7635">
      <c r="AA252" s="658" t="n"/>
      <c r="AB252" s="658" t="n"/>
      <c r="AC252" s="658" t="n"/>
      <c r="AD252" s="658" t="n"/>
      <c r="AE252" s="658" t="n"/>
      <c r="AF252" s="658" t="n"/>
      <c r="AG252" s="658" t="n"/>
      <c r="AH252" s="658" t="n"/>
      <c r="AI252" s="658" t="n"/>
      <c r="AJ252" s="658" t="n"/>
      <c r="AK252" s="658" t="n"/>
      <c r="AL252" s="658" t="n"/>
      <c r="AN252" s="670" t="n"/>
      <c r="AO252" s="670" t="n"/>
      <c r="AP252" s="658" t="n"/>
      <c r="AQ252" s="658" t="n"/>
      <c r="AR252" s="658" t="n"/>
      <c r="AS252" s="658" t="n"/>
      <c r="AT252" s="658" t="n"/>
      <c r="AU252" s="658" t="n"/>
      <c r="AV252" s="658" t="n"/>
    </row>
    <row r="253" ht="15.75" customHeight="1" s="7635">
      <c r="B253" s="8024" t="n"/>
      <c r="C253" s="8024" t="n"/>
      <c r="D253" s="8024" t="n"/>
      <c r="E253" s="8024" t="n"/>
      <c r="F253" s="8024" t="n"/>
      <c r="G253" s="8024" t="n"/>
      <c r="H253" s="8024" t="n"/>
      <c r="I253" s="8024" t="n"/>
      <c r="AA253" s="658" t="n"/>
      <c r="AB253" s="658" t="n"/>
      <c r="AC253" s="658" t="n"/>
      <c r="AD253" s="658" t="n"/>
      <c r="AE253" s="658" t="n"/>
      <c r="AF253" s="658" t="n"/>
      <c r="AG253" s="658" t="n"/>
      <c r="AH253" s="658" t="n"/>
      <c r="AI253" s="658" t="n"/>
      <c r="AJ253" s="658" t="n"/>
      <c r="AK253" s="658" t="n"/>
      <c r="AL253" s="658" t="n"/>
      <c r="AN253" s="670" t="n"/>
      <c r="AO253" s="670" t="n"/>
      <c r="AP253" s="658" t="n"/>
      <c r="AQ253" s="658" t="n"/>
      <c r="AR253" s="658" t="n"/>
      <c r="AS253" s="658" t="n"/>
      <c r="AT253" s="658" t="n"/>
      <c r="AU253" s="658" t="n"/>
      <c r="AV253" s="658" t="n"/>
    </row>
    <row r="254">
      <c r="C254" s="220" t="inlineStr">
        <is>
          <t>3.</t>
        </is>
      </c>
      <c r="D254" s="11403" t="inlineStr">
        <is>
          <t>Subtract line 2 from line 1</t>
        </is>
      </c>
      <c r="J254" s="220" t="inlineStr">
        <is>
          <t>3.</t>
        </is>
      </c>
      <c r="K254" s="7842">
        <f>IF(G235,SUM(K239,-K245),"")</f>
        <v/>
      </c>
      <c r="AA254" s="658" t="n"/>
      <c r="AB254" s="658" t="n"/>
      <c r="AC254" s="658" t="n"/>
      <c r="AD254" s="658" t="n"/>
      <c r="AE254" s="658" t="n"/>
      <c r="AF254" s="658" t="n"/>
      <c r="AG254" s="658" t="n"/>
      <c r="AH254" s="658" t="n"/>
      <c r="AI254" s="658" t="n"/>
      <c r="AJ254" s="658" t="n"/>
      <c r="AK254" s="658" t="n"/>
      <c r="AL254" s="658" t="n"/>
      <c r="AN254" s="670" t="n"/>
      <c r="AO254" s="670" t="n"/>
      <c r="AP254" s="658" t="n"/>
      <c r="AQ254" s="658" t="n"/>
      <c r="AR254" s="658" t="n"/>
      <c r="AS254" s="658" t="n"/>
      <c r="AT254" s="658" t="n"/>
      <c r="AU254" s="658" t="n"/>
      <c r="AV254" s="658" t="n"/>
    </row>
    <row r="255">
      <c r="AA255" s="658" t="n"/>
      <c r="AB255" s="658" t="n"/>
      <c r="AC255" s="658" t="n"/>
      <c r="AD255" s="658" t="n"/>
      <c r="AE255" s="658" t="n"/>
      <c r="AF255" s="658" t="n"/>
      <c r="AG255" s="658" t="n"/>
      <c r="AH255" s="658" t="n"/>
      <c r="AI255" s="658" t="n"/>
      <c r="AJ255" s="658" t="n"/>
      <c r="AK255" s="658" t="n"/>
      <c r="AL255" s="658" t="n"/>
      <c r="AN255" s="670" t="n"/>
      <c r="AO255" s="670" t="n"/>
      <c r="AP255" s="658" t="n"/>
      <c r="AQ255" s="658" t="n"/>
      <c r="AR255" s="658" t="n"/>
      <c r="AS255" s="658" t="n"/>
      <c r="AT255" s="658" t="n"/>
      <c r="AU255" s="658" t="n"/>
      <c r="AV255" s="658" t="n"/>
    </row>
    <row r="256">
      <c r="C256" s="220" t="inlineStr">
        <is>
          <t>4.</t>
        </is>
      </c>
      <c r="D256" s="88" t="inlineStr">
        <is>
          <t>Enter all of your nontaxable combat pay if you</t>
        </is>
      </c>
      <c r="AA256" s="658" t="n"/>
      <c r="AB256" s="658" t="n"/>
      <c r="AC256" s="658" t="n"/>
      <c r="AD256" s="658" t="n"/>
      <c r="AE256" s="658" t="n"/>
      <c r="AF256" s="658" t="n"/>
      <c r="AG256" s="658" t="n"/>
      <c r="AH256" s="658" t="n"/>
      <c r="AI256" s="658" t="n"/>
      <c r="AJ256" s="658" t="n"/>
      <c r="AK256" s="658" t="n"/>
      <c r="AL256" s="658" t="n"/>
      <c r="AN256" s="670" t="n"/>
      <c r="AO256" s="670" t="n"/>
      <c r="AP256" s="658" t="n"/>
      <c r="AQ256" s="658" t="n"/>
      <c r="AR256" s="658" t="n"/>
      <c r="AS256" s="658" t="n"/>
      <c r="AT256" s="658" t="n"/>
      <c r="AU256" s="658" t="n"/>
      <c r="AV256" s="658" t="n"/>
    </row>
    <row r="257">
      <c r="D257" s="88" t="inlineStr">
        <is>
          <t>elect to include it in earned income. Also enter</t>
        </is>
      </c>
      <c r="AA257" s="658" t="n"/>
      <c r="AB257" s="658" t="n"/>
      <c r="AC257" s="658" t="n"/>
      <c r="AD257" s="658" t="n"/>
      <c r="AE257" s="658" t="n"/>
      <c r="AF257" s="658" t="n"/>
      <c r="AG257" s="658" t="n"/>
      <c r="AH257" s="658" t="n"/>
      <c r="AI257" s="658" t="n"/>
      <c r="AJ257" s="658" t="n"/>
      <c r="AK257" s="658" t="n"/>
      <c r="AL257" s="658" t="n"/>
      <c r="AN257" s="670" t="n"/>
      <c r="AO257" s="670" t="n"/>
      <c r="AP257" s="658" t="n"/>
      <c r="AQ257" s="658" t="n"/>
      <c r="AR257" s="658" t="n"/>
      <c r="AS257" s="658" t="n"/>
      <c r="AT257" s="658" t="n"/>
      <c r="AU257" s="658" t="n"/>
      <c r="AV257" s="658" t="n"/>
    </row>
    <row r="258">
      <c r="D258" s="11403" t="inlineStr">
        <is>
          <t>the amount of your nontaxable combat pay</t>
        </is>
      </c>
      <c r="AA258" s="658" t="n"/>
      <c r="AB258" s="658" t="n"/>
      <c r="AC258" s="658" t="n"/>
      <c r="AD258" s="658" t="n"/>
      <c r="AE258" s="658" t="n"/>
      <c r="AF258" s="658" t="n"/>
      <c r="AG258" s="658" t="n"/>
      <c r="AH258" s="658" t="n"/>
      <c r="AI258" s="658" t="n"/>
      <c r="AJ258" s="658" t="n"/>
      <c r="AK258" s="658" t="n"/>
      <c r="AL258" s="658" t="n"/>
      <c r="AN258" s="670" t="n"/>
      <c r="AO258" s="670" t="n"/>
      <c r="AP258" s="658" t="n"/>
      <c r="AQ258" s="658" t="n"/>
      <c r="AR258" s="658" t="n"/>
      <c r="AS258" s="658" t="n"/>
      <c r="AT258" s="658" t="n"/>
      <c r="AU258" s="658" t="n"/>
      <c r="AV258" s="658" t="n"/>
    </row>
    <row r="259">
      <c r="D259" s="11403" t="inlineStr">
        <is>
          <t>on line 1i of Form 1040 or 1040-SR.</t>
        </is>
      </c>
      <c r="M259" s="226" t="inlineStr">
        <is>
          <t>Manual</t>
        </is>
      </c>
      <c r="AA259" s="658" t="n"/>
      <c r="AB259" s="658" t="n"/>
      <c r="AC259" s="658" t="n"/>
      <c r="AD259" s="658" t="n"/>
      <c r="AE259" s="658" t="n"/>
      <c r="AF259" s="658" t="n"/>
      <c r="AG259" s="658" t="n"/>
      <c r="AH259" s="658" t="n"/>
      <c r="AI259" s="658" t="n"/>
      <c r="AJ259" s="658" t="n"/>
      <c r="AK259" s="658" t="n"/>
      <c r="AL259" s="658" t="n"/>
      <c r="AN259" s="670" t="n"/>
      <c r="AO259" s="670" t="n"/>
      <c r="AP259" s="658" t="n"/>
      <c r="AQ259" s="658" t="n"/>
      <c r="AR259" s="658" t="n"/>
      <c r="AS259" s="658" t="n"/>
      <c r="AT259" s="658" t="n"/>
      <c r="AU259" s="658" t="n"/>
      <c r="AV259" s="658" t="n"/>
    </row>
    <row r="260" ht="13.5" customHeight="1" s="7635" thickBot="1">
      <c r="D260" s="11403" t="n"/>
      <c r="M260" s="226" t="inlineStr">
        <is>
          <t>Override ê</t>
        </is>
      </c>
      <c r="O260" s="11403" t="inlineStr">
        <is>
          <t>Sources:</t>
        </is>
      </c>
      <c r="AA260" s="658" t="n"/>
      <c r="AB260" s="658" t="n"/>
      <c r="AC260" s="658" t="n"/>
      <c r="AD260" s="658" t="n"/>
      <c r="AE260" s="658" t="n"/>
      <c r="AF260" s="658" t="n"/>
      <c r="AG260" s="658" t="n"/>
      <c r="AH260" s="658" t="n"/>
      <c r="AI260" s="658" t="n"/>
      <c r="AJ260" s="658" t="n"/>
      <c r="AK260" s="658" t="n"/>
      <c r="AL260" s="658" t="n"/>
      <c r="AN260" s="670" t="n"/>
      <c r="AO260" s="670" t="n"/>
      <c r="AP260" s="658" t="n"/>
      <c r="AQ260" s="658" t="n"/>
      <c r="AR260" s="658" t="n"/>
      <c r="AS260" s="658" t="n"/>
      <c r="AT260" s="658" t="n"/>
      <c r="AU260" s="658" t="n"/>
      <c r="AV260" s="658" t="n"/>
    </row>
    <row r="261" ht="13.5" customHeight="1" s="7635" thickBot="1">
      <c r="D261" s="11403" t="inlineStr">
        <is>
          <t>See Combat pay, nontaxable, later</t>
        </is>
      </c>
      <c r="J261" s="220" t="inlineStr">
        <is>
          <t>4.</t>
        </is>
      </c>
      <c r="K261" s="7842">
        <f>IF(M261&lt;&gt;"",ROUND(M261,0),CombatPayNoTax)</f>
        <v/>
      </c>
      <c r="M261" s="1465" t="n"/>
      <c r="O261" s="11403" t="inlineStr">
        <is>
          <t>W-2, line 12a, Code 12Q</t>
        </is>
      </c>
      <c r="AA261" s="658" t="n"/>
      <c r="AB261" s="658" t="n"/>
      <c r="AC261" s="658" t="n"/>
      <c r="AD261" s="658" t="n"/>
      <c r="AE261" s="658" t="n"/>
      <c r="AF261" s="658" t="n"/>
      <c r="AG261" s="658" t="n"/>
      <c r="AH261" s="658" t="n"/>
      <c r="AI261" s="658" t="n"/>
      <c r="AJ261" s="658" t="n"/>
      <c r="AK261" s="658" t="n"/>
      <c r="AL261" s="658" t="n"/>
      <c r="AN261" s="670" t="n"/>
      <c r="AO261" s="670" t="n"/>
      <c r="AP261" s="658" t="n"/>
      <c r="AQ261" s="658" t="n"/>
      <c r="AR261" s="658" t="n"/>
      <c r="AS261" s="658" t="n"/>
      <c r="AT261" s="658" t="n"/>
      <c r="AU261" s="658" t="n"/>
      <c r="AV261" s="658" t="n"/>
    </row>
    <row r="262" ht="15" customHeight="1" s="7635">
      <c r="D262" s="11403" t="n"/>
      <c r="J262" s="220" t="n"/>
      <c r="O262" s="11403" t="inlineStr">
        <is>
          <t>Form 1040, line 1i</t>
        </is>
      </c>
      <c r="AA262" s="658" t="n"/>
      <c r="AB262" s="658" t="n"/>
      <c r="AC262" s="658" t="n"/>
      <c r="AD262" s="658" t="n"/>
      <c r="AE262" s="658" t="n"/>
      <c r="AF262" s="658" t="n"/>
      <c r="AG262" s="658" t="n"/>
      <c r="AH262" s="658" t="n"/>
      <c r="AI262" s="658" t="n"/>
      <c r="AJ262" s="658" t="n"/>
      <c r="AK262" s="658" t="n"/>
      <c r="AL262" s="658" t="n"/>
      <c r="AN262" s="670" t="n"/>
      <c r="AO262" s="670" t="n"/>
      <c r="AP262" s="658" t="n"/>
      <c r="AQ262" s="658" t="n"/>
      <c r="AR262" s="658" t="n"/>
      <c r="AS262" s="658" t="n"/>
      <c r="AT262" s="658" t="n"/>
      <c r="AU262" s="658" t="n"/>
      <c r="AV262" s="658" t="n"/>
    </row>
    <row r="263">
      <c r="D263" s="11403" t="n"/>
      <c r="J263" s="220" t="n"/>
      <c r="AA263" s="658" t="n"/>
      <c r="AB263" s="658" t="n"/>
      <c r="AC263" s="658" t="n"/>
      <c r="AD263" s="658" t="n"/>
      <c r="AE263" s="658" t="n"/>
      <c r="AF263" s="658" t="n"/>
      <c r="AG263" s="658" t="n"/>
      <c r="AH263" s="658" t="n"/>
      <c r="AI263" s="658" t="n"/>
      <c r="AJ263" s="658" t="n"/>
      <c r="AK263" s="658" t="n"/>
      <c r="AL263" s="658" t="n"/>
      <c r="AN263" s="670" t="n"/>
      <c r="AO263" s="670" t="n"/>
      <c r="AP263" s="658" t="n"/>
      <c r="AQ263" s="658" t="n"/>
      <c r="AR263" s="658" t="n"/>
      <c r="AS263" s="658" t="n"/>
      <c r="AT263" s="658" t="n"/>
      <c r="AU263" s="658" t="n"/>
      <c r="AV263" s="658" t="n"/>
    </row>
    <row r="264">
      <c r="D264" s="2669" t="inlineStr">
        <is>
          <t>Electing to include nontaxable combat</t>
        </is>
      </c>
      <c r="E264" s="2669" t="n"/>
      <c r="J264" s="220" t="n"/>
      <c r="AA264" s="658" t="n"/>
      <c r="AB264" s="658" t="n"/>
      <c r="AC264" s="658" t="n"/>
      <c r="AD264" s="658" t="n"/>
      <c r="AE264" s="658" t="n"/>
      <c r="AF264" s="658" t="n"/>
      <c r="AG264" s="658" t="n"/>
      <c r="AH264" s="658" t="n"/>
      <c r="AI264" s="658" t="n"/>
      <c r="AJ264" s="658" t="n"/>
      <c r="AK264" s="658" t="n"/>
      <c r="AL264" s="658" t="n"/>
      <c r="AN264" s="670" t="n"/>
      <c r="AO264" s="670" t="n"/>
      <c r="AP264" s="658" t="n"/>
      <c r="AQ264" s="658" t="n"/>
      <c r="AR264" s="658" t="n"/>
      <c r="AS264" s="658" t="n"/>
      <c r="AT264" s="658" t="n"/>
      <c r="AU264" s="658" t="n"/>
      <c r="AV264" s="658" t="n"/>
    </row>
    <row r="265">
      <c r="D265" s="2669" t="inlineStr">
        <is>
          <t>pay may increase or decrease your EIC. Figure</t>
        </is>
      </c>
      <c r="J265" s="220" t="n"/>
      <c r="AA265" s="658" t="n"/>
      <c r="AB265" s="658" t="n"/>
      <c r="AC265" s="658" t="n"/>
      <c r="AD265" s="658" t="n"/>
      <c r="AE265" s="658" t="n"/>
      <c r="AF265" s="658" t="n"/>
      <c r="AG265" s="658" t="n"/>
      <c r="AH265" s="658" t="n"/>
      <c r="AI265" s="658" t="n"/>
      <c r="AJ265" s="658" t="n"/>
      <c r="AK265" s="658" t="n"/>
      <c r="AL265" s="658" t="n"/>
      <c r="AN265" s="670" t="n"/>
      <c r="AO265" s="670" t="n"/>
      <c r="AP265" s="658" t="n"/>
      <c r="AQ265" s="658" t="n"/>
      <c r="AR265" s="658" t="n"/>
      <c r="AS265" s="658" t="n"/>
      <c r="AT265" s="658" t="n"/>
      <c r="AU265" s="658" t="n"/>
      <c r="AV265" s="658" t="n"/>
    </row>
    <row r="266">
      <c r="D266" s="2669" t="inlineStr">
        <is>
          <t>the credit with and without your nontaxable</t>
        </is>
      </c>
      <c r="J266" s="220" t="n"/>
      <c r="AA266" s="658" t="n"/>
      <c r="AB266" s="658" t="n"/>
      <c r="AC266" s="658" t="n"/>
      <c r="AD266" s="658" t="n"/>
      <c r="AE266" s="658" t="n"/>
      <c r="AF266" s="658" t="n"/>
      <c r="AG266" s="658" t="n"/>
      <c r="AH266" s="658" t="n"/>
      <c r="AI266" s="658" t="n"/>
      <c r="AJ266" s="658" t="n"/>
      <c r="AK266" s="658" t="n"/>
      <c r="AL266" s="658" t="n"/>
      <c r="AN266" s="670" t="n"/>
      <c r="AO266" s="670" t="n"/>
      <c r="AP266" s="658" t="n"/>
      <c r="AQ266" s="658" t="n"/>
      <c r="AR266" s="658" t="n"/>
      <c r="AS266" s="658" t="n"/>
      <c r="AT266" s="658" t="n"/>
      <c r="AU266" s="658" t="n"/>
      <c r="AV266" s="658" t="n"/>
    </row>
    <row r="267">
      <c r="D267" s="2669" t="inlineStr">
        <is>
          <t>combat pay before making the election.</t>
        </is>
      </c>
      <c r="J267" s="220" t="n"/>
      <c r="AA267" s="658" t="n"/>
      <c r="AB267" s="658" t="n"/>
      <c r="AC267" s="658" t="n"/>
      <c r="AD267" s="658" t="n"/>
      <c r="AE267" s="658" t="n"/>
      <c r="AF267" s="658" t="n"/>
      <c r="AG267" s="658" t="n"/>
      <c r="AH267" s="658" t="n"/>
      <c r="AI267" s="658" t="n"/>
      <c r="AJ267" s="658" t="n"/>
      <c r="AK267" s="658" t="n"/>
      <c r="AL267" s="658" t="n"/>
      <c r="AN267" s="670" t="n"/>
      <c r="AO267" s="670" t="n"/>
      <c r="AP267" s="658" t="n"/>
      <c r="AQ267" s="658" t="n"/>
      <c r="AR267" s="658" t="n"/>
      <c r="AS267" s="658" t="n"/>
      <c r="AT267" s="658" t="n"/>
      <c r="AU267" s="658" t="n"/>
      <c r="AV267" s="658" t="n"/>
    </row>
    <row r="268">
      <c r="D268" s="2669" t="n"/>
      <c r="J268" s="220" t="n"/>
      <c r="M268" s="226" t="inlineStr">
        <is>
          <t>Manual</t>
        </is>
      </c>
      <c r="N268" s="88" t="n"/>
      <c r="O268" s="226" t="n"/>
      <c r="Q268" s="226" t="n"/>
      <c r="AA268" s="658" t="n"/>
      <c r="AB268" s="658" t="n"/>
      <c r="AC268" s="658" t="n"/>
      <c r="AD268" s="658" t="n"/>
      <c r="AE268" s="658" t="n"/>
      <c r="AF268" s="658" t="n"/>
      <c r="AG268" s="658" t="n"/>
      <c r="AH268" s="658" t="n"/>
      <c r="AI268" s="658" t="n"/>
      <c r="AJ268" s="658" t="n"/>
      <c r="AK268" s="658" t="n"/>
      <c r="AL268" s="658" t="n"/>
      <c r="AN268" s="670" t="n"/>
      <c r="AO268" s="670" t="n"/>
      <c r="AP268" s="658" t="n"/>
      <c r="AQ268" s="658" t="n"/>
      <c r="AR268" s="658" t="n"/>
      <c r="AS268" s="658" t="n"/>
      <c r="AT268" s="658" t="n"/>
      <c r="AU268" s="658" t="n"/>
      <c r="AV268" s="658" t="n"/>
    </row>
    <row r="269" ht="13.5" customHeight="1" s="7635" thickBot="1">
      <c r="C269" s="220" t="inlineStr">
        <is>
          <t>5.</t>
        </is>
      </c>
      <c r="D269" s="11403" t="inlineStr">
        <is>
          <t>Add lines 3 and 4.</t>
        </is>
      </c>
      <c r="M269" s="226" t="inlineStr">
        <is>
          <t>Override ê</t>
        </is>
      </c>
      <c r="AA269" s="658" t="n"/>
      <c r="AB269" s="658" t="n"/>
      <c r="AC269" s="658" t="n"/>
      <c r="AD269" s="658" t="n"/>
      <c r="AE269" s="658" t="n"/>
      <c r="AF269" s="658" t="n"/>
      <c r="AG269" s="658" t="n"/>
      <c r="AH269" s="658" t="n"/>
      <c r="AI269" s="658" t="n"/>
      <c r="AJ269" s="658" t="n"/>
      <c r="AK269" s="658" t="n"/>
      <c r="AL269" s="658" t="n"/>
      <c r="AN269" s="670" t="n"/>
      <c r="AO269" s="670" t="n"/>
      <c r="AP269" s="658" t="n"/>
      <c r="AQ269" s="658" t="n"/>
      <c r="AR269" s="658" t="n"/>
      <c r="AS269" s="658" t="n"/>
      <c r="AT269" s="658" t="n"/>
      <c r="AU269" s="658" t="n"/>
      <c r="AV269" s="658" t="n"/>
    </row>
    <row r="270" ht="13.5" customHeight="1" s="7635" thickBot="1">
      <c r="D270" s="226" t="inlineStr">
        <is>
          <t>This is your earned income.</t>
        </is>
      </c>
      <c r="J270" s="220" t="inlineStr">
        <is>
          <t>5.</t>
        </is>
      </c>
      <c r="K270" s="7842">
        <f>IF(M270&lt;&gt;"",M270,IF(G235,SUM(K254,K261),""))</f>
        <v/>
      </c>
      <c r="M270" s="1465" t="n"/>
      <c r="N270" s="88" t="n"/>
      <c r="O270" s="226" t="n"/>
      <c r="Q270" s="226" t="n"/>
      <c r="AA270" s="658" t="n"/>
      <c r="AB270" s="658" t="n"/>
      <c r="AC270" s="658" t="n"/>
      <c r="AD270" s="658" t="n"/>
      <c r="AE270" s="658" t="n"/>
      <c r="AF270" s="658" t="n"/>
      <c r="AG270" s="658" t="n"/>
      <c r="AH270" s="658" t="n"/>
      <c r="AI270" s="658" t="n"/>
      <c r="AJ270" s="658" t="n"/>
      <c r="AK270" s="658" t="n"/>
      <c r="AL270" s="658" t="n"/>
      <c r="AN270" s="670" t="n"/>
      <c r="AO270" s="670" t="n"/>
      <c r="AP270" s="658" t="n"/>
      <c r="AQ270" s="658" t="n"/>
      <c r="AR270" s="658" t="n"/>
      <c r="AS270" s="658" t="n"/>
      <c r="AT270" s="658" t="n"/>
      <c r="AU270" s="658" t="n"/>
      <c r="AV270" s="658" t="n"/>
    </row>
    <row r="271">
      <c r="C271" s="2681" t="n"/>
      <c r="D271" s="226" t="n"/>
      <c r="J271" s="220" t="n"/>
      <c r="M271" s="189" t="n"/>
      <c r="N271" s="88" t="n"/>
      <c r="O271" s="226" t="n"/>
      <c r="Q271" s="226" t="n"/>
      <c r="AA271" s="658" t="n"/>
      <c r="AB271" s="658" t="n"/>
      <c r="AC271" s="658" t="n"/>
      <c r="AD271" s="658" t="n"/>
      <c r="AE271" s="658" t="n"/>
      <c r="AF271" s="658" t="n"/>
      <c r="AG271" s="658" t="n"/>
      <c r="AH271" s="658" t="n"/>
      <c r="AI271" s="658" t="n"/>
      <c r="AJ271" s="658" t="n"/>
      <c r="AK271" s="658" t="n"/>
      <c r="AL271" s="658" t="n"/>
      <c r="AN271" s="670" t="n"/>
      <c r="AO271" s="670" t="n"/>
      <c r="AP271" s="658" t="n"/>
      <c r="AQ271" s="658" t="n"/>
      <c r="AR271" s="658" t="n"/>
      <c r="AS271" s="658" t="n"/>
      <c r="AT271" s="658" t="n"/>
      <c r="AU271" s="658" t="n"/>
      <c r="AV271" s="658" t="n"/>
    </row>
    <row r="272" ht="9.75" customHeight="1" s="7635">
      <c r="A272" s="7831" t="n"/>
      <c r="C272" s="2501" t="n"/>
      <c r="D272" s="1843" t="n"/>
      <c r="E272" s="1839" t="n"/>
      <c r="F272" s="1839" t="n"/>
      <c r="G272" s="1839" t="n"/>
      <c r="H272" s="1839" t="n"/>
      <c r="I272" s="1839" t="n"/>
      <c r="J272" s="1839" t="n"/>
      <c r="K272" s="1839" t="n"/>
      <c r="AA272" s="658" t="n"/>
      <c r="AB272" s="658" t="n"/>
      <c r="AC272" s="658" t="n"/>
      <c r="AD272" s="658" t="n"/>
      <c r="AE272" s="658" t="n"/>
      <c r="AF272" s="658" t="n"/>
      <c r="AG272" s="658" t="n"/>
      <c r="AH272" s="658" t="n"/>
      <c r="AI272" s="658" t="n"/>
      <c r="AJ272" s="658" t="n"/>
      <c r="AK272" s="658" t="n"/>
      <c r="AL272" s="658" t="n"/>
      <c r="AN272" s="670" t="n"/>
      <c r="AO272" s="670" t="n"/>
      <c r="AP272" s="658" t="n"/>
      <c r="AQ272" s="658" t="n"/>
      <c r="AR272" s="658" t="n"/>
      <c r="AS272" s="658" t="n"/>
      <c r="AT272" s="658" t="n"/>
      <c r="AU272" s="658" t="n"/>
      <c r="AV272" s="658" t="n"/>
    </row>
    <row r="273">
      <c r="A273" s="2643" t="inlineStr">
        <is>
          <t>2.</t>
        </is>
      </c>
      <c r="B273" s="88">
        <f>"Were you self-employed at any time in "&amp;TaxYear&amp;", or are you filing Schedule SE because you were a member of the"</f>
        <v/>
      </c>
      <c r="C273" s="2648" t="n"/>
      <c r="AA273" s="658" t="n"/>
      <c r="AB273" s="658" t="n"/>
      <c r="AC273" s="658" t="n"/>
      <c r="AD273" s="658" t="n"/>
      <c r="AE273" s="658" t="n"/>
      <c r="AF273" s="658" t="n"/>
      <c r="AG273" s="658" t="n"/>
      <c r="AH273" s="658" t="n"/>
      <c r="AI273" s="658" t="n"/>
      <c r="AJ273" s="658" t="n"/>
      <c r="AK273" s="658" t="n"/>
      <c r="AL273" s="658" t="n"/>
      <c r="AN273" s="670" t="n"/>
      <c r="AO273" s="670" t="n"/>
      <c r="AP273" s="658" t="n"/>
      <c r="AQ273" s="658" t="n"/>
      <c r="AR273" s="658" t="n"/>
      <c r="AS273" s="658" t="n"/>
      <c r="AT273" s="658" t="n"/>
      <c r="AU273" s="658" t="n"/>
      <c r="AV273" s="658" t="n"/>
    </row>
    <row r="274">
      <c r="A274" s="4465">
        <f>OR(SchSE_Clergy1_You,SchSE_Clergy1_Sp,SchSE_Clergy2_You,SchSE_Clergy2_Sp,ChurchEmployee1,ChurchEmployee2,AND(ChurchEmployeeIncome1&lt;&gt;"",ChurchEmployeeIncome1&gt;0),AND(ChurchEmployeeIncome2&lt;&gt;"",ChurchEmployeeIncome2&gt;0))</f>
        <v/>
      </c>
      <c r="B274" s="11403" t="inlineStr">
        <is>
          <t>clergy or you had church employee income, or are you filing Schedule C as a statutory employee?</t>
        </is>
      </c>
      <c r="C274" s="7831" t="n"/>
      <c r="AA274" s="658" t="n"/>
      <c r="AB274" s="658" t="n"/>
      <c r="AC274" s="658" t="n"/>
      <c r="AD274" s="658" t="n"/>
      <c r="AE274" s="658" t="n"/>
      <c r="AF274" s="658" t="n"/>
      <c r="AG274" s="658" t="n"/>
      <c r="AH274" s="658" t="n"/>
      <c r="AI274" s="658" t="n"/>
      <c r="AJ274" s="658" t="n"/>
      <c r="AK274" s="658" t="n"/>
      <c r="AL274" s="658" t="n"/>
      <c r="AN274" s="670" t="n"/>
      <c r="AO274" s="670" t="n"/>
      <c r="AP274" s="658" t="n"/>
      <c r="AQ274" s="658" t="n"/>
      <c r="AR274" s="658" t="n"/>
      <c r="AS274" s="658" t="n"/>
      <c r="AT274" s="658" t="n"/>
      <c r="AU274" s="658" t="n"/>
      <c r="AV274" s="658" t="n"/>
    </row>
    <row r="275">
      <c r="A275" s="4465">
        <f>OR(SchC_StatutoryEmp_1&lt;&gt;"",SchC_StatutoryEmp_2&lt;&gt;"")</f>
        <v/>
      </c>
      <c r="C275" s="2648" t="n"/>
      <c r="AA275" s="658" t="n"/>
      <c r="AB275" s="658" t="n"/>
      <c r="AC275" s="658" t="n"/>
      <c r="AD275" s="658" t="n"/>
      <c r="AE275" s="658" t="n"/>
      <c r="AF275" s="658" t="n"/>
      <c r="AG275" s="658" t="n"/>
      <c r="AH275" s="658" t="n"/>
      <c r="AI275" s="658" t="n"/>
      <c r="AJ275" s="658" t="n"/>
      <c r="AK275" s="658" t="n"/>
      <c r="AL275" s="658" t="n"/>
      <c r="AN275" s="670" t="n"/>
      <c r="AO275" s="670" t="n"/>
      <c r="AP275" s="658" t="n"/>
      <c r="AQ275" s="658" t="n"/>
      <c r="AR275" s="658" t="n"/>
      <c r="AS275" s="658" t="n"/>
      <c r="AT275" s="658" t="n"/>
      <c r="AU275" s="658" t="n"/>
      <c r="AV275" s="658" t="n"/>
    </row>
    <row r="276">
      <c r="A276" s="8839">
        <f>AND(G235,B276&lt;&gt;"")</f>
        <v/>
      </c>
      <c r="B276" s="325" t="n"/>
      <c r="D276" s="11403" t="inlineStr">
        <is>
          <t>Yes.  Skip question 3 and Step 6;</t>
        </is>
      </c>
      <c r="H276" s="2653">
        <f>IF(L276,"X","")</f>
        <v/>
      </c>
      <c r="J276" s="11403" t="inlineStr">
        <is>
          <t>No.  Continue</t>
        </is>
      </c>
      <c r="L276" s="2679">
        <f>AND(G235,NOT(A276))</f>
        <v/>
      </c>
      <c r="AA276" s="658" t="n"/>
      <c r="AB276" s="658" t="n"/>
      <c r="AC276" s="658" t="n"/>
      <c r="AD276" s="658" t="n"/>
      <c r="AE276" s="658" t="n"/>
      <c r="AF276" s="658" t="n"/>
      <c r="AG276" s="658" t="n"/>
      <c r="AH276" s="658" t="n"/>
      <c r="AI276" s="658" t="n"/>
      <c r="AJ276" s="658" t="n"/>
      <c r="AK276" s="658" t="n"/>
      <c r="AL276" s="658" t="n"/>
      <c r="AN276" s="670" t="n"/>
      <c r="AO276" s="670" t="n"/>
      <c r="AP276" s="658" t="n"/>
      <c r="AQ276" s="658" t="n"/>
      <c r="AR276" s="658" t="n"/>
      <c r="AS276" s="658" t="n"/>
      <c r="AT276" s="658" t="n"/>
      <c r="AU276" s="658" t="n"/>
      <c r="AV276" s="658" t="n"/>
    </row>
    <row r="277">
      <c r="A277" s="4465">
        <f>SUM(SchC_TentativeProfit1,SchC_TentativeProfit2)&lt;&gt;0</f>
        <v/>
      </c>
      <c r="D277" s="11403" t="inlineStr">
        <is>
          <t>go to Worksheet B.</t>
        </is>
      </c>
      <c r="F277" s="2657" t="n"/>
      <c r="G277" s="2657">
        <f>IF(AND(B276&lt;&gt;"",H276&lt;&gt;""),"Check ONLY one.","")</f>
        <v/>
      </c>
      <c r="AA277" s="658" t="n"/>
      <c r="AB277" s="658" t="n"/>
      <c r="AC277" s="658" t="n"/>
      <c r="AD277" s="658" t="n"/>
      <c r="AE277" s="658" t="n"/>
      <c r="AF277" s="658" t="n"/>
      <c r="AG277" s="658" t="n"/>
      <c r="AH277" s="658" t="n"/>
      <c r="AI277" s="658" t="n"/>
      <c r="AJ277" s="658" t="n"/>
      <c r="AK277" s="658" t="n"/>
      <c r="AL277" s="658" t="n"/>
      <c r="AN277" s="670" t="n"/>
      <c r="AO277" s="670" t="n"/>
      <c r="AP277" s="658" t="n"/>
      <c r="AQ277" s="658" t="n"/>
      <c r="AR277" s="658" t="n"/>
      <c r="AS277" s="658" t="n"/>
      <c r="AT277" s="658" t="n"/>
      <c r="AU277" s="658" t="n"/>
      <c r="AV277" s="658" t="n"/>
    </row>
    <row r="278" ht="12.75" customHeight="1" s="7635">
      <c r="AA278" s="658" t="n"/>
      <c r="AB278" s="658" t="n"/>
      <c r="AC278" s="658" t="n"/>
      <c r="AD278" s="658" t="n"/>
      <c r="AE278" s="658" t="n"/>
      <c r="AF278" s="658" t="n"/>
      <c r="AG278" s="658" t="n"/>
      <c r="AH278" s="658" t="n"/>
      <c r="AI278" s="658" t="n"/>
      <c r="AJ278" s="658" t="n"/>
      <c r="AK278" s="658" t="n"/>
      <c r="AL278" s="658" t="n"/>
      <c r="AN278" s="670" t="n"/>
      <c r="AO278" s="670" t="n"/>
      <c r="AP278" s="658" t="n"/>
      <c r="AQ278" s="658" t="n"/>
      <c r="AR278" s="658" t="n"/>
      <c r="AS278" s="658" t="n"/>
      <c r="AT278" s="658" t="n"/>
      <c r="AU278" s="658" t="n"/>
      <c r="AV278" s="658" t="n"/>
    </row>
    <row r="279" ht="9.75" customHeight="1" s="7635">
      <c r="A279" s="7831" t="n"/>
      <c r="C279" s="2501" t="n"/>
      <c r="D279" s="1843" t="n"/>
      <c r="E279" s="1839" t="n"/>
      <c r="F279" s="1839" t="n"/>
      <c r="G279" s="1839" t="n"/>
      <c r="H279" s="1839" t="n"/>
      <c r="I279" s="1839" t="n"/>
      <c r="J279" s="1839" t="n"/>
      <c r="K279" s="1839" t="n"/>
      <c r="AA279" s="658" t="n"/>
      <c r="AB279" s="658" t="n"/>
      <c r="AC279" s="658" t="n"/>
      <c r="AD279" s="658" t="n"/>
      <c r="AE279" s="658" t="n"/>
      <c r="AF279" s="658" t="n"/>
      <c r="AG279" s="658" t="n"/>
      <c r="AH279" s="658" t="n"/>
      <c r="AI279" s="658" t="n"/>
      <c r="AJ279" s="658" t="n"/>
      <c r="AK279" s="658" t="n"/>
      <c r="AL279" s="658" t="n"/>
      <c r="AN279" s="670" t="n"/>
      <c r="AO279" s="670" t="n"/>
      <c r="AP279" s="658" t="n"/>
      <c r="AQ279" s="658" t="n"/>
      <c r="AR279" s="658" t="n"/>
      <c r="AS279" s="658" t="n"/>
      <c r="AT279" s="658" t="n"/>
      <c r="AU279" s="658" t="n"/>
      <c r="AV279" s="658" t="n"/>
    </row>
    <row r="280">
      <c r="A280" s="220" t="inlineStr">
        <is>
          <t>3.</t>
        </is>
      </c>
      <c r="B280" s="11403" t="inlineStr">
        <is>
          <t>If you have:</t>
        </is>
      </c>
      <c r="G280" s="728" t="n"/>
      <c r="AA280" s="658" t="n"/>
      <c r="AB280" s="658" t="n"/>
      <c r="AC280" s="658" t="n"/>
      <c r="AD280" s="658" t="n"/>
      <c r="AE280" s="658" t="n"/>
      <c r="AF280" s="658" t="n"/>
      <c r="AG280" s="658" t="n"/>
      <c r="AH280" s="658" t="n"/>
      <c r="AI280" s="658" t="n"/>
      <c r="AJ280" s="658" t="n"/>
      <c r="AK280" s="658" t="n"/>
      <c r="AL280" s="658" t="n"/>
      <c r="AN280" s="670" t="n"/>
      <c r="AO280" s="670" t="n"/>
      <c r="AP280" s="658" t="n"/>
      <c r="AQ280" s="658" t="n"/>
      <c r="AR280" s="658" t="n"/>
      <c r="AS280" s="658" t="n"/>
      <c r="AT280" s="658" t="n"/>
      <c r="AU280" s="658" t="n"/>
      <c r="AV280" s="658" t="n"/>
    </row>
    <row r="281" ht="7.5" customHeight="1" s="7635">
      <c r="AA281" s="658" t="n"/>
      <c r="AB281" s="658" t="n"/>
      <c r="AC281" s="658" t="n"/>
      <c r="AD281" s="658" t="n"/>
      <c r="AE281" s="658" t="n"/>
      <c r="AF281" s="658" t="n"/>
      <c r="AG281" s="658" t="n"/>
      <c r="AH281" s="658" t="n"/>
      <c r="AI281" s="658" t="n"/>
      <c r="AJ281" s="658" t="n"/>
      <c r="AK281" s="658" t="n"/>
      <c r="AL281" s="658" t="n"/>
      <c r="AN281" s="670" t="n"/>
      <c r="AO281" s="670" t="n"/>
      <c r="AP281" s="658" t="n"/>
      <c r="AQ281" s="658" t="n"/>
      <c r="AR281" s="658" t="n"/>
      <c r="AS281" s="658" t="n"/>
      <c r="AT281" s="658" t="n"/>
      <c r="AU281" s="658" t="n"/>
      <c r="AV281" s="658" t="n"/>
    </row>
    <row r="282">
      <c r="B282" s="2682">
        <f>IF(M283,"®","")</f>
        <v/>
      </c>
      <c r="C282" s="2643" t="inlineStr">
        <is>
          <t>●</t>
        </is>
      </c>
      <c r="D282" s="11403" t="inlineStr">
        <is>
          <t>3 or more qualifying children,</t>
        </is>
      </c>
      <c r="AA282" s="658" t="n"/>
      <c r="AB282" s="658" t="n"/>
      <c r="AC282" s="658" t="n"/>
      <c r="AD282" s="658" t="n"/>
      <c r="AE282" s="658" t="n"/>
      <c r="AF282" s="658" t="n"/>
      <c r="AG282" s="658" t="n"/>
      <c r="AH282" s="658" t="n"/>
      <c r="AI282" s="658" t="n"/>
      <c r="AJ282" s="658" t="n"/>
      <c r="AK282" s="658" t="n"/>
      <c r="AL282" s="658" t="n"/>
      <c r="AN282" s="670" t="n"/>
      <c r="AO282" s="670" t="n"/>
      <c r="AP282" s="658" t="n"/>
      <c r="AQ282" s="658" t="n"/>
      <c r="AR282" s="658" t="n"/>
      <c r="AS282" s="658" t="n"/>
      <c r="AT282" s="658" t="n"/>
      <c r="AU282" s="658" t="n"/>
      <c r="AV282" s="658" t="n"/>
    </row>
    <row r="283">
      <c r="B283" s="2652" t="n"/>
      <c r="D283" s="88">
        <f>"Is your earned income less than "&amp;TEXT(N10,"$0,000")&amp;" ("&amp;TEXT(O10,"$0,000")&amp;" if married filing jointly)?"</f>
        <v/>
      </c>
      <c r="L283" s="2657">
        <f>IF(OR(A276,EICNumQualChild&lt;=3),"",IF(M283,"Yes","No"))</f>
        <v/>
      </c>
      <c r="M283" s="441">
        <f>OR(AND(L276,File_Marr_Joint&lt;&gt;"",EICNumQualChild&gt;=3,EIC_EarnedIncome&lt;O10),AND(L276,EICNumQualChild&gt;=3,EIC_EarnedIncome&lt;N10))</f>
        <v/>
      </c>
      <c r="AA283" s="658" t="n"/>
      <c r="AB283" s="658" t="n"/>
      <c r="AC283" s="658" t="n"/>
      <c r="AD283" s="658" t="n"/>
      <c r="AE283" s="658" t="n"/>
      <c r="AF283" s="658" t="n"/>
      <c r="AG283" s="658" t="n"/>
      <c r="AH283" s="658" t="n"/>
      <c r="AI283" s="658" t="n"/>
      <c r="AJ283" s="658" t="n"/>
      <c r="AK283" s="658" t="n"/>
      <c r="AL283" s="658" t="n"/>
      <c r="AN283" s="670" t="n"/>
      <c r="AO283" s="670" t="n"/>
      <c r="AP283" s="658" t="n"/>
      <c r="AQ283" s="658" t="n"/>
      <c r="AR283" s="658" t="n"/>
      <c r="AS283" s="658" t="n"/>
      <c r="AT283" s="658" t="n"/>
      <c r="AU283" s="658" t="n"/>
      <c r="AV283" s="658" t="n"/>
    </row>
    <row r="284">
      <c r="B284" s="2652" t="n"/>
      <c r="C284" s="228" t="inlineStr">
        <is>
          <t>or</t>
        </is>
      </c>
      <c r="M284" s="441" t="n"/>
      <c r="AA284" s="658" t="n"/>
      <c r="AB284" s="658" t="n"/>
      <c r="AC284" s="658" t="n"/>
      <c r="AD284" s="658" t="n"/>
      <c r="AE284" s="658" t="n"/>
      <c r="AF284" s="658" t="n"/>
      <c r="AG284" s="658" t="n"/>
      <c r="AH284" s="658" t="n"/>
      <c r="AI284" s="658" t="n"/>
      <c r="AJ284" s="658" t="n"/>
      <c r="AK284" s="658" t="n"/>
      <c r="AL284" s="658" t="n"/>
      <c r="AN284" s="670" t="n"/>
      <c r="AO284" s="670" t="n"/>
      <c r="AP284" s="658" t="n"/>
      <c r="AQ284" s="658" t="n"/>
      <c r="AR284" s="658" t="n"/>
      <c r="AS284" s="658" t="n"/>
      <c r="AT284" s="658" t="n"/>
      <c r="AU284" s="658" t="n"/>
      <c r="AV284" s="658" t="n"/>
    </row>
    <row r="285">
      <c r="B285" s="2682">
        <f>IF(M286,"®","")</f>
        <v/>
      </c>
      <c r="C285" s="2643" t="inlineStr">
        <is>
          <t>●</t>
        </is>
      </c>
      <c r="D285" s="11403" t="inlineStr">
        <is>
          <t>2 qualifying children,</t>
        </is>
      </c>
      <c r="M285" s="441" t="n"/>
      <c r="AA285" s="658" t="n"/>
      <c r="AB285" s="658" t="n"/>
      <c r="AC285" s="658" t="n"/>
      <c r="AD285" s="658" t="n"/>
      <c r="AE285" s="658" t="n"/>
      <c r="AF285" s="658" t="n"/>
      <c r="AG285" s="658" t="n"/>
      <c r="AH285" s="658" t="n"/>
      <c r="AI285" s="658" t="n"/>
      <c r="AJ285" s="658" t="n"/>
      <c r="AK285" s="658" t="n"/>
      <c r="AL285" s="658" t="n"/>
      <c r="AN285" s="670" t="n"/>
      <c r="AO285" s="670" t="n"/>
      <c r="AP285" s="658" t="n"/>
      <c r="AQ285" s="658" t="n"/>
      <c r="AR285" s="658" t="n"/>
      <c r="AS285" s="658" t="n"/>
      <c r="AT285" s="658" t="n"/>
      <c r="AU285" s="658" t="n"/>
      <c r="AV285" s="658" t="n"/>
    </row>
    <row r="286">
      <c r="B286" s="2652" t="n"/>
      <c r="D286" s="88">
        <f>"Is your earned income less than "&amp;TEXT(N13,"$0,000")&amp;" ("&amp;TEXT(O13,"$0,000")&amp;" if married filing jointly)?"</f>
        <v/>
      </c>
      <c r="L286" s="2657">
        <f>IF(OR(A276,EICNumQualChild&lt;&gt;2),"",IF(M286,"Yes","No"))</f>
        <v/>
      </c>
      <c r="M286" s="441">
        <f>OR(AND(L276,File_Marr_Joint&lt;&gt;"",EICNumQualChild=2,EIC_EarnedIncome&lt;O13),AND(L276,EICNumQualChild=2,EIC_EarnedIncome&lt;N13))</f>
        <v/>
      </c>
      <c r="AA286" s="658" t="n"/>
      <c r="AB286" s="658" t="n"/>
      <c r="AC286" s="658" t="n"/>
      <c r="AD286" s="658" t="n"/>
      <c r="AE286" s="658" t="n"/>
      <c r="AF286" s="658" t="n"/>
      <c r="AG286" s="658" t="n"/>
      <c r="AH286" s="658" t="n"/>
      <c r="AI286" s="658" t="n"/>
      <c r="AJ286" s="658" t="n"/>
      <c r="AK286" s="658" t="n"/>
      <c r="AL286" s="658" t="n"/>
      <c r="AN286" s="670" t="n"/>
      <c r="AO286" s="670" t="n"/>
      <c r="AP286" s="658" t="n"/>
      <c r="AQ286" s="658" t="n"/>
      <c r="AR286" s="658" t="n"/>
      <c r="AS286" s="658" t="n"/>
      <c r="AT286" s="658" t="n"/>
      <c r="AU286" s="658" t="n"/>
      <c r="AV286" s="658" t="n"/>
    </row>
    <row r="287">
      <c r="B287" s="2652" t="n"/>
      <c r="C287" s="228" t="inlineStr">
        <is>
          <t>or</t>
        </is>
      </c>
      <c r="M287" s="441" t="n"/>
      <c r="AA287" s="658" t="n"/>
      <c r="AB287" s="658" t="n"/>
      <c r="AC287" s="658" t="n"/>
      <c r="AD287" s="658" t="n"/>
      <c r="AE287" s="658" t="n"/>
      <c r="AF287" s="658" t="n"/>
      <c r="AG287" s="658" t="n"/>
      <c r="AH287" s="658" t="n"/>
      <c r="AI287" s="658" t="n"/>
      <c r="AJ287" s="658" t="n"/>
      <c r="AK287" s="658" t="n"/>
      <c r="AL287" s="658" t="n"/>
      <c r="AN287" s="670" t="n"/>
      <c r="AO287" s="670" t="n"/>
      <c r="AP287" s="658" t="n"/>
      <c r="AQ287" s="658" t="n"/>
      <c r="AR287" s="658" t="n"/>
      <c r="AS287" s="658" t="n"/>
      <c r="AT287" s="658" t="n"/>
      <c r="AU287" s="658" t="n"/>
      <c r="AV287" s="658" t="n"/>
    </row>
    <row r="288">
      <c r="B288" s="2682">
        <f>IF(M289,"®","")</f>
        <v/>
      </c>
      <c r="C288" s="2643" t="inlineStr">
        <is>
          <t>●</t>
        </is>
      </c>
      <c r="D288" s="11403" t="inlineStr">
        <is>
          <t>1 qualifying child,</t>
        </is>
      </c>
      <c r="M288" s="441" t="n"/>
      <c r="AA288" s="658" t="n"/>
      <c r="AB288" s="658" t="n"/>
      <c r="AC288" s="658" t="n"/>
      <c r="AD288" s="658" t="n"/>
      <c r="AE288" s="658" t="n"/>
      <c r="AF288" s="658" t="n"/>
      <c r="AG288" s="658" t="n"/>
      <c r="AH288" s="658" t="n"/>
      <c r="AI288" s="658" t="n"/>
      <c r="AJ288" s="658" t="n"/>
      <c r="AK288" s="658" t="n"/>
      <c r="AL288" s="658" t="n"/>
      <c r="AN288" s="670" t="n"/>
      <c r="AO288" s="670" t="n"/>
      <c r="AP288" s="658" t="n"/>
      <c r="AQ288" s="658" t="n"/>
      <c r="AR288" s="658" t="n"/>
      <c r="AS288" s="658" t="n"/>
      <c r="AT288" s="658" t="n"/>
      <c r="AU288" s="658" t="n"/>
      <c r="AV288" s="658" t="n"/>
    </row>
    <row r="289">
      <c r="B289" s="2652" t="n"/>
      <c r="D289" s="88">
        <f>"Is your earned income less than "&amp;TEXT(N16,"$0,000")&amp;" ("&amp;TEXT(O16,"$0,000")&amp;" if married filing jointly)?"</f>
        <v/>
      </c>
      <c r="L289" s="2657">
        <f>IF(OR(A276,EICNumQualChild&lt;&gt;1),"",IF(M289,"Yes","No"))</f>
        <v/>
      </c>
      <c r="M289" s="441">
        <f>OR(AND(L276,File_Marr_Joint&lt;&gt;"",EICNumQualChild=1,EIC_EarnedIncome&lt;O16),AND(L276,EICNumQualChild=1,EIC_EarnedIncome&lt;N16))</f>
        <v/>
      </c>
      <c r="AA289" s="658" t="n"/>
      <c r="AB289" s="658" t="n"/>
      <c r="AC289" s="658" t="n"/>
      <c r="AD289" s="658" t="n"/>
      <c r="AE289" s="658" t="n"/>
      <c r="AF289" s="658" t="n"/>
      <c r="AG289" s="658" t="n"/>
      <c r="AH289" s="658" t="n"/>
      <c r="AI289" s="658" t="n"/>
      <c r="AJ289" s="658" t="n"/>
      <c r="AK289" s="658" t="n"/>
      <c r="AL289" s="658" t="n"/>
      <c r="AN289" s="670" t="n"/>
      <c r="AO289" s="670" t="n"/>
      <c r="AP289" s="658" t="n"/>
      <c r="AQ289" s="658" t="n"/>
      <c r="AR289" s="658" t="n"/>
      <c r="AS289" s="658" t="n"/>
      <c r="AT289" s="658" t="n"/>
      <c r="AU289" s="658" t="n"/>
      <c r="AV289" s="658" t="n"/>
    </row>
    <row r="290">
      <c r="B290" s="2652" t="n"/>
      <c r="C290" s="228" t="inlineStr">
        <is>
          <t>or</t>
        </is>
      </c>
      <c r="M290" s="441" t="n"/>
      <c r="AA290" s="658" t="n"/>
      <c r="AB290" s="658" t="n"/>
      <c r="AC290" s="658" t="n"/>
      <c r="AD290" s="658" t="n"/>
      <c r="AE290" s="658" t="n"/>
      <c r="AF290" s="658" t="n"/>
      <c r="AG290" s="658" t="n"/>
      <c r="AH290" s="658" t="n"/>
      <c r="AI290" s="658" t="n"/>
      <c r="AJ290" s="658" t="n"/>
      <c r="AK290" s="658" t="n"/>
      <c r="AL290" s="658" t="n"/>
      <c r="AN290" s="670" t="n"/>
      <c r="AO290" s="670" t="n"/>
      <c r="AP290" s="658" t="n"/>
      <c r="AQ290" s="658" t="n"/>
      <c r="AR290" s="658" t="n"/>
      <c r="AS290" s="658" t="n"/>
      <c r="AT290" s="658" t="n"/>
      <c r="AU290" s="658" t="n"/>
      <c r="AV290" s="658" t="n"/>
    </row>
    <row r="291">
      <c r="B291" s="2682">
        <f>IF(M292,"®","")</f>
        <v/>
      </c>
      <c r="C291" s="2643" t="inlineStr">
        <is>
          <t>●</t>
        </is>
      </c>
      <c r="D291" s="88" t="inlineStr">
        <is>
          <t>No qualifying children,</t>
        </is>
      </c>
      <c r="M291" s="441" t="n"/>
      <c r="AA291" s="658" t="n"/>
      <c r="AB291" s="658" t="n"/>
      <c r="AC291" s="658" t="n"/>
      <c r="AD291" s="658" t="n"/>
      <c r="AE291" s="658" t="n"/>
      <c r="AF291" s="658" t="n"/>
      <c r="AG291" s="658" t="n"/>
      <c r="AH291" s="658" t="n"/>
      <c r="AI291" s="658" t="n"/>
      <c r="AJ291" s="658" t="n"/>
      <c r="AK291" s="658" t="n"/>
      <c r="AL291" s="658" t="n"/>
      <c r="AN291" s="670" t="n"/>
      <c r="AO291" s="670" t="n"/>
      <c r="AP291" s="658" t="n"/>
      <c r="AQ291" s="658" t="n"/>
      <c r="AR291" s="658" t="n"/>
      <c r="AS291" s="658" t="n"/>
      <c r="AT291" s="658" t="n"/>
      <c r="AU291" s="658" t="n"/>
      <c r="AV291" s="658" t="n"/>
    </row>
    <row r="292">
      <c r="D292" s="88">
        <f>"Is your earned income less than "&amp;TEXT(N19,"$0,000")&amp;" ("&amp;TEXT(O19,"$0,000")&amp;" if married filing jointly)?"</f>
        <v/>
      </c>
      <c r="L292" s="2657">
        <f>IF(OR(A276,EICNumQualChild&lt;&gt;0),"",IF(M292,"Yes","No"))</f>
        <v/>
      </c>
      <c r="M292" s="441">
        <f>OR(AND(L276,File_Marr_Joint&lt;&gt;"",EIC_EarnedIncome&lt;O19),AND(L276,EIC_EarnedIncome&lt;N19))</f>
        <v/>
      </c>
      <c r="N292" s="8927" t="n"/>
      <c r="AA292" s="658" t="n"/>
      <c r="AB292" s="658" t="n"/>
      <c r="AC292" s="658" t="n"/>
      <c r="AD292" s="658" t="n"/>
      <c r="AE292" s="658" t="n"/>
      <c r="AF292" s="658" t="n"/>
      <c r="AG292" s="658" t="n"/>
      <c r="AH292" s="658" t="n"/>
      <c r="AI292" s="658" t="n"/>
      <c r="AJ292" s="658" t="n"/>
      <c r="AK292" s="658" t="n"/>
      <c r="AL292" s="658" t="n"/>
      <c r="AN292" s="670" t="n"/>
      <c r="AO292" s="670" t="n"/>
      <c r="AP292" s="658" t="n"/>
      <c r="AQ292" s="658" t="n"/>
      <c r="AR292" s="658" t="n"/>
      <c r="AS292" s="658" t="n"/>
      <c r="AT292" s="658" t="n"/>
      <c r="AU292" s="658" t="n"/>
      <c r="AV292" s="658" t="n"/>
    </row>
    <row r="293">
      <c r="M293" s="441" t="n"/>
      <c r="AA293" s="658" t="n"/>
      <c r="AB293" s="658" t="n"/>
      <c r="AC293" s="658" t="n"/>
      <c r="AD293" s="658" t="n"/>
      <c r="AE293" s="658" t="n"/>
      <c r="AF293" s="658" t="n"/>
      <c r="AG293" s="658" t="n"/>
      <c r="AH293" s="658" t="n"/>
      <c r="AI293" s="658" t="n"/>
      <c r="AJ293" s="658" t="n"/>
      <c r="AK293" s="658" t="n"/>
      <c r="AL293" s="658" t="n"/>
      <c r="AN293" s="670" t="n"/>
      <c r="AO293" s="670" t="n"/>
      <c r="AP293" s="658" t="n"/>
      <c r="AQ293" s="658" t="n"/>
      <c r="AR293" s="658" t="n"/>
      <c r="AS293" s="658" t="n"/>
      <c r="AT293" s="658" t="n"/>
      <c r="AU293" s="658" t="n"/>
      <c r="AV293" s="658" t="n"/>
    </row>
    <row r="294">
      <c r="A294" s="441">
        <f>AND(L276,OR(M283,M286,M289,M292))</f>
        <v/>
      </c>
      <c r="B294" s="2658">
        <f>IF(A294,"X","")</f>
        <v/>
      </c>
      <c r="D294" s="11403" t="inlineStr">
        <is>
          <t>Yes.  Go to Step 6.</t>
        </is>
      </c>
      <c r="H294" s="2658">
        <f>IF(M294,"X","")</f>
        <v/>
      </c>
      <c r="J294" s="11403" t="inlineStr">
        <is>
          <t>No.  You can't take the credit.</t>
        </is>
      </c>
      <c r="M294" s="2679">
        <f>AND(L276,NOT(M283),NOT(M286),NOT(M289),NOT(M292))</f>
        <v/>
      </c>
      <c r="AA294" s="658" t="n"/>
      <c r="AB294" s="658" t="n"/>
      <c r="AC294" s="658" t="n"/>
      <c r="AD294" s="658" t="n"/>
      <c r="AE294" s="658" t="n"/>
      <c r="AF294" s="658" t="n"/>
      <c r="AG294" s="658" t="n"/>
      <c r="AH294" s="658" t="n"/>
      <c r="AI294" s="658" t="n"/>
      <c r="AJ294" s="658" t="n"/>
      <c r="AK294" s="658" t="n"/>
      <c r="AL294" s="658" t="n"/>
      <c r="AN294" s="670" t="n"/>
      <c r="AO294" s="670" t="n"/>
      <c r="AP294" s="658" t="n"/>
      <c r="AQ294" s="658" t="n"/>
      <c r="AR294" s="658" t="n"/>
      <c r="AS294" s="658" t="n"/>
      <c r="AT294" s="658" t="n"/>
      <c r="AU294" s="658" t="n"/>
      <c r="AV294" s="658" t="n"/>
    </row>
    <row r="295" ht="15.75" customHeight="1" s="7635">
      <c r="AA295" s="658" t="n"/>
      <c r="AB295" s="658" t="n"/>
      <c r="AC295" s="658" t="n"/>
      <c r="AD295" s="658" t="n"/>
      <c r="AE295" s="658" t="n"/>
      <c r="AF295" s="658" t="n"/>
      <c r="AG295" s="658" t="n"/>
      <c r="AH295" s="658" t="n"/>
      <c r="AI295" s="658" t="n"/>
      <c r="AJ295" s="658" t="n"/>
      <c r="AK295" s="658" t="n"/>
      <c r="AL295" s="658" t="n"/>
      <c r="AN295" s="670" t="n"/>
      <c r="AO295" s="670" t="n"/>
      <c r="AP295" s="658" t="n"/>
      <c r="AQ295" s="658" t="n"/>
      <c r="AR295" s="658" t="n"/>
      <c r="AS295" s="658" t="n"/>
      <c r="AT295" s="658" t="n"/>
      <c r="AU295" s="658" t="n"/>
      <c r="AV295" s="658" t="n"/>
    </row>
    <row r="296" ht="7.5" customHeight="1" s="7635">
      <c r="AA296" s="658" t="n"/>
      <c r="AB296" s="658" t="n"/>
      <c r="AC296" s="658" t="n"/>
      <c r="AD296" s="658" t="n"/>
      <c r="AE296" s="658" t="n"/>
      <c r="AF296" s="658" t="n"/>
      <c r="AG296" s="658" t="n"/>
      <c r="AH296" s="658" t="n"/>
      <c r="AI296" s="658" t="n"/>
      <c r="AJ296" s="658" t="n"/>
      <c r="AK296" s="658" t="n"/>
      <c r="AL296" s="658" t="n"/>
      <c r="AN296" s="670" t="n"/>
      <c r="AO296" s="670" t="n"/>
      <c r="AP296" s="658" t="n"/>
      <c r="AQ296" s="658" t="n"/>
      <c r="AR296" s="658" t="n"/>
      <c r="AS296" s="658" t="n"/>
      <c r="AT296" s="658" t="n"/>
      <c r="AU296" s="658" t="n"/>
      <c r="AV296" s="658" t="n"/>
    </row>
    <row r="297" ht="9.75" customHeight="1" s="7635">
      <c r="A297" s="7831" t="n"/>
      <c r="C297" s="2501" t="n"/>
      <c r="D297" s="1843" t="n"/>
      <c r="E297" s="1839" t="n"/>
      <c r="F297" s="1839" t="n"/>
      <c r="G297" s="1839" t="n"/>
      <c r="H297" s="1839" t="n"/>
      <c r="I297" s="1839" t="n"/>
      <c r="J297" s="1839" t="n"/>
      <c r="K297" s="1839" t="n"/>
      <c r="AA297" s="658" t="n"/>
      <c r="AB297" s="658" t="n"/>
      <c r="AC297" s="658" t="n"/>
      <c r="AD297" s="658" t="n"/>
      <c r="AE297" s="658" t="n"/>
      <c r="AF297" s="658" t="n"/>
      <c r="AG297" s="658" t="n"/>
      <c r="AH297" s="658" t="n"/>
      <c r="AI297" s="658" t="n"/>
      <c r="AJ297" s="658" t="n"/>
      <c r="AK297" s="658" t="n"/>
      <c r="AL297" s="658" t="n"/>
      <c r="AN297" s="670" t="n"/>
      <c r="AO297" s="670" t="n"/>
      <c r="AP297" s="658" t="n"/>
      <c r="AQ297" s="658" t="n"/>
      <c r="AR297" s="658" t="n"/>
      <c r="AS297" s="658" t="n"/>
      <c r="AT297" s="658" t="n"/>
      <c r="AU297" s="658" t="n"/>
      <c r="AV297" s="658" t="n"/>
    </row>
    <row r="298" ht="15.75" customFormat="1" customHeight="1" s="2445">
      <c r="A298" s="9180" t="inlineStr">
        <is>
          <t xml:space="preserve">Step 6 </t>
        </is>
      </c>
      <c r="B298" s="2647" t="inlineStr">
        <is>
          <t>How To Figure the Credit</t>
        </is>
      </c>
      <c r="C298" s="2642" t="n"/>
      <c r="G298" s="728">
        <f>IF(B276&lt;&gt;"","Skip","")</f>
        <v/>
      </c>
      <c r="N298" s="2662" t="n"/>
      <c r="AA298" s="668" t="n"/>
      <c r="AB298" s="668" t="n"/>
      <c r="AC298" s="668" t="n"/>
      <c r="AD298" s="668" t="n"/>
      <c r="AE298" s="668" t="n"/>
      <c r="AF298" s="668" t="n"/>
      <c r="AG298" s="668" t="n"/>
      <c r="AH298" s="668" t="n"/>
      <c r="AI298" s="668" t="n"/>
      <c r="AJ298" s="668" t="n"/>
      <c r="AK298" s="668" t="n"/>
      <c r="AL298" s="668" t="n"/>
      <c r="AN298" s="669" t="n"/>
      <c r="AO298" s="669" t="n"/>
      <c r="AP298" s="668" t="n"/>
      <c r="AQ298" s="668" t="n"/>
      <c r="AR298" s="668" t="n"/>
      <c r="AS298" s="668" t="n"/>
      <c r="AT298" s="668" t="n"/>
      <c r="AU298" s="668" t="n"/>
      <c r="AV298" s="668" t="n"/>
    </row>
    <row r="299" ht="15.75" customFormat="1" customHeight="1" s="2445">
      <c r="A299" s="2642" t="n"/>
      <c r="B299" s="2642" t="n"/>
      <c r="C299" s="2642" t="n"/>
      <c r="N299" s="2662" t="n"/>
      <c r="AA299" s="668" t="n"/>
      <c r="AB299" s="668" t="n"/>
      <c r="AC299" s="668" t="n"/>
      <c r="AD299" s="668" t="n"/>
      <c r="AE299" s="668" t="n"/>
      <c r="AF299" s="668" t="n"/>
      <c r="AG299" s="668" t="n"/>
      <c r="AH299" s="668" t="n"/>
      <c r="AI299" s="668" t="n"/>
      <c r="AJ299" s="668" t="n"/>
      <c r="AK299" s="668" t="n"/>
      <c r="AL299" s="668" t="n"/>
      <c r="AN299" s="669" t="n"/>
      <c r="AO299" s="669" t="n"/>
      <c r="AP299" s="668" t="n"/>
      <c r="AQ299" s="668" t="n"/>
      <c r="AR299" s="668" t="n"/>
      <c r="AS299" s="668" t="n"/>
      <c r="AT299" s="668" t="n"/>
      <c r="AU299" s="668" t="n"/>
      <c r="AV299" s="668" t="n"/>
    </row>
    <row r="300" ht="15.75" customFormat="1" customHeight="1" s="2445">
      <c r="A300" s="2642" t="n"/>
      <c r="B300" s="2642" t="n"/>
      <c r="C300" s="2648" t="inlineStr">
        <is>
          <t>1.</t>
        </is>
      </c>
      <c r="D300" s="88" t="inlineStr">
        <is>
          <t>Do you want the IRS to figure the credit for you?</t>
        </is>
      </c>
      <c r="N300" s="2662" t="n"/>
      <c r="AA300" s="668" t="n"/>
      <c r="AB300" s="668" t="n"/>
      <c r="AC300" s="668" t="n"/>
      <c r="AD300" s="668" t="n"/>
      <c r="AE300" s="668" t="n"/>
      <c r="AF300" s="668" t="n"/>
      <c r="AG300" s="668" t="n"/>
      <c r="AH300" s="668" t="n"/>
      <c r="AI300" s="668" t="n"/>
      <c r="AJ300" s="668" t="n"/>
      <c r="AK300" s="668" t="n"/>
      <c r="AL300" s="668" t="n"/>
      <c r="AN300" s="669" t="n"/>
      <c r="AO300" s="669" t="n"/>
      <c r="AP300" s="668" t="n"/>
      <c r="AQ300" s="668" t="n"/>
      <c r="AR300" s="668" t="n"/>
      <c r="AS300" s="668" t="n"/>
      <c r="AT300" s="668" t="n"/>
      <c r="AU300" s="668" t="n"/>
      <c r="AV300" s="668" t="n"/>
    </row>
    <row r="301">
      <c r="AA301" s="658" t="n"/>
      <c r="AB301" s="658" t="n"/>
      <c r="AC301" s="658" t="n"/>
      <c r="AD301" s="658" t="n"/>
      <c r="AE301" s="658" t="n"/>
      <c r="AF301" s="658" t="n"/>
      <c r="AG301" s="658" t="n"/>
      <c r="AH301" s="658" t="n"/>
      <c r="AI301" s="658" t="n"/>
      <c r="AJ301" s="658" t="n"/>
      <c r="AK301" s="658" t="n"/>
      <c r="AL301" s="658" t="n"/>
      <c r="AN301" s="670" t="n"/>
      <c r="AO301" s="670" t="n"/>
      <c r="AP301" s="658" t="n"/>
      <c r="AQ301" s="658" t="n"/>
      <c r="AR301" s="658" t="n"/>
      <c r="AS301" s="658" t="n"/>
      <c r="AT301" s="658" t="n"/>
      <c r="AU301" s="658" t="n"/>
      <c r="AV301" s="658" t="n"/>
    </row>
    <row r="302">
      <c r="A302" s="441">
        <f>AND(A294,B302&lt;&gt;"")</f>
        <v/>
      </c>
      <c r="B302" s="325" t="n"/>
      <c r="D302" s="11403" t="inlineStr">
        <is>
          <t>Yes.  See Credit figured by the IRS.</t>
        </is>
      </c>
      <c r="H302" s="2658">
        <f>IF(M302,"X","")</f>
        <v/>
      </c>
      <c r="J302" s="88" t="inlineStr">
        <is>
          <t>No.  Go to Worksheet A.</t>
        </is>
      </c>
      <c r="M302" s="441">
        <f>AND(A294,NOT(A302))</f>
        <v/>
      </c>
      <c r="AA302" s="658" t="n"/>
      <c r="AB302" s="658" t="n"/>
      <c r="AC302" s="658" t="n"/>
      <c r="AD302" s="658" t="n"/>
      <c r="AE302" s="658" t="n"/>
      <c r="AF302" s="658" t="n"/>
      <c r="AG302" s="658" t="n"/>
      <c r="AH302" s="658" t="n"/>
      <c r="AI302" s="658" t="n"/>
      <c r="AJ302" s="658" t="n"/>
      <c r="AK302" s="658" t="n"/>
      <c r="AL302" s="658" t="n"/>
      <c r="AN302" s="670" t="n"/>
      <c r="AO302" s="670" t="n"/>
      <c r="AP302" s="658" t="n"/>
      <c r="AQ302" s="658" t="n"/>
      <c r="AR302" s="658" t="n"/>
      <c r="AS302" s="658" t="n"/>
      <c r="AT302" s="658" t="n"/>
      <c r="AU302" s="658" t="n"/>
      <c r="AV302" s="658" t="n"/>
    </row>
    <row r="303">
      <c r="D303" s="11403" t="inlineStr">
        <is>
          <t>figured by the IRS, in the instructions.</t>
        </is>
      </c>
      <c r="AA303" s="658" t="n"/>
      <c r="AB303" s="658" t="n"/>
      <c r="AC303" s="658" t="n"/>
      <c r="AD303" s="658" t="n"/>
      <c r="AE303" s="658" t="n"/>
      <c r="AF303" s="658" t="n"/>
      <c r="AG303" s="658" t="n"/>
      <c r="AH303" s="658" t="n"/>
      <c r="AI303" s="658" t="n"/>
      <c r="AJ303" s="658" t="n"/>
      <c r="AK303" s="658" t="n"/>
      <c r="AL303" s="658" t="n"/>
      <c r="AN303" s="670" t="n"/>
      <c r="AO303" s="670" t="n"/>
      <c r="AP303" s="658" t="n"/>
      <c r="AQ303" s="658" t="n"/>
      <c r="AR303" s="658" t="n"/>
      <c r="AS303" s="658" t="n"/>
      <c r="AT303" s="658" t="n"/>
      <c r="AU303" s="658" t="n"/>
      <c r="AV303" s="658" t="n"/>
    </row>
    <row r="304">
      <c r="AA304" s="658" t="n"/>
      <c r="AB304" s="658" t="n"/>
      <c r="AC304" s="658" t="n"/>
      <c r="AD304" s="658" t="n"/>
      <c r="AE304" s="658" t="n"/>
      <c r="AF304" s="658" t="n"/>
      <c r="AG304" s="658" t="n"/>
      <c r="AH304" s="658" t="n"/>
      <c r="AI304" s="658" t="n"/>
      <c r="AJ304" s="658" t="n"/>
      <c r="AK304" s="658" t="n"/>
      <c r="AL304" s="658" t="n"/>
      <c r="AN304" s="670" t="n"/>
      <c r="AO304" s="670" t="n"/>
      <c r="AP304" s="658" t="n"/>
      <c r="AQ304" s="658" t="n"/>
      <c r="AR304" s="658" t="n"/>
      <c r="AS304" s="658" t="n"/>
      <c r="AT304" s="658" t="n"/>
      <c r="AU304" s="658" t="n"/>
      <c r="AV304" s="658" t="n"/>
    </row>
    <row r="305" customFormat="1" s="2659">
      <c r="B305" s="2660" t="n"/>
      <c r="N305" s="2661" t="n"/>
      <c r="AA305" s="671" t="n"/>
      <c r="AB305" s="671" t="n"/>
      <c r="AC305" s="671" t="n"/>
      <c r="AD305" s="671" t="n"/>
      <c r="AE305" s="671" t="n"/>
      <c r="AF305" s="671" t="n"/>
      <c r="AG305" s="671" t="n"/>
      <c r="AH305" s="671" t="n"/>
      <c r="AI305" s="671" t="n"/>
      <c r="AJ305" s="671" t="n"/>
      <c r="AK305" s="671" t="n"/>
      <c r="AL305" s="671" t="n"/>
      <c r="AN305" s="672" t="n"/>
      <c r="AO305" s="672" t="n"/>
      <c r="AP305" s="671" t="n"/>
      <c r="AQ305" s="671" t="n"/>
      <c r="AR305" s="671" t="n"/>
      <c r="AS305" s="671" t="n"/>
      <c r="AT305" s="671" t="n"/>
      <c r="AU305" s="671" t="n"/>
      <c r="AV305" s="671" t="n"/>
    </row>
    <row r="306" ht="23.25" customFormat="1" customHeight="1" s="2445">
      <c r="A306" s="2642" t="inlineStr">
        <is>
          <t>Worksheet A  —</t>
        </is>
      </c>
      <c r="B306" s="2642" t="n"/>
      <c r="C306" s="2642" t="n"/>
      <c r="D306" s="2539">
        <f>TaxYear&amp;" EIC  —  line 27a"</f>
        <v/>
      </c>
      <c r="L306" s="2684" t="inlineStr">
        <is>
          <t>Keep for Your Records</t>
        </is>
      </c>
      <c r="N306" s="2662" t="n"/>
      <c r="AA306" s="668" t="n"/>
      <c r="AB306" s="668" t="n"/>
      <c r="AC306" s="668" t="n"/>
      <c r="AD306" s="668" t="n"/>
      <c r="AE306" s="668" t="n"/>
      <c r="AF306" s="668" t="n"/>
      <c r="AG306" s="668" t="n"/>
      <c r="AH306" s="668" t="n"/>
      <c r="AI306" s="668" t="n"/>
      <c r="AJ306" s="668" t="n"/>
      <c r="AK306" s="668" t="n"/>
      <c r="AL306" s="668" t="n"/>
      <c r="AN306" s="669" t="n"/>
      <c r="AO306" s="669" t="n"/>
      <c r="AP306" s="668" t="n"/>
      <c r="AQ306" s="668" t="n"/>
      <c r="AR306" s="668" t="n"/>
      <c r="AS306" s="668" t="n"/>
      <c r="AT306" s="668" t="n"/>
      <c r="AU306" s="668" t="n"/>
      <c r="AV306" s="668" t="n"/>
    </row>
    <row r="307" ht="9" customFormat="1" customHeight="1" s="2445">
      <c r="A307" s="2642" t="n"/>
      <c r="B307" s="2642" t="n"/>
      <c r="C307" s="2642" t="n"/>
      <c r="N307" s="2662" t="n"/>
      <c r="AA307" s="668" t="n"/>
      <c r="AB307" s="668" t="n"/>
      <c r="AC307" s="668" t="n"/>
      <c r="AD307" s="668" t="n"/>
      <c r="AE307" s="668" t="n"/>
      <c r="AF307" s="668" t="n"/>
      <c r="AG307" s="668" t="n"/>
      <c r="AH307" s="668" t="n"/>
      <c r="AI307" s="668" t="n"/>
      <c r="AJ307" s="668" t="n"/>
      <c r="AK307" s="668" t="n"/>
      <c r="AL307" s="668" t="n"/>
      <c r="AN307" s="669" t="n"/>
      <c r="AO307" s="669" t="n"/>
      <c r="AP307" s="668" t="n"/>
      <c r="AQ307" s="668" t="n"/>
      <c r="AR307" s="668" t="n"/>
      <c r="AS307" s="668" t="n"/>
      <c r="AT307" s="668" t="n"/>
      <c r="AU307" s="668" t="n"/>
      <c r="AV307" s="668" t="n"/>
    </row>
    <row r="308" ht="15.75" customFormat="1" customHeight="1" s="2445">
      <c r="A308" s="9180" t="inlineStr">
        <is>
          <t>PART 1</t>
        </is>
      </c>
      <c r="B308" s="2642" t="inlineStr">
        <is>
          <t xml:space="preserve"> - All Filers Using Worksheet A</t>
        </is>
      </c>
      <c r="C308" s="2642" t="n"/>
      <c r="N308" s="2662" t="n"/>
      <c r="AA308" s="668" t="n"/>
      <c r="AB308" s="668" t="n"/>
      <c r="AC308" s="668" t="n"/>
      <c r="AD308" s="668" t="n"/>
      <c r="AE308" s="668" t="n"/>
      <c r="AF308" s="668" t="n"/>
      <c r="AG308" s="668" t="n"/>
      <c r="AH308" s="668" t="n"/>
      <c r="AI308" s="668" t="n"/>
      <c r="AJ308" s="668" t="n"/>
      <c r="AK308" s="668" t="n"/>
      <c r="AL308" s="668" t="n"/>
      <c r="AN308" s="669" t="n"/>
      <c r="AO308" s="669" t="n"/>
      <c r="AP308" s="668" t="n"/>
      <c r="AQ308" s="668" t="n"/>
      <c r="AR308" s="668" t="n"/>
      <c r="AS308" s="668" t="n"/>
      <c r="AT308" s="668" t="n"/>
      <c r="AU308" s="668" t="n"/>
      <c r="AV308" s="668" t="n"/>
    </row>
    <row r="309">
      <c r="AA309" s="658" t="n"/>
      <c r="AB309" s="658" t="n"/>
      <c r="AC309" s="658" t="n"/>
      <c r="AD309" s="658" t="n"/>
      <c r="AE309" s="658" t="n"/>
      <c r="AF309" s="658" t="n"/>
      <c r="AG309" s="658" t="n"/>
      <c r="AH309" s="658" t="n"/>
      <c r="AI309" s="658" t="n"/>
      <c r="AJ309" s="658" t="n"/>
      <c r="AK309" s="658" t="n"/>
      <c r="AL309" s="658" t="n"/>
      <c r="AN309" s="670" t="n"/>
      <c r="AO309" s="670" t="n"/>
      <c r="AP309" s="658" t="n"/>
      <c r="AQ309" s="658" t="n"/>
      <c r="AR309" s="658" t="n"/>
      <c r="AS309" s="658" t="n"/>
      <c r="AT309" s="658" t="n"/>
      <c r="AU309" s="658" t="n"/>
      <c r="AV309" s="658" t="n"/>
    </row>
    <row r="310">
      <c r="A310" s="441">
        <f>AND(L276,M302)</f>
        <v/>
      </c>
      <c r="B310" s="2658">
        <f>IF(A310,"X","")</f>
        <v/>
      </c>
      <c r="D310" s="11403" t="inlineStr">
        <is>
          <t>Before you begin:  Be sure you are using the correct worksheet.</t>
        </is>
      </c>
      <c r="AA310" s="658" t="n"/>
      <c r="AB310" s="658" t="n"/>
      <c r="AC310" s="658" t="n"/>
      <c r="AD310" s="658" t="n"/>
      <c r="AE310" s="658" t="n"/>
      <c r="AF310" s="658" t="n"/>
      <c r="AG310" s="658" t="n"/>
      <c r="AH310" s="658" t="n"/>
      <c r="AI310" s="658" t="n"/>
      <c r="AJ310" s="658" t="n"/>
      <c r="AK310" s="658" t="n"/>
      <c r="AL310" s="658" t="n"/>
      <c r="AN310" s="670" t="n"/>
      <c r="AO310" s="670" t="n"/>
      <c r="AP310" s="658" t="n"/>
      <c r="AQ310" s="658" t="n"/>
      <c r="AR310" s="658" t="n"/>
      <c r="AS310" s="658" t="n"/>
      <c r="AT310" s="658" t="n"/>
      <c r="AU310" s="658" t="n"/>
      <c r="AV310" s="658" t="n"/>
    </row>
    <row r="311">
      <c r="D311" s="11403" t="inlineStr">
        <is>
          <t>Use this worksheet only if you answered "No" to Step 5, question 2.</t>
        </is>
      </c>
      <c r="AA311" s="658" t="n"/>
      <c r="AB311" s="658" t="n"/>
      <c r="AC311" s="658" t="n"/>
      <c r="AD311" s="658" t="n"/>
      <c r="AE311" s="658" t="n"/>
      <c r="AF311" s="658" t="n"/>
      <c r="AG311" s="658" t="n"/>
      <c r="AH311" s="658" t="n"/>
      <c r="AI311" s="658" t="n"/>
      <c r="AJ311" s="658" t="n"/>
      <c r="AK311" s="658" t="n"/>
      <c r="AL311" s="658" t="n"/>
      <c r="AN311" s="670" t="n"/>
      <c r="AO311" s="670" t="n"/>
      <c r="AP311" s="658" t="n"/>
      <c r="AQ311" s="658" t="n"/>
      <c r="AR311" s="658" t="n"/>
      <c r="AS311" s="658" t="n"/>
      <c r="AT311" s="658" t="n"/>
      <c r="AU311" s="658" t="n"/>
      <c r="AV311" s="658" t="n"/>
    </row>
    <row r="312">
      <c r="D312" s="11403" t="inlineStr">
        <is>
          <t>Otherwise, use Worksheet B.</t>
        </is>
      </c>
      <c r="AA312" s="658" t="n"/>
      <c r="AB312" s="658" t="n"/>
      <c r="AC312" s="658" t="n"/>
      <c r="AD312" s="658" t="n"/>
      <c r="AE312" s="658" t="n"/>
      <c r="AF312" s="658" t="n"/>
      <c r="AG312" s="658" t="n"/>
      <c r="AH312" s="658" t="n"/>
      <c r="AI312" s="658" t="n"/>
      <c r="AJ312" s="658" t="n"/>
      <c r="AK312" s="658" t="n"/>
      <c r="AL312" s="658" t="n"/>
      <c r="AN312" s="670" t="n"/>
      <c r="AO312" s="670" t="n"/>
      <c r="AP312" s="658" t="n"/>
      <c r="AQ312" s="658" t="n"/>
      <c r="AR312" s="658" t="n"/>
      <c r="AS312" s="658" t="n"/>
      <c r="AT312" s="658" t="n"/>
      <c r="AU312" s="658" t="n"/>
      <c r="AV312" s="658" t="n"/>
    </row>
    <row r="313">
      <c r="AA313" s="658" t="n"/>
      <c r="AB313" s="658" t="n"/>
      <c r="AC313" s="658" t="n"/>
      <c r="AD313" s="658" t="n"/>
      <c r="AE313" s="658" t="n"/>
      <c r="AF313" s="658" t="n"/>
      <c r="AG313" s="658" t="n"/>
      <c r="AH313" s="658" t="n"/>
      <c r="AI313" s="658" t="n"/>
      <c r="AJ313" s="658" t="n"/>
      <c r="AK313" s="658" t="n"/>
      <c r="AL313" s="658" t="n"/>
      <c r="AN313" s="670" t="n"/>
      <c r="AO313" s="670" t="n"/>
      <c r="AP313" s="658" t="n"/>
      <c r="AQ313" s="658" t="n"/>
      <c r="AR313" s="658" t="n"/>
      <c r="AS313" s="658" t="n"/>
      <c r="AT313" s="658" t="n"/>
      <c r="AU313" s="658" t="n"/>
      <c r="AV313" s="658" t="n"/>
    </row>
    <row r="314">
      <c r="C314" s="2648" t="inlineStr">
        <is>
          <t>1.</t>
        </is>
      </c>
      <c r="D314" s="11403" t="inlineStr">
        <is>
          <t>Enter your earned income from Step 5.</t>
        </is>
      </c>
      <c r="J314" s="220" t="inlineStr">
        <is>
          <t>1.</t>
        </is>
      </c>
      <c r="K314" s="7842">
        <f>IF(A310,EIC_EarnedIncome,"")</f>
        <v/>
      </c>
      <c r="AA314" s="658" t="n"/>
      <c r="AB314" s="658" t="n"/>
      <c r="AC314" s="658" t="n"/>
      <c r="AD314" s="658" t="n"/>
      <c r="AE314" s="658" t="n"/>
      <c r="AF314" s="658" t="n"/>
      <c r="AG314" s="658" t="n"/>
      <c r="AH314" s="658" t="n"/>
      <c r="AI314" s="658" t="n"/>
      <c r="AJ314" s="658" t="n"/>
      <c r="AK314" s="658" t="n"/>
      <c r="AL314" s="658" t="n"/>
      <c r="AN314" s="670" t="n"/>
      <c r="AO314" s="670" t="n"/>
      <c r="AP314" s="658" t="n"/>
      <c r="AQ314" s="658" t="n"/>
      <c r="AR314" s="658" t="n"/>
      <c r="AS314" s="658" t="n"/>
      <c r="AT314" s="658" t="n"/>
      <c r="AU314" s="658" t="n"/>
      <c r="AV314" s="658" t="n"/>
    </row>
    <row r="315" ht="13.5" customHeight="1" s="7635" thickBot="1">
      <c r="AA315" s="658" t="n"/>
      <c r="AB315" s="658" t="n"/>
      <c r="AC315" s="658" t="n"/>
      <c r="AD315" s="658" t="n"/>
      <c r="AE315" s="658" t="n"/>
      <c r="AF315" s="658" t="n"/>
      <c r="AG315" s="658" t="n"/>
      <c r="AH315" s="658" t="n"/>
      <c r="AI315" s="658" t="n"/>
      <c r="AJ315" s="658" t="n"/>
      <c r="AK315" s="658" t="n"/>
      <c r="AL315" s="658" t="n"/>
      <c r="AN315" s="664" t="inlineStr">
        <is>
          <t>EIC_EarnedIncome</t>
        </is>
      </c>
      <c r="AO315" s="670" t="n"/>
      <c r="AP315" s="658" t="n"/>
      <c r="AQ315" s="658" t="n"/>
      <c r="AR315" s="658" t="n"/>
      <c r="AS315" s="658" t="n"/>
      <c r="AT315" s="658" t="n"/>
      <c r="AU315" s="658" t="n"/>
      <c r="AV315" s="658" t="n"/>
    </row>
    <row r="316">
      <c r="C316" s="2648" t="inlineStr">
        <is>
          <t>2.</t>
        </is>
      </c>
      <c r="D316" s="11403" t="inlineStr">
        <is>
          <t>Look up the amount on line 1 above in the EIC Table (right</t>
        </is>
      </c>
      <c r="K316" s="220" t="inlineStr">
        <is>
          <t>2.</t>
        </is>
      </c>
      <c r="L316" s="7842">
        <f>IF(A310,IF(ISERROR(AN320),0,AN320),"")</f>
        <v/>
      </c>
      <c r="AA316" s="658" t="n"/>
      <c r="AB316" s="658" t="n"/>
      <c r="AC316" s="658" t="n"/>
      <c r="AD316" s="658" t="n"/>
      <c r="AE316" s="658" t="n"/>
      <c r="AF316" s="658" t="n"/>
      <c r="AG316" s="658" t="n"/>
      <c r="AH316" s="658" t="n"/>
      <c r="AI316" s="658" t="n"/>
      <c r="AJ316" s="658" t="n"/>
      <c r="AK316" s="658" t="n"/>
      <c r="AL316" s="658" t="n"/>
      <c r="AN316" s="674">
        <f>EIC_EarnedIncome</f>
        <v/>
      </c>
      <c r="AO316" s="12019" t="inlineStr">
        <is>
          <t>No Qual. Children</t>
        </is>
      </c>
      <c r="AP316" s="12020" t="n"/>
      <c r="AQ316" s="12019" t="inlineStr">
        <is>
          <t>One Qualifying Child</t>
        </is>
      </c>
      <c r="AR316" s="12020" t="n"/>
      <c r="AS316" s="12019" t="inlineStr">
        <is>
          <t>Two Qualify Children</t>
        </is>
      </c>
      <c r="AT316" s="12020" t="n"/>
      <c r="AU316" s="12019" t="inlineStr">
        <is>
          <t>Three Qualify Children</t>
        </is>
      </c>
      <c r="AV316" s="12020" t="n"/>
    </row>
    <row r="317">
      <c r="D317" s="11403" t="inlineStr">
        <is>
          <t>after Worksheet B) to find the credit. Be sure you use the correct column</t>
        </is>
      </c>
      <c r="AA317" s="658" t="n"/>
      <c r="AB317" s="658" t="n"/>
      <c r="AC317" s="658" t="n"/>
      <c r="AD317" s="658" t="n"/>
      <c r="AE317" s="658" t="n"/>
      <c r="AF317" s="658" t="n"/>
      <c r="AG317" s="658" t="n"/>
      <c r="AH317" s="658" t="n"/>
      <c r="AI317" s="658" t="n"/>
      <c r="AJ317" s="658" t="n"/>
      <c r="AK317" s="658" t="n"/>
      <c r="AL317" s="658" t="n"/>
      <c r="AN317" s="675">
        <f>IF(AN316&lt;&gt;"",ROUND(AN316,0),"")</f>
        <v/>
      </c>
      <c r="AO317" s="676" t="inlineStr">
        <is>
          <t>All others</t>
        </is>
      </c>
      <c r="AP317" s="677" t="inlineStr">
        <is>
          <t>MFJ</t>
        </is>
      </c>
      <c r="AQ317" s="676" t="inlineStr">
        <is>
          <t>All others</t>
        </is>
      </c>
      <c r="AR317" s="677" t="inlineStr">
        <is>
          <t>MFJ</t>
        </is>
      </c>
      <c r="AS317" s="676" t="inlineStr">
        <is>
          <t>All others</t>
        </is>
      </c>
      <c r="AT317" s="678" t="inlineStr">
        <is>
          <t>MFJ</t>
        </is>
      </c>
      <c r="AU317" s="676" t="inlineStr">
        <is>
          <t>All others</t>
        </is>
      </c>
      <c r="AV317" s="678" t="inlineStr">
        <is>
          <t>MFJ</t>
        </is>
      </c>
    </row>
    <row r="318">
      <c r="D318" s="11403" t="inlineStr">
        <is>
          <t>for your filing status and the number of children you have. Enter the</t>
        </is>
      </c>
      <c r="AA318" s="658" t="n"/>
      <c r="AB318" s="658" t="n"/>
      <c r="AC318" s="658" t="n"/>
      <c r="AD318" s="658" t="n"/>
      <c r="AE318" s="658" t="n"/>
      <c r="AF318" s="658" t="n"/>
      <c r="AG318" s="658" t="n"/>
      <c r="AH318" s="658" t="n"/>
      <c r="AI318" s="658" t="n"/>
      <c r="AJ318" s="658" t="n"/>
      <c r="AK318" s="658" t="n"/>
      <c r="AL318" s="658" t="n"/>
      <c r="AN318" s="675" t="n"/>
      <c r="AO318" s="2685">
        <f>LOOKUP(AN319,'EIC Table'!$A$3:$A$1384,'EIC Table'!$C$3:$C$1384)</f>
        <v/>
      </c>
      <c r="AP318" s="2686">
        <f>LOOKUP(AN319,'EIC Table'!$A$3:$A$1384,'EIC Table'!$G$3:$G$1384)</f>
        <v/>
      </c>
      <c r="AQ318" s="2685">
        <f>LOOKUP(AN319,'EIC Table'!$A$3:$A$1384,'EIC Table'!$D$3:$D$1384)</f>
        <v/>
      </c>
      <c r="AR318" s="2686">
        <f>LOOKUP(AN319,'EIC Table'!$A$3:$A$1384,'EIC Table'!$H$3:$H$1384)</f>
        <v/>
      </c>
      <c r="AS318" s="11547">
        <f>LOOKUP(AN319,'EIC Table'!$A$3:$A$1384,'EIC Table'!$E$3:$E$1384)</f>
        <v/>
      </c>
      <c r="AT318" s="2686">
        <f>LOOKUP(AN319,'EIC Table'!$A$3:$A$1384,'EIC Table'!$I$3:$I$1384)</f>
        <v/>
      </c>
      <c r="AU318" s="11547">
        <f>LOOKUP(AN319,'EIC Table'!$A$3:$A$1384,'EIC Table'!$F$3:$F$1384)</f>
        <v/>
      </c>
      <c r="AV318" s="2686">
        <f>LOOKUP(AN319,'EIC Table'!$A$3:$A$1384,'EIC Table'!$J$3:$J$1384)</f>
        <v/>
      </c>
    </row>
    <row r="319" ht="13.5" customHeight="1" s="7635" thickBot="1">
      <c r="D319" s="11403" t="inlineStr">
        <is>
          <t>credit here.</t>
        </is>
      </c>
      <c r="AA319" s="658" t="n"/>
      <c r="AB319" s="658" t="n"/>
      <c r="AC319" s="658" t="n"/>
      <c r="AD319" s="658" t="n"/>
      <c r="AE319" s="658" t="n"/>
      <c r="AF319" s="658" t="n"/>
      <c r="AG319" s="658" t="n"/>
      <c r="AH319" s="658" t="n"/>
      <c r="AI319" s="658" t="n"/>
      <c r="AJ319" s="658" t="n"/>
      <c r="AK319" s="658" t="n"/>
      <c r="AL319" s="658" t="n"/>
      <c r="AN319" s="675">
        <f>IF(AN317="","",AN317)</f>
        <v/>
      </c>
      <c r="AO319" s="679" t="n"/>
      <c r="AP319" s="680" t="n"/>
      <c r="AQ319" s="679" t="n"/>
      <c r="AR319" s="680" t="n"/>
      <c r="AS319" s="681" t="n"/>
      <c r="AT319" s="680" t="n"/>
      <c r="AU319" s="681" t="n"/>
      <c r="AV319" s="680" t="n"/>
    </row>
    <row r="320" ht="13.5" customHeight="1" s="7635" thickBot="1">
      <c r="D320" s="11403" t="n"/>
      <c r="AA320" s="658" t="n"/>
      <c r="AB320" s="658" t="n"/>
      <c r="AC320" s="658" t="n"/>
      <c r="AD320" s="658" t="n"/>
      <c r="AE320" s="658" t="n"/>
      <c r="AF320" s="658" t="n"/>
      <c r="AG320" s="658" t="n"/>
      <c r="AH320" s="658" t="n"/>
      <c r="AI320" s="658" t="n"/>
      <c r="AJ320" s="658" t="n"/>
      <c r="AK320" s="658" t="n"/>
      <c r="AL320" s="658" t="n"/>
      <c r="AN320" s="682">
        <f>IF(EICNumQualChild&gt;2,AV320,IF(EICNumQualChild=2,AT320,IF(EICNumQualChild=1,AR320,AP320)))</f>
        <v/>
      </c>
      <c r="AO320" s="683" t="n"/>
      <c r="AP320" s="684">
        <f>IF(File_Marr_Joint&lt;&gt;"",AP318,AO318)</f>
        <v/>
      </c>
      <c r="AQ320" s="683" t="n"/>
      <c r="AR320" s="684">
        <f>IF(File_Marr_Joint&lt;&gt;"",AR318,AQ318)</f>
        <v/>
      </c>
      <c r="AS320" s="685" t="n"/>
      <c r="AT320" s="684">
        <f>IF(File_Marr_Joint&lt;&gt;"",AT318,AS318)</f>
        <v/>
      </c>
      <c r="AU320" s="685" t="n"/>
      <c r="AV320" s="684">
        <f>IF(File_Marr_Joint&lt;&gt;"",AV318,AU318)</f>
        <v/>
      </c>
    </row>
    <row r="321">
      <c r="A321" s="441">
        <f>AND(A310,L316=0)</f>
        <v/>
      </c>
      <c r="D321" s="11403" t="inlineStr">
        <is>
          <t>If line 2 is zero, STOP you can't take the credit.</t>
        </is>
      </c>
      <c r="L321" s="441" t="n"/>
      <c r="AA321" s="658" t="n"/>
      <c r="AB321" s="658" t="n"/>
      <c r="AC321" s="658" t="n"/>
      <c r="AD321" s="658" t="n"/>
      <c r="AE321" s="658" t="n"/>
      <c r="AF321" s="658" t="n"/>
      <c r="AG321" s="658" t="n"/>
      <c r="AH321" s="658" t="n"/>
      <c r="AI321" s="658" t="n"/>
      <c r="AJ321" s="658" t="n"/>
      <c r="AK321" s="658" t="n"/>
      <c r="AL321" s="658" t="n"/>
      <c r="AN321" s="670" t="n"/>
      <c r="AO321" s="670" t="n"/>
      <c r="AP321" s="658" t="n"/>
      <c r="AQ321" s="658" t="n"/>
      <c r="AR321" s="658" t="n"/>
      <c r="AS321" s="658" t="n"/>
      <c r="AT321" s="658" t="n"/>
      <c r="AU321" s="658" t="n"/>
      <c r="AV321" s="658" t="n"/>
    </row>
    <row r="322">
      <c r="D322" s="11403" t="inlineStr">
        <is>
          <t>Check the box on Form 1040 or 1040-SR, line 27c.</t>
        </is>
      </c>
      <c r="N322" s="88" t="n"/>
      <c r="AA322" s="658" t="n"/>
      <c r="AB322" s="658" t="n"/>
      <c r="AC322" s="658" t="n"/>
      <c r="AD322" s="658" t="n"/>
      <c r="AE322" s="658" t="n"/>
      <c r="AF322" s="658" t="n"/>
      <c r="AG322" s="658" t="n"/>
      <c r="AH322" s="658" t="n"/>
      <c r="AI322" s="658" t="n"/>
      <c r="AJ322" s="658" t="n"/>
      <c r="AK322" s="658" t="n"/>
      <c r="AL322" s="658" t="n"/>
      <c r="AN322" s="670" t="n"/>
      <c r="AO322" s="670" t="n"/>
      <c r="AP322" s="658" t="n"/>
      <c r="AQ322" s="658" t="n"/>
      <c r="AR322" s="658" t="n"/>
      <c r="AS322" s="658" t="n"/>
      <c r="AT322" s="658" t="n"/>
      <c r="AU322" s="658" t="n"/>
      <c r="AV322" s="658" t="n"/>
    </row>
    <row r="323">
      <c r="AA323" s="658" t="n"/>
      <c r="AB323" s="658" t="n"/>
      <c r="AC323" s="658" t="n"/>
      <c r="AD323" s="658" t="n"/>
      <c r="AE323" s="658" t="n"/>
      <c r="AF323" s="658" t="n"/>
      <c r="AG323" s="658" t="n"/>
      <c r="AH323" s="658" t="n"/>
      <c r="AI323" s="658" t="n"/>
      <c r="AJ323" s="658" t="n"/>
      <c r="AK323" s="658" t="n"/>
      <c r="AL323" s="658" t="n"/>
      <c r="AN323" s="670" t="n"/>
      <c r="AO323" s="670" t="n"/>
      <c r="AP323" s="658" t="n"/>
      <c r="AQ323" s="658" t="n"/>
      <c r="AR323" s="658" t="n"/>
      <c r="AS323" s="658" t="n"/>
      <c r="AT323" s="658" t="n"/>
      <c r="AU323" s="658" t="n"/>
      <c r="AV323" s="658" t="n"/>
    </row>
    <row r="324">
      <c r="C324" s="2648" t="inlineStr">
        <is>
          <t>3.</t>
        </is>
      </c>
      <c r="D324" s="11403" t="inlineStr">
        <is>
          <t>Enter the amount from Form 1040 or 1040-SR, line 11.</t>
        </is>
      </c>
      <c r="J324" s="220" t="inlineStr">
        <is>
          <t>3.</t>
        </is>
      </c>
      <c r="K324" s="7842">
        <f>IF(AND(A310,NOT(A321)),Adj_Gross_Inc,"")</f>
        <v/>
      </c>
      <c r="AA324" s="658" t="n"/>
      <c r="AB324" s="658" t="n"/>
      <c r="AC324" s="658" t="n"/>
      <c r="AD324" s="658" t="n"/>
      <c r="AE324" s="658" t="n"/>
      <c r="AF324" s="658" t="n"/>
      <c r="AG324" s="658" t="n"/>
      <c r="AH324" s="658" t="n"/>
      <c r="AI324" s="658" t="n"/>
      <c r="AJ324" s="658" t="n"/>
      <c r="AK324" s="658" t="n"/>
      <c r="AL324" s="658" t="n"/>
      <c r="AN324" s="670" t="n"/>
      <c r="AO324" s="670" t="n"/>
      <c r="AP324" s="658" t="n"/>
      <c r="AQ324" s="658" t="n"/>
      <c r="AR324" s="658" t="n"/>
      <c r="AS324" s="658" t="n"/>
      <c r="AT324" s="658" t="n"/>
      <c r="AU324" s="658" t="n"/>
      <c r="AV324" s="658" t="n"/>
    </row>
    <row r="325">
      <c r="AA325" s="658" t="n"/>
      <c r="AB325" s="658" t="n"/>
      <c r="AC325" s="658" t="n"/>
      <c r="AD325" s="658" t="n"/>
      <c r="AE325" s="658" t="n"/>
      <c r="AF325" s="658" t="n"/>
      <c r="AG325" s="658" t="n"/>
      <c r="AH325" s="658" t="n"/>
      <c r="AI325" s="658" t="n"/>
      <c r="AJ325" s="658" t="n"/>
      <c r="AK325" s="658" t="n"/>
      <c r="AL325" s="658" t="n"/>
      <c r="AN325" s="670" t="n"/>
      <c r="AO325" s="670" t="n"/>
      <c r="AP325" s="658" t="n"/>
      <c r="AQ325" s="658" t="n"/>
      <c r="AR325" s="658" t="n"/>
      <c r="AS325" s="658" t="n"/>
      <c r="AT325" s="658" t="n"/>
      <c r="AU325" s="658" t="n"/>
      <c r="AV325" s="658" t="n"/>
    </row>
    <row r="326">
      <c r="C326" s="2648" t="inlineStr">
        <is>
          <t>4.</t>
        </is>
      </c>
      <c r="D326" s="88" t="inlineStr">
        <is>
          <t>Are the amounts on lines 3 and 1 the same?</t>
        </is>
      </c>
      <c r="AA326" s="658" t="n"/>
      <c r="AB326" s="658" t="n"/>
      <c r="AC326" s="658" t="n"/>
      <c r="AD326" s="658" t="n"/>
      <c r="AE326" s="658" t="n"/>
      <c r="AF326" s="658" t="n"/>
      <c r="AG326" s="658" t="n"/>
      <c r="AH326" s="658" t="n"/>
      <c r="AI326" s="658" t="n"/>
      <c r="AJ326" s="658" t="n"/>
      <c r="AK326" s="658" t="n"/>
      <c r="AL326" s="658" t="n"/>
      <c r="AN326" s="670" t="n"/>
      <c r="AO326" s="670" t="n"/>
      <c r="AP326" s="658" t="n"/>
      <c r="AQ326" s="658" t="n"/>
      <c r="AR326" s="658" t="n"/>
      <c r="AS326" s="658" t="n"/>
      <c r="AT326" s="658" t="n"/>
      <c r="AU326" s="658" t="n"/>
      <c r="AV326" s="658" t="n"/>
    </row>
    <row r="327">
      <c r="AA327" s="658" t="n"/>
      <c r="AB327" s="658" t="n"/>
      <c r="AC327" s="658" t="n"/>
      <c r="AD327" s="658" t="n"/>
      <c r="AE327" s="658" t="n"/>
      <c r="AF327" s="658" t="n"/>
      <c r="AG327" s="658" t="n"/>
      <c r="AH327" s="658" t="n"/>
      <c r="AI327" s="658" t="n"/>
      <c r="AJ327" s="658" t="n"/>
      <c r="AK327" s="658" t="n"/>
      <c r="AL327" s="658" t="n"/>
      <c r="AN327" s="670" t="n"/>
      <c r="AO327" s="670" t="n"/>
      <c r="AP327" s="658" t="n"/>
      <c r="AQ327" s="658" t="n"/>
      <c r="AR327" s="658" t="n"/>
      <c r="AS327" s="658" t="n"/>
      <c r="AT327" s="658" t="n"/>
      <c r="AU327" s="658" t="n"/>
      <c r="AV327" s="658" t="n"/>
    </row>
    <row r="328">
      <c r="A328" s="441">
        <f>AND(A310,NOT(A321),K324=K314)</f>
        <v/>
      </c>
      <c r="B328" s="2658">
        <f>IF(A328,"X","")</f>
        <v/>
      </c>
      <c r="D328" s="226" t="inlineStr">
        <is>
          <t>Yes.  Skip line 5; enter the amount from line 2 on line 6.</t>
        </is>
      </c>
      <c r="AA328" s="658" t="n"/>
      <c r="AB328" s="658" t="n"/>
      <c r="AC328" s="658" t="n"/>
      <c r="AD328" s="658" t="n"/>
      <c r="AE328" s="658" t="n"/>
      <c r="AF328" s="658" t="n"/>
      <c r="AG328" s="658" t="n"/>
      <c r="AH328" s="658" t="n"/>
      <c r="AI328" s="658" t="n"/>
      <c r="AJ328" s="658" t="n"/>
      <c r="AK328" s="658" t="n"/>
      <c r="AL328" s="658" t="n"/>
      <c r="AN328" s="670" t="n"/>
      <c r="AO328" s="670" t="n"/>
      <c r="AP328" s="658" t="n"/>
      <c r="AQ328" s="658" t="n"/>
      <c r="AR328" s="658" t="n"/>
      <c r="AS328" s="658" t="n"/>
      <c r="AT328" s="658" t="n"/>
      <c r="AU328" s="658" t="n"/>
      <c r="AV328" s="658" t="n"/>
    </row>
    <row r="329">
      <c r="AA329" s="658" t="n"/>
      <c r="AB329" s="658" t="n"/>
      <c r="AC329" s="658" t="n"/>
      <c r="AD329" s="658" t="n"/>
      <c r="AE329" s="658" t="n"/>
      <c r="AF329" s="658" t="n"/>
      <c r="AG329" s="658" t="n"/>
      <c r="AH329" s="658" t="n"/>
      <c r="AI329" s="658" t="n"/>
      <c r="AJ329" s="658" t="n"/>
      <c r="AK329" s="658" t="n"/>
      <c r="AL329" s="658" t="n"/>
      <c r="AN329" s="670" t="n"/>
      <c r="AO329" s="670" t="n"/>
      <c r="AP329" s="658" t="n"/>
      <c r="AQ329" s="658" t="n"/>
      <c r="AR329" s="658" t="n"/>
      <c r="AS329" s="658" t="n"/>
      <c r="AT329" s="658" t="n"/>
      <c r="AU329" s="658" t="n"/>
      <c r="AV329" s="658" t="n"/>
    </row>
    <row r="330">
      <c r="A330" s="441">
        <f>AND(A310,NOT(A321),K324&lt;&gt;K314)</f>
        <v/>
      </c>
      <c r="B330" s="2658">
        <f>IF(OR(L316=0,$B$310=""),"",IF(K324=K314,"","X"))</f>
        <v/>
      </c>
      <c r="D330" s="226" t="inlineStr">
        <is>
          <t>No.   Go to line 5.</t>
        </is>
      </c>
      <c r="AA330" s="658" t="n"/>
      <c r="AB330" s="658" t="n"/>
      <c r="AC330" s="658" t="n"/>
      <c r="AD330" s="658" t="n"/>
      <c r="AE330" s="658" t="n"/>
      <c r="AF330" s="658" t="n"/>
      <c r="AG330" s="658" t="n"/>
      <c r="AH330" s="658" t="n"/>
      <c r="AI330" s="658" t="n"/>
      <c r="AJ330" s="658" t="n"/>
      <c r="AK330" s="658" t="n"/>
      <c r="AL330" s="658" t="n"/>
      <c r="AN330" s="670" t="n"/>
      <c r="AO330" s="670" t="n"/>
      <c r="AP330" s="658" t="n"/>
      <c r="AQ330" s="658" t="n"/>
      <c r="AR330" s="658" t="n"/>
      <c r="AS330" s="658" t="n"/>
      <c r="AT330" s="658" t="n"/>
      <c r="AU330" s="658" t="n"/>
      <c r="AV330" s="658" t="n"/>
    </row>
    <row r="331" ht="7.5" customHeight="1" s="7635">
      <c r="AA331" s="658" t="n"/>
      <c r="AB331" s="658" t="n"/>
      <c r="AC331" s="658" t="n"/>
      <c r="AD331" s="658" t="n"/>
      <c r="AE331" s="658" t="n"/>
      <c r="AF331" s="658" t="n"/>
      <c r="AG331" s="658" t="n"/>
      <c r="AH331" s="658" t="n"/>
      <c r="AI331" s="658" t="n"/>
      <c r="AJ331" s="658" t="n"/>
      <c r="AK331" s="658" t="n"/>
      <c r="AL331" s="658" t="n"/>
      <c r="AN331" s="670" t="n"/>
      <c r="AO331" s="670" t="n"/>
      <c r="AP331" s="658" t="n"/>
      <c r="AQ331" s="658" t="n"/>
      <c r="AR331" s="658" t="n"/>
      <c r="AS331" s="658" t="n"/>
      <c r="AT331" s="658" t="n"/>
      <c r="AU331" s="658" t="n"/>
      <c r="AV331" s="658" t="n"/>
    </row>
    <row r="332" ht="7.5" customFormat="1" customHeight="1" s="2659">
      <c r="B332" s="2660" t="n"/>
      <c r="N332" s="2661" t="n"/>
      <c r="AA332" s="671" t="n"/>
      <c r="AB332" s="671" t="n"/>
      <c r="AC332" s="671" t="n"/>
      <c r="AD332" s="671" t="n"/>
      <c r="AE332" s="671" t="n"/>
      <c r="AF332" s="671" t="n"/>
      <c r="AG332" s="671" t="n"/>
      <c r="AH332" s="671" t="n"/>
      <c r="AI332" s="671" t="n"/>
      <c r="AJ332" s="671" t="n"/>
      <c r="AK332" s="671" t="n"/>
      <c r="AL332" s="671" t="n"/>
      <c r="AN332" s="672" t="n"/>
      <c r="AO332" s="672" t="n"/>
      <c r="AP332" s="671" t="n"/>
      <c r="AQ332" s="671" t="n"/>
      <c r="AR332" s="671" t="n"/>
      <c r="AS332" s="671" t="n"/>
      <c r="AT332" s="671" t="n"/>
      <c r="AU332" s="671" t="n"/>
      <c r="AV332" s="671" t="n"/>
    </row>
    <row r="333" ht="16.5" customFormat="1" customHeight="1" s="2445">
      <c r="A333" s="9180" t="inlineStr">
        <is>
          <t>PART 2</t>
        </is>
      </c>
      <c r="B333" s="2688" t="inlineStr">
        <is>
          <t>- Filers who answered "No" on Line 4.</t>
        </is>
      </c>
      <c r="C333" s="2642" t="n"/>
      <c r="N333" s="2662" t="n"/>
      <c r="AA333" s="668" t="n"/>
      <c r="AB333" s="668" t="n"/>
      <c r="AC333" s="668" t="n"/>
      <c r="AD333" s="668" t="n"/>
      <c r="AE333" s="668" t="n"/>
      <c r="AF333" s="668" t="n"/>
      <c r="AG333" s="668" t="n"/>
      <c r="AH333" s="668" t="n"/>
      <c r="AI333" s="668" t="n"/>
      <c r="AJ333" s="668" t="n"/>
      <c r="AK333" s="668" t="n"/>
      <c r="AL333" s="668" t="n"/>
      <c r="AN333" s="669" t="n"/>
      <c r="AO333" s="669" t="n"/>
      <c r="AP333" s="668" t="n"/>
      <c r="AQ333" s="668" t="n"/>
      <c r="AR333" s="668" t="n"/>
      <c r="AS333" s="668" t="n"/>
      <c r="AT333" s="668" t="n"/>
      <c r="AU333" s="668" t="n"/>
      <c r="AV333" s="668" t="n"/>
    </row>
    <row r="334">
      <c r="AA334" s="658" t="n"/>
      <c r="AB334" s="658" t="n"/>
      <c r="AC334" s="658" t="n"/>
      <c r="AD334" s="658" t="n"/>
      <c r="AE334" s="658" t="n"/>
      <c r="AF334" s="658" t="n"/>
      <c r="AG334" s="658" t="n"/>
      <c r="AH334" s="658" t="n"/>
      <c r="AI334" s="658" t="n"/>
      <c r="AJ334" s="658" t="n"/>
      <c r="AK334" s="658" t="n"/>
      <c r="AL334" s="658" t="n"/>
      <c r="AN334" s="670" t="n"/>
      <c r="AO334" s="670" t="n"/>
      <c r="AP334" s="658" t="n"/>
      <c r="AQ334" s="658" t="n"/>
      <c r="AR334" s="658" t="n"/>
      <c r="AS334" s="658" t="n"/>
      <c r="AT334" s="658" t="n"/>
      <c r="AU334" s="658" t="n"/>
      <c r="AV334" s="658" t="n"/>
    </row>
    <row r="335">
      <c r="C335" s="2648" t="inlineStr">
        <is>
          <t>5.</t>
        </is>
      </c>
      <c r="D335" s="88" t="inlineStr">
        <is>
          <t>If you have:</t>
        </is>
      </c>
      <c r="AA335" s="658" t="n"/>
      <c r="AB335" s="658" t="n"/>
      <c r="AC335" s="658" t="n"/>
      <c r="AD335" s="658" t="n"/>
      <c r="AE335" s="658" t="n"/>
      <c r="AF335" s="658" t="n"/>
      <c r="AG335" s="658" t="n"/>
      <c r="AH335" s="658" t="n"/>
      <c r="AI335" s="658" t="n"/>
      <c r="AJ335" s="658" t="n"/>
      <c r="AK335" s="658" t="n"/>
      <c r="AL335" s="658" t="n"/>
      <c r="AN335" s="670" t="n"/>
      <c r="AO335" s="670" t="n"/>
      <c r="AP335" s="658" t="n"/>
      <c r="AQ335" s="658" t="n"/>
      <c r="AR335" s="658" t="n"/>
      <c r="AS335" s="658" t="n"/>
      <c r="AT335" s="658" t="n"/>
      <c r="AU335" s="658" t="n"/>
      <c r="AV335" s="658" t="n"/>
    </row>
    <row r="336">
      <c r="B336" s="2682">
        <f>IF(OR($H$294="X",$B$310="",$B$330=""),"",IF(EICNumQualChild=0,"®",""))</f>
        <v/>
      </c>
      <c r="C336" s="2643" t="inlineStr">
        <is>
          <t>●</t>
        </is>
      </c>
      <c r="D336" s="11403" t="inlineStr">
        <is>
          <t>No qualifying children who have a valid SSN, is the amount on</t>
        </is>
      </c>
      <c r="L336" s="2689" t="n"/>
      <c r="M336" s="441" t="n"/>
      <c r="N336" s="2468">
        <f>'EIC Table'!N5</f>
        <v/>
      </c>
      <c r="AA336" s="658" t="n"/>
      <c r="AB336" s="658" t="n"/>
      <c r="AC336" s="658" t="n"/>
      <c r="AD336" s="658" t="n"/>
      <c r="AE336" s="658" t="n"/>
      <c r="AF336" s="658" t="n"/>
      <c r="AG336" s="658" t="n"/>
      <c r="AH336" s="658" t="n"/>
      <c r="AI336" s="658" t="n"/>
      <c r="AJ336" s="658" t="n"/>
      <c r="AK336" s="658" t="n"/>
      <c r="AL336" s="658" t="n"/>
      <c r="AN336" s="670" t="n"/>
      <c r="AO336" s="670" t="n"/>
      <c r="AP336" s="658" t="n"/>
      <c r="AQ336" s="658" t="n"/>
      <c r="AR336" s="658" t="n"/>
      <c r="AS336" s="658" t="n"/>
      <c r="AT336" s="658" t="n"/>
      <c r="AU336" s="658" t="n"/>
      <c r="AV336" s="658" t="n"/>
    </row>
    <row r="337">
      <c r="D337" s="88">
        <f>"line 3 less than "&amp;TEXT(N336,"$0,000")&amp;" ("&amp;TEXT(N337,"$0,000")&amp;" if married filing jointly)? "</f>
        <v/>
      </c>
      <c r="L337" s="228">
        <f>IF(B336&lt;&gt;"®","",IF(M337,"Yes","No"))</f>
        <v/>
      </c>
      <c r="M337" s="441">
        <f>AND(EICNumQualChild=0,A330,OR(AND(File_Marr_Joint="",$K$324&lt;N336),AND(File_Marr_Joint&lt;&gt;"",$K$324&lt;N337)))</f>
        <v/>
      </c>
      <c r="N337" s="2468">
        <f>'EIC Table'!R5</f>
        <v/>
      </c>
      <c r="AA337" s="658" t="n"/>
      <c r="AB337" s="658" t="n"/>
      <c r="AC337" s="658" t="n"/>
      <c r="AD337" s="658" t="n"/>
      <c r="AE337" s="658" t="n"/>
      <c r="AF337" s="658" t="n"/>
      <c r="AG337" s="658" t="n"/>
      <c r="AH337" s="658" t="n"/>
      <c r="AI337" s="658" t="n"/>
      <c r="AJ337" s="658" t="n"/>
      <c r="AK337" s="658" t="n"/>
      <c r="AL337" s="658" t="n"/>
      <c r="AN337" s="670" t="n"/>
      <c r="AO337" s="670" t="n"/>
      <c r="AP337" s="658" t="n"/>
      <c r="AQ337" s="658" t="n"/>
      <c r="AR337" s="658" t="n"/>
      <c r="AS337" s="658" t="n"/>
      <c r="AT337" s="658" t="n"/>
      <c r="AU337" s="658" t="n"/>
      <c r="AV337" s="658" t="n"/>
    </row>
    <row r="338">
      <c r="C338" s="228" t="inlineStr">
        <is>
          <t>or</t>
        </is>
      </c>
      <c r="M338" s="441" t="n"/>
      <c r="N338" s="2468" t="n"/>
      <c r="AA338" s="658" t="n"/>
      <c r="AB338" s="658" t="n"/>
      <c r="AC338" s="658" t="n"/>
      <c r="AD338" s="658" t="n"/>
      <c r="AE338" s="658" t="n"/>
      <c r="AF338" s="658" t="n"/>
      <c r="AG338" s="658" t="n"/>
      <c r="AH338" s="658" t="n"/>
      <c r="AI338" s="658" t="n"/>
      <c r="AJ338" s="658" t="n"/>
      <c r="AK338" s="658" t="n"/>
      <c r="AL338" s="658" t="n"/>
      <c r="AN338" s="670" t="n"/>
      <c r="AO338" s="670" t="n"/>
      <c r="AP338" s="658" t="n"/>
      <c r="AQ338" s="658" t="n"/>
      <c r="AR338" s="658" t="n"/>
      <c r="AS338" s="658" t="n"/>
      <c r="AT338" s="658" t="n"/>
      <c r="AU338" s="658" t="n"/>
      <c r="AV338" s="658" t="n"/>
    </row>
    <row r="339" ht="14.25" customHeight="1" s="7635">
      <c r="B339" s="2682">
        <f>IF(OR($H$294="X",$B$310="",$B$330=""),"",IF(EICNumQualChild&gt;0,"®",""))</f>
        <v/>
      </c>
      <c r="C339" s="2643" t="inlineStr">
        <is>
          <t>●</t>
        </is>
      </c>
      <c r="D339" s="11403" t="inlineStr">
        <is>
          <t>1 or more qualifying children who have a valid SSN, is the amount</t>
        </is>
      </c>
      <c r="L339" s="2689" t="n"/>
      <c r="M339" s="441" t="n"/>
      <c r="N339" s="2468">
        <f>'EIC Table'!O5</f>
        <v/>
      </c>
      <c r="AA339" s="658" t="n"/>
      <c r="AB339" s="658" t="n"/>
      <c r="AC339" s="658" t="n"/>
      <c r="AD339" s="658" t="n"/>
      <c r="AE339" s="658" t="n"/>
      <c r="AF339" s="658" t="n"/>
      <c r="AG339" s="658" t="n"/>
      <c r="AH339" s="658" t="n"/>
      <c r="AI339" s="658" t="n"/>
      <c r="AJ339" s="658" t="n"/>
      <c r="AK339" s="658" t="n"/>
      <c r="AL339" s="658" t="n"/>
      <c r="AN339" s="670" t="n"/>
      <c r="AO339" s="670" t="n"/>
      <c r="AP339" s="658" t="n"/>
      <c r="AQ339" s="658" t="n"/>
      <c r="AR339" s="658" t="n"/>
      <c r="AS339" s="658" t="n"/>
      <c r="AT339" s="658" t="n"/>
      <c r="AU339" s="658" t="n"/>
      <c r="AV339" s="658" t="n"/>
    </row>
    <row r="340">
      <c r="D340" s="88">
        <f>"on line 3 less than "&amp;TEXT(N339,"$0,000")&amp;" ("&amp;TEXT(N340,"$0,000")&amp;" if married filing jointly)?"</f>
        <v/>
      </c>
      <c r="L340" s="228">
        <f>IF(B339&lt;&gt;"®","",IF(M340,"Yes","No"))</f>
        <v/>
      </c>
      <c r="M340" s="441">
        <f>AND(EICNumQualChild&gt;=1,A330,OR(AND(File_Marr_Joint="",$K$324&lt;N339),AND(File_Marr_Joint&lt;&gt;"",$K$324&lt;N340)))</f>
        <v/>
      </c>
      <c r="N340" s="2468">
        <f>'EIC Table'!S5</f>
        <v/>
      </c>
      <c r="AA340" s="658" t="n"/>
      <c r="AB340" s="658" t="n"/>
      <c r="AC340" s="658" t="n"/>
      <c r="AD340" s="658" t="n"/>
      <c r="AE340" s="658" t="n"/>
      <c r="AF340" s="658" t="n"/>
      <c r="AG340" s="658" t="n"/>
      <c r="AH340" s="658" t="n"/>
      <c r="AI340" s="658" t="n"/>
      <c r="AJ340" s="658" t="n"/>
      <c r="AK340" s="658" t="n"/>
      <c r="AL340" s="658" t="n"/>
      <c r="AN340" s="670" t="n"/>
      <c r="AO340" s="670" t="n"/>
      <c r="AP340" s="658" t="n"/>
      <c r="AQ340" s="658" t="n"/>
      <c r="AR340" s="658" t="n"/>
      <c r="AS340" s="658" t="n"/>
      <c r="AT340" s="658" t="n"/>
      <c r="AU340" s="658" t="n"/>
      <c r="AV340" s="658" t="n"/>
    </row>
    <row r="341">
      <c r="N341" s="11403" t="n"/>
      <c r="AA341" s="658" t="n"/>
      <c r="AB341" s="658" t="n"/>
      <c r="AC341" s="658" t="n"/>
      <c r="AD341" s="658" t="n"/>
      <c r="AE341" s="658" t="n"/>
      <c r="AF341" s="658" t="n"/>
      <c r="AG341" s="658" t="n"/>
      <c r="AH341" s="658" t="n"/>
      <c r="AI341" s="658" t="n"/>
      <c r="AJ341" s="658" t="n"/>
      <c r="AK341" s="658" t="n"/>
      <c r="AL341" s="658" t="n"/>
      <c r="AN341" s="670" t="n"/>
      <c r="AO341" s="670" t="n"/>
      <c r="AP341" s="658" t="n"/>
      <c r="AQ341" s="658" t="n"/>
      <c r="AR341" s="658" t="n"/>
      <c r="AS341" s="658" t="n"/>
      <c r="AT341" s="658" t="n"/>
      <c r="AU341" s="658" t="n"/>
      <c r="AV341" s="658" t="n"/>
    </row>
    <row r="342">
      <c r="A342" s="441">
        <f>AND(NOT(A321),A330,OR(M337,M340))</f>
        <v/>
      </c>
      <c r="B342" s="2658">
        <f>IF(A342,"X","")</f>
        <v/>
      </c>
      <c r="D342" s="226" t="inlineStr">
        <is>
          <t>Yes.  Leave line 5 blank; enter the amount from line 2 on line 6.</t>
        </is>
      </c>
      <c r="AA342" s="658" t="n"/>
      <c r="AB342" s="658" t="n"/>
      <c r="AC342" s="658" t="n"/>
      <c r="AD342" s="658" t="n"/>
      <c r="AE342" s="658" t="n"/>
      <c r="AF342" s="658" t="n"/>
      <c r="AG342" s="658" t="n"/>
      <c r="AH342" s="658" t="n"/>
      <c r="AI342" s="658" t="n"/>
      <c r="AJ342" s="658" t="n"/>
      <c r="AK342" s="658" t="n"/>
      <c r="AL342" s="658" t="n"/>
      <c r="AN342" s="670" t="n"/>
      <c r="AO342" s="670" t="n"/>
      <c r="AP342" s="658" t="n"/>
      <c r="AQ342" s="658" t="n"/>
      <c r="AR342" s="658" t="n"/>
      <c r="AS342" s="658" t="n"/>
      <c r="AT342" s="658" t="n"/>
      <c r="AU342" s="658" t="n"/>
      <c r="AV342" s="658" t="n"/>
    </row>
    <row r="343" ht="13.5" customHeight="1" s="7635" thickBot="1">
      <c r="AA343" s="658" t="n"/>
      <c r="AB343" s="658" t="n"/>
      <c r="AC343" s="658" t="n"/>
      <c r="AD343" s="658" t="n"/>
      <c r="AE343" s="658" t="n"/>
      <c r="AF343" s="658" t="n"/>
      <c r="AG343" s="658" t="n"/>
      <c r="AH343" s="658" t="n"/>
      <c r="AI343" s="658" t="n"/>
      <c r="AJ343" s="658" t="n"/>
      <c r="AK343" s="658" t="n"/>
      <c r="AL343" s="658" t="n"/>
      <c r="AN343" s="664" t="inlineStr">
        <is>
          <t>Adj_Gross_Inc</t>
        </is>
      </c>
      <c r="AO343" s="670" t="n"/>
      <c r="AP343" s="658" t="n"/>
      <c r="AQ343" s="658" t="n"/>
      <c r="AR343" s="658" t="n"/>
      <c r="AS343" s="658" t="n"/>
      <c r="AT343" s="658" t="n"/>
      <c r="AU343" s="658" t="n"/>
      <c r="AV343" s="658" t="n"/>
    </row>
    <row r="344">
      <c r="A344" s="441">
        <f>AND(A330,NOT(M337),NOT(M340))</f>
        <v/>
      </c>
      <c r="B344" s="2658">
        <f>IF(A344,"X","")</f>
        <v/>
      </c>
      <c r="D344" s="7831" t="inlineStr">
        <is>
          <t>No.   Look up the amount on line 3 in the EIC Table to find the</t>
        </is>
      </c>
      <c r="K344" s="220" t="n"/>
      <c r="AA344" s="658" t="n"/>
      <c r="AB344" s="658" t="n"/>
      <c r="AC344" s="658" t="n"/>
      <c r="AD344" s="658" t="n"/>
      <c r="AE344" s="658" t="n"/>
      <c r="AF344" s="658" t="n"/>
      <c r="AG344" s="658" t="n"/>
      <c r="AH344" s="658" t="n"/>
      <c r="AI344" s="658" t="n"/>
      <c r="AJ344" s="658" t="n"/>
      <c r="AK344" s="658" t="n"/>
      <c r="AL344" s="658" t="n"/>
      <c r="AN344" s="674">
        <f>Adj_Gross_Inc</f>
        <v/>
      </c>
      <c r="AO344" s="12019" t="inlineStr">
        <is>
          <t>No Qual. Children</t>
        </is>
      </c>
      <c r="AP344" s="12020" t="n"/>
      <c r="AQ344" s="12019" t="inlineStr">
        <is>
          <t>One Qualifying Child</t>
        </is>
      </c>
      <c r="AR344" s="12020" t="n"/>
      <c r="AS344" s="12019" t="inlineStr">
        <is>
          <t>Two Qualify Children</t>
        </is>
      </c>
      <c r="AT344" s="12020" t="n"/>
      <c r="AU344" s="12019" t="inlineStr">
        <is>
          <t>Three Qualify Children</t>
        </is>
      </c>
      <c r="AV344" s="12020" t="n"/>
    </row>
    <row r="345">
      <c r="D345" s="11403" t="inlineStr">
        <is>
          <t xml:space="preserve">        credit. Be sure you use the correct column for your filing</t>
        </is>
      </c>
      <c r="AA345" s="658" t="n"/>
      <c r="AB345" s="658" t="n"/>
      <c r="AC345" s="658" t="n"/>
      <c r="AD345" s="658" t="n"/>
      <c r="AE345" s="658" t="n"/>
      <c r="AF345" s="658" t="n"/>
      <c r="AG345" s="658" t="n"/>
      <c r="AH345" s="658" t="n"/>
      <c r="AI345" s="658" t="n"/>
      <c r="AJ345" s="658" t="n"/>
      <c r="AK345" s="658" t="n"/>
      <c r="AL345" s="658" t="n"/>
      <c r="AN345" s="675">
        <f>IF(AN344&lt;&gt;"",ROUND(AN344,0),"")</f>
        <v/>
      </c>
      <c r="AO345" s="676" t="inlineStr">
        <is>
          <t>All others</t>
        </is>
      </c>
      <c r="AP345" s="677" t="inlineStr">
        <is>
          <t>MFJ</t>
        </is>
      </c>
      <c r="AQ345" s="676" t="inlineStr">
        <is>
          <t>All others</t>
        </is>
      </c>
      <c r="AR345" s="677" t="inlineStr">
        <is>
          <t>MFJ</t>
        </is>
      </c>
      <c r="AS345" s="676" t="inlineStr">
        <is>
          <t>All others</t>
        </is>
      </c>
      <c r="AT345" s="678" t="inlineStr">
        <is>
          <t>MFJ</t>
        </is>
      </c>
      <c r="AU345" s="676" t="inlineStr">
        <is>
          <t>All others</t>
        </is>
      </c>
      <c r="AV345" s="678" t="inlineStr">
        <is>
          <t>MFJ</t>
        </is>
      </c>
    </row>
    <row r="346">
      <c r="D346" s="11403" t="inlineStr">
        <is>
          <t xml:space="preserve">        status and the number of children you have. Enter the credit</t>
        </is>
      </c>
      <c r="K346" s="220" t="n"/>
      <c r="AA346" s="658" t="n"/>
      <c r="AB346" s="658" t="n"/>
      <c r="AC346" s="658" t="n"/>
      <c r="AD346" s="658" t="n"/>
      <c r="AE346" s="658" t="n"/>
      <c r="AF346" s="658" t="n"/>
      <c r="AG346" s="658" t="n"/>
      <c r="AH346" s="658" t="n"/>
      <c r="AI346" s="658" t="n"/>
      <c r="AJ346" s="658" t="n"/>
      <c r="AK346" s="658" t="n"/>
      <c r="AL346" s="658" t="n"/>
      <c r="AN346" s="675" t="n"/>
      <c r="AO346" s="2685">
        <f>LOOKUP(AN347,'EIC Table'!$A$3:$A$1384,'EIC Table'!$C$3:$C$1384)</f>
        <v/>
      </c>
      <c r="AP346" s="2686">
        <f>LOOKUP(AN347,'EIC Table'!$A$3:$A$1384,'EIC Table'!$G$3:$G$1384)</f>
        <v/>
      </c>
      <c r="AQ346" s="2685">
        <f>LOOKUP(AN347,'EIC Table'!$A$3:$A$1384,'EIC Table'!$D$3:$D$1384)</f>
        <v/>
      </c>
      <c r="AR346" s="2686">
        <f>LOOKUP(AN347,'EIC Table'!$A$3:$A$1384,'EIC Table'!$H$3:$H$1384)</f>
        <v/>
      </c>
      <c r="AS346" s="11547">
        <f>LOOKUP(AN347,'EIC Table'!$A$3:$A$1384,'EIC Table'!$E$3:$E$1384)</f>
        <v/>
      </c>
      <c r="AT346" s="2686">
        <f>LOOKUP(AN347,'EIC Table'!$A$3:$A$1384,'EIC Table'!$I$3:$I$1384)</f>
        <v/>
      </c>
      <c r="AU346" s="11547">
        <f>LOOKUP(AN347,'EIC Table'!$A$3:$A$1384,'EIC Table'!$F$3:$F$1384)</f>
        <v/>
      </c>
      <c r="AV346" s="2686">
        <f>LOOKUP(AN347,'EIC Table'!$A$3:$A$1384,'EIC Table'!$J$3:$J$1384)</f>
        <v/>
      </c>
    </row>
    <row r="347" ht="13.5" customHeight="1" s="7635" thickBot="1">
      <c r="D347" s="11403" t="inlineStr">
        <is>
          <t xml:space="preserve">        here.</t>
        </is>
      </c>
      <c r="K347" s="220" t="inlineStr">
        <is>
          <t>5.</t>
        </is>
      </c>
      <c r="L347" s="7842">
        <f>IF(B330="","",IF(B342&lt;&gt;"","",AN348))</f>
        <v/>
      </c>
      <c r="AA347" s="658" t="n"/>
      <c r="AB347" s="658" t="n"/>
      <c r="AC347" s="658" t="n"/>
      <c r="AD347" s="658" t="n"/>
      <c r="AE347" s="658" t="n"/>
      <c r="AF347" s="658" t="n"/>
      <c r="AG347" s="658" t="n"/>
      <c r="AH347" s="658" t="n"/>
      <c r="AI347" s="658" t="n"/>
      <c r="AJ347" s="658" t="n"/>
      <c r="AK347" s="658" t="n"/>
      <c r="AL347" s="658" t="n"/>
      <c r="AN347" s="675">
        <f>IF(AN345="","",AN345)</f>
        <v/>
      </c>
      <c r="AO347" s="2685" t="n"/>
      <c r="AP347" s="2686" t="n"/>
      <c r="AQ347" s="2685" t="n"/>
      <c r="AR347" s="2686" t="n"/>
      <c r="AS347" s="11547" t="n"/>
      <c r="AT347" s="2686" t="n"/>
      <c r="AU347" s="11547" t="n"/>
      <c r="AV347" s="2686" t="n"/>
    </row>
    <row r="348" ht="13.5" customHeight="1" s="7635" thickBot="1">
      <c r="D348" s="88" t="inlineStr">
        <is>
          <t xml:space="preserve">        Look at the amounts on lines 5 and 2.</t>
        </is>
      </c>
      <c r="AA348" s="658" t="n"/>
      <c r="AB348" s="658" t="n"/>
      <c r="AC348" s="658" t="n"/>
      <c r="AD348" s="658" t="n"/>
      <c r="AE348" s="658" t="n"/>
      <c r="AF348" s="658" t="n"/>
      <c r="AG348" s="658" t="n"/>
      <c r="AH348" s="658" t="n"/>
      <c r="AI348" s="658" t="n"/>
      <c r="AJ348" s="658" t="n"/>
      <c r="AK348" s="658" t="n"/>
      <c r="AL348" s="658" t="n"/>
      <c r="AN348" s="682">
        <f>IF(EICNumQualChild&gt;2,AV348,IF(EICNumQualChild=2,AT348,IF(EICNumQualChild=1,AR348,AP348)))</f>
        <v/>
      </c>
      <c r="AO348" s="683" t="n"/>
      <c r="AP348" s="684">
        <f>IF(File_Marr_Joint&lt;&gt;"",AP346,AO346)</f>
        <v/>
      </c>
      <c r="AQ348" s="683" t="n"/>
      <c r="AR348" s="684">
        <f>IF(File_Marr_Joint&lt;&gt;"",AR346,AQ346)</f>
        <v/>
      </c>
      <c r="AS348" s="685" t="n"/>
      <c r="AT348" s="684">
        <f>IF(File_Marr_Joint&lt;&gt;"",AT346,AS346)</f>
        <v/>
      </c>
      <c r="AU348" s="685" t="n"/>
      <c r="AV348" s="684">
        <f>IF(File_Marr_Joint&lt;&gt;"",AV346,AU346)</f>
        <v/>
      </c>
    </row>
    <row r="349">
      <c r="D349" s="11403" t="inlineStr">
        <is>
          <t xml:space="preserve">        Then, enter the smaller amount on line 6.</t>
        </is>
      </c>
      <c r="AA349" s="658" t="n"/>
      <c r="AB349" s="658" t="n"/>
      <c r="AC349" s="658" t="n"/>
      <c r="AD349" s="658" t="n"/>
      <c r="AE349" s="658" t="n"/>
      <c r="AF349" s="658" t="n"/>
      <c r="AG349" s="658" t="n"/>
      <c r="AH349" s="658" t="n"/>
      <c r="AI349" s="658" t="n"/>
      <c r="AJ349" s="658" t="n"/>
      <c r="AK349" s="658" t="n"/>
      <c r="AL349" s="658" t="n"/>
      <c r="AN349" s="658" t="n"/>
      <c r="AO349" s="658" t="n"/>
      <c r="AP349" s="658" t="n"/>
      <c r="AQ349" s="658" t="n"/>
      <c r="AR349" s="658" t="n"/>
      <c r="AS349" s="658" t="n"/>
      <c r="AT349" s="658" t="n"/>
      <c r="AU349" s="658" t="n"/>
      <c r="AV349" s="658" t="n"/>
    </row>
    <row r="350" ht="7.5" customHeight="1" s="7635">
      <c r="AA350" s="658" t="n"/>
      <c r="AB350" s="658" t="n"/>
      <c r="AC350" s="658" t="n"/>
      <c r="AD350" s="658" t="n"/>
      <c r="AE350" s="658" t="n"/>
      <c r="AF350" s="658" t="n"/>
      <c r="AG350" s="658" t="n"/>
      <c r="AH350" s="658" t="n"/>
      <c r="AI350" s="658" t="n"/>
      <c r="AJ350" s="658" t="n"/>
      <c r="AK350" s="658" t="n"/>
      <c r="AL350" s="658" t="n"/>
      <c r="AN350" s="670" t="n"/>
      <c r="AO350" s="670" t="n"/>
      <c r="AP350" s="658" t="n"/>
      <c r="AQ350" s="658" t="n"/>
      <c r="AR350" s="658" t="n"/>
      <c r="AS350" s="658" t="n"/>
      <c r="AT350" s="658" t="n"/>
      <c r="AU350" s="658" t="n"/>
      <c r="AV350" s="658" t="n"/>
    </row>
    <row r="351" ht="7.5" customFormat="1" customHeight="1" s="2659">
      <c r="B351" s="2660" t="n"/>
      <c r="N351" s="2661" t="n"/>
      <c r="AA351" s="671" t="n"/>
      <c r="AB351" s="671" t="n"/>
      <c r="AC351" s="671" t="n"/>
      <c r="AD351" s="671" t="n"/>
      <c r="AE351" s="671" t="n"/>
      <c r="AF351" s="671" t="n"/>
      <c r="AG351" s="671" t="n"/>
      <c r="AH351" s="671" t="n"/>
      <c r="AI351" s="671" t="n"/>
      <c r="AJ351" s="671" t="n"/>
      <c r="AK351" s="671" t="n"/>
      <c r="AL351" s="671" t="n"/>
      <c r="AN351" s="672" t="n"/>
      <c r="AO351" s="672" t="n"/>
      <c r="AP351" s="671" t="n"/>
      <c r="AQ351" s="671" t="n"/>
      <c r="AR351" s="671" t="n"/>
      <c r="AS351" s="671" t="n"/>
      <c r="AT351" s="671" t="n"/>
      <c r="AU351" s="671" t="n"/>
      <c r="AV351" s="671" t="n"/>
    </row>
    <row r="352" ht="15.75" customFormat="1" customHeight="1" s="2445">
      <c r="A352" s="9180" t="inlineStr">
        <is>
          <t>PART 3</t>
        </is>
      </c>
      <c r="B352" s="2688" t="inlineStr">
        <is>
          <t>- Your Earned Income Credit</t>
        </is>
      </c>
      <c r="C352" s="2642" t="n"/>
      <c r="N352" s="2662" t="n"/>
      <c r="AA352" s="668" t="n"/>
      <c r="AB352" s="668" t="n"/>
      <c r="AC352" s="668" t="n"/>
      <c r="AD352" s="668" t="n"/>
      <c r="AE352" s="668" t="n"/>
      <c r="AF352" s="668" t="n"/>
      <c r="AG352" s="668" t="n"/>
      <c r="AH352" s="668" t="n"/>
      <c r="AI352" s="668" t="n"/>
      <c r="AJ352" s="668" t="n"/>
      <c r="AK352" s="668" t="n"/>
      <c r="AL352" s="668" t="n"/>
      <c r="AN352" s="669" t="n"/>
      <c r="AO352" s="669" t="n"/>
      <c r="AP352" s="668" t="n"/>
      <c r="AQ352" s="668" t="n"/>
      <c r="AR352" s="668" t="n"/>
      <c r="AS352" s="668" t="n"/>
      <c r="AT352" s="668" t="n"/>
      <c r="AU352" s="668" t="n"/>
      <c r="AV352" s="668" t="n"/>
    </row>
    <row r="353">
      <c r="AA353" s="658" t="n"/>
      <c r="AB353" s="658" t="n"/>
      <c r="AC353" s="658" t="n"/>
      <c r="AD353" s="658" t="n"/>
      <c r="AE353" s="658" t="n"/>
      <c r="AF353" s="658" t="n"/>
      <c r="AG353" s="658" t="n"/>
      <c r="AH353" s="658" t="n"/>
      <c r="AI353" s="658" t="n"/>
      <c r="AJ353" s="658" t="n"/>
      <c r="AK353" s="658" t="n"/>
      <c r="AL353" s="658" t="n"/>
      <c r="AN353" s="670" t="n"/>
      <c r="AO353" s="670" t="n"/>
      <c r="AP353" s="658" t="n"/>
      <c r="AQ353" s="658" t="n"/>
      <c r="AR353" s="658" t="n"/>
      <c r="AS353" s="658" t="n"/>
      <c r="AT353" s="658" t="n"/>
      <c r="AU353" s="658" t="n"/>
      <c r="AV353" s="658" t="n"/>
    </row>
    <row r="354">
      <c r="C354" s="2052" t="inlineStr">
        <is>
          <t>6.</t>
        </is>
      </c>
      <c r="D354" s="226" t="inlineStr">
        <is>
          <t>This is your earned income credit.</t>
        </is>
      </c>
      <c r="M354" s="220" t="inlineStr">
        <is>
          <t>6.</t>
        </is>
      </c>
      <c r="N354" s="7842">
        <f>IF(OR(A328,A342),L316,IF(A344,MIN(L316,L347),""))</f>
        <v/>
      </c>
      <c r="O354" s="8839">
        <f>IF(EIC_WSA_Part3&lt;1000,TEXT(EIC_WSA_Part3,"$0"),TEXT(EIC_WSA_Part3,"$0,000"))</f>
        <v/>
      </c>
      <c r="AA354" s="658" t="n"/>
      <c r="AB354" s="658" t="n"/>
      <c r="AC354" s="658" t="n"/>
      <c r="AD354" s="658" t="n"/>
      <c r="AE354" s="658" t="n"/>
      <c r="AF354" s="658" t="n"/>
      <c r="AG354" s="658" t="n"/>
      <c r="AH354" s="658" t="n"/>
      <c r="AI354" s="658" t="n"/>
      <c r="AJ354" s="658" t="n"/>
      <c r="AK354" s="658" t="n"/>
      <c r="AL354" s="658" t="n"/>
      <c r="AN354" s="670" t="n"/>
      <c r="AO354" s="670" t="n"/>
      <c r="AP354" s="658" t="n"/>
      <c r="AQ354" s="658" t="n"/>
      <c r="AR354" s="658" t="n"/>
      <c r="AS354" s="658" t="n"/>
      <c r="AT354" s="658" t="n"/>
      <c r="AU354" s="658" t="n"/>
      <c r="AV354" s="658" t="n"/>
    </row>
    <row r="355" ht="21.75" customHeight="1" s="7635">
      <c r="D355" s="2449" t="n"/>
      <c r="K355" s="7847" t="n"/>
      <c r="M355" s="2415" t="inlineStr">
        <is>
          <t>Enter this amount on</t>
        </is>
      </c>
      <c r="N355" s="2052" t="n"/>
      <c r="AA355" s="658" t="n"/>
      <c r="AB355" s="658" t="n"/>
      <c r="AC355" s="658" t="n"/>
      <c r="AD355" s="658" t="n"/>
      <c r="AE355" s="658" t="n"/>
      <c r="AF355" s="658" t="n"/>
      <c r="AG355" s="658" t="n"/>
      <c r="AH355" s="658" t="n"/>
      <c r="AI355" s="658" t="n"/>
      <c r="AJ355" s="658" t="n"/>
      <c r="AK355" s="658" t="n"/>
      <c r="AL355" s="658" t="n"/>
      <c r="AN355" s="670" t="n"/>
      <c r="AO355" s="670" t="n"/>
      <c r="AP355" s="658" t="n"/>
      <c r="AQ355" s="658" t="n"/>
      <c r="AR355" s="658" t="n"/>
      <c r="AS355" s="658" t="n"/>
      <c r="AT355" s="658" t="n"/>
      <c r="AU355" s="658" t="n"/>
      <c r="AV355" s="658" t="n"/>
    </row>
    <row r="356">
      <c r="B356" s="226" t="inlineStr">
        <is>
          <t>Reminder—</t>
        </is>
      </c>
      <c r="C356" s="226" t="n"/>
      <c r="K356" s="7847" t="n"/>
      <c r="M356" s="2415" t="inlineStr">
        <is>
          <t>Form 1040 or 1040-SR,</t>
        </is>
      </c>
      <c r="N356" s="2052" t="n"/>
      <c r="AA356" s="658" t="n"/>
      <c r="AB356" s="658" t="n"/>
      <c r="AC356" s="658" t="n"/>
      <c r="AD356" s="658" t="n"/>
      <c r="AE356" s="658" t="n"/>
      <c r="AF356" s="658" t="n"/>
      <c r="AG356" s="658" t="n"/>
      <c r="AH356" s="658" t="n"/>
      <c r="AI356" s="658" t="n"/>
      <c r="AJ356" s="658" t="n"/>
      <c r="AK356" s="658" t="n"/>
      <c r="AL356" s="658" t="n"/>
      <c r="AN356" s="670" t="n"/>
      <c r="AO356" s="670" t="n"/>
      <c r="AP356" s="658" t="n"/>
      <c r="AQ356" s="658" t="n"/>
      <c r="AR356" s="658" t="n"/>
      <c r="AS356" s="658" t="n"/>
      <c r="AT356" s="658" t="n"/>
      <c r="AU356" s="658" t="n"/>
      <c r="AV356" s="658" t="n"/>
    </row>
    <row r="357">
      <c r="B357" s="88" t="inlineStr">
        <is>
          <t>If you have a qualifying child, complete and attach Schedule EIC.</t>
        </is>
      </c>
      <c r="K357" s="7847" t="n"/>
      <c r="M357" s="2449" t="inlineStr">
        <is>
          <t>line 27a.</t>
        </is>
      </c>
      <c r="N357" s="2449" t="n"/>
      <c r="AA357" s="658" t="n"/>
      <c r="AB357" s="658" t="n"/>
      <c r="AC357" s="658" t="n"/>
      <c r="AD357" s="658" t="n"/>
      <c r="AE357" s="658" t="n"/>
      <c r="AF357" s="658" t="n"/>
      <c r="AG357" s="658" t="n"/>
      <c r="AH357" s="658" t="n"/>
      <c r="AI357" s="658" t="n"/>
      <c r="AJ357" s="658" t="n"/>
      <c r="AK357" s="658" t="n"/>
      <c r="AL357" s="658" t="n"/>
      <c r="AN357" s="670" t="n"/>
      <c r="AO357" s="670" t="n"/>
      <c r="AP357" s="658" t="n"/>
      <c r="AQ357" s="658" t="n"/>
      <c r="AR357" s="658" t="n"/>
      <c r="AS357" s="658" t="n"/>
      <c r="AT357" s="658" t="n"/>
      <c r="AU357" s="658" t="n"/>
      <c r="AV357" s="658" t="n"/>
    </row>
    <row r="358">
      <c r="B358" s="2690" t="inlineStr">
        <is>
          <t>https://www.irs.gov/pub/irs-pdf/f1040sei.pdf</t>
        </is>
      </c>
      <c r="C358" s="2690" t="n"/>
      <c r="D358" s="2690" t="n"/>
      <c r="M358" s="2449" t="n"/>
      <c r="AA358" s="658" t="n"/>
      <c r="AB358" s="658" t="n"/>
      <c r="AC358" s="658" t="n"/>
      <c r="AD358" s="658" t="n"/>
      <c r="AE358" s="658" t="n"/>
      <c r="AF358" s="658" t="n"/>
      <c r="AG358" s="658" t="n"/>
      <c r="AH358" s="658" t="n"/>
      <c r="AI358" s="658" t="n"/>
      <c r="AJ358" s="658" t="n"/>
      <c r="AK358" s="658" t="n"/>
      <c r="AL358" s="658" t="n"/>
      <c r="AN358" s="670" t="n"/>
      <c r="AO358" s="670" t="n"/>
      <c r="AP358" s="658" t="n"/>
      <c r="AQ358" s="658" t="n"/>
      <c r="AR358" s="658" t="n"/>
      <c r="AS358" s="658" t="n"/>
      <c r="AT358" s="658" t="n"/>
      <c r="AU358" s="658" t="n"/>
      <c r="AV358" s="658" t="n"/>
    </row>
    <row r="359">
      <c r="D359" s="2690" t="n"/>
      <c r="AA359" s="658" t="n"/>
      <c r="AB359" s="658" t="n"/>
      <c r="AC359" s="658" t="n"/>
      <c r="AD359" s="658" t="n"/>
      <c r="AE359" s="658" t="n"/>
      <c r="AF359" s="658" t="n"/>
      <c r="AG359" s="658" t="n"/>
      <c r="AH359" s="658" t="n"/>
      <c r="AI359" s="658" t="n"/>
      <c r="AJ359" s="658" t="n"/>
      <c r="AK359" s="658" t="n"/>
      <c r="AL359" s="658" t="n"/>
      <c r="AN359" s="670" t="n"/>
      <c r="AO359" s="670" t="n"/>
      <c r="AP359" s="658" t="n"/>
      <c r="AQ359" s="658" t="n"/>
      <c r="AR359" s="658" t="n"/>
      <c r="AS359" s="658" t="n"/>
      <c r="AT359" s="658" t="n"/>
      <c r="AU359" s="658" t="n"/>
      <c r="AV359" s="658" t="n"/>
    </row>
    <row r="360">
      <c r="C360" s="1839" t="n"/>
      <c r="D360" s="2691" t="n"/>
      <c r="E360" s="1839" t="n"/>
      <c r="F360" s="1839" t="n"/>
      <c r="G360" s="1839" t="n"/>
      <c r="H360" s="1839" t="n"/>
      <c r="I360" s="1839" t="n"/>
      <c r="J360" s="1839" t="n"/>
      <c r="AA360" s="658" t="n"/>
      <c r="AB360" s="658" t="n"/>
      <c r="AC360" s="658" t="n"/>
      <c r="AD360" s="658" t="n"/>
      <c r="AE360" s="658" t="n"/>
      <c r="AF360" s="658" t="n"/>
      <c r="AG360" s="658" t="n"/>
      <c r="AH360" s="658" t="n"/>
      <c r="AI360" s="658" t="n"/>
      <c r="AJ360" s="658" t="n"/>
      <c r="AK360" s="658" t="n"/>
      <c r="AL360" s="658" t="n"/>
      <c r="AN360" s="670" t="n"/>
      <c r="AO360" s="670" t="n"/>
      <c r="AP360" s="658" t="n"/>
      <c r="AQ360" s="658" t="n"/>
      <c r="AR360" s="658" t="n"/>
      <c r="AS360" s="658" t="n"/>
      <c r="AT360" s="658" t="n"/>
      <c r="AU360" s="658" t="n"/>
      <c r="AV360" s="658" t="n"/>
    </row>
    <row r="361">
      <c r="C361" s="2681" t="n"/>
      <c r="D361" s="2692" t="inlineStr">
        <is>
          <t>If your EIC for a year after 1996 was reduced or disallowed, see</t>
        </is>
      </c>
      <c r="J361" s="220" t="n"/>
      <c r="M361" s="189" t="n"/>
      <c r="N361" s="88" t="n"/>
      <c r="O361" s="226" t="n"/>
      <c r="Q361" s="226" t="n"/>
      <c r="AA361" s="658" t="n"/>
      <c r="AB361" s="658" t="n"/>
      <c r="AC361" s="658" t="n"/>
      <c r="AD361" s="658" t="n"/>
      <c r="AE361" s="658" t="n"/>
      <c r="AF361" s="658" t="n"/>
      <c r="AG361" s="658" t="n"/>
      <c r="AH361" s="658" t="n"/>
      <c r="AI361" s="658" t="n"/>
      <c r="AJ361" s="658" t="n"/>
      <c r="AK361" s="658" t="n"/>
      <c r="AL361" s="658" t="n"/>
      <c r="AN361" s="670" t="n"/>
      <c r="AO361" s="670" t="n"/>
      <c r="AP361" s="658" t="n"/>
      <c r="AQ361" s="658" t="n"/>
      <c r="AR361" s="658" t="n"/>
      <c r="AS361" s="658" t="n"/>
      <c r="AT361" s="658" t="n"/>
      <c r="AU361" s="658" t="n"/>
      <c r="AV361" s="658" t="n"/>
    </row>
    <row r="362">
      <c r="C362" s="2681" t="n"/>
      <c r="D362" s="2692" t="inlineStr">
        <is>
          <t>Form 8862, who must  file, earlier, to find out if you must file Form 8862 to</t>
        </is>
      </c>
      <c r="J362" s="220" t="n"/>
      <c r="M362" s="189" t="n"/>
      <c r="N362" s="88" t="n"/>
      <c r="O362" s="226" t="n"/>
      <c r="Q362" s="226" t="n"/>
      <c r="AA362" s="658" t="n"/>
      <c r="AB362" s="658" t="n"/>
      <c r="AC362" s="658" t="n"/>
      <c r="AD362" s="658" t="n"/>
      <c r="AE362" s="658" t="n"/>
      <c r="AF362" s="658" t="n"/>
      <c r="AG362" s="658" t="n"/>
      <c r="AH362" s="658" t="n"/>
      <c r="AI362" s="658" t="n"/>
      <c r="AJ362" s="658" t="n"/>
      <c r="AK362" s="658" t="n"/>
      <c r="AL362" s="658" t="n"/>
      <c r="AN362" s="670" t="n"/>
      <c r="AO362" s="670" t="n"/>
      <c r="AP362" s="658" t="n"/>
      <c r="AQ362" s="658" t="n"/>
      <c r="AR362" s="658" t="n"/>
      <c r="AS362" s="658" t="n"/>
      <c r="AT362" s="658" t="n"/>
      <c r="AU362" s="658" t="n"/>
      <c r="AV362" s="658" t="n"/>
    </row>
    <row r="363">
      <c r="C363" s="2681" t="n"/>
      <c r="D363" s="2692">
        <f>"take the credit for "&amp;TaxYear&amp;"."</f>
        <v/>
      </c>
      <c r="J363" s="220" t="n"/>
      <c r="M363" s="189" t="n"/>
      <c r="N363" s="88" t="n"/>
      <c r="O363" s="226" t="n"/>
      <c r="Q363" s="226" t="n"/>
      <c r="AA363" s="658" t="n"/>
      <c r="AB363" s="658" t="n"/>
      <c r="AC363" s="658" t="n"/>
      <c r="AD363" s="658" t="n"/>
      <c r="AE363" s="658" t="n"/>
      <c r="AF363" s="658" t="n"/>
      <c r="AG363" s="658" t="n"/>
      <c r="AH363" s="658" t="n"/>
      <c r="AI363" s="658" t="n"/>
      <c r="AJ363" s="658" t="n"/>
      <c r="AK363" s="658" t="n"/>
      <c r="AL363" s="658" t="n"/>
      <c r="AN363" s="670" t="n"/>
      <c r="AO363" s="670" t="n"/>
      <c r="AP363" s="658" t="n"/>
      <c r="AQ363" s="658" t="n"/>
      <c r="AR363" s="658" t="n"/>
      <c r="AS363" s="658" t="n"/>
      <c r="AT363" s="658" t="n"/>
      <c r="AU363" s="658" t="n"/>
      <c r="AV363" s="658" t="n"/>
    </row>
    <row r="364">
      <c r="D364" s="2690" t="n"/>
      <c r="AA364" s="658" t="n"/>
      <c r="AB364" s="658" t="n"/>
      <c r="AC364" s="658" t="n"/>
      <c r="AD364" s="658" t="n"/>
      <c r="AE364" s="658" t="n"/>
      <c r="AF364" s="658" t="n"/>
      <c r="AG364" s="658" t="n"/>
      <c r="AH364" s="658" t="n"/>
      <c r="AI364" s="658" t="n"/>
      <c r="AJ364" s="658" t="n"/>
      <c r="AK364" s="658" t="n"/>
      <c r="AL364" s="658" t="n"/>
      <c r="AN364" s="670" t="n"/>
      <c r="AO364" s="670" t="n"/>
      <c r="AP364" s="658" t="n"/>
      <c r="AQ364" s="658" t="n"/>
      <c r="AR364" s="658" t="n"/>
      <c r="AS364" s="658" t="n"/>
      <c r="AT364" s="658" t="n"/>
      <c r="AU364" s="658" t="n"/>
      <c r="AV364" s="658" t="n"/>
    </row>
    <row r="365">
      <c r="AA365" s="658" t="n"/>
      <c r="AB365" s="658" t="n"/>
      <c r="AC365" s="658" t="n"/>
      <c r="AD365" s="658" t="n"/>
      <c r="AE365" s="658" t="n"/>
      <c r="AF365" s="658" t="n"/>
      <c r="AG365" s="658" t="n"/>
      <c r="AH365" s="658" t="n"/>
      <c r="AI365" s="658" t="n"/>
      <c r="AJ365" s="658" t="n"/>
      <c r="AK365" s="658" t="n"/>
      <c r="AL365" s="658" t="n"/>
      <c r="AN365" s="670" t="n"/>
      <c r="AO365" s="670" t="n"/>
      <c r="AP365" s="658" t="n"/>
      <c r="AQ365" s="658" t="n"/>
      <c r="AR365" s="658" t="n"/>
      <c r="AS365" s="658" t="n"/>
      <c r="AT365" s="658" t="n"/>
      <c r="AU365" s="658" t="n"/>
      <c r="AV365" s="658" t="n"/>
    </row>
    <row r="366">
      <c r="A366" s="2693" t="n"/>
      <c r="B366" s="2694" t="n"/>
      <c r="C366" s="2693" t="n"/>
      <c r="D366" s="2693" t="n"/>
      <c r="E366" s="2693" t="n"/>
      <c r="F366" s="2693" t="n"/>
      <c r="G366" s="2693" t="n"/>
      <c r="H366" s="2693" t="n"/>
      <c r="I366" s="2693" t="n"/>
      <c r="J366" s="2693" t="n"/>
      <c r="K366" s="2693" t="n"/>
      <c r="L366" s="2693" t="n"/>
      <c r="M366" s="2693" t="n"/>
      <c r="N366" s="2695" t="n"/>
      <c r="O366" s="2693" t="n"/>
      <c r="P366" s="2693" t="n"/>
      <c r="Q366" s="2693" t="n"/>
      <c r="R366" s="2693" t="n"/>
      <c r="S366" s="2693" t="n"/>
      <c r="AA366" s="658" t="n"/>
      <c r="AB366" s="658" t="n"/>
      <c r="AC366" s="658" t="n"/>
      <c r="AD366" s="658" t="n"/>
      <c r="AE366" s="658" t="n"/>
      <c r="AF366" s="658" t="n"/>
      <c r="AG366" s="658" t="n"/>
      <c r="AH366" s="658" t="n"/>
      <c r="AI366" s="658" t="n"/>
      <c r="AJ366" s="658" t="n"/>
      <c r="AK366" s="658" t="n"/>
      <c r="AL366" s="658" t="n"/>
      <c r="AN366" s="670" t="n"/>
      <c r="AO366" s="670" t="n"/>
      <c r="AP366" s="658" t="n"/>
      <c r="AQ366" s="658" t="n"/>
      <c r="AR366" s="658" t="n"/>
      <c r="AS366" s="658" t="n"/>
      <c r="AT366" s="658" t="n"/>
      <c r="AU366" s="658" t="n"/>
      <c r="AV366" s="658" t="n"/>
    </row>
    <row r="367" ht="23.25" customFormat="1" customHeight="1" s="2445">
      <c r="A367" s="2642" t="inlineStr">
        <is>
          <t>Worksheet B  —</t>
        </is>
      </c>
      <c r="B367" s="2642" t="n"/>
      <c r="C367" s="2642" t="n"/>
      <c r="D367" s="2539">
        <f>TaxYear&amp;" EIC  —  Line 27a"</f>
        <v/>
      </c>
      <c r="N367" s="2662" t="n"/>
      <c r="O367" s="2696" t="inlineStr">
        <is>
          <t>Keep for Your Records</t>
        </is>
      </c>
      <c r="AA367" s="658" t="n"/>
      <c r="AB367" s="658" t="n"/>
      <c r="AC367" s="658" t="n"/>
      <c r="AD367" s="658" t="n"/>
      <c r="AE367" s="658" t="n"/>
      <c r="AF367" s="658" t="n"/>
      <c r="AG367" s="658" t="n"/>
      <c r="AH367" s="658" t="n"/>
      <c r="AI367" s="658" t="n"/>
      <c r="AJ367" s="658" t="n"/>
      <c r="AK367" s="658" t="n"/>
      <c r="AL367" s="658" t="n"/>
      <c r="AN367" s="2662" t="n"/>
      <c r="AO367" s="2662" t="n"/>
    </row>
    <row r="368">
      <c r="AA368" s="658" t="n"/>
      <c r="AB368" s="658" t="n"/>
      <c r="AC368" s="658" t="n"/>
      <c r="AD368" s="658" t="n"/>
      <c r="AE368" s="658" t="n"/>
      <c r="AF368" s="658" t="n"/>
      <c r="AG368" s="658" t="n"/>
      <c r="AH368" s="658" t="n"/>
      <c r="AI368" s="658" t="n"/>
      <c r="AJ368" s="658" t="n"/>
      <c r="AK368" s="658" t="n"/>
      <c r="AL368" s="658" t="n"/>
      <c r="AN368" s="670" t="n"/>
      <c r="AO368" s="670" t="n"/>
      <c r="AP368" s="658" t="n"/>
      <c r="AQ368" s="658" t="n"/>
      <c r="AR368" s="658" t="n"/>
      <c r="AS368" s="658" t="n"/>
      <c r="AT368" s="658" t="n"/>
      <c r="AU368" s="658" t="n"/>
      <c r="AV368" s="658" t="n"/>
    </row>
    <row r="369" ht="9.75" customHeight="1" s="7635">
      <c r="A369" s="7831" t="n"/>
      <c r="C369" s="2501" t="n"/>
      <c r="D369" s="1843" t="n"/>
      <c r="E369" s="1839" t="n"/>
      <c r="F369" s="1839" t="n"/>
      <c r="G369" s="1839" t="n"/>
      <c r="H369" s="1839" t="n"/>
      <c r="I369" s="1839" t="n"/>
      <c r="J369" s="1839" t="n"/>
      <c r="K369" s="1839" t="n"/>
      <c r="AA369" s="658" t="n"/>
      <c r="AB369" s="658" t="n"/>
      <c r="AC369" s="658" t="n"/>
      <c r="AD369" s="658" t="n"/>
      <c r="AE369" s="658" t="n"/>
      <c r="AF369" s="658" t="n"/>
      <c r="AG369" s="658" t="n"/>
      <c r="AH369" s="658" t="n"/>
      <c r="AI369" s="658" t="n"/>
      <c r="AJ369" s="658" t="n"/>
      <c r="AK369" s="658" t="n"/>
      <c r="AL369" s="658" t="n"/>
      <c r="AN369" s="670" t="n"/>
      <c r="AO369" s="670" t="n"/>
      <c r="AP369" s="658" t="n"/>
      <c r="AQ369" s="658" t="n"/>
      <c r="AR369" s="658" t="n"/>
      <c r="AS369" s="658" t="n"/>
      <c r="AT369" s="658" t="n"/>
      <c r="AU369" s="658" t="n"/>
      <c r="AV369" s="658" t="n"/>
    </row>
    <row r="370">
      <c r="A370" s="2679">
        <f>A276</f>
        <v/>
      </c>
      <c r="B370" s="2658">
        <f>IF(A370,"X","")</f>
        <v/>
      </c>
      <c r="D370" s="226" t="inlineStr">
        <is>
          <t>Use this worksheet if you answered “Yes” to Step 5, question 2.</t>
        </is>
      </c>
      <c r="AA370" s="658" t="n"/>
      <c r="AB370" s="658" t="n"/>
      <c r="AC370" s="658" t="n"/>
      <c r="AD370" s="658" t="n"/>
      <c r="AE370" s="658" t="n"/>
      <c r="AF370" s="658" t="n"/>
      <c r="AG370" s="658" t="n"/>
      <c r="AH370" s="658" t="n"/>
      <c r="AI370" s="658" t="n"/>
      <c r="AJ370" s="658" t="n"/>
      <c r="AK370" s="658" t="n"/>
      <c r="AL370" s="658" t="n"/>
      <c r="AN370" s="670" t="n"/>
      <c r="AO370" s="670" t="n"/>
      <c r="AP370" s="658" t="n"/>
      <c r="AQ370" s="658" t="n"/>
      <c r="AR370" s="658" t="n"/>
      <c r="AS370" s="658" t="n"/>
      <c r="AT370" s="658" t="n"/>
      <c r="AU370" s="658" t="n"/>
      <c r="AV370" s="658" t="n"/>
    </row>
    <row r="371">
      <c r="AA371" s="658" t="n"/>
      <c r="AB371" s="658" t="n"/>
      <c r="AC371" s="658" t="n"/>
      <c r="AD371" s="658" t="n"/>
      <c r="AE371" s="658" t="n"/>
      <c r="AF371" s="658" t="n"/>
      <c r="AG371" s="658" t="n"/>
      <c r="AH371" s="658" t="n"/>
      <c r="AI371" s="658" t="n"/>
      <c r="AJ371" s="658" t="n"/>
      <c r="AK371" s="658" t="n"/>
      <c r="AL371" s="658" t="n"/>
      <c r="AN371" s="670" t="n"/>
      <c r="AO371" s="670" t="n"/>
      <c r="AP371" s="658" t="n"/>
      <c r="AQ371" s="658" t="n"/>
      <c r="AR371" s="658" t="n"/>
      <c r="AS371" s="658" t="n"/>
      <c r="AT371" s="658" t="n"/>
      <c r="AU371" s="658" t="n"/>
      <c r="AV371" s="658" t="n"/>
    </row>
    <row r="372">
      <c r="C372" s="2697" t="inlineStr">
        <is>
          <t>Ö</t>
        </is>
      </c>
      <c r="D372" s="88" t="inlineStr">
        <is>
          <t>Complete the parts below (Parts 1 through 3) that apply to you. Then, continue to Part 4.</t>
        </is>
      </c>
      <c r="AA372" s="658" t="n"/>
      <c r="AB372" s="658" t="n"/>
      <c r="AC372" s="658" t="n"/>
      <c r="AD372" s="658" t="n"/>
      <c r="AE372" s="658" t="n"/>
      <c r="AF372" s="658" t="n"/>
      <c r="AG372" s="658" t="n"/>
      <c r="AH372" s="658" t="n"/>
      <c r="AI372" s="658" t="n"/>
      <c r="AJ372" s="658" t="n"/>
      <c r="AK372" s="658" t="n"/>
      <c r="AL372" s="658" t="n"/>
      <c r="AN372" s="670" t="n"/>
      <c r="AO372" s="670" t="n"/>
      <c r="AP372" s="658" t="n"/>
      <c r="AQ372" s="658" t="n"/>
      <c r="AR372" s="658" t="n"/>
      <c r="AS372" s="658" t="n"/>
      <c r="AT372" s="658" t="n"/>
      <c r="AU372" s="658" t="n"/>
      <c r="AV372" s="658" t="n"/>
    </row>
    <row r="373" ht="6" customHeight="1" s="7635">
      <c r="AA373" s="658" t="n"/>
      <c r="AB373" s="658" t="n"/>
      <c r="AC373" s="658" t="n"/>
      <c r="AD373" s="658" t="n"/>
      <c r="AE373" s="658" t="n"/>
      <c r="AF373" s="658" t="n"/>
      <c r="AG373" s="658" t="n"/>
      <c r="AH373" s="658" t="n"/>
      <c r="AI373" s="658" t="n"/>
      <c r="AJ373" s="658" t="n"/>
      <c r="AK373" s="658" t="n"/>
      <c r="AL373" s="658" t="n"/>
      <c r="AN373" s="670" t="n"/>
      <c r="AO373" s="670" t="n"/>
      <c r="AP373" s="658" t="n"/>
      <c r="AQ373" s="658" t="n"/>
      <c r="AR373" s="658" t="n"/>
      <c r="AS373" s="658" t="n"/>
      <c r="AT373" s="658" t="n"/>
      <c r="AU373" s="658" t="n"/>
      <c r="AV373" s="658" t="n"/>
    </row>
    <row r="374">
      <c r="C374" s="2697" t="inlineStr">
        <is>
          <t>Ö</t>
        </is>
      </c>
      <c r="D374" s="8922" t="inlineStr">
        <is>
          <t>If you are married filing a joint return, include your spouse’s amounts, if any, with yours to figure the amounts to enter in Parts 1 through 3.</t>
        </is>
      </c>
      <c r="AA374" s="658" t="n"/>
      <c r="AB374" s="658" t="n"/>
      <c r="AC374" s="658" t="n"/>
      <c r="AD374" s="658" t="n"/>
      <c r="AE374" s="658" t="n"/>
      <c r="AF374" s="658" t="n"/>
      <c r="AG374" s="658" t="n"/>
      <c r="AH374" s="658" t="n"/>
      <c r="AI374" s="658" t="n"/>
      <c r="AJ374" s="658" t="n"/>
      <c r="AK374" s="658" t="n"/>
      <c r="AL374" s="658" t="n"/>
      <c r="AN374" s="670" t="n"/>
      <c r="AO374" s="670" t="n"/>
      <c r="AP374" s="658" t="n"/>
      <c r="AQ374" s="658" t="n"/>
      <c r="AR374" s="658" t="n"/>
      <c r="AS374" s="658" t="n"/>
      <c r="AT374" s="658" t="n"/>
      <c r="AU374" s="658" t="n"/>
      <c r="AV374" s="658" t="n"/>
    </row>
    <row r="375" ht="7.5" customHeight="1" s="7635">
      <c r="AA375" s="658" t="n"/>
      <c r="AB375" s="658" t="n"/>
      <c r="AC375" s="658" t="n"/>
      <c r="AD375" s="658" t="n"/>
      <c r="AE375" s="658" t="n"/>
      <c r="AF375" s="658" t="n"/>
      <c r="AG375" s="658" t="n"/>
      <c r="AH375" s="658" t="n"/>
      <c r="AI375" s="658" t="n"/>
      <c r="AJ375" s="658" t="n"/>
      <c r="AK375" s="658" t="n"/>
      <c r="AL375" s="658" t="n"/>
      <c r="AN375" s="670" t="n"/>
      <c r="AO375" s="670" t="n"/>
      <c r="AP375" s="658" t="n"/>
      <c r="AQ375" s="658" t="n"/>
      <c r="AR375" s="658" t="n"/>
      <c r="AS375" s="658" t="n"/>
      <c r="AT375" s="658" t="n"/>
      <c r="AU375" s="658" t="n"/>
      <c r="AV375" s="658" t="n"/>
    </row>
    <row r="376" ht="7.5" customFormat="1" customHeight="1" s="2659">
      <c r="B376" s="2660" t="n"/>
      <c r="N376" s="2661" t="n"/>
      <c r="AA376" s="671" t="n"/>
      <c r="AB376" s="671" t="n"/>
      <c r="AC376" s="671" t="n"/>
      <c r="AD376" s="671" t="n"/>
      <c r="AE376" s="671" t="n"/>
      <c r="AF376" s="671" t="n"/>
      <c r="AG376" s="671" t="n"/>
      <c r="AH376" s="671" t="n"/>
      <c r="AI376" s="671" t="n"/>
      <c r="AJ376" s="671" t="n"/>
      <c r="AK376" s="671" t="n"/>
      <c r="AL376" s="671" t="n"/>
      <c r="AN376" s="672" t="n"/>
      <c r="AO376" s="672" t="n"/>
      <c r="AP376" s="671" t="n"/>
      <c r="AQ376" s="671" t="n"/>
      <c r="AR376" s="671" t="n"/>
      <c r="AS376" s="671" t="n"/>
      <c r="AT376" s="671" t="n"/>
      <c r="AU376" s="671" t="n"/>
      <c r="AV376" s="671" t="n"/>
    </row>
    <row r="377" ht="15.75" customFormat="1" customHeight="1" s="2445">
      <c r="A377" s="9180" t="inlineStr">
        <is>
          <t>PART 1</t>
        </is>
      </c>
      <c r="B377" s="2698" t="inlineStr">
        <is>
          <t>- Self-Employed, Members of the Clergy, and People With Church Employee Income Filing Schedule SE</t>
        </is>
      </c>
      <c r="C377" s="2642" t="n"/>
      <c r="N377" s="2662" t="n"/>
      <c r="AA377" s="668" t="n"/>
      <c r="AB377" s="668" t="n"/>
      <c r="AC377" s="668" t="n"/>
      <c r="AD377" s="668" t="n"/>
      <c r="AE377" s="668" t="n"/>
      <c r="AF377" s="668" t="n"/>
      <c r="AG377" s="668" t="n"/>
      <c r="AH377" s="668" t="n"/>
      <c r="AI377" s="668" t="n"/>
      <c r="AJ377" s="668" t="n"/>
      <c r="AK377" s="668" t="n"/>
      <c r="AL377" s="668" t="n"/>
      <c r="AN377" s="669" t="n"/>
      <c r="AO377" s="669" t="n"/>
      <c r="AP377" s="668" t="n"/>
      <c r="AQ377" s="668" t="n"/>
      <c r="AR377" s="668" t="n"/>
      <c r="AS377" s="668" t="n"/>
      <c r="AT377" s="668" t="n"/>
      <c r="AU377" s="668" t="n"/>
      <c r="AV377" s="668" t="n"/>
    </row>
    <row r="378">
      <c r="AA378" s="658" t="n"/>
      <c r="AB378" s="658" t="n"/>
      <c r="AC378" s="658" t="n"/>
      <c r="AD378" s="658" t="n"/>
      <c r="AE378" s="658" t="n"/>
      <c r="AF378" s="658" t="n"/>
      <c r="AG378" s="658" t="n"/>
      <c r="AH378" s="658" t="n"/>
      <c r="AI378" s="658" t="n"/>
      <c r="AJ378" s="658" t="n"/>
      <c r="AK378" s="658" t="n"/>
      <c r="AL378" s="658" t="n"/>
      <c r="AN378" s="670" t="n"/>
      <c r="AO378" s="670" t="n"/>
      <c r="AP378" s="658" t="n"/>
      <c r="AQ378" s="658" t="n"/>
      <c r="AR378" s="658" t="n"/>
      <c r="AS378" s="658" t="n"/>
      <c r="AT378" s="658" t="n"/>
      <c r="AU378" s="658" t="n"/>
      <c r="AV378" s="658" t="n"/>
    </row>
    <row r="379">
      <c r="A379" s="441">
        <f>AND(A370,B379="X")</f>
        <v/>
      </c>
      <c r="B379" s="325" t="n"/>
      <c r="D379" s="226" t="inlineStr">
        <is>
          <t>Check if PART 1 applies to you.</t>
        </is>
      </c>
      <c r="AA379" s="658" t="n"/>
      <c r="AB379" s="658" t="n"/>
      <c r="AC379" s="658" t="n"/>
      <c r="AD379" s="658" t="n"/>
      <c r="AE379" s="658" t="n"/>
      <c r="AF379" s="658" t="n"/>
      <c r="AG379" s="658" t="n"/>
      <c r="AH379" s="658" t="n"/>
      <c r="AI379" s="658" t="n"/>
      <c r="AJ379" s="658" t="n"/>
      <c r="AK379" s="658" t="n"/>
      <c r="AL379" s="658" t="n"/>
      <c r="AN379" s="670" t="n"/>
      <c r="AO379" s="670" t="n"/>
      <c r="AP379" s="658" t="n"/>
      <c r="AQ379" s="658" t="n"/>
      <c r="AR379" s="658" t="n"/>
      <c r="AS379" s="658" t="n"/>
      <c r="AT379" s="658" t="n"/>
      <c r="AU379" s="658" t="n"/>
      <c r="AV379" s="658" t="n"/>
    </row>
    <row r="380">
      <c r="AA380" s="658" t="n"/>
      <c r="AB380" s="658" t="n"/>
      <c r="AC380" s="658" t="n"/>
      <c r="AD380" s="658" t="n"/>
      <c r="AE380" s="658" t="n"/>
      <c r="AF380" s="658" t="n"/>
      <c r="AG380" s="658" t="n"/>
      <c r="AH380" s="658" t="n"/>
      <c r="AI380" s="658" t="n"/>
      <c r="AJ380" s="658" t="n"/>
      <c r="AK380" s="658" t="n"/>
      <c r="AL380" s="658" t="n"/>
      <c r="AN380" s="670" t="n"/>
      <c r="AO380" s="670" t="n"/>
      <c r="AP380" s="658" t="n"/>
      <c r="AQ380" s="658" t="n"/>
      <c r="AR380" s="658" t="n"/>
      <c r="AS380" s="658" t="n"/>
      <c r="AT380" s="658" t="n"/>
      <c r="AU380" s="658" t="n"/>
      <c r="AV380" s="658" t="n"/>
    </row>
    <row r="381">
      <c r="C381" s="2648" t="inlineStr">
        <is>
          <t>1a.</t>
        </is>
      </c>
      <c r="D381" s="11403" t="inlineStr">
        <is>
          <t>Enter the amount from Schedule SE, Part I, line 3.</t>
        </is>
      </c>
      <c r="M381" s="2699" t="n"/>
      <c r="N381" s="2648" t="inlineStr">
        <is>
          <t xml:space="preserve">1a.        </t>
        </is>
      </c>
      <c r="O381" s="7842">
        <f>IF(AND(A379,A370),SUM(SchSE_Profit1,SchSE_Profit2),"")</f>
        <v/>
      </c>
      <c r="AA381" s="658" t="n"/>
      <c r="AB381" s="658" t="n"/>
      <c r="AC381" s="658" t="n"/>
      <c r="AD381" s="658" t="n"/>
      <c r="AE381" s="658" t="n"/>
      <c r="AF381" s="658" t="n"/>
      <c r="AG381" s="658" t="n"/>
      <c r="AH381" s="658" t="n"/>
      <c r="AI381" s="658" t="n"/>
      <c r="AJ381" s="658" t="n"/>
      <c r="AK381" s="658" t="n"/>
      <c r="AL381" s="658" t="n"/>
      <c r="AN381" s="670" t="n"/>
      <c r="AO381" s="670" t="n"/>
      <c r="AP381" s="658" t="n"/>
      <c r="AQ381" s="658" t="n"/>
      <c r="AR381" s="658" t="n"/>
      <c r="AS381" s="658" t="n"/>
      <c r="AT381" s="658" t="n"/>
      <c r="AU381" s="658" t="n"/>
      <c r="AV381" s="658" t="n"/>
    </row>
    <row r="382">
      <c r="AA382" s="658" t="n"/>
      <c r="AB382" s="658" t="n"/>
      <c r="AC382" s="658" t="n"/>
      <c r="AD382" s="658" t="n"/>
      <c r="AE382" s="658" t="n"/>
      <c r="AF382" s="658" t="n"/>
      <c r="AG382" s="658" t="n"/>
      <c r="AH382" s="658" t="n"/>
      <c r="AI382" s="658" t="n"/>
      <c r="AJ382" s="658" t="n"/>
      <c r="AK382" s="658" t="n"/>
      <c r="AL382" s="658" t="n"/>
      <c r="AN382" s="670" t="n"/>
      <c r="AO382" s="670" t="n"/>
      <c r="AP382" s="658" t="n"/>
      <c r="AQ382" s="658" t="n"/>
      <c r="AR382" s="658" t="n"/>
      <c r="AS382" s="658" t="n"/>
      <c r="AT382" s="658" t="n"/>
      <c r="AU382" s="658" t="n"/>
      <c r="AV382" s="658" t="n"/>
    </row>
    <row r="383">
      <c r="C383" s="2648" t="inlineStr">
        <is>
          <t>b.</t>
        </is>
      </c>
      <c r="D383" s="11403" t="inlineStr">
        <is>
          <t>Enter any amount from Schedule SE, Part I, line 4b and line 5a.</t>
        </is>
      </c>
      <c r="M383" s="2699" t="n"/>
      <c r="N383" s="2648" t="inlineStr">
        <is>
          <t xml:space="preserve">1b.     + </t>
        </is>
      </c>
      <c r="O383" s="7842">
        <f>IF(AND(A379,A370),SUM(SchSELine4b1,SchSELine4b2,ChurchEmployeeIncome1,ChurchEmployeeIncome2),"")</f>
        <v/>
      </c>
      <c r="AA383" s="658" t="n"/>
      <c r="AB383" s="658" t="n"/>
      <c r="AC383" s="658" t="n"/>
      <c r="AD383" s="658" t="n"/>
      <c r="AE383" s="658" t="n"/>
      <c r="AF383" s="658" t="n"/>
      <c r="AG383" s="658" t="n"/>
      <c r="AH383" s="658" t="n"/>
      <c r="AI383" s="658" t="n"/>
      <c r="AJ383" s="658" t="n"/>
      <c r="AK383" s="658" t="n"/>
      <c r="AL383" s="658" t="n"/>
      <c r="AN383" s="670" t="n"/>
      <c r="AO383" s="670" t="n"/>
      <c r="AP383" s="658" t="n"/>
      <c r="AQ383" s="658" t="n"/>
      <c r="AR383" s="658" t="n"/>
      <c r="AS383" s="658" t="n"/>
      <c r="AT383" s="658" t="n"/>
      <c r="AU383" s="658" t="n"/>
      <c r="AV383" s="658" t="n"/>
    </row>
    <row r="384">
      <c r="AA384" s="658" t="n"/>
      <c r="AB384" s="658" t="n"/>
      <c r="AC384" s="658" t="n"/>
      <c r="AD384" s="658" t="n"/>
      <c r="AE384" s="658" t="n"/>
      <c r="AF384" s="658" t="n"/>
      <c r="AG384" s="658" t="n"/>
      <c r="AH384" s="658" t="n"/>
      <c r="AI384" s="658" t="n"/>
      <c r="AJ384" s="658" t="n"/>
      <c r="AK384" s="658" t="n"/>
      <c r="AL384" s="658" t="n"/>
      <c r="AN384" s="670" t="n"/>
      <c r="AO384" s="670" t="n"/>
      <c r="AP384" s="658" t="n"/>
      <c r="AQ384" s="658" t="n"/>
      <c r="AR384" s="658" t="n"/>
      <c r="AS384" s="658" t="n"/>
      <c r="AT384" s="658" t="n"/>
      <c r="AU384" s="658" t="n"/>
      <c r="AV384" s="658" t="n"/>
    </row>
    <row r="385">
      <c r="C385" s="2648" t="inlineStr">
        <is>
          <t>c.</t>
        </is>
      </c>
      <c r="D385" s="88" t="inlineStr">
        <is>
          <t>Combine lines 1a and 1b.</t>
        </is>
      </c>
      <c r="N385" s="2648" t="inlineStr">
        <is>
          <t xml:space="preserve">1c.     = </t>
        </is>
      </c>
      <c r="O385" s="7842">
        <f>IF(AND(A370,A379,OR(O381&lt;&gt;"",O383&lt;&gt;"")),SUM(O381,O383),"")</f>
        <v/>
      </c>
      <c r="AA385" s="658" t="n"/>
      <c r="AB385" s="658" t="n"/>
      <c r="AC385" s="658" t="n"/>
      <c r="AD385" s="658" t="n"/>
      <c r="AE385" s="658" t="n"/>
      <c r="AF385" s="658" t="n"/>
      <c r="AG385" s="658" t="n"/>
      <c r="AH385" s="658" t="n"/>
      <c r="AI385" s="658" t="n"/>
      <c r="AJ385" s="658" t="n"/>
      <c r="AK385" s="658" t="n"/>
      <c r="AL385" s="658" t="n"/>
      <c r="AN385" s="670" t="n"/>
      <c r="AO385" s="670" t="n"/>
      <c r="AP385" s="658" t="n"/>
      <c r="AQ385" s="658" t="n"/>
      <c r="AR385" s="658" t="n"/>
      <c r="AS385" s="658" t="n"/>
      <c r="AT385" s="658" t="n"/>
      <c r="AU385" s="658" t="n"/>
      <c r="AV385" s="658" t="n"/>
    </row>
    <row r="386">
      <c r="AA386" s="658" t="n"/>
      <c r="AB386" s="658" t="n"/>
      <c r="AC386" s="658" t="n"/>
      <c r="AD386" s="658" t="n"/>
      <c r="AE386" s="658" t="n"/>
      <c r="AF386" s="658" t="n"/>
      <c r="AG386" s="658" t="n"/>
      <c r="AH386" s="658" t="n"/>
      <c r="AI386" s="658" t="n"/>
      <c r="AJ386" s="658" t="n"/>
      <c r="AK386" s="658" t="n"/>
      <c r="AL386" s="658" t="n"/>
      <c r="AN386" s="670" t="n"/>
      <c r="AO386" s="670" t="n"/>
      <c r="AP386" s="658" t="n"/>
      <c r="AQ386" s="658" t="n"/>
      <c r="AR386" s="658" t="n"/>
      <c r="AS386" s="658" t="n"/>
      <c r="AT386" s="658" t="n"/>
      <c r="AU386" s="658" t="n"/>
      <c r="AV386" s="658" t="n"/>
    </row>
    <row r="387">
      <c r="C387" s="2648" t="inlineStr">
        <is>
          <t>d.</t>
        </is>
      </c>
      <c r="D387" s="11403" t="inlineStr">
        <is>
          <t>Enter the amount from Schedule SE, Part I, line 13.</t>
        </is>
      </c>
      <c r="N387" s="2648" t="inlineStr">
        <is>
          <t xml:space="preserve">1d.      - </t>
        </is>
      </c>
      <c r="O387" s="7842">
        <f>IF(AND(A370,A379),SUM(SchSEHalfTax1,SchSEHalfTax2),"")</f>
        <v/>
      </c>
      <c r="R387" s="226" t="inlineStr">
        <is>
          <t>Manual</t>
        </is>
      </c>
      <c r="AA387" s="658" t="n"/>
      <c r="AB387" s="658" t="n"/>
      <c r="AC387" s="658" t="n"/>
      <c r="AD387" s="658" t="n"/>
      <c r="AE387" s="658" t="n"/>
      <c r="AF387" s="658" t="n"/>
      <c r="AG387" s="658" t="n"/>
      <c r="AH387" s="658" t="n"/>
      <c r="AI387" s="658" t="n"/>
      <c r="AJ387" s="658" t="n"/>
      <c r="AK387" s="658" t="n"/>
      <c r="AL387" s="658" t="n"/>
      <c r="AN387" s="670" t="n"/>
      <c r="AO387" s="670" t="n"/>
      <c r="AP387" s="658" t="n"/>
      <c r="AQ387" s="658" t="n"/>
      <c r="AR387" s="658" t="n"/>
      <c r="AS387" s="658" t="n"/>
      <c r="AT387" s="658" t="n"/>
      <c r="AU387" s="658" t="n"/>
      <c r="AV387" s="658" t="n"/>
    </row>
    <row r="388">
      <c r="R388" s="226" t="inlineStr">
        <is>
          <t>Override ê</t>
        </is>
      </c>
      <c r="AA388" s="658" t="n"/>
      <c r="AB388" s="658" t="n"/>
      <c r="AC388" s="658" t="n"/>
      <c r="AD388" s="658" t="n"/>
      <c r="AE388" s="658" t="n"/>
      <c r="AF388" s="658" t="n"/>
      <c r="AG388" s="658" t="n"/>
      <c r="AH388" s="658" t="n"/>
      <c r="AI388" s="658" t="n"/>
      <c r="AJ388" s="658" t="n"/>
      <c r="AK388" s="658" t="n"/>
      <c r="AL388" s="658" t="n"/>
      <c r="AN388" s="670" t="n"/>
      <c r="AO388" s="670" t="n"/>
      <c r="AP388" s="658" t="n"/>
      <c r="AQ388" s="658" t="n"/>
      <c r="AR388" s="658" t="n"/>
      <c r="AS388" s="658" t="n"/>
      <c r="AT388" s="658" t="n"/>
      <c r="AU388" s="658" t="n"/>
      <c r="AV388" s="658" t="n"/>
    </row>
    <row r="389">
      <c r="C389" s="2648" t="inlineStr">
        <is>
          <t>e.</t>
        </is>
      </c>
      <c r="D389" s="88" t="inlineStr">
        <is>
          <t>Subtract line 1d from 1c.</t>
        </is>
      </c>
      <c r="N389" s="220" t="inlineStr">
        <is>
          <t xml:space="preserve">1e.      = </t>
        </is>
      </c>
      <c r="O389" s="7842">
        <f>IF(R389&lt;&gt;"",ROUND(R389,0),IF(OR(NOT(A370),NOT(A379)),"",IF(OR(O387=0,O387=""),O385,SUM(O385,-O387))))</f>
        <v/>
      </c>
      <c r="R389" s="8021" t="n"/>
      <c r="S389" s="11717" t="n"/>
      <c r="T389" s="11717" t="n"/>
      <c r="U389" s="11717" t="n"/>
      <c r="V389" s="11717" t="n"/>
      <c r="W389" s="11717" t="n"/>
      <c r="X389" s="11717" t="n"/>
      <c r="AA389" s="658" t="n"/>
      <c r="AB389" s="658" t="n"/>
      <c r="AC389" s="658" t="n"/>
      <c r="AD389" s="658" t="n"/>
      <c r="AE389" s="658" t="n"/>
      <c r="AF389" s="658" t="n"/>
      <c r="AG389" s="658" t="n"/>
      <c r="AH389" s="658" t="n"/>
      <c r="AI389" s="658" t="n"/>
      <c r="AJ389" s="658" t="n"/>
      <c r="AK389" s="658" t="n"/>
      <c r="AL389" s="658" t="n"/>
      <c r="AN389" s="670" t="n"/>
      <c r="AO389" s="670" t="n"/>
      <c r="AP389" s="658" t="n"/>
      <c r="AQ389" s="658" t="n"/>
      <c r="AR389" s="658" t="n"/>
      <c r="AS389" s="658" t="n"/>
      <c r="AT389" s="658" t="n"/>
      <c r="AU389" s="658" t="n"/>
      <c r="AV389" s="658" t="n"/>
    </row>
    <row r="390" ht="7.5" customHeight="1" s="7635"/>
    <row r="391" ht="7.5" customFormat="1" customHeight="1" s="2659">
      <c r="B391" s="2660" t="n"/>
      <c r="N391" s="2661" t="n"/>
      <c r="AN391" s="2661" t="n"/>
      <c r="AO391" s="2661" t="n"/>
    </row>
    <row r="392" ht="15.75" customFormat="1" customHeight="1" s="2445">
      <c r="A392" s="9180" t="inlineStr">
        <is>
          <t>PART 2</t>
        </is>
      </c>
      <c r="B392" s="2698" t="inlineStr">
        <is>
          <t>- Self-Employed NOT Required To File Schedule SE</t>
        </is>
      </c>
      <c r="C392" s="2642" t="n"/>
      <c r="K392" s="2657" t="n"/>
      <c r="N392" s="2662" t="n"/>
      <c r="AN392" s="2662" t="n"/>
      <c r="AO392" s="2662" t="n"/>
    </row>
    <row r="393" ht="15" customFormat="1" customHeight="1" s="2445">
      <c r="A393" s="1942" t="n"/>
      <c r="B393" s="1942" t="n"/>
      <c r="C393" s="2535" t="inlineStr">
        <is>
          <t>For example, your net earnings from self-employment were less than $400.</t>
        </is>
      </c>
      <c r="N393" s="2662" t="n"/>
      <c r="AN393" s="2662" t="n"/>
      <c r="AO393" s="2662" t="n"/>
    </row>
    <row r="394">
      <c r="AA394" s="658" t="n"/>
      <c r="AB394" s="658" t="n"/>
      <c r="AC394" s="658" t="n"/>
      <c r="AD394" s="658" t="n"/>
      <c r="AE394" s="658" t="n"/>
      <c r="AF394" s="658" t="n"/>
      <c r="AG394" s="658" t="n"/>
      <c r="AH394" s="658" t="n"/>
      <c r="AI394" s="658" t="n"/>
      <c r="AJ394" s="658" t="n"/>
      <c r="AK394" s="658" t="n"/>
      <c r="AL394" s="658" t="n"/>
      <c r="AN394" s="670" t="n"/>
      <c r="AO394" s="670" t="n"/>
      <c r="AP394" s="658" t="n"/>
      <c r="AQ394" s="658" t="n"/>
      <c r="AR394" s="658" t="n"/>
      <c r="AS394" s="658" t="n"/>
      <c r="AT394" s="658" t="n"/>
      <c r="AU394" s="658" t="n"/>
      <c r="AV394" s="658" t="n"/>
    </row>
    <row r="395">
      <c r="A395" s="441">
        <f>AND(A370,B395="X")</f>
        <v/>
      </c>
      <c r="B395" s="325" t="n"/>
      <c r="D395" s="226" t="inlineStr">
        <is>
          <t>Check if PART 2 applies to you.</t>
        </is>
      </c>
      <c r="AA395" s="658" t="n"/>
      <c r="AB395" s="658" t="n"/>
      <c r="AC395" s="658" t="n"/>
      <c r="AD395" s="658" t="n"/>
      <c r="AE395" s="658" t="n"/>
      <c r="AF395" s="658" t="n"/>
      <c r="AG395" s="658" t="n"/>
      <c r="AH395" s="658" t="n"/>
      <c r="AI395" s="658" t="n"/>
      <c r="AJ395" s="658" t="n"/>
      <c r="AK395" s="658" t="n"/>
      <c r="AL395" s="658" t="n"/>
      <c r="AN395" s="670" t="n"/>
      <c r="AO395" s="670" t="n"/>
      <c r="AP395" s="658" t="n"/>
      <c r="AQ395" s="658" t="n"/>
      <c r="AR395" s="658" t="n"/>
      <c r="AS395" s="658" t="n"/>
      <c r="AT395" s="658" t="n"/>
      <c r="AU395" s="658" t="n"/>
      <c r="AV395" s="658" t="n"/>
    </row>
    <row r="396">
      <c r="A396" s="1942" t="n"/>
      <c r="B396" s="1942" t="n"/>
    </row>
    <row r="397" ht="13.5" customHeight="1" s="7635">
      <c r="A397" s="1942" t="n"/>
      <c r="B397" s="1942" t="n"/>
      <c r="C397" s="2648" t="inlineStr">
        <is>
          <t>2.</t>
        </is>
      </c>
      <c r="D397" s="11403" t="inlineStr">
        <is>
          <t>Don't include on these lines any statutory employee income, any net profit from services performed as a notary public,</t>
        </is>
      </c>
      <c r="R397" s="226" t="inlineStr">
        <is>
          <t>Manual</t>
        </is>
      </c>
    </row>
    <row r="398">
      <c r="A398" s="1942" t="n"/>
      <c r="B398" s="1942" t="n"/>
      <c r="D398" s="11403" t="inlineStr">
        <is>
          <t>any amount exempt from self-employment tax as the result of the filing and approval of Form 4029 or Form 4361,</t>
        </is>
      </c>
      <c r="R398" s="226" t="inlineStr">
        <is>
          <t>Override ê</t>
        </is>
      </c>
    </row>
    <row r="399">
      <c r="A399" s="1942" t="n"/>
      <c r="B399" s="1942" t="n"/>
      <c r="D399" s="11403" t="inlineStr">
        <is>
          <t>or any other amounts exempt from self-employment tax.</t>
        </is>
      </c>
      <c r="R399" s="226" t="n"/>
      <c r="T399" s="226" t="n"/>
      <c r="U399" s="2700" t="n"/>
      <c r="V399" s="226" t="n"/>
      <c r="X399" s="226" t="n"/>
    </row>
    <row r="400">
      <c r="D400" s="11403" t="n"/>
      <c r="R400" s="8001" t="n"/>
      <c r="S400" s="11717" t="n"/>
      <c r="T400" s="11717" t="n"/>
      <c r="U400" s="11717" t="n"/>
      <c r="V400" s="11717" t="n"/>
      <c r="W400" s="11717" t="n"/>
      <c r="X400" s="11717" t="n"/>
      <c r="AA400" s="11403" t="inlineStr">
        <is>
          <t>Schedule F, line 34</t>
        </is>
      </c>
    </row>
    <row r="401">
      <c r="C401" s="2648" t="n"/>
      <c r="D401" s="2643" t="inlineStr">
        <is>
          <t>a.</t>
        </is>
      </c>
      <c r="E401" s="11403" t="inlineStr">
        <is>
          <t>Enter any net farm profit or (loss) from Schedule F, line 34, and</t>
        </is>
      </c>
      <c r="N401" s="2648" t="inlineStr">
        <is>
          <t xml:space="preserve">2a.        </t>
        </is>
      </c>
      <c r="O401" s="7843">
        <f>IF(OR(R400&lt;&gt;"",R401&lt;&gt;""),SUM(ROUND(R400,0),ROUND(R401,0)),IF(A395,FarmProfitNet,""))</f>
        <v/>
      </c>
      <c r="R401" s="8002" t="n"/>
      <c r="S401" s="8007" t="n"/>
      <c r="T401" s="8007" t="n"/>
      <c r="U401" s="8007" t="n"/>
      <c r="V401" s="8007" t="n"/>
      <c r="W401" s="8007" t="n"/>
      <c r="X401" s="8007" t="n"/>
      <c r="AA401" s="11403" t="inlineStr">
        <is>
          <t>Schedule K-1 (Form 1065), box 14, code A*</t>
        </is>
      </c>
    </row>
    <row r="402">
      <c r="E402" s="11403" t="inlineStr">
        <is>
          <t>from farm partnerships, Schedule K-1 (Form 1065), box 14, code A*.</t>
        </is>
      </c>
      <c r="R402" s="8011" t="n"/>
      <c r="S402" s="11745" t="n"/>
      <c r="T402" s="11745" t="n"/>
      <c r="U402" s="11745" t="n"/>
      <c r="V402" s="11745" t="n"/>
      <c r="W402" s="11745" t="n"/>
      <c r="X402" s="11745" t="n"/>
      <c r="Y402" s="2689" t="n"/>
      <c r="Z402" s="2689" t="n"/>
      <c r="AA402" s="11403" t="n"/>
    </row>
    <row r="403">
      <c r="N403" s="88" t="n"/>
      <c r="R403" s="8001" t="n"/>
      <c r="S403" s="11717" t="n"/>
      <c r="T403" s="11717" t="n"/>
      <c r="U403" s="11717" t="n"/>
      <c r="V403" s="11717" t="n"/>
      <c r="W403" s="11717" t="n"/>
      <c r="X403" s="11717" t="n"/>
      <c r="Y403" s="2689" t="n"/>
      <c r="Z403" s="2689" t="n"/>
      <c r="AA403" s="11403" t="inlineStr">
        <is>
          <t>Schedule C, line 31 (excluding statutory employee income, etc.)</t>
        </is>
      </c>
      <c r="AN403" s="88" t="n"/>
      <c r="AO403" s="88" t="n"/>
    </row>
    <row r="404">
      <c r="C404" s="2648" t="n"/>
      <c r="D404" s="2643" t="inlineStr">
        <is>
          <t>b.</t>
        </is>
      </c>
      <c r="E404" s="11403" t="inlineStr">
        <is>
          <t>Enter any net profit or (loss) from Schedule C, line 31; and</t>
        </is>
      </c>
      <c r="N404" s="2648" t="inlineStr">
        <is>
          <t xml:space="preserve">2b.     + </t>
        </is>
      </c>
      <c r="O404" s="7842">
        <f>IF(OR(R403&lt;&gt;"",R404&lt;&gt;""),SUM(ROUND(R403,0),ROUND(R404,0)),IF(NOT(A395),"",IF(Business_Profit&gt;400,"&gt;$400",IF(AND(SchC_StatutoryEmp_1&lt;&gt;"",SchC_StatutoryEmp_2&lt;&gt;""),SUM(Business_Profit,-'Sch. C'!T23,-'Sch. C'!T137),IF(SchC_StatutoryEmp_1&lt;&gt;"",SUM(SchC_ProfitLoss1,-'Sch. C'!T23),IF(SchC_StatutoryEmp_2&lt;&gt;"",SUM(SchC_ProfitLoss2,-'Sch. C'!T137),Business_Profit))))))</f>
        <v/>
      </c>
      <c r="R404" s="8002" t="n"/>
      <c r="S404" s="8007" t="n"/>
      <c r="T404" s="8007" t="n"/>
      <c r="U404" s="8007" t="n"/>
      <c r="V404" s="8007" t="n"/>
      <c r="W404" s="8007" t="n"/>
      <c r="X404" s="8007" t="n"/>
      <c r="Y404" s="2689" t="n"/>
      <c r="Z404" s="2689" t="n"/>
      <c r="AA404" s="88" t="inlineStr">
        <is>
          <t>Schedule K-1 (Form 1065), box 14, code A (other than farming)</t>
        </is>
      </c>
    </row>
    <row r="405">
      <c r="E405" s="11403" t="inlineStr">
        <is>
          <t>Schedule K-1 (Form 1065), box 14, code A (other than farming)*.</t>
        </is>
      </c>
      <c r="R405" s="8005" t="n"/>
      <c r="S405" s="7839" t="n"/>
      <c r="T405" s="7839" t="n"/>
      <c r="U405" s="7839" t="n"/>
      <c r="V405" s="7839" t="n"/>
      <c r="W405" s="7839" t="n"/>
      <c r="X405" s="7839" t="n"/>
      <c r="Y405" s="2689" t="n"/>
      <c r="Z405" s="2689" t="n"/>
    </row>
    <row r="407">
      <c r="C407" s="2648" t="inlineStr">
        <is>
          <t>c.</t>
        </is>
      </c>
      <c r="D407" s="88" t="inlineStr">
        <is>
          <t>Combine lines 2a and 2b.</t>
        </is>
      </c>
      <c r="N407" s="2648" t="inlineStr">
        <is>
          <t xml:space="preserve">2c.     = </t>
        </is>
      </c>
      <c r="O407" s="7842">
        <f>IF(A395,SUM(O401,O404),"")</f>
        <v/>
      </c>
    </row>
    <row r="409">
      <c r="D409" s="2669" t="inlineStr">
        <is>
          <t>*If you have any Schedule K-1 amounts, complete the appropriate line(s) of Schedule SE, Part I.</t>
        </is>
      </c>
    </row>
    <row r="410">
      <c r="D410" s="2669" t="inlineStr">
        <is>
          <t>Reduce the Schedule K-1 amounts as described in the Partner’s Instructions for Schedule K-1. Enter</t>
        </is>
      </c>
    </row>
    <row r="411">
      <c r="D411" s="2669" t="inlineStr">
        <is>
          <t>your name and social security number on Schedule SE and attach it to your return.</t>
        </is>
      </c>
    </row>
    <row r="413" customFormat="1" s="2659">
      <c r="B413" s="2660" t="n"/>
      <c r="N413" s="2661" t="n"/>
      <c r="AN413" s="2661" t="n"/>
      <c r="AO413" s="2661" t="n"/>
    </row>
    <row r="414" ht="20.25" customFormat="1" customHeight="1" s="2445">
      <c r="A414" s="2642" t="inlineStr">
        <is>
          <t>Worksheet B</t>
        </is>
      </c>
      <c r="B414" s="2642" t="n"/>
      <c r="C414" s="2642" t="n"/>
      <c r="D414" s="2642">
        <f>"—  "&amp;TaxYear&amp;" EIC  —"</f>
        <v/>
      </c>
      <c r="F414" s="2642" t="inlineStr">
        <is>
          <t>line 27a — Continued</t>
        </is>
      </c>
      <c r="N414" s="2662" t="n"/>
      <c r="O414" s="2696" t="inlineStr">
        <is>
          <t>Keep for Your Records</t>
        </is>
      </c>
      <c r="AN414" s="2662" t="n"/>
      <c r="AO414" s="2662" t="n"/>
    </row>
    <row r="416" ht="15.75" customFormat="1" customHeight="1" s="2445">
      <c r="A416" s="9180" t="inlineStr">
        <is>
          <t>PART 3</t>
        </is>
      </c>
      <c r="B416" s="2688" t="inlineStr">
        <is>
          <t>- Statutory Employees Filing Schedule C</t>
        </is>
      </c>
      <c r="C416" s="2642" t="n"/>
      <c r="N416" s="2662" t="n"/>
      <c r="R416" s="226" t="inlineStr">
        <is>
          <t>Manual</t>
        </is>
      </c>
      <c r="S416" s="88" t="n"/>
      <c r="T416" s="226" t="n"/>
      <c r="U416" s="88" t="n"/>
      <c r="V416" s="226" t="n"/>
      <c r="W416" s="88" t="n"/>
      <c r="X416" s="226" t="n"/>
      <c r="AN416" s="2662" t="n"/>
      <c r="AO416" s="2662" t="n"/>
    </row>
    <row r="417">
      <c r="R417" s="226" t="inlineStr">
        <is>
          <t>Override ê</t>
        </is>
      </c>
      <c r="T417" s="226" t="n"/>
      <c r="V417" s="226" t="n"/>
      <c r="X417" s="226" t="n"/>
    </row>
    <row r="418">
      <c r="C418" s="2648" t="inlineStr">
        <is>
          <t>3.</t>
        </is>
      </c>
      <c r="D418" s="11403" t="inlineStr">
        <is>
          <t>Enter the amount from Schedule C, line 1, that</t>
        </is>
      </c>
      <c r="N418" s="220" t="inlineStr">
        <is>
          <t xml:space="preserve">3.   </t>
        </is>
      </c>
      <c r="O418" s="7842">
        <f>IF(R418&lt;&gt;"",ROUND(R418,0),IF(NOT(A370),"",IF(AND(SchC_StatutoryEmp_1&lt;&gt;"",SchC_StatutoryEmp_2&lt;&gt;""),SUM('Sch. C'!T23,'Sch. C'!T137),IF(SchC_StatutoryEmp_1&lt;&gt;"",'Sch. C'!T23,IF(SchC_StatutoryEmp_2&lt;&gt;"",'Sch. C'!T137,"")))))</f>
        <v/>
      </c>
      <c r="Q418" s="2700" t="n"/>
      <c r="R418" s="109" t="n"/>
      <c r="S418" s="8007" t="n"/>
      <c r="T418" s="8007" t="n"/>
      <c r="U418" s="8007" t="n"/>
      <c r="V418" s="8007" t="n"/>
      <c r="W418" s="8007" t="n"/>
      <c r="X418" s="8008" t="n"/>
    </row>
    <row r="419">
      <c r="D419" s="88" t="inlineStr">
        <is>
          <t>you are filing as a statutory employee.</t>
        </is>
      </c>
      <c r="O419" s="2701" t="n"/>
    </row>
    <row r="420" ht="7.5" customHeight="1" s="7635"/>
    <row r="421" ht="7.5" customFormat="1" customHeight="1" s="2659">
      <c r="B421" s="2660" t="n"/>
      <c r="N421" s="2661" t="n"/>
      <c r="AN421" s="2661" t="n"/>
      <c r="AO421" s="2661" t="n"/>
    </row>
    <row r="422" ht="15.75" customFormat="1" customHeight="1" s="2445">
      <c r="A422" s="9180" t="inlineStr">
        <is>
          <t>PART 4</t>
        </is>
      </c>
      <c r="B422" s="2688" t="inlineStr">
        <is>
          <t>- All Filers Using Worksheet B</t>
        </is>
      </c>
      <c r="C422" s="2642" t="n"/>
      <c r="N422" s="2662" t="n"/>
      <c r="AN422" s="2662" t="n"/>
      <c r="AO422" s="2662" t="n"/>
    </row>
    <row r="423" ht="15" customHeight="1" s="7635">
      <c r="D423" s="226" t="inlineStr">
        <is>
          <t>Note. If line 4b includes income on which you should have paid self-employment tax but didn't,</t>
        </is>
      </c>
    </row>
    <row r="424">
      <c r="D424" s="88" t="inlineStr">
        <is>
          <t>we may reduce your credit by the amount of self-employment tax not paid.</t>
        </is>
      </c>
      <c r="R424" s="226" t="inlineStr">
        <is>
          <t>Manual</t>
        </is>
      </c>
      <c r="T424" s="226" t="n"/>
      <c r="V424" s="226" t="n"/>
      <c r="X424" s="226" t="n"/>
      <c r="AA424" s="226" t="n"/>
      <c r="AN424" s="88" t="n"/>
      <c r="AO424" s="88" t="n"/>
      <c r="AP424" s="7847" t="n"/>
      <c r="AQ424" s="7847" t="n"/>
    </row>
    <row r="425">
      <c r="R425" s="226" t="inlineStr">
        <is>
          <t>Override ê</t>
        </is>
      </c>
      <c r="T425" s="226" t="n"/>
      <c r="V425" s="226" t="n"/>
      <c r="X425" s="226" t="n"/>
      <c r="AA425" s="226" t="n"/>
      <c r="AN425" s="88" t="n"/>
      <c r="AO425" s="88" t="n"/>
      <c r="AP425" s="7847" t="n"/>
      <c r="AQ425" s="7847" t="n"/>
    </row>
    <row r="426">
      <c r="C426" s="2648" t="inlineStr">
        <is>
          <t>4a.</t>
        </is>
      </c>
      <c r="D426" s="11403" t="inlineStr">
        <is>
          <t>Enter your earned income from Step 5.</t>
        </is>
      </c>
      <c r="N426" s="220" t="inlineStr">
        <is>
          <t xml:space="preserve">4a.   </t>
        </is>
      </c>
      <c r="O426" s="7842">
        <f>IF(R426&lt;&gt;"",R426,IF(NOT(A370),"",EIC_EarnedIncome))</f>
        <v/>
      </c>
      <c r="R426" s="109" t="n"/>
      <c r="S426" s="8007" t="n"/>
      <c r="T426" s="8007" t="n"/>
      <c r="U426" s="8007" t="n"/>
      <c r="V426" s="8007" t="n"/>
      <c r="W426" s="8007" t="n"/>
      <c r="X426" s="8008" t="n"/>
    </row>
    <row r="428">
      <c r="C428" s="2648" t="inlineStr">
        <is>
          <t>b.</t>
        </is>
      </c>
      <c r="D428" s="11403" t="inlineStr">
        <is>
          <t>Combine lines 1e, 2c, 3, and 4a.</t>
        </is>
      </c>
      <c r="G428" s="226" t="inlineStr">
        <is>
          <t>This is your total earned income.</t>
        </is>
      </c>
      <c r="N428" s="220" t="inlineStr">
        <is>
          <t xml:space="preserve">4b.   </t>
        </is>
      </c>
      <c r="O428" s="7842">
        <f>IF(NOT(A370),"",SUM(O389,O407,O418,O426))</f>
        <v/>
      </c>
    </row>
    <row r="429">
      <c r="B429" s="88" t="n"/>
    </row>
    <row r="430">
      <c r="A430" s="441">
        <f>EarnedIncomeWSB&lt;=0</f>
        <v/>
      </c>
      <c r="D430" s="11403" t="inlineStr">
        <is>
          <t>If line 4b is zero or less,   STOP  you can't take the credit.</t>
        </is>
      </c>
    </row>
    <row r="431">
      <c r="A431" s="441">
        <f>NOT(A430)</f>
        <v/>
      </c>
      <c r="D431" s="11403" t="inlineStr">
        <is>
          <t>Check the box on Form 1040 or 1040-SR, line 27c.</t>
        </is>
      </c>
    </row>
    <row r="432">
      <c r="D432" s="11403" t="n"/>
    </row>
    <row r="433">
      <c r="D433" s="1839" t="n"/>
      <c r="E433" s="1839" t="n"/>
      <c r="F433" s="1839" t="n"/>
      <c r="G433" s="1839" t="n"/>
      <c r="H433" s="1839" t="n"/>
      <c r="I433" s="1839" t="n"/>
      <c r="J433" s="1839" t="n"/>
      <c r="K433" s="1843" t="n"/>
      <c r="L433" s="11403" t="n"/>
      <c r="M433" s="11403" t="n"/>
      <c r="N433" s="11403" t="n"/>
      <c r="O433" s="11403" t="n"/>
      <c r="P433" s="11403" t="n"/>
      <c r="Q433" s="11403" t="n"/>
      <c r="R433" s="11403" t="n"/>
      <c r="S433" s="11403" t="n"/>
      <c r="T433" s="11403" t="n"/>
      <c r="U433" s="11403" t="n"/>
      <c r="V433" s="11403" t="n"/>
      <c r="W433" s="11403" t="n"/>
      <c r="X433" s="11403" t="n"/>
      <c r="Y433" s="11403" t="n"/>
      <c r="Z433" s="11403" t="n"/>
      <c r="AA433" s="11403" t="n"/>
      <c r="AB433" s="11403" t="n"/>
      <c r="AC433" s="11403" t="n"/>
    </row>
    <row r="434">
      <c r="C434" s="2648" t="inlineStr">
        <is>
          <t>5.</t>
        </is>
      </c>
      <c r="D434" s="88" t="inlineStr">
        <is>
          <t>If you have:</t>
        </is>
      </c>
      <c r="K434" s="11403" t="n"/>
      <c r="L434" s="11403" t="n"/>
      <c r="M434" s="11403" t="n"/>
      <c r="N434" s="11403" t="n"/>
      <c r="O434" s="11403" t="n"/>
      <c r="P434" s="11403" t="n"/>
      <c r="Q434" s="11403" t="n"/>
      <c r="R434" s="11403" t="n"/>
      <c r="S434" s="11403" t="n"/>
      <c r="T434" s="11403" t="n"/>
      <c r="U434" s="11403" t="n"/>
      <c r="V434" s="11403" t="n"/>
      <c r="W434" s="11403" t="n"/>
      <c r="X434" s="11403" t="n"/>
      <c r="Y434" s="11403" t="n"/>
      <c r="Z434" s="11403" t="n"/>
      <c r="AA434" s="11403" t="n"/>
      <c r="AB434" s="11403" t="n"/>
      <c r="AC434" s="11403" t="n"/>
    </row>
    <row r="435">
      <c r="B435" s="2682">
        <f>IF(AND($A$431,M436),"®","")</f>
        <v/>
      </c>
      <c r="C435" s="2643" t="inlineStr">
        <is>
          <t>●</t>
        </is>
      </c>
      <c r="D435" s="11403" t="inlineStr">
        <is>
          <t xml:space="preserve">3 or more qualifying children, </t>
        </is>
      </c>
      <c r="K435" s="11403" t="n"/>
      <c r="L435" s="11403" t="n"/>
      <c r="M435" s="11403" t="n"/>
      <c r="N435" s="11403" t="n"/>
      <c r="O435" s="11403" t="n"/>
      <c r="P435" s="11403" t="n"/>
      <c r="Q435" s="11403" t="n"/>
      <c r="R435" s="11403" t="n"/>
      <c r="S435" s="11403" t="n"/>
      <c r="T435" s="11403" t="n"/>
      <c r="U435" s="11403" t="n"/>
      <c r="V435" s="11403" t="n"/>
      <c r="W435" s="11403" t="n"/>
      <c r="X435" s="11403" t="n"/>
      <c r="Y435" s="11403" t="n"/>
      <c r="Z435" s="11403" t="n"/>
      <c r="AA435" s="11403" t="n"/>
      <c r="AB435" s="11403" t="n"/>
      <c r="AC435" s="11403" t="n"/>
    </row>
    <row r="436">
      <c r="B436" s="2702" t="n"/>
      <c r="D436" s="11403">
        <f>"Is line 4b less than "&amp;TEXT(N10,"$0,000")&amp;" ("&amp;TEXT(O10,"$0,000")&amp;" if married filing jointly)?"</f>
        <v/>
      </c>
      <c r="K436" s="11403" t="n"/>
      <c r="L436" s="11403" t="n"/>
      <c r="M436" s="441">
        <f>AND($A$370,EICNumQualChild&gt;=3,OR(AND(File_Marr_Joint&lt;&gt;"",EarnedIncomeWSB&lt;O10),EarnedIncomeWSB&lt;N10))</f>
        <v/>
      </c>
      <c r="N436" s="11403" t="n"/>
      <c r="O436" s="11403" t="n"/>
      <c r="P436" s="11403" t="n"/>
      <c r="Q436" s="11403" t="n"/>
      <c r="R436" s="11403" t="n"/>
      <c r="S436" s="11403" t="n"/>
      <c r="T436" s="11403" t="n"/>
      <c r="U436" s="11403" t="n"/>
      <c r="V436" s="11403" t="n"/>
      <c r="W436" s="11403" t="n"/>
      <c r="X436" s="11403" t="n"/>
      <c r="Y436" s="11403" t="n"/>
      <c r="Z436" s="11403" t="n"/>
      <c r="AA436" s="11403" t="n"/>
      <c r="AB436" s="11403" t="n"/>
      <c r="AC436" s="11403" t="n"/>
    </row>
    <row r="437">
      <c r="B437" s="2702" t="n"/>
      <c r="C437" s="228" t="inlineStr">
        <is>
          <t>or</t>
        </is>
      </c>
      <c r="K437" s="11403" t="n"/>
      <c r="L437" s="11403" t="n"/>
      <c r="M437" s="11403" t="n"/>
      <c r="N437" s="11403" t="n"/>
      <c r="O437" s="11403" t="n"/>
      <c r="P437" s="11403" t="n"/>
      <c r="Q437" s="11403" t="n"/>
      <c r="R437" s="11403" t="n"/>
      <c r="S437" s="11403" t="n"/>
      <c r="T437" s="11403" t="n"/>
      <c r="U437" s="11403" t="n"/>
      <c r="V437" s="11403" t="n"/>
      <c r="W437" s="11403" t="n"/>
      <c r="X437" s="11403" t="n"/>
      <c r="Y437" s="11403" t="n"/>
      <c r="Z437" s="11403" t="n"/>
      <c r="AA437" s="11403" t="n"/>
      <c r="AB437" s="11403" t="n"/>
      <c r="AC437" s="11403" t="n"/>
    </row>
    <row r="438">
      <c r="B438" s="2682">
        <f>IF(AND($A$431,M439),"®","")</f>
        <v/>
      </c>
      <c r="C438" s="2643" t="inlineStr">
        <is>
          <t>●</t>
        </is>
      </c>
      <c r="D438" s="11403" t="inlineStr">
        <is>
          <t>2 qualifying children,</t>
        </is>
      </c>
      <c r="K438" s="11403" t="n"/>
      <c r="L438" s="11403" t="n"/>
      <c r="M438" s="11403" t="n"/>
      <c r="N438" s="11403" t="n"/>
      <c r="O438" s="11403" t="n"/>
      <c r="P438" s="11403" t="n"/>
      <c r="Q438" s="11403" t="n"/>
      <c r="R438" s="11403" t="n"/>
      <c r="S438" s="11403" t="n"/>
      <c r="T438" s="11403" t="n"/>
      <c r="U438" s="11403" t="n"/>
      <c r="V438" s="11403" t="n"/>
      <c r="W438" s="11403" t="n"/>
      <c r="X438" s="11403" t="n"/>
      <c r="Y438" s="11403" t="n"/>
      <c r="Z438" s="11403" t="n"/>
      <c r="AA438" s="11403" t="n"/>
      <c r="AB438" s="11403" t="n"/>
      <c r="AC438" s="11403" t="n"/>
    </row>
    <row r="439">
      <c r="B439" s="2702" t="n"/>
      <c r="D439" s="11403">
        <f>"Is line 4b less than "&amp;TEXT(N13,"$0,000")&amp;" ("&amp;TEXT(O13,"$0,000")&amp;" if married filing jointly)?"</f>
        <v/>
      </c>
      <c r="K439" s="11403" t="n"/>
      <c r="L439" s="11403" t="n"/>
      <c r="M439" s="441">
        <f>AND($A$370,EICNumQualChild=2,OR(AND(File_Marr_Joint&lt;&gt;"",EarnedIncomeWSB&lt;O13),EarnedIncomeWSB&lt;N13))</f>
        <v/>
      </c>
      <c r="N439" s="11403" t="n"/>
      <c r="O439" s="11403" t="n"/>
      <c r="P439" s="11403" t="n"/>
      <c r="Q439" s="11403" t="n"/>
      <c r="R439" s="11403" t="n"/>
      <c r="S439" s="11403" t="n"/>
      <c r="T439" s="11403" t="n"/>
      <c r="U439" s="11403" t="n"/>
      <c r="V439" s="11403" t="n"/>
      <c r="W439" s="11403" t="n"/>
      <c r="X439" s="11403" t="n"/>
      <c r="Y439" s="11403" t="n"/>
      <c r="Z439" s="11403" t="n"/>
      <c r="AA439" s="11403" t="n"/>
      <c r="AB439" s="11403" t="n"/>
      <c r="AC439" s="11403" t="n"/>
    </row>
    <row r="440">
      <c r="B440" s="2702" t="n"/>
      <c r="C440" s="228" t="inlineStr">
        <is>
          <t>or</t>
        </is>
      </c>
      <c r="K440" s="11403" t="n"/>
      <c r="L440" s="11403" t="n"/>
      <c r="M440" s="11403" t="n"/>
      <c r="N440" s="11403" t="n"/>
      <c r="O440" s="11403" t="n"/>
      <c r="P440" s="11403" t="n"/>
      <c r="Q440" s="11403" t="n"/>
      <c r="R440" s="11403" t="n"/>
      <c r="S440" s="11403" t="n"/>
      <c r="T440" s="11403" t="n"/>
      <c r="U440" s="11403" t="n"/>
      <c r="V440" s="11403" t="n"/>
      <c r="W440" s="11403" t="n"/>
      <c r="X440" s="11403" t="n"/>
      <c r="Y440" s="11403" t="n"/>
      <c r="Z440" s="11403" t="n"/>
      <c r="AA440" s="11403" t="n"/>
      <c r="AB440" s="11403" t="n"/>
      <c r="AC440" s="11403" t="n"/>
    </row>
    <row r="441">
      <c r="B441" s="2682">
        <f>IF(AND($A$431,M442),"®","")</f>
        <v/>
      </c>
      <c r="C441" s="2643" t="inlineStr">
        <is>
          <t>●</t>
        </is>
      </c>
      <c r="D441" s="11403" t="inlineStr">
        <is>
          <t>1 qualifying child,</t>
        </is>
      </c>
      <c r="K441" s="11403" t="n"/>
      <c r="L441" s="11403" t="n"/>
      <c r="M441" s="11403" t="n"/>
      <c r="N441" s="11403" t="n"/>
      <c r="O441" s="11403" t="n"/>
      <c r="P441" s="11403" t="n"/>
      <c r="Q441" s="11403" t="n"/>
      <c r="R441" s="11403" t="n"/>
      <c r="S441" s="11403" t="n"/>
      <c r="T441" s="11403" t="n"/>
      <c r="U441" s="11403" t="n"/>
      <c r="V441" s="11403" t="n"/>
      <c r="W441" s="11403" t="n"/>
      <c r="X441" s="11403" t="n"/>
      <c r="Y441" s="11403" t="n"/>
      <c r="Z441" s="11403" t="n"/>
      <c r="AA441" s="11403" t="n"/>
      <c r="AB441" s="11403" t="n"/>
      <c r="AC441" s="11403" t="n"/>
    </row>
    <row r="442">
      <c r="B442" s="2702" t="n"/>
      <c r="D442" s="11403">
        <f>"Is line 4b less than "&amp;TEXT(N16,"$0,000")&amp;" ("&amp;TEXT(O16,"$0,000")&amp;" if married filing jointly)?"</f>
        <v/>
      </c>
      <c r="K442" s="11403" t="n"/>
      <c r="L442" s="11403" t="n"/>
      <c r="M442" s="441">
        <f>AND($A$370,EICNumQualChild=1,OR(AND(File_Marr_Joint&lt;&gt;"",EarnedIncomeWSB&lt;O16),EarnedIncomeWSB&lt;N16))</f>
        <v/>
      </c>
      <c r="N442" s="11403" t="n"/>
      <c r="O442" s="11403" t="n"/>
      <c r="P442" s="11403" t="n"/>
      <c r="Q442" s="11403" t="n"/>
      <c r="R442" s="11403" t="n"/>
      <c r="S442" s="11403" t="n"/>
      <c r="T442" s="11403" t="n"/>
      <c r="U442" s="11403" t="n"/>
      <c r="V442" s="11403" t="n"/>
      <c r="W442" s="11403" t="n"/>
      <c r="X442" s="11403" t="n"/>
      <c r="Y442" s="11403" t="n"/>
      <c r="Z442" s="11403" t="n"/>
      <c r="AA442" s="11403" t="n"/>
      <c r="AB442" s="11403" t="n"/>
      <c r="AC442" s="11403" t="n"/>
    </row>
    <row r="443">
      <c r="B443" s="2702" t="n"/>
      <c r="C443" s="228" t="inlineStr">
        <is>
          <t>or</t>
        </is>
      </c>
      <c r="K443" s="11403" t="n"/>
      <c r="L443" s="11403" t="n"/>
      <c r="M443" s="11403" t="n"/>
      <c r="N443" s="11403" t="n"/>
      <c r="O443" s="11403" t="n"/>
      <c r="P443" s="11403" t="n"/>
      <c r="Q443" s="11403" t="n"/>
      <c r="R443" s="11403" t="n"/>
      <c r="S443" s="11403" t="n"/>
      <c r="T443" s="11403" t="n"/>
      <c r="U443" s="11403" t="n"/>
      <c r="V443" s="11403" t="n"/>
      <c r="W443" s="11403" t="n"/>
      <c r="X443" s="11403" t="n"/>
      <c r="Y443" s="11403" t="n"/>
      <c r="Z443" s="11403" t="n"/>
      <c r="AA443" s="11403" t="n"/>
      <c r="AB443" s="11403" t="n"/>
      <c r="AC443" s="11403" t="n"/>
    </row>
    <row r="444">
      <c r="B444" s="2682">
        <f>IF(AND($A$431,M445),"®","")</f>
        <v/>
      </c>
      <c r="C444" s="2643" t="inlineStr">
        <is>
          <t>●</t>
        </is>
      </c>
      <c r="D444" s="88" t="inlineStr">
        <is>
          <t>No qualifying children,</t>
        </is>
      </c>
      <c r="K444" s="11403" t="n"/>
      <c r="L444" s="11403" t="n"/>
      <c r="M444" s="11403" t="n"/>
      <c r="N444" s="11403" t="n"/>
      <c r="O444" s="11403" t="n"/>
      <c r="P444" s="11403" t="n"/>
      <c r="Q444" s="11403" t="n"/>
      <c r="R444" s="11403" t="n"/>
      <c r="S444" s="11403" t="n"/>
      <c r="T444" s="11403" t="n"/>
      <c r="U444" s="11403" t="n"/>
      <c r="V444" s="11403" t="n"/>
      <c r="W444" s="11403" t="n"/>
      <c r="X444" s="11403" t="n"/>
      <c r="Y444" s="11403" t="n"/>
      <c r="Z444" s="11403" t="n"/>
      <c r="AA444" s="11403" t="n"/>
      <c r="AB444" s="11403" t="n"/>
      <c r="AC444" s="11403" t="n"/>
    </row>
    <row r="445">
      <c r="D445" s="88">
        <f>"Is line 4b less than "&amp;TEXT(N19,"$0,000")&amp;" ("&amp;TEXT(O19,"$0,000")&amp;" if married filing jointly)?"</f>
        <v/>
      </c>
      <c r="K445" s="11403" t="n"/>
      <c r="L445" s="11403" t="n"/>
      <c r="M445" s="441">
        <f>AND($A$370,EICNumQualChild=0,OR(AND(File_Marr_Joint&lt;&gt;"",EarnedIncomeWSB&lt;O19),EarnedIncomeWSB&lt;N19))</f>
        <v/>
      </c>
      <c r="N445" s="11403" t="n"/>
      <c r="O445" s="11403" t="n"/>
      <c r="P445" s="11403" t="n"/>
      <c r="Q445" s="11403" t="n"/>
      <c r="R445" s="11403" t="n"/>
      <c r="S445" s="11403" t="n"/>
      <c r="T445" s="11403" t="n"/>
      <c r="U445" s="11403" t="n"/>
      <c r="V445" s="11403" t="n"/>
      <c r="W445" s="11403" t="n"/>
      <c r="X445" s="11403" t="n"/>
      <c r="Y445" s="11403" t="n"/>
      <c r="Z445" s="11403" t="n"/>
      <c r="AA445" s="11403" t="n"/>
      <c r="AB445" s="11403" t="n"/>
      <c r="AC445" s="11403" t="n"/>
    </row>
    <row r="447">
      <c r="A447" s="441">
        <f>AND(A370,OR(M436,M439,M442,M445))</f>
        <v/>
      </c>
      <c r="B447" s="2658">
        <f>IF(AND($A$431,A447),"X","")</f>
        <v/>
      </c>
      <c r="D447" s="226" t="inlineStr">
        <is>
          <t>Yes.  If you want the IRS to figure your credit, see Credit figured by the IRS, earlier.</t>
        </is>
      </c>
    </row>
    <row r="448">
      <c r="D448" s="11403" t="inlineStr">
        <is>
          <t xml:space="preserve">        If you want to figure the credit yourself, enter the amount from line 4b on line 6 of this worksheet.</t>
        </is>
      </c>
    </row>
    <row r="450">
      <c r="A450" s="441">
        <f>AND(A370,NOT(M436),NOT(M439),NOT(M442),NOT(M445),NOT(M448))</f>
        <v/>
      </c>
      <c r="B450" s="2658">
        <f>IF(AND($A$431,A450),"X","")</f>
        <v/>
      </c>
      <c r="D450" s="11403" t="inlineStr">
        <is>
          <t>No.   STOP  You can't take the credit. Check the box on Form 1040, line 27c.</t>
        </is>
      </c>
    </row>
    <row r="451" ht="7.5" customHeight="1" s="7635"/>
    <row r="452" ht="7.5" customFormat="1" customHeight="1" s="2659">
      <c r="B452" s="2660" t="n"/>
      <c r="N452" s="2661" t="n"/>
      <c r="AN452" s="2661" t="n"/>
      <c r="AO452" s="2661" t="n"/>
    </row>
    <row r="453" ht="15.75" customFormat="1" customHeight="1" s="2445">
      <c r="A453" s="9180" t="inlineStr">
        <is>
          <t>PART 5</t>
        </is>
      </c>
      <c r="B453" s="2688" t="inlineStr">
        <is>
          <t>- All Filers Using Worksheet B</t>
        </is>
      </c>
      <c r="C453" s="2642" t="n"/>
      <c r="N453" s="2662" t="n"/>
      <c r="AN453" s="2662" t="n"/>
      <c r="AO453" s="2662" t="n"/>
    </row>
    <row r="455" ht="13.5" customHeight="1" s="7635" thickBot="1">
      <c r="C455" s="2648" t="inlineStr">
        <is>
          <t>6.</t>
        </is>
      </c>
      <c r="D455" s="11403" t="inlineStr">
        <is>
          <t>Enter your total earned income from Part 4, line 4b.</t>
        </is>
      </c>
      <c r="L455" s="220" t="inlineStr">
        <is>
          <t xml:space="preserve">6.  </t>
        </is>
      </c>
      <c r="M455" s="7842">
        <f>IF(AND($A$431,A447),EarnedIncomeWSB,"")</f>
        <v/>
      </c>
      <c r="O455" s="2703" t="n"/>
      <c r="AN455" s="728" t="inlineStr">
        <is>
          <t>M441</t>
        </is>
      </c>
    </row>
    <row r="456">
      <c r="C456" s="2648" t="n"/>
      <c r="N456" s="2648" t="n"/>
      <c r="O456" s="2689" t="n"/>
      <c r="AN456" s="2704">
        <f>M455</f>
        <v/>
      </c>
      <c r="AO456" s="12021" t="inlineStr">
        <is>
          <t>No Qual. Children</t>
        </is>
      </c>
      <c r="AP456" s="2614" t="n"/>
      <c r="AQ456" s="12021" t="inlineStr">
        <is>
          <t>One Qualifying Child</t>
        </is>
      </c>
      <c r="AR456" s="2614" t="n"/>
      <c r="AS456" s="12021" t="inlineStr">
        <is>
          <t>Two Qualify Children</t>
        </is>
      </c>
      <c r="AT456" s="2614" t="n"/>
      <c r="AU456" s="12021" t="inlineStr">
        <is>
          <t>Three Qualify Children</t>
        </is>
      </c>
      <c r="AV456" s="2614" t="n"/>
    </row>
    <row r="457">
      <c r="C457" s="2648" t="inlineStr">
        <is>
          <t>7.</t>
        </is>
      </c>
      <c r="D457" s="11403" t="inlineStr">
        <is>
          <t>Look up the amount on line 6 above in the EIC Table to find</t>
        </is>
      </c>
      <c r="N457" s="2648" t="n"/>
      <c r="O457" s="2689" t="n"/>
      <c r="AN457" s="2705">
        <f>IF(AN456&lt;&gt;"",ROUND(AN456,0),"")</f>
        <v/>
      </c>
      <c r="AO457" s="9884" t="inlineStr">
        <is>
          <t>All others</t>
        </is>
      </c>
      <c r="AP457" s="2706" t="inlineStr">
        <is>
          <t>MFJ</t>
        </is>
      </c>
      <c r="AQ457" s="9884" t="inlineStr">
        <is>
          <t>All others</t>
        </is>
      </c>
      <c r="AR457" s="2706" t="inlineStr">
        <is>
          <t>MFJ</t>
        </is>
      </c>
      <c r="AS457" s="9884" t="inlineStr">
        <is>
          <t>All others</t>
        </is>
      </c>
      <c r="AT457" s="2707" t="inlineStr">
        <is>
          <t>MFJ</t>
        </is>
      </c>
      <c r="AU457" s="9884" t="inlineStr">
        <is>
          <t>All others</t>
        </is>
      </c>
      <c r="AV457" s="2707" t="inlineStr">
        <is>
          <t>MFJ</t>
        </is>
      </c>
    </row>
    <row r="458">
      <c r="C458" s="2648" t="n"/>
      <c r="D458" s="11403" t="inlineStr">
        <is>
          <t>the credit. Be sure you use the correct column for your filing status and</t>
        </is>
      </c>
      <c r="N458" s="220" t="inlineStr">
        <is>
          <t xml:space="preserve">7. </t>
        </is>
      </c>
      <c r="O458" s="7842">
        <f>IF(AND($A$431,A447),AN460,"")</f>
        <v/>
      </c>
      <c r="AN458" s="2708" t="n"/>
      <c r="AO458" s="2685">
        <f>LOOKUP(AN459,'EIC Table'!$A$3:$A$1384,'EIC Table'!$C$3:$C$1384)</f>
        <v/>
      </c>
      <c r="AP458" s="2686">
        <f>LOOKUP(AN459,'EIC Table'!$A$3:$A$1384,'EIC Table'!$G$3:$G$1384)</f>
        <v/>
      </c>
      <c r="AQ458" s="2685">
        <f>LOOKUP(AN459,'EIC Table'!$A$3:$A$1384,'EIC Table'!$D$3:$D$1384)</f>
        <v/>
      </c>
      <c r="AR458" s="2686">
        <f>LOOKUP(AN459,'EIC Table'!$A$3:$A$1384,'EIC Table'!$H$3:$H$1384)</f>
        <v/>
      </c>
      <c r="AS458" s="11547">
        <f>LOOKUP(AN459,'EIC Table'!$A$3:$A$1384,'EIC Table'!$E$3:$E$1384)</f>
        <v/>
      </c>
      <c r="AT458" s="2686">
        <f>LOOKUP(AN459,'EIC Table'!$A$3:$A$1384,'EIC Table'!$I$3:$I$1384)</f>
        <v/>
      </c>
      <c r="AU458" s="11547">
        <f>LOOKUP(AN459,'EIC Table'!$A$3:$A$1384,'EIC Table'!$F$3:$F$1384)</f>
        <v/>
      </c>
      <c r="AV458" s="2686">
        <f>LOOKUP(AN459,'EIC Table'!$A$3:$A$1384,'EIC Table'!$J$3:$J$1384)</f>
        <v/>
      </c>
    </row>
    <row r="459" ht="13.5" customHeight="1" s="7635" thickBot="1">
      <c r="C459" s="2648" t="n"/>
      <c r="D459" s="11403" t="inlineStr">
        <is>
          <t>the number of qualifying children you have who have valid SSNs.</t>
        </is>
      </c>
      <c r="N459" s="2648" t="n"/>
      <c r="O459" s="2689" t="n"/>
      <c r="AN459" s="2705">
        <f>IF(AN457="","",AN457)</f>
        <v/>
      </c>
      <c r="AO459" s="2685" t="n"/>
      <c r="AP459" s="2686" t="n"/>
      <c r="AQ459" s="2685" t="n"/>
      <c r="AR459" s="2686" t="n"/>
      <c r="AS459" s="11547" t="n"/>
      <c r="AT459" s="2686" t="n"/>
      <c r="AU459" s="11547" t="n"/>
      <c r="AV459" s="2686" t="n"/>
    </row>
    <row r="460" ht="13.5" customHeight="1" s="7635" thickBot="1">
      <c r="C460" s="2648" t="n"/>
      <c r="D460" s="11403" t="inlineStr">
        <is>
          <t>Enter the credit here.</t>
        </is>
      </c>
      <c r="N460" s="2648" t="n"/>
      <c r="O460" s="2689" t="n"/>
      <c r="AN460" s="2709">
        <f>IF(EICNumQualChild&gt;2,AV460,IF(EICNumQualChild=2,AT460,IF(EICNumQualChild=1,AR460,AP460)))</f>
        <v/>
      </c>
      <c r="AO460" s="2710" t="n"/>
      <c r="AP460" s="2711">
        <f>IF(File_Marr_Joint&lt;&gt;"",AP458,AO458)</f>
        <v/>
      </c>
      <c r="AQ460" s="2710" t="n"/>
      <c r="AR460" s="2711">
        <f>IF(File_Marr_Joint&lt;&gt;"",AR458,AQ458)</f>
        <v/>
      </c>
      <c r="AS460" s="2712" t="n"/>
      <c r="AT460" s="2711">
        <f>IF(File_Marr_Joint&lt;&gt;"",AT458,AS458)</f>
        <v/>
      </c>
      <c r="AU460" s="2712" t="n"/>
      <c r="AV460" s="2711">
        <f>IF(File_Marr_Joint&lt;&gt;"",AV458,AU458)</f>
        <v/>
      </c>
    </row>
    <row r="461">
      <c r="C461" s="2648" t="n"/>
      <c r="N461" s="2648" t="n"/>
      <c r="O461" s="2689" t="n"/>
      <c r="AN461" s="3824" t="n"/>
      <c r="AO461" s="1061" t="n"/>
      <c r="AP461" s="1061" t="n"/>
      <c r="AQ461" s="1061" t="n"/>
      <c r="AR461" s="1061" t="n"/>
      <c r="AS461" s="1061" t="n"/>
      <c r="AT461" s="1061" t="n"/>
      <c r="AU461" s="1061" t="n"/>
      <c r="AV461" s="1061" t="n"/>
    </row>
    <row r="462">
      <c r="C462" s="2648" t="n"/>
      <c r="D462" s="11403" t="inlineStr">
        <is>
          <t>If line 7 is zero,  STOP  you can't take the credit.</t>
        </is>
      </c>
      <c r="N462" s="2648" t="n"/>
      <c r="O462" s="2468">
        <f>AND(B370&lt;&gt;"",O458=0)</f>
        <v/>
      </c>
      <c r="AN462" s="88" t="n"/>
      <c r="AO462" s="88" t="n"/>
    </row>
    <row r="463">
      <c r="C463" s="2648" t="n"/>
      <c r="D463" s="11403" t="inlineStr">
        <is>
          <t>Check the box on Form 1040 or 1040-SR, line 27c.</t>
        </is>
      </c>
      <c r="N463" s="2648" t="n"/>
      <c r="O463" s="2689" t="n"/>
      <c r="AN463" s="88" t="n"/>
      <c r="AO463" s="88" t="n"/>
    </row>
    <row r="464">
      <c r="C464" s="2648" t="n"/>
      <c r="N464" s="2648" t="n"/>
      <c r="O464" s="2689" t="n"/>
      <c r="AN464" s="88" t="n"/>
      <c r="AO464" s="88" t="n"/>
    </row>
    <row r="465">
      <c r="C465" s="2648" t="inlineStr">
        <is>
          <t>8.</t>
        </is>
      </c>
      <c r="D465" s="11403" t="inlineStr">
        <is>
          <t>Enter the amount from Form 1040 or 1040-SR, line 11.</t>
        </is>
      </c>
      <c r="L465" s="220" t="inlineStr">
        <is>
          <t xml:space="preserve">8.  </t>
        </is>
      </c>
      <c r="M465" s="7842">
        <f>IF(OR($A$430,$B$370="",B450&lt;&gt;""),"",Adj_Gross_Inc)</f>
        <v/>
      </c>
      <c r="N465" s="2648" t="n"/>
      <c r="O465" s="2689" t="n"/>
      <c r="AN465" s="88" t="n"/>
      <c r="AO465" s="88" t="n"/>
    </row>
    <row r="466">
      <c r="C466" s="2648" t="n"/>
      <c r="N466" s="2648" t="n"/>
      <c r="O466" s="2689" t="n"/>
      <c r="AN466" s="88" t="n"/>
      <c r="AO466" s="88" t="n"/>
    </row>
    <row r="467">
      <c r="C467" s="2648" t="inlineStr">
        <is>
          <t>9.</t>
        </is>
      </c>
      <c r="D467" s="88" t="inlineStr">
        <is>
          <t>Are the amounts on lines 8 and 6 the same?</t>
        </is>
      </c>
      <c r="N467" s="2648" t="n"/>
      <c r="O467" s="2689" t="n"/>
      <c r="AN467" s="88" t="n"/>
      <c r="AO467" s="88" t="n"/>
    </row>
    <row r="468">
      <c r="C468" s="2648" t="n"/>
      <c r="N468" s="2648" t="n"/>
      <c r="O468" s="2689" t="n"/>
      <c r="AN468" s="88" t="n"/>
      <c r="AO468" s="88" t="n"/>
    </row>
    <row r="469">
      <c r="A469" s="441">
        <f>AND(A447,M465=M455)</f>
        <v/>
      </c>
      <c r="B469" s="2658">
        <f>IF(AND($A$431,A469),"X","")</f>
        <v/>
      </c>
      <c r="D469" s="11403" t="inlineStr">
        <is>
          <t>Yes.  Skip line 10; enter the amount from line 7 on line 11.</t>
        </is>
      </c>
      <c r="AN469" s="88" t="n"/>
      <c r="AO469" s="88" t="n"/>
    </row>
    <row r="470">
      <c r="C470" s="2648" t="n"/>
      <c r="N470" s="2648" t="n"/>
      <c r="O470" s="2689" t="n"/>
      <c r="AN470" s="88" t="n"/>
      <c r="AO470" s="88" t="n"/>
    </row>
    <row r="471">
      <c r="A471" s="441">
        <f>AND(A447,NOT(A469))</f>
        <v/>
      </c>
      <c r="B471" s="2658">
        <f>IF(OR($A$430,$B$370="",B450&lt;&gt;""),"",IF(M465=M455,"","X"))</f>
        <v/>
      </c>
      <c r="D471" s="11403" t="inlineStr">
        <is>
          <t>No.   Go to line 10.</t>
        </is>
      </c>
      <c r="AN471" s="88" t="n"/>
      <c r="AO471" s="88" t="n"/>
    </row>
    <row r="472" ht="7.5" customHeight="1" s="7635"/>
    <row r="473" ht="7.5" customFormat="1" customHeight="1" s="2659">
      <c r="B473" s="2660" t="n"/>
      <c r="N473" s="2661" t="n"/>
      <c r="AN473" s="2661" t="n"/>
      <c r="AO473" s="2661" t="n"/>
    </row>
    <row r="474" ht="15.75" customFormat="1" customHeight="1" s="2445">
      <c r="A474" s="9180" t="inlineStr">
        <is>
          <t>PART 6</t>
        </is>
      </c>
      <c r="B474" s="2688" t="inlineStr">
        <is>
          <t>- Filers Who Answered “No” on Line 9</t>
        </is>
      </c>
      <c r="C474" s="2642" t="n"/>
      <c r="N474" s="2662" t="n"/>
      <c r="AN474" s="2662" t="n"/>
      <c r="AO474" s="2662" t="n"/>
    </row>
    <row r="476">
      <c r="C476" s="2648" t="inlineStr">
        <is>
          <t>10.</t>
        </is>
      </c>
      <c r="D476" s="88" t="inlineStr">
        <is>
          <t>If you have:</t>
        </is>
      </c>
      <c r="N476" s="88" t="n"/>
    </row>
    <row r="477">
      <c r="C477" s="2648" t="n"/>
      <c r="N477" s="88" t="n"/>
    </row>
    <row r="478">
      <c r="A478" s="441">
        <f>AND(A471,EICNumQualChild=0,OR(AND(File_Marr_Joint&lt;&gt;"",M465&lt;N337),M465&lt;N336))</f>
        <v/>
      </c>
      <c r="B478" s="2682">
        <f>IF(A478,"®","")</f>
        <v/>
      </c>
      <c r="C478" s="2648" t="inlineStr">
        <is>
          <t xml:space="preserve">● </t>
        </is>
      </c>
      <c r="D478" s="11403" t="inlineStr">
        <is>
          <t>No qualifying children,</t>
        </is>
      </c>
      <c r="N478" s="88" t="n"/>
    </row>
    <row r="479">
      <c r="B479" s="2702" t="n"/>
      <c r="C479" s="2648" t="n"/>
      <c r="D479" s="88">
        <f>" Is the amount on line 8 less than "&amp;TEXT(N336,"$0,000")&amp;" ("&amp;TEXT(N337,"$0,000")&amp;" if married filing jointly)?"</f>
        <v/>
      </c>
      <c r="L479" s="228">
        <f>IF(OR(NOT(A471),EICNumQualChild&lt;&gt;0),"",IF(A478,"Yes","No"))</f>
        <v/>
      </c>
      <c r="M479" s="441">
        <f>IF(OR(AND(File_Marr_Joint&lt;&gt;"",M465&lt;N337),M465&lt;N336),TRUE,FALSE)</f>
        <v/>
      </c>
      <c r="N479" s="88" t="n"/>
    </row>
    <row r="480">
      <c r="B480" s="2702" t="n"/>
      <c r="C480" s="2648" t="n"/>
      <c r="N480" s="88" t="n"/>
    </row>
    <row r="481">
      <c r="A481" s="441">
        <f>AND(A471,EICNumQualChild&gt;=1,OR(AND(File_Marr_Joint&lt;&gt;"",M465&lt;N340),M465&lt;N339))</f>
        <v/>
      </c>
      <c r="B481" s="2682">
        <f>IF(OR($B$370="",B450&lt;&gt;"",B469&lt;&gt;""),"",IF(AND(File_Marr_Joint,EICNumQualChild&gt;0),"®",IF(EICNumQualChild&gt;0,"®","")))</f>
        <v/>
      </c>
      <c r="C481" s="2648" t="inlineStr">
        <is>
          <t xml:space="preserve">● </t>
        </is>
      </c>
      <c r="D481" s="11403" t="inlineStr">
        <is>
          <t>1 or more qualifying children,</t>
        </is>
      </c>
      <c r="N481" s="88" t="n"/>
    </row>
    <row r="482">
      <c r="C482" s="2648" t="n"/>
      <c r="D482" s="88">
        <f>" Is the amount on line 8 less than "&amp;TEXT(N339,"$0,000")&amp;" ("&amp;TEXT(N340,"$0,000")&amp;" if married filing jointly)?"</f>
        <v/>
      </c>
      <c r="L482" s="228">
        <f>IF(OR(NOT(A471),EICNumQualChild&lt;1),"",IF(A481,"Yes","No"))</f>
        <v/>
      </c>
      <c r="M482" s="441">
        <f>IF(OR(AND(File_Marr_Joint&lt;&gt;"",M465&lt;N340),M465&lt;N339),TRUE,FALSE)</f>
        <v/>
      </c>
      <c r="N482" s="88" t="n"/>
    </row>
    <row r="483" ht="13.5" customHeight="1" s="7635" thickBot="1">
      <c r="C483" s="2648" t="n"/>
      <c r="N483" s="88" t="n"/>
      <c r="AN483" s="728" t="inlineStr">
        <is>
          <t>M450</t>
        </is>
      </c>
    </row>
    <row r="484">
      <c r="A484" s="441">
        <f>OR(A478,A481)</f>
        <v/>
      </c>
      <c r="B484" s="2658">
        <f>IF(A484,"X","")</f>
        <v/>
      </c>
      <c r="C484" s="2648" t="n"/>
      <c r="D484" s="11403" t="inlineStr">
        <is>
          <t>Yes.  Leave line 10 blank; enter the amount from line 7 on line 11.</t>
        </is>
      </c>
      <c r="N484" s="88" t="n"/>
      <c r="AN484" s="2704">
        <f>M465</f>
        <v/>
      </c>
      <c r="AO484" s="12021" t="inlineStr">
        <is>
          <t>No Qual. Children</t>
        </is>
      </c>
      <c r="AP484" s="2614" t="n"/>
      <c r="AQ484" s="12021" t="inlineStr">
        <is>
          <t>One Qualifying Child</t>
        </is>
      </c>
      <c r="AR484" s="2614" t="n"/>
      <c r="AS484" s="12021" t="inlineStr">
        <is>
          <t>Two Qualify Children</t>
        </is>
      </c>
      <c r="AT484" s="2614" t="n"/>
      <c r="AU484" s="12021" t="inlineStr">
        <is>
          <t>Three Qualify Children</t>
        </is>
      </c>
      <c r="AV484" s="2614" t="n"/>
    </row>
    <row r="485">
      <c r="C485" s="2648" t="n"/>
      <c r="N485" s="88" t="n"/>
      <c r="AN485" s="2705">
        <f>IF(AN484&lt;&gt;"",ROUND(AN484,0),"")</f>
        <v/>
      </c>
      <c r="AO485" s="9884" t="inlineStr">
        <is>
          <t>All others</t>
        </is>
      </c>
      <c r="AP485" s="2706" t="inlineStr">
        <is>
          <t>MFJ</t>
        </is>
      </c>
      <c r="AQ485" s="9884" t="inlineStr">
        <is>
          <t>All others</t>
        </is>
      </c>
      <c r="AR485" s="2706" t="inlineStr">
        <is>
          <t>MFJ</t>
        </is>
      </c>
      <c r="AS485" s="9884" t="inlineStr">
        <is>
          <t>All others</t>
        </is>
      </c>
      <c r="AT485" s="2707" t="inlineStr">
        <is>
          <t>MFJ</t>
        </is>
      </c>
      <c r="AU485" s="9884" t="inlineStr">
        <is>
          <t>All others</t>
        </is>
      </c>
      <c r="AV485" s="2707" t="inlineStr">
        <is>
          <t>MFJ</t>
        </is>
      </c>
    </row>
    <row r="486">
      <c r="A486" s="441">
        <f>AND(A471,NOT(A478),NOT(A481))</f>
        <v/>
      </c>
      <c r="B486" s="2658">
        <f>IF(A486,"X","")</f>
        <v/>
      </c>
      <c r="C486" s="2648" t="n"/>
      <c r="D486" s="11403" t="inlineStr">
        <is>
          <t>No.  Look up the amount on line 8 in the EIC Table to find the</t>
        </is>
      </c>
      <c r="N486" s="88" t="n"/>
      <c r="AN486" s="2708" t="n"/>
      <c r="AO486" s="2685">
        <f>LOOKUP(AN487,'EIC Table'!$A$3:$A$1384,'EIC Table'!$C$3:$C$1384)</f>
        <v/>
      </c>
      <c r="AP486" s="2686">
        <f>LOOKUP(AN487,'EIC Table'!$A$3:$A$1384,'EIC Table'!$G$3:$G$1384)</f>
        <v/>
      </c>
      <c r="AQ486" s="2685">
        <f>LOOKUP(AN487,'EIC Table'!$A$3:$A$1384,'EIC Table'!$D$3:$D$1384)</f>
        <v/>
      </c>
      <c r="AR486" s="2686">
        <f>LOOKUP(AN487,'EIC Table'!$A$3:$A$1384,'EIC Table'!$H$3:$H$1384)</f>
        <v/>
      </c>
      <c r="AS486" s="11547">
        <f>LOOKUP(AN487,'EIC Table'!$A$3:$A$1384,'EIC Table'!$E$3:$E$1384)</f>
        <v/>
      </c>
      <c r="AT486" s="2686">
        <f>LOOKUP(AN487,'EIC Table'!$A$3:$A$1384,'EIC Table'!$I$3:$I$1384)</f>
        <v/>
      </c>
      <c r="AU486" s="11547">
        <f>LOOKUP(AN487,'EIC Table'!$A$3:$A$1384,'EIC Table'!$F$3:$F$1384)</f>
        <v/>
      </c>
      <c r="AV486" s="2686">
        <f>LOOKUP(AN487,'EIC Table'!$A$3:$A$1384,'EIC Table'!$J$3:$J$1384)</f>
        <v/>
      </c>
    </row>
    <row r="487" ht="13.5" customHeight="1" s="7635" thickBot="1">
      <c r="C487" s="2648" t="n"/>
      <c r="D487" s="11403" t="inlineStr">
        <is>
          <t>credit. Be sure you use the correct column for your filing</t>
        </is>
      </c>
      <c r="N487" s="88" t="n"/>
      <c r="AN487" s="2705">
        <f>IF(AN485="","",AN485)</f>
        <v/>
      </c>
      <c r="AO487" s="2685" t="n"/>
      <c r="AP487" s="2686" t="n"/>
      <c r="AQ487" s="2685" t="n"/>
      <c r="AR487" s="2686" t="n"/>
      <c r="AS487" s="11547" t="n"/>
      <c r="AT487" s="2686" t="n"/>
      <c r="AU487" s="11547" t="n"/>
      <c r="AV487" s="2686" t="n"/>
    </row>
    <row r="488" ht="13.5" customHeight="1" s="7635" thickBot="1">
      <c r="C488" s="2648" t="n"/>
      <c r="D488" s="11403" t="inlineStr">
        <is>
          <t>status and the number of qualifying children you have who</t>
        </is>
      </c>
      <c r="N488" s="88" t="n"/>
      <c r="AN488" s="2709">
        <f>IF(EICNumQualChild&gt;2,AV488,IF(EICNumQualChild=2,AT488,IF(EICNumQualChild=1,AR488,AP488)))</f>
        <v/>
      </c>
      <c r="AO488" s="2710" t="n"/>
      <c r="AP488" s="2711">
        <f>IF(File_Marr_Joint&lt;&gt;"",AP486,AO486)</f>
        <v/>
      </c>
      <c r="AQ488" s="2710" t="n"/>
      <c r="AR488" s="2711">
        <f>IF(File_Marr_Joint&lt;&gt;"",AR486,AQ486)</f>
        <v/>
      </c>
      <c r="AS488" s="2712" t="n"/>
      <c r="AT488" s="2711">
        <f>IF(File_Marr_Joint&lt;&gt;"",AT486,AS486)</f>
        <v/>
      </c>
      <c r="AU488" s="2712" t="n"/>
      <c r="AV488" s="2711">
        <f>IF(File_Marr_Joint&lt;&gt;"",AV486,AU486)</f>
        <v/>
      </c>
    </row>
    <row r="489">
      <c r="C489" s="2648" t="n"/>
      <c r="D489" s="11403" t="inlineStr">
        <is>
          <t>have valid SSNs. Enter the credit here.</t>
        </is>
      </c>
      <c r="N489" s="2648" t="inlineStr">
        <is>
          <t xml:space="preserve">10.      </t>
        </is>
      </c>
      <c r="O489" s="7842">
        <f>IF(OR($B$486="",$B$370=""),"",AN488)</f>
        <v/>
      </c>
    </row>
    <row r="490">
      <c r="C490" s="2648" t="n"/>
      <c r="D490" s="11403" t="n"/>
      <c r="N490" s="88" t="n"/>
    </row>
    <row r="491">
      <c r="C491" s="2648" t="n"/>
      <c r="D491" s="88" t="inlineStr">
        <is>
          <t>Look at the amounts on lines 10 and 7.</t>
        </is>
      </c>
      <c r="N491" s="88" t="n"/>
    </row>
    <row r="492">
      <c r="C492" s="2648" t="n"/>
      <c r="D492" s="11403" t="inlineStr">
        <is>
          <t>Then, enter the smaller amount on line 11.</t>
        </is>
      </c>
      <c r="N492" s="88" t="n"/>
      <c r="O492" s="2713">
        <f>MIN(O458,O489)</f>
        <v/>
      </c>
    </row>
    <row r="493" ht="7.5" customHeight="1" s="7635"/>
    <row r="494" ht="7.5" customFormat="1" customHeight="1" s="2659">
      <c r="B494" s="2660" t="n"/>
      <c r="N494" s="2661" t="n"/>
      <c r="AN494" s="2661" t="n"/>
      <c r="AO494" s="2661" t="n"/>
    </row>
    <row r="495" ht="15.75" customFormat="1" customHeight="1" s="2445">
      <c r="A495" s="9180" t="inlineStr">
        <is>
          <t>PART 7</t>
        </is>
      </c>
      <c r="B495" s="2688" t="inlineStr">
        <is>
          <t>- Your Earned Income Credit</t>
        </is>
      </c>
      <c r="C495" s="2642" t="n"/>
      <c r="N495" s="2662" t="n"/>
      <c r="AN495" s="2662" t="n"/>
      <c r="AO495" s="2662" t="n"/>
    </row>
    <row r="496">
      <c r="N496" s="2648" t="inlineStr">
        <is>
          <t xml:space="preserve">11.      </t>
        </is>
      </c>
      <c r="O496" s="7842">
        <f>IF(OR(A469,A484),O458,IF(A486,O492,""))</f>
        <v/>
      </c>
      <c r="AA496" s="8874">
        <f>IF(EIC_WSB_Part7&lt;1000,TEXT(EIC_WSB_Part7,"$0"),TEXT(EIC_WSB_Part7,"$0,000"))</f>
        <v/>
      </c>
    </row>
    <row r="497">
      <c r="C497" s="2608" t="inlineStr">
        <is>
          <t>11.</t>
        </is>
      </c>
      <c r="D497" s="226" t="inlineStr">
        <is>
          <t>This is your earned income credit.</t>
        </is>
      </c>
      <c r="N497" s="11403" t="inlineStr">
        <is>
          <t>Enter this amount on</t>
        </is>
      </c>
    </row>
    <row r="498">
      <c r="C498" s="2648" t="n"/>
      <c r="N498" s="11403" t="inlineStr">
        <is>
          <t>Form 1040 or 1040-SR,</t>
        </is>
      </c>
    </row>
    <row r="499" ht="12" customHeight="1" s="7635">
      <c r="C499" s="2648" t="n"/>
      <c r="D499" s="226" t="inlineStr">
        <is>
          <t>Reminder  —</t>
        </is>
      </c>
      <c r="N499" s="2449" t="inlineStr">
        <is>
          <t>line 27a.</t>
        </is>
      </c>
    </row>
    <row r="500">
      <c r="C500" s="2714" t="inlineStr">
        <is>
          <t>Ö</t>
        </is>
      </c>
      <c r="D500" s="88" t="inlineStr">
        <is>
          <t>If you have a qualifying child, complete and attach Schedule EIC.</t>
        </is>
      </c>
    </row>
    <row r="501">
      <c r="D501" s="2690" t="inlineStr">
        <is>
          <t>https://www.irs.gov/pub/irs-pdf/f1040sei.pdf</t>
        </is>
      </c>
    </row>
    <row r="503">
      <c r="D503" s="1839" t="n"/>
      <c r="E503" s="1839" t="n"/>
      <c r="F503" s="1839" t="n"/>
      <c r="G503" s="1839" t="n"/>
      <c r="H503" s="1839" t="n"/>
      <c r="I503" s="1839" t="n"/>
      <c r="J503" s="1839" t="n"/>
      <c r="K503" s="1839" t="n"/>
      <c r="O503" s="11403" t="n"/>
    </row>
    <row r="504">
      <c r="E504" s="2669" t="inlineStr">
        <is>
          <t>If your EIC for a year after 1996 was reduced or disallowed, see</t>
        </is>
      </c>
      <c r="O504" s="11403" t="n"/>
    </row>
    <row r="505" ht="13.5" customHeight="1" s="7635" thickBot="1">
      <c r="E505" s="2617" t="inlineStr">
        <is>
          <t>Form 8862, who must fi_x001F_le, earlier, to find out if you must file Form</t>
        </is>
      </c>
    </row>
    <row r="506" ht="13.5" customHeight="1" s="7635" thickBot="1">
      <c r="E506" s="2669">
        <f>"8862 to take the credit for "&amp;TaxYear&amp;"."</f>
        <v/>
      </c>
      <c r="N506" s="2715" t="inlineStr">
        <is>
          <t>Earned Income Credit =&gt;</t>
        </is>
      </c>
      <c r="O506" s="2716">
        <f>IF(EIC_WSA_Part3&lt;&gt;"",EIC_WSA_Part3,IF(EIC_WSB_Part7&lt;&gt;"",EIC_WSB_Part7,0))</f>
        <v/>
      </c>
      <c r="AA506" s="8874" t="n"/>
    </row>
  </sheetData>
  <sheetProtection selectLockedCells="0" selectUnlockedCells="0" algorithmName="SHA-512" sheet="1" objects="1" insertRows="1" insertHyperlinks="1" autoFilter="1" scenarios="1" formatColumns="0" deleteColumns="1" insertColumns="1" pivotTables="1" deleteRows="1" formatCells="0" saltValue="aUryHanGBpGMhxG11wchbg==" formatRows="0" sort="1" spinCount="100000" hashValue="InL+Ao0jxdaBZzpeBBc0LC9mI8oq7x0dmUuYjaqlqKa0Sy0bcE1BSeNtCZqaZwtVMYYWy8nHNM0k30Lrco/dyw=="/>
  <mergeCells count="40">
    <mergeCell ref="R405:X405"/>
    <mergeCell ref="AQ316:AR316"/>
    <mergeCell ref="R401:X401"/>
    <mergeCell ref="A142:B142"/>
    <mergeCell ref="R404:X404"/>
    <mergeCell ref="B247:I252"/>
    <mergeCell ref="A123:B123"/>
    <mergeCell ref="A153:B153"/>
    <mergeCell ref="AO484:AP484"/>
    <mergeCell ref="R400:X400"/>
    <mergeCell ref="AQ484:AR484"/>
    <mergeCell ref="R403:X403"/>
    <mergeCell ref="M100:Y102"/>
    <mergeCell ref="R402:X402"/>
    <mergeCell ref="AO316:AP316"/>
    <mergeCell ref="AQ344:AR344"/>
    <mergeCell ref="AO456:AP456"/>
    <mergeCell ref="A136:B136"/>
    <mergeCell ref="A154:B154"/>
    <mergeCell ref="AQ456:AR456"/>
    <mergeCell ref="M105:Y108"/>
    <mergeCell ref="AS316:AT316"/>
    <mergeCell ref="AU484:AV484"/>
    <mergeCell ref="AU316:AV316"/>
    <mergeCell ref="J166:N170"/>
    <mergeCell ref="A151:B151"/>
    <mergeCell ref="A129:B129"/>
    <mergeCell ref="R426:X426"/>
    <mergeCell ref="AS484:AT484"/>
    <mergeCell ref="R418:X418"/>
    <mergeCell ref="A152:B152"/>
    <mergeCell ref="A63:B63"/>
    <mergeCell ref="A155:B155"/>
    <mergeCell ref="AO344:AP344"/>
    <mergeCell ref="M91:Y96"/>
    <mergeCell ref="AS344:AT344"/>
    <mergeCell ref="AU344:AV344"/>
    <mergeCell ref="AS456:AT456"/>
    <mergeCell ref="R389:X389"/>
    <mergeCell ref="AU456:AV456"/>
  </mergeCells>
  <conditionalFormatting sqref="A71">
    <cfRule type="expression" priority="231" dxfId="3113">
      <formula>IF(AND($B$71="",$B$73="",$B$76="",$B$79="",H$81="",NOT(NoEICredit)),1,0)</formula>
    </cfRule>
  </conditionalFormatting>
  <conditionalFormatting sqref="A73">
    <cfRule type="expression" priority="218" dxfId="3113">
      <formula>IF(AND($B$71="",$B$73="",$B$76="",$B$79="",H$81="",NOT(NoEICredit)),1,0)</formula>
    </cfRule>
  </conditionalFormatting>
  <conditionalFormatting sqref="A76">
    <cfRule type="expression" priority="217" dxfId="3113">
      <formula>IF(AND($B$71="",$B$73="",$B$76="",$B$79="",H$81="",NOT(NoEICredit)),1,0)</formula>
    </cfRule>
  </conditionalFormatting>
  <conditionalFormatting sqref="A79">
    <cfRule type="expression" priority="216" dxfId="3113">
      <formula>IF(AND($B$71="",$B$73="",$B$76="",$B$79="",H$81="",NOT(NoEICredit)),1,0)</formula>
    </cfRule>
  </conditionalFormatting>
  <conditionalFormatting sqref="A233:B233">
    <cfRule type="expression" priority="191" dxfId="3114">
      <formula>IF(AND(OR($B$125="X",$H$157="X",#REF!="X"),$B$235="",$H$235=""),1,0)</formula>
    </cfRule>
  </conditionalFormatting>
  <conditionalFormatting sqref="A273:B274">
    <cfRule type="expression" priority="181" dxfId="3114">
      <formula>IF(AND(OR($B$235&lt;&gt;"",$H$235&lt;&gt;""),$B$276="",$H$276=""),1,0)</formula>
    </cfRule>
  </conditionalFormatting>
  <conditionalFormatting sqref="B39">
    <cfRule type="expression" priority="142" dxfId="6">
      <formula>IF(NoColor,1,0)</formula>
    </cfRule>
  </conditionalFormatting>
  <conditionalFormatting sqref="B60">
    <cfRule type="expression" priority="140" dxfId="6">
      <formula>IF(NoColor,1,0)</formula>
    </cfRule>
  </conditionalFormatting>
  <conditionalFormatting sqref="B65">
    <cfRule type="expression" priority="141" dxfId="6">
      <formula>IF(NoColor,1,0)</formula>
    </cfRule>
  </conditionalFormatting>
  <conditionalFormatting sqref="B71">
    <cfRule type="expression" priority="150" dxfId="6">
      <formula>IF(NoColor,1,0)</formula>
    </cfRule>
  </conditionalFormatting>
  <conditionalFormatting sqref="B73">
    <cfRule type="expression" priority="149" dxfId="6">
      <formula>IF(NoColor,1,0)</formula>
    </cfRule>
  </conditionalFormatting>
  <conditionalFormatting sqref="B76">
    <cfRule type="expression" priority="148" dxfId="6">
      <formula>IF(NoColor,1,0)</formula>
    </cfRule>
  </conditionalFormatting>
  <conditionalFormatting sqref="B79">
    <cfRule type="expression" priority="147" dxfId="6">
      <formula>IF(NoColor,1,0)</formula>
    </cfRule>
  </conditionalFormatting>
  <conditionalFormatting sqref="B235">
    <cfRule type="expression" priority="162" dxfId="6">
      <formula>IF(NoColor,1,0)</formula>
    </cfRule>
  </conditionalFormatting>
  <conditionalFormatting sqref="B276">
    <cfRule type="expression" priority="7" dxfId="6">
      <formula>IF(NoColor,1,0)</formula>
    </cfRule>
  </conditionalFormatting>
  <conditionalFormatting sqref="B302">
    <cfRule type="expression" priority="151" dxfId="6">
      <formula>IF(NoColor,1,0)</formula>
    </cfRule>
  </conditionalFormatting>
  <conditionalFormatting sqref="B356:C358 D356:D360 D364 D501">
    <cfRule type="expression" priority="7211" dxfId="1255" stopIfTrue="1">
      <formula>IF(OR($N$354="",$N$354=0),0,IF(AND($H$302&lt;&gt;"",EICNumQualChild&gt;1),1,0))</formula>
    </cfRule>
  </conditionalFormatting>
  <conditionalFormatting sqref="C1">
    <cfRule type="expression" priority="330" dxfId="1305" stopIfTrue="1">
      <formula>IF($A$1=1,1,0)</formula>
    </cfRule>
  </conditionalFormatting>
  <conditionalFormatting sqref="C354">
    <cfRule type="expression" priority="7215" dxfId="34">
      <formula>IF($B$276&lt;&gt;"",0,IF($N$354&gt;0,1,0))</formula>
    </cfRule>
  </conditionalFormatting>
  <conditionalFormatting sqref="D21">
    <cfRule type="expression" priority="291" dxfId="1255" stopIfTrue="1">
      <formula>IF($B$21="X",1,0)</formula>
    </cfRule>
  </conditionalFormatting>
  <conditionalFormatting sqref="D24:D26">
    <cfRule type="expression" priority="287" dxfId="3168">
      <formula>IF(AND($B$28="",$H$28="",NOT(NoEICredit)),1,0)</formula>
    </cfRule>
  </conditionalFormatting>
  <conditionalFormatting sqref="D28">
    <cfRule type="expression" priority="243" dxfId="1255" stopIfTrue="1">
      <formula>IF($B$28="X",1,0)</formula>
    </cfRule>
  </conditionalFormatting>
  <conditionalFormatting sqref="D32">
    <cfRule type="expression" priority="286" dxfId="3168">
      <formula>IF(AND($B$34="",$H$34="",NOT(NoEICredit)),1,0)</formula>
    </cfRule>
  </conditionalFormatting>
  <conditionalFormatting sqref="D34">
    <cfRule type="expression" priority="4873" dxfId="1305" stopIfTrue="1">
      <formula>IF(AND(B34="X",#REF!="",$H$28="",$H$21=""),1,0)</formula>
    </cfRule>
  </conditionalFormatting>
  <conditionalFormatting sqref="D37">
    <cfRule type="expression" priority="8" dxfId="3168">
      <formula>IF(AND($B$34="",$H$34="",NOT(NoEICredit)),1,0)</formula>
    </cfRule>
  </conditionalFormatting>
  <conditionalFormatting sqref="D39:D40">
    <cfRule type="expression" priority="5384" dxfId="1305" stopIfTrue="1">
      <formula>IF(AND($B$39="X",$B34="",#REF!="",$H$28="",$H$21=""),1,0)</formula>
    </cfRule>
  </conditionalFormatting>
  <conditionalFormatting sqref="D41">
    <cfRule type="expression" priority="4925" dxfId="1305" stopIfTrue="1">
      <formula>IF(AND($B$39="X",$B37="",#REF!="",$H$28="",$H$21=""),1,0)</formula>
    </cfRule>
  </conditionalFormatting>
  <conditionalFormatting sqref="D60">
    <cfRule type="expression" priority="9" dxfId="781">
      <formula>$A$60</formula>
    </cfRule>
  </conditionalFormatting>
  <conditionalFormatting sqref="D63">
    <cfRule type="expression" priority="1327" dxfId="3168">
      <formula>IF(AND($B$60&lt;&gt;"",$B$65="",H$65="",NOT(NoEICredit)),1,0)</formula>
    </cfRule>
  </conditionalFormatting>
  <conditionalFormatting sqref="D65:D66">
    <cfRule type="expression" priority="83" dxfId="14">
      <formula>AND($A$60,NOT($N$67))</formula>
    </cfRule>
  </conditionalFormatting>
  <conditionalFormatting sqref="D69">
    <cfRule type="expression" priority="279" dxfId="3168">
      <formula>AND($A$60,$B$71="",$B$73="",$B$76="",$B$79="",H$81="",NOT(NoEICredit))</formula>
    </cfRule>
  </conditionalFormatting>
  <conditionalFormatting sqref="D81:D83">
    <cfRule type="expression" priority="238" dxfId="158">
      <formula>IF(AND($B$81="X",$H$83=""),1,0)</formula>
    </cfRule>
  </conditionalFormatting>
  <conditionalFormatting sqref="D112">
    <cfRule type="expression" priority="329" dxfId="3114" stopIfTrue="1">
      <formula>IF($B$112="",1,0)</formula>
    </cfRule>
  </conditionalFormatting>
  <conditionalFormatting sqref="D120">
    <cfRule type="expression" priority="78" dxfId="781">
      <formula>$A$120</formula>
    </cfRule>
  </conditionalFormatting>
  <conditionalFormatting sqref="D125:D126">
    <cfRule type="expression" priority="20" dxfId="781">
      <formula>$A$125</formula>
    </cfRule>
  </conditionalFormatting>
  <conditionalFormatting sqref="D126 D133">
    <cfRule type="expression" priority="334" dxfId="1305" stopIfTrue="1">
      <formula>IF(AND($B$120="X",$B$157="X",$H$117="",#REF!="",$H$28="",$H$21=""),1,0)</formula>
    </cfRule>
  </conditionalFormatting>
  <conditionalFormatting sqref="D132">
    <cfRule type="expression" priority="79" dxfId="781">
      <formula>$A$132</formula>
    </cfRule>
  </conditionalFormatting>
  <conditionalFormatting sqref="D139">
    <cfRule type="expression" priority="80" dxfId="781">
      <formula>$A$139</formula>
    </cfRule>
  </conditionalFormatting>
  <conditionalFormatting sqref="D147">
    <cfRule type="expression" priority="77" dxfId="781">
      <formula>$A$147</formula>
    </cfRule>
  </conditionalFormatting>
  <conditionalFormatting sqref="D148">
    <cfRule type="expression" priority="4952" dxfId="1305" stopIfTrue="1">
      <formula>IF(AND(B132="X",B148="X",$H$117="",#REF!="",$H$28="",$H$21=""),1,0)</formula>
    </cfRule>
  </conditionalFormatting>
  <conditionalFormatting sqref="D157:D159">
    <cfRule type="expression" priority="111" dxfId="1305" stopIfTrue="1">
      <formula>IF(AND($B$120="X",$B$157="X",$H$117="",#REF!="",$H$28="",$H$21=""),1,0)</formula>
    </cfRule>
    <cfRule type="expression" priority="110" dxfId="14">
      <formula>$A$157</formula>
    </cfRule>
  </conditionalFormatting>
  <conditionalFormatting sqref="D172">
    <cfRule type="expression" priority="4667" dxfId="34">
      <formula>IF(AND($B$112=0,#REF!&lt;&gt;""),1,0)</formula>
    </cfRule>
  </conditionalFormatting>
  <conditionalFormatting sqref="D172:D173">
    <cfRule type="expression" priority="104" dxfId="14">
      <formula>$A$172</formula>
    </cfRule>
  </conditionalFormatting>
  <conditionalFormatting sqref="D185:D186">
    <cfRule type="expression" priority="74" dxfId="781">
      <formula>$A$185</formula>
    </cfRule>
  </conditionalFormatting>
  <conditionalFormatting sqref="D187:D188">
    <cfRule type="expression" priority="56" dxfId="14">
      <formula>$A$172</formula>
    </cfRule>
  </conditionalFormatting>
  <conditionalFormatting sqref="D199">
    <cfRule type="expression" priority="54" dxfId="781">
      <formula>$A199</formula>
    </cfRule>
  </conditionalFormatting>
  <conditionalFormatting sqref="D200:D203">
    <cfRule type="expression" priority="48" dxfId="14">
      <formula>$A$172</formula>
    </cfRule>
  </conditionalFormatting>
  <conditionalFormatting sqref="D206">
    <cfRule type="expression" priority="47" dxfId="781">
      <formula>$A206</formula>
    </cfRule>
  </conditionalFormatting>
  <conditionalFormatting sqref="D207:D208">
    <cfRule type="expression" priority="46" dxfId="781">
      <formula>$A$206</formula>
    </cfRule>
  </conditionalFormatting>
  <conditionalFormatting sqref="D209">
    <cfRule type="expression" priority="44" dxfId="14">
      <formula>$A$172</formula>
    </cfRule>
  </conditionalFormatting>
  <conditionalFormatting sqref="D216:D217 D219">
    <cfRule type="expression" priority="39" dxfId="14">
      <formula>$A$216</formula>
    </cfRule>
  </conditionalFormatting>
  <conditionalFormatting sqref="D218">
    <cfRule type="expression" priority="3" dxfId="14">
      <formula>$G$199</formula>
    </cfRule>
  </conditionalFormatting>
  <conditionalFormatting sqref="D221">
    <cfRule type="expression" priority="38" dxfId="14">
      <formula>$A$172</formula>
    </cfRule>
  </conditionalFormatting>
  <conditionalFormatting sqref="D226:D227">
    <cfRule type="expression" priority="36" dxfId="14">
      <formula>$A$226</formula>
    </cfRule>
  </conditionalFormatting>
  <conditionalFormatting sqref="D230">
    <cfRule type="expression" priority="35" dxfId="14">
      <formula>$A$172</formula>
    </cfRule>
  </conditionalFormatting>
  <conditionalFormatting sqref="D235:D237">
    <cfRule type="expression" priority="1295" dxfId="1255" stopIfTrue="1">
      <formula>IF(AND($B$235="X",#REF!="",$H$28="",$H$21=""),1,0)</formula>
    </cfRule>
  </conditionalFormatting>
  <conditionalFormatting sqref="D272">
    <cfRule type="expression" priority="15" dxfId="14">
      <formula>$A$172</formula>
    </cfRule>
  </conditionalFormatting>
  <conditionalFormatting sqref="D276:D277">
    <cfRule type="expression" priority="249" dxfId="1255" stopIfTrue="1">
      <formula>IF($B$276="X",1,0)</formula>
    </cfRule>
  </conditionalFormatting>
  <conditionalFormatting sqref="D279">
    <cfRule type="expression" priority="14" dxfId="14">
      <formula>$A$172</formula>
    </cfRule>
  </conditionalFormatting>
  <conditionalFormatting sqref="D294">
    <cfRule type="expression" priority="246" dxfId="1255" stopIfTrue="1">
      <formula>IF($B$294="X",1,0)</formula>
    </cfRule>
  </conditionalFormatting>
  <conditionalFormatting sqref="D297">
    <cfRule type="expression" priority="13" dxfId="14">
      <formula>$A$172</formula>
    </cfRule>
  </conditionalFormatting>
  <conditionalFormatting sqref="D302:D303">
    <cfRule type="expression" priority="322" dxfId="34" stopIfTrue="1">
      <formula>IF(AND($H$302="",$B$302="X"),1,0)</formula>
    </cfRule>
  </conditionalFormatting>
  <conditionalFormatting sqref="D321:D322">
    <cfRule type="expression" priority="318" dxfId="1305" stopIfTrue="1">
      <formula>$A$321</formula>
    </cfRule>
  </conditionalFormatting>
  <conditionalFormatting sqref="D328">
    <cfRule type="expression" priority="201" dxfId="34">
      <formula>IF(B328="X",1,0)</formula>
    </cfRule>
  </conditionalFormatting>
  <conditionalFormatting sqref="D330">
    <cfRule type="expression" priority="202" dxfId="34">
      <formula>IF(B330="X",1,0)</formula>
    </cfRule>
  </conditionalFormatting>
  <conditionalFormatting sqref="D342">
    <cfRule type="expression" priority="319" dxfId="3131" stopIfTrue="1">
      <formula>IF($B$342&lt;&gt;"",1,0)</formula>
    </cfRule>
  </conditionalFormatting>
  <conditionalFormatting sqref="D344:D349">
    <cfRule type="expression" priority="320" dxfId="3131" stopIfTrue="1">
      <formula>$A$344</formula>
    </cfRule>
  </conditionalFormatting>
  <conditionalFormatting sqref="D354">
    <cfRule type="expression" priority="7216" dxfId="34">
      <formula>IF(OR($B$276=0,$B$276&lt;&gt;""),0,IF($N$354&gt;0,1,0))</formula>
    </cfRule>
  </conditionalFormatting>
  <conditionalFormatting sqref="D369">
    <cfRule type="expression" priority="12" dxfId="14">
      <formula>$A$172</formula>
    </cfRule>
  </conditionalFormatting>
  <conditionalFormatting sqref="D370">
    <cfRule type="expression" priority="28" dxfId="781">
      <formula>$A$370</formula>
    </cfRule>
  </conditionalFormatting>
  <conditionalFormatting sqref="D430:D432">
    <cfRule type="expression" priority="323" dxfId="1305" stopIfTrue="1">
      <formula>$A$430</formula>
    </cfRule>
  </conditionalFormatting>
  <conditionalFormatting sqref="D435:D436">
    <cfRule type="expression" priority="25" dxfId="781">
      <formula>$M$436</formula>
    </cfRule>
  </conditionalFormatting>
  <conditionalFormatting sqref="D438:D439">
    <cfRule type="expression" priority="26" dxfId="781">
      <formula>$M$439</formula>
    </cfRule>
  </conditionalFormatting>
  <conditionalFormatting sqref="D441:D442">
    <cfRule type="expression" priority="27" dxfId="781">
      <formula>$M$442</formula>
    </cfRule>
  </conditionalFormatting>
  <conditionalFormatting sqref="D447:D448">
    <cfRule type="expression" priority="208" dxfId="34">
      <formula>AND($A$431,$A$447)</formula>
    </cfRule>
  </conditionalFormatting>
  <conditionalFormatting sqref="D450">
    <cfRule type="expression" priority="325" dxfId="1305" stopIfTrue="1">
      <formula>AND($A$431,B450&lt;&gt;"")</formula>
    </cfRule>
  </conditionalFormatting>
  <conditionalFormatting sqref="D462:D464 D466 D468 D470">
    <cfRule type="expression" priority="324" dxfId="1305" stopIfTrue="1">
      <formula>$O$462</formula>
    </cfRule>
  </conditionalFormatting>
  <conditionalFormatting sqref="D469">
    <cfRule type="expression" priority="326" dxfId="1255" stopIfTrue="1">
      <formula>$A$469</formula>
    </cfRule>
  </conditionalFormatting>
  <conditionalFormatting sqref="D484">
    <cfRule type="expression" priority="328" dxfId="1255" stopIfTrue="1">
      <formula>IF($B$484&lt;&gt;"",1,0)</formula>
    </cfRule>
  </conditionalFormatting>
  <conditionalFormatting sqref="D486:D492">
    <cfRule type="expression" priority="327" dxfId="1255" stopIfTrue="1">
      <formula>$A$486</formula>
    </cfRule>
  </conditionalFormatting>
  <conditionalFormatting sqref="D497">
    <cfRule type="expression" priority="198" dxfId="34">
      <formula>IF($O$496="",0,IF($O$496&gt;0,1,0))</formula>
    </cfRule>
  </conditionalFormatting>
  <conditionalFormatting sqref="D499:D500">
    <cfRule type="expression" priority="332" dxfId="1255" stopIfTrue="1">
      <formula>IF(AND($B$258&lt;&gt;"",$B$112&gt;0),1,0)</formula>
    </cfRule>
  </conditionalFormatting>
  <conditionalFormatting sqref="D401:E401 D404:E404 E402">
    <cfRule type="expression" priority="177" dxfId="3114">
      <formula>$A$395</formula>
    </cfRule>
  </conditionalFormatting>
  <conditionalFormatting sqref="E405">
    <cfRule type="expression" priority="172" dxfId="3114">
      <formula>$A$395</formula>
    </cfRule>
  </conditionalFormatting>
  <conditionalFormatting sqref="G81">
    <cfRule type="expression" priority="215" dxfId="3113">
      <formula>IF(AND($B$71="",$B$73="",$B$76="",$B$79="",N$81="",NOT(NoEICredit)),1,0)</formula>
    </cfRule>
    <cfRule type="expression" priority="203" dxfId="34">
      <formula>IF($H$81&lt;&gt;"",1,0)</formula>
    </cfRule>
  </conditionalFormatting>
  <conditionalFormatting sqref="G83">
    <cfRule type="expression" priority="235" dxfId="781">
      <formula>IF(H83&lt;&gt;"",1,0)</formula>
    </cfRule>
    <cfRule type="expression" priority="240" dxfId="14">
      <formula>IF($B$81="X",1,0)</formula>
    </cfRule>
  </conditionalFormatting>
  <conditionalFormatting sqref="G280">
    <cfRule type="expression" priority="129" dxfId="1255" stopIfTrue="1">
      <formula>IF(G280&lt;&gt;"",1,0)</formula>
    </cfRule>
  </conditionalFormatting>
  <conditionalFormatting sqref="G298">
    <cfRule type="expression" priority="245" dxfId="1255" stopIfTrue="1">
      <formula>IF(G298&lt;&gt;"",1,0)</formula>
    </cfRule>
  </conditionalFormatting>
  <conditionalFormatting sqref="G428">
    <cfRule type="expression" priority="7190" dxfId="34">
      <formula>IF(AND($B$276&lt;&gt;"",$H$294&lt;&gt;"X",$O$428&gt;0),1,0)</formula>
    </cfRule>
  </conditionalFormatting>
  <conditionalFormatting sqref="H28">
    <cfRule type="expression" priority="168" dxfId="6">
      <formula>IF(NoColor,1,0)</formula>
    </cfRule>
  </conditionalFormatting>
  <conditionalFormatting sqref="H39">
    <cfRule type="expression" priority="155" dxfId="6">
      <formula>IF(NoColor,1,0)</formula>
    </cfRule>
  </conditionalFormatting>
  <conditionalFormatting sqref="H67">
    <cfRule type="expression" priority="91" dxfId="146">
      <formula>AND($A$60,$A$65)</formula>
    </cfRule>
  </conditionalFormatting>
  <conditionalFormatting sqref="H81">
    <cfRule type="expression" priority="156" dxfId="6">
      <formula>IF(NoColor,1,0)</formula>
    </cfRule>
  </conditionalFormatting>
  <conditionalFormatting sqref="H83">
    <cfRule type="expression" priority="236" dxfId="146">
      <formula>IF($B$81="X",1,0)</formula>
    </cfRule>
    <cfRule type="expression" priority="145" dxfId="135">
      <formula>IF(OR(NoColor,$B$81=""),1,0)</formula>
    </cfRule>
    <cfRule type="expression" priority="144" dxfId="1267">
      <formula>IF($B$81="",1,0)</formula>
    </cfRule>
  </conditionalFormatting>
  <conditionalFormatting sqref="H166">
    <cfRule type="expression" priority="1" dxfId="146">
      <formula>File_Head&lt;&gt;""</formula>
    </cfRule>
  </conditionalFormatting>
  <conditionalFormatting sqref="H235">
    <cfRule type="expression" priority="161" dxfId="6">
      <formula>IF(NoColor,1,0)</formula>
    </cfRule>
  </conditionalFormatting>
  <conditionalFormatting sqref="H276">
    <cfRule type="expression" priority="153" dxfId="6">
      <formula>IF(NoColor,1,0)</formula>
    </cfRule>
  </conditionalFormatting>
  <conditionalFormatting sqref="J21">
    <cfRule type="expression" priority="292" dxfId="3096" stopIfTrue="1">
      <formula>IF(H21="X",1,0)</formula>
    </cfRule>
  </conditionalFormatting>
  <conditionalFormatting sqref="J28">
    <cfRule type="expression" priority="1253" dxfId="1305" stopIfTrue="1">
      <formula>IF(AND(H21="",H28="X"),1,0)</formula>
    </cfRule>
  </conditionalFormatting>
  <conditionalFormatting sqref="J29">
    <cfRule type="expression" priority="1254" dxfId="1305" stopIfTrue="1">
      <formula>IF(AND(H21="",H28="X"),1,0)</formula>
    </cfRule>
  </conditionalFormatting>
  <conditionalFormatting sqref="J34">
    <cfRule type="expression" priority="242" dxfId="3093" stopIfTrue="1">
      <formula>IF($H$34="X",1,0)</formula>
    </cfRule>
  </conditionalFormatting>
  <conditionalFormatting sqref="J39">
    <cfRule type="expression" priority="11" dxfId="781">
      <formula>$H$39="X"</formula>
    </cfRule>
  </conditionalFormatting>
  <conditionalFormatting sqref="J60">
    <cfRule type="expression" priority="10" dxfId="781">
      <formula>N60</formula>
    </cfRule>
  </conditionalFormatting>
  <conditionalFormatting sqref="J65">
    <cfRule type="expression" priority="4937" dxfId="1305" stopIfTrue="1">
      <formula>H65="X"</formula>
    </cfRule>
  </conditionalFormatting>
  <conditionalFormatting sqref="J67">
    <cfRule type="expression" priority="89" dxfId="781">
      <formula>AND($A$65,$H$67&lt;&gt;"")</formula>
    </cfRule>
    <cfRule type="expression" priority="90" dxfId="14">
      <formula>$A$65</formula>
    </cfRule>
  </conditionalFormatting>
  <conditionalFormatting sqref="J81">
    <cfRule type="expression" priority="214" dxfId="1255">
      <formula>IF($H$81&lt;&gt;"",1,0)</formula>
    </cfRule>
    <cfRule type="expression" priority="304" dxfId="3086">
      <formula>IF(AND($B$71="",$B$73="",$B$76="",$B$79="",N$81="",NOT(NoEICredit)),1,0)</formula>
    </cfRule>
  </conditionalFormatting>
  <conditionalFormatting sqref="J83">
    <cfRule type="expression" priority="233" dxfId="781">
      <formula>IF(H83&lt;&gt;"",1,0)</formula>
    </cfRule>
    <cfRule type="expression" priority="234" dxfId="14">
      <formula>IF($B$81="X",1,0)</formula>
    </cfRule>
  </conditionalFormatting>
  <conditionalFormatting sqref="J120">
    <cfRule type="expression" priority="300" dxfId="1255" stopIfTrue="1">
      <formula>IF(B112="",0,IF(AND(H81&lt;&gt;"",EICNumQualChild=0),1,0))</formula>
    </cfRule>
  </conditionalFormatting>
  <conditionalFormatting sqref="J132">
    <cfRule type="expression" priority="4953" dxfId="1305" stopIfTrue="1">
      <formula>IF(AND(H118="X",H132="X",$H$117="",#REF!="",$H$28="",$H$21=""),1,0)</formula>
    </cfRule>
  </conditionalFormatting>
  <conditionalFormatting sqref="J139">
    <cfRule type="expression" priority="4882" dxfId="1255" stopIfTrue="1">
      <formula>IF(AND(H139="X",H124="",#REF!="",$H$28="",$H$21=""),1,0)</formula>
    </cfRule>
  </conditionalFormatting>
  <conditionalFormatting sqref="J147:J148">
    <cfRule type="expression" priority="7191" dxfId="14">
      <formula>$M$147</formula>
    </cfRule>
    <cfRule type="expression" priority="7192" dxfId="1255" stopIfTrue="1">
      <formula>IF(AND(H147="X",H131="",#REF!="",$H$28="",$H$21=""),1,0)</formula>
    </cfRule>
  </conditionalFormatting>
  <conditionalFormatting sqref="J157 J159:J161">
    <cfRule type="expression" priority="4885" dxfId="1255" stopIfTrue="1">
      <formula>IF(AND(H157="X",H120="",#REF!="",$H$28="",$H$21=""),1,0)</formula>
    </cfRule>
  </conditionalFormatting>
  <conditionalFormatting sqref="J162">
    <cfRule type="expression" priority="7207" dxfId="1255" stopIfTrue="1">
      <formula>IF(AND(H162="X",H124="",#REF!="",$H$28="",$H$21=""),1,0)</formula>
    </cfRule>
  </conditionalFormatting>
  <conditionalFormatting sqref="J172">
    <cfRule type="expression" priority="76" dxfId="781">
      <formula>$G$172</formula>
    </cfRule>
  </conditionalFormatting>
  <conditionalFormatting sqref="J185:J186">
    <cfRule type="expression" priority="16" dxfId="0">
      <formula>$G$185</formula>
    </cfRule>
  </conditionalFormatting>
  <conditionalFormatting sqref="J199:J202">
    <cfRule type="expression" priority="50" dxfId="14">
      <formula>$G$199</formula>
    </cfRule>
  </conditionalFormatting>
  <conditionalFormatting sqref="J206">
    <cfRule type="expression" priority="45" dxfId="781">
      <formula>$G$206</formula>
    </cfRule>
  </conditionalFormatting>
  <conditionalFormatting sqref="J216">
    <cfRule type="expression" priority="43" dxfId="781">
      <formula>$G216</formula>
    </cfRule>
  </conditionalFormatting>
  <conditionalFormatting sqref="J226">
    <cfRule type="expression" priority="37" dxfId="781">
      <formula>$G226</formula>
    </cfRule>
  </conditionalFormatting>
  <conditionalFormatting sqref="J235:J236">
    <cfRule type="expression" priority="1304" dxfId="1255" stopIfTrue="1">
      <formula>$G$235</formula>
    </cfRule>
  </conditionalFormatting>
  <conditionalFormatting sqref="J276">
    <cfRule type="expression" priority="248" dxfId="1255" stopIfTrue="1">
      <formula>IF($H$276="X",1,0)</formula>
    </cfRule>
  </conditionalFormatting>
  <conditionalFormatting sqref="J294">
    <cfRule type="expression" priority="247" dxfId="158" stopIfTrue="1">
      <formula>IF($H$294="X",1,0)</formula>
    </cfRule>
  </conditionalFormatting>
  <conditionalFormatting sqref="D471 J302">
    <cfRule type="expression" priority="321" dxfId="1255" stopIfTrue="1">
      <formula>IF(AND($B$276="",$B$294="X",B302&lt;&gt;""),1,0)</formula>
    </cfRule>
  </conditionalFormatting>
  <conditionalFormatting sqref="J125:L125">
    <cfRule type="expression" priority="2655" dxfId="1255" stopIfTrue="1">
      <formula>$N$125</formula>
    </cfRule>
  </conditionalFormatting>
  <conditionalFormatting sqref="L283">
    <cfRule type="expression" priority="29" dxfId="34">
      <formula>IF(M283,1,0)</formula>
    </cfRule>
  </conditionalFormatting>
  <conditionalFormatting sqref="L286">
    <cfRule type="expression" priority="34" dxfId="34">
      <formula>IF(M286,1,0)</formula>
    </cfRule>
  </conditionalFormatting>
  <conditionalFormatting sqref="L289">
    <cfRule type="expression" priority="31" dxfId="34">
      <formula>IF(M289,1,0)</formula>
    </cfRule>
  </conditionalFormatting>
  <conditionalFormatting sqref="L292">
    <cfRule type="expression" priority="30" dxfId="34">
      <formula>IF(M292,1,0)</formula>
    </cfRule>
  </conditionalFormatting>
  <conditionalFormatting sqref="L337">
    <cfRule type="expression" priority="199" dxfId="34">
      <formula>$M$337</formula>
    </cfRule>
  </conditionalFormatting>
  <conditionalFormatting sqref="L340">
    <cfRule type="expression" priority="200" dxfId="34">
      <formula>IF(L340="Yes",1,0)</formula>
    </cfRule>
  </conditionalFormatting>
  <conditionalFormatting sqref="L479">
    <cfRule type="expression" priority="24" dxfId="781">
      <formula>$L$479="Yes"</formula>
    </cfRule>
    <cfRule type="expression" priority="23" dxfId="0">
      <formula>$L$479="No"</formula>
    </cfRule>
  </conditionalFormatting>
  <conditionalFormatting sqref="L482">
    <cfRule type="expression" priority="21" dxfId="0">
      <formula>$L$482="No"</formula>
    </cfRule>
    <cfRule type="expression" priority="22" dxfId="781">
      <formula>$L$482="Yes"</formula>
    </cfRule>
  </conditionalFormatting>
  <conditionalFormatting sqref="M10">
    <cfRule type="expression" priority="196" dxfId="158">
      <formula>IF(M10="No",1,0)</formula>
    </cfRule>
  </conditionalFormatting>
  <conditionalFormatting sqref="M13">
    <cfRule type="expression" priority="195" dxfId="158">
      <formula>IF(M13="No",1,0)</formula>
    </cfRule>
  </conditionalFormatting>
  <conditionalFormatting sqref="M16">
    <cfRule type="expression" priority="194" dxfId="158">
      <formula>IF(M16="No",1,0)</formula>
    </cfRule>
  </conditionalFormatting>
  <conditionalFormatting sqref="M19">
    <cfRule type="expression" priority="193" dxfId="158">
      <formula>M19="No"</formula>
    </cfRule>
  </conditionalFormatting>
  <conditionalFormatting sqref="M176">
    <cfRule type="expression" priority="6" dxfId="0">
      <formula>AND(K164,OR(YourAge&lt;25,YourAge&gt;=65))</formula>
    </cfRule>
  </conditionalFormatting>
  <conditionalFormatting sqref="M177">
    <cfRule type="expression" priority="5" dxfId="0">
      <formula>AND(K164,OR(SpouseAge&lt;25,SpouseAge&gt;=65))</formula>
    </cfRule>
  </conditionalFormatting>
  <conditionalFormatting sqref="N63:Y66">
    <cfRule type="expression" priority="92" dxfId="1267">
      <formula>$N$60</formula>
    </cfRule>
  </conditionalFormatting>
  <conditionalFormatting sqref="O6">
    <cfRule type="expression" priority="4" dxfId="6">
      <formula>NoColor</formula>
    </cfRule>
  </conditionalFormatting>
  <conditionalFormatting sqref="O502:O504">
    <cfRule type="expression" priority="197" dxfId="34">
      <formula>IF($O$496="",0,IF($O$496&gt;0,1,0))</formula>
    </cfRule>
  </conditionalFormatting>
  <hyperlinks>
    <hyperlink xmlns:r="http://schemas.openxmlformats.org/officeDocument/2006/relationships" ref="B358" r:id="rId1"/>
    <hyperlink xmlns:r="http://schemas.openxmlformats.org/officeDocument/2006/relationships" ref="D501" r:id="rId2"/>
  </hyperlinks>
  <pageMargins left="0.75" right="0.25" top="0.36" bottom="0.29" header="0.36" footer="0.21"/>
  <pageSetup orientation="portrait" scale="67" fitToHeight="0"/>
  <rowBreaks count="9" manualBreakCount="9">
    <brk id="42" min="0" max="16383" man="1"/>
    <brk id="84" min="0" max="24" man="1"/>
    <brk id="162" min="0" max="24" man="1"/>
    <brk id="229" min="0" max="24" man="1"/>
    <brk id="296" min="0" max="16383" man="1"/>
    <brk id="304" min="0" max="24" man="1"/>
    <brk id="365" min="0" max="24" man="1"/>
    <brk id="412" min="0" max="24" man="1"/>
    <brk id="472" min="0" max="16383" man="1"/>
  </rowBreaks>
  <drawing xmlns:r="http://schemas.openxmlformats.org/officeDocument/2006/relationships" r:id="rId3"/>
</worksheet>
</file>

<file path=xl/worksheets/sheet28.xml><?xml version="1.0" encoding="utf-8"?>
<worksheet xmlns="http://schemas.openxmlformats.org/spreadsheetml/2006/main">
  <sheetPr codeName="Sheet5">
    <outlinePr summaryBelow="1" summaryRight="1"/>
    <pageSetUpPr fitToPage="1"/>
  </sheetPr>
  <dimension ref="A1:AY209"/>
  <sheetViews>
    <sheetView zoomScaleNormal="100" zoomScaleSheetLayoutView="100" workbookViewId="0">
      <selection activeCell="A1" sqref="A1"/>
    </sheetView>
  </sheetViews>
  <sheetFormatPr baseColWidth="8" defaultRowHeight="12.75"/>
  <cols>
    <col width="1.85546875" customWidth="1" style="7635" min="1" max="1"/>
    <col width="14" customWidth="1" style="7635" min="2" max="2"/>
    <col width="5.28515625" customWidth="1" style="7635" min="3" max="3"/>
    <col width="2.140625" customWidth="1" style="7635" min="4" max="4"/>
    <col width="3.85546875" customWidth="1" style="7635" min="5" max="5"/>
    <col width="11" customWidth="1" style="7635" min="6" max="6"/>
    <col width="4.140625" customWidth="1" style="7635" min="7" max="7"/>
    <col width="24.42578125" customWidth="1" style="7635" min="8" max="8"/>
    <col width="4.42578125" customWidth="1" style="7635" min="9" max="9"/>
    <col width="10.5703125" customWidth="1" style="7635" min="10" max="10"/>
    <col width="3.28515625" customWidth="1" style="7635" min="11" max="11"/>
    <col width="1.28515625" customWidth="1" style="7635" min="12" max="12"/>
    <col width="4.28515625" customWidth="1" style="7635" min="13" max="13"/>
    <col width="15.5703125" customWidth="1" style="7635" min="14" max="14"/>
    <col width="3.5703125" customWidth="1" style="7453" min="15" max="15"/>
    <col width="18.140625" customWidth="1" style="7635" min="16" max="16"/>
    <col width="2.28515625" customWidth="1" style="7635" min="17" max="17"/>
    <col width="14" customWidth="1" style="212" min="18" max="18"/>
    <col width="11.7109375" customWidth="1" style="7635" min="19" max="19"/>
    <col width="18.7109375" customWidth="1" style="7635" min="20" max="20"/>
    <col width="3.5703125" customWidth="1" style="7635" min="21" max="22"/>
    <col width="4.5703125" customWidth="1" style="11612" min="23" max="23"/>
    <col width="3.5703125" customWidth="1" style="7635" min="24" max="24"/>
    <col width="5.42578125" customWidth="1" style="7635" min="25" max="25"/>
    <col width="9.85546875" customWidth="1" style="7635" min="26" max="26"/>
    <col width="10.42578125" customWidth="1" style="7635" min="27" max="28"/>
    <col width="11.85546875" customWidth="1" style="7635" min="29" max="29"/>
    <col width="24.7109375" customWidth="1" style="7635" min="30" max="30"/>
    <col width="5.85546875" customWidth="1" style="7635" min="31" max="31"/>
    <col width="5.28515625" customWidth="1" style="7635" min="32" max="32"/>
    <col width="13.42578125" customWidth="1" style="7635" min="33" max="33"/>
    <col width="3.5703125" customWidth="1" style="7635" min="34" max="34"/>
    <col width="12.7109375" customWidth="1" style="7635" min="35" max="35"/>
    <col width="3.5703125" customWidth="1" style="7635" min="36" max="37"/>
    <col width="6.5703125" customWidth="1" style="7635" min="38" max="38"/>
    <col width="10.5703125" customWidth="1" style="7635" min="39" max="39"/>
    <col width="4.140625" customWidth="1" style="7635" min="40" max="40"/>
    <col width="13.7109375" customWidth="1" style="11880" min="41" max="41"/>
    <col width="10.7109375" customWidth="1" style="658" min="42" max="51"/>
  </cols>
  <sheetData>
    <row r="1" ht="16.5" customHeight="1" s="7635" thickBot="1">
      <c r="A1" s="139" t="n"/>
      <c r="B1" s="139" t="n"/>
      <c r="C1" s="139" t="n"/>
      <c r="D1" s="139" t="n"/>
      <c r="E1" s="139" t="n"/>
      <c r="F1" s="139" t="n"/>
      <c r="G1" s="139" t="n"/>
      <c r="H1" s="139" t="n"/>
      <c r="I1" s="139" t="n"/>
      <c r="J1" s="139" t="n"/>
      <c r="K1" s="139" t="n"/>
      <c r="L1" s="139" t="n"/>
      <c r="M1" s="139" t="n"/>
      <c r="N1" s="139" t="n"/>
      <c r="O1" s="139" t="n"/>
      <c r="P1" s="139" t="n"/>
      <c r="Q1" s="139" t="n"/>
      <c r="T1" s="1224" t="n"/>
      <c r="AO1" s="11881" t="inlineStr">
        <is>
          <t>Notes</t>
        </is>
      </c>
    </row>
    <row r="2" ht="14.25" customHeight="1" s="7635">
      <c r="A2" s="139" t="n"/>
      <c r="B2" s="6757" t="n"/>
      <c r="C2" s="2907" t="n"/>
      <c r="D2" s="377" t="n"/>
      <c r="E2" s="377" t="n"/>
      <c r="F2" s="377" t="n"/>
      <c r="G2" s="377" t="n"/>
      <c r="H2" s="377" t="n"/>
      <c r="I2" s="377" t="n"/>
      <c r="J2" s="377" t="n"/>
      <c r="K2" s="377" t="n"/>
      <c r="L2" s="377" t="n"/>
      <c r="M2" s="378" t="n"/>
      <c r="N2" s="139" t="n"/>
      <c r="O2" s="6757" t="n"/>
      <c r="P2" s="378" t="n"/>
      <c r="Q2" s="139" t="n"/>
      <c r="T2" s="1224" t="n"/>
      <c r="W2" s="6758" t="inlineStr">
        <is>
          <t>Medical and Dental Expenses Worksheet -- Line 1</t>
        </is>
      </c>
      <c r="X2" s="377" t="n"/>
      <c r="Y2" s="377" t="n"/>
      <c r="Z2" s="377" t="n"/>
      <c r="AA2" s="377" t="n"/>
      <c r="AB2" s="377" t="n"/>
      <c r="AC2" s="377" t="n"/>
      <c r="AD2" s="377" t="n"/>
      <c r="AE2" s="377" t="n"/>
      <c r="AF2" s="496" t="inlineStr">
        <is>
          <t>(There is no IRS worksheet like this.)</t>
        </is>
      </c>
      <c r="AG2" s="377" t="n"/>
      <c r="AH2" s="377" t="n"/>
      <c r="AI2" s="377" t="n"/>
      <c r="AJ2" s="6759" t="n"/>
      <c r="AK2" s="7834" t="n"/>
      <c r="AN2" s="8788" t="n"/>
    </row>
    <row r="3" ht="15.75" customHeight="1" s="7635">
      <c r="A3" s="139" t="n"/>
      <c r="B3" s="6760" t="inlineStr">
        <is>
          <t>Instruction for Line 5a</t>
        </is>
      </c>
      <c r="C3" s="3789" t="n"/>
      <c r="D3" s="11602" t="n"/>
      <c r="E3" s="11602" t="n"/>
      <c r="F3" s="11602" t="n"/>
      <c r="G3" s="11602" t="n"/>
      <c r="H3" s="11602" t="n"/>
      <c r="I3" s="11602" t="n"/>
      <c r="J3" s="11602" t="n"/>
      <c r="K3" s="11602" t="n"/>
      <c r="L3" s="11602" t="n"/>
      <c r="M3" s="379" t="n"/>
      <c r="N3" s="139" t="n"/>
      <c r="O3" s="6761" t="inlineStr">
        <is>
          <t>NOTE:</t>
        </is>
      </c>
      <c r="P3" s="379" t="n"/>
      <c r="Q3" s="139" t="n"/>
      <c r="T3" s="1224" t="n"/>
      <c r="W3" s="2844" t="inlineStr">
        <is>
          <t xml:space="preserve">o   You can deduct the part of your medical and dental expenses that exceed </t>
        </is>
      </c>
      <c r="X3" s="11602" t="n"/>
      <c r="Y3" s="11602" t="n"/>
      <c r="Z3" s="11602" t="n"/>
      <c r="AA3" s="11602" t="n"/>
      <c r="AB3" s="11602" t="n"/>
      <c r="AC3" s="11602" t="n"/>
      <c r="AD3" s="343">
        <f>TEXT(P18,"0.0%")&amp;" of the amount of your adjusted gross income on Form 1040, line 11."</f>
        <v/>
      </c>
      <c r="AE3" s="11602" t="n"/>
      <c r="AF3" s="11602" t="n"/>
      <c r="AG3" s="11602" t="n"/>
      <c r="AH3" s="11602" t="n"/>
      <c r="AI3" s="11602" t="n"/>
      <c r="AJ3" s="512" t="n"/>
      <c r="AK3" s="6762" t="n"/>
      <c r="AN3" s="6763" t="n"/>
      <c r="AO3" s="12022" t="inlineStr">
        <is>
          <t>Date</t>
        </is>
      </c>
    </row>
    <row r="4" ht="12" customHeight="1" s="7635">
      <c r="A4" s="139" t="n"/>
      <c r="B4" s="6764" t="inlineStr">
        <is>
          <t>The spreadsheet automatically includes, on line 5a, income taxes paid based on W-2 &amp; 1099 information.</t>
        </is>
      </c>
      <c r="C4" s="3789" t="n"/>
      <c r="D4" s="11602" t="n"/>
      <c r="E4" s="11602" t="n"/>
      <c r="F4" s="11602" t="n"/>
      <c r="G4" s="11602" t="n"/>
      <c r="H4" s="11602" t="n"/>
      <c r="I4" s="11602" t="n"/>
      <c r="J4" s="11602" t="n"/>
      <c r="K4" s="11602" t="n"/>
      <c r="L4" s="11602" t="n"/>
      <c r="M4" s="379" t="n"/>
      <c r="N4" s="139" t="n"/>
      <c r="O4" s="6765" t="inlineStr">
        <is>
          <t>Worksheets for</t>
        </is>
      </c>
      <c r="P4" s="379" t="n"/>
      <c r="Q4" s="139" t="n"/>
      <c r="T4" s="1224" t="n"/>
      <c r="W4" s="2846" t="inlineStr">
        <is>
          <t>o   The amount you can deduct for qualified long-term care insurance contracts (as defined in Pub. 502) depends on the age, at  the  end</t>
        </is>
      </c>
      <c r="X4" s="9086" t="n"/>
      <c r="Y4" s="9086" t="n"/>
      <c r="Z4" s="9086" t="n"/>
      <c r="AA4" s="9086" t="n"/>
      <c r="AB4" s="9086" t="n"/>
      <c r="AC4" s="9086" t="n"/>
      <c r="AD4" s="9086" t="n"/>
      <c r="AE4" s="9086" t="n"/>
      <c r="AF4" s="9086" t="n"/>
      <c r="AG4" s="9086" t="n"/>
      <c r="AH4" s="343">
        <f>"of  "&amp;TaxYear&amp;","</f>
        <v/>
      </c>
      <c r="AI4" s="9086" t="n"/>
      <c r="AJ4" s="512" t="n"/>
      <c r="AK4" s="6766" t="n"/>
      <c r="AL4" s="1022" t="n"/>
      <c r="AM4" s="1022" t="n"/>
      <c r="AN4" s="1022" t="n"/>
    </row>
    <row r="5" ht="13.5" customHeight="1" s="7635" thickBot="1">
      <c r="A5" s="139" t="n"/>
      <c r="B5" s="6764" t="inlineStr">
        <is>
          <t>If you wish to deduct General Sales Tax, enter the tax amount in Column R and place an 'X' in box 5a.</t>
        </is>
      </c>
      <c r="C5" s="11259" t="n"/>
      <c r="D5" s="11602" t="n"/>
      <c r="E5" s="11602" t="n"/>
      <c r="F5" s="11602" t="n"/>
      <c r="G5" s="11602" t="n"/>
      <c r="H5" s="11602" t="n"/>
      <c r="I5" s="11602" t="n"/>
      <c r="J5" s="11602" t="n"/>
      <c r="K5" s="11602" t="n"/>
      <c r="L5" s="11602" t="n"/>
      <c r="M5" s="379" t="n"/>
      <c r="N5" s="139" t="n"/>
      <c r="O5" s="6765" t="inlineStr">
        <is>
          <t>Lines 1, 5a, and 5e</t>
        </is>
      </c>
      <c r="P5" s="379" t="n"/>
      <c r="Q5" s="139" t="n"/>
      <c r="T5" s="1224" t="n"/>
      <c r="W5" s="12023" t="inlineStr">
        <is>
          <t xml:space="preserve">     of the person for whom the premiums were paid.</t>
        </is>
      </c>
      <c r="X5" s="8848" t="n"/>
      <c r="Y5" s="8848" t="n"/>
      <c r="Z5" s="8848" t="n"/>
      <c r="AA5" s="8848" t="n"/>
      <c r="AB5" s="8848" t="n"/>
      <c r="AC5" s="8848" t="n"/>
      <c r="AD5" s="8848" t="n"/>
      <c r="AE5" s="8848" t="n"/>
      <c r="AF5" s="8848" t="n"/>
      <c r="AG5" s="8848" t="n"/>
      <c r="AH5" s="8848" t="n"/>
      <c r="AI5" s="8848" t="n"/>
      <c r="AJ5" s="2627" t="n"/>
      <c r="AK5" s="6766" t="n"/>
      <c r="AL5" s="11602" t="n"/>
      <c r="AM5" s="7914" t="inlineStr">
        <is>
          <t>LTC Contr.</t>
        </is>
      </c>
      <c r="AN5" s="1022" t="n"/>
    </row>
    <row r="6" ht="13.5" customHeight="1" s="7635" thickBot="1">
      <c r="A6" s="139" t="n"/>
      <c r="B6" s="6764" t="n"/>
      <c r="C6" s="11259" t="n"/>
      <c r="D6" s="11602" t="n"/>
      <c r="E6" s="11602" t="n"/>
      <c r="F6" s="11602" t="n"/>
      <c r="G6" s="11602" t="n"/>
      <c r="H6" s="11602" t="n"/>
      <c r="I6" s="11602" t="n"/>
      <c r="J6" s="11602" t="n"/>
      <c r="K6" s="11602" t="n"/>
      <c r="L6" s="11602" t="n"/>
      <c r="M6" s="379" t="n"/>
      <c r="N6" s="139" t="n"/>
      <c r="O6" s="6765" t="inlineStr">
        <is>
          <t xml:space="preserve">are available at the right. </t>
        </is>
      </c>
      <c r="P6" s="379" t="n"/>
      <c r="Q6" s="139" t="n"/>
      <c r="T6" s="1224" t="n"/>
      <c r="W6" s="6767" t="n"/>
      <c r="X6" s="3128" t="n"/>
      <c r="Y6" s="6768" t="n"/>
      <c r="Z6" s="6768" t="n"/>
      <c r="AA6" s="6768" t="n"/>
      <c r="AB6" s="6768" t="n"/>
      <c r="AC6" s="6768" t="n"/>
      <c r="AD6" s="6769" t="n"/>
      <c r="AE6" s="6768" t="n"/>
      <c r="AF6" s="6770" t="n"/>
      <c r="AG6" s="6771">
        <f>IF(File_Marr_Joint="","","You")</f>
        <v/>
      </c>
      <c r="AH6" s="6772" t="n"/>
      <c r="AI6" s="6771">
        <f>IF(File_Marr_Joint="","","Spouse")</f>
        <v/>
      </c>
      <c r="AJ6" s="6773" t="n"/>
      <c r="AK6" s="6766" t="n"/>
      <c r="AL6" s="8788" t="inlineStr">
        <is>
          <t>Age</t>
        </is>
      </c>
      <c r="AM6" s="7914" t="inlineStr">
        <is>
          <t>Limit</t>
        </is>
      </c>
      <c r="AN6" s="1022" t="n"/>
    </row>
    <row r="7" ht="13.5" customHeight="1" s="7635" thickBot="1">
      <c r="A7" s="139" t="n"/>
      <c r="B7" s="5210" t="n"/>
      <c r="C7" s="380" t="n"/>
      <c r="D7" s="380" t="n"/>
      <c r="E7" s="380" t="n"/>
      <c r="F7" s="380" t="n"/>
      <c r="G7" s="380" t="n"/>
      <c r="H7" s="380" t="n"/>
      <c r="I7" s="380" t="n"/>
      <c r="J7" s="380" t="n"/>
      <c r="K7" s="380" t="n"/>
      <c r="L7" s="380" t="n"/>
      <c r="M7" s="381" t="n"/>
      <c r="N7" s="139" t="n"/>
      <c r="O7" s="5210" t="n"/>
      <c r="P7" s="381" t="n"/>
      <c r="Q7" s="139" t="n"/>
      <c r="T7" s="1224" t="n"/>
      <c r="W7" s="3137" t="n"/>
      <c r="X7" s="1022" t="n"/>
      <c r="Y7" s="1022" t="n"/>
      <c r="Z7" s="1022" t="n"/>
      <c r="AA7" s="1022" t="n"/>
      <c r="AB7" s="1022" t="n"/>
      <c r="AC7" s="1022" t="n"/>
      <c r="AD7" s="1022" t="n"/>
      <c r="AE7" s="1022" t="n"/>
      <c r="AF7" s="10297">
        <f>IF(AG7="","","Age:")</f>
        <v/>
      </c>
      <c r="AG7" s="2968">
        <f>IF(ISERROR(YourAge+1),"",YourAge)</f>
        <v/>
      </c>
      <c r="AH7" s="1022" t="n"/>
      <c r="AI7" s="2968">
        <f>IF(ISERROR(SpouseAge+1),"",SpouseAge)</f>
        <v/>
      </c>
      <c r="AJ7" s="6774" t="n"/>
      <c r="AK7" s="6766" t="n"/>
      <c r="AL7" s="6775" t="n">
        <v>0</v>
      </c>
      <c r="AM7" s="6776" t="n">
        <v>480</v>
      </c>
      <c r="AN7" s="1022" t="n"/>
    </row>
    <row r="8" ht="15.75" customHeight="1" s="7635">
      <c r="A8" s="139" t="n"/>
      <c r="B8" s="139" t="n"/>
      <c r="C8" s="139" t="n"/>
      <c r="D8" s="139" t="n"/>
      <c r="E8" s="139" t="n"/>
      <c r="F8" s="139" t="n"/>
      <c r="G8" s="139" t="n"/>
      <c r="H8" s="139" t="n"/>
      <c r="I8" s="139" t="n"/>
      <c r="J8" s="139" t="n"/>
      <c r="K8" s="139" t="n"/>
      <c r="L8" s="139" t="n"/>
      <c r="M8" s="139" t="n"/>
      <c r="N8" s="139" t="n"/>
      <c r="O8" s="6777" t="n"/>
      <c r="P8" s="6778">
        <f>IF('Table of Contents'!A33="D","DRAFT","")</f>
        <v/>
      </c>
      <c r="Q8" s="139" t="n"/>
      <c r="T8" s="1224" t="n"/>
      <c r="W8" s="6779" t="inlineStr">
        <is>
          <t>1.</t>
        </is>
      </c>
      <c r="X8" s="10297" t="inlineStr">
        <is>
          <t>Enter total amount of premiums for qualified long-term insurance contracts</t>
        </is>
      </c>
      <c r="Y8" s="1022" t="n"/>
      <c r="Z8" s="1022" t="n"/>
      <c r="AA8" s="1022" t="n"/>
      <c r="AB8" s="1022" t="n"/>
      <c r="AC8" s="1022" t="n"/>
      <c r="AD8" s="1022" t="n"/>
      <c r="AE8" s="1022" t="n"/>
      <c r="AF8" s="6780">
        <f>IF(File_Marr_Joint="","1.","1a.")</f>
        <v/>
      </c>
      <c r="AG8" s="822" t="n"/>
      <c r="AH8" s="6780">
        <f>IF(File_Marr_Joint="","","1b.")</f>
        <v/>
      </c>
      <c r="AI8" s="822" t="n"/>
      <c r="AJ8" s="3136" t="n"/>
      <c r="AK8" s="1022" t="n"/>
      <c r="AL8" s="3912" t="n">
        <v>41</v>
      </c>
      <c r="AM8" s="6781" t="n">
        <v>900</v>
      </c>
      <c r="AN8" s="1022" t="n"/>
    </row>
    <row r="9" ht="15.75" customHeight="1" s="7635">
      <c r="A9" s="139" t="n"/>
      <c r="B9" s="5199" t="inlineStr">
        <is>
          <t>SCHEDULE A</t>
        </is>
      </c>
      <c r="C9" s="6782" t="n"/>
      <c r="D9" s="12024" t="inlineStr">
        <is>
          <t>Itemized Deductions</t>
        </is>
      </c>
      <c r="N9" s="9671" t="n"/>
      <c r="O9" s="8038">
        <f>IF(AND(Q9="",'Table of Contents'!A33="D"),"DRAFT","OMB No. 1545-0074")</f>
        <v/>
      </c>
      <c r="P9" s="7637" t="n"/>
      <c r="Q9" s="1251" t="n"/>
      <c r="R9" s="6783">
        <f>OR(ItemizeAnyway,AND(P63&lt;&gt;"",P63&lt;&gt;0,P63&gt;Standard))</f>
        <v/>
      </c>
      <c r="T9" s="1224" t="n"/>
      <c r="W9" s="3137" t="n"/>
      <c r="X9" s="1022" t="n"/>
      <c r="Y9" s="1022" t="n"/>
      <c r="Z9" s="1022" t="n"/>
      <c r="AA9" s="1022" t="n"/>
      <c r="AB9" s="1022" t="n"/>
      <c r="AC9" s="1022" t="n"/>
      <c r="AD9" s="1022" t="n"/>
      <c r="AE9" s="1022" t="n"/>
      <c r="AF9" s="1022" t="n"/>
      <c r="AG9" s="1022" t="n"/>
      <c r="AH9" s="1022" t="n"/>
      <c r="AI9" s="1022" t="n"/>
      <c r="AJ9" s="3136" t="n"/>
      <c r="AK9" s="1022" t="n"/>
      <c r="AL9" s="3912" t="n">
        <v>51</v>
      </c>
      <c r="AM9" s="6781" t="n">
        <v>1800</v>
      </c>
      <c r="AN9" s="1022" t="n"/>
    </row>
    <row r="10" ht="18.75" customHeight="1" s="7635">
      <c r="A10" s="139" t="n"/>
      <c r="B10" s="3570" t="inlineStr">
        <is>
          <t>(Form 1040)</t>
        </is>
      </c>
      <c r="C10" s="6784" t="n"/>
      <c r="D10" s="8046" t="inlineStr">
        <is>
          <t>Attach to Form 1040 or 1040-SR.</t>
        </is>
      </c>
      <c r="O10" s="8044">
        <f>TaxYear</f>
        <v/>
      </c>
      <c r="P10" s="7839" t="n"/>
      <c r="Q10" s="6777" t="n"/>
      <c r="R10" s="6785" t="n"/>
      <c r="S10" s="7453" t="n"/>
      <c r="T10" s="1224" t="n"/>
      <c r="W10" s="6779" t="inlineStr">
        <is>
          <t>2.</t>
        </is>
      </c>
      <c r="X10" s="10297" t="inlineStr">
        <is>
          <t>Enter limit on long-term contract premiums (see instructions)</t>
        </is>
      </c>
      <c r="Y10" s="1022" t="n"/>
      <c r="Z10" s="1022" t="n"/>
      <c r="AA10" s="1022" t="n"/>
      <c r="AB10" s="1022" t="n"/>
      <c r="AC10" s="1022" t="n"/>
      <c r="AD10" s="1022" t="n"/>
      <c r="AE10" s="1022" t="n"/>
      <c r="AF10" s="6780">
        <f>IF(File_Marr_Joint="","2.","2a.")</f>
        <v/>
      </c>
      <c r="AG10" s="6786">
        <f>IF(AG8="","",IF(YourAge="?","Birthdate needed.",LOOKUP(YourAge,AL7:AL11,AM7:AM11)))</f>
        <v/>
      </c>
      <c r="AH10" s="6780">
        <f>IF(File_Marr_Joint="","","2b.")</f>
        <v/>
      </c>
      <c r="AI10" s="6786">
        <f>IF(AI8="","",IF(File_Marr_Joint="","",IF(SpouseAge="?","Birthdate needed.",LOOKUP(SpouseAge,AL7:AL11,AM7:AM11))))</f>
        <v/>
      </c>
      <c r="AJ10" s="3136" t="n"/>
      <c r="AK10" s="1022" t="n"/>
      <c r="AL10" s="3912" t="n">
        <v>61</v>
      </c>
      <c r="AM10" s="6781" t="n">
        <v>4810</v>
      </c>
      <c r="AN10" s="1022" t="n"/>
    </row>
    <row r="11" ht="13.5" customHeight="1" s="7635" thickBot="1">
      <c r="A11" s="139" t="n"/>
      <c r="B11" s="6787" t="inlineStr">
        <is>
          <t>Department of the Treasury</t>
        </is>
      </c>
      <c r="C11" s="6788" t="n"/>
      <c r="D11" s="8047" t="inlineStr">
        <is>
          <t>Go to www.irs.gov/ScheduleA for instructions and the latest information.</t>
        </is>
      </c>
      <c r="O11" s="6789" t="n"/>
      <c r="P11" s="6790" t="inlineStr">
        <is>
          <t>Attachment</t>
        </is>
      </c>
      <c r="Q11" s="6777" t="n"/>
      <c r="R11" s="6785" t="n"/>
      <c r="S11" s="7453" t="n"/>
      <c r="T11" s="1224" t="n"/>
      <c r="W11" s="3137" t="n"/>
      <c r="X11" s="1022" t="n"/>
      <c r="Y11" s="1022" t="n"/>
      <c r="Z11" s="1022" t="n"/>
      <c r="AA11" s="1022" t="n"/>
      <c r="AB11" s="1022" t="n"/>
      <c r="AC11" s="1022" t="n"/>
      <c r="AD11" s="1022" t="n"/>
      <c r="AE11" s="1022" t="n"/>
      <c r="AF11" s="1022" t="n"/>
      <c r="AG11" s="1022" t="n"/>
      <c r="AH11" s="1022" t="n"/>
      <c r="AI11" s="1022" t="n"/>
      <c r="AJ11" s="3136" t="n"/>
      <c r="AK11" s="1022" t="n"/>
      <c r="AL11" s="6791" t="n">
        <v>71</v>
      </c>
      <c r="AM11" s="6792" t="n">
        <v>6020</v>
      </c>
      <c r="AN11" s="1022" t="n"/>
    </row>
    <row r="12" ht="13.5" customHeight="1" s="7635" thickBot="1">
      <c r="A12" s="139" t="n"/>
      <c r="B12" s="6793" t="inlineStr">
        <is>
          <t>Internal Revenue Service</t>
        </is>
      </c>
      <c r="C12" s="6794" t="n"/>
      <c r="D12" s="8048" t="inlineStr">
        <is>
          <t>Caution: If you are claiming a net qualified disaster loss on Form 4684, see the instructions for line 16.</t>
        </is>
      </c>
      <c r="E12" s="11705" t="n"/>
      <c r="F12" s="11705" t="n"/>
      <c r="G12" s="11705" t="n"/>
      <c r="H12" s="11705" t="n"/>
      <c r="I12" s="11705" t="n"/>
      <c r="J12" s="11705" t="n"/>
      <c r="K12" s="11705" t="n"/>
      <c r="L12" s="11705" t="n"/>
      <c r="M12" s="11705" t="n"/>
      <c r="N12" s="11705" t="n"/>
      <c r="O12" s="6795" t="n"/>
      <c r="P12" s="6796" t="inlineStr">
        <is>
          <t>Sequence No. 07</t>
        </is>
      </c>
      <c r="Q12" s="6777" t="n"/>
      <c r="R12" s="6797" t="inlineStr">
        <is>
          <t>Manual</t>
        </is>
      </c>
      <c r="S12" s="7453" t="n"/>
      <c r="T12" s="1224" t="n"/>
      <c r="W12" s="6779" t="inlineStr">
        <is>
          <t>3.</t>
        </is>
      </c>
      <c r="X12" s="10297">
        <f>IF(File_Marr_Joint="","Enter the smaller of line 1 or line 2","Enter the smaller of 1.a or 2.a (and of 1.b or 2.b)")</f>
        <v/>
      </c>
      <c r="Y12" s="6798" t="n"/>
      <c r="Z12" s="6798" t="n"/>
      <c r="AA12" s="6798" t="n"/>
      <c r="AB12" s="6798" t="n"/>
      <c r="AC12" s="6798" t="n"/>
      <c r="AD12" s="6798" t="n"/>
      <c r="AE12" s="1022" t="n"/>
      <c r="AF12" s="6780">
        <f>IF(File_Marr_Joint="","3.","3a.")</f>
        <v/>
      </c>
      <c r="AG12" s="6786">
        <f>IF(OR(AG8="",ISERROR(AG10+1)),"",MIN(AG8,AG10))</f>
        <v/>
      </c>
      <c r="AH12" s="6780">
        <f>IF(File_Marr_Joint="","","3b.")</f>
        <v/>
      </c>
      <c r="AI12" s="6786">
        <f>IF(OR(ISERROR(AI10+1),File_Marr_Joint="", AI8=""),"",MIN(AI8,AI10))</f>
        <v/>
      </c>
      <c r="AJ12" s="3136" t="n"/>
      <c r="AK12" s="1022" t="n"/>
      <c r="AL12" s="1022" t="n"/>
      <c r="AM12" s="1022" t="n"/>
      <c r="AN12" s="1022" t="n"/>
    </row>
    <row r="13" ht="15.75" customHeight="1" s="7635" thickTop="1">
      <c r="A13" s="139" t="n"/>
      <c r="B13" s="2753" t="inlineStr">
        <is>
          <t>Name(s) shown on Form 1040 or 1040-SR</t>
        </is>
      </c>
      <c r="C13" s="3097" t="n"/>
      <c r="D13" s="2995" t="n"/>
      <c r="E13" s="2995" t="n"/>
      <c r="F13" s="2995" t="n"/>
      <c r="G13" s="2995" t="n"/>
      <c r="H13" s="2995" t="n"/>
      <c r="I13" s="2755" t="n"/>
      <c r="J13" s="2755" t="n"/>
      <c r="K13" s="2755" t="n"/>
      <c r="L13" s="2755" t="n"/>
      <c r="M13" s="2755" t="n"/>
      <c r="N13" s="2756" t="n"/>
      <c r="O13" s="8042" t="inlineStr">
        <is>
          <t>Your social security number</t>
        </is>
      </c>
      <c r="Q13" s="6777" t="n"/>
      <c r="R13" s="6797" t="inlineStr">
        <is>
          <t>Override</t>
        </is>
      </c>
      <c r="S13" s="7453" t="n"/>
      <c r="T13" s="1224" t="n"/>
      <c r="W13" s="3137" t="n"/>
      <c r="X13" s="1022" t="n"/>
      <c r="Y13" s="1022" t="n"/>
      <c r="Z13" s="1022" t="n"/>
      <c r="AA13" s="1022" t="n"/>
      <c r="AB13" s="1022" t="n"/>
      <c r="AC13" s="1022" t="n"/>
      <c r="AD13" s="1022" t="n"/>
      <c r="AE13" s="1022" t="n"/>
      <c r="AF13" s="1022" t="n"/>
      <c r="AG13" s="1022" t="n"/>
      <c r="AH13" s="1022" t="n"/>
      <c r="AI13" s="1022" t="n"/>
      <c r="AJ13" s="3136" t="n"/>
    </row>
    <row r="14" ht="17.25" customHeight="1" s="7635">
      <c r="A14" s="139" t="n"/>
      <c r="B14" s="8051">
        <f>Names</f>
        <v/>
      </c>
      <c r="C14" s="7637" t="n"/>
      <c r="D14" s="7637" t="n"/>
      <c r="E14" s="7637" t="n"/>
      <c r="F14" s="7637" t="n"/>
      <c r="G14" s="7637" t="n"/>
      <c r="H14" s="7637" t="n"/>
      <c r="I14" s="7637" t="n"/>
      <c r="J14" s="7637" t="n"/>
      <c r="K14" s="7637" t="n"/>
      <c r="L14" s="7637" t="n"/>
      <c r="M14" s="7637" t="n"/>
      <c r="N14" s="7638" t="n"/>
      <c r="O14" s="12025">
        <f>IF(NoSSN,"",SS_Yours)</f>
        <v/>
      </c>
      <c r="P14" s="7637" t="n"/>
      <c r="Q14" s="6777" t="n"/>
      <c r="R14" s="6797" t="inlineStr">
        <is>
          <t>Column ê</t>
        </is>
      </c>
      <c r="S14" s="7453" t="n"/>
      <c r="T14" s="6799">
        <f>IF(File_Marr_Sep&lt;&gt;"",T15,T16)</f>
        <v/>
      </c>
      <c r="W14" s="6779" t="inlineStr">
        <is>
          <t>4.</t>
        </is>
      </c>
      <c r="X14" s="10297">
        <f>IF(File_Marr_Joint="","Enter amount from line 3.","Add lines 3a and 3b.")</f>
        <v/>
      </c>
      <c r="Y14" s="1022" t="n"/>
      <c r="Z14" s="1022" t="n"/>
      <c r="AA14" s="1022" t="n"/>
      <c r="AB14" s="1022" t="n"/>
      <c r="AC14" s="1022" t="n"/>
      <c r="AD14" s="1022" t="n"/>
      <c r="AE14" s="1022" t="n"/>
      <c r="AF14" s="6780" t="n"/>
      <c r="AG14" s="6798" t="n"/>
      <c r="AH14" s="6780" t="inlineStr">
        <is>
          <t>4.</t>
        </is>
      </c>
      <c r="AI14" s="6786">
        <f>IF(AND(AG12="",AI12=""),"",IF(File_Marr_Joint&lt;&gt;"",SUM(AG12,AI12),AG12))</f>
        <v/>
      </c>
      <c r="AJ14" s="3136" t="n"/>
      <c r="AO14" s="12026" t="n"/>
    </row>
    <row r="15" ht="14.25" customHeight="1" s="7635" thickBot="1">
      <c r="A15" s="139" t="n"/>
      <c r="B15" s="3574" t="inlineStr">
        <is>
          <t>Medical</t>
        </is>
      </c>
      <c r="C15" s="3097" t="n"/>
      <c r="D15" s="3700" t="inlineStr">
        <is>
          <t>Caution: Do not include expenses reimbursed or paid by others.</t>
        </is>
      </c>
      <c r="E15" s="2754" t="n"/>
      <c r="F15" s="2754" t="n"/>
      <c r="G15" s="2754" t="n"/>
      <c r="H15" s="2754" t="n"/>
      <c r="I15" s="2755" t="n"/>
      <c r="J15" s="2755" t="n"/>
      <c r="K15" s="5211" t="n"/>
      <c r="L15" s="6800" t="n"/>
      <c r="M15" s="6801" t="n"/>
      <c r="N15" s="2756" t="n"/>
      <c r="O15" s="6801" t="n"/>
      <c r="P15" s="6802" t="n"/>
      <c r="Q15" s="6777" t="n"/>
      <c r="R15" s="6803" t="n"/>
      <c r="S15" s="7453" t="n"/>
      <c r="T15" s="6799" t="n">
        <v>5000</v>
      </c>
      <c r="W15" s="3137" t="n"/>
      <c r="X15" s="1022" t="n"/>
      <c r="Y15" s="1022" t="n"/>
      <c r="Z15" s="1022" t="n"/>
      <c r="AA15" s="1022" t="n"/>
      <c r="AB15" s="1022" t="n"/>
      <c r="AC15" s="1022" t="n"/>
      <c r="AD15" s="1022" t="n"/>
      <c r="AE15" s="1022" t="n"/>
      <c r="AF15" s="1022" t="n"/>
      <c r="AG15" s="1022" t="n"/>
      <c r="AH15" s="1022" t="n"/>
      <c r="AI15" s="1022" t="n"/>
      <c r="AJ15" s="3136" t="n"/>
      <c r="AO15" s="12026" t="n"/>
    </row>
    <row r="16" ht="16.5" customHeight="1" s="7635" thickBot="1">
      <c r="A16" s="139" t="n"/>
      <c r="B16" s="3574" t="inlineStr">
        <is>
          <t>and</t>
        </is>
      </c>
      <c r="C16" s="3097" t="n">
        <v>1</v>
      </c>
      <c r="D16" s="8647" t="inlineStr">
        <is>
          <t>Medical and dental expenses (see instructions)</t>
        </is>
      </c>
      <c r="E16" s="8665" t="n"/>
      <c r="F16" s="8665" t="n"/>
      <c r="G16" s="8665" t="n"/>
      <c r="H16" s="8665" t="n"/>
      <c r="I16" s="3097" t="n"/>
      <c r="J16" s="3016" t="n"/>
      <c r="K16" s="3016" t="n"/>
      <c r="L16" s="3016" t="inlineStr">
        <is>
          <t xml:space="preserve">.   .   .   .   .   .   .   .   . </t>
        </is>
      </c>
      <c r="M16" s="2773" t="n">
        <v>1</v>
      </c>
      <c r="N16" s="6804">
        <f>IF(R16&lt;&gt;"",ROUND(R16,0),IF(SchA_Blank,"",AI18))</f>
        <v/>
      </c>
      <c r="O16" s="6805" t="n"/>
      <c r="P16" s="6806" t="n">
        <v>20000</v>
      </c>
      <c r="Q16" s="6777" t="n"/>
      <c r="R16" s="213" t="n"/>
      <c r="S16" s="7453" t="n"/>
      <c r="T16" s="6799" t="n">
        <v>10000</v>
      </c>
      <c r="W16" s="6779" t="inlineStr">
        <is>
          <t>5.</t>
        </is>
      </c>
      <c r="X16" s="10297" t="inlineStr">
        <is>
          <t>Enter all other medical and dental expenses.  (See instructions for Schedule A, line 1.)</t>
        </is>
      </c>
      <c r="Y16" s="1022" t="n"/>
      <c r="Z16" s="1022" t="n"/>
      <c r="AA16" s="1022" t="n"/>
      <c r="AB16" s="1022" t="n"/>
      <c r="AC16" s="1022" t="n"/>
      <c r="AD16" s="1022" t="n"/>
      <c r="AE16" s="1022" t="n"/>
      <c r="AF16" s="6780" t="n"/>
      <c r="AG16" s="6798" t="n"/>
      <c r="AH16" s="6780" t="inlineStr">
        <is>
          <t>5.</t>
        </is>
      </c>
      <c r="AI16" s="822" t="n"/>
      <c r="AJ16" s="3136" t="n"/>
      <c r="AO16" s="12026" t="n"/>
    </row>
    <row r="17" ht="15.75" customHeight="1" s="7635">
      <c r="A17" s="139" t="n"/>
      <c r="B17" s="3574" t="inlineStr">
        <is>
          <t>Dental</t>
        </is>
      </c>
      <c r="C17" s="3097" t="n">
        <v>2</v>
      </c>
      <c r="D17" s="8647" t="inlineStr">
        <is>
          <t>Enter amount from Form 1040 or 1040-SR, line 11b</t>
        </is>
      </c>
      <c r="E17" s="6807" t="n"/>
      <c r="F17" s="6807" t="n"/>
      <c r="G17" s="6807" t="n"/>
      <c r="H17" s="3016" t="n"/>
      <c r="I17" s="8230" t="n">
        <v>2</v>
      </c>
      <c r="J17" s="12027">
        <f>IF(N16="","",IF(SchA_Blank,"",Adj_Gross_Inc))</f>
        <v/>
      </c>
      <c r="L17" s="7636" t="n"/>
      <c r="M17" s="6805" t="n"/>
      <c r="N17" s="3004" t="n"/>
      <c r="O17" s="6808" t="n"/>
      <c r="P17" s="6806" t="n">
        <v>40000</v>
      </c>
      <c r="Q17" s="6777" t="n"/>
      <c r="R17" s="6803" t="n"/>
      <c r="S17" s="7453" t="n"/>
      <c r="T17" s="6799" t="n"/>
      <c r="W17" s="3137" t="n"/>
      <c r="X17" s="1022" t="n"/>
      <c r="Y17" s="1022" t="n"/>
      <c r="Z17" s="1022" t="n"/>
      <c r="AA17" s="1022" t="n"/>
      <c r="AB17" s="1022" t="n"/>
      <c r="AC17" s="1022" t="n"/>
      <c r="AD17" s="1022" t="n"/>
      <c r="AE17" s="1022" t="n"/>
      <c r="AF17" s="1022" t="n"/>
      <c r="AG17" s="1022" t="n"/>
      <c r="AH17" s="1022" t="n"/>
      <c r="AI17" s="1022" t="n"/>
      <c r="AJ17" s="3136" t="n"/>
      <c r="AO17" s="12026" t="n"/>
    </row>
    <row r="18" ht="14.25" customHeight="1" s="7635" thickBot="1">
      <c r="A18" s="139" t="n"/>
      <c r="B18" s="3574" t="inlineStr">
        <is>
          <t>Expenses</t>
        </is>
      </c>
      <c r="C18" s="3097" t="n">
        <v>3</v>
      </c>
      <c r="D18" s="8647">
        <f>"Multiply line 2 above by "&amp;TEXT(P18,"0.0%")&amp;" ("&amp;TEXT(P18,"0.000")&amp;")"</f>
        <v/>
      </c>
      <c r="E18" s="8665" t="n"/>
      <c r="F18" s="8665" t="n"/>
      <c r="G18" s="8665" t="n"/>
      <c r="H18" s="8665" t="n"/>
      <c r="I18" s="3097" t="n"/>
      <c r="J18" s="3016" t="n"/>
      <c r="K18" s="3016" t="n"/>
      <c r="L18" s="3016" t="inlineStr">
        <is>
          <t xml:space="preserve">.   .   .   .   .   .   .   .   .   .   .   .   .   . </t>
        </is>
      </c>
      <c r="M18" s="2773" t="n">
        <v>3</v>
      </c>
      <c r="N18" s="6804">
        <f>IF(SchA_Blank,"",IF(AND(J17&lt;&gt;0,J17&lt;&gt;""),J17*P18,""))</f>
        <v/>
      </c>
      <c r="O18" s="6805" t="n"/>
      <c r="P18" s="12028" t="n">
        <v>0.075</v>
      </c>
      <c r="Q18" s="6777" t="n"/>
      <c r="R18" s="6803" t="n"/>
      <c r="S18" s="314" t="n"/>
      <c r="T18" s="6810" t="n">
        <v>0.3</v>
      </c>
      <c r="W18" s="6779" t="inlineStr">
        <is>
          <t>6.</t>
        </is>
      </c>
      <c r="X18" s="10297" t="inlineStr">
        <is>
          <t>Add lines 4 and 5.  Include this amount on Schedule A, line 1.</t>
        </is>
      </c>
      <c r="Y18" s="1022" t="n"/>
      <c r="Z18" s="1022" t="n"/>
      <c r="AA18" s="1022" t="n"/>
      <c r="AB18" s="1022" t="n"/>
      <c r="AC18" s="1022" t="n"/>
      <c r="AD18" s="1022" t="n"/>
      <c r="AE18" s="1022" t="n"/>
      <c r="AF18" s="6780" t="n"/>
      <c r="AG18" s="6798" t="n"/>
      <c r="AH18" s="6780" t="inlineStr">
        <is>
          <t>6.</t>
        </is>
      </c>
      <c r="AI18" s="6786">
        <f>IF(AND(AI14="",AI16=""),"",IF(AI14="",ROUND(AI16,0),SUM(ROUND(AI14,0),ROUND(AI16,0))))</f>
        <v/>
      </c>
      <c r="AJ18" s="3136" t="n"/>
      <c r="AO18" s="12026" t="n"/>
    </row>
    <row r="19" ht="13.5" customHeight="1" s="7635" thickBot="1">
      <c r="A19" s="139" t="n"/>
      <c r="B19" s="3108" t="n"/>
      <c r="C19" s="3108" t="n">
        <v>4</v>
      </c>
      <c r="D19" s="3109" t="inlineStr">
        <is>
          <t>Subtract line 3 from line 1.  If line 3 is more than line 1, enter -0-</t>
        </is>
      </c>
      <c r="E19" s="5212" t="n"/>
      <c r="F19" s="5212" t="n"/>
      <c r="G19" s="5212" t="n"/>
      <c r="H19" s="5212" t="n"/>
      <c r="I19" s="3565" t="n"/>
      <c r="J19" s="3565" t="n"/>
      <c r="K19" s="5213" t="n"/>
      <c r="L19" s="5213" t="n"/>
      <c r="M19" s="3565" t="n"/>
      <c r="N19" s="6811" t="inlineStr">
        <is>
          <t xml:space="preserve">.   .   .   .   .   .   .   .   .   .   .   . </t>
        </is>
      </c>
      <c r="O19" s="8230" t="n">
        <v>4</v>
      </c>
      <c r="P19" s="6812">
        <f>IF(R19&lt;&gt;"",ROUND(R19,0),IF(OR(SchA_Blank,N16="",N16=0,J17=0,J17=""),"",IF(N18&lt;0, N16,IF(N18&gt;N16,0,ROUND(N16-N18,0)))))</f>
        <v/>
      </c>
      <c r="Q19" s="6777" t="n"/>
      <c r="R19" s="213" t="n"/>
      <c r="S19" s="7453" t="n"/>
      <c r="T19" s="6813">
        <f>P28</f>
        <v/>
      </c>
      <c r="W19" s="6814" t="n"/>
      <c r="X19" s="6815" t="n"/>
      <c r="Y19" s="6815" t="n"/>
      <c r="Z19" s="6815" t="n"/>
      <c r="AA19" s="6815" t="n"/>
      <c r="AB19" s="6815" t="n"/>
      <c r="AC19" s="6815" t="n"/>
      <c r="AD19" s="6815" t="n"/>
      <c r="AE19" s="6815" t="n"/>
      <c r="AF19" s="6815" t="n"/>
      <c r="AG19" s="6815" t="n"/>
      <c r="AH19" s="6815" t="n"/>
      <c r="AI19" s="6815" t="n"/>
      <c r="AJ19" s="3174" t="n"/>
    </row>
    <row r="20" ht="16.5" customHeight="1" s="7635" thickBot="1">
      <c r="A20" s="139" t="n"/>
      <c r="B20" s="3574" t="inlineStr">
        <is>
          <t>Taxes You</t>
        </is>
      </c>
      <c r="C20" s="3097" t="n">
        <v>5</v>
      </c>
      <c r="D20" s="8647" t="inlineStr">
        <is>
          <t>State and local taxes (SALT)</t>
        </is>
      </c>
      <c r="E20" s="8665" t="n"/>
      <c r="F20" s="8665" t="n"/>
      <c r="G20" s="8665" t="n"/>
      <c r="H20" s="8665" t="n"/>
      <c r="I20" s="3097" t="n"/>
      <c r="J20" s="192" t="n"/>
      <c r="K20" s="6816" t="n"/>
      <c r="L20" s="6817" t="n"/>
      <c r="M20" s="6801" t="n"/>
      <c r="N20" s="6818" t="n"/>
      <c r="O20" s="6777" t="n"/>
      <c r="P20" s="6819">
        <f>ROUND(SUM(StateTaxW2,LocalTaxW2,StateTax_INT,StateTax_DIV,F1099NEC_StateTaxWH,StateTaxIRA,LocalTaxIRA,StateTaxPA,LocalTaxPA,F1099G_StateTaxWH,Add_SALT),0)</f>
        <v/>
      </c>
      <c r="Q20" s="6777" t="n"/>
      <c r="R20" s="6803" t="n"/>
      <c r="S20" s="7453" t="n"/>
      <c r="T20" s="6799">
        <f>ModAdjGrossInc</f>
        <v/>
      </c>
    </row>
    <row r="21" ht="15" customHeight="1" s="7635" thickBot="1">
      <c r="A21" s="139" t="n"/>
      <c r="B21" s="5067" t="inlineStr">
        <is>
          <t>Paid</t>
        </is>
      </c>
      <c r="C21" s="3097" t="n"/>
      <c r="D21" s="2984" t="inlineStr">
        <is>
          <t>a</t>
        </is>
      </c>
      <c r="E21" s="2769" t="inlineStr">
        <is>
          <t>State and local income taxes or general sales taxes. You may include</t>
        </is>
      </c>
      <c r="F21" s="5214" t="n"/>
      <c r="G21" s="8665" t="n"/>
      <c r="H21" s="8665" t="n"/>
      <c r="I21" s="3097" t="n"/>
      <c r="J21" s="9710" t="n"/>
      <c r="K21" s="6820" t="n"/>
      <c r="L21" s="6821" t="n"/>
      <c r="M21" s="6805" t="n"/>
      <c r="N21" s="6818" t="n"/>
      <c r="O21" s="6805" t="n"/>
      <c r="P21" s="6822">
        <f>IF(File_Marr_Sep&lt;&gt;"",P16,P17)</f>
        <v/>
      </c>
      <c r="Q21" s="6777" t="n"/>
      <c r="R21" s="6823" t="inlineStr">
        <is>
          <t>↓  Income Tax Override</t>
        </is>
      </c>
      <c r="S21" s="7453" t="n"/>
      <c r="T21" s="6824" t="n">
        <v>500000</v>
      </c>
      <c r="W21" s="6825" t="n"/>
      <c r="X21" s="496" t="inlineStr">
        <is>
          <t>(There is no IRS worksheet like this.)</t>
        </is>
      </c>
      <c r="Y21" s="377" t="n"/>
      <c r="Z21" s="377" t="n"/>
      <c r="AA21" s="377" t="n"/>
      <c r="AB21" s="377" t="n"/>
      <c r="AC21" s="377" t="n"/>
      <c r="AD21" s="377" t="n"/>
      <c r="AE21" s="377" t="n"/>
      <c r="AF21" s="8078" t="inlineStr">
        <is>
          <t>Keep for Your Records</t>
        </is>
      </c>
      <c r="AG21" s="2506" t="n"/>
      <c r="AH21" s="2506" t="n"/>
      <c r="AI21" s="2506" t="n"/>
      <c r="AJ21" s="378" t="n"/>
    </row>
    <row r="22" ht="12.75" customHeight="1" s="7635" thickBot="1">
      <c r="A22" s="139" t="n"/>
      <c r="B22" s="3736" t="n"/>
      <c r="C22" s="3097" t="n"/>
      <c r="D22" s="3097" t="n"/>
      <c r="E22" s="8647" t="inlineStr">
        <is>
          <t>either income taxes or general sales taxes on line 5a, but not both.</t>
        </is>
      </c>
      <c r="F22" s="2754" t="n"/>
      <c r="G22" s="2754" t="n"/>
      <c r="H22" s="2754" t="n"/>
      <c r="I22" s="3097" t="n"/>
      <c r="J22" s="3016" t="n"/>
      <c r="K22" s="6820" t="n"/>
      <c r="L22" s="6821" t="n"/>
      <c r="M22" s="6805" t="n"/>
      <c r="N22" s="6818" t="n"/>
      <c r="O22" s="6805" t="n"/>
      <c r="P22" s="6822">
        <f>IF(AND(File_Marr_Sep&lt;&gt;"",T19),MAX($T$15,SUM($P$16,-ROUND($T$18*SUM(ModAdjGrossInc,-$T$21),0))),IF(T19,MAX($T$16,SUM(P21,-ROUND($T$18*SUM(ModAdjGrossInc,-$T$21),0))),P17))</f>
        <v/>
      </c>
      <c r="Q22" s="6777" t="n"/>
      <c r="R22" s="213" t="n"/>
      <c r="S22" s="7453" t="n"/>
      <c r="T22" s="6824">
        <f>ROUND(T21/2,0)</f>
        <v/>
      </c>
      <c r="W22" s="6826" t="inlineStr">
        <is>
          <t>State and Local Taxes Paid but NOT Reported on W-2s or 1099s —Line 5a</t>
        </is>
      </c>
      <c r="X22" s="11602" t="n"/>
      <c r="Y22" s="11602" t="n"/>
      <c r="Z22" s="11602" t="n"/>
      <c r="AA22" s="11602" t="n"/>
      <c r="AB22" s="11602" t="n"/>
      <c r="AC22" s="11602" t="n"/>
      <c r="AD22" s="11602" t="n"/>
      <c r="AE22" s="11602" t="n"/>
      <c r="AJ22" s="379" t="n"/>
    </row>
    <row r="23" ht="12.75" customHeight="1" s="7635" thickBot="1">
      <c r="A23" s="139" t="n"/>
      <c r="B23" s="3736" t="n"/>
      <c r="C23" s="3097" t="n"/>
      <c r="D23" s="3097" t="n"/>
      <c r="E23" s="8647" t="inlineStr">
        <is>
          <t>If you elect to include general sales taxes instead of income taxes,</t>
        </is>
      </c>
      <c r="F23" s="2754" t="n"/>
      <c r="G23" s="2754" t="n"/>
      <c r="H23" s="2754" t="n"/>
      <c r="I23" s="3097" t="n"/>
      <c r="J23" s="3016" t="n"/>
      <c r="K23" s="6820" t="n"/>
      <c r="L23" s="6821" t="n"/>
      <c r="M23" s="6827" t="n"/>
      <c r="N23" s="6818" t="n"/>
      <c r="O23" s="6805" t="n"/>
      <c r="P23" s="6828">
        <f>IF(K24&lt;&gt;"",FALSE,IF(OR(P20&lt;&gt;0,R22&lt;&gt;""),TRUE,FALSE))</f>
        <v/>
      </c>
      <c r="Q23" s="6777" t="n"/>
      <c r="R23" s="6803" t="n"/>
      <c r="S23" s="7453" t="n"/>
      <c r="T23" s="987">
        <f>IF(AND(K24="",R22&lt;&gt;""),ROUND(R22,0),IF(K24="",P20,0))</f>
        <v/>
      </c>
      <c r="W23" s="6829" t="n"/>
      <c r="X23" s="380" t="n"/>
      <c r="Y23" s="380" t="n"/>
      <c r="Z23" s="380" t="n"/>
      <c r="AA23" s="380" t="n"/>
      <c r="AB23" s="380" t="n"/>
      <c r="AC23" s="380" t="n"/>
      <c r="AD23" s="380" t="n"/>
      <c r="AE23" s="380" t="n"/>
      <c r="AF23" s="380" t="n"/>
      <c r="AG23" s="380" t="n"/>
      <c r="AH23" s="380" t="n"/>
      <c r="AI23" s="380" t="n"/>
      <c r="AJ23" s="381" t="n"/>
    </row>
    <row r="24" ht="12.75" customHeight="1" s="7635" thickBot="1">
      <c r="A24" s="139" t="n"/>
      <c r="B24" s="2753" t="n"/>
      <c r="C24" s="3097" t="n"/>
      <c r="D24" s="3097" t="n"/>
      <c r="E24" s="8647" t="inlineStr">
        <is>
          <t>check this box</t>
        </is>
      </c>
      <c r="F24" s="5214" t="n"/>
      <c r="G24" s="8665" t="n"/>
      <c r="H24" s="8665" t="n"/>
      <c r="I24" s="3097" t="n"/>
      <c r="J24" s="3016" t="inlineStr">
        <is>
          <t xml:space="preserve">.   .   .   .   .   .   .   .   .   .   .   .   .   .   .   .   .   .   .   .  </t>
        </is>
      </c>
      <c r="K24" s="276" t="n"/>
      <c r="L24" s="6830" t="n"/>
      <c r="M24" s="8230" t="inlineStr">
        <is>
          <t>5a</t>
        </is>
      </c>
      <c r="N24" s="6831">
        <f>IF(SchA_Blank,"",IF(AND(P23,R22&lt;&gt;""),R22,IF(P23,P20,IF(AND(K24&lt;&gt;"",R24&lt;&gt;""),ROUND(R24,0),IF(AND(K24&lt;&gt;"",AI91&lt;&gt;""),ROUND(AI91,0),"")))))</f>
        <v/>
      </c>
      <c r="O24" s="6805" t="n"/>
      <c r="P24" s="6832">
        <f>IF(N24="",0,ROUND(N24,0))</f>
        <v/>
      </c>
      <c r="Q24" s="6777" t="n"/>
      <c r="R24" s="213" t="n"/>
      <c r="S24" s="7453" t="n"/>
      <c r="T24" s="8081">
        <f>IF($T$19,"NOTE: Your SALT deduction limit may have been reduced by "&amp;TEXT(T18,"0%")&amp;" of MAGI amounts exeeding "&amp;TEXT(T21,"$0,000")&amp;" but not lower than "&amp;TEXT(T14,"$0,000")&amp;"."&amp;CHAR(10)&amp;"See SALT deduction worksheet below.","")</f>
        <v/>
      </c>
      <c r="W24" s="3137" t="n"/>
      <c r="X24" s="1022" t="n"/>
      <c r="Y24" s="1022" t="n"/>
      <c r="Z24" s="1022" t="n"/>
      <c r="AA24" s="1022" t="n"/>
      <c r="AB24" s="1022" t="n"/>
      <c r="AC24" s="1022" t="n"/>
      <c r="AD24" s="1022" t="n"/>
      <c r="AE24" s="1022" t="n"/>
      <c r="AF24" s="6774" t="n"/>
      <c r="AG24" s="6774" t="n"/>
      <c r="AH24" s="1022" t="n"/>
      <c r="AI24" s="1022" t="n"/>
      <c r="AJ24" s="3136" t="n"/>
    </row>
    <row r="25" ht="12.75" customHeight="1" s="7635">
      <c r="A25" s="139" t="n"/>
      <c r="B25" s="2753" t="n"/>
      <c r="C25" s="3097" t="n"/>
      <c r="D25" s="2984" t="inlineStr">
        <is>
          <t>b</t>
        </is>
      </c>
      <c r="E25" s="8647" t="inlineStr">
        <is>
          <t xml:space="preserve">State and local real estate taxes (see instructions) </t>
        </is>
      </c>
      <c r="F25" s="8665" t="n"/>
      <c r="G25" s="8665" t="n"/>
      <c r="H25" s="8665" t="n"/>
      <c r="I25" s="3097" t="n"/>
      <c r="J25" s="3016" t="n"/>
      <c r="K25" s="3016" t="n"/>
      <c r="L25" s="3016" t="inlineStr">
        <is>
          <t xml:space="preserve">.   .   .   .   .   .  </t>
        </is>
      </c>
      <c r="M25" s="8230" t="inlineStr">
        <is>
          <t>5b</t>
        </is>
      </c>
      <c r="N25" s="802" t="n"/>
      <c r="O25" s="6805" t="n"/>
      <c r="P25" s="6832">
        <f>ROUND(N25,0)</f>
        <v/>
      </c>
      <c r="Q25" s="6777" t="n"/>
      <c r="R25" s="6823" t="inlineStr">
        <is>
          <t>↑  General Sales Tax Override</t>
        </is>
      </c>
      <c r="S25" s="7453" t="n"/>
      <c r="W25" s="3137" t="inlineStr">
        <is>
          <t>1.</t>
        </is>
      </c>
      <c r="X25" s="10297">
        <f>"Enter State and local income taxes paid in "&amp;TaxYear&amp;" for a prior year, such as taxes paid with your "&amp;TaxYear-1&amp;" state or"</f>
        <v/>
      </c>
      <c r="Y25" s="1022" t="n"/>
      <c r="Z25" s="1022" t="n"/>
      <c r="AA25" s="1022" t="n"/>
      <c r="AB25" s="1022" t="n"/>
      <c r="AC25" s="1022" t="n"/>
      <c r="AD25" s="1022" t="n"/>
      <c r="AE25" s="1022" t="n"/>
      <c r="AF25" s="6774" t="n"/>
      <c r="AG25" s="6774" t="n"/>
      <c r="AH25" s="1022" t="n"/>
      <c r="AI25" s="1022" t="n"/>
      <c r="AJ25" s="3136" t="n"/>
    </row>
    <row r="26" ht="13.5" customHeight="1" s="7635">
      <c r="A26" s="139" t="n"/>
      <c r="B26" s="2753" t="n"/>
      <c r="C26" s="3097" t="n"/>
      <c r="D26" s="2984" t="inlineStr">
        <is>
          <t>c</t>
        </is>
      </c>
      <c r="E26" s="8647" t="inlineStr">
        <is>
          <t>State and local personal property taxes</t>
        </is>
      </c>
      <c r="F26" s="8665" t="n"/>
      <c r="G26" s="8665" t="n"/>
      <c r="H26" s="8665" t="n"/>
      <c r="I26" s="3097" t="n"/>
      <c r="J26" s="3097" t="n"/>
      <c r="K26" s="3016" t="n"/>
      <c r="L26" s="3016" t="inlineStr">
        <is>
          <t xml:space="preserve">.   .   .   .   .   .   .   .   .   .  </t>
        </is>
      </c>
      <c r="M26" s="8230" t="inlineStr">
        <is>
          <t>5c</t>
        </is>
      </c>
      <c r="N26" s="802" t="n"/>
      <c r="O26" s="6805" t="n"/>
      <c r="P26" s="6832">
        <f>ROUND(N26,0)</f>
        <v/>
      </c>
      <c r="Q26" s="6777" t="n"/>
      <c r="R26" s="8084">
        <f>IF(K24&lt;&gt;"","See SALT worksheet. &gt;&gt;&gt;","")</f>
        <v/>
      </c>
      <c r="S26" s="7453" t="n"/>
      <c r="W26" s="3137" t="n"/>
      <c r="X26" s="10297">
        <f>"local income tax return. Don't include the portion of State and local taxes paid in "&amp;TaxYear-1&amp;", penalties or interest."</f>
        <v/>
      </c>
      <c r="Y26" s="1022" t="n"/>
      <c r="Z26" s="1022" t="n"/>
      <c r="AA26" s="1022" t="n"/>
      <c r="AB26" s="1022" t="n"/>
      <c r="AC26" s="1022" t="n"/>
      <c r="AD26" s="1022" t="n"/>
      <c r="AE26" s="1022" t="n"/>
      <c r="AF26" s="6774" t="n"/>
      <c r="AG26" s="6774" t="n"/>
      <c r="AH26" s="1022" t="n"/>
      <c r="AI26" s="6701" t="n"/>
      <c r="AJ26" s="3136" t="n"/>
      <c r="AP26" s="664" t="n"/>
    </row>
    <row r="27" ht="12.75" customHeight="1" s="7635">
      <c r="A27" s="139" t="n"/>
      <c r="B27" s="2753" t="n"/>
      <c r="C27" s="3097" t="n"/>
      <c r="D27" s="2984" t="inlineStr">
        <is>
          <t>d</t>
        </is>
      </c>
      <c r="E27" s="8647" t="inlineStr">
        <is>
          <t>Add lines 5a through 5c</t>
        </is>
      </c>
      <c r="F27" s="8665" t="n"/>
      <c r="G27" s="8665" t="n"/>
      <c r="H27" s="8665" t="n"/>
      <c r="I27" s="3097" t="n"/>
      <c r="J27" s="3097" t="n"/>
      <c r="K27" s="3016" t="n"/>
      <c r="L27" s="3016" t="inlineStr">
        <is>
          <t xml:space="preserve">.   .   .   .   .   .   .   .   .   .   .   .   .   .   .   .  </t>
        </is>
      </c>
      <c r="M27" s="8230" t="inlineStr">
        <is>
          <t>5d</t>
        </is>
      </c>
      <c r="N27" s="6833">
        <f>IF(SchA_Blank,"",SUM(P24:P26))</f>
        <v/>
      </c>
      <c r="O27" s="6805" t="n"/>
      <c r="P27" s="6834">
        <f>IF(File_Marr_Sep&lt;&gt;"",T15,T16)</f>
        <v/>
      </c>
      <c r="Q27" s="6777" t="n"/>
      <c r="S27" s="7453" t="n"/>
      <c r="W27" s="3137" t="n"/>
      <c r="X27" s="1022" t="n"/>
      <c r="Y27" s="1022" t="n"/>
      <c r="Z27" s="1022" t="n"/>
      <c r="AA27" s="1022" t="n"/>
      <c r="AB27" s="1022" t="n"/>
      <c r="AC27" s="1022" t="n"/>
      <c r="AD27" s="1022" t="n"/>
      <c r="AE27" s="1022" t="n"/>
      <c r="AF27" s="6774" t="n"/>
      <c r="AG27" s="6774" t="n"/>
      <c r="AH27" s="1022" t="n"/>
      <c r="AI27" s="1022" t="n"/>
      <c r="AJ27" s="3136" t="n"/>
    </row>
    <row r="28" ht="38.25" customHeight="1" s="7635" thickBot="1">
      <c r="A28" s="139" t="n"/>
      <c r="B28" s="2753" t="n"/>
      <c r="C28" s="3097" t="n"/>
      <c r="D28" s="5183" t="inlineStr">
        <is>
          <t>e</t>
        </is>
      </c>
      <c r="E28" s="8077">
        <f>"Enter the smaller of line 5d or "&amp;TEXT(P17,"$0,000")&amp;" ("&amp;TEXT(P16,"$0,000")&amp;" if married filing separately). If Form 1040 or 1040-SR, line 11b is more than "&amp;TEXT(T21,"$0,000")&amp;" ("&amp;TEXT(T22,"$0,000")&amp;" if married filing separately), or if you completed Form 2555,"</f>
        <v/>
      </c>
      <c r="L28" s="3016" t="n"/>
      <c r="M28" s="6827" t="n"/>
      <c r="N28" s="6835" t="n"/>
      <c r="O28" s="6805" t="n"/>
      <c r="P28" s="6836">
        <f>N27&gt;P27</f>
        <v/>
      </c>
      <c r="Q28" s="1251" t="n"/>
      <c r="R28" s="6837">
        <f>IF($T$19,"Hide note.","")</f>
        <v/>
      </c>
      <c r="S28" s="7453" t="n"/>
      <c r="W28" s="6838" t="inlineStr">
        <is>
          <t>2.</t>
        </is>
      </c>
      <c r="X28" s="10297">
        <f>"State and local estimated tax payments made during "&amp;TaxYear&amp;", including any part of a prior year refund that you"</f>
        <v/>
      </c>
      <c r="Y28" s="1022" t="n"/>
      <c r="Z28" s="1022" t="n"/>
      <c r="AA28" s="1022" t="n"/>
      <c r="AB28" s="1022" t="n"/>
      <c r="AC28" s="1022" t="n"/>
      <c r="AD28" s="1022" t="n"/>
      <c r="AE28" s="1022" t="n"/>
      <c r="AF28" s="6774" t="n"/>
      <c r="AG28" s="6774" t="n"/>
      <c r="AH28" s="1022" t="n"/>
      <c r="AI28" s="1022" t="n"/>
      <c r="AJ28" s="3136" t="n"/>
    </row>
    <row r="29" ht="12.75" customHeight="1" s="7635" thickBot="1">
      <c r="A29" s="139" t="n"/>
      <c r="B29" s="2753" t="n"/>
      <c r="C29" s="3097" t="n"/>
      <c r="D29" s="2984" t="n"/>
      <c r="E29" s="8647" t="inlineStr">
        <is>
          <t>Form 4563, or excluded income from Puerto Rico, see instructions</t>
        </is>
      </c>
      <c r="F29" s="8665" t="n"/>
      <c r="G29" s="8665" t="n"/>
      <c r="H29" s="8665" t="n"/>
      <c r="I29" s="3097" t="n"/>
      <c r="J29" s="3097" t="n"/>
      <c r="K29" s="3016" t="n"/>
      <c r="L29" s="3016" t="inlineStr">
        <is>
          <t xml:space="preserve"> .   .   .  </t>
        </is>
      </c>
      <c r="M29" s="8230" t="inlineStr">
        <is>
          <t>5e</t>
        </is>
      </c>
      <c r="N29" s="6831">
        <f>IF(R29&lt;&gt;"",ROUND(R29,0),IF(SchA_Blank,"",IF(P28,AI137,MIN(N27,P22))))</f>
        <v/>
      </c>
      <c r="O29" s="6805" t="n"/>
      <c r="P29" s="6839">
        <f>IF(AND($T$19,Q28=""),"See note. &gt;&gt;&gt;","")</f>
        <v/>
      </c>
      <c r="Q29" s="6777" t="n"/>
      <c r="R29" s="213" t="n"/>
      <c r="S29" s="7453" t="n"/>
      <c r="W29" s="3137" t="n"/>
      <c r="X29" s="10297">
        <f>"chose to have credited to your "&amp;TaxYear&amp;" state or local income taxes."</f>
        <v/>
      </c>
      <c r="Y29" s="1022" t="n"/>
      <c r="Z29" s="1022" t="n"/>
      <c r="AA29" s="1022" t="n"/>
      <c r="AB29" s="1022" t="n"/>
      <c r="AC29" s="1022" t="n"/>
      <c r="AD29" s="1022" t="n"/>
      <c r="AE29" s="1022" t="n"/>
      <c r="AF29" s="6774" t="n"/>
      <c r="AG29" s="6774" t="n"/>
      <c r="AH29" s="1022" t="n"/>
      <c r="AI29" s="6701" t="n"/>
      <c r="AJ29" s="3136" t="n"/>
    </row>
    <row r="30" ht="12.75" customHeight="1" s="7635">
      <c r="A30" s="139" t="n"/>
      <c r="B30" s="2753" t="n"/>
      <c r="C30" s="3097" t="n">
        <v>6</v>
      </c>
      <c r="D30" s="8647" t="inlineStr">
        <is>
          <t xml:space="preserve">Other taxes.   List type and amount </t>
        </is>
      </c>
      <c r="E30" s="8665" t="n"/>
      <c r="F30" s="8665" t="n"/>
      <c r="G30" s="8665" t="n"/>
      <c r="H30" s="8665" t="n"/>
      <c r="I30" s="8075" t="n"/>
      <c r="L30" s="6816" t="n"/>
      <c r="M30" s="6777" t="n"/>
      <c r="N30" s="6835" t="n"/>
      <c r="O30" s="6805" t="n"/>
      <c r="P30" s="6840" t="n"/>
      <c r="Q30" s="6777" t="n"/>
      <c r="R30" s="6803" t="n"/>
      <c r="S30" s="7453" t="n"/>
      <c r="T30" s="9799" t="n">
        <v>750000</v>
      </c>
      <c r="W30" s="3137" t="n"/>
      <c r="X30" s="1022" t="n"/>
      <c r="Y30" s="1022" t="n"/>
      <c r="Z30" s="1022" t="n"/>
      <c r="AA30" s="1022" t="n"/>
      <c r="AB30" s="1022" t="n"/>
      <c r="AC30" s="1022" t="n"/>
      <c r="AD30" s="1022" t="n"/>
      <c r="AE30" s="1022" t="n"/>
      <c r="AF30" s="6774" t="n"/>
      <c r="AG30" s="6774" t="n"/>
      <c r="AH30" s="1022" t="n"/>
      <c r="AI30" s="1022" t="n"/>
      <c r="AJ30" s="3136" t="n"/>
    </row>
    <row r="31" ht="13.5" customHeight="1" s="7635" thickBot="1">
      <c r="A31" s="139" t="n"/>
      <c r="B31" s="2753" t="n"/>
      <c r="C31" s="3097" t="n"/>
      <c r="D31" s="8076" t="n"/>
      <c r="E31" s="11990" t="n"/>
      <c r="F31" s="11990" t="n"/>
      <c r="G31" s="11990" t="n"/>
      <c r="H31" s="11990" t="n"/>
      <c r="I31" s="11990" t="n"/>
      <c r="J31" s="11990" t="n"/>
      <c r="K31" s="11990" t="n"/>
      <c r="L31" s="6820" t="n"/>
      <c r="M31" s="6777" t="n"/>
      <c r="N31" s="6841" t="n"/>
      <c r="O31" s="6805" t="n"/>
      <c r="P31" s="6842" t="n"/>
      <c r="Q31" s="6777" t="n"/>
      <c r="R31" s="6803" t="n"/>
      <c r="S31" s="7453" t="n"/>
      <c r="T31" s="9799" t="n">
        <v>375000</v>
      </c>
      <c r="W31" s="6779" t="inlineStr">
        <is>
          <t>3.</t>
        </is>
      </c>
      <c r="X31" s="10297" t="inlineStr">
        <is>
          <t>Mandatory contributions you made to state disability benefit funds, temporary disability benefit funds, etc.</t>
        </is>
      </c>
      <c r="Y31" s="1022" t="n"/>
      <c r="Z31" s="1022" t="n"/>
      <c r="AA31" s="1022" t="n"/>
      <c r="AB31" s="1022" t="n"/>
      <c r="AC31" s="1022" t="n"/>
      <c r="AD31" s="1022" t="n"/>
      <c r="AE31" s="1022" t="n"/>
      <c r="AF31" s="6774" t="n"/>
      <c r="AG31" s="6774" t="n"/>
      <c r="AH31" s="1022" t="n"/>
      <c r="AI31" s="1022" t="n"/>
      <c r="AJ31" s="3136" t="n"/>
    </row>
    <row r="32" ht="13.5" customHeight="1" s="7635" thickBot="1">
      <c r="A32" s="139" t="n"/>
      <c r="B32" s="2753" t="n"/>
      <c r="C32" s="3097" t="n"/>
      <c r="D32" s="8076" t="n"/>
      <c r="E32" s="11990" t="n"/>
      <c r="F32" s="11990" t="n"/>
      <c r="G32" s="11990" t="n"/>
      <c r="H32" s="11990" t="n"/>
      <c r="I32" s="11990" t="n"/>
      <c r="J32" s="11990" t="n"/>
      <c r="K32" s="11990" t="n"/>
      <c r="L32" s="6820" t="n"/>
      <c r="M32" s="8230" t="n">
        <v>6</v>
      </c>
      <c r="N32" s="802" t="n"/>
      <c r="O32" s="6805" t="n"/>
      <c r="P32" s="6842" t="n"/>
      <c r="Q32" s="6777" t="n"/>
      <c r="R32" s="213" t="n"/>
      <c r="S32" s="7453" t="n"/>
      <c r="T32" s="6843" t="inlineStr">
        <is>
          <t>(dd-mmm-yyyy)</t>
        </is>
      </c>
      <c r="W32" s="6779" t="n"/>
      <c r="X32" s="10297" t="inlineStr">
        <is>
          <t>(See instructions.)</t>
        </is>
      </c>
      <c r="Y32" s="1022" t="n"/>
      <c r="Z32" s="1022" t="n"/>
      <c r="AA32" s="1022" t="n"/>
      <c r="AB32" s="1022" t="n"/>
      <c r="AC32" s="1022" t="n"/>
      <c r="AD32" s="1022" t="n"/>
      <c r="AE32" s="1022" t="n"/>
      <c r="AF32" s="6774" t="n"/>
      <c r="AG32" s="6774" t="n"/>
      <c r="AH32" s="1022" t="n"/>
      <c r="AI32" s="6701" t="n"/>
      <c r="AJ32" s="3136" t="n"/>
    </row>
    <row r="33" ht="13.5" customHeight="1" s="7635" thickBot="1">
      <c r="A33" s="139" t="n"/>
      <c r="B33" s="3108" t="n"/>
      <c r="C33" s="3108" t="n">
        <v>7</v>
      </c>
      <c r="D33" s="3109" t="inlineStr">
        <is>
          <t>Add lines 5e and 6</t>
        </is>
      </c>
      <c r="E33" s="5212" t="n"/>
      <c r="F33" s="5212" t="n"/>
      <c r="G33" s="5212" t="n"/>
      <c r="H33" s="5212" t="n"/>
      <c r="I33" s="3565" t="n"/>
      <c r="J33" s="3565" t="n"/>
      <c r="K33" s="5215" t="n"/>
      <c r="L33" s="5215" t="n"/>
      <c r="M33" s="3565" t="n"/>
      <c r="N33" s="6811" t="inlineStr">
        <is>
          <t>.   .   .   .   .   .   .   .   .   .   .   .   .   .   .   .   .   .   .   .   .   .   .   .   .   .   .   .   .</t>
        </is>
      </c>
      <c r="O33" s="2773" t="n">
        <v>7</v>
      </c>
      <c r="P33" s="6812">
        <f>IF(R33&lt;&gt;"",ROUND(R33,0),IF(SchA_Blank,"",SUM(N29,ROUND(N32,0))))</f>
        <v/>
      </c>
      <c r="Q33" s="6777" t="n"/>
      <c r="R33" s="213" t="n"/>
      <c r="S33" s="7453" t="n"/>
      <c r="T33" s="6844" t="n">
        <v>43084</v>
      </c>
      <c r="W33" s="6779" t="n"/>
      <c r="X33" s="10297" t="n"/>
      <c r="Y33" s="1022" t="n"/>
      <c r="Z33" s="1022" t="n"/>
      <c r="AA33" s="1022" t="n"/>
      <c r="AB33" s="1022" t="n"/>
      <c r="AC33" s="1022" t="n"/>
      <c r="AD33" s="10297" t="inlineStr">
        <is>
          <t>Note:</t>
        </is>
      </c>
      <c r="AE33" s="1022" t="n"/>
      <c r="AF33" s="6774" t="n"/>
      <c r="AG33" s="6774" t="n"/>
      <c r="AH33" s="1022" t="n"/>
      <c r="AI33" s="1022" t="n"/>
      <c r="AJ33" s="3136" t="n"/>
    </row>
    <row r="34" ht="15.75" customHeight="1" s="7635">
      <c r="A34" s="139" t="n"/>
      <c r="B34" s="3574" t="inlineStr">
        <is>
          <t>Interest</t>
        </is>
      </c>
      <c r="C34" s="3097" t="n">
        <v>8</v>
      </c>
      <c r="D34" s="2826" t="n"/>
      <c r="E34" s="8647" t="inlineStr">
        <is>
          <t>Home mortgage interest and points. If you didn't use all of your</t>
        </is>
      </c>
      <c r="F34" s="8665" t="n"/>
      <c r="G34" s="8665" t="n"/>
      <c r="H34" s="8665" t="n"/>
      <c r="I34" s="3097" t="n"/>
      <c r="J34" s="3097" t="n"/>
      <c r="K34" s="6845" t="n"/>
      <c r="L34" s="6845" t="n"/>
      <c r="M34" s="6801" t="n"/>
      <c r="N34" s="6846" t="n"/>
      <c r="O34" s="6777" t="n"/>
      <c r="P34" s="6847" t="n"/>
      <c r="Q34" s="6777" t="n"/>
      <c r="R34" s="6803" t="n"/>
      <c r="S34" s="7453" t="n"/>
      <c r="T34" s="6844" t="n"/>
      <c r="W34" s="6779" t="inlineStr">
        <is>
          <t>4.</t>
        </is>
      </c>
      <c r="X34" s="10297">
        <f>"Other SALT paid in "&amp;TaxYear&amp;" but not reported elsewhere."</f>
        <v/>
      </c>
      <c r="Y34" s="1022" t="n"/>
      <c r="Z34" s="1022" t="n"/>
      <c r="AA34" s="1022" t="n"/>
      <c r="AB34" s="1022" t="n"/>
      <c r="AC34" s="1022" t="n"/>
      <c r="AD34" s="7326" t="n"/>
      <c r="AE34" s="11717" t="n"/>
      <c r="AF34" s="11717" t="n"/>
      <c r="AG34" s="11717" t="n"/>
      <c r="AH34" s="1022" t="n"/>
      <c r="AI34" s="6701" t="n"/>
      <c r="AJ34" s="3136" t="n"/>
    </row>
    <row r="35" ht="12.75" customHeight="1" s="7635">
      <c r="A35" s="139" t="n"/>
      <c r="B35" s="3574" t="inlineStr">
        <is>
          <t>You Paid</t>
        </is>
      </c>
      <c r="C35" s="3097" t="n"/>
      <c r="D35" s="8665" t="n"/>
      <c r="E35" s="8647" t="inlineStr">
        <is>
          <t>home mortgage loan(s) to buy, build, or improve your home,</t>
        </is>
      </c>
      <c r="F35" s="8665" t="n"/>
      <c r="G35" s="8665" t="n"/>
      <c r="H35" s="8665" t="n"/>
      <c r="I35" s="3097" t="n"/>
      <c r="J35" s="3097" t="n"/>
      <c r="K35" s="6816" t="n"/>
      <c r="L35" s="6848" t="n"/>
      <c r="M35" s="6805" t="n"/>
      <c r="N35" s="6849" t="n"/>
      <c r="O35" s="6805" t="n"/>
      <c r="P35" s="6850" t="n"/>
      <c r="Q35" s="6777" t="n"/>
      <c r="R35" s="6803" t="n"/>
      <c r="S35" s="7453" t="n"/>
      <c r="T35" s="9799" t="n">
        <v>1000000</v>
      </c>
      <c r="W35" s="3137" t="n"/>
      <c r="X35" s="3048" t="n"/>
      <c r="Y35" s="1022" t="n"/>
      <c r="Z35" s="1022" t="n"/>
      <c r="AA35" s="1022" t="n"/>
      <c r="AB35" s="1022" t="n"/>
      <c r="AC35" s="1022" t="n"/>
      <c r="AD35" s="1022" t="n"/>
      <c r="AE35" s="1022" t="n"/>
      <c r="AF35" s="6774" t="n"/>
      <c r="AG35" s="6774" t="n"/>
      <c r="AH35" s="6774" t="n"/>
      <c r="AI35" s="6774" t="n"/>
      <c r="AJ35" s="3136" t="n"/>
    </row>
    <row r="36" ht="12.75" customHeight="1" s="7635" thickBot="1">
      <c r="A36" s="139" t="n"/>
      <c r="B36" s="2753" t="n"/>
      <c r="C36" s="3097" t="n"/>
      <c r="D36" s="8665" t="n"/>
      <c r="E36" s="8647" t="inlineStr">
        <is>
          <t>see instructions and check this box</t>
        </is>
      </c>
      <c r="F36" s="8665" t="n"/>
      <c r="G36" s="8665" t="n"/>
      <c r="H36" s="8665" t="n"/>
      <c r="I36" s="3097" t="n"/>
      <c r="J36" s="3016" t="inlineStr">
        <is>
          <t xml:space="preserve">.   .   .   .   .   .   .   .   .  </t>
        </is>
      </c>
      <c r="K36" s="7497" t="n"/>
      <c r="L36" s="1811" t="n"/>
      <c r="M36" s="6805" t="n"/>
      <c r="N36" s="6849" t="n"/>
      <c r="O36" s="6805" t="n"/>
      <c r="P36" s="6850" t="n"/>
      <c r="Q36" s="6777" t="n"/>
      <c r="R36" s="6803" t="n"/>
      <c r="S36" s="7453" t="n"/>
      <c r="T36" s="9799" t="n">
        <v>500000</v>
      </c>
      <c r="W36" s="6779" t="inlineStr">
        <is>
          <t>5.</t>
        </is>
      </c>
      <c r="X36" s="10297" t="inlineStr">
        <is>
          <t xml:space="preserve">Additional State and Local Income Taxes Paid.   Add lines 1 through 4.  </t>
        </is>
      </c>
      <c r="Y36" s="1022" t="n"/>
      <c r="Z36" s="1022" t="n"/>
      <c r="AA36" s="1022" t="n"/>
      <c r="AB36" s="1022" t="n"/>
      <c r="AC36" s="1022" t="n"/>
      <c r="AD36" s="1022" t="n"/>
      <c r="AE36" s="1022" t="n"/>
      <c r="AF36" s="6774" t="n"/>
      <c r="AG36" s="6774" t="n"/>
      <c r="AH36" s="1022" t="n"/>
      <c r="AI36" s="1022" t="n"/>
      <c r="AJ36" s="3136" t="n"/>
    </row>
    <row r="37" ht="12.75" customHeight="1" s="7635" thickBot="1">
      <c r="A37" s="139" t="n"/>
      <c r="B37" s="8057" t="inlineStr">
        <is>
          <t>Caution:  Your mortgage interest deduction may be limited. See instructions.</t>
        </is>
      </c>
      <c r="C37" s="3097" t="n"/>
      <c r="D37" s="2984" t="inlineStr">
        <is>
          <t>a</t>
        </is>
      </c>
      <c r="E37" s="8647" t="inlineStr">
        <is>
          <t>Home mortgage interest and points reported to you on Form 1098.</t>
        </is>
      </c>
      <c r="F37" s="8665" t="n"/>
      <c r="G37" s="8665" t="n"/>
      <c r="H37" s="8665" t="n"/>
      <c r="I37" s="3097" t="n"/>
      <c r="J37" s="3097" t="n"/>
      <c r="K37" s="6816" t="n"/>
      <c r="L37" s="6848" t="n"/>
      <c r="M37" s="6805" t="n"/>
      <c r="N37" s="6849" t="n"/>
      <c r="O37" s="6805" t="n"/>
      <c r="P37" s="6850" t="n"/>
      <c r="Q37" s="6777" t="n"/>
      <c r="R37" s="6803" t="n"/>
      <c r="S37" s="11612" t="inlineStr">
        <is>
          <t>8a</t>
        </is>
      </c>
      <c r="T37" s="6235" t="n"/>
      <c r="W37" s="3137" t="n"/>
      <c r="X37" s="10297" t="inlineStr">
        <is>
          <t xml:space="preserve"> If box 5a (for General Sales Tax) is NOT checked, these amounts will be added into Line 5a.</t>
        </is>
      </c>
      <c r="Y37" s="1022" t="n"/>
      <c r="Z37" s="1022" t="n"/>
      <c r="AA37" s="1022" t="n"/>
      <c r="AB37" s="1022" t="n"/>
      <c r="AC37" s="1022" t="n"/>
      <c r="AD37" s="1022" t="n"/>
      <c r="AE37" s="1022" t="n"/>
      <c r="AF37" s="6774" t="n"/>
      <c r="AG37" s="6774" t="n"/>
      <c r="AH37" s="1022" t="n"/>
      <c r="AI37" s="6804">
        <f>IF(AND(AI26="",AI29="",AI32="",AI34=""),"",ROUND(SUM(AI26,AI29,AI32,AI34),0))</f>
        <v/>
      </c>
      <c r="AJ37" s="3136" t="n"/>
    </row>
    <row r="38" ht="13.5" customHeight="1" s="7635" thickBot="1">
      <c r="A38" s="139" t="n"/>
      <c r="C38" s="762" t="n"/>
      <c r="D38" s="779" t="n"/>
      <c r="E38" s="1051" t="inlineStr">
        <is>
          <t>See instructions if limited</t>
        </is>
      </c>
      <c r="F38" s="780" t="n"/>
      <c r="G38" s="780" t="n"/>
      <c r="H38" s="780" t="n"/>
      <c r="I38" s="780" t="n"/>
      <c r="J38" s="780" t="n"/>
      <c r="K38" s="3016" t="n"/>
      <c r="L38" s="3016" t="inlineStr">
        <is>
          <t xml:space="preserve">.   .   .   .   .   .   .   .   .   .   .   .   .   .   .   .   .  </t>
        </is>
      </c>
      <c r="M38" s="8230" t="inlineStr">
        <is>
          <t>8a</t>
        </is>
      </c>
      <c r="N38" s="8203">
        <f>IF(SchA_Blank,"",MIN(T42,ROUND(T37,0)))</f>
        <v/>
      </c>
      <c r="O38" s="6805" t="n"/>
      <c r="P38" s="6850" t="n"/>
      <c r="Q38" s="6777" t="n"/>
      <c r="R38" s="6803" t="n"/>
      <c r="S38" s="7453" t="n"/>
      <c r="T38" s="1201" t="inlineStr">
        <is>
          <t>Home mortgage interest</t>
        </is>
      </c>
      <c r="W38" s="6851" t="n"/>
      <c r="X38" s="6815" t="n"/>
      <c r="Y38" s="6815" t="n"/>
      <c r="Z38" s="6815" t="n"/>
      <c r="AA38" s="6815" t="n"/>
      <c r="AB38" s="6815" t="n"/>
      <c r="AC38" s="6815" t="n"/>
      <c r="AD38" s="6815" t="n"/>
      <c r="AE38" s="6815" t="n"/>
      <c r="AF38" s="6852" t="n"/>
      <c r="AG38" s="6852" t="n"/>
      <c r="AH38" s="6815" t="n"/>
      <c r="AI38" s="6815" t="n"/>
      <c r="AJ38" s="3174" t="n"/>
    </row>
    <row r="39" ht="13.5" customHeight="1" s="7635" thickBot="1">
      <c r="A39" s="139" t="n"/>
      <c r="C39" s="3097" t="n"/>
      <c r="D39" s="2984" t="inlineStr">
        <is>
          <t>b</t>
        </is>
      </c>
      <c r="E39" s="1051" t="inlineStr">
        <is>
          <t>Home mortgage interest not reported to you on Form 1098.  See</t>
        </is>
      </c>
      <c r="F39" s="780" t="n"/>
      <c r="G39" s="780" t="n"/>
      <c r="H39" s="780" t="n"/>
      <c r="I39" s="780" t="n"/>
      <c r="J39" s="780" t="n"/>
      <c r="K39" s="6820" t="n"/>
      <c r="L39" s="6821" t="n"/>
      <c r="M39" s="6805" t="n"/>
      <c r="N39" s="6847" t="n"/>
      <c r="O39" s="6805" t="n"/>
      <c r="P39" s="6847" t="n"/>
      <c r="Q39" s="6777" t="n"/>
      <c r="R39" s="6803" t="n"/>
      <c r="S39" s="7453" t="n"/>
    </row>
    <row r="40" ht="15.75" customHeight="1" s="7635" thickBot="1">
      <c r="A40" s="139" t="n"/>
      <c r="C40" s="3097" t="n"/>
      <c r="D40" s="781" t="n"/>
      <c r="E40" s="1051" t="inlineStr">
        <is>
          <t>instructions if limited. If paid to the person from whom you bought the</t>
        </is>
      </c>
      <c r="F40" s="780" t="n"/>
      <c r="G40" s="780" t="n"/>
      <c r="H40" s="780" t="n"/>
      <c r="I40" s="780" t="n"/>
      <c r="J40" s="780" t="n"/>
      <c r="K40" s="6820" t="n"/>
      <c r="L40" s="6821" t="n"/>
      <c r="M40" s="6805" t="n"/>
      <c r="N40" s="6847" t="n"/>
      <c r="O40" s="6805" t="n"/>
      <c r="P40" s="6847" t="n"/>
      <c r="Q40" s="6777" t="n"/>
      <c r="R40" s="6803" t="n"/>
      <c r="S40" s="8788" t="n"/>
      <c r="T40" s="12029" t="n"/>
      <c r="W40" s="6825" t="n"/>
      <c r="X40" s="496" t="n"/>
      <c r="Y40" s="377" t="n"/>
      <c r="Z40" s="377" t="n"/>
      <c r="AA40" s="377" t="n"/>
      <c r="AB40" s="377" t="n"/>
      <c r="AC40" s="377" t="n"/>
      <c r="AD40" s="377" t="n"/>
      <c r="AE40" s="6853" t="n"/>
      <c r="AF40" s="377" t="n"/>
      <c r="AG40" s="6853" t="n"/>
      <c r="AH40" s="6853" t="n"/>
      <c r="AI40" s="6853" t="n"/>
      <c r="AJ40" s="378" t="n"/>
    </row>
    <row r="41" ht="16.5" customHeight="1" s="7635" thickBot="1">
      <c r="A41" s="139" t="n"/>
      <c r="C41" s="3097" t="n"/>
      <c r="D41" s="781" t="n"/>
      <c r="E41" s="1051" t="inlineStr">
        <is>
          <t>home, see instructions and show that person's name, identifying no.,</t>
        </is>
      </c>
      <c r="F41" s="780" t="n"/>
      <c r="G41" s="780" t="n"/>
      <c r="H41" s="780" t="n"/>
      <c r="I41" s="780" t="n"/>
      <c r="J41" s="780" t="n"/>
      <c r="K41" s="6820" t="n"/>
      <c r="L41" s="6821" t="n"/>
      <c r="M41" s="6805" t="n"/>
      <c r="N41" s="6847" t="n"/>
      <c r="O41" s="6805" t="n"/>
      <c r="P41" s="6847" t="n"/>
      <c r="Q41" s="6777" t="n"/>
      <c r="R41" s="6803" t="n"/>
      <c r="S41" s="7453" t="n"/>
      <c r="T41" s="8890">
        <f>IF(AND(N38&lt;&gt;"",T40=""),"Enter Loan Date","Date of Loan")</f>
        <v/>
      </c>
      <c r="W41" s="6826" t="inlineStr">
        <is>
          <t>State and Local General Sales Tax Deduction Worksheet—Line 5a</t>
        </is>
      </c>
      <c r="X41" s="6248" t="n"/>
      <c r="Y41" s="11602" t="n"/>
      <c r="Z41" s="11602" t="n"/>
      <c r="AA41" s="11602" t="n"/>
      <c r="AB41" s="11602" t="n"/>
      <c r="AC41" s="11602" t="n"/>
      <c r="AD41" s="11602" t="n"/>
      <c r="AE41" s="2320" t="n"/>
      <c r="AF41" s="11602" t="n"/>
      <c r="AG41" s="2320" t="n"/>
      <c r="AH41" s="2320" t="n"/>
      <c r="AI41" s="2320" t="n"/>
      <c r="AJ41" s="379" t="n"/>
    </row>
    <row r="42" ht="15.75" customHeight="1" s="7635" thickBot="1">
      <c r="A42" s="139" t="n"/>
      <c r="C42" s="3097" t="n"/>
      <c r="D42" s="781" t="n"/>
      <c r="E42" s="1051" t="inlineStr">
        <is>
          <t>and address</t>
        </is>
      </c>
      <c r="F42" s="780" t="n"/>
      <c r="G42" s="780" t="n"/>
      <c r="H42" s="780" t="n"/>
      <c r="I42" s="780" t="n"/>
      <c r="J42" s="780" t="n"/>
      <c r="K42" s="3016" t="n"/>
      <c r="L42" s="3016" t="inlineStr">
        <is>
          <t xml:space="preserve">.   .   .   .   .   .   .   .   .   .   .   .   .   .   .   .   .   .   .   .   .   .   .   .  </t>
        </is>
      </c>
      <c r="M42" s="8230" t="inlineStr">
        <is>
          <t>8b</t>
        </is>
      </c>
      <c r="N42" s="802" t="n"/>
      <c r="O42" s="6805" t="n"/>
      <c r="P42" s="6847" t="n"/>
      <c r="Q42" s="6777" t="n"/>
      <c r="R42" s="6803" t="n"/>
      <c r="S42" s="7453" t="n"/>
      <c r="T42" s="6854">
        <f>IF(AND(T45,File_Marr_Sep&lt;&gt;""),T31,IF(T45,T30,IF(File_Marr_Sep&lt;&gt;"",T36,T35)))</f>
        <v/>
      </c>
      <c r="W42" s="6855" t="n"/>
      <c r="X42" s="6248" t="n"/>
      <c r="Y42" s="11602" t="n"/>
      <c r="Z42" s="11602" t="n"/>
      <c r="AA42" s="11602" t="n"/>
      <c r="AB42" s="11602" t="n"/>
      <c r="AC42" s="11602" t="n"/>
      <c r="AD42" s="11602" t="n"/>
      <c r="AE42" s="2320" t="n"/>
      <c r="AF42" s="11602" t="n"/>
      <c r="AG42" s="2320" t="n"/>
      <c r="AH42" s="2320" t="n"/>
      <c r="AI42" s="2320" t="n"/>
      <c r="AJ42" s="379" t="n"/>
    </row>
    <row r="43" ht="15.75" customHeight="1" s="7635">
      <c r="A43" s="139" t="n"/>
      <c r="B43" s="6856" t="n"/>
      <c r="C43" s="3097" t="n"/>
      <c r="D43" s="781" t="n"/>
      <c r="E43" s="8052" t="n"/>
      <c r="F43" s="11730" t="n"/>
      <c r="G43" s="11730" t="n"/>
      <c r="H43" s="11730" t="n"/>
      <c r="I43" s="11730" t="n"/>
      <c r="J43" s="11730" t="n"/>
      <c r="K43" s="6820" t="n"/>
      <c r="L43" s="6821" t="n"/>
      <c r="M43" s="6805" t="n"/>
      <c r="N43" s="6847" t="n"/>
      <c r="O43" s="6805" t="n"/>
      <c r="P43" s="6847" t="n"/>
      <c r="Q43" s="6777" t="n"/>
      <c r="R43" s="6803" t="n"/>
      <c r="S43" s="7453" t="n"/>
      <c r="T43" s="8890" t="inlineStr">
        <is>
          <t>Debt Limit</t>
        </is>
      </c>
      <c r="W43" s="6826" t="n"/>
      <c r="X43" s="11602" t="n"/>
      <c r="Y43" s="4521" t="inlineStr">
        <is>
          <t>Instead of using this worksheet, you can find your deduction by using the Sales Tax Deduction Calculator at IRS.gov/SalesTax.</t>
        </is>
      </c>
      <c r="Z43" s="11602" t="n"/>
      <c r="AA43" s="11602" t="n"/>
      <c r="AB43" s="11602" t="n"/>
      <c r="AC43" s="11602" t="n"/>
      <c r="AD43" s="11602" t="n"/>
      <c r="AE43" s="2320" t="n"/>
      <c r="AF43" s="11602" t="n"/>
      <c r="AG43" s="2320" t="n"/>
      <c r="AH43" s="2320" t="n"/>
      <c r="AI43" s="2320" t="n"/>
      <c r="AJ43" s="379" t="n"/>
    </row>
    <row r="44" ht="13.5" customHeight="1" s="7635" thickBot="1">
      <c r="A44" s="139" t="n"/>
      <c r="B44" s="6856" t="n"/>
      <c r="C44" s="3097" t="n"/>
      <c r="D44" s="781" t="n"/>
      <c r="E44" s="8053" t="n"/>
      <c r="F44" s="12030" t="n"/>
      <c r="G44" s="12030" t="n"/>
      <c r="H44" s="12030" t="n"/>
      <c r="I44" s="12030" t="n"/>
      <c r="J44" s="12030" t="n"/>
      <c r="K44" s="6820" t="n"/>
      <c r="L44" s="6821" t="n"/>
      <c r="M44" s="6805" t="n"/>
      <c r="N44" s="6847" t="n"/>
      <c r="O44" s="6805" t="n"/>
      <c r="P44" s="6847" t="n"/>
      <c r="Q44" s="6777" t="n"/>
      <c r="R44" s="6803" t="n"/>
      <c r="S44" s="7453" t="n"/>
      <c r="T44" s="7834">
        <f>AND(T37&lt;&gt;"",T37&gt;T42)</f>
        <v/>
      </c>
      <c r="W44" s="6829" t="n"/>
      <c r="X44" s="380" t="n"/>
      <c r="Y44" s="380" t="n"/>
      <c r="Z44" s="380" t="n"/>
      <c r="AA44" s="380" t="n"/>
      <c r="AB44" s="380" t="n"/>
      <c r="AC44" s="380" t="n"/>
      <c r="AD44" s="380" t="n"/>
      <c r="AE44" s="380" t="n"/>
      <c r="AF44" s="380" t="n"/>
      <c r="AG44" s="380" t="n"/>
      <c r="AH44" s="380" t="n"/>
      <c r="AI44" s="380" t="n"/>
      <c r="AJ44" s="381" t="n"/>
    </row>
    <row r="45" ht="18.75" customHeight="1" s="7635" thickBot="1">
      <c r="A45" s="139" t="n"/>
      <c r="B45" s="6856" t="n"/>
      <c r="C45" s="3097" t="n"/>
      <c r="D45" s="2984" t="inlineStr">
        <is>
          <t>c</t>
        </is>
      </c>
      <c r="E45" s="8647" t="inlineStr">
        <is>
          <t>Points not reported to you on Form 1098. See instructions for</t>
        </is>
      </c>
      <c r="F45" s="780" t="n"/>
      <c r="G45" s="780" t="n"/>
      <c r="H45" s="780" t="n"/>
      <c r="I45" s="780" t="n"/>
      <c r="J45" s="780" t="n"/>
      <c r="K45" s="6820" t="n"/>
      <c r="L45" s="6821" t="n"/>
      <c r="M45" s="6805" t="n"/>
      <c r="N45" s="6847" t="n"/>
      <c r="O45" s="6805" t="n"/>
      <c r="P45" s="6847" t="n"/>
      <c r="Q45" s="6777" t="n"/>
      <c r="R45" s="6803" t="n"/>
      <c r="S45" s="7453" t="n"/>
      <c r="T45" s="7834">
        <f>T40&gt;T33</f>
        <v/>
      </c>
      <c r="W45" s="3137" t="n"/>
      <c r="X45" s="1022" t="n"/>
      <c r="Y45" s="1022" t="n"/>
      <c r="Z45" s="6857" t="n"/>
      <c r="AA45" s="1022" t="n"/>
      <c r="AB45" s="1022" t="n"/>
      <c r="AC45" s="1022" t="n"/>
      <c r="AD45" s="1022" t="n"/>
      <c r="AE45" s="6774" t="n"/>
      <c r="AF45" s="1022" t="n"/>
      <c r="AG45" s="6774" t="n"/>
      <c r="AH45" s="1022" t="n"/>
      <c r="AI45" s="1022" t="n"/>
      <c r="AJ45" s="3136" t="n"/>
    </row>
    <row r="46" ht="13.5" customHeight="1" s="7635" thickBot="1">
      <c r="A46" s="139" t="n"/>
      <c r="B46" s="404" t="n"/>
      <c r="C46" s="3097" t="n"/>
      <c r="D46" s="781" t="n"/>
      <c r="E46" s="8647" t="inlineStr">
        <is>
          <t xml:space="preserve">special rules </t>
        </is>
      </c>
      <c r="F46" s="780" t="n"/>
      <c r="G46" s="780" t="n"/>
      <c r="H46" s="780" t="n"/>
      <c r="I46" s="780" t="n"/>
      <c r="J46" s="780" t="n"/>
      <c r="K46" s="3016" t="n"/>
      <c r="L46" s="3016" t="inlineStr">
        <is>
          <t xml:space="preserve">.   .   .   .   .   .   .   .   .   .   .   .   .   .   .   .   .   .   .   .   .   .   .   .   .  </t>
        </is>
      </c>
      <c r="M46" s="8230" t="inlineStr">
        <is>
          <t>8c</t>
        </is>
      </c>
      <c r="N46" s="802" t="n"/>
      <c r="O46" s="6805" t="n"/>
      <c r="P46" s="6847" t="n"/>
      <c r="Q46" s="6777" t="n"/>
      <c r="R46" s="6803" t="n"/>
      <c r="S46" s="8788" t="n"/>
      <c r="T46" s="1200" t="n"/>
      <c r="W46" s="6858" t="inlineStr">
        <is>
          <t>Before you begin:</t>
        </is>
      </c>
      <c r="X46" s="1022" t="n"/>
      <c r="Y46" s="1022" t="n"/>
      <c r="Z46" s="1022" t="n"/>
      <c r="AA46" s="1022" t="inlineStr">
        <is>
          <t>See the instructions for line 1 of the worksheet if you:</t>
        </is>
      </c>
      <c r="AB46" s="1022" t="n"/>
      <c r="AC46" s="1022" t="n"/>
      <c r="AD46" s="1022" t="n"/>
      <c r="AE46" s="7235" t="n"/>
      <c r="AF46" s="1022" t="n"/>
      <c r="AG46" s="6859">
        <f>OR(AE46="CT",AE46="DC",AE46="IN",AE46="KY",AE46="MA",AE46="MD",AE46="MA",AE46="MI",AE46="NJ",AE46="RI")</f>
        <v/>
      </c>
      <c r="AH46" s="1022" t="n"/>
      <c r="AI46" s="1022" t="n"/>
      <c r="AJ46" s="3136" t="n"/>
    </row>
    <row r="47" ht="45" customHeight="1" s="7635">
      <c r="A47" s="139" t="n"/>
      <c r="B47" s="404" t="n"/>
      <c r="C47" s="3097" t="n"/>
      <c r="D47" s="2984" t="inlineStr">
        <is>
          <t>d</t>
        </is>
      </c>
      <c r="E47" s="8647" t="inlineStr">
        <is>
          <t>Reserved for future use</t>
        </is>
      </c>
      <c r="F47" s="8665" t="n"/>
      <c r="G47" s="8665" t="n"/>
      <c r="H47" s="8665" t="n"/>
      <c r="I47" s="3097" t="n"/>
      <c r="J47" s="3097" t="n"/>
      <c r="K47" s="3016" t="n"/>
      <c r="L47" s="3016" t="inlineStr">
        <is>
          <t xml:space="preserve">.   .   .   .   .   .   .   .   .   .   .   .   .   .   .   .  </t>
        </is>
      </c>
      <c r="M47" s="8230" t="inlineStr">
        <is>
          <t>8d</t>
        </is>
      </c>
      <c r="N47" s="6860" t="n"/>
      <c r="O47" s="6805" t="n"/>
      <c r="P47" s="6861" t="n"/>
      <c r="Q47" s="1251" t="n"/>
      <c r="R47" s="6862" t="n"/>
      <c r="S47" s="7453" t="n"/>
      <c r="T47" s="8788" t="inlineStr">
        <is>
          <t>Mortgage Insurance</t>
        </is>
      </c>
      <c r="W47" s="3137" t="n"/>
      <c r="X47" s="1022" t="n"/>
      <c r="Y47" s="1022" t="n"/>
      <c r="Z47" s="6863" t="inlineStr">
        <is>
          <t>P
P</t>
        </is>
      </c>
      <c r="AA47" s="8080" t="inlineStr">
        <is>
          <t>Lived in more than one state during 2025, or
Had any nontaxable income in 2025.</t>
        </is>
      </c>
      <c r="AE47" s="6864" t="inlineStr">
        <is>
          <t>Enter state
(Abbr.)</t>
        </is>
      </c>
      <c r="AF47" s="1022" t="n"/>
      <c r="AG47" s="6774" t="n"/>
      <c r="AH47" s="1022" t="n"/>
      <c r="AI47" s="1022" t="n"/>
      <c r="AJ47" s="3136" t="n"/>
    </row>
    <row r="48">
      <c r="A48" s="139" t="n"/>
      <c r="B48" s="404" t="n"/>
      <c r="C48" s="3097" t="n"/>
      <c r="D48" s="2984" t="inlineStr">
        <is>
          <t>e</t>
        </is>
      </c>
      <c r="E48" s="8647" t="inlineStr">
        <is>
          <t>Add lines 8a through 8c</t>
        </is>
      </c>
      <c r="F48" s="8665" t="n"/>
      <c r="G48" s="8665" t="n"/>
      <c r="H48" s="8665" t="n"/>
      <c r="I48" s="3097" t="n"/>
      <c r="J48" s="3097" t="n"/>
      <c r="K48" s="3016" t="n"/>
      <c r="L48" s="3016" t="inlineStr">
        <is>
          <t xml:space="preserve">.   .   .   .   .   .   .   .   .   .   .   .   .   .   .   .  </t>
        </is>
      </c>
      <c r="M48" s="8230" t="inlineStr">
        <is>
          <t>8e</t>
        </is>
      </c>
      <c r="N48" s="6833">
        <f>IF(SchA_Blank,"",SUM(ROUND(N38,0),ROUND(N42,0),ROUND(N46,0)))</f>
        <v/>
      </c>
      <c r="O48" s="6805" t="n"/>
      <c r="P48" s="6861" t="n"/>
      <c r="Q48" s="6777" t="n"/>
      <c r="R48" s="6803" t="n"/>
      <c r="S48" s="7453" t="n"/>
      <c r="T48" s="8788" t="inlineStr">
        <is>
          <t>Premiums</t>
        </is>
      </c>
      <c r="W48" s="3137" t="inlineStr">
        <is>
          <t>1.</t>
        </is>
      </c>
      <c r="X48" s="10297">
        <f>"Enter your state general sales taxes from the "&amp;TaxYear&amp;" Optional State Sales Tax Table"</f>
        <v/>
      </c>
      <c r="Y48" s="1022" t="n"/>
      <c r="Z48" s="1022" t="n"/>
      <c r="AA48" s="1022" t="n"/>
      <c r="AB48" s="1022" t="n"/>
      <c r="AC48" s="1022" t="n"/>
      <c r="AD48" s="1022" t="n"/>
      <c r="AE48" s="6774" t="n"/>
      <c r="AF48" s="1022" t="n"/>
      <c r="AG48" s="6774" t="n"/>
      <c r="AH48" s="6780" t="inlineStr">
        <is>
          <t>1.</t>
        </is>
      </c>
      <c r="AI48" s="6234" t="n"/>
      <c r="AJ48" s="3136" t="n"/>
    </row>
    <row r="49" ht="13.5" customHeight="1" s="7635" thickBot="1">
      <c r="A49" s="139" t="n"/>
      <c r="B49" s="2753" t="n"/>
      <c r="C49" s="3097" t="n">
        <v>9</v>
      </c>
      <c r="D49" s="8665" t="n"/>
      <c r="E49" s="8647" t="inlineStr">
        <is>
          <t>Investment interest. Attach Form 4952 if required.  See instructions</t>
        </is>
      </c>
      <c r="F49" s="8665" t="n"/>
      <c r="G49" s="8665" t="n"/>
      <c r="H49" s="8665" t="n"/>
      <c r="I49" s="3097" t="n"/>
      <c r="J49" s="3097" t="n"/>
      <c r="K49" s="3016" t="n"/>
      <c r="L49" s="3016" t="n"/>
      <c r="M49" s="8230" t="n">
        <v>9</v>
      </c>
      <c r="N49" s="802" t="n"/>
      <c r="O49" s="6805" t="n"/>
      <c r="P49" s="6861" t="n"/>
      <c r="Q49" s="6777" t="n"/>
      <c r="R49" s="6803" t="n"/>
      <c r="S49" s="7453" t="n"/>
      <c r="T49" s="6783" t="n">
        <v>109000</v>
      </c>
      <c r="W49" s="3137" t="n"/>
      <c r="X49" s="8034" t="inlineStr">
        <is>
          <t>Next.</t>
        </is>
      </c>
      <c r="Z49" s="8033">
        <f>"If, for all of "&amp;TaxYear&amp;", you lived only in Connecticut, the District of Columbia, Indiana, Kentucky, Maine, Maryland,"</f>
        <v/>
      </c>
      <c r="AJ49" s="1066" t="n"/>
    </row>
    <row r="50" ht="13.5" customHeight="1" s="7635" thickBot="1">
      <c r="A50" s="139" t="n"/>
      <c r="B50" s="3108" t="n"/>
      <c r="C50" s="3108" t="n">
        <v>10</v>
      </c>
      <c r="D50" s="5212" t="n"/>
      <c r="E50" s="3109">
        <f>"Add lines "&amp;M48&amp;" and "&amp;M49</f>
        <v/>
      </c>
      <c r="F50" s="5212" t="n"/>
      <c r="G50" s="5212" t="n"/>
      <c r="H50" s="5212" t="n"/>
      <c r="I50" s="3565" t="n"/>
      <c r="J50" s="3565" t="n"/>
      <c r="K50" s="3565" t="n"/>
      <c r="L50" s="3565" t="n"/>
      <c r="M50" s="3565" t="n"/>
      <c r="N50" s="6811" t="inlineStr">
        <is>
          <t>.   .   .   .   .   .   .   .   .   .   .   .   .   .   .   .   .   .   .   .   .   .   .   .   .   .   .   .   .   .</t>
        </is>
      </c>
      <c r="O50" s="8230">
        <f>C50</f>
        <v/>
      </c>
      <c r="P50" s="6812">
        <f>IF(R50&lt;&gt;"",ROUND(R50,0),IF(SchA_Blank,"",SUM(N48,ROUND(N49,0))))</f>
        <v/>
      </c>
      <c r="Q50" s="6777" t="n"/>
      <c r="R50" s="213" t="n"/>
      <c r="S50" s="7453" t="n"/>
      <c r="T50" s="6783" t="n">
        <v>100000</v>
      </c>
      <c r="W50" s="3137" t="n"/>
      <c r="X50" s="10297" t="inlineStr">
        <is>
          <t>Massachusetts, Michigan, New Jersey, or Rhode Island, skip lines 2 through 5, enter -0- on line 6, and go to line 7.</t>
        </is>
      </c>
      <c r="Y50" s="1022" t="n"/>
      <c r="Z50" s="1022" t="n"/>
      <c r="AA50" s="1022" t="n"/>
      <c r="AB50" s="1022" t="n"/>
      <c r="AC50" s="1022" t="n"/>
      <c r="AD50" s="1022" t="n"/>
      <c r="AE50" s="6774" t="n"/>
      <c r="AF50" s="1022" t="n"/>
      <c r="AG50" s="6774" t="n"/>
      <c r="AH50" s="1022" t="n"/>
      <c r="AI50" s="6865">
        <f>IF(AI48&lt;&gt;"",ROUND(AI48,0),0)</f>
        <v/>
      </c>
      <c r="AJ50" s="3136" t="n"/>
    </row>
    <row r="51" ht="13.5" customHeight="1" s="7635">
      <c r="A51" s="139" t="n"/>
      <c r="B51" s="3574" t="inlineStr">
        <is>
          <t>Gifts to</t>
        </is>
      </c>
      <c r="C51" s="3097" t="n">
        <v>11</v>
      </c>
      <c r="D51" s="8651" t="inlineStr">
        <is>
          <t>Gifts by cash or check. If you made any gift of $250 or more, see</t>
        </is>
      </c>
      <c r="E51" s="8665" t="n"/>
      <c r="F51" s="8665" t="n"/>
      <c r="G51" s="8665" t="n"/>
      <c r="H51" s="8665" t="n"/>
      <c r="I51" s="3097" t="n"/>
      <c r="J51" s="3097" t="n"/>
      <c r="K51" s="6817" t="n"/>
      <c r="L51" s="6817" t="n"/>
      <c r="M51" s="6777" t="n"/>
      <c r="N51" s="6847" t="n"/>
      <c r="O51" s="6801" t="n"/>
      <c r="P51" s="6866">
        <f>IF(SchA_Blank,"",IF(AND($AG$151,$Q$55=""),"Your charitable",""))</f>
        <v/>
      </c>
      <c r="Q51" s="6777" t="n"/>
      <c r="R51" s="6803" t="n"/>
      <c r="S51" s="7453" t="n"/>
      <c r="T51" s="6783">
        <f>IF(File_Marr_Sep&lt;&gt;"",T50,T49)</f>
        <v/>
      </c>
      <c r="W51" s="3137" t="n"/>
      <c r="X51" s="10297" t="inlineStr">
        <is>
          <t>Otherwise, go to line 2.</t>
        </is>
      </c>
      <c r="Y51" s="1022" t="n"/>
      <c r="Z51" s="1022" t="n"/>
      <c r="AA51" s="1022" t="n"/>
      <c r="AB51" s="1022" t="n"/>
      <c r="AC51" s="1022" t="n"/>
      <c r="AD51" s="1022" t="n"/>
      <c r="AE51" s="6774" t="n"/>
      <c r="AF51" s="1022" t="n"/>
      <c r="AG51" s="6774" t="n"/>
      <c r="AH51" s="1022" t="n"/>
      <c r="AI51" s="1022" t="n"/>
      <c r="AJ51" s="3136" t="n"/>
    </row>
    <row r="52" ht="14.25" customHeight="1" s="7635">
      <c r="A52" s="139" t="n"/>
      <c r="B52" s="3574" t="inlineStr">
        <is>
          <t>Charity</t>
        </is>
      </c>
      <c r="C52" s="3097" t="n"/>
      <c r="D52" s="3602" t="inlineStr">
        <is>
          <t>instructions</t>
        </is>
      </c>
      <c r="E52" s="2770" t="n"/>
      <c r="F52" s="2770" t="n"/>
      <c r="G52" s="2770" t="n"/>
      <c r="H52" s="2770" t="n"/>
      <c r="I52" s="3097" t="n"/>
      <c r="J52" s="3097" t="n"/>
      <c r="K52" s="6867" t="n"/>
      <c r="L52" s="6867" t="inlineStr">
        <is>
          <t xml:space="preserve">.   .   .   .   .   .   .   .   .   .   .   .   .   .   .   .   .   .   .   .   .   .   .   . </t>
        </is>
      </c>
      <c r="M52" s="8230">
        <f>C51</f>
        <v/>
      </c>
      <c r="N52" s="802" t="n"/>
      <c r="O52" s="6805" t="n"/>
      <c r="P52" s="6866">
        <f>IF(SchA_Blank,"",IF(AND($AG$151,$Q$55=""),"contribution",""))</f>
        <v/>
      </c>
      <c r="Q52" s="6777" t="n"/>
      <c r="R52" s="6803" t="n"/>
      <c r="S52" s="7453" t="n"/>
      <c r="W52" s="3137" t="n"/>
      <c r="X52" s="10297" t="n"/>
      <c r="Y52" s="1022" t="n"/>
      <c r="Z52" s="1022" t="n"/>
      <c r="AA52" s="1022" t="n"/>
      <c r="AB52" s="1022" t="n"/>
      <c r="AC52" s="1022" t="n"/>
      <c r="AD52" s="1022" t="n"/>
      <c r="AE52" s="6774" t="n"/>
      <c r="AF52" s="1022" t="n"/>
      <c r="AG52" s="6774" t="n"/>
      <c r="AH52" s="1022" t="n"/>
      <c r="AI52" s="1022" t="n"/>
      <c r="AJ52" s="3136" t="n"/>
    </row>
    <row r="53" ht="16.5" customHeight="1" s="7635">
      <c r="A53" s="139" t="n"/>
      <c r="B53" s="12031" t="inlineStr">
        <is>
          <t>Caution: If you 
made a gift and
got a benefit for it, 
see instructions.</t>
        </is>
      </c>
      <c r="C53" s="3097" t="n">
        <v>12</v>
      </c>
      <c r="D53" s="2985" t="inlineStr">
        <is>
          <t>Other than by cash or check. If any gift of $250 or more,</t>
        </is>
      </c>
      <c r="E53" s="3054" t="n"/>
      <c r="F53" s="3054" t="n"/>
      <c r="G53" s="3054" t="n"/>
      <c r="H53" s="3054" t="n"/>
      <c r="I53" s="3097" t="n"/>
      <c r="J53" s="3097" t="n"/>
      <c r="K53" s="6820" t="n"/>
      <c r="L53" s="6821" t="n"/>
      <c r="M53" s="6777" t="n"/>
      <c r="N53" s="6847" t="n"/>
      <c r="O53" s="6805" t="n"/>
      <c r="P53" s="6866">
        <f>IF(SchA_Blank,"",IF(AND($AG$151,$Q$55=""),"may be limited.",""))</f>
        <v/>
      </c>
      <c r="Q53" s="6777" t="n"/>
      <c r="R53" s="6803" t="n"/>
      <c r="S53" s="7453" t="n"/>
      <c r="W53" s="6838" t="inlineStr">
        <is>
          <t>2.</t>
        </is>
      </c>
      <c r="X53" s="10297" t="inlineStr">
        <is>
          <t>Did you live in Alabama, Alaska, Arizona, Arkansas, Colorado, Georgia, Illinois, Kansas, Louisiana, Mississippi, Missouri, New York,</t>
        </is>
      </c>
      <c r="Y53" s="1022" t="n"/>
      <c r="Z53" s="1022" t="n"/>
      <c r="AA53" s="1022" t="n"/>
      <c r="AB53" s="1022" t="n"/>
      <c r="AC53" s="1022" t="n"/>
      <c r="AD53" s="1022" t="n"/>
      <c r="AE53" s="6774" t="n"/>
      <c r="AF53" s="1022" t="n"/>
      <c r="AG53" s="6774" t="n"/>
      <c r="AH53" s="1022" t="n"/>
      <c r="AI53" s="1022" t="n"/>
      <c r="AJ53" s="3136" t="n"/>
    </row>
    <row r="54" ht="16.5" customHeight="1" s="7635">
      <c r="A54" s="139" t="n"/>
      <c r="C54" s="3097" t="n"/>
      <c r="D54" s="3561" t="inlineStr">
        <is>
          <t>see instructions. You must attach Form 8283 if over $500</t>
        </is>
      </c>
      <c r="E54" s="5217" t="n"/>
      <c r="F54" s="5217" t="n"/>
      <c r="G54" s="5217" t="n"/>
      <c r="H54" s="5217" t="n"/>
      <c r="I54" s="3097" t="n"/>
      <c r="J54" s="3097" t="n"/>
      <c r="K54" s="3016" t="n"/>
      <c r="L54" s="3016" t="inlineStr">
        <is>
          <t xml:space="preserve">.   .   .   . </t>
        </is>
      </c>
      <c r="M54" s="2773">
        <f>C53</f>
        <v/>
      </c>
      <c r="N54" s="802" t="n"/>
      <c r="O54" s="6805" t="n"/>
      <c r="P54" s="6866">
        <f>IF(SchA_Blank,"",IF(AND($AG$151,$Q$55=""),"See 'Limits on",""))</f>
        <v/>
      </c>
      <c r="Q54" s="6777" t="n"/>
      <c r="R54" s="6803" t="n"/>
      <c r="S54" s="7453" t="n"/>
      <c r="W54" s="3137" t="n"/>
      <c r="X54" s="10297">
        <f>"North Carolina, South Carolina, Tennessee, Utah, or Virginia in "&amp;TaxYear&amp;"?"</f>
        <v/>
      </c>
      <c r="Y54" s="1022" t="n"/>
      <c r="Z54" s="1022" t="n"/>
      <c r="AA54" s="1022" t="n"/>
      <c r="AB54" s="1022" t="n"/>
      <c r="AC54" s="1022" t="n"/>
      <c r="AD54" s="1022" t="n"/>
      <c r="AE54" s="1022" t="n"/>
      <c r="AF54" s="1022" t="n"/>
      <c r="AG54" s="6774">
        <f>OR(AE46="AL",AE46="AK",AE46="AZ",AE46="AR",AE46="CO",AE46="GA",AE46="IL",AE46="KS",AE46="LA",AE46="MS",AE46="MO",AE46="NY",AE46="NC",AE46="SC",AE46="TN",AE46="UT",AE46="VA")</f>
        <v/>
      </c>
      <c r="AH54" s="1022" t="n"/>
      <c r="AI54" s="1022" t="n"/>
      <c r="AJ54" s="3136" t="n"/>
    </row>
    <row r="55" ht="16.5" customHeight="1" s="7635" thickBot="1">
      <c r="A55" s="139" t="n"/>
      <c r="C55" s="3097" t="n">
        <v>13</v>
      </c>
      <c r="D55" s="8651" t="inlineStr">
        <is>
          <t>Carryover from prior year</t>
        </is>
      </c>
      <c r="E55" s="8665" t="n"/>
      <c r="F55" s="8665" t="n"/>
      <c r="G55" s="8665" t="n"/>
      <c r="H55" s="8665" t="n"/>
      <c r="I55" s="3097" t="n"/>
      <c r="J55" s="3097" t="n"/>
      <c r="K55" s="6867" t="n"/>
      <c r="L55" s="6867" t="inlineStr">
        <is>
          <t xml:space="preserve">.   .   .   .   .   .   .   .   .   .   .   .   .   .   .   .   .   .   . </t>
        </is>
      </c>
      <c r="M55" s="8230">
        <f>C55</f>
        <v/>
      </c>
      <c r="N55" s="802" t="n"/>
      <c r="O55" s="6805" t="n"/>
      <c r="P55" s="6866">
        <f>IF(SchA_Blank,"",IF(AND($AG$151,$Q$55=""),"Deductions-Line 14'",""))</f>
        <v/>
      </c>
      <c r="Q55" s="454" t="n"/>
      <c r="R55" s="6868">
        <f>IF($AG$151,"Hide note.","")</f>
        <v/>
      </c>
      <c r="S55" s="6803" t="n"/>
      <c r="T55" s="6803" t="n"/>
      <c r="U55" s="6803" t="n"/>
      <c r="W55" s="3137" t="n"/>
      <c r="X55" s="10297" t="n"/>
      <c r="Y55" s="10297" t="n"/>
      <c r="Z55" s="1022" t="n"/>
      <c r="AA55" s="1022" t="n"/>
      <c r="AB55" s="1022" t="n"/>
      <c r="AC55" s="1022" t="n"/>
      <c r="AD55" s="1022" t="n"/>
      <c r="AE55" s="6774" t="n"/>
      <c r="AF55" s="6774" t="n"/>
      <c r="AG55" s="6774" t="n"/>
      <c r="AH55" s="1022" t="n"/>
      <c r="AI55" s="1022" t="n"/>
      <c r="AJ55" s="3136" t="n"/>
    </row>
    <row r="56" ht="16.5" customHeight="1" s="7635" thickBot="1">
      <c r="A56" s="139" t="n"/>
      <c r="B56" s="7637" t="n"/>
      <c r="C56" s="3108" t="n">
        <v>14</v>
      </c>
      <c r="D56" s="3110">
        <f>"Add lines "&amp;C51&amp;" through "&amp;C55</f>
        <v/>
      </c>
      <c r="E56" s="5212" t="n"/>
      <c r="F56" s="5212" t="n"/>
      <c r="G56" s="5212" t="n"/>
      <c r="H56" s="5212" t="n"/>
      <c r="I56" s="3108" t="n"/>
      <c r="J56" s="3108" t="n"/>
      <c r="K56" s="3108" t="n"/>
      <c r="L56" s="3108" t="n"/>
      <c r="M56" s="3108" t="n"/>
      <c r="N56" s="6811" t="inlineStr">
        <is>
          <t xml:space="preserve">.   .   .   .   .   .   .   .   .   .   .   .   .   .   .   .   .   .   .   .   .   .   .   .   .   .   .   .   .   . </t>
        </is>
      </c>
      <c r="O56" s="8230">
        <f>C56</f>
        <v/>
      </c>
      <c r="P56" s="6812">
        <f>IF(R56&lt;&gt;"",ROUND(R56,0),IF(SchA_Blank,"",SUM(ROUND(N52,0),ROUND(N54,0),ROUND(N55,0))))</f>
        <v/>
      </c>
      <c r="Q56" s="6777" t="n"/>
      <c r="R56" s="213" t="n"/>
      <c r="S56" s="6803" t="n"/>
      <c r="T56" s="1181" t="inlineStr">
        <is>
          <t>Other Itemized</t>
        </is>
      </c>
      <c r="U56" s="6803" t="n"/>
      <c r="W56" s="3137" t="n"/>
      <c r="X56" s="1987">
        <f>IF(OR(AG46,AG54,AE46=""),"","X")</f>
        <v/>
      </c>
      <c r="Y56" s="10297" t="inlineStr">
        <is>
          <t xml:space="preserve"> No.  Enter -0-.</t>
        </is>
      </c>
      <c r="Z56" s="1022" t="n"/>
      <c r="AA56" s="1022" t="n"/>
      <c r="AB56" s="1022" t="n"/>
      <c r="AC56" s="1022" t="n"/>
      <c r="AD56" s="1022" t="n"/>
      <c r="AE56" s="6774" t="n"/>
      <c r="AF56" s="6774" t="n"/>
      <c r="AG56" s="6774" t="n"/>
      <c r="AH56" s="1022" t="n"/>
      <c r="AI56" s="1022" t="n"/>
      <c r="AJ56" s="3136" t="n"/>
    </row>
    <row r="57" ht="15" customHeight="1" s="7635" thickBot="1">
      <c r="A57" s="139" t="n"/>
      <c r="B57" s="5067" t="inlineStr">
        <is>
          <t>Casualty</t>
        </is>
      </c>
      <c r="C57" s="6869" t="n">
        <v>15</v>
      </c>
      <c r="D57" s="2354" t="inlineStr">
        <is>
          <t>Casualty and theft loss(es) from a federally declared disaster (other than net qualified</t>
        </is>
      </c>
      <c r="E57" s="2263" t="n"/>
      <c r="F57" s="2263" t="n"/>
      <c r="G57" s="2263" t="n"/>
      <c r="H57" s="2263" t="n"/>
      <c r="I57" s="2263" t="n"/>
      <c r="J57" s="2263" t="n"/>
      <c r="K57" s="2263" t="n"/>
      <c r="L57" s="2263" t="n"/>
      <c r="M57" s="2263" t="n"/>
      <c r="N57" s="4471" t="n"/>
      <c r="O57" s="6801" t="n"/>
      <c r="P57" s="6847" t="n"/>
      <c r="Q57" s="6777" t="n"/>
      <c r="R57" s="6870" t="n"/>
      <c r="S57" s="6803" t="n"/>
      <c r="T57" s="1181" t="inlineStr">
        <is>
          <t>Deductions</t>
        </is>
      </c>
      <c r="U57" s="6803" t="n"/>
      <c r="W57" s="3137" t="n"/>
      <c r="X57" s="10297" t="n"/>
      <c r="Y57" s="10297" t="n"/>
      <c r="Z57" s="1022" t="n"/>
      <c r="AA57" s="1022" t="n"/>
      <c r="AB57" s="1022" t="n"/>
      <c r="AC57" s="1022" t="n"/>
      <c r="AD57" s="1022" t="n"/>
      <c r="AE57" s="6774" t="n"/>
      <c r="AF57" s="1022" t="n"/>
      <c r="AG57" s="6774" t="n"/>
      <c r="AH57" s="1022" t="n"/>
      <c r="AI57" s="1022">
        <f>IF(X58&lt;&gt;"","↓ Enter here. ↓","")</f>
        <v/>
      </c>
      <c r="AJ57" s="3136" t="n"/>
    </row>
    <row r="58" ht="16.5" customFormat="1" customHeight="1" s="5218" thickBot="1">
      <c r="A58" s="139" t="n"/>
      <c r="B58" s="5067" t="inlineStr">
        <is>
          <t>and Theft</t>
        </is>
      </c>
      <c r="C58" s="3097" t="n"/>
      <c r="D58" s="8650" t="inlineStr">
        <is>
          <t>disaster losses). Attach Form 4684 and enter the amount from line 18 of that form. See</t>
        </is>
      </c>
      <c r="E58" s="7299" t="n"/>
      <c r="F58" s="7299" t="n"/>
      <c r="G58" s="7299" t="n"/>
      <c r="H58" s="7299" t="n"/>
      <c r="I58" s="7299" t="n"/>
      <c r="J58" s="7299" t="n"/>
      <c r="K58" s="7299" t="n"/>
      <c r="L58" s="7299" t="n"/>
      <c r="M58" s="7299" t="n"/>
      <c r="N58" s="7299" t="n"/>
      <c r="O58" s="6805" t="n"/>
      <c r="P58" s="6847" t="n"/>
      <c r="Q58" s="6777" t="n"/>
      <c r="R58" s="1790" t="n"/>
      <c r="S58" s="6803" t="n"/>
      <c r="T58" s="213" t="n"/>
      <c r="U58" s="6803" t="n"/>
      <c r="W58" s="3137" t="n"/>
      <c r="X58" s="1987">
        <f>IF(OR(AG46,AI48=""),"",IF(AG54,"X",""))</f>
        <v/>
      </c>
      <c r="Y58" s="3132" t="inlineStr">
        <is>
          <t xml:space="preserve"> Yes.</t>
        </is>
      </c>
      <c r="Z58" s="1022">
        <f>"Enter your local general sales taxes from the "&amp;TaxYear&amp;" Optional Local Sales Tax Tables"</f>
        <v/>
      </c>
      <c r="AA58" s="1022" t="n"/>
      <c r="AB58" s="1022" t="n"/>
      <c r="AC58" s="1022" t="n"/>
      <c r="AD58" s="1022" t="n"/>
      <c r="AE58" s="6774" t="n"/>
      <c r="AF58" s="6780" t="inlineStr">
        <is>
          <t>2.</t>
        </is>
      </c>
      <c r="AG58" s="6871">
        <f>IF(X56&lt;&gt;"",0,IF(X58&lt;&gt;"",ROUND(AI58,0),""))</f>
        <v/>
      </c>
      <c r="AH58" s="1022" t="n"/>
      <c r="AI58" s="6705" t="n"/>
      <c r="AJ58" s="3136" t="n"/>
      <c r="AO58" s="12032" t="n"/>
      <c r="AP58" s="751" t="n"/>
      <c r="AQ58" s="751" t="n"/>
      <c r="AR58" s="751" t="n"/>
      <c r="AS58" s="751" t="n"/>
      <c r="AT58" s="751" t="n"/>
      <c r="AU58" s="751" t="n"/>
      <c r="AV58" s="751" t="n"/>
      <c r="AW58" s="751" t="n"/>
      <c r="AX58" s="751" t="n"/>
      <c r="AY58" s="751" t="n"/>
    </row>
    <row r="59" ht="16.5" customHeight="1" s="7635" thickBot="1">
      <c r="A59" s="6872" t="n"/>
      <c r="B59" s="6873" t="inlineStr">
        <is>
          <t>Losses</t>
        </is>
      </c>
      <c r="C59" s="6873" t="n"/>
      <c r="D59" s="3110" t="inlineStr">
        <is>
          <t>instructions</t>
        </is>
      </c>
      <c r="E59" s="6873" t="n"/>
      <c r="F59" s="6873" t="n"/>
      <c r="G59" s="6873" t="n"/>
      <c r="H59" s="6873" t="n"/>
      <c r="I59" s="6873" t="n"/>
      <c r="J59" s="6873" t="n"/>
      <c r="K59" s="6873" t="n"/>
      <c r="L59" s="6873" t="n"/>
      <c r="M59" s="6873" t="n"/>
      <c r="N59" s="6811" t="inlineStr">
        <is>
          <t xml:space="preserve">.   .   .   .   .   .   .   .   .   .   .   .   .   .   .   .   .   .   .   .   .   .   .   .   .   .   .   .   .   .   .   .  </t>
        </is>
      </c>
      <c r="O59" s="8230">
        <f>C57</f>
        <v/>
      </c>
      <c r="P59" s="802" t="n"/>
      <c r="Q59" s="6777" t="n"/>
      <c r="R59" s="8082" t="inlineStr">
        <is>
          <t>Net Qualified Disaster Loss</t>
        </is>
      </c>
      <c r="S59" s="6803" t="n"/>
      <c r="T59" s="6874" t="inlineStr">
        <is>
          <t>↑ Description ↑</t>
        </is>
      </c>
      <c r="U59" s="6803" t="n"/>
      <c r="W59" s="3137" t="n"/>
      <c r="X59" s="10297" t="n"/>
      <c r="Y59" s="3132" t="n"/>
      <c r="Z59" s="1022" t="n"/>
      <c r="AA59" s="1022" t="n"/>
      <c r="AB59" s="1022" t="n"/>
      <c r="AC59" s="1022" t="n"/>
      <c r="AD59" s="1022" t="n"/>
      <c r="AE59" s="1022" t="n"/>
      <c r="AF59" s="1022" t="n"/>
      <c r="AG59" s="1022" t="n"/>
      <c r="AH59" s="1022" t="n"/>
      <c r="AI59" s="6774">
        <f>IF(X56&lt;&gt;"",0,IF(AG58&lt;&gt;"",ROUND(AG58,0),0))</f>
        <v/>
      </c>
      <c r="AJ59" s="3136" t="n"/>
    </row>
    <row r="60" ht="16.5" customHeight="1" s="7635" thickBot="1">
      <c r="A60" s="139" t="n"/>
      <c r="B60" s="3574" t="inlineStr">
        <is>
          <t>Other</t>
        </is>
      </c>
      <c r="C60" s="3097" t="n">
        <v>16</v>
      </c>
      <c r="D60" s="6875" t="inlineStr">
        <is>
          <t>Other--from list in instructions.  List type and amount.</t>
        </is>
      </c>
      <c r="E60" s="5219" t="n"/>
      <c r="F60" s="5219" t="n"/>
      <c r="G60" s="5219" t="n"/>
      <c r="H60" s="5219" t="n"/>
      <c r="I60" s="3752" t="n"/>
      <c r="J60" s="8071">
        <f>T77</f>
        <v/>
      </c>
      <c r="K60" s="12033" t="n"/>
      <c r="L60" s="12033" t="n"/>
      <c r="M60" s="12033" t="n"/>
      <c r="N60" s="12034" t="n"/>
      <c r="O60" s="6801" t="n"/>
      <c r="P60" s="6876" t="n"/>
      <c r="Q60" s="1251" t="n"/>
      <c r="S60" s="6803" t="n"/>
      <c r="T60" s="12035" t="n"/>
      <c r="U60" s="6803" t="n"/>
      <c r="W60" s="6877" t="inlineStr">
        <is>
          <t>3.</t>
        </is>
      </c>
      <c r="X60" s="10297">
        <f>"Did your locality impose a local general sales tax in "&amp;TaxYear&amp;"? Residents of California and Nevada, see the"</f>
        <v/>
      </c>
      <c r="Y60" s="1022" t="n"/>
      <c r="Z60" s="1022" t="n"/>
      <c r="AA60" s="1022" t="n"/>
      <c r="AB60" s="1022" t="n"/>
      <c r="AC60" s="1022" t="n"/>
      <c r="AD60" s="1022" t="n"/>
      <c r="AE60" s="6774" t="n"/>
      <c r="AF60" s="1022" t="n"/>
      <c r="AG60" s="6774">
        <f>OR(AE46="CA",AE46="NV")</f>
        <v/>
      </c>
      <c r="AH60" s="1022" t="n"/>
      <c r="AI60" s="1022" t="n"/>
      <c r="AJ60" s="3136" t="n"/>
    </row>
    <row r="61" ht="16.5" customHeight="1" s="7635" thickBot="1">
      <c r="A61" s="139" t="n"/>
      <c r="B61" s="3574" t="inlineStr">
        <is>
          <t>Itemized</t>
        </is>
      </c>
      <c r="C61" s="3097" t="n"/>
      <c r="D61" s="8067">
        <f>IF(SchA_Blank,T73&amp;"   "&amp;T72,IF(AND(ItemizedDeduct,NQDisasterLoss&lt;&gt;"",NQDisasterLoss&gt;0),T73,""))</f>
        <v/>
      </c>
      <c r="E61" s="841" t="n"/>
      <c r="F61" s="841" t="n"/>
      <c r="G61" s="841" t="n"/>
      <c r="H61" s="841" t="n"/>
      <c r="I61" s="841" t="n"/>
      <c r="J61" s="841" t="n"/>
      <c r="K61" s="841" t="n"/>
      <c r="L61" s="841" t="n"/>
      <c r="M61" s="841" t="n"/>
      <c r="N61" s="12036" t="n"/>
      <c r="O61" s="6805" t="n"/>
      <c r="P61" s="6878" t="n"/>
      <c r="Q61" s="6777" t="n"/>
      <c r="R61" s="6803" t="n"/>
      <c r="S61" s="6803" t="n"/>
      <c r="T61" s="6874" t="inlineStr">
        <is>
          <t>↑  Amount  ↑</t>
        </is>
      </c>
      <c r="U61" s="6803" t="n"/>
      <c r="W61" s="3137" t="n"/>
      <c r="X61" s="10297" t="inlineStr">
        <is>
          <t>instructions for line 3 of the worksheet.</t>
        </is>
      </c>
      <c r="Y61" s="1022" t="n"/>
      <c r="Z61" s="1022" t="n"/>
      <c r="AA61" s="1022" t="n"/>
      <c r="AB61" s="1022" t="n"/>
      <c r="AC61" s="6879">
        <f>IF(AE46="CA","California",IF(AE46="NV","Nevada",""))</f>
        <v/>
      </c>
      <c r="AD61" s="12037">
        <f>IF(AE46="CA",0.0725,IF(AE46="NV",0.0685,""))</f>
        <v/>
      </c>
      <c r="AE61" s="6881">
        <f>IF(AG60,"+","")</f>
        <v/>
      </c>
      <c r="AF61" s="6882" t="inlineStr">
        <is>
          <t>Local</t>
        </is>
      </c>
      <c r="AG61" s="12038" t="n"/>
      <c r="AH61" s="6879">
        <f>IF(AG60,"=","")</f>
        <v/>
      </c>
      <c r="AI61" s="12037">
        <f>IF(AG60,SUM(AD61,AG61),"")</f>
        <v/>
      </c>
      <c r="AJ61" s="3136" t="n"/>
    </row>
    <row r="62" ht="16.5" customHeight="1" s="7635" thickBot="1">
      <c r="A62" s="139" t="n"/>
      <c r="B62" s="6873" t="inlineStr">
        <is>
          <t>Deductions</t>
        </is>
      </c>
      <c r="C62" s="3108" t="n"/>
      <c r="D62" s="8069" t="n"/>
      <c r="E62" s="12039" t="n"/>
      <c r="F62" s="12039" t="n"/>
      <c r="G62" s="12039" t="n"/>
      <c r="H62" s="12039" t="n"/>
      <c r="I62" s="12039" t="n"/>
      <c r="J62" s="12039" t="n"/>
      <c r="K62" s="12039" t="n"/>
      <c r="L62" s="12039" t="n"/>
      <c r="M62" s="12039" t="n"/>
      <c r="N62" s="12040" t="n"/>
      <c r="O62" s="8230">
        <f>C60</f>
        <v/>
      </c>
      <c r="P62" s="6833">
        <f>IF(SchA_Blank,SUM(Standard,ROUND(NQDisasterLoss,0),R62),SUM(T71,R62))</f>
        <v/>
      </c>
      <c r="Q62" s="6777" t="n"/>
      <c r="R62" s="1789" t="n"/>
      <c r="S62" s="6803" t="n"/>
      <c r="T62" s="6803" t="n"/>
      <c r="U62" s="6803" t="n"/>
      <c r="W62" s="8027">
        <f>AND(NOT(AG46),AI48&lt;&gt;"")</f>
        <v/>
      </c>
      <c r="Y62" s="3132" t="n"/>
      <c r="Z62" s="1022" t="n"/>
      <c r="AA62" s="1022" t="n"/>
      <c r="AB62" s="1022" t="n"/>
      <c r="AC62" s="1022" t="n"/>
      <c r="AD62" s="6883" t="n"/>
      <c r="AE62" s="10297" t="n"/>
      <c r="AF62" s="6884" t="n"/>
      <c r="AG62" s="6774">
        <f>AND(AG60,(AI61=AD61))</f>
        <v/>
      </c>
      <c r="AH62" s="1022" t="n"/>
      <c r="AI62" s="6774">
        <f>AND(AG60,(AI61=AD61))</f>
        <v/>
      </c>
      <c r="AJ62" s="3136" t="n"/>
      <c r="AK62" s="8648" t="n"/>
    </row>
    <row r="63" ht="16.5" customHeight="1" s="7635" thickBot="1">
      <c r="A63" s="139" t="n"/>
      <c r="B63" s="5067" t="inlineStr">
        <is>
          <t>Total</t>
        </is>
      </c>
      <c r="C63" s="3097" t="n">
        <v>17</v>
      </c>
      <c r="D63" s="6885" t="inlineStr">
        <is>
          <t>Add the amounts in the far right column for lines 4 through 16. Also, enter this amount on</t>
        </is>
      </c>
      <c r="E63" s="8665" t="n"/>
      <c r="F63" s="8665" t="n"/>
      <c r="G63" s="8665" t="n"/>
      <c r="H63" s="8665" t="n"/>
      <c r="I63" s="3097" t="n"/>
      <c r="J63" s="3097" t="n"/>
      <c r="K63" s="3097" t="n"/>
      <c r="L63" s="3097" t="n"/>
      <c r="M63" s="3097" t="n"/>
      <c r="N63" s="5220" t="n"/>
      <c r="O63" s="6801" t="n"/>
      <c r="P63" s="6886">
        <f>IF(R64&lt;&gt;"",ROUND(R64,0),IF(SchA_Blank,"",SUM(P19,SALT_Limited,P50,P56,ROUND(P59,0),T71)))</f>
        <v/>
      </c>
      <c r="Q63" s="6777" t="n"/>
      <c r="R63" s="6887" t="inlineStr">
        <is>
          <t>Line 16 (+ or - )</t>
        </is>
      </c>
      <c r="S63" s="6803" t="n"/>
      <c r="T63" s="213" t="n"/>
      <c r="U63" s="6803" t="n"/>
      <c r="W63" s="3137" t="n"/>
      <c r="X63" s="277" t="inlineStr">
        <is>
          <t>X</t>
        </is>
      </c>
      <c r="Y63" s="10297" t="inlineStr">
        <is>
          <t xml:space="preserve"> No. </t>
        </is>
      </c>
      <c r="Z63" s="10297" t="inlineStr">
        <is>
          <t>Skip lines 3 through 5, enter -0- on line 6, and go to line 7.</t>
        </is>
      </c>
      <c r="AA63" s="1022" t="n"/>
      <c r="AB63" s="1022" t="n"/>
      <c r="AC63" s="1022" t="n"/>
      <c r="AD63" s="1022" t="n"/>
      <c r="AE63" s="6774" t="n"/>
      <c r="AF63" s="1022" t="n"/>
      <c r="AG63" s="6774" t="n"/>
      <c r="AH63" s="1022" t="n"/>
      <c r="AI63" s="1022" t="n"/>
      <c r="AJ63" s="3136" t="n"/>
    </row>
    <row r="64" ht="12" customHeight="1" s="7635" thickBot="1">
      <c r="A64" s="139" t="n"/>
      <c r="B64" s="5067" t="inlineStr">
        <is>
          <t>Itemized</t>
        </is>
      </c>
      <c r="C64" s="3097" t="n"/>
      <c r="D64" s="3571" t="inlineStr">
        <is>
          <t>Form 1040 or 1040-SR, line 12e</t>
        </is>
      </c>
      <c r="E64" s="8665" t="n"/>
      <c r="F64" s="8665" t="n"/>
      <c r="G64" s="8665" t="n"/>
      <c r="H64" s="8665" t="n"/>
      <c r="I64" s="3097" t="n"/>
      <c r="J64" s="3097" t="n"/>
      <c r="K64" s="3097" t="n"/>
      <c r="L64" s="3097" t="n"/>
      <c r="M64" s="3097" t="n"/>
      <c r="N64" s="5221" t="inlineStr">
        <is>
          <t xml:space="preserve">.   .   .   .   .   .   .   .   .   .   .   .   .   .   .   .   .   .   .   .   .   .   .   .   .   .   . </t>
        </is>
      </c>
      <c r="O64" s="8230">
        <f>C63</f>
        <v/>
      </c>
      <c r="P64" s="6812">
        <f>IF(SchA_Blank,"",IF(R69,SUM(P62,R64),SUM(P19,SALT_Limited,P50,P56,ROUND(P59,0),P62,R64)))</f>
        <v/>
      </c>
      <c r="Q64" s="6777" t="n"/>
      <c r="R64" s="1789" t="n"/>
      <c r="S64" s="6803" t="n"/>
      <c r="T64" s="6874" t="inlineStr">
        <is>
          <t>↑ Description ↑</t>
        </is>
      </c>
      <c r="U64" s="6803" t="n"/>
      <c r="W64" s="6888" t="n"/>
      <c r="X64" s="3148" t="n"/>
      <c r="Y64" s="6889">
        <f>IF(AND(W62,X63="",X65=""),"Check one box.",IF(AND(W62,X63&lt;&gt;"",X65&lt;&gt;""),"Check only ONE box.",""))</f>
        <v/>
      </c>
      <c r="Z64" s="1022" t="n"/>
      <c r="AA64" s="1022" t="n"/>
      <c r="AB64" s="1022" t="n"/>
      <c r="AC64" s="1022" t="n"/>
      <c r="AD64" s="1022" t="n"/>
      <c r="AE64" s="6774" t="n"/>
      <c r="AF64" s="1022" t="n"/>
      <c r="AG64" s="6774" t="n"/>
      <c r="AH64" s="1022" t="n"/>
      <c r="AI64" s="1022" t="n"/>
      <c r="AJ64" s="3136" t="n"/>
    </row>
    <row r="65" ht="12.75" customHeight="1" s="7635" thickBot="1">
      <c r="A65" s="139" t="n"/>
      <c r="B65" s="5067" t="inlineStr">
        <is>
          <t>Deductions</t>
        </is>
      </c>
      <c r="C65" s="3097" t="n">
        <v>18</v>
      </c>
      <c r="D65" s="2985" t="inlineStr">
        <is>
          <t>If you elect to itemize deductions even though they are less than your standard</t>
        </is>
      </c>
      <c r="E65" s="8665" t="n"/>
      <c r="F65" s="8665" t="n"/>
      <c r="G65" s="8665" t="n"/>
      <c r="H65" s="8665" t="n"/>
      <c r="I65" s="3097" t="n"/>
      <c r="J65" s="3097" t="n"/>
      <c r="K65" s="3097" t="n"/>
      <c r="L65" s="3097" t="n"/>
      <c r="M65" s="3097" t="n"/>
      <c r="N65" s="6890" t="n"/>
      <c r="O65" s="6805" t="n"/>
      <c r="P65" s="6891" t="n"/>
      <c r="Q65" s="6777" t="n"/>
      <c r="R65" s="6887" t="inlineStr">
        <is>
          <t>Line 17 (+ or - )</t>
        </is>
      </c>
      <c r="S65" s="6803" t="n"/>
      <c r="T65" s="12035" t="n"/>
      <c r="U65" s="6803" t="n"/>
      <c r="W65" s="3137" t="n"/>
      <c r="X65" s="277">
        <f>IF(AND(AG60,W62,NOT(AI62)),"X","")</f>
        <v/>
      </c>
      <c r="Y65" s="3132" t="inlineStr">
        <is>
          <t xml:space="preserve"> Yes.</t>
        </is>
      </c>
      <c r="Z65" s="10297" t="inlineStr">
        <is>
          <t>Enter your local general sales tax rate but omit the percentage sign. For example,</t>
        </is>
      </c>
      <c r="AA65" s="1022" t="n"/>
      <c r="AB65" s="1022" t="n"/>
      <c r="AC65" s="1022" t="n"/>
      <c r="AD65" s="1022" t="n"/>
      <c r="AE65" s="6774" t="n"/>
      <c r="AF65" s="6774" t="n"/>
      <c r="AG65" s="6774" t="n"/>
      <c r="AH65" s="1022" t="n"/>
      <c r="AI65" s="1022" t="n"/>
      <c r="AJ65" s="3136" t="n"/>
    </row>
    <row r="66" ht="12.75" customHeight="1" s="7635" thickBot="1">
      <c r="A66" s="139" t="n"/>
      <c r="B66" s="6892">
        <f>IF(O66&lt;&gt;"",TRUE,FALSE)</f>
        <v/>
      </c>
      <c r="C66" s="6893" t="n"/>
      <c r="D66" s="5222" t="inlineStr">
        <is>
          <t>deduction, check this box</t>
        </is>
      </c>
      <c r="E66" s="5206" t="n"/>
      <c r="F66" s="6894" t="n"/>
      <c r="G66" s="6894" t="n"/>
      <c r="H66" s="6894" t="n"/>
      <c r="I66" s="5206" t="n"/>
      <c r="J66" s="5206" t="n"/>
      <c r="K66" s="5206" t="n"/>
      <c r="L66" s="5206" t="n"/>
      <c r="M66" s="5206" t="n"/>
      <c r="N66" s="6895" t="inlineStr">
        <is>
          <t xml:space="preserve">.   .   .   .   .   .   .   .   .   .   .   .   .   .   .   .   .   .   .   .   .   .   .   .   .   .   .   .  </t>
        </is>
      </c>
      <c r="O66" s="282" t="n"/>
      <c r="P66" s="6896" t="n"/>
      <c r="Q66" s="6777" t="n"/>
      <c r="R66" s="6803" t="n"/>
      <c r="S66" s="6803" t="n"/>
      <c r="T66" s="6874" t="inlineStr">
        <is>
          <t>↑  Amount  ↑</t>
        </is>
      </c>
      <c r="U66" s="6803" t="n"/>
      <c r="W66" s="3137" t="n"/>
      <c r="X66" s="1022" t="n"/>
      <c r="Y66" s="10297" t="inlineStr">
        <is>
          <t>if your local general sales tax rate was 2.5%, enter 2.5. If your local general sales tax rate</t>
        </is>
      </c>
      <c r="Z66" s="1022" t="n"/>
      <c r="AA66" s="1022" t="n"/>
      <c r="AB66" s="1022" t="n"/>
      <c r="AC66" s="1022" t="n"/>
      <c r="AD66" s="1022" t="n"/>
      <c r="AE66" s="6774" t="n"/>
      <c r="AF66" s="6774" t="n"/>
      <c r="AG66" s="6774" t="n"/>
      <c r="AH66" s="6774" t="n"/>
      <c r="AI66" s="1022" t="n"/>
      <c r="AJ66" s="3136" t="n"/>
    </row>
    <row r="67" ht="13.5" customHeight="1" s="7635">
      <c r="A67" s="139" t="n"/>
      <c r="B67" s="1183" t="inlineStr">
        <is>
          <t>For Paperwork Reduction Act Notice, see the Instructions for Form 1040.</t>
        </is>
      </c>
      <c r="C67" s="226" t="n"/>
      <c r="D67" s="226" t="n"/>
      <c r="E67" s="226" t="n"/>
      <c r="F67" s="226" t="n"/>
      <c r="G67" s="226" t="n"/>
      <c r="H67" s="226" t="n"/>
      <c r="I67" s="226" t="n"/>
      <c r="J67" s="226" t="n"/>
      <c r="K67" s="229" t="n"/>
      <c r="L67" s="229" t="n"/>
      <c r="M67" s="229" t="inlineStr">
        <is>
          <t>Cat. No. 17145C</t>
        </is>
      </c>
      <c r="N67" s="227" t="n"/>
      <c r="O67" s="228" t="n"/>
      <c r="P67" s="6897">
        <f>"Schedule A (Form 1040) "&amp;TaxYear</f>
        <v/>
      </c>
      <c r="Q67" s="6777" t="n"/>
      <c r="R67" s="6803" t="n"/>
      <c r="S67" s="6803" t="n"/>
      <c r="T67" s="6803" t="n"/>
      <c r="U67" s="6803" t="n"/>
      <c r="W67" s="3137" t="n"/>
      <c r="X67" s="1022" t="n"/>
      <c r="Y67" s="10297" t="inlineStr">
        <is>
          <t>changed or you lived in more than one locality in the same state during 2025, see the</t>
        </is>
      </c>
      <c r="Z67" s="1022" t="n"/>
      <c r="AA67" s="1022" t="n"/>
      <c r="AB67" s="1022" t="n"/>
      <c r="AC67" s="1022" t="n"/>
      <c r="AD67" s="1022" t="n"/>
      <c r="AE67" s="6774" t="n"/>
      <c r="AF67" s="6774" t="n"/>
      <c r="AG67" s="6774" t="n"/>
      <c r="AH67" s="6774" t="n"/>
      <c r="AI67" s="1022" t="n"/>
      <c r="AJ67" s="3136" t="n"/>
    </row>
    <row r="68">
      <c r="A68" s="289" t="n"/>
      <c r="B68" s="479" t="n"/>
      <c r="C68" s="479" t="n"/>
      <c r="D68" s="479" t="n"/>
      <c r="E68" s="479" t="n"/>
      <c r="F68" s="479" t="n"/>
      <c r="G68" s="479" t="n"/>
      <c r="H68" s="479" t="n"/>
      <c r="I68" s="6898" t="n"/>
      <c r="J68" s="6898" t="n"/>
      <c r="K68" s="6898" t="n"/>
      <c r="L68" s="6898" t="n"/>
      <c r="M68" s="6898" t="n"/>
      <c r="N68" s="6899" t="n"/>
      <c r="O68" s="6900" t="n"/>
      <c r="P68" s="6899" t="n"/>
      <c r="Q68" s="6899" t="n"/>
      <c r="R68" s="6803" t="n"/>
      <c r="T68" s="1330">
        <f>IF(T60&lt;&gt;"",TEXT(ROUND(T60,0),"$0"),"")</f>
        <v/>
      </c>
      <c r="W68" s="3137" t="n"/>
      <c r="X68" s="1022" t="n"/>
      <c r="Y68" s="10297" t="inlineStr">
        <is>
          <t>instructions for line 3 of the worksheet</t>
        </is>
      </c>
      <c r="Z68" s="1022" t="n"/>
      <c r="AA68" s="1022" t="n"/>
      <c r="AB68" s="1022" t="n"/>
      <c r="AC68" s="1022" t="n"/>
      <c r="AD68" s="1022" t="n"/>
      <c r="AE68" s="6774" t="n"/>
      <c r="AF68" s="6780" t="inlineStr">
        <is>
          <t>3.</t>
        </is>
      </c>
      <c r="AG68" s="6706" t="n"/>
      <c r="AH68" s="6774" t="n"/>
      <c r="AI68" s="6774">
        <f>IF(AG68&lt;&gt;"",ROUND(AG68,3),0)</f>
        <v/>
      </c>
      <c r="AJ68" s="3136" t="n"/>
    </row>
    <row r="69" ht="13.5" customHeight="1" s="7635" thickBot="1">
      <c r="B69" s="8043" t="n"/>
      <c r="C69" s="8043" t="n"/>
      <c r="D69" s="9123" t="n"/>
      <c r="E69" s="9123" t="n"/>
      <c r="F69" s="9123" t="n"/>
      <c r="G69" s="9123" t="n"/>
      <c r="H69" s="9123" t="n"/>
      <c r="I69" s="8043" t="n"/>
      <c r="J69" s="8043" t="n"/>
      <c r="K69" s="8043" t="n"/>
      <c r="L69" s="8043" t="n"/>
      <c r="M69" s="8043" t="n"/>
      <c r="N69" s="2" t="n"/>
      <c r="O69" s="8043" t="n"/>
      <c r="P69" s="7834">
        <f>AND(NQDisasterLoss&lt;&gt;"",NQDisasterLoss&lt;&gt;0)</f>
        <v/>
      </c>
      <c r="Q69" s="8043" t="n"/>
      <c r="R69" s="6901">
        <f>AND(StdDeduct,NQDisasterLoss&lt;&gt;"",NQDisasterLoss&gt;0)</f>
        <v/>
      </c>
      <c r="S69" s="7834" t="n"/>
      <c r="T69" s="1330">
        <f>IF(T65&lt;&gt;"",TEXT(ROUND(T65,0),"$0"),"")</f>
        <v/>
      </c>
      <c r="U69" s="7834" t="n"/>
      <c r="V69" s="7834" t="n"/>
      <c r="W69" s="3137" t="n"/>
      <c r="X69" s="3132" t="n"/>
      <c r="Y69" s="3132" t="n"/>
      <c r="Z69" s="1022" t="n"/>
      <c r="AA69" s="1022" t="n"/>
      <c r="AB69" s="1022" t="n"/>
      <c r="AC69" s="1022" t="n"/>
      <c r="AD69" s="1022" t="n"/>
      <c r="AE69" s="6774" t="n"/>
      <c r="AF69" s="6774" t="n"/>
      <c r="AG69" s="6774" t="n"/>
      <c r="AH69" s="1022" t="n"/>
      <c r="AI69" s="1022" t="n"/>
      <c r="AJ69" s="3136" t="n"/>
    </row>
    <row r="70" ht="14.25" customHeight="1" s="7635" thickBot="1" thickTop="1">
      <c r="B70" s="8043" t="n"/>
      <c r="C70" s="11824" t="inlineStr">
        <is>
          <t>Download Form 1040 Schedule A</t>
        </is>
      </c>
      <c r="D70" s="11825" t="n"/>
      <c r="E70" s="11825" t="n"/>
      <c r="F70" s="11825" t="n"/>
      <c r="G70" s="11825" t="n"/>
      <c r="H70" s="11825" t="n"/>
      <c r="I70" s="11825" t="n"/>
      <c r="J70" s="11826" t="n"/>
      <c r="K70" s="8043" t="n"/>
      <c r="L70" s="8043" t="n"/>
      <c r="M70" s="8043" t="n"/>
      <c r="N70" s="6902">
        <f>IF(AND(P69,NOT(SchA_Filed)),"Please check this box.  &gt;",IF(AND(P69,SchA_Filed),"Do NOT check this box. &gt;",""))</f>
        <v/>
      </c>
      <c r="O70" s="1791" t="n"/>
      <c r="P70" s="4700">
        <f>IF(AND($P$69,NOT(SchA_Filed)),"Check this box",IF(AND($P$69,SchA_Filed),"&lt;  This box is only",""))</f>
        <v/>
      </c>
      <c r="Q70" s="8043" t="n"/>
      <c r="R70" s="6903" t="n"/>
      <c r="S70" s="7834" t="n"/>
      <c r="T70" s="7834">
        <f>T58&amp;" "&amp;T68&amp;"     "&amp;T63&amp;" "&amp;T69</f>
        <v/>
      </c>
      <c r="U70" s="7834" t="n"/>
      <c r="V70" s="7834" t="n"/>
      <c r="W70" s="6877" t="inlineStr">
        <is>
          <t>4.</t>
        </is>
      </c>
      <c r="X70" s="10297" t="inlineStr">
        <is>
          <t>Did you enter -0- on line 2?</t>
        </is>
      </c>
      <c r="Y70" s="3132" t="n"/>
      <c r="Z70" s="1022" t="n"/>
      <c r="AA70" s="1022" t="n"/>
      <c r="AB70" s="1022" t="n"/>
      <c r="AC70" s="1022" t="n"/>
      <c r="AD70" s="1022" t="n"/>
      <c r="AE70" s="6774" t="n"/>
      <c r="AF70" s="6774" t="n"/>
      <c r="AG70" s="1022" t="n"/>
      <c r="AH70" s="1022" t="n"/>
      <c r="AI70" s="6904">
        <f>OR(AI59="",AI59=0)</f>
        <v/>
      </c>
      <c r="AJ70" s="3136" t="n"/>
    </row>
    <row r="71" ht="14.25" customHeight="1" s="7635" thickBot="1" thickTop="1">
      <c r="B71" s="8043" t="n"/>
      <c r="C71" s="8043" t="n"/>
      <c r="D71" s="9123" t="n"/>
      <c r="E71" s="9123" t="n"/>
      <c r="F71" s="9123" t="n"/>
      <c r="G71" s="9123" t="n"/>
      <c r="H71" s="9123" t="n"/>
      <c r="I71" s="8043" t="n"/>
      <c r="J71" s="8043" t="n"/>
      <c r="K71" s="8043" t="n"/>
      <c r="L71" s="8043" t="n"/>
      <c r="M71" s="8043" t="n"/>
      <c r="N71" s="2" t="n"/>
      <c r="O71" s="8043" t="n"/>
      <c r="P71" s="4700">
        <f>IF(AND($P$69,NOT(SchA_Filed)),"because you are",IF(AND($P$69,SchA_Filed),"checked if you",""))</f>
        <v/>
      </c>
      <c r="Q71" s="8043" t="n"/>
      <c r="R71" s="6903" t="n"/>
      <c r="S71" s="7834" t="n"/>
      <c r="T71" s="9799">
        <f>SUM(ROUND(NQDisasterLoss,0),ROUND(T60,0),ROUND(T65,0))</f>
        <v/>
      </c>
      <c r="U71" s="7834" t="n"/>
      <c r="V71" s="7834" t="n"/>
      <c r="W71" s="6877" t="n"/>
      <c r="X71" s="10297" t="n"/>
      <c r="Y71" s="3132" t="n"/>
      <c r="Z71" s="1022" t="n"/>
      <c r="AA71" s="1022" t="n"/>
      <c r="AB71" s="1022" t="n"/>
      <c r="AC71" s="1022" t="n"/>
      <c r="AD71" s="1022" t="n"/>
      <c r="AE71" s="6774" t="n"/>
      <c r="AF71" s="6774" t="n"/>
      <c r="AG71" s="6774" t="n"/>
      <c r="AH71" s="1022" t="n"/>
      <c r="AI71" s="1022" t="n"/>
      <c r="AJ71" s="3136" t="n"/>
      <c r="AK71" s="8648" t="n"/>
    </row>
    <row r="72" ht="14.25" customHeight="1" s="7635" thickBot="1" thickTop="1">
      <c r="B72" s="8043" t="n"/>
      <c r="C72" s="11824" t="inlineStr">
        <is>
          <t>Download Form 1040 Schedule A Instructions</t>
        </is>
      </c>
      <c r="D72" s="11825" t="n"/>
      <c r="E72" s="11825" t="n"/>
      <c r="F72" s="11825" t="n"/>
      <c r="G72" s="11825" t="n"/>
      <c r="H72" s="11825" t="n"/>
      <c r="I72" s="11825" t="n"/>
      <c r="J72" s="11826" t="n"/>
      <c r="K72" s="8043" t="n"/>
      <c r="L72" s="8043" t="n"/>
      <c r="M72" s="8043" t="n"/>
      <c r="N72" s="2" t="n"/>
      <c r="O72" s="8043" t="n"/>
      <c r="P72" s="4700">
        <f>IF(AND($P$69,NOT(SchA_Filed)),"claiming the",IF(AND($P$69,SchA_Filed),"are claiming the",""))</f>
        <v/>
      </c>
      <c r="Q72" s="8043" t="n"/>
      <c r="R72" s="6783" t="n"/>
      <c r="S72" s="7834" t="n"/>
      <c r="T72" s="6905">
        <f>IF(AND(Standard,NQDisasterLoss&lt;&gt;"",NQDisasterLoss&gt;0),"Claimed with qualified disaster losses = "&amp;TEXT(Standard,"$0,000"),"")</f>
        <v/>
      </c>
      <c r="U72" s="7834" t="n"/>
      <c r="V72" s="7834" t="n"/>
      <c r="W72" s="3137" t="n"/>
      <c r="X72" s="1987">
        <f>IF(OR(AG46,AI48="",X63&lt;&gt;"",AI70),"","X")</f>
        <v/>
      </c>
      <c r="Y72" s="10297" t="inlineStr">
        <is>
          <t xml:space="preserve"> No. </t>
        </is>
      </c>
      <c r="Z72" s="10297" t="inlineStr">
        <is>
          <t>Skip lines 4 and 5 and go to line 6.</t>
        </is>
      </c>
      <c r="AA72" s="1022" t="n"/>
      <c r="AB72" s="1022" t="n"/>
      <c r="AC72" s="1022" t="n"/>
      <c r="AD72" s="1022" t="n"/>
      <c r="AE72" s="6774" t="n"/>
      <c r="AF72" s="6774" t="n"/>
      <c r="AG72" s="6774" t="n"/>
      <c r="AH72" s="1022" t="n"/>
      <c r="AI72" s="1022" t="n"/>
      <c r="AJ72" s="3136" t="n"/>
    </row>
    <row r="73" ht="10.5" customHeight="1" s="7635" thickBot="1" thickTop="1">
      <c r="O73" s="8043" t="n"/>
      <c r="P73" s="4700">
        <f>IF(AND($P$69,NOT(SchA_Filed)),"standard deduction.",IF(AND($P$69,SchA_Filed),"standard deduction.",""))</f>
        <v/>
      </c>
      <c r="Q73" s="8043" t="n"/>
      <c r="R73" s="6783" t="n"/>
      <c r="S73" s="7834" t="n"/>
      <c r="T73" s="6905">
        <f>IF(AND(NQDisasterLoss&lt;&gt;"",NQDisasterLoss&gt;0,$R$58&gt;999),"Net Qualified Disaster Loss = "&amp;TEXT(NQDisasterLoss,"$0,000"),IF(AND(NQDisasterLoss&lt;&gt;"",NQDisasterLoss&gt;0),"Net Qualified Disaster Loss = "&amp;TEXT(NQDisasterLoss,"$0"),""))</f>
        <v/>
      </c>
      <c r="U73" s="7834" t="n"/>
      <c r="V73" s="7834" t="n"/>
      <c r="W73" s="3137" t="n"/>
      <c r="X73" s="10297" t="n"/>
      <c r="Y73" s="10297" t="n"/>
      <c r="Z73" s="1022" t="n"/>
      <c r="AA73" s="1022" t="n"/>
      <c r="AB73" s="1022" t="n"/>
      <c r="AC73" s="1022" t="n"/>
      <c r="AD73" s="1022" t="n"/>
      <c r="AE73" s="6774" t="n"/>
      <c r="AF73" s="6774" t="n"/>
      <c r="AG73" s="6774" t="n"/>
      <c r="AH73" s="1022" t="n"/>
      <c r="AI73" s="1022" t="n"/>
      <c r="AJ73" s="3136" t="n"/>
    </row>
    <row r="74" ht="13.5" customHeight="1" s="7635" thickBot="1">
      <c r="O74" s="8043" t="n"/>
      <c r="P74" s="7834">
        <f>AND(P69,O70&lt;&gt;"")</f>
        <v/>
      </c>
      <c r="Q74" s="8043" t="n"/>
      <c r="R74" s="9799" t="n"/>
      <c r="S74" s="7834" t="n"/>
      <c r="T74" s="854">
        <f>IF(OR(T65="",T65=0),"",IF(T65&gt;999,T63&amp;" = "&amp;TEXT(T65,"$0,000"),T63&amp;" = "&amp;TEXT(T65,"$0")))</f>
        <v/>
      </c>
      <c r="U74" s="7834" t="n"/>
      <c r="V74" s="7834" t="n"/>
      <c r="W74" s="3137" t="n"/>
      <c r="X74" s="1987">
        <f>IF(OR(AG46,AI48=""),"",IF(AND(X63="",AI70),"X",""))</f>
        <v/>
      </c>
      <c r="Y74" s="3132" t="inlineStr">
        <is>
          <t xml:space="preserve"> Yes.</t>
        </is>
      </c>
      <c r="Z74" s="10297" t="inlineStr">
        <is>
          <t>Enter your state general sales tax rate (shown in the table heading for your state) but</t>
        </is>
      </c>
      <c r="AA74" s="1022" t="n"/>
      <c r="AB74" s="1022" t="n"/>
      <c r="AC74" s="1022" t="n"/>
      <c r="AD74" s="1022" t="n"/>
      <c r="AE74" s="6774" t="n"/>
      <c r="AF74" s="6774" t="n"/>
      <c r="AG74" s="6774" t="n"/>
      <c r="AH74" s="1022" t="n"/>
      <c r="AI74" s="1022" t="n"/>
      <c r="AJ74" s="3136" t="n"/>
    </row>
    <row r="75" ht="12.75" customHeight="1" s="7635">
      <c r="F75" s="184" t="n"/>
      <c r="G75" s="12041" t="inlineStr">
        <is>
          <t>Table of Contents</t>
        </is>
      </c>
      <c r="H75" s="2614" t="n"/>
      <c r="O75" s="8043" t="n"/>
      <c r="P75" s="6906">
        <f>IF($P$74,"IMPORTANT!","")</f>
        <v/>
      </c>
      <c r="Q75" s="8043" t="n"/>
      <c r="R75" s="9799" t="n"/>
      <c r="S75" s="7834" t="n"/>
      <c r="T75" s="854">
        <f>IF(OR(T60="",T60=0),"",IF(T60&gt;999,T58&amp;" = "&amp;TEXT(T60,"$0,000"),T58&amp;" = "&amp;TEXT(T60,"$0")))</f>
        <v/>
      </c>
      <c r="U75" s="7834" t="n"/>
      <c r="V75" s="7834" t="n"/>
      <c r="W75" s="3137" t="n"/>
      <c r="X75" s="1022" t="n"/>
      <c r="Y75" s="10297" t="inlineStr">
        <is>
          <t>omit the percentage sign. For example, if your state general sales tax rate is 6%, enter 6.0</t>
        </is>
      </c>
      <c r="Z75" s="1022" t="n"/>
      <c r="AA75" s="1022" t="n"/>
      <c r="AB75" s="1022" t="n"/>
      <c r="AC75" s="1022" t="n"/>
      <c r="AD75" s="1022" t="n"/>
      <c r="AE75" s="6774" t="n"/>
      <c r="AF75" s="6780" t="inlineStr">
        <is>
          <t>4.</t>
        </is>
      </c>
      <c r="AG75" s="12042" t="n"/>
      <c r="AH75" s="1022" t="n"/>
      <c r="AI75" s="12043">
        <f>IF(AG75&lt;&gt;"",ROUND(AG75,3),0)</f>
        <v/>
      </c>
      <c r="AJ75" s="3136" t="n"/>
    </row>
    <row r="76" ht="12.75" customHeight="1" s="7635">
      <c r="B76" s="8043" t="n"/>
      <c r="C76" s="8043" t="n"/>
      <c r="D76" s="9123" t="n"/>
      <c r="E76" s="9123" t="n"/>
      <c r="F76" s="9123" t="n"/>
      <c r="G76" s="11741" t="n"/>
      <c r="H76" s="1066" t="n"/>
      <c r="I76" s="8043" t="n"/>
      <c r="J76" s="8043" t="n"/>
      <c r="K76" s="8043" t="n"/>
      <c r="L76" s="8043" t="n"/>
      <c r="M76" s="8043" t="n"/>
      <c r="N76" s="2" t="n"/>
      <c r="O76" s="8043" t="n"/>
      <c r="P76" s="6908">
        <f>IF($P$74,"Do not enter","")</f>
        <v/>
      </c>
      <c r="Q76" s="8043" t="n"/>
      <c r="R76" s="6909" t="n"/>
      <c r="S76" s="7834" t="n"/>
      <c r="T76" s="7834" t="n"/>
      <c r="U76" s="7834" t="n"/>
      <c r="V76" s="7834" t="n"/>
      <c r="W76" s="3137" t="n"/>
      <c r="X76" s="3132" t="n"/>
      <c r="Y76" s="3132" t="n"/>
      <c r="Z76" s="1022" t="n"/>
      <c r="AA76" s="1022" t="n"/>
      <c r="AB76" s="1022" t="n"/>
      <c r="AC76" s="1022" t="n"/>
      <c r="AD76" s="1022" t="n"/>
      <c r="AE76" s="6774" t="n"/>
      <c r="AF76" s="6774" t="n"/>
      <c r="AG76" s="6774" t="n"/>
      <c r="AH76" s="1022" t="n"/>
      <c r="AI76" s="1022" t="n"/>
      <c r="AJ76" s="3136" t="n"/>
    </row>
    <row r="77" ht="12.75" customHeight="1" s="7635" thickBot="1">
      <c r="G77" s="11743" t="n"/>
      <c r="H77" s="2627" t="n"/>
      <c r="O77" s="8043" t="n"/>
      <c r="P77" s="6908">
        <f>IF($P$74,"an amount","")</f>
        <v/>
      </c>
      <c r="Q77" s="8043" t="n"/>
      <c r="R77" s="9799" t="n"/>
      <c r="S77" s="7834" t="n"/>
      <c r="T77" s="9649">
        <f>T75&amp;"  "&amp;T74</f>
        <v/>
      </c>
      <c r="U77" s="7834" t="n"/>
      <c r="V77" s="7834" t="n"/>
      <c r="W77" s="6877" t="inlineStr">
        <is>
          <t>5.</t>
        </is>
      </c>
      <c r="X77" s="3132" t="n"/>
      <c r="Y77" s="10297" t="inlineStr">
        <is>
          <t>Divide line 3 by line 4. Enter the result as a decimal (rounded to at least three places)</t>
        </is>
      </c>
      <c r="Z77" s="1022" t="n"/>
      <c r="AA77" s="1022" t="n"/>
      <c r="AB77" s="1022" t="n"/>
      <c r="AC77" s="1022" t="n"/>
      <c r="AD77" s="1022" t="n"/>
      <c r="AE77" s="6774" t="n"/>
      <c r="AF77" s="6780" t="inlineStr">
        <is>
          <t>5.</t>
        </is>
      </c>
      <c r="AG77" s="12044">
        <f>IF(OR(AI75=0,X63&lt;&gt;"",AG46,AI48="",NOT(AI70)),"",ROUND(AI68/AI75,6))</f>
        <v/>
      </c>
      <c r="AH77" s="1022" t="n"/>
      <c r="AI77" s="1022" t="n"/>
      <c r="AJ77" s="3136" t="n"/>
    </row>
    <row r="78" ht="15.75" customHeight="1" s="7635">
      <c r="O78" s="8043" t="n"/>
      <c r="P78" s="6908">
        <f>IF($P$74,"on any other","")</f>
        <v/>
      </c>
      <c r="Q78" s="8043" t="n"/>
      <c r="R78" s="9799" t="n"/>
      <c r="T78" s="7834" t="n"/>
      <c r="W78" s="3137" t="n"/>
      <c r="X78" s="10297" t="n"/>
      <c r="Y78" s="3132" t="n"/>
      <c r="Z78" s="1022" t="n"/>
      <c r="AA78" s="1022" t="n"/>
      <c r="AB78" s="1022" t="n"/>
      <c r="AC78" s="1022" t="n"/>
      <c r="AD78" s="1022" t="n"/>
      <c r="AE78" s="1022" t="n"/>
      <c r="AF78" s="1022" t="n"/>
      <c r="AG78" s="1022" t="n"/>
      <c r="AH78" s="1022" t="n"/>
      <c r="AI78" s="1022" t="n"/>
      <c r="AJ78" s="3136" t="n"/>
    </row>
    <row r="79" ht="13.5" customHeight="1" s="7635">
      <c r="O79" s="8043" t="n"/>
      <c r="P79" s="6908">
        <f>IF($P$74,"line of Schedule A.","")</f>
        <v/>
      </c>
      <c r="Q79" s="8043" t="n"/>
      <c r="T79" s="7834" t="n"/>
      <c r="W79" s="6877" t="inlineStr">
        <is>
          <t>6.</t>
        </is>
      </c>
      <c r="X79" s="10297" t="inlineStr">
        <is>
          <t>Did you enter -0- on line 2?</t>
        </is>
      </c>
      <c r="Y79" s="3132" t="n"/>
      <c r="Z79" s="1022" t="n"/>
      <c r="AA79" s="1022" t="n"/>
      <c r="AB79" s="1022" t="n"/>
      <c r="AC79" s="1022" t="n"/>
      <c r="AD79" s="1022" t="n"/>
      <c r="AE79" s="6774" t="n"/>
      <c r="AF79" s="6774" t="n"/>
      <c r="AG79" s="6774" t="n"/>
      <c r="AH79" s="1022" t="n"/>
      <c r="AI79" s="1022" t="n"/>
      <c r="AJ79" s="3136" t="n"/>
    </row>
    <row r="80" ht="6.75" customHeight="1" s="7635" thickBot="1">
      <c r="O80" s="8043" t="n"/>
      <c r="P80" s="6908">
        <f>IF($P$74,"(See instructions.)","")</f>
        <v/>
      </c>
      <c r="Q80" s="8043" t="n"/>
      <c r="T80" s="7834" t="n"/>
      <c r="W80" s="6877" t="n"/>
      <c r="X80" s="10297" t="n"/>
      <c r="Y80" s="3132" t="n"/>
      <c r="Z80" s="1022" t="n"/>
      <c r="AA80" s="1022" t="n"/>
      <c r="AB80" s="1022" t="n"/>
      <c r="AC80" s="1022" t="n"/>
      <c r="AD80" s="1022" t="n"/>
      <c r="AE80" s="6774" t="n"/>
      <c r="AF80" s="6774" t="n"/>
      <c r="AG80" s="6774" t="n"/>
      <c r="AH80" s="1022" t="n"/>
      <c r="AI80" s="1022" t="n"/>
      <c r="AJ80" s="3136" t="n"/>
      <c r="AK80" s="8648" t="n"/>
    </row>
    <row r="81" ht="14.25" customHeight="1" s="7635" thickBot="1">
      <c r="W81" s="3137" t="n"/>
      <c r="X81" s="12045">
        <f>IF(OR(AG46,AI48="",X63&lt;&gt;"",AI70),"","X")</f>
        <v/>
      </c>
      <c r="Y81" s="10297" t="inlineStr">
        <is>
          <t xml:space="preserve"> No. </t>
        </is>
      </c>
      <c r="Z81" s="10297" t="inlineStr">
        <is>
          <t>Multiply line 2 by line 3.</t>
        </is>
      </c>
      <c r="AA81" s="1022" t="n"/>
      <c r="AB81" s="1022" t="n"/>
      <c r="AC81" s="1022" t="n"/>
      <c r="AD81" s="1022" t="n"/>
      <c r="AE81" s="6774" t="n"/>
      <c r="AF81" s="6774" t="n"/>
      <c r="AG81" s="6774" t="n"/>
      <c r="AH81" s="1022" t="n"/>
      <c r="AI81" s="1022" t="n"/>
      <c r="AJ81" s="3136" t="n"/>
      <c r="AK81" s="6912" t="n"/>
    </row>
    <row r="82" ht="9" customHeight="1" s="7635" thickBot="1">
      <c r="W82" s="3137" t="n"/>
      <c r="X82" s="10297" t="n"/>
      <c r="Y82" s="10297" t="n"/>
      <c r="Z82" s="1022" t="n"/>
      <c r="AA82" s="1022" t="n"/>
      <c r="AB82" s="1022" t="n"/>
      <c r="AC82" s="1022" t="n"/>
      <c r="AD82" s="1022" t="n"/>
      <c r="AE82" s="6774" t="n"/>
      <c r="AF82" s="6774" t="n"/>
      <c r="AG82" s="6774" t="n"/>
      <c r="AH82" s="1022" t="n"/>
      <c r="AI82" s="1022" t="n"/>
      <c r="AJ82" s="3136" t="n"/>
      <c r="AK82" s="6912" t="n"/>
    </row>
    <row r="83" ht="14.25" customHeight="1" s="7635" thickBot="1">
      <c r="W83" s="3137" t="n"/>
      <c r="X83" s="1987">
        <f>IF(OR(AG46,AI48=""),"",IF(AND(X63="",AI70),"X",""))</f>
        <v/>
      </c>
      <c r="Y83" s="3132" t="inlineStr">
        <is>
          <t xml:space="preserve"> Yes.</t>
        </is>
      </c>
      <c r="Z83" s="10297" t="inlineStr">
        <is>
          <t>Multiply line 1 by line 5. If you lived in more than one locality in the same state during</t>
        </is>
      </c>
      <c r="AA83" s="1022" t="n"/>
      <c r="AB83" s="1022" t="n"/>
      <c r="AC83" s="1022" t="n"/>
      <c r="AD83" s="1022" t="n"/>
      <c r="AE83" s="6774" t="n"/>
      <c r="AF83" s="6774" t="n"/>
      <c r="AG83" s="6774" t="n"/>
      <c r="AH83" s="1022" t="n"/>
      <c r="AI83" s="1022" t="n"/>
      <c r="AJ83" s="3136" t="n"/>
      <c r="AK83" s="8648" t="n"/>
    </row>
    <row r="84" ht="14.25" customHeight="1" s="7635">
      <c r="W84" s="3137" t="n"/>
      <c r="X84" s="1022" t="n"/>
      <c r="Y84" s="10297">
        <f>TaxYear&amp;", see the instructions for line 6 of the worksheet."</f>
        <v/>
      </c>
      <c r="Z84" s="1022" t="n"/>
      <c r="AA84" s="1022" t="n"/>
      <c r="AB84" s="1022" t="n"/>
      <c r="AC84" s="1022" t="n"/>
      <c r="AD84" s="1022" t="n"/>
      <c r="AE84" s="6774" t="n"/>
      <c r="AF84" s="1022" t="n"/>
      <c r="AG84" s="1022" t="n"/>
      <c r="AH84" s="6780" t="inlineStr">
        <is>
          <t>6.</t>
        </is>
      </c>
      <c r="AI84" s="6871">
        <f>IF(AI48="","",IF(OR(AG46,X63&lt;&gt;""),0,IF(AND(AI70,AG77&lt;&gt;""),ROUND(AI50*AG77,0),ROUND(AI59*AI68,0))))</f>
        <v/>
      </c>
      <c r="AJ84" s="3136" t="n"/>
      <c r="AK84" s="8648" t="n"/>
    </row>
    <row r="85" ht="14.25" customHeight="1" s="7635">
      <c r="W85" s="3137" t="n"/>
      <c r="X85" s="3132" t="n"/>
      <c r="Y85" s="3132" t="n"/>
      <c r="Z85" s="1022" t="n"/>
      <c r="AA85" s="1022" t="n"/>
      <c r="AB85" s="1022" t="n"/>
      <c r="AC85" s="1022" t="n"/>
      <c r="AD85" s="1022" t="n"/>
      <c r="AE85" s="6774" t="n"/>
      <c r="AF85" s="6774" t="n"/>
      <c r="AG85" s="6774" t="n"/>
      <c r="AH85" s="1022" t="n"/>
      <c r="AI85" s="1022" t="n"/>
      <c r="AJ85" s="3136" t="n"/>
      <c r="AK85" s="8648" t="n"/>
    </row>
    <row r="86" ht="14.25" customHeight="1" s="7635">
      <c r="W86" s="6779" t="inlineStr">
        <is>
          <t>7.</t>
        </is>
      </c>
      <c r="X86" s="10297" t="inlineStr">
        <is>
          <t>Enter your state and local general sales taxes paid on specified items, if any.</t>
        </is>
      </c>
      <c r="Y86" s="1022" t="n"/>
      <c r="Z86" s="1022" t="n"/>
      <c r="AA86" s="1022" t="n"/>
      <c r="AB86" s="1022" t="n"/>
      <c r="AC86" s="1022" t="n"/>
      <c r="AD86" s="1022" t="n"/>
      <c r="AE86" s="6774" t="n"/>
      <c r="AF86" s="1022" t="n"/>
      <c r="AG86" s="6774" t="n"/>
      <c r="AH86" s="1022" t="n"/>
      <c r="AI86" s="1022" t="n"/>
      <c r="AJ86" s="3136" t="n"/>
      <c r="AK86" s="8648" t="n"/>
    </row>
    <row r="87" ht="14.25" customHeight="1" s="7635">
      <c r="W87" s="6779" t="n"/>
      <c r="X87" s="10297" t="inlineStr">
        <is>
          <t>See the instructions for line 7 of the worksheet</t>
        </is>
      </c>
      <c r="Y87" s="1022" t="n"/>
      <c r="Z87" s="1022" t="n"/>
      <c r="AA87" s="1022" t="n"/>
      <c r="AB87" s="1022" t="n"/>
      <c r="AC87" s="1022" t="n"/>
      <c r="AD87" s="1022" t="n"/>
      <c r="AE87" s="6774" t="n"/>
      <c r="AF87" s="1022" t="n"/>
      <c r="AG87" s="6774" t="n"/>
      <c r="AH87" s="6780" t="inlineStr">
        <is>
          <t>7.</t>
        </is>
      </c>
      <c r="AI87" s="6234" t="n"/>
      <c r="AJ87" s="3136" t="n"/>
      <c r="AK87" s="8648" t="n"/>
    </row>
    <row r="88" ht="14.25" customHeight="1" s="7635">
      <c r="W88" s="6779" t="n"/>
      <c r="X88" s="10297" t="n"/>
      <c r="Y88" s="1022" t="n"/>
      <c r="Z88" s="1022" t="n"/>
      <c r="AA88" s="1022" t="n"/>
      <c r="AB88" s="1022" t="n"/>
      <c r="AC88" s="1022" t="n"/>
      <c r="AD88" s="1022" t="n"/>
      <c r="AE88" s="6774" t="n"/>
      <c r="AF88" s="1022" t="n"/>
      <c r="AG88" s="6774" t="n"/>
      <c r="AH88" s="1022" t="n"/>
      <c r="AI88" s="6913">
        <f>ROUND(AI87,0)</f>
        <v/>
      </c>
      <c r="AJ88" s="3136" t="n"/>
      <c r="AK88" s="8648" t="n"/>
    </row>
    <row r="89" ht="14.25" customHeight="1" s="7635">
      <c r="W89" s="6779" t="inlineStr">
        <is>
          <t>8.</t>
        </is>
      </c>
      <c r="X89" s="1022" t="inlineStr">
        <is>
          <t>Deduction for general sales taxes. Add lines 1, 6, and 7. Enter the result here and the total from all your state and local</t>
        </is>
      </c>
      <c r="Y89" s="1022" t="n"/>
      <c r="Z89" s="1022" t="n"/>
      <c r="AA89" s="1022" t="n"/>
      <c r="AB89" s="1022" t="n"/>
      <c r="AC89" s="1022" t="n"/>
      <c r="AD89" s="1022" t="n"/>
      <c r="AE89" s="6774" t="n"/>
      <c r="AF89" s="1022" t="n"/>
      <c r="AG89" s="6774" t="n"/>
      <c r="AH89" s="1022" t="n"/>
      <c r="AI89" s="1022" t="n"/>
      <c r="AJ89" s="3136" t="n"/>
      <c r="AK89" s="8648" t="n"/>
    </row>
    <row r="90" ht="14.25" customHeight="1" s="7635" thickBot="1">
      <c r="W90" s="6779" t="n"/>
      <c r="X90" s="10297" t="inlineStr">
        <is>
          <t>general sales tax deduction worksheets, if you completed more than one, on Schedule A, line 5a. Be sure to check the</t>
        </is>
      </c>
      <c r="Y90" s="1022" t="n"/>
      <c r="Z90" s="1022" t="n"/>
      <c r="AA90" s="1022" t="n"/>
      <c r="AB90" s="1022" t="n"/>
      <c r="AC90" s="1022" t="n"/>
      <c r="AD90" s="1022" t="n"/>
      <c r="AE90" s="6774" t="n"/>
      <c r="AF90" s="1022" t="n"/>
      <c r="AG90" s="6774" t="n"/>
      <c r="AH90" s="6774" t="n"/>
      <c r="AI90" s="6774" t="n"/>
      <c r="AJ90" s="3136" t="n"/>
      <c r="AK90" s="8648" t="n"/>
      <c r="AM90" s="8648" t="inlineStr">
        <is>
          <t>Override</t>
        </is>
      </c>
    </row>
    <row r="91" ht="14.25" customHeight="1" s="7635" thickBot="1">
      <c r="W91" s="3137" t="n"/>
      <c r="X91" s="10297" t="inlineStr">
        <is>
          <t>box on that line</t>
        </is>
      </c>
      <c r="Y91" s="1022" t="n"/>
      <c r="Z91" s="1022" t="n"/>
      <c r="AA91" s="1022" t="n"/>
      <c r="AB91" s="1022" t="n"/>
      <c r="AC91" s="1022" t="n"/>
      <c r="AD91" s="1022" t="n"/>
      <c r="AE91" s="6774" t="n"/>
      <c r="AF91" s="1022" t="n"/>
      <c r="AG91" s="6774" t="n"/>
      <c r="AH91" s="6780" t="inlineStr">
        <is>
          <t>8.</t>
        </is>
      </c>
      <c r="AI91" s="6871">
        <f>IF(AM91&lt;&gt;"",ROUND(AM91,0),IF(AND(AI48="",AI84="",AI87=""),"",SUM(AI50,AI84,AI88)))</f>
        <v/>
      </c>
      <c r="AJ91" s="3136" t="n"/>
      <c r="AK91" s="8648" t="n"/>
      <c r="AM91" s="6236" t="n"/>
    </row>
    <row r="92" ht="14.25" customHeight="1" s="7635" thickBot="1">
      <c r="W92" s="6851" t="n"/>
      <c r="X92" s="6815" t="n"/>
      <c r="Y92" s="6815" t="n"/>
      <c r="Z92" s="6815" t="n"/>
      <c r="AA92" s="6815" t="n"/>
      <c r="AB92" s="6815" t="n"/>
      <c r="AC92" s="6815" t="n"/>
      <c r="AD92" s="6815" t="n"/>
      <c r="AE92" s="6852" t="n"/>
      <c r="AF92" s="6815" t="n"/>
      <c r="AG92" s="6852" t="n"/>
      <c r="AH92" s="6815" t="n"/>
      <c r="AI92" s="6815" t="n"/>
      <c r="AJ92" s="3174" t="n"/>
      <c r="AK92" s="8648" t="n"/>
    </row>
    <row r="93" ht="14.25" customHeight="1" s="7635" thickBot="1">
      <c r="AK93" s="8648" t="n"/>
    </row>
    <row r="94" ht="14.25" customHeight="1" s="7635">
      <c r="W94" s="6825" t="n"/>
      <c r="X94" s="496" t="n"/>
      <c r="Y94" s="377" t="n"/>
      <c r="Z94" s="377" t="n"/>
      <c r="AA94" s="377" t="n"/>
      <c r="AB94" s="377" t="n"/>
      <c r="AC94" s="377" t="n"/>
      <c r="AD94" s="377" t="n"/>
      <c r="AE94" s="6853" t="n"/>
      <c r="AF94" s="377" t="n"/>
      <c r="AG94" s="6853" t="n"/>
      <c r="AH94" s="6853" t="n"/>
      <c r="AI94" s="6853" t="n"/>
      <c r="AJ94" s="378" t="n"/>
      <c r="AK94" s="8648" t="n"/>
    </row>
    <row r="95" ht="14.25" customHeight="1" s="7635">
      <c r="W95" s="6826" t="inlineStr">
        <is>
          <t>State and Local Tax Deduction Worksheet -- Line 5e</t>
        </is>
      </c>
      <c r="X95" s="11602" t="n"/>
      <c r="Y95" s="11602" t="n"/>
      <c r="Z95" s="11602" t="n"/>
      <c r="AA95" s="11602" t="n"/>
      <c r="AB95" s="11602" t="n"/>
      <c r="AC95" s="11602" t="n"/>
      <c r="AD95" s="11602" t="n"/>
      <c r="AE95" s="2320" t="n"/>
      <c r="AF95" s="11602" t="n"/>
      <c r="AG95" s="2320" t="n"/>
      <c r="AH95" s="2320" t="n"/>
      <c r="AI95" s="2320" t="n"/>
      <c r="AJ95" s="379" t="n"/>
      <c r="AK95" s="8648" t="n"/>
      <c r="AM95" s="801" t="n"/>
      <c r="AN95" s="801" t="n"/>
    </row>
    <row r="96" ht="14.25" customHeight="1" s="7635" thickBot="1">
      <c r="W96" s="6829" t="n"/>
      <c r="X96" s="380" t="n"/>
      <c r="Y96" s="380" t="n"/>
      <c r="Z96" s="380" t="n"/>
      <c r="AA96" s="380" t="n"/>
      <c r="AB96" s="380" t="n"/>
      <c r="AC96" s="380" t="n"/>
      <c r="AD96" s="380" t="n"/>
      <c r="AE96" s="380" t="n"/>
      <c r="AF96" s="380" t="n"/>
      <c r="AG96" s="380" t="n"/>
      <c r="AH96" s="380" t="n"/>
      <c r="AI96" s="380" t="n"/>
      <c r="AJ96" s="381" t="n"/>
      <c r="AK96" s="8648" t="n"/>
      <c r="AM96" s="7562" t="n"/>
      <c r="AN96" s="7562" t="n"/>
    </row>
    <row r="97" ht="14.25" customHeight="1" s="7635">
      <c r="W97" s="6914" t="inlineStr">
        <is>
          <t xml:space="preserve"> Before you begin:    P</t>
        </is>
      </c>
      <c r="X97" s="377" t="n"/>
      <c r="Y97" s="377" t="n"/>
      <c r="Z97" s="6915" t="n"/>
      <c r="AA97" s="516">
        <f>"If the amount on Schedule A, line 5d is "&amp;TEXT($T$14,"$0,000")&amp;" ("&amp;TEXT($T$15,"$0,000")&amp;" if married filing separately) or less, enter the amount"</f>
        <v/>
      </c>
      <c r="AB97" s="377" t="n"/>
      <c r="AC97" s="377" t="n"/>
      <c r="AD97" s="377" t="n"/>
      <c r="AE97" s="6916" t="n"/>
      <c r="AF97" s="377" t="n"/>
      <c r="AG97" s="6916" t="n"/>
      <c r="AH97" s="377" t="n"/>
      <c r="AI97" s="377" t="n"/>
      <c r="AJ97" s="378" t="n"/>
      <c r="AK97" s="8648" t="n"/>
      <c r="AM97" s="7562" t="n"/>
      <c r="AN97" s="7562" t="n"/>
    </row>
    <row r="98" ht="14.25" customHeight="1" s="7635">
      <c r="W98" s="6917" t="n"/>
      <c r="X98" s="11602" t="n"/>
      <c r="Y98" s="11602" t="n"/>
      <c r="Z98" s="11602" t="n"/>
      <c r="AA98" s="344" t="inlineStr">
        <is>
          <t>from Schedule A, line 5d on Schedule A, line 5e. You don’t have to complete this worksheet.</t>
        </is>
      </c>
      <c r="AB98" s="11602" t="n"/>
      <c r="AC98" s="11602" t="n"/>
      <c r="AD98" s="11602" t="n"/>
      <c r="AE98" s="6918" t="n"/>
      <c r="AF98" s="6918" t="n"/>
      <c r="AG98" s="6918" t="n"/>
      <c r="AH98" s="11602" t="n"/>
      <c r="AI98" s="11602" t="n"/>
      <c r="AJ98" s="379" t="n"/>
      <c r="AK98" s="8648" t="n"/>
      <c r="AM98" s="7834" t="n"/>
      <c r="AN98" s="7834" t="n"/>
    </row>
    <row r="99" ht="14.25" customHeight="1" s="7635" thickBot="1">
      <c r="W99" s="6829" t="n"/>
      <c r="X99" s="380" t="n"/>
      <c r="Y99" s="380" t="n"/>
      <c r="Z99" s="6919" t="n"/>
      <c r="AA99" s="498" t="n"/>
      <c r="AB99" s="380" t="n"/>
      <c r="AC99" s="380" t="n"/>
      <c r="AD99" s="380" t="n"/>
      <c r="AE99" s="11510" t="n"/>
      <c r="AF99" s="380" t="n"/>
      <c r="AG99" s="6920" t="n"/>
      <c r="AH99" s="380" t="n"/>
      <c r="AI99" s="380" t="n"/>
      <c r="AJ99" s="381" t="n"/>
      <c r="AK99" s="8648" t="n"/>
      <c r="AM99" s="12046" t="n"/>
      <c r="AN99" s="12046" t="n"/>
    </row>
    <row r="100" ht="14.25" customHeight="1" s="7635">
      <c r="W100" s="3137" t="n"/>
      <c r="X100" s="1022" t="n"/>
      <c r="Y100" s="1022" t="n"/>
      <c r="Z100" s="1022" t="n"/>
      <c r="AA100" s="1022" t="n"/>
      <c r="AB100" s="1022" t="n"/>
      <c r="AC100" s="1022" t="n"/>
      <c r="AD100" s="1022" t="n"/>
      <c r="AE100" s="6922" t="n"/>
      <c r="AF100" s="1022" t="n"/>
      <c r="AG100" s="6774">
        <f>K24</f>
        <v/>
      </c>
      <c r="AH100" s="1022" t="n"/>
      <c r="AI100" s="1022" t="n"/>
      <c r="AJ100" s="3136" t="n"/>
      <c r="AK100" s="8648" t="n"/>
      <c r="AM100" s="12046" t="n"/>
      <c r="AN100" s="12046" t="n"/>
    </row>
    <row r="101" ht="14.25" customHeight="1" s="7635">
      <c r="W101" s="6779" t="inlineStr">
        <is>
          <t>1.</t>
        </is>
      </c>
      <c r="X101" s="10297">
        <f>"Is the amount on Schedule A, line 5d more than "&amp;TEXT($T$14,"$0,000")&amp;" ("&amp;TEXT($T$15,"$0,000")&amp;" if married filing separately)?"</f>
        <v/>
      </c>
      <c r="Y101" s="1022" t="n"/>
      <c r="Z101" s="1022" t="n"/>
      <c r="AA101" s="1022" t="n"/>
      <c r="AB101" s="1022" t="n"/>
      <c r="AC101" s="1022" t="n"/>
      <c r="AD101" s="1022" t="n"/>
      <c r="AE101" s="6922" t="n"/>
      <c r="AF101" s="1022" t="n"/>
      <c r="AG101" s="6923">
        <f>P28</f>
        <v/>
      </c>
      <c r="AH101" s="1022" t="n"/>
      <c r="AI101" s="1022" t="n"/>
      <c r="AJ101" s="3136" t="n"/>
      <c r="AK101" s="8648" t="n"/>
      <c r="AM101" s="12046" t="n"/>
      <c r="AN101" s="12046" t="n"/>
    </row>
    <row r="102" ht="14.25" customHeight="1" s="7635" thickBot="1">
      <c r="W102" s="3137" t="n"/>
      <c r="X102" s="1022" t="n"/>
      <c r="Y102" s="1022" t="n"/>
      <c r="Z102" s="1022" t="n"/>
      <c r="AA102" s="1022" t="n"/>
      <c r="AB102" s="1022" t="n"/>
      <c r="AC102" s="1022" t="n"/>
      <c r="AD102" s="1022" t="n"/>
      <c r="AE102" s="6922" t="n"/>
      <c r="AF102" s="1022" t="n"/>
      <c r="AG102" s="6774" t="n"/>
      <c r="AH102" s="1022" t="n"/>
      <c r="AI102" s="1022" t="n"/>
      <c r="AJ102" s="3136" t="n"/>
      <c r="AK102" s="8648" t="n"/>
      <c r="AM102" s="12046" t="n"/>
      <c r="AN102" s="12046" t="n"/>
    </row>
    <row r="103" ht="14.25" customHeight="1" s="7635" thickBot="1">
      <c r="W103" s="3137" t="n"/>
      <c r="X103" s="277">
        <f>IF(AG101,"","X")</f>
        <v/>
      </c>
      <c r="Y103" s="10297" t="inlineStr">
        <is>
          <t xml:space="preserve"> No. </t>
        </is>
      </c>
      <c r="Z103" s="6881" t="inlineStr">
        <is>
          <t>STOP</t>
        </is>
      </c>
      <c r="AA103" s="10297" t="inlineStr">
        <is>
          <t>Your deduction isn't limited. Enter the amount from Schedule A, line 5d on</t>
        </is>
      </c>
      <c r="AB103" s="1022" t="n"/>
      <c r="AC103" s="1022" t="n"/>
      <c r="AD103" s="1022" t="n"/>
      <c r="AE103" s="6922" t="n"/>
      <c r="AF103" s="1022" t="n"/>
      <c r="AG103" s="6774" t="n"/>
      <c r="AH103" s="1022" t="n"/>
      <c r="AI103" s="1022" t="n"/>
      <c r="AJ103" s="3136" t="n"/>
      <c r="AK103" s="8648" t="n"/>
      <c r="AM103" s="12046" t="n"/>
      <c r="AN103" s="12046" t="n"/>
    </row>
    <row r="104" ht="14.25" customHeight="1" s="7635">
      <c r="W104" s="3137" t="n"/>
      <c r="X104" s="1022" t="n"/>
      <c r="Y104" s="1022" t="n"/>
      <c r="Z104" s="1022" t="inlineStr">
        <is>
          <t>Schedule A, line 5e. Don't complete the rest of this worksheet.</t>
        </is>
      </c>
      <c r="AA104" s="1022" t="n"/>
      <c r="AB104" s="1022" t="n"/>
      <c r="AC104" s="1022" t="n"/>
      <c r="AD104" s="1022" t="n"/>
      <c r="AE104" s="6922" t="n"/>
      <c r="AF104" s="1022" t="n"/>
      <c r="AG104" s="6774" t="n"/>
      <c r="AH104" s="1022" t="n"/>
      <c r="AI104" s="1022" t="n"/>
      <c r="AJ104" s="3136" t="n"/>
      <c r="AK104" s="8648" t="n"/>
      <c r="AM104" s="12046" t="n"/>
      <c r="AN104" s="12046" t="n"/>
    </row>
    <row r="105" ht="14.25" customHeight="1" s="7635" thickBot="1">
      <c r="W105" s="3137" t="n"/>
      <c r="X105" s="1022" t="n"/>
      <c r="Y105" s="1022" t="n"/>
      <c r="Z105" s="1022" t="n"/>
      <c r="AA105" s="1022" t="n"/>
      <c r="AB105" s="1022" t="n"/>
      <c r="AC105" s="1022" t="n"/>
      <c r="AD105" s="1022" t="n"/>
      <c r="AE105" s="6922" t="n"/>
      <c r="AF105" s="1022" t="n"/>
      <c r="AG105" s="6774" t="n"/>
      <c r="AH105" s="1022" t="n"/>
      <c r="AI105" s="1022" t="n"/>
      <c r="AJ105" s="3136" t="n"/>
      <c r="AK105" s="8648" t="n"/>
      <c r="AM105" s="12046" t="n"/>
      <c r="AN105" s="12046" t="n"/>
    </row>
    <row r="106" ht="14.25" customHeight="1" s="7635" thickBot="1">
      <c r="W106" s="3137" t="n"/>
      <c r="X106" s="277">
        <f>IF(AG101,"X","")</f>
        <v/>
      </c>
      <c r="Y106" s="3132" t="inlineStr">
        <is>
          <t xml:space="preserve"> Yes.</t>
        </is>
      </c>
      <c r="Z106" s="6924">
        <f>"Enter "&amp;TEXT(P17,"$0,000")&amp;" ("&amp;TEXT(P16,"$0,000")&amp;" if married filing separately)."</f>
        <v/>
      </c>
      <c r="AA106" s="1022" t="n"/>
      <c r="AB106" s="1022" t="n"/>
      <c r="AC106" s="1022" t="n"/>
      <c r="AD106" s="1022" t="n"/>
      <c r="AE106" s="6922" t="n"/>
      <c r="AF106" s="1022" t="n"/>
      <c r="AG106" s="3063" t="n"/>
      <c r="AH106" s="6780" t="inlineStr">
        <is>
          <t>1.</t>
        </is>
      </c>
      <c r="AI106" s="6871">
        <f>IF($AG$101,P21,"")</f>
        <v/>
      </c>
      <c r="AJ106" s="3136" t="n"/>
      <c r="AK106" s="8648" t="n"/>
      <c r="AM106" s="12046" t="n"/>
      <c r="AN106" s="12046" t="n"/>
    </row>
    <row r="107" ht="14.25" customHeight="1" s="7635">
      <c r="W107" s="3137" t="n"/>
      <c r="X107" s="1022" t="n"/>
      <c r="Y107" s="1022" t="n"/>
      <c r="Z107" s="6994">
        <f>"NOTE: The IRS worksheet erroneously leaves out the "&amp;TEXT($P$16,"$0,000")&amp;", if filing separately, amount."</f>
        <v/>
      </c>
      <c r="AA107" s="1022" t="n"/>
      <c r="AB107" s="1022" t="n"/>
      <c r="AC107" s="1022" t="n"/>
      <c r="AD107" s="1022" t="n"/>
      <c r="AE107" s="6922" t="n"/>
      <c r="AF107" s="1022" t="n"/>
      <c r="AG107" s="6774" t="n"/>
      <c r="AH107" s="1022" t="n"/>
      <c r="AI107" s="1022" t="n"/>
      <c r="AJ107" s="3136" t="n"/>
      <c r="AK107" s="8648" t="n"/>
      <c r="AM107" s="12046" t="n"/>
      <c r="AN107" s="12046" t="n"/>
    </row>
    <row r="108" ht="14.25" customHeight="1" s="7635">
      <c r="W108" s="6779" t="inlineStr">
        <is>
          <t>2.</t>
        </is>
      </c>
      <c r="X108" s="6924" t="inlineStr">
        <is>
          <t>Enter the amount from Form 1040 or 1040-SR, line 11b</t>
        </is>
      </c>
      <c r="Y108" s="1022" t="n"/>
      <c r="Z108" s="1022" t="n"/>
      <c r="AA108" s="1022" t="n"/>
      <c r="AB108" s="1022" t="n"/>
      <c r="AC108" s="1022" t="n"/>
      <c r="AD108" s="1022" t="n"/>
      <c r="AE108" s="6922" t="n"/>
      <c r="AF108" s="1022" t="n"/>
      <c r="AG108" s="6774" t="n"/>
      <c r="AH108" s="6780" t="inlineStr">
        <is>
          <t>2.</t>
        </is>
      </c>
      <c r="AI108" s="6871">
        <f>IF($AG$101,Adj_Gross_Inc_Pg2,"")</f>
        <v/>
      </c>
      <c r="AJ108" s="3136" t="n"/>
      <c r="AK108" s="8648" t="n"/>
      <c r="AM108" s="12046" t="n"/>
      <c r="AN108" s="12046" t="n"/>
    </row>
    <row r="109" ht="14.25" customHeight="1" s="7635">
      <c r="W109" s="3137" t="n"/>
      <c r="X109" s="1022" t="n"/>
      <c r="Y109" s="1022" t="n"/>
      <c r="Z109" s="1022" t="n"/>
      <c r="AA109" s="1022" t="n"/>
      <c r="AB109" s="1022" t="n"/>
      <c r="AC109" s="1022" t="n"/>
      <c r="AD109" s="1022" t="n"/>
      <c r="AE109" s="6922" t="n"/>
      <c r="AF109" s="1022" t="n"/>
      <c r="AG109" s="6774" t="n"/>
      <c r="AH109" s="1022" t="n"/>
      <c r="AI109" s="1022" t="n"/>
      <c r="AJ109" s="3136" t="n"/>
      <c r="AK109" s="8648" t="n"/>
      <c r="AM109" s="12046" t="n"/>
      <c r="AN109" s="12046" t="n"/>
    </row>
    <row r="110" ht="14.25" customHeight="1" s="7635">
      <c r="W110" s="6779" t="inlineStr">
        <is>
          <t>3a.</t>
        </is>
      </c>
      <c r="X110" s="6924" t="inlineStr">
        <is>
          <t>Enter any income from Puerto Rico that you excluded</t>
        </is>
      </c>
      <c r="Y110" s="1022" t="n"/>
      <c r="Z110" s="1022" t="n"/>
      <c r="AA110" s="1022" t="n"/>
      <c r="AB110" s="1022" t="n"/>
      <c r="AC110" s="1022" t="n"/>
      <c r="AD110" s="1022" t="n"/>
      <c r="AE110" s="6922" t="n"/>
      <c r="AF110" s="6780" t="inlineStr">
        <is>
          <t>3a.</t>
        </is>
      </c>
      <c r="AG110" s="6234" t="n"/>
      <c r="AH110" s="1022" t="n"/>
      <c r="AI110" s="6774">
        <f>IF(AG110&lt;&gt;"",ROUND(AG110,0),0)</f>
        <v/>
      </c>
      <c r="AJ110" s="3136" t="n"/>
      <c r="AK110" s="8648" t="n"/>
      <c r="AM110" s="12046" t="n"/>
      <c r="AN110" s="12046" t="n"/>
    </row>
    <row r="111" ht="14.25" customHeight="1" s="7635">
      <c r="W111" s="3137" t="n"/>
      <c r="X111" s="6924" t="n"/>
      <c r="Y111" s="1022" t="n"/>
      <c r="Z111" s="1022" t="n"/>
      <c r="AA111" s="1022" t="n"/>
      <c r="AB111" s="1022" t="n"/>
      <c r="AC111" s="1022" t="n"/>
      <c r="AD111" s="1022" t="n"/>
      <c r="AE111" s="6922" t="n"/>
      <c r="AF111" s="1022" t="n"/>
      <c r="AG111" s="6774" t="n"/>
      <c r="AH111" s="1022" t="n"/>
      <c r="AI111" s="1022" t="n"/>
      <c r="AJ111" s="3136" t="n"/>
      <c r="AK111" s="8648" t="n"/>
      <c r="AM111" s="12046" t="n"/>
      <c r="AN111" s="12046" t="n"/>
    </row>
    <row r="112" ht="14.25" customHeight="1" s="7635">
      <c r="W112" s="3137" t="inlineStr">
        <is>
          <t>b.</t>
        </is>
      </c>
      <c r="X112" s="6924" t="inlineStr">
        <is>
          <t>Enter the amount from Form 2555, line 45</t>
        </is>
      </c>
      <c r="Y112" s="1022" t="n"/>
      <c r="Z112" s="1022" t="n"/>
      <c r="AA112" s="1022" t="n"/>
      <c r="AB112" s="1022" t="n"/>
      <c r="AC112" s="1022" t="n"/>
      <c r="AD112" s="1022" t="n"/>
      <c r="AE112" s="6922" t="n"/>
      <c r="AF112" s="6780" t="inlineStr">
        <is>
          <t>3b.</t>
        </is>
      </c>
      <c r="AG112" s="6871">
        <f>IF(AG101,F2555_Line45_Total,"")</f>
        <v/>
      </c>
      <c r="AH112" s="1022" t="n"/>
      <c r="AI112" s="1022" t="n"/>
      <c r="AJ112" s="3136" t="n"/>
      <c r="AK112" s="8648" t="n"/>
      <c r="AM112" s="12046" t="n"/>
      <c r="AN112" s="12046" t="n"/>
    </row>
    <row r="113" ht="14.25" customHeight="1" s="7635">
      <c r="W113" s="3137" t="n"/>
      <c r="X113" s="6924" t="n"/>
      <c r="Y113" s="1022" t="n"/>
      <c r="Z113" s="1022" t="n"/>
      <c r="AA113" s="1022" t="n"/>
      <c r="AB113" s="1022" t="n"/>
      <c r="AC113" s="1022" t="n"/>
      <c r="AD113" s="1022" t="n"/>
      <c r="AE113" s="6922" t="n"/>
      <c r="AF113" s="1022" t="n"/>
      <c r="AG113" s="6774" t="n"/>
      <c r="AH113" s="1022" t="n"/>
      <c r="AI113" s="1022" t="n"/>
      <c r="AJ113" s="3136" t="n"/>
      <c r="AK113" s="8648" t="n"/>
      <c r="AM113" s="12046" t="n"/>
      <c r="AN113" s="12046" t="n"/>
    </row>
    <row r="114" ht="14.25" customHeight="1" s="7635">
      <c r="W114" s="3137" t="inlineStr">
        <is>
          <t>c.</t>
        </is>
      </c>
      <c r="X114" s="6925" t="inlineStr">
        <is>
          <t>Enter the amount from Form 2555, line 50</t>
        </is>
      </c>
      <c r="Y114" s="1022" t="n"/>
      <c r="Z114" s="1022" t="n"/>
      <c r="AA114" s="1022" t="n"/>
      <c r="AB114" s="1022" t="n"/>
      <c r="AC114" s="1022" t="n"/>
      <c r="AD114" s="1022" t="n"/>
      <c r="AE114" s="6922" t="n"/>
      <c r="AF114" s="6780" t="inlineStr">
        <is>
          <t>3c.</t>
        </is>
      </c>
      <c r="AG114" s="6871">
        <f>IF(AG103,ForeignHousingDeductionTotal,"")</f>
        <v/>
      </c>
      <c r="AH114" s="1022" t="n"/>
      <c r="AI114" s="1022" t="n"/>
      <c r="AJ114" s="3136" t="n"/>
      <c r="AK114" s="8648" t="n"/>
      <c r="AM114" s="12046" t="n"/>
      <c r="AN114" s="12046" t="n"/>
    </row>
    <row r="115" ht="14.25" customHeight="1" s="7635">
      <c r="W115" s="3137" t="n"/>
      <c r="X115" s="6924" t="n"/>
      <c r="Y115" s="1022" t="n"/>
      <c r="Z115" s="1022" t="n"/>
      <c r="AA115" s="1022" t="n"/>
      <c r="AB115" s="1022" t="n"/>
      <c r="AC115" s="1022" t="n"/>
      <c r="AD115" s="1022" t="n"/>
      <c r="AE115" s="6922" t="n"/>
      <c r="AF115" s="1022" t="n"/>
      <c r="AG115" s="6774" t="n"/>
      <c r="AH115" s="1022" t="n"/>
      <c r="AI115" s="1022" t="n"/>
      <c r="AJ115" s="3136" t="n"/>
      <c r="AK115" s="8648" t="n"/>
      <c r="AM115" s="12046" t="n"/>
      <c r="AN115" s="12046" t="n"/>
    </row>
    <row r="116" ht="14.25" customHeight="1" s="7635">
      <c r="W116" s="3137" t="inlineStr">
        <is>
          <t>d.</t>
        </is>
      </c>
      <c r="X116" s="6925" t="inlineStr">
        <is>
          <t>Enter the amount from Form 4563, line 15</t>
        </is>
      </c>
      <c r="Y116" s="1022" t="n"/>
      <c r="Z116" s="1022" t="n"/>
      <c r="AA116" s="1022" t="n"/>
      <c r="AB116" s="1022" t="n"/>
      <c r="AC116" s="1022" t="n"/>
      <c r="AD116" s="1022" t="n"/>
      <c r="AE116" s="6922" t="n"/>
      <c r="AF116" s="6780" t="inlineStr">
        <is>
          <t>3d.</t>
        </is>
      </c>
      <c r="AG116" s="6234" t="n"/>
      <c r="AH116" s="1022" t="n"/>
      <c r="AI116" s="6774">
        <f>IF(AG116&lt;&gt;"",ROUND(AG116,0),0)</f>
        <v/>
      </c>
      <c r="AJ116" s="3136" t="n"/>
      <c r="AK116" s="8648" t="n"/>
      <c r="AM116" s="12046" t="n"/>
      <c r="AN116" s="12046" t="n"/>
    </row>
    <row r="117" ht="14.25" customHeight="1" s="7635">
      <c r="W117" s="3137" t="n"/>
      <c r="X117" s="6924" t="n"/>
      <c r="Y117" s="1022" t="n"/>
      <c r="Z117" s="1022" t="n"/>
      <c r="AA117" s="1022" t="n"/>
      <c r="AB117" s="1022" t="n"/>
      <c r="AC117" s="1022" t="n"/>
      <c r="AD117" s="1022" t="n"/>
      <c r="AE117" s="6922" t="n"/>
      <c r="AF117" s="1022" t="n"/>
      <c r="AG117" s="6774" t="n"/>
      <c r="AH117" s="1022" t="n"/>
      <c r="AI117" s="1022" t="n"/>
      <c r="AJ117" s="3136" t="n"/>
      <c r="AK117" s="8648" t="n"/>
      <c r="AM117" s="12046" t="n"/>
      <c r="AN117" s="12046" t="n"/>
    </row>
    <row r="118" ht="14.25" customHeight="1" s="7635">
      <c r="W118" s="3137" t="inlineStr">
        <is>
          <t>e.</t>
        </is>
      </c>
      <c r="X118" s="6925" t="inlineStr">
        <is>
          <t>Add lines 3a through 3d</t>
        </is>
      </c>
      <c r="Y118" s="1022" t="n"/>
      <c r="Z118" s="1022" t="n"/>
      <c r="AA118" s="1022" t="n"/>
      <c r="AB118" s="1022" t="n"/>
      <c r="AC118" s="1022" t="n"/>
      <c r="AD118" s="1022" t="n"/>
      <c r="AE118" s="6922" t="n"/>
      <c r="AF118" s="1022" t="n"/>
      <c r="AG118" s="6774" t="n"/>
      <c r="AH118" s="6780" t="inlineStr">
        <is>
          <t>3e.</t>
        </is>
      </c>
      <c r="AI118" s="6871">
        <f>IF(AG101,SUM(AI110,AG112,AG114,AI116),"")</f>
        <v/>
      </c>
      <c r="AJ118" s="3136" t="n"/>
      <c r="AK118" s="8648" t="n"/>
      <c r="AM118" s="12046" t="n"/>
      <c r="AN118" s="12046" t="n"/>
    </row>
    <row r="119" ht="14.25" customHeight="1" s="7635">
      <c r="W119" s="3137" t="n"/>
      <c r="X119" s="6924" t="n"/>
      <c r="Y119" s="1022" t="n"/>
      <c r="Z119" s="1022" t="n"/>
      <c r="AA119" s="1022" t="n"/>
      <c r="AB119" s="1022" t="n"/>
      <c r="AC119" s="1022" t="n"/>
      <c r="AD119" s="1022" t="n"/>
      <c r="AE119" s="6922" t="n"/>
      <c r="AF119" s="1022" t="n"/>
      <c r="AG119" s="6774" t="n"/>
      <c r="AH119" s="1022" t="n"/>
      <c r="AI119" s="1022" t="n"/>
      <c r="AJ119" s="3136" t="n"/>
      <c r="AK119" s="8648" t="n"/>
      <c r="AM119" s="12046" t="n"/>
      <c r="AN119" s="12046" t="n"/>
    </row>
    <row r="120" ht="14.25" customHeight="1" s="7635">
      <c r="W120" s="6779" t="inlineStr">
        <is>
          <t>4.</t>
        </is>
      </c>
      <c r="X120" s="6925" t="inlineStr">
        <is>
          <t>Add lines 2 and 3e</t>
        </is>
      </c>
      <c r="Y120" s="1022" t="n"/>
      <c r="Z120" s="1022" t="n"/>
      <c r="AA120" s="1022" t="n"/>
      <c r="AB120" s="1022" t="n"/>
      <c r="AC120" s="1022" t="n"/>
      <c r="AD120" s="1022" t="n"/>
      <c r="AE120" s="6922" t="n"/>
      <c r="AF120" s="1022" t="n"/>
      <c r="AG120" s="6774" t="n"/>
      <c r="AH120" s="6780" t="inlineStr">
        <is>
          <t>4.</t>
        </is>
      </c>
      <c r="AI120" s="6871">
        <f>IF(AG101,SUM(AI108,AI118),"")</f>
        <v/>
      </c>
      <c r="AJ120" s="3136" t="n"/>
      <c r="AK120" s="8648" t="n"/>
      <c r="AM120" s="12046" t="n"/>
      <c r="AN120" s="12046" t="n"/>
    </row>
    <row r="121" ht="14.25" customHeight="1" s="7635">
      <c r="W121" s="3137" t="n"/>
      <c r="X121" s="6925" t="n"/>
      <c r="Y121" s="1022" t="n"/>
      <c r="Z121" s="1022" t="n"/>
      <c r="AA121" s="1022" t="n"/>
      <c r="AB121" s="1022" t="n"/>
      <c r="AC121" s="1022" t="n"/>
      <c r="AD121" s="1022" t="n"/>
      <c r="AE121" s="6922" t="n"/>
      <c r="AF121" s="1022" t="n"/>
      <c r="AG121" s="6774" t="n"/>
      <c r="AH121" s="1022" t="n"/>
      <c r="AI121" s="1022" t="n"/>
      <c r="AJ121" s="3136" t="n"/>
      <c r="AK121" s="8648" t="n"/>
      <c r="AM121" s="12046" t="n"/>
      <c r="AN121" s="12046" t="n"/>
    </row>
    <row r="122" ht="14.25" customHeight="1" s="7635">
      <c r="W122" s="6779" t="inlineStr">
        <is>
          <t>5.</t>
        </is>
      </c>
      <c r="X122" s="6925">
        <f>"Enter "&amp;TEXT(T21,"$0,000")&amp;" ("&amp;TEXT(T22,"$0,000")&amp;" if married filing separately)"</f>
        <v/>
      </c>
      <c r="Y122" s="1022" t="n"/>
      <c r="Z122" s="1022" t="n"/>
      <c r="AA122" s="1022" t="n"/>
      <c r="AB122" s="1022" t="n"/>
      <c r="AC122" s="1022" t="n"/>
      <c r="AD122" s="1022" t="n"/>
      <c r="AE122" s="6922" t="n"/>
      <c r="AF122" s="1022" t="n"/>
      <c r="AG122" s="6774" t="n"/>
      <c r="AH122" s="6780" t="inlineStr">
        <is>
          <t>5.</t>
        </is>
      </c>
      <c r="AI122" s="6871">
        <f>IF(AND($AG$101,File_Marr_Sep&lt;&gt;""),T22,IF($AG$101,T21,""))</f>
        <v/>
      </c>
      <c r="AJ122" s="3136" t="n"/>
      <c r="AK122" s="8648" t="n"/>
      <c r="AM122" s="12046" t="n"/>
      <c r="AN122" s="12046" t="n"/>
    </row>
    <row r="123" ht="14.25" customHeight="1" s="7635">
      <c r="W123" s="6779" t="n"/>
      <c r="X123" s="6925" t="n"/>
      <c r="Y123" s="1022" t="n"/>
      <c r="Z123" s="1022" t="n"/>
      <c r="AA123" s="1022" t="n"/>
      <c r="AB123" s="1022" t="n"/>
      <c r="AC123" s="1022" t="n"/>
      <c r="AD123" s="1022" t="n"/>
      <c r="AE123" s="6922" t="n"/>
      <c r="AF123" s="1022" t="n"/>
      <c r="AG123" s="6774" t="n"/>
      <c r="AH123" s="1022" t="n"/>
      <c r="AI123" s="1022" t="n"/>
      <c r="AJ123" s="3136" t="n"/>
      <c r="AK123" s="8648" t="n"/>
      <c r="AM123" s="12046" t="n"/>
      <c r="AN123" s="12046" t="n"/>
    </row>
    <row r="124" ht="14.25" customHeight="1" s="7635">
      <c r="W124" s="6779" t="inlineStr">
        <is>
          <t>6.</t>
        </is>
      </c>
      <c r="X124" s="6925" t="inlineStr">
        <is>
          <t>Is the amount on line 4 more than the amount on line 5?</t>
        </is>
      </c>
      <c r="Y124" s="1022" t="n"/>
      <c r="Z124" s="1022" t="n"/>
      <c r="AA124" s="1022" t="n"/>
      <c r="AB124" s="1022" t="n"/>
      <c r="AC124" s="1022" t="n"/>
      <c r="AD124" s="1022" t="n"/>
      <c r="AE124" s="6922" t="n"/>
      <c r="AF124" s="1022" t="n"/>
      <c r="AG124" s="6774" t="n"/>
      <c r="AH124" s="1022" t="n"/>
      <c r="AI124" s="6774">
        <f>AND(AG101,AI120&gt;AI122)</f>
        <v/>
      </c>
      <c r="AJ124" s="3136" t="n"/>
      <c r="AK124" s="8648" t="n"/>
    </row>
    <row r="125" ht="14.25" customHeight="1" s="7635" thickBot="1">
      <c r="W125" s="6779" t="n"/>
      <c r="X125" s="6925" t="n"/>
      <c r="Y125" s="1022" t="n"/>
      <c r="Z125" s="1022" t="n"/>
      <c r="AA125" s="1022" t="n"/>
      <c r="AB125" s="1022" t="n"/>
      <c r="AC125" s="1022" t="n"/>
      <c r="AD125" s="1022" t="n"/>
      <c r="AE125" s="6922" t="n"/>
      <c r="AF125" s="1022" t="n"/>
      <c r="AG125" s="6774" t="n"/>
      <c r="AH125" s="1022" t="n"/>
      <c r="AI125" s="1022" t="n"/>
      <c r="AJ125" s="3136" t="n"/>
      <c r="AK125" s="8648" t="n"/>
    </row>
    <row r="126" ht="14.25" customHeight="1" s="7635" thickBot="1">
      <c r="W126" s="3137" t="n"/>
      <c r="X126" s="1987">
        <f>IF(AND(AG101,NOT(AI124)),"X","")</f>
        <v/>
      </c>
      <c r="Y126" s="10297" t="inlineStr">
        <is>
          <t xml:space="preserve"> No. </t>
        </is>
      </c>
      <c r="Z126" s="1022" t="inlineStr">
        <is>
          <t>Skip lines 7 and 8 and enter the amount from line 1 on line 9.</t>
        </is>
      </c>
      <c r="AA126" s="1022" t="n"/>
      <c r="AB126" s="1022" t="n"/>
      <c r="AC126" s="1022" t="n"/>
      <c r="AD126" s="1022" t="n"/>
      <c r="AE126" s="6922" t="n"/>
      <c r="AF126" s="1022" t="n"/>
      <c r="AG126" s="6774" t="n"/>
      <c r="AH126" s="1022" t="n"/>
      <c r="AI126" s="1022" t="n"/>
      <c r="AJ126" s="3136" t="n"/>
      <c r="AK126" s="8648" t="n"/>
    </row>
    <row r="127" ht="14.25" customHeight="1" s="7635" thickBot="1">
      <c r="W127" s="3137" t="n"/>
      <c r="X127" s="1022" t="n"/>
      <c r="Y127" s="1022" t="n"/>
      <c r="Z127" s="1022" t="n"/>
      <c r="AA127" s="1022" t="n"/>
      <c r="AB127" s="1022" t="n"/>
      <c r="AC127" s="1022" t="n"/>
      <c r="AD127" s="1022" t="n"/>
      <c r="AE127" s="6922" t="n"/>
      <c r="AF127" s="1022" t="n"/>
      <c r="AG127" s="6774" t="n"/>
      <c r="AH127" s="1022" t="n"/>
      <c r="AI127" s="1022" t="n"/>
      <c r="AJ127" s="3136" t="n"/>
      <c r="AK127" s="8648" t="n"/>
    </row>
    <row r="128" ht="14.25" customHeight="1" s="7635" thickBot="1">
      <c r="W128" s="3137" t="n"/>
      <c r="X128" s="1987">
        <f>IF(AND(AG101,AI124),"X","")</f>
        <v/>
      </c>
      <c r="Y128" s="3132" t="inlineStr">
        <is>
          <t xml:space="preserve"> Yes.</t>
        </is>
      </c>
      <c r="Z128" s="1022" t="inlineStr">
        <is>
          <t>Subtract line 5 from line 4</t>
        </is>
      </c>
      <c r="AA128" s="1022" t="n"/>
      <c r="AB128" s="1022" t="n"/>
      <c r="AC128" s="1022" t="n"/>
      <c r="AD128" s="1022" t="n"/>
      <c r="AE128" s="6922" t="n"/>
      <c r="AF128" s="6780" t="inlineStr">
        <is>
          <t>6.</t>
        </is>
      </c>
      <c r="AG128" s="6871">
        <f>IF(AND(AG101,AI124),SUM(AI120,-AI122),"")</f>
        <v/>
      </c>
      <c r="AH128" s="1022" t="n"/>
      <c r="AI128" s="1022" t="n"/>
      <c r="AJ128" s="3136" t="n"/>
      <c r="AK128" s="8648" t="n"/>
    </row>
    <row r="129" ht="14.25" customHeight="1" s="7635">
      <c r="W129" s="3137" t="n"/>
      <c r="X129" s="1022" t="n"/>
      <c r="Y129" s="1022" t="n"/>
      <c r="Z129" s="1022" t="n"/>
      <c r="AA129" s="1022" t="n"/>
      <c r="AB129" s="1022" t="n"/>
      <c r="AC129" s="1022" t="n"/>
      <c r="AD129" s="1022" t="n"/>
      <c r="AE129" s="6922" t="n"/>
      <c r="AF129" s="1022" t="n"/>
      <c r="AG129" s="6774" t="n"/>
      <c r="AH129" s="1022" t="n"/>
      <c r="AI129" s="6774" t="n">
        <v>0.3</v>
      </c>
      <c r="AJ129" s="3136" t="n"/>
      <c r="AK129" s="8648" t="n"/>
      <c r="AN129" s="11392" t="n"/>
    </row>
    <row r="130" ht="14.25" customHeight="1" s="7635">
      <c r="W130" s="6779" t="inlineStr">
        <is>
          <t>7.</t>
        </is>
      </c>
      <c r="X130" s="6925">
        <f>"Multiply line 6 by "&amp;TEXT(AI129,"0%")&amp;" ("&amp;TEXT(AI129,"0.00")&amp;")"</f>
        <v/>
      </c>
      <c r="Y130" s="1022" t="n"/>
      <c r="Z130" s="1022" t="n"/>
      <c r="AA130" s="1022" t="n"/>
      <c r="AB130" s="1022" t="n"/>
      <c r="AC130" s="1022" t="n"/>
      <c r="AD130" s="1022" t="n"/>
      <c r="AE130" s="6922" t="n"/>
      <c r="AF130" s="6780" t="inlineStr">
        <is>
          <t>7.</t>
        </is>
      </c>
      <c r="AG130" s="6871">
        <f>IF(AND(AG101,AI124),ROUND(AG128*AI129,0),"")</f>
        <v/>
      </c>
      <c r="AH130" s="1022" t="n"/>
      <c r="AI130" s="1022" t="n"/>
      <c r="AJ130" s="3136" t="n"/>
      <c r="AK130" s="8648" t="n"/>
      <c r="AN130" s="1326" t="n"/>
    </row>
    <row r="131" ht="14.25" customHeight="1" s="7635">
      <c r="W131" s="6779" t="n"/>
      <c r="X131" s="6925" t="n"/>
      <c r="Y131" s="1022" t="n"/>
      <c r="Z131" s="1022" t="n"/>
      <c r="AA131" s="1022" t="n"/>
      <c r="AB131" s="1022" t="n"/>
      <c r="AC131" s="1022" t="n"/>
      <c r="AD131" s="1022" t="n"/>
      <c r="AE131" s="6922" t="n"/>
      <c r="AF131" s="1022" t="n"/>
      <c r="AG131" s="6774" t="n"/>
      <c r="AH131" s="1022" t="n"/>
      <c r="AI131" s="1022" t="n"/>
      <c r="AJ131" s="3136" t="n"/>
      <c r="AK131" s="8648" t="n"/>
    </row>
    <row r="132" ht="14.25" customHeight="1" s="7635">
      <c r="W132" s="6779" t="inlineStr">
        <is>
          <t>8.</t>
        </is>
      </c>
      <c r="X132" s="6925" t="inlineStr">
        <is>
          <t>Subtract line 7 from line 1</t>
        </is>
      </c>
      <c r="Y132" s="1022" t="n"/>
      <c r="Z132" s="1022" t="n"/>
      <c r="AA132" s="1022" t="n"/>
      <c r="AB132" s="1022" t="n"/>
      <c r="AC132" s="1022" t="n"/>
      <c r="AD132" s="1022" t="n"/>
      <c r="AE132" s="6922" t="n"/>
      <c r="AF132" s="6780" t="inlineStr">
        <is>
          <t>8.</t>
        </is>
      </c>
      <c r="AG132" s="6871">
        <f>IF(AND(AG101,AI124),SUM(AI106,-AG130),"")</f>
        <v/>
      </c>
      <c r="AH132" s="1022" t="n"/>
      <c r="AI132" s="1022" t="n"/>
      <c r="AJ132" s="3136" t="n"/>
    </row>
    <row r="133" ht="14.25" customHeight="1" s="7635">
      <c r="W133" s="6779" t="n"/>
      <c r="X133" s="6925" t="n"/>
      <c r="Y133" s="1022" t="n"/>
      <c r="Z133" s="1022" t="n"/>
      <c r="AA133" s="1022" t="n"/>
      <c r="AB133" s="1022" t="n"/>
      <c r="AC133" s="1022" t="n"/>
      <c r="AD133" s="1022" t="n"/>
      <c r="AE133" s="6922" t="n"/>
      <c r="AF133" s="1022" t="n"/>
      <c r="AG133" s="6774" t="n"/>
      <c r="AH133" s="1022" t="n"/>
      <c r="AI133" s="1022" t="n"/>
      <c r="AJ133" s="3136" t="n"/>
    </row>
    <row r="134" ht="14.25" customHeight="1" s="7635">
      <c r="W134" s="6779" t="inlineStr">
        <is>
          <t>9.</t>
        </is>
      </c>
      <c r="X134" s="6925">
        <f>"Enter the larger of the amount on line 8 or "&amp;TEXT(AG134,"$0,000")</f>
        <v/>
      </c>
      <c r="Y134" s="1022" t="n"/>
      <c r="Z134" s="1022" t="n"/>
      <c r="AA134" s="1022" t="n"/>
      <c r="AB134" s="1022" t="n"/>
      <c r="AC134" s="1022" t="n"/>
      <c r="AD134" s="1022" t="n"/>
      <c r="AE134" s="6922" t="n"/>
      <c r="AF134" s="1022" t="n"/>
      <c r="AG134" s="6774" t="n">
        <v>10000</v>
      </c>
      <c r="AH134" s="6780" t="inlineStr">
        <is>
          <t>9.</t>
        </is>
      </c>
      <c r="AI134" s="6871">
        <f>IF(NOT(AG101),"",IF(NOT(AI124),AI106,MAX(AG132,AG134)))</f>
        <v/>
      </c>
      <c r="AJ134" s="3136" t="n"/>
    </row>
    <row r="135" ht="14.25" customHeight="1" s="7635">
      <c r="W135" s="6779" t="n"/>
      <c r="X135" s="6925" t="n"/>
      <c r="Y135" s="1022" t="n"/>
      <c r="Z135" s="1022" t="n"/>
      <c r="AA135" s="1022" t="n"/>
      <c r="AB135" s="1022" t="n"/>
      <c r="AC135" s="1022" t="n"/>
      <c r="AD135" s="1022" t="n"/>
      <c r="AE135" s="6922" t="n"/>
      <c r="AF135" s="1022" t="n"/>
      <c r="AG135" s="6774" t="n"/>
      <c r="AH135" s="1022" t="n"/>
      <c r="AI135" s="6774">
        <f>IF(File_Marr_Sep&lt;&gt;"",ROUND(AI134/2,0),AI134)</f>
        <v/>
      </c>
      <c r="AJ135" s="3136" t="n"/>
      <c r="AK135" s="8648" t="n"/>
    </row>
    <row r="136" ht="14.25" customHeight="1" s="7635" thickBot="1">
      <c r="W136" s="6779" t="inlineStr">
        <is>
          <t>10.</t>
        </is>
      </c>
      <c r="X136" s="6925" t="inlineStr">
        <is>
          <t>State and local tax deduction. Enter the smaller of the amount on line 9 (half the amount on line 9 if married filing</t>
        </is>
      </c>
      <c r="Y136" s="1022" t="n"/>
      <c r="Z136" s="1022" t="n"/>
      <c r="AA136" s="1022" t="n"/>
      <c r="AB136" s="1022" t="n"/>
      <c r="AC136" s="1022" t="n"/>
      <c r="AD136" s="1022" t="n"/>
      <c r="AE136" s="6922" t="n"/>
      <c r="AF136" s="1022" t="n"/>
      <c r="AG136" s="6774" t="n"/>
      <c r="AH136" s="1022" t="n"/>
      <c r="AI136" s="1022" t="n"/>
      <c r="AJ136" s="3136" t="n"/>
      <c r="AM136" s="8648" t="inlineStr">
        <is>
          <t>Override</t>
        </is>
      </c>
    </row>
    <row r="137" ht="14.25" customHeight="1" s="7635" thickBot="1">
      <c r="W137" s="6779" t="n"/>
      <c r="X137" s="6925" t="inlineStr">
        <is>
          <t>separately) or the amount from Schedule A, line 5d here and on Schedule A, line 5e</t>
        </is>
      </c>
      <c r="Y137" s="1022" t="n"/>
      <c r="Z137" s="1022" t="n"/>
      <c r="AA137" s="1022" t="n"/>
      <c r="AB137" s="1022" t="n"/>
      <c r="AC137" s="1022" t="n"/>
      <c r="AD137" s="1022" t="n"/>
      <c r="AE137" s="6922" t="n"/>
      <c r="AF137" s="1022" t="n"/>
      <c r="AG137" s="6774" t="n"/>
      <c r="AH137" s="6780" t="inlineStr">
        <is>
          <t>10.</t>
        </is>
      </c>
      <c r="AI137" s="6871">
        <f>IF(AM137&lt;&gt;"",ROUND(AM137,0),IF(AG101,MIN(AI135,N27),""))</f>
        <v/>
      </c>
      <c r="AJ137" s="3136" t="n"/>
      <c r="AM137" s="6236" t="n"/>
    </row>
    <row r="138" ht="14.25" customHeight="1" s="7635" thickBot="1">
      <c r="W138" s="6926" t="n"/>
      <c r="X138" s="6927" t="n"/>
      <c r="Y138" s="6815" t="n"/>
      <c r="Z138" s="6815" t="n"/>
      <c r="AA138" s="6815" t="n"/>
      <c r="AB138" s="6815" t="n"/>
      <c r="AC138" s="6815" t="n"/>
      <c r="AD138" s="6815" t="n"/>
      <c r="AE138" s="6928" t="n"/>
      <c r="AF138" s="6815" t="n"/>
      <c r="AG138" s="6852" t="n"/>
      <c r="AH138" s="6815" t="n"/>
      <c r="AI138" s="6815" t="n"/>
      <c r="AJ138" s="3174" t="n"/>
    </row>
    <row r="139" ht="14.25" customHeight="1" s="7635" thickBot="1"/>
    <row r="140" ht="14.25" customHeight="1" s="7635">
      <c r="W140" s="6825" t="n"/>
      <c r="X140" s="377" t="n"/>
      <c r="Y140" s="377" t="n"/>
      <c r="Z140" s="377" t="n"/>
      <c r="AA140" s="377" t="n"/>
      <c r="AB140" s="377" t="n"/>
      <c r="AC140" s="377" t="n"/>
      <c r="AD140" s="377" t="n"/>
      <c r="AE140" s="377" t="n"/>
      <c r="AF140" s="377" t="n"/>
      <c r="AG140" s="377" t="n"/>
      <c r="AH140" s="377" t="n"/>
      <c r="AI140" s="377" t="n"/>
      <c r="AJ140" s="378" t="n"/>
    </row>
    <row r="141" ht="14.25" customHeight="1" s="7635">
      <c r="W141" s="6929" t="inlineStr">
        <is>
          <t xml:space="preserve">  Limits on Home Mortgage Interest — Line 8a</t>
        </is>
      </c>
      <c r="X141" s="11602" t="n"/>
      <c r="Y141" s="11602" t="n"/>
      <c r="Z141" s="11602" t="n"/>
      <c r="AA141" s="11602" t="n"/>
      <c r="AB141" s="11602" t="n"/>
      <c r="AC141" s="7886" t="n"/>
      <c r="AD141" s="7886" t="n"/>
      <c r="AE141" s="11602" t="n"/>
      <c r="AF141" s="11602" t="n"/>
      <c r="AG141" s="11602" t="n"/>
      <c r="AH141" s="3779" t="n"/>
      <c r="AI141" s="11602" t="n"/>
      <c r="AJ141" s="379" t="n"/>
    </row>
    <row r="142" ht="14.25" customHeight="1" s="7635" thickBot="1">
      <c r="W142" s="6829" t="n"/>
      <c r="X142" s="498" t="n"/>
      <c r="Y142" s="498" t="n"/>
      <c r="Z142" s="6930" t="n"/>
      <c r="AA142" s="6931" t="n"/>
      <c r="AB142" s="6931" t="n"/>
      <c r="AC142" s="6931" t="n"/>
      <c r="AD142" s="6931" t="n"/>
      <c r="AE142" s="498" t="n"/>
      <c r="AF142" s="6931" t="n"/>
      <c r="AG142" s="6931" t="n"/>
      <c r="AH142" s="498" t="n"/>
      <c r="AI142" s="498" t="n"/>
      <c r="AJ142" s="499" t="n"/>
    </row>
    <row r="143" ht="14.25" customHeight="1" s="7635">
      <c r="W143" s="6932" t="n"/>
      <c r="X143" s="6933" t="inlineStr">
        <is>
          <t>Loans taken out:</t>
        </is>
      </c>
      <c r="Y143" s="6933" t="n"/>
      <c r="Z143" s="6933" t="n"/>
      <c r="AA143" s="6933" t="n"/>
      <c r="AB143" s="6933" t="n"/>
      <c r="AC143" s="6933" t="n"/>
      <c r="AD143" s="6933" t="n"/>
      <c r="AE143" s="6933" t="n"/>
      <c r="AF143" s="6933" t="n"/>
      <c r="AG143" s="6933" t="n"/>
      <c r="AH143" s="6933" t="n"/>
      <c r="AI143" s="6933" t="n"/>
      <c r="AJ143" s="6934" t="n"/>
    </row>
    <row r="144" ht="14.25" customHeight="1" s="7635">
      <c r="W144" s="6935">
        <f>"•"</f>
        <v/>
      </c>
      <c r="X144" s="2977">
        <f>"On or before December 15, 2017:  Interest on up to "&amp;TEXT(T35,"$0,000")&amp;" ("&amp;TEXT(T36,"$0,000")&amp;" if you are married filing separately) of that debt."</f>
        <v/>
      </c>
      <c r="Y144" s="1022" t="n"/>
      <c r="Z144" s="1022" t="n"/>
      <c r="AA144" s="1022" t="n"/>
      <c r="AB144" s="1022" t="n"/>
      <c r="AC144" s="1022" t="n"/>
      <c r="AD144" s="1022" t="n"/>
      <c r="AE144" s="1022" t="n"/>
      <c r="AF144" s="1022" t="n"/>
      <c r="AG144" s="1022" t="n"/>
      <c r="AH144" s="1022" t="n"/>
      <c r="AI144" s="1022" t="n"/>
      <c r="AJ144" s="3136" t="n"/>
    </row>
    <row r="145" ht="14.25" customHeight="1" s="7635">
      <c r="W145" s="6936" t="n"/>
      <c r="X145" s="2977" t="n"/>
      <c r="Y145" s="1022" t="inlineStr">
        <is>
          <t>(See instructions for exception for loans taken out prior to October 13, 1987.)</t>
        </is>
      </c>
      <c r="Z145" s="1022" t="n"/>
      <c r="AA145" s="1022" t="n"/>
      <c r="AB145" s="1022" t="n"/>
      <c r="AC145" s="1022" t="n"/>
      <c r="AD145" s="1022" t="n"/>
      <c r="AE145" s="1022" t="n"/>
      <c r="AF145" s="1022" t="n"/>
      <c r="AG145" s="1022" t="n"/>
      <c r="AH145" s="1022" t="n"/>
      <c r="AI145" s="1022" t="n"/>
      <c r="AJ145" s="3136" t="n"/>
    </row>
    <row r="146" ht="14.25" customHeight="1" s="7635">
      <c r="W146" s="6935">
        <f>"•"</f>
        <v/>
      </c>
      <c r="X146" s="2977">
        <f>"After December 15, 2017:  Interest on up to "&amp;TEXT(T30,"$0,000")&amp;" ("&amp;TEXT(T31,"$0,000")&amp;" if you are married filing separately) of that debt."</f>
        <v/>
      </c>
      <c r="Y146" s="1022" t="n"/>
      <c r="Z146" s="1022" t="n"/>
      <c r="AA146" s="1022" t="n"/>
      <c r="AB146" s="1022" t="n"/>
      <c r="AC146" s="1022" t="n"/>
      <c r="AD146" s="1022" t="n"/>
      <c r="AE146" s="1022" t="n"/>
      <c r="AF146" s="1022" t="n"/>
      <c r="AG146" s="1022" t="n"/>
      <c r="AH146" s="1022" t="n"/>
      <c r="AI146" s="1022" t="n"/>
      <c r="AJ146" s="3136" t="n"/>
    </row>
    <row r="147" ht="14.25" customHeight="1" s="7635" thickBot="1">
      <c r="W147" s="6851" t="n"/>
      <c r="X147" s="3169" t="n"/>
      <c r="Y147" s="6937" t="inlineStr">
        <is>
          <t>(See instructions for other limits on home mortgage interest deductions.)</t>
        </is>
      </c>
      <c r="Z147" s="6815" t="n"/>
      <c r="AA147" s="6815" t="n"/>
      <c r="AB147" s="6815" t="n"/>
      <c r="AC147" s="6815" t="n"/>
      <c r="AD147" s="6815" t="n"/>
      <c r="AE147" s="6815" t="n"/>
      <c r="AF147" s="6815" t="n"/>
      <c r="AG147" s="6815" t="n"/>
      <c r="AH147" s="6815" t="n"/>
      <c r="AI147" s="6815" t="n"/>
      <c r="AJ147" s="3174" t="n"/>
    </row>
    <row r="148" ht="14.25" customHeight="1" s="7635" thickBot="1"/>
    <row r="149" ht="14.25" customHeight="1" s="7635">
      <c r="W149" s="6825" t="n"/>
      <c r="X149" s="377" t="n"/>
      <c r="Y149" s="377" t="n"/>
      <c r="Z149" s="377" t="n"/>
      <c r="AA149" s="377" t="n"/>
      <c r="AB149" s="377" t="n"/>
      <c r="AC149" s="377" t="n"/>
      <c r="AD149" s="377" t="n"/>
      <c r="AE149" s="377" t="n"/>
      <c r="AF149" s="377" t="n"/>
      <c r="AG149" s="377" t="n"/>
      <c r="AH149" s="377" t="n"/>
      <c r="AI149" s="377" t="n"/>
      <c r="AJ149" s="378" t="n"/>
    </row>
    <row r="150" ht="14.25" customHeight="1" s="7635">
      <c r="W150" s="6929" t="inlineStr">
        <is>
          <t xml:space="preserve">  Limits on Deductions — Line 14</t>
        </is>
      </c>
      <c r="X150" s="11602" t="n"/>
      <c r="Y150" s="11602" t="n"/>
      <c r="Z150" s="11602" t="n"/>
      <c r="AA150" s="11602" t="n"/>
      <c r="AB150" s="11602" t="n"/>
      <c r="AC150" s="7886" t="inlineStr">
        <is>
          <t>Reference:</t>
        </is>
      </c>
      <c r="AD150" s="7886" t="inlineStr">
        <is>
          <t>IRS Publication 526, Charitable Contributions</t>
        </is>
      </c>
      <c r="AE150" s="11602" t="n"/>
      <c r="AF150" s="11602" t="n"/>
      <c r="AG150" s="11602" t="n"/>
      <c r="AH150" s="11602" t="n"/>
      <c r="AI150" s="11602" t="n"/>
      <c r="AJ150" s="379" t="n"/>
    </row>
    <row r="151" ht="14.25" customHeight="1" s="7635" thickBot="1">
      <c r="W151" s="6829" t="n"/>
      <c r="X151" s="498" t="n"/>
      <c r="Y151" s="498" t="n"/>
      <c r="Z151" s="6930" t="n"/>
      <c r="AA151" s="6931">
        <f>IF(P56="",FALSE,AND(P56&lt;&gt;"",P56&gt;0,P56&gt;AF151*Adj_Gross_Inc))</f>
        <v/>
      </c>
      <c r="AB151" s="6931">
        <f>IF(P56="",FALSE,IF(P56&gt;AD151*Adj_Gross_Inc,TRUE,FALSE))</f>
        <v/>
      </c>
      <c r="AC151" s="6931">
        <f>IF(P56="",FALSE,IF(P56&gt;AF151*Adj_Gross_Inc,TRUE,FALSE))</f>
        <v/>
      </c>
      <c r="AD151" s="6931" t="n">
        <v>0.6</v>
      </c>
      <c r="AE151" s="498" t="n"/>
      <c r="AF151" s="6931" t="n">
        <v>0.2</v>
      </c>
      <c r="AG151" s="6931">
        <f>OR(AND(AA151,AC151),AB151)</f>
        <v/>
      </c>
      <c r="AH151" s="498" t="n"/>
      <c r="AI151" s="498" t="n"/>
      <c r="AJ151" s="499" t="n"/>
    </row>
    <row r="152" ht="14.25" customHeight="1" s="7635">
      <c r="W152" s="3137" t="n"/>
      <c r="X152" s="3048" t="n"/>
      <c r="Y152" s="1022" t="n"/>
      <c r="Z152" s="1022" t="n"/>
      <c r="AA152" s="1022" t="n"/>
      <c r="AB152" s="1022" t="n"/>
      <c r="AC152" s="1022" t="n"/>
      <c r="AD152" s="1022" t="n"/>
      <c r="AE152" s="1022" t="n"/>
      <c r="AF152" s="1022" t="n"/>
      <c r="AG152" s="1022" t="n"/>
      <c r="AH152" s="1022" t="n"/>
      <c r="AI152" s="1022" t="n"/>
      <c r="AJ152" s="3136" t="n"/>
    </row>
    <row r="153" ht="14.25" customHeight="1" s="7635">
      <c r="W153" s="6938" t="inlineStr">
        <is>
          <t>1.</t>
        </is>
      </c>
      <c r="X153" s="2977">
        <f>"If your total contributions for the year are "&amp;TEXT(AF151,"0%")&amp;" or less of your adjusted gross income, the limits discussed in this section"</f>
        <v/>
      </c>
      <c r="Y153" s="6939" t="n"/>
      <c r="Z153" s="12047" t="n"/>
      <c r="AA153" s="2977" t="n"/>
      <c r="AB153" s="1022" t="n"/>
      <c r="AC153" s="1022" t="n"/>
      <c r="AD153" s="1022" t="n"/>
      <c r="AE153" s="1022" t="n"/>
      <c r="AF153" s="1022" t="n"/>
      <c r="AG153" s="1022" t="n"/>
      <c r="AH153" s="1022" t="n"/>
      <c r="AI153" s="1022" t="n"/>
      <c r="AJ153" s="3136" t="n"/>
    </row>
    <row r="154" ht="14.25" customHeight="1" s="7635">
      <c r="W154" s="6936" t="n"/>
      <c r="X154" s="2977" t="inlineStr">
        <is>
          <t xml:space="preserve"> do not apply to you.</t>
        </is>
      </c>
      <c r="Y154" s="6939" t="n"/>
      <c r="Z154" s="12047" t="n"/>
      <c r="AA154" s="2977" t="n"/>
      <c r="AB154" s="1022" t="n"/>
      <c r="AC154" s="1022" t="n"/>
      <c r="AD154" s="1022" t="n"/>
      <c r="AE154" s="1022" t="n"/>
      <c r="AF154" s="1022" t="n"/>
      <c r="AG154" s="1022" t="n"/>
      <c r="AH154" s="1022" t="n"/>
      <c r="AI154" s="1022" t="n"/>
      <c r="AJ154" s="3136" t="n"/>
    </row>
    <row r="155" ht="14.25" customHeight="1" s="7635">
      <c r="W155" s="3137" t="n"/>
      <c r="X155" s="3048" t="n"/>
      <c r="Y155" s="1022" t="n"/>
      <c r="Z155" s="1022" t="n"/>
      <c r="AA155" s="1022" t="n"/>
      <c r="AB155" s="1022" t="n"/>
      <c r="AC155" s="1022" t="n"/>
      <c r="AD155" s="1022" t="n"/>
      <c r="AE155" s="1022" t="n"/>
      <c r="AF155" s="1022" t="n"/>
      <c r="AG155" s="1022" t="n"/>
      <c r="AH155" s="1022" t="n"/>
      <c r="AI155" s="1022" t="n"/>
      <c r="AJ155" s="3136" t="n"/>
    </row>
    <row r="156" ht="14.25" customHeight="1" s="7635">
      <c r="W156" s="6938" t="inlineStr">
        <is>
          <t>2.</t>
        </is>
      </c>
      <c r="X156" s="2977" t="inlineStr">
        <is>
          <t>The amount you can deduct for charitable contributions generally is limited to no more than 60% of your adjusted gross income (AGI).</t>
        </is>
      </c>
      <c r="Y156" s="1022" t="n"/>
      <c r="Z156" s="1022" t="n"/>
      <c r="AA156" s="1022" t="n"/>
      <c r="AB156" s="1022" t="n"/>
      <c r="AC156" s="1022" t="n"/>
      <c r="AD156" s="1022" t="n"/>
      <c r="AE156" s="1022" t="n"/>
      <c r="AF156" s="1022" t="n"/>
      <c r="AG156" s="1022" t="n"/>
      <c r="AH156" s="1022" t="n"/>
      <c r="AI156" s="1022" t="n"/>
      <c r="AJ156" s="3136" t="n"/>
    </row>
    <row r="157" ht="14.25" customHeight="1" s="7635">
      <c r="W157" s="3137" t="n"/>
      <c r="X157" s="3148" t="inlineStr">
        <is>
          <t>Your deduction may be further limited to 50%, 30%, or 20% of your AGI, depending on the type of property you give</t>
        </is>
      </c>
      <c r="Y157" s="1022" t="n"/>
      <c r="Z157" s="1022" t="n"/>
      <c r="AA157" s="1022" t="n"/>
      <c r="AB157" s="1022" t="n"/>
      <c r="AC157" s="1022" t="n"/>
      <c r="AD157" s="1022" t="n"/>
      <c r="AE157" s="1022" t="n"/>
      <c r="AF157" s="1022" t="n"/>
      <c r="AG157" s="1022" t="n"/>
      <c r="AH157" s="1022" t="n"/>
      <c r="AI157" s="1022" t="n"/>
      <c r="AJ157" s="3136" t="n"/>
    </row>
    <row r="158" ht="14.25" customHeight="1" s="7635">
      <c r="W158" s="3137" t="n"/>
      <c r="X158" s="3148" t="inlineStr">
        <is>
          <t>and the type of organization you give it to. A higher limit applies to certain qualified conservation contributions.</t>
        </is>
      </c>
      <c r="Y158" s="1022" t="n"/>
      <c r="Z158" s="1022" t="n"/>
      <c r="AA158" s="1022" t="n"/>
      <c r="AB158" s="1022" t="n"/>
      <c r="AC158" s="1022" t="n"/>
      <c r="AD158" s="1022" t="n"/>
      <c r="AE158" s="1022" t="n"/>
      <c r="AF158" s="1022" t="n"/>
      <c r="AG158" s="1022" t="n"/>
      <c r="AH158" s="1022" t="n"/>
      <c r="AI158" s="1022" t="n"/>
      <c r="AJ158" s="3136" t="n"/>
    </row>
    <row r="159" ht="14.25" customHeight="1" s="7635">
      <c r="W159" s="3137" t="n"/>
      <c r="X159" s="3148" t="inlineStr">
        <is>
          <t>These limits are described in detail in Publication 526.</t>
        </is>
      </c>
      <c r="Y159" s="1022" t="n"/>
      <c r="Z159" s="1022" t="n"/>
      <c r="AA159" s="1022" t="n"/>
      <c r="AB159" s="1022" t="n"/>
      <c r="AC159" s="1022" t="n"/>
      <c r="AD159" s="1022" t="n"/>
      <c r="AE159" s="1022" t="n"/>
      <c r="AF159" s="1022" t="n"/>
      <c r="AG159" s="1022" t="n"/>
      <c r="AH159" s="1022" t="n"/>
      <c r="AI159" s="1022" t="n"/>
      <c r="AJ159" s="3136" t="n"/>
    </row>
    <row r="160" ht="14.25" customHeight="1" s="7635" thickBot="1">
      <c r="W160" s="6851" t="n"/>
      <c r="X160" s="3169" t="n"/>
      <c r="Y160" s="6815" t="n"/>
      <c r="Z160" s="6815" t="n"/>
      <c r="AA160" s="6815" t="n"/>
      <c r="AB160" s="6815" t="n"/>
      <c r="AC160" s="6815" t="n"/>
      <c r="AD160" s="6815" t="n"/>
      <c r="AE160" s="6815" t="n"/>
      <c r="AF160" s="6815" t="n"/>
      <c r="AG160" s="6815" t="n"/>
      <c r="AH160" s="6815" t="n"/>
      <c r="AI160" s="6815" t="n"/>
      <c r="AJ160" s="3174" t="n"/>
    </row>
    <row r="161"/>
    <row r="162"/>
    <row r="163"/>
    <row r="164"/>
    <row r="165"/>
    <row r="166"/>
    <row r="167"/>
    <row r="168">
      <c r="W168" s="7834" t="n"/>
      <c r="X168" s="7834" t="n"/>
      <c r="Y168" s="7834" t="n"/>
    </row>
    <row r="169">
      <c r="W169" s="7834" t="n"/>
      <c r="X169" s="7834" t="n"/>
      <c r="Y169" s="7834" t="n"/>
    </row>
    <row r="170">
      <c r="W170" s="7834" t="n"/>
      <c r="X170" s="7834" t="n"/>
      <c r="Y170" s="7834" t="n"/>
    </row>
    <row r="171">
      <c r="W171" s="7834" t="n"/>
      <c r="X171" s="7834" t="n"/>
      <c r="Y171" s="7834" t="n"/>
    </row>
    <row r="172">
      <c r="W172" s="7834" t="n"/>
      <c r="X172" s="7834" t="n"/>
      <c r="Y172" s="7834" t="n"/>
    </row>
    <row r="173">
      <c r="W173" s="7834" t="n"/>
      <c r="X173" s="7834" t="n"/>
      <c r="Y173" s="7834" t="n"/>
    </row>
    <row r="174">
      <c r="W174" s="7834" t="n"/>
      <c r="X174" s="7834" t="n"/>
      <c r="Y174" s="7834" t="n"/>
    </row>
    <row r="175">
      <c r="W175" s="7834" t="n"/>
      <c r="X175" s="7834" t="n"/>
      <c r="Y175" s="7834" t="n"/>
    </row>
    <row r="176">
      <c r="W176" s="7834" t="n"/>
      <c r="X176" s="7834" t="n"/>
      <c r="Y176" s="7834" t="n"/>
    </row>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sheetData>
  <sheetProtection selectLockedCells="0" selectUnlockedCells="0" algorithmName="SHA-512" sheet="1" objects="0" insertRows="1" insertHyperlinks="1" autoFilter="1" scenarios="0" formatColumns="0" deleteColumns="1" insertColumns="1" pivotTables="1" deleteRows="1" formatCells="0" saltValue="qKBOxSWjPtRU6D63vI1rDg==" formatRows="0" sort="1" spinCount="100000" hashValue="wiXozr9mrohMFcHbW4VNnPMqG4wso75ae897zfk11Yp/iaVpdWDITldDQg5edLhS0bv7kGUrRUeH39zYPQEGBw=="/>
  <mergeCells count="34">
    <mergeCell ref="O10:P10"/>
    <mergeCell ref="D10:N10"/>
    <mergeCell ref="R59:R60"/>
    <mergeCell ref="Z49:AJ49"/>
    <mergeCell ref="O9:P9"/>
    <mergeCell ref="D31:K31"/>
    <mergeCell ref="AA47:AD47"/>
    <mergeCell ref="J60:N60"/>
    <mergeCell ref="W5:AJ5"/>
    <mergeCell ref="D11:N11"/>
    <mergeCell ref="G75:H77"/>
    <mergeCell ref="D32:K32"/>
    <mergeCell ref="R26:R27"/>
    <mergeCell ref="D61:N61"/>
    <mergeCell ref="B37:B42"/>
    <mergeCell ref="X49:Y49"/>
    <mergeCell ref="B53:B56"/>
    <mergeCell ref="W62:X62"/>
    <mergeCell ref="AF21:AI22"/>
    <mergeCell ref="AD34:AG34"/>
    <mergeCell ref="E43:J43"/>
    <mergeCell ref="C70:J70"/>
    <mergeCell ref="D62:N62"/>
    <mergeCell ref="I30:K30"/>
    <mergeCell ref="J17:L17"/>
    <mergeCell ref="D9:N9"/>
    <mergeCell ref="E28:K28"/>
    <mergeCell ref="D12:N12"/>
    <mergeCell ref="B14:N14"/>
    <mergeCell ref="C72:J72"/>
    <mergeCell ref="O14:P14"/>
    <mergeCell ref="T24:T29"/>
    <mergeCell ref="E44:J44"/>
    <mergeCell ref="O13:P13"/>
  </mergeCells>
  <conditionalFormatting sqref="B14">
    <cfRule type="expression" priority="322" dxfId="6">
      <formula>IF(NoColor,1,0)</formula>
    </cfRule>
  </conditionalFormatting>
  <conditionalFormatting sqref="D31:D32">
    <cfRule type="expression" priority="312" dxfId="6">
      <formula>IF(NoColor,1,0)</formula>
    </cfRule>
  </conditionalFormatting>
  <conditionalFormatting sqref="D46">
    <cfRule type="expression" priority="165" dxfId="6">
      <formula>IF(NoColor,1,0)</formula>
    </cfRule>
  </conditionalFormatting>
  <conditionalFormatting sqref="D61:D62">
    <cfRule type="expression" priority="119" dxfId="6">
      <formula>IF(NoColor,1,0)</formula>
    </cfRule>
  </conditionalFormatting>
  <conditionalFormatting sqref="D38:J38 E39:J39">
    <cfRule type="expression" priority="306" dxfId="6">
      <formula>IF(NoColor,1,0)</formula>
    </cfRule>
  </conditionalFormatting>
  <conditionalFormatting sqref="D40:J41 D42:D43 D44:E44 F45:J46">
    <cfRule type="expression" priority="164" dxfId="6">
      <formula>IF(NoColor,1,0)</formula>
    </cfRule>
  </conditionalFormatting>
  <conditionalFormatting sqref="E43">
    <cfRule type="expression" priority="67" dxfId="6">
      <formula>IF(NoColor,1,0)</formula>
    </cfRule>
  </conditionalFormatting>
  <conditionalFormatting sqref="E42:J42">
    <cfRule type="expression" priority="68" dxfId="6">
      <formula>IF(NoColor,1,0)</formula>
    </cfRule>
  </conditionalFormatting>
  <conditionalFormatting sqref="I30">
    <cfRule type="expression" priority="313" dxfId="6">
      <formula>IF(NoColor,1,0)</formula>
    </cfRule>
  </conditionalFormatting>
  <conditionalFormatting sqref="J17">
    <cfRule type="expression" priority="319" dxfId="6">
      <formula>IF(NoColor,1,0)</formula>
    </cfRule>
  </conditionalFormatting>
  <conditionalFormatting sqref="K24:L24">
    <cfRule type="expression" priority="150" dxfId="6">
      <formula>NoColor</formula>
    </cfRule>
  </conditionalFormatting>
  <conditionalFormatting sqref="K36:L36">
    <cfRule type="expression" priority="157" dxfId="6">
      <formula>NoColor</formula>
    </cfRule>
  </conditionalFormatting>
  <conditionalFormatting sqref="N16">
    <cfRule type="expression" priority="154" dxfId="3012">
      <formula>IF(NoColor,1,0)</formula>
    </cfRule>
  </conditionalFormatting>
  <conditionalFormatting sqref="N18">
    <cfRule type="expression" priority="282" dxfId="3012">
      <formula>IF(NoColor,1,0)</formula>
    </cfRule>
  </conditionalFormatting>
  <conditionalFormatting sqref="N20:N27">
    <cfRule type="expression" priority="167" dxfId="6">
      <formula>IF(NoColor,1,0)</formula>
    </cfRule>
  </conditionalFormatting>
  <conditionalFormatting sqref="N29">
    <cfRule type="expression" priority="168" dxfId="6">
      <formula>IF(NoColor,1,0)</formula>
    </cfRule>
  </conditionalFormatting>
  <conditionalFormatting sqref="N32">
    <cfRule type="expression" priority="311" dxfId="6">
      <formula>IF(NoColor,1,0)</formula>
    </cfRule>
  </conditionalFormatting>
  <conditionalFormatting sqref="N34">
    <cfRule type="expression" priority="310" dxfId="6">
      <formula>IF(NoColor,1,0)</formula>
    </cfRule>
  </conditionalFormatting>
  <conditionalFormatting sqref="N38">
    <cfRule type="expression" priority="166" dxfId="6">
      <formula>IF(NoColor,1,0)</formula>
    </cfRule>
  </conditionalFormatting>
  <conditionalFormatting sqref="N42">
    <cfRule type="expression" priority="66" dxfId="6">
      <formula>IF(NoColor,1,0)</formula>
    </cfRule>
  </conditionalFormatting>
  <conditionalFormatting sqref="N46">
    <cfRule type="expression" priority="162" dxfId="6">
      <formula>IF(NoColor,1,0)</formula>
    </cfRule>
  </conditionalFormatting>
  <conditionalFormatting sqref="N48:N49">
    <cfRule type="expression" priority="159" dxfId="6">
      <formula>IF(NoColor,1,0)</formula>
    </cfRule>
  </conditionalFormatting>
  <conditionalFormatting sqref="N52">
    <cfRule type="expression" priority="305" dxfId="6">
      <formula>IF(NoColor,1,0)</formula>
    </cfRule>
  </conditionalFormatting>
  <conditionalFormatting sqref="N54:N55">
    <cfRule type="expression" priority="303" dxfId="6">
      <formula>IF(NoColor,1,0)</formula>
    </cfRule>
  </conditionalFormatting>
  <conditionalFormatting sqref="N70">
    <cfRule type="expression" priority="61" dxfId="34">
      <formula>AND(P69,SchA_Filed)</formula>
    </cfRule>
  </conditionalFormatting>
  <conditionalFormatting sqref="O66">
    <cfRule type="expression" priority="291" dxfId="6">
      <formula>IF(NoColor,1,0)</formula>
    </cfRule>
  </conditionalFormatting>
  <conditionalFormatting sqref="O70">
    <cfRule type="expression" priority="64" dxfId="4">
      <formula>$P$69</formula>
    </cfRule>
  </conditionalFormatting>
  <conditionalFormatting sqref="O14:P14">
    <cfRule type="expression" priority="321" dxfId="6">
      <formula>IF(NoColor,1,0)</formula>
    </cfRule>
  </conditionalFormatting>
  <conditionalFormatting sqref="P19">
    <cfRule type="expression" priority="280" dxfId="6">
      <formula>IF(NoColor,1,0)</formula>
    </cfRule>
  </conditionalFormatting>
  <conditionalFormatting sqref="P33">
    <cfRule type="expression" priority="278" dxfId="6">
      <formula>IF(NoColor,1,0)</formula>
    </cfRule>
  </conditionalFormatting>
  <conditionalFormatting sqref="P50">
    <cfRule type="expression" priority="276" dxfId="6">
      <formula>IF(NoColor,1,0)</formula>
    </cfRule>
  </conditionalFormatting>
  <conditionalFormatting sqref="P56">
    <cfRule type="expression" priority="274" dxfId="6">
      <formula>IF(NoColor,1,0)</formula>
    </cfRule>
  </conditionalFormatting>
  <conditionalFormatting sqref="P59">
    <cfRule type="expression" priority="301" dxfId="6">
      <formula>IF(NoColor,1,0)</formula>
    </cfRule>
  </conditionalFormatting>
  <conditionalFormatting sqref="P62">
    <cfRule type="expression" priority="293" dxfId="3012">
      <formula>IF(NoColor,1,0)</formula>
    </cfRule>
  </conditionalFormatting>
  <conditionalFormatting sqref="P64">
    <cfRule type="expression" priority="158" dxfId="6">
      <formula>IF(NoColor,1,0)</formula>
    </cfRule>
  </conditionalFormatting>
  <conditionalFormatting sqref="P70:P73">
    <cfRule type="expression" priority="58" dxfId="781">
      <formula>AND($P$69,SchA_Filed)</formula>
    </cfRule>
    <cfRule type="expression" priority="59" dxfId="2975">
      <formula>SchA_Blank</formula>
    </cfRule>
  </conditionalFormatting>
  <conditionalFormatting sqref="Q28">
    <cfRule type="expression" priority="51" dxfId="5">
      <formula>$T$19</formula>
    </cfRule>
  </conditionalFormatting>
  <conditionalFormatting sqref="Q47">
    <cfRule type="expression" priority="5147" dxfId="923">
      <formula>#REF!</formula>
    </cfRule>
  </conditionalFormatting>
  <conditionalFormatting sqref="Q55">
    <cfRule type="expression" priority="213" dxfId="135">
      <formula>IF($AG$151,1,0)</formula>
    </cfRule>
  </conditionalFormatting>
  <conditionalFormatting sqref="Q60">
    <cfRule type="expression" priority="65" dxfId="5">
      <formula>AND(Q60="",$R$69)</formula>
    </cfRule>
  </conditionalFormatting>
  <conditionalFormatting sqref="R26">
    <cfRule type="expression" priority="17" dxfId="1">
      <formula>$K$24&lt;&gt;""</formula>
    </cfRule>
  </conditionalFormatting>
  <conditionalFormatting sqref="R28">
    <cfRule type="expression" priority="50" dxfId="1">
      <formula>$T$19</formula>
    </cfRule>
  </conditionalFormatting>
  <conditionalFormatting sqref="R47">
    <cfRule type="expression" priority="5148" dxfId="2278">
      <formula>#REF!</formula>
    </cfRule>
  </conditionalFormatting>
  <conditionalFormatting sqref="R55">
    <cfRule type="expression" priority="214" dxfId="3000">
      <formula>IF($AG$151,1,0)</formula>
    </cfRule>
  </conditionalFormatting>
  <conditionalFormatting sqref="S46">
    <cfRule type="expression" priority="72" dxfId="20">
      <formula>$T$37=""</formula>
    </cfRule>
  </conditionalFormatting>
  <conditionalFormatting sqref="T24:T29">
    <cfRule type="expression" priority="52" dxfId="2998">
      <formula>$T$19</formula>
    </cfRule>
  </conditionalFormatting>
  <conditionalFormatting sqref="T32 T41">
    <cfRule type="expression" priority="128" dxfId="20">
      <formula>$N$48=0</formula>
    </cfRule>
  </conditionalFormatting>
  <conditionalFormatting sqref="T40">
    <cfRule type="expression" priority="130" dxfId="2992">
      <formula>$N$48=0</formula>
    </cfRule>
  </conditionalFormatting>
  <conditionalFormatting sqref="T42">
    <cfRule type="expression" priority="124" dxfId="480">
      <formula>$N$48=0</formula>
    </cfRule>
  </conditionalFormatting>
  <conditionalFormatting sqref="T43">
    <cfRule type="expression" priority="6767" dxfId="14">
      <formula>$T$44</formula>
    </cfRule>
    <cfRule type="expression" priority="6768" dxfId="20">
      <formula>$N$38=0</formula>
    </cfRule>
  </conditionalFormatting>
  <conditionalFormatting sqref="T46">
    <cfRule type="expression" priority="69" dxfId="2992">
      <formula>$T$37=""</formula>
    </cfRule>
  </conditionalFormatting>
  <conditionalFormatting sqref="T47:T48">
    <cfRule type="expression" priority="70" dxfId="20">
      <formula>$T$37=""</formula>
    </cfRule>
  </conditionalFormatting>
  <conditionalFormatting sqref="W145">
    <cfRule type="expression" priority="140" dxfId="34" stopIfTrue="1">
      <formula>IF(AND($AA$151,NOT($AC$151)),1,0)</formula>
    </cfRule>
    <cfRule type="expression" priority="141" dxfId="158">
      <formula>IF($AA$151,1,0)</formula>
    </cfRule>
  </conditionalFormatting>
  <conditionalFormatting sqref="W154">
    <cfRule type="expression" priority="204" dxfId="158">
      <formula>IF($AB$151,1,0)</formula>
    </cfRule>
  </conditionalFormatting>
  <conditionalFormatting sqref="W156">
    <cfRule type="expression" priority="196" dxfId="158">
      <formula>IF($AB$151,1,0)</formula>
    </cfRule>
  </conditionalFormatting>
  <conditionalFormatting sqref="W153:X153">
    <cfRule type="expression" priority="199" dxfId="34">
      <formula>IF(AND($AA$151,NOT($AC$151)),1,0)</formula>
    </cfRule>
  </conditionalFormatting>
  <conditionalFormatting sqref="X50:X52">
    <cfRule type="expression" priority="34" dxfId="34">
      <formula>$AG$46</formula>
    </cfRule>
  </conditionalFormatting>
  <conditionalFormatting sqref="X144">
    <cfRule type="expression" priority="4182" dxfId="158">
      <formula>AND(T40&lt;&gt;"",NOT($T$45),$T$44)</formula>
    </cfRule>
  </conditionalFormatting>
  <conditionalFormatting sqref="X144:X146">
    <cfRule type="expression" priority="139" dxfId="34" stopIfTrue="1">
      <formula>IF(AND($AA$151,NOT($AC$151)),1,0)</formula>
    </cfRule>
  </conditionalFormatting>
  <conditionalFormatting sqref="X146">
    <cfRule type="expression" priority="5155" dxfId="158">
      <formula>AND(T40&lt;&gt;"",T45,$T$44)</formula>
    </cfRule>
  </conditionalFormatting>
  <conditionalFormatting sqref="X154">
    <cfRule type="expression" priority="177" dxfId="34">
      <formula>IF(AND($AA$151,NOT($AC$151)),1,0)</formula>
    </cfRule>
  </conditionalFormatting>
  <conditionalFormatting sqref="X156:X159">
    <cfRule type="expression" priority="194" dxfId="158">
      <formula>$AB$151</formula>
    </cfRule>
  </conditionalFormatting>
  <conditionalFormatting sqref="Z63">
    <cfRule type="expression" priority="36" dxfId="34">
      <formula>$X$63&lt;&gt;""</formula>
    </cfRule>
  </conditionalFormatting>
  <conditionalFormatting sqref="Z72">
    <cfRule type="expression" priority="37" dxfId="34">
      <formula>AND($X$63="",$X$72&lt;&gt;"")</formula>
    </cfRule>
  </conditionalFormatting>
  <conditionalFormatting sqref="Z103">
    <cfRule type="expression" priority="19" dxfId="40">
      <formula>NOT($AG$101)</formula>
    </cfRule>
  </conditionalFormatting>
  <conditionalFormatting sqref="Z49:AJ49">
    <cfRule type="expression" priority="35" dxfId="34">
      <formula>$AG$46</formula>
    </cfRule>
  </conditionalFormatting>
  <conditionalFormatting sqref="AF61">
    <cfRule type="expression" priority="1" dxfId="2975">
      <formula>$AG$60</formula>
    </cfRule>
  </conditionalFormatting>
  <conditionalFormatting sqref="AG6">
    <cfRule type="expression" priority="151" dxfId="2958">
      <formula>(File_Marr_Joint="")</formula>
    </cfRule>
  </conditionalFormatting>
  <conditionalFormatting sqref="AG8">
    <cfRule type="expression" priority="148" dxfId="6">
      <formula>NoColor</formula>
    </cfRule>
  </conditionalFormatting>
  <conditionalFormatting sqref="AG10">
    <cfRule type="expression" priority="146" dxfId="6">
      <formula>NoColor</formula>
    </cfRule>
  </conditionalFormatting>
  <conditionalFormatting sqref="AG12">
    <cfRule type="expression" priority="145" dxfId="6">
      <formula>NoColor</formula>
    </cfRule>
  </conditionalFormatting>
  <conditionalFormatting sqref="AG58">
    <cfRule type="expression" priority="6" dxfId="6">
      <formula>IF(NoColor,1,0)</formula>
    </cfRule>
  </conditionalFormatting>
  <conditionalFormatting sqref="AG61">
    <cfRule type="expression" priority="2" dxfId="2969">
      <formula>$AG$60</formula>
    </cfRule>
  </conditionalFormatting>
  <conditionalFormatting sqref="AG68">
    <cfRule type="expression" priority="5" dxfId="6">
      <formula>IF(NoColor,1,0)</formula>
    </cfRule>
  </conditionalFormatting>
  <conditionalFormatting sqref="AG75">
    <cfRule type="expression" priority="4" dxfId="6">
      <formula>IF(NoColor,1,0)</formula>
    </cfRule>
  </conditionalFormatting>
  <conditionalFormatting sqref="AG77">
    <cfRule type="expression" priority="46" dxfId="6">
      <formula>IF(NoColor,1,0)</formula>
    </cfRule>
  </conditionalFormatting>
  <conditionalFormatting sqref="AG110">
    <cfRule type="expression" priority="31" dxfId="6">
      <formula>IF(NoColor,1,0)</formula>
    </cfRule>
  </conditionalFormatting>
  <conditionalFormatting sqref="AG112">
    <cfRule type="expression" priority="30" dxfId="6">
      <formula>IF(NoColor,1,0)</formula>
    </cfRule>
  </conditionalFormatting>
  <conditionalFormatting sqref="AG114">
    <cfRule type="expression" priority="18" dxfId="6">
      <formula>IF(NoColor,1,0)</formula>
    </cfRule>
  </conditionalFormatting>
  <conditionalFormatting sqref="AG116">
    <cfRule type="expression" priority="28" dxfId="6">
      <formula>IF(NoColor,1,0)</formula>
    </cfRule>
  </conditionalFormatting>
  <conditionalFormatting sqref="AG128">
    <cfRule type="expression" priority="13" dxfId="6">
      <formula>IF(NoColor,1,0)</formula>
    </cfRule>
  </conditionalFormatting>
  <conditionalFormatting sqref="AG130">
    <cfRule type="expression" priority="24" dxfId="6">
      <formula>IF(NoColor,1,0)</formula>
    </cfRule>
  </conditionalFormatting>
  <conditionalFormatting sqref="AG132">
    <cfRule type="expression" priority="16" dxfId="6">
      <formula>IF(NoColor,1,0)</formula>
    </cfRule>
  </conditionalFormatting>
  <conditionalFormatting sqref="AI6">
    <cfRule type="expression" priority="152" dxfId="2958">
      <formula>(File_Marr_Joint="")</formula>
    </cfRule>
  </conditionalFormatting>
  <conditionalFormatting sqref="AI8:AI12">
    <cfRule type="expression" priority="153" dxfId="2957">
      <formula>(File_Marr_Joint="")</formula>
    </cfRule>
  </conditionalFormatting>
  <conditionalFormatting sqref="AI14">
    <cfRule type="expression" priority="144" dxfId="6">
      <formula>NoColor</formula>
    </cfRule>
  </conditionalFormatting>
  <conditionalFormatting sqref="AI16">
    <cfRule type="expression" priority="147" dxfId="6">
      <formula>NoColor</formula>
    </cfRule>
  </conditionalFormatting>
  <conditionalFormatting sqref="AI18">
    <cfRule type="expression" priority="143" dxfId="6">
      <formula>NoColor</formula>
    </cfRule>
  </conditionalFormatting>
  <conditionalFormatting sqref="AI26">
    <cfRule type="expression" priority="12" dxfId="6">
      <formula>IF(NoColor,1,0)</formula>
    </cfRule>
  </conditionalFormatting>
  <conditionalFormatting sqref="AI29">
    <cfRule type="expression" priority="10" dxfId="6">
      <formula>IF(NoColor,1,0)</formula>
    </cfRule>
  </conditionalFormatting>
  <conditionalFormatting sqref="AI32">
    <cfRule type="expression" priority="9" dxfId="6">
      <formula>IF(NoColor,1,0)</formula>
    </cfRule>
  </conditionalFormatting>
  <conditionalFormatting sqref="AI34">
    <cfRule type="expression" priority="7" dxfId="6">
      <formula>IF(NoColor,1,0)</formula>
    </cfRule>
  </conditionalFormatting>
  <conditionalFormatting sqref="AI37">
    <cfRule type="expression" priority="11" dxfId="6">
      <formula>IF(NoColor,1,0)</formula>
    </cfRule>
  </conditionalFormatting>
  <conditionalFormatting sqref="AI48">
    <cfRule type="expression" priority="43" dxfId="6">
      <formula>IF(NoColor,1,0)</formula>
    </cfRule>
  </conditionalFormatting>
  <conditionalFormatting sqref="AI58">
    <cfRule type="expression" priority="3" dxfId="2390">
      <formula>($X$58&lt;&gt;"")</formula>
    </cfRule>
  </conditionalFormatting>
  <conditionalFormatting sqref="AI84">
    <cfRule type="expression" priority="40" dxfId="6">
      <formula>IF(NoColor,1,0)</formula>
    </cfRule>
  </conditionalFormatting>
  <conditionalFormatting sqref="AI87">
    <cfRule type="expression" priority="39" dxfId="6">
      <formula>IF(NoColor,1,0)</formula>
    </cfRule>
  </conditionalFormatting>
  <conditionalFormatting sqref="AI91">
    <cfRule type="expression" priority="38" dxfId="6">
      <formula>IF(NoColor,1,0)</formula>
    </cfRule>
  </conditionalFormatting>
  <conditionalFormatting sqref="AI106">
    <cfRule type="expression" priority="33" dxfId="6">
      <formula>IF(NoColor,1,0)</formula>
    </cfRule>
  </conditionalFormatting>
  <conditionalFormatting sqref="AI108">
    <cfRule type="expression" priority="20" dxfId="6">
      <formula>IF(NoColor,1,0)</formula>
    </cfRule>
  </conditionalFormatting>
  <conditionalFormatting sqref="AI118">
    <cfRule type="expression" priority="27" dxfId="6">
      <formula>IF(NoColor,1,0)</formula>
    </cfRule>
  </conditionalFormatting>
  <conditionalFormatting sqref="AI120">
    <cfRule type="expression" priority="26" dxfId="6">
      <formula>IF(NoColor,1,0)</formula>
    </cfRule>
  </conditionalFormatting>
  <conditionalFormatting sqref="AI122">
    <cfRule type="expression" priority="25" dxfId="6">
      <formula>IF(NoColor,1,0)</formula>
    </cfRule>
  </conditionalFormatting>
  <conditionalFormatting sqref="AI134">
    <cfRule type="expression" priority="15" dxfId="6">
      <formula>IF(NoColor,1,0)</formula>
    </cfRule>
  </conditionalFormatting>
  <conditionalFormatting sqref="AI137">
    <cfRule type="expression" priority="14" dxfId="6">
      <formula>IF(NoColor,1,0)</formula>
    </cfRule>
  </conditionalFormatting>
  <hyperlinks>
    <hyperlink xmlns:r="http://schemas.openxmlformats.org/officeDocument/2006/relationships" ref="C70" display="Download Form 1040 Schedules A&amp;B" r:id="rId1"/>
    <hyperlink xmlns:r="http://schemas.openxmlformats.org/officeDocument/2006/relationships" ref="C72" display="Download Form 1040 Schedule A&amp;B Instructions" r:id="rId2"/>
    <hyperlink ref="G75" location="'Table of Contents'!A1" display="Table of Contents"/>
  </hyperlinks>
  <pageMargins left="0.75" right="0.25" top="0.36" bottom="0.29" header="0.36" footer="0.21"/>
  <pageSetup orientation="portrait" scale="80" fitToHeight="0"/>
  <drawing xmlns:r="http://schemas.openxmlformats.org/officeDocument/2006/relationships" r:id="rId3"/>
</worksheet>
</file>

<file path=xl/worksheets/sheet29.xml><?xml version="1.0" encoding="utf-8"?>
<worksheet xmlns="http://schemas.openxmlformats.org/spreadsheetml/2006/main">
  <sheetPr codeName="Sheet6">
    <outlinePr summaryBelow="1" summaryRight="1"/>
    <pageSetUpPr fitToPage="1"/>
  </sheetPr>
  <dimension ref="A1:AF94"/>
  <sheetViews>
    <sheetView zoomScaleNormal="100" zoomScaleSheetLayoutView="80" workbookViewId="0">
      <selection activeCell="A1" sqref="A1"/>
    </sheetView>
  </sheetViews>
  <sheetFormatPr baseColWidth="8" defaultRowHeight="12.75"/>
  <cols>
    <col width="1.85546875" customWidth="1" style="26" min="1" max="1"/>
    <col width="15.5703125" customWidth="1" style="7635" min="2" max="2"/>
    <col width="2.7109375" customWidth="1" style="7635" min="3" max="3"/>
    <col width="19.85546875" customWidth="1" style="7635" min="4" max="4"/>
    <col width="19" customWidth="1" style="7635" min="5" max="5"/>
    <col width="9.140625" customWidth="1" style="7635" min="6" max="6"/>
    <col width="20" customWidth="1" style="7635" min="7" max="7"/>
    <col width="3.140625" customWidth="1" style="7635" min="8" max="8"/>
    <col width="3.42578125" customWidth="1" style="7635" min="9" max="9"/>
    <col width="1.5703125" customWidth="1" style="7635" min="10" max="10"/>
    <col width="2.140625" customWidth="1" style="7635" min="11" max="11"/>
    <col width="1.85546875" customWidth="1" style="7635" min="12" max="12"/>
    <col width="1.5703125" customWidth="1" style="7635" min="13" max="13"/>
    <col width="2.140625" customWidth="1" style="7635" min="14" max="14"/>
    <col width="2.42578125" customWidth="1" style="7635" min="15" max="15"/>
    <col width="1.85546875" customWidth="1" style="7635" min="16" max="16"/>
    <col width="2.5703125" customWidth="1" style="7635" min="17" max="17"/>
    <col width="4.42578125" customWidth="1" style="7453" min="18" max="18"/>
    <col width="10.7109375" customWidth="1" style="658" min="19" max="29"/>
    <col width="4.42578125" customWidth="1" style="7453" min="30" max="31"/>
  </cols>
  <sheetData>
    <row r="1" ht="15" customHeight="1" s="7635">
      <c r="A1" s="275" t="n"/>
      <c r="B1" s="275" t="n"/>
      <c r="C1" s="275" t="n"/>
      <c r="D1" s="275" t="n"/>
      <c r="E1" s="275" t="n"/>
      <c r="F1" s="275" t="n"/>
      <c r="G1" s="275" t="n"/>
      <c r="H1" s="275" t="n"/>
      <c r="I1" s="275" t="n"/>
      <c r="J1" s="275" t="n"/>
      <c r="K1" s="275" t="n"/>
      <c r="L1" s="275" t="n"/>
      <c r="M1" s="275" t="n"/>
      <c r="N1" s="275" t="n"/>
      <c r="O1" s="275" t="n"/>
      <c r="P1" s="275" t="n"/>
      <c r="Q1" s="275" t="n"/>
      <c r="R1" s="460" t="n"/>
      <c r="S1" s="657" t="inlineStr">
        <is>
          <t>Notes</t>
        </is>
      </c>
    </row>
    <row r="2" ht="15" customHeight="1" s="7635">
      <c r="A2" s="275" t="n"/>
      <c r="B2" s="1041" t="inlineStr">
        <is>
          <t xml:space="preserve">Use Schedule B (Form 1040) if any of the following applies. </t>
        </is>
      </c>
      <c r="C2" s="1042" t="n"/>
      <c r="D2" s="275" t="n"/>
      <c r="E2" s="275" t="n"/>
      <c r="F2" s="275" t="n"/>
      <c r="G2" s="275" t="n"/>
      <c r="H2" s="275" t="n"/>
      <c r="I2" s="275" t="n"/>
      <c r="J2" s="275" t="n"/>
      <c r="K2" s="275" t="n"/>
      <c r="L2" s="275" t="n"/>
      <c r="M2" s="275" t="n"/>
      <c r="N2" s="275" t="n"/>
      <c r="O2" s="275" t="n"/>
      <c r="P2" s="275" t="n"/>
      <c r="Q2" s="275" t="n"/>
      <c r="R2" s="460" t="n"/>
    </row>
    <row r="3" ht="15.75" customHeight="1" s="7635">
      <c r="A3" s="275" t="n"/>
      <c r="B3" s="12048" t="inlineStr">
        <is>
          <t>•</t>
        </is>
      </c>
      <c r="C3" s="1043">
        <f>"You had over "&amp;TEXT(H44,"$0,000")&amp;" of taxable interest or ordinary dividends. "</f>
        <v/>
      </c>
      <c r="D3" s="1042" t="n"/>
      <c r="E3" s="275" t="n"/>
      <c r="F3" s="275" t="n"/>
      <c r="G3" s="275" t="n"/>
      <c r="H3" s="275" t="n"/>
      <c r="I3" s="275" t="n"/>
      <c r="J3" s="275" t="n"/>
      <c r="K3" s="275" t="n"/>
      <c r="L3" s="275" t="n"/>
      <c r="M3" s="275" t="n"/>
      <c r="N3" s="275" t="n"/>
      <c r="O3" s="275" t="n"/>
      <c r="P3" s="275" t="n"/>
      <c r="Q3" s="275" t="n"/>
      <c r="R3" s="275" t="n"/>
      <c r="AF3" s="7453" t="n"/>
    </row>
    <row r="4" ht="15.75" customHeight="1" s="7635">
      <c r="A4" s="275" t="n"/>
      <c r="B4" s="12048" t="inlineStr">
        <is>
          <t>•</t>
        </is>
      </c>
      <c r="C4" s="1043" t="inlineStr">
        <is>
          <t xml:space="preserve">You received interest from a seller-financed mortgage and the buyer used the property as a personal residence. </t>
        </is>
      </c>
      <c r="D4" s="1042" t="n"/>
      <c r="E4" s="275" t="n"/>
      <c r="F4" s="275" t="n"/>
      <c r="G4" s="275" t="n"/>
      <c r="H4" s="275" t="n"/>
      <c r="I4" s="275" t="n"/>
      <c r="J4" s="275" t="n"/>
      <c r="K4" s="275" t="n"/>
      <c r="L4" s="275" t="n"/>
      <c r="M4" s="275" t="n"/>
      <c r="N4" s="275" t="n"/>
      <c r="O4" s="275" t="n"/>
      <c r="P4" s="275" t="n"/>
      <c r="Q4" s="275" t="n"/>
      <c r="R4" s="275" t="n"/>
      <c r="AF4" s="7453" t="n"/>
    </row>
    <row r="5" ht="15.75" customHeight="1" s="7635">
      <c r="A5" s="275" t="n"/>
      <c r="B5" s="12048" t="inlineStr">
        <is>
          <t>•</t>
        </is>
      </c>
      <c r="C5" s="1043" t="inlineStr">
        <is>
          <t xml:space="preserve">You have accrued interest from a bond. </t>
        </is>
      </c>
      <c r="D5" s="1042" t="n"/>
      <c r="E5" s="275" t="n"/>
      <c r="F5" s="275" t="n"/>
      <c r="G5" s="275" t="n"/>
      <c r="H5" s="275" t="n"/>
      <c r="I5" s="275" t="n"/>
      <c r="J5" s="275" t="n"/>
      <c r="K5" s="275" t="n"/>
      <c r="L5" s="275" t="n"/>
      <c r="M5" s="275" t="n"/>
      <c r="N5" s="275" t="n"/>
      <c r="O5" s="275" t="n"/>
      <c r="P5" s="275" t="n"/>
      <c r="Q5" s="275" t="n"/>
      <c r="R5" s="275" t="n"/>
      <c r="AF5" s="7453" t="n"/>
    </row>
    <row r="6" ht="15.75" customHeight="1" s="7635">
      <c r="A6" s="275" t="n"/>
      <c r="B6" s="12048" t="inlineStr">
        <is>
          <t>•</t>
        </is>
      </c>
      <c r="C6" s="1043" t="inlineStr">
        <is>
          <t xml:space="preserve">You are reporting original issue discount (OID) of less than the amount shown on Form 1099-OID. </t>
        </is>
      </c>
      <c r="D6" s="1042" t="n"/>
      <c r="E6" s="275" t="n"/>
      <c r="F6" s="275" t="n"/>
      <c r="G6" s="275" t="n"/>
      <c r="H6" s="275" t="n"/>
      <c r="I6" s="275" t="n"/>
      <c r="J6" s="275" t="n"/>
      <c r="K6" s="275" t="n"/>
      <c r="L6" s="275" t="n"/>
      <c r="M6" s="275" t="n"/>
      <c r="N6" s="275" t="n"/>
      <c r="O6" s="275" t="n"/>
      <c r="P6" s="275" t="n"/>
      <c r="Q6" s="275" t="n"/>
      <c r="R6" s="275" t="n"/>
      <c r="AF6" s="7453" t="n"/>
    </row>
    <row r="7" ht="15.75" customHeight="1" s="7635">
      <c r="A7" s="275" t="n"/>
      <c r="B7" s="12048" t="inlineStr">
        <is>
          <t>•</t>
        </is>
      </c>
      <c r="C7" s="1043" t="inlineStr">
        <is>
          <t xml:space="preserve">You are reporting interest income of less than the amount shown on a Form 1099 due to amortizable bond premium. </t>
        </is>
      </c>
      <c r="D7" s="1042" t="n"/>
      <c r="E7" s="275" t="n"/>
      <c r="F7" s="275" t="n"/>
      <c r="G7" s="275" t="n"/>
      <c r="H7" s="275" t="n"/>
      <c r="I7" s="275" t="n"/>
      <c r="J7" s="275" t="n"/>
      <c r="K7" s="275" t="n"/>
      <c r="L7" s="275" t="n"/>
      <c r="M7" s="275" t="n"/>
      <c r="N7" s="275" t="n"/>
      <c r="O7" s="275" t="n"/>
      <c r="P7" s="275" t="n"/>
      <c r="Q7" s="275" t="n"/>
      <c r="R7" s="275" t="n"/>
      <c r="AF7" s="7453" t="n"/>
    </row>
    <row r="8" ht="15.75" customHeight="1" s="7635">
      <c r="A8" s="275" t="n"/>
      <c r="B8" s="12048" t="inlineStr">
        <is>
          <t>•</t>
        </is>
      </c>
      <c r="C8" s="1043" t="inlineStr">
        <is>
          <t xml:space="preserve">You are claiming the exclusion of interest from series EE or I U.S. savings bonds issued after 1989. </t>
        </is>
      </c>
      <c r="D8" s="1042" t="n"/>
      <c r="E8" s="275" t="n"/>
      <c r="F8" s="275" t="n"/>
      <c r="G8" s="275" t="n"/>
      <c r="H8" s="275" t="n"/>
      <c r="I8" s="275" t="n"/>
      <c r="J8" s="275" t="n"/>
      <c r="K8" s="275" t="n"/>
      <c r="L8" s="275" t="n"/>
      <c r="M8" s="275" t="n"/>
      <c r="N8" s="275" t="n"/>
      <c r="O8" s="275" t="n"/>
      <c r="P8" s="275" t="n"/>
      <c r="Q8" s="275" t="n"/>
      <c r="R8" s="275" t="n"/>
      <c r="AF8" s="7453" t="n"/>
    </row>
    <row r="9" ht="15.75" customHeight="1" s="7635">
      <c r="A9" s="275" t="n"/>
      <c r="B9" s="12048" t="inlineStr">
        <is>
          <t>•</t>
        </is>
      </c>
      <c r="C9" s="1043" t="inlineStr">
        <is>
          <t xml:space="preserve">You received interest or ordinary dividends as a nominee. </t>
        </is>
      </c>
      <c r="D9" s="1042" t="n"/>
      <c r="E9" s="275" t="n"/>
      <c r="F9" s="275" t="n"/>
      <c r="G9" s="275" t="n"/>
      <c r="H9" s="275" t="n"/>
      <c r="I9" s="275" t="n"/>
      <c r="J9" s="275" t="n"/>
      <c r="K9" s="275" t="n"/>
      <c r="L9" s="275" t="n"/>
      <c r="M9" s="275" t="n"/>
      <c r="N9" s="275" t="n"/>
      <c r="O9" s="275" t="n"/>
      <c r="P9" s="275" t="n"/>
      <c r="Q9" s="275" t="n"/>
      <c r="R9" s="275" t="n"/>
      <c r="AF9" s="7453" t="n"/>
    </row>
    <row r="10" ht="15.75" customHeight="1" s="7635">
      <c r="A10" s="275" t="n"/>
      <c r="B10" s="12048" t="inlineStr">
        <is>
          <t>•</t>
        </is>
      </c>
      <c r="C10" s="1043" t="inlineStr">
        <is>
          <t>You had a financial interest in, or signature authority over, a financial account in a foreign country or you</t>
        </is>
      </c>
      <c r="D10" s="1042" t="n"/>
      <c r="E10" s="275" t="n"/>
      <c r="F10" s="275" t="n"/>
      <c r="G10" s="275" t="n"/>
      <c r="H10" s="275" t="n"/>
      <c r="I10" s="275" t="n"/>
      <c r="J10" s="275" t="n"/>
      <c r="K10" s="275" t="n"/>
      <c r="L10" s="275" t="n"/>
      <c r="M10" s="275" t="n"/>
      <c r="N10" s="275" t="n"/>
      <c r="O10" s="275" t="n"/>
      <c r="P10" s="275" t="n"/>
      <c r="Q10" s="275" t="n"/>
      <c r="R10" s="275" t="n"/>
      <c r="AF10" s="7453" t="n"/>
    </row>
    <row r="11">
      <c r="A11" s="275" t="n"/>
      <c r="B11" s="275" t="n"/>
      <c r="C11" s="1043" t="inlineStr">
        <is>
          <t xml:space="preserve"> received a distribution from, or were a grantor of, or transfer-or to, a foreign trust. </t>
        </is>
      </c>
      <c r="D11" s="1043" t="n"/>
      <c r="E11" s="275" t="n"/>
      <c r="F11" s="275" t="n"/>
      <c r="G11" s="275" t="n"/>
      <c r="H11" s="275" t="n"/>
      <c r="I11" s="275" t="n"/>
      <c r="J11" s="275" t="n"/>
      <c r="K11" s="275" t="n"/>
      <c r="L11" s="275" t="n"/>
      <c r="M11" s="275" t="n"/>
      <c r="N11" s="275" t="n"/>
      <c r="O11" s="275" t="n"/>
      <c r="P11" s="275" t="n"/>
      <c r="Q11" s="275" t="n"/>
      <c r="R11" s="275" t="n"/>
      <c r="AF11" s="7453" t="n"/>
    </row>
    <row r="12">
      <c r="A12" s="275" t="n"/>
      <c r="B12" s="275" t="n"/>
      <c r="C12" s="275" t="n"/>
      <c r="D12" s="275" t="n"/>
      <c r="E12" s="275" t="n"/>
      <c r="F12" s="275" t="n"/>
      <c r="G12" s="275" t="n"/>
      <c r="H12" s="275" t="n"/>
      <c r="I12" s="275" t="n"/>
      <c r="J12" s="275" t="n"/>
      <c r="K12" s="275" t="n"/>
      <c r="L12" s="275" t="n"/>
      <c r="M12" s="275" t="n"/>
      <c r="N12" s="275" t="n"/>
      <c r="O12" s="275" t="n"/>
      <c r="P12" s="275" t="n"/>
      <c r="Q12" s="275" t="n"/>
      <c r="R12" s="460" t="n"/>
    </row>
    <row r="13" ht="15.75" customFormat="1" customHeight="1" s="26">
      <c r="A13" s="37" t="n"/>
      <c r="B13" s="37" t="n"/>
      <c r="C13" s="37" t="n"/>
      <c r="D13" s="37" t="n"/>
      <c r="E13" s="37" t="n"/>
      <c r="F13" s="37" t="n"/>
      <c r="G13" s="37" t="n"/>
      <c r="H13" s="37" t="n"/>
      <c r="I13" s="8103">
        <f>IF('Table of Contents'!A34="D","DRAFT","")</f>
        <v/>
      </c>
      <c r="J13" s="26" t="n"/>
      <c r="K13" s="26" t="n"/>
      <c r="L13" s="26" t="n"/>
      <c r="M13" s="26" t="n"/>
      <c r="N13" s="26" t="n"/>
      <c r="O13" s="26" t="n"/>
      <c r="P13" s="37" t="n"/>
      <c r="Q13" s="275" t="n"/>
      <c r="R13" s="460" t="n"/>
      <c r="S13" s="658" t="n"/>
      <c r="T13" s="658" t="n"/>
      <c r="U13" s="658" t="n"/>
      <c r="V13" s="658" t="n"/>
      <c r="W13" s="658" t="n"/>
      <c r="X13" s="658" t="n"/>
      <c r="Y13" s="658" t="n"/>
      <c r="Z13" s="658" t="n"/>
      <c r="AA13" s="658" t="n"/>
      <c r="AB13" s="658" t="n"/>
      <c r="AC13" s="658" t="n"/>
      <c r="AD13" s="7976" t="n"/>
      <c r="AE13" s="7976" t="n"/>
    </row>
    <row r="14" ht="8.25" customFormat="1" customHeight="1" s="26">
      <c r="A14" s="37" t="n"/>
      <c r="B14" s="22" t="n"/>
      <c r="C14" s="83" t="n"/>
      <c r="D14" s="22" t="n"/>
      <c r="E14" s="22" t="n"/>
      <c r="F14" s="22" t="n"/>
      <c r="G14" s="22" t="n"/>
      <c r="H14" s="22" t="n"/>
      <c r="I14" s="8112" t="inlineStr">
        <is>
          <t>OMB No. 1545-0074</t>
        </is>
      </c>
      <c r="J14" s="26" t="n"/>
      <c r="K14" s="26" t="n"/>
      <c r="L14" s="26" t="n"/>
      <c r="M14" s="26" t="n"/>
      <c r="N14" s="26" t="n"/>
      <c r="O14" s="26" t="n"/>
      <c r="P14" s="37" t="n"/>
      <c r="Q14" s="8094">
        <f>IF('Table of Contents'!A34="D","Hide 'DRAFT'.","")</f>
        <v/>
      </c>
      <c r="R14" s="26" t="n"/>
      <c r="S14" s="658" t="n"/>
      <c r="T14" s="658" t="n"/>
      <c r="U14" s="658" t="n"/>
      <c r="V14" s="658" t="n"/>
      <c r="W14" s="658" t="n"/>
      <c r="X14" s="658" t="n"/>
      <c r="Y14" s="658" t="n"/>
      <c r="Z14" s="658" t="n"/>
      <c r="AA14" s="658" t="n"/>
      <c r="AB14" s="658" t="n"/>
      <c r="AC14" s="658" t="n"/>
      <c r="AD14" s="7976" t="n"/>
      <c r="AE14" s="7976" t="n"/>
    </row>
    <row r="15" ht="12.75" customFormat="1" customHeight="1" s="26">
      <c r="A15" s="37" t="n"/>
      <c r="B15" s="103" t="inlineStr">
        <is>
          <t>SCHEDULE B</t>
        </is>
      </c>
      <c r="C15" s="83" t="n"/>
      <c r="D15" s="785" t="n"/>
      <c r="E15" s="5989">
        <f>IF(AND(P15="",'Table of Contents'!A34="D"),"DRAFT","")</f>
        <v/>
      </c>
      <c r="F15" s="782" t="n"/>
      <c r="G15" s="782" t="n"/>
      <c r="H15" s="783" t="n"/>
      <c r="I15" s="12049" t="n"/>
      <c r="J15" s="645" t="n"/>
      <c r="K15" s="645" t="n"/>
      <c r="L15" s="645" t="n"/>
      <c r="M15" s="645" t="n"/>
      <c r="N15" s="645" t="n"/>
      <c r="O15" s="645" t="n"/>
      <c r="P15" s="805" t="n"/>
      <c r="Q15" s="26" t="n"/>
      <c r="R15" s="26" t="n"/>
      <c r="S15" s="658" t="n"/>
      <c r="T15" s="658" t="n"/>
      <c r="U15" s="658" t="n"/>
      <c r="V15" s="658" t="n"/>
      <c r="W15" s="658" t="n"/>
      <c r="X15" s="658" t="n"/>
      <c r="Y15" s="658" t="n"/>
      <c r="Z15" s="658" t="n"/>
      <c r="AA15" s="658" t="n"/>
      <c r="AB15" s="658" t="n"/>
      <c r="AC15" s="658" t="n"/>
      <c r="AD15" s="7976" t="n"/>
      <c r="AE15" s="7976" t="n"/>
    </row>
    <row r="16" ht="16.5" customFormat="1" customHeight="1" s="26">
      <c r="A16" s="37" t="n"/>
      <c r="B16" s="1451" t="inlineStr">
        <is>
          <t>(Form 1040)</t>
        </is>
      </c>
      <c r="C16" s="83" t="n"/>
      <c r="D16" s="12050" t="inlineStr">
        <is>
          <t>Interest and Ordinary Dividends</t>
        </is>
      </c>
      <c r="E16" s="26" t="n"/>
      <c r="F16" s="26" t="n"/>
      <c r="G16" s="26" t="n"/>
      <c r="H16" s="11837" t="n"/>
      <c r="I16" s="8114">
        <f>TaxYear</f>
        <v/>
      </c>
      <c r="J16" s="12051" t="n"/>
      <c r="K16" s="12051" t="n"/>
      <c r="L16" s="12051" t="n"/>
      <c r="M16" s="12051" t="n"/>
      <c r="N16" s="12051" t="n"/>
      <c r="O16" s="12051" t="n"/>
      <c r="P16" s="37" t="n"/>
      <c r="Q16" s="275" t="n"/>
      <c r="R16" s="460" t="n"/>
      <c r="S16" s="658" t="n"/>
      <c r="T16" s="658" t="n"/>
      <c r="U16" s="658" t="n"/>
      <c r="V16" s="658" t="n"/>
      <c r="W16" s="658" t="n"/>
      <c r="X16" s="658" t="n"/>
      <c r="Y16" s="658" t="n"/>
      <c r="Z16" s="658" t="n"/>
      <c r="AA16" s="658" t="n"/>
      <c r="AB16" s="658" t="n"/>
      <c r="AC16" s="658" t="n"/>
      <c r="AD16" s="7976" t="n"/>
      <c r="AE16" s="7976" t="n"/>
    </row>
    <row r="17" ht="8.25" customFormat="1" customHeight="1" s="26">
      <c r="A17" s="37" t="n"/>
      <c r="B17" s="784" t="n"/>
      <c r="C17" s="83" t="n"/>
      <c r="D17" s="12052" t="n"/>
      <c r="E17" s="26" t="n"/>
      <c r="F17" s="26" t="n"/>
      <c r="G17" s="26" t="n"/>
      <c r="H17" s="11837" t="n"/>
      <c r="I17" s="11836" t="n"/>
      <c r="J17" s="26" t="n"/>
      <c r="K17" s="26" t="n"/>
      <c r="L17" s="26" t="n"/>
      <c r="M17" s="26" t="n"/>
      <c r="N17" s="26" t="n"/>
      <c r="O17" s="26" t="n"/>
      <c r="P17" s="37" t="n"/>
      <c r="Q17" s="275" t="n"/>
      <c r="R17" s="460" t="n"/>
      <c r="S17" s="658" t="n"/>
      <c r="T17" s="658" t="n"/>
      <c r="U17" s="658" t="n"/>
      <c r="V17" s="658" t="n"/>
      <c r="W17" s="658" t="n"/>
      <c r="X17" s="658" t="n"/>
      <c r="Y17" s="658" t="n"/>
      <c r="Z17" s="658" t="n"/>
      <c r="AA17" s="658" t="n"/>
      <c r="AB17" s="658" t="n"/>
      <c r="AC17" s="658" t="n"/>
      <c r="AD17" s="7976" t="n"/>
      <c r="AE17" s="7976" t="n"/>
    </row>
    <row r="18" ht="13.5" customFormat="1" customHeight="1" s="26">
      <c r="A18" s="37" t="n"/>
      <c r="B18" s="102" t="inlineStr">
        <is>
          <t>Department of the Treasury</t>
        </is>
      </c>
      <c r="C18" s="83" t="n"/>
      <c r="D18" s="12053" t="inlineStr">
        <is>
          <t>Attach to Form 1040 or 1040-SR.</t>
        </is>
      </c>
      <c r="E18" s="26" t="n"/>
      <c r="F18" s="26" t="n"/>
      <c r="G18" s="26" t="n"/>
      <c r="H18" s="11837" t="n"/>
      <c r="I18" s="1814" t="inlineStr">
        <is>
          <t xml:space="preserve"> Attachment</t>
        </is>
      </c>
      <c r="J18" s="1202" t="n"/>
      <c r="K18" s="1202" t="n"/>
      <c r="L18" s="1202" t="n"/>
      <c r="M18" s="1202" t="n"/>
      <c r="N18" s="12054" t="inlineStr">
        <is>
          <t>08</t>
        </is>
      </c>
      <c r="O18" s="26" t="n"/>
      <c r="P18" s="37" t="n"/>
      <c r="Q18" s="275" t="n"/>
      <c r="R18" s="460" t="n"/>
      <c r="S18" s="658" t="n"/>
      <c r="T18" s="658" t="n"/>
      <c r="U18" s="658" t="n"/>
      <c r="V18" s="658" t="n"/>
      <c r="W18" s="658" t="n"/>
      <c r="X18" s="658" t="n"/>
      <c r="Y18" s="658" t="n"/>
      <c r="Z18" s="658" t="n"/>
      <c r="AA18" s="658" t="n"/>
      <c r="AB18" s="658" t="n"/>
      <c r="AC18" s="658" t="n"/>
      <c r="AD18" s="7976" t="n"/>
      <c r="AE18" s="7976" t="n"/>
    </row>
    <row r="19" ht="12.75" customHeight="1" s="7635" thickBot="1">
      <c r="A19" s="37" t="n"/>
      <c r="B19" s="102" t="inlineStr">
        <is>
          <t>Internal Revenue Service (99)</t>
        </is>
      </c>
      <c r="C19" s="199" t="n"/>
      <c r="D19" s="12052" t="inlineStr">
        <is>
          <t>Go to www.irs.gov/ScheduleB for instructions and the latest information.</t>
        </is>
      </c>
      <c r="E19" s="26" t="n"/>
      <c r="F19" s="26" t="n"/>
      <c r="G19" s="26" t="n"/>
      <c r="H19" s="11837" t="n"/>
      <c r="I19" s="1813" t="inlineStr">
        <is>
          <t>Sequence No.</t>
        </is>
      </c>
      <c r="J19" s="1812" t="n"/>
      <c r="K19" s="1812" t="n"/>
      <c r="L19" s="1812" t="n"/>
      <c r="M19" s="1812" t="n"/>
      <c r="N19" s="11839" t="n"/>
      <c r="O19" s="11839" t="n"/>
      <c r="P19" s="139" t="n"/>
      <c r="Q19" s="11602" t="n"/>
      <c r="R19" s="6996" t="n"/>
    </row>
    <row r="20" ht="11.25" customHeight="1" s="7635">
      <c r="A20" s="37" t="n"/>
      <c r="B20" s="127" t="inlineStr">
        <is>
          <t>Name(s) shown on return</t>
        </is>
      </c>
      <c r="C20" s="73" t="n"/>
      <c r="D20" s="1594" t="n"/>
      <c r="E20" s="1594" t="n"/>
      <c r="F20" s="1594" t="n"/>
      <c r="G20" s="1595" t="n"/>
      <c r="H20" s="8124" t="inlineStr">
        <is>
          <t>Your social security number</t>
        </is>
      </c>
      <c r="I20" s="11834" t="n"/>
      <c r="J20" s="11834" t="n"/>
      <c r="K20" s="11834" t="n"/>
      <c r="L20" s="11834" t="n"/>
      <c r="M20" s="11834" t="n"/>
      <c r="N20" s="11834" t="n"/>
      <c r="O20" s="11834" t="n"/>
      <c r="P20" s="139" t="n"/>
      <c r="Q20" s="11602" t="n"/>
      <c r="R20" s="6996" t="n"/>
    </row>
    <row r="21" ht="17.25" customHeight="1" s="7635">
      <c r="A21" s="37" t="n"/>
      <c r="B21" s="316">
        <f>Names</f>
        <v/>
      </c>
      <c r="C21" s="317" t="n"/>
      <c r="D21" s="1596" t="n"/>
      <c r="E21" s="1596" t="n"/>
      <c r="F21" s="1596" t="n"/>
      <c r="G21" s="1596" t="n"/>
      <c r="H21" s="12055">
        <f>IF(NoSSN,"",SS_Yours)</f>
        <v/>
      </c>
      <c r="I21" s="645" t="n"/>
      <c r="J21" s="645" t="n"/>
      <c r="K21" s="645" t="n"/>
      <c r="L21" s="645" t="n"/>
      <c r="M21" s="645" t="n"/>
      <c r="N21" s="645" t="n"/>
      <c r="O21" s="645" t="n"/>
      <c r="P21" s="139" t="n"/>
      <c r="Q21" s="11602" t="n"/>
      <c r="R21" s="6996" t="n"/>
    </row>
    <row r="22" ht="15.75" customHeight="1" s="7635">
      <c r="A22" s="37" t="n"/>
      <c r="B22" s="1223" t="inlineStr">
        <is>
          <t>Part I</t>
        </is>
      </c>
      <c r="C22" s="17" t="n">
        <v>1</v>
      </c>
      <c r="D22" s="221" t="inlineStr">
        <is>
          <t>List name of payer. If any interest is from a seller-financed mortgage and the</t>
        </is>
      </c>
      <c r="E22" s="16" t="n"/>
      <c r="F22" s="16" t="n"/>
      <c r="G22" s="16" t="n"/>
      <c r="H22" s="99" t="n"/>
      <c r="I22" s="8097" t="inlineStr">
        <is>
          <t>Amount</t>
        </is>
      </c>
      <c r="J22" s="12056" t="n"/>
      <c r="K22" s="12056" t="n"/>
      <c r="L22" s="12056" t="n"/>
      <c r="M22" s="12056" t="n"/>
      <c r="N22" s="12056" t="n"/>
      <c r="O22" s="12056" t="n"/>
      <c r="P22" s="139" t="n"/>
      <c r="Q22" s="11602" t="n"/>
      <c r="R22" s="6996" t="n"/>
    </row>
    <row r="23" ht="12" customHeight="1" s="7635">
      <c r="A23" s="37" t="n"/>
      <c r="B23" s="1424" t="inlineStr">
        <is>
          <t>Interest</t>
        </is>
      </c>
      <c r="C23" s="17" t="n"/>
      <c r="D23" s="221" t="inlineStr">
        <is>
          <t>buyer used the property as a personal residence, see instructions and list this</t>
        </is>
      </c>
      <c r="E23" s="16" t="n"/>
      <c r="F23" s="16" t="n"/>
      <c r="G23" s="16" t="n"/>
      <c r="H23" s="100" t="n"/>
      <c r="I23" s="8128" t="n"/>
      <c r="J23" s="12051" t="n"/>
      <c r="K23" s="12051" t="n"/>
      <c r="L23" s="12051" t="n"/>
      <c r="M23" s="12051" t="n"/>
      <c r="N23" s="12051" t="n"/>
      <c r="O23" s="12051" t="n"/>
      <c r="P23" s="139" t="n"/>
      <c r="Q23" s="11602" t="n"/>
      <c r="R23" s="6996" t="n"/>
    </row>
    <row r="24" ht="12.75" customHeight="1" s="7635">
      <c r="A24" s="37" t="n"/>
      <c r="B24" s="16" t="n"/>
      <c r="C24" s="17" t="n"/>
      <c r="D24" s="221" t="inlineStr">
        <is>
          <t>interest first. Also, show that buyer’s social security number and address:</t>
        </is>
      </c>
      <c r="E24" s="16" t="n"/>
      <c r="F24" s="16" t="n"/>
      <c r="G24" s="81" t="n"/>
      <c r="H24" s="100" t="n"/>
      <c r="I24" s="8118" t="n"/>
      <c r="J24" s="645" t="n"/>
      <c r="K24" s="645" t="n"/>
      <c r="L24" s="645" t="n"/>
      <c r="M24" s="645" t="n"/>
      <c r="N24" s="645" t="n"/>
      <c r="O24" s="645" t="n"/>
      <c r="P24" s="139" t="n"/>
      <c r="Q24" s="11602" t="n"/>
      <c r="R24" s="6996" t="n"/>
      <c r="T24" s="664" t="n"/>
    </row>
    <row r="25" ht="12.75" customHeight="1" s="7635">
      <c r="A25" s="37" t="n"/>
      <c r="B25" s="221" t="inlineStr">
        <is>
          <t>(See instructions</t>
        </is>
      </c>
      <c r="C25" s="17" t="n"/>
      <c r="D25" s="12057">
        <f>IF('1099-INT'!D30="","Use sheet '1099-INT' to enter interest amounts.",'1099-INT'!D30)</f>
        <v/>
      </c>
      <c r="E25" s="12058" t="n"/>
      <c r="F25" s="12058" t="n"/>
      <c r="G25" s="12059" t="n"/>
      <c r="H25" s="100" t="n"/>
      <c r="I25" s="8091">
        <f>IF(AND('1099-INT'!D6="",'1099-INT'!D26="",'1099-INT'!D17=""),"",ROUND(SUM('1099-INT'!D6,'1099-INT'!D17,'1099-INT'!D26),2))</f>
        <v/>
      </c>
      <c r="J25" s="12060" t="n"/>
      <c r="K25" s="12060" t="n"/>
      <c r="L25" s="12060" t="n"/>
      <c r="M25" s="12060" t="n"/>
      <c r="N25" s="12060" t="n"/>
      <c r="O25" s="12060" t="n"/>
      <c r="P25" s="139" t="n"/>
      <c r="Q25" s="11602" t="n"/>
      <c r="R25" s="8914" t="n"/>
      <c r="S25" s="664" t="inlineStr">
        <is>
          <t>NOTE:</t>
        </is>
      </c>
      <c r="AD25" s="9649" t="n"/>
      <c r="AE25" s="9649" t="n"/>
    </row>
    <row r="26" ht="12.75" customHeight="1" s="7635">
      <c r="A26" s="37" t="n"/>
      <c r="B26" s="221" t="inlineStr">
        <is>
          <t>and the</t>
        </is>
      </c>
      <c r="C26" s="17" t="n"/>
      <c r="D26" s="12057">
        <f>IF('1099-INT'!E30="","",'1099-INT'!E30)</f>
        <v/>
      </c>
      <c r="E26" s="12058" t="n"/>
      <c r="F26" s="12058" t="n"/>
      <c r="G26" s="12059" t="n"/>
      <c r="H26" s="100" t="n"/>
      <c r="I26" s="8091">
        <f>IF(AND('1099-INT'!E6="",'1099-INT'!E26="",'1099-INT'!E17=""),"",ROUND(SUM('1099-INT'!E6,'1099-INT'!E17,'1099-INT'!E26),2))</f>
        <v/>
      </c>
      <c r="J26" s="12060" t="n"/>
      <c r="K26" s="12060" t="n"/>
      <c r="L26" s="12060" t="n"/>
      <c r="M26" s="12060" t="n"/>
      <c r="N26" s="12060" t="n"/>
      <c r="O26" s="12060" t="n"/>
      <c r="P26" s="139" t="n"/>
      <c r="Q26" s="11602" t="n"/>
      <c r="R26" s="8914" t="n"/>
      <c r="S26" s="664" t="inlineStr">
        <is>
          <t>The lines in Part I, Line 1, include hidden formula to automatically import information from the sheet labeled '1099-INT'.</t>
        </is>
      </c>
      <c r="AD26" s="9649" t="n"/>
      <c r="AE26" s="9649" t="n"/>
    </row>
    <row r="27" ht="12.75" customHeight="1" s="7635">
      <c r="A27" s="37" t="n"/>
      <c r="B27" s="221" t="inlineStr">
        <is>
          <t>Instructions for</t>
        </is>
      </c>
      <c r="C27" s="17" t="n"/>
      <c r="D27" s="12057">
        <f>IF('1099-INT'!F27="","",'1099-INT'!F30)</f>
        <v/>
      </c>
      <c r="E27" s="12058" t="n"/>
      <c r="F27" s="12058" t="n"/>
      <c r="G27" s="12059" t="n"/>
      <c r="H27" s="100" t="n"/>
      <c r="I27" s="8091">
        <f>IF(AND('1099-INT'!F6="",'1099-INT'!F26="",'1099-INT'!F17=""),"",ROUND(SUM('1099-INT'!F6,'1099-INT'!F$17,'1099-INT'!F$26),2))</f>
        <v/>
      </c>
      <c r="J27" s="12060" t="n"/>
      <c r="K27" s="12060" t="n"/>
      <c r="L27" s="12060" t="n"/>
      <c r="M27" s="12060" t="n"/>
      <c r="N27" s="12060" t="n"/>
      <c r="O27" s="12060" t="n"/>
      <c r="P27" s="139" t="n"/>
      <c r="Q27" s="11602" t="n"/>
      <c r="R27" s="8914" t="n"/>
      <c r="AD27" s="9649" t="n"/>
      <c r="AE27" s="9649" t="n"/>
    </row>
    <row r="28" ht="12.75" customHeight="1" s="7635">
      <c r="A28" s="37" t="n"/>
      <c r="B28" s="221" t="inlineStr">
        <is>
          <t>Form 1040,</t>
        </is>
      </c>
      <c r="C28" s="17" t="n"/>
      <c r="D28" s="12057">
        <f>IF('1099-INT'!G27="","",'1099-INT'!G30)</f>
        <v/>
      </c>
      <c r="E28" s="12058" t="n"/>
      <c r="F28" s="12058" t="n"/>
      <c r="G28" s="12059" t="n"/>
      <c r="H28" s="100" t="n"/>
      <c r="I28" s="8091">
        <f>IF(AND('1099-INT'!G6="",'1099-INT'!G26="",'1099-INT'!G17=""),"",ROUND(SUM('1099-INT'!G6,'1099-INT'!G$17,'1099-INT'!G$26),2))</f>
        <v/>
      </c>
      <c r="J28" s="12060" t="n"/>
      <c r="K28" s="12060" t="n"/>
      <c r="L28" s="12060" t="n"/>
      <c r="M28" s="12060" t="n"/>
      <c r="N28" s="12060" t="n"/>
      <c r="O28" s="12060" t="n"/>
      <c r="P28" s="139" t="n"/>
      <c r="Q28" s="11602" t="n"/>
      <c r="R28" s="8914" t="n"/>
      <c r="S28" s="658" t="inlineStr">
        <is>
          <t xml:space="preserve">However, these formula are NOT PROTECTED. </t>
        </is>
      </c>
      <c r="AD28" s="9649" t="n"/>
      <c r="AE28" s="9649" t="n"/>
    </row>
    <row r="29" ht="12.75" customHeight="1" s="7635">
      <c r="A29" s="37" t="n"/>
      <c r="B29" s="221" t="inlineStr">
        <is>
          <t>line 2b.)</t>
        </is>
      </c>
      <c r="C29" s="17" t="n"/>
      <c r="D29" s="12057">
        <f>IF('1099-INT'!H27="","",'1099-INT'!H30)</f>
        <v/>
      </c>
      <c r="E29" s="12058" t="n"/>
      <c r="F29" s="12058" t="n"/>
      <c r="G29" s="12059" t="n"/>
      <c r="H29" s="100" t="n"/>
      <c r="I29" s="8091">
        <f>IF(AND('1099-INT'!H6="",'1099-INT'!H26="",'1099-INT'!H17=""),"",ROUND(SUM('1099-INT'!H6,'1099-INT'!H$17,'1099-INT'!H$26),2))</f>
        <v/>
      </c>
      <c r="J29" s="12060" t="n"/>
      <c r="K29" s="12060" t="n"/>
      <c r="L29" s="12060" t="n"/>
      <c r="M29" s="12060" t="n"/>
      <c r="N29" s="12060" t="n"/>
      <c r="O29" s="12060" t="n"/>
      <c r="P29" s="139" t="n"/>
      <c r="Q29" s="11602" t="n"/>
      <c r="R29" s="8914" t="n"/>
      <c r="AD29" s="9649" t="n"/>
      <c r="AE29" s="9649" t="n"/>
    </row>
    <row r="30" ht="12.75" customHeight="1" s="7635">
      <c r="A30" s="37" t="n"/>
      <c r="B30" s="76" t="n"/>
      <c r="C30" s="17" t="n"/>
      <c r="D30" s="12057">
        <f>IF('1099-INT'!D56="","",'1099-INT'!D59)</f>
        <v/>
      </c>
      <c r="E30" s="12058" t="n"/>
      <c r="F30" s="12058" t="n"/>
      <c r="G30" s="12059" t="n"/>
      <c r="H30" s="100" t="n"/>
      <c r="I30" s="8091">
        <f>IF(AND('1099-INT'!D35="",'1099-INT'!D55="",'1099-INT'!D46=""),"",ROUND(SUM('1099-INT'!D$35,'1099-INT'!D$46,'1099-INT'!D$55),2))</f>
        <v/>
      </c>
      <c r="J30" s="12060" t="n"/>
      <c r="K30" s="12060" t="n"/>
      <c r="L30" s="12060" t="n"/>
      <c r="M30" s="12060" t="n"/>
      <c r="N30" s="12060" t="n"/>
      <c r="O30" s="12060" t="n"/>
      <c r="P30" s="139" t="n"/>
      <c r="Q30" s="11602" t="n"/>
      <c r="R30" s="8914" t="n"/>
      <c r="S30" s="664" t="inlineStr">
        <is>
          <t>If you type in the lines in Step 1, this import feature will no longer work.</t>
        </is>
      </c>
      <c r="AD30" s="9649" t="n"/>
      <c r="AE30" s="9649" t="n"/>
    </row>
    <row r="31" ht="12.75" customHeight="1" s="7635">
      <c r="A31" s="37" t="n"/>
      <c r="B31" s="8101" t="inlineStr">
        <is>
          <t>Note: If you received a 
Form 1099-INT, 
Form 1099-OID, 
or substitute
statement from 
a brokerage firm, 
list the firm’s 
name as the 
payer and enter 
the total interest 
shown on that 
form.</t>
        </is>
      </c>
      <c r="C31" s="17" t="n"/>
      <c r="D31" s="12057">
        <f>IF('1099-INT'!E56="","",'1099-INT'!E59)</f>
        <v/>
      </c>
      <c r="E31" s="12058" t="n"/>
      <c r="F31" s="12058" t="n"/>
      <c r="G31" s="12059" t="n"/>
      <c r="H31" s="100" t="n"/>
      <c r="I31" s="8091">
        <f>IF(AND('1099-INT'!E35="",'1099-INT'!E55="",'1099-INT'!E46=""),"",ROUND(SUM('1099-INT'!E$35,'1099-INT'!E$46,'1099-INT'!E$55),2))</f>
        <v/>
      </c>
      <c r="J31" s="12060" t="n"/>
      <c r="K31" s="12060" t="n"/>
      <c r="L31" s="12060" t="n"/>
      <c r="M31" s="12060" t="n"/>
      <c r="N31" s="12060" t="n"/>
      <c r="O31" s="12060" t="n"/>
      <c r="P31" s="139" t="n"/>
      <c r="Q31" s="11602" t="n"/>
      <c r="R31" s="8914" t="n"/>
      <c r="AD31" s="9649" t="n"/>
      <c r="AE31" s="9649" t="n"/>
    </row>
    <row r="32" ht="12.75" customHeight="1" s="7635">
      <c r="A32" s="37" t="n"/>
      <c r="B32" s="26" t="n"/>
      <c r="C32" s="17" t="n"/>
      <c r="D32" s="12057">
        <f>IF('1099-INT'!F56="","",'1099-INT'!F59)</f>
        <v/>
      </c>
      <c r="E32" s="12058" t="n"/>
      <c r="F32" s="12058" t="n"/>
      <c r="G32" s="12059" t="n"/>
      <c r="H32" s="100" t="n"/>
      <c r="I32" s="8091">
        <f>IF(AND('1099-INT'!F35="",'1099-INT'!F55="",'1099-INT'!F46=""),"",ROUND(SUM('1099-INT'!F$35,'1099-INT'!F$46,'1099-INT'!F$55),2))</f>
        <v/>
      </c>
      <c r="J32" s="12060" t="n"/>
      <c r="K32" s="12060" t="n"/>
      <c r="L32" s="12060" t="n"/>
      <c r="M32" s="12060" t="n"/>
      <c r="N32" s="12060" t="n"/>
      <c r="O32" s="12060" t="n"/>
      <c r="P32" s="139" t="n"/>
      <c r="Q32" s="11602" t="n"/>
      <c r="R32" s="8914" t="n"/>
      <c r="AD32" s="9649" t="n"/>
      <c r="AE32" s="9649" t="n"/>
    </row>
    <row r="33" ht="12.75" customHeight="1" s="7635">
      <c r="A33" s="37" t="n"/>
      <c r="B33" s="26" t="n"/>
      <c r="C33" s="17" t="n"/>
      <c r="D33" s="12057">
        <f>IF('1099-INT'!G56="","",'1099-INT'!G59)</f>
        <v/>
      </c>
      <c r="E33" s="12058" t="n"/>
      <c r="F33" s="12058" t="n"/>
      <c r="G33" s="12059" t="n"/>
      <c r="H33" s="100" t="n">
        <v>1</v>
      </c>
      <c r="I33" s="8091">
        <f>IF(AND('1099-INT'!G35="",'1099-INT'!G55="",'1099-INT'!G46=""),"",ROUND(SUM('1099-INT'!G$35,'1099-INT'!G$46,'1099-INT'!G$55),2))</f>
        <v/>
      </c>
      <c r="J33" s="12060" t="n"/>
      <c r="K33" s="12060" t="n"/>
      <c r="L33" s="12060" t="n"/>
      <c r="M33" s="12060" t="n"/>
      <c r="N33" s="12060" t="n"/>
      <c r="O33" s="12060" t="n"/>
      <c r="P33" s="139" t="n"/>
      <c r="Q33" s="11602" t="n"/>
      <c r="R33" s="8914" t="n"/>
      <c r="AD33" s="9649" t="n"/>
      <c r="AE33" s="9649" t="n"/>
    </row>
    <row r="34" ht="12.75" customHeight="1" s="7635">
      <c r="A34" s="37" t="n"/>
      <c r="B34" s="26" t="n"/>
      <c r="C34" s="17" t="n"/>
      <c r="D34" s="12057">
        <f>IF('1099-INT'!H56="","",'1099-INT'!H59)</f>
        <v/>
      </c>
      <c r="E34" s="12058" t="n"/>
      <c r="F34" s="12058" t="n"/>
      <c r="G34" s="12059" t="n"/>
      <c r="H34" s="100" t="n"/>
      <c r="I34" s="8091">
        <f>IF(AND('1099-INT'!H35="",'1099-INT'!H55="",'1099-INT'!H46=""),"",ROUND(SUM('1099-INT'!H$35,'1099-INT'!H$46,'1099-INT'!H$55),2))</f>
        <v/>
      </c>
      <c r="J34" s="12060" t="n"/>
      <c r="K34" s="12060" t="n"/>
      <c r="L34" s="12060" t="n"/>
      <c r="M34" s="12060" t="n"/>
      <c r="N34" s="12060" t="n"/>
      <c r="O34" s="12060" t="n"/>
      <c r="P34" s="139" t="n"/>
      <c r="Q34" s="11602" t="n"/>
      <c r="R34" s="8914" t="n"/>
      <c r="AD34" s="9649" t="n"/>
      <c r="AE34" s="9649" t="n"/>
    </row>
    <row r="35" ht="12.75" customHeight="1" s="7635">
      <c r="A35" s="37" t="n"/>
      <c r="B35" s="26" t="n"/>
      <c r="C35" s="17" t="n"/>
      <c r="D35" s="12057">
        <f>IF('1099-INT'!D86="","",'1099-INT'!D89)</f>
        <v/>
      </c>
      <c r="E35" s="12058" t="n"/>
      <c r="F35" s="12058" t="n"/>
      <c r="G35" s="12059" t="n"/>
      <c r="H35" s="100" t="n"/>
      <c r="I35" s="8088">
        <f>IF(AND('1099-INT'!D65="",'1099-INT'!D85="",'1099-INT'!D76=""),"",ROUND(SUM('1099-INT'!D65,'1099-INT'!D76,'1099-INT'!D85),2))</f>
        <v/>
      </c>
      <c r="J35" s="8007" t="n"/>
      <c r="K35" s="8007" t="n"/>
      <c r="L35" s="8007" t="n"/>
      <c r="M35" s="8007" t="n"/>
      <c r="N35" s="8007" t="n"/>
      <c r="O35" s="8007" t="n"/>
      <c r="P35" s="139" t="n"/>
      <c r="Q35" s="11602" t="n"/>
      <c r="R35" s="8914" t="n"/>
      <c r="AD35" s="9649" t="n"/>
      <c r="AE35" s="9649" t="n"/>
    </row>
    <row r="36" ht="12.75" customHeight="1" s="7635">
      <c r="A36" s="37" t="n"/>
      <c r="B36" s="26" t="n"/>
      <c r="C36" s="17" t="n"/>
      <c r="D36" s="12057">
        <f>IF('1099-INT'!E86="","",'1099-INT'!E89)</f>
        <v/>
      </c>
      <c r="E36" s="12058" t="n"/>
      <c r="F36" s="12058" t="n"/>
      <c r="G36" s="12059" t="n"/>
      <c r="H36" s="100" t="n"/>
      <c r="I36" s="8088">
        <f>IF(AND('1099-INT'!E65="",'1099-INT'!E85="",'1099-INT'!E76=""),"",ROUND(SUM('1099-INT'!E65,'1099-INT'!E76,'1099-INT'!E85),2))</f>
        <v/>
      </c>
      <c r="J36" s="8007" t="n"/>
      <c r="K36" s="8007" t="n"/>
      <c r="L36" s="8007" t="n"/>
      <c r="M36" s="8007" t="n"/>
      <c r="N36" s="8007" t="n"/>
      <c r="O36" s="8007" t="n"/>
      <c r="P36" s="139" t="n"/>
      <c r="Q36" s="11602" t="n"/>
      <c r="R36" s="8914" t="n"/>
      <c r="AD36" s="9649" t="n"/>
      <c r="AE36" s="9649" t="n"/>
    </row>
    <row r="37" ht="12.75" customHeight="1" s="7635">
      <c r="A37" s="37" t="n"/>
      <c r="B37" s="26" t="n"/>
      <c r="C37" s="17" t="n"/>
      <c r="D37" s="12057">
        <f>IF('1099-INT'!F86="","",'1099-INT'!F89)</f>
        <v/>
      </c>
      <c r="E37" s="12058" t="n"/>
      <c r="F37" s="12058" t="n"/>
      <c r="G37" s="12059" t="n"/>
      <c r="H37" s="100" t="n"/>
      <c r="I37" s="8088">
        <f>IF(AND('1099-INT'!F65="",'1099-INT'!F85="",'1099-INT'!F76=""),"",ROUND(SUM('1099-INT'!F65,'1099-INT'!F76,'1099-INT'!F85),2))</f>
        <v/>
      </c>
      <c r="J37" s="8007" t="n"/>
      <c r="K37" s="8007" t="n"/>
      <c r="L37" s="8007" t="n"/>
      <c r="M37" s="8007" t="n"/>
      <c r="N37" s="8007" t="n"/>
      <c r="O37" s="8007" t="n"/>
      <c r="P37" s="139" t="n"/>
      <c r="Q37" s="11602" t="n"/>
      <c r="R37" s="8914" t="n"/>
      <c r="AD37" s="9649" t="n"/>
      <c r="AE37" s="9649" t="n"/>
    </row>
    <row r="38" ht="12.75" customHeight="1" s="7635">
      <c r="A38" s="37" t="n"/>
      <c r="B38" s="26" t="n"/>
      <c r="C38" s="17" t="n"/>
      <c r="D38" s="12057">
        <f>IF('1099-INT'!G86="","",'1099-INT'!G89)</f>
        <v/>
      </c>
      <c r="E38" s="12058" t="n"/>
      <c r="F38" s="12058" t="n"/>
      <c r="G38" s="12059" t="n"/>
      <c r="H38" s="100" t="n"/>
      <c r="I38" s="8088">
        <f>IF(AND('1099-INT'!G65="",'1099-INT'!G85="",'1099-INT'!G76=""),"",ROUND(SUM('1099-INT'!G65,'1099-INT'!G76,'1099-INT'!G85),2))</f>
        <v/>
      </c>
      <c r="J38" s="8007" t="n"/>
      <c r="K38" s="8007" t="n"/>
      <c r="L38" s="8007" t="n"/>
      <c r="M38" s="8007" t="n"/>
      <c r="N38" s="8007" t="n"/>
      <c r="O38" s="8007" t="n"/>
      <c r="P38" s="139" t="n"/>
      <c r="Q38" s="11602" t="n"/>
      <c r="R38" s="8914" t="n"/>
      <c r="AD38" s="9649" t="n"/>
      <c r="AE38" s="9649" t="n"/>
    </row>
    <row r="39" ht="12.75" customHeight="1" s="7635">
      <c r="A39" s="37" t="n"/>
      <c r="B39" s="26" t="n"/>
      <c r="C39" s="17" t="n"/>
      <c r="D39" s="12057">
        <f>IF('1099-INT'!H86="","",'1099-INT'!H89)</f>
        <v/>
      </c>
      <c r="E39" s="12058" t="n"/>
      <c r="F39" s="12058" t="n"/>
      <c r="G39" s="12059" t="n"/>
      <c r="H39" s="98" t="n"/>
      <c r="I39" s="8088">
        <f>IF(AND('1099-INT'!H65="",'1099-INT'!H85="",'1099-INT'!H76=""),"",ROUND(SUM('1099-INT'!H65,'1099-INT'!H76,'1099-INT'!H85),2))</f>
        <v/>
      </c>
      <c r="J39" s="8007" t="n"/>
      <c r="K39" s="8007" t="n"/>
      <c r="L39" s="8007" t="n"/>
      <c r="M39" s="8007" t="n"/>
      <c r="N39" s="8007" t="n"/>
      <c r="O39" s="8007" t="n"/>
      <c r="P39" s="139" t="n"/>
      <c r="Q39" s="11602" t="n"/>
      <c r="R39" s="8914" t="n"/>
      <c r="AD39" s="9649" t="n"/>
      <c r="AE39" s="9649" t="n"/>
    </row>
    <row r="40" ht="12.75" customHeight="1" s="7635">
      <c r="A40" s="37" t="n"/>
      <c r="B40" s="26" t="n"/>
      <c r="C40" s="17" t="n">
        <v>2</v>
      </c>
      <c r="D40" s="221" t="inlineStr">
        <is>
          <t>Add the amounts on line 1  .   .   .   .   .   .   .   .   .   .   .   .   .   .   .   .   .   .   .   .   .   .   .   .   .   .   .   .   .   .   .   .   .   .   .   .</t>
        </is>
      </c>
      <c r="E40" s="16" t="n"/>
      <c r="F40" s="16" t="n"/>
      <c r="G40" s="16" t="n"/>
      <c r="H40" s="101" t="n">
        <v>2</v>
      </c>
      <c r="I40" s="8095">
        <f>ROUND(SUM(I25:I39),0)</f>
        <v/>
      </c>
      <c r="J40" s="8412" t="n"/>
      <c r="K40" s="8412" t="n"/>
      <c r="L40" s="8412" t="n"/>
      <c r="M40" s="8412" t="n"/>
      <c r="N40" s="8412" t="n"/>
      <c r="O40" s="8412" t="n"/>
      <c r="P40" s="139" t="n"/>
      <c r="Q40" s="11602" t="n"/>
      <c r="R40" s="8914" t="n"/>
      <c r="AD40" s="9649" t="n"/>
      <c r="AE40" s="9649" t="n"/>
    </row>
    <row r="41" ht="12.75" customHeight="1" s="7635">
      <c r="A41" s="37" t="n"/>
      <c r="B41" s="26" t="n"/>
      <c r="C41" s="17" t="n">
        <v>3</v>
      </c>
      <c r="D41" s="221" t="inlineStr">
        <is>
          <t xml:space="preserve">Excludable interest on series EE and I U.S. savings bonds issued after 1989. </t>
        </is>
      </c>
      <c r="E41" s="16" t="n"/>
      <c r="F41" s="16" t="n"/>
      <c r="G41" s="16" t="n"/>
      <c r="H41" s="99" t="n"/>
      <c r="I41" s="69" t="n"/>
      <c r="J41" s="69" t="n"/>
      <c r="K41" s="69" t="n"/>
      <c r="L41" s="69" t="n"/>
      <c r="M41" s="69" t="n"/>
      <c r="N41" s="69" t="n"/>
      <c r="O41" s="69" t="n"/>
      <c r="P41" s="139" t="n"/>
      <c r="Q41" s="11602" t="n"/>
      <c r="R41" s="6996" t="n"/>
    </row>
    <row r="42" ht="12.75" customHeight="1" s="7635">
      <c r="A42" s="37" t="n"/>
      <c r="B42" s="26" t="n"/>
      <c r="C42" s="17" t="n"/>
      <c r="D42" s="221" t="inlineStr">
        <is>
          <t>Attach Form 8815</t>
        </is>
      </c>
      <c r="E42" s="16" t="n"/>
      <c r="F42" s="16" t="n"/>
      <c r="G42" s="230" t="inlineStr">
        <is>
          <t xml:space="preserve"> .   .   .   .   .   .   .   .   .   .   .   .   .   .   .   .   .   .   .   .   .   .   .   .   .   .   .   .   .   .   .   .   .   .   .   .   .   .</t>
        </is>
      </c>
      <c r="H42" s="98" t="n">
        <v>3</v>
      </c>
      <c r="I42" s="8148" t="n"/>
      <c r="J42" s="11717" t="n"/>
      <c r="K42" s="11717" t="n"/>
      <c r="L42" s="11717" t="n"/>
      <c r="M42" s="11717" t="n"/>
      <c r="N42" s="11717" t="n"/>
      <c r="O42" s="11717" t="n"/>
      <c r="P42" s="139" t="n"/>
      <c r="Q42" s="11602" t="n"/>
      <c r="R42" s="6996" t="n"/>
    </row>
    <row r="43" ht="12.75" customHeight="1" s="7635">
      <c r="A43" s="37" t="n"/>
      <c r="B43" s="26" t="n"/>
      <c r="C43" s="17" t="n">
        <v>4</v>
      </c>
      <c r="D43" s="76" t="inlineStr">
        <is>
          <t>Subtract line 3 from line 2. Enter the result here and on Form 1040 or 1040-SR, line 2b .</t>
        </is>
      </c>
      <c r="E43" s="16" t="n"/>
      <c r="F43" s="16" t="n"/>
      <c r="G43" s="230" t="n"/>
      <c r="H43" s="98">
        <f>C43</f>
        <v/>
      </c>
      <c r="I43" s="8099">
        <f>(I40)-ROUND(I42,0)</f>
        <v/>
      </c>
      <c r="J43" s="7637" t="n"/>
      <c r="K43" s="7637" t="n"/>
      <c r="L43" s="7637" t="n"/>
      <c r="M43" s="7637" t="n"/>
      <c r="N43" s="7637" t="n"/>
      <c r="O43" s="7637" t="n"/>
      <c r="P43" s="139" t="n"/>
      <c r="Q43" s="11602" t="n"/>
      <c r="R43" s="6996" t="n"/>
    </row>
    <row r="44">
      <c r="A44" s="37" t="n"/>
      <c r="B44" s="13" t="n"/>
      <c r="C44" s="222" t="inlineStr">
        <is>
          <t>Note:</t>
        </is>
      </c>
      <c r="D44" s="360">
        <f>"If line 4 is over "&amp;TEXT(H44,"$0,000")&amp;", you must complete Part III."</f>
        <v/>
      </c>
      <c r="E44" s="68" t="n"/>
      <c r="F44" s="68" t="n"/>
      <c r="G44" s="271">
        <f>AND($I$43&gt;$H$44,OR(AND(K73="",N73=""),AND(N73="",K77="",N77=""),AND(K83="",N83="")))</f>
        <v/>
      </c>
      <c r="H44" s="1597" t="n">
        <v>1500</v>
      </c>
      <c r="I44" s="8097" t="inlineStr">
        <is>
          <t>Amount</t>
        </is>
      </c>
      <c r="J44" s="12056" t="n"/>
      <c r="K44" s="12056" t="n"/>
      <c r="L44" s="12056" t="n"/>
      <c r="M44" s="12056" t="n"/>
      <c r="N44" s="12056" t="n"/>
      <c r="O44" s="12056" t="n"/>
      <c r="P44" s="139" t="n"/>
      <c r="Q44" s="11602" t="n"/>
      <c r="R44" s="6996" t="n"/>
    </row>
    <row r="45" ht="15" customHeight="1" s="7635">
      <c r="A45" s="37" t="n"/>
      <c r="B45" s="1815" t="inlineStr">
        <is>
          <t>Part II</t>
        </is>
      </c>
      <c r="C45" s="17" t="n">
        <v>5</v>
      </c>
      <c r="D45" s="283" t="inlineStr">
        <is>
          <t>List name of payer</t>
        </is>
      </c>
      <c r="E45" s="8142" t="n"/>
      <c r="F45" s="12061" t="n"/>
      <c r="G45" s="12061" t="n"/>
      <c r="H45" s="100" t="n"/>
      <c r="I45" s="8088" t="n"/>
      <c r="J45" s="8007" t="n"/>
      <c r="K45" s="8007" t="n"/>
      <c r="L45" s="8007" t="n"/>
      <c r="M45" s="8007" t="n"/>
      <c r="N45" s="8007" t="n"/>
      <c r="O45" s="8007" t="n"/>
      <c r="P45" s="139" t="n"/>
      <c r="Q45" s="11602" t="n"/>
      <c r="R45" s="8914" t="n"/>
      <c r="S45" s="664" t="inlineStr">
        <is>
          <t>NOTE:</t>
        </is>
      </c>
      <c r="T45" s="664" t="n"/>
      <c r="AD45" s="9649" t="n"/>
      <c r="AE45" s="9649" t="n"/>
    </row>
    <row r="46" ht="12.75" customHeight="1" s="7635">
      <c r="A46" s="37" t="n"/>
      <c r="B46" s="8102" t="inlineStr">
        <is>
          <t>Ordinary Dividends</t>
        </is>
      </c>
      <c r="C46" s="17" t="n"/>
      <c r="D46" s="12057">
        <f>IF('1099-DIV'!D6="","Use sheet '1099-DIV' to enter dividend amounts.",'1099-DIV'!D30)</f>
        <v/>
      </c>
      <c r="E46" s="12058" t="n"/>
      <c r="F46" s="12058" t="n"/>
      <c r="G46" s="12059" t="n"/>
      <c r="H46" s="100" t="n"/>
      <c r="I46" s="8088">
        <f>IF('1099-DIV'!D6="","",ROUND('1099-DIV'!D6,2))</f>
        <v/>
      </c>
      <c r="J46" s="8007" t="n"/>
      <c r="K46" s="8007" t="n"/>
      <c r="L46" s="8007" t="n"/>
      <c r="M46" s="8007" t="n"/>
      <c r="N46" s="8007" t="n"/>
      <c r="O46" s="8007" t="n"/>
      <c r="P46" s="139" t="n"/>
      <c r="Q46" s="11602" t="n"/>
      <c r="R46" s="8914" t="n"/>
      <c r="S46" s="664" t="inlineStr">
        <is>
          <t>The top 15 full width lines in Part II, Line 5, include hidden formula to automatically import information from the sheet labeled '1099-DIV'.</t>
        </is>
      </c>
      <c r="AD46" s="9649" t="n"/>
      <c r="AE46" s="9649" t="n"/>
    </row>
    <row r="47" ht="12.75" customHeight="1" s="7635">
      <c r="A47" s="37" t="n"/>
      <c r="B47" s="26" t="n"/>
      <c r="C47" s="17" t="n"/>
      <c r="D47" s="12057">
        <f>IF('1099-DIV'!E6="","",'1099-DIV'!E30)</f>
        <v/>
      </c>
      <c r="E47" s="12058" t="n"/>
      <c r="F47" s="12058" t="n"/>
      <c r="G47" s="12059" t="n"/>
      <c r="H47" s="100" t="n"/>
      <c r="I47" s="8088">
        <f>IF('1099-DIV'!E6="","",ROUND('1099-DIV'!E6,2))</f>
        <v/>
      </c>
      <c r="J47" s="8007" t="n"/>
      <c r="K47" s="8007" t="n"/>
      <c r="L47" s="8007" t="n"/>
      <c r="M47" s="8007" t="n"/>
      <c r="N47" s="8007" t="n"/>
      <c r="O47" s="8007" t="n"/>
      <c r="P47" s="139" t="n"/>
      <c r="Q47" s="11602" t="n"/>
      <c r="R47" s="8914" t="n"/>
      <c r="AD47" s="9649" t="n"/>
      <c r="AE47" s="9649" t="n"/>
    </row>
    <row r="48" ht="12.75" customHeight="1" s="7635">
      <c r="A48" s="37" t="n"/>
      <c r="B48" s="26" t="n"/>
      <c r="C48" s="17" t="n"/>
      <c r="D48" s="12057">
        <f>IF('1099-DIV'!F6="","",'1099-DIV'!F30)</f>
        <v/>
      </c>
      <c r="E48" s="12058" t="n"/>
      <c r="F48" s="12058" t="n"/>
      <c r="G48" s="12059" t="n"/>
      <c r="H48" s="100" t="n"/>
      <c r="I48" s="8088">
        <f>IF('1099-DIV'!F6="","",ROUND('1099-DIV'!F6,2))</f>
        <v/>
      </c>
      <c r="J48" s="8007" t="n"/>
      <c r="K48" s="8007" t="n"/>
      <c r="L48" s="8007" t="n"/>
      <c r="M48" s="8007" t="n"/>
      <c r="N48" s="8007" t="n"/>
      <c r="O48" s="8007" t="n"/>
      <c r="P48" s="139" t="n"/>
      <c r="Q48" s="11602" t="n"/>
      <c r="R48" s="8914" t="n"/>
      <c r="S48" s="658" t="inlineStr">
        <is>
          <t xml:space="preserve">However, these formula are NOT PROTECTED. </t>
        </is>
      </c>
      <c r="AD48" s="9649" t="n"/>
      <c r="AE48" s="9649" t="n"/>
    </row>
    <row r="49" ht="12.75" customHeight="1" s="7635">
      <c r="A49" s="37" t="n"/>
      <c r="B49" s="76" t="inlineStr">
        <is>
          <t>(See instructions</t>
        </is>
      </c>
      <c r="C49" s="17" t="n"/>
      <c r="D49" s="12057">
        <f>IF('1099-DIV'!G6="","",'1099-DIV'!G30)</f>
        <v/>
      </c>
      <c r="E49" s="12058" t="n"/>
      <c r="F49" s="12058" t="n"/>
      <c r="G49" s="12059" t="n"/>
      <c r="H49" s="100" t="n"/>
      <c r="I49" s="8088">
        <f>IF('1099-DIV'!G6="","",ROUND('1099-DIV'!G6,2))</f>
        <v/>
      </c>
      <c r="J49" s="8007" t="n"/>
      <c r="K49" s="8007" t="n"/>
      <c r="L49" s="8007" t="n"/>
      <c r="M49" s="8007" t="n"/>
      <c r="N49" s="8007" t="n"/>
      <c r="O49" s="8007" t="n"/>
      <c r="P49" s="139" t="n"/>
      <c r="Q49" s="11602" t="n"/>
      <c r="R49" s="8914" t="n"/>
      <c r="AD49" s="9649" t="n"/>
      <c r="AE49" s="9649" t="n"/>
    </row>
    <row r="50" ht="12.75" customHeight="1" s="7635">
      <c r="A50" s="37" t="n"/>
      <c r="B50" s="76" t="inlineStr">
        <is>
          <t>and the</t>
        </is>
      </c>
      <c r="C50" s="17" t="n"/>
      <c r="D50" s="12057">
        <f>IF('1099-DIV'!H6="","",'1099-DIV'!H30)</f>
        <v/>
      </c>
      <c r="E50" s="12058" t="n"/>
      <c r="F50" s="12058" t="n"/>
      <c r="G50" s="12059" t="n"/>
      <c r="H50" s="100" t="n"/>
      <c r="I50" s="8088">
        <f>IF('1099-DIV'!H6="","",ROUND('1099-DIV'!H6,2))</f>
        <v/>
      </c>
      <c r="J50" s="8007" t="n"/>
      <c r="K50" s="8007" t="n"/>
      <c r="L50" s="8007" t="n"/>
      <c r="M50" s="8007" t="n"/>
      <c r="N50" s="8007" t="n"/>
      <c r="O50" s="8007" t="n"/>
      <c r="P50" s="139" t="n"/>
      <c r="Q50" s="11602" t="n"/>
      <c r="R50" s="8914" t="n"/>
      <c r="S50" s="664" t="inlineStr">
        <is>
          <t>If you type in these lines in Step 5, this import feature will no longer work.</t>
        </is>
      </c>
      <c r="AD50" s="9649" t="n"/>
      <c r="AE50" s="9649" t="n"/>
    </row>
    <row r="51" ht="12.75" customHeight="1" s="7635">
      <c r="A51" s="37" t="n"/>
      <c r="B51" s="76" t="inlineStr">
        <is>
          <t>instructions for</t>
        </is>
      </c>
      <c r="C51" s="17" t="n"/>
      <c r="D51" s="12057">
        <f>IF('1099-DIV'!D35="","",'1099-DIV'!D59)</f>
        <v/>
      </c>
      <c r="E51" s="12058" t="n"/>
      <c r="F51" s="12058" t="n"/>
      <c r="G51" s="12059" t="n"/>
      <c r="H51" s="100" t="n"/>
      <c r="I51" s="8088">
        <f>IF('1099-DIV'!D35="","",ROUND('1099-DIV'!D35,2))</f>
        <v/>
      </c>
      <c r="J51" s="8007" t="n"/>
      <c r="K51" s="8007" t="n"/>
      <c r="L51" s="8007" t="n"/>
      <c r="M51" s="8007" t="n"/>
      <c r="N51" s="8007" t="n"/>
      <c r="O51" s="8007" t="n"/>
      <c r="P51" s="139" t="n"/>
      <c r="Q51" s="11602" t="n"/>
      <c r="R51" s="8914" t="n"/>
      <c r="AD51" s="9649" t="n"/>
      <c r="AE51" s="9649" t="n"/>
    </row>
    <row r="52" ht="12.75" customHeight="1" s="7635">
      <c r="A52" s="37" t="n"/>
      <c r="B52" s="76" t="inlineStr">
        <is>
          <t>Form 1040,</t>
        </is>
      </c>
      <c r="C52" s="17" t="n"/>
      <c r="D52" s="12057">
        <f>IF('1099-DIV'!E35="","",'1099-DIV'!E59)</f>
        <v/>
      </c>
      <c r="E52" s="12058" t="n"/>
      <c r="F52" s="12058" t="n"/>
      <c r="G52" s="12059" t="n"/>
      <c r="H52" s="100" t="n"/>
      <c r="I52" s="8088">
        <f>IF('1099-DIV'!E35="","",ROUND('1099-DIV'!E35,2))</f>
        <v/>
      </c>
      <c r="J52" s="8007" t="n"/>
      <c r="K52" s="8007" t="n"/>
      <c r="L52" s="8007" t="n"/>
      <c r="M52" s="8007" t="n"/>
      <c r="N52" s="8007" t="n"/>
      <c r="O52" s="8007" t="n"/>
      <c r="P52" s="139" t="n"/>
      <c r="Q52" s="11602" t="n"/>
      <c r="R52" s="8914" t="n"/>
      <c r="AD52" s="9649" t="n"/>
      <c r="AE52" s="9649" t="n"/>
    </row>
    <row r="53" ht="12.75" customHeight="1" s="7635">
      <c r="A53" s="37" t="n"/>
      <c r="B53" s="76" t="inlineStr">
        <is>
          <t>line 3b.)</t>
        </is>
      </c>
      <c r="C53" s="17" t="n"/>
      <c r="D53" s="12057">
        <f>IF('1099-DIV'!F35="","",'1099-DIV'!F59)</f>
        <v/>
      </c>
      <c r="E53" s="12058" t="n"/>
      <c r="F53" s="12058" t="n"/>
      <c r="G53" s="12059" t="n"/>
      <c r="H53" s="100" t="n">
        <v>5</v>
      </c>
      <c r="I53" s="8088">
        <f>IF('1099-DIV'!F35="","",ROUND('1099-DIV'!F35,2))</f>
        <v/>
      </c>
      <c r="J53" s="8007" t="n"/>
      <c r="K53" s="8007" t="n"/>
      <c r="L53" s="8007" t="n"/>
      <c r="M53" s="8007" t="n"/>
      <c r="N53" s="8007" t="n"/>
      <c r="O53" s="8007" t="n"/>
      <c r="P53" s="139" t="n"/>
      <c r="Q53" s="11602" t="n"/>
      <c r="R53" s="8914" t="n"/>
      <c r="AD53" s="9649" t="n"/>
      <c r="AE53" s="9649" t="n"/>
    </row>
    <row r="54" ht="12.75" customHeight="1" s="7635">
      <c r="A54" s="37" t="n"/>
      <c r="B54" s="63" t="n"/>
      <c r="C54" s="17" t="n"/>
      <c r="D54" s="12057">
        <f>IF('1099-DIV'!G35="","",'1099-DIV'!G59)</f>
        <v/>
      </c>
      <c r="E54" s="12058" t="n"/>
      <c r="F54" s="12058" t="n"/>
      <c r="G54" s="12059" t="n"/>
      <c r="H54" s="100" t="n"/>
      <c r="I54" s="8088">
        <f>IF('1099-DIV'!G35="","",ROUND('1099-DIV'!G35,2))</f>
        <v/>
      </c>
      <c r="J54" s="8007" t="n"/>
      <c r="K54" s="8007" t="n"/>
      <c r="L54" s="8007" t="n"/>
      <c r="M54" s="8007" t="n"/>
      <c r="N54" s="8007" t="n"/>
      <c r="O54" s="8007" t="n"/>
      <c r="P54" s="139" t="n"/>
      <c r="Q54" s="11602" t="n"/>
      <c r="R54" s="8914" t="n"/>
      <c r="AD54" s="9649" t="n"/>
      <c r="AE54" s="9649" t="n"/>
    </row>
    <row r="55" ht="12.75" customHeight="1" s="7635">
      <c r="A55" s="37" t="n"/>
      <c r="B55" s="8101" t="inlineStr">
        <is>
          <t>Note: If you
received a
Form 1099-DIV
or substitute
statement from
a brokerage firm,
list the firm’s
name as the
payer and enter
the ordinary
dividends shown
on that form.</t>
        </is>
      </c>
      <c r="C55" s="17" t="n"/>
      <c r="D55" s="12057">
        <f>IF('1099-DIV'!H35="","",'1099-DIV'!H59)</f>
        <v/>
      </c>
      <c r="E55" s="12058" t="n"/>
      <c r="F55" s="12058" t="n"/>
      <c r="G55" s="12059" t="n"/>
      <c r="H55" s="100" t="n"/>
      <c r="I55" s="8088">
        <f>IF('1099-DIV'!H35="","",ROUND('1099-DIV'!H35,2))</f>
        <v/>
      </c>
      <c r="J55" s="8007" t="n"/>
      <c r="K55" s="8007" t="n"/>
      <c r="L55" s="8007" t="n"/>
      <c r="M55" s="8007" t="n"/>
      <c r="N55" s="8007" t="n"/>
      <c r="O55" s="8007" t="n"/>
      <c r="P55" s="139" t="n"/>
      <c r="Q55" s="11602" t="n"/>
      <c r="R55" s="8914" t="n"/>
      <c r="AD55" s="9649" t="n"/>
      <c r="AE55" s="9649" t="n"/>
    </row>
    <row r="56" ht="12.75" customHeight="1" s="7635">
      <c r="A56" s="37" t="n"/>
      <c r="B56" s="26" t="n"/>
      <c r="C56" s="17" t="n"/>
      <c r="D56" s="12057">
        <f>IF('1099-DIV'!D64="","",'1099-DIV'!D88)</f>
        <v/>
      </c>
      <c r="E56" s="12058" t="n"/>
      <c r="F56" s="12058" t="n"/>
      <c r="G56" s="12059" t="n"/>
      <c r="H56" s="100" t="n"/>
      <c r="I56" s="8088">
        <f>IF('1099-DIV'!D64="","",ROUND('1099-DIV'!D64,2))</f>
        <v/>
      </c>
      <c r="J56" s="8007" t="n"/>
      <c r="K56" s="8007" t="n"/>
      <c r="L56" s="8007" t="n"/>
      <c r="M56" s="8007" t="n"/>
      <c r="N56" s="8007" t="n"/>
      <c r="O56" s="8007" t="n"/>
      <c r="P56" s="139" t="n"/>
      <c r="Q56" s="11602" t="n"/>
      <c r="R56" s="8914" t="n"/>
      <c r="AD56" s="9649" t="n"/>
      <c r="AE56" s="9649" t="n"/>
    </row>
    <row r="57" ht="12.75" customHeight="1" s="7635">
      <c r="A57" s="37" t="n"/>
      <c r="B57" s="26" t="n"/>
      <c r="C57" s="17" t="n"/>
      <c r="D57" s="12057">
        <f>IF('1099-DIV'!E64="","",'1099-DIV'!E88)</f>
        <v/>
      </c>
      <c r="E57" s="12058" t="n"/>
      <c r="F57" s="12058" t="n"/>
      <c r="G57" s="12059" t="n"/>
      <c r="H57" s="100" t="n"/>
      <c r="I57" s="8088">
        <f>IF('1099-DIV'!E64="","",ROUND('1099-DIV'!E64,2))</f>
        <v/>
      </c>
      <c r="J57" s="8007" t="n"/>
      <c r="K57" s="8007" t="n"/>
      <c r="L57" s="8007" t="n"/>
      <c r="M57" s="8007" t="n"/>
      <c r="N57" s="8007" t="n"/>
      <c r="O57" s="8007" t="n"/>
      <c r="P57" s="139" t="n"/>
      <c r="Q57" s="11602" t="n"/>
      <c r="R57" s="8914" t="n"/>
      <c r="AD57" s="9649" t="n"/>
      <c r="AE57" s="9649" t="n"/>
    </row>
    <row r="58" ht="12.75" customHeight="1" s="7635">
      <c r="A58" s="37" t="n"/>
      <c r="B58" s="26" t="n"/>
      <c r="C58" s="17" t="n"/>
      <c r="D58" s="12057">
        <f>IF('1099-DIV'!F64="","",'1099-DIV'!F88)</f>
        <v/>
      </c>
      <c r="E58" s="12058" t="n"/>
      <c r="F58" s="12058" t="n"/>
      <c r="G58" s="12059" t="n"/>
      <c r="H58" s="100" t="n"/>
      <c r="I58" s="8088">
        <f>IF('1099-DIV'!F64="","",ROUND('1099-DIV'!F64,2))</f>
        <v/>
      </c>
      <c r="J58" s="8007" t="n"/>
      <c r="K58" s="8007" t="n"/>
      <c r="L58" s="8007" t="n"/>
      <c r="M58" s="8007" t="n"/>
      <c r="N58" s="8007" t="n"/>
      <c r="O58" s="8007" t="n"/>
      <c r="P58" s="139" t="n"/>
      <c r="Q58" s="11602" t="n"/>
      <c r="R58" s="8914" t="n"/>
      <c r="AD58" s="9649" t="n"/>
      <c r="AE58" s="9649" t="n"/>
    </row>
    <row r="59" ht="12.75" customHeight="1" s="7635">
      <c r="A59" s="37" t="n"/>
      <c r="B59" s="26" t="n"/>
      <c r="C59" s="17" t="n"/>
      <c r="D59" s="12057">
        <f>IF('1099-DIV'!G64="","",'1099-DIV'!G88)</f>
        <v/>
      </c>
      <c r="E59" s="12058" t="n"/>
      <c r="F59" s="12058" t="n"/>
      <c r="G59" s="12059" t="n"/>
      <c r="H59" s="100" t="n"/>
      <c r="I59" s="8088">
        <f>IF('1099-DIV'!G64="","",ROUND('1099-DIV'!G64,2))</f>
        <v/>
      </c>
      <c r="J59" s="8007" t="n"/>
      <c r="K59" s="8007" t="n"/>
      <c r="L59" s="8007" t="n"/>
      <c r="M59" s="8007" t="n"/>
      <c r="N59" s="8007" t="n"/>
      <c r="O59" s="8007" t="n"/>
      <c r="P59" s="139" t="n"/>
      <c r="Q59" s="11602" t="n"/>
      <c r="R59" s="8914" t="n"/>
      <c r="AD59" s="9649" t="n"/>
      <c r="AE59" s="9649" t="n"/>
    </row>
    <row r="60" ht="12.75" customHeight="1" s="7635">
      <c r="A60" s="37" t="n"/>
      <c r="B60" s="26" t="n"/>
      <c r="C60" s="17" t="n"/>
      <c r="D60" s="12057">
        <f>IF('1099-DIV'!H64="","",'1099-DIV'!H88)</f>
        <v/>
      </c>
      <c r="E60" s="12058" t="n"/>
      <c r="F60" s="12058" t="n"/>
      <c r="G60" s="12059" t="n"/>
      <c r="H60" s="100" t="n"/>
      <c r="I60" s="8088">
        <f>IF('1099-DIV'!H64="","",ROUND('1099-DIV'!H64,2))</f>
        <v/>
      </c>
      <c r="J60" s="8007" t="n"/>
      <c r="K60" s="8007" t="n"/>
      <c r="L60" s="8007" t="n"/>
      <c r="M60" s="8007" t="n"/>
      <c r="N60" s="8007" t="n"/>
      <c r="O60" s="8007" t="n"/>
      <c r="P60" s="139" t="n"/>
      <c r="Q60" s="11602" t="n"/>
      <c r="R60" s="8914" t="n"/>
      <c r="AD60" s="9649" t="n"/>
      <c r="AE60" s="9649" t="n"/>
    </row>
    <row r="61" ht="12.75" customHeight="1" s="7635">
      <c r="A61" s="37" t="n"/>
      <c r="B61" s="26" t="n"/>
      <c r="C61" s="17" t="n"/>
      <c r="D61" s="12057">
        <f>IF('1099-DIV'!D93="","",'1099-DIV'!D117)</f>
        <v/>
      </c>
      <c r="E61" s="12058" t="n"/>
      <c r="F61" s="12058" t="n"/>
      <c r="G61" s="12059" t="n"/>
      <c r="H61" s="100" t="n"/>
      <c r="I61" s="8088">
        <f>IF('1099-DIV'!D93="","",ROUND('1099-DIV'!D93,2))</f>
        <v/>
      </c>
      <c r="J61" s="8007" t="n"/>
      <c r="K61" s="8007" t="n"/>
      <c r="L61" s="8007" t="n"/>
      <c r="M61" s="8007" t="n"/>
      <c r="N61" s="8007" t="n"/>
      <c r="O61" s="8007" t="n"/>
      <c r="P61" s="139" t="n"/>
      <c r="Q61" s="11602" t="n"/>
      <c r="R61" s="8914" t="n"/>
      <c r="AD61" s="9649" t="n"/>
      <c r="AE61" s="9649" t="n"/>
    </row>
    <row r="62" ht="12.75" customHeight="1" s="7635">
      <c r="A62" s="37" t="n"/>
      <c r="B62" s="26" t="n"/>
      <c r="C62" s="17" t="n"/>
      <c r="D62" s="12057">
        <f>IF('1099-DIV'!E93="","",'1099-DIV'!E117)</f>
        <v/>
      </c>
      <c r="E62" s="12058" t="n"/>
      <c r="F62" s="12058" t="n"/>
      <c r="G62" s="12059" t="n"/>
      <c r="H62" s="100" t="n"/>
      <c r="I62" s="8088">
        <f>IF('1099-DIV'!E93="","",ROUND('1099-DIV'!E93,2))</f>
        <v/>
      </c>
      <c r="J62" s="8007" t="n"/>
      <c r="K62" s="8007" t="n"/>
      <c r="L62" s="8007" t="n"/>
      <c r="M62" s="8007" t="n"/>
      <c r="N62" s="8007" t="n"/>
      <c r="O62" s="8007" t="n"/>
      <c r="P62" s="139" t="n"/>
      <c r="Q62" s="11602" t="n"/>
      <c r="R62" s="8914" t="n"/>
      <c r="AD62" s="9649" t="n"/>
      <c r="AE62" s="9649" t="n"/>
    </row>
    <row r="63" ht="12.75" customHeight="1" s="7635">
      <c r="A63" s="37" t="n"/>
      <c r="B63" s="26" t="n"/>
      <c r="C63" s="17" t="n"/>
      <c r="D63" s="12057">
        <f>IF('1099-DIV'!F93="","",'1099-DIV'!F117)</f>
        <v/>
      </c>
      <c r="E63" s="12058" t="n"/>
      <c r="F63" s="12058" t="n"/>
      <c r="G63" s="12059" t="n"/>
      <c r="H63" s="100" t="n"/>
      <c r="I63" s="8088">
        <f>IF('1099-DIV'!F93="","",ROUND('1099-DIV'!F93,2))</f>
        <v/>
      </c>
      <c r="J63" s="8007" t="n"/>
      <c r="K63" s="8007" t="n"/>
      <c r="L63" s="8007" t="n"/>
      <c r="M63" s="8007" t="n"/>
      <c r="N63" s="8007" t="n"/>
      <c r="O63" s="8007" t="n"/>
      <c r="P63" s="139" t="n"/>
      <c r="Q63" s="11602" t="n"/>
      <c r="R63" s="8914" t="n"/>
      <c r="AD63" s="9649" t="n"/>
      <c r="AE63" s="9649" t="n"/>
    </row>
    <row r="64" ht="12.75" customHeight="1" s="7635">
      <c r="A64" s="37" t="n"/>
      <c r="B64" s="26" t="n"/>
      <c r="C64" s="17" t="n"/>
      <c r="D64" s="12057">
        <f>IF('1099-DIV'!G93="","",'1099-DIV'!G117)</f>
        <v/>
      </c>
      <c r="E64" s="12058" t="n"/>
      <c r="F64" s="12058" t="n"/>
      <c r="G64" s="12059" t="n"/>
      <c r="H64" s="100" t="n"/>
      <c r="I64" s="8088">
        <f>IF('1099-DIV'!G93="","",ROUND('1099-DIV'!G93,2))</f>
        <v/>
      </c>
      <c r="J64" s="8007" t="n"/>
      <c r="K64" s="8007" t="n"/>
      <c r="L64" s="8007" t="n"/>
      <c r="M64" s="8007" t="n"/>
      <c r="N64" s="8007" t="n"/>
      <c r="O64" s="8007" t="n"/>
      <c r="P64" s="139" t="n"/>
      <c r="Q64" s="11602" t="n"/>
      <c r="R64" s="8914" t="n"/>
      <c r="AD64" s="9649" t="n"/>
      <c r="AE64" s="9649" t="n"/>
    </row>
    <row r="65" ht="12.75" customHeight="1" s="7635">
      <c r="A65" s="37" t="n"/>
      <c r="B65" s="26" t="n"/>
      <c r="C65" s="17" t="n"/>
      <c r="D65" s="12057" t="n"/>
      <c r="E65" s="12058" t="n"/>
      <c r="F65" s="12058" t="n"/>
      <c r="G65" s="12059" t="n"/>
      <c r="H65" s="98" t="n"/>
      <c r="I65" s="8088" t="n"/>
      <c r="J65" s="8007" t="n"/>
      <c r="K65" s="8007" t="n"/>
      <c r="L65" s="8007" t="n"/>
      <c r="M65" s="8007" t="n"/>
      <c r="N65" s="8007" t="n"/>
      <c r="O65" s="8007" t="n"/>
      <c r="P65" s="139" t="n"/>
      <c r="Q65" s="11602" t="n"/>
      <c r="R65" s="8914" t="n"/>
      <c r="AD65" s="9649" t="n"/>
      <c r="AE65" s="9649" t="n"/>
    </row>
    <row r="66" ht="12.75" customHeight="1" s="7635">
      <c r="A66" s="37" t="n"/>
      <c r="B66" s="26" t="n"/>
      <c r="C66" s="17" t="n">
        <v>6</v>
      </c>
      <c r="D66" s="76" t="inlineStr">
        <is>
          <t>Add the amounts on line 5. Enter the total here and on Form 1040 or 1040-SR, line 3b .   .</t>
        </is>
      </c>
      <c r="E66" s="16" t="n"/>
      <c r="F66" s="16" t="n"/>
      <c r="G66" s="230" t="n"/>
      <c r="H66" s="98" t="n">
        <v>6</v>
      </c>
      <c r="I66" s="8095">
        <f>ROUND(SUM(I45:I64),0)</f>
        <v/>
      </c>
      <c r="J66" s="8412" t="n"/>
      <c r="K66" s="8412" t="n"/>
      <c r="L66" s="8412" t="n"/>
      <c r="M66" s="8412" t="n"/>
      <c r="N66" s="8412" t="n"/>
      <c r="O66" s="8412" t="n"/>
      <c r="P66" s="139" t="n"/>
      <c r="Q66" s="11602" t="n"/>
      <c r="R66" s="8914" t="n"/>
      <c r="AD66" s="9649" t="n"/>
      <c r="AE66" s="9649" t="n"/>
    </row>
    <row r="67" ht="12.75" customHeight="1" s="7635" thickBot="1">
      <c r="A67" s="37" t="n"/>
      <c r="B67" s="71" t="n"/>
      <c r="C67" s="1816" t="inlineStr">
        <is>
          <t>Note:</t>
        </is>
      </c>
      <c r="D67" s="1817">
        <f>"If line 6 is over "&amp;TEXT(H44,"$0,000")&amp;", you must complete Part III."</f>
        <v/>
      </c>
      <c r="E67" s="234" t="n"/>
      <c r="F67" s="234" t="n"/>
      <c r="G67" s="272">
        <f>AND($I$66&gt;$H$44,OR(AND(K73="",N73=""),AND(N73="",K77="",N77=""),AND(K83="",N83="")))</f>
        <v/>
      </c>
      <c r="H67" s="235" t="n"/>
      <c r="I67" s="236" t="n"/>
      <c r="J67" s="236" t="n"/>
      <c r="K67" s="236" t="n"/>
      <c r="L67" s="236" t="n"/>
      <c r="M67" s="236" t="n"/>
      <c r="N67" s="236" t="n"/>
      <c r="O67" s="236" t="n"/>
      <c r="P67" s="139" t="n"/>
      <c r="Q67" s="11602" t="n"/>
      <c r="R67" s="6996" t="n"/>
    </row>
    <row r="68" ht="16.5" customHeight="1" s="7635">
      <c r="A68" s="37" t="n"/>
      <c r="B68" s="390" t="inlineStr">
        <is>
          <t>Part III</t>
        </is>
      </c>
      <c r="C68" s="221" t="inlineStr">
        <is>
          <t>You  must  complete  this  part if you  (a) had over</t>
        </is>
      </c>
      <c r="D68" s="16" t="n"/>
      <c r="E68" s="16" t="n"/>
      <c r="F68" s="221">
        <f>TEXT(H44,"$0,000")&amp;" of interest or dividends;"</f>
        <v/>
      </c>
      <c r="G68" s="16" t="n"/>
      <c r="H68" s="17" t="inlineStr">
        <is>
          <t>(b) had a foreign</t>
        </is>
      </c>
      <c r="I68" s="17" t="n"/>
      <c r="J68" s="17" t="n"/>
      <c r="K68" s="17" t="n"/>
      <c r="L68" s="17" t="n"/>
      <c r="M68" s="17" t="n"/>
      <c r="N68" s="17" t="n"/>
      <c r="O68" s="17" t="n"/>
      <c r="P68" s="139" t="n"/>
      <c r="Q68" s="11602" t="n"/>
      <c r="R68" s="6996" t="n"/>
    </row>
    <row r="69" ht="19.5" customHeight="1" s="7635">
      <c r="A69" s="37" t="n"/>
      <c r="B69" s="8102" t="inlineStr">
        <is>
          <t>Foreign Accounts 
and Trusts</t>
        </is>
      </c>
      <c r="C69" s="1648" t="inlineStr">
        <is>
          <t>account; or (c) received a distribution from, or were a grantor of, or a transferor to, a foreign trust.</t>
        </is>
      </c>
      <c r="D69" s="64" t="n"/>
      <c r="E69" s="64" t="n"/>
      <c r="F69" s="64" t="n"/>
      <c r="G69" s="64" t="n"/>
      <c r="H69" s="13" t="n"/>
      <c r="I69" s="13" t="n"/>
      <c r="J69" s="13" t="n"/>
      <c r="K69" s="13" t="n"/>
      <c r="L69" s="13" t="n"/>
      <c r="M69" s="13" t="n"/>
      <c r="N69" s="13" t="n"/>
      <c r="O69" s="13" t="n"/>
      <c r="P69" s="139" t="n"/>
      <c r="Q69" s="11602" t="n"/>
      <c r="R69" s="6996" t="n"/>
    </row>
    <row r="70" ht="13.5" customHeight="1" s="7635">
      <c r="A70" s="37" t="n"/>
      <c r="B70" s="26" t="n"/>
      <c r="C70" s="388" t="n"/>
      <c r="D70" s="16" t="n"/>
      <c r="E70" s="16" t="n"/>
      <c r="F70" s="16" t="n"/>
      <c r="G70" s="16" t="n"/>
      <c r="H70" s="17" t="n"/>
      <c r="I70" s="77" t="n"/>
      <c r="J70" s="12062" t="inlineStr">
        <is>
          <t>Yes</t>
        </is>
      </c>
      <c r="K70" s="26" t="n"/>
      <c r="L70" s="12063" t="n"/>
      <c r="M70" s="8135" t="inlineStr">
        <is>
          <t>No</t>
        </is>
      </c>
      <c r="N70" s="26" t="n"/>
      <c r="O70" s="26" t="n"/>
      <c r="P70" s="139" t="n"/>
      <c r="Q70" s="11602" t="n"/>
      <c r="R70" s="6996" t="n"/>
    </row>
    <row r="71" ht="13.5" customHeight="1" s="7635">
      <c r="A71" s="37" t="n"/>
      <c r="B71" s="26" t="n"/>
      <c r="C71" s="70" t="inlineStr">
        <is>
          <t>7a</t>
        </is>
      </c>
      <c r="D71" s="76">
        <f>"At any time during "&amp;TaxYear&amp;", did you have interest in or a signature or other authority over a financial"</f>
        <v/>
      </c>
      <c r="E71" s="16" t="n"/>
      <c r="F71" s="16" t="n"/>
      <c r="G71" s="16" t="n"/>
      <c r="H71" s="17" t="n"/>
      <c r="I71" s="77" t="n"/>
      <c r="J71" s="786" t="n"/>
      <c r="K71" s="139" t="n"/>
      <c r="L71" s="787" t="n"/>
      <c r="M71" s="139" t="n"/>
      <c r="N71" s="139" t="n"/>
      <c r="O71" s="139" t="n"/>
      <c r="P71" s="139" t="n"/>
      <c r="Q71" s="11602" t="n"/>
      <c r="R71" s="6996" t="n"/>
    </row>
    <row r="72" ht="9.75" customHeight="1" s="7635">
      <c r="A72" s="37" t="n"/>
      <c r="B72" s="8141" t="inlineStr">
        <is>
          <t>Caution: If 
required, failure to file FinCEN Form 114 may result in substantial penalties. 
Additionally, you may be required to file Form 8938, Statement of Specified Foreign Financial Assets.
See instructions.</t>
        </is>
      </c>
      <c r="C72" s="61" t="n"/>
      <c r="D72" s="76" t="inlineStr">
        <is>
          <t>account (such as a bank account, securities account, or brokerage account) located in a foreign</t>
        </is>
      </c>
      <c r="E72" s="16" t="n"/>
      <c r="F72" s="16" t="n"/>
      <c r="G72" s="16" t="n"/>
      <c r="H72" s="17" t="n"/>
      <c r="I72" s="77" t="n"/>
      <c r="J72" s="231" t="n"/>
      <c r="K72" s="62" t="n"/>
      <c r="L72" s="77" t="n"/>
      <c r="M72" s="231" t="n"/>
      <c r="N72" s="62" t="n"/>
      <c r="O72" s="62" t="n"/>
      <c r="P72" s="139" t="n"/>
      <c r="Q72" s="11602" t="n"/>
      <c r="R72" s="6996" t="n"/>
    </row>
    <row r="73" ht="9.75" customHeight="1" s="7635">
      <c r="A73" s="37" t="n"/>
      <c r="B73" s="26" t="n"/>
      <c r="C73" s="61" t="n"/>
      <c r="D73" s="76" t="inlineStr">
        <is>
          <t>country? See instructions</t>
        </is>
      </c>
      <c r="E73" s="16" t="n"/>
      <c r="F73" s="16" t="n"/>
      <c r="G73" s="16" t="n"/>
      <c r="H73" s="17" t="n"/>
      <c r="I73" s="230" t="inlineStr">
        <is>
          <t xml:space="preserve">.   .   .   .   .   .   .   .   .   .   .   .   .   .   .   .   .   .   .   .   .   .   .   .   .   .   .   .   .   .   .   </t>
        </is>
      </c>
      <c r="J73" s="231" t="n"/>
      <c r="K73" s="337" t="n"/>
      <c r="L73" s="77" t="n"/>
      <c r="M73" s="231" t="n"/>
      <c r="N73" s="337" t="n"/>
      <c r="O73" s="62" t="n"/>
      <c r="P73" s="139" t="n"/>
      <c r="Q73" s="11602" t="n"/>
      <c r="R73" s="6996" t="n"/>
    </row>
    <row r="74" ht="11.25" customHeight="1" s="7635">
      <c r="A74" s="37" t="n"/>
      <c r="B74" s="26" t="n"/>
      <c r="C74" s="61" t="n"/>
      <c r="D74" s="16" t="n"/>
      <c r="E74" s="16" t="n"/>
      <c r="F74" s="16" t="n"/>
      <c r="G74" s="16" t="n"/>
      <c r="H74" s="17" t="n"/>
      <c r="I74" s="230" t="n"/>
      <c r="J74" s="789" t="n"/>
      <c r="K74" s="8119" t="n"/>
      <c r="L74" s="128" t="n"/>
      <c r="M74" s="789" t="n"/>
      <c r="N74" s="8119" t="n"/>
      <c r="O74" s="14" t="n"/>
      <c r="P74" s="139" t="n"/>
      <c r="Q74" s="11602" t="n"/>
      <c r="R74" s="6996" t="n"/>
    </row>
    <row r="75" ht="10.5" customHeight="1" s="7635">
      <c r="A75" s="37" t="n"/>
      <c r="B75" s="26" t="n"/>
      <c r="C75" s="61" t="n"/>
      <c r="D75" s="76" t="inlineStr">
        <is>
          <t>If “Yes,” are you required to file FinCEN Form 114, Report of Foreign Bank and Financial</t>
        </is>
      </c>
      <c r="E75" s="16" t="n"/>
      <c r="F75" s="16" t="n"/>
      <c r="G75" s="16" t="n"/>
      <c r="H75" s="17" t="n"/>
      <c r="I75" s="230" t="n"/>
      <c r="J75" s="786" t="n"/>
      <c r="K75" s="139" t="n"/>
      <c r="L75" s="787" t="n"/>
      <c r="M75" s="139" t="n"/>
      <c r="N75" s="139" t="n"/>
      <c r="O75" s="139" t="n"/>
      <c r="P75" s="139" t="n"/>
      <c r="Q75" s="11602" t="n"/>
      <c r="R75" s="6996" t="n"/>
    </row>
    <row r="76" ht="9.75" customHeight="1" s="7635">
      <c r="A76" s="37" t="n"/>
      <c r="B76" s="26" t="n"/>
      <c r="C76" s="61" t="n"/>
      <c r="D76" s="76" t="inlineStr">
        <is>
          <t>Accounts (FBAR), to report that financial interest or signature authority? See FinCEN Form 114</t>
        </is>
      </c>
      <c r="E76" s="16" t="n"/>
      <c r="F76" s="16" t="n"/>
      <c r="G76" s="16" t="n"/>
      <c r="H76" s="17" t="n"/>
      <c r="I76" s="230" t="n"/>
      <c r="J76" s="231" t="n"/>
      <c r="K76" s="62" t="n"/>
      <c r="L76" s="77" t="n"/>
      <c r="M76" s="231" t="n"/>
      <c r="N76" s="62" t="n"/>
      <c r="O76" s="62" t="n"/>
      <c r="P76" s="139" t="n"/>
      <c r="Q76" s="11602" t="n"/>
      <c r="R76" s="6996" t="n"/>
    </row>
    <row r="77" ht="9.75" customHeight="1" s="7635">
      <c r="A77" s="37" t="n"/>
      <c r="B77" s="26" t="n"/>
      <c r="C77" s="61" t="n"/>
      <c r="D77" s="76" t="inlineStr">
        <is>
          <t>and its instructions for filing requirements and exceptions to those requirements</t>
        </is>
      </c>
      <c r="E77" s="16" t="n"/>
      <c r="F77" s="16" t="n"/>
      <c r="G77" s="16" t="n"/>
      <c r="H77" s="17" t="n"/>
      <c r="I77" s="230" t="inlineStr">
        <is>
          <t xml:space="preserve">.   .   .   .   .   .   .   </t>
        </is>
      </c>
      <c r="J77" s="231" t="n"/>
      <c r="K77" s="337" t="n"/>
      <c r="L77" s="77" t="n"/>
      <c r="M77" s="231" t="n"/>
      <c r="N77" s="337" t="n"/>
      <c r="O77" s="62" t="n"/>
      <c r="P77" s="139" t="n"/>
      <c r="Q77" s="11602" t="n"/>
      <c r="R77" s="6996" t="n"/>
    </row>
    <row r="78" ht="5.25" customHeight="1" s="7635">
      <c r="A78" s="37" t="n"/>
      <c r="B78" s="26" t="n"/>
      <c r="C78" s="61" t="n"/>
      <c r="D78" s="16" t="n"/>
      <c r="E78" s="16" t="n"/>
      <c r="F78" s="16" t="n"/>
      <c r="G78" s="16" t="n"/>
      <c r="H78" s="17" t="n"/>
      <c r="I78" s="230" t="n"/>
      <c r="J78" s="789" t="n"/>
      <c r="K78" s="8119" t="n"/>
      <c r="L78" s="128" t="n"/>
      <c r="M78" s="789" t="n"/>
      <c r="N78" s="8119" t="n"/>
      <c r="O78" s="14" t="n"/>
      <c r="P78" s="139" t="n"/>
      <c r="Q78" s="11602" t="n"/>
      <c r="R78" s="6996" t="n"/>
    </row>
    <row r="79" ht="12.75" customHeight="1" s="7635">
      <c r="A79" s="37" t="n"/>
      <c r="B79" s="26" t="n"/>
      <c r="C79" s="70" t="inlineStr">
        <is>
          <t>b</t>
        </is>
      </c>
      <c r="D79" s="76" t="inlineStr">
        <is>
          <t>If you are required to file FinCEN Form 114, enter the name of the foreign country where the</t>
        </is>
      </c>
      <c r="E79" s="16" t="n"/>
      <c r="F79" s="16" t="n"/>
      <c r="G79" s="16" t="n"/>
      <c r="H79" s="17" t="n"/>
      <c r="I79" s="230" t="n"/>
      <c r="J79" s="786" t="n"/>
      <c r="K79" s="139" t="n"/>
      <c r="L79" s="787" t="n"/>
      <c r="M79" s="139" t="n"/>
      <c r="N79" s="139" t="n"/>
      <c r="O79" s="139" t="n"/>
      <c r="P79" s="139" t="n"/>
      <c r="Q79" s="11602" t="n"/>
      <c r="R79" s="6996" t="n"/>
    </row>
    <row r="80" ht="12" customHeight="1" s="7635">
      <c r="A80" s="37" t="n"/>
      <c r="B80" s="26" t="n"/>
      <c r="C80" s="70" t="n"/>
      <c r="D80" s="76" t="inlineStr">
        <is>
          <t>financial account(s) is (are) located</t>
        </is>
      </c>
      <c r="E80" s="232" t="n"/>
      <c r="F80" s="8139" t="n"/>
      <c r="G80" s="11730" t="n"/>
      <c r="H80" s="11730" t="n"/>
      <c r="I80" s="12064" t="n"/>
      <c r="J80" s="786" t="n"/>
      <c r="K80" s="139" t="n"/>
      <c r="L80" s="787" t="n"/>
      <c r="M80" s="139" t="n"/>
      <c r="N80" s="139" t="n"/>
      <c r="O80" s="139" t="n"/>
      <c r="P80" s="139" t="n"/>
      <c r="Q80" s="11602" t="n"/>
      <c r="R80" s="6996" t="n"/>
    </row>
    <row r="81" ht="12" customHeight="1" s="7635">
      <c r="A81" s="37" t="n"/>
      <c r="B81" s="26" t="n"/>
      <c r="C81" s="70" t="n"/>
      <c r="D81" s="8147" t="n"/>
      <c r="E81" s="11730" t="n"/>
      <c r="F81" s="11730" t="n"/>
      <c r="G81" s="11730" t="n"/>
      <c r="H81" s="11730" t="n"/>
      <c r="I81" s="12064" t="n"/>
      <c r="J81" s="786" t="n"/>
      <c r="K81" s="139" t="n"/>
      <c r="L81" s="787" t="n"/>
      <c r="M81" s="139" t="n"/>
      <c r="N81" s="139" t="n"/>
      <c r="O81" s="139" t="n"/>
      <c r="P81" s="139" t="n"/>
      <c r="Q81" s="11602" t="n"/>
      <c r="R81" s="6996" t="n"/>
    </row>
    <row r="82" ht="15" customHeight="1" s="7635">
      <c r="A82" s="37" t="n"/>
      <c r="B82" s="26" t="n"/>
      <c r="C82" s="8144" t="n">
        <v>8</v>
      </c>
      <c r="D82" s="76">
        <f>"During "&amp;TaxYear&amp;", did you receive a distribution from, or were you the grantor of, or transferor to, a"</f>
        <v/>
      </c>
      <c r="E82" s="16" t="n"/>
      <c r="F82" s="16" t="n"/>
      <c r="G82" s="16" t="n"/>
      <c r="H82" s="17" t="n"/>
      <c r="I82" s="77" t="n"/>
      <c r="J82" s="267" t="n"/>
      <c r="K82" s="268" t="n"/>
      <c r="L82" s="269" t="n"/>
      <c r="M82" s="267" t="n"/>
      <c r="N82" s="268" t="n"/>
      <c r="O82" s="268" t="n"/>
      <c r="P82" s="139" t="n"/>
      <c r="Q82" s="11602" t="n"/>
      <c r="R82" s="6996" t="n"/>
    </row>
    <row r="83" ht="9.75" customHeight="1" s="7635">
      <c r="A83" s="37" t="n"/>
      <c r="B83" s="26" t="n"/>
      <c r="C83" s="26" t="n"/>
      <c r="D83" s="76" t="inlineStr">
        <is>
          <t>foreign trust?  If "Yes," you may have to file Form 3520.  See instructions</t>
        </is>
      </c>
      <c r="E83" s="16" t="n"/>
      <c r="F83" s="16" t="n"/>
      <c r="G83" s="16" t="n"/>
      <c r="H83" s="17" t="n"/>
      <c r="I83" s="230" t="inlineStr">
        <is>
          <t xml:space="preserve">.   .   .   .   .   .   .   .   .   .   </t>
        </is>
      </c>
      <c r="J83" s="231" t="n"/>
      <c r="K83" s="337" t="n"/>
      <c r="L83" s="77" t="n"/>
      <c r="M83" s="231" t="n"/>
      <c r="N83" s="337" t="n"/>
      <c r="O83" s="62" t="n"/>
      <c r="P83" s="139" t="n"/>
      <c r="Q83" s="11602" t="n"/>
      <c r="R83" s="6996" t="n"/>
    </row>
    <row r="84" ht="5.25" customHeight="1" s="7635" thickBot="1">
      <c r="A84" s="37" t="n"/>
      <c r="B84" s="11839" t="n"/>
      <c r="C84" s="265" t="n"/>
      <c r="D84" s="72" t="n"/>
      <c r="E84" s="72" t="n"/>
      <c r="F84" s="72" t="n"/>
      <c r="G84" s="72" t="n"/>
      <c r="H84" s="71" t="n"/>
      <c r="I84" s="1598" t="n"/>
      <c r="J84" s="266" t="n"/>
      <c r="K84" s="1599" t="n"/>
      <c r="L84" s="270" t="n"/>
      <c r="M84" s="266" t="n"/>
      <c r="N84" s="1600" t="n"/>
      <c r="O84" s="788" t="n"/>
      <c r="P84" s="139" t="n"/>
      <c r="Q84" s="11602" t="n"/>
      <c r="R84" s="6996" t="n"/>
    </row>
    <row r="85" ht="13.5" customHeight="1" s="7635">
      <c r="A85" s="37" t="n"/>
      <c r="B85" s="82" t="inlineStr">
        <is>
          <t>For Paperwork Reduction Act Notice, see your tax return instructions.</t>
        </is>
      </c>
      <c r="C85" s="73" t="n"/>
      <c r="D85" s="73" t="n"/>
      <c r="E85" s="73" t="n"/>
      <c r="F85" s="237" t="inlineStr">
        <is>
          <t>Cat. No. 17146N</t>
        </is>
      </c>
      <c r="G85" s="73" t="n"/>
      <c r="H85" s="73" t="n"/>
      <c r="I85" s="233">
        <f>"Schedule B (Form 1040)  "&amp;TaxYear</f>
        <v/>
      </c>
      <c r="J85" s="233" t="n"/>
      <c r="K85" s="133" t="n"/>
      <c r="L85" s="111" t="n"/>
      <c r="M85" s="111" t="n"/>
      <c r="N85" s="111" t="n"/>
      <c r="O85" s="6476" t="inlineStr">
        <is>
          <t>Created 4/23/25</t>
        </is>
      </c>
      <c r="P85" s="139" t="n"/>
      <c r="Q85" s="11602" t="n"/>
      <c r="R85" s="6996" t="n"/>
    </row>
    <row r="86" ht="9.75" customHeight="1" s="7635">
      <c r="A86" s="37" t="n"/>
      <c r="B86" s="148" t="n"/>
      <c r="C86" s="148" t="n"/>
      <c r="D86" s="149" t="n"/>
      <c r="E86" s="149" t="n"/>
      <c r="F86" s="149" t="n"/>
      <c r="G86" s="149" t="n"/>
      <c r="H86" s="148" t="n"/>
      <c r="I86" s="150" t="n"/>
      <c r="J86" s="150" t="n"/>
      <c r="K86" s="150" t="n"/>
      <c r="L86" s="150" t="n"/>
      <c r="M86" s="150" t="n"/>
      <c r="N86" s="150" t="n"/>
      <c r="O86" s="150" t="n"/>
      <c r="P86" s="139" t="n"/>
      <c r="Q86" s="11602" t="n"/>
      <c r="R86" s="6996" t="n"/>
    </row>
    <row r="87" ht="15" customHeight="1" s="7635">
      <c r="A87" s="8043" t="n"/>
      <c r="B87" s="8043" t="n"/>
      <c r="C87" s="8043" t="n"/>
      <c r="D87" s="9123" t="n"/>
      <c r="E87" s="9123" t="n"/>
      <c r="F87" s="9123" t="n"/>
      <c r="G87" s="9123" t="n"/>
      <c r="H87" s="8043" t="n"/>
      <c r="I87" s="4" t="n"/>
      <c r="J87" s="4" t="n"/>
      <c r="K87" s="4" t="n"/>
      <c r="L87" s="4" t="n"/>
      <c r="M87" s="4" t="n"/>
      <c r="N87" s="4" t="n"/>
      <c r="O87" s="4" t="n"/>
    </row>
    <row r="88">
      <c r="C88" s="8043" t="n"/>
      <c r="D88" s="9123" t="n"/>
      <c r="E88" s="9123" t="n"/>
      <c r="F88" s="9123" t="n"/>
      <c r="G88" s="9123" t="n"/>
      <c r="H88" s="8043" t="n"/>
      <c r="I88" s="4" t="n"/>
      <c r="J88" s="4" t="n"/>
      <c r="K88" s="4" t="n"/>
      <c r="L88" s="4" t="n"/>
      <c r="M88" s="4" t="n"/>
      <c r="N88" s="4" t="n"/>
      <c r="O88" s="4" t="n"/>
    </row>
    <row r="89" ht="13.5" customHeight="1" s="7635" thickBot="1">
      <c r="B89" s="8043" t="n"/>
      <c r="C89" s="8043" t="n"/>
      <c r="D89" s="9123" t="n"/>
      <c r="E89" s="9123" t="n"/>
      <c r="F89" s="9123" t="n"/>
      <c r="G89" s="9123" t="n"/>
      <c r="H89" s="8043" t="n"/>
      <c r="I89" s="4" t="n"/>
      <c r="J89" s="4" t="n"/>
      <c r="K89" s="4" t="n"/>
      <c r="L89" s="4" t="n"/>
      <c r="M89" s="4" t="n"/>
      <c r="N89" s="4" t="n"/>
      <c r="O89" s="4" t="n"/>
    </row>
    <row r="90" ht="14.25" customHeight="1" s="7635" thickBot="1" thickTop="1">
      <c r="B90" s="8043" t="n"/>
      <c r="C90" s="11824" t="inlineStr">
        <is>
          <t>Download Form 1040 Schedule B</t>
        </is>
      </c>
      <c r="D90" s="11825" t="n"/>
      <c r="E90" s="11825" t="n"/>
      <c r="F90" s="11825" t="n"/>
      <c r="G90" s="11826" t="n"/>
      <c r="H90" s="8043" t="n"/>
      <c r="I90" s="4" t="n"/>
      <c r="J90" s="4" t="n"/>
      <c r="K90" s="4" t="n"/>
      <c r="L90" s="4" t="n"/>
      <c r="M90" s="4" t="n"/>
      <c r="N90" s="4" t="n"/>
      <c r="O90" s="4" t="n"/>
    </row>
    <row r="91" ht="14.25" customHeight="1" s="7635" thickBot="1" thickTop="1">
      <c r="B91" s="8043" t="n"/>
      <c r="C91" s="8043" t="n"/>
      <c r="D91" s="9123" t="n"/>
      <c r="E91" s="9123" t="n"/>
      <c r="F91" s="9123" t="n"/>
      <c r="G91" s="9123" t="n"/>
      <c r="H91" s="8043" t="n"/>
      <c r="I91" s="4" t="n"/>
      <c r="J91" s="4" t="n"/>
      <c r="K91" s="4" t="n"/>
      <c r="L91" s="4" t="n"/>
      <c r="M91" s="4" t="n"/>
      <c r="N91" s="4" t="n"/>
      <c r="O91" s="4" t="n"/>
    </row>
    <row r="92">
      <c r="C92" s="12041" t="inlineStr">
        <is>
          <t>Table of Contents</t>
        </is>
      </c>
      <c r="D92" s="2614" t="n"/>
    </row>
    <row r="93">
      <c r="C93" s="11741" t="n"/>
      <c r="D93" s="1066" t="n"/>
    </row>
    <row r="94" ht="13.5" customHeight="1" s="7635" thickBot="1">
      <c r="C94" s="11743" t="n"/>
      <c r="D94" s="2627" t="n"/>
    </row>
  </sheetData>
  <sheetProtection selectLockedCells="0" selectUnlockedCells="0" algorithmName="SHA-512" sheet="1" objects="1" insertRows="1" insertHyperlinks="1" autoFilter="1" scenarios="1" formatColumns="0" deleteColumns="1" insertColumns="1" pivotTables="1" deleteRows="1" formatCells="0" saltValue="YZRlPfdHT3r8o4ZKDUkzUQ==" formatRows="0" sort="1" spinCount="100000" hashValue="i4SGDuviepFykYc/KCYXOWkrG/w32L5KeAlFjVO4nH42Y/H6aQQ81k83xUJQirfSnRpCk2P2pE0Dt9DIb98TvA=="/>
  <mergeCells count="103">
    <mergeCell ref="B31:B43"/>
    <mergeCell ref="I52:O52"/>
    <mergeCell ref="H20:O20"/>
    <mergeCell ref="D19:H19"/>
    <mergeCell ref="I44:O44"/>
    <mergeCell ref="D55:G55"/>
    <mergeCell ref="D59:G59"/>
    <mergeCell ref="H21:O21"/>
    <mergeCell ref="D60:G60"/>
    <mergeCell ref="I30:O30"/>
    <mergeCell ref="I46:O46"/>
    <mergeCell ref="D31:G31"/>
    <mergeCell ref="I61:O61"/>
    <mergeCell ref="I57:O57"/>
    <mergeCell ref="I54:O54"/>
    <mergeCell ref="F80:I80"/>
    <mergeCell ref="I32:O32"/>
    <mergeCell ref="D48:G48"/>
    <mergeCell ref="I56:O56"/>
    <mergeCell ref="I43:O43"/>
    <mergeCell ref="I24:O24"/>
    <mergeCell ref="I33:O33"/>
    <mergeCell ref="D62:G62"/>
    <mergeCell ref="D56:G56"/>
    <mergeCell ref="D58:G58"/>
    <mergeCell ref="B55:B66"/>
    <mergeCell ref="J70:L70"/>
    <mergeCell ref="I35:O35"/>
    <mergeCell ref="D64:G64"/>
    <mergeCell ref="D33:G33"/>
    <mergeCell ref="D51:G51"/>
    <mergeCell ref="C92:D94"/>
    <mergeCell ref="I50:O50"/>
    <mergeCell ref="I59:O59"/>
    <mergeCell ref="D26:G26"/>
    <mergeCell ref="I60:O60"/>
    <mergeCell ref="D50:G50"/>
    <mergeCell ref="D35:G35"/>
    <mergeCell ref="D34:G34"/>
    <mergeCell ref="D17:H17"/>
    <mergeCell ref="I45:O45"/>
    <mergeCell ref="I14:O15"/>
    <mergeCell ref="D36:G36"/>
    <mergeCell ref="C82:C83"/>
    <mergeCell ref="B46:B48"/>
    <mergeCell ref="I47:O47"/>
    <mergeCell ref="I28:O28"/>
    <mergeCell ref="I37:O37"/>
    <mergeCell ref="D61:G61"/>
    <mergeCell ref="D53:G53"/>
    <mergeCell ref="D47:G47"/>
    <mergeCell ref="B72:B84"/>
    <mergeCell ref="M70:O70"/>
    <mergeCell ref="D37:G37"/>
    <mergeCell ref="I62:O62"/>
    <mergeCell ref="I23:O23"/>
    <mergeCell ref="D39:G39"/>
    <mergeCell ref="I64:O64"/>
    <mergeCell ref="I51:O51"/>
    <mergeCell ref="D29:G29"/>
    <mergeCell ref="I16:O17"/>
    <mergeCell ref="D38:G38"/>
    <mergeCell ref="I63:O63"/>
    <mergeCell ref="E45:G45"/>
    <mergeCell ref="I65:O65"/>
    <mergeCell ref="I34:O34"/>
    <mergeCell ref="D63:G63"/>
    <mergeCell ref="I49:O49"/>
    <mergeCell ref="I27:O27"/>
    <mergeCell ref="I36:O36"/>
    <mergeCell ref="D65:G65"/>
    <mergeCell ref="D16:H16"/>
    <mergeCell ref="D52:G52"/>
    <mergeCell ref="D49:G49"/>
    <mergeCell ref="D27:G27"/>
    <mergeCell ref="Q14:R15"/>
    <mergeCell ref="D18:H18"/>
    <mergeCell ref="I66:O66"/>
    <mergeCell ref="D81:I81"/>
    <mergeCell ref="I22:O22"/>
    <mergeCell ref="I53:O53"/>
    <mergeCell ref="I55:O55"/>
    <mergeCell ref="D28:G28"/>
    <mergeCell ref="I39:O39"/>
    <mergeCell ref="I48:O48"/>
    <mergeCell ref="D25:G25"/>
    <mergeCell ref="D30:G30"/>
    <mergeCell ref="I29:O29"/>
    <mergeCell ref="I38:O38"/>
    <mergeCell ref="I13:O13"/>
    <mergeCell ref="D54:G54"/>
    <mergeCell ref="I31:O31"/>
    <mergeCell ref="I40:O40"/>
    <mergeCell ref="D46:G46"/>
    <mergeCell ref="C90:G90"/>
    <mergeCell ref="I26:O26"/>
    <mergeCell ref="D57:G57"/>
    <mergeCell ref="I25:O25"/>
    <mergeCell ref="D32:G32"/>
    <mergeCell ref="N18:O19"/>
    <mergeCell ref="I58:O58"/>
    <mergeCell ref="B69:B71"/>
    <mergeCell ref="I42:O42"/>
  </mergeCells>
  <conditionalFormatting sqref="B17">
    <cfRule type="expression" priority="9" dxfId="20">
      <formula>NOT(Draft)</formula>
    </cfRule>
  </conditionalFormatting>
  <conditionalFormatting sqref="B21:O21">
    <cfRule type="expression" priority="67" dxfId="6">
      <formula>IF(NoColor,1,0)</formula>
    </cfRule>
  </conditionalFormatting>
  <conditionalFormatting sqref="C3">
    <cfRule type="expression" priority="7" dxfId="34">
      <formula>Sch.B_Reqd</formula>
    </cfRule>
  </conditionalFormatting>
  <conditionalFormatting sqref="C44">
    <cfRule type="expression" priority="71" dxfId="14" stopIfTrue="1">
      <formula>$G$44</formula>
    </cfRule>
  </conditionalFormatting>
  <conditionalFormatting sqref="C67:D67">
    <cfRule type="expression" priority="68" dxfId="158" stopIfTrue="1">
      <formula>IF($G$67,1,0)</formula>
    </cfRule>
  </conditionalFormatting>
  <conditionalFormatting sqref="D15">
    <cfRule type="expression" priority="8" dxfId="20">
      <formula>NOT(Draft)</formula>
    </cfRule>
  </conditionalFormatting>
  <conditionalFormatting sqref="D44">
    <cfRule type="expression" priority="70" dxfId="158" stopIfTrue="1">
      <formula>IF($G$44,TRUE,FALSE)</formula>
    </cfRule>
  </conditionalFormatting>
  <conditionalFormatting sqref="D25:G39">
    <cfRule type="expression" priority="27" dxfId="6">
      <formula>IF(NoColor,1,0)</formula>
    </cfRule>
  </conditionalFormatting>
  <conditionalFormatting sqref="D46:G65">
    <cfRule type="expression" priority="10" dxfId="6">
      <formula>IF(NoColor,1,0)</formula>
    </cfRule>
  </conditionalFormatting>
  <conditionalFormatting sqref="E45:G45">
    <cfRule type="expression" priority="61" dxfId="6">
      <formula>IF(NoColor,1,0)</formula>
    </cfRule>
  </conditionalFormatting>
  <conditionalFormatting sqref="F80">
    <cfRule type="expression" priority="52" dxfId="6">
      <formula>IF(NoColor,1,0)</formula>
    </cfRule>
  </conditionalFormatting>
  <conditionalFormatting sqref="I25:I39">
    <cfRule type="expression" priority="11" dxfId="158">
      <formula>IF(R25&lt;&gt;0,TRUE,FALSE)</formula>
    </cfRule>
  </conditionalFormatting>
  <conditionalFormatting sqref="I45:I65">
    <cfRule type="expression" priority="4" dxfId="158">
      <formula>IF(R45&lt;&gt;0,1,0)</formula>
    </cfRule>
  </conditionalFormatting>
  <conditionalFormatting sqref="I25:O40">
    <cfRule type="expression" priority="12" dxfId="6">
      <formula>IF(NoColor,1,0)</formula>
    </cfRule>
  </conditionalFormatting>
  <conditionalFormatting sqref="I42:O43">
    <cfRule type="expression" priority="63" dxfId="6">
      <formula>IF(NoColor,1,0)</formula>
    </cfRule>
  </conditionalFormatting>
  <conditionalFormatting sqref="I45:O66">
    <cfRule type="expression" priority="5" dxfId="6">
      <formula>IF(NoColor,1,0)</formula>
    </cfRule>
  </conditionalFormatting>
  <conditionalFormatting sqref="J25:O39">
    <cfRule type="expression" priority="13" dxfId="158">
      <formula>IF(#REF!&lt;&gt;0,TRUE,FALSE)</formula>
    </cfRule>
  </conditionalFormatting>
  <conditionalFormatting sqref="J45:O65">
    <cfRule type="expression" priority="6" dxfId="158">
      <formula>IF(#REF!&lt;&gt;0,1,0)</formula>
    </cfRule>
  </conditionalFormatting>
  <conditionalFormatting sqref="K73">
    <cfRule type="expression" priority="58" dxfId="6">
      <formula>IF(NoColor,1,0)</formula>
    </cfRule>
  </conditionalFormatting>
  <conditionalFormatting sqref="K77">
    <cfRule type="expression" priority="56" dxfId="6">
      <formula>IF(NoColor,1,0)</formula>
    </cfRule>
  </conditionalFormatting>
  <conditionalFormatting sqref="K83">
    <cfRule type="expression" priority="54" dxfId="6">
      <formula>IF(NoColor,1,0)</formula>
    </cfRule>
  </conditionalFormatting>
  <conditionalFormatting sqref="N73">
    <cfRule type="expression" priority="57" dxfId="6">
      <formula>IF(NoColor,1,0)</formula>
    </cfRule>
  </conditionalFormatting>
  <conditionalFormatting sqref="N77">
    <cfRule type="expression" priority="55" dxfId="6">
      <formula>IF(NoColor,1,0)</formula>
    </cfRule>
  </conditionalFormatting>
  <conditionalFormatting sqref="N83">
    <cfRule type="expression" priority="53" dxfId="6">
      <formula>IF(NoColor,1,0)</formula>
    </cfRule>
  </conditionalFormatting>
  <hyperlinks>
    <hyperlink xmlns:r="http://schemas.openxmlformats.org/officeDocument/2006/relationships" ref="C90" display="Download Form 1040 Schedules A&amp;B" r:id="rId1"/>
    <hyperlink ref="C92" location="'Table of Contents'!A1" display="Table of Contents"/>
  </hyperlinks>
  <pageMargins left="0.75" right="0.25" top="0.36" bottom="0.29" header="0.36" footer="0.21"/>
  <pageSetup orientation="portrait" scale="85"/>
</worksheet>
</file>

<file path=xl/worksheets/sheet30.xml><?xml version="1.0" encoding="utf-8"?>
<worksheet xmlns="http://schemas.openxmlformats.org/spreadsheetml/2006/main">
  <sheetPr codeName="Sheet7">
    <outlinePr summaryBelow="1" summaryRight="1"/>
    <pageSetUpPr fitToPage="1"/>
  </sheetPr>
  <dimension ref="A1:AM239"/>
  <sheetViews>
    <sheetView zoomScaleNormal="100" zoomScaleSheetLayoutView="100" workbookViewId="0">
      <selection activeCell="A1" sqref="A1"/>
    </sheetView>
  </sheetViews>
  <sheetFormatPr baseColWidth="8" defaultRowHeight="12.75"/>
  <cols>
    <col width="2" customWidth="1" style="7635" min="1" max="1"/>
    <col width="7" customWidth="1" style="7635" min="2" max="2"/>
    <col width="14" customWidth="1" style="7635" min="3" max="3"/>
    <col width="9.7109375" customWidth="1" style="7635" min="4" max="4"/>
    <col width="3" customWidth="1" style="7635" min="5" max="5"/>
    <col width="4.85546875" customWidth="1" style="7635" min="6" max="6"/>
    <col width="3.5703125" customWidth="1" style="7635" min="7" max="7"/>
    <col width="4" customWidth="1" style="7635" min="8" max="8"/>
    <col width="14.7109375" customWidth="1" style="7635" min="9" max="9"/>
    <col width="3" customWidth="1" style="7635" min="10" max="10"/>
    <col width="3.42578125" customWidth="1" style="7635" min="11" max="11"/>
    <col width="10.85546875" customWidth="1" style="7635" min="12" max="12"/>
    <col width="4.5703125" customWidth="1" style="7635" min="13" max="19"/>
    <col width="4.42578125" customWidth="1" style="7635" min="20" max="20"/>
    <col width="11" customWidth="1" style="7635" min="21" max="21"/>
    <col width="2.85546875" customWidth="1" style="7635" min="22" max="22"/>
    <col width="14.85546875" customWidth="1" style="7635" min="23" max="23"/>
    <col width="2.5703125" customWidth="1" style="7623" min="24" max="24"/>
    <col width="10.7109375" customWidth="1" style="7635" min="25" max="25"/>
    <col width="33" customWidth="1" style="7635" min="26" max="26"/>
    <col width="12.28515625" customWidth="1" style="7635" min="27" max="27"/>
    <col width="20" bestFit="1" customWidth="1" style="7635" min="28" max="28"/>
    <col width="10.7109375" customWidth="1" style="658" min="29" max="39"/>
    <col width="10.7109375" customWidth="1" style="7635" min="40" max="41"/>
  </cols>
  <sheetData>
    <row r="1" ht="21.75" customHeight="1" s="7635">
      <c r="A1" s="139" t="n"/>
      <c r="B1" s="139" t="n"/>
      <c r="C1" s="139" t="n"/>
      <c r="D1" s="139" t="n"/>
      <c r="E1" s="139" t="n"/>
      <c r="F1" s="844" t="inlineStr">
        <is>
          <t>Note:  This sheet includes 2 Schedule C forms.</t>
        </is>
      </c>
      <c r="G1" s="139" t="n"/>
      <c r="H1" s="139" t="n"/>
      <c r="I1" s="139" t="n"/>
      <c r="J1" s="139" t="n"/>
      <c r="K1" s="139" t="n"/>
      <c r="L1" s="139" t="n"/>
      <c r="M1" s="139" t="n"/>
      <c r="N1" s="139" t="n"/>
      <c r="O1" s="139" t="n"/>
      <c r="P1" s="139" t="n"/>
      <c r="Q1" s="139" t="n"/>
      <c r="R1" s="8175">
        <f>IF('Table of Contents'!A35="D","DRAFT","")</f>
        <v/>
      </c>
      <c r="V1" s="139" t="n"/>
      <c r="W1" s="2875" t="n"/>
      <c r="X1" s="5233" t="n"/>
      <c r="AC1" s="657" t="inlineStr">
        <is>
          <t>Notes</t>
        </is>
      </c>
    </row>
    <row r="2" ht="20.25" customHeight="1" s="7635">
      <c r="A2" s="139" t="n"/>
      <c r="B2" s="3574" t="inlineStr">
        <is>
          <t>SCHEDULE C</t>
        </is>
      </c>
      <c r="C2" s="5234" t="n"/>
      <c r="D2" s="5235" t="n"/>
      <c r="E2" s="2754" t="n"/>
      <c r="F2" s="5236" t="n"/>
      <c r="G2" s="5237" t="n"/>
      <c r="H2" s="5237" t="n"/>
      <c r="I2" s="10336" t="inlineStr">
        <is>
          <t>Profit or Loss from Business</t>
        </is>
      </c>
      <c r="J2" s="2756" t="n"/>
      <c r="K2" s="2756" t="n"/>
      <c r="L2" s="3097" t="n"/>
      <c r="M2" s="2756" t="n"/>
      <c r="N2" s="5237" t="n"/>
      <c r="O2" s="5237" t="n"/>
      <c r="P2" s="4240" t="n"/>
      <c r="Q2" s="5238" t="n"/>
      <c r="R2" s="8212">
        <f>IF(AND(V2="",'Table of Contents'!A35="D"),"DRAFT","OMB No. 1545-0074")</f>
        <v/>
      </c>
      <c r="S2" s="7637" t="n"/>
      <c r="T2" s="7637" t="n"/>
      <c r="U2" s="7637" t="n"/>
      <c r="V2" s="805" t="n"/>
      <c r="W2" s="5239" t="inlineStr">
        <is>
          <t>Your SSN</t>
        </is>
      </c>
      <c r="X2" s="1846">
        <f>IF(X3&lt;&gt;"","","X")</f>
        <v/>
      </c>
      <c r="Y2" s="7834">
        <f>X2&lt;&gt;""</f>
        <v/>
      </c>
      <c r="Z2" s="1224" t="n"/>
      <c r="AA2" s="1224" t="n"/>
      <c r="AB2" s="1224" t="n"/>
    </row>
    <row r="3" ht="18.75" customHeight="1" s="7635">
      <c r="A3" s="139" t="n"/>
      <c r="B3" s="3662" t="inlineStr">
        <is>
          <t>(Form 1040)</t>
        </is>
      </c>
      <c r="C3" s="5234" t="n"/>
      <c r="D3" s="12065" t="n"/>
      <c r="E3" s="2754" t="n"/>
      <c r="F3" s="2754" t="n"/>
      <c r="G3" s="2754" t="n"/>
      <c r="H3" s="8318" t="n"/>
      <c r="I3" s="10338" t="inlineStr">
        <is>
          <t>(Sole Proprietorship)</t>
        </is>
      </c>
      <c r="J3" s="2995" t="n"/>
      <c r="K3" s="2995" t="n"/>
      <c r="L3" s="2754" t="n"/>
      <c r="M3" s="8665" t="n"/>
      <c r="N3" s="8318" t="n"/>
      <c r="O3" s="8318" t="n"/>
      <c r="P3" s="4240" t="n"/>
      <c r="Q3" s="2754" t="n"/>
      <c r="R3" s="8214">
        <f>TaxYear</f>
        <v/>
      </c>
      <c r="S3" s="7839" t="n"/>
      <c r="T3" s="7839" t="n"/>
      <c r="U3" s="7839" t="n"/>
      <c r="V3" s="139" t="n"/>
      <c r="W3" s="5239" t="inlineStr">
        <is>
          <t>Spouse's SSN</t>
        </is>
      </c>
      <c r="X3" s="299" t="n"/>
      <c r="Y3" s="7834">
        <f>X3&lt;&gt;""</f>
        <v/>
      </c>
    </row>
    <row r="4" ht="12" customHeight="1" s="7635">
      <c r="A4" s="139" t="n"/>
      <c r="B4" s="12066" t="inlineStr">
        <is>
          <t>Department of the Treasury
Internal Revenue Service  (99)</t>
        </is>
      </c>
      <c r="C4" s="7636" t="n"/>
      <c r="D4" s="12067" t="inlineStr">
        <is>
          <t>Attach to Form 1040, 1040-SR, 1040-NR, or 1041; partnerships generally must file Form 1065.</t>
        </is>
      </c>
      <c r="Q4" s="1066" t="n"/>
      <c r="R4" s="8208" t="inlineStr">
        <is>
          <t>Attachment
Sequence No.</t>
        </is>
      </c>
      <c r="U4" s="12068" t="inlineStr">
        <is>
          <t>09</t>
        </is>
      </c>
      <c r="V4" s="139" t="n"/>
      <c r="W4" s="2875" t="n"/>
      <c r="X4" s="5233" t="n"/>
    </row>
    <row r="5" ht="11.25" customHeight="1" s="7635">
      <c r="A5" s="139" t="n"/>
      <c r="B5" s="7637" t="n"/>
      <c r="C5" s="7638" t="n"/>
      <c r="D5" s="12069" t="inlineStr">
        <is>
          <t>Go to www.irs.gov/ScheduleC for instructions and the latest information.</t>
        </is>
      </c>
      <c r="E5" s="7637" t="n"/>
      <c r="F5" s="7637" t="n"/>
      <c r="G5" s="7637" t="n"/>
      <c r="H5" s="7637" t="n"/>
      <c r="I5" s="7637" t="n"/>
      <c r="J5" s="7637" t="n"/>
      <c r="K5" s="7637" t="n"/>
      <c r="L5" s="7637" t="n"/>
      <c r="M5" s="7637" t="n"/>
      <c r="N5" s="7637" t="n"/>
      <c r="O5" s="7637" t="n"/>
      <c r="P5" s="7637" t="n"/>
      <c r="Q5" s="12070" t="n"/>
      <c r="R5" s="11907" t="n"/>
      <c r="S5" s="7637" t="n"/>
      <c r="T5" s="7637" t="n"/>
      <c r="U5" s="7637" t="n"/>
      <c r="V5" s="139" t="n"/>
      <c r="W5" s="8195">
        <f>IF(Y11,"Invalid selection.",IF(AND(NOT(Y6),NOT(Y8),NOT(Y10)),"Indicate which "&amp;CHAR(10)&amp;"Sch. SE is to be linked to this form.",IF(AND(Y6,Y8),"This Sch. C is linked to both "&amp;CHAR(10)&amp;"Sch. SEs",IF(Y6,"This Sch. C is linked to the first "&amp;CHAR(10)&amp;"Sch. SE",IF(Y8,"This Sch. C is linked to the second "&amp;CHAR(10)&amp;"Sch. SE",IF(Y10,"This Sch. C is not linked to either Sch. SE.",""))))))</f>
        <v/>
      </c>
      <c r="X5" s="299" t="inlineStr">
        <is>
          <t>X</t>
        </is>
      </c>
      <c r="Y5" s="8648" t="inlineStr">
        <is>
          <t>#1</t>
        </is>
      </c>
      <c r="Z5" s="8648" t="n"/>
      <c r="AA5" s="8648" t="n"/>
      <c r="AB5" s="8648" t="n"/>
    </row>
    <row r="6" ht="12" customHeight="1" s="7635">
      <c r="A6" s="139" t="n"/>
      <c r="B6" s="8665" t="inlineStr">
        <is>
          <t>Name of Proprietor</t>
        </is>
      </c>
      <c r="C6" s="2754" t="n"/>
      <c r="D6" s="2754" t="n"/>
      <c r="E6" s="2754" t="n"/>
      <c r="F6" s="2755" t="n"/>
      <c r="G6" s="2755" t="n"/>
      <c r="H6" s="2756" t="n"/>
      <c r="I6" s="2753" t="n"/>
      <c r="J6" s="2753" t="n"/>
      <c r="K6" s="2753" t="n"/>
      <c r="L6" s="5242" t="n"/>
      <c r="M6" s="5243" t="inlineStr">
        <is>
          <t xml:space="preserve">  Social security number (SSN)</t>
        </is>
      </c>
      <c r="N6" s="2756" t="n"/>
      <c r="O6" s="2756" t="n"/>
      <c r="P6" s="2756" t="n"/>
      <c r="Q6" s="2755" t="n"/>
      <c r="R6" s="2755" t="n"/>
      <c r="S6" s="2755" t="n"/>
      <c r="T6" s="2755" t="n"/>
      <c r="U6" s="2755" t="n"/>
      <c r="V6" s="139" t="n"/>
      <c r="X6" s="5233" t="n"/>
      <c r="Y6" s="7834">
        <f>(X5&lt;&gt;"")</f>
        <v/>
      </c>
      <c r="Z6" s="7834" t="n"/>
      <c r="AA6" s="7834" t="n"/>
      <c r="AB6" s="7834" t="n"/>
    </row>
    <row r="7" ht="14.25" customHeight="1" s="7635" thickBot="1">
      <c r="A7" s="139" t="n"/>
      <c r="B7" s="8187" t="n"/>
      <c r="C7" s="11717" t="n"/>
      <c r="D7" s="11717" t="n"/>
      <c r="E7" s="11717" t="n"/>
      <c r="F7" s="11717" t="n"/>
      <c r="G7" s="11717" t="n"/>
      <c r="H7" s="11717" t="n"/>
      <c r="I7" s="11717" t="n"/>
      <c r="J7" s="11717" t="n"/>
      <c r="K7" s="11717" t="n"/>
      <c r="L7" s="11718" t="n"/>
      <c r="M7" s="12071">
        <f>IF(AND(SS_Yours&lt;&gt;"",X2&lt;&gt;""),SS_Yours,IF(SS_Spouse&lt;&gt;"",SS_Spouse,1))</f>
        <v/>
      </c>
      <c r="N7" s="11705" t="n"/>
      <c r="O7" s="11705" t="n"/>
      <c r="P7" s="11705" t="n"/>
      <c r="Q7" s="11705" t="n"/>
      <c r="R7" s="11705" t="n"/>
      <c r="S7" s="11705" t="n"/>
      <c r="T7" s="11705" t="n"/>
      <c r="U7" s="11705" t="n"/>
      <c r="V7" s="139" t="n"/>
      <c r="X7" s="299" t="n"/>
      <c r="Y7" s="8648" t="inlineStr">
        <is>
          <t>#2</t>
        </is>
      </c>
      <c r="Z7" s="8648" t="n"/>
      <c r="AA7" s="8648" t="n"/>
      <c r="AB7" s="8648" t="n"/>
    </row>
    <row r="8" ht="12.75" customHeight="1" s="7635" thickTop="1">
      <c r="A8" s="139" t="n"/>
      <c r="B8" s="2826" t="inlineStr">
        <is>
          <t>A</t>
        </is>
      </c>
      <c r="C8" s="8665" t="inlineStr">
        <is>
          <t>Principal business or profession, including product or service (see instructions)</t>
        </is>
      </c>
      <c r="D8" s="8665" t="n"/>
      <c r="E8" s="2754" t="n"/>
      <c r="F8" s="2755" t="n"/>
      <c r="G8" s="2755" t="n"/>
      <c r="H8" s="2756" t="n"/>
      <c r="I8" s="2753" t="n"/>
      <c r="J8" s="2753" t="n"/>
      <c r="K8" s="2753" t="n"/>
      <c r="L8" s="2756" t="n"/>
      <c r="M8" s="5244" t="inlineStr">
        <is>
          <t>B  Enter code from instructions</t>
        </is>
      </c>
      <c r="N8" s="3555" t="n"/>
      <c r="O8" s="3555" t="n"/>
      <c r="P8" s="3555" t="n"/>
      <c r="Q8" s="3554" t="n"/>
      <c r="R8" s="3554" t="n"/>
      <c r="S8" s="3554" t="n"/>
      <c r="T8" s="3554" t="n"/>
      <c r="U8" s="5245" t="n"/>
      <c r="V8" s="139" t="n"/>
      <c r="X8" s="5233" t="n"/>
      <c r="Y8" s="7834">
        <f>(X7&lt;&gt;"")</f>
        <v/>
      </c>
      <c r="Z8" s="7834" t="n"/>
      <c r="AA8" s="7834" t="n"/>
      <c r="AB8" s="7834" t="n"/>
    </row>
    <row r="9" ht="12.75" customHeight="1" s="7635" thickBot="1">
      <c r="A9" s="139" t="n"/>
      <c r="B9" s="8185" t="n"/>
      <c r="C9" s="11717" t="n"/>
      <c r="D9" s="11717" t="n"/>
      <c r="E9" s="11717" t="n"/>
      <c r="F9" s="11717" t="n"/>
      <c r="G9" s="11717" t="n"/>
      <c r="H9" s="11717" t="n"/>
      <c r="I9" s="11717" t="n"/>
      <c r="J9" s="11717" t="n"/>
      <c r="K9" s="11717" t="n"/>
      <c r="L9" s="12072" t="n"/>
      <c r="M9" s="5246" t="n"/>
      <c r="N9" s="1659" t="n"/>
      <c r="O9" s="1659" t="n"/>
      <c r="P9" s="1659" t="n"/>
      <c r="Q9" s="1659" t="n"/>
      <c r="R9" s="1659" t="n"/>
      <c r="S9" s="1659" t="n"/>
      <c r="T9" s="5247" t="n"/>
      <c r="U9" s="5248" t="n"/>
      <c r="V9" s="139" t="n"/>
      <c r="X9" s="299" t="n"/>
      <c r="Y9" s="8648" t="inlineStr">
        <is>
          <t>Neither</t>
        </is>
      </c>
      <c r="Z9" s="8648" t="n"/>
      <c r="AA9" s="8648" t="n"/>
      <c r="AB9" s="8648" t="n"/>
    </row>
    <row r="10" ht="12" customHeight="1" s="7635" thickTop="1">
      <c r="A10" s="139" t="n"/>
      <c r="B10" s="2826" t="inlineStr">
        <is>
          <t>C</t>
        </is>
      </c>
      <c r="C10" s="8665" t="inlineStr">
        <is>
          <t>Business name.  If no separate business name, leave blank.</t>
        </is>
      </c>
      <c r="D10" s="8665" t="n"/>
      <c r="E10" s="2754" t="n"/>
      <c r="F10" s="2755" t="n"/>
      <c r="G10" s="2755" t="n"/>
      <c r="H10" s="2756" t="n"/>
      <c r="I10" s="2753" t="n"/>
      <c r="J10" s="2753" t="n"/>
      <c r="K10" s="2753" t="n"/>
      <c r="L10" s="5242" t="n"/>
      <c r="M10" s="5249" t="inlineStr">
        <is>
          <t>D  Employer ID number (EIN) (see instr.)</t>
        </is>
      </c>
      <c r="N10" s="2756" t="n"/>
      <c r="O10" s="2756" t="n"/>
      <c r="P10" s="2756" t="n"/>
      <c r="Q10" s="2755" t="n"/>
      <c r="R10" s="2755" t="n"/>
      <c r="S10" s="2755" t="n"/>
      <c r="T10" s="2755" t="n"/>
      <c r="U10" s="2755" t="n"/>
      <c r="V10" s="139" t="n"/>
      <c r="W10" s="2875" t="n"/>
      <c r="X10" s="5233" t="n"/>
      <c r="Y10" s="7834">
        <f>(X9&lt;&gt;"")</f>
        <v/>
      </c>
      <c r="Z10" s="7834" t="n"/>
      <c r="AA10" s="7834" t="n"/>
      <c r="AB10" s="7834" t="n"/>
    </row>
    <row r="11" ht="14.25" customHeight="1" s="7635">
      <c r="A11" s="139" t="n"/>
      <c r="B11" s="8184" t="n"/>
      <c r="C11" s="11717" t="n"/>
      <c r="D11" s="11717" t="n"/>
      <c r="E11" s="11717" t="n"/>
      <c r="F11" s="11717" t="n"/>
      <c r="G11" s="11717" t="n"/>
      <c r="H11" s="11717" t="n"/>
      <c r="I11" s="11717" t="n"/>
      <c r="J11" s="11717" t="n"/>
      <c r="K11" s="11717" t="n"/>
      <c r="L11" s="11718" t="n"/>
      <c r="M11" s="284" t="n"/>
      <c r="N11" s="285" t="n"/>
      <c r="O11" s="286" t="n"/>
      <c r="P11" s="284" t="n"/>
      <c r="Q11" s="284" t="n"/>
      <c r="R11" s="284" t="n"/>
      <c r="S11" s="284" t="n"/>
      <c r="T11" s="1601" t="n"/>
      <c r="U11" s="1795" t="n"/>
      <c r="V11" s="139" t="n"/>
      <c r="W11" s="2875" t="n"/>
      <c r="X11" s="5233" t="n"/>
      <c r="Y11" s="7834">
        <f>OR(AND(Y6,Y10),AND(Y8,Y10))</f>
        <v/>
      </c>
      <c r="Z11" s="7834" t="n"/>
      <c r="AA11" s="7834" t="n"/>
      <c r="AB11" s="7834" t="n"/>
    </row>
    <row r="12" ht="11.25" customHeight="1" s="7635">
      <c r="A12" s="139" t="n"/>
      <c r="B12" s="2826" t="inlineStr">
        <is>
          <t>E</t>
        </is>
      </c>
      <c r="C12" s="8665" t="inlineStr">
        <is>
          <t>Business address (including suite or room no.)</t>
        </is>
      </c>
      <c r="D12" s="8665" t="n"/>
      <c r="E12" s="2754" t="n"/>
      <c r="F12" s="2755" t="n"/>
      <c r="G12" s="2755" t="n"/>
      <c r="H12" s="5250" t="n"/>
      <c r="I12" s="8182" t="n"/>
      <c r="J12" s="12073" t="n"/>
      <c r="K12" s="12073" t="n"/>
      <c r="L12" s="12073" t="n"/>
      <c r="M12" s="12073" t="n"/>
      <c r="N12" s="12073" t="n"/>
      <c r="O12" s="12073" t="n"/>
      <c r="P12" s="12073" t="n"/>
      <c r="Q12" s="12073" t="n"/>
      <c r="R12" s="12073" t="n"/>
      <c r="S12" s="12073" t="n"/>
      <c r="T12" s="12073" t="n"/>
      <c r="U12" s="12073" t="n"/>
      <c r="V12" s="139" t="n"/>
      <c r="W12" s="2875" t="n"/>
      <c r="X12" s="5233" t="n"/>
    </row>
    <row r="13" ht="11.25" customHeight="1" s="7635">
      <c r="A13" s="139" t="n"/>
      <c r="B13" s="5251" t="n"/>
      <c r="C13" s="5212" t="inlineStr">
        <is>
          <t>City, town or post office, state, and ZIP code</t>
        </is>
      </c>
      <c r="D13" s="5212" t="n"/>
      <c r="E13" s="5101" t="n"/>
      <c r="F13" s="3565" t="n"/>
      <c r="G13" s="3565" t="n"/>
      <c r="H13" s="3565" t="n"/>
      <c r="I13" s="8188" t="n"/>
      <c r="J13" s="12074" t="n"/>
      <c r="K13" s="12074" t="n"/>
      <c r="L13" s="12074" t="n"/>
      <c r="M13" s="12074" t="n"/>
      <c r="N13" s="12074" t="n"/>
      <c r="O13" s="12074" t="n"/>
      <c r="P13" s="12074" t="n"/>
      <c r="Q13" s="12074" t="n"/>
      <c r="R13" s="12074" t="n"/>
      <c r="S13" s="12074" t="n"/>
      <c r="T13" s="12074" t="n"/>
      <c r="U13" s="12074" t="n"/>
      <c r="V13" s="139" t="n"/>
      <c r="W13" s="2875" t="n"/>
      <c r="X13" s="5233" t="n"/>
    </row>
    <row r="14" ht="3" customHeight="1" s="7635" thickBot="1">
      <c r="A14" s="139" t="n"/>
      <c r="B14" s="5252" t="n"/>
      <c r="C14" s="8665" t="n"/>
      <c r="D14" s="8665" t="n"/>
      <c r="E14" s="2754" t="n"/>
      <c r="F14" s="2755" t="n"/>
      <c r="G14" s="2755" t="n"/>
      <c r="H14" s="2755" t="n"/>
      <c r="I14" s="1602" t="n"/>
      <c r="J14" s="238" t="n"/>
      <c r="K14" s="5253" t="n"/>
      <c r="L14" s="239" t="n"/>
      <c r="M14" s="239" t="n"/>
      <c r="N14" s="239" t="n"/>
      <c r="O14" s="239" t="n"/>
      <c r="P14" s="239" t="n"/>
      <c r="Q14" s="239" t="n"/>
      <c r="R14" s="239" t="n"/>
      <c r="S14" s="239" t="n"/>
      <c r="T14" s="239" t="n"/>
      <c r="U14" s="239" t="n"/>
      <c r="V14" s="139" t="n"/>
      <c r="W14" s="2875" t="n"/>
      <c r="X14" s="5233" t="n"/>
    </row>
    <row r="15" ht="14.25" customHeight="1" s="7635" thickBot="1">
      <c r="A15" s="139" t="n"/>
      <c r="B15" s="3599" t="inlineStr">
        <is>
          <t>F</t>
        </is>
      </c>
      <c r="C15" s="8665" t="inlineStr">
        <is>
          <t>Accounting method:          (1)</t>
        </is>
      </c>
      <c r="D15" s="8665" t="n"/>
      <c r="E15" s="282" t="n"/>
      <c r="F15" s="5254" t="inlineStr">
        <is>
          <t>Cash</t>
        </is>
      </c>
      <c r="G15" s="8374">
        <f>"(2) "</f>
        <v/>
      </c>
      <c r="H15" s="282" t="n"/>
      <c r="I15" s="8665" t="inlineStr">
        <is>
          <t>Accrual</t>
        </is>
      </c>
      <c r="J15" s="8374">
        <f>"(3) "</f>
        <v/>
      </c>
      <c r="K15" s="282" t="n"/>
      <c r="L15" s="8665" t="inlineStr">
        <is>
          <t>Other (specify)</t>
        </is>
      </c>
      <c r="M15" s="8665" t="n"/>
      <c r="N15" s="8202" t="n"/>
      <c r="O15" s="11730" t="n"/>
      <c r="P15" s="11730" t="n"/>
      <c r="Q15" s="11730" t="n"/>
      <c r="R15" s="11730" t="n"/>
      <c r="S15" s="11730" t="n"/>
      <c r="T15" s="11730" t="n"/>
      <c r="U15" s="11730" t="n"/>
      <c r="V15" s="139" t="n"/>
      <c r="W15" s="2875" t="n"/>
      <c r="X15" s="5233" t="n"/>
    </row>
    <row r="16" ht="3.75" customHeight="1" s="7635" thickBot="1">
      <c r="A16" s="139" t="n"/>
      <c r="B16" s="2826" t="n"/>
      <c r="C16" s="8665" t="n"/>
      <c r="D16" s="8665" t="n"/>
      <c r="E16" s="1603" t="n"/>
      <c r="F16" s="2755" t="n"/>
      <c r="G16" s="8374" t="n"/>
      <c r="H16" s="1604" t="n"/>
      <c r="I16" s="8665" t="n"/>
      <c r="J16" s="3016" t="n"/>
      <c r="K16" s="1604" t="n"/>
      <c r="L16" s="8665" t="n"/>
      <c r="M16" s="8665" t="n"/>
      <c r="N16" s="5255" t="n"/>
      <c r="O16" s="1605" t="n"/>
      <c r="P16" s="1605" t="n"/>
      <c r="Q16" s="1605" t="n"/>
      <c r="R16" s="1605" t="n"/>
      <c r="S16" s="1605" t="n"/>
      <c r="T16" s="1605" t="n"/>
      <c r="U16" s="1605" t="n"/>
      <c r="V16" s="139" t="n"/>
      <c r="W16" s="2875" t="n"/>
      <c r="X16" s="5233" t="n"/>
    </row>
    <row r="17" ht="12.75" customHeight="1" s="7635" thickBot="1">
      <c r="A17" s="139" t="n"/>
      <c r="B17" s="2826" t="inlineStr">
        <is>
          <t>G</t>
        </is>
      </c>
      <c r="C17" s="8665">
        <f>"Did you 'materially participate' in the operation of this business during "&amp;TaxYear&amp;"? If 'No,' see instructions for limit on losses."</f>
        <v/>
      </c>
      <c r="D17" s="2753" t="n"/>
      <c r="E17" s="2755" t="n"/>
      <c r="F17" s="2755" t="n"/>
      <c r="G17" s="8374" t="n"/>
      <c r="H17" s="2755" t="n"/>
      <c r="I17" s="8665" t="n"/>
      <c r="J17" s="3016" t="n"/>
      <c r="K17" s="3016" t="n"/>
      <c r="L17" s="2755" t="n"/>
      <c r="M17" s="8665" t="n"/>
      <c r="N17" s="2755" t="n"/>
      <c r="O17" s="2755" t="n"/>
      <c r="P17" s="2755" t="n"/>
      <c r="Q17" s="2755" t="n"/>
      <c r="R17" s="282" t="n"/>
      <c r="S17" s="2995" t="inlineStr">
        <is>
          <t>Yes</t>
        </is>
      </c>
      <c r="T17" s="282" t="n"/>
      <c r="U17" s="2995" t="inlineStr">
        <is>
          <t>No</t>
        </is>
      </c>
      <c r="V17" s="139" t="n"/>
      <c r="W17" s="2875" t="n"/>
      <c r="X17" s="5233" t="n"/>
    </row>
    <row r="18" ht="12.75" customHeight="1" s="7635" thickBot="1">
      <c r="A18" s="139" t="n"/>
      <c r="B18" s="2826" t="inlineStr">
        <is>
          <t>H</t>
        </is>
      </c>
      <c r="C18" s="8665">
        <f>"If you started or acquired this business during "&amp;TaxYear&amp;", check here"</f>
        <v/>
      </c>
      <c r="D18" s="8665" t="n"/>
      <c r="E18" s="2754" t="n"/>
      <c r="F18" s="2755" t="n"/>
      <c r="G18" s="2755" t="n"/>
      <c r="H18" s="5255" t="n"/>
      <c r="I18" s="5256" t="n"/>
      <c r="J18" s="5256" t="n"/>
      <c r="K18" s="5256" t="n"/>
      <c r="L18" s="5255" t="n"/>
      <c r="M18" s="5256" t="n"/>
      <c r="N18" s="5255" t="n"/>
      <c r="O18" s="5255" t="n"/>
      <c r="P18" s="5255" t="n"/>
      <c r="Q18" s="3016" t="inlineStr">
        <is>
          <t xml:space="preserve">.   .   .   .   .   .   .   .   .   .   .   .   .   .   .   .   .   .   .   .  </t>
        </is>
      </c>
      <c r="R18" s="282" t="n"/>
      <c r="S18" s="3016" t="n"/>
      <c r="T18" s="241" t="n"/>
      <c r="U18" s="2755" t="n"/>
      <c r="V18" s="139" t="n"/>
      <c r="W18" s="2875" t="n"/>
      <c r="X18" s="5233" t="n"/>
    </row>
    <row r="19" ht="12.75" customHeight="1" s="7635" thickBot="1">
      <c r="A19" s="139" t="n"/>
      <c r="B19" s="2826" t="inlineStr">
        <is>
          <t>I</t>
        </is>
      </c>
      <c r="C19" s="8665">
        <f>"Did you make any payments in "&amp;TaxYear&amp;" that would require you to file Form(s) 1099? (see instructions) "</f>
        <v/>
      </c>
      <c r="D19" s="2753" t="n"/>
      <c r="E19" s="2755" t="n"/>
      <c r="F19" s="2755" t="n"/>
      <c r="G19" s="8374" t="n"/>
      <c r="H19" s="2755" t="n"/>
      <c r="I19" s="8665" t="n"/>
      <c r="J19" s="3016" t="n"/>
      <c r="K19" s="3016" t="n"/>
      <c r="L19" s="2755" t="n"/>
      <c r="M19" s="8665" t="n"/>
      <c r="N19" s="2755" t="n"/>
      <c r="O19" s="2755" t="n"/>
      <c r="P19" s="2755" t="n"/>
      <c r="Q19" s="3016" t="inlineStr">
        <is>
          <t xml:space="preserve">.   .   .   .   .   .  </t>
        </is>
      </c>
      <c r="R19" s="282" t="n"/>
      <c r="S19" s="2995" t="inlineStr">
        <is>
          <t>Yes</t>
        </is>
      </c>
      <c r="T19" s="282" t="n"/>
      <c r="U19" s="2995" t="inlineStr">
        <is>
          <t>No</t>
        </is>
      </c>
      <c r="V19" s="139" t="n"/>
      <c r="W19" s="2875" t="n"/>
      <c r="X19" s="5233" t="n"/>
    </row>
    <row r="20" ht="12.75" customHeight="1" s="7635" thickBot="1">
      <c r="A20" s="139" t="n"/>
      <c r="B20" s="2826" t="inlineStr">
        <is>
          <t>J</t>
        </is>
      </c>
      <c r="C20" s="8665" t="inlineStr">
        <is>
          <t>If "Yes," did you or will you file all required Form(s) 1099?</t>
        </is>
      </c>
      <c r="D20" s="2753" t="n"/>
      <c r="E20" s="2755" t="n"/>
      <c r="F20" s="2755" t="n"/>
      <c r="G20" s="8374" t="n"/>
      <c r="H20" s="2755" t="n"/>
      <c r="I20" s="8665" t="n"/>
      <c r="J20" s="3016" t="n"/>
      <c r="K20" s="3016" t="n"/>
      <c r="L20" s="2755" t="n"/>
      <c r="M20" s="8665" t="n"/>
      <c r="N20" s="2755" t="n"/>
      <c r="O20" s="2755" t="n"/>
      <c r="P20" s="2755" t="n"/>
      <c r="Q20" s="3016" t="inlineStr">
        <is>
          <t xml:space="preserve"> .   .   .   .   .   .   .   .   .   .   .   .   .   .   .   .   .   .   .   .   .   .   .  </t>
        </is>
      </c>
      <c r="R20" s="282" t="n"/>
      <c r="S20" s="2995" t="inlineStr">
        <is>
          <t>Yes</t>
        </is>
      </c>
      <c r="T20" s="282" t="n"/>
      <c r="U20" s="2995" t="inlineStr">
        <is>
          <t>No</t>
        </is>
      </c>
      <c r="V20" s="139" t="n"/>
      <c r="W20" s="8043" t="inlineStr">
        <is>
          <t>Manual</t>
        </is>
      </c>
      <c r="X20" s="5233" t="n"/>
    </row>
    <row r="21" ht="15" customHeight="1" s="7635">
      <c r="A21" s="139" t="n"/>
      <c r="B21" s="2978" t="inlineStr">
        <is>
          <t>Part I</t>
        </is>
      </c>
      <c r="C21" s="10329" t="inlineStr">
        <is>
          <t xml:space="preserve">   Income</t>
        </is>
      </c>
      <c r="D21" s="10329" t="n"/>
      <c r="E21" s="5257" t="n"/>
      <c r="F21" s="5110" t="n"/>
      <c r="G21" s="5110" t="n"/>
      <c r="H21" s="5110" t="n"/>
      <c r="I21" s="5112" t="n"/>
      <c r="J21" s="5112" t="n"/>
      <c r="K21" s="5112" t="n"/>
      <c r="L21" s="5112" t="n"/>
      <c r="M21" s="5112" t="n"/>
      <c r="N21" s="5110" t="n"/>
      <c r="O21" s="5110" t="n"/>
      <c r="P21" s="5258" t="n"/>
      <c r="Q21" s="5110" t="n"/>
      <c r="R21" s="5110" t="n"/>
      <c r="S21" s="5110" t="n"/>
      <c r="T21" s="5110" t="n"/>
      <c r="U21" s="5110" t="n"/>
      <c r="V21" s="139" t="n"/>
      <c r="W21" s="8043" t="inlineStr">
        <is>
          <t>Override ê</t>
        </is>
      </c>
      <c r="X21" s="5233" t="n"/>
    </row>
    <row r="22" ht="13.5" customHeight="1" s="7635" thickBot="1">
      <c r="A22" s="139" t="n"/>
      <c r="B22" s="2984" t="n">
        <v>1</v>
      </c>
      <c r="C22" s="2769" t="inlineStr">
        <is>
          <t>Gross receipts or sales. See instructions for line 1 and check the box if this income was reported to you on</t>
        </is>
      </c>
      <c r="D22" s="2770" t="n"/>
      <c r="E22" s="10292" t="n"/>
      <c r="F22" s="10292" t="n"/>
      <c r="G22" s="10292" t="n"/>
      <c r="H22" s="10292" t="n"/>
      <c r="I22" s="5259" t="n"/>
      <c r="J22" s="5259" t="n"/>
      <c r="K22" s="5259" t="n"/>
      <c r="L22" s="5259" t="n"/>
      <c r="M22" s="3016" t="n"/>
      <c r="N22" s="10292" t="n"/>
      <c r="O22" s="10292" t="n"/>
      <c r="P22" s="10292" t="n"/>
      <c r="Q22" s="5260" t="n"/>
      <c r="R22" s="3016" t="n"/>
      <c r="S22" s="5261" t="n"/>
      <c r="T22" s="8173">
        <f>IF(Y2,NonEmployeeComp_You,IF(Y3,NonEmployeeComp_Spouse,0))</f>
        <v/>
      </c>
      <c r="U22" s="7839" t="n"/>
      <c r="V22" s="139" t="n"/>
      <c r="W22" s="2875" t="n"/>
      <c r="X22" s="5233" t="n"/>
      <c r="Y22" s="7834">
        <f>(M7=SS_Spouse)</f>
        <v/>
      </c>
      <c r="Z22" s="7834" t="n"/>
      <c r="AA22" s="7834" t="n"/>
      <c r="AB22" s="7834" t="n"/>
    </row>
    <row r="23" ht="12" customHeight="1" s="7635" thickBot="1">
      <c r="A23" s="139" t="n"/>
      <c r="B23" s="2984" t="n"/>
      <c r="C23" s="2769" t="inlineStr">
        <is>
          <t>Form W-2 and the “Statutory employee” box on that form was checked</t>
        </is>
      </c>
      <c r="D23" s="2770" t="n"/>
      <c r="E23" s="10292" t="n"/>
      <c r="F23" s="10292" t="n"/>
      <c r="G23" s="10292" t="n"/>
      <c r="H23" s="10292" t="n"/>
      <c r="I23" s="5259" t="n"/>
      <c r="J23" s="5259" t="n"/>
      <c r="K23" s="5259" t="n"/>
      <c r="L23" s="5259" t="n"/>
      <c r="M23" s="3016" t="n"/>
      <c r="N23" s="10292" t="n"/>
      <c r="O23" s="3016" t="inlineStr">
        <is>
          <t xml:space="preserve">.   .   .   .   .   .   .   .   .   .  </t>
        </is>
      </c>
      <c r="P23" s="10292" t="n"/>
      <c r="Q23" s="282" t="n"/>
      <c r="R23" s="3016" t="n"/>
      <c r="S23" s="2773" t="n">
        <v>1</v>
      </c>
      <c r="T23" s="8203">
        <f>IF(W23&lt;&gt;"",ROUND(W23,0),IF(T22=0,"",T22))</f>
        <v/>
      </c>
      <c r="U23" s="7637" t="n"/>
      <c r="V23" s="139" t="n"/>
      <c r="W23" s="949" t="n"/>
      <c r="X23" s="5233" t="n"/>
      <c r="Y23" s="5263">
        <f>IF(AND(Y22,SchC_StatutoryEmp_1&lt;&gt;""),T23,0)</f>
        <v/>
      </c>
      <c r="Z23" s="6681" t="inlineStr">
        <is>
          <t>Source: 1099-NEC, Box 1</t>
        </is>
      </c>
      <c r="AA23" s="5263" t="n"/>
      <c r="AB23" s="5263" t="n"/>
    </row>
    <row r="24" ht="12.75" customHeight="1" s="7635">
      <c r="A24" s="139" t="n"/>
      <c r="B24" s="2984" t="n">
        <v>2</v>
      </c>
      <c r="C24" s="2769" t="inlineStr">
        <is>
          <t>Returns and allowances</t>
        </is>
      </c>
      <c r="D24" s="2770" t="n"/>
      <c r="E24" s="10292" t="n"/>
      <c r="F24" s="10292" t="n"/>
      <c r="G24" s="10292" t="n"/>
      <c r="H24" s="10292" t="n"/>
      <c r="I24" s="5259" t="n"/>
      <c r="J24" s="5259" t="n"/>
      <c r="K24" s="5259" t="n"/>
      <c r="L24" s="5259" t="n"/>
      <c r="M24" s="5259" t="n"/>
      <c r="N24" s="10292" t="n"/>
      <c r="O24" s="10292" t="n"/>
      <c r="P24" s="8223" t="n"/>
      <c r="Q24" s="10292" t="n"/>
      <c r="R24" s="5265" t="inlineStr">
        <is>
          <t xml:space="preserve">.   .   .   .   .   .   .   .   .   .   .   .   .   .   .   .   .   .   .   .   .   .   .   .   .   .   .   .   .   .   .   .   .   .   .   .   .  </t>
        </is>
      </c>
      <c r="S24" s="2773" t="n">
        <v>2</v>
      </c>
      <c r="T24" s="8204" t="n"/>
      <c r="U24" s="11717" t="n"/>
      <c r="V24" s="139" t="n"/>
      <c r="W24" s="2875" t="n"/>
      <c r="X24" s="5233" t="n"/>
      <c r="Y24" s="5263">
        <f>IF(AND(NOT(Y22),SchC_StatutoryEmp_1&lt;&gt;""),T23,0)</f>
        <v/>
      </c>
      <c r="Z24" s="5263" t="n"/>
      <c r="AA24" s="5263" t="n"/>
      <c r="AB24" s="5263" t="n"/>
    </row>
    <row r="25" ht="12.75" customHeight="1" s="7635">
      <c r="A25" s="139" t="n"/>
      <c r="B25" s="2984" t="n">
        <v>3</v>
      </c>
      <c r="C25" s="5266" t="inlineStr">
        <is>
          <t>Subtract line 2 from line 1</t>
        </is>
      </c>
      <c r="D25" s="5267" t="n"/>
      <c r="E25" s="5267" t="n"/>
      <c r="F25" s="8223" t="n"/>
      <c r="G25" s="8223" t="n"/>
      <c r="H25" s="8223" t="n"/>
      <c r="I25" s="5267" t="n"/>
      <c r="J25" s="5267" t="n"/>
      <c r="K25" s="5267" t="n"/>
      <c r="L25" s="5267" t="n"/>
      <c r="M25" s="5267" t="n"/>
      <c r="N25" s="8223" t="n"/>
      <c r="O25" s="8223" t="n"/>
      <c r="P25" s="5267" t="n"/>
      <c r="Q25" s="8223" t="n"/>
      <c r="R25" s="5265" t="inlineStr">
        <is>
          <t xml:space="preserve">.   .   .   .   .   .   .   .   .   .   .   .   .   .   .   .   .   .   .   .   .   .   .   .   .   .   .   .   .   .   .   .   .   .   .   .  </t>
        </is>
      </c>
      <c r="S25" s="8230" t="n">
        <v>3</v>
      </c>
      <c r="T25" s="8176">
        <f>IF(AND(T23="",T24=""),"",SUM(T23,-T24))</f>
        <v/>
      </c>
      <c r="U25" s="7637" t="n"/>
      <c r="V25" s="139" t="n"/>
      <c r="W25" s="2875" t="n"/>
      <c r="X25" s="5233" t="n"/>
    </row>
    <row r="26" ht="12.75" customHeight="1" s="7635">
      <c r="A26" s="139" t="n"/>
      <c r="B26" s="2984" t="n">
        <v>4</v>
      </c>
      <c r="C26" s="5266" t="inlineStr">
        <is>
          <t>Cost of goods sold  (from line 42)</t>
        </is>
      </c>
      <c r="D26" s="5267" t="n"/>
      <c r="E26" s="5267" t="n"/>
      <c r="F26" s="8223" t="n"/>
      <c r="G26" s="8223" t="n"/>
      <c r="H26" s="8223" t="n"/>
      <c r="I26" s="5267" t="n"/>
      <c r="J26" s="5267" t="n"/>
      <c r="K26" s="5267" t="n"/>
      <c r="L26" s="5267" t="n"/>
      <c r="M26" s="5267" t="n"/>
      <c r="N26" s="8223" t="n"/>
      <c r="O26" s="8223" t="n"/>
      <c r="P26" s="5267" t="n"/>
      <c r="Q26" s="8223" t="n"/>
      <c r="R26" s="5265" t="inlineStr">
        <is>
          <t xml:space="preserve">.   .   .   .   .   .   .   .   .   .   .   .   .   .   .   .   .   .   .   .   .   .   .   .   .   .   .   .   .   .   .   .   .  </t>
        </is>
      </c>
      <c r="S26" s="8230" t="n">
        <v>4</v>
      </c>
      <c r="T26" s="8176">
        <f>IF(W26&lt;&gt;"",W26,T86)</f>
        <v/>
      </c>
      <c r="U26" s="7637" t="n"/>
      <c r="V26" s="139" t="n"/>
      <c r="W26" s="949" t="n"/>
      <c r="X26" s="5233" t="n"/>
      <c r="Y26" s="7834">
        <f>IF(T26="",0,T26)</f>
        <v/>
      </c>
    </row>
    <row r="27" ht="12.75" customHeight="1" s="7635">
      <c r="A27" s="139" t="n"/>
      <c r="B27" s="2984" t="n">
        <v>5</v>
      </c>
      <c r="C27" s="5268" t="inlineStr">
        <is>
          <t>Gross profit.  Subtract line 4 from line 3</t>
        </is>
      </c>
      <c r="D27" s="5256" t="n"/>
      <c r="E27" s="5267" t="n"/>
      <c r="F27" s="8223" t="n"/>
      <c r="G27" s="8223" t="n"/>
      <c r="H27" s="8223" t="n"/>
      <c r="I27" s="5267" t="n"/>
      <c r="J27" s="5267" t="n"/>
      <c r="K27" s="5267" t="n"/>
      <c r="L27" s="5267" t="n"/>
      <c r="M27" s="5267" t="n"/>
      <c r="N27" s="8223" t="n"/>
      <c r="O27" s="8223" t="n"/>
      <c r="P27" s="5267" t="n"/>
      <c r="Q27" s="8223" t="n"/>
      <c r="R27" s="5265" t="inlineStr">
        <is>
          <t xml:space="preserve">.   .   .   .   .   .   .   .   .   .   .   .   .   .   .   .   .   .   .   .   .   .   .   .   .   .   .   .   .   .  </t>
        </is>
      </c>
      <c r="S27" s="8230" t="n">
        <v>5</v>
      </c>
      <c r="T27" s="8176">
        <f>IF(AND(T25="",T26=""),"",SUM(T25,-Y26))</f>
        <v/>
      </c>
      <c r="U27" s="7637" t="n"/>
      <c r="V27" s="139" t="n"/>
      <c r="W27" s="2875" t="n"/>
      <c r="X27" s="5233" t="n"/>
    </row>
    <row r="28" ht="12.75" customHeight="1" s="7635">
      <c r="A28" s="139" t="n"/>
      <c r="B28" s="2984" t="n">
        <v>6</v>
      </c>
      <c r="C28" s="5266" t="inlineStr">
        <is>
          <t>Other income, including federal and state gasoline or fuel tax credit or refund  (see instructions)</t>
        </is>
      </c>
      <c r="D28" s="5267" t="n"/>
      <c r="E28" s="5267" t="n"/>
      <c r="F28" s="8223" t="n"/>
      <c r="G28" s="8223" t="n"/>
      <c r="H28" s="8223" t="n"/>
      <c r="I28" s="5267" t="n"/>
      <c r="J28" s="5267" t="n"/>
      <c r="K28" s="5267" t="n"/>
      <c r="L28" s="5267" t="n"/>
      <c r="M28" s="5267" t="n"/>
      <c r="N28" s="8223" t="n"/>
      <c r="O28" s="8223" t="n"/>
      <c r="P28" s="5267" t="n"/>
      <c r="Q28" s="8223" t="n"/>
      <c r="R28" s="5265" t="inlineStr">
        <is>
          <t xml:space="preserve">.   .   .   .   .   .   .   .  </t>
        </is>
      </c>
      <c r="S28" s="8230" t="n">
        <v>6</v>
      </c>
      <c r="T28" s="8169" t="n"/>
      <c r="U28" s="11717" t="n"/>
      <c r="V28" s="139" t="n"/>
      <c r="W28" s="2875" t="n"/>
      <c r="X28" s="5233" t="n"/>
    </row>
    <row r="29" ht="12.75" customHeight="1" s="7635">
      <c r="A29" s="139" t="n"/>
      <c r="B29" s="2984" t="n">
        <v>7</v>
      </c>
      <c r="C29" s="3097" t="inlineStr">
        <is>
          <t>Gross income.  Add lines 5 and 6</t>
        </is>
      </c>
      <c r="D29" s="2754" t="n"/>
      <c r="E29" s="8665" t="n"/>
      <c r="F29" s="10292" t="n"/>
      <c r="G29" s="10292" t="n"/>
      <c r="H29" s="9663" t="n"/>
      <c r="I29" s="5267" t="n"/>
      <c r="J29" s="5267" t="n"/>
      <c r="K29" s="5267" t="n"/>
      <c r="L29" s="5220" t="n"/>
      <c r="M29" s="5267" t="n"/>
      <c r="N29" s="9663" t="n"/>
      <c r="O29" s="9663" t="n"/>
      <c r="P29" s="5267" t="n"/>
      <c r="Q29" s="10292" t="n"/>
      <c r="R29" s="3016" t="inlineStr">
        <is>
          <t xml:space="preserve">.   .   .   .   .   .   .   .   .   .   .   .   .   .   .   .   .   .   .   .   .   .   .   .   .   .   .   .   .   .   .   .  </t>
        </is>
      </c>
      <c r="S29" s="8230" t="n">
        <v>7</v>
      </c>
      <c r="T29" s="8176">
        <f>IF(AND(T27="",T28=""),"",SUM(T27,T28))</f>
        <v/>
      </c>
      <c r="U29" s="7637" t="n"/>
      <c r="V29" s="139" t="n"/>
      <c r="W29" s="2875" t="n"/>
      <c r="X29" s="5233" t="n"/>
    </row>
    <row r="30" ht="15.75" customHeight="1" s="7635">
      <c r="A30" s="139" t="n"/>
      <c r="B30" s="2978" t="inlineStr">
        <is>
          <t>Part II</t>
        </is>
      </c>
      <c r="C30" s="5269" t="inlineStr">
        <is>
          <t>Expenses.</t>
        </is>
      </c>
      <c r="D30" s="5270" t="inlineStr">
        <is>
          <t>Enter expenses for business use of your home only on line 30.</t>
        </is>
      </c>
      <c r="E30" s="5110" t="n"/>
      <c r="F30" s="5110" t="n"/>
      <c r="G30" s="5110" t="n"/>
      <c r="H30" s="5257" t="n"/>
      <c r="I30" s="5110" t="n"/>
      <c r="J30" s="5110" t="n"/>
      <c r="K30" s="5110" t="n"/>
      <c r="L30" s="5110" t="n"/>
      <c r="M30" s="5110" t="n"/>
      <c r="N30" s="5110" t="n"/>
      <c r="O30" s="5110" t="n"/>
      <c r="P30" s="5110" t="n"/>
      <c r="Q30" s="5110" t="n"/>
      <c r="R30" s="5110" t="n"/>
      <c r="S30" s="5110" t="n"/>
      <c r="T30" s="5271" t="n"/>
      <c r="U30" s="5271" t="n"/>
      <c r="V30" s="139" t="n"/>
      <c r="W30" s="2875" t="n"/>
      <c r="X30" s="5233" t="n"/>
    </row>
    <row r="31" ht="14.25" customHeight="1" s="7635">
      <c r="A31" s="139" t="n"/>
      <c r="B31" s="2984" t="n">
        <v>8</v>
      </c>
      <c r="C31" s="8647" t="inlineStr">
        <is>
          <t>Advertising .   .   .   .   .   .   .   .   .   .   .   .   .   .   .   .   .   .   .   .   .</t>
        </is>
      </c>
      <c r="D31" s="8647" t="n"/>
      <c r="E31" s="10292" t="n"/>
      <c r="F31" s="10292" t="n"/>
      <c r="G31" s="9663" t="n"/>
      <c r="H31" s="2773">
        <f>B31</f>
        <v/>
      </c>
      <c r="I31" s="752" t="n"/>
      <c r="J31" s="8374" t="n">
        <v>18</v>
      </c>
      <c r="K31" s="8647" t="n"/>
      <c r="L31" s="2769" t="inlineStr">
        <is>
          <t>Office Expense (see instructions)</t>
        </is>
      </c>
      <c r="M31" s="8651" t="n"/>
      <c r="N31" s="8651" t="n"/>
      <c r="O31" s="8651" t="n"/>
      <c r="P31" s="8651" t="n"/>
      <c r="Q31" s="8651" t="n"/>
      <c r="R31" s="3016" t="inlineStr">
        <is>
          <t xml:space="preserve">.   .   .   .   . </t>
        </is>
      </c>
      <c r="S31" s="8230">
        <f>J31</f>
        <v/>
      </c>
      <c r="T31" s="8156" t="n"/>
      <c r="U31" s="8007" t="n"/>
      <c r="V31" s="139" t="n"/>
      <c r="W31" s="2875" t="n"/>
      <c r="X31" s="5233" t="n"/>
    </row>
    <row r="32" ht="14.25" customHeight="1" s="7635">
      <c r="A32" s="139" t="n"/>
      <c r="B32" s="2984" t="n">
        <v>9</v>
      </c>
      <c r="C32" s="8647" t="inlineStr">
        <is>
          <t>Car and truck expenses</t>
        </is>
      </c>
      <c r="D32" s="8647" t="n"/>
      <c r="E32" s="10292" t="n"/>
      <c r="F32" s="10292" t="n"/>
      <c r="G32" s="9663" t="n"/>
      <c r="H32" s="5216" t="n"/>
      <c r="I32" s="5272" t="n"/>
      <c r="J32" s="8374" t="n">
        <v>19</v>
      </c>
      <c r="K32" s="2826" t="n"/>
      <c r="L32" s="3003" t="inlineStr">
        <is>
          <t>Pension and profit-sharing plans</t>
        </is>
      </c>
      <c r="M32" s="3624" t="n"/>
      <c r="N32" s="8647" t="n"/>
      <c r="O32" s="8647" t="n"/>
      <c r="P32" s="5266" t="n"/>
      <c r="Q32" s="5187" t="n"/>
      <c r="R32" s="3016" t="inlineStr">
        <is>
          <t xml:space="preserve">.   .   .   .   . </t>
        </is>
      </c>
      <c r="S32" s="8230">
        <f>J32</f>
        <v/>
      </c>
      <c r="T32" s="8156" t="n"/>
      <c r="U32" s="8007" t="n"/>
      <c r="V32" s="139" t="n"/>
      <c r="W32" s="2875" t="n"/>
      <c r="X32" s="5233" t="n"/>
    </row>
    <row r="33" ht="14.25" customHeight="1" s="7635">
      <c r="A33" s="139" t="n"/>
      <c r="B33" s="2984" t="n"/>
      <c r="C33" s="8647" t="inlineStr">
        <is>
          <t>(see instructions)</t>
        </is>
      </c>
      <c r="D33" s="8647" t="n"/>
      <c r="E33" s="10292" t="n"/>
      <c r="F33" s="10292" t="n"/>
      <c r="G33" s="3016" t="inlineStr">
        <is>
          <t xml:space="preserve">.   .   .   .   .   .   .   .   .  </t>
        </is>
      </c>
      <c r="H33" s="2773">
        <f>B32</f>
        <v/>
      </c>
      <c r="I33" s="753" t="n"/>
      <c r="J33" s="8374" t="n">
        <v>20</v>
      </c>
      <c r="K33" s="2826" t="n"/>
      <c r="L33" s="3003" t="inlineStr">
        <is>
          <t>Rent or lease (see instructions):</t>
        </is>
      </c>
      <c r="M33" s="3624" t="n"/>
      <c r="N33" s="3065" t="n"/>
      <c r="O33" s="3065" t="n"/>
      <c r="P33" s="5266" t="n"/>
      <c r="Q33" s="5187" t="n"/>
      <c r="R33" s="5187" t="n"/>
      <c r="S33" s="5273" t="n"/>
      <c r="T33" s="5274" t="n"/>
      <c r="U33" s="5275" t="n"/>
      <c r="V33" s="139" t="n"/>
      <c r="W33" s="2875" t="n"/>
      <c r="X33" s="5233" t="n"/>
    </row>
    <row r="34" ht="14.25" customHeight="1" s="7635">
      <c r="A34" s="139" t="n"/>
      <c r="B34" s="2984" t="n">
        <v>10</v>
      </c>
      <c r="C34" s="8647" t="inlineStr">
        <is>
          <t>Commissions and fees</t>
        </is>
      </c>
      <c r="D34" s="8647" t="n"/>
      <c r="E34" s="10292" t="n"/>
      <c r="F34" s="10292" t="n"/>
      <c r="G34" s="3016" t="inlineStr">
        <is>
          <t xml:space="preserve">.   .   .   .   .   .  </t>
        </is>
      </c>
      <c r="H34" s="5276">
        <f>B34</f>
        <v/>
      </c>
      <c r="I34" s="752" t="n"/>
      <c r="J34" s="8374" t="n"/>
      <c r="K34" s="2826" t="inlineStr">
        <is>
          <t>a</t>
        </is>
      </c>
      <c r="L34" s="3003" t="inlineStr">
        <is>
          <t>Vehicles, machinery and equipment</t>
        </is>
      </c>
      <c r="M34" s="3624" t="n"/>
      <c r="N34" s="8647" t="n"/>
      <c r="O34" s="8647" t="n"/>
      <c r="P34" s="5266" t="n"/>
      <c r="Q34" s="5187" t="n"/>
      <c r="R34" s="3016" t="inlineStr">
        <is>
          <t xml:space="preserve">.   .   .   . </t>
        </is>
      </c>
      <c r="S34" s="8230" t="inlineStr">
        <is>
          <t>20a</t>
        </is>
      </c>
      <c r="T34" s="8158" t="n"/>
      <c r="U34" s="11717" t="n"/>
      <c r="V34" s="139" t="n"/>
      <c r="W34" s="2875" t="n"/>
      <c r="X34" s="5233" t="n"/>
    </row>
    <row r="35" ht="14.25" customHeight="1" s="7635">
      <c r="A35" s="139" t="n"/>
      <c r="B35" s="2984" t="n">
        <v>11</v>
      </c>
      <c r="C35" s="8647" t="inlineStr">
        <is>
          <t>Contract labor (see instructions)</t>
        </is>
      </c>
      <c r="D35" s="8647" t="n"/>
      <c r="E35" s="10292" t="n"/>
      <c r="F35" s="10292" t="n"/>
      <c r="G35" s="3016" t="inlineStr">
        <is>
          <t xml:space="preserve"> .   .   .   .   .  </t>
        </is>
      </c>
      <c r="H35" s="2773">
        <f>B35</f>
        <v/>
      </c>
      <c r="I35" s="753" t="n"/>
      <c r="J35" s="8374" t="n"/>
      <c r="K35" s="2826" t="inlineStr">
        <is>
          <t>b</t>
        </is>
      </c>
      <c r="L35" s="2769" t="inlineStr">
        <is>
          <t>Other business property</t>
        </is>
      </c>
      <c r="M35" s="5266" t="n"/>
      <c r="N35" s="8647" t="n"/>
      <c r="O35" s="8647" t="n"/>
      <c r="P35" s="5266" t="n"/>
      <c r="Q35" s="5187" t="n"/>
      <c r="R35" s="3016" t="inlineStr">
        <is>
          <t xml:space="preserve"> .   .   .   .   .   .   .   .   . </t>
        </is>
      </c>
      <c r="S35" s="8230" t="inlineStr">
        <is>
          <t>20b</t>
        </is>
      </c>
      <c r="T35" s="8156" t="n"/>
      <c r="U35" s="8007" t="n"/>
      <c r="V35" s="139" t="n"/>
      <c r="W35" s="2875" t="n"/>
      <c r="X35" s="5233" t="n"/>
    </row>
    <row r="36" ht="14.25" customHeight="1" s="7635">
      <c r="A36" s="139" t="n"/>
      <c r="B36" s="2984" t="n">
        <v>12</v>
      </c>
      <c r="C36" s="8647" t="inlineStr">
        <is>
          <t>Depletion    .   .   .   .   .   .   .   .   .   .   .   .   .</t>
        </is>
      </c>
      <c r="D36" s="8647" t="n"/>
      <c r="E36" s="10292" t="n"/>
      <c r="F36" s="10292" t="n"/>
      <c r="G36" s="9663" t="n"/>
      <c r="H36" s="2773">
        <f>B36</f>
        <v/>
      </c>
      <c r="I36" s="752" t="n"/>
      <c r="J36" s="8374" t="n">
        <v>21</v>
      </c>
      <c r="K36" s="2826" t="n"/>
      <c r="L36" s="2769" t="inlineStr">
        <is>
          <t>Repairs and maintenance</t>
        </is>
      </c>
      <c r="M36" s="2769" t="n"/>
      <c r="N36" s="2769" t="n"/>
      <c r="O36" s="2769" t="n"/>
      <c r="P36" s="2769" t="n"/>
      <c r="Q36" s="2769" t="n"/>
      <c r="R36" s="3016" t="inlineStr">
        <is>
          <t xml:space="preserve">  .   .   .   .   .   .   .   . </t>
        </is>
      </c>
      <c r="S36" s="8230">
        <f>J36</f>
        <v/>
      </c>
      <c r="T36" s="8156" t="n"/>
      <c r="U36" s="8007" t="n"/>
      <c r="V36" s="139" t="n"/>
      <c r="W36" s="2875" t="n"/>
      <c r="X36" s="5233" t="n"/>
    </row>
    <row r="37" ht="14.25" customHeight="1" s="7635">
      <c r="A37" s="139" t="n"/>
      <c r="B37" s="2984" t="n">
        <v>13</v>
      </c>
      <c r="C37" s="8647" t="inlineStr">
        <is>
          <t>Depreciation and section 179 expense</t>
        </is>
      </c>
      <c r="D37" s="8647" t="n"/>
      <c r="E37" s="10292" t="n"/>
      <c r="F37" s="10292" t="n"/>
      <c r="G37" s="9663" t="n"/>
      <c r="H37" s="5216" t="n"/>
      <c r="I37" s="5272" t="n"/>
      <c r="J37" s="8374" t="n">
        <v>22</v>
      </c>
      <c r="K37" s="2826" t="n"/>
      <c r="L37" s="2769" t="inlineStr">
        <is>
          <t>Supplies (not included in Part III)</t>
        </is>
      </c>
      <c r="M37" s="2769" t="n"/>
      <c r="N37" s="2769" t="n"/>
      <c r="O37" s="2769" t="n"/>
      <c r="P37" s="2769" t="n"/>
      <c r="Q37" s="2769" t="n"/>
      <c r="R37" s="3016" t="inlineStr">
        <is>
          <t xml:space="preserve">.   .   .   .   . </t>
        </is>
      </c>
      <c r="S37" s="8230" t="n">
        <v>22</v>
      </c>
      <c r="T37" s="8156" t="n"/>
      <c r="U37" s="8007" t="n"/>
      <c r="V37" s="139" t="n"/>
      <c r="W37" s="2875" t="n"/>
      <c r="X37" s="5233" t="n"/>
    </row>
    <row r="38" ht="14.25" customHeight="1" s="7635">
      <c r="A38" s="139" t="n"/>
      <c r="B38" s="2984" t="n"/>
      <c r="C38" s="8647" t="inlineStr">
        <is>
          <t>deduction (not included in Part III</t>
        </is>
      </c>
      <c r="D38" s="8647" t="n"/>
      <c r="E38" s="10292" t="n"/>
      <c r="F38" s="10292" t="n"/>
      <c r="G38" s="9663" t="n"/>
      <c r="H38" s="5216" t="n"/>
      <c r="I38" s="5277" t="n"/>
      <c r="J38" s="8374" t="n">
        <v>23</v>
      </c>
      <c r="K38" s="2826" t="n"/>
      <c r="L38" s="2769" t="inlineStr">
        <is>
          <t>Taxes and licenses</t>
        </is>
      </c>
      <c r="M38" s="2769" t="n"/>
      <c r="N38" s="2769" t="n"/>
      <c r="O38" s="2769" t="n"/>
      <c r="P38" s="2769" t="n"/>
      <c r="Q38" s="2769" t="n"/>
      <c r="R38" s="3016" t="inlineStr">
        <is>
          <t xml:space="preserve">.   .   .   .   .   .   .   .   .   .   . </t>
        </is>
      </c>
      <c r="S38" s="8230" t="n">
        <v>23</v>
      </c>
      <c r="T38" s="8156" t="n"/>
      <c r="U38" s="8007" t="n"/>
      <c r="V38" s="139" t="n"/>
      <c r="W38" s="2875" t="n"/>
      <c r="X38" s="5233" t="n"/>
    </row>
    <row r="39" ht="14.25" customHeight="1" s="7635">
      <c r="A39" s="139" t="n"/>
      <c r="B39" s="2984" t="n"/>
      <c r="C39" s="8647" t="inlineStr">
        <is>
          <t>(see instructions)</t>
        </is>
      </c>
      <c r="D39" s="8647" t="n"/>
      <c r="E39" s="10292" t="n"/>
      <c r="F39" s="10292" t="n"/>
      <c r="G39" s="3016" t="inlineStr">
        <is>
          <t xml:space="preserve">.   .   .   .   .   .   .   .   .  </t>
        </is>
      </c>
      <c r="H39" s="2773">
        <f>B37</f>
        <v/>
      </c>
      <c r="I39" s="753" t="n"/>
      <c r="J39" s="8374" t="n">
        <v>24</v>
      </c>
      <c r="K39" s="2826" t="n"/>
      <c r="L39" s="2769" t="inlineStr">
        <is>
          <t>Travel and meals:</t>
        </is>
      </c>
      <c r="M39" s="2769" t="n"/>
      <c r="N39" s="2769" t="n"/>
      <c r="O39" s="2769" t="n"/>
      <c r="P39" s="2769" t="n"/>
      <c r="Q39" s="2769" t="n"/>
      <c r="R39" s="2769" t="n"/>
      <c r="S39" s="5273" t="n"/>
      <c r="T39" s="5274" t="n"/>
      <c r="U39" s="5275" t="n"/>
      <c r="V39" s="139" t="n"/>
      <c r="W39" s="2875" t="n"/>
      <c r="X39" s="5233" t="n"/>
    </row>
    <row r="40" ht="14.25" customHeight="1" s="7635">
      <c r="A40" s="139" t="n"/>
      <c r="B40" s="2984" t="n">
        <v>14</v>
      </c>
      <c r="C40" s="8647" t="inlineStr">
        <is>
          <t>Employee benefit programs</t>
        </is>
      </c>
      <c r="D40" s="8647" t="n"/>
      <c r="E40" s="10292" t="n"/>
      <c r="F40" s="10292" t="n"/>
      <c r="G40" s="9663" t="n"/>
      <c r="H40" s="5216" t="n"/>
      <c r="I40" s="5272" t="n"/>
      <c r="J40" s="8374" t="n"/>
      <c r="K40" s="2826" t="inlineStr">
        <is>
          <t>a</t>
        </is>
      </c>
      <c r="L40" s="2769" t="inlineStr">
        <is>
          <t>Travel</t>
        </is>
      </c>
      <c r="M40" s="2769" t="n"/>
      <c r="N40" s="2769" t="n"/>
      <c r="O40" s="2769" t="n"/>
      <c r="P40" s="2769" t="n"/>
      <c r="Q40" s="2769" t="n"/>
      <c r="R40" s="3016" t="inlineStr">
        <is>
          <t xml:space="preserve">.   .   .   .   .   .   .   .   .   .   .   .   .   .   .   .   .   . </t>
        </is>
      </c>
      <c r="S40" s="8230" t="inlineStr">
        <is>
          <t>24a</t>
        </is>
      </c>
      <c r="T40" s="8158" t="n"/>
      <c r="U40" s="11717" t="n"/>
      <c r="V40" s="139" t="n"/>
      <c r="W40" s="2875" t="n"/>
      <c r="X40" s="5233" t="n"/>
    </row>
    <row r="41" ht="14.25" customHeight="1" s="7635">
      <c r="A41" s="139" t="n"/>
      <c r="B41" s="2984" t="n"/>
      <c r="C41" s="8647" t="inlineStr">
        <is>
          <t>(other than on line 19)</t>
        </is>
      </c>
      <c r="D41" s="8647" t="n"/>
      <c r="E41" s="10292" t="n"/>
      <c r="F41" s="10292" t="n"/>
      <c r="G41" s="3016" t="inlineStr">
        <is>
          <t xml:space="preserve">.   .   .   .   .   .   .   .  </t>
        </is>
      </c>
      <c r="H41" s="2773">
        <f>B40</f>
        <v/>
      </c>
      <c r="I41" s="753" t="n"/>
      <c r="J41" s="8374" t="n"/>
      <c r="K41" s="2826" t="inlineStr">
        <is>
          <t>b</t>
        </is>
      </c>
      <c r="L41" s="2769" t="inlineStr">
        <is>
          <t>Deductible meals (see instructions)</t>
        </is>
      </c>
      <c r="M41" s="11602" t="n"/>
      <c r="N41" s="11602" t="n"/>
      <c r="O41" s="11602" t="n"/>
      <c r="P41" s="11602" t="n"/>
      <c r="Q41" s="11602" t="n"/>
      <c r="R41" s="3016" t="n"/>
      <c r="S41" s="8230" t="inlineStr">
        <is>
          <t>24b</t>
        </is>
      </c>
      <c r="T41" s="8158" t="n"/>
      <c r="U41" s="11717" t="n"/>
      <c r="V41" s="139" t="n"/>
      <c r="W41" s="2875" t="n"/>
      <c r="X41" s="5233" t="n"/>
    </row>
    <row r="42" ht="14.25" customHeight="1" s="7635">
      <c r="A42" s="139" t="n"/>
      <c r="B42" s="2984" t="n">
        <v>15</v>
      </c>
      <c r="C42" s="8651" t="inlineStr">
        <is>
          <t>Insurance (other than health)</t>
        </is>
      </c>
      <c r="D42" s="8647" t="n"/>
      <c r="E42" s="10292" t="n"/>
      <c r="F42" s="10292" t="n"/>
      <c r="G42" s="3016" t="inlineStr">
        <is>
          <t xml:space="preserve">.   .   .   .  </t>
        </is>
      </c>
      <c r="H42" s="2773">
        <f>B42</f>
        <v/>
      </c>
      <c r="I42" s="752" t="n"/>
      <c r="J42" s="8374" t="n">
        <v>25</v>
      </c>
      <c r="K42" s="2826" t="n"/>
      <c r="L42" s="2769" t="inlineStr">
        <is>
          <t>Utilities</t>
        </is>
      </c>
      <c r="M42" s="2769" t="n"/>
      <c r="N42" s="2769" t="n"/>
      <c r="O42" s="2769" t="n"/>
      <c r="P42" s="2769" t="n"/>
      <c r="Q42" s="2769" t="n"/>
      <c r="R42" s="3016" t="inlineStr">
        <is>
          <t xml:space="preserve">.   .   .   .   .   .   .   .   .   .   .   .   .   .   .   .   .   . </t>
        </is>
      </c>
      <c r="S42" s="8230" t="n">
        <v>25</v>
      </c>
      <c r="T42" s="8156" t="n"/>
      <c r="U42" s="8007" t="n"/>
      <c r="V42" s="139" t="n"/>
      <c r="W42" s="2875" t="n"/>
      <c r="X42" s="5233" t="n"/>
    </row>
    <row r="43" ht="14.25" customHeight="1" s="7635">
      <c r="A43" s="139" t="n"/>
      <c r="B43" s="2984" t="n">
        <v>16</v>
      </c>
      <c r="C43" s="8647" t="inlineStr">
        <is>
          <t>Interest:</t>
        </is>
      </c>
      <c r="D43" s="8647" t="n"/>
      <c r="E43" s="10292" t="n"/>
      <c r="F43" s="10292" t="n"/>
      <c r="G43" s="9663" t="n"/>
      <c r="H43" s="5273" t="n"/>
      <c r="I43" s="5272" t="n"/>
      <c r="J43" s="8374" t="n">
        <v>26</v>
      </c>
      <c r="K43" s="2826" t="n"/>
      <c r="L43" s="2769" t="inlineStr">
        <is>
          <t>Wages (less employment credits)</t>
        </is>
      </c>
      <c r="M43" s="2769" t="n"/>
      <c r="N43" s="2769" t="n"/>
      <c r="O43" s="2769" t="n"/>
      <c r="P43" s="2769" t="n"/>
      <c r="Q43" s="2769" t="n"/>
      <c r="R43" s="3016" t="inlineStr">
        <is>
          <t xml:space="preserve">.   .   .   .   . </t>
        </is>
      </c>
      <c r="S43" s="8230" t="n">
        <v>26</v>
      </c>
      <c r="T43" s="8156" t="n"/>
      <c r="U43" s="8007" t="n"/>
      <c r="V43" s="139" t="n"/>
      <c r="W43" s="2875" t="n"/>
      <c r="X43" s="5233" t="n"/>
    </row>
    <row r="44" ht="14.25" customHeight="1" s="7635">
      <c r="A44" s="139" t="n"/>
      <c r="B44" s="8374" t="inlineStr">
        <is>
          <t>a</t>
        </is>
      </c>
      <c r="C44" s="8647" t="inlineStr">
        <is>
          <t>Mortgage (paid to banks, etc.)   .   .   .   .   .   .</t>
        </is>
      </c>
      <c r="D44" s="8647" t="n"/>
      <c r="E44" s="10292" t="n"/>
      <c r="F44" s="10292" t="n"/>
      <c r="G44" s="9663" t="n"/>
      <c r="H44" s="2773" t="inlineStr">
        <is>
          <t>16a</t>
        </is>
      </c>
      <c r="I44" s="753" t="n"/>
      <c r="J44" s="5278" t="n">
        <v>27</v>
      </c>
      <c r="K44" s="2826" t="inlineStr">
        <is>
          <t>a</t>
        </is>
      </c>
      <c r="L44" s="2769" t="inlineStr">
        <is>
          <t>Energy efficient commercial bldgs</t>
        </is>
      </c>
      <c r="M44" s="2769" t="n"/>
      <c r="N44" s="2769" t="n"/>
      <c r="O44" s="2769" t="n"/>
      <c r="P44" s="2769" t="n"/>
      <c r="Q44" s="2769" t="n"/>
      <c r="R44" s="3016" t="n"/>
      <c r="S44" s="2805" t="n"/>
      <c r="T44" s="6468" t="n"/>
      <c r="U44" s="6469" t="n"/>
      <c r="V44" s="139" t="n"/>
      <c r="W44" s="2875" t="n"/>
      <c r="X44" s="5233" t="n"/>
    </row>
    <row r="45" ht="14.25" customHeight="1" s="7635">
      <c r="A45" s="139" t="n"/>
      <c r="B45" s="8374" t="inlineStr">
        <is>
          <t>b</t>
        </is>
      </c>
      <c r="C45" s="8647" t="inlineStr">
        <is>
          <t>Other .   .   .   .   .   .   .   .   .   .   .   .   .   .   .   .</t>
        </is>
      </c>
      <c r="D45" s="8647" t="n"/>
      <c r="E45" s="10292" t="n"/>
      <c r="F45" s="10292" t="n"/>
      <c r="G45" s="9663" t="n"/>
      <c r="H45" s="2773" t="inlineStr">
        <is>
          <t>16b</t>
        </is>
      </c>
      <c r="I45" s="754" t="n"/>
      <c r="J45" s="8374" t="n"/>
      <c r="K45" s="2826" t="n"/>
      <c r="L45" s="8647" t="inlineStr">
        <is>
          <t>deduction (attach Form 7205)</t>
        </is>
      </c>
      <c r="M45" s="2769" t="n"/>
      <c r="N45" s="2769" t="n"/>
      <c r="O45" s="2769" t="n"/>
      <c r="P45" s="2769" t="n"/>
      <c r="Q45" s="2769" t="n"/>
      <c r="R45" s="5286" t="inlineStr">
        <is>
          <t xml:space="preserve">.   .   .   .   .   . </t>
        </is>
      </c>
      <c r="S45" s="2773" t="inlineStr">
        <is>
          <t>27a</t>
        </is>
      </c>
      <c r="T45" s="8158" t="n"/>
      <c r="U45" s="11717" t="n"/>
      <c r="V45" s="139" t="n"/>
      <c r="W45" s="2875" t="n"/>
      <c r="X45" s="5233" t="n"/>
    </row>
    <row r="46" ht="14.25" customHeight="1" s="7635" thickBot="1">
      <c r="A46" s="139" t="n"/>
      <c r="B46" s="3667" t="n">
        <v>17</v>
      </c>
      <c r="C46" s="5205" t="inlineStr">
        <is>
          <t>Legal and professional services</t>
        </is>
      </c>
      <c r="D46" s="5205" t="n"/>
      <c r="E46" s="5279" t="n"/>
      <c r="F46" s="5279" t="n"/>
      <c r="G46" s="5280" t="n"/>
      <c r="H46" s="3742" t="n">
        <v>17</v>
      </c>
      <c r="I46" s="755" t="n"/>
      <c r="J46" s="5281" t="n"/>
      <c r="K46" s="5282" t="inlineStr">
        <is>
          <t>b</t>
        </is>
      </c>
      <c r="L46" s="5205" t="inlineStr">
        <is>
          <t>Other expenses (from line 48)</t>
        </is>
      </c>
      <c r="M46" s="5205" t="n"/>
      <c r="N46" s="5205" t="n"/>
      <c r="O46" s="5205" t="n"/>
      <c r="P46" s="5205" t="n"/>
      <c r="Q46" s="5205" t="n"/>
      <c r="R46" s="5283" t="inlineStr">
        <is>
          <t xml:space="preserve">.   .   .   .   .   . </t>
        </is>
      </c>
      <c r="S46" s="3742" t="inlineStr">
        <is>
          <t>27b</t>
        </is>
      </c>
      <c r="T46" s="8200">
        <f>IF(W46&lt;&gt;"",ROUND(W46,0),T114)</f>
        <v/>
      </c>
      <c r="U46" s="11811" t="n"/>
      <c r="V46" s="139" t="n"/>
      <c r="W46" s="949" t="n"/>
      <c r="X46" s="5233" t="n"/>
    </row>
    <row r="47" ht="14.25" customHeight="1" s="7635">
      <c r="A47" s="139" t="n"/>
      <c r="B47" s="2984" t="n">
        <v>28</v>
      </c>
      <c r="C47" s="5268" t="inlineStr">
        <is>
          <t>Total expenses before expenses for business use of home.  Add lines 8 through 27b</t>
        </is>
      </c>
      <c r="D47" s="5256" t="n"/>
      <c r="E47" s="5267" t="n"/>
      <c r="F47" s="8223" t="n"/>
      <c r="G47" s="8223" t="n"/>
      <c r="H47" s="8223" t="n"/>
      <c r="I47" s="5267" t="n"/>
      <c r="J47" s="5267" t="n"/>
      <c r="K47" s="5267" t="n"/>
      <c r="L47" s="5267" t="n"/>
      <c r="M47" s="5267" t="n"/>
      <c r="N47" s="8223" t="n"/>
      <c r="O47" s="8223" t="n"/>
      <c r="P47" s="5267" t="n"/>
      <c r="Q47" s="8223" t="n"/>
      <c r="R47" s="5265" t="inlineStr">
        <is>
          <t xml:space="preserve">.   .   .   .   .   .   .   .   .   .   .      </t>
        </is>
      </c>
      <c r="S47" s="8230" t="n">
        <v>28</v>
      </c>
      <c r="T47" s="8176">
        <f>IF(W47&lt;&gt;"",ROUND(W47,0),IF(SUM(I31:I46,T31:T46)=0,"",ROUND(SUM(I31:I46,T31:T46),0)))</f>
        <v/>
      </c>
      <c r="U47" s="7637" t="n"/>
      <c r="V47" s="139" t="n"/>
      <c r="W47" s="949" t="n"/>
      <c r="X47" s="5233" t="n"/>
      <c r="Y47" s="7834">
        <f>IF(T47="",0,T47)</f>
        <v/>
      </c>
    </row>
    <row r="48" ht="15" customHeight="1" s="7635">
      <c r="A48" s="139" t="n"/>
      <c r="B48" s="2984" t="n">
        <v>29</v>
      </c>
      <c r="C48" s="5266" t="inlineStr">
        <is>
          <t>Tentative profit (loss).  Subtract line 28 from line 7</t>
        </is>
      </c>
      <c r="D48" s="5267" t="n"/>
      <c r="E48" s="5267" t="n"/>
      <c r="F48" s="8223" t="n"/>
      <c r="G48" s="8223" t="n"/>
      <c r="H48" s="8223" t="n"/>
      <c r="I48" s="5267" t="n"/>
      <c r="J48" s="5267" t="n"/>
      <c r="K48" s="5267" t="n"/>
      <c r="L48" s="5267" t="n"/>
      <c r="M48" s="5267" t="n"/>
      <c r="N48" s="8223" t="n"/>
      <c r="O48" s="8223" t="n"/>
      <c r="P48" s="5267" t="n"/>
      <c r="Q48" s="8223" t="n"/>
      <c r="R48" s="5265" t="inlineStr">
        <is>
          <t xml:space="preserve">.   .   .   .   .   .   .   .   .   .   .   .   .   .   .   .   .   .   .   .   .   .   .   .   .   .  </t>
        </is>
      </c>
      <c r="S48" s="8230" t="n">
        <v>29</v>
      </c>
      <c r="T48" s="8176">
        <f>IF(AND(T29="",T47=""),"",SUM(T29,-Y47))</f>
        <v/>
      </c>
      <c r="U48" s="7637" t="n"/>
      <c r="V48" s="139" t="n"/>
      <c r="W48" s="2875" t="n"/>
      <c r="X48" s="5233" t="n"/>
    </row>
    <row r="49" ht="12.75" customHeight="1" s="7635">
      <c r="A49" s="139" t="n"/>
      <c r="B49" s="2984" t="n">
        <v>30</v>
      </c>
      <c r="C49" s="5266" t="inlineStr">
        <is>
          <t>Expenses for business use of your home. Do not report these expenses elsewhere. Attach Form 8829</t>
        </is>
      </c>
      <c r="D49" s="5267" t="n"/>
      <c r="E49" s="5267" t="n"/>
      <c r="F49" s="8223" t="n"/>
      <c r="G49" s="8223" t="n"/>
      <c r="H49" s="8223" t="n"/>
      <c r="I49" s="5267" t="n"/>
      <c r="J49" s="5267" t="n"/>
      <c r="K49" s="5267" t="n"/>
      <c r="L49" s="5267" t="n"/>
      <c r="M49" s="5267" t="n"/>
      <c r="N49" s="8223" t="n"/>
      <c r="O49" s="8223" t="n"/>
      <c r="P49" s="5267" t="n"/>
      <c r="Q49" s="8223" t="n"/>
      <c r="R49" s="8223" t="n"/>
      <c r="S49" s="3688" t="n"/>
      <c r="T49" s="8160">
        <f>IF(AND(V49="",O52),"The number in",IF(AND(V49="",Q52),"The area you use",""))</f>
        <v/>
      </c>
      <c r="U49" s="7839" t="n"/>
      <c r="V49" s="805" t="n"/>
      <c r="W49" s="2875">
        <f>IF(Y50,"Hide note.","")</f>
        <v/>
      </c>
      <c r="X49" s="5233" t="n"/>
    </row>
    <row r="50" ht="14.25" customHeight="1" s="7635">
      <c r="A50" s="139" t="n"/>
      <c r="B50" s="2984" t="n"/>
      <c r="C50" s="5266" t="inlineStr">
        <is>
          <t>unless using the simplified method (see instructions).</t>
        </is>
      </c>
      <c r="D50" s="5267" t="n"/>
      <c r="E50" s="5267" t="n"/>
      <c r="F50" s="8223" t="n"/>
      <c r="G50" s="8223" t="n"/>
      <c r="H50" s="8223" t="n"/>
      <c r="I50" s="5267" t="n"/>
      <c r="J50" s="5267" t="n"/>
      <c r="K50" s="5267" t="n"/>
      <c r="L50" s="2769" t="n"/>
      <c r="M50" s="5267" t="n"/>
      <c r="N50" s="8223" t="n"/>
      <c r="O50" s="8223" t="n"/>
      <c r="P50" s="5267" t="n"/>
      <c r="Q50" s="8166" t="n">
        <v>300</v>
      </c>
      <c r="R50" s="7636" t="n"/>
      <c r="S50" s="5284" t="n"/>
      <c r="T50" s="8162">
        <f>IF(AND(V49="",O52),"line 30a must be",IF(AND(V49="",Q52),"to figure your",""))</f>
        <v/>
      </c>
      <c r="V50" s="139" t="n"/>
      <c r="W50" s="2875" t="n"/>
      <c r="X50" s="5233" t="n"/>
      <c r="Y50" s="7834">
        <f>OR(O52,Q52)</f>
        <v/>
      </c>
      <c r="Z50" s="7834" t="n"/>
      <c r="AA50" s="7834" t="n"/>
      <c r="AB50" s="7834" t="n"/>
    </row>
    <row r="51" ht="14.25" customHeight="1" s="7635">
      <c r="A51" s="139" t="n"/>
      <c r="B51" s="2984" t="n"/>
      <c r="C51" s="5266" t="inlineStr">
        <is>
          <t>Simplified method filers only: enter the total square footage of: (a) your home:</t>
        </is>
      </c>
      <c r="D51" s="5267" t="n"/>
      <c r="E51" s="5267" t="n"/>
      <c r="F51" s="8223" t="n"/>
      <c r="G51" s="8223" t="n"/>
      <c r="H51" s="8223" t="n"/>
      <c r="I51" s="5267" t="n"/>
      <c r="J51" s="5267" t="n"/>
      <c r="K51" s="5267" t="n"/>
      <c r="L51" s="5267" t="n"/>
      <c r="M51" s="8222" t="n"/>
      <c r="N51" s="11717" t="n"/>
      <c r="O51" s="11717" t="n"/>
      <c r="P51" s="11717" t="n"/>
      <c r="Q51" s="11717" t="n"/>
      <c r="R51" s="8223" t="n"/>
      <c r="S51" s="5284" t="n"/>
      <c r="T51" s="8162">
        <f>IF(AND(V49="",O52),"larger than the",IF(AND(V49="",Q52),"deduction, cannot",""))</f>
        <v/>
      </c>
      <c r="V51" s="139" t="n"/>
      <c r="W51" s="2875" t="n"/>
      <c r="X51" s="5233" t="n"/>
      <c r="Y51" s="5285" t="inlineStr">
        <is>
          <t>Simplified Method Worksheet  (See instructions for Schedule C, line 30.)</t>
        </is>
      </c>
      <c r="Z51" s="406" t="n"/>
      <c r="AA51" s="406" t="n"/>
      <c r="AB51" s="407" t="n"/>
    </row>
    <row r="52" ht="14.25" customHeight="1" s="7635">
      <c r="A52" s="139" t="n"/>
      <c r="B52" s="2984" t="n"/>
      <c r="C52" s="5266" t="inlineStr">
        <is>
          <t>and (b) the part of your home used for business:</t>
        </is>
      </c>
      <c r="D52" s="5267" t="n"/>
      <c r="E52" s="5267" t="n"/>
      <c r="F52" s="8223" t="n"/>
      <c r="G52" s="8223" t="n"/>
      <c r="H52" s="5267" t="n"/>
      <c r="I52" s="8223" t="n"/>
      <c r="J52" s="8222" t="n"/>
      <c r="K52" s="11717" t="n"/>
      <c r="L52" s="11717" t="n"/>
      <c r="M52" s="11717" t="n"/>
      <c r="N52" s="5267" t="n"/>
      <c r="O52" s="8165">
        <f>J52&gt;M51</f>
        <v/>
      </c>
      <c r="Q52" s="8166">
        <f>J52&gt;Q50</f>
        <v/>
      </c>
      <c r="R52" s="7636" t="n"/>
      <c r="S52" s="5284" t="n"/>
      <c r="T52" s="8162">
        <f>IF(AND(V49="",O52),"one in line 30b.",IF(AND(V49="",Q52),"exceed "&amp;TEXT(Q50,"0")&amp;" sq. ft.",""))</f>
        <v/>
      </c>
      <c r="V52" s="139" t="n"/>
      <c r="W52" s="2875" t="n"/>
      <c r="X52" s="5233" t="n"/>
      <c r="Y52" s="1400" t="inlineStr">
        <is>
          <t>1.</t>
        </is>
      </c>
      <c r="Z52" s="1401" t="inlineStr">
        <is>
          <t>Gross income limitation</t>
        </is>
      </c>
      <c r="AA52" s="11602" t="n"/>
      <c r="AB52" s="409" t="n"/>
    </row>
    <row r="53" ht="14.25" customHeight="1" s="7635">
      <c r="A53" s="139" t="n"/>
      <c r="B53" s="2984" t="n"/>
      <c r="C53" s="5266" t="inlineStr">
        <is>
          <t>Use the Simplified Method Worksheet in the instructions to figure the amount to enter on line 30</t>
        </is>
      </c>
      <c r="D53" s="5267" t="n"/>
      <c r="E53" s="5267" t="n"/>
      <c r="F53" s="8223" t="n"/>
      <c r="G53" s="8223" t="n"/>
      <c r="H53" s="8223" t="n"/>
      <c r="I53" s="5267" t="n"/>
      <c r="J53" s="5267" t="n"/>
      <c r="K53" s="5267" t="n"/>
      <c r="L53" s="5267" t="n"/>
      <c r="M53" s="5267" t="n"/>
      <c r="N53" s="8223" t="n"/>
      <c r="O53" s="8223" t="n"/>
      <c r="P53" s="5267" t="n"/>
      <c r="Q53" s="8223" t="n"/>
      <c r="R53" s="5286" t="inlineStr">
        <is>
          <t xml:space="preserve">  .   .   .   .   .   .   .   . </t>
        </is>
      </c>
      <c r="S53" s="8230" t="n">
        <v>30</v>
      </c>
      <c r="T53" s="8196">
        <f>IF(W53&lt;&gt;"",ROUND(W53,0),IF(F8829_SchC_1,F8829_Deduction,IF(OR(AND(M51="",J52=""),Y50),"",AA65)))</f>
        <v/>
      </c>
      <c r="U53" s="7637" t="n"/>
      <c r="V53" s="139" t="n"/>
      <c r="W53" s="949" t="n"/>
      <c r="X53" s="5233" t="n"/>
      <c r="Y53" s="1061" t="inlineStr">
        <is>
          <t>A.</t>
        </is>
      </c>
      <c r="Z53" s="1061" t="inlineStr">
        <is>
          <t>Sch. C, Line 29</t>
        </is>
      </c>
      <c r="AA53" s="7842">
        <f>SchC_TentativeProfit1</f>
        <v/>
      </c>
      <c r="AB53" s="409" t="n"/>
    </row>
    <row r="54" ht="14.25" customHeight="1" s="7635">
      <c r="A54" s="139" t="n"/>
      <c r="B54" s="2984" t="n">
        <v>31</v>
      </c>
      <c r="C54" s="3097" t="inlineStr">
        <is>
          <t>Net profit or (loss).  Subtract line 30 from line 29.</t>
        </is>
      </c>
      <c r="D54" s="2754" t="n"/>
      <c r="E54" s="8665" t="n"/>
      <c r="F54" s="10292" t="n"/>
      <c r="G54" s="10292" t="n"/>
      <c r="H54" s="9663" t="n"/>
      <c r="I54" s="5220" t="n"/>
      <c r="J54" s="5220" t="n"/>
      <c r="K54" s="5220" t="n"/>
      <c r="L54" s="5220" t="n"/>
      <c r="M54" s="5220" t="n"/>
      <c r="N54" s="9663" t="n"/>
      <c r="O54" s="9663" t="n"/>
      <c r="P54" s="5267" t="n"/>
      <c r="Q54" s="10292" t="n"/>
      <c r="R54" s="10292" t="n"/>
      <c r="S54" s="5287" t="n"/>
      <c r="T54" s="5288" t="n"/>
      <c r="U54" s="5289" t="n"/>
      <c r="V54" s="139" t="n"/>
      <c r="W54" s="2875" t="n"/>
      <c r="X54" s="5233" t="n"/>
      <c r="Y54" s="1061" t="inlineStr">
        <is>
          <t>B.</t>
        </is>
      </c>
      <c r="Z54" s="1061" t="inlineStr">
        <is>
          <t>Use of home gain (F8949)</t>
        </is>
      </c>
      <c r="AA54" s="7070" t="n"/>
      <c r="AB54" s="409" t="n"/>
    </row>
    <row r="55" ht="12.75" customHeight="1" s="7635">
      <c r="A55" s="139" t="n"/>
      <c r="B55" s="2984" t="n"/>
      <c r="C55" s="8651" t="inlineStr">
        <is>
          <t>• If a profit, enter on both Schedule 1 (Form 1040), line 3, and on Schedule SE, line 2.  (If you</t>
        </is>
      </c>
      <c r="D55" s="5290" t="n"/>
      <c r="E55" s="8665" t="n"/>
      <c r="F55" s="10292" t="n"/>
      <c r="G55" s="10292" t="n"/>
      <c r="H55" s="9663" t="n"/>
      <c r="I55" s="5267" t="n"/>
      <c r="J55" s="5267" t="n"/>
      <c r="K55" s="5267" t="n"/>
      <c r="L55" s="5220" t="n"/>
      <c r="M55" s="5267" t="n"/>
      <c r="N55" s="9663" t="n"/>
      <c r="O55" s="9663" t="n"/>
      <c r="P55" s="5267" t="n"/>
      <c r="Q55" s="10292" t="n"/>
      <c r="R55" s="10292" t="n"/>
      <c r="S55" s="2805" t="n"/>
      <c r="T55" s="5291" t="n"/>
      <c r="U55" s="248" t="n"/>
      <c r="V55" s="139" t="n"/>
      <c r="W55" s="2875" t="n"/>
      <c r="X55" s="5233" t="n"/>
      <c r="Y55" s="1061" t="inlineStr">
        <is>
          <t>C.</t>
        </is>
      </c>
      <c r="Z55" s="1061" t="inlineStr">
        <is>
          <t>Add lines A and B</t>
        </is>
      </c>
      <c r="AA55" s="7058">
        <f>SUM(AA53,AA54)</f>
        <v/>
      </c>
      <c r="AB55" s="409" t="n"/>
    </row>
    <row r="56" ht="12.75" customHeight="1" s="7635">
      <c r="A56" s="139" t="n"/>
      <c r="B56" s="8374" t="n"/>
      <c r="C56" s="8651" t="inlineStr">
        <is>
          <t>checked the box on line 1, see instructions). Estates and trusts, enter on Form 1041, line 3.</t>
        </is>
      </c>
      <c r="D56" s="8665" t="n"/>
      <c r="E56" s="8665" t="n"/>
      <c r="F56" s="10292" t="n"/>
      <c r="G56" s="10292" t="n"/>
      <c r="H56" s="10292" t="n"/>
      <c r="I56" s="8665" t="n"/>
      <c r="J56" s="8665" t="n"/>
      <c r="K56" s="8665" t="n"/>
      <c r="L56" s="5220" t="n"/>
      <c r="M56" s="8665" t="n"/>
      <c r="N56" s="10292" t="n"/>
      <c r="O56" s="10292" t="n"/>
      <c r="P56" s="5267" t="n"/>
      <c r="Q56" s="10292" t="n"/>
      <c r="R56" s="10292" t="n"/>
      <c r="S56" s="8230" t="n">
        <v>31</v>
      </c>
      <c r="T56" s="8176">
        <f>IF(W56&lt;&gt;"",ROUND(W56,0),IF(AND(Y50,V49&lt;&gt;"",W53=""),SchC_TentativeProfit1,IF(T53="",T48,ROUND(SUM(T48,-T53),0))))</f>
        <v/>
      </c>
      <c r="U56" s="7637" t="n"/>
      <c r="V56" s="139" t="n"/>
      <c r="W56" s="949" t="n"/>
      <c r="X56" s="5233" t="n"/>
      <c r="Y56" s="1061" t="inlineStr">
        <is>
          <t>D.</t>
        </is>
      </c>
      <c r="Z56" s="1061" t="inlineStr">
        <is>
          <t>F8949 losses allocable to the business</t>
        </is>
      </c>
      <c r="AB56" s="409" t="n"/>
    </row>
    <row r="57" ht="12.75" customHeight="1" s="7635">
      <c r="A57" s="139" t="n"/>
      <c r="B57" s="8374" t="n"/>
      <c r="C57" s="8651" t="inlineStr">
        <is>
          <t>• If a loss, you must go to line 32.</t>
        </is>
      </c>
      <c r="D57" s="5290" t="n"/>
      <c r="E57" s="8665" t="n"/>
      <c r="F57" s="10292" t="n"/>
      <c r="G57" s="10292" t="n"/>
      <c r="H57" s="10292" t="n"/>
      <c r="I57" s="8665" t="n"/>
      <c r="J57" s="8665" t="n"/>
      <c r="K57" s="8665" t="n"/>
      <c r="L57" s="5220" t="n"/>
      <c r="M57" s="8665" t="n"/>
      <c r="N57" s="10292" t="n"/>
      <c r="O57" s="10292" t="n"/>
      <c r="P57" s="5267" t="n"/>
      <c r="Q57" s="10292" t="n"/>
      <c r="R57" s="5292" t="n"/>
      <c r="S57" s="8318" t="n"/>
      <c r="T57" s="3004" t="n"/>
      <c r="U57" s="3004" t="n"/>
      <c r="V57" s="139" t="n"/>
      <c r="W57" s="2875" t="n"/>
      <c r="X57" s="5233" t="n"/>
      <c r="Y57" s="1061" t="n"/>
      <c r="Z57" s="1061" t="inlineStr">
        <is>
          <t>but not to business use of home</t>
        </is>
      </c>
      <c r="AA57" s="1403" t="n"/>
      <c r="AB57" s="567" t="inlineStr">
        <is>
          <t>(as positive number)</t>
        </is>
      </c>
    </row>
    <row r="58" ht="12.75" customHeight="1" s="7635" thickBot="1">
      <c r="A58" s="139" t="n"/>
      <c r="B58" s="2984" t="n">
        <v>32</v>
      </c>
      <c r="C58" s="8647" t="inlineStr">
        <is>
          <t>If you have a loss, check the box that describes your investment in this activity. See instructions.</t>
        </is>
      </c>
      <c r="D58" s="8647" t="n"/>
      <c r="E58" s="8647" t="n"/>
      <c r="F58" s="5187" t="n"/>
      <c r="G58" s="5187" t="n"/>
      <c r="H58" s="5187" t="n"/>
      <c r="I58" s="8647" t="n"/>
      <c r="J58" s="8647" t="n"/>
      <c r="K58" s="8647" t="n"/>
      <c r="L58" s="3624" t="n"/>
      <c r="M58" s="8647" t="n"/>
      <c r="N58" s="5187" t="n"/>
      <c r="O58" s="5187" t="n"/>
      <c r="P58" s="5267" t="n"/>
      <c r="Q58" s="10292" t="n"/>
      <c r="R58" s="5292" t="n"/>
      <c r="S58" s="8318" t="n"/>
      <c r="T58" s="3004" t="n"/>
      <c r="U58" s="3004" t="n"/>
      <c r="V58" s="139" t="n"/>
      <c r="W58" s="5293">
        <f>IF(Y68,"Check only",IF(Y70,"Check ONLY",""))</f>
        <v/>
      </c>
      <c r="X58" s="5233" t="n"/>
      <c r="Y58" s="1061" t="inlineStr">
        <is>
          <t>E.</t>
        </is>
      </c>
      <c r="Z58" s="1061" t="inlineStr">
        <is>
          <t>Subtract line D from line C.</t>
        </is>
      </c>
      <c r="AA58" s="7058">
        <f>IF(AA57="",AA55,SUM(AA55,-AA57))</f>
        <v/>
      </c>
      <c r="AB58" s="409" t="n"/>
    </row>
    <row r="59" ht="12.75" customHeight="1" s="7635" thickBot="1">
      <c r="A59" s="139" t="n"/>
      <c r="B59" s="8374" t="n"/>
      <c r="C59" s="8647" t="inlineStr">
        <is>
          <t>• If you checked 32a, enter the loss on both Schedule 1 (Form 1040), line 3, and on Schedule</t>
        </is>
      </c>
      <c r="D59" s="5290" t="n"/>
      <c r="E59" s="8665" t="n"/>
      <c r="F59" s="10292" t="n"/>
      <c r="G59" s="10292" t="n"/>
      <c r="H59" s="10292" t="n"/>
      <c r="I59" s="8665" t="n"/>
      <c r="J59" s="8665" t="n"/>
      <c r="K59" s="8665" t="n"/>
      <c r="L59" s="5220" t="n"/>
      <c r="M59" s="8665" t="n"/>
      <c r="N59" s="10292" t="n"/>
      <c r="O59" s="10292" t="n"/>
      <c r="P59" s="5267" t="n"/>
      <c r="Q59" s="3016" t="inlineStr">
        <is>
          <t xml:space="preserve">32a </t>
        </is>
      </c>
      <c r="R59" s="282" t="n"/>
      <c r="S59" s="2771" t="inlineStr">
        <is>
          <t>All investment at risk.</t>
        </is>
      </c>
      <c r="T59" s="5294" t="n"/>
      <c r="U59" s="5294" t="n"/>
      <c r="V59" s="139" t="n"/>
      <c r="W59" s="5293">
        <f>IF(Y68,"if Line 31",IF(Y70,"one.",""))</f>
        <v/>
      </c>
      <c r="X59" s="5233" t="n"/>
      <c r="Y59" s="1400" t="inlineStr">
        <is>
          <t>2.</t>
        </is>
      </c>
      <c r="Z59" s="1401" t="inlineStr">
        <is>
          <t>Allowable square footage.</t>
        </is>
      </c>
      <c r="AA59" s="5295">
        <f>IF(J52="",0,MIN(Q50,J52))</f>
        <v/>
      </c>
      <c r="AB59" s="567">
        <f>"(&lt;= "&amp;Q50&amp;" sq. ft.)"</f>
        <v/>
      </c>
    </row>
    <row r="60" ht="12.75" customHeight="1" s="7635" thickBot="1">
      <c r="A60" s="139" t="n"/>
      <c r="B60" s="8374" t="n"/>
      <c r="C60" s="8647" t="inlineStr">
        <is>
          <t>SE, line 2. (If you checked the box on line 1, see the line 31 instructions). Estates and trusts, enter on</t>
        </is>
      </c>
      <c r="D60" s="8665" t="n"/>
      <c r="E60" s="8665" t="n"/>
      <c r="F60" s="10292" t="n"/>
      <c r="G60" s="10292" t="n"/>
      <c r="H60" s="10292" t="n"/>
      <c r="I60" s="8665" t="n"/>
      <c r="J60" s="8665" t="n"/>
      <c r="K60" s="8665" t="n"/>
      <c r="L60" s="5220" t="n"/>
      <c r="M60" s="8665" t="n"/>
      <c r="N60" s="10292" t="n"/>
      <c r="O60" s="10292" t="n"/>
      <c r="P60" s="5267" t="n"/>
      <c r="Q60" s="3016" t="inlineStr">
        <is>
          <t xml:space="preserve">32b </t>
        </is>
      </c>
      <c r="R60" s="282" t="n"/>
      <c r="S60" s="11264" t="inlineStr">
        <is>
          <t>Some investment is not</t>
        </is>
      </c>
      <c r="T60" s="3004" t="n"/>
      <c r="U60" s="3004" t="n"/>
      <c r="V60" s="139" t="n"/>
      <c r="W60" s="5293">
        <f>IF(Y68,"is a loss.","")</f>
        <v/>
      </c>
      <c r="X60" s="5233" t="n"/>
      <c r="Y60" s="1400" t="inlineStr">
        <is>
          <t>3.</t>
        </is>
      </c>
      <c r="Z60" s="1401" t="inlineStr">
        <is>
          <t>Simplified method amount</t>
        </is>
      </c>
      <c r="AB60" s="409" t="n"/>
    </row>
    <row r="61" ht="13.5" customHeight="1" s="7635">
      <c r="A61" s="139" t="n"/>
      <c r="B61" s="8374" t="n"/>
      <c r="C61" s="8647" t="inlineStr">
        <is>
          <t>Form 1041, line 3.</t>
        </is>
      </c>
      <c r="D61" s="8665" t="n"/>
      <c r="E61" s="8665" t="n"/>
      <c r="F61" s="10292" t="n"/>
      <c r="G61" s="10292" t="n"/>
      <c r="H61" s="10292" t="n"/>
      <c r="I61" s="8665" t="n"/>
      <c r="J61" s="8665" t="n"/>
      <c r="K61" s="8665" t="n"/>
      <c r="L61" s="5220" t="n"/>
      <c r="M61" s="8665" t="n"/>
      <c r="N61" s="10292" t="n"/>
      <c r="O61" s="10292" t="n"/>
      <c r="P61" s="5267" t="n"/>
      <c r="Q61" s="9538" t="n"/>
      <c r="R61" s="3004" t="n"/>
      <c r="S61" s="5296" t="inlineStr">
        <is>
          <t>at risk.</t>
        </is>
      </c>
      <c r="T61" s="3004" t="n"/>
      <c r="U61" s="3004" t="n"/>
      <c r="V61" s="139" t="n"/>
      <c r="W61" s="5293" t="n"/>
      <c r="X61" s="5233" t="n"/>
      <c r="Y61" s="1061" t="inlineStr">
        <is>
          <t>a.</t>
        </is>
      </c>
      <c r="Z61" s="1061" t="inlineStr">
        <is>
          <t>Maximum allowable amount</t>
        </is>
      </c>
      <c r="AA61" s="12075" t="n">
        <v>5</v>
      </c>
      <c r="AB61" s="409" t="n"/>
    </row>
    <row r="62" ht="14.25" customHeight="1" s="7635" thickBot="1">
      <c r="A62" s="139" t="n"/>
      <c r="B62" s="3741" t="n"/>
      <c r="C62" s="5298" t="inlineStr">
        <is>
          <t>• If you checked 32b, you must attach Form 6198. Your loss may be limited.</t>
        </is>
      </c>
      <c r="D62" s="5299" t="n"/>
      <c r="E62" s="3669" t="n"/>
      <c r="F62" s="5279" t="n"/>
      <c r="G62" s="5279" t="n"/>
      <c r="H62" s="5279" t="n"/>
      <c r="I62" s="3669" t="n"/>
      <c r="J62" s="3669" t="n"/>
      <c r="K62" s="3669" t="n"/>
      <c r="L62" s="5300" t="n"/>
      <c r="M62" s="3669" t="n"/>
      <c r="N62" s="5279" t="n"/>
      <c r="O62" s="5279" t="n"/>
      <c r="P62" s="5301" t="n"/>
      <c r="Q62" s="5279" t="n"/>
      <c r="R62" s="5279" t="n"/>
      <c r="S62" s="5302" t="n"/>
      <c r="T62" s="3081" t="n"/>
      <c r="U62" s="3081" t="n"/>
      <c r="V62" s="139" t="n"/>
      <c r="W62" s="2875" t="n"/>
      <c r="X62" s="5233" t="n"/>
      <c r="Y62" s="1061" t="inlineStr">
        <is>
          <t>b.</t>
        </is>
      </c>
      <c r="Z62" s="1061" t="inlineStr">
        <is>
          <t>Daycare decimal (See instr.)</t>
        </is>
      </c>
      <c r="AA62" s="1404" t="n">
        <v>1</v>
      </c>
      <c r="AB62" s="567" t="inlineStr">
        <is>
          <t>Enter as decimal.</t>
        </is>
      </c>
    </row>
    <row r="63" ht="14.25" customHeight="1" s="7635">
      <c r="A63" s="139" t="n"/>
      <c r="B63" s="5303" t="inlineStr">
        <is>
          <t>For Paperwork Reduction Act Notice, see the separate instructions.</t>
        </is>
      </c>
      <c r="C63" s="4246" t="n"/>
      <c r="D63" s="4246" t="n"/>
      <c r="E63" s="4246" t="n"/>
      <c r="F63" s="5304" t="n"/>
      <c r="G63" s="5304" t="n"/>
      <c r="H63" s="5304" t="n"/>
      <c r="I63" s="4246" t="n"/>
      <c r="J63" s="4246" t="n"/>
      <c r="K63" s="4246" t="n"/>
      <c r="L63" s="5305" t="inlineStr">
        <is>
          <t xml:space="preserve">Cat. No. 11334P   </t>
        </is>
      </c>
      <c r="M63" s="5305" t="n"/>
      <c r="N63" s="5305" t="n"/>
      <c r="O63" s="5304" t="n"/>
      <c r="P63" s="5306" t="n"/>
      <c r="Q63" s="5304" t="n"/>
      <c r="R63" s="5304" t="n"/>
      <c r="S63" s="5348">
        <f>"Schedule C   (Form 1040)  "&amp;TaxYear</f>
        <v/>
      </c>
      <c r="T63" s="5348" t="n"/>
      <c r="U63" s="6576" t="inlineStr">
        <is>
          <t xml:space="preserve">Created 4/3/25 </t>
        </is>
      </c>
      <c r="V63" s="139" t="n"/>
      <c r="W63" s="2875" t="n"/>
      <c r="X63" s="5233" t="n"/>
      <c r="Y63" s="1061" t="inlineStr">
        <is>
          <t>c.</t>
        </is>
      </c>
      <c r="Z63" s="1061" t="inlineStr">
        <is>
          <t>Multiply line 3a by line 3b.</t>
        </is>
      </c>
      <c r="AA63" s="12076">
        <f>ROUND(AA61*AA62,2)</f>
        <v/>
      </c>
      <c r="AB63" s="409" t="n"/>
    </row>
    <row r="64" ht="22.5" customHeight="1" s="7635" thickBot="1">
      <c r="A64" s="139" t="n"/>
      <c r="B64" s="5267">
        <f>"Schedule C (Form 1040) "&amp;TaxYear</f>
        <v/>
      </c>
      <c r="C64" s="5267" t="n"/>
      <c r="D64" s="5267" t="n"/>
      <c r="E64" s="5267" t="n"/>
      <c r="F64" s="5267" t="n"/>
      <c r="G64" s="5267" t="n"/>
      <c r="H64" s="5267" t="n"/>
      <c r="I64" s="5267" t="n"/>
      <c r="J64" s="5267" t="n"/>
      <c r="K64" s="5267" t="n"/>
      <c r="L64" s="5267" t="n"/>
      <c r="M64" s="5267" t="n"/>
      <c r="N64" s="5267" t="n"/>
      <c r="O64" s="5267" t="n"/>
      <c r="P64" s="5267" t="n"/>
      <c r="Q64" s="5267" t="n"/>
      <c r="R64" s="5310" t="n"/>
      <c r="S64" s="5310" t="n"/>
      <c r="T64" s="5310" t="inlineStr">
        <is>
          <t>Page</t>
        </is>
      </c>
      <c r="U64" s="5311">
        <f>"2"</f>
        <v/>
      </c>
      <c r="V64" s="139" t="n"/>
      <c r="W64" s="2875" t="n"/>
      <c r="X64" s="5233" t="n"/>
      <c r="Y64" s="1400" t="inlineStr">
        <is>
          <t>4.</t>
        </is>
      </c>
      <c r="Z64" s="1401" t="inlineStr">
        <is>
          <t>Multiply line 2 by line 3c</t>
        </is>
      </c>
      <c r="AA64" s="12076">
        <f>ROUND(AA59*AA63,2)</f>
        <v/>
      </c>
      <c r="AB64" s="409" t="n"/>
    </row>
    <row r="65" ht="19.5" customHeight="1" s="7635">
      <c r="A65" s="139" t="n"/>
      <c r="B65" s="5312" t="inlineStr">
        <is>
          <t>Part III</t>
        </is>
      </c>
      <c r="C65" s="5313" t="inlineStr">
        <is>
          <t xml:space="preserve">   Cost of Goods Sold  (see instructions)</t>
        </is>
      </c>
      <c r="D65" s="5314" t="n"/>
      <c r="E65" s="5314" t="n"/>
      <c r="F65" s="5314" t="n"/>
      <c r="G65" s="5314" t="n"/>
      <c r="H65" s="5314" t="n"/>
      <c r="I65" s="5314" t="n"/>
      <c r="J65" s="5314" t="n"/>
      <c r="K65" s="5314" t="n"/>
      <c r="L65" s="5314" t="n"/>
      <c r="M65" s="5314" t="n"/>
      <c r="N65" s="5314" t="n"/>
      <c r="O65" s="5314" t="n"/>
      <c r="P65" s="5314" t="n"/>
      <c r="Q65" s="5314" t="n"/>
      <c r="R65" s="5314" t="n"/>
      <c r="S65" s="5314" t="n"/>
      <c r="T65" s="5314" t="n"/>
      <c r="U65" s="5314" t="n"/>
      <c r="V65" s="139" t="n"/>
      <c r="W65" s="2875" t="n"/>
      <c r="X65" s="5233" t="n"/>
      <c r="Y65" s="1400" t="inlineStr">
        <is>
          <t>5.</t>
        </is>
      </c>
      <c r="Z65" s="1061" t="inlineStr">
        <is>
          <t>Smaller of line 1 or 4. If &lt;=0, then 0.</t>
        </is>
      </c>
      <c r="AA65" s="12076">
        <f>MAX(0,MIN(AA58,AA64))</f>
        <v/>
      </c>
      <c r="AB65" s="567" t="inlineStr">
        <is>
          <t>Enter on Sch C line 30</t>
        </is>
      </c>
    </row>
    <row r="66" ht="4.5" customHeight="1" s="7635">
      <c r="A66" s="139" t="n"/>
      <c r="B66" s="8647" t="n"/>
      <c r="C66" s="8651" t="n"/>
      <c r="D66" s="8651" t="n"/>
      <c r="E66" s="8651" t="n"/>
      <c r="F66" s="8651" t="n"/>
      <c r="G66" s="8651" t="n"/>
      <c r="H66" s="8651" t="n"/>
      <c r="I66" s="8651" t="n"/>
      <c r="J66" s="8651" t="n"/>
      <c r="K66" s="8651" t="n"/>
      <c r="L66" s="8651" t="n"/>
      <c r="M66" s="8651" t="n"/>
      <c r="N66" s="8651" t="n"/>
      <c r="O66" s="8651" t="n"/>
      <c r="P66" s="8651" t="n"/>
      <c r="Q66" s="8651" t="n"/>
      <c r="R66" s="8651" t="n"/>
      <c r="S66" s="8651" t="n"/>
      <c r="T66" s="8651" t="n"/>
      <c r="U66" s="8651" t="n"/>
      <c r="V66" s="139" t="n"/>
      <c r="W66" s="2875" t="n"/>
      <c r="X66" s="5233" t="n"/>
      <c r="Y66" s="413" t="n"/>
      <c r="Z66" s="413" t="n"/>
      <c r="AA66" s="413" t="n"/>
      <c r="AB66" s="414" t="n"/>
    </row>
    <row r="67" ht="15" customHeight="1" s="7635" thickBot="1">
      <c r="A67" s="139" t="n"/>
      <c r="B67" s="2984" t="n">
        <v>33</v>
      </c>
      <c r="C67" s="8647" t="inlineStr">
        <is>
          <t>Method(s) used to</t>
        </is>
      </c>
      <c r="D67" s="8665" t="n"/>
      <c r="E67" s="8665" t="n"/>
      <c r="F67" s="8665" t="n"/>
      <c r="G67" s="8665" t="n"/>
      <c r="H67" s="8665" t="n"/>
      <c r="I67" s="8665" t="n"/>
      <c r="J67" s="8665" t="n"/>
      <c r="K67" s="8665" t="n"/>
      <c r="L67" s="8665" t="n"/>
      <c r="M67" s="8665" t="n"/>
      <c r="N67" s="8665" t="n"/>
      <c r="O67" s="8665" t="n"/>
      <c r="P67" s="8665" t="n"/>
      <c r="Q67" s="8665" t="n"/>
      <c r="R67" s="8665" t="n"/>
      <c r="S67" s="8665" t="n"/>
      <c r="T67" s="8665" t="n"/>
      <c r="U67" s="8665" t="n"/>
      <c r="V67" s="139" t="n"/>
      <c r="W67" s="2875" t="n"/>
      <c r="X67" s="5233" t="n"/>
      <c r="Y67" s="7562">
        <f>SUM(SchC_ProfitLoss1,SchC_ProfitLoss2)</f>
        <v/>
      </c>
      <c r="Z67" s="7562" t="n"/>
      <c r="AA67" s="7562" t="n"/>
      <c r="AB67" s="7562" t="n"/>
    </row>
    <row r="68" ht="14.25" customHeight="1" s="7635" thickBot="1">
      <c r="A68" s="139" t="n"/>
      <c r="B68" s="2984" t="n"/>
      <c r="C68" s="8647" t="inlineStr">
        <is>
          <t>value closing inventory    a</t>
        </is>
      </c>
      <c r="D68" s="8665" t="n"/>
      <c r="E68" s="282" t="n"/>
      <c r="F68" s="8647" t="inlineStr">
        <is>
          <t xml:space="preserve">Cost </t>
        </is>
      </c>
      <c r="G68" s="8374" t="inlineStr">
        <is>
          <t xml:space="preserve">b </t>
        </is>
      </c>
      <c r="H68" s="282" t="n"/>
      <c r="I68" s="8647" t="inlineStr">
        <is>
          <t xml:space="preserve"> Lower cost or market</t>
        </is>
      </c>
      <c r="J68" s="3016" t="n"/>
      <c r="K68" s="8665" t="n"/>
      <c r="L68" s="8374" t="inlineStr">
        <is>
          <t xml:space="preserve">c </t>
        </is>
      </c>
      <c r="M68" s="282" t="n"/>
      <c r="N68" s="8647" t="inlineStr">
        <is>
          <t xml:space="preserve"> Other (attach explanation)</t>
        </is>
      </c>
      <c r="O68" s="8665" t="n"/>
      <c r="P68" s="8665" t="n"/>
      <c r="Q68" s="8665" t="n"/>
      <c r="R68" s="8665" t="n"/>
      <c r="S68" s="8665" t="n"/>
      <c r="T68" s="8665" t="n"/>
      <c r="U68" s="8665" t="n"/>
      <c r="V68" s="139" t="n"/>
      <c r="W68" s="2875" t="n"/>
      <c r="X68" s="5233" t="n"/>
      <c r="Y68" s="7834">
        <f>IF(AND(R59&lt;&gt;"",R60&lt;&gt;""),FALSE,IF(AND(T56&gt;=0,OR(R59&lt;&gt;"",R60&lt;&gt;"")),TRUE,FALSE))</f>
        <v/>
      </c>
      <c r="Z68" s="7834" t="n"/>
      <c r="AA68" s="7834" t="n"/>
      <c r="AB68" s="7834" t="n"/>
    </row>
    <row r="69" ht="15.75" customHeight="1" s="7635" thickBot="1">
      <c r="A69" s="139" t="n"/>
      <c r="B69" s="2984" t="n">
        <v>34</v>
      </c>
      <c r="C69" s="5266" t="inlineStr">
        <is>
          <t>Was there any change in determining quantities, cost or valuations between opening and closing inventory?</t>
        </is>
      </c>
      <c r="D69" s="5267" t="n"/>
      <c r="E69" s="5267" t="n"/>
      <c r="F69" s="5267" t="n"/>
      <c r="G69" s="5267" t="n"/>
      <c r="H69" s="5267" t="n"/>
      <c r="I69" s="5267" t="n"/>
      <c r="J69" s="5267" t="n"/>
      <c r="K69" s="8665" t="n"/>
      <c r="L69" s="8665" t="n"/>
      <c r="M69" s="8665" t="n"/>
      <c r="N69" s="8665" t="n"/>
      <c r="O69" s="8665" t="n"/>
      <c r="P69" s="8665" t="n"/>
      <c r="Q69" s="5267" t="n"/>
      <c r="R69" s="5267" t="n"/>
      <c r="S69" s="5267" t="n"/>
      <c r="T69" s="5267" t="n"/>
      <c r="U69" s="5267" t="n"/>
      <c r="V69" s="139" t="n"/>
      <c r="W69" s="2875" t="n"/>
      <c r="X69" s="5233" t="n"/>
      <c r="Y69" s="7834">
        <f>OR(Y68,Y70)</f>
        <v/>
      </c>
      <c r="Z69" s="7834" t="n"/>
      <c r="AA69" s="7834" t="n"/>
      <c r="AB69" s="7834" t="n"/>
    </row>
    <row r="70" ht="15" customHeight="1" s="7635" thickBot="1">
      <c r="A70" s="139" t="n"/>
      <c r="B70" s="2984" t="n"/>
      <c r="C70" s="5266" t="inlineStr">
        <is>
          <t>If "Yes", attach explanation</t>
        </is>
      </c>
      <c r="D70" s="5267" t="n"/>
      <c r="E70" s="5267" t="n"/>
      <c r="F70" s="5267" t="n"/>
      <c r="G70" s="5267" t="n"/>
      <c r="H70" s="5267" t="n"/>
      <c r="I70" s="5267" t="n"/>
      <c r="J70" s="5267" t="n"/>
      <c r="K70" s="5267" t="n"/>
      <c r="L70" s="5267" t="n"/>
      <c r="M70" s="5267" t="n"/>
      <c r="N70" s="5267" t="n"/>
      <c r="O70" s="5256" t="n"/>
      <c r="P70" s="5265" t="inlineStr">
        <is>
          <t xml:space="preserve">.   .   .   .   .   .   .   .   .   .   .   .   .   .   .   .   .   .   .   .   .   .   .   .   .   .   .   .   .   .   .   .   .  </t>
        </is>
      </c>
      <c r="Q70" s="282" t="n"/>
      <c r="R70" s="5256" t="inlineStr">
        <is>
          <t>Yes</t>
        </is>
      </c>
      <c r="S70" s="5315" t="n"/>
      <c r="T70" s="282" t="n"/>
      <c r="U70" s="5256" t="inlineStr">
        <is>
          <t>No</t>
        </is>
      </c>
      <c r="V70" s="139" t="n"/>
      <c r="W70" s="2875" t="n"/>
      <c r="X70" s="5233" t="n"/>
      <c r="Y70" s="7834">
        <f>AND(R59&lt;&gt;"",R60&lt;&gt;"")</f>
        <v/>
      </c>
      <c r="Z70" s="7834" t="n"/>
      <c r="AA70" s="7834" t="n"/>
      <c r="AB70" s="7834" t="n"/>
    </row>
    <row r="71" ht="7.5" customHeight="1" s="7635">
      <c r="A71" s="139" t="n"/>
      <c r="B71" s="2984" t="n"/>
      <c r="C71" s="5266" t="n"/>
      <c r="D71" s="5267" t="n"/>
      <c r="E71" s="5267" t="n"/>
      <c r="F71" s="5267" t="n"/>
      <c r="G71" s="5267" t="n"/>
      <c r="H71" s="5267" t="n"/>
      <c r="I71" s="5267" t="n"/>
      <c r="J71" s="5267" t="n"/>
      <c r="K71" s="5267" t="n"/>
      <c r="L71" s="5267" t="n"/>
      <c r="M71" s="5267" t="n"/>
      <c r="N71" s="5267" t="n"/>
      <c r="O71" s="5267" t="n"/>
      <c r="P71" s="5267" t="n"/>
      <c r="Q71" s="5267" t="n"/>
      <c r="R71" s="5267" t="n"/>
      <c r="S71" s="5267" t="n"/>
      <c r="T71" s="5267" t="n"/>
      <c r="U71" s="5267" t="n"/>
      <c r="V71" s="139" t="n"/>
      <c r="W71" s="2875" t="n"/>
      <c r="X71" s="5233" t="n"/>
      <c r="Y71" s="5316" t="n"/>
      <c r="Z71" s="9649" t="n"/>
      <c r="AA71" s="9649" t="n"/>
      <c r="AB71" s="9649" t="n"/>
    </row>
    <row r="72" ht="14.25" customHeight="1" s="7635">
      <c r="A72" s="139" t="n"/>
      <c r="B72" s="2984" t="n">
        <v>35</v>
      </c>
      <c r="C72" s="5266" t="inlineStr">
        <is>
          <t>Inventory at beginning of the year.  If different from last year's closing inventory, attach explanation</t>
        </is>
      </c>
      <c r="D72" s="5267" t="n"/>
      <c r="E72" s="5267" t="n"/>
      <c r="F72" s="5267" t="n"/>
      <c r="G72" s="5267" t="n"/>
      <c r="H72" s="5267" t="n"/>
      <c r="I72" s="5267" t="n"/>
      <c r="J72" s="5267" t="n"/>
      <c r="K72" s="5267" t="n"/>
      <c r="L72" s="5267" t="n"/>
      <c r="M72" s="5267" t="n"/>
      <c r="N72" s="5267" t="n"/>
      <c r="O72" s="5267" t="n"/>
      <c r="P72" s="5267" t="n"/>
      <c r="Q72" s="5267" t="n"/>
      <c r="R72" s="5265" t="inlineStr">
        <is>
          <t xml:space="preserve">.   .   .   .   .   .   .   .   . </t>
        </is>
      </c>
      <c r="S72" s="8230" t="n">
        <v>35</v>
      </c>
      <c r="T72" s="8169" t="n"/>
      <c r="U72" s="11717" t="n"/>
      <c r="V72" s="139" t="n"/>
      <c r="W72" s="2875" t="n"/>
      <c r="X72" s="5233" t="n"/>
    </row>
    <row r="73" ht="12.75" customHeight="1" s="7635">
      <c r="A73" s="139" t="n"/>
      <c r="B73" s="2984" t="n"/>
      <c r="C73" s="5266" t="n"/>
      <c r="D73" s="5267" t="n"/>
      <c r="E73" s="5267" t="n"/>
      <c r="F73" s="5267" t="n"/>
      <c r="G73" s="5267" t="n"/>
      <c r="H73" s="5267" t="n"/>
      <c r="I73" s="5267" t="n"/>
      <c r="J73" s="5267" t="n"/>
      <c r="K73" s="5267" t="n"/>
      <c r="L73" s="5267" t="n"/>
      <c r="M73" s="5267" t="n"/>
      <c r="N73" s="5267" t="n"/>
      <c r="O73" s="5267" t="n"/>
      <c r="P73" s="5267" t="n"/>
      <c r="Q73" s="5267" t="n"/>
      <c r="R73" s="5267" t="n"/>
      <c r="S73" s="5287" t="n"/>
      <c r="T73" s="1649" t="n"/>
      <c r="U73" s="1650" t="n"/>
      <c r="V73" s="139" t="n"/>
      <c r="W73" s="2875" t="n"/>
      <c r="X73" s="5233" t="n"/>
    </row>
    <row r="74" ht="14.25" customHeight="1" s="7635">
      <c r="A74" s="139" t="n"/>
      <c r="B74" s="2984" t="n">
        <v>36</v>
      </c>
      <c r="C74" s="5266" t="inlineStr">
        <is>
          <t>Purchases less cost of items withdrawn for personal use</t>
        </is>
      </c>
      <c r="D74" s="5267" t="n"/>
      <c r="E74" s="5267" t="n"/>
      <c r="F74" s="5267" t="n"/>
      <c r="G74" s="5267" t="n"/>
      <c r="H74" s="5267" t="n"/>
      <c r="I74" s="5267" t="n"/>
      <c r="J74" s="5267" t="n"/>
      <c r="K74" s="5267" t="n"/>
      <c r="L74" s="5267" t="n"/>
      <c r="M74" s="5267" t="n"/>
      <c r="N74" s="5267" t="n"/>
      <c r="O74" s="5267" t="n"/>
      <c r="P74" s="5267" t="n"/>
      <c r="Q74" s="5267" t="n"/>
      <c r="R74" s="5265" t="inlineStr">
        <is>
          <t xml:space="preserve">.   .   .   .   .   .   .   .   .   .   .   .   .   .   .   .   .   .   .   .   .   .   .   .   .   . </t>
        </is>
      </c>
      <c r="S74" s="8230" t="n">
        <v>36</v>
      </c>
      <c r="T74" s="8169" t="n"/>
      <c r="U74" s="11717" t="n"/>
      <c r="V74" s="139" t="n"/>
      <c r="W74" s="2875" t="n"/>
      <c r="X74" s="5233" t="n"/>
    </row>
    <row r="75">
      <c r="A75" s="139" t="n"/>
      <c r="B75" s="2984" t="n"/>
      <c r="C75" s="5266" t="n"/>
      <c r="D75" s="5267" t="n"/>
      <c r="E75" s="5267" t="n"/>
      <c r="F75" s="5267" t="n"/>
      <c r="G75" s="5267" t="n"/>
      <c r="H75" s="5267" t="n"/>
      <c r="I75" s="5267" t="n"/>
      <c r="J75" s="5267" t="n"/>
      <c r="K75" s="5267" t="n"/>
      <c r="L75" s="5267" t="n"/>
      <c r="M75" s="5267" t="n"/>
      <c r="N75" s="5267" t="n"/>
      <c r="O75" s="5267" t="n"/>
      <c r="P75" s="5267" t="n"/>
      <c r="Q75" s="5267" t="n"/>
      <c r="R75" s="5267" t="n"/>
      <c r="S75" s="5287" t="n"/>
      <c r="T75" s="1649" t="n"/>
      <c r="U75" s="1650" t="n"/>
      <c r="V75" s="139" t="n"/>
      <c r="W75" s="2875" t="n"/>
      <c r="X75" s="5233" t="n"/>
    </row>
    <row r="76" ht="14.25" customHeight="1" s="7635">
      <c r="A76" s="139" t="n"/>
      <c r="B76" s="2984" t="n">
        <v>37</v>
      </c>
      <c r="C76" s="5266" t="inlineStr">
        <is>
          <t>Cost of labor.  Do not include any amounts paid to yourself</t>
        </is>
      </c>
      <c r="D76" s="5267" t="n"/>
      <c r="E76" s="5267" t="n"/>
      <c r="F76" s="5267" t="n"/>
      <c r="G76" s="5267" t="n"/>
      <c r="H76" s="5267" t="n"/>
      <c r="I76" s="5267" t="n"/>
      <c r="J76" s="5267" t="n"/>
      <c r="K76" s="5267" t="n"/>
      <c r="L76" s="5267" t="n"/>
      <c r="M76" s="5267" t="n"/>
      <c r="N76" s="5267" t="n"/>
      <c r="O76" s="5267" t="n"/>
      <c r="P76" s="5267" t="n"/>
      <c r="Q76" s="5267" t="n"/>
      <c r="R76" s="5265" t="inlineStr">
        <is>
          <t xml:space="preserve">.   .   .   .   .   .   .   .   .   .   .   .   .   .   .   .   .   .   .   .   .   .   .   . </t>
        </is>
      </c>
      <c r="S76" s="8230" t="n">
        <v>37</v>
      </c>
      <c r="T76" s="8169" t="n"/>
      <c r="U76" s="11717" t="n"/>
      <c r="V76" s="139" t="n"/>
      <c r="W76" s="2875" t="n"/>
      <c r="X76" s="5233" t="n"/>
    </row>
    <row r="77">
      <c r="A77" s="139" t="n"/>
      <c r="B77" s="2984" t="n"/>
      <c r="C77" s="5266" t="n"/>
      <c r="D77" s="5267" t="n"/>
      <c r="E77" s="5267" t="n"/>
      <c r="F77" s="5267" t="n"/>
      <c r="G77" s="5267" t="n"/>
      <c r="H77" s="5267" t="n"/>
      <c r="I77" s="5267" t="n"/>
      <c r="J77" s="5267" t="n"/>
      <c r="K77" s="5267" t="n"/>
      <c r="L77" s="5267" t="n"/>
      <c r="M77" s="5267" t="n"/>
      <c r="N77" s="5267" t="n"/>
      <c r="O77" s="5267" t="n"/>
      <c r="P77" s="5267" t="n"/>
      <c r="Q77" s="5267" t="n"/>
      <c r="R77" s="5267" t="n"/>
      <c r="S77" s="5287" t="n"/>
      <c r="T77" s="1649" t="n"/>
      <c r="U77" s="1650" t="n"/>
      <c r="V77" s="139" t="n"/>
      <c r="W77" s="2875" t="n"/>
      <c r="X77" s="5233" t="n"/>
    </row>
    <row r="78" ht="14.25" customHeight="1" s="7635">
      <c r="A78" s="139" t="n"/>
      <c r="B78" s="2984" t="n">
        <v>38</v>
      </c>
      <c r="C78" s="5266" t="inlineStr">
        <is>
          <t>Materials and supplies</t>
        </is>
      </c>
      <c r="D78" s="5267" t="n"/>
      <c r="E78" s="5267" t="n"/>
      <c r="F78" s="5267" t="n"/>
      <c r="G78" s="5267" t="n"/>
      <c r="H78" s="5267" t="n"/>
      <c r="I78" s="5267" t="n"/>
      <c r="J78" s="5267" t="n"/>
      <c r="K78" s="5267" t="n"/>
      <c r="L78" s="5267" t="n"/>
      <c r="M78" s="5267" t="n"/>
      <c r="N78" s="5267" t="n"/>
      <c r="O78" s="5267" t="n"/>
      <c r="P78" s="5267" t="n"/>
      <c r="Q78" s="5267" t="n"/>
      <c r="R78" s="5265" t="inlineStr">
        <is>
          <t xml:space="preserve">.   .   .   .   .   .   .   .   .   .   .   .   .   .   .   .   .   .   .   .   .   .   .   .   .   .   .   .   .   .   .   .   .   .   .   .   .   .   . </t>
        </is>
      </c>
      <c r="S78" s="8230" t="n">
        <v>38</v>
      </c>
      <c r="T78" s="8169" t="n"/>
      <c r="U78" s="11717" t="n"/>
      <c r="V78" s="139" t="n"/>
      <c r="W78" s="2875" t="n"/>
      <c r="X78" s="5233" t="n"/>
    </row>
    <row r="79">
      <c r="A79" s="139" t="n"/>
      <c r="B79" s="2984" t="n"/>
      <c r="C79" s="5266" t="n"/>
      <c r="D79" s="5267" t="n"/>
      <c r="E79" s="5267" t="n"/>
      <c r="F79" s="5267" t="n"/>
      <c r="G79" s="5267" t="n"/>
      <c r="H79" s="5267" t="n"/>
      <c r="I79" s="5267" t="n"/>
      <c r="J79" s="5267" t="n"/>
      <c r="K79" s="5267" t="n"/>
      <c r="L79" s="5267" t="n"/>
      <c r="M79" s="5267" t="n"/>
      <c r="N79" s="5267" t="n"/>
      <c r="O79" s="5267" t="n"/>
      <c r="P79" s="5267" t="n"/>
      <c r="Q79" s="5267" t="n"/>
      <c r="R79" s="5267" t="n"/>
      <c r="S79" s="5287" t="n"/>
      <c r="T79" s="1649" t="n"/>
      <c r="U79" s="1650" t="n"/>
      <c r="V79" s="139" t="n"/>
      <c r="W79" s="2875" t="n"/>
      <c r="X79" s="5233" t="n"/>
    </row>
    <row r="80" ht="14.25" customHeight="1" s="7635" thickBot="1">
      <c r="A80" s="139" t="n"/>
      <c r="B80" s="2984" t="n">
        <v>39</v>
      </c>
      <c r="C80" s="5266" t="inlineStr">
        <is>
          <t>Other costs</t>
        </is>
      </c>
      <c r="D80" s="5267" t="n"/>
      <c r="E80" s="5267" t="n"/>
      <c r="F80" s="5267" t="n"/>
      <c r="G80" s="5267" t="n"/>
      <c r="H80" s="5267" t="n"/>
      <c r="I80" s="5267" t="n"/>
      <c r="J80" s="5267" t="n"/>
      <c r="K80" s="5267" t="n"/>
      <c r="L80" s="5267" t="n"/>
      <c r="M80" s="5267" t="n"/>
      <c r="N80" s="5267" t="n"/>
      <c r="O80" s="5267" t="n"/>
      <c r="P80" s="5267" t="n"/>
      <c r="Q80" s="5267" t="n"/>
      <c r="R80" s="5265" t="inlineStr">
        <is>
          <t xml:space="preserve">.   .   .   .   .   .   .   .   .   .   .   .   .   .   .   .   .   .   .   .   .   .   .   .   .   .   .   .   .   .   .   .   .   .   .   .   .   .   .   .   .   .   .   .   .   . </t>
        </is>
      </c>
      <c r="S80" s="4303" t="n">
        <v>39</v>
      </c>
      <c r="T80" s="8169" t="n"/>
      <c r="U80" s="11717" t="n"/>
      <c r="V80" s="139" t="n"/>
      <c r="W80" s="2875" t="n"/>
      <c r="X80" s="5233" t="n"/>
    </row>
    <row r="81">
      <c r="A81" s="139" t="n"/>
      <c r="B81" s="2984" t="n"/>
      <c r="C81" s="5266" t="n"/>
      <c r="D81" s="5267" t="n"/>
      <c r="E81" s="5267" t="n"/>
      <c r="F81" s="5267" t="n"/>
      <c r="G81" s="5267" t="n"/>
      <c r="H81" s="5267" t="n"/>
      <c r="I81" s="5267" t="n"/>
      <c r="J81" s="5267" t="n"/>
      <c r="K81" s="5267" t="n"/>
      <c r="L81" s="5267" t="n"/>
      <c r="M81" s="5267" t="n"/>
      <c r="N81" s="5267" t="n"/>
      <c r="O81" s="5267" t="n"/>
      <c r="P81" s="5267" t="n"/>
      <c r="Q81" s="5267" t="n"/>
      <c r="R81" s="5267" t="n"/>
      <c r="S81" s="5287" t="n"/>
      <c r="T81" s="1651" t="n"/>
      <c r="U81" s="1652" t="n"/>
      <c r="V81" s="139" t="n"/>
      <c r="W81" s="2875" t="n"/>
      <c r="X81" s="5233" t="n"/>
    </row>
    <row r="82" ht="14.25" customHeight="1" s="7635">
      <c r="A82" s="139" t="n"/>
      <c r="B82" s="2984" t="n">
        <v>40</v>
      </c>
      <c r="C82" s="5266" t="inlineStr">
        <is>
          <t>Add lines 35 through 39</t>
        </is>
      </c>
      <c r="D82" s="5267" t="n"/>
      <c r="E82" s="5267" t="n"/>
      <c r="F82" s="5267" t="n"/>
      <c r="G82" s="5267" t="n"/>
      <c r="H82" s="5267" t="n"/>
      <c r="I82" s="5267" t="n"/>
      <c r="J82" s="5267" t="n"/>
      <c r="K82" s="5267" t="n"/>
      <c r="L82" s="5267" t="n"/>
      <c r="M82" s="5267" t="n"/>
      <c r="N82" s="5267" t="n"/>
      <c r="O82" s="5267" t="n"/>
      <c r="P82" s="5267" t="n"/>
      <c r="Q82" s="5267" t="n"/>
      <c r="R82" s="5265" t="inlineStr">
        <is>
          <t xml:space="preserve">.   .   .   .   .   .   .   .   .   .   .   .   .   .   .   .   .   .   .   .   .   .   .   .   .   .   .   .   .   .   .   .   .   .   .   .   .   . </t>
        </is>
      </c>
      <c r="S82" s="8230" t="n">
        <v>40</v>
      </c>
      <c r="T82" s="8176">
        <f>IF(ROUND(SUM(T72:T80),0)=0,"",ROUND(SUM(T72:T80),0))</f>
        <v/>
      </c>
      <c r="U82" s="7637" t="n"/>
      <c r="V82" s="139" t="n"/>
      <c r="W82" s="2875" t="n"/>
      <c r="X82" s="5233" t="n"/>
    </row>
    <row r="83">
      <c r="A83" s="139" t="n"/>
      <c r="B83" s="2984" t="n"/>
      <c r="C83" s="5266" t="n"/>
      <c r="D83" s="5267" t="n"/>
      <c r="E83" s="5267" t="n"/>
      <c r="F83" s="5267" t="n"/>
      <c r="G83" s="5267" t="n"/>
      <c r="H83" s="5267" t="n"/>
      <c r="I83" s="5267" t="n"/>
      <c r="J83" s="5267" t="n"/>
      <c r="K83" s="5267" t="n"/>
      <c r="L83" s="5267" t="n"/>
      <c r="M83" s="5267" t="n"/>
      <c r="N83" s="5267" t="n"/>
      <c r="O83" s="5267" t="n"/>
      <c r="P83" s="5267" t="n"/>
      <c r="Q83" s="5267" t="n"/>
      <c r="R83" s="5267" t="n"/>
      <c r="S83" s="5287" t="n"/>
      <c r="T83" s="1649" t="n"/>
      <c r="U83" s="1650" t="n"/>
      <c r="V83" s="139" t="n"/>
      <c r="W83" s="2875" t="n"/>
      <c r="X83" s="5233" t="n"/>
    </row>
    <row r="84" ht="14.25" customHeight="1" s="7635" thickBot="1">
      <c r="A84" s="139" t="n"/>
      <c r="B84" s="2984" t="n">
        <v>41</v>
      </c>
      <c r="C84" s="5266" t="inlineStr">
        <is>
          <t>Inventory at end of year</t>
        </is>
      </c>
      <c r="D84" s="5267" t="n"/>
      <c r="E84" s="5267" t="n"/>
      <c r="F84" s="5267" t="n"/>
      <c r="G84" s="5267" t="n"/>
      <c r="H84" s="5267" t="n"/>
      <c r="I84" s="5267" t="n"/>
      <c r="J84" s="5267" t="n"/>
      <c r="K84" s="5267" t="n"/>
      <c r="L84" s="5267" t="n"/>
      <c r="M84" s="5267" t="n"/>
      <c r="N84" s="5267" t="n"/>
      <c r="O84" s="5267" t="n"/>
      <c r="P84" s="5267" t="n"/>
      <c r="Q84" s="5267" t="n"/>
      <c r="R84" s="5265" t="inlineStr">
        <is>
          <t xml:space="preserve">.   .   .   .   .   .   .   .   .   .   .   .   .   .   .   .   .   .   .   .   .   .   .   .   .   .   .   .   .   .   .   .   .   .   .   .   .   . </t>
        </is>
      </c>
      <c r="S84" s="4303" t="n">
        <v>41</v>
      </c>
      <c r="T84" s="8178" t="n"/>
      <c r="U84" s="11795" t="n"/>
      <c r="V84" s="139" t="n"/>
      <c r="W84" s="2875" t="n"/>
      <c r="X84" s="5233" t="n"/>
    </row>
    <row r="85">
      <c r="A85" s="139" t="n"/>
      <c r="B85" s="2984" t="n"/>
      <c r="C85" s="5266" t="n"/>
      <c r="D85" s="5267" t="n"/>
      <c r="E85" s="5267" t="n"/>
      <c r="F85" s="5267" t="n"/>
      <c r="G85" s="5267" t="n"/>
      <c r="H85" s="5267" t="n"/>
      <c r="I85" s="5267" t="n"/>
      <c r="J85" s="5267" t="n"/>
      <c r="K85" s="5267" t="n"/>
      <c r="L85" s="5267" t="n"/>
      <c r="M85" s="5267" t="n"/>
      <c r="N85" s="5267" t="n"/>
      <c r="O85" s="5267" t="n"/>
      <c r="P85" s="5267" t="n"/>
      <c r="Q85" s="5267" t="n"/>
      <c r="R85" s="5267" t="n"/>
      <c r="S85" s="5287" t="n"/>
      <c r="T85" s="1651" t="n"/>
      <c r="U85" s="1652" t="n"/>
      <c r="V85" s="139" t="n"/>
      <c r="W85" s="2875" t="n"/>
      <c r="X85" s="5233" t="n"/>
    </row>
    <row r="86" ht="14.25" customHeight="1" s="7635" thickBot="1">
      <c r="A86" s="139" t="n"/>
      <c r="B86" s="2984" t="n">
        <v>42</v>
      </c>
      <c r="C86" s="5268" t="inlineStr">
        <is>
          <t>Cost of goods sold.   Subtract line 41 from line 40.  Enter the result here and on line 4</t>
        </is>
      </c>
      <c r="D86" s="5256" t="n"/>
      <c r="E86" s="5267" t="n"/>
      <c r="F86" s="5267" t="n"/>
      <c r="G86" s="5267" t="n"/>
      <c r="H86" s="5267" t="n"/>
      <c r="I86" s="5267" t="n"/>
      <c r="J86" s="5267" t="n"/>
      <c r="K86" s="5267" t="n"/>
      <c r="L86" s="5267" t="n"/>
      <c r="M86" s="5267" t="n"/>
      <c r="N86" s="5267" t="n"/>
      <c r="O86" s="5267" t="n"/>
      <c r="P86" s="5267" t="n"/>
      <c r="Q86" s="5267" t="n"/>
      <c r="R86" s="5265" t="inlineStr">
        <is>
          <t xml:space="preserve">.   .   .   .   .   .   .   .   .   .   . </t>
        </is>
      </c>
      <c r="S86" s="8230" t="n">
        <v>42</v>
      </c>
      <c r="T86" s="8216">
        <f>IF(AND(T82="",T84=""),"",ROUND(SUM(T82,-T84),0))</f>
        <v/>
      </c>
      <c r="U86" s="8848" t="n"/>
      <c r="V86" s="139" t="n"/>
      <c r="W86" s="2875" t="n"/>
      <c r="X86" s="5233" t="n"/>
    </row>
    <row r="87" ht="15" customHeight="1" s="7635">
      <c r="A87" s="139" t="n"/>
      <c r="B87" s="2978" t="inlineStr">
        <is>
          <t>Part IV</t>
        </is>
      </c>
      <c r="C87" s="5317" t="inlineStr">
        <is>
          <t xml:space="preserve">   Information on Your Vehicle.</t>
        </is>
      </c>
      <c r="D87" s="5317" t="n"/>
      <c r="E87" s="5317" t="n"/>
      <c r="F87" s="5317" t="n"/>
      <c r="G87" s="5317" t="inlineStr">
        <is>
          <t>Complete this part only if you are claiming car or truck expenses on line 9 and</t>
        </is>
      </c>
      <c r="H87" s="5317" t="n"/>
      <c r="I87" s="5317" t="n"/>
      <c r="J87" s="5317" t="n"/>
      <c r="K87" s="5317" t="n"/>
      <c r="L87" s="5317" t="n"/>
      <c r="M87" s="5317" t="n"/>
      <c r="N87" s="5317" t="n"/>
      <c r="O87" s="5317" t="n"/>
      <c r="P87" s="5317" t="n"/>
      <c r="Q87" s="5317" t="n"/>
      <c r="R87" s="5317" t="n"/>
      <c r="S87" s="5317" t="n"/>
      <c r="T87" s="5317" t="n"/>
      <c r="U87" s="5317" t="n"/>
      <c r="V87" s="139" t="n"/>
      <c r="W87" s="2875" t="n"/>
      <c r="X87" s="5233" t="n"/>
    </row>
    <row r="88" ht="12.75" customHeight="1" s="7635">
      <c r="A88" s="139" t="n"/>
      <c r="B88" s="8318" t="n"/>
      <c r="C88" s="5318" t="inlineStr">
        <is>
          <t xml:space="preserve">   are not required to file Form 4562 for this business. See the instructions for line 13 on instructions to find out if you must file</t>
        </is>
      </c>
      <c r="D88" s="5266" t="n"/>
      <c r="E88" s="5318" t="n"/>
      <c r="F88" s="5318" t="n"/>
      <c r="G88" s="5318" t="n"/>
      <c r="H88" s="5318" t="n"/>
      <c r="I88" s="5318" t="n"/>
      <c r="J88" s="5318" t="n"/>
      <c r="K88" s="5318" t="n"/>
      <c r="L88" s="5318" t="n"/>
      <c r="M88" s="5318" t="n"/>
      <c r="N88" s="5318" t="n"/>
      <c r="O88" s="5318" t="n"/>
      <c r="P88" s="5318" t="n"/>
      <c r="Q88" s="5318" t="n"/>
      <c r="R88" s="5318" t="n"/>
      <c r="S88" s="5318" t="n"/>
      <c r="T88" s="5318" t="n"/>
      <c r="U88" s="5318" t="n"/>
      <c r="V88" s="139" t="n"/>
      <c r="W88" s="2875" t="n"/>
      <c r="X88" s="5233" t="n"/>
    </row>
    <row r="89" ht="12.75" customHeight="1" s="7635">
      <c r="A89" s="139" t="n"/>
      <c r="B89" s="5319" t="n"/>
      <c r="C89" s="5320" t="inlineStr">
        <is>
          <t xml:space="preserve">   Form 4562.</t>
        </is>
      </c>
      <c r="D89" s="5321" t="n"/>
      <c r="E89" s="5322" t="n"/>
      <c r="F89" s="5322" t="n"/>
      <c r="G89" s="5322" t="n"/>
      <c r="H89" s="5322" t="n"/>
      <c r="I89" s="5322" t="n"/>
      <c r="J89" s="5322" t="n"/>
      <c r="K89" s="5322" t="n"/>
      <c r="L89" s="5322" t="n"/>
      <c r="M89" s="5322" t="n"/>
      <c r="N89" s="5322" t="n"/>
      <c r="O89" s="5322" t="n"/>
      <c r="P89" s="5322" t="n"/>
      <c r="Q89" s="5322" t="n"/>
      <c r="R89" s="5322" t="n"/>
      <c r="S89" s="5322" t="n"/>
      <c r="T89" s="5322" t="n"/>
      <c r="U89" s="5322" t="n"/>
      <c r="V89" s="139" t="n"/>
      <c r="W89" s="2875" t="n"/>
      <c r="X89" s="5233" t="n"/>
    </row>
    <row r="90" ht="12.75" customHeight="1" s="7635">
      <c r="A90" s="139" t="n"/>
      <c r="B90" s="8318" t="n"/>
      <c r="C90" s="5267" t="n"/>
      <c r="D90" s="5267" t="n"/>
      <c r="E90" s="5267" t="n"/>
      <c r="F90" s="5267" t="n"/>
      <c r="G90" s="5267" t="n"/>
      <c r="H90" s="5267" t="n"/>
      <c r="I90" s="5267" t="n"/>
      <c r="J90" s="5267" t="n"/>
      <c r="K90" s="5267" t="n"/>
      <c r="L90" s="5267" t="n"/>
      <c r="M90" s="5267" t="n"/>
      <c r="N90" s="5267" t="n"/>
      <c r="O90" s="5267" t="n"/>
      <c r="P90" s="5267" t="n"/>
      <c r="Q90" s="5267" t="n"/>
      <c r="R90" s="5267" t="n"/>
      <c r="S90" s="5267" t="n"/>
      <c r="T90" s="5267" t="n"/>
      <c r="U90" s="5267" t="n"/>
      <c r="V90" s="139" t="n"/>
      <c r="W90" s="2875" t="n"/>
      <c r="X90" s="5233" t="n"/>
    </row>
    <row r="91" ht="12.75" customHeight="1" s="7635">
      <c r="A91" s="139" t="n"/>
      <c r="B91" s="2984" t="n">
        <v>43</v>
      </c>
      <c r="C91" s="12077" t="inlineStr">
        <is>
          <t>When did you place your vehicle in service for business purposes?   (month/day/year)</t>
        </is>
      </c>
      <c r="D91" s="12077" t="n"/>
      <c r="E91" s="5267" t="n"/>
      <c r="F91" s="5267" t="n"/>
      <c r="G91" s="5267" t="n"/>
      <c r="H91" s="5267" t="n"/>
      <c r="I91" s="5267" t="n"/>
      <c r="J91" s="5267" t="n"/>
      <c r="K91" s="5267" t="n"/>
      <c r="L91" s="5267" t="n"/>
      <c r="M91" s="12078" t="n"/>
      <c r="N91" s="11730" t="n"/>
      <c r="O91" s="5324" t="inlineStr">
        <is>
          <t>/</t>
        </is>
      </c>
      <c r="P91" s="12078" t="n"/>
      <c r="Q91" s="11730" t="n"/>
      <c r="R91" s="5324" t="inlineStr">
        <is>
          <t>/</t>
        </is>
      </c>
      <c r="S91" s="12078" t="n"/>
      <c r="T91" s="11730" t="n"/>
      <c r="U91" s="5256" t="n"/>
      <c r="V91" s="139" t="n"/>
      <c r="W91" s="2875" t="n"/>
      <c r="X91" s="5233" t="n"/>
    </row>
    <row r="92" ht="13.5" customHeight="1" s="7635">
      <c r="A92" s="139" t="n"/>
      <c r="B92" s="8318" t="n"/>
      <c r="C92" s="5267" t="n"/>
      <c r="D92" s="5267" t="n"/>
      <c r="E92" s="5267" t="n"/>
      <c r="F92" s="5267" t="n"/>
      <c r="G92" s="5267" t="n"/>
      <c r="H92" s="5267" t="n"/>
      <c r="I92" s="5267" t="n"/>
      <c r="J92" s="5267" t="n"/>
      <c r="K92" s="5267" t="n"/>
      <c r="L92" s="5267" t="n"/>
      <c r="M92" s="5267" t="n"/>
      <c r="N92" s="5267" t="n"/>
      <c r="O92" s="5267" t="n"/>
      <c r="P92" s="5267" t="n"/>
      <c r="Q92" s="5267" t="n"/>
      <c r="R92" s="5267" t="n"/>
      <c r="S92" s="5267" t="n"/>
      <c r="T92" s="5267" t="n"/>
      <c r="U92" s="5267" t="n"/>
      <c r="V92" s="139" t="n"/>
      <c r="W92" s="2875" t="n"/>
      <c r="X92" s="5233" t="n"/>
    </row>
    <row r="93" ht="14.25" customHeight="1" s="7635">
      <c r="A93" s="139" t="n"/>
      <c r="B93" s="2984" t="n">
        <v>44</v>
      </c>
      <c r="C93" s="5267">
        <f>"Of the total number of miles you drove your vehicle during "&amp;TaxYear&amp;", enter the number of miles you used your vehicle for:"</f>
        <v/>
      </c>
      <c r="D93" s="5267" t="n"/>
      <c r="E93" s="5267" t="n"/>
      <c r="F93" s="5267" t="n"/>
      <c r="G93" s="5267" t="n"/>
      <c r="H93" s="5267" t="n"/>
      <c r="I93" s="5267" t="n"/>
      <c r="J93" s="5267" t="n"/>
      <c r="K93" s="5267" t="n"/>
      <c r="L93" s="5267" t="n"/>
      <c r="M93" s="5267" t="n"/>
      <c r="N93" s="5267" t="n"/>
      <c r="O93" s="5267" t="n"/>
      <c r="P93" s="5267" t="n"/>
      <c r="Q93" s="5267" t="n"/>
      <c r="R93" s="5267" t="n"/>
      <c r="S93" s="5267" t="n"/>
      <c r="T93" s="5267" t="n"/>
      <c r="U93" s="5267" t="n"/>
      <c r="V93" s="139" t="n"/>
      <c r="W93" s="2875" t="n"/>
      <c r="X93" s="5233" t="n"/>
    </row>
    <row r="94">
      <c r="A94" s="139" t="n"/>
      <c r="B94" s="3016" t="n"/>
      <c r="C94" s="8218" t="inlineStr">
        <is>
          <t xml:space="preserve">  a   Business  </t>
        </is>
      </c>
      <c r="D94" s="8171" t="n"/>
      <c r="E94" s="11730" t="n"/>
      <c r="F94" s="5326" t="n"/>
      <c r="G94" s="5310" t="n"/>
      <c r="H94" s="5310" t="n"/>
      <c r="I94" s="5327" t="inlineStr">
        <is>
          <t>b Commuting (see instructions)</t>
        </is>
      </c>
      <c r="J94" s="8220" t="n"/>
      <c r="K94" s="12079" t="n"/>
      <c r="L94" s="12079" t="n"/>
      <c r="M94" s="5265" t="n"/>
      <c r="N94" s="5328" t="inlineStr">
        <is>
          <t>c</t>
        </is>
      </c>
      <c r="O94" s="8218" t="inlineStr">
        <is>
          <t>Other</t>
        </is>
      </c>
      <c r="Q94" s="8171" t="n"/>
      <c r="R94" s="11730" t="n"/>
      <c r="S94" s="11730" t="n"/>
      <c r="T94" s="11730" t="n"/>
      <c r="U94" s="5329" t="n"/>
      <c r="V94" s="139" t="n"/>
      <c r="W94" s="5330">
        <f>IF(Y96,"Check","")</f>
        <v/>
      </c>
      <c r="X94" s="5233" t="n"/>
    </row>
    <row r="95" ht="15" customHeight="1" s="7635" thickBot="1">
      <c r="A95" s="139" t="n"/>
      <c r="B95" s="8318" t="n"/>
      <c r="C95" s="5267" t="n"/>
      <c r="D95" s="5267" t="n"/>
      <c r="E95" s="5267" t="n"/>
      <c r="F95" s="5267" t="n"/>
      <c r="G95" s="5267" t="n"/>
      <c r="H95" s="5267" t="n"/>
      <c r="I95" s="5267" t="n"/>
      <c r="J95" s="5267" t="n"/>
      <c r="K95" s="5267" t="n"/>
      <c r="L95" s="5267" t="n"/>
      <c r="M95" s="5267" t="n"/>
      <c r="N95" s="5267" t="n"/>
      <c r="O95" s="5267" t="n"/>
      <c r="P95" s="5267" t="n"/>
      <c r="Q95" s="5267" t="n"/>
      <c r="R95" s="5331" t="n"/>
      <c r="S95" s="5267" t="n"/>
      <c r="T95" s="5267" t="n"/>
      <c r="U95" s="5267" t="n"/>
      <c r="V95" s="139" t="n"/>
      <c r="W95" s="5330" t="n"/>
      <c r="X95" s="5233" t="n"/>
    </row>
    <row r="96" ht="14.25" customHeight="1" s="7635" thickBot="1">
      <c r="A96" s="139" t="n"/>
      <c r="B96" s="2984" t="n">
        <v>45</v>
      </c>
      <c r="C96" s="5266" t="inlineStr">
        <is>
          <t>Was your vehicle available for use during off-duty hours?</t>
        </is>
      </c>
      <c r="D96" s="5267" t="n"/>
      <c r="E96" s="5267" t="n"/>
      <c r="F96" s="5267" t="n"/>
      <c r="G96" s="5267" t="n"/>
      <c r="H96" s="5267" t="n"/>
      <c r="I96" s="5332" t="n"/>
      <c r="J96" s="2826" t="n"/>
      <c r="K96" s="5267" t="n"/>
      <c r="L96" s="2826" t="n"/>
      <c r="M96" s="5267" t="n"/>
      <c r="N96" s="5267" t="n"/>
      <c r="O96" s="5267" t="n"/>
      <c r="P96" s="5265" t="inlineStr">
        <is>
          <t xml:space="preserve">.    .    .    .    .    .    .    .    .    .    .    .    .    .    .    .    .    . </t>
        </is>
      </c>
      <c r="Q96" s="282" t="n"/>
      <c r="R96" s="2826" t="inlineStr">
        <is>
          <t>Yes</t>
        </is>
      </c>
      <c r="S96" s="5267" t="n"/>
      <c r="T96" s="282" t="n"/>
      <c r="U96" s="5268" t="inlineStr">
        <is>
          <t>No</t>
        </is>
      </c>
      <c r="V96" s="139" t="n"/>
      <c r="W96" s="5330">
        <f>IF(Y98,"ONLY one.","")</f>
        <v/>
      </c>
      <c r="X96" s="5233" t="n"/>
      <c r="Y96" s="7834">
        <f>OR(Y98,Y100,Y102,Y104)</f>
        <v/>
      </c>
      <c r="Z96" s="7834" t="n"/>
      <c r="AA96" s="7834" t="n"/>
      <c r="AB96" s="7834" t="n"/>
    </row>
    <row r="97" ht="12.75" customHeight="1" s="7635" thickBot="1">
      <c r="A97" s="139" t="n"/>
      <c r="B97" s="3016" t="n"/>
      <c r="C97" s="2776" t="n"/>
      <c r="D97" s="5310" t="n"/>
      <c r="E97" s="5310" t="n"/>
      <c r="F97" s="5310" t="n"/>
      <c r="G97" s="5310" t="n"/>
      <c r="H97" s="5310" t="n"/>
      <c r="I97" s="5310" t="n"/>
      <c r="J97" s="5310" t="n"/>
      <c r="K97" s="5310" t="n"/>
      <c r="L97" s="5310" t="n"/>
      <c r="M97" s="5310" t="n"/>
      <c r="N97" s="5310" t="n"/>
      <c r="O97" s="5267" t="n"/>
      <c r="P97" s="5310" t="n"/>
      <c r="Q97" s="5310" t="n"/>
      <c r="R97" s="5310" t="n"/>
      <c r="S97" s="5310" t="n"/>
      <c r="T97" s="5267" t="n"/>
      <c r="U97" s="5267" t="n"/>
      <c r="V97" s="139" t="n"/>
      <c r="W97" s="2875" t="n"/>
      <c r="X97" s="5233" t="n"/>
      <c r="Y97" s="7834" t="n"/>
      <c r="Z97" s="7834" t="n"/>
      <c r="AA97" s="7834" t="n"/>
      <c r="AB97" s="7834" t="n"/>
    </row>
    <row r="98" ht="14.25" customHeight="1" s="7635" thickBot="1">
      <c r="A98" s="139" t="n"/>
      <c r="B98" s="2984" t="n">
        <v>46</v>
      </c>
      <c r="C98" s="5266" t="inlineStr">
        <is>
          <t>Do you (or your spouse) have another vehicle available for personal use?</t>
        </is>
      </c>
      <c r="D98" s="5267" t="n"/>
      <c r="E98" s="5267" t="n"/>
      <c r="F98" s="5267" t="n"/>
      <c r="G98" s="5267" t="n"/>
      <c r="H98" s="5267" t="n"/>
      <c r="I98" s="5267" t="n"/>
      <c r="J98" s="5267" t="n"/>
      <c r="K98" s="5332" t="n"/>
      <c r="L98" s="5267" t="n"/>
      <c r="M98" s="2826" t="n"/>
      <c r="N98" s="2826" t="n"/>
      <c r="O98" s="5267" t="n"/>
      <c r="P98" s="5265" t="inlineStr">
        <is>
          <t xml:space="preserve"> .    .    .    .    .    .    .    .    .    .    .    . </t>
        </is>
      </c>
      <c r="Q98" s="282" t="n"/>
      <c r="R98" s="2826" t="inlineStr">
        <is>
          <t>Yes</t>
        </is>
      </c>
      <c r="S98" s="5267" t="n"/>
      <c r="T98" s="282" t="n"/>
      <c r="U98" s="5268" t="inlineStr">
        <is>
          <t>No</t>
        </is>
      </c>
      <c r="V98" s="139" t="n"/>
      <c r="W98" s="5330">
        <f>IF(Y100,"ONLY one.","")</f>
        <v/>
      </c>
      <c r="X98" s="5233" t="n"/>
      <c r="Y98" s="7834">
        <f>IF(AND(Q96&lt;&gt;"",T96&lt;&gt;""),TRUE,FALSE)</f>
        <v/>
      </c>
      <c r="Z98" s="7834" t="n"/>
      <c r="AA98" s="7834" t="n"/>
      <c r="AB98" s="7834" t="n"/>
    </row>
    <row r="99" ht="13.5" customHeight="1" s="7635" thickBot="1">
      <c r="A99" s="139" t="n"/>
      <c r="B99" s="8318" t="n"/>
      <c r="C99" s="5266" t="n"/>
      <c r="D99" s="5267" t="n"/>
      <c r="E99" s="5267" t="n"/>
      <c r="F99" s="5267" t="n"/>
      <c r="G99" s="5267" t="n"/>
      <c r="H99" s="5267" t="n"/>
      <c r="I99" s="5267" t="n"/>
      <c r="J99" s="5267" t="n"/>
      <c r="K99" s="5267" t="n"/>
      <c r="L99" s="5267" t="n"/>
      <c r="M99" s="5267" t="n"/>
      <c r="N99" s="5267" t="n"/>
      <c r="O99" s="5267" t="n"/>
      <c r="P99" s="5267" t="n"/>
      <c r="Q99" s="5267" t="n"/>
      <c r="R99" s="5331" t="n"/>
      <c r="S99" s="5267" t="n"/>
      <c r="T99" s="5267" t="n"/>
      <c r="U99" s="5267" t="n"/>
      <c r="V99" s="139" t="n"/>
      <c r="W99" s="2875" t="n"/>
      <c r="X99" s="5233" t="n"/>
      <c r="Y99" s="7834" t="n"/>
      <c r="Z99" s="7834" t="n"/>
      <c r="AA99" s="7834" t="n"/>
      <c r="AB99" s="7834" t="n"/>
    </row>
    <row r="100" ht="14.25" customHeight="1" s="7635" thickBot="1">
      <c r="A100" s="139" t="n"/>
      <c r="B100" s="2984" t="inlineStr">
        <is>
          <t xml:space="preserve">    47  a</t>
        </is>
      </c>
      <c r="C100" s="5266" t="inlineStr">
        <is>
          <t>Do you have evidence to support your deduction?</t>
        </is>
      </c>
      <c r="D100" s="5267" t="n"/>
      <c r="E100" s="5267" t="n"/>
      <c r="F100" s="5267" t="n"/>
      <c r="G100" s="5267" t="n"/>
      <c r="H100" s="5267" t="n"/>
      <c r="I100" s="5332" t="n"/>
      <c r="J100" s="5267" t="n"/>
      <c r="K100" s="5267" t="n"/>
      <c r="L100" s="5267" t="n"/>
      <c r="M100" s="5267" t="n"/>
      <c r="N100" s="5267" t="n"/>
      <c r="O100" s="5267" t="n"/>
      <c r="P100" s="5265" t="inlineStr">
        <is>
          <t xml:space="preserve">.    .    .    .    .    .    .    .    .    .    .    .    .    .    .    .    .    .    .    . </t>
        </is>
      </c>
      <c r="Q100" s="282" t="n"/>
      <c r="R100" s="2826" t="inlineStr">
        <is>
          <t>Yes</t>
        </is>
      </c>
      <c r="S100" s="5267" t="n"/>
      <c r="T100" s="282" t="n"/>
      <c r="U100" s="5268" t="inlineStr">
        <is>
          <t>No</t>
        </is>
      </c>
      <c r="V100" s="139" t="n"/>
      <c r="W100" s="5330">
        <f>IF(Y102,"ONLY one.","")</f>
        <v/>
      </c>
      <c r="X100" s="5233" t="n"/>
      <c r="Y100" s="7834">
        <f>IF(AND(Q98&lt;&gt;"",T98&lt;&gt;""),TRUE,FALSE)</f>
        <v/>
      </c>
      <c r="Z100" s="7834" t="n"/>
      <c r="AA100" s="7834" t="n"/>
      <c r="AB100" s="7834" t="n"/>
    </row>
    <row r="101" ht="13.5" customHeight="1" s="7635" thickBot="1">
      <c r="A101" s="139" t="n"/>
      <c r="B101" s="8318" t="n"/>
      <c r="C101" s="5266" t="n"/>
      <c r="D101" s="5267" t="n"/>
      <c r="E101" s="5267" t="n"/>
      <c r="F101" s="5267" t="n"/>
      <c r="G101" s="5267" t="n"/>
      <c r="H101" s="5267" t="n"/>
      <c r="I101" s="5267" t="n"/>
      <c r="J101" s="5267" t="n"/>
      <c r="K101" s="5267" t="n"/>
      <c r="L101" s="5267" t="n"/>
      <c r="M101" s="5267" t="n"/>
      <c r="N101" s="5267" t="n"/>
      <c r="O101" s="5267" t="n"/>
      <c r="P101" s="5267" t="n"/>
      <c r="Q101" s="5267" t="n"/>
      <c r="R101" s="5331" t="n"/>
      <c r="S101" s="5267" t="n"/>
      <c r="T101" s="5267" t="n"/>
      <c r="U101" s="5267" t="n"/>
      <c r="V101" s="139" t="n"/>
      <c r="W101" s="2875" t="n"/>
      <c r="X101" s="5233" t="n"/>
      <c r="Y101" s="7834" t="n"/>
      <c r="Z101" s="7834" t="n"/>
      <c r="AA101" s="7834" t="n"/>
      <c r="AB101" s="7834" t="n"/>
    </row>
    <row r="102" ht="14.25" customHeight="1" s="7635" thickBot="1">
      <c r="A102" s="139" t="n"/>
      <c r="B102" s="3016" t="inlineStr">
        <is>
          <t>b</t>
        </is>
      </c>
      <c r="C102" s="5266" t="inlineStr">
        <is>
          <t>If "Yes", is the evidence written?</t>
        </is>
      </c>
      <c r="D102" s="5267" t="n"/>
      <c r="E102" s="5267" t="n"/>
      <c r="F102" s="5267" t="n"/>
      <c r="G102" s="5332" t="n"/>
      <c r="H102" s="5267" t="n"/>
      <c r="I102" s="5267" t="n"/>
      <c r="J102" s="5267" t="n"/>
      <c r="K102" s="5267" t="n"/>
      <c r="L102" s="5267" t="n"/>
      <c r="M102" s="5267" t="n"/>
      <c r="N102" s="5267" t="n"/>
      <c r="O102" s="5267" t="n"/>
      <c r="P102" s="5265" t="inlineStr">
        <is>
          <t xml:space="preserve">.    .    .    .    .    .    .    .    .    .    .    .    .    .    .    .    .   .    .    .    .    .    .    .    .    .    . </t>
        </is>
      </c>
      <c r="Q102" s="282" t="n"/>
      <c r="R102" s="2826" t="inlineStr">
        <is>
          <t>Yes</t>
        </is>
      </c>
      <c r="S102" s="5267" t="n"/>
      <c r="T102" s="282" t="n"/>
      <c r="U102" s="5268" t="inlineStr">
        <is>
          <t>No</t>
        </is>
      </c>
      <c r="V102" s="139" t="n"/>
      <c r="W102" s="5330">
        <f>IF(Y104,"ONLY one.","")</f>
        <v/>
      </c>
      <c r="X102" s="5233" t="n"/>
      <c r="Y102" s="7834">
        <f>IF(AND(Q100&lt;&gt;"",T100&lt;&gt;""),TRUE,FALSE)</f>
        <v/>
      </c>
      <c r="Z102" s="7834" t="n"/>
      <c r="AA102" s="7834" t="n"/>
      <c r="AB102" s="7834" t="n"/>
    </row>
    <row r="103" ht="7.5" customHeight="1" s="7635" thickBot="1">
      <c r="A103" s="139" t="n"/>
      <c r="B103" s="8318" t="n"/>
      <c r="C103" s="5267" t="n"/>
      <c r="D103" s="5267" t="n"/>
      <c r="E103" s="5267" t="n"/>
      <c r="F103" s="5267" t="n"/>
      <c r="G103" s="5267" t="n"/>
      <c r="H103" s="5267" t="n"/>
      <c r="I103" s="5267" t="n"/>
      <c r="J103" s="5267" t="n"/>
      <c r="K103" s="5267" t="n"/>
      <c r="L103" s="5267" t="n"/>
      <c r="M103" s="5267" t="n"/>
      <c r="N103" s="5267" t="n"/>
      <c r="O103" s="5267" t="n"/>
      <c r="P103" s="5267" t="n"/>
      <c r="Q103" s="5267" t="n"/>
      <c r="R103" s="5267" t="n"/>
      <c r="S103" s="5267" t="n"/>
      <c r="T103" s="5267" t="n"/>
      <c r="U103" s="5267" t="n"/>
      <c r="V103" s="139" t="n"/>
      <c r="W103" s="2875" t="n"/>
      <c r="X103" s="5233" t="n"/>
      <c r="Y103" s="7834" t="n"/>
      <c r="Z103" s="7834" t="n"/>
      <c r="AA103" s="7834" t="n"/>
      <c r="AB103" s="7834" t="n"/>
    </row>
    <row r="104" ht="18" customHeight="1" s="7635">
      <c r="A104" s="139" t="n"/>
      <c r="B104" s="2978" t="inlineStr">
        <is>
          <t>Part V</t>
        </is>
      </c>
      <c r="C104" s="5314" t="inlineStr">
        <is>
          <t xml:space="preserve">   Other expenses.  List below business expenses not included on lines 8-27a, or line 30.</t>
        </is>
      </c>
      <c r="D104" s="5314" t="n"/>
      <c r="E104" s="5314" t="n"/>
      <c r="F104" s="5314" t="n"/>
      <c r="G104" s="5314" t="n"/>
      <c r="H104" s="5314" t="n"/>
      <c r="I104" s="5314" t="n"/>
      <c r="J104" s="5314" t="n"/>
      <c r="K104" s="5314" t="n"/>
      <c r="L104" s="5314" t="n"/>
      <c r="M104" s="5314" t="n"/>
      <c r="N104" s="5314" t="n"/>
      <c r="O104" s="5314" t="n"/>
      <c r="P104" s="5314" t="n"/>
      <c r="Q104" s="5314" t="n"/>
      <c r="R104" s="5314" t="n"/>
      <c r="S104" s="5314" t="n"/>
      <c r="T104" s="5314" t="n"/>
      <c r="U104" s="5314" t="n"/>
      <c r="V104" s="139" t="n"/>
      <c r="W104" s="2875" t="n"/>
      <c r="X104" s="5233" t="n"/>
      <c r="Y104" s="7834">
        <f>IF(AND(Q102&lt;&gt;"",T102&lt;&gt;""),TRUE,FALSE)</f>
        <v/>
      </c>
      <c r="Z104" s="7834" t="n"/>
      <c r="AA104" s="7834" t="n"/>
      <c r="AB104" s="7834" t="n"/>
    </row>
    <row r="105" ht="27" customHeight="1" s="7635">
      <c r="A105" s="139" t="n"/>
      <c r="B105" s="8168" t="n"/>
      <c r="C105" s="11745" t="n"/>
      <c r="D105" s="11745" t="n"/>
      <c r="E105" s="11745" t="n"/>
      <c r="F105" s="11745" t="n"/>
      <c r="G105" s="11745" t="n"/>
      <c r="H105" s="11745" t="n"/>
      <c r="I105" s="11745" t="n"/>
      <c r="J105" s="11745" t="n"/>
      <c r="K105" s="11745" t="n"/>
      <c r="L105" s="11745" t="n"/>
      <c r="M105" s="11745" t="n"/>
      <c r="N105" s="11745" t="n"/>
      <c r="O105" s="11745" t="n"/>
      <c r="P105" s="11745" t="n"/>
      <c r="Q105" s="11745" t="n"/>
      <c r="R105" s="11745" t="n"/>
      <c r="S105" s="11948" t="n"/>
      <c r="T105" s="8152" t="n"/>
      <c r="U105" s="11717" t="n"/>
      <c r="V105" s="139" t="n"/>
      <c r="W105" s="2875" t="n"/>
      <c r="X105" s="5233" t="n"/>
      <c r="Y105" s="382">
        <f>T105&lt;&gt;""</f>
        <v/>
      </c>
    </row>
    <row r="106" ht="27.75" customHeight="1" s="7635">
      <c r="A106" s="139" t="n"/>
      <c r="B106" s="8151" t="n"/>
      <c r="C106" s="12061" t="n"/>
      <c r="D106" s="12061" t="n"/>
      <c r="E106" s="12061" t="n"/>
      <c r="F106" s="12061" t="n"/>
      <c r="G106" s="12061" t="n"/>
      <c r="H106" s="12061" t="n"/>
      <c r="I106" s="12061" t="n"/>
      <c r="J106" s="12061" t="n"/>
      <c r="K106" s="12061" t="n"/>
      <c r="L106" s="12061" t="n"/>
      <c r="M106" s="12061" t="n"/>
      <c r="N106" s="12061" t="n"/>
      <c r="O106" s="12061" t="n"/>
      <c r="P106" s="12061" t="n"/>
      <c r="Q106" s="12061" t="n"/>
      <c r="R106" s="12061" t="n"/>
      <c r="S106" s="12080" t="n"/>
      <c r="T106" s="8152" t="n"/>
      <c r="U106" s="11717" t="n"/>
      <c r="V106" s="139" t="n"/>
      <c r="W106" s="2875" t="n"/>
      <c r="X106" s="5233" t="n"/>
      <c r="Y106" s="382">
        <f>T106&lt;&gt;""</f>
        <v/>
      </c>
    </row>
    <row r="107" ht="27.75" customHeight="1" s="7635">
      <c r="A107" s="139" t="n"/>
      <c r="B107" s="8151" t="n"/>
      <c r="C107" s="12061" t="n"/>
      <c r="D107" s="12061" t="n"/>
      <c r="E107" s="12061" t="n"/>
      <c r="F107" s="12061" t="n"/>
      <c r="G107" s="12061" t="n"/>
      <c r="H107" s="12061" t="n"/>
      <c r="I107" s="12061" t="n"/>
      <c r="J107" s="12061" t="n"/>
      <c r="K107" s="12061" t="n"/>
      <c r="L107" s="12061" t="n"/>
      <c r="M107" s="12061" t="n"/>
      <c r="N107" s="12061" t="n"/>
      <c r="O107" s="12061" t="n"/>
      <c r="P107" s="12061" t="n"/>
      <c r="Q107" s="12061" t="n"/>
      <c r="R107" s="12061" t="n"/>
      <c r="S107" s="12080" t="n"/>
      <c r="T107" s="8152" t="n"/>
      <c r="U107" s="11717" t="n"/>
      <c r="V107" s="139" t="n"/>
      <c r="W107" s="2875" t="n"/>
      <c r="X107" s="5233" t="n"/>
      <c r="Y107" s="382">
        <f>T107&lt;&gt;""</f>
        <v/>
      </c>
    </row>
    <row r="108" ht="27.75" customHeight="1" s="7635">
      <c r="A108" s="139" t="n"/>
      <c r="B108" s="8151" t="n"/>
      <c r="C108" s="12061" t="n"/>
      <c r="D108" s="12061" t="n"/>
      <c r="E108" s="12061" t="n"/>
      <c r="F108" s="12061" t="n"/>
      <c r="G108" s="12061" t="n"/>
      <c r="H108" s="12061" t="n"/>
      <c r="I108" s="12061" t="n"/>
      <c r="J108" s="12061" t="n"/>
      <c r="K108" s="12061" t="n"/>
      <c r="L108" s="12061" t="n"/>
      <c r="M108" s="12061" t="n"/>
      <c r="N108" s="12061" t="n"/>
      <c r="O108" s="12061" t="n"/>
      <c r="P108" s="12061" t="n"/>
      <c r="Q108" s="12061" t="n"/>
      <c r="R108" s="12061" t="n"/>
      <c r="S108" s="12080" t="n"/>
      <c r="T108" s="8152" t="n"/>
      <c r="U108" s="11717" t="n"/>
      <c r="V108" s="139" t="n"/>
      <c r="W108" s="2875" t="n"/>
      <c r="X108" s="5233" t="n"/>
      <c r="Y108" s="382">
        <f>T108&lt;&gt;""</f>
        <v/>
      </c>
    </row>
    <row r="109" ht="27.75" customHeight="1" s="7635">
      <c r="A109" s="139" t="n"/>
      <c r="B109" s="8151" t="n"/>
      <c r="C109" s="12061" t="n"/>
      <c r="D109" s="12061" t="n"/>
      <c r="E109" s="12061" t="n"/>
      <c r="F109" s="12061" t="n"/>
      <c r="G109" s="12061" t="n"/>
      <c r="H109" s="12061" t="n"/>
      <c r="I109" s="12061" t="n"/>
      <c r="J109" s="12061" t="n"/>
      <c r="K109" s="12061" t="n"/>
      <c r="L109" s="12061" t="n"/>
      <c r="M109" s="12061" t="n"/>
      <c r="N109" s="12061" t="n"/>
      <c r="O109" s="12061" t="n"/>
      <c r="P109" s="12061" t="n"/>
      <c r="Q109" s="12061" t="n"/>
      <c r="R109" s="12061" t="n"/>
      <c r="S109" s="12080" t="n"/>
      <c r="T109" s="8152" t="n"/>
      <c r="U109" s="11717" t="n"/>
      <c r="V109" s="139" t="n"/>
      <c r="W109" s="2875" t="n"/>
      <c r="X109" s="5233" t="n"/>
      <c r="Y109" s="382">
        <f>T109&lt;&gt;""</f>
        <v/>
      </c>
    </row>
    <row r="110" ht="27.75" customHeight="1" s="7635">
      <c r="A110" s="139" t="n"/>
      <c r="B110" s="8151" t="n"/>
      <c r="C110" s="12061" t="n"/>
      <c r="D110" s="12061" t="n"/>
      <c r="E110" s="12061" t="n"/>
      <c r="F110" s="12061" t="n"/>
      <c r="G110" s="12061" t="n"/>
      <c r="H110" s="12061" t="n"/>
      <c r="I110" s="12061" t="n"/>
      <c r="J110" s="12061" t="n"/>
      <c r="K110" s="12061" t="n"/>
      <c r="L110" s="12061" t="n"/>
      <c r="M110" s="12061" t="n"/>
      <c r="N110" s="12061" t="n"/>
      <c r="O110" s="12061" t="n"/>
      <c r="P110" s="12061" t="n"/>
      <c r="Q110" s="12061" t="n"/>
      <c r="R110" s="12061" t="n"/>
      <c r="S110" s="12080" t="n"/>
      <c r="T110" s="8152" t="n"/>
      <c r="U110" s="11717" t="n"/>
      <c r="V110" s="139" t="n"/>
      <c r="W110" s="2875" t="n"/>
      <c r="X110" s="5233" t="n"/>
      <c r="Y110" s="382">
        <f>T110&lt;&gt;""</f>
        <v/>
      </c>
    </row>
    <row r="111" ht="27.75" customHeight="1" s="7635">
      <c r="A111" s="139" t="n"/>
      <c r="B111" s="8151" t="n"/>
      <c r="C111" s="12061" t="n"/>
      <c r="D111" s="12061" t="n"/>
      <c r="E111" s="12061" t="n"/>
      <c r="F111" s="12061" t="n"/>
      <c r="G111" s="12061" t="n"/>
      <c r="H111" s="12061" t="n"/>
      <c r="I111" s="12061" t="n"/>
      <c r="J111" s="12061" t="n"/>
      <c r="K111" s="12061" t="n"/>
      <c r="L111" s="12061" t="n"/>
      <c r="M111" s="12061" t="n"/>
      <c r="N111" s="12061" t="n"/>
      <c r="O111" s="12061" t="n"/>
      <c r="P111" s="12061" t="n"/>
      <c r="Q111" s="12061" t="n"/>
      <c r="R111" s="12061" t="n"/>
      <c r="S111" s="12080" t="n"/>
      <c r="T111" s="8152" t="n"/>
      <c r="U111" s="11717" t="n"/>
      <c r="V111" s="139" t="n"/>
      <c r="W111" s="2875" t="n"/>
      <c r="X111" s="5233" t="n"/>
      <c r="Y111" s="382">
        <f>T111&lt;&gt;""</f>
        <v/>
      </c>
    </row>
    <row r="112" ht="27.75" customHeight="1" s="7635">
      <c r="A112" s="139" t="n"/>
      <c r="B112" s="8151" t="n"/>
      <c r="C112" s="12061" t="n"/>
      <c r="D112" s="12061" t="n"/>
      <c r="E112" s="12061" t="n"/>
      <c r="F112" s="12061" t="n"/>
      <c r="G112" s="12061" t="n"/>
      <c r="H112" s="12061" t="n"/>
      <c r="I112" s="12061" t="n"/>
      <c r="J112" s="12061" t="n"/>
      <c r="K112" s="12061" t="n"/>
      <c r="L112" s="12061" t="n"/>
      <c r="M112" s="12061" t="n"/>
      <c r="N112" s="12061" t="n"/>
      <c r="O112" s="12061" t="n"/>
      <c r="P112" s="12061" t="n"/>
      <c r="Q112" s="12061" t="n"/>
      <c r="R112" s="12061" t="n"/>
      <c r="S112" s="12080" t="n"/>
      <c r="T112" s="8152" t="n"/>
      <c r="U112" s="11717" t="n"/>
      <c r="V112" s="139" t="n"/>
      <c r="W112" s="2875" t="n"/>
      <c r="X112" s="5233" t="n"/>
      <c r="Y112" s="382">
        <f>T112&lt;&gt;""</f>
        <v/>
      </c>
    </row>
    <row r="113" ht="27.75" customHeight="1" s="7635">
      <c r="A113" s="139" t="n"/>
      <c r="B113" s="8190" t="n"/>
      <c r="C113" s="12074" t="n"/>
      <c r="D113" s="12074" t="n"/>
      <c r="E113" s="12074" t="n"/>
      <c r="F113" s="12074" t="n"/>
      <c r="G113" s="12074" t="n"/>
      <c r="H113" s="12074" t="n"/>
      <c r="I113" s="12074" t="n"/>
      <c r="J113" s="12074" t="n"/>
      <c r="K113" s="12074" t="n"/>
      <c r="L113" s="12074" t="n"/>
      <c r="M113" s="12074" t="n"/>
      <c r="N113" s="12074" t="n"/>
      <c r="O113" s="12074" t="n"/>
      <c r="P113" s="12074" t="n"/>
      <c r="Q113" s="12074" t="n"/>
      <c r="R113" s="12074" t="n"/>
      <c r="S113" s="12081" t="n"/>
      <c r="T113" s="8152" t="n"/>
      <c r="U113" s="11717" t="n"/>
      <c r="V113" s="139" t="n"/>
      <c r="W113" s="2875" t="n"/>
      <c r="X113" s="5233" t="n"/>
      <c r="Y113" s="382">
        <f>T113&lt;&gt;""</f>
        <v/>
      </c>
    </row>
    <row r="114" ht="27.75" customHeight="1" s="7635" thickBot="1">
      <c r="A114" s="139" t="n"/>
      <c r="B114" s="6570" t="n">
        <v>48</v>
      </c>
      <c r="C114" s="6571" t="inlineStr">
        <is>
          <t>Total other expenses.   Enter here and on line 27b</t>
        </is>
      </c>
      <c r="D114" s="6572" t="n"/>
      <c r="E114" s="6573" t="n"/>
      <c r="F114" s="6573" t="n"/>
      <c r="G114" s="6573" t="n"/>
      <c r="H114" s="6573" t="n"/>
      <c r="I114" s="6573" t="n"/>
      <c r="J114" s="6573" t="n"/>
      <c r="K114" s="6573" t="n"/>
      <c r="L114" s="6573" t="n"/>
      <c r="M114" s="6573" t="n"/>
      <c r="N114" s="6573" t="n"/>
      <c r="O114" s="6573" t="n"/>
      <c r="P114" s="6573" t="n"/>
      <c r="Q114" s="6571" t="n"/>
      <c r="R114" s="6574" t="inlineStr">
        <is>
          <t xml:space="preserve"> .   .   .   .   .   .   .   .   .   .   .   .   .   .   .   .   .    .   .   .   .   .   .   . </t>
        </is>
      </c>
      <c r="S114" s="6575" t="n">
        <v>48</v>
      </c>
      <c r="T114" s="8191">
        <f>IF(Y114,ROUND(SUM(T105,T106,T107,T108,T109,T110,T111,T112,T113),0),"")</f>
        <v/>
      </c>
      <c r="U114" s="11822" t="n"/>
      <c r="V114" s="139" t="n"/>
      <c r="W114" s="2875" t="n"/>
      <c r="X114" s="5233" t="n"/>
      <c r="Y114" s="382">
        <f>OR(Y105:Y113)</f>
        <v/>
      </c>
    </row>
    <row r="115" ht="16.5" customHeight="1" s="7635" thickTop="1">
      <c r="A115" s="139" t="n"/>
      <c r="B115" s="6564" t="n"/>
      <c r="C115" s="6564" t="n"/>
      <c r="D115" s="6564" t="n"/>
      <c r="E115" s="6564" t="n"/>
      <c r="F115" s="6565" t="n"/>
      <c r="G115" s="6565" t="n"/>
      <c r="H115" s="6565" t="n"/>
      <c r="I115" s="6566" t="n"/>
      <c r="J115" s="6566" t="n"/>
      <c r="K115" s="6566" t="n"/>
      <c r="L115" s="6567" t="n"/>
      <c r="M115" s="6566" t="n"/>
      <c r="N115" s="6565" t="n"/>
      <c r="O115" s="6565" t="n"/>
      <c r="P115" s="6568" t="n"/>
      <c r="Q115" s="6565" t="n"/>
      <c r="R115" s="6565" t="n"/>
      <c r="S115" s="6569" t="n"/>
      <c r="T115" s="6569" t="n"/>
      <c r="U115" s="6569">
        <f>"Schedule C   (Form 1040)  "&amp;TaxYear</f>
        <v/>
      </c>
      <c r="V115" s="139" t="n"/>
      <c r="W115" s="2875" t="n"/>
      <c r="X115" s="5233" t="n"/>
    </row>
    <row r="116" ht="20.25" customHeight="1" s="7635">
      <c r="A116" s="139" t="n"/>
      <c r="B116" s="3574" t="inlineStr">
        <is>
          <t>SCHEDULE C</t>
        </is>
      </c>
      <c r="C116" s="5234" t="n"/>
      <c r="D116" s="5235" t="n"/>
      <c r="E116" s="2754" t="n"/>
      <c r="F116" s="5236" t="n"/>
      <c r="G116" s="5237" t="n"/>
      <c r="H116" s="5237" t="n"/>
      <c r="I116" s="10336" t="inlineStr">
        <is>
          <t>Profit or Loss from Business</t>
        </is>
      </c>
      <c r="J116" s="2756" t="n"/>
      <c r="K116" s="2756" t="n"/>
      <c r="L116" s="3097" t="n"/>
      <c r="M116" s="2756" t="n"/>
      <c r="N116" s="5237" t="n"/>
      <c r="O116" s="5237" t="n"/>
      <c r="P116" s="4240" t="n"/>
      <c r="Q116" s="5238" t="n"/>
      <c r="R116" s="8212">
        <f>IF(AND(V116="",'Table of Contents'!A35="D"),"DRAFT","OMB No. 1545-0074")</f>
        <v/>
      </c>
      <c r="S116" s="7637" t="n"/>
      <c r="T116" s="7637" t="n"/>
      <c r="U116" s="7637" t="n"/>
      <c r="V116" s="8860" t="n"/>
      <c r="W116" s="5239" t="inlineStr">
        <is>
          <t>Your SSN</t>
        </is>
      </c>
      <c r="X116" s="1846">
        <f>IF(X117&lt;&gt;"","","X")</f>
        <v/>
      </c>
      <c r="Y116" s="7834">
        <f>X116&lt;&gt;""</f>
        <v/>
      </c>
    </row>
    <row r="117" ht="20.25" customHeight="1" s="7635">
      <c r="A117" s="139" t="n"/>
      <c r="B117" s="3662" t="inlineStr">
        <is>
          <t>(Form 1040)</t>
        </is>
      </c>
      <c r="C117" s="5234" t="n"/>
      <c r="D117" s="12065" t="n"/>
      <c r="E117" s="2754" t="n"/>
      <c r="F117" s="2754" t="n"/>
      <c r="G117" s="2754" t="n"/>
      <c r="H117" s="8318" t="n"/>
      <c r="I117" s="5183" t="inlineStr">
        <is>
          <t>(Sole Proprietorship)</t>
        </is>
      </c>
      <c r="J117" s="2995" t="n"/>
      <c r="K117" s="2995" t="n"/>
      <c r="L117" s="2754" t="n"/>
      <c r="M117" s="8665" t="n"/>
      <c r="N117" s="8318" t="n"/>
      <c r="O117" s="8318" t="n"/>
      <c r="P117" s="4240" t="n"/>
      <c r="Q117" s="2754" t="n"/>
      <c r="R117" s="8214">
        <f>TaxYear</f>
        <v/>
      </c>
      <c r="S117" s="7839" t="n"/>
      <c r="T117" s="7839" t="n"/>
      <c r="U117" s="7839" t="n"/>
      <c r="V117" s="139" t="n"/>
      <c r="W117" s="5239" t="inlineStr">
        <is>
          <t>Spouse's SSN</t>
        </is>
      </c>
      <c r="X117" s="299" t="inlineStr">
        <is>
          <t>X</t>
        </is>
      </c>
      <c r="Y117" s="7834">
        <f>X117&lt;&gt;""</f>
        <v/>
      </c>
    </row>
    <row r="118" ht="18.75" customHeight="1" s="7635">
      <c r="A118" s="139" t="n"/>
      <c r="B118" s="12066" t="inlineStr">
        <is>
          <t>Department of the Treasury
Internal Revenue Service  (99)</t>
        </is>
      </c>
      <c r="C118" s="7636" t="n"/>
      <c r="D118" s="12082" t="inlineStr">
        <is>
          <t>Attach to Form 1040, 1040-SR, 1040-NR, or 1041; partnerships generally must file Form 1065.</t>
        </is>
      </c>
      <c r="Q118" s="1066" t="n"/>
      <c r="R118" s="8208" t="inlineStr">
        <is>
          <t>Attachment Sequence No.</t>
        </is>
      </c>
      <c r="U118" s="12068" t="inlineStr">
        <is>
          <t>09</t>
        </is>
      </c>
      <c r="V118" s="139" t="n"/>
      <c r="W118" s="2875" t="n"/>
      <c r="X118" s="5233" t="n"/>
    </row>
    <row r="119" ht="12" customHeight="1" s="7635">
      <c r="A119" s="139" t="n"/>
      <c r="B119" s="7637" t="n"/>
      <c r="C119" s="7638" t="n"/>
      <c r="D119" s="12069" t="inlineStr">
        <is>
          <t>Go to www.irs.gov/ScheduleC for instructions and the latest information.</t>
        </is>
      </c>
      <c r="E119" s="7637" t="n"/>
      <c r="F119" s="7637" t="n"/>
      <c r="G119" s="7637" t="n"/>
      <c r="H119" s="7637" t="n"/>
      <c r="I119" s="7637" t="n"/>
      <c r="J119" s="7637" t="n"/>
      <c r="K119" s="7637" t="n"/>
      <c r="L119" s="7637" t="n"/>
      <c r="M119" s="7637" t="n"/>
      <c r="N119" s="7637" t="n"/>
      <c r="O119" s="7637" t="n"/>
      <c r="P119" s="7637" t="n"/>
      <c r="Q119" s="12070" t="n"/>
      <c r="R119" s="11907" t="n"/>
      <c r="S119" s="7637" t="n"/>
      <c r="T119" s="7637" t="n"/>
      <c r="U119" s="7637" t="n"/>
      <c r="V119" s="139" t="n"/>
      <c r="W119" s="8195">
        <f>IF(Y125,"Invalid selection.",IF(AND(NOT(Y120),NOT(Y122),NOT(Y124)),"Indicate which "&amp;CHAR(10)&amp;"Sch. SE is to be linked to this form.",IF(AND(Y120,Y122),"This Sch. C is linked to both "&amp;CHAR(10)&amp;"Sch. SEs",IF(Y120,"This Sch. C is linked to the first "&amp;CHAR(10)&amp;"Sch. SE",IF(Y122,"This Sch. C is linked to the second "&amp;CHAR(10)&amp;"Sch. SE",IF(Y124,"This Sch. C is not linked to either Sch. SE.",""))))))</f>
        <v/>
      </c>
      <c r="X119" s="299" t="n"/>
      <c r="Y119" s="8648" t="inlineStr">
        <is>
          <t>#1</t>
        </is>
      </c>
      <c r="Z119" s="8648" t="n"/>
      <c r="AA119" s="8648" t="n"/>
      <c r="AB119" s="8648" t="n"/>
    </row>
    <row r="120" ht="11.25" customHeight="1" s="7635">
      <c r="A120" s="139" t="n"/>
      <c r="B120" s="8665" t="inlineStr">
        <is>
          <t>Name of Proprietor</t>
        </is>
      </c>
      <c r="C120" s="2754" t="n"/>
      <c r="D120" s="2754" t="n"/>
      <c r="E120" s="2754" t="n"/>
      <c r="F120" s="2755" t="n"/>
      <c r="G120" s="2755" t="n"/>
      <c r="H120" s="2756" t="n"/>
      <c r="I120" s="2753" t="n"/>
      <c r="J120" s="2753" t="n"/>
      <c r="K120" s="2753" t="n"/>
      <c r="L120" s="5242" t="n"/>
      <c r="M120" s="5243" t="inlineStr">
        <is>
          <t xml:space="preserve">  Social security number (SSN)</t>
        </is>
      </c>
      <c r="N120" s="2756" t="n"/>
      <c r="O120" s="2756" t="n"/>
      <c r="P120" s="2756" t="n"/>
      <c r="Q120" s="2755" t="n"/>
      <c r="R120" s="2755" t="n"/>
      <c r="S120" s="2755" t="n"/>
      <c r="T120" s="2755" t="n"/>
      <c r="U120" s="2755" t="n"/>
      <c r="V120" s="139" t="n"/>
      <c r="X120" s="5233" t="n"/>
      <c r="Y120" s="7834">
        <f>(X119&lt;&gt;"")</f>
        <v/>
      </c>
      <c r="Z120" s="7834" t="n"/>
      <c r="AA120" s="7834" t="n"/>
      <c r="AB120" s="7834" t="n"/>
    </row>
    <row r="121" ht="12" customHeight="1" s="7635" thickBot="1">
      <c r="A121" s="139" t="n"/>
      <c r="B121" s="8187" t="n"/>
      <c r="C121" s="11717" t="n"/>
      <c r="D121" s="11717" t="n"/>
      <c r="E121" s="11717" t="n"/>
      <c r="F121" s="11717" t="n"/>
      <c r="G121" s="11717" t="n"/>
      <c r="H121" s="11717" t="n"/>
      <c r="I121" s="11717" t="n"/>
      <c r="J121" s="11717" t="n"/>
      <c r="K121" s="11717" t="n"/>
      <c r="L121" s="11718" t="n"/>
      <c r="M121" s="12071">
        <f>IF(AND(SS_Yours&lt;&gt;"",X116&lt;&gt;""),SS_Yours,IF(SS_Spouse&lt;&gt;"",SS_Spouse,2))</f>
        <v/>
      </c>
      <c r="N121" s="11705" t="n"/>
      <c r="O121" s="11705" t="n"/>
      <c r="P121" s="11705" t="n"/>
      <c r="Q121" s="11705" t="n"/>
      <c r="R121" s="11705" t="n"/>
      <c r="S121" s="11705" t="n"/>
      <c r="T121" s="11705" t="n"/>
      <c r="U121" s="11705" t="n"/>
      <c r="V121" s="139" t="n"/>
      <c r="X121" s="299" t="inlineStr">
        <is>
          <t>X</t>
        </is>
      </c>
      <c r="Y121" s="8648" t="inlineStr">
        <is>
          <t>#2</t>
        </is>
      </c>
      <c r="Z121" s="8648" t="n"/>
      <c r="AA121" s="8648" t="n"/>
      <c r="AB121" s="8648" t="n"/>
    </row>
    <row r="122" ht="14.25" customHeight="1" s="7635" thickTop="1">
      <c r="A122" s="139" t="n"/>
      <c r="B122" s="2826" t="inlineStr">
        <is>
          <t>A</t>
        </is>
      </c>
      <c r="C122" s="8665" t="inlineStr">
        <is>
          <t>Principal business or profession, including product or service (see instructions)</t>
        </is>
      </c>
      <c r="D122" s="8665" t="n"/>
      <c r="E122" s="2754" t="n"/>
      <c r="F122" s="2755" t="n"/>
      <c r="G122" s="2755" t="n"/>
      <c r="H122" s="2756" t="n"/>
      <c r="I122" s="2753" t="n"/>
      <c r="J122" s="2753" t="n"/>
      <c r="K122" s="2753" t="n"/>
      <c r="L122" s="2756" t="n"/>
      <c r="M122" s="5244" t="inlineStr">
        <is>
          <t>B  Enter code from instructions</t>
        </is>
      </c>
      <c r="N122" s="3555" t="n"/>
      <c r="O122" s="3555" t="n"/>
      <c r="P122" s="3555" t="n"/>
      <c r="Q122" s="3554" t="n"/>
      <c r="R122" s="3554" t="n"/>
      <c r="S122" s="3554" t="n"/>
      <c r="T122" s="3554" t="n"/>
      <c r="U122" s="5245" t="n"/>
      <c r="V122" s="139" t="n"/>
      <c r="X122" s="5233" t="n"/>
      <c r="Y122" s="7834">
        <f>(X121&lt;&gt;"")</f>
        <v/>
      </c>
      <c r="Z122" s="7834" t="n"/>
      <c r="AA122" s="7834" t="n"/>
      <c r="AB122" s="7834" t="n"/>
    </row>
    <row r="123" ht="12.75" customHeight="1" s="7635" thickBot="1">
      <c r="A123" s="139" t="n"/>
      <c r="B123" s="8185" t="n"/>
      <c r="C123" s="11717" t="n"/>
      <c r="D123" s="11717" t="n"/>
      <c r="E123" s="11717" t="n"/>
      <c r="F123" s="11717" t="n"/>
      <c r="G123" s="11717" t="n"/>
      <c r="H123" s="11717" t="n"/>
      <c r="I123" s="11717" t="n"/>
      <c r="J123" s="11717" t="n"/>
      <c r="K123" s="11717" t="n"/>
      <c r="L123" s="12072" t="n"/>
      <c r="M123" s="5246" t="n"/>
      <c r="N123" s="1659" t="n"/>
      <c r="O123" s="1659" t="n"/>
      <c r="P123" s="1659" t="n"/>
      <c r="Q123" s="1659" t="n"/>
      <c r="R123" s="1659" t="n"/>
      <c r="S123" s="1659" t="n"/>
      <c r="T123" s="5247" t="n"/>
      <c r="U123" s="5248" t="n"/>
      <c r="V123" s="139" t="n"/>
      <c r="X123" s="299" t="n"/>
      <c r="Y123" s="8648" t="inlineStr">
        <is>
          <t>Neither</t>
        </is>
      </c>
      <c r="Z123" s="8648" t="n"/>
      <c r="AA123" s="8648" t="n"/>
      <c r="AB123" s="8648" t="n"/>
    </row>
    <row r="124" ht="12.75" customHeight="1" s="7635" thickTop="1">
      <c r="A124" s="139" t="n"/>
      <c r="B124" s="2826" t="inlineStr">
        <is>
          <t>C</t>
        </is>
      </c>
      <c r="C124" s="8665" t="inlineStr">
        <is>
          <t>Business name.  If no separate business name, leave blank.</t>
        </is>
      </c>
      <c r="D124" s="8665" t="n"/>
      <c r="E124" s="2754" t="n"/>
      <c r="F124" s="2755" t="n"/>
      <c r="G124" s="2755" t="n"/>
      <c r="H124" s="2756" t="n"/>
      <c r="I124" s="2753" t="n"/>
      <c r="J124" s="2753" t="n"/>
      <c r="K124" s="2753" t="n"/>
      <c r="L124" s="5242" t="n"/>
      <c r="M124" s="5249" t="inlineStr">
        <is>
          <t>D  Employer ID number (EIN) (see instr.)</t>
        </is>
      </c>
      <c r="N124" s="2756" t="n"/>
      <c r="O124" s="2756" t="n"/>
      <c r="P124" s="2756" t="n"/>
      <c r="Q124" s="2755" t="n"/>
      <c r="R124" s="2755" t="n"/>
      <c r="S124" s="2755" t="n"/>
      <c r="T124" s="2755" t="n"/>
      <c r="U124" s="2755" t="n"/>
      <c r="V124" s="139" t="n"/>
      <c r="W124" s="2875" t="n"/>
      <c r="X124" s="5233" t="n"/>
      <c r="Y124" s="7834">
        <f>(X123&lt;&gt;"")</f>
        <v/>
      </c>
      <c r="Z124" s="7834" t="n"/>
      <c r="AA124" s="7834" t="n"/>
      <c r="AB124" s="7834" t="n"/>
    </row>
    <row r="125" ht="12" customHeight="1" s="7635">
      <c r="A125" s="139" t="n"/>
      <c r="B125" s="8184" t="n"/>
      <c r="C125" s="11717" t="n"/>
      <c r="D125" s="11717" t="n"/>
      <c r="E125" s="11717" t="n"/>
      <c r="F125" s="11717" t="n"/>
      <c r="G125" s="11717" t="n"/>
      <c r="H125" s="11717" t="n"/>
      <c r="I125" s="11717" t="n"/>
      <c r="J125" s="11717" t="n"/>
      <c r="K125" s="11717" t="n"/>
      <c r="L125" s="11718" t="n"/>
      <c r="M125" s="284" t="n"/>
      <c r="N125" s="285" t="n"/>
      <c r="O125" s="286" t="n"/>
      <c r="P125" s="284" t="n"/>
      <c r="Q125" s="284" t="n"/>
      <c r="R125" s="284" t="n"/>
      <c r="S125" s="284" t="n"/>
      <c r="T125" s="1601" t="n"/>
      <c r="U125" s="1795" t="n"/>
      <c r="V125" s="139" t="n"/>
      <c r="W125" s="2875" t="n"/>
      <c r="X125" s="5233" t="n"/>
      <c r="Y125" s="7834">
        <f>OR(AND(Y120,Y124),AND(Y122,Y124))</f>
        <v/>
      </c>
      <c r="Z125" s="7834" t="n"/>
      <c r="AA125" s="7834" t="n"/>
      <c r="AB125" s="7834" t="n"/>
    </row>
    <row r="126" ht="14.25" customHeight="1" s="7635">
      <c r="A126" s="139" t="n"/>
      <c r="B126" s="2826" t="inlineStr">
        <is>
          <t>E</t>
        </is>
      </c>
      <c r="C126" s="8665" t="inlineStr">
        <is>
          <t>Business address (including suite or room no.)</t>
        </is>
      </c>
      <c r="D126" s="8665" t="n"/>
      <c r="E126" s="2754" t="n"/>
      <c r="F126" s="2755" t="n"/>
      <c r="G126" s="2755" t="n"/>
      <c r="H126" s="5337" t="n"/>
      <c r="I126" s="8182" t="n"/>
      <c r="J126" s="12073" t="n"/>
      <c r="K126" s="12073" t="n"/>
      <c r="L126" s="12073" t="n"/>
      <c r="M126" s="12073" t="n"/>
      <c r="N126" s="12073" t="n"/>
      <c r="O126" s="12073" t="n"/>
      <c r="P126" s="12073" t="n"/>
      <c r="Q126" s="12073" t="n"/>
      <c r="R126" s="12073" t="n"/>
      <c r="S126" s="12073" t="n"/>
      <c r="T126" s="12073" t="n"/>
      <c r="U126" s="12073" t="n"/>
      <c r="V126" s="139" t="n"/>
      <c r="W126" s="2875" t="n"/>
      <c r="X126" s="5233" t="n"/>
    </row>
    <row r="127" ht="11.25" customHeight="1" s="7635">
      <c r="A127" s="139" t="n"/>
      <c r="B127" s="5251" t="n"/>
      <c r="C127" s="5212" t="inlineStr">
        <is>
          <t>City, town or post office, state, and ZIP code</t>
        </is>
      </c>
      <c r="D127" s="5212" t="n"/>
      <c r="E127" s="5101" t="n"/>
      <c r="F127" s="3565" t="n"/>
      <c r="G127" s="3565" t="n"/>
      <c r="H127" s="3565" t="n"/>
      <c r="I127" s="8188" t="n"/>
      <c r="J127" s="12074" t="n"/>
      <c r="K127" s="12074" t="n"/>
      <c r="L127" s="12074" t="n"/>
      <c r="M127" s="12074" t="n"/>
      <c r="N127" s="12074" t="n"/>
      <c r="O127" s="12074" t="n"/>
      <c r="P127" s="12074" t="n"/>
      <c r="Q127" s="12074" t="n"/>
      <c r="R127" s="12074" t="n"/>
      <c r="S127" s="12074" t="n"/>
      <c r="T127" s="12074" t="n"/>
      <c r="U127" s="12074" t="n"/>
      <c r="V127" s="139" t="n"/>
      <c r="W127" s="2875" t="n"/>
      <c r="X127" s="5233" t="n"/>
    </row>
    <row r="128" ht="4.5" customHeight="1" s="7635" thickBot="1">
      <c r="A128" s="139" t="n"/>
      <c r="B128" s="5252" t="n"/>
      <c r="C128" s="8665" t="n"/>
      <c r="D128" s="8665" t="n"/>
      <c r="E128" s="2754" t="n"/>
      <c r="F128" s="2755" t="n"/>
      <c r="G128" s="2755" t="n"/>
      <c r="H128" s="2755" t="n"/>
      <c r="I128" s="1602" t="n"/>
      <c r="J128" s="238" t="n"/>
      <c r="K128" s="5253" t="n"/>
      <c r="L128" s="239" t="n"/>
      <c r="M128" s="239" t="n"/>
      <c r="N128" s="239" t="n"/>
      <c r="O128" s="239" t="n"/>
      <c r="P128" s="239" t="n"/>
      <c r="Q128" s="239" t="n"/>
      <c r="R128" s="239" t="n"/>
      <c r="S128" s="239" t="n"/>
      <c r="T128" s="239" t="n"/>
      <c r="U128" s="239" t="n"/>
      <c r="V128" s="139" t="n"/>
      <c r="W128" s="2875" t="n"/>
      <c r="X128" s="5233" t="n"/>
    </row>
    <row r="129" ht="13.5" customHeight="1" s="7635" thickBot="1">
      <c r="A129" s="139" t="n"/>
      <c r="B129" s="2826" t="inlineStr">
        <is>
          <t>F</t>
        </is>
      </c>
      <c r="C129" s="8665" t="inlineStr">
        <is>
          <t>Accounting method:          (1)</t>
        </is>
      </c>
      <c r="D129" s="8665" t="n"/>
      <c r="E129" s="282" t="n"/>
      <c r="F129" s="5254" t="inlineStr">
        <is>
          <t>Cash</t>
        </is>
      </c>
      <c r="G129" s="8374">
        <f>"(2) "</f>
        <v/>
      </c>
      <c r="H129" s="282" t="n"/>
      <c r="I129" s="8665" t="inlineStr">
        <is>
          <t>Accrual</t>
        </is>
      </c>
      <c r="J129" s="8374">
        <f>"(3)"</f>
        <v/>
      </c>
      <c r="K129" s="282" t="n"/>
      <c r="L129" s="8665" t="inlineStr">
        <is>
          <t>Other (specify)</t>
        </is>
      </c>
      <c r="M129" s="8665" t="n"/>
      <c r="N129" s="8202" t="n"/>
      <c r="O129" s="11730" t="n"/>
      <c r="P129" s="11730" t="n"/>
      <c r="Q129" s="11730" t="n"/>
      <c r="R129" s="11730" t="n"/>
      <c r="S129" s="11730" t="n"/>
      <c r="T129" s="11730" t="n"/>
      <c r="U129" s="11730" t="n"/>
      <c r="V129" s="139" t="n"/>
      <c r="W129" s="2875" t="n"/>
      <c r="X129" s="5233" t="n"/>
    </row>
    <row r="130" ht="5.25" customHeight="1" s="7635" thickBot="1">
      <c r="A130" s="139" t="n"/>
      <c r="B130" s="2826" t="n"/>
      <c r="C130" s="8665" t="n"/>
      <c r="D130" s="8665" t="n"/>
      <c r="E130" s="1603" t="n"/>
      <c r="F130" s="2755" t="n"/>
      <c r="G130" s="8374" t="n"/>
      <c r="H130" s="1604" t="n"/>
      <c r="I130" s="8665" t="n"/>
      <c r="J130" s="3016" t="n"/>
      <c r="K130" s="1604" t="n"/>
      <c r="L130" s="8665" t="n"/>
      <c r="M130" s="8665" t="n"/>
      <c r="N130" s="5255" t="n"/>
      <c r="O130" s="1605" t="n"/>
      <c r="P130" s="1605" t="n"/>
      <c r="Q130" s="1605" t="n"/>
      <c r="R130" s="1605" t="n"/>
      <c r="S130" s="1605" t="n"/>
      <c r="T130" s="1605" t="n"/>
      <c r="U130" s="1605" t="n"/>
      <c r="V130" s="139" t="n"/>
      <c r="W130" s="2875" t="n"/>
      <c r="X130" s="5233" t="n"/>
    </row>
    <row r="131" ht="15" customHeight="1" s="7635" thickBot="1">
      <c r="A131" s="139" t="n"/>
      <c r="B131" s="2826" t="inlineStr">
        <is>
          <t>G</t>
        </is>
      </c>
      <c r="C131" s="8665">
        <f>"Did you 'materially participate' in the operation of this business during "&amp;TaxYear&amp;"? If 'No,' see instructions for limit on losses."</f>
        <v/>
      </c>
      <c r="D131" s="2753" t="n"/>
      <c r="E131" s="2755" t="n"/>
      <c r="F131" s="2755" t="n"/>
      <c r="G131" s="8374" t="n"/>
      <c r="H131" s="2755" t="n"/>
      <c r="I131" s="8665" t="n"/>
      <c r="J131" s="3016" t="n"/>
      <c r="K131" s="3016" t="n"/>
      <c r="L131" s="2755" t="n"/>
      <c r="M131" s="8665" t="n"/>
      <c r="N131" s="2755" t="n"/>
      <c r="O131" s="2755" t="n"/>
      <c r="P131" s="2755" t="n"/>
      <c r="Q131" s="2755" t="n"/>
      <c r="R131" s="282" t="n"/>
      <c r="S131" s="2995" t="inlineStr">
        <is>
          <t>Yes</t>
        </is>
      </c>
      <c r="T131" s="282" t="n"/>
      <c r="U131" s="2995" t="inlineStr">
        <is>
          <t>No</t>
        </is>
      </c>
      <c r="V131" s="139" t="n"/>
      <c r="W131" s="2875" t="n"/>
      <c r="X131" s="5233" t="n"/>
    </row>
    <row r="132" ht="12.75" customHeight="1" s="7635" thickBot="1">
      <c r="A132" s="139" t="n"/>
      <c r="B132" s="2826" t="inlineStr">
        <is>
          <t>H</t>
        </is>
      </c>
      <c r="C132" s="8665">
        <f>"If you started or acquired this business during "&amp;TaxYear&amp;", check here"</f>
        <v/>
      </c>
      <c r="D132" s="8665" t="n"/>
      <c r="E132" s="2754" t="n"/>
      <c r="F132" s="2755" t="n"/>
      <c r="G132" s="2755" t="n"/>
      <c r="H132" s="5255" t="n"/>
      <c r="I132" s="5256" t="n"/>
      <c r="J132" s="5256" t="n"/>
      <c r="K132" s="5256" t="n"/>
      <c r="L132" s="5255" t="n"/>
      <c r="M132" s="5256" t="n"/>
      <c r="N132" s="5255" t="n"/>
      <c r="O132" s="5255" t="n"/>
      <c r="P132" s="5255" t="n"/>
      <c r="Q132" s="3016" t="inlineStr">
        <is>
          <t xml:space="preserve">.   .   .   .   .   .   .   .   .   .   .   .   .   .   .   .   .   .   .   .  </t>
        </is>
      </c>
      <c r="R132" s="282" t="n"/>
      <c r="S132" s="3016" t="n"/>
      <c r="T132" s="241" t="n"/>
      <c r="U132" s="2755" t="n"/>
      <c r="V132" s="139" t="n"/>
      <c r="W132" s="2875" t="n"/>
      <c r="X132" s="5233" t="n"/>
    </row>
    <row r="133" ht="12.75" customHeight="1" s="7635" thickBot="1">
      <c r="A133" s="139" t="n"/>
      <c r="B133" s="2826" t="inlineStr">
        <is>
          <t>I</t>
        </is>
      </c>
      <c r="C133" s="8665">
        <f>"Did you make any payments in "&amp;TaxYear&amp;" that would require you to file Form(s) 1099? (see instructions) "</f>
        <v/>
      </c>
      <c r="D133" s="2753" t="n"/>
      <c r="E133" s="2755" t="n"/>
      <c r="F133" s="2755" t="n"/>
      <c r="G133" s="8374" t="n"/>
      <c r="H133" s="2755" t="n"/>
      <c r="I133" s="8665" t="n"/>
      <c r="J133" s="3016" t="n"/>
      <c r="K133" s="3016" t="n"/>
      <c r="L133" s="2755" t="n"/>
      <c r="M133" s="8665" t="n"/>
      <c r="N133" s="2755" t="n"/>
      <c r="O133" s="2755" t="n"/>
      <c r="P133" s="2755" t="n"/>
      <c r="Q133" s="3016" t="inlineStr">
        <is>
          <t xml:space="preserve">.   .   .   .   .   .  </t>
        </is>
      </c>
      <c r="R133" s="282" t="n"/>
      <c r="S133" s="2995" t="inlineStr">
        <is>
          <t>Yes</t>
        </is>
      </c>
      <c r="T133" s="282" t="n"/>
      <c r="U133" s="2995" t="inlineStr">
        <is>
          <t>No</t>
        </is>
      </c>
      <c r="V133" s="139" t="n"/>
      <c r="W133" s="2875" t="n"/>
      <c r="X133" s="5233" t="n"/>
    </row>
    <row r="134" ht="12.75" customHeight="1" s="7635" thickBot="1">
      <c r="A134" s="139" t="n"/>
      <c r="B134" s="2826" t="inlineStr">
        <is>
          <t>J</t>
        </is>
      </c>
      <c r="C134" s="8665" t="inlineStr">
        <is>
          <t>If "Yes," did you or will you file all required Form(s) 1099?</t>
        </is>
      </c>
      <c r="D134" s="2753" t="n"/>
      <c r="E134" s="2755" t="n"/>
      <c r="F134" s="2755" t="n"/>
      <c r="G134" s="8374" t="n"/>
      <c r="H134" s="2755" t="n"/>
      <c r="I134" s="8665" t="n"/>
      <c r="J134" s="3016" t="n"/>
      <c r="K134" s="3016" t="n"/>
      <c r="L134" s="2755" t="n"/>
      <c r="M134" s="8665" t="n"/>
      <c r="N134" s="2755" t="n"/>
      <c r="O134" s="2755" t="n"/>
      <c r="P134" s="2755" t="n"/>
      <c r="Q134" s="3016" t="inlineStr">
        <is>
          <t xml:space="preserve"> .   .   .   .   .   .   .   .   .   .   .   .   .   .   .   .   .   .   .   .   .   .   .  </t>
        </is>
      </c>
      <c r="R134" s="282" t="n"/>
      <c r="S134" s="2995" t="inlineStr">
        <is>
          <t>Yes</t>
        </is>
      </c>
      <c r="T134" s="282" t="n"/>
      <c r="U134" s="2995" t="inlineStr">
        <is>
          <t>No</t>
        </is>
      </c>
      <c r="V134" s="139" t="n"/>
      <c r="W134" s="8043" t="inlineStr">
        <is>
          <t>Manual</t>
        </is>
      </c>
      <c r="X134" s="5233" t="n"/>
    </row>
    <row r="135" ht="12.75" customHeight="1" s="7635">
      <c r="A135" s="139" t="n"/>
      <c r="B135" s="5312" t="inlineStr">
        <is>
          <t>Part I</t>
        </is>
      </c>
      <c r="C135" s="10329" t="inlineStr">
        <is>
          <t xml:space="preserve">   Income</t>
        </is>
      </c>
      <c r="D135" s="10329" t="n"/>
      <c r="E135" s="5257" t="n"/>
      <c r="F135" s="5110" t="n"/>
      <c r="G135" s="5110" t="n"/>
      <c r="H135" s="5110" t="n"/>
      <c r="I135" s="5112" t="n"/>
      <c r="J135" s="5112" t="n"/>
      <c r="K135" s="5112" t="n"/>
      <c r="L135" s="5112" t="n"/>
      <c r="M135" s="5112" t="n"/>
      <c r="N135" s="5110" t="n"/>
      <c r="O135" s="5110" t="n"/>
      <c r="P135" s="5258" t="n"/>
      <c r="Q135" s="5110" t="n"/>
      <c r="R135" s="5110" t="n"/>
      <c r="S135" s="5110" t="n"/>
      <c r="T135" s="5110" t="n"/>
      <c r="U135" s="5110" t="n"/>
      <c r="V135" s="139" t="n"/>
      <c r="W135" s="8043" t="inlineStr">
        <is>
          <t>Override ê</t>
        </is>
      </c>
      <c r="X135" s="5233" t="n"/>
    </row>
    <row r="136" ht="15" customHeight="1" s="7635" thickBot="1">
      <c r="A136" s="139" t="n"/>
      <c r="B136" s="2984" t="n">
        <v>1</v>
      </c>
      <c r="C136" s="2769" t="inlineStr">
        <is>
          <t>Gross receipts or sales. See instructions for line 1 and check the box if this income was reported to you on</t>
        </is>
      </c>
      <c r="D136" s="2770" t="n"/>
      <c r="E136" s="10292" t="n"/>
      <c r="F136" s="10292" t="n"/>
      <c r="G136" s="10292" t="n"/>
      <c r="H136" s="10292" t="n"/>
      <c r="I136" s="5259" t="n"/>
      <c r="J136" s="5259" t="n"/>
      <c r="K136" s="5259" t="n"/>
      <c r="L136" s="5259" t="n"/>
      <c r="M136" s="3016" t="n"/>
      <c r="N136" s="10292" t="n"/>
      <c r="O136" s="10292" t="n"/>
      <c r="P136" s="10292" t="n"/>
      <c r="Q136" s="5260" t="n"/>
      <c r="R136" s="3016" t="n"/>
      <c r="S136" s="5261" t="n"/>
      <c r="T136" s="8173">
        <f>IF(Y116,NonEmployeeComp_You,IF(Y117,NonEmployeeComp_Spouse,0))</f>
        <v/>
      </c>
      <c r="U136" s="7839" t="n"/>
      <c r="V136" s="139" t="n"/>
      <c r="W136" s="2875" t="n"/>
      <c r="X136" s="5233" t="n"/>
      <c r="Y136" s="7834">
        <f>(M121=SS_Spouse)</f>
        <v/>
      </c>
      <c r="Z136" s="7834" t="n"/>
      <c r="AA136" s="7834" t="n"/>
      <c r="AB136" s="7834" t="n"/>
    </row>
    <row r="137" ht="12.75" customHeight="1" s="7635" thickBot="1">
      <c r="A137" s="139" t="n"/>
      <c r="B137" s="2984" t="n"/>
      <c r="C137" s="2769" t="inlineStr">
        <is>
          <t>Form W-2 and the “Statutory employee” box on that form was checked</t>
        </is>
      </c>
      <c r="D137" s="2770" t="n"/>
      <c r="E137" s="10292" t="n"/>
      <c r="F137" s="10292" t="n"/>
      <c r="G137" s="10292" t="n"/>
      <c r="H137" s="10292" t="n"/>
      <c r="I137" s="5259" t="n"/>
      <c r="J137" s="5259" t="n"/>
      <c r="K137" s="5259" t="n"/>
      <c r="L137" s="5259" t="n"/>
      <c r="M137" s="3016" t="n"/>
      <c r="N137" s="10292" t="n"/>
      <c r="O137" s="3016" t="inlineStr">
        <is>
          <t xml:space="preserve"> .   .   .   .   .   .   .   .   .   .   .   .   .   .  </t>
        </is>
      </c>
      <c r="P137" s="10292" t="n"/>
      <c r="Q137" s="282" t="n"/>
      <c r="R137" s="3016" t="n"/>
      <c r="S137" s="2773" t="n">
        <v>1</v>
      </c>
      <c r="T137" s="8203">
        <f>IF(W137&lt;&gt;"",ROUND(W137,0),IF(Y116,NonEmployeeComp_You,IF(Y117,NonEmployeeComp_Spouse,0)))</f>
        <v/>
      </c>
      <c r="U137" s="7637" t="n"/>
      <c r="V137" s="139" t="n"/>
      <c r="W137" s="949" t="n"/>
      <c r="X137" s="5233" t="n"/>
      <c r="Y137" s="5263">
        <f>IF(AND(Y136,SchC_StatutoryEmp_2&lt;&gt;""),T137,0)</f>
        <v/>
      </c>
      <c r="Z137" s="6681" t="inlineStr">
        <is>
          <t>Source: 1099-NEC, Box 1</t>
        </is>
      </c>
      <c r="AA137" s="5263" t="n"/>
      <c r="AB137" s="5263" t="n"/>
    </row>
    <row r="138" ht="12.75" customHeight="1" s="7635">
      <c r="A138" s="139" t="n"/>
      <c r="B138" s="2984" t="n">
        <v>2</v>
      </c>
      <c r="C138" s="2769" t="inlineStr">
        <is>
          <t>Returns and allowances</t>
        </is>
      </c>
      <c r="D138" s="2770" t="n"/>
      <c r="E138" s="10292" t="n"/>
      <c r="F138" s="10292" t="n"/>
      <c r="G138" s="10292" t="n"/>
      <c r="H138" s="10292" t="n"/>
      <c r="I138" s="5259" t="n"/>
      <c r="J138" s="5259" t="n"/>
      <c r="K138" s="5259" t="n"/>
      <c r="L138" s="5259" t="n"/>
      <c r="M138" s="5259" t="n"/>
      <c r="N138" s="10292" t="n"/>
      <c r="O138" s="10292" t="n"/>
      <c r="P138" s="8223" t="n"/>
      <c r="Q138" s="10292" t="n"/>
      <c r="R138" s="5265" t="inlineStr">
        <is>
          <t xml:space="preserve">.   .   .   .   .   .   .   .   .   .   .   .   .   .   .   .   .   .   .   .   .   .   .   .   .   .   .   .   .   .   .   .   .   .   .   .   .  </t>
        </is>
      </c>
      <c r="S138" s="2773" t="n">
        <v>2</v>
      </c>
      <c r="T138" s="8204" t="n"/>
      <c r="U138" s="11717" t="n"/>
      <c r="V138" s="139" t="n"/>
      <c r="W138" s="2875" t="n"/>
      <c r="X138" s="5233" t="n"/>
      <c r="Y138" s="5263">
        <f>IF(AND(NOT(Y136),SchC_StatutoryEmp_2&lt;&gt;""),T137,0)</f>
        <v/>
      </c>
      <c r="Z138" s="5263" t="n"/>
      <c r="AA138" s="5263" t="n"/>
      <c r="AB138" s="5263" t="n"/>
    </row>
    <row r="139" ht="12.75" customHeight="1" s="7635">
      <c r="A139" s="139" t="n"/>
      <c r="B139" s="2984" t="n">
        <v>3</v>
      </c>
      <c r="C139" s="5266" t="inlineStr">
        <is>
          <t>Subtract line 2 from line 1</t>
        </is>
      </c>
      <c r="D139" s="5267" t="n"/>
      <c r="E139" s="5267" t="n"/>
      <c r="F139" s="8223" t="n"/>
      <c r="G139" s="8223" t="n"/>
      <c r="H139" s="8223" t="n"/>
      <c r="I139" s="5267" t="n"/>
      <c r="J139" s="5267" t="n"/>
      <c r="K139" s="5267" t="n"/>
      <c r="L139" s="5267" t="n"/>
      <c r="M139" s="5267" t="n"/>
      <c r="N139" s="8223" t="n"/>
      <c r="O139" s="8223" t="n"/>
      <c r="P139" s="5267" t="n"/>
      <c r="Q139" s="8223" t="n"/>
      <c r="R139" s="5265" t="inlineStr">
        <is>
          <t xml:space="preserve">.   .   .   .   .   .   .   .   .   .   .   .   .   .   .   .   .   .   .   .   .   .   .   .   .   .   .   .   .   .   .   .   .   .   .   .  </t>
        </is>
      </c>
      <c r="S139" s="8230" t="n">
        <v>3</v>
      </c>
      <c r="T139" s="8176">
        <f>IF(AND(T137="",T138=""),"",SUM(T137,-T138))</f>
        <v/>
      </c>
      <c r="U139" s="7637" t="n"/>
      <c r="V139" s="139" t="n"/>
      <c r="W139" s="2875" t="n"/>
      <c r="X139" s="5233" t="n"/>
      <c r="Y139" s="7834">
        <f>SUM(Y23,Y137)</f>
        <v/>
      </c>
      <c r="Z139" s="7834" t="n"/>
      <c r="AA139" s="7834" t="n"/>
      <c r="AB139" s="7834" t="n"/>
    </row>
    <row r="140" ht="12.75" customHeight="1" s="7635">
      <c r="A140" s="139" t="n"/>
      <c r="B140" s="2984" t="n">
        <v>4</v>
      </c>
      <c r="C140" s="5266" t="inlineStr">
        <is>
          <t>Cost of goods sold  (from line 42)</t>
        </is>
      </c>
      <c r="D140" s="5267" t="n"/>
      <c r="E140" s="5267" t="n"/>
      <c r="F140" s="8223" t="n"/>
      <c r="G140" s="8223" t="n"/>
      <c r="H140" s="8223" t="n"/>
      <c r="I140" s="5267" t="n"/>
      <c r="J140" s="5267" t="n"/>
      <c r="K140" s="5267" t="n"/>
      <c r="L140" s="5267" t="n"/>
      <c r="M140" s="5267" t="n"/>
      <c r="N140" s="8223" t="n"/>
      <c r="O140" s="8223" t="n"/>
      <c r="P140" s="5267" t="n"/>
      <c r="Q140" s="8223" t="n"/>
      <c r="R140" s="5265" t="inlineStr">
        <is>
          <t xml:space="preserve">.   .   .   .   .   .   .   .   .   .   .   .   .   .   .   .   .   .   .   .   .   .   .   .   .   .   .   .   .   .   .   .   .  </t>
        </is>
      </c>
      <c r="S140" s="8230" t="n">
        <v>4</v>
      </c>
      <c r="T140" s="8176">
        <f>IF(W140&lt;&gt;"",W140,T200)</f>
        <v/>
      </c>
      <c r="U140" s="7637" t="n"/>
      <c r="V140" s="139" t="n"/>
      <c r="W140" s="949" t="n"/>
      <c r="X140" s="5233" t="n"/>
      <c r="Y140" s="7834">
        <f>SUM(Y24,Y138)</f>
        <v/>
      </c>
      <c r="Z140" s="7834">
        <f>IF(T140="",0,T140)</f>
        <v/>
      </c>
      <c r="AA140" s="7834" t="n"/>
      <c r="AB140" s="7834" t="n"/>
    </row>
    <row r="141" ht="12.75" customHeight="1" s="7635">
      <c r="A141" s="139" t="n"/>
      <c r="B141" s="2984" t="n">
        <v>5</v>
      </c>
      <c r="C141" s="5268" t="inlineStr">
        <is>
          <t>Gross profit.  Subtract line 4 from line 3</t>
        </is>
      </c>
      <c r="D141" s="5256" t="n"/>
      <c r="E141" s="5267" t="n"/>
      <c r="F141" s="8223" t="n"/>
      <c r="G141" s="8223" t="n"/>
      <c r="H141" s="8223" t="n"/>
      <c r="I141" s="5267" t="n"/>
      <c r="J141" s="5267" t="n"/>
      <c r="K141" s="5267" t="n"/>
      <c r="L141" s="5267" t="n"/>
      <c r="M141" s="5267" t="n"/>
      <c r="N141" s="8223" t="n"/>
      <c r="O141" s="8223" t="n"/>
      <c r="P141" s="5267" t="n"/>
      <c r="Q141" s="8223" t="n"/>
      <c r="R141" s="5265" t="inlineStr">
        <is>
          <t xml:space="preserve">.   .   .   .   .   .   .   .   .   .   .   .   .   .   .   .   .   .   .   .   .   .   .   .   .   .   .   .   .  </t>
        </is>
      </c>
      <c r="S141" s="8230" t="n">
        <v>5</v>
      </c>
      <c r="T141" s="8176">
        <f>IF(AND(T139="",T140=""),"",SUM(T139,-Z140))</f>
        <v/>
      </c>
      <c r="U141" s="7637" t="n"/>
      <c r="V141" s="139" t="n"/>
      <c r="W141" s="2875" t="n"/>
      <c r="X141" s="5233" t="n"/>
      <c r="Y141" s="7834">
        <f>SUM(SchC_Sp_StatEmp_Inc,SchC_You_StatEmp_Inc)</f>
        <v/>
      </c>
      <c r="Z141" s="7834" t="n"/>
      <c r="AA141" s="7834" t="n"/>
      <c r="AB141" s="7834" t="n"/>
    </row>
    <row r="142" ht="12.75" customHeight="1" s="7635">
      <c r="A142" s="139" t="n"/>
      <c r="B142" s="2984" t="n">
        <v>6</v>
      </c>
      <c r="C142" s="5266" t="inlineStr">
        <is>
          <t>Other income, including federal and state gasoline or fuel tax credit or refund  (see instructions)</t>
        </is>
      </c>
      <c r="D142" s="5267" t="n"/>
      <c r="E142" s="5267" t="n"/>
      <c r="F142" s="8223" t="n"/>
      <c r="G142" s="8223" t="n"/>
      <c r="H142" s="8223" t="n"/>
      <c r="I142" s="5267" t="n"/>
      <c r="J142" s="5267" t="n"/>
      <c r="K142" s="5267" t="n"/>
      <c r="L142" s="5267" t="n"/>
      <c r="M142" s="5267" t="n"/>
      <c r="N142" s="8223" t="n"/>
      <c r="O142" s="8223" t="n"/>
      <c r="P142" s="5267" t="n"/>
      <c r="Q142" s="8223" t="n"/>
      <c r="R142" s="5265" t="inlineStr">
        <is>
          <t xml:space="preserve">.   .   .   .   .   .   .   .  </t>
        </is>
      </c>
      <c r="S142" s="8230" t="n">
        <v>6</v>
      </c>
      <c r="T142" s="8169" t="n"/>
      <c r="U142" s="11717" t="n"/>
      <c r="V142" s="139" t="n"/>
      <c r="W142" s="2875" t="n"/>
      <c r="X142" s="5233" t="n"/>
    </row>
    <row r="143" ht="12.75" customHeight="1" s="7635">
      <c r="A143" s="139" t="n"/>
      <c r="B143" s="2984" t="n">
        <v>7</v>
      </c>
      <c r="C143" s="3097" t="inlineStr">
        <is>
          <t>Gross income.  Add lines 5 and 6</t>
        </is>
      </c>
      <c r="D143" s="2754" t="n"/>
      <c r="E143" s="8665" t="n"/>
      <c r="F143" s="10292" t="n"/>
      <c r="G143" s="10292" t="n"/>
      <c r="H143" s="9663" t="n"/>
      <c r="I143" s="5267" t="n"/>
      <c r="J143" s="5267" t="n"/>
      <c r="K143" s="5267" t="n"/>
      <c r="L143" s="5220" t="n"/>
      <c r="M143" s="5267" t="n"/>
      <c r="N143" s="9663" t="n"/>
      <c r="O143" s="9663" t="n"/>
      <c r="P143" s="5267" t="n"/>
      <c r="Q143" s="10292" t="n"/>
      <c r="R143" s="3016" t="inlineStr">
        <is>
          <t xml:space="preserve">.   .   .   .   .   .   .   .   .   .   .   .   .   .   .   .   .   .   .   .   .   .   .   .   .   .   .   .   .   .   .   . </t>
        </is>
      </c>
      <c r="S143" s="8230" t="n">
        <v>7</v>
      </c>
      <c r="T143" s="8176">
        <f>IF(AND(T141="",T142=""),"",SUM(T141,T142))</f>
        <v/>
      </c>
      <c r="U143" s="7637" t="n"/>
      <c r="V143" s="139" t="n"/>
      <c r="W143" s="2875" t="n"/>
      <c r="X143" s="5233" t="n"/>
    </row>
    <row r="144" ht="12.75" customHeight="1" s="7635">
      <c r="A144" s="139" t="n"/>
      <c r="B144" s="5312" t="inlineStr">
        <is>
          <t>Part II</t>
        </is>
      </c>
      <c r="C144" s="5270" t="inlineStr">
        <is>
          <t xml:space="preserve">   Expenses</t>
        </is>
      </c>
      <c r="D144" s="5110" t="inlineStr">
        <is>
          <t>Enter expenses for business use of your home only on line 30.</t>
        </is>
      </c>
      <c r="E144" s="5110" t="n"/>
      <c r="F144" s="5110" t="n"/>
      <c r="G144" s="5110" t="n"/>
      <c r="H144" s="5257" t="n"/>
      <c r="I144" s="5110" t="n"/>
      <c r="J144" s="5110" t="n"/>
      <c r="K144" s="5110" t="n"/>
      <c r="L144" s="5110" t="n"/>
      <c r="M144" s="5110" t="n"/>
      <c r="N144" s="5110" t="n"/>
      <c r="O144" s="5110" t="n"/>
      <c r="P144" s="5110" t="n"/>
      <c r="Q144" s="5110" t="n"/>
      <c r="R144" s="5110" t="n"/>
      <c r="S144" s="5110" t="n"/>
      <c r="T144" s="5271" t="n"/>
      <c r="U144" s="5271" t="n"/>
      <c r="V144" s="139" t="n"/>
      <c r="W144" s="2875" t="n"/>
      <c r="X144" s="5233" t="n"/>
    </row>
    <row r="145" ht="14.25" customHeight="1" s="7635">
      <c r="A145" s="139" t="n"/>
      <c r="B145" s="2984" t="n">
        <v>8</v>
      </c>
      <c r="C145" s="8647" t="inlineStr">
        <is>
          <t>Advertising .   .   .   .   .   .   .   .   .   .   .   .   .   .   .   .   .   .   .   .   .</t>
        </is>
      </c>
      <c r="D145" s="8647" t="n"/>
      <c r="E145" s="10292" t="n"/>
      <c r="F145" s="10292" t="n"/>
      <c r="G145" s="9663" t="n"/>
      <c r="H145" s="2773">
        <f>B145</f>
        <v/>
      </c>
      <c r="I145" s="752" t="n"/>
      <c r="J145" s="8374" t="n">
        <v>18</v>
      </c>
      <c r="K145" s="8647" t="n"/>
      <c r="L145" s="2769" t="inlineStr">
        <is>
          <t>Office Expense (see instructions)</t>
        </is>
      </c>
      <c r="M145" s="8651" t="n"/>
      <c r="N145" s="8651" t="n"/>
      <c r="O145" s="8651" t="n"/>
      <c r="P145" s="8651" t="n"/>
      <c r="Q145" s="8651" t="n"/>
      <c r="R145" s="3016" t="inlineStr">
        <is>
          <t xml:space="preserve">.   .   .   .   . </t>
        </is>
      </c>
      <c r="S145" s="8230">
        <f>J145</f>
        <v/>
      </c>
      <c r="T145" s="8156" t="n"/>
      <c r="U145" s="8007" t="n"/>
      <c r="V145" s="139" t="n"/>
      <c r="W145" s="2875" t="n"/>
      <c r="X145" s="5233" t="n"/>
    </row>
    <row r="146" ht="14.25" customHeight="1" s="7635">
      <c r="A146" s="139" t="n"/>
      <c r="B146" s="2984" t="n">
        <v>9</v>
      </c>
      <c r="C146" s="8647" t="inlineStr">
        <is>
          <t>Car and truck expenses</t>
        </is>
      </c>
      <c r="D146" s="8647" t="n"/>
      <c r="E146" s="10292" t="n"/>
      <c r="F146" s="10292" t="n"/>
      <c r="G146" s="9663" t="n"/>
      <c r="H146" s="5216" t="n"/>
      <c r="I146" s="5272" t="n"/>
      <c r="J146" s="8374" t="n">
        <v>19</v>
      </c>
      <c r="K146" s="2826" t="n"/>
      <c r="L146" s="3003" t="inlineStr">
        <is>
          <t>Pension and profit-sharing plans</t>
        </is>
      </c>
      <c r="M146" s="3624" t="n"/>
      <c r="N146" s="8647" t="n"/>
      <c r="O146" s="8647" t="n"/>
      <c r="P146" s="5266" t="n"/>
      <c r="Q146" s="5187" t="n"/>
      <c r="R146" s="3016" t="inlineStr">
        <is>
          <t xml:space="preserve">.   .   .   .   . </t>
        </is>
      </c>
      <c r="S146" s="8230">
        <f>J146</f>
        <v/>
      </c>
      <c r="T146" s="8156" t="n"/>
      <c r="U146" s="8007" t="n"/>
      <c r="V146" s="139" t="n"/>
      <c r="W146" s="2875" t="n"/>
      <c r="X146" s="5233" t="n"/>
    </row>
    <row r="147" ht="14.25" customHeight="1" s="7635">
      <c r="A147" s="139" t="n"/>
      <c r="B147" s="2984" t="n"/>
      <c r="C147" s="8647" t="inlineStr">
        <is>
          <t>(see instructions)  .   .   .   .   .   .   .   .   .   .   .   .</t>
        </is>
      </c>
      <c r="D147" s="8647" t="n"/>
      <c r="E147" s="10292" t="n"/>
      <c r="F147" s="10292" t="n"/>
      <c r="G147" s="9663" t="n"/>
      <c r="H147" s="2773">
        <f>B146</f>
        <v/>
      </c>
      <c r="I147" s="753" t="n"/>
      <c r="J147" s="8374" t="n">
        <v>20</v>
      </c>
      <c r="K147" s="2826" t="n"/>
      <c r="L147" s="3003" t="inlineStr">
        <is>
          <t>Rent or lease (see instructions):</t>
        </is>
      </c>
      <c r="M147" s="3624" t="n"/>
      <c r="N147" s="3065" t="n"/>
      <c r="O147" s="3065" t="n"/>
      <c r="P147" s="5266" t="n"/>
      <c r="Q147" s="5187" t="n"/>
      <c r="R147" s="5187" t="n"/>
      <c r="S147" s="5273" t="n"/>
      <c r="T147" s="5274" t="n"/>
      <c r="U147" s="5275" t="n"/>
      <c r="V147" s="139" t="n"/>
      <c r="W147" s="2875" t="n"/>
      <c r="X147" s="5233" t="n"/>
    </row>
    <row r="148" ht="14.25" customHeight="1" s="7635">
      <c r="A148" s="139" t="n"/>
      <c r="B148" s="2984" t="n">
        <v>10</v>
      </c>
      <c r="C148" s="8647" t="inlineStr">
        <is>
          <t>Commissions and fees</t>
        </is>
      </c>
      <c r="D148" s="8647" t="n"/>
      <c r="E148" s="10292" t="n"/>
      <c r="F148" s="10292" t="n"/>
      <c r="G148" s="3016" t="inlineStr">
        <is>
          <t xml:space="preserve">.   .   .   .   .   .  </t>
        </is>
      </c>
      <c r="H148" s="5276">
        <f>B148</f>
        <v/>
      </c>
      <c r="I148" s="752" t="n"/>
      <c r="J148" s="8374" t="n"/>
      <c r="K148" s="2826" t="inlineStr">
        <is>
          <t>a</t>
        </is>
      </c>
      <c r="L148" s="3003" t="inlineStr">
        <is>
          <t>Vehicles, machinery and equipment</t>
        </is>
      </c>
      <c r="M148" s="3624" t="n"/>
      <c r="N148" s="8647" t="n"/>
      <c r="O148" s="8647" t="n"/>
      <c r="P148" s="5266" t="n"/>
      <c r="Q148" s="5187" t="n"/>
      <c r="R148" s="3016" t="inlineStr">
        <is>
          <t xml:space="preserve">.   .   .   . </t>
        </is>
      </c>
      <c r="S148" s="8230" t="inlineStr">
        <is>
          <t>20a</t>
        </is>
      </c>
      <c r="T148" s="8158" t="n"/>
      <c r="U148" s="11717" t="n"/>
      <c r="V148" s="139" t="n"/>
      <c r="W148" s="2875" t="n"/>
      <c r="X148" s="5233" t="n"/>
    </row>
    <row r="149" ht="14.25" customHeight="1" s="7635">
      <c r="A149" s="139" t="n"/>
      <c r="B149" s="2984" t="n">
        <v>11</v>
      </c>
      <c r="C149" s="8647" t="inlineStr">
        <is>
          <t>Contract labor (see instructions)</t>
        </is>
      </c>
      <c r="D149" s="8647" t="n"/>
      <c r="E149" s="10292" t="n"/>
      <c r="F149" s="10292" t="n"/>
      <c r="G149" s="3016" t="inlineStr">
        <is>
          <t xml:space="preserve"> .   .   .   .   .  </t>
        </is>
      </c>
      <c r="H149" s="2773">
        <f>B149</f>
        <v/>
      </c>
      <c r="I149" s="753" t="n"/>
      <c r="J149" s="8374" t="n"/>
      <c r="K149" s="2826" t="inlineStr">
        <is>
          <t>b</t>
        </is>
      </c>
      <c r="L149" s="2769" t="inlineStr">
        <is>
          <t>Other business property</t>
        </is>
      </c>
      <c r="M149" s="5266" t="n"/>
      <c r="N149" s="8647" t="n"/>
      <c r="O149" s="8647" t="n"/>
      <c r="P149" s="5266" t="n"/>
      <c r="Q149" s="5187" t="n"/>
      <c r="R149" s="3016" t="inlineStr">
        <is>
          <t xml:space="preserve"> .   .   .   .   .   .   .   .   . </t>
        </is>
      </c>
      <c r="S149" s="8230" t="inlineStr">
        <is>
          <t>20b</t>
        </is>
      </c>
      <c r="T149" s="8156" t="n"/>
      <c r="U149" s="8007" t="n"/>
      <c r="V149" s="139" t="n"/>
      <c r="W149" s="2875" t="n"/>
      <c r="X149" s="5233" t="n"/>
    </row>
    <row r="150" ht="14.25" customHeight="1" s="7635">
      <c r="A150" s="139" t="n"/>
      <c r="B150" s="2984" t="n">
        <v>12</v>
      </c>
      <c r="C150" s="8647" t="inlineStr">
        <is>
          <t>Depletion    .   .   .   .   .   .   .   .   .   .   .   .   .</t>
        </is>
      </c>
      <c r="D150" s="8647" t="n"/>
      <c r="E150" s="10292" t="n"/>
      <c r="F150" s="10292" t="n"/>
      <c r="G150" s="9663" t="n"/>
      <c r="H150" s="2773">
        <f>B150</f>
        <v/>
      </c>
      <c r="I150" s="752" t="n"/>
      <c r="J150" s="8374" t="n">
        <v>21</v>
      </c>
      <c r="K150" s="2826" t="n"/>
      <c r="L150" s="2769" t="inlineStr">
        <is>
          <t>Repairs and maintenance</t>
        </is>
      </c>
      <c r="M150" s="2769" t="n"/>
      <c r="N150" s="2769" t="n"/>
      <c r="O150" s="2769" t="n"/>
      <c r="P150" s="2769" t="n"/>
      <c r="Q150" s="2769" t="n"/>
      <c r="R150" s="3016" t="inlineStr">
        <is>
          <t xml:space="preserve">  .   .   .   .   .   .   .   . </t>
        </is>
      </c>
      <c r="S150" s="8230">
        <f>J150</f>
        <v/>
      </c>
      <c r="T150" s="8156" t="n"/>
      <c r="U150" s="8007" t="n"/>
      <c r="V150" s="139" t="n"/>
      <c r="W150" s="2875" t="n"/>
      <c r="X150" s="5233" t="n"/>
    </row>
    <row r="151" ht="14.25" customHeight="1" s="7635">
      <c r="A151" s="139" t="n"/>
      <c r="B151" s="2984" t="n">
        <v>13</v>
      </c>
      <c r="C151" s="8647" t="inlineStr">
        <is>
          <t>Depreciation and section 179 expense</t>
        </is>
      </c>
      <c r="D151" s="8647" t="n"/>
      <c r="E151" s="10292" t="n"/>
      <c r="F151" s="10292" t="n"/>
      <c r="G151" s="9663" t="n"/>
      <c r="H151" s="5216" t="n"/>
      <c r="I151" s="5272" t="n"/>
      <c r="J151" s="8374" t="n">
        <v>22</v>
      </c>
      <c r="K151" s="2826" t="n"/>
      <c r="L151" s="2769" t="inlineStr">
        <is>
          <t>Supplies (not included in Part III)</t>
        </is>
      </c>
      <c r="M151" s="2769" t="n"/>
      <c r="N151" s="2769" t="n"/>
      <c r="O151" s="2769" t="n"/>
      <c r="P151" s="2769" t="n"/>
      <c r="Q151" s="2769" t="n"/>
      <c r="R151" s="3016" t="inlineStr">
        <is>
          <t xml:space="preserve">.   .   .   .   . </t>
        </is>
      </c>
      <c r="S151" s="8230" t="n">
        <v>22</v>
      </c>
      <c r="T151" s="8156" t="n"/>
      <c r="U151" s="8007" t="n"/>
      <c r="V151" s="139" t="n"/>
      <c r="W151" s="2875" t="n"/>
      <c r="X151" s="5233" t="n"/>
    </row>
    <row r="152" ht="14.25" customHeight="1" s="7635">
      <c r="A152" s="139" t="n"/>
      <c r="B152" s="2984" t="n"/>
      <c r="C152" s="8647" t="inlineStr">
        <is>
          <t>deduction (not included in Part III)</t>
        </is>
      </c>
      <c r="D152" s="8647" t="n"/>
      <c r="E152" s="10292" t="n"/>
      <c r="F152" s="10292" t="n"/>
      <c r="G152" s="9663" t="n"/>
      <c r="H152" s="5216" t="n"/>
      <c r="I152" s="5277" t="n"/>
      <c r="J152" s="8374" t="n">
        <v>23</v>
      </c>
      <c r="K152" s="2826" t="n"/>
      <c r="L152" s="2769" t="inlineStr">
        <is>
          <t>Taxes and licenses</t>
        </is>
      </c>
      <c r="M152" s="2769" t="n"/>
      <c r="N152" s="2769" t="n"/>
      <c r="O152" s="2769" t="n"/>
      <c r="P152" s="2769" t="n"/>
      <c r="Q152" s="2769" t="n"/>
      <c r="R152" s="3016" t="inlineStr">
        <is>
          <t xml:space="preserve">.   .   .   .   .   .   .   .   .   .   . </t>
        </is>
      </c>
      <c r="S152" s="8230" t="n">
        <v>23</v>
      </c>
      <c r="T152" s="8156" t="n"/>
      <c r="U152" s="8007" t="n"/>
      <c r="V152" s="139" t="n"/>
      <c r="W152" s="2875" t="n"/>
      <c r="X152" s="5233" t="n"/>
    </row>
    <row r="153" ht="14.25" customHeight="1" s="7635">
      <c r="A153" s="139" t="n"/>
      <c r="B153" s="2984" t="n"/>
      <c r="C153" s="8647" t="inlineStr">
        <is>
          <t>(see instructions)</t>
        </is>
      </c>
      <c r="D153" s="8647" t="n"/>
      <c r="E153" s="10292" t="n"/>
      <c r="F153" s="10292" t="n"/>
      <c r="G153" s="3016" t="inlineStr">
        <is>
          <t xml:space="preserve">   .   .   .   .   .   .   .   .   .   .   .   .</t>
        </is>
      </c>
      <c r="H153" s="2773">
        <f>B151</f>
        <v/>
      </c>
      <c r="I153" s="753" t="n"/>
      <c r="J153" s="8374" t="n">
        <v>24</v>
      </c>
      <c r="K153" s="2826" t="n"/>
      <c r="L153" s="2769" t="inlineStr">
        <is>
          <t>Travel and meals:</t>
        </is>
      </c>
      <c r="M153" s="2769" t="n"/>
      <c r="N153" s="2769" t="n"/>
      <c r="O153" s="2769" t="n"/>
      <c r="P153" s="2769" t="n"/>
      <c r="Q153" s="2769" t="n"/>
      <c r="R153" s="2769" t="n"/>
      <c r="S153" s="5273" t="n"/>
      <c r="T153" s="5274" t="n"/>
      <c r="U153" s="5275" t="n"/>
      <c r="V153" s="139" t="n"/>
      <c r="W153" s="2875" t="n"/>
      <c r="X153" s="5233" t="n"/>
    </row>
    <row r="154" ht="14.25" customHeight="1" s="7635">
      <c r="A154" s="139" t="n"/>
      <c r="B154" s="2984" t="n">
        <v>14</v>
      </c>
      <c r="C154" s="8647" t="inlineStr">
        <is>
          <t>Employee benefit programs</t>
        </is>
      </c>
      <c r="D154" s="8647" t="n"/>
      <c r="E154" s="10292" t="n"/>
      <c r="F154" s="10292" t="n"/>
      <c r="G154" s="9663" t="n"/>
      <c r="H154" s="5216" t="n"/>
      <c r="I154" s="5272" t="n"/>
      <c r="J154" s="8374" t="n"/>
      <c r="K154" s="2826" t="inlineStr">
        <is>
          <t>a</t>
        </is>
      </c>
      <c r="L154" s="2769" t="inlineStr">
        <is>
          <t>Travel</t>
        </is>
      </c>
      <c r="M154" s="2769" t="n"/>
      <c r="N154" s="2769" t="n"/>
      <c r="O154" s="2769" t="n"/>
      <c r="P154" s="2769" t="n"/>
      <c r="Q154" s="2769" t="n"/>
      <c r="R154" s="3016" t="inlineStr">
        <is>
          <t xml:space="preserve">.   .   .   .   .   .   .   .   .   .   .   .   .   .   .   .   .   . </t>
        </is>
      </c>
      <c r="S154" s="8230" t="inlineStr">
        <is>
          <t>24a</t>
        </is>
      </c>
      <c r="T154" s="8158" t="n"/>
      <c r="U154" s="11717" t="n"/>
      <c r="V154" s="139" t="n"/>
      <c r="W154" s="2875" t="n"/>
      <c r="X154" s="5233" t="n"/>
    </row>
    <row r="155" ht="14.25" customHeight="1" s="7635">
      <c r="A155" s="139" t="n"/>
      <c r="B155" s="2984" t="n"/>
      <c r="C155" s="8647" t="inlineStr">
        <is>
          <t>(other than on line 19)   .   .   .   .   .   .   .   .   .</t>
        </is>
      </c>
      <c r="D155" s="8647" t="n"/>
      <c r="E155" s="10292" t="n"/>
      <c r="F155" s="10292" t="n"/>
      <c r="G155" s="9663" t="n"/>
      <c r="H155" s="2773">
        <f>B154</f>
        <v/>
      </c>
      <c r="I155" s="753" t="n"/>
      <c r="J155" s="8374" t="n"/>
      <c r="K155" s="2826" t="inlineStr">
        <is>
          <t>b</t>
        </is>
      </c>
      <c r="L155" s="2769" t="inlineStr">
        <is>
          <t>Deductible meals (see instructions</t>
        </is>
      </c>
      <c r="M155" s="11602" t="n"/>
      <c r="N155" s="11602" t="n"/>
      <c r="O155" s="11602" t="n"/>
      <c r="P155" s="11602" t="n"/>
      <c r="Q155" s="11602" t="n"/>
      <c r="R155" s="3016" t="n"/>
      <c r="S155" s="8230" t="inlineStr">
        <is>
          <t>24b</t>
        </is>
      </c>
      <c r="T155" s="8158" t="n"/>
      <c r="U155" s="11717" t="n"/>
      <c r="V155" s="139" t="n"/>
      <c r="W155" s="2875" t="n"/>
      <c r="X155" s="5233" t="n"/>
    </row>
    <row r="156" ht="14.25" customHeight="1" s="7635">
      <c r="A156" s="139" t="n"/>
      <c r="B156" s="2984" t="n">
        <v>15</v>
      </c>
      <c r="C156" s="8647" t="inlineStr">
        <is>
          <t>Insurance (other than health).   .   .   .   .   .   .</t>
        </is>
      </c>
      <c r="D156" s="8647" t="n"/>
      <c r="E156" s="10292" t="n"/>
      <c r="F156" s="10292" t="n"/>
      <c r="G156" s="9663" t="n"/>
      <c r="H156" s="2773">
        <f>B156</f>
        <v/>
      </c>
      <c r="I156" s="752" t="n"/>
      <c r="J156" s="8374" t="n">
        <v>25</v>
      </c>
      <c r="K156" s="2826" t="n"/>
      <c r="L156" s="2769" t="inlineStr">
        <is>
          <t>Utilities</t>
        </is>
      </c>
      <c r="M156" s="2769" t="n"/>
      <c r="N156" s="2769" t="n"/>
      <c r="O156" s="2769" t="n"/>
      <c r="P156" s="2769" t="n"/>
      <c r="Q156" s="2769" t="n"/>
      <c r="R156" s="3016" t="inlineStr">
        <is>
          <t xml:space="preserve">.   .   .   .   .   .   .   .   .   .   .   .   .   .   .   .   .   . </t>
        </is>
      </c>
      <c r="S156" s="8230" t="n">
        <v>25</v>
      </c>
      <c r="T156" s="8156" t="n"/>
      <c r="U156" s="8007" t="n"/>
      <c r="V156" s="139" t="n"/>
      <c r="W156" s="2875" t="n"/>
      <c r="X156" s="5233" t="n"/>
    </row>
    <row r="157" ht="14.25" customHeight="1" s="7635">
      <c r="A157" s="139" t="n"/>
      <c r="B157" s="2984" t="n">
        <v>16</v>
      </c>
      <c r="C157" s="8647" t="inlineStr">
        <is>
          <t>Interest:</t>
        </is>
      </c>
      <c r="D157" s="8647" t="n"/>
      <c r="E157" s="10292" t="n"/>
      <c r="F157" s="10292" t="n"/>
      <c r="G157" s="9663" t="n"/>
      <c r="H157" s="5273" t="n"/>
      <c r="I157" s="5272" t="n"/>
      <c r="J157" s="8374" t="n">
        <v>26</v>
      </c>
      <c r="K157" s="2826" t="n"/>
      <c r="L157" s="2769" t="inlineStr">
        <is>
          <t>Wages (less employment credits)</t>
        </is>
      </c>
      <c r="M157" s="2769" t="n"/>
      <c r="N157" s="2769" t="n"/>
      <c r="O157" s="2769" t="n"/>
      <c r="P157" s="2769" t="n"/>
      <c r="Q157" s="2769" t="n"/>
      <c r="R157" s="3016" t="inlineStr">
        <is>
          <t xml:space="preserve">.   .   .   .   . </t>
        </is>
      </c>
      <c r="S157" s="8230" t="n">
        <v>26</v>
      </c>
      <c r="T157" s="8156" t="n"/>
      <c r="U157" s="8007" t="n"/>
      <c r="V157" s="139" t="n"/>
      <c r="W157" s="2875" t="n"/>
      <c r="X157" s="5233" t="n"/>
    </row>
    <row r="158" ht="14.25" customHeight="1" s="7635">
      <c r="A158" s="139" t="n"/>
      <c r="B158" s="3746" t="inlineStr">
        <is>
          <t>a</t>
        </is>
      </c>
      <c r="C158" s="8647" t="inlineStr">
        <is>
          <t>Mortgage (paid to banks, etc.)   .   .   .   .   .   .</t>
        </is>
      </c>
      <c r="D158" s="8647" t="n"/>
      <c r="E158" s="10292" t="n"/>
      <c r="F158" s="10292" t="n"/>
      <c r="G158" s="9663" t="n"/>
      <c r="H158" s="2773" t="inlineStr">
        <is>
          <t>16a</t>
        </is>
      </c>
      <c r="I158" s="753" t="n"/>
      <c r="J158" s="5278" t="n">
        <v>27</v>
      </c>
      <c r="K158" s="2826" t="inlineStr">
        <is>
          <t>a</t>
        </is>
      </c>
      <c r="L158" s="2769" t="inlineStr">
        <is>
          <t>Energy efficient commercial bldgs</t>
        </is>
      </c>
      <c r="M158" s="2769" t="n"/>
      <c r="N158" s="2769" t="n"/>
      <c r="O158" s="2769" t="n"/>
      <c r="P158" s="2769" t="n"/>
      <c r="Q158" s="2769" t="n"/>
      <c r="R158" s="3016" t="inlineStr">
        <is>
          <t xml:space="preserve">.   .   .   .   . </t>
        </is>
      </c>
      <c r="S158" s="2805" t="n"/>
      <c r="T158" s="8198" t="n"/>
      <c r="U158" s="7839" t="n"/>
      <c r="V158" s="139" t="n"/>
      <c r="W158" s="2875" t="n"/>
      <c r="X158" s="5233" t="n"/>
    </row>
    <row r="159" ht="14.25" customHeight="1" s="7635">
      <c r="A159" s="139" t="n"/>
      <c r="B159" s="3746" t="inlineStr">
        <is>
          <t>b</t>
        </is>
      </c>
      <c r="C159" s="8647" t="inlineStr">
        <is>
          <t>Other .   .   .   .   .   .   .   .   .   .   .   .   .   .   .   .</t>
        </is>
      </c>
      <c r="D159" s="8647" t="n"/>
      <c r="E159" s="10292" t="n"/>
      <c r="F159" s="10292" t="n"/>
      <c r="G159" s="9663" t="n"/>
      <c r="H159" s="2773" t="inlineStr">
        <is>
          <t>16b</t>
        </is>
      </c>
      <c r="I159" s="754" t="n"/>
      <c r="J159" s="8374" t="n"/>
      <c r="K159" s="2826" t="n"/>
      <c r="L159" s="8647" t="inlineStr">
        <is>
          <t>deduction (attach Form 7205)</t>
        </is>
      </c>
      <c r="M159" s="2769" t="n"/>
      <c r="N159" s="2769" t="n"/>
      <c r="O159" s="2769" t="n"/>
      <c r="P159" s="2769" t="n"/>
      <c r="Q159" s="2769" t="n"/>
      <c r="R159" s="5338" t="n"/>
      <c r="S159" s="6470" t="inlineStr">
        <is>
          <t>27a</t>
        </is>
      </c>
      <c r="T159" s="8158" t="n"/>
      <c r="U159" s="11717" t="n"/>
      <c r="V159" s="139" t="n"/>
      <c r="W159" s="2875" t="n"/>
      <c r="X159" s="5233" t="n"/>
    </row>
    <row r="160" ht="14.25" customHeight="1" s="7635" thickBot="1">
      <c r="A160" s="139" t="n"/>
      <c r="B160" s="3667" t="n">
        <v>17</v>
      </c>
      <c r="C160" s="5205" t="inlineStr">
        <is>
          <t>Legal and professional services</t>
        </is>
      </c>
      <c r="D160" s="5205" t="n"/>
      <c r="E160" s="5279" t="n"/>
      <c r="F160" s="5279" t="n"/>
      <c r="G160" s="5280" t="n"/>
      <c r="H160" s="3742" t="n">
        <v>17</v>
      </c>
      <c r="I160" s="755" t="n"/>
      <c r="J160" s="5281" t="n"/>
      <c r="K160" s="5282" t="inlineStr">
        <is>
          <t>b</t>
        </is>
      </c>
      <c r="L160" s="4299" t="inlineStr">
        <is>
          <t>Other expenses (from line 48)</t>
        </is>
      </c>
      <c r="M160" s="5205" t="n"/>
      <c r="N160" s="5205" t="n"/>
      <c r="O160" s="5205" t="n"/>
      <c r="P160" s="5205" t="n"/>
      <c r="Q160" s="5205" t="n"/>
      <c r="R160" s="5283" t="inlineStr">
        <is>
          <t xml:space="preserve">.   .   .   .   . </t>
        </is>
      </c>
      <c r="S160" s="5336" t="inlineStr">
        <is>
          <t>27b</t>
        </is>
      </c>
      <c r="T160" s="8200">
        <f>IF(W160&lt;&gt;"",ROUND(W160,0),T228)</f>
        <v/>
      </c>
      <c r="U160" s="11811" t="n"/>
      <c r="V160" s="139" t="n"/>
      <c r="W160" s="949" t="n"/>
      <c r="X160" s="5233" t="n"/>
    </row>
    <row r="161" ht="14.25" customHeight="1" s="7635">
      <c r="A161" s="139" t="n"/>
      <c r="B161" s="2984" t="n">
        <v>28</v>
      </c>
      <c r="C161" s="5268" t="inlineStr">
        <is>
          <t>Total expenses before expenses for business use of home.  Add lines 8 through 27b</t>
        </is>
      </c>
      <c r="D161" s="5256" t="n"/>
      <c r="E161" s="5267" t="n"/>
      <c r="F161" s="8223" t="n"/>
      <c r="G161" s="8223" t="n"/>
      <c r="H161" s="8223" t="n"/>
      <c r="I161" s="5267" t="n"/>
      <c r="J161" s="5267" t="n"/>
      <c r="K161" s="5267" t="n"/>
      <c r="L161" s="5267" t="n"/>
      <c r="M161" s="5267" t="n"/>
      <c r="N161" s="8223" t="n"/>
      <c r="O161" s="8223" t="n"/>
      <c r="P161" s="5267" t="n"/>
      <c r="Q161" s="8223" t="n"/>
      <c r="R161" s="5265" t="inlineStr">
        <is>
          <t xml:space="preserve">.   .   .   .   .   .   .   .   .      </t>
        </is>
      </c>
      <c r="S161" s="8230" t="n">
        <v>28</v>
      </c>
      <c r="T161" s="8176">
        <f>IF(W161&lt;&gt;"",ROUND(W161,0),IF(SUM(I145:I160,T145:T160)=0,"",ROUND(SUM(I145:I160,T145:T160),0)))</f>
        <v/>
      </c>
      <c r="U161" s="7637" t="n"/>
      <c r="V161" s="139" t="n"/>
      <c r="W161" s="949" t="n"/>
      <c r="X161" s="5233" t="n"/>
      <c r="Y161" s="7834">
        <f>IF(T161="",0,T161)</f>
        <v/>
      </c>
    </row>
    <row r="162" ht="15" customHeight="1" s="7635">
      <c r="A162" s="139" t="n"/>
      <c r="B162" s="2984" t="n">
        <v>29</v>
      </c>
      <c r="C162" s="5266" t="inlineStr">
        <is>
          <t>Tentative profit (loss).  Subtract line 28 from line 7</t>
        </is>
      </c>
      <c r="D162" s="5267" t="n"/>
      <c r="E162" s="5267" t="n"/>
      <c r="F162" s="8223" t="n"/>
      <c r="G162" s="8223" t="n"/>
      <c r="H162" s="8223" t="n"/>
      <c r="I162" s="5267" t="n"/>
      <c r="J162" s="5267" t="n"/>
      <c r="K162" s="5267" t="n"/>
      <c r="L162" s="5267" t="n"/>
      <c r="M162" s="5267" t="n"/>
      <c r="N162" s="8223" t="n"/>
      <c r="O162" s="8223" t="n"/>
      <c r="P162" s="5267" t="n"/>
      <c r="Q162" s="8223" t="n"/>
      <c r="R162" s="5265" t="inlineStr">
        <is>
          <t xml:space="preserve">.   .   .   .   .   .   .   .   .   .   .   .   .   .   .   .   .   .   .   .   .   .   .   .   .   .  </t>
        </is>
      </c>
      <c r="S162" s="8230" t="n">
        <v>29</v>
      </c>
      <c r="T162" s="8176">
        <f>IF(AND(T143="",T161=""),"",SUM(T143,-Y161))</f>
        <v/>
      </c>
      <c r="U162" s="7637" t="n"/>
      <c r="V162" s="139" t="n"/>
      <c r="W162" s="2875" t="n"/>
      <c r="X162" s="5233" t="n"/>
    </row>
    <row r="163" ht="12.75" customHeight="1" s="7635">
      <c r="A163" s="139" t="n"/>
      <c r="B163" s="2984" t="n">
        <v>30</v>
      </c>
      <c r="C163" s="5266" t="inlineStr">
        <is>
          <t>Expenses for business use of your home. Do not report these expenses elsewhere. Attach Form 8829</t>
        </is>
      </c>
      <c r="D163" s="5267" t="n"/>
      <c r="E163" s="5267" t="n"/>
      <c r="F163" s="8223" t="n"/>
      <c r="G163" s="8223" t="n"/>
      <c r="H163" s="8223" t="n"/>
      <c r="I163" s="5267" t="n"/>
      <c r="J163" s="5267" t="n"/>
      <c r="K163" s="5267" t="n"/>
      <c r="L163" s="5267" t="n"/>
      <c r="M163" s="5267" t="n"/>
      <c r="N163" s="8223" t="n"/>
      <c r="O163" s="8223" t="n"/>
      <c r="P163" s="5267" t="n"/>
      <c r="Q163" s="8223" t="n"/>
      <c r="R163" s="8223" t="n"/>
      <c r="S163" s="8661" t="n"/>
      <c r="T163" s="8160">
        <f>IF(AND(V163="",O166),"The number in",IF(AND(V163="",Q166),"The area you use",""))</f>
        <v/>
      </c>
      <c r="U163" s="7839" t="n"/>
      <c r="V163" s="805" t="n"/>
      <c r="W163" s="2875">
        <f>IF(Y164,"Hide note.","")</f>
        <v/>
      </c>
      <c r="X163" s="5233" t="n"/>
    </row>
    <row r="164" ht="14.25" customHeight="1" s="7635">
      <c r="A164" s="139" t="n"/>
      <c r="B164" s="8318" t="n"/>
      <c r="C164" s="5266" t="inlineStr">
        <is>
          <t>unless using the simplified method (see instructions).</t>
        </is>
      </c>
      <c r="D164" s="5267" t="n"/>
      <c r="E164" s="5267" t="n"/>
      <c r="F164" s="8223" t="n"/>
      <c r="G164" s="8223" t="n"/>
      <c r="H164" s="8223" t="n"/>
      <c r="I164" s="5267" t="n"/>
      <c r="J164" s="5267" t="n"/>
      <c r="K164" s="5267" t="n"/>
      <c r="L164" s="2769" t="inlineStr">
        <is>
          <t>Other expenses (from line 48)</t>
        </is>
      </c>
      <c r="M164" s="5267" t="n"/>
      <c r="N164" s="8223" t="n"/>
      <c r="O164" s="8223" t="n"/>
      <c r="P164" s="5267" t="n"/>
      <c r="Q164" s="8166" t="n">
        <v>300</v>
      </c>
      <c r="R164" s="7636" t="n"/>
      <c r="S164" s="5341" t="n"/>
      <c r="T164" s="8162">
        <f>IF(AND(V163="",O166),"line 30a must be",IF(AND(V163="",Q166),"to figure your",""))</f>
        <v/>
      </c>
      <c r="V164" s="139" t="n"/>
      <c r="W164" s="2875" t="n"/>
      <c r="X164" s="5233" t="n"/>
      <c r="Y164" s="7834">
        <f>OR(O166,Q166)</f>
        <v/>
      </c>
      <c r="Z164" s="7834" t="n"/>
      <c r="AA164" s="7834" t="n"/>
      <c r="AB164" s="7834" t="n"/>
    </row>
    <row r="165" ht="14.25" customHeight="1" s="7635">
      <c r="A165" s="139" t="n"/>
      <c r="B165" s="8318" t="n"/>
      <c r="C165" s="5266" t="inlineStr">
        <is>
          <t>Simplified method filers only: enter the total square footage of: (a) your home:</t>
        </is>
      </c>
      <c r="D165" s="5267" t="n"/>
      <c r="E165" s="5267" t="n"/>
      <c r="F165" s="8223" t="n"/>
      <c r="G165" s="8223" t="n"/>
      <c r="H165" s="8223" t="n"/>
      <c r="I165" s="5267" t="n"/>
      <c r="J165" s="5267" t="n"/>
      <c r="K165" s="5267" t="n"/>
      <c r="L165" s="5267" t="n"/>
      <c r="M165" s="8154" t="n"/>
      <c r="N165" s="11717" t="n"/>
      <c r="O165" s="11717" t="n"/>
      <c r="P165" s="11717" t="n"/>
      <c r="Q165" s="11717" t="n"/>
      <c r="R165" s="8223" t="n"/>
      <c r="S165" s="5341" t="n"/>
      <c r="T165" s="8162">
        <f>IF(AND(V163="",O166),"larger than the",IF(AND(V163="",Q166),"deduction, cannot",""))</f>
        <v/>
      </c>
      <c r="V165" s="139" t="n"/>
      <c r="W165" s="2875" t="n"/>
      <c r="X165" s="5233" t="n"/>
      <c r="Y165" s="5285" t="inlineStr">
        <is>
          <t>Simplified Method Worksheet  (See instructions for Schedule C, line 30.)</t>
        </is>
      </c>
      <c r="Z165" s="406" t="n"/>
      <c r="AA165" s="406" t="n"/>
      <c r="AB165" s="407" t="n"/>
    </row>
    <row r="166" ht="14.25" customHeight="1" s="7635">
      <c r="A166" s="139" t="n"/>
      <c r="B166" s="8318" t="n"/>
      <c r="C166" s="5266" t="inlineStr">
        <is>
          <t>and (b) the part of your home used for business:</t>
        </is>
      </c>
      <c r="D166" s="5267" t="n"/>
      <c r="E166" s="5267" t="n"/>
      <c r="F166" s="8223" t="n"/>
      <c r="G166" s="8223" t="n"/>
      <c r="H166" s="8223" t="n"/>
      <c r="I166" s="8223" t="n"/>
      <c r="J166" s="8155" t="n"/>
      <c r="K166" s="11717" t="n"/>
      <c r="L166" s="11717" t="n"/>
      <c r="M166" s="11717" t="n"/>
      <c r="N166" s="5267" t="n"/>
      <c r="O166" s="8165">
        <f>J166&gt;M165</f>
        <v/>
      </c>
      <c r="Q166" s="8166">
        <f>J166&gt;Q164</f>
        <v/>
      </c>
      <c r="R166" s="7636" t="n"/>
      <c r="S166" s="5341" t="n"/>
      <c r="T166" s="8162">
        <f>IF(AND(V163="",O166),"one in line 30b.",IF(AND(V163="",Q166),"exceed "&amp;TEXT(Q164,"0")&amp;" sq. ft.",""))</f>
        <v/>
      </c>
      <c r="V166" s="139" t="n"/>
      <c r="W166" s="2875" t="n"/>
      <c r="X166" s="5233" t="n"/>
      <c r="Y166" s="1400" t="inlineStr">
        <is>
          <t>1.</t>
        </is>
      </c>
      <c r="Z166" s="1401" t="inlineStr">
        <is>
          <t>Gross income limitation</t>
        </is>
      </c>
      <c r="AA166" s="11602" t="n"/>
      <c r="AB166" s="409" t="n"/>
    </row>
    <row r="167" ht="14.25" customHeight="1" s="7635">
      <c r="A167" s="139" t="n"/>
      <c r="B167" s="8318" t="n"/>
      <c r="C167" s="5266" t="inlineStr">
        <is>
          <t>Use the Simplified Method Worksheet in the instructions to figure the amount to enter on line 30</t>
        </is>
      </c>
      <c r="D167" s="5267" t="n"/>
      <c r="E167" s="5267" t="n"/>
      <c r="F167" s="8223" t="n"/>
      <c r="G167" s="8223" t="n"/>
      <c r="H167" s="8223" t="n"/>
      <c r="I167" s="5267" t="n"/>
      <c r="J167" s="5267" t="n"/>
      <c r="K167" s="5267" t="n"/>
      <c r="L167" s="5267" t="n"/>
      <c r="M167" s="5267" t="n"/>
      <c r="N167" s="8223" t="n"/>
      <c r="O167" s="8223" t="n"/>
      <c r="P167" s="5267" t="n"/>
      <c r="Q167" s="8223" t="n"/>
      <c r="R167" s="5286" t="inlineStr">
        <is>
          <t xml:space="preserve">.   .   .   .   .   .   . </t>
        </is>
      </c>
      <c r="S167" s="8230" t="n">
        <v>30</v>
      </c>
      <c r="T167" s="8196">
        <f>IF(W167&lt;&gt;"",ROUND(W167,0),IF(F8829_SchC_2,F8829_Deduction,IF(OR(AND(M165="",J166=""),Y164),"",AA179)))</f>
        <v/>
      </c>
      <c r="U167" s="7637" t="n"/>
      <c r="V167" s="139" t="n"/>
      <c r="W167" s="949" t="n"/>
      <c r="X167" s="5233" t="n"/>
      <c r="Y167" s="1061" t="inlineStr">
        <is>
          <t>A.</t>
        </is>
      </c>
      <c r="Z167" s="1061" t="inlineStr">
        <is>
          <t>Sch. C, Line 29</t>
        </is>
      </c>
      <c r="AA167" s="7842">
        <f>SchC_TentativeProfit2</f>
        <v/>
      </c>
      <c r="AB167" s="409" t="n"/>
    </row>
    <row r="168" ht="14.25" customHeight="1" s="7635">
      <c r="A168" s="139" t="n"/>
      <c r="B168" s="2984" t="n">
        <v>31</v>
      </c>
      <c r="C168" s="3097" t="inlineStr">
        <is>
          <t>Net profit or (loss).  Subtract line 30 from line 29.</t>
        </is>
      </c>
      <c r="D168" s="2754" t="n"/>
      <c r="E168" s="8665" t="n"/>
      <c r="F168" s="10292" t="n"/>
      <c r="G168" s="10292" t="n"/>
      <c r="H168" s="9663" t="n"/>
      <c r="I168" s="5220" t="n"/>
      <c r="J168" s="5220" t="n"/>
      <c r="K168" s="5220" t="n"/>
      <c r="L168" s="5220" t="n"/>
      <c r="M168" s="5220" t="n"/>
      <c r="N168" s="9663" t="n"/>
      <c r="O168" s="9663" t="n"/>
      <c r="P168" s="5267" t="n"/>
      <c r="Q168" s="10292" t="n"/>
      <c r="R168" s="10292" t="n"/>
      <c r="S168" s="5287" t="n"/>
      <c r="T168" s="5288" t="n"/>
      <c r="U168" s="5289" t="n"/>
      <c r="V168" s="139" t="n"/>
      <c r="W168" s="2875" t="n"/>
      <c r="X168" s="5233" t="n"/>
      <c r="Y168" s="1061" t="inlineStr">
        <is>
          <t>B.</t>
        </is>
      </c>
      <c r="Z168" s="1061" t="inlineStr">
        <is>
          <t>Use of home gain (F8949)</t>
        </is>
      </c>
      <c r="AA168" s="7070" t="n"/>
      <c r="AB168" s="409" t="n"/>
    </row>
    <row r="169" ht="12.75" customHeight="1" s="7635">
      <c r="A169" s="139" t="n"/>
      <c r="B169" s="8318" t="n"/>
      <c r="C169" s="8651" t="inlineStr">
        <is>
          <t>• If a profit, enter on both Schedule 1 (Form 1040), line 3, and on Schedule SE, line 2.  (If you</t>
        </is>
      </c>
      <c r="D169" s="5290" t="n"/>
      <c r="E169" s="8665" t="n"/>
      <c r="F169" s="10292" t="n"/>
      <c r="G169" s="10292" t="n"/>
      <c r="H169" s="9663" t="n"/>
      <c r="I169" s="5267" t="n"/>
      <c r="J169" s="5267" t="n"/>
      <c r="K169" s="5267" t="n"/>
      <c r="L169" s="5220" t="n"/>
      <c r="M169" s="5267" t="n"/>
      <c r="N169" s="9663" t="n"/>
      <c r="O169" s="9663" t="n"/>
      <c r="P169" s="5267" t="n"/>
      <c r="Q169" s="10292" t="n"/>
      <c r="R169" s="10292" t="n"/>
      <c r="S169" s="2805" t="n"/>
      <c r="T169" s="5291" t="n"/>
      <c r="U169" s="248" t="n"/>
      <c r="V169" s="139" t="n"/>
      <c r="W169" s="2875" t="n"/>
      <c r="X169" s="5233" t="n"/>
      <c r="Y169" s="1061" t="inlineStr">
        <is>
          <t>C.</t>
        </is>
      </c>
      <c r="Z169" s="1061" t="inlineStr">
        <is>
          <t>Add lines A and B</t>
        </is>
      </c>
      <c r="AA169" s="7058">
        <f>SUM(AA167,AA168)</f>
        <v/>
      </c>
      <c r="AB169" s="409" t="n"/>
    </row>
    <row r="170" ht="12.75" customHeight="1" s="7635">
      <c r="A170" s="139" t="n"/>
      <c r="B170" s="3016" t="n"/>
      <c r="C170" s="8651" t="inlineStr">
        <is>
          <t>checked the box on line 1, see instructions). Estates and trusts, enter on Form 1041, line 3.</t>
        </is>
      </c>
      <c r="D170" s="8665" t="n"/>
      <c r="E170" s="8665" t="n"/>
      <c r="F170" s="10292" t="n"/>
      <c r="G170" s="10292" t="n"/>
      <c r="H170" s="10292" t="n"/>
      <c r="I170" s="8665" t="n"/>
      <c r="J170" s="8665" t="n"/>
      <c r="K170" s="8665" t="n"/>
      <c r="L170" s="5220" t="n"/>
      <c r="M170" s="8665" t="n"/>
      <c r="N170" s="10292" t="n"/>
      <c r="O170" s="10292" t="n"/>
      <c r="P170" s="5267" t="n"/>
      <c r="Q170" s="10292" t="n"/>
      <c r="R170" s="10292" t="n"/>
      <c r="S170" s="8230" t="n">
        <v>31</v>
      </c>
      <c r="T170" s="8176">
        <f>IF(W170&lt;&gt;"",ROUND(W170,0),IF(AND(Y164,V163&lt;&gt;"",W167=""),SchC_TentativeProfit2,IF(T167="",T162,ROUND(SUM(T162,-T167),0))))</f>
        <v/>
      </c>
      <c r="U170" s="7637" t="n"/>
      <c r="V170" s="139" t="n"/>
      <c r="W170" s="949" t="n"/>
      <c r="X170" s="5233" t="n"/>
      <c r="Y170" s="1061" t="inlineStr">
        <is>
          <t>D.</t>
        </is>
      </c>
      <c r="Z170" s="1061" t="inlineStr">
        <is>
          <t>F8949 losses allocable to the business</t>
        </is>
      </c>
      <c r="AB170" s="409" t="n"/>
    </row>
    <row r="171" ht="12.75" customHeight="1" s="7635">
      <c r="A171" s="139" t="n"/>
      <c r="B171" s="3016" t="n"/>
      <c r="C171" s="8651" t="inlineStr">
        <is>
          <t>• If a loss, you must go to line 32.</t>
        </is>
      </c>
      <c r="D171" s="5290" t="n"/>
      <c r="E171" s="8665" t="n"/>
      <c r="F171" s="10292" t="n"/>
      <c r="G171" s="10292" t="n"/>
      <c r="H171" s="10292" t="n"/>
      <c r="I171" s="8665" t="n"/>
      <c r="J171" s="8665" t="n"/>
      <c r="K171" s="8665" t="n"/>
      <c r="L171" s="5220" t="n"/>
      <c r="M171" s="8665" t="n"/>
      <c r="N171" s="10292" t="n"/>
      <c r="O171" s="10292" t="n"/>
      <c r="P171" s="5267" t="n"/>
      <c r="Q171" s="10292" t="n"/>
      <c r="R171" s="5292" t="n"/>
      <c r="S171" s="8318" t="n"/>
      <c r="T171" s="3004" t="n"/>
      <c r="U171" s="3004" t="n"/>
      <c r="V171" s="139" t="n"/>
      <c r="W171" s="2875" t="n"/>
      <c r="X171" s="5233" t="n"/>
      <c r="Y171" s="1061" t="n"/>
      <c r="Z171" s="1061" t="inlineStr">
        <is>
          <t>but not to business use of home</t>
        </is>
      </c>
      <c r="AA171" s="1403" t="n"/>
      <c r="AB171" s="567" t="inlineStr">
        <is>
          <t>(as positive number)</t>
        </is>
      </c>
    </row>
    <row r="172" ht="12.75" customHeight="1" s="7635" thickBot="1">
      <c r="A172" s="139" t="n"/>
      <c r="B172" s="2984" t="n">
        <v>32</v>
      </c>
      <c r="C172" s="8647" t="inlineStr">
        <is>
          <t>If you have a loss, check the box that describes your investment in this activity.  See instructions.</t>
        </is>
      </c>
      <c r="D172" s="8647" t="n"/>
      <c r="E172" s="8647" t="n"/>
      <c r="F172" s="5187" t="n"/>
      <c r="G172" s="5187" t="n"/>
      <c r="H172" s="5187" t="n"/>
      <c r="I172" s="8647" t="n"/>
      <c r="J172" s="8647" t="n"/>
      <c r="K172" s="8647" t="n"/>
      <c r="L172" s="3624" t="n"/>
      <c r="M172" s="8647" t="n"/>
      <c r="N172" s="5187" t="n"/>
      <c r="O172" s="5187" t="n"/>
      <c r="P172" s="5267" t="n"/>
      <c r="Q172" s="10292" t="n"/>
      <c r="R172" s="5292" t="n"/>
      <c r="S172" s="8318" t="n"/>
      <c r="T172" s="3004" t="n"/>
      <c r="U172" s="3004" t="n"/>
      <c r="V172" s="139" t="n"/>
      <c r="W172" s="5293">
        <f>IF(Y181,"Check only",IF(Y183,"Check ONLY",""))</f>
        <v/>
      </c>
      <c r="X172" s="5233" t="n"/>
      <c r="Y172" s="1061" t="inlineStr">
        <is>
          <t>E.</t>
        </is>
      </c>
      <c r="Z172" s="1061" t="inlineStr">
        <is>
          <t>Subtract line D from line C.</t>
        </is>
      </c>
      <c r="AA172" s="7058">
        <f>IF(AA171="",AA169,SUM(AA169,-AA171))</f>
        <v/>
      </c>
      <c r="AB172" s="409" t="n"/>
    </row>
    <row r="173" ht="12.75" customHeight="1" s="7635" thickBot="1">
      <c r="A173" s="139" t="n"/>
      <c r="B173" s="3016" t="n"/>
      <c r="C173" s="8647" t="inlineStr">
        <is>
          <t>• If you checked 32a, enter the loss on both Schedule 1 (Form 1040), line 3, and on Schedule</t>
        </is>
      </c>
      <c r="D173" s="5290" t="n"/>
      <c r="E173" s="8665" t="n"/>
      <c r="F173" s="10292" t="n"/>
      <c r="G173" s="10292" t="n"/>
      <c r="H173" s="10292" t="n"/>
      <c r="I173" s="8665" t="n"/>
      <c r="J173" s="8665" t="n"/>
      <c r="K173" s="8665" t="n"/>
      <c r="L173" s="5220" t="n"/>
      <c r="M173" s="8665" t="n"/>
      <c r="N173" s="10292" t="n"/>
      <c r="O173" s="10292" t="n"/>
      <c r="P173" s="5267" t="n"/>
      <c r="Q173" s="8318" t="inlineStr">
        <is>
          <t>32a</t>
        </is>
      </c>
      <c r="R173" s="282" t="n"/>
      <c r="S173" s="2771" t="inlineStr">
        <is>
          <t>All investment at risk.</t>
        </is>
      </c>
      <c r="T173" s="5294" t="n"/>
      <c r="U173" s="5294" t="n"/>
      <c r="V173" s="139" t="n"/>
      <c r="W173" s="5293">
        <f>IF(Y181,"if Line 31",IF(Y183,"one.",""))</f>
        <v/>
      </c>
      <c r="X173" s="5233" t="n"/>
      <c r="Y173" s="1400" t="inlineStr">
        <is>
          <t>2.</t>
        </is>
      </c>
      <c r="Z173" s="1401" t="inlineStr">
        <is>
          <t>Allowable square footage.</t>
        </is>
      </c>
      <c r="AA173" s="5295">
        <f>IF(J166="",0,MIN(Q164,J166))</f>
        <v/>
      </c>
      <c r="AB173" s="567">
        <f>"(&lt;= "&amp;Q164&amp;" sq. ft.)"</f>
        <v/>
      </c>
    </row>
    <row r="174" ht="12.75" customHeight="1" s="7635" thickBot="1">
      <c r="A174" s="144" t="n"/>
      <c r="B174" s="5260" t="n"/>
      <c r="C174" s="3626" t="inlineStr">
        <is>
          <t>SE, line 2. (If you checked the box on line 1, see the line 31 instructions). Estates and trusts, enter on</t>
        </is>
      </c>
      <c r="D174" s="5217" t="n"/>
      <c r="E174" s="5217" t="n"/>
      <c r="F174" s="11255" t="n"/>
      <c r="G174" s="11255" t="n"/>
      <c r="H174" s="11255" t="n"/>
      <c r="I174" s="5217" t="n"/>
      <c r="J174" s="5217" t="n"/>
      <c r="K174" s="5217" t="n"/>
      <c r="L174" s="5342" t="n"/>
      <c r="M174" s="5217" t="n"/>
      <c r="N174" s="11255" t="n"/>
      <c r="O174" s="11255" t="n"/>
      <c r="P174" s="5343" t="n"/>
      <c r="Q174" s="8047" t="inlineStr">
        <is>
          <t>32b</t>
        </is>
      </c>
      <c r="R174" s="282" t="n"/>
      <c r="S174" s="5344" t="inlineStr">
        <is>
          <t>Some investment is not</t>
        </is>
      </c>
      <c r="T174" s="5345" t="n"/>
      <c r="U174" s="5345" t="n"/>
      <c r="V174" s="144" t="n"/>
      <c r="W174" s="5330">
        <f>IF(Y181,"is a loss.","")</f>
        <v/>
      </c>
      <c r="X174" s="5233" t="n"/>
      <c r="Y174" s="1400" t="inlineStr">
        <is>
          <t>3.</t>
        </is>
      </c>
      <c r="Z174" s="1401" t="inlineStr">
        <is>
          <t>Simplified method amount</t>
        </is>
      </c>
      <c r="AB174" s="409" t="n"/>
    </row>
    <row r="175" ht="12.75" customFormat="1" customHeight="1" s="9864">
      <c r="A175" s="139" t="n"/>
      <c r="B175" s="3016" t="n"/>
      <c r="C175" s="3097" t="inlineStr">
        <is>
          <t>Form 1041, line 3.</t>
        </is>
      </c>
      <c r="D175" s="8665" t="n"/>
      <c r="E175" s="8665" t="n"/>
      <c r="F175" s="10292" t="n"/>
      <c r="G175" s="10292" t="n"/>
      <c r="H175" s="10292" t="n"/>
      <c r="I175" s="8665" t="n"/>
      <c r="J175" s="8665" t="n"/>
      <c r="K175" s="8665" t="n"/>
      <c r="L175" s="5220" t="n"/>
      <c r="M175" s="8665" t="n"/>
      <c r="N175" s="10292" t="n"/>
      <c r="O175" s="10292" t="n"/>
      <c r="P175" s="5267" t="n"/>
      <c r="Q175" s="3004" t="n"/>
      <c r="R175" s="3004" t="n"/>
      <c r="S175" s="5296" t="inlineStr">
        <is>
          <t>at risk.</t>
        </is>
      </c>
      <c r="T175" s="3004" t="n"/>
      <c r="U175" s="3004" t="n"/>
      <c r="V175" s="139" t="n"/>
      <c r="W175" s="2875" t="n"/>
      <c r="X175" s="5233" t="n"/>
      <c r="Y175" s="1061" t="inlineStr">
        <is>
          <t>a.</t>
        </is>
      </c>
      <c r="Z175" s="1061" t="inlineStr">
        <is>
          <t>Maximum allowable amount</t>
        </is>
      </c>
      <c r="AA175" s="12075" t="n">
        <v>5</v>
      </c>
      <c r="AB175" s="409" t="n"/>
      <c r="AC175" s="665" t="n"/>
      <c r="AD175" s="665" t="n"/>
      <c r="AE175" s="665" t="n"/>
      <c r="AF175" s="665" t="n"/>
      <c r="AG175" s="665" t="n"/>
      <c r="AH175" s="665" t="n"/>
      <c r="AI175" s="665" t="n"/>
      <c r="AJ175" s="665" t="n"/>
      <c r="AK175" s="665" t="n"/>
      <c r="AL175" s="665" t="n"/>
      <c r="AM175" s="665" t="n"/>
    </row>
    <row r="176" ht="15" customHeight="1" s="7635" thickBot="1">
      <c r="A176" s="139" t="n"/>
      <c r="B176" s="5346" t="n"/>
      <c r="C176" s="5205" t="inlineStr">
        <is>
          <t>• If you checked 32b, you must attach Form 6198. Your loss may be limited.</t>
        </is>
      </c>
      <c r="D176" s="5299" t="n"/>
      <c r="E176" s="3669" t="n"/>
      <c r="F176" s="5279" t="n"/>
      <c r="G176" s="5279" t="n"/>
      <c r="H176" s="5279" t="n"/>
      <c r="I176" s="3669" t="n"/>
      <c r="J176" s="3669" t="n"/>
      <c r="K176" s="3669" t="n"/>
      <c r="L176" s="5300" t="n"/>
      <c r="M176" s="3669" t="n"/>
      <c r="N176" s="5279" t="n"/>
      <c r="O176" s="5279" t="n"/>
      <c r="P176" s="5301" t="n"/>
      <c r="Q176" s="5279" t="n"/>
      <c r="R176" s="5279" t="n"/>
      <c r="S176" s="5302" t="n"/>
      <c r="T176" s="3081" t="n"/>
      <c r="U176" s="3081" t="n"/>
      <c r="V176" s="139" t="n"/>
      <c r="W176" s="2875" t="n"/>
      <c r="X176" s="5233" t="n"/>
      <c r="Y176" s="1061" t="inlineStr">
        <is>
          <t>b.</t>
        </is>
      </c>
      <c r="Z176" s="1061" t="inlineStr">
        <is>
          <t>Daycare decimal (See instr.)</t>
        </is>
      </c>
      <c r="AA176" s="1404" t="n">
        <v>1</v>
      </c>
      <c r="AB176" s="567" t="inlineStr">
        <is>
          <t>Enter as decimal.</t>
        </is>
      </c>
    </row>
    <row r="177" ht="12.75" customHeight="1" s="7635">
      <c r="A177" s="139" t="n"/>
      <c r="B177" s="5303" t="inlineStr">
        <is>
          <t>For Paperwork Reduction Act Notice, see the separate instructions.</t>
        </is>
      </c>
      <c r="C177" s="4246" t="n"/>
      <c r="D177" s="4246" t="n"/>
      <c r="E177" s="4246" t="n"/>
      <c r="F177" s="5304" t="n"/>
      <c r="G177" s="5304" t="n"/>
      <c r="H177" s="5304" t="n"/>
      <c r="I177" s="4246" t="n"/>
      <c r="J177" s="4246" t="n"/>
      <c r="K177" s="4246" t="n"/>
      <c r="L177" s="5305" t="inlineStr">
        <is>
          <t xml:space="preserve">Cat. No. 11334P   </t>
        </is>
      </c>
      <c r="M177" s="5305" t="n"/>
      <c r="N177" s="5305" t="n"/>
      <c r="O177" s="5304" t="n"/>
      <c r="P177" s="5306" t="n"/>
      <c r="Q177" s="5304" t="n"/>
      <c r="R177" s="5304" t="n"/>
      <c r="S177" s="5348">
        <f>"Schedule C   (Form 1040)  "&amp;TaxYear</f>
        <v/>
      </c>
      <c r="T177" s="5308" t="n"/>
      <c r="U177" s="6576" t="inlineStr">
        <is>
          <t xml:space="preserve">Created 4/3/25 </t>
        </is>
      </c>
      <c r="V177" s="139" t="n"/>
      <c r="W177" s="2875" t="n"/>
      <c r="X177" s="5233" t="n"/>
      <c r="Y177" s="1061" t="inlineStr">
        <is>
          <t>c.</t>
        </is>
      </c>
      <c r="Z177" s="1061" t="inlineStr">
        <is>
          <t>Multiply line 3a by line 3b.</t>
        </is>
      </c>
      <c r="AA177" s="12076">
        <f>ROUND(AA175*AA176,2)</f>
        <v/>
      </c>
      <c r="AB177" s="409" t="n"/>
    </row>
    <row r="178" ht="22.5" customHeight="1" s="7635" thickBot="1">
      <c r="A178" s="139" t="n"/>
      <c r="B178" s="5267">
        <f>"Schedule C (Form 1040) "&amp;TaxYear</f>
        <v/>
      </c>
      <c r="C178" s="5267" t="n"/>
      <c r="D178" s="5267" t="n"/>
      <c r="E178" s="5267" t="n"/>
      <c r="F178" s="5267" t="n"/>
      <c r="G178" s="5267" t="n"/>
      <c r="H178" s="5267" t="n"/>
      <c r="I178" s="5267" t="n"/>
      <c r="J178" s="5267" t="n"/>
      <c r="K178" s="5267" t="n"/>
      <c r="L178" s="5267" t="n"/>
      <c r="M178" s="5267" t="n"/>
      <c r="N178" s="5267" t="n"/>
      <c r="O178" s="5267" t="n"/>
      <c r="P178" s="5267" t="n"/>
      <c r="Q178" s="5267" t="n"/>
      <c r="R178" s="5310" t="n"/>
      <c r="S178" s="5310" t="n"/>
      <c r="T178" s="5310" t="inlineStr">
        <is>
          <t>Page</t>
        </is>
      </c>
      <c r="U178" s="5311">
        <f>"2"</f>
        <v/>
      </c>
      <c r="V178" s="139" t="n"/>
      <c r="W178" s="2875" t="n"/>
      <c r="X178" s="5233" t="n"/>
      <c r="Y178" s="1400" t="inlineStr">
        <is>
          <t>4.</t>
        </is>
      </c>
      <c r="Z178" s="1401" t="inlineStr">
        <is>
          <t>Multiply line 2 by line 3c</t>
        </is>
      </c>
      <c r="AA178" s="12076">
        <f>ROUND(AA173*AA177,2)</f>
        <v/>
      </c>
      <c r="AB178" s="409" t="n"/>
    </row>
    <row r="179" ht="19.5" customHeight="1" s="7635">
      <c r="A179" s="139" t="n"/>
      <c r="B179" s="5312" t="inlineStr">
        <is>
          <t>Part III</t>
        </is>
      </c>
      <c r="C179" s="5313" t="inlineStr">
        <is>
          <t xml:space="preserve">   Cost of Goods Sold  (see instructions)</t>
        </is>
      </c>
      <c r="D179" s="5314" t="n"/>
      <c r="E179" s="5314" t="n"/>
      <c r="F179" s="5314" t="n"/>
      <c r="G179" s="5314" t="n"/>
      <c r="H179" s="5314" t="n"/>
      <c r="I179" s="5314" t="n"/>
      <c r="J179" s="5314" t="n"/>
      <c r="K179" s="5314" t="n"/>
      <c r="L179" s="5314" t="n"/>
      <c r="M179" s="5314" t="n"/>
      <c r="N179" s="5314" t="n"/>
      <c r="O179" s="5314" t="n"/>
      <c r="P179" s="5314" t="n"/>
      <c r="Q179" s="5314" t="n"/>
      <c r="R179" s="5314" t="n"/>
      <c r="S179" s="5314" t="n"/>
      <c r="T179" s="5314" t="n"/>
      <c r="U179" s="5314" t="n"/>
      <c r="V179" s="139" t="n"/>
      <c r="W179" s="2875" t="n"/>
      <c r="X179" s="5233" t="n"/>
      <c r="Y179" s="1400" t="inlineStr">
        <is>
          <t>5.</t>
        </is>
      </c>
      <c r="Z179" s="1061" t="inlineStr">
        <is>
          <t>Smaller of line 1 or 4. If &lt;=0, then 0.</t>
        </is>
      </c>
      <c r="AA179" s="12076">
        <f>MAX(0,MIN(AA172,AA178))</f>
        <v/>
      </c>
      <c r="AB179" s="567" t="inlineStr">
        <is>
          <t>Enter on Sch C line 30</t>
        </is>
      </c>
    </row>
    <row r="180" ht="6" customHeight="1" s="7635">
      <c r="A180" s="139" t="n"/>
      <c r="B180" s="8651" t="n"/>
      <c r="C180" s="8651" t="n"/>
      <c r="D180" s="8651" t="n"/>
      <c r="E180" s="8651" t="n"/>
      <c r="F180" s="8651" t="n"/>
      <c r="G180" s="8651" t="n"/>
      <c r="H180" s="8651" t="n"/>
      <c r="I180" s="8651" t="n"/>
      <c r="J180" s="8651" t="n"/>
      <c r="K180" s="8651" t="n"/>
      <c r="L180" s="8651" t="n"/>
      <c r="M180" s="8651" t="n"/>
      <c r="N180" s="8651" t="n"/>
      <c r="O180" s="8651" t="n"/>
      <c r="P180" s="8651" t="n"/>
      <c r="Q180" s="8651" t="n"/>
      <c r="R180" s="8651" t="n"/>
      <c r="S180" s="8651" t="n"/>
      <c r="T180" s="8651" t="n"/>
      <c r="U180" s="8651" t="n"/>
      <c r="V180" s="139" t="n"/>
      <c r="W180" s="2875" t="n"/>
      <c r="X180" s="5233" t="n"/>
      <c r="Y180" s="413" t="n"/>
      <c r="Z180" s="413" t="n"/>
      <c r="AA180" s="413" t="n"/>
      <c r="AB180" s="414" t="n"/>
    </row>
    <row r="181" ht="13.5" customHeight="1" s="7635" thickBot="1">
      <c r="A181" s="139" t="n"/>
      <c r="B181" s="2984" t="n">
        <v>33</v>
      </c>
      <c r="C181" s="8647" t="inlineStr">
        <is>
          <t>Method(s) used to</t>
        </is>
      </c>
      <c r="D181" s="8665" t="n"/>
      <c r="E181" s="8665" t="n"/>
      <c r="F181" s="8665" t="n"/>
      <c r="G181" s="8665" t="n"/>
      <c r="H181" s="8665" t="n"/>
      <c r="I181" s="8665" t="n"/>
      <c r="J181" s="8665" t="n"/>
      <c r="K181" s="8665" t="n"/>
      <c r="L181" s="8665" t="n"/>
      <c r="M181" s="8665" t="n"/>
      <c r="N181" s="8665" t="n"/>
      <c r="O181" s="8665" t="n"/>
      <c r="P181" s="8665" t="n"/>
      <c r="Q181" s="8665" t="n"/>
      <c r="R181" s="8665" t="n"/>
      <c r="S181" s="8665" t="n"/>
      <c r="T181" s="8665" t="n"/>
      <c r="U181" s="8665" t="n"/>
      <c r="V181" s="139" t="n"/>
      <c r="W181" s="2875" t="n"/>
      <c r="X181" s="5233" t="n"/>
      <c r="Y181" s="7834">
        <f>IF(AND(R173&lt;&gt;"",R174&lt;&gt;""),FALSE,IF(AND(T170&gt;=0,OR(R173&lt;&gt;"",R174&lt;&gt;"")),TRUE,FALSE))</f>
        <v/>
      </c>
      <c r="Z181" s="7834" t="n"/>
      <c r="AA181" s="7834" t="n"/>
      <c r="AB181" s="7834" t="n"/>
    </row>
    <row r="182" ht="14.25" customHeight="1" s="7635" thickBot="1">
      <c r="A182" s="139" t="n"/>
      <c r="B182" s="2984" t="n"/>
      <c r="C182" s="8647" t="inlineStr">
        <is>
          <t>value closing inventory     a</t>
        </is>
      </c>
      <c r="D182" s="8665" t="n"/>
      <c r="E182" s="282" t="n"/>
      <c r="F182" s="8647" t="inlineStr">
        <is>
          <t>Cost</t>
        </is>
      </c>
      <c r="G182" s="8374" t="inlineStr">
        <is>
          <t>b</t>
        </is>
      </c>
      <c r="H182" s="282" t="n"/>
      <c r="I182" s="8647" t="inlineStr">
        <is>
          <t>Lower cost or market</t>
        </is>
      </c>
      <c r="J182" s="3016" t="n"/>
      <c r="K182" s="8665" t="n"/>
      <c r="L182" s="3016" t="inlineStr">
        <is>
          <t>c</t>
        </is>
      </c>
      <c r="M182" s="282" t="n"/>
      <c r="N182" s="8647" t="inlineStr">
        <is>
          <t>Other (attach explanation)</t>
        </is>
      </c>
      <c r="O182" s="8665" t="n"/>
      <c r="P182" s="8665" t="n"/>
      <c r="Q182" s="8665" t="n"/>
      <c r="R182" s="8665" t="n"/>
      <c r="S182" s="8665" t="n"/>
      <c r="T182" s="8665" t="n"/>
      <c r="U182" s="8665" t="n"/>
      <c r="V182" s="139" t="n"/>
      <c r="W182" s="2875" t="n"/>
      <c r="X182" s="5233" t="n"/>
      <c r="Y182" s="7834">
        <f>OR(Y181,Y183)</f>
        <v/>
      </c>
      <c r="Z182" s="7834" t="n"/>
      <c r="AA182" s="7834" t="n"/>
      <c r="AB182" s="7834" t="n"/>
    </row>
    <row r="183" ht="18" customHeight="1" s="7635" thickBot="1">
      <c r="A183" s="139" t="n"/>
      <c r="B183" s="2984" t="n">
        <v>34</v>
      </c>
      <c r="C183" s="5266" t="inlineStr">
        <is>
          <t>Was there any change in determining quantities, cost or valuations between opening and closing inventory?</t>
        </is>
      </c>
      <c r="D183" s="5267" t="n"/>
      <c r="E183" s="5267" t="n"/>
      <c r="F183" s="5267" t="n"/>
      <c r="G183" s="5267" t="n"/>
      <c r="H183" s="5267" t="n"/>
      <c r="I183" s="5267" t="n"/>
      <c r="J183" s="5267" t="n"/>
      <c r="K183" s="8665" t="n"/>
      <c r="L183" s="8665" t="n"/>
      <c r="M183" s="8665" t="n"/>
      <c r="N183" s="8665" t="n"/>
      <c r="O183" s="8665" t="n"/>
      <c r="P183" s="8665" t="n"/>
      <c r="Q183" s="5267" t="n"/>
      <c r="R183" s="5267" t="n"/>
      <c r="S183" s="5267" t="n"/>
      <c r="T183" s="5267" t="n"/>
      <c r="U183" s="5267" t="n"/>
      <c r="V183" s="139" t="n"/>
      <c r="W183" s="2875" t="n"/>
      <c r="X183" s="5233" t="n"/>
      <c r="Y183" s="7834">
        <f>IF(AND(R173&lt;&gt;"",R174&lt;&gt;""),TRUE,FALSE)</f>
        <v/>
      </c>
      <c r="Z183" s="7834" t="n"/>
      <c r="AA183" s="7834" t="n"/>
      <c r="AB183" s="7834" t="n"/>
    </row>
    <row r="184" ht="15" customHeight="1" s="7635" thickBot="1">
      <c r="A184" s="139" t="n"/>
      <c r="B184" s="2984" t="n"/>
      <c r="C184" s="5266" t="inlineStr">
        <is>
          <t>If "Yes", attach explanation</t>
        </is>
      </c>
      <c r="D184" s="5267" t="n"/>
      <c r="E184" s="5267" t="n"/>
      <c r="F184" s="5267" t="n"/>
      <c r="G184" s="5267" t="n"/>
      <c r="H184" s="5267" t="n"/>
      <c r="I184" s="5267" t="n"/>
      <c r="J184" s="5267" t="n"/>
      <c r="K184" s="5267" t="n"/>
      <c r="L184" s="5267" t="n"/>
      <c r="M184" s="5267" t="n"/>
      <c r="N184" s="5267" t="n"/>
      <c r="O184" s="5267" t="n"/>
      <c r="P184" s="5265" t="inlineStr">
        <is>
          <t xml:space="preserve">.   .   .   .   .   .   .   .   .   .   .   .   .   .   .   .   .   .   .   .   .   .   .   .   .   .   .   .   .   .   .   .   .  </t>
        </is>
      </c>
      <c r="Q184" s="282" t="n"/>
      <c r="R184" s="5256" t="inlineStr">
        <is>
          <t>Yes</t>
        </is>
      </c>
      <c r="S184" s="5315" t="n"/>
      <c r="T184" s="282" t="n"/>
      <c r="U184" s="5256" t="inlineStr">
        <is>
          <t>No</t>
        </is>
      </c>
      <c r="V184" s="139" t="n"/>
      <c r="W184" s="2875" t="n"/>
      <c r="X184" s="5233" t="n"/>
    </row>
    <row r="185" ht="5.25" customHeight="1" s="7635">
      <c r="A185" s="139" t="n"/>
      <c r="B185" s="2984" t="n"/>
      <c r="C185" s="5266" t="n"/>
      <c r="D185" s="5267" t="n"/>
      <c r="E185" s="5267" t="n"/>
      <c r="F185" s="5267" t="n"/>
      <c r="G185" s="5267" t="n"/>
      <c r="H185" s="5267" t="n"/>
      <c r="I185" s="5267" t="n"/>
      <c r="J185" s="5267" t="n"/>
      <c r="K185" s="5267" t="n"/>
      <c r="L185" s="5267" t="n"/>
      <c r="M185" s="5267" t="n"/>
      <c r="N185" s="5267" t="n"/>
      <c r="O185" s="5267" t="n"/>
      <c r="P185" s="5267" t="n"/>
      <c r="Q185" s="5267" t="n"/>
      <c r="R185" s="5267" t="n"/>
      <c r="S185" s="5267" t="n"/>
      <c r="T185" s="5267" t="n"/>
      <c r="U185" s="5267" t="n"/>
      <c r="V185" s="139" t="n"/>
      <c r="W185" s="2875" t="n"/>
      <c r="X185" s="5233" t="n"/>
    </row>
    <row r="186" ht="15.75" customHeight="1" s="7635">
      <c r="A186" s="139" t="n"/>
      <c r="B186" s="2984" t="n">
        <v>35</v>
      </c>
      <c r="C186" s="5266" t="inlineStr">
        <is>
          <t>Inventory at beginning of the year.  If different from last year's closing inventory, attach explanation</t>
        </is>
      </c>
      <c r="D186" s="5267" t="n"/>
      <c r="E186" s="5267" t="n"/>
      <c r="F186" s="5267" t="n"/>
      <c r="G186" s="5267" t="n"/>
      <c r="H186" s="5267" t="n"/>
      <c r="I186" s="5267" t="n"/>
      <c r="J186" s="5267" t="n"/>
      <c r="K186" s="5267" t="n"/>
      <c r="L186" s="5267" t="n"/>
      <c r="M186" s="5267" t="n"/>
      <c r="N186" s="5267" t="n"/>
      <c r="O186" s="5267" t="n"/>
      <c r="P186" s="5267" t="n"/>
      <c r="Q186" s="5267" t="n"/>
      <c r="R186" s="5265" t="inlineStr">
        <is>
          <t xml:space="preserve">.   .   .   .   .   .   .   .   . </t>
        </is>
      </c>
      <c r="S186" s="8230" t="n">
        <v>35</v>
      </c>
      <c r="T186" s="8169" t="n"/>
      <c r="U186" s="11717" t="n"/>
      <c r="V186" s="139" t="n"/>
      <c r="W186" s="2875" t="n"/>
      <c r="X186" s="5233" t="n"/>
    </row>
    <row r="187" ht="12.75" customHeight="1" s="7635">
      <c r="A187" s="139" t="n"/>
      <c r="B187" s="2984" t="n"/>
      <c r="C187" s="5266" t="n"/>
      <c r="D187" s="5267" t="n"/>
      <c r="E187" s="5267" t="n"/>
      <c r="F187" s="5267" t="n"/>
      <c r="G187" s="5267" t="n"/>
      <c r="H187" s="5267" t="n"/>
      <c r="I187" s="5267" t="n"/>
      <c r="J187" s="5267" t="n"/>
      <c r="K187" s="5267" t="n"/>
      <c r="L187" s="5267" t="n"/>
      <c r="M187" s="5267" t="n"/>
      <c r="N187" s="5267" t="n"/>
      <c r="O187" s="5267" t="n"/>
      <c r="P187" s="5267" t="n"/>
      <c r="Q187" s="5267" t="n"/>
      <c r="R187" s="5267" t="n"/>
      <c r="S187" s="5287" t="n"/>
      <c r="T187" s="1649" t="n"/>
      <c r="U187" s="1650" t="n"/>
      <c r="V187" s="139" t="n"/>
      <c r="W187" s="2875" t="n"/>
      <c r="X187" s="5233" t="n"/>
    </row>
    <row r="188" ht="12" customHeight="1" s="7635">
      <c r="A188" s="139" t="n"/>
      <c r="B188" s="2984" t="n">
        <v>36</v>
      </c>
      <c r="C188" s="5266" t="inlineStr">
        <is>
          <t>Purchases less cost of items withdrawn for personal use</t>
        </is>
      </c>
      <c r="D188" s="5267" t="n"/>
      <c r="E188" s="5267" t="n"/>
      <c r="F188" s="5267" t="n"/>
      <c r="G188" s="5267" t="n"/>
      <c r="H188" s="5267" t="n"/>
      <c r="I188" s="5267" t="n"/>
      <c r="J188" s="5267" t="n"/>
      <c r="K188" s="5267" t="n"/>
      <c r="L188" s="5267" t="n"/>
      <c r="M188" s="5267" t="n"/>
      <c r="N188" s="5267" t="n"/>
      <c r="O188" s="5267" t="n"/>
      <c r="P188" s="5267" t="n"/>
      <c r="Q188" s="5267" t="n"/>
      <c r="R188" s="5265" t="inlineStr">
        <is>
          <t xml:space="preserve">.   .   .   .   .   .   .   .   .   .   .   .   .   .   .   .   .   .   .   .   .   .   .   .   .   . </t>
        </is>
      </c>
      <c r="S188" s="8230" t="n">
        <v>36</v>
      </c>
      <c r="T188" s="8169" t="n"/>
      <c r="U188" s="11717" t="n"/>
      <c r="V188" s="139" t="n"/>
      <c r="W188" s="2875" t="n"/>
      <c r="X188" s="5233" t="n"/>
    </row>
    <row r="189">
      <c r="A189" s="139" t="n"/>
      <c r="B189" s="2984" t="n"/>
      <c r="C189" s="5266" t="n"/>
      <c r="D189" s="5267" t="n"/>
      <c r="E189" s="5267" t="n"/>
      <c r="F189" s="5267" t="n"/>
      <c r="G189" s="5267" t="n"/>
      <c r="H189" s="5267" t="n"/>
      <c r="I189" s="5267" t="n"/>
      <c r="J189" s="5267" t="n"/>
      <c r="K189" s="5267" t="n"/>
      <c r="L189" s="5267" t="n"/>
      <c r="M189" s="5267" t="n"/>
      <c r="N189" s="5267" t="n"/>
      <c r="O189" s="5267" t="n"/>
      <c r="P189" s="5267" t="n"/>
      <c r="Q189" s="5267" t="n"/>
      <c r="R189" s="5267" t="n"/>
      <c r="S189" s="5287" t="n"/>
      <c r="T189" s="1649" t="n"/>
      <c r="U189" s="1650" t="n"/>
      <c r="V189" s="139" t="n"/>
      <c r="W189" s="2875" t="n"/>
      <c r="X189" s="5233" t="n"/>
    </row>
    <row r="190" ht="12" customHeight="1" s="7635">
      <c r="A190" s="139" t="n"/>
      <c r="B190" s="2984" t="n">
        <v>37</v>
      </c>
      <c r="C190" s="5266" t="inlineStr">
        <is>
          <t>Cost of labor.  Do not include any amounts paid to yourself</t>
        </is>
      </c>
      <c r="D190" s="5267" t="n"/>
      <c r="E190" s="5267" t="n"/>
      <c r="F190" s="5267" t="n"/>
      <c r="G190" s="5267" t="n"/>
      <c r="H190" s="5267" t="n"/>
      <c r="I190" s="5267" t="n"/>
      <c r="J190" s="5267" t="n"/>
      <c r="K190" s="5267" t="n"/>
      <c r="L190" s="5267" t="n"/>
      <c r="M190" s="5267" t="n"/>
      <c r="N190" s="5267" t="n"/>
      <c r="O190" s="5267" t="n"/>
      <c r="P190" s="5267" t="n"/>
      <c r="Q190" s="5267" t="n"/>
      <c r="R190" s="5265" t="inlineStr">
        <is>
          <t xml:space="preserve">.   .   .   .   .   .   .   .   .   .   .   .   .   .   .   .   .   .   .   .   .   .   .   .   . </t>
        </is>
      </c>
      <c r="S190" s="8230" t="n">
        <v>37</v>
      </c>
      <c r="T190" s="8169" t="n"/>
      <c r="U190" s="11717" t="n"/>
      <c r="V190" s="139" t="n"/>
      <c r="W190" s="2875" t="n"/>
      <c r="X190" s="5233" t="n"/>
    </row>
    <row r="191">
      <c r="A191" s="139" t="n"/>
      <c r="B191" s="2984" t="n"/>
      <c r="C191" s="5266" t="n"/>
      <c r="D191" s="5267" t="n"/>
      <c r="E191" s="5267" t="n"/>
      <c r="F191" s="5267" t="n"/>
      <c r="G191" s="5267" t="n"/>
      <c r="H191" s="5267" t="n"/>
      <c r="I191" s="5267" t="n"/>
      <c r="J191" s="5267" t="n"/>
      <c r="K191" s="5267" t="n"/>
      <c r="L191" s="5267" t="n"/>
      <c r="M191" s="5267" t="n"/>
      <c r="N191" s="5267" t="n"/>
      <c r="O191" s="5267" t="n"/>
      <c r="P191" s="5267" t="n"/>
      <c r="Q191" s="5267" t="n"/>
      <c r="R191" s="5267" t="n"/>
      <c r="S191" s="5287" t="n"/>
      <c r="T191" s="1649" t="n"/>
      <c r="U191" s="1650" t="n"/>
      <c r="V191" s="139" t="n"/>
      <c r="W191" s="2875" t="n"/>
      <c r="X191" s="5233" t="n"/>
    </row>
    <row r="192" ht="14.25" customHeight="1" s="7635">
      <c r="A192" s="139" t="n"/>
      <c r="B192" s="2984" t="n">
        <v>38</v>
      </c>
      <c r="C192" s="5266" t="inlineStr">
        <is>
          <t>Materials and supplies</t>
        </is>
      </c>
      <c r="D192" s="5267" t="n"/>
      <c r="E192" s="5267" t="n"/>
      <c r="F192" s="5267" t="n"/>
      <c r="G192" s="5267" t="n"/>
      <c r="H192" s="5267" t="n"/>
      <c r="I192" s="5267" t="n"/>
      <c r="J192" s="5267" t="n"/>
      <c r="K192" s="5267" t="n"/>
      <c r="L192" s="5267" t="n"/>
      <c r="M192" s="5267" t="n"/>
      <c r="N192" s="5267" t="n"/>
      <c r="O192" s="5267" t="n"/>
      <c r="P192" s="5267" t="n"/>
      <c r="Q192" s="5267" t="n"/>
      <c r="R192" s="5265" t="inlineStr">
        <is>
          <t xml:space="preserve">.   .   .   .   .   .   .   .   .   .   .   .   .   .   .   .   .   .   .   .   .   .   .   .   .   .   .   .   .   .   .   .   .   .   .   .   .   .   . </t>
        </is>
      </c>
      <c r="S192" s="8230" t="n">
        <v>38</v>
      </c>
      <c r="T192" s="8169" t="n"/>
      <c r="U192" s="11717" t="n"/>
      <c r="V192" s="139" t="n"/>
      <c r="W192" s="2875" t="n"/>
      <c r="X192" s="5233" t="n"/>
    </row>
    <row r="193">
      <c r="A193" s="139" t="n"/>
      <c r="B193" s="2984" t="n"/>
      <c r="C193" s="5266" t="n"/>
      <c r="D193" s="5267" t="n"/>
      <c r="E193" s="5267" t="n"/>
      <c r="F193" s="5267" t="n"/>
      <c r="G193" s="5267" t="n"/>
      <c r="H193" s="5267" t="n"/>
      <c r="I193" s="5267" t="n"/>
      <c r="J193" s="5267" t="n"/>
      <c r="K193" s="5267" t="n"/>
      <c r="L193" s="5267" t="n"/>
      <c r="M193" s="5267" t="n"/>
      <c r="N193" s="5267" t="n"/>
      <c r="O193" s="5267" t="n"/>
      <c r="P193" s="5267" t="n"/>
      <c r="Q193" s="5267" t="n"/>
      <c r="R193" s="5267" t="n"/>
      <c r="S193" s="5287" t="n"/>
      <c r="T193" s="1649" t="n"/>
      <c r="U193" s="1650" t="n"/>
      <c r="V193" s="139" t="n"/>
      <c r="W193" s="2875" t="n"/>
      <c r="X193" s="5233" t="n"/>
    </row>
    <row r="194" ht="14.25" customHeight="1" s="7635" thickBot="1">
      <c r="A194" s="139" t="n"/>
      <c r="B194" s="2984" t="n">
        <v>39</v>
      </c>
      <c r="C194" s="5266" t="inlineStr">
        <is>
          <t>Other costs</t>
        </is>
      </c>
      <c r="D194" s="5267" t="n"/>
      <c r="E194" s="5267" t="n"/>
      <c r="F194" s="5267" t="n"/>
      <c r="G194" s="5267" t="n"/>
      <c r="H194" s="5267" t="n"/>
      <c r="I194" s="5267" t="n"/>
      <c r="J194" s="5267" t="n"/>
      <c r="K194" s="5267" t="n"/>
      <c r="L194" s="5267" t="n"/>
      <c r="M194" s="5267" t="n"/>
      <c r="N194" s="5267" t="n"/>
      <c r="O194" s="5267" t="n"/>
      <c r="P194" s="5267" t="n"/>
      <c r="Q194" s="5267" t="n"/>
      <c r="R194" s="5265" t="inlineStr">
        <is>
          <t xml:space="preserve">.   .   .   .   .   .   .   .   .   .   .   .   .   .   .   .   .   .   .   .   .   .   .   .   .   .   .   .   .   .   .   .   .   .   .   .   .   .   .   .   .   .   .   .   .   . </t>
        </is>
      </c>
      <c r="S194" s="4303" t="n">
        <v>39</v>
      </c>
      <c r="T194" s="8169" t="n"/>
      <c r="U194" s="11717" t="n"/>
      <c r="V194" s="139" t="n"/>
      <c r="W194" s="2875" t="n"/>
      <c r="X194" s="5233" t="n"/>
    </row>
    <row r="195">
      <c r="A195" s="139" t="n"/>
      <c r="B195" s="2984" t="n"/>
      <c r="C195" s="5266" t="n"/>
      <c r="D195" s="5267" t="n"/>
      <c r="E195" s="5267" t="n"/>
      <c r="F195" s="5267" t="n"/>
      <c r="G195" s="5267" t="n"/>
      <c r="H195" s="5267" t="n"/>
      <c r="I195" s="5267" t="n"/>
      <c r="J195" s="5267" t="n"/>
      <c r="K195" s="5267" t="n"/>
      <c r="L195" s="5267" t="n"/>
      <c r="M195" s="5267" t="n"/>
      <c r="N195" s="5267" t="n"/>
      <c r="O195" s="5267" t="n"/>
      <c r="P195" s="5267" t="n"/>
      <c r="Q195" s="5267" t="n"/>
      <c r="R195" s="5267" t="n"/>
      <c r="S195" s="5287" t="n"/>
      <c r="T195" s="1651" t="n"/>
      <c r="U195" s="1652" t="n"/>
      <c r="V195" s="139" t="n"/>
      <c r="W195" s="2875" t="n"/>
      <c r="X195" s="5233" t="n"/>
    </row>
    <row r="196" ht="13.5" customHeight="1" s="7635">
      <c r="A196" s="139" t="n"/>
      <c r="B196" s="2984" t="n">
        <v>40</v>
      </c>
      <c r="C196" s="5266" t="inlineStr">
        <is>
          <t>Add lines 35 through 39</t>
        </is>
      </c>
      <c r="D196" s="5267" t="n"/>
      <c r="E196" s="5267" t="n"/>
      <c r="F196" s="5267" t="n"/>
      <c r="G196" s="5267" t="n"/>
      <c r="H196" s="5267" t="n"/>
      <c r="I196" s="5267" t="n"/>
      <c r="J196" s="5267" t="n"/>
      <c r="K196" s="5267" t="n"/>
      <c r="L196" s="5267" t="n"/>
      <c r="M196" s="5267" t="n"/>
      <c r="N196" s="5267" t="n"/>
      <c r="O196" s="5267" t="n"/>
      <c r="P196" s="5267" t="n"/>
      <c r="Q196" s="5267" t="n"/>
      <c r="R196" s="5265" t="inlineStr">
        <is>
          <t xml:space="preserve">.   .   .   .   .   .   .   .   .   .   .   .   .   .   .   .   .   .   .   .   .   .   .   .   .   .   .   .   .   .   .   .   .   .   .   .   .   . </t>
        </is>
      </c>
      <c r="S196" s="8230" t="n">
        <v>40</v>
      </c>
      <c r="T196" s="8176">
        <f>IF(ROUND(SUM(T186:T194),0)=0,"",ROUND(SUM(T186:T194),0))</f>
        <v/>
      </c>
      <c r="U196" s="7637" t="n"/>
      <c r="V196" s="139" t="n"/>
      <c r="W196" s="2875" t="n"/>
      <c r="X196" s="5233" t="n"/>
    </row>
    <row r="197">
      <c r="A197" s="139" t="n"/>
      <c r="B197" s="2984" t="n"/>
      <c r="C197" s="5266" t="n"/>
      <c r="D197" s="5267" t="n"/>
      <c r="E197" s="5267" t="n"/>
      <c r="F197" s="5267" t="n"/>
      <c r="G197" s="5267" t="n"/>
      <c r="H197" s="5267" t="n"/>
      <c r="I197" s="5267" t="n"/>
      <c r="J197" s="5267" t="n"/>
      <c r="K197" s="5267" t="n"/>
      <c r="L197" s="5267" t="n"/>
      <c r="M197" s="5267" t="n"/>
      <c r="N197" s="5267" t="n"/>
      <c r="O197" s="5267" t="n"/>
      <c r="P197" s="5267" t="n"/>
      <c r="Q197" s="5267" t="n"/>
      <c r="R197" s="5267" t="n"/>
      <c r="S197" s="5287" t="n"/>
      <c r="T197" s="1649" t="n"/>
      <c r="U197" s="1650" t="n"/>
      <c r="V197" s="139" t="n"/>
      <c r="W197" s="2875" t="n"/>
      <c r="X197" s="5233" t="n"/>
    </row>
    <row r="198" ht="13.5" customHeight="1" s="7635" thickBot="1">
      <c r="A198" s="139" t="n"/>
      <c r="B198" s="2984" t="n">
        <v>41</v>
      </c>
      <c r="C198" s="5266" t="inlineStr">
        <is>
          <t>Inventory at end of year</t>
        </is>
      </c>
      <c r="D198" s="5267" t="n"/>
      <c r="E198" s="5267" t="n"/>
      <c r="F198" s="5267" t="n"/>
      <c r="G198" s="5267" t="n"/>
      <c r="H198" s="5267" t="n"/>
      <c r="I198" s="5267" t="n"/>
      <c r="J198" s="5267" t="n"/>
      <c r="K198" s="5267" t="n"/>
      <c r="L198" s="5267" t="n"/>
      <c r="M198" s="5267" t="n"/>
      <c r="N198" s="5267" t="n"/>
      <c r="O198" s="5267" t="n"/>
      <c r="P198" s="5267" t="n"/>
      <c r="Q198" s="5267" t="n"/>
      <c r="R198" s="5265" t="inlineStr">
        <is>
          <t xml:space="preserve">.   .   .   .   .   .   .   .   .   .   .   .   .   .   .   .   .   .   .   .   .   .   .   .   .   .   .   .   .   .   .   .   .   .   .   .   .   . </t>
        </is>
      </c>
      <c r="S198" s="4303" t="n">
        <v>41</v>
      </c>
      <c r="T198" s="8178" t="n"/>
      <c r="U198" s="11795" t="n"/>
      <c r="V198" s="139" t="n"/>
      <c r="W198" s="2875" t="n"/>
      <c r="X198" s="5233" t="n"/>
    </row>
    <row r="199">
      <c r="A199" s="139" t="n"/>
      <c r="B199" s="2984" t="n"/>
      <c r="C199" s="5266" t="n"/>
      <c r="D199" s="5267" t="n"/>
      <c r="E199" s="5267" t="n"/>
      <c r="F199" s="5267" t="n"/>
      <c r="G199" s="5267" t="n"/>
      <c r="H199" s="5267" t="n"/>
      <c r="I199" s="5267" t="n"/>
      <c r="J199" s="5267" t="n"/>
      <c r="K199" s="5267" t="n"/>
      <c r="L199" s="5267" t="n"/>
      <c r="M199" s="5267" t="n"/>
      <c r="N199" s="5267" t="n"/>
      <c r="O199" s="5267" t="n"/>
      <c r="P199" s="5267" t="n"/>
      <c r="Q199" s="5267" t="n"/>
      <c r="R199" s="5267" t="n"/>
      <c r="S199" s="5287" t="n"/>
      <c r="T199" s="1651" t="n"/>
      <c r="U199" s="1652" t="n"/>
      <c r="V199" s="139" t="n"/>
      <c r="W199" s="2875" t="n"/>
      <c r="X199" s="5233" t="n"/>
    </row>
    <row r="200" ht="13.5" customHeight="1" s="7635" thickBot="1">
      <c r="A200" s="139" t="n"/>
      <c r="B200" s="2984" t="n">
        <v>42</v>
      </c>
      <c r="C200" s="5268" t="inlineStr">
        <is>
          <t>Cost of goods sold.   Subtract line 41 from line 40.  Enter the result here and on line 4</t>
        </is>
      </c>
      <c r="D200" s="5256" t="n"/>
      <c r="E200" s="5267" t="n"/>
      <c r="F200" s="5267" t="n"/>
      <c r="G200" s="5267" t="n"/>
      <c r="H200" s="5267" t="n"/>
      <c r="I200" s="5267" t="n"/>
      <c r="J200" s="5267" t="n"/>
      <c r="K200" s="5267" t="n"/>
      <c r="L200" s="5267" t="n"/>
      <c r="M200" s="5267" t="n"/>
      <c r="N200" s="5267" t="n"/>
      <c r="O200" s="5267" t="n"/>
      <c r="P200" s="5267" t="n"/>
      <c r="Q200" s="5267" t="n"/>
      <c r="R200" s="5265" t="inlineStr">
        <is>
          <t xml:space="preserve">.   .   .   .   .   .   .   .   .   .   . </t>
        </is>
      </c>
      <c r="S200" s="8230" t="n">
        <v>42</v>
      </c>
      <c r="T200" s="8216">
        <f>IF(AND(T196="",T198=""),"",ROUND(SUM(T196,-T198),0))</f>
        <v/>
      </c>
      <c r="U200" s="8848" t="n"/>
      <c r="V200" s="139" t="n"/>
      <c r="W200" s="2875" t="n"/>
      <c r="X200" s="5233" t="n"/>
    </row>
    <row r="201" ht="15" customHeight="1" s="7635">
      <c r="A201" s="139" t="n"/>
      <c r="B201" s="5312" t="inlineStr">
        <is>
          <t>Part IV</t>
        </is>
      </c>
      <c r="C201" s="5317" t="inlineStr">
        <is>
          <t xml:space="preserve">   Information on Your Vehicle.</t>
        </is>
      </c>
      <c r="D201" s="5317" t="n"/>
      <c r="E201" s="5317" t="n"/>
      <c r="F201" s="5317" t="n"/>
      <c r="G201" s="5317" t="inlineStr">
        <is>
          <t>Complete this part only if you are claiming car or truck expenses on line 9 and</t>
        </is>
      </c>
      <c r="H201" s="5317" t="n"/>
      <c r="I201" s="5317" t="n"/>
      <c r="J201" s="5317" t="n"/>
      <c r="K201" s="5317" t="n"/>
      <c r="L201" s="5317" t="n"/>
      <c r="M201" s="5317" t="n"/>
      <c r="N201" s="5317" t="n"/>
      <c r="O201" s="5317" t="n"/>
      <c r="P201" s="5317" t="n"/>
      <c r="Q201" s="5317" t="n"/>
      <c r="R201" s="5317" t="n"/>
      <c r="S201" s="5317" t="n"/>
      <c r="T201" s="5317" t="n"/>
      <c r="U201" s="5317" t="n"/>
      <c r="V201" s="139" t="n"/>
      <c r="W201" s="2875" t="n"/>
      <c r="X201" s="5233" t="n"/>
    </row>
    <row r="202" ht="13.5" customHeight="1" s="7635">
      <c r="A202" s="139" t="n"/>
      <c r="B202" s="8318" t="n"/>
      <c r="C202" s="5318" t="inlineStr">
        <is>
          <t xml:space="preserve">   are not required to file Form 4562 for this business. See the instructions for line 13 on instructions to find out if you must file</t>
        </is>
      </c>
      <c r="D202" s="5266" t="n"/>
      <c r="E202" s="5318" t="n"/>
      <c r="F202" s="5318" t="n"/>
      <c r="G202" s="5318" t="n"/>
      <c r="H202" s="5318" t="n"/>
      <c r="I202" s="5318" t="n"/>
      <c r="J202" s="5318" t="n"/>
      <c r="K202" s="5318" t="n"/>
      <c r="L202" s="5318" t="n"/>
      <c r="M202" s="5318" t="n"/>
      <c r="N202" s="5318" t="n"/>
      <c r="O202" s="5318" t="n"/>
      <c r="P202" s="5318" t="n"/>
      <c r="Q202" s="5318" t="n"/>
      <c r="R202" s="5318" t="n"/>
      <c r="S202" s="5318" t="n"/>
      <c r="T202" s="5318" t="n"/>
      <c r="U202" s="5318" t="n"/>
      <c r="V202" s="139" t="n"/>
      <c r="W202" s="2875" t="n"/>
      <c r="X202" s="5233" t="n"/>
    </row>
    <row r="203" ht="12.75" customHeight="1" s="7635">
      <c r="A203" s="139" t="n"/>
      <c r="B203" s="5319" t="n"/>
      <c r="C203" s="5320" t="inlineStr">
        <is>
          <t xml:space="preserve">   Form 4562.</t>
        </is>
      </c>
      <c r="D203" s="5321" t="n"/>
      <c r="E203" s="5322" t="n"/>
      <c r="F203" s="5322" t="n"/>
      <c r="G203" s="5322" t="n"/>
      <c r="H203" s="5322" t="n"/>
      <c r="I203" s="5322" t="n"/>
      <c r="J203" s="5322" t="n"/>
      <c r="K203" s="5322" t="n"/>
      <c r="L203" s="5322" t="n"/>
      <c r="M203" s="5322" t="n"/>
      <c r="N203" s="5322" t="n"/>
      <c r="O203" s="5322" t="n"/>
      <c r="P203" s="5322" t="n"/>
      <c r="Q203" s="5322" t="n"/>
      <c r="R203" s="5322" t="n"/>
      <c r="S203" s="5322" t="n"/>
      <c r="T203" s="5322" t="n"/>
      <c r="U203" s="5322" t="n"/>
      <c r="V203" s="139" t="n"/>
      <c r="W203" s="2875" t="n"/>
      <c r="X203" s="5233" t="n"/>
    </row>
    <row r="204" ht="12.75" customHeight="1" s="7635">
      <c r="A204" s="139" t="n"/>
      <c r="B204" s="8318" t="n"/>
      <c r="C204" s="5267" t="n"/>
      <c r="D204" s="5267" t="n"/>
      <c r="E204" s="5267" t="n"/>
      <c r="F204" s="5267" t="n"/>
      <c r="G204" s="5267" t="n"/>
      <c r="H204" s="5267" t="n"/>
      <c r="I204" s="5267" t="n"/>
      <c r="J204" s="5267" t="n"/>
      <c r="K204" s="5267" t="n"/>
      <c r="L204" s="5267" t="n"/>
      <c r="M204" s="5267" t="n"/>
      <c r="N204" s="5267" t="n"/>
      <c r="O204" s="5267" t="n"/>
      <c r="P204" s="5267" t="n"/>
      <c r="Q204" s="5267" t="n"/>
      <c r="R204" s="5267" t="n"/>
      <c r="S204" s="5267" t="n"/>
      <c r="T204" s="5267" t="n"/>
      <c r="U204" s="5267" t="n"/>
      <c r="V204" s="139" t="n"/>
      <c r="W204" s="2875" t="n"/>
      <c r="X204" s="5233" t="n"/>
    </row>
    <row r="205" ht="12.75" customHeight="1" s="7635">
      <c r="A205" s="139" t="n"/>
      <c r="B205" s="2984" t="n">
        <v>43</v>
      </c>
      <c r="C205" s="12077" t="inlineStr">
        <is>
          <t>When did you place your vehicle in service for business purposes?   (month/day/year)</t>
        </is>
      </c>
      <c r="D205" s="12077" t="n"/>
      <c r="E205" s="5267" t="n"/>
      <c r="F205" s="5267" t="n"/>
      <c r="G205" s="5267" t="n"/>
      <c r="H205" s="5267" t="n"/>
      <c r="I205" s="5267" t="n"/>
      <c r="J205" s="5267" t="n"/>
      <c r="K205" s="5267" t="n"/>
      <c r="L205" s="5267" t="n"/>
      <c r="M205" s="12078" t="n"/>
      <c r="N205" s="11730" t="n"/>
      <c r="O205" s="5324" t="inlineStr">
        <is>
          <t>/</t>
        </is>
      </c>
      <c r="P205" s="12078" t="n"/>
      <c r="Q205" s="11730" t="n"/>
      <c r="R205" s="5324" t="inlineStr">
        <is>
          <t>/</t>
        </is>
      </c>
      <c r="S205" s="12078" t="n"/>
      <c r="T205" s="11730" t="n"/>
      <c r="U205" s="5256" t="n"/>
      <c r="V205" s="139" t="n"/>
      <c r="W205" s="2875" t="n"/>
      <c r="X205" s="5233" t="n"/>
    </row>
    <row r="206" ht="9" customHeight="1" s="7635">
      <c r="A206" s="139" t="n"/>
      <c r="B206" s="2984" t="n"/>
      <c r="C206" s="5266" t="n"/>
      <c r="D206" s="5267" t="n"/>
      <c r="E206" s="5267" t="n"/>
      <c r="F206" s="5267" t="n"/>
      <c r="G206" s="5267" t="n"/>
      <c r="H206" s="5267" t="n"/>
      <c r="I206" s="5267" t="n"/>
      <c r="J206" s="5267" t="n"/>
      <c r="K206" s="5267" t="n"/>
      <c r="L206" s="5267" t="n"/>
      <c r="M206" s="5267" t="n"/>
      <c r="N206" s="5267" t="n"/>
      <c r="O206" s="5267" t="n"/>
      <c r="P206" s="5267" t="n"/>
      <c r="Q206" s="5267" t="n"/>
      <c r="R206" s="5267" t="n"/>
      <c r="S206" s="5267" t="n"/>
      <c r="T206" s="5267" t="n"/>
      <c r="U206" s="5267" t="n"/>
      <c r="V206" s="139" t="n"/>
      <c r="W206" s="2875" t="n"/>
      <c r="X206" s="5233" t="n"/>
    </row>
    <row r="207" ht="13.5" customHeight="1" s="7635">
      <c r="A207" s="139" t="n"/>
      <c r="B207" s="2984" t="n">
        <v>44</v>
      </c>
      <c r="C207" s="5266">
        <f>"Of the total number of miles you drove your vehicle during "&amp;TaxYear&amp;", enter the number of miles you used your vehicle for:"</f>
        <v/>
      </c>
      <c r="D207" s="5267" t="n"/>
      <c r="E207" s="5267" t="n"/>
      <c r="F207" s="5267" t="n"/>
      <c r="G207" s="5267" t="n"/>
      <c r="H207" s="5267" t="n"/>
      <c r="I207" s="5267" t="n"/>
      <c r="J207" s="5267" t="n"/>
      <c r="K207" s="5267" t="n"/>
      <c r="L207" s="5267" t="n"/>
      <c r="M207" s="5267" t="n"/>
      <c r="N207" s="5267" t="n"/>
      <c r="O207" s="5267" t="n"/>
      <c r="P207" s="5267" t="n"/>
      <c r="Q207" s="5267" t="n"/>
      <c r="R207" s="5267" t="n"/>
      <c r="S207" s="5267" t="n"/>
      <c r="T207" s="5267" t="n"/>
      <c r="U207" s="5267" t="n"/>
      <c r="V207" s="139" t="n"/>
      <c r="W207" s="2875" t="n"/>
      <c r="X207" s="5233" t="n"/>
    </row>
    <row r="208">
      <c r="A208" s="139" t="n"/>
      <c r="B208" s="8374" t="n"/>
      <c r="C208" s="2776" t="inlineStr">
        <is>
          <t xml:space="preserve">  a   Business</t>
        </is>
      </c>
      <c r="D208" s="8171" t="n"/>
      <c r="E208" s="11730" t="n"/>
      <c r="F208" s="5326" t="n"/>
      <c r="G208" s="5310" t="n"/>
      <c r="H208" s="5310" t="n"/>
      <c r="I208" s="5265" t="inlineStr">
        <is>
          <t>b Commuting (see instructions)</t>
        </is>
      </c>
      <c r="J208" s="8220" t="n"/>
      <c r="K208" s="12079" t="n"/>
      <c r="L208" s="12079" t="n"/>
      <c r="M208" s="5265" t="n"/>
      <c r="N208" s="5265" t="inlineStr">
        <is>
          <t>c</t>
        </is>
      </c>
      <c r="O208" s="8223" t="inlineStr">
        <is>
          <t>Other</t>
        </is>
      </c>
      <c r="Q208" s="8172" t="n"/>
      <c r="R208" s="11730" t="n"/>
      <c r="S208" s="11730" t="n"/>
      <c r="T208" s="11730" t="n"/>
      <c r="U208" s="5329" t="n"/>
      <c r="V208" s="139" t="n"/>
      <c r="W208" s="5330">
        <f>IF(Y211,"Check","")</f>
        <v/>
      </c>
      <c r="X208" s="5233" t="n"/>
    </row>
    <row r="209" ht="15" customHeight="1" s="7635" thickBot="1">
      <c r="A209" s="139" t="n"/>
      <c r="B209" s="2984" t="n"/>
      <c r="C209" s="5266" t="n"/>
      <c r="D209" s="5267" t="n"/>
      <c r="E209" s="5267" t="n"/>
      <c r="F209" s="5267" t="n"/>
      <c r="G209" s="5267" t="n"/>
      <c r="H209" s="5267" t="n"/>
      <c r="I209" s="5267" t="n"/>
      <c r="J209" s="5267" t="n"/>
      <c r="K209" s="5267" t="n"/>
      <c r="L209" s="5267" t="n"/>
      <c r="M209" s="5267" t="n"/>
      <c r="N209" s="5267" t="n"/>
      <c r="O209" s="5267" t="n"/>
      <c r="P209" s="5267" t="n"/>
      <c r="Q209" s="5267" t="n"/>
      <c r="R209" s="5331" t="n"/>
      <c r="S209" s="5267" t="n"/>
      <c r="T209" s="5267" t="n"/>
      <c r="U209" s="5267" t="n"/>
      <c r="V209" s="139" t="n"/>
      <c r="W209" s="5330" t="n"/>
      <c r="X209" s="5233" t="n"/>
    </row>
    <row r="210" ht="13.5" customHeight="1" s="7635" thickBot="1">
      <c r="A210" s="139" t="n"/>
      <c r="B210" s="2984" t="n">
        <v>45</v>
      </c>
      <c r="C210" s="5266" t="inlineStr">
        <is>
          <t>Was your vehicle available for use during off-duty hours?</t>
        </is>
      </c>
      <c r="D210" s="5267" t="n"/>
      <c r="E210" s="5267" t="n"/>
      <c r="F210" s="5267" t="n"/>
      <c r="G210" s="5267" t="n"/>
      <c r="H210" s="5267" t="n"/>
      <c r="I210" s="5267" t="n"/>
      <c r="J210" s="5267" t="n"/>
      <c r="K210" s="5332" t="n"/>
      <c r="L210" s="5267" t="n"/>
      <c r="M210" s="2826" t="n"/>
      <c r="N210" s="2826" t="n"/>
      <c r="O210" s="5267" t="n"/>
      <c r="P210" s="5265" t="inlineStr">
        <is>
          <t xml:space="preserve">.    .    .    .    .    .    .    .    .    .    .    .    .    .    .    .    .    . </t>
        </is>
      </c>
      <c r="Q210" s="282" t="n"/>
      <c r="R210" s="2826" t="inlineStr">
        <is>
          <t>Yes</t>
        </is>
      </c>
      <c r="S210" s="5267" t="n"/>
      <c r="T210" s="282" t="n"/>
      <c r="U210" s="5268" t="inlineStr">
        <is>
          <t>No</t>
        </is>
      </c>
      <c r="V210" s="139" t="n"/>
      <c r="W210" s="5330">
        <f>IF(Y213,"ONLY one.","")</f>
        <v/>
      </c>
      <c r="X210" s="5233" t="n"/>
    </row>
    <row r="211" ht="12.75" customHeight="1" s="7635" thickBot="1">
      <c r="A211" s="139" t="n"/>
      <c r="B211" s="8374" t="n"/>
      <c r="C211" s="2776" t="n"/>
      <c r="D211" s="5310" t="n"/>
      <c r="E211" s="5310" t="n"/>
      <c r="F211" s="5310" t="n"/>
      <c r="G211" s="5310" t="n"/>
      <c r="H211" s="5310" t="n"/>
      <c r="I211" s="5310" t="n"/>
      <c r="J211" s="5310" t="n"/>
      <c r="K211" s="5310" t="n"/>
      <c r="L211" s="5310" t="n"/>
      <c r="M211" s="5267" t="n"/>
      <c r="N211" s="5267" t="n"/>
      <c r="O211" s="5310" t="n"/>
      <c r="P211" s="5310" t="n"/>
      <c r="Q211" s="5310" t="n"/>
      <c r="R211" s="5310" t="n"/>
      <c r="S211" s="5267" t="n"/>
      <c r="T211" s="5310" t="n"/>
      <c r="U211" s="5310" t="n"/>
      <c r="V211" s="139" t="n"/>
      <c r="W211" s="2875" t="n"/>
      <c r="X211" s="5233" t="n"/>
      <c r="Y211" s="7834">
        <f>OR(Y213,Y215,Y217,Y219)</f>
        <v/>
      </c>
      <c r="Z211" s="7834" t="n"/>
      <c r="AA211" s="7834" t="n"/>
      <c r="AB211" s="7834" t="n"/>
    </row>
    <row r="212" ht="13.5" customHeight="1" s="7635" thickBot="1">
      <c r="A212" s="139" t="n"/>
      <c r="B212" s="2984" t="n">
        <v>46</v>
      </c>
      <c r="C212" s="5266" t="inlineStr">
        <is>
          <t>Do you (or your spouse) have another vehicle available for personal use?</t>
        </is>
      </c>
      <c r="D212" s="5267" t="n"/>
      <c r="E212" s="5267" t="n"/>
      <c r="F212" s="5267" t="n"/>
      <c r="G212" s="5267" t="n"/>
      <c r="H212" s="5267" t="n"/>
      <c r="I212" s="5267" t="n"/>
      <c r="J212" s="5267" t="n"/>
      <c r="K212" s="5332" t="n"/>
      <c r="L212" s="5267" t="n"/>
      <c r="M212" s="2826" t="n"/>
      <c r="N212" s="2826" t="n"/>
      <c r="O212" s="5267" t="n"/>
      <c r="P212" s="5265" t="inlineStr">
        <is>
          <t xml:space="preserve"> .    .    .    .    .    .    .    .    .    .    .    . </t>
        </is>
      </c>
      <c r="Q212" s="282" t="n"/>
      <c r="R212" s="2826" t="inlineStr">
        <is>
          <t>Yes</t>
        </is>
      </c>
      <c r="S212" s="5267" t="n"/>
      <c r="T212" s="282" t="n"/>
      <c r="U212" s="5268" t="inlineStr">
        <is>
          <t>No</t>
        </is>
      </c>
      <c r="V212" s="139" t="n"/>
      <c r="W212" s="5330">
        <f>IF(Y215,"ONLY one.","")</f>
        <v/>
      </c>
      <c r="X212" s="5233" t="n"/>
      <c r="Y212" s="7834" t="n"/>
      <c r="Z212" s="7834" t="n"/>
      <c r="AA212" s="7834" t="n"/>
      <c r="AB212" s="7834" t="n"/>
    </row>
    <row r="213" ht="13.5" customHeight="1" s="7635" thickBot="1">
      <c r="A213" s="139" t="n"/>
      <c r="B213" s="2984" t="n"/>
      <c r="C213" s="5266" t="n"/>
      <c r="D213" s="5267" t="n"/>
      <c r="E213" s="5267" t="n"/>
      <c r="F213" s="5267" t="n"/>
      <c r="G213" s="5267" t="n"/>
      <c r="H213" s="5267" t="n"/>
      <c r="I213" s="5267" t="n"/>
      <c r="J213" s="5267" t="n"/>
      <c r="K213" s="5331" t="n"/>
      <c r="L213" s="5267" t="n"/>
      <c r="M213" s="5267" t="n"/>
      <c r="N213" s="5267" t="n"/>
      <c r="O213" s="5267" t="n"/>
      <c r="P213" s="5267" t="n"/>
      <c r="Q213" s="5267" t="n"/>
      <c r="R213" s="5267" t="n"/>
      <c r="S213" s="5267" t="n"/>
      <c r="T213" s="5267" t="n"/>
      <c r="U213" s="5267" t="n"/>
      <c r="V213" s="139" t="n"/>
      <c r="W213" s="2875" t="n"/>
      <c r="X213" s="5233" t="n"/>
      <c r="Y213" s="7834">
        <f>IF(AND(Q210&lt;&gt;"",T210&lt;&gt;""),TRUE,FALSE)</f>
        <v/>
      </c>
      <c r="Z213" s="7834" t="n"/>
      <c r="AA213" s="7834" t="n"/>
      <c r="AB213" s="7834" t="n"/>
    </row>
    <row r="214" ht="13.5" customHeight="1" s="7635" thickBot="1">
      <c r="A214" s="139" t="n"/>
      <c r="B214" s="2826" t="inlineStr">
        <is>
          <t xml:space="preserve">  47  a</t>
        </is>
      </c>
      <c r="C214" s="5266" t="inlineStr">
        <is>
          <t>Do you have evidence to support your deduction?</t>
        </is>
      </c>
      <c r="D214" s="5267" t="n"/>
      <c r="E214" s="5267" t="n"/>
      <c r="F214" s="5267" t="n"/>
      <c r="G214" s="5267" t="n"/>
      <c r="H214" s="5267" t="n"/>
      <c r="I214" s="5267" t="n"/>
      <c r="J214" s="5267" t="n"/>
      <c r="K214" s="5332" t="n"/>
      <c r="L214" s="5267" t="n"/>
      <c r="M214" s="5267" t="n"/>
      <c r="N214" s="5267" t="n"/>
      <c r="O214" s="5267" t="n"/>
      <c r="P214" s="5265" t="inlineStr">
        <is>
          <t xml:space="preserve">.    .    .    .    .    .    .    .    .    .    .    .    .    .    .    .    .    .    .    . </t>
        </is>
      </c>
      <c r="Q214" s="282" t="n"/>
      <c r="R214" s="2826" t="inlineStr">
        <is>
          <t>Yes</t>
        </is>
      </c>
      <c r="S214" s="5267" t="n"/>
      <c r="T214" s="282" t="n"/>
      <c r="U214" s="5268" t="inlineStr">
        <is>
          <t>No</t>
        </is>
      </c>
      <c r="V214" s="139" t="n"/>
      <c r="W214" s="5330">
        <f>IF(Y217,"ONLY one.","")</f>
        <v/>
      </c>
      <c r="X214" s="5233" t="n"/>
      <c r="Y214" s="7834" t="n"/>
      <c r="Z214" s="7834" t="n"/>
      <c r="AA214" s="7834" t="n"/>
      <c r="AB214" s="7834" t="n"/>
    </row>
    <row r="215" ht="13.5" customHeight="1" s="7635" thickBot="1">
      <c r="A215" s="139" t="n"/>
      <c r="B215" s="2984" t="n"/>
      <c r="C215" s="5266" t="n"/>
      <c r="D215" s="5267" t="n"/>
      <c r="E215" s="5267" t="n"/>
      <c r="F215" s="5267" t="n"/>
      <c r="G215" s="5267" t="n"/>
      <c r="H215" s="5267" t="n"/>
      <c r="I215" s="5267" t="n"/>
      <c r="J215" s="5267" t="n"/>
      <c r="K215" s="5331" t="n"/>
      <c r="L215" s="5267" t="n"/>
      <c r="M215" s="5267" t="n"/>
      <c r="N215" s="5267" t="n"/>
      <c r="O215" s="5267" t="n"/>
      <c r="P215" s="5267" t="n"/>
      <c r="Q215" s="5267" t="n"/>
      <c r="R215" s="5267" t="n"/>
      <c r="S215" s="5267" t="n"/>
      <c r="T215" s="5267" t="n"/>
      <c r="U215" s="5267" t="n"/>
      <c r="V215" s="139" t="n"/>
      <c r="W215" s="2875" t="n"/>
      <c r="X215" s="5233" t="n"/>
      <c r="Y215" s="7834">
        <f>IF(AND(Q212&lt;&gt;"",T212&lt;&gt;""),TRUE,FALSE)</f>
        <v/>
      </c>
      <c r="Z215" s="7834" t="n"/>
      <c r="AA215" s="7834" t="n"/>
      <c r="AB215" s="7834" t="n"/>
    </row>
    <row r="216" ht="13.5" customHeight="1" s="7635" thickBot="1">
      <c r="A216" s="139" t="n"/>
      <c r="B216" s="8374" t="inlineStr">
        <is>
          <t>b</t>
        </is>
      </c>
      <c r="C216" s="5266" t="inlineStr">
        <is>
          <t>If "Yes", is the evidence written?</t>
        </is>
      </c>
      <c r="D216" s="5267" t="n"/>
      <c r="E216" s="5267" t="n"/>
      <c r="F216" s="5267" t="n"/>
      <c r="G216" s="5267" t="n"/>
      <c r="H216" s="5267" t="n"/>
      <c r="I216" s="5267" t="n"/>
      <c r="J216" s="5267" t="n"/>
      <c r="K216" s="5332" t="n"/>
      <c r="L216" s="5267" t="n"/>
      <c r="M216" s="5267" t="n"/>
      <c r="N216" s="5267" t="n"/>
      <c r="O216" s="5267" t="n"/>
      <c r="P216" s="5265" t="inlineStr">
        <is>
          <t xml:space="preserve">.    .    .    .    .    .    .    .    .    .    .    .    .    .    .    .    .   .    .    .    .    .    .    .    .    .    . </t>
        </is>
      </c>
      <c r="Q216" s="282" t="n"/>
      <c r="R216" s="2826" t="inlineStr">
        <is>
          <t>Yes</t>
        </is>
      </c>
      <c r="S216" s="5267" t="n"/>
      <c r="T216" s="282" t="n"/>
      <c r="U216" s="5268" t="inlineStr">
        <is>
          <t>No</t>
        </is>
      </c>
      <c r="V216" s="139" t="n"/>
      <c r="W216" s="5330">
        <f>IF(Y219,"ONLY one.","")</f>
        <v/>
      </c>
      <c r="X216" s="5233" t="n"/>
      <c r="Y216" s="7834" t="n"/>
      <c r="Z216" s="7834" t="n"/>
      <c r="AA216" s="7834" t="n"/>
      <c r="AB216" s="7834" t="n"/>
    </row>
    <row r="217" ht="6.75" customHeight="1" s="7635" thickBot="1">
      <c r="A217" s="139" t="n"/>
      <c r="B217" s="8318" t="n"/>
      <c r="C217" s="5267" t="n"/>
      <c r="D217" s="5267" t="n"/>
      <c r="E217" s="5267" t="n"/>
      <c r="F217" s="5267" t="n"/>
      <c r="G217" s="5267" t="n"/>
      <c r="H217" s="5267" t="n"/>
      <c r="I217" s="5267" t="n"/>
      <c r="J217" s="5267" t="n"/>
      <c r="K217" s="5267" t="n"/>
      <c r="L217" s="5267" t="n"/>
      <c r="M217" s="5267" t="n"/>
      <c r="N217" s="5267" t="n"/>
      <c r="O217" s="5267" t="n"/>
      <c r="P217" s="5267" t="n"/>
      <c r="Q217" s="5267" t="n"/>
      <c r="R217" s="5267" t="n"/>
      <c r="S217" s="5267" t="n"/>
      <c r="T217" s="5267" t="n"/>
      <c r="U217" s="5267" t="n"/>
      <c r="V217" s="139" t="n"/>
      <c r="W217" s="2875" t="n"/>
      <c r="X217" s="5233" t="n"/>
      <c r="Y217" s="7834">
        <f>IF(AND(Q214&lt;&gt;"",T214&lt;&gt;""),TRUE,FALSE)</f>
        <v/>
      </c>
      <c r="Z217" s="7834" t="n"/>
      <c r="AA217" s="7834" t="n"/>
      <c r="AB217" s="7834" t="n"/>
    </row>
    <row r="218" ht="18" customHeight="1" s="7635">
      <c r="A218" s="139" t="n"/>
      <c r="B218" s="2978" t="inlineStr">
        <is>
          <t>Part V</t>
        </is>
      </c>
      <c r="C218" s="5314" t="inlineStr">
        <is>
          <t xml:space="preserve">   Other expenses.  List below business expenses not included on lines 8-27a, or line 30.</t>
        </is>
      </c>
      <c r="D218" s="5314" t="n"/>
      <c r="E218" s="5314" t="n"/>
      <c r="F218" s="5314" t="n"/>
      <c r="G218" s="5314" t="n"/>
      <c r="H218" s="5314" t="n"/>
      <c r="I218" s="5314" t="n"/>
      <c r="J218" s="5314" t="n"/>
      <c r="K218" s="5314" t="n"/>
      <c r="L218" s="5314" t="n"/>
      <c r="M218" s="5314" t="n"/>
      <c r="N218" s="5314" t="n"/>
      <c r="O218" s="5314" t="n"/>
      <c r="P218" s="5314" t="n"/>
      <c r="Q218" s="5314" t="n"/>
      <c r="R218" s="5314" t="n"/>
      <c r="S218" s="5314" t="n"/>
      <c r="T218" s="5314" t="n"/>
      <c r="U218" s="5314" t="n"/>
      <c r="V218" s="139" t="n"/>
      <c r="W218" s="2875" t="n"/>
      <c r="X218" s="5233" t="n"/>
      <c r="Y218" s="7834" t="n"/>
      <c r="Z218" s="7834" t="n"/>
      <c r="AA218" s="7834" t="n"/>
      <c r="AB218" s="7834" t="n"/>
    </row>
    <row r="219" ht="27.75" customHeight="1" s="7635">
      <c r="A219" s="139" t="n"/>
      <c r="B219" s="8168" t="n"/>
      <c r="C219" s="11745" t="n"/>
      <c r="D219" s="11745" t="n"/>
      <c r="E219" s="11745" t="n"/>
      <c r="F219" s="11745" t="n"/>
      <c r="G219" s="11745" t="n"/>
      <c r="H219" s="11745" t="n"/>
      <c r="I219" s="11745" t="n"/>
      <c r="J219" s="11745" t="n"/>
      <c r="K219" s="11745" t="n"/>
      <c r="L219" s="11745" t="n"/>
      <c r="M219" s="11745" t="n"/>
      <c r="N219" s="11745" t="n"/>
      <c r="O219" s="11745" t="n"/>
      <c r="P219" s="11745" t="n"/>
      <c r="Q219" s="11745" t="n"/>
      <c r="R219" s="11745" t="n"/>
      <c r="S219" s="11948" t="n"/>
      <c r="T219" s="8152" t="n"/>
      <c r="U219" s="11717" t="n"/>
      <c r="V219" s="139" t="n"/>
      <c r="W219" s="2875" t="n"/>
      <c r="X219" s="5233" t="n"/>
      <c r="Y219" s="382">
        <f>T219&lt;&gt;""</f>
        <v/>
      </c>
      <c r="Z219" s="7834" t="n"/>
      <c r="AA219" s="7834" t="n"/>
      <c r="AB219" s="7834" t="n"/>
    </row>
    <row r="220" ht="27.75" customHeight="1" s="7635">
      <c r="A220" s="139" t="n"/>
      <c r="B220" s="8151" t="n"/>
      <c r="C220" s="12061" t="n"/>
      <c r="D220" s="12061" t="n"/>
      <c r="E220" s="12061" t="n"/>
      <c r="F220" s="12061" t="n"/>
      <c r="G220" s="12061" t="n"/>
      <c r="H220" s="12061" t="n"/>
      <c r="I220" s="12061" t="n"/>
      <c r="J220" s="12061" t="n"/>
      <c r="K220" s="12061" t="n"/>
      <c r="L220" s="12061" t="n"/>
      <c r="M220" s="12061" t="n"/>
      <c r="N220" s="12061" t="n"/>
      <c r="O220" s="12061" t="n"/>
      <c r="P220" s="12061" t="n"/>
      <c r="Q220" s="12061" t="n"/>
      <c r="R220" s="12061" t="n"/>
      <c r="S220" s="12080" t="n"/>
      <c r="T220" s="8152" t="n"/>
      <c r="U220" s="11717" t="n"/>
      <c r="V220" s="139" t="n"/>
      <c r="W220" s="2875" t="n"/>
      <c r="X220" s="5233" t="n"/>
      <c r="Y220" s="382">
        <f>T220&lt;&gt;""</f>
        <v/>
      </c>
    </row>
    <row r="221" ht="27.75" customHeight="1" s="7635">
      <c r="A221" s="139" t="n"/>
      <c r="B221" s="8151" t="n"/>
      <c r="C221" s="12061" t="n"/>
      <c r="D221" s="12061" t="n"/>
      <c r="E221" s="12061" t="n"/>
      <c r="F221" s="12061" t="n"/>
      <c r="G221" s="12061" t="n"/>
      <c r="H221" s="12061" t="n"/>
      <c r="I221" s="12061" t="n"/>
      <c r="J221" s="12061" t="n"/>
      <c r="K221" s="12061" t="n"/>
      <c r="L221" s="12061" t="n"/>
      <c r="M221" s="12061" t="n"/>
      <c r="N221" s="12061" t="n"/>
      <c r="O221" s="12061" t="n"/>
      <c r="P221" s="12061" t="n"/>
      <c r="Q221" s="12061" t="n"/>
      <c r="R221" s="12061" t="n"/>
      <c r="S221" s="12080" t="n"/>
      <c r="T221" s="8152" t="n"/>
      <c r="U221" s="11717" t="n"/>
      <c r="V221" s="139" t="n"/>
      <c r="W221" s="2875" t="n"/>
      <c r="X221" s="5233" t="n"/>
      <c r="Y221" s="382">
        <f>T221&lt;&gt;""</f>
        <v/>
      </c>
    </row>
    <row r="222" ht="27.75" customHeight="1" s="7635">
      <c r="A222" s="139" t="n"/>
      <c r="B222" s="8151" t="n"/>
      <c r="C222" s="12061" t="n"/>
      <c r="D222" s="12061" t="n"/>
      <c r="E222" s="12061" t="n"/>
      <c r="F222" s="12061" t="n"/>
      <c r="G222" s="12061" t="n"/>
      <c r="H222" s="12061" t="n"/>
      <c r="I222" s="12061" t="n"/>
      <c r="J222" s="12061" t="n"/>
      <c r="K222" s="12061" t="n"/>
      <c r="L222" s="12061" t="n"/>
      <c r="M222" s="12061" t="n"/>
      <c r="N222" s="12061" t="n"/>
      <c r="O222" s="12061" t="n"/>
      <c r="P222" s="12061" t="n"/>
      <c r="Q222" s="12061" t="n"/>
      <c r="R222" s="12061" t="n"/>
      <c r="S222" s="12080" t="n"/>
      <c r="T222" s="8152" t="n"/>
      <c r="U222" s="11717" t="n"/>
      <c r="V222" s="139" t="n"/>
      <c r="W222" s="2875" t="n"/>
      <c r="X222" s="5233" t="n"/>
      <c r="Y222" s="382">
        <f>T222&lt;&gt;""</f>
        <v/>
      </c>
    </row>
    <row r="223" ht="27.75" customHeight="1" s="7635">
      <c r="A223" s="139" t="n"/>
      <c r="B223" s="8151" t="n"/>
      <c r="C223" s="12061" t="n"/>
      <c r="D223" s="12061" t="n"/>
      <c r="E223" s="12061" t="n"/>
      <c r="F223" s="12061" t="n"/>
      <c r="G223" s="12061" t="n"/>
      <c r="H223" s="12061" t="n"/>
      <c r="I223" s="12061" t="n"/>
      <c r="J223" s="12061" t="n"/>
      <c r="K223" s="12061" t="n"/>
      <c r="L223" s="12061" t="n"/>
      <c r="M223" s="12061" t="n"/>
      <c r="N223" s="12061" t="n"/>
      <c r="O223" s="12061" t="n"/>
      <c r="P223" s="12061" t="n"/>
      <c r="Q223" s="12061" t="n"/>
      <c r="R223" s="12061" t="n"/>
      <c r="S223" s="12080" t="n"/>
      <c r="T223" s="8152" t="n"/>
      <c r="U223" s="11717" t="n"/>
      <c r="V223" s="139" t="n"/>
      <c r="W223" s="2875" t="n"/>
      <c r="X223" s="5233" t="n"/>
      <c r="Y223" s="382">
        <f>T223&lt;&gt;""</f>
        <v/>
      </c>
    </row>
    <row r="224" ht="27.75" customHeight="1" s="7635">
      <c r="A224" s="139" t="n"/>
      <c r="B224" s="8151" t="n"/>
      <c r="C224" s="12061" t="n"/>
      <c r="D224" s="12061" t="n"/>
      <c r="E224" s="12061" t="n"/>
      <c r="F224" s="12061" t="n"/>
      <c r="G224" s="12061" t="n"/>
      <c r="H224" s="12061" t="n"/>
      <c r="I224" s="12061" t="n"/>
      <c r="J224" s="12061" t="n"/>
      <c r="K224" s="12061" t="n"/>
      <c r="L224" s="12061" t="n"/>
      <c r="M224" s="12061" t="n"/>
      <c r="N224" s="12061" t="n"/>
      <c r="O224" s="12061" t="n"/>
      <c r="P224" s="12061" t="n"/>
      <c r="Q224" s="12061" t="n"/>
      <c r="R224" s="12061" t="n"/>
      <c r="S224" s="12080" t="n"/>
      <c r="T224" s="8152" t="n"/>
      <c r="U224" s="11717" t="n"/>
      <c r="V224" s="139" t="n"/>
      <c r="W224" s="2875" t="n"/>
      <c r="X224" s="5233" t="n"/>
      <c r="Y224" s="382">
        <f>T224&lt;&gt;""</f>
        <v/>
      </c>
    </row>
    <row r="225" ht="27.75" customHeight="1" s="7635">
      <c r="A225" s="139" t="n"/>
      <c r="B225" s="8151" t="n"/>
      <c r="C225" s="12061" t="n"/>
      <c r="D225" s="12061" t="n"/>
      <c r="E225" s="12061" t="n"/>
      <c r="F225" s="12061" t="n"/>
      <c r="G225" s="12061" t="n"/>
      <c r="H225" s="12061" t="n"/>
      <c r="I225" s="12061" t="n"/>
      <c r="J225" s="12061" t="n"/>
      <c r="K225" s="12061" t="n"/>
      <c r="L225" s="12061" t="n"/>
      <c r="M225" s="12061" t="n"/>
      <c r="N225" s="12061" t="n"/>
      <c r="O225" s="12061" t="n"/>
      <c r="P225" s="12061" t="n"/>
      <c r="Q225" s="12061" t="n"/>
      <c r="R225" s="12061" t="n"/>
      <c r="S225" s="12080" t="n"/>
      <c r="T225" s="8152" t="n"/>
      <c r="U225" s="11717" t="n"/>
      <c r="V225" s="139" t="n"/>
      <c r="W225" s="2875" t="n"/>
      <c r="X225" s="5233" t="n"/>
      <c r="Y225" s="382">
        <f>T225&lt;&gt;""</f>
        <v/>
      </c>
    </row>
    <row r="226" ht="27.75" customHeight="1" s="7635">
      <c r="A226" s="139" t="n"/>
      <c r="B226" s="8151" t="n"/>
      <c r="C226" s="12061" t="n"/>
      <c r="D226" s="12061" t="n"/>
      <c r="E226" s="12061" t="n"/>
      <c r="F226" s="12061" t="n"/>
      <c r="G226" s="12061" t="n"/>
      <c r="H226" s="12061" t="n"/>
      <c r="I226" s="12061" t="n"/>
      <c r="J226" s="12061" t="n"/>
      <c r="K226" s="12061" t="n"/>
      <c r="L226" s="12061" t="n"/>
      <c r="M226" s="12061" t="n"/>
      <c r="N226" s="12061" t="n"/>
      <c r="O226" s="12061" t="n"/>
      <c r="P226" s="12061" t="n"/>
      <c r="Q226" s="12061" t="n"/>
      <c r="R226" s="12061" t="n"/>
      <c r="S226" s="12080" t="n"/>
      <c r="T226" s="8152" t="n"/>
      <c r="U226" s="11717" t="n"/>
      <c r="V226" s="139" t="n"/>
      <c r="W226" s="2875" t="n"/>
      <c r="X226" s="5233" t="n"/>
      <c r="Y226" s="382">
        <f>T226&lt;&gt;""</f>
        <v/>
      </c>
    </row>
    <row r="227" ht="27.75" customHeight="1" s="7635">
      <c r="A227" s="139" t="n"/>
      <c r="B227" s="8190" t="n"/>
      <c r="C227" s="12074" t="n"/>
      <c r="D227" s="12074" t="n"/>
      <c r="E227" s="12074" t="n"/>
      <c r="F227" s="12074" t="n"/>
      <c r="G227" s="12074" t="n"/>
      <c r="H227" s="12074" t="n"/>
      <c r="I227" s="12074" t="n"/>
      <c r="J227" s="12074" t="n"/>
      <c r="K227" s="12074" t="n"/>
      <c r="L227" s="12074" t="n"/>
      <c r="M227" s="12074" t="n"/>
      <c r="N227" s="12074" t="n"/>
      <c r="O227" s="12074" t="n"/>
      <c r="P227" s="12074" t="n"/>
      <c r="Q227" s="12074" t="n"/>
      <c r="R227" s="12074" t="n"/>
      <c r="S227" s="12081" t="n"/>
      <c r="T227" s="8152" t="n"/>
      <c r="U227" s="11717" t="n"/>
      <c r="V227" s="139" t="n"/>
      <c r="W227" s="2875" t="n"/>
      <c r="X227" s="5233" t="n"/>
      <c r="Y227" s="382">
        <f>T227&lt;&gt;""</f>
        <v/>
      </c>
    </row>
    <row r="228" ht="27.75" customHeight="1" s="7635" thickBot="1">
      <c r="A228" s="139" t="n"/>
      <c r="B228" s="3667" t="n">
        <v>48</v>
      </c>
      <c r="C228" s="5333" t="inlineStr">
        <is>
          <t>Total other expenses.   Enter here and on line 27b</t>
        </is>
      </c>
      <c r="D228" s="5334" t="n"/>
      <c r="E228" s="5301" t="n"/>
      <c r="F228" s="5301" t="n"/>
      <c r="G228" s="5301" t="n"/>
      <c r="H228" s="5301" t="n"/>
      <c r="I228" s="5301" t="n"/>
      <c r="J228" s="5301" t="n"/>
      <c r="K228" s="5301" t="n"/>
      <c r="L228" s="5301" t="n"/>
      <c r="M228" s="5301" t="n"/>
      <c r="N228" s="5301" t="n"/>
      <c r="O228" s="5301" t="n"/>
      <c r="P228" s="5301" t="n"/>
      <c r="Q228" s="5333" t="n"/>
      <c r="R228" s="5335" t="inlineStr">
        <is>
          <t xml:space="preserve">.   .   .   .   .   .   .   .   .   .   .   .   .   .   .   .   .    .   .   .   .   .   .   . </t>
        </is>
      </c>
      <c r="S228" s="5336" t="n">
        <v>48</v>
      </c>
      <c r="T228" s="8240">
        <f>IF(Y228,ROUND(SUM(T219,T220,T221,T222,T223,T224,T225,T226,T227),0),"")</f>
        <v/>
      </c>
      <c r="U228" s="8848" t="n"/>
      <c r="V228" s="139" t="n"/>
      <c r="W228" s="2875" t="n"/>
      <c r="X228" s="5233" t="n"/>
      <c r="Y228" s="382">
        <f>OR(Y219:Y227)</f>
        <v/>
      </c>
    </row>
    <row r="229" ht="16.5" customHeight="1" s="7635">
      <c r="A229" s="139" t="n"/>
      <c r="B229" s="5069" t="n"/>
      <c r="C229" s="5069" t="n"/>
      <c r="D229" s="5069" t="n"/>
      <c r="E229" s="5069" t="n"/>
      <c r="F229" s="5217" t="n"/>
      <c r="G229" s="5217" t="n"/>
      <c r="H229" s="5217" t="n"/>
      <c r="I229" s="5342" t="n"/>
      <c r="J229" s="5342" t="n"/>
      <c r="K229" s="5342" t="n"/>
      <c r="L229" s="5209" t="n"/>
      <c r="M229" s="5342" t="n"/>
      <c r="N229" s="5217" t="n"/>
      <c r="O229" s="5217" t="n"/>
      <c r="P229" s="5347" t="n"/>
      <c r="Q229" s="5217" t="n"/>
      <c r="R229" s="5217" t="n"/>
      <c r="S229" s="6569" t="n"/>
      <c r="T229" s="6569" t="n"/>
      <c r="U229" s="6569">
        <f>"Schedule C   (Form 1040)  "&amp;TaxYear</f>
        <v/>
      </c>
      <c r="V229" s="139" t="n"/>
      <c r="W229" s="2875" t="n"/>
      <c r="X229" s="5233" t="n"/>
    </row>
    <row r="230" ht="20.25" customHeight="1" s="7635">
      <c r="A230" s="139" t="n"/>
      <c r="B230" s="5349" t="n"/>
      <c r="C230" s="5349" t="n"/>
      <c r="D230" s="5349" t="n"/>
      <c r="E230" s="5349" t="n"/>
      <c r="F230" s="2733" t="n"/>
      <c r="G230" s="2733" t="n"/>
      <c r="H230" s="2733" t="n"/>
      <c r="I230" s="5350" t="n"/>
      <c r="J230" s="5350" t="n"/>
      <c r="K230" s="5350" t="n"/>
      <c r="L230" s="5350" t="n"/>
      <c r="M230" s="5350" t="n"/>
      <c r="N230" s="2733" t="n"/>
      <c r="O230" s="2733" t="n"/>
      <c r="P230" s="5351" t="n"/>
      <c r="Q230" s="2733" t="n"/>
      <c r="R230" s="2733" t="n"/>
      <c r="S230" s="2733" t="n"/>
      <c r="T230" s="2733" t="n"/>
      <c r="U230" s="2733" t="n"/>
      <c r="V230" s="139" t="n"/>
      <c r="W230" s="2875" t="n"/>
      <c r="X230" s="5233" t="n"/>
    </row>
    <row r="231" ht="8.25" customHeight="1" s="7635">
      <c r="B231" s="2938" t="n"/>
      <c r="C231" s="2939" t="n"/>
      <c r="D231" s="2939" t="n"/>
      <c r="E231" s="2939" t="n"/>
      <c r="F231" s="2939" t="n"/>
      <c r="G231" s="2939" t="n"/>
      <c r="H231" s="2939" t="n"/>
      <c r="I231" s="5352" t="n"/>
      <c r="J231" s="5352" t="n"/>
      <c r="K231" s="5352" t="n"/>
      <c r="L231" s="5352" t="n"/>
      <c r="M231" s="4248" t="n"/>
      <c r="N231" s="2939" t="n"/>
      <c r="O231" s="2939" t="n"/>
      <c r="P231" s="5353" t="n"/>
      <c r="Q231" s="2939" t="n"/>
      <c r="R231" s="2939" t="n"/>
      <c r="S231" s="2939" t="n"/>
      <c r="T231" s="2939" t="n"/>
      <c r="U231" s="2939" t="n"/>
    </row>
    <row r="232" ht="13.5" customHeight="1" s="7635" thickBot="1">
      <c r="B232" s="2938" t="n"/>
      <c r="C232" s="2939" t="n"/>
      <c r="D232" s="2939" t="n"/>
      <c r="E232" s="2939" t="n"/>
      <c r="F232" s="2939" t="n"/>
      <c r="G232" s="2939" t="n"/>
      <c r="H232" s="2939" t="n"/>
      <c r="I232" s="5352" t="n"/>
      <c r="J232" s="5352" t="n"/>
      <c r="K232" s="5352" t="n"/>
      <c r="L232" s="2938" t="n"/>
      <c r="M232" s="5354" t="n"/>
      <c r="N232" s="2939" t="n"/>
      <c r="O232" s="2939" t="n"/>
      <c r="P232" s="5353" t="n"/>
      <c r="Q232" s="2939" t="n"/>
      <c r="R232" s="2939" t="n"/>
      <c r="S232" s="2939" t="n"/>
      <c r="T232" s="2939" t="n"/>
      <c r="U232" s="2939" t="n"/>
    </row>
    <row r="233" ht="14.25" customHeight="1" s="7635" thickBot="1" thickTop="1">
      <c r="B233" s="2940" t="n"/>
      <c r="C233" s="12083" t="inlineStr">
        <is>
          <t>Download Form 1040 Schedule C</t>
        </is>
      </c>
      <c r="D233" s="11825" t="n"/>
      <c r="E233" s="11825" t="n"/>
      <c r="F233" s="11825" t="n"/>
      <c r="G233" s="11826" t="n"/>
      <c r="H233" s="2941" t="n"/>
      <c r="I233" s="5355" t="n"/>
      <c r="J233" s="5355" t="n"/>
      <c r="K233" s="5355" t="n"/>
      <c r="L233" s="2940" t="n"/>
      <c r="M233" s="131" t="n"/>
      <c r="N233" s="2941" t="n"/>
      <c r="O233" s="2941" t="n"/>
      <c r="P233" s="5356" t="n"/>
      <c r="Q233" s="2941" t="n"/>
      <c r="R233" s="2941" t="n"/>
      <c r="S233" s="2941" t="n"/>
      <c r="T233" s="2941" t="n"/>
      <c r="U233" s="2941" t="n"/>
    </row>
    <row r="234" ht="20.25" customHeight="1" s="7635" thickBot="1" thickTop="1">
      <c r="B234" s="2940" t="n"/>
      <c r="C234" s="2941" t="n"/>
      <c r="D234" s="2941" t="n"/>
      <c r="E234" s="2941" t="n"/>
      <c r="F234" s="2941" t="n"/>
      <c r="G234" s="2941" t="n"/>
      <c r="H234" s="2941" t="n"/>
      <c r="I234" s="5355" t="n"/>
      <c r="J234" s="5355" t="n"/>
      <c r="K234" s="5355" t="n"/>
      <c r="L234" s="2940" t="n"/>
      <c r="M234" s="131" t="n"/>
      <c r="N234" s="2941" t="n"/>
      <c r="O234" s="2941" t="n"/>
      <c r="P234" s="5356" t="n"/>
      <c r="Q234" s="2941" t="n"/>
      <c r="R234" s="2941" t="n"/>
      <c r="S234" s="2941" t="n"/>
      <c r="T234" s="2941" t="n"/>
      <c r="U234" s="2941" t="n"/>
    </row>
    <row r="235" ht="27.75" customHeight="1" s="7635" thickBot="1" thickTop="1">
      <c r="B235" s="2940" t="n"/>
      <c r="C235" s="12084" t="inlineStr">
        <is>
          <t>Download Form 1040 Schedule C Instructions</t>
        </is>
      </c>
      <c r="D235" s="11825" t="n"/>
      <c r="E235" s="11825" t="n"/>
      <c r="F235" s="11825" t="n"/>
      <c r="G235" s="11826" t="n"/>
      <c r="H235" s="2941" t="n"/>
      <c r="I235" s="5355" t="n"/>
      <c r="J235" s="5355" t="n"/>
      <c r="K235" s="5355" t="n"/>
      <c r="L235" s="2940" t="n"/>
      <c r="M235" s="131" t="n"/>
      <c r="N235" s="2941" t="n"/>
      <c r="O235" s="2941" t="n"/>
      <c r="P235" s="5356" t="n"/>
      <c r="Q235" s="2941" t="n"/>
      <c r="R235" s="2941" t="n"/>
      <c r="S235" s="2941" t="n"/>
      <c r="T235" s="2941" t="n"/>
      <c r="U235" s="2941" t="n"/>
    </row>
    <row r="236" ht="27.75" customHeight="1" s="7635" thickBot="1" thickTop="1"/>
    <row r="237">
      <c r="C237" s="12041" t="inlineStr">
        <is>
          <t>Table of Contents</t>
        </is>
      </c>
      <c r="D237" s="2614" t="n"/>
    </row>
    <row r="238">
      <c r="C238" s="11741" t="n"/>
      <c r="D238" s="1066" t="n"/>
    </row>
    <row r="239" ht="13.5" customHeight="1" s="7635" thickBot="1">
      <c r="C239" s="11743" t="n"/>
      <c r="D239" s="2627" t="n"/>
    </row>
  </sheetData>
  <sheetProtection selectLockedCells="0" selectUnlockedCells="0" algorithmName="SHA-512" sheet="1" objects="0" insertRows="1" insertHyperlinks="1" autoFilter="1" scenarios="0" formatColumns="0" deleteColumns="1" insertColumns="1" pivotTables="1" deleteRows="1" formatCells="0" saltValue="IpcEWjwShu4Da6ygnw/cfA==" formatRows="0" sort="1" spinCount="100000" hashValue="7jIrFcSPhvI71bOC/OGXdfTheV5F3aUHQrsUAVhv/cjydvl1868HehUjQ/FMY2kOr3Tc6ga9X9ooOqM8jqWp/Q=="/>
  <mergeCells count="171">
    <mergeCell ref="R116:U116"/>
    <mergeCell ref="R3:U3"/>
    <mergeCell ref="T157:U157"/>
    <mergeCell ref="T166:U166"/>
    <mergeCell ref="Q164:R164"/>
    <mergeCell ref="T49:U49"/>
    <mergeCell ref="T141:U141"/>
    <mergeCell ref="T150:U150"/>
    <mergeCell ref="T221:U221"/>
    <mergeCell ref="R2:U2"/>
    <mergeCell ref="B118:C119"/>
    <mergeCell ref="T42:U42"/>
    <mergeCell ref="T196:U196"/>
    <mergeCell ref="T78:U78"/>
    <mergeCell ref="T143:U143"/>
    <mergeCell ref="B112:S112"/>
    <mergeCell ref="T165:U165"/>
    <mergeCell ref="T152:U152"/>
    <mergeCell ref="M51:Q51"/>
    <mergeCell ref="T50:U50"/>
    <mergeCell ref="T167:U167"/>
    <mergeCell ref="B226:S226"/>
    <mergeCell ref="T198:U198"/>
    <mergeCell ref="R118:T119"/>
    <mergeCell ref="T80:U80"/>
    <mergeCell ref="T142:U142"/>
    <mergeCell ref="T51:U51"/>
    <mergeCell ref="T113:U113"/>
    <mergeCell ref="B222:S222"/>
    <mergeCell ref="T159:U159"/>
    <mergeCell ref="T41:U41"/>
    <mergeCell ref="B106:S106"/>
    <mergeCell ref="C237:D239"/>
    <mergeCell ref="D118:Q118"/>
    <mergeCell ref="T56:U56"/>
    <mergeCell ref="T105:U105"/>
    <mergeCell ref="T161:U161"/>
    <mergeCell ref="T43:U43"/>
    <mergeCell ref="T170:U170"/>
    <mergeCell ref="M165:Q165"/>
    <mergeCell ref="T145:U145"/>
    <mergeCell ref="T27:U27"/>
    <mergeCell ref="T154:U154"/>
    <mergeCell ref="B220:S220"/>
    <mergeCell ref="T107:U107"/>
    <mergeCell ref="T186:U186"/>
    <mergeCell ref="M205:N205"/>
    <mergeCell ref="T24:U24"/>
    <mergeCell ref="T82:U82"/>
    <mergeCell ref="T156:U156"/>
    <mergeCell ref="Q52:R52"/>
    <mergeCell ref="T137:U137"/>
    <mergeCell ref="M7:U7"/>
    <mergeCell ref="T53:U53"/>
    <mergeCell ref="T35:U35"/>
    <mergeCell ref="T146:U146"/>
    <mergeCell ref="I13:U13"/>
    <mergeCell ref="T25:U25"/>
    <mergeCell ref="B11:L11"/>
    <mergeCell ref="T108:U108"/>
    <mergeCell ref="Q208:T208"/>
    <mergeCell ref="T110:U110"/>
    <mergeCell ref="B4:C5"/>
    <mergeCell ref="T223:U223"/>
    <mergeCell ref="T109:U109"/>
    <mergeCell ref="T222:U222"/>
    <mergeCell ref="T22:U22"/>
    <mergeCell ref="J166:M166"/>
    <mergeCell ref="T31:U31"/>
    <mergeCell ref="C233:G233"/>
    <mergeCell ref="T158:U158"/>
    <mergeCell ref="B224:S224"/>
    <mergeCell ref="T224:U224"/>
    <mergeCell ref="M91:N91"/>
    <mergeCell ref="P205:Q205"/>
    <mergeCell ref="T72:U72"/>
    <mergeCell ref="T86:U86"/>
    <mergeCell ref="T37:U37"/>
    <mergeCell ref="T160:U160"/>
    <mergeCell ref="D5:Q5"/>
    <mergeCell ref="T136:U136"/>
    <mergeCell ref="B105:S105"/>
    <mergeCell ref="S91:T91"/>
    <mergeCell ref="B223:S223"/>
    <mergeCell ref="N129:U129"/>
    <mergeCell ref="T200:U200"/>
    <mergeCell ref="B7:L7"/>
    <mergeCell ref="T29:U29"/>
    <mergeCell ref="B107:S107"/>
    <mergeCell ref="T38:U38"/>
    <mergeCell ref="D208:E208"/>
    <mergeCell ref="B121:L121"/>
    <mergeCell ref="D119:Q119"/>
    <mergeCell ref="T162:U162"/>
    <mergeCell ref="R1:U1"/>
    <mergeCell ref="J208:L208"/>
    <mergeCell ref="T106:U106"/>
    <mergeCell ref="T226:U226"/>
    <mergeCell ref="T164:U164"/>
    <mergeCell ref="B108:S108"/>
    <mergeCell ref="T74:U74"/>
    <mergeCell ref="T148:U148"/>
    <mergeCell ref="T163:U163"/>
    <mergeCell ref="T228:U228"/>
    <mergeCell ref="W119:W123"/>
    <mergeCell ref="T40:U40"/>
    <mergeCell ref="P91:Q91"/>
    <mergeCell ref="S205:T205"/>
    <mergeCell ref="T138:U138"/>
    <mergeCell ref="T76:U76"/>
    <mergeCell ref="I126:U126"/>
    <mergeCell ref="T188:U188"/>
    <mergeCell ref="B9:L9"/>
    <mergeCell ref="T84:U84"/>
    <mergeCell ref="T140:U140"/>
    <mergeCell ref="Q94:T94"/>
    <mergeCell ref="T149:U149"/>
    <mergeCell ref="B227:S227"/>
    <mergeCell ref="T190:U190"/>
    <mergeCell ref="T34:U34"/>
    <mergeCell ref="N15:U15"/>
    <mergeCell ref="T46:U46"/>
    <mergeCell ref="T28:U28"/>
    <mergeCell ref="I127:U127"/>
    <mergeCell ref="T111:U111"/>
    <mergeCell ref="T151:U151"/>
    <mergeCell ref="D94:E94"/>
    <mergeCell ref="B219:S219"/>
    <mergeCell ref="T48:U48"/>
    <mergeCell ref="C235:G235"/>
    <mergeCell ref="B111:S111"/>
    <mergeCell ref="T32:U32"/>
    <mergeCell ref="T45:U45"/>
    <mergeCell ref="B125:L125"/>
    <mergeCell ref="B225:S225"/>
    <mergeCell ref="T225:U225"/>
    <mergeCell ref="T112:U112"/>
    <mergeCell ref="R117:U117"/>
    <mergeCell ref="T47:U47"/>
    <mergeCell ref="J94:L94"/>
    <mergeCell ref="J52:M52"/>
    <mergeCell ref="O166:P166"/>
    <mergeCell ref="Q166:R166"/>
    <mergeCell ref="T114:U114"/>
    <mergeCell ref="T227:U227"/>
    <mergeCell ref="R4:T5"/>
    <mergeCell ref="Q50:R50"/>
    <mergeCell ref="T192:U192"/>
    <mergeCell ref="T26:U26"/>
    <mergeCell ref="U118:U119"/>
    <mergeCell ref="T219:U219"/>
    <mergeCell ref="T139:U139"/>
    <mergeCell ref="M121:U121"/>
    <mergeCell ref="T23:U23"/>
    <mergeCell ref="T194:U194"/>
    <mergeCell ref="B221:S221"/>
    <mergeCell ref="B110:S110"/>
    <mergeCell ref="U4:U5"/>
    <mergeCell ref="O94:P94"/>
    <mergeCell ref="D4:Q4"/>
    <mergeCell ref="B113:S113"/>
    <mergeCell ref="O52:P52"/>
    <mergeCell ref="B109:S109"/>
    <mergeCell ref="T52:U52"/>
    <mergeCell ref="W5:W9"/>
    <mergeCell ref="T155:U155"/>
    <mergeCell ref="I12:U12"/>
    <mergeCell ref="T36:U36"/>
    <mergeCell ref="B123:L123"/>
    <mergeCell ref="T220:U220"/>
    <mergeCell ref="O208:P208"/>
  </mergeCells>
  <conditionalFormatting sqref="B7 M7 AA53:AA55 AA57:AA59 AA167:AA169 AA171:AA173">
    <cfRule type="expression" priority="207" dxfId="6">
      <formula>NoColor</formula>
    </cfRule>
  </conditionalFormatting>
  <conditionalFormatting sqref="B9 B105:B113 B121 B123 B125 B219:B227 I31:I46 I126:I127 M125:U125 T31:U45 T46 T47:U52 T145:U159 T160 T161:U166">
    <cfRule type="expression" priority="206" dxfId="6">
      <formula>IF(NoColor,1,0)</formula>
    </cfRule>
  </conditionalFormatting>
  <conditionalFormatting sqref="B11 M11:U11">
    <cfRule type="expression" priority="203" dxfId="6">
      <formula>IF(NoColor,1,0)</formula>
    </cfRule>
  </conditionalFormatting>
  <conditionalFormatting sqref="C57">
    <cfRule type="expression" priority="59" dxfId="14">
      <formula>AND(T56&lt;0,R59="",R60="")</formula>
    </cfRule>
  </conditionalFormatting>
  <conditionalFormatting sqref="C171">
    <cfRule type="expression" priority="60" dxfId="14">
      <formula>AND(T170&lt;0,R173="",R174="")</formula>
    </cfRule>
  </conditionalFormatting>
  <conditionalFormatting sqref="D2:D3">
    <cfRule type="expression" priority="141" dxfId="20">
      <formula>NOT(Draft)</formula>
    </cfRule>
  </conditionalFormatting>
  <conditionalFormatting sqref="D94">
    <cfRule type="expression" priority="173" dxfId="6">
      <formula>IF(NoColor,1,0)</formula>
    </cfRule>
  </conditionalFormatting>
  <conditionalFormatting sqref="D116:D117">
    <cfRule type="expression" priority="82" dxfId="20">
      <formula>NOT(Draft)</formula>
    </cfRule>
  </conditionalFormatting>
  <conditionalFormatting sqref="D208">
    <cfRule type="expression" priority="105" dxfId="6">
      <formula>IF(NoColor,1,0)</formula>
    </cfRule>
  </conditionalFormatting>
  <conditionalFormatting sqref="E15">
    <cfRule type="expression" priority="201" dxfId="6">
      <formula>IF(NoColor,1,0)</formula>
    </cfRule>
  </conditionalFormatting>
  <conditionalFormatting sqref="E68">
    <cfRule type="expression" priority="188" dxfId="6">
      <formula>IF(NoColor,1,0)</formula>
    </cfRule>
  </conditionalFormatting>
  <conditionalFormatting sqref="E129">
    <cfRule type="expression" priority="79" dxfId="6">
      <formula>IF(NoColor,1,0)</formula>
    </cfRule>
  </conditionalFormatting>
  <conditionalFormatting sqref="E182">
    <cfRule type="expression" priority="120" dxfId="6">
      <formula>IF(NoColor,1,0)</formula>
    </cfRule>
  </conditionalFormatting>
  <conditionalFormatting sqref="H15">
    <cfRule type="expression" priority="200" dxfId="6">
      <formula>IF(NoColor,1,0)</formula>
    </cfRule>
  </conditionalFormatting>
  <conditionalFormatting sqref="H68">
    <cfRule type="expression" priority="187" dxfId="6">
      <formula>IF(NoColor,1,0)</formula>
    </cfRule>
  </conditionalFormatting>
  <conditionalFormatting sqref="H129">
    <cfRule type="expression" priority="78" dxfId="6">
      <formula>IF(NoColor,1,0)</formula>
    </cfRule>
  </conditionalFormatting>
  <conditionalFormatting sqref="H182">
    <cfRule type="expression" priority="119" dxfId="6">
      <formula>IF(NoColor,1,0)</formula>
    </cfRule>
  </conditionalFormatting>
  <conditionalFormatting sqref="I12:I13">
    <cfRule type="expression" priority="202" dxfId="6">
      <formula>IF(NoColor,1,0)</formula>
    </cfRule>
  </conditionalFormatting>
  <conditionalFormatting sqref="I145:I160">
    <cfRule type="expression" priority="124" dxfId="6">
      <formula>IF(NoColor,1,0)</formula>
    </cfRule>
  </conditionalFormatting>
  <conditionalFormatting sqref="J52">
    <cfRule type="expression" priority="160" dxfId="6">
      <formula>IF(NoColor,1,0)</formula>
    </cfRule>
  </conditionalFormatting>
  <conditionalFormatting sqref="J166">
    <cfRule type="expression" priority="94" dxfId="6">
      <formula>IF(NoColor,1,0)</formula>
    </cfRule>
  </conditionalFormatting>
  <conditionalFormatting sqref="J94:L94">
    <cfRule type="expression" priority="171" dxfId="6">
      <formula>IF(NoColor,1,0)</formula>
    </cfRule>
  </conditionalFormatting>
  <conditionalFormatting sqref="J208:L208">
    <cfRule type="expression" priority="103" dxfId="6">
      <formula>IF(NoColor,1,0)</formula>
    </cfRule>
  </conditionalFormatting>
  <conditionalFormatting sqref="K15">
    <cfRule type="expression" priority="199" dxfId="6">
      <formula>IF(NoColor,1,0)</formula>
    </cfRule>
  </conditionalFormatting>
  <conditionalFormatting sqref="K129">
    <cfRule type="expression" priority="77" dxfId="6">
      <formula>IF(NoColor,1,0)</formula>
    </cfRule>
  </conditionalFormatting>
  <conditionalFormatting sqref="M7">
    <cfRule type="expression" priority="72" dxfId="20">
      <formula>AND(NoSSN,NoColor)</formula>
    </cfRule>
    <cfRule type="expression" priority="73" dxfId="46">
      <formula>NoSSN</formula>
    </cfRule>
  </conditionalFormatting>
  <conditionalFormatting sqref="M68">
    <cfRule type="expression" priority="186" dxfId="6">
      <formula>IF(NoColor,1,0)</formula>
    </cfRule>
  </conditionalFormatting>
  <conditionalFormatting sqref="M91">
    <cfRule type="expression" priority="48" dxfId="6">
      <formula>IF(NoColor,1,0)</formula>
    </cfRule>
  </conditionalFormatting>
  <conditionalFormatting sqref="M121">
    <cfRule type="expression" priority="53" dxfId="6">
      <formula>NoColor</formula>
    </cfRule>
    <cfRule type="expression" priority="51" dxfId="20">
      <formula>AND(NoSSN,NoColor)</formula>
    </cfRule>
    <cfRule type="expression" priority="52" dxfId="46">
      <formula>NoSSN</formula>
    </cfRule>
  </conditionalFormatting>
  <conditionalFormatting sqref="M182">
    <cfRule type="expression" priority="118" dxfId="6">
      <formula>IF(NoColor,1,0)</formula>
    </cfRule>
  </conditionalFormatting>
  <conditionalFormatting sqref="M205">
    <cfRule type="expression" priority="44" dxfId="6">
      <formula>IF(NoColor,1,0)</formula>
    </cfRule>
  </conditionalFormatting>
  <conditionalFormatting sqref="M51:Q51">
    <cfRule type="expression" priority="161" dxfId="6">
      <formula>IF(NoColor,1,0)</formula>
    </cfRule>
  </conditionalFormatting>
  <conditionalFormatting sqref="M165:Q165">
    <cfRule type="expression" priority="95" dxfId="6">
      <formula>IF(NoColor,1,0)</formula>
    </cfRule>
  </conditionalFormatting>
  <conditionalFormatting sqref="N9:U9">
    <cfRule type="expression" priority="204" dxfId="6">
      <formula>IF(NoColor,1,0)</formula>
    </cfRule>
  </conditionalFormatting>
  <conditionalFormatting sqref="N15:U15">
    <cfRule type="expression" priority="195" dxfId="6">
      <formula>IF(NoColor,1,0)</formula>
    </cfRule>
  </conditionalFormatting>
  <conditionalFormatting sqref="N123:U123">
    <cfRule type="expression" priority="6" dxfId="6">
      <formula>IF(NoColor,1,0)</formula>
    </cfRule>
  </conditionalFormatting>
  <conditionalFormatting sqref="N129:U129">
    <cfRule type="expression" priority="127" dxfId="6">
      <formula>IF(NoColor,1,0)</formula>
    </cfRule>
  </conditionalFormatting>
  <conditionalFormatting sqref="P91">
    <cfRule type="expression" priority="46" dxfId="6">
      <formula>IF(NoColor,1,0)</formula>
    </cfRule>
  </conditionalFormatting>
  <conditionalFormatting sqref="P205">
    <cfRule type="expression" priority="43" dxfId="6">
      <formula>IF(NoColor,1,0)</formula>
    </cfRule>
  </conditionalFormatting>
  <conditionalFormatting sqref="Q2">
    <cfRule type="expression" priority="140" dxfId="20">
      <formula>NOT(Draft)</formula>
    </cfRule>
  </conditionalFormatting>
  <conditionalFormatting sqref="Q23">
    <cfRule type="expression" priority="194" dxfId="6">
      <formula>IF(NoColor,1,0)</formula>
    </cfRule>
  </conditionalFormatting>
  <conditionalFormatting sqref="Q70">
    <cfRule type="expression" priority="184" dxfId="6">
      <formula>IF(NoColor,1,0)</formula>
    </cfRule>
  </conditionalFormatting>
  <conditionalFormatting sqref="Q94">
    <cfRule type="expression" priority="170" dxfId="6">
      <formula>IF(NoColor,1,0)</formula>
    </cfRule>
  </conditionalFormatting>
  <conditionalFormatting sqref="Q96">
    <cfRule type="expression" priority="181" dxfId="6">
      <formula>IF(NoColor,1,0)</formula>
    </cfRule>
  </conditionalFormatting>
  <conditionalFormatting sqref="Q98">
    <cfRule type="expression" priority="182" dxfId="6">
      <formula>IF(NoColor,1,0)</formula>
    </cfRule>
  </conditionalFormatting>
  <conditionalFormatting sqref="Q100">
    <cfRule type="expression" priority="180" dxfId="6">
      <formula>IF(NoColor,1,0)</formula>
    </cfRule>
  </conditionalFormatting>
  <conditionalFormatting sqref="Q102">
    <cfRule type="expression" priority="179" dxfId="6">
      <formula>IF(NoColor,1,0)</formula>
    </cfRule>
  </conditionalFormatting>
  <conditionalFormatting sqref="Q116">
    <cfRule type="expression" priority="81" dxfId="20">
      <formula>NOT(Draft)</formula>
    </cfRule>
  </conditionalFormatting>
  <conditionalFormatting sqref="Q137">
    <cfRule type="expression" priority="126" dxfId="6">
      <formula>IF(NoColor,1,0)</formula>
    </cfRule>
  </conditionalFormatting>
  <conditionalFormatting sqref="Q184">
    <cfRule type="expression" priority="74" dxfId="6">
      <formula>IF(NoColor,1,0)</formula>
    </cfRule>
  </conditionalFormatting>
  <conditionalFormatting sqref="Q208">
    <cfRule type="expression" priority="102" dxfId="6">
      <formula>IF(NoColor,1,0)</formula>
    </cfRule>
  </conditionalFormatting>
  <conditionalFormatting sqref="Q210">
    <cfRule type="expression" priority="113" dxfId="6">
      <formula>IF(NoColor,1,0)</formula>
    </cfRule>
  </conditionalFormatting>
  <conditionalFormatting sqref="Q212">
    <cfRule type="expression" priority="114" dxfId="6">
      <formula>IF(NoColor,1,0)</formula>
    </cfRule>
  </conditionalFormatting>
  <conditionalFormatting sqref="Q214">
    <cfRule type="expression" priority="112" dxfId="6">
      <formula>IF(NoColor,1,0)</formula>
    </cfRule>
  </conditionalFormatting>
  <conditionalFormatting sqref="Q216">
    <cfRule type="expression" priority="111" dxfId="6">
      <formula>IF(NoColor,1,0)</formula>
    </cfRule>
  </conditionalFormatting>
  <conditionalFormatting sqref="R17:R20">
    <cfRule type="expression" priority="198" dxfId="6">
      <formula>IF(NoColor,1,0)</formula>
    </cfRule>
  </conditionalFormatting>
  <conditionalFormatting sqref="R59:R60">
    <cfRule type="expression" priority="189" dxfId="6">
      <formula>IF(NoColor,1,0)</formula>
    </cfRule>
  </conditionalFormatting>
  <conditionalFormatting sqref="R131:R134">
    <cfRule type="expression" priority="130" dxfId="6">
      <formula>IF(NoColor,1,0)</formula>
    </cfRule>
  </conditionalFormatting>
  <conditionalFormatting sqref="R173:R174">
    <cfRule type="expression" priority="121" dxfId="6">
      <formula>IF(NoColor,1,0)</formula>
    </cfRule>
  </conditionalFormatting>
  <conditionalFormatting sqref="S91">
    <cfRule type="expression" priority="45" dxfId="6">
      <formula>IF(NoColor,1,0)</formula>
    </cfRule>
  </conditionalFormatting>
  <conditionalFormatting sqref="S205">
    <cfRule type="expression" priority="42" dxfId="6">
      <formula>IF(NoColor,1,0)</formula>
    </cfRule>
  </conditionalFormatting>
  <conditionalFormatting sqref="T17">
    <cfRule type="expression" priority="196" dxfId="6">
      <formula>IF(NoColor,1,0)</formula>
    </cfRule>
  </conditionalFormatting>
  <conditionalFormatting sqref="T19:T20">
    <cfRule type="expression" priority="197" dxfId="6">
      <formula>IF(NoColor,1,0)</formula>
    </cfRule>
  </conditionalFormatting>
  <conditionalFormatting sqref="T70">
    <cfRule type="expression" priority="80" dxfId="6">
      <formula>IF(NoColor,1,0)</formula>
    </cfRule>
  </conditionalFormatting>
  <conditionalFormatting sqref="T96">
    <cfRule type="expression" priority="177" dxfId="6">
      <formula>IF(NoColor,1,0)</formula>
    </cfRule>
  </conditionalFormatting>
  <conditionalFormatting sqref="T98">
    <cfRule type="expression" priority="178" dxfId="6">
      <formula>IF(NoColor,1,0)</formula>
    </cfRule>
  </conditionalFormatting>
  <conditionalFormatting sqref="T100">
    <cfRule type="expression" priority="176" dxfId="6">
      <formula>IF(NoColor,1,0)</formula>
    </cfRule>
  </conditionalFormatting>
  <conditionalFormatting sqref="T102">
    <cfRule type="expression" priority="175" dxfId="6">
      <formula>IF(NoColor,1,0)</formula>
    </cfRule>
  </conditionalFormatting>
  <conditionalFormatting sqref="T131">
    <cfRule type="expression" priority="128" dxfId="6">
      <formula>IF(NoColor,1,0)</formula>
    </cfRule>
  </conditionalFormatting>
  <conditionalFormatting sqref="T133:T134">
    <cfRule type="expression" priority="129" dxfId="6">
      <formula>IF(NoColor,1,0)</formula>
    </cfRule>
  </conditionalFormatting>
  <conditionalFormatting sqref="T184">
    <cfRule type="expression" priority="75" dxfId="6">
      <formula>IF(NoColor,1,0)</formula>
    </cfRule>
  </conditionalFormatting>
  <conditionalFormatting sqref="T196">
    <cfRule type="expression" priority="1" dxfId="6">
      <formula>IF(NoColor,1,0)</formula>
    </cfRule>
  </conditionalFormatting>
  <conditionalFormatting sqref="T210">
    <cfRule type="expression" priority="109" dxfId="6">
      <formula>IF(NoColor,1,0)</formula>
    </cfRule>
  </conditionalFormatting>
  <conditionalFormatting sqref="T212">
    <cfRule type="expression" priority="110" dxfId="6">
      <formula>IF(NoColor,1,0)</formula>
    </cfRule>
  </conditionalFormatting>
  <conditionalFormatting sqref="T214">
    <cfRule type="expression" priority="108" dxfId="6">
      <formula>IF(NoColor,1,0)</formula>
    </cfRule>
  </conditionalFormatting>
  <conditionalFormatting sqref="T216">
    <cfRule type="expression" priority="107" dxfId="6">
      <formula>IF(NoColor,1,0)</formula>
    </cfRule>
  </conditionalFormatting>
  <conditionalFormatting sqref="T23:U29">
    <cfRule type="expression" priority="162" dxfId="6">
      <formula>IF(NoColor,1,0)</formula>
    </cfRule>
  </conditionalFormatting>
  <conditionalFormatting sqref="T53:U55">
    <cfRule type="expression" priority="11" dxfId="6">
      <formula>NoColor</formula>
    </cfRule>
  </conditionalFormatting>
  <conditionalFormatting sqref="T56:U56">
    <cfRule type="expression" priority="40" dxfId="6">
      <formula>IF(NoColor,1,0)</formula>
    </cfRule>
  </conditionalFormatting>
  <conditionalFormatting sqref="T72:U81 T82 T83:U83 T84 T85:U86">
    <cfRule type="expression" priority="183" dxfId="6">
      <formula>IF(NoColor,1,0)</formula>
    </cfRule>
  </conditionalFormatting>
  <conditionalFormatting sqref="T105:U114">
    <cfRule type="expression" priority="168" dxfId="6">
      <formula>IF(NoColor,1,0)</formula>
    </cfRule>
  </conditionalFormatting>
  <conditionalFormatting sqref="T137:U143">
    <cfRule type="expression" priority="96" dxfId="6">
      <formula>IF(NoColor,1,0)</formula>
    </cfRule>
  </conditionalFormatting>
  <conditionalFormatting sqref="T167:U167">
    <cfRule type="expression" priority="9" dxfId="6">
      <formula>NoColor</formula>
    </cfRule>
  </conditionalFormatting>
  <conditionalFormatting sqref="T168:U170">
    <cfRule type="expression" priority="20" dxfId="6">
      <formula>IF(NoColor,1,0)</formula>
    </cfRule>
  </conditionalFormatting>
  <conditionalFormatting sqref="T186:U195 T197:U197 T198 T199:U200">
    <cfRule type="expression" priority="7" dxfId="6">
      <formula>IF(NoColor,1,0)</formula>
    </cfRule>
  </conditionalFormatting>
  <conditionalFormatting sqref="T219:U228">
    <cfRule type="expression" priority="100" dxfId="6">
      <formula>IF(NoColor,1,0)</formula>
    </cfRule>
  </conditionalFormatting>
  <conditionalFormatting sqref="V49">
    <cfRule type="expression" priority="31" dxfId="5">
      <formula>$Y$50</formula>
    </cfRule>
  </conditionalFormatting>
  <conditionalFormatting sqref="V163">
    <cfRule type="expression" priority="29" dxfId="2817">
      <formula>$Y$164</formula>
    </cfRule>
  </conditionalFormatting>
  <conditionalFormatting sqref="W49">
    <cfRule type="expression" priority="30" dxfId="2799">
      <formula>$Y$50</formula>
    </cfRule>
  </conditionalFormatting>
  <conditionalFormatting sqref="W58">
    <cfRule type="expression" priority="158" dxfId="2799">
      <formula>(Y69)</formula>
    </cfRule>
  </conditionalFormatting>
  <conditionalFormatting sqref="W59">
    <cfRule type="expression" priority="153" dxfId="2799">
      <formula>IF($Y$69,1,0)</formula>
    </cfRule>
  </conditionalFormatting>
  <conditionalFormatting sqref="W60:W61">
    <cfRule type="expression" priority="152" dxfId="2799">
      <formula>IF($Y$68,1,0)</formula>
    </cfRule>
  </conditionalFormatting>
  <conditionalFormatting sqref="W94:W95">
    <cfRule type="expression" priority="143" dxfId="2799">
      <formula>IF($Y$96,1,0)</formula>
    </cfRule>
  </conditionalFormatting>
  <conditionalFormatting sqref="W96">
    <cfRule type="expression" priority="151" dxfId="2799">
      <formula>IF(Y98,1,0)</formula>
    </cfRule>
  </conditionalFormatting>
  <conditionalFormatting sqref="W98">
    <cfRule type="expression" priority="147" dxfId="2799">
      <formula>IF(Y100,1,0)</formula>
    </cfRule>
  </conditionalFormatting>
  <conditionalFormatting sqref="W100">
    <cfRule type="expression" priority="146" dxfId="2799">
      <formula>IF(Y102,1,0)</formula>
    </cfRule>
  </conditionalFormatting>
  <conditionalFormatting sqref="W102">
    <cfRule type="expression" priority="145" dxfId="2799">
      <formula>IF(Y104,1,0)</formula>
    </cfRule>
  </conditionalFormatting>
  <conditionalFormatting sqref="W163">
    <cfRule type="expression" priority="28" dxfId="1">
      <formula>$Y$164</formula>
    </cfRule>
  </conditionalFormatting>
  <conditionalFormatting sqref="W172">
    <cfRule type="expression" priority="58" dxfId="2799">
      <formula>(Y182)</formula>
    </cfRule>
  </conditionalFormatting>
  <conditionalFormatting sqref="W173">
    <cfRule type="expression" priority="91" dxfId="2799">
      <formula>(Y182)</formula>
    </cfRule>
  </conditionalFormatting>
  <conditionalFormatting sqref="W174">
    <cfRule type="expression" priority="90" dxfId="2799">
      <formula>(Y181)</formula>
    </cfRule>
  </conditionalFormatting>
  <conditionalFormatting sqref="W208:W209">
    <cfRule type="expression" priority="84" dxfId="2799">
      <formula>IF($Y$96,1,0)</formula>
    </cfRule>
  </conditionalFormatting>
  <conditionalFormatting sqref="W210">
    <cfRule type="expression" priority="89" dxfId="2799">
      <formula>IF(Y213,1,0)</formula>
    </cfRule>
  </conditionalFormatting>
  <conditionalFormatting sqref="W212">
    <cfRule type="expression" priority="88" dxfId="2799">
      <formula>IF(Y215,1,0)</formula>
    </cfRule>
  </conditionalFormatting>
  <conditionalFormatting sqref="W214">
    <cfRule type="expression" priority="87" dxfId="2799">
      <formula>IF(Y217,1,0)</formula>
    </cfRule>
  </conditionalFormatting>
  <conditionalFormatting sqref="W216">
    <cfRule type="expression" priority="86" dxfId="2799">
      <formula>IF(Y219,1,0)</formula>
    </cfRule>
  </conditionalFormatting>
  <conditionalFormatting sqref="X49">
    <cfRule type="expression" priority="32">
      <formula>$Y$49</formula>
    </cfRule>
  </conditionalFormatting>
  <conditionalFormatting sqref="AA61:AA65">
    <cfRule type="expression" priority="18" dxfId="6">
      <formula>NoColor</formula>
    </cfRule>
  </conditionalFormatting>
  <conditionalFormatting sqref="AA175:AA179">
    <cfRule type="expression" priority="14" dxfId="6">
      <formula>NoColor</formula>
    </cfRule>
  </conditionalFormatting>
  <conditionalFormatting sqref="AB59">
    <cfRule type="expression" priority="17" dxfId="14">
      <formula>J52&gt;Q50</formula>
    </cfRule>
  </conditionalFormatting>
  <conditionalFormatting sqref="AB173">
    <cfRule type="expression" priority="13" dxfId="14">
      <formula>J166&gt;Q164</formula>
    </cfRule>
  </conditionalFormatting>
  <hyperlinks>
    <hyperlink xmlns:r="http://schemas.openxmlformats.org/officeDocument/2006/relationships" ref="C233" display="Download Form 1040 Schedule C" r:id="rId1"/>
    <hyperlink xmlns:r="http://schemas.openxmlformats.org/officeDocument/2006/relationships" ref="C235" display="Download Form 1040 Schedule C Instructions" r:id="rId2"/>
    <hyperlink ref="C237" location="'Table of Contents'!A1" display="Table of Contents"/>
  </hyperlinks>
  <pageMargins left="0.75" right="0.25" top="0.36" bottom="0.29" header="0.36" footer="0.21"/>
  <pageSetup orientation="portrait" scale="77" fitToHeight="0"/>
  <rowBreaks count="3" manualBreakCount="3">
    <brk id="63" min="1" max="20" man="1"/>
    <brk id="115" min="1" max="20" man="1"/>
    <brk id="177" min="1" max="20" man="1"/>
  </rowBreaks>
</worksheet>
</file>

<file path=xl/worksheets/sheet31.xml><?xml version="1.0" encoding="utf-8"?>
<worksheet xmlns="http://schemas.openxmlformats.org/spreadsheetml/2006/main">
  <sheetPr codeName="Sheet8">
    <outlinePr summaryBelow="1" summaryRight="1"/>
    <pageSetUpPr fitToPage="1"/>
  </sheetPr>
  <dimension ref="A1:BK109"/>
  <sheetViews>
    <sheetView zoomScaleNormal="100" zoomScaleSheetLayoutView="100" workbookViewId="0">
      <selection activeCell="A1" sqref="A1"/>
    </sheetView>
  </sheetViews>
  <sheetFormatPr baseColWidth="8" defaultColWidth="8.7109375" defaultRowHeight="12.75"/>
  <cols>
    <col width="3.28515625" customWidth="1" style="7970" min="1" max="1"/>
    <col width="3.5703125" customWidth="1" style="7635" min="2" max="2"/>
    <col width="2.5703125" customWidth="1" style="7635" min="3" max="3"/>
    <col width="3" customWidth="1" style="7635" min="4" max="4"/>
    <col width="13.42578125" customWidth="1" style="7635" min="5" max="5"/>
    <col width="10.42578125" customWidth="1" style="7635" min="6" max="6"/>
    <col width="3.5703125" customWidth="1" style="7635" min="7" max="7"/>
    <col width="9.42578125" customWidth="1" style="7635" min="8" max="8"/>
    <col width="10" customWidth="1" style="7635" min="9" max="9"/>
    <col width="5.140625" customWidth="1" style="7635" min="10" max="10"/>
    <col width="16" customWidth="1" style="7635" min="11" max="11"/>
    <col width="2.42578125" customWidth="1" style="7635" min="12" max="12"/>
    <col width="10.5703125" customWidth="1" style="7635" min="13" max="13"/>
    <col width="4.140625" customWidth="1" style="7635" min="14" max="14"/>
    <col width="3" customWidth="1" style="7635" min="15" max="15"/>
    <col width="13.28515625" customWidth="1" style="7635" min="16" max="16"/>
    <col width="4.5703125" customWidth="1" style="7635" min="17" max="17"/>
    <col width="1.42578125" customWidth="1" style="7635" min="18" max="18"/>
    <col width="3.140625" customWidth="1" style="7635" min="19" max="19"/>
    <col width="13.28515625" customWidth="1" style="7635" min="20" max="20"/>
    <col width="1.5703125" customWidth="1" style="7635" min="21" max="21"/>
    <col width="15.140625" customWidth="1" style="7635" min="22" max="24"/>
    <col width="4.28515625" customWidth="1" style="7635" min="25" max="26"/>
    <col hidden="1" width="7.28515625" customWidth="1" style="7635" min="27" max="27"/>
    <col hidden="1" width="7.7109375" customWidth="1" style="9123" min="28" max="32"/>
    <col hidden="1" width="4.28515625" customWidth="1" style="7635" min="33" max="33"/>
    <col hidden="1" width="7.7109375" customWidth="1" style="9123" min="34" max="37"/>
    <col hidden="1" width="4.28515625" customWidth="1" style="7635" min="38" max="38"/>
    <col hidden="1" width="7.7109375" customWidth="1" style="9123" min="39" max="42"/>
    <col hidden="1" width="4.28515625" customWidth="1" style="7635" min="43" max="43"/>
    <col hidden="1" width="7.7109375" customWidth="1" style="9123" min="44" max="47"/>
    <col hidden="1" width="4.28515625" customWidth="1" style="7635" min="48" max="48"/>
    <col hidden="1" width="7.7109375" customWidth="1" style="9123" min="49" max="52"/>
    <col width="4.28515625" customWidth="1" style="7635" min="53" max="53"/>
    <col width="10.7109375" customWidth="1" style="658" min="54" max="63"/>
  </cols>
  <sheetData>
    <row r="1" ht="16.5" customHeight="1" s="7635">
      <c r="A1" s="5065" t="n"/>
      <c r="B1" s="139" t="n"/>
      <c r="C1" s="139" t="n"/>
      <c r="D1" s="139" t="n"/>
      <c r="E1" s="139" t="n"/>
      <c r="F1" s="139" t="n"/>
      <c r="G1" s="139" t="n"/>
      <c r="H1" s="139" t="n"/>
      <c r="I1" s="139" t="n"/>
      <c r="J1" s="139" t="n"/>
      <c r="K1" s="139" t="n"/>
      <c r="L1" s="139" t="n"/>
      <c r="M1" s="139" t="n"/>
      <c r="N1" s="8355">
        <f>IF('Table of Contents'!A36="D","DRAFT","")</f>
        <v/>
      </c>
      <c r="S1" s="289" t="n"/>
      <c r="T1" s="139" t="n"/>
      <c r="U1" s="139" t="n"/>
      <c r="BB1" s="657" t="inlineStr">
        <is>
          <t>Notes</t>
        </is>
      </c>
    </row>
    <row r="2" ht="12.75" customFormat="1" customHeight="1" s="9864">
      <c r="A2" s="5066" t="n"/>
      <c r="B2" s="5067" t="inlineStr">
        <is>
          <t>SCHEDULE D</t>
        </is>
      </c>
      <c r="C2" s="5067" t="n"/>
      <c r="D2" s="5068" t="n"/>
      <c r="E2" s="5069" t="n"/>
      <c r="F2" s="5070" t="n"/>
      <c r="G2" s="5993" t="n"/>
      <c r="H2" s="8073" t="inlineStr">
        <is>
          <t>Capital Gains and Losses</t>
        </is>
      </c>
      <c r="M2" s="5071" t="n"/>
      <c r="N2" s="8357">
        <f>IF(AND(S2="",'Table of Contents'!A36="D"),"DRAFT","OMB No. 1545-0074")</f>
        <v/>
      </c>
      <c r="O2" s="7637" t="n"/>
      <c r="P2" s="7637" t="n"/>
      <c r="Q2" s="7637" t="n"/>
      <c r="R2" s="5072" t="n"/>
      <c r="S2" s="1818" t="n"/>
      <c r="T2" s="5073" t="inlineStr">
        <is>
          <t>Manual</t>
        </is>
      </c>
      <c r="U2" s="144" t="n"/>
      <c r="V2" s="8145" t="n"/>
      <c r="W2" s="8145" t="n"/>
      <c r="X2" s="8145" t="n"/>
      <c r="Y2" s="5074" t="n"/>
      <c r="AB2" s="5075" t="n"/>
      <c r="AC2" s="302" t="n"/>
      <c r="AD2" s="302" t="n"/>
      <c r="AE2" s="302" t="n"/>
      <c r="AF2" s="302" t="n"/>
      <c r="AH2" s="5075" t="n"/>
      <c r="AI2" s="302" t="n"/>
      <c r="AJ2" s="302" t="n"/>
      <c r="AK2" s="302" t="n"/>
      <c r="AM2" s="5075" t="n"/>
      <c r="AN2" s="302" t="n"/>
      <c r="AO2" s="302" t="n"/>
      <c r="AP2" s="302" t="n"/>
      <c r="AR2" s="5075" t="n"/>
      <c r="AS2" s="302" t="n"/>
      <c r="AT2" s="302" t="n"/>
      <c r="AU2" s="302" t="n"/>
      <c r="AW2" s="5075" t="n"/>
      <c r="AX2" s="302" t="n"/>
      <c r="AY2" s="302" t="n"/>
      <c r="AZ2" s="302" t="n"/>
      <c r="BB2" s="665" t="n"/>
      <c r="BC2" s="665" t="n"/>
      <c r="BD2" s="665" t="n"/>
      <c r="BE2" s="665" t="n"/>
      <c r="BF2" s="665" t="n"/>
      <c r="BG2" s="665" t="n"/>
      <c r="BH2" s="665" t="n"/>
      <c r="BI2" s="665" t="n"/>
      <c r="BJ2" s="665" t="n"/>
      <c r="BK2" s="665" t="n"/>
    </row>
    <row r="3" ht="14.25" customHeight="1" s="7635">
      <c r="A3" s="5065" t="n"/>
      <c r="B3" s="3570" t="inlineStr">
        <is>
          <t>(Form 1040)</t>
        </is>
      </c>
      <c r="C3" s="3574" t="n"/>
      <c r="D3" s="5076" t="n"/>
      <c r="E3" s="2754" t="n"/>
      <c r="F3" s="5077" t="n"/>
      <c r="G3" s="5994" t="n"/>
      <c r="M3" s="5078" t="n"/>
      <c r="N3" s="8279">
        <f>TaxYear</f>
        <v/>
      </c>
      <c r="R3" s="8922" t="n"/>
      <c r="S3" s="5079" t="n"/>
      <c r="T3" s="148" t="inlineStr">
        <is>
          <t>Override ê</t>
        </is>
      </c>
      <c r="U3" s="139" t="n"/>
      <c r="V3" s="9123" t="n"/>
      <c r="W3" s="7301" t="n"/>
      <c r="X3" s="7301" t="n"/>
      <c r="Y3" s="2" t="n"/>
      <c r="AB3" s="1201" t="n"/>
      <c r="AH3" s="1201" t="n"/>
      <c r="AM3" s="1201" t="n"/>
      <c r="AR3" s="1201" t="n"/>
      <c r="AW3" s="1201" t="n"/>
    </row>
    <row r="4" ht="14.25" customHeight="1" s="7635">
      <c r="A4" s="5065" t="n"/>
      <c r="B4" s="5080" t="n"/>
      <c r="C4" s="3574" t="n"/>
      <c r="D4" s="2754" t="n"/>
      <c r="E4" s="5076" t="n"/>
      <c r="F4" s="12085" t="inlineStr">
        <is>
          <t>Attach to Form 1040, 1040-SR, or Form 1040-NR.</t>
        </is>
      </c>
      <c r="M4" s="1066" t="n"/>
      <c r="N4" s="11741" t="n"/>
      <c r="R4" s="8922" t="n"/>
      <c r="S4" s="5079" t="n"/>
      <c r="T4" s="139" t="n"/>
      <c r="U4" s="139" t="n"/>
      <c r="V4" s="7301" t="n"/>
      <c r="W4" s="7301" t="n"/>
      <c r="X4" s="7301" t="n"/>
      <c r="Y4" s="2" t="n"/>
      <c r="AB4" s="1201" t="n"/>
      <c r="AH4" s="1201" t="n"/>
      <c r="AM4" s="1201" t="n"/>
      <c r="AR4" s="1201" t="n"/>
      <c r="AW4" s="1201" t="n"/>
    </row>
    <row r="5" ht="12.75" customHeight="1" s="7635">
      <c r="A5" s="5065" t="n"/>
      <c r="B5" s="2753" t="inlineStr">
        <is>
          <t>Department of the Treasury</t>
        </is>
      </c>
      <c r="C5" s="2753" t="n"/>
      <c r="D5" s="5076" t="n"/>
      <c r="E5" s="2754" t="n"/>
      <c r="F5" s="12086" t="inlineStr">
        <is>
          <t>Use Form 8949 to list your transactions for lines 1b, 2, 3, 8b, 9, and 10.</t>
        </is>
      </c>
      <c r="M5" s="1066" t="n"/>
      <c r="N5" s="5081" t="n"/>
      <c r="O5" s="5990" t="inlineStr">
        <is>
          <t>Attachment</t>
        </is>
      </c>
      <c r="P5" s="11309" t="n"/>
      <c r="Q5" s="8296" t="n">
        <v>12</v>
      </c>
      <c r="R5" s="343" t="n"/>
      <c r="S5" s="5083" t="n"/>
      <c r="T5" s="139" t="n"/>
      <c r="U5" s="139" t="n"/>
      <c r="V5" s="7301" t="n"/>
      <c r="W5" s="7301" t="n"/>
      <c r="X5" s="7301" t="n"/>
      <c r="Y5" s="2" t="n"/>
      <c r="AB5" s="1201" t="n"/>
      <c r="AH5" s="1201" t="n"/>
      <c r="AM5" s="1201" t="n"/>
      <c r="AR5" s="1201" t="n"/>
      <c r="AW5" s="1201" t="n"/>
    </row>
    <row r="6" ht="13.5" customHeight="1" s="7635" thickBot="1">
      <c r="A6" s="5065" t="n"/>
      <c r="B6" s="3548" t="inlineStr">
        <is>
          <t>Internal Revenue Service (99)</t>
        </is>
      </c>
      <c r="C6" s="2753" t="n"/>
      <c r="D6" s="5076" t="n"/>
      <c r="E6" s="2754" t="n"/>
      <c r="F6" s="12086" t="inlineStr">
        <is>
          <t xml:space="preserve">   Go to www.irs.gov/ScheduleD for instructions and the latest information.</t>
        </is>
      </c>
      <c r="M6" s="1066" t="n"/>
      <c r="N6" s="5084" t="n"/>
      <c r="O6" s="5991" t="inlineStr">
        <is>
          <t>Sequence No.</t>
        </is>
      </c>
      <c r="P6" s="5085" t="n"/>
      <c r="R6" s="5086" t="n"/>
      <c r="S6" s="5087" t="n"/>
      <c r="T6" s="139" t="n"/>
      <c r="U6" s="139" t="n"/>
      <c r="V6" s="8648" t="n"/>
      <c r="W6" s="8648" t="n"/>
      <c r="X6" s="8648" t="n"/>
      <c r="Y6" s="2" t="n"/>
      <c r="AB6" s="1201" t="n"/>
      <c r="AH6" s="1201" t="n"/>
      <c r="AM6" s="1201" t="n"/>
      <c r="AR6" s="1201" t="n"/>
      <c r="AW6" s="1201" t="n"/>
    </row>
    <row r="7" ht="11.25" customHeight="1" s="7635" thickTop="1">
      <c r="A7" s="5065" t="n"/>
      <c r="B7" s="3552" t="inlineStr">
        <is>
          <t>Name(s) shown on return</t>
        </is>
      </c>
      <c r="C7" s="3552" t="n"/>
      <c r="D7" s="3553" t="n"/>
      <c r="E7" s="3553" t="n"/>
      <c r="F7" s="3553" t="n"/>
      <c r="G7" s="3553" t="n"/>
      <c r="H7" s="3554" t="n"/>
      <c r="I7" s="3555" t="n"/>
      <c r="J7" s="3555" t="n"/>
      <c r="K7" s="3552" t="n"/>
      <c r="L7" s="3555" t="n"/>
      <c r="M7" s="8311" t="inlineStr">
        <is>
          <t>Your social security number</t>
        </is>
      </c>
      <c r="N7" s="9668" t="n"/>
      <c r="O7" s="9668" t="n"/>
      <c r="P7" s="9668" t="n"/>
      <c r="Q7" s="9668" t="n"/>
      <c r="R7" s="229" t="n"/>
      <c r="S7" s="5083" t="n"/>
      <c r="T7" s="139" t="n"/>
      <c r="U7" s="139" t="n"/>
      <c r="V7" s="8648" t="n"/>
      <c r="W7" s="8648" t="n"/>
      <c r="X7" s="8043" t="n"/>
      <c r="Y7" s="8043" t="n"/>
    </row>
    <row r="8" ht="14.25" customHeight="1" s="7635" thickBot="1">
      <c r="A8" s="5065" t="n"/>
      <c r="B8" s="10302">
        <f>Names</f>
        <v/>
      </c>
      <c r="C8" s="5089" t="n"/>
      <c r="D8" s="3758" t="n"/>
      <c r="E8" s="3758" t="n"/>
      <c r="F8" s="3758" t="n"/>
      <c r="G8" s="3758" t="n"/>
      <c r="H8" s="3759" t="n"/>
      <c r="I8" s="3760" t="n"/>
      <c r="J8" s="3760" t="n"/>
      <c r="K8" s="3761" t="n"/>
      <c r="L8" s="3760" t="n"/>
      <c r="M8" s="12025">
        <f>IF(NoSSN,"",SS_Yours)</f>
        <v/>
      </c>
      <c r="N8" s="7637" t="n"/>
      <c r="O8" s="7637" t="n"/>
      <c r="P8" s="7637" t="n"/>
      <c r="Q8" s="7637" t="n"/>
      <c r="R8" s="88" t="n"/>
      <c r="S8" s="289" t="n"/>
      <c r="T8" s="139" t="n"/>
      <c r="U8" s="139" t="n"/>
      <c r="V8" s="8648" t="n"/>
      <c r="W8" s="8648" t="n"/>
      <c r="X8" s="8043" t="n"/>
      <c r="Y8" s="8043" t="n"/>
      <c r="AB8" s="8356" t="inlineStr">
        <is>
          <t>(Applicability)</t>
        </is>
      </c>
      <c r="AC8" s="7637" t="n"/>
      <c r="AD8" s="7637" t="n"/>
      <c r="AE8" s="7637" t="n"/>
      <c r="AF8" s="7637" t="n"/>
      <c r="AH8" s="8356" t="inlineStr">
        <is>
          <t>(d)</t>
        </is>
      </c>
      <c r="AI8" s="7637" t="n"/>
      <c r="AJ8" s="7637" t="n"/>
      <c r="AK8" s="7637" t="n"/>
      <c r="AM8" s="8356" t="inlineStr">
        <is>
          <t>(e)</t>
        </is>
      </c>
      <c r="AN8" s="7637" t="n"/>
      <c r="AO8" s="7637" t="n"/>
      <c r="AP8" s="7637" t="n"/>
      <c r="AR8" s="8356" t="inlineStr">
        <is>
          <t>(g)</t>
        </is>
      </c>
      <c r="AS8" s="7637" t="n"/>
      <c r="AT8" s="7637" t="n"/>
      <c r="AU8" s="7637" t="n"/>
      <c r="AW8" s="8356" t="inlineStr">
        <is>
          <t>(h)</t>
        </is>
      </c>
      <c r="AX8" s="7637" t="n"/>
      <c r="AY8" s="7637" t="n"/>
      <c r="AZ8" s="7637" t="n"/>
    </row>
    <row r="9" ht="4.5" customHeight="1" s="7635" thickBot="1">
      <c r="A9" s="5065" t="n"/>
      <c r="B9" s="5090" t="n"/>
      <c r="C9" s="3084" t="n"/>
      <c r="D9" s="2827" t="n"/>
      <c r="E9" s="2827" t="n"/>
      <c r="F9" s="5091" t="n"/>
      <c r="G9" s="5091" t="n"/>
      <c r="H9" s="5091" t="n"/>
      <c r="I9" s="5092" t="n"/>
      <c r="J9" s="5092" t="n"/>
      <c r="K9" s="5093" t="n"/>
      <c r="L9" s="5094" t="n"/>
      <c r="M9" s="5094" t="n"/>
      <c r="N9" s="1054" t="n"/>
      <c r="O9" s="1054" t="n"/>
      <c r="P9" s="5095" t="n"/>
      <c r="Q9" s="5096" t="n"/>
      <c r="R9" s="5086" t="n"/>
      <c r="S9" s="5087" t="n"/>
      <c r="T9" s="139" t="n"/>
      <c r="U9" s="139" t="n"/>
      <c r="V9" s="8648" t="n"/>
      <c r="W9" s="8648" t="n"/>
      <c r="X9" s="8648" t="n"/>
      <c r="Y9" s="2" t="n"/>
      <c r="AB9" s="1201" t="n"/>
      <c r="AH9" s="1201" t="n"/>
      <c r="AM9" s="1201" t="n"/>
      <c r="AR9" s="1201" t="n"/>
      <c r="AW9" s="1201" t="n"/>
    </row>
    <row r="10" ht="13.5" customHeight="1" s="7635" thickBot="1">
      <c r="A10" s="5065" t="n"/>
      <c r="B10" s="5992" t="inlineStr">
        <is>
          <t>Did you dispose of any investment(s) in a qualified opportunity fund during the tax year?</t>
        </is>
      </c>
      <c r="C10" s="2753" t="n"/>
      <c r="D10" s="2754" t="n"/>
      <c r="E10" s="2754" t="n"/>
      <c r="F10" s="5097" t="n"/>
      <c r="G10" s="5097" t="n"/>
      <c r="H10" s="5097" t="n"/>
      <c r="I10" s="5098" t="n"/>
      <c r="J10" s="5098" t="n"/>
      <c r="K10" s="5099" t="n"/>
      <c r="L10" s="1056" t="n"/>
      <c r="M10" s="4327" t="inlineStr">
        <is>
          <t>Yes</t>
        </is>
      </c>
      <c r="N10" s="1052" t="n"/>
      <c r="O10" s="1056" t="n"/>
      <c r="P10" s="4327" t="inlineStr">
        <is>
          <t>No</t>
        </is>
      </c>
      <c r="Q10" s="8296" t="n"/>
      <c r="R10" s="5086" t="n"/>
      <c r="S10" s="5087" t="n"/>
      <c r="T10" s="139" t="n"/>
      <c r="U10" s="139" t="n"/>
      <c r="V10" s="8648" t="n"/>
      <c r="W10" s="8648" t="n"/>
      <c r="X10" s="8648" t="n"/>
      <c r="Y10" s="2" t="n"/>
      <c r="AB10" s="1201" t="n"/>
      <c r="AH10" s="1201" t="n"/>
      <c r="AM10" s="1201" t="n"/>
      <c r="AR10" s="1201" t="n"/>
      <c r="AW10" s="1201" t="n"/>
    </row>
    <row r="11" ht="13.5" customHeight="1" s="7635">
      <c r="A11" s="5065" t="n"/>
      <c r="B11" s="5100" t="inlineStr">
        <is>
          <t>If “Yes,” attach Form 8949 and see its instructions for additional requirements for reporting your gain or loss.</t>
        </is>
      </c>
      <c r="C11" s="3582" t="n"/>
      <c r="D11" s="5101" t="n"/>
      <c r="E11" s="5101" t="n"/>
      <c r="F11" s="5102" t="n"/>
      <c r="G11" s="5102" t="n"/>
      <c r="H11" s="5102" t="n"/>
      <c r="I11" s="5103" t="n"/>
      <c r="J11" s="5103" t="n"/>
      <c r="K11" s="5104" t="n"/>
      <c r="L11" s="5105" t="n"/>
      <c r="M11" s="5105" t="n"/>
      <c r="N11" s="1055" t="n"/>
      <c r="O11" s="1055" t="n"/>
      <c r="P11" s="5106" t="n"/>
      <c r="Q11" s="5107" t="n"/>
      <c r="R11" s="5086" t="n"/>
      <c r="S11" s="5087" t="n"/>
      <c r="T11" s="139" t="n"/>
      <c r="U11" s="139" t="n"/>
      <c r="V11" s="8648" t="n"/>
      <c r="W11" s="8648" t="n"/>
      <c r="X11" s="8648" t="n"/>
      <c r="Y11" s="2" t="n"/>
      <c r="AB11" s="1201" t="n"/>
      <c r="AH11" s="1201" t="n"/>
      <c r="AM11" s="1201" t="n"/>
      <c r="AR11" s="1201" t="n"/>
      <c r="AW11" s="1201" t="n"/>
    </row>
    <row r="12" ht="19.5" customHeight="1" s="7635">
      <c r="A12" s="5065" t="n"/>
      <c r="B12" s="8300" t="inlineStr">
        <is>
          <t xml:space="preserve">Part I </t>
        </is>
      </c>
      <c r="C12" s="8412" t="n"/>
      <c r="D12" s="8412" t="n"/>
      <c r="E12" s="5108" t="inlineStr">
        <is>
          <t>Short-Term Capital Gains and Losses</t>
        </is>
      </c>
      <c r="F12" s="5109" t="n"/>
      <c r="G12" s="5109" t="n"/>
      <c r="H12" s="5110" t="n"/>
      <c r="I12" s="5108" t="inlineStr">
        <is>
          <t>– Generally Assets Held One Year or Less</t>
        </is>
      </c>
      <c r="J12" s="5111" t="n"/>
      <c r="K12" s="5109" t="n"/>
      <c r="L12" s="5112" t="n"/>
      <c r="M12" s="3111" t="n"/>
      <c r="N12" s="6278" t="inlineStr">
        <is>
          <t>(see instructions)</t>
        </is>
      </c>
      <c r="O12" s="3099" t="n"/>
      <c r="P12" s="5114" t="n"/>
      <c r="Q12" s="5114" t="n"/>
      <c r="R12" s="5115" t="n"/>
      <c r="S12" s="5116" t="n"/>
      <c r="T12" s="139" t="n"/>
      <c r="U12" s="139" t="n"/>
      <c r="V12" s="139" t="n"/>
      <c r="W12" s="139" t="n"/>
      <c r="X12" s="139" t="n"/>
      <c r="Y12" s="148" t="n"/>
    </row>
    <row r="13" ht="16.5" customHeight="1" s="7635">
      <c r="A13" s="5065" t="n"/>
      <c r="B13" s="12087" t="inlineStr">
        <is>
          <t>See instructions for how to figure the amounts to enter on 
the lines below.
This form may be easier to complete if you round off cents 
to whole dollars.</t>
        </is>
      </c>
      <c r="C13" s="7839" t="n"/>
      <c r="D13" s="7839" t="n"/>
      <c r="E13" s="7839" t="n"/>
      <c r="F13" s="7839" t="n"/>
      <c r="G13" s="7839" t="n"/>
      <c r="H13" s="10091" t="n"/>
      <c r="I13" s="12088" t="inlineStr">
        <is>
          <t>(d) 
Proceeds 
(sales price)</t>
        </is>
      </c>
      <c r="J13" s="10091" t="n"/>
      <c r="K13" s="12089" t="inlineStr">
        <is>
          <t>(e)
Cost
(or other basis)</t>
        </is>
      </c>
      <c r="L13" s="12089" t="inlineStr">
        <is>
          <t>(g)
Adjustments 
to gain or loss from
Form(s) 8949, Part I,
line 2, column (g)</t>
        </is>
      </c>
      <c r="M13" s="7839" t="n"/>
      <c r="N13" s="10091" t="n"/>
      <c r="O13" s="12090" t="inlineStr">
        <is>
          <t>(h) Gain or (loss) 
Subtract column (e) 
from column (d) and 
combine the result 
with column (g)</t>
        </is>
      </c>
      <c r="P13" s="7839" t="n"/>
      <c r="Q13" s="7839" t="n"/>
      <c r="R13" s="5117" t="n"/>
      <c r="S13" s="5118" t="n"/>
      <c r="T13" s="139" t="n"/>
      <c r="U13" s="139" t="n"/>
      <c r="V13" s="12088" t="inlineStr">
        <is>
          <t>(d)
Proceeds
(sales price)</t>
        </is>
      </c>
      <c r="W13" s="12091" t="inlineStr">
        <is>
          <t>(e)
Cost
(or other basis)</t>
        </is>
      </c>
      <c r="X13" s="12089" t="inlineStr">
        <is>
          <t>(g)
Adjustments to
gain or loss from
Form(s) 8949, Part I,
line 2, column (g)</t>
        </is>
      </c>
      <c r="Y13" s="148" t="n"/>
    </row>
    <row r="14" ht="16.5" customHeight="1" s="7635">
      <c r="A14" s="5065" t="n"/>
      <c r="H14" s="7636" t="n"/>
      <c r="I14" s="4772" t="n"/>
      <c r="J14" s="7636" t="n"/>
      <c r="K14" s="11747" t="n"/>
      <c r="L14" s="4772" t="n"/>
      <c r="N14" s="7636" t="n"/>
      <c r="O14" s="4772" t="n"/>
      <c r="R14" s="5119" t="n"/>
      <c r="S14" s="5120" t="n"/>
      <c r="T14" s="148" t="inlineStr">
        <is>
          <t>Override  è</t>
        </is>
      </c>
      <c r="U14" s="139" t="n"/>
      <c r="V14" s="11747" t="n"/>
      <c r="W14" s="11747" t="n"/>
      <c r="X14" s="11747" t="n"/>
      <c r="Y14" s="148" t="n"/>
    </row>
    <row r="15" ht="16.5" customHeight="1" s="7635">
      <c r="A15" s="5065" t="n"/>
      <c r="B15" s="7637" t="n"/>
      <c r="C15" s="7637" t="n"/>
      <c r="D15" s="7637" t="n"/>
      <c r="E15" s="7637" t="n"/>
      <c r="F15" s="7637" t="n"/>
      <c r="G15" s="7637" t="n"/>
      <c r="H15" s="7638" t="n"/>
      <c r="I15" s="3614" t="n"/>
      <c r="J15" s="7638" t="n"/>
      <c r="K15" s="11934" t="n"/>
      <c r="L15" s="3614" t="n"/>
      <c r="M15" s="7637" t="n"/>
      <c r="N15" s="7638" t="n"/>
      <c r="O15" s="3614" t="n"/>
      <c r="P15" s="7637" t="n"/>
      <c r="Q15" s="7637" t="n"/>
      <c r="R15" s="5121" t="n"/>
      <c r="S15" s="5122" t="n"/>
      <c r="T15" s="139" t="n"/>
      <c r="U15" s="139" t="n"/>
      <c r="V15" s="11934" t="n"/>
      <c r="W15" s="11934" t="n"/>
      <c r="X15" s="11934" t="n"/>
      <c r="Y15" s="148" t="n"/>
      <c r="AB15" s="688" t="inlineStr">
        <is>
          <t>F8949A</t>
        </is>
      </c>
      <c r="AC15" s="688" t="inlineStr">
        <is>
          <t>F8949B</t>
        </is>
      </c>
      <c r="AD15" s="688" t="inlineStr">
        <is>
          <t>F8949C</t>
        </is>
      </c>
      <c r="AE15" s="688" t="inlineStr">
        <is>
          <t>F8949D</t>
        </is>
      </c>
      <c r="AH15" s="688" t="inlineStr">
        <is>
          <t>F8949A</t>
        </is>
      </c>
      <c r="AI15" s="688" t="inlineStr">
        <is>
          <t>F8949B</t>
        </is>
      </c>
      <c r="AJ15" s="688" t="inlineStr">
        <is>
          <t>F8949C</t>
        </is>
      </c>
      <c r="AK15" s="688" t="inlineStr">
        <is>
          <t>F8949D</t>
        </is>
      </c>
      <c r="AM15" s="688" t="inlineStr">
        <is>
          <t>F8949A</t>
        </is>
      </c>
      <c r="AN15" s="688" t="inlineStr">
        <is>
          <t>F8949B</t>
        </is>
      </c>
      <c r="AO15" s="688" t="inlineStr">
        <is>
          <t>F8949C</t>
        </is>
      </c>
      <c r="AP15" s="688" t="inlineStr">
        <is>
          <t>F8949D</t>
        </is>
      </c>
      <c r="AR15" s="688" t="inlineStr">
        <is>
          <t>F8949A</t>
        </is>
      </c>
      <c r="AS15" s="688" t="inlineStr">
        <is>
          <t>F8949B</t>
        </is>
      </c>
      <c r="AT15" s="688" t="inlineStr">
        <is>
          <t>F8949C</t>
        </is>
      </c>
      <c r="AU15" s="688" t="inlineStr">
        <is>
          <t>F8949D</t>
        </is>
      </c>
      <c r="AW15" s="688" t="inlineStr">
        <is>
          <t>F8949A</t>
        </is>
      </c>
      <c r="AX15" s="688" t="inlineStr">
        <is>
          <t>F8949B</t>
        </is>
      </c>
      <c r="AY15" s="688" t="inlineStr">
        <is>
          <t>F8949C</t>
        </is>
      </c>
      <c r="AZ15" s="688" t="inlineStr">
        <is>
          <t>F8949D</t>
        </is>
      </c>
    </row>
    <row r="16" ht="60" customHeight="1" s="7635">
      <c r="A16" s="5065" t="n"/>
      <c r="B16" s="5123" t="inlineStr">
        <is>
          <t>1a</t>
        </is>
      </c>
      <c r="C16" s="8321" t="inlineStr">
        <is>
          <t xml:space="preserve">Totals  for  all  short-term  transactions  reported  on 
Form 1099-B or Form 1099-DA for which basis was 
reported  to  the  IRS  and  for  which  you  have  no 
adjustments (see instructions).  However,  if you 
choose to report all these transactions on Form 8949, </t>
        </is>
      </c>
      <c r="D16" s="7839" t="n"/>
      <c r="E16" s="7839" t="n"/>
      <c r="F16" s="7839" t="n"/>
      <c r="G16" s="7839" t="n"/>
      <c r="H16" s="10091" t="n"/>
      <c r="I16" s="7956" t="n"/>
      <c r="J16" s="7958" t="n"/>
      <c r="K16" s="5124" t="n"/>
      <c r="L16" s="5125" t="n"/>
      <c r="M16" s="5126" t="n"/>
      <c r="N16" s="5127" t="n"/>
      <c r="O16" s="5128" t="n"/>
      <c r="P16" s="322" t="n"/>
      <c r="Q16" s="322" t="n"/>
      <c r="R16" s="5121" t="n"/>
      <c r="S16" s="5122" t="n"/>
      <c r="T16" s="139" t="n"/>
      <c r="U16" s="139" t="n"/>
      <c r="V16" s="5129" t="n"/>
      <c r="W16" s="5130" t="n"/>
      <c r="X16" s="5131" t="n"/>
      <c r="Y16" s="148" t="n"/>
      <c r="AB16" s="688" t="n"/>
      <c r="AC16" s="688" t="n"/>
      <c r="AD16" s="688" t="n"/>
      <c r="AE16" s="688" t="n"/>
      <c r="AH16" s="688" t="n"/>
      <c r="AI16" s="688" t="n"/>
      <c r="AJ16" s="688" t="n"/>
      <c r="AK16" s="688" t="n"/>
      <c r="AM16" s="688" t="n"/>
      <c r="AN16" s="688" t="n"/>
      <c r="AO16" s="688" t="n"/>
      <c r="AP16" s="688" t="n"/>
      <c r="AR16" s="688" t="n"/>
      <c r="AS16" s="688" t="n"/>
      <c r="AT16" s="688" t="n"/>
      <c r="AU16" s="688" t="n"/>
      <c r="AW16" s="688" t="n"/>
      <c r="AX16" s="688" t="n"/>
      <c r="AY16" s="688" t="n"/>
      <c r="AZ16" s="688" t="n"/>
    </row>
    <row r="17" ht="12.75" customHeight="1" s="7635">
      <c r="A17" s="5065" t="n"/>
      <c r="B17" s="7123" t="n"/>
      <c r="C17" s="8322" t="inlineStr">
        <is>
          <t>leave this line blank and go to line 1b</t>
        </is>
      </c>
      <c r="D17" s="7637" t="n"/>
      <c r="E17" s="7637" t="n"/>
      <c r="F17" s="7637" t="n"/>
      <c r="G17" s="8324" t="inlineStr">
        <is>
          <t xml:space="preserve">.   .   .   .   .   .   .   .   .  </t>
        </is>
      </c>
      <c r="H17" s="7638" t="n"/>
      <c r="I17" s="287" t="n"/>
      <c r="J17" s="11718" t="n"/>
      <c r="K17" s="288" t="n"/>
      <c r="L17" s="12092" t="n"/>
      <c r="M17" s="7637" t="n"/>
      <c r="N17" s="7638" t="n"/>
      <c r="O17" s="8176">
        <f>IF(OR(I17&lt;&gt;"",K17&lt;&gt;""),ROUND(SUM(I17,-K17),0),"")</f>
        <v/>
      </c>
      <c r="P17" s="7637" t="n"/>
      <c r="Q17" s="7637" t="n"/>
      <c r="R17" s="5121" t="n"/>
      <c r="S17" s="5122" t="n"/>
      <c r="T17" s="139" t="n"/>
      <c r="U17" s="139" t="n"/>
      <c r="V17" s="5129">
        <f>"---"</f>
        <v/>
      </c>
      <c r="W17" s="5129">
        <f>"---"</f>
        <v/>
      </c>
      <c r="X17" s="5132" t="n"/>
      <c r="Y17" s="148" t="n"/>
      <c r="AA17" s="688" t="inlineStr">
        <is>
          <t>BOX</t>
        </is>
      </c>
      <c r="AB17" s="688" t="n"/>
      <c r="AC17" s="688" t="n"/>
      <c r="AD17" s="688" t="n"/>
      <c r="AE17" s="688" t="n"/>
      <c r="AH17" s="688" t="n"/>
      <c r="AI17" s="688" t="n"/>
      <c r="AJ17" s="688" t="n"/>
      <c r="AK17" s="688" t="n"/>
      <c r="AM17" s="688" t="n"/>
      <c r="AN17" s="688" t="n"/>
      <c r="AO17" s="688" t="n"/>
      <c r="AP17" s="688" t="n"/>
      <c r="AR17" s="688" t="n"/>
      <c r="AS17" s="688" t="n"/>
      <c r="AT17" s="688" t="n"/>
      <c r="AU17" s="688" t="n"/>
      <c r="AW17" s="688" t="n"/>
      <c r="AX17" s="688" t="n"/>
      <c r="AY17" s="688" t="n"/>
      <c r="AZ17" s="688" t="n"/>
    </row>
    <row r="18" ht="12.75" customHeight="1" s="7635">
      <c r="A18" s="5065" t="n"/>
      <c r="B18" s="5123" t="inlineStr">
        <is>
          <t>1b</t>
        </is>
      </c>
      <c r="C18" s="12093" t="inlineStr">
        <is>
          <t xml:space="preserve">Totals for all transactions reported on Form(s) 8949
with Box A or Box G checked  .   .   .   .   .   .   .   .   . </t>
        </is>
      </c>
      <c r="D18" s="7839" t="n"/>
      <c r="E18" s="7839" t="n"/>
      <c r="F18" s="7839" t="n"/>
      <c r="G18" s="7839" t="n"/>
      <c r="H18" s="10091" t="n"/>
      <c r="I18" s="12094" t="n"/>
      <c r="J18" s="10091" t="n"/>
      <c r="K18" s="5133" t="n"/>
      <c r="L18" s="12094" t="n"/>
      <c r="M18" s="7839" t="n"/>
      <c r="N18" s="10091" t="n"/>
      <c r="O18" s="8287">
        <f>IF(AND(AF19,AF25),ROUND(SUM(AW19:AZ19,AW25:AZ25),0),IF(AF19,ROUND(SUM(AW19:AZ19),0),IF(AF25,ROUND(SUM(AW25:AZ25),0),"")))</f>
        <v/>
      </c>
      <c r="Q18" s="8288" t="n"/>
      <c r="R18" s="245" t="n"/>
      <c r="S18" s="290" t="n"/>
      <c r="T18" s="139" t="n"/>
      <c r="U18" s="139" t="n"/>
      <c r="V18" s="5135" t="n"/>
      <c r="W18" s="5136" t="n"/>
      <c r="X18" s="5137" t="n"/>
      <c r="Y18" s="148" t="n"/>
    </row>
    <row r="19" ht="13.5" customHeight="1" s="7635">
      <c r="A19" s="5065" t="n"/>
      <c r="B19" s="5138" t="n"/>
      <c r="C19" s="7637" t="n"/>
      <c r="D19" s="7637" t="n"/>
      <c r="E19" s="7637" t="n"/>
      <c r="F19" s="7637" t="n"/>
      <c r="G19" s="7637" t="n"/>
      <c r="H19" s="7638" t="n"/>
      <c r="I19" s="12095">
        <f>IF(V19&lt;&gt;"",ROUND(V19,0),IF(AND($AF19,$AF25),ROUND(SUM(AH19:AK19,AH25:AK25),0),IF($AF19,ROUND(SUM(AH19:AK19),0),IF($AF25,ROUND(SUM(AH25:AK25),0),""))))</f>
        <v/>
      </c>
      <c r="J19" s="7638" t="n"/>
      <c r="K19" s="8302">
        <f>IF(W19&lt;&gt;"",ROUND(W19,0),IF(AND($AF19,$AF25),ROUND(SUM(AM19:AP19,AM25:AP25),0),IF($AF19,ROUND(SUM(AM19:AP19),0),IF($AF25,ROUND(SUM(AM25:AP25),0),""))))</f>
        <v/>
      </c>
      <c r="L19" s="12095">
        <f>IF(X19&lt;&gt;"",ROUND(X19,0),IF(AND($AF19,$AF25),ROUND(SUM(AR19:AU19,AR25:AU25),0),IF($AF19,ROUND(SUM(AR19:AU19),0),IF($AF25,ROUND(SUM(AR25:AU25),0),""))))</f>
        <v/>
      </c>
      <c r="M19" s="7637" t="n"/>
      <c r="N19" s="7638" t="n"/>
      <c r="O19" s="8176">
        <f>IF(AND(I19="",K19="",L19=""),"",IF(AND(W19="",OR(V19&lt;&gt;"",X19&lt;&gt;"")),SUM(I19,L19),IF(OR(V19&lt;&gt;"",W19&lt;&gt;"",X19&lt;&gt;""),SUM(I19,-K19,L19),O18)))</f>
        <v/>
      </c>
      <c r="P19" s="7637" t="n"/>
      <c r="Q19" s="7637" t="n"/>
      <c r="R19" s="245" t="n"/>
      <c r="S19" s="290" t="n"/>
      <c r="T19" s="139" t="n"/>
      <c r="U19" s="139" t="n"/>
      <c r="V19" s="287" t="n"/>
      <c r="W19" s="288" t="n"/>
      <c r="X19" s="8247" t="n"/>
      <c r="Y19" s="148" t="n"/>
      <c r="AA19" s="688" t="inlineStr">
        <is>
          <t>A</t>
        </is>
      </c>
      <c r="AB19" s="9123">
        <f>IF(F8949ASBOXA&lt;&gt;"",F8949AST,0)</f>
        <v/>
      </c>
      <c r="AC19" s="9123">
        <f>IF(F8949BSBOXA&lt;&gt;"",F8949BST,0)</f>
        <v/>
      </c>
      <c r="AD19" s="9123">
        <f>IF(F8949CSBOXA&lt;&gt;"",F8949CST,0)</f>
        <v/>
      </c>
      <c r="AE19" s="9123">
        <f>IF(F8949DSBOXA&lt;&gt;"",F8949DST,0)</f>
        <v/>
      </c>
      <c r="AF19" s="9123">
        <f>IF(SUM(AB19:AE19)&gt;0,TRUE,FALSE)</f>
        <v/>
      </c>
      <c r="AH19" s="9123">
        <f>IF(F8949ASBOXA&lt;&gt;"",F8949ASTD,0)</f>
        <v/>
      </c>
      <c r="AI19" s="9123">
        <f t="array" ref="AI19">IF(F8949BSBOXA&lt;&gt;"",F8949BSTD,0)</f>
        <v/>
      </c>
      <c r="AJ19" s="9123">
        <f>IF(F8949CSBOXA&lt;&gt;"",F8949CSTD,0)</f>
        <v/>
      </c>
      <c r="AK19" s="9123">
        <f>IF(F8949DSBOXA&lt;&gt;"",F8949DSTD,0)</f>
        <v/>
      </c>
      <c r="AM19" s="9123">
        <f>IF(F8949ASBOXA&lt;&gt;"",F8949ASTE,0)</f>
        <v/>
      </c>
      <c r="AN19" s="9123">
        <f t="array" ref="AN19">IF(F8949BSBOXA&lt;&gt;"",F8949BSTE,0)</f>
        <v/>
      </c>
      <c r="AO19" s="9123">
        <f>IF(F8949CSBOXA&lt;&gt;"",F8949CSTE,0)</f>
        <v/>
      </c>
      <c r="AP19" s="9123">
        <f>IF(F8949DSBOXA&lt;&gt;"",F8949DSTE,0)</f>
        <v/>
      </c>
      <c r="AR19" s="9123">
        <f>IF(F8949ASBOXA&lt;&gt;"",F8949ASTG,0)</f>
        <v/>
      </c>
      <c r="AS19" s="9123">
        <f t="array" ref="AS19">IF(F8949BSBOXA&lt;&gt;"",F8949BSTG,0)</f>
        <v/>
      </c>
      <c r="AT19" s="9123">
        <f>IF(F8949CSBOXA&lt;&gt;"",F8949CSTG,0)</f>
        <v/>
      </c>
      <c r="AU19" s="9123">
        <f>IF(F8949DSBOXA&lt;&gt;"",F8949DSTG,0)</f>
        <v/>
      </c>
      <c r="AW19" s="9123">
        <f>IF(F8949ASBOXA&lt;&gt;"",F8949ASTH,0)</f>
        <v/>
      </c>
      <c r="AX19" s="9123">
        <f t="array" ref="AX19">IF(F8949BSBOXA&lt;&gt;"",F8949BSTH,0)</f>
        <v/>
      </c>
      <c r="AY19" s="9123">
        <f>IF(F8949CSBOXA&lt;&gt;"",F8949CSTH,0)</f>
        <v/>
      </c>
      <c r="AZ19" s="9123">
        <f>IF(F8949DSBOXA&lt;&gt;"",F8949DSTH,0)</f>
        <v/>
      </c>
    </row>
    <row r="20" ht="12" customHeight="1" s="7635">
      <c r="A20" s="5065" t="n"/>
      <c r="B20" s="5123" t="n">
        <v>2</v>
      </c>
      <c r="C20" s="12093" t="inlineStr">
        <is>
          <t xml:space="preserve">Totals for all transactions reported on Form(s) 8949
with Box B or Box H checked  .   .   .   .   .   .   .   .   . </t>
        </is>
      </c>
      <c r="D20" s="7839" t="n"/>
      <c r="E20" s="7839" t="n"/>
      <c r="F20" s="7839" t="n"/>
      <c r="G20" s="7839" t="n"/>
      <c r="H20" s="10091" t="n"/>
      <c r="I20" s="12094" t="n"/>
      <c r="J20" s="10091" t="n"/>
      <c r="K20" s="5133" t="n"/>
      <c r="L20" s="12094" t="n"/>
      <c r="M20" s="7839" t="n"/>
      <c r="N20" s="10091" t="n"/>
      <c r="O20" s="8287">
        <f>IF(AND(AF21,AF27),ROUND(SUM(AW21:AZ21,AW27:AZ27),0),IF(AF21,ROUND(SUM(AW21:AZ21),0),IF(AF27,ROUND(SUM(AW27:AZ27),0),"")))</f>
        <v/>
      </c>
      <c r="Q20" s="8288" t="n"/>
      <c r="R20" s="245" t="n"/>
      <c r="S20" s="290" t="n"/>
      <c r="T20" s="139" t="n"/>
      <c r="U20" s="139" t="n"/>
      <c r="V20" s="5135" t="n"/>
      <c r="W20" s="5136" t="n"/>
      <c r="X20" s="5137" t="n"/>
      <c r="Y20" s="148" t="n"/>
      <c r="AA20" s="688" t="n"/>
    </row>
    <row r="21" ht="13.5" customHeight="1" s="7635">
      <c r="A21" s="5065" t="n"/>
      <c r="B21" s="5138" t="n"/>
      <c r="C21" s="7637" t="n"/>
      <c r="D21" s="7637" t="n"/>
      <c r="E21" s="7637" t="n"/>
      <c r="F21" s="7637" t="n"/>
      <c r="G21" s="7637" t="n"/>
      <c r="H21" s="7638" t="n"/>
      <c r="I21" s="12095">
        <f>IF(V21&lt;&gt;"",ROUND(V21,0),IF(AND($AF21,$AF27),ROUND(SUM(AH21:AK21,AH27:AK27),0),IF($AF21,ROUND(SUM(AH21:AK21),0),IF($AF27,ROUND(SUM(AH27:AK27),0),""))))</f>
        <v/>
      </c>
      <c r="J21" s="7638" t="n"/>
      <c r="K21" s="8302">
        <f>IF(W21&lt;&gt;"",ROUND(W21,0),IF(AND($AF21,$AF27),ROUND(SUM(AM21:AP21,AM27:AP27),0),IF($AF21,ROUND(SUM(AM21:AP21),0),IF($AF27,ROUND(SUM(AM27:AP27),0),""))))</f>
        <v/>
      </c>
      <c r="L21" s="12095">
        <f>IF(X21&lt;&gt;"",ROUND(X21,0),IF(AND($AF21,$AF27),ROUND(SUM(AR21:AU21,AR27:AU27),0),IF($AF21,ROUND(SUM(AR21:AU21),0),IF($AF27,ROUND(SUM(AR27:AU27),0),""))))</f>
        <v/>
      </c>
      <c r="M21" s="7637" t="n"/>
      <c r="N21" s="7638" t="n"/>
      <c r="O21" s="8176">
        <f>IF(AND(I21="",K21="",L21=""),"",IF(AND(W21="",OR(V21&lt;&gt;"",X21&lt;&gt;"")),SUM(I21,L21),IF(OR(V21&lt;&gt;"",W21&lt;&gt;"",X21&lt;&gt;""),SUM(I21,-K21,L21),O20)))</f>
        <v/>
      </c>
      <c r="P21" s="7637" t="n"/>
      <c r="Q21" s="7637" t="n"/>
      <c r="R21" s="245" t="n"/>
      <c r="S21" s="290" t="n"/>
      <c r="T21" s="139" t="n"/>
      <c r="U21" s="139" t="n"/>
      <c r="V21" s="287" t="n"/>
      <c r="W21" s="288" t="n"/>
      <c r="X21" s="8247" t="n"/>
      <c r="Y21" s="148" t="n"/>
      <c r="AA21" s="688" t="inlineStr">
        <is>
          <t>B</t>
        </is>
      </c>
      <c r="AB21" s="9123">
        <f>IF(F8949ASBOXB&lt;&gt;"",F8949AST,0)</f>
        <v/>
      </c>
      <c r="AC21" s="9123">
        <f>IF(F8949BSBOXB&lt;&gt;"",F8949BST,0)</f>
        <v/>
      </c>
      <c r="AD21" s="9123">
        <f>IF(F8949CSBOXB&lt;&gt;"",F8949CST,0)</f>
        <v/>
      </c>
      <c r="AE21" s="9123">
        <f>IF(F8949DSBOXB&lt;&gt;"",F8949DST,0)</f>
        <v/>
      </c>
      <c r="AF21" s="9123">
        <f>IF(SUM(AB21:AE21)&gt;0,TRUE,FALSE)</f>
        <v/>
      </c>
      <c r="AH21" s="9123">
        <f>IF(F8949ASBOXB&lt;&gt;"",F8949ASTD,0)</f>
        <v/>
      </c>
      <c r="AI21" s="9123">
        <f t="array" ref="AI21">IF(F8949BSBOXB&lt;&gt;"",F8949BSTD,0)</f>
        <v/>
      </c>
      <c r="AJ21" s="9123">
        <f>IF(F8949CSBOXB&lt;&gt;"",F8949CSTD,0)</f>
        <v/>
      </c>
      <c r="AK21" s="9123">
        <f>IF(F8949DSBOXB&lt;&gt;"",F8949DSTD,0)</f>
        <v/>
      </c>
      <c r="AM21" s="9123">
        <f>IF(F8949ASBOXB&lt;&gt;"",F8949ASTE,0)</f>
        <v/>
      </c>
      <c r="AN21" s="9123">
        <f t="array" ref="AN21">IF(F8949BSBOXB&lt;&gt;"",F8949BSTE,0)</f>
        <v/>
      </c>
      <c r="AO21" s="9123">
        <f>IF(F8949CSBOXB&lt;&gt;"",F8949CSTE,0)</f>
        <v/>
      </c>
      <c r="AP21" s="9123">
        <f>IF(F8949DSBOXB&lt;&gt;"",F8949DSTE,0)</f>
        <v/>
      </c>
      <c r="AR21" s="9123">
        <f>IF(F8949ASBOXB&lt;&gt;"",F8949ASTG,0)</f>
        <v/>
      </c>
      <c r="AS21" s="9123">
        <f t="array" ref="AS21">IF(F8949BSBOXB&lt;&gt;"",F8949BSTG,0)</f>
        <v/>
      </c>
      <c r="AT21" s="9123">
        <f>IF(F8949CSBOXB&lt;&gt;"",F8949CSTG,0)</f>
        <v/>
      </c>
      <c r="AU21" s="9123">
        <f>IF(F8949DSBOXB&lt;&gt;"",F8949DSTG,0)</f>
        <v/>
      </c>
      <c r="AW21" s="9123">
        <f>IF(F8949ASBOXB&lt;&gt;"",F8949ASTH,0)</f>
        <v/>
      </c>
      <c r="AX21" s="9123">
        <f t="array" ref="AX21">IF(F8949BSBOXB&lt;&gt;"",F8949BSTH,0)</f>
        <v/>
      </c>
      <c r="AY21" s="9123">
        <f>IF(F8949CSBOXB&lt;&gt;"",F8949CSTH,0)</f>
        <v/>
      </c>
      <c r="AZ21" s="9123">
        <f>IF(F8949DSBOXB&lt;&gt;"",F8949DSTH,0)</f>
        <v/>
      </c>
    </row>
    <row r="22" ht="13.5" customHeight="1" s="7635">
      <c r="A22" s="5065" t="n"/>
      <c r="B22" s="5123" t="n">
        <v>3</v>
      </c>
      <c r="C22" s="12096" t="inlineStr">
        <is>
          <t xml:space="preserve">Totals for all transactions reported on Form(s) 8949
with Box C or Box I checked  .   .   .   .   .   .   .   .   . </t>
        </is>
      </c>
      <c r="D22" s="7839" t="n"/>
      <c r="E22" s="7839" t="n"/>
      <c r="F22" s="7839" t="n"/>
      <c r="G22" s="7839" t="n"/>
      <c r="H22" s="10091" t="n"/>
      <c r="I22" s="12094" t="n"/>
      <c r="J22" s="10091" t="n"/>
      <c r="K22" s="5133" t="n"/>
      <c r="L22" s="12094" t="n"/>
      <c r="M22" s="7839" t="n"/>
      <c r="N22" s="10091" t="n"/>
      <c r="O22" s="8287">
        <f>IF(AND(AF23,AF29),ROUND(SUM(AW23:AZ23,AW29:AZ29),0),IF(AF23,ROUND(SUM(AW23:AZ23),0),IF(AF29,ROUND(SUM(AW29:AZ29),0),"")))</f>
        <v/>
      </c>
      <c r="Q22" s="8288" t="n"/>
      <c r="R22" s="245" t="n"/>
      <c r="S22" s="290" t="n"/>
      <c r="T22" s="139" t="n"/>
      <c r="U22" s="139" t="n"/>
      <c r="V22" s="5135" t="n"/>
      <c r="W22" s="5136" t="n"/>
      <c r="X22" s="5137" t="n"/>
      <c r="Y22" s="148" t="n"/>
      <c r="AA22" s="688" t="n"/>
    </row>
    <row r="23" ht="12.75" customHeight="1" s="7635">
      <c r="A23" s="5065" t="n"/>
      <c r="B23" s="5138" t="n"/>
      <c r="C23" s="7637" t="n"/>
      <c r="D23" s="7637" t="n"/>
      <c r="E23" s="7637" t="n"/>
      <c r="F23" s="7637" t="n"/>
      <c r="G23" s="7637" t="n"/>
      <c r="H23" s="7638" t="n"/>
      <c r="I23" s="12095">
        <f>IF(V23&lt;&gt;"",ROUND(V23,0),IF(AND($AF23,$AF29),ROUND(SUM(AH23:AK23,AH29:AK29),0),IF($AF23,ROUND(SUM(AH23:AK23),0),IF($AF29,ROUND(SUM(AH29:AK29),0),""))))</f>
        <v/>
      </c>
      <c r="J23" s="7638" t="n"/>
      <c r="K23" s="8302">
        <f>IF(W23&lt;&gt;"",ROUND(W23,0),IF(AND($AF23,$AF29),ROUND(SUM(AM23:AP23,AM29:AP29),0),IF($AF23,ROUND(SUM(AM23:AP23),0),IF($AF29,ROUND(SUM(AM29:AP29),0),""))))</f>
        <v/>
      </c>
      <c r="L23" s="12095">
        <f>IF(X23&lt;&gt;"",ROUND(X23,0),IF(AND($AF23,$AF29),ROUND(SUM(AR23:AU23,AR29:AU29),0),IF($AF23,ROUND(SUM(AR23:AU23),0),IF($AF29,ROUND(SUM(AR29:AU29),0),""))))</f>
        <v/>
      </c>
      <c r="M23" s="7637" t="n"/>
      <c r="N23" s="7638" t="n"/>
      <c r="O23" s="8176">
        <f>IF(AND(I23="",K23="",L23=""),"",IF(AND(W23="",OR(V23&lt;&gt;"",X23&lt;&gt;"")),SUM(I23,L23),IF(OR(V23&lt;&gt;"",W23&lt;&gt;"",X23&lt;&gt;""),SUM(I23,-K23,L23),O22)))</f>
        <v/>
      </c>
      <c r="P23" s="7637" t="n"/>
      <c r="Q23" s="7637" t="n"/>
      <c r="R23" s="245" t="n"/>
      <c r="S23" s="290" t="n"/>
      <c r="T23" s="139" t="n"/>
      <c r="U23" s="139" t="n"/>
      <c r="V23" s="287" t="n"/>
      <c r="W23" s="288" t="n"/>
      <c r="X23" s="8247" t="n"/>
      <c r="Y23" s="148" t="n"/>
      <c r="AA23" s="688" t="inlineStr">
        <is>
          <t>C</t>
        </is>
      </c>
      <c r="AB23" s="9123">
        <f>IF(F8949ASBOXC&lt;&gt;"",F8949AST,0)</f>
        <v/>
      </c>
      <c r="AC23" s="9123">
        <f>IF(F8949BSBOXC&lt;&gt;"",F8949BST,0)</f>
        <v/>
      </c>
      <c r="AD23" s="9123">
        <f>IF(F8949CSBOXC&lt;&gt;"",F8949CST,0)</f>
        <v/>
      </c>
      <c r="AE23" s="9123">
        <f>IF(F8949DSBOXC&lt;&gt;"",F8949DST,0)</f>
        <v/>
      </c>
      <c r="AF23" s="9123">
        <f>IF(SUM(AB23:AE23)&gt;0,TRUE,FALSE)</f>
        <v/>
      </c>
      <c r="AH23" s="9123">
        <f>IF(F8949ASBOXC&lt;&gt;"",F8949ASTD,0)</f>
        <v/>
      </c>
      <c r="AI23" s="9123">
        <f t="array" ref="AI23">IF(F8949BSBOXC&lt;&gt;"",F8949BSTD,0)</f>
        <v/>
      </c>
      <c r="AJ23" s="9123">
        <f>IF(F8949CSBOXC&lt;&gt;"",F8949CSTD,0)</f>
        <v/>
      </c>
      <c r="AK23" s="9123">
        <f>IF(F8949DSBOXC&lt;&gt;"",F8949DSTD,0)</f>
        <v/>
      </c>
      <c r="AM23" s="9123">
        <f>IF(F8949ASBOXC&lt;&gt;"",F8949ASTE,0)</f>
        <v/>
      </c>
      <c r="AN23" s="9123">
        <f t="array" ref="AN23">IF(F8949BSBOXC&lt;&gt;"",F8949BSTE,0)</f>
        <v/>
      </c>
      <c r="AO23" s="9123">
        <f>IF(F8949CSBOXC&lt;&gt;"",F8949CSTE,0)</f>
        <v/>
      </c>
      <c r="AP23" s="9123">
        <f>IF(F8949DSBOXC&lt;&gt;"",F8949DSTE,0)</f>
        <v/>
      </c>
      <c r="AR23" s="9123">
        <f>IF(F8949ASBOXC&lt;&gt;"",F8949ASTG,0)</f>
        <v/>
      </c>
      <c r="AS23" s="9123">
        <f t="array" ref="AS23">IF(F8949BSBOXC&lt;&gt;"",F8949BSTG,0)</f>
        <v/>
      </c>
      <c r="AT23" s="9123">
        <f>IF(F8949CSBOXC&lt;&gt;"",F8949CSTG,0)</f>
        <v/>
      </c>
      <c r="AU23" s="9123">
        <f>IF(F8949DSBOXC&lt;&gt;"",F8949DSTG,0)</f>
        <v/>
      </c>
      <c r="AW23" s="9123">
        <f>IF(F8949ASBOXC&lt;&gt;"",F8949ASTH,0)</f>
        <v/>
      </c>
      <c r="AX23" s="9123">
        <f t="array" ref="AX23">IF(F8949BSBOXC&lt;&gt;"",F8949BSTH,0)</f>
        <v/>
      </c>
      <c r="AY23" s="9123">
        <f>IF(F8949CSBOXC&lt;&gt;"",F8949CSTH,0)</f>
        <v/>
      </c>
      <c r="AZ23" s="9123">
        <f>IF(F8949DSBOXC&lt;&gt;"",F8949DSTH,0)</f>
        <v/>
      </c>
    </row>
    <row r="24" ht="15.75" customHeight="1" s="7635">
      <c r="A24" s="5065" t="n"/>
      <c r="B24" s="3676">
        <f>"4"</f>
        <v/>
      </c>
      <c r="C24" s="3626" t="inlineStr">
        <is>
          <t>Short-term gain from Form 6252, and short-term gain or (loss) from Forms 4684, 6781, and 8824  .   .   .   .</t>
        </is>
      </c>
      <c r="D24" s="8665" t="n"/>
      <c r="E24" s="8665" t="n"/>
      <c r="F24" s="8665" t="n"/>
      <c r="G24" s="8665" t="n"/>
      <c r="H24" s="5140" t="n"/>
      <c r="I24" s="2755" t="n"/>
      <c r="J24" s="2755" t="n"/>
      <c r="K24" s="2755" t="n"/>
      <c r="L24" s="8374" t="n"/>
      <c r="M24" s="8374" t="n"/>
      <c r="N24" s="2773">
        <f>B24</f>
        <v/>
      </c>
      <c r="O24" s="8169" t="n"/>
      <c r="P24" s="11717" t="n"/>
      <c r="Q24" s="11717" t="n"/>
      <c r="R24" s="245" t="n"/>
      <c r="S24" s="290" t="n"/>
      <c r="T24" s="139" t="n"/>
      <c r="U24" s="139" t="n"/>
      <c r="V24" s="139" t="n"/>
      <c r="W24" s="139" t="n"/>
      <c r="X24" s="139" t="n"/>
      <c r="Y24" s="148" t="n"/>
    </row>
    <row r="25">
      <c r="A25" s="5065" t="n"/>
      <c r="B25" s="8374">
        <f>"5"</f>
        <v/>
      </c>
      <c r="C25" s="8647" t="inlineStr">
        <is>
          <t>Net short-term gain (loss) from partnerships, S corporations, estates, and trusts from Schedules K-1</t>
        </is>
      </c>
      <c r="D25" s="8665" t="n"/>
      <c r="E25" s="8665" t="n"/>
      <c r="F25" s="8665" t="n"/>
      <c r="G25" s="8665" t="n"/>
      <c r="H25" s="5140" t="n"/>
      <c r="I25" s="2755" t="n"/>
      <c r="J25" s="2755" t="n"/>
      <c r="K25" s="2755" t="n"/>
      <c r="L25" s="8374" t="n"/>
      <c r="M25" s="8374" t="n"/>
      <c r="N25" s="2773" t="n">
        <v>5</v>
      </c>
      <c r="O25" s="8169" t="n"/>
      <c r="P25" s="11717" t="n"/>
      <c r="Q25" s="11717" t="n"/>
      <c r="R25" s="246" t="n"/>
      <c r="S25" s="291" t="n"/>
      <c r="T25" s="5141" t="n"/>
      <c r="U25" s="139" t="n"/>
      <c r="V25" s="8349">
        <f>IF(AND(T27&lt;&gt;"",T27&gt;0),"This positive amount is being used as a negative amount.","")</f>
        <v/>
      </c>
      <c r="W25" s="8648" t="n"/>
      <c r="X25" s="8648" t="n"/>
      <c r="Y25" s="8648" t="n"/>
      <c r="AA25" s="688" t="inlineStr">
        <is>
          <t>G</t>
        </is>
      </c>
      <c r="AB25" s="9123">
        <f>IF(F8949ASBOXG&lt;&gt;"",F8949AST,0)</f>
        <v/>
      </c>
      <c r="AC25" s="9123">
        <f>IF(F8949BSBOXG&lt;&gt;"",F8949BST,0)</f>
        <v/>
      </c>
      <c r="AD25" s="9123">
        <f>IF(F8949CSBOXG&lt;&gt;"",F8949CST,0)</f>
        <v/>
      </c>
      <c r="AE25" s="9123">
        <f>IF(F8949DSBOXG&lt;&gt;"",F8949DST,0)</f>
        <v/>
      </c>
      <c r="AF25" s="9123">
        <f>IF(SUM(AB25:AE25)&gt;0,TRUE,FALSE)</f>
        <v/>
      </c>
      <c r="AH25" s="9123">
        <f>IF(F8949ASBOXG&lt;&gt;"",F8949ASTD,0)</f>
        <v/>
      </c>
      <c r="AI25" s="9123">
        <f t="array" ref="AI25">IF(F8949BSBOXG&lt;&gt;"",F8949BSTD,0)</f>
        <v/>
      </c>
      <c r="AJ25" s="9123">
        <f>IF(F8949CSBOXG&lt;&gt;"",F8949CSTD,0)</f>
        <v/>
      </c>
      <c r="AK25" s="9123">
        <f>IF(F8949DSBOXG&lt;&gt;"",F8949DSTD,0)</f>
        <v/>
      </c>
      <c r="AM25" s="9123">
        <f>IF(F8949ASBOXG&lt;&gt;"",F8949ASTE,0)</f>
        <v/>
      </c>
      <c r="AN25" s="9123">
        <f t="array" ref="AN25">IF(F8949BSBOXG&lt;&gt;"",F8949BSTE,0)</f>
        <v/>
      </c>
      <c r="AO25" s="9123">
        <f>IF(F8949CSBOXG&lt;&gt;"",F8949CSTE,0)</f>
        <v/>
      </c>
      <c r="AP25" s="9123">
        <f>IF(F8949DSBOXG&lt;&gt;"",F8949DSTE,0)</f>
        <v/>
      </c>
      <c r="AR25" s="9123">
        <f>IF(F8949ASBOXG&lt;&gt;"",F8949ASTG,0)</f>
        <v/>
      </c>
      <c r="AS25" s="9123">
        <f t="array" ref="AS25">IF(F8949BSBOXG&lt;&gt;"",F8949BSTG,0)</f>
        <v/>
      </c>
      <c r="AT25" s="9123">
        <f>IF(F8949CSBOXG&lt;&gt;"",F8949CSTG,0)</f>
        <v/>
      </c>
      <c r="AU25" s="9123">
        <f>IF(F8949DSBOXG&lt;&gt;"",F8949DSTG,0)</f>
        <v/>
      </c>
      <c r="AW25" s="9123">
        <f>IF(F8949ASBOXG&lt;&gt;"",F8949ASTH,0)</f>
        <v/>
      </c>
      <c r="AX25" s="9123">
        <f t="array" ref="AX25">IF(F8949BSBOXG&lt;&gt;"",F8949BSTH,0)</f>
        <v/>
      </c>
      <c r="AY25" s="9123">
        <f>IF(F8949CSBOXG&lt;&gt;"",F8949CSTH,0)</f>
        <v/>
      </c>
      <c r="AZ25" s="9123">
        <f>IF(F8949DSBOXG&lt;&gt;"",F8949DSTH,0)</f>
        <v/>
      </c>
    </row>
    <row r="26" ht="12.75" customHeight="1" s="7635">
      <c r="A26" s="5065" t="n"/>
      <c r="B26" s="8374">
        <f>"6"</f>
        <v/>
      </c>
      <c r="C26" s="8647" t="inlineStr">
        <is>
          <t>Short-term capital loss carryover. Enter the amount, if any, from line 8 of your Capital Loss</t>
        </is>
      </c>
      <c r="D26" s="8665" t="n"/>
      <c r="E26" s="8665" t="n"/>
      <c r="F26" s="8665" t="n"/>
      <c r="G26" s="8665" t="n"/>
      <c r="H26" s="5140" t="n"/>
      <c r="I26" s="5140" t="n"/>
      <c r="J26" s="5140" t="n"/>
      <c r="K26" s="2755" t="n"/>
      <c r="L26" s="2756" t="n"/>
      <c r="M26" s="2756" t="n"/>
      <c r="N26" s="5142" t="n"/>
      <c r="O26" s="5143" t="n"/>
      <c r="P26" s="5144">
        <f>IF(P27="",0,-P27)</f>
        <v/>
      </c>
      <c r="Q26" s="10557" t="n"/>
      <c r="R26" s="5145" t="n"/>
      <c r="S26" s="5146" t="n"/>
      <c r="T26" s="5141" t="n"/>
      <c r="U26" s="139" t="n"/>
      <c r="W26" s="8648" t="n"/>
      <c r="X26" s="8648" t="n"/>
      <c r="Y26" s="8648" t="n"/>
      <c r="AA26" s="688" t="n"/>
    </row>
    <row r="27">
      <c r="A27" s="5065" t="n"/>
      <c r="B27" s="3097" t="n"/>
      <c r="C27" s="3097" t="inlineStr">
        <is>
          <t>Carryover Worksheet in the instructions</t>
        </is>
      </c>
      <c r="D27" s="3097" t="n"/>
      <c r="E27" s="3097" t="n"/>
      <c r="F27" s="8647" t="n"/>
      <c r="G27" s="8647" t="n"/>
      <c r="H27" s="5140" t="n"/>
      <c r="I27" s="5140" t="n"/>
      <c r="J27" s="5140" t="n"/>
      <c r="K27" s="2755" t="n"/>
      <c r="L27" s="8374" t="n"/>
      <c r="M27" s="8374" t="inlineStr">
        <is>
          <t xml:space="preserve">.   .   .   .   .   .   .   .   .   .   .   .   .   .   .   .   .   .   .   .   .   .   . </t>
        </is>
      </c>
      <c r="N27" s="2773">
        <f>B26</f>
        <v/>
      </c>
      <c r="O27" s="5147" t="inlineStr">
        <is>
          <t>(</t>
        </is>
      </c>
      <c r="P27" s="8177">
        <f>IF(AND(T27&lt;&gt;"",T27&gt;=0),ROUND(T27,0),IF(T27&lt;&gt;"",-ROUND(T27,0),IF('Sch. D WS'!R26="","",'Sch. D WS'!R26)))</f>
        <v/>
      </c>
      <c r="Q27" s="5148" t="inlineStr">
        <is>
          <t>)</t>
        </is>
      </c>
      <c r="R27" s="5145" t="n"/>
      <c r="S27" s="5146" t="n"/>
      <c r="T27" s="803" t="n"/>
      <c r="U27" s="139" t="n"/>
      <c r="W27" s="8648" t="n"/>
      <c r="X27" s="8648" t="n"/>
      <c r="Y27" s="8648" t="n"/>
      <c r="AA27" s="688" t="inlineStr">
        <is>
          <t>H</t>
        </is>
      </c>
      <c r="AB27" s="9123">
        <f>IF(F8949ASBOXH&lt;&gt;"",F8949AST,0)</f>
        <v/>
      </c>
      <c r="AC27" s="9123">
        <f>IF(F8949BSBOXH&lt;&gt;"",F8949BST,0)</f>
        <v/>
      </c>
      <c r="AD27" s="9123">
        <f>IF(F8949CSBOXH&lt;&gt;"",F8949CST,0)</f>
        <v/>
      </c>
      <c r="AE27" s="9123">
        <f>IF(F8949DSBOXH&lt;&gt;"",F8949DST,0)</f>
        <v/>
      </c>
      <c r="AF27" s="9123">
        <f>IF(SUM(AB27:AE27)&gt;0,TRUE,FALSE)</f>
        <v/>
      </c>
      <c r="AH27" s="9123">
        <f>IF(F8949ASBOXH&lt;&gt;"",F8949ASTD,0)</f>
        <v/>
      </c>
      <c r="AI27" s="9123">
        <f t="array" ref="AI27">IF(F8949BSBOXH&lt;&gt;"",F8949BSTD,0)</f>
        <v/>
      </c>
      <c r="AJ27" s="9123">
        <f>IF(F8949CSBOXH&lt;&gt;"",F8949CSTD,0)</f>
        <v/>
      </c>
      <c r="AK27" s="9123">
        <f>IF(F8949DSBOXH&lt;&gt;"",F8949DSTD,0)</f>
        <v/>
      </c>
      <c r="AM27" s="9123">
        <f>IF(F8949ASBOXH&lt;&gt;"",F8949ASTE,0)</f>
        <v/>
      </c>
      <c r="AN27" s="9123">
        <f t="array" ref="AN27">IF(F8949BSBOXH&lt;&gt;"",F8949BSTE,0)</f>
        <v/>
      </c>
      <c r="AO27" s="9123">
        <f>IF(F8949CSBOXH&lt;&gt;"",F8949CSTE,0)</f>
        <v/>
      </c>
      <c r="AP27" s="9123">
        <f>IF(F8949DSBOXH&lt;&gt;"",F8949DSTE,0)</f>
        <v/>
      </c>
      <c r="AR27" s="9123">
        <f>IF(F8949ASBOXH&lt;&gt;"",F8949ASTG,0)</f>
        <v/>
      </c>
      <c r="AS27" s="9123">
        <f t="array" ref="AS27">IF(F8949BSBOXH&lt;&gt;"",F8949BSTG,0)</f>
        <v/>
      </c>
      <c r="AT27" s="9123">
        <f>IF(F8949CSBOXH&lt;&gt;"",F8949CSTG,0)</f>
        <v/>
      </c>
      <c r="AU27" s="9123">
        <f>IF(F8949DSBOXH&lt;&gt;"",F8949DSTG,0)</f>
        <v/>
      </c>
      <c r="AW27" s="9123">
        <f>IF(F8949ASBOXH&lt;&gt;"",F8949ASTH,0)</f>
        <v/>
      </c>
      <c r="AX27" s="9123">
        <f t="array" ref="AX27">IF(F8949BSBOXH&lt;&gt;"",F8949BSTH,0)</f>
        <v/>
      </c>
      <c r="AY27" s="9123">
        <f>IF(F8949CSBOXH&lt;&gt;"",F8949CSTH,0)</f>
        <v/>
      </c>
      <c r="AZ27" s="9123">
        <f>IF(F8949DSBOXH&lt;&gt;"",F8949DSTH,0)</f>
        <v/>
      </c>
    </row>
    <row r="28" ht="13.5" customHeight="1" s="7635">
      <c r="A28" s="5065" t="n"/>
      <c r="B28" s="5149" t="n">
        <v>7</v>
      </c>
      <c r="C28" s="5150" t="inlineStr">
        <is>
          <t>Net short-term capital gain or (loss). Combine lines 1a through 6 in column (h). If you have any</t>
        </is>
      </c>
      <c r="D28" s="979" t="n"/>
      <c r="E28" s="979" t="n"/>
      <c r="F28" s="979" t="n"/>
      <c r="G28" s="979" t="n"/>
      <c r="H28" s="979" t="n"/>
      <c r="I28" s="979" t="n"/>
      <c r="J28" s="979" t="n"/>
      <c r="K28" s="979" t="n"/>
      <c r="L28" s="979" t="n"/>
      <c r="M28" s="567" t="n"/>
      <c r="N28" s="8679" t="n"/>
      <c r="O28" s="8334" t="n"/>
      <c r="P28" s="7839" t="n"/>
      <c r="Q28" s="9664" t="n"/>
      <c r="R28" s="5151" t="n"/>
      <c r="S28" s="5152" t="n"/>
      <c r="T28" s="5153" t="n"/>
      <c r="U28" s="139" t="n"/>
      <c r="W28" s="8648" t="n"/>
      <c r="X28" s="8648" t="n"/>
      <c r="Y28" s="8648" t="n"/>
      <c r="AA28" s="688" t="n"/>
    </row>
    <row r="29" ht="13.5" customHeight="1" s="7635" thickBot="1">
      <c r="A29" s="5065" t="n"/>
      <c r="B29" s="5154" t="n"/>
      <c r="C29" s="981" t="inlineStr">
        <is>
          <t>long-term capital gains or losses, go to Part II below. Otherwise, go to Part III on the back</t>
        </is>
      </c>
      <c r="D29" s="981" t="n"/>
      <c r="E29" s="981" t="n"/>
      <c r="F29" s="981" t="n"/>
      <c r="G29" s="981" t="n"/>
      <c r="H29" s="981" t="n"/>
      <c r="I29" s="981" t="n"/>
      <c r="J29" s="981" t="n"/>
      <c r="K29" s="981" t="n"/>
      <c r="L29" s="981" t="n"/>
      <c r="M29" s="10736" t="n"/>
      <c r="N29" s="3742">
        <f>B28</f>
        <v/>
      </c>
      <c r="O29" s="8216">
        <f>IF(T29&lt;&gt;"",T29,IF(AND(O17="",O19="",O21="",O23="",O24="",O25="",OR(P26=0,P26="")),"",SUM(O17,O19,O21,O23,O24,O25,P26)))</f>
        <v/>
      </c>
      <c r="P29" s="8848" t="n"/>
      <c r="Q29" s="8848" t="n"/>
      <c r="R29" s="5151" t="n"/>
      <c r="S29" s="5152" t="n"/>
      <c r="T29" s="803" t="n"/>
      <c r="U29" s="139" t="n"/>
      <c r="V29" s="8648" t="n"/>
      <c r="W29" s="8648" t="n"/>
      <c r="X29" s="8648" t="n"/>
      <c r="Y29" s="8648" t="n"/>
      <c r="AA29" s="688" t="inlineStr">
        <is>
          <t>I</t>
        </is>
      </c>
      <c r="AB29" s="9123">
        <f>IF(F8949ASBOXI&lt;&gt;"",F8949AST,0)</f>
        <v/>
      </c>
      <c r="AC29" s="9123">
        <f>IF(F8949BSBOXI&lt;&gt;"",F8949BST,0)</f>
        <v/>
      </c>
      <c r="AD29" s="9123">
        <f>IF(F8949CSBOXI&lt;&gt;"",F8949CST,0)</f>
        <v/>
      </c>
      <c r="AE29" s="9123">
        <f>IF(F8949DSBOXI&lt;&gt;"",F8949DST,0)</f>
        <v/>
      </c>
      <c r="AF29" s="9123">
        <f>IF(SUM(AB29:AE29)&gt;0,TRUE,FALSE)</f>
        <v/>
      </c>
      <c r="AH29" s="9123">
        <f>IF(F8949ASBOXI&lt;&gt;"",F8949ASTD,0)</f>
        <v/>
      </c>
      <c r="AI29" s="9123">
        <f t="array" ref="AI29">IF(F8949BSBOXI&lt;&gt;"",F8949BSTD,0)</f>
        <v/>
      </c>
      <c r="AJ29" s="9123">
        <f>IF(F8949CSBOXI&lt;&gt;"",F8949CSTD,0)</f>
        <v/>
      </c>
      <c r="AK29" s="9123">
        <f>IF(F8949DSBOXI&lt;&gt;"",F8949DSTD,0)</f>
        <v/>
      </c>
      <c r="AM29" s="9123">
        <f>IF(F8949ASBOXI&lt;&gt;"",F8949ASTE,0)</f>
        <v/>
      </c>
      <c r="AN29" s="9123">
        <f t="array" ref="AN29">IF(F8949BSBOXI&lt;&gt;"",F8949BSTE,0)</f>
        <v/>
      </c>
      <c r="AO29" s="9123">
        <f>IF(F8949CSBOXI&lt;&gt;"",F8949CSTE,0)</f>
        <v/>
      </c>
      <c r="AP29" s="9123">
        <f>IF(F8949DSBOXI&lt;&gt;"",F8949DSTE,0)</f>
        <v/>
      </c>
      <c r="AR29" s="9123">
        <f>IF(F8949ASBOXI&lt;&gt;"",F8949ASTG,0)</f>
        <v/>
      </c>
      <c r="AS29" s="9123">
        <f t="array" ref="AS29">IF(F8949BSBOXI&lt;&gt;"",F8949BSTG,0)</f>
        <v/>
      </c>
      <c r="AT29" s="9123">
        <f>IF(F8949CSBOXI&lt;&gt;"",F8949CSTG,0)</f>
        <v/>
      </c>
      <c r="AU29" s="9123">
        <f>IF(F8949DSBOXI&gt;"",F8949DSTG,0)</f>
        <v/>
      </c>
      <c r="AW29" s="9123">
        <f>IF(F8949ASBOXI&lt;&gt;"",F8949ASTH,0)</f>
        <v/>
      </c>
      <c r="AX29" s="9123">
        <f t="array" ref="AX29">IF(F8949BSBOXI&lt;&gt;"",F8949BSTH,0)</f>
        <v/>
      </c>
      <c r="AY29" s="9123">
        <f>IF(F8949CSBOXI&lt;&gt;"",F8949CSTH,0)</f>
        <v/>
      </c>
      <c r="AZ29" s="9123">
        <f>IF(F8949DSBOXI&lt;&gt;"",F8949DSTH,0)</f>
        <v/>
      </c>
    </row>
    <row r="30" ht="13.5" customHeight="1" s="7635">
      <c r="A30" s="5065" t="n"/>
      <c r="B30" s="8278" t="inlineStr">
        <is>
          <t>Part II</t>
        </is>
      </c>
      <c r="C30" s="12097" t="n"/>
      <c r="D30" s="12097" t="n"/>
      <c r="E30" s="5108" t="inlineStr">
        <is>
          <t>Long-Term Capital Gains and Losses  –  Generally Assets Held More Than One Year</t>
        </is>
      </c>
      <c r="F30" s="5109" t="n"/>
      <c r="G30" s="5109" t="n"/>
      <c r="H30" s="3565" t="n"/>
      <c r="I30" s="5108" t="n"/>
      <c r="J30" s="5111" t="n"/>
      <c r="K30" s="5109" t="n"/>
      <c r="L30" s="5155" t="n"/>
      <c r="M30" s="5155" t="n"/>
      <c r="N30" s="5156" t="n"/>
      <c r="O30" s="5113" t="n"/>
      <c r="P30" s="5114" t="inlineStr">
        <is>
          <t>(see instructions)</t>
        </is>
      </c>
      <c r="Q30" s="5114" t="n"/>
      <c r="R30" s="3298" t="n"/>
      <c r="S30" s="5157" t="n"/>
      <c r="T30" s="139" t="n"/>
      <c r="U30" s="139" t="n"/>
      <c r="V30" s="139" t="n"/>
      <c r="W30" s="139" t="n"/>
      <c r="X30" s="139" t="n"/>
      <c r="Y30" s="139" t="n"/>
    </row>
    <row r="31" ht="19.5" customHeight="1" s="7635">
      <c r="A31" s="5065" t="n"/>
      <c r="B31" s="12087" t="inlineStr">
        <is>
          <t>See instructions for how to figure the amounts to enter on 
the lines below.  
This form may be easier to complete if you round off cents to whole dollars.</t>
        </is>
      </c>
      <c r="C31" s="7839" t="n"/>
      <c r="D31" s="7839" t="n"/>
      <c r="E31" s="7839" t="n"/>
      <c r="F31" s="7839" t="n"/>
      <c r="G31" s="7839" t="n"/>
      <c r="H31" s="10091" t="n"/>
      <c r="I31" s="12098" t="inlineStr">
        <is>
          <t>(d)
Proceeds 
(sales price)</t>
        </is>
      </c>
      <c r="J31" s="10091" t="n"/>
      <c r="K31" s="12099" t="inlineStr">
        <is>
          <t>(e)
Cost
(or other basis)</t>
        </is>
      </c>
      <c r="L31" s="12089" t="inlineStr">
        <is>
          <t>(g)
Adjustments
to gain or loss from
Form(s) 8949, Part II,
line 2, column (g)</t>
        </is>
      </c>
      <c r="M31" s="7839" t="n"/>
      <c r="N31" s="10091" t="n"/>
      <c r="O31" s="12090" t="inlineStr">
        <is>
          <t>(h) Gain or (loss) 
Subtract column (e) 
from column (d) and 
combine the result 
with column (g)</t>
        </is>
      </c>
      <c r="P31" s="7839" t="n"/>
      <c r="Q31" s="7839" t="n"/>
      <c r="R31" s="5117" t="n"/>
      <c r="S31" s="5118" t="n"/>
      <c r="T31" s="139" t="n"/>
      <c r="U31" s="139" t="n"/>
      <c r="V31" s="12088" t="inlineStr">
        <is>
          <t>(d)
Proceeds
(sales price)</t>
        </is>
      </c>
      <c r="W31" s="12091" t="inlineStr">
        <is>
          <t>(e)
Cost
(or other basis)</t>
        </is>
      </c>
      <c r="X31" s="12089" t="inlineStr">
        <is>
          <t>(g)
Adjustments to
gain or loss from
Form(s) 8949, Part II,
line 2, column (g)</t>
        </is>
      </c>
      <c r="Y31" s="148" t="n"/>
    </row>
    <row r="32" ht="16.5" customHeight="1" s="7635">
      <c r="A32" s="5065" t="n"/>
      <c r="H32" s="7636" t="n"/>
      <c r="I32" s="4772" t="n"/>
      <c r="J32" s="7636" t="n"/>
      <c r="K32" s="11747" t="n"/>
      <c r="L32" s="4772" t="n"/>
      <c r="N32" s="7636" t="n"/>
      <c r="O32" s="4772" t="n"/>
      <c r="R32" s="5119" t="n"/>
      <c r="S32" s="5120" t="n"/>
      <c r="T32" s="148" t="inlineStr">
        <is>
          <t>Override  è</t>
        </is>
      </c>
      <c r="U32" s="139" t="n"/>
      <c r="V32" s="11747" t="n"/>
      <c r="W32" s="11747" t="n"/>
      <c r="X32" s="11747" t="n"/>
      <c r="Y32" s="148" t="n"/>
    </row>
    <row r="33" ht="16.5" customHeight="1" s="7635">
      <c r="A33" s="5065" t="n"/>
      <c r="B33" s="7637" t="n"/>
      <c r="C33" s="7637" t="n"/>
      <c r="D33" s="7637" t="n"/>
      <c r="E33" s="7637" t="n"/>
      <c r="F33" s="7637" t="n"/>
      <c r="G33" s="7637" t="n"/>
      <c r="H33" s="7638" t="n"/>
      <c r="I33" s="3614" t="n"/>
      <c r="J33" s="7638" t="n"/>
      <c r="K33" s="11934" t="n"/>
      <c r="L33" s="3614" t="n"/>
      <c r="M33" s="7637" t="n"/>
      <c r="N33" s="7638" t="n"/>
      <c r="O33" s="3614" t="n"/>
      <c r="P33" s="7637" t="n"/>
      <c r="Q33" s="7637" t="n"/>
      <c r="R33" s="5121" t="n"/>
      <c r="S33" s="5122" t="n"/>
      <c r="T33" s="139" t="n"/>
      <c r="U33" s="139" t="n"/>
      <c r="V33" s="11934" t="n"/>
      <c r="W33" s="11934" t="n"/>
      <c r="X33" s="11934" t="n"/>
      <c r="Y33" s="148" t="n"/>
    </row>
    <row r="34" ht="16.5" customHeight="1" s="7635">
      <c r="A34" s="5065" t="n"/>
      <c r="B34" s="5123" t="inlineStr">
        <is>
          <t>8a</t>
        </is>
      </c>
      <c r="C34" s="12100" t="inlineStr">
        <is>
          <t>Totals for all long-term transactions reported on Form 
1099-B for which basis was reported to the IRS and for 
which you have no adjustments (see instructions). 
However, if you choose to report all these transactions 
on Form 8949, leave this line blank and go to line 8b.</t>
        </is>
      </c>
      <c r="D34" s="7839" t="n"/>
      <c r="E34" s="7839" t="n"/>
      <c r="F34" s="7839" t="n"/>
      <c r="G34" s="7839" t="n"/>
      <c r="H34" s="10091" t="n"/>
      <c r="I34" s="7956" t="n"/>
      <c r="J34" s="7958" t="n"/>
      <c r="K34" s="5124" t="n"/>
      <c r="L34" s="5125" t="n"/>
      <c r="M34" s="5126" t="n"/>
      <c r="N34" s="5127" t="n"/>
      <c r="O34" s="5128" t="n"/>
      <c r="P34" s="322" t="n"/>
      <c r="Q34" s="322" t="n"/>
      <c r="R34" s="5121" t="n"/>
      <c r="S34" s="5122" t="n"/>
      <c r="T34" s="139" t="n"/>
      <c r="U34" s="139" t="n"/>
      <c r="V34" s="5129" t="n"/>
      <c r="W34" s="5130" t="n"/>
      <c r="X34" s="5131" t="n"/>
      <c r="Y34" s="148" t="n"/>
      <c r="AB34" s="688" t="inlineStr">
        <is>
          <t>F8949A</t>
        </is>
      </c>
      <c r="AC34" s="688" t="inlineStr">
        <is>
          <t>F8949B</t>
        </is>
      </c>
      <c r="AD34" s="688" t="inlineStr">
        <is>
          <t>F8949C</t>
        </is>
      </c>
      <c r="AE34" s="688" t="inlineStr">
        <is>
          <t>F8949D</t>
        </is>
      </c>
      <c r="AH34" s="688" t="inlineStr">
        <is>
          <t>F8949A</t>
        </is>
      </c>
      <c r="AI34" s="688" t="inlineStr">
        <is>
          <t>F8949B</t>
        </is>
      </c>
      <c r="AJ34" s="688" t="inlineStr">
        <is>
          <t>F8949C</t>
        </is>
      </c>
      <c r="AK34" s="688" t="inlineStr">
        <is>
          <t>F8949D</t>
        </is>
      </c>
      <c r="AM34" s="688" t="inlineStr">
        <is>
          <t>F8949A</t>
        </is>
      </c>
      <c r="AN34" s="688" t="inlineStr">
        <is>
          <t>F8949B</t>
        </is>
      </c>
      <c r="AO34" s="688" t="inlineStr">
        <is>
          <t>F8949C</t>
        </is>
      </c>
      <c r="AP34" s="688" t="inlineStr">
        <is>
          <t>F8949D</t>
        </is>
      </c>
      <c r="AR34" s="688" t="inlineStr">
        <is>
          <t>F8949A</t>
        </is>
      </c>
      <c r="AS34" s="688" t="inlineStr">
        <is>
          <t>F8949B</t>
        </is>
      </c>
      <c r="AT34" s="688" t="inlineStr">
        <is>
          <t>F8949C</t>
        </is>
      </c>
      <c r="AU34" s="688" t="inlineStr">
        <is>
          <t>F8949D</t>
        </is>
      </c>
      <c r="AW34" s="688" t="inlineStr">
        <is>
          <t>F8949A</t>
        </is>
      </c>
      <c r="AX34" s="688" t="inlineStr">
        <is>
          <t>F8949B</t>
        </is>
      </c>
      <c r="AY34" s="688" t="inlineStr">
        <is>
          <t>F8949C</t>
        </is>
      </c>
      <c r="AZ34" s="688" t="inlineStr">
        <is>
          <t>F8949D</t>
        </is>
      </c>
    </row>
    <row r="35" ht="46.5" customHeight="1" s="7635">
      <c r="A35" s="5065" t="n"/>
      <c r="B35" s="7123" t="n"/>
      <c r="C35" s="7637" t="n"/>
      <c r="D35" s="7637" t="n"/>
      <c r="E35" s="7637" t="n"/>
      <c r="F35" s="7637" t="n"/>
      <c r="G35" s="7637" t="n"/>
      <c r="H35" s="7638" t="n"/>
      <c r="I35" s="287" t="n"/>
      <c r="J35" s="11718" t="n"/>
      <c r="K35" s="8247" t="n"/>
      <c r="L35" s="12092" t="n"/>
      <c r="M35" s="7637" t="n"/>
      <c r="N35" s="7638" t="n"/>
      <c r="O35" s="8176">
        <f>IF(OR(I35&lt;&gt;"",K35&lt;&gt;""),ROUND(SUM(I35,-K35),0),"")</f>
        <v/>
      </c>
      <c r="P35" s="7637" t="n"/>
      <c r="Q35" s="7637" t="n"/>
      <c r="R35" s="5121" t="n"/>
      <c r="S35" s="5122" t="n"/>
      <c r="T35" s="139" t="n"/>
      <c r="U35" s="139" t="n"/>
      <c r="V35" s="5129">
        <f>"---"</f>
        <v/>
      </c>
      <c r="W35" s="5129">
        <f>"---"</f>
        <v/>
      </c>
      <c r="X35" s="5132" t="n"/>
      <c r="Y35" s="148" t="n"/>
      <c r="AB35" s="688" t="n"/>
      <c r="AC35" s="688" t="n"/>
      <c r="AD35" s="688" t="n"/>
      <c r="AE35" s="688" t="n"/>
      <c r="AH35" s="688" t="n"/>
      <c r="AI35" s="688" t="n"/>
      <c r="AJ35" s="688" t="n"/>
      <c r="AK35" s="688" t="n"/>
      <c r="AM35" s="688" t="n"/>
      <c r="AN35" s="688" t="n"/>
      <c r="AO35" s="688" t="n"/>
      <c r="AP35" s="688" t="n"/>
      <c r="AR35" s="688" t="n"/>
      <c r="AS35" s="688" t="n"/>
      <c r="AT35" s="688" t="n"/>
      <c r="AU35" s="688" t="n"/>
      <c r="AW35" s="688" t="n"/>
      <c r="AX35" s="688" t="n"/>
      <c r="AY35" s="688" t="n"/>
      <c r="AZ35" s="688" t="n"/>
    </row>
    <row r="36" ht="15.75" customHeight="1" s="7635">
      <c r="A36" s="5065" t="n"/>
      <c r="B36" s="5123" t="inlineStr">
        <is>
          <t>8b</t>
        </is>
      </c>
      <c r="C36" s="12101" t="inlineStr">
        <is>
          <t xml:space="preserve">Totals for all transactions reported on Form(s) 8949
with Box D or Box J checked  .   .   .   .   .   .   .   .   . </t>
        </is>
      </c>
      <c r="D36" s="7839" t="n"/>
      <c r="E36" s="7839" t="n"/>
      <c r="F36" s="7839" t="n"/>
      <c r="G36" s="7839" t="n"/>
      <c r="H36" s="10091" t="n"/>
      <c r="I36" s="12094" t="n"/>
      <c r="J36" s="10091" t="n"/>
      <c r="K36" s="5133" t="n"/>
      <c r="L36" s="12094" t="n"/>
      <c r="M36" s="7839" t="n"/>
      <c r="N36" s="10091" t="n"/>
      <c r="O36" s="8330">
        <f>IF(AND(AF38,AF44),ROUND(SUM(AW38:AZ38,AW44:AZ44),0),IF(AF38,ROUND(SUM(AW38:AZ38),0),IF(AF44,ROUND(SUM(AW44:AZ44),0),"")))</f>
        <v/>
      </c>
      <c r="Q36" s="8288" t="n"/>
      <c r="R36" s="245" t="n"/>
      <c r="S36" s="290" t="n"/>
      <c r="T36" s="139" t="n"/>
      <c r="U36" s="139" t="n"/>
      <c r="V36" s="5135" t="n"/>
      <c r="W36" s="5158" t="n"/>
      <c r="X36" s="5137" t="n"/>
      <c r="Y36" s="148" t="n"/>
      <c r="AA36" s="688" t="inlineStr">
        <is>
          <t>BOX</t>
        </is>
      </c>
      <c r="AB36" s="688" t="n"/>
      <c r="AC36" s="688" t="n"/>
      <c r="AD36" s="688" t="n"/>
      <c r="AE36" s="688" t="n"/>
      <c r="AH36" s="688" t="n"/>
      <c r="AI36" s="688" t="n"/>
      <c r="AJ36" s="688" t="n"/>
      <c r="AK36" s="688" t="n"/>
      <c r="AM36" s="688" t="n"/>
      <c r="AN36" s="688" t="n"/>
      <c r="AO36" s="688" t="n"/>
      <c r="AP36" s="688" t="n"/>
      <c r="AR36" s="688" t="n"/>
      <c r="AS36" s="688" t="n"/>
      <c r="AT36" s="688" t="n"/>
      <c r="AU36" s="688" t="n"/>
      <c r="AW36" s="688" t="n"/>
      <c r="AX36" s="688" t="n"/>
      <c r="AY36" s="688" t="n"/>
      <c r="AZ36" s="688" t="n"/>
    </row>
    <row r="37" ht="13.5" customHeight="1" s="7635">
      <c r="A37" s="5065" t="n"/>
      <c r="B37" s="5138" t="n"/>
      <c r="C37" s="7637" t="n"/>
      <c r="D37" s="7637" t="n"/>
      <c r="E37" s="7637" t="n"/>
      <c r="F37" s="7637" t="n"/>
      <c r="G37" s="7637" t="n"/>
      <c r="H37" s="7638" t="n"/>
      <c r="I37" s="12095">
        <f>IF(V37&lt;&gt;"",ROUND(V37,0),IF(AND($AF38,$AF44),ROUND(SUM(AH38:AK38,AH44:AK44),0),IF($AF38,ROUND(SUM(AH38:AK38),0),IF($AF44,ROUND(SUM(AH44:AK44),0),""))))</f>
        <v/>
      </c>
      <c r="J37" s="7638" t="n"/>
      <c r="K37" s="8302">
        <f>IF(W37&lt;&gt;"",ROUND(W37,0),IF(AND($AF38,$AF44),ROUND(SUM(AM38:AP38,AM44:AP44),0),IF($AF38,ROUND(SUM(AM38:AP38),0),IF($AF44,ROUND(SUM(AM44:AP44),0),""))))</f>
        <v/>
      </c>
      <c r="L37" s="12095">
        <f>IF(X37&lt;&gt;"",ROUND(X37,0),IF(AND($AF38,$AF44),ROUND(SUM(AR38:AU38,AR44:AU44),0),IF($AF38,ROUND(SUM(AR38:AU38),0),IF($AF44,ROUND(SUM(AR44:AU44),0),""))))</f>
        <v/>
      </c>
      <c r="M37" s="7637" t="n"/>
      <c r="N37" s="7638" t="n"/>
      <c r="O37" s="8176">
        <f>IF(AND(I37="",K37="",L37=""),"",IF(AND(W37="",OR(V37&lt;&gt;"",X37&lt;&gt;"")),SUM(I37,L37),IF(OR(V37&lt;&gt;"",W37&lt;&gt;"",X37&lt;&gt;""),SUM(I37,-K37,L37),O36)))</f>
        <v/>
      </c>
      <c r="P37" s="7637" t="n"/>
      <c r="Q37" s="7637" t="n"/>
      <c r="R37" s="245" t="n"/>
      <c r="S37" s="290" t="n"/>
      <c r="T37" s="139" t="n"/>
      <c r="U37" s="139" t="n"/>
      <c r="V37" s="287" t="n"/>
      <c r="W37" s="288" t="n"/>
      <c r="X37" s="8247" t="n"/>
      <c r="Y37" s="148" t="n"/>
    </row>
    <row r="38" ht="13.5" customHeight="1" s="7635">
      <c r="A38" s="5065" t="n"/>
      <c r="B38" s="5123" t="n">
        <v>9</v>
      </c>
      <c r="C38" s="12101" t="inlineStr">
        <is>
          <t xml:space="preserve">Totals for all transactions reported on Form(s) 8949
with Box E or Box K checked  .   .   .   .   .   .   .   .   . </t>
        </is>
      </c>
      <c r="D38" s="7839" t="n"/>
      <c r="E38" s="7839" t="n"/>
      <c r="F38" s="7839" t="n"/>
      <c r="G38" s="7839" t="n"/>
      <c r="H38" s="10091" t="n"/>
      <c r="I38" s="12094" t="n"/>
      <c r="J38" s="10091" t="n"/>
      <c r="K38" s="5133" t="n"/>
      <c r="L38" s="12094" t="n"/>
      <c r="M38" s="7839" t="n"/>
      <c r="N38" s="10091" t="n"/>
      <c r="O38" s="8287">
        <f>IF(AND(AF40,AF46),ROUND(SUM(AW40:AZ40,AW46:AZ46),0),IF(AF40,ROUND(SUM(AW40:AZ40),0),IF(AF46,ROUND(SUM(AW46:AZ46),0),"")))</f>
        <v/>
      </c>
      <c r="Q38" s="8288" t="n"/>
      <c r="R38" s="245" t="n"/>
      <c r="S38" s="290" t="n"/>
      <c r="T38" s="139" t="n"/>
      <c r="U38" s="139" t="n"/>
      <c r="V38" s="5135" t="n"/>
      <c r="W38" s="5158" t="n"/>
      <c r="X38" s="5137" t="n"/>
      <c r="Y38" s="148" t="n"/>
      <c r="AA38" s="688" t="inlineStr">
        <is>
          <t>D</t>
        </is>
      </c>
      <c r="AB38" s="9123">
        <f>IF(F8949ALBOXD&lt;&gt;"",F8949ALT,0)</f>
        <v/>
      </c>
      <c r="AC38" s="9123">
        <f t="array" ref="AC38">IF(F8949BLBOXD&lt;&gt;"",F8949BLT,0)</f>
        <v/>
      </c>
      <c r="AD38" s="9123">
        <f>IF(F8949CLBOXD&lt;&gt;"",F8949CLT,0)</f>
        <v/>
      </c>
      <c r="AE38" s="9123">
        <f>IF(F8949DLBOXD&lt;&gt;"",F8949DLT,0)</f>
        <v/>
      </c>
      <c r="AF38" s="9123">
        <f>IF(SUM(AB38:AE38)&gt;0,TRUE,FALSE)</f>
        <v/>
      </c>
      <c r="AH38" s="9123">
        <f>IF(F8949ALBOXD&lt;&gt;"",F8949ALTD,0)</f>
        <v/>
      </c>
      <c r="AI38" s="9123">
        <f t="array" ref="AI38">IF(F8949BLBOXD&lt;&gt;"",F8949BLTD,0)</f>
        <v/>
      </c>
      <c r="AJ38" s="9123">
        <f>IF(F8949CLBOXD&lt;&gt;"",F8949CLTD,0)</f>
        <v/>
      </c>
      <c r="AK38" s="9123">
        <f>IF(F8949DLBOXD&lt;&gt;"",F8949DLTD,0)</f>
        <v/>
      </c>
      <c r="AM38" s="9123">
        <f>IF(F8949ALBOXD&lt;&gt;"",F8949ALTE,0)</f>
        <v/>
      </c>
      <c r="AN38" s="9123">
        <f t="array" ref="AN38">IF(F8949BLBOXD&lt;&gt;"",F8949BLTE,0)</f>
        <v/>
      </c>
      <c r="AO38" s="9123">
        <f>IF(F8949CLBOXD&lt;&gt;"",F8949CLTE,0)</f>
        <v/>
      </c>
      <c r="AP38" s="9123">
        <f>IF(F8949DLBOXD&lt;&gt;"",F8949DLTE,0)</f>
        <v/>
      </c>
      <c r="AR38" s="9123">
        <f>IF(F8949ALBOXD&lt;&gt;"",F8949ALTG,0)</f>
        <v/>
      </c>
      <c r="AS38" s="9123">
        <f t="array" ref="AS38">IF(F8949BLBOXD&lt;&gt;"",F8949BLTG,0)</f>
        <v/>
      </c>
      <c r="AT38" s="9123">
        <f>IF(F8949CLBOXD&lt;&gt;"",F8949CLTG,0)</f>
        <v/>
      </c>
      <c r="AU38" s="9123">
        <f>IF(F8949DLBOXD&lt;&gt;"",F8949DLTG,0)</f>
        <v/>
      </c>
      <c r="AW38" s="9123">
        <f>IF(F8949ALBOXD&lt;&gt;"",F8949ALTH,0)</f>
        <v/>
      </c>
      <c r="AX38" s="9123">
        <f t="array" ref="AX38">IF(F8949BLBOXD&lt;&gt;"",F8949BLTH,0)</f>
        <v/>
      </c>
      <c r="AY38" s="9123">
        <f>IF(F8949CLBOXD&lt;&gt;"",F8949CLTH,0)</f>
        <v/>
      </c>
      <c r="AZ38" s="9123">
        <f>IF(F8949DLBOXD&lt;&gt;"",F8949DLTH,0)</f>
        <v/>
      </c>
    </row>
    <row r="39" ht="13.5" customHeight="1" s="7635">
      <c r="A39" s="5065" t="n"/>
      <c r="B39" s="5138" t="n"/>
      <c r="C39" s="7637" t="n"/>
      <c r="D39" s="7637" t="n"/>
      <c r="E39" s="7637" t="n"/>
      <c r="F39" s="7637" t="n"/>
      <c r="G39" s="7637" t="n"/>
      <c r="H39" s="7638" t="n"/>
      <c r="I39" s="12095">
        <f>IF(V39&lt;&gt;"",ROUND(V39,0),IF(AND($AF40,$AF46),ROUND(SUM(AH40:AK40,AH46:AK46),0),IF($AF40,ROUND(SUM(AH40:AK40),0),IF($AF46,ROUND(SUM(AH46:AK46),0),""))))</f>
        <v/>
      </c>
      <c r="J39" s="7638" t="n"/>
      <c r="K39" s="8302">
        <f>IF(W39&lt;&gt;"",ROUND(W39,0),IF(AND($AF40,$AF46),ROUND(SUM(AM40:AP40,AM46:AP46),0),IF($AF40,ROUND(SUM(AM40:AP40),0),IF($AF46,ROUND(SUM(AM46:AP46),0),""))))</f>
        <v/>
      </c>
      <c r="L39" s="12095">
        <f>IF(X39&lt;&gt;"",ROUND(X39,0),IF(AND($AF40,$AF46),ROUND(SUM(AR40:AU40,AR46:AU46),0),IF($AF40,ROUND(SUM(AR40:AU40),0),IF($AF46,ROUND(SUM(AR46:AU46),0),""))))</f>
        <v/>
      </c>
      <c r="M39" s="7637" t="n"/>
      <c r="N39" s="7638" t="n"/>
      <c r="O39" s="8176">
        <f>IF(AND(I39="",K39="",L39=""),"",IF(AND(W39="",OR(V39&lt;&gt;"",X39&lt;&gt;"")),SUM(I39,L39),IF(OR(V39&lt;&gt;"",W39&lt;&gt;"",X39&lt;&gt;""),SUM(I39,-K39,L39),O38)))</f>
        <v/>
      </c>
      <c r="P39" s="7637" t="n"/>
      <c r="Q39" s="7637" t="n"/>
      <c r="R39" s="245" t="n"/>
      <c r="S39" s="290" t="n"/>
      <c r="T39" s="139" t="n"/>
      <c r="U39" s="139" t="n"/>
      <c r="V39" s="287" t="n"/>
      <c r="W39" s="288" t="n"/>
      <c r="X39" s="8247" t="n"/>
      <c r="Y39" s="148" t="n"/>
      <c r="AA39" s="688" t="n"/>
    </row>
    <row r="40" ht="12.75" customHeight="1" s="7635">
      <c r="A40" s="5065" t="n"/>
      <c r="B40" s="5123" t="n">
        <v>10</v>
      </c>
      <c r="C40" s="12101" t="inlineStr">
        <is>
          <t xml:space="preserve">Totals for all transactions reported on Form(s) 8949
with Box F or Box L checked   .   .   .   .   .   .   .   .   . </t>
        </is>
      </c>
      <c r="D40" s="7839" t="n"/>
      <c r="E40" s="7839" t="n"/>
      <c r="F40" s="7839" t="n"/>
      <c r="G40" s="7839" t="n"/>
      <c r="H40" s="10091" t="n"/>
      <c r="I40" s="12094" t="n"/>
      <c r="J40" s="10091" t="n"/>
      <c r="K40" s="5133" t="n"/>
      <c r="L40" s="12094" t="n"/>
      <c r="M40" s="7839" t="n"/>
      <c r="N40" s="10091" t="n"/>
      <c r="O40" s="8287">
        <f>IF(AND(AF42,AF48),ROUND(SUM(AW42:AZ42,AW48:AZ48),0),IF(AF42,ROUND(SUM(AW42:AZ42),0),IF(AF48,ROUND(SUM(AW48:AZ48),0),"")))</f>
        <v/>
      </c>
      <c r="Q40" s="8288" t="n"/>
      <c r="R40" s="245" t="n"/>
      <c r="S40" s="290" t="n"/>
      <c r="T40" s="139" t="n"/>
      <c r="U40" s="139" t="n"/>
      <c r="V40" s="5135" t="n"/>
      <c r="W40" s="5158" t="n"/>
      <c r="X40" s="5137" t="n"/>
      <c r="Y40" s="148" t="n"/>
      <c r="AA40" s="688" t="inlineStr">
        <is>
          <t>E</t>
        </is>
      </c>
      <c r="AB40" s="9123">
        <f>IF(F8949ALBOXE&lt;&gt;"",F8949ALT,0)</f>
        <v/>
      </c>
      <c r="AC40" s="9123">
        <f>IF(F8949BLBOXE&lt;&gt;"",F8949BLT,0)</f>
        <v/>
      </c>
      <c r="AD40" s="9123">
        <f>IF(F8949CLBOXE&lt;&gt;"",F8949CLT,0)</f>
        <v/>
      </c>
      <c r="AE40" s="9123">
        <f>IF(F8949DLBOXE&lt;&gt;"",F8949DLT,0)</f>
        <v/>
      </c>
      <c r="AF40" s="9123">
        <f>IF(SUM(AB40:AE40)&gt;0,TRUE,FALSE)</f>
        <v/>
      </c>
      <c r="AH40" s="9123">
        <f>IF(F8949ALBOXE&lt;&gt;"",F8949ALTD,0)</f>
        <v/>
      </c>
      <c r="AI40" s="9123">
        <f t="array" ref="AI40">IF(F8949BLBOXE&lt;&gt;"",F8949BLTD,0)</f>
        <v/>
      </c>
      <c r="AJ40" s="9123">
        <f>IF(F8949CLBOXE&lt;&gt;"",F8949CLTD,0)</f>
        <v/>
      </c>
      <c r="AK40" s="9123">
        <f>IF(F8949DLBOXE&lt;&gt;"",F8949DLTD,0)</f>
        <v/>
      </c>
      <c r="AM40" s="9123">
        <f>IF(F8949ALBOXE&lt;&gt;"",F8949ALTE,0)</f>
        <v/>
      </c>
      <c r="AN40" s="9123">
        <f t="array" ref="AN40">IF(F8949BLBOXE&lt;&gt;"",F8949BLTE,0)</f>
        <v/>
      </c>
      <c r="AO40" s="9123">
        <f>IF(F8949CLBOXE&lt;&gt;"",F8949CLTE,0)</f>
        <v/>
      </c>
      <c r="AP40" s="9123">
        <f>IF(F8949DLBOXE&lt;&gt;"",F8949DLTE,0)</f>
        <v/>
      </c>
      <c r="AR40" s="9123">
        <f>IF(F8949ALBOXE&lt;&gt;"",F8949ALTG,0)</f>
        <v/>
      </c>
      <c r="AS40" s="9123">
        <f t="array" ref="AS40">IF(F8949BLBOXE&lt;&gt;"",F8949BLTG,0)</f>
        <v/>
      </c>
      <c r="AT40" s="9123">
        <f>IF(F8949CLBOXE&lt;&gt;"",F8949CLTG,0)</f>
        <v/>
      </c>
      <c r="AU40" s="9123">
        <f>IF(F8949DLBOXE&lt;&gt;"",F8949DLTG,0)</f>
        <v/>
      </c>
      <c r="AW40" s="9123">
        <f>IF(F8949ALBOXE&lt;&gt;"",F8949ALTH,0)</f>
        <v/>
      </c>
      <c r="AX40" s="9123">
        <f t="array" ref="AX40">IF(F8949BLBOXE&lt;&gt;"",F8949BLTH,0)</f>
        <v/>
      </c>
      <c r="AY40" s="9123">
        <f>IF(F8949CLBOXE&lt;&gt;"",F8949CLTH,0)</f>
        <v/>
      </c>
      <c r="AZ40" s="9123">
        <f>IF(F8949DLBOXE&lt;&gt;"",F8949DLTH,0)</f>
        <v/>
      </c>
    </row>
    <row r="41" ht="12.75" customHeight="1" s="7635">
      <c r="A41" s="5065" t="n"/>
      <c r="B41" s="5138" t="n"/>
      <c r="C41" s="7637" t="n"/>
      <c r="D41" s="7637" t="n"/>
      <c r="E41" s="7637" t="n"/>
      <c r="F41" s="7637" t="n"/>
      <c r="G41" s="7637" t="n"/>
      <c r="H41" s="7638" t="n"/>
      <c r="I41" s="12095">
        <f>IF(V41&lt;&gt;"",ROUND(V41,0),IF(AND($AF42,$AF48),ROUND(SUM(AH42:AK42,AH48:AK48),0),IF($AF42,ROUND(SUM(AH42:AK42),0),IF($AF48,ROUND(SUM(AH48:AK48),0),""))))</f>
        <v/>
      </c>
      <c r="J41" s="7638" t="n"/>
      <c r="K41" s="8302">
        <f>IF(W41&lt;&gt;"",ROUND(W41,0),IF(AND($AF42,$AF48),ROUND(SUM(AM42:AP42,AM48:AP48),0),IF($AF42,ROUND(SUM(AM42:AP42),0),IF($AF48,ROUND(SUM(AM48:AP48),0),""))))</f>
        <v/>
      </c>
      <c r="L41" s="12095">
        <f>IF(X41&lt;&gt;"",ROUND(X41,0),IF(AND($AF42,$AF48),ROUND(SUM(AR42:AU42,AR48:AU48),0),IF($AF42,ROUND(SUM(AR42:AU42),0),IF($AF48,ROUND(SUM(AR48:AU48),0),""))))</f>
        <v/>
      </c>
      <c r="M41" s="7637" t="n"/>
      <c r="N41" s="7638" t="n"/>
      <c r="O41" s="8176">
        <f>IF(AND(I41="",K41="",L41=""),"",IF(AND(W41="",OR(V41&lt;&gt;"",X41&lt;&gt;"")),SUM(I41,L41),IF(OR(V41&lt;&gt;"",W41&lt;&gt;"",X41&lt;&gt;""),SUM(I41,-K41,L41),O40)))</f>
        <v/>
      </c>
      <c r="P41" s="7637" t="n"/>
      <c r="Q41" s="7637" t="n"/>
      <c r="R41" s="245" t="n"/>
      <c r="S41" s="290" t="n"/>
      <c r="T41" s="139" t="n"/>
      <c r="U41" s="139" t="n"/>
      <c r="V41" s="287" t="n"/>
      <c r="W41" s="288" t="n"/>
      <c r="X41" s="8247" t="n"/>
      <c r="Y41" s="148" t="n"/>
      <c r="AA41" s="688" t="n"/>
    </row>
    <row r="42" ht="12.75" customHeight="1" s="7635">
      <c r="A42" s="5065" t="n"/>
      <c r="B42" s="5149" t="n">
        <v>11</v>
      </c>
      <c r="C42" s="5159" t="inlineStr">
        <is>
          <t>Gain from Form 4797, Part I; long-term gain from Forms 2439 and 6252; and long-term gain or (loss)</t>
        </is>
      </c>
      <c r="D42" s="10084" t="n"/>
      <c r="E42" s="10084" t="n"/>
      <c r="F42" s="10084" t="n"/>
      <c r="G42" s="10084" t="n"/>
      <c r="H42" s="10084" t="n"/>
      <c r="I42" s="10084" t="n"/>
      <c r="J42" s="10084" t="n"/>
      <c r="K42" s="10084" t="n"/>
      <c r="L42" s="10084" t="n"/>
      <c r="M42" s="5161" t="n"/>
      <c r="N42" s="5162" t="n"/>
      <c r="O42" s="8350" t="n"/>
      <c r="P42" s="11745" t="n"/>
      <c r="Q42" s="848" t="n"/>
      <c r="R42" s="245" t="n"/>
      <c r="S42" s="290" t="n"/>
      <c r="T42" s="139" t="n"/>
      <c r="U42" s="139" t="n"/>
      <c r="V42" s="139" t="n"/>
      <c r="W42" s="139" t="n"/>
      <c r="X42" s="139" t="n"/>
      <c r="Y42" s="139" t="n"/>
      <c r="AA42" s="688" t="inlineStr">
        <is>
          <t>F</t>
        </is>
      </c>
      <c r="AB42" s="9123">
        <f>IF(F8949ALBOXF&lt;&gt;"",F8949ALT,0)</f>
        <v/>
      </c>
      <c r="AC42" s="9123">
        <f t="array" ref="AC42">IF(F8949BLBOXF&lt;&gt;"",F8949BLT,0)</f>
        <v/>
      </c>
      <c r="AD42" s="9123">
        <f>IF(F8949CLBOXF&lt;&gt;"",F8949CLT,0)</f>
        <v/>
      </c>
      <c r="AE42" s="9123">
        <f>IF(F8949DLBOXF&lt;&gt;"",F8949DLT,0)</f>
        <v/>
      </c>
      <c r="AF42" s="9123">
        <f>IF(SUM(AB42:AE42)&gt;0,TRUE,FALSE)</f>
        <v/>
      </c>
      <c r="AH42" s="9123">
        <f>IF(F8949ALBOXF&lt;&gt;"",F8949ALTD,0)</f>
        <v/>
      </c>
      <c r="AI42" s="9123">
        <f t="array" ref="AI42">IF(F8949BLBOXF&lt;&gt;"",F8949BLTD,0)</f>
        <v/>
      </c>
      <c r="AJ42" s="9123">
        <f>IF(F8949CLBOXF&lt;&gt;"",F8949CLTD,0)</f>
        <v/>
      </c>
      <c r="AK42" s="9123">
        <f>IF(F8949DLBOXF&lt;&gt;"",F8949DLTD,0)</f>
        <v/>
      </c>
      <c r="AM42" s="9123">
        <f>IF(F8949ALBOXF&lt;&gt;"",F8949ALTE,0)</f>
        <v/>
      </c>
      <c r="AN42" s="9123">
        <f t="array" ref="AN42">IF(F8949BLBOXF&lt;&gt;"",F8949BLTE,0)</f>
        <v/>
      </c>
      <c r="AO42" s="9123">
        <f>IF(F8949CLBOXF&lt;&gt;"",F8949CLTE,0)</f>
        <v/>
      </c>
      <c r="AP42" s="9123">
        <f>IF(F8949DLBOXF&lt;&gt;"",F8949DLTE,0)</f>
        <v/>
      </c>
      <c r="AR42" s="9123">
        <f>IF(F8949ALBOXF&lt;&gt;"",F8949ALTG,0)</f>
        <v/>
      </c>
      <c r="AS42" s="9123">
        <f t="array" ref="AS42">IF(F8949BLBOXF&lt;&gt;"",F8949BLTG,0)</f>
        <v/>
      </c>
      <c r="AT42" s="9123">
        <f>IF(F8949CLBOXF&lt;&gt;"",F8949CLTG,0)</f>
        <v/>
      </c>
      <c r="AU42" s="9123">
        <f>IF(F8949DLBOXF&lt;&gt;"",F8949DLTG,0)</f>
        <v/>
      </c>
      <c r="AW42" s="9123">
        <f>IF(F8949ALBOXF&lt;&gt;"",F8949ALTH,0)</f>
        <v/>
      </c>
      <c r="AX42" s="9123">
        <f t="array" ref="AX42">IF(F8949BLBOXF&lt;&gt;"",F8949BLTH,0)</f>
        <v/>
      </c>
      <c r="AY42" s="9123">
        <f>IF(F8949CLBOXF&lt;&gt;"",F8949CLTH,0)</f>
        <v/>
      </c>
      <c r="AZ42" s="9123">
        <f>IF(F8949DLBOXF&lt;&gt;"",F8949DLTH,0)</f>
        <v/>
      </c>
    </row>
    <row r="43" ht="12.75" customHeight="1" s="7635">
      <c r="A43" s="5065" t="n"/>
      <c r="B43" s="5149" t="n"/>
      <c r="C43" s="9237" t="inlineStr">
        <is>
          <t xml:space="preserve">from Forms 4684, 6781, and 8824 </t>
        </is>
      </c>
      <c r="D43" s="9068" t="n"/>
      <c r="E43" s="9068" t="n"/>
      <c r="F43" s="9068" t="n"/>
      <c r="G43" s="9068" t="n"/>
      <c r="H43" s="9068" t="n"/>
      <c r="I43" s="9068" t="n"/>
      <c r="J43" s="9068" t="n"/>
      <c r="K43" s="9068" t="n"/>
      <c r="L43" s="9068" t="n"/>
      <c r="M43" s="1657" t="inlineStr">
        <is>
          <t xml:space="preserve">.   .   .   .   .   .   .   .   .   .   .   .   .   .   .   .   .   .   .   .   .   .   .   .   .  </t>
        </is>
      </c>
      <c r="N43" s="2773">
        <f>B42</f>
        <v/>
      </c>
      <c r="O43" s="8169" t="n"/>
      <c r="P43" s="11717" t="n"/>
      <c r="Q43" s="11717" t="n"/>
      <c r="R43" s="245" t="n"/>
      <c r="S43" s="290" t="n"/>
      <c r="T43" s="139" t="n"/>
      <c r="U43" s="139" t="n"/>
      <c r="V43" s="139" t="n"/>
      <c r="W43" s="139" t="n"/>
      <c r="X43" s="139" t="n"/>
      <c r="Y43" s="139" t="n"/>
    </row>
    <row r="44" ht="13.5" customHeight="1" s="7635">
      <c r="A44" s="5065" t="n"/>
      <c r="B44" s="8374" t="n">
        <v>12</v>
      </c>
      <c r="C44" s="8647" t="inlineStr">
        <is>
          <t>Net long-term gain (loss) from partnerships, S corporations, estates, &amp; trusts from Schedules K-1</t>
        </is>
      </c>
      <c r="D44" s="8665" t="n"/>
      <c r="E44" s="8665" t="n"/>
      <c r="F44" s="8665" t="n"/>
      <c r="G44" s="8665" t="n"/>
      <c r="H44" s="5140" t="n"/>
      <c r="I44" s="2755" t="n"/>
      <c r="J44" s="2755" t="n"/>
      <c r="K44" s="2755" t="n"/>
      <c r="L44" s="8374" t="n"/>
      <c r="M44" s="8374" t="n"/>
      <c r="N44" s="2773">
        <f>B44</f>
        <v/>
      </c>
      <c r="O44" s="8169" t="n"/>
      <c r="P44" s="11717" t="n"/>
      <c r="Q44" s="11717" t="n"/>
      <c r="R44" s="246" t="n"/>
      <c r="S44" s="291" t="n"/>
      <c r="T44" s="139" t="n"/>
      <c r="U44" s="139" t="n"/>
      <c r="V44" s="8340">
        <f>IF(AND(T47&lt;&gt;"",T47&gt;0),"This positive amount is being used as a negative amount.","")</f>
        <v/>
      </c>
      <c r="W44" s="8648" t="n"/>
      <c r="X44" s="8648" t="n"/>
      <c r="Y44" s="8648" t="n"/>
      <c r="AA44" s="688" t="inlineStr">
        <is>
          <t>J</t>
        </is>
      </c>
      <c r="AB44" s="9123">
        <f>IF(F8949ALBOXJ&lt;&gt;"",F8949ALT,0)</f>
        <v/>
      </c>
      <c r="AC44" s="9123">
        <f t="array" ref="AC44">IF(F8949BLBOXJ&lt;&gt;"",F8949BLT,0)</f>
        <v/>
      </c>
      <c r="AD44" s="9123">
        <f>IF(F8949CLBOXJ&lt;&gt;"",F8949CLT,0)</f>
        <v/>
      </c>
      <c r="AE44" s="9123">
        <f>IF(F8949DLBOXJ&lt;&gt;"",F8949DLT,0)</f>
        <v/>
      </c>
      <c r="AF44" s="9123">
        <f>IF(SUM(AB44:AE44)&gt;0,TRUE,FALSE)</f>
        <v/>
      </c>
      <c r="AH44" s="9123">
        <f>IF(F8949ALBOXJ&lt;&gt;"",F8949ALTD,0)</f>
        <v/>
      </c>
      <c r="AI44" s="9123">
        <f t="array" ref="AI44">IF(F8949BLBOXJ&lt;&gt;"",F8949BLTD,0)</f>
        <v/>
      </c>
      <c r="AJ44" s="9123">
        <f>IF(F8949CLBOXJ&lt;&gt;"",F8949CLTD,0)</f>
        <v/>
      </c>
      <c r="AK44" s="9123">
        <f>IF(F8949DLBOXJ&lt;&gt;"",F8949DLTD,0)</f>
        <v/>
      </c>
      <c r="AM44" s="9123">
        <f>IF(F8949ALBOXJ&lt;&gt;"",F8949ALTE,0)</f>
        <v/>
      </c>
      <c r="AN44" s="9123">
        <f t="array" ref="AN44">IF(F8949BLBOXJ&lt;&gt;"",F8949BLTE,0)</f>
        <v/>
      </c>
      <c r="AO44" s="9123">
        <f>IF(F8949CLBOXJ&lt;&gt;"",F8949CLTE,0)</f>
        <v/>
      </c>
      <c r="AP44" s="9123">
        <f>IF(F8949DLBOXJ&lt;&gt;"",F8949DLTE,0)</f>
        <v/>
      </c>
      <c r="AR44" s="9123">
        <f>IF(F8949ALBOXJ&lt;&gt;"",F8949ALTG,0)</f>
        <v/>
      </c>
      <c r="AS44" s="9123">
        <f t="array" ref="AS44">IF(F8949BLBOXJ&lt;&gt;"",F8949BLTG,0)</f>
        <v/>
      </c>
      <c r="AT44" s="9123">
        <f>IF(F8949CLBOXJ&lt;&gt;"",F8949CLTG,0)</f>
        <v/>
      </c>
      <c r="AU44" s="9123">
        <f>IF(F8949DLBOXJ&lt;&gt;"",F8949DLTG,0)</f>
        <v/>
      </c>
      <c r="AW44" s="9123">
        <f>IF(F8949ALBOXJ&lt;&gt;"",F8949ALTH,0)</f>
        <v/>
      </c>
      <c r="AX44" s="9123">
        <f t="array" ref="AX44">IF(F8949BLBOXJ&lt;&gt;"",F8949BLTH,0)</f>
        <v/>
      </c>
      <c r="AY44" s="9123">
        <f>IF(F8949CLBOXJ&lt;&gt;"",F8949CLTH,0)</f>
        <v/>
      </c>
      <c r="AZ44" s="9123">
        <f>IF(F8949DLBOXJ&lt;&gt;"",F8949DLTH,0)</f>
        <v/>
      </c>
    </row>
    <row r="45" ht="12.75" customHeight="1" s="7635">
      <c r="A45" s="5065" t="n"/>
      <c r="B45" s="3097" t="n">
        <v>13</v>
      </c>
      <c r="C45" s="8647" t="inlineStr">
        <is>
          <t>Capital gain distributions. See the instructions</t>
        </is>
      </c>
      <c r="D45" s="3097" t="n"/>
      <c r="E45" s="3097" t="n"/>
      <c r="F45" s="8647" t="n"/>
      <c r="G45" s="8647" t="n"/>
      <c r="H45" s="5140" t="n"/>
      <c r="I45" s="5140" t="n"/>
      <c r="J45" s="5140" t="n"/>
      <c r="K45" s="2755" t="n"/>
      <c r="L45" s="8374" t="n"/>
      <c r="M45" s="8374" t="inlineStr">
        <is>
          <t xml:space="preserve">.   .   .   .   .   .   .   .   .   .   .   .   .   .   .   .   .   .   .   .  </t>
        </is>
      </c>
      <c r="N45" s="2773">
        <f>B45</f>
        <v/>
      </c>
      <c r="O45" s="8176">
        <f>IF(T45&lt;&gt;"",ROUND(T45,0),IF('1099-DIV'!H95=0,"",'1099-DIV'!H95))</f>
        <v/>
      </c>
      <c r="P45" s="7637" t="n"/>
      <c r="Q45" s="7637" t="n"/>
      <c r="R45" s="5145" t="n"/>
      <c r="S45" s="5146" t="n"/>
      <c r="T45" s="803" t="n"/>
      <c r="U45" s="139" t="n"/>
      <c r="W45" s="8648" t="n"/>
      <c r="X45" s="8648" t="n"/>
      <c r="Y45" s="8648" t="n"/>
      <c r="AA45" s="688" t="n"/>
    </row>
    <row r="46" ht="13.5" customHeight="1" s="7635">
      <c r="A46" s="5065" t="n"/>
      <c r="B46" s="8374" t="n">
        <v>14</v>
      </c>
      <c r="C46" s="8647" t="inlineStr">
        <is>
          <t>Long-term capital loss carryover. Enter the amount, if any, from line 13 of your Capital Loss</t>
        </is>
      </c>
      <c r="D46" s="8665" t="n"/>
      <c r="E46" s="8665" t="n"/>
      <c r="F46" s="8665" t="n"/>
      <c r="G46" s="8665" t="n"/>
      <c r="H46" s="5140" t="n"/>
      <c r="I46" s="5140" t="n"/>
      <c r="J46" s="5140" t="n"/>
      <c r="K46" s="2755" t="n"/>
      <c r="L46" s="2756" t="n"/>
      <c r="M46" s="2756" t="n"/>
      <c r="N46" s="5142" t="n"/>
      <c r="O46" s="5163" t="n"/>
      <c r="P46" s="5164">
        <f>IF(P47="",0,-P47)</f>
        <v/>
      </c>
      <c r="Q46" s="9664" t="n"/>
      <c r="R46" s="5145" t="n"/>
      <c r="S46" s="5146" t="n"/>
      <c r="T46" s="5153" t="n"/>
      <c r="U46" s="139" t="n"/>
      <c r="W46" s="8648" t="n"/>
      <c r="X46" s="8648" t="n"/>
      <c r="Y46" s="8648" t="n"/>
      <c r="AA46" s="688" t="inlineStr">
        <is>
          <t>K</t>
        </is>
      </c>
      <c r="AB46" s="9123">
        <f>IF(F8949ALBOXK&lt;&gt;"",F8949ALT,0)</f>
        <v/>
      </c>
      <c r="AC46" s="9123">
        <f t="array" ref="AC46">IF(F8949BLBOXK&lt;&gt;"",F8949BLT,0)</f>
        <v/>
      </c>
      <c r="AD46" s="9123">
        <f>IF(F8949CLBOXK&lt;&gt;"",F8949CLT,0)</f>
        <v/>
      </c>
      <c r="AE46" s="9123">
        <f>IF(F8949DLBOXK&lt;&gt;"",F8949DLT,0)</f>
        <v/>
      </c>
      <c r="AF46" s="9123">
        <f>IF(SUM(AB46:AE46)&gt;0,TRUE,FALSE)</f>
        <v/>
      </c>
      <c r="AH46" s="9123">
        <f>IF(F8949ALBOXK&lt;&gt;"",F8949ALTD,0)</f>
        <v/>
      </c>
      <c r="AI46" s="9123">
        <f t="array" ref="AI46">IF(F8949BLBOXK&lt;&gt;"",F8949BLTD,0)</f>
        <v/>
      </c>
      <c r="AJ46" s="9123">
        <f>IF(F8949CLBOXK&lt;&gt;"",F8949CLTD,0)</f>
        <v/>
      </c>
      <c r="AK46" s="9123">
        <f>IF(F8949DLBOXK&lt;&gt;"",F8949DLTD,0)</f>
        <v/>
      </c>
      <c r="AM46" s="9123">
        <f>IF(F8949ALBOXK&lt;&gt;"",F8949ALTE,0)</f>
        <v/>
      </c>
      <c r="AN46" s="9123">
        <f t="array" ref="AN46">IF(F8949BLBOXK&lt;&gt;"",F8949BLTE,0)</f>
        <v/>
      </c>
      <c r="AO46" s="9123">
        <f>IF(F8949CLBOXK&lt;&gt;"",F8949CLTE,0)</f>
        <v/>
      </c>
      <c r="AP46" s="9123">
        <f>IF(F8949DLBOXK&lt;&gt;"",F8949DLTE,0)</f>
        <v/>
      </c>
      <c r="AR46" s="9123">
        <f>IF(F8949ALBOXK&lt;&gt;"",F8949ALTG,0)</f>
        <v/>
      </c>
      <c r="AS46" s="9123">
        <f t="array" ref="AS46">IF(F8949BLBOXK&lt;&gt;"",F8949BLTG,0)</f>
        <v/>
      </c>
      <c r="AT46" s="9123">
        <f>IF(F8949CLBOXK&lt;&gt;"",F8949CLTG,0)</f>
        <v/>
      </c>
      <c r="AU46" s="9123">
        <f>IF(F8949DLBOXK&lt;&gt;"",F8949DLTG,0)</f>
        <v/>
      </c>
      <c r="AW46" s="9123">
        <f>IF(F8949ALBOXK&lt;&gt;"",F8949ALTH,0)</f>
        <v/>
      </c>
      <c r="AX46" s="9123">
        <f t="array" ref="AX46">IF(F8949BLBOXK&lt;&gt;"",F8949BLTH,0)</f>
        <v/>
      </c>
      <c r="AY46" s="9123">
        <f>IF(F8949CLBOXK&lt;&gt;"",F8949CLTH,0)</f>
        <v/>
      </c>
      <c r="AZ46" s="9123">
        <f>IF(F8949DLBOXK&lt;&gt;"",F8949DLTH,0)</f>
        <v/>
      </c>
    </row>
    <row r="47">
      <c r="A47" s="5065" t="n"/>
      <c r="B47" s="3097" t="n"/>
      <c r="C47" s="3097" t="inlineStr">
        <is>
          <t>Carryover Worksheet in the instructions</t>
        </is>
      </c>
      <c r="D47" s="3097" t="n"/>
      <c r="E47" s="3097" t="n"/>
      <c r="F47" s="8647" t="n"/>
      <c r="G47" s="8647" t="n"/>
      <c r="H47" s="5140" t="n"/>
      <c r="I47" s="5140" t="n"/>
      <c r="J47" s="5140" t="n"/>
      <c r="K47" s="2755" t="n"/>
      <c r="L47" s="8374" t="n"/>
      <c r="M47" s="8374" t="inlineStr">
        <is>
          <t xml:space="preserve">.   .   .   .   .   .   .   .   .   .   .   .   .   .   .   .   .   .   .   .   .   .  </t>
        </is>
      </c>
      <c r="N47" s="2773">
        <f>B46</f>
        <v/>
      </c>
      <c r="O47" s="5147" t="inlineStr">
        <is>
          <t>(</t>
        </is>
      </c>
      <c r="P47" s="8177">
        <f>IF(AND(T47&lt;&gt;"",T47&gt;=0),ROUND(T47,0),IF(T47&lt;&gt;0,-ROUND(T47,0),IF('Sch. D WS'!R33="","",'Sch. D WS'!R33)))</f>
        <v/>
      </c>
      <c r="Q47" s="5148" t="inlineStr">
        <is>
          <t>)</t>
        </is>
      </c>
      <c r="R47" s="5145" t="n"/>
      <c r="S47" s="5146" t="n"/>
      <c r="T47" s="803" t="n"/>
      <c r="U47" s="139" t="n"/>
      <c r="W47" s="8648" t="n"/>
      <c r="X47" s="8648" t="n"/>
      <c r="Y47" s="8648" t="n"/>
      <c r="AA47" s="688" t="n"/>
    </row>
    <row r="48" ht="13.5" customHeight="1" s="7635">
      <c r="A48" s="5065" t="n"/>
      <c r="B48" s="5149" t="n">
        <v>15</v>
      </c>
      <c r="C48" s="5150" t="inlineStr">
        <is>
          <t>Net long-term capital gain or (loss). Combine lines 8a thru 14 in column (h). Then go to Part III</t>
        </is>
      </c>
      <c r="D48" s="979" t="n"/>
      <c r="E48" s="979" t="n"/>
      <c r="F48" s="979" t="n"/>
      <c r="G48" s="979" t="n"/>
      <c r="H48" s="979" t="n"/>
      <c r="I48" s="979" t="n"/>
      <c r="J48" s="979" t="n"/>
      <c r="K48" s="979" t="n"/>
      <c r="L48" s="979" t="n"/>
      <c r="M48" s="567" t="n"/>
      <c r="N48" s="8679" t="n"/>
      <c r="O48" s="8334" t="n"/>
      <c r="P48" s="7839" t="n"/>
      <c r="Q48" s="9664" t="n"/>
      <c r="R48" s="5151" t="n"/>
      <c r="S48" s="5152" t="n"/>
      <c r="T48" s="5153" t="n"/>
      <c r="U48" s="139" t="n"/>
      <c r="V48" s="8648" t="n"/>
      <c r="W48" s="8648" t="n"/>
      <c r="X48" s="8648" t="n"/>
      <c r="Y48" s="8648" t="n"/>
      <c r="AA48" s="688" t="inlineStr">
        <is>
          <t>L</t>
        </is>
      </c>
      <c r="AB48" s="9123">
        <f>IF(F8949ALBOXL&lt;&gt;"",F8949ALT,0)</f>
        <v/>
      </c>
      <c r="AC48" s="9123">
        <f t="array" ref="AC48">IF(F8949BLBOXL&lt;&gt;"",F8949BLT,0)</f>
        <v/>
      </c>
      <c r="AD48" s="9123">
        <f>IF(F8949CBOXL&lt;&gt;"",F8949CLT,0)</f>
        <v/>
      </c>
      <c r="AE48" s="9123">
        <f>IF(F8949DLBOXL&lt;&gt;"",F8949DLT,0)</f>
        <v/>
      </c>
      <c r="AF48" s="9123">
        <f>IF(SUM(AB48:AE48)&gt;0,TRUE,FALSE)</f>
        <v/>
      </c>
      <c r="AH48" s="9123">
        <f>IF(F8949ALBOXL&lt;&gt;"",F8949ALTD,0)</f>
        <v/>
      </c>
      <c r="AI48" s="9123">
        <f t="array" ref="AI48">IF(F8949BLBOXL&lt;&gt;"",F8949BLTD,0)</f>
        <v/>
      </c>
      <c r="AJ48" s="9123">
        <f>IF(F8949CLBOXL&lt;&gt;"",F8949CLTD,0)</f>
        <v/>
      </c>
      <c r="AK48" s="9123">
        <f t="array" ref="AK48">IF(F8949DLBOXL&lt;&gt;"",F8949DLTD,0)</f>
        <v/>
      </c>
      <c r="AM48" s="9123">
        <f>IF(F8949ALBOXL&lt;&gt;"",F8949ALTE,0)</f>
        <v/>
      </c>
      <c r="AN48" s="9123">
        <f t="array" ref="AN48">IF(F8949BLBOXL&lt;&gt;"",F8949BLTE,0)</f>
        <v/>
      </c>
      <c r="AO48" s="9123">
        <f>IF(F8949CLBOXL&lt;&gt;"",F8949CLTE,0)</f>
        <v/>
      </c>
      <c r="AP48" s="9123">
        <f>IF(F8949DLBOXL&lt;&gt;"",F8949DLTE,0)</f>
        <v/>
      </c>
      <c r="AR48" s="9123">
        <f>IF(F8949ALBOXL&lt;&gt;"",F8949ALTG,0)</f>
        <v/>
      </c>
      <c r="AS48" s="9123">
        <f t="array" ref="AS48">IF(F8949BLBOXL&lt;&gt;"",F8949BLTG,0)</f>
        <v/>
      </c>
      <c r="AT48" s="9123">
        <f>IF(F8949CLBOXL&lt;&gt;"",F8949CLTG,0)</f>
        <v/>
      </c>
      <c r="AU48" s="9123">
        <f>IF(F8949DLBOXL&lt;&gt;"",F8949DLTG,0)</f>
        <v/>
      </c>
      <c r="AW48" s="9123">
        <f>IF(F8949ALBOXL&lt;&gt;"",F8949ALTH,0)</f>
        <v/>
      </c>
      <c r="AX48" s="9123">
        <f t="array" ref="AX48">IF(F8949BLBOXL&lt;&gt;"",F8949BLTH,0)</f>
        <v/>
      </c>
      <c r="AY48" s="9123">
        <f>IF(F8949CLBOXL&lt;&gt;"",F8949CLTH,0)</f>
        <v/>
      </c>
      <c r="AZ48" s="9123">
        <f>IF(F8949DLBOXL&lt;&gt;"",F8949DLTH,0)</f>
        <v/>
      </c>
    </row>
    <row r="49" ht="12.75" customHeight="1" s="7635" thickBot="1">
      <c r="A49" s="5065" t="n"/>
      <c r="B49" s="5154" t="n"/>
      <c r="C49" s="981" t="inlineStr">
        <is>
          <t>on the back</t>
        </is>
      </c>
      <c r="D49" s="981" t="n"/>
      <c r="E49" s="981" t="n"/>
      <c r="F49" s="981" t="n"/>
      <c r="G49" s="981" t="n"/>
      <c r="H49" s="981" t="n"/>
      <c r="I49" s="981" t="n"/>
      <c r="J49" s="981" t="n"/>
      <c r="K49" s="981" t="n"/>
      <c r="L49" s="981" t="n"/>
      <c r="M49" s="10736" t="inlineStr">
        <is>
          <t xml:space="preserve">.   .   .   .   .   .   .   .   .   .   .   .   .   .   .   .   .   .   .   .   .   .   .   .   .   .   .   .   .   .   .   .  </t>
        </is>
      </c>
      <c r="N49" s="3742">
        <f>B48</f>
        <v/>
      </c>
      <c r="O49" s="8216">
        <f>IF(T49&lt;&gt;"",ROUND(T49,0),IF(AND(O35="",O37="",O39="",O41="",O43="",O44="",O45="",OR(P46=0,P46="")),"",SUM(O35,O37,O39,O41,O43,O44,O45,P46)))</f>
        <v/>
      </c>
      <c r="P49" s="8848" t="n"/>
      <c r="Q49" s="8848" t="n"/>
      <c r="R49" s="5151" t="n"/>
      <c r="S49" s="5152" t="n"/>
      <c r="T49" s="803" t="n"/>
      <c r="U49" s="139" t="n"/>
      <c r="V49" s="8648" t="n"/>
      <c r="W49" s="8648" t="n"/>
      <c r="X49" s="8648" t="n"/>
      <c r="Y49" s="8648" t="n"/>
    </row>
    <row r="50" ht="12.75" customHeight="1" s="7635">
      <c r="A50" s="5065" t="n"/>
      <c r="B50" s="3071" t="inlineStr">
        <is>
          <t>For Paperwork Reduction Act Notice, see your tax return instructions.</t>
        </is>
      </c>
      <c r="C50" s="2754" t="n"/>
      <c r="D50" s="3071" t="n"/>
      <c r="E50" s="3071" t="n"/>
      <c r="F50" s="3071" t="n"/>
      <c r="G50" s="3071" t="n"/>
      <c r="H50" s="3071" t="n"/>
      <c r="I50" s="3071" t="n"/>
      <c r="J50" s="3071" t="n"/>
      <c r="K50" s="2772" t="inlineStr">
        <is>
          <t>Cat. No. 11338H</t>
        </is>
      </c>
      <c r="L50" s="2772" t="n"/>
      <c r="M50" s="3072" t="n"/>
      <c r="N50" s="3072" t="n"/>
      <c r="O50" s="3072" t="n"/>
      <c r="P50" s="3300" t="n"/>
      <c r="Q50" s="3300">
        <f>"Schedule D (Form 1040)   "&amp;TaxYear</f>
        <v/>
      </c>
      <c r="R50" s="5165" t="n"/>
      <c r="S50" s="5166" t="n"/>
      <c r="T50" s="139" t="n"/>
      <c r="U50" s="139" t="n"/>
      <c r="V50" s="1201" t="n"/>
      <c r="W50" s="1201" t="n"/>
      <c r="X50" s="1201" t="n"/>
      <c r="Y50" s="1201" t="n"/>
    </row>
    <row r="51" ht="12" customHeight="1" s="7635">
      <c r="A51" s="5065" t="n"/>
      <c r="B51" s="2754" t="n"/>
      <c r="C51" s="2754" t="n"/>
      <c r="D51" s="3071" t="n"/>
      <c r="E51" s="3071" t="n"/>
      <c r="F51" s="3071" t="n"/>
      <c r="G51" s="3071" t="n"/>
      <c r="H51" s="3071" t="n"/>
      <c r="I51" s="3071" t="n"/>
      <c r="J51" s="3071" t="n"/>
      <c r="K51" s="3073" t="n"/>
      <c r="L51" s="3073" t="n"/>
      <c r="M51" s="3072" t="n"/>
      <c r="N51" s="3072" t="n"/>
      <c r="O51" s="3072" t="n"/>
      <c r="P51" s="2075" t="n"/>
      <c r="Q51" s="2075" t="n"/>
      <c r="R51" s="5167" t="n"/>
      <c r="S51" s="5168" t="n"/>
      <c r="T51" s="139" t="n"/>
      <c r="U51" s="139" t="n"/>
      <c r="V51" s="1201" t="n"/>
      <c r="W51" s="1201" t="n"/>
      <c r="X51" s="1201" t="n"/>
      <c r="Y51" s="1201" t="n"/>
      <c r="AB51" s="1201" t="n"/>
      <c r="AC51" s="1201" t="n"/>
      <c r="AD51" s="1201" t="n"/>
      <c r="AE51" s="1201" t="n"/>
      <c r="AH51" s="1201" t="n"/>
      <c r="AI51" s="1201" t="n"/>
      <c r="AJ51" s="1201" t="n"/>
      <c r="AK51" s="1201" t="n"/>
      <c r="AM51" s="1201" t="n"/>
      <c r="AN51" s="1201" t="n"/>
      <c r="AO51" s="1201" t="n"/>
      <c r="AP51" s="1201" t="n"/>
      <c r="AR51" s="1201" t="n"/>
      <c r="AS51" s="1201" t="n"/>
      <c r="AT51" s="1201" t="n"/>
      <c r="AU51" s="1201" t="n"/>
      <c r="AW51" s="1201" t="n"/>
      <c r="AX51" s="1201" t="n"/>
      <c r="AY51" s="1201" t="n"/>
      <c r="AZ51" s="1201" t="n"/>
    </row>
    <row r="52" ht="13.5" customHeight="1" s="7635" thickBot="1">
      <c r="A52" s="5065" t="n"/>
      <c r="B52" s="2753">
        <f>"Schedule D ( Form 1040)  "&amp;TaxYear</f>
        <v/>
      </c>
      <c r="C52" s="2753" t="n"/>
      <c r="D52" s="3071" t="n"/>
      <c r="E52" s="3071" t="n"/>
      <c r="F52" s="3071" t="n"/>
      <c r="G52" s="3071" t="n"/>
      <c r="H52" s="3071" t="n"/>
      <c r="I52" s="3071" t="n"/>
      <c r="J52" s="3071" t="n"/>
      <c r="K52" s="3072" t="n"/>
      <c r="L52" s="3072" t="n"/>
      <c r="M52" s="3072" t="n"/>
      <c r="N52" s="3072" t="n"/>
      <c r="O52" s="3072" t="n"/>
      <c r="P52" s="5169" t="n"/>
      <c r="Q52" s="3079" t="inlineStr">
        <is>
          <t>Page  2</t>
        </is>
      </c>
      <c r="R52" s="5165" t="n"/>
      <c r="S52" s="5166" t="n"/>
      <c r="T52" s="139" t="n"/>
      <c r="U52" s="139" t="n"/>
      <c r="V52" s="1201" t="n"/>
      <c r="W52" s="1201" t="n"/>
      <c r="X52" s="1201" t="n"/>
      <c r="Y52" s="1201" t="n"/>
      <c r="AB52" s="1201" t="n"/>
      <c r="AC52" s="1201" t="n"/>
      <c r="AD52" s="1201" t="n"/>
      <c r="AE52" s="1201" t="n"/>
      <c r="AH52" s="1201" t="n"/>
      <c r="AI52" s="1201" t="n"/>
      <c r="AJ52" s="1201" t="n"/>
      <c r="AK52" s="1201" t="n"/>
      <c r="AM52" s="1201" t="n"/>
      <c r="AN52" s="1201" t="n"/>
      <c r="AO52" s="1201" t="n"/>
      <c r="AP52" s="1201" t="n"/>
      <c r="AR52" s="1201" t="n"/>
      <c r="AS52" s="1201" t="n"/>
      <c r="AT52" s="1201" t="n"/>
      <c r="AU52" s="1201" t="n"/>
      <c r="AW52" s="1201" t="n"/>
      <c r="AX52" s="1201" t="n"/>
      <c r="AY52" s="1201" t="n"/>
      <c r="AZ52" s="1201" t="n"/>
    </row>
    <row r="53" ht="6" customHeight="1" s="7635">
      <c r="A53" s="5065" t="n"/>
      <c r="B53" s="3084" t="n"/>
      <c r="C53" s="3084" t="n"/>
      <c r="D53" s="2828" t="n"/>
      <c r="E53" s="2828" t="n"/>
      <c r="F53" s="2828" t="n"/>
      <c r="G53" s="2828" t="n"/>
      <c r="H53" s="2828" t="n"/>
      <c r="I53" s="2828" t="n"/>
      <c r="J53" s="2828" t="n"/>
      <c r="K53" s="2829" t="n"/>
      <c r="L53" s="2829" t="n"/>
      <c r="M53" s="2829" t="n"/>
      <c r="N53" s="2829" t="n"/>
      <c r="O53" s="2829" t="n"/>
      <c r="P53" s="2832" t="n"/>
      <c r="Q53" s="2832" t="n"/>
      <c r="R53" s="5167" t="n"/>
      <c r="S53" s="5168" t="n"/>
      <c r="T53" s="139" t="n"/>
      <c r="U53" s="139" t="n"/>
      <c r="V53" s="1201" t="n"/>
      <c r="W53" s="1201" t="n"/>
      <c r="X53" s="1201" t="n"/>
      <c r="Y53" s="1201" t="n"/>
      <c r="AB53" s="1201" t="n"/>
      <c r="AC53" s="1201" t="n"/>
      <c r="AD53" s="1201" t="n"/>
      <c r="AE53" s="1201" t="n"/>
      <c r="AH53" s="1201" t="n"/>
      <c r="AI53" s="1201" t="n"/>
      <c r="AJ53" s="1201" t="n"/>
      <c r="AK53" s="1201" t="n"/>
      <c r="AM53" s="1201" t="n"/>
      <c r="AN53" s="1201" t="n"/>
      <c r="AO53" s="1201" t="n"/>
      <c r="AP53" s="1201" t="n"/>
      <c r="AR53" s="1201" t="n"/>
      <c r="AS53" s="1201" t="n"/>
      <c r="AT53" s="1201" t="n"/>
      <c r="AU53" s="1201" t="n"/>
      <c r="AW53" s="1201" t="n"/>
      <c r="AX53" s="1201" t="n"/>
      <c r="AY53" s="1201" t="n"/>
      <c r="AZ53" s="1201" t="n"/>
    </row>
    <row r="54" ht="15.75" customHeight="1" s="7635">
      <c r="A54" s="5065" t="n"/>
      <c r="B54" s="8329" t="inlineStr">
        <is>
          <t>PART III</t>
        </is>
      </c>
      <c r="E54" s="5067" t="inlineStr">
        <is>
          <t xml:space="preserve"> Summary</t>
        </is>
      </c>
      <c r="F54" s="5170" t="n"/>
      <c r="G54" s="5170" t="n"/>
      <c r="H54" s="3686" t="n"/>
      <c r="I54" s="3686" t="n"/>
      <c r="J54" s="3686" t="n"/>
      <c r="K54" s="5171" t="n"/>
      <c r="L54" s="5171" t="n"/>
      <c r="M54" s="5170" t="n"/>
      <c r="N54" s="5171" t="n"/>
      <c r="O54" s="5171" t="n"/>
      <c r="P54" s="5171" t="n"/>
      <c r="Q54" s="5171" t="n"/>
      <c r="R54" s="5165" t="n"/>
      <c r="S54" s="5166" t="n"/>
      <c r="T54" s="139" t="n"/>
      <c r="U54" s="139" t="n"/>
      <c r="V54" s="9880" t="n"/>
      <c r="W54" s="9880" t="n"/>
      <c r="X54" s="9880" t="n"/>
      <c r="Y54" s="9880" t="n"/>
      <c r="AB54" s="1201" t="n"/>
      <c r="AC54" s="1201" t="n"/>
      <c r="AD54" s="1201" t="n"/>
      <c r="AE54" s="1201" t="n"/>
      <c r="AH54" s="1201" t="n"/>
      <c r="AI54" s="1201" t="n"/>
      <c r="AJ54" s="1201" t="n"/>
      <c r="AK54" s="1201" t="n"/>
      <c r="AM54" s="1201" t="n"/>
      <c r="AN54" s="1201" t="n"/>
      <c r="AO54" s="1201" t="n"/>
      <c r="AP54" s="1201" t="n"/>
      <c r="AR54" s="1201" t="n"/>
      <c r="AS54" s="1201" t="n"/>
      <c r="AT54" s="1201" t="n"/>
      <c r="AU54" s="1201" t="n"/>
      <c r="AW54" s="1201" t="n"/>
      <c r="AX54" s="1201" t="n"/>
      <c r="AY54" s="1201" t="n"/>
      <c r="AZ54" s="1201" t="n"/>
    </row>
    <row r="55" ht="6" customFormat="1" customHeight="1" s="9864">
      <c r="A55" s="5065" t="n"/>
      <c r="B55" s="5101" t="n"/>
      <c r="C55" s="5101" t="n"/>
      <c r="D55" s="5172" t="n"/>
      <c r="E55" s="5172" t="n"/>
      <c r="F55" s="5172" t="n"/>
      <c r="G55" s="5172" t="n"/>
      <c r="H55" s="5172" t="n"/>
      <c r="I55" s="5172" t="n"/>
      <c r="J55" s="5172" t="n"/>
      <c r="K55" s="5173" t="n"/>
      <c r="L55" s="5173" t="n"/>
      <c r="M55" s="5174" t="n"/>
      <c r="N55" s="5174" t="n"/>
      <c r="O55" s="5174" t="n"/>
      <c r="P55" s="5175" t="n"/>
      <c r="Q55" s="5175" t="n"/>
      <c r="R55" s="5167" t="n"/>
      <c r="S55" s="5168" t="n"/>
      <c r="T55" s="139" t="n"/>
      <c r="U55" s="139" t="n"/>
      <c r="V55" s="1201" t="n"/>
      <c r="W55" s="1201" t="n"/>
      <c r="X55" s="1201" t="n"/>
      <c r="Y55" s="1201" t="n"/>
      <c r="AB55" s="302" t="n"/>
      <c r="AC55" s="302" t="n"/>
      <c r="AD55" s="302" t="n"/>
      <c r="AE55" s="302" t="n"/>
      <c r="AF55" s="302" t="n"/>
      <c r="AH55" s="302" t="n"/>
      <c r="AI55" s="302" t="n"/>
      <c r="AJ55" s="302" t="n"/>
      <c r="AK55" s="302" t="n"/>
      <c r="AM55" s="302" t="n"/>
      <c r="AN55" s="302" t="n"/>
      <c r="AO55" s="302" t="n"/>
      <c r="AP55" s="302" t="n"/>
      <c r="AR55" s="302" t="n"/>
      <c r="AS55" s="302" t="n"/>
      <c r="AT55" s="302" t="n"/>
      <c r="AU55" s="302" t="n"/>
      <c r="AW55" s="302" t="n"/>
      <c r="AX55" s="302" t="n"/>
      <c r="AY55" s="302" t="n"/>
      <c r="AZ55" s="302" t="n"/>
      <c r="BB55" s="665" t="n"/>
      <c r="BC55" s="665" t="n"/>
      <c r="BD55" s="665" t="n"/>
      <c r="BE55" s="665" t="n"/>
      <c r="BF55" s="665" t="n"/>
      <c r="BG55" s="665" t="n"/>
      <c r="BH55" s="665" t="n"/>
      <c r="BI55" s="665" t="n"/>
      <c r="BJ55" s="665" t="n"/>
      <c r="BK55" s="665" t="n"/>
    </row>
    <row r="56" ht="7.5" customHeight="1" s="7635">
      <c r="A56" s="5065" t="n"/>
      <c r="B56" s="2984" t="n"/>
      <c r="C56" s="8647" t="n"/>
      <c r="D56" s="3626" t="n"/>
      <c r="E56" s="3626" t="n"/>
      <c r="F56" s="8647" t="n"/>
      <c r="G56" s="8647" t="n"/>
      <c r="H56" s="5140" t="n"/>
      <c r="I56" s="2755" t="n"/>
      <c r="J56" s="2755" t="n"/>
      <c r="K56" s="2755" t="n"/>
      <c r="L56" s="8374" t="n"/>
      <c r="M56" s="8374" t="n"/>
      <c r="N56" s="5162" t="n"/>
      <c r="O56" s="8332">
        <f>SchDLine16&lt;&gt;""</f>
        <v/>
      </c>
      <c r="P56" s="7839" t="n"/>
      <c r="Q56" s="5176" t="n"/>
      <c r="R56" s="5167" t="n"/>
      <c r="S56" s="5168" t="n"/>
      <c r="T56" s="139" t="n"/>
      <c r="U56" s="139" t="n"/>
      <c r="V56" s="8648" t="n"/>
      <c r="W56" s="8648" t="n"/>
      <c r="X56" s="8648" t="n"/>
      <c r="Y56" s="8648" t="n"/>
      <c r="AB56" s="1201" t="n"/>
      <c r="AC56" s="1201" t="n"/>
      <c r="AD56" s="1201" t="n"/>
      <c r="AE56" s="1201" t="n"/>
      <c r="AH56" s="1201" t="n"/>
      <c r="AI56" s="1201" t="n"/>
      <c r="AJ56" s="1201" t="n"/>
      <c r="AK56" s="1201" t="n"/>
      <c r="AM56" s="1201" t="n"/>
      <c r="AN56" s="1201" t="n"/>
      <c r="AO56" s="1201" t="n"/>
      <c r="AP56" s="1201" t="n"/>
      <c r="AR56" s="1201" t="n"/>
      <c r="AS56" s="1201" t="n"/>
      <c r="AT56" s="1201" t="n"/>
      <c r="AU56" s="1201" t="n"/>
      <c r="AW56" s="1201" t="n"/>
      <c r="AX56" s="1201" t="n"/>
      <c r="AY56" s="1201" t="n"/>
      <c r="AZ56" s="1201" t="n"/>
    </row>
    <row r="57" ht="12.75" customHeight="1" s="7635">
      <c r="A57" s="5065" t="n"/>
      <c r="B57" s="2984" t="n">
        <v>16</v>
      </c>
      <c r="C57" s="8651" t="inlineStr">
        <is>
          <t>Combine lines 7 and 15 and enter the result.</t>
        </is>
      </c>
      <c r="D57" s="3626" t="n"/>
      <c r="E57" s="3626" t="n"/>
      <c r="F57" s="8647" t="n"/>
      <c r="G57" s="8647" t="n"/>
      <c r="H57" s="5140" t="n"/>
      <c r="I57" s="2755" t="n"/>
      <c r="J57" s="2755" t="n"/>
      <c r="K57" s="2755" t="n"/>
      <c r="L57" s="8374" t="n"/>
      <c r="M57" s="8374" t="inlineStr">
        <is>
          <t xml:space="preserve"> .   .   .   .   .   .   .   .   .   .   .   .   .   .   .   .   .   .   .   .   .   . </t>
        </is>
      </c>
      <c r="N57" s="3039">
        <f>B57</f>
        <v/>
      </c>
      <c r="O57" s="8176">
        <f>IF(T57&lt;&gt;"",ROUND(T57,0),IF(AND(O29="",O49=""),"",SUM(O29,O49)))</f>
        <v/>
      </c>
      <c r="P57" s="7637" t="n"/>
      <c r="Q57" s="7637" t="n"/>
      <c r="R57" s="5167" t="n"/>
      <c r="S57" s="5168" t="n"/>
      <c r="T57" s="803" t="n"/>
      <c r="U57" s="139" t="n"/>
      <c r="V57" s="8648" t="n"/>
      <c r="W57" s="8648" t="n"/>
      <c r="X57" s="8648" t="n"/>
      <c r="Y57" s="8648" t="n"/>
    </row>
    <row r="58" ht="6" customHeight="1" s="7635">
      <c r="A58" s="5065" t="n"/>
      <c r="B58" s="2984" t="n"/>
      <c r="C58" s="8647" t="n"/>
      <c r="D58" s="3626" t="n"/>
      <c r="E58" s="3626" t="n"/>
      <c r="F58" s="8647" t="n"/>
      <c r="G58" s="8647" t="n"/>
      <c r="H58" s="5140" t="n"/>
      <c r="I58" s="2755" t="n"/>
      <c r="J58" s="2755" t="n"/>
      <c r="K58" s="2755" t="n"/>
      <c r="L58" s="8374" t="n"/>
      <c r="M58" s="8374" t="n"/>
      <c r="N58" s="5177" t="n"/>
      <c r="O58" s="10931" t="n"/>
      <c r="P58" s="10932" t="n"/>
      <c r="Q58" s="10932" t="n"/>
      <c r="R58" s="5167" t="n"/>
      <c r="S58" s="5168" t="n"/>
      <c r="T58" s="139" t="n"/>
      <c r="U58" s="139" t="n"/>
      <c r="V58" s="8648" t="n"/>
      <c r="W58" s="8648" t="n"/>
      <c r="X58" s="8648" t="n"/>
      <c r="Y58" s="8648" t="n"/>
    </row>
    <row r="59">
      <c r="A59" s="5180">
        <f>AND(SchDLine16&lt;&gt;"",SchDLine16&gt;0)</f>
        <v/>
      </c>
      <c r="B59" s="6279" t="inlineStr">
        <is>
          <t>l</t>
        </is>
      </c>
      <c r="C59" s="2769" t="inlineStr">
        <is>
          <t>If line 16 is a gain, enter the amount from line 16 on Form 1040, 1040-SR, or 1040-NR, line 7a.</t>
        </is>
      </c>
      <c r="D59" s="2770" t="n"/>
      <c r="E59" s="3097" t="n"/>
      <c r="F59" s="3097" t="n"/>
      <c r="G59" s="3097" t="n"/>
      <c r="H59" s="3097" t="n"/>
      <c r="I59" s="3097" t="n"/>
      <c r="J59" s="3097" t="n"/>
      <c r="K59" s="3624" t="n"/>
      <c r="L59" s="3624" t="n"/>
      <c r="M59" s="5181" t="n"/>
      <c r="N59" s="5177" t="n"/>
      <c r="O59" s="10931" t="n"/>
      <c r="P59" s="10932" t="n"/>
      <c r="Q59" s="10932" t="n"/>
      <c r="R59" s="5165" t="n"/>
      <c r="S59" s="5166" t="n"/>
      <c r="T59" s="139" t="n"/>
      <c r="U59" s="139" t="n"/>
      <c r="V59" s="8043" t="n"/>
      <c r="W59" s="8043" t="n"/>
      <c r="X59" s="8043" t="n"/>
      <c r="Y59" s="8043" t="n"/>
    </row>
    <row r="60" ht="13.5" customFormat="1" customHeight="1" s="80">
      <c r="A60" s="2510" t="n"/>
      <c r="B60" s="5182" t="n"/>
      <c r="C60" s="3214" t="inlineStr">
        <is>
          <t>Then go to line 17 below.</t>
        </is>
      </c>
      <c r="D60" s="2770" t="n"/>
      <c r="E60" s="3097" t="n"/>
      <c r="F60" s="3097" t="n"/>
      <c r="G60" s="3097" t="n"/>
      <c r="H60" s="3097" t="n"/>
      <c r="I60" s="3097" t="n"/>
      <c r="J60" s="3097" t="n"/>
      <c r="K60" s="3624" t="n"/>
      <c r="L60" s="3624" t="n"/>
      <c r="M60" s="5181" t="n"/>
      <c r="N60" s="5177" t="n"/>
      <c r="O60" s="10931" t="n"/>
      <c r="P60" s="10932" t="n"/>
      <c r="Q60" s="10932" t="n"/>
      <c r="R60" s="5165" t="n"/>
      <c r="S60" s="5166" t="n"/>
      <c r="T60" s="139" t="n"/>
      <c r="U60" s="139" t="n"/>
      <c r="V60" s="8043" t="n"/>
      <c r="W60" s="8043" t="n"/>
      <c r="X60" s="8043" t="n"/>
      <c r="Y60" s="8043" t="n"/>
      <c r="Z60" s="8648" t="n"/>
      <c r="AA60" s="8648" t="n"/>
      <c r="AB60" s="1201" t="n"/>
      <c r="AC60" s="1201" t="n"/>
      <c r="AD60" s="1201" t="n"/>
      <c r="AE60" s="1201" t="n"/>
      <c r="AF60" s="9123" t="n"/>
      <c r="AG60" s="8648" t="n"/>
      <c r="AH60" s="1201" t="n"/>
      <c r="AI60" s="1201" t="n"/>
      <c r="AJ60" s="1201" t="n"/>
      <c r="AK60" s="1201" t="n"/>
      <c r="AL60" s="8648" t="n"/>
      <c r="AM60" s="1201" t="n"/>
      <c r="AN60" s="1201" t="n"/>
      <c r="AO60" s="1201" t="n"/>
      <c r="AP60" s="1201" t="n"/>
      <c r="AQ60" s="8648" t="n"/>
      <c r="AR60" s="1201" t="n"/>
      <c r="AS60" s="1201" t="n"/>
      <c r="AT60" s="1201" t="n"/>
      <c r="AU60" s="1201" t="n"/>
      <c r="AV60" s="8648" t="n"/>
      <c r="AW60" s="1201" t="n"/>
      <c r="AX60" s="1201" t="n"/>
      <c r="AY60" s="1201" t="n"/>
      <c r="AZ60" s="1201" t="n"/>
      <c r="BA60" s="8648" t="n"/>
      <c r="BB60" s="664" t="n"/>
      <c r="BC60" s="664" t="n"/>
      <c r="BD60" s="664" t="n"/>
      <c r="BE60" s="664" t="n"/>
      <c r="BF60" s="664" t="n"/>
      <c r="BG60" s="664" t="n"/>
      <c r="BH60" s="664" t="n"/>
      <c r="BI60" s="664" t="n"/>
      <c r="BJ60" s="664" t="n"/>
      <c r="BK60" s="664" t="n"/>
    </row>
    <row r="61" ht="11.25" customFormat="1" customHeight="1" s="80">
      <c r="A61" s="5180">
        <f>AND(SchDLine16&lt;&gt;"",SchDLine16&lt;0)</f>
        <v/>
      </c>
      <c r="B61" s="6279" t="inlineStr">
        <is>
          <t>l</t>
        </is>
      </c>
      <c r="C61" s="2769" t="inlineStr">
        <is>
          <t>If line 16 is a loss, skip lines 17 through 20 below. Then go to line 21. Also be sure to complete</t>
        </is>
      </c>
      <c r="D61" s="2770" t="n"/>
      <c r="E61" s="3097" t="n"/>
      <c r="F61" s="3097" t="n"/>
      <c r="G61" s="3097" t="n"/>
      <c r="H61" s="3097" t="n"/>
      <c r="I61" s="3097" t="n"/>
      <c r="J61" s="3097" t="n"/>
      <c r="K61" s="3624" t="n"/>
      <c r="L61" s="3624" t="n"/>
      <c r="M61" s="5181" t="n"/>
      <c r="N61" s="5177" t="n"/>
      <c r="O61" s="10931" t="n"/>
      <c r="P61" s="10932" t="n"/>
      <c r="Q61" s="10932" t="n"/>
      <c r="R61" s="5165" t="n"/>
      <c r="S61" s="5166" t="n"/>
      <c r="T61" s="139" t="n"/>
      <c r="U61" s="139" t="n"/>
      <c r="V61" s="8043" t="n"/>
      <c r="W61" s="8043" t="n"/>
      <c r="X61" s="8043" t="n"/>
      <c r="Y61" s="8043" t="n"/>
      <c r="Z61" s="8648" t="n"/>
      <c r="AA61" s="8648" t="n"/>
      <c r="AB61" s="1201" t="n"/>
      <c r="AC61" s="1201" t="n"/>
      <c r="AD61" s="1201" t="n"/>
      <c r="AE61" s="1201" t="n"/>
      <c r="AF61" s="9123" t="n"/>
      <c r="AG61" s="8648" t="n"/>
      <c r="AH61" s="1201" t="n"/>
      <c r="AI61" s="1201" t="n"/>
      <c r="AJ61" s="1201" t="n"/>
      <c r="AK61" s="1201" t="n"/>
      <c r="AL61" s="8648" t="n"/>
      <c r="AM61" s="1201" t="n"/>
      <c r="AN61" s="1201" t="n"/>
      <c r="AO61" s="1201" t="n"/>
      <c r="AP61" s="1201" t="n"/>
      <c r="AQ61" s="8648" t="n"/>
      <c r="AR61" s="1201" t="n"/>
      <c r="AS61" s="1201" t="n"/>
      <c r="AT61" s="1201" t="n"/>
      <c r="AU61" s="1201" t="n"/>
      <c r="AV61" s="8648" t="n"/>
      <c r="AW61" s="1201" t="n"/>
      <c r="AX61" s="1201" t="n"/>
      <c r="AY61" s="1201" t="n"/>
      <c r="AZ61" s="1201" t="n"/>
      <c r="BA61" s="8648" t="n"/>
      <c r="BB61" s="664" t="n"/>
      <c r="BC61" s="664" t="n"/>
      <c r="BD61" s="664" t="n"/>
      <c r="BE61" s="664" t="n"/>
      <c r="BF61" s="664" t="n"/>
      <c r="BG61" s="664" t="n"/>
      <c r="BH61" s="664" t="n"/>
      <c r="BI61" s="664" t="n"/>
      <c r="BJ61" s="664" t="n"/>
      <c r="BK61" s="664" t="n"/>
    </row>
    <row r="62" ht="15" customFormat="1" customHeight="1" s="80">
      <c r="A62" s="2510" t="n"/>
      <c r="B62" s="5182" t="n"/>
      <c r="C62" s="3214" t="inlineStr">
        <is>
          <t>line 22.</t>
        </is>
      </c>
      <c r="D62" s="2770" t="n"/>
      <c r="E62" s="3097" t="n"/>
      <c r="F62" s="3097" t="n"/>
      <c r="G62" s="3097" t="n"/>
      <c r="H62" s="3097" t="n"/>
      <c r="I62" s="3097" t="n"/>
      <c r="J62" s="3097" t="n"/>
      <c r="K62" s="3624" t="n"/>
      <c r="L62" s="3624" t="n"/>
      <c r="M62" s="5181" t="n"/>
      <c r="N62" s="5177" t="n"/>
      <c r="O62" s="10931" t="n"/>
      <c r="P62" s="10932" t="n"/>
      <c r="Q62" s="10932" t="n"/>
      <c r="R62" s="5165" t="n"/>
      <c r="S62" s="5166" t="n"/>
      <c r="T62" s="139" t="n"/>
      <c r="U62" s="139" t="n"/>
      <c r="V62" s="8043" t="n"/>
      <c r="W62" s="8043" t="n"/>
      <c r="X62" s="8043" t="n"/>
      <c r="Y62" s="8043" t="n"/>
      <c r="Z62" s="8648" t="n"/>
      <c r="AA62" s="8648" t="n"/>
      <c r="AB62" s="1201" t="n"/>
      <c r="AC62" s="1201" t="n"/>
      <c r="AD62" s="1201" t="n"/>
      <c r="AE62" s="1201" t="n"/>
      <c r="AF62" s="9123" t="n"/>
      <c r="AG62" s="8648" t="n"/>
      <c r="AH62" s="1201" t="n"/>
      <c r="AI62" s="1201" t="n"/>
      <c r="AJ62" s="1201" t="n"/>
      <c r="AK62" s="1201" t="n"/>
      <c r="AL62" s="8648" t="n"/>
      <c r="AM62" s="1201" t="n"/>
      <c r="AN62" s="1201" t="n"/>
      <c r="AO62" s="1201" t="n"/>
      <c r="AP62" s="1201" t="n"/>
      <c r="AQ62" s="8648" t="n"/>
      <c r="AR62" s="1201" t="n"/>
      <c r="AS62" s="1201" t="n"/>
      <c r="AT62" s="1201" t="n"/>
      <c r="AU62" s="1201" t="n"/>
      <c r="AV62" s="8648" t="n"/>
      <c r="AW62" s="1201" t="n"/>
      <c r="AX62" s="1201" t="n"/>
      <c r="AY62" s="1201" t="n"/>
      <c r="AZ62" s="1201" t="n"/>
      <c r="BA62" s="8648" t="n"/>
      <c r="BB62" s="664" t="n"/>
      <c r="BC62" s="664" t="n"/>
      <c r="BD62" s="664" t="n"/>
      <c r="BE62" s="664" t="n"/>
      <c r="BF62" s="664" t="n"/>
      <c r="BG62" s="664" t="n"/>
      <c r="BH62" s="664" t="n"/>
      <c r="BI62" s="664" t="n"/>
      <c r="BJ62" s="664" t="n"/>
      <c r="BK62" s="664" t="n"/>
    </row>
    <row r="63" ht="13.5" customFormat="1" customHeight="1" s="80">
      <c r="A63" s="5180">
        <f>AND(SchDLine16&lt;&gt;"",SchDLine16=0)</f>
        <v/>
      </c>
      <c r="B63" s="6279" t="inlineStr">
        <is>
          <t>l</t>
        </is>
      </c>
      <c r="C63" s="2769" t="inlineStr">
        <is>
          <t>If line 16 is zero, skip lines 17 through 21 below and enter -0- on Form 1040, 1040-SR, or</t>
        </is>
      </c>
      <c r="D63" s="2770" t="n"/>
      <c r="E63" s="3097" t="n"/>
      <c r="F63" s="3097" t="n"/>
      <c r="G63" s="3097" t="n"/>
      <c r="H63" s="3097" t="n"/>
      <c r="I63" s="3097" t="n"/>
      <c r="J63" s="3097" t="n"/>
      <c r="K63" s="3624" t="n"/>
      <c r="L63" s="3624" t="n"/>
      <c r="M63" s="5181" t="n"/>
      <c r="N63" s="5177" t="n"/>
      <c r="O63" s="10931" t="n"/>
      <c r="P63" s="10932" t="n"/>
      <c r="Q63" s="10932" t="n"/>
      <c r="R63" s="5165" t="n"/>
      <c r="S63" s="5166" t="n"/>
      <c r="T63" s="139" t="n"/>
      <c r="U63" s="139" t="n"/>
      <c r="V63" s="8043" t="n"/>
      <c r="W63" s="8043" t="n"/>
      <c r="X63" s="8043" t="n"/>
      <c r="Y63" s="8043" t="n"/>
      <c r="Z63" s="8648" t="n"/>
      <c r="AA63" s="8648" t="n"/>
      <c r="AB63" s="1201" t="n"/>
      <c r="AC63" s="1201" t="n"/>
      <c r="AD63" s="1201" t="n"/>
      <c r="AE63" s="1201" t="n"/>
      <c r="AF63" s="9123" t="n"/>
      <c r="AG63" s="8648" t="n"/>
      <c r="AH63" s="1201" t="n"/>
      <c r="AI63" s="1201" t="n"/>
      <c r="AJ63" s="1201" t="n"/>
      <c r="AK63" s="1201" t="n"/>
      <c r="AL63" s="8648" t="n"/>
      <c r="AM63" s="1201" t="n"/>
      <c r="AN63" s="1201" t="n"/>
      <c r="AO63" s="1201" t="n"/>
      <c r="AP63" s="1201" t="n"/>
      <c r="AQ63" s="8648" t="n"/>
      <c r="AR63" s="1201" t="n"/>
      <c r="AS63" s="1201" t="n"/>
      <c r="AT63" s="1201" t="n"/>
      <c r="AU63" s="1201" t="n"/>
      <c r="AV63" s="8648" t="n"/>
      <c r="AW63" s="1201" t="n"/>
      <c r="AX63" s="1201" t="n"/>
      <c r="AY63" s="1201" t="n"/>
      <c r="AZ63" s="1201" t="n"/>
      <c r="BA63" s="8648" t="n"/>
      <c r="BB63" s="664" t="n"/>
      <c r="BC63" s="664" t="n"/>
      <c r="BD63" s="664" t="n"/>
      <c r="BE63" s="664" t="n"/>
      <c r="BF63" s="664" t="n"/>
      <c r="BG63" s="664" t="n"/>
      <c r="BH63" s="664" t="n"/>
      <c r="BI63" s="664" t="n"/>
      <c r="BJ63" s="664" t="n"/>
      <c r="BK63" s="664" t="n"/>
    </row>
    <row r="64" ht="15" customFormat="1" customHeight="1" s="80">
      <c r="A64" s="2510" t="n"/>
      <c r="B64" s="5182" t="n"/>
      <c r="C64" s="3214" t="inlineStr">
        <is>
          <t>1040-NR, line 7a. Then go to line 22.</t>
        </is>
      </c>
      <c r="D64" s="2770" t="n"/>
      <c r="E64" s="3097" t="n"/>
      <c r="F64" s="3097" t="n"/>
      <c r="G64" s="3097" t="n"/>
      <c r="H64" s="3097" t="n"/>
      <c r="I64" s="3097" t="n"/>
      <c r="J64" s="3097" t="n"/>
      <c r="K64" s="3624" t="n"/>
      <c r="L64" s="3624" t="n"/>
      <c r="M64" s="5181" t="n"/>
      <c r="N64" s="5177" t="n"/>
      <c r="O64" s="10931" t="n"/>
      <c r="P64" s="10932" t="n"/>
      <c r="Q64" s="10932" t="n"/>
      <c r="R64" s="5165" t="n"/>
      <c r="S64" s="5166" t="n"/>
      <c r="T64" s="139" t="n"/>
      <c r="U64" s="139" t="n"/>
      <c r="V64" s="8043" t="n"/>
      <c r="W64" s="8043" t="n"/>
      <c r="X64" s="8043" t="n"/>
      <c r="Y64" s="8043" t="n"/>
      <c r="Z64" s="8648" t="n"/>
      <c r="AA64" s="8648" t="n"/>
      <c r="AB64" s="1201" t="n"/>
      <c r="AC64" s="1201" t="n"/>
      <c r="AD64" s="1201" t="n"/>
      <c r="AE64" s="1201" t="n"/>
      <c r="AF64" s="9123" t="n"/>
      <c r="AG64" s="8648" t="n"/>
      <c r="AH64" s="1201" t="n"/>
      <c r="AI64" s="1201" t="n"/>
      <c r="AJ64" s="1201" t="n"/>
      <c r="AK64" s="1201" t="n"/>
      <c r="AL64" s="8648" t="n"/>
      <c r="AM64" s="1201" t="n"/>
      <c r="AN64" s="1201" t="n"/>
      <c r="AO64" s="1201" t="n"/>
      <c r="AP64" s="1201" t="n"/>
      <c r="AQ64" s="8648" t="n"/>
      <c r="AR64" s="1201" t="n"/>
      <c r="AS64" s="1201" t="n"/>
      <c r="AT64" s="1201" t="n"/>
      <c r="AU64" s="1201" t="n"/>
      <c r="AV64" s="8648" t="n"/>
      <c r="AW64" s="1201" t="n"/>
      <c r="AX64" s="1201" t="n"/>
      <c r="AY64" s="1201" t="n"/>
      <c r="AZ64" s="1201" t="n"/>
      <c r="BA64" s="8648" t="n"/>
      <c r="BB64" s="664" t="n"/>
      <c r="BC64" s="664" t="n"/>
      <c r="BD64" s="664" t="n"/>
      <c r="BE64" s="664" t="n"/>
      <c r="BF64" s="664" t="n"/>
      <c r="BG64" s="664" t="n"/>
      <c r="BH64" s="664" t="n"/>
      <c r="BI64" s="664" t="n"/>
      <c r="BJ64" s="664" t="n"/>
      <c r="BK64" s="664" t="n"/>
    </row>
    <row r="65" ht="6" customFormat="1" customHeight="1" s="80">
      <c r="A65" s="2510" t="n"/>
      <c r="B65" s="2984" t="n"/>
      <c r="C65" s="3097" t="n"/>
      <c r="D65" s="3097" t="n"/>
      <c r="E65" s="3097" t="n"/>
      <c r="F65" s="3097" t="n"/>
      <c r="G65" s="3097" t="n"/>
      <c r="H65" s="3097" t="n"/>
      <c r="I65" s="3097" t="n"/>
      <c r="J65" s="3097" t="n"/>
      <c r="K65" s="3624" t="n"/>
      <c r="L65" s="3624" t="n"/>
      <c r="M65" s="5181" t="n"/>
      <c r="N65" s="5177" t="n"/>
      <c r="O65" s="10931" t="n"/>
      <c r="P65" s="10932" t="n"/>
      <c r="Q65" s="10932" t="n"/>
      <c r="R65" s="5165" t="n"/>
      <c r="S65" s="5166" t="n"/>
      <c r="T65" s="139" t="n"/>
      <c r="U65" s="139" t="n"/>
      <c r="V65" s="8043" t="n"/>
      <c r="W65" s="8043" t="n"/>
      <c r="X65" s="8043" t="n"/>
      <c r="Y65" s="8043" t="n"/>
      <c r="Z65" s="8648" t="n"/>
      <c r="AA65" s="8648" t="n"/>
      <c r="AB65" s="1201" t="n"/>
      <c r="AC65" s="1201" t="n"/>
      <c r="AD65" s="1201" t="n"/>
      <c r="AE65" s="1201" t="n"/>
      <c r="AF65" s="9123" t="n"/>
      <c r="AG65" s="8648" t="n"/>
      <c r="AH65" s="1201" t="n"/>
      <c r="AI65" s="1201" t="n"/>
      <c r="AJ65" s="1201" t="n"/>
      <c r="AK65" s="1201" t="n"/>
      <c r="AL65" s="8648" t="n"/>
      <c r="AM65" s="1201" t="n"/>
      <c r="AN65" s="1201" t="n"/>
      <c r="AO65" s="1201" t="n"/>
      <c r="AP65" s="1201" t="n"/>
      <c r="AQ65" s="8648" t="n"/>
      <c r="AR65" s="1201" t="n"/>
      <c r="AS65" s="1201" t="n"/>
      <c r="AT65" s="1201" t="n"/>
      <c r="AU65" s="1201" t="n"/>
      <c r="AV65" s="8648" t="n"/>
      <c r="AW65" s="1201" t="n"/>
      <c r="AX65" s="1201" t="n"/>
      <c r="AY65" s="1201" t="n"/>
      <c r="AZ65" s="1201" t="n"/>
      <c r="BA65" s="8648" t="n"/>
      <c r="BB65" s="664" t="n"/>
      <c r="BC65" s="664" t="n"/>
      <c r="BD65" s="664" t="n"/>
      <c r="BE65" s="664" t="n"/>
      <c r="BF65" s="664" t="n"/>
      <c r="BG65" s="664" t="n"/>
      <c r="BH65" s="664" t="n"/>
      <c r="BI65" s="664" t="n"/>
      <c r="BJ65" s="664" t="n"/>
      <c r="BK65" s="664" t="n"/>
    </row>
    <row r="66" ht="18" customFormat="1" customHeight="1" s="6275">
      <c r="A66" s="6264" t="n"/>
      <c r="B66" s="5183" t="n">
        <v>17</v>
      </c>
      <c r="C66" s="3561" t="inlineStr">
        <is>
          <t>Are lines 15 and 16 both gains?</t>
        </is>
      </c>
      <c r="D66" s="3571" t="n"/>
      <c r="E66" s="3571" t="n"/>
      <c r="F66" s="3570" t="n"/>
      <c r="G66" s="3570" t="n"/>
      <c r="H66" s="3570" t="n"/>
      <c r="I66" s="3570" t="n"/>
      <c r="J66" s="3570" t="n"/>
      <c r="K66" s="6265" t="n"/>
      <c r="L66" s="6265" t="n"/>
      <c r="M66" s="6266" t="n"/>
      <c r="N66" s="6267" t="n"/>
      <c r="O66" s="6268" t="n"/>
      <c r="P66" s="6269" t="n"/>
      <c r="Q66" s="6269" t="n"/>
      <c r="R66" s="6270" t="n"/>
      <c r="S66" s="6271" t="n"/>
      <c r="T66" s="151" t="n"/>
      <c r="U66" s="151" t="n"/>
      <c r="V66" s="6272" t="n"/>
      <c r="W66" s="6272" t="n"/>
      <c r="X66" s="6272" t="n"/>
      <c r="Y66" s="6272" t="n"/>
      <c r="Z66" s="4784" t="n"/>
      <c r="AA66" s="4784" t="n"/>
      <c r="AB66" s="6273" t="n"/>
      <c r="AC66" s="6273" t="n"/>
      <c r="AD66" s="6273" t="n"/>
      <c r="AE66" s="6273" t="n"/>
      <c r="AF66" s="6274" t="n"/>
      <c r="AG66" s="4784" t="n"/>
      <c r="AH66" s="6273" t="n"/>
      <c r="AI66" s="6273" t="n"/>
      <c r="AJ66" s="6273" t="n"/>
      <c r="AK66" s="6273" t="n"/>
      <c r="AL66" s="4784" t="n"/>
      <c r="AM66" s="6273" t="n"/>
      <c r="AN66" s="6273" t="n"/>
      <c r="AO66" s="6273" t="n"/>
      <c r="AP66" s="6273" t="n"/>
      <c r="AQ66" s="4784" t="n"/>
      <c r="AR66" s="6273" t="n"/>
      <c r="AS66" s="6273" t="n"/>
      <c r="AT66" s="6273" t="n"/>
      <c r="AU66" s="6273" t="n"/>
      <c r="AV66" s="4784" t="n"/>
      <c r="AW66" s="6273" t="n"/>
      <c r="AX66" s="6273" t="n"/>
      <c r="AY66" s="6273" t="n"/>
      <c r="AZ66" s="6273" t="n"/>
      <c r="BA66" s="4784" t="n"/>
      <c r="BB66" s="1151" t="n"/>
      <c r="BC66" s="1151" t="n"/>
      <c r="BD66" s="1151" t="n"/>
      <c r="BE66" s="1151" t="n"/>
      <c r="BF66" s="1151" t="n"/>
      <c r="BG66" s="1151" t="n"/>
      <c r="BH66" s="1151" t="n"/>
      <c r="BI66" s="1151" t="n"/>
      <c r="BJ66" s="1151" t="n"/>
      <c r="BK66" s="1151" t="n"/>
    </row>
    <row r="67" ht="13.5" customFormat="1" customHeight="1" s="5184">
      <c r="A67" s="5180">
        <f>AND(A59,SchDLine15&lt;&gt;"",SchDLine15&gt;0,SchDLine16&lt;&gt;"",SchDLine16&gt;0)</f>
        <v/>
      </c>
      <c r="B67" s="2984" t="n"/>
      <c r="C67" s="5185">
        <f>IF(A67,"X","")</f>
        <v/>
      </c>
      <c r="D67" s="1611" t="n"/>
      <c r="E67" s="3097" t="inlineStr">
        <is>
          <t>Yes. Go to line 18.</t>
        </is>
      </c>
      <c r="F67" s="3097" t="n"/>
      <c r="G67" s="3097" t="n"/>
      <c r="H67" s="3097" t="n"/>
      <c r="I67" s="3097" t="n"/>
      <c r="J67" s="3097" t="n"/>
      <c r="K67" s="3624" t="n"/>
      <c r="L67" s="3624" t="n"/>
      <c r="M67" s="5181" t="n"/>
      <c r="N67" s="5177" t="n"/>
      <c r="O67" s="10931" t="n"/>
      <c r="P67" s="10932" t="n"/>
      <c r="Q67" s="10932" t="n"/>
      <c r="R67" s="4076" t="n"/>
      <c r="S67" s="5186" t="n"/>
      <c r="T67" s="139" t="n"/>
      <c r="U67" s="139" t="n"/>
      <c r="V67" s="8043" t="n"/>
      <c r="W67" s="8043" t="n"/>
      <c r="X67" s="8043" t="n"/>
      <c r="Y67" s="8043" t="n"/>
      <c r="Z67" s="8145" t="n"/>
      <c r="AA67" s="8145" t="n"/>
      <c r="AB67" s="5075" t="n"/>
      <c r="AC67" s="5075" t="n"/>
      <c r="AD67" s="5075" t="n"/>
      <c r="AE67" s="5075" t="n"/>
      <c r="AF67" s="302" t="n"/>
      <c r="AG67" s="8145" t="n"/>
      <c r="AH67" s="5075" t="n"/>
      <c r="AI67" s="5075" t="n"/>
      <c r="AJ67" s="5075" t="n"/>
      <c r="AK67" s="5075" t="n"/>
      <c r="AL67" s="8145" t="n"/>
      <c r="AM67" s="5075" t="n"/>
      <c r="AN67" s="5075" t="n"/>
      <c r="AO67" s="5075" t="n"/>
      <c r="AP67" s="5075" t="n"/>
      <c r="AQ67" s="8145" t="n"/>
      <c r="AR67" s="5075" t="n"/>
      <c r="AS67" s="5075" t="n"/>
      <c r="AT67" s="5075" t="n"/>
      <c r="AU67" s="5075" t="n"/>
      <c r="AV67" s="8145" t="n"/>
      <c r="AW67" s="5075" t="n"/>
      <c r="AX67" s="5075" t="n"/>
      <c r="AY67" s="5075" t="n"/>
      <c r="AZ67" s="5075" t="n"/>
      <c r="BA67" s="8145" t="n"/>
      <c r="BB67" s="1610" t="n"/>
      <c r="BC67" s="1610" t="n"/>
      <c r="BD67" s="1610" t="n"/>
      <c r="BE67" s="1610" t="n"/>
      <c r="BF67" s="1610" t="n"/>
      <c r="BG67" s="1610" t="n"/>
      <c r="BH67" s="1610" t="n"/>
      <c r="BI67" s="1610" t="n"/>
      <c r="BJ67" s="1610" t="n"/>
      <c r="BK67" s="1610" t="n"/>
    </row>
    <row r="68" ht="6.75" customFormat="1" customHeight="1" s="80">
      <c r="A68" s="2510" t="n"/>
      <c r="B68" s="2984" t="n"/>
      <c r="C68" s="3097" t="n"/>
      <c r="D68" s="3097" t="n"/>
      <c r="E68" s="3097" t="n"/>
      <c r="F68" s="3097" t="n"/>
      <c r="G68" s="3097" t="n"/>
      <c r="H68" s="3097" t="n"/>
      <c r="I68" s="3097" t="n"/>
      <c r="J68" s="3097" t="n"/>
      <c r="K68" s="3624" t="n"/>
      <c r="L68" s="3624" t="n"/>
      <c r="M68" s="5181" t="n"/>
      <c r="N68" s="5177" t="n"/>
      <c r="O68" s="10931" t="n"/>
      <c r="P68" s="10932" t="n"/>
      <c r="Q68" s="10932" t="n"/>
      <c r="R68" s="4076" t="n"/>
      <c r="S68" s="5186" t="n"/>
      <c r="T68" s="139" t="n"/>
      <c r="U68" s="139" t="n"/>
      <c r="V68" s="8043" t="n"/>
      <c r="W68" s="8043" t="n"/>
      <c r="X68" s="8043" t="n"/>
      <c r="Y68" s="8043" t="n"/>
      <c r="Z68" s="8648" t="n"/>
      <c r="AA68" s="8648" t="n"/>
      <c r="AB68" s="1201" t="n"/>
      <c r="AC68" s="1201" t="n"/>
      <c r="AD68" s="1201" t="n"/>
      <c r="AE68" s="1201" t="n"/>
      <c r="AF68" s="9123" t="n"/>
      <c r="AG68" s="8648" t="n"/>
      <c r="AH68" s="1201" t="n"/>
      <c r="AI68" s="1201" t="n"/>
      <c r="AJ68" s="1201" t="n"/>
      <c r="AK68" s="1201" t="n"/>
      <c r="AL68" s="8648" t="n"/>
      <c r="AM68" s="1201" t="n"/>
      <c r="AN68" s="1201" t="n"/>
      <c r="AO68" s="1201" t="n"/>
      <c r="AP68" s="1201" t="n"/>
      <c r="AQ68" s="8648" t="n"/>
      <c r="AR68" s="1201" t="n"/>
      <c r="AS68" s="1201" t="n"/>
      <c r="AT68" s="1201" t="n"/>
      <c r="AU68" s="1201" t="n"/>
      <c r="AV68" s="8648" t="n"/>
      <c r="AW68" s="1201" t="n"/>
      <c r="AX68" s="1201" t="n"/>
      <c r="AY68" s="1201" t="n"/>
      <c r="AZ68" s="1201" t="n"/>
      <c r="BA68" s="8648" t="n"/>
      <c r="BB68" s="664" t="n"/>
      <c r="BC68" s="664" t="n"/>
      <c r="BD68" s="664" t="n"/>
      <c r="BE68" s="664" t="n"/>
      <c r="BF68" s="664" t="n"/>
      <c r="BG68" s="664" t="n"/>
      <c r="BH68" s="664" t="n"/>
      <c r="BI68" s="664" t="n"/>
      <c r="BJ68" s="664" t="n"/>
      <c r="BK68" s="664" t="n"/>
    </row>
    <row r="69" ht="13.5" customFormat="1" customHeight="1" s="80">
      <c r="A69" s="5180">
        <f>AND(A59,NOT(A67))</f>
        <v/>
      </c>
      <c r="B69" s="2984" t="n"/>
      <c r="C69" s="5185">
        <f>IF(A69,"X","")</f>
        <v/>
      </c>
      <c r="D69" s="1611" t="n"/>
      <c r="E69" s="3097" t="inlineStr">
        <is>
          <t>No. Skip lines 18 through 21, and go to line 22.</t>
        </is>
      </c>
      <c r="F69" s="3097" t="n"/>
      <c r="G69" s="3097" t="n"/>
      <c r="H69" s="3097" t="n"/>
      <c r="I69" s="3097" t="n"/>
      <c r="J69" s="3097" t="n"/>
      <c r="K69" s="3624" t="n"/>
      <c r="L69" s="3624" t="n"/>
      <c r="M69" s="5181" t="n"/>
      <c r="N69" s="5177" t="n"/>
      <c r="O69" s="10931" t="n"/>
      <c r="P69" s="10932" t="n"/>
      <c r="Q69" s="10932" t="n"/>
      <c r="R69" s="4076" t="n"/>
      <c r="S69" s="5186" t="n"/>
      <c r="T69" s="148" t="n"/>
      <c r="U69" s="139" t="n"/>
      <c r="V69" s="8043" t="n"/>
      <c r="W69" s="8043" t="n"/>
      <c r="X69" s="8043" t="n"/>
      <c r="Y69" s="8043" t="n"/>
      <c r="Z69" s="8648" t="n"/>
      <c r="AA69" s="8648" t="n"/>
      <c r="AB69" s="1201" t="n"/>
      <c r="AC69" s="1201" t="n"/>
      <c r="AD69" s="1201" t="n"/>
      <c r="AE69" s="1201" t="n"/>
      <c r="AF69" s="9123" t="n"/>
      <c r="AG69" s="8648" t="n"/>
      <c r="AH69" s="1201" t="n"/>
      <c r="AI69" s="1201" t="n"/>
      <c r="AJ69" s="1201" t="n"/>
      <c r="AK69" s="1201" t="n"/>
      <c r="AL69" s="8648" t="n"/>
      <c r="AM69" s="1201" t="n"/>
      <c r="AN69" s="1201" t="n"/>
      <c r="AO69" s="1201" t="n"/>
      <c r="AP69" s="1201" t="n"/>
      <c r="AQ69" s="8648" t="n"/>
      <c r="AR69" s="1201" t="n"/>
      <c r="AS69" s="1201" t="n"/>
      <c r="AT69" s="1201" t="n"/>
      <c r="AU69" s="1201" t="n"/>
      <c r="AV69" s="8648" t="n"/>
      <c r="AW69" s="1201" t="n"/>
      <c r="AX69" s="1201" t="n"/>
      <c r="AY69" s="1201" t="n"/>
      <c r="AZ69" s="1201" t="n"/>
      <c r="BA69" s="8648" t="n"/>
      <c r="BB69" s="664" t="n"/>
      <c r="BC69" s="664" t="n"/>
      <c r="BD69" s="664" t="n"/>
      <c r="BE69" s="664" t="n"/>
      <c r="BF69" s="664" t="n"/>
      <c r="BG69" s="664" t="n"/>
      <c r="BH69" s="664" t="n"/>
      <c r="BI69" s="664" t="n"/>
      <c r="BJ69" s="664" t="n"/>
      <c r="BK69" s="664" t="n"/>
    </row>
    <row r="70" ht="11.25" customFormat="1" customHeight="1" s="80">
      <c r="A70" s="2510" t="n"/>
      <c r="B70" s="2984" t="n"/>
      <c r="C70" s="3097" t="n"/>
      <c r="D70" s="3097" t="n"/>
      <c r="E70" s="3097" t="n"/>
      <c r="F70" s="3097" t="n"/>
      <c r="G70" s="3097" t="n"/>
      <c r="H70" s="3097" t="n"/>
      <c r="I70" s="3097" t="n"/>
      <c r="J70" s="3097" t="n"/>
      <c r="K70" s="3624" t="n"/>
      <c r="L70" s="3624" t="n"/>
      <c r="M70" s="5181" t="n"/>
      <c r="N70" s="5177" t="n"/>
      <c r="O70" s="10931" t="n"/>
      <c r="P70" s="10932" t="n"/>
      <c r="Q70" s="10932" t="n"/>
      <c r="R70" s="4076" t="n"/>
      <c r="S70" s="5186" t="n"/>
      <c r="T70" s="148" t="inlineStr">
        <is>
          <t>Manual</t>
        </is>
      </c>
      <c r="U70" s="139" t="n"/>
      <c r="V70" s="8043" t="n"/>
      <c r="W70" s="8043" t="n"/>
      <c r="X70" s="8043" t="n"/>
      <c r="Y70" s="8043" t="n"/>
      <c r="Z70" s="8648" t="n"/>
      <c r="AA70" s="8648" t="n"/>
      <c r="AB70" s="1201" t="n"/>
      <c r="AC70" s="1201" t="n"/>
      <c r="AD70" s="1201" t="n"/>
      <c r="AE70" s="1201" t="n"/>
      <c r="AF70" s="9123" t="n"/>
      <c r="AG70" s="8648" t="n"/>
      <c r="AH70" s="1201" t="n"/>
      <c r="AI70" s="1201" t="n"/>
      <c r="AJ70" s="1201" t="n"/>
      <c r="AK70" s="1201" t="n"/>
      <c r="AL70" s="8648" t="n"/>
      <c r="AM70" s="1201" t="n"/>
      <c r="AN70" s="1201" t="n"/>
      <c r="AO70" s="1201" t="n"/>
      <c r="AP70" s="1201" t="n"/>
      <c r="AQ70" s="8648" t="n"/>
      <c r="AR70" s="1201" t="n"/>
      <c r="AS70" s="1201" t="n"/>
      <c r="AT70" s="1201" t="n"/>
      <c r="AU70" s="1201" t="n"/>
      <c r="AV70" s="8648" t="n"/>
      <c r="AW70" s="1201" t="n"/>
      <c r="AX70" s="1201" t="n"/>
      <c r="AY70" s="1201" t="n"/>
      <c r="AZ70" s="1201" t="n"/>
      <c r="BA70" s="8648" t="n"/>
      <c r="BB70" s="664" t="n"/>
      <c r="BC70" s="664" t="n"/>
      <c r="BD70" s="664" t="n"/>
      <c r="BE70" s="664" t="n"/>
      <c r="BF70" s="664" t="n"/>
      <c r="BG70" s="664" t="n"/>
      <c r="BH70" s="664" t="n"/>
      <c r="BI70" s="664" t="n"/>
      <c r="BJ70" s="664" t="n"/>
      <c r="BK70" s="664" t="n"/>
    </row>
    <row r="71" ht="15" customFormat="1" customHeight="1" s="80">
      <c r="A71" s="2510" t="n"/>
      <c r="B71" s="2984" t="n">
        <v>18</v>
      </c>
      <c r="C71" s="8651" t="inlineStr">
        <is>
          <t>If you are required to complete the 28% Rate Gain Worksheet (see instructions), enter</t>
        </is>
      </c>
      <c r="D71" s="3097" t="n"/>
      <c r="E71" s="3097" t="n"/>
      <c r="F71" s="3097" t="n"/>
      <c r="G71" s="3097" t="n"/>
      <c r="H71" s="3097" t="n"/>
      <c r="I71" s="3097" t="n"/>
      <c r="J71" s="3097" t="n"/>
      <c r="K71" s="3624" t="n"/>
      <c r="L71" s="3624" t="n"/>
      <c r="M71" s="5181" t="n"/>
      <c r="N71" s="5177" t="n"/>
      <c r="O71" s="10931" t="n"/>
      <c r="P71" s="10932" t="n"/>
      <c r="Q71" s="10932" t="n"/>
      <c r="R71" s="4076" t="n"/>
      <c r="S71" s="5186" t="n"/>
      <c r="T71" s="148" t="inlineStr">
        <is>
          <t>Override ê</t>
        </is>
      </c>
      <c r="U71" s="139" t="n"/>
      <c r="V71" s="8043" t="n"/>
      <c r="W71" s="8043" t="n"/>
      <c r="X71" s="8043" t="n"/>
      <c r="Y71" s="8043" t="n"/>
      <c r="Z71" s="8648" t="n"/>
      <c r="AA71" s="8648" t="n"/>
      <c r="AB71" s="1201" t="n"/>
      <c r="AC71" s="1201" t="n"/>
      <c r="AD71" s="1201" t="n"/>
      <c r="AE71" s="1201" t="n"/>
      <c r="AF71" s="9123" t="n"/>
      <c r="AG71" s="8648" t="n"/>
      <c r="AH71" s="1201" t="n"/>
      <c r="AI71" s="1201" t="n"/>
      <c r="AJ71" s="1201" t="n"/>
      <c r="AK71" s="1201" t="n"/>
      <c r="AL71" s="8648" t="n"/>
      <c r="AM71" s="1201" t="n"/>
      <c r="AN71" s="1201" t="n"/>
      <c r="AO71" s="1201" t="n"/>
      <c r="AP71" s="1201" t="n"/>
      <c r="AQ71" s="8648" t="n"/>
      <c r="AR71" s="1201" t="n"/>
      <c r="AS71" s="1201" t="n"/>
      <c r="AT71" s="1201" t="n"/>
      <c r="AU71" s="1201" t="n"/>
      <c r="AV71" s="8648" t="n"/>
      <c r="AW71" s="1201" t="n"/>
      <c r="AX71" s="1201" t="n"/>
      <c r="AY71" s="1201" t="n"/>
      <c r="AZ71" s="1201" t="n"/>
      <c r="BA71" s="8648" t="n"/>
      <c r="BB71" s="664" t="n"/>
      <c r="BC71" s="664" t="n"/>
      <c r="BD71" s="664" t="n"/>
      <c r="BE71" s="664" t="n"/>
      <c r="BF71" s="664" t="n"/>
      <c r="BG71" s="664" t="n"/>
      <c r="BH71" s="664" t="n"/>
      <c r="BI71" s="664" t="n"/>
      <c r="BJ71" s="664" t="n"/>
      <c r="BK71" s="664" t="n"/>
    </row>
    <row r="72" ht="15" customFormat="1" customHeight="1" s="80">
      <c r="A72" s="2510" t="n"/>
      <c r="B72" s="2984" t="n"/>
      <c r="C72" s="8651" t="inlineStr">
        <is>
          <t>the amount, if any, from line 7 of that worksheet</t>
        </is>
      </c>
      <c r="D72" s="8647" t="n"/>
      <c r="E72" s="3097" t="n"/>
      <c r="F72" s="3097" t="n"/>
      <c r="G72" s="3097" t="n"/>
      <c r="H72" s="3097" t="n"/>
      <c r="I72" s="3097" t="n"/>
      <c r="J72" s="3097" t="n"/>
      <c r="K72" s="3624" t="n"/>
      <c r="L72" s="3624" t="n"/>
      <c r="M72" s="8374" t="inlineStr">
        <is>
          <t xml:space="preserve">.   .   .   .   .   .   .   .   .   .   .   .   .   .   .   .   .   .   .   . </t>
        </is>
      </c>
      <c r="N72" s="3039">
        <f>B71</f>
        <v/>
      </c>
      <c r="O72" s="8176">
        <f>IF(T72&lt;&gt;"",T72,IF(AND(A59,C67="X",pc28RateGainWS),'Sch. D WS'!O56,""))</f>
        <v/>
      </c>
      <c r="P72" s="7637" t="n"/>
      <c r="Q72" s="7637" t="n"/>
      <c r="R72" s="4076" t="n"/>
      <c r="S72" s="5186" t="n"/>
      <c r="T72" s="1612" t="n"/>
      <c r="U72" s="139" t="n"/>
      <c r="V72" s="8043" t="n"/>
      <c r="W72" s="8043" t="n"/>
      <c r="X72" s="8043" t="n"/>
      <c r="Y72" s="8043" t="n"/>
      <c r="Z72" s="8648" t="n"/>
      <c r="AA72" s="8648" t="n"/>
      <c r="AB72" s="1201" t="n"/>
      <c r="AC72" s="1201" t="n"/>
      <c r="AD72" s="1201" t="n"/>
      <c r="AE72" s="1201" t="n"/>
      <c r="AF72" s="9123" t="n"/>
      <c r="AG72" s="8648" t="n"/>
      <c r="AH72" s="1201" t="n"/>
      <c r="AI72" s="1201" t="n"/>
      <c r="AJ72" s="1201" t="n"/>
      <c r="AK72" s="1201" t="n"/>
      <c r="AL72" s="8648" t="n"/>
      <c r="AM72" s="1201" t="n"/>
      <c r="AN72" s="1201" t="n"/>
      <c r="AO72" s="1201" t="n"/>
      <c r="AP72" s="1201" t="n"/>
      <c r="AQ72" s="8648" t="n"/>
      <c r="AR72" s="1201" t="n"/>
      <c r="AS72" s="1201" t="n"/>
      <c r="AT72" s="1201" t="n"/>
      <c r="AU72" s="1201" t="n"/>
      <c r="AV72" s="8648" t="n"/>
      <c r="AW72" s="1201" t="n"/>
      <c r="AX72" s="1201" t="n"/>
      <c r="AY72" s="1201" t="n"/>
      <c r="AZ72" s="1201" t="n"/>
      <c r="BA72" s="8648" t="n"/>
      <c r="BB72" s="664" t="n"/>
      <c r="BC72" s="664" t="n"/>
      <c r="BD72" s="664" t="n"/>
      <c r="BE72" s="664" t="n"/>
      <c r="BF72" s="664" t="n"/>
      <c r="BG72" s="664" t="n"/>
      <c r="BH72" s="664" t="n"/>
      <c r="BI72" s="664" t="n"/>
      <c r="BJ72" s="664" t="n"/>
      <c r="BK72" s="664" t="n"/>
    </row>
    <row r="73" ht="10.5" customFormat="1" customHeight="1" s="80">
      <c r="A73" s="2510" t="n"/>
      <c r="B73" s="5187" t="n"/>
      <c r="C73" s="8647" t="n"/>
      <c r="D73" s="8647" t="n"/>
      <c r="E73" s="8647" t="n"/>
      <c r="F73" s="8647" t="n"/>
      <c r="G73" s="8647" t="n"/>
      <c r="H73" s="8647" t="n"/>
      <c r="I73" s="8647" t="n"/>
      <c r="J73" s="8647" t="n"/>
      <c r="K73" s="3624" t="n"/>
      <c r="L73" s="3624" t="n"/>
      <c r="M73" s="3624" t="n"/>
      <c r="N73" s="5177" t="n"/>
      <c r="O73" s="10931" t="n"/>
      <c r="P73" s="10932" t="n"/>
      <c r="Q73" s="10932" t="n"/>
      <c r="R73" s="4736" t="n"/>
      <c r="S73" s="5188" t="n"/>
      <c r="T73" s="139" t="n"/>
      <c r="U73" s="139" t="n"/>
      <c r="V73" s="8648" t="n"/>
      <c r="W73" s="8648" t="n"/>
      <c r="X73" s="8648" t="n"/>
      <c r="Y73" s="8648" t="n"/>
      <c r="Z73" s="8648" t="n"/>
      <c r="AA73" s="8648" t="n"/>
      <c r="AB73" s="1201" t="n"/>
      <c r="AC73" s="1201" t="n"/>
      <c r="AD73" s="1201" t="n"/>
      <c r="AE73" s="1201" t="n"/>
      <c r="AF73" s="9123" t="n"/>
      <c r="AG73" s="8648" t="n"/>
      <c r="AH73" s="1201" t="n"/>
      <c r="AI73" s="1201" t="n"/>
      <c r="AJ73" s="1201" t="n"/>
      <c r="AK73" s="1201" t="n"/>
      <c r="AL73" s="8648" t="n"/>
      <c r="AM73" s="1201" t="n"/>
      <c r="AN73" s="1201" t="n"/>
      <c r="AO73" s="1201" t="n"/>
      <c r="AP73" s="1201" t="n"/>
      <c r="AQ73" s="8648" t="n"/>
      <c r="AR73" s="1201" t="n"/>
      <c r="AS73" s="1201" t="n"/>
      <c r="AT73" s="1201" t="n"/>
      <c r="AU73" s="1201" t="n"/>
      <c r="AV73" s="8648" t="n"/>
      <c r="AW73" s="1201" t="n"/>
      <c r="AX73" s="1201" t="n"/>
      <c r="AY73" s="1201" t="n"/>
      <c r="AZ73" s="1201" t="n"/>
      <c r="BA73" s="8648" t="n"/>
      <c r="BB73" s="664" t="n"/>
      <c r="BC73" s="664" t="n"/>
      <c r="BD73" s="664" t="n"/>
      <c r="BE73" s="664" t="n"/>
      <c r="BF73" s="664" t="n"/>
      <c r="BG73" s="664" t="n"/>
      <c r="BH73" s="664" t="n"/>
      <c r="BI73" s="664" t="n"/>
      <c r="BJ73" s="664" t="n"/>
      <c r="BK73" s="664" t="n"/>
    </row>
    <row r="74" ht="13.5" customFormat="1" customHeight="1" s="80">
      <c r="A74" s="2510" t="n"/>
      <c r="B74" s="2984" t="n">
        <v>19</v>
      </c>
      <c r="C74" s="8651" t="inlineStr">
        <is>
          <t>If you are required to complete the Unrecaptured Section 1250 Gain Worksheet (see</t>
        </is>
      </c>
      <c r="D74" s="8647" t="n"/>
      <c r="E74" s="3097" t="n"/>
      <c r="F74" s="3097" t="n"/>
      <c r="G74" s="3097" t="n"/>
      <c r="H74" s="3097" t="n"/>
      <c r="I74" s="3097" t="n"/>
      <c r="J74" s="3097" t="n"/>
      <c r="K74" s="3624" t="n"/>
      <c r="L74" s="3624" t="n"/>
      <c r="M74" s="5181" t="n"/>
      <c r="N74" s="5177" t="n"/>
      <c r="O74" s="10931" t="n"/>
      <c r="P74" s="10932" t="n"/>
      <c r="Q74" s="10932" t="n"/>
      <c r="R74" s="4076" t="n"/>
      <c r="S74" s="5186" t="n"/>
      <c r="T74" s="139" t="n"/>
      <c r="U74" s="139" t="n"/>
      <c r="V74" s="8043" t="n"/>
      <c r="W74" s="8043" t="n"/>
      <c r="X74" s="8043" t="n"/>
      <c r="Y74" s="8043" t="n"/>
      <c r="Z74" s="8648" t="n"/>
      <c r="AA74" s="8648" t="n"/>
      <c r="AB74" s="9123" t="n"/>
      <c r="AC74" s="9123" t="n"/>
      <c r="AD74" s="9123" t="n"/>
      <c r="AE74" s="9123" t="n"/>
      <c r="AF74" s="9123" t="n"/>
      <c r="AG74" s="8648" t="n"/>
      <c r="AH74" s="9123" t="n"/>
      <c r="AI74" s="9123" t="n"/>
      <c r="AJ74" s="9123" t="n"/>
      <c r="AK74" s="9123" t="n"/>
      <c r="AL74" s="8648" t="n"/>
      <c r="AM74" s="9123" t="n"/>
      <c r="AN74" s="9123" t="n"/>
      <c r="AO74" s="9123" t="n"/>
      <c r="AP74" s="9123" t="n"/>
      <c r="AQ74" s="8648" t="n"/>
      <c r="AR74" s="9123" t="n"/>
      <c r="AS74" s="9123" t="n"/>
      <c r="AT74" s="9123" t="n"/>
      <c r="AU74" s="9123" t="n"/>
      <c r="AV74" s="8648" t="n"/>
      <c r="AW74" s="9123" t="n"/>
      <c r="AX74" s="9123" t="n"/>
      <c r="AY74" s="9123" t="n"/>
      <c r="AZ74" s="9123" t="n"/>
      <c r="BA74" s="8648" t="n"/>
      <c r="BB74" s="664" t="n"/>
      <c r="BC74" s="664" t="n"/>
      <c r="BD74" s="664" t="n"/>
      <c r="BE74" s="664" t="n"/>
      <c r="BF74" s="664" t="n"/>
      <c r="BG74" s="664" t="n"/>
      <c r="BH74" s="664" t="n"/>
      <c r="BI74" s="664" t="n"/>
      <c r="BJ74" s="664" t="n"/>
      <c r="BK74" s="664" t="n"/>
    </row>
    <row r="75" ht="14.25" customFormat="1" customHeight="1" s="80">
      <c r="A75" s="2510" t="n"/>
      <c r="B75" s="2984" t="n"/>
      <c r="C75" s="8651" t="inlineStr">
        <is>
          <t>instructions), enter the amount, if any, from line 18 of that worksheet</t>
        </is>
      </c>
      <c r="D75" s="8647" t="n"/>
      <c r="E75" s="3097" t="n"/>
      <c r="F75" s="3097" t="n"/>
      <c r="G75" s="3097" t="n"/>
      <c r="H75" s="3097" t="n"/>
      <c r="I75" s="3097" t="n"/>
      <c r="J75" s="3097" t="n"/>
      <c r="K75" s="3624" t="n"/>
      <c r="L75" s="3624" t="n"/>
      <c r="M75" s="8374" t="inlineStr">
        <is>
          <t xml:space="preserve">.   .   .   .   .   .   .   .   .   . </t>
        </is>
      </c>
      <c r="N75" s="3039">
        <f>B74</f>
        <v/>
      </c>
      <c r="O75" s="8169" t="n"/>
      <c r="P75" s="11717" t="n"/>
      <c r="Q75" s="11717" t="n"/>
      <c r="R75" s="4076" t="n"/>
      <c r="S75" s="5186" t="n"/>
      <c r="T75" s="139" t="n"/>
      <c r="U75" s="139" t="n"/>
      <c r="V75" s="8043" t="n"/>
      <c r="W75" s="8043" t="n"/>
      <c r="X75" s="8043" t="n"/>
      <c r="Y75" s="8043" t="n"/>
      <c r="Z75" s="8648" t="n"/>
      <c r="AA75" s="8648" t="n"/>
      <c r="AB75" s="1201" t="n"/>
      <c r="AC75" s="1201" t="n"/>
      <c r="AD75" s="1201" t="n"/>
      <c r="AE75" s="1201" t="n"/>
      <c r="AF75" s="9123" t="n"/>
      <c r="AG75" s="8648" t="n"/>
      <c r="AH75" s="1201" t="n"/>
      <c r="AI75" s="1201" t="n"/>
      <c r="AJ75" s="1201" t="n"/>
      <c r="AK75" s="1201" t="n"/>
      <c r="AL75" s="8648" t="n"/>
      <c r="AM75" s="1201" t="n"/>
      <c r="AN75" s="1201" t="n"/>
      <c r="AO75" s="1201" t="n"/>
      <c r="AP75" s="1201" t="n"/>
      <c r="AQ75" s="8648" t="n"/>
      <c r="AR75" s="1201" t="n"/>
      <c r="AS75" s="1201" t="n"/>
      <c r="AT75" s="1201" t="n"/>
      <c r="AU75" s="1201" t="n"/>
      <c r="AV75" s="8648" t="n"/>
      <c r="AW75" s="1201" t="n"/>
      <c r="AX75" s="1201" t="n"/>
      <c r="AY75" s="1201" t="n"/>
      <c r="AZ75" s="1201" t="n"/>
      <c r="BA75" s="8648" t="n"/>
      <c r="BB75" s="664" t="n"/>
      <c r="BC75" s="664" t="n"/>
      <c r="BD75" s="664" t="n"/>
      <c r="BE75" s="664" t="n"/>
      <c r="BF75" s="664" t="n"/>
      <c r="BG75" s="664" t="n"/>
      <c r="BH75" s="664" t="n"/>
      <c r="BI75" s="664" t="n"/>
      <c r="BJ75" s="664" t="n"/>
      <c r="BK75" s="664" t="n"/>
    </row>
    <row r="76" ht="9" customFormat="1" customHeight="1" s="80">
      <c r="A76" s="2510" t="n"/>
      <c r="B76" s="5187" t="n"/>
      <c r="C76" s="8647" t="n"/>
      <c r="D76" s="8647" t="n"/>
      <c r="E76" s="8647" t="n"/>
      <c r="F76" s="8647" t="n"/>
      <c r="G76" s="8647" t="n"/>
      <c r="H76" s="8647" t="n"/>
      <c r="I76" s="8647" t="n"/>
      <c r="J76" s="8647" t="n"/>
      <c r="K76" s="3624" t="n"/>
      <c r="L76" s="3624" t="n"/>
      <c r="M76" s="3624" t="n"/>
      <c r="N76" s="5177" t="n"/>
      <c r="O76" s="5189" t="n"/>
      <c r="P76" s="5190" t="n"/>
      <c r="Q76" s="5191" t="n"/>
      <c r="R76" s="4736" t="n"/>
      <c r="S76" s="5188" t="n"/>
      <c r="T76" s="139" t="n"/>
      <c r="U76" s="139" t="n"/>
      <c r="V76" s="8648" t="n"/>
      <c r="W76" s="8648" t="n"/>
      <c r="X76" s="8648" t="n"/>
      <c r="Y76" s="8648" t="n"/>
      <c r="Z76" s="8648" t="n"/>
      <c r="AA76" s="8648" t="n"/>
      <c r="AB76" s="1201" t="n"/>
      <c r="AC76" s="1201" t="n"/>
      <c r="AD76" s="1201" t="n"/>
      <c r="AE76" s="1201" t="n"/>
      <c r="AF76" s="9123" t="n"/>
      <c r="AG76" s="8648" t="n"/>
      <c r="AH76" s="1201" t="n"/>
      <c r="AI76" s="1201" t="n"/>
      <c r="AJ76" s="1201" t="n"/>
      <c r="AK76" s="1201" t="n"/>
      <c r="AL76" s="8648" t="n"/>
      <c r="AM76" s="1201" t="n"/>
      <c r="AN76" s="1201" t="n"/>
      <c r="AO76" s="1201" t="n"/>
      <c r="AP76" s="1201" t="n"/>
      <c r="AQ76" s="8648" t="n"/>
      <c r="AR76" s="1201" t="n"/>
      <c r="AS76" s="1201" t="n"/>
      <c r="AT76" s="1201" t="n"/>
      <c r="AU76" s="1201" t="n"/>
      <c r="AV76" s="8648" t="n"/>
      <c r="AW76" s="1201" t="n"/>
      <c r="AX76" s="1201" t="n"/>
      <c r="AY76" s="1201" t="n"/>
      <c r="AZ76" s="1201" t="n"/>
      <c r="BA76" s="8648" t="n"/>
      <c r="BB76" s="664" t="n"/>
      <c r="BC76" s="664" t="n"/>
      <c r="BD76" s="664" t="n"/>
      <c r="BE76" s="664" t="n"/>
      <c r="BF76" s="664" t="n"/>
      <c r="BG76" s="664" t="n"/>
      <c r="BH76" s="664" t="n"/>
      <c r="BI76" s="664" t="n"/>
      <c r="BJ76" s="664" t="n"/>
      <c r="BK76" s="664" t="n"/>
    </row>
    <row r="77" ht="17.25" customFormat="1" customHeight="1" s="80" thickBot="1">
      <c r="A77" s="2510" t="n"/>
      <c r="B77" s="5183" t="n">
        <v>20</v>
      </c>
      <c r="C77" s="3561" t="inlineStr">
        <is>
          <t>Are lines 18 and 19 both zero or blank and are you not filing Form 4952?</t>
        </is>
      </c>
      <c r="D77" s="3626" t="n"/>
      <c r="E77" s="3626" t="n"/>
      <c r="F77" s="3626" t="n"/>
      <c r="G77" s="3626" t="n"/>
      <c r="H77" s="3626" t="n"/>
      <c r="I77" s="3626" t="n"/>
      <c r="J77" s="3626" t="n"/>
      <c r="K77" s="3710" t="n"/>
      <c r="L77" s="3710" t="n"/>
      <c r="M77" s="3710" t="n"/>
      <c r="N77" s="5177" t="n"/>
      <c r="O77" s="5193" t="n"/>
      <c r="P77" s="5194" t="n"/>
      <c r="Q77" s="5191" t="n"/>
      <c r="R77" s="5195" t="n"/>
      <c r="S77" s="5196" t="n"/>
      <c r="T77" s="139" t="n"/>
      <c r="U77" s="139" t="n"/>
      <c r="V77" s="8145" t="n"/>
      <c r="W77" s="8145" t="n"/>
      <c r="X77" s="8145" t="n"/>
      <c r="Y77" s="8145" t="n"/>
      <c r="Z77" s="8648" t="n"/>
      <c r="AA77" s="8648" t="n"/>
      <c r="AB77" s="9123" t="n"/>
      <c r="AC77" s="9123" t="n"/>
      <c r="AD77" s="9123" t="n"/>
      <c r="AE77" s="9123" t="n"/>
      <c r="AF77" s="9123" t="n"/>
      <c r="AG77" s="8648" t="n"/>
      <c r="AH77" s="9123" t="n"/>
      <c r="AI77" s="9123" t="n"/>
      <c r="AJ77" s="9123" t="n"/>
      <c r="AK77" s="9123" t="n"/>
      <c r="AL77" s="8648" t="n"/>
      <c r="AM77" s="9123" t="n"/>
      <c r="AN77" s="9123" t="n"/>
      <c r="AO77" s="9123" t="n"/>
      <c r="AP77" s="9123" t="n"/>
      <c r="AQ77" s="8648" t="n"/>
      <c r="AR77" s="9123" t="n"/>
      <c r="AS77" s="9123" t="n"/>
      <c r="AT77" s="9123" t="n"/>
      <c r="AU77" s="9123" t="n"/>
      <c r="AV77" s="8648" t="n"/>
      <c r="AW77" s="9123" t="n"/>
      <c r="AX77" s="9123" t="n"/>
      <c r="AY77" s="9123" t="n"/>
      <c r="AZ77" s="9123" t="n"/>
      <c r="BA77" s="8648" t="n"/>
      <c r="BB77" s="664" t="n"/>
      <c r="BC77" s="664" t="n"/>
      <c r="BD77" s="664" t="n"/>
      <c r="BE77" s="664" t="n"/>
      <c r="BF77" s="664" t="n"/>
      <c r="BG77" s="664" t="n"/>
      <c r="BH77" s="664" t="n"/>
      <c r="BI77" s="664" t="n"/>
      <c r="BJ77" s="664" t="n"/>
      <c r="BK77" s="664" t="n"/>
    </row>
    <row r="78" ht="13.5" customFormat="1" customHeight="1" s="5184" thickBot="1">
      <c r="A78" s="5180">
        <f>AND(SchDLine16&lt;&gt;"",A67,OR(SchDLine18="",SchDLine18=0),OR(SchDLine19="",SchDLine19=0),NOT(Form4952_Filed))</f>
        <v/>
      </c>
      <c r="B78" s="2984" t="n"/>
      <c r="C78" s="5185">
        <f>IF(A78,"X","")</f>
        <v/>
      </c>
      <c r="D78" s="1611" t="n"/>
      <c r="E78" s="3700" t="inlineStr">
        <is>
          <t>Yes. Complete the Qualified Dividends and Capital Gain Tax Worksheet in the</t>
        </is>
      </c>
      <c r="F78" s="3097" t="n"/>
      <c r="G78" s="3097" t="n"/>
      <c r="H78" s="3097" t="n"/>
      <c r="I78" s="3097" t="n"/>
      <c r="J78" s="3097" t="n"/>
      <c r="K78" s="3624" t="n"/>
      <c r="L78" s="3624" t="n"/>
      <c r="M78" s="5181" t="n"/>
      <c r="N78" s="5177" t="n"/>
      <c r="O78" s="5193" t="n"/>
      <c r="P78" s="5194">
        <f>S78&lt;&gt;""</f>
        <v/>
      </c>
      <c r="Q78" s="5191" t="n"/>
      <c r="R78" s="4076" t="n"/>
      <c r="S78" s="1411" t="n"/>
      <c r="T78" s="5197" t="inlineStr">
        <is>
          <t>Check here if</t>
        </is>
      </c>
      <c r="U78" s="139" t="n"/>
      <c r="V78" s="8043" t="n"/>
      <c r="W78" s="8043" t="n"/>
      <c r="X78" s="8043" t="n"/>
      <c r="Y78" s="8043" t="n"/>
      <c r="Z78" s="8145" t="n"/>
      <c r="AA78" s="8145" t="n"/>
      <c r="AB78" s="302" t="n"/>
      <c r="AC78" s="302" t="n"/>
      <c r="AD78" s="302" t="n"/>
      <c r="AE78" s="302" t="n"/>
      <c r="AF78" s="302" t="n"/>
      <c r="AG78" s="8145" t="n"/>
      <c r="AH78" s="302" t="n"/>
      <c r="AI78" s="302" t="n"/>
      <c r="AJ78" s="302" t="n"/>
      <c r="AK78" s="302" t="n"/>
      <c r="AL78" s="8145" t="n"/>
      <c r="AM78" s="302" t="n"/>
      <c r="AN78" s="302" t="n"/>
      <c r="AO78" s="302" t="n"/>
      <c r="AP78" s="302" t="n"/>
      <c r="AQ78" s="8145" t="n"/>
      <c r="AR78" s="302" t="n"/>
      <c r="AS78" s="302" t="n"/>
      <c r="AT78" s="302" t="n"/>
      <c r="AU78" s="302" t="n"/>
      <c r="AV78" s="8145" t="n"/>
      <c r="AW78" s="302" t="n"/>
      <c r="AX78" s="302" t="n"/>
      <c r="AY78" s="302" t="n"/>
      <c r="AZ78" s="302" t="n"/>
      <c r="BA78" s="8145" t="n"/>
      <c r="BB78" s="1610" t="n"/>
      <c r="BC78" s="1610" t="n"/>
      <c r="BD78" s="1610" t="n"/>
      <c r="BE78" s="1610" t="n"/>
      <c r="BF78" s="1610" t="n"/>
      <c r="BG78" s="1610" t="n"/>
      <c r="BH78" s="1610" t="n"/>
      <c r="BI78" s="1610" t="n"/>
      <c r="BJ78" s="1610" t="n"/>
      <c r="BK78" s="1610" t="n"/>
    </row>
    <row r="79" ht="12" customFormat="1" customHeight="1" s="80">
      <c r="A79" s="2510" t="n"/>
      <c r="B79" s="5187" t="n"/>
      <c r="C79" s="8647" t="n"/>
      <c r="D79" s="8647" t="n"/>
      <c r="E79" s="3626" t="inlineStr">
        <is>
          <t>instructions for Form 1040 or 1040-SR, line 16. Don't complete lines 21 and 22 below</t>
        </is>
      </c>
      <c r="F79" s="8647" t="n"/>
      <c r="G79" s="8647" t="n"/>
      <c r="H79" s="8647" t="n"/>
      <c r="I79" s="8647" t="n"/>
      <c r="J79" s="8647" t="n"/>
      <c r="K79" s="3624" t="n"/>
      <c r="L79" s="3624" t="n"/>
      <c r="M79" s="3624" t="n"/>
      <c r="N79" s="5177" t="n"/>
      <c r="O79" s="5193" t="n"/>
      <c r="P79" s="5191" t="n"/>
      <c r="Q79" s="5191" t="n"/>
      <c r="R79" s="4736" t="n"/>
      <c r="S79" s="5188" t="n"/>
      <c r="T79" s="5198" t="inlineStr">
        <is>
          <t>filing Form 4952.</t>
        </is>
      </c>
      <c r="U79" s="139" t="n"/>
      <c r="V79" s="8648" t="n"/>
      <c r="W79" s="8648" t="n"/>
      <c r="X79" s="8648" t="n"/>
      <c r="Y79" s="8648" t="n"/>
      <c r="Z79" s="8648" t="n"/>
      <c r="AA79" s="8648" t="n"/>
      <c r="AB79" s="1201" t="n"/>
      <c r="AC79" s="1201" t="n"/>
      <c r="AD79" s="1201" t="n"/>
      <c r="AE79" s="1201" t="n"/>
      <c r="AF79" s="9123" t="n"/>
      <c r="AG79" s="8648" t="n"/>
      <c r="AH79" s="1201" t="n"/>
      <c r="AI79" s="1201" t="n"/>
      <c r="AJ79" s="1201" t="n"/>
      <c r="AK79" s="1201" t="n"/>
      <c r="AL79" s="8648" t="n"/>
      <c r="AM79" s="1201" t="n"/>
      <c r="AN79" s="1201" t="n"/>
      <c r="AO79" s="1201" t="n"/>
      <c r="AP79" s="1201" t="n"/>
      <c r="AQ79" s="8648" t="n"/>
      <c r="AR79" s="1201" t="n"/>
      <c r="AS79" s="1201" t="n"/>
      <c r="AT79" s="1201" t="n"/>
      <c r="AU79" s="1201" t="n"/>
      <c r="AV79" s="8648" t="n"/>
      <c r="AW79" s="1201" t="n"/>
      <c r="AX79" s="1201" t="n"/>
      <c r="AY79" s="1201" t="n"/>
      <c r="AZ79" s="1201" t="n"/>
      <c r="BA79" s="8648" t="n"/>
      <c r="BB79" s="664" t="n"/>
      <c r="BC79" s="664" t="n"/>
      <c r="BD79" s="664" t="n"/>
      <c r="BE79" s="664" t="n"/>
      <c r="BF79" s="664" t="n"/>
      <c r="BG79" s="664" t="n"/>
      <c r="BH79" s="664" t="n"/>
      <c r="BI79" s="664" t="n"/>
      <c r="BJ79" s="664" t="n"/>
      <c r="BK79" s="664" t="n"/>
    </row>
    <row r="80" ht="6" customFormat="1" customHeight="1" s="80">
      <c r="A80" s="2510" t="n"/>
      <c r="B80" s="5187" t="n"/>
      <c r="C80" s="8647" t="n"/>
      <c r="D80" s="8647" t="n"/>
      <c r="E80" s="8651" t="n"/>
      <c r="F80" s="8647" t="n"/>
      <c r="G80" s="8647" t="n"/>
      <c r="H80" s="8647" t="n"/>
      <c r="I80" s="8647" t="n"/>
      <c r="J80" s="8647" t="n"/>
      <c r="K80" s="3624" t="n"/>
      <c r="L80" s="3624" t="n"/>
      <c r="M80" s="3624" t="n"/>
      <c r="N80" s="5177" t="n"/>
      <c r="O80" s="5193" t="n"/>
      <c r="P80" s="5191" t="n"/>
      <c r="Q80" s="5191" t="n"/>
      <c r="R80" s="4736" t="n"/>
      <c r="S80" s="5188" t="n"/>
      <c r="T80" s="139" t="n"/>
      <c r="U80" s="139" t="n"/>
      <c r="V80" s="8648" t="n"/>
      <c r="W80" s="8648" t="n"/>
      <c r="X80" s="8648" t="n"/>
      <c r="Y80" s="8648" t="n"/>
      <c r="Z80" s="8648" t="n"/>
      <c r="AA80" s="8648" t="n"/>
      <c r="AB80" s="9123" t="n"/>
      <c r="AC80" s="9123" t="n"/>
      <c r="AD80" s="9123" t="n"/>
      <c r="AE80" s="9123" t="n"/>
      <c r="AF80" s="9123" t="n"/>
      <c r="AG80" s="8648" t="n"/>
      <c r="AH80" s="9123" t="n"/>
      <c r="AI80" s="9123" t="n"/>
      <c r="AJ80" s="9123" t="n"/>
      <c r="AK80" s="9123" t="n"/>
      <c r="AL80" s="8648" t="n"/>
      <c r="AM80" s="9123" t="n"/>
      <c r="AN80" s="9123" t="n"/>
      <c r="AO80" s="9123" t="n"/>
      <c r="AP80" s="9123" t="n"/>
      <c r="AQ80" s="8648" t="n"/>
      <c r="AR80" s="9123" t="n"/>
      <c r="AS80" s="9123" t="n"/>
      <c r="AT80" s="9123" t="n"/>
      <c r="AU80" s="9123" t="n"/>
      <c r="AV80" s="8648" t="n"/>
      <c r="AW80" s="9123" t="n"/>
      <c r="AX80" s="9123" t="n"/>
      <c r="AY80" s="9123" t="n"/>
      <c r="AZ80" s="9123" t="n"/>
      <c r="BA80" s="8648" t="n"/>
      <c r="BB80" s="664" t="n"/>
      <c r="BC80" s="664" t="n"/>
      <c r="BD80" s="664" t="n"/>
      <c r="BE80" s="664" t="n"/>
      <c r="BF80" s="664" t="n"/>
      <c r="BG80" s="664" t="n"/>
      <c r="BH80" s="664" t="n"/>
      <c r="BI80" s="664" t="n"/>
      <c r="BJ80" s="664" t="n"/>
      <c r="BK80" s="664" t="n"/>
    </row>
    <row r="81" ht="13.5" customFormat="1" customHeight="1" s="80">
      <c r="A81" s="5180">
        <f>AND(SchDLine16&lt;&gt;"",A67,NOT(A78))</f>
        <v/>
      </c>
      <c r="B81" s="2984" t="n"/>
      <c r="C81" s="5185">
        <f>IF(A81,"X","")</f>
        <v/>
      </c>
      <c r="D81" s="1611" t="n"/>
      <c r="E81" s="3097" t="inlineStr">
        <is>
          <t>No. Complete the Schedule D Tax Worksheet in the instructions. Don't complete lines 21</t>
        </is>
      </c>
      <c r="F81" s="3097" t="n"/>
      <c r="G81" s="3097" t="n"/>
      <c r="H81" s="3097" t="n"/>
      <c r="I81" s="3097" t="n"/>
      <c r="J81" s="3097" t="n"/>
      <c r="K81" s="3624" t="n"/>
      <c r="L81" s="3624" t="n"/>
      <c r="M81" s="5181" t="n"/>
      <c r="N81" s="5177" t="n"/>
      <c r="O81" s="5193" t="n"/>
      <c r="P81" s="5191" t="n"/>
      <c r="Q81" s="5191" t="n"/>
      <c r="R81" s="4076" t="n"/>
      <c r="S81" s="5186" t="n"/>
      <c r="T81" s="6992" t="n">
        <v>3000</v>
      </c>
      <c r="U81" s="139" t="n"/>
      <c r="V81" s="8043" t="n"/>
      <c r="W81" s="8043" t="n"/>
      <c r="X81" s="8043" t="n"/>
      <c r="Y81" s="8043" t="n"/>
      <c r="Z81" s="8648" t="n"/>
      <c r="AA81" s="8648" t="n"/>
      <c r="AB81" s="9123" t="n"/>
      <c r="AC81" s="9123" t="n"/>
      <c r="AD81" s="9123" t="n"/>
      <c r="AE81" s="9123" t="n"/>
      <c r="AF81" s="9123" t="n"/>
      <c r="AG81" s="8648" t="n"/>
      <c r="AH81" s="9123" t="n"/>
      <c r="AI81" s="9123" t="n"/>
      <c r="AJ81" s="9123" t="n"/>
      <c r="AK81" s="9123" t="n"/>
      <c r="AL81" s="8648" t="n"/>
      <c r="AM81" s="9123" t="n"/>
      <c r="AN81" s="9123" t="n"/>
      <c r="AO81" s="9123" t="n"/>
      <c r="AP81" s="9123" t="n"/>
      <c r="AQ81" s="8648" t="n"/>
      <c r="AR81" s="9123" t="n"/>
      <c r="AS81" s="9123" t="n"/>
      <c r="AT81" s="9123" t="n"/>
      <c r="AU81" s="9123" t="n"/>
      <c r="AV81" s="8648" t="n"/>
      <c r="AW81" s="9123" t="n"/>
      <c r="AX81" s="9123" t="n"/>
      <c r="AY81" s="9123" t="n"/>
      <c r="AZ81" s="9123" t="n"/>
      <c r="BA81" s="8648" t="n"/>
      <c r="BB81" s="664" t="n"/>
      <c r="BC81" s="664" t="n"/>
      <c r="BD81" s="664" t="n"/>
      <c r="BE81" s="664" t="n"/>
      <c r="BF81" s="664" t="n"/>
      <c r="BG81" s="664" t="n"/>
      <c r="BH81" s="664" t="n"/>
      <c r="BI81" s="664" t="n"/>
      <c r="BJ81" s="664" t="n"/>
      <c r="BK81" s="664" t="n"/>
    </row>
    <row r="82" customFormat="1" s="80">
      <c r="A82" s="2510" t="n"/>
      <c r="B82" s="5187" t="n"/>
      <c r="C82" s="8647" t="n"/>
      <c r="D82" s="8647" t="n"/>
      <c r="E82" s="8647" t="inlineStr">
        <is>
          <t>and 22 below.</t>
        </is>
      </c>
      <c r="F82" s="8647" t="n"/>
      <c r="G82" s="8647" t="n"/>
      <c r="H82" s="8647" t="n"/>
      <c r="I82" s="8647" t="n"/>
      <c r="J82" s="8647" t="n"/>
      <c r="K82" s="3624" t="n"/>
      <c r="L82" s="3624" t="n"/>
      <c r="M82" s="3624" t="n"/>
      <c r="N82" s="5177" t="n"/>
      <c r="O82" s="5193" t="n"/>
      <c r="P82" s="5191" t="n"/>
      <c r="Q82" s="5191" t="n"/>
      <c r="R82" s="4736" t="n"/>
      <c r="S82" s="5188" t="n"/>
      <c r="T82" s="6992" t="n">
        <v>1500</v>
      </c>
      <c r="U82" s="139" t="n"/>
      <c r="V82" s="8648" t="n"/>
      <c r="W82" s="8648" t="n"/>
      <c r="X82" s="8648" t="n"/>
      <c r="Y82" s="8648" t="n"/>
      <c r="Z82" s="8648" t="n"/>
      <c r="AA82" s="8648" t="n"/>
      <c r="AB82" s="1201" t="n"/>
      <c r="AC82" s="1201" t="n"/>
      <c r="AD82" s="1201" t="n"/>
      <c r="AE82" s="1201" t="n"/>
      <c r="AF82" s="9123" t="n"/>
      <c r="AG82" s="8648" t="n"/>
      <c r="AH82" s="1201" t="n"/>
      <c r="AI82" s="1201" t="n"/>
      <c r="AJ82" s="1201" t="n"/>
      <c r="AK82" s="1201" t="n"/>
      <c r="AL82" s="8648" t="n"/>
      <c r="AM82" s="1201" t="n"/>
      <c r="AN82" s="1201" t="n"/>
      <c r="AO82" s="1201" t="n"/>
      <c r="AP82" s="1201" t="n"/>
      <c r="AQ82" s="8648" t="n"/>
      <c r="AR82" s="1201" t="n"/>
      <c r="AS82" s="1201" t="n"/>
      <c r="AT82" s="1201" t="n"/>
      <c r="AU82" s="1201" t="n"/>
      <c r="AV82" s="8648" t="n"/>
      <c r="AW82" s="1201" t="n"/>
      <c r="AX82" s="1201" t="n"/>
      <c r="AY82" s="1201" t="n"/>
      <c r="AZ82" s="1201" t="n"/>
      <c r="BA82" s="8648" t="n"/>
      <c r="BB82" s="664" t="n"/>
      <c r="BC82" s="664" t="n"/>
      <c r="BD82" s="664" t="n"/>
      <c r="BE82" s="664" t="n"/>
      <c r="BF82" s="664" t="n"/>
      <c r="BG82" s="664" t="n"/>
      <c r="BH82" s="664" t="n"/>
      <c r="BI82" s="664" t="n"/>
      <c r="BJ82" s="664" t="n"/>
      <c r="BK82" s="664" t="n"/>
    </row>
    <row r="83" ht="10.5" customFormat="1" customHeight="1" s="80">
      <c r="A83" s="2510" t="n"/>
      <c r="B83" s="5187" t="n"/>
      <c r="C83" s="8647" t="n"/>
      <c r="D83" s="8647" t="n"/>
      <c r="E83" s="8647" t="n"/>
      <c r="F83" s="8647" t="n"/>
      <c r="G83" s="8647" t="n"/>
      <c r="H83" s="8647" t="n"/>
      <c r="I83" s="8647" t="n"/>
      <c r="J83" s="8647" t="n"/>
      <c r="K83" s="3624" t="n"/>
      <c r="L83" s="3624" t="n"/>
      <c r="M83" s="3624" t="n"/>
      <c r="N83" s="5177" t="n"/>
      <c r="O83" s="5193" t="n"/>
      <c r="P83" s="5191" t="n"/>
      <c r="Q83" s="5191" t="n"/>
      <c r="R83" s="4736" t="n"/>
      <c r="S83" s="5188" t="n"/>
      <c r="T83" s="6992">
        <f>IF(File_Marr_Sep="",-T81,-T82)</f>
        <v/>
      </c>
      <c r="U83" s="139" t="n"/>
      <c r="V83" s="8340">
        <f>IF(AND(T86&lt;&gt;"",T86&gt;0),"This positive amount is being used as a negative amount.","")</f>
        <v/>
      </c>
      <c r="W83" s="8648" t="n"/>
      <c r="X83" s="8648" t="n"/>
      <c r="Y83" s="8648" t="n"/>
      <c r="Z83" s="8648" t="n"/>
      <c r="AA83" s="8648" t="n"/>
      <c r="AB83" s="9123" t="n"/>
      <c r="AC83" s="9123" t="n"/>
      <c r="AD83" s="9123" t="n"/>
      <c r="AE83" s="9123" t="n"/>
      <c r="AF83" s="9123" t="n"/>
      <c r="AG83" s="8648" t="n"/>
      <c r="AH83" s="9123" t="n"/>
      <c r="AI83" s="9123" t="n"/>
      <c r="AJ83" s="9123" t="n"/>
      <c r="AK83" s="9123" t="n"/>
      <c r="AL83" s="8648" t="n"/>
      <c r="AM83" s="9123" t="n"/>
      <c r="AN83" s="9123" t="n"/>
      <c r="AO83" s="9123" t="n"/>
      <c r="AP83" s="9123" t="n"/>
      <c r="AQ83" s="8648" t="n"/>
      <c r="AR83" s="9123" t="n"/>
      <c r="AS83" s="9123" t="n"/>
      <c r="AT83" s="9123" t="n"/>
      <c r="AU83" s="9123" t="n"/>
      <c r="AV83" s="8648" t="n"/>
      <c r="AW83" s="9123" t="n"/>
      <c r="AX83" s="9123" t="n"/>
      <c r="AY83" s="9123" t="n"/>
      <c r="AZ83" s="9123" t="n"/>
      <c r="BA83" s="8648" t="n"/>
      <c r="BB83" s="664" t="n"/>
      <c r="BC83" s="664" t="n"/>
      <c r="BD83" s="664" t="n"/>
      <c r="BE83" s="664" t="n"/>
      <c r="BF83" s="664" t="n"/>
      <c r="BG83" s="664" t="n"/>
      <c r="BH83" s="664" t="n"/>
      <c r="BI83" s="664" t="n"/>
      <c r="BJ83" s="664" t="n"/>
      <c r="BK83" s="664" t="n"/>
    </row>
    <row r="84" ht="15.75" customFormat="1" customHeight="1" s="80">
      <c r="A84" s="2510" t="n"/>
      <c r="B84" s="8046" t="n">
        <v>21</v>
      </c>
      <c r="C84" s="8647" t="inlineStr">
        <is>
          <t>If line 16 is a loss, enter here and on Form 1040, 1040-SR, 1040-NR, line 7a, the smaller of:</t>
        </is>
      </c>
      <c r="D84" s="8647" t="n"/>
      <c r="E84" s="8647" t="n"/>
      <c r="F84" s="8647" t="n"/>
      <c r="G84" s="8647" t="n"/>
      <c r="H84" s="8647" t="n"/>
      <c r="I84" s="8647" t="n"/>
      <c r="J84" s="8647" t="n"/>
      <c r="K84" s="3624" t="n"/>
      <c r="L84" s="3624" t="n"/>
      <c r="M84" s="3624" t="n"/>
      <c r="N84" s="5177" t="n"/>
      <c r="O84" s="5193" t="n"/>
      <c r="P84" s="5191" t="n"/>
      <c r="Q84" s="5191" t="n"/>
      <c r="R84" s="4736" t="n"/>
      <c r="S84" s="5188" t="n"/>
      <c r="T84" s="148" t="inlineStr">
        <is>
          <t>Manual</t>
        </is>
      </c>
      <c r="U84" s="139" t="n"/>
      <c r="W84" s="7562">
        <f>IF(O57&lt;0,-MIN(-O57,-T90),"")</f>
        <v/>
      </c>
      <c r="X84" s="8648" t="n"/>
      <c r="Y84" s="8648" t="n"/>
      <c r="Z84" s="8648" t="n"/>
      <c r="AA84" s="8648" t="n"/>
      <c r="AB84" s="9123" t="n"/>
      <c r="AC84" s="9123" t="n"/>
      <c r="AD84" s="9123" t="n"/>
      <c r="AE84" s="9123" t="n"/>
      <c r="AF84" s="9123" t="n"/>
      <c r="AG84" s="8648" t="n"/>
      <c r="AH84" s="9123" t="n"/>
      <c r="AI84" s="9123" t="n"/>
      <c r="AJ84" s="9123" t="n"/>
      <c r="AK84" s="9123" t="n"/>
      <c r="AL84" s="8648" t="n"/>
      <c r="AM84" s="9123" t="n"/>
      <c r="AN84" s="9123" t="n"/>
      <c r="AO84" s="9123" t="n"/>
      <c r="AP84" s="9123" t="n"/>
      <c r="AQ84" s="8648" t="n"/>
      <c r="AR84" s="9123" t="n"/>
      <c r="AS84" s="9123" t="n"/>
      <c r="AT84" s="9123" t="n"/>
      <c r="AU84" s="9123" t="n"/>
      <c r="AV84" s="8648" t="n"/>
      <c r="AW84" s="9123" t="n"/>
      <c r="AX84" s="9123" t="n"/>
      <c r="AY84" s="9123" t="n"/>
      <c r="AZ84" s="9123" t="n"/>
      <c r="BA84" s="8648" t="n"/>
      <c r="BB84" s="664" t="n"/>
      <c r="BC84" s="664" t="n"/>
      <c r="BD84" s="664" t="n"/>
      <c r="BE84" s="664" t="n"/>
      <c r="BF84" s="664" t="n"/>
      <c r="BG84" s="664" t="n"/>
      <c r="BH84" s="664" t="n"/>
      <c r="BI84" s="664" t="n"/>
      <c r="BJ84" s="664" t="n"/>
      <c r="BK84" s="664" t="n"/>
    </row>
    <row r="85" ht="10.5" customFormat="1" customHeight="1" s="80">
      <c r="A85" s="2510" t="n"/>
      <c r="B85" s="5187" t="n"/>
      <c r="C85" s="3317" t="n"/>
      <c r="D85" s="2769" t="n"/>
      <c r="E85" s="8647" t="n"/>
      <c r="F85" s="8647" t="n"/>
      <c r="G85" s="8647" t="n"/>
      <c r="H85" s="8647" t="n"/>
      <c r="I85" s="8647" t="n"/>
      <c r="J85" s="8647" t="n"/>
      <c r="K85" s="3624" t="n"/>
      <c r="L85" s="3624" t="n"/>
      <c r="M85" s="8374" t="n"/>
      <c r="N85" s="5177" t="n"/>
      <c r="O85" s="5193" t="n"/>
      <c r="P85" s="5191" t="n"/>
      <c r="Q85" s="5191" t="n"/>
      <c r="R85" s="4736" t="n"/>
      <c r="S85" s="5188" t="n"/>
      <c r="T85" s="148" t="inlineStr">
        <is>
          <t>Override ê</t>
        </is>
      </c>
      <c r="U85" s="139" t="n"/>
      <c r="W85" s="8648" t="n"/>
      <c r="X85" s="8648" t="n"/>
      <c r="Y85" s="8648" t="n"/>
      <c r="Z85" s="8648" t="n"/>
      <c r="AA85" s="8648" t="n"/>
      <c r="AB85" s="9123" t="n"/>
      <c r="AC85" s="9123" t="n"/>
      <c r="AD85" s="9123" t="n"/>
      <c r="AE85" s="9123" t="n"/>
      <c r="AF85" s="9123" t="n"/>
      <c r="AG85" s="8648" t="n"/>
      <c r="AH85" s="9123" t="n"/>
      <c r="AI85" s="9123" t="n"/>
      <c r="AJ85" s="9123" t="n"/>
      <c r="AK85" s="9123" t="n"/>
      <c r="AL85" s="8648" t="n"/>
      <c r="AM85" s="9123" t="n"/>
      <c r="AN85" s="9123" t="n"/>
      <c r="AO85" s="9123" t="n"/>
      <c r="AP85" s="9123" t="n"/>
      <c r="AQ85" s="8648" t="n"/>
      <c r="AR85" s="9123" t="n"/>
      <c r="AS85" s="9123" t="n"/>
      <c r="AT85" s="9123" t="n"/>
      <c r="AU85" s="9123" t="n"/>
      <c r="AV85" s="8648" t="n"/>
      <c r="AW85" s="9123" t="n"/>
      <c r="AX85" s="9123" t="n"/>
      <c r="AY85" s="9123" t="n"/>
      <c r="AZ85" s="9123" t="n"/>
      <c r="BA85" s="8648" t="n"/>
      <c r="BB85" s="664" t="n"/>
      <c r="BC85" s="664" t="n"/>
      <c r="BD85" s="664" t="n"/>
      <c r="BE85" s="664" t="n"/>
      <c r="BF85" s="664" t="n"/>
      <c r="BG85" s="664" t="n"/>
      <c r="BH85" s="664" t="n"/>
      <c r="BI85" s="664" t="n"/>
      <c r="BJ85" s="664" t="n"/>
      <c r="BK85" s="664" t="n"/>
    </row>
    <row r="86" ht="12.75" customFormat="1" customHeight="1" s="80">
      <c r="A86" s="2510" t="n"/>
      <c r="B86" s="5187" t="n"/>
      <c r="C86" s="6279" t="inlineStr">
        <is>
          <t>l</t>
        </is>
      </c>
      <c r="D86" s="3602" t="inlineStr">
        <is>
          <t>The loss on line 16 or</t>
        </is>
      </c>
      <c r="E86" s="8647" t="n"/>
      <c r="F86" s="8647" t="n"/>
      <c r="G86" s="8647" t="n"/>
      <c r="H86" s="8647" t="n"/>
      <c r="I86" s="8647" t="n"/>
      <c r="J86" s="8647" t="n"/>
      <c r="K86" s="3624" t="n"/>
      <c r="L86" s="3624" t="n"/>
      <c r="M86" s="8374" t="inlineStr">
        <is>
          <t xml:space="preserve"> .   .   .   .   .   .   .   .   .   .   .   .   .   . </t>
        </is>
      </c>
      <c r="N86" s="3039">
        <f>B84</f>
        <v/>
      </c>
      <c r="O86" s="5200" t="inlineStr">
        <is>
          <t>(</t>
        </is>
      </c>
      <c r="P86" s="5201">
        <f>IF(AND(T86&lt;&gt;"",T86&gt;=0),ROUND(T86,0),IF(A63,"",IF(T86&lt;&gt;"",-ROUND(T86,0),IF(W84="","",-W84))))</f>
        <v/>
      </c>
      <c r="Q86" s="5202" t="inlineStr">
        <is>
          <t>)</t>
        </is>
      </c>
      <c r="R86" s="4736" t="n"/>
      <c r="S86" s="5188" t="n"/>
      <c r="T86" s="1613" t="n"/>
      <c r="U86" s="139" t="n"/>
      <c r="W86" s="8648" t="n"/>
      <c r="X86" s="8648" t="n"/>
      <c r="Y86" s="8648" t="n"/>
      <c r="Z86" s="8648" t="n"/>
      <c r="AA86" s="8648" t="n"/>
      <c r="AB86" s="9123" t="n"/>
      <c r="AC86" s="9123" t="n"/>
      <c r="AD86" s="9123" t="n"/>
      <c r="AE86" s="9123" t="n"/>
      <c r="AF86" s="9123" t="n"/>
      <c r="AG86" s="8648" t="n"/>
      <c r="AH86" s="9123" t="n"/>
      <c r="AI86" s="9123" t="n"/>
      <c r="AJ86" s="9123" t="n"/>
      <c r="AK86" s="9123" t="n"/>
      <c r="AL86" s="8648" t="n"/>
      <c r="AM86" s="9123" t="n"/>
      <c r="AN86" s="9123" t="n"/>
      <c r="AO86" s="9123" t="n"/>
      <c r="AP86" s="9123" t="n"/>
      <c r="AQ86" s="8648" t="n"/>
      <c r="AR86" s="9123" t="n"/>
      <c r="AS86" s="9123" t="n"/>
      <c r="AT86" s="9123" t="n"/>
      <c r="AU86" s="9123" t="n"/>
      <c r="AV86" s="8648" t="n"/>
      <c r="AW86" s="9123" t="n"/>
      <c r="AX86" s="9123" t="n"/>
      <c r="AY86" s="9123" t="n"/>
      <c r="AZ86" s="9123" t="n"/>
      <c r="BA86" s="8648" t="n"/>
      <c r="BB86" s="664" t="n"/>
      <c r="BC86" s="664" t="n"/>
      <c r="BD86" s="664" t="n"/>
      <c r="BE86" s="664" t="n"/>
      <c r="BF86" s="664" t="n"/>
      <c r="BG86" s="664" t="n"/>
      <c r="BH86" s="664" t="n"/>
      <c r="BI86" s="664" t="n"/>
      <c r="BJ86" s="664" t="n"/>
      <c r="BK86" s="664" t="n"/>
    </row>
    <row r="87" ht="12.75" customFormat="1" customHeight="1" s="80">
      <c r="A87" s="2510" t="n"/>
      <c r="B87" s="5187" t="n"/>
      <c r="C87" s="6279" t="inlineStr">
        <is>
          <t>l</t>
        </is>
      </c>
      <c r="D87" s="12102">
        <f>TEXT(T81,"($0,000)")&amp;", or if married filing separately, "&amp;TEXT(T82,"($0,000)")</f>
        <v/>
      </c>
      <c r="E87" s="8647" t="n"/>
      <c r="F87" s="8647" t="n"/>
      <c r="G87" s="8647" t="n"/>
      <c r="H87" s="8647" t="n"/>
      <c r="I87" s="8647" t="n"/>
      <c r="J87" s="8647" t="n"/>
      <c r="K87" s="3728" t="n"/>
      <c r="L87" s="3624" t="n"/>
      <c r="M87" s="3624" t="n"/>
      <c r="N87" s="6251" t="n"/>
      <c r="O87" s="6252" t="n"/>
      <c r="P87" s="6255" t="n"/>
      <c r="Q87" s="6252" t="n"/>
      <c r="R87" s="4736" t="n"/>
      <c r="S87" s="5188" t="n"/>
      <c r="T87" s="139" t="n"/>
      <c r="U87" s="139" t="n"/>
      <c r="V87" s="8648" t="n"/>
      <c r="W87" s="8648" t="n"/>
      <c r="X87" s="8648" t="n"/>
      <c r="Y87" s="8648" t="n"/>
      <c r="Z87" s="8648" t="n"/>
      <c r="AA87" s="8648" t="n"/>
      <c r="AB87" s="9123" t="n"/>
      <c r="AC87" s="9123" t="n"/>
      <c r="AD87" s="9123" t="n"/>
      <c r="AE87" s="9123" t="n"/>
      <c r="AF87" s="9123" t="n"/>
      <c r="AG87" s="8648" t="n"/>
      <c r="AH87" s="9123" t="n"/>
      <c r="AI87" s="9123" t="n"/>
      <c r="AJ87" s="9123" t="n"/>
      <c r="AK87" s="9123" t="n"/>
      <c r="AL87" s="8648" t="n"/>
      <c r="AM87" s="9123" t="n"/>
      <c r="AN87" s="9123" t="n"/>
      <c r="AO87" s="9123" t="n"/>
      <c r="AP87" s="9123" t="n"/>
      <c r="AQ87" s="8648" t="n"/>
      <c r="AR87" s="9123" t="n"/>
      <c r="AS87" s="9123" t="n"/>
      <c r="AT87" s="9123" t="n"/>
      <c r="AU87" s="9123" t="n"/>
      <c r="AV87" s="8648" t="n"/>
      <c r="AW87" s="9123" t="n"/>
      <c r="AX87" s="9123" t="n"/>
      <c r="AY87" s="9123" t="n"/>
      <c r="AZ87" s="9123" t="n"/>
      <c r="BA87" s="8648" t="n"/>
      <c r="BB87" s="664" t="n"/>
      <c r="BC87" s="664" t="n"/>
      <c r="BD87" s="664" t="n"/>
      <c r="BE87" s="664" t="n"/>
      <c r="BF87" s="664" t="n"/>
      <c r="BG87" s="664" t="n"/>
      <c r="BH87" s="664" t="n"/>
      <c r="BI87" s="664" t="n"/>
      <c r="BJ87" s="664" t="n"/>
      <c r="BK87" s="664" t="n"/>
    </row>
    <row r="88" ht="5.25" customFormat="1" customHeight="1" s="80">
      <c r="A88" s="2510" t="n"/>
      <c r="B88" s="5187" t="n"/>
      <c r="C88" s="3317" t="n"/>
      <c r="D88" s="3317" t="n"/>
      <c r="E88" s="8647" t="n"/>
      <c r="F88" s="8647" t="n"/>
      <c r="G88" s="8647" t="n"/>
      <c r="H88" s="8647" t="n"/>
      <c r="I88" s="8647" t="n"/>
      <c r="J88" s="8647" t="n"/>
      <c r="K88" s="3624" t="n"/>
      <c r="L88" s="3624" t="n"/>
      <c r="M88" s="3624" t="n"/>
      <c r="N88" s="6253" t="n"/>
      <c r="O88" s="6254" t="n"/>
      <c r="P88" s="6255" t="n"/>
      <c r="Q88" s="6255" t="n"/>
      <c r="R88" s="4736" t="n"/>
      <c r="S88" s="5188" t="n"/>
      <c r="T88" s="3540" t="n">
        <v>3000</v>
      </c>
      <c r="U88" s="139" t="n"/>
      <c r="V88" s="8648" t="n"/>
      <c r="W88" s="8648" t="n"/>
      <c r="X88" s="8648" t="n"/>
      <c r="Y88" s="8648" t="n"/>
      <c r="Z88" s="8648" t="n"/>
      <c r="AA88" s="8648" t="n"/>
      <c r="AB88" s="9123" t="n"/>
      <c r="AC88" s="9123" t="n"/>
      <c r="AD88" s="9123" t="n"/>
      <c r="AE88" s="9123" t="n"/>
      <c r="AF88" s="9123" t="n"/>
      <c r="AG88" s="8648" t="n"/>
      <c r="AH88" s="9123" t="n"/>
      <c r="AI88" s="9123" t="n"/>
      <c r="AJ88" s="9123" t="n"/>
      <c r="AK88" s="9123" t="n"/>
      <c r="AL88" s="8648" t="n"/>
      <c r="AM88" s="9123" t="n"/>
      <c r="AN88" s="9123" t="n"/>
      <c r="AO88" s="9123" t="n"/>
      <c r="AP88" s="9123" t="n"/>
      <c r="AQ88" s="8648" t="n"/>
      <c r="AR88" s="9123" t="n"/>
      <c r="AS88" s="9123" t="n"/>
      <c r="AT88" s="9123" t="n"/>
      <c r="AU88" s="9123" t="n"/>
      <c r="AV88" s="8648" t="n"/>
      <c r="AW88" s="9123" t="n"/>
      <c r="AX88" s="9123" t="n"/>
      <c r="AY88" s="9123" t="n"/>
      <c r="AZ88" s="9123" t="n"/>
      <c r="BA88" s="8648" t="n"/>
      <c r="BB88" s="664" t="n"/>
      <c r="BC88" s="664" t="n"/>
      <c r="BD88" s="664" t="n"/>
      <c r="BE88" s="664" t="n"/>
      <c r="BF88" s="664" t="n"/>
      <c r="BG88" s="664" t="n"/>
      <c r="BH88" s="664" t="n"/>
      <c r="BI88" s="664" t="n"/>
      <c r="BJ88" s="664" t="n"/>
      <c r="BK88" s="664" t="n"/>
    </row>
    <row r="89" ht="15" customFormat="1" customHeight="1" s="80">
      <c r="A89" s="2510" t="n"/>
      <c r="B89" s="5187" t="n"/>
      <c r="C89" s="3599" t="inlineStr">
        <is>
          <t>Note: When figuring which amount is smaller, treat both amounts as positive numbers.</t>
        </is>
      </c>
      <c r="D89" s="2826" t="n"/>
      <c r="E89" s="8647" t="n"/>
      <c r="F89" s="8647" t="n"/>
      <c r="G89" s="8647" t="n"/>
      <c r="H89" s="8647" t="n"/>
      <c r="I89" s="8647" t="n"/>
      <c r="J89" s="8647" t="n"/>
      <c r="K89" s="3624" t="n"/>
      <c r="L89" s="3624" t="n"/>
      <c r="M89" s="3624" t="n"/>
      <c r="N89" s="6256" t="n"/>
      <c r="O89" s="6257" t="n"/>
      <c r="P89" s="6258" t="n"/>
      <c r="Q89" s="6258" t="n"/>
      <c r="R89" s="4736" t="n"/>
      <c r="S89" s="5188" t="n"/>
      <c r="T89" s="3540" t="n">
        <v>1500</v>
      </c>
      <c r="U89" s="139" t="n"/>
      <c r="V89" s="8648" t="n"/>
      <c r="W89" s="8648" t="n"/>
      <c r="X89" s="8648" t="n"/>
      <c r="Y89" s="8648" t="n"/>
      <c r="Z89" s="8648" t="n"/>
      <c r="AA89" s="8648" t="n"/>
      <c r="AB89" s="9123" t="n"/>
      <c r="AC89" s="9123" t="n"/>
      <c r="AD89" s="9123" t="n"/>
      <c r="AE89" s="9123" t="n"/>
      <c r="AF89" s="9123" t="n"/>
      <c r="AG89" s="8648" t="n"/>
      <c r="AH89" s="9123" t="n"/>
      <c r="AI89" s="9123" t="n"/>
      <c r="AJ89" s="9123" t="n"/>
      <c r="AK89" s="9123" t="n"/>
      <c r="AL89" s="8648" t="n"/>
      <c r="AM89" s="9123" t="n"/>
      <c r="AN89" s="9123" t="n"/>
      <c r="AO89" s="9123" t="n"/>
      <c r="AP89" s="9123" t="n"/>
      <c r="AQ89" s="8648" t="n"/>
      <c r="AR89" s="9123" t="n"/>
      <c r="AS89" s="9123" t="n"/>
      <c r="AT89" s="9123" t="n"/>
      <c r="AU89" s="9123" t="n"/>
      <c r="AV89" s="8648" t="n"/>
      <c r="AW89" s="9123" t="n"/>
      <c r="AX89" s="9123" t="n"/>
      <c r="AY89" s="9123" t="n"/>
      <c r="AZ89" s="9123" t="n"/>
      <c r="BA89" s="8648" t="n"/>
      <c r="BB89" s="664" t="n"/>
      <c r="BC89" s="664" t="n"/>
      <c r="BD89" s="664" t="n"/>
      <c r="BE89" s="664" t="n"/>
      <c r="BF89" s="664" t="n"/>
      <c r="BG89" s="664" t="n"/>
      <c r="BH89" s="664" t="n"/>
      <c r="BI89" s="664" t="n"/>
      <c r="BJ89" s="664" t="n"/>
      <c r="BK89" s="664" t="n"/>
    </row>
    <row r="90" ht="12.75" customFormat="1" customHeight="1" s="80">
      <c r="A90" s="2510" t="n"/>
      <c r="B90" s="5187" t="n"/>
      <c r="C90" s="3317" t="n"/>
      <c r="D90" s="3317" t="n"/>
      <c r="E90" s="8647" t="n"/>
      <c r="F90" s="8647" t="n"/>
      <c r="G90" s="8647" t="n"/>
      <c r="H90" s="8647" t="n"/>
      <c r="I90" s="8647" t="n"/>
      <c r="J90" s="8647" t="n"/>
      <c r="K90" s="3624" t="n"/>
      <c r="L90" s="3624" t="n"/>
      <c r="M90" s="3624" t="n"/>
      <c r="N90" s="6256" t="n"/>
      <c r="O90" s="6257" t="n"/>
      <c r="P90" s="6258" t="n"/>
      <c r="Q90" s="6258" t="n"/>
      <c r="R90" s="4736" t="n"/>
      <c r="S90" s="5188" t="n"/>
      <c r="T90" s="2510">
        <f>IF(File_Marr_Sep="",-T88,-T89)</f>
        <v/>
      </c>
      <c r="U90" s="139" t="n"/>
      <c r="V90" s="8648" t="n"/>
      <c r="W90" s="8648" t="n"/>
      <c r="X90" s="8648" t="n"/>
      <c r="Y90" s="8648" t="n"/>
      <c r="Z90" s="8648" t="n"/>
      <c r="AA90" s="8648" t="n"/>
      <c r="AB90" s="9123" t="n"/>
      <c r="AC90" s="9123" t="n"/>
      <c r="AD90" s="9123" t="n"/>
      <c r="AE90" s="9123" t="n"/>
      <c r="AF90" s="9123" t="n"/>
      <c r="AG90" s="8648" t="n"/>
      <c r="AH90" s="9123" t="n"/>
      <c r="AI90" s="9123" t="n"/>
      <c r="AJ90" s="9123" t="n"/>
      <c r="AK90" s="9123" t="n"/>
      <c r="AL90" s="8648" t="n"/>
      <c r="AM90" s="9123" t="n"/>
      <c r="AN90" s="9123" t="n"/>
      <c r="AO90" s="9123" t="n"/>
      <c r="AP90" s="9123" t="n"/>
      <c r="AQ90" s="8648" t="n"/>
      <c r="AR90" s="9123" t="n"/>
      <c r="AS90" s="9123" t="n"/>
      <c r="AT90" s="9123" t="n"/>
      <c r="AU90" s="9123" t="n"/>
      <c r="AV90" s="8648" t="n"/>
      <c r="AW90" s="9123" t="n"/>
      <c r="AX90" s="9123" t="n"/>
      <c r="AY90" s="9123" t="n"/>
      <c r="AZ90" s="9123" t="n"/>
      <c r="BA90" s="8648" t="n"/>
      <c r="BB90" s="664" t="n"/>
      <c r="BC90" s="664" t="n"/>
      <c r="BD90" s="664" t="n"/>
      <c r="BE90" s="664" t="n"/>
      <c r="BF90" s="664" t="n"/>
      <c r="BG90" s="664" t="n"/>
      <c r="BH90" s="664" t="n"/>
      <c r="BI90" s="664" t="n"/>
      <c r="BJ90" s="664" t="n"/>
      <c r="BK90" s="664" t="n"/>
    </row>
    <row r="91" ht="12.75" customFormat="1" customHeight="1" s="80">
      <c r="A91" s="2510" t="n"/>
      <c r="B91" s="8046" t="n">
        <v>22</v>
      </c>
      <c r="C91" s="3686" t="inlineStr">
        <is>
          <t>Do you have qualified dividends on Form 1040, 1040-SR, or 1040-NR, line 3a?</t>
        </is>
      </c>
      <c r="D91" s="3626" t="n"/>
      <c r="E91" s="3626" t="n"/>
      <c r="F91" s="3626" t="n"/>
      <c r="G91" s="3626" t="n"/>
      <c r="H91" s="3626" t="n"/>
      <c r="I91" s="3626" t="n"/>
      <c r="J91" s="3626" t="n"/>
      <c r="K91" s="3710" t="n"/>
      <c r="L91" s="3710" t="n"/>
      <c r="M91" s="3710" t="n"/>
      <c r="N91" s="6259" t="n"/>
      <c r="O91" s="6252" t="n"/>
      <c r="P91" s="6260" t="n"/>
      <c r="Q91" s="6260" t="n"/>
      <c r="R91" s="5195" t="n"/>
      <c r="S91" s="5196" t="n"/>
      <c r="T91" s="3540">
        <f>IF(O57&gt;=0,O57,W84)</f>
        <v/>
      </c>
      <c r="U91" s="139" t="n"/>
      <c r="V91" s="8145" t="n"/>
      <c r="W91" s="8145" t="n"/>
      <c r="X91" s="8145" t="n"/>
      <c r="Y91" s="8145" t="n"/>
      <c r="Z91" s="8648" t="n"/>
      <c r="AA91" s="8648" t="n"/>
      <c r="AB91" s="9123" t="n"/>
      <c r="AC91" s="9123" t="n"/>
      <c r="AD91" s="9123" t="n"/>
      <c r="AE91" s="9123" t="n"/>
      <c r="AF91" s="9123" t="n"/>
      <c r="AG91" s="8648" t="n"/>
      <c r="AH91" s="9123" t="n"/>
      <c r="AI91" s="9123" t="n"/>
      <c r="AJ91" s="9123" t="n"/>
      <c r="AK91" s="9123" t="n"/>
      <c r="AL91" s="8648" t="n"/>
      <c r="AM91" s="9123" t="n"/>
      <c r="AN91" s="9123" t="n"/>
      <c r="AO91" s="9123" t="n"/>
      <c r="AP91" s="9123" t="n"/>
      <c r="AQ91" s="8648" t="n"/>
      <c r="AR91" s="9123" t="n"/>
      <c r="AS91" s="9123" t="n"/>
      <c r="AT91" s="9123" t="n"/>
      <c r="AU91" s="9123" t="n"/>
      <c r="AV91" s="8648" t="n"/>
      <c r="AW91" s="9123" t="n"/>
      <c r="AX91" s="9123" t="n"/>
      <c r="AY91" s="9123" t="n"/>
      <c r="AZ91" s="9123" t="n"/>
      <c r="BA91" s="8648" t="n"/>
      <c r="BB91" s="664" t="n"/>
      <c r="BC91" s="664" t="n"/>
      <c r="BD91" s="664" t="n"/>
      <c r="BE91" s="664" t="n"/>
      <c r="BF91" s="664" t="n"/>
      <c r="BG91" s="664" t="n"/>
      <c r="BH91" s="664" t="n"/>
      <c r="BI91" s="664" t="n"/>
      <c r="BJ91" s="664" t="n"/>
      <c r="BK91" s="664" t="n"/>
    </row>
    <row r="92" ht="8.25" customFormat="1" customHeight="1" s="5184">
      <c r="A92" s="2510" t="n"/>
      <c r="B92" s="8046" t="n"/>
      <c r="C92" s="3626" t="n"/>
      <c r="D92" s="3626" t="n"/>
      <c r="E92" s="3626" t="n"/>
      <c r="F92" s="3626" t="n"/>
      <c r="G92" s="3626" t="n"/>
      <c r="H92" s="3626" t="n"/>
      <c r="I92" s="3626" t="n"/>
      <c r="J92" s="3626" t="n"/>
      <c r="K92" s="3710" t="n"/>
      <c r="L92" s="3710" t="n"/>
      <c r="M92" s="3710" t="n"/>
      <c r="N92" s="6259" t="n"/>
      <c r="O92" s="6252" t="n"/>
      <c r="P92" s="6260" t="n"/>
      <c r="Q92" s="6260" t="n"/>
      <c r="R92" s="5195" t="n"/>
      <c r="S92" s="5196" t="n"/>
      <c r="T92" s="3540" t="n"/>
      <c r="U92" s="139" t="n"/>
      <c r="V92" s="8145" t="n"/>
      <c r="W92" s="8145" t="n"/>
      <c r="X92" s="8145" t="n"/>
      <c r="Y92" s="8145" t="n"/>
      <c r="Z92" s="8145" t="n"/>
      <c r="AA92" s="8145" t="n"/>
      <c r="AB92" s="302" t="n"/>
      <c r="AC92" s="302" t="n"/>
      <c r="AD92" s="302" t="n"/>
      <c r="AE92" s="302" t="n"/>
      <c r="AF92" s="302" t="n"/>
      <c r="AG92" s="8145" t="n"/>
      <c r="AH92" s="302" t="n"/>
      <c r="AI92" s="302" t="n"/>
      <c r="AJ92" s="302" t="n"/>
      <c r="AK92" s="302" t="n"/>
      <c r="AL92" s="8145" t="n"/>
      <c r="AM92" s="302" t="n"/>
      <c r="AN92" s="302" t="n"/>
      <c r="AO92" s="302" t="n"/>
      <c r="AP92" s="302" t="n"/>
      <c r="AQ92" s="8145" t="n"/>
      <c r="AR92" s="302" t="n"/>
      <c r="AS92" s="302" t="n"/>
      <c r="AT92" s="302" t="n"/>
      <c r="AU92" s="302" t="n"/>
      <c r="AV92" s="8145" t="n"/>
      <c r="AW92" s="302" t="n"/>
      <c r="AX92" s="302" t="n"/>
      <c r="AY92" s="302" t="n"/>
      <c r="AZ92" s="302" t="n"/>
      <c r="BA92" s="8145" t="n"/>
      <c r="BB92" s="1610" t="n"/>
      <c r="BC92" s="1610" t="n"/>
      <c r="BD92" s="1610" t="n"/>
      <c r="BE92" s="1610" t="n"/>
      <c r="BF92" s="1610" t="n"/>
      <c r="BG92" s="1610" t="n"/>
      <c r="BH92" s="1610" t="n"/>
      <c r="BI92" s="1610" t="n"/>
      <c r="BJ92" s="1610" t="n"/>
      <c r="BK92" s="1610" t="n"/>
    </row>
    <row r="93" ht="13.5" customFormat="1" customHeight="1" s="5184">
      <c r="A93" s="5180">
        <f>AND(SchDLine16&lt;&gt;"",OR(A61,A63,A69),AND(Qualified_Dividends&gt;0,Qualified_Dividends&lt;&gt;""))</f>
        <v/>
      </c>
      <c r="B93" s="2984" t="n"/>
      <c r="C93" s="5185">
        <f>IF(A93,"X","")</f>
        <v/>
      </c>
      <c r="D93" s="1611" t="n"/>
      <c r="E93" s="5199" t="inlineStr">
        <is>
          <t>Yes.  Complete the Qualified Dividends and Capital Gain Tax Worksheet in the</t>
        </is>
      </c>
      <c r="F93" s="3097" t="n"/>
      <c r="G93" s="3097" t="n"/>
      <c r="H93" s="3097" t="n"/>
      <c r="I93" s="3097" t="n"/>
      <c r="J93" s="3097" t="n"/>
      <c r="K93" s="3624" t="n"/>
      <c r="L93" s="3624" t="n"/>
      <c r="M93" s="5181" t="n"/>
      <c r="N93" s="6259" t="n"/>
      <c r="O93" s="6252" t="n"/>
      <c r="P93" s="6260" t="n"/>
      <c r="Q93" s="6260" t="n"/>
      <c r="R93" s="4076" t="n"/>
      <c r="S93" s="5186" t="n"/>
      <c r="T93" s="139" t="n"/>
      <c r="U93" s="139" t="n"/>
      <c r="V93" s="8043" t="n"/>
      <c r="W93" s="8043" t="n"/>
      <c r="X93" s="8043" t="n"/>
      <c r="Y93" s="8043" t="n"/>
      <c r="Z93" s="8145" t="n"/>
      <c r="AA93" s="8145" t="n"/>
      <c r="AB93" s="302" t="n"/>
      <c r="AC93" s="302" t="n"/>
      <c r="AD93" s="302" t="n"/>
      <c r="AE93" s="302" t="n"/>
      <c r="AF93" s="302" t="n"/>
      <c r="AG93" s="8145" t="n"/>
      <c r="AH93" s="302" t="n"/>
      <c r="AI93" s="302" t="n"/>
      <c r="AJ93" s="302" t="n"/>
      <c r="AK93" s="302" t="n"/>
      <c r="AL93" s="8145" t="n"/>
      <c r="AM93" s="302" t="n"/>
      <c r="AN93" s="302" t="n"/>
      <c r="AO93" s="302" t="n"/>
      <c r="AP93" s="302" t="n"/>
      <c r="AQ93" s="8145" t="n"/>
      <c r="AR93" s="302" t="n"/>
      <c r="AS93" s="302" t="n"/>
      <c r="AT93" s="302" t="n"/>
      <c r="AU93" s="302" t="n"/>
      <c r="AV93" s="8145" t="n"/>
      <c r="AW93" s="302" t="n"/>
      <c r="AX93" s="302" t="n"/>
      <c r="AY93" s="302" t="n"/>
      <c r="AZ93" s="302" t="n"/>
      <c r="BA93" s="8145" t="n"/>
      <c r="BB93" s="1610" t="n"/>
      <c r="BC93" s="1610" t="n"/>
      <c r="BD93" s="1610" t="n"/>
      <c r="BE93" s="1610" t="n"/>
      <c r="BF93" s="1610" t="n"/>
      <c r="BG93" s="1610" t="n"/>
      <c r="BH93" s="1610" t="n"/>
      <c r="BI93" s="1610" t="n"/>
      <c r="BJ93" s="1610" t="n"/>
      <c r="BK93" s="1610" t="n"/>
    </row>
    <row r="94" ht="12" customFormat="1" customHeight="1" s="80">
      <c r="A94" s="2510" t="n"/>
      <c r="B94" s="5187" t="n"/>
      <c r="C94" s="8647" t="n"/>
      <c r="D94" s="8647" t="n"/>
      <c r="E94" s="8651" t="inlineStr">
        <is>
          <t>instructions for Form 1040 or 1040-SR, line 16.</t>
        </is>
      </c>
      <c r="F94" s="8647" t="n"/>
      <c r="G94" s="8647" t="n"/>
      <c r="H94" s="8647" t="n"/>
      <c r="I94" s="8647" t="n"/>
      <c r="J94" s="8647" t="n"/>
      <c r="K94" s="3624" t="n"/>
      <c r="L94" s="3624" t="n"/>
      <c r="M94" s="3624" t="n"/>
      <c r="N94" s="6259" t="n"/>
      <c r="O94" s="6252" t="n"/>
      <c r="P94" s="6260" t="n"/>
      <c r="Q94" s="6260" t="n"/>
      <c r="R94" s="4736" t="n"/>
      <c r="S94" s="5188" t="n"/>
      <c r="T94" s="139" t="n"/>
      <c r="U94" s="139" t="n"/>
      <c r="V94" s="8648" t="n"/>
      <c r="W94" s="8648" t="n"/>
      <c r="X94" s="8648" t="n"/>
      <c r="Y94" s="8648" t="n"/>
      <c r="Z94" s="8648" t="n"/>
      <c r="AA94" s="8648" t="n"/>
      <c r="AB94" s="1201" t="n"/>
      <c r="AC94" s="1201" t="n"/>
      <c r="AD94" s="1201" t="n"/>
      <c r="AE94" s="1201" t="n"/>
      <c r="AF94" s="9123" t="n"/>
      <c r="AG94" s="8648" t="n"/>
      <c r="AH94" s="1201" t="n"/>
      <c r="AI94" s="1201" t="n"/>
      <c r="AJ94" s="1201" t="n"/>
      <c r="AK94" s="1201" t="n"/>
      <c r="AL94" s="8648" t="n"/>
      <c r="AM94" s="1201" t="n"/>
      <c r="AN94" s="1201" t="n"/>
      <c r="AO94" s="1201" t="n"/>
      <c r="AP94" s="1201" t="n"/>
      <c r="AQ94" s="8648" t="n"/>
      <c r="AR94" s="1201" t="n"/>
      <c r="AS94" s="1201" t="n"/>
      <c r="AT94" s="1201" t="n"/>
      <c r="AU94" s="1201" t="n"/>
      <c r="AV94" s="8648" t="n"/>
      <c r="AW94" s="1201" t="n"/>
      <c r="AX94" s="1201" t="n"/>
      <c r="AY94" s="1201" t="n"/>
      <c r="AZ94" s="1201" t="n"/>
      <c r="BA94" s="8648" t="n"/>
      <c r="BB94" s="664" t="n"/>
      <c r="BC94" s="664" t="n"/>
      <c r="BD94" s="664" t="n"/>
      <c r="BE94" s="664" t="n"/>
      <c r="BF94" s="664" t="n"/>
      <c r="BG94" s="664" t="n"/>
      <c r="BH94" s="664" t="n"/>
      <c r="BI94" s="664" t="n"/>
      <c r="BJ94" s="664" t="n"/>
      <c r="BK94" s="664" t="n"/>
    </row>
    <row r="95" ht="6.75" customFormat="1" customHeight="1" s="80">
      <c r="A95" s="2510" t="n"/>
      <c r="B95" s="5187" t="n"/>
      <c r="C95" s="8647" t="n"/>
      <c r="D95" s="8647" t="n"/>
      <c r="E95" s="3561" t="n"/>
      <c r="F95" s="8647" t="n"/>
      <c r="G95" s="8647" t="n"/>
      <c r="H95" s="8647" t="n"/>
      <c r="I95" s="8647" t="n"/>
      <c r="J95" s="8647" t="n"/>
      <c r="K95" s="3624" t="n"/>
      <c r="L95" s="3624" t="n"/>
      <c r="M95" s="3624" t="n"/>
      <c r="N95" s="6259" t="n"/>
      <c r="O95" s="6252" t="n"/>
      <c r="P95" s="6260" t="n"/>
      <c r="Q95" s="6260" t="n"/>
      <c r="R95" s="4736" t="n"/>
      <c r="S95" s="5188" t="n"/>
      <c r="T95" s="139" t="n"/>
      <c r="U95" s="139" t="n"/>
      <c r="V95" s="8648" t="n"/>
      <c r="W95" s="8648" t="n"/>
      <c r="X95" s="8648" t="n"/>
      <c r="Y95" s="8648" t="n"/>
      <c r="Z95" s="8648" t="n"/>
      <c r="AA95" s="8648" t="n"/>
      <c r="AB95" s="9123" t="n"/>
      <c r="AC95" s="9123" t="n"/>
      <c r="AD95" s="9123" t="n"/>
      <c r="AE95" s="9123" t="n"/>
      <c r="AF95" s="9123" t="n"/>
      <c r="AG95" s="8648" t="n"/>
      <c r="AH95" s="9123" t="n"/>
      <c r="AI95" s="9123" t="n"/>
      <c r="AJ95" s="9123" t="n"/>
      <c r="AK95" s="9123" t="n"/>
      <c r="AL95" s="8648" t="n"/>
      <c r="AM95" s="9123" t="n"/>
      <c r="AN95" s="9123" t="n"/>
      <c r="AO95" s="9123" t="n"/>
      <c r="AP95" s="9123" t="n"/>
      <c r="AQ95" s="8648" t="n"/>
      <c r="AR95" s="9123" t="n"/>
      <c r="AS95" s="9123" t="n"/>
      <c r="AT95" s="9123" t="n"/>
      <c r="AU95" s="9123" t="n"/>
      <c r="AV95" s="8648" t="n"/>
      <c r="AW95" s="9123" t="n"/>
      <c r="AX95" s="9123" t="n"/>
      <c r="AY95" s="9123" t="n"/>
      <c r="AZ95" s="9123" t="n"/>
      <c r="BA95" s="8648" t="n"/>
      <c r="BB95" s="664" t="n"/>
      <c r="BC95" s="664" t="n"/>
      <c r="BD95" s="664" t="n"/>
      <c r="BE95" s="664" t="n"/>
      <c r="BF95" s="664" t="n"/>
      <c r="BG95" s="664" t="n"/>
      <c r="BH95" s="664" t="n"/>
      <c r="BI95" s="664" t="n"/>
      <c r="BJ95" s="664" t="n"/>
      <c r="BK95" s="664" t="n"/>
    </row>
    <row r="96" ht="13.5" customFormat="1" customHeight="1" s="80">
      <c r="A96" s="5180">
        <f>AND(SchDLine16&lt;&gt;"",OR(A61,A63,A69),NOT(A93))</f>
        <v/>
      </c>
      <c r="B96" s="5187" t="n"/>
      <c r="C96" s="5185">
        <f>IF(A96,"X","")</f>
        <v/>
      </c>
      <c r="D96" s="1611" t="n"/>
      <c r="E96" s="5199" t="inlineStr">
        <is>
          <t>No.  Complete the rest of Form 1040, 1040-SR, or 1040-NR.</t>
        </is>
      </c>
      <c r="F96" s="8647" t="n"/>
      <c r="G96" s="8647" t="n"/>
      <c r="H96" s="8647" t="n"/>
      <c r="I96" s="8647" t="n"/>
      <c r="J96" s="8647" t="n"/>
      <c r="K96" s="3624" t="n"/>
      <c r="L96" s="3624" t="n"/>
      <c r="M96" s="3624" t="n"/>
      <c r="N96" s="6259" t="n"/>
      <c r="O96" s="6252" t="n"/>
      <c r="P96" s="6260" t="n"/>
      <c r="Q96" s="6260" t="n"/>
      <c r="R96" s="4736" t="n"/>
      <c r="S96" s="5188" t="n"/>
      <c r="T96" s="139" t="n"/>
      <c r="U96" s="139" t="n"/>
      <c r="V96" s="8648" t="n"/>
      <c r="W96" s="8648" t="n"/>
      <c r="X96" s="8648" t="n"/>
      <c r="Y96" s="8648" t="n"/>
      <c r="Z96" s="8648" t="n"/>
      <c r="AA96" s="8648" t="n"/>
      <c r="AB96" s="9123" t="n"/>
      <c r="AC96" s="9123" t="n"/>
      <c r="AD96" s="9123" t="n"/>
      <c r="AE96" s="9123" t="n"/>
      <c r="AF96" s="9123" t="n"/>
      <c r="AG96" s="8648" t="n"/>
      <c r="AH96" s="9123" t="n"/>
      <c r="AI96" s="9123" t="n"/>
      <c r="AJ96" s="9123" t="n"/>
      <c r="AK96" s="9123" t="n"/>
      <c r="AL96" s="8648" t="n"/>
      <c r="AM96" s="9123" t="n"/>
      <c r="AN96" s="9123" t="n"/>
      <c r="AO96" s="9123" t="n"/>
      <c r="AP96" s="9123" t="n"/>
      <c r="AQ96" s="8648" t="n"/>
      <c r="AR96" s="9123" t="n"/>
      <c r="AS96" s="9123" t="n"/>
      <c r="AT96" s="9123" t="n"/>
      <c r="AU96" s="9123" t="n"/>
      <c r="AV96" s="8648" t="n"/>
      <c r="AW96" s="9123" t="n"/>
      <c r="AX96" s="9123" t="n"/>
      <c r="AY96" s="9123" t="n"/>
      <c r="AZ96" s="9123" t="n"/>
      <c r="BA96" s="8648" t="n"/>
      <c r="BB96" s="664" t="n"/>
      <c r="BC96" s="664" t="n"/>
      <c r="BD96" s="664" t="n"/>
      <c r="BE96" s="664" t="n"/>
      <c r="BF96" s="664" t="n"/>
      <c r="BG96" s="664" t="n"/>
      <c r="BH96" s="664" t="n"/>
      <c r="BI96" s="664" t="n"/>
      <c r="BJ96" s="664" t="n"/>
      <c r="BK96" s="664" t="n"/>
    </row>
    <row r="97" ht="12.75" customFormat="1" customHeight="1" s="80" thickBot="1">
      <c r="A97" s="5065" t="n"/>
      <c r="B97" s="5204" t="n"/>
      <c r="C97" s="5205" t="n"/>
      <c r="D97" s="5205" t="n"/>
      <c r="E97" s="5206" t="n"/>
      <c r="F97" s="5205" t="n"/>
      <c r="G97" s="5205" t="n"/>
      <c r="H97" s="5205" t="n"/>
      <c r="I97" s="5205" t="n"/>
      <c r="J97" s="5205" t="n"/>
      <c r="K97" s="5207" t="n"/>
      <c r="L97" s="5207" t="n"/>
      <c r="M97" s="5207" t="n"/>
      <c r="N97" s="6261" t="n"/>
      <c r="O97" s="6262" t="n"/>
      <c r="P97" s="6263" t="n"/>
      <c r="Q97" s="6263" t="n"/>
      <c r="R97" s="4736" t="n"/>
      <c r="S97" s="5188" t="n"/>
      <c r="T97" s="139" t="n"/>
      <c r="U97" s="139" t="n"/>
      <c r="V97" s="8648" t="n"/>
      <c r="W97" s="8648" t="n"/>
      <c r="X97" s="8648" t="n"/>
      <c r="Y97" s="8648" t="n"/>
      <c r="Z97" s="8648" t="n"/>
      <c r="AA97" s="8648" t="n"/>
      <c r="AB97" s="9123" t="n"/>
      <c r="AC97" s="9123" t="n"/>
      <c r="AD97" s="9123" t="n"/>
      <c r="AE97" s="9123" t="n"/>
      <c r="AF97" s="9123" t="n"/>
      <c r="AG97" s="8648" t="n"/>
      <c r="AH97" s="9123" t="n"/>
      <c r="AI97" s="9123" t="n"/>
      <c r="AJ97" s="9123" t="n"/>
      <c r="AK97" s="9123" t="n"/>
      <c r="AL97" s="8648" t="n"/>
      <c r="AM97" s="9123" t="n"/>
      <c r="AN97" s="9123" t="n"/>
      <c r="AO97" s="9123" t="n"/>
      <c r="AP97" s="9123" t="n"/>
      <c r="AQ97" s="8648" t="n"/>
      <c r="AR97" s="9123" t="n"/>
      <c r="AS97" s="9123" t="n"/>
      <c r="AT97" s="9123" t="n"/>
      <c r="AU97" s="9123" t="n"/>
      <c r="AV97" s="8648" t="n"/>
      <c r="AW97" s="9123" t="n"/>
      <c r="AX97" s="9123" t="n"/>
      <c r="AY97" s="9123" t="n"/>
      <c r="AZ97" s="9123" t="n"/>
      <c r="BA97" s="8648" t="n"/>
      <c r="BB97" s="664" t="n"/>
      <c r="BC97" s="664" t="n"/>
      <c r="BD97" s="664" t="n"/>
      <c r="BE97" s="664" t="n"/>
      <c r="BF97" s="664" t="n"/>
      <c r="BG97" s="664" t="n"/>
      <c r="BH97" s="664" t="n"/>
      <c r="BI97" s="664" t="n"/>
      <c r="BJ97" s="664" t="n"/>
      <c r="BK97" s="664" t="n"/>
    </row>
    <row r="98" ht="15" customFormat="1" customHeight="1" s="80">
      <c r="A98" s="5065" t="n"/>
      <c r="B98" s="8647" t="n"/>
      <c r="C98" s="8647" t="n"/>
      <c r="D98" s="8647" t="n"/>
      <c r="E98" s="3097" t="n"/>
      <c r="F98" s="8647" t="n"/>
      <c r="G98" s="8647" t="n"/>
      <c r="H98" s="8647" t="n"/>
      <c r="I98" s="8647" t="n"/>
      <c r="J98" s="8647" t="n"/>
      <c r="K98" s="3624" t="n"/>
      <c r="L98" s="3624" t="n"/>
      <c r="M98" s="3624" t="n"/>
      <c r="N98" s="3624" t="n"/>
      <c r="O98" s="3624" t="n"/>
      <c r="P98" s="5208" t="n"/>
      <c r="Q98" s="5209">
        <f>"Schedule D (Form 1040)   "&amp;TaxYear</f>
        <v/>
      </c>
      <c r="R98" s="4736" t="n"/>
      <c r="S98" s="5188" t="n"/>
      <c r="T98" s="139" t="n"/>
      <c r="U98" s="139" t="n"/>
      <c r="V98" s="8648" t="n"/>
      <c r="W98" s="8648" t="n"/>
      <c r="X98" s="8648" t="n"/>
      <c r="Y98" s="8648" t="n"/>
      <c r="Z98" s="8648" t="n"/>
      <c r="AA98" s="8648" t="n"/>
      <c r="AB98" s="9123" t="n"/>
      <c r="AC98" s="9123" t="n"/>
      <c r="AD98" s="9123" t="n"/>
      <c r="AE98" s="9123" t="n"/>
      <c r="AF98" s="9123" t="n"/>
      <c r="AG98" s="8648" t="n"/>
      <c r="AH98" s="9123" t="n"/>
      <c r="AI98" s="9123" t="n"/>
      <c r="AJ98" s="9123" t="n"/>
      <c r="AK98" s="9123" t="n"/>
      <c r="AL98" s="8648" t="n"/>
      <c r="AM98" s="9123" t="n"/>
      <c r="AN98" s="9123" t="n"/>
      <c r="AO98" s="9123" t="n"/>
      <c r="AP98" s="9123" t="n"/>
      <c r="AQ98" s="8648" t="n"/>
      <c r="AR98" s="9123" t="n"/>
      <c r="AS98" s="9123" t="n"/>
      <c r="AT98" s="9123" t="n"/>
      <c r="AU98" s="9123" t="n"/>
      <c r="AV98" s="8648" t="n"/>
      <c r="AW98" s="9123" t="n"/>
      <c r="AX98" s="9123" t="n"/>
      <c r="AY98" s="9123" t="n"/>
      <c r="AZ98" s="9123" t="n"/>
      <c r="BA98" s="8648" t="n"/>
      <c r="BB98" s="664" t="n"/>
      <c r="BC98" s="664" t="n"/>
      <c r="BD98" s="664" t="n"/>
      <c r="BE98" s="664" t="n"/>
      <c r="BF98" s="664" t="n"/>
      <c r="BG98" s="664" t="n"/>
      <c r="BH98" s="664" t="n"/>
      <c r="BI98" s="664" t="n"/>
      <c r="BJ98" s="664" t="n"/>
      <c r="BK98" s="664" t="n"/>
    </row>
    <row r="99" ht="15" customFormat="1" customHeight="1" s="80">
      <c r="A99" s="5065" t="n"/>
      <c r="B99" s="139" t="n"/>
      <c r="C99" s="139" t="n"/>
      <c r="D99" s="139" t="n"/>
      <c r="E99" s="139" t="n"/>
      <c r="F99" s="139" t="n"/>
      <c r="G99" s="139" t="n"/>
      <c r="H99" s="139" t="n"/>
      <c r="I99" s="139" t="n"/>
      <c r="J99" s="139" t="n"/>
      <c r="K99" s="139" t="n"/>
      <c r="L99" s="139" t="n"/>
      <c r="M99" s="139" t="n"/>
      <c r="N99" s="139" t="n"/>
      <c r="O99" s="139" t="n"/>
      <c r="P99" s="139" t="n"/>
      <c r="Q99" s="139" t="n"/>
      <c r="R99" s="139" t="n"/>
      <c r="S99" s="289" t="n"/>
      <c r="T99" s="139" t="n"/>
      <c r="U99" s="139" t="n"/>
      <c r="V99" s="8648" t="n"/>
      <c r="W99" s="8648" t="n"/>
      <c r="X99" s="8648" t="n"/>
      <c r="Y99" s="8648" t="n"/>
      <c r="Z99" s="8648" t="n"/>
      <c r="AA99" s="8648" t="n"/>
      <c r="AB99" s="9123" t="n"/>
      <c r="AC99" s="9123" t="n"/>
      <c r="AD99" s="9123" t="n"/>
      <c r="AE99" s="9123" t="n"/>
      <c r="AF99" s="9123" t="n"/>
      <c r="AG99" s="8648" t="n"/>
      <c r="AH99" s="9123" t="n"/>
      <c r="AI99" s="9123" t="n"/>
      <c r="AJ99" s="9123" t="n"/>
      <c r="AK99" s="9123" t="n"/>
      <c r="AL99" s="8648" t="n"/>
      <c r="AM99" s="9123" t="n"/>
      <c r="AN99" s="9123" t="n"/>
      <c r="AO99" s="9123" t="n"/>
      <c r="AP99" s="9123" t="n"/>
      <c r="AQ99" s="8648" t="n"/>
      <c r="AR99" s="9123" t="n"/>
      <c r="AS99" s="9123" t="n"/>
      <c r="AT99" s="9123" t="n"/>
      <c r="AU99" s="9123" t="n"/>
      <c r="AV99" s="8648" t="n"/>
      <c r="AW99" s="9123" t="n"/>
      <c r="AX99" s="9123" t="n"/>
      <c r="AY99" s="9123" t="n"/>
      <c r="AZ99" s="9123" t="n"/>
      <c r="BA99" s="8648" t="n"/>
      <c r="BB99" s="664" t="n"/>
      <c r="BC99" s="664" t="n"/>
      <c r="BD99" s="664" t="n"/>
      <c r="BE99" s="664" t="n"/>
      <c r="BF99" s="664" t="n"/>
      <c r="BG99" s="664" t="n"/>
      <c r="BH99" s="664" t="n"/>
      <c r="BI99" s="664" t="n"/>
      <c r="BJ99" s="664" t="n"/>
      <c r="BK99" s="664" t="n"/>
    </row>
    <row r="100" ht="9" customFormat="1" customHeight="1" s="80">
      <c r="A100" s="5065" t="n"/>
      <c r="B100" s="139" t="n"/>
      <c r="C100" s="139" t="n"/>
      <c r="D100" s="139" t="n"/>
      <c r="E100" s="139" t="n"/>
      <c r="F100" s="139" t="n"/>
      <c r="G100" s="139" t="n"/>
      <c r="H100" s="139" t="n"/>
      <c r="I100" s="139" t="n"/>
      <c r="J100" s="139" t="n"/>
      <c r="K100" s="139" t="n"/>
      <c r="L100" s="139" t="n"/>
      <c r="M100" s="139" t="n"/>
      <c r="N100" s="139" t="n"/>
      <c r="O100" s="139" t="n"/>
      <c r="P100" s="139" t="n"/>
      <c r="Q100" s="139" t="n"/>
      <c r="R100" s="139" t="n"/>
      <c r="S100" s="289" t="n"/>
      <c r="T100" s="139" t="n"/>
      <c r="U100" s="139" t="n"/>
      <c r="V100" s="8648" t="n"/>
      <c r="W100" s="8648" t="n"/>
      <c r="X100" s="8648" t="n"/>
      <c r="Y100" s="8648" t="n"/>
      <c r="Z100" s="8648" t="n"/>
      <c r="AA100" s="8648" t="n"/>
      <c r="AB100" s="9123" t="n"/>
      <c r="AC100" s="9123" t="n"/>
      <c r="AD100" s="9123" t="n"/>
      <c r="AE100" s="9123" t="n"/>
      <c r="AF100" s="9123" t="n"/>
      <c r="AG100" s="8648" t="n"/>
      <c r="AH100" s="9123" t="n"/>
      <c r="AI100" s="9123" t="n"/>
      <c r="AJ100" s="9123" t="n"/>
      <c r="AK100" s="9123" t="n"/>
      <c r="AL100" s="8648" t="n"/>
      <c r="AM100" s="9123" t="n"/>
      <c r="AN100" s="9123" t="n"/>
      <c r="AO100" s="9123" t="n"/>
      <c r="AP100" s="9123" t="n"/>
      <c r="AQ100" s="8648" t="n"/>
      <c r="AR100" s="9123" t="n"/>
      <c r="AS100" s="9123" t="n"/>
      <c r="AT100" s="9123" t="n"/>
      <c r="AU100" s="9123" t="n"/>
      <c r="AV100" s="8648" t="n"/>
      <c r="AW100" s="9123" t="n"/>
      <c r="AX100" s="9123" t="n"/>
      <c r="AY100" s="9123" t="n"/>
      <c r="AZ100" s="9123" t="n"/>
      <c r="BA100" s="8648" t="n"/>
      <c r="BB100" s="664" t="n"/>
      <c r="BC100" s="664" t="n"/>
      <c r="BD100" s="664" t="n"/>
      <c r="BE100" s="664" t="n"/>
      <c r="BF100" s="664" t="n"/>
      <c r="BG100" s="664" t="n"/>
      <c r="BH100" s="664" t="n"/>
      <c r="BI100" s="664" t="n"/>
      <c r="BJ100" s="664" t="n"/>
      <c r="BK100" s="664" t="n"/>
    </row>
    <row r="101" ht="12.75" customFormat="1" customHeight="1" s="80">
      <c r="A101" s="5065" t="n"/>
      <c r="B101" s="139" t="n"/>
      <c r="C101" s="139" t="n"/>
      <c r="D101" s="139" t="n"/>
      <c r="E101" s="139" t="n"/>
      <c r="F101" s="139" t="n"/>
      <c r="G101" s="139" t="n"/>
      <c r="H101" s="139" t="n"/>
      <c r="I101" s="139" t="n"/>
      <c r="J101" s="139" t="n"/>
      <c r="K101" s="139" t="n"/>
      <c r="L101" s="139" t="n"/>
      <c r="M101" s="139" t="n"/>
      <c r="N101" s="139" t="n"/>
      <c r="O101" s="139" t="n"/>
      <c r="P101" s="139" t="n"/>
      <c r="Q101" s="139" t="n"/>
      <c r="R101" s="139" t="n"/>
      <c r="S101" s="289" t="n"/>
      <c r="T101" s="139" t="n"/>
      <c r="U101" s="139" t="n"/>
      <c r="V101" s="8648" t="n"/>
      <c r="W101" s="8648" t="n"/>
      <c r="X101" s="8648" t="n"/>
      <c r="Y101" s="8648" t="n"/>
      <c r="Z101" s="8648" t="n"/>
      <c r="AA101" s="8648" t="n"/>
      <c r="AB101" s="9123" t="n"/>
      <c r="AC101" s="9123" t="n"/>
      <c r="AD101" s="9123" t="n"/>
      <c r="AE101" s="9123" t="n"/>
      <c r="AF101" s="9123" t="n"/>
      <c r="AG101" s="8648" t="n"/>
      <c r="AH101" s="9123" t="n"/>
      <c r="AI101" s="9123" t="n"/>
      <c r="AJ101" s="9123" t="n"/>
      <c r="AK101" s="9123" t="n"/>
      <c r="AL101" s="8648" t="n"/>
      <c r="AM101" s="9123" t="n"/>
      <c r="AN101" s="9123" t="n"/>
      <c r="AO101" s="9123" t="n"/>
      <c r="AP101" s="9123" t="n"/>
      <c r="AQ101" s="8648" t="n"/>
      <c r="AR101" s="9123" t="n"/>
      <c r="AS101" s="9123" t="n"/>
      <c r="AT101" s="9123" t="n"/>
      <c r="AU101" s="9123" t="n"/>
      <c r="AV101" s="8648" t="n"/>
      <c r="AW101" s="9123" t="n"/>
      <c r="AX101" s="9123" t="n"/>
      <c r="AY101" s="9123" t="n"/>
      <c r="AZ101" s="9123" t="n"/>
      <c r="BA101" s="8648" t="n"/>
      <c r="BB101" s="664" t="n"/>
      <c r="BC101" s="664" t="n"/>
      <c r="BD101" s="664" t="n"/>
      <c r="BE101" s="664" t="n"/>
      <c r="BF101" s="664" t="n"/>
      <c r="BG101" s="664" t="n"/>
      <c r="BH101" s="664" t="n"/>
      <c r="BI101" s="664" t="n"/>
      <c r="BJ101" s="664" t="n"/>
      <c r="BK101" s="664" t="n"/>
    </row>
    <row r="102" ht="13.5" customHeight="1" s="7635">
      <c r="A102" s="5065" t="n"/>
      <c r="B102" s="139" t="n"/>
      <c r="C102" s="139" t="n"/>
      <c r="D102" s="139" t="n"/>
      <c r="E102" s="139" t="n"/>
      <c r="F102" s="139" t="n"/>
      <c r="G102" s="139" t="n"/>
      <c r="H102" s="139" t="n"/>
      <c r="I102" s="139" t="n"/>
      <c r="J102" s="139" t="n"/>
      <c r="K102" s="139" t="n"/>
      <c r="L102" s="139" t="n"/>
      <c r="M102" s="139" t="n"/>
      <c r="N102" s="139" t="n"/>
      <c r="O102" s="139" t="n"/>
      <c r="P102" s="139" t="n"/>
      <c r="Q102" s="139" t="n"/>
      <c r="R102" s="139" t="n"/>
      <c r="S102" s="289" t="n"/>
      <c r="T102" s="139" t="n"/>
      <c r="U102" s="139" t="n"/>
      <c r="V102" s="8648" t="n"/>
      <c r="W102" s="8648" t="n"/>
      <c r="X102" s="8648" t="n"/>
      <c r="Y102" s="8648" t="n"/>
    </row>
    <row r="103" ht="13.5" customHeight="1" s="7635">
      <c r="B103" s="8648" t="n"/>
      <c r="C103" s="8648" t="n"/>
      <c r="D103" s="8648" t="n"/>
      <c r="E103" s="8648" t="n"/>
      <c r="F103" s="8648" t="n"/>
      <c r="G103" s="8648" t="n"/>
      <c r="H103" s="8648" t="n"/>
      <c r="I103" s="8648" t="n"/>
      <c r="J103" s="8648" t="n"/>
      <c r="K103" s="8648" t="n"/>
      <c r="L103" s="8648" t="n"/>
      <c r="M103" s="8648" t="n"/>
      <c r="N103" s="8648" t="n"/>
      <c r="O103" s="8648" t="n"/>
      <c r="P103" s="8648" t="n"/>
      <c r="Q103" s="8648" t="n"/>
      <c r="R103" s="8648" t="n"/>
      <c r="S103" s="8648" t="n"/>
      <c r="T103" s="8648" t="n"/>
      <c r="U103" s="8648" t="n"/>
      <c r="V103" s="8648" t="n"/>
      <c r="W103" s="8648" t="n"/>
      <c r="X103" s="8648" t="n"/>
      <c r="Y103" s="8648" t="n"/>
    </row>
    <row r="104" ht="13.5" customHeight="1" s="7635" thickBot="1">
      <c r="B104" s="8043" t="n"/>
      <c r="C104" s="8043" t="n"/>
      <c r="D104" s="7301" t="n"/>
      <c r="E104" s="7301" t="n"/>
      <c r="F104" s="7301" t="n"/>
      <c r="G104" s="7301" t="n"/>
      <c r="K104" s="4" t="n"/>
      <c r="L104" s="4" t="n"/>
      <c r="M104" s="4" t="n"/>
      <c r="N104" s="4" t="n"/>
      <c r="O104" s="4" t="n"/>
      <c r="P104" s="4" t="n"/>
      <c r="Q104" s="4" t="n"/>
      <c r="R104" s="4" t="n"/>
      <c r="S104" s="4" t="n"/>
      <c r="T104" s="4" t="n"/>
      <c r="U104" s="4" t="n"/>
      <c r="V104" s="8648" t="n"/>
      <c r="W104" s="8648" t="n"/>
      <c r="X104" s="8648" t="n"/>
      <c r="Y104" s="8648" t="n"/>
    </row>
    <row r="105" ht="14.25" customHeight="1" s="7635" thickBot="1" thickTop="1">
      <c r="D105" s="11824" t="inlineStr">
        <is>
          <t>Download Form 1040 Schedule D</t>
        </is>
      </c>
      <c r="E105" s="11825" t="n"/>
      <c r="F105" s="11825" t="n"/>
      <c r="G105" s="11825" t="n"/>
      <c r="H105" s="11825" t="n"/>
      <c r="I105" s="11826" t="n"/>
      <c r="J105" s="143" t="n"/>
      <c r="K105" s="4" t="n"/>
      <c r="L105" s="4" t="n"/>
      <c r="M105" s="4" t="n"/>
      <c r="N105" s="4" t="n"/>
      <c r="O105" s="4" t="n"/>
      <c r="P105" s="4" t="n"/>
      <c r="Q105" s="4" t="n"/>
      <c r="R105" s="4" t="n"/>
      <c r="S105" s="4" t="n"/>
      <c r="T105" s="4" t="n"/>
      <c r="U105" s="4" t="n"/>
      <c r="V105" s="8648" t="n"/>
      <c r="W105" s="8648" t="n"/>
      <c r="X105" s="8648" t="n"/>
      <c r="Y105" s="8648" t="n"/>
    </row>
    <row r="106" ht="14.25" customHeight="1" s="7635" thickBot="1" thickTop="1">
      <c r="D106" s="7301" t="n"/>
      <c r="E106" s="7301" t="n"/>
      <c r="I106" s="4" t="n"/>
      <c r="J106" s="4" t="n"/>
      <c r="K106" s="4" t="n"/>
      <c r="L106" s="4" t="n"/>
      <c r="M106" s="4" t="n"/>
      <c r="N106" s="4" t="n"/>
      <c r="O106" s="4" t="n"/>
      <c r="P106" s="4" t="n"/>
      <c r="Q106" s="4" t="n"/>
      <c r="R106" s="4" t="n"/>
      <c r="S106" s="4" t="n"/>
      <c r="U106" s="4" t="n"/>
      <c r="V106" s="8648" t="n"/>
      <c r="W106" s="8648" t="n"/>
      <c r="X106" s="8648" t="n"/>
      <c r="Y106" s="8648" t="n"/>
    </row>
    <row r="107" ht="14.25" customHeight="1" s="7635" thickBot="1" thickTop="1">
      <c r="D107" s="11824" t="inlineStr">
        <is>
          <t>Download Form 1040 Schedule D Instructions</t>
        </is>
      </c>
      <c r="E107" s="11825" t="n"/>
      <c r="F107" s="11825" t="n"/>
      <c r="G107" s="11825" t="n"/>
      <c r="H107" s="11825" t="n"/>
      <c r="I107" s="11826" t="n"/>
      <c r="J107" s="143" t="n"/>
      <c r="K107" s="4" t="n"/>
      <c r="L107" s="4" t="n"/>
      <c r="M107" s="4" t="n"/>
      <c r="N107" s="4" t="n"/>
      <c r="O107" s="4" t="n"/>
      <c r="P107" s="4" t="n"/>
      <c r="Q107" s="4" t="n"/>
      <c r="R107" s="4" t="n"/>
      <c r="S107" s="4" t="n"/>
      <c r="U107" s="4" t="n"/>
      <c r="V107" s="8648" t="n"/>
      <c r="W107" s="8648" t="n"/>
      <c r="X107" s="8648" t="n"/>
      <c r="Y107" s="8648" t="n"/>
    </row>
    <row r="108" ht="13.5" customHeight="1" s="7635" thickTop="1">
      <c r="R108" s="4" t="n"/>
      <c r="S108" s="4" t="n"/>
      <c r="U108" s="4" t="n"/>
    </row>
    <row r="109">
      <c r="R109" s="4" t="n"/>
      <c r="S109" s="4" t="n"/>
    </row>
  </sheetData>
  <sheetProtection selectLockedCells="0" selectUnlockedCells="0" algorithmName="SHA-512" sheet="1" objects="0" insertRows="1" insertHyperlinks="1" autoFilter="1" scenarios="0" formatColumns="0" deleteColumns="1" insertColumns="1" pivotTables="1" deleteRows="1" formatCells="0" saltValue="uVB7Tjeim9RiG3FaMfRs7w==" formatRows="0" sort="1" spinCount="100000" hashValue="lMqL81B3oRuZs0bh3kL3bdSs3E2J2pYdmv8JBW9c1KPwtaDM4/zeH/ZDnPtUbXy9rNDWeI58kvWBGJ9NEt+XEw=="/>
  <mergeCells count="105">
    <mergeCell ref="O29:Q29"/>
    <mergeCell ref="O44:Q44"/>
    <mergeCell ref="L35:N35"/>
    <mergeCell ref="O21:Q21"/>
    <mergeCell ref="O31:Q33"/>
    <mergeCell ref="V83:V86"/>
    <mergeCell ref="B30:D30"/>
    <mergeCell ref="I18:J18"/>
    <mergeCell ref="O40:P40"/>
    <mergeCell ref="B54:D54"/>
    <mergeCell ref="V13:V15"/>
    <mergeCell ref="O19:Q19"/>
    <mergeCell ref="X13:X15"/>
    <mergeCell ref="I20:J20"/>
    <mergeCell ref="C40:H41"/>
    <mergeCell ref="V31:V33"/>
    <mergeCell ref="O39:Q39"/>
    <mergeCell ref="W31:W33"/>
    <mergeCell ref="C16:H16"/>
    <mergeCell ref="C17:F17"/>
    <mergeCell ref="Q5:Q6"/>
    <mergeCell ref="L18:N18"/>
    <mergeCell ref="O75:Q75"/>
    <mergeCell ref="C34:H35"/>
    <mergeCell ref="L41:N41"/>
    <mergeCell ref="C18:H19"/>
    <mergeCell ref="I41:J41"/>
    <mergeCell ref="C20:H21"/>
    <mergeCell ref="O72:Q72"/>
    <mergeCell ref="B31:H33"/>
    <mergeCell ref="O23:Q23"/>
    <mergeCell ref="AH8:AK8"/>
    <mergeCell ref="L36:N36"/>
    <mergeCell ref="C22:H23"/>
    <mergeCell ref="O56:P56"/>
    <mergeCell ref="N2:Q2"/>
    <mergeCell ref="I17:J17"/>
    <mergeCell ref="I35:J35"/>
    <mergeCell ref="O13:Q15"/>
    <mergeCell ref="O24:Q24"/>
    <mergeCell ref="C36:H37"/>
    <mergeCell ref="V25:V28"/>
    <mergeCell ref="L37:N37"/>
    <mergeCell ref="I19:J19"/>
    <mergeCell ref="H2:L3"/>
    <mergeCell ref="L13:N15"/>
    <mergeCell ref="O49:Q49"/>
    <mergeCell ref="O41:Q41"/>
    <mergeCell ref="O35:Q35"/>
    <mergeCell ref="O28:P28"/>
    <mergeCell ref="L23:N23"/>
    <mergeCell ref="K13:K15"/>
    <mergeCell ref="F6:M6"/>
    <mergeCell ref="C38:H39"/>
    <mergeCell ref="O25:Q25"/>
    <mergeCell ref="O43:Q43"/>
    <mergeCell ref="O36:P36"/>
    <mergeCell ref="O20:P20"/>
    <mergeCell ref="AM8:AP8"/>
    <mergeCell ref="L40:N40"/>
    <mergeCell ref="I37:J37"/>
    <mergeCell ref="O17:Q17"/>
    <mergeCell ref="O22:P22"/>
    <mergeCell ref="N1:R1"/>
    <mergeCell ref="W13:W15"/>
    <mergeCell ref="I21:J21"/>
    <mergeCell ref="AR8:AU8"/>
    <mergeCell ref="O37:Q37"/>
    <mergeCell ref="I23:J23"/>
    <mergeCell ref="L17:N17"/>
    <mergeCell ref="AB8:AF8"/>
    <mergeCell ref="O48:P48"/>
    <mergeCell ref="I40:J40"/>
    <mergeCell ref="L19:N19"/>
    <mergeCell ref="O38:P38"/>
    <mergeCell ref="D105:I105"/>
    <mergeCell ref="B12:D12"/>
    <mergeCell ref="I31:J33"/>
    <mergeCell ref="F4:M4"/>
    <mergeCell ref="D107:I107"/>
    <mergeCell ref="L39:N39"/>
    <mergeCell ref="O18:P18"/>
    <mergeCell ref="N3:Q4"/>
    <mergeCell ref="I36:J36"/>
    <mergeCell ref="L20:N20"/>
    <mergeCell ref="G17:H17"/>
    <mergeCell ref="L38:N38"/>
    <mergeCell ref="V44:V47"/>
    <mergeCell ref="X31:X33"/>
    <mergeCell ref="L22:N22"/>
    <mergeCell ref="AW8:AZ8"/>
    <mergeCell ref="I22:J22"/>
    <mergeCell ref="F5:M5"/>
    <mergeCell ref="L21:N21"/>
    <mergeCell ref="M7:Q7"/>
    <mergeCell ref="O57:Q57"/>
    <mergeCell ref="L31:N33"/>
    <mergeCell ref="O42:P42"/>
    <mergeCell ref="I39:J39"/>
    <mergeCell ref="M8:Q8"/>
    <mergeCell ref="I38:J38"/>
    <mergeCell ref="K31:K33"/>
    <mergeCell ref="B13:H15"/>
    <mergeCell ref="O45:Q45"/>
    <mergeCell ref="I13:J15"/>
  </mergeCells>
  <conditionalFormatting sqref="B8:M8">
    <cfRule type="expression" priority="165" dxfId="6">
      <formula>IF(NoColor,1,0)</formula>
    </cfRule>
  </conditionalFormatting>
  <conditionalFormatting sqref="I12 K12">
    <cfRule type="expression" priority="587" dxfId="1305" stopIfTrue="1">
      <formula>IF(SUM(#REF!)&gt;0,1,0)</formula>
    </cfRule>
  </conditionalFormatting>
  <conditionalFormatting sqref="I30">
    <cfRule type="expression" priority="71" dxfId="1305" stopIfTrue="1">
      <formula>IF(SUM(#REF!)&gt;0,1,0)</formula>
    </cfRule>
  </conditionalFormatting>
  <conditionalFormatting sqref="I23:N23">
    <cfRule type="expression" priority="25" dxfId="6">
      <formula>IF(NoColor,1,0)</formula>
    </cfRule>
  </conditionalFormatting>
  <conditionalFormatting sqref="I17:P17">
    <cfRule type="expression" priority="95" dxfId="6">
      <formula>IF(NoColor,1,0)</formula>
    </cfRule>
  </conditionalFormatting>
  <conditionalFormatting sqref="I19:P19">
    <cfRule type="expression" priority="8" dxfId="6">
      <formula>IF(NoColor,1,0)</formula>
    </cfRule>
  </conditionalFormatting>
  <conditionalFormatting sqref="I21:P21">
    <cfRule type="expression" priority="9" dxfId="6">
      <formula>IF(NoColor,1,0)</formula>
    </cfRule>
  </conditionalFormatting>
  <conditionalFormatting sqref="I35:P35">
    <cfRule type="expression" priority="117" dxfId="6">
      <formula>IF(NoColor,1,0)</formula>
    </cfRule>
  </conditionalFormatting>
  <conditionalFormatting sqref="I37:P37">
    <cfRule type="expression" priority="1" dxfId="6">
      <formula>IF(NoColor,1,0)</formula>
    </cfRule>
  </conditionalFormatting>
  <conditionalFormatting sqref="I39:P39">
    <cfRule type="expression" priority="3" dxfId="6">
      <formula>IF(NoColor,1,0)</formula>
    </cfRule>
  </conditionalFormatting>
  <conditionalFormatting sqref="I41:P41">
    <cfRule type="expression" priority="14" dxfId="6">
      <formula>IF(NoColor,1,0)</formula>
    </cfRule>
  </conditionalFormatting>
  <conditionalFormatting sqref="K30">
    <cfRule type="expression" priority="240" dxfId="1305" stopIfTrue="1">
      <formula>IF(SUM(#REF!)&gt;0,1,0)</formula>
    </cfRule>
  </conditionalFormatting>
  <conditionalFormatting sqref="L10">
    <cfRule type="expression" priority="39" dxfId="6">
      <formula>NoColor</formula>
    </cfRule>
  </conditionalFormatting>
  <conditionalFormatting sqref="N30">
    <cfRule type="expression" priority="35" dxfId="1305" stopIfTrue="1">
      <formula>IF(SUM(#REF!)&gt;0,1,0)</formula>
    </cfRule>
  </conditionalFormatting>
  <conditionalFormatting sqref="O10">
    <cfRule type="expression" priority="38" dxfId="6">
      <formula>NoColor</formula>
    </cfRule>
  </conditionalFormatting>
  <conditionalFormatting sqref="O72">
    <cfRule type="expression" priority="147" dxfId="6">
      <formula>IF(NoColor,1,0)</formula>
    </cfRule>
  </conditionalFormatting>
  <conditionalFormatting sqref="O75">
    <cfRule type="expression" priority="146" dxfId="6">
      <formula>IF(NoColor,1,0)</formula>
    </cfRule>
  </conditionalFormatting>
  <conditionalFormatting sqref="O23:P25">
    <cfRule type="expression" priority="24" dxfId="6">
      <formula>IF(NoColor,1,0)</formula>
    </cfRule>
  </conditionalFormatting>
  <conditionalFormatting sqref="O29:P29">
    <cfRule type="expression" priority="53" dxfId="6">
      <formula>IF(NoColor,1,0)</formula>
    </cfRule>
  </conditionalFormatting>
  <conditionalFormatting sqref="O43:P45">
    <cfRule type="expression" priority="48" dxfId="6">
      <formula>IF(NoColor,1,0)</formula>
    </cfRule>
  </conditionalFormatting>
  <conditionalFormatting sqref="O49:P49">
    <cfRule type="expression" priority="46" dxfId="6">
      <formula>IF(NoColor,1,0)</formula>
    </cfRule>
  </conditionalFormatting>
  <conditionalFormatting sqref="O57:P57">
    <cfRule type="expression" priority="148" dxfId="6">
      <formula>IF(NoColor,1,0)</formula>
    </cfRule>
  </conditionalFormatting>
  <conditionalFormatting sqref="O27:Q27">
    <cfRule type="expression" priority="45" dxfId="6">
      <formula>IF(NoColor,1,0)</formula>
    </cfRule>
  </conditionalFormatting>
  <conditionalFormatting sqref="O47:Q47">
    <cfRule type="expression" priority="36" dxfId="6">
      <formula>IF(NoColor,1,0)</formula>
    </cfRule>
  </conditionalFormatting>
  <conditionalFormatting sqref="O86:Q86">
    <cfRule type="expression" priority="40" dxfId="6">
      <formula>IF(NoColor,1,0)</formula>
    </cfRule>
  </conditionalFormatting>
  <conditionalFormatting sqref="V19:X19">
    <cfRule type="expression" priority="114" dxfId="6">
      <formula>IF(NoColor,1,0)</formula>
    </cfRule>
  </conditionalFormatting>
  <conditionalFormatting sqref="V21:X21">
    <cfRule type="expression" priority="88" dxfId="6">
      <formula>IF(NoColor,1,0)</formula>
    </cfRule>
  </conditionalFormatting>
  <conditionalFormatting sqref="V23:X23">
    <cfRule type="expression" priority="112" dxfId="6">
      <formula>IF(NoColor,1,0)</formula>
    </cfRule>
  </conditionalFormatting>
  <conditionalFormatting sqref="V37:X37">
    <cfRule type="expression" priority="102" dxfId="6">
      <formula>IF(NoColor,1,0)</formula>
    </cfRule>
  </conditionalFormatting>
  <conditionalFormatting sqref="V39:X39">
    <cfRule type="expression" priority="98" dxfId="6">
      <formula>IF(NoColor,1,0)</formula>
    </cfRule>
  </conditionalFormatting>
  <conditionalFormatting sqref="V41:X41">
    <cfRule type="expression" priority="97" dxfId="6">
      <formula>IF(NoColor,1,0)</formula>
    </cfRule>
  </conditionalFormatting>
  <hyperlinks>
    <hyperlink xmlns:r="http://schemas.openxmlformats.org/officeDocument/2006/relationships" ref="D105" display="Download Form 1040 Schedule D" r:id="rId1"/>
    <hyperlink xmlns:r="http://schemas.openxmlformats.org/officeDocument/2006/relationships" ref="D107" display="Download Form 1040 Schedule D Instructions" r:id="rId2"/>
  </hyperlinks>
  <pageMargins left="0.75" right="0.25" top="0.36" bottom="0.29" header="0.36" footer="0.21"/>
  <pageSetup orientation="portrait" scale="83" fitToHeight="0"/>
  <rowBreaks count="2" manualBreakCount="2">
    <brk id="50" min="1" max="15" man="1"/>
    <brk id="100" min="1" max="12" man="1"/>
  </rowBreaks>
</worksheet>
</file>

<file path=xl/worksheets/sheet32.xml><?xml version="1.0" encoding="utf-8"?>
<worksheet xmlns="http://schemas.openxmlformats.org/spreadsheetml/2006/main">
  <sheetPr codeName="Sheet9">
    <outlinePr summaryBelow="1" summaryRight="1"/>
    <pageSetUpPr fitToPage="1"/>
  </sheetPr>
  <dimension ref="A1:AU152"/>
  <sheetViews>
    <sheetView zoomScaleNormal="100" zoomScaleSheetLayoutView="100" workbookViewId="0">
      <selection activeCell="A1" sqref="A1"/>
    </sheetView>
  </sheetViews>
  <sheetFormatPr baseColWidth="8" defaultRowHeight="12.75"/>
  <cols>
    <col width="4" customWidth="1" style="7635" min="1" max="1"/>
    <col width="4.5703125" customWidth="1" style="7635" min="2" max="2"/>
    <col width="1.5703125" customWidth="1" style="7635" min="3" max="3"/>
    <col width="3" customWidth="1" style="7635" min="4" max="4"/>
    <col width="16.42578125" customWidth="1" style="7635" min="5" max="5"/>
    <col width="11.42578125" customWidth="1" style="7635" min="6" max="6"/>
    <col width="12.7109375" customWidth="1" style="7635" min="7" max="7"/>
    <col width="6.85546875" customWidth="1" style="7635" min="8" max="8"/>
    <col width="3.85546875" customWidth="1" style="7635" min="9" max="9"/>
    <col width="14.42578125" customWidth="1" style="7635" min="10" max="10"/>
    <col width="5" customWidth="1" style="7635" min="11" max="11"/>
    <col width="13.140625" customWidth="1" style="7635" min="12" max="12"/>
    <col width="3.5703125" customWidth="1" style="7635" min="13" max="13"/>
    <col width="2" customWidth="1" style="7635" min="14" max="14"/>
    <col width="13.140625" customWidth="1" style="7635" min="15" max="15"/>
    <col width="2" customWidth="1" style="7635" min="16" max="16"/>
    <col width="3.7109375" customWidth="1" style="7635" min="17" max="17"/>
    <col width="11.7109375" customWidth="1" style="7635" min="18" max="18"/>
    <col width="1.5703125" customWidth="1" style="7635" min="19" max="19"/>
    <col width="7.28515625" customWidth="1" style="7635" min="20" max="20"/>
    <col width="23.85546875" customWidth="1" style="7635" min="21" max="21"/>
    <col width="6.7109375" customWidth="1" style="7635" min="22" max="22"/>
    <col width="3.28515625" customWidth="1" style="7635" min="23" max="23"/>
    <col width="10.140625" customWidth="1" style="7635" min="24" max="24"/>
    <col width="12.28515625" customWidth="1" style="7635" min="25" max="27"/>
    <col width="4" customWidth="1" style="7635" min="28" max="28"/>
    <col hidden="1" width="12.28515625" customWidth="1" style="7635" min="29" max="33"/>
    <col hidden="1" width="9.140625" customWidth="1" style="7635" min="34" max="36"/>
    <col hidden="1" width="9.85546875" customWidth="1" style="7635" min="37" max="37"/>
    <col hidden="1" width="9.140625" customWidth="1" style="7635" min="38" max="39"/>
    <col width="3.28515625" customWidth="1" style="7635" min="40" max="40"/>
    <col width="10.7109375" customWidth="1" style="815" min="41" max="47"/>
  </cols>
  <sheetData>
    <row r="1" ht="18.75" customHeight="1" s="7635">
      <c r="A1" s="88" t="n"/>
      <c r="B1" s="8374" t="n"/>
      <c r="C1" s="8374" t="n"/>
      <c r="D1" s="2769" t="n"/>
      <c r="E1" s="2769" t="n"/>
      <c r="F1" s="2769" t="n"/>
      <c r="G1" s="11262" t="n"/>
      <c r="H1" s="8374" t="n"/>
      <c r="I1" s="8374" t="n"/>
      <c r="J1" s="11262" t="n"/>
      <c r="K1" s="11262" t="n"/>
      <c r="L1" s="11262" t="n"/>
      <c r="M1" s="11262" t="n"/>
      <c r="N1" s="11262" t="n"/>
      <c r="O1" s="11262" t="n"/>
      <c r="P1" s="11262" t="n"/>
      <c r="Q1" s="3222" t="n"/>
      <c r="R1" s="3223" t="n"/>
      <c r="S1" s="3224" t="n"/>
      <c r="T1" s="3225" t="n"/>
      <c r="U1" s="3224" t="n"/>
      <c r="V1" s="3224" t="n"/>
      <c r="W1" s="11602" t="n"/>
      <c r="X1" s="11602" t="n"/>
      <c r="Y1" s="11602" t="n"/>
      <c r="Z1" s="11602" t="n"/>
      <c r="AA1" s="11602" t="n"/>
      <c r="AB1" s="11602" t="n"/>
      <c r="AC1" s="11602" t="n"/>
      <c r="AD1" s="11602" t="n"/>
      <c r="AE1" s="11602" t="n"/>
      <c r="AF1" s="11602" t="n"/>
      <c r="AG1" s="11602" t="n"/>
      <c r="AH1" s="11602" t="n"/>
      <c r="AI1" s="11602" t="n"/>
      <c r="AJ1" s="11602" t="n"/>
      <c r="AK1" s="11602" t="n"/>
      <c r="AL1" s="11602" t="n"/>
      <c r="AM1" s="11602" t="n"/>
      <c r="AN1" s="11602" t="n"/>
      <c r="AO1" s="11697" t="inlineStr">
        <is>
          <t>Notes</t>
        </is>
      </c>
      <c r="AP1" s="658" t="n"/>
      <c r="AQ1" s="658" t="n"/>
      <c r="AR1" s="658" t="n"/>
      <c r="AS1" s="658" t="n"/>
      <c r="AT1" s="658" t="n"/>
      <c r="AU1" s="658" t="n"/>
    </row>
    <row r="2" ht="18" customHeight="1" s="7635" thickBot="1">
      <c r="A2" s="88" t="n"/>
      <c r="B2" s="9697" t="n"/>
      <c r="C2" s="9697" t="n"/>
      <c r="D2" s="9697" t="inlineStr">
        <is>
          <t>Capital Loss Carryover Worksheet—Lines 6 and 14</t>
        </is>
      </c>
      <c r="E2" s="9697" t="n"/>
      <c r="F2" s="9697" t="n"/>
      <c r="G2" s="11262" t="n"/>
      <c r="H2" s="8374" t="n"/>
      <c r="I2" s="8374" t="n"/>
      <c r="J2" s="11262" t="n"/>
      <c r="K2" s="11262" t="n"/>
      <c r="L2" s="11262" t="n"/>
      <c r="M2" s="3226">
        <f>IF('Table of Contents'!A37="D","DRAFT Instructions","Keep for Your Records")</f>
        <v/>
      </c>
      <c r="N2" s="3226" t="n"/>
      <c r="O2" s="3226" t="n"/>
      <c r="P2" s="3226" t="n"/>
      <c r="Q2" s="3224" t="n"/>
      <c r="R2" s="3224" t="n"/>
      <c r="S2" s="3224" t="n"/>
      <c r="T2" s="3227">
        <f>(T3&lt;&gt;"")</f>
        <v/>
      </c>
      <c r="U2" s="3224" t="n"/>
      <c r="V2" s="3224" t="n"/>
      <c r="W2" s="11602" t="n"/>
      <c r="X2" s="11602" t="n"/>
      <c r="Y2" s="11602" t="n"/>
      <c r="Z2" s="11602" t="n"/>
      <c r="AA2" s="11602" t="n"/>
      <c r="AB2" s="11602" t="n"/>
      <c r="AC2" s="11602" t="n"/>
      <c r="AD2" s="11602" t="n"/>
      <c r="AE2" s="11602" t="n"/>
      <c r="AF2" s="11602" t="n"/>
      <c r="AG2" s="11602" t="n"/>
      <c r="AH2" s="11602" t="n"/>
      <c r="AI2" s="11602" t="n"/>
      <c r="AJ2" s="11602" t="n"/>
      <c r="AK2" s="11602" t="n"/>
      <c r="AL2" s="11602" t="n"/>
      <c r="AM2" s="11602" t="n"/>
      <c r="AN2" s="11602" t="n"/>
      <c r="AO2" s="11700" t="inlineStr">
        <is>
          <t>Date</t>
        </is>
      </c>
      <c r="AP2" s="658" t="n"/>
      <c r="AQ2" s="658" t="n"/>
      <c r="AR2" s="658" t="n"/>
      <c r="AS2" s="658" t="n"/>
      <c r="AT2" s="658" t="n"/>
      <c r="AU2" s="658" t="n"/>
    </row>
    <row r="3" ht="17.25" customHeight="1" s="7635" thickBot="1">
      <c r="A3" s="88" t="n"/>
      <c r="B3" s="3228" t="n"/>
      <c r="C3" s="3229" t="n"/>
      <c r="D3" s="3230" t="n"/>
      <c r="E3" s="3230" t="n"/>
      <c r="F3" s="3230" t="n"/>
      <c r="G3" s="3231" t="n"/>
      <c r="H3" s="3229" t="n"/>
      <c r="I3" s="3229" t="n"/>
      <c r="J3" s="3231" t="n"/>
      <c r="K3" s="3231" t="n"/>
      <c r="L3" s="3231" t="n"/>
      <c r="M3" s="3231" t="n"/>
      <c r="N3" s="3231" t="n"/>
      <c r="O3" s="3232" t="n"/>
      <c r="P3" s="3231" t="n"/>
      <c r="Q3" s="3231" t="n"/>
      <c r="R3" s="3233" t="n"/>
      <c r="S3" s="3234" t="n"/>
      <c r="T3" s="1520" t="n"/>
      <c r="U3" s="2497">
        <f>"&lt;&lt; Check here if "&amp;TaxYear-1&amp;" filing status was MFS."</f>
        <v/>
      </c>
      <c r="V3" s="229" t="n"/>
      <c r="W3" s="11602" t="n"/>
      <c r="X3" s="3235">
        <f>IF(SUM(W4:W8)&gt;0,TRUE,FALSE)</f>
        <v/>
      </c>
      <c r="Y3" s="512" t="n"/>
      <c r="Z3" s="512" t="n"/>
      <c r="AA3" s="512" t="n"/>
      <c r="AB3" s="512" t="n"/>
      <c r="AC3" s="11602" t="n"/>
      <c r="AD3" s="11602" t="n"/>
      <c r="AE3" s="11602" t="n"/>
      <c r="AF3" s="11602" t="n"/>
      <c r="AG3" s="11602" t="n"/>
      <c r="AH3" s="11602" t="n"/>
      <c r="AI3" s="11602" t="n"/>
      <c r="AJ3" s="11602" t="n"/>
      <c r="AK3" s="11602" t="n"/>
      <c r="AL3" s="11602" t="n"/>
      <c r="AM3" s="11602" t="n"/>
      <c r="AN3" s="11602" t="n"/>
      <c r="AO3" s="11704" t="n"/>
      <c r="AP3" s="658" t="n"/>
      <c r="AQ3" s="658" t="n"/>
      <c r="AR3" s="658" t="n"/>
      <c r="AS3" s="658" t="n"/>
      <c r="AT3" s="658" t="n"/>
      <c r="AU3" s="658" t="n"/>
    </row>
    <row r="4" ht="17.25" customHeight="1" s="7635">
      <c r="A4" s="88" t="n"/>
      <c r="B4" s="3236" t="n"/>
      <c r="C4" s="3237">
        <f>"Use this worksheet to figure your capital loss carryovers from "&amp;TaxYear-1&amp;" to "&amp;TaxYear&amp;" if your "&amp;TaxYear-1&amp;" Schedule D, line 21, is a loss and"</f>
        <v/>
      </c>
      <c r="D4" s="3237" t="n"/>
      <c r="E4" s="3237" t="n"/>
      <c r="F4" s="3237" t="n"/>
      <c r="G4" s="3238" t="n"/>
      <c r="H4" s="3239" t="n"/>
      <c r="I4" s="3239" t="n"/>
      <c r="J4" s="3238" t="n"/>
      <c r="K4" s="3238" t="n"/>
      <c r="L4" s="3238" t="n"/>
      <c r="M4" s="3238" t="n"/>
      <c r="N4" s="3238" t="n"/>
      <c r="O4" s="3238" t="n"/>
      <c r="P4" s="3238" t="n"/>
      <c r="Q4" s="3238" t="n"/>
      <c r="R4" s="8797" t="n"/>
      <c r="S4" s="3240" t="n"/>
      <c r="T4" s="3225" t="n"/>
      <c r="U4" s="2497">
        <f>TaxYear-1&amp;" Sch. D, Line 7, (S.T. capital gains)"</f>
        <v/>
      </c>
      <c r="V4" s="229" t="n"/>
      <c r="W4" s="1318">
        <f>IF(R4="",0,1)</f>
        <v/>
      </c>
      <c r="X4" s="3241">
        <f>IF(R7&lt;0,TRUE,FALSE)</f>
        <v/>
      </c>
      <c r="Y4" s="3243">
        <f>"&lt;---  "&amp;TaxYear-1&amp;" Sch. D, line 21 is a loss,     AND"</f>
        <v/>
      </c>
      <c r="Z4" s="3242" t="n"/>
      <c r="AA4" s="3242" t="n"/>
      <c r="AB4" s="3244" t="n"/>
      <c r="AC4" s="11602" t="n"/>
      <c r="AD4" s="11602" t="n"/>
      <c r="AE4" s="11602" t="n"/>
      <c r="AF4" s="11602" t="n"/>
      <c r="AG4" s="11602" t="n"/>
      <c r="AH4" s="11602" t="n"/>
      <c r="AI4" s="11602" t="n"/>
      <c r="AJ4" s="11602" t="n"/>
      <c r="AK4" s="11602" t="n"/>
      <c r="AL4" s="11602" t="n"/>
      <c r="AM4" s="11602" t="n"/>
      <c r="AN4" s="11602" t="n"/>
      <c r="AO4" s="11704" t="n"/>
      <c r="AP4" s="658" t="n"/>
      <c r="AQ4" s="658" t="n"/>
      <c r="AR4" s="658" t="n"/>
      <c r="AS4" s="658" t="n"/>
      <c r="AT4" s="658" t="n"/>
      <c r="AU4" s="658" t="n"/>
    </row>
    <row r="5" ht="13.5" customHeight="1" s="7635">
      <c r="A5" s="88" t="n"/>
      <c r="B5" s="3236" t="n"/>
      <c r="C5" s="3237" t="n"/>
      <c r="D5" s="3237" t="n"/>
      <c r="E5" s="3237" t="n"/>
      <c r="F5" s="3237" t="n"/>
      <c r="G5" s="3238" t="n"/>
      <c r="H5" s="3239" t="n"/>
      <c r="I5" s="3239" t="n"/>
      <c r="J5" s="3238" t="n"/>
      <c r="K5" s="3238" t="n"/>
      <c r="L5" s="3238" t="n"/>
      <c r="M5" s="3238" t="n"/>
      <c r="N5" s="3238" t="n"/>
      <c r="O5" s="3238" t="n"/>
      <c r="P5" s="3238" t="n"/>
      <c r="Q5" s="3238" t="n"/>
      <c r="R5" s="8797" t="n"/>
      <c r="S5" s="3240" t="n"/>
      <c r="T5" s="3225" t="n"/>
      <c r="U5" s="2497">
        <f>TaxYear-1&amp;" Sch. D, Line 15 (L.T. capital gains)"</f>
        <v/>
      </c>
      <c r="V5" s="229" t="n"/>
      <c r="W5" s="1318">
        <f>IF(R5="",0,1)</f>
        <v/>
      </c>
      <c r="X5" s="1965" t="n"/>
      <c r="Y5" s="3245" t="n"/>
      <c r="Z5" s="11602" t="n"/>
      <c r="AA5" s="11602" t="n"/>
      <c r="AB5" s="409" t="n"/>
      <c r="AC5" s="11602" t="n"/>
      <c r="AD5" s="11602" t="n"/>
      <c r="AE5" s="11602" t="n"/>
      <c r="AF5" s="11602" t="n"/>
      <c r="AG5" s="11602" t="n"/>
      <c r="AH5" s="11602" t="n"/>
      <c r="AI5" s="11602" t="n"/>
      <c r="AJ5" s="11602" t="n"/>
      <c r="AK5" s="11602" t="n"/>
      <c r="AL5" s="11602" t="n"/>
      <c r="AM5" s="11602" t="n"/>
      <c r="AN5" s="11602" t="n"/>
      <c r="AO5" s="11704" t="n"/>
      <c r="AP5" s="658" t="n"/>
      <c r="AQ5" s="658" t="n"/>
      <c r="AR5" s="658" t="n"/>
      <c r="AS5" s="658" t="n"/>
      <c r="AT5" s="658" t="n"/>
      <c r="AU5" s="658" t="n"/>
    </row>
    <row r="6" ht="13.5" customHeight="1" s="7635">
      <c r="A6" s="88" t="n"/>
      <c r="B6" s="3236" t="n"/>
      <c r="C6" s="3237" t="n"/>
      <c r="D6" s="3237" t="n"/>
      <c r="E6" s="3237" t="n"/>
      <c r="F6" s="3237" t="n"/>
      <c r="G6" s="3238" t="n"/>
      <c r="H6" s="3239" t="n"/>
      <c r="I6" s="3239" t="n"/>
      <c r="J6" s="3238" t="n"/>
      <c r="K6" s="3238" t="n"/>
      <c r="L6" s="3238" t="n"/>
      <c r="M6" s="3238" t="n"/>
      <c r="N6" s="3238" t="n"/>
      <c r="O6" s="3238" t="n"/>
      <c r="P6" s="3238" t="n"/>
      <c r="Q6" s="3238" t="n"/>
      <c r="R6" s="2628">
        <f>IF(AND(R4="",R5=""),"",ROUND(SUM(R4,R5),0))</f>
        <v/>
      </c>
      <c r="S6" s="3240" t="n"/>
      <c r="T6" s="3225" t="n"/>
      <c r="U6" s="2497">
        <f>TaxYear-1&amp;" Sch. D, Line 16 (Combine lines 7 &amp;15)"</f>
        <v/>
      </c>
      <c r="V6" s="229" t="n"/>
      <c r="W6" s="1318" t="n"/>
      <c r="X6" s="1965" t="n"/>
      <c r="Y6" s="3245" t="n"/>
      <c r="Z6" s="11602" t="n"/>
      <c r="AA6" s="11602" t="n"/>
      <c r="AB6" s="409" t="n"/>
      <c r="AC6" s="11602" t="n"/>
      <c r="AD6" s="11602" t="n"/>
      <c r="AE6" s="11602" t="n"/>
      <c r="AF6" s="11602" t="n"/>
      <c r="AG6" s="11602" t="n"/>
      <c r="AH6" s="11602" t="n"/>
      <c r="AI6" s="11602" t="n"/>
      <c r="AJ6" s="11602" t="n"/>
      <c r="AK6" s="11602" t="n"/>
      <c r="AL6" s="11602" t="n"/>
      <c r="AM6" s="11602" t="n"/>
      <c r="AN6" s="11602" t="n"/>
      <c r="AO6" s="11704" t="n"/>
      <c r="AP6" s="658" t="n"/>
      <c r="AQ6" s="658" t="n"/>
      <c r="AR6" s="658" t="n"/>
      <c r="AS6" s="658" t="n"/>
      <c r="AT6" s="658" t="n"/>
      <c r="AU6" s="658" t="n"/>
    </row>
    <row r="7" ht="13.5" customHeight="1" s="7635">
      <c r="A7" s="88" t="n"/>
      <c r="B7" s="3236" t="n"/>
      <c r="C7" s="3237" t="n"/>
      <c r="D7" s="3239" t="inlineStr">
        <is>
          <t>(a)</t>
        </is>
      </c>
      <c r="E7" s="3237">
        <f>" that loss is a smaller loss than the loss on your "&amp;TaxYear-1&amp;" Schedule D, line 16,"</f>
        <v/>
      </c>
      <c r="F7" s="3237" t="n"/>
      <c r="G7" s="3238" t="n"/>
      <c r="H7" s="3239" t="n"/>
      <c r="I7" s="3239" t="n"/>
      <c r="J7" s="3238" t="n"/>
      <c r="K7" s="3246" t="inlineStr">
        <is>
          <t>or</t>
        </is>
      </c>
      <c r="L7" s="3238" t="n"/>
      <c r="M7" s="3238" t="n"/>
      <c r="N7" s="3238" t="n"/>
      <c r="O7" s="3247" t="n"/>
      <c r="P7" s="3238" t="n"/>
      <c r="Q7" s="3238" t="n"/>
      <c r="R7" s="8797" t="n"/>
      <c r="S7" s="3240" t="n"/>
      <c r="T7" s="3225" t="n"/>
      <c r="U7" s="3248">
        <f>TaxYear-1&amp;" Sch. D, Line 21"</f>
        <v/>
      </c>
      <c r="V7" s="229" t="n"/>
      <c r="W7" s="1318">
        <f>IF(R7="",0,1)</f>
        <v/>
      </c>
      <c r="X7" s="1965">
        <f>IF(R6="",FALSE,IF(AND(X4,R6&lt;0,ABS(R7)&lt;ABS(R6)),TRUE,FALSE))</f>
        <v/>
      </c>
      <c r="Y7" s="3245">
        <f>"&lt;---  "&amp;TaxYear-1&amp;" Sch. D, line 21, loss is &lt; line 16 loss,  OR"</f>
        <v/>
      </c>
      <c r="Z7" s="11602" t="n"/>
      <c r="AA7" s="11602" t="n"/>
      <c r="AB7" s="409" t="n"/>
      <c r="AC7" s="11602" t="n"/>
      <c r="AD7" s="11602" t="n"/>
      <c r="AE7" s="11602" t="n"/>
      <c r="AF7" s="11602" t="n"/>
      <c r="AG7" s="11602" t="n"/>
      <c r="AH7" s="11602" t="n"/>
      <c r="AI7" s="11602" t="n"/>
      <c r="AJ7" s="11602" t="n"/>
      <c r="AK7" s="11602" t="n"/>
      <c r="AL7" s="11602" t="n"/>
      <c r="AM7" s="11602" t="n"/>
      <c r="AN7" s="11602" t="n"/>
      <c r="AO7" s="11704" t="n"/>
      <c r="AP7" s="658" t="n"/>
      <c r="AQ7" s="658" t="n"/>
      <c r="AR7" s="658" t="n"/>
      <c r="AS7" s="658" t="n"/>
      <c r="AT7" s="658" t="n"/>
      <c r="AU7" s="658" t="n"/>
    </row>
    <row r="8" ht="13.5" customHeight="1" s="7635">
      <c r="A8" s="88" t="n"/>
      <c r="B8" s="3236" t="n"/>
      <c r="C8" s="3237" t="n"/>
      <c r="D8" s="3246" t="inlineStr">
        <is>
          <t>(b)</t>
        </is>
      </c>
      <c r="E8" s="3237">
        <f>" if the amount on your "&amp;TaxYear-1&amp;" Form 1040, 1040-SR, or 1040-NR, line 15 would be"</f>
        <v/>
      </c>
      <c r="F8" s="3237" t="n"/>
      <c r="G8" s="3238" t="n"/>
      <c r="H8" s="3237" t="n"/>
      <c r="I8" s="3239" t="n"/>
      <c r="J8" s="3238" t="n"/>
      <c r="K8" s="3238" t="n"/>
      <c r="L8" s="3238" t="n"/>
      <c r="M8" s="3238" t="n"/>
      <c r="N8" s="3238" t="n"/>
      <c r="O8" s="3238" t="n"/>
      <c r="P8" s="3238" t="n"/>
      <c r="Q8" s="3238" t="n"/>
      <c r="R8" s="8797" t="n"/>
      <c r="S8" s="3240" t="n"/>
      <c r="T8" s="3225" t="n"/>
      <c r="U8" s="2497">
        <f>TaxYear-1&amp;" Form 1040, Line 15 (Taxable Income)"</f>
        <v/>
      </c>
      <c r="V8" s="229" t="n"/>
      <c r="W8" s="1318">
        <f>IF(R8="",0,1)</f>
        <v/>
      </c>
      <c r="X8" s="3249">
        <f>AND(R8&lt;&gt;"",R8&lt;&gt;0)</f>
        <v/>
      </c>
      <c r="Y8" s="3251">
        <f>"&lt;---  "&amp;TaxYear-1&amp;" Form 1040, line 15, would have been &lt; $0."</f>
        <v/>
      </c>
      <c r="Z8" s="3250" t="n"/>
      <c r="AA8" s="3250" t="n"/>
      <c r="AB8" s="3252" t="n"/>
      <c r="AC8" s="11602" t="n"/>
      <c r="AD8" s="11602" t="n"/>
      <c r="AE8" s="11602" t="n"/>
      <c r="AF8" s="11602" t="n"/>
      <c r="AG8" s="11602" t="n"/>
      <c r="AH8" s="11602" t="n"/>
      <c r="AI8" s="11602" t="n"/>
      <c r="AJ8" s="11602" t="n"/>
      <c r="AK8" s="11602" t="n"/>
      <c r="AL8" s="11602" t="n"/>
      <c r="AM8" s="11602" t="n"/>
      <c r="AN8" s="11602" t="n"/>
      <c r="AO8" s="11704" t="n"/>
      <c r="AP8" s="658" t="n"/>
      <c r="AQ8" s="658" t="n"/>
      <c r="AR8" s="658" t="n"/>
      <c r="AS8" s="658" t="n"/>
      <c r="AT8" s="658" t="n"/>
      <c r="AU8" s="658" t="n"/>
    </row>
    <row r="9" ht="13.5" customHeight="1" s="7635">
      <c r="A9" s="88" t="n"/>
      <c r="B9" s="3236" t="n"/>
      <c r="C9" s="3253" t="n"/>
      <c r="D9" s="3253" t="n"/>
      <c r="E9" s="3237" t="inlineStr">
        <is>
          <t xml:space="preserve"> less than zero if a negative amount on that line. Otherwise, you don't have any carryovers.</t>
        </is>
      </c>
      <c r="F9" s="3237" t="n"/>
      <c r="G9" s="3237" t="n"/>
      <c r="H9" s="3254" t="n"/>
      <c r="I9" s="3237" t="n"/>
      <c r="J9" s="3238" t="n"/>
      <c r="K9" s="3238" t="n"/>
      <c r="L9" s="3238" t="n"/>
      <c r="M9" s="3238" t="n"/>
      <c r="N9" s="3238" t="n"/>
      <c r="O9" s="3247" t="n"/>
      <c r="P9" s="3238" t="n"/>
      <c r="Q9" s="3238" t="n"/>
      <c r="R9" s="8365" t="n"/>
      <c r="S9" s="3240" t="n"/>
      <c r="T9" s="3225" t="n"/>
      <c r="U9" s="2703">
        <f>IF(U12,"The amount of loss on Sch. D, Line 21,","")</f>
        <v/>
      </c>
      <c r="V9" s="229" t="n"/>
      <c r="W9" s="712" t="n"/>
      <c r="X9" s="3255">
        <f>OR(W9&lt;&gt;"",AND(X3,X4,OR(X7,X8)))</f>
        <v/>
      </c>
      <c r="Y9" s="462">
        <f>IF(X9,"&lt;---  If true, then this WS is applicable.","&lt;---  If false, you don't have any carryovers.")</f>
        <v/>
      </c>
      <c r="Z9" s="413" t="n"/>
      <c r="AA9" s="413" t="n"/>
      <c r="AB9" s="414" t="n"/>
      <c r="AC9" s="11602" t="n"/>
      <c r="AD9" s="11602" t="n"/>
      <c r="AE9" s="11602" t="n"/>
      <c r="AF9" s="11602" t="n"/>
      <c r="AG9" s="11602" t="n"/>
      <c r="AH9" s="11602" t="n"/>
      <c r="AI9" s="11602" t="n"/>
      <c r="AJ9" s="11602" t="n"/>
      <c r="AK9" s="11602" t="n"/>
      <c r="AL9" s="11602" t="n"/>
      <c r="AM9" s="11602" t="n"/>
      <c r="AN9" s="11602" t="n"/>
      <c r="AO9" s="11704" t="n"/>
      <c r="AP9" s="658" t="n"/>
      <c r="AQ9" s="658" t="n"/>
      <c r="AR9" s="658" t="n"/>
      <c r="AS9" s="658" t="n"/>
      <c r="AT9" s="658" t="n"/>
      <c r="AU9" s="658" t="n"/>
    </row>
    <row r="10" ht="13.5" customHeight="1" s="7635">
      <c r="A10" s="88" t="n"/>
      <c r="B10" s="3236" t="n"/>
      <c r="C10" s="3237" t="n"/>
      <c r="D10" s="3237" t="n"/>
      <c r="E10" s="3237" t="n"/>
      <c r="F10" s="3237" t="n"/>
      <c r="G10" s="3238" t="n"/>
      <c r="H10" s="3239" t="n"/>
      <c r="I10" s="3239" t="n"/>
      <c r="J10" s="3238" t="n"/>
      <c r="K10" s="3238" t="n"/>
      <c r="L10" s="3238" t="n"/>
      <c r="M10" s="3238" t="n"/>
      <c r="N10" s="3238" t="n"/>
      <c r="O10" s="3238" t="n"/>
      <c r="P10" s="3238" t="n"/>
      <c r="Q10" s="3238" t="n"/>
      <c r="S10" s="3240" t="n"/>
      <c r="T10" s="3256">
        <f>AND(R4="",R5="",R7="",R8="")</f>
        <v/>
      </c>
      <c r="U10" s="2703">
        <f>IF(U12,"should not have been more than "&amp;TEXT(-T12,"$0,000")&amp;".","")</f>
        <v/>
      </c>
      <c r="V10" s="229" t="n"/>
      <c r="W10" s="3257">
        <f>IF(OR(W9&lt;&gt;"",AND(X3,NOT(X9))),"Check box if you wish to use the worksheet anyway.","")</f>
        <v/>
      </c>
      <c r="X10" s="343" t="n"/>
      <c r="Y10" s="11602" t="n"/>
      <c r="Z10" s="11602" t="n"/>
      <c r="AA10" s="11602" t="n"/>
      <c r="AB10" s="11602" t="n"/>
      <c r="AC10" s="11602" t="n"/>
      <c r="AD10" s="11602" t="n"/>
      <c r="AE10" s="11602" t="n"/>
      <c r="AF10" s="11602" t="n"/>
      <c r="AG10" s="11602" t="n"/>
      <c r="AH10" s="11602" t="n"/>
      <c r="AI10" s="11602" t="n"/>
      <c r="AJ10" s="11602" t="n"/>
      <c r="AK10" s="11602" t="n"/>
      <c r="AL10" s="11602" t="n"/>
      <c r="AM10" s="11602" t="n"/>
      <c r="AN10" s="11602" t="n"/>
      <c r="AO10" s="11704" t="n"/>
      <c r="AP10" s="658" t="n"/>
      <c r="AQ10" s="658" t="n"/>
      <c r="AR10" s="658" t="n"/>
      <c r="AS10" s="658" t="n"/>
      <c r="AT10" s="658" t="n"/>
      <c r="AU10" s="658" t="n"/>
    </row>
    <row r="11" ht="13.5" customHeight="1" s="7635">
      <c r="A11" s="88" t="n"/>
      <c r="B11" s="3236" t="n"/>
      <c r="C11" s="3237">
        <f>"If you and your spouse once filed a joint return and are filing separate returns for "&amp;TaxYear&amp;","</f>
        <v/>
      </c>
      <c r="D11" s="3237" t="n"/>
      <c r="E11" s="3237" t="n"/>
      <c r="F11" s="3237" t="n"/>
      <c r="G11" s="3238" t="n"/>
      <c r="H11" s="3239" t="n"/>
      <c r="I11" s="3239" t="n"/>
      <c r="J11" s="3238" t="n"/>
      <c r="K11" s="3238" t="n"/>
      <c r="L11" s="3238" t="n"/>
      <c r="M11" s="3238" t="n"/>
      <c r="N11" s="3238" t="n"/>
      <c r="O11" s="3238" t="n"/>
      <c r="P11" s="3238" t="n"/>
      <c r="Q11" s="3238" t="n"/>
      <c r="S11" s="3240" t="n"/>
      <c r="T11" s="3225" t="n"/>
      <c r="U11" s="3258" t="n"/>
      <c r="V11" s="229" t="n"/>
      <c r="W11" s="11602" t="n"/>
      <c r="X11" s="343" t="n"/>
      <c r="Y11" s="11602" t="n"/>
      <c r="Z11" s="11602" t="n"/>
      <c r="AA11" s="11602" t="n"/>
      <c r="AB11" s="11602" t="n"/>
      <c r="AC11" s="11602" t="n"/>
      <c r="AD11" s="11602" t="n"/>
      <c r="AE11" s="11602" t="n"/>
      <c r="AF11" s="11602" t="n"/>
      <c r="AG11" s="11602" t="n"/>
      <c r="AH11" s="11602" t="n"/>
      <c r="AI11" s="11602" t="n"/>
      <c r="AJ11" s="11602" t="n"/>
      <c r="AK11" s="11602" t="n"/>
      <c r="AL11" s="11602" t="n"/>
      <c r="AM11" s="11602" t="n"/>
      <c r="AN11" s="11602" t="n"/>
      <c r="AO11" s="11704" t="n"/>
      <c r="AP11" s="658" t="n"/>
      <c r="AQ11" s="658" t="n"/>
      <c r="AR11" s="658" t="n"/>
      <c r="AS11" s="658" t="n"/>
      <c r="AT11" s="658" t="n"/>
      <c r="AU11" s="658" t="n"/>
    </row>
    <row r="12" ht="13.5" customHeight="1" s="7635">
      <c r="A12" s="88" t="n"/>
      <c r="B12" s="3236" t="n"/>
      <c r="C12" s="3237" t="inlineStr">
        <is>
          <t>any capital loss carryover from the joint return can be deducted only on the return of the spouse who actually had the loss.</t>
        </is>
      </c>
      <c r="D12" s="3237" t="n"/>
      <c r="E12" s="3237" t="n"/>
      <c r="F12" s="3237" t="n"/>
      <c r="G12" s="3238" t="n"/>
      <c r="H12" s="3239" t="n"/>
      <c r="I12" s="3239" t="n"/>
      <c r="J12" s="3238" t="n"/>
      <c r="K12" s="3238" t="n"/>
      <c r="L12" s="3238" t="n"/>
      <c r="M12" s="3238" t="n"/>
      <c r="N12" s="3238" t="n"/>
      <c r="O12" s="3238" t="n"/>
      <c r="P12" s="3238" t="n"/>
      <c r="Q12" s="3238" t="n"/>
      <c r="S12" s="3240" t="n"/>
      <c r="T12" s="3259">
        <f>IF(T2,-1500,-3000)</f>
        <v/>
      </c>
      <c r="U12" s="3260">
        <f>R7&lt;T12</f>
        <v/>
      </c>
      <c r="V12" s="229" t="n"/>
      <c r="W12" s="11602" t="n"/>
      <c r="X12" s="343" t="n"/>
      <c r="Y12" s="11602" t="n"/>
      <c r="Z12" s="11602" t="n"/>
      <c r="AA12" s="11602" t="n"/>
      <c r="AB12" s="11602" t="n"/>
      <c r="AC12" s="11602" t="n"/>
      <c r="AD12" s="11602" t="n"/>
      <c r="AE12" s="11602" t="n"/>
      <c r="AF12" s="11602" t="n"/>
      <c r="AG12" s="11602" t="n"/>
      <c r="AH12" s="11602" t="n"/>
      <c r="AI12" s="11602" t="n"/>
      <c r="AJ12" s="11602" t="n"/>
      <c r="AK12" s="11602" t="n"/>
      <c r="AL12" s="11602" t="n"/>
      <c r="AM12" s="11602" t="n"/>
      <c r="AN12" s="11602" t="n"/>
      <c r="AO12" s="11704" t="n"/>
      <c r="AP12" s="658" t="n"/>
      <c r="AQ12" s="658" t="n"/>
      <c r="AR12" s="658" t="n"/>
      <c r="AS12" s="658" t="n"/>
      <c r="AT12" s="658" t="n"/>
      <c r="AU12" s="658" t="n"/>
    </row>
    <row r="13" ht="9" customHeight="1" s="7635">
      <c r="A13" s="88" t="n"/>
      <c r="B13" s="3236" t="n"/>
      <c r="C13" s="3237" t="n"/>
      <c r="D13" s="3237" t="n"/>
      <c r="E13" s="3237" t="n"/>
      <c r="F13" s="3237" t="n"/>
      <c r="G13" s="3238" t="n"/>
      <c r="H13" s="3239" t="n"/>
      <c r="I13" s="3239" t="n"/>
      <c r="J13" s="3238" t="n"/>
      <c r="K13" s="3238" t="n"/>
      <c r="L13" s="3238" t="n"/>
      <c r="M13" s="3238" t="n"/>
      <c r="N13" s="3238" t="n"/>
      <c r="O13" s="3238" t="n"/>
      <c r="P13" s="3238" t="n"/>
      <c r="Q13" s="3238" t="n"/>
      <c r="R13" s="12103" t="n"/>
      <c r="S13" s="3240" t="n"/>
      <c r="T13" s="3225" t="n"/>
      <c r="U13" s="8885" t="n"/>
      <c r="V13" s="228" t="n"/>
      <c r="W13" s="11602" t="n"/>
      <c r="X13" s="343" t="n"/>
      <c r="Y13" s="11602" t="n"/>
      <c r="Z13" s="11602" t="n"/>
      <c r="AA13" s="11602" t="n"/>
      <c r="AB13" s="11602" t="n"/>
      <c r="AC13" s="11602" t="n"/>
      <c r="AD13" s="11602" t="n"/>
      <c r="AE13" s="11602" t="n"/>
      <c r="AF13" s="11602" t="n"/>
      <c r="AG13" s="11602" t="n"/>
      <c r="AH13" s="11602" t="n"/>
      <c r="AI13" s="11602" t="n"/>
      <c r="AJ13" s="11602" t="n"/>
      <c r="AK13" s="11602" t="n"/>
      <c r="AL13" s="11602" t="n"/>
      <c r="AM13" s="11602" t="n"/>
      <c r="AN13" s="11602" t="n"/>
      <c r="AO13" s="11704" t="n"/>
      <c r="AP13" s="658" t="n"/>
      <c r="AQ13" s="658" t="n"/>
      <c r="AR13" s="658" t="n"/>
      <c r="AS13" s="658" t="n"/>
      <c r="AT13" s="658" t="n"/>
      <c r="AU13" s="658" t="n"/>
    </row>
    <row r="14" ht="21" customFormat="1" customHeight="1" s="9864">
      <c r="A14" s="182" t="n"/>
      <c r="B14" s="3262" t="n"/>
      <c r="C14" s="3263">
        <f>"If you excluded canceled debt from income in "&amp;TaxYear&amp;", see Pub. 4681."</f>
        <v/>
      </c>
      <c r="D14" s="3263" t="n"/>
      <c r="E14" s="3263" t="n"/>
      <c r="F14" s="3263" t="n"/>
      <c r="G14" s="3264" t="n"/>
      <c r="H14" s="3265" t="n"/>
      <c r="I14" s="3265" t="n"/>
      <c r="J14" s="3264" t="n"/>
      <c r="K14" s="3264" t="n"/>
      <c r="L14" s="3264" t="n"/>
      <c r="M14" s="3264" t="n"/>
      <c r="N14" s="3264" t="n"/>
      <c r="O14" s="3264" t="n"/>
      <c r="P14" s="3264" t="n"/>
      <c r="Q14" s="3264" t="n"/>
      <c r="R14" s="3264" t="n"/>
      <c r="S14" s="3266" t="n"/>
      <c r="T14" s="3267" t="n"/>
      <c r="U14" s="9316" t="n"/>
      <c r="V14" s="3268" t="n"/>
      <c r="X14" s="302" t="n"/>
      <c r="AO14" s="12104" t="n"/>
      <c r="AP14" s="665" t="n"/>
      <c r="AQ14" s="665" t="n"/>
      <c r="AR14" s="665" t="n"/>
      <c r="AS14" s="665" t="n"/>
      <c r="AT14" s="665" t="n"/>
      <c r="AU14" s="665" t="n"/>
    </row>
    <row r="15">
      <c r="A15" s="88" t="n"/>
      <c r="B15" s="3269" t="n"/>
      <c r="C15" s="8377" t="n"/>
      <c r="D15" s="3271" t="n"/>
      <c r="E15" s="3271" t="n"/>
      <c r="F15" s="3237" t="n"/>
      <c r="G15" s="3238" t="n"/>
      <c r="H15" s="3239" t="n"/>
      <c r="I15" s="3239" t="n"/>
      <c r="J15" s="3238" t="n"/>
      <c r="K15" s="3238" t="n"/>
      <c r="L15" s="3238" t="n"/>
      <c r="M15" s="8378" t="n"/>
      <c r="N15" s="8378" t="n"/>
      <c r="O15" s="3273" t="n"/>
      <c r="P15" s="8378" t="n"/>
      <c r="Q15" s="3274" t="n"/>
      <c r="R15" s="3238" t="n"/>
      <c r="S15" s="3275" t="n"/>
      <c r="T15" s="3225" t="n"/>
      <c r="U15" s="229" t="n"/>
      <c r="V15" s="229" t="n"/>
      <c r="X15" s="9123" t="n"/>
      <c r="AO15" s="11704" t="n"/>
      <c r="AP15" s="658" t="n"/>
      <c r="AQ15" s="658" t="n"/>
      <c r="AR15" s="658" t="n"/>
      <c r="AS15" s="658" t="n"/>
      <c r="AT15" s="658" t="n"/>
      <c r="AU15" s="658" t="n"/>
    </row>
    <row r="16" ht="14.25" customHeight="1" s="7635">
      <c r="A16" s="88" t="n"/>
      <c r="B16" s="3269" t="inlineStr">
        <is>
          <t>1.</t>
        </is>
      </c>
      <c r="C16" s="3239" t="n"/>
      <c r="D16" s="3237">
        <f>"Enter the amount from your "&amp;TaxYear-1&amp;" Form 1040, 1040-SR, or 1040-NR, line 15 (Taxable Income)."</f>
        <v/>
      </c>
      <c r="E16" s="3237" t="n"/>
      <c r="F16" s="3237" t="n"/>
      <c r="G16" s="3238" t="n"/>
      <c r="H16" s="3239" t="n"/>
      <c r="I16" s="3239" t="n"/>
      <c r="J16" s="3238" t="n"/>
      <c r="K16" s="3238" t="n"/>
      <c r="L16" s="3238" t="n"/>
      <c r="M16" s="3238" t="n"/>
      <c r="N16" s="3238" t="n"/>
      <c r="O16" s="3238" t="n"/>
      <c r="P16" s="3238" t="n"/>
      <c r="Q16" s="3238" t="n"/>
      <c r="R16" s="3238" t="n"/>
      <c r="S16" s="3275" t="n"/>
      <c r="T16" s="3225" t="n"/>
      <c r="U16" s="8730" t="n"/>
      <c r="V16" s="1879" t="n"/>
      <c r="X16" s="9123" t="n"/>
      <c r="AO16" s="11704" t="n"/>
      <c r="AP16" s="658" t="n"/>
      <c r="AQ16" s="658" t="n"/>
      <c r="AR16" s="658" t="n"/>
      <c r="AS16" s="658" t="n"/>
      <c r="AT16" s="658" t="n"/>
      <c r="AU16" s="658" t="n"/>
    </row>
    <row r="17" ht="13.5" customHeight="1" s="7635">
      <c r="A17" s="88" t="n"/>
      <c r="B17" s="3236" t="n"/>
      <c r="C17" s="3239" t="n"/>
      <c r="D17" s="3237" t="inlineStr">
        <is>
          <t>If the amount would have been a loss if you could enter a negative number on that line, enclose the amount in parentheses</t>
        </is>
      </c>
      <c r="E17" s="3237" t="n"/>
      <c r="F17" s="3237" t="n"/>
      <c r="G17" s="3238" t="n"/>
      <c r="H17" s="3239" t="n"/>
      <c r="I17" s="3239" t="n"/>
      <c r="J17" s="3238" t="n"/>
      <c r="K17" s="3238" t="n"/>
      <c r="L17" s="3238" t="n"/>
      <c r="M17" s="3238" t="n"/>
      <c r="N17" s="3238" t="n"/>
      <c r="O17" s="3277" t="n"/>
      <c r="P17" s="3238" t="n"/>
      <c r="Q17" s="8377" t="inlineStr">
        <is>
          <t>1.</t>
        </is>
      </c>
      <c r="R17" s="2628">
        <f>IF(NOT($X$9),"",ROUND(R8,0))</f>
        <v/>
      </c>
      <c r="S17" s="3275" t="n"/>
      <c r="T17" s="3225" t="n"/>
      <c r="U17" s="3278">
        <f>IF(T10,"Enter amounts above.",IF(NOT(X9),"You don't have any carryovers.",""))</f>
        <v/>
      </c>
      <c r="V17" s="1879" t="n"/>
      <c r="X17" s="9123" t="n"/>
      <c r="AO17" s="11704" t="n"/>
      <c r="AP17" s="658" t="n"/>
      <c r="AQ17" s="658" t="n"/>
      <c r="AR17" s="658" t="n"/>
      <c r="AS17" s="658" t="n"/>
      <c r="AT17" s="658" t="n"/>
      <c r="AU17" s="658" t="n"/>
    </row>
    <row r="18">
      <c r="A18" s="88" t="n"/>
      <c r="B18" s="3269" t="inlineStr">
        <is>
          <t>2.</t>
        </is>
      </c>
      <c r="C18" s="8377" t="n"/>
      <c r="D18" s="3237">
        <f>"Enter the loss from your "&amp;TaxYear-1&amp;" Schedule D, line 21, as a positive amount"</f>
        <v/>
      </c>
      <c r="E18" s="3237" t="n"/>
      <c r="F18" s="3237" t="n"/>
      <c r="G18" s="3238" t="n"/>
      <c r="H18" s="3239" t="n"/>
      <c r="I18" s="3239" t="n"/>
      <c r="J18" s="3238" t="n"/>
      <c r="K18" s="3238" t="n"/>
      <c r="L18" s="3238" t="n"/>
      <c r="M18" s="3238" t="n"/>
      <c r="N18" s="3238" t="n"/>
      <c r="O18" s="3277">
        <f>IF(R18&lt;0,"Enter as a positive amount."," .   .   .   .   .   .   .   .   .   .   .   .   .   .   .   .   .   .   .   .   .   .   .   .   .   .   ")</f>
        <v/>
      </c>
      <c r="P18" s="3238" t="n"/>
      <c r="Q18" s="8377" t="inlineStr">
        <is>
          <t>2.</t>
        </is>
      </c>
      <c r="R18" s="2628">
        <f>IF(NOT($X$9),"",IF(ROUND(R7,0)&gt;0,0,-ROUND(R7,0)))</f>
        <v/>
      </c>
      <c r="S18" s="3275" t="n"/>
      <c r="T18" s="3225" t="n"/>
      <c r="U18" s="8730" t="n"/>
      <c r="V18" s="1879" t="n"/>
      <c r="X18" s="9123" t="n"/>
      <c r="AO18" s="11704" t="n"/>
      <c r="AP18" s="658" t="n"/>
      <c r="AQ18" s="658" t="n"/>
      <c r="AR18" s="658" t="n"/>
      <c r="AS18" s="658" t="n"/>
      <c r="AT18" s="658" t="n"/>
      <c r="AU18" s="658" t="n"/>
    </row>
    <row r="19">
      <c r="A19" s="88" t="n"/>
      <c r="B19" s="3269" t="inlineStr">
        <is>
          <t>3.</t>
        </is>
      </c>
      <c r="C19" s="8377" t="n"/>
      <c r="D19" s="3237" t="inlineStr">
        <is>
          <t>Combine lines 1 and 2. If zero or less, enter -0-</t>
        </is>
      </c>
      <c r="E19" s="3237" t="n"/>
      <c r="F19" s="3237" t="n"/>
      <c r="G19" s="3238" t="n"/>
      <c r="H19" s="3239" t="n"/>
      <c r="I19" s="3239" t="n"/>
      <c r="J19" s="3238" t="n"/>
      <c r="K19" s="3238" t="n"/>
      <c r="L19" s="3238" t="n"/>
      <c r="M19" s="3238" t="n"/>
      <c r="N19" s="3238" t="n"/>
      <c r="O19" s="3277" t="inlineStr">
        <is>
          <t xml:space="preserve">.   .   .   .   .   .   .   .   .   .   .   .   .   .   .   .   .   .   .   .   .   .   .   .   .   .   .   .   .   .   .   .   .   .   .   </t>
        </is>
      </c>
      <c r="P19" s="3238" t="n"/>
      <c r="Q19" s="8377" t="inlineStr">
        <is>
          <t>3.</t>
        </is>
      </c>
      <c r="R19" s="2628">
        <f>IF(NOT($X$9),"",IF(ROUND(SUM(R17,R18),0)&lt;0,0,ROUND(SUM(R17,R18),0)))</f>
        <v/>
      </c>
      <c r="S19" s="3275" t="n"/>
      <c r="T19" s="3225" t="n"/>
      <c r="U19" s="8730" t="n"/>
      <c r="V19" s="228" t="n"/>
      <c r="AO19" s="11704" t="n"/>
      <c r="AP19" s="658" t="n"/>
      <c r="AQ19" s="658" t="n"/>
      <c r="AR19" s="658" t="n"/>
      <c r="AS19" s="658" t="n"/>
      <c r="AT19" s="658" t="n"/>
      <c r="AU19" s="658" t="n"/>
    </row>
    <row r="20">
      <c r="A20" s="88" t="n"/>
      <c r="B20" s="3269" t="inlineStr">
        <is>
          <t>4.</t>
        </is>
      </c>
      <c r="C20" s="8377" t="n"/>
      <c r="D20" s="3237" t="inlineStr">
        <is>
          <t>Enter the smaller of line 2 or line 3</t>
        </is>
      </c>
      <c r="E20" s="3237" t="n"/>
      <c r="F20" s="3237" t="n"/>
      <c r="G20" s="3238" t="n"/>
      <c r="H20" s="3239" t="n"/>
      <c r="I20" s="3239" t="n"/>
      <c r="J20" s="3238" t="n"/>
      <c r="K20" s="3238" t="n"/>
      <c r="L20" s="3277" t="inlineStr">
        <is>
          <t xml:space="preserve">.   .   .   .   .   .   .   .   .   .   .   .   .   .   .   .   .   .   .   .   .   .   .   .   .   .   .   .   .   .   . </t>
        </is>
      </c>
      <c r="M20" s="8373" t="inlineStr">
        <is>
          <t>4.</t>
        </is>
      </c>
      <c r="O20" s="2628">
        <f>IF(NOT($X$9),"",MIN(R18,R19))</f>
        <v/>
      </c>
      <c r="P20" s="8373" t="n"/>
      <c r="Q20" s="3274" t="n"/>
      <c r="R20" s="3274" t="n"/>
      <c r="S20" s="3275" t="n"/>
      <c r="T20" s="3225" t="n"/>
      <c r="U20" s="8730" t="n"/>
      <c r="V20" s="1879" t="n"/>
      <c r="AO20" s="11704" t="n"/>
      <c r="AP20" s="658" t="n"/>
      <c r="AQ20" s="658" t="n"/>
      <c r="AR20" s="658" t="n"/>
      <c r="AS20" s="658" t="n"/>
      <c r="AT20" s="658" t="n"/>
      <c r="AU20" s="658" t="n"/>
    </row>
    <row r="21">
      <c r="A21" s="88" t="n"/>
      <c r="B21" s="3269" t="n"/>
      <c r="C21" s="8377" t="n"/>
      <c r="D21" s="3246">
        <f>"If line 7 of your "&amp;TaxYear-1&amp;" Schedule D is a loss, go to line 5; otherwise, enter -0- on line 5 and go to line 9."</f>
        <v/>
      </c>
      <c r="E21" s="3271" t="n"/>
      <c r="F21" s="3237" t="n"/>
      <c r="G21" s="3238" t="n"/>
      <c r="H21" s="3239" t="n"/>
      <c r="I21" s="3239" t="n"/>
      <c r="J21" s="3238" t="n"/>
      <c r="K21" s="3238" t="n"/>
      <c r="L21" s="3238" t="n"/>
      <c r="M21" s="8378" t="n"/>
      <c r="N21" s="8378" t="n"/>
      <c r="O21" s="3280">
        <f>IF(OR(NOT($X$9),R21),"","Go to Line 9.")</f>
        <v/>
      </c>
      <c r="P21" s="8378" t="n"/>
      <c r="Q21" s="3274" t="n"/>
      <c r="R21" s="3281">
        <f>IF(R4&lt;0,TRUE,FALSE)</f>
        <v/>
      </c>
      <c r="S21" s="3275" t="n"/>
      <c r="T21" s="3225" t="n"/>
      <c r="U21" s="8885" t="n"/>
      <c r="V21" s="229" t="n"/>
      <c r="AO21" s="11704" t="n"/>
      <c r="AP21" s="658" t="n"/>
      <c r="AQ21" s="658" t="n"/>
      <c r="AR21" s="658" t="n"/>
      <c r="AS21" s="658" t="n"/>
      <c r="AT21" s="658" t="n"/>
      <c r="AU21" s="658" t="n"/>
    </row>
    <row r="22">
      <c r="A22" s="88" t="n"/>
      <c r="B22" s="3269" t="inlineStr">
        <is>
          <t>5.</t>
        </is>
      </c>
      <c r="C22" s="8377" t="n"/>
      <c r="D22" s="3237">
        <f>"Enter the loss from your "&amp;TaxYear-1&amp;" Schedule D, line 7, as a positive amount"</f>
        <v/>
      </c>
      <c r="E22" s="3237" t="n"/>
      <c r="F22" s="3237" t="n"/>
      <c r="G22" s="3238" t="n"/>
      <c r="H22" s="3239" t="n"/>
      <c r="I22" s="3239" t="n"/>
      <c r="J22" s="3238" t="n"/>
      <c r="K22" s="3238" t="n"/>
      <c r="L22" s="3238" t="n"/>
      <c r="M22" s="3238" t="n"/>
      <c r="N22" s="3238" t="n"/>
      <c r="O22" s="3277" t="inlineStr">
        <is>
          <t xml:space="preserve">.   .   .   .   .   .   .   .   .   .   .   .   .   .   .   .   .   .   .   .   .   .   .   .   .   </t>
        </is>
      </c>
      <c r="P22" s="3238" t="n"/>
      <c r="Q22" s="8377" t="inlineStr">
        <is>
          <t>5.</t>
        </is>
      </c>
      <c r="R22" s="2628">
        <f>IF(NOT(X9),"",IF(NOT(R21),0,IF(ROUND(R4,0)&lt;0,-ROUND(R4,0),0)))</f>
        <v/>
      </c>
      <c r="S22" s="3275" t="n"/>
      <c r="T22" s="3225" t="n"/>
      <c r="U22" s="8730" t="n"/>
      <c r="V22" s="1879" t="n"/>
      <c r="AO22" s="11704" t="n"/>
      <c r="AP22" s="658" t="n"/>
      <c r="AQ22" s="658" t="n"/>
      <c r="AR22" s="658" t="n"/>
      <c r="AS22" s="658" t="n"/>
      <c r="AT22" s="658" t="n"/>
      <c r="AU22" s="658" t="n"/>
    </row>
    <row r="23" ht="13.5" customHeight="1" s="7635">
      <c r="A23" s="88" t="n"/>
      <c r="B23" s="3269" t="inlineStr">
        <is>
          <t>6.</t>
        </is>
      </c>
      <c r="C23" s="3239" t="n"/>
      <c r="D23" s="3237">
        <f>"Enter any gain from your "&amp;TaxYear-1&amp;" Schedule D, line 15. If a loss, enter -0-"</f>
        <v/>
      </c>
      <c r="E23" s="3237" t="n"/>
      <c r="F23" s="3237" t="n"/>
      <c r="G23" s="3238" t="n"/>
      <c r="H23" s="3239" t="n"/>
      <c r="I23" s="3239" t="n"/>
      <c r="J23" s="3238" t="n"/>
      <c r="K23" s="3238" t="n"/>
      <c r="L23" s="3277" t="inlineStr">
        <is>
          <t xml:space="preserve"> .   .   .   .   .   .   .   .   .   .   .   .   .   .   .   .   .   . </t>
        </is>
      </c>
      <c r="M23" s="8373" t="inlineStr">
        <is>
          <t>6.</t>
        </is>
      </c>
      <c r="O23" s="2628">
        <f>IF(OR(NOT(X9),NOT(R21)),"",MAX(0,ROUND(R5,0),0))</f>
        <v/>
      </c>
      <c r="P23" s="8373" t="n"/>
      <c r="Q23" s="3274" t="n"/>
      <c r="R23" s="3238" t="n"/>
      <c r="S23" s="3275" t="n"/>
      <c r="T23" s="3225" t="n"/>
      <c r="U23" s="229" t="n"/>
      <c r="V23" s="229" t="n"/>
      <c r="AO23" s="11704" t="n"/>
      <c r="AP23" s="658" t="n"/>
      <c r="AQ23" s="658" t="n"/>
      <c r="AR23" s="658" t="n"/>
      <c r="AS23" s="658" t="n"/>
      <c r="AT23" s="658" t="n"/>
      <c r="AU23" s="658" t="n"/>
    </row>
    <row r="24">
      <c r="A24" s="88" t="n"/>
      <c r="B24" s="3269" t="inlineStr">
        <is>
          <t>7.</t>
        </is>
      </c>
      <c r="C24" s="8377" t="n"/>
      <c r="D24" s="3237" t="inlineStr">
        <is>
          <t>Add lines 4 and 6</t>
        </is>
      </c>
      <c r="E24" s="3237" t="n"/>
      <c r="F24" s="3237" t="n"/>
      <c r="G24" s="3238" t="n"/>
      <c r="H24" s="3239" t="n"/>
      <c r="I24" s="3239" t="n"/>
      <c r="J24" s="3238" t="n"/>
      <c r="K24" s="3238" t="n"/>
      <c r="L24" s="3238" t="n"/>
      <c r="M24" s="3238" t="n"/>
      <c r="N24" s="3238" t="n"/>
      <c r="O24" s="3277" t="inlineStr">
        <is>
          <t xml:space="preserve">.   .   .   .   .   .   .   .   .   .   .   .   .   .   .   .   .   .   .   .   .   .   .   .   .   .   .   .   .   .   .   .   .   .   .   .   .   .   .   .   .   .   .   .   .   .   .   .   </t>
        </is>
      </c>
      <c r="P24" s="3238" t="n"/>
      <c r="Q24" s="8377" t="inlineStr">
        <is>
          <t>7.</t>
        </is>
      </c>
      <c r="R24" s="2628">
        <f>IF(OR(NOT(X9),NOT(R21)),"",SUM(O20,O23))</f>
        <v/>
      </c>
      <c r="S24" s="3275" t="n"/>
      <c r="T24" s="3225" t="n"/>
      <c r="U24" s="8730" t="n"/>
      <c r="V24" s="229" t="n"/>
      <c r="AO24" s="11704" t="n"/>
      <c r="AP24" s="658" t="n"/>
      <c r="AQ24" s="658" t="n"/>
      <c r="AR24" s="658" t="n"/>
      <c r="AS24" s="658" t="n"/>
      <c r="AT24" s="658" t="n"/>
      <c r="AU24" s="658" t="n"/>
    </row>
    <row r="25" ht="14.25" customHeight="1" s="7635">
      <c r="A25" s="88" t="n"/>
      <c r="B25" s="3269" t="inlineStr">
        <is>
          <t>8.</t>
        </is>
      </c>
      <c r="C25" s="3239" t="n"/>
      <c r="D25" s="3246">
        <f>"Short-term capital loss carryover for "&amp;TaxYear&amp;". "</f>
        <v/>
      </c>
      <c r="E25" s="3237" t="n"/>
      <c r="F25" s="3237" t="n"/>
      <c r="G25" s="3238" t="n"/>
      <c r="H25" s="3237" t="inlineStr">
        <is>
          <t>Subtract line 7 from line 5. If zero or less, enter -0-.</t>
        </is>
      </c>
      <c r="I25" s="3239" t="n"/>
      <c r="J25" s="3238" t="n"/>
      <c r="K25" s="3238" t="n"/>
      <c r="L25" s="3238" t="n"/>
      <c r="M25" s="3238" t="n"/>
      <c r="N25" s="3238" t="n"/>
      <c r="O25" s="3238" t="n"/>
      <c r="P25" s="3238" t="n"/>
      <c r="Q25" s="3238" t="n"/>
      <c r="R25" s="3238" t="n"/>
      <c r="S25" s="3275" t="n"/>
      <c r="T25" s="3225" t="n"/>
      <c r="U25" s="8885" t="n"/>
      <c r="V25" s="228" t="n"/>
      <c r="AO25" s="11704" t="n"/>
      <c r="AP25" s="658" t="n"/>
      <c r="AQ25" s="658" t="n"/>
      <c r="AR25" s="658" t="n"/>
      <c r="AS25" s="658" t="n"/>
      <c r="AT25" s="658" t="n"/>
      <c r="AU25" s="658" t="n"/>
    </row>
    <row r="26" ht="13.5" customHeight="1" s="7635">
      <c r="A26" s="88" t="n"/>
      <c r="B26" s="3236" t="n"/>
      <c r="C26" s="3239" t="n"/>
      <c r="D26" s="3237" t="inlineStr">
        <is>
          <t xml:space="preserve"> If more than zero, also enter this amount on Schedule D, line 6</t>
        </is>
      </c>
      <c r="E26" s="3237" t="n"/>
      <c r="F26" s="3237" t="n"/>
      <c r="G26" s="3238" t="n"/>
      <c r="H26" s="3239" t="n"/>
      <c r="I26" s="3239" t="n"/>
      <c r="J26" s="3238" t="n"/>
      <c r="K26" s="3238" t="n"/>
      <c r="L26" s="3238" t="n"/>
      <c r="M26" s="3238" t="n"/>
      <c r="N26" s="3238" t="n"/>
      <c r="O26" s="3277" t="inlineStr">
        <is>
          <t xml:space="preserve">.   .   .   .   .   .   .   .   .   .   .   .   .   .   .   .   .   .   .   .   .   .   .   .   .   .   .   .   .   </t>
        </is>
      </c>
      <c r="P26" s="3238" t="n"/>
      <c r="Q26" s="8377" t="inlineStr">
        <is>
          <t>8.</t>
        </is>
      </c>
      <c r="R26" s="2628">
        <f>IF(OR(NOT(X9),NOT(R21)),"",MAX(0,SUM(R22,-R24)))</f>
        <v/>
      </c>
      <c r="S26" s="3275" t="n"/>
      <c r="T26" s="3225" t="n"/>
      <c r="U26" s="229" t="n"/>
      <c r="V26" s="1879" t="n"/>
      <c r="AO26" s="11704" t="n"/>
      <c r="AP26" s="658" t="n"/>
      <c r="AQ26" s="658" t="n"/>
      <c r="AR26" s="658" t="n"/>
      <c r="AS26" s="658" t="n"/>
      <c r="AT26" s="658" t="n"/>
      <c r="AU26" s="658" t="n"/>
    </row>
    <row r="27">
      <c r="A27" s="88" t="n"/>
      <c r="B27" s="3269" t="n"/>
      <c r="C27" s="8377" t="n"/>
      <c r="D27" s="3246">
        <f>"If line 15 of your "&amp;TaxYear-1&amp;" Schedule D is a loss, go to line 9; otherwise, skip lines 9 through 13."</f>
        <v/>
      </c>
      <c r="E27" s="3271" t="n"/>
      <c r="F27" s="3237" t="n"/>
      <c r="G27" s="3238" t="n"/>
      <c r="H27" s="3239" t="n"/>
      <c r="I27" s="3239" t="n"/>
      <c r="J27" s="3238" t="n"/>
      <c r="K27" s="3238" t="n"/>
      <c r="L27" s="3238" t="n"/>
      <c r="M27" s="8378" t="n"/>
      <c r="N27" s="8378" t="n"/>
      <c r="O27" s="3280">
        <f>IF(OR(NOT($X$9),R27),"","Skip lines 9 thru 13.")</f>
        <v/>
      </c>
      <c r="P27" s="8378" t="n"/>
      <c r="Q27" s="3274" t="n"/>
      <c r="R27" s="3281">
        <f>IF(R5&lt;0,TRUE,FALSE)</f>
        <v/>
      </c>
      <c r="S27" s="3275" t="n"/>
      <c r="T27" s="3225" t="n"/>
      <c r="U27" s="8885" t="n"/>
      <c r="V27" s="229" t="n"/>
      <c r="AO27" s="11704" t="n"/>
      <c r="AP27" s="658" t="n"/>
      <c r="AQ27" s="658" t="n"/>
      <c r="AR27" s="658" t="n"/>
      <c r="AS27" s="658" t="n"/>
      <c r="AT27" s="658" t="n"/>
      <c r="AU27" s="658" t="n"/>
    </row>
    <row r="28">
      <c r="A28" s="88" t="n"/>
      <c r="B28" s="3269" t="inlineStr">
        <is>
          <t>9.</t>
        </is>
      </c>
      <c r="C28" s="8377" t="n"/>
      <c r="D28" s="3237">
        <f>"Enter the loss from your "&amp;TaxYear-1&amp;" Schedule D, line 15, as a positive amount"</f>
        <v/>
      </c>
      <c r="E28" s="3237" t="n"/>
      <c r="F28" s="3237" t="n"/>
      <c r="G28" s="3238" t="n"/>
      <c r="H28" s="3239" t="n"/>
      <c r="I28" s="3239" t="n"/>
      <c r="J28" s="3238" t="n"/>
      <c r="K28" s="3238" t="n"/>
      <c r="L28" s="3238" t="n"/>
      <c r="M28" s="3238" t="n"/>
      <c r="N28" s="3238" t="n"/>
      <c r="O28" s="3277" t="inlineStr">
        <is>
          <t xml:space="preserve">.   .   .   .   .   .   .   .   .   .   .   .   .   .   .   .   .   .   .   .   .   .   .   .   .   </t>
        </is>
      </c>
      <c r="P28" s="3238" t="n"/>
      <c r="Q28" s="8377" t="inlineStr">
        <is>
          <t>9.</t>
        </is>
      </c>
      <c r="R28" s="2628">
        <f>IF(OR(NOT(X9),NOT(R27)),"",IF(ROUND(R5,0)&lt;0,-ROUND(R5,0),0))</f>
        <v/>
      </c>
      <c r="S28" s="3275" t="n"/>
      <c r="T28" s="3225" t="n"/>
      <c r="U28" s="8730" t="n"/>
      <c r="V28" s="229" t="n"/>
      <c r="AO28" s="11704" t="n"/>
      <c r="AP28" s="658" t="n"/>
      <c r="AQ28" s="658" t="n"/>
      <c r="AR28" s="658" t="n"/>
      <c r="AS28" s="658" t="n"/>
      <c r="AT28" s="658" t="n"/>
      <c r="AU28" s="658" t="n"/>
    </row>
    <row r="29" ht="13.5" customHeight="1" s="7635">
      <c r="A29" s="88" t="n"/>
      <c r="B29" s="3269" t="inlineStr">
        <is>
          <t>10.</t>
        </is>
      </c>
      <c r="C29" s="3239" t="n"/>
      <c r="D29" s="3237">
        <f>"Enter any gain from your "&amp;TaxYear-1&amp;" Schedule D, line 7. If a loss, enter -0-"</f>
        <v/>
      </c>
      <c r="E29" s="3237" t="n"/>
      <c r="F29" s="3237" t="n"/>
      <c r="G29" s="3238" t="n"/>
      <c r="H29" s="3239" t="n"/>
      <c r="I29" s="3239" t="n"/>
      <c r="J29" s="3238" t="n"/>
      <c r="K29" s="3238" t="n"/>
      <c r="L29" s="3277" t="inlineStr">
        <is>
          <t xml:space="preserve"> .   .   .   .   .   .   .   .   .   .   .   .   .   .   .   .   .   . </t>
        </is>
      </c>
      <c r="M29" s="8373" t="inlineStr">
        <is>
          <t>10.</t>
        </is>
      </c>
      <c r="O29" s="2628">
        <f>IF(OR(NOT(X9),NOT(R27)),"",MAX(0,ROUND(R4,0)))</f>
        <v/>
      </c>
      <c r="P29" s="8373" t="n"/>
      <c r="Q29" s="3274" t="n"/>
      <c r="R29" s="3238" t="n"/>
      <c r="S29" s="3275" t="n"/>
      <c r="T29" s="3225" t="n"/>
      <c r="U29" s="229" t="n"/>
      <c r="V29" s="1879" t="n"/>
      <c r="AO29" s="11704" t="n"/>
      <c r="AP29" s="658" t="n"/>
      <c r="AQ29" s="658" t="n"/>
      <c r="AR29" s="658" t="n"/>
      <c r="AS29" s="658" t="n"/>
      <c r="AT29" s="658" t="n"/>
      <c r="AU29" s="658" t="n"/>
    </row>
    <row r="30" ht="13.5" customHeight="1" s="7635">
      <c r="A30" s="88" t="n"/>
      <c r="B30" s="3269" t="inlineStr">
        <is>
          <t>11.</t>
        </is>
      </c>
      <c r="C30" s="3239" t="n"/>
      <c r="D30" s="3237" t="inlineStr">
        <is>
          <t>Subtract line 5 from line 4. If zero or less, enter -0-</t>
        </is>
      </c>
      <c r="E30" s="3237" t="n"/>
      <c r="F30" s="3237" t="n"/>
      <c r="G30" s="3238" t="n"/>
      <c r="H30" s="3239" t="n"/>
      <c r="I30" s="3239" t="n"/>
      <c r="J30" s="3238" t="n"/>
      <c r="K30" s="3238" t="n"/>
      <c r="L30" s="3277" t="inlineStr">
        <is>
          <t xml:space="preserve">.   .   .   .   .   .   .   .   .   .   .   .   .   .   .   .   .   .   .   .   .   .   .   .   .   . </t>
        </is>
      </c>
      <c r="M30" s="8373" t="inlineStr">
        <is>
          <t>11.</t>
        </is>
      </c>
      <c r="O30" s="2628">
        <f>IF(OR(NOT(X9),NOT(R27)),"",MAX(0,SUM(O20,-R22)))</f>
        <v/>
      </c>
      <c r="P30" s="8373" t="n"/>
      <c r="Q30" s="3274" t="n"/>
      <c r="R30" s="3238" t="n"/>
      <c r="S30" s="3275" t="n"/>
      <c r="T30" s="3225" t="n"/>
      <c r="U30" s="229" t="n"/>
      <c r="V30" s="229" t="n"/>
      <c r="AO30" s="11704" t="n"/>
      <c r="AP30" s="658" t="n"/>
      <c r="AQ30" s="658" t="n"/>
      <c r="AR30" s="658" t="n"/>
      <c r="AS30" s="658" t="n"/>
      <c r="AT30" s="658" t="n"/>
      <c r="AU30" s="658" t="n"/>
    </row>
    <row r="31">
      <c r="A31" s="88" t="n"/>
      <c r="B31" s="3269" t="inlineStr">
        <is>
          <t>12.</t>
        </is>
      </c>
      <c r="C31" s="8377" t="n"/>
      <c r="D31" s="3237" t="inlineStr">
        <is>
          <t>Add lines 10 and 11</t>
        </is>
      </c>
      <c r="E31" s="3237" t="n"/>
      <c r="F31" s="3237" t="n"/>
      <c r="G31" s="3238" t="n"/>
      <c r="H31" s="3239" t="n"/>
      <c r="I31" s="3239" t="n"/>
      <c r="J31" s="3238" t="n"/>
      <c r="K31" s="3238" t="n"/>
      <c r="L31" s="3238" t="n"/>
      <c r="M31" s="3238" t="n"/>
      <c r="N31" s="3238" t="n"/>
      <c r="O31" s="3277" t="inlineStr">
        <is>
          <t xml:space="preserve">.   .   .   .   .   .   .   .   .   .   .   .   .   .   .   .   .   .   .   .   .   .   .   .   .   .   .   .   .   .   .   .   .   .   .   .   .   .   .   .   .   .   .   .   .   .   </t>
        </is>
      </c>
      <c r="P31" s="3238" t="n"/>
      <c r="Q31" s="8377" t="inlineStr">
        <is>
          <t>12.</t>
        </is>
      </c>
      <c r="R31" s="2628">
        <f>IF(OR(NOT(X9),NOT(R27)),"",SUM(O29,O30))</f>
        <v/>
      </c>
      <c r="S31" s="3275" t="n"/>
      <c r="T31" s="3225" t="n"/>
      <c r="U31" s="8730" t="n"/>
      <c r="V31" s="229" t="n"/>
      <c r="AO31" s="11704" t="n"/>
      <c r="AP31" s="658" t="n"/>
      <c r="AQ31" s="658" t="n"/>
      <c r="AR31" s="658" t="n"/>
      <c r="AS31" s="658" t="n"/>
      <c r="AT31" s="658" t="n"/>
      <c r="AU31" s="658" t="n"/>
    </row>
    <row r="32" ht="14.25" customHeight="1" s="7635">
      <c r="A32" s="88" t="n"/>
      <c r="B32" s="3269" t="inlineStr">
        <is>
          <t>13.</t>
        </is>
      </c>
      <c r="C32" s="3239" t="n"/>
      <c r="D32" s="3246">
        <f>"Long-term capital loss carryover for "&amp;TaxYear&amp;". "</f>
        <v/>
      </c>
      <c r="E32" s="3237" t="n"/>
      <c r="F32" s="3237" t="n"/>
      <c r="G32" s="3238" t="n"/>
      <c r="H32" s="3237" t="inlineStr">
        <is>
          <t>Subtract line 12 from line 9. If zero or less, enter -0-.</t>
        </is>
      </c>
      <c r="I32" s="3239" t="n"/>
      <c r="J32" s="3238" t="n"/>
      <c r="K32" s="3238" t="n"/>
      <c r="L32" s="3238" t="n"/>
      <c r="M32" s="3238" t="n"/>
      <c r="N32" s="3238" t="n"/>
      <c r="O32" s="3238" t="n"/>
      <c r="P32" s="3238" t="n"/>
      <c r="Q32" s="3238" t="n"/>
      <c r="R32" s="3238" t="n"/>
      <c r="S32" s="3275" t="n"/>
      <c r="T32" s="3225" t="n"/>
      <c r="U32" s="8885" t="n"/>
      <c r="V32" s="228" t="n"/>
      <c r="AO32" s="11704" t="n"/>
      <c r="AP32" s="658" t="n"/>
      <c r="AQ32" s="658" t="n"/>
      <c r="AR32" s="658" t="n"/>
      <c r="AS32" s="658" t="n"/>
      <c r="AT32" s="658" t="n"/>
      <c r="AU32" s="658" t="n"/>
    </row>
    <row r="33" ht="13.5" customHeight="1" s="7635">
      <c r="A33" s="88" t="n"/>
      <c r="B33" s="3236" t="n"/>
      <c r="C33" s="3239" t="n"/>
      <c r="D33" s="3237" t="inlineStr">
        <is>
          <t xml:space="preserve"> If more than zero, also enter this amount on Schedule D, line 14</t>
        </is>
      </c>
      <c r="E33" s="3237" t="n"/>
      <c r="F33" s="3237" t="n"/>
      <c r="G33" s="3238" t="n"/>
      <c r="H33" s="3239" t="n"/>
      <c r="I33" s="3239" t="n"/>
      <c r="J33" s="3238" t="n"/>
      <c r="K33" s="3238" t="n"/>
      <c r="L33" s="3238" t="n"/>
      <c r="M33" s="3238" t="n"/>
      <c r="N33" s="3238" t="n"/>
      <c r="O33" s="3277" t="inlineStr">
        <is>
          <t xml:space="preserve">.   .   .   .   .   .   .   .   .   .   .   .   .   .   .   .   .   .   .   .   .   .   .   .   .   .   .   .   </t>
        </is>
      </c>
      <c r="P33" s="3238" t="n"/>
      <c r="Q33" s="8377" t="inlineStr">
        <is>
          <t>13.</t>
        </is>
      </c>
      <c r="R33" s="2628">
        <f>IF(OR(NOT(X9),NOT(R27)),"",MAX(0,SUM(R28,-R31)))</f>
        <v/>
      </c>
      <c r="S33" s="3275" t="n"/>
      <c r="T33" s="3225" t="n"/>
      <c r="U33" s="229" t="n"/>
      <c r="V33" s="1879" t="n"/>
      <c r="AO33" s="11704" t="n"/>
      <c r="AP33" s="658" t="n"/>
      <c r="AQ33" s="658" t="n"/>
      <c r="AR33" s="658" t="n"/>
      <c r="AS33" s="658" t="n"/>
      <c r="AT33" s="658" t="n"/>
      <c r="AU33" s="658" t="n"/>
    </row>
    <row r="34">
      <c r="A34" s="88" t="n"/>
      <c r="B34" s="3282" t="n"/>
      <c r="C34" s="3283" t="n"/>
      <c r="D34" s="3283" t="n"/>
      <c r="E34" s="3283" t="n"/>
      <c r="F34" s="3283" t="n"/>
      <c r="G34" s="3283" t="n"/>
      <c r="H34" s="3283" t="n"/>
      <c r="I34" s="3283" t="n"/>
      <c r="J34" s="3283" t="n"/>
      <c r="K34" s="3283" t="n"/>
      <c r="L34" s="3283" t="n"/>
      <c r="M34" s="3283" t="n"/>
      <c r="N34" s="3283" t="n"/>
      <c r="O34" s="3283" t="n"/>
      <c r="P34" s="3283" t="n"/>
      <c r="Q34" s="3283" t="n"/>
      <c r="R34" s="3283" t="n"/>
      <c r="S34" s="3284" t="n"/>
      <c r="T34" s="3225" t="n"/>
      <c r="U34" s="229" t="n"/>
      <c r="V34" s="229" t="n"/>
      <c r="AO34" s="11704" t="n"/>
      <c r="AP34" s="658" t="n"/>
      <c r="AQ34" s="658" t="n"/>
      <c r="AR34" s="658" t="n"/>
      <c r="AS34" s="658" t="n"/>
      <c r="AT34" s="658" t="n"/>
      <c r="AU34" s="658" t="n"/>
    </row>
    <row r="35" ht="50.25" customHeight="1" s="7635">
      <c r="A35" s="88" t="n"/>
      <c r="B35" s="3285" t="n"/>
      <c r="C35" s="3285" t="n"/>
      <c r="D35" s="3285" t="inlineStr">
        <is>
          <t>28% Rate Gain Worksheet — Line 18</t>
        </is>
      </c>
      <c r="E35" s="3285" t="n"/>
      <c r="F35" s="3285" t="n"/>
      <c r="G35" s="3286" t="n"/>
      <c r="H35" s="3107" t="n"/>
      <c r="I35" s="3107" t="n"/>
      <c r="J35" s="3286" t="n"/>
      <c r="K35" s="3286" t="n"/>
      <c r="L35" s="3286" t="n"/>
      <c r="M35" s="3287" t="n"/>
      <c r="N35" s="3287" t="n"/>
      <c r="O35" s="3287" t="n"/>
      <c r="P35" s="3287" t="n"/>
      <c r="Q35" s="3288">
        <f>IF('Table of Contents'!A37="D","DRAFT Instructions","Keep for Your Records")</f>
        <v/>
      </c>
      <c r="R35" s="3287" t="n"/>
      <c r="S35" s="3289" t="n"/>
      <c r="T35" s="3227" t="n"/>
      <c r="U35" s="3224" t="n"/>
      <c r="V35" s="229" t="n"/>
      <c r="AO35" s="11704" t="n"/>
      <c r="AP35" s="658" t="n"/>
      <c r="AQ35" s="658" t="n"/>
      <c r="AR35" s="658" t="n"/>
      <c r="AS35" s="658" t="n"/>
      <c r="AT35" s="658" t="n"/>
      <c r="AU35" s="658" t="n"/>
    </row>
    <row r="36" ht="13.5" customHeight="1" s="7635">
      <c r="A36" s="88" t="n"/>
      <c r="B36" s="3236" t="n"/>
      <c r="C36" s="3239" t="n"/>
      <c r="D36" s="3237" t="n"/>
      <c r="E36" s="3237" t="n"/>
      <c r="F36" s="3237" t="n"/>
      <c r="G36" s="3238" t="n"/>
      <c r="H36" s="3239" t="n"/>
      <c r="I36" s="3239" t="n"/>
      <c r="J36" s="3238" t="n"/>
      <c r="K36" s="3238" t="n"/>
      <c r="L36" s="3238" t="n"/>
      <c r="M36" s="3238" t="n"/>
      <c r="N36" s="3238" t="n"/>
      <c r="O36" s="3238" t="n"/>
      <c r="P36" s="3238" t="n"/>
      <c r="Q36" s="3238" t="n"/>
      <c r="R36" s="3238" t="n"/>
      <c r="S36" s="3240" t="n"/>
      <c r="T36" s="3225" t="n"/>
      <c r="U36" s="229" t="n"/>
      <c r="V36" s="228" t="n"/>
      <c r="AO36" s="11704" t="n"/>
      <c r="AP36" s="658" t="n"/>
      <c r="AQ36" s="658" t="n"/>
      <c r="AR36" s="658" t="n"/>
      <c r="AS36" s="658" t="n"/>
      <c r="AT36" s="658" t="n"/>
      <c r="AU36" s="658" t="n"/>
    </row>
    <row r="37" ht="14.25" customHeight="1" s="7635">
      <c r="A37" s="88" t="n"/>
      <c r="B37" s="3269" t="inlineStr">
        <is>
          <t>1.</t>
        </is>
      </c>
      <c r="C37" s="3239" t="n"/>
      <c r="D37" s="3237" t="inlineStr">
        <is>
          <t>Enter the total of all collectibles gain or (loss) from items you reported on Form 8949, Part II    .   .   .   .   .   .   .   .</t>
        </is>
      </c>
      <c r="E37" s="3237" t="n"/>
      <c r="F37" s="3237" t="n"/>
      <c r="G37" s="3238" t="n"/>
      <c r="H37" s="3239" t="n"/>
      <c r="I37" s="3239" t="n"/>
      <c r="J37" s="3238" t="n"/>
      <c r="K37" s="3238" t="n"/>
      <c r="L37" s="3238" t="n"/>
      <c r="M37" s="8377" t="inlineStr">
        <is>
          <t>1.</t>
        </is>
      </c>
      <c r="O37" s="8797" t="n"/>
      <c r="P37" s="8377" t="n"/>
      <c r="Q37" s="3274" t="n"/>
      <c r="R37" s="3238" t="n"/>
      <c r="S37" s="3275" t="n"/>
      <c r="T37" s="3225" t="n"/>
      <c r="U37" s="8885" t="n"/>
      <c r="V37" s="228" t="n"/>
      <c r="AO37" s="11704" t="n"/>
      <c r="AP37" s="658" t="n"/>
      <c r="AQ37" s="658" t="n"/>
      <c r="AR37" s="658" t="n"/>
      <c r="AS37" s="658" t="n"/>
      <c r="AT37" s="658" t="n"/>
      <c r="AU37" s="658" t="n"/>
    </row>
    <row r="38">
      <c r="A38" s="88" t="n"/>
      <c r="B38" s="3269" t="inlineStr">
        <is>
          <t>2.</t>
        </is>
      </c>
      <c r="C38" s="8377" t="n"/>
      <c r="D38" s="3237" t="inlineStr">
        <is>
          <t>Enter as a positive number the total of:</t>
        </is>
      </c>
      <c r="E38" s="3237" t="n"/>
      <c r="F38" s="3237" t="n"/>
      <c r="G38" s="3238" t="n"/>
      <c r="H38" s="3239" t="n"/>
      <c r="I38" s="3239" t="n"/>
      <c r="J38" s="3238" t="n"/>
      <c r="K38" s="3238" t="n"/>
      <c r="L38" s="3238" t="n"/>
      <c r="M38" s="8378" t="n"/>
      <c r="N38" s="8378" t="n"/>
      <c r="O38" s="3273" t="n"/>
      <c r="P38" s="8378" t="n"/>
      <c r="Q38" s="3274" t="n"/>
      <c r="R38" s="3238" t="n"/>
      <c r="S38" s="3275" t="n"/>
      <c r="T38" s="3225" t="n"/>
      <c r="U38" s="8885" t="n"/>
      <c r="V38" s="228" t="n"/>
      <c r="AO38" s="11704" t="n"/>
      <c r="AP38" s="658" t="n"/>
      <c r="AQ38" s="658" t="n"/>
      <c r="AR38" s="658" t="n"/>
      <c r="AS38" s="658" t="n"/>
      <c r="AT38" s="658" t="n"/>
      <c r="AU38" s="658" t="n"/>
    </row>
    <row r="39">
      <c r="A39" s="88" t="n"/>
      <c r="B39" s="3269" t="n"/>
      <c r="C39" s="8377" t="n"/>
      <c r="D39" s="3290" t="inlineStr">
        <is>
          <t xml:space="preserve">l </t>
        </is>
      </c>
      <c r="E39" s="3237" t="inlineStr">
        <is>
          <t>Any section 1202 exclusion you reported in column (g) of Form 8949,</t>
        </is>
      </c>
      <c r="F39" s="3237" t="n"/>
      <c r="G39" s="3238" t="n"/>
      <c r="H39" s="3239" t="n"/>
      <c r="I39" s="3239" t="n"/>
      <c r="J39" s="3238" t="n"/>
      <c r="K39" s="3238" t="n"/>
      <c r="L39" s="3238" t="n"/>
      <c r="M39" s="8378" t="n"/>
      <c r="N39" s="8378" t="n"/>
      <c r="O39" s="3273" t="n"/>
      <c r="P39" s="8378" t="n"/>
      <c r="Q39" s="3274" t="n"/>
      <c r="R39" s="3238" t="n"/>
      <c r="S39" s="3275" t="n"/>
      <c r="T39" s="3225" t="n"/>
      <c r="U39" s="8885" t="n"/>
      <c r="V39" s="228" t="n"/>
      <c r="AO39" s="11704" t="n"/>
      <c r="AP39" s="658" t="n"/>
      <c r="AQ39" s="658" t="n"/>
      <c r="AR39" s="658" t="n"/>
      <c r="AS39" s="658" t="n"/>
      <c r="AT39" s="658" t="n"/>
      <c r="AU39" s="658" t="n"/>
    </row>
    <row r="40">
      <c r="A40" s="88" t="n"/>
      <c r="B40" s="3269" t="n"/>
      <c r="C40" s="8377" t="n"/>
      <c r="D40" s="3271" t="n"/>
      <c r="E40" s="3237" t="inlineStr">
        <is>
          <t>Part II, with code “Q” in column (f), that is 50% of the gain;</t>
        </is>
      </c>
      <c r="F40" s="3237" t="n"/>
      <c r="G40" s="3238" t="n"/>
      <c r="H40" s="3239" t="n"/>
      <c r="I40" s="3239" t="n"/>
      <c r="J40" s="3238" t="n"/>
      <c r="K40" s="3238" t="n"/>
      <c r="L40" s="3238" t="n"/>
      <c r="M40" s="8378" t="n"/>
      <c r="N40" s="8378" t="n"/>
      <c r="O40" s="3273" t="n"/>
      <c r="P40" s="8378" t="n"/>
      <c r="Q40" s="3274" t="n"/>
      <c r="R40" s="3238" t="n"/>
      <c r="S40" s="3275" t="n"/>
      <c r="T40" s="3225" t="n"/>
      <c r="U40" s="8885" t="n"/>
      <c r="V40" s="228" t="n"/>
      <c r="AO40" s="11704" t="n"/>
      <c r="AP40" s="658" t="n"/>
      <c r="AQ40" s="658" t="n"/>
      <c r="AR40" s="658" t="n"/>
      <c r="AS40" s="658" t="n"/>
      <c r="AT40" s="658" t="n"/>
      <c r="AU40" s="658" t="n"/>
    </row>
    <row r="41">
      <c r="A41" s="88" t="n"/>
      <c r="B41" s="3269" t="n"/>
      <c r="C41" s="8377" t="n"/>
      <c r="D41" s="3290" t="inlineStr">
        <is>
          <t xml:space="preserve">l </t>
        </is>
      </c>
      <c r="E41" s="3237" t="inlineStr">
        <is>
          <t>2/3 of any section 1202 exclusion you reported in column (g) of Form</t>
        </is>
      </c>
      <c r="F41" s="3237" t="n"/>
      <c r="G41" s="3238" t="n"/>
      <c r="H41" s="3239" t="n"/>
      <c r="I41" s="3239" t="n"/>
      <c r="J41" s="3238" t="n"/>
      <c r="K41" s="3238" t="n"/>
      <c r="L41" s="3291" t="inlineStr">
        <is>
          <t>.   .   .   .   .   .   .   .</t>
        </is>
      </c>
      <c r="M41" s="8378">
        <f>B38</f>
        <v/>
      </c>
      <c r="O41" s="8797" t="n"/>
      <c r="P41" s="8378" t="n"/>
      <c r="Q41" s="3274" t="n"/>
      <c r="R41" s="3238" t="n"/>
      <c r="S41" s="3275" t="n"/>
      <c r="T41" s="3225" t="n"/>
      <c r="U41" s="8885" t="n"/>
      <c r="V41" s="228" t="n"/>
      <c r="AO41" s="11704" t="n"/>
      <c r="AP41" s="658" t="n"/>
      <c r="AQ41" s="658" t="n"/>
      <c r="AR41" s="658" t="n"/>
      <c r="AS41" s="658" t="n"/>
      <c r="AT41" s="658" t="n"/>
      <c r="AU41" s="658" t="n"/>
    </row>
    <row r="42">
      <c r="A42" s="88" t="n"/>
      <c r="B42" s="3269" t="n"/>
      <c r="C42" s="8377" t="n"/>
      <c r="D42" s="3271" t="n"/>
      <c r="E42" s="3237" t="inlineStr">
        <is>
          <t>8949, Part II, with code “Q” in column (f), that is 60% of the gain; and</t>
        </is>
      </c>
      <c r="F42" s="3237" t="n"/>
      <c r="G42" s="3238" t="n"/>
      <c r="H42" s="3239" t="n"/>
      <c r="I42" s="3239" t="n"/>
      <c r="J42" s="3238" t="n"/>
      <c r="K42" s="3238" t="n"/>
      <c r="L42" s="3238" t="n"/>
      <c r="M42" s="8378" t="n"/>
      <c r="N42" s="8378" t="n"/>
      <c r="O42" s="3273" t="n"/>
      <c r="P42" s="8378" t="n"/>
      <c r="Q42" s="3274" t="n"/>
      <c r="R42" s="3238" t="n"/>
      <c r="S42" s="3275" t="n"/>
      <c r="T42" s="3225" t="n"/>
      <c r="U42" s="8885" t="n"/>
      <c r="V42" s="228" t="n"/>
      <c r="AO42" s="11704" t="n"/>
      <c r="AP42" s="658" t="n"/>
      <c r="AQ42" s="658" t="n"/>
      <c r="AR42" s="658" t="n"/>
      <c r="AS42" s="658" t="n"/>
      <c r="AT42" s="658" t="n"/>
      <c r="AU42" s="658" t="n"/>
    </row>
    <row r="43">
      <c r="A43" s="88" t="n"/>
      <c r="B43" s="3269" t="n"/>
      <c r="C43" s="8377" t="n"/>
      <c r="D43" s="3290" t="inlineStr">
        <is>
          <t xml:space="preserve">l </t>
        </is>
      </c>
      <c r="E43" s="3237" t="inlineStr">
        <is>
          <t>1/3 of any section 1202 exclusion you reported in column (g) of Form</t>
        </is>
      </c>
      <c r="F43" s="3237" t="n"/>
      <c r="G43" s="3238" t="n"/>
      <c r="H43" s="3239" t="n"/>
      <c r="I43" s="3239" t="n"/>
      <c r="J43" s="3238" t="n"/>
      <c r="K43" s="3238" t="n"/>
      <c r="L43" s="3238" t="n"/>
      <c r="M43" s="8378" t="n"/>
      <c r="N43" s="8378" t="n"/>
      <c r="O43" s="3273" t="n"/>
      <c r="P43" s="8378" t="n"/>
      <c r="Q43" s="3274" t="n"/>
      <c r="R43" s="3238" t="n"/>
      <c r="S43" s="3275" t="n"/>
      <c r="T43" s="3225" t="n"/>
      <c r="U43" s="8730" t="n"/>
      <c r="V43" s="228" t="n"/>
      <c r="AO43" s="11704" t="n"/>
      <c r="AP43" s="658" t="n"/>
      <c r="AQ43" s="658" t="n"/>
      <c r="AR43" s="658" t="n"/>
      <c r="AS43" s="658" t="n"/>
      <c r="AT43" s="658" t="n"/>
      <c r="AU43" s="658" t="n"/>
    </row>
    <row r="44">
      <c r="A44" s="88" t="n"/>
      <c r="B44" s="3236" t="n"/>
      <c r="C44" s="3239" t="n"/>
      <c r="D44" s="3239" t="n"/>
      <c r="E44" s="3237" t="inlineStr">
        <is>
          <t>8949, Part II, with code “Q” in column (f), that is 75% of the gain.</t>
        </is>
      </c>
      <c r="F44" s="3237" t="n"/>
      <c r="G44" s="3238" t="n"/>
      <c r="H44" s="3239" t="n"/>
      <c r="I44" s="3239" t="n"/>
      <c r="J44" s="3238" t="n"/>
      <c r="K44" s="3238" t="n"/>
      <c r="L44" s="3238" t="n"/>
      <c r="M44" s="8378" t="n"/>
      <c r="N44" s="8378" t="n"/>
      <c r="O44" s="461" t="n"/>
      <c r="P44" s="8378" t="n"/>
      <c r="Q44" s="3274" t="n"/>
      <c r="R44" s="3238" t="n"/>
      <c r="S44" s="3275" t="n"/>
      <c r="T44" s="3225" t="n"/>
      <c r="U44" s="8730" t="n"/>
      <c r="V44" s="2975" t="n"/>
      <c r="AO44" s="11704" t="n"/>
      <c r="AP44" s="658" t="n"/>
      <c r="AQ44" s="658" t="n"/>
      <c r="AR44" s="658" t="n"/>
      <c r="AS44" s="658" t="n"/>
      <c r="AT44" s="658" t="n"/>
      <c r="AU44" s="658" t="n"/>
    </row>
    <row r="45">
      <c r="A45" s="88" t="n"/>
      <c r="B45" s="3236" t="n"/>
      <c r="C45" s="3239" t="n"/>
      <c r="D45" s="3239" t="n"/>
      <c r="E45" s="3237" t="inlineStr">
        <is>
          <t>Don't make an entry for any section 1202 exclusion that is 100% of the gain.</t>
        </is>
      </c>
      <c r="F45" s="3237" t="n"/>
      <c r="G45" s="3238" t="n"/>
      <c r="H45" s="3239" t="n"/>
      <c r="I45" s="3239" t="n"/>
      <c r="J45" s="3238" t="n"/>
      <c r="K45" s="3238" t="n"/>
      <c r="L45" s="3238" t="n"/>
      <c r="M45" s="8378" t="n"/>
      <c r="N45" s="8378" t="n"/>
      <c r="O45" s="461" t="n"/>
      <c r="P45" s="8378" t="n"/>
      <c r="Q45" s="3274" t="n"/>
      <c r="R45" s="3238" t="n"/>
      <c r="S45" s="3275" t="n"/>
      <c r="T45" s="3225" t="n"/>
      <c r="U45" s="8730" t="n"/>
      <c r="V45" s="229" t="n"/>
      <c r="AO45" s="11704" t="n"/>
      <c r="AP45" s="658" t="n"/>
      <c r="AQ45" s="658" t="n"/>
      <c r="AR45" s="658" t="n"/>
      <c r="AS45" s="658" t="n"/>
      <c r="AT45" s="658" t="n"/>
      <c r="AU45" s="658" t="n"/>
    </row>
    <row r="46">
      <c r="A46" s="88" t="n"/>
      <c r="B46" s="3269" t="inlineStr">
        <is>
          <t>3.</t>
        </is>
      </c>
      <c r="C46" s="8377" t="n"/>
      <c r="D46" s="3237" t="inlineStr">
        <is>
          <t>Enter the total of all collectibles gain or (loss) from Form 4684, line 4 (but only if Form 4684, line 15, is more than zero);</t>
        </is>
      </c>
      <c r="E46" s="3237" t="n"/>
      <c r="F46" s="3237" t="n"/>
      <c r="G46" s="3238" t="n"/>
      <c r="H46" s="3239" t="n"/>
      <c r="I46" s="3239" t="n"/>
      <c r="J46" s="3238" t="n"/>
      <c r="K46" s="3238" t="n"/>
      <c r="L46" s="3238" t="n"/>
      <c r="M46" s="8378" t="n"/>
      <c r="N46" s="8378" t="n"/>
      <c r="O46" s="3273" t="n"/>
      <c r="P46" s="8378" t="n"/>
      <c r="Q46" s="3274" t="n"/>
      <c r="R46" s="8797">
        <f>'1099-DIV'!H98</f>
        <v/>
      </c>
      <c r="S46" s="3275" t="n"/>
      <c r="T46" s="3225" t="n"/>
      <c r="U46" s="2497">
        <f>E49</f>
        <v/>
      </c>
      <c r="V46" s="229" t="n"/>
      <c r="AO46" s="11704" t="n"/>
      <c r="AP46" s="658" t="n"/>
      <c r="AQ46" s="658" t="n"/>
      <c r="AR46" s="658" t="n"/>
      <c r="AS46" s="658" t="n"/>
      <c r="AT46" s="658" t="n"/>
      <c r="AU46" s="658" t="n"/>
    </row>
    <row r="47" ht="13.5" customHeight="1" s="7635">
      <c r="A47" s="88" t="n"/>
      <c r="B47" s="3236" t="n"/>
      <c r="C47" s="3239" t="n"/>
      <c r="D47" s="3237" t="inlineStr">
        <is>
          <t xml:space="preserve">Form 6252; Form 6781, Part II; and Form 8824  .   .   .   .   .   .   .   .   .   .   .   .   .   .   .   .   .   .   .   .   .   .   .   .   .   </t>
        </is>
      </c>
      <c r="E47" s="3237" t="n"/>
      <c r="F47" s="3237" t="n"/>
      <c r="G47" s="3238" t="n"/>
      <c r="H47" s="3239" t="n"/>
      <c r="I47" s="3239" t="n"/>
      <c r="J47" s="3238" t="n"/>
      <c r="K47" s="3238" t="n"/>
      <c r="L47" s="3238" t="n"/>
      <c r="M47" s="8378">
        <f>B46</f>
        <v/>
      </c>
      <c r="O47" s="8797" t="n"/>
      <c r="P47" s="8378" t="n"/>
      <c r="Q47" s="3274" t="n"/>
      <c r="R47" s="3274" t="n"/>
      <c r="S47" s="3275" t="n"/>
      <c r="T47" s="3225" t="n"/>
      <c r="U47" s="229" t="n"/>
      <c r="V47" s="229" t="n"/>
      <c r="AO47" s="11704" t="n"/>
      <c r="AP47" s="658" t="n"/>
      <c r="AQ47" s="658" t="n"/>
      <c r="AR47" s="658" t="n"/>
      <c r="AS47" s="658" t="n"/>
      <c r="AT47" s="658" t="n"/>
      <c r="AU47" s="658" t="n"/>
    </row>
    <row r="48">
      <c r="A48" s="88" t="n"/>
      <c r="B48" s="3269" t="inlineStr">
        <is>
          <t>4.</t>
        </is>
      </c>
      <c r="C48" s="8377" t="n"/>
      <c r="D48" s="3237" t="inlineStr">
        <is>
          <t>Enter the total of any collectibles gain reported to you on:</t>
        </is>
      </c>
      <c r="E48" s="3237" t="n"/>
      <c r="F48" s="3237" t="n"/>
      <c r="G48" s="3238" t="n"/>
      <c r="H48" s="3239" t="n"/>
      <c r="I48" s="3239" t="n"/>
      <c r="J48" s="3238" t="n"/>
      <c r="K48" s="3238" t="n"/>
      <c r="L48" s="3238" t="n"/>
      <c r="M48" s="8378" t="n"/>
      <c r="N48" s="8378" t="n"/>
      <c r="O48" s="3273" t="n"/>
      <c r="P48" s="8378" t="n"/>
      <c r="Q48" s="3274" t="n"/>
      <c r="R48" s="8797" t="n"/>
      <c r="S48" s="3275" t="n"/>
      <c r="T48" s="3225" t="n"/>
      <c r="U48" s="2497">
        <f>E50</f>
        <v/>
      </c>
      <c r="V48" s="229" t="n"/>
      <c r="AO48" s="11704" t="n"/>
      <c r="AP48" s="658" t="n"/>
      <c r="AQ48" s="658" t="n"/>
      <c r="AR48" s="658" t="n"/>
      <c r="AS48" s="658" t="n"/>
      <c r="AT48" s="658" t="n"/>
      <c r="AU48" s="658" t="n"/>
    </row>
    <row r="49" ht="13.5" customHeight="1" s="7635">
      <c r="A49" s="88" t="n"/>
      <c r="B49" s="3292" t="n"/>
      <c r="C49" s="3293" t="n"/>
      <c r="D49" s="3290" t="inlineStr">
        <is>
          <t xml:space="preserve">l </t>
        </is>
      </c>
      <c r="E49" s="3237" t="inlineStr">
        <is>
          <t>Form 1099-DIV, box 2d;</t>
        </is>
      </c>
      <c r="F49" s="3290" t="n"/>
      <c r="G49" s="3237" t="n"/>
      <c r="H49" s="3239" t="n"/>
      <c r="I49" s="3239" t="n"/>
      <c r="J49" s="3238" t="n"/>
      <c r="K49" s="3238" t="n"/>
      <c r="L49" s="3238" t="n"/>
      <c r="M49" s="8378" t="n"/>
      <c r="N49" s="8378" t="n"/>
      <c r="O49" s="3273" t="n"/>
      <c r="P49" s="8378" t="n"/>
      <c r="Q49" s="3274" t="n"/>
      <c r="R49" s="3274" t="n"/>
      <c r="S49" s="3275" t="n"/>
      <c r="T49" s="3225" t="n"/>
      <c r="U49" s="8730" t="n"/>
      <c r="V49" s="229" t="n"/>
      <c r="AI49" s="314" t="inlineStr">
        <is>
          <t>(Taxable Inc.)</t>
        </is>
      </c>
      <c r="AO49" s="658" t="n"/>
      <c r="AP49" s="658" t="n"/>
      <c r="AQ49" s="658" t="n"/>
      <c r="AR49" s="658" t="n"/>
      <c r="AS49" s="658" t="n"/>
      <c r="AT49" s="658" t="n"/>
      <c r="AU49" s="658" t="n"/>
    </row>
    <row r="50" ht="13.5" customHeight="1" s="7635">
      <c r="A50" s="88" t="n"/>
      <c r="B50" s="3292" t="n"/>
      <c r="C50" s="3293" t="n"/>
      <c r="D50" s="3290" t="inlineStr">
        <is>
          <t xml:space="preserve">l </t>
        </is>
      </c>
      <c r="E50" s="3237" t="inlineStr">
        <is>
          <t>Form 2439, box 1d; and</t>
        </is>
      </c>
      <c r="F50" s="3290" t="n"/>
      <c r="G50" s="3237" t="n"/>
      <c r="H50" s="3239" t="n"/>
      <c r="I50" s="3239" t="n"/>
      <c r="J50" s="3238" t="n"/>
      <c r="K50" s="3238" t="n"/>
      <c r="L50" s="3291" t="inlineStr">
        <is>
          <t>.   .   .   .   .   .   .   .   .   .</t>
        </is>
      </c>
      <c r="M50" s="8378">
        <f>B48</f>
        <v/>
      </c>
      <c r="O50" s="2628">
        <f>SUM(R46,R48,R51)</f>
        <v/>
      </c>
      <c r="P50" s="8378" t="n"/>
      <c r="Q50" s="3274" t="n"/>
      <c r="R50" s="3274" t="n"/>
      <c r="S50" s="3275" t="n"/>
      <c r="T50" s="3225" t="n"/>
      <c r="U50" s="2497">
        <f>LEFT(E51,19)</f>
        <v/>
      </c>
      <c r="V50" s="229" t="n"/>
      <c r="AC50" s="314" t="inlineStr">
        <is>
          <t>Schedule D</t>
        </is>
      </c>
      <c r="AD50" s="314" t="inlineStr">
        <is>
          <t>Schedule D</t>
        </is>
      </c>
      <c r="AE50" s="314" t="inlineStr">
        <is>
          <t>Form 4952</t>
        </is>
      </c>
      <c r="AF50" s="314" t="inlineStr">
        <is>
          <t>Form 1040</t>
        </is>
      </c>
      <c r="AG50" s="314" t="inlineStr">
        <is>
          <t>Schedule D</t>
        </is>
      </c>
      <c r="AH50" s="314" t="inlineStr">
        <is>
          <t>Schedule D</t>
        </is>
      </c>
      <c r="AI50" s="314" t="inlineStr">
        <is>
          <t>Form 1040</t>
        </is>
      </c>
      <c r="AO50" s="658" t="n"/>
      <c r="AP50" s="658" t="n"/>
      <c r="AQ50" s="658" t="n"/>
      <c r="AR50" s="658" t="n"/>
      <c r="AS50" s="658" t="n"/>
      <c r="AT50" s="658" t="n"/>
      <c r="AU50" s="658" t="n"/>
    </row>
    <row r="51" ht="13.5" customHeight="1" s="7635">
      <c r="A51" s="88" t="n"/>
      <c r="B51" s="3292" t="n"/>
      <c r="C51" s="3293" t="n"/>
      <c r="D51" s="3290" t="inlineStr">
        <is>
          <t xml:space="preserve">l </t>
        </is>
      </c>
      <c r="E51" s="3237" t="inlineStr">
        <is>
          <t>Schedule K-1 from a partnership, S corporation, estate, or trust.</t>
        </is>
      </c>
      <c r="F51" s="3290" t="n"/>
      <c r="G51" s="3237" t="n"/>
      <c r="H51" s="3239" t="n"/>
      <c r="I51" s="3239" t="n"/>
      <c r="J51" s="3238" t="n"/>
      <c r="K51" s="3238" t="n"/>
      <c r="L51" s="3238" t="n"/>
      <c r="M51" s="8378" t="n"/>
      <c r="N51" s="8378" t="n"/>
      <c r="O51" s="5064">
        <f>OR(AND(O37&lt;&gt;"",O37&lt;&gt;0),AND(O41&lt;&gt;"",O41&lt;&gt;0),AND(O47&lt;&gt;"",O47&lt;&gt;0),AND(O50&lt;&gt;"",O50&lt;&gt;0),AND(R53&lt;&gt;"",R53&lt;&gt;0))</f>
        <v/>
      </c>
      <c r="P51" s="8378" t="n"/>
      <c r="Q51" s="3274" t="n"/>
      <c r="R51" s="8797" t="n"/>
      <c r="S51" s="3275" t="n"/>
      <c r="T51" s="3225" t="n"/>
      <c r="U51" s="2497">
        <f>MID(E51,21,27)</f>
        <v/>
      </c>
      <c r="V51" s="1879" t="n"/>
      <c r="AC51" s="8039" t="inlineStr">
        <is>
          <t>Line 18 &gt; 0</t>
        </is>
      </c>
      <c r="AD51" s="8039" t="inlineStr">
        <is>
          <t>Line 19 &gt; 0</t>
        </is>
      </c>
      <c r="AE51" s="8039" t="inlineStr">
        <is>
          <t>Line 4g &gt;0</t>
        </is>
      </c>
      <c r="AF51" s="8039" t="inlineStr">
        <is>
          <t>Line 3a = 0</t>
        </is>
      </c>
      <c r="AG51" s="8039" t="inlineStr">
        <is>
          <t>Line 15 &gt; 0</t>
        </is>
      </c>
      <c r="AH51" s="8039" t="inlineStr">
        <is>
          <t>Line 16 &lt;= 0</t>
        </is>
      </c>
      <c r="AI51" s="8039" t="inlineStr">
        <is>
          <t>Line 15 &lt;= 0</t>
        </is>
      </c>
      <c r="AO51" s="658" t="n"/>
      <c r="AP51" s="658" t="n"/>
      <c r="AQ51" s="658" t="n"/>
      <c r="AR51" s="658" t="n"/>
      <c r="AS51" s="658" t="n"/>
      <c r="AT51" s="658" t="n"/>
      <c r="AU51" s="658" t="n"/>
    </row>
    <row r="52" ht="13.5" customHeight="1" s="7635">
      <c r="A52" s="88" t="n"/>
      <c r="B52" s="3269" t="inlineStr">
        <is>
          <t>5.</t>
        </is>
      </c>
      <c r="C52" s="8377" t="n"/>
      <c r="D52" s="3237" t="inlineStr">
        <is>
          <t>Enter your long-term capital loss carryovers from Schedule D, line 14, and Schedule K-1 (Form 1041),</t>
        </is>
      </c>
      <c r="E52" s="3237" t="n"/>
      <c r="F52" s="3237" t="n"/>
      <c r="G52" s="3238" t="n"/>
      <c r="H52" s="3239" t="n"/>
      <c r="I52" s="3239" t="n"/>
      <c r="J52" s="3238" t="n"/>
      <c r="K52" s="3238" t="n"/>
      <c r="L52" s="3238" t="n"/>
      <c r="M52" s="8378" t="n"/>
      <c r="N52" s="8378" t="n"/>
      <c r="O52" s="3273" t="n"/>
      <c r="P52" s="8378" t="n"/>
      <c r="Q52" s="3274" t="n"/>
      <c r="R52" s="3274" t="n"/>
      <c r="S52" s="3275" t="n"/>
      <c r="T52" s="3225" t="n"/>
      <c r="U52" s="2497">
        <f>RIGHT(E51,16)</f>
        <v/>
      </c>
      <c r="V52" s="1879" t="n"/>
      <c r="AC52">
        <f>AND(SchDLine18&lt;&gt;"",SchDLine18&gt;0)</f>
        <v/>
      </c>
      <c r="AD52">
        <f>AND(SchDLine19&lt;&gt;"",SchDLine19&gt;0)</f>
        <v/>
      </c>
      <c r="AE52">
        <f t="array" ref="AE52">F4952_Line_4g</f>
        <v/>
      </c>
      <c r="AF52">
        <f>OR(Qualified_Dividends="",Qualified_Dividends=0)</f>
        <v/>
      </c>
      <c r="AG52">
        <f>AND(SchDLine15&lt;&gt;"",SchDLine15&gt;0)</f>
        <v/>
      </c>
      <c r="AH52">
        <f>AND(SchDLine16&lt;&gt;"",SchDLine16&gt;0)</f>
        <v/>
      </c>
      <c r="AI52">
        <f>OR(Taxable_Inc="",Taxable_Inc&lt;=0)</f>
        <v/>
      </c>
      <c r="AO52" s="658" t="n"/>
      <c r="AP52" s="658" t="n"/>
      <c r="AQ52" s="658" t="n"/>
      <c r="AR52" s="658" t="n"/>
      <c r="AS52" s="658" t="n"/>
      <c r="AT52" s="658" t="n"/>
      <c r="AU52" s="658" t="n"/>
    </row>
    <row r="53" ht="12.75" customHeight="1" s="7635">
      <c r="A53" s="88" t="n"/>
      <c r="B53" s="3236" t="n"/>
      <c r="C53" s="3239" t="n"/>
      <c r="D53" s="3237" t="inlineStr">
        <is>
          <t>box 11, code D</t>
        </is>
      </c>
      <c r="E53" s="3237" t="n"/>
      <c r="F53" s="3237" t="n"/>
      <c r="G53" s="3238" t="n"/>
      <c r="H53" s="3239" t="n"/>
      <c r="I53" s="3239" t="n"/>
      <c r="J53" s="3238" t="n"/>
      <c r="K53" s="3238" t="n"/>
      <c r="L53" s="3277" t="inlineStr">
        <is>
          <t xml:space="preserve">.   .   .   .   .   .   .   .   .   .   .   .   .   .   .   .   .   .   .   .   .   .   .   .   .   .   .   .   .   .   .   .   .   .   .   .   .   .   .   .  </t>
        </is>
      </c>
      <c r="M53" s="8378">
        <f>B52</f>
        <v/>
      </c>
      <c r="N53" s="8373" t="inlineStr">
        <is>
          <t>(</t>
        </is>
      </c>
      <c r="O53" s="2628">
        <f>SUM('Sch. D'!P47,R53)</f>
        <v/>
      </c>
      <c r="P53" s="6980" t="inlineStr">
        <is>
          <t>)</t>
        </is>
      </c>
      <c r="Q53" s="3274" t="n"/>
      <c r="R53" s="8797" t="n"/>
      <c r="S53" s="3275" t="n"/>
      <c r="T53" s="3225" t="n"/>
      <c r="U53" s="8885" t="inlineStr">
        <is>
          <t>Schedule K-1 (Form 1041)</t>
        </is>
      </c>
      <c r="V53" s="1879" t="n"/>
      <c r="AO53" s="11704" t="n"/>
      <c r="AP53" s="658" t="n"/>
      <c r="AQ53" s="658" t="n"/>
      <c r="AR53" s="658" t="n"/>
      <c r="AS53" s="658" t="n"/>
      <c r="AT53" s="658" t="n"/>
      <c r="AU53" s="658" t="n"/>
    </row>
    <row r="54">
      <c r="A54" s="88" t="n"/>
      <c r="B54" s="3269" t="inlineStr">
        <is>
          <t>6.</t>
        </is>
      </c>
      <c r="C54" s="8377" t="n"/>
      <c r="D54" s="3237" t="inlineStr">
        <is>
          <t>If Schedule D, line 7, is a (loss), enter that (loss) here. Otherwise, enter -0-</t>
        </is>
      </c>
      <c r="E54" s="3237" t="n"/>
      <c r="F54" s="3237" t="n"/>
      <c r="G54" s="3238" t="n"/>
      <c r="H54" s="3239" t="n"/>
      <c r="I54" s="3239" t="n"/>
      <c r="J54" s="3238" t="n"/>
      <c r="K54" s="3238" t="n"/>
      <c r="L54" s="3291" t="inlineStr">
        <is>
          <t>.   .   .   .   .   .   .   .   .   .   .   .   .   .</t>
        </is>
      </c>
      <c r="M54" s="8378">
        <f>B54</f>
        <v/>
      </c>
      <c r="N54" s="8373" t="inlineStr">
        <is>
          <t>(</t>
        </is>
      </c>
      <c r="O54" s="2628">
        <f>IF('Sch. D'!O29&lt;0,-'Sch. D'!O29,0)</f>
        <v/>
      </c>
      <c r="P54" s="6980" t="inlineStr">
        <is>
          <t>)</t>
        </is>
      </c>
      <c r="Q54" s="3274" t="n"/>
      <c r="R54" s="3274" t="n"/>
      <c r="S54" s="3275" t="n"/>
      <c r="T54" s="3225" t="n"/>
      <c r="U54" s="8730" t="n"/>
      <c r="V54" s="1879" t="n"/>
      <c r="AC54">
        <f>OR(AC52,AD52)</f>
        <v/>
      </c>
      <c r="AD54" s="8648" t="inlineStr">
        <is>
          <t>Sch D Line 18 &gt; 0  OR  Sch D Line 19 &gt; 0</t>
        </is>
      </c>
      <c r="AO54" s="11704" t="n"/>
      <c r="AP54" s="658" t="n"/>
      <c r="AQ54" s="658" t="n"/>
      <c r="AR54" s="658" t="n"/>
      <c r="AS54" s="658" t="n"/>
      <c r="AT54" s="658" t="n"/>
      <c r="AU54" s="658" t="n"/>
    </row>
    <row r="55">
      <c r="A55" s="88" t="n"/>
      <c r="B55" s="3269" t="inlineStr">
        <is>
          <t>7.</t>
        </is>
      </c>
      <c r="C55" s="8377" t="n"/>
      <c r="D55" s="3237" t="inlineStr">
        <is>
          <t>Combine lines 1 through 6. If zero or less, enter -0-. If more than zero, also enter this amount on</t>
        </is>
      </c>
      <c r="E55" s="3237" t="n"/>
      <c r="F55" s="3237" t="n"/>
      <c r="G55" s="3238" t="n"/>
      <c r="H55" s="3239" t="n"/>
      <c r="I55" s="3239" t="n"/>
      <c r="J55" s="3238" t="n"/>
      <c r="K55" s="3238" t="n"/>
      <c r="L55" s="3238" t="n"/>
      <c r="M55" s="8378" t="n"/>
      <c r="N55" s="8378" t="n"/>
      <c r="O55" s="6981">
        <f>SUM(O37,O41,O47,O50,-O53,-O54)</f>
        <v/>
      </c>
      <c r="P55" s="8378" t="n"/>
      <c r="Q55" s="3274" t="n"/>
      <c r="R55" s="3274" t="n"/>
      <c r="S55" s="3275" t="n"/>
      <c r="T55" s="3225" t="n"/>
      <c r="U55" s="229" t="n"/>
      <c r="V55" s="1879" t="n"/>
      <c r="AC55" s="8648">
        <f>AND(AG52,AH52)</f>
        <v/>
      </c>
      <c r="AD55" s="8648" t="inlineStr">
        <is>
          <t>Sch D Line 15 &gt; 0 AND Sch D Line 16 &gt; 0</t>
        </is>
      </c>
      <c r="AO55" s="11704" t="n"/>
      <c r="AP55" s="658" t="n"/>
      <c r="AQ55" s="658" t="n"/>
      <c r="AR55" s="658" t="n"/>
      <c r="AS55" s="658" t="n"/>
      <c r="AT55" s="658" t="n"/>
      <c r="AU55" s="658" t="n"/>
    </row>
    <row r="56">
      <c r="A56" s="88" t="n"/>
      <c r="B56" s="3236" t="n"/>
      <c r="C56" s="3239" t="n"/>
      <c r="D56" s="3237" t="inlineStr">
        <is>
          <t>Schedule D, line 18</t>
        </is>
      </c>
      <c r="E56" s="3237" t="n"/>
      <c r="F56" s="3237" t="n"/>
      <c r="G56" s="3238" t="n"/>
      <c r="H56" s="3239" t="n"/>
      <c r="I56" s="3239" t="n"/>
      <c r="J56" s="3238" t="n"/>
      <c r="K56" s="3238" t="n"/>
      <c r="L56" s="3277" t="inlineStr">
        <is>
          <t>.   .   .   .   .   .   .   .   .   .   .   .   .   .   .   .   .   .   .   .   .   .   .   .   .   .   .   .   .   .   .   .   .   .   .   .   .   .   .</t>
        </is>
      </c>
      <c r="M56" s="8378">
        <f>B55</f>
        <v/>
      </c>
      <c r="O56" s="2628">
        <f>MAX(0,O55)</f>
        <v/>
      </c>
      <c r="P56" s="8378" t="n"/>
      <c r="Q56" s="3274" t="n"/>
      <c r="R56" s="3274" t="n"/>
      <c r="S56" s="3275" t="n"/>
      <c r="T56" s="3225" t="n"/>
      <c r="U56" s="229" t="n"/>
      <c r="V56" s="1879" t="n"/>
      <c r="AC56">
        <f>AE52</f>
        <v/>
      </c>
      <c r="AD56" s="8648" t="inlineStr">
        <is>
          <t>Form 4952, line 4g includes an amount</t>
        </is>
      </c>
      <c r="AO56" s="11704" t="n"/>
      <c r="AP56" s="658" t="n"/>
      <c r="AQ56" s="658" t="n"/>
      <c r="AR56" s="658" t="n"/>
      <c r="AS56" s="658" t="n"/>
      <c r="AT56" s="658" t="n"/>
      <c r="AU56" s="658" t="n"/>
    </row>
    <row r="57" ht="13.5" customHeight="1" s="7635" thickBot="1">
      <c r="A57" s="88" t="n"/>
      <c r="B57" s="3294" t="n"/>
      <c r="C57" s="3295" t="n"/>
      <c r="D57" s="3295" t="n"/>
      <c r="E57" s="3295" t="n"/>
      <c r="F57" s="3295" t="n"/>
      <c r="G57" s="3295" t="n"/>
      <c r="H57" s="3295" t="n"/>
      <c r="I57" s="3295" t="n"/>
      <c r="J57" s="3295" t="n"/>
      <c r="K57" s="3295" t="n"/>
      <c r="L57" s="3295" t="n"/>
      <c r="M57" s="3295" t="n"/>
      <c r="N57" s="3295" t="n"/>
      <c r="O57" s="3295" t="n"/>
      <c r="P57" s="3295" t="n"/>
      <c r="Q57" s="3295" t="n"/>
      <c r="R57" s="3295" t="n"/>
      <c r="S57" s="3296" t="n"/>
      <c r="T57" s="3225" t="n"/>
      <c r="U57" s="229" t="n"/>
      <c r="V57" s="1879" t="n"/>
      <c r="AC57" s="3297">
        <f>OR(AND(AC54,AC55),AC56)</f>
        <v/>
      </c>
      <c r="AD57" s="8648" t="inlineStr">
        <is>
          <t>OR( AND (Lines 18 or 19 &gt; 0, Lines 15 and 16 &gt; 0), Form 4952, line 4g includes an amount)</t>
        </is>
      </c>
      <c r="AO57" s="11704" t="n"/>
      <c r="AP57" s="658" t="n"/>
      <c r="AQ57" s="658" t="n"/>
      <c r="AR57" s="658" t="n"/>
      <c r="AS57" s="658" t="n"/>
      <c r="AT57" s="658" t="n"/>
      <c r="AU57" s="658" t="n"/>
    </row>
    <row r="58">
      <c r="A58" s="88" t="n"/>
      <c r="B58" s="8922" t="n"/>
      <c r="C58" s="8922" t="n"/>
      <c r="D58" s="8922" t="n"/>
      <c r="E58" s="8922" t="n"/>
      <c r="F58" s="8922" t="n"/>
      <c r="G58" s="88" t="n"/>
      <c r="H58" s="88" t="n"/>
      <c r="I58" s="88" t="n"/>
      <c r="J58" s="3298" t="n"/>
      <c r="K58" s="3298" t="n"/>
      <c r="L58" s="3298" t="n"/>
      <c r="M58" s="3298" t="n"/>
      <c r="N58" s="3298" t="n"/>
      <c r="O58" s="3298" t="n"/>
      <c r="P58" s="3298" t="n"/>
      <c r="Q58" s="3298" t="n"/>
      <c r="R58" s="3298" t="n"/>
      <c r="S58" s="3298" t="n"/>
      <c r="T58" s="3299" t="n"/>
      <c r="U58" s="3300" t="n"/>
      <c r="V58" s="229" t="n"/>
      <c r="AO58" s="11704" t="n"/>
      <c r="AP58" s="658" t="n"/>
      <c r="AQ58" s="658" t="n"/>
      <c r="AR58" s="658" t="n"/>
      <c r="AS58" s="658" t="n"/>
      <c r="AT58" s="658" t="n"/>
      <c r="AU58" s="658" t="n"/>
    </row>
    <row r="59" ht="18.75" customHeight="1" s="7635">
      <c r="A59" s="88" t="n"/>
      <c r="B59" s="3285" t="inlineStr">
        <is>
          <t>Schedule D Tax Worksheet</t>
        </is>
      </c>
      <c r="C59" s="3285" t="n"/>
      <c r="D59" s="9582" t="n"/>
      <c r="E59" s="9582" t="n"/>
      <c r="F59" s="9582" t="n"/>
      <c r="G59" s="3286" t="n"/>
      <c r="H59" s="3286" t="n"/>
      <c r="I59" s="3286" t="n"/>
      <c r="J59" s="3286" t="n"/>
      <c r="K59" s="3286" t="n"/>
      <c r="L59" s="3286" t="n"/>
      <c r="M59" s="3286" t="n"/>
      <c r="N59" s="3286" t="n"/>
      <c r="O59" s="3286" t="n"/>
      <c r="P59" s="3286" t="n"/>
      <c r="Q59" s="3287">
        <f>IF('Table of Contents'!A37="D","DRAFT Instructions","Keep for Your Records")</f>
        <v/>
      </c>
      <c r="R59" s="3302" t="n"/>
      <c r="S59" s="3300" t="n"/>
      <c r="T59" s="2806" t="n"/>
      <c r="U59" s="8860" t="n"/>
      <c r="V59" s="229" t="n"/>
      <c r="W59" s="7834" t="n"/>
      <c r="AC59" s="1614" t="inlineStr">
        <is>
          <t>Exception: Don't use the QDCG TW OR the Sch D TW</t>
        </is>
      </c>
      <c r="AO59" s="11704" t="n"/>
      <c r="AP59" s="658" t="n"/>
      <c r="AQ59" s="658" t="n"/>
      <c r="AR59" s="658" t="n"/>
      <c r="AS59" s="658" t="n"/>
      <c r="AT59" s="658" t="n"/>
      <c r="AU59" s="658" t="n"/>
    </row>
    <row r="60" ht="14.25" customHeight="1" s="7635">
      <c r="A60" s="88" t="n"/>
      <c r="B60" s="3303" t="inlineStr">
        <is>
          <t>&gt;</t>
        </is>
      </c>
      <c r="C60" s="2995" t="inlineStr">
        <is>
          <t>Complete this worksheet only if line 18 or line 19 of Schedule D is more than zero and lines 15 and 16 of Schedule D are gains or</t>
        </is>
      </c>
      <c r="D60" s="2769" t="n"/>
      <c r="E60" s="2769" t="n"/>
      <c r="F60" s="2769" t="n"/>
      <c r="G60" s="11262" t="n"/>
      <c r="H60" s="11262" t="n"/>
      <c r="I60" s="11262" t="n"/>
      <c r="J60" s="11262" t="n"/>
      <c r="K60" s="2995" t="n"/>
      <c r="L60" s="2995" t="n"/>
      <c r="M60" s="11262" t="n"/>
      <c r="N60" s="11262" t="n"/>
      <c r="O60" s="11262" t="n"/>
      <c r="P60" s="11262" t="n"/>
      <c r="Q60" s="11262" t="n"/>
      <c r="R60" s="3304" t="n"/>
      <c r="S60" s="3305" t="n"/>
      <c r="T60" s="3306" t="n"/>
      <c r="U60" s="8860" t="n"/>
      <c r="V60" s="229" t="n"/>
      <c r="W60" s="7834" t="n"/>
      <c r="AC60">
        <f>OR(NOT(AG52),NOT(AH52))</f>
        <v/>
      </c>
      <c r="AD60" s="8648" t="inlineStr">
        <is>
          <t xml:space="preserve">Sch. D, line 15 &lt;=0 OR Sch. D, line 16 &lt;=0 </t>
        </is>
      </c>
      <c r="AO60" s="11704" t="n"/>
      <c r="AP60" s="658" t="n"/>
      <c r="AQ60" s="658" t="n"/>
      <c r="AR60" s="658" t="n"/>
      <c r="AS60" s="658" t="n"/>
      <c r="AT60" s="658" t="n"/>
      <c r="AU60" s="658" t="n"/>
    </row>
    <row r="61" ht="14.25" customHeight="1" s="7635" thickBot="1">
      <c r="A61" s="88" t="n"/>
      <c r="B61" s="3307" t="n"/>
      <c r="C61" s="2995" t="inlineStr">
        <is>
          <t>if you file Form 4952, Investment Interest Expense Deduction, and you have an amount on line 4g, even if you don’t need to file Schedule D.</t>
        </is>
      </c>
      <c r="D61" s="2769" t="n"/>
      <c r="E61" s="2769" t="n"/>
      <c r="F61" s="2769" t="n"/>
      <c r="G61" s="11262" t="n"/>
      <c r="H61" s="11262" t="n"/>
      <c r="I61" s="11262" t="n"/>
      <c r="J61" s="11262" t="n"/>
      <c r="K61" s="2995" t="n"/>
      <c r="L61" s="2995" t="n"/>
      <c r="M61" s="11262" t="n"/>
      <c r="N61" s="11262" t="n"/>
      <c r="O61" s="11262" t="n"/>
      <c r="P61" s="11262" t="n"/>
      <c r="Q61" s="11262" t="n"/>
      <c r="R61" s="3304" t="n"/>
      <c r="S61" s="3300" t="n"/>
      <c r="T61" s="3306" t="n"/>
      <c r="U61" s="8860" t="inlineStr">
        <is>
          <t>Worksheet used?</t>
        </is>
      </c>
      <c r="V61" s="229" t="n"/>
      <c r="W61" s="7834" t="n"/>
      <c r="AC61">
        <f>AF52</f>
        <v/>
      </c>
      <c r="AD61" s="8648" t="inlineStr">
        <is>
          <t>No QDs on 1040, line 3a</t>
        </is>
      </c>
      <c r="AO61" s="11704" t="n"/>
      <c r="AP61" s="658" t="n"/>
      <c r="AQ61" s="658" t="n"/>
      <c r="AR61" s="658" t="n"/>
      <c r="AS61" s="658" t="n"/>
      <c r="AT61" s="658" t="n"/>
      <c r="AU61" s="658" t="n"/>
    </row>
    <row r="62" ht="13.5" customHeight="1" s="7635" thickBot="1">
      <c r="A62" s="88" t="n"/>
      <c r="B62" s="3308" t="n"/>
      <c r="C62" s="3309" t="inlineStr">
        <is>
          <t>Otherwise, complete the Qualified Dividends and Capital Gain Tax Worksheet in the Instructions for Form 1040, line 16, (or in the instructions for</t>
        </is>
      </c>
      <c r="D62" s="2769" t="n"/>
      <c r="E62" s="2769" t="n"/>
      <c r="F62" s="2769" t="n"/>
      <c r="G62" s="11262" t="n"/>
      <c r="H62" s="11262" t="n"/>
      <c r="I62" s="11262" t="n"/>
      <c r="J62" s="11262" t="n"/>
      <c r="K62" s="11262" t="n"/>
      <c r="L62" s="11262" t="n"/>
      <c r="M62" s="11262" t="n"/>
      <c r="N62" s="11262" t="n"/>
      <c r="O62" s="11262" t="n"/>
      <c r="P62" s="11262" t="n"/>
      <c r="Q62" s="11262" t="n"/>
      <c r="R62" s="3304" t="n"/>
      <c r="S62" s="3300" t="n"/>
      <c r="T62" s="3310" t="n"/>
      <c r="U62" s="3311">
        <f>IF(AC72,"Yes",IF(AC65,"Yes","No"))</f>
        <v/>
      </c>
      <c r="V62" s="229" t="n"/>
      <c r="W62" s="7834" t="n"/>
      <c r="AC62">
        <f>AI52</f>
        <v/>
      </c>
      <c r="AD62" s="8648" t="inlineStr">
        <is>
          <t>Form 1040, line 15, is zero or less.</t>
        </is>
      </c>
      <c r="AO62" s="11704" t="n"/>
      <c r="AP62" s="658" t="n"/>
      <c r="AQ62" s="658" t="n"/>
      <c r="AR62" s="658" t="n"/>
      <c r="AS62" s="658" t="n"/>
      <c r="AT62" s="658" t="n"/>
      <c r="AU62" s="658" t="n"/>
    </row>
    <row r="63" ht="12.75" customHeight="1" s="7635">
      <c r="A63" s="88" t="n"/>
      <c r="B63" s="3308" t="n"/>
      <c r="C63" s="3312" t="inlineStr">
        <is>
          <t>Form 1040-NR, line 16) to figure your tax.</t>
        </is>
      </c>
      <c r="D63" s="2769" t="n"/>
      <c r="E63" s="2769" t="n"/>
      <c r="F63" s="2769" t="n"/>
      <c r="G63" s="11262" t="n"/>
      <c r="H63" s="11262" t="n"/>
      <c r="I63" s="11262" t="n"/>
      <c r="J63" s="11262" t="n"/>
      <c r="K63" s="11262" t="n"/>
      <c r="L63" s="11262" t="n"/>
      <c r="M63" s="11262" t="n"/>
      <c r="N63" s="11262" t="n"/>
      <c r="O63" s="3313" t="inlineStr">
        <is>
          <t>Form 4952, line 4g</t>
        </is>
      </c>
      <c r="P63" s="11262" t="n"/>
      <c r="Q63" s="3314" t="inlineStr">
        <is>
          <t>=&gt;</t>
        </is>
      </c>
      <c r="R63" s="1797" t="n"/>
      <c r="S63" s="3300" t="n"/>
      <c r="T63" s="3310" t="n"/>
      <c r="U63" s="8367">
        <f>IF(AC72,"Override used.",IF(AE52,"Form 4952 is used",IF(SchD_Line1819_GT_0,"","Neither Sch. D, Line 18"&amp;CHAR(10)&amp;"nor Line 19 are &gt;0")))</f>
        <v/>
      </c>
      <c r="V63" s="229" t="n"/>
      <c r="W63" s="7834" t="n"/>
      <c r="AC63" s="3297">
        <f>OR(AC60,AC61,AC62)</f>
        <v/>
      </c>
      <c r="AD63" s="8648" t="inlineStr">
        <is>
          <t>Don't use the QDCG TW or the Sch D TW.</t>
        </is>
      </c>
      <c r="AO63" s="11704" t="n"/>
      <c r="AP63" s="658" t="n"/>
      <c r="AQ63" s="658" t="n"/>
      <c r="AR63" s="658" t="n"/>
      <c r="AS63" s="658" t="n"/>
      <c r="AT63" s="658" t="n"/>
      <c r="AU63" s="658" t="n"/>
    </row>
    <row r="64" ht="12.75" customHeight="1" s="7635" thickBot="1">
      <c r="A64" s="88" t="n"/>
      <c r="B64" s="3308" t="n"/>
      <c r="C64" s="3312" t="inlineStr">
        <is>
          <t>Before completing this worksheet, complete Form 1040, 1040-SR, or 1040-NR through line 15.</t>
        </is>
      </c>
      <c r="D64" s="2769" t="n"/>
      <c r="E64" s="2769" t="n"/>
      <c r="F64" s="2769" t="n"/>
      <c r="G64" s="11262" t="n"/>
      <c r="H64" s="11262" t="n"/>
      <c r="I64" s="11262" t="n"/>
      <c r="J64" s="11262" t="n"/>
      <c r="K64" s="11262" t="n"/>
      <c r="L64" s="11262" t="n"/>
      <c r="M64" s="11262" t="n"/>
      <c r="N64" s="11262" t="n"/>
      <c r="O64" s="11262" t="n"/>
      <c r="P64" s="11262" t="n"/>
      <c r="Q64" s="11262" t="n"/>
      <c r="R64" s="3304" t="n"/>
      <c r="S64" s="3300" t="n"/>
      <c r="T64" s="3310" t="n"/>
      <c r="V64" s="229" t="n"/>
      <c r="W64" s="7834" t="n"/>
      <c r="AO64" s="11704" t="n"/>
      <c r="AP64" s="658" t="n"/>
      <c r="AQ64" s="658" t="n"/>
      <c r="AR64" s="658" t="n"/>
      <c r="AS64" s="658" t="n"/>
      <c r="AT64" s="658" t="n"/>
      <c r="AU64" s="658" t="n"/>
    </row>
    <row r="65" ht="13.5" customHeight="1" s="7635" thickBot="1">
      <c r="A65" s="88" t="n"/>
      <c r="B65" s="3308" t="n"/>
      <c r="C65" s="2995" t="inlineStr">
        <is>
          <t>Exception:   Don't use the Qualified Dividends and Capital Gain Tax Worksheet or this worksheet to figure your tax if:</t>
        </is>
      </c>
      <c r="D65" s="2769" t="n"/>
      <c r="E65" s="2769" t="n"/>
      <c r="F65" s="2769" t="n"/>
      <c r="G65" s="11262" t="n"/>
      <c r="H65" s="2995" t="n"/>
      <c r="I65" s="11262" t="n"/>
      <c r="J65" s="11262" t="n"/>
      <c r="K65" s="11262" t="n"/>
      <c r="L65" s="11262" t="n"/>
      <c r="M65" s="11262" t="n"/>
      <c r="N65" s="11262" t="n"/>
      <c r="O65" s="11262" t="n"/>
      <c r="P65" s="11262" t="n"/>
      <c r="Q65" s="11262" t="n"/>
      <c r="R65" s="3304" t="n"/>
      <c r="S65" s="3300" t="n"/>
      <c r="T65" s="3316" t="n"/>
      <c r="U65" s="8367">
        <f>IF(AC72,"",IF(AND(SchDTW_Used,NOT(AC72),AC57,SchD_Line1819_GT_0,SchD_Line1516_GT_0,NOT(AC56)),"Sch. D Line 18 or 19 &gt;0  "&amp;CHAR(10)&amp;"AND",IF(AND(NOT(AC56),NOT(SchD_Line1516_GT_0)),"Sch. D, Lines 15 and 16 are not both gains.","")))</f>
        <v/>
      </c>
      <c r="V65" s="229" t="n"/>
      <c r="W65" s="7834" t="n"/>
      <c r="AC65" s="3315">
        <f> OR(AC72,AND(NOT(Exception_QDCG_TW_SchD_TW),AC57))</f>
        <v/>
      </c>
      <c r="AD65" s="8648" t="inlineStr">
        <is>
          <t>SchD TW Used = Override  OR  [Cell W59 AND NOT Exception (Cell W65)]</t>
        </is>
      </c>
      <c r="AO65" s="11704" t="n"/>
      <c r="AP65" s="658" t="n"/>
      <c r="AQ65" s="658" t="n"/>
      <c r="AR65" s="658" t="n"/>
      <c r="AS65" s="658" t="n"/>
      <c r="AT65" s="658" t="n"/>
      <c r="AU65" s="658" t="n"/>
    </row>
    <row r="66" ht="12" customHeight="1" s="7635">
      <c r="A66" s="88" t="n"/>
      <c r="B66" s="8369">
        <f>AND(NOT(AC72),Exception_QDCG_TW_SchD_TW)</f>
        <v/>
      </c>
      <c r="D66" s="3317" t="inlineStr">
        <is>
          <t>l</t>
        </is>
      </c>
      <c r="E66" s="2770" t="inlineStr">
        <is>
          <t>Line 15 or line 16 of Schedule D is zero or less and you have no qualified dividends on Form 1040 or 1040-SR, line 3a;</t>
        </is>
      </c>
      <c r="F66" s="2769" t="n"/>
      <c r="G66" s="11262" t="n"/>
      <c r="H66" s="2995" t="n"/>
      <c r="I66" s="2770" t="n"/>
      <c r="J66" s="11262" t="n"/>
      <c r="K66" s="11262" t="n"/>
      <c r="L66" s="11262" t="n"/>
      <c r="M66" s="11262" t="n"/>
      <c r="N66" s="11262" t="n"/>
      <c r="O66" s="3318" t="n"/>
      <c r="P66" s="11262" t="n"/>
      <c r="Q66" s="3319" t="n"/>
      <c r="R66" s="3318" t="n"/>
      <c r="S66" s="3300" t="n"/>
      <c r="T66" s="3310" t="n"/>
      <c r="V66" s="229" t="n"/>
      <c r="AO66" s="11704" t="n"/>
      <c r="AP66" s="658" t="n"/>
      <c r="AQ66" s="658" t="n"/>
      <c r="AR66" s="658" t="n"/>
      <c r="AS66" s="658" t="n"/>
      <c r="AT66" s="658" t="n"/>
      <c r="AU66" s="658" t="n"/>
    </row>
    <row r="67" ht="12" customHeight="1" s="7635">
      <c r="A67" s="88" t="n"/>
      <c r="B67" s="3320" t="n"/>
      <c r="C67" s="1614" t="inlineStr">
        <is>
          <t>or</t>
        </is>
      </c>
      <c r="D67" s="3317" t="n"/>
      <c r="E67" s="2770" t="n"/>
      <c r="F67" s="2769" t="n"/>
      <c r="G67" s="11262" t="n"/>
      <c r="H67" s="2995" t="n"/>
      <c r="I67" s="2770" t="n"/>
      <c r="J67" s="11262" t="n"/>
      <c r="K67" s="11262" t="n"/>
      <c r="L67" s="11262" t="n"/>
      <c r="M67" s="11262" t="n"/>
      <c r="N67" s="11262" t="n"/>
      <c r="O67" s="3318" t="n"/>
      <c r="P67" s="11262" t="n"/>
      <c r="Q67" s="3319" t="n"/>
      <c r="R67" s="3318" t="n"/>
      <c r="S67" s="3300" t="n"/>
      <c r="T67" s="3321" t="n"/>
      <c r="U67" s="3322">
        <f>IF(OR(B66,B68),"Exception met.","")</f>
        <v/>
      </c>
      <c r="V67" s="229" t="n"/>
      <c r="AC67">
        <f>AND(NOT(AC72),SchDTW_Used,NOT(Exception_QDCG_TW_SchD_TW),SchD_Line1819_GT_0,SchD_Line1516_GT_0,AG52)</f>
        <v/>
      </c>
      <c r="AO67" s="11704" t="n"/>
      <c r="AP67" s="658" t="n"/>
      <c r="AQ67" s="658" t="n"/>
      <c r="AR67" s="658" t="n"/>
      <c r="AS67" s="658" t="n"/>
      <c r="AT67" s="658" t="n"/>
      <c r="AU67" s="658" t="n"/>
    </row>
    <row r="68" ht="12" customHeight="1" s="7635">
      <c r="A68" s="88" t="n"/>
      <c r="B68" s="8369">
        <f>AND(NOT(AC72),Exception_QDCG_TW_SchD_TW)</f>
        <v/>
      </c>
      <c r="D68" s="3317" t="inlineStr">
        <is>
          <t>l</t>
        </is>
      </c>
      <c r="E68" s="2770" t="inlineStr">
        <is>
          <t>Form 1040, 1040-SR, or 1040-NR, line 15 (Taxable Income), is zero or less.</t>
        </is>
      </c>
      <c r="F68" s="2769" t="n"/>
      <c r="G68" s="11262" t="n"/>
      <c r="H68" s="11262" t="n"/>
      <c r="I68" s="11262" t="n"/>
      <c r="J68" s="11262" t="n"/>
      <c r="K68" s="11262" t="n"/>
      <c r="L68" s="11262" t="n"/>
      <c r="M68" s="11262" t="n"/>
      <c r="N68" s="11262" t="n"/>
      <c r="O68" s="3318" t="n"/>
      <c r="P68" s="11262" t="n"/>
      <c r="Q68" s="3319" t="n"/>
      <c r="R68" s="3304" t="n"/>
      <c r="S68" s="3300" t="n"/>
      <c r="T68" s="3321" t="n"/>
      <c r="U68" s="3322" t="n"/>
      <c r="V68" s="229" t="n"/>
      <c r="AO68" s="11704" t="n"/>
      <c r="AP68" s="658" t="n"/>
      <c r="AQ68" s="658" t="n"/>
      <c r="AR68" s="658" t="n"/>
      <c r="AS68" s="658" t="n"/>
      <c r="AT68" s="658" t="n"/>
      <c r="AU68" s="658" t="n"/>
    </row>
    <row r="69" ht="12" customHeight="1" s="7635">
      <c r="A69" s="88" t="n"/>
      <c r="B69" s="3323" t="n"/>
      <c r="C69" s="2770" t="inlineStr">
        <is>
          <t>Instead, see the instructions for Forms 1040 and 1040-SR, line 16 (or Form 1040-NR, line 16).</t>
        </is>
      </c>
      <c r="D69" s="2770" t="n"/>
      <c r="E69" s="2770" t="n"/>
      <c r="F69" s="2770" t="n"/>
      <c r="G69" s="2770" t="n"/>
      <c r="H69" s="2770" t="n"/>
      <c r="I69" s="2770" t="n"/>
      <c r="J69" s="2770" t="n"/>
      <c r="K69" s="2770" t="n"/>
      <c r="L69" s="2770" t="n"/>
      <c r="M69" s="2770" t="n"/>
      <c r="N69" s="2770" t="n"/>
      <c r="O69" s="3318" t="n"/>
      <c r="P69" s="2770" t="n"/>
      <c r="Q69" s="2770" t="n"/>
      <c r="R69" s="3324" t="n"/>
      <c r="S69" s="3004" t="n"/>
      <c r="T69" s="3306" t="n"/>
      <c r="U69" s="8372">
        <f>IF(AC72,"",IF(AI52,"Form 1040, Line 15 is &lt;= 0",""))</f>
        <v/>
      </c>
      <c r="V69" s="229" t="n"/>
      <c r="AO69" s="11704" t="n"/>
      <c r="AP69" s="658" t="n"/>
      <c r="AQ69" s="658" t="n"/>
      <c r="AR69" s="658" t="n"/>
      <c r="AS69" s="658" t="n"/>
      <c r="AT69" s="658" t="n"/>
      <c r="AU69" s="658" t="n"/>
    </row>
    <row r="70" ht="7.5" customHeight="1" s="7635" thickBot="1">
      <c r="A70" s="88" t="n"/>
      <c r="B70" s="3325" t="n"/>
      <c r="C70" s="3326" t="n"/>
      <c r="D70" s="3326" t="n"/>
      <c r="E70" s="3326" t="n"/>
      <c r="F70" s="3326" t="n"/>
      <c r="G70" s="3326" t="n"/>
      <c r="H70" s="3326" t="n"/>
      <c r="I70" s="3326" t="n"/>
      <c r="J70" s="3326" t="n"/>
      <c r="K70" s="3326" t="n"/>
      <c r="L70" s="3326" t="n"/>
      <c r="M70" s="3326" t="n"/>
      <c r="N70" s="3326" t="n"/>
      <c r="O70" s="3326" t="n"/>
      <c r="P70" s="3326" t="n"/>
      <c r="Q70" s="3326" t="n"/>
      <c r="R70" s="3327" t="n"/>
      <c r="S70" s="3328" t="n"/>
      <c r="T70" s="3306" t="n"/>
      <c r="V70" s="229" t="n"/>
      <c r="AO70" s="11704" t="n"/>
      <c r="AP70" s="658" t="n"/>
      <c r="AQ70" s="658" t="n"/>
      <c r="AR70" s="658" t="n"/>
      <c r="AS70" s="658" t="n"/>
      <c r="AT70" s="658" t="n"/>
      <c r="AU70" s="658" t="n"/>
    </row>
    <row r="71" ht="14.25" customHeight="1" s="7635" thickBot="1">
      <c r="A71" s="88" t="n"/>
      <c r="B71" s="3323" t="n"/>
      <c r="C71" s="2770" t="n"/>
      <c r="D71" s="2770" t="n"/>
      <c r="E71" s="2770" t="n"/>
      <c r="F71" s="2770" t="n"/>
      <c r="G71" s="2770" t="n"/>
      <c r="H71" s="2770" t="n"/>
      <c r="I71" s="2770" t="n"/>
      <c r="J71" s="2770" t="n"/>
      <c r="K71" s="2770" t="n"/>
      <c r="L71" s="2770" t="n"/>
      <c r="M71" s="2770" t="n"/>
      <c r="N71" s="2770" t="n"/>
      <c r="O71" s="2770" t="n"/>
      <c r="P71" s="2770" t="n"/>
      <c r="Q71" s="2770" t="n"/>
      <c r="R71" s="3329" t="n"/>
      <c r="S71" s="3004" t="n"/>
      <c r="T71" s="3306" t="n"/>
      <c r="U71" s="3330" t="n"/>
      <c r="V71" s="229" t="n"/>
      <c r="AD71" s="829" t="inlineStr">
        <is>
          <t>Schedule D Tax Worksheet</t>
        </is>
      </c>
      <c r="AE71" s="830" t="n"/>
      <c r="AF71" s="830" t="n"/>
      <c r="AG71" s="830">
        <f>SchDTW_Used</f>
        <v/>
      </c>
      <c r="AH71" s="843" t="inlineStr">
        <is>
          <t>&lt;&lt; Used?</t>
        </is>
      </c>
      <c r="AO71" s="11704" t="n"/>
      <c r="AP71" s="658" t="n"/>
      <c r="AQ71" s="658" t="n"/>
      <c r="AR71" s="658" t="n"/>
      <c r="AS71" s="658" t="n"/>
      <c r="AT71" s="658" t="n"/>
      <c r="AU71" s="658" t="n"/>
    </row>
    <row r="72" ht="12" customHeight="1" s="7635" thickBot="1">
      <c r="A72" s="88" t="n"/>
      <c r="B72" s="3331" t="n">
        <v>1</v>
      </c>
      <c r="C72" s="2770" t="n"/>
      <c r="D72" s="2769" t="inlineStr">
        <is>
          <t xml:space="preserve">Enter your taxable income from Form 1040, 1040-SR, or 1040-NR, line 15. (However, if you are filing </t>
        </is>
      </c>
      <c r="E72" s="2770" t="n"/>
      <c r="F72" s="2770" t="n"/>
      <c r="G72" s="2770" t="n"/>
      <c r="H72" s="2770" t="n"/>
      <c r="I72" s="2770" t="n"/>
      <c r="J72" s="2770" t="n"/>
      <c r="K72" s="2770" t="n"/>
      <c r="L72" s="2770" t="n"/>
      <c r="M72" s="2770" t="n"/>
      <c r="N72" s="2770" t="n"/>
      <c r="O72" s="2770" t="n"/>
      <c r="P72" s="2770" t="n"/>
      <c r="Q72" s="2770" t="n"/>
      <c r="R72" s="3324" t="n"/>
      <c r="S72" s="3004" t="n"/>
      <c r="T72" s="3306" t="n"/>
      <c r="U72" s="148" t="inlineStr">
        <is>
          <t>Manual</t>
        </is>
      </c>
      <c r="V72" s="229" t="n"/>
      <c r="W72" s="4466" t="n"/>
      <c r="X72" s="9123" t="inlineStr">
        <is>
          <t>Check here to</t>
        </is>
      </c>
      <c r="AC72" s="3297">
        <f>W72&lt;&gt;""</f>
        <v/>
      </c>
      <c r="AD72" s="3332" t="inlineStr">
        <is>
          <t>1.</t>
        </is>
      </c>
      <c r="AE72" s="8648" t="inlineStr">
        <is>
          <t>&lt; Customize &gt;</t>
        </is>
      </c>
      <c r="AG72" s="2628" t="n">
        <v>0</v>
      </c>
      <c r="AH72" s="832" t="n"/>
      <c r="AO72" s="11704" t="n"/>
      <c r="AP72" s="658" t="n"/>
      <c r="AQ72" s="658" t="n"/>
      <c r="AR72" s="658" t="n"/>
      <c r="AS72" s="658" t="n"/>
      <c r="AT72" s="658" t="n"/>
      <c r="AU72" s="658" t="n"/>
    </row>
    <row r="73" ht="12.75" customHeight="1" s="7635">
      <c r="A73" s="88" t="n"/>
      <c r="B73" s="3323" t="n"/>
      <c r="C73" s="2770" t="n"/>
      <c r="D73" s="3214" t="inlineStr">
        <is>
          <t xml:space="preserve">Form 2555 (relating to foreign earned income), enter instead the amount from line 3 of the </t>
        </is>
      </c>
      <c r="E73" s="2770" t="n"/>
      <c r="F73" s="2770" t="n"/>
      <c r="G73" s="2770" t="n"/>
      <c r="H73" s="2770" t="n"/>
      <c r="I73" s="2770" t="n"/>
      <c r="J73" s="2770" t="n"/>
      <c r="K73" s="2770" t="n"/>
      <c r="L73" s="2770" t="n"/>
      <c r="M73" s="2770" t="n"/>
      <c r="N73" s="2770" t="n"/>
      <c r="O73" s="2770" t="n"/>
      <c r="P73" s="2770" t="n"/>
      <c r="Q73" s="2770" t="n"/>
      <c r="R73" s="3324" t="n"/>
      <c r="S73" s="3004" t="n"/>
      <c r="T73" s="3306" t="n"/>
      <c r="U73" s="148" t="inlineStr">
        <is>
          <t>Override ê</t>
        </is>
      </c>
      <c r="V73" s="229" t="n"/>
      <c r="X73" s="9123" t="inlineStr">
        <is>
          <t xml:space="preserve">complete this </t>
        </is>
      </c>
      <c r="AD73" s="833" t="inlineStr">
        <is>
          <t>2.</t>
        </is>
      </c>
      <c r="AE73" s="8648" t="inlineStr">
        <is>
          <t>Form 1040, line 3a</t>
        </is>
      </c>
      <c r="AG73" s="2628">
        <f>Qualified_Dividends</f>
        <v/>
      </c>
      <c r="AH73" s="832" t="n"/>
      <c r="AO73" s="11704" t="n"/>
      <c r="AP73" s="658" t="n"/>
      <c r="AQ73" s="658" t="n"/>
      <c r="AR73" s="658" t="n"/>
      <c r="AS73" s="658" t="n"/>
      <c r="AT73" s="658" t="n"/>
      <c r="AU73" s="658" t="n"/>
    </row>
    <row r="74" ht="12.75" customHeight="1" s="7635">
      <c r="A74" s="88" t="n"/>
      <c r="B74" s="3323" t="n"/>
      <c r="C74" s="8374" t="n"/>
      <c r="D74" s="2769" t="inlineStr">
        <is>
          <t>Foreign Earned Income Tax Worksheet in the Instructions for Form 1040 or 1040-SR, line 16)</t>
        </is>
      </c>
      <c r="E74" s="2769" t="n"/>
      <c r="F74" s="2769" t="n"/>
      <c r="G74" s="11262" t="n"/>
      <c r="H74" s="11262" t="n"/>
      <c r="I74" s="11262" t="n"/>
      <c r="J74" s="2771" t="n"/>
      <c r="K74" s="2771" t="n"/>
      <c r="L74" s="2771" t="n"/>
      <c r="M74" s="2771" t="n"/>
      <c r="N74" s="2771" t="n"/>
      <c r="O74" s="3300" t="inlineStr">
        <is>
          <t xml:space="preserve">.   .   .   .   .   .   .   .   .   .   .   .   .   .   .   . </t>
        </is>
      </c>
      <c r="P74" s="2771" t="n"/>
      <c r="Q74" s="8375">
        <f>B72</f>
        <v/>
      </c>
      <c r="R74" s="2628">
        <f>IF(U74&lt;&gt;"",ROUND(U74,0),IF(NOT(SchDTW_Used),"",IF(Form2555_Used,FEI_TW_Line3,IF(Taxable_Inc&lt;&gt;"",Taxable_Inc,0))))</f>
        <v/>
      </c>
      <c r="S74" s="3224" t="n"/>
      <c r="T74" s="3334" t="n"/>
      <c r="U74" s="324" t="n"/>
      <c r="V74" s="229" t="n"/>
      <c r="X74" s="9123" t="inlineStr">
        <is>
          <t>worksheet anyway.</t>
        </is>
      </c>
      <c r="AD74" s="834" t="inlineStr">
        <is>
          <t>3.</t>
        </is>
      </c>
      <c r="AE74" s="8648" t="inlineStr">
        <is>
          <t>Form 4952, line 4g</t>
        </is>
      </c>
      <c r="AG74" s="2628">
        <f>Form4952_Line4g</f>
        <v/>
      </c>
      <c r="AH74" s="832" t="n"/>
      <c r="AO74" s="11704" t="n"/>
      <c r="AP74" s="658" t="n"/>
      <c r="AQ74" s="658" t="n"/>
      <c r="AR74" s="658" t="n"/>
      <c r="AS74" s="658" t="n"/>
      <c r="AT74" s="658" t="n"/>
      <c r="AU74" s="658" t="n"/>
    </row>
    <row r="75" ht="12.75" customHeight="1" s="7635">
      <c r="A75" s="88" t="n"/>
      <c r="B75" s="3331" t="n">
        <v>2</v>
      </c>
      <c r="C75" s="8374" t="n"/>
      <c r="D75" s="2769" t="inlineStr">
        <is>
          <t>Enter your qualified dividends from Form 1040,</t>
        </is>
      </c>
      <c r="E75" s="2769" t="n"/>
      <c r="F75" s="2769" t="n"/>
      <c r="G75" s="11262" t="n"/>
      <c r="H75" s="11262" t="n"/>
      <c r="I75" s="11262" t="n"/>
      <c r="J75" s="2771" t="n"/>
      <c r="K75" s="2771" t="n"/>
      <c r="L75" s="2771" t="n"/>
      <c r="M75" s="2771" t="n"/>
      <c r="N75" s="2771" t="n"/>
      <c r="O75" s="3300" t="n"/>
      <c r="P75" s="2771" t="n"/>
      <c r="Q75" s="3300" t="n"/>
      <c r="R75" s="2776" t="n"/>
      <c r="S75" s="3224" t="n"/>
      <c r="T75" s="3334" t="n"/>
      <c r="U75" s="3335" t="n"/>
      <c r="V75" s="229" t="n"/>
      <c r="AD75" s="834" t="inlineStr">
        <is>
          <t>4.</t>
        </is>
      </c>
      <c r="AE75" s="8648" t="inlineStr">
        <is>
          <t>Form 4952, line 4e</t>
        </is>
      </c>
      <c r="AG75" s="2628">
        <f>Form4952_Line4e</f>
        <v/>
      </c>
      <c r="AH75" s="832" t="n"/>
      <c r="AO75" s="11704" t="n"/>
      <c r="AP75" s="658" t="n"/>
      <c r="AQ75" s="658" t="n"/>
      <c r="AR75" s="658" t="n"/>
      <c r="AS75" s="658" t="n"/>
      <c r="AT75" s="658" t="n"/>
      <c r="AU75" s="658" t="n"/>
    </row>
    <row r="76" ht="13.5" customHeight="1" s="7635">
      <c r="A76" s="88" t="n"/>
      <c r="B76" s="3331" t="n"/>
      <c r="C76" s="8374" t="n"/>
      <c r="D76" s="3336" t="inlineStr">
        <is>
          <t>1040-SR, or 1040-NR, line 3a</t>
        </is>
      </c>
      <c r="E76" s="2769" t="n"/>
      <c r="F76" s="2769" t="n"/>
      <c r="G76" s="11262" t="n"/>
      <c r="H76" s="11262" t="n"/>
      <c r="I76" s="11262" t="n"/>
      <c r="J76" s="3300" t="inlineStr">
        <is>
          <t xml:space="preserve">.   .   .   .   .   .   .   .   .   .   .   .   .   .   .   .   .   .   .   .   .   .   .   . </t>
        </is>
      </c>
      <c r="K76" s="8375">
        <f>B75</f>
        <v/>
      </c>
      <c r="L76" s="2628">
        <f>IF(U76&lt;&gt;"",U76,IF(NOT(SchDTW_Used),"",Qualified_Dividends))</f>
        <v/>
      </c>
      <c r="M76" s="3197" t="n"/>
      <c r="N76" s="3197" t="n"/>
      <c r="O76" s="3197" t="n"/>
      <c r="P76" s="3197" t="n"/>
      <c r="Q76" s="3073" t="n"/>
      <c r="R76" s="2776" t="n"/>
      <c r="S76" s="2776" t="n"/>
      <c r="T76" s="3337" t="n"/>
      <c r="U76" s="324" t="n"/>
      <c r="V76" s="229" t="n"/>
      <c r="X76" s="8648" t="n"/>
      <c r="AD76" s="833" t="inlineStr">
        <is>
          <t>5.</t>
        </is>
      </c>
      <c r="AE76" s="8648" t="inlineStr">
        <is>
          <t>Subtract line 4 from 3</t>
        </is>
      </c>
      <c r="AG76" s="2628">
        <f>MAX(0,SUM(AG74-AG75))</f>
        <v/>
      </c>
      <c r="AH76" s="832" t="n"/>
      <c r="AO76" s="11704" t="n"/>
      <c r="AP76" s="658" t="n"/>
      <c r="AQ76" s="658" t="n"/>
      <c r="AR76" s="658" t="n"/>
      <c r="AS76" s="658" t="n"/>
      <c r="AT76" s="658" t="n"/>
      <c r="AU76" s="658" t="n"/>
    </row>
    <row r="77" ht="12.75" customHeight="1" s="7635">
      <c r="A77" s="88" t="n"/>
      <c r="B77" s="3338" t="inlineStr">
        <is>
          <t>3.</t>
        </is>
      </c>
      <c r="C77" s="8374" t="n"/>
      <c r="D77" s="8077" t="inlineStr">
        <is>
          <t>Enter the amount from Form 4952 (used to figure investment interest</t>
        </is>
      </c>
      <c r="I77" s="3016" t="n"/>
      <c r="J77" s="11262" t="n"/>
      <c r="K77" s="11262" t="n"/>
      <c r="L77" s="11262" t="n"/>
      <c r="M77" s="8374" t="n"/>
      <c r="N77" s="8374" t="n"/>
      <c r="O77" s="3197" t="n"/>
      <c r="P77" s="8374" t="n"/>
      <c r="Q77" s="3073" t="n"/>
      <c r="R77" s="2776" t="n"/>
      <c r="S77" s="2776" t="n"/>
      <c r="T77" s="3337" t="n"/>
      <c r="U77" s="3335" t="n"/>
      <c r="V77" s="229" t="n"/>
      <c r="AD77" s="835" t="inlineStr">
        <is>
          <t>6.</t>
        </is>
      </c>
      <c r="AE77" s="8648" t="inlineStr">
        <is>
          <t>Subtract line 5 from 2</t>
        </is>
      </c>
      <c r="AG77" s="2628">
        <f>MAX(0,SUM(AG73,-AG76))</f>
        <v/>
      </c>
      <c r="AH77" s="832" t="n"/>
      <c r="AO77" s="11704" t="n"/>
      <c r="AP77" s="658" t="n"/>
      <c r="AQ77" s="658" t="n"/>
      <c r="AR77" s="658" t="n"/>
      <c r="AS77" s="658" t="n"/>
      <c r="AT77" s="658" t="n"/>
      <c r="AU77" s="658" t="n"/>
    </row>
    <row r="78" ht="14.25" customHeight="1" s="7635">
      <c r="A78" s="88" t="n"/>
      <c r="B78" s="3338" t="n"/>
      <c r="C78" s="8374" t="n"/>
      <c r="D78" s="8077" t="inlineStr">
        <is>
          <t>expense deduction), line 4g   .   .   .   .   .   .   .   .   .   .</t>
        </is>
      </c>
      <c r="I78" s="3339">
        <f>B77</f>
        <v/>
      </c>
      <c r="J78" s="2628">
        <f>ROUND(R63,0)</f>
        <v/>
      </c>
      <c r="K78" s="11262">
        <f>IF(R63&lt;&gt;"",""," (See Cell P63.) (used to figure investment interest expense deduction)")</f>
        <v/>
      </c>
      <c r="L78" s="11262" t="n"/>
      <c r="M78" s="8374" t="n"/>
      <c r="N78" s="8374" t="n"/>
      <c r="O78" s="3197" t="n"/>
      <c r="P78" s="8374" t="n"/>
      <c r="Q78" s="3073" t="n"/>
      <c r="R78" s="2776" t="n"/>
      <c r="S78" s="2776" t="n"/>
      <c r="T78" s="3337" t="n"/>
      <c r="U78" s="3335" t="n"/>
      <c r="V78" s="229" t="n"/>
      <c r="AD78" s="833" t="inlineStr">
        <is>
          <t>7.</t>
        </is>
      </c>
      <c r="AE78" s="8648" t="inlineStr">
        <is>
          <t>Smaller of Sch. D, L15 or 16</t>
        </is>
      </c>
      <c r="AG78" s="2628">
        <f>MIN(SchDLine15,SchDLine16)</f>
        <v/>
      </c>
      <c r="AH78" s="832" t="n"/>
      <c r="AO78" s="11704" t="n"/>
      <c r="AP78" s="658" t="n"/>
      <c r="AQ78" s="658" t="n"/>
      <c r="AR78" s="658" t="n"/>
      <c r="AS78" s="658" t="n"/>
      <c r="AT78" s="658" t="n"/>
      <c r="AU78" s="658" t="n"/>
    </row>
    <row r="79" ht="13.5" customHeight="1" s="7635">
      <c r="A79" s="88" t="n"/>
      <c r="B79" s="3340" t="inlineStr">
        <is>
          <t>4.</t>
        </is>
      </c>
      <c r="C79" s="8374" t="n"/>
      <c r="D79" s="2769" t="inlineStr">
        <is>
          <t>Enter the amount from Form 4952, line 4e* .   .   .   .   .   .   .   .   .   .</t>
        </is>
      </c>
      <c r="E79" s="2769" t="n"/>
      <c r="F79" s="2769" t="n"/>
      <c r="G79" s="11262" t="n"/>
      <c r="H79" s="11262" t="n"/>
      <c r="I79" s="3016">
        <f>B79</f>
        <v/>
      </c>
      <c r="J79" s="8797" t="n"/>
      <c r="K79" s="8374" t="n"/>
      <c r="L79" s="8374" t="n"/>
      <c r="M79" s="8374" t="n"/>
      <c r="N79" s="8374" t="n"/>
      <c r="O79" s="3197" t="n"/>
      <c r="P79" s="8374" t="n"/>
      <c r="Q79" s="3073" t="n"/>
      <c r="R79" s="2987">
        <f>AND(Form4952_Line4g&lt;&gt;"",Form4952_Line4g&gt;0)</f>
        <v/>
      </c>
      <c r="S79" s="2776" t="n"/>
      <c r="T79" s="3337" t="n"/>
      <c r="U79" s="3335" t="n"/>
      <c r="V79" s="229" t="n"/>
      <c r="AD79" s="833" t="inlineStr">
        <is>
          <t>8.</t>
        </is>
      </c>
      <c r="AE79" s="8648" t="inlineStr">
        <is>
          <t>Smaller of line 3 or 4</t>
        </is>
      </c>
      <c r="AG79" s="2628">
        <f>MIN(AG74,AG75)</f>
        <v/>
      </c>
      <c r="AH79" s="832" t="n"/>
      <c r="AO79" s="11704" t="n"/>
      <c r="AP79" s="658" t="n"/>
      <c r="AQ79" s="658" t="n"/>
      <c r="AR79" s="658" t="n"/>
      <c r="AS79" s="658" t="n"/>
      <c r="AT79" s="658" t="n"/>
      <c r="AU79" s="658" t="n"/>
    </row>
    <row r="80" ht="14.25" customHeight="1" s="7635">
      <c r="A80" s="88" t="n"/>
      <c r="B80" s="3340" t="inlineStr">
        <is>
          <t>5.</t>
        </is>
      </c>
      <c r="C80" s="8374" t="n"/>
      <c r="D80" s="2769" t="inlineStr">
        <is>
          <t>Subtract line 4 from line 3. If zero or less, enter -0-</t>
        </is>
      </c>
      <c r="E80" s="2769" t="n"/>
      <c r="F80" s="2769" t="n"/>
      <c r="G80" s="11262" t="n"/>
      <c r="H80" s="11262" t="n"/>
      <c r="I80" s="11262" t="n"/>
      <c r="J80" s="2075" t="inlineStr">
        <is>
          <t>.   .   .   .   .   .   .   .   .   .</t>
        </is>
      </c>
      <c r="K80" s="8374">
        <f>B80</f>
        <v/>
      </c>
      <c r="L80" s="2628">
        <f>IF(NOT(SchDTW_Used),"",MAX(0,J78-J79))</f>
        <v/>
      </c>
      <c r="M80" s="3197" t="n"/>
      <c r="N80" s="3197" t="n"/>
      <c r="O80" s="3197" t="n"/>
      <c r="P80" s="3197" t="n"/>
      <c r="Q80" s="3073" t="n"/>
      <c r="R80" s="2776" t="n"/>
      <c r="S80" s="2776" t="n"/>
      <c r="T80" s="3337" t="n"/>
      <c r="U80" s="3335" t="n"/>
      <c r="V80" s="229" t="n"/>
      <c r="AD80" s="835" t="inlineStr">
        <is>
          <t>9.</t>
        </is>
      </c>
      <c r="AE80" s="8648" t="inlineStr">
        <is>
          <t>Subtract line 8 from 7</t>
        </is>
      </c>
      <c r="AG80" s="2628">
        <f>MAX(0,SUM(AG78,-AG79))</f>
        <v/>
      </c>
      <c r="AH80" s="832" t="n"/>
      <c r="AO80" s="11704" t="n"/>
      <c r="AP80" s="658" t="n"/>
      <c r="AQ80" s="658" t="n"/>
      <c r="AR80" s="658" t="n"/>
      <c r="AS80" s="658" t="n"/>
      <c r="AT80" s="658" t="n"/>
      <c r="AU80" s="658" t="n"/>
    </row>
    <row r="81">
      <c r="A81" s="88" t="n"/>
      <c r="B81" s="3340" t="inlineStr">
        <is>
          <t>6.</t>
        </is>
      </c>
      <c r="C81" s="8374" t="n"/>
      <c r="D81" s="2769" t="inlineStr">
        <is>
          <t>Subtract line 5 from line 2. If zero or less, enter -0-**</t>
        </is>
      </c>
      <c r="E81" s="2769" t="n"/>
      <c r="F81" s="2769" t="n"/>
      <c r="G81" s="11262" t="n"/>
      <c r="H81" s="11262" t="n"/>
      <c r="I81" s="11262" t="n"/>
      <c r="J81" s="2771" t="n"/>
      <c r="K81" s="8374" t="n"/>
      <c r="L81" s="3222" t="inlineStr">
        <is>
          <t>.   .   .   .   .   .   .   .   .   .   .   .   .   .   .   .   .   .   .   .</t>
        </is>
      </c>
      <c r="M81" s="8374">
        <f>B81</f>
        <v/>
      </c>
      <c r="O81" s="2628">
        <f>IF(NOT(SchDTW_Used),"",MAX(0,L76-L80))</f>
        <v/>
      </c>
      <c r="P81" s="8374" t="n"/>
      <c r="Q81" s="3073" t="n"/>
      <c r="R81" s="2776" t="n"/>
      <c r="S81" s="2776" t="n"/>
      <c r="T81" s="3337" t="n"/>
      <c r="U81" s="3335" t="n"/>
      <c r="V81" s="229" t="n"/>
      <c r="AD81" s="833" t="inlineStr">
        <is>
          <t>10.</t>
        </is>
      </c>
      <c r="AE81" s="8648" t="inlineStr">
        <is>
          <t>Add lines 6 and 9</t>
        </is>
      </c>
      <c r="AG81" s="2628">
        <f>SUM(AG77,AG80)</f>
        <v/>
      </c>
      <c r="AH81" s="832" t="n"/>
      <c r="AO81" s="11704" t="n"/>
      <c r="AP81" s="658" t="n"/>
      <c r="AQ81" s="658" t="n"/>
      <c r="AR81" s="658" t="n"/>
      <c r="AS81" s="658" t="n"/>
      <c r="AT81" s="658" t="n"/>
      <c r="AU81" s="658" t="n"/>
    </row>
    <row r="82">
      <c r="A82" s="88" t="n"/>
      <c r="B82" s="3340" t="inlineStr">
        <is>
          <t>7.</t>
        </is>
      </c>
      <c r="C82" s="8374" t="n"/>
      <c r="D82" s="2769" t="inlineStr">
        <is>
          <t>Enter the smaller of line 15 or line 16 of Schedule D</t>
        </is>
      </c>
      <c r="E82" s="2769" t="n"/>
      <c r="F82" s="2769" t="n"/>
      <c r="G82" s="11262" t="n"/>
      <c r="H82" s="11262" t="n"/>
      <c r="I82" s="11262" t="n"/>
      <c r="J82" s="2075" t="inlineStr">
        <is>
          <t>.   .   .   .   .   .   .   .   .   .</t>
        </is>
      </c>
      <c r="K82" s="8374">
        <f>B82</f>
        <v/>
      </c>
      <c r="L82" s="2628">
        <f>IF(NOT(SchDTW_Used),"",MIN(SchDLine15,SchDLine16))</f>
        <v/>
      </c>
      <c r="M82" s="3197" t="n"/>
      <c r="N82" s="3197" t="n"/>
      <c r="O82" s="3341" t="n"/>
      <c r="P82" s="3197" t="n"/>
      <c r="Q82" s="3073" t="n"/>
      <c r="R82" s="2776" t="n"/>
      <c r="S82" s="2776" t="n"/>
      <c r="T82" s="3337" t="n"/>
      <c r="U82" s="3335" t="n"/>
      <c r="V82" s="229" t="n"/>
      <c r="X82" s="3342" t="n"/>
      <c r="AD82" s="835" t="inlineStr">
        <is>
          <t>11.</t>
        </is>
      </c>
      <c r="AE82" s="8648" t="inlineStr">
        <is>
          <t>Add Sch. D, L 18 &amp; 19</t>
        </is>
      </c>
      <c r="AG82" s="2628">
        <f>SUM(SchDLine18,SchDLine19)</f>
        <v/>
      </c>
      <c r="AH82" s="832" t="n"/>
      <c r="AO82" s="11704" t="n"/>
      <c r="AP82" s="658" t="n"/>
      <c r="AQ82" s="658" t="n"/>
      <c r="AR82" s="658" t="n"/>
      <c r="AS82" s="658" t="n"/>
      <c r="AT82" s="658" t="n"/>
      <c r="AU82" s="658" t="n"/>
    </row>
    <row r="83">
      <c r="A83" s="88" t="n"/>
      <c r="B83" s="3340" t="inlineStr">
        <is>
          <t>8.</t>
        </is>
      </c>
      <c r="C83" s="8374" t="n"/>
      <c r="D83" s="2769" t="inlineStr">
        <is>
          <t>Enter the smaller of line 3 or line 4</t>
        </is>
      </c>
      <c r="E83" s="2769" t="n"/>
      <c r="F83" s="2769" t="n"/>
      <c r="G83" s="11262" t="n"/>
      <c r="H83" s="11262" t="n"/>
      <c r="I83" s="11262" t="n"/>
      <c r="J83" s="2075" t="inlineStr">
        <is>
          <t>.   .   .   .   .   .   .   .   .   .   .   .   .   .   .   .</t>
        </is>
      </c>
      <c r="K83" s="8374">
        <f>B83</f>
        <v/>
      </c>
      <c r="L83" s="2628">
        <f>IF(NOT(SchDTW_Used),"",MIN(J78,J79))</f>
        <v/>
      </c>
      <c r="M83" s="3197" t="n"/>
      <c r="N83" s="3197" t="n"/>
      <c r="O83" s="3034" t="n"/>
      <c r="P83" s="3197" t="n"/>
      <c r="Q83" s="3073" t="n"/>
      <c r="R83" s="2776" t="n"/>
      <c r="S83" s="2776" t="n"/>
      <c r="T83" s="3337" t="n"/>
      <c r="U83" s="3335" t="n"/>
      <c r="V83" s="229" t="n"/>
      <c r="AD83" s="833" t="inlineStr">
        <is>
          <t>12.</t>
        </is>
      </c>
      <c r="AE83" s="8648" t="inlineStr">
        <is>
          <t>Smaller of line 9 or 11</t>
        </is>
      </c>
      <c r="AG83" s="2628">
        <f>MIN(AG80,AG82)</f>
        <v/>
      </c>
      <c r="AH83" s="832" t="n"/>
      <c r="AO83" s="11704" t="n"/>
      <c r="AP83" s="658" t="n"/>
      <c r="AQ83" s="658" t="n"/>
      <c r="AR83" s="658" t="n"/>
      <c r="AS83" s="658" t="n"/>
      <c r="AT83" s="658" t="n"/>
      <c r="AU83" s="658" t="n"/>
    </row>
    <row r="84">
      <c r="A84" s="88" t="n"/>
      <c r="B84" s="3340" t="inlineStr">
        <is>
          <t>9.</t>
        </is>
      </c>
      <c r="C84" s="8374" t="n"/>
      <c r="D84" s="2769" t="inlineStr">
        <is>
          <t>Subtract line 8 from line 7. If zero or less, enter -0-**</t>
        </is>
      </c>
      <c r="E84" s="2769" t="n"/>
      <c r="F84" s="2769" t="n"/>
      <c r="G84" s="11262" t="n"/>
      <c r="H84" s="11262" t="n"/>
      <c r="I84" s="11262" t="n"/>
      <c r="J84" s="2771" t="n"/>
      <c r="K84" s="8374" t="n"/>
      <c r="L84" s="3222" t="inlineStr">
        <is>
          <t>.   .   .   .   .   .   .   .   .   .   .   .   .   .   .   .   .   .   .   .</t>
        </is>
      </c>
      <c r="M84" s="8374">
        <f>B84</f>
        <v/>
      </c>
      <c r="O84" s="2628">
        <f>IF(NOT(SchDTW_Used),"",MAX(0,L82-L83))</f>
        <v/>
      </c>
      <c r="P84" s="8374" t="n"/>
      <c r="Q84" s="3073" t="n"/>
      <c r="R84" s="2776" t="n"/>
      <c r="S84" s="2776" t="n"/>
      <c r="T84" s="3337" t="n"/>
      <c r="U84" s="148" t="inlineStr">
        <is>
          <t>Manual</t>
        </is>
      </c>
      <c r="V84" s="229" t="n"/>
      <c r="AD84" s="831" t="inlineStr">
        <is>
          <t>13.</t>
        </is>
      </c>
      <c r="AE84" s="8648" t="inlineStr">
        <is>
          <t>Subtract line 12 from 10</t>
        </is>
      </c>
      <c r="AG84" s="2628">
        <f>SUM(AG81,-AG83)</f>
        <v/>
      </c>
      <c r="AH84" s="832" t="n"/>
      <c r="AO84" s="11704" t="n"/>
      <c r="AP84" s="658" t="n"/>
      <c r="AQ84" s="658" t="n"/>
      <c r="AR84" s="658" t="n"/>
      <c r="AS84" s="658" t="n"/>
      <c r="AT84" s="658" t="n"/>
      <c r="AU84" s="658" t="n"/>
    </row>
    <row r="85" ht="13.5" customHeight="1" s="7635">
      <c r="A85" s="88" t="n"/>
      <c r="B85" s="3340" t="inlineStr">
        <is>
          <t>10.</t>
        </is>
      </c>
      <c r="C85" s="8374" t="n"/>
      <c r="D85" s="2769" t="inlineStr">
        <is>
          <t>Add lines 6 and 9</t>
        </is>
      </c>
      <c r="E85" s="2769" t="n"/>
      <c r="F85" s="2769" t="n"/>
      <c r="G85" s="11262" t="n"/>
      <c r="H85" s="11262" t="n"/>
      <c r="I85" s="11262" t="n"/>
      <c r="J85" s="2075" t="inlineStr">
        <is>
          <t>.   .   .   .   .   .   .   .   .   .   .   .   .   .   .   .   .   .   .   .   .   .</t>
        </is>
      </c>
      <c r="K85" s="8374">
        <f>B85</f>
        <v/>
      </c>
      <c r="L85" s="2628">
        <f>IF(NOT(SchDTW_Used),"",O81+O84)</f>
        <v/>
      </c>
      <c r="M85" s="2776" t="n"/>
      <c r="N85" s="2776" t="n"/>
      <c r="O85" s="3343" t="n"/>
      <c r="P85" s="2776" t="n"/>
      <c r="Q85" s="2776" t="n"/>
      <c r="R85" s="2776" t="n"/>
      <c r="S85" s="2776" t="n"/>
      <c r="T85" s="3337" t="n"/>
      <c r="U85" s="148" t="inlineStr">
        <is>
          <t>Override ê</t>
        </is>
      </c>
      <c r="V85" s="229" t="n"/>
      <c r="X85" s="8648" t="n"/>
      <c r="AD85" s="831" t="inlineStr">
        <is>
          <t>14.</t>
        </is>
      </c>
      <c r="AE85" s="8648" t="inlineStr">
        <is>
          <t>Subtract line 13 from 1</t>
        </is>
      </c>
      <c r="AG85" s="2628">
        <f>MAX(0,SUM(AG72,-AG84))</f>
        <v/>
      </c>
      <c r="AH85" s="832" t="n"/>
      <c r="AO85" s="11704" t="n"/>
      <c r="AP85" s="658" t="n"/>
      <c r="AQ85" s="658" t="n"/>
      <c r="AR85" s="658" t="n"/>
      <c r="AS85" s="658" t="n"/>
      <c r="AT85" s="658" t="n"/>
      <c r="AU85" s="658" t="n"/>
    </row>
    <row r="86">
      <c r="A86" s="88" t="n"/>
      <c r="B86" s="3340" t="inlineStr">
        <is>
          <t>11.</t>
        </is>
      </c>
      <c r="C86" s="8374" t="n"/>
      <c r="D86" s="2769" t="inlineStr">
        <is>
          <t>Add lines 18 and 19 of Schedule D**</t>
        </is>
      </c>
      <c r="E86" s="2769" t="n"/>
      <c r="F86" s="2769" t="n"/>
      <c r="G86" s="11262" t="n"/>
      <c r="H86" s="11262" t="n"/>
      <c r="I86" s="11262" t="n"/>
      <c r="J86" s="2771" t="n"/>
      <c r="K86" s="2771" t="n"/>
      <c r="L86" s="3222" t="inlineStr">
        <is>
          <t>.   .   .   .   .   .   .   .   .   .   .   .   .   .   .   .   .   .   .   .   .   .   .   .   .</t>
        </is>
      </c>
      <c r="M86" s="8374">
        <f>B86</f>
        <v/>
      </c>
      <c r="O86" s="2628">
        <f>IF(U86&lt;&gt;"",U86,IF(NOT(SchDTW_Used),"",SUM('Sch. D'!O72,'Sch. D'!O75)))</f>
        <v/>
      </c>
      <c r="P86" s="8374" t="n"/>
      <c r="Q86" s="3073" t="n"/>
      <c r="R86" s="2776" t="n"/>
      <c r="S86" s="2776" t="n"/>
      <c r="T86" s="3337" t="n"/>
      <c r="U86" s="324" t="n"/>
      <c r="V86" s="229" t="n"/>
      <c r="AD86" s="833" t="inlineStr">
        <is>
          <t>15.</t>
        </is>
      </c>
      <c r="AE86" s="8648" t="inlineStr">
        <is>
          <t>Sch. DTW line 15</t>
        </is>
      </c>
      <c r="AG86" s="2628">
        <f>SchDTW_Line15</f>
        <v/>
      </c>
      <c r="AH86" s="832" t="n"/>
      <c r="AO86" s="11704" t="n"/>
      <c r="AP86" s="658" t="n"/>
      <c r="AQ86" s="658" t="n"/>
      <c r="AR86" s="658" t="n"/>
      <c r="AS86" s="658" t="n"/>
      <c r="AT86" s="658" t="n"/>
      <c r="AU86" s="658" t="n"/>
    </row>
    <row r="87">
      <c r="A87" s="88" t="n"/>
      <c r="B87" s="3340" t="inlineStr">
        <is>
          <t>12.</t>
        </is>
      </c>
      <c r="C87" s="8374" t="n"/>
      <c r="D87" s="2769" t="inlineStr">
        <is>
          <t>Enter the smaller of line 9 or line 11</t>
        </is>
      </c>
      <c r="E87" s="2769" t="n"/>
      <c r="F87" s="2769" t="n"/>
      <c r="G87" s="11262" t="n"/>
      <c r="H87" s="11262" t="n"/>
      <c r="I87" s="11262" t="n"/>
      <c r="J87" s="2771" t="n"/>
      <c r="K87" s="8374">
        <f>B87</f>
        <v/>
      </c>
      <c r="L87" s="2628">
        <f>IF(NOT(SchDTW_Used),"",MIN(O84,O86))</f>
        <v/>
      </c>
      <c r="M87" s="8374" t="n"/>
      <c r="N87" s="8374" t="n"/>
      <c r="O87" s="2772" t="n"/>
      <c r="P87" s="8374" t="n"/>
      <c r="Q87" s="3073" t="n"/>
      <c r="R87" s="2776" t="n"/>
      <c r="S87" s="2776" t="n"/>
      <c r="T87" s="3337" t="n"/>
      <c r="U87" s="3335" t="n"/>
      <c r="V87" s="229" t="n"/>
      <c r="AD87" s="835" t="inlineStr">
        <is>
          <t>16.</t>
        </is>
      </c>
      <c r="AE87" s="8648" t="inlineStr">
        <is>
          <t>Smaller of line 1 or 15</t>
        </is>
      </c>
      <c r="AG87" s="2628">
        <f>MIN(AG72,AG86)</f>
        <v/>
      </c>
      <c r="AH87" s="832" t="n"/>
      <c r="AO87" s="11704" t="n"/>
      <c r="AP87" s="658" t="n"/>
      <c r="AQ87" s="658" t="n"/>
      <c r="AR87" s="658" t="n"/>
      <c r="AS87" s="658" t="n"/>
      <c r="AT87" s="658" t="n"/>
      <c r="AU87" s="658" t="n"/>
    </row>
    <row r="88">
      <c r="A88" s="88" t="n"/>
      <c r="B88" s="3340" t="inlineStr">
        <is>
          <t>13.</t>
        </is>
      </c>
      <c r="C88" s="8374" t="n"/>
      <c r="D88" s="2769" t="inlineStr">
        <is>
          <t>Subtract line 12 from line 10</t>
        </is>
      </c>
      <c r="E88" s="2770" t="n"/>
      <c r="F88" s="2770" t="n"/>
      <c r="G88" s="11262" t="n"/>
      <c r="H88" s="11262" t="n"/>
      <c r="I88" s="11262" t="n"/>
      <c r="J88" s="2771" t="n"/>
      <c r="K88" s="8374" t="n"/>
      <c r="L88" s="8374" t="n"/>
      <c r="M88" s="8374" t="n"/>
      <c r="N88" s="8374" t="n"/>
      <c r="O88" s="3222" t="inlineStr">
        <is>
          <t>.   .   .   .   .   .   .   .   .   .   .   .   .   .   .   .   .   .   .   .   .   .   .   .   .   .   .   .   .   .   .   .   .   .   .   .</t>
        </is>
      </c>
      <c r="P88" s="8374" t="n"/>
      <c r="Q88" s="3222">
        <f>B88</f>
        <v/>
      </c>
      <c r="R88" s="2628">
        <f>IF(NOT(SchDTW_Used),"",L85-L87)</f>
        <v/>
      </c>
      <c r="S88" s="2776" t="n"/>
      <c r="T88" s="3337" t="n"/>
      <c r="U88" s="3344" t="n"/>
      <c r="V88" s="229" t="n"/>
      <c r="AD88" s="833" t="inlineStr">
        <is>
          <t>17.</t>
        </is>
      </c>
      <c r="AE88" s="8648" t="inlineStr">
        <is>
          <t>Smaller of line 14 or 16</t>
        </is>
      </c>
      <c r="AG88" s="2628">
        <f>MIN(AG85,AG87)</f>
        <v/>
      </c>
      <c r="AH88" s="832" t="n"/>
      <c r="AO88" s="11704" t="n"/>
      <c r="AP88" s="658" t="n"/>
      <c r="AQ88" s="658" t="n"/>
      <c r="AR88" s="658" t="n"/>
      <c r="AS88" s="658" t="n"/>
      <c r="AT88" s="658" t="n"/>
      <c r="AU88" s="658" t="n"/>
    </row>
    <row r="89" ht="12.75" customHeight="1" s="7635">
      <c r="A89" s="88" t="n"/>
      <c r="B89" s="3340" t="inlineStr">
        <is>
          <t>14.</t>
        </is>
      </c>
      <c r="C89" s="8374" t="n"/>
      <c r="D89" s="2769" t="inlineStr">
        <is>
          <t>Subtract line 13 from line 1. If zero or less, enter -0-</t>
        </is>
      </c>
      <c r="E89" s="2770" t="n"/>
      <c r="F89" s="2770" t="n"/>
      <c r="G89" s="11262" t="n"/>
      <c r="H89" s="11262" t="n"/>
      <c r="I89" s="11262" t="n"/>
      <c r="J89" s="2771" t="n"/>
      <c r="K89" s="8374" t="n"/>
      <c r="L89" s="8374" t="n"/>
      <c r="M89" s="8374" t="n"/>
      <c r="N89" s="8374" t="n"/>
      <c r="O89" s="3222" t="inlineStr">
        <is>
          <t>.   .   .   .   .   .   .   .   .   .   .   .   .   .   .   .   .   .   .   .   .   .   .   .   .   .   .</t>
        </is>
      </c>
      <c r="P89" s="8374" t="n"/>
      <c r="Q89" s="3222">
        <f>B89</f>
        <v/>
      </c>
      <c r="R89" s="2628">
        <f>IF(U89&lt;&gt;"",ROUND(U89,0),IF(NOT(SchDTW_Used),"",IF(SchDTW_Line1-R88&lt;0,0,SchDTW_Line1-R88)))</f>
        <v/>
      </c>
      <c r="S89" s="2776" t="n"/>
      <c r="T89" s="3337" t="n"/>
      <c r="U89" s="324" t="n"/>
      <c r="V89" s="229" t="n"/>
      <c r="AD89" s="833" t="inlineStr">
        <is>
          <t>18.</t>
        </is>
      </c>
      <c r="AE89" s="8648" t="inlineStr">
        <is>
          <t>Subtract line 10 from 1</t>
        </is>
      </c>
      <c r="AG89" s="2628">
        <f>MAX(0,SUM(AG72,-AG81))</f>
        <v/>
      </c>
      <c r="AH89" s="832" t="n"/>
      <c r="AO89" s="11704" t="n"/>
      <c r="AP89" s="658" t="n"/>
      <c r="AQ89" s="658" t="n"/>
      <c r="AR89" s="658" t="n"/>
      <c r="AS89" s="658" t="n"/>
      <c r="AT89" s="658" t="n"/>
      <c r="AU89" s="658" t="n"/>
    </row>
    <row r="90" ht="14.25" customHeight="1" s="7635">
      <c r="A90" s="88" t="n"/>
      <c r="B90" s="3340" t="inlineStr">
        <is>
          <t>15.</t>
        </is>
      </c>
      <c r="C90" s="8374" t="n"/>
      <c r="D90" s="2769" t="inlineStr">
        <is>
          <t>Enter:</t>
        </is>
      </c>
      <c r="E90" s="2769" t="n"/>
      <c r="F90" s="2769" t="n"/>
      <c r="G90" s="11262" t="n"/>
      <c r="H90" s="11262" t="n"/>
      <c r="I90" s="11262" t="n"/>
      <c r="J90" s="2771" t="n"/>
      <c r="K90" s="2771" t="n"/>
      <c r="L90" s="2771" t="n"/>
      <c r="M90" s="2771" t="n"/>
      <c r="N90" s="2771" t="n"/>
      <c r="O90" s="2772" t="n"/>
      <c r="P90" s="2771" t="n"/>
      <c r="Q90" s="2772" t="n"/>
      <c r="R90" s="2772" t="n"/>
      <c r="S90" s="2806" t="n"/>
      <c r="T90" s="3334" t="n"/>
      <c r="U90" s="3345" t="n"/>
      <c r="V90" s="229" t="n"/>
      <c r="AD90" s="835" t="inlineStr">
        <is>
          <t>19.</t>
        </is>
      </c>
      <c r="AE90" s="8648" t="inlineStr">
        <is>
          <t>Smaller of line 1 or Amt.</t>
        </is>
      </c>
      <c r="AG90" s="2628">
        <f>IF(AG72="",0,MIN(AG72,SchDTW_Line19))</f>
        <v/>
      </c>
      <c r="AH90" s="832" t="n"/>
      <c r="AO90" s="11704" t="n"/>
      <c r="AP90" s="658" t="n"/>
      <c r="AQ90" s="658" t="n"/>
      <c r="AR90" s="658" t="n"/>
      <c r="AS90" s="658" t="n"/>
      <c r="AT90" s="658" t="n"/>
      <c r="AU90" s="658" t="n"/>
    </row>
    <row r="91">
      <c r="A91" s="88" t="n"/>
      <c r="B91" s="3209">
        <f>IF(OR(File_Single&lt;&gt;"",File_Marr_Sep&lt;&gt;""),TRUE,FALSE)</f>
        <v/>
      </c>
      <c r="C91" s="8374" t="n"/>
      <c r="D91" s="3346" t="inlineStr">
        <is>
          <t>l</t>
        </is>
      </c>
      <c r="E91" s="2769">
        <f>TEXT(O91,"$0,000")&amp;" if single or married filing separately;"</f>
        <v/>
      </c>
      <c r="F91" s="3317" t="n"/>
      <c r="G91" s="11262" t="n"/>
      <c r="H91" s="11262" t="n"/>
      <c r="I91" s="11262" t="n"/>
      <c r="J91" s="2771" t="n"/>
      <c r="K91" s="2771" t="n"/>
      <c r="L91" s="3347">
        <f>IF(OR(File_Single&lt;&gt;"",File_Marr_Sep&lt;&gt;""),O91,IF(OR(File_Marr_Joint&lt;&gt;"",File_Qual_Widow&lt;&gt;""),O92,IF(File_Head&lt;&gt;"",O93,"Filing status?")))</f>
        <v/>
      </c>
      <c r="M91" s="3348" t="n"/>
      <c r="N91" s="3348" t="n"/>
      <c r="O91" s="3349">
        <f>CGTW_Line6_SMFS</f>
        <v/>
      </c>
      <c r="P91" s="3348" t="n"/>
      <c r="Q91" s="2772" t="n"/>
      <c r="R91" s="2772" t="n"/>
      <c r="S91" s="2806" t="n"/>
      <c r="T91" s="3334" t="n"/>
      <c r="U91" s="3335" t="n"/>
      <c r="V91" s="229" t="n"/>
      <c r="AD91" s="835" t="inlineStr">
        <is>
          <t>20.</t>
        </is>
      </c>
      <c r="AE91" s="8648" t="inlineStr">
        <is>
          <t>Smaller of line 14 or 19</t>
        </is>
      </c>
      <c r="AG91" s="2628">
        <f>MIN(AG85,AG90)</f>
        <v/>
      </c>
      <c r="AH91" s="832" t="n"/>
      <c r="AO91" s="11704" t="n"/>
      <c r="AP91" s="658" t="n"/>
      <c r="AQ91" s="658" t="n"/>
      <c r="AR91" s="658" t="n"/>
      <c r="AS91" s="658" t="n"/>
      <c r="AT91" s="658" t="n"/>
      <c r="AU91" s="658" t="n"/>
    </row>
    <row r="92" ht="13.5" customHeight="1" s="7635">
      <c r="A92" s="88" t="n"/>
      <c r="B92" s="3209">
        <f>IF(OR(File_Marr_Joint&lt;&gt;"",File_Qual_Widow&lt;&gt;""),TRUE,FALSE)</f>
        <v/>
      </c>
      <c r="C92" s="8374" t="n"/>
      <c r="D92" s="3346" t="inlineStr">
        <is>
          <t>l</t>
        </is>
      </c>
      <c r="E92" s="2769">
        <f>TEXT(O92,"$0,000")&amp;" if married filing jointly or qualifying widow(er); or"</f>
        <v/>
      </c>
      <c r="F92" s="3317" t="n"/>
      <c r="G92" s="11262" t="n"/>
      <c r="H92" s="11262" t="n"/>
      <c r="I92" s="11262" t="n"/>
      <c r="J92" s="3300" t="inlineStr">
        <is>
          <t>.   .   .</t>
        </is>
      </c>
      <c r="K92" s="8375">
        <f>B90</f>
        <v/>
      </c>
      <c r="L92" s="2628">
        <f>IF(NOT(SchDTW_Used),"",L91)</f>
        <v/>
      </c>
      <c r="M92" s="3197" t="n"/>
      <c r="N92" s="3197" t="n"/>
      <c r="O92" s="3349">
        <f>CGTW_Line6_MFJQW</f>
        <v/>
      </c>
      <c r="P92" s="3197" t="n"/>
      <c r="Q92" s="2772" t="n"/>
      <c r="R92" s="2772" t="n"/>
      <c r="S92" s="2806" t="n"/>
      <c r="T92" s="3334" t="n"/>
      <c r="U92" s="3344" t="n"/>
      <c r="V92" s="229" t="n"/>
      <c r="AD92" s="833" t="inlineStr">
        <is>
          <t>21.</t>
        </is>
      </c>
      <c r="AE92" s="8648" t="inlineStr">
        <is>
          <t>Larger of line 18 or 20</t>
        </is>
      </c>
      <c r="AG92" s="2628">
        <f>MAX(AG89,AG91)</f>
        <v/>
      </c>
      <c r="AH92" s="832" t="n"/>
      <c r="AO92" s="11704" t="n"/>
      <c r="AP92" s="658" t="n"/>
      <c r="AQ92" s="658" t="n"/>
      <c r="AR92" s="658" t="n"/>
      <c r="AS92" s="658" t="n"/>
      <c r="AT92" s="658" t="n"/>
      <c r="AU92" s="658" t="n"/>
    </row>
    <row r="93" ht="13.5" customHeight="1" s="7635">
      <c r="A93" s="88" t="n"/>
      <c r="B93" s="3209">
        <f>IF(File_Head&lt;&gt;"",TRUE,FALSE)</f>
        <v/>
      </c>
      <c r="C93" s="8374" t="n"/>
      <c r="D93" s="3346" t="inlineStr">
        <is>
          <t>l</t>
        </is>
      </c>
      <c r="E93" s="2769">
        <f>TEXT(O93,"$0,000")&amp;" if head of household."</f>
        <v/>
      </c>
      <c r="F93" s="3317" t="n"/>
      <c r="G93" s="11262" t="n"/>
      <c r="H93" s="11262" t="n"/>
      <c r="I93" s="11262" t="n"/>
      <c r="J93" s="2771" t="n"/>
      <c r="K93" s="2771" t="n"/>
      <c r="L93" s="2771" t="n"/>
      <c r="M93" s="2771" t="n"/>
      <c r="N93" s="2771" t="n"/>
      <c r="O93" s="3349">
        <f>CGTW_Line6_HOH</f>
        <v/>
      </c>
      <c r="P93" s="2771" t="n"/>
      <c r="Q93" s="2772" t="n"/>
      <c r="R93" s="2772" t="n"/>
      <c r="S93" s="2806" t="n"/>
      <c r="T93" s="3334" t="n"/>
      <c r="U93" s="3344" t="n"/>
      <c r="V93" s="229" t="n"/>
      <c r="AD93" s="835" t="n">
        <v>22</v>
      </c>
      <c r="AE93" s="8648" t="inlineStr">
        <is>
          <t>Subtract line 17 from 16</t>
        </is>
      </c>
      <c r="AG93" s="2628">
        <f>SUM(AG87,-AG88)</f>
        <v/>
      </c>
      <c r="AH93" s="832" t="n"/>
      <c r="AO93" s="11704" t="n"/>
      <c r="AP93" s="658" t="n"/>
      <c r="AQ93" s="658" t="n"/>
      <c r="AR93" s="658" t="n"/>
      <c r="AS93" s="658" t="n"/>
      <c r="AT93" s="658" t="n"/>
      <c r="AU93" s="658" t="n"/>
    </row>
    <row r="94" ht="12.75" customHeight="1" s="7635">
      <c r="A94" s="88" t="n"/>
      <c r="B94" s="3066" t="inlineStr">
        <is>
          <t>16.</t>
        </is>
      </c>
      <c r="C94" s="8374" t="n"/>
      <c r="D94" s="2769" t="inlineStr">
        <is>
          <t>Enter the smaller of line 1 or line 15</t>
        </is>
      </c>
      <c r="E94" s="2769" t="n"/>
      <c r="F94" s="2769" t="n"/>
      <c r="G94" s="11262" t="n"/>
      <c r="H94" s="11262" t="n"/>
      <c r="I94" s="11262" t="n"/>
      <c r="J94" s="2771" t="n"/>
      <c r="K94" s="2771" t="n"/>
      <c r="L94" s="3222" t="inlineStr">
        <is>
          <t>.   .   .   .   .   .   .   .   .   .   .   .   .   .   .   .   .   .   .   .   .   .   .   .   .</t>
        </is>
      </c>
      <c r="M94" s="8374">
        <f>B94</f>
        <v/>
      </c>
      <c r="O94" s="2628">
        <f>IF(NOT(SchDTW_Used),"",MIN(SchDTW_Line1,L92))</f>
        <v/>
      </c>
      <c r="P94" s="8374" t="n"/>
      <c r="Q94" s="3222" t="n"/>
      <c r="R94" s="2772" t="n"/>
      <c r="S94" s="2776" t="n"/>
      <c r="T94" s="3337" t="n"/>
      <c r="U94" s="3335" t="n"/>
      <c r="V94" s="229" t="n"/>
      <c r="AD94" s="833" t="inlineStr">
        <is>
          <t>23.</t>
        </is>
      </c>
      <c r="AE94" s="8648" t="inlineStr">
        <is>
          <t>Enter smaller of line 1 or 13</t>
        </is>
      </c>
      <c r="AG94" s="2628">
        <f>IF(AH94,"",MIN(AG72,AG84))</f>
        <v/>
      </c>
      <c r="AH94" s="1186">
        <f>IF(AG72="",AG87=0,AG72=AG87)</f>
        <v/>
      </c>
      <c r="AO94" s="11704" t="n"/>
      <c r="AP94" s="658" t="n"/>
      <c r="AQ94" s="658" t="n"/>
      <c r="AR94" s="658" t="n"/>
      <c r="AS94" s="658" t="n"/>
      <c r="AT94" s="658" t="n"/>
      <c r="AU94" s="658" t="n"/>
    </row>
    <row r="95" ht="12.75" customHeight="1" s="7635">
      <c r="A95" s="88" t="n"/>
      <c r="B95" s="3066" t="inlineStr">
        <is>
          <t>17.</t>
        </is>
      </c>
      <c r="C95" s="8374" t="n"/>
      <c r="D95" s="2769" t="inlineStr">
        <is>
          <t>Enter the smaller of line 14 or line 16</t>
        </is>
      </c>
      <c r="E95" s="2769" t="n"/>
      <c r="F95" s="2769" t="n"/>
      <c r="G95" s="11262" t="n"/>
      <c r="H95" s="11262" t="n"/>
      <c r="I95" s="11262" t="n"/>
      <c r="J95" s="3222" t="inlineStr">
        <is>
          <t xml:space="preserve">.   .   .   .   .   .   .   .   .   .   .   .   .   .   . </t>
        </is>
      </c>
      <c r="K95" s="8374">
        <f>B95</f>
        <v/>
      </c>
      <c r="L95" s="2628">
        <f>IF(NOT(SchDTW_Used),"",MIN(R89,O94))</f>
        <v/>
      </c>
      <c r="M95" s="3197" t="n"/>
      <c r="N95" s="3197" t="n"/>
      <c r="O95" s="3350" t="n"/>
      <c r="P95" s="3197" t="n"/>
      <c r="Q95" s="2772" t="n"/>
      <c r="R95" s="2772" t="n"/>
      <c r="S95" s="3224" t="n"/>
      <c r="T95" s="3334" t="n"/>
      <c r="U95" s="3344" t="n"/>
      <c r="V95" s="229" t="n"/>
      <c r="AD95" s="833" t="inlineStr">
        <is>
          <t>24.</t>
        </is>
      </c>
      <c r="AE95" s="8648" t="inlineStr">
        <is>
          <t>Amt. from line 22.</t>
        </is>
      </c>
      <c r="AG95" s="2628">
        <f>IF(AH94,"",IF(AG93="",0,AG93))</f>
        <v/>
      </c>
      <c r="AH95" s="832" t="n"/>
      <c r="AO95" s="11704" t="n"/>
      <c r="AP95" s="658" t="n"/>
      <c r="AQ95" s="658" t="n"/>
      <c r="AR95" s="658" t="n"/>
      <c r="AS95" s="658" t="n"/>
      <c r="AT95" s="658" t="n"/>
      <c r="AU95" s="658" t="n"/>
    </row>
    <row r="96" ht="12.75" customHeight="1" s="7635">
      <c r="A96" s="88" t="n"/>
      <c r="B96" s="3066" t="inlineStr">
        <is>
          <t>18.</t>
        </is>
      </c>
      <c r="C96" s="8374" t="n"/>
      <c r="D96" s="2769" t="inlineStr">
        <is>
          <t>Subtract line 10 from line 1. If zero or less, enter -0-</t>
        </is>
      </c>
      <c r="E96" s="2769" t="n"/>
      <c r="F96" s="2769" t="n"/>
      <c r="G96" s="11262" t="n"/>
      <c r="H96" s="11262" t="n"/>
      <c r="I96" s="11262" t="n"/>
      <c r="J96" s="3222" t="inlineStr">
        <is>
          <t xml:space="preserve">.   .   .   .   .   .   .   .   .   . </t>
        </is>
      </c>
      <c r="K96" s="8374">
        <f>B96</f>
        <v/>
      </c>
      <c r="L96" s="2628">
        <f>IF(NOT(SchDTW_Used),"",MAX(0,SUM(SchDTW_Line1,-L85)))</f>
        <v/>
      </c>
      <c r="M96" s="3197" t="n"/>
      <c r="N96" s="3197" t="n"/>
      <c r="O96" s="2772" t="n"/>
      <c r="P96" s="3197" t="n"/>
      <c r="Q96" s="2772" t="n"/>
      <c r="R96" s="2772" t="n"/>
      <c r="S96" s="2776" t="n"/>
      <c r="T96" s="3337" t="n"/>
      <c r="U96" s="3344" t="n"/>
      <c r="V96" s="229" t="n"/>
      <c r="AD96" s="833" t="inlineStr">
        <is>
          <t>25.</t>
        </is>
      </c>
      <c r="AE96" s="8648" t="inlineStr">
        <is>
          <t>Subt. Line 24 from 23 (&gt;=0)</t>
        </is>
      </c>
      <c r="AG96" s="2628">
        <f>IF(AH94,"",MAX(0,SUM(AG94,-AG95)))</f>
        <v/>
      </c>
      <c r="AH96" s="832" t="n"/>
      <c r="AO96" s="11704" t="n"/>
      <c r="AP96" s="658" t="n"/>
      <c r="AQ96" s="658" t="n"/>
      <c r="AR96" s="658" t="n"/>
      <c r="AS96" s="658" t="n"/>
      <c r="AT96" s="658" t="n"/>
      <c r="AU96" s="658" t="n"/>
    </row>
    <row r="97" ht="14.25" customHeight="1" s="7635">
      <c r="A97" s="88" t="n"/>
      <c r="B97" s="3340" t="inlineStr">
        <is>
          <t>19.</t>
        </is>
      </c>
      <c r="C97" s="8374" t="n"/>
      <c r="D97" s="2769" t="inlineStr">
        <is>
          <t>Enter the smaller of line 1 or:</t>
        </is>
      </c>
      <c r="E97" s="2769" t="n"/>
      <c r="F97" s="2769" t="n"/>
      <c r="G97" s="11262" t="n"/>
      <c r="H97" s="11262" t="n"/>
      <c r="I97" s="11262" t="n"/>
      <c r="J97" s="2771" t="n"/>
      <c r="K97" s="2771" t="n"/>
      <c r="L97" s="2771" t="n"/>
      <c r="M97" s="2771" t="n"/>
      <c r="N97" s="2771" t="n"/>
      <c r="O97" s="2772" t="n"/>
      <c r="P97" s="2771" t="n"/>
      <c r="Q97" s="2772" t="n"/>
      <c r="R97" s="2772" t="n"/>
      <c r="S97" s="2806" t="n"/>
      <c r="T97" s="3334" t="n"/>
      <c r="U97" s="3335" t="n"/>
      <c r="V97" s="229" t="n"/>
      <c r="AD97" s="835" t="n">
        <v>26</v>
      </c>
      <c r="AE97" s="8648" t="inlineStr">
        <is>
          <t>Amt. from line 26</t>
        </is>
      </c>
      <c r="AG97" s="2628">
        <f>IF(AH94,"",SchDTW_Line26)</f>
        <v/>
      </c>
      <c r="AH97" s="832" t="n"/>
      <c r="AO97" s="11704" t="n"/>
      <c r="AP97" s="658" t="n"/>
      <c r="AQ97" s="658" t="n"/>
      <c r="AR97" s="658" t="n"/>
      <c r="AS97" s="658" t="n"/>
      <c r="AT97" s="658" t="n"/>
      <c r="AU97" s="658" t="n"/>
    </row>
    <row r="98">
      <c r="A98" s="88" t="n"/>
      <c r="B98" s="3209">
        <f>IF(OR(File_Single&lt;&gt;"",File_Marr_Sep&lt;&gt;""),TRUE,FALSE)</f>
        <v/>
      </c>
      <c r="C98" s="8374" t="n"/>
      <c r="D98" s="3317" t="inlineStr">
        <is>
          <t>l</t>
        </is>
      </c>
      <c r="E98" s="2769">
        <f>TEXT(O98,"$0,000")&amp;" if single or married filing separately;"</f>
        <v/>
      </c>
      <c r="F98" s="3317" t="n"/>
      <c r="G98" s="11262" t="n"/>
      <c r="H98" s="11262" t="n"/>
      <c r="I98" s="11262" t="n"/>
      <c r="J98" s="2771" t="n"/>
      <c r="K98" s="2771" t="n"/>
      <c r="L98" s="3347">
        <f>IF(OR(File_Single&lt;&gt;"",File_Marr_Sep&lt;&gt;""),O98,IF(OR(File_Marr_Joint&lt;&gt;"",File_Qual_Widow&lt;&gt;""),O99,IF(File_Head&lt;&gt;"",O100,"Filing status?")))</f>
        <v/>
      </c>
      <c r="M98" s="3348" t="n"/>
      <c r="N98" s="3348" t="n"/>
      <c r="O98" s="3349">
        <f>BOTT_A5</f>
        <v/>
      </c>
      <c r="P98" s="3348" t="n"/>
      <c r="Q98" s="2772" t="n"/>
      <c r="R98" s="2772" t="n"/>
      <c r="S98" s="2806" t="n"/>
      <c r="T98" s="3334" t="n"/>
      <c r="U98" s="3345" t="n"/>
      <c r="V98" s="229" t="n"/>
      <c r="AD98" s="835" t="inlineStr">
        <is>
          <t>27.</t>
        </is>
      </c>
      <c r="AE98" s="8648" t="inlineStr">
        <is>
          <t>Smaller of line 1 or 26</t>
        </is>
      </c>
      <c r="AG98" s="2628">
        <f>IF(AH94,"",IF(AG72="",MIN(0,AG97),MIN(AG72,AG97)))</f>
        <v/>
      </c>
      <c r="AH98" s="832" t="n"/>
      <c r="AO98" s="11704" t="n"/>
      <c r="AP98" s="658" t="n"/>
      <c r="AQ98" s="658" t="n"/>
      <c r="AR98" s="658" t="n"/>
      <c r="AS98" s="658" t="n"/>
      <c r="AT98" s="658" t="n"/>
      <c r="AU98" s="658" t="n"/>
    </row>
    <row r="99" ht="13.5" customHeight="1" s="7635">
      <c r="A99" s="88" t="n"/>
      <c r="B99" s="3209">
        <f>IF(OR(File_Marr_Joint&lt;&gt;"",File_Qual_Widow&lt;&gt;""),TRUE,FALSE)</f>
        <v/>
      </c>
      <c r="C99" s="8374" t="n"/>
      <c r="D99" s="3317" t="inlineStr">
        <is>
          <t>l</t>
        </is>
      </c>
      <c r="E99" s="2769">
        <f>TEXT(O99,"$0,000")&amp;" if married filing jointly or qualifying widow(er); or"</f>
        <v/>
      </c>
      <c r="F99" s="3317" t="n"/>
      <c r="G99" s="11262" t="n"/>
      <c r="H99" s="11262" t="n"/>
      <c r="I99" s="11262" t="n"/>
      <c r="J99" s="3300" t="inlineStr">
        <is>
          <t>.   .   .</t>
        </is>
      </c>
      <c r="K99" s="8375">
        <f>B97</f>
        <v/>
      </c>
      <c r="L99" s="2628">
        <f>IF(NOT(SchDTW_Used),"",MIN(SchDTW_Line1,L98))</f>
        <v/>
      </c>
      <c r="M99" s="3197" t="n"/>
      <c r="N99" s="3197" t="n"/>
      <c r="O99" s="3349">
        <f>BOTT_B5</f>
        <v/>
      </c>
      <c r="P99" s="3197" t="n"/>
      <c r="Q99" s="2772" t="n"/>
      <c r="R99" s="2772" t="n"/>
      <c r="S99" s="2806" t="n"/>
      <c r="T99" s="3334" t="n"/>
      <c r="U99" s="3335" t="n"/>
      <c r="V99" s="229" t="n"/>
      <c r="AD99" s="835" t="inlineStr">
        <is>
          <t>28.</t>
        </is>
      </c>
      <c r="AE99" s="8648" t="inlineStr">
        <is>
          <t>Add lines 21 and 22</t>
        </is>
      </c>
      <c r="AG99" s="2628">
        <f>IF(AH94,"",SUM(AG92,AG93))</f>
        <v/>
      </c>
      <c r="AH99" s="832" t="n"/>
      <c r="AO99" s="11704" t="n"/>
      <c r="AP99" s="658" t="n"/>
      <c r="AQ99" s="658" t="n"/>
      <c r="AR99" s="658" t="n"/>
      <c r="AS99" s="658" t="n"/>
      <c r="AT99" s="658" t="n"/>
      <c r="AU99" s="658" t="n"/>
    </row>
    <row r="100" ht="13.5" customHeight="1" s="7635">
      <c r="A100" s="88" t="n"/>
      <c r="B100" s="3209">
        <f>IF(File_Head&lt;&gt;"",TRUE,FALSE)</f>
        <v/>
      </c>
      <c r="C100" s="8374" t="n"/>
      <c r="D100" s="3317" t="inlineStr">
        <is>
          <t>l</t>
        </is>
      </c>
      <c r="E100" s="2769">
        <f>TEXT(O100,"$0,000")&amp;" if head of household."</f>
        <v/>
      </c>
      <c r="F100" s="3317" t="n"/>
      <c r="G100" s="11262" t="n"/>
      <c r="H100" s="11262" t="n"/>
      <c r="I100" s="11262" t="n"/>
      <c r="J100" s="2771" t="n"/>
      <c r="K100" s="2771" t="n"/>
      <c r="L100" s="2771" t="n"/>
      <c r="M100" s="2771" t="n"/>
      <c r="N100" s="2771" t="n"/>
      <c r="O100" s="3349">
        <f>BOTT_D5</f>
        <v/>
      </c>
      <c r="P100" s="2771" t="n"/>
      <c r="Q100" s="2772" t="n"/>
      <c r="R100" s="2772" t="n"/>
      <c r="S100" s="2806" t="n"/>
      <c r="T100" s="3334" t="n"/>
      <c r="U100" s="3344" t="n"/>
      <c r="V100" s="229" t="n"/>
      <c r="AD100" s="835" t="inlineStr">
        <is>
          <t>29.</t>
        </is>
      </c>
      <c r="AE100" s="8648" t="inlineStr">
        <is>
          <t>Subt. line 28 from 27. (&gt;=0)</t>
        </is>
      </c>
      <c r="AG100" s="2628">
        <f>IF(AH94,"",MAX(0,SUM(AG98,-AG99)))</f>
        <v/>
      </c>
      <c r="AH100" s="832" t="n"/>
      <c r="AO100" s="11704" t="n"/>
      <c r="AP100" s="658" t="n"/>
      <c r="AQ100" s="658" t="n"/>
      <c r="AR100" s="658" t="n"/>
      <c r="AS100" s="658" t="n"/>
      <c r="AT100" s="658" t="n"/>
      <c r="AU100" s="658" t="n"/>
    </row>
    <row r="101" ht="12.75" customHeight="1" s="7635">
      <c r="A101" s="88" t="n"/>
      <c r="B101" s="3066" t="inlineStr">
        <is>
          <t>20.</t>
        </is>
      </c>
      <c r="C101" s="8374" t="n"/>
      <c r="D101" s="2769" t="inlineStr">
        <is>
          <t>Enter the smaller of line 14 or line 19</t>
        </is>
      </c>
      <c r="E101" s="2769" t="n"/>
      <c r="F101" s="2769" t="n"/>
      <c r="G101" s="11262" t="n"/>
      <c r="H101" s="11262" t="n"/>
      <c r="I101" s="11262" t="n"/>
      <c r="J101" s="3222" t="inlineStr">
        <is>
          <t xml:space="preserve">.   .   .   .   .   .   .   .   .   .   .   .   .   .   .   . </t>
        </is>
      </c>
      <c r="K101" s="8374">
        <f>B101</f>
        <v/>
      </c>
      <c r="L101" s="2628">
        <f>IF(NOT(SchDTW_Used),"",MIN(R89,L99))</f>
        <v/>
      </c>
      <c r="M101" s="8374" t="n"/>
      <c r="N101" s="8374" t="n"/>
      <c r="O101" s="3351" t="n"/>
      <c r="P101" s="8374" t="n"/>
      <c r="Q101" s="3222" t="n"/>
      <c r="R101" s="2772" t="n"/>
      <c r="S101" s="2776" t="n"/>
      <c r="T101" s="3337" t="n"/>
      <c r="U101" s="3335" t="n"/>
      <c r="V101" s="229" t="n"/>
      <c r="W101" s="8648" t="n"/>
      <c r="AD101" s="1185" t="inlineStr">
        <is>
          <t xml:space="preserve">   30</t>
        </is>
      </c>
      <c r="AE101" s="8648" t="inlineStr">
        <is>
          <t>Smaller of line 23 or 27</t>
        </is>
      </c>
      <c r="AG101" s="2628">
        <f>IF(AH94,"",MIN(AG94,AG100))</f>
        <v/>
      </c>
      <c r="AH101" s="832" t="n"/>
      <c r="AO101" s="11704" t="n"/>
      <c r="AP101" s="658" t="n"/>
      <c r="AQ101" s="658" t="n"/>
      <c r="AR101" s="658" t="n"/>
      <c r="AS101" s="658" t="n"/>
      <c r="AT101" s="658" t="n"/>
      <c r="AU101" s="658" t="n"/>
    </row>
    <row r="102" ht="12.75" customHeight="1" s="7635">
      <c r="A102" s="88" t="n"/>
      <c r="B102" s="3066" t="inlineStr">
        <is>
          <t>21.</t>
        </is>
      </c>
      <c r="C102" s="8374" t="n"/>
      <c r="D102" s="2769" t="inlineStr">
        <is>
          <t>Enter the larger of line 18 or line 20</t>
        </is>
      </c>
      <c r="E102" s="2769" t="n"/>
      <c r="F102" s="2769" t="n"/>
      <c r="G102" s="11262" t="n"/>
      <c r="H102" s="11262" t="n"/>
      <c r="I102" s="11262" t="n"/>
      <c r="J102" s="2771" t="n"/>
      <c r="K102" s="2771" t="n"/>
      <c r="L102" s="3222" t="inlineStr">
        <is>
          <t xml:space="preserve">.   .   .   .   .   .   .   .   .   .   .   .   .   .   .   .   .   .   .   .   .   .   .   .   .   . </t>
        </is>
      </c>
      <c r="M102" s="8374">
        <f>B102</f>
        <v/>
      </c>
      <c r="O102" s="2628">
        <f>IF(NOT(SchDTW_Used),"",MAX(L96,L101))</f>
        <v/>
      </c>
      <c r="P102" s="8374" t="n"/>
      <c r="Q102" s="3222" t="n"/>
      <c r="R102" s="2772" t="n"/>
      <c r="S102" s="2776" t="n"/>
      <c r="T102" s="3337" t="n"/>
      <c r="U102" s="3335" t="n"/>
      <c r="V102" s="229" t="n"/>
      <c r="W102" s="8648" t="n"/>
      <c r="AD102" s="831" t="inlineStr">
        <is>
          <t>31.</t>
        </is>
      </c>
      <c r="AE102" s="8648">
        <f>"Multiply line 30 by "&amp;TEXT(AH102,"0%")</f>
        <v/>
      </c>
      <c r="AG102" s="2628">
        <f>IF(AH94,"",ROUND(AG101*AH102,0))</f>
        <v/>
      </c>
      <c r="AH102" s="836">
        <f>SchDTW_Line31Rate</f>
        <v/>
      </c>
      <c r="AO102" s="11704" t="n"/>
      <c r="AP102" s="658" t="n"/>
      <c r="AQ102" s="658" t="n"/>
      <c r="AR102" s="658" t="n"/>
      <c r="AS102" s="658" t="n"/>
      <c r="AT102" s="658" t="n"/>
      <c r="AU102" s="658" t="n"/>
    </row>
    <row r="103" ht="12.75" customHeight="1" s="7635">
      <c r="A103" s="88" t="n"/>
      <c r="B103" s="3066" t="inlineStr">
        <is>
          <t>22.</t>
        </is>
      </c>
      <c r="C103" s="8374" t="n"/>
      <c r="D103" s="2769" t="inlineStr">
        <is>
          <t>Subtract line 17 from line 16. This amount is taxed at 0%.</t>
        </is>
      </c>
      <c r="E103" s="2769" t="n"/>
      <c r="F103" s="2769" t="n"/>
      <c r="G103" s="11262" t="n"/>
      <c r="H103" s="11262" t="n"/>
      <c r="I103" s="11262" t="n"/>
      <c r="J103" s="2771" t="n"/>
      <c r="K103" s="2771" t="n"/>
      <c r="L103" s="3222" t="inlineStr">
        <is>
          <t xml:space="preserve">.   .   .   .   .   .   .   .   .   .   .   .   .   .   .   .   .   . </t>
        </is>
      </c>
      <c r="M103" s="8374">
        <f>B103</f>
        <v/>
      </c>
      <c r="O103" s="2628">
        <f>IF(NOT(SchDTW_Used),"",SUM(O94,-L95))</f>
        <v/>
      </c>
      <c r="P103" s="8374" t="n"/>
      <c r="Q103" s="3222" t="n"/>
      <c r="R103" s="3352">
        <f>IF(O103&lt;&gt;"",O103,0)</f>
        <v/>
      </c>
      <c r="S103" s="3224" t="n"/>
      <c r="T103" s="3334" t="n"/>
      <c r="U103" s="3335" t="n"/>
      <c r="V103" s="229" t="n"/>
      <c r="AD103" s="833" t="inlineStr">
        <is>
          <t>32.</t>
        </is>
      </c>
      <c r="AE103" s="8648" t="inlineStr">
        <is>
          <t>Add lines 24 and 30</t>
        </is>
      </c>
      <c r="AG103" s="2628">
        <f>IF(AH94,"",SUM(AG95,AG101))</f>
        <v/>
      </c>
      <c r="AH103" s="1186">
        <f>IF(AG72="",AG103=0,AG72=AG103)</f>
        <v/>
      </c>
      <c r="AO103" s="11704" t="n"/>
      <c r="AP103" s="658" t="n"/>
      <c r="AQ103" s="658" t="n"/>
      <c r="AR103" s="658" t="n"/>
      <c r="AS103" s="658" t="n"/>
      <c r="AT103" s="658" t="n"/>
      <c r="AU103" s="658" t="n"/>
    </row>
    <row r="104" ht="12.75" customFormat="1" customHeight="1" s="3357">
      <c r="A104" s="88" t="n"/>
      <c r="B104" s="2802" t="n"/>
      <c r="C104" s="8374" t="n"/>
      <c r="D104" s="2826" t="inlineStr">
        <is>
          <t>If lines 1 and 16 are the same, skip lines 23 through 43 and go to line 44. Otherwise, go to line 23.</t>
        </is>
      </c>
      <c r="E104" s="2826" t="n"/>
      <c r="F104" s="2826" t="n"/>
      <c r="G104" s="11262" t="n"/>
      <c r="H104" s="11262" t="n"/>
      <c r="I104" s="11262" t="n"/>
      <c r="J104" s="2771" t="n"/>
      <c r="K104" s="2771" t="n"/>
      <c r="L104" s="2771" t="n"/>
      <c r="M104" s="2771" t="n"/>
      <c r="N104" s="2771" t="n"/>
      <c r="O104" s="3353" t="n"/>
      <c r="P104" s="2771" t="n"/>
      <c r="Q104" s="3222" t="n"/>
      <c r="R104" s="3354" t="n"/>
      <c r="S104" s="3224" t="n"/>
      <c r="T104" s="3355" t="n"/>
      <c r="U104" s="3356">
        <f>(SchDTW_Line1=O94)</f>
        <v/>
      </c>
      <c r="V104" s="229" t="n"/>
      <c r="X104" s="1661" t="n"/>
      <c r="Y104" s="8648" t="n"/>
      <c r="Z104" s="8648" t="n"/>
      <c r="AA104" s="8648" t="n"/>
      <c r="AB104" s="8648" t="n"/>
      <c r="AD104" s="835" t="inlineStr">
        <is>
          <t>33.</t>
        </is>
      </c>
      <c r="AE104" s="8648" t="inlineStr">
        <is>
          <t>Subtract line 32 from 23</t>
        </is>
      </c>
      <c r="AG104" s="2628">
        <f>IF(OR(AH94,AH103),"",SUM(AG94,-AG103))</f>
        <v/>
      </c>
      <c r="AH104" s="1186" t="n"/>
      <c r="AI104" s="8648" t="n"/>
      <c r="AJ104" s="8648" t="n"/>
      <c r="AK104" s="8648" t="n"/>
      <c r="AL104" s="8648" t="n"/>
      <c r="AM104" s="8648" t="n"/>
      <c r="AN104" s="8648" t="n"/>
      <c r="AO104" s="11700" t="n"/>
      <c r="AP104" s="664" t="n"/>
      <c r="AQ104" s="664" t="n"/>
      <c r="AR104" s="664" t="n"/>
      <c r="AS104" s="664" t="n"/>
      <c r="AT104" s="664" t="n"/>
      <c r="AU104" s="664" t="n"/>
    </row>
    <row r="105" ht="12.75" customHeight="1" s="7635">
      <c r="A105" s="88" t="n"/>
      <c r="B105" s="3066" t="inlineStr">
        <is>
          <t>23.</t>
        </is>
      </c>
      <c r="C105" s="8374" t="n"/>
      <c r="D105" s="2769" t="inlineStr">
        <is>
          <t xml:space="preserve">Enter the smaller of line 1 or line 13 </t>
        </is>
      </c>
      <c r="E105" s="2769" t="n"/>
      <c r="F105" s="2769" t="n"/>
      <c r="G105" s="11262" t="n"/>
      <c r="H105" s="11262" t="n"/>
      <c r="I105" s="11262" t="n"/>
      <c r="J105" s="3222" t="inlineStr">
        <is>
          <t>.   .   .   .   .   .   .   .   .   .   .   .   .   .   .</t>
        </is>
      </c>
      <c r="K105" s="8374">
        <f>B105</f>
        <v/>
      </c>
      <c r="L105" s="2628">
        <f>IF(NOT(SchDTW_Used),"",IF(Skip2343,"",MIN(SchDTW_Line1,R88)))</f>
        <v/>
      </c>
      <c r="M105" s="3197" t="n"/>
      <c r="N105" s="3197" t="n"/>
      <c r="O105" s="3350" t="n"/>
      <c r="P105" s="3197" t="n"/>
      <c r="Q105" s="2772" t="n"/>
      <c r="R105" s="2772" t="n"/>
      <c r="S105" s="3224" t="n"/>
      <c r="T105" s="3334" t="n"/>
      <c r="U105" s="3358">
        <f>IF(NOT(SchDTW_Used),"",IF(Skip2343,"Skip lines 23 through 43.","Go to Line 23."))</f>
        <v/>
      </c>
      <c r="V105" s="229" t="n"/>
      <c r="AD105" s="831" t="inlineStr">
        <is>
          <t>34.</t>
        </is>
      </c>
      <c r="AE105" s="8648">
        <f>"Multiply line 33 by "&amp;TEXT(AH105,"0%")</f>
        <v/>
      </c>
      <c r="AG105" s="2628">
        <f>IF(OR(AH94,AH103),"",ROUND(AG104*AH105,0))</f>
        <v/>
      </c>
      <c r="AH105" s="836">
        <f>SchDTW_Line34Rate</f>
        <v/>
      </c>
      <c r="AO105" s="11704" t="n"/>
      <c r="AP105" s="658" t="n"/>
      <c r="AQ105" s="658" t="n"/>
      <c r="AR105" s="658" t="n"/>
      <c r="AS105" s="658" t="n"/>
      <c r="AT105" s="658" t="n"/>
      <c r="AU105" s="658" t="n"/>
    </row>
    <row r="106" ht="12.75" customHeight="1" s="7635">
      <c r="A106" s="88" t="n"/>
      <c r="B106" s="3066" t="inlineStr">
        <is>
          <t>24.</t>
        </is>
      </c>
      <c r="C106" s="8374" t="n"/>
      <c r="D106" s="2769" t="inlineStr">
        <is>
          <t>Enter the amount from line 22 (if line 22 is blank, enter -0-)</t>
        </is>
      </c>
      <c r="E106" s="2769" t="n"/>
      <c r="F106" s="2769" t="n"/>
      <c r="G106" s="11262" t="n"/>
      <c r="H106" s="11262" t="n"/>
      <c r="I106" s="11262" t="n"/>
      <c r="J106" s="2075" t="inlineStr">
        <is>
          <t>.   .   .   .   .   .   .   .</t>
        </is>
      </c>
      <c r="K106" s="8374">
        <f>B106</f>
        <v/>
      </c>
      <c r="L106" s="2628">
        <f>IF(NOT(SchDTW_Used),"",IF(Skip2343,"",IF(O103="",0,O103)))</f>
        <v/>
      </c>
      <c r="M106" s="3197" t="n"/>
      <c r="N106" s="3197" t="n"/>
      <c r="O106" s="2772" t="n"/>
      <c r="P106" s="3197" t="n"/>
      <c r="Q106" s="2772" t="n"/>
      <c r="R106" s="2772" t="n"/>
      <c r="S106" s="2776" t="n"/>
      <c r="T106" s="3337" t="n"/>
      <c r="U106" s="3335" t="n"/>
      <c r="V106" s="229" t="n"/>
      <c r="AD106" s="833" t="inlineStr">
        <is>
          <t>35.</t>
        </is>
      </c>
      <c r="AE106" s="8648" t="inlineStr">
        <is>
          <t>Smaller of L9 or SchD L19</t>
        </is>
      </c>
      <c r="AG106" s="2628">
        <f>IF(OR(AH94,AH103,AH106),"",MIN(AG80,SchDLine19))</f>
        <v/>
      </c>
      <c r="AH106" s="1186">
        <f>OR(SchDLine19=0,SchDLine19="")</f>
        <v/>
      </c>
      <c r="AO106" s="11704" t="n"/>
      <c r="AP106" s="658" t="n"/>
      <c r="AQ106" s="658" t="n"/>
      <c r="AR106" s="658" t="n"/>
      <c r="AS106" s="658" t="n"/>
      <c r="AT106" s="658" t="n"/>
      <c r="AU106" s="658" t="n"/>
    </row>
    <row r="107" ht="12.75" customHeight="1" s="7635">
      <c r="A107" s="88" t="n"/>
      <c r="B107" s="3066" t="inlineStr">
        <is>
          <t>25.</t>
        </is>
      </c>
      <c r="C107" s="8374" t="n"/>
      <c r="D107" s="2769" t="inlineStr">
        <is>
          <t>Subtract line 24 from line 23. If zero or less, enter -0-</t>
        </is>
      </c>
      <c r="E107" s="2769" t="n"/>
      <c r="F107" s="2769" t="n"/>
      <c r="G107" s="11262" t="n"/>
      <c r="H107" s="11262" t="n"/>
      <c r="I107" s="11262" t="n"/>
      <c r="J107" s="2771" t="n"/>
      <c r="K107" s="2771" t="n"/>
      <c r="L107" s="3222" t="inlineStr">
        <is>
          <t>.   .   .   .   .   .   .   .   .   .   .   .   .   .   .   .   .   .   .</t>
        </is>
      </c>
      <c r="M107" s="8374">
        <f>B107</f>
        <v/>
      </c>
      <c r="O107" s="2628">
        <f>IF(OR(NOT(SchDTW_Used),Skip2343),"",MAX(0,SUM(L105,-L106)))</f>
        <v/>
      </c>
      <c r="P107" s="8374" t="n"/>
      <c r="Q107" s="3222" t="n"/>
      <c r="R107" s="3359" t="n"/>
      <c r="S107" s="2776" t="n"/>
      <c r="T107" s="3337" t="n"/>
      <c r="U107" s="148" t="n"/>
      <c r="V107" s="229" t="n"/>
      <c r="AD107" s="837" t="inlineStr">
        <is>
          <t>36.</t>
        </is>
      </c>
      <c r="AE107" s="8648" t="inlineStr">
        <is>
          <t>Add lines 10 and 21</t>
        </is>
      </c>
      <c r="AG107" s="2628">
        <f>IF(OR(AH94,AH103,AH106),"",SUM(AG81,AG92))</f>
        <v/>
      </c>
      <c r="AH107" s="832" t="n"/>
      <c r="AO107" s="11704" t="n"/>
      <c r="AP107" s="658" t="n"/>
      <c r="AQ107" s="658" t="n"/>
      <c r="AR107" s="658" t="n"/>
      <c r="AS107" s="658" t="n"/>
      <c r="AT107" s="658" t="n"/>
      <c r="AU107" s="658" t="n"/>
    </row>
    <row r="108" ht="14.25" customHeight="1" s="7635">
      <c r="A108" s="88" t="n"/>
      <c r="B108" s="3340" t="n">
        <v>26</v>
      </c>
      <c r="C108" s="8374" t="n"/>
      <c r="D108" s="2769" t="inlineStr">
        <is>
          <t>Enter:</t>
        </is>
      </c>
      <c r="E108" s="2769" t="n"/>
      <c r="F108" s="2769" t="n"/>
      <c r="G108" s="11262" t="n"/>
      <c r="H108" s="11262" t="n"/>
      <c r="I108" s="11262" t="n"/>
      <c r="J108" s="2771" t="n"/>
      <c r="K108" s="2771" t="n"/>
      <c r="L108" s="2771" t="n"/>
      <c r="M108" s="2771" t="n"/>
      <c r="N108" s="2771" t="n"/>
      <c r="O108" s="2772" t="n"/>
      <c r="P108" s="2771" t="n"/>
      <c r="Q108" s="2772" t="n"/>
      <c r="R108" s="2772" t="n"/>
      <c r="S108" s="2806" t="n"/>
      <c r="T108" s="3334" t="n"/>
      <c r="U108" s="148" t="n"/>
      <c r="V108" s="229" t="n"/>
      <c r="AD108" s="837" t="inlineStr">
        <is>
          <t>37.</t>
        </is>
      </c>
      <c r="AE108" s="8648" t="inlineStr">
        <is>
          <t>Amount from line 1</t>
        </is>
      </c>
      <c r="AG108" s="2628">
        <f>IF(OR(AH94,AH103,AH106),"",IF(AG72="",0,AG72))</f>
        <v/>
      </c>
      <c r="AH108" s="832" t="n"/>
      <c r="AO108" s="11704" t="n"/>
      <c r="AP108" s="658" t="n"/>
      <c r="AQ108" s="658" t="n"/>
      <c r="AR108" s="658" t="n"/>
      <c r="AS108" s="658" t="n"/>
      <c r="AT108" s="658" t="n"/>
      <c r="AU108" s="658" t="n"/>
    </row>
    <row r="109" ht="14.25" customHeight="1" s="7635">
      <c r="A109" s="88" t="n"/>
      <c r="B109" s="3209">
        <f>IF(File_Single&lt;&gt;"",TRUE,FALSE)</f>
        <v/>
      </c>
      <c r="C109" s="8374" t="n"/>
      <c r="D109" s="3317" t="inlineStr">
        <is>
          <t>l</t>
        </is>
      </c>
      <c r="E109" s="2769">
        <f>TEXT(O109,"$0,000")&amp;" if single;"</f>
        <v/>
      </c>
      <c r="F109" s="2769" t="n"/>
      <c r="G109" s="2769" t="n"/>
      <c r="H109" s="11262" t="n"/>
      <c r="I109" s="11262" t="n"/>
      <c r="J109" s="2771" t="n"/>
      <c r="K109" s="2771" t="n"/>
      <c r="L109" s="2771" t="n"/>
      <c r="M109" s="2771" t="n"/>
      <c r="N109" s="2771" t="n"/>
      <c r="O109" s="3349">
        <f>CGTW_Line13_Single</f>
        <v/>
      </c>
      <c r="P109" s="2771" t="n"/>
      <c r="Q109" s="2772" t="n"/>
      <c r="R109" s="2772" t="n"/>
      <c r="S109" s="2806" t="n"/>
      <c r="T109" s="3334" t="n"/>
      <c r="U109" s="3345" t="n"/>
      <c r="V109" s="229" t="n"/>
      <c r="AD109" s="833" t="inlineStr">
        <is>
          <t>38.</t>
        </is>
      </c>
      <c r="AE109" s="8648" t="inlineStr">
        <is>
          <t>Subt. line 37 from 36 (&gt;=0)</t>
        </is>
      </c>
      <c r="AG109" s="2628">
        <f>IF(OR(AH94,AH103,AH106),"",MAX(0,SUM(AG107,-AG108)))</f>
        <v/>
      </c>
      <c r="AH109" s="832" t="n"/>
      <c r="AO109" s="11704" t="n"/>
      <c r="AP109" s="658" t="n"/>
      <c r="AQ109" s="658" t="n"/>
      <c r="AR109" s="658" t="n"/>
      <c r="AS109" s="658" t="n"/>
      <c r="AT109" s="658" t="n"/>
      <c r="AU109" s="658" t="n"/>
    </row>
    <row r="110">
      <c r="A110" s="88" t="n"/>
      <c r="B110" s="3209">
        <f>IF(File_Marr_Sep&lt;&gt;"",TRUE,FALSE)</f>
        <v/>
      </c>
      <c r="C110" s="8374" t="n"/>
      <c r="D110" s="3317" t="inlineStr">
        <is>
          <t>l</t>
        </is>
      </c>
      <c r="E110" s="2769">
        <f>TEXT(O110,"$0,000")&amp;" if married filing separately;"</f>
        <v/>
      </c>
      <c r="F110" s="3317" t="n"/>
      <c r="G110" s="11262" t="n"/>
      <c r="H110" s="11262" t="n"/>
      <c r="I110" s="11262" t="n"/>
      <c r="J110" s="2771" t="n"/>
      <c r="K110" s="2771" t="n"/>
      <c r="L110" s="3347">
        <f>IF(File_Single&lt;&gt;"",O109,IF(File_Marr_Sep&lt;&gt;"",O110,IF(OR(File_Marr_Joint&lt;&gt;"",File_Qual_Widow),O111,IF(File_Head&lt;&gt;"",O112,"Filing status?"))))</f>
        <v/>
      </c>
      <c r="M110" s="3348" t="n"/>
      <c r="N110" s="3348" t="n"/>
      <c r="O110" s="3349">
        <f>CGTW_Line13_MFS</f>
        <v/>
      </c>
      <c r="P110" s="3348" t="n"/>
      <c r="Q110" s="2772" t="n"/>
      <c r="R110" s="2772" t="n"/>
      <c r="S110" s="2806" t="n"/>
      <c r="T110" s="3334" t="n"/>
      <c r="U110" s="3335" t="n"/>
      <c r="V110" s="229" t="n"/>
      <c r="AD110" s="835" t="inlineStr">
        <is>
          <t>39.</t>
        </is>
      </c>
      <c r="AE110" s="8648" t="inlineStr">
        <is>
          <t>Subt. line 38 from 35 (&gt;=0)</t>
        </is>
      </c>
      <c r="AG110" s="2628">
        <f>IF(OR(AH94,AH103,AH106),"",MAX(0,SUM(AG106,-AG109)))</f>
        <v/>
      </c>
      <c r="AH110" s="832" t="n"/>
      <c r="AO110" s="11704" t="n"/>
      <c r="AP110" s="658" t="n"/>
      <c r="AQ110" s="658" t="n"/>
      <c r="AR110" s="658" t="n"/>
      <c r="AS110" s="658" t="n"/>
      <c r="AT110" s="658" t="n"/>
      <c r="AU110" s="658" t="n"/>
    </row>
    <row r="111" ht="13.5" customHeight="1" s="7635">
      <c r="A111" s="88" t="n"/>
      <c r="B111" s="3209">
        <f>IF(OR(File_Marr_Joint&lt;&gt;"",File_Qual_Widow&lt;&gt;""),TRUE,FALSE)</f>
        <v/>
      </c>
      <c r="C111" s="8374" t="n"/>
      <c r="D111" s="3317" t="inlineStr">
        <is>
          <t>l</t>
        </is>
      </c>
      <c r="E111" s="2769">
        <f>TEXT(O111,"$0,000")&amp;" if married filing jointly or qualifying widow(er); or"</f>
        <v/>
      </c>
      <c r="F111" s="3317" t="n"/>
      <c r="G111" s="11262" t="n"/>
      <c r="H111" s="11262" t="n"/>
      <c r="I111" s="11262" t="n"/>
      <c r="J111" s="3300" t="inlineStr">
        <is>
          <t>.   .   .</t>
        </is>
      </c>
      <c r="K111" s="8375">
        <f>B108</f>
        <v/>
      </c>
      <c r="L111" s="2628">
        <f>IF(OR(NOT(SchDTW_Used),Skip2343),"",L110)</f>
        <v/>
      </c>
      <c r="M111" s="3197" t="n"/>
      <c r="N111" s="3197" t="n"/>
      <c r="O111" s="3349">
        <f>CGTW_Line13_MFJQW</f>
        <v/>
      </c>
      <c r="P111" s="3197" t="n"/>
      <c r="Q111" s="2772" t="n"/>
      <c r="R111" s="2772" t="n"/>
      <c r="S111" s="2806" t="n"/>
      <c r="T111" s="3334" t="n"/>
      <c r="U111" s="3335" t="n"/>
      <c r="V111" s="229" t="n"/>
      <c r="AD111" s="831" t="inlineStr">
        <is>
          <t>40.</t>
        </is>
      </c>
      <c r="AE111" s="8648">
        <f>"Multiply line 39 by "&amp;TEXT(AH111,"0%")</f>
        <v/>
      </c>
      <c r="AG111" s="2628">
        <f>IF(OR(AH94,AH103,AH106),"",ROUND(AG110*AH111,0))</f>
        <v/>
      </c>
      <c r="AH111" s="836">
        <f>SchDTW_Line40Rate</f>
        <v/>
      </c>
      <c r="AO111" s="11704" t="n"/>
      <c r="AP111" s="658" t="n"/>
      <c r="AQ111" s="658" t="n"/>
      <c r="AR111" s="658" t="n"/>
      <c r="AS111" s="658" t="n"/>
      <c r="AT111" s="658" t="n"/>
      <c r="AU111" s="658" t="n"/>
    </row>
    <row r="112" ht="13.5" customHeight="1" s="7635">
      <c r="A112" s="88" t="n"/>
      <c r="B112" s="3209">
        <f>IF(File_Head&lt;&gt;"",TRUE,FALSE)</f>
        <v/>
      </c>
      <c r="C112" s="8374" t="n"/>
      <c r="D112" s="3317" t="inlineStr">
        <is>
          <t>l</t>
        </is>
      </c>
      <c r="E112" s="2769">
        <f>TEXT(O112,"$0,000")&amp;" if head of household."</f>
        <v/>
      </c>
      <c r="F112" s="3317" t="n"/>
      <c r="G112" s="11262" t="n"/>
      <c r="H112" s="11262" t="n"/>
      <c r="I112" s="11262" t="n"/>
      <c r="J112" s="2771" t="n"/>
      <c r="K112" s="2771" t="n"/>
      <c r="L112" s="2771" t="n"/>
      <c r="M112" s="2771" t="n"/>
      <c r="N112" s="2771" t="n"/>
      <c r="O112" s="3349">
        <f>CGTW_Line13_HOH</f>
        <v/>
      </c>
      <c r="P112" s="2771" t="n"/>
      <c r="Q112" s="2772" t="n"/>
      <c r="R112" s="2772" t="n"/>
      <c r="S112" s="2806" t="n"/>
      <c r="T112" s="3334" t="n"/>
      <c r="U112" s="3344" t="n"/>
      <c r="V112" s="229" t="n"/>
      <c r="AD112" s="835" t="inlineStr">
        <is>
          <t>41.</t>
        </is>
      </c>
      <c r="AE112" s="8648" t="inlineStr">
        <is>
          <t>Add line 21, 22, 30, 33, &amp; 39</t>
        </is>
      </c>
      <c r="AG112" s="2628">
        <f>IF(OR(AH94,AH103,AH112),"",SUM(AG92,AG93,AG101,AG104,AG110))</f>
        <v/>
      </c>
      <c r="AH112" s="832">
        <f>OR(SchDLine18=0,SchDLine18="")</f>
        <v/>
      </c>
      <c r="AO112" s="11704" t="n"/>
      <c r="AP112" s="658" t="n"/>
      <c r="AQ112" s="658" t="n"/>
      <c r="AR112" s="658" t="n"/>
      <c r="AS112" s="658" t="n"/>
      <c r="AT112" s="658" t="n"/>
      <c r="AU112" s="658" t="n"/>
    </row>
    <row r="113" ht="13.5" customHeight="1" s="7635">
      <c r="A113" s="88" t="n"/>
      <c r="B113" s="3340" t="n">
        <v>27</v>
      </c>
      <c r="C113" s="8374" t="n"/>
      <c r="D113" s="2769" t="inlineStr">
        <is>
          <t>Enter the smaller of line 1 or line 26</t>
        </is>
      </c>
      <c r="E113" s="2769" t="n"/>
      <c r="F113" s="3317" t="n"/>
      <c r="G113" s="11262" t="n"/>
      <c r="H113" s="11262" t="n"/>
      <c r="I113" s="11262" t="n"/>
      <c r="J113" s="2771" t="n"/>
      <c r="K113" s="8375">
        <f>B113</f>
        <v/>
      </c>
      <c r="L113" s="2628">
        <f>IF(OR(NOT(SchDTW_Used),Skip2343),"",MIN(SchDTW_Line1,L111))</f>
        <v/>
      </c>
      <c r="M113" s="2771" t="n"/>
      <c r="N113" s="2771" t="n"/>
      <c r="O113" s="3360" t="n"/>
      <c r="P113" s="2771" t="n"/>
      <c r="Q113" s="2772" t="n"/>
      <c r="R113" s="2772" t="n"/>
      <c r="S113" s="2806" t="n"/>
      <c r="T113" s="3334" t="n"/>
      <c r="U113" s="3335" t="n"/>
      <c r="V113" s="229" t="n"/>
      <c r="AD113" s="835" t="inlineStr">
        <is>
          <t>42.</t>
        </is>
      </c>
      <c r="AE113" s="8648" t="inlineStr">
        <is>
          <t>Subtract line 41 from 1</t>
        </is>
      </c>
      <c r="AG113" s="2628">
        <f>IF(OR(AH94,AH103,AH112),"",SUM(AG72,-AG112))</f>
        <v/>
      </c>
      <c r="AH113" s="832" t="n"/>
      <c r="AO113" s="11704" t="n"/>
      <c r="AP113" s="658" t="n"/>
      <c r="AQ113" s="658" t="n"/>
      <c r="AR113" s="658" t="n"/>
      <c r="AS113" s="658" t="n"/>
      <c r="AT113" s="658" t="n"/>
      <c r="AU113" s="658" t="n"/>
    </row>
    <row r="114" ht="13.5" customHeight="1" s="7635">
      <c r="A114" s="88" t="n"/>
      <c r="B114" s="3340" t="n">
        <v>28</v>
      </c>
      <c r="C114" s="8374" t="n"/>
      <c r="D114" s="2769" t="inlineStr">
        <is>
          <t>Add lines 21 and 22</t>
        </is>
      </c>
      <c r="E114" s="2769" t="n"/>
      <c r="F114" s="3317" t="n"/>
      <c r="G114" s="11262" t="n"/>
      <c r="H114" s="11262" t="n"/>
      <c r="I114" s="11262" t="n"/>
      <c r="J114" s="2771" t="n"/>
      <c r="K114" s="8375">
        <f>B114</f>
        <v/>
      </c>
      <c r="L114" s="2628">
        <f>IF(OR(NOT(SchDTW_Used),Skip2343),"",SUM(SchDTW_Line21,O103))</f>
        <v/>
      </c>
      <c r="M114" s="2771" t="n"/>
      <c r="N114" s="2771" t="n"/>
      <c r="O114" s="3360" t="n"/>
      <c r="P114" s="2771" t="n"/>
      <c r="Q114" s="2772" t="n"/>
      <c r="R114" s="2772" t="n"/>
      <c r="S114" s="2806" t="n"/>
      <c r="T114" s="3334" t="n"/>
      <c r="U114" s="3335" t="n"/>
      <c r="V114" s="229" t="n"/>
      <c r="AD114" s="831" t="inlineStr">
        <is>
          <t>43.</t>
        </is>
      </c>
      <c r="AE114" s="8648">
        <f>"Multiply line 42 by "&amp;TEXT(AH114,"0%")</f>
        <v/>
      </c>
      <c r="AG114" s="2628">
        <f>IF(OR(AH94,AH103,AH112),"",ROUND(AG113*AH114,0))</f>
        <v/>
      </c>
      <c r="AH114" s="836">
        <f>SchDTW_Line43Rate</f>
        <v/>
      </c>
      <c r="AO114" s="11704" t="n"/>
      <c r="AP114" s="658" t="n"/>
      <c r="AQ114" s="658" t="n"/>
      <c r="AR114" s="658" t="n"/>
      <c r="AS114" s="658" t="n"/>
      <c r="AT114" s="658" t="n"/>
      <c r="AU114" s="658" t="n"/>
    </row>
    <row r="115" ht="13.5" customHeight="1" s="7635">
      <c r="A115" s="88" t="n"/>
      <c r="B115" s="3340" t="n">
        <v>29</v>
      </c>
      <c r="C115" s="8374" t="n"/>
      <c r="D115" s="2769" t="inlineStr">
        <is>
          <t>Subtract line 28 from line 27. If zero or less, enter -0-</t>
        </is>
      </c>
      <c r="E115" s="2769" t="n"/>
      <c r="F115" s="3317" t="n"/>
      <c r="G115" s="11262" t="n"/>
      <c r="H115" s="11262" t="n"/>
      <c r="I115" s="11262" t="n"/>
      <c r="J115" s="2771" t="n"/>
      <c r="K115" s="8375">
        <f>B115</f>
        <v/>
      </c>
      <c r="L115" s="2628">
        <f>IF(OR(NOT(SchDTW_Used),Skip2343),"",MAX(0,SUM(L113,-L114)))</f>
        <v/>
      </c>
      <c r="M115" s="2771" t="n"/>
      <c r="N115" s="2771" t="n"/>
      <c r="O115" s="3347" t="n"/>
      <c r="P115" s="2771" t="n"/>
      <c r="Q115" s="2772" t="n"/>
      <c r="R115" s="2772" t="n"/>
      <c r="S115" s="2806" t="n"/>
      <c r="T115" s="3334" t="n"/>
      <c r="U115" s="3335" t="n"/>
      <c r="V115" s="229" t="n"/>
      <c r="AD115" s="831" t="inlineStr">
        <is>
          <t>44.</t>
        </is>
      </c>
      <c r="AE115" s="8648" t="inlineStr">
        <is>
          <t>Tax on Line 21</t>
        </is>
      </c>
      <c r="AG115" s="2628">
        <f>AH120</f>
        <v/>
      </c>
      <c r="AH115" s="832" t="n"/>
      <c r="AO115" s="11704" t="n"/>
      <c r="AP115" s="658" t="n"/>
      <c r="AQ115" s="658" t="n"/>
      <c r="AR115" s="658" t="n"/>
      <c r="AS115" s="658" t="n"/>
      <c r="AT115" s="658" t="n"/>
      <c r="AU115" s="658" t="n"/>
    </row>
    <row r="116" ht="13.5" customHeight="1" s="7635" thickBot="1">
      <c r="A116" s="88" t="n"/>
      <c r="B116" s="3340" t="n">
        <v>30</v>
      </c>
      <c r="C116" s="8374" t="n"/>
      <c r="D116" s="2769" t="inlineStr">
        <is>
          <t>Enter the smaller of line 25 or line 29</t>
        </is>
      </c>
      <c r="E116" s="2769" t="n"/>
      <c r="F116" s="3317" t="n"/>
      <c r="G116" s="11262" t="n"/>
      <c r="H116" s="11262" t="n"/>
      <c r="I116" s="11262" t="n"/>
      <c r="J116" s="2771" t="n"/>
      <c r="K116" s="8375" t="n"/>
      <c r="L116" s="3222" t="inlineStr">
        <is>
          <t xml:space="preserve">.   .   .   .   .   .   .   .   .   .   .   .   .   .   .   .   .   .   .   .   .   .   .   .   .  </t>
        </is>
      </c>
      <c r="M116" s="8375">
        <f>B116</f>
        <v/>
      </c>
      <c r="O116" s="2628">
        <f>IF(OR(NOT(SchDTW_Used),Skip2343),"",MIN(O107,L115))</f>
        <v/>
      </c>
      <c r="P116" s="8375" t="n"/>
      <c r="Q116" s="2772" t="n"/>
      <c r="R116" s="2772" t="n"/>
      <c r="S116" s="2806" t="n"/>
      <c r="T116" s="3334" t="n"/>
      <c r="U116" s="3335" t="n"/>
      <c r="V116" s="229" t="n"/>
      <c r="AD116" s="2634" t="inlineStr">
        <is>
          <t>AE92</t>
        </is>
      </c>
      <c r="AE116" s="7453" t="inlineStr">
        <is>
          <t>Single</t>
        </is>
      </c>
      <c r="AF116" s="7453" t="inlineStr">
        <is>
          <t>MFJ/QW</t>
        </is>
      </c>
      <c r="AG116" s="7453" t="inlineStr">
        <is>
          <t>MFS</t>
        </is>
      </c>
      <c r="AH116" s="838" t="inlineStr">
        <is>
          <t>HOH</t>
        </is>
      </c>
      <c r="AO116" s="11704" t="n"/>
      <c r="AP116" s="658" t="n"/>
      <c r="AQ116" s="658" t="n"/>
      <c r="AR116" s="658" t="n"/>
      <c r="AS116" s="658" t="n"/>
      <c r="AT116" s="658" t="n"/>
      <c r="AU116" s="658" t="n"/>
    </row>
    <row r="117" ht="13.5" customHeight="1" s="7635" thickBot="1" thickTop="1">
      <c r="A117" s="88" t="n"/>
      <c r="B117" s="3340" t="n">
        <v>31</v>
      </c>
      <c r="C117" s="8374" t="n"/>
      <c r="D117" s="2769">
        <f>"Multiply line 30 by "&amp;TEXT(T117,"0%")&amp;" ("&amp;TEXT(T117,"0.00")&amp;")"</f>
        <v/>
      </c>
      <c r="E117" s="2769" t="n"/>
      <c r="F117" s="3317" t="n"/>
      <c r="G117" s="11262" t="n"/>
      <c r="H117" s="11262" t="n"/>
      <c r="I117" s="11262" t="n"/>
      <c r="J117" s="2771" t="n"/>
      <c r="K117" s="2771" t="n"/>
      <c r="L117" s="2771" t="n"/>
      <c r="M117" s="2771" t="n"/>
      <c r="N117" s="2771" t="n"/>
      <c r="O117" s="3222" t="inlineStr">
        <is>
          <t xml:space="preserve">.   .   .   .   .   .   .   .   .   .   .   .   .   .   .   .   .   .   .   .   .   .   .   .   .   .   .   .   .   .   .   .   .   .   .   </t>
        </is>
      </c>
      <c r="P117" s="2771" t="n"/>
      <c r="Q117" s="8375">
        <f>B117</f>
        <v/>
      </c>
      <c r="R117" s="2628">
        <f>IF(OR(NOT(SchDTW_Used),Skip2343),"",ROUND($O$116*T117,0))</f>
        <v/>
      </c>
      <c r="S117" s="2806" t="n"/>
      <c r="T117" s="3334" t="n">
        <v>0.15</v>
      </c>
      <c r="U117" s="3335" t="n"/>
      <c r="V117" s="229" t="n"/>
      <c r="AD117" s="5358">
        <f>AG92</f>
        <v/>
      </c>
      <c r="AE117" s="2572">
        <f>LOOKUP(AD117,'Tax Table'!$B$2:$B$2063,'Tax Table'!$D$2:$D$2063)</f>
        <v/>
      </c>
      <c r="AF117" s="2572">
        <f>LOOKUP(AD117,'Tax Table'!$B$2:$B$2063,'Tax Table'!$E$2:$E$2063)</f>
        <v/>
      </c>
      <c r="AG117" s="2572">
        <f>LOOKUP(AD117,'Tax Table'!$B$2:$B$2063,'Tax Table'!$F$2:$F$2063)</f>
        <v/>
      </c>
      <c r="AH117" s="2573">
        <f>LOOKUP(AD117,'Tax Table'!$B$2:$B$2063,'Tax Table'!$G$2:$G$2063)</f>
        <v/>
      </c>
      <c r="AO117" s="11704" t="n"/>
      <c r="AP117" s="658" t="n"/>
      <c r="AQ117" s="658" t="n"/>
      <c r="AR117" s="658" t="n"/>
      <c r="AS117" s="658" t="n"/>
      <c r="AT117" s="658" t="n"/>
      <c r="AU117" s="658" t="n"/>
    </row>
    <row r="118" ht="13.5" customHeight="1" s="7635" thickBot="1">
      <c r="A118" s="88" t="n"/>
      <c r="B118" s="3340" t="n">
        <v>32</v>
      </c>
      <c r="C118" s="8374" t="n"/>
      <c r="D118" s="2769" t="inlineStr">
        <is>
          <t>Add lines 24 and 30</t>
        </is>
      </c>
      <c r="E118" s="2769" t="n"/>
      <c r="F118" s="3317" t="n"/>
      <c r="G118" s="11262" t="n"/>
      <c r="H118" s="11262" t="n"/>
      <c r="I118" s="11262" t="n"/>
      <c r="J118" s="3222" t="inlineStr">
        <is>
          <t xml:space="preserve">.   .   .   .   .   .   .   .   .   .   .   .   .   .   .   .   .   .   .   .   .   . </t>
        </is>
      </c>
      <c r="K118" s="8375">
        <f>B118</f>
        <v/>
      </c>
      <c r="L118" s="2628">
        <f>IF(OR(NOT(SchDTW_Used),Skip2343),"",SUM(L106,O116))</f>
        <v/>
      </c>
      <c r="M118" s="2771" t="n"/>
      <c r="N118" s="2771" t="n"/>
      <c r="O118" s="3347" t="n"/>
      <c r="P118" s="2771" t="n"/>
      <c r="Q118" s="2772" t="n"/>
      <c r="R118" s="2772" t="n"/>
      <c r="S118" s="2806" t="n"/>
      <c r="T118" s="3334" t="n"/>
      <c r="U118" s="3335" t="n"/>
      <c r="V118" s="229" t="n"/>
      <c r="AD118" s="4640" t="n"/>
      <c r="AE118" s="2574">
        <f>IF(AD117&lt;SectA_a2,"---",IF(AD117&lt;=SectA_a3,ROUND(AD117*(SectA_b3/100),0)-SectA_d3,IF(AD117&lt;=SectA_a4,ROUND(AD117*(SectA_b4/100),0)-SectA_d4,IF(AD117&lt;=SectA_a5,ROUND(AD117*(SectA_b5/100),0)-SectA_d5,IF(AD117&lt;=SectA_a6,ROUND(AD117*(SectA_b6/100),0)-SectA_d6,ROUND(AD117*(SectA_b7/100),0)-SectA_d7)))))</f>
        <v/>
      </c>
      <c r="AF118" s="2574">
        <f>IF(AD117&lt;SectB_a2,"---",IF(AD117&lt;=SectB_a3,ROUND(AD117*(SectB_b3/100),0)-SectB_d3,IF(AD117&lt;=SectB_a4,ROUND(AD117*(SectB_b4/100),0)-SectB_d4,IF(AD117&lt;=SectB_a5,ROUND(AD117*(SectB_b5/100),0)-SectB_d5,IF(AD117&lt;=SectB_a6,ROUND(AD117*(SectB_b6/100),0)-SectB_d6,ROUND(AD117*(SectB_b7/100),0)-SectB_d7)))))</f>
        <v/>
      </c>
      <c r="AG118" s="2574">
        <f>IF(AD117&lt;SectC_a1,"---",IF(AD117&lt;=SectC_a2,ROUND(AD117*(SectC_b2/100),0)-SectC_d2,IF(AD117&lt;=SectC_a3,ROUND(AD117*(SectC_b3/100),0)-SectC_d3,IF(AD117&lt;=SectC_a4,ROUND(AD117*(SectC_b4/100),0)-SectC_d4,IF(AD117&lt;=SectC_a5,ROUND(AD117*(SectC_b5/100),0)-SectC_d5,ROUND(AD117*(SectC_b6/100),0)-SectC_d6)))))</f>
        <v/>
      </c>
      <c r="AH118" s="2575">
        <f>IF(AD117&lt;SectD_a2,"---",IF(AD117&lt;=SectD_a3,ROUND(AD117*(SectD_b3/100),0)-SectD_d3,IF(AD117&lt;=SectD_a4,ROUND(AD117*(SectD_b4/100),0)-SectD_d4,IF(AD117&lt;=SectD_a5,ROUND(AD117*(SectD_b5/100),0)-SectD_d5,IF(AD117&lt;=SectD_a6,ROUND(AD117*(SectD_b6/100),0)-SectD_d6,ROUND(AD117*(SectD_b7/100),0)-SectD_d7)))))</f>
        <v/>
      </c>
      <c r="AO118" s="11704" t="n"/>
      <c r="AP118" s="658" t="n"/>
      <c r="AQ118" s="658" t="n"/>
      <c r="AR118" s="658" t="n"/>
      <c r="AS118" s="658" t="n"/>
      <c r="AT118" s="658" t="n"/>
      <c r="AU118" s="658" t="n"/>
    </row>
    <row r="119" ht="13.5" customHeight="1" s="7635" thickBot="1">
      <c r="A119" s="88" t="n"/>
      <c r="B119" s="2802" t="n"/>
      <c r="C119" s="8374" t="n"/>
      <c r="D119" s="2826" t="inlineStr">
        <is>
          <t>If lines 1 and 32 are the same, skip lines 33 through 43 and go to line 44. Otherwise, go to line 33.</t>
        </is>
      </c>
      <c r="E119" s="2769" t="n"/>
      <c r="F119" s="3317" t="n"/>
      <c r="G119" s="11262" t="n"/>
      <c r="H119" s="11262" t="n"/>
      <c r="I119" s="11262" t="n"/>
      <c r="J119" s="2771" t="n"/>
      <c r="K119" s="2771" t="n"/>
      <c r="L119" s="2771" t="n"/>
      <c r="M119" s="2771" t="n"/>
      <c r="N119" s="2771" t="n"/>
      <c r="O119" s="3347" t="n"/>
      <c r="P119" s="2771" t="n"/>
      <c r="Q119" s="2772" t="n"/>
      <c r="R119" s="2772" t="n"/>
      <c r="S119" s="2806" t="n"/>
      <c r="T119" s="3334" t="n"/>
      <c r="U119" s="3356">
        <f>IF(OR(NOT(SchDTW_Used),Skip2343),FALSE,IF(SchDTW_Line1=L118,TRUE,FALSE))</f>
        <v/>
      </c>
      <c r="V119" s="229" t="n"/>
      <c r="AD119" s="2576">
        <f>IF(File_Single&lt;&gt;"",AE117,IF(File_Marr_Joint&lt;&gt;"",AF117,IF(File_Marr_Sep&lt;&gt;"", AG117,IF(File_Head&lt;&gt;"",AH117,IF(File_Qual_Widow&lt;&gt;"",AF117,"Filing status?")))))</f>
        <v/>
      </c>
      <c r="AE119" s="1061">
        <f>"&lt;100k"</f>
        <v/>
      </c>
      <c r="AF119" s="1061" t="n"/>
      <c r="AG119" s="1061" t="n"/>
      <c r="AH119" s="2577" t="n"/>
      <c r="AO119" s="11704" t="n"/>
      <c r="AP119" s="658" t="n"/>
      <c r="AQ119" s="658" t="n"/>
      <c r="AR119" s="658" t="n"/>
      <c r="AS119" s="658" t="n"/>
      <c r="AT119" s="658" t="n"/>
      <c r="AU119" s="658" t="n"/>
    </row>
    <row r="120" ht="13.5" customHeight="1" s="7635" thickBot="1">
      <c r="A120" s="88" t="n"/>
      <c r="B120" s="3340" t="n">
        <v>33</v>
      </c>
      <c r="C120" s="8374" t="n"/>
      <c r="D120" s="2769" t="inlineStr">
        <is>
          <t>Subtract line 32 from line 23</t>
        </is>
      </c>
      <c r="E120" s="2769" t="n"/>
      <c r="F120" s="3317" t="n"/>
      <c r="G120" s="11262" t="n"/>
      <c r="H120" s="11262" t="n"/>
      <c r="I120" s="11262" t="n"/>
      <c r="J120" s="2771" t="n"/>
      <c r="K120" s="2771" t="n"/>
      <c r="L120" s="3222" t="inlineStr">
        <is>
          <t xml:space="preserve">.   .   .   .   .   .   .   .   .   .   .   .   .   .   .   .   .   .   .   .   .   .   .   .   .   .   .   . </t>
        </is>
      </c>
      <c r="M120" s="8375">
        <f>B120</f>
        <v/>
      </c>
      <c r="O120" s="2628">
        <f>IF(OR(NOT(SchDTW_Used),Skip2343,Skip3343),"",SUM(L105,-L118))</f>
        <v/>
      </c>
      <c r="P120" s="8375" t="n"/>
      <c r="Q120" s="2772" t="n"/>
      <c r="R120" s="2772" t="n"/>
      <c r="S120" s="2806" t="n"/>
      <c r="T120" s="3334" t="n"/>
      <c r="U120" s="3358">
        <f>IF(OR(NOT(SchDTW_Used),Skip2343),"",IF(Skip3343,"Skip lines 33 through 42.","Go to Line 33."))</f>
        <v/>
      </c>
      <c r="V120" s="229" t="n"/>
      <c r="AD120" s="2579">
        <f>IF(File_Single&lt;&gt;"",AE118,IF(OR(File_Marr_Joint&lt;&gt;"",File_Qual_Widow&lt;&gt;""),AF118,IF(File_Marr_Sep&lt;&gt;"", AG118,IF(File_Head&lt;&gt;"",AH118,"Filing status?"))))</f>
        <v/>
      </c>
      <c r="AE120" s="2580">
        <f>"&gt;=100k"</f>
        <v/>
      </c>
      <c r="AF120" s="2580" t="n"/>
      <c r="AG120" s="2580" t="inlineStr">
        <is>
          <t>Tax &gt;&gt;</t>
        </is>
      </c>
      <c r="AH120" s="2581">
        <f>IF(NumFileStatusBoxes=0,"FilingStatus?",IF(AD117&gt;100000,ROUND(AD120,0),ROUND(AD119,0)))</f>
        <v/>
      </c>
      <c r="AO120" s="11704" t="n"/>
      <c r="AP120" s="658" t="n"/>
      <c r="AQ120" s="658" t="n"/>
      <c r="AR120" s="658" t="n"/>
      <c r="AS120" s="658" t="n"/>
      <c r="AT120" s="658" t="n"/>
      <c r="AU120" s="658" t="n"/>
    </row>
    <row r="121" ht="12.75" customHeight="1" s="7635" thickTop="1">
      <c r="A121" s="88" t="n"/>
      <c r="B121" s="3066" t="inlineStr">
        <is>
          <t>34.</t>
        </is>
      </c>
      <c r="C121" s="8374" t="n"/>
      <c r="D121" s="2769">
        <f>"Multiply line 33 by "&amp;TEXT(T121,"0%")&amp;" ("&amp;TEXT(T121,"0.00")&amp;")"</f>
        <v/>
      </c>
      <c r="E121" s="2769" t="n"/>
      <c r="F121" s="2769" t="n"/>
      <c r="G121" s="11262" t="n"/>
      <c r="H121" s="11262" t="n"/>
      <c r="I121" s="11262" t="n"/>
      <c r="J121" s="2771" t="n"/>
      <c r="K121" s="8374" t="n"/>
      <c r="L121" s="8374" t="n"/>
      <c r="M121" s="8374" t="n"/>
      <c r="N121" s="8374" t="n"/>
      <c r="O121" s="3222" t="inlineStr">
        <is>
          <t xml:space="preserve">.   .   .   .   .   .   .   .   .   .   .   .   .   .   .   .   .   .   .   .   .   .   .   .   .   .   .   .   .   .   .   .   .   .   .   </t>
        </is>
      </c>
      <c r="P121" s="8374" t="n"/>
      <c r="Q121" s="3222">
        <f>B121</f>
        <v/>
      </c>
      <c r="R121" s="2628">
        <f>IF(OR(NOT(SchDTW_Used),Skip2343,Skip3343),"",ROUND((O120*T121),0))</f>
        <v/>
      </c>
      <c r="S121" s="2776" t="n"/>
      <c r="T121" s="3334" t="n">
        <v>0.2</v>
      </c>
      <c r="U121" s="3335" t="n"/>
      <c r="V121" s="229" t="n"/>
      <c r="AD121" s="831" t="inlineStr">
        <is>
          <t>45.</t>
        </is>
      </c>
      <c r="AE121" s="8648" t="inlineStr">
        <is>
          <t>Add line 31, 34, 40, 43, &amp; 44</t>
        </is>
      </c>
      <c r="AG121" s="2628">
        <f>SUM(AG102,AG105,AG111,AG114,AG115)</f>
        <v/>
      </c>
      <c r="AH121" s="832" t="n"/>
      <c r="AO121" s="11704" t="n"/>
      <c r="AP121" s="658" t="n"/>
      <c r="AQ121" s="658" t="n"/>
      <c r="AR121" s="658" t="n"/>
      <c r="AS121" s="658" t="n"/>
      <c r="AT121" s="658" t="n"/>
      <c r="AU121" s="658" t="n"/>
    </row>
    <row r="122" ht="12.75" customHeight="1" s="7635">
      <c r="A122" s="88" t="n"/>
      <c r="B122" s="2802" t="n"/>
      <c r="C122" s="8374" t="n"/>
      <c r="D122" s="2826" t="inlineStr">
        <is>
          <t>If Schedule D, line 19, is zero or blank, skip lines 35 through 40 and go to line 41. Otherwise, go to line 35.</t>
        </is>
      </c>
      <c r="E122" s="2826" t="n"/>
      <c r="F122" s="2826" t="n"/>
      <c r="G122" s="11262" t="n"/>
      <c r="H122" s="11262" t="n"/>
      <c r="I122" s="11262" t="n"/>
      <c r="J122" s="2771" t="n"/>
      <c r="K122" s="2771" t="n"/>
      <c r="L122" s="2771" t="n"/>
      <c r="M122" s="2771" t="n"/>
      <c r="N122" s="2771" t="n"/>
      <c r="O122" s="3353" t="n"/>
      <c r="P122" s="2771" t="n"/>
      <c r="Q122" s="3222" t="n"/>
      <c r="R122" s="3361" t="n"/>
      <c r="S122" s="3224" t="n"/>
      <c r="T122" s="3334" t="n"/>
      <c r="U122" s="3356">
        <f>OR(SchDLine19=0,SchDLine19="")</f>
        <v/>
      </c>
      <c r="V122" s="229" t="n"/>
      <c r="AD122" s="831" t="inlineStr">
        <is>
          <t>46.</t>
        </is>
      </c>
      <c r="AE122" s="8648" t="inlineStr">
        <is>
          <t>Tax on Line 1</t>
        </is>
      </c>
      <c r="AG122" s="2628">
        <f>AH127</f>
        <v/>
      </c>
      <c r="AH122" s="832" t="n"/>
      <c r="AO122" s="11704" t="n"/>
      <c r="AP122" s="658" t="n"/>
      <c r="AQ122" s="658" t="n"/>
      <c r="AR122" s="658" t="n"/>
      <c r="AS122" s="658" t="n"/>
      <c r="AT122" s="658" t="n"/>
      <c r="AU122" s="658" t="n"/>
    </row>
    <row r="123" ht="12.75" customHeight="1" s="7635" thickBot="1">
      <c r="A123" s="88" t="n"/>
      <c r="B123" s="3066" t="inlineStr">
        <is>
          <t>35.</t>
        </is>
      </c>
      <c r="C123" s="8374" t="n"/>
      <c r="D123" s="2769" t="inlineStr">
        <is>
          <t>Enter the smaller of line 9 above or Schedule D, line 19</t>
        </is>
      </c>
      <c r="E123" s="2769" t="n"/>
      <c r="F123" s="2769" t="n"/>
      <c r="G123" s="11262" t="n"/>
      <c r="H123" s="11262" t="n"/>
      <c r="I123" s="11262" t="n"/>
      <c r="J123" s="2075" t="inlineStr">
        <is>
          <t xml:space="preserve">.   .   .   .   .   .   .   . </t>
        </is>
      </c>
      <c r="K123" s="8374">
        <f>B123</f>
        <v/>
      </c>
      <c r="L123" s="2628">
        <f>IF(OR(NOT(SchDTW_Used),Skip2343,Skip3343,Skip3540),"",MIN(O84,'Sch. D'!O75))</f>
        <v/>
      </c>
      <c r="M123" s="3197" t="n"/>
      <c r="N123" s="3197" t="n"/>
      <c r="O123" s="3197" t="n"/>
      <c r="P123" s="3197" t="n"/>
      <c r="Q123" s="3222" t="n"/>
      <c r="R123" s="3034" t="n"/>
      <c r="S123" s="3224" t="n"/>
      <c r="T123" s="3334" t="n"/>
      <c r="U123" s="3344">
        <f>IF(OR(NOT(SchDTW_Used),Skip2343,Skip3343),"",IF(Skip3540,"Skip lines 33 through 38.","Go to line 33."))</f>
        <v/>
      </c>
      <c r="V123" s="229" t="n"/>
      <c r="AD123" s="2634" t="inlineStr">
        <is>
          <t>AE72</t>
        </is>
      </c>
      <c r="AE123" s="7453" t="inlineStr">
        <is>
          <t>Single</t>
        </is>
      </c>
      <c r="AF123" s="7453" t="inlineStr">
        <is>
          <t>MFJ/QW</t>
        </is>
      </c>
      <c r="AG123" s="7453" t="inlineStr">
        <is>
          <t>MFS</t>
        </is>
      </c>
      <c r="AH123" s="838" t="inlineStr">
        <is>
          <t>HOH</t>
        </is>
      </c>
      <c r="AO123" s="11704" t="n"/>
      <c r="AP123" s="658" t="n"/>
      <c r="AQ123" s="658" t="n"/>
      <c r="AR123" s="658" t="n"/>
      <c r="AS123" s="658" t="n"/>
      <c r="AT123" s="658" t="n"/>
      <c r="AU123" s="658" t="n"/>
    </row>
    <row r="124" ht="12.75" customHeight="1" s="7635" thickBot="1" thickTop="1">
      <c r="A124" s="88" t="n"/>
      <c r="B124" s="3340" t="n">
        <v>36</v>
      </c>
      <c r="C124" s="8374" t="n"/>
      <c r="D124" s="2769" t="inlineStr">
        <is>
          <t>Add lines 10 and 21</t>
        </is>
      </c>
      <c r="E124" s="2769" t="n"/>
      <c r="F124" s="2769" t="n"/>
      <c r="G124" s="11262" t="n"/>
      <c r="H124" s="8374" t="inlineStr">
        <is>
          <t xml:space="preserve">.   .   .   .   .   .   .   .   .   .   .   . </t>
        </is>
      </c>
      <c r="I124" s="8376">
        <f>B124</f>
        <v/>
      </c>
      <c r="J124" s="2628">
        <f>IF(OR(NOT(SchDTW_Used),Skip2343,Skip3343,Skip3540),"",SUM(L85,SchDTW_Line21))</f>
        <v/>
      </c>
      <c r="K124" s="8374" t="n"/>
      <c r="L124" s="3353" t="n"/>
      <c r="M124" s="3353" t="n"/>
      <c r="N124" s="3353" t="n"/>
      <c r="O124" s="3353" t="n"/>
      <c r="P124" s="3353" t="n"/>
      <c r="Q124" s="3222" t="n"/>
      <c r="R124" s="3034" t="n"/>
      <c r="S124" s="3224" t="n"/>
      <c r="T124" s="3334" t="n"/>
      <c r="U124" s="3344" t="n"/>
      <c r="V124" s="229" t="n"/>
      <c r="AD124" s="5358">
        <f>AG72</f>
        <v/>
      </c>
      <c r="AE124" s="2572">
        <f>LOOKUP(AD124,'Tax Table'!$B$2:$B$2063,'Tax Table'!$D$2:$D$2063)</f>
        <v/>
      </c>
      <c r="AF124" s="2572">
        <f>LOOKUP(AD124,'Tax Table'!$B$2:$B$2063,'Tax Table'!$E$2:$E$2063)</f>
        <v/>
      </c>
      <c r="AG124" s="2572">
        <f>LOOKUP(AD124,'Tax Table'!$B$2:$B$2063,'Tax Table'!$F$2:$F$2063)</f>
        <v/>
      </c>
      <c r="AH124" s="2573">
        <f>LOOKUP(AD124,'Tax Table'!$B$2:$B$2063,'Tax Table'!$G$2:$G$2063)</f>
        <v/>
      </c>
      <c r="AO124" s="11704" t="n"/>
      <c r="AP124" s="658" t="n"/>
      <c r="AQ124" s="658" t="n"/>
      <c r="AR124" s="658" t="n"/>
      <c r="AS124" s="658" t="n"/>
      <c r="AT124" s="658" t="n"/>
      <c r="AU124" s="658" t="n"/>
    </row>
    <row r="125" ht="12.75" customHeight="1" s="7635" thickBot="1">
      <c r="B125" s="3340" t="n">
        <v>37</v>
      </c>
      <c r="C125" s="8374" t="n"/>
      <c r="D125" s="2769" t="inlineStr">
        <is>
          <t>Enter the amount from line 1 above</t>
        </is>
      </c>
      <c r="E125" s="2769" t="n"/>
      <c r="F125" s="2769" t="n"/>
      <c r="G125" s="11262" t="n"/>
      <c r="H125" s="8374" t="inlineStr">
        <is>
          <t xml:space="preserve"> .   .   .   .   .   .   . </t>
        </is>
      </c>
      <c r="I125" s="8376">
        <f>B125</f>
        <v/>
      </c>
      <c r="J125" s="2628">
        <f>IF(OR(NOT(SchDTW_Used),Skip2343,Skip3343,Skip3540),"",SchDTW_Line1)</f>
        <v/>
      </c>
      <c r="K125" s="8374" t="n"/>
      <c r="L125" s="3353" t="n"/>
      <c r="M125" s="3353" t="n"/>
      <c r="N125" s="3353" t="n"/>
      <c r="O125" s="3353" t="n"/>
      <c r="P125" s="3353" t="n"/>
      <c r="Q125" s="3222" t="n"/>
      <c r="R125" s="3034" t="n"/>
      <c r="S125" s="3224" t="n"/>
      <c r="T125" s="3334" t="n"/>
      <c r="U125" s="3344" t="n"/>
      <c r="V125" s="229" t="n"/>
      <c r="AD125" s="4640" t="n"/>
      <c r="AE125" s="2574">
        <f>IF(AD124&lt;SectA_a2,"---",IF(AD124&lt;=SectA_a3,ROUND(AD124*(SectA_b3/100),0)-SectA_d3,IF(AD124&lt;=SectA_a4,ROUND(AD124*(SectA_b4/100),0)-SectA_d4,IF(AD124&lt;=SectA_a5,ROUND(AD124*(SectA_b5/100),0)-SectA_d5,IF(AD124&lt;=SectA_a6,ROUND(AD124*(SectA_b6/100),0)-SectA_d6,ROUND(AD124*(SectA_b7/100),0)-SectA_d7)))))</f>
        <v/>
      </c>
      <c r="AF125" s="2574">
        <f>IF(AD124&lt;SectB_a2,"---",IF(AD124&lt;=SectB_a3,ROUND(AD124*(SectB_b3/100),0)-SectB_d3,IF(AD124&lt;=SectB_a4,ROUND(AD124*(SectB_b4/100),0)-SectB_d4,IF(AD124&lt;=SectB_a5,ROUND(AD124*(SectB_b5/100),0)-SectB_d5,IF(AD124&lt;=SectB_a6,ROUND(AD124*(SectB_b6/100),0)-SectB_d6,ROUND(AD124*(SectB_b7/100),0)-SectB_d7)))))</f>
        <v/>
      </c>
      <c r="AG125" s="2574">
        <f>IF(AD124&lt;SectC_a1,"---",IF(AD124&lt;=SectC_a2,ROUND(AD124*(SectC_b2/100),0)-SectC_d2,IF(AD124&lt;=SectC_a3,ROUND(AD124*(SectC_b3/100),0)-SectC_d3,IF(AD124&lt;=SectC_a4,ROUND(AD124*(SectC_b4/100),0)-SectC_d4,IF(AD124&lt;=SectC_a5,ROUND(AD124*(SectC_b5/100),0)-SectC_d5,ROUND(AD124*(SectC_b6/100),0)-SectC_d6)))))</f>
        <v/>
      </c>
      <c r="AH125" s="2575">
        <f>IF(AD124&lt;SectD_a2,"---",IF(AD124&lt;=SectD_a3,ROUND(AD124*(SectD_b3/100),0)-SectD_d3,IF(AD124&lt;=SectD_a4,ROUND(AD124*(SectD_b4/100),0)-SectD_d4,IF(AD124&lt;=SectD_a5,ROUND(AD124*(SectD_b5/100),0)-SectD_d5,IF(AD124&lt;=SectD_a6,ROUND(AD124*(SectD_b6/100),0)-SectD_d6,ROUND(AD124*(SectD_b7/100),0)-SectD_d7)))))</f>
        <v/>
      </c>
      <c r="AO125" s="11704" t="n"/>
      <c r="AP125" s="658" t="n"/>
      <c r="AQ125" s="658" t="n"/>
      <c r="AR125" s="658" t="n"/>
      <c r="AS125" s="658" t="n"/>
      <c r="AT125" s="658" t="n"/>
      <c r="AU125" s="658" t="n"/>
    </row>
    <row r="126" ht="12.75" customHeight="1" s="7635" thickBot="1">
      <c r="A126" s="220" t="n"/>
      <c r="B126" s="3340" t="n">
        <v>38</v>
      </c>
      <c r="C126" s="8374" t="n"/>
      <c r="D126" s="2769" t="inlineStr">
        <is>
          <t>Subtract line 37 from line 36. If zero or less, enter -0-</t>
        </is>
      </c>
      <c r="E126" s="2769" t="n"/>
      <c r="F126" s="2769" t="n"/>
      <c r="G126" s="11262" t="n"/>
      <c r="H126" s="11262" t="n"/>
      <c r="I126" s="11262" t="n"/>
      <c r="J126" s="3222" t="inlineStr">
        <is>
          <t>.   .   .   .   .   .   .   .   .</t>
        </is>
      </c>
      <c r="K126" s="8376">
        <f>B126</f>
        <v/>
      </c>
      <c r="L126" s="2628">
        <f>IF(OR(NOT(SchDTW_Used),Skip2343,Skip3343,Skip3540),"",MAX(0,SUM(J124,-J125)))</f>
        <v/>
      </c>
      <c r="M126" s="3197" t="n"/>
      <c r="N126" s="3197" t="n"/>
      <c r="O126" s="3197" t="n"/>
      <c r="P126" s="3197" t="n"/>
      <c r="Q126" s="3222" t="n"/>
      <c r="R126" s="3034" t="n"/>
      <c r="S126" s="3224" t="n"/>
      <c r="T126" s="3334" t="n"/>
      <c r="U126" s="3344" t="n"/>
      <c r="V126" s="229" t="n"/>
      <c r="AD126" s="2576">
        <f>IF(File_Single&lt;&gt;"",AE124,IF(File_Marr_Joint&lt;&gt;"",AF124,IF(File_Marr_Sep&lt;&gt;"", AG124,IF(File_Head&lt;&gt;"",AH124,IF(File_Qual_Widow&lt;&gt;"",AF124,"Filing status?")))))</f>
        <v/>
      </c>
      <c r="AE126" s="1061">
        <f>"&lt;100k"</f>
        <v/>
      </c>
      <c r="AF126" s="1061" t="n"/>
      <c r="AG126" s="1061" t="n"/>
      <c r="AH126" s="2577" t="n"/>
      <c r="AO126" s="11704" t="n"/>
      <c r="AP126" s="658" t="n"/>
      <c r="AQ126" s="658" t="n"/>
      <c r="AR126" s="658" t="n"/>
      <c r="AS126" s="658" t="n"/>
      <c r="AT126" s="658" t="n"/>
      <c r="AU126" s="658" t="n"/>
    </row>
    <row r="127" ht="12.75" customHeight="1" s="7635" thickBot="1">
      <c r="A127" s="220" t="n"/>
      <c r="B127" s="3340" t="n">
        <v>39</v>
      </c>
      <c r="C127" s="8374" t="n"/>
      <c r="D127" s="2769" t="inlineStr">
        <is>
          <t>Subtract line 38 from line 35. If zero or less, enter -0-</t>
        </is>
      </c>
      <c r="E127" s="2769" t="n"/>
      <c r="F127" s="2769" t="n"/>
      <c r="G127" s="11262" t="n"/>
      <c r="H127" s="11262" t="n"/>
      <c r="I127" s="11262" t="n"/>
      <c r="J127" s="2771" t="n"/>
      <c r="K127" s="2771" t="n"/>
      <c r="L127" s="3222" t="inlineStr">
        <is>
          <t xml:space="preserve">.   .   .   .   .   .   .   .   .   .   .   .   .   .   .   .   .   .   . </t>
        </is>
      </c>
      <c r="M127" s="8376">
        <f>B127</f>
        <v/>
      </c>
      <c r="O127" s="2628">
        <f>IF(OR(NOT(SchDTW_Used),Skip2343,Skip3343,Skip3540),"",MAX(0,SUM(L123,-L126)))</f>
        <v/>
      </c>
      <c r="P127" s="8376" t="n"/>
      <c r="Q127" s="3222" t="n"/>
      <c r="R127" s="3034" t="n"/>
      <c r="S127" s="3224" t="n"/>
      <c r="T127" s="3334" t="n"/>
      <c r="U127" s="3344" t="n"/>
      <c r="V127" s="229" t="n"/>
      <c r="AD127" s="2579">
        <f>IF(File_Single&lt;&gt;"",AE125,IF(OR(File_Marr_Joint&lt;&gt;"",File_Qual_Widow&lt;&gt;""),AF125,IF(File_Marr_Sep&lt;&gt;"", AG125,IF(File_Head&lt;&gt;"",AH125,"Filing status?"))))</f>
        <v/>
      </c>
      <c r="AE127" s="2580">
        <f>"&gt;=100k"</f>
        <v/>
      </c>
      <c r="AF127" s="2580" t="n"/>
      <c r="AG127" s="2580" t="inlineStr">
        <is>
          <t>Tax &gt;&gt;</t>
        </is>
      </c>
      <c r="AH127" s="2581">
        <f>IF(NumFileStatusBoxes=0,"FilingStatus?",IF(AD124&gt;100000,ROUND(AD127,0),ROUND(AD126,0)))</f>
        <v/>
      </c>
      <c r="AO127" s="11704" t="n"/>
      <c r="AP127" s="658" t="n"/>
      <c r="AQ127" s="658" t="n"/>
      <c r="AR127" s="658" t="n"/>
      <c r="AS127" s="658" t="n"/>
      <c r="AT127" s="658" t="n"/>
      <c r="AU127" s="658" t="n"/>
    </row>
    <row r="128" ht="12.75" customHeight="1" s="7635" thickTop="1">
      <c r="A128" s="220" t="n"/>
      <c r="B128" s="3340" t="n">
        <v>40</v>
      </c>
      <c r="C128" s="8374" t="n"/>
      <c r="D128" s="2769">
        <f>"Multiply line 39 by "&amp;TEXT(T128,"0%")&amp;" ("&amp;TEXT(T128,"0.00")&amp;")"</f>
        <v/>
      </c>
      <c r="E128" s="2769" t="n"/>
      <c r="F128" s="2769" t="n"/>
      <c r="G128" s="11262" t="n"/>
      <c r="H128" s="11262" t="n"/>
      <c r="I128" s="11262" t="n"/>
      <c r="J128" s="2771" t="n"/>
      <c r="K128" s="2771" t="n"/>
      <c r="L128" s="2771" t="n"/>
      <c r="M128" s="2771" t="n"/>
      <c r="N128" s="2771" t="n"/>
      <c r="O128" s="3222" t="inlineStr">
        <is>
          <t xml:space="preserve">.   .   .   .   .   .   .   .   .   .   .   .   .   .   .   .   .   .   .   .   .   .   .   .   .   .   .   .   .   .   .   .   .   .   .  </t>
        </is>
      </c>
      <c r="P128" s="2771" t="n"/>
      <c r="Q128" s="8376">
        <f>B128</f>
        <v/>
      </c>
      <c r="R128" s="2628">
        <f>IF(OR(NOT(SchDTW_Used),Skip2343,Skip3343,Skip3540),"",ROUND((O127*T128),0))</f>
        <v/>
      </c>
      <c r="S128" s="3224" t="n"/>
      <c r="T128" s="3334" t="n">
        <v>0.25</v>
      </c>
      <c r="U128" s="3344" t="n"/>
      <c r="V128" s="229" t="n"/>
      <c r="AD128" s="839" t="inlineStr">
        <is>
          <t>47.</t>
        </is>
      </c>
      <c r="AE128" s="840" t="inlineStr">
        <is>
          <t>TAX: Smaller of line 45 or 46</t>
        </is>
      </c>
      <c r="AF128" s="841" t="n"/>
      <c r="AG128" s="2635">
        <f>IF(NOT(AG71),MIN(AG121,AG122))</f>
        <v/>
      </c>
      <c r="AH128" s="842" t="n"/>
      <c r="AO128" s="11704" t="n"/>
      <c r="AP128" s="658" t="n"/>
      <c r="AQ128" s="658" t="n"/>
      <c r="AR128" s="658" t="n"/>
      <c r="AS128" s="658" t="n"/>
      <c r="AT128" s="658" t="n"/>
      <c r="AU128" s="658" t="n"/>
    </row>
    <row r="129" ht="12.75" customHeight="1" s="7635">
      <c r="A129" s="220" t="n"/>
      <c r="B129" s="2802" t="n"/>
      <c r="C129" s="8374" t="n"/>
      <c r="D129" s="2826" t="inlineStr">
        <is>
          <t>If Schedule D, line 18, is zero or blank, skip lines 41 through 43 and go to line 44. Otherwise, go to line 41.</t>
        </is>
      </c>
      <c r="E129" s="2826" t="n"/>
      <c r="F129" s="2826" t="n"/>
      <c r="G129" s="11262" t="n"/>
      <c r="H129" s="11262" t="n"/>
      <c r="I129" s="11262" t="n"/>
      <c r="J129" s="2771" t="n"/>
      <c r="K129" s="2771" t="n"/>
      <c r="L129" s="2771" t="n"/>
      <c r="M129" s="2771" t="n"/>
      <c r="N129" s="2771" t="n"/>
      <c r="O129" s="3353" t="n"/>
      <c r="P129" s="2771" t="n"/>
      <c r="Q129" s="3222" t="n"/>
      <c r="R129" s="3361" t="n"/>
      <c r="S129" s="3224" t="n"/>
      <c r="T129" s="3334" t="n"/>
      <c r="U129" s="3356">
        <f>IF(OR(SchDLine18=0,SchDLine18=""),TRUE,FALSE)</f>
        <v/>
      </c>
      <c r="V129" s="229" t="n"/>
      <c r="AO129" s="11704" t="n"/>
      <c r="AP129" s="658" t="n"/>
      <c r="AQ129" s="658" t="n"/>
      <c r="AR129" s="658" t="n"/>
      <c r="AS129" s="658" t="n"/>
      <c r="AT129" s="658" t="n"/>
      <c r="AU129" s="658" t="n"/>
    </row>
    <row r="130" ht="12.75" customHeight="1" s="7635">
      <c r="A130" s="220" t="n"/>
      <c r="B130" s="3340" t="n">
        <v>41</v>
      </c>
      <c r="C130" s="8374" t="n"/>
      <c r="D130" s="2769" t="inlineStr">
        <is>
          <t>Add lines 21, 22, 30, 33, and 39</t>
        </is>
      </c>
      <c r="E130" s="2769" t="n"/>
      <c r="F130" s="2769" t="n"/>
      <c r="G130" s="11262" t="n"/>
      <c r="H130" s="11262" t="n"/>
      <c r="I130" s="11262" t="n"/>
      <c r="J130" s="2771" t="n"/>
      <c r="K130" s="2771" t="n"/>
      <c r="L130" s="3222" t="inlineStr">
        <is>
          <t xml:space="preserve">.   .   .   .   .   .   .   .   .   .   .   .   .   .   .   .   .   .   .   .   .   .   .   .   .   .   . </t>
        </is>
      </c>
      <c r="M130" s="8376">
        <f>B130</f>
        <v/>
      </c>
      <c r="O130" s="2628">
        <f>IF(OR(NOT(SchDTW_Used),Skip2343,Skip3343,Skip4143),"",SUM(SchDTW_Line21,O103,$O$116,O120,O127))</f>
        <v/>
      </c>
      <c r="P130" s="8376" t="n"/>
      <c r="Q130" s="3222" t="n"/>
      <c r="R130" s="3359" t="n"/>
      <c r="S130" s="3224" t="n"/>
      <c r="T130" s="3334" t="n"/>
      <c r="U130" s="3344">
        <f>IF(OR(NOT(SchDTW_Used),Skip2343,Skip3343,Skip3540),"",IF(Skip4143,"Skip lines 39 through 41.","Go to line 39."))</f>
        <v/>
      </c>
      <c r="V130" s="229" t="n"/>
      <c r="AO130" s="11704" t="n"/>
      <c r="AP130" s="658" t="n"/>
      <c r="AQ130" s="658" t="n"/>
      <c r="AR130" s="658" t="n"/>
      <c r="AS130" s="658" t="n"/>
      <c r="AT130" s="658" t="n"/>
      <c r="AU130" s="658" t="n"/>
    </row>
    <row r="131" ht="12.75" customHeight="1" s="7635" thickBot="1">
      <c r="A131" s="220" t="n"/>
      <c r="B131" s="3340" t="n">
        <v>42</v>
      </c>
      <c r="C131" s="8374" t="n"/>
      <c r="D131" s="2769" t="inlineStr">
        <is>
          <t>Subtract line 41 from line 1</t>
        </is>
      </c>
      <c r="E131" s="2769" t="n"/>
      <c r="F131" s="2769" t="n"/>
      <c r="G131" s="11262" t="n"/>
      <c r="H131" s="11262" t="n"/>
      <c r="I131" s="11262" t="n"/>
      <c r="J131" s="2771" t="n"/>
      <c r="K131" s="2771" t="n"/>
      <c r="L131" s="3222" t="inlineStr">
        <is>
          <t xml:space="preserve">.   .   .   .   .   .   .   .   .   .   .   .   .   .   .   .   .   .   .   .   .   .   .   .   .   .   .   .   . </t>
        </is>
      </c>
      <c r="M131" s="8376">
        <f>B131</f>
        <v/>
      </c>
      <c r="O131" s="2628">
        <f>IF(OR(NOT(SchDTW_Used),Skip2343,Skip3343,Skip4143),"",SUM(SchDTW_Line1,-O130))</f>
        <v/>
      </c>
      <c r="P131" s="8376" t="n"/>
      <c r="Q131" s="3222" t="n"/>
      <c r="R131" s="3363" t="n"/>
      <c r="S131" s="3224" t="n"/>
      <c r="T131" s="3334" t="n"/>
      <c r="U131" s="3344" t="n"/>
      <c r="V131" s="229" t="n"/>
      <c r="AD131" s="688" t="inlineStr">
        <is>
          <t>SchDTW_Line21</t>
        </is>
      </c>
      <c r="AE131" s="7453" t="inlineStr">
        <is>
          <t>Single</t>
        </is>
      </c>
      <c r="AF131" s="7453" t="inlineStr">
        <is>
          <t>MFJ/QW</t>
        </is>
      </c>
      <c r="AG131" s="7453" t="inlineStr">
        <is>
          <t>MFS</t>
        </is>
      </c>
      <c r="AH131" s="7453" t="inlineStr">
        <is>
          <t>HOH</t>
        </is>
      </c>
      <c r="AO131" s="11704" t="n"/>
      <c r="AP131" s="658" t="n"/>
      <c r="AQ131" s="658" t="n"/>
      <c r="AR131" s="658" t="n"/>
      <c r="AS131" s="658" t="n"/>
      <c r="AT131" s="658" t="n"/>
      <c r="AU131" s="658" t="n"/>
    </row>
    <row r="132" ht="12.75" customHeight="1" s="7635" thickBot="1" thickTop="1">
      <c r="A132" s="220" t="n"/>
      <c r="B132" s="3340" t="n">
        <v>43</v>
      </c>
      <c r="C132" s="8374" t="n"/>
      <c r="D132" s="2769">
        <f>"Multiply line 42 by "&amp;TEXT(T132,"0%")&amp;" ("&amp;TEXT(T132,"0.00")&amp;")"</f>
        <v/>
      </c>
      <c r="E132" s="2769" t="n"/>
      <c r="F132" s="2769" t="n"/>
      <c r="G132" s="11262" t="n"/>
      <c r="H132" s="11262" t="n"/>
      <c r="I132" s="11262" t="n"/>
      <c r="J132" s="2771" t="n"/>
      <c r="K132" s="2771" t="n"/>
      <c r="L132" s="2771" t="n"/>
      <c r="M132" s="2771" t="n"/>
      <c r="N132" s="2771" t="n"/>
      <c r="O132" s="3222" t="inlineStr">
        <is>
          <t xml:space="preserve">.   .   .   .   .   .   .   .   .   .   .   .   .   .   .   .   .   .   .   .   .   .   .   .   .   .   .   .   .   .   .   .   .   .   . </t>
        </is>
      </c>
      <c r="P132" s="2771" t="n"/>
      <c r="Q132" s="8376">
        <f>B132</f>
        <v/>
      </c>
      <c r="R132" s="2628">
        <f>IF(OR(NOT(SchDTW_Used),Skip2343,Skip3343,Skip4143),"",ROUND(O131*T132,0))</f>
        <v/>
      </c>
      <c r="S132" s="3224" t="n"/>
      <c r="T132" s="3334" t="n">
        <v>0.28</v>
      </c>
      <c r="U132" s="148" t="inlineStr">
        <is>
          <t>Manual</t>
        </is>
      </c>
      <c r="V132" s="229" t="n"/>
      <c r="AD132" s="5358">
        <f>SchDTW_Line21</f>
        <v/>
      </c>
      <c r="AE132" s="2572">
        <f>LOOKUP(AD132,'Tax Table'!$B$2:$B$2063,'Tax Table'!$D$2:$D$2063)</f>
        <v/>
      </c>
      <c r="AF132" s="2572">
        <f>LOOKUP(AD132,'Tax Table'!$B$2:$B$2063,'Tax Table'!$E$2:$E$2063)</f>
        <v/>
      </c>
      <c r="AG132" s="2572">
        <f>LOOKUP(AD132,'Tax Table'!$B$2:$B$2063,'Tax Table'!$F$2:$F$2063)</f>
        <v/>
      </c>
      <c r="AH132" s="2573">
        <f>LOOKUP(AD132,'Tax Table'!$B$2:$B$2063,'Tax Table'!$G$2:$G$2063)</f>
        <v/>
      </c>
      <c r="AO132" s="11704" t="n"/>
      <c r="AP132" s="658" t="n"/>
      <c r="AQ132" s="658" t="n"/>
      <c r="AR132" s="658" t="n"/>
      <c r="AS132" s="658" t="n"/>
      <c r="AT132" s="658" t="n"/>
      <c r="AU132" s="658" t="n"/>
    </row>
    <row r="133" ht="12.75" customHeight="1" s="7635" thickBot="1">
      <c r="A133" s="220" t="n"/>
      <c r="B133" s="3340" t="n">
        <v>44</v>
      </c>
      <c r="C133" s="8374" t="n"/>
      <c r="D133" s="2769" t="inlineStr">
        <is>
          <t>Figure the tax on the amount on line 21. If the amount on line 21 is less than $100,000, use the Tax Table to figure the tax.</t>
        </is>
      </c>
      <c r="E133" s="2769" t="n"/>
      <c r="F133" s="2769" t="n"/>
      <c r="G133" s="11262" t="n"/>
      <c r="H133" s="11262" t="n"/>
      <c r="I133" s="11262" t="n"/>
      <c r="J133" s="2771" t="n"/>
      <c r="K133" s="2771" t="n"/>
      <c r="L133" s="2771" t="n"/>
      <c r="M133" s="2771" t="n"/>
      <c r="N133" s="2771" t="n"/>
      <c r="O133" s="3222" t="n"/>
      <c r="P133" s="2771" t="n"/>
      <c r="Q133" s="8376" t="n"/>
      <c r="R133" s="3341" t="n"/>
      <c r="S133" s="3224" t="n"/>
      <c r="T133" s="3334" t="n"/>
      <c r="U133" s="148" t="inlineStr">
        <is>
          <t>Override ê</t>
        </is>
      </c>
      <c r="V133" s="229" t="n"/>
      <c r="AD133" s="4640" t="n"/>
      <c r="AE133" s="2574">
        <f>IF(AD132&lt;SectA_a2,"---",IF(AD132&lt;=SectA_a3,ROUND(AD132*(SectA_b3/100),0)-SectA_d3,IF(AD132&lt;=SectA_a4,ROUND(AD132*(SectA_b4/100),0)-SectA_d4,IF(AD132&lt;=SectA_a5,ROUND(AD132*(SectA_b5/100),0)-SectA_d5,IF(AD132&lt;=SectA_a6,ROUND(AD132*(SectA_b6/100),0)-SectA_d6,ROUND(AD132*(SectA_b7/100),0)-SectA_d7)))))</f>
        <v/>
      </c>
      <c r="AF133" s="2574">
        <f>IF(AD132&lt;SectB_a2,"---",IF(AD132&lt;=SectB_a3,ROUND(AD132*(SectB_b3/100),0)-SectB_d3,IF(AD132&lt;=SectB_a4,ROUND(AD132*(SectB_b4/100),0)-SectB_d4,IF(AD132&lt;=SectB_a5,ROUND(AD132*(SectB_b5/100),0)-SectB_d5,IF(AD132&lt;=SectB_a6,ROUND(AD132*(SectB_b6/100),0)-SectB_d6,ROUND(AD132*(SectB_b7/100),0)-SectB_d7)))))</f>
        <v/>
      </c>
      <c r="AG133" s="2574">
        <f>IF(AD132&lt;SectC_a1,"---",IF(AD132&lt;=SectC_a2,ROUND(AD132*(SectC_b2/100),0)-SectC_d2,IF(AD132&lt;=SectC_a3,ROUND(AD132*(SectC_b3/100),0)-SectC_d3,IF(AD132&lt;=SectC_a4,ROUND(AD132*(SectC_b4/100),0)-SectC_d4,IF(AD132&lt;=SectC_a5,ROUND(AD132*(SectC_b5/100),0)-SectC_d5,ROUND(AD132*(SectC_b6/100),0)-SectC_d6)))))</f>
        <v/>
      </c>
      <c r="AH133" s="2575">
        <f>IF(AD132&lt;SectD_a2,"---",IF(AD132&lt;=SectD_a3,ROUND(AD132*(SectD_b3/100),0)-SectD_d3,IF(AD132&lt;=SectD_a4,ROUND(AD132*(SectD_b4/100),0)-SectD_d4,IF(AD132&lt;=SectD_a5,ROUND(AD132*(SectD_b5/100),0)-SectD_d5,IF(AD132&lt;=SectD_a6,ROUND(AD132*(SectD_b6/100),0)-SectD_d6,ROUND(AD132*(SectD_b7/100),0)-SectD_d7)))))</f>
        <v/>
      </c>
      <c r="AO133" s="11704" t="n"/>
      <c r="AP133" s="658" t="n"/>
      <c r="AQ133" s="658" t="n"/>
      <c r="AR133" s="658" t="n"/>
      <c r="AS133" s="658" t="n"/>
      <c r="AT133" s="658" t="n"/>
      <c r="AU133" s="658" t="n"/>
    </row>
    <row r="134" ht="12.75" customHeight="1" s="7635" thickBot="1">
      <c r="A134" s="220" t="n"/>
      <c r="B134" s="3340" t="n"/>
      <c r="C134" s="8374" t="n"/>
      <c r="D134" s="2769" t="inlineStr">
        <is>
          <t>If the amount on line 21 is $100,000 or more, use the Tax Computation Worksheet</t>
        </is>
      </c>
      <c r="E134" s="2769" t="n"/>
      <c r="F134" s="2769" t="n"/>
      <c r="G134" s="11262" t="n"/>
      <c r="H134" s="11262" t="n"/>
      <c r="I134" s="11262" t="n"/>
      <c r="J134" s="2771" t="n"/>
      <c r="K134" s="2771" t="n"/>
      <c r="L134" s="8374" t="n"/>
      <c r="M134" s="8374" t="n"/>
      <c r="N134" s="8374" t="n"/>
      <c r="O134" s="3222" t="inlineStr">
        <is>
          <t xml:space="preserve">.   .   .   .   .   .   .   .   .   .   .   .   .   .   .   .   . </t>
        </is>
      </c>
      <c r="P134" s="8374" t="n"/>
      <c r="Q134" s="8376">
        <f>B133</f>
        <v/>
      </c>
      <c r="R134" s="2628">
        <f>IF(U134&lt;&gt;"",U134,IF(NOT(SchDTW_Used),"",AH135))</f>
        <v/>
      </c>
      <c r="S134" s="3224" t="n"/>
      <c r="T134" s="3334" t="n"/>
      <c r="U134" s="324" t="n"/>
      <c r="V134" s="229" t="n"/>
      <c r="AD134" s="2576">
        <f>IF(File_Single&lt;&gt;"",AE132,IF(File_Marr_Joint&lt;&gt;"",AF132,IF(File_Marr_Sep&lt;&gt;"", AG132,IF(File_Head&lt;&gt;"",AH132,IF(File_Qual_Widow&lt;&gt;"",AF132,"Filing status?")))))</f>
        <v/>
      </c>
      <c r="AE134" s="1061">
        <f>"&lt;100k"</f>
        <v/>
      </c>
      <c r="AF134" s="1061" t="n"/>
      <c r="AG134" s="1061" t="n"/>
      <c r="AH134" s="2577" t="n"/>
      <c r="AO134" s="11704" t="n"/>
      <c r="AP134" s="658" t="n"/>
      <c r="AQ134" s="658" t="n"/>
      <c r="AR134" s="658" t="n"/>
      <c r="AS134" s="658" t="n"/>
      <c r="AT134" s="658" t="n"/>
      <c r="AU134" s="658" t="n"/>
    </row>
    <row r="135" ht="12.75" customHeight="1" s="7635" thickBot="1">
      <c r="A135" s="88" t="n"/>
      <c r="B135" s="3340" t="n">
        <v>45</v>
      </c>
      <c r="C135" s="8374" t="n"/>
      <c r="D135" s="2769" t="inlineStr">
        <is>
          <t>Add lines 31, 34, 40, 43, and 44</t>
        </is>
      </c>
      <c r="E135" s="2769" t="n"/>
      <c r="F135" s="2769" t="n"/>
      <c r="G135" s="11262" t="n"/>
      <c r="H135" s="8374" t="n"/>
      <c r="I135" s="8374" t="n"/>
      <c r="J135" s="11262" t="n"/>
      <c r="K135" s="11262" t="n"/>
      <c r="L135" s="11262" t="n"/>
      <c r="M135" s="11262" t="n"/>
      <c r="N135" s="11262" t="n"/>
      <c r="O135" s="3222" t="inlineStr">
        <is>
          <t xml:space="preserve">.   .   .   .   .   .   .   .   .   .   .   .   .   .   .   .   .   .   .   .   .   .   .   .   .   .   .   .   .   .   .   .   .   .   . </t>
        </is>
      </c>
      <c r="P135" s="11262" t="n"/>
      <c r="Q135" s="8376">
        <f>B135</f>
        <v/>
      </c>
      <c r="R135" s="2628">
        <f>IF(NOT(SchDTW_Used),"",SUM(R117,R121,R128,R132,R134))</f>
        <v/>
      </c>
      <c r="S135" s="3224" t="n"/>
      <c r="T135" s="3334" t="n"/>
      <c r="U135" s="3335" t="n"/>
      <c r="V135" s="229" t="n"/>
      <c r="AD135" s="2579">
        <f>IF(File_Single&lt;&gt;"",AE133,IF(OR(File_Marr_Joint&lt;&gt;"",File_Qual_Widow&lt;&gt;""),AF133,IF(File_Marr_Sep&lt;&gt;"", AG133,IF(File_Head&lt;&gt;"",AH133,"Filing status?"))))</f>
        <v/>
      </c>
      <c r="AE135" s="2580">
        <f>"&gt;=100k"</f>
        <v/>
      </c>
      <c r="AF135" s="2580" t="n"/>
      <c r="AG135" s="2580" t="inlineStr">
        <is>
          <t>Tax &gt;&gt;</t>
        </is>
      </c>
      <c r="AH135" s="2581">
        <f>IF(NumFileStatusBoxes=0,"FilingStatus?",IF(AD132&gt;100000,ROUND(AD135,0),ROUND(AD134,0)))</f>
        <v/>
      </c>
      <c r="AO135" s="11704" t="n"/>
      <c r="AP135" s="658" t="n"/>
      <c r="AQ135" s="658" t="n"/>
      <c r="AR135" s="658" t="n"/>
      <c r="AS135" s="658" t="n"/>
      <c r="AT135" s="658" t="n"/>
      <c r="AU135" s="658" t="n"/>
    </row>
    <row r="136" ht="12.75" customHeight="1" s="7635" thickTop="1">
      <c r="A136" s="88" t="n"/>
      <c r="B136" s="3340" t="n">
        <v>46</v>
      </c>
      <c r="C136" s="8374" t="n"/>
      <c r="D136" s="2769" t="inlineStr">
        <is>
          <t>Figure the tax on the amount on line 1. If the amount on line 1 is less than $100,000, use the Tax Table to figure the tax.</t>
        </is>
      </c>
      <c r="E136" s="2769" t="n"/>
      <c r="F136" s="2769" t="n"/>
      <c r="G136" s="11262" t="n"/>
      <c r="H136" s="8374" t="n"/>
      <c r="I136" s="8374" t="n"/>
      <c r="J136" s="11262" t="n"/>
      <c r="K136" s="11262" t="n"/>
      <c r="L136" s="11262" t="n"/>
      <c r="M136" s="11262" t="n"/>
      <c r="N136" s="11262" t="n"/>
      <c r="O136" s="3222" t="n"/>
      <c r="P136" s="11262" t="n"/>
      <c r="Q136" s="3222" t="n"/>
      <c r="R136" s="3341" t="n"/>
      <c r="S136" s="3224" t="n"/>
      <c r="T136" s="3334" t="n"/>
      <c r="U136" s="3335" t="n"/>
      <c r="V136" s="229" t="n"/>
      <c r="AO136" s="11704" t="n"/>
      <c r="AP136" s="658" t="n"/>
      <c r="AQ136" s="658" t="n"/>
      <c r="AR136" s="658" t="n"/>
      <c r="AS136" s="658" t="n"/>
      <c r="AT136" s="658" t="n"/>
      <c r="AU136" s="658" t="n"/>
    </row>
    <row r="137" ht="12.75" customHeight="1" s="7635">
      <c r="A137" s="220" t="n"/>
      <c r="B137" s="3340" t="n"/>
      <c r="C137" s="8374" t="n"/>
      <c r="D137" s="2769" t="inlineStr">
        <is>
          <t>If the amount on line 1 is $100,000 or more, use the Tax Computation Worksheet</t>
        </is>
      </c>
      <c r="E137" s="2769" t="n"/>
      <c r="F137" s="2769" t="n"/>
      <c r="G137" s="11262" t="n"/>
      <c r="H137" s="11262" t="n"/>
      <c r="I137" s="11262" t="n"/>
      <c r="J137" s="2771" t="n"/>
      <c r="K137" s="2771" t="n"/>
      <c r="L137" s="8374" t="n"/>
      <c r="M137" s="8374" t="n"/>
      <c r="N137" s="8374" t="n"/>
      <c r="O137" s="3222" t="inlineStr">
        <is>
          <t xml:space="preserve">.   .   .   .   .   .   .   .   .   .   .   .   .   .   .   .   .   . </t>
        </is>
      </c>
      <c r="P137" s="8374" t="n"/>
      <c r="Q137" s="8376">
        <f>B136</f>
        <v/>
      </c>
      <c r="R137" s="2628">
        <f>IF(U137&lt;&gt;"",U137,IF(NOT(SchDTW_Used),"",AH144))</f>
        <v/>
      </c>
      <c r="S137" s="3224" t="n"/>
      <c r="T137" s="3334" t="n"/>
      <c r="U137" s="324" t="n"/>
      <c r="V137" s="229" t="n"/>
      <c r="AO137" s="11704" t="n"/>
      <c r="AP137" s="658" t="n"/>
      <c r="AQ137" s="658" t="n"/>
      <c r="AR137" s="658" t="n"/>
      <c r="AS137" s="658" t="n"/>
      <c r="AT137" s="658" t="n"/>
      <c r="AU137" s="658" t="n"/>
    </row>
    <row r="138" ht="12.75" customHeight="1" s="7635">
      <c r="A138" s="88" t="n"/>
      <c r="B138" s="3340" t="n">
        <v>47</v>
      </c>
      <c r="C138" s="8374" t="n"/>
      <c r="D138" s="2826" t="inlineStr">
        <is>
          <t>Tax on all taxable income (including capital gains and qualified dividends). Enter the smaller of line 45 or line 46. Also</t>
        </is>
      </c>
      <c r="E138" s="2826" t="n"/>
      <c r="F138" s="2826" t="n"/>
      <c r="G138" s="11262" t="n"/>
      <c r="H138" s="11262" t="n"/>
      <c r="I138" s="11262" t="n"/>
      <c r="J138" s="2771" t="n"/>
      <c r="K138" s="2771" t="n"/>
      <c r="L138" s="8374" t="n"/>
      <c r="M138" s="8374" t="n"/>
      <c r="N138" s="8374" t="n"/>
      <c r="O138" s="3353" t="n"/>
      <c r="P138" s="8374" t="n"/>
      <c r="Q138" s="3222" t="n"/>
      <c r="R138" s="3034" t="n"/>
      <c r="S138" s="3224" t="n"/>
      <c r="T138" s="3334" t="n"/>
      <c r="U138" s="3335" t="n"/>
      <c r="V138" s="229" t="n"/>
      <c r="AO138" s="11704" t="n"/>
      <c r="AP138" s="658" t="n"/>
      <c r="AQ138" s="658" t="n"/>
      <c r="AR138" s="658" t="n"/>
      <c r="AS138" s="658" t="n"/>
      <c r="AT138" s="658" t="n"/>
      <c r="AU138" s="658" t="n"/>
    </row>
    <row r="139" ht="12.75" customHeight="1" s="7635">
      <c r="A139" s="88" t="n"/>
      <c r="B139" s="3066" t="n"/>
      <c r="C139" s="8374" t="n"/>
      <c r="D139" s="2769" t="inlineStr">
        <is>
          <t>include this amount on Form 1040 or 1040-SR, line 16. (If you are filing Form 2555, don't enter this amount</t>
        </is>
      </c>
      <c r="E139" s="2826" t="n"/>
      <c r="F139" s="2826" t="n"/>
      <c r="G139" s="11262" t="n"/>
      <c r="H139" s="11262" t="n"/>
      <c r="I139" s="11262" t="n"/>
      <c r="J139" s="2771" t="n"/>
      <c r="K139" s="2771" t="n"/>
      <c r="L139" s="8374" t="n"/>
      <c r="M139" s="8374" t="n"/>
      <c r="N139" s="8374" t="n"/>
      <c r="O139" s="3353" t="n"/>
      <c r="P139" s="8374" t="n"/>
      <c r="Q139" s="3222" t="n"/>
      <c r="R139" s="3034" t="n"/>
      <c r="S139" s="3224" t="n"/>
      <c r="T139" s="3334" t="n"/>
      <c r="U139" s="3335" t="n"/>
      <c r="V139" s="229" t="n"/>
      <c r="AO139" s="11704" t="n"/>
      <c r="AP139" s="658" t="n"/>
      <c r="AQ139" s="658" t="n"/>
      <c r="AR139" s="658" t="n"/>
      <c r="AS139" s="658" t="n"/>
      <c r="AT139" s="658" t="n"/>
      <c r="AU139" s="658" t="n"/>
    </row>
    <row r="140" ht="12.75" customHeight="1" s="7635" thickBot="1">
      <c r="A140" s="88" t="n"/>
      <c r="B140" s="3066" t="n"/>
      <c r="C140" s="8374" t="n"/>
      <c r="D140" s="2769" t="inlineStr">
        <is>
          <t>on Form 1040 or 1040-SR, line 16. Instead, enter it on line 4 of the Foreign Earned Income Tax Worksheet in the instructions</t>
        </is>
      </c>
      <c r="E140" s="2826" t="n"/>
      <c r="F140" s="2826" t="n"/>
      <c r="G140" s="11262" t="n"/>
      <c r="H140" s="11262" t="n"/>
      <c r="I140" s="11262" t="n"/>
      <c r="J140" s="2771" t="n"/>
      <c r="K140" s="2771" t="n"/>
      <c r="L140" s="8374" t="n"/>
      <c r="M140" s="8374" t="n"/>
      <c r="N140" s="8374" t="n"/>
      <c r="O140" s="3353" t="n"/>
      <c r="P140" s="8374" t="n"/>
      <c r="Q140" s="3222" t="n"/>
      <c r="R140" s="3034" t="n"/>
      <c r="S140" s="3224" t="n"/>
      <c r="T140" s="3334" t="n"/>
      <c r="U140" s="3335" t="n"/>
      <c r="V140" s="229" t="n"/>
      <c r="AD140" s="688" t="inlineStr">
        <is>
          <t>SchDTW_Line1</t>
        </is>
      </c>
      <c r="AE140" s="7453" t="inlineStr">
        <is>
          <t>Single</t>
        </is>
      </c>
      <c r="AF140" s="7453" t="inlineStr">
        <is>
          <t>MFJ/QW</t>
        </is>
      </c>
      <c r="AG140" s="7453" t="inlineStr">
        <is>
          <t>MFS</t>
        </is>
      </c>
      <c r="AH140" s="7453" t="inlineStr">
        <is>
          <t>HOH</t>
        </is>
      </c>
      <c r="AO140" s="11704" t="n"/>
      <c r="AP140" s="658" t="n"/>
      <c r="AQ140" s="658" t="n"/>
      <c r="AR140" s="658" t="n"/>
      <c r="AS140" s="658" t="n"/>
      <c r="AT140" s="658" t="n"/>
      <c r="AU140" s="658" t="n"/>
    </row>
    <row r="141" ht="12" customHeight="1" s="7635" thickBot="1" thickTop="1">
      <c r="A141" s="88" t="n"/>
      <c r="B141" s="2802" t="n"/>
      <c r="C141" s="8374" t="n"/>
      <c r="D141" s="2769" t="inlineStr">
        <is>
          <t>for Form 1040.)</t>
        </is>
      </c>
      <c r="E141" s="2769" t="n"/>
      <c r="F141" s="2769" t="n"/>
      <c r="G141" s="11262" t="n"/>
      <c r="H141" s="11262" t="n"/>
      <c r="I141" s="11262" t="n"/>
      <c r="J141" s="2771" t="n"/>
      <c r="K141" s="2771" t="n"/>
      <c r="L141" s="8374" t="n"/>
      <c r="M141" s="8374" t="n"/>
      <c r="N141" s="8374" t="n"/>
      <c r="O141" s="3222" t="inlineStr">
        <is>
          <t xml:space="preserve">  .   .   .   .   .   .   .   .   .   .   .   .   .   .   .   .   .   .   .   .   .   .   .   .   .   .   .   .   .   .   .   .   .   .   .   .   .   .   .   .   .   . </t>
        </is>
      </c>
      <c r="P141" s="8374" t="n"/>
      <c r="Q141" s="8376">
        <f>B138</f>
        <v/>
      </c>
      <c r="R141" s="2628">
        <f>IF(U141&lt;&gt;"",U141,IF(NOT(SchDTW_Used),"",MIN(R135,R137)))</f>
        <v/>
      </c>
      <c r="S141" s="3224" t="n"/>
      <c r="T141" s="3334" t="n"/>
      <c r="U141" s="324" t="n"/>
      <c r="V141" s="229" t="n"/>
      <c r="AD141" s="5358">
        <f>SchDTW_Line1</f>
        <v/>
      </c>
      <c r="AE141" s="2572">
        <f>LOOKUP(AD141,'Tax Table'!$B$2:$B$2063,'Tax Table'!$D$2:$D$2063)</f>
        <v/>
      </c>
      <c r="AF141" s="2572">
        <f>LOOKUP(AD141,'Tax Table'!$B$2:$B$2063,'Tax Table'!$E$2:$E$2063)</f>
        <v/>
      </c>
      <c r="AG141" s="2572">
        <f>LOOKUP(AD141,'Tax Table'!$B$2:$B$2063,'Tax Table'!$F$2:$F$2063)</f>
        <v/>
      </c>
      <c r="AH141" s="2573">
        <f>LOOKUP(AD141,'Tax Table'!$B$2:$B$2063,'Tax Table'!$G$2:$G$2063)</f>
        <v/>
      </c>
      <c r="AO141" s="11704" t="n"/>
      <c r="AP141" s="658" t="n"/>
      <c r="AQ141" s="658" t="n"/>
      <c r="AR141" s="658" t="n"/>
      <c r="AS141" s="658" t="n"/>
      <c r="AT141" s="658" t="n"/>
      <c r="AU141" s="658" t="n"/>
    </row>
    <row r="142" ht="13.5" customHeight="1" s="7635" thickBot="1">
      <c r="A142" s="88" t="n"/>
      <c r="B142" s="2802" t="n"/>
      <c r="C142" s="8374" t="n"/>
      <c r="D142" s="3364" t="n"/>
      <c r="E142" s="3364" t="n"/>
      <c r="F142" s="3364" t="n"/>
      <c r="G142" s="3286" t="n"/>
      <c r="H142" s="3286" t="n"/>
      <c r="I142" s="3286" t="n"/>
      <c r="J142" s="3365" t="n"/>
      <c r="K142" s="3365" t="n"/>
      <c r="L142" s="3107" t="n"/>
      <c r="M142" s="3107" t="n"/>
      <c r="N142" s="3107" t="n"/>
      <c r="O142" s="3366" t="n"/>
      <c r="P142" s="3107" t="n"/>
      <c r="Q142" s="3222" t="n"/>
      <c r="R142" s="3222" t="n"/>
      <c r="S142" s="3224" t="n"/>
      <c r="T142" s="3334" t="n"/>
      <c r="U142" s="3335" t="n"/>
      <c r="V142" s="229" t="n"/>
      <c r="AD142" s="4640" t="n"/>
      <c r="AE142" s="2574">
        <f>IF(AD141&lt;SectA_a2,"---",IF(AD141&lt;=SectA_a3,ROUND(AD141*(SectA_b3/100),0)-SectA_d3,IF(AD141&lt;=SectA_a4,ROUND(AD141*(SectA_b4/100),0)-SectA_d4,IF(AD141&lt;=SectA_a5,ROUND(AD141*(SectA_b5/100),0)-SectA_d5,IF(AD141&lt;=SectA_a6,ROUND(AD141*(SectA_b6/100),0)-SectA_d6,ROUND(AD141*(SectA_b7/100),0)-SectA_d7)))))</f>
        <v/>
      </c>
      <c r="AF142" s="2574">
        <f>IF(AD141&lt;SectB_a2,"---",IF(AD141&lt;=SectB_a3,ROUND(AD141*(SectB_b3/100),0)-SectB_d3,IF(AD141&lt;=SectB_a4,ROUND(AD141*(SectB_b4/100),0)-SectB_d4,IF(AD141&lt;=SectB_a5,ROUND(AD141*(SectB_b5/100),0)-SectB_d5,IF(AD141&lt;=SectB_a6,ROUND(AD141*(SectB_b6/100),0)-SectB_d6,ROUND(AD141*(SectB_b7/100),0)-SectB_d7)))))</f>
        <v/>
      </c>
      <c r="AG142" s="2574">
        <f>IF(AD141&lt;SectC_a1,"---",IF(AD141&lt;=SectC_a2,ROUND(AD141*(SectC_b2/100),0)-SectC_d2,IF(AD141&lt;=SectC_a3,ROUND(AD141*(SectC_b3/100),0)-SectC_d3,IF(AD141&lt;=SectC_a4,ROUND(AD141*(SectC_b4/100),0)-SectC_d4,IF(AD141&lt;=SectC_a5,ROUND(AD141*(SectC_b5/100),0)-SectC_d5,ROUND(AD141*(SectC_b6/100),0)-SectC_d6)))))</f>
        <v/>
      </c>
      <c r="AH142" s="2575">
        <f>IF(AD141&lt;SectD_a2,"---",IF(AD141&lt;=SectD_a3,ROUND(AD141*(SectD_b3/100),0)-SectD_d3,IF(AD141&lt;=SectD_a4,ROUND(AD141*(SectD_b4/100),0)-SectD_d4,IF(AD141&lt;=SectD_a5,ROUND(AD141*(SectD_b5/100),0)-SectD_d5,IF(AD141&lt;=SectD_a6,ROUND(AD141*(SectD_b6/100),0)-SectD_d6,ROUND(AD141*(SectD_b7/100),0)-SectD_d7)))))</f>
        <v/>
      </c>
      <c r="AO142" s="11704" t="n"/>
      <c r="AP142" s="658" t="n"/>
      <c r="AQ142" s="658" t="n"/>
      <c r="AR142" s="658" t="n"/>
      <c r="AS142" s="658" t="n"/>
      <c r="AT142" s="658" t="n"/>
      <c r="AU142" s="658" t="n"/>
    </row>
    <row r="143" ht="16.5" customHeight="1" s="7635" thickBot="1">
      <c r="A143" s="88" t="n"/>
      <c r="B143" s="2802" t="n"/>
      <c r="C143" s="8374" t="n"/>
      <c r="D143" s="2769" t="inlineStr">
        <is>
          <t>*If applicable, enter instead the smaller amount you entered on the dotted line next to line 4e of Form 4952.</t>
        </is>
      </c>
      <c r="E143" s="2769" t="n"/>
      <c r="F143" s="2769" t="n"/>
      <c r="G143" s="11262" t="n"/>
      <c r="H143" s="11262" t="n"/>
      <c r="I143" s="11262" t="n"/>
      <c r="J143" s="2771" t="n"/>
      <c r="K143" s="2771" t="n"/>
      <c r="L143" s="8374" t="n"/>
      <c r="M143" s="8374" t="n"/>
      <c r="N143" s="8374" t="n"/>
      <c r="O143" s="3353" t="n"/>
      <c r="P143" s="8374" t="n"/>
      <c r="Q143" s="3222" t="n"/>
      <c r="R143" s="3034" t="n"/>
      <c r="S143" s="3224" t="n"/>
      <c r="T143" s="3334" t="n"/>
      <c r="U143" s="3335" t="n"/>
      <c r="V143" s="229" t="n"/>
      <c r="AD143" s="2576">
        <f>IF(File_Single&lt;&gt;"",AE141,IF(File_Marr_Joint&lt;&gt;"",AF141,IF(File_Marr_Sep&lt;&gt;"", AG141,IF(File_Head&lt;&gt;"",AH141,IF(File_Qual_Widow&lt;&gt;"",AF141,"Filing status?")))))</f>
        <v/>
      </c>
      <c r="AE143" s="1061">
        <f>"&lt;100k"</f>
        <v/>
      </c>
      <c r="AF143" s="1061" t="n"/>
      <c r="AG143" s="1061" t="n"/>
      <c r="AH143" s="2577" t="n"/>
      <c r="AO143" s="11704" t="n"/>
      <c r="AP143" s="658" t="n"/>
      <c r="AQ143" s="658" t="n"/>
      <c r="AR143" s="658" t="n"/>
      <c r="AS143" s="658" t="n"/>
      <c r="AT143" s="658" t="n"/>
      <c r="AU143" s="658" t="n"/>
    </row>
    <row r="144" ht="14.25" customHeight="1" s="7635" thickBot="1">
      <c r="A144" s="88" t="n"/>
      <c r="B144" s="2802" t="n"/>
      <c r="C144" s="8374" t="n"/>
      <c r="D144" s="2769" t="inlineStr">
        <is>
          <t>**If you are filing Form 2555, see the footnote in the Foreign Earned Income Tax Worksheet in the Instructions for</t>
        </is>
      </c>
      <c r="E144" s="2769" t="n"/>
      <c r="F144" s="2769" t="n"/>
      <c r="G144" s="11262" t="n"/>
      <c r="H144" s="11262" t="n"/>
      <c r="I144" s="11262" t="n"/>
      <c r="J144" s="2771" t="n"/>
      <c r="K144" s="2771" t="n"/>
      <c r="L144" s="8374" t="n"/>
      <c r="M144" s="8374" t="n"/>
      <c r="N144" s="8374" t="n"/>
      <c r="O144" s="3353" t="n"/>
      <c r="P144" s="8374" t="n"/>
      <c r="Q144" s="3222" t="n"/>
      <c r="R144" s="3034" t="n"/>
      <c r="S144" s="3224" t="n"/>
      <c r="T144" s="3334" t="n"/>
      <c r="U144" s="3335" t="n"/>
      <c r="V144" s="11403" t="n"/>
      <c r="AD144" s="2579">
        <f>IF(File_Single&lt;&gt;"",AE142,IF(OR(File_Marr_Joint&lt;&gt;"",File_Qual_Widow&lt;&gt;""),AF142,IF(File_Marr_Sep&lt;&gt;"", AG142,IF(File_Head&lt;&gt;"",AH142,"Filing status?"))))</f>
        <v/>
      </c>
      <c r="AE144" s="2580">
        <f>"&gt;=100k"</f>
        <v/>
      </c>
      <c r="AF144" s="2580" t="n"/>
      <c r="AG144" s="2580" t="inlineStr">
        <is>
          <t>Tax &gt;&gt;</t>
        </is>
      </c>
      <c r="AH144" s="2581">
        <f>IF(NumFileStatusBoxes=0,"FilingStatus?",IF(AD141&gt;100000,ROUND(AD144,0),ROUND(AD143,0)))</f>
        <v/>
      </c>
      <c r="AO144" s="11704" t="n"/>
      <c r="AP144" s="658" t="n"/>
      <c r="AQ144" s="658" t="n"/>
      <c r="AR144" s="658" t="n"/>
      <c r="AS144" s="658" t="n"/>
      <c r="AT144" s="658" t="n"/>
      <c r="AU144" s="658" t="n"/>
    </row>
    <row r="145" ht="12" customHeight="1" s="7635" thickTop="1">
      <c r="A145" s="88" t="n"/>
      <c r="B145" s="2802" t="n"/>
      <c r="C145" s="8374" t="n"/>
      <c r="D145" s="2769" t="inlineStr">
        <is>
          <t>Form 1040 and 1040-SR, line 16, before completing this line.</t>
        </is>
      </c>
      <c r="E145" s="2769" t="n"/>
      <c r="F145" s="2769" t="n"/>
      <c r="G145" s="11262" t="n"/>
      <c r="H145" s="11262" t="n"/>
      <c r="I145" s="11262" t="n"/>
      <c r="J145" s="2771" t="n"/>
      <c r="K145" s="2771" t="n"/>
      <c r="L145" s="8374" t="n"/>
      <c r="M145" s="8374" t="n"/>
      <c r="N145" s="8374" t="n"/>
      <c r="O145" s="3353" t="n"/>
      <c r="P145" s="8374" t="n"/>
      <c r="Q145" s="3222" t="n"/>
      <c r="R145" s="3034" t="n"/>
      <c r="S145" s="3367" t="n"/>
      <c r="T145" s="3334" t="n"/>
      <c r="U145" s="3335" t="n"/>
      <c r="V145" s="11403" t="n"/>
      <c r="AO145" s="11704" t="n"/>
      <c r="AP145" s="658" t="n"/>
      <c r="AQ145" s="658" t="n"/>
      <c r="AR145" s="658" t="n"/>
      <c r="AS145" s="658" t="n"/>
      <c r="AT145" s="658" t="n"/>
      <c r="AU145" s="658" t="n"/>
    </row>
    <row r="146" ht="12" customHeight="1" s="7635" thickBot="1">
      <c r="A146" s="88" t="n"/>
      <c r="B146" s="3368" t="n"/>
      <c r="C146" s="3369" t="n"/>
      <c r="D146" s="3370" t="n"/>
      <c r="E146" s="3370" t="n"/>
      <c r="F146" s="3370" t="n"/>
      <c r="G146" s="3371" t="n"/>
      <c r="H146" s="3369" t="n"/>
      <c r="I146" s="3369" t="n"/>
      <c r="J146" s="3371" t="n"/>
      <c r="K146" s="3371" t="n"/>
      <c r="L146" s="3371" t="n"/>
      <c r="M146" s="3371" t="n"/>
      <c r="N146" s="3371" t="n"/>
      <c r="O146" s="3371" t="n"/>
      <c r="P146" s="3371" t="n"/>
      <c r="Q146" s="3371" t="n"/>
      <c r="R146" s="3371" t="n"/>
      <c r="S146" s="3372" t="n"/>
      <c r="T146" s="3334" t="n"/>
      <c r="U146" s="3335" t="n"/>
      <c r="V146" s="11403" t="n"/>
      <c r="AO146" s="11704" t="n"/>
      <c r="AP146" s="658" t="n"/>
      <c r="AQ146" s="658" t="n"/>
      <c r="AR146" s="658" t="n"/>
      <c r="AS146" s="658" t="n"/>
      <c r="AT146" s="658" t="n"/>
      <c r="AU146" s="658" t="n"/>
    </row>
    <row r="147" ht="12" customHeight="1" s="7635" thickTop="1">
      <c r="B147" s="226" t="n"/>
      <c r="C147" s="226" t="n"/>
      <c r="D147" s="8922" t="n"/>
      <c r="E147" s="8922" t="n"/>
      <c r="F147" s="8922" t="n"/>
      <c r="G147" s="88" t="n"/>
      <c r="H147" s="88" t="n"/>
      <c r="I147" s="88" t="n"/>
      <c r="J147" s="3373" t="n"/>
      <c r="K147" s="3298" t="n"/>
      <c r="L147" s="3298" t="n"/>
      <c r="M147" s="3298" t="n"/>
      <c r="N147" s="3298" t="n"/>
      <c r="O147" s="3298" t="n"/>
      <c r="P147" s="3298" t="n"/>
      <c r="Q147" s="3298" t="n"/>
      <c r="R147" s="3298" t="n"/>
      <c r="S147" s="3298" t="n"/>
      <c r="T147" s="3374" t="n"/>
      <c r="U147" s="11403" t="n"/>
      <c r="V147" s="8648" t="n"/>
      <c r="AO147" s="11704" t="n"/>
      <c r="AP147" s="658" t="n"/>
      <c r="AQ147" s="658" t="n"/>
      <c r="AR147" s="658" t="n"/>
      <c r="AS147" s="658" t="n"/>
      <c r="AT147" s="658" t="n"/>
      <c r="AU147" s="658" t="n"/>
    </row>
    <row r="148">
      <c r="B148" s="226" t="n"/>
      <c r="C148" s="226" t="n"/>
      <c r="D148" s="8922" t="n"/>
      <c r="E148" s="8922" t="n"/>
      <c r="F148" s="8922" t="n"/>
      <c r="G148" s="88" t="n"/>
      <c r="H148" s="88" t="n"/>
      <c r="I148" s="88" t="n"/>
      <c r="J148" s="3298" t="n"/>
      <c r="K148" s="3298" t="n"/>
      <c r="L148" s="3298" t="n"/>
      <c r="M148" s="3298" t="n"/>
      <c r="N148" s="3298" t="n"/>
      <c r="O148" s="3298" t="n"/>
      <c r="P148" s="3298" t="n"/>
      <c r="Q148" s="3298" t="n"/>
      <c r="R148" s="3298" t="n"/>
      <c r="S148" s="3298" t="n"/>
      <c r="T148" s="3298" t="n"/>
      <c r="U148" s="11403" t="n"/>
      <c r="V148" s="8648" t="n"/>
      <c r="AO148" s="11704" t="n"/>
      <c r="AP148" s="658" t="n"/>
      <c r="AQ148" s="658" t="n"/>
      <c r="AR148" s="658" t="n"/>
      <c r="AS148" s="658" t="n"/>
      <c r="AT148" s="658" t="n"/>
      <c r="AU148" s="658" t="n"/>
    </row>
    <row r="149" ht="13.5" customHeight="1" s="7635" thickBot="1">
      <c r="B149" s="8043" t="n"/>
      <c r="C149" s="8043" t="n"/>
      <c r="D149" s="7301" t="n"/>
      <c r="E149" s="7301" t="n"/>
      <c r="F149" s="7301" t="n"/>
      <c r="J149" s="4" t="n"/>
      <c r="K149" s="4" t="n"/>
      <c r="L149" s="4" t="n"/>
      <c r="M149" s="4" t="n"/>
      <c r="N149" s="4" t="n"/>
      <c r="O149" s="4" t="n"/>
      <c r="P149" s="4" t="n"/>
      <c r="Q149" s="4" t="n"/>
      <c r="R149" s="4" t="n"/>
      <c r="S149" s="4" t="n"/>
      <c r="T149" s="4" t="n"/>
      <c r="U149" s="8648" t="n"/>
      <c r="V149" s="8648" t="n"/>
      <c r="AO149" s="11704" t="n"/>
      <c r="AP149" s="658" t="n"/>
      <c r="AQ149" s="658" t="n"/>
      <c r="AR149" s="658" t="n"/>
      <c r="AS149" s="658" t="n"/>
      <c r="AT149" s="658" t="n"/>
      <c r="AU149" s="658" t="n"/>
    </row>
    <row r="150" ht="14.25" customHeight="1" s="7635" thickBot="1" thickTop="1">
      <c r="D150" s="11824" t="inlineStr">
        <is>
          <t>Download Form 1040 Schedule D</t>
        </is>
      </c>
      <c r="E150" s="11825" t="n"/>
      <c r="F150" s="11825" t="n"/>
      <c r="G150" s="11825" t="n"/>
      <c r="H150" s="11826" t="n"/>
      <c r="I150" s="143" t="n"/>
      <c r="J150" s="4" t="n"/>
      <c r="K150" s="4" t="n"/>
      <c r="L150" s="4" t="n"/>
      <c r="M150" s="4" t="n"/>
      <c r="N150" s="4" t="n"/>
      <c r="O150" s="4" t="n"/>
      <c r="P150" s="4" t="n"/>
      <c r="Q150" s="4" t="n"/>
      <c r="R150" s="4" t="n"/>
      <c r="S150" s="4" t="n"/>
      <c r="T150" s="8648" t="n"/>
      <c r="U150" s="8648" t="n"/>
      <c r="V150" s="8648" t="n"/>
    </row>
    <row r="151" ht="14.25" customHeight="1" s="7635" thickBot="1" thickTop="1">
      <c r="D151" s="7301" t="n"/>
      <c r="E151" s="7301" t="n"/>
      <c r="H151" s="4" t="n"/>
      <c r="I151" s="4" t="n"/>
      <c r="J151" s="4" t="n"/>
      <c r="K151" s="4" t="n"/>
      <c r="L151" s="4" t="n"/>
      <c r="M151" s="4" t="n"/>
      <c r="N151" s="4" t="n"/>
      <c r="O151" s="4" t="n"/>
      <c r="P151" s="4" t="n"/>
      <c r="Q151" s="4" t="n"/>
      <c r="R151" s="4" t="n"/>
      <c r="S151" s="4" t="n"/>
      <c r="T151" s="8648" t="n"/>
      <c r="U151" s="8648" t="n"/>
    </row>
    <row r="152" ht="14.25" customHeight="1" s="7635" thickBot="1" thickTop="1">
      <c r="D152" s="11824" t="inlineStr">
        <is>
          <t>Download Form 1040 Schedule D Instructions</t>
        </is>
      </c>
      <c r="E152" s="11825" t="n"/>
      <c r="F152" s="11825" t="n"/>
      <c r="G152" s="11825" t="n"/>
      <c r="H152" s="11826" t="n"/>
      <c r="I152" s="143" t="n"/>
      <c r="J152" s="4" t="n"/>
      <c r="K152" s="4" t="n"/>
      <c r="L152" s="4" t="n"/>
      <c r="M152" s="4" t="n"/>
      <c r="N152" s="4" t="n"/>
      <c r="O152" s="4" t="n"/>
      <c r="P152" s="4" t="n"/>
      <c r="Q152" s="4" t="n"/>
      <c r="R152" s="4" t="n"/>
      <c r="S152" s="4" t="n"/>
      <c r="T152" s="8648" t="n"/>
    </row>
    <row r="153" ht="13.5" customHeight="1" s="7635" thickTop="1"/>
  </sheetData>
  <sheetProtection selectLockedCells="0" selectUnlockedCells="0" algorithmName="SHA-512" sheet="1" objects="0" insertRows="1" insertHyperlinks="1" autoFilter="1" scenarios="0" formatColumns="0" deleteColumns="1" insertColumns="1" pivotTables="1" deleteRows="1" formatCells="0" saltValue="hr0QwRAPHEWM5CcYXch4BQ==" formatRows="0" sort="1" spinCount="100000" hashValue="F5GSWG+1EJCAZsO1FM7I8ftyU1seC6fiXwPMlpaitz02lvUYBLhnMUcSsVfPPPtBLFLATFoM3fMF2JKNF3bfkw=="/>
  <mergeCells count="31">
    <mergeCell ref="M127:N127"/>
    <mergeCell ref="M130:N130"/>
    <mergeCell ref="U65:U66"/>
    <mergeCell ref="B66:C66"/>
    <mergeCell ref="M107:N107"/>
    <mergeCell ref="D77:H77"/>
    <mergeCell ref="M20:N20"/>
    <mergeCell ref="M94:N94"/>
    <mergeCell ref="M84:N84"/>
    <mergeCell ref="D150:H150"/>
    <mergeCell ref="M30:N30"/>
    <mergeCell ref="M81:N81"/>
    <mergeCell ref="M37:N37"/>
    <mergeCell ref="D78:H78"/>
    <mergeCell ref="M86:N86"/>
    <mergeCell ref="M120:N120"/>
    <mergeCell ref="M41:N41"/>
    <mergeCell ref="M116:N116"/>
    <mergeCell ref="U63:U64"/>
    <mergeCell ref="D152:H152"/>
    <mergeCell ref="B68:C68"/>
    <mergeCell ref="R9:R12"/>
    <mergeCell ref="M29:N29"/>
    <mergeCell ref="M47:N47"/>
    <mergeCell ref="U69:U70"/>
    <mergeCell ref="M23:N23"/>
    <mergeCell ref="M103:N103"/>
    <mergeCell ref="M50:N50"/>
    <mergeCell ref="M102:N102"/>
    <mergeCell ref="M131:N131"/>
    <mergeCell ref="M56:N56"/>
  </mergeCells>
  <conditionalFormatting sqref="B60:B61">
    <cfRule type="expression" priority="5431" dxfId="158">
      <formula>NOT(AND($Y$50,$Y$51))</formula>
    </cfRule>
    <cfRule type="expression" priority="5432" dxfId="34">
      <formula>AND($Y$50,$Y$51)</formula>
    </cfRule>
  </conditionalFormatting>
  <conditionalFormatting sqref="B66:C66">
    <cfRule type="expression" priority="10" dxfId="158">
      <formula>OR($AC$67,$AC$68)</formula>
    </cfRule>
  </conditionalFormatting>
  <conditionalFormatting sqref="B68:C68">
    <cfRule type="expression" priority="9" dxfId="158">
      <formula>OR($AC$67,$AC$68)</formula>
    </cfRule>
  </conditionalFormatting>
  <conditionalFormatting sqref="B20:M20 B21:N22 B23:M23 B24:N24">
    <cfRule type="expression" priority="236" dxfId="6">
      <formula>IF(NoColor,1,0)</formula>
    </cfRule>
  </conditionalFormatting>
  <conditionalFormatting sqref="B3:P4">
    <cfRule type="expression" priority="3" dxfId="6">
      <formula>IF(NoColor,1,0)</formula>
    </cfRule>
  </conditionalFormatting>
  <conditionalFormatting sqref="B27:P28 B29:M30 B31:P31 O29:P30">
    <cfRule type="expression" priority="114" dxfId="6">
      <formula>IF(NoColor,1,0)</formula>
    </cfRule>
  </conditionalFormatting>
  <conditionalFormatting sqref="B5:Q15">
    <cfRule type="expression" priority="24" dxfId="6">
      <formula>IF(NoColor,1,0)</formula>
    </cfRule>
  </conditionalFormatting>
  <conditionalFormatting sqref="B25:R26">
    <cfRule type="expression" priority="115" dxfId="6">
      <formula>IF(NoColor,1,0)</formula>
    </cfRule>
  </conditionalFormatting>
  <conditionalFormatting sqref="B32:R33">
    <cfRule type="expression" priority="111" dxfId="6">
      <formula>IF(NoColor,1,0)</formula>
    </cfRule>
  </conditionalFormatting>
  <conditionalFormatting sqref="B16:S19">
    <cfRule type="expression" priority="39" dxfId="6">
      <formula>IF(NoColor,1,0)</formula>
    </cfRule>
  </conditionalFormatting>
  <conditionalFormatting sqref="B36:S36 B37:M37 B38:S40 B41:M41 B42:S46 B47:M47 B48:S49 B50:M50 B51:S55 B56:M56 B57:S57 O37:S37 O41:S41 O47:S47 O50:S50 O56:S56">
    <cfRule type="expression" priority="101" dxfId="6">
      <formula>IF(NoColor,1,0)</formula>
    </cfRule>
  </conditionalFormatting>
  <conditionalFormatting sqref="C60:C61">
    <cfRule type="expression" priority="407" dxfId="14">
      <formula>IF($W61&gt;0,1,0)</formula>
    </cfRule>
  </conditionalFormatting>
  <conditionalFormatting sqref="C65">
    <cfRule type="expression" priority="12" dxfId="14">
      <formula>IF(OR($W62&gt;0,$W64&gt;0,$W65&gt;0),TRUE,FALSE)</formula>
    </cfRule>
    <cfRule type="expression" priority="8" dxfId="0">
      <formula>OR(B66,B68)</formula>
    </cfRule>
  </conditionalFormatting>
  <conditionalFormatting sqref="D91:D93">
    <cfRule type="expression" priority="17" dxfId="20">
      <formula>IF(B91,0,1)</formula>
    </cfRule>
  </conditionalFormatting>
  <conditionalFormatting sqref="D98:D100">
    <cfRule type="expression" priority="30" dxfId="20">
      <formula>IF(B98,0,1)</formula>
    </cfRule>
  </conditionalFormatting>
  <conditionalFormatting sqref="D109:D112">
    <cfRule type="expression" priority="341" dxfId="20">
      <formula>IF(B109,0,1)</formula>
    </cfRule>
  </conditionalFormatting>
  <conditionalFormatting sqref="D144:D145">
    <cfRule type="expression" priority="340" dxfId="158">
      <formula>IF(Form2555_Used,1,0)</formula>
    </cfRule>
  </conditionalFormatting>
  <conditionalFormatting sqref="E66">
    <cfRule type="expression" priority="11" dxfId="0">
      <formula>$B$66</formula>
    </cfRule>
  </conditionalFormatting>
  <conditionalFormatting sqref="E68">
    <cfRule type="expression" priority="13" dxfId="0" stopIfTrue="1">
      <formula>$B$68</formula>
    </cfRule>
  </conditionalFormatting>
  <conditionalFormatting sqref="J78:J79">
    <cfRule type="expression" priority="395" dxfId="6">
      <formula>IF(NoColor,1,0)</formula>
    </cfRule>
  </conditionalFormatting>
  <conditionalFormatting sqref="J124:J125">
    <cfRule type="expression" priority="362" dxfId="6">
      <formula>IF(NoColor,1,0)</formula>
    </cfRule>
  </conditionalFormatting>
  <conditionalFormatting sqref="L76">
    <cfRule type="expression" priority="397" dxfId="6">
      <formula>IF(NoColor,1,0)</formula>
    </cfRule>
  </conditionalFormatting>
  <conditionalFormatting sqref="L80">
    <cfRule type="expression" priority="394" dxfId="6">
      <formula>IF(NoColor,1,0)</formula>
    </cfRule>
  </conditionalFormatting>
  <conditionalFormatting sqref="L82:L83">
    <cfRule type="expression" priority="391" dxfId="6">
      <formula>IF(NoColor,1,0)</formula>
    </cfRule>
  </conditionalFormatting>
  <conditionalFormatting sqref="L85">
    <cfRule type="expression" priority="389" dxfId="6">
      <formula>IF(NoColor,1,0)</formula>
    </cfRule>
  </conditionalFormatting>
  <conditionalFormatting sqref="L87">
    <cfRule type="expression" priority="388" dxfId="6">
      <formula>IF(NoColor,1,0)</formula>
    </cfRule>
  </conditionalFormatting>
  <conditionalFormatting sqref="L92">
    <cfRule type="expression" priority="384" dxfId="6">
      <formula>IF(NoColor,1,0)</formula>
    </cfRule>
  </conditionalFormatting>
  <conditionalFormatting sqref="L95:L96">
    <cfRule type="expression" priority="381" dxfId="6">
      <formula>IF(NoColor,1,0)</formula>
    </cfRule>
  </conditionalFormatting>
  <conditionalFormatting sqref="L99">
    <cfRule type="expression" priority="37" dxfId="6">
      <formula>IF(NoColor,1,0)</formula>
    </cfRule>
  </conditionalFormatting>
  <conditionalFormatting sqref="L101">
    <cfRule type="expression" priority="27" dxfId="6">
      <formula>IF(NoColor,1,0)</formula>
    </cfRule>
  </conditionalFormatting>
  <conditionalFormatting sqref="L105:L106">
    <cfRule type="expression" priority="377" dxfId="6">
      <formula>IF(NoColor,1,0)</formula>
    </cfRule>
  </conditionalFormatting>
  <conditionalFormatting sqref="L111">
    <cfRule type="expression" priority="375" dxfId="6">
      <formula>IF(NoColor,1,0)</formula>
    </cfRule>
  </conditionalFormatting>
  <conditionalFormatting sqref="L113:L115">
    <cfRule type="expression" priority="372" dxfId="6">
      <formula>IF(NoColor,1,0)</formula>
    </cfRule>
  </conditionalFormatting>
  <conditionalFormatting sqref="L118">
    <cfRule type="expression" priority="369" dxfId="6">
      <formula>IF(NoColor,1,0)</formula>
    </cfRule>
  </conditionalFormatting>
  <conditionalFormatting sqref="L123">
    <cfRule type="expression" priority="366" dxfId="6">
      <formula>IF(NoColor,1,0)</formula>
    </cfRule>
  </conditionalFormatting>
  <conditionalFormatting sqref="L126">
    <cfRule type="expression" priority="361" dxfId="6">
      <formula>IF(NoColor,1,0)</formula>
    </cfRule>
  </conditionalFormatting>
  <conditionalFormatting sqref="O18">
    <cfRule type="expression" priority="2626" dxfId="2722" stopIfTrue="1">
      <formula>IF(#REF!&lt;&gt;"",1,0)</formula>
    </cfRule>
    <cfRule type="expression" priority="2625" dxfId="14">
      <formula>IF(R18&lt;0,1,0)</formula>
    </cfRule>
  </conditionalFormatting>
  <conditionalFormatting sqref="O81">
    <cfRule type="expression" priority="393" dxfId="6">
      <formula>IF(NoColor,1,0)</formula>
    </cfRule>
  </conditionalFormatting>
  <conditionalFormatting sqref="O84">
    <cfRule type="expression" priority="390" dxfId="6">
      <formula>IF(NoColor,1,0)</formula>
    </cfRule>
  </conditionalFormatting>
  <conditionalFormatting sqref="O86">
    <cfRule type="expression" priority="387" dxfId="6">
      <formula>IF(NoColor,1,0)</formula>
    </cfRule>
  </conditionalFormatting>
  <conditionalFormatting sqref="O94">
    <cfRule type="expression" priority="383" dxfId="6">
      <formula>IF(NoColor,1,0)</formula>
    </cfRule>
  </conditionalFormatting>
  <conditionalFormatting sqref="O102:O103">
    <cfRule type="expression" priority="379" dxfId="6">
      <formula>IF(NoColor,1,0)</formula>
    </cfRule>
  </conditionalFormatting>
  <conditionalFormatting sqref="O107">
    <cfRule type="expression" priority="376" dxfId="6">
      <formula>IF(NoColor,1,0)</formula>
    </cfRule>
  </conditionalFormatting>
  <conditionalFormatting sqref="O116">
    <cfRule type="expression" priority="371" dxfId="6">
      <formula>IF(NoColor,1,0)</formula>
    </cfRule>
  </conditionalFormatting>
  <conditionalFormatting sqref="O120">
    <cfRule type="expression" priority="370" dxfId="6">
      <formula>IF(NoColor,1,0)</formula>
    </cfRule>
  </conditionalFormatting>
  <conditionalFormatting sqref="O127">
    <cfRule type="expression" priority="360" dxfId="6">
      <formula>IF(NoColor,1,0)</formula>
    </cfRule>
  </conditionalFormatting>
  <conditionalFormatting sqref="O130:O131">
    <cfRule type="expression" priority="357" dxfId="6">
      <formula>IF(NoColor,1,0)</formula>
    </cfRule>
  </conditionalFormatting>
  <conditionalFormatting sqref="O20:P24">
    <cfRule type="expression" priority="2" dxfId="6">
      <formula>IF(NoColor,1,0)</formula>
    </cfRule>
  </conditionalFormatting>
  <conditionalFormatting sqref="B34:S34 Q4 Q20:S21 Q27:S27 R13:S15 S10:S12">
    <cfRule type="expression" priority="400" dxfId="6">
      <formula>IF(NoColor,1,0)</formula>
    </cfRule>
  </conditionalFormatting>
  <conditionalFormatting sqref="Q22:R24">
    <cfRule type="expression" priority="116" dxfId="6">
      <formula>IF(NoColor,1,0)</formula>
    </cfRule>
  </conditionalFormatting>
  <conditionalFormatting sqref="Q28:R31">
    <cfRule type="expression" priority="112" dxfId="6">
      <formula>IF(NoColor,1,0)</formula>
    </cfRule>
  </conditionalFormatting>
  <conditionalFormatting sqref="Q3:S3">
    <cfRule type="expression" priority="333" dxfId="6">
      <formula>IF(NoColor,1,0)</formula>
    </cfRule>
  </conditionalFormatting>
  <conditionalFormatting sqref="R63">
    <cfRule type="expression" priority="23" dxfId="121">
      <formula>NoColor</formula>
    </cfRule>
  </conditionalFormatting>
  <conditionalFormatting sqref="R74">
    <cfRule type="expression" priority="398" dxfId="6">
      <formula>IF(NoColor,1,0)</formula>
    </cfRule>
  </conditionalFormatting>
  <conditionalFormatting sqref="R88:R89">
    <cfRule type="expression" priority="385" dxfId="6">
      <formula>IF(NoColor,1,0)</formula>
    </cfRule>
  </conditionalFormatting>
  <conditionalFormatting sqref="R117">
    <cfRule type="expression" priority="368" dxfId="6">
      <formula>IF(NoColor,1,0)</formula>
    </cfRule>
  </conditionalFormatting>
  <conditionalFormatting sqref="R121">
    <cfRule type="expression" priority="367" dxfId="6">
      <formula>IF(NoColor,1,0)</formula>
    </cfRule>
  </conditionalFormatting>
  <conditionalFormatting sqref="R128">
    <cfRule type="expression" priority="359" dxfId="6">
      <formula>IF(NoColor,1,0)</formula>
    </cfRule>
  </conditionalFormatting>
  <conditionalFormatting sqref="R132">
    <cfRule type="expression" priority="356" dxfId="6">
      <formula>IF(NoColor,1,0)</formula>
    </cfRule>
  </conditionalFormatting>
  <conditionalFormatting sqref="R134:R135">
    <cfRule type="expression" priority="354" dxfId="6">
      <formula>IF(NoColor,1,0)</formula>
    </cfRule>
  </conditionalFormatting>
  <conditionalFormatting sqref="R137">
    <cfRule type="expression" priority="353" dxfId="6">
      <formula>IF(NoColor,1,0)</formula>
    </cfRule>
  </conditionalFormatting>
  <conditionalFormatting sqref="R141">
    <cfRule type="expression" priority="352" dxfId="6">
      <formula>IF(NoColor,1,0)</formula>
    </cfRule>
  </conditionalFormatting>
  <conditionalFormatting sqref="R4:S9">
    <cfRule type="expression" priority="103" dxfId="6">
      <formula>IF(NoColor,1,0)</formula>
    </cfRule>
  </conditionalFormatting>
  <conditionalFormatting sqref="S22:S26">
    <cfRule type="expression" priority="219" dxfId="6">
      <formula>IF(NoColor,1,0)</formula>
    </cfRule>
  </conditionalFormatting>
  <conditionalFormatting sqref="S28:S33">
    <cfRule type="expression" priority="146" dxfId="6">
      <formula>IF(NoColor,1,0)</formula>
    </cfRule>
  </conditionalFormatting>
  <conditionalFormatting sqref="U62">
    <cfRule type="cellIs" priority="418" operator="equal" dxfId="1255" stopIfTrue="1">
      <formula>"Yes"</formula>
    </cfRule>
  </conditionalFormatting>
  <conditionalFormatting sqref="U63:U64">
    <cfRule type="expression" priority="4" dxfId="781">
      <formula>$AC$65</formula>
    </cfRule>
  </conditionalFormatting>
  <conditionalFormatting sqref="U65:U66">
    <cfRule type="expression" priority="6" dxfId="781">
      <formula>AND(SchDTW_Used,NOT(AC72),SchD_Line1819_GT_0)</formula>
    </cfRule>
  </conditionalFormatting>
  <conditionalFormatting sqref="U67">
    <cfRule type="expression" priority="5" dxfId="781">
      <formula>$AC$67</formula>
    </cfRule>
  </conditionalFormatting>
  <conditionalFormatting sqref="W9">
    <cfRule type="expression" priority="99" dxfId="4">
      <formula>IF(NOT(X3),FALSE,IF(OR(NOT(X4),AND(NOT(X7),NOT(X8))),TRUE,FALSE))</formula>
    </cfRule>
  </conditionalFormatting>
  <conditionalFormatting sqref="Y9">
    <cfRule type="expression" priority="98" dxfId="34">
      <formula>X9</formula>
    </cfRule>
    <cfRule type="expression" priority="97" dxfId="40">
      <formula>NOT(X9)</formula>
    </cfRule>
  </conditionalFormatting>
  <conditionalFormatting sqref="AG72:AG115">
    <cfRule type="expression" priority="28" dxfId="6">
      <formula>IF(NoColor,1,0)</formula>
    </cfRule>
  </conditionalFormatting>
  <conditionalFormatting sqref="AG121:AG122">
    <cfRule type="expression" priority="46" dxfId="6">
      <formula>IF(NoColor,1,0)</formula>
    </cfRule>
  </conditionalFormatting>
  <conditionalFormatting sqref="AG128">
    <cfRule type="expression" priority="45" dxfId="6">
      <formula>IF(NoColor,1,0)</formula>
    </cfRule>
  </conditionalFormatting>
  <hyperlinks>
    <hyperlink xmlns:r="http://schemas.openxmlformats.org/officeDocument/2006/relationships" ref="D150" display="Download Form 1040 Schedule D" r:id="rId1"/>
    <hyperlink xmlns:r="http://schemas.openxmlformats.org/officeDocument/2006/relationships" ref="D152" display="Download Form 1040 Schedule D Instructions" r:id="rId2"/>
  </hyperlinks>
  <pageMargins left="0.75" right="0.25" top="0.36" bottom="0.29" header="0.36" footer="0.21"/>
  <pageSetup orientation="portrait" scale="74" fitToHeight="0"/>
  <rowBreaks count="2" manualBreakCount="2">
    <brk id="34" min="0" max="16383" man="1"/>
    <brk id="57" min="1" max="16" man="1"/>
  </rowBreaks>
  <drawing xmlns:r="http://schemas.openxmlformats.org/officeDocument/2006/relationships" r:id="rId3"/>
</worksheet>
</file>

<file path=xl/worksheets/sheet33.xml><?xml version="1.0" encoding="utf-8"?>
<worksheet xmlns="http://schemas.openxmlformats.org/spreadsheetml/2006/main">
  <sheetPr>
    <outlinePr summaryBelow="1" summaryRight="1"/>
    <pageSetUpPr fitToPage="1"/>
  </sheetPr>
  <dimension ref="A1:BQ266"/>
  <sheetViews>
    <sheetView zoomScaleNormal="100" zoomScaleSheetLayoutView="100" workbookViewId="0">
      <selection activeCell="A1" sqref="A1"/>
    </sheetView>
  </sheetViews>
  <sheetFormatPr baseColWidth="8" defaultColWidth="3.42578125" defaultRowHeight="12.75"/>
  <cols>
    <col width="3.85546875" customWidth="1" style="7635" min="2" max="2"/>
    <col width="2.5703125" customWidth="1" style="7635" min="5" max="5"/>
    <col width="4.28515625" customWidth="1" style="7635" min="6" max="6"/>
    <col width="3.7109375" customWidth="1" style="7635" min="8" max="8"/>
    <col width="2.85546875" customWidth="1" style="7635" min="9" max="10"/>
    <col width="4" customWidth="1" style="7635" min="12" max="12"/>
    <col width="3" customWidth="1" style="7635" min="13" max="14"/>
    <col width="2.7109375" customWidth="1" style="7635" min="15" max="18"/>
    <col width="4.5703125" customWidth="1" style="7635" min="19" max="19"/>
    <col width="3.28515625" customWidth="1" style="7635" min="20" max="25"/>
    <col width="2.7109375" customWidth="1" style="7635" min="26" max="29"/>
    <col width="3.7109375" customWidth="1" style="7635" min="32" max="33"/>
    <col width="3.5703125" customWidth="1" style="7635" min="34" max="34"/>
    <col width="4" customWidth="1" style="7635" min="36" max="36"/>
    <col width="3.42578125" customWidth="1" style="7635" min="43" max="43"/>
    <col width="10.28515625" customWidth="1" style="7635" min="44" max="46"/>
    <col width="3.85546875" customWidth="1" style="7635" min="47" max="47"/>
    <col hidden="1" width="10.28515625" customWidth="1" style="7635" min="48" max="55"/>
    <col hidden="1" width="10.140625" customWidth="1" style="7635" min="56" max="56"/>
    <col hidden="1" width="10.28515625" customWidth="1" style="7635" min="57" max="57"/>
    <col width="10.7109375" customWidth="1" style="816" min="59" max="59"/>
    <col width="10.7109375" customWidth="1" style="815" min="60" max="69"/>
  </cols>
  <sheetData>
    <row r="1" ht="21.75" customHeight="1" s="7635">
      <c r="A1" s="1277" t="n"/>
      <c r="B1" s="1277" t="n"/>
      <c r="C1" s="4749" t="inlineStr">
        <is>
          <t>Note:  This sheet includes two Schedule E forms.</t>
        </is>
      </c>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I1" s="8379">
        <f>IF('Table of Contents'!A38="D","DRAFT","")</f>
        <v/>
      </c>
      <c r="AP1" s="1277" t="n"/>
      <c r="BG1" s="768" t="inlineStr">
        <is>
          <t>Notes</t>
        </is>
      </c>
      <c r="BH1" s="658" t="n"/>
      <c r="BI1" s="658" t="n"/>
      <c r="BJ1" s="658" t="n"/>
      <c r="BK1" s="658" t="n"/>
      <c r="BL1" s="658" t="n"/>
      <c r="BM1" s="658" t="n"/>
      <c r="BN1" s="658" t="n"/>
      <c r="BO1" s="658" t="n"/>
      <c r="BP1" s="658" t="n"/>
    </row>
    <row r="2" ht="18" customHeight="1" s="7635">
      <c r="A2" s="1277" t="n"/>
      <c r="B2" s="12105" t="inlineStr">
        <is>
          <t>SCHEDULE E</t>
        </is>
      </c>
      <c r="G2" s="1066" t="n"/>
      <c r="H2" s="4750" t="n"/>
      <c r="I2" s="11602" t="n"/>
      <c r="J2" s="11602" t="n"/>
      <c r="K2" s="11602" t="n"/>
      <c r="L2" s="11602" t="n"/>
      <c r="M2" s="2329" t="n"/>
      <c r="N2" s="11602" t="n"/>
      <c r="O2" s="11602" t="n"/>
      <c r="P2" s="11602" t="n"/>
      <c r="Q2" s="11602" t="n"/>
      <c r="R2" s="11602" t="n"/>
      <c r="S2" s="11602" t="n"/>
      <c r="T2" s="11602" t="n"/>
      <c r="U2" s="11602" t="n"/>
      <c r="V2" s="11602" t="n"/>
      <c r="W2" s="11602" t="n"/>
      <c r="X2" s="11602" t="n"/>
      <c r="Y2" s="11602" t="n"/>
      <c r="Z2" s="11602" t="n"/>
      <c r="AA2" s="11602" t="n"/>
      <c r="AB2" s="11602" t="n"/>
      <c r="AC2" s="11602" t="n"/>
      <c r="AD2" s="11602" t="n"/>
      <c r="AE2" s="11602" t="n"/>
      <c r="AF2" s="11602" t="n"/>
      <c r="AG2" s="11602" t="n"/>
      <c r="AH2" s="11602" t="n"/>
      <c r="AI2" s="8598">
        <f>IF(AND('Table of Contents'!A38="D",AP2=""),"DRAFT","OMB No. 1545-0074")</f>
        <v/>
      </c>
      <c r="AJ2" s="7637" t="n"/>
      <c r="AK2" s="7637" t="n"/>
      <c r="AL2" s="7637" t="n"/>
      <c r="AM2" s="7637" t="n"/>
      <c r="AN2" s="7637" t="n"/>
      <c r="AO2" s="7637" t="n"/>
      <c r="AP2" s="770" t="n"/>
      <c r="BG2" s="795" t="inlineStr">
        <is>
          <t>Date:</t>
        </is>
      </c>
      <c r="BH2" s="658" t="n"/>
      <c r="BI2" s="658" t="n"/>
      <c r="BJ2" s="658" t="n"/>
      <c r="BK2" s="658" t="n"/>
      <c r="BL2" s="658" t="n"/>
      <c r="BM2" s="658" t="n"/>
      <c r="BN2" s="658" t="n"/>
      <c r="BO2" s="658" t="n"/>
      <c r="BP2" s="658" t="n"/>
    </row>
    <row r="3" ht="25.5" customHeight="1" s="7635">
      <c r="A3" s="1277" t="n"/>
      <c r="B3" s="12106" t="inlineStr">
        <is>
          <t>(Form 1040)</t>
        </is>
      </c>
      <c r="G3" s="1066" t="n"/>
      <c r="H3" s="4751" t="inlineStr">
        <is>
          <t>Supplemental Income and Loss</t>
        </is>
      </c>
      <c r="I3" s="4752" t="n"/>
      <c r="J3" s="4752" t="n"/>
      <c r="K3" s="4752" t="n"/>
      <c r="L3" s="4752" t="n"/>
      <c r="M3" s="4752" t="n"/>
      <c r="N3" s="4752" t="n"/>
      <c r="O3" s="4752" t="n"/>
      <c r="P3" s="4752" t="n"/>
      <c r="Q3" s="4752" t="n"/>
      <c r="R3" s="4752" t="n"/>
      <c r="S3" s="4752" t="n"/>
      <c r="T3" s="4752" t="n"/>
      <c r="U3" s="4752" t="n"/>
      <c r="V3" s="4752" t="n"/>
      <c r="W3" s="4752" t="n"/>
      <c r="X3" s="4752" t="n"/>
      <c r="Y3" s="4752" t="n"/>
      <c r="Z3" s="4752" t="n"/>
      <c r="AA3" s="4752" t="n"/>
      <c r="AB3" s="4752" t="n"/>
      <c r="AC3" s="4752" t="n"/>
      <c r="AD3" s="4752" t="n"/>
      <c r="AE3" s="4752" t="n"/>
      <c r="AF3" s="4752" t="n"/>
      <c r="AG3" s="4752" t="n"/>
      <c r="AH3" s="4753" t="n"/>
      <c r="AI3" s="8602">
        <f>TaxYear</f>
        <v/>
      </c>
      <c r="AJ3" s="7839" t="n"/>
      <c r="AK3" s="7839" t="n"/>
      <c r="AL3" s="7839" t="n"/>
      <c r="AM3" s="7839" t="n"/>
      <c r="AN3" s="7839" t="n"/>
      <c r="AO3" s="7839" t="n"/>
      <c r="AP3" s="1277" t="n"/>
      <c r="BG3" s="769" t="n"/>
      <c r="BH3" s="658" t="n"/>
      <c r="BI3" s="658" t="n"/>
      <c r="BJ3" s="658" t="n"/>
      <c r="BK3" s="658" t="n"/>
      <c r="BL3" s="658" t="n"/>
      <c r="BM3" s="658" t="n"/>
      <c r="BN3" s="658" t="n"/>
      <c r="BO3" s="658" t="n"/>
      <c r="BP3" s="658" t="n"/>
    </row>
    <row r="4">
      <c r="A4" s="1277" t="n"/>
      <c r="B4" s="7650" t="inlineStr">
        <is>
          <t>Department of the Treasury Internal Revenue Service</t>
        </is>
      </c>
      <c r="G4" s="1066" t="n"/>
      <c r="H4" s="4443">
        <f>"(From rental real estate, royalties, partnerships, S corporations, estates, trusts, REMICs, etc.)"</f>
        <v/>
      </c>
      <c r="I4" s="4033" t="n"/>
      <c r="J4" s="4033" t="n"/>
      <c r="K4" s="4033" t="n"/>
      <c r="L4" s="4033" t="n"/>
      <c r="M4" s="4033" t="n"/>
      <c r="N4" s="4033" t="n"/>
      <c r="O4" s="4033" t="n"/>
      <c r="P4" s="4033" t="n"/>
      <c r="Q4" s="4033" t="n"/>
      <c r="R4" s="4033" t="n"/>
      <c r="S4" s="4033" t="n"/>
      <c r="T4" s="4754" t="n"/>
      <c r="U4" s="4033" t="n"/>
      <c r="V4" s="4033" t="n"/>
      <c r="W4" s="4033" t="n"/>
      <c r="X4" s="4033" t="n"/>
      <c r="Y4" s="4033" t="n"/>
      <c r="Z4" s="4033" t="n"/>
      <c r="AA4" s="4033" t="n"/>
      <c r="AB4" s="4033" t="n"/>
      <c r="AC4" s="4033" t="n"/>
      <c r="AD4" s="4033" t="n"/>
      <c r="AE4" s="4033" t="n"/>
      <c r="AF4" s="4033" t="n"/>
      <c r="AG4" s="4033" t="n"/>
      <c r="AH4" s="4033" t="n"/>
      <c r="AI4" s="11741" t="n"/>
      <c r="AP4" s="1277" t="n"/>
      <c r="BG4" s="769" t="n"/>
      <c r="BH4" s="658" t="n"/>
      <c r="BI4" s="658" t="n"/>
      <c r="BJ4" s="658" t="n"/>
      <c r="BK4" s="658" t="n"/>
      <c r="BL4" s="658" t="n"/>
      <c r="BM4" s="658" t="n"/>
      <c r="BN4" s="658" t="n"/>
      <c r="BO4" s="658" t="n"/>
      <c r="BP4" s="658" t="n"/>
    </row>
    <row r="5">
      <c r="A5" s="1277" t="n"/>
      <c r="G5" s="1066" t="n"/>
      <c r="H5" s="341" t="n"/>
      <c r="I5" s="11602" t="n"/>
      <c r="J5" s="11602" t="n"/>
      <c r="K5" s="11602" t="n"/>
      <c r="L5" s="11602" t="n"/>
      <c r="M5" s="11602" t="n"/>
      <c r="N5" s="11602" t="n"/>
      <c r="O5" s="11602" t="n"/>
      <c r="P5" s="11602" t="n"/>
      <c r="Q5" s="11602" t="n"/>
      <c r="R5" s="11602" t="n"/>
      <c r="S5" s="11602" t="n"/>
      <c r="T5" s="733" t="inlineStr">
        <is>
          <t>Attach to Form 1040, 1040-SR, 1040NR, or Form 1041.</t>
        </is>
      </c>
      <c r="U5" s="11602" t="n"/>
      <c r="V5" s="11602" t="n"/>
      <c r="W5" s="11602" t="n"/>
      <c r="X5" s="11602" t="n"/>
      <c r="Y5" s="11602" t="n"/>
      <c r="Z5" s="11602" t="n"/>
      <c r="AA5" s="11602" t="n"/>
      <c r="AB5" s="11602" t="n"/>
      <c r="AC5" s="11602" t="n"/>
      <c r="AD5" s="11602" t="n"/>
      <c r="AE5" s="11602" t="n"/>
      <c r="AF5" s="11602" t="n"/>
      <c r="AG5" s="11602" t="n"/>
      <c r="AH5" s="11602" t="n"/>
      <c r="AI5" s="4755" t="n"/>
      <c r="AJ5" s="12107" t="inlineStr">
        <is>
          <t>Attachment 
Sequence No.</t>
        </is>
      </c>
      <c r="AN5" s="1861" t="n"/>
      <c r="AO5" s="1861" t="n"/>
      <c r="AP5" s="1277" t="n"/>
      <c r="BG5" s="769" t="n"/>
      <c r="BH5" s="658" t="n"/>
      <c r="BI5" s="658" t="n"/>
      <c r="BJ5" s="658" t="n"/>
      <c r="BK5" s="658" t="n"/>
      <c r="BL5" s="658" t="n"/>
      <c r="BM5" s="658" t="n"/>
      <c r="BN5" s="658" t="n"/>
      <c r="BO5" s="658" t="n"/>
      <c r="BP5" s="658" t="n"/>
    </row>
    <row r="6" ht="15.75" customHeight="1" s="7635" thickBot="1">
      <c r="A6" s="1277" t="n"/>
      <c r="B6" s="8848" t="n"/>
      <c r="C6" s="8848" t="n"/>
      <c r="D6" s="8848" t="n"/>
      <c r="E6" s="8848" t="n"/>
      <c r="F6" s="8848" t="n"/>
      <c r="G6" s="2627" t="n"/>
      <c r="H6" s="4756" t="inlineStr">
        <is>
          <t>Go to www.irs.gov/ScheduleE for instructions and the latest information.</t>
        </is>
      </c>
      <c r="I6" s="2879" t="n"/>
      <c r="J6" s="2879" t="n"/>
      <c r="K6" s="2879" t="n"/>
      <c r="L6" s="2879" t="n"/>
      <c r="M6" s="2879" t="n"/>
      <c r="N6" s="2879" t="n"/>
      <c r="O6" s="2879" t="n"/>
      <c r="P6" s="2879" t="n"/>
      <c r="Q6" s="2879" t="n"/>
      <c r="R6" s="2879" t="n"/>
      <c r="S6" s="2879" t="n"/>
      <c r="T6" s="2879" t="n"/>
      <c r="U6" s="2879" t="n"/>
      <c r="V6" s="2879" t="n"/>
      <c r="W6" s="2879" t="n"/>
      <c r="X6" s="2879" t="n"/>
      <c r="Y6" s="2879" t="n"/>
      <c r="Z6" s="2879" t="n"/>
      <c r="AA6" s="2879" t="n"/>
      <c r="AB6" s="2879" t="n"/>
      <c r="AC6" s="2879" t="n"/>
      <c r="AD6" s="2879" t="n"/>
      <c r="AE6" s="2879" t="n"/>
      <c r="AF6" s="2879" t="n"/>
      <c r="AG6" s="2879" t="n"/>
      <c r="AH6" s="2879" t="n"/>
      <c r="AI6" s="4757" t="n"/>
      <c r="AJ6" s="8848" t="n"/>
      <c r="AK6" s="8848" t="n"/>
      <c r="AL6" s="8848" t="n"/>
      <c r="AM6" s="8848" t="n"/>
      <c r="AN6" s="8622" t="n">
        <v>13</v>
      </c>
      <c r="AO6" s="8848" t="n"/>
      <c r="AP6" s="1277" t="n"/>
      <c r="BG6" s="769" t="n"/>
      <c r="BH6" s="658" t="n"/>
      <c r="BI6" s="658" t="n"/>
      <c r="BJ6" s="658" t="n"/>
      <c r="BK6" s="658" t="n"/>
      <c r="BL6" s="658" t="n"/>
      <c r="BM6" s="658" t="n"/>
      <c r="BN6" s="658" t="n"/>
      <c r="BO6" s="658" t="n"/>
      <c r="BP6" s="658" t="n"/>
    </row>
    <row r="7">
      <c r="A7" s="1277" t="n"/>
      <c r="B7" s="344" t="inlineStr">
        <is>
          <t>Name(s) shown on return</t>
        </is>
      </c>
      <c r="C7" s="11602" t="n"/>
      <c r="D7" s="11602" t="n"/>
      <c r="E7" s="11602" t="n"/>
      <c r="F7" s="11602" t="n"/>
      <c r="G7" s="11602" t="n"/>
      <c r="H7" s="11602" t="n"/>
      <c r="I7" s="11602" t="n"/>
      <c r="J7" s="11602" t="n"/>
      <c r="K7" s="11602" t="n"/>
      <c r="L7" s="11602" t="n"/>
      <c r="M7" s="11602" t="n"/>
      <c r="N7" s="11602" t="n"/>
      <c r="O7" s="11602" t="n"/>
      <c r="P7" s="11602" t="n"/>
      <c r="Q7" s="11602" t="n"/>
      <c r="R7" s="11602" t="n"/>
      <c r="S7" s="11602" t="n"/>
      <c r="T7" s="11602" t="n"/>
      <c r="U7" s="11602" t="n"/>
      <c r="V7" s="11602" t="n"/>
      <c r="W7" s="11602" t="n"/>
      <c r="X7" s="11602" t="n"/>
      <c r="Y7" s="11602" t="n"/>
      <c r="Z7" s="11602" t="n"/>
      <c r="AA7" s="11602" t="n"/>
      <c r="AB7" s="11602" t="n"/>
      <c r="AC7" s="11602" t="n"/>
      <c r="AD7" s="11602" t="n"/>
      <c r="AE7" s="11602" t="n"/>
      <c r="AF7" s="11602" t="n"/>
      <c r="AG7" s="8611" t="inlineStr">
        <is>
          <t>Your social security number</t>
        </is>
      </c>
      <c r="AH7" s="2506" t="n"/>
      <c r="AI7" s="2506" t="n"/>
      <c r="AJ7" s="2506" t="n"/>
      <c r="AK7" s="2506" t="n"/>
      <c r="AL7" s="2506" t="n"/>
      <c r="AM7" s="2506" t="n"/>
      <c r="AN7" s="2506" t="n"/>
      <c r="AO7" s="2506" t="n"/>
      <c r="AP7" s="1277" t="n"/>
      <c r="BG7" s="769" t="n"/>
      <c r="BH7" s="658" t="n"/>
      <c r="BI7" s="658" t="n"/>
      <c r="BJ7" s="658" t="n"/>
      <c r="BK7" s="658" t="n"/>
      <c r="BL7" s="658" t="n"/>
      <c r="BM7" s="658" t="n"/>
      <c r="BN7" s="658" t="n"/>
      <c r="BO7" s="658" t="n"/>
      <c r="BP7" s="658" t="n"/>
    </row>
    <row r="8" ht="9.75" customHeight="1" s="7635">
      <c r="A8" s="1277" t="n"/>
      <c r="B8" s="11932">
        <f>Names</f>
        <v/>
      </c>
      <c r="AF8" s="7636" t="n"/>
      <c r="AG8" s="12108">
        <f>IF(NoSSN,"",SS_Yours)</f>
        <v/>
      </c>
      <c r="AP8" s="1277" t="n"/>
      <c r="BG8" s="769" t="n"/>
      <c r="BH8" s="658" t="n"/>
      <c r="BI8" s="658" t="n"/>
      <c r="BJ8" s="658" t="n"/>
      <c r="BK8" s="658" t="n"/>
      <c r="BL8" s="658" t="n"/>
      <c r="BM8" s="658" t="n"/>
      <c r="BN8" s="658" t="n"/>
      <c r="BO8" s="658" t="n"/>
      <c r="BP8" s="658" t="n"/>
    </row>
    <row r="9" ht="9.75" customHeight="1" s="7635">
      <c r="A9" s="1277"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7" t="n"/>
      <c r="Y9" s="7637" t="n"/>
      <c r="Z9" s="7637" t="n"/>
      <c r="AA9" s="7637" t="n"/>
      <c r="AB9" s="7637" t="n"/>
      <c r="AC9" s="7637" t="n"/>
      <c r="AD9" s="7637" t="n"/>
      <c r="AE9" s="7637" t="n"/>
      <c r="AF9" s="7638" t="n"/>
      <c r="AG9" s="3614" t="n"/>
      <c r="AH9" s="7637" t="n"/>
      <c r="AI9" s="7637" t="n"/>
      <c r="AJ9" s="7637" t="n"/>
      <c r="AK9" s="7637" t="n"/>
      <c r="AL9" s="7637" t="n"/>
      <c r="AM9" s="7637" t="n"/>
      <c r="AN9" s="7637" t="n"/>
      <c r="AO9" s="7637" t="n"/>
      <c r="AP9" s="1277" t="n"/>
      <c r="BG9" s="769" t="n"/>
      <c r="BH9" s="658" t="n"/>
      <c r="BI9" s="658" t="n"/>
      <c r="BJ9" s="658" t="n"/>
      <c r="BK9" s="658" t="n"/>
      <c r="BL9" s="658" t="n"/>
      <c r="BM9" s="658" t="n"/>
      <c r="BN9" s="658" t="n"/>
      <c r="BO9" s="658" t="n"/>
      <c r="BP9" s="658" t="n"/>
    </row>
    <row r="10" ht="17.25" customFormat="1" customHeight="1" s="1405">
      <c r="A10" s="2119" t="n"/>
      <c r="B10" s="8410" t="inlineStr">
        <is>
          <t>Part I</t>
        </is>
      </c>
      <c r="C10" s="8412" t="n"/>
      <c r="D10" s="8412" t="n"/>
      <c r="E10" s="2761" t="n"/>
      <c r="F10" s="4758" t="inlineStr">
        <is>
          <t>Income or Loss From Rental Real Estate and Royalties</t>
        </is>
      </c>
      <c r="G10" s="2761" t="n"/>
      <c r="H10" s="2761" t="n"/>
      <c r="I10" s="2761" t="n"/>
      <c r="J10" s="2761" t="n"/>
      <c r="K10" s="2761" t="n"/>
      <c r="L10" s="2761" t="n"/>
      <c r="M10" s="2761" t="n"/>
      <c r="N10" s="2761" t="n"/>
      <c r="O10" s="2761" t="n"/>
      <c r="P10" s="2761" t="n"/>
      <c r="Q10" s="2761" t="n"/>
      <c r="R10" s="2761" t="n"/>
      <c r="S10" s="2761" t="n"/>
      <c r="T10" s="2761" t="n"/>
      <c r="U10" s="2761" t="n"/>
      <c r="V10" s="2761" t="n"/>
      <c r="W10" s="2761" t="n"/>
      <c r="X10" s="2354" t="n"/>
      <c r="Y10" s="2761" t="n"/>
      <c r="Z10" s="2761" t="n"/>
      <c r="AA10" s="2761" t="n"/>
      <c r="AB10" s="2761" t="n"/>
      <c r="AC10" s="2761" t="n"/>
      <c r="AD10" s="2761" t="n"/>
      <c r="AE10" s="2761" t="n"/>
      <c r="AF10" s="2761" t="n"/>
      <c r="AG10" s="2761" t="n"/>
      <c r="AH10" s="2761" t="n"/>
      <c r="AI10" s="2761" t="n"/>
      <c r="AJ10" s="2761" t="n"/>
      <c r="AK10" s="2761" t="n"/>
      <c r="AL10" s="2761" t="n"/>
      <c r="AM10" s="2761" t="n"/>
      <c r="AN10" s="2761" t="n"/>
      <c r="AO10" s="2761" t="n"/>
      <c r="AP10" s="1277" t="n"/>
      <c r="BG10" s="769" t="n"/>
      <c r="BH10" s="658" t="n"/>
      <c r="BI10" s="658" t="n"/>
      <c r="BJ10" s="658" t="n"/>
      <c r="BK10" s="658" t="n"/>
      <c r="BL10" s="658" t="n"/>
      <c r="BM10" s="658" t="n"/>
      <c r="BN10" s="658" t="n"/>
      <c r="BO10" s="658" t="n"/>
      <c r="BP10" s="658" t="n"/>
      <c r="BQ10" s="815" t="n"/>
    </row>
    <row r="11" ht="17.25" customHeight="1" s="7635">
      <c r="A11" s="1277" t="n"/>
      <c r="B11" s="4759" t="n"/>
      <c r="C11" s="4759" t="n"/>
      <c r="D11" s="10732" t="n"/>
      <c r="E11" s="1990" t="n"/>
      <c r="F11" s="8650" t="inlineStr">
        <is>
          <t>Note: If you are in business of renting personal property, use Schedule C.  See instructions.  If you are an individual,</t>
        </is>
      </c>
      <c r="G11" s="7762" t="n"/>
      <c r="H11" s="7762" t="n"/>
      <c r="I11" s="7762" t="n"/>
      <c r="J11" s="7762" t="n"/>
      <c r="K11" s="7762" t="n"/>
      <c r="L11" s="7762" t="n"/>
      <c r="M11" s="1990" t="n"/>
      <c r="N11" s="7762" t="n"/>
      <c r="O11" s="7762" t="n"/>
      <c r="P11" s="7762" t="n"/>
      <c r="Q11" s="7762" t="n"/>
      <c r="R11" s="7762" t="n"/>
      <c r="S11" s="7762" t="n"/>
      <c r="T11" s="7762" t="n"/>
      <c r="U11" s="7762" t="n"/>
      <c r="V11" s="7762" t="n"/>
      <c r="W11" s="7762" t="n"/>
      <c r="X11" s="7762" t="n"/>
      <c r="Y11" s="7762" t="n"/>
      <c r="Z11" s="7762" t="n"/>
      <c r="AA11" s="7762" t="n"/>
      <c r="AB11" s="7762" t="n"/>
      <c r="AC11" s="7762" t="n"/>
      <c r="AD11" s="1990" t="n"/>
      <c r="AE11" s="7762" t="n"/>
      <c r="AF11" s="7762" t="n"/>
      <c r="AG11" s="7762" t="n"/>
      <c r="AH11" s="7762" t="n"/>
      <c r="AI11" s="7762" t="n"/>
      <c r="AJ11" s="7762" t="n"/>
      <c r="AK11" s="7762" t="n"/>
      <c r="AL11" s="7762" t="n"/>
      <c r="AM11" s="7762" t="n"/>
      <c r="AN11" s="7762" t="n"/>
      <c r="AO11" s="7762" t="n"/>
      <c r="AP11" s="1277" t="n"/>
      <c r="BG11" s="769" t="n"/>
      <c r="BH11" s="658" t="n"/>
      <c r="BI11" s="658" t="n"/>
      <c r="BJ11" s="658" t="n"/>
      <c r="BK11" s="658" t="n"/>
      <c r="BL11" s="658" t="n"/>
      <c r="BM11" s="658" t="n"/>
      <c r="BN11" s="658" t="n"/>
      <c r="BO11" s="658" t="n"/>
      <c r="BP11" s="658" t="n"/>
    </row>
    <row r="12" ht="15.75" customHeight="1" s="7635">
      <c r="A12" s="1277" t="n"/>
      <c r="B12" s="4760" t="n"/>
      <c r="C12" s="4760" t="n"/>
      <c r="D12" s="4761" t="n"/>
      <c r="E12" s="1999" t="n"/>
      <c r="F12" s="4252" t="inlineStr">
        <is>
          <t>report farm rental income or loss from Form 4835 on page 2, line 40.</t>
        </is>
      </c>
      <c r="G12" s="7764" t="n"/>
      <c r="H12" s="7764" t="n"/>
      <c r="I12" s="7764" t="n"/>
      <c r="J12" s="7764" t="n"/>
      <c r="K12" s="7764" t="n"/>
      <c r="L12" s="7764" t="n"/>
      <c r="M12" s="1999" t="n"/>
      <c r="N12" s="7764" t="n"/>
      <c r="O12" s="7764" t="n"/>
      <c r="P12" s="7764" t="n"/>
      <c r="Q12" s="7764" t="n"/>
      <c r="R12" s="7764" t="n"/>
      <c r="S12" s="7764" t="n"/>
      <c r="T12" s="7764" t="n"/>
      <c r="U12" s="7764" t="n"/>
      <c r="V12" s="7764" t="n"/>
      <c r="W12" s="7764" t="n"/>
      <c r="X12" s="7764" t="n"/>
      <c r="Y12" s="7764" t="n"/>
      <c r="Z12" s="7764" t="n"/>
      <c r="AA12" s="7764" t="n"/>
      <c r="AB12" s="7764" t="n"/>
      <c r="AC12" s="7764" t="n"/>
      <c r="AD12" s="1999" t="n"/>
      <c r="AE12" s="7764" t="n"/>
      <c r="AF12" s="7764" t="n"/>
      <c r="AG12" s="7764" t="n"/>
      <c r="AH12" s="7764" t="n"/>
      <c r="AI12" s="7764" t="n"/>
      <c r="AJ12" s="7764" t="n"/>
      <c r="AK12" s="7764" t="n"/>
      <c r="AL12" s="7764" t="n"/>
      <c r="AM12" s="7764" t="n"/>
      <c r="AN12" s="7764" t="n"/>
      <c r="AO12" s="7764" t="n"/>
      <c r="AP12" s="1277" t="n"/>
      <c r="BG12" s="769" t="n"/>
      <c r="BH12" s="658" t="n"/>
      <c r="BI12" s="658" t="n"/>
      <c r="BJ12" s="658" t="n"/>
      <c r="BK12" s="658" t="n"/>
      <c r="BL12" s="658" t="n"/>
      <c r="BM12" s="658" t="n"/>
      <c r="BN12" s="658" t="n"/>
      <c r="BO12" s="658" t="n"/>
      <c r="BP12" s="658" t="n"/>
    </row>
    <row r="13" ht="15.75" customHeight="1" s="7635">
      <c r="A13" s="1277" t="n"/>
      <c r="B13" s="8577" t="inlineStr">
        <is>
          <t>A</t>
        </is>
      </c>
      <c r="C13" s="7839" t="n"/>
      <c r="D13" s="10862">
        <f>"Did you make any payments in "&amp;TaxYear&amp;" that would require you to file Form(s) 1099?  See instructions."</f>
        <v/>
      </c>
      <c r="E13" s="7762" t="n"/>
      <c r="F13" s="7762" t="n"/>
      <c r="G13" s="7762" t="n"/>
      <c r="H13" s="7762" t="n"/>
      <c r="I13" s="7762" t="n"/>
      <c r="J13" s="7762" t="n"/>
      <c r="K13" s="7762" t="n"/>
      <c r="L13" s="7762" t="n"/>
      <c r="M13" s="7762" t="n"/>
      <c r="N13" s="7762" t="n"/>
      <c r="O13" s="7762" t="n"/>
      <c r="P13" s="7762" t="n"/>
      <c r="Q13" s="7762" t="n"/>
      <c r="R13" s="7762" t="n"/>
      <c r="S13" s="7762" t="n"/>
      <c r="T13" s="7762" t="n"/>
      <c r="U13" s="7762" t="n"/>
      <c r="V13" s="7762" t="n"/>
      <c r="W13" s="7762" t="n"/>
      <c r="X13" s="7762" t="n"/>
      <c r="Y13" s="7762" t="n"/>
      <c r="Z13" s="7762" t="n"/>
      <c r="AA13" s="7762" t="n"/>
      <c r="AB13" s="7762" t="n"/>
      <c r="AC13" s="7762" t="n"/>
      <c r="AD13" s="7762" t="n"/>
      <c r="AE13" s="7762" t="n"/>
      <c r="AF13" s="7762" t="n"/>
      <c r="AG13" s="7762" t="n"/>
      <c r="AH13" s="7762" t="n"/>
      <c r="AI13" s="7762" t="n"/>
      <c r="AJ13" s="276" t="n"/>
      <c r="AK13" s="1059" t="inlineStr">
        <is>
          <t xml:space="preserve">  Yes</t>
        </is>
      </c>
      <c r="AL13" s="7762" t="n"/>
      <c r="AM13" s="276" t="n"/>
      <c r="AN13" s="1059" t="inlineStr">
        <is>
          <t xml:space="preserve">  No</t>
        </is>
      </c>
      <c r="AO13" s="7762" t="n"/>
      <c r="AP13" s="1277" t="n"/>
      <c r="BG13" s="769" t="n"/>
      <c r="BH13" s="658" t="n"/>
      <c r="BI13" s="658" t="n"/>
      <c r="BJ13" s="658" t="n"/>
      <c r="BK13" s="658" t="n"/>
      <c r="BL13" s="658" t="n"/>
      <c r="BM13" s="658" t="n"/>
      <c r="BN13" s="658" t="n"/>
      <c r="BO13" s="658" t="n"/>
      <c r="BP13" s="658" t="n"/>
    </row>
    <row r="14" ht="15.75" customHeight="1" s="7635">
      <c r="A14" s="1277" t="n"/>
      <c r="B14" s="8595" t="inlineStr">
        <is>
          <t>B</t>
        </is>
      </c>
      <c r="C14" s="7637" t="n"/>
      <c r="D14" s="3801" t="inlineStr">
        <is>
          <t>If “Yes,” did you or will you file all required Form(s) 1099?</t>
        </is>
      </c>
      <c r="E14" s="7764" t="n"/>
      <c r="F14" s="7764" t="n"/>
      <c r="G14" s="7764" t="n"/>
      <c r="H14" s="7764" t="n"/>
      <c r="I14" s="7764" t="n"/>
      <c r="J14" s="7764" t="n"/>
      <c r="K14" s="7764" t="n"/>
      <c r="L14" s="7764" t="n"/>
      <c r="M14" s="7764" t="n"/>
      <c r="N14" s="7764" t="n"/>
      <c r="O14" s="7764" t="n"/>
      <c r="P14" s="7764" t="n"/>
      <c r="Q14" s="7764" t="n"/>
      <c r="R14" s="7764" t="n"/>
      <c r="S14" s="7764" t="n"/>
      <c r="T14" s="7764" t="n"/>
      <c r="U14" s="7764" t="n"/>
      <c r="V14" s="7764" t="n"/>
      <c r="W14" s="7764" t="n"/>
      <c r="X14" s="7764" t="n"/>
      <c r="Y14" s="7764" t="n"/>
      <c r="Z14" s="7764" t="n"/>
      <c r="AA14" s="7764" t="n"/>
      <c r="AB14" s="7764" t="n"/>
      <c r="AC14" s="7764" t="n"/>
      <c r="AD14" s="7764" t="n"/>
      <c r="AE14" s="7764" t="n"/>
      <c r="AF14" s="7764" t="n"/>
      <c r="AG14" s="7764" t="n"/>
      <c r="AH14" s="7764" t="n"/>
      <c r="AI14" s="7764" t="n"/>
      <c r="AJ14" s="276" t="n"/>
      <c r="AK14" s="2001" t="inlineStr">
        <is>
          <t xml:space="preserve">  Yes</t>
        </is>
      </c>
      <c r="AL14" s="7764" t="n"/>
      <c r="AM14" s="276" t="n"/>
      <c r="AN14" s="2001" t="inlineStr">
        <is>
          <t xml:space="preserve">  No</t>
        </is>
      </c>
      <c r="AO14" s="7764" t="n"/>
      <c r="AP14" s="1277" t="n"/>
      <c r="BG14" s="769" t="n"/>
      <c r="BH14" s="658" t="n"/>
      <c r="BI14" s="658" t="n"/>
      <c r="BJ14" s="658" t="n"/>
      <c r="BK14" s="658" t="n"/>
      <c r="BL14" s="658" t="n"/>
      <c r="BM14" s="658" t="n"/>
      <c r="BN14" s="658" t="n"/>
      <c r="BO14" s="658" t="n"/>
      <c r="BP14" s="658" t="n"/>
    </row>
    <row r="15" ht="18.75" customFormat="1" customHeight="1" s="9880">
      <c r="A15" s="4763" t="n"/>
      <c r="B15" s="8596" t="inlineStr">
        <is>
          <t>1a</t>
        </is>
      </c>
      <c r="C15" s="8412" t="n"/>
      <c r="D15" s="4764" t="inlineStr">
        <is>
          <t>Physical address of each property (street, city, state, ZIP code)</t>
        </is>
      </c>
      <c r="E15" s="10040" t="n"/>
      <c r="F15" s="10040" t="n"/>
      <c r="G15" s="10040" t="n"/>
      <c r="H15" s="10040" t="n"/>
      <c r="I15" s="10040" t="n"/>
      <c r="J15" s="10040" t="n"/>
      <c r="K15" s="10040" t="n"/>
      <c r="L15" s="10040" t="n"/>
      <c r="M15" s="10040" t="n"/>
      <c r="N15" s="10040" t="n"/>
      <c r="O15" s="10040" t="n"/>
      <c r="P15" s="10040" t="n"/>
      <c r="Q15" s="10040" t="n"/>
      <c r="R15" s="10040" t="n"/>
      <c r="S15" s="10040" t="n"/>
      <c r="T15" s="10040" t="n"/>
      <c r="U15" s="10040" t="n"/>
      <c r="V15" s="10040" t="n"/>
      <c r="W15" s="10040" t="n"/>
      <c r="X15" s="10040" t="n"/>
      <c r="Y15" s="10040" t="n"/>
      <c r="Z15" s="10040" t="n"/>
      <c r="AA15" s="10040" t="n"/>
      <c r="AB15" s="10040" t="n"/>
      <c r="AC15" s="10040" t="n"/>
      <c r="AD15" s="10040" t="n"/>
      <c r="AE15" s="10040" t="n"/>
      <c r="AF15" s="10040" t="n"/>
      <c r="AG15" s="10040" t="n"/>
      <c r="AH15" s="10040" t="n"/>
      <c r="AI15" s="10040" t="n"/>
      <c r="AJ15" s="10040" t="n"/>
      <c r="AK15" s="10040" t="n"/>
      <c r="AL15" s="10040" t="n"/>
      <c r="AM15" s="10040" t="n"/>
      <c r="AN15" s="10040" t="n"/>
      <c r="AO15" s="10040" t="n"/>
      <c r="AP15" s="4763" t="n"/>
      <c r="BG15" s="1425" t="n"/>
      <c r="BH15" s="1426" t="n"/>
      <c r="BI15" s="1426" t="n"/>
      <c r="BJ15" s="1426" t="n"/>
      <c r="BK15" s="1426" t="n"/>
      <c r="BL15" s="1426" t="n"/>
      <c r="BM15" s="1426" t="n"/>
      <c r="BN15" s="1426" t="n"/>
      <c r="BO15" s="1426" t="n"/>
      <c r="BP15" s="1426" t="n"/>
      <c r="BQ15" s="1427" t="n"/>
    </row>
    <row r="16" ht="15.75" customHeight="1" s="7635">
      <c r="A16" s="1277" t="n"/>
      <c r="B16" s="11229" t="inlineStr">
        <is>
          <t>A</t>
        </is>
      </c>
      <c r="C16" s="11734" t="n"/>
      <c r="D16" s="8576" t="n"/>
      <c r="E16" s="8007" t="n"/>
      <c r="F16" s="8007" t="n"/>
      <c r="G16" s="8007" t="n"/>
      <c r="H16" s="8007" t="n"/>
      <c r="I16" s="8007" t="n"/>
      <c r="J16" s="8007" t="n"/>
      <c r="K16" s="8007" t="n"/>
      <c r="L16" s="8007" t="n"/>
      <c r="M16" s="8007" t="n"/>
      <c r="N16" s="8007" t="n"/>
      <c r="O16" s="8007" t="n"/>
      <c r="P16" s="8007" t="n"/>
      <c r="Q16" s="8007" t="n"/>
      <c r="R16" s="8007" t="n"/>
      <c r="S16" s="8007" t="n"/>
      <c r="T16" s="8007" t="n"/>
      <c r="U16" s="8007" t="n"/>
      <c r="V16" s="8007" t="n"/>
      <c r="W16" s="8007" t="n"/>
      <c r="X16" s="8007" t="n"/>
      <c r="Y16" s="8007" t="n"/>
      <c r="Z16" s="8007" t="n"/>
      <c r="AA16" s="8007" t="n"/>
      <c r="AB16" s="8007" t="n"/>
      <c r="AC16" s="8007" t="n"/>
      <c r="AD16" s="8007" t="n"/>
      <c r="AE16" s="8007" t="n"/>
      <c r="AF16" s="8007" t="n"/>
      <c r="AG16" s="8007" t="n"/>
      <c r="AH16" s="8007" t="n"/>
      <c r="AI16" s="8007" t="n"/>
      <c r="AJ16" s="8007" t="n"/>
      <c r="AK16" s="8007" t="n"/>
      <c r="AL16" s="8007" t="n"/>
      <c r="AM16" s="8007" t="n"/>
      <c r="AN16" s="8007" t="n"/>
      <c r="AO16" s="8007" t="n"/>
      <c r="AP16" s="1277" t="n"/>
      <c r="BG16" s="769" t="n"/>
      <c r="BH16" s="658" t="n"/>
      <c r="BI16" s="658" t="n"/>
      <c r="BJ16" s="658" t="n"/>
      <c r="BK16" s="658" t="n"/>
      <c r="BL16" s="658" t="n"/>
      <c r="BM16" s="658" t="n"/>
      <c r="BN16" s="658" t="n"/>
      <c r="BO16" s="658" t="n"/>
      <c r="BP16" s="658" t="n"/>
    </row>
    <row r="17" ht="15.75" customHeight="1" s="7635">
      <c r="A17" s="1277" t="n"/>
      <c r="B17" s="11229" t="inlineStr">
        <is>
          <t>B</t>
        </is>
      </c>
      <c r="C17" s="11734" t="n"/>
      <c r="D17" s="8576" t="n"/>
      <c r="E17" s="8007" t="n"/>
      <c r="F17" s="8007" t="n"/>
      <c r="G17" s="8007" t="n"/>
      <c r="H17" s="8007" t="n"/>
      <c r="I17" s="8007" t="n"/>
      <c r="J17" s="8007" t="n"/>
      <c r="K17" s="8007" t="n"/>
      <c r="L17" s="8007" t="n"/>
      <c r="M17" s="8007" t="n"/>
      <c r="N17" s="8007" t="n"/>
      <c r="O17" s="8007" t="n"/>
      <c r="P17" s="8007" t="n"/>
      <c r="Q17" s="8007" t="n"/>
      <c r="R17" s="8007" t="n"/>
      <c r="S17" s="8007" t="n"/>
      <c r="T17" s="8007" t="n"/>
      <c r="U17" s="8007" t="n"/>
      <c r="V17" s="8007" t="n"/>
      <c r="W17" s="8007" t="n"/>
      <c r="X17" s="8007" t="n"/>
      <c r="Y17" s="8007" t="n"/>
      <c r="Z17" s="8007" t="n"/>
      <c r="AA17" s="8007" t="n"/>
      <c r="AB17" s="8007" t="n"/>
      <c r="AC17" s="8007" t="n"/>
      <c r="AD17" s="8007" t="n"/>
      <c r="AE17" s="8007" t="n"/>
      <c r="AF17" s="8007" t="n"/>
      <c r="AG17" s="8007" t="n"/>
      <c r="AH17" s="8007" t="n"/>
      <c r="AI17" s="8007" t="n"/>
      <c r="AJ17" s="8007" t="n"/>
      <c r="AK17" s="8007" t="n"/>
      <c r="AL17" s="8007" t="n"/>
      <c r="AM17" s="8007" t="n"/>
      <c r="AN17" s="8007" t="n"/>
      <c r="AO17" s="8007" t="n"/>
      <c r="AP17" s="1277" t="n"/>
      <c r="BG17" s="769" t="n"/>
      <c r="BH17" s="658" t="n"/>
      <c r="BI17" s="658" t="n"/>
      <c r="BJ17" s="658" t="n"/>
      <c r="BK17" s="658" t="n"/>
      <c r="BL17" s="658" t="n"/>
      <c r="BM17" s="658" t="n"/>
      <c r="BN17" s="658" t="n"/>
      <c r="BO17" s="658" t="n"/>
      <c r="BP17" s="658" t="n"/>
    </row>
    <row r="18" ht="15.75" customHeight="1" s="7635">
      <c r="A18" s="1277" t="n"/>
      <c r="B18" s="11229" t="inlineStr">
        <is>
          <t>C</t>
        </is>
      </c>
      <c r="C18" s="11734" t="n"/>
      <c r="D18" s="8576" t="n"/>
      <c r="E18" s="8007" t="n"/>
      <c r="F18" s="8007" t="n"/>
      <c r="G18" s="8007" t="n"/>
      <c r="H18" s="8007" t="n"/>
      <c r="I18" s="8007" t="n"/>
      <c r="J18" s="8007" t="n"/>
      <c r="K18" s="8007" t="n"/>
      <c r="L18" s="8007" t="n"/>
      <c r="M18" s="8007" t="n"/>
      <c r="N18" s="8007" t="n"/>
      <c r="O18" s="8007" t="n"/>
      <c r="P18" s="8007" t="n"/>
      <c r="Q18" s="8007" t="n"/>
      <c r="R18" s="8007" t="n"/>
      <c r="S18" s="8007" t="n"/>
      <c r="T18" s="8007" t="n"/>
      <c r="U18" s="8007" t="n"/>
      <c r="V18" s="8007" t="n"/>
      <c r="W18" s="8007" t="n"/>
      <c r="X18" s="8007" t="n"/>
      <c r="Y18" s="8007" t="n"/>
      <c r="Z18" s="8007" t="n"/>
      <c r="AA18" s="8007" t="n"/>
      <c r="AB18" s="8007" t="n"/>
      <c r="AC18" s="8007" t="n"/>
      <c r="AD18" s="8007" t="n"/>
      <c r="AE18" s="8007" t="n"/>
      <c r="AF18" s="8007" t="n"/>
      <c r="AG18" s="8007" t="n"/>
      <c r="AH18" s="8007" t="n"/>
      <c r="AI18" s="8007" t="n"/>
      <c r="AJ18" s="8007" t="n"/>
      <c r="AK18" s="8007" t="n"/>
      <c r="AL18" s="8007" t="n"/>
      <c r="AM18" s="8007" t="n"/>
      <c r="AN18" s="8007" t="n"/>
      <c r="AO18" s="8007" t="n"/>
      <c r="AP18" s="1277" t="n"/>
      <c r="AX18" t="n">
        <v>1</v>
      </c>
      <c r="AY18" t="inlineStr">
        <is>
          <t>Single Family Residence</t>
        </is>
      </c>
      <c r="BG18" s="769" t="n"/>
      <c r="BH18" s="658" t="n"/>
      <c r="BI18" s="658" t="n"/>
      <c r="BJ18" s="658" t="n"/>
      <c r="BK18" s="658" t="n"/>
      <c r="BL18" s="658" t="n"/>
      <c r="BM18" s="658" t="n"/>
      <c r="BN18" s="658" t="n"/>
      <c r="BO18" s="658" t="n"/>
      <c r="BP18" s="658" t="n"/>
    </row>
    <row r="19" ht="15.75" customHeight="1" s="7635">
      <c r="A19" s="1277" t="n"/>
      <c r="B19" s="8577" t="inlineStr">
        <is>
          <t>1b</t>
        </is>
      </c>
      <c r="C19" s="7839" t="n"/>
      <c r="D19" s="10177" t="inlineStr">
        <is>
          <t>Type of Property (from list below)</t>
        </is>
      </c>
      <c r="E19" s="7839" t="n"/>
      <c r="F19" s="7839" t="n"/>
      <c r="G19" s="7839" t="n"/>
      <c r="H19" s="10091" t="n"/>
      <c r="I19" s="8552" t="n">
        <v>2</v>
      </c>
      <c r="J19" s="7839" t="n"/>
      <c r="K19" s="12109" t="inlineStr">
        <is>
          <t>For each rental real estate property listed 
above, report the number of fair rental and 
personal use days. Check the QJV box only
if you meet the requirements to file as a 
qualified joint venture. See instructions.</t>
        </is>
      </c>
      <c r="L19" s="7839" t="n"/>
      <c r="M19" s="7839" t="n"/>
      <c r="N19" s="7839" t="n"/>
      <c r="O19" s="7839" t="n"/>
      <c r="P19" s="7839" t="n"/>
      <c r="Q19" s="7839" t="n"/>
      <c r="R19" s="7839" t="n"/>
      <c r="S19" s="7839" t="n"/>
      <c r="T19" s="7839" t="n"/>
      <c r="U19" s="7839" t="n"/>
      <c r="V19" s="7839" t="n"/>
      <c r="W19" s="7839" t="n"/>
      <c r="X19" s="7760" t="n"/>
      <c r="Y19" s="7760" t="n"/>
      <c r="Z19" s="7760" t="n"/>
      <c r="AA19" s="12110" t="inlineStr">
        <is>
          <t>Fair Rental
Days</t>
        </is>
      </c>
      <c r="AB19" s="7839" t="n"/>
      <c r="AC19" s="7839" t="n"/>
      <c r="AD19" s="7839" t="n"/>
      <c r="AE19" s="10091" t="n"/>
      <c r="AF19" s="12110" t="inlineStr">
        <is>
          <t>Personal Use
Days</t>
        </is>
      </c>
      <c r="AG19" s="7839" t="n"/>
      <c r="AH19" s="7839" t="n"/>
      <c r="AI19" s="7839" t="n"/>
      <c r="AJ19" s="10091" t="n"/>
      <c r="AK19" s="9065" t="inlineStr">
        <is>
          <t>QJV</t>
        </is>
      </c>
      <c r="AL19" s="7839" t="n"/>
      <c r="AM19" s="7839" t="n"/>
      <c r="AN19" s="7839" t="n"/>
      <c r="AO19" s="7839" t="n"/>
      <c r="AP19" s="1277" t="n"/>
      <c r="AX19" t="n">
        <v>2</v>
      </c>
      <c r="AY19" t="inlineStr">
        <is>
          <t>Multi-Family Residence</t>
        </is>
      </c>
      <c r="BG19" s="769" t="n"/>
      <c r="BH19" s="658" t="n"/>
      <c r="BI19" s="658" t="n"/>
      <c r="BJ19" s="658" t="n"/>
      <c r="BK19" s="658" t="n"/>
      <c r="BL19" s="658" t="n"/>
      <c r="BM19" s="658" t="n"/>
      <c r="BN19" s="658" t="n"/>
      <c r="BO19" s="658" t="n"/>
      <c r="BP19" s="658" t="n"/>
    </row>
    <row r="20" ht="14.25" customHeight="1" s="7635">
      <c r="A20" s="1277" t="n"/>
      <c r="B20" s="4760" t="n"/>
      <c r="C20" s="4760" t="n"/>
      <c r="D20" s="7637" t="n"/>
      <c r="E20" s="7637" t="n"/>
      <c r="F20" s="7637" t="n"/>
      <c r="G20" s="7637" t="n"/>
      <c r="H20" s="7638" t="n"/>
      <c r="I20" s="7761" t="n"/>
      <c r="J20" s="7762" t="n"/>
      <c r="X20" s="7762" t="n"/>
      <c r="Y20" s="7762" t="n"/>
      <c r="Z20" s="7762" t="n"/>
      <c r="AA20" s="3614" t="n"/>
      <c r="AB20" s="7637" t="n"/>
      <c r="AC20" s="7637" t="n"/>
      <c r="AD20" s="7637" t="n"/>
      <c r="AE20" s="7638" t="n"/>
      <c r="AF20" s="3614" t="n"/>
      <c r="AG20" s="7637" t="n"/>
      <c r="AH20" s="7637" t="n"/>
      <c r="AI20" s="7637" t="n"/>
      <c r="AJ20" s="7638" t="n"/>
      <c r="AK20" s="3614" t="n"/>
      <c r="AL20" s="7637" t="n"/>
      <c r="AM20" s="7637" t="n"/>
      <c r="AN20" s="7637" t="n"/>
      <c r="AO20" s="7637" t="n"/>
      <c r="AP20" s="1277" t="n"/>
      <c r="AV20" s="4769">
        <f>IF(LeapYear,366,365)</f>
        <v/>
      </c>
      <c r="AW20" s="10091" t="n"/>
      <c r="AX20" t="n">
        <v>3</v>
      </c>
      <c r="AY20" t="inlineStr">
        <is>
          <t>Vacation / S.T. Rental</t>
        </is>
      </c>
      <c r="BE20" s="4770" t="inlineStr">
        <is>
          <t>Error?</t>
        </is>
      </c>
      <c r="BG20" s="769" t="n"/>
      <c r="BH20" s="658" t="n"/>
      <c r="BI20" s="658" t="n"/>
      <c r="BJ20" s="658" t="n"/>
      <c r="BK20" s="658" t="n"/>
      <c r="BL20" s="658" t="n"/>
      <c r="BM20" s="658" t="n"/>
      <c r="BN20" s="658" t="n"/>
      <c r="BO20" s="658" t="n"/>
      <c r="BP20" s="658" t="n"/>
    </row>
    <row r="21" ht="15.75" customHeight="1" s="7635">
      <c r="A21" s="1277" t="n"/>
      <c r="B21" s="11229" t="inlineStr">
        <is>
          <t>A</t>
        </is>
      </c>
      <c r="C21" s="11734" t="n"/>
      <c r="D21" s="12111" t="n"/>
      <c r="E21" s="8007" t="n"/>
      <c r="F21" s="8007" t="n"/>
      <c r="G21" s="8007" t="n"/>
      <c r="H21" s="8008" t="n"/>
      <c r="I21" s="408" t="n"/>
      <c r="J21" s="11602" t="n"/>
      <c r="X21" s="2926" t="inlineStr">
        <is>
          <t>A</t>
        </is>
      </c>
      <c r="Y21" s="8412" t="n"/>
      <c r="Z21" s="11734" t="n"/>
      <c r="AA21" s="276" t="n"/>
      <c r="AB21" s="8007" t="n"/>
      <c r="AC21" s="8007" t="n"/>
      <c r="AD21" s="8007" t="n"/>
      <c r="AE21" s="8008" t="n"/>
      <c r="AF21" s="276" t="n"/>
      <c r="AG21" s="8007" t="n"/>
      <c r="AH21" s="8007" t="n"/>
      <c r="AI21" s="8007" t="n"/>
      <c r="AJ21" s="8008" t="n"/>
      <c r="AK21" s="4771" t="n"/>
      <c r="AL21" s="773" t="n"/>
      <c r="AM21" s="276" t="n"/>
      <c r="AN21" s="773" t="n"/>
      <c r="AO21" s="773" t="n"/>
      <c r="AP21" s="1277" t="n"/>
      <c r="AR21" s="7834">
        <f>D21=8</f>
        <v/>
      </c>
      <c r="AV21" s="4772">
        <f>AA21&gt;$AV$20</f>
        <v/>
      </c>
      <c r="AW21" s="7636">
        <f>AF21&gt;$AV$20</f>
        <v/>
      </c>
      <c r="AX21" t="n">
        <v>4</v>
      </c>
      <c r="AY21" t="inlineStr">
        <is>
          <t>Commercial</t>
        </is>
      </c>
      <c r="BE21" s="726">
        <f>IF(AND(D21&lt;&gt;"",OR(D21&lt;1,D21&gt;8,ISERROR(V32))),TRUE,FALSE)</f>
        <v/>
      </c>
      <c r="BG21" s="769" t="n"/>
      <c r="BH21" s="658" t="n"/>
      <c r="BI21" s="658" t="n"/>
      <c r="BJ21" s="658" t="n"/>
      <c r="BK21" s="658" t="n"/>
      <c r="BL21" s="658" t="n"/>
      <c r="BM21" s="658" t="n"/>
      <c r="BN21" s="658" t="n"/>
      <c r="BO21" s="658" t="n"/>
      <c r="BP21" s="658" t="n"/>
    </row>
    <row r="22" ht="16.5" customHeight="1" s="7635" thickBot="1">
      <c r="A22" s="1277" t="n"/>
      <c r="B22" s="11229" t="inlineStr">
        <is>
          <t>B</t>
        </is>
      </c>
      <c r="C22" s="11734" t="n"/>
      <c r="D22" s="12111" t="n"/>
      <c r="E22" s="8007" t="n"/>
      <c r="F22" s="8007" t="n"/>
      <c r="G22" s="8007" t="n"/>
      <c r="H22" s="8008" t="n"/>
      <c r="I22" s="408" t="n"/>
      <c r="J22" s="11602" t="n"/>
      <c r="X22" s="2926" t="inlineStr">
        <is>
          <t>B</t>
        </is>
      </c>
      <c r="Y22" s="8412" t="n"/>
      <c r="Z22" s="11734" t="n"/>
      <c r="AA22" s="276" t="n"/>
      <c r="AB22" s="8007" t="n"/>
      <c r="AC22" s="8007" t="n"/>
      <c r="AD22" s="8007" t="n"/>
      <c r="AE22" s="8008" t="n"/>
      <c r="AF22" s="276" t="n"/>
      <c r="AG22" s="8007" t="n"/>
      <c r="AH22" s="8007" t="n"/>
      <c r="AI22" s="8007" t="n"/>
      <c r="AJ22" s="8008" t="n"/>
      <c r="AK22" s="4771" t="n"/>
      <c r="AL22" s="773" t="n"/>
      <c r="AM22" s="276" t="n"/>
      <c r="AN22" s="773" t="n"/>
      <c r="AO22" s="773" t="n"/>
      <c r="AP22" s="1277" t="n"/>
      <c r="AR22" s="7834">
        <f>D22=8</f>
        <v/>
      </c>
      <c r="AV22" s="4772">
        <f>AA22&gt;$AV$20</f>
        <v/>
      </c>
      <c r="AW22" s="7636">
        <f>AF22&gt;$AV$20</f>
        <v/>
      </c>
      <c r="AX22" t="n">
        <v>5</v>
      </c>
      <c r="AY22" t="inlineStr">
        <is>
          <t>Land</t>
        </is>
      </c>
      <c r="BE22" s="726">
        <f>IF(AND(D22&lt;&gt;"",OR(D22&lt;1,D22&gt;8,ISERROR(AD32))),TRUE,FALSE)</f>
        <v/>
      </c>
      <c r="BG22" s="769" t="n"/>
      <c r="BH22" s="658" t="n"/>
      <c r="BI22" s="658" t="n"/>
      <c r="BJ22" s="658" t="n"/>
      <c r="BK22" s="658" t="n"/>
      <c r="BL22" s="658" t="n"/>
      <c r="BM22" s="658" t="n"/>
      <c r="BN22" s="658" t="n"/>
      <c r="BO22" s="658" t="n"/>
      <c r="BP22" s="658" t="n"/>
    </row>
    <row r="23" ht="15.75" customHeight="1" s="7635">
      <c r="A23" s="1277" t="n"/>
      <c r="B23" s="11229" t="inlineStr">
        <is>
          <t>C</t>
        </is>
      </c>
      <c r="C23" s="11734" t="n"/>
      <c r="D23" s="12111" t="n"/>
      <c r="E23" s="8007" t="n"/>
      <c r="F23" s="8007" t="n"/>
      <c r="G23" s="8007" t="n"/>
      <c r="H23" s="8008" t="n"/>
      <c r="I23" s="412" t="n"/>
      <c r="J23" s="413" t="n"/>
      <c r="K23" s="7637" t="n"/>
      <c r="L23" s="7637" t="n"/>
      <c r="M23" s="7637" t="n"/>
      <c r="N23" s="7637" t="n"/>
      <c r="O23" s="7637" t="n"/>
      <c r="P23" s="7637" t="n"/>
      <c r="Q23" s="7637" t="n"/>
      <c r="R23" s="7637" t="n"/>
      <c r="S23" s="7637" t="n"/>
      <c r="T23" s="7637" t="n"/>
      <c r="U23" s="7637" t="n"/>
      <c r="V23" s="7637" t="n"/>
      <c r="W23" s="7637" t="n"/>
      <c r="X23" s="2926" t="inlineStr">
        <is>
          <t>C</t>
        </is>
      </c>
      <c r="Y23" s="8412" t="n"/>
      <c r="Z23" s="11734" t="n"/>
      <c r="AA23" s="276" t="n"/>
      <c r="AB23" s="8007" t="n"/>
      <c r="AC23" s="8007" t="n"/>
      <c r="AD23" s="8007" t="n"/>
      <c r="AE23" s="8008" t="n"/>
      <c r="AF23" s="276" t="n"/>
      <c r="AG23" s="8007" t="n"/>
      <c r="AH23" s="8007" t="n"/>
      <c r="AI23" s="8007" t="n"/>
      <c r="AJ23" s="8008" t="n"/>
      <c r="AK23" s="4771" t="n"/>
      <c r="AL23" s="773" t="n"/>
      <c r="AM23" s="276" t="n"/>
      <c r="AN23" s="773" t="n"/>
      <c r="AO23" s="773" t="n"/>
      <c r="AP23" s="1277" t="n"/>
      <c r="AR23" s="7834">
        <f>D23=8</f>
        <v/>
      </c>
      <c r="AV23" s="3614">
        <f>AA23&gt;$AV$20</f>
        <v/>
      </c>
      <c r="AW23" s="7638">
        <f>AF23&gt;$AV$20</f>
        <v/>
      </c>
      <c r="AX23" t="n">
        <v>6</v>
      </c>
      <c r="AY23" t="inlineStr">
        <is>
          <t>Royalties</t>
        </is>
      </c>
      <c r="AZ23" s="4773" t="inlineStr">
        <is>
          <t>A</t>
        </is>
      </c>
      <c r="BA23" s="4774" t="inlineStr">
        <is>
          <t>B</t>
        </is>
      </c>
      <c r="BB23" s="4774" t="inlineStr">
        <is>
          <t>C</t>
        </is>
      </c>
      <c r="BC23" s="4775" t="inlineStr">
        <is>
          <t>Total</t>
        </is>
      </c>
      <c r="BE23" s="726">
        <f>IF(AND(D23&lt;&gt;"",OR(D23&lt;1,D23&gt;8,ISERROR(AJ32))),TRUE,FALSE)</f>
        <v/>
      </c>
      <c r="BG23" s="769" t="n"/>
      <c r="BH23" s="658" t="n"/>
      <c r="BI23" s="658" t="n"/>
      <c r="BJ23" s="658" t="n"/>
      <c r="BK23" s="658" t="n"/>
      <c r="BL23" s="658" t="n"/>
      <c r="BM23" s="658" t="n"/>
      <c r="BN23" s="658" t="n"/>
      <c r="BO23" s="658" t="n"/>
      <c r="BP23" s="658" t="n"/>
    </row>
    <row r="24" ht="14.25" customHeight="1" s="7635">
      <c r="A24" s="1277" t="n"/>
      <c r="B24" s="3775" t="inlineStr">
        <is>
          <t>Type of Property:</t>
        </is>
      </c>
      <c r="C24" s="7865" t="n"/>
      <c r="D24" s="9237" t="n"/>
      <c r="E24" s="2126" t="n"/>
      <c r="F24" s="2126" t="n"/>
      <c r="G24" s="2126" t="n"/>
      <c r="H24" s="2126" t="n"/>
      <c r="I24" s="4776">
        <f>IF(BE24,"The 'Type of Property' must be entered as a number (1 - 8).","")</f>
        <v/>
      </c>
      <c r="J24" s="2126" t="n"/>
      <c r="K24" s="2126" t="n"/>
      <c r="L24" s="2126" t="n"/>
      <c r="M24" s="2126" t="n"/>
      <c r="N24" s="2126" t="n"/>
      <c r="O24" s="2126" t="n"/>
      <c r="P24" s="2126" t="n"/>
      <c r="Q24" s="2126" t="n"/>
      <c r="R24" s="2126" t="n"/>
      <c r="S24" s="2126" t="n"/>
      <c r="T24" s="2126" t="n"/>
      <c r="U24" s="2126" t="n"/>
      <c r="V24" s="2126" t="n"/>
      <c r="W24" s="2126" t="n"/>
      <c r="X24" s="2126" t="n"/>
      <c r="Y24" s="2126" t="n"/>
      <c r="Z24" s="2126" t="n"/>
      <c r="AA24" s="2126" t="n"/>
      <c r="AB24" s="2126" t="n"/>
      <c r="AC24" s="2126" t="n"/>
      <c r="AD24" s="4776">
        <f>IF(OR(AV21,AV22,AV23,AW21,AW22,AW23),"Must be "&amp;AV20&amp;" or less.","")</f>
        <v/>
      </c>
      <c r="AE24" s="2126" t="n"/>
      <c r="AF24" s="2126" t="n"/>
      <c r="AG24" s="2126" t="n"/>
      <c r="AH24" s="2126" t="n"/>
      <c r="AI24" s="2126" t="n"/>
      <c r="AJ24" s="2126" t="n"/>
      <c r="AK24" s="2126" t="n"/>
      <c r="AL24" s="2126" t="n"/>
      <c r="AM24" s="2126" t="n"/>
      <c r="AN24" s="2126" t="n"/>
      <c r="AO24" s="2126" t="n"/>
      <c r="AP24" s="1277" t="n"/>
      <c r="AR24" s="7834">
        <f>OR(AR21:AR23)</f>
        <v/>
      </c>
      <c r="AX24" t="n">
        <v>7</v>
      </c>
      <c r="AY24" t="inlineStr">
        <is>
          <t>Self-Rental</t>
        </is>
      </c>
      <c r="AZ24" s="4777">
        <f>IF(D21&lt;&gt;6,V30,0)</f>
        <v/>
      </c>
      <c r="BA24" s="3297">
        <f>IF(D22&lt;&gt;6,AD30,0)</f>
        <v/>
      </c>
      <c r="BB24" s="3297">
        <f>IF(D23&lt;&gt;6,AJ30,0)</f>
        <v/>
      </c>
      <c r="BC24" s="4778">
        <f>SUM(AZ24:BB24)</f>
        <v/>
      </c>
      <c r="BE24" s="726">
        <f>OR(BE21,BE22,BE23)</f>
        <v/>
      </c>
      <c r="BG24" s="769" t="n"/>
      <c r="BH24" s="658" t="n"/>
      <c r="BI24" s="658" t="n"/>
      <c r="BJ24" s="658" t="n"/>
      <c r="BK24" s="658" t="n"/>
      <c r="BL24" s="658" t="n"/>
      <c r="BM24" s="658" t="n"/>
      <c r="BN24" s="658" t="n"/>
      <c r="BO24" s="658" t="n"/>
      <c r="BP24" s="658" t="n"/>
    </row>
    <row r="25" ht="17.25" customHeight="1" s="7635" thickBot="1">
      <c r="A25" s="1277" t="n"/>
      <c r="B25" s="7865" t="n">
        <v>1</v>
      </c>
      <c r="C25" s="2100" t="inlineStr">
        <is>
          <t>Single Family Residence</t>
        </is>
      </c>
      <c r="D25" s="9237" t="n"/>
      <c r="E25" s="2126" t="n"/>
      <c r="F25" s="2126" t="n"/>
      <c r="G25" s="2126" t="n"/>
      <c r="H25" s="2126" t="n"/>
      <c r="I25" s="2126" t="n"/>
      <c r="J25" s="2126" t="n"/>
      <c r="K25" s="9847" t="n">
        <v>3</v>
      </c>
      <c r="L25" s="4505" t="inlineStr">
        <is>
          <t>Vacation/Short-Term Rental</t>
        </is>
      </c>
      <c r="M25" s="2126" t="n"/>
      <c r="N25" s="2126" t="n"/>
      <c r="O25" s="2126" t="n"/>
      <c r="P25" s="2126" t="n"/>
      <c r="Q25" s="2126" t="n"/>
      <c r="R25" s="2126" t="n"/>
      <c r="S25" s="2126" t="n"/>
      <c r="T25" s="2126" t="n"/>
      <c r="U25" s="9847" t="n">
        <v>5</v>
      </c>
      <c r="V25" s="4505" t="inlineStr">
        <is>
          <t>Land</t>
        </is>
      </c>
      <c r="W25" s="2126" t="n"/>
      <c r="X25" s="2126" t="n"/>
      <c r="Y25" s="2126" t="n"/>
      <c r="Z25" s="9847" t="n"/>
      <c r="AA25" s="9847" t="n">
        <v>7</v>
      </c>
      <c r="AB25" s="4505" t="inlineStr">
        <is>
          <t>Self-Rental</t>
        </is>
      </c>
      <c r="AC25" s="2126" t="n"/>
      <c r="AD25" s="2126" t="n"/>
      <c r="AE25" s="2126" t="n"/>
      <c r="AF25" s="2126" t="n"/>
      <c r="AG25" s="2126" t="n"/>
      <c r="AH25" s="2126" t="n"/>
      <c r="AI25" s="2126" t="n"/>
      <c r="AJ25" s="2126" t="n"/>
      <c r="AK25" s="2126" t="n"/>
      <c r="AL25" s="2126" t="n"/>
      <c r="AM25" s="2126" t="n"/>
      <c r="AN25" s="2126" t="n"/>
      <c r="AO25" s="2126" t="n"/>
      <c r="AP25" s="1277" t="n"/>
      <c r="AR25" s="8631">
        <f>IF($AR$24,"Attach a statement to your return describing the property.","")</f>
        <v/>
      </c>
      <c r="AX25" t="n">
        <v>8</v>
      </c>
      <c r="AY25" t="inlineStr">
        <is>
          <t>Other</t>
        </is>
      </c>
      <c r="AZ25" s="4779">
        <f>IF(D21=6,V31,0)</f>
        <v/>
      </c>
      <c r="BA25" s="4780">
        <f>IF(D22=6,AD31,0)</f>
        <v/>
      </c>
      <c r="BB25" s="4780">
        <f>IF(D23=6,AJ31,0)</f>
        <v/>
      </c>
      <c r="BC25" s="4781">
        <f>SUM(AZ25:BB25)</f>
        <v/>
      </c>
      <c r="BE25" s="4782" t="n"/>
      <c r="BG25" s="769" t="n"/>
      <c r="BH25" s="658" t="n"/>
      <c r="BI25" s="658" t="n"/>
      <c r="BJ25" s="658" t="n"/>
      <c r="BK25" s="658" t="n"/>
      <c r="BL25" s="658" t="n"/>
      <c r="BM25" s="658" t="n"/>
      <c r="BN25" s="658" t="n"/>
      <c r="BO25" s="658" t="n"/>
      <c r="BP25" s="658" t="n"/>
    </row>
    <row r="26" ht="17.25" customFormat="1" customHeight="1" s="138">
      <c r="A26" s="2888" t="n"/>
      <c r="B26" s="2313" t="n">
        <v>2</v>
      </c>
      <c r="C26" s="4783" t="inlineStr">
        <is>
          <t>Multi-Family Residence</t>
        </is>
      </c>
      <c r="D26" s="9746" t="n"/>
      <c r="E26" s="9746" t="n"/>
      <c r="F26" s="9746" t="n"/>
      <c r="G26" s="9746" t="n"/>
      <c r="H26" s="9746" t="n"/>
      <c r="I26" s="9746" t="n"/>
      <c r="J26" s="9746" t="n"/>
      <c r="K26" s="2313" t="n">
        <v>4</v>
      </c>
      <c r="L26" s="4783" t="inlineStr">
        <is>
          <t>Commercial</t>
        </is>
      </c>
      <c r="M26" s="9746" t="n"/>
      <c r="N26" s="9746" t="n"/>
      <c r="O26" s="9746" t="n"/>
      <c r="P26" s="9746" t="n"/>
      <c r="Q26" s="9746" t="n"/>
      <c r="R26" s="9746" t="n"/>
      <c r="S26" s="9746" t="n"/>
      <c r="T26" s="9746" t="n"/>
      <c r="U26" s="2313" t="n">
        <v>6</v>
      </c>
      <c r="V26" s="4783" t="inlineStr">
        <is>
          <t>Royalties</t>
        </is>
      </c>
      <c r="W26" s="9746" t="n"/>
      <c r="X26" s="9746" t="n"/>
      <c r="Y26" s="9746" t="n"/>
      <c r="Z26" s="2313" t="n"/>
      <c r="AA26" s="2313" t="n">
        <v>8</v>
      </c>
      <c r="AB26" s="4783" t="inlineStr">
        <is>
          <t>Other  (describe)</t>
        </is>
      </c>
      <c r="AC26" s="9746" t="n"/>
      <c r="AD26" s="9746" t="n"/>
      <c r="AE26" s="9746" t="n"/>
      <c r="AF26" s="9746" t="n"/>
      <c r="AG26" s="9746" t="n"/>
      <c r="AH26" s="8632" t="n"/>
      <c r="AI26" s="12079" t="n"/>
      <c r="AJ26" s="12079" t="n"/>
      <c r="AK26" s="12079" t="n"/>
      <c r="AL26" s="12079" t="n"/>
      <c r="AM26" s="12079" t="n"/>
      <c r="AN26" s="12079" t="n"/>
      <c r="AO26" s="12079" t="n"/>
      <c r="AP26" s="2888" t="n"/>
      <c r="AQ26" s="4784" t="n"/>
      <c r="AT26" s="4785" t="n"/>
      <c r="BG26" s="967" t="n"/>
      <c r="BH26" s="662" t="n"/>
      <c r="BI26" s="662" t="n"/>
      <c r="BJ26" s="662" t="n"/>
      <c r="BK26" s="662" t="n"/>
      <c r="BL26" s="662" t="n"/>
      <c r="BM26" s="662" t="n"/>
      <c r="BN26" s="662" t="n"/>
      <c r="BO26" s="662" t="n"/>
      <c r="BP26" s="662" t="n"/>
      <c r="BQ26" s="1116" t="n"/>
    </row>
    <row r="27" ht="7.5" customFormat="1" customHeight="1" s="138" thickBot="1">
      <c r="A27" s="2888" t="n"/>
      <c r="B27" s="2313" t="n"/>
      <c r="C27" s="4783" t="n"/>
      <c r="D27" s="9746" t="n"/>
      <c r="E27" s="9746" t="n"/>
      <c r="F27" s="9746" t="n"/>
      <c r="G27" s="9746" t="n"/>
      <c r="H27" s="9746" t="n"/>
      <c r="I27" s="9746" t="n"/>
      <c r="J27" s="9746" t="n"/>
      <c r="K27" s="2313" t="n"/>
      <c r="L27" s="4783" t="n"/>
      <c r="M27" s="9746" t="n"/>
      <c r="N27" s="9746" t="n"/>
      <c r="O27" s="9746" t="n"/>
      <c r="P27" s="9746" t="n"/>
      <c r="Q27" s="9746" t="n"/>
      <c r="R27" s="9746" t="n"/>
      <c r="S27" s="9746" t="n"/>
      <c r="T27" s="9746" t="n"/>
      <c r="U27" s="2313" t="n"/>
      <c r="V27" s="4783" t="n"/>
      <c r="W27" s="9746" t="n"/>
      <c r="X27" s="9746" t="n"/>
      <c r="Y27" s="9746" t="n"/>
      <c r="Z27" s="2313" t="n"/>
      <c r="AA27" s="2313" t="n"/>
      <c r="AB27" s="4783" t="n"/>
      <c r="AC27" s="9746" t="n"/>
      <c r="AD27" s="9746" t="n"/>
      <c r="AE27" s="9746" t="n"/>
      <c r="AF27" s="9746" t="n"/>
      <c r="AG27" s="9746" t="n"/>
      <c r="AH27" s="9746" t="n"/>
      <c r="AI27" s="9746" t="n"/>
      <c r="AJ27" s="9746" t="n"/>
      <c r="AK27" s="9746" t="n"/>
      <c r="AL27" s="9746" t="n"/>
      <c r="AM27" s="9746" t="n"/>
      <c r="AN27" s="9746" t="n"/>
      <c r="AO27" s="9746" t="n"/>
      <c r="AP27" s="2888" t="n"/>
      <c r="AQ27" s="4784" t="n"/>
      <c r="AT27" s="4785" t="n"/>
      <c r="BG27" s="967" t="n"/>
      <c r="BH27" s="662" t="n"/>
      <c r="BI27" s="662" t="n"/>
      <c r="BJ27" s="662" t="n"/>
      <c r="BK27" s="662" t="n"/>
      <c r="BL27" s="662" t="n"/>
      <c r="BM27" s="662" t="n"/>
      <c r="BN27" s="662" t="n"/>
      <c r="BO27" s="662" t="n"/>
      <c r="BP27" s="662" t="n"/>
      <c r="BQ27" s="1116" t="n"/>
    </row>
    <row r="28" ht="14.25" customHeight="1" s="7635">
      <c r="A28" s="1277" t="n"/>
      <c r="B28" s="4653" t="n"/>
      <c r="C28" s="4786" t="n"/>
      <c r="D28" s="9923" t="n"/>
      <c r="E28" s="2167" t="n"/>
      <c r="F28" s="2167" t="n"/>
      <c r="G28" s="2167" t="n"/>
      <c r="H28" s="2167" t="n"/>
      <c r="I28" s="2167" t="n"/>
      <c r="J28" s="2167" t="n"/>
      <c r="K28" s="2167" t="n"/>
      <c r="L28" s="2167" t="n"/>
      <c r="M28" s="2167" t="n"/>
      <c r="N28" s="2167" t="n"/>
      <c r="O28" s="2167" t="n"/>
      <c r="P28" s="2167" t="n"/>
      <c r="Q28" s="2167" t="n"/>
      <c r="R28" s="4788" t="n"/>
      <c r="S28" s="2167" t="n"/>
      <c r="T28" s="4788" t="n"/>
      <c r="U28" s="4789" t="n"/>
      <c r="V28" s="8573" t="inlineStr">
        <is>
          <t>Properties:</t>
        </is>
      </c>
      <c r="W28" s="12097" t="n"/>
      <c r="X28" s="12097" t="n"/>
      <c r="Y28" s="12097" t="n"/>
      <c r="Z28" s="12097" t="n"/>
      <c r="AA28" s="12097" t="n"/>
      <c r="AB28" s="12097" t="n"/>
      <c r="AC28" s="12097" t="n"/>
      <c r="AD28" s="12097" t="n"/>
      <c r="AE28" s="12097" t="n"/>
      <c r="AF28" s="12097" t="n"/>
      <c r="AG28" s="12097" t="n"/>
      <c r="AH28" s="12097" t="n"/>
      <c r="AI28" s="12097" t="n"/>
      <c r="AJ28" s="12097" t="n"/>
      <c r="AK28" s="12097" t="n"/>
      <c r="AL28" s="12097" t="n"/>
      <c r="AM28" s="12097" t="n"/>
      <c r="AN28" s="12097" t="n"/>
      <c r="AO28" s="12097" t="n"/>
      <c r="AP28" s="1277" t="n"/>
      <c r="AR28" s="4790" t="n"/>
      <c r="AS28" s="4790" t="n"/>
      <c r="AT28" s="314" t="n"/>
      <c r="AZ28">
        <f>IF(AND($D$21="",OR($V$30&gt;0,$V$31&gt;0)),TRUE,FALSE)</f>
        <v/>
      </c>
      <c r="BA28">
        <f>IF(AND($D$22="",OR($AD$30&gt;0,$AD$31&gt;0)),TRUE,FALSE)</f>
        <v/>
      </c>
      <c r="BB28">
        <f>IF(AND($D$23="",OR($AJ$30&gt;0,$AJ$31&gt;0)),TRUE,FALSE)</f>
        <v/>
      </c>
      <c r="BG28" s="769" t="n"/>
      <c r="BH28" s="658" t="n"/>
      <c r="BI28" s="658" t="n"/>
      <c r="BJ28" s="658" t="n"/>
      <c r="BK28" s="658" t="n"/>
      <c r="BL28" s="658" t="n"/>
      <c r="BM28" s="658" t="n"/>
      <c r="BN28" s="658" t="n"/>
      <c r="BO28" s="658" t="n"/>
      <c r="BP28" s="658" t="n"/>
    </row>
    <row r="29" ht="14.25" customHeight="1" s="7635">
      <c r="A29" s="1277" t="n"/>
      <c r="B29" s="10886" t="inlineStr">
        <is>
          <t>Income:</t>
        </is>
      </c>
      <c r="C29" s="7865" t="n"/>
      <c r="D29" s="9237" t="n"/>
      <c r="E29" s="2126" t="n"/>
      <c r="F29" s="2126" t="n"/>
      <c r="G29" s="2126" t="n"/>
      <c r="H29" s="2126" t="n"/>
      <c r="I29" s="2126" t="n"/>
      <c r="J29" s="2126" t="n"/>
      <c r="K29" s="2126" t="n"/>
      <c r="L29" s="2126" t="n"/>
      <c r="M29" s="2126" t="n"/>
      <c r="N29" s="2126" t="n"/>
      <c r="O29" s="2126" t="n"/>
      <c r="P29" s="2126" t="n"/>
      <c r="Q29" s="2126" t="n"/>
      <c r="R29" s="4791" t="n"/>
      <c r="S29" s="2126" t="n"/>
      <c r="T29" s="4792" t="n"/>
      <c r="U29" s="4793" t="n"/>
      <c r="V29" s="6634" t="inlineStr">
        <is>
          <t>A</t>
        </is>
      </c>
      <c r="W29" s="8412" t="n"/>
      <c r="X29" s="8412" t="n"/>
      <c r="Y29" s="8412" t="n"/>
      <c r="Z29" s="8412" t="n"/>
      <c r="AA29" s="8412" t="n"/>
      <c r="AB29" s="8412" t="n"/>
      <c r="AC29" s="11734" t="n"/>
      <c r="AD29" s="12112" t="inlineStr">
        <is>
          <t>B</t>
        </is>
      </c>
      <c r="AE29" s="8412" t="n"/>
      <c r="AF29" s="8412" t="n"/>
      <c r="AG29" s="8412" t="n"/>
      <c r="AH29" s="8412" t="n"/>
      <c r="AI29" s="11734" t="n"/>
      <c r="AJ29" s="8568" t="inlineStr">
        <is>
          <t>C</t>
        </is>
      </c>
      <c r="AK29" s="8412" t="n"/>
      <c r="AL29" s="8412" t="n"/>
      <c r="AM29" s="8412" t="n"/>
      <c r="AN29" s="8412" t="n"/>
      <c r="AO29" s="8412" t="n"/>
      <c r="AP29" s="1277" t="n"/>
      <c r="AR29" s="1792" t="n"/>
      <c r="AS29" s="314" t="n"/>
      <c r="AT29" s="314" t="n"/>
      <c r="BG29" s="769" t="n"/>
      <c r="BH29" s="658" t="n"/>
      <c r="BI29" s="658" t="n"/>
      <c r="BJ29" s="658" t="n"/>
      <c r="BK29" s="658" t="n"/>
      <c r="BL29" s="658" t="n"/>
      <c r="BM29" s="658" t="n"/>
      <c r="BN29" s="658" t="n"/>
      <c r="BO29" s="658" t="n"/>
      <c r="BP29" s="658" t="n"/>
    </row>
    <row r="30" ht="14.25" customHeight="1" s="7635">
      <c r="A30" s="1277" t="n"/>
      <c r="B30" s="8519" t="n">
        <v>3</v>
      </c>
      <c r="D30" s="2100" t="inlineStr">
        <is>
          <t>Rents received</t>
        </is>
      </c>
      <c r="E30" s="2126" t="n"/>
      <c r="F30" s="2126" t="n"/>
      <c r="G30" s="2126" t="n"/>
      <c r="H30" s="2126" t="n"/>
      <c r="I30" s="2126" t="n"/>
      <c r="J30" s="2126" t="n"/>
      <c r="K30" s="2126" t="n"/>
      <c r="L30" s="2126" t="n"/>
      <c r="M30" s="2126" t="n"/>
      <c r="N30" s="2126" t="n"/>
      <c r="O30" s="2126" t="n"/>
      <c r="P30" s="2126" t="n"/>
      <c r="Q30" s="2126" t="n"/>
      <c r="R30" s="2126" t="n"/>
      <c r="S30" s="2198" t="inlineStr">
        <is>
          <t xml:space="preserve">.   .   .   .   .   .   .   .   .   .   .   .   .   .   .   .   . </t>
        </is>
      </c>
      <c r="T30" s="6634" t="n">
        <v>3</v>
      </c>
      <c r="U30" s="11734" t="n"/>
      <c r="V30" s="12113" t="n"/>
      <c r="W30" s="8007" t="n"/>
      <c r="X30" s="8007" t="n"/>
      <c r="Y30" s="8007" t="n"/>
      <c r="Z30" s="8007" t="n"/>
      <c r="AA30" s="8007" t="n"/>
      <c r="AB30" s="8007" t="n"/>
      <c r="AC30" s="8008" t="n"/>
      <c r="AD30" s="12113" t="n"/>
      <c r="AE30" s="8007" t="n"/>
      <c r="AF30" s="8007" t="n"/>
      <c r="AG30" s="8007" t="n"/>
      <c r="AH30" s="8007" t="n"/>
      <c r="AI30" s="8008" t="n"/>
      <c r="AJ30" s="8562" t="n"/>
      <c r="AK30" s="8007" t="n"/>
      <c r="AL30" s="8007" t="n"/>
      <c r="AM30" s="8007" t="n"/>
      <c r="AN30" s="8007" t="n"/>
      <c r="AO30" s="8007" t="n"/>
      <c r="AP30" s="1277" t="n"/>
      <c r="AR30" s="314" t="n"/>
      <c r="AS30" s="314" t="n"/>
      <c r="AT30" s="314" t="n"/>
      <c r="BG30" s="769" t="n"/>
      <c r="BH30" s="658" t="n"/>
      <c r="BI30" s="658" t="n"/>
      <c r="BJ30" s="658" t="n"/>
      <c r="BK30" s="658" t="n"/>
      <c r="BL30" s="658" t="n"/>
      <c r="BM30" s="658" t="n"/>
      <c r="BN30" s="658" t="n"/>
      <c r="BO30" s="658" t="n"/>
      <c r="BP30" s="658" t="n"/>
    </row>
    <row r="31" ht="14.25" customHeight="1" s="7635">
      <c r="A31" s="1277" t="n"/>
      <c r="B31" s="8561" t="n">
        <v>4</v>
      </c>
      <c r="C31" s="7637" t="n"/>
      <c r="D31" s="4794" t="inlineStr">
        <is>
          <t>Royalties received</t>
        </is>
      </c>
      <c r="E31" s="507" t="n"/>
      <c r="F31" s="507" t="n"/>
      <c r="G31" s="507" t="n"/>
      <c r="H31" s="507" t="n"/>
      <c r="I31" s="507" t="n"/>
      <c r="J31" s="507" t="n"/>
      <c r="K31" s="507" t="n"/>
      <c r="L31" s="507" t="n"/>
      <c r="M31" s="507" t="n"/>
      <c r="N31" s="507" t="n"/>
      <c r="O31" s="507" t="n"/>
      <c r="P31" s="507" t="n"/>
      <c r="Q31" s="507" t="n"/>
      <c r="R31" s="507" t="n"/>
      <c r="S31" s="974" t="inlineStr">
        <is>
          <t xml:space="preserve">.   .   .   .   .   .   .   .   .   .   .   .   .   .   .   . </t>
        </is>
      </c>
      <c r="T31" s="6634" t="n">
        <v>4</v>
      </c>
      <c r="U31" s="11734" t="n"/>
      <c r="V31" s="12113" t="n"/>
      <c r="W31" s="8007" t="n"/>
      <c r="X31" s="8007" t="n"/>
      <c r="Y31" s="8007" t="n"/>
      <c r="Z31" s="8007" t="n"/>
      <c r="AA31" s="8007" t="n"/>
      <c r="AB31" s="8007" t="n"/>
      <c r="AC31" s="8008" t="n"/>
      <c r="AD31" s="12113" t="n"/>
      <c r="AE31" s="8007" t="n"/>
      <c r="AF31" s="8007" t="n"/>
      <c r="AG31" s="8007" t="n"/>
      <c r="AH31" s="8007" t="n"/>
      <c r="AI31" s="8008" t="n"/>
      <c r="AJ31" s="8562" t="n"/>
      <c r="AK31" s="8007" t="n"/>
      <c r="AL31" s="8007" t="n"/>
      <c r="AM31" s="8007" t="n"/>
      <c r="AN31" s="8007" t="n"/>
      <c r="AO31" s="8007" t="n"/>
      <c r="AP31" s="1277" t="n"/>
      <c r="BG31" s="769" t="n"/>
      <c r="BH31" s="658" t="n"/>
      <c r="BI31" s="658" t="n"/>
      <c r="BJ31" s="658" t="n"/>
      <c r="BK31" s="658" t="n"/>
      <c r="BL31" s="658" t="n"/>
      <c r="BM31" s="658" t="n"/>
      <c r="BN31" s="658" t="n"/>
      <c r="BO31" s="658" t="n"/>
      <c r="BP31" s="658" t="n"/>
    </row>
    <row r="32" ht="14.25" customHeight="1" s="7635">
      <c r="A32" s="1277" t="n"/>
      <c r="B32" s="4795" t="inlineStr">
        <is>
          <t>Expenses:</t>
        </is>
      </c>
      <c r="C32" s="4796" t="n"/>
      <c r="D32" s="10862" t="n"/>
      <c r="E32" s="4797" t="n"/>
      <c r="F32" s="4798" t="n"/>
      <c r="G32" s="4798">
        <f>IF(OR($AZ$28,$BA$28,$BB$28),"Please enter property type in Line 1b.","")</f>
        <v/>
      </c>
      <c r="H32" s="4797" t="n"/>
      <c r="I32" s="4797" t="n"/>
      <c r="J32" s="4797" t="n"/>
      <c r="K32" s="4797" t="n"/>
      <c r="L32" s="4797" t="n"/>
      <c r="M32" s="4797" t="n"/>
      <c r="N32" s="4797" t="n"/>
      <c r="O32" s="4797" t="n"/>
      <c r="P32" s="4797" t="n"/>
      <c r="Q32" s="4797" t="n"/>
      <c r="R32" s="4797" t="n"/>
      <c r="S32" s="4797" t="n"/>
      <c r="T32" s="4509" t="n"/>
      <c r="U32" s="4799" t="n"/>
      <c r="V32" s="12114">
        <f>IF(D21="","",LOOKUP(D21,$AX$18:$AX$25,$AY$18:$AY$25))</f>
        <v/>
      </c>
      <c r="W32" s="7839" t="n"/>
      <c r="X32" s="7839" t="n"/>
      <c r="Y32" s="7839" t="n"/>
      <c r="Z32" s="7839" t="n"/>
      <c r="AA32" s="7839" t="n"/>
      <c r="AB32" s="7839" t="n"/>
      <c r="AC32" s="10091" t="n"/>
      <c r="AD32" s="12114">
        <f>IF(D22="","",LOOKUP(D22,$AX$18:$AX$25,$AY$18:$AY$25))</f>
        <v/>
      </c>
      <c r="AE32" s="7839" t="n"/>
      <c r="AF32" s="7839" t="n"/>
      <c r="AG32" s="7839" t="n"/>
      <c r="AH32" s="7839" t="n"/>
      <c r="AI32" s="10091" t="n"/>
      <c r="AJ32" s="8565">
        <f>IF(D23="","",LOOKUP(D23,$AX$18:$AX$25,$AY$18:$AY$25))</f>
        <v/>
      </c>
      <c r="AK32" s="7839" t="n"/>
      <c r="AL32" s="7839" t="n"/>
      <c r="AM32" s="7839" t="n"/>
      <c r="AN32" s="7839" t="n"/>
      <c r="AO32" s="7839" t="n"/>
      <c r="AP32" s="1277" t="n"/>
      <c r="BG32" s="769" t="n"/>
      <c r="BH32" s="658" t="n"/>
      <c r="BI32" s="658" t="n"/>
      <c r="BJ32" s="658" t="n"/>
      <c r="BK32" s="658" t="n"/>
      <c r="BL32" s="658" t="n"/>
      <c r="BM32" s="658" t="n"/>
      <c r="BN32" s="658" t="n"/>
      <c r="BO32" s="658" t="n"/>
      <c r="BP32" s="658" t="n"/>
    </row>
    <row r="33" ht="14.25" customHeight="1" s="7635">
      <c r="A33" s="1277" t="n"/>
      <c r="B33" s="8519" t="n">
        <v>5</v>
      </c>
      <c r="D33" s="2100" t="inlineStr">
        <is>
          <t>Advertising</t>
        </is>
      </c>
      <c r="E33" s="2126" t="n"/>
      <c r="F33" s="2126" t="n"/>
      <c r="G33" s="2126" t="n"/>
      <c r="H33" s="2126" t="n"/>
      <c r="I33" s="2126" t="n"/>
      <c r="J33" s="2126" t="n"/>
      <c r="K33" s="2126" t="n"/>
      <c r="L33" s="2126" t="n"/>
      <c r="M33" s="2126" t="n"/>
      <c r="N33" s="2126" t="n"/>
      <c r="O33" s="2126" t="n"/>
      <c r="P33" s="2126" t="n"/>
      <c r="Q33" s="2126" t="n"/>
      <c r="R33" s="2126" t="n"/>
      <c r="S33" s="2198" t="inlineStr">
        <is>
          <t xml:space="preserve">.   .   .   .   .   .   .   .   .   .   .   .   .   .   .   .   .   .   . </t>
        </is>
      </c>
      <c r="T33" s="6633" t="n">
        <v>5</v>
      </c>
      <c r="U33" s="7638" t="n"/>
      <c r="V33" s="8558" t="n"/>
      <c r="W33" s="11717" t="n"/>
      <c r="X33" s="11717" t="n"/>
      <c r="Y33" s="11717" t="n"/>
      <c r="Z33" s="11717" t="n"/>
      <c r="AA33" s="11717" t="n"/>
      <c r="AB33" s="11717" t="n"/>
      <c r="AC33" s="11718" t="n"/>
      <c r="AD33" s="12115" t="n"/>
      <c r="AE33" s="11717" t="n"/>
      <c r="AF33" s="11717" t="n"/>
      <c r="AG33" s="11717" t="n"/>
      <c r="AH33" s="11717" t="n"/>
      <c r="AI33" s="11718" t="n"/>
      <c r="AJ33" s="8559" t="n"/>
      <c r="AK33" s="11717" t="n"/>
      <c r="AL33" s="11717" t="n"/>
      <c r="AM33" s="11717" t="n"/>
      <c r="AN33" s="11717" t="n"/>
      <c r="AO33" s="11717" t="n"/>
      <c r="AP33" s="1277" t="n"/>
      <c r="BG33" s="769" t="n"/>
      <c r="BH33" s="658" t="n"/>
      <c r="BI33" s="658" t="n"/>
      <c r="BJ33" s="658" t="n"/>
      <c r="BK33" s="658" t="n"/>
      <c r="BL33" s="658" t="n"/>
      <c r="BM33" s="658" t="n"/>
      <c r="BN33" s="658" t="n"/>
      <c r="BO33" s="658" t="n"/>
      <c r="BP33" s="658" t="n"/>
    </row>
    <row r="34" ht="14.25" customHeight="1" s="7635">
      <c r="A34" s="1277" t="n"/>
      <c r="B34" s="8519" t="n">
        <v>6</v>
      </c>
      <c r="D34" s="2100" t="inlineStr">
        <is>
          <t>Auto and travel (see instructions)</t>
        </is>
      </c>
      <c r="E34" s="2126" t="n"/>
      <c r="F34" s="2126" t="n"/>
      <c r="G34" s="2126" t="n"/>
      <c r="H34" s="2126" t="n"/>
      <c r="I34" s="2126" t="n"/>
      <c r="J34" s="2126" t="n"/>
      <c r="K34" s="2126" t="n"/>
      <c r="L34" s="2126" t="n"/>
      <c r="M34" s="2126" t="n"/>
      <c r="N34" s="2126" t="n"/>
      <c r="O34" s="2126" t="n"/>
      <c r="P34" s="2126" t="n"/>
      <c r="Q34" s="2126" t="n"/>
      <c r="R34" s="2126" t="n"/>
      <c r="S34" s="2198" t="inlineStr">
        <is>
          <t xml:space="preserve">.   .   .   .   .   .   .   .   .   . </t>
        </is>
      </c>
      <c r="T34" s="6633" t="n">
        <v>6</v>
      </c>
      <c r="U34" s="7638" t="n"/>
      <c r="V34" s="8558" t="n"/>
      <c r="W34" s="11717" t="n"/>
      <c r="X34" s="11717" t="n"/>
      <c r="Y34" s="11717" t="n"/>
      <c r="Z34" s="11717" t="n"/>
      <c r="AA34" s="11717" t="n"/>
      <c r="AB34" s="11717" t="n"/>
      <c r="AC34" s="11718" t="n"/>
      <c r="AD34" s="12115" t="n"/>
      <c r="AE34" s="11717" t="n"/>
      <c r="AF34" s="11717" t="n"/>
      <c r="AG34" s="11717" t="n"/>
      <c r="AH34" s="11717" t="n"/>
      <c r="AI34" s="11718" t="n"/>
      <c r="AJ34" s="8559" t="n"/>
      <c r="AK34" s="11717" t="n"/>
      <c r="AL34" s="11717" t="n"/>
      <c r="AM34" s="11717" t="n"/>
      <c r="AN34" s="11717" t="n"/>
      <c r="AO34" s="11717" t="n"/>
      <c r="AP34" s="1277" t="n"/>
      <c r="BG34" s="769" t="n"/>
      <c r="BH34" s="658" t="n"/>
      <c r="BI34" s="658" t="n"/>
      <c r="BJ34" s="658" t="n"/>
      <c r="BK34" s="658" t="n"/>
      <c r="BL34" s="658" t="n"/>
      <c r="BM34" s="658" t="n"/>
      <c r="BN34" s="658" t="n"/>
      <c r="BO34" s="658" t="n"/>
      <c r="BP34" s="658" t="n"/>
    </row>
    <row r="35" ht="14.25" customHeight="1" s="7635">
      <c r="A35" s="1277" t="n"/>
      <c r="B35" s="8519" t="n">
        <v>7</v>
      </c>
      <c r="D35" s="2100" t="inlineStr">
        <is>
          <t>Cleaning and maintenance</t>
        </is>
      </c>
      <c r="E35" s="2126" t="n"/>
      <c r="F35" s="2126" t="n"/>
      <c r="G35" s="2126" t="n"/>
      <c r="H35" s="2126" t="n"/>
      <c r="I35" s="2126" t="n"/>
      <c r="J35" s="2126" t="n"/>
      <c r="K35" s="2126" t="n"/>
      <c r="L35" s="2126" t="n"/>
      <c r="M35" s="2126" t="n"/>
      <c r="N35" s="2126" t="n"/>
      <c r="O35" s="2126" t="n"/>
      <c r="P35" s="2126" t="n"/>
      <c r="Q35" s="2126" t="n"/>
      <c r="R35" s="2126" t="n"/>
      <c r="S35" s="2198" t="inlineStr">
        <is>
          <t xml:space="preserve">.   .   .   .   .   .   .   .   .   .   .   .   . </t>
        </is>
      </c>
      <c r="T35" s="6633" t="n">
        <v>7</v>
      </c>
      <c r="U35" s="7638" t="n"/>
      <c r="V35" s="8558" t="n"/>
      <c r="W35" s="11717" t="n"/>
      <c r="X35" s="11717" t="n"/>
      <c r="Y35" s="11717" t="n"/>
      <c r="Z35" s="11717" t="n"/>
      <c r="AA35" s="11717" t="n"/>
      <c r="AB35" s="11717" t="n"/>
      <c r="AC35" s="11718" t="n"/>
      <c r="AD35" s="12115" t="n"/>
      <c r="AE35" s="11717" t="n"/>
      <c r="AF35" s="11717" t="n"/>
      <c r="AG35" s="11717" t="n"/>
      <c r="AH35" s="11717" t="n"/>
      <c r="AI35" s="11718" t="n"/>
      <c r="AJ35" s="8559" t="n"/>
      <c r="AK35" s="11717" t="n"/>
      <c r="AL35" s="11717" t="n"/>
      <c r="AM35" s="11717" t="n"/>
      <c r="AN35" s="11717" t="n"/>
      <c r="AO35" s="11717" t="n"/>
      <c r="AP35" s="1277" t="n"/>
      <c r="BG35" s="769" t="n"/>
      <c r="BH35" s="658" t="n"/>
      <c r="BI35" s="658" t="n"/>
      <c r="BJ35" s="658" t="n"/>
      <c r="BK35" s="658" t="n"/>
      <c r="BL35" s="658" t="n"/>
      <c r="BM35" s="658" t="n"/>
      <c r="BN35" s="658" t="n"/>
      <c r="BO35" s="658" t="n"/>
      <c r="BP35" s="658" t="n"/>
    </row>
    <row r="36" ht="14.25" customHeight="1" s="7635">
      <c r="A36" s="1277" t="n"/>
      <c r="B36" s="8519" t="n">
        <v>8</v>
      </c>
      <c r="D36" s="2100" t="inlineStr">
        <is>
          <t>Commissions</t>
        </is>
      </c>
      <c r="E36" s="2126" t="n"/>
      <c r="F36" s="2126" t="n"/>
      <c r="G36" s="2126" t="n"/>
      <c r="H36" s="2126" t="n"/>
      <c r="I36" s="2126" t="n"/>
      <c r="J36" s="2126" t="n"/>
      <c r="K36" s="2126" t="n"/>
      <c r="L36" s="2126" t="n"/>
      <c r="M36" s="2126" t="n"/>
      <c r="N36" s="2126" t="n"/>
      <c r="O36" s="2126" t="n"/>
      <c r="P36" s="2126" t="n"/>
      <c r="Q36" s="2126" t="n"/>
      <c r="R36" s="2126" t="n"/>
      <c r="S36" s="2198" t="inlineStr">
        <is>
          <t xml:space="preserve">.   .   .   .   .   .   .   .   .   .   .   .   .   .   .   .   .   . </t>
        </is>
      </c>
      <c r="T36" s="6633" t="n">
        <v>8</v>
      </c>
      <c r="U36" s="7638" t="n"/>
      <c r="V36" s="8558" t="n"/>
      <c r="W36" s="11717" t="n"/>
      <c r="X36" s="11717" t="n"/>
      <c r="Y36" s="11717" t="n"/>
      <c r="Z36" s="11717" t="n"/>
      <c r="AA36" s="11717" t="n"/>
      <c r="AB36" s="11717" t="n"/>
      <c r="AC36" s="11718" t="n"/>
      <c r="AD36" s="12115" t="n"/>
      <c r="AE36" s="11717" t="n"/>
      <c r="AF36" s="11717" t="n"/>
      <c r="AG36" s="11717" t="n"/>
      <c r="AH36" s="11717" t="n"/>
      <c r="AI36" s="11718" t="n"/>
      <c r="AJ36" s="8559" t="n"/>
      <c r="AK36" s="11717" t="n"/>
      <c r="AL36" s="11717" t="n"/>
      <c r="AM36" s="11717" t="n"/>
      <c r="AN36" s="11717" t="n"/>
      <c r="AO36" s="11717" t="n"/>
      <c r="AP36" s="1277" t="n"/>
      <c r="BG36" s="769" t="n"/>
      <c r="BH36" s="658" t="n"/>
      <c r="BI36" s="658" t="n"/>
      <c r="BJ36" s="658" t="n"/>
      <c r="BK36" s="658" t="n"/>
      <c r="BL36" s="658" t="n"/>
      <c r="BM36" s="658" t="n"/>
      <c r="BN36" s="658" t="n"/>
      <c r="BO36" s="658" t="n"/>
      <c r="BP36" s="658" t="n"/>
    </row>
    <row r="37" ht="14.25" customHeight="1" s="7635">
      <c r="A37" s="1277" t="n"/>
      <c r="B37" s="8519" t="n">
        <v>9</v>
      </c>
      <c r="D37" s="2100" t="inlineStr">
        <is>
          <t>Insurance</t>
        </is>
      </c>
      <c r="E37" s="2126" t="n"/>
      <c r="F37" s="2126" t="n"/>
      <c r="G37" s="2126" t="n"/>
      <c r="H37" s="2126" t="n"/>
      <c r="I37" s="2126" t="n"/>
      <c r="J37" s="2126" t="n"/>
      <c r="K37" s="2126" t="n"/>
      <c r="L37" s="2126" t="n"/>
      <c r="M37" s="2126" t="n"/>
      <c r="N37" s="2126" t="n"/>
      <c r="O37" s="2126" t="n"/>
      <c r="P37" s="2126" t="n"/>
      <c r="Q37" s="2126" t="n"/>
      <c r="R37" s="2126" t="n"/>
      <c r="S37" s="2198" t="inlineStr">
        <is>
          <t xml:space="preserve">.   .   .   .   .   .   .   .   .   .   .   .   .   .   .   .   .   .   .   . </t>
        </is>
      </c>
      <c r="T37" s="6633" t="n">
        <v>9</v>
      </c>
      <c r="U37" s="7638" t="n"/>
      <c r="V37" s="8558" t="n"/>
      <c r="W37" s="11717" t="n"/>
      <c r="X37" s="11717" t="n"/>
      <c r="Y37" s="11717" t="n"/>
      <c r="Z37" s="11717" t="n"/>
      <c r="AA37" s="11717" t="n"/>
      <c r="AB37" s="11717" t="n"/>
      <c r="AC37" s="11718" t="n"/>
      <c r="AD37" s="12115" t="n"/>
      <c r="AE37" s="11717" t="n"/>
      <c r="AF37" s="11717" t="n"/>
      <c r="AG37" s="11717" t="n"/>
      <c r="AH37" s="11717" t="n"/>
      <c r="AI37" s="11718" t="n"/>
      <c r="AJ37" s="8559" t="n"/>
      <c r="AK37" s="11717" t="n"/>
      <c r="AL37" s="11717" t="n"/>
      <c r="AM37" s="11717" t="n"/>
      <c r="AN37" s="11717" t="n"/>
      <c r="AO37" s="11717" t="n"/>
      <c r="AP37" s="1277" t="n"/>
      <c r="BG37" s="769" t="n"/>
      <c r="BH37" s="658" t="n"/>
      <c r="BI37" s="658" t="n"/>
      <c r="BJ37" s="658" t="n"/>
      <c r="BK37" s="658" t="n"/>
      <c r="BL37" s="658" t="n"/>
      <c r="BM37" s="658" t="n"/>
      <c r="BN37" s="658" t="n"/>
      <c r="BO37" s="658" t="n"/>
      <c r="BP37" s="658" t="n"/>
    </row>
    <row r="38" ht="14.25" customHeight="1" s="7635">
      <c r="A38" s="1277" t="n"/>
      <c r="B38" s="8519" t="n">
        <v>10</v>
      </c>
      <c r="D38" s="2100" t="inlineStr">
        <is>
          <t>Legal and other professional fees</t>
        </is>
      </c>
      <c r="E38" s="2126" t="n"/>
      <c r="F38" s="2126" t="n"/>
      <c r="G38" s="2126" t="n"/>
      <c r="H38" s="2126" t="n"/>
      <c r="I38" s="2126" t="n"/>
      <c r="J38" s="2126" t="n"/>
      <c r="K38" s="2126" t="n"/>
      <c r="L38" s="2126" t="n"/>
      <c r="M38" s="2126" t="n"/>
      <c r="N38" s="2126" t="n"/>
      <c r="O38" s="2126" t="n"/>
      <c r="P38" s="2126" t="n"/>
      <c r="Q38" s="2126" t="n"/>
      <c r="R38" s="2126" t="n"/>
      <c r="S38" s="2198" t="inlineStr">
        <is>
          <t xml:space="preserve">.   .   .   .   .   .   .   .   . </t>
        </is>
      </c>
      <c r="T38" s="6633" t="n">
        <v>10</v>
      </c>
      <c r="U38" s="7638" t="n"/>
      <c r="V38" s="8558" t="n"/>
      <c r="W38" s="11717" t="n"/>
      <c r="X38" s="11717" t="n"/>
      <c r="Y38" s="11717" t="n"/>
      <c r="Z38" s="11717" t="n"/>
      <c r="AA38" s="11717" t="n"/>
      <c r="AB38" s="11717" t="n"/>
      <c r="AC38" s="11718" t="n"/>
      <c r="AD38" s="12115" t="n"/>
      <c r="AE38" s="11717" t="n"/>
      <c r="AF38" s="11717" t="n"/>
      <c r="AG38" s="11717" t="n"/>
      <c r="AH38" s="11717" t="n"/>
      <c r="AI38" s="11718" t="n"/>
      <c r="AJ38" s="8559" t="n"/>
      <c r="AK38" s="11717" t="n"/>
      <c r="AL38" s="11717" t="n"/>
      <c r="AM38" s="11717" t="n"/>
      <c r="AN38" s="11717" t="n"/>
      <c r="AO38" s="11717" t="n"/>
      <c r="AP38" s="1277" t="n"/>
      <c r="BG38" s="769" t="n"/>
      <c r="BH38" s="658" t="n"/>
      <c r="BI38" s="658" t="n"/>
      <c r="BJ38" s="658" t="n"/>
      <c r="BK38" s="658" t="n"/>
      <c r="BL38" s="658" t="n"/>
      <c r="BM38" s="658" t="n"/>
      <c r="BN38" s="658" t="n"/>
      <c r="BO38" s="658" t="n"/>
      <c r="BP38" s="658" t="n"/>
    </row>
    <row r="39" ht="14.25" customHeight="1" s="7635">
      <c r="A39" s="1277" t="n"/>
      <c r="B39" s="8519" t="n">
        <v>11</v>
      </c>
      <c r="D39" s="2100" t="inlineStr">
        <is>
          <t>Management fees</t>
        </is>
      </c>
      <c r="E39" s="2126" t="n"/>
      <c r="F39" s="2126" t="n"/>
      <c r="G39" s="2126" t="n"/>
      <c r="H39" s="2126" t="n"/>
      <c r="I39" s="2126" t="n"/>
      <c r="J39" s="2126" t="n"/>
      <c r="K39" s="2126" t="n"/>
      <c r="L39" s="2126" t="n"/>
      <c r="M39" s="2126" t="n"/>
      <c r="N39" s="2126" t="n"/>
      <c r="O39" s="2126" t="n"/>
      <c r="P39" s="2126" t="n"/>
      <c r="Q39" s="2126" t="n"/>
      <c r="R39" s="2126" t="n"/>
      <c r="S39" s="2198" t="inlineStr">
        <is>
          <t xml:space="preserve">.   .   .   .   .   .   .   .   .   .   .   .   .   .   .   . </t>
        </is>
      </c>
      <c r="T39" s="6633" t="n">
        <v>11</v>
      </c>
      <c r="U39" s="7638" t="n"/>
      <c r="V39" s="8558" t="n"/>
      <c r="W39" s="11717" t="n"/>
      <c r="X39" s="11717" t="n"/>
      <c r="Y39" s="11717" t="n"/>
      <c r="Z39" s="11717" t="n"/>
      <c r="AA39" s="11717" t="n"/>
      <c r="AB39" s="11717" t="n"/>
      <c r="AC39" s="11718" t="n"/>
      <c r="AD39" s="12115" t="n"/>
      <c r="AE39" s="11717" t="n"/>
      <c r="AF39" s="11717" t="n"/>
      <c r="AG39" s="11717" t="n"/>
      <c r="AH39" s="11717" t="n"/>
      <c r="AI39" s="11718" t="n"/>
      <c r="AJ39" s="8559" t="n"/>
      <c r="AK39" s="11717" t="n"/>
      <c r="AL39" s="11717" t="n"/>
      <c r="AM39" s="11717" t="n"/>
      <c r="AN39" s="11717" t="n"/>
      <c r="AO39" s="11717" t="n"/>
      <c r="AP39" s="1277" t="n"/>
      <c r="BG39" s="769" t="n"/>
      <c r="BH39" s="658" t="n"/>
      <c r="BI39" s="658" t="n"/>
      <c r="BJ39" s="658" t="n"/>
      <c r="BK39" s="658" t="n"/>
      <c r="BL39" s="658" t="n"/>
      <c r="BM39" s="658" t="n"/>
      <c r="BN39" s="658" t="n"/>
      <c r="BO39" s="658" t="n"/>
      <c r="BP39" s="658" t="n"/>
    </row>
    <row r="40" ht="14.25" customHeight="1" s="7635">
      <c r="A40" s="1277" t="n"/>
      <c r="B40" s="8519" t="n">
        <v>12</v>
      </c>
      <c r="D40" s="2100" t="inlineStr">
        <is>
          <t>Mortgage interest paid to banks, etc. (see instructions)</t>
        </is>
      </c>
      <c r="E40" s="2126" t="n"/>
      <c r="F40" s="2126" t="n"/>
      <c r="G40" s="2126" t="n"/>
      <c r="H40" s="2126" t="n"/>
      <c r="I40" s="2126" t="n"/>
      <c r="J40" s="2126" t="n"/>
      <c r="K40" s="2126" t="n"/>
      <c r="L40" s="2126" t="n"/>
      <c r="M40" s="2126" t="n"/>
      <c r="N40" s="2126" t="n"/>
      <c r="O40" s="2126" t="n"/>
      <c r="P40" s="2126" t="n"/>
      <c r="Q40" s="2126" t="n"/>
      <c r="R40" s="2126" t="n"/>
      <c r="S40" s="4800" t="n"/>
      <c r="T40" s="6633" t="n">
        <v>12</v>
      </c>
      <c r="U40" s="7638" t="n"/>
      <c r="V40" s="8558" t="n"/>
      <c r="W40" s="11717" t="n"/>
      <c r="X40" s="11717" t="n"/>
      <c r="Y40" s="11717" t="n"/>
      <c r="Z40" s="11717" t="n"/>
      <c r="AA40" s="11717" t="n"/>
      <c r="AB40" s="11717" t="n"/>
      <c r="AC40" s="11718" t="n"/>
      <c r="AD40" s="12115" t="n"/>
      <c r="AE40" s="11717" t="n"/>
      <c r="AF40" s="11717" t="n"/>
      <c r="AG40" s="11717" t="n"/>
      <c r="AH40" s="11717" t="n"/>
      <c r="AI40" s="11718" t="n"/>
      <c r="AJ40" s="8559" t="n"/>
      <c r="AK40" s="11717" t="n"/>
      <c r="AL40" s="11717" t="n"/>
      <c r="AM40" s="11717" t="n"/>
      <c r="AN40" s="11717" t="n"/>
      <c r="AO40" s="11717" t="n"/>
      <c r="AP40" s="1277" t="n"/>
      <c r="BG40" s="769" t="n"/>
      <c r="BH40" s="658" t="n"/>
      <c r="BI40" s="658" t="n"/>
      <c r="BJ40" s="658" t="n"/>
      <c r="BK40" s="658" t="n"/>
      <c r="BL40" s="658" t="n"/>
      <c r="BM40" s="658" t="n"/>
      <c r="BN40" s="658" t="n"/>
      <c r="BO40" s="658" t="n"/>
      <c r="BP40" s="658" t="n"/>
    </row>
    <row r="41" ht="14.25" customHeight="1" s="7635">
      <c r="A41" s="1277" t="n"/>
      <c r="B41" s="8519" t="n">
        <v>13</v>
      </c>
      <c r="D41" s="2100" t="inlineStr">
        <is>
          <t>Other interest</t>
        </is>
      </c>
      <c r="E41" s="2126" t="n"/>
      <c r="F41" s="2126" t="n"/>
      <c r="G41" s="2126" t="n"/>
      <c r="H41" s="2126" t="n"/>
      <c r="I41" s="2126" t="n"/>
      <c r="J41" s="2126" t="n"/>
      <c r="K41" s="2126" t="n"/>
      <c r="L41" s="2126" t="n"/>
      <c r="M41" s="2126" t="n"/>
      <c r="N41" s="2126" t="n"/>
      <c r="O41" s="2126" t="n"/>
      <c r="P41" s="2126" t="n"/>
      <c r="Q41" s="2126" t="n"/>
      <c r="R41" s="2126" t="n"/>
      <c r="S41" s="2198" t="inlineStr">
        <is>
          <t xml:space="preserve">.   .   .   .   .   .   .   .   .   .   .   .   .   .   .   .   .   . </t>
        </is>
      </c>
      <c r="T41" s="6633" t="n">
        <v>13</v>
      </c>
      <c r="U41" s="7638" t="n"/>
      <c r="V41" s="8558" t="n"/>
      <c r="W41" s="11717" t="n"/>
      <c r="X41" s="11717" t="n"/>
      <c r="Y41" s="11717" t="n"/>
      <c r="Z41" s="11717" t="n"/>
      <c r="AA41" s="11717" t="n"/>
      <c r="AB41" s="11717" t="n"/>
      <c r="AC41" s="11718" t="n"/>
      <c r="AD41" s="12115" t="n"/>
      <c r="AE41" s="11717" t="n"/>
      <c r="AF41" s="11717" t="n"/>
      <c r="AG41" s="11717" t="n"/>
      <c r="AH41" s="11717" t="n"/>
      <c r="AI41" s="11718" t="n"/>
      <c r="AJ41" s="8559" t="n"/>
      <c r="AK41" s="11717" t="n"/>
      <c r="AL41" s="11717" t="n"/>
      <c r="AM41" s="11717" t="n"/>
      <c r="AN41" s="11717" t="n"/>
      <c r="AO41" s="11717" t="n"/>
      <c r="AP41" s="1277" t="n"/>
      <c r="BG41" s="769" t="n"/>
      <c r="BH41" s="658" t="n"/>
      <c r="BI41" s="658" t="n"/>
      <c r="BJ41" s="658" t="n"/>
      <c r="BK41" s="658" t="n"/>
      <c r="BL41" s="658" t="n"/>
      <c r="BM41" s="658" t="n"/>
      <c r="BN41" s="658" t="n"/>
      <c r="BO41" s="658" t="n"/>
      <c r="BP41" s="658" t="n"/>
    </row>
    <row r="42" ht="14.25" customHeight="1" s="7635">
      <c r="A42" s="1277" t="n"/>
      <c r="B42" s="8519" t="n">
        <v>14</v>
      </c>
      <c r="D42" s="2100" t="inlineStr">
        <is>
          <t>Repairs</t>
        </is>
      </c>
      <c r="E42" s="2126" t="n"/>
      <c r="F42" s="2126" t="n"/>
      <c r="G42" s="2126" t="n"/>
      <c r="H42" s="2126" t="n"/>
      <c r="I42" s="2126" t="n"/>
      <c r="J42" s="2126" t="n"/>
      <c r="K42" s="2126" t="n"/>
      <c r="L42" s="2126" t="n"/>
      <c r="M42" s="2126" t="n"/>
      <c r="N42" s="2126" t="n"/>
      <c r="O42" s="2126" t="n"/>
      <c r="P42" s="2126" t="n"/>
      <c r="Q42" s="2126" t="n"/>
      <c r="R42" s="2126" t="n"/>
      <c r="S42" s="2198" t="inlineStr">
        <is>
          <t xml:space="preserve">.   .   .   .   .   .   .   .   .   .   .   .   .   .   .   .   .   .   .   . </t>
        </is>
      </c>
      <c r="T42" s="6633" t="n">
        <v>14</v>
      </c>
      <c r="U42" s="7638" t="n"/>
      <c r="V42" s="8558" t="n"/>
      <c r="W42" s="11717" t="n"/>
      <c r="X42" s="11717" t="n"/>
      <c r="Y42" s="11717" t="n"/>
      <c r="Z42" s="11717" t="n"/>
      <c r="AA42" s="11717" t="n"/>
      <c r="AB42" s="11717" t="n"/>
      <c r="AC42" s="11718" t="n"/>
      <c r="AD42" s="12115" t="n"/>
      <c r="AE42" s="11717" t="n"/>
      <c r="AF42" s="11717" t="n"/>
      <c r="AG42" s="11717" t="n"/>
      <c r="AH42" s="11717" t="n"/>
      <c r="AI42" s="11718" t="n"/>
      <c r="AJ42" s="8559" t="n"/>
      <c r="AK42" s="11717" t="n"/>
      <c r="AL42" s="11717" t="n"/>
      <c r="AM42" s="11717" t="n"/>
      <c r="AN42" s="11717" t="n"/>
      <c r="AO42" s="11717" t="n"/>
      <c r="AP42" s="1277" t="n"/>
      <c r="BG42" s="769" t="n"/>
      <c r="BH42" s="658" t="n"/>
      <c r="BI42" s="658" t="n"/>
      <c r="BJ42" s="658" t="n"/>
      <c r="BK42" s="658" t="n"/>
      <c r="BL42" s="658" t="n"/>
      <c r="BM42" s="658" t="n"/>
      <c r="BN42" s="658" t="n"/>
      <c r="BO42" s="658" t="n"/>
      <c r="BP42" s="658" t="n"/>
    </row>
    <row r="43" ht="14.25" customHeight="1" s="7635">
      <c r="A43" s="1277" t="n"/>
      <c r="B43" s="8519" t="n">
        <v>15</v>
      </c>
      <c r="D43" s="2100" t="inlineStr">
        <is>
          <t>Supplies</t>
        </is>
      </c>
      <c r="E43" s="2126" t="n"/>
      <c r="F43" s="2126" t="n"/>
      <c r="G43" s="2126" t="n"/>
      <c r="H43" s="2126" t="n"/>
      <c r="I43" s="2126" t="n"/>
      <c r="J43" s="2126" t="n"/>
      <c r="K43" s="2126" t="n"/>
      <c r="L43" s="2126" t="n"/>
      <c r="M43" s="2126" t="n"/>
      <c r="N43" s="2126" t="n"/>
      <c r="O43" s="2126" t="n"/>
      <c r="P43" s="2126" t="n"/>
      <c r="Q43" s="2126" t="n"/>
      <c r="R43" s="2126" t="n"/>
      <c r="S43" s="2198" t="inlineStr">
        <is>
          <t xml:space="preserve">.   .   .   .   .   .   .   .   .   .   .   .   .   .   .   .   .   .   .   . </t>
        </is>
      </c>
      <c r="T43" s="6633" t="n">
        <v>15</v>
      </c>
      <c r="U43" s="7638" t="n"/>
      <c r="V43" s="8558" t="n"/>
      <c r="W43" s="11717" t="n"/>
      <c r="X43" s="11717" t="n"/>
      <c r="Y43" s="11717" t="n"/>
      <c r="Z43" s="11717" t="n"/>
      <c r="AA43" s="11717" t="n"/>
      <c r="AB43" s="11717" t="n"/>
      <c r="AC43" s="11718" t="n"/>
      <c r="AD43" s="12115" t="n"/>
      <c r="AE43" s="11717" t="n"/>
      <c r="AF43" s="11717" t="n"/>
      <c r="AG43" s="11717" t="n"/>
      <c r="AH43" s="11717" t="n"/>
      <c r="AI43" s="11718" t="n"/>
      <c r="AJ43" s="8559" t="n"/>
      <c r="AK43" s="11717" t="n"/>
      <c r="AL43" s="11717" t="n"/>
      <c r="AM43" s="11717" t="n"/>
      <c r="AN43" s="11717" t="n"/>
      <c r="AO43" s="11717" t="n"/>
      <c r="AP43" s="1277" t="n"/>
      <c r="BG43" s="769" t="n"/>
      <c r="BH43" s="658" t="n"/>
      <c r="BI43" s="658" t="n"/>
      <c r="BJ43" s="658" t="n"/>
      <c r="BK43" s="658" t="n"/>
      <c r="BL43" s="658" t="n"/>
      <c r="BM43" s="658" t="n"/>
      <c r="BN43" s="658" t="n"/>
      <c r="BO43" s="658" t="n"/>
      <c r="BP43" s="658" t="n"/>
    </row>
    <row r="44" ht="14.25" customHeight="1" s="7635">
      <c r="A44" s="1277" t="n"/>
      <c r="B44" s="8519" t="n">
        <v>16</v>
      </c>
      <c r="D44" s="2100" t="inlineStr">
        <is>
          <t>Taxes</t>
        </is>
      </c>
      <c r="E44" s="2126" t="n"/>
      <c r="F44" s="2126" t="n"/>
      <c r="G44" s="2126" t="n"/>
      <c r="H44" s="2126" t="n"/>
      <c r="I44" s="2126" t="n"/>
      <c r="J44" s="2126" t="n"/>
      <c r="K44" s="2126" t="n"/>
      <c r="L44" s="2126" t="n"/>
      <c r="M44" s="2126" t="n"/>
      <c r="N44" s="2126" t="n"/>
      <c r="O44" s="2126" t="n"/>
      <c r="P44" s="2126" t="n"/>
      <c r="Q44" s="2126" t="n"/>
      <c r="R44" s="2126" t="n"/>
      <c r="S44" s="2198" t="inlineStr">
        <is>
          <t xml:space="preserve">.   .   .   .   .   .   .   .   .   .   .   .   .   .   .   .   .   .   .   .   . </t>
        </is>
      </c>
      <c r="T44" s="6633" t="n">
        <v>16</v>
      </c>
      <c r="U44" s="7638" t="n"/>
      <c r="V44" s="8558" t="n"/>
      <c r="W44" s="11717" t="n"/>
      <c r="X44" s="11717" t="n"/>
      <c r="Y44" s="11717" t="n"/>
      <c r="Z44" s="11717" t="n"/>
      <c r="AA44" s="11717" t="n"/>
      <c r="AB44" s="11717" t="n"/>
      <c r="AC44" s="11718" t="n"/>
      <c r="AD44" s="12115" t="n"/>
      <c r="AE44" s="11717" t="n"/>
      <c r="AF44" s="11717" t="n"/>
      <c r="AG44" s="11717" t="n"/>
      <c r="AH44" s="11717" t="n"/>
      <c r="AI44" s="11718" t="n"/>
      <c r="AJ44" s="8559" t="n"/>
      <c r="AK44" s="11717" t="n"/>
      <c r="AL44" s="11717" t="n"/>
      <c r="AM44" s="11717" t="n"/>
      <c r="AN44" s="11717" t="n"/>
      <c r="AO44" s="11717" t="n"/>
      <c r="AP44" s="1277" t="n"/>
      <c r="BG44" s="769" t="n"/>
      <c r="BH44" s="658" t="n"/>
      <c r="BI44" s="658" t="n"/>
      <c r="BJ44" s="658" t="n"/>
      <c r="BK44" s="658" t="n"/>
      <c r="BL44" s="658" t="n"/>
      <c r="BM44" s="658" t="n"/>
      <c r="BN44" s="658" t="n"/>
      <c r="BO44" s="658" t="n"/>
      <c r="BP44" s="658" t="n"/>
    </row>
    <row r="45" ht="14.25" customHeight="1" s="7635">
      <c r="A45" s="1277" t="n"/>
      <c r="B45" s="8519" t="n">
        <v>17</v>
      </c>
      <c r="D45" s="2100" t="inlineStr">
        <is>
          <t>Utilities</t>
        </is>
      </c>
      <c r="E45" s="2126" t="n"/>
      <c r="F45" s="2126" t="n"/>
      <c r="G45" s="2126" t="n"/>
      <c r="H45" s="2126" t="n"/>
      <c r="I45" s="2126" t="n"/>
      <c r="J45" s="2126" t="n"/>
      <c r="K45" s="2126" t="n"/>
      <c r="L45" s="2126" t="n"/>
      <c r="M45" s="2126" t="n"/>
      <c r="N45" s="2126" t="n"/>
      <c r="O45" s="2126" t="n"/>
      <c r="P45" s="2126" t="n"/>
      <c r="Q45" s="2126" t="n"/>
      <c r="R45" s="2126" t="n"/>
      <c r="S45" s="2198" t="inlineStr">
        <is>
          <t xml:space="preserve">.   .   .   .   .   .   .   .   .   .   .   .   .   .   .   .   .   .   .   .   . </t>
        </is>
      </c>
      <c r="T45" s="6633" t="n">
        <v>17</v>
      </c>
      <c r="U45" s="7638" t="n"/>
      <c r="V45" s="8558" t="n"/>
      <c r="W45" s="11717" t="n"/>
      <c r="X45" s="11717" t="n"/>
      <c r="Y45" s="11717" t="n"/>
      <c r="Z45" s="11717" t="n"/>
      <c r="AA45" s="11717" t="n"/>
      <c r="AB45" s="11717" t="n"/>
      <c r="AC45" s="11718" t="n"/>
      <c r="AD45" s="12115" t="n"/>
      <c r="AE45" s="11717" t="n"/>
      <c r="AF45" s="11717" t="n"/>
      <c r="AG45" s="11717" t="n"/>
      <c r="AH45" s="11717" t="n"/>
      <c r="AI45" s="11718" t="n"/>
      <c r="AJ45" s="8559" t="n"/>
      <c r="AK45" s="11717" t="n"/>
      <c r="AL45" s="11717" t="n"/>
      <c r="AM45" s="11717" t="n"/>
      <c r="AN45" s="11717" t="n"/>
      <c r="AO45" s="11717" t="n"/>
      <c r="AP45" s="1277" t="n"/>
      <c r="AQ45" s="2875" t="n"/>
      <c r="AR45" s="2875" t="n"/>
      <c r="AS45" s="2875" t="n"/>
      <c r="AT45" s="2875" t="n"/>
      <c r="AU45" s="2875" t="n"/>
      <c r="BG45" s="769" t="n"/>
      <c r="BH45" s="658" t="n"/>
      <c r="BI45" s="658" t="n"/>
      <c r="BJ45" s="658" t="n"/>
      <c r="BK45" s="658" t="n"/>
      <c r="BL45" s="658" t="n"/>
      <c r="BM45" s="658" t="n"/>
      <c r="BN45" s="658" t="n"/>
      <c r="BO45" s="658" t="n"/>
      <c r="BP45" s="658" t="n"/>
    </row>
    <row r="46" ht="14.25" customHeight="1" s="7635">
      <c r="A46" s="1277" t="n"/>
      <c r="B46" s="8519" t="n">
        <v>18</v>
      </c>
      <c r="D46" s="2100" t="inlineStr">
        <is>
          <t>Depreciation expense or depletion</t>
        </is>
      </c>
      <c r="E46" s="2126" t="n"/>
      <c r="F46" s="2126" t="n"/>
      <c r="G46" s="2126" t="n"/>
      <c r="H46" s="2126" t="n"/>
      <c r="I46" s="2126" t="n"/>
      <c r="J46" s="2126" t="n"/>
      <c r="K46" s="2126" t="n"/>
      <c r="L46" s="2126" t="n"/>
      <c r="M46" s="2126" t="n"/>
      <c r="N46" s="2126" t="n"/>
      <c r="O46" s="2126" t="n"/>
      <c r="P46" s="2126" t="n"/>
      <c r="Q46" s="2126" t="n"/>
      <c r="R46" s="2126" t="n"/>
      <c r="S46" s="2198" t="inlineStr">
        <is>
          <t xml:space="preserve">.   .   .   .   .   .   .   .   . </t>
        </is>
      </c>
      <c r="T46" s="6633" t="n">
        <v>18</v>
      </c>
      <c r="U46" s="7638" t="n"/>
      <c r="V46" s="8558" t="n"/>
      <c r="W46" s="11717" t="n"/>
      <c r="X46" s="11717" t="n"/>
      <c r="Y46" s="11717" t="n"/>
      <c r="Z46" s="11717" t="n"/>
      <c r="AA46" s="11717" t="n"/>
      <c r="AB46" s="11717" t="n"/>
      <c r="AC46" s="11718" t="n"/>
      <c r="AD46" s="12115" t="n"/>
      <c r="AE46" s="11717" t="n"/>
      <c r="AF46" s="11717" t="n"/>
      <c r="AG46" s="11717" t="n"/>
      <c r="AH46" s="11717" t="n"/>
      <c r="AI46" s="11718" t="n"/>
      <c r="AJ46" s="8559" t="n"/>
      <c r="AK46" s="11717" t="n"/>
      <c r="AL46" s="11717" t="n"/>
      <c r="AM46" s="11717" t="n"/>
      <c r="AN46" s="11717" t="n"/>
      <c r="AO46" s="11717" t="n"/>
      <c r="AP46" s="1277" t="n"/>
      <c r="AQ46" s="2875" t="n"/>
      <c r="AR46" s="7642" t="inlineStr">
        <is>
          <t>Overrides</t>
        </is>
      </c>
      <c r="AU46" s="2875" t="n"/>
      <c r="BG46" s="769" t="n"/>
      <c r="BH46" s="658" t="n"/>
      <c r="BI46" s="658" t="n"/>
      <c r="BJ46" s="658" t="n"/>
      <c r="BK46" s="658" t="n"/>
      <c r="BL46" s="658" t="n"/>
      <c r="BM46" s="658" t="n"/>
      <c r="BN46" s="658" t="n"/>
      <c r="BO46" s="658" t="n"/>
      <c r="BP46" s="658" t="n"/>
    </row>
    <row r="47" ht="14.25" customHeight="1" s="7635">
      <c r="A47" s="1277" t="n"/>
      <c r="B47" s="8519" t="n">
        <v>19</v>
      </c>
      <c r="D47" s="2100" t="inlineStr">
        <is>
          <t>Other (list)</t>
        </is>
      </c>
      <c r="E47" s="2126" t="n"/>
      <c r="F47" s="2126" t="n"/>
      <c r="G47" s="2126" t="n"/>
      <c r="H47" s="8560" t="n"/>
      <c r="I47" s="11730" t="n"/>
      <c r="J47" s="11730" t="n"/>
      <c r="K47" s="11730" t="n"/>
      <c r="L47" s="11730" t="n"/>
      <c r="M47" s="11730" t="n"/>
      <c r="N47" s="11730" t="n"/>
      <c r="O47" s="11730" t="n"/>
      <c r="P47" s="11730" t="n"/>
      <c r="Q47" s="11730" t="n"/>
      <c r="R47" s="11730" t="n"/>
      <c r="S47" s="4800" t="n"/>
      <c r="T47" s="6633" t="n">
        <v>19</v>
      </c>
      <c r="U47" s="7638" t="n"/>
      <c r="V47" s="8558" t="n"/>
      <c r="W47" s="11717" t="n"/>
      <c r="X47" s="11717" t="n"/>
      <c r="Y47" s="11717" t="n"/>
      <c r="Z47" s="11717" t="n"/>
      <c r="AA47" s="11717" t="n"/>
      <c r="AB47" s="11717" t="n"/>
      <c r="AC47" s="11718" t="n"/>
      <c r="AD47" s="12115" t="n"/>
      <c r="AE47" s="11717" t="n"/>
      <c r="AF47" s="11717" t="n"/>
      <c r="AG47" s="11717" t="n"/>
      <c r="AH47" s="11717" t="n"/>
      <c r="AI47" s="11718" t="n"/>
      <c r="AJ47" s="8559" t="n"/>
      <c r="AK47" s="11717" t="n"/>
      <c r="AL47" s="11717" t="n"/>
      <c r="AM47" s="11717" t="n"/>
      <c r="AN47" s="11717" t="n"/>
      <c r="AO47" s="11717" t="n"/>
      <c r="AP47" s="1277" t="n"/>
      <c r="AQ47" s="2875" t="n"/>
      <c r="AR47" s="2875" t="n"/>
      <c r="AS47" s="2875" t="n"/>
      <c r="AT47" s="2875" t="n"/>
      <c r="AU47" s="2875" t="n"/>
      <c r="BG47" s="769" t="n"/>
      <c r="BH47" s="658" t="n"/>
      <c r="BI47" s="658" t="n"/>
      <c r="BJ47" s="658" t="n"/>
      <c r="BK47" s="658" t="n"/>
      <c r="BL47" s="658" t="n"/>
      <c r="BM47" s="658" t="n"/>
      <c r="BN47" s="658" t="n"/>
      <c r="BO47" s="658" t="n"/>
      <c r="BP47" s="658" t="n"/>
    </row>
    <row r="48" ht="14.25" customHeight="1" s="7635">
      <c r="A48" s="1277" t="n"/>
      <c r="B48" s="8519" t="n">
        <v>20</v>
      </c>
      <c r="D48" s="2100" t="inlineStr">
        <is>
          <t>Total expenses. Add lines 5 through 19</t>
        </is>
      </c>
      <c r="E48" s="2126" t="n"/>
      <c r="F48" s="2126" t="n"/>
      <c r="G48" s="2126" t="n"/>
      <c r="H48" s="2126" t="n"/>
      <c r="I48" s="2126" t="n"/>
      <c r="J48" s="2126" t="n"/>
      <c r="K48" s="2126" t="n"/>
      <c r="L48" s="2126" t="n"/>
      <c r="M48" s="2126" t="n"/>
      <c r="N48" s="2126" t="n"/>
      <c r="O48" s="2126" t="n"/>
      <c r="P48" s="2126" t="n"/>
      <c r="Q48" s="2126" t="n"/>
      <c r="R48" s="2126" t="n"/>
      <c r="S48" s="2198" t="inlineStr">
        <is>
          <t xml:space="preserve">.   .   .   .   .   .   . </t>
        </is>
      </c>
      <c r="T48" s="6633" t="n">
        <v>20</v>
      </c>
      <c r="U48" s="7638" t="n"/>
      <c r="V48" s="8535">
        <f>IF(AR48&lt;&gt;"",ROUND(AR48,0),ROUND(SUM(V33:AC47),0))</f>
        <v/>
      </c>
      <c r="W48" s="7637" t="n"/>
      <c r="X48" s="7637" t="n"/>
      <c r="Y48" s="7637" t="n"/>
      <c r="Z48" s="7637" t="n"/>
      <c r="AA48" s="7637" t="n"/>
      <c r="AB48" s="7637" t="n"/>
      <c r="AC48" s="7638" t="n"/>
      <c r="AD48" s="12116">
        <f>IF(AS48&lt;&gt;"",ROUND(AS48,0),ROUND(SUM(AD33:AI47),0))</f>
        <v/>
      </c>
      <c r="AE48" s="7637" t="n"/>
      <c r="AF48" s="7637" t="n"/>
      <c r="AG48" s="7637" t="n"/>
      <c r="AH48" s="7637" t="n"/>
      <c r="AI48" s="7638" t="n"/>
      <c r="AJ48" s="8551">
        <f>IF(AT48&lt;&gt;"",ROUND(AT48,0),ROUND(SUM(AJ33:AO47),0))</f>
        <v/>
      </c>
      <c r="AK48" s="8412" t="n"/>
      <c r="AL48" s="8412" t="n"/>
      <c r="AM48" s="8412" t="n"/>
      <c r="AN48" s="8412" t="n"/>
      <c r="AO48" s="8412" t="n"/>
      <c r="AP48" s="1277" t="n"/>
      <c r="AQ48" s="2875" t="n"/>
      <c r="AR48" s="777" t="n"/>
      <c r="AS48" s="777" t="n"/>
      <c r="AT48" s="777" t="n"/>
      <c r="AU48" s="2875" t="n"/>
      <c r="BG48" s="769" t="n"/>
      <c r="BH48" s="658" t="n"/>
      <c r="BI48" s="658" t="n"/>
      <c r="BJ48" s="658" t="n"/>
      <c r="BK48" s="658" t="n"/>
      <c r="BL48" s="658" t="n"/>
      <c r="BM48" s="658" t="n"/>
      <c r="BN48" s="658" t="n"/>
      <c r="BO48" s="658" t="n"/>
      <c r="BP48" s="658" t="n"/>
    </row>
    <row r="49" ht="14.25" customHeight="1" s="7635">
      <c r="A49" s="1277" t="n"/>
      <c r="B49" s="8519" t="n">
        <v>21</v>
      </c>
      <c r="D49" s="2100" t="inlineStr">
        <is>
          <t>Subtract line 20 from line 3 (rents) and/or 4 (royalties).</t>
        </is>
      </c>
      <c r="E49" s="2126" t="n"/>
      <c r="F49" s="2126" t="n"/>
      <c r="G49" s="2126" t="n"/>
      <c r="H49" s="2126" t="n"/>
      <c r="I49" s="2126" t="n"/>
      <c r="J49" s="2126" t="n"/>
      <c r="K49" s="2126" t="n"/>
      <c r="L49" s="2126" t="n"/>
      <c r="M49" s="2126" t="n"/>
      <c r="N49" s="2126" t="n"/>
      <c r="O49" s="2126" t="n"/>
      <c r="P49" s="2126" t="n"/>
      <c r="Q49" s="2126" t="n"/>
      <c r="R49" s="2126" t="n"/>
      <c r="S49" s="4800" t="n"/>
      <c r="T49" s="6643" t="n"/>
      <c r="U49" s="10091" t="n"/>
      <c r="V49" s="12117" t="n"/>
      <c r="W49" s="7839" t="n"/>
      <c r="X49" s="7839" t="n"/>
      <c r="Y49" s="7839" t="n"/>
      <c r="Z49" s="7839" t="n"/>
      <c r="AA49" s="7839" t="n"/>
      <c r="AB49" s="7839" t="n"/>
      <c r="AC49" s="10091" t="n"/>
      <c r="AD49" s="12117" t="n"/>
      <c r="AE49" s="7839" t="n"/>
      <c r="AF49" s="7839" t="n"/>
      <c r="AG49" s="7839" t="n"/>
      <c r="AH49" s="7839" t="n"/>
      <c r="AI49" s="10091" t="n"/>
      <c r="AJ49" s="8554" t="n"/>
      <c r="AK49" s="7839" t="n"/>
      <c r="AL49" s="7839" t="n"/>
      <c r="AM49" s="7839" t="n"/>
      <c r="AN49" s="7839" t="n"/>
      <c r="AO49" s="7839" t="n"/>
      <c r="AP49" s="1277" t="n"/>
      <c r="AQ49" s="2875" t="n"/>
      <c r="AR49" s="2875" t="n"/>
      <c r="AS49" s="2875" t="n"/>
      <c r="AT49" s="2875" t="n"/>
      <c r="AU49" s="2875" t="n"/>
      <c r="AX49" s="8043" t="n"/>
      <c r="AY49" s="12118" t="inlineStr">
        <is>
          <t>A</t>
        </is>
      </c>
      <c r="AZ49" s="11734" t="n"/>
      <c r="BA49" s="12118" t="inlineStr">
        <is>
          <t>B</t>
        </is>
      </c>
      <c r="BB49" s="11734" t="n"/>
      <c r="BC49" s="12118" t="inlineStr">
        <is>
          <t>C</t>
        </is>
      </c>
      <c r="BD49" s="11734" t="n"/>
      <c r="BG49" s="769" t="n"/>
      <c r="BH49" s="658" t="n"/>
      <c r="BI49" s="658" t="n"/>
      <c r="BJ49" s="658" t="n"/>
      <c r="BK49" s="658" t="n"/>
      <c r="BL49" s="658" t="n"/>
      <c r="BM49" s="658" t="n"/>
      <c r="BN49" s="658" t="n"/>
      <c r="BO49" s="658" t="n"/>
      <c r="BP49" s="658" t="n"/>
    </row>
    <row r="50" ht="14.25" customHeight="1" s="7635">
      <c r="A50" s="1277" t="n"/>
      <c r="B50" s="8519" t="n"/>
      <c r="D50" s="2100" t="inlineStr">
        <is>
          <t>If result is a (loss), see instructions to find out if you</t>
        </is>
      </c>
      <c r="E50" s="2126" t="n"/>
      <c r="F50" s="2126" t="n"/>
      <c r="G50" s="2126" t="n"/>
      <c r="H50" s="2126" t="n"/>
      <c r="I50" s="2126" t="n"/>
      <c r="J50" s="2126" t="n"/>
      <c r="K50" s="2126" t="n"/>
      <c r="L50" s="2126" t="n"/>
      <c r="M50" s="2126" t="n"/>
      <c r="N50" s="2126" t="n"/>
      <c r="O50" s="2126" t="n"/>
      <c r="P50" s="2126" t="n"/>
      <c r="Q50" s="2126" t="n"/>
      <c r="R50" s="2126" t="n"/>
      <c r="S50" s="4800" t="n"/>
      <c r="T50" s="6656" t="n"/>
      <c r="U50" s="7636" t="n"/>
      <c r="V50" s="12119" t="n"/>
      <c r="AC50" s="7636" t="n"/>
      <c r="AD50" s="12119" t="n"/>
      <c r="AI50" s="7636" t="n"/>
      <c r="AJ50" s="8548" t="n"/>
      <c r="AP50" s="1277" t="n"/>
      <c r="AQ50" s="2875" t="n"/>
      <c r="AR50" s="2875" t="n"/>
      <c r="AS50" s="2875" t="n"/>
      <c r="AT50" s="2875" t="n"/>
      <c r="AU50" s="2875" t="n"/>
      <c r="AX50" s="8043" t="n"/>
      <c r="AY50" s="250" t="inlineStr">
        <is>
          <t>Gains</t>
        </is>
      </c>
      <c r="AZ50" s="250" t="inlineStr">
        <is>
          <t>Losses</t>
        </is>
      </c>
      <c r="BA50" s="250" t="inlineStr">
        <is>
          <t>Gains</t>
        </is>
      </c>
      <c r="BB50" s="250" t="inlineStr">
        <is>
          <t>Losses</t>
        </is>
      </c>
      <c r="BC50" s="250" t="inlineStr">
        <is>
          <t>Gains</t>
        </is>
      </c>
      <c r="BD50" s="250" t="inlineStr">
        <is>
          <t>Losses</t>
        </is>
      </c>
      <c r="BG50" s="769" t="n"/>
      <c r="BH50" s="658" t="n"/>
      <c r="BI50" s="658" t="n"/>
      <c r="BJ50" s="658" t="n"/>
      <c r="BK50" s="658" t="n"/>
      <c r="BL50" s="658" t="n"/>
      <c r="BM50" s="658" t="n"/>
      <c r="BN50" s="658" t="n"/>
      <c r="BO50" s="658" t="n"/>
      <c r="BP50" s="658" t="n"/>
    </row>
    <row r="51" ht="14.25" customHeight="1" s="7635">
      <c r="A51" s="1277" t="n"/>
      <c r="B51" s="8519" t="n"/>
      <c r="D51" s="2100" t="inlineStr">
        <is>
          <t>must file Form 6198</t>
        </is>
      </c>
      <c r="E51" s="2126" t="n"/>
      <c r="F51" s="2126" t="n"/>
      <c r="G51" s="2126" t="n"/>
      <c r="H51" s="2126" t="n"/>
      <c r="I51" s="2126" t="n"/>
      <c r="J51" s="2126" t="n"/>
      <c r="K51" s="2126" t="n"/>
      <c r="L51" s="2126" t="n"/>
      <c r="M51" s="2126" t="n"/>
      <c r="N51" s="2126" t="n"/>
      <c r="O51" s="2126" t="n"/>
      <c r="P51" s="2126" t="n"/>
      <c r="Q51" s="2126" t="n"/>
      <c r="R51" s="2126" t="n"/>
      <c r="S51" s="2198" t="inlineStr">
        <is>
          <t xml:space="preserve">.   .   .   .   .   .   .   .   .   .   .   .   .   .   . </t>
        </is>
      </c>
      <c r="T51" s="6633" t="n">
        <v>21</v>
      </c>
      <c r="U51" s="7638" t="n"/>
      <c r="V51" s="12116">
        <f>IF(AR51&lt;&gt;"",ROUND(AR51,0),ROUND(SUM(V30,V31,-V48),0))</f>
        <v/>
      </c>
      <c r="W51" s="7637" t="n"/>
      <c r="X51" s="7637" t="n"/>
      <c r="Y51" s="7637" t="n"/>
      <c r="Z51" s="7637" t="n"/>
      <c r="AA51" s="7637" t="n"/>
      <c r="AB51" s="7637" t="n"/>
      <c r="AC51" s="7638" t="n"/>
      <c r="AD51" s="12116">
        <f>IF(AS51&lt;&gt;"",ROUND(AS51,0),ROUND(SUM(AD30,AD31,-AD48),0))</f>
        <v/>
      </c>
      <c r="AE51" s="7637" t="n"/>
      <c r="AF51" s="7637" t="n"/>
      <c r="AG51" s="7637" t="n"/>
      <c r="AH51" s="7637" t="n"/>
      <c r="AI51" s="7638" t="n"/>
      <c r="AJ51" s="8533">
        <f>IF(AT51&lt;&gt;"",ROUND(AT51,0),ROUND(SUM(AJ30,AJ31,-AJ48),0))</f>
        <v/>
      </c>
      <c r="AK51" s="7637" t="n"/>
      <c r="AL51" s="7637" t="n"/>
      <c r="AM51" s="7637" t="n"/>
      <c r="AN51" s="7637" t="n"/>
      <c r="AO51" s="7637" t="n"/>
      <c r="AP51" s="1277" t="n"/>
      <c r="AQ51" s="2875" t="n"/>
      <c r="AR51" s="777" t="n"/>
      <c r="AS51" s="777" t="n"/>
      <c r="AT51" s="777" t="n"/>
      <c r="AU51" s="2875" t="n"/>
      <c r="AX51" s="251" t="inlineStr">
        <is>
          <t>Line 21</t>
        </is>
      </c>
      <c r="AY51" s="249">
        <f>IF(V51&gt;0,V51,0)</f>
        <v/>
      </c>
      <c r="AZ51" s="249">
        <f>IF(V51&lt;0,V51,0)</f>
        <v/>
      </c>
      <c r="BA51" s="249">
        <f>IF(AD51&gt;0,AD51,0)</f>
        <v/>
      </c>
      <c r="BB51" s="249">
        <f>IF(AD51&lt;0,AD51,0)</f>
        <v/>
      </c>
      <c r="BC51" s="249">
        <f>IF(AJ51&gt;0,AJ51,0)</f>
        <v/>
      </c>
      <c r="BD51" s="249">
        <f>IF(AJ51&lt;0,AJ51,0)</f>
        <v/>
      </c>
      <c r="BG51" s="769" t="n"/>
      <c r="BH51" s="658" t="n"/>
      <c r="BI51" s="658" t="n"/>
      <c r="BJ51" s="658" t="n"/>
      <c r="BK51" s="658" t="n"/>
      <c r="BL51" s="658" t="n"/>
      <c r="BM51" s="658" t="n"/>
      <c r="BN51" s="658" t="n"/>
      <c r="BO51" s="658" t="n"/>
      <c r="BP51" s="658" t="n"/>
    </row>
    <row r="52" ht="14.25" customHeight="1" s="7635">
      <c r="A52" s="770" t="n"/>
      <c r="B52" s="8519" t="n">
        <v>22</v>
      </c>
      <c r="D52" s="2100" t="inlineStr">
        <is>
          <t>Deductible rental real estate loss after limitation, if any,</t>
        </is>
      </c>
      <c r="E52" s="2126" t="n"/>
      <c r="F52" s="2126" t="n"/>
      <c r="G52" s="2126" t="n"/>
      <c r="H52" s="2126" t="n"/>
      <c r="I52" s="2126" t="n"/>
      <c r="J52" s="2126" t="n"/>
      <c r="K52" s="2126" t="n"/>
      <c r="L52" s="2126" t="n"/>
      <c r="M52" s="2126" t="n"/>
      <c r="N52" s="2126" t="n"/>
      <c r="O52" s="2126" t="n"/>
      <c r="P52" s="2126" t="n"/>
      <c r="Q52" s="2126" t="n"/>
      <c r="R52" s="2126" t="n"/>
      <c r="S52" s="4800" t="n"/>
      <c r="T52" s="6656" t="n"/>
      <c r="U52" s="7636" t="n"/>
      <c r="V52" s="12120">
        <f>IF(AND(V51&lt;&gt;"",V51&lt;0,$A52="",$AS52,$AT52),"See Form 8582.","")</f>
        <v/>
      </c>
      <c r="AC52" s="7636" t="n"/>
      <c r="AD52" s="8542">
        <f>IF(AND(AD51&lt;&gt;"",AD51&lt;0,$A52="",$AS52,$AT52),"See Form 8582.","")</f>
        <v/>
      </c>
      <c r="AJ52" s="8542">
        <f>IF(AND(AJ51&lt;&gt;"",AJ51&lt;0,$A52="",$AS52,$AT52),"See Form 8582.","")</f>
        <v/>
      </c>
      <c r="AP52" s="1277" t="n"/>
      <c r="AQ52" s="2875" t="n"/>
      <c r="AR52" s="6549">
        <f>'8582'!$AO$33</f>
        <v/>
      </c>
      <c r="AS52" s="6549">
        <f>OR(AND(File_Marr_Sep&lt;&gt;"",LivedApart,Adj_Gross_Inc&gt;AR52/2),Adj_Gross_Inc&gt;AR52)</f>
        <v/>
      </c>
      <c r="AT52" s="6549">
        <f>OR(AND(V51&lt;&gt;"",V51&lt;0),AND(AD51&lt;&gt;"",AD51&lt;0),AND(AJ51&lt;&gt;"",AJ51&lt;0))</f>
        <v/>
      </c>
      <c r="AU52" s="2875" t="n"/>
      <c r="AV52">
        <f>AND($A52="",$AS52,$AT52)</f>
        <v/>
      </c>
      <c r="AX52" s="251" t="inlineStr">
        <is>
          <t>Line 22</t>
        </is>
      </c>
      <c r="AY52" s="4810" t="inlineStr">
        <is>
          <t>---</t>
        </is>
      </c>
      <c r="AZ52" s="249">
        <f>IF(W53&lt;&gt;"",-W53,0)</f>
        <v/>
      </c>
      <c r="BA52" s="4810" t="inlineStr">
        <is>
          <t>---</t>
        </is>
      </c>
      <c r="BB52" s="249">
        <f>IF(AE53&lt;&gt;"",-AE53,0)</f>
        <v/>
      </c>
      <c r="BC52" s="4810" t="inlineStr">
        <is>
          <t>---</t>
        </is>
      </c>
      <c r="BD52" s="249">
        <f>IF(AK53&lt;&gt;"",-AK53,0)</f>
        <v/>
      </c>
      <c r="BG52" s="769" t="n"/>
      <c r="BH52" s="658" t="n"/>
      <c r="BI52" s="658" t="n"/>
      <c r="BJ52" s="658" t="n"/>
      <c r="BK52" s="658" t="n"/>
      <c r="BL52" s="658" t="n"/>
      <c r="BM52" s="658" t="n"/>
      <c r="BN52" s="658" t="n"/>
      <c r="BO52" s="658" t="n"/>
      <c r="BP52" s="658" t="n"/>
    </row>
    <row r="53" ht="14.25" customHeight="1" s="7635">
      <c r="A53" s="1277" t="n"/>
      <c r="B53" s="8519" t="n"/>
      <c r="D53" s="2100" t="inlineStr">
        <is>
          <t>on Form 8582 (see instructions)</t>
        </is>
      </c>
      <c r="E53" s="2126" t="n"/>
      <c r="F53" s="2126" t="n"/>
      <c r="G53" s="2126" t="n"/>
      <c r="H53" s="2126" t="n"/>
      <c r="I53" s="2126" t="n"/>
      <c r="J53" s="2126" t="n"/>
      <c r="K53" s="2126" t="n"/>
      <c r="L53" s="2126" t="n"/>
      <c r="M53" s="2126" t="n"/>
      <c r="N53" s="2126" t="n"/>
      <c r="O53" s="2126" t="n"/>
      <c r="P53" s="2126" t="n"/>
      <c r="Q53" s="2126" t="n"/>
      <c r="R53" s="2126" t="n"/>
      <c r="S53" s="2198" t="inlineStr">
        <is>
          <t xml:space="preserve">.   .   .   .   .   .   .   .   . </t>
        </is>
      </c>
      <c r="T53" s="6633" t="n">
        <v>22</v>
      </c>
      <c r="U53" s="7638" t="n"/>
      <c r="V53" s="4811" t="inlineStr">
        <is>
          <t>(</t>
        </is>
      </c>
      <c r="W53" s="8534">
        <f>IF(AND(AR53&lt;0,AR53&lt;&gt;""),-ROUND(AR53,0),IF(AND(AR53&gt;=0,AR53&lt;&gt;""),ROUND(AR53,0),IF(AND(D21&lt;&gt;6,V51&lt;0),ROUND(-V51,0),"")))</f>
        <v/>
      </c>
      <c r="X53" s="7637" t="n"/>
      <c r="Y53" s="7637" t="n"/>
      <c r="Z53" s="7637" t="n"/>
      <c r="AA53" s="7637" t="n"/>
      <c r="AB53" s="7637" t="n"/>
      <c r="AC53" s="8535" t="inlineStr">
        <is>
          <t>)</t>
        </is>
      </c>
      <c r="AD53" s="4811" t="inlineStr">
        <is>
          <t>(</t>
        </is>
      </c>
      <c r="AE53" s="8534">
        <f>IF(AND(AS53&lt;0,AS53&lt;&gt;""),-ROUND(AS53,0),IF(AND(AS53&gt;=0,AS53&lt;&gt;""),ROUND(AS53,0),IF(AND(D22&lt;&gt;6,AD51&lt;0),ROUND(-AD51,0),"")))</f>
        <v/>
      </c>
      <c r="AF53" s="7637" t="n"/>
      <c r="AG53" s="7637" t="n"/>
      <c r="AH53" s="7637" t="n"/>
      <c r="AI53" s="8535" t="inlineStr">
        <is>
          <t>)</t>
        </is>
      </c>
      <c r="AJ53" s="4811" t="inlineStr">
        <is>
          <t>(</t>
        </is>
      </c>
      <c r="AK53" s="8534">
        <f>IF(AND(AT53&lt;0,AT53&lt;&gt;""),-ROUND(AT53,0),IF(AND(AT53&gt;=0,AT53&lt;&gt;""),ROUND(AT53,0),IF(AND(D23&lt;&gt;6,AJ51&lt;0),ROUND(-AJ51,0),"")))</f>
        <v/>
      </c>
      <c r="AL53" s="7637" t="n"/>
      <c r="AM53" s="7637" t="n"/>
      <c r="AN53" s="7637" t="n"/>
      <c r="AO53" s="8534" t="inlineStr">
        <is>
          <t>)</t>
        </is>
      </c>
      <c r="AP53" s="1277" t="n"/>
      <c r="AQ53" s="2875" t="n"/>
      <c r="AR53" s="777" t="n"/>
      <c r="AS53" s="777" t="n"/>
      <c r="AT53" s="777" t="n"/>
      <c r="AU53" s="2875" t="n"/>
      <c r="AV53">
        <f>AND($A52="",$AS52,$AT52)</f>
        <v/>
      </c>
      <c r="AX53" s="251" t="n"/>
      <c r="AY53" s="251" t="inlineStr">
        <is>
          <t>Royalty losses</t>
        </is>
      </c>
      <c r="AZ53" s="249">
        <f>IF(D21=6,AZ51,0)</f>
        <v/>
      </c>
      <c r="BB53" s="249">
        <f>IF(D22=6,BB51,0)</f>
        <v/>
      </c>
      <c r="BD53" s="249">
        <f>IF(D23=6,BD51,0)</f>
        <v/>
      </c>
      <c r="BG53" s="769" t="n"/>
      <c r="BH53" s="658" t="n"/>
      <c r="BI53" s="658" t="n"/>
      <c r="BJ53" s="658" t="n"/>
      <c r="BK53" s="658" t="n"/>
      <c r="BL53" s="658" t="n"/>
      <c r="BM53" s="658" t="n"/>
      <c r="BN53" s="658" t="n"/>
      <c r="BO53" s="658" t="n"/>
      <c r="BP53" s="658" t="n"/>
    </row>
    <row r="54" ht="14.25" customHeight="1" s="7635">
      <c r="A54" s="1277" t="n"/>
      <c r="B54" s="8519" t="inlineStr">
        <is>
          <t>23a</t>
        </is>
      </c>
      <c r="D54" s="2100" t="inlineStr">
        <is>
          <t>Total of all amounts reported on line 3 for all rental properties</t>
        </is>
      </c>
      <c r="E54" s="2126" t="n"/>
      <c r="F54" s="2126" t="n"/>
      <c r="G54" s="2126" t="n"/>
      <c r="H54" s="2126" t="n"/>
      <c r="I54" s="2126" t="n"/>
      <c r="J54" s="2126" t="n"/>
      <c r="K54" s="2126" t="n"/>
      <c r="L54" s="2126" t="n"/>
      <c r="M54" s="2126" t="n"/>
      <c r="N54" s="2126" t="n"/>
      <c r="O54" s="2126" t="n"/>
      <c r="P54" s="2126" t="n"/>
      <c r="Q54" s="2126" t="n"/>
      <c r="R54" s="2126" t="n"/>
      <c r="S54" s="2126" t="n"/>
      <c r="T54" s="2126" t="n"/>
      <c r="U54" s="2126" t="n"/>
      <c r="V54" s="2126" t="n"/>
      <c r="W54" s="2126" t="n"/>
      <c r="X54" s="2126" t="n"/>
      <c r="Y54" s="2126" t="n"/>
      <c r="Z54" s="2126" t="n"/>
      <c r="AA54" s="2198" t="inlineStr">
        <is>
          <t xml:space="preserve">.   .   .   .   .   .   .   . </t>
        </is>
      </c>
      <c r="AB54" s="6634" t="inlineStr">
        <is>
          <t>23a</t>
        </is>
      </c>
      <c r="AC54" s="11734" t="n"/>
      <c r="AD54" s="12116">
        <f>IF(AR54&lt;&gt;"",ROUND(AR54,0),ROUND(BC24,0))</f>
        <v/>
      </c>
      <c r="AE54" s="7637" t="n"/>
      <c r="AF54" s="7637" t="n"/>
      <c r="AG54" s="7637" t="n"/>
      <c r="AH54" s="7637" t="n"/>
      <c r="AI54" s="7638" t="n"/>
      <c r="AJ54" s="1277" t="n"/>
      <c r="AK54" s="1277" t="n"/>
      <c r="AL54" s="1277" t="n"/>
      <c r="AM54" s="1277" t="n"/>
      <c r="AN54" s="1277" t="n"/>
      <c r="AO54" s="1277" t="n"/>
      <c r="AP54" s="1277" t="n"/>
      <c r="AQ54" s="2875" t="n"/>
      <c r="AR54" s="777" t="n"/>
      <c r="AS54" s="2875" t="n"/>
      <c r="AT54" s="2875" t="n"/>
      <c r="AU54" s="2875" t="n"/>
      <c r="AX54" s="8043" t="n"/>
      <c r="AY54" s="251" t="inlineStr">
        <is>
          <t>Rental Real Estate Losses</t>
        </is>
      </c>
      <c r="AZ54" s="249">
        <f>IF(D21&lt;&gt;6,AZ51,0)</f>
        <v/>
      </c>
      <c r="BB54" s="249">
        <f>IF(D22&lt;&gt;6,BB51,0)</f>
        <v/>
      </c>
      <c r="BD54" s="249">
        <f>IF(D23&lt;&gt;6,BD51,0)</f>
        <v/>
      </c>
      <c r="BG54" s="769" t="n"/>
      <c r="BH54" s="658" t="n"/>
      <c r="BI54" s="658" t="n"/>
      <c r="BJ54" s="658" t="n"/>
      <c r="BK54" s="658" t="n"/>
      <c r="BL54" s="658" t="n"/>
      <c r="BM54" s="658" t="n"/>
      <c r="BN54" s="658" t="n"/>
      <c r="BO54" s="658" t="n"/>
      <c r="BP54" s="658" t="n"/>
    </row>
    <row r="55" ht="14.25" customHeight="1" s="7635">
      <c r="A55" s="1277" t="n"/>
      <c r="B55" s="8531" t="inlineStr">
        <is>
          <t>b</t>
        </is>
      </c>
      <c r="D55" s="2100" t="inlineStr">
        <is>
          <t>Total of all amounts reported on line 4 for all royalty properties</t>
        </is>
      </c>
      <c r="E55" s="2126" t="n"/>
      <c r="F55" s="2126" t="n"/>
      <c r="G55" s="2126" t="n"/>
      <c r="H55" s="2126" t="n"/>
      <c r="I55" s="2126" t="n"/>
      <c r="J55" s="2126" t="n"/>
      <c r="K55" s="2126" t="n"/>
      <c r="L55" s="2126" t="n"/>
      <c r="M55" s="2126" t="n"/>
      <c r="N55" s="2126" t="n"/>
      <c r="O55" s="2126" t="n"/>
      <c r="P55" s="2126" t="n"/>
      <c r="Q55" s="2126" t="n"/>
      <c r="R55" s="2126" t="n"/>
      <c r="S55" s="2126" t="n"/>
      <c r="T55" s="2126" t="n"/>
      <c r="U55" s="2126" t="n"/>
      <c r="V55" s="2126" t="n"/>
      <c r="W55" s="2126" t="n"/>
      <c r="X55" s="2126" t="n"/>
      <c r="Y55" s="2126" t="n"/>
      <c r="Z55" s="2126" t="n"/>
      <c r="AA55" s="2198" t="inlineStr">
        <is>
          <t xml:space="preserve">.   .   .   .   .   .   . </t>
        </is>
      </c>
      <c r="AB55" s="6634" t="inlineStr">
        <is>
          <t>23b</t>
        </is>
      </c>
      <c r="AC55" s="11734" t="n"/>
      <c r="AD55" s="12116">
        <f>IF(AR55&lt;&gt;"",ROUND(AR55,0),ROUND(BC25,0))</f>
        <v/>
      </c>
      <c r="AE55" s="7637" t="n"/>
      <c r="AF55" s="7637" t="n"/>
      <c r="AG55" s="7637" t="n"/>
      <c r="AH55" s="7637" t="n"/>
      <c r="AI55" s="7638" t="n"/>
      <c r="AJ55" s="1277" t="n"/>
      <c r="AK55" s="1277" t="n"/>
      <c r="AL55" s="1277" t="n"/>
      <c r="AM55" s="1277" t="n"/>
      <c r="AN55" s="1277" t="n"/>
      <c r="AO55" s="1277" t="n"/>
      <c r="AP55" s="1277" t="n"/>
      <c r="AQ55" s="2875" t="n"/>
      <c r="AR55" s="777" t="n"/>
      <c r="AS55" s="2875" t="n"/>
      <c r="AT55" s="2875" t="n"/>
      <c r="AU55" s="2875" t="n"/>
      <c r="BG55" s="769" t="n"/>
      <c r="BH55" s="658" t="n"/>
      <c r="BI55" s="658" t="n"/>
      <c r="BJ55" s="658" t="n"/>
      <c r="BK55" s="658" t="n"/>
      <c r="BL55" s="658" t="n"/>
      <c r="BM55" s="658" t="n"/>
      <c r="BN55" s="658" t="n"/>
      <c r="BO55" s="658" t="n"/>
      <c r="BP55" s="658" t="n"/>
    </row>
    <row r="56" ht="14.25" customHeight="1" s="7635">
      <c r="A56" s="1277" t="n"/>
      <c r="B56" s="8531" t="inlineStr">
        <is>
          <t>c</t>
        </is>
      </c>
      <c r="D56" s="2100" t="inlineStr">
        <is>
          <t>Total of all amounts reported on line 12 for all properties</t>
        </is>
      </c>
      <c r="E56" s="2126" t="n"/>
      <c r="F56" s="2126" t="n"/>
      <c r="G56" s="2126" t="n"/>
      <c r="H56" s="2126" t="n"/>
      <c r="I56" s="2126" t="n"/>
      <c r="J56" s="2126" t="n"/>
      <c r="K56" s="2126" t="n"/>
      <c r="L56" s="2126" t="n"/>
      <c r="M56" s="2126" t="n"/>
      <c r="N56" s="2126" t="n"/>
      <c r="O56" s="2126" t="n"/>
      <c r="P56" s="2126" t="n"/>
      <c r="Q56" s="2126" t="n"/>
      <c r="R56" s="2126" t="n"/>
      <c r="S56" s="2126" t="n"/>
      <c r="T56" s="2126" t="n"/>
      <c r="U56" s="2126" t="n"/>
      <c r="V56" s="2126" t="n"/>
      <c r="W56" s="2126" t="n"/>
      <c r="X56" s="2126" t="n"/>
      <c r="Y56" s="2126" t="n"/>
      <c r="Z56" s="2126" t="n"/>
      <c r="AA56" s="2198" t="inlineStr">
        <is>
          <t xml:space="preserve">.   .   .   .   .   .   .   .   .   . </t>
        </is>
      </c>
      <c r="AB56" s="6634" t="inlineStr">
        <is>
          <t>23c</t>
        </is>
      </c>
      <c r="AC56" s="11734" t="n"/>
      <c r="AD56" s="12116">
        <f>IF(AR56&lt;&gt;"",ROUND(AR56,0),ROUND(SUM(V40,AD40,AJ40),0))</f>
        <v/>
      </c>
      <c r="AE56" s="7637" t="n"/>
      <c r="AF56" s="7637" t="n"/>
      <c r="AG56" s="7637" t="n"/>
      <c r="AH56" s="7637" t="n"/>
      <c r="AI56" s="7638" t="n"/>
      <c r="AJ56" s="1277" t="n"/>
      <c r="AK56" s="1277" t="n"/>
      <c r="AL56" s="1277" t="n"/>
      <c r="AM56" s="1277" t="n"/>
      <c r="AN56" s="1277" t="n"/>
      <c r="AO56" s="1277" t="n"/>
      <c r="AP56" s="1277" t="n"/>
      <c r="AQ56" s="2875" t="n"/>
      <c r="AR56" s="777" t="n"/>
      <c r="AS56" s="2875" t="n"/>
      <c r="AT56" s="2875" t="n"/>
      <c r="AU56" s="2875" t="n"/>
      <c r="BG56" s="769" t="n"/>
      <c r="BH56" s="658" t="n"/>
      <c r="BI56" s="658" t="n"/>
      <c r="BJ56" s="658" t="n"/>
      <c r="BK56" s="658" t="n"/>
      <c r="BL56" s="658" t="n"/>
      <c r="BM56" s="658" t="n"/>
      <c r="BN56" s="658" t="n"/>
      <c r="BO56" s="658" t="n"/>
      <c r="BP56" s="658" t="n"/>
    </row>
    <row r="57" ht="14.25" customHeight="1" s="7635">
      <c r="A57" s="1277" t="n"/>
      <c r="B57" s="8531" t="inlineStr">
        <is>
          <t>d</t>
        </is>
      </c>
      <c r="D57" s="2100" t="inlineStr">
        <is>
          <t>Total of all amounts reported on line 18 for all properties</t>
        </is>
      </c>
      <c r="E57" s="2126" t="n"/>
      <c r="F57" s="2126" t="n"/>
      <c r="G57" s="2126" t="n"/>
      <c r="H57" s="2126" t="n"/>
      <c r="I57" s="2126" t="n"/>
      <c r="J57" s="2126" t="n"/>
      <c r="K57" s="2126" t="n"/>
      <c r="L57" s="2126" t="n"/>
      <c r="M57" s="2126" t="n"/>
      <c r="N57" s="2126" t="n"/>
      <c r="O57" s="2126" t="n"/>
      <c r="P57" s="2126" t="n"/>
      <c r="Q57" s="2126" t="n"/>
      <c r="R57" s="2126" t="n"/>
      <c r="S57" s="2126" t="n"/>
      <c r="T57" s="2126" t="n"/>
      <c r="U57" s="2126" t="n"/>
      <c r="V57" s="2126" t="n"/>
      <c r="W57" s="2126" t="n"/>
      <c r="X57" s="2126" t="n"/>
      <c r="Y57" s="2126" t="n"/>
      <c r="Z57" s="2126" t="n"/>
      <c r="AA57" s="2198" t="inlineStr">
        <is>
          <t xml:space="preserve">.   .   .   .   .   .   .   .   .   . </t>
        </is>
      </c>
      <c r="AB57" s="6634" t="inlineStr">
        <is>
          <t>23d</t>
        </is>
      </c>
      <c r="AC57" s="11734" t="n"/>
      <c r="AD57" s="12116">
        <f>IF(AR57&lt;&gt;"",ROUND(AR57,0),ROUND(SUM(V46,AD46,AJ46),0))</f>
        <v/>
      </c>
      <c r="AE57" s="7637" t="n"/>
      <c r="AF57" s="7637" t="n"/>
      <c r="AG57" s="7637" t="n"/>
      <c r="AH57" s="7637" t="n"/>
      <c r="AI57" s="7638" t="n"/>
      <c r="AJ57" s="1277" t="n"/>
      <c r="AK57" s="1277" t="n"/>
      <c r="AL57" s="1277" t="n"/>
      <c r="AM57" s="1277" t="n"/>
      <c r="AN57" s="1277" t="n"/>
      <c r="AO57" s="1277" t="n"/>
      <c r="AP57" s="1277" t="n"/>
      <c r="AQ57" s="2875" t="n"/>
      <c r="AR57" s="777" t="n"/>
      <c r="AS57" s="2875" t="n"/>
      <c r="AT57" s="2875" t="n"/>
      <c r="AU57" s="2875" t="n"/>
      <c r="BG57" s="769" t="n"/>
      <c r="BH57" s="658" t="n"/>
      <c r="BI57" s="658" t="n"/>
      <c r="BJ57" s="658" t="n"/>
      <c r="BK57" s="658" t="n"/>
      <c r="BL57" s="658" t="n"/>
      <c r="BM57" s="658" t="n"/>
      <c r="BN57" s="658" t="n"/>
      <c r="BO57" s="658" t="n"/>
      <c r="BP57" s="658" t="n"/>
    </row>
    <row r="58" ht="14.25" customHeight="1" s="7635">
      <c r="A58" s="1277" t="n"/>
      <c r="B58" s="8531" t="inlineStr">
        <is>
          <t>e</t>
        </is>
      </c>
      <c r="D58" s="2100" t="inlineStr">
        <is>
          <t>Total of all amounts reported on line 20 for all properties</t>
        </is>
      </c>
      <c r="E58" s="2126" t="n"/>
      <c r="F58" s="2126" t="n"/>
      <c r="G58" s="2126" t="n"/>
      <c r="H58" s="2126" t="n"/>
      <c r="I58" s="2126" t="n"/>
      <c r="J58" s="2126" t="n"/>
      <c r="K58" s="2126" t="n"/>
      <c r="L58" s="2126" t="n"/>
      <c r="M58" s="2126" t="n"/>
      <c r="N58" s="2126" t="n"/>
      <c r="O58" s="2126" t="n"/>
      <c r="P58" s="2126" t="n"/>
      <c r="Q58" s="2126" t="n"/>
      <c r="R58" s="2126" t="n"/>
      <c r="S58" s="2126" t="n"/>
      <c r="T58" s="2126" t="n"/>
      <c r="U58" s="2126" t="n"/>
      <c r="V58" s="2126" t="n"/>
      <c r="W58" s="2126" t="n"/>
      <c r="X58" s="2126" t="n"/>
      <c r="Y58" s="2126" t="n"/>
      <c r="Z58" s="2126" t="n"/>
      <c r="AA58" s="2198" t="inlineStr">
        <is>
          <t xml:space="preserve">.   .   .   .   .   .   .   .   .   . </t>
        </is>
      </c>
      <c r="AB58" s="6634" t="inlineStr">
        <is>
          <t>23e</t>
        </is>
      </c>
      <c r="AC58" s="11734" t="n"/>
      <c r="AD58" s="12116">
        <f>IF(AR58&lt;&gt;"",ROUND(AR58,0),ROUND(SUM(V48,AD48,AJ48),0))</f>
        <v/>
      </c>
      <c r="AE58" s="7637" t="n"/>
      <c r="AF58" s="7637" t="n"/>
      <c r="AG58" s="7637" t="n"/>
      <c r="AH58" s="7637" t="n"/>
      <c r="AI58" s="7638" t="n"/>
      <c r="AJ58" s="1277" t="n"/>
      <c r="AK58" s="1277" t="n"/>
      <c r="AL58" s="1277" t="n"/>
      <c r="AM58" s="1277" t="n"/>
      <c r="AN58" s="1277" t="n"/>
      <c r="AO58" s="1277" t="n"/>
      <c r="AP58" s="1277" t="n"/>
      <c r="AQ58" s="2875" t="n"/>
      <c r="AR58" s="777" t="n"/>
      <c r="AS58" s="2875" t="n"/>
      <c r="AT58" s="2875" t="n"/>
      <c r="AU58" s="2875" t="n"/>
      <c r="BG58" s="769" t="n"/>
      <c r="BH58" s="658" t="n"/>
      <c r="BI58" s="658" t="n"/>
      <c r="BJ58" s="658" t="n"/>
      <c r="BK58" s="658" t="n"/>
      <c r="BL58" s="658" t="n"/>
      <c r="BM58" s="658" t="n"/>
      <c r="BN58" s="658" t="n"/>
      <c r="BO58" s="658" t="n"/>
      <c r="BP58" s="658" t="n"/>
    </row>
    <row r="59" ht="14.25" customHeight="1" s="7635">
      <c r="A59" s="1277" t="n"/>
      <c r="B59" s="8519" t="n">
        <v>24</v>
      </c>
      <c r="D59" s="2100" t="inlineStr">
        <is>
          <t>Income. Add positive amounts shown on line 21. Do not include any losses</t>
        </is>
      </c>
      <c r="E59" s="2126" t="n"/>
      <c r="F59" s="2126" t="n"/>
      <c r="G59" s="2126" t="n"/>
      <c r="H59" s="2126" t="n"/>
      <c r="I59" s="2126" t="n"/>
      <c r="J59" s="2126" t="n"/>
      <c r="K59" s="2126" t="n"/>
      <c r="L59" s="2126" t="n"/>
      <c r="M59" s="2126" t="n"/>
      <c r="N59" s="2126" t="n"/>
      <c r="O59" s="2126" t="n"/>
      <c r="P59" s="2126" t="n"/>
      <c r="Q59" s="2126" t="n"/>
      <c r="R59" s="2126" t="n"/>
      <c r="S59" s="2126" t="n"/>
      <c r="T59" s="2126" t="n"/>
      <c r="U59" s="2126" t="n"/>
      <c r="V59" s="2126" t="n"/>
      <c r="W59" s="2126" t="n"/>
      <c r="X59" s="2126" t="n"/>
      <c r="Y59" s="2126" t="n"/>
      <c r="Z59" s="2126" t="n"/>
      <c r="AA59" s="2126" t="n"/>
      <c r="AB59" s="2126" t="n"/>
      <c r="AC59" s="2126" t="n"/>
      <c r="AD59" s="2126" t="n"/>
      <c r="AE59" s="2126" t="n"/>
      <c r="AF59" s="2126" t="n"/>
      <c r="AG59" s="2198" t="inlineStr">
        <is>
          <t xml:space="preserve">.   .   .   .   .   .   .   .   .   .   . </t>
        </is>
      </c>
      <c r="AH59" s="6633" t="n">
        <v>24</v>
      </c>
      <c r="AI59" s="7638" t="n"/>
      <c r="AJ59" s="8538">
        <f>IF(AR59&lt;&gt;"",ROUND(AR59,0),ROUND(SUM(AY51,BA51,BC51),0))</f>
        <v/>
      </c>
      <c r="AK59" s="8412" t="n"/>
      <c r="AL59" s="8412" t="n"/>
      <c r="AM59" s="8412" t="n"/>
      <c r="AN59" s="8412" t="n"/>
      <c r="AO59" s="8412" t="n"/>
      <c r="AP59" s="1277" t="n"/>
      <c r="AQ59" s="2875" t="n"/>
      <c r="AR59" s="777" t="n"/>
      <c r="AS59" s="2875" t="n"/>
      <c r="AT59" s="2875" t="n"/>
      <c r="AU59" s="2875" t="n"/>
      <c r="BG59" s="769" t="n"/>
      <c r="BH59" s="658" t="n"/>
      <c r="BI59" s="658" t="n"/>
      <c r="BJ59" s="658" t="n"/>
      <c r="BK59" s="658" t="n"/>
      <c r="BL59" s="658" t="n"/>
      <c r="BM59" s="658" t="n"/>
      <c r="BN59" s="658" t="n"/>
      <c r="BO59" s="658" t="n"/>
      <c r="BP59" s="658" t="n"/>
    </row>
    <row r="60" ht="14.25" customHeight="1" s="7635">
      <c r="A60" s="1277" t="n"/>
      <c r="B60" s="8519" t="n">
        <v>25</v>
      </c>
      <c r="D60" s="4812" t="inlineStr">
        <is>
          <t>Losses. Add royalty losses from line 21 and rental real estate losses from line 22. Enter total losses here</t>
        </is>
      </c>
      <c r="E60" s="2126" t="n"/>
      <c r="F60" s="2126" t="n"/>
      <c r="G60" s="2126" t="n"/>
      <c r="H60" s="2126" t="n"/>
      <c r="I60" s="2126" t="n"/>
      <c r="J60" s="2126" t="n"/>
      <c r="K60" s="2126" t="n"/>
      <c r="L60" s="2126" t="n"/>
      <c r="M60" s="2126" t="n"/>
      <c r="N60" s="2126" t="n"/>
      <c r="O60" s="2126" t="n"/>
      <c r="P60" s="2126" t="n"/>
      <c r="Q60" s="2126" t="n"/>
      <c r="R60" s="2126" t="n"/>
      <c r="S60" s="2126" t="n"/>
      <c r="T60" s="2126" t="n"/>
      <c r="U60" s="2126" t="n"/>
      <c r="V60" s="2126" t="n"/>
      <c r="W60" s="2126" t="n"/>
      <c r="X60" s="2126" t="n"/>
      <c r="Y60" s="2126" t="n"/>
      <c r="Z60" s="2126" t="n"/>
      <c r="AA60" s="2126" t="n"/>
      <c r="AB60" s="2126" t="n"/>
      <c r="AC60" s="2126" t="n"/>
      <c r="AD60" s="2126" t="n"/>
      <c r="AE60" s="2126" t="n"/>
      <c r="AF60" s="2126" t="n"/>
      <c r="AG60" s="2126" t="n"/>
      <c r="AH60" s="6634" t="n">
        <v>25</v>
      </c>
      <c r="AI60" s="11734" t="n"/>
      <c r="AJ60" s="8551" t="inlineStr">
        <is>
          <t>(</t>
        </is>
      </c>
      <c r="AK60" s="8522">
        <f>-AK61</f>
        <v/>
      </c>
      <c r="AL60" s="8412" t="n"/>
      <c r="AM60" s="8412" t="n"/>
      <c r="AN60" s="8412" t="n"/>
      <c r="AO60" s="8522" t="inlineStr">
        <is>
          <t>)</t>
        </is>
      </c>
      <c r="AP60" s="1277" t="n"/>
      <c r="AQ60" s="2875" t="n"/>
      <c r="AR60" s="777" t="n"/>
      <c r="AS60" s="2875" t="n"/>
      <c r="AT60" s="2875" t="n"/>
      <c r="AU60" s="2875" t="n"/>
      <c r="BG60" s="769" t="n"/>
      <c r="BH60" s="658" t="n"/>
      <c r="BI60" s="658" t="n"/>
      <c r="BJ60" s="658" t="n"/>
      <c r="BK60" s="658" t="n"/>
      <c r="BL60" s="658" t="n"/>
      <c r="BM60" s="658" t="n"/>
      <c r="BN60" s="658" t="n"/>
      <c r="BO60" s="658" t="n"/>
      <c r="BP60" s="658" t="n"/>
    </row>
    <row r="61" ht="14.25" customHeight="1" s="7635">
      <c r="A61" s="1277" t="n"/>
      <c r="B61" s="8519" t="n">
        <v>26</v>
      </c>
      <c r="D61" s="2100" t="inlineStr">
        <is>
          <t>Total rental real estate and royalty income or (loss). Combine lines 24 and 25. Enter the result</t>
        </is>
      </c>
      <c r="E61" s="2126" t="n"/>
      <c r="F61" s="2126" t="n"/>
      <c r="G61" s="2126" t="n"/>
      <c r="H61" s="2126" t="n"/>
      <c r="I61" s="2126" t="n"/>
      <c r="J61" s="2126" t="n"/>
      <c r="K61" s="2126" t="n"/>
      <c r="L61" s="2126" t="n"/>
      <c r="M61" s="2126" t="n"/>
      <c r="N61" s="2126" t="n"/>
      <c r="O61" s="2126" t="n"/>
      <c r="P61" s="2126" t="n"/>
      <c r="Q61" s="2126" t="n"/>
      <c r="R61" s="2126" t="n"/>
      <c r="S61" s="2126" t="n"/>
      <c r="T61" s="9988" t="n"/>
      <c r="U61" s="9988" t="n"/>
      <c r="V61" s="8549" t="n"/>
      <c r="W61" s="8549" t="n"/>
      <c r="X61" s="8549" t="n"/>
      <c r="Y61" s="8549" t="n"/>
      <c r="Z61" s="8549" t="n"/>
      <c r="AA61" s="8549" t="n"/>
      <c r="AB61" s="8549" t="n"/>
      <c r="AC61" s="8549" t="n"/>
      <c r="AD61" s="8549" t="n"/>
      <c r="AE61" s="8549" t="n"/>
      <c r="AF61" s="8549" t="n"/>
      <c r="AG61" s="8549" t="n"/>
      <c r="AH61" s="8554" t="n"/>
      <c r="AI61" s="8556" t="n"/>
      <c r="AJ61" s="8549" t="n"/>
      <c r="AK61" s="8530">
        <f>IF(AND(AR60&lt;&gt;"",AR60&gt;=0),-ROUND(AR60,0),IF(AND(AR60&lt;&gt;"",AR60&lt;0),ROUND(AR60,0),SUM(AZ52,AZ53,BB52,BB53,BD52,BD53)))</f>
        <v/>
      </c>
      <c r="AL61" s="7839" t="n"/>
      <c r="AM61" s="7839" t="n"/>
      <c r="AN61" s="7839" t="n"/>
      <c r="AO61" s="8549" t="n"/>
      <c r="AP61" s="1277" t="n"/>
      <c r="AQ61" s="2875" t="n"/>
      <c r="AR61" s="2875" t="n"/>
      <c r="AS61" s="2875" t="n"/>
      <c r="AT61" s="2875" t="n"/>
      <c r="AU61" s="2875" t="n"/>
      <c r="BG61" s="769" t="n"/>
      <c r="BH61" s="658" t="n"/>
      <c r="BI61" s="658" t="n"/>
      <c r="BJ61" s="658" t="n"/>
      <c r="BK61" s="658" t="n"/>
      <c r="BL61" s="658" t="n"/>
      <c r="BM61" s="658" t="n"/>
      <c r="BN61" s="658" t="n"/>
      <c r="BO61" s="658" t="n"/>
      <c r="BP61" s="658" t="n"/>
    </row>
    <row r="62" ht="14.25" customHeight="1" s="7635">
      <c r="A62" s="1277" t="n"/>
      <c r="B62" s="8519" t="n"/>
      <c r="D62" s="2100" t="inlineStr">
        <is>
          <t>here. If Parts II, III, IV, and line 40 on page 2 do not apply to you, also enter this amount on</t>
        </is>
      </c>
      <c r="E62" s="2126" t="n"/>
      <c r="F62" s="2126" t="n"/>
      <c r="G62" s="2126" t="n"/>
      <c r="H62" s="2126" t="n"/>
      <c r="I62" s="2126" t="n"/>
      <c r="J62" s="2126" t="n"/>
      <c r="K62" s="2126" t="n"/>
      <c r="L62" s="2126" t="n"/>
      <c r="M62" s="2126" t="n"/>
      <c r="N62" s="2126" t="n"/>
      <c r="O62" s="2126" t="n"/>
      <c r="P62" s="2126" t="n"/>
      <c r="Q62" s="2126" t="n"/>
      <c r="R62" s="2126" t="n"/>
      <c r="S62" s="2126" t="n"/>
      <c r="T62" s="9988" t="n"/>
      <c r="U62" s="9988" t="n"/>
      <c r="V62" s="8549" t="n"/>
      <c r="W62" s="8549" t="n"/>
      <c r="X62" s="8549" t="n"/>
      <c r="Y62" s="8549" t="n"/>
      <c r="Z62" s="8549" t="n"/>
      <c r="AA62" s="8549" t="n"/>
      <c r="AB62" s="8549" t="n"/>
      <c r="AC62" s="8549" t="n"/>
      <c r="AD62" s="8549" t="n"/>
      <c r="AE62" s="8549" t="n"/>
      <c r="AF62" s="8549" t="n"/>
      <c r="AG62" s="8549" t="n"/>
      <c r="AH62" s="8548" t="n"/>
      <c r="AI62" s="8550" t="n"/>
      <c r="AJ62" s="8549" t="n"/>
      <c r="AK62" s="8549" t="n"/>
      <c r="AL62" s="8549" t="n"/>
      <c r="AM62" s="8549" t="n"/>
      <c r="AN62" s="8549" t="n"/>
      <c r="AO62" s="8549" t="n"/>
      <c r="AP62" s="1277" t="n"/>
      <c r="AQ62" s="2875" t="n"/>
      <c r="AR62" s="2875" t="n"/>
      <c r="AS62" s="2875" t="n"/>
      <c r="AT62" s="2875" t="n"/>
      <c r="AU62" s="2875" t="n"/>
      <c r="BG62" s="769" t="n"/>
      <c r="BH62" s="658" t="n"/>
      <c r="BI62" s="658" t="n"/>
      <c r="BJ62" s="658" t="n"/>
      <c r="BK62" s="658" t="n"/>
      <c r="BL62" s="658" t="n"/>
      <c r="BM62" s="658" t="n"/>
      <c r="BN62" s="658" t="n"/>
      <c r="BO62" s="658" t="n"/>
      <c r="BP62" s="658" t="n"/>
    </row>
    <row r="63" ht="14.25" customHeight="1" s="7635" thickBot="1">
      <c r="A63" s="1277" t="n"/>
      <c r="B63" s="4813" t="n"/>
      <c r="C63" s="4814" t="n"/>
      <c r="D63" s="4815" t="inlineStr">
        <is>
          <t>Schedule 1 (Form 1040), line 5. Otherwise, include this amount in the total on line 41 on page 2</t>
        </is>
      </c>
      <c r="E63" s="4816" t="n"/>
      <c r="F63" s="4816" t="n"/>
      <c r="G63" s="4816" t="n"/>
      <c r="H63" s="4816" t="n"/>
      <c r="I63" s="4816" t="n"/>
      <c r="J63" s="4816" t="n"/>
      <c r="K63" s="4816" t="n"/>
      <c r="L63" s="4816" t="n"/>
      <c r="M63" s="4816" t="n"/>
      <c r="N63" s="4816" t="n"/>
      <c r="O63" s="4816" t="n"/>
      <c r="P63" s="4816" t="n"/>
      <c r="Q63" s="4816" t="n"/>
      <c r="R63" s="4816" t="n"/>
      <c r="S63" s="4816" t="n"/>
      <c r="T63" s="4816" t="n"/>
      <c r="U63" s="4816" t="n"/>
      <c r="V63" s="4816" t="n"/>
      <c r="W63" s="4816" t="n"/>
      <c r="X63" s="4816" t="n"/>
      <c r="Y63" s="4816" t="n"/>
      <c r="Z63" s="4816" t="n"/>
      <c r="AA63" s="4816" t="n"/>
      <c r="AB63" s="4817" t="n"/>
      <c r="AC63" s="4817" t="n"/>
      <c r="AD63" s="4818" t="n"/>
      <c r="AE63" s="4818" t="n"/>
      <c r="AF63" s="4818" t="n"/>
      <c r="AG63" s="4533" t="inlineStr">
        <is>
          <t xml:space="preserve">.   . </t>
        </is>
      </c>
      <c r="AH63" s="6644" t="n">
        <v>26</v>
      </c>
      <c r="AI63" s="12121" t="n"/>
      <c r="AJ63" s="8526">
        <f>IF(AR63&lt;&gt;"",ROUND(AR63,0),SUM(AJ59,AK61))</f>
        <v/>
      </c>
      <c r="AK63" s="8848" t="n"/>
      <c r="AL63" s="8848" t="n"/>
      <c r="AM63" s="8848" t="n"/>
      <c r="AN63" s="8848" t="n"/>
      <c r="AO63" s="8848" t="n"/>
      <c r="AP63" s="1277" t="n"/>
      <c r="AQ63" s="2875" t="n"/>
      <c r="AR63" s="776" t="n"/>
      <c r="AS63" s="2875" t="n"/>
      <c r="AT63" s="2875" t="n"/>
      <c r="AU63" s="2875" t="n"/>
      <c r="BG63" s="769" t="n"/>
      <c r="BH63" s="658" t="n"/>
      <c r="BI63" s="658" t="n"/>
      <c r="BJ63" s="658" t="n"/>
      <c r="BK63" s="658" t="n"/>
      <c r="BL63" s="658" t="n"/>
      <c r="BM63" s="658" t="n"/>
      <c r="BN63" s="658" t="n"/>
      <c r="BO63" s="658" t="n"/>
      <c r="BP63" s="658" t="n"/>
    </row>
    <row r="64" ht="14.25" customHeight="1" s="7635">
      <c r="A64" s="1277" t="n"/>
      <c r="B64" s="4819" t="inlineStr">
        <is>
          <t>For Paperwork Reduction Act Notice, see the separate instructions.</t>
        </is>
      </c>
      <c r="C64" s="4820" t="n"/>
      <c r="D64" s="2100" t="n"/>
      <c r="E64" s="2126" t="n"/>
      <c r="F64" s="2126" t="n"/>
      <c r="G64" s="2126" t="n"/>
      <c r="H64" s="2126" t="n"/>
      <c r="I64" s="2126" t="n"/>
      <c r="J64" s="2126" t="n"/>
      <c r="K64" s="2126" t="n"/>
      <c r="L64" s="2126" t="n"/>
      <c r="M64" s="2126" t="n"/>
      <c r="N64" s="2126" t="n"/>
      <c r="O64" s="2126" t="n"/>
      <c r="P64" s="2126" t="n"/>
      <c r="Q64" s="2126" t="n"/>
      <c r="R64" s="2126" t="n"/>
      <c r="S64" s="2126" t="n"/>
      <c r="T64" s="2126" t="n"/>
      <c r="U64" s="2126" t="n"/>
      <c r="V64" s="2126" t="n"/>
      <c r="W64" s="2126" t="n"/>
      <c r="X64" s="2126" t="n"/>
      <c r="Y64" s="2126" t="inlineStr">
        <is>
          <t>Cat. No. 11344L</t>
        </is>
      </c>
      <c r="Z64" s="2126" t="n"/>
      <c r="AA64" s="2126" t="n"/>
      <c r="AB64" s="9988" t="n"/>
      <c r="AC64" s="9988" t="n"/>
      <c r="AD64" s="8549" t="n"/>
      <c r="AE64" s="8549" t="n"/>
      <c r="AF64" s="8549" t="n"/>
      <c r="AG64" s="8549" t="n"/>
      <c r="AH64" s="8549" t="n"/>
      <c r="AI64" s="8549" t="n"/>
      <c r="AJ64" s="11602" t="n"/>
      <c r="AK64" s="1401">
        <f>"Schedule E (Form 1040) "&amp;TaxYear</f>
        <v/>
      </c>
      <c r="AL64" s="11602" t="n"/>
      <c r="AM64" s="11602" t="n"/>
      <c r="AN64" s="11602" t="n"/>
      <c r="AO64" s="1061" t="inlineStr">
        <is>
          <t>Created 5/6/25</t>
        </is>
      </c>
      <c r="AP64" s="1277" t="n"/>
      <c r="AQ64" s="2875" t="n"/>
      <c r="AR64" s="2875" t="n"/>
      <c r="AS64" s="2875" t="n"/>
      <c r="AT64" s="2875" t="n"/>
      <c r="AU64" s="2875" t="n"/>
      <c r="BG64" s="769" t="n"/>
      <c r="BH64" s="658" t="n"/>
      <c r="BI64" s="658" t="n"/>
      <c r="BJ64" s="658" t="n"/>
      <c r="BK64" s="658" t="n"/>
      <c r="BL64" s="658" t="n"/>
      <c r="BM64" s="658" t="n"/>
      <c r="BN64" s="658" t="n"/>
      <c r="BO64" s="658" t="n"/>
      <c r="BP64" s="658" t="n"/>
    </row>
    <row r="65" ht="21" customHeight="1" s="7635">
      <c r="A65" s="1277" t="n"/>
      <c r="B65" s="462">
        <f>"Schedule E (Form 1040) "&amp;TaxYear</f>
        <v/>
      </c>
      <c r="C65" s="413" t="n"/>
      <c r="D65" s="413" t="n"/>
      <c r="E65" s="413" t="n"/>
      <c r="F65" s="413" t="n"/>
      <c r="G65" s="413" t="n"/>
      <c r="H65" s="413" t="n"/>
      <c r="I65" s="4821" t="n"/>
      <c r="J65" s="413" t="n"/>
      <c r="K65" s="413" t="n"/>
      <c r="L65" s="413" t="n"/>
      <c r="M65" s="413" t="n"/>
      <c r="N65" s="413" t="n"/>
      <c r="O65" s="413" t="n"/>
      <c r="P65" s="4822" t="n"/>
      <c r="Q65" s="413" t="n"/>
      <c r="R65" s="413" t="n"/>
      <c r="S65" s="413" t="n"/>
      <c r="T65" s="413" t="n"/>
      <c r="U65" s="413" t="n"/>
      <c r="V65" s="413" t="n"/>
      <c r="W65" s="413" t="n"/>
      <c r="X65" s="413" t="n"/>
      <c r="Y65" s="413" t="n"/>
      <c r="Z65" s="413" t="n"/>
      <c r="AA65" s="462" t="inlineStr">
        <is>
          <t>Attachment Sequence No.</t>
        </is>
      </c>
      <c r="AB65" s="413" t="n"/>
      <c r="AC65" s="413" t="n"/>
      <c r="AD65" s="413" t="n"/>
      <c r="AE65" s="413" t="n"/>
      <c r="AF65" s="413" t="n"/>
      <c r="AG65" s="8633" t="n">
        <v>13</v>
      </c>
      <c r="AH65" s="7637" t="n"/>
      <c r="AI65" s="413" t="n"/>
      <c r="AJ65" s="413" t="n"/>
      <c r="AK65" s="413" t="n"/>
      <c r="AL65" s="413" t="n"/>
      <c r="AM65" s="413" t="n"/>
      <c r="AN65" s="413" t="n"/>
      <c r="AO65" s="4823" t="inlineStr">
        <is>
          <t>Page 2</t>
        </is>
      </c>
      <c r="AP65" s="1277" t="n"/>
      <c r="BG65" s="769" t="n"/>
      <c r="BH65" s="658" t="n"/>
      <c r="BI65" s="658" t="n"/>
      <c r="BJ65" s="658" t="n"/>
      <c r="BK65" s="658" t="n"/>
      <c r="BL65" s="658" t="n"/>
      <c r="BM65" s="658" t="n"/>
      <c r="BN65" s="658" t="n"/>
      <c r="BO65" s="658" t="n"/>
      <c r="BP65" s="658" t="n"/>
    </row>
    <row r="66" ht="12.75" customHeight="1" s="7635">
      <c r="A66" s="1277" t="n"/>
      <c r="B66" s="7299" t="inlineStr">
        <is>
          <t>Name(s) shown on return.</t>
        </is>
      </c>
      <c r="C66" s="7299" t="n"/>
      <c r="D66" s="7299" t="n"/>
      <c r="E66" s="7299" t="n"/>
      <c r="F66" s="7299" t="n"/>
      <c r="G66" s="7299" t="n"/>
      <c r="H66" s="7299" t="inlineStr">
        <is>
          <t>Do not enter name and social security number if shown on other side.</t>
        </is>
      </c>
      <c r="I66" s="7299" t="n"/>
      <c r="J66" s="11602" t="n"/>
      <c r="K66" s="11602" t="n"/>
      <c r="L66" s="11602" t="n"/>
      <c r="M66" s="11602" t="n"/>
      <c r="N66" s="11602" t="n"/>
      <c r="O66" s="11602" t="n"/>
      <c r="P66" s="11602" t="n"/>
      <c r="Q66" s="11602" t="n"/>
      <c r="R66" s="11602" t="n"/>
      <c r="S66" s="11602" t="n"/>
      <c r="T66" s="11602" t="n"/>
      <c r="U66" s="11602" t="n"/>
      <c r="V66" s="11602" t="n"/>
      <c r="W66" s="11602" t="n"/>
      <c r="X66" s="11602" t="n"/>
      <c r="Y66" s="11602" t="n"/>
      <c r="Z66" s="11602" t="n"/>
      <c r="AA66" s="11602" t="n"/>
      <c r="AB66" s="11602" t="n"/>
      <c r="AC66" s="11602" t="n"/>
      <c r="AD66" s="11602" t="n"/>
      <c r="AE66" s="11602" t="n"/>
      <c r="AF66" s="8528" t="inlineStr">
        <is>
          <t>Your social security number</t>
        </is>
      </c>
      <c r="AG66" s="7839" t="n"/>
      <c r="AH66" s="7839" t="n"/>
      <c r="AI66" s="7839" t="n"/>
      <c r="AJ66" s="7839" t="n"/>
      <c r="AK66" s="7839" t="n"/>
      <c r="AL66" s="7839" t="n"/>
      <c r="AM66" s="7839" t="n"/>
      <c r="AN66" s="7839" t="n"/>
      <c r="AO66" s="7839" t="n"/>
      <c r="AP66" s="1277" t="n"/>
      <c r="AR66" s="7834">
        <f>OR(AND(AF67&lt;&gt;"",AF67=AG8),AND(B8&lt;&gt;"",B67&lt;&gt;""))</f>
        <v/>
      </c>
      <c r="BG66" s="769" t="n"/>
      <c r="BH66" s="658" t="n"/>
      <c r="BI66" s="658" t="n"/>
      <c r="BJ66" s="658" t="n"/>
      <c r="BK66" s="658" t="n"/>
      <c r="BL66" s="658" t="n"/>
      <c r="BM66" s="658" t="n"/>
      <c r="BN66" s="658" t="n"/>
      <c r="BO66" s="658" t="n"/>
      <c r="BP66" s="658" t="n"/>
    </row>
    <row r="67" ht="16.5" customHeight="1" s="7635">
      <c r="A67" s="1277" t="n"/>
      <c r="B67" s="8509" t="n"/>
      <c r="C67" s="11717" t="n"/>
      <c r="D67" s="11717" t="n"/>
      <c r="E67" s="11717" t="n"/>
      <c r="F67" s="11717" t="n"/>
      <c r="G67" s="11717" t="n"/>
      <c r="H67" s="11717" t="n"/>
      <c r="I67" s="11717" t="n"/>
      <c r="J67" s="11717" t="n"/>
      <c r="K67" s="11717" t="n"/>
      <c r="L67" s="11717" t="n"/>
      <c r="M67" s="11717" t="n"/>
      <c r="N67" s="11717" t="n"/>
      <c r="O67" s="11717" t="n"/>
      <c r="P67" s="11717" t="n"/>
      <c r="Q67" s="11717" t="n"/>
      <c r="R67" s="11717" t="n"/>
      <c r="S67" s="11717" t="n"/>
      <c r="T67" s="11717" t="n"/>
      <c r="U67" s="11717" t="n"/>
      <c r="V67" s="11717" t="n"/>
      <c r="W67" s="11717" t="n"/>
      <c r="X67" s="11717" t="n"/>
      <c r="Y67" s="11717" t="n"/>
      <c r="Z67" s="11717" t="n"/>
      <c r="AA67" s="11717" t="n"/>
      <c r="AB67" s="11717" t="n"/>
      <c r="AC67" s="11717" t="n"/>
      <c r="AD67" s="11717" t="n"/>
      <c r="AE67" s="11718" t="n"/>
      <c r="AF67" s="11720" t="n"/>
      <c r="AG67" s="11717" t="n"/>
      <c r="AH67" s="11717" t="n"/>
      <c r="AI67" s="11717" t="n"/>
      <c r="AJ67" s="11717" t="n"/>
      <c r="AK67" s="11717" t="n"/>
      <c r="AL67" s="11717" t="n"/>
      <c r="AM67" s="11717" t="n"/>
      <c r="AN67" s="11717" t="n"/>
      <c r="AO67" s="11717" t="n"/>
      <c r="AP67" s="770" t="n"/>
      <c r="AQ67" s="9864">
        <f>IF($AR66,"Hide emphasis.","")</f>
        <v/>
      </c>
      <c r="AR67" s="9864" t="n"/>
      <c r="BG67" s="769" t="n"/>
      <c r="BH67" s="658" t="n"/>
      <c r="BI67" s="658" t="n"/>
      <c r="BJ67" s="658" t="n"/>
      <c r="BK67" s="658" t="n"/>
      <c r="BL67" s="658" t="n"/>
      <c r="BM67" s="658" t="n"/>
      <c r="BN67" s="658" t="n"/>
      <c r="BO67" s="658" t="n"/>
      <c r="BP67" s="658" t="n"/>
    </row>
    <row r="68" ht="15" customHeight="1" s="7635">
      <c r="A68" s="1277" t="n"/>
      <c r="B68" s="8650" t="inlineStr">
        <is>
          <t>Caution: The IRS compares amounts reported on your tax return with amounts shown on Schedule(s) K-1.</t>
        </is>
      </c>
      <c r="C68" s="11602" t="n"/>
      <c r="D68" s="11602" t="n"/>
      <c r="E68" s="11602" t="n"/>
      <c r="F68" s="11602" t="n"/>
      <c r="G68" s="11602" t="n"/>
      <c r="H68" s="11602" t="n"/>
      <c r="I68" s="11602" t="n"/>
      <c r="J68" s="11602" t="n"/>
      <c r="K68" s="11602" t="n"/>
      <c r="L68" s="11602" t="n"/>
      <c r="M68" s="11602" t="n"/>
      <c r="N68" s="11602" t="n"/>
      <c r="O68" s="11602" t="n"/>
      <c r="P68" s="11602" t="n"/>
      <c r="Q68" s="11602" t="n"/>
      <c r="R68" s="11602" t="n"/>
      <c r="S68" s="11602" t="n"/>
      <c r="T68" s="11602" t="n"/>
      <c r="U68" s="11602" t="n"/>
      <c r="V68" s="11602" t="n"/>
      <c r="W68" s="11602" t="n"/>
      <c r="X68" s="11602" t="n"/>
      <c r="Y68" s="11602" t="n"/>
      <c r="Z68" s="11602" t="n"/>
      <c r="AA68" s="11602" t="n"/>
      <c r="AB68" s="11602" t="n"/>
      <c r="AC68" s="11602" t="n"/>
      <c r="AD68" s="11602" t="n"/>
      <c r="AE68" s="11602" t="n"/>
      <c r="AF68" s="11602" t="n"/>
      <c r="AG68" s="11602" t="n"/>
      <c r="AH68" s="11602" t="n"/>
      <c r="AI68" s="11602" t="n"/>
      <c r="AJ68" s="11602" t="n"/>
      <c r="AK68" s="11602" t="n"/>
      <c r="AL68" s="11602" t="n"/>
      <c r="AM68" s="11602" t="n"/>
      <c r="AN68" s="11602" t="n"/>
      <c r="AO68" s="11602" t="n"/>
      <c r="AP68" s="1277" t="n"/>
      <c r="BG68" s="769" t="n"/>
      <c r="BH68" s="658" t="n"/>
      <c r="BI68" s="658" t="n"/>
      <c r="BJ68" s="658" t="n"/>
      <c r="BK68" s="658" t="n"/>
      <c r="BL68" s="658" t="n"/>
      <c r="BM68" s="658" t="n"/>
      <c r="BN68" s="658" t="n"/>
      <c r="BO68" s="658" t="n"/>
      <c r="BP68" s="658" t="n"/>
    </row>
    <row r="69" ht="17.25" customFormat="1" customHeight="1" s="1405">
      <c r="A69" s="2119" t="n"/>
      <c r="B69" s="8410" t="inlineStr">
        <is>
          <t>Part II</t>
        </is>
      </c>
      <c r="C69" s="8412" t="n"/>
      <c r="D69" s="8412" t="n"/>
      <c r="E69" s="2761" t="n"/>
      <c r="F69" s="4758" t="inlineStr">
        <is>
          <t>Income or Loss From Partnerships and S Corporations</t>
        </is>
      </c>
      <c r="G69" s="2761" t="n"/>
      <c r="H69" s="2761" t="n"/>
      <c r="I69" s="2761" t="n"/>
      <c r="J69" s="2761" t="n"/>
      <c r="K69" s="2761" t="n"/>
      <c r="L69" s="2761" t="n"/>
      <c r="M69" s="2761" t="n"/>
      <c r="N69" s="2761" t="n"/>
      <c r="O69" s="2761" t="n"/>
      <c r="P69" s="2761" t="n"/>
      <c r="Q69" s="2761" t="n"/>
      <c r="R69" s="2761" t="n"/>
      <c r="S69" s="2761" t="n"/>
      <c r="T69" s="2761" t="n"/>
      <c r="U69" s="2761" t="n"/>
      <c r="V69" s="2761" t="n"/>
      <c r="W69" s="2761" t="n"/>
      <c r="X69" s="2354" t="n"/>
      <c r="Y69" s="2761" t="n"/>
      <c r="Z69" s="2761" t="n"/>
      <c r="AA69" s="2761" t="n"/>
      <c r="AB69" s="2761" t="n"/>
      <c r="AC69" s="2761" t="n"/>
      <c r="AD69" s="2761" t="n"/>
      <c r="AE69" s="2761" t="n"/>
      <c r="AF69" s="2761" t="n"/>
      <c r="AG69" s="2761" t="n"/>
      <c r="AH69" s="2761" t="n"/>
      <c r="AI69" s="2761" t="n"/>
      <c r="AJ69" s="2761" t="n"/>
      <c r="AK69" s="2761" t="n"/>
      <c r="AL69" s="2761" t="n"/>
      <c r="AM69" s="2761" t="n"/>
      <c r="AN69" s="2761" t="n"/>
      <c r="AO69" s="2761" t="n"/>
      <c r="AP69" s="1277" t="n"/>
      <c r="BG69" s="769" t="n"/>
      <c r="BH69" s="658" t="n"/>
      <c r="BI69" s="658" t="n"/>
      <c r="BJ69" s="658" t="n"/>
      <c r="BK69" s="658" t="n"/>
      <c r="BL69" s="658" t="n"/>
      <c r="BM69" s="658" t="n"/>
      <c r="BN69" s="658" t="n"/>
      <c r="BO69" s="658" t="n"/>
      <c r="BP69" s="658" t="n"/>
      <c r="BQ69" s="815" t="n"/>
    </row>
    <row r="70" ht="12.75" customHeight="1" s="7635">
      <c r="A70" s="1277" t="n"/>
      <c r="B70" s="11602" t="n"/>
      <c r="C70" s="11602" t="n"/>
      <c r="D70" s="11602" t="n"/>
      <c r="E70" s="11602" t="n"/>
      <c r="F70" s="344" t="inlineStr">
        <is>
          <t>Note:  If you report a loss, receive a distribution, dispose of stock, or receive a loan repayment from an S corporation, you must check</t>
        </is>
      </c>
      <c r="G70" s="11602" t="n"/>
      <c r="H70" s="11602" t="n"/>
      <c r="I70" s="11602" t="n"/>
      <c r="J70" s="11602" t="n"/>
      <c r="K70" s="11602" t="n"/>
      <c r="L70" s="11602" t="n"/>
      <c r="M70" s="11602" t="n"/>
      <c r="N70" s="11602" t="n"/>
      <c r="O70" s="11602" t="n"/>
      <c r="P70" s="11602" t="n"/>
      <c r="Q70" s="11602" t="n"/>
      <c r="R70" s="11602" t="n"/>
      <c r="S70" s="11602" t="n"/>
      <c r="T70" s="11602" t="n"/>
      <c r="U70" s="11602" t="n"/>
      <c r="V70" s="11602" t="n"/>
      <c r="W70" s="11602" t="n"/>
      <c r="X70" s="11602" t="n"/>
      <c r="Y70" s="11602" t="n"/>
      <c r="Z70" s="11602" t="n"/>
      <c r="AA70" s="11602" t="n"/>
      <c r="AB70" s="11602" t="n"/>
      <c r="AC70" s="11602" t="n"/>
      <c r="AD70" s="11602" t="n"/>
      <c r="AE70" s="11602" t="n"/>
      <c r="AF70" s="11602" t="n"/>
      <c r="AG70" s="11602" t="n"/>
      <c r="AH70" s="11602" t="n"/>
      <c r="AI70" s="11602" t="n"/>
      <c r="AJ70" s="11602" t="n"/>
      <c r="AK70" s="11602" t="n"/>
      <c r="AL70" s="11602" t="n"/>
      <c r="AM70" s="11602" t="n"/>
      <c r="AN70" s="11602" t="n"/>
      <c r="AO70" s="11602" t="n"/>
      <c r="AP70" s="1277" t="n"/>
      <c r="BG70" s="769" t="n"/>
      <c r="BH70" s="658" t="n"/>
      <c r="BI70" s="658" t="n"/>
      <c r="BJ70" s="658" t="n"/>
      <c r="BK70" s="658" t="n"/>
      <c r="BL70" s="658" t="n"/>
      <c r="BM70" s="658" t="n"/>
      <c r="BN70" s="658" t="n"/>
      <c r="BO70" s="658" t="n"/>
      <c r="BP70" s="658" t="n"/>
    </row>
    <row r="71" ht="12.75" customHeight="1" s="7635">
      <c r="A71" s="1277" t="n"/>
      <c r="B71" s="11602" t="n"/>
      <c r="C71" s="11602" t="n"/>
      <c r="D71" s="11602" t="n"/>
      <c r="E71" s="11602" t="n"/>
      <c r="F71" s="344" t="inlineStr">
        <is>
          <t xml:space="preserve">the box in column (e) on line 28 and attach the required basis computation. If you report a loss from an at-risk activity for which any </t>
        </is>
      </c>
      <c r="G71" s="11602" t="n"/>
      <c r="H71" s="11602" t="n"/>
      <c r="I71" s="11602" t="n"/>
      <c r="J71" s="11602" t="n"/>
      <c r="K71" s="11602" t="n"/>
      <c r="L71" s="11602" t="n"/>
      <c r="M71" s="11602" t="n"/>
      <c r="N71" s="11602" t="n"/>
      <c r="O71" s="11602" t="n"/>
      <c r="P71" s="11602" t="n"/>
      <c r="Q71" s="11602" t="n"/>
      <c r="R71" s="11602" t="n"/>
      <c r="S71" s="11602" t="n"/>
      <c r="T71" s="11602" t="n"/>
      <c r="U71" s="11602" t="n"/>
      <c r="V71" s="11602" t="n"/>
      <c r="W71" s="11602" t="n"/>
      <c r="X71" s="11602" t="n"/>
      <c r="Y71" s="11602" t="n"/>
      <c r="Z71" s="11602" t="n"/>
      <c r="AA71" s="11602" t="n"/>
      <c r="AB71" s="11602" t="n"/>
      <c r="AC71" s="11602" t="n"/>
      <c r="AD71" s="11602" t="n"/>
      <c r="AE71" s="11602" t="n"/>
      <c r="AF71" s="11602" t="n"/>
      <c r="AG71" s="11602" t="n"/>
      <c r="AH71" s="11602" t="n"/>
      <c r="AI71" s="11602" t="n"/>
      <c r="AJ71" s="11602" t="n"/>
      <c r="AK71" s="11602" t="n"/>
      <c r="AL71" s="11602" t="n"/>
      <c r="AM71" s="11602" t="n"/>
      <c r="AN71" s="11602" t="n"/>
      <c r="AO71" s="11602" t="n"/>
      <c r="AP71" s="1277" t="n"/>
      <c r="AX71" s="1405" t="n"/>
      <c r="AY71" s="1405" t="n"/>
      <c r="AZ71" s="1405" t="n"/>
      <c r="BA71" s="1405" t="n"/>
      <c r="BB71" s="1405" t="n"/>
      <c r="BC71" s="1405" t="n"/>
      <c r="BD71" s="1405" t="n"/>
      <c r="BG71" s="769" t="n"/>
      <c r="BH71" s="658" t="n"/>
      <c r="BI71" s="658" t="n"/>
      <c r="BJ71" s="658" t="n"/>
      <c r="BK71" s="658" t="n"/>
      <c r="BL71" s="658" t="n"/>
      <c r="BM71" s="658" t="n"/>
      <c r="BN71" s="658" t="n"/>
      <c r="BO71" s="658" t="n"/>
      <c r="BP71" s="658" t="n"/>
    </row>
    <row r="72" ht="12.75" customHeight="1" s="7635">
      <c r="A72" s="1277" t="n"/>
      <c r="B72" s="413" t="n"/>
      <c r="C72" s="413" t="n"/>
      <c r="D72" s="413" t="n"/>
      <c r="E72" s="413" t="n"/>
      <c r="F72" s="569" t="inlineStr">
        <is>
          <t>amount is not at risk, you must check the box in column (f) on line 28 and attach Form 6198. See instructions.</t>
        </is>
      </c>
      <c r="G72" s="413" t="n"/>
      <c r="H72" s="413" t="n"/>
      <c r="I72" s="413" t="n"/>
      <c r="J72" s="413" t="n"/>
      <c r="K72" s="413" t="n"/>
      <c r="L72" s="413" t="n"/>
      <c r="M72" s="413" t="n"/>
      <c r="N72" s="413" t="n"/>
      <c r="O72" s="413" t="n"/>
      <c r="P72" s="413" t="n"/>
      <c r="Q72" s="413" t="n"/>
      <c r="R72" s="413" t="n"/>
      <c r="S72" s="413" t="n"/>
      <c r="T72" s="413" t="n"/>
      <c r="U72" s="413" t="n"/>
      <c r="V72" s="413" t="n"/>
      <c r="W72" s="413" t="n"/>
      <c r="X72" s="413" t="n"/>
      <c r="Y72" s="413" t="n"/>
      <c r="Z72" s="413" t="n"/>
      <c r="AA72" s="413" t="n"/>
      <c r="AB72" s="413" t="n"/>
      <c r="AC72" s="413" t="n"/>
      <c r="AD72" s="413" t="n"/>
      <c r="AE72" s="413" t="n"/>
      <c r="AF72" s="413" t="n"/>
      <c r="AG72" s="413" t="n"/>
      <c r="AH72" s="413" t="n"/>
      <c r="AI72" s="413" t="n"/>
      <c r="AJ72" s="413" t="n"/>
      <c r="AK72" s="413" t="n"/>
      <c r="AL72" s="413" t="n"/>
      <c r="AM72" s="413" t="n"/>
      <c r="AN72" s="413" t="n"/>
      <c r="AO72" s="413" t="n"/>
      <c r="AP72" s="1277" t="n"/>
      <c r="BG72" s="769" t="n"/>
      <c r="BH72" s="658" t="n"/>
      <c r="BI72" s="658" t="n"/>
      <c r="BJ72" s="658" t="n"/>
      <c r="BK72" s="658" t="n"/>
      <c r="BL72" s="658" t="n"/>
      <c r="BM72" s="658" t="n"/>
      <c r="BN72" s="658" t="n"/>
      <c r="BO72" s="658" t="n"/>
      <c r="BP72" s="658" t="n"/>
    </row>
    <row r="73" ht="18.75" customHeight="1" s="7635">
      <c r="A73" s="1277" t="n"/>
      <c r="B73" s="8439" t="n">
        <v>27</v>
      </c>
      <c r="D73" s="11602" t="n"/>
      <c r="E73" s="8650" t="inlineStr">
        <is>
          <t>Are you reporting any loss not allowed in a prior year due to the at-risk or basis limitations, a prior year unallowed loss from a</t>
        </is>
      </c>
      <c r="F73" s="344" t="n"/>
      <c r="G73" s="11602" t="n"/>
      <c r="H73" s="11602" t="n"/>
      <c r="I73" s="11602" t="n"/>
      <c r="J73" s="11602" t="n"/>
      <c r="K73" s="11602" t="n"/>
      <c r="L73" s="11602" t="n"/>
      <c r="M73" s="11602" t="n"/>
      <c r="N73" s="11602" t="n"/>
      <c r="O73" s="11602" t="n"/>
      <c r="P73" s="11602" t="n"/>
      <c r="Q73" s="11602" t="n"/>
      <c r="R73" s="11602" t="n"/>
      <c r="S73" s="11602" t="n"/>
      <c r="T73" s="11602" t="n"/>
      <c r="U73" s="11602" t="n"/>
      <c r="V73" s="11602" t="n"/>
      <c r="W73" s="11602" t="n"/>
      <c r="X73" s="11602" t="n"/>
      <c r="Y73" s="11602" t="n"/>
      <c r="Z73" s="11602" t="n"/>
      <c r="AA73" s="11602" t="n"/>
      <c r="AB73" s="11602" t="n"/>
      <c r="AC73" s="11602" t="n"/>
      <c r="AD73" s="11602" t="n"/>
      <c r="AE73" s="11602" t="n"/>
      <c r="AF73" s="11602" t="n"/>
      <c r="AG73" s="11602" t="n"/>
      <c r="AH73" s="11602" t="n"/>
      <c r="AI73" s="11602" t="n"/>
      <c r="AJ73" s="11602" t="n"/>
      <c r="AK73" s="11602" t="n"/>
      <c r="AL73" s="11602" t="n"/>
      <c r="AM73" s="11602" t="n"/>
      <c r="AN73" s="11602" t="n"/>
      <c r="AO73" s="11602" t="n"/>
      <c r="AP73" s="1277" t="n"/>
      <c r="BG73" s="769" t="n"/>
      <c r="BH73" s="658" t="n"/>
      <c r="BI73" s="658" t="n"/>
      <c r="BJ73" s="658" t="n"/>
      <c r="BK73" s="658" t="n"/>
      <c r="BL73" s="658" t="n"/>
      <c r="BM73" s="658" t="n"/>
      <c r="BN73" s="658" t="n"/>
      <c r="BO73" s="658" t="n"/>
      <c r="BP73" s="658" t="n"/>
    </row>
    <row r="74" ht="12.75" customHeight="1" s="7635">
      <c r="A74" s="1277" t="n"/>
      <c r="B74" s="9988" t="n"/>
      <c r="C74" s="6996" t="n"/>
      <c r="D74" s="11602" t="n"/>
      <c r="E74" s="8650" t="inlineStr">
        <is>
          <t>passive activity (if that loss was not reported on Form 8582), or unreimbursed partnership expenses?</t>
        </is>
      </c>
      <c r="F74" s="344" t="n"/>
      <c r="G74" s="11602" t="n"/>
      <c r="H74" s="11602" t="n"/>
      <c r="I74" s="11602" t="n"/>
      <c r="J74" s="11602" t="n"/>
      <c r="K74" s="11602" t="n"/>
      <c r="L74" s="11602" t="n"/>
      <c r="M74" s="11602" t="n"/>
      <c r="N74" s="11602" t="n"/>
      <c r="O74" s="11602" t="n"/>
      <c r="P74" s="11602" t="n"/>
      <c r="Q74" s="11602" t="n"/>
      <c r="R74" s="11602" t="n"/>
      <c r="S74" s="11602" t="n"/>
      <c r="T74" s="11602" t="n"/>
      <c r="U74" s="11602" t="n"/>
      <c r="V74" s="11602" t="n"/>
      <c r="W74" s="11602" t="n"/>
      <c r="X74" s="11602" t="n"/>
      <c r="Y74" s="11602" t="n"/>
      <c r="Z74" s="11602" t="n"/>
      <c r="AA74" s="11602" t="n"/>
      <c r="AB74" s="11602" t="n"/>
      <c r="AC74" s="11602" t="n"/>
      <c r="AD74" s="11602" t="n"/>
      <c r="AE74" s="11602" t="n"/>
      <c r="AF74" s="11602" t="n"/>
      <c r="AG74" s="11602" t="n"/>
      <c r="AH74" s="11602" t="n"/>
      <c r="AI74" s="11602" t="n"/>
      <c r="AJ74" s="11602" t="n"/>
      <c r="AK74" s="11602" t="n"/>
      <c r="AL74" s="11602" t="n"/>
      <c r="AM74" s="11602" t="n"/>
      <c r="AN74" s="11602" t="n"/>
      <c r="AO74" s="11602" t="n"/>
      <c r="AP74" s="1277" t="n"/>
      <c r="BG74" s="769" t="n"/>
      <c r="BH74" s="658" t="n"/>
      <c r="BI74" s="658" t="n"/>
      <c r="BJ74" s="658" t="n"/>
      <c r="BK74" s="658" t="n"/>
      <c r="BL74" s="658" t="n"/>
      <c r="BM74" s="658" t="n"/>
      <c r="BN74" s="658" t="n"/>
      <c r="BO74" s="658" t="n"/>
      <c r="BP74" s="658" t="n"/>
    </row>
    <row r="75" ht="12.75" customHeight="1" s="7635">
      <c r="A75" s="1277" t="n"/>
      <c r="B75" s="11602" t="n"/>
      <c r="C75" s="11602" t="n"/>
      <c r="D75" s="11602" t="n"/>
      <c r="E75" s="8650" t="inlineStr">
        <is>
          <t>If you answered “Yes,” see instructions before completing this section</t>
        </is>
      </c>
      <c r="F75" s="344" t="n"/>
      <c r="G75" s="11602" t="n"/>
      <c r="H75" s="11602" t="n"/>
      <c r="I75" s="11602" t="n"/>
      <c r="J75" s="11602" t="n"/>
      <c r="K75" s="11602" t="n"/>
      <c r="L75" s="11602" t="n"/>
      <c r="M75" s="11602" t="n"/>
      <c r="N75" s="11602" t="n"/>
      <c r="O75" s="11602" t="n"/>
      <c r="P75" s="11602" t="n"/>
      <c r="Q75" s="11602" t="n"/>
      <c r="R75" s="11602" t="n"/>
      <c r="S75" s="11602" t="n"/>
      <c r="T75" s="11602" t="n"/>
      <c r="U75" s="11602" t="n"/>
      <c r="V75" s="11602" t="n"/>
      <c r="W75" s="11602" t="n"/>
      <c r="X75" s="11602" t="n"/>
      <c r="Y75" s="11602" t="n"/>
      <c r="Z75" s="11602" t="n"/>
      <c r="AA75" s="11602" t="n"/>
      <c r="AB75" s="11602" t="n"/>
      <c r="AC75" s="11602" t="n"/>
      <c r="AD75" s="11602" t="n"/>
      <c r="AE75" s="11602" t="n"/>
      <c r="AF75" s="11602" t="n"/>
      <c r="AG75" s="11602" t="n"/>
      <c r="AH75" s="11602" t="n"/>
      <c r="AI75" s="2198" t="inlineStr">
        <is>
          <t xml:space="preserve">.   .   .   .   .   .   .   .   .   .   .   .   .   .   .   . </t>
        </is>
      </c>
      <c r="AJ75" s="276" t="n"/>
      <c r="AK75" s="1059" t="inlineStr">
        <is>
          <t xml:space="preserve">  Yes</t>
        </is>
      </c>
      <c r="AL75" s="7762" t="n"/>
      <c r="AM75" s="276" t="n"/>
      <c r="AN75" s="1059" t="inlineStr">
        <is>
          <t xml:space="preserve">  No</t>
        </is>
      </c>
      <c r="AO75" s="7762" t="n"/>
      <c r="AP75" s="1277" t="n"/>
      <c r="BG75" s="769" t="n"/>
      <c r="BH75" s="658" t="n"/>
      <c r="BI75" s="658" t="n"/>
      <c r="BJ75" s="658" t="n"/>
      <c r="BK75" s="658" t="n"/>
      <c r="BL75" s="658" t="n"/>
      <c r="BM75" s="658" t="n"/>
      <c r="BN75" s="658" t="n"/>
      <c r="BO75" s="658" t="n"/>
      <c r="BP75" s="658" t="n"/>
    </row>
    <row r="76" ht="4.5" customHeight="1" s="7635">
      <c r="A76" s="1277" t="n"/>
      <c r="B76" s="413" t="n"/>
      <c r="C76" s="413" t="n"/>
      <c r="D76" s="413" t="n"/>
      <c r="E76" s="413" t="n"/>
      <c r="F76" s="569" t="n"/>
      <c r="G76" s="413" t="n"/>
      <c r="H76" s="413" t="n"/>
      <c r="I76" s="413" t="n"/>
      <c r="J76" s="413" t="n"/>
      <c r="K76" s="413" t="n"/>
      <c r="L76" s="413" t="n"/>
      <c r="M76" s="413" t="n"/>
      <c r="N76" s="413" t="n"/>
      <c r="O76" s="413" t="n"/>
      <c r="P76" s="413" t="n"/>
      <c r="Q76" s="413" t="n"/>
      <c r="R76" s="413" t="n"/>
      <c r="S76" s="413" t="n"/>
      <c r="T76" s="413" t="n"/>
      <c r="U76" s="413" t="n"/>
      <c r="V76" s="413" t="n"/>
      <c r="W76" s="413" t="n"/>
      <c r="X76" s="413" t="n"/>
      <c r="Y76" s="413" t="n"/>
      <c r="Z76" s="413" t="n"/>
      <c r="AA76" s="413" t="n"/>
      <c r="AB76" s="413" t="n"/>
      <c r="AC76" s="413" t="n"/>
      <c r="AD76" s="413" t="n"/>
      <c r="AE76" s="413" t="n"/>
      <c r="AF76" s="413" t="n"/>
      <c r="AG76" s="413" t="n"/>
      <c r="AH76" s="413" t="n"/>
      <c r="AI76" s="413" t="n"/>
      <c r="AJ76" s="413" t="n"/>
      <c r="AK76" s="413" t="n"/>
      <c r="AL76" s="413" t="n"/>
      <c r="AM76" s="413" t="n"/>
      <c r="AN76" s="413" t="n"/>
      <c r="AO76" s="413" t="n"/>
      <c r="AP76" s="1277" t="n"/>
      <c r="BG76" s="769" t="n"/>
      <c r="BH76" s="658" t="n"/>
      <c r="BI76" s="658" t="n"/>
      <c r="BJ76" s="658" t="n"/>
      <c r="BK76" s="658" t="n"/>
      <c r="BL76" s="658" t="n"/>
      <c r="BM76" s="658" t="n"/>
      <c r="BN76" s="658" t="n"/>
      <c r="BO76" s="658" t="n"/>
      <c r="BP76" s="658" t="n"/>
    </row>
    <row r="77" ht="12.75" customHeight="1" s="7635">
      <c r="A77" s="1277" t="n"/>
      <c r="B77" s="11602" t="n"/>
      <c r="C77" s="11602" t="n"/>
      <c r="D77" s="11602" t="n"/>
      <c r="E77" s="11602" t="n"/>
      <c r="F77" s="344" t="n"/>
      <c r="G77" s="11602" t="n"/>
      <c r="H77" s="11602" t="n"/>
      <c r="I77" s="11602" t="n"/>
      <c r="J77" s="11602" t="n"/>
      <c r="K77" s="11602" t="n"/>
      <c r="L77" s="11602" t="n"/>
      <c r="M77" s="11602" t="n"/>
      <c r="N77" s="11602" t="n"/>
      <c r="O77" s="12122" t="inlineStr">
        <is>
          <t>(b)  Enter P for partnership; S 
for S corporation</t>
        </is>
      </c>
      <c r="P77" s="7839" t="n"/>
      <c r="Q77" s="7839" t="n"/>
      <c r="R77" s="7839" t="n"/>
      <c r="S77" s="10091" t="n"/>
      <c r="T77" s="12122" t="inlineStr">
        <is>
          <t>(c)  Check if 
foreign 
partnership</t>
        </is>
      </c>
      <c r="U77" s="7839" t="n"/>
      <c r="V77" s="7839" t="n"/>
      <c r="W77" s="7839" t="n"/>
      <c r="X77" s="10091" t="n"/>
      <c r="Y77" s="12122" t="inlineStr">
        <is>
          <t>(d)  Employer 
identification 
number</t>
        </is>
      </c>
      <c r="Z77" s="7839" t="n"/>
      <c r="AA77" s="7839" t="n"/>
      <c r="AB77" s="7839" t="n"/>
      <c r="AC77" s="7839" t="n"/>
      <c r="AD77" s="7839" t="n"/>
      <c r="AE77" s="10091" t="n"/>
      <c r="AF77" s="12122" t="inlineStr">
        <is>
          <t>(e) Check if 
basis computation 
is required</t>
        </is>
      </c>
      <c r="AG77" s="7839" t="n"/>
      <c r="AH77" s="7839" t="n"/>
      <c r="AI77" s="7839" t="n"/>
      <c r="AJ77" s="10091" t="n"/>
      <c r="AK77" s="9854" t="inlineStr">
        <is>
          <t>(f)  Check if 
any amount is 
not at risk</t>
        </is>
      </c>
      <c r="AL77" s="7839" t="n"/>
      <c r="AM77" s="7839" t="n"/>
      <c r="AN77" s="7839" t="n"/>
      <c r="AO77" s="7839" t="n"/>
      <c r="AP77" s="1277" t="n"/>
      <c r="BG77" s="769" t="n"/>
      <c r="BH77" s="658" t="n"/>
      <c r="BI77" s="658" t="n"/>
      <c r="BJ77" s="658" t="n"/>
      <c r="BK77" s="658" t="n"/>
      <c r="BL77" s="658" t="n"/>
      <c r="BM77" s="658" t="n"/>
      <c r="BN77" s="658" t="n"/>
      <c r="BO77" s="658" t="n"/>
      <c r="BP77" s="658" t="n"/>
    </row>
    <row r="78" ht="12.75" customHeight="1" s="7635">
      <c r="A78" s="1277" t="n"/>
      <c r="B78" s="8439" t="n">
        <v>28</v>
      </c>
      <c r="D78" s="11602" t="n"/>
      <c r="E78" s="11602" t="n"/>
      <c r="F78" s="11602" t="n"/>
      <c r="G78" s="11602" t="n"/>
      <c r="H78" s="344" t="inlineStr">
        <is>
          <t>(a)  Name</t>
        </is>
      </c>
      <c r="I78" s="11602" t="n"/>
      <c r="J78" s="11602" t="n"/>
      <c r="K78" s="11602" t="n"/>
      <c r="L78" s="11602" t="n"/>
      <c r="M78" s="11602" t="n"/>
      <c r="N78" s="11602" t="n"/>
      <c r="O78" s="4772" t="n"/>
      <c r="S78" s="7636" t="n"/>
      <c r="T78" s="4772" t="n"/>
      <c r="X78" s="7636" t="n"/>
      <c r="Y78" s="4772" t="n"/>
      <c r="AE78" s="7636" t="n"/>
      <c r="AF78" s="4772" t="n"/>
      <c r="AJ78" s="7636" t="n"/>
      <c r="AK78" s="4772" t="n"/>
      <c r="AP78" s="1277" t="n"/>
      <c r="BG78" s="769" t="n"/>
      <c r="BH78" s="658" t="n"/>
      <c r="BI78" s="658" t="n"/>
      <c r="BJ78" s="658" t="n"/>
      <c r="BK78" s="658" t="n"/>
      <c r="BL78" s="658" t="n"/>
      <c r="BM78" s="658" t="n"/>
      <c r="BN78" s="658" t="n"/>
      <c r="BO78" s="658" t="n"/>
      <c r="BP78" s="658" t="n"/>
    </row>
    <row r="79" ht="12.75" customHeight="1" s="7635">
      <c r="A79" s="1277" t="n"/>
      <c r="B79" s="413" t="n"/>
      <c r="C79" s="413" t="n"/>
      <c r="D79" s="413" t="n"/>
      <c r="E79" s="413" t="n"/>
      <c r="F79" s="413" t="n"/>
      <c r="G79" s="413" t="n"/>
      <c r="H79" s="413" t="n"/>
      <c r="I79" s="413" t="n"/>
      <c r="J79" s="413" t="n"/>
      <c r="K79" s="413" t="n"/>
      <c r="L79" s="413" t="n"/>
      <c r="M79" s="413" t="n"/>
      <c r="N79" s="413" t="n"/>
      <c r="O79" s="3614" t="n"/>
      <c r="P79" s="7637" t="n"/>
      <c r="Q79" s="7637" t="n"/>
      <c r="R79" s="7637" t="n"/>
      <c r="S79" s="7638" t="n"/>
      <c r="T79" s="3614" t="n"/>
      <c r="U79" s="7637" t="n"/>
      <c r="V79" s="7637" t="n"/>
      <c r="W79" s="7637" t="n"/>
      <c r="X79" s="7638" t="n"/>
      <c r="Y79" s="3614" t="n"/>
      <c r="Z79" s="7637" t="n"/>
      <c r="AA79" s="7637" t="n"/>
      <c r="AB79" s="7637" t="n"/>
      <c r="AC79" s="7637" t="n"/>
      <c r="AD79" s="7637" t="n"/>
      <c r="AE79" s="7638" t="n"/>
      <c r="AF79" s="3614" t="n"/>
      <c r="AG79" s="7637" t="n"/>
      <c r="AH79" s="7637" t="n"/>
      <c r="AI79" s="7637" t="n"/>
      <c r="AJ79" s="7638" t="n"/>
      <c r="AK79" s="3614" t="n"/>
      <c r="AL79" s="7637" t="n"/>
      <c r="AM79" s="7637" t="n"/>
      <c r="AN79" s="7637" t="n"/>
      <c r="AO79" s="7637" t="n"/>
      <c r="AP79" s="1277" t="n"/>
      <c r="BG79" s="769" t="n"/>
      <c r="BH79" s="658" t="n"/>
      <c r="BI79" s="658" t="n"/>
      <c r="BJ79" s="658" t="n"/>
      <c r="BK79" s="658" t="n"/>
      <c r="BL79" s="658" t="n"/>
      <c r="BM79" s="658" t="n"/>
      <c r="BN79" s="658" t="n"/>
      <c r="BO79" s="658" t="n"/>
      <c r="BP79" s="658" t="n"/>
    </row>
    <row r="80" ht="13.5" customHeight="1" s="7635">
      <c r="A80" s="1277" t="n"/>
      <c r="B80" s="4824" t="inlineStr">
        <is>
          <t>A</t>
        </is>
      </c>
      <c r="C80" s="12123" t="n"/>
      <c r="D80" s="8007" t="n"/>
      <c r="E80" s="8007" t="n"/>
      <c r="F80" s="8007" t="n"/>
      <c r="G80" s="8007" t="n"/>
      <c r="H80" s="8007" t="n"/>
      <c r="I80" s="8007" t="n"/>
      <c r="J80" s="8007" t="n"/>
      <c r="K80" s="8007" t="n"/>
      <c r="L80" s="8007" t="n"/>
      <c r="M80" s="8007" t="n"/>
      <c r="N80" s="8008" t="n"/>
      <c r="O80" s="276" t="n"/>
      <c r="P80" s="8007" t="n"/>
      <c r="Q80" s="8007" t="n"/>
      <c r="R80" s="8007" t="n"/>
      <c r="S80" s="8008" t="n"/>
      <c r="T80" s="4771" t="n"/>
      <c r="U80" s="773" t="n"/>
      <c r="V80" s="276" t="n"/>
      <c r="W80" s="773" t="n"/>
      <c r="X80" s="3951" t="n"/>
      <c r="Y80" s="325" t="n"/>
      <c r="Z80" s="8007" t="n"/>
      <c r="AA80" s="8007" t="n"/>
      <c r="AB80" s="8007" t="n"/>
      <c r="AC80" s="8007" t="n"/>
      <c r="AD80" s="8007" t="n"/>
      <c r="AE80" s="8008" t="n"/>
      <c r="AF80" s="4771" t="n"/>
      <c r="AG80" s="773" t="n"/>
      <c r="AH80" s="276" t="n"/>
      <c r="AI80" s="773" t="n"/>
      <c r="AJ80" s="3951" t="n"/>
      <c r="AK80" s="4771" t="n"/>
      <c r="AL80" s="773" t="n"/>
      <c r="AM80" s="276" t="n"/>
      <c r="AN80" s="773" t="n"/>
      <c r="AO80" s="773" t="n"/>
      <c r="AP80" s="1277" t="n"/>
      <c r="BG80" s="769" t="n"/>
      <c r="BH80" s="658" t="n"/>
      <c r="BI80" s="658" t="n"/>
      <c r="BJ80" s="658" t="n"/>
      <c r="BK80" s="658" t="n"/>
      <c r="BL80" s="658" t="n"/>
      <c r="BM80" s="658" t="n"/>
      <c r="BN80" s="658" t="n"/>
      <c r="BO80" s="658" t="n"/>
      <c r="BP80" s="658" t="n"/>
    </row>
    <row r="81" ht="13.5" customHeight="1" s="7635">
      <c r="A81" s="1277" t="n"/>
      <c r="B81" s="4824" t="inlineStr">
        <is>
          <t>B</t>
        </is>
      </c>
      <c r="C81" s="12123" t="n"/>
      <c r="D81" s="8007" t="n"/>
      <c r="E81" s="8007" t="n"/>
      <c r="F81" s="8007" t="n"/>
      <c r="G81" s="8007" t="n"/>
      <c r="H81" s="8007" t="n"/>
      <c r="I81" s="8007" t="n"/>
      <c r="J81" s="8007" t="n"/>
      <c r="K81" s="8007" t="n"/>
      <c r="L81" s="8007" t="n"/>
      <c r="M81" s="8007" t="n"/>
      <c r="N81" s="8008" t="n"/>
      <c r="O81" s="276" t="n"/>
      <c r="P81" s="8007" t="n"/>
      <c r="Q81" s="8007" t="n"/>
      <c r="R81" s="8007" t="n"/>
      <c r="S81" s="8008" t="n"/>
      <c r="T81" s="4771" t="n"/>
      <c r="U81" s="773" t="n"/>
      <c r="V81" s="276" t="n"/>
      <c r="W81" s="773" t="n"/>
      <c r="X81" s="3951" t="n"/>
      <c r="Y81" s="325" t="n"/>
      <c r="Z81" s="8007" t="n"/>
      <c r="AA81" s="8007" t="n"/>
      <c r="AB81" s="8007" t="n"/>
      <c r="AC81" s="8007" t="n"/>
      <c r="AD81" s="8007" t="n"/>
      <c r="AE81" s="8008" t="n"/>
      <c r="AF81" s="4771" t="n"/>
      <c r="AG81" s="773" t="n"/>
      <c r="AH81" s="276" t="n"/>
      <c r="AI81" s="773" t="n"/>
      <c r="AJ81" s="3951" t="n"/>
      <c r="AK81" s="4771" t="n"/>
      <c r="AL81" s="773" t="n"/>
      <c r="AM81" s="276" t="n"/>
      <c r="AN81" s="773" t="n"/>
      <c r="AO81" s="773" t="n"/>
      <c r="AP81" s="1277" t="n"/>
      <c r="BG81" s="769" t="n"/>
      <c r="BH81" s="658" t="n"/>
      <c r="BI81" s="658" t="n"/>
      <c r="BJ81" s="658" t="n"/>
      <c r="BK81" s="658" t="n"/>
      <c r="BL81" s="658" t="n"/>
      <c r="BM81" s="658" t="n"/>
      <c r="BN81" s="658" t="n"/>
      <c r="BO81" s="658" t="n"/>
      <c r="BP81" s="658" t="n"/>
    </row>
    <row r="82" ht="13.5" customHeight="1" s="7635">
      <c r="A82" s="1277" t="n"/>
      <c r="B82" s="4824" t="inlineStr">
        <is>
          <t>C</t>
        </is>
      </c>
      <c r="C82" s="12123" t="n"/>
      <c r="D82" s="8007" t="n"/>
      <c r="E82" s="8007" t="n"/>
      <c r="F82" s="8007" t="n"/>
      <c r="G82" s="8007" t="n"/>
      <c r="H82" s="8007" t="n"/>
      <c r="I82" s="8007" t="n"/>
      <c r="J82" s="8007" t="n"/>
      <c r="K82" s="8007" t="n"/>
      <c r="L82" s="8007" t="n"/>
      <c r="M82" s="8007" t="n"/>
      <c r="N82" s="8008" t="n"/>
      <c r="O82" s="276" t="n"/>
      <c r="P82" s="8007" t="n"/>
      <c r="Q82" s="8007" t="n"/>
      <c r="R82" s="8007" t="n"/>
      <c r="S82" s="8008" t="n"/>
      <c r="T82" s="4771" t="n"/>
      <c r="U82" s="773" t="n"/>
      <c r="V82" s="276" t="n"/>
      <c r="W82" s="773" t="n"/>
      <c r="X82" s="3951" t="n"/>
      <c r="Y82" s="325" t="n"/>
      <c r="Z82" s="8007" t="n"/>
      <c r="AA82" s="8007" t="n"/>
      <c r="AB82" s="8007" t="n"/>
      <c r="AC82" s="8007" t="n"/>
      <c r="AD82" s="8007" t="n"/>
      <c r="AE82" s="8008" t="n"/>
      <c r="AF82" s="4771" t="n"/>
      <c r="AG82" s="773" t="n"/>
      <c r="AH82" s="276" t="n"/>
      <c r="AI82" s="773" t="n"/>
      <c r="AJ82" s="3951" t="n"/>
      <c r="AK82" s="4771" t="n"/>
      <c r="AL82" s="773" t="n"/>
      <c r="AM82" s="276" t="n"/>
      <c r="AN82" s="773" t="n"/>
      <c r="AO82" s="773" t="n"/>
      <c r="AP82" s="1277" t="n"/>
      <c r="BG82" s="769" t="n"/>
      <c r="BH82" s="658" t="n"/>
      <c r="BI82" s="658" t="n"/>
      <c r="BJ82" s="658" t="n"/>
      <c r="BK82" s="658" t="n"/>
      <c r="BL82" s="658" t="n"/>
      <c r="BM82" s="658" t="n"/>
      <c r="BN82" s="658" t="n"/>
      <c r="BO82" s="658" t="n"/>
      <c r="BP82" s="658" t="n"/>
    </row>
    <row r="83" ht="13.5" customHeight="1" s="7635">
      <c r="A83" s="1277" t="n"/>
      <c r="B83" s="4824" t="inlineStr">
        <is>
          <t>D</t>
        </is>
      </c>
      <c r="C83" s="12123" t="n"/>
      <c r="D83" s="8007" t="n"/>
      <c r="E83" s="8007" t="n"/>
      <c r="F83" s="8007" t="n"/>
      <c r="G83" s="8007" t="n"/>
      <c r="H83" s="8007" t="n"/>
      <c r="I83" s="8007" t="n"/>
      <c r="J83" s="8007" t="n"/>
      <c r="K83" s="8007" t="n"/>
      <c r="L83" s="8007" t="n"/>
      <c r="M83" s="8007" t="n"/>
      <c r="N83" s="8008" t="n"/>
      <c r="O83" s="276" t="n"/>
      <c r="P83" s="8007" t="n"/>
      <c r="Q83" s="8007" t="n"/>
      <c r="R83" s="8007" t="n"/>
      <c r="S83" s="8008" t="n"/>
      <c r="T83" s="4771" t="n"/>
      <c r="U83" s="773" t="n"/>
      <c r="V83" s="276" t="n"/>
      <c r="W83" s="773" t="n"/>
      <c r="X83" s="3951" t="n"/>
      <c r="Y83" s="325" t="n"/>
      <c r="Z83" s="8007" t="n"/>
      <c r="AA83" s="8007" t="n"/>
      <c r="AB83" s="8007" t="n"/>
      <c r="AC83" s="8007" t="n"/>
      <c r="AD83" s="8007" t="n"/>
      <c r="AE83" s="8008" t="n"/>
      <c r="AF83" s="4771" t="n"/>
      <c r="AG83" s="773" t="n"/>
      <c r="AH83" s="276" t="n"/>
      <c r="AI83" s="773" t="n"/>
      <c r="AJ83" s="3951" t="n"/>
      <c r="AK83" s="4771" t="n"/>
      <c r="AL83" s="773" t="n"/>
      <c r="AM83" s="276" t="n"/>
      <c r="AN83" s="773" t="n"/>
      <c r="AO83" s="773" t="n"/>
      <c r="AP83" s="1277" t="n"/>
      <c r="BG83" s="769" t="n"/>
      <c r="BH83" s="658" t="n"/>
      <c r="BI83" s="658" t="n"/>
      <c r="BJ83" s="658" t="n"/>
      <c r="BK83" s="658" t="n"/>
      <c r="BL83" s="658" t="n"/>
      <c r="BM83" s="658" t="n"/>
      <c r="BN83" s="658" t="n"/>
      <c r="BO83" s="658" t="n"/>
      <c r="BP83" s="658" t="n"/>
    </row>
    <row r="84" ht="17.25" customHeight="1" s="7635">
      <c r="A84" s="1277" t="n"/>
      <c r="B84" s="8384" t="inlineStr">
        <is>
          <t>Passive Income and Loss</t>
        </is>
      </c>
      <c r="C84" s="7839" t="n"/>
      <c r="D84" s="7839" t="n"/>
      <c r="E84" s="7839" t="n"/>
      <c r="F84" s="7839" t="n"/>
      <c r="G84" s="7839" t="n"/>
      <c r="H84" s="7839" t="n"/>
      <c r="I84" s="7839" t="n"/>
      <c r="J84" s="7839" t="n"/>
      <c r="K84" s="7839" t="n"/>
      <c r="L84" s="7839" t="n"/>
      <c r="M84" s="7839" t="n"/>
      <c r="N84" s="7839" t="n"/>
      <c r="O84" s="7839" t="n"/>
      <c r="P84" s="7839" t="n"/>
      <c r="Q84" s="7839" t="n"/>
      <c r="R84" s="7839" t="n"/>
      <c r="S84" s="8477" t="inlineStr">
        <is>
          <t>Nonpassive Income and Loss</t>
        </is>
      </c>
      <c r="T84" s="8412" t="n"/>
      <c r="U84" s="8412" t="n"/>
      <c r="V84" s="8412" t="n"/>
      <c r="W84" s="8412" t="n"/>
      <c r="X84" s="8412" t="n"/>
      <c r="Y84" s="8412" t="n"/>
      <c r="Z84" s="8412" t="n"/>
      <c r="AA84" s="8412" t="n"/>
      <c r="AB84" s="8412" t="n"/>
      <c r="AC84" s="8412" t="n"/>
      <c r="AD84" s="8412" t="n"/>
      <c r="AE84" s="8412" t="n"/>
      <c r="AF84" s="8412" t="n"/>
      <c r="AG84" s="8412" t="n"/>
      <c r="AH84" s="8412" t="n"/>
      <c r="AI84" s="8412" t="n"/>
      <c r="AJ84" s="8412" t="n"/>
      <c r="AK84" s="8412" t="n"/>
      <c r="AL84" s="8412" t="n"/>
      <c r="AM84" s="8412" t="n"/>
      <c r="AN84" s="8412" t="n"/>
      <c r="AO84" s="8412" t="n"/>
      <c r="AP84" s="1277" t="n"/>
      <c r="BG84" s="769" t="n"/>
      <c r="BH84" s="658" t="n"/>
      <c r="BI84" s="658" t="n"/>
      <c r="BJ84" s="658" t="n"/>
      <c r="BK84" s="658" t="n"/>
      <c r="BL84" s="658" t="n"/>
      <c r="BM84" s="658" t="n"/>
      <c r="BN84" s="658" t="n"/>
      <c r="BO84" s="658" t="n"/>
      <c r="BP84" s="658" t="n"/>
    </row>
    <row r="85" ht="12.75" customHeight="1" s="7635">
      <c r="A85" s="1277" t="n"/>
      <c r="B85" s="406" t="n"/>
      <c r="C85" s="12124" t="inlineStr">
        <is>
          <t>(g)  Passive loss allowed
(attach Form 8582 if required)</t>
        </is>
      </c>
      <c r="D85" s="7839" t="n"/>
      <c r="E85" s="7839" t="n"/>
      <c r="F85" s="7839" t="n"/>
      <c r="G85" s="7839" t="n"/>
      <c r="H85" s="7839" t="n"/>
      <c r="I85" s="7839" t="n"/>
      <c r="J85" s="10091" t="n"/>
      <c r="K85" s="10176" t="inlineStr">
        <is>
          <t>(h)  Passive income
from Schedule K-1</t>
        </is>
      </c>
      <c r="L85" s="7839" t="n"/>
      <c r="M85" s="7839" t="n"/>
      <c r="N85" s="7839" t="n"/>
      <c r="O85" s="7839" t="n"/>
      <c r="P85" s="7839" t="n"/>
      <c r="Q85" s="7839" t="n"/>
      <c r="R85" s="7839" t="n"/>
      <c r="S85" s="12125" t="inlineStr">
        <is>
          <t>(i)  Nonpassive loss allowed
(see Schedule K-1)</t>
        </is>
      </c>
      <c r="T85" s="7839" t="n"/>
      <c r="U85" s="7839" t="n"/>
      <c r="V85" s="7839" t="n"/>
      <c r="W85" s="7839" t="n"/>
      <c r="X85" s="7839" t="n"/>
      <c r="Y85" s="10091" t="n"/>
      <c r="Z85" s="12126" t="inlineStr">
        <is>
          <t>(j)  Section 179 expense
deduction from Form 4562</t>
        </is>
      </c>
      <c r="AA85" s="7839" t="n"/>
      <c r="AB85" s="7839" t="n"/>
      <c r="AC85" s="7839" t="n"/>
      <c r="AD85" s="7839" t="n"/>
      <c r="AE85" s="7839" t="n"/>
      <c r="AF85" s="7839" t="n"/>
      <c r="AG85" s="10091" t="n"/>
      <c r="AH85" s="10176" t="inlineStr">
        <is>
          <t>(k)  Nonpassive income
from Schedule K-1</t>
        </is>
      </c>
      <c r="AI85" s="7839" t="n"/>
      <c r="AJ85" s="7839" t="n"/>
      <c r="AK85" s="7839" t="n"/>
      <c r="AL85" s="7839" t="n"/>
      <c r="AM85" s="7839" t="n"/>
      <c r="AN85" s="7839" t="n"/>
      <c r="AO85" s="7839" t="n"/>
      <c r="AP85" s="1277" t="n"/>
      <c r="BG85" s="769" t="n"/>
      <c r="BH85" s="658" t="n"/>
      <c r="BI85" s="658" t="n"/>
      <c r="BJ85" s="658" t="n"/>
      <c r="BK85" s="658" t="n"/>
      <c r="BL85" s="658" t="n"/>
      <c r="BM85" s="658" t="n"/>
      <c r="BN85" s="658" t="n"/>
      <c r="BO85" s="658" t="n"/>
      <c r="BP85" s="658" t="n"/>
    </row>
    <row r="86" ht="12.75" customHeight="1" s="7635">
      <c r="A86" s="1277" t="n"/>
      <c r="B86" s="11602" t="n"/>
      <c r="J86" s="7636" t="n"/>
      <c r="K86" s="4772" t="n"/>
      <c r="S86" s="11741" t="n"/>
      <c r="Y86" s="7636" t="n"/>
      <c r="Z86" s="4772" t="n"/>
      <c r="AG86" s="7636" t="n"/>
      <c r="AH86" s="4772" t="n"/>
      <c r="AP86" s="1277" t="n"/>
      <c r="BG86" s="769" t="n"/>
      <c r="BH86" s="658" t="n"/>
      <c r="BI86" s="658" t="n"/>
      <c r="BJ86" s="658" t="n"/>
      <c r="BK86" s="658" t="n"/>
      <c r="BL86" s="658" t="n"/>
      <c r="BM86" s="658" t="n"/>
      <c r="BN86" s="658" t="n"/>
      <c r="BO86" s="658" t="n"/>
      <c r="BP86" s="658" t="n"/>
    </row>
    <row r="87" ht="12.75" customHeight="1" s="7635">
      <c r="A87" s="1277" t="n"/>
      <c r="B87" s="413" t="n"/>
      <c r="C87" s="7637" t="n"/>
      <c r="D87" s="7637" t="n"/>
      <c r="E87" s="7637" t="n"/>
      <c r="F87" s="7637" t="n"/>
      <c r="G87" s="7637" t="n"/>
      <c r="H87" s="7637" t="n"/>
      <c r="I87" s="7637" t="n"/>
      <c r="J87" s="7638" t="n"/>
      <c r="K87" s="3614" t="n"/>
      <c r="L87" s="7637" t="n"/>
      <c r="M87" s="7637" t="n"/>
      <c r="N87" s="7637" t="n"/>
      <c r="O87" s="7637" t="n"/>
      <c r="P87" s="7637" t="n"/>
      <c r="Q87" s="7637" t="n"/>
      <c r="R87" s="7637" t="n"/>
      <c r="S87" s="11907" t="n"/>
      <c r="T87" s="7637" t="n"/>
      <c r="U87" s="7637" t="n"/>
      <c r="V87" s="7637" t="n"/>
      <c r="W87" s="7637" t="n"/>
      <c r="X87" s="7637" t="n"/>
      <c r="Y87" s="7638" t="n"/>
      <c r="Z87" s="3614" t="n"/>
      <c r="AA87" s="7637" t="n"/>
      <c r="AB87" s="7637" t="n"/>
      <c r="AC87" s="7637" t="n"/>
      <c r="AD87" s="7637" t="n"/>
      <c r="AE87" s="7637" t="n"/>
      <c r="AF87" s="7637" t="n"/>
      <c r="AG87" s="7638" t="n"/>
      <c r="AH87" s="3614" t="n"/>
      <c r="AI87" s="7637" t="n"/>
      <c r="AJ87" s="7637" t="n"/>
      <c r="AK87" s="7637" t="n"/>
      <c r="AL87" s="7637" t="n"/>
      <c r="AM87" s="7637" t="n"/>
      <c r="AN87" s="7637" t="n"/>
      <c r="AO87" s="7637" t="n"/>
      <c r="AP87" s="1277" t="n"/>
      <c r="BG87" s="769" t="n"/>
      <c r="BH87" s="658" t="n"/>
      <c r="BI87" s="658" t="n"/>
      <c r="BJ87" s="658" t="n"/>
      <c r="BK87" s="658" t="n"/>
      <c r="BL87" s="658" t="n"/>
      <c r="BM87" s="658" t="n"/>
      <c r="BN87" s="658" t="n"/>
      <c r="BO87" s="658" t="n"/>
      <c r="BP87" s="658" t="n"/>
    </row>
    <row r="88" ht="13.5" customHeight="1" s="7635">
      <c r="A88" s="1277" t="n"/>
      <c r="B88" s="11220" t="inlineStr">
        <is>
          <t>A</t>
        </is>
      </c>
      <c r="C88" s="8401" t="n"/>
      <c r="D88" s="8007" t="n"/>
      <c r="E88" s="8007" t="n"/>
      <c r="F88" s="8007" t="n"/>
      <c r="G88" s="8007" t="n"/>
      <c r="H88" s="8007" t="n"/>
      <c r="I88" s="8007" t="n"/>
      <c r="J88" s="8008" t="n"/>
      <c r="K88" s="12127" t="n"/>
      <c r="L88" s="8007" t="n"/>
      <c r="M88" s="8007" t="n"/>
      <c r="N88" s="8007" t="n"/>
      <c r="O88" s="8007" t="n"/>
      <c r="P88" s="8007" t="n"/>
      <c r="Q88" s="8007" t="n"/>
      <c r="R88" s="12128" t="n"/>
      <c r="S88" s="8402" t="n"/>
      <c r="T88" s="8007" t="n"/>
      <c r="U88" s="8007" t="n"/>
      <c r="V88" s="8007" t="n"/>
      <c r="W88" s="8007" t="n"/>
      <c r="X88" s="8007" t="n"/>
      <c r="Y88" s="8007" t="n"/>
      <c r="Z88" s="8401" t="n"/>
      <c r="AA88" s="8007" t="n"/>
      <c r="AB88" s="8007" t="n"/>
      <c r="AC88" s="8007" t="n"/>
      <c r="AD88" s="8007" t="n"/>
      <c r="AE88" s="8007" t="n"/>
      <c r="AF88" s="8007" t="n"/>
      <c r="AG88" s="8008" t="n"/>
      <c r="AH88" s="8402" t="n"/>
      <c r="AI88" s="8007" t="n"/>
      <c r="AJ88" s="8007" t="n"/>
      <c r="AK88" s="8007" t="n"/>
      <c r="AL88" s="8007" t="n"/>
      <c r="AM88" s="8007" t="n"/>
      <c r="AN88" s="8007" t="n"/>
      <c r="AO88" s="8007" t="n"/>
      <c r="AP88" s="1277" t="n"/>
      <c r="BG88" s="769" t="n"/>
      <c r="BH88" s="658" t="n"/>
      <c r="BI88" s="658" t="n"/>
      <c r="BJ88" s="658" t="n"/>
      <c r="BK88" s="658" t="n"/>
      <c r="BL88" s="658" t="n"/>
      <c r="BM88" s="658" t="n"/>
      <c r="BN88" s="658" t="n"/>
      <c r="BO88" s="658" t="n"/>
      <c r="BP88" s="658" t="n"/>
    </row>
    <row r="89" ht="13.5" customHeight="1" s="7635">
      <c r="A89" s="1277" t="n"/>
      <c r="B89" s="4824" t="inlineStr">
        <is>
          <t>B</t>
        </is>
      </c>
      <c r="C89" s="8401" t="n"/>
      <c r="D89" s="8007" t="n"/>
      <c r="E89" s="8007" t="n"/>
      <c r="F89" s="8007" t="n"/>
      <c r="G89" s="8007" t="n"/>
      <c r="H89" s="8007" t="n"/>
      <c r="I89" s="8007" t="n"/>
      <c r="J89" s="8008" t="n"/>
      <c r="K89" s="12127" t="n"/>
      <c r="L89" s="8007" t="n"/>
      <c r="M89" s="8007" t="n"/>
      <c r="N89" s="8007" t="n"/>
      <c r="O89" s="8007" t="n"/>
      <c r="P89" s="8007" t="n"/>
      <c r="Q89" s="8007" t="n"/>
      <c r="R89" s="12128" t="n"/>
      <c r="S89" s="8402" t="n"/>
      <c r="T89" s="8007" t="n"/>
      <c r="U89" s="8007" t="n"/>
      <c r="V89" s="8007" t="n"/>
      <c r="W89" s="8007" t="n"/>
      <c r="X89" s="8007" t="n"/>
      <c r="Y89" s="8007" t="n"/>
      <c r="Z89" s="8401" t="n"/>
      <c r="AA89" s="8007" t="n"/>
      <c r="AB89" s="8007" t="n"/>
      <c r="AC89" s="8007" t="n"/>
      <c r="AD89" s="8007" t="n"/>
      <c r="AE89" s="8007" t="n"/>
      <c r="AF89" s="8007" t="n"/>
      <c r="AG89" s="8008" t="n"/>
      <c r="AH89" s="8402" t="n"/>
      <c r="AI89" s="8007" t="n"/>
      <c r="AJ89" s="8007" t="n"/>
      <c r="AK89" s="8007" t="n"/>
      <c r="AL89" s="8007" t="n"/>
      <c r="AM89" s="8007" t="n"/>
      <c r="AN89" s="8007" t="n"/>
      <c r="AO89" s="8007" t="n"/>
      <c r="AP89" s="1277" t="n"/>
      <c r="BG89" s="769" t="n"/>
      <c r="BH89" s="658" t="n"/>
      <c r="BI89" s="658" t="n"/>
      <c r="BJ89" s="658" t="n"/>
      <c r="BK89" s="658" t="n"/>
      <c r="BL89" s="658" t="n"/>
      <c r="BM89" s="658" t="n"/>
      <c r="BN89" s="658" t="n"/>
      <c r="BO89" s="658" t="n"/>
      <c r="BP89" s="658" t="n"/>
    </row>
    <row r="90" ht="13.5" customHeight="1" s="7635">
      <c r="A90" s="1277" t="n"/>
      <c r="B90" s="4824" t="inlineStr">
        <is>
          <t>C</t>
        </is>
      </c>
      <c r="C90" s="8401" t="n"/>
      <c r="D90" s="8007" t="n"/>
      <c r="E90" s="8007" t="n"/>
      <c r="F90" s="8007" t="n"/>
      <c r="G90" s="8007" t="n"/>
      <c r="H90" s="8007" t="n"/>
      <c r="I90" s="8007" t="n"/>
      <c r="J90" s="8008" t="n"/>
      <c r="K90" s="12127" t="n"/>
      <c r="L90" s="8007" t="n"/>
      <c r="M90" s="8007" t="n"/>
      <c r="N90" s="8007" t="n"/>
      <c r="O90" s="8007" t="n"/>
      <c r="P90" s="8007" t="n"/>
      <c r="Q90" s="8007" t="n"/>
      <c r="R90" s="12128" t="n"/>
      <c r="S90" s="8402" t="n"/>
      <c r="T90" s="8007" t="n"/>
      <c r="U90" s="8007" t="n"/>
      <c r="V90" s="8007" t="n"/>
      <c r="W90" s="8007" t="n"/>
      <c r="X90" s="8007" t="n"/>
      <c r="Y90" s="8007" t="n"/>
      <c r="Z90" s="8401" t="n"/>
      <c r="AA90" s="8007" t="n"/>
      <c r="AB90" s="8007" t="n"/>
      <c r="AC90" s="8007" t="n"/>
      <c r="AD90" s="8007" t="n"/>
      <c r="AE90" s="8007" t="n"/>
      <c r="AF90" s="8007" t="n"/>
      <c r="AG90" s="8008" t="n"/>
      <c r="AH90" s="8402" t="n"/>
      <c r="AI90" s="8007" t="n"/>
      <c r="AJ90" s="8007" t="n"/>
      <c r="AK90" s="8007" t="n"/>
      <c r="AL90" s="8007" t="n"/>
      <c r="AM90" s="8007" t="n"/>
      <c r="AN90" s="8007" t="n"/>
      <c r="AO90" s="8007" t="n"/>
      <c r="AP90" s="1277" t="n"/>
      <c r="BG90" s="769" t="n"/>
      <c r="BH90" s="658" t="n"/>
      <c r="BI90" s="658" t="n"/>
      <c r="BJ90" s="658" t="n"/>
      <c r="BK90" s="658" t="n"/>
      <c r="BL90" s="658" t="n"/>
      <c r="BM90" s="658" t="n"/>
      <c r="BN90" s="658" t="n"/>
      <c r="BO90" s="658" t="n"/>
      <c r="BP90" s="658" t="n"/>
    </row>
    <row r="91" ht="13.5" customHeight="1" s="7635">
      <c r="A91" s="1277" t="n"/>
      <c r="B91" s="4824" t="inlineStr">
        <is>
          <t>D</t>
        </is>
      </c>
      <c r="C91" s="8401" t="n"/>
      <c r="D91" s="8007" t="n"/>
      <c r="E91" s="8007" t="n"/>
      <c r="F91" s="8007" t="n"/>
      <c r="G91" s="8007" t="n"/>
      <c r="H91" s="8007" t="n"/>
      <c r="I91" s="8007" t="n"/>
      <c r="J91" s="8008" t="n"/>
      <c r="K91" s="12127" t="n"/>
      <c r="L91" s="8007" t="n"/>
      <c r="M91" s="8007" t="n"/>
      <c r="N91" s="8007" t="n"/>
      <c r="O91" s="8007" t="n"/>
      <c r="P91" s="8007" t="n"/>
      <c r="Q91" s="8007" t="n"/>
      <c r="R91" s="12128" t="n"/>
      <c r="S91" s="8402" t="n"/>
      <c r="T91" s="8007" t="n"/>
      <c r="U91" s="8007" t="n"/>
      <c r="V91" s="8007" t="n"/>
      <c r="W91" s="8007" t="n"/>
      <c r="X91" s="8007" t="n"/>
      <c r="Y91" s="8007" t="n"/>
      <c r="Z91" s="8401" t="n"/>
      <c r="AA91" s="8007" t="n"/>
      <c r="AB91" s="8007" t="n"/>
      <c r="AC91" s="8007" t="n"/>
      <c r="AD91" s="8007" t="n"/>
      <c r="AE91" s="8007" t="n"/>
      <c r="AF91" s="8007" t="n"/>
      <c r="AG91" s="8008" t="n"/>
      <c r="AH91" s="8402" t="n"/>
      <c r="AI91" s="8007" t="n"/>
      <c r="AJ91" s="8007" t="n"/>
      <c r="AK91" s="8007" t="n"/>
      <c r="AL91" s="8007" t="n"/>
      <c r="AM91" s="8007" t="n"/>
      <c r="AN91" s="8007" t="n"/>
      <c r="AO91" s="8007" t="n"/>
      <c r="AP91" s="1277" t="n"/>
      <c r="BG91" s="769" t="n"/>
      <c r="BH91" s="658" t="n"/>
      <c r="BI91" s="658" t="n"/>
      <c r="BJ91" s="658" t="n"/>
      <c r="BK91" s="658" t="n"/>
      <c r="BL91" s="658" t="n"/>
      <c r="BM91" s="658" t="n"/>
      <c r="BN91" s="658" t="n"/>
      <c r="BO91" s="658" t="n"/>
      <c r="BP91" s="658" t="n"/>
    </row>
    <row r="92" ht="13.5" customHeight="1" s="7635">
      <c r="A92" s="1277" t="n"/>
      <c r="B92" s="8384" t="inlineStr">
        <is>
          <t>29a</t>
        </is>
      </c>
      <c r="C92" s="7839" t="n"/>
      <c r="D92" s="9892" t="n"/>
      <c r="E92" s="9892" t="inlineStr">
        <is>
          <t>Totals</t>
        </is>
      </c>
      <c r="F92" s="4825" t="n"/>
      <c r="G92" s="3835" t="n"/>
      <c r="H92" s="3835" t="n"/>
      <c r="I92" s="3835" t="n"/>
      <c r="J92" s="4826" t="n"/>
      <c r="K92" s="12129">
        <f>ROUND(SUM(K88:K91),0)</f>
        <v/>
      </c>
      <c r="L92" s="8412" t="n"/>
      <c r="M92" s="8412" t="n"/>
      <c r="N92" s="8412" t="n"/>
      <c r="O92" s="8412" t="n"/>
      <c r="P92" s="8412" t="n"/>
      <c r="Q92" s="8412" t="n"/>
      <c r="R92" s="12130" t="n"/>
      <c r="S92" s="8486" t="n"/>
      <c r="T92" s="8007" t="n"/>
      <c r="U92" s="8007" t="n"/>
      <c r="V92" s="8007" t="n"/>
      <c r="W92" s="8007" t="n"/>
      <c r="X92" s="8007" t="n"/>
      <c r="Y92" s="8007" t="n"/>
      <c r="Z92" s="3835" t="n"/>
      <c r="AA92" s="3835" t="n"/>
      <c r="AB92" s="3835" t="n"/>
      <c r="AC92" s="3835" t="n"/>
      <c r="AD92" s="3835" t="n"/>
      <c r="AE92" s="3835" t="n"/>
      <c r="AF92" s="3835" t="n"/>
      <c r="AG92" s="4826" t="n"/>
      <c r="AH92" s="8408">
        <f>ROUND(SUM(AH88:AH91),0)</f>
        <v/>
      </c>
      <c r="AI92" s="8412" t="n"/>
      <c r="AJ92" s="8412" t="n"/>
      <c r="AK92" s="8412" t="n"/>
      <c r="AL92" s="8412" t="n"/>
      <c r="AM92" s="8412" t="n"/>
      <c r="AN92" s="8412" t="n"/>
      <c r="AO92" s="8412" t="n"/>
      <c r="AP92" s="1277" t="n"/>
      <c r="BG92" s="769" t="n"/>
      <c r="BH92" s="658" t="n"/>
      <c r="BI92" s="658" t="n"/>
      <c r="BJ92" s="658" t="n"/>
      <c r="BK92" s="658" t="n"/>
      <c r="BL92" s="658" t="n"/>
      <c r="BM92" s="658" t="n"/>
      <c r="BN92" s="658" t="n"/>
      <c r="BO92" s="658" t="n"/>
      <c r="BP92" s="658" t="n"/>
    </row>
    <row r="93" ht="13.5" customHeight="1" s="7635">
      <c r="A93" s="1277" t="n"/>
      <c r="B93" s="7899" t="inlineStr">
        <is>
          <t>b</t>
        </is>
      </c>
      <c r="D93" s="8650" t="n"/>
      <c r="E93" s="9892" t="inlineStr">
        <is>
          <t>Totals</t>
        </is>
      </c>
      <c r="F93" s="12131">
        <f>ROUND(SUM(C88:C91),0)</f>
        <v/>
      </c>
      <c r="G93" s="8412" t="n"/>
      <c r="H93" s="8412" t="n"/>
      <c r="I93" s="8412" t="n"/>
      <c r="J93" s="11734" t="n"/>
      <c r="K93" s="12132" t="n"/>
      <c r="L93" s="8412" t="n"/>
      <c r="M93" s="8412" t="n"/>
      <c r="N93" s="8412" t="n"/>
      <c r="O93" s="8412" t="n"/>
      <c r="P93" s="8412" t="n"/>
      <c r="Q93" s="8412" t="n"/>
      <c r="R93" s="12130" t="n"/>
      <c r="S93" s="12133">
        <f>ROUND(SUM(S88:S91),0)</f>
        <v/>
      </c>
      <c r="T93" s="8412" t="n"/>
      <c r="U93" s="8412" t="n"/>
      <c r="V93" s="8412" t="n"/>
      <c r="W93" s="8412" t="n"/>
      <c r="X93" s="8412" t="n"/>
      <c r="Y93" s="11734" t="n"/>
      <c r="Z93" s="8494">
        <f>ROUND(SUM(Z88:Z91),0)</f>
        <v/>
      </c>
      <c r="AA93" s="8412" t="n"/>
      <c r="AB93" s="8412" t="n"/>
      <c r="AC93" s="8412" t="n"/>
      <c r="AD93" s="8412" t="n"/>
      <c r="AE93" s="8412" t="n"/>
      <c r="AF93" s="8412" t="n"/>
      <c r="AG93" s="11734" t="n"/>
      <c r="AH93" s="8495" t="n"/>
      <c r="AI93" s="8412" t="n"/>
      <c r="AJ93" s="8412" t="n"/>
      <c r="AK93" s="8412" t="n"/>
      <c r="AL93" s="8412" t="n"/>
      <c r="AM93" s="8412" t="n"/>
      <c r="AN93" s="8412" t="n"/>
      <c r="AO93" s="11734" t="n"/>
      <c r="AP93" s="1277" t="n"/>
      <c r="BG93" s="769" t="n"/>
      <c r="BH93" s="658" t="n"/>
      <c r="BI93" s="658" t="n"/>
      <c r="BJ93" s="658" t="n"/>
      <c r="BK93" s="658" t="n"/>
      <c r="BL93" s="658" t="n"/>
      <c r="BM93" s="658" t="n"/>
      <c r="BN93" s="658" t="n"/>
      <c r="BO93" s="658" t="n"/>
      <c r="BP93" s="658" t="n"/>
    </row>
    <row r="94" ht="12.75" customHeight="1" s="7635">
      <c r="A94" s="1277" t="n"/>
      <c r="B94" s="7642" t="n">
        <v>30</v>
      </c>
      <c r="D94" s="8650" t="inlineStr">
        <is>
          <t>Add columns (h) and (k) of line 29a</t>
        </is>
      </c>
      <c r="E94" s="11602" t="n"/>
      <c r="F94" s="11602" t="n"/>
      <c r="G94" s="11602" t="n"/>
      <c r="H94" s="11602" t="n"/>
      <c r="I94" s="11602" t="n"/>
      <c r="J94" s="11602" t="n"/>
      <c r="K94" s="11602" t="n"/>
      <c r="L94" s="11602" t="n"/>
      <c r="M94" s="11602" t="n"/>
      <c r="N94" s="11602" t="n"/>
      <c r="O94" s="11602" t="n"/>
      <c r="P94" s="11602" t="n"/>
      <c r="Q94" s="11602" t="n"/>
      <c r="R94" s="11602" t="n"/>
      <c r="S94" s="11602" t="n"/>
      <c r="T94" s="11602" t="n"/>
      <c r="U94" s="11602" t="n"/>
      <c r="V94" s="11602" t="n"/>
      <c r="W94" s="11602" t="n"/>
      <c r="X94" s="11602" t="n"/>
      <c r="Y94" s="11602" t="n"/>
      <c r="Z94" s="11602" t="n"/>
      <c r="AA94" s="11602" t="n"/>
      <c r="AB94" s="11602" t="n"/>
      <c r="AC94" s="11602" t="n"/>
      <c r="AD94" s="11602" t="n"/>
      <c r="AE94" s="2198" t="inlineStr">
        <is>
          <t xml:space="preserve">.   .   .   .   .   .   .   .   .   .   .   .   .   .   .   .   .   .   .   .   .   .   .   . </t>
        </is>
      </c>
      <c r="AF94" s="12134" t="n">
        <v>30</v>
      </c>
      <c r="AG94" s="10091" t="n"/>
      <c r="AH94" s="8413">
        <f>SUM(K92,AH92)</f>
        <v/>
      </c>
      <c r="AI94" s="8412" t="n"/>
      <c r="AJ94" s="8412" t="n"/>
      <c r="AK94" s="8412" t="n"/>
      <c r="AL94" s="8412" t="n"/>
      <c r="AM94" s="8412" t="n"/>
      <c r="AN94" s="8412" t="n"/>
      <c r="AO94" s="8412" t="n"/>
      <c r="AP94" s="1277" t="n"/>
      <c r="AQ94" s="2875" t="n"/>
      <c r="AR94" s="2875" t="n"/>
      <c r="AS94" s="2875" t="n"/>
      <c r="BG94" s="769" t="n"/>
      <c r="BH94" s="658" t="n"/>
      <c r="BI94" s="658" t="n"/>
      <c r="BJ94" s="658" t="n"/>
      <c r="BK94" s="658" t="n"/>
      <c r="BL94" s="658" t="n"/>
      <c r="BM94" s="658" t="n"/>
      <c r="BN94" s="658" t="n"/>
      <c r="BO94" s="658" t="n"/>
      <c r="BP94" s="658" t="n"/>
    </row>
    <row r="95" ht="12.75" customHeight="1" s="7635" thickBot="1">
      <c r="A95" s="1277" t="n"/>
      <c r="B95" s="7642" t="n">
        <v>31</v>
      </c>
      <c r="D95" s="8650" t="inlineStr">
        <is>
          <t>Add columns (g), (i), and (j) of line 29b</t>
        </is>
      </c>
      <c r="E95" s="11602" t="n"/>
      <c r="F95" s="11602" t="n"/>
      <c r="G95" s="11602" t="n"/>
      <c r="H95" s="11602" t="n"/>
      <c r="I95" s="11602" t="n"/>
      <c r="J95" s="11602" t="n"/>
      <c r="K95" s="11602" t="n"/>
      <c r="L95" s="11602" t="n"/>
      <c r="M95" s="11602" t="n"/>
      <c r="N95" s="11602" t="n"/>
      <c r="O95" s="11602" t="n"/>
      <c r="P95" s="11602" t="n"/>
      <c r="Q95" s="11602" t="n"/>
      <c r="R95" s="11602" t="n"/>
      <c r="S95" s="11602" t="n"/>
      <c r="T95" s="11602" t="n"/>
      <c r="U95" s="11602" t="n"/>
      <c r="V95" s="11602" t="n"/>
      <c r="W95" s="11602" t="n"/>
      <c r="X95" s="11602" t="n"/>
      <c r="Y95" s="11602" t="n"/>
      <c r="Z95" s="11602" t="n"/>
      <c r="AA95" s="11602" t="n"/>
      <c r="AB95" s="11602" t="n"/>
      <c r="AC95" s="11602" t="n"/>
      <c r="AD95" s="11602" t="n"/>
      <c r="AE95" s="2198" t="inlineStr">
        <is>
          <t xml:space="preserve">.   .   .   .   .   .   .   .   .   .   .   .   .   .   .   .   .   .   .   .   .   .   . </t>
        </is>
      </c>
      <c r="AF95" s="12134" t="n">
        <v>31</v>
      </c>
      <c r="AG95" s="10091" t="n"/>
      <c r="AH95" s="4827" t="inlineStr">
        <is>
          <t>(</t>
        </is>
      </c>
      <c r="AI95" s="8480">
        <f>SUM(F93,S93,Z93)</f>
        <v/>
      </c>
      <c r="AJ95" s="7839" t="n"/>
      <c r="AK95" s="7839" t="n"/>
      <c r="AL95" s="7839" t="n"/>
      <c r="AM95" s="7839" t="n"/>
      <c r="AN95" s="7839" t="n"/>
      <c r="AO95" s="4828" t="inlineStr">
        <is>
          <t>)</t>
        </is>
      </c>
      <c r="AP95" s="1277" t="n"/>
      <c r="AQ95" s="2875" t="n"/>
      <c r="AR95" s="8788" t="inlineStr">
        <is>
          <t>Override</t>
        </is>
      </c>
      <c r="AS95" s="2875" t="n"/>
      <c r="BG95" s="769" t="n"/>
      <c r="BH95" s="658" t="n"/>
      <c r="BI95" s="658" t="n"/>
      <c r="BJ95" s="658" t="n"/>
      <c r="BK95" s="658" t="n"/>
      <c r="BL95" s="658" t="n"/>
      <c r="BM95" s="658" t="n"/>
      <c r="BN95" s="658" t="n"/>
      <c r="BO95" s="658" t="n"/>
      <c r="BP95" s="658" t="n"/>
    </row>
    <row r="96" ht="12.75" customHeight="1" s="7635" thickBot="1">
      <c r="A96" s="1277" t="n"/>
      <c r="B96" s="8481" t="n">
        <v>32</v>
      </c>
      <c r="C96" s="8848" t="n"/>
      <c r="D96" s="4830" t="inlineStr">
        <is>
          <t>Total partnership and S corporation income or (loss). Combine lines 30 and 31</t>
        </is>
      </c>
      <c r="E96" s="380" t="n"/>
      <c r="F96" s="380" t="n"/>
      <c r="G96" s="380" t="n"/>
      <c r="H96" s="380" t="n"/>
      <c r="I96" s="380" t="n"/>
      <c r="J96" s="380" t="n"/>
      <c r="K96" s="380" t="n"/>
      <c r="L96" s="380" t="n"/>
      <c r="M96" s="380" t="n"/>
      <c r="N96" s="380" t="n"/>
      <c r="O96" s="380" t="n"/>
      <c r="P96" s="380" t="n"/>
      <c r="Q96" s="380" t="n"/>
      <c r="R96" s="380" t="n"/>
      <c r="S96" s="380" t="n"/>
      <c r="T96" s="380" t="n"/>
      <c r="U96" s="380" t="n"/>
      <c r="V96" s="380" t="n"/>
      <c r="W96" s="380" t="n"/>
      <c r="X96" s="380" t="n"/>
      <c r="Y96" s="380" t="n"/>
      <c r="Z96" s="380" t="n"/>
      <c r="AA96" s="380" t="n"/>
      <c r="AB96" s="380" t="n"/>
      <c r="AC96" s="380" t="n"/>
      <c r="AD96" s="380" t="n"/>
      <c r="AE96" s="4533" t="inlineStr">
        <is>
          <t xml:space="preserve">.   .   .   . </t>
        </is>
      </c>
      <c r="AF96" s="12135" t="n">
        <v>32</v>
      </c>
      <c r="AG96" s="12136" t="n"/>
      <c r="AH96" s="8484">
        <f>IF(AR96&lt;&gt;"",ROUND(AR96,0),SUM(AH94,-AI95))</f>
        <v/>
      </c>
      <c r="AI96" s="12137" t="n"/>
      <c r="AJ96" s="12137" t="n"/>
      <c r="AK96" s="12137" t="n"/>
      <c r="AL96" s="12137" t="n"/>
      <c r="AM96" s="12137" t="n"/>
      <c r="AN96" s="12137" t="n"/>
      <c r="AO96" s="12137" t="n"/>
      <c r="AP96" s="1277" t="n"/>
      <c r="AQ96" s="2875" t="n"/>
      <c r="AR96" s="776" t="n"/>
      <c r="AS96" s="2875" t="n"/>
      <c r="BG96" s="769" t="n"/>
      <c r="BH96" s="658" t="n"/>
      <c r="BI96" s="658" t="n"/>
      <c r="BJ96" s="658" t="n"/>
      <c r="BK96" s="658" t="n"/>
      <c r="BL96" s="658" t="n"/>
      <c r="BM96" s="658" t="n"/>
      <c r="BN96" s="658" t="n"/>
      <c r="BO96" s="658" t="n"/>
      <c r="BP96" s="658" t="n"/>
    </row>
    <row r="97" ht="17.25" customFormat="1" customHeight="1" s="1405">
      <c r="A97" s="2119" t="n"/>
      <c r="B97" s="8463" t="inlineStr">
        <is>
          <t>Part III</t>
        </is>
      </c>
      <c r="C97" s="7637" t="n"/>
      <c r="D97" s="7637" t="n"/>
      <c r="E97" s="1998" t="n"/>
      <c r="F97" s="1997" t="inlineStr">
        <is>
          <t>Income or Loss From Estates and Trusts</t>
        </is>
      </c>
      <c r="G97" s="1998" t="n"/>
      <c r="H97" s="1998" t="n"/>
      <c r="I97" s="1998" t="n"/>
      <c r="J97" s="1998" t="n"/>
      <c r="K97" s="1998" t="n"/>
      <c r="L97" s="1998" t="n"/>
      <c r="M97" s="1998" t="n"/>
      <c r="N97" s="1998" t="n"/>
      <c r="O97" s="1998" t="n"/>
      <c r="P97" s="1998" t="n"/>
      <c r="Q97" s="1998" t="n"/>
      <c r="R97" s="1998" t="n"/>
      <c r="S97" s="1998" t="n"/>
      <c r="T97" s="1998" t="n"/>
      <c r="U97" s="1998" t="n"/>
      <c r="V97" s="1998" t="n"/>
      <c r="W97" s="1998" t="n"/>
      <c r="X97" s="1996" t="n"/>
      <c r="Y97" s="1998" t="n"/>
      <c r="Z97" s="1998" t="n"/>
      <c r="AA97" s="1998" t="n"/>
      <c r="AB97" s="1998" t="n"/>
      <c r="AC97" s="1998" t="n"/>
      <c r="AD97" s="1998" t="n"/>
      <c r="AE97" s="1998" t="n"/>
      <c r="AF97" s="1998" t="n"/>
      <c r="AG97" s="1998" t="n"/>
      <c r="AH97" s="1998" t="n"/>
      <c r="AI97" s="1998" t="n"/>
      <c r="AJ97" s="1998" t="n"/>
      <c r="AK97" s="1998" t="n"/>
      <c r="AL97" s="1998" t="n"/>
      <c r="AM97" s="1998" t="n"/>
      <c r="AN97" s="1998" t="n"/>
      <c r="AO97" s="1998" t="n"/>
      <c r="AP97" s="1277" t="n"/>
      <c r="AQ97" s="2875" t="n"/>
      <c r="AR97" s="2875" t="n"/>
      <c r="AS97" s="2875" t="n"/>
      <c r="BG97" s="769" t="n"/>
      <c r="BH97" s="658" t="n"/>
      <c r="BI97" s="658" t="n"/>
      <c r="BJ97" s="658" t="n"/>
      <c r="BK97" s="658" t="n"/>
      <c r="BL97" s="658" t="n"/>
      <c r="BM97" s="658" t="n"/>
      <c r="BN97" s="658" t="n"/>
      <c r="BO97" s="658" t="n"/>
      <c r="BP97" s="658" t="n"/>
      <c r="BQ97" s="815" t="n"/>
    </row>
    <row r="98" ht="12.75" customHeight="1" s="7635">
      <c r="A98" s="1277"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c r="AA98" s="406" t="n"/>
      <c r="AB98" s="406" t="n"/>
      <c r="AC98" s="406" t="n"/>
      <c r="AD98" s="406" t="n"/>
      <c r="AE98" s="406" t="n"/>
      <c r="AF98" s="406" t="n"/>
      <c r="AG98" s="407" t="n"/>
      <c r="AH98" s="10176" t="inlineStr">
        <is>
          <t>(b)  Employer 
identification number</t>
        </is>
      </c>
      <c r="AI98" s="7839" t="n"/>
      <c r="AJ98" s="7839" t="n"/>
      <c r="AK98" s="7839" t="n"/>
      <c r="AL98" s="7839" t="n"/>
      <c r="AM98" s="7839" t="n"/>
      <c r="AN98" s="7839" t="n"/>
      <c r="AO98" s="7839" t="n"/>
      <c r="AP98" s="1277" t="n"/>
      <c r="BG98" s="769" t="n"/>
      <c r="BH98" s="658" t="n"/>
      <c r="BI98" s="658" t="n"/>
      <c r="BJ98" s="658" t="n"/>
      <c r="BK98" s="658" t="n"/>
      <c r="BL98" s="658" t="n"/>
      <c r="BM98" s="658" t="n"/>
      <c r="BN98" s="658" t="n"/>
      <c r="BO98" s="658" t="n"/>
      <c r="BP98" s="658" t="n"/>
    </row>
    <row r="99" ht="12.75" customHeight="1" s="7635">
      <c r="A99" s="1277" t="n"/>
      <c r="B99" s="8439" t="n">
        <v>33</v>
      </c>
      <c r="D99" s="11602" t="n"/>
      <c r="E99" s="11602" t="n"/>
      <c r="F99" s="11602" t="n"/>
      <c r="G99" s="11602" t="n"/>
      <c r="H99" s="11602" t="n"/>
      <c r="I99" s="11602" t="n"/>
      <c r="J99" s="11602" t="n"/>
      <c r="K99" s="11602" t="n"/>
      <c r="L99" s="11602" t="n"/>
      <c r="M99" s="11602" t="n"/>
      <c r="N99" s="11602" t="n"/>
      <c r="O99" s="11602" t="n"/>
      <c r="P99" s="344" t="inlineStr">
        <is>
          <t>(a)  Name</t>
        </is>
      </c>
      <c r="Q99" s="11602" t="n"/>
      <c r="R99" s="11602" t="n"/>
      <c r="S99" s="11602" t="n"/>
      <c r="T99" s="11602" t="n"/>
      <c r="U99" s="11602" t="n"/>
      <c r="V99" s="11602" t="n"/>
      <c r="W99" s="11602" t="n"/>
      <c r="X99" s="11602" t="n"/>
      <c r="Y99" s="11602" t="n"/>
      <c r="Z99" s="11602" t="n"/>
      <c r="AA99" s="11602" t="n"/>
      <c r="AB99" s="11602" t="n"/>
      <c r="AC99" s="11602" t="n"/>
      <c r="AD99" s="11602" t="n"/>
      <c r="AE99" s="11602" t="n"/>
      <c r="AF99" s="11602" t="n"/>
      <c r="AG99" s="409" t="n"/>
      <c r="AH99" s="4772" t="n"/>
      <c r="AP99" s="1277" t="n"/>
      <c r="AX99" s="1405" t="n"/>
      <c r="AY99" s="1405" t="n"/>
      <c r="AZ99" s="1405" t="n"/>
      <c r="BA99" s="1405" t="n"/>
      <c r="BB99" s="1405" t="n"/>
      <c r="BC99" s="1405" t="n"/>
      <c r="BD99" s="1405" t="n"/>
      <c r="BG99" s="769" t="n"/>
      <c r="BH99" s="658" t="n"/>
      <c r="BI99" s="658" t="n"/>
      <c r="BJ99" s="658" t="n"/>
      <c r="BK99" s="658" t="n"/>
      <c r="BL99" s="658" t="n"/>
      <c r="BM99" s="658" t="n"/>
      <c r="BN99" s="658" t="n"/>
      <c r="BO99" s="658" t="n"/>
      <c r="BP99" s="658" t="n"/>
    </row>
    <row r="100" ht="12.75" customHeight="1" s="7635">
      <c r="A100" s="1277" t="n"/>
      <c r="B100" s="413" t="n"/>
      <c r="C100" s="413" t="n"/>
      <c r="D100" s="413" t="n"/>
      <c r="E100" s="413" t="n"/>
      <c r="F100" s="413" t="n"/>
      <c r="G100" s="413" t="n"/>
      <c r="H100" s="413" t="n"/>
      <c r="I100" s="413" t="n"/>
      <c r="J100" s="413" t="n"/>
      <c r="K100" s="413" t="n"/>
      <c r="L100" s="413" t="n"/>
      <c r="M100" s="413" t="n"/>
      <c r="N100" s="413" t="n"/>
      <c r="O100" s="413" t="n"/>
      <c r="P100" s="413" t="n"/>
      <c r="Q100" s="413" t="n"/>
      <c r="R100" s="413" t="n"/>
      <c r="S100" s="413" t="n"/>
      <c r="T100" s="413" t="n"/>
      <c r="U100" s="413" t="n"/>
      <c r="V100" s="413" t="n"/>
      <c r="W100" s="413" t="n"/>
      <c r="X100" s="413" t="n"/>
      <c r="Y100" s="413" t="n"/>
      <c r="Z100" s="413" t="n"/>
      <c r="AA100" s="413" t="n"/>
      <c r="AB100" s="413" t="n"/>
      <c r="AC100" s="413" t="n"/>
      <c r="AD100" s="413" t="n"/>
      <c r="AE100" s="413" t="n"/>
      <c r="AF100" s="413" t="n"/>
      <c r="AG100" s="414" t="n"/>
      <c r="AH100" s="3614" t="n"/>
      <c r="AI100" s="7637" t="n"/>
      <c r="AJ100" s="7637" t="n"/>
      <c r="AK100" s="7637" t="n"/>
      <c r="AL100" s="7637" t="n"/>
      <c r="AM100" s="7637" t="n"/>
      <c r="AN100" s="7637" t="n"/>
      <c r="AO100" s="7637" t="n"/>
      <c r="AP100" s="1277" t="n"/>
      <c r="BG100" s="769" t="n"/>
      <c r="BH100" s="658" t="n"/>
      <c r="BI100" s="658" t="n"/>
      <c r="BJ100" s="658" t="n"/>
      <c r="BK100" s="658" t="n"/>
      <c r="BL100" s="658" t="n"/>
      <c r="BM100" s="658" t="n"/>
      <c r="BN100" s="658" t="n"/>
      <c r="BO100" s="658" t="n"/>
      <c r="BP100" s="658" t="n"/>
    </row>
    <row r="101" ht="13.5" customHeight="1" s="7635">
      <c r="A101" s="1277" t="n"/>
      <c r="B101" s="11220" t="inlineStr">
        <is>
          <t>A</t>
        </is>
      </c>
      <c r="C101" s="12138" t="n"/>
      <c r="D101" s="8007" t="n"/>
      <c r="E101" s="8007" t="n"/>
      <c r="F101" s="8007" t="n"/>
      <c r="G101" s="8007" t="n"/>
      <c r="H101" s="8007" t="n"/>
      <c r="I101" s="8007" t="n"/>
      <c r="J101" s="8007" t="n"/>
      <c r="K101" s="8007" t="n"/>
      <c r="L101" s="8007" t="n"/>
      <c r="M101" s="8007" t="n"/>
      <c r="N101" s="8007" t="n"/>
      <c r="O101" s="8007" t="n"/>
      <c r="P101" s="8007" t="n"/>
      <c r="Q101" s="8007" t="n"/>
      <c r="R101" s="8007" t="n"/>
      <c r="S101" s="8007" t="n"/>
      <c r="T101" s="8007" t="n"/>
      <c r="U101" s="8007" t="n"/>
      <c r="V101" s="8007" t="n"/>
      <c r="W101" s="8007" t="n"/>
      <c r="X101" s="8007" t="n"/>
      <c r="Y101" s="8007" t="n"/>
      <c r="Z101" s="8007" t="n"/>
      <c r="AA101" s="8007" t="n"/>
      <c r="AB101" s="8007" t="n"/>
      <c r="AC101" s="8007" t="n"/>
      <c r="AD101" s="8007" t="n"/>
      <c r="AE101" s="8007" t="n"/>
      <c r="AF101" s="8007" t="n"/>
      <c r="AG101" s="8008" t="n"/>
      <c r="AH101" s="8472" t="n"/>
      <c r="AI101" s="8007" t="n"/>
      <c r="AJ101" s="8007" t="n"/>
      <c r="AK101" s="8007" t="n"/>
      <c r="AL101" s="8007" t="n"/>
      <c r="AM101" s="8007" t="n"/>
      <c r="AN101" s="8007" t="n"/>
      <c r="AO101" s="8007" t="n"/>
      <c r="AP101" s="1277" t="n"/>
      <c r="BG101" s="769" t="n"/>
      <c r="BH101" s="658" t="n"/>
      <c r="BI101" s="658" t="n"/>
      <c r="BJ101" s="658" t="n"/>
      <c r="BK101" s="658" t="n"/>
      <c r="BL101" s="658" t="n"/>
      <c r="BM101" s="658" t="n"/>
      <c r="BN101" s="658" t="n"/>
      <c r="BO101" s="658" t="n"/>
      <c r="BP101" s="658" t="n"/>
    </row>
    <row r="102" ht="13.5" customHeight="1" s="7635">
      <c r="A102" s="1277" t="n"/>
      <c r="B102" s="4824" t="inlineStr">
        <is>
          <t>B</t>
        </is>
      </c>
      <c r="C102" s="12138" t="n"/>
      <c r="D102" s="8007" t="n"/>
      <c r="E102" s="8007" t="n"/>
      <c r="F102" s="8007" t="n"/>
      <c r="G102" s="8007" t="n"/>
      <c r="H102" s="8007" t="n"/>
      <c r="I102" s="8007" t="n"/>
      <c r="J102" s="8007" t="n"/>
      <c r="K102" s="8007" t="n"/>
      <c r="L102" s="8007" t="n"/>
      <c r="M102" s="8007" t="n"/>
      <c r="N102" s="8007" t="n"/>
      <c r="O102" s="8007" t="n"/>
      <c r="P102" s="8007" t="n"/>
      <c r="Q102" s="8007" t="n"/>
      <c r="R102" s="8007" t="n"/>
      <c r="S102" s="8007" t="n"/>
      <c r="T102" s="8007" t="n"/>
      <c r="U102" s="8007" t="n"/>
      <c r="V102" s="8007" t="n"/>
      <c r="W102" s="8007" t="n"/>
      <c r="X102" s="8007" t="n"/>
      <c r="Y102" s="8007" t="n"/>
      <c r="Z102" s="8007" t="n"/>
      <c r="AA102" s="8007" t="n"/>
      <c r="AB102" s="8007" t="n"/>
      <c r="AC102" s="8007" t="n"/>
      <c r="AD102" s="8007" t="n"/>
      <c r="AE102" s="8007" t="n"/>
      <c r="AF102" s="8007" t="n"/>
      <c r="AG102" s="8008" t="n"/>
      <c r="AH102" s="8472" t="n"/>
      <c r="AI102" s="8007" t="n"/>
      <c r="AJ102" s="8007" t="n"/>
      <c r="AK102" s="8007" t="n"/>
      <c r="AL102" s="8007" t="n"/>
      <c r="AM102" s="8007" t="n"/>
      <c r="AN102" s="8007" t="n"/>
      <c r="AO102" s="8007" t="n"/>
      <c r="AP102" s="1277" t="n"/>
      <c r="BG102" s="769" t="n"/>
      <c r="BH102" s="658" t="n"/>
      <c r="BI102" s="658" t="n"/>
      <c r="BJ102" s="658" t="n"/>
      <c r="BK102" s="658" t="n"/>
      <c r="BL102" s="658" t="n"/>
      <c r="BM102" s="658" t="n"/>
      <c r="BN102" s="658" t="n"/>
      <c r="BO102" s="658" t="n"/>
      <c r="BP102" s="658" t="n"/>
    </row>
    <row r="103" ht="17.25" customHeight="1" s="7635">
      <c r="A103" s="1277" t="n"/>
      <c r="B103" s="12139" t="inlineStr">
        <is>
          <t>Passive Income and Loss</t>
        </is>
      </c>
      <c r="C103" s="8412" t="n"/>
      <c r="D103" s="8412" t="n"/>
      <c r="E103" s="8412" t="n"/>
      <c r="F103" s="8412" t="n"/>
      <c r="G103" s="8412" t="n"/>
      <c r="H103" s="8412" t="n"/>
      <c r="I103" s="8412" t="n"/>
      <c r="J103" s="8412" t="n"/>
      <c r="K103" s="8412" t="n"/>
      <c r="L103" s="8412" t="n"/>
      <c r="M103" s="8412" t="n"/>
      <c r="N103" s="8412" t="n"/>
      <c r="O103" s="8412" t="n"/>
      <c r="P103" s="8412" t="n"/>
      <c r="Q103" s="8412" t="n"/>
      <c r="R103" s="8412" t="n"/>
      <c r="S103" s="8412" t="n"/>
      <c r="T103" s="8412" t="n"/>
      <c r="U103" s="8412" t="n"/>
      <c r="V103" s="8412" t="n"/>
      <c r="W103" s="8412" t="n"/>
      <c r="X103" s="12130" t="n"/>
      <c r="Y103" s="8477" t="inlineStr">
        <is>
          <t>Nonpassive Income and Loss</t>
        </is>
      </c>
      <c r="Z103" s="8412" t="n"/>
      <c r="AA103" s="8412" t="n"/>
      <c r="AB103" s="8412" t="n"/>
      <c r="AC103" s="8412" t="n"/>
      <c r="AD103" s="8412" t="n"/>
      <c r="AE103" s="8412" t="n"/>
      <c r="AF103" s="8412" t="n"/>
      <c r="AG103" s="8412" t="n"/>
      <c r="AH103" s="8412" t="n"/>
      <c r="AI103" s="8412" t="n"/>
      <c r="AJ103" s="8412" t="n"/>
      <c r="AK103" s="8412" t="n"/>
      <c r="AL103" s="8412" t="n"/>
      <c r="AM103" s="8412" t="n"/>
      <c r="AN103" s="8412" t="n"/>
      <c r="AO103" s="8412" t="n"/>
      <c r="AP103" s="1277" t="n"/>
      <c r="BG103" s="769" t="n"/>
      <c r="BH103" s="658" t="n"/>
      <c r="BI103" s="658" t="n"/>
      <c r="BJ103" s="658" t="n"/>
      <c r="BK103" s="658" t="n"/>
      <c r="BL103" s="658" t="n"/>
      <c r="BM103" s="658" t="n"/>
      <c r="BN103" s="658" t="n"/>
      <c r="BO103" s="658" t="n"/>
      <c r="BP103" s="658" t="n"/>
    </row>
    <row r="104" ht="12.75" customHeight="1" s="7635">
      <c r="A104" s="1277" t="n"/>
      <c r="B104" s="10177" t="inlineStr">
        <is>
          <t>(c) Passive deduction or loss allowed
(attach Form 8582 if required)</t>
        </is>
      </c>
      <c r="C104" s="7839" t="n"/>
      <c r="D104" s="7839" t="n"/>
      <c r="E104" s="7839" t="n"/>
      <c r="F104" s="7839" t="n"/>
      <c r="G104" s="7839" t="n"/>
      <c r="H104" s="7839" t="n"/>
      <c r="I104" s="7839" t="n"/>
      <c r="J104" s="7839" t="n"/>
      <c r="K104" s="7839" t="n"/>
      <c r="L104" s="7839" t="n"/>
      <c r="M104" s="7839" t="n"/>
      <c r="N104" s="10091" t="n"/>
      <c r="O104" s="10079" t="inlineStr">
        <is>
          <t>(d) Passive income
from Schedule K-1</t>
        </is>
      </c>
      <c r="P104" s="7839" t="n"/>
      <c r="Q104" s="7839" t="n"/>
      <c r="R104" s="7839" t="n"/>
      <c r="S104" s="7839" t="n"/>
      <c r="T104" s="7839" t="n"/>
      <c r="U104" s="7839" t="n"/>
      <c r="V104" s="7839" t="n"/>
      <c r="W104" s="7839" t="n"/>
      <c r="X104" s="7839" t="n"/>
      <c r="Y104" s="12140" t="inlineStr">
        <is>
          <t>(e) Deduction or loss
from Schedule K-1</t>
        </is>
      </c>
      <c r="Z104" s="7839" t="n"/>
      <c r="AA104" s="7839" t="n"/>
      <c r="AB104" s="7839" t="n"/>
      <c r="AC104" s="7839" t="n"/>
      <c r="AD104" s="7839" t="n"/>
      <c r="AE104" s="7839" t="n"/>
      <c r="AF104" s="7839" t="n"/>
      <c r="AG104" s="10091" t="n"/>
      <c r="AH104" s="10079" t="inlineStr">
        <is>
          <t>(f) Other income from
Schedule K-1</t>
        </is>
      </c>
      <c r="AI104" s="7839" t="n"/>
      <c r="AJ104" s="7839" t="n"/>
      <c r="AK104" s="7839" t="n"/>
      <c r="AL104" s="7839" t="n"/>
      <c r="AM104" s="7839" t="n"/>
      <c r="AN104" s="7839" t="n"/>
      <c r="AO104" s="7839" t="n"/>
      <c r="AP104" s="1277" t="n"/>
      <c r="BG104" s="769" t="n"/>
      <c r="BH104" s="658" t="n"/>
      <c r="BI104" s="658" t="n"/>
      <c r="BJ104" s="658" t="n"/>
      <c r="BK104" s="658" t="n"/>
      <c r="BL104" s="658" t="n"/>
      <c r="BM104" s="658" t="n"/>
      <c r="BN104" s="658" t="n"/>
      <c r="BO104" s="658" t="n"/>
      <c r="BP104" s="658" t="n"/>
    </row>
    <row r="105" ht="12.75" customHeight="1" s="7635">
      <c r="A105" s="1277" t="n"/>
      <c r="N105" s="7636" t="n"/>
      <c r="O105" s="4772" t="n"/>
      <c r="Y105" s="11741" t="n"/>
      <c r="AG105" s="7636" t="n"/>
      <c r="AH105" s="4772" t="n"/>
      <c r="AP105" s="1277" t="n"/>
      <c r="BG105" s="769" t="n"/>
      <c r="BH105" s="658" t="n"/>
      <c r="BI105" s="658" t="n"/>
      <c r="BJ105" s="658" t="n"/>
      <c r="BK105" s="658" t="n"/>
      <c r="BL105" s="658" t="n"/>
      <c r="BM105" s="658" t="n"/>
      <c r="BN105" s="658" t="n"/>
      <c r="BO105" s="658" t="n"/>
      <c r="BP105" s="658" t="n"/>
    </row>
    <row r="106" ht="12.75" customHeight="1" s="7635">
      <c r="A106" s="1277" t="n"/>
      <c r="B106" s="7637" t="n"/>
      <c r="C106" s="7637" t="n"/>
      <c r="D106" s="7637" t="n"/>
      <c r="E106" s="7637" t="n"/>
      <c r="F106" s="7637" t="n"/>
      <c r="G106" s="7637" t="n"/>
      <c r="H106" s="7637" t="n"/>
      <c r="I106" s="7637" t="n"/>
      <c r="J106" s="7637" t="n"/>
      <c r="K106" s="7637" t="n"/>
      <c r="L106" s="7637" t="n"/>
      <c r="M106" s="7637" t="n"/>
      <c r="N106" s="7638" t="n"/>
      <c r="O106" s="3614" t="n"/>
      <c r="P106" s="7637" t="n"/>
      <c r="Q106" s="7637" t="n"/>
      <c r="R106" s="7637" t="n"/>
      <c r="S106" s="7637" t="n"/>
      <c r="T106" s="7637" t="n"/>
      <c r="U106" s="7637" t="n"/>
      <c r="V106" s="7637" t="n"/>
      <c r="W106" s="7637" t="n"/>
      <c r="X106" s="7637" t="n"/>
      <c r="Y106" s="11907" t="n"/>
      <c r="Z106" s="7637" t="n"/>
      <c r="AA106" s="7637" t="n"/>
      <c r="AB106" s="7637" t="n"/>
      <c r="AC106" s="7637" t="n"/>
      <c r="AD106" s="7637" t="n"/>
      <c r="AE106" s="7637" t="n"/>
      <c r="AF106" s="7637" t="n"/>
      <c r="AG106" s="7638" t="n"/>
      <c r="AH106" s="3614" t="n"/>
      <c r="AI106" s="7637" t="n"/>
      <c r="AJ106" s="7637" t="n"/>
      <c r="AK106" s="7637" t="n"/>
      <c r="AL106" s="7637" t="n"/>
      <c r="AM106" s="7637" t="n"/>
      <c r="AN106" s="7637" t="n"/>
      <c r="AO106" s="7637" t="n"/>
      <c r="AP106" s="1277" t="n"/>
      <c r="BG106" s="769" t="n"/>
      <c r="BH106" s="658" t="n"/>
      <c r="BI106" s="658" t="n"/>
      <c r="BJ106" s="658" t="n"/>
      <c r="BK106" s="658" t="n"/>
      <c r="BL106" s="658" t="n"/>
      <c r="BM106" s="658" t="n"/>
      <c r="BN106" s="658" t="n"/>
      <c r="BO106" s="658" t="n"/>
      <c r="BP106" s="658" t="n"/>
    </row>
    <row r="107" ht="13.5" customHeight="1" s="7635">
      <c r="A107" s="1277" t="n"/>
      <c r="B107" s="11220" t="inlineStr">
        <is>
          <t>A</t>
        </is>
      </c>
      <c r="C107" s="6226" t="n"/>
      <c r="D107" s="8007" t="n"/>
      <c r="E107" s="8007" t="n"/>
      <c r="F107" s="8007" t="n"/>
      <c r="G107" s="8007" t="n"/>
      <c r="H107" s="8007" t="n"/>
      <c r="I107" s="8007" t="n"/>
      <c r="J107" s="8007" t="n"/>
      <c r="K107" s="8007" t="n"/>
      <c r="L107" s="8007" t="n"/>
      <c r="M107" s="8007" t="n"/>
      <c r="N107" s="8008" t="n"/>
      <c r="O107" s="12141" t="n"/>
      <c r="P107" s="8007" t="n"/>
      <c r="Q107" s="8007" t="n"/>
      <c r="R107" s="8007" t="n"/>
      <c r="S107" s="8007" t="n"/>
      <c r="T107" s="8007" t="n"/>
      <c r="U107" s="8007" t="n"/>
      <c r="V107" s="8007" t="n"/>
      <c r="W107" s="8007" t="n"/>
      <c r="X107" s="12128" t="n"/>
      <c r="Y107" s="8461" t="n"/>
      <c r="Z107" s="8007" t="n"/>
      <c r="AA107" s="8007" t="n"/>
      <c r="AB107" s="8007" t="n"/>
      <c r="AC107" s="8007" t="n"/>
      <c r="AD107" s="8007" t="n"/>
      <c r="AE107" s="8007" t="n"/>
      <c r="AF107" s="8007" t="n"/>
      <c r="AG107" s="8008" t="n"/>
      <c r="AH107" s="8462" t="n"/>
      <c r="AI107" s="8007" t="n"/>
      <c r="AJ107" s="8007" t="n"/>
      <c r="AK107" s="8007" t="n"/>
      <c r="AL107" s="8007" t="n"/>
      <c r="AM107" s="8007" t="n"/>
      <c r="AN107" s="8007" t="n"/>
      <c r="AO107" s="8008" t="n"/>
      <c r="AP107" s="1277" t="n"/>
      <c r="BG107" s="769" t="n"/>
      <c r="BH107" s="658" t="n"/>
      <c r="BI107" s="658" t="n"/>
      <c r="BJ107" s="658" t="n"/>
      <c r="BK107" s="658" t="n"/>
      <c r="BL107" s="658" t="n"/>
      <c r="BM107" s="658" t="n"/>
      <c r="BN107" s="658" t="n"/>
      <c r="BO107" s="658" t="n"/>
      <c r="BP107" s="658" t="n"/>
    </row>
    <row r="108" ht="13.5" customHeight="1" s="7635">
      <c r="A108" s="1277" t="n"/>
      <c r="B108" s="11220" t="inlineStr">
        <is>
          <t>B</t>
        </is>
      </c>
      <c r="C108" s="6226" t="n"/>
      <c r="D108" s="8007" t="n"/>
      <c r="E108" s="8007" t="n"/>
      <c r="F108" s="8007" t="n"/>
      <c r="G108" s="8007" t="n"/>
      <c r="H108" s="8007" t="n"/>
      <c r="I108" s="8007" t="n"/>
      <c r="J108" s="8007" t="n"/>
      <c r="K108" s="8007" t="n"/>
      <c r="L108" s="8007" t="n"/>
      <c r="M108" s="8007" t="n"/>
      <c r="N108" s="8008" t="n"/>
      <c r="O108" s="12141" t="n"/>
      <c r="P108" s="8007" t="n"/>
      <c r="Q108" s="8007" t="n"/>
      <c r="R108" s="8007" t="n"/>
      <c r="S108" s="8007" t="n"/>
      <c r="T108" s="8007" t="n"/>
      <c r="U108" s="8007" t="n"/>
      <c r="V108" s="8007" t="n"/>
      <c r="W108" s="8007" t="n"/>
      <c r="X108" s="12128" t="n"/>
      <c r="Y108" s="8461" t="n"/>
      <c r="Z108" s="8007" t="n"/>
      <c r="AA108" s="8007" t="n"/>
      <c r="AB108" s="8007" t="n"/>
      <c r="AC108" s="8007" t="n"/>
      <c r="AD108" s="8007" t="n"/>
      <c r="AE108" s="8007" t="n"/>
      <c r="AF108" s="8007" t="n"/>
      <c r="AG108" s="8008" t="n"/>
      <c r="AH108" s="8462" t="n"/>
      <c r="AI108" s="8007" t="n"/>
      <c r="AJ108" s="8007" t="n"/>
      <c r="AK108" s="8007" t="n"/>
      <c r="AL108" s="8007" t="n"/>
      <c r="AM108" s="8007" t="n"/>
      <c r="AN108" s="8007" t="n"/>
      <c r="AO108" s="8008" t="n"/>
      <c r="AP108" s="1277" t="n"/>
      <c r="BG108" s="769" t="n"/>
      <c r="BH108" s="658" t="n"/>
      <c r="BI108" s="658" t="n"/>
      <c r="BJ108" s="658" t="n"/>
      <c r="BK108" s="658" t="n"/>
      <c r="BL108" s="658" t="n"/>
      <c r="BM108" s="658" t="n"/>
      <c r="BN108" s="658" t="n"/>
      <c r="BO108" s="658" t="n"/>
      <c r="BP108" s="658" t="n"/>
    </row>
    <row r="109" ht="13.5" customHeight="1" s="7635">
      <c r="A109" s="1277" t="n"/>
      <c r="B109" s="8384" t="inlineStr">
        <is>
          <t>34a</t>
        </is>
      </c>
      <c r="C109" s="7839" t="n"/>
      <c r="D109" s="8650" t="inlineStr">
        <is>
          <t>Totals</t>
        </is>
      </c>
      <c r="E109" s="11602" t="n"/>
      <c r="F109" s="4825" t="n"/>
      <c r="G109" s="3835" t="n"/>
      <c r="H109" s="3835" t="n"/>
      <c r="I109" s="3835" t="n"/>
      <c r="J109" s="3835" t="n"/>
      <c r="K109" s="3835" t="n"/>
      <c r="L109" s="3835" t="n"/>
      <c r="M109" s="3835" t="n"/>
      <c r="N109" s="4826" t="n"/>
      <c r="O109" s="12129">
        <f>ROUND(SUM(O107:O108),0)</f>
        <v/>
      </c>
      <c r="P109" s="8412" t="n"/>
      <c r="Q109" s="8412" t="n"/>
      <c r="R109" s="8412" t="n"/>
      <c r="S109" s="8412" t="n"/>
      <c r="T109" s="8412" t="n"/>
      <c r="U109" s="8412" t="n"/>
      <c r="V109" s="8412" t="n"/>
      <c r="W109" s="8412" t="n"/>
      <c r="X109" s="12130" t="n"/>
      <c r="Y109" s="4831" t="n"/>
      <c r="Z109" s="3835" t="n"/>
      <c r="AA109" s="3835" t="n"/>
      <c r="AB109" s="3835" t="n"/>
      <c r="AC109" s="3835" t="n"/>
      <c r="AD109" s="3835" t="n"/>
      <c r="AE109" s="3835" t="n"/>
      <c r="AF109" s="3835" t="n"/>
      <c r="AG109" s="4826" t="n"/>
      <c r="AH109" s="8408">
        <f>ROUND(SUM(AH107:AH108),0)</f>
        <v/>
      </c>
      <c r="AI109" s="8412" t="n"/>
      <c r="AJ109" s="8412" t="n"/>
      <c r="AK109" s="8412" t="n"/>
      <c r="AL109" s="8412" t="n"/>
      <c r="AM109" s="8412" t="n"/>
      <c r="AN109" s="8412" t="n"/>
      <c r="AO109" s="8412" t="n"/>
      <c r="AP109" s="1277" t="n"/>
      <c r="BG109" s="769" t="n"/>
      <c r="BH109" s="658" t="n"/>
      <c r="BI109" s="658" t="n"/>
      <c r="BJ109" s="658" t="n"/>
      <c r="BK109" s="658" t="n"/>
      <c r="BL109" s="658" t="n"/>
      <c r="BM109" s="658" t="n"/>
      <c r="BN109" s="658" t="n"/>
      <c r="BO109" s="658" t="n"/>
      <c r="BP109" s="658" t="n"/>
    </row>
    <row r="110" ht="13.5" customHeight="1" s="7635">
      <c r="A110" s="1277" t="n"/>
      <c r="B110" s="7899" t="inlineStr">
        <is>
          <t>b</t>
        </is>
      </c>
      <c r="D110" s="8650" t="inlineStr">
        <is>
          <t>Totals</t>
        </is>
      </c>
      <c r="E110" s="11602" t="n"/>
      <c r="F110" s="12131">
        <f>ROUND(SUM(C107:C108),0)</f>
        <v/>
      </c>
      <c r="G110" s="8412" t="n"/>
      <c r="H110" s="8412" t="n"/>
      <c r="I110" s="8412" t="n"/>
      <c r="J110" s="8412" t="n"/>
      <c r="K110" s="8412" t="n"/>
      <c r="L110" s="8412" t="n"/>
      <c r="M110" s="8412" t="n"/>
      <c r="N110" s="11734" t="n"/>
      <c r="O110" s="4832" t="n"/>
      <c r="P110" s="4833" t="n"/>
      <c r="Q110" s="4833" t="n"/>
      <c r="R110" s="4833" t="n"/>
      <c r="S110" s="4833" t="n"/>
      <c r="T110" s="4833" t="n"/>
      <c r="U110" s="4833" t="n"/>
      <c r="V110" s="4833" t="n"/>
      <c r="W110" s="4833" t="n"/>
      <c r="X110" s="4834" t="n"/>
      <c r="Y110" s="12131">
        <f>ROUND(SUM(Y107:Y108),0)</f>
        <v/>
      </c>
      <c r="Z110" s="8412" t="n"/>
      <c r="AA110" s="8412" t="n"/>
      <c r="AB110" s="8412" t="n"/>
      <c r="AC110" s="8412" t="n"/>
      <c r="AD110" s="8412" t="n"/>
      <c r="AE110" s="8412" t="n"/>
      <c r="AF110" s="8412" t="n"/>
      <c r="AG110" s="11734" t="n"/>
      <c r="AH110" s="4825" t="n"/>
      <c r="AI110" s="3835" t="n"/>
      <c r="AJ110" s="3835" t="n"/>
      <c r="AK110" s="3835" t="n"/>
      <c r="AL110" s="3835" t="n"/>
      <c r="AM110" s="3835" t="n"/>
      <c r="AN110" s="3835" t="n"/>
      <c r="AO110" s="3835" t="n"/>
      <c r="AP110" s="1277" t="n"/>
      <c r="BG110" s="769" t="n"/>
      <c r="BH110" s="658" t="n"/>
      <c r="BI110" s="658" t="n"/>
      <c r="BJ110" s="658" t="n"/>
      <c r="BK110" s="658" t="n"/>
      <c r="BL110" s="658" t="n"/>
      <c r="BM110" s="658" t="n"/>
      <c r="BN110" s="658" t="n"/>
      <c r="BO110" s="658" t="n"/>
      <c r="BP110" s="658" t="n"/>
    </row>
    <row r="111" ht="13.5" customHeight="1" s="7635">
      <c r="A111" s="1277" t="n"/>
      <c r="B111" s="7642" t="n">
        <v>35</v>
      </c>
      <c r="D111" s="8650" t="inlineStr">
        <is>
          <t>Add columns (d) and (f) of line 34a</t>
        </is>
      </c>
      <c r="E111" s="11602" t="n"/>
      <c r="F111" s="11602" t="n"/>
      <c r="G111" s="11602" t="n"/>
      <c r="H111" s="11602" t="n"/>
      <c r="I111" s="11602" t="n"/>
      <c r="J111" s="11602" t="n"/>
      <c r="K111" s="11602" t="n"/>
      <c r="L111" s="11602" t="n"/>
      <c r="M111" s="11602" t="n"/>
      <c r="N111" s="11602" t="n"/>
      <c r="O111" s="11602" t="n"/>
      <c r="P111" s="11602" t="n"/>
      <c r="Q111" s="11602" t="n"/>
      <c r="R111" s="11602" t="n"/>
      <c r="S111" s="11602" t="n"/>
      <c r="T111" s="11602" t="n"/>
      <c r="U111" s="11602" t="n"/>
      <c r="V111" s="11602" t="n"/>
      <c r="W111" s="11602" t="n"/>
      <c r="X111" s="11602" t="n"/>
      <c r="Y111" s="11602" t="n"/>
      <c r="Z111" s="11602" t="n"/>
      <c r="AA111" s="11602" t="n"/>
      <c r="AB111" s="11602" t="n"/>
      <c r="AC111" s="11602" t="n"/>
      <c r="AD111" s="11602" t="n"/>
      <c r="AE111" s="11602" t="n"/>
      <c r="AF111" s="11602" t="n"/>
      <c r="AG111" s="2198" t="inlineStr">
        <is>
          <t xml:space="preserve">.   .   .   .   .   .   .   .   .   .   .   .   .   .   .   .   .   .   .   .   .   .   .   .   .   . </t>
        </is>
      </c>
      <c r="AH111" s="10008" t="n">
        <v>35</v>
      </c>
      <c r="AI111" s="11734" t="n"/>
      <c r="AJ111" s="8413">
        <f>SUM(O109,AH109)</f>
        <v/>
      </c>
      <c r="AK111" s="8412" t="n"/>
      <c r="AL111" s="8412" t="n"/>
      <c r="AM111" s="8412" t="n"/>
      <c r="AN111" s="8412" t="n"/>
      <c r="AO111" s="8412" t="n"/>
      <c r="AP111" s="1277" t="n"/>
      <c r="BG111" s="769" t="n"/>
      <c r="BH111" s="658" t="n"/>
      <c r="BI111" s="658" t="n"/>
      <c r="BJ111" s="658" t="n"/>
      <c r="BK111" s="658" t="n"/>
      <c r="BL111" s="658" t="n"/>
      <c r="BM111" s="658" t="n"/>
      <c r="BN111" s="658" t="n"/>
      <c r="BO111" s="658" t="n"/>
      <c r="BP111" s="658" t="n"/>
    </row>
    <row r="112" ht="13.5" customHeight="1" s="7635">
      <c r="A112" s="1277" t="n"/>
      <c r="B112" s="7642" t="n">
        <v>36</v>
      </c>
      <c r="D112" s="8650" t="inlineStr">
        <is>
          <t>Add columns (c) and (e) of line 34b</t>
        </is>
      </c>
      <c r="E112" s="11602" t="n"/>
      <c r="F112" s="11602" t="n"/>
      <c r="G112" s="11602" t="n"/>
      <c r="H112" s="11602" t="n"/>
      <c r="I112" s="11602" t="n"/>
      <c r="J112" s="11602" t="n"/>
      <c r="K112" s="11602" t="n"/>
      <c r="L112" s="11602" t="n"/>
      <c r="M112" s="11602" t="n"/>
      <c r="N112" s="11602" t="n"/>
      <c r="O112" s="11602" t="n"/>
      <c r="P112" s="11602" t="n"/>
      <c r="Q112" s="11602" t="n"/>
      <c r="R112" s="11602" t="n"/>
      <c r="S112" s="11602" t="n"/>
      <c r="T112" s="11602" t="n"/>
      <c r="U112" s="11602" t="n"/>
      <c r="V112" s="11602" t="n"/>
      <c r="W112" s="11602" t="n"/>
      <c r="X112" s="11602" t="n"/>
      <c r="Y112" s="11602" t="n"/>
      <c r="Z112" s="11602" t="n"/>
      <c r="AA112" s="11602" t="n"/>
      <c r="AB112" s="11602" t="n"/>
      <c r="AC112" s="11602" t="n"/>
      <c r="AD112" s="11602" t="n"/>
      <c r="AE112" s="11602" t="n"/>
      <c r="AF112" s="11602" t="n"/>
      <c r="AG112" s="2198" t="inlineStr">
        <is>
          <t xml:space="preserve">.   .   .   .   .   .   .   .   .   .   .   .   .   .   .   .   .   .   .   .   .   .   .   .   .   . </t>
        </is>
      </c>
      <c r="AH112" s="10008" t="n">
        <v>36</v>
      </c>
      <c r="AI112" s="11734" t="n"/>
      <c r="AJ112" s="7056" t="inlineStr">
        <is>
          <t>(</t>
        </is>
      </c>
      <c r="AK112" s="7057">
        <f>SUM(F110,Y110)</f>
        <v/>
      </c>
      <c r="AL112" s="8412" t="n"/>
      <c r="AM112" s="8412" t="n"/>
      <c r="AN112" s="8412" t="n"/>
      <c r="AO112" s="4835" t="inlineStr">
        <is>
          <t>)</t>
        </is>
      </c>
      <c r="AP112" s="1277" t="n"/>
      <c r="BG112" s="769" t="n"/>
      <c r="BH112" s="658" t="n"/>
      <c r="BI112" s="658" t="n"/>
      <c r="BJ112" s="658" t="n"/>
      <c r="BK112" s="658" t="n"/>
      <c r="BL112" s="658" t="n"/>
      <c r="BM112" s="658" t="n"/>
      <c r="BN112" s="658" t="n"/>
      <c r="BO112" s="658" t="n"/>
      <c r="BP112" s="658" t="n"/>
    </row>
    <row r="113" ht="13.5" customHeight="1" s="7635">
      <c r="A113" s="1277" t="n"/>
      <c r="B113" s="8405" t="n">
        <v>37</v>
      </c>
      <c r="C113" s="7637" t="n"/>
      <c r="D113" s="1996" t="inlineStr">
        <is>
          <t>Total estate and trust income or (loss). Combine lines 35 and 36</t>
        </is>
      </c>
      <c r="E113" s="413" t="n"/>
      <c r="F113" s="413" t="n"/>
      <c r="G113" s="413" t="n"/>
      <c r="H113" s="413" t="n"/>
      <c r="I113" s="413" t="n"/>
      <c r="J113" s="413" t="n"/>
      <c r="K113" s="413" t="n"/>
      <c r="L113" s="413" t="n"/>
      <c r="M113" s="413" t="n"/>
      <c r="N113" s="413" t="n"/>
      <c r="O113" s="413" t="n"/>
      <c r="P113" s="413" t="n"/>
      <c r="Q113" s="413" t="n"/>
      <c r="R113" s="413" t="n"/>
      <c r="S113" s="413" t="n"/>
      <c r="T113" s="413" t="n"/>
      <c r="U113" s="413" t="n"/>
      <c r="V113" s="413" t="n"/>
      <c r="W113" s="413" t="n"/>
      <c r="X113" s="413" t="n"/>
      <c r="Y113" s="413" t="n"/>
      <c r="Z113" s="413" t="n"/>
      <c r="AA113" s="413" t="n"/>
      <c r="AB113" s="413" t="n"/>
      <c r="AC113" s="413" t="n"/>
      <c r="AD113" s="413" t="n"/>
      <c r="AE113" s="413" t="n"/>
      <c r="AF113" s="413" t="n"/>
      <c r="AG113" s="974" t="inlineStr">
        <is>
          <t xml:space="preserve">.   .   .   .   .   .   .   .   .   .   .   .   . </t>
        </is>
      </c>
      <c r="AH113" s="10008" t="n">
        <v>37</v>
      </c>
      <c r="AI113" s="11734" t="n"/>
      <c r="AJ113" s="8413">
        <f>SUM(AJ111,-AK112)</f>
        <v/>
      </c>
      <c r="AK113" s="8412" t="n"/>
      <c r="AL113" s="8412" t="n"/>
      <c r="AM113" s="8412" t="n"/>
      <c r="AN113" s="8412" t="n"/>
      <c r="AO113" s="8412" t="n"/>
      <c r="AP113" s="1277" t="n"/>
      <c r="BG113" s="769" t="n"/>
      <c r="BH113" s="658" t="n"/>
      <c r="BI113" s="658" t="n"/>
      <c r="BJ113" s="658" t="n"/>
      <c r="BK113" s="658" t="n"/>
      <c r="BL113" s="658" t="n"/>
      <c r="BM113" s="658" t="n"/>
      <c r="BN113" s="658" t="n"/>
      <c r="BO113" s="658" t="n"/>
      <c r="BP113" s="658" t="n"/>
    </row>
    <row r="114" ht="17.25" customFormat="1" customHeight="1" s="1405">
      <c r="A114" s="2119" t="n"/>
      <c r="B114" s="8410" t="inlineStr">
        <is>
          <t>Part IV</t>
        </is>
      </c>
      <c r="C114" s="8412" t="n"/>
      <c r="D114" s="8412" t="n"/>
      <c r="E114" s="2120" t="n"/>
      <c r="F114" s="4189" t="inlineStr">
        <is>
          <t>Income or Loss From Real Estate Mortgage Investment Conduits (REMICs)—Residual Holder</t>
        </is>
      </c>
      <c r="G114" s="2120" t="n"/>
      <c r="H114" s="2120" t="n"/>
      <c r="I114" s="2120" t="n"/>
      <c r="J114" s="2120" t="n"/>
      <c r="K114" s="2120" t="n"/>
      <c r="L114" s="2120" t="n"/>
      <c r="M114" s="2120" t="n"/>
      <c r="N114" s="2120" t="n"/>
      <c r="O114" s="2120" t="n"/>
      <c r="P114" s="2120" t="n"/>
      <c r="Q114" s="2120" t="n"/>
      <c r="R114" s="2120" t="n"/>
      <c r="S114" s="2120" t="n"/>
      <c r="T114" s="2120" t="n"/>
      <c r="U114" s="2120" t="n"/>
      <c r="V114" s="2120" t="n"/>
      <c r="W114" s="2120" t="n"/>
      <c r="X114" s="3901" t="n"/>
      <c r="Y114" s="2120" t="n"/>
      <c r="Z114" s="2120" t="n"/>
      <c r="AA114" s="2120" t="n"/>
      <c r="AB114" s="2120" t="n"/>
      <c r="AC114" s="2120" t="n"/>
      <c r="AD114" s="2120" t="n"/>
      <c r="AE114" s="2120" t="n"/>
      <c r="AF114" s="2120" t="n"/>
      <c r="AG114" s="1998" t="n"/>
      <c r="AH114" s="2120" t="n"/>
      <c r="AI114" s="2120" t="n"/>
      <c r="AJ114" s="2120" t="n"/>
      <c r="AK114" s="2120" t="n"/>
      <c r="AL114" s="2120" t="n"/>
      <c r="AM114" s="2120" t="n"/>
      <c r="AN114" s="2120" t="n"/>
      <c r="AO114" s="2120" t="n"/>
      <c r="AP114" s="1277" t="n"/>
      <c r="BG114" s="769" t="n"/>
      <c r="BH114" s="658" t="n"/>
      <c r="BI114" s="658" t="n"/>
      <c r="BJ114" s="658" t="n"/>
      <c r="BK114" s="658" t="n"/>
      <c r="BL114" s="658" t="n"/>
      <c r="BM114" s="658" t="n"/>
      <c r="BN114" s="658" t="n"/>
      <c r="BO114" s="658" t="n"/>
      <c r="BP114" s="658" t="n"/>
      <c r="BQ114" s="815" t="n"/>
    </row>
    <row r="115" ht="12.75" customHeight="1" s="7635">
      <c r="A115" s="1277" t="n"/>
      <c r="B115" s="406" t="n"/>
      <c r="C115" s="8415" t="n"/>
      <c r="D115" s="12124" t="inlineStr">
        <is>
          <t>(a)  Name</t>
        </is>
      </c>
      <c r="E115" s="7839" t="n"/>
      <c r="F115" s="7839" t="n"/>
      <c r="G115" s="7839" t="n"/>
      <c r="H115" s="7839" t="n"/>
      <c r="I115" s="7839" t="n"/>
      <c r="J115" s="10091" t="n"/>
      <c r="K115" s="12126" t="inlineStr">
        <is>
          <t>(b) Employer identification
number</t>
        </is>
      </c>
      <c r="L115" s="7839" t="n"/>
      <c r="M115" s="7839" t="n"/>
      <c r="N115" s="7839" t="n"/>
      <c r="O115" s="7839" t="n"/>
      <c r="P115" s="7839" t="n"/>
      <c r="Q115" s="7839" t="n"/>
      <c r="R115" s="10091" t="n"/>
      <c r="S115" s="12122" t="inlineStr">
        <is>
          <t>(c) Excess inclusion from Schedules Q, line 2c 
(see instructions)</t>
        </is>
      </c>
      <c r="T115" s="7839" t="n"/>
      <c r="U115" s="7839" t="n"/>
      <c r="V115" s="7839" t="n"/>
      <c r="W115" s="7839" t="n"/>
      <c r="X115" s="7839" t="n"/>
      <c r="Y115" s="10091" t="n"/>
      <c r="Z115" s="12126" t="inlineStr">
        <is>
          <t>(d)  Taxable income (net loss)
from Schedules Q, line 1b</t>
        </is>
      </c>
      <c r="AA115" s="7839" t="n"/>
      <c r="AB115" s="7839" t="n"/>
      <c r="AC115" s="7839" t="n"/>
      <c r="AD115" s="7839" t="n"/>
      <c r="AE115" s="7839" t="n"/>
      <c r="AF115" s="7839" t="n"/>
      <c r="AG115" s="10091" t="n"/>
      <c r="AH115" s="10176" t="inlineStr">
        <is>
          <t>(e)  Income from
Schedules Q, line 3b</t>
        </is>
      </c>
      <c r="AI115" s="7839" t="n"/>
      <c r="AJ115" s="7839" t="n"/>
      <c r="AK115" s="7839" t="n"/>
      <c r="AL115" s="7839" t="n"/>
      <c r="AM115" s="7839" t="n"/>
      <c r="AN115" s="7839" t="n"/>
      <c r="AO115" s="7839" t="n"/>
      <c r="AP115" s="1277" t="n"/>
      <c r="BG115" s="769" t="n"/>
      <c r="BH115" s="658" t="n"/>
      <c r="BI115" s="658" t="n"/>
      <c r="BJ115" s="658" t="n"/>
      <c r="BK115" s="658" t="n"/>
      <c r="BL115" s="658" t="n"/>
      <c r="BM115" s="658" t="n"/>
      <c r="BN115" s="658" t="n"/>
      <c r="BO115" s="658" t="n"/>
      <c r="BP115" s="658" t="n"/>
    </row>
    <row r="116" ht="12.75" customHeight="1" s="7635">
      <c r="A116" s="1277" t="n"/>
      <c r="B116" s="8439" t="n">
        <v>38</v>
      </c>
      <c r="J116" s="7636" t="n"/>
      <c r="K116" s="4772" t="n"/>
      <c r="R116" s="7636" t="n"/>
      <c r="S116" s="4772" t="n"/>
      <c r="Y116" s="7636" t="n"/>
      <c r="Z116" s="4772" t="n"/>
      <c r="AG116" s="7636" t="n"/>
      <c r="AH116" s="4772" t="n"/>
      <c r="AP116" s="1277" t="n"/>
      <c r="AX116" s="1405" t="n"/>
      <c r="AY116" s="1405" t="n"/>
      <c r="AZ116" s="1405" t="n"/>
      <c r="BA116" s="1405" t="n"/>
      <c r="BB116" s="1405" t="n"/>
      <c r="BC116" s="1405" t="n"/>
      <c r="BD116" s="1405" t="n"/>
      <c r="BG116" s="769" t="n"/>
      <c r="BH116" s="658" t="n"/>
      <c r="BI116" s="658" t="n"/>
      <c r="BJ116" s="658" t="n"/>
      <c r="BK116" s="658" t="n"/>
      <c r="BL116" s="658" t="n"/>
      <c r="BM116" s="658" t="n"/>
      <c r="BN116" s="658" t="n"/>
      <c r="BO116" s="658" t="n"/>
      <c r="BP116" s="658" t="n"/>
    </row>
    <row r="117" ht="12.75" customHeight="1" s="7635">
      <c r="A117" s="1277" t="n"/>
      <c r="B117" s="413" t="n"/>
      <c r="C117" s="9108" t="n"/>
      <c r="D117" s="7637" t="n"/>
      <c r="E117" s="7637" t="n"/>
      <c r="F117" s="7637" t="n"/>
      <c r="G117" s="7637" t="n"/>
      <c r="H117" s="7637" t="n"/>
      <c r="I117" s="7637" t="n"/>
      <c r="J117" s="7638" t="n"/>
      <c r="K117" s="3614" t="n"/>
      <c r="L117" s="7637" t="n"/>
      <c r="M117" s="7637" t="n"/>
      <c r="N117" s="7637" t="n"/>
      <c r="O117" s="7637" t="n"/>
      <c r="P117" s="7637" t="n"/>
      <c r="Q117" s="7637" t="n"/>
      <c r="R117" s="7638" t="n"/>
      <c r="S117" s="3614" t="n"/>
      <c r="T117" s="7637" t="n"/>
      <c r="U117" s="7637" t="n"/>
      <c r="V117" s="7637" t="n"/>
      <c r="W117" s="7637" t="n"/>
      <c r="X117" s="7637" t="n"/>
      <c r="Y117" s="7638" t="n"/>
      <c r="Z117" s="3614" t="n"/>
      <c r="AA117" s="7637" t="n"/>
      <c r="AB117" s="7637" t="n"/>
      <c r="AC117" s="7637" t="n"/>
      <c r="AD117" s="7637" t="n"/>
      <c r="AE117" s="7637" t="n"/>
      <c r="AF117" s="7637" t="n"/>
      <c r="AG117" s="7638" t="n"/>
      <c r="AH117" s="3614" t="n"/>
      <c r="AI117" s="7637" t="n"/>
      <c r="AJ117" s="7637" t="n"/>
      <c r="AK117" s="7637" t="n"/>
      <c r="AL117" s="7637" t="n"/>
      <c r="AM117" s="7637" t="n"/>
      <c r="AN117" s="7637" t="n"/>
      <c r="AO117" s="7637" t="n"/>
      <c r="AP117" s="1277" t="n"/>
      <c r="AQ117" s="2875" t="n"/>
      <c r="AR117" s="2875" t="n"/>
      <c r="AS117" s="2875" t="n"/>
      <c r="BG117" s="769" t="n"/>
      <c r="BH117" s="658" t="n"/>
      <c r="BI117" s="658" t="n"/>
      <c r="BJ117" s="658" t="n"/>
      <c r="BK117" s="658" t="n"/>
      <c r="BL117" s="658" t="n"/>
      <c r="BM117" s="658" t="n"/>
      <c r="BN117" s="658" t="n"/>
      <c r="BO117" s="658" t="n"/>
      <c r="BP117" s="658" t="n"/>
    </row>
    <row r="118" ht="12.75" customHeight="1" s="7635">
      <c r="A118" s="1277" t="n"/>
      <c r="B118" s="12142" t="n"/>
      <c r="C118" s="8007" t="n"/>
      <c r="D118" s="8007" t="n"/>
      <c r="E118" s="8007" t="n"/>
      <c r="F118" s="8007" t="n"/>
      <c r="G118" s="8007" t="n"/>
      <c r="H118" s="8007" t="n"/>
      <c r="I118" s="8007" t="n"/>
      <c r="J118" s="8008" t="n"/>
      <c r="K118" s="325" t="n"/>
      <c r="L118" s="8007" t="n"/>
      <c r="M118" s="8007" t="n"/>
      <c r="N118" s="8007" t="n"/>
      <c r="O118" s="8007" t="n"/>
      <c r="P118" s="8007" t="n"/>
      <c r="Q118" s="8007" t="n"/>
      <c r="R118" s="8008" t="n"/>
      <c r="S118" s="8401" t="n"/>
      <c r="T118" s="8007" t="n"/>
      <c r="U118" s="8007" t="n"/>
      <c r="V118" s="8007" t="n"/>
      <c r="W118" s="8007" t="n"/>
      <c r="X118" s="8007" t="n"/>
      <c r="Y118" s="8008" t="n"/>
      <c r="Z118" s="8401" t="n"/>
      <c r="AA118" s="8007" t="n"/>
      <c r="AB118" s="8007" t="n"/>
      <c r="AC118" s="8007" t="n"/>
      <c r="AD118" s="8007" t="n"/>
      <c r="AE118" s="8007" t="n"/>
      <c r="AF118" s="8007" t="n"/>
      <c r="AG118" s="8008" t="n"/>
      <c r="AH118" s="8402" t="n"/>
      <c r="AI118" s="8007" t="n"/>
      <c r="AJ118" s="8007" t="n"/>
      <c r="AK118" s="8007" t="n"/>
      <c r="AL118" s="8007" t="n"/>
      <c r="AM118" s="8007" t="n"/>
      <c r="AN118" s="8007" t="n"/>
      <c r="AO118" s="8007" t="n"/>
      <c r="AP118" s="1277" t="n"/>
      <c r="AQ118" s="2875" t="n"/>
      <c r="AR118" s="8788" t="inlineStr">
        <is>
          <t>Override</t>
        </is>
      </c>
      <c r="AS118" s="2875" t="n"/>
      <c r="BG118" s="769" t="n"/>
      <c r="BH118" s="658" t="n"/>
      <c r="BI118" s="658" t="n"/>
      <c r="BJ118" s="658" t="n"/>
      <c r="BK118" s="658" t="n"/>
      <c r="BL118" s="658" t="n"/>
      <c r="BM118" s="658" t="n"/>
      <c r="BN118" s="658" t="n"/>
      <c r="BO118" s="658" t="n"/>
      <c r="BP118" s="658" t="n"/>
    </row>
    <row r="119" ht="15.75" customHeight="1" s="7635">
      <c r="A119" s="1277" t="n"/>
      <c r="B119" s="8405" t="n">
        <v>39</v>
      </c>
      <c r="C119" s="7637" t="n"/>
      <c r="D119" s="1996" t="inlineStr">
        <is>
          <t>Combine columns (d) and (e) only. Enter the result here and include in the total on line 41 below</t>
        </is>
      </c>
      <c r="E119" s="413" t="n"/>
      <c r="F119" s="413" t="n"/>
      <c r="G119" s="413" t="n"/>
      <c r="H119" s="413" t="n"/>
      <c r="I119" s="413" t="n"/>
      <c r="J119" s="413" t="n"/>
      <c r="K119" s="413" t="n"/>
      <c r="L119" s="413" t="n"/>
      <c r="M119" s="413" t="n"/>
      <c r="N119" s="413" t="n"/>
      <c r="O119" s="413" t="n"/>
      <c r="P119" s="413" t="n"/>
      <c r="Q119" s="413" t="n"/>
      <c r="R119" s="413" t="n"/>
      <c r="S119" s="413" t="n"/>
      <c r="T119" s="413" t="n"/>
      <c r="U119" s="413" t="n"/>
      <c r="V119" s="413" t="n"/>
      <c r="W119" s="413" t="n"/>
      <c r="X119" s="413" t="n"/>
      <c r="Y119" s="413" t="n"/>
      <c r="Z119" s="413" t="n"/>
      <c r="AA119" s="413" t="n"/>
      <c r="AB119" s="413" t="n"/>
      <c r="AC119" s="413" t="n"/>
      <c r="AD119" s="413" t="n"/>
      <c r="AE119" s="413" t="n"/>
      <c r="AF119" s="413" t="n"/>
      <c r="AG119" s="414" t="n"/>
      <c r="AH119" s="10008" t="n">
        <v>39</v>
      </c>
      <c r="AI119" s="11734" t="n"/>
      <c r="AJ119" s="8408">
        <f>IF(AR119&lt;&gt;"",ROUND(AR119,0),ROUND(SUM(Z118,AH118),0))</f>
        <v/>
      </c>
      <c r="AK119" s="8412" t="n"/>
      <c r="AL119" s="8412" t="n"/>
      <c r="AM119" s="8412" t="n"/>
      <c r="AN119" s="8412" t="n"/>
      <c r="AO119" s="8412" t="n"/>
      <c r="AP119" s="1277" t="n"/>
      <c r="AQ119" s="2875" t="n"/>
      <c r="AR119" s="776" t="n"/>
      <c r="AS119" s="2875" t="n"/>
      <c r="BG119" s="769" t="n"/>
      <c r="BH119" s="658" t="n"/>
      <c r="BI119" s="658" t="n"/>
      <c r="BJ119" s="658" t="n"/>
      <c r="BK119" s="658" t="n"/>
      <c r="BL119" s="658" t="n"/>
      <c r="BM119" s="658" t="n"/>
      <c r="BN119" s="658" t="n"/>
      <c r="BO119" s="658" t="n"/>
      <c r="BP119" s="658" t="n"/>
    </row>
    <row r="120" ht="17.25" customFormat="1" customHeight="1" s="1405">
      <c r="A120" s="2119" t="n"/>
      <c r="B120" s="8410" t="inlineStr">
        <is>
          <t>Part V</t>
        </is>
      </c>
      <c r="C120" s="8412" t="n"/>
      <c r="D120" s="8412" t="n"/>
      <c r="E120" s="2120" t="n"/>
      <c r="F120" s="4836" t="inlineStr">
        <is>
          <t>Summary</t>
        </is>
      </c>
      <c r="G120" s="2120" t="n"/>
      <c r="H120" s="2120" t="n"/>
      <c r="I120" s="2120" t="n"/>
      <c r="J120" s="2120" t="n"/>
      <c r="K120" s="2120" t="n"/>
      <c r="L120" s="2120" t="n"/>
      <c r="M120" s="2120" t="n"/>
      <c r="N120" s="2120" t="n"/>
      <c r="O120" s="2120" t="n"/>
      <c r="P120" s="2120" t="n"/>
      <c r="Q120" s="2120" t="n"/>
      <c r="R120" s="2120" t="n"/>
      <c r="S120" s="2120" t="n"/>
      <c r="T120" s="2120" t="n"/>
      <c r="U120" s="2120" t="n"/>
      <c r="V120" s="2120" t="n"/>
      <c r="W120" s="2120" t="n"/>
      <c r="X120" s="3901" t="n"/>
      <c r="Y120" s="2120" t="n"/>
      <c r="Z120" s="2120" t="n"/>
      <c r="AA120" s="2120" t="n"/>
      <c r="AB120" s="2120" t="n"/>
      <c r="AC120" s="2120" t="n"/>
      <c r="AD120" s="2120" t="n"/>
      <c r="AE120" s="2120" t="n"/>
      <c r="AF120" s="2120" t="n"/>
      <c r="AG120" s="2120" t="n"/>
      <c r="AH120" s="2120" t="n"/>
      <c r="AI120" s="2120" t="n"/>
      <c r="AJ120" s="2120" t="n"/>
      <c r="AK120" s="2120" t="n"/>
      <c r="AL120" s="2120" t="n"/>
      <c r="AM120" s="2120" t="n"/>
      <c r="AN120" s="2120" t="n"/>
      <c r="AO120" s="2120" t="n"/>
      <c r="AP120" s="1277" t="n"/>
      <c r="AQ120" s="2875" t="n"/>
      <c r="AR120" s="2875" t="n"/>
      <c r="AS120" s="2875" t="n"/>
      <c r="BG120" s="769" t="n"/>
      <c r="BH120" s="658" t="n"/>
      <c r="BI120" s="658" t="n"/>
      <c r="BJ120" s="658" t="n"/>
      <c r="BK120" s="658" t="n"/>
      <c r="BL120" s="658" t="n"/>
      <c r="BM120" s="658" t="n"/>
      <c r="BN120" s="658" t="n"/>
      <c r="BO120" s="658" t="n"/>
      <c r="BP120" s="658" t="n"/>
      <c r="BQ120" s="815" t="n"/>
    </row>
    <row r="121" ht="16.5" customHeight="1" s="7635" thickBot="1">
      <c r="A121" s="1277" t="n"/>
      <c r="B121" s="8384" t="n">
        <v>40</v>
      </c>
      <c r="C121" s="7839" t="n"/>
      <c r="D121" s="2354" t="inlineStr">
        <is>
          <t>Net farm rental income or (loss) from Form 4835. Also, complete line 42 below</t>
        </is>
      </c>
      <c r="E121" s="406" t="n"/>
      <c r="F121" s="406" t="n"/>
      <c r="G121" s="406" t="n"/>
      <c r="H121" s="406" t="n"/>
      <c r="I121" s="406" t="n"/>
      <c r="J121" s="406" t="n"/>
      <c r="K121" s="406" t="n"/>
      <c r="L121" s="406" t="n"/>
      <c r="M121" s="406" t="n"/>
      <c r="N121" s="406" t="n"/>
      <c r="O121" s="406" t="n"/>
      <c r="P121" s="406" t="n"/>
      <c r="Q121" s="406" t="n"/>
      <c r="R121" s="406" t="n"/>
      <c r="S121" s="406" t="n"/>
      <c r="T121" s="406" t="n"/>
      <c r="U121" s="406" t="n"/>
      <c r="V121" s="406" t="n"/>
      <c r="W121" s="406" t="n"/>
      <c r="X121" s="406" t="n"/>
      <c r="Y121" s="406" t="n"/>
      <c r="Z121" s="406" t="n"/>
      <c r="AA121" s="406" t="n"/>
      <c r="AB121" s="406" t="n"/>
      <c r="AC121" s="406" t="n"/>
      <c r="AD121" s="406" t="n"/>
      <c r="AE121" s="406" t="n"/>
      <c r="AF121" s="406" t="n"/>
      <c r="AG121" s="2198" t="inlineStr">
        <is>
          <t xml:space="preserve">.   .   .   .   .   .   .   .   .   . </t>
        </is>
      </c>
      <c r="AH121" s="8385" t="n">
        <v>40</v>
      </c>
      <c r="AI121" s="12143" t="n"/>
      <c r="AJ121" s="8388" t="n"/>
      <c r="AK121" s="11809" t="n"/>
      <c r="AL121" s="11809" t="n"/>
      <c r="AM121" s="11809" t="n"/>
      <c r="AN121" s="11809" t="n"/>
      <c r="AO121" s="11809" t="n"/>
      <c r="AP121" s="1277" t="n"/>
      <c r="AQ121" s="2875" t="n"/>
      <c r="AR121" s="2875" t="n"/>
      <c r="AS121" s="2875" t="n"/>
      <c r="BG121" s="769" t="n"/>
      <c r="BH121" s="658" t="n"/>
      <c r="BI121" s="658" t="n"/>
      <c r="BJ121" s="658" t="n"/>
      <c r="BK121" s="658" t="n"/>
      <c r="BL121" s="658" t="n"/>
      <c r="BM121" s="658" t="n"/>
      <c r="BN121" s="658" t="n"/>
      <c r="BO121" s="658" t="n"/>
      <c r="BP121" s="658" t="n"/>
    </row>
    <row r="122" ht="13.5" customHeight="1" s="7635">
      <c r="A122" s="1277" t="n"/>
      <c r="B122" s="7642" t="n">
        <v>41</v>
      </c>
      <c r="D122" s="8650" t="inlineStr">
        <is>
          <t>Total income or (loss). Combine lines 26, 32, 37, 39, and 40. Enter the result here and on Schedule</t>
        </is>
      </c>
      <c r="E122" s="11602" t="n"/>
      <c r="F122" s="11602" t="n"/>
      <c r="G122" s="11602" t="n"/>
      <c r="H122" s="11602" t="n"/>
      <c r="I122" s="11602" t="n"/>
      <c r="J122" s="11602" t="n"/>
      <c r="K122" s="11602" t="n"/>
      <c r="L122" s="11602" t="n"/>
      <c r="M122" s="11602" t="n"/>
      <c r="N122" s="11602" t="n"/>
      <c r="O122" s="11602" t="n"/>
      <c r="P122" s="11602" t="n"/>
      <c r="Q122" s="11602" t="n"/>
      <c r="R122" s="11602" t="n"/>
      <c r="S122" s="11602" t="n"/>
      <c r="T122" s="11602" t="n"/>
      <c r="U122" s="11602" t="n"/>
      <c r="V122" s="11602" t="n"/>
      <c r="W122" s="11602" t="n"/>
      <c r="X122" s="11602" t="n"/>
      <c r="Y122" s="11602" t="n"/>
      <c r="Z122" s="11602" t="n"/>
      <c r="AA122" s="11602" t="n"/>
      <c r="AB122" s="11602" t="n"/>
      <c r="AC122" s="11602" t="n"/>
      <c r="AD122" s="11602" t="n"/>
      <c r="AE122" s="11602" t="n"/>
      <c r="AF122" s="11602" t="n"/>
      <c r="AG122" s="409" t="n"/>
      <c r="AH122" s="8439" t="n"/>
      <c r="AI122" s="4837" t="n"/>
      <c r="AJ122" s="1883" t="n"/>
      <c r="AK122" s="1900" t="n"/>
      <c r="AL122" s="1900" t="n"/>
      <c r="AM122" s="1900" t="n"/>
      <c r="AN122" s="1900" t="n"/>
      <c r="AO122" s="1900" t="n"/>
      <c r="AP122" s="1277" t="n"/>
      <c r="AQ122" s="2875" t="n"/>
      <c r="AR122" s="2875" t="n"/>
      <c r="AS122" s="2875" t="n"/>
      <c r="AX122" s="1405" t="n"/>
      <c r="AY122" s="1405" t="n"/>
      <c r="AZ122" s="1405" t="n"/>
      <c r="BA122" s="1405" t="n"/>
      <c r="BB122" s="1405" t="n"/>
      <c r="BC122" s="1405" t="n"/>
      <c r="BD122" s="1405" t="n"/>
      <c r="BG122" s="769" t="n"/>
      <c r="BH122" s="658" t="n"/>
      <c r="BI122" s="658" t="n"/>
      <c r="BJ122" s="658" t="n"/>
      <c r="BK122" s="658" t="n"/>
      <c r="BL122" s="658" t="n"/>
      <c r="BM122" s="658" t="n"/>
      <c r="BN122" s="658" t="n"/>
      <c r="BO122" s="658" t="n"/>
      <c r="BP122" s="658" t="n"/>
    </row>
    <row r="123" ht="13.5" customHeight="1" s="7635">
      <c r="A123" s="1277" t="n"/>
      <c r="B123" s="7642" t="n"/>
      <c r="D123" s="8650" t="inlineStr">
        <is>
          <t>1 (Form 1040), line 5</t>
        </is>
      </c>
      <c r="E123" s="11602" t="n"/>
      <c r="F123" s="11602" t="n"/>
      <c r="G123" s="11602" t="n"/>
      <c r="H123" s="11602" t="n"/>
      <c r="I123" s="11602" t="n"/>
      <c r="J123" s="11602" t="n"/>
      <c r="K123" s="11602" t="n"/>
      <c r="L123" s="11602" t="n"/>
      <c r="M123" s="11602" t="n"/>
      <c r="N123" s="11602" t="n"/>
      <c r="O123" s="11602" t="n"/>
      <c r="P123" s="11602" t="n"/>
      <c r="Q123" s="11602" t="n"/>
      <c r="R123" s="11602" t="n"/>
      <c r="S123" s="11602" t="n"/>
      <c r="T123" s="11602" t="n"/>
      <c r="U123" s="11602" t="n"/>
      <c r="V123" s="11602" t="n"/>
      <c r="W123" s="11602" t="n"/>
      <c r="X123" s="11602" t="n"/>
      <c r="Y123" s="11602" t="n"/>
      <c r="Z123" s="11602" t="n"/>
      <c r="AA123" s="11602" t="n"/>
      <c r="AB123" s="11602" t="n"/>
      <c r="AC123" s="11602" t="n"/>
      <c r="AD123" s="11602" t="n"/>
      <c r="AE123" s="11602" t="n"/>
      <c r="AF123" s="11602" t="n"/>
      <c r="AG123" s="2198" t="inlineStr">
        <is>
          <t xml:space="preserve">.   .   .   .   .   .   .   .   .   .   .   .   .   .   .   .   .   .   .   .   .   .   .   .   .   .   .   .   .   .   .   .   .   .   . </t>
        </is>
      </c>
      <c r="AH123" s="8389" t="n">
        <v>41</v>
      </c>
      <c r="AI123" s="7638" t="n"/>
      <c r="AJ123" s="7062">
        <f>IF(AR123&lt;&gt;"",ROUND(AR123,0),IF(SchE1_Completed,SUM(SchE1_Line26,SchE1_Line32,SchE1_Line37,SchE1_Line39,ROUND(SchE1_Line40,0)),0))</f>
        <v/>
      </c>
      <c r="AK123" s="7637" t="n"/>
      <c r="AL123" s="7637" t="n"/>
      <c r="AM123" s="7637" t="n"/>
      <c r="AN123" s="7637" t="n"/>
      <c r="AO123" s="7637" t="n"/>
      <c r="AP123" s="1277" t="n"/>
      <c r="AQ123" s="2875" t="n"/>
      <c r="AR123" s="776" t="n"/>
      <c r="AS123" s="2875" t="n"/>
      <c r="AV123">
        <f>OR(SchE1_Line26&lt;&gt;0,SchE1_Line32&lt;&gt;0,SchE1_Line37&lt;&gt;0,SchE1_Line39&lt;&gt;0,SchE1_Line40&lt;&gt;0)</f>
        <v/>
      </c>
      <c r="AX123" s="1405" t="n"/>
      <c r="AY123" s="1405" t="n"/>
      <c r="AZ123" s="1405" t="n"/>
      <c r="BA123" s="1405" t="n"/>
      <c r="BB123" s="1405" t="n"/>
      <c r="BC123" s="1405" t="n"/>
      <c r="BD123" s="1405" t="n"/>
      <c r="BG123" s="769" t="n"/>
      <c r="BH123" s="658" t="n"/>
      <c r="BI123" s="658" t="n"/>
      <c r="BJ123" s="658" t="n"/>
      <c r="BK123" s="658" t="n"/>
      <c r="BL123" s="658" t="n"/>
      <c r="BM123" s="658" t="n"/>
      <c r="BN123" s="658" t="n"/>
      <c r="BO123" s="658" t="n"/>
      <c r="BP123" s="658" t="n"/>
    </row>
    <row r="124" ht="12.75" customHeight="1" s="7635">
      <c r="A124" s="1277" t="n"/>
      <c r="B124" s="7642" t="n">
        <v>42</v>
      </c>
      <c r="D124" s="7772" t="inlineStr">
        <is>
          <t>Reconciliation of farming and fishing income.  Enter your gross</t>
        </is>
      </c>
      <c r="E124" s="11602" t="n"/>
      <c r="F124" s="11602" t="n"/>
      <c r="G124" s="11602" t="n"/>
      <c r="H124" s="11602" t="n"/>
      <c r="I124" s="11602" t="n"/>
      <c r="J124" s="11602" t="n"/>
      <c r="K124" s="11602" t="n"/>
      <c r="L124" s="11602" t="n"/>
      <c r="M124" s="11602" t="n"/>
      <c r="N124" s="11602" t="n"/>
      <c r="O124" s="11602" t="n"/>
      <c r="P124" s="11602" t="n"/>
      <c r="Q124" s="11602" t="n"/>
      <c r="R124" s="11602" t="n"/>
      <c r="S124" s="11602" t="n"/>
      <c r="T124" s="11602" t="n"/>
      <c r="U124" s="11602" t="n"/>
      <c r="V124" s="11602" t="n"/>
      <c r="W124" s="11602" t="n"/>
      <c r="X124" s="11602" t="n"/>
      <c r="Y124" s="408" t="n"/>
      <c r="Z124" s="409" t="n"/>
      <c r="AA124" s="11602" t="n"/>
      <c r="AB124" s="11602" t="n"/>
      <c r="AC124" s="11602" t="n"/>
      <c r="AD124" s="11602" t="n"/>
      <c r="AE124" s="11602" t="n"/>
      <c r="AF124" s="11602" t="n"/>
      <c r="AG124" s="409" t="n"/>
      <c r="AH124" s="723" t="n"/>
      <c r="AI124" s="723" t="n"/>
      <c r="AJ124" s="723" t="n"/>
      <c r="AK124" s="723" t="n"/>
      <c r="AL124" s="723" t="n"/>
      <c r="AM124" s="723" t="n"/>
      <c r="AN124" s="723" t="n"/>
      <c r="AO124" s="723" t="n"/>
      <c r="AP124" s="1277" t="n"/>
      <c r="AQ124" s="2875" t="n"/>
      <c r="AR124" s="2875" t="n"/>
      <c r="AS124" s="2875" t="n"/>
      <c r="AV124" s="212">
        <f>IF(SchE1_Completed,SchE1_Line41,SchE1_Line26)</f>
        <v/>
      </c>
      <c r="BG124" s="769" t="n"/>
      <c r="BH124" s="658" t="n"/>
      <c r="BI124" s="658" t="n"/>
      <c r="BJ124" s="658" t="n"/>
      <c r="BK124" s="658" t="n"/>
      <c r="BL124" s="658" t="n"/>
      <c r="BM124" s="658" t="n"/>
      <c r="BN124" s="658" t="n"/>
      <c r="BO124" s="658" t="n"/>
      <c r="BP124" s="658" t="n"/>
    </row>
    <row r="125" ht="12.75" customHeight="1" s="7635">
      <c r="A125" s="1277" t="n"/>
      <c r="B125" s="7642" t="n"/>
      <c r="C125" s="11602" t="n"/>
      <c r="D125" s="8650" t="inlineStr">
        <is>
          <t>farming and fishing income reported on Form 4835, line 7; Schedule K-1</t>
        </is>
      </c>
      <c r="E125" s="11602" t="n"/>
      <c r="F125" s="11602" t="n"/>
      <c r="G125" s="11602" t="n"/>
      <c r="H125" s="11602" t="n"/>
      <c r="I125" s="11602" t="n"/>
      <c r="J125" s="11602" t="n"/>
      <c r="K125" s="11602" t="n"/>
      <c r="L125" s="11602" t="n"/>
      <c r="M125" s="11602" t="n"/>
      <c r="N125" s="11602" t="n"/>
      <c r="O125" s="11602" t="n"/>
      <c r="P125" s="11602" t="n"/>
      <c r="Q125" s="11602" t="n"/>
      <c r="R125" s="11602" t="n"/>
      <c r="S125" s="11602" t="n"/>
      <c r="T125" s="11602" t="n"/>
      <c r="U125" s="11602" t="n"/>
      <c r="V125" s="11602" t="n"/>
      <c r="W125" s="11602" t="n"/>
      <c r="X125" s="11602" t="n"/>
      <c r="Y125" s="408" t="n"/>
      <c r="Z125" s="409" t="n"/>
      <c r="AA125" s="11602" t="n"/>
      <c r="AB125" s="11602" t="n"/>
      <c r="AC125" s="11602" t="n"/>
      <c r="AD125" s="11602" t="n"/>
      <c r="AE125" s="11602" t="n"/>
      <c r="AF125" s="11602" t="n"/>
      <c r="AG125" s="409" t="n"/>
      <c r="AH125" s="723" t="n"/>
      <c r="AI125" s="723" t="n"/>
      <c r="AJ125" s="723" t="n"/>
      <c r="AK125" s="723" t="n"/>
      <c r="AL125" s="723" t="n"/>
      <c r="AM125" s="723" t="n"/>
      <c r="AN125" s="723" t="n"/>
      <c r="AO125" s="723" t="n"/>
      <c r="AP125" s="1277" t="n"/>
      <c r="BG125" s="769" t="n"/>
      <c r="BH125" s="658" t="n"/>
      <c r="BI125" s="658" t="n"/>
      <c r="BJ125" s="658" t="n"/>
      <c r="BK125" s="658" t="n"/>
      <c r="BL125" s="658" t="n"/>
      <c r="BM125" s="658" t="n"/>
      <c r="BN125" s="658" t="n"/>
      <c r="BO125" s="658" t="n"/>
      <c r="BP125" s="658" t="n"/>
    </row>
    <row r="126" ht="12.75" customHeight="1" s="7635">
      <c r="A126" s="1277" t="n"/>
      <c r="B126" s="7642" t="n"/>
      <c r="C126" s="11602" t="n"/>
      <c r="D126" s="8650" t="inlineStr">
        <is>
          <t>Form 1065), box 14, code B; Schedule K-1 (Form 1120S), box 17, code</t>
        </is>
      </c>
      <c r="E126" s="11602" t="n"/>
      <c r="F126" s="11602" t="n"/>
      <c r="G126" s="11602" t="n"/>
      <c r="H126" s="11602" t="n"/>
      <c r="I126" s="11602" t="n"/>
      <c r="J126" s="11602" t="n"/>
      <c r="K126" s="11602" t="n"/>
      <c r="L126" s="11602" t="n"/>
      <c r="M126" s="11602" t="n"/>
      <c r="N126" s="11602" t="n"/>
      <c r="O126" s="11602" t="n"/>
      <c r="P126" s="11602" t="n"/>
      <c r="Q126" s="11602" t="n"/>
      <c r="R126" s="11602" t="n"/>
      <c r="S126" s="11602" t="n"/>
      <c r="T126" s="11602" t="n"/>
      <c r="U126" s="11602" t="n"/>
      <c r="V126" s="11602" t="n"/>
      <c r="W126" s="11602" t="n"/>
      <c r="X126" s="11602" t="n"/>
      <c r="Y126" s="408" t="n"/>
      <c r="Z126" s="409" t="n"/>
      <c r="AA126" s="11602" t="n"/>
      <c r="AB126" s="11602" t="n"/>
      <c r="AC126" s="11602" t="n"/>
      <c r="AD126" s="11602" t="n"/>
      <c r="AE126" s="11602" t="n"/>
      <c r="AF126" s="11602" t="n"/>
      <c r="AG126" s="409" t="n"/>
      <c r="AH126" s="723" t="n"/>
      <c r="AI126" s="723" t="n"/>
      <c r="AJ126" s="723" t="n"/>
      <c r="AK126" s="723" t="n"/>
      <c r="AL126" s="723" t="n"/>
      <c r="AM126" s="723" t="n"/>
      <c r="AN126" s="723" t="n"/>
      <c r="AO126" s="723" t="n"/>
      <c r="AP126" s="1277" t="n"/>
      <c r="BG126" s="769" t="n"/>
      <c r="BH126" s="658" t="n"/>
      <c r="BI126" s="658" t="n"/>
      <c r="BJ126" s="658" t="n"/>
      <c r="BK126" s="658" t="n"/>
      <c r="BL126" s="658" t="n"/>
      <c r="BM126" s="658" t="n"/>
      <c r="BN126" s="658" t="n"/>
      <c r="BO126" s="658" t="n"/>
      <c r="BP126" s="658" t="n"/>
    </row>
    <row r="127" ht="13.5" customHeight="1" s="7635">
      <c r="A127" s="1277" t="n"/>
      <c r="B127" s="7642" t="n"/>
      <c r="C127" s="11602" t="n"/>
      <c r="D127" s="8650" t="inlineStr">
        <is>
          <t>AN; and Schedule K-1 (Form 1041), box 14, code F. See instructions</t>
        </is>
      </c>
      <c r="E127" s="11602" t="n"/>
      <c r="F127" s="11602" t="n"/>
      <c r="G127" s="11602" t="n"/>
      <c r="H127" s="11602" t="n"/>
      <c r="I127" s="11602" t="n"/>
      <c r="J127" s="11602" t="n"/>
      <c r="K127" s="11602" t="n"/>
      <c r="L127" s="11602" t="n"/>
      <c r="M127" s="11602" t="n"/>
      <c r="N127" s="11602" t="n"/>
      <c r="O127" s="11602" t="n"/>
      <c r="P127" s="11602" t="n"/>
      <c r="Q127" s="11602" t="n"/>
      <c r="R127" s="11602" t="n"/>
      <c r="S127" s="11602" t="n"/>
      <c r="T127" s="11602" t="n"/>
      <c r="U127" s="11602" t="n"/>
      <c r="V127" s="11602" t="n"/>
      <c r="W127" s="11602" t="n"/>
      <c r="X127" s="1401" t="inlineStr">
        <is>
          <t xml:space="preserve"> . </t>
        </is>
      </c>
      <c r="Y127" s="6088" t="n">
        <v>42</v>
      </c>
      <c r="Z127" s="7638" t="n"/>
      <c r="AA127" s="8394" t="n"/>
      <c r="AB127" s="11717" t="n"/>
      <c r="AC127" s="11717" t="n"/>
      <c r="AD127" s="11717" t="n"/>
      <c r="AE127" s="11717" t="n"/>
      <c r="AF127" s="11717" t="n"/>
      <c r="AG127" s="11718" t="n"/>
      <c r="AH127" s="723" t="n"/>
      <c r="AI127" s="723" t="n"/>
      <c r="AJ127" s="723" t="n"/>
      <c r="AK127" s="723" t="n"/>
      <c r="AL127" s="723" t="n"/>
      <c r="AM127" s="723" t="n"/>
      <c r="AN127" s="723" t="n"/>
      <c r="AO127" s="723" t="n"/>
      <c r="AP127" s="1277" t="n"/>
      <c r="BG127" s="769" t="n"/>
      <c r="BH127" s="658" t="n"/>
      <c r="BI127" s="658" t="n"/>
      <c r="BJ127" s="658" t="n"/>
      <c r="BK127" s="658" t="n"/>
      <c r="BL127" s="658" t="n"/>
      <c r="BM127" s="658" t="n"/>
      <c r="BN127" s="658" t="n"/>
      <c r="BO127" s="658" t="n"/>
      <c r="BP127" s="658" t="n"/>
    </row>
    <row r="128" ht="12.75" customHeight="1" s="7635">
      <c r="A128" s="1277" t="n"/>
      <c r="B128" s="7642" t="n">
        <v>43</v>
      </c>
      <c r="D128" s="8650" t="inlineStr">
        <is>
          <t>Reconciliation for real estate professionals. If you were a real estate</t>
        </is>
      </c>
      <c r="E128" s="11602" t="n"/>
      <c r="F128" s="11602" t="n"/>
      <c r="G128" s="11602" t="n"/>
      <c r="H128" s="11602" t="n"/>
      <c r="I128" s="11602" t="n"/>
      <c r="J128" s="11602" t="n"/>
      <c r="K128" s="11602" t="n"/>
      <c r="L128" s="11602" t="n"/>
      <c r="M128" s="11602" t="n"/>
      <c r="N128" s="11602" t="n"/>
      <c r="O128" s="11602" t="n"/>
      <c r="P128" s="11602" t="n"/>
      <c r="Q128" s="11602" t="n"/>
      <c r="R128" s="11602" t="n"/>
      <c r="S128" s="11602" t="n"/>
      <c r="T128" s="11602" t="n"/>
      <c r="U128" s="11602" t="n"/>
      <c r="V128" s="11602" t="n"/>
      <c r="W128" s="11602" t="n"/>
      <c r="X128" s="11602" t="n"/>
      <c r="Y128" s="405" t="n"/>
      <c r="Z128" s="407" t="n"/>
      <c r="AA128" s="406" t="n"/>
      <c r="AB128" s="406" t="n"/>
      <c r="AC128" s="406" t="n"/>
      <c r="AD128" s="406" t="n"/>
      <c r="AE128" s="406" t="n"/>
      <c r="AF128" s="406" t="n"/>
      <c r="AG128" s="407" t="n"/>
      <c r="AH128" s="723" t="n"/>
      <c r="AI128" s="723" t="n"/>
      <c r="AJ128" s="723" t="n"/>
      <c r="AK128" s="723" t="n"/>
      <c r="AL128" s="723" t="n"/>
      <c r="AM128" s="723" t="n"/>
      <c r="AN128" s="723" t="n"/>
      <c r="AO128" s="723" t="n"/>
      <c r="AP128" s="1277" t="n"/>
      <c r="BG128" s="769" t="n"/>
      <c r="BH128" s="658" t="n"/>
      <c r="BI128" s="658" t="n"/>
      <c r="BJ128" s="658" t="n"/>
      <c r="BK128" s="658" t="n"/>
      <c r="BL128" s="658" t="n"/>
      <c r="BM128" s="658" t="n"/>
      <c r="BN128" s="658" t="n"/>
      <c r="BO128" s="658" t="n"/>
      <c r="BP128" s="658" t="n"/>
    </row>
    <row r="129" ht="12.75" customHeight="1" s="7635">
      <c r="A129" s="1277" t="n"/>
      <c r="B129" s="7642" t="n"/>
      <c r="C129" s="11602" t="n"/>
      <c r="D129" s="2100" t="inlineStr">
        <is>
          <t>professional (see instructions),  enter the net income or (loss) you</t>
        </is>
      </c>
      <c r="E129" s="11602" t="n"/>
      <c r="F129" s="11602" t="n"/>
      <c r="G129" s="11602" t="n"/>
      <c r="H129" s="11602" t="n"/>
      <c r="I129" s="11602" t="n"/>
      <c r="J129" s="11602" t="n"/>
      <c r="K129" s="11602" t="n"/>
      <c r="L129" s="11602" t="n"/>
      <c r="M129" s="11602" t="n"/>
      <c r="N129" s="11602" t="n"/>
      <c r="O129" s="11602" t="n"/>
      <c r="P129" s="11602" t="n"/>
      <c r="Q129" s="11602" t="n"/>
      <c r="R129" s="11602" t="n"/>
      <c r="S129" s="11602" t="n"/>
      <c r="T129" s="11602" t="n"/>
      <c r="U129" s="11602" t="n"/>
      <c r="V129" s="11602" t="n"/>
      <c r="W129" s="11602" t="n"/>
      <c r="X129" s="11602" t="n"/>
      <c r="Y129" s="408" t="n"/>
      <c r="Z129" s="409" t="n"/>
      <c r="AA129" s="11602" t="n"/>
      <c r="AB129" s="11602" t="n"/>
      <c r="AC129" s="11602" t="n"/>
      <c r="AD129" s="11602" t="n"/>
      <c r="AE129" s="11602" t="n"/>
      <c r="AF129" s="11602" t="n"/>
      <c r="AG129" s="409" t="n"/>
      <c r="AH129" s="723" t="n"/>
      <c r="AI129" s="723" t="n"/>
      <c r="AJ129" s="723" t="n"/>
      <c r="AK129" s="723" t="n"/>
      <c r="AL129" s="723" t="n"/>
      <c r="AM129" s="723" t="n"/>
      <c r="AN129" s="723" t="n"/>
      <c r="AO129" s="723" t="n"/>
      <c r="AP129" s="1277" t="n"/>
      <c r="BG129" s="769" t="n"/>
      <c r="BH129" s="658" t="n"/>
      <c r="BI129" s="658" t="n"/>
      <c r="BJ129" s="658" t="n"/>
      <c r="BK129" s="658" t="n"/>
      <c r="BL129" s="658" t="n"/>
      <c r="BM129" s="658" t="n"/>
      <c r="BN129" s="658" t="n"/>
      <c r="BO129" s="658" t="n"/>
      <c r="BP129" s="658" t="n"/>
    </row>
    <row r="130" ht="12.75" customHeight="1" s="7635">
      <c r="A130" s="1277" t="n"/>
      <c r="B130" s="7642" t="n"/>
      <c r="C130" s="11602" t="n"/>
      <c r="D130" s="2100" t="inlineStr">
        <is>
          <t>reported  anywhere on Form 1040, Form 1040-SR, or Form 1040-NR</t>
        </is>
      </c>
      <c r="E130" s="11602" t="n"/>
      <c r="F130" s="11602" t="n"/>
      <c r="G130" s="11602" t="n"/>
      <c r="H130" s="11602" t="n"/>
      <c r="I130" s="11602" t="n"/>
      <c r="J130" s="11602" t="n"/>
      <c r="K130" s="11602" t="n"/>
      <c r="L130" s="11602" t="n"/>
      <c r="M130" s="11602" t="n"/>
      <c r="N130" s="11602" t="n"/>
      <c r="O130" s="11602" t="n"/>
      <c r="P130" s="11602" t="n"/>
      <c r="Q130" s="11602" t="n"/>
      <c r="R130" s="11602" t="n"/>
      <c r="S130" s="11602" t="n"/>
      <c r="T130" s="11602" t="n"/>
      <c r="U130" s="11602" t="n"/>
      <c r="V130" s="11602" t="n"/>
      <c r="W130" s="11602" t="n"/>
      <c r="X130" s="11602" t="n"/>
      <c r="Y130" s="408" t="n"/>
      <c r="Z130" s="409" t="n"/>
      <c r="AA130" s="11602" t="n"/>
      <c r="AB130" s="11602" t="n"/>
      <c r="AC130" s="11602" t="n"/>
      <c r="AD130" s="11602" t="n"/>
      <c r="AE130" s="11602" t="n"/>
      <c r="AF130" s="11602" t="n"/>
      <c r="AG130" s="409" t="n"/>
      <c r="AH130" s="723" t="n"/>
      <c r="AI130" s="723" t="n"/>
      <c r="AJ130" s="723" t="n"/>
      <c r="AK130" s="723" t="n"/>
      <c r="AL130" s="723" t="n"/>
      <c r="AM130" s="723" t="n"/>
      <c r="AN130" s="723" t="n"/>
      <c r="AO130" s="723" t="n"/>
      <c r="AP130" s="1277" t="n"/>
      <c r="BG130" s="769" t="n"/>
      <c r="BH130" s="658" t="n"/>
      <c r="BI130" s="658" t="n"/>
      <c r="BJ130" s="658" t="n"/>
      <c r="BK130" s="658" t="n"/>
      <c r="BL130" s="658" t="n"/>
      <c r="BM130" s="658" t="n"/>
      <c r="BN130" s="658" t="n"/>
      <c r="BO130" s="658" t="n"/>
      <c r="BP130" s="658" t="n"/>
    </row>
    <row r="131" ht="12.75" customHeight="1" s="7635">
      <c r="A131" s="1277" t="n"/>
      <c r="B131" s="7642" t="n"/>
      <c r="C131" s="11602" t="n"/>
      <c r="D131" s="8650" t="inlineStr">
        <is>
          <t>from all rental real estate activities in which you materially participated</t>
        </is>
      </c>
      <c r="E131" s="11602" t="n"/>
      <c r="F131" s="11602" t="n"/>
      <c r="G131" s="11602" t="n"/>
      <c r="H131" s="11602" t="n"/>
      <c r="I131" s="11602" t="n"/>
      <c r="J131" s="11602" t="n"/>
      <c r="K131" s="11602" t="n"/>
      <c r="L131" s="11602" t="n"/>
      <c r="M131" s="11602" t="n"/>
      <c r="N131" s="11602" t="n"/>
      <c r="O131" s="11602" t="n"/>
      <c r="P131" s="11602" t="n"/>
      <c r="Q131" s="11602" t="n"/>
      <c r="R131" s="11602" t="n"/>
      <c r="S131" s="11602" t="n"/>
      <c r="T131" s="11602" t="n"/>
      <c r="U131" s="11602" t="n"/>
      <c r="V131" s="11602" t="n"/>
      <c r="W131" s="11602" t="n"/>
      <c r="X131" s="11602" t="n"/>
      <c r="Y131" s="408" t="n"/>
      <c r="Z131" s="409" t="n"/>
      <c r="AA131" s="11602" t="n"/>
      <c r="AB131" s="11602" t="n"/>
      <c r="AC131" s="11602" t="n"/>
      <c r="AD131" s="11602" t="n"/>
      <c r="AE131" s="11602" t="n"/>
      <c r="AF131" s="11602" t="n"/>
      <c r="AG131" s="409" t="n"/>
      <c r="AH131" s="723" t="n"/>
      <c r="AI131" s="723" t="n"/>
      <c r="AJ131" s="723" t="n"/>
      <c r="AK131" s="723" t="n"/>
      <c r="AL131" s="723" t="n"/>
      <c r="AM131" s="723" t="n"/>
      <c r="AN131" s="723" t="n"/>
      <c r="AO131" s="723" t="n"/>
      <c r="AP131" s="1277" t="n"/>
      <c r="BG131" s="769" t="n"/>
      <c r="BH131" s="658" t="n"/>
      <c r="BI131" s="658" t="n"/>
      <c r="BJ131" s="658" t="n"/>
      <c r="BK131" s="658" t="n"/>
      <c r="BL131" s="658" t="n"/>
      <c r="BM131" s="658" t="n"/>
      <c r="BN131" s="658" t="n"/>
      <c r="BO131" s="658" t="n"/>
      <c r="BP131" s="658" t="n"/>
    </row>
    <row r="132" ht="15.75" customHeight="1" s="7635" thickBot="1">
      <c r="A132" s="1277" t="n"/>
      <c r="B132" s="8481" t="n"/>
      <c r="C132" s="380" t="n"/>
      <c r="D132" s="2015" t="inlineStr">
        <is>
          <t>under the passive activity loss rules</t>
        </is>
      </c>
      <c r="E132" s="380" t="n"/>
      <c r="F132" s="380" t="n"/>
      <c r="G132" s="380" t="n"/>
      <c r="H132" s="380" t="n"/>
      <c r="I132" s="380" t="n"/>
      <c r="J132" s="380" t="n"/>
      <c r="K132" s="380" t="n"/>
      <c r="L132" s="380" t="n"/>
      <c r="M132" s="380" t="n"/>
      <c r="N132" s="380" t="n"/>
      <c r="O132" s="380" t="n"/>
      <c r="P132" s="380" t="n"/>
      <c r="Q132" s="380" t="n"/>
      <c r="R132" s="380" t="n"/>
      <c r="S132" s="380" t="n"/>
      <c r="T132" s="380" t="n"/>
      <c r="U132" s="380" t="n"/>
      <c r="V132" s="380" t="n"/>
      <c r="W132" s="380" t="n"/>
      <c r="X132" s="10736" t="inlineStr">
        <is>
          <t xml:space="preserve">.   .   .   .   .   .   .   .   .   .   .   .   . </t>
        </is>
      </c>
      <c r="Y132" s="12144" t="n">
        <v>43</v>
      </c>
      <c r="Z132" s="12121" t="n"/>
      <c r="AA132" s="8382" t="n"/>
      <c r="AB132" s="11795" t="n"/>
      <c r="AC132" s="11795" t="n"/>
      <c r="AD132" s="11795" t="n"/>
      <c r="AE132" s="11795" t="n"/>
      <c r="AF132" s="11795" t="n"/>
      <c r="AG132" s="12145" t="n"/>
      <c r="AH132" s="818" t="n"/>
      <c r="AI132" s="818" t="n"/>
      <c r="AJ132" s="818" t="n"/>
      <c r="AK132" s="818" t="n"/>
      <c r="AL132" s="818" t="n"/>
      <c r="AM132" s="818" t="n"/>
      <c r="AN132" s="818" t="n"/>
      <c r="AO132" s="818" t="n"/>
      <c r="AP132" s="1277" t="n"/>
      <c r="BG132" s="769" t="n"/>
      <c r="BH132" s="658" t="n"/>
      <c r="BI132" s="658" t="n"/>
      <c r="BJ132" s="658" t="n"/>
      <c r="BK132" s="658" t="n"/>
      <c r="BL132" s="658" t="n"/>
      <c r="BM132" s="658" t="n"/>
      <c r="BN132" s="658" t="n"/>
      <c r="BO132" s="658" t="n"/>
      <c r="BP132" s="658" t="n"/>
    </row>
    <row r="133" ht="12.75" customHeight="1" s="7635">
      <c r="A133" s="1277" t="n"/>
      <c r="B133" s="7642" t="n"/>
      <c r="C133" s="11602" t="n"/>
      <c r="D133" s="11602" t="n"/>
      <c r="E133" s="11602" t="n"/>
      <c r="F133" s="11602" t="n"/>
      <c r="G133" s="11602" t="n"/>
      <c r="H133" s="11602" t="n"/>
      <c r="I133" s="11602" t="n"/>
      <c r="J133" s="11602" t="n"/>
      <c r="K133" s="11602" t="n"/>
      <c r="L133" s="11602" t="n"/>
      <c r="M133" s="11602" t="n"/>
      <c r="N133" s="11602" t="n"/>
      <c r="O133" s="11602" t="n"/>
      <c r="P133" s="11602" t="n"/>
      <c r="Q133" s="11602" t="n"/>
      <c r="R133" s="11602" t="n"/>
      <c r="S133" s="11602" t="n"/>
      <c r="T133" s="11602" t="n"/>
      <c r="U133" s="11602" t="n"/>
      <c r="V133" s="11602" t="n"/>
      <c r="W133" s="11602" t="n"/>
      <c r="X133" s="11602" t="n"/>
      <c r="Y133" s="11602" t="n"/>
      <c r="Z133" s="11602" t="n"/>
      <c r="AA133" s="11602" t="n"/>
      <c r="AB133" s="11602" t="n"/>
      <c r="AC133" s="11602" t="n"/>
      <c r="AD133" s="11602" t="n"/>
      <c r="AE133" s="11602" t="n"/>
      <c r="AF133" s="11602" t="n"/>
      <c r="AG133" s="11602" t="n"/>
      <c r="AH133" s="11602" t="n"/>
      <c r="AI133" s="11602" t="n"/>
      <c r="AJ133" s="11602" t="n"/>
      <c r="AK133" s="11602" t="n"/>
      <c r="AL133" s="11602" t="n"/>
      <c r="AM133" s="11602" t="n"/>
      <c r="AN133" s="11602" t="n"/>
      <c r="AO133" s="1989">
        <f>"Schedule E (Form 1040) "&amp;TaxYear</f>
        <v/>
      </c>
      <c r="AP133" s="1277" t="n"/>
      <c r="BG133" s="769" t="n"/>
      <c r="BH133" s="658" t="n"/>
      <c r="BI133" s="658" t="n"/>
      <c r="BJ133" s="658" t="n"/>
      <c r="BK133" s="658" t="n"/>
      <c r="BL133" s="658" t="n"/>
      <c r="BM133" s="658" t="n"/>
      <c r="BN133" s="658" t="n"/>
      <c r="BO133" s="658" t="n"/>
      <c r="BP133" s="658" t="n"/>
    </row>
    <row r="134" ht="18" customHeight="1" s="7635">
      <c r="A134" s="1277" t="n"/>
      <c r="B134" s="12146" t="inlineStr">
        <is>
          <t>SCHEDULE E</t>
        </is>
      </c>
      <c r="G134" s="1066" t="n"/>
      <c r="H134" s="4750" t="n"/>
      <c r="I134" s="11602" t="n"/>
      <c r="J134" s="11602" t="n"/>
      <c r="K134" s="11602" t="n"/>
      <c r="L134" s="11602" t="n"/>
      <c r="M134" s="2329" t="n"/>
      <c r="N134" s="11602" t="n"/>
      <c r="O134" s="11602" t="n"/>
      <c r="P134" s="11602" t="n"/>
      <c r="Q134" s="11602" t="n"/>
      <c r="R134" s="11602" t="n"/>
      <c r="S134" s="11602" t="n"/>
      <c r="T134" s="11602" t="n"/>
      <c r="U134" s="11602" t="n"/>
      <c r="V134" s="11602" t="n"/>
      <c r="W134" s="11602" t="n"/>
      <c r="X134" s="11602" t="n"/>
      <c r="Y134" s="11602" t="n"/>
      <c r="Z134" s="11602" t="n"/>
      <c r="AA134" s="11602" t="n"/>
      <c r="AB134" s="11602" t="n"/>
      <c r="AC134" s="11602" t="n"/>
      <c r="AD134" s="11602" t="n"/>
      <c r="AE134" s="11602" t="n"/>
      <c r="AF134" s="11602" t="n"/>
      <c r="AG134" s="11602" t="n"/>
      <c r="AH134" s="11602" t="n"/>
      <c r="AI134" s="8598">
        <f>IF(AND('Table of Contents'!A38="D",AP134=""),"DRAFT","OMB No. 1545-0074")</f>
        <v/>
      </c>
      <c r="AJ134" s="7637" t="n"/>
      <c r="AK134" s="7637" t="n"/>
      <c r="AL134" s="7637" t="n"/>
      <c r="AM134" s="7637" t="n"/>
      <c r="AN134" s="7637" t="n"/>
      <c r="AO134" s="7637" t="n"/>
      <c r="AP134" s="1821" t="n"/>
      <c r="BG134" s="795" t="inlineStr">
        <is>
          <t>Date:</t>
        </is>
      </c>
      <c r="BH134" s="658" t="n"/>
      <c r="BI134" s="658" t="n"/>
      <c r="BJ134" s="658" t="n"/>
      <c r="BK134" s="658" t="n"/>
      <c r="BL134" s="658" t="n"/>
      <c r="BM134" s="658" t="n"/>
      <c r="BN134" s="658" t="n"/>
      <c r="BO134" s="658" t="n"/>
      <c r="BP134" s="658" t="n"/>
    </row>
    <row r="135" ht="30" customHeight="1" s="7635">
      <c r="A135" s="1277" t="n"/>
      <c r="B135" s="12106" t="inlineStr">
        <is>
          <t>(Form 1040)</t>
        </is>
      </c>
      <c r="G135" s="1066" t="n"/>
      <c r="H135" s="4751" t="inlineStr">
        <is>
          <t>Supplemental Income and Loss</t>
        </is>
      </c>
      <c r="I135" s="4752" t="n"/>
      <c r="J135" s="4752" t="n"/>
      <c r="K135" s="4752" t="n"/>
      <c r="L135" s="4752" t="n"/>
      <c r="M135" s="4752" t="n"/>
      <c r="N135" s="4752" t="n"/>
      <c r="O135" s="4752" t="n"/>
      <c r="P135" s="4752" t="n"/>
      <c r="Q135" s="4752" t="n"/>
      <c r="R135" s="4752" t="n"/>
      <c r="S135" s="4752" t="n"/>
      <c r="T135" s="4752" t="n"/>
      <c r="U135" s="4752" t="n"/>
      <c r="V135" s="4752" t="n"/>
      <c r="W135" s="4752" t="n"/>
      <c r="X135" s="4752" t="n"/>
      <c r="Y135" s="4752" t="n"/>
      <c r="Z135" s="4752" t="n"/>
      <c r="AA135" s="4752" t="n"/>
      <c r="AB135" s="4752" t="n"/>
      <c r="AC135" s="4752" t="n"/>
      <c r="AD135" s="4752" t="n"/>
      <c r="AE135" s="4752" t="n"/>
      <c r="AF135" s="4752" t="n"/>
      <c r="AG135" s="4752" t="n"/>
      <c r="AH135" s="4753" t="n"/>
      <c r="AI135" s="8602">
        <f>TaxYear</f>
        <v/>
      </c>
      <c r="AJ135" s="7839" t="n"/>
      <c r="AK135" s="7839" t="n"/>
      <c r="AL135" s="7839" t="n"/>
      <c r="AM135" s="7839" t="n"/>
      <c r="AN135" s="7839" t="n"/>
      <c r="AO135" s="7839" t="n"/>
      <c r="AP135" s="1277" t="n"/>
      <c r="BG135" s="769" t="n"/>
      <c r="BH135" s="658" t="n"/>
      <c r="BI135" s="658" t="n"/>
      <c r="BJ135" s="658" t="n"/>
      <c r="BK135" s="658" t="n"/>
      <c r="BL135" s="658" t="n"/>
      <c r="BM135" s="658" t="n"/>
      <c r="BN135" s="658" t="n"/>
      <c r="BO135" s="658" t="n"/>
      <c r="BP135" s="658" t="n"/>
    </row>
    <row r="136">
      <c r="A136" s="1277" t="n"/>
      <c r="B136" s="7650" t="inlineStr">
        <is>
          <t>Department of the Treasury Internal Revenue Service</t>
        </is>
      </c>
      <c r="G136" s="1066" t="n"/>
      <c r="H136" s="4443">
        <f>"(From rental real estate, royalties, partnerships, S corporations, estates, trusts, REMICs, etc.)"</f>
        <v/>
      </c>
      <c r="I136" s="4033" t="n"/>
      <c r="J136" s="4033" t="n"/>
      <c r="K136" s="4033" t="n"/>
      <c r="L136" s="4033" t="n"/>
      <c r="M136" s="4033" t="n"/>
      <c r="N136" s="4033" t="n"/>
      <c r="O136" s="4033" t="n"/>
      <c r="P136" s="4033" t="n"/>
      <c r="Q136" s="4033" t="n"/>
      <c r="R136" s="4033" t="n"/>
      <c r="S136" s="4033" t="n"/>
      <c r="T136" s="4754" t="n"/>
      <c r="U136" s="4033" t="n"/>
      <c r="V136" s="4033" t="n"/>
      <c r="W136" s="4033" t="n"/>
      <c r="X136" s="4033" t="n"/>
      <c r="Y136" s="4033" t="n"/>
      <c r="Z136" s="4033" t="n"/>
      <c r="AA136" s="4033" t="n"/>
      <c r="AB136" s="4033" t="n"/>
      <c r="AC136" s="4033" t="n"/>
      <c r="AD136" s="4033" t="n"/>
      <c r="AE136" s="4033" t="n"/>
      <c r="AF136" s="4033" t="n"/>
      <c r="AG136" s="4033" t="n"/>
      <c r="AH136" s="4033" t="n"/>
      <c r="AI136" s="11741" t="n"/>
      <c r="AP136" s="1277" t="n"/>
      <c r="BG136" s="769" t="n"/>
      <c r="BH136" s="658" t="n"/>
      <c r="BI136" s="658" t="n"/>
      <c r="BJ136" s="658" t="n"/>
      <c r="BK136" s="658" t="n"/>
      <c r="BL136" s="658" t="n"/>
      <c r="BM136" s="658" t="n"/>
      <c r="BN136" s="658" t="n"/>
      <c r="BO136" s="658" t="n"/>
      <c r="BP136" s="658" t="n"/>
    </row>
    <row r="137">
      <c r="A137" s="1277" t="n"/>
      <c r="G137" s="1066" t="n"/>
      <c r="H137" s="341" t="n"/>
      <c r="I137" s="11602" t="n"/>
      <c r="J137" s="11602" t="n"/>
      <c r="K137" s="11602" t="n"/>
      <c r="L137" s="11602" t="n"/>
      <c r="M137" s="11602" t="n"/>
      <c r="N137" s="11602" t="n"/>
      <c r="O137" s="11602" t="n"/>
      <c r="P137" s="11602" t="n"/>
      <c r="Q137" s="11602" t="n"/>
      <c r="R137" s="11602" t="n"/>
      <c r="S137" s="11602" t="n"/>
      <c r="T137" s="733" t="inlineStr">
        <is>
          <t>Attach to Form 1040, 1040-SR, 1040NR, or Form 1041.</t>
        </is>
      </c>
      <c r="U137" s="11602" t="n"/>
      <c r="V137" s="11602" t="n"/>
      <c r="W137" s="11602" t="n"/>
      <c r="X137" s="11602" t="n"/>
      <c r="Y137" s="11602" t="n"/>
      <c r="Z137" s="11602" t="n"/>
      <c r="AA137" s="11602" t="n"/>
      <c r="AB137" s="11602" t="n"/>
      <c r="AC137" s="11602" t="n"/>
      <c r="AD137" s="11602" t="n"/>
      <c r="AE137" s="11602" t="n"/>
      <c r="AF137" s="11602" t="n"/>
      <c r="AG137" s="11602" t="n"/>
      <c r="AH137" s="11602" t="n"/>
      <c r="AI137" s="4755" t="n"/>
      <c r="AJ137" s="12107" t="inlineStr">
        <is>
          <t>Attachment 
Sequence No.</t>
        </is>
      </c>
      <c r="AN137" s="1861" t="n"/>
      <c r="AO137" s="1861" t="n"/>
      <c r="AP137" s="1277" t="n"/>
      <c r="BG137" s="769" t="n"/>
      <c r="BH137" s="658" t="n"/>
      <c r="BI137" s="658" t="n"/>
      <c r="BJ137" s="658" t="n"/>
      <c r="BK137" s="658" t="n"/>
      <c r="BL137" s="658" t="n"/>
      <c r="BM137" s="658" t="n"/>
      <c r="BN137" s="658" t="n"/>
      <c r="BO137" s="658" t="n"/>
      <c r="BP137" s="658" t="n"/>
    </row>
    <row r="138" ht="14.25" customHeight="1" s="7635" thickBot="1">
      <c r="A138" s="1277" t="n"/>
      <c r="B138" s="8848" t="n"/>
      <c r="C138" s="8848" t="n"/>
      <c r="D138" s="8848" t="n"/>
      <c r="E138" s="8848" t="n"/>
      <c r="F138" s="8848" t="n"/>
      <c r="G138" s="2627" t="n"/>
      <c r="H138" s="4756" t="inlineStr">
        <is>
          <t>Go to www.irs.gov/ScheduleE for instructions and the latest information.</t>
        </is>
      </c>
      <c r="I138" s="2879" t="n"/>
      <c r="J138" s="2879" t="n"/>
      <c r="K138" s="2879" t="n"/>
      <c r="L138" s="2879" t="n"/>
      <c r="M138" s="2879" t="n"/>
      <c r="N138" s="2879" t="n"/>
      <c r="O138" s="2879" t="n"/>
      <c r="P138" s="2879" t="n"/>
      <c r="Q138" s="2879" t="n"/>
      <c r="R138" s="2879" t="n"/>
      <c r="S138" s="2879" t="n"/>
      <c r="T138" s="2879" t="n"/>
      <c r="U138" s="2879" t="n"/>
      <c r="V138" s="2879" t="n"/>
      <c r="W138" s="2879" t="n"/>
      <c r="X138" s="2879" t="n"/>
      <c r="Y138" s="2879" t="n"/>
      <c r="Z138" s="2879" t="n"/>
      <c r="AA138" s="2879" t="n"/>
      <c r="AB138" s="2879" t="n"/>
      <c r="AC138" s="2879" t="n"/>
      <c r="AD138" s="2879" t="n"/>
      <c r="AE138" s="2879" t="n"/>
      <c r="AF138" s="2879" t="n"/>
      <c r="AG138" s="2879" t="n"/>
      <c r="AH138" s="2879" t="n"/>
      <c r="AI138" s="4757" t="n"/>
      <c r="AJ138" s="8848" t="n"/>
      <c r="AK138" s="8848" t="n"/>
      <c r="AL138" s="8848" t="n"/>
      <c r="AM138" s="8848" t="n"/>
      <c r="AN138" s="8610" t="n">
        <v>13</v>
      </c>
      <c r="AO138" s="8848" t="n"/>
      <c r="AP138" s="1277" t="n"/>
      <c r="BG138" s="769" t="n"/>
      <c r="BH138" s="658" t="n"/>
      <c r="BI138" s="658" t="n"/>
      <c r="BJ138" s="658" t="n"/>
      <c r="BK138" s="658" t="n"/>
      <c r="BL138" s="658" t="n"/>
      <c r="BM138" s="658" t="n"/>
      <c r="BN138" s="658" t="n"/>
      <c r="BO138" s="658" t="n"/>
      <c r="BP138" s="658" t="n"/>
    </row>
    <row r="139">
      <c r="A139" s="1277" t="n"/>
      <c r="B139" s="344" t="inlineStr">
        <is>
          <t>Name(s) shown on return</t>
        </is>
      </c>
      <c r="C139" s="11602" t="n"/>
      <c r="D139" s="11602" t="n"/>
      <c r="E139" s="11602" t="n"/>
      <c r="F139" s="11602" t="n"/>
      <c r="G139" s="11602" t="n"/>
      <c r="H139" s="11602" t="n"/>
      <c r="I139" s="11602" t="n"/>
      <c r="J139" s="11602" t="n"/>
      <c r="K139" s="11602" t="n"/>
      <c r="L139" s="11602" t="n"/>
      <c r="M139" s="11602" t="n"/>
      <c r="N139" s="11602" t="n"/>
      <c r="O139" s="11602" t="n"/>
      <c r="P139" s="11602" t="n"/>
      <c r="Q139" s="11602" t="n"/>
      <c r="R139" s="11602" t="n"/>
      <c r="S139" s="11602" t="n"/>
      <c r="T139" s="11602" t="n"/>
      <c r="U139" s="11602" t="n"/>
      <c r="V139" s="11602" t="n"/>
      <c r="W139" s="11602" t="n"/>
      <c r="X139" s="11602" t="n"/>
      <c r="Y139" s="11602" t="n"/>
      <c r="Z139" s="11602" t="n"/>
      <c r="AA139" s="11602" t="n"/>
      <c r="AB139" s="11602" t="n"/>
      <c r="AC139" s="11602" t="n"/>
      <c r="AD139" s="11602" t="n"/>
      <c r="AE139" s="11602" t="n"/>
      <c r="AF139" s="11602" t="n"/>
      <c r="AG139" s="8611" t="inlineStr">
        <is>
          <t>Your social security number</t>
        </is>
      </c>
      <c r="AH139" s="2506" t="n"/>
      <c r="AI139" s="2506" t="n"/>
      <c r="AJ139" s="2506" t="n"/>
      <c r="AK139" s="2506" t="n"/>
      <c r="AL139" s="2506" t="n"/>
      <c r="AM139" s="2506" t="n"/>
      <c r="AN139" s="2506" t="n"/>
      <c r="AO139" s="2506" t="n"/>
      <c r="AP139" s="1277" t="n"/>
      <c r="BG139" s="769" t="n"/>
      <c r="BH139" s="658" t="n"/>
      <c r="BI139" s="658" t="n"/>
      <c r="BJ139" s="658" t="n"/>
      <c r="BK139" s="658" t="n"/>
      <c r="BL139" s="658" t="n"/>
      <c r="BM139" s="658" t="n"/>
      <c r="BN139" s="658" t="n"/>
      <c r="BO139" s="658" t="n"/>
      <c r="BP139" s="658" t="n"/>
    </row>
    <row r="140" ht="9.75" customHeight="1" s="7635">
      <c r="A140" s="1277" t="n"/>
      <c r="B140" s="11932">
        <f>Names</f>
        <v/>
      </c>
      <c r="AF140" s="7636" t="n"/>
      <c r="AG140" s="12108">
        <f>IF(NoSSN,"",SS_Yours)</f>
        <v/>
      </c>
      <c r="AP140" s="1277" t="n"/>
      <c r="BG140" s="769" t="n"/>
      <c r="BH140" s="658" t="n"/>
      <c r="BI140" s="658" t="n"/>
      <c r="BJ140" s="658" t="n"/>
      <c r="BK140" s="658" t="n"/>
      <c r="BL140" s="658" t="n"/>
      <c r="BM140" s="658" t="n"/>
      <c r="BN140" s="658" t="n"/>
      <c r="BO140" s="658" t="n"/>
      <c r="BP140" s="658" t="n"/>
    </row>
    <row r="141" ht="9.75" customHeight="1" s="7635">
      <c r="A141" s="1277" t="n"/>
      <c r="B141" s="7637" t="n"/>
      <c r="C141" s="7637" t="n"/>
      <c r="D141" s="7637" t="n"/>
      <c r="E141" s="7637" t="n"/>
      <c r="F141" s="7637" t="n"/>
      <c r="G141" s="7637" t="n"/>
      <c r="H141" s="7637" t="n"/>
      <c r="I141" s="7637" t="n"/>
      <c r="J141" s="7637" t="n"/>
      <c r="K141" s="7637" t="n"/>
      <c r="L141" s="7637" t="n"/>
      <c r="M141" s="7637" t="n"/>
      <c r="N141" s="7637" t="n"/>
      <c r="O141" s="7637" t="n"/>
      <c r="P141" s="7637" t="n"/>
      <c r="Q141" s="7637" t="n"/>
      <c r="R141" s="7637" t="n"/>
      <c r="S141" s="7637" t="n"/>
      <c r="T141" s="7637" t="n"/>
      <c r="U141" s="7637" t="n"/>
      <c r="V141" s="7637" t="n"/>
      <c r="W141" s="7637" t="n"/>
      <c r="X141" s="7637" t="n"/>
      <c r="Y141" s="7637" t="n"/>
      <c r="Z141" s="7637" t="n"/>
      <c r="AA141" s="7637" t="n"/>
      <c r="AB141" s="7637" t="n"/>
      <c r="AC141" s="7637" t="n"/>
      <c r="AD141" s="7637" t="n"/>
      <c r="AE141" s="7637" t="n"/>
      <c r="AF141" s="7638" t="n"/>
      <c r="AG141" s="3614" t="n"/>
      <c r="AH141" s="7637" t="n"/>
      <c r="AI141" s="7637" t="n"/>
      <c r="AJ141" s="7637" t="n"/>
      <c r="AK141" s="7637" t="n"/>
      <c r="AL141" s="7637" t="n"/>
      <c r="AM141" s="7637" t="n"/>
      <c r="AN141" s="7637" t="n"/>
      <c r="AO141" s="7637" t="n"/>
      <c r="AP141" s="1277" t="n"/>
      <c r="BG141" s="769" t="n"/>
      <c r="BH141" s="658" t="n"/>
      <c r="BI141" s="658" t="n"/>
      <c r="BJ141" s="658" t="n"/>
      <c r="BK141" s="658" t="n"/>
      <c r="BL141" s="658" t="n"/>
      <c r="BM141" s="658" t="n"/>
      <c r="BN141" s="658" t="n"/>
      <c r="BO141" s="658" t="n"/>
      <c r="BP141" s="658" t="n"/>
    </row>
    <row r="142" ht="17.25" customFormat="1" customHeight="1" s="1405">
      <c r="A142" s="2119" t="n"/>
      <c r="B142" s="8410" t="inlineStr">
        <is>
          <t>Part I</t>
        </is>
      </c>
      <c r="C142" s="8412" t="n"/>
      <c r="D142" s="8412" t="n"/>
      <c r="E142" s="2761" t="n"/>
      <c r="F142" s="4758" t="inlineStr">
        <is>
          <t>Income or Loss From Rental Real Estate and Royalties</t>
        </is>
      </c>
      <c r="G142" s="2761" t="n"/>
      <c r="H142" s="2761" t="n"/>
      <c r="I142" s="2761" t="n"/>
      <c r="J142" s="2761" t="n"/>
      <c r="K142" s="2761" t="n"/>
      <c r="L142" s="2761" t="n"/>
      <c r="M142" s="2761" t="n"/>
      <c r="N142" s="2761" t="n"/>
      <c r="O142" s="2761" t="n"/>
      <c r="P142" s="2761" t="n"/>
      <c r="Q142" s="2761" t="n"/>
      <c r="R142" s="2761" t="n"/>
      <c r="S142" s="2761" t="n"/>
      <c r="T142" s="2761" t="n"/>
      <c r="U142" s="2761" t="n"/>
      <c r="V142" s="2761" t="n"/>
      <c r="W142" s="2761" t="n"/>
      <c r="X142" s="2354" t="n"/>
      <c r="Y142" s="2761" t="n"/>
      <c r="Z142" s="2761" t="n"/>
      <c r="AA142" s="2761" t="n"/>
      <c r="AB142" s="2761" t="n"/>
      <c r="AC142" s="2761" t="n"/>
      <c r="AD142" s="2761" t="n"/>
      <c r="AE142" s="2761" t="n"/>
      <c r="AF142" s="2761" t="n"/>
      <c r="AG142" s="2761" t="n"/>
      <c r="AH142" s="2761" t="n"/>
      <c r="AI142" s="2761" t="n"/>
      <c r="AJ142" s="2761" t="n"/>
      <c r="AK142" s="2761" t="n"/>
      <c r="AL142" s="2761" t="n"/>
      <c r="AM142" s="2761" t="n"/>
      <c r="AN142" s="2761" t="n"/>
      <c r="AO142" s="2761" t="n"/>
      <c r="AP142" s="1277" t="n"/>
      <c r="BG142" s="769" t="n"/>
      <c r="BH142" s="658" t="n"/>
      <c r="BI142" s="658" t="n"/>
      <c r="BJ142" s="658" t="n"/>
      <c r="BK142" s="658" t="n"/>
      <c r="BL142" s="658" t="n"/>
      <c r="BM142" s="658" t="n"/>
      <c r="BN142" s="658" t="n"/>
      <c r="BO142" s="658" t="n"/>
      <c r="BP142" s="658" t="n"/>
      <c r="BQ142" s="815" t="n"/>
    </row>
    <row r="143" ht="15.75" customHeight="1" s="7635">
      <c r="A143" s="1277" t="n"/>
      <c r="B143" s="4759" t="n"/>
      <c r="C143" s="4759" t="n"/>
      <c r="D143" s="10732" t="n"/>
      <c r="E143" s="1990" t="n"/>
      <c r="F143" s="8650" t="inlineStr">
        <is>
          <t>Note: If you are in business of renting personal property, use Schedule C.  See instructions.  If you are an individual,</t>
        </is>
      </c>
      <c r="G143" s="7762" t="n"/>
      <c r="H143" s="7762" t="n"/>
      <c r="I143" s="7762" t="n"/>
      <c r="J143" s="7762" t="n"/>
      <c r="K143" s="7762" t="n"/>
      <c r="L143" s="7762" t="n"/>
      <c r="M143" s="1990" t="n"/>
      <c r="N143" s="7762" t="n"/>
      <c r="O143" s="7762" t="n"/>
      <c r="P143" s="7762" t="n"/>
      <c r="Q143" s="7762" t="n"/>
      <c r="R143" s="7762" t="n"/>
      <c r="S143" s="7762" t="n"/>
      <c r="T143" s="7762" t="n"/>
      <c r="U143" s="7762" t="n"/>
      <c r="V143" s="7762" t="n"/>
      <c r="W143" s="7762" t="n"/>
      <c r="X143" s="7762" t="n"/>
      <c r="Y143" s="7762" t="n"/>
      <c r="Z143" s="7762" t="n"/>
      <c r="AA143" s="7762" t="n"/>
      <c r="AB143" s="7762" t="n"/>
      <c r="AC143" s="7762" t="n"/>
      <c r="AD143" s="1990" t="n"/>
      <c r="AE143" s="7762" t="n"/>
      <c r="AF143" s="7762" t="n"/>
      <c r="AG143" s="7762" t="n"/>
      <c r="AH143" s="7762" t="n"/>
      <c r="AI143" s="7762" t="n"/>
      <c r="AJ143" s="7762" t="n"/>
      <c r="AK143" s="7762" t="n"/>
      <c r="AL143" s="7762" t="n"/>
      <c r="AM143" s="7762" t="n"/>
      <c r="AN143" s="7762" t="n"/>
      <c r="AO143" s="7762" t="n"/>
      <c r="AP143" s="1277" t="n"/>
      <c r="BG143" s="769" t="n"/>
      <c r="BH143" s="658" t="n"/>
      <c r="BI143" s="658" t="n"/>
      <c r="BJ143" s="658" t="n"/>
      <c r="BK143" s="658" t="n"/>
      <c r="BL143" s="658" t="n"/>
      <c r="BM143" s="658" t="n"/>
      <c r="BN143" s="658" t="n"/>
      <c r="BO143" s="658" t="n"/>
      <c r="BP143" s="658" t="n"/>
    </row>
    <row r="144" ht="15.75" customHeight="1" s="7635">
      <c r="A144" s="1277" t="n"/>
      <c r="B144" s="4760" t="n"/>
      <c r="C144" s="4760" t="n"/>
      <c r="D144" s="4761" t="n"/>
      <c r="E144" s="1999" t="n"/>
      <c r="F144" s="4252" t="inlineStr">
        <is>
          <t>report farm rental income or loss from Form 4835 on page 2, line 40.</t>
        </is>
      </c>
      <c r="G144" s="7764" t="n"/>
      <c r="H144" s="7764" t="n"/>
      <c r="I144" s="7764" t="n"/>
      <c r="J144" s="7764" t="n"/>
      <c r="K144" s="7764" t="n"/>
      <c r="L144" s="7764" t="n"/>
      <c r="M144" s="1999" t="n"/>
      <c r="N144" s="7764" t="n"/>
      <c r="O144" s="7764" t="n"/>
      <c r="P144" s="7764" t="n"/>
      <c r="Q144" s="7764" t="n"/>
      <c r="R144" s="7764" t="n"/>
      <c r="S144" s="7764" t="n"/>
      <c r="T144" s="7764" t="n"/>
      <c r="U144" s="7764" t="n"/>
      <c r="V144" s="7764" t="n"/>
      <c r="W144" s="7764" t="n"/>
      <c r="X144" s="7764" t="n"/>
      <c r="Y144" s="7764" t="n"/>
      <c r="Z144" s="7764" t="n"/>
      <c r="AA144" s="7764" t="n"/>
      <c r="AB144" s="7764" t="n"/>
      <c r="AC144" s="7764" t="n"/>
      <c r="AD144" s="1999" t="n"/>
      <c r="AE144" s="7764" t="n"/>
      <c r="AF144" s="7764" t="n"/>
      <c r="AG144" s="7764" t="n"/>
      <c r="AH144" s="7764" t="n"/>
      <c r="AI144" s="7764" t="n"/>
      <c r="AJ144" s="7764" t="n"/>
      <c r="AK144" s="7764" t="n"/>
      <c r="AL144" s="7764" t="n"/>
      <c r="AM144" s="7764" t="n"/>
      <c r="AN144" s="7764" t="n"/>
      <c r="AO144" s="7764" t="n"/>
      <c r="AP144" s="1277" t="n"/>
      <c r="BG144" s="769" t="n"/>
      <c r="BH144" s="658" t="n"/>
      <c r="BI144" s="658" t="n"/>
      <c r="BJ144" s="658" t="n"/>
      <c r="BK144" s="658" t="n"/>
      <c r="BL144" s="658" t="n"/>
      <c r="BM144" s="658" t="n"/>
      <c r="BN144" s="658" t="n"/>
      <c r="BO144" s="658" t="n"/>
      <c r="BP144" s="658" t="n"/>
    </row>
    <row r="145" ht="15.75" customHeight="1" s="7635">
      <c r="A145" s="1277" t="n"/>
      <c r="B145" s="8577" t="inlineStr">
        <is>
          <t>A</t>
        </is>
      </c>
      <c r="C145" s="7839" t="n"/>
      <c r="D145" s="10862">
        <f>"Did you make any payments in "&amp;TaxYear&amp;" that would require you to file Form(s) 1099?  See instructions"</f>
        <v/>
      </c>
      <c r="E145" s="7762" t="n"/>
      <c r="F145" s="7762" t="n"/>
      <c r="G145" s="7762" t="n"/>
      <c r="H145" s="7762" t="n"/>
      <c r="I145" s="7762" t="n"/>
      <c r="J145" s="7762" t="n"/>
      <c r="K145" s="7762" t="n"/>
      <c r="L145" s="7762" t="n"/>
      <c r="M145" s="7762" t="n"/>
      <c r="N145" s="7762" t="n"/>
      <c r="O145" s="7762" t="n"/>
      <c r="P145" s="7762" t="n"/>
      <c r="Q145" s="7762" t="n"/>
      <c r="R145" s="7762" t="n"/>
      <c r="S145" s="7762" t="n"/>
      <c r="T145" s="7762" t="n"/>
      <c r="U145" s="7762" t="n"/>
      <c r="V145" s="7762" t="n"/>
      <c r="W145" s="7762" t="n"/>
      <c r="X145" s="7762" t="n"/>
      <c r="Y145" s="7762" t="n"/>
      <c r="Z145" s="7762" t="n"/>
      <c r="AA145" s="7762" t="n"/>
      <c r="AB145" s="7762" t="n"/>
      <c r="AC145" s="7762" t="n"/>
      <c r="AD145" s="7762" t="n"/>
      <c r="AE145" s="7762" t="n"/>
      <c r="AF145" s="7762" t="n"/>
      <c r="AG145" s="7762" t="n"/>
      <c r="AH145" s="7762" t="n"/>
      <c r="AI145" s="7762" t="n"/>
      <c r="AJ145" s="276" t="n"/>
      <c r="AK145" s="1059" t="inlineStr">
        <is>
          <t xml:space="preserve">  Yes</t>
        </is>
      </c>
      <c r="AL145" s="7762" t="n"/>
      <c r="AM145" s="276" t="n"/>
      <c r="AN145" s="1059" t="inlineStr">
        <is>
          <t xml:space="preserve">  No</t>
        </is>
      </c>
      <c r="AO145" s="7762" t="n"/>
      <c r="AP145" s="1277" t="n"/>
      <c r="BG145" s="769" t="n"/>
      <c r="BH145" s="658" t="n"/>
      <c r="BI145" s="658" t="n"/>
      <c r="BJ145" s="658" t="n"/>
      <c r="BK145" s="658" t="n"/>
      <c r="BL145" s="658" t="n"/>
      <c r="BM145" s="658" t="n"/>
      <c r="BN145" s="658" t="n"/>
      <c r="BO145" s="658" t="n"/>
      <c r="BP145" s="658" t="n"/>
    </row>
    <row r="146" ht="15.75" customHeight="1" s="7635">
      <c r="A146" s="1277" t="n"/>
      <c r="B146" s="8595" t="inlineStr">
        <is>
          <t>B</t>
        </is>
      </c>
      <c r="C146" s="7637" t="n"/>
      <c r="D146" s="3801" t="inlineStr">
        <is>
          <t>If “Yes,” did you or will you file all required Form(s) 1099?</t>
        </is>
      </c>
      <c r="E146" s="7764" t="n"/>
      <c r="F146" s="7764" t="n"/>
      <c r="G146" s="7764" t="n"/>
      <c r="H146" s="7764" t="n"/>
      <c r="I146" s="7764" t="n"/>
      <c r="J146" s="7764" t="n"/>
      <c r="K146" s="7764" t="n"/>
      <c r="L146" s="7764" t="n"/>
      <c r="M146" s="7764" t="n"/>
      <c r="N146" s="7764" t="n"/>
      <c r="O146" s="7764" t="n"/>
      <c r="P146" s="7764" t="n"/>
      <c r="Q146" s="7764" t="n"/>
      <c r="R146" s="7764" t="n"/>
      <c r="S146" s="7764" t="n"/>
      <c r="T146" s="7764" t="n"/>
      <c r="U146" s="7764" t="n"/>
      <c r="V146" s="7764" t="n"/>
      <c r="W146" s="7764" t="n"/>
      <c r="X146" s="7764" t="n"/>
      <c r="Y146" s="7764" t="n"/>
      <c r="Z146" s="7764" t="n"/>
      <c r="AA146" s="7764" t="n"/>
      <c r="AB146" s="7764" t="n"/>
      <c r="AC146" s="7764" t="n"/>
      <c r="AD146" s="7764" t="n"/>
      <c r="AE146" s="7764" t="n"/>
      <c r="AF146" s="7764" t="n"/>
      <c r="AG146" s="7764" t="n"/>
      <c r="AH146" s="7764" t="n"/>
      <c r="AI146" s="7764" t="n"/>
      <c r="AJ146" s="276" t="n"/>
      <c r="AK146" s="2001" t="inlineStr">
        <is>
          <t xml:space="preserve">  Yes</t>
        </is>
      </c>
      <c r="AL146" s="7764" t="n"/>
      <c r="AM146" s="276" t="n"/>
      <c r="AN146" s="2001" t="inlineStr">
        <is>
          <t xml:space="preserve">  No</t>
        </is>
      </c>
      <c r="AO146" s="7764" t="n"/>
      <c r="AP146" s="1277" t="n"/>
      <c r="BG146" s="769" t="n"/>
      <c r="BH146" s="658" t="n"/>
      <c r="BI146" s="658" t="n"/>
      <c r="BJ146" s="658" t="n"/>
      <c r="BK146" s="658" t="n"/>
      <c r="BL146" s="658" t="n"/>
      <c r="BM146" s="658" t="n"/>
      <c r="BN146" s="658" t="n"/>
      <c r="BO146" s="658" t="n"/>
      <c r="BP146" s="658" t="n"/>
    </row>
    <row r="147" ht="18.75" customFormat="1" customHeight="1" s="9880">
      <c r="A147" s="4763" t="n"/>
      <c r="B147" s="8596" t="inlineStr">
        <is>
          <t>1a</t>
        </is>
      </c>
      <c r="C147" s="8412" t="n"/>
      <c r="D147" s="4764" t="inlineStr">
        <is>
          <t>Physical address of each property (street, city, state, ZIP code)</t>
        </is>
      </c>
      <c r="E147" s="10040" t="n"/>
      <c r="F147" s="10040" t="n"/>
      <c r="G147" s="10040" t="n"/>
      <c r="H147" s="10040" t="n"/>
      <c r="I147" s="10040" t="n"/>
      <c r="J147" s="10040" t="n"/>
      <c r="K147" s="10040" t="n"/>
      <c r="L147" s="10040" t="n"/>
      <c r="M147" s="10040" t="n"/>
      <c r="N147" s="10040" t="n"/>
      <c r="O147" s="10040" t="n"/>
      <c r="P147" s="10040" t="n"/>
      <c r="Q147" s="10040" t="n"/>
      <c r="R147" s="10040" t="n"/>
      <c r="S147" s="10040" t="n"/>
      <c r="T147" s="10040" t="n"/>
      <c r="U147" s="10040" t="n"/>
      <c r="V147" s="10040" t="n"/>
      <c r="W147" s="10040" t="n"/>
      <c r="X147" s="10040" t="n"/>
      <c r="Y147" s="10040" t="n"/>
      <c r="Z147" s="10040" t="n"/>
      <c r="AA147" s="10040" t="n"/>
      <c r="AB147" s="10040" t="n"/>
      <c r="AC147" s="10040" t="n"/>
      <c r="AD147" s="10040" t="n"/>
      <c r="AE147" s="10040" t="n"/>
      <c r="AF147" s="10040" t="n"/>
      <c r="AG147" s="10040" t="n"/>
      <c r="AH147" s="10040" t="n"/>
      <c r="AI147" s="10040" t="n"/>
      <c r="AJ147" s="10040" t="n"/>
      <c r="AK147" s="10040" t="n"/>
      <c r="AL147" s="10040" t="n"/>
      <c r="AM147" s="10040" t="n"/>
      <c r="AN147" s="10040" t="n"/>
      <c r="AO147" s="10040" t="n"/>
      <c r="AP147" s="4763" t="n"/>
      <c r="BG147" s="1425" t="n"/>
      <c r="BH147" s="1426" t="n"/>
      <c r="BI147" s="1426" t="n"/>
      <c r="BJ147" s="1426" t="n"/>
      <c r="BK147" s="1426" t="n"/>
      <c r="BL147" s="1426" t="n"/>
      <c r="BM147" s="1426" t="n"/>
      <c r="BN147" s="1426" t="n"/>
      <c r="BO147" s="1426" t="n"/>
      <c r="BP147" s="1426" t="n"/>
      <c r="BQ147" s="1427" t="n"/>
    </row>
    <row r="148" ht="15.75" customHeight="1" s="7635">
      <c r="A148" s="1277" t="n"/>
      <c r="B148" s="11229" t="inlineStr">
        <is>
          <t>A</t>
        </is>
      </c>
      <c r="C148" s="11734" t="n"/>
      <c r="D148" s="8576" t="n"/>
      <c r="E148" s="8007" t="n"/>
      <c r="F148" s="8007" t="n"/>
      <c r="G148" s="8007" t="n"/>
      <c r="H148" s="8007" t="n"/>
      <c r="I148" s="8007" t="n"/>
      <c r="J148" s="8007" t="n"/>
      <c r="K148" s="8007" t="n"/>
      <c r="L148" s="8007" t="n"/>
      <c r="M148" s="8007" t="n"/>
      <c r="N148" s="8007" t="n"/>
      <c r="O148" s="8007" t="n"/>
      <c r="P148" s="8007" t="n"/>
      <c r="Q148" s="8007" t="n"/>
      <c r="R148" s="8007" t="n"/>
      <c r="S148" s="8007" t="n"/>
      <c r="T148" s="8007" t="n"/>
      <c r="U148" s="8007" t="n"/>
      <c r="V148" s="8007" t="n"/>
      <c r="W148" s="8007" t="n"/>
      <c r="X148" s="8007" t="n"/>
      <c r="Y148" s="8007" t="n"/>
      <c r="Z148" s="8007" t="n"/>
      <c r="AA148" s="8007" t="n"/>
      <c r="AB148" s="8007" t="n"/>
      <c r="AC148" s="8007" t="n"/>
      <c r="AD148" s="8007" t="n"/>
      <c r="AE148" s="8007" t="n"/>
      <c r="AF148" s="8007" t="n"/>
      <c r="AG148" s="8007" t="n"/>
      <c r="AH148" s="8007" t="n"/>
      <c r="AI148" s="8007" t="n"/>
      <c r="AJ148" s="8007" t="n"/>
      <c r="AK148" s="8007" t="n"/>
      <c r="AL148" s="8007" t="n"/>
      <c r="AM148" s="8007" t="n"/>
      <c r="AN148" s="8007" t="n"/>
      <c r="AO148" s="8007" t="n"/>
      <c r="AP148" s="1277" t="n"/>
      <c r="BG148" s="769" t="n"/>
      <c r="BH148" s="658" t="n"/>
      <c r="BI148" s="658" t="n"/>
      <c r="BJ148" s="658" t="n"/>
      <c r="BK148" s="658" t="n"/>
      <c r="BL148" s="658" t="n"/>
      <c r="BM148" s="658" t="n"/>
      <c r="BN148" s="658" t="n"/>
      <c r="BO148" s="658" t="n"/>
      <c r="BP148" s="658" t="n"/>
    </row>
    <row r="149" ht="15.75" customHeight="1" s="7635">
      <c r="A149" s="1277" t="n"/>
      <c r="B149" s="11229" t="inlineStr">
        <is>
          <t>B</t>
        </is>
      </c>
      <c r="C149" s="11734" t="n"/>
      <c r="D149" s="8576" t="n"/>
      <c r="E149" s="8007" t="n"/>
      <c r="F149" s="8007" t="n"/>
      <c r="G149" s="8007" t="n"/>
      <c r="H149" s="8007" t="n"/>
      <c r="I149" s="8007" t="n"/>
      <c r="J149" s="8007" t="n"/>
      <c r="K149" s="8007" t="n"/>
      <c r="L149" s="8007" t="n"/>
      <c r="M149" s="8007" t="n"/>
      <c r="N149" s="8007" t="n"/>
      <c r="O149" s="8007" t="n"/>
      <c r="P149" s="8007" t="n"/>
      <c r="Q149" s="8007" t="n"/>
      <c r="R149" s="8007" t="n"/>
      <c r="S149" s="8007" t="n"/>
      <c r="T149" s="8007" t="n"/>
      <c r="U149" s="8007" t="n"/>
      <c r="V149" s="8007" t="n"/>
      <c r="W149" s="8007" t="n"/>
      <c r="X149" s="8007" t="n"/>
      <c r="Y149" s="8007" t="n"/>
      <c r="Z149" s="8007" t="n"/>
      <c r="AA149" s="8007" t="n"/>
      <c r="AB149" s="8007" t="n"/>
      <c r="AC149" s="8007" t="n"/>
      <c r="AD149" s="8007" t="n"/>
      <c r="AE149" s="8007" t="n"/>
      <c r="AF149" s="8007" t="n"/>
      <c r="AG149" s="8007" t="n"/>
      <c r="AH149" s="8007" t="n"/>
      <c r="AI149" s="8007" t="n"/>
      <c r="AJ149" s="8007" t="n"/>
      <c r="AK149" s="8007" t="n"/>
      <c r="AL149" s="8007" t="n"/>
      <c r="AM149" s="8007" t="n"/>
      <c r="AN149" s="8007" t="n"/>
      <c r="AO149" s="8007" t="n"/>
      <c r="AP149" s="1277" t="n"/>
      <c r="BG149" s="769" t="n"/>
      <c r="BH149" s="658" t="n"/>
      <c r="BI149" s="658" t="n"/>
      <c r="BJ149" s="658" t="n"/>
      <c r="BK149" s="658" t="n"/>
      <c r="BL149" s="658" t="n"/>
      <c r="BM149" s="658" t="n"/>
      <c r="BN149" s="658" t="n"/>
      <c r="BO149" s="658" t="n"/>
      <c r="BP149" s="658" t="n"/>
    </row>
    <row r="150" ht="15.75" customHeight="1" s="7635">
      <c r="A150" s="1277" t="n"/>
      <c r="B150" s="11229" t="inlineStr">
        <is>
          <t>C</t>
        </is>
      </c>
      <c r="C150" s="11734" t="n"/>
      <c r="D150" s="8576" t="n"/>
      <c r="E150" s="8007" t="n"/>
      <c r="F150" s="8007" t="n"/>
      <c r="G150" s="8007" t="n"/>
      <c r="H150" s="8007" t="n"/>
      <c r="I150" s="8007" t="n"/>
      <c r="J150" s="8007" t="n"/>
      <c r="K150" s="8007" t="n"/>
      <c r="L150" s="8007" t="n"/>
      <c r="M150" s="8007" t="n"/>
      <c r="N150" s="8007" t="n"/>
      <c r="O150" s="8007" t="n"/>
      <c r="P150" s="8007" t="n"/>
      <c r="Q150" s="8007" t="n"/>
      <c r="R150" s="8007" t="n"/>
      <c r="S150" s="8007" t="n"/>
      <c r="T150" s="8007" t="n"/>
      <c r="U150" s="8007" t="n"/>
      <c r="V150" s="8007" t="n"/>
      <c r="W150" s="8007" t="n"/>
      <c r="X150" s="8007" t="n"/>
      <c r="Y150" s="8007" t="n"/>
      <c r="Z150" s="8007" t="n"/>
      <c r="AA150" s="8007" t="n"/>
      <c r="AB150" s="8007" t="n"/>
      <c r="AC150" s="8007" t="n"/>
      <c r="AD150" s="8007" t="n"/>
      <c r="AE150" s="8007" t="n"/>
      <c r="AF150" s="8007" t="n"/>
      <c r="AG150" s="8007" t="n"/>
      <c r="AH150" s="8007" t="n"/>
      <c r="AI150" s="8007" t="n"/>
      <c r="AJ150" s="8007" t="n"/>
      <c r="AK150" s="8007" t="n"/>
      <c r="AL150" s="8007" t="n"/>
      <c r="AM150" s="8007" t="n"/>
      <c r="AN150" s="8007" t="n"/>
      <c r="AO150" s="8007" t="n"/>
      <c r="AP150" s="1277" t="n"/>
      <c r="AX150" t="n">
        <v>1</v>
      </c>
      <c r="AY150" t="inlineStr">
        <is>
          <t>Single Family Residence</t>
        </is>
      </c>
      <c r="BG150" s="769" t="n"/>
      <c r="BH150" s="658" t="n"/>
      <c r="BI150" s="658" t="n"/>
      <c r="BJ150" s="658" t="n"/>
      <c r="BK150" s="658" t="n"/>
      <c r="BL150" s="658" t="n"/>
      <c r="BM150" s="658" t="n"/>
      <c r="BN150" s="658" t="n"/>
      <c r="BO150" s="658" t="n"/>
      <c r="BP150" s="658" t="n"/>
    </row>
    <row r="151" ht="15.75" customHeight="1" s="7635">
      <c r="A151" s="1277" t="n"/>
      <c r="B151" s="8577" t="inlineStr">
        <is>
          <t>1b</t>
        </is>
      </c>
      <c r="C151" s="7839" t="n"/>
      <c r="D151" s="10177" t="inlineStr">
        <is>
          <t>Type of Property (from list below</t>
        </is>
      </c>
      <c r="E151" s="7839" t="n"/>
      <c r="F151" s="7839" t="n"/>
      <c r="G151" s="7839" t="n"/>
      <c r="H151" s="10091" t="n"/>
      <c r="I151" s="8552" t="n">
        <v>2</v>
      </c>
      <c r="J151" s="7839" t="n"/>
      <c r="K151" s="12109" t="inlineStr">
        <is>
          <t>For each rental real estate property listed 
above, report the number of fair rental and 
personal use days. Check the QJV box only
if you meet the requirements to file as a 
qualified joint venture. See instructions.</t>
        </is>
      </c>
      <c r="L151" s="7839" t="n"/>
      <c r="M151" s="7839" t="n"/>
      <c r="N151" s="7839" t="n"/>
      <c r="O151" s="7839" t="n"/>
      <c r="P151" s="7839" t="n"/>
      <c r="Q151" s="7839" t="n"/>
      <c r="R151" s="7839" t="n"/>
      <c r="S151" s="7839" t="n"/>
      <c r="T151" s="7839" t="n"/>
      <c r="U151" s="7839" t="n"/>
      <c r="V151" s="7839" t="n"/>
      <c r="W151" s="7839" t="n"/>
      <c r="X151" s="7760" t="n"/>
      <c r="Y151" s="7760" t="n"/>
      <c r="Z151" s="7760" t="n"/>
      <c r="AA151" s="12110" t="inlineStr">
        <is>
          <t>Fair Rental Days</t>
        </is>
      </c>
      <c r="AB151" s="7839" t="n"/>
      <c r="AC151" s="7839" t="n"/>
      <c r="AD151" s="7839" t="n"/>
      <c r="AE151" s="10091" t="n"/>
      <c r="AF151" s="12110" t="inlineStr">
        <is>
          <t>Personal Use Days</t>
        </is>
      </c>
      <c r="AG151" s="7839" t="n"/>
      <c r="AH151" s="7839" t="n"/>
      <c r="AI151" s="7839" t="n"/>
      <c r="AJ151" s="10091" t="n"/>
      <c r="AK151" s="9065" t="inlineStr">
        <is>
          <t>QJV</t>
        </is>
      </c>
      <c r="AL151" s="7839" t="n"/>
      <c r="AM151" s="7839" t="n"/>
      <c r="AN151" s="7839" t="n"/>
      <c r="AO151" s="7839" t="n"/>
      <c r="AP151" s="1277" t="n"/>
      <c r="AX151" t="n">
        <v>2</v>
      </c>
      <c r="AY151" t="inlineStr">
        <is>
          <t>Multi-Family Residence</t>
        </is>
      </c>
      <c r="BG151" s="769" t="n"/>
      <c r="BH151" s="658" t="n"/>
      <c r="BI151" s="658" t="n"/>
      <c r="BJ151" s="658" t="n"/>
      <c r="BK151" s="658" t="n"/>
      <c r="BL151" s="658" t="n"/>
      <c r="BM151" s="658" t="n"/>
      <c r="BN151" s="658" t="n"/>
      <c r="BO151" s="658" t="n"/>
      <c r="BP151" s="658" t="n"/>
    </row>
    <row r="152" ht="14.25" customHeight="1" s="7635">
      <c r="A152" s="1277" t="n"/>
      <c r="B152" s="4760" t="n"/>
      <c r="C152" s="4760" t="n"/>
      <c r="D152" s="7637" t="n"/>
      <c r="E152" s="7637" t="n"/>
      <c r="F152" s="7637" t="n"/>
      <c r="G152" s="7637" t="n"/>
      <c r="H152" s="7638" t="n"/>
      <c r="I152" s="7761" t="n"/>
      <c r="J152" s="7762" t="n"/>
      <c r="X152" s="7762" t="n"/>
      <c r="Y152" s="7762" t="n"/>
      <c r="Z152" s="7762" t="n"/>
      <c r="AA152" s="3614" t="n"/>
      <c r="AB152" s="7637" t="n"/>
      <c r="AC152" s="7637" t="n"/>
      <c r="AD152" s="7637" t="n"/>
      <c r="AE152" s="7638" t="n"/>
      <c r="AF152" s="3614" t="n"/>
      <c r="AG152" s="7637" t="n"/>
      <c r="AH152" s="7637" t="n"/>
      <c r="AI152" s="7637" t="n"/>
      <c r="AJ152" s="7638" t="n"/>
      <c r="AK152" s="3614" t="n"/>
      <c r="AL152" s="7637" t="n"/>
      <c r="AM152" s="7637" t="n"/>
      <c r="AN152" s="7637" t="n"/>
      <c r="AO152" s="7637" t="n"/>
      <c r="AP152" s="1277" t="n"/>
      <c r="AV152" s="4769">
        <f>IF(LeapYear,366,365)</f>
        <v/>
      </c>
      <c r="AW152" s="10091" t="n"/>
      <c r="AX152" t="n">
        <v>3</v>
      </c>
      <c r="AY152" t="inlineStr">
        <is>
          <t>Vacation / S.T. Rental</t>
        </is>
      </c>
      <c r="BE152" s="4770" t="inlineStr">
        <is>
          <t>Error?</t>
        </is>
      </c>
      <c r="BG152" s="769" t="n"/>
      <c r="BH152" s="658" t="n"/>
      <c r="BI152" s="658" t="n"/>
      <c r="BJ152" s="658" t="n"/>
      <c r="BK152" s="658" t="n"/>
      <c r="BL152" s="658" t="n"/>
      <c r="BM152" s="658" t="n"/>
      <c r="BN152" s="658" t="n"/>
      <c r="BO152" s="658" t="n"/>
      <c r="BP152" s="658" t="n"/>
    </row>
    <row r="153" ht="15.75" customHeight="1" s="7635">
      <c r="A153" s="1277" t="n"/>
      <c r="B153" s="11229" t="inlineStr">
        <is>
          <t>A</t>
        </is>
      </c>
      <c r="C153" s="11734" t="n"/>
      <c r="D153" s="12111" t="n"/>
      <c r="E153" s="8007" t="n"/>
      <c r="F153" s="8007" t="n"/>
      <c r="G153" s="8007" t="n"/>
      <c r="H153" s="8008" t="n"/>
      <c r="I153" s="408" t="n"/>
      <c r="J153" s="11602" t="n"/>
      <c r="X153" s="2926" t="inlineStr">
        <is>
          <t>A</t>
        </is>
      </c>
      <c r="Y153" s="8412" t="n"/>
      <c r="Z153" s="11734" t="n"/>
      <c r="AA153" s="276" t="n"/>
      <c r="AB153" s="8007" t="n"/>
      <c r="AC153" s="8007" t="n"/>
      <c r="AD153" s="8007" t="n"/>
      <c r="AE153" s="8008" t="n"/>
      <c r="AF153" s="276" t="n"/>
      <c r="AG153" s="8007" t="n"/>
      <c r="AH153" s="8007" t="n"/>
      <c r="AI153" s="8007" t="n"/>
      <c r="AJ153" s="8008" t="n"/>
      <c r="AK153" s="4771" t="n"/>
      <c r="AL153" s="773" t="n"/>
      <c r="AM153" s="276" t="n"/>
      <c r="AN153" s="773" t="n"/>
      <c r="AO153" s="773" t="n"/>
      <c r="AP153" s="1277" t="n"/>
      <c r="AR153" s="7834">
        <f>D153=8</f>
        <v/>
      </c>
      <c r="AV153" s="4772">
        <f>AA153&gt;$AV$20</f>
        <v/>
      </c>
      <c r="AW153" s="7636">
        <f>AF153&gt;$AV$20</f>
        <v/>
      </c>
      <c r="AX153" t="n">
        <v>4</v>
      </c>
      <c r="AY153" t="inlineStr">
        <is>
          <t>Commercial</t>
        </is>
      </c>
      <c r="BE153" s="726">
        <f>IF(AND(D153&lt;&gt;"",OR(D153&lt;1,D153&gt;8,ISERROR(V164))),TRUE,FALSE)</f>
        <v/>
      </c>
      <c r="BG153" s="769" t="n"/>
      <c r="BH153" s="658" t="n"/>
      <c r="BI153" s="658" t="n"/>
      <c r="BJ153" s="658" t="n"/>
      <c r="BK153" s="658" t="n"/>
      <c r="BL153" s="658" t="n"/>
      <c r="BM153" s="658" t="n"/>
      <c r="BN153" s="658" t="n"/>
      <c r="BO153" s="658" t="n"/>
      <c r="BP153" s="658" t="n"/>
    </row>
    <row r="154" ht="15.75" customHeight="1" s="7635">
      <c r="A154" s="1277" t="n"/>
      <c r="B154" s="11229" t="inlineStr">
        <is>
          <t>B</t>
        </is>
      </c>
      <c r="C154" s="11734" t="n"/>
      <c r="D154" s="12111" t="n"/>
      <c r="E154" s="8007" t="n"/>
      <c r="F154" s="8007" t="n"/>
      <c r="G154" s="8007" t="n"/>
      <c r="H154" s="8008" t="n"/>
      <c r="I154" s="408" t="n"/>
      <c r="J154" s="11602" t="n"/>
      <c r="X154" s="2926" t="inlineStr">
        <is>
          <t>B</t>
        </is>
      </c>
      <c r="Y154" s="8412" t="n"/>
      <c r="Z154" s="11734" t="n"/>
      <c r="AA154" s="276" t="n"/>
      <c r="AB154" s="8007" t="n"/>
      <c r="AC154" s="8007" t="n"/>
      <c r="AD154" s="8007" t="n"/>
      <c r="AE154" s="8008" t="n"/>
      <c r="AF154" s="276" t="n"/>
      <c r="AG154" s="8007" t="n"/>
      <c r="AH154" s="8007" t="n"/>
      <c r="AI154" s="8007" t="n"/>
      <c r="AJ154" s="8008" t="n"/>
      <c r="AK154" s="4771" t="n"/>
      <c r="AL154" s="773" t="n"/>
      <c r="AM154" s="276" t="n"/>
      <c r="AN154" s="773" t="n"/>
      <c r="AO154" s="773" t="n"/>
      <c r="AP154" s="1277" t="n"/>
      <c r="AR154" s="7834">
        <f>D154=8</f>
        <v/>
      </c>
      <c r="AV154" s="4772">
        <f>AA154&gt;$AV$20</f>
        <v/>
      </c>
      <c r="AW154" s="7636">
        <f>AF154&gt;$AV$20</f>
        <v/>
      </c>
      <c r="AX154" t="n">
        <v>5</v>
      </c>
      <c r="AY154" t="inlineStr">
        <is>
          <t>Land</t>
        </is>
      </c>
      <c r="BE154" s="726">
        <f>IF(AND(D154&lt;&gt;"",OR(D154&lt;1,D154&gt;8,ISERROR(AD164))),TRUE,FALSE)</f>
        <v/>
      </c>
      <c r="BG154" s="769" t="n"/>
      <c r="BH154" s="658" t="n"/>
      <c r="BI154" s="658" t="n"/>
      <c r="BJ154" s="658" t="n"/>
      <c r="BK154" s="658" t="n"/>
      <c r="BL154" s="658" t="n"/>
      <c r="BM154" s="658" t="n"/>
      <c r="BN154" s="658" t="n"/>
      <c r="BO154" s="658" t="n"/>
      <c r="BP154" s="658" t="n"/>
    </row>
    <row r="155" ht="15.75" customHeight="1" s="7635">
      <c r="A155" s="1277" t="n"/>
      <c r="B155" s="11229" t="inlineStr">
        <is>
          <t>C</t>
        </is>
      </c>
      <c r="C155" s="11734" t="n"/>
      <c r="D155" s="12111" t="n"/>
      <c r="E155" s="8007" t="n"/>
      <c r="F155" s="8007" t="n"/>
      <c r="G155" s="8007" t="n"/>
      <c r="H155" s="8008" t="n"/>
      <c r="I155" s="412" t="n"/>
      <c r="J155" s="413" t="n"/>
      <c r="K155" s="7637" t="n"/>
      <c r="L155" s="7637" t="n"/>
      <c r="M155" s="7637" t="n"/>
      <c r="N155" s="7637" t="n"/>
      <c r="O155" s="7637" t="n"/>
      <c r="P155" s="7637" t="n"/>
      <c r="Q155" s="7637" t="n"/>
      <c r="R155" s="7637" t="n"/>
      <c r="S155" s="7637" t="n"/>
      <c r="T155" s="7637" t="n"/>
      <c r="U155" s="7637" t="n"/>
      <c r="V155" s="7637" t="n"/>
      <c r="W155" s="7637" t="n"/>
      <c r="X155" s="2926" t="inlineStr">
        <is>
          <t>C</t>
        </is>
      </c>
      <c r="Y155" s="8412" t="n"/>
      <c r="Z155" s="11734" t="n"/>
      <c r="AA155" s="276" t="n"/>
      <c r="AB155" s="8007" t="n"/>
      <c r="AC155" s="8007" t="n"/>
      <c r="AD155" s="8007" t="n"/>
      <c r="AE155" s="8008" t="n"/>
      <c r="AF155" s="276" t="n"/>
      <c r="AG155" s="8007" t="n"/>
      <c r="AH155" s="8007" t="n"/>
      <c r="AI155" s="8007" t="n"/>
      <c r="AJ155" s="8008" t="n"/>
      <c r="AK155" s="4771" t="n"/>
      <c r="AL155" s="773" t="n"/>
      <c r="AM155" s="276" t="n"/>
      <c r="AN155" s="773" t="n"/>
      <c r="AO155" s="773" t="n"/>
      <c r="AP155" s="1277" t="n"/>
      <c r="AR155" s="7834">
        <f>D155=8</f>
        <v/>
      </c>
      <c r="AV155" s="3614">
        <f>AA155&gt;$AV$20</f>
        <v/>
      </c>
      <c r="AW155" s="7638">
        <f>AF155&gt;$AV$20</f>
        <v/>
      </c>
      <c r="AX155" t="n">
        <v>6</v>
      </c>
      <c r="AY155" t="inlineStr">
        <is>
          <t>Royalties</t>
        </is>
      </c>
      <c r="AZ155" s="2556" t="inlineStr">
        <is>
          <t>A</t>
        </is>
      </c>
      <c r="BA155" s="2556" t="inlineStr">
        <is>
          <t>B</t>
        </is>
      </c>
      <c r="BB155" s="2556" t="inlineStr">
        <is>
          <t>C</t>
        </is>
      </c>
      <c r="BC155" s="2556" t="inlineStr">
        <is>
          <t>Total</t>
        </is>
      </c>
      <c r="BE155" s="726">
        <f>IF(AND(D155&lt;&gt;"",OR(D155&lt;1,D155&gt;8,ISERROR(AJ164))),TRUE,FALSE)</f>
        <v/>
      </c>
      <c r="BG155" s="769" t="n"/>
      <c r="BH155" s="658" t="n"/>
      <c r="BI155" s="658" t="n"/>
      <c r="BJ155" s="658" t="n"/>
      <c r="BK155" s="658" t="n"/>
      <c r="BL155" s="658" t="n"/>
      <c r="BM155" s="658" t="n"/>
      <c r="BN155" s="658" t="n"/>
      <c r="BO155" s="658" t="n"/>
      <c r="BP155" s="658" t="n"/>
    </row>
    <row r="156" ht="14.25" customHeight="1" s="7635">
      <c r="A156" s="1277" t="n"/>
      <c r="B156" s="3775" t="inlineStr">
        <is>
          <t>Type of Property:</t>
        </is>
      </c>
      <c r="C156" s="7865" t="n"/>
      <c r="D156" s="9237" t="n"/>
      <c r="E156" s="2126" t="n"/>
      <c r="F156" s="2126" t="n"/>
      <c r="G156" s="2126" t="n"/>
      <c r="H156" s="2126" t="n"/>
      <c r="I156" s="4776">
        <f>IF(BE156,"The 'Type of Property' must be entered as a number (1 - 8).","")</f>
        <v/>
      </c>
      <c r="J156" s="2126" t="n"/>
      <c r="K156" s="2126" t="n"/>
      <c r="L156" s="2126" t="n"/>
      <c r="M156" s="2126" t="n"/>
      <c r="N156" s="2126" t="n"/>
      <c r="O156" s="2126" t="n"/>
      <c r="P156" s="2126" t="n"/>
      <c r="Q156" s="2126" t="n"/>
      <c r="R156" s="2126" t="n"/>
      <c r="S156" s="2126" t="n"/>
      <c r="T156" s="2126" t="n"/>
      <c r="U156" s="2126" t="n"/>
      <c r="V156" s="2126" t="n"/>
      <c r="W156" s="2126" t="n"/>
      <c r="X156" s="2126" t="n"/>
      <c r="Y156" s="2126" t="n"/>
      <c r="Z156" s="2126" t="n"/>
      <c r="AA156" s="2126" t="n"/>
      <c r="AB156" s="2126" t="n"/>
      <c r="AC156" s="2126" t="n"/>
      <c r="AD156" s="4776">
        <f>IF(OR(AV153,AV154,AV155,AW153,AW154,AW155),"Must be "&amp;AV152&amp;" or less.","")</f>
        <v/>
      </c>
      <c r="AE156" s="2126" t="n"/>
      <c r="AF156" s="2126" t="n"/>
      <c r="AG156" s="2126" t="n"/>
      <c r="AH156" s="2126" t="n"/>
      <c r="AI156" s="2126" t="n"/>
      <c r="AJ156" s="2126" t="n"/>
      <c r="AK156" s="2126" t="n"/>
      <c r="AL156" s="2126" t="n"/>
      <c r="AM156" s="2126" t="n"/>
      <c r="AN156" s="2126" t="n"/>
      <c r="AO156" s="2126" t="n"/>
      <c r="AP156" s="1277" t="n"/>
      <c r="AR156" s="7834">
        <f>OR(AR153:AR155)</f>
        <v/>
      </c>
      <c r="AX156" t="n">
        <v>7</v>
      </c>
      <c r="AY156" t="inlineStr">
        <is>
          <t>Self-Rental</t>
        </is>
      </c>
      <c r="AZ156">
        <f>IF(D153&lt;&gt;6,V162,0)</f>
        <v/>
      </c>
      <c r="BA156">
        <f>IF(D154&lt;&gt;6,AD162,0)</f>
        <v/>
      </c>
      <c r="BB156">
        <f>IF(D155&lt;&gt;6,AJ162,0)</f>
        <v/>
      </c>
      <c r="BC156">
        <f>SUM(AZ156:BB156)</f>
        <v/>
      </c>
      <c r="BE156" s="726">
        <f>OR(BE153,BE154,BE155)</f>
        <v/>
      </c>
      <c r="BG156" s="769" t="n"/>
      <c r="BH156" s="658" t="n"/>
      <c r="BI156" s="658" t="n"/>
      <c r="BJ156" s="658" t="n"/>
      <c r="BK156" s="658" t="n"/>
      <c r="BL156" s="658" t="n"/>
      <c r="BM156" s="658" t="n"/>
      <c r="BN156" s="658" t="n"/>
      <c r="BO156" s="658" t="n"/>
      <c r="BP156" s="658" t="n"/>
    </row>
    <row r="157" ht="18" customHeight="1" s="7635">
      <c r="A157" s="1277" t="n"/>
      <c r="B157" s="7865" t="n">
        <v>1</v>
      </c>
      <c r="C157" s="2100" t="inlineStr">
        <is>
          <t>Single Family Residence</t>
        </is>
      </c>
      <c r="D157" s="9237" t="n"/>
      <c r="E157" s="2126" t="n"/>
      <c r="F157" s="2126" t="n"/>
      <c r="G157" s="2126" t="n"/>
      <c r="H157" s="2126" t="n"/>
      <c r="I157" s="2126" t="n"/>
      <c r="J157" s="2126" t="n"/>
      <c r="K157" s="9847" t="n">
        <v>3</v>
      </c>
      <c r="L157" s="4505" t="inlineStr">
        <is>
          <t>Vacation/Short-Term Rental</t>
        </is>
      </c>
      <c r="M157" s="2126" t="n"/>
      <c r="N157" s="2126" t="n"/>
      <c r="O157" s="2126" t="n"/>
      <c r="P157" s="2126" t="n"/>
      <c r="Q157" s="2126" t="n"/>
      <c r="R157" s="2126" t="n"/>
      <c r="S157" s="2126" t="n"/>
      <c r="T157" s="2126" t="n"/>
      <c r="U157" s="9847" t="n">
        <v>5</v>
      </c>
      <c r="V157" s="4505" t="inlineStr">
        <is>
          <t>Land</t>
        </is>
      </c>
      <c r="W157" s="2126" t="n"/>
      <c r="X157" s="2126" t="n"/>
      <c r="Y157" s="2126" t="n"/>
      <c r="Z157" s="9847" t="n"/>
      <c r="AA157" s="9847" t="n">
        <v>7</v>
      </c>
      <c r="AB157" s="4505" t="inlineStr">
        <is>
          <t>Self-Rental</t>
        </is>
      </c>
      <c r="AC157" s="2126" t="n"/>
      <c r="AD157" s="2126" t="n"/>
      <c r="AE157" s="2126" t="n"/>
      <c r="AF157" s="2126" t="n"/>
      <c r="AG157" s="2126" t="n"/>
      <c r="AH157" s="2126" t="n"/>
      <c r="AI157" s="2126" t="n"/>
      <c r="AJ157" s="2126" t="n"/>
      <c r="AK157" s="2126" t="n"/>
      <c r="AL157" s="2126" t="n"/>
      <c r="AM157" s="2126" t="n"/>
      <c r="AN157" s="2126" t="n"/>
      <c r="AO157" s="2126" t="n"/>
      <c r="AP157" s="1277" t="n"/>
      <c r="AR157" s="8630">
        <f>IF($AR$156,"Attach a statement to your return describing the property.","")</f>
        <v/>
      </c>
      <c r="AX157" t="n">
        <v>8</v>
      </c>
      <c r="AY157" t="inlineStr">
        <is>
          <t>Other</t>
        </is>
      </c>
      <c r="AZ157">
        <f>IF(D153=6,V163,0)</f>
        <v/>
      </c>
      <c r="BA157">
        <f>IF(D154=6,AD163,0)</f>
        <v/>
      </c>
      <c r="BB157">
        <f>IF(D155=6,AJ163,0)</f>
        <v/>
      </c>
      <c r="BC157">
        <f>SUM(AZ157:BB157)</f>
        <v/>
      </c>
      <c r="BE157" s="4782" t="n"/>
      <c r="BG157" s="769" t="n"/>
      <c r="BH157" s="658" t="n"/>
      <c r="BI157" s="658" t="n"/>
      <c r="BJ157" s="658" t="n"/>
      <c r="BK157" s="658" t="n"/>
      <c r="BL157" s="658" t="n"/>
      <c r="BM157" s="658" t="n"/>
      <c r="BN157" s="658" t="n"/>
      <c r="BO157" s="658" t="n"/>
      <c r="BP157" s="658" t="n"/>
    </row>
    <row r="158" ht="18" customFormat="1" customHeight="1" s="138">
      <c r="A158" s="2888" t="n"/>
      <c r="B158" s="2313" t="n">
        <v>2</v>
      </c>
      <c r="C158" s="4783" t="inlineStr">
        <is>
          <t>Multi-Family Residence</t>
        </is>
      </c>
      <c r="D158" s="9746" t="n"/>
      <c r="E158" s="9746" t="n"/>
      <c r="F158" s="9746" t="n"/>
      <c r="G158" s="9746" t="n"/>
      <c r="H158" s="9746" t="n"/>
      <c r="I158" s="9746" t="n"/>
      <c r="J158" s="9746" t="n"/>
      <c r="K158" s="2313" t="n">
        <v>4</v>
      </c>
      <c r="L158" s="4783" t="inlineStr">
        <is>
          <t>Commercial</t>
        </is>
      </c>
      <c r="M158" s="9746" t="n"/>
      <c r="N158" s="9746" t="n"/>
      <c r="O158" s="9746" t="n"/>
      <c r="P158" s="9746" t="n"/>
      <c r="Q158" s="9746" t="n"/>
      <c r="R158" s="9746" t="n"/>
      <c r="S158" s="9746" t="n"/>
      <c r="T158" s="9746" t="n"/>
      <c r="U158" s="2313" t="n">
        <v>6</v>
      </c>
      <c r="V158" s="4783" t="inlineStr">
        <is>
          <t>Royalties</t>
        </is>
      </c>
      <c r="W158" s="9746" t="n"/>
      <c r="X158" s="9746" t="n"/>
      <c r="Y158" s="9746" t="n"/>
      <c r="Z158" s="2313" t="n"/>
      <c r="AA158" s="2313" t="n">
        <v>8</v>
      </c>
      <c r="AB158" s="4783" t="inlineStr">
        <is>
          <t>Other (describe)</t>
        </is>
      </c>
      <c r="AC158" s="9746" t="n"/>
      <c r="AD158" s="9746" t="n"/>
      <c r="AE158" s="9746" t="n"/>
      <c r="AF158" s="9746" t="n"/>
      <c r="AG158" s="8571" t="n"/>
      <c r="AH158" s="12079" t="n"/>
      <c r="AI158" s="12079" t="n"/>
      <c r="AJ158" s="12079" t="n"/>
      <c r="AK158" s="12079" t="n"/>
      <c r="AL158" s="12079" t="n"/>
      <c r="AM158" s="12079" t="n"/>
      <c r="AN158" s="12079" t="n"/>
      <c r="AO158" s="12079" t="n"/>
      <c r="AP158" s="2888" t="n"/>
      <c r="AQ158" s="4784" t="n"/>
      <c r="BG158" s="967" t="n"/>
      <c r="BH158" s="662" t="n"/>
      <c r="BI158" s="662" t="n"/>
      <c r="BJ158" s="662" t="n"/>
      <c r="BK158" s="662" t="n"/>
      <c r="BL158" s="662" t="n"/>
      <c r="BM158" s="662" t="n"/>
      <c r="BN158" s="662" t="n"/>
      <c r="BO158" s="662" t="n"/>
      <c r="BP158" s="662" t="n"/>
      <c r="BQ158" s="1116" t="n"/>
    </row>
    <row r="159" ht="6.75" customFormat="1" customHeight="1" s="138" thickBot="1">
      <c r="A159" s="2888" t="n"/>
      <c r="B159" s="2313" t="n"/>
      <c r="C159" s="4783" t="n"/>
      <c r="D159" s="9746" t="n"/>
      <c r="E159" s="9746" t="n"/>
      <c r="F159" s="9746" t="n"/>
      <c r="G159" s="9746" t="n"/>
      <c r="H159" s="9746" t="n"/>
      <c r="I159" s="9746" t="n"/>
      <c r="J159" s="9746" t="n"/>
      <c r="K159" s="2313" t="n"/>
      <c r="L159" s="4783" t="n"/>
      <c r="M159" s="9746" t="n"/>
      <c r="N159" s="9746" t="n"/>
      <c r="O159" s="9746" t="n"/>
      <c r="P159" s="9746" t="n"/>
      <c r="Q159" s="9746" t="n"/>
      <c r="R159" s="9746" t="n"/>
      <c r="S159" s="9746" t="n"/>
      <c r="T159" s="9746" t="n"/>
      <c r="U159" s="2313" t="n"/>
      <c r="V159" s="4838" t="n"/>
      <c r="W159" s="4839" t="n"/>
      <c r="X159" s="4839" t="n"/>
      <c r="Y159" s="4839" t="n"/>
      <c r="Z159" s="4840" t="n"/>
      <c r="AA159" s="4840" t="n"/>
      <c r="AB159" s="4838" t="n"/>
      <c r="AC159" s="4839" t="n"/>
      <c r="AD159" s="4839" t="n"/>
      <c r="AE159" s="4839" t="n"/>
      <c r="AF159" s="4839" t="n"/>
      <c r="AG159" s="4839" t="n"/>
      <c r="AH159" s="1428" t="n"/>
      <c r="AI159" s="1428" t="n"/>
      <c r="AJ159" s="1428" t="n"/>
      <c r="AK159" s="1428" t="n"/>
      <c r="AL159" s="1428" t="n"/>
      <c r="AM159" s="1429" t="n"/>
      <c r="AN159" s="1429" t="n"/>
      <c r="AO159" s="1428" t="n"/>
      <c r="AP159" s="2888" t="n"/>
      <c r="AQ159" s="4784" t="n"/>
      <c r="BG159" s="967" t="n"/>
      <c r="BH159" s="662" t="n"/>
      <c r="BI159" s="662" t="n"/>
      <c r="BJ159" s="662" t="n"/>
      <c r="BK159" s="662" t="n"/>
      <c r="BL159" s="662" t="n"/>
      <c r="BM159" s="662" t="n"/>
      <c r="BN159" s="662" t="n"/>
      <c r="BO159" s="662" t="n"/>
      <c r="BP159" s="662" t="n"/>
      <c r="BQ159" s="1116" t="n"/>
    </row>
    <row r="160" ht="14.25" customHeight="1" s="7635">
      <c r="A160" s="1277" t="n"/>
      <c r="B160" s="4653" t="n"/>
      <c r="C160" s="4786" t="n"/>
      <c r="D160" s="9923" t="n"/>
      <c r="E160" s="2167" t="n"/>
      <c r="F160" s="2167" t="n"/>
      <c r="G160" s="2167" t="n"/>
      <c r="H160" s="2167" t="n"/>
      <c r="I160" s="2167" t="n"/>
      <c r="J160" s="2167" t="n"/>
      <c r="K160" s="2167" t="n"/>
      <c r="L160" s="2167" t="n"/>
      <c r="M160" s="2167" t="n"/>
      <c r="N160" s="2167" t="n"/>
      <c r="O160" s="2167" t="n"/>
      <c r="P160" s="2167" t="n"/>
      <c r="Q160" s="2167" t="n"/>
      <c r="R160" s="4788" t="n"/>
      <c r="S160" s="2167" t="n"/>
      <c r="T160" s="4788" t="n"/>
      <c r="U160" s="4789" t="n"/>
      <c r="V160" s="8573" t="inlineStr">
        <is>
          <t>Properties:</t>
        </is>
      </c>
      <c r="W160" s="12097" t="n"/>
      <c r="X160" s="12097" t="n"/>
      <c r="Y160" s="12097" t="n"/>
      <c r="Z160" s="12097" t="n"/>
      <c r="AA160" s="12097" t="n"/>
      <c r="AB160" s="12097" t="n"/>
      <c r="AC160" s="12097" t="n"/>
      <c r="AD160" s="12097" t="n"/>
      <c r="AE160" s="12097" t="n"/>
      <c r="AF160" s="12097" t="n"/>
      <c r="AG160" s="12097" t="n"/>
      <c r="AH160" s="12097" t="n"/>
      <c r="AI160" s="12097" t="n"/>
      <c r="AJ160" s="12097" t="n"/>
      <c r="AK160" s="12097" t="n"/>
      <c r="AL160" s="12097" t="n"/>
      <c r="AM160" s="12097" t="n"/>
      <c r="AN160" s="12097" t="n"/>
      <c r="AO160" s="12097" t="n"/>
      <c r="AP160" s="1277" t="n"/>
      <c r="AR160" s="1792">
        <f>IF($AR$24,"describing the property.","")</f>
        <v/>
      </c>
      <c r="AS160" s="314" t="n"/>
      <c r="AT160" s="314" t="n"/>
      <c r="AZ160">
        <f>IF(AND($D$21="",OR($V$30&gt;0,$V$31&gt;0)),TRUE,FALSE)</f>
        <v/>
      </c>
      <c r="BA160">
        <f>IF(AND($D$22="",OR($AD$30&gt;0,$AD$31&gt;0)),TRUE,FALSE)</f>
        <v/>
      </c>
      <c r="BB160">
        <f>IF(AND($D$23="",OR($AJ$30&gt;0,$AJ$31&gt;0)),TRUE,FALSE)</f>
        <v/>
      </c>
      <c r="BG160" s="769" t="n"/>
      <c r="BH160" s="658" t="n"/>
      <c r="BI160" s="658" t="n"/>
      <c r="BJ160" s="658" t="n"/>
      <c r="BK160" s="658" t="n"/>
      <c r="BL160" s="658" t="n"/>
      <c r="BM160" s="658" t="n"/>
      <c r="BN160" s="658" t="n"/>
      <c r="BO160" s="658" t="n"/>
      <c r="BP160" s="658" t="n"/>
    </row>
    <row r="161" ht="14.25" customHeight="1" s="7635">
      <c r="A161" s="1277" t="n"/>
      <c r="B161" s="10886" t="inlineStr">
        <is>
          <t>Income:</t>
        </is>
      </c>
      <c r="C161" s="7865" t="n"/>
      <c r="D161" s="9237" t="n"/>
      <c r="E161" s="2126" t="n"/>
      <c r="F161" s="2126" t="n"/>
      <c r="G161" s="2126" t="n"/>
      <c r="H161" s="2126" t="n"/>
      <c r="I161" s="2126" t="n"/>
      <c r="J161" s="2126" t="n"/>
      <c r="K161" s="2126" t="n"/>
      <c r="L161" s="2126" t="n"/>
      <c r="M161" s="2126" t="n"/>
      <c r="N161" s="2126" t="n"/>
      <c r="O161" s="2126" t="n"/>
      <c r="P161" s="2126" t="n"/>
      <c r="Q161" s="2126" t="n"/>
      <c r="R161" s="4791" t="n"/>
      <c r="S161" s="2126" t="n"/>
      <c r="T161" s="4792" t="n"/>
      <c r="U161" s="4793" t="n"/>
      <c r="V161" s="6634" t="inlineStr">
        <is>
          <t>A</t>
        </is>
      </c>
      <c r="W161" s="8412" t="n"/>
      <c r="X161" s="8412" t="n"/>
      <c r="Y161" s="8412" t="n"/>
      <c r="Z161" s="8412" t="n"/>
      <c r="AA161" s="8412" t="n"/>
      <c r="AB161" s="8412" t="n"/>
      <c r="AC161" s="11734" t="n"/>
      <c r="AD161" s="12112" t="inlineStr">
        <is>
          <t>B</t>
        </is>
      </c>
      <c r="AE161" s="8412" t="n"/>
      <c r="AF161" s="8412" t="n"/>
      <c r="AG161" s="8412" t="n"/>
      <c r="AH161" s="8412" t="n"/>
      <c r="AI161" s="11734" t="n"/>
      <c r="AJ161" s="8568" t="inlineStr">
        <is>
          <t>C</t>
        </is>
      </c>
      <c r="AK161" s="8412" t="n"/>
      <c r="AL161" s="8412" t="n"/>
      <c r="AM161" s="8412" t="n"/>
      <c r="AN161" s="8412" t="n"/>
      <c r="AO161" s="8412" t="n"/>
      <c r="AP161" s="1277" t="n"/>
      <c r="AR161" s="1792" t="n"/>
      <c r="AZ161">
        <f>IF(AND($D$21="",OR($V$30&gt;0,$V$31&gt;0)),TRUE,FALSE)</f>
        <v/>
      </c>
      <c r="BA161">
        <f>IF(AND($D$22="",OR($AD$30&gt;0,$AD$31&gt;0)),TRUE,FALSE)</f>
        <v/>
      </c>
      <c r="BB161">
        <f>IF(AND($D$23="",OR($AJ$30&gt;0,$AJ$31&gt;0)),TRUE,FALSE)</f>
        <v/>
      </c>
      <c r="BG161" s="769" t="n"/>
      <c r="BH161" s="658" t="n"/>
      <c r="BI161" s="658" t="n"/>
      <c r="BJ161" s="658" t="n"/>
      <c r="BK161" s="658" t="n"/>
      <c r="BL161" s="658" t="n"/>
      <c r="BM161" s="658" t="n"/>
      <c r="BN161" s="658" t="n"/>
      <c r="BO161" s="658" t="n"/>
      <c r="BP161" s="658" t="n"/>
    </row>
    <row r="162" ht="14.25" customHeight="1" s="7635">
      <c r="A162" s="1277" t="n"/>
      <c r="B162" s="8519" t="n">
        <v>3</v>
      </c>
      <c r="D162" s="2100" t="inlineStr">
        <is>
          <t>Rents received</t>
        </is>
      </c>
      <c r="E162" s="2126" t="n"/>
      <c r="F162" s="2126" t="n"/>
      <c r="G162" s="2126" t="n"/>
      <c r="H162" s="2126" t="n"/>
      <c r="I162" s="2126" t="n"/>
      <c r="J162" s="2126" t="n"/>
      <c r="K162" s="2126" t="n"/>
      <c r="L162" s="2126" t="n"/>
      <c r="M162" s="2126" t="n"/>
      <c r="N162" s="2126" t="n"/>
      <c r="O162" s="2126" t="n"/>
      <c r="P162" s="2126" t="n"/>
      <c r="Q162" s="2126" t="n"/>
      <c r="R162" s="2126" t="n"/>
      <c r="S162" s="1321" t="inlineStr">
        <is>
          <t xml:space="preserve">.   .   .   .   .   .   .   .   .   .   .   .   .   .   .   .   . </t>
        </is>
      </c>
      <c r="T162" s="6634" t="n">
        <v>3</v>
      </c>
      <c r="U162" s="11734" t="n"/>
      <c r="V162" s="12113" t="n"/>
      <c r="W162" s="8007" t="n"/>
      <c r="X162" s="8007" t="n"/>
      <c r="Y162" s="8007" t="n"/>
      <c r="Z162" s="8007" t="n"/>
      <c r="AA162" s="8007" t="n"/>
      <c r="AB162" s="8007" t="n"/>
      <c r="AC162" s="8008" t="n"/>
      <c r="AD162" s="12113" t="n"/>
      <c r="AE162" s="8007" t="n"/>
      <c r="AF162" s="8007" t="n"/>
      <c r="AG162" s="8007" t="n"/>
      <c r="AH162" s="8007" t="n"/>
      <c r="AI162" s="8008" t="n"/>
      <c r="AJ162" s="8562" t="n"/>
      <c r="AK162" s="8007" t="n"/>
      <c r="AL162" s="8007" t="n"/>
      <c r="AM162" s="8007" t="n"/>
      <c r="AN162" s="8007" t="n"/>
      <c r="AO162" s="8007" t="n"/>
      <c r="AP162" s="1277" t="n"/>
      <c r="BG162" s="769" t="n"/>
      <c r="BH162" s="658" t="n"/>
      <c r="BI162" s="658" t="n"/>
      <c r="BJ162" s="658" t="n"/>
      <c r="BK162" s="658" t="n"/>
      <c r="BL162" s="658" t="n"/>
      <c r="BM162" s="658" t="n"/>
      <c r="BN162" s="658" t="n"/>
      <c r="BO162" s="658" t="n"/>
      <c r="BP162" s="658" t="n"/>
    </row>
    <row r="163" ht="14.25" customHeight="1" s="7635">
      <c r="A163" s="1277" t="n"/>
      <c r="B163" s="8561" t="n">
        <v>4</v>
      </c>
      <c r="C163" s="7637" t="n"/>
      <c r="D163" s="4794" t="inlineStr">
        <is>
          <t>Royalties received</t>
        </is>
      </c>
      <c r="E163" s="507" t="n"/>
      <c r="F163" s="507" t="n"/>
      <c r="G163" s="507" t="n"/>
      <c r="H163" s="507" t="n"/>
      <c r="I163" s="507" t="n"/>
      <c r="J163" s="507" t="n"/>
      <c r="K163" s="507" t="n"/>
      <c r="L163" s="507" t="n"/>
      <c r="M163" s="507" t="n"/>
      <c r="N163" s="507" t="n"/>
      <c r="O163" s="507" t="n"/>
      <c r="P163" s="507" t="n"/>
      <c r="Q163" s="507" t="n"/>
      <c r="R163" s="507" t="n"/>
      <c r="S163" s="4841" t="inlineStr">
        <is>
          <t xml:space="preserve">.   .   .   .   .   .   .   .   .   .   .   .   .   .   .   . </t>
        </is>
      </c>
      <c r="T163" s="6634" t="n">
        <v>4</v>
      </c>
      <c r="U163" s="11734" t="n"/>
      <c r="V163" s="12113" t="n"/>
      <c r="W163" s="8007" t="n"/>
      <c r="X163" s="8007" t="n"/>
      <c r="Y163" s="8007" t="n"/>
      <c r="Z163" s="8007" t="n"/>
      <c r="AA163" s="8007" t="n"/>
      <c r="AB163" s="8007" t="n"/>
      <c r="AC163" s="8008" t="n"/>
      <c r="AD163" s="12113" t="n"/>
      <c r="AE163" s="8007" t="n"/>
      <c r="AF163" s="8007" t="n"/>
      <c r="AG163" s="8007" t="n"/>
      <c r="AH163" s="8007" t="n"/>
      <c r="AI163" s="8008" t="n"/>
      <c r="AJ163" s="8562" t="n"/>
      <c r="AK163" s="8007" t="n"/>
      <c r="AL163" s="8007" t="n"/>
      <c r="AM163" s="8007" t="n"/>
      <c r="AN163" s="8007" t="n"/>
      <c r="AO163" s="8007" t="n"/>
      <c r="AP163" s="1277" t="n"/>
      <c r="BG163" s="769" t="n"/>
      <c r="BH163" s="658" t="n"/>
      <c r="BI163" s="658" t="n"/>
      <c r="BJ163" s="658" t="n"/>
      <c r="BK163" s="658" t="n"/>
      <c r="BL163" s="658" t="n"/>
      <c r="BM163" s="658" t="n"/>
      <c r="BN163" s="658" t="n"/>
      <c r="BO163" s="658" t="n"/>
      <c r="BP163" s="658" t="n"/>
    </row>
    <row r="164" ht="14.25" customHeight="1" s="7635">
      <c r="A164" s="1277" t="n"/>
      <c r="B164" s="4795" t="inlineStr">
        <is>
          <t>Expenses:</t>
        </is>
      </c>
      <c r="C164" s="4796" t="n"/>
      <c r="D164" s="10862" t="n"/>
      <c r="E164" s="4797" t="n"/>
      <c r="F164" s="4798" t="n"/>
      <c r="G164" s="4798">
        <f>IF(OR($AZ$28,$BA$28,$BB$28),"Please enter property type in Line 1b.","")</f>
        <v/>
      </c>
      <c r="H164" s="4797" t="n"/>
      <c r="I164" s="4797" t="n"/>
      <c r="J164" s="4797" t="n"/>
      <c r="K164" s="4797" t="n"/>
      <c r="L164" s="4797" t="n"/>
      <c r="M164" s="4797" t="n"/>
      <c r="N164" s="4797" t="n"/>
      <c r="O164" s="4797" t="n"/>
      <c r="P164" s="4797" t="n"/>
      <c r="Q164" s="4797" t="n"/>
      <c r="R164" s="4797" t="n"/>
      <c r="S164" s="4797" t="n"/>
      <c r="T164" s="4509" t="n"/>
      <c r="U164" s="4799" t="n"/>
      <c r="V164" s="12114">
        <f>IF(D153="","",LOOKUP(D153,$AX$18:$AX$25,$AY$18:$AY$25))</f>
        <v/>
      </c>
      <c r="W164" s="7839" t="n"/>
      <c r="X164" s="7839" t="n"/>
      <c r="Y164" s="7839" t="n"/>
      <c r="Z164" s="7839" t="n"/>
      <c r="AA164" s="7839" t="n"/>
      <c r="AB164" s="7839" t="n"/>
      <c r="AC164" s="10091" t="n"/>
      <c r="AD164" s="12114">
        <f>IF(D154="","",LOOKUP(D154,$AX$18:$AX$25,$AY$18:$AY$25))</f>
        <v/>
      </c>
      <c r="AE164" s="7839" t="n"/>
      <c r="AF164" s="7839" t="n"/>
      <c r="AG164" s="7839" t="n"/>
      <c r="AH164" s="7839" t="n"/>
      <c r="AI164" s="10091" t="n"/>
      <c r="AJ164" s="8565">
        <f>IF(D155="","",LOOKUP(D155,$AX$18:$AX$25,$AY$18:$AY$25))</f>
        <v/>
      </c>
      <c r="AK164" s="7839" t="n"/>
      <c r="AL164" s="7839" t="n"/>
      <c r="AM164" s="7839" t="n"/>
      <c r="AN164" s="7839" t="n"/>
      <c r="AO164" s="7839" t="n"/>
      <c r="AP164" s="1277" t="n"/>
      <c r="AR164" s="8648" t="n"/>
      <c r="BG164" s="769" t="n"/>
      <c r="BH164" s="658" t="n"/>
      <c r="BI164" s="658" t="n"/>
      <c r="BJ164" s="658" t="n"/>
      <c r="BK164" s="658" t="n"/>
      <c r="BL164" s="658" t="n"/>
      <c r="BM164" s="658" t="n"/>
      <c r="BN164" s="658" t="n"/>
      <c r="BO164" s="658" t="n"/>
      <c r="BP164" s="658" t="n"/>
    </row>
    <row r="165" ht="14.25" customHeight="1" s="7635">
      <c r="A165" s="1277" t="n"/>
      <c r="B165" s="8519" t="n">
        <v>5</v>
      </c>
      <c r="D165" s="2100" t="inlineStr">
        <is>
          <t>Advertising</t>
        </is>
      </c>
      <c r="E165" s="2126" t="n"/>
      <c r="F165" s="2126" t="n"/>
      <c r="G165" s="2126" t="n"/>
      <c r="H165" s="2126" t="n"/>
      <c r="I165" s="2126" t="n"/>
      <c r="J165" s="2126" t="n"/>
      <c r="K165" s="2126" t="n"/>
      <c r="L165" s="2126" t="n"/>
      <c r="M165" s="2126" t="n"/>
      <c r="N165" s="2126" t="n"/>
      <c r="O165" s="2126" t="n"/>
      <c r="P165" s="2126" t="n"/>
      <c r="Q165" s="2126" t="n"/>
      <c r="R165" s="2126" t="n"/>
      <c r="S165" s="2198" t="inlineStr">
        <is>
          <t xml:space="preserve">.   .   .   .   .   .   .   .   .   .   .   .   .   .   .   .   .   .   . </t>
        </is>
      </c>
      <c r="T165" s="6633" t="n">
        <v>5</v>
      </c>
      <c r="U165" s="7638" t="n"/>
      <c r="V165" s="8558" t="n"/>
      <c r="W165" s="11717" t="n"/>
      <c r="X165" s="11717" t="n"/>
      <c r="Y165" s="11717" t="n"/>
      <c r="Z165" s="11717" t="n"/>
      <c r="AA165" s="11717" t="n"/>
      <c r="AB165" s="11717" t="n"/>
      <c r="AC165" s="11718" t="n"/>
      <c r="AD165" s="12115" t="n"/>
      <c r="AE165" s="11717" t="n"/>
      <c r="AF165" s="11717" t="n"/>
      <c r="AG165" s="11717" t="n"/>
      <c r="AH165" s="11717" t="n"/>
      <c r="AI165" s="11718" t="n"/>
      <c r="AJ165" s="8559" t="n"/>
      <c r="AK165" s="11717" t="n"/>
      <c r="AL165" s="11717" t="n"/>
      <c r="AM165" s="11717" t="n"/>
      <c r="AN165" s="11717" t="n"/>
      <c r="AO165" s="11717" t="n"/>
      <c r="AP165" s="1277" t="n"/>
      <c r="BG165" s="769" t="n"/>
      <c r="BH165" s="658" t="n"/>
      <c r="BI165" s="658" t="n"/>
      <c r="BJ165" s="658" t="n"/>
      <c r="BK165" s="658" t="n"/>
      <c r="BL165" s="658" t="n"/>
      <c r="BM165" s="658" t="n"/>
      <c r="BN165" s="658" t="n"/>
      <c r="BO165" s="658" t="n"/>
      <c r="BP165" s="658" t="n"/>
    </row>
    <row r="166" ht="14.25" customHeight="1" s="7635">
      <c r="A166" s="1277" t="n"/>
      <c r="B166" s="8519" t="n">
        <v>6</v>
      </c>
      <c r="D166" s="2100" t="inlineStr">
        <is>
          <t>Auto and travel (see instructions)</t>
        </is>
      </c>
      <c r="E166" s="2126" t="n"/>
      <c r="F166" s="2126" t="n"/>
      <c r="G166" s="2126" t="n"/>
      <c r="H166" s="2126" t="n"/>
      <c r="I166" s="2126" t="n"/>
      <c r="J166" s="2126" t="n"/>
      <c r="K166" s="2126" t="n"/>
      <c r="L166" s="2126" t="n"/>
      <c r="M166" s="2126" t="n"/>
      <c r="N166" s="2126" t="n"/>
      <c r="O166" s="2126" t="n"/>
      <c r="P166" s="2126" t="n"/>
      <c r="Q166" s="2126" t="n"/>
      <c r="R166" s="2126" t="n"/>
      <c r="S166" s="2198" t="inlineStr">
        <is>
          <t xml:space="preserve">.   .   .   .   .   .   .   .   .   . </t>
        </is>
      </c>
      <c r="T166" s="6633" t="n">
        <v>6</v>
      </c>
      <c r="U166" s="7638" t="n"/>
      <c r="V166" s="8558" t="n"/>
      <c r="W166" s="11717" t="n"/>
      <c r="X166" s="11717" t="n"/>
      <c r="Y166" s="11717" t="n"/>
      <c r="Z166" s="11717" t="n"/>
      <c r="AA166" s="11717" t="n"/>
      <c r="AB166" s="11717" t="n"/>
      <c r="AC166" s="11718" t="n"/>
      <c r="AD166" s="12115" t="n"/>
      <c r="AE166" s="11717" t="n"/>
      <c r="AF166" s="11717" t="n"/>
      <c r="AG166" s="11717" t="n"/>
      <c r="AH166" s="11717" t="n"/>
      <c r="AI166" s="11718" t="n"/>
      <c r="AJ166" s="8559" t="n"/>
      <c r="AK166" s="11717" t="n"/>
      <c r="AL166" s="11717" t="n"/>
      <c r="AM166" s="11717" t="n"/>
      <c r="AN166" s="11717" t="n"/>
      <c r="AO166" s="11717" t="n"/>
      <c r="AP166" s="1277" t="n"/>
      <c r="BG166" s="769" t="n"/>
      <c r="BH166" s="658" t="n"/>
      <c r="BI166" s="658" t="n"/>
      <c r="BJ166" s="658" t="n"/>
      <c r="BK166" s="658" t="n"/>
      <c r="BL166" s="658" t="n"/>
      <c r="BM166" s="658" t="n"/>
      <c r="BN166" s="658" t="n"/>
      <c r="BO166" s="658" t="n"/>
      <c r="BP166" s="658" t="n"/>
    </row>
    <row r="167" ht="14.25" customHeight="1" s="7635">
      <c r="A167" s="1277" t="n"/>
      <c r="B167" s="8519" t="n">
        <v>7</v>
      </c>
      <c r="D167" s="2100" t="inlineStr">
        <is>
          <t>Cleaning and maintenance</t>
        </is>
      </c>
      <c r="E167" s="2126" t="n"/>
      <c r="F167" s="2126" t="n"/>
      <c r="G167" s="2126" t="n"/>
      <c r="H167" s="2126" t="n"/>
      <c r="I167" s="2126" t="n"/>
      <c r="J167" s="2126" t="n"/>
      <c r="K167" s="2126" t="n"/>
      <c r="L167" s="2126" t="n"/>
      <c r="M167" s="2126" t="n"/>
      <c r="N167" s="2126" t="n"/>
      <c r="O167" s="2126" t="n"/>
      <c r="P167" s="2126" t="n"/>
      <c r="Q167" s="2126" t="n"/>
      <c r="R167" s="2126" t="n"/>
      <c r="S167" s="2198" t="inlineStr">
        <is>
          <t xml:space="preserve">.   .   .   .   .   .   .   .   .   .   .   .   . </t>
        </is>
      </c>
      <c r="T167" s="6633" t="n">
        <v>7</v>
      </c>
      <c r="U167" s="7638" t="n"/>
      <c r="V167" s="8558" t="n"/>
      <c r="W167" s="11717" t="n"/>
      <c r="X167" s="11717" t="n"/>
      <c r="Y167" s="11717" t="n"/>
      <c r="Z167" s="11717" t="n"/>
      <c r="AA167" s="11717" t="n"/>
      <c r="AB167" s="11717" t="n"/>
      <c r="AC167" s="11718" t="n"/>
      <c r="AD167" s="12115" t="n"/>
      <c r="AE167" s="11717" t="n"/>
      <c r="AF167" s="11717" t="n"/>
      <c r="AG167" s="11717" t="n"/>
      <c r="AH167" s="11717" t="n"/>
      <c r="AI167" s="11718" t="n"/>
      <c r="AJ167" s="8559" t="n"/>
      <c r="AK167" s="11717" t="n"/>
      <c r="AL167" s="11717" t="n"/>
      <c r="AM167" s="11717" t="n"/>
      <c r="AN167" s="11717" t="n"/>
      <c r="AO167" s="11717" t="n"/>
      <c r="AP167" s="1277" t="n"/>
      <c r="BG167" s="769" t="n"/>
      <c r="BH167" s="658" t="n"/>
      <c r="BI167" s="658" t="n"/>
      <c r="BJ167" s="658" t="n"/>
      <c r="BK167" s="658" t="n"/>
      <c r="BL167" s="658" t="n"/>
      <c r="BM167" s="658" t="n"/>
      <c r="BN167" s="658" t="n"/>
      <c r="BO167" s="658" t="n"/>
      <c r="BP167" s="658" t="n"/>
    </row>
    <row r="168" ht="14.25" customHeight="1" s="7635">
      <c r="A168" s="1277" t="n"/>
      <c r="B168" s="8519" t="n">
        <v>8</v>
      </c>
      <c r="D168" s="2100" t="inlineStr">
        <is>
          <t>Commissions</t>
        </is>
      </c>
      <c r="E168" s="2126" t="n"/>
      <c r="F168" s="2126" t="n"/>
      <c r="G168" s="2126" t="n"/>
      <c r="H168" s="2126" t="n"/>
      <c r="I168" s="2126" t="n"/>
      <c r="J168" s="2126" t="n"/>
      <c r="K168" s="2126" t="n"/>
      <c r="L168" s="2126" t="n"/>
      <c r="M168" s="2126" t="n"/>
      <c r="N168" s="2126" t="n"/>
      <c r="O168" s="2126" t="n"/>
      <c r="P168" s="2126" t="n"/>
      <c r="Q168" s="2126" t="n"/>
      <c r="R168" s="2126" t="n"/>
      <c r="S168" s="2198" t="inlineStr">
        <is>
          <t xml:space="preserve">.   .   .   .   .   .   .   .   .   .   .   .   .   .   .   .   .   . </t>
        </is>
      </c>
      <c r="T168" s="6633" t="n">
        <v>8</v>
      </c>
      <c r="U168" s="7638" t="n"/>
      <c r="V168" s="8558" t="n"/>
      <c r="W168" s="11717" t="n"/>
      <c r="X168" s="11717" t="n"/>
      <c r="Y168" s="11717" t="n"/>
      <c r="Z168" s="11717" t="n"/>
      <c r="AA168" s="11717" t="n"/>
      <c r="AB168" s="11717" t="n"/>
      <c r="AC168" s="11718" t="n"/>
      <c r="AD168" s="12115" t="n"/>
      <c r="AE168" s="11717" t="n"/>
      <c r="AF168" s="11717" t="n"/>
      <c r="AG168" s="11717" t="n"/>
      <c r="AH168" s="11717" t="n"/>
      <c r="AI168" s="11718" t="n"/>
      <c r="AJ168" s="8559" t="n"/>
      <c r="AK168" s="11717" t="n"/>
      <c r="AL168" s="11717" t="n"/>
      <c r="AM168" s="11717" t="n"/>
      <c r="AN168" s="11717" t="n"/>
      <c r="AO168" s="11717" t="n"/>
      <c r="AP168" s="1277" t="n"/>
      <c r="BG168" s="769" t="n"/>
      <c r="BH168" s="658" t="n"/>
      <c r="BI168" s="658" t="n"/>
      <c r="BJ168" s="658" t="n"/>
      <c r="BK168" s="658" t="n"/>
      <c r="BL168" s="658" t="n"/>
      <c r="BM168" s="658" t="n"/>
      <c r="BN168" s="658" t="n"/>
      <c r="BO168" s="658" t="n"/>
      <c r="BP168" s="658" t="n"/>
    </row>
    <row r="169" ht="14.25" customHeight="1" s="7635">
      <c r="A169" s="1277" t="n"/>
      <c r="B169" s="8519" t="n">
        <v>9</v>
      </c>
      <c r="D169" s="2100" t="inlineStr">
        <is>
          <t>Insurance</t>
        </is>
      </c>
      <c r="E169" s="2126" t="n"/>
      <c r="F169" s="2126" t="n"/>
      <c r="G169" s="2126" t="n"/>
      <c r="H169" s="2126" t="n"/>
      <c r="I169" s="2126" t="n"/>
      <c r="J169" s="2126" t="n"/>
      <c r="K169" s="2126" t="n"/>
      <c r="L169" s="2126" t="n"/>
      <c r="M169" s="2126" t="n"/>
      <c r="N169" s="2126" t="n"/>
      <c r="O169" s="2126" t="n"/>
      <c r="P169" s="2126" t="n"/>
      <c r="Q169" s="2126" t="n"/>
      <c r="R169" s="2126" t="n"/>
      <c r="S169" s="2198" t="inlineStr">
        <is>
          <t xml:space="preserve">.   .   .   .   .   .   .   .   .   .   .   .   .   .   .   .   .   .   .   . </t>
        </is>
      </c>
      <c r="T169" s="6633" t="n">
        <v>9</v>
      </c>
      <c r="U169" s="7638" t="n"/>
      <c r="V169" s="8558" t="n"/>
      <c r="W169" s="11717" t="n"/>
      <c r="X169" s="11717" t="n"/>
      <c r="Y169" s="11717" t="n"/>
      <c r="Z169" s="11717" t="n"/>
      <c r="AA169" s="11717" t="n"/>
      <c r="AB169" s="11717" t="n"/>
      <c r="AC169" s="11718" t="n"/>
      <c r="AD169" s="12115" t="n"/>
      <c r="AE169" s="11717" t="n"/>
      <c r="AF169" s="11717" t="n"/>
      <c r="AG169" s="11717" t="n"/>
      <c r="AH169" s="11717" t="n"/>
      <c r="AI169" s="11718" t="n"/>
      <c r="AJ169" s="8559" t="n"/>
      <c r="AK169" s="11717" t="n"/>
      <c r="AL169" s="11717" t="n"/>
      <c r="AM169" s="11717" t="n"/>
      <c r="AN169" s="11717" t="n"/>
      <c r="AO169" s="11717" t="n"/>
      <c r="AP169" s="1277" t="n"/>
      <c r="BG169" s="769" t="n"/>
      <c r="BH169" s="658" t="n"/>
      <c r="BI169" s="658" t="n"/>
      <c r="BJ169" s="658" t="n"/>
      <c r="BK169" s="658" t="n"/>
      <c r="BL169" s="658" t="n"/>
      <c r="BM169" s="658" t="n"/>
      <c r="BN169" s="658" t="n"/>
      <c r="BO169" s="658" t="n"/>
      <c r="BP169" s="658" t="n"/>
    </row>
    <row r="170" ht="14.25" customHeight="1" s="7635">
      <c r="A170" s="1277" t="n"/>
      <c r="B170" s="8519" t="n">
        <v>10</v>
      </c>
      <c r="D170" s="2100" t="inlineStr">
        <is>
          <t>Legal and other professional fees</t>
        </is>
      </c>
      <c r="E170" s="2126" t="n"/>
      <c r="F170" s="2126" t="n"/>
      <c r="G170" s="2126" t="n"/>
      <c r="H170" s="2126" t="n"/>
      <c r="I170" s="2126" t="n"/>
      <c r="J170" s="2126" t="n"/>
      <c r="K170" s="2126" t="n"/>
      <c r="L170" s="2126" t="n"/>
      <c r="M170" s="2126" t="n"/>
      <c r="N170" s="2126" t="n"/>
      <c r="O170" s="2126" t="n"/>
      <c r="P170" s="2126" t="n"/>
      <c r="Q170" s="2126" t="n"/>
      <c r="R170" s="2126" t="n"/>
      <c r="S170" s="2198" t="inlineStr">
        <is>
          <t xml:space="preserve">.   .   .   .   .   .   .   .   . </t>
        </is>
      </c>
      <c r="T170" s="6633" t="n">
        <v>10</v>
      </c>
      <c r="U170" s="7638" t="n"/>
      <c r="V170" s="8558" t="n"/>
      <c r="W170" s="11717" t="n"/>
      <c r="X170" s="11717" t="n"/>
      <c r="Y170" s="11717" t="n"/>
      <c r="Z170" s="11717" t="n"/>
      <c r="AA170" s="11717" t="n"/>
      <c r="AB170" s="11717" t="n"/>
      <c r="AC170" s="11718" t="n"/>
      <c r="AD170" s="12115" t="n"/>
      <c r="AE170" s="11717" t="n"/>
      <c r="AF170" s="11717" t="n"/>
      <c r="AG170" s="11717" t="n"/>
      <c r="AH170" s="11717" t="n"/>
      <c r="AI170" s="11718" t="n"/>
      <c r="AJ170" s="8559" t="n"/>
      <c r="AK170" s="11717" t="n"/>
      <c r="AL170" s="11717" t="n"/>
      <c r="AM170" s="11717" t="n"/>
      <c r="AN170" s="11717" t="n"/>
      <c r="AO170" s="11717" t="n"/>
      <c r="AP170" s="1277" t="n"/>
      <c r="BG170" s="769" t="n"/>
      <c r="BH170" s="658" t="n"/>
      <c r="BI170" s="658" t="n"/>
      <c r="BJ170" s="658" t="n"/>
      <c r="BK170" s="658" t="n"/>
      <c r="BL170" s="658" t="n"/>
      <c r="BM170" s="658" t="n"/>
      <c r="BN170" s="658" t="n"/>
      <c r="BO170" s="658" t="n"/>
      <c r="BP170" s="658" t="n"/>
    </row>
    <row r="171" ht="14.25" customHeight="1" s="7635">
      <c r="A171" s="1277" t="n"/>
      <c r="B171" s="8519" t="n">
        <v>11</v>
      </c>
      <c r="D171" s="2100" t="inlineStr">
        <is>
          <t>Management fees</t>
        </is>
      </c>
      <c r="E171" s="2126" t="n"/>
      <c r="F171" s="2126" t="n"/>
      <c r="G171" s="2126" t="n"/>
      <c r="H171" s="2126" t="n"/>
      <c r="I171" s="2126" t="n"/>
      <c r="J171" s="2126" t="n"/>
      <c r="K171" s="2126" t="n"/>
      <c r="L171" s="2126" t="n"/>
      <c r="M171" s="2126" t="n"/>
      <c r="N171" s="2126" t="n"/>
      <c r="O171" s="2126" t="n"/>
      <c r="P171" s="2126" t="n"/>
      <c r="Q171" s="2126" t="n"/>
      <c r="R171" s="2126" t="n"/>
      <c r="S171" s="2198" t="inlineStr">
        <is>
          <t xml:space="preserve">.   .   .   .   .   .   .   .   .   .   .   .   .   .   .   . </t>
        </is>
      </c>
      <c r="T171" s="6633" t="n">
        <v>11</v>
      </c>
      <c r="U171" s="7638" t="n"/>
      <c r="V171" s="8558" t="n"/>
      <c r="W171" s="11717" t="n"/>
      <c r="X171" s="11717" t="n"/>
      <c r="Y171" s="11717" t="n"/>
      <c r="Z171" s="11717" t="n"/>
      <c r="AA171" s="11717" t="n"/>
      <c r="AB171" s="11717" t="n"/>
      <c r="AC171" s="11718" t="n"/>
      <c r="AD171" s="12115" t="n"/>
      <c r="AE171" s="11717" t="n"/>
      <c r="AF171" s="11717" t="n"/>
      <c r="AG171" s="11717" t="n"/>
      <c r="AH171" s="11717" t="n"/>
      <c r="AI171" s="11718" t="n"/>
      <c r="AJ171" s="8559" t="n"/>
      <c r="AK171" s="11717" t="n"/>
      <c r="AL171" s="11717" t="n"/>
      <c r="AM171" s="11717" t="n"/>
      <c r="AN171" s="11717" t="n"/>
      <c r="AO171" s="11717" t="n"/>
      <c r="AP171" s="1277" t="n"/>
      <c r="BG171" s="769" t="n"/>
      <c r="BH171" s="658" t="n"/>
      <c r="BI171" s="658" t="n"/>
      <c r="BJ171" s="658" t="n"/>
      <c r="BK171" s="658" t="n"/>
      <c r="BL171" s="658" t="n"/>
      <c r="BM171" s="658" t="n"/>
      <c r="BN171" s="658" t="n"/>
      <c r="BO171" s="658" t="n"/>
      <c r="BP171" s="658" t="n"/>
    </row>
    <row r="172" ht="14.25" customHeight="1" s="7635">
      <c r="A172" s="1277" t="n"/>
      <c r="B172" s="8519" t="n">
        <v>12</v>
      </c>
      <c r="D172" s="2100" t="inlineStr">
        <is>
          <t>Mortgage interest paid to banks, etc. (see instructions)</t>
        </is>
      </c>
      <c r="E172" s="2126" t="n"/>
      <c r="F172" s="2126" t="n"/>
      <c r="G172" s="2126" t="n"/>
      <c r="H172" s="2126" t="n"/>
      <c r="I172" s="2126" t="n"/>
      <c r="J172" s="2126" t="n"/>
      <c r="K172" s="2126" t="n"/>
      <c r="L172" s="2126" t="n"/>
      <c r="M172" s="2126" t="n"/>
      <c r="N172" s="2126" t="n"/>
      <c r="O172" s="2126" t="n"/>
      <c r="P172" s="2126" t="n"/>
      <c r="Q172" s="2126" t="n"/>
      <c r="R172" s="2126" t="n"/>
      <c r="S172" s="4800" t="n"/>
      <c r="T172" s="6633" t="n">
        <v>12</v>
      </c>
      <c r="U172" s="7638" t="n"/>
      <c r="V172" s="8558" t="n"/>
      <c r="W172" s="11717" t="n"/>
      <c r="X172" s="11717" t="n"/>
      <c r="Y172" s="11717" t="n"/>
      <c r="Z172" s="11717" t="n"/>
      <c r="AA172" s="11717" t="n"/>
      <c r="AB172" s="11717" t="n"/>
      <c r="AC172" s="11718" t="n"/>
      <c r="AD172" s="12115" t="n"/>
      <c r="AE172" s="11717" t="n"/>
      <c r="AF172" s="11717" t="n"/>
      <c r="AG172" s="11717" t="n"/>
      <c r="AH172" s="11717" t="n"/>
      <c r="AI172" s="11718" t="n"/>
      <c r="AJ172" s="8559" t="n"/>
      <c r="AK172" s="11717" t="n"/>
      <c r="AL172" s="11717" t="n"/>
      <c r="AM172" s="11717" t="n"/>
      <c r="AN172" s="11717" t="n"/>
      <c r="AO172" s="11717" t="n"/>
      <c r="AP172" s="1277" t="n"/>
      <c r="BG172" s="769" t="n"/>
      <c r="BH172" s="658" t="n"/>
      <c r="BI172" s="658" t="n"/>
      <c r="BJ172" s="658" t="n"/>
      <c r="BK172" s="658" t="n"/>
      <c r="BL172" s="658" t="n"/>
      <c r="BM172" s="658" t="n"/>
      <c r="BN172" s="658" t="n"/>
      <c r="BO172" s="658" t="n"/>
      <c r="BP172" s="658" t="n"/>
    </row>
    <row r="173" ht="14.25" customHeight="1" s="7635">
      <c r="A173" s="1277" t="n"/>
      <c r="B173" s="8519" t="n">
        <v>13</v>
      </c>
      <c r="D173" s="2100" t="inlineStr">
        <is>
          <t>Other interest</t>
        </is>
      </c>
      <c r="E173" s="2126" t="n"/>
      <c r="F173" s="2126" t="n"/>
      <c r="G173" s="2126" t="n"/>
      <c r="H173" s="2126" t="n"/>
      <c r="I173" s="2126" t="n"/>
      <c r="J173" s="2126" t="n"/>
      <c r="K173" s="2126" t="n"/>
      <c r="L173" s="2126" t="n"/>
      <c r="M173" s="2126" t="n"/>
      <c r="N173" s="2126" t="n"/>
      <c r="O173" s="2126" t="n"/>
      <c r="P173" s="2126" t="n"/>
      <c r="Q173" s="2126" t="n"/>
      <c r="R173" s="2126" t="n"/>
      <c r="S173" s="2198" t="inlineStr">
        <is>
          <t xml:space="preserve">.   .   .   .   .   .   .   .   .   .   .   .   .   .   .   .   .   . </t>
        </is>
      </c>
      <c r="T173" s="6633" t="n">
        <v>13</v>
      </c>
      <c r="U173" s="7638" t="n"/>
      <c r="V173" s="8558" t="n"/>
      <c r="W173" s="11717" t="n"/>
      <c r="X173" s="11717" t="n"/>
      <c r="Y173" s="11717" t="n"/>
      <c r="Z173" s="11717" t="n"/>
      <c r="AA173" s="11717" t="n"/>
      <c r="AB173" s="11717" t="n"/>
      <c r="AC173" s="11718" t="n"/>
      <c r="AD173" s="12115" t="n"/>
      <c r="AE173" s="11717" t="n"/>
      <c r="AF173" s="11717" t="n"/>
      <c r="AG173" s="11717" t="n"/>
      <c r="AH173" s="11717" t="n"/>
      <c r="AI173" s="11718" t="n"/>
      <c r="AJ173" s="8559" t="n"/>
      <c r="AK173" s="11717" t="n"/>
      <c r="AL173" s="11717" t="n"/>
      <c r="AM173" s="11717" t="n"/>
      <c r="AN173" s="11717" t="n"/>
      <c r="AO173" s="11717" t="n"/>
      <c r="AP173" s="1277" t="n"/>
      <c r="BG173" s="769" t="n"/>
      <c r="BH173" s="658" t="n"/>
      <c r="BI173" s="658" t="n"/>
      <c r="BJ173" s="658" t="n"/>
      <c r="BK173" s="658" t="n"/>
      <c r="BL173" s="658" t="n"/>
      <c r="BM173" s="658" t="n"/>
      <c r="BN173" s="658" t="n"/>
      <c r="BO173" s="658" t="n"/>
      <c r="BP173" s="658" t="n"/>
    </row>
    <row r="174" ht="14.25" customHeight="1" s="7635">
      <c r="A174" s="1277" t="n"/>
      <c r="B174" s="8519" t="n">
        <v>14</v>
      </c>
      <c r="D174" s="2100" t="inlineStr">
        <is>
          <t>Repairs</t>
        </is>
      </c>
      <c r="E174" s="2126" t="n"/>
      <c r="F174" s="2126" t="n"/>
      <c r="G174" s="2126" t="n"/>
      <c r="H174" s="2126" t="n"/>
      <c r="I174" s="2126" t="n"/>
      <c r="J174" s="2126" t="n"/>
      <c r="K174" s="2126" t="n"/>
      <c r="L174" s="2126" t="n"/>
      <c r="M174" s="2126" t="n"/>
      <c r="N174" s="2126" t="n"/>
      <c r="O174" s="2126" t="n"/>
      <c r="P174" s="2126" t="n"/>
      <c r="Q174" s="2126" t="n"/>
      <c r="R174" s="2126" t="n"/>
      <c r="S174" s="2198" t="inlineStr">
        <is>
          <t xml:space="preserve">.   .   .   .   .   .   .   .   .   .   .   .   .   .   .   .   .   .   .   . </t>
        </is>
      </c>
      <c r="T174" s="6633" t="n">
        <v>14</v>
      </c>
      <c r="U174" s="7638" t="n"/>
      <c r="V174" s="8558" t="n"/>
      <c r="W174" s="11717" t="n"/>
      <c r="X174" s="11717" t="n"/>
      <c r="Y174" s="11717" t="n"/>
      <c r="Z174" s="11717" t="n"/>
      <c r="AA174" s="11717" t="n"/>
      <c r="AB174" s="11717" t="n"/>
      <c r="AC174" s="11718" t="n"/>
      <c r="AD174" s="12115" t="n"/>
      <c r="AE174" s="11717" t="n"/>
      <c r="AF174" s="11717" t="n"/>
      <c r="AG174" s="11717" t="n"/>
      <c r="AH174" s="11717" t="n"/>
      <c r="AI174" s="11718" t="n"/>
      <c r="AJ174" s="8559" t="n"/>
      <c r="AK174" s="11717" t="n"/>
      <c r="AL174" s="11717" t="n"/>
      <c r="AM174" s="11717" t="n"/>
      <c r="AN174" s="11717" t="n"/>
      <c r="AO174" s="11717" t="n"/>
      <c r="AP174" s="1277" t="n"/>
      <c r="BG174" s="769" t="n"/>
      <c r="BH174" s="658" t="n"/>
      <c r="BI174" s="658" t="n"/>
      <c r="BJ174" s="658" t="n"/>
      <c r="BK174" s="658" t="n"/>
      <c r="BL174" s="658" t="n"/>
      <c r="BM174" s="658" t="n"/>
      <c r="BN174" s="658" t="n"/>
      <c r="BO174" s="658" t="n"/>
      <c r="BP174" s="658" t="n"/>
    </row>
    <row r="175" ht="14.25" customHeight="1" s="7635">
      <c r="A175" s="1277" t="n"/>
      <c r="B175" s="8519" t="n">
        <v>15</v>
      </c>
      <c r="D175" s="2100" t="inlineStr">
        <is>
          <t>Supplies</t>
        </is>
      </c>
      <c r="E175" s="2126" t="n"/>
      <c r="F175" s="2126" t="n"/>
      <c r="G175" s="2126" t="n"/>
      <c r="H175" s="2126" t="n"/>
      <c r="I175" s="2126" t="n"/>
      <c r="J175" s="2126" t="n"/>
      <c r="K175" s="2126" t="n"/>
      <c r="L175" s="2126" t="n"/>
      <c r="M175" s="2126" t="n"/>
      <c r="N175" s="2126" t="n"/>
      <c r="O175" s="2126" t="n"/>
      <c r="P175" s="2126" t="n"/>
      <c r="Q175" s="2126" t="n"/>
      <c r="R175" s="2126" t="n"/>
      <c r="S175" s="2198" t="inlineStr">
        <is>
          <t xml:space="preserve">.   .   .   .   .   .   .   .   .   .   .   .   .   .   .   .   .   .   .   . </t>
        </is>
      </c>
      <c r="T175" s="6633" t="n">
        <v>15</v>
      </c>
      <c r="U175" s="7638" t="n"/>
      <c r="V175" s="8558" t="n"/>
      <c r="W175" s="11717" t="n"/>
      <c r="X175" s="11717" t="n"/>
      <c r="Y175" s="11717" t="n"/>
      <c r="Z175" s="11717" t="n"/>
      <c r="AA175" s="11717" t="n"/>
      <c r="AB175" s="11717" t="n"/>
      <c r="AC175" s="11718" t="n"/>
      <c r="AD175" s="12115" t="n"/>
      <c r="AE175" s="11717" t="n"/>
      <c r="AF175" s="11717" t="n"/>
      <c r="AG175" s="11717" t="n"/>
      <c r="AH175" s="11717" t="n"/>
      <c r="AI175" s="11718" t="n"/>
      <c r="AJ175" s="8559" t="n"/>
      <c r="AK175" s="11717" t="n"/>
      <c r="AL175" s="11717" t="n"/>
      <c r="AM175" s="11717" t="n"/>
      <c r="AN175" s="11717" t="n"/>
      <c r="AO175" s="11717" t="n"/>
      <c r="AP175" s="1277" t="n"/>
      <c r="BG175" s="769" t="n"/>
      <c r="BH175" s="658" t="n"/>
      <c r="BI175" s="658" t="n"/>
      <c r="BJ175" s="658" t="n"/>
      <c r="BK175" s="658" t="n"/>
      <c r="BL175" s="658" t="n"/>
      <c r="BM175" s="658" t="n"/>
      <c r="BN175" s="658" t="n"/>
      <c r="BO175" s="658" t="n"/>
      <c r="BP175" s="658" t="n"/>
    </row>
    <row r="176" ht="14.25" customHeight="1" s="7635">
      <c r="A176" s="1277" t="n"/>
      <c r="B176" s="8519" t="n">
        <v>16</v>
      </c>
      <c r="D176" s="2100" t="inlineStr">
        <is>
          <t>Taxes</t>
        </is>
      </c>
      <c r="E176" s="2126" t="n"/>
      <c r="F176" s="2126" t="n"/>
      <c r="G176" s="2126" t="n"/>
      <c r="H176" s="2126" t="n"/>
      <c r="I176" s="2126" t="n"/>
      <c r="J176" s="2126" t="n"/>
      <c r="K176" s="2126" t="n"/>
      <c r="L176" s="2126" t="n"/>
      <c r="M176" s="2126" t="n"/>
      <c r="N176" s="2126" t="n"/>
      <c r="O176" s="2126" t="n"/>
      <c r="P176" s="2126" t="n"/>
      <c r="Q176" s="2126" t="n"/>
      <c r="R176" s="2126" t="n"/>
      <c r="S176" s="2198" t="inlineStr">
        <is>
          <t xml:space="preserve">.   .   .   .   .   .   .   .   .   .   .   .   .   .   .   .   .   .   .   .   . </t>
        </is>
      </c>
      <c r="T176" s="6633" t="n">
        <v>16</v>
      </c>
      <c r="U176" s="7638" t="n"/>
      <c r="V176" s="8558" t="n"/>
      <c r="W176" s="11717" t="n"/>
      <c r="X176" s="11717" t="n"/>
      <c r="Y176" s="11717" t="n"/>
      <c r="Z176" s="11717" t="n"/>
      <c r="AA176" s="11717" t="n"/>
      <c r="AB176" s="11717" t="n"/>
      <c r="AC176" s="11718" t="n"/>
      <c r="AD176" s="12115" t="n"/>
      <c r="AE176" s="11717" t="n"/>
      <c r="AF176" s="11717" t="n"/>
      <c r="AG176" s="11717" t="n"/>
      <c r="AH176" s="11717" t="n"/>
      <c r="AI176" s="11718" t="n"/>
      <c r="AJ176" s="8559" t="n"/>
      <c r="AK176" s="11717" t="n"/>
      <c r="AL176" s="11717" t="n"/>
      <c r="AM176" s="11717" t="n"/>
      <c r="AN176" s="11717" t="n"/>
      <c r="AO176" s="11717" t="n"/>
      <c r="AP176" s="1277" t="n"/>
      <c r="BG176" s="769" t="n"/>
      <c r="BH176" s="658" t="n"/>
      <c r="BI176" s="658" t="n"/>
      <c r="BJ176" s="658" t="n"/>
      <c r="BK176" s="658" t="n"/>
      <c r="BL176" s="658" t="n"/>
      <c r="BM176" s="658" t="n"/>
      <c r="BN176" s="658" t="n"/>
      <c r="BO176" s="658" t="n"/>
      <c r="BP176" s="658" t="n"/>
    </row>
    <row r="177" ht="14.25" customHeight="1" s="7635">
      <c r="A177" s="1277" t="n"/>
      <c r="B177" s="8519" t="n">
        <v>17</v>
      </c>
      <c r="D177" s="2100" t="inlineStr">
        <is>
          <t>Utilities</t>
        </is>
      </c>
      <c r="E177" s="2126" t="n"/>
      <c r="F177" s="2126" t="n"/>
      <c r="G177" s="2126" t="n"/>
      <c r="H177" s="2126" t="n"/>
      <c r="I177" s="2126" t="n"/>
      <c r="J177" s="2126" t="n"/>
      <c r="K177" s="2126" t="n"/>
      <c r="L177" s="2126" t="n"/>
      <c r="M177" s="2126" t="n"/>
      <c r="N177" s="2126" t="n"/>
      <c r="O177" s="2126" t="n"/>
      <c r="P177" s="2126" t="n"/>
      <c r="Q177" s="2126" t="n"/>
      <c r="R177" s="2126" t="n"/>
      <c r="S177" s="2198" t="inlineStr">
        <is>
          <t xml:space="preserve">.   .   .   .   .   .   .   .   .   .   .   .   .   .   .   .   .   .   .   .   . </t>
        </is>
      </c>
      <c r="T177" s="6633" t="n">
        <v>17</v>
      </c>
      <c r="U177" s="7638" t="n"/>
      <c r="V177" s="8558" t="n"/>
      <c r="W177" s="11717" t="n"/>
      <c r="X177" s="11717" t="n"/>
      <c r="Y177" s="11717" t="n"/>
      <c r="Z177" s="11717" t="n"/>
      <c r="AA177" s="11717" t="n"/>
      <c r="AB177" s="11717" t="n"/>
      <c r="AC177" s="11718" t="n"/>
      <c r="AD177" s="12115" t="n"/>
      <c r="AE177" s="11717" t="n"/>
      <c r="AF177" s="11717" t="n"/>
      <c r="AG177" s="11717" t="n"/>
      <c r="AH177" s="11717" t="n"/>
      <c r="AI177" s="11718" t="n"/>
      <c r="AJ177" s="8559" t="n"/>
      <c r="AK177" s="11717" t="n"/>
      <c r="AL177" s="11717" t="n"/>
      <c r="AM177" s="11717" t="n"/>
      <c r="AN177" s="11717" t="n"/>
      <c r="AO177" s="11717" t="n"/>
      <c r="AP177" s="1277" t="n"/>
      <c r="AQ177" s="2875" t="n"/>
      <c r="AR177" s="2875" t="n"/>
      <c r="AS177" s="2875" t="n"/>
      <c r="AT177" s="2875" t="n"/>
      <c r="AU177" s="2875" t="n"/>
      <c r="BG177" s="769" t="n"/>
      <c r="BH177" s="658" t="n"/>
      <c r="BI177" s="658" t="n"/>
      <c r="BJ177" s="658" t="n"/>
      <c r="BK177" s="658" t="n"/>
      <c r="BL177" s="658" t="n"/>
      <c r="BM177" s="658" t="n"/>
      <c r="BN177" s="658" t="n"/>
      <c r="BO177" s="658" t="n"/>
      <c r="BP177" s="658" t="n"/>
    </row>
    <row r="178" ht="14.25" customHeight="1" s="7635">
      <c r="A178" s="1277" t="n"/>
      <c r="B178" s="8519" t="n">
        <v>18</v>
      </c>
      <c r="D178" s="2100" t="inlineStr">
        <is>
          <t>Depreciation expense or depletion</t>
        </is>
      </c>
      <c r="E178" s="2126" t="n"/>
      <c r="F178" s="2126" t="n"/>
      <c r="G178" s="2126" t="n"/>
      <c r="H178" s="2126" t="n"/>
      <c r="I178" s="2126" t="n"/>
      <c r="J178" s="2126" t="n"/>
      <c r="K178" s="2126" t="n"/>
      <c r="L178" s="2126" t="n"/>
      <c r="M178" s="2126" t="n"/>
      <c r="N178" s="2126" t="n"/>
      <c r="O178" s="2126" t="n"/>
      <c r="P178" s="2126" t="n"/>
      <c r="Q178" s="2126" t="n"/>
      <c r="R178" s="2126" t="n"/>
      <c r="S178" s="2198" t="inlineStr">
        <is>
          <t xml:space="preserve">.   .   .   .   .   .   .   .   . </t>
        </is>
      </c>
      <c r="T178" s="6633" t="n">
        <v>18</v>
      </c>
      <c r="U178" s="7638" t="n"/>
      <c r="V178" s="8558" t="n"/>
      <c r="W178" s="11717" t="n"/>
      <c r="X178" s="11717" t="n"/>
      <c r="Y178" s="11717" t="n"/>
      <c r="Z178" s="11717" t="n"/>
      <c r="AA178" s="11717" t="n"/>
      <c r="AB178" s="11717" t="n"/>
      <c r="AC178" s="11718" t="n"/>
      <c r="AD178" s="12115" t="n"/>
      <c r="AE178" s="11717" t="n"/>
      <c r="AF178" s="11717" t="n"/>
      <c r="AG178" s="11717" t="n"/>
      <c r="AH178" s="11717" t="n"/>
      <c r="AI178" s="11718" t="n"/>
      <c r="AJ178" s="8559" t="n"/>
      <c r="AK178" s="11717" t="n"/>
      <c r="AL178" s="11717" t="n"/>
      <c r="AM178" s="11717" t="n"/>
      <c r="AN178" s="11717" t="n"/>
      <c r="AO178" s="11717" t="n"/>
      <c r="AP178" s="1277" t="n"/>
      <c r="AQ178" s="2875" t="n"/>
      <c r="AR178" s="7642" t="inlineStr">
        <is>
          <t>Overrides</t>
        </is>
      </c>
      <c r="AU178" s="2875" t="n"/>
      <c r="BG178" s="769" t="n"/>
      <c r="BH178" s="658" t="n"/>
      <c r="BI178" s="658" t="n"/>
      <c r="BJ178" s="658" t="n"/>
      <c r="BK178" s="658" t="n"/>
      <c r="BL178" s="658" t="n"/>
      <c r="BM178" s="658" t="n"/>
      <c r="BN178" s="658" t="n"/>
      <c r="BO178" s="658" t="n"/>
      <c r="BP178" s="658" t="n"/>
    </row>
    <row r="179" ht="14.25" customHeight="1" s="7635">
      <c r="A179" s="1277" t="n"/>
      <c r="B179" s="8519" t="n">
        <v>19</v>
      </c>
      <c r="D179" s="2100" t="inlineStr">
        <is>
          <t>Other (list)</t>
        </is>
      </c>
      <c r="E179" s="2126" t="n"/>
      <c r="F179" s="2126" t="n"/>
      <c r="G179" s="2126" t="n"/>
      <c r="H179" s="8560" t="n"/>
      <c r="I179" s="11730" t="n"/>
      <c r="J179" s="11730" t="n"/>
      <c r="K179" s="11730" t="n"/>
      <c r="L179" s="11730" t="n"/>
      <c r="M179" s="11730" t="n"/>
      <c r="N179" s="11730" t="n"/>
      <c r="O179" s="11730" t="n"/>
      <c r="P179" s="11730" t="n"/>
      <c r="Q179" s="11730" t="n"/>
      <c r="R179" s="11730" t="n"/>
      <c r="S179" s="4800" t="n"/>
      <c r="T179" s="6633" t="n">
        <v>19</v>
      </c>
      <c r="U179" s="7638" t="n"/>
      <c r="V179" s="8558" t="n"/>
      <c r="W179" s="11717" t="n"/>
      <c r="X179" s="11717" t="n"/>
      <c r="Y179" s="11717" t="n"/>
      <c r="Z179" s="11717" t="n"/>
      <c r="AA179" s="11717" t="n"/>
      <c r="AB179" s="11717" t="n"/>
      <c r="AC179" s="11718" t="n"/>
      <c r="AD179" s="12115" t="n"/>
      <c r="AE179" s="11717" t="n"/>
      <c r="AF179" s="11717" t="n"/>
      <c r="AG179" s="11717" t="n"/>
      <c r="AH179" s="11717" t="n"/>
      <c r="AI179" s="11718" t="n"/>
      <c r="AJ179" s="8559" t="n"/>
      <c r="AK179" s="11717" t="n"/>
      <c r="AL179" s="11717" t="n"/>
      <c r="AM179" s="11717" t="n"/>
      <c r="AN179" s="11717" t="n"/>
      <c r="AO179" s="11717" t="n"/>
      <c r="AP179" s="1277" t="n"/>
      <c r="AQ179" s="2875" t="n"/>
      <c r="AR179" s="2875" t="n"/>
      <c r="AS179" s="2875" t="n"/>
      <c r="AT179" s="2875" t="n"/>
      <c r="AU179" s="2875" t="n"/>
      <c r="BG179" s="769" t="n"/>
      <c r="BH179" s="658" t="n"/>
      <c r="BI179" s="658" t="n"/>
      <c r="BJ179" s="658" t="n"/>
      <c r="BK179" s="658" t="n"/>
      <c r="BL179" s="658" t="n"/>
      <c r="BM179" s="658" t="n"/>
      <c r="BN179" s="658" t="n"/>
      <c r="BO179" s="658" t="n"/>
      <c r="BP179" s="658" t="n"/>
    </row>
    <row r="180" ht="14.25" customHeight="1" s="7635">
      <c r="A180" s="1277" t="n"/>
      <c r="B180" s="8519" t="n">
        <v>20</v>
      </c>
      <c r="D180" s="2100" t="inlineStr">
        <is>
          <t>Total expenses. Add lines 5 through 19</t>
        </is>
      </c>
      <c r="E180" s="2126" t="n"/>
      <c r="F180" s="2126" t="n"/>
      <c r="G180" s="2126" t="n"/>
      <c r="H180" s="2126" t="n"/>
      <c r="I180" s="2126" t="n"/>
      <c r="J180" s="2126" t="n"/>
      <c r="K180" s="2126" t="n"/>
      <c r="L180" s="2126" t="n"/>
      <c r="M180" s="2126" t="n"/>
      <c r="N180" s="2126" t="n"/>
      <c r="O180" s="2126" t="n"/>
      <c r="P180" s="2126" t="n"/>
      <c r="Q180" s="2126" t="n"/>
      <c r="R180" s="2126" t="n"/>
      <c r="S180" s="2198" t="inlineStr">
        <is>
          <t xml:space="preserve">.   .   .   .   .   .   . </t>
        </is>
      </c>
      <c r="T180" s="6633" t="n">
        <v>20</v>
      </c>
      <c r="U180" s="7638" t="n"/>
      <c r="V180" s="8535">
        <f>IF(AR180&lt;&gt;"",ROUND(AR180,0),ROUND(SUM(V165:AC179),0))</f>
        <v/>
      </c>
      <c r="W180" s="7637" t="n"/>
      <c r="X180" s="7637" t="n"/>
      <c r="Y180" s="7637" t="n"/>
      <c r="Z180" s="7637" t="n"/>
      <c r="AA180" s="7637" t="n"/>
      <c r="AB180" s="7637" t="n"/>
      <c r="AC180" s="7638" t="n"/>
      <c r="AD180" s="12116">
        <f>IF(AS180&lt;&gt;"",ROUND(AS180,0),ROUND(SUM(AD165:AI179),0))</f>
        <v/>
      </c>
      <c r="AE180" s="7637" t="n"/>
      <c r="AF180" s="7637" t="n"/>
      <c r="AG180" s="7637" t="n"/>
      <c r="AH180" s="7637" t="n"/>
      <c r="AI180" s="7638" t="n"/>
      <c r="AJ180" s="8551">
        <f>IF(AT180&lt;&gt;"",ROUND(AT180,0),ROUND(SUM(AJ165:AO179),0))</f>
        <v/>
      </c>
      <c r="AK180" s="8412" t="n"/>
      <c r="AL180" s="8412" t="n"/>
      <c r="AM180" s="8412" t="n"/>
      <c r="AN180" s="8412" t="n"/>
      <c r="AO180" s="8412" t="n"/>
      <c r="AP180" s="1277" t="n"/>
      <c r="AQ180" s="2875" t="n"/>
      <c r="AR180" s="777" t="n"/>
      <c r="AS180" s="777" t="n"/>
      <c r="AT180" s="777" t="n"/>
      <c r="AU180" s="2875" t="n"/>
      <c r="BG180" s="769" t="n"/>
      <c r="BH180" s="658" t="n"/>
      <c r="BI180" s="658" t="n"/>
      <c r="BJ180" s="658" t="n"/>
      <c r="BK180" s="658" t="n"/>
      <c r="BL180" s="658" t="n"/>
      <c r="BM180" s="658" t="n"/>
      <c r="BN180" s="658" t="n"/>
      <c r="BO180" s="658" t="n"/>
      <c r="BP180" s="658" t="n"/>
    </row>
    <row r="181" ht="14.25" customHeight="1" s="7635">
      <c r="A181" s="1277" t="n"/>
      <c r="B181" s="8519" t="n">
        <v>21</v>
      </c>
      <c r="D181" s="2100" t="inlineStr">
        <is>
          <t>Subtract line 20 from line 3 (rents) and/or 4 (royalties).</t>
        </is>
      </c>
      <c r="E181" s="2126" t="n"/>
      <c r="F181" s="2126" t="n"/>
      <c r="G181" s="2126" t="n"/>
      <c r="H181" s="2126" t="n"/>
      <c r="I181" s="2126" t="n"/>
      <c r="J181" s="2126" t="n"/>
      <c r="K181" s="2126" t="n"/>
      <c r="L181" s="2126" t="n"/>
      <c r="M181" s="2126" t="n"/>
      <c r="N181" s="2126" t="n"/>
      <c r="O181" s="2126" t="n"/>
      <c r="P181" s="2126" t="n"/>
      <c r="Q181" s="2126" t="n"/>
      <c r="R181" s="2126" t="n"/>
      <c r="S181" s="4800" t="n"/>
      <c r="T181" s="6643" t="n"/>
      <c r="U181" s="10091" t="n"/>
      <c r="V181" s="12117" t="n"/>
      <c r="W181" s="7839" t="n"/>
      <c r="X181" s="7839" t="n"/>
      <c r="Y181" s="7839" t="n"/>
      <c r="Z181" s="7839" t="n"/>
      <c r="AA181" s="7839" t="n"/>
      <c r="AB181" s="7839" t="n"/>
      <c r="AC181" s="10091" t="n"/>
      <c r="AD181" s="12117" t="n"/>
      <c r="AE181" s="7839" t="n"/>
      <c r="AF181" s="7839" t="n"/>
      <c r="AG181" s="7839" t="n"/>
      <c r="AH181" s="7839" t="n"/>
      <c r="AI181" s="10091" t="n"/>
      <c r="AJ181" s="8554" t="n"/>
      <c r="AK181" s="7839" t="n"/>
      <c r="AL181" s="7839" t="n"/>
      <c r="AM181" s="7839" t="n"/>
      <c r="AN181" s="7839" t="n"/>
      <c r="AO181" s="7839" t="n"/>
      <c r="AP181" s="1277" t="n"/>
      <c r="AQ181" s="2875" t="n"/>
      <c r="AR181" s="2875" t="n"/>
      <c r="AS181" s="2875" t="n"/>
      <c r="AT181" s="2875" t="n"/>
      <c r="AU181" s="2875" t="n"/>
      <c r="AX181" s="8043" t="n"/>
      <c r="AY181" s="12118" t="inlineStr">
        <is>
          <t>A</t>
        </is>
      </c>
      <c r="AZ181" s="11734" t="n"/>
      <c r="BA181" s="12118" t="inlineStr">
        <is>
          <t>B</t>
        </is>
      </c>
      <c r="BB181" s="11734" t="n"/>
      <c r="BC181" s="12118" t="inlineStr">
        <is>
          <t>C</t>
        </is>
      </c>
      <c r="BD181" s="11734" t="n"/>
      <c r="BG181" s="769" t="n"/>
      <c r="BH181" s="658" t="n"/>
      <c r="BI181" s="658" t="n"/>
      <c r="BJ181" s="658" t="n"/>
      <c r="BK181" s="658" t="n"/>
      <c r="BL181" s="658" t="n"/>
      <c r="BM181" s="658" t="n"/>
      <c r="BN181" s="658" t="n"/>
      <c r="BO181" s="658" t="n"/>
      <c r="BP181" s="658" t="n"/>
    </row>
    <row r="182" ht="14.25" customHeight="1" s="7635">
      <c r="A182" s="1277" t="n"/>
      <c r="B182" s="8519" t="n"/>
      <c r="D182" s="2100" t="inlineStr">
        <is>
          <t>If result is a (loss), see instructions to find out if you</t>
        </is>
      </c>
      <c r="E182" s="2126" t="n"/>
      <c r="F182" s="2126" t="n"/>
      <c r="G182" s="2126" t="n"/>
      <c r="H182" s="2126" t="n"/>
      <c r="I182" s="2126" t="n"/>
      <c r="J182" s="2126" t="n"/>
      <c r="K182" s="2126" t="n"/>
      <c r="L182" s="2126" t="n"/>
      <c r="M182" s="2126" t="n"/>
      <c r="N182" s="2126" t="n"/>
      <c r="O182" s="2126" t="n"/>
      <c r="P182" s="2126" t="n"/>
      <c r="Q182" s="2126" t="n"/>
      <c r="R182" s="2126" t="n"/>
      <c r="S182" s="4800" t="n"/>
      <c r="T182" s="6656" t="n"/>
      <c r="U182" s="7636" t="n"/>
      <c r="V182" s="12119" t="n"/>
      <c r="AC182" s="7636" t="n"/>
      <c r="AD182" s="12119" t="n"/>
      <c r="AI182" s="7636" t="n"/>
      <c r="AJ182" s="8548" t="n"/>
      <c r="AP182" s="1277" t="n"/>
      <c r="AQ182" s="2875" t="n"/>
      <c r="AR182" s="2875" t="n"/>
      <c r="AS182" s="2875" t="n"/>
      <c r="AT182" s="2875" t="n"/>
      <c r="AU182" s="2875" t="n"/>
      <c r="AX182" s="8043" t="n"/>
      <c r="AY182" s="250" t="inlineStr">
        <is>
          <t>Gains</t>
        </is>
      </c>
      <c r="AZ182" s="250" t="inlineStr">
        <is>
          <t>Losses</t>
        </is>
      </c>
      <c r="BA182" s="250" t="inlineStr">
        <is>
          <t>Gains</t>
        </is>
      </c>
      <c r="BB182" s="250" t="inlineStr">
        <is>
          <t>Losses</t>
        </is>
      </c>
      <c r="BC182" s="250" t="inlineStr">
        <is>
          <t>Gains</t>
        </is>
      </c>
      <c r="BD182" s="250" t="inlineStr">
        <is>
          <t>Losses</t>
        </is>
      </c>
      <c r="BG182" s="769" t="n"/>
      <c r="BH182" s="658" t="n"/>
      <c r="BI182" s="658" t="n"/>
      <c r="BJ182" s="658" t="n"/>
      <c r="BK182" s="658" t="n"/>
      <c r="BL182" s="658" t="n"/>
      <c r="BM182" s="658" t="n"/>
      <c r="BN182" s="658" t="n"/>
      <c r="BO182" s="658" t="n"/>
      <c r="BP182" s="658" t="n"/>
    </row>
    <row r="183" ht="14.25" customHeight="1" s="7635">
      <c r="A183" s="1277" t="n"/>
      <c r="B183" s="8519" t="n"/>
      <c r="D183" s="2100" t="inlineStr">
        <is>
          <t>must file Form 6198</t>
        </is>
      </c>
      <c r="E183" s="2126" t="n"/>
      <c r="F183" s="2126" t="n"/>
      <c r="G183" s="2126" t="n"/>
      <c r="H183" s="2126" t="n"/>
      <c r="I183" s="2126" t="n"/>
      <c r="J183" s="2126" t="n"/>
      <c r="K183" s="2126" t="n"/>
      <c r="L183" s="2126" t="n"/>
      <c r="M183" s="2126" t="n"/>
      <c r="N183" s="2126" t="n"/>
      <c r="O183" s="2126" t="n"/>
      <c r="P183" s="2126" t="n"/>
      <c r="Q183" s="2126" t="n"/>
      <c r="R183" s="2126" t="n"/>
      <c r="S183" s="2198" t="inlineStr">
        <is>
          <t xml:space="preserve">.   .   .   .   .   .   .   .   .   .   .   .   .   .   . </t>
        </is>
      </c>
      <c r="T183" s="6633" t="n">
        <v>21</v>
      </c>
      <c r="U183" s="7638" t="n"/>
      <c r="V183" s="12116">
        <f>IF(AR183&lt;&gt;"",ROUND(AR183,0),ROUND(SUM(V162,V163,-V180),0))</f>
        <v/>
      </c>
      <c r="W183" s="7637" t="n"/>
      <c r="X183" s="7637" t="n"/>
      <c r="Y183" s="7637" t="n"/>
      <c r="Z183" s="7637" t="n"/>
      <c r="AA183" s="7637" t="n"/>
      <c r="AB183" s="7637" t="n"/>
      <c r="AC183" s="7638" t="n"/>
      <c r="AD183" s="12116">
        <f>IF(AS183&lt;&gt;"",ROUND(AS183,0),ROUND(SUM(AD162,AD163,-AD180),0))</f>
        <v/>
      </c>
      <c r="AE183" s="7637" t="n"/>
      <c r="AF183" s="7637" t="n"/>
      <c r="AG183" s="7637" t="n"/>
      <c r="AH183" s="7637" t="n"/>
      <c r="AI183" s="7638" t="n"/>
      <c r="AJ183" s="8533">
        <f>IF(AT183&lt;&gt;"",ROUND(AT183,0),ROUND(SUM(AJ162,AJ163,-AJ180),0))</f>
        <v/>
      </c>
      <c r="AK183" s="7637" t="n"/>
      <c r="AL183" s="7637" t="n"/>
      <c r="AM183" s="7637" t="n"/>
      <c r="AN183" s="7637" t="n"/>
      <c r="AO183" s="7637" t="n"/>
      <c r="AP183" s="1277" t="n"/>
      <c r="AQ183" s="2875" t="n"/>
      <c r="AR183" s="777" t="n"/>
      <c r="AS183" s="777" t="n"/>
      <c r="AT183" s="777" t="n"/>
      <c r="AU183" s="2875" t="n"/>
      <c r="AX183" s="251" t="inlineStr">
        <is>
          <t>Line 21</t>
        </is>
      </c>
      <c r="AY183" s="249">
        <f>IF(V183&gt;0,V183,0)</f>
        <v/>
      </c>
      <c r="AZ183" s="249">
        <f>IF(V183&lt;0,V183,0)</f>
        <v/>
      </c>
      <c r="BA183" s="249">
        <f>IF(AD183&gt;0,AD183,0)</f>
        <v/>
      </c>
      <c r="BB183" s="249">
        <f>IF(AD183&lt;0,AD183,0)</f>
        <v/>
      </c>
      <c r="BC183" s="249">
        <f>IF(AJ183&gt;0,AJ183,0)</f>
        <v/>
      </c>
      <c r="BD183" s="249">
        <f>IF(AJ183&lt;0,AJ183,0)</f>
        <v/>
      </c>
      <c r="BG183" s="769" t="n"/>
      <c r="BH183" s="658" t="n"/>
      <c r="BI183" s="658" t="n"/>
      <c r="BJ183" s="658" t="n"/>
      <c r="BK183" s="658" t="n"/>
      <c r="BL183" s="658" t="n"/>
      <c r="BM183" s="658" t="n"/>
      <c r="BN183" s="658" t="n"/>
      <c r="BO183" s="658" t="n"/>
      <c r="BP183" s="658" t="n"/>
    </row>
    <row r="184" ht="14.25" customHeight="1" s="7635">
      <c r="A184" s="770" t="n"/>
      <c r="B184" s="8519" t="n">
        <v>22</v>
      </c>
      <c r="D184" s="2100" t="inlineStr">
        <is>
          <t>Deductible rental real estate loss after limitation, if any,</t>
        </is>
      </c>
      <c r="E184" s="2126" t="n"/>
      <c r="F184" s="2126" t="n"/>
      <c r="G184" s="2126" t="n"/>
      <c r="H184" s="2126" t="n"/>
      <c r="I184" s="2126" t="n"/>
      <c r="J184" s="2126" t="n"/>
      <c r="K184" s="2126" t="n"/>
      <c r="L184" s="2126" t="n"/>
      <c r="M184" s="2126" t="n"/>
      <c r="N184" s="2126" t="n"/>
      <c r="O184" s="2126" t="n"/>
      <c r="P184" s="2126" t="n"/>
      <c r="Q184" s="2126" t="n"/>
      <c r="R184" s="2126" t="n"/>
      <c r="S184" s="4800" t="n"/>
      <c r="T184" s="6656" t="n"/>
      <c r="U184" s="7636" t="n"/>
      <c r="V184" s="12120">
        <f>IF(AND(V183&lt;&gt;"",V183&lt;0,$A184="",$AS184,$AT184),"See Form 8582.","")</f>
        <v/>
      </c>
      <c r="AC184" s="7636" t="n"/>
      <c r="AD184" s="8542">
        <f>IF(AND(AD183&lt;&gt;"",AD183&lt;0,$A184="",$AS184,$AT184),"See Form 8582.","")</f>
        <v/>
      </c>
      <c r="AJ184" s="8542">
        <f>IF(AND(AJ183&lt;&gt;"",AJ183&lt;0,$A184="",$AS184,$AT184),"See Form 8582.","")</f>
        <v/>
      </c>
      <c r="AP184" s="1277" t="n"/>
      <c r="AQ184" s="2875" t="n"/>
      <c r="AR184" s="6549">
        <f>'8582'!$AO$33</f>
        <v/>
      </c>
      <c r="AS184" s="6549">
        <f>OR(AND(File_Marr_Sep&lt;&gt;"",LivedApart,Adj_Gross_Inc&gt;AR184/2),Adj_Gross_Inc&gt;AR184)</f>
        <v/>
      </c>
      <c r="AT184" s="6549">
        <f>OR(AND(V183&lt;&gt;"",V183&lt;0),AND(AD183&lt;&gt;"",AD183&lt;0),AND(AJ183&lt;&gt;"",AJ183&lt;0))</f>
        <v/>
      </c>
      <c r="AU184" s="2875" t="n"/>
      <c r="AV184">
        <f>AND($A184="",$AS184,$AT184)</f>
        <v/>
      </c>
      <c r="AX184" s="251" t="inlineStr">
        <is>
          <t>Line 22</t>
        </is>
      </c>
      <c r="AY184" s="4810" t="inlineStr">
        <is>
          <t>---</t>
        </is>
      </c>
      <c r="AZ184" s="249">
        <f>IF(W185&lt;&gt;"",-W185,0)</f>
        <v/>
      </c>
      <c r="BA184" s="4810" t="inlineStr">
        <is>
          <t>---</t>
        </is>
      </c>
      <c r="BB184" s="249">
        <f>IF(AE185&lt;&gt;"",-AE185,0)</f>
        <v/>
      </c>
      <c r="BC184" s="4810" t="inlineStr">
        <is>
          <t>---</t>
        </is>
      </c>
      <c r="BD184" s="249">
        <f>IF(AK185&lt;&gt;"",-AK185,0)</f>
        <v/>
      </c>
      <c r="BG184" s="769" t="n"/>
      <c r="BH184" s="658" t="n"/>
      <c r="BI184" s="658" t="n"/>
      <c r="BJ184" s="658" t="n"/>
      <c r="BK184" s="658" t="n"/>
      <c r="BL184" s="658" t="n"/>
      <c r="BM184" s="658" t="n"/>
      <c r="BN184" s="658" t="n"/>
      <c r="BO184" s="658" t="n"/>
      <c r="BP184" s="658" t="n"/>
    </row>
    <row r="185" ht="14.25" customHeight="1" s="7635">
      <c r="A185" s="1277" t="n"/>
      <c r="B185" s="8519" t="n"/>
      <c r="D185" s="2100" t="inlineStr">
        <is>
          <t>on Form 8582 (see instructions)</t>
        </is>
      </c>
      <c r="E185" s="2126" t="n"/>
      <c r="F185" s="2126" t="n"/>
      <c r="G185" s="2126" t="n"/>
      <c r="H185" s="2126" t="n"/>
      <c r="I185" s="2126" t="n"/>
      <c r="J185" s="2126" t="n"/>
      <c r="K185" s="2126" t="n"/>
      <c r="L185" s="2126" t="n"/>
      <c r="M185" s="2126" t="n"/>
      <c r="N185" s="2126" t="n"/>
      <c r="O185" s="2126" t="n"/>
      <c r="P185" s="2126" t="n"/>
      <c r="Q185" s="2126" t="n"/>
      <c r="R185" s="2126" t="n"/>
      <c r="S185" s="2198" t="inlineStr">
        <is>
          <t xml:space="preserve">.   .   .   .   .   .   .   .   .   . </t>
        </is>
      </c>
      <c r="T185" s="6633" t="n">
        <v>22</v>
      </c>
      <c r="U185" s="7638" t="n"/>
      <c r="V185" s="4811" t="inlineStr">
        <is>
          <t>(</t>
        </is>
      </c>
      <c r="W185" s="8534">
        <f>IF(AND(AR185&lt;0,AR185&lt;&gt;""),-ROUND(AR185,0),IF(AND(AR185&gt;=0,AR185&lt;&gt;""),ROUND(AR185,0),IF(AND(D153&lt;&gt;6,V183&lt;0),ROUND(-V183,0),"")))</f>
        <v/>
      </c>
      <c r="X185" s="7637" t="n"/>
      <c r="Y185" s="7637" t="n"/>
      <c r="Z185" s="7637" t="n"/>
      <c r="AA185" s="7637" t="n"/>
      <c r="AB185" s="7637" t="n"/>
      <c r="AC185" s="8535" t="inlineStr">
        <is>
          <t>)</t>
        </is>
      </c>
      <c r="AD185" s="4811" t="inlineStr">
        <is>
          <t>(</t>
        </is>
      </c>
      <c r="AE185" s="8534">
        <f>IF(AND(AS185&lt;0,AS185&lt;&gt;""),-ROUND(AS185,0),IF(AND(AS185&gt;=0,AS185&lt;&gt;""),ROUND(AS185,0),IF(AND(D154&lt;&gt;6,AD183&lt;0),ROUND(-AD183,0),"")))</f>
        <v/>
      </c>
      <c r="AF185" s="7637" t="n"/>
      <c r="AG185" s="7637" t="n"/>
      <c r="AH185" s="7637" t="n"/>
      <c r="AI185" s="8535" t="inlineStr">
        <is>
          <t>)</t>
        </is>
      </c>
      <c r="AJ185" s="4811" t="inlineStr">
        <is>
          <t>(</t>
        </is>
      </c>
      <c r="AK185" s="8534">
        <f>IF(AND(AT185&lt;0,AT185&lt;&gt;""),-ROUND(AT185,0),IF(AND(AT185&gt;=0,AT185&lt;&gt;""),ROUND(AT185,0),IF(AND(D155&lt;&gt;6,AJ183&lt;0),ROUND(-AJ183,0),"")))</f>
        <v/>
      </c>
      <c r="AL185" s="7637" t="n"/>
      <c r="AM185" s="7637" t="n"/>
      <c r="AN185" s="7637" t="n"/>
      <c r="AO185" s="8534" t="inlineStr">
        <is>
          <t>)</t>
        </is>
      </c>
      <c r="AP185" s="1277" t="n"/>
      <c r="AQ185" s="2875" t="n"/>
      <c r="AR185" s="777" t="n"/>
      <c r="AS185" s="777" t="n"/>
      <c r="AT185" s="777" t="n"/>
      <c r="AU185" s="2875" t="n"/>
      <c r="AV185">
        <f>AND($A184="",$AS184,$AT184)</f>
        <v/>
      </c>
      <c r="AX185" s="251" t="n"/>
      <c r="AY185" s="251" t="inlineStr">
        <is>
          <t>Royalty losses</t>
        </is>
      </c>
      <c r="AZ185" s="249">
        <f>IF(D153=6,AZ183,0)</f>
        <v/>
      </c>
      <c r="BB185" s="249">
        <f>IF(D154=6,BB183,0)</f>
        <v/>
      </c>
      <c r="BD185" s="249">
        <f>IF(D155=6,BD183,0)</f>
        <v/>
      </c>
      <c r="BG185" s="769" t="n"/>
      <c r="BH185" s="658" t="n"/>
      <c r="BI185" s="658" t="n"/>
      <c r="BJ185" s="658" t="n"/>
      <c r="BK185" s="658" t="n"/>
      <c r="BL185" s="658" t="n"/>
      <c r="BM185" s="658" t="n"/>
      <c r="BN185" s="658" t="n"/>
      <c r="BO185" s="658" t="n"/>
      <c r="BP185" s="658" t="n"/>
    </row>
    <row r="186" ht="14.25" customHeight="1" s="7635">
      <c r="A186" s="1277" t="n"/>
      <c r="B186" s="8519" t="inlineStr">
        <is>
          <t>23a</t>
        </is>
      </c>
      <c r="D186" s="2100" t="inlineStr">
        <is>
          <t>Total of all amounts reported on line 3 for all rental properties</t>
        </is>
      </c>
      <c r="E186" s="2126" t="n"/>
      <c r="F186" s="2126" t="n"/>
      <c r="G186" s="2126" t="n"/>
      <c r="H186" s="2126" t="n"/>
      <c r="I186" s="2126" t="n"/>
      <c r="J186" s="2126" t="n"/>
      <c r="K186" s="2126" t="n"/>
      <c r="L186" s="2126" t="n"/>
      <c r="M186" s="2126" t="n"/>
      <c r="N186" s="2126" t="n"/>
      <c r="O186" s="2126" t="n"/>
      <c r="P186" s="2126" t="n"/>
      <c r="Q186" s="2126" t="n"/>
      <c r="R186" s="2126" t="n"/>
      <c r="S186" s="2126" t="n"/>
      <c r="T186" s="2126" t="n"/>
      <c r="U186" s="2126" t="n"/>
      <c r="V186" s="2126" t="n"/>
      <c r="W186" s="2126" t="n"/>
      <c r="X186" s="2126" t="n"/>
      <c r="Y186" s="2126" t="n"/>
      <c r="Z186" s="2126" t="n"/>
      <c r="AA186" s="2198" t="inlineStr">
        <is>
          <t xml:space="preserve">.   .   .   .   .   .   .   . </t>
        </is>
      </c>
      <c r="AB186" s="6634" t="inlineStr">
        <is>
          <t>23a</t>
        </is>
      </c>
      <c r="AC186" s="11734" t="n"/>
      <c r="AD186" s="12116">
        <f>IF(AR186&lt;&gt;"",ROUND(AR186,0),ROUND(BC156,0))</f>
        <v/>
      </c>
      <c r="AE186" s="7637" t="n"/>
      <c r="AF186" s="7637" t="n"/>
      <c r="AG186" s="7637" t="n"/>
      <c r="AH186" s="7637" t="n"/>
      <c r="AI186" s="7638" t="n"/>
      <c r="AJ186" s="1277" t="n"/>
      <c r="AK186" s="1277" t="n"/>
      <c r="AL186" s="1277" t="n"/>
      <c r="AM186" s="1277" t="n"/>
      <c r="AN186" s="1277" t="n"/>
      <c r="AO186" s="1277" t="n"/>
      <c r="AP186" s="1277" t="n"/>
      <c r="AQ186" s="2875" t="n"/>
      <c r="AR186" s="777" t="n"/>
      <c r="AS186" s="2875" t="n"/>
      <c r="AT186" s="2875" t="n"/>
      <c r="AU186" s="2875" t="n"/>
      <c r="AX186" s="8043" t="n"/>
      <c r="AY186" s="251" t="inlineStr">
        <is>
          <t>Rental Real Estate Losses</t>
        </is>
      </c>
      <c r="AZ186" s="249">
        <f>IF(D153&lt;&gt;6,AZ183,0)</f>
        <v/>
      </c>
      <c r="BB186" s="249">
        <f>IF(D154&lt;&gt;6,BB183,0)</f>
        <v/>
      </c>
      <c r="BD186" s="249">
        <f>IF(D155&lt;&gt;6,BD183,0)</f>
        <v/>
      </c>
      <c r="BG186" s="769" t="n"/>
      <c r="BH186" s="658" t="n"/>
      <c r="BI186" s="658" t="n"/>
      <c r="BJ186" s="658" t="n"/>
      <c r="BK186" s="658" t="n"/>
      <c r="BL186" s="658" t="n"/>
      <c r="BM186" s="658" t="n"/>
      <c r="BN186" s="658" t="n"/>
      <c r="BO186" s="658" t="n"/>
      <c r="BP186" s="658" t="n"/>
    </row>
    <row r="187" ht="14.25" customHeight="1" s="7635">
      <c r="A187" s="1277" t="n"/>
      <c r="B187" s="8531" t="inlineStr">
        <is>
          <t>b</t>
        </is>
      </c>
      <c r="D187" s="2100" t="inlineStr">
        <is>
          <t>Total of all amounts reported on line 4 for all royalty properties</t>
        </is>
      </c>
      <c r="E187" s="2126" t="n"/>
      <c r="F187" s="2126" t="n"/>
      <c r="G187" s="2126" t="n"/>
      <c r="H187" s="2126" t="n"/>
      <c r="I187" s="2126" t="n"/>
      <c r="J187" s="2126" t="n"/>
      <c r="K187" s="2126" t="n"/>
      <c r="L187" s="2126" t="n"/>
      <c r="M187" s="2126" t="n"/>
      <c r="N187" s="2126" t="n"/>
      <c r="O187" s="2126" t="n"/>
      <c r="P187" s="2126" t="n"/>
      <c r="Q187" s="2126" t="n"/>
      <c r="R187" s="2126" t="n"/>
      <c r="S187" s="2126" t="n"/>
      <c r="T187" s="2126" t="n"/>
      <c r="U187" s="2126" t="n"/>
      <c r="V187" s="2126" t="n"/>
      <c r="W187" s="2126" t="n"/>
      <c r="X187" s="2126" t="n"/>
      <c r="Y187" s="2126" t="n"/>
      <c r="Z187" s="2126" t="n"/>
      <c r="AA187" s="2198" t="inlineStr">
        <is>
          <t xml:space="preserve">.   .   .   .   .   .   . </t>
        </is>
      </c>
      <c r="AB187" s="6634" t="inlineStr">
        <is>
          <t>23b</t>
        </is>
      </c>
      <c r="AC187" s="11734" t="n"/>
      <c r="AD187" s="12116">
        <f>IF(AR187&lt;&gt;"",ROUND(AR187,0),ROUND(BC157,0))</f>
        <v/>
      </c>
      <c r="AE187" s="7637" t="n"/>
      <c r="AF187" s="7637" t="n"/>
      <c r="AG187" s="7637" t="n"/>
      <c r="AH187" s="7637" t="n"/>
      <c r="AI187" s="7638" t="n"/>
      <c r="AJ187" s="1277" t="n"/>
      <c r="AK187" s="1277" t="n"/>
      <c r="AL187" s="1277" t="n"/>
      <c r="AM187" s="1277" t="n"/>
      <c r="AN187" s="1277" t="n"/>
      <c r="AO187" s="1277" t="n"/>
      <c r="AP187" s="1277" t="n"/>
      <c r="AQ187" s="2875" t="n"/>
      <c r="AR187" s="777" t="n"/>
      <c r="AS187" s="2875" t="n"/>
      <c r="AT187" s="2875" t="n"/>
      <c r="AU187" s="2875" t="n"/>
      <c r="BG187" s="769" t="n"/>
      <c r="BH187" s="658" t="n"/>
      <c r="BI187" s="658" t="n"/>
      <c r="BJ187" s="658" t="n"/>
      <c r="BK187" s="658" t="n"/>
      <c r="BL187" s="658" t="n"/>
      <c r="BM187" s="658" t="n"/>
      <c r="BN187" s="658" t="n"/>
      <c r="BO187" s="658" t="n"/>
      <c r="BP187" s="658" t="n"/>
    </row>
    <row r="188" ht="14.25" customHeight="1" s="7635">
      <c r="A188" s="1277" t="n"/>
      <c r="B188" s="8531" t="inlineStr">
        <is>
          <t>c</t>
        </is>
      </c>
      <c r="D188" s="2100" t="inlineStr">
        <is>
          <t>Total of all amounts reported on line 12 for all properties</t>
        </is>
      </c>
      <c r="E188" s="2126" t="n"/>
      <c r="F188" s="2126" t="n"/>
      <c r="G188" s="2126" t="n"/>
      <c r="H188" s="2126" t="n"/>
      <c r="I188" s="2126" t="n"/>
      <c r="J188" s="2126" t="n"/>
      <c r="K188" s="2126" t="n"/>
      <c r="L188" s="2126" t="n"/>
      <c r="M188" s="2126" t="n"/>
      <c r="N188" s="2126" t="n"/>
      <c r="O188" s="2126" t="n"/>
      <c r="P188" s="2126" t="n"/>
      <c r="Q188" s="2126" t="n"/>
      <c r="R188" s="2126" t="n"/>
      <c r="S188" s="2126" t="n"/>
      <c r="T188" s="2126" t="n"/>
      <c r="U188" s="2126" t="n"/>
      <c r="V188" s="2126" t="n"/>
      <c r="W188" s="2126" t="n"/>
      <c r="X188" s="2126" t="n"/>
      <c r="Y188" s="2126" t="n"/>
      <c r="Z188" s="2126" t="n"/>
      <c r="AA188" s="2198" t="inlineStr">
        <is>
          <t xml:space="preserve">.   .   .   .   .   .   .   .   .   . </t>
        </is>
      </c>
      <c r="AB188" s="6634" t="inlineStr">
        <is>
          <t>23c</t>
        </is>
      </c>
      <c r="AC188" s="11734" t="n"/>
      <c r="AD188" s="12116">
        <f>IF(AR188&lt;&gt;"",ROUND(AR188,0),ROUND(SUM(V172,AD172,AJ172),0))</f>
        <v/>
      </c>
      <c r="AE188" s="7637" t="n"/>
      <c r="AF188" s="7637" t="n"/>
      <c r="AG188" s="7637" t="n"/>
      <c r="AH188" s="7637" t="n"/>
      <c r="AI188" s="7638" t="n"/>
      <c r="AJ188" s="1277" t="n"/>
      <c r="AK188" s="1277" t="n"/>
      <c r="AL188" s="1277" t="n"/>
      <c r="AM188" s="1277" t="n"/>
      <c r="AN188" s="1277" t="n"/>
      <c r="AO188" s="1277" t="n"/>
      <c r="AP188" s="1277" t="n"/>
      <c r="AQ188" s="2875" t="n"/>
      <c r="AR188" s="777" t="n"/>
      <c r="AS188" s="2875" t="n"/>
      <c r="AT188" s="2875" t="n"/>
      <c r="AU188" s="2875" t="n"/>
      <c r="BG188" s="769" t="n"/>
      <c r="BH188" s="658" t="n"/>
      <c r="BI188" s="658" t="n"/>
      <c r="BJ188" s="658" t="n"/>
      <c r="BK188" s="658" t="n"/>
      <c r="BL188" s="658" t="n"/>
      <c r="BM188" s="658" t="n"/>
      <c r="BN188" s="658" t="n"/>
      <c r="BO188" s="658" t="n"/>
      <c r="BP188" s="658" t="n"/>
    </row>
    <row r="189" ht="14.25" customHeight="1" s="7635">
      <c r="A189" s="1277" t="n"/>
      <c r="B189" s="8531" t="inlineStr">
        <is>
          <t>d</t>
        </is>
      </c>
      <c r="D189" s="2100" t="inlineStr">
        <is>
          <t>Total of all amounts reported on line 18 for all properties</t>
        </is>
      </c>
      <c r="E189" s="2126" t="n"/>
      <c r="F189" s="2126" t="n"/>
      <c r="G189" s="2126" t="n"/>
      <c r="H189" s="2126" t="n"/>
      <c r="I189" s="2126" t="n"/>
      <c r="J189" s="2126" t="n"/>
      <c r="K189" s="2126" t="n"/>
      <c r="L189" s="2126" t="n"/>
      <c r="M189" s="2126" t="n"/>
      <c r="N189" s="2126" t="n"/>
      <c r="O189" s="2126" t="n"/>
      <c r="P189" s="2126" t="n"/>
      <c r="Q189" s="2126" t="n"/>
      <c r="R189" s="2126" t="n"/>
      <c r="S189" s="2126" t="n"/>
      <c r="T189" s="2126" t="n"/>
      <c r="U189" s="2126" t="n"/>
      <c r="V189" s="2126" t="n"/>
      <c r="W189" s="2126" t="n"/>
      <c r="X189" s="2126" t="n"/>
      <c r="Y189" s="2126" t="n"/>
      <c r="Z189" s="2126" t="n"/>
      <c r="AA189" s="2198" t="inlineStr">
        <is>
          <t xml:space="preserve">.   .   .   .   .   .   .   .   .   . </t>
        </is>
      </c>
      <c r="AB189" s="6634" t="inlineStr">
        <is>
          <t>23d</t>
        </is>
      </c>
      <c r="AC189" s="11734" t="n"/>
      <c r="AD189" s="12116">
        <f>IF(AR189&lt;&gt;"",ROUND(AR189,0),ROUND(SUM(V178,AD178,AJ178),0))</f>
        <v/>
      </c>
      <c r="AE189" s="7637" t="n"/>
      <c r="AF189" s="7637" t="n"/>
      <c r="AG189" s="7637" t="n"/>
      <c r="AH189" s="7637" t="n"/>
      <c r="AI189" s="7638" t="n"/>
      <c r="AJ189" s="1277" t="n"/>
      <c r="AK189" s="1277" t="n"/>
      <c r="AL189" s="1277" t="n"/>
      <c r="AM189" s="1277" t="n"/>
      <c r="AN189" s="1277" t="n"/>
      <c r="AO189" s="1277" t="n"/>
      <c r="AP189" s="1277" t="n"/>
      <c r="AQ189" s="2875" t="n"/>
      <c r="AR189" s="777" t="n"/>
      <c r="AS189" s="2875" t="n"/>
      <c r="AT189" s="2875" t="n"/>
      <c r="AU189" s="2875" t="n"/>
      <c r="BG189" s="769" t="n"/>
      <c r="BH189" s="658" t="n"/>
      <c r="BI189" s="658" t="n"/>
      <c r="BJ189" s="658" t="n"/>
      <c r="BK189" s="658" t="n"/>
      <c r="BL189" s="658" t="n"/>
      <c r="BM189" s="658" t="n"/>
      <c r="BN189" s="658" t="n"/>
      <c r="BO189" s="658" t="n"/>
      <c r="BP189" s="658" t="n"/>
    </row>
    <row r="190" ht="14.25" customHeight="1" s="7635">
      <c r="A190" s="1277" t="n"/>
      <c r="B190" s="8531" t="inlineStr">
        <is>
          <t>e</t>
        </is>
      </c>
      <c r="D190" s="2100" t="inlineStr">
        <is>
          <t>Total of all amounts reported on line 20 for all properties</t>
        </is>
      </c>
      <c r="E190" s="2126" t="n"/>
      <c r="F190" s="2126" t="n"/>
      <c r="G190" s="2126" t="n"/>
      <c r="H190" s="2126" t="n"/>
      <c r="I190" s="2126" t="n"/>
      <c r="J190" s="2126" t="n"/>
      <c r="K190" s="2126" t="n"/>
      <c r="L190" s="2126" t="n"/>
      <c r="M190" s="2126" t="n"/>
      <c r="N190" s="2126" t="n"/>
      <c r="O190" s="2126" t="n"/>
      <c r="P190" s="2126" t="n"/>
      <c r="Q190" s="2126" t="n"/>
      <c r="R190" s="2126" t="n"/>
      <c r="S190" s="2126" t="n"/>
      <c r="T190" s="2126" t="n"/>
      <c r="U190" s="2126" t="n"/>
      <c r="V190" s="2126" t="n"/>
      <c r="W190" s="2126" t="n"/>
      <c r="X190" s="2126" t="n"/>
      <c r="Y190" s="2126" t="n"/>
      <c r="Z190" s="2126" t="n"/>
      <c r="AA190" s="2198" t="inlineStr">
        <is>
          <t xml:space="preserve">.   .   .   .   .   .   .   .   .   . </t>
        </is>
      </c>
      <c r="AB190" s="6634" t="inlineStr">
        <is>
          <t>23e</t>
        </is>
      </c>
      <c r="AC190" s="11734" t="n"/>
      <c r="AD190" s="12116">
        <f>IF(AR190&lt;&gt;"",ROUND(AR190,0),ROUND(SUM(V180,AD180,AJ180),0))</f>
        <v/>
      </c>
      <c r="AE190" s="7637" t="n"/>
      <c r="AF190" s="7637" t="n"/>
      <c r="AG190" s="7637" t="n"/>
      <c r="AH190" s="7637" t="n"/>
      <c r="AI190" s="7638" t="n"/>
      <c r="AJ190" s="1277" t="n"/>
      <c r="AK190" s="1277" t="n"/>
      <c r="AL190" s="1277" t="n"/>
      <c r="AM190" s="1277" t="n"/>
      <c r="AN190" s="1277" t="n"/>
      <c r="AO190" s="1277" t="n"/>
      <c r="AP190" s="1277" t="n"/>
      <c r="AQ190" s="2875" t="n"/>
      <c r="AR190" s="777" t="n"/>
      <c r="AS190" s="2875" t="n"/>
      <c r="AT190" s="2875" t="n"/>
      <c r="AU190" s="2875" t="n"/>
      <c r="BG190" s="769" t="n"/>
      <c r="BH190" s="658" t="n"/>
      <c r="BI190" s="658" t="n"/>
      <c r="BJ190" s="658" t="n"/>
      <c r="BK190" s="658" t="n"/>
      <c r="BL190" s="658" t="n"/>
      <c r="BM190" s="658" t="n"/>
      <c r="BN190" s="658" t="n"/>
      <c r="BO190" s="658" t="n"/>
      <c r="BP190" s="658" t="n"/>
    </row>
    <row r="191" ht="14.25" customHeight="1" s="7635">
      <c r="A191" s="1277" t="n"/>
      <c r="B191" s="8519" t="n">
        <v>24</v>
      </c>
      <c r="D191" s="2100" t="inlineStr">
        <is>
          <t>Income. Add positive amounts shown on line 21. Do not include any losses</t>
        </is>
      </c>
      <c r="E191" s="2126" t="n"/>
      <c r="F191" s="2126" t="n"/>
      <c r="G191" s="2126" t="n"/>
      <c r="H191" s="2126" t="n"/>
      <c r="I191" s="2126" t="n"/>
      <c r="J191" s="2126" t="n"/>
      <c r="K191" s="2126" t="n"/>
      <c r="L191" s="2126" t="n"/>
      <c r="M191" s="2126" t="n"/>
      <c r="N191" s="2126" t="n"/>
      <c r="O191" s="2126" t="n"/>
      <c r="P191" s="2126" t="n"/>
      <c r="Q191" s="2126" t="n"/>
      <c r="R191" s="2126" t="n"/>
      <c r="S191" s="2126" t="n"/>
      <c r="T191" s="2126" t="n"/>
      <c r="U191" s="2126" t="n"/>
      <c r="V191" s="2126" t="n"/>
      <c r="W191" s="2126" t="n"/>
      <c r="X191" s="2126" t="n"/>
      <c r="Y191" s="2126" t="n"/>
      <c r="Z191" s="2126" t="n"/>
      <c r="AA191" s="2126" t="n"/>
      <c r="AB191" s="2126" t="n"/>
      <c r="AC191" s="2126" t="n"/>
      <c r="AD191" s="2126" t="n"/>
      <c r="AE191" s="2126" t="n"/>
      <c r="AF191" s="2126" t="n"/>
      <c r="AG191" s="2198" t="inlineStr">
        <is>
          <t xml:space="preserve">.   .   .   .   .   .   .   .   .   .   . </t>
        </is>
      </c>
      <c r="AH191" s="6633" t="n">
        <v>24</v>
      </c>
      <c r="AI191" s="7638" t="n"/>
      <c r="AJ191" s="8538">
        <f>IF(AR191&lt;&gt;"",ROUND(AR191,0),ROUND(SUM(AY183,BA183,BC183),0))</f>
        <v/>
      </c>
      <c r="AK191" s="8412" t="n"/>
      <c r="AL191" s="8412" t="n"/>
      <c r="AM191" s="8412" t="n"/>
      <c r="AN191" s="8412" t="n"/>
      <c r="AO191" s="8412" t="n"/>
      <c r="AP191" s="1277" t="n"/>
      <c r="AQ191" s="2875" t="n"/>
      <c r="AR191" s="777" t="n"/>
      <c r="AS191" s="2875" t="n"/>
      <c r="AT191" s="2875" t="n"/>
      <c r="AU191" s="2875" t="n"/>
      <c r="BG191" s="769" t="n"/>
      <c r="BH191" s="658" t="n"/>
      <c r="BI191" s="658" t="n"/>
      <c r="BJ191" s="658" t="n"/>
      <c r="BK191" s="658" t="n"/>
      <c r="BL191" s="658" t="n"/>
      <c r="BM191" s="658" t="n"/>
      <c r="BN191" s="658" t="n"/>
      <c r="BO191" s="658" t="n"/>
      <c r="BP191" s="658" t="n"/>
    </row>
    <row r="192" ht="14.25" customHeight="1" s="7635">
      <c r="A192" s="1277" t="n"/>
      <c r="B192" s="8519" t="n">
        <v>25</v>
      </c>
      <c r="D192" s="4812" t="inlineStr">
        <is>
          <t>Losses. Add royalty losses from line 21 and rental real estate losses from line 22. Enter total losses here</t>
        </is>
      </c>
      <c r="E192" s="2126" t="n"/>
      <c r="F192" s="2126" t="n"/>
      <c r="G192" s="2126" t="n"/>
      <c r="H192" s="2126" t="n"/>
      <c r="I192" s="2126" t="n"/>
      <c r="J192" s="2126" t="n"/>
      <c r="K192" s="2126" t="n"/>
      <c r="L192" s="2126" t="n"/>
      <c r="M192" s="2126" t="n"/>
      <c r="N192" s="2126" t="n"/>
      <c r="O192" s="2126" t="n"/>
      <c r="P192" s="2126" t="n"/>
      <c r="Q192" s="2126" t="n"/>
      <c r="R192" s="2126" t="n"/>
      <c r="S192" s="2126" t="n"/>
      <c r="T192" s="2126" t="n"/>
      <c r="U192" s="2126" t="n"/>
      <c r="V192" s="2126" t="n"/>
      <c r="W192" s="2126" t="n"/>
      <c r="X192" s="2126" t="n"/>
      <c r="Y192" s="2126" t="n"/>
      <c r="Z192" s="2126" t="n"/>
      <c r="AA192" s="2126" t="n"/>
      <c r="AB192" s="2126" t="n"/>
      <c r="AC192" s="2126" t="n"/>
      <c r="AD192" s="2126" t="n"/>
      <c r="AE192" s="2126" t="n"/>
      <c r="AF192" s="2126" t="n"/>
      <c r="AG192" s="2126" t="n"/>
      <c r="AH192" s="6634" t="n">
        <v>25</v>
      </c>
      <c r="AI192" s="11734" t="n"/>
      <c r="AJ192" s="8551" t="inlineStr">
        <is>
          <t>(</t>
        </is>
      </c>
      <c r="AK192" s="8522">
        <f>-AK193</f>
        <v/>
      </c>
      <c r="AL192" s="8412" t="n"/>
      <c r="AM192" s="8412" t="n"/>
      <c r="AN192" s="8412" t="n"/>
      <c r="AO192" s="8522" t="inlineStr">
        <is>
          <t>)</t>
        </is>
      </c>
      <c r="AP192" s="1277" t="n"/>
      <c r="AQ192" s="2875" t="n"/>
      <c r="AR192" s="777" t="n"/>
      <c r="AS192" s="2875" t="n"/>
      <c r="AT192" s="2875" t="n"/>
      <c r="AU192" s="2875" t="n"/>
      <c r="BG192" s="769" t="n"/>
      <c r="BH192" s="658" t="n"/>
      <c r="BI192" s="658" t="n"/>
      <c r="BJ192" s="658" t="n"/>
      <c r="BK192" s="658" t="n"/>
      <c r="BL192" s="658" t="n"/>
      <c r="BM192" s="658" t="n"/>
      <c r="BN192" s="658" t="n"/>
      <c r="BO192" s="658" t="n"/>
      <c r="BP192" s="658" t="n"/>
    </row>
    <row r="193" ht="14.25" customHeight="1" s="7635">
      <c r="A193" s="1277" t="n"/>
      <c r="B193" s="8519" t="n">
        <v>26</v>
      </c>
      <c r="D193" s="2100" t="inlineStr">
        <is>
          <t>Total rental real estate and royalty income or (loss). Combine lines 24 and 25. Enter the result</t>
        </is>
      </c>
      <c r="E193" s="2126" t="n"/>
      <c r="F193" s="2126" t="n"/>
      <c r="G193" s="2126" t="n"/>
      <c r="H193" s="2126" t="n"/>
      <c r="I193" s="2126" t="n"/>
      <c r="J193" s="2126" t="n"/>
      <c r="K193" s="2126" t="n"/>
      <c r="L193" s="2126" t="n"/>
      <c r="M193" s="2126" t="n"/>
      <c r="N193" s="2126" t="n"/>
      <c r="O193" s="2126" t="n"/>
      <c r="P193" s="2126" t="n"/>
      <c r="Q193" s="2126" t="n"/>
      <c r="R193" s="2126" t="n"/>
      <c r="S193" s="2126" t="n"/>
      <c r="T193" s="9988" t="n"/>
      <c r="U193" s="9988" t="n"/>
      <c r="V193" s="8549" t="n"/>
      <c r="W193" s="8549" t="n"/>
      <c r="X193" s="8549" t="n"/>
      <c r="Y193" s="8549" t="n"/>
      <c r="Z193" s="8549" t="n"/>
      <c r="AA193" s="8549" t="n"/>
      <c r="AB193" s="8549" t="n"/>
      <c r="AC193" s="8549" t="n"/>
      <c r="AD193" s="8549" t="n"/>
      <c r="AE193" s="8549" t="n"/>
      <c r="AF193" s="8549" t="n"/>
      <c r="AG193" s="8549" t="n"/>
      <c r="AH193" s="8554" t="n"/>
      <c r="AI193" s="8556" t="n"/>
      <c r="AJ193" s="8549" t="n"/>
      <c r="AK193" s="8530">
        <f>IF(AND(AR192&lt;&gt;"",AR192&gt;=0),-ROUND(AR192,0),IF(AND(AR192&lt;&gt;"",AR192&lt;0),ROUND(AR192,0),SUM(AZ184,AZ185,BB184,BB185,BD184,BD185)))</f>
        <v/>
      </c>
      <c r="AL193" s="7839" t="n"/>
      <c r="AM193" s="7839" t="n"/>
      <c r="AN193" s="7839" t="n"/>
      <c r="AO193" s="8549" t="n"/>
      <c r="AP193" s="1277" t="n"/>
      <c r="AQ193" s="2875" t="n"/>
      <c r="AR193" s="2875" t="n"/>
      <c r="AS193" s="2875" t="n"/>
      <c r="AT193" s="2875" t="n"/>
      <c r="AU193" s="2875" t="n"/>
      <c r="BG193" s="769" t="n"/>
      <c r="BH193" s="658" t="n"/>
      <c r="BI193" s="658" t="n"/>
      <c r="BJ193" s="658" t="n"/>
      <c r="BK193" s="658" t="n"/>
      <c r="BL193" s="658" t="n"/>
      <c r="BM193" s="658" t="n"/>
      <c r="BN193" s="658" t="n"/>
      <c r="BO193" s="658" t="n"/>
      <c r="BP193" s="658" t="n"/>
    </row>
    <row r="194" ht="14.25" customHeight="1" s="7635">
      <c r="A194" s="1277" t="n"/>
      <c r="B194" s="8519" t="n"/>
      <c r="D194" s="2100" t="inlineStr">
        <is>
          <t>here. If Parts II, III, IV, and line 40 on page 2 do not apply to you, also enter this amount on</t>
        </is>
      </c>
      <c r="E194" s="2126" t="n"/>
      <c r="F194" s="2126" t="n"/>
      <c r="G194" s="2126" t="n"/>
      <c r="H194" s="2126" t="n"/>
      <c r="I194" s="2126" t="n"/>
      <c r="J194" s="2126" t="n"/>
      <c r="K194" s="2126" t="n"/>
      <c r="L194" s="2126" t="n"/>
      <c r="M194" s="2126" t="n"/>
      <c r="N194" s="2126" t="n"/>
      <c r="O194" s="2126" t="n"/>
      <c r="P194" s="2126" t="n"/>
      <c r="Q194" s="2126" t="n"/>
      <c r="R194" s="2126" t="n"/>
      <c r="S194" s="2126" t="n"/>
      <c r="T194" s="9988" t="n"/>
      <c r="U194" s="9988" t="n"/>
      <c r="V194" s="8549" t="n"/>
      <c r="W194" s="8549" t="n"/>
      <c r="X194" s="8549" t="n"/>
      <c r="Y194" s="8549" t="n"/>
      <c r="Z194" s="8549" t="n"/>
      <c r="AA194" s="8549" t="n"/>
      <c r="AB194" s="8549" t="n"/>
      <c r="AC194" s="8549" t="n"/>
      <c r="AD194" s="8549" t="n"/>
      <c r="AE194" s="8549" t="n"/>
      <c r="AF194" s="8549" t="n"/>
      <c r="AG194" s="8549" t="n"/>
      <c r="AH194" s="8548" t="n"/>
      <c r="AI194" s="8550" t="n"/>
      <c r="AJ194" s="8549" t="n"/>
      <c r="AK194" s="8549" t="n"/>
      <c r="AL194" s="8549" t="n"/>
      <c r="AM194" s="8549" t="n"/>
      <c r="AN194" s="8549" t="n"/>
      <c r="AO194" s="8549" t="n"/>
      <c r="AP194" s="1277" t="n"/>
      <c r="AQ194" s="2875" t="n"/>
      <c r="AR194" s="2875" t="n"/>
      <c r="AS194" s="2875" t="n"/>
      <c r="AT194" s="2875" t="n"/>
      <c r="AU194" s="2875" t="n"/>
      <c r="BG194" s="769" t="n"/>
      <c r="BH194" s="658" t="n"/>
      <c r="BI194" s="658" t="n"/>
      <c r="BJ194" s="658" t="n"/>
      <c r="BK194" s="658" t="n"/>
      <c r="BL194" s="658" t="n"/>
      <c r="BM194" s="658" t="n"/>
      <c r="BN194" s="658" t="n"/>
      <c r="BO194" s="658" t="n"/>
      <c r="BP194" s="658" t="n"/>
    </row>
    <row r="195" ht="14.25" customHeight="1" s="7635" thickBot="1">
      <c r="A195" s="1277" t="n"/>
      <c r="B195" s="4813" t="n"/>
      <c r="C195" s="4814" t="n"/>
      <c r="D195" s="4815" t="inlineStr">
        <is>
          <t>Schedule 1 (Form 1040), line 5. Otherwise, include this amount in the total on line 41 on page 2</t>
        </is>
      </c>
      <c r="E195" s="4816" t="n"/>
      <c r="F195" s="4816" t="n"/>
      <c r="G195" s="4816" t="n"/>
      <c r="H195" s="4816" t="n"/>
      <c r="I195" s="4816" t="n"/>
      <c r="J195" s="4816" t="n"/>
      <c r="K195" s="4816" t="n"/>
      <c r="L195" s="4816" t="n"/>
      <c r="M195" s="4816" t="n"/>
      <c r="N195" s="4816" t="n"/>
      <c r="O195" s="4816" t="n"/>
      <c r="P195" s="4816" t="n"/>
      <c r="Q195" s="4816" t="n"/>
      <c r="R195" s="4816" t="n"/>
      <c r="S195" s="4816" t="n"/>
      <c r="T195" s="4816" t="n"/>
      <c r="U195" s="4816" t="n"/>
      <c r="V195" s="4816" t="n"/>
      <c r="W195" s="4816" t="n"/>
      <c r="X195" s="4816" t="n"/>
      <c r="Y195" s="4816" t="n"/>
      <c r="Z195" s="4816" t="n"/>
      <c r="AA195" s="4816" t="n"/>
      <c r="AB195" s="4817" t="n"/>
      <c r="AC195" s="4817" t="n"/>
      <c r="AD195" s="4818" t="n"/>
      <c r="AE195" s="4818" t="n"/>
      <c r="AF195" s="4818" t="n"/>
      <c r="AG195" s="4533" t="inlineStr">
        <is>
          <t xml:space="preserve">.   . </t>
        </is>
      </c>
      <c r="AH195" s="6644" t="n">
        <v>26</v>
      </c>
      <c r="AI195" s="12121" t="n"/>
      <c r="AJ195" s="8526">
        <f>IF(AR195&lt;&gt;"",ROUND(AR195,0),SUM(AJ191,AK193))</f>
        <v/>
      </c>
      <c r="AK195" s="8848" t="n"/>
      <c r="AL195" s="8848" t="n"/>
      <c r="AM195" s="8848" t="n"/>
      <c r="AN195" s="8848" t="n"/>
      <c r="AO195" s="8848" t="n"/>
      <c r="AP195" s="1277" t="n"/>
      <c r="AQ195" s="2875" t="n"/>
      <c r="AR195" s="776" t="n"/>
      <c r="AS195" s="2875" t="n"/>
      <c r="AT195" s="2875" t="n"/>
      <c r="AU195" s="2875" t="n"/>
      <c r="BG195" s="769" t="n"/>
      <c r="BH195" s="658" t="n"/>
      <c r="BI195" s="658" t="n"/>
      <c r="BJ195" s="658" t="n"/>
      <c r="BK195" s="658" t="n"/>
      <c r="BL195" s="658" t="n"/>
      <c r="BM195" s="658" t="n"/>
      <c r="BN195" s="658" t="n"/>
      <c r="BO195" s="658" t="n"/>
      <c r="BP195" s="658" t="n"/>
    </row>
    <row r="196" ht="14.25" customHeight="1" s="7635">
      <c r="A196" s="1277" t="n"/>
      <c r="B196" s="4819" t="inlineStr">
        <is>
          <t>For Paperwork Reduction Act Notice, see the separate instructions.</t>
        </is>
      </c>
      <c r="C196" s="4820" t="n"/>
      <c r="D196" s="2100" t="n"/>
      <c r="E196" s="2126" t="n"/>
      <c r="F196" s="2126" t="n"/>
      <c r="G196" s="2126" t="n"/>
      <c r="H196" s="2126" t="n"/>
      <c r="I196" s="2126" t="n"/>
      <c r="J196" s="2126" t="n"/>
      <c r="K196" s="2126" t="n"/>
      <c r="L196" s="2126" t="n"/>
      <c r="M196" s="2126" t="n"/>
      <c r="N196" s="2126" t="n"/>
      <c r="O196" s="2126" t="n"/>
      <c r="P196" s="2126" t="n"/>
      <c r="Q196" s="2126" t="n"/>
      <c r="R196" s="2126" t="n"/>
      <c r="S196" s="2126" t="n"/>
      <c r="T196" s="2126" t="n"/>
      <c r="U196" s="2126" t="n"/>
      <c r="V196" s="2126" t="n"/>
      <c r="W196" s="2126" t="n"/>
      <c r="X196" s="2126" t="n"/>
      <c r="Y196" s="2126" t="inlineStr">
        <is>
          <t>Cat. No. 11344L</t>
        </is>
      </c>
      <c r="Z196" s="2126" t="n"/>
      <c r="AA196" s="2126" t="n"/>
      <c r="AB196" s="9988" t="n"/>
      <c r="AC196" s="9988" t="n"/>
      <c r="AD196" s="8549" t="n"/>
      <c r="AE196" s="8549" t="n"/>
      <c r="AF196" s="8549" t="n"/>
      <c r="AG196" s="8549" t="n"/>
      <c r="AH196" s="8549" t="n"/>
      <c r="AI196" s="8549" t="n"/>
      <c r="AJ196" s="11602" t="n"/>
      <c r="AK196" s="1401">
        <f>"Schedule E (Form 1040) "&amp;TaxYear</f>
        <v/>
      </c>
      <c r="AL196" s="11602" t="n"/>
      <c r="AM196" s="11602" t="n"/>
      <c r="AN196" s="11602" t="n"/>
      <c r="AO196" s="1061" t="inlineStr">
        <is>
          <t>Created 5/6/25</t>
        </is>
      </c>
      <c r="AP196" s="1277" t="n"/>
      <c r="AQ196" s="2875" t="n"/>
      <c r="AR196" s="2875" t="n"/>
      <c r="AS196" s="2875" t="n"/>
      <c r="AT196" s="2875" t="n"/>
      <c r="AU196" s="2875" t="n"/>
      <c r="BG196" s="769" t="n"/>
      <c r="BH196" s="658" t="n"/>
      <c r="BI196" s="658" t="n"/>
      <c r="BJ196" s="658" t="n"/>
      <c r="BK196" s="658" t="n"/>
      <c r="BL196" s="658" t="n"/>
      <c r="BM196" s="658" t="n"/>
      <c r="BN196" s="658" t="n"/>
      <c r="BO196" s="658" t="n"/>
      <c r="BP196" s="658" t="n"/>
    </row>
    <row r="197" ht="21" customHeight="1" s="7635">
      <c r="A197" s="1277" t="n"/>
      <c r="B197" s="462">
        <f>"Schedule E (Form 1040) "&amp;TaxYear</f>
        <v/>
      </c>
      <c r="C197" s="413" t="n"/>
      <c r="D197" s="413" t="n"/>
      <c r="E197" s="413" t="n"/>
      <c r="F197" s="413" t="n"/>
      <c r="G197" s="413" t="n"/>
      <c r="H197" s="413" t="n"/>
      <c r="I197" s="4821" t="n"/>
      <c r="J197" s="413" t="n"/>
      <c r="K197" s="413" t="n"/>
      <c r="L197" s="413" t="n"/>
      <c r="M197" s="413" t="n"/>
      <c r="N197" s="413" t="n"/>
      <c r="O197" s="413" t="n"/>
      <c r="P197" s="4822" t="n"/>
      <c r="Q197" s="413" t="n"/>
      <c r="R197" s="413" t="n"/>
      <c r="S197" s="413" t="n"/>
      <c r="T197" s="413" t="n"/>
      <c r="U197" s="413" t="n"/>
      <c r="V197" s="413" t="n"/>
      <c r="W197" s="413" t="n"/>
      <c r="X197" s="413" t="n"/>
      <c r="Y197" s="413" t="n"/>
      <c r="Z197" s="413" t="n"/>
      <c r="AA197" s="462" t="inlineStr">
        <is>
          <t>Attachment Sequence No.</t>
        </is>
      </c>
      <c r="AB197" s="413" t="n"/>
      <c r="AC197" s="413" t="n"/>
      <c r="AD197" s="413" t="n"/>
      <c r="AE197" s="413" t="n"/>
      <c r="AF197" s="413" t="n"/>
      <c r="AG197" s="2009" t="n">
        <v>13</v>
      </c>
      <c r="AH197" s="413" t="n"/>
      <c r="AI197" s="413" t="n"/>
      <c r="AJ197" s="413" t="n"/>
      <c r="AK197" s="413" t="n"/>
      <c r="AL197" s="413" t="n"/>
      <c r="AM197" s="413" t="n"/>
      <c r="AN197" s="413" t="n"/>
      <c r="AO197" s="4823" t="inlineStr">
        <is>
          <t>Page 2</t>
        </is>
      </c>
      <c r="AP197" s="1277" t="n"/>
      <c r="BG197" s="769" t="n"/>
      <c r="BH197" s="658" t="n"/>
      <c r="BI197" s="658" t="n"/>
      <c r="BJ197" s="658" t="n"/>
      <c r="BK197" s="658" t="n"/>
      <c r="BL197" s="658" t="n"/>
      <c r="BM197" s="658" t="n"/>
      <c r="BN197" s="658" t="n"/>
      <c r="BO197" s="658" t="n"/>
      <c r="BP197" s="658" t="n"/>
    </row>
    <row r="198" ht="12.75" customHeight="1" s="7635">
      <c r="A198" s="1277" t="n"/>
      <c r="B198" s="7299" t="inlineStr">
        <is>
          <t>Name(s) shown on return.</t>
        </is>
      </c>
      <c r="C198" s="7299" t="n"/>
      <c r="D198" s="7299" t="n"/>
      <c r="E198" s="7299" t="n"/>
      <c r="F198" s="7299" t="n"/>
      <c r="G198" s="7299" t="n"/>
      <c r="H198" s="7299" t="inlineStr">
        <is>
          <t>Do not enter name and social security number if shown on other side.</t>
        </is>
      </c>
      <c r="I198" s="11602" t="n"/>
      <c r="J198" s="11602" t="n"/>
      <c r="K198" s="11602" t="n"/>
      <c r="L198" s="11602" t="n"/>
      <c r="M198" s="11602" t="n"/>
      <c r="N198" s="11602" t="n"/>
      <c r="O198" s="11602" t="n"/>
      <c r="P198" s="11602" t="n"/>
      <c r="Q198" s="11602" t="n"/>
      <c r="R198" s="11602" t="n"/>
      <c r="S198" s="11602" t="n"/>
      <c r="T198" s="11602" t="n"/>
      <c r="U198" s="11602" t="n"/>
      <c r="V198" s="11602" t="n"/>
      <c r="W198" s="11602" t="n"/>
      <c r="X198" s="11602" t="n"/>
      <c r="Y198" s="11602" t="n"/>
      <c r="Z198" s="11602" t="n"/>
      <c r="AA198" s="11602" t="n"/>
      <c r="AB198" s="11602" t="n"/>
      <c r="AC198" s="11602" t="n"/>
      <c r="AD198" s="11602" t="n"/>
      <c r="AE198" s="11602" t="n"/>
      <c r="AF198" s="8528" t="inlineStr">
        <is>
          <t>Your social security number</t>
        </is>
      </c>
      <c r="AG198" s="7839" t="n"/>
      <c r="AH198" s="7839" t="n"/>
      <c r="AI198" s="7839" t="n"/>
      <c r="AJ198" s="7839" t="n"/>
      <c r="AK198" s="7839" t="n"/>
      <c r="AL198" s="7839" t="n"/>
      <c r="AM198" s="7839" t="n"/>
      <c r="AN198" s="7839" t="n"/>
      <c r="AO198" s="7839" t="n"/>
      <c r="AP198" s="1277" t="n"/>
      <c r="AR198" s="7834">
        <f>OR(AND(AF199&lt;&gt;"",AF199=AG140),AND(B140&lt;&gt;"",B199&lt;&gt;""))</f>
        <v/>
      </c>
      <c r="BG198" s="769" t="n"/>
      <c r="BH198" s="658" t="n"/>
      <c r="BI198" s="658" t="n"/>
      <c r="BJ198" s="658" t="n"/>
      <c r="BK198" s="658" t="n"/>
      <c r="BL198" s="658" t="n"/>
      <c r="BM198" s="658" t="n"/>
      <c r="BN198" s="658" t="n"/>
      <c r="BO198" s="658" t="n"/>
      <c r="BP198" s="658" t="n"/>
    </row>
    <row r="199" ht="16.5" customHeight="1" s="7635">
      <c r="A199" s="1277" t="n"/>
      <c r="B199" s="8509" t="n"/>
      <c r="C199" s="11717" t="n"/>
      <c r="D199" s="11717" t="n"/>
      <c r="E199" s="11717" t="n"/>
      <c r="F199" s="11717" t="n"/>
      <c r="G199" s="11717" t="n"/>
      <c r="H199" s="11717" t="n"/>
      <c r="I199" s="11717" t="n"/>
      <c r="J199" s="11717" t="n"/>
      <c r="K199" s="11717" t="n"/>
      <c r="L199" s="11717" t="n"/>
      <c r="M199" s="11717" t="n"/>
      <c r="N199" s="11717" t="n"/>
      <c r="O199" s="11717" t="n"/>
      <c r="P199" s="11717" t="n"/>
      <c r="Q199" s="11717" t="n"/>
      <c r="R199" s="11717" t="n"/>
      <c r="S199" s="11717" t="n"/>
      <c r="T199" s="11717" t="n"/>
      <c r="U199" s="11717" t="n"/>
      <c r="V199" s="11717" t="n"/>
      <c r="W199" s="11717" t="n"/>
      <c r="X199" s="11717" t="n"/>
      <c r="Y199" s="11717" t="n"/>
      <c r="Z199" s="11717" t="n"/>
      <c r="AA199" s="11717" t="n"/>
      <c r="AB199" s="11717" t="n"/>
      <c r="AC199" s="11717" t="n"/>
      <c r="AD199" s="11717" t="n"/>
      <c r="AE199" s="11718" t="n"/>
      <c r="AF199" s="11720" t="n"/>
      <c r="AG199" s="11717" t="n"/>
      <c r="AH199" s="11717" t="n"/>
      <c r="AI199" s="11717" t="n"/>
      <c r="AJ199" s="11717" t="n"/>
      <c r="AK199" s="11717" t="n"/>
      <c r="AL199" s="11717" t="n"/>
      <c r="AM199" s="11717" t="n"/>
      <c r="AN199" s="11717" t="n"/>
      <c r="AO199" s="11717" t="n"/>
      <c r="AP199" s="770" t="n"/>
      <c r="AQ199" s="9864">
        <f>IF($AR198,"Hide emphasis.","")</f>
        <v/>
      </c>
      <c r="AR199" s="9864" t="n"/>
      <c r="BG199" s="769" t="n"/>
      <c r="BH199" s="658" t="n"/>
      <c r="BI199" s="658" t="n"/>
      <c r="BJ199" s="658" t="n"/>
      <c r="BK199" s="658" t="n"/>
      <c r="BL199" s="658" t="n"/>
      <c r="BM199" s="658" t="n"/>
      <c r="BN199" s="658" t="n"/>
      <c r="BO199" s="658" t="n"/>
      <c r="BP199" s="658" t="n"/>
    </row>
    <row r="200" ht="15" customHeight="1" s="7635">
      <c r="A200" s="1277" t="n"/>
      <c r="B200" s="8650" t="inlineStr">
        <is>
          <t>Caution: The IRS compares amounts reported on your tax return with amounts shown on Schedule(s) K-1.</t>
        </is>
      </c>
      <c r="C200" s="11602" t="n"/>
      <c r="D200" s="11602" t="n"/>
      <c r="E200" s="11602" t="n"/>
      <c r="F200" s="11602" t="n"/>
      <c r="G200" s="11602" t="n"/>
      <c r="H200" s="11602" t="n"/>
      <c r="I200" s="11602" t="n"/>
      <c r="J200" s="11602" t="n"/>
      <c r="K200" s="11602" t="n"/>
      <c r="L200" s="11602" t="n"/>
      <c r="M200" s="11602" t="n"/>
      <c r="N200" s="11602" t="n"/>
      <c r="O200" s="11602" t="n"/>
      <c r="P200" s="11602" t="n"/>
      <c r="Q200" s="11602" t="n"/>
      <c r="R200" s="11602" t="n"/>
      <c r="S200" s="11602" t="n"/>
      <c r="T200" s="11602" t="n"/>
      <c r="U200" s="11602" t="n"/>
      <c r="V200" s="11602" t="n"/>
      <c r="W200" s="11602" t="n"/>
      <c r="X200" s="11602" t="n"/>
      <c r="Y200" s="11602" t="n"/>
      <c r="Z200" s="11602" t="n"/>
      <c r="AA200" s="11602" t="n"/>
      <c r="AB200" s="11602" t="n"/>
      <c r="AC200" s="11602" t="n"/>
      <c r="AD200" s="11602" t="n"/>
      <c r="AE200" s="11602" t="n"/>
      <c r="AF200" s="11602" t="n"/>
      <c r="AG200" s="11602" t="n"/>
      <c r="AH200" s="11602" t="n"/>
      <c r="AI200" s="11602" t="n"/>
      <c r="AJ200" s="11602" t="n"/>
      <c r="AK200" s="11602" t="n"/>
      <c r="AL200" s="11602" t="n"/>
      <c r="AM200" s="11602" t="n"/>
      <c r="AN200" s="11602" t="n"/>
      <c r="AO200" s="11602" t="n"/>
      <c r="AP200" s="1277" t="n"/>
      <c r="BG200" s="769" t="n"/>
      <c r="BH200" s="658" t="n"/>
      <c r="BI200" s="658" t="n"/>
      <c r="BJ200" s="658" t="n"/>
      <c r="BK200" s="658" t="n"/>
      <c r="BL200" s="658" t="n"/>
      <c r="BM200" s="658" t="n"/>
      <c r="BN200" s="658" t="n"/>
      <c r="BO200" s="658" t="n"/>
      <c r="BP200" s="658" t="n"/>
    </row>
    <row r="201" ht="17.25" customFormat="1" customHeight="1" s="1405">
      <c r="A201" s="2119" t="n"/>
      <c r="B201" s="8410" t="inlineStr">
        <is>
          <t>Part II</t>
        </is>
      </c>
      <c r="C201" s="8412" t="n"/>
      <c r="D201" s="8412" t="n"/>
      <c r="E201" s="2761" t="n"/>
      <c r="F201" s="4758" t="inlineStr">
        <is>
          <t>Income or Loss From Partnerships and S Corporations</t>
        </is>
      </c>
      <c r="G201" s="2761" t="n"/>
      <c r="H201" s="2761" t="n"/>
      <c r="I201" s="2761" t="n"/>
      <c r="J201" s="2761" t="n"/>
      <c r="K201" s="2761" t="n"/>
      <c r="L201" s="2761" t="n"/>
      <c r="M201" s="2761" t="n"/>
      <c r="N201" s="2761" t="n"/>
      <c r="O201" s="2761" t="n"/>
      <c r="P201" s="2761" t="n"/>
      <c r="Q201" s="2761" t="n"/>
      <c r="R201" s="2761" t="n"/>
      <c r="S201" s="2761" t="n"/>
      <c r="T201" s="2761" t="n"/>
      <c r="U201" s="2761" t="n"/>
      <c r="V201" s="2761" t="n"/>
      <c r="W201" s="2761" t="n"/>
      <c r="X201" s="2354" t="n"/>
      <c r="Y201" s="2761" t="n"/>
      <c r="Z201" s="2761" t="n"/>
      <c r="AA201" s="2761" t="n"/>
      <c r="AB201" s="2761" t="n"/>
      <c r="AC201" s="2761" t="n"/>
      <c r="AD201" s="2761" t="n"/>
      <c r="AE201" s="2761" t="n"/>
      <c r="AF201" s="2761" t="n"/>
      <c r="AG201" s="2761" t="n"/>
      <c r="AH201" s="2761" t="n"/>
      <c r="AI201" s="2761" t="n"/>
      <c r="AJ201" s="2761" t="n"/>
      <c r="AK201" s="2761" t="n"/>
      <c r="AL201" s="2761" t="n"/>
      <c r="AM201" s="2761" t="n"/>
      <c r="AN201" s="2761" t="n"/>
      <c r="AO201" s="2761" t="n"/>
      <c r="AP201" s="1277" t="n"/>
      <c r="BG201" s="769" t="n"/>
      <c r="BH201" s="658" t="n"/>
      <c r="BI201" s="658" t="n"/>
      <c r="BJ201" s="658" t="n"/>
      <c r="BK201" s="658" t="n"/>
      <c r="BL201" s="658" t="n"/>
      <c r="BM201" s="658" t="n"/>
      <c r="BN201" s="658" t="n"/>
      <c r="BO201" s="658" t="n"/>
      <c r="BP201" s="658" t="n"/>
      <c r="BQ201" s="815" t="n"/>
    </row>
    <row r="202" ht="12.75" customHeight="1" s="7635">
      <c r="A202" s="1277" t="n"/>
      <c r="B202" s="11602" t="n"/>
      <c r="C202" s="11602" t="n"/>
      <c r="D202" s="11602" t="n"/>
      <c r="E202" s="11602" t="n"/>
      <c r="F202" s="344" t="inlineStr">
        <is>
          <t>Note:  If you report a loss, receive a distribution, dispose of stock, or receive a loan repayment from an S corporation, you must check</t>
        </is>
      </c>
      <c r="G202" s="11602" t="n"/>
      <c r="H202" s="11602" t="n"/>
      <c r="I202" s="11602" t="n"/>
      <c r="J202" s="11602" t="n"/>
      <c r="K202" s="11602" t="n"/>
      <c r="L202" s="11602" t="n"/>
      <c r="M202" s="11602" t="n"/>
      <c r="N202" s="11602" t="n"/>
      <c r="O202" s="11602" t="n"/>
      <c r="P202" s="11602" t="n"/>
      <c r="Q202" s="11602" t="n"/>
      <c r="R202" s="11602" t="n"/>
      <c r="S202" s="11602" t="n"/>
      <c r="T202" s="11602" t="n"/>
      <c r="U202" s="11602" t="n"/>
      <c r="V202" s="11602" t="n"/>
      <c r="W202" s="11602" t="n"/>
      <c r="X202" s="11602" t="n"/>
      <c r="Y202" s="11602" t="n"/>
      <c r="Z202" s="11602" t="n"/>
      <c r="AA202" s="11602" t="n"/>
      <c r="AB202" s="11602" t="n"/>
      <c r="AC202" s="11602" t="n"/>
      <c r="AD202" s="11602" t="n"/>
      <c r="AE202" s="11602" t="n"/>
      <c r="AF202" s="11602" t="n"/>
      <c r="AG202" s="11602" t="n"/>
      <c r="AH202" s="11602" t="n"/>
      <c r="AI202" s="11602" t="n"/>
      <c r="AJ202" s="11602" t="n"/>
      <c r="AK202" s="11602" t="n"/>
      <c r="AL202" s="11602" t="n"/>
      <c r="AM202" s="11602" t="n"/>
      <c r="AN202" s="11602" t="n"/>
      <c r="AO202" s="11602" t="n"/>
      <c r="AP202" s="1277" t="n"/>
      <c r="BG202" s="769" t="n"/>
      <c r="BH202" s="658" t="n"/>
      <c r="BI202" s="658" t="n"/>
      <c r="BJ202" s="658" t="n"/>
      <c r="BK202" s="658" t="n"/>
      <c r="BL202" s="658" t="n"/>
      <c r="BM202" s="658" t="n"/>
      <c r="BN202" s="658" t="n"/>
      <c r="BO202" s="658" t="n"/>
      <c r="BP202" s="658" t="n"/>
    </row>
    <row r="203" ht="12.75" customHeight="1" s="7635">
      <c r="A203" s="1277" t="n"/>
      <c r="B203" s="11602" t="n"/>
      <c r="C203" s="11602" t="n"/>
      <c r="D203" s="11602" t="n"/>
      <c r="E203" s="11602" t="n"/>
      <c r="F203" s="344" t="inlineStr">
        <is>
          <t xml:space="preserve">the box in column (e) on line 28 and attach the required basis computation. If you report a loss from an at-risk activity for which any </t>
        </is>
      </c>
      <c r="G203" s="11602" t="n"/>
      <c r="H203" s="11602" t="n"/>
      <c r="I203" s="11602" t="n"/>
      <c r="J203" s="11602" t="n"/>
      <c r="K203" s="11602" t="n"/>
      <c r="L203" s="11602" t="n"/>
      <c r="M203" s="11602" t="n"/>
      <c r="N203" s="11602" t="n"/>
      <c r="O203" s="11602" t="n"/>
      <c r="P203" s="11602" t="n"/>
      <c r="Q203" s="11602" t="n"/>
      <c r="R203" s="11602" t="n"/>
      <c r="S203" s="11602" t="n"/>
      <c r="T203" s="11602" t="n"/>
      <c r="U203" s="11602" t="n"/>
      <c r="V203" s="11602" t="n"/>
      <c r="W203" s="11602" t="n"/>
      <c r="X203" s="11602" t="n"/>
      <c r="Y203" s="11602" t="n"/>
      <c r="Z203" s="11602" t="n"/>
      <c r="AA203" s="11602" t="n"/>
      <c r="AB203" s="11602" t="n"/>
      <c r="AC203" s="11602" t="n"/>
      <c r="AD203" s="11602" t="n"/>
      <c r="AE203" s="11602" t="n"/>
      <c r="AF203" s="11602" t="n"/>
      <c r="AG203" s="11602" t="n"/>
      <c r="AH203" s="11602" t="n"/>
      <c r="AI203" s="11602" t="n"/>
      <c r="AJ203" s="11602" t="n"/>
      <c r="AK203" s="11602" t="n"/>
      <c r="AL203" s="11602" t="n"/>
      <c r="AM203" s="11602" t="n"/>
      <c r="AN203" s="11602" t="n"/>
      <c r="AO203" s="11602" t="n"/>
      <c r="AP203" s="1277" t="n"/>
      <c r="AX203" s="1405" t="n"/>
      <c r="AY203" s="1405" t="n"/>
      <c r="AZ203" s="1405" t="n"/>
      <c r="BA203" s="1405" t="n"/>
      <c r="BB203" s="1405" t="n"/>
      <c r="BC203" s="1405" t="n"/>
      <c r="BD203" s="1405" t="n"/>
      <c r="BG203" s="769" t="n"/>
      <c r="BH203" s="658" t="n"/>
      <c r="BI203" s="658" t="n"/>
      <c r="BJ203" s="658" t="n"/>
      <c r="BK203" s="658" t="n"/>
      <c r="BL203" s="658" t="n"/>
      <c r="BM203" s="658" t="n"/>
      <c r="BN203" s="658" t="n"/>
      <c r="BO203" s="658" t="n"/>
      <c r="BP203" s="658" t="n"/>
    </row>
    <row r="204" ht="12.75" customHeight="1" s="7635">
      <c r="A204" s="1277" t="n"/>
      <c r="B204" s="413" t="n"/>
      <c r="C204" s="413" t="n"/>
      <c r="D204" s="413" t="n"/>
      <c r="E204" s="413" t="n"/>
      <c r="F204" s="569" t="inlineStr">
        <is>
          <t>amount is not at risk, you must check the box in column (f) on line 28 and attach Form 6198. See instructions.</t>
        </is>
      </c>
      <c r="G204" s="413" t="n"/>
      <c r="H204" s="413" t="n"/>
      <c r="I204" s="413" t="n"/>
      <c r="J204" s="413" t="n"/>
      <c r="K204" s="413" t="n"/>
      <c r="L204" s="413" t="n"/>
      <c r="M204" s="413" t="n"/>
      <c r="N204" s="413" t="n"/>
      <c r="O204" s="413" t="n"/>
      <c r="P204" s="413" t="n"/>
      <c r="Q204" s="413" t="n"/>
      <c r="R204" s="413" t="n"/>
      <c r="S204" s="413" t="n"/>
      <c r="T204" s="413" t="n"/>
      <c r="U204" s="413" t="n"/>
      <c r="V204" s="413" t="n"/>
      <c r="W204" s="413" t="n"/>
      <c r="X204" s="413" t="n"/>
      <c r="Y204" s="413" t="n"/>
      <c r="Z204" s="413" t="n"/>
      <c r="AA204" s="413" t="n"/>
      <c r="AB204" s="413" t="n"/>
      <c r="AC204" s="413" t="n"/>
      <c r="AD204" s="413" t="n"/>
      <c r="AE204" s="413" t="n"/>
      <c r="AF204" s="413" t="n"/>
      <c r="AG204" s="413" t="n"/>
      <c r="AH204" s="413" t="n"/>
      <c r="AI204" s="413" t="n"/>
      <c r="AJ204" s="413" t="n"/>
      <c r="AK204" s="413" t="n"/>
      <c r="AL204" s="413" t="n"/>
      <c r="AM204" s="413" t="n"/>
      <c r="AN204" s="413" t="n"/>
      <c r="AO204" s="413" t="n"/>
      <c r="AP204" s="1277" t="n"/>
      <c r="BG204" s="769" t="n"/>
      <c r="BH204" s="658" t="n"/>
      <c r="BI204" s="658" t="n"/>
      <c r="BJ204" s="658" t="n"/>
      <c r="BK204" s="658" t="n"/>
      <c r="BL204" s="658" t="n"/>
      <c r="BM204" s="658" t="n"/>
      <c r="BN204" s="658" t="n"/>
      <c r="BO204" s="658" t="n"/>
      <c r="BP204" s="658" t="n"/>
    </row>
    <row r="205" ht="18.75" customHeight="1" s="7635">
      <c r="A205" s="1277" t="n"/>
      <c r="B205" s="8439" t="n">
        <v>27</v>
      </c>
      <c r="D205" s="11602" t="n"/>
      <c r="E205" s="8650" t="inlineStr">
        <is>
          <t>Are you reporting any loss not allowed in a prior year due to the at-risk or basis limitations, a prior year unallowed loss from a</t>
        </is>
      </c>
      <c r="F205" s="344" t="n"/>
      <c r="G205" s="11602" t="n"/>
      <c r="H205" s="11602" t="n"/>
      <c r="I205" s="11602" t="n"/>
      <c r="J205" s="11602" t="n"/>
      <c r="K205" s="11602" t="n"/>
      <c r="L205" s="11602" t="n"/>
      <c r="M205" s="11602" t="n"/>
      <c r="N205" s="11602" t="n"/>
      <c r="O205" s="11602" t="n"/>
      <c r="P205" s="11602" t="n"/>
      <c r="Q205" s="11602" t="n"/>
      <c r="R205" s="11602" t="n"/>
      <c r="S205" s="11602" t="n"/>
      <c r="T205" s="11602" t="n"/>
      <c r="U205" s="11602" t="n"/>
      <c r="V205" s="11602" t="n"/>
      <c r="W205" s="11602" t="n"/>
      <c r="X205" s="11602" t="n"/>
      <c r="Y205" s="11602" t="n"/>
      <c r="Z205" s="11602" t="n"/>
      <c r="AA205" s="11602" t="n"/>
      <c r="AB205" s="11602" t="n"/>
      <c r="AC205" s="11602" t="n"/>
      <c r="AD205" s="11602" t="n"/>
      <c r="AE205" s="11602" t="n"/>
      <c r="AF205" s="11602" t="n"/>
      <c r="AG205" s="11602" t="n"/>
      <c r="AH205" s="11602" t="n"/>
      <c r="AI205" s="11602" t="n"/>
      <c r="AJ205" s="11602" t="n"/>
      <c r="AK205" s="11602" t="n"/>
      <c r="AL205" s="11602" t="n"/>
      <c r="AM205" s="11602" t="n"/>
      <c r="AN205" s="11602" t="n"/>
      <c r="AO205" s="11602" t="n"/>
      <c r="AP205" s="1277" t="n"/>
      <c r="BG205" s="769" t="n"/>
      <c r="BH205" s="658" t="n"/>
      <c r="BI205" s="658" t="n"/>
      <c r="BJ205" s="658" t="n"/>
      <c r="BK205" s="658" t="n"/>
      <c r="BL205" s="658" t="n"/>
      <c r="BM205" s="658" t="n"/>
      <c r="BN205" s="658" t="n"/>
      <c r="BO205" s="658" t="n"/>
      <c r="BP205" s="658" t="n"/>
    </row>
    <row r="206" ht="12.75" customHeight="1" s="7635">
      <c r="A206" s="1277" t="n"/>
      <c r="B206" s="9988" t="n"/>
      <c r="C206" s="6996" t="n"/>
      <c r="D206" s="11602" t="n"/>
      <c r="E206" s="8650" t="inlineStr">
        <is>
          <t>passive activity (if that loss was not reported on Form 8582), or unreimbursed partnership expenses?</t>
        </is>
      </c>
      <c r="F206" s="344" t="n"/>
      <c r="G206" s="11602" t="n"/>
      <c r="H206" s="11602" t="n"/>
      <c r="I206" s="11602" t="n"/>
      <c r="J206" s="11602" t="n"/>
      <c r="K206" s="11602" t="n"/>
      <c r="L206" s="11602" t="n"/>
      <c r="M206" s="11602" t="n"/>
      <c r="N206" s="11602" t="n"/>
      <c r="O206" s="11602" t="n"/>
      <c r="P206" s="11602" t="n"/>
      <c r="Q206" s="11602" t="n"/>
      <c r="R206" s="11602" t="n"/>
      <c r="S206" s="11602" t="n"/>
      <c r="T206" s="11602" t="n"/>
      <c r="U206" s="11602" t="n"/>
      <c r="V206" s="11602" t="n"/>
      <c r="W206" s="11602" t="n"/>
      <c r="X206" s="11602" t="n"/>
      <c r="Y206" s="11602" t="n"/>
      <c r="Z206" s="11602" t="n"/>
      <c r="AA206" s="11602" t="n"/>
      <c r="AB206" s="11602" t="n"/>
      <c r="AC206" s="11602" t="n"/>
      <c r="AD206" s="11602" t="n"/>
      <c r="AE206" s="11602" t="n"/>
      <c r="AF206" s="11602" t="n"/>
      <c r="AG206" s="11602" t="n"/>
      <c r="AH206" s="11602" t="n"/>
      <c r="AI206" s="11602" t="n"/>
      <c r="AJ206" s="11602" t="n"/>
      <c r="AK206" s="11602" t="n"/>
      <c r="AL206" s="11602" t="n"/>
      <c r="AM206" s="11602" t="n"/>
      <c r="AN206" s="11602" t="n"/>
      <c r="AO206" s="11602" t="n"/>
      <c r="AP206" s="1277" t="n"/>
      <c r="BG206" s="769" t="n"/>
      <c r="BH206" s="658" t="n"/>
      <c r="BI206" s="658" t="n"/>
      <c r="BJ206" s="658" t="n"/>
      <c r="BK206" s="658" t="n"/>
      <c r="BL206" s="658" t="n"/>
      <c r="BM206" s="658" t="n"/>
      <c r="BN206" s="658" t="n"/>
      <c r="BO206" s="658" t="n"/>
      <c r="BP206" s="658" t="n"/>
    </row>
    <row r="207" ht="12.75" customHeight="1" s="7635">
      <c r="A207" s="1277" t="n"/>
      <c r="B207" s="11602" t="n"/>
      <c r="C207" s="11602" t="n"/>
      <c r="D207" s="11602" t="n"/>
      <c r="E207" s="8650" t="inlineStr">
        <is>
          <t>If you answered “Yes,” see instructions before completing this section</t>
        </is>
      </c>
      <c r="F207" s="344" t="n"/>
      <c r="G207" s="11602" t="n"/>
      <c r="H207" s="11602" t="n"/>
      <c r="I207" s="11602" t="n"/>
      <c r="J207" s="11602" t="n"/>
      <c r="K207" s="11602" t="n"/>
      <c r="L207" s="11602" t="n"/>
      <c r="M207" s="11602" t="n"/>
      <c r="N207" s="11602" t="n"/>
      <c r="O207" s="11602" t="n"/>
      <c r="P207" s="11602" t="n"/>
      <c r="Q207" s="11602" t="n"/>
      <c r="R207" s="11602" t="n"/>
      <c r="S207" s="11602" t="n"/>
      <c r="T207" s="11602" t="n"/>
      <c r="U207" s="11602" t="n"/>
      <c r="V207" s="11602" t="n"/>
      <c r="W207" s="11602" t="n"/>
      <c r="X207" s="11602" t="n"/>
      <c r="Y207" s="11602" t="n"/>
      <c r="Z207" s="11602" t="n"/>
      <c r="AA207" s="11602" t="n"/>
      <c r="AB207" s="11602" t="n"/>
      <c r="AC207" s="11602" t="n"/>
      <c r="AD207" s="11602" t="n"/>
      <c r="AE207" s="11602" t="n"/>
      <c r="AF207" s="11602" t="n"/>
      <c r="AG207" s="11602" t="n"/>
      <c r="AH207" s="11602" t="n"/>
      <c r="AI207" s="11602" t="n"/>
      <c r="AJ207" s="276" t="n"/>
      <c r="AK207" s="1059" t="inlineStr">
        <is>
          <t xml:space="preserve">  Yes</t>
        </is>
      </c>
      <c r="AL207" s="7762" t="n"/>
      <c r="AM207" s="276" t="n"/>
      <c r="AN207" s="1059" t="inlineStr">
        <is>
          <t xml:space="preserve">  No</t>
        </is>
      </c>
      <c r="AO207" s="7762" t="n"/>
      <c r="AP207" s="1277" t="n"/>
      <c r="BG207" s="769" t="n"/>
      <c r="BH207" s="658" t="n"/>
      <c r="BI207" s="658" t="n"/>
      <c r="BJ207" s="658" t="n"/>
      <c r="BK207" s="658" t="n"/>
      <c r="BL207" s="658" t="n"/>
      <c r="BM207" s="658" t="n"/>
      <c r="BN207" s="658" t="n"/>
      <c r="BO207" s="658" t="n"/>
      <c r="BP207" s="658" t="n"/>
    </row>
    <row r="208" ht="4.5" customHeight="1" s="7635">
      <c r="A208" s="1277" t="n"/>
      <c r="B208" s="413" t="n"/>
      <c r="C208" s="413" t="n"/>
      <c r="D208" s="413" t="n"/>
      <c r="E208" s="413" t="n"/>
      <c r="F208" s="569" t="n"/>
      <c r="G208" s="413" t="n"/>
      <c r="H208" s="413" t="n"/>
      <c r="I208" s="413" t="n"/>
      <c r="J208" s="413" t="n"/>
      <c r="K208" s="413" t="n"/>
      <c r="L208" s="413" t="n"/>
      <c r="M208" s="413" t="n"/>
      <c r="N208" s="413" t="n"/>
      <c r="O208" s="413" t="n"/>
      <c r="P208" s="413" t="n"/>
      <c r="Q208" s="413" t="n"/>
      <c r="R208" s="413" t="n"/>
      <c r="S208" s="413" t="n"/>
      <c r="T208" s="413" t="n"/>
      <c r="U208" s="413" t="n"/>
      <c r="V208" s="413" t="n"/>
      <c r="W208" s="413" t="n"/>
      <c r="X208" s="413" t="n"/>
      <c r="Y208" s="413" t="n"/>
      <c r="Z208" s="413" t="n"/>
      <c r="AA208" s="413" t="n"/>
      <c r="AB208" s="413" t="n"/>
      <c r="AC208" s="413" t="n"/>
      <c r="AD208" s="413" t="n"/>
      <c r="AE208" s="413" t="n"/>
      <c r="AF208" s="413" t="n"/>
      <c r="AG208" s="413" t="n"/>
      <c r="AH208" s="413" t="n"/>
      <c r="AI208" s="413" t="n"/>
      <c r="AJ208" s="413" t="n"/>
      <c r="AK208" s="413" t="n"/>
      <c r="AL208" s="413" t="n"/>
      <c r="AM208" s="413" t="n"/>
      <c r="AN208" s="413" t="n"/>
      <c r="AO208" s="413" t="n"/>
      <c r="AP208" s="1277" t="n"/>
      <c r="BG208" s="769" t="n"/>
      <c r="BH208" s="658" t="n"/>
      <c r="BI208" s="658" t="n"/>
      <c r="BJ208" s="658" t="n"/>
      <c r="BK208" s="658" t="n"/>
      <c r="BL208" s="658" t="n"/>
      <c r="BM208" s="658" t="n"/>
      <c r="BN208" s="658" t="n"/>
      <c r="BO208" s="658" t="n"/>
      <c r="BP208" s="658" t="n"/>
    </row>
    <row r="209" ht="12.75" customHeight="1" s="7635">
      <c r="A209" s="1277" t="n"/>
      <c r="B209" s="11602" t="n"/>
      <c r="C209" s="11602" t="n"/>
      <c r="D209" s="11602" t="n"/>
      <c r="E209" s="11602" t="n"/>
      <c r="F209" s="344" t="n"/>
      <c r="G209" s="11602" t="n"/>
      <c r="H209" s="11602" t="n"/>
      <c r="I209" s="11602" t="n"/>
      <c r="J209" s="11602" t="n"/>
      <c r="K209" s="11602" t="n"/>
      <c r="L209" s="11602" t="n"/>
      <c r="M209" s="11602" t="n"/>
      <c r="N209" s="11602" t="n"/>
      <c r="O209" s="12122" t="inlineStr">
        <is>
          <t>(b)  Enter P for partnership; S 
for S corporation</t>
        </is>
      </c>
      <c r="P209" s="7839" t="n"/>
      <c r="Q209" s="7839" t="n"/>
      <c r="R209" s="7839" t="n"/>
      <c r="S209" s="10091" t="n"/>
      <c r="T209" s="12122" t="inlineStr">
        <is>
          <t>(c)  Check if 
foreign 
partnership</t>
        </is>
      </c>
      <c r="U209" s="7839" t="n"/>
      <c r="V209" s="7839" t="n"/>
      <c r="W209" s="7839" t="n"/>
      <c r="X209" s="10091" t="n"/>
      <c r="Y209" s="12122" t="inlineStr">
        <is>
          <t>(d)  Employer 
identification 
number</t>
        </is>
      </c>
      <c r="Z209" s="7839" t="n"/>
      <c r="AA209" s="7839" t="n"/>
      <c r="AB209" s="7839" t="n"/>
      <c r="AC209" s="7839" t="n"/>
      <c r="AD209" s="7839" t="n"/>
      <c r="AE209" s="10091" t="n"/>
      <c r="AF209" s="12122" t="inlineStr">
        <is>
          <t>(e) Check if 
basis computation 
is required</t>
        </is>
      </c>
      <c r="AG209" s="7839" t="n"/>
      <c r="AH209" s="7839" t="n"/>
      <c r="AI209" s="7839" t="n"/>
      <c r="AJ209" s="10091" t="n"/>
      <c r="AK209" s="9854" t="inlineStr">
        <is>
          <t>(f)  Check if 
any amount is 
not at risk</t>
        </is>
      </c>
      <c r="AL209" s="7839" t="n"/>
      <c r="AM209" s="7839" t="n"/>
      <c r="AN209" s="7839" t="n"/>
      <c r="AO209" s="7839" t="n"/>
      <c r="AP209" s="1277" t="n"/>
      <c r="BG209" s="769" t="n"/>
      <c r="BH209" s="658" t="n"/>
      <c r="BI209" s="658" t="n"/>
      <c r="BJ209" s="658" t="n"/>
      <c r="BK209" s="658" t="n"/>
      <c r="BL209" s="658" t="n"/>
      <c r="BM209" s="658" t="n"/>
      <c r="BN209" s="658" t="n"/>
      <c r="BO209" s="658" t="n"/>
      <c r="BP209" s="658" t="n"/>
    </row>
    <row r="210" ht="12.75" customHeight="1" s="7635">
      <c r="A210" s="1277" t="n"/>
      <c r="B210" s="8439" t="n">
        <v>28</v>
      </c>
      <c r="D210" s="11602" t="n"/>
      <c r="E210" s="11602" t="n"/>
      <c r="F210" s="11602" t="n"/>
      <c r="G210" s="11602" t="n"/>
      <c r="H210" s="344" t="inlineStr">
        <is>
          <t>(a)  Name</t>
        </is>
      </c>
      <c r="I210" s="11602" t="n"/>
      <c r="J210" s="11602" t="n"/>
      <c r="K210" s="11602" t="n"/>
      <c r="L210" s="11602" t="n"/>
      <c r="M210" s="11602" t="n"/>
      <c r="N210" s="11602" t="n"/>
      <c r="O210" s="4772" t="n"/>
      <c r="S210" s="7636" t="n"/>
      <c r="T210" s="4772" t="n"/>
      <c r="X210" s="7636" t="n"/>
      <c r="Y210" s="4772" t="n"/>
      <c r="AE210" s="7636" t="n"/>
      <c r="AF210" s="4772" t="n"/>
      <c r="AJ210" s="7636" t="n"/>
      <c r="AK210" s="4772" t="n"/>
      <c r="AP210" s="1277" t="n"/>
      <c r="BG210" s="769" t="n"/>
      <c r="BH210" s="658" t="n"/>
      <c r="BI210" s="658" t="n"/>
      <c r="BJ210" s="658" t="n"/>
      <c r="BK210" s="658" t="n"/>
      <c r="BL210" s="658" t="n"/>
      <c r="BM210" s="658" t="n"/>
      <c r="BN210" s="658" t="n"/>
      <c r="BO210" s="658" t="n"/>
      <c r="BP210" s="658" t="n"/>
    </row>
    <row r="211" ht="12.75" customHeight="1" s="7635">
      <c r="A211" s="1277" t="n"/>
      <c r="B211" s="413" t="n"/>
      <c r="C211" s="413" t="n"/>
      <c r="D211" s="413" t="n"/>
      <c r="E211" s="413" t="n"/>
      <c r="F211" s="413" t="n"/>
      <c r="G211" s="413" t="n"/>
      <c r="H211" s="413" t="n"/>
      <c r="I211" s="413" t="n"/>
      <c r="J211" s="413" t="n"/>
      <c r="K211" s="413" t="n"/>
      <c r="L211" s="413" t="n"/>
      <c r="M211" s="413" t="n"/>
      <c r="N211" s="413" t="n"/>
      <c r="O211" s="3614" t="n"/>
      <c r="P211" s="7637" t="n"/>
      <c r="Q211" s="7637" t="n"/>
      <c r="R211" s="7637" t="n"/>
      <c r="S211" s="7638" t="n"/>
      <c r="T211" s="3614" t="n"/>
      <c r="U211" s="7637" t="n"/>
      <c r="V211" s="7637" t="n"/>
      <c r="W211" s="7637" t="n"/>
      <c r="X211" s="7638" t="n"/>
      <c r="Y211" s="3614" t="n"/>
      <c r="Z211" s="7637" t="n"/>
      <c r="AA211" s="7637" t="n"/>
      <c r="AB211" s="7637" t="n"/>
      <c r="AC211" s="7637" t="n"/>
      <c r="AD211" s="7637" t="n"/>
      <c r="AE211" s="7638" t="n"/>
      <c r="AF211" s="3614" t="n"/>
      <c r="AG211" s="7637" t="n"/>
      <c r="AH211" s="7637" t="n"/>
      <c r="AI211" s="7637" t="n"/>
      <c r="AJ211" s="7638" t="n"/>
      <c r="AK211" s="3614" t="n"/>
      <c r="AL211" s="7637" t="n"/>
      <c r="AM211" s="7637" t="n"/>
      <c r="AN211" s="7637" t="n"/>
      <c r="AO211" s="7637" t="n"/>
      <c r="AP211" s="1277" t="n"/>
      <c r="BG211" s="769" t="n"/>
      <c r="BH211" s="658" t="n"/>
      <c r="BI211" s="658" t="n"/>
      <c r="BJ211" s="658" t="n"/>
      <c r="BK211" s="658" t="n"/>
      <c r="BL211" s="658" t="n"/>
      <c r="BM211" s="658" t="n"/>
      <c r="BN211" s="658" t="n"/>
      <c r="BO211" s="658" t="n"/>
      <c r="BP211" s="658" t="n"/>
    </row>
    <row r="212" ht="13.5" customHeight="1" s="7635">
      <c r="A212" s="1277" t="n"/>
      <c r="B212" s="4824" t="inlineStr">
        <is>
          <t>A</t>
        </is>
      </c>
      <c r="C212" s="12123" t="n"/>
      <c r="D212" s="8007" t="n"/>
      <c r="E212" s="8007" t="n"/>
      <c r="F212" s="8007" t="n"/>
      <c r="G212" s="8007" t="n"/>
      <c r="H212" s="8007" t="n"/>
      <c r="I212" s="8007" t="n"/>
      <c r="J212" s="8007" t="n"/>
      <c r="K212" s="8007" t="n"/>
      <c r="L212" s="8007" t="n"/>
      <c r="M212" s="8007" t="n"/>
      <c r="N212" s="8008" t="n"/>
      <c r="O212" s="276" t="n"/>
      <c r="P212" s="8007" t="n"/>
      <c r="Q212" s="8007" t="n"/>
      <c r="R212" s="8007" t="n"/>
      <c r="S212" s="8008" t="n"/>
      <c r="T212" s="4771" t="n"/>
      <c r="U212" s="773" t="n"/>
      <c r="V212" s="276" t="n"/>
      <c r="W212" s="773" t="n"/>
      <c r="X212" s="3951" t="n"/>
      <c r="Y212" s="325" t="n"/>
      <c r="Z212" s="8007" t="n"/>
      <c r="AA212" s="8007" t="n"/>
      <c r="AB212" s="8007" t="n"/>
      <c r="AC212" s="8007" t="n"/>
      <c r="AD212" s="8007" t="n"/>
      <c r="AE212" s="8008" t="n"/>
      <c r="AF212" s="4771" t="n"/>
      <c r="AG212" s="773" t="n"/>
      <c r="AH212" s="276" t="n"/>
      <c r="AI212" s="773" t="n"/>
      <c r="AJ212" s="3951" t="n"/>
      <c r="AK212" s="4771" t="n"/>
      <c r="AL212" s="773" t="n"/>
      <c r="AM212" s="276" t="n"/>
      <c r="AN212" s="773" t="n"/>
      <c r="AO212" s="773" t="n"/>
      <c r="AP212" s="1277" t="n"/>
      <c r="BG212" s="769" t="n"/>
      <c r="BH212" s="658" t="n"/>
      <c r="BI212" s="658" t="n"/>
      <c r="BJ212" s="658" t="n"/>
      <c r="BK212" s="658" t="n"/>
      <c r="BL212" s="658" t="n"/>
      <c r="BM212" s="658" t="n"/>
      <c r="BN212" s="658" t="n"/>
      <c r="BO212" s="658" t="n"/>
      <c r="BP212" s="658" t="n"/>
    </row>
    <row r="213" ht="13.5" customHeight="1" s="7635">
      <c r="A213" s="1277" t="n"/>
      <c r="B213" s="4824" t="inlineStr">
        <is>
          <t>B</t>
        </is>
      </c>
      <c r="C213" s="12123" t="n"/>
      <c r="D213" s="8007" t="n"/>
      <c r="E213" s="8007" t="n"/>
      <c r="F213" s="8007" t="n"/>
      <c r="G213" s="8007" t="n"/>
      <c r="H213" s="8007" t="n"/>
      <c r="I213" s="8007" t="n"/>
      <c r="J213" s="8007" t="n"/>
      <c r="K213" s="8007" t="n"/>
      <c r="L213" s="8007" t="n"/>
      <c r="M213" s="8007" t="n"/>
      <c r="N213" s="8008" t="n"/>
      <c r="O213" s="276" t="n"/>
      <c r="P213" s="8007" t="n"/>
      <c r="Q213" s="8007" t="n"/>
      <c r="R213" s="8007" t="n"/>
      <c r="S213" s="8008" t="n"/>
      <c r="T213" s="4771" t="n"/>
      <c r="U213" s="773" t="n"/>
      <c r="V213" s="276" t="n"/>
      <c r="W213" s="773" t="n"/>
      <c r="X213" s="3951" t="n"/>
      <c r="Y213" s="325" t="n"/>
      <c r="Z213" s="8007" t="n"/>
      <c r="AA213" s="8007" t="n"/>
      <c r="AB213" s="8007" t="n"/>
      <c r="AC213" s="8007" t="n"/>
      <c r="AD213" s="8007" t="n"/>
      <c r="AE213" s="8008" t="n"/>
      <c r="AF213" s="4771" t="n"/>
      <c r="AG213" s="773" t="n"/>
      <c r="AH213" s="276" t="n"/>
      <c r="AI213" s="773" t="n"/>
      <c r="AJ213" s="3951" t="n"/>
      <c r="AK213" s="4771" t="n"/>
      <c r="AL213" s="773" t="n"/>
      <c r="AM213" s="276" t="n"/>
      <c r="AN213" s="773" t="n"/>
      <c r="AO213" s="773" t="n"/>
      <c r="AP213" s="1277" t="n"/>
      <c r="BG213" s="769" t="n"/>
      <c r="BH213" s="658" t="n"/>
      <c r="BI213" s="658" t="n"/>
      <c r="BJ213" s="658" t="n"/>
      <c r="BK213" s="658" t="n"/>
      <c r="BL213" s="658" t="n"/>
      <c r="BM213" s="658" t="n"/>
      <c r="BN213" s="658" t="n"/>
      <c r="BO213" s="658" t="n"/>
      <c r="BP213" s="658" t="n"/>
    </row>
    <row r="214" ht="13.5" customHeight="1" s="7635">
      <c r="A214" s="1277" t="n"/>
      <c r="B214" s="4824" t="inlineStr">
        <is>
          <t>C</t>
        </is>
      </c>
      <c r="C214" s="12123" t="n"/>
      <c r="D214" s="8007" t="n"/>
      <c r="E214" s="8007" t="n"/>
      <c r="F214" s="8007" t="n"/>
      <c r="G214" s="8007" t="n"/>
      <c r="H214" s="8007" t="n"/>
      <c r="I214" s="8007" t="n"/>
      <c r="J214" s="8007" t="n"/>
      <c r="K214" s="8007" t="n"/>
      <c r="L214" s="8007" t="n"/>
      <c r="M214" s="8007" t="n"/>
      <c r="N214" s="8008" t="n"/>
      <c r="O214" s="276" t="n"/>
      <c r="P214" s="8007" t="n"/>
      <c r="Q214" s="8007" t="n"/>
      <c r="R214" s="8007" t="n"/>
      <c r="S214" s="8008" t="n"/>
      <c r="T214" s="4771" t="n"/>
      <c r="U214" s="773" t="n"/>
      <c r="V214" s="276" t="n"/>
      <c r="W214" s="773" t="n"/>
      <c r="X214" s="3951" t="n"/>
      <c r="Y214" s="325" t="n"/>
      <c r="Z214" s="8007" t="n"/>
      <c r="AA214" s="8007" t="n"/>
      <c r="AB214" s="8007" t="n"/>
      <c r="AC214" s="8007" t="n"/>
      <c r="AD214" s="8007" t="n"/>
      <c r="AE214" s="8008" t="n"/>
      <c r="AF214" s="4771" t="n"/>
      <c r="AG214" s="773" t="n"/>
      <c r="AH214" s="276" t="n"/>
      <c r="AI214" s="773" t="n"/>
      <c r="AJ214" s="3951" t="n"/>
      <c r="AK214" s="4771" t="n"/>
      <c r="AL214" s="773" t="n"/>
      <c r="AM214" s="276" t="n"/>
      <c r="AN214" s="773" t="n"/>
      <c r="AO214" s="773" t="n"/>
      <c r="AP214" s="1277" t="n"/>
      <c r="BG214" s="769" t="n"/>
      <c r="BH214" s="658" t="n"/>
      <c r="BI214" s="658" t="n"/>
      <c r="BJ214" s="658" t="n"/>
      <c r="BK214" s="658" t="n"/>
      <c r="BL214" s="658" t="n"/>
      <c r="BM214" s="658" t="n"/>
      <c r="BN214" s="658" t="n"/>
      <c r="BO214" s="658" t="n"/>
      <c r="BP214" s="658" t="n"/>
    </row>
    <row r="215" ht="13.5" customHeight="1" s="7635">
      <c r="A215" s="1277" t="n"/>
      <c r="B215" s="4824" t="inlineStr">
        <is>
          <t>D</t>
        </is>
      </c>
      <c r="C215" s="12123" t="n"/>
      <c r="D215" s="8007" t="n"/>
      <c r="E215" s="8007" t="n"/>
      <c r="F215" s="8007" t="n"/>
      <c r="G215" s="8007" t="n"/>
      <c r="H215" s="8007" t="n"/>
      <c r="I215" s="8007" t="n"/>
      <c r="J215" s="8007" t="n"/>
      <c r="K215" s="8007" t="n"/>
      <c r="L215" s="8007" t="n"/>
      <c r="M215" s="8007" t="n"/>
      <c r="N215" s="8008" t="n"/>
      <c r="O215" s="276" t="n"/>
      <c r="P215" s="8007" t="n"/>
      <c r="Q215" s="8007" t="n"/>
      <c r="R215" s="8007" t="n"/>
      <c r="S215" s="8008" t="n"/>
      <c r="T215" s="4771" t="n"/>
      <c r="U215" s="773" t="n"/>
      <c r="V215" s="276" t="n"/>
      <c r="W215" s="773" t="n"/>
      <c r="X215" s="3951" t="n"/>
      <c r="Y215" s="325" t="n"/>
      <c r="Z215" s="8007" t="n"/>
      <c r="AA215" s="8007" t="n"/>
      <c r="AB215" s="8007" t="n"/>
      <c r="AC215" s="8007" t="n"/>
      <c r="AD215" s="8007" t="n"/>
      <c r="AE215" s="8008" t="n"/>
      <c r="AF215" s="4771" t="n"/>
      <c r="AG215" s="773" t="n"/>
      <c r="AH215" s="276" t="n"/>
      <c r="AI215" s="773" t="n"/>
      <c r="AJ215" s="3951" t="n"/>
      <c r="AK215" s="4771" t="n"/>
      <c r="AL215" s="773" t="n"/>
      <c r="AM215" s="276" t="n"/>
      <c r="AN215" s="773" t="n"/>
      <c r="AO215" s="773" t="n"/>
      <c r="AP215" s="1277" t="n"/>
      <c r="BG215" s="769" t="n"/>
      <c r="BH215" s="658" t="n"/>
      <c r="BI215" s="658" t="n"/>
      <c r="BJ215" s="658" t="n"/>
      <c r="BK215" s="658" t="n"/>
      <c r="BL215" s="658" t="n"/>
      <c r="BM215" s="658" t="n"/>
      <c r="BN215" s="658" t="n"/>
      <c r="BO215" s="658" t="n"/>
      <c r="BP215" s="658" t="n"/>
    </row>
    <row r="216" ht="17.25" customHeight="1" s="7635">
      <c r="A216" s="1277" t="n"/>
      <c r="B216" s="8384" t="inlineStr">
        <is>
          <t>Passive Income and Loss</t>
        </is>
      </c>
      <c r="C216" s="7839" t="n"/>
      <c r="D216" s="7839" t="n"/>
      <c r="E216" s="7839" t="n"/>
      <c r="F216" s="7839" t="n"/>
      <c r="G216" s="7839" t="n"/>
      <c r="H216" s="7839" t="n"/>
      <c r="I216" s="7839" t="n"/>
      <c r="J216" s="7839" t="n"/>
      <c r="K216" s="7839" t="n"/>
      <c r="L216" s="7839" t="n"/>
      <c r="M216" s="7839" t="n"/>
      <c r="N216" s="7839" t="n"/>
      <c r="O216" s="7839" t="n"/>
      <c r="P216" s="7839" t="n"/>
      <c r="Q216" s="7839" t="n"/>
      <c r="R216" s="7839" t="n"/>
      <c r="S216" s="8477" t="inlineStr">
        <is>
          <t>Nonpassive Income and Loss</t>
        </is>
      </c>
      <c r="T216" s="8412" t="n"/>
      <c r="U216" s="8412" t="n"/>
      <c r="V216" s="8412" t="n"/>
      <c r="W216" s="8412" t="n"/>
      <c r="X216" s="8412" t="n"/>
      <c r="Y216" s="8412" t="n"/>
      <c r="Z216" s="8412" t="n"/>
      <c r="AA216" s="8412" t="n"/>
      <c r="AB216" s="8412" t="n"/>
      <c r="AC216" s="8412" t="n"/>
      <c r="AD216" s="8412" t="n"/>
      <c r="AE216" s="8412" t="n"/>
      <c r="AF216" s="8412" t="n"/>
      <c r="AG216" s="8412" t="n"/>
      <c r="AH216" s="8412" t="n"/>
      <c r="AI216" s="8412" t="n"/>
      <c r="AJ216" s="8412" t="n"/>
      <c r="AK216" s="8412" t="n"/>
      <c r="AL216" s="8412" t="n"/>
      <c r="AM216" s="8412" t="n"/>
      <c r="AN216" s="8412" t="n"/>
      <c r="AO216" s="8412" t="n"/>
      <c r="AP216" s="1277" t="n"/>
      <c r="BG216" s="769" t="n"/>
      <c r="BH216" s="658" t="n"/>
      <c r="BI216" s="658" t="n"/>
      <c r="BJ216" s="658" t="n"/>
      <c r="BK216" s="658" t="n"/>
      <c r="BL216" s="658" t="n"/>
      <c r="BM216" s="658" t="n"/>
      <c r="BN216" s="658" t="n"/>
      <c r="BO216" s="658" t="n"/>
      <c r="BP216" s="658" t="n"/>
    </row>
    <row r="217" ht="12.75" customHeight="1" s="7635">
      <c r="A217" s="1277" t="n"/>
      <c r="B217" s="406" t="n"/>
      <c r="C217" s="12124" t="inlineStr">
        <is>
          <t>(g)  Passive loss allowed
(attach Form 8582 if required)</t>
        </is>
      </c>
      <c r="D217" s="7839" t="n"/>
      <c r="E217" s="7839" t="n"/>
      <c r="F217" s="7839" t="n"/>
      <c r="G217" s="7839" t="n"/>
      <c r="H217" s="7839" t="n"/>
      <c r="I217" s="7839" t="n"/>
      <c r="J217" s="10091" t="n"/>
      <c r="K217" s="10176" t="inlineStr">
        <is>
          <t>(h)  Passive income
from Schedule K-1</t>
        </is>
      </c>
      <c r="L217" s="7839" t="n"/>
      <c r="M217" s="7839" t="n"/>
      <c r="N217" s="7839" t="n"/>
      <c r="O217" s="7839" t="n"/>
      <c r="P217" s="7839" t="n"/>
      <c r="Q217" s="7839" t="n"/>
      <c r="R217" s="7839" t="n"/>
      <c r="S217" s="12125" t="inlineStr">
        <is>
          <t>(i)  Nonpassive loss allowed
(see Schedule K-1)</t>
        </is>
      </c>
      <c r="T217" s="7839" t="n"/>
      <c r="U217" s="7839" t="n"/>
      <c r="V217" s="7839" t="n"/>
      <c r="W217" s="7839" t="n"/>
      <c r="X217" s="7839" t="n"/>
      <c r="Y217" s="10091" t="n"/>
      <c r="Z217" s="12126" t="inlineStr">
        <is>
          <t>(j)  Section 179 expense
deduction from Form 4562</t>
        </is>
      </c>
      <c r="AA217" s="7839" t="n"/>
      <c r="AB217" s="7839" t="n"/>
      <c r="AC217" s="7839" t="n"/>
      <c r="AD217" s="7839" t="n"/>
      <c r="AE217" s="7839" t="n"/>
      <c r="AF217" s="7839" t="n"/>
      <c r="AG217" s="10091" t="n"/>
      <c r="AH217" s="10176" t="inlineStr">
        <is>
          <t>(k)  Nonpassive income
from Schedule K-1</t>
        </is>
      </c>
      <c r="AI217" s="7839" t="n"/>
      <c r="AJ217" s="7839" t="n"/>
      <c r="AK217" s="7839" t="n"/>
      <c r="AL217" s="7839" t="n"/>
      <c r="AM217" s="7839" t="n"/>
      <c r="AN217" s="7839" t="n"/>
      <c r="AO217" s="7839" t="n"/>
      <c r="AP217" s="1277" t="n"/>
      <c r="BG217" s="769" t="n"/>
      <c r="BH217" s="658" t="n"/>
      <c r="BI217" s="658" t="n"/>
      <c r="BJ217" s="658" t="n"/>
      <c r="BK217" s="658" t="n"/>
      <c r="BL217" s="658" t="n"/>
      <c r="BM217" s="658" t="n"/>
      <c r="BN217" s="658" t="n"/>
      <c r="BO217" s="658" t="n"/>
      <c r="BP217" s="658" t="n"/>
    </row>
    <row r="218" ht="12.75" customHeight="1" s="7635">
      <c r="A218" s="1277" t="n"/>
      <c r="B218" s="11602" t="n"/>
      <c r="J218" s="7636" t="n"/>
      <c r="K218" s="4772" t="n"/>
      <c r="S218" s="11741" t="n"/>
      <c r="Y218" s="7636" t="n"/>
      <c r="Z218" s="4772" t="n"/>
      <c r="AG218" s="7636" t="n"/>
      <c r="AH218" s="4772" t="n"/>
      <c r="AP218" s="1277" t="n"/>
      <c r="BG218" s="769" t="n"/>
      <c r="BH218" s="658" t="n"/>
      <c r="BI218" s="658" t="n"/>
      <c r="BJ218" s="658" t="n"/>
      <c r="BK218" s="658" t="n"/>
      <c r="BL218" s="658" t="n"/>
      <c r="BM218" s="658" t="n"/>
      <c r="BN218" s="658" t="n"/>
      <c r="BO218" s="658" t="n"/>
      <c r="BP218" s="658" t="n"/>
    </row>
    <row r="219" ht="12.75" customHeight="1" s="7635">
      <c r="A219" s="1277" t="n"/>
      <c r="B219" s="413" t="n"/>
      <c r="C219" s="7637" t="n"/>
      <c r="D219" s="7637" t="n"/>
      <c r="E219" s="7637" t="n"/>
      <c r="F219" s="7637" t="n"/>
      <c r="G219" s="7637" t="n"/>
      <c r="H219" s="7637" t="n"/>
      <c r="I219" s="7637" t="n"/>
      <c r="J219" s="7638" t="n"/>
      <c r="K219" s="3614" t="n"/>
      <c r="L219" s="7637" t="n"/>
      <c r="M219" s="7637" t="n"/>
      <c r="N219" s="7637" t="n"/>
      <c r="O219" s="7637" t="n"/>
      <c r="P219" s="7637" t="n"/>
      <c r="Q219" s="7637" t="n"/>
      <c r="R219" s="7637" t="n"/>
      <c r="S219" s="11907" t="n"/>
      <c r="T219" s="7637" t="n"/>
      <c r="U219" s="7637" t="n"/>
      <c r="V219" s="7637" t="n"/>
      <c r="W219" s="7637" t="n"/>
      <c r="X219" s="7637" t="n"/>
      <c r="Y219" s="7638" t="n"/>
      <c r="Z219" s="3614" t="n"/>
      <c r="AA219" s="7637" t="n"/>
      <c r="AB219" s="7637" t="n"/>
      <c r="AC219" s="7637" t="n"/>
      <c r="AD219" s="7637" t="n"/>
      <c r="AE219" s="7637" t="n"/>
      <c r="AF219" s="7637" t="n"/>
      <c r="AG219" s="7638" t="n"/>
      <c r="AH219" s="3614" t="n"/>
      <c r="AI219" s="7637" t="n"/>
      <c r="AJ219" s="7637" t="n"/>
      <c r="AK219" s="7637" t="n"/>
      <c r="AL219" s="7637" t="n"/>
      <c r="AM219" s="7637" t="n"/>
      <c r="AN219" s="7637" t="n"/>
      <c r="AO219" s="7637" t="n"/>
      <c r="AP219" s="1277" t="n"/>
      <c r="BG219" s="769" t="n"/>
      <c r="BH219" s="658" t="n"/>
      <c r="BI219" s="658" t="n"/>
      <c r="BJ219" s="658" t="n"/>
      <c r="BK219" s="658" t="n"/>
      <c r="BL219" s="658" t="n"/>
      <c r="BM219" s="658" t="n"/>
      <c r="BN219" s="658" t="n"/>
      <c r="BO219" s="658" t="n"/>
      <c r="BP219" s="658" t="n"/>
    </row>
    <row r="220" ht="13.5" customHeight="1" s="7635">
      <c r="A220" s="1277" t="n"/>
      <c r="B220" s="11220" t="inlineStr">
        <is>
          <t>A</t>
        </is>
      </c>
      <c r="C220" s="8401" t="n"/>
      <c r="D220" s="8007" t="n"/>
      <c r="E220" s="8007" t="n"/>
      <c r="F220" s="8007" t="n"/>
      <c r="G220" s="8007" t="n"/>
      <c r="H220" s="8007" t="n"/>
      <c r="I220" s="8007" t="n"/>
      <c r="J220" s="8008" t="n"/>
      <c r="K220" s="12127" t="n"/>
      <c r="L220" s="8007" t="n"/>
      <c r="M220" s="8007" t="n"/>
      <c r="N220" s="8007" t="n"/>
      <c r="O220" s="8007" t="n"/>
      <c r="P220" s="8007" t="n"/>
      <c r="Q220" s="8007" t="n"/>
      <c r="R220" s="12128" t="n"/>
      <c r="S220" s="8402" t="n"/>
      <c r="T220" s="8007" t="n"/>
      <c r="U220" s="8007" t="n"/>
      <c r="V220" s="8007" t="n"/>
      <c r="W220" s="8007" t="n"/>
      <c r="X220" s="8007" t="n"/>
      <c r="Y220" s="8007" t="n"/>
      <c r="Z220" s="8401" t="n"/>
      <c r="AA220" s="8007" t="n"/>
      <c r="AB220" s="8007" t="n"/>
      <c r="AC220" s="8007" t="n"/>
      <c r="AD220" s="8007" t="n"/>
      <c r="AE220" s="8007" t="n"/>
      <c r="AF220" s="8007" t="n"/>
      <c r="AG220" s="8008" t="n"/>
      <c r="AH220" s="8402" t="n"/>
      <c r="AI220" s="8007" t="n"/>
      <c r="AJ220" s="8007" t="n"/>
      <c r="AK220" s="8007" t="n"/>
      <c r="AL220" s="8007" t="n"/>
      <c r="AM220" s="8007" t="n"/>
      <c r="AN220" s="8007" t="n"/>
      <c r="AO220" s="8007" t="n"/>
      <c r="AP220" s="1277" t="n"/>
      <c r="BG220" s="769" t="n"/>
      <c r="BH220" s="658" t="n"/>
      <c r="BI220" s="658" t="n"/>
      <c r="BJ220" s="658" t="n"/>
      <c r="BK220" s="658" t="n"/>
      <c r="BL220" s="658" t="n"/>
      <c r="BM220" s="658" t="n"/>
      <c r="BN220" s="658" t="n"/>
      <c r="BO220" s="658" t="n"/>
      <c r="BP220" s="658" t="n"/>
    </row>
    <row r="221" ht="13.5" customHeight="1" s="7635">
      <c r="A221" s="1277" t="n"/>
      <c r="B221" s="4824" t="inlineStr">
        <is>
          <t>B</t>
        </is>
      </c>
      <c r="C221" s="8401" t="n"/>
      <c r="D221" s="8007" t="n"/>
      <c r="E221" s="8007" t="n"/>
      <c r="F221" s="8007" t="n"/>
      <c r="G221" s="8007" t="n"/>
      <c r="H221" s="8007" t="n"/>
      <c r="I221" s="8007" t="n"/>
      <c r="J221" s="8008" t="n"/>
      <c r="K221" s="12127" t="n"/>
      <c r="L221" s="8007" t="n"/>
      <c r="M221" s="8007" t="n"/>
      <c r="N221" s="8007" t="n"/>
      <c r="O221" s="8007" t="n"/>
      <c r="P221" s="8007" t="n"/>
      <c r="Q221" s="8007" t="n"/>
      <c r="R221" s="12128" t="n"/>
      <c r="S221" s="8402" t="n"/>
      <c r="T221" s="8007" t="n"/>
      <c r="U221" s="8007" t="n"/>
      <c r="V221" s="8007" t="n"/>
      <c r="W221" s="8007" t="n"/>
      <c r="X221" s="8007" t="n"/>
      <c r="Y221" s="8007" t="n"/>
      <c r="Z221" s="8401" t="n"/>
      <c r="AA221" s="8007" t="n"/>
      <c r="AB221" s="8007" t="n"/>
      <c r="AC221" s="8007" t="n"/>
      <c r="AD221" s="8007" t="n"/>
      <c r="AE221" s="8007" t="n"/>
      <c r="AF221" s="8007" t="n"/>
      <c r="AG221" s="8008" t="n"/>
      <c r="AH221" s="8402" t="n"/>
      <c r="AI221" s="8007" t="n"/>
      <c r="AJ221" s="8007" t="n"/>
      <c r="AK221" s="8007" t="n"/>
      <c r="AL221" s="8007" t="n"/>
      <c r="AM221" s="8007" t="n"/>
      <c r="AN221" s="8007" t="n"/>
      <c r="AO221" s="8007" t="n"/>
      <c r="AP221" s="1277" t="n"/>
      <c r="BG221" s="769" t="n"/>
      <c r="BH221" s="658" t="n"/>
      <c r="BI221" s="658" t="n"/>
      <c r="BJ221" s="658" t="n"/>
      <c r="BK221" s="658" t="n"/>
      <c r="BL221" s="658" t="n"/>
      <c r="BM221" s="658" t="n"/>
      <c r="BN221" s="658" t="n"/>
      <c r="BO221" s="658" t="n"/>
      <c r="BP221" s="658" t="n"/>
    </row>
    <row r="222" ht="13.5" customHeight="1" s="7635">
      <c r="A222" s="1277" t="n"/>
      <c r="B222" s="4824" t="inlineStr">
        <is>
          <t>C</t>
        </is>
      </c>
      <c r="C222" s="8401" t="n"/>
      <c r="D222" s="8007" t="n"/>
      <c r="E222" s="8007" t="n"/>
      <c r="F222" s="8007" t="n"/>
      <c r="G222" s="8007" t="n"/>
      <c r="H222" s="8007" t="n"/>
      <c r="I222" s="8007" t="n"/>
      <c r="J222" s="8008" t="n"/>
      <c r="K222" s="12127" t="n"/>
      <c r="L222" s="8007" t="n"/>
      <c r="M222" s="8007" t="n"/>
      <c r="N222" s="8007" t="n"/>
      <c r="O222" s="8007" t="n"/>
      <c r="P222" s="8007" t="n"/>
      <c r="Q222" s="8007" t="n"/>
      <c r="R222" s="12128" t="n"/>
      <c r="S222" s="8402" t="n"/>
      <c r="T222" s="8007" t="n"/>
      <c r="U222" s="8007" t="n"/>
      <c r="V222" s="8007" t="n"/>
      <c r="W222" s="8007" t="n"/>
      <c r="X222" s="8007" t="n"/>
      <c r="Y222" s="8007" t="n"/>
      <c r="Z222" s="8401" t="n"/>
      <c r="AA222" s="8007" t="n"/>
      <c r="AB222" s="8007" t="n"/>
      <c r="AC222" s="8007" t="n"/>
      <c r="AD222" s="8007" t="n"/>
      <c r="AE222" s="8007" t="n"/>
      <c r="AF222" s="8007" t="n"/>
      <c r="AG222" s="8008" t="n"/>
      <c r="AH222" s="8402" t="n"/>
      <c r="AI222" s="8007" t="n"/>
      <c r="AJ222" s="8007" t="n"/>
      <c r="AK222" s="8007" t="n"/>
      <c r="AL222" s="8007" t="n"/>
      <c r="AM222" s="8007" t="n"/>
      <c r="AN222" s="8007" t="n"/>
      <c r="AO222" s="8007" t="n"/>
      <c r="AP222" s="1277" t="n"/>
      <c r="BG222" s="769" t="n"/>
      <c r="BH222" s="658" t="n"/>
      <c r="BI222" s="658" t="n"/>
      <c r="BJ222" s="658" t="n"/>
      <c r="BK222" s="658" t="n"/>
      <c r="BL222" s="658" t="n"/>
      <c r="BM222" s="658" t="n"/>
      <c r="BN222" s="658" t="n"/>
      <c r="BO222" s="658" t="n"/>
      <c r="BP222" s="658" t="n"/>
    </row>
    <row r="223" ht="13.5" customHeight="1" s="7635">
      <c r="A223" s="1277" t="n"/>
      <c r="B223" s="4824" t="inlineStr">
        <is>
          <t>D</t>
        </is>
      </c>
      <c r="C223" s="8401" t="n"/>
      <c r="D223" s="8007" t="n"/>
      <c r="E223" s="8007" t="n"/>
      <c r="F223" s="8007" t="n"/>
      <c r="G223" s="8007" t="n"/>
      <c r="H223" s="8007" t="n"/>
      <c r="I223" s="8007" t="n"/>
      <c r="J223" s="8008" t="n"/>
      <c r="K223" s="12127" t="n"/>
      <c r="L223" s="8007" t="n"/>
      <c r="M223" s="8007" t="n"/>
      <c r="N223" s="8007" t="n"/>
      <c r="O223" s="8007" t="n"/>
      <c r="P223" s="8007" t="n"/>
      <c r="Q223" s="8007" t="n"/>
      <c r="R223" s="12128" t="n"/>
      <c r="S223" s="8402" t="n"/>
      <c r="T223" s="8007" t="n"/>
      <c r="U223" s="8007" t="n"/>
      <c r="V223" s="8007" t="n"/>
      <c r="W223" s="8007" t="n"/>
      <c r="X223" s="8007" t="n"/>
      <c r="Y223" s="8007" t="n"/>
      <c r="Z223" s="8401" t="n"/>
      <c r="AA223" s="8007" t="n"/>
      <c r="AB223" s="8007" t="n"/>
      <c r="AC223" s="8007" t="n"/>
      <c r="AD223" s="8007" t="n"/>
      <c r="AE223" s="8007" t="n"/>
      <c r="AF223" s="8007" t="n"/>
      <c r="AG223" s="8008" t="n"/>
      <c r="AH223" s="8402" t="n"/>
      <c r="AI223" s="8007" t="n"/>
      <c r="AJ223" s="8007" t="n"/>
      <c r="AK223" s="8007" t="n"/>
      <c r="AL223" s="8007" t="n"/>
      <c r="AM223" s="8007" t="n"/>
      <c r="AN223" s="8007" t="n"/>
      <c r="AO223" s="8007" t="n"/>
      <c r="AP223" s="1277" t="n"/>
      <c r="BG223" s="769" t="n"/>
      <c r="BH223" s="658" t="n"/>
      <c r="BI223" s="658" t="n"/>
      <c r="BJ223" s="658" t="n"/>
      <c r="BK223" s="658" t="n"/>
      <c r="BL223" s="658" t="n"/>
      <c r="BM223" s="658" t="n"/>
      <c r="BN223" s="658" t="n"/>
      <c r="BO223" s="658" t="n"/>
      <c r="BP223" s="658" t="n"/>
    </row>
    <row r="224" ht="13.5" customHeight="1" s="7635">
      <c r="A224" s="1277" t="n"/>
      <c r="B224" s="8384" t="inlineStr">
        <is>
          <t>29a</t>
        </is>
      </c>
      <c r="C224" s="7839" t="n"/>
      <c r="D224" s="9892" t="n"/>
      <c r="E224" s="9892" t="inlineStr">
        <is>
          <t>Totals</t>
        </is>
      </c>
      <c r="F224" s="4825" t="n"/>
      <c r="G224" s="3835" t="n"/>
      <c r="H224" s="3835" t="n"/>
      <c r="I224" s="3835" t="n"/>
      <c r="J224" s="4826" t="n"/>
      <c r="K224" s="12129">
        <f>ROUND(SUM(K220:K223),0)</f>
        <v/>
      </c>
      <c r="L224" s="8412" t="n"/>
      <c r="M224" s="8412" t="n"/>
      <c r="N224" s="8412" t="n"/>
      <c r="O224" s="8412" t="n"/>
      <c r="P224" s="8412" t="n"/>
      <c r="Q224" s="8412" t="n"/>
      <c r="R224" s="12130" t="n"/>
      <c r="S224" s="8486" t="n"/>
      <c r="T224" s="8007" t="n"/>
      <c r="U224" s="8007" t="n"/>
      <c r="V224" s="8007" t="n"/>
      <c r="W224" s="8007" t="n"/>
      <c r="X224" s="8007" t="n"/>
      <c r="Y224" s="8007" t="n"/>
      <c r="Z224" s="3835" t="n"/>
      <c r="AA224" s="3835" t="n"/>
      <c r="AB224" s="3835" t="n"/>
      <c r="AC224" s="3835" t="n"/>
      <c r="AD224" s="3835" t="n"/>
      <c r="AE224" s="3835" t="n"/>
      <c r="AF224" s="3835" t="n"/>
      <c r="AG224" s="4826" t="n"/>
      <c r="AH224" s="8408">
        <f>ROUND(SUM(AH220:AH223),0)</f>
        <v/>
      </c>
      <c r="AI224" s="8412" t="n"/>
      <c r="AJ224" s="8412" t="n"/>
      <c r="AK224" s="8412" t="n"/>
      <c r="AL224" s="8412" t="n"/>
      <c r="AM224" s="8412" t="n"/>
      <c r="AN224" s="8412" t="n"/>
      <c r="AO224" s="8412" t="n"/>
      <c r="AP224" s="1277" t="n"/>
      <c r="BG224" s="769" t="n"/>
      <c r="BH224" s="658" t="n"/>
      <c r="BI224" s="658" t="n"/>
      <c r="BJ224" s="658" t="n"/>
      <c r="BK224" s="658" t="n"/>
      <c r="BL224" s="658" t="n"/>
      <c r="BM224" s="658" t="n"/>
      <c r="BN224" s="658" t="n"/>
      <c r="BO224" s="658" t="n"/>
      <c r="BP224" s="658" t="n"/>
    </row>
    <row r="225" ht="13.5" customHeight="1" s="7635">
      <c r="A225" s="1277" t="n"/>
      <c r="B225" s="7899" t="inlineStr">
        <is>
          <t>b</t>
        </is>
      </c>
      <c r="D225" s="8650" t="n"/>
      <c r="E225" s="9892" t="inlineStr">
        <is>
          <t>Totals</t>
        </is>
      </c>
      <c r="F225" s="12131">
        <f>ROUND(SUM(C220:C223),0)</f>
        <v/>
      </c>
      <c r="G225" s="8412" t="n"/>
      <c r="H225" s="8412" t="n"/>
      <c r="I225" s="8412" t="n"/>
      <c r="J225" s="11734" t="n"/>
      <c r="K225" s="12132" t="n"/>
      <c r="L225" s="8412" t="n"/>
      <c r="M225" s="8412" t="n"/>
      <c r="N225" s="8412" t="n"/>
      <c r="O225" s="8412" t="n"/>
      <c r="P225" s="8412" t="n"/>
      <c r="Q225" s="8412" t="n"/>
      <c r="R225" s="12130" t="n"/>
      <c r="S225" s="12133">
        <f>ROUND(SUM(S220:S223),0)</f>
        <v/>
      </c>
      <c r="T225" s="8412" t="n"/>
      <c r="U225" s="8412" t="n"/>
      <c r="V225" s="8412" t="n"/>
      <c r="W225" s="8412" t="n"/>
      <c r="X225" s="8412" t="n"/>
      <c r="Y225" s="11734" t="n"/>
      <c r="Z225" s="8494">
        <f>ROUND(SUM(Z220:Z223),0)</f>
        <v/>
      </c>
      <c r="AA225" s="8412" t="n"/>
      <c r="AB225" s="8412" t="n"/>
      <c r="AC225" s="8412" t="n"/>
      <c r="AD225" s="8412" t="n"/>
      <c r="AE225" s="8412" t="n"/>
      <c r="AF225" s="8412" t="n"/>
      <c r="AG225" s="11734" t="n"/>
      <c r="AH225" s="8495" t="n"/>
      <c r="AI225" s="8412" t="n"/>
      <c r="AJ225" s="8412" t="n"/>
      <c r="AK225" s="8412" t="n"/>
      <c r="AL225" s="8412" t="n"/>
      <c r="AM225" s="8412" t="n"/>
      <c r="AN225" s="8412" t="n"/>
      <c r="AO225" s="11734" t="n"/>
      <c r="AP225" s="1277" t="n"/>
      <c r="BG225" s="769" t="n"/>
      <c r="BH225" s="658" t="n"/>
      <c r="BI225" s="658" t="n"/>
      <c r="BJ225" s="658" t="n"/>
      <c r="BK225" s="658" t="n"/>
      <c r="BL225" s="658" t="n"/>
      <c r="BM225" s="658" t="n"/>
      <c r="BN225" s="658" t="n"/>
      <c r="BO225" s="658" t="n"/>
      <c r="BP225" s="658" t="n"/>
    </row>
    <row r="226" ht="12.75" customHeight="1" s="7635">
      <c r="A226" s="1277" t="n"/>
      <c r="B226" s="7642" t="n">
        <v>30</v>
      </c>
      <c r="D226" s="8650" t="inlineStr">
        <is>
          <t>Add columns (h) and (k) of line 29a</t>
        </is>
      </c>
      <c r="E226" s="11602" t="n"/>
      <c r="F226" s="11602" t="n"/>
      <c r="G226" s="11602" t="n"/>
      <c r="H226" s="11602" t="n"/>
      <c r="I226" s="11602" t="n"/>
      <c r="J226" s="11602" t="n"/>
      <c r="K226" s="11602" t="n"/>
      <c r="L226" s="11602" t="n"/>
      <c r="M226" s="11602" t="n"/>
      <c r="N226" s="11602" t="n"/>
      <c r="O226" s="11602" t="n"/>
      <c r="P226" s="11602" t="n"/>
      <c r="Q226" s="11602" t="n"/>
      <c r="R226" s="11602" t="n"/>
      <c r="S226" s="11602" t="n"/>
      <c r="T226" s="11602" t="n"/>
      <c r="U226" s="11602" t="n"/>
      <c r="V226" s="11602" t="n"/>
      <c r="W226" s="11602" t="n"/>
      <c r="X226" s="11602" t="n"/>
      <c r="Y226" s="11602" t="n"/>
      <c r="Z226" s="11602" t="n"/>
      <c r="AA226" s="11602" t="n"/>
      <c r="AB226" s="11602" t="n"/>
      <c r="AC226" s="11602" t="n"/>
      <c r="AD226" s="11602" t="n"/>
      <c r="AE226" s="2198" t="inlineStr">
        <is>
          <t xml:space="preserve">.   .   .   .   .   .   .   .   .   .   .   .   .   .   .   .   .   .   .   .   .   .   .   . </t>
        </is>
      </c>
      <c r="AF226" s="12134" t="n">
        <v>30</v>
      </c>
      <c r="AG226" s="10091" t="n"/>
      <c r="AH226" s="8413">
        <f>SUM(K224,AH224)</f>
        <v/>
      </c>
      <c r="AI226" s="8412" t="n"/>
      <c r="AJ226" s="8412" t="n"/>
      <c r="AK226" s="8412" t="n"/>
      <c r="AL226" s="8412" t="n"/>
      <c r="AM226" s="8412" t="n"/>
      <c r="AN226" s="8412" t="n"/>
      <c r="AO226" s="8412" t="n"/>
      <c r="AP226" s="1277" t="n"/>
      <c r="AQ226" s="2875" t="n"/>
      <c r="AR226" s="2875" t="n"/>
      <c r="AS226" s="2875" t="n"/>
      <c r="BG226" s="769" t="n"/>
      <c r="BH226" s="658" t="n"/>
      <c r="BI226" s="658" t="n"/>
      <c r="BJ226" s="658" t="n"/>
      <c r="BK226" s="658" t="n"/>
      <c r="BL226" s="658" t="n"/>
      <c r="BM226" s="658" t="n"/>
      <c r="BN226" s="658" t="n"/>
      <c r="BO226" s="658" t="n"/>
      <c r="BP226" s="658" t="n"/>
    </row>
    <row r="227" ht="12.75" customHeight="1" s="7635" thickBot="1">
      <c r="A227" s="1277" t="n"/>
      <c r="B227" s="7642" t="n">
        <v>31</v>
      </c>
      <c r="D227" s="8650" t="inlineStr">
        <is>
          <t>Add columns (g), (i), and (j) of line 29b</t>
        </is>
      </c>
      <c r="E227" s="11602" t="n"/>
      <c r="F227" s="11602" t="n"/>
      <c r="G227" s="11602" t="n"/>
      <c r="H227" s="11602" t="n"/>
      <c r="I227" s="11602" t="n"/>
      <c r="J227" s="11602" t="n"/>
      <c r="K227" s="11602" t="n"/>
      <c r="L227" s="11602" t="n"/>
      <c r="M227" s="11602" t="n"/>
      <c r="N227" s="11602" t="n"/>
      <c r="O227" s="11602" t="n"/>
      <c r="P227" s="11602" t="n"/>
      <c r="Q227" s="11602" t="n"/>
      <c r="R227" s="11602" t="n"/>
      <c r="S227" s="11602" t="n"/>
      <c r="T227" s="11602" t="n"/>
      <c r="U227" s="11602" t="n"/>
      <c r="V227" s="11602" t="n"/>
      <c r="W227" s="11602" t="n"/>
      <c r="X227" s="11602" t="n"/>
      <c r="Y227" s="11602" t="n"/>
      <c r="Z227" s="11602" t="n"/>
      <c r="AA227" s="11602" t="n"/>
      <c r="AB227" s="11602" t="n"/>
      <c r="AC227" s="11602" t="n"/>
      <c r="AD227" s="11602" t="n"/>
      <c r="AE227" s="2198" t="inlineStr">
        <is>
          <t xml:space="preserve">.   .   .   .   .   .   .   .   .   .   .   .   .   .   .   .   .   .   .   .   .   .   . </t>
        </is>
      </c>
      <c r="AF227" s="12134" t="n">
        <v>31</v>
      </c>
      <c r="AG227" s="10091" t="n"/>
      <c r="AH227" s="4827" t="inlineStr">
        <is>
          <t>(</t>
        </is>
      </c>
      <c r="AI227" s="8480">
        <f>SUM(F225,S225,Z225)</f>
        <v/>
      </c>
      <c r="AJ227" s="7839" t="n"/>
      <c r="AK227" s="7839" t="n"/>
      <c r="AL227" s="7839" t="n"/>
      <c r="AM227" s="7839" t="n"/>
      <c r="AN227" s="7839" t="n"/>
      <c r="AO227" s="4828" t="inlineStr">
        <is>
          <t>)</t>
        </is>
      </c>
      <c r="AP227" s="1277" t="n"/>
      <c r="AQ227" s="2875" t="n"/>
      <c r="AR227" s="8788" t="inlineStr">
        <is>
          <t>Override</t>
        </is>
      </c>
      <c r="AS227" s="2875" t="n"/>
      <c r="BG227" s="769" t="n"/>
      <c r="BH227" s="658" t="n"/>
      <c r="BI227" s="658" t="n"/>
      <c r="BJ227" s="658" t="n"/>
      <c r="BK227" s="658" t="n"/>
      <c r="BL227" s="658" t="n"/>
      <c r="BM227" s="658" t="n"/>
      <c r="BN227" s="658" t="n"/>
      <c r="BO227" s="658" t="n"/>
      <c r="BP227" s="658" t="n"/>
    </row>
    <row r="228" ht="12.75" customHeight="1" s="7635" thickBot="1">
      <c r="A228" s="1277" t="n"/>
      <c r="B228" s="8481" t="n">
        <v>32</v>
      </c>
      <c r="C228" s="8848" t="n"/>
      <c r="D228" s="4830" t="inlineStr">
        <is>
          <t>Total partnership and S corporation income or (loss). Combine lines 30 and 31</t>
        </is>
      </c>
      <c r="E228" s="380" t="n"/>
      <c r="F228" s="380" t="n"/>
      <c r="G228" s="380" t="n"/>
      <c r="H228" s="380" t="n"/>
      <c r="I228" s="380" t="n"/>
      <c r="J228" s="380" t="n"/>
      <c r="K228" s="380" t="n"/>
      <c r="L228" s="380" t="n"/>
      <c r="M228" s="380" t="n"/>
      <c r="N228" s="380" t="n"/>
      <c r="O228" s="380" t="n"/>
      <c r="P228" s="380" t="n"/>
      <c r="Q228" s="380" t="n"/>
      <c r="R228" s="380" t="n"/>
      <c r="S228" s="380" t="n"/>
      <c r="T228" s="380" t="n"/>
      <c r="U228" s="380" t="n"/>
      <c r="V228" s="380" t="n"/>
      <c r="W228" s="380" t="n"/>
      <c r="X228" s="380" t="n"/>
      <c r="Y228" s="380" t="n"/>
      <c r="Z228" s="380" t="n"/>
      <c r="AA228" s="380" t="n"/>
      <c r="AB228" s="380" t="n"/>
      <c r="AC228" s="380" t="n"/>
      <c r="AD228" s="380" t="n"/>
      <c r="AE228" s="4533" t="inlineStr">
        <is>
          <t xml:space="preserve">.   .   .   . </t>
        </is>
      </c>
      <c r="AF228" s="12135" t="n">
        <v>32</v>
      </c>
      <c r="AG228" s="12136" t="n"/>
      <c r="AH228" s="8484">
        <f>IF(AR228&lt;&gt;"",ROUND(AR228,0),SUM(AH226,-AI227))</f>
        <v/>
      </c>
      <c r="AI228" s="12137" t="n"/>
      <c r="AJ228" s="12137" t="n"/>
      <c r="AK228" s="12137" t="n"/>
      <c r="AL228" s="12137" t="n"/>
      <c r="AM228" s="12137" t="n"/>
      <c r="AN228" s="12137" t="n"/>
      <c r="AO228" s="12137" t="n"/>
      <c r="AP228" s="1277" t="n"/>
      <c r="AQ228" s="2875" t="n"/>
      <c r="AR228" s="776" t="n"/>
      <c r="AS228" s="2875" t="n"/>
      <c r="BG228" s="769" t="n"/>
      <c r="BH228" s="658" t="n"/>
      <c r="BI228" s="658" t="n"/>
      <c r="BJ228" s="658" t="n"/>
      <c r="BK228" s="658" t="n"/>
      <c r="BL228" s="658" t="n"/>
      <c r="BM228" s="658" t="n"/>
      <c r="BN228" s="658" t="n"/>
      <c r="BO228" s="658" t="n"/>
      <c r="BP228" s="658" t="n"/>
    </row>
    <row r="229" ht="17.25" customFormat="1" customHeight="1" s="1405">
      <c r="A229" s="2119" t="n"/>
      <c r="B229" s="8463" t="inlineStr">
        <is>
          <t>Part III</t>
        </is>
      </c>
      <c r="C229" s="7637" t="n"/>
      <c r="D229" s="7637" t="n"/>
      <c r="E229" s="1998" t="n"/>
      <c r="F229" s="1997" t="inlineStr">
        <is>
          <t>Income or Loss From Estates and Trusts</t>
        </is>
      </c>
      <c r="G229" s="1998" t="n"/>
      <c r="H229" s="1998" t="n"/>
      <c r="I229" s="1998" t="n"/>
      <c r="J229" s="1998" t="n"/>
      <c r="K229" s="1998" t="n"/>
      <c r="L229" s="1998" t="n"/>
      <c r="M229" s="1998" t="n"/>
      <c r="N229" s="1998" t="n"/>
      <c r="O229" s="1998" t="n"/>
      <c r="P229" s="1998" t="n"/>
      <c r="Q229" s="1998" t="n"/>
      <c r="R229" s="1998" t="n"/>
      <c r="S229" s="1998" t="n"/>
      <c r="T229" s="1998" t="n"/>
      <c r="U229" s="1998" t="n"/>
      <c r="V229" s="1998" t="n"/>
      <c r="W229" s="1998" t="n"/>
      <c r="X229" s="1996" t="n"/>
      <c r="Y229" s="1998" t="n"/>
      <c r="Z229" s="1998" t="n"/>
      <c r="AA229" s="1998" t="n"/>
      <c r="AB229" s="1998" t="n"/>
      <c r="AC229" s="1998" t="n"/>
      <c r="AD229" s="1998" t="n"/>
      <c r="AE229" s="1998" t="n"/>
      <c r="AF229" s="1998" t="n"/>
      <c r="AG229" s="1998" t="n"/>
      <c r="AH229" s="1998" t="n"/>
      <c r="AI229" s="1998" t="n"/>
      <c r="AJ229" s="1998" t="n"/>
      <c r="AK229" s="1998" t="n"/>
      <c r="AL229" s="1998" t="n"/>
      <c r="AM229" s="1998" t="n"/>
      <c r="AN229" s="1998" t="n"/>
      <c r="AO229" s="1998" t="n"/>
      <c r="AP229" s="1277" t="n"/>
      <c r="AQ229" s="2875" t="n"/>
      <c r="AR229" s="2875" t="n"/>
      <c r="AS229" s="2875" t="n"/>
      <c r="BG229" s="769" t="n"/>
      <c r="BH229" s="658" t="n"/>
      <c r="BI229" s="658" t="n"/>
      <c r="BJ229" s="658" t="n"/>
      <c r="BK229" s="658" t="n"/>
      <c r="BL229" s="658" t="n"/>
      <c r="BM229" s="658" t="n"/>
      <c r="BN229" s="658" t="n"/>
      <c r="BO229" s="658" t="n"/>
      <c r="BP229" s="658" t="n"/>
      <c r="BQ229" s="815" t="n"/>
    </row>
    <row r="230" ht="12.75" customHeight="1" s="7635">
      <c r="A230" s="1277" t="n"/>
      <c r="B230" s="406" t="n"/>
      <c r="C230" s="406" t="n"/>
      <c r="D230" s="406" t="n"/>
      <c r="E230" s="406" t="n"/>
      <c r="F230" s="406" t="n"/>
      <c r="G230" s="406" t="n"/>
      <c r="H230" s="406" t="n"/>
      <c r="I230" s="406" t="n"/>
      <c r="J230" s="406" t="n"/>
      <c r="K230" s="406" t="n"/>
      <c r="L230" s="406" t="n"/>
      <c r="M230" s="406" t="n"/>
      <c r="N230" s="406" t="n"/>
      <c r="O230" s="406" t="n"/>
      <c r="P230" s="406" t="n"/>
      <c r="Q230" s="406" t="n"/>
      <c r="R230" s="406" t="n"/>
      <c r="S230" s="406" t="n"/>
      <c r="T230" s="406" t="n"/>
      <c r="U230" s="406" t="n"/>
      <c r="V230" s="406" t="n"/>
      <c r="W230" s="406" t="n"/>
      <c r="X230" s="406" t="n"/>
      <c r="Y230" s="406" t="n"/>
      <c r="Z230" s="406" t="n"/>
      <c r="AA230" s="406" t="n"/>
      <c r="AB230" s="406" t="n"/>
      <c r="AC230" s="406" t="n"/>
      <c r="AD230" s="406" t="n"/>
      <c r="AE230" s="406" t="n"/>
      <c r="AF230" s="406" t="n"/>
      <c r="AG230" s="407" t="n"/>
      <c r="AH230" s="10176" t="inlineStr">
        <is>
          <t>(b)  Employer 
identification number</t>
        </is>
      </c>
      <c r="AI230" s="7839" t="n"/>
      <c r="AJ230" s="7839" t="n"/>
      <c r="AK230" s="7839" t="n"/>
      <c r="AL230" s="7839" t="n"/>
      <c r="AM230" s="7839" t="n"/>
      <c r="AN230" s="7839" t="n"/>
      <c r="AO230" s="7839" t="n"/>
      <c r="AP230" s="1277" t="n"/>
      <c r="BG230" s="769" t="n"/>
      <c r="BH230" s="658" t="n"/>
      <c r="BI230" s="658" t="n"/>
      <c r="BJ230" s="658" t="n"/>
      <c r="BK230" s="658" t="n"/>
      <c r="BL230" s="658" t="n"/>
      <c r="BM230" s="658" t="n"/>
      <c r="BN230" s="658" t="n"/>
      <c r="BO230" s="658" t="n"/>
      <c r="BP230" s="658" t="n"/>
    </row>
    <row r="231" ht="12.75" customHeight="1" s="7635">
      <c r="A231" s="1277" t="n"/>
      <c r="B231" s="8439" t="n">
        <v>33</v>
      </c>
      <c r="D231" s="11602" t="n"/>
      <c r="E231" s="11602" t="n"/>
      <c r="F231" s="11602" t="n"/>
      <c r="G231" s="11602" t="n"/>
      <c r="H231" s="11602" t="n"/>
      <c r="I231" s="11602" t="n"/>
      <c r="J231" s="11602" t="n"/>
      <c r="K231" s="11602" t="n"/>
      <c r="L231" s="11602" t="n"/>
      <c r="M231" s="11602" t="n"/>
      <c r="N231" s="11602" t="n"/>
      <c r="O231" s="11602" t="n"/>
      <c r="P231" s="344" t="inlineStr">
        <is>
          <t>(a)  Name</t>
        </is>
      </c>
      <c r="Q231" s="11602" t="n"/>
      <c r="R231" s="11602" t="n"/>
      <c r="S231" s="11602" t="n"/>
      <c r="T231" s="11602" t="n"/>
      <c r="U231" s="11602" t="n"/>
      <c r="V231" s="11602" t="n"/>
      <c r="W231" s="11602" t="n"/>
      <c r="X231" s="11602" t="n"/>
      <c r="Y231" s="11602" t="n"/>
      <c r="Z231" s="11602" t="n"/>
      <c r="AA231" s="11602" t="n"/>
      <c r="AB231" s="11602" t="n"/>
      <c r="AC231" s="11602" t="n"/>
      <c r="AD231" s="11602" t="n"/>
      <c r="AE231" s="11602" t="n"/>
      <c r="AF231" s="11602" t="n"/>
      <c r="AG231" s="409" t="n"/>
      <c r="AH231" s="4772" t="n"/>
      <c r="AP231" s="1277" t="n"/>
      <c r="AX231" s="1405" t="n"/>
      <c r="AY231" s="1405" t="n"/>
      <c r="AZ231" s="1405" t="n"/>
      <c r="BA231" s="1405" t="n"/>
      <c r="BB231" s="1405" t="n"/>
      <c r="BC231" s="1405" t="n"/>
      <c r="BD231" s="1405" t="n"/>
      <c r="BG231" s="769" t="n"/>
      <c r="BH231" s="658" t="n"/>
      <c r="BI231" s="658" t="n"/>
      <c r="BJ231" s="658" t="n"/>
      <c r="BK231" s="658" t="n"/>
      <c r="BL231" s="658" t="n"/>
      <c r="BM231" s="658" t="n"/>
      <c r="BN231" s="658" t="n"/>
      <c r="BO231" s="658" t="n"/>
      <c r="BP231" s="658" t="n"/>
    </row>
    <row r="232" ht="12.75" customHeight="1" s="7635">
      <c r="A232" s="1277" t="n"/>
      <c r="B232" s="413" t="n"/>
      <c r="C232" s="413" t="n"/>
      <c r="D232" s="413" t="n"/>
      <c r="E232" s="413" t="n"/>
      <c r="F232" s="413" t="n"/>
      <c r="G232" s="413" t="n"/>
      <c r="H232" s="413" t="n"/>
      <c r="I232" s="413" t="n"/>
      <c r="J232" s="413" t="n"/>
      <c r="K232" s="413" t="n"/>
      <c r="L232" s="413" t="n"/>
      <c r="M232" s="413" t="n"/>
      <c r="N232" s="413" t="n"/>
      <c r="O232" s="413" t="n"/>
      <c r="P232" s="413" t="n"/>
      <c r="Q232" s="413" t="n"/>
      <c r="R232" s="413" t="n"/>
      <c r="S232" s="413" t="n"/>
      <c r="T232" s="413" t="n"/>
      <c r="U232" s="413" t="n"/>
      <c r="V232" s="413" t="n"/>
      <c r="W232" s="413" t="n"/>
      <c r="X232" s="413" t="n"/>
      <c r="Y232" s="413" t="n"/>
      <c r="Z232" s="413" t="n"/>
      <c r="AA232" s="413" t="n"/>
      <c r="AB232" s="413" t="n"/>
      <c r="AC232" s="413" t="n"/>
      <c r="AD232" s="413" t="n"/>
      <c r="AE232" s="413" t="n"/>
      <c r="AF232" s="413" t="n"/>
      <c r="AG232" s="414" t="n"/>
      <c r="AH232" s="3614" t="n"/>
      <c r="AI232" s="7637" t="n"/>
      <c r="AJ232" s="7637" t="n"/>
      <c r="AK232" s="7637" t="n"/>
      <c r="AL232" s="7637" t="n"/>
      <c r="AM232" s="7637" t="n"/>
      <c r="AN232" s="7637" t="n"/>
      <c r="AO232" s="7637" t="n"/>
      <c r="AP232" s="1277" t="n"/>
      <c r="BG232" s="769" t="n"/>
      <c r="BH232" s="658" t="n"/>
      <c r="BI232" s="658" t="n"/>
      <c r="BJ232" s="658" t="n"/>
      <c r="BK232" s="658" t="n"/>
      <c r="BL232" s="658" t="n"/>
      <c r="BM232" s="658" t="n"/>
      <c r="BN232" s="658" t="n"/>
      <c r="BO232" s="658" t="n"/>
      <c r="BP232" s="658" t="n"/>
    </row>
    <row r="233" ht="13.5" customHeight="1" s="7635">
      <c r="A233" s="1277" t="n"/>
      <c r="B233" s="11220" t="inlineStr">
        <is>
          <t>A</t>
        </is>
      </c>
      <c r="C233" s="12138" t="n"/>
      <c r="D233" s="8007" t="n"/>
      <c r="E233" s="8007" t="n"/>
      <c r="F233" s="8007" t="n"/>
      <c r="G233" s="8007" t="n"/>
      <c r="H233" s="8007" t="n"/>
      <c r="I233" s="8007" t="n"/>
      <c r="J233" s="8007" t="n"/>
      <c r="K233" s="8007" t="n"/>
      <c r="L233" s="8007" t="n"/>
      <c r="M233" s="8007" t="n"/>
      <c r="N233" s="8007" t="n"/>
      <c r="O233" s="8007" t="n"/>
      <c r="P233" s="8007" t="n"/>
      <c r="Q233" s="8007" t="n"/>
      <c r="R233" s="8007" t="n"/>
      <c r="S233" s="8007" t="n"/>
      <c r="T233" s="8007" t="n"/>
      <c r="U233" s="8007" t="n"/>
      <c r="V233" s="8007" t="n"/>
      <c r="W233" s="8007" t="n"/>
      <c r="X233" s="8007" t="n"/>
      <c r="Y233" s="8007" t="n"/>
      <c r="Z233" s="8007" t="n"/>
      <c r="AA233" s="8007" t="n"/>
      <c r="AB233" s="8007" t="n"/>
      <c r="AC233" s="8007" t="n"/>
      <c r="AD233" s="8007" t="n"/>
      <c r="AE233" s="8007" t="n"/>
      <c r="AF233" s="8007" t="n"/>
      <c r="AG233" s="8008" t="n"/>
      <c r="AH233" s="8472" t="n"/>
      <c r="AI233" s="8007" t="n"/>
      <c r="AJ233" s="8007" t="n"/>
      <c r="AK233" s="8007" t="n"/>
      <c r="AL233" s="8007" t="n"/>
      <c r="AM233" s="8007" t="n"/>
      <c r="AN233" s="8007" t="n"/>
      <c r="AO233" s="8007" t="n"/>
      <c r="AP233" s="1277" t="n"/>
      <c r="BG233" s="769" t="n"/>
      <c r="BH233" s="658" t="n"/>
      <c r="BI233" s="658" t="n"/>
      <c r="BJ233" s="658" t="n"/>
      <c r="BK233" s="658" t="n"/>
      <c r="BL233" s="658" t="n"/>
      <c r="BM233" s="658" t="n"/>
      <c r="BN233" s="658" t="n"/>
      <c r="BO233" s="658" t="n"/>
      <c r="BP233" s="658" t="n"/>
    </row>
    <row r="234" ht="13.5" customHeight="1" s="7635">
      <c r="A234" s="1277" t="n"/>
      <c r="B234" s="4824" t="inlineStr">
        <is>
          <t>B</t>
        </is>
      </c>
      <c r="C234" s="12138" t="n"/>
      <c r="D234" s="8007" t="n"/>
      <c r="E234" s="8007" t="n"/>
      <c r="F234" s="8007" t="n"/>
      <c r="G234" s="8007" t="n"/>
      <c r="H234" s="8007" t="n"/>
      <c r="I234" s="8007" t="n"/>
      <c r="J234" s="8007" t="n"/>
      <c r="K234" s="8007" t="n"/>
      <c r="L234" s="8007" t="n"/>
      <c r="M234" s="8007" t="n"/>
      <c r="N234" s="8007" t="n"/>
      <c r="O234" s="8007" t="n"/>
      <c r="P234" s="8007" t="n"/>
      <c r="Q234" s="8007" t="n"/>
      <c r="R234" s="8007" t="n"/>
      <c r="S234" s="8007" t="n"/>
      <c r="T234" s="8007" t="n"/>
      <c r="U234" s="8007" t="n"/>
      <c r="V234" s="8007" t="n"/>
      <c r="W234" s="8007" t="n"/>
      <c r="X234" s="8007" t="n"/>
      <c r="Y234" s="8007" t="n"/>
      <c r="Z234" s="8007" t="n"/>
      <c r="AA234" s="8007" t="n"/>
      <c r="AB234" s="8007" t="n"/>
      <c r="AC234" s="8007" t="n"/>
      <c r="AD234" s="8007" t="n"/>
      <c r="AE234" s="8007" t="n"/>
      <c r="AF234" s="8007" t="n"/>
      <c r="AG234" s="8008" t="n"/>
      <c r="AH234" s="8472" t="n"/>
      <c r="AI234" s="8007" t="n"/>
      <c r="AJ234" s="8007" t="n"/>
      <c r="AK234" s="8007" t="n"/>
      <c r="AL234" s="8007" t="n"/>
      <c r="AM234" s="8007" t="n"/>
      <c r="AN234" s="8007" t="n"/>
      <c r="AO234" s="8007" t="n"/>
      <c r="AP234" s="1277" t="n"/>
      <c r="BG234" s="769" t="n"/>
      <c r="BH234" s="658" t="n"/>
      <c r="BI234" s="658" t="n"/>
      <c r="BJ234" s="658" t="n"/>
      <c r="BK234" s="658" t="n"/>
      <c r="BL234" s="658" t="n"/>
      <c r="BM234" s="658" t="n"/>
      <c r="BN234" s="658" t="n"/>
      <c r="BO234" s="658" t="n"/>
      <c r="BP234" s="658" t="n"/>
    </row>
    <row r="235" ht="17.25" customHeight="1" s="7635">
      <c r="A235" s="1277" t="n"/>
      <c r="B235" s="12139" t="inlineStr">
        <is>
          <t>Passive Income and Loss</t>
        </is>
      </c>
      <c r="C235" s="8412" t="n"/>
      <c r="D235" s="8412" t="n"/>
      <c r="E235" s="8412" t="n"/>
      <c r="F235" s="8412" t="n"/>
      <c r="G235" s="8412" t="n"/>
      <c r="H235" s="8412" t="n"/>
      <c r="I235" s="8412" t="n"/>
      <c r="J235" s="8412" t="n"/>
      <c r="K235" s="8412" t="n"/>
      <c r="L235" s="8412" t="n"/>
      <c r="M235" s="8412" t="n"/>
      <c r="N235" s="8412" t="n"/>
      <c r="O235" s="8412" t="n"/>
      <c r="P235" s="8412" t="n"/>
      <c r="Q235" s="8412" t="n"/>
      <c r="R235" s="8412" t="n"/>
      <c r="S235" s="8412" t="n"/>
      <c r="T235" s="8412" t="n"/>
      <c r="U235" s="8412" t="n"/>
      <c r="V235" s="8412" t="n"/>
      <c r="W235" s="8412" t="n"/>
      <c r="X235" s="12130" t="n"/>
      <c r="Y235" s="8477" t="inlineStr">
        <is>
          <t>Nonpassive Income and Loss</t>
        </is>
      </c>
      <c r="Z235" s="8412" t="n"/>
      <c r="AA235" s="8412" t="n"/>
      <c r="AB235" s="8412" t="n"/>
      <c r="AC235" s="8412" t="n"/>
      <c r="AD235" s="8412" t="n"/>
      <c r="AE235" s="8412" t="n"/>
      <c r="AF235" s="8412" t="n"/>
      <c r="AG235" s="8412" t="n"/>
      <c r="AH235" s="8412" t="n"/>
      <c r="AI235" s="8412" t="n"/>
      <c r="AJ235" s="8412" t="n"/>
      <c r="AK235" s="8412" t="n"/>
      <c r="AL235" s="8412" t="n"/>
      <c r="AM235" s="8412" t="n"/>
      <c r="AN235" s="8412" t="n"/>
      <c r="AO235" s="8412" t="n"/>
      <c r="AP235" s="1277" t="n"/>
      <c r="BG235" s="769" t="n"/>
      <c r="BH235" s="658" t="n"/>
      <c r="BI235" s="658" t="n"/>
      <c r="BJ235" s="658" t="n"/>
      <c r="BK235" s="658" t="n"/>
      <c r="BL235" s="658" t="n"/>
      <c r="BM235" s="658" t="n"/>
      <c r="BN235" s="658" t="n"/>
      <c r="BO235" s="658" t="n"/>
      <c r="BP235" s="658" t="n"/>
    </row>
    <row r="236" ht="12.75" customHeight="1" s="7635">
      <c r="A236" s="1277" t="n"/>
      <c r="B236" s="10177" t="inlineStr">
        <is>
          <t>(c) Passive deduction or loss allowed
(attach Form 8582 if required)</t>
        </is>
      </c>
      <c r="C236" s="7839" t="n"/>
      <c r="D236" s="7839" t="n"/>
      <c r="E236" s="7839" t="n"/>
      <c r="F236" s="7839" t="n"/>
      <c r="G236" s="7839" t="n"/>
      <c r="H236" s="7839" t="n"/>
      <c r="I236" s="7839" t="n"/>
      <c r="J236" s="7839" t="n"/>
      <c r="K236" s="7839" t="n"/>
      <c r="L236" s="7839" t="n"/>
      <c r="M236" s="7839" t="n"/>
      <c r="N236" s="10091" t="n"/>
      <c r="O236" s="10079" t="inlineStr">
        <is>
          <t>(d) Passive income
from Schedule K-1</t>
        </is>
      </c>
      <c r="P236" s="7839" t="n"/>
      <c r="Q236" s="7839" t="n"/>
      <c r="R236" s="7839" t="n"/>
      <c r="S236" s="7839" t="n"/>
      <c r="T236" s="7839" t="n"/>
      <c r="U236" s="7839" t="n"/>
      <c r="V236" s="7839" t="n"/>
      <c r="W236" s="7839" t="n"/>
      <c r="X236" s="7839" t="n"/>
      <c r="Y236" s="12140" t="inlineStr">
        <is>
          <t>(e) Deduction or loss
from Schedule K-1</t>
        </is>
      </c>
      <c r="Z236" s="7839" t="n"/>
      <c r="AA236" s="7839" t="n"/>
      <c r="AB236" s="7839" t="n"/>
      <c r="AC236" s="7839" t="n"/>
      <c r="AD236" s="7839" t="n"/>
      <c r="AE236" s="7839" t="n"/>
      <c r="AF236" s="7839" t="n"/>
      <c r="AG236" s="10091" t="n"/>
      <c r="AH236" s="10079" t="inlineStr">
        <is>
          <t>(f) Other income from
Schedule K-1</t>
        </is>
      </c>
      <c r="AI236" s="7839" t="n"/>
      <c r="AJ236" s="7839" t="n"/>
      <c r="AK236" s="7839" t="n"/>
      <c r="AL236" s="7839" t="n"/>
      <c r="AM236" s="7839" t="n"/>
      <c r="AN236" s="7839" t="n"/>
      <c r="AO236" s="7839" t="n"/>
      <c r="AP236" s="1277" t="n"/>
      <c r="BG236" s="769" t="n"/>
      <c r="BH236" s="658" t="n"/>
      <c r="BI236" s="658" t="n"/>
      <c r="BJ236" s="658" t="n"/>
      <c r="BK236" s="658" t="n"/>
      <c r="BL236" s="658" t="n"/>
      <c r="BM236" s="658" t="n"/>
      <c r="BN236" s="658" t="n"/>
      <c r="BO236" s="658" t="n"/>
      <c r="BP236" s="658" t="n"/>
    </row>
    <row r="237" ht="12.75" customHeight="1" s="7635">
      <c r="A237" s="1277" t="n"/>
      <c r="N237" s="7636" t="n"/>
      <c r="O237" s="4772" t="n"/>
      <c r="Y237" s="11741" t="n"/>
      <c r="AG237" s="7636" t="n"/>
      <c r="AH237" s="4772" t="n"/>
      <c r="AP237" s="1277" t="n"/>
      <c r="BG237" s="769" t="n"/>
      <c r="BH237" s="658" t="n"/>
      <c r="BI237" s="658" t="n"/>
      <c r="BJ237" s="658" t="n"/>
      <c r="BK237" s="658" t="n"/>
      <c r="BL237" s="658" t="n"/>
      <c r="BM237" s="658" t="n"/>
      <c r="BN237" s="658" t="n"/>
      <c r="BO237" s="658" t="n"/>
      <c r="BP237" s="658" t="n"/>
    </row>
    <row r="238" ht="12.75" customHeight="1" s="7635">
      <c r="A238" s="1277" t="n"/>
      <c r="B238" s="7637" t="n"/>
      <c r="C238" s="7637" t="n"/>
      <c r="D238" s="7637" t="n"/>
      <c r="E238" s="7637" t="n"/>
      <c r="F238" s="7637" t="n"/>
      <c r="G238" s="7637" t="n"/>
      <c r="H238" s="7637" t="n"/>
      <c r="I238" s="7637" t="n"/>
      <c r="J238" s="7637" t="n"/>
      <c r="K238" s="7637" t="n"/>
      <c r="L238" s="7637" t="n"/>
      <c r="M238" s="7637" t="n"/>
      <c r="N238" s="7638" t="n"/>
      <c r="O238" s="3614" t="n"/>
      <c r="P238" s="7637" t="n"/>
      <c r="Q238" s="7637" t="n"/>
      <c r="R238" s="7637" t="n"/>
      <c r="S238" s="7637" t="n"/>
      <c r="T238" s="7637" t="n"/>
      <c r="U238" s="7637" t="n"/>
      <c r="V238" s="7637" t="n"/>
      <c r="W238" s="7637" t="n"/>
      <c r="X238" s="7637" t="n"/>
      <c r="Y238" s="11907" t="n"/>
      <c r="Z238" s="7637" t="n"/>
      <c r="AA238" s="7637" t="n"/>
      <c r="AB238" s="7637" t="n"/>
      <c r="AC238" s="7637" t="n"/>
      <c r="AD238" s="7637" t="n"/>
      <c r="AE238" s="7637" t="n"/>
      <c r="AF238" s="7637" t="n"/>
      <c r="AG238" s="7638" t="n"/>
      <c r="AH238" s="3614" t="n"/>
      <c r="AI238" s="7637" t="n"/>
      <c r="AJ238" s="7637" t="n"/>
      <c r="AK238" s="7637" t="n"/>
      <c r="AL238" s="7637" t="n"/>
      <c r="AM238" s="7637" t="n"/>
      <c r="AN238" s="7637" t="n"/>
      <c r="AO238" s="7637" t="n"/>
      <c r="AP238" s="1277" t="n"/>
      <c r="BG238" s="769" t="n"/>
      <c r="BH238" s="658" t="n"/>
      <c r="BI238" s="658" t="n"/>
      <c r="BJ238" s="658" t="n"/>
      <c r="BK238" s="658" t="n"/>
      <c r="BL238" s="658" t="n"/>
      <c r="BM238" s="658" t="n"/>
      <c r="BN238" s="658" t="n"/>
      <c r="BO238" s="658" t="n"/>
      <c r="BP238" s="658" t="n"/>
    </row>
    <row r="239" ht="13.5" customHeight="1" s="7635">
      <c r="A239" s="1277" t="n"/>
      <c r="B239" s="11220" t="inlineStr">
        <is>
          <t>A</t>
        </is>
      </c>
      <c r="C239" s="6226" t="n"/>
      <c r="D239" s="8007" t="n"/>
      <c r="E239" s="8007" t="n"/>
      <c r="F239" s="8007" t="n"/>
      <c r="G239" s="8007" t="n"/>
      <c r="H239" s="8007" t="n"/>
      <c r="I239" s="8007" t="n"/>
      <c r="J239" s="8007" t="n"/>
      <c r="K239" s="8007" t="n"/>
      <c r="L239" s="8007" t="n"/>
      <c r="M239" s="8007" t="n"/>
      <c r="N239" s="8008" t="n"/>
      <c r="O239" s="12141" t="n"/>
      <c r="P239" s="8007" t="n"/>
      <c r="Q239" s="8007" t="n"/>
      <c r="R239" s="8007" t="n"/>
      <c r="S239" s="8007" t="n"/>
      <c r="T239" s="8007" t="n"/>
      <c r="U239" s="8007" t="n"/>
      <c r="V239" s="8007" t="n"/>
      <c r="W239" s="8007" t="n"/>
      <c r="X239" s="12128" t="n"/>
      <c r="Y239" s="8461" t="n"/>
      <c r="Z239" s="8007" t="n"/>
      <c r="AA239" s="8007" t="n"/>
      <c r="AB239" s="8007" t="n"/>
      <c r="AC239" s="8007" t="n"/>
      <c r="AD239" s="8007" t="n"/>
      <c r="AE239" s="8007" t="n"/>
      <c r="AF239" s="8007" t="n"/>
      <c r="AG239" s="8008" t="n"/>
      <c r="AH239" s="8462" t="n"/>
      <c r="AI239" s="8007" t="n"/>
      <c r="AJ239" s="8007" t="n"/>
      <c r="AK239" s="8007" t="n"/>
      <c r="AL239" s="8007" t="n"/>
      <c r="AM239" s="8007" t="n"/>
      <c r="AN239" s="8007" t="n"/>
      <c r="AO239" s="8008" t="n"/>
      <c r="AP239" s="1277" t="n"/>
      <c r="BG239" s="769" t="n"/>
      <c r="BH239" s="658" t="n"/>
      <c r="BI239" s="658" t="n"/>
      <c r="BJ239" s="658" t="n"/>
      <c r="BK239" s="658" t="n"/>
      <c r="BL239" s="658" t="n"/>
      <c r="BM239" s="658" t="n"/>
      <c r="BN239" s="658" t="n"/>
      <c r="BO239" s="658" t="n"/>
      <c r="BP239" s="658" t="n"/>
    </row>
    <row r="240" ht="13.5" customHeight="1" s="7635">
      <c r="A240" s="1277" t="n"/>
      <c r="B240" s="11220" t="inlineStr">
        <is>
          <t>B</t>
        </is>
      </c>
      <c r="C240" s="6226" t="n"/>
      <c r="D240" s="8007" t="n"/>
      <c r="E240" s="8007" t="n"/>
      <c r="F240" s="8007" t="n"/>
      <c r="G240" s="8007" t="n"/>
      <c r="H240" s="8007" t="n"/>
      <c r="I240" s="8007" t="n"/>
      <c r="J240" s="8007" t="n"/>
      <c r="K240" s="8007" t="n"/>
      <c r="L240" s="8007" t="n"/>
      <c r="M240" s="8007" t="n"/>
      <c r="N240" s="8008" t="n"/>
      <c r="O240" s="12141" t="n"/>
      <c r="P240" s="8007" t="n"/>
      <c r="Q240" s="8007" t="n"/>
      <c r="R240" s="8007" t="n"/>
      <c r="S240" s="8007" t="n"/>
      <c r="T240" s="8007" t="n"/>
      <c r="U240" s="8007" t="n"/>
      <c r="V240" s="8007" t="n"/>
      <c r="W240" s="8007" t="n"/>
      <c r="X240" s="12128" t="n"/>
      <c r="Y240" s="8461" t="n"/>
      <c r="Z240" s="8007" t="n"/>
      <c r="AA240" s="8007" t="n"/>
      <c r="AB240" s="8007" t="n"/>
      <c r="AC240" s="8007" t="n"/>
      <c r="AD240" s="8007" t="n"/>
      <c r="AE240" s="8007" t="n"/>
      <c r="AF240" s="8007" t="n"/>
      <c r="AG240" s="8008" t="n"/>
      <c r="AH240" s="8462" t="n"/>
      <c r="AI240" s="8007" t="n"/>
      <c r="AJ240" s="8007" t="n"/>
      <c r="AK240" s="8007" t="n"/>
      <c r="AL240" s="8007" t="n"/>
      <c r="AM240" s="8007" t="n"/>
      <c r="AN240" s="8007" t="n"/>
      <c r="AO240" s="8008" t="n"/>
      <c r="AP240" s="1277" t="n"/>
      <c r="BG240" s="769" t="n"/>
      <c r="BH240" s="658" t="n"/>
      <c r="BI240" s="658" t="n"/>
      <c r="BJ240" s="658" t="n"/>
      <c r="BK240" s="658" t="n"/>
      <c r="BL240" s="658" t="n"/>
      <c r="BM240" s="658" t="n"/>
      <c r="BN240" s="658" t="n"/>
      <c r="BO240" s="658" t="n"/>
      <c r="BP240" s="658" t="n"/>
    </row>
    <row r="241" ht="13.5" customHeight="1" s="7635">
      <c r="A241" s="1277" t="n"/>
      <c r="B241" s="8384" t="inlineStr">
        <is>
          <t>34a</t>
        </is>
      </c>
      <c r="C241" s="7839" t="n"/>
      <c r="D241" s="8650" t="n"/>
      <c r="E241" s="9892" t="inlineStr">
        <is>
          <t>Totals</t>
        </is>
      </c>
      <c r="F241" s="4825" t="n"/>
      <c r="G241" s="3835" t="n"/>
      <c r="H241" s="3835" t="n"/>
      <c r="I241" s="3835" t="n"/>
      <c r="J241" s="3835" t="n"/>
      <c r="K241" s="3835" t="n"/>
      <c r="L241" s="3835" t="n"/>
      <c r="M241" s="3835" t="n"/>
      <c r="N241" s="4826" t="n"/>
      <c r="O241" s="12129">
        <f>ROUND(SUM(O239:O240),0)</f>
        <v/>
      </c>
      <c r="P241" s="8412" t="n"/>
      <c r="Q241" s="8412" t="n"/>
      <c r="R241" s="8412" t="n"/>
      <c r="S241" s="8412" t="n"/>
      <c r="T241" s="8412" t="n"/>
      <c r="U241" s="8412" t="n"/>
      <c r="V241" s="8412" t="n"/>
      <c r="W241" s="8412" t="n"/>
      <c r="X241" s="12130" t="n"/>
      <c r="Y241" s="4831" t="n"/>
      <c r="Z241" s="3835" t="n"/>
      <c r="AA241" s="3835" t="n"/>
      <c r="AB241" s="3835" t="n"/>
      <c r="AC241" s="3835" t="n"/>
      <c r="AD241" s="3835" t="n"/>
      <c r="AE241" s="3835" t="n"/>
      <c r="AF241" s="3835" t="n"/>
      <c r="AG241" s="4826" t="n"/>
      <c r="AH241" s="8408">
        <f>ROUND(SUM(AH239:AH240),0)</f>
        <v/>
      </c>
      <c r="AI241" s="8412" t="n"/>
      <c r="AJ241" s="8412" t="n"/>
      <c r="AK241" s="8412" t="n"/>
      <c r="AL241" s="8412" t="n"/>
      <c r="AM241" s="8412" t="n"/>
      <c r="AN241" s="8412" t="n"/>
      <c r="AO241" s="8412" t="n"/>
      <c r="AP241" s="1277" t="n"/>
      <c r="BG241" s="769" t="n"/>
      <c r="BH241" s="658" t="n"/>
      <c r="BI241" s="658" t="n"/>
      <c r="BJ241" s="658" t="n"/>
      <c r="BK241" s="658" t="n"/>
      <c r="BL241" s="658" t="n"/>
      <c r="BM241" s="658" t="n"/>
      <c r="BN241" s="658" t="n"/>
      <c r="BO241" s="658" t="n"/>
      <c r="BP241" s="658" t="n"/>
    </row>
    <row r="242" ht="13.5" customHeight="1" s="7635">
      <c r="A242" s="1277" t="n"/>
      <c r="B242" s="7899" t="inlineStr">
        <is>
          <t>b</t>
        </is>
      </c>
      <c r="D242" s="8650" t="n"/>
      <c r="E242" s="9892" t="inlineStr">
        <is>
          <t>Totals</t>
        </is>
      </c>
      <c r="F242" s="12131">
        <f>ROUND(SUM(C239:C240),0)</f>
        <v/>
      </c>
      <c r="G242" s="8412" t="n"/>
      <c r="H242" s="8412" t="n"/>
      <c r="I242" s="8412" t="n"/>
      <c r="J242" s="8412" t="n"/>
      <c r="K242" s="8412" t="n"/>
      <c r="L242" s="8412" t="n"/>
      <c r="M242" s="8412" t="n"/>
      <c r="N242" s="11734" t="n"/>
      <c r="O242" s="4832" t="n"/>
      <c r="P242" s="4833" t="n"/>
      <c r="Q242" s="4833" t="n"/>
      <c r="R242" s="4833" t="n"/>
      <c r="S242" s="4833" t="n"/>
      <c r="T242" s="4833" t="n"/>
      <c r="U242" s="4833" t="n"/>
      <c r="V242" s="4833" t="n"/>
      <c r="W242" s="4833" t="n"/>
      <c r="X242" s="4834" t="n"/>
      <c r="Y242" s="12131">
        <f>ROUND(SUM(Y239:Y240),0)</f>
        <v/>
      </c>
      <c r="Z242" s="8412" t="n"/>
      <c r="AA242" s="8412" t="n"/>
      <c r="AB242" s="8412" t="n"/>
      <c r="AC242" s="8412" t="n"/>
      <c r="AD242" s="8412" t="n"/>
      <c r="AE242" s="8412" t="n"/>
      <c r="AF242" s="8412" t="n"/>
      <c r="AG242" s="11734" t="n"/>
      <c r="AH242" s="4825" t="n"/>
      <c r="AI242" s="3835" t="n"/>
      <c r="AJ242" s="3835" t="n"/>
      <c r="AK242" s="3835" t="n"/>
      <c r="AL242" s="3835" t="n"/>
      <c r="AM242" s="3835" t="n"/>
      <c r="AN242" s="3835" t="n"/>
      <c r="AO242" s="3835" t="n"/>
      <c r="AP242" s="1277" t="n"/>
      <c r="BG242" s="769" t="n"/>
      <c r="BH242" s="658" t="n"/>
      <c r="BI242" s="658" t="n"/>
      <c r="BJ242" s="658" t="n"/>
      <c r="BK242" s="658" t="n"/>
      <c r="BL242" s="658" t="n"/>
      <c r="BM242" s="658" t="n"/>
      <c r="BN242" s="658" t="n"/>
      <c r="BO242" s="658" t="n"/>
      <c r="BP242" s="658" t="n"/>
    </row>
    <row r="243" ht="13.5" customHeight="1" s="7635">
      <c r="A243" s="1277" t="n"/>
      <c r="B243" s="7642" t="n">
        <v>35</v>
      </c>
      <c r="D243" s="8650" t="inlineStr">
        <is>
          <t>Add columns (d) and (f) of line 34a</t>
        </is>
      </c>
      <c r="E243" s="11602" t="n"/>
      <c r="F243" s="11602" t="n"/>
      <c r="G243" s="11602" t="n"/>
      <c r="H243" s="11602" t="n"/>
      <c r="I243" s="11602" t="n"/>
      <c r="J243" s="11602" t="n"/>
      <c r="K243" s="11602" t="n"/>
      <c r="L243" s="11602" t="n"/>
      <c r="M243" s="11602" t="n"/>
      <c r="N243" s="11602" t="n"/>
      <c r="O243" s="11602" t="n"/>
      <c r="P243" s="11602" t="n"/>
      <c r="Q243" s="11602" t="n"/>
      <c r="R243" s="11602" t="n"/>
      <c r="S243" s="11602" t="n"/>
      <c r="T243" s="11602" t="n"/>
      <c r="U243" s="11602" t="n"/>
      <c r="V243" s="11602" t="n"/>
      <c r="W243" s="11602" t="n"/>
      <c r="X243" s="11602" t="n"/>
      <c r="Y243" s="11602" t="n"/>
      <c r="Z243" s="11602" t="n"/>
      <c r="AA243" s="11602" t="n"/>
      <c r="AB243" s="11602" t="n"/>
      <c r="AC243" s="11602" t="n"/>
      <c r="AD243" s="11602" t="n"/>
      <c r="AE243" s="11602" t="n"/>
      <c r="AF243" s="11602" t="n"/>
      <c r="AG243" s="2198" t="inlineStr">
        <is>
          <t xml:space="preserve">.   .   .   .   .   .   .   .   .   .   .   .   .   .   .   .   .   .   .   .   .   .   .   .   .   . </t>
        </is>
      </c>
      <c r="AH243" s="10008" t="n">
        <v>35</v>
      </c>
      <c r="AI243" s="11734" t="n"/>
      <c r="AJ243" s="8413">
        <f>SUM(O241,AH241)</f>
        <v/>
      </c>
      <c r="AK243" s="8412" t="n"/>
      <c r="AL243" s="8412" t="n"/>
      <c r="AM243" s="8412" t="n"/>
      <c r="AN243" s="8412" t="n"/>
      <c r="AO243" s="8412" t="n"/>
      <c r="AP243" s="1277" t="n"/>
      <c r="BG243" s="769" t="n"/>
      <c r="BH243" s="658" t="n"/>
      <c r="BI243" s="658" t="n"/>
      <c r="BJ243" s="658" t="n"/>
      <c r="BK243" s="658" t="n"/>
      <c r="BL243" s="658" t="n"/>
      <c r="BM243" s="658" t="n"/>
      <c r="BN243" s="658" t="n"/>
      <c r="BO243" s="658" t="n"/>
      <c r="BP243" s="658" t="n"/>
    </row>
    <row r="244" ht="13.5" customHeight="1" s="7635">
      <c r="A244" s="1277" t="n"/>
      <c r="B244" s="7642" t="n">
        <v>36</v>
      </c>
      <c r="D244" s="8650" t="inlineStr">
        <is>
          <t>Add columns (c) and (e) of line 34b</t>
        </is>
      </c>
      <c r="E244" s="11602" t="n"/>
      <c r="F244" s="11602" t="n"/>
      <c r="G244" s="11602" t="n"/>
      <c r="H244" s="11602" t="n"/>
      <c r="I244" s="11602" t="n"/>
      <c r="J244" s="11602" t="n"/>
      <c r="K244" s="11602" t="n"/>
      <c r="L244" s="11602" t="n"/>
      <c r="M244" s="11602" t="n"/>
      <c r="N244" s="11602" t="n"/>
      <c r="O244" s="11602" t="n"/>
      <c r="P244" s="11602" t="n"/>
      <c r="Q244" s="11602" t="n"/>
      <c r="R244" s="11602" t="n"/>
      <c r="S244" s="11602" t="n"/>
      <c r="T244" s="11602" t="n"/>
      <c r="U244" s="11602" t="n"/>
      <c r="V244" s="11602" t="n"/>
      <c r="W244" s="11602" t="n"/>
      <c r="X244" s="11602" t="n"/>
      <c r="Y244" s="11602" t="n"/>
      <c r="Z244" s="11602" t="n"/>
      <c r="AA244" s="11602" t="n"/>
      <c r="AB244" s="11602" t="n"/>
      <c r="AC244" s="11602" t="n"/>
      <c r="AD244" s="11602" t="n"/>
      <c r="AE244" s="11602" t="n"/>
      <c r="AF244" s="11602" t="n"/>
      <c r="AG244" s="2198" t="inlineStr">
        <is>
          <t xml:space="preserve">.   .   .   .   .   .   .   .   .   .   .   .   .   .   .   .   .   .   .   .   .   .   .   .   .   . </t>
        </is>
      </c>
      <c r="AH244" s="10008" t="n">
        <v>36</v>
      </c>
      <c r="AI244" s="11734" t="n"/>
      <c r="AJ244" s="7056" t="inlineStr">
        <is>
          <t>(</t>
        </is>
      </c>
      <c r="AK244" s="7057">
        <f>SUM(F242,Y242)</f>
        <v/>
      </c>
      <c r="AL244" s="8412" t="n"/>
      <c r="AM244" s="8412" t="n"/>
      <c r="AN244" s="8412" t="n"/>
      <c r="AO244" s="4835" t="inlineStr">
        <is>
          <t>)</t>
        </is>
      </c>
      <c r="AP244" s="1277" t="n"/>
      <c r="BG244" s="769" t="n"/>
      <c r="BH244" s="658" t="n"/>
      <c r="BI244" s="658" t="n"/>
      <c r="BJ244" s="658" t="n"/>
      <c r="BK244" s="658" t="n"/>
      <c r="BL244" s="658" t="n"/>
      <c r="BM244" s="658" t="n"/>
      <c r="BN244" s="658" t="n"/>
      <c r="BO244" s="658" t="n"/>
      <c r="BP244" s="658" t="n"/>
    </row>
    <row r="245" ht="13.5" customHeight="1" s="7635">
      <c r="A245" s="1277" t="n"/>
      <c r="B245" s="8405" t="n">
        <v>37</v>
      </c>
      <c r="C245" s="7637" t="n"/>
      <c r="D245" s="1996" t="inlineStr">
        <is>
          <t>Total estate and trust income or (loss). Combine lines 35 and 36</t>
        </is>
      </c>
      <c r="E245" s="413" t="n"/>
      <c r="F245" s="413" t="n"/>
      <c r="G245" s="413" t="n"/>
      <c r="H245" s="413" t="n"/>
      <c r="I245" s="413" t="n"/>
      <c r="J245" s="413" t="n"/>
      <c r="K245" s="413" t="n"/>
      <c r="L245" s="413" t="n"/>
      <c r="M245" s="413" t="n"/>
      <c r="N245" s="413" t="n"/>
      <c r="O245" s="413" t="n"/>
      <c r="P245" s="413" t="n"/>
      <c r="Q245" s="413" t="n"/>
      <c r="R245" s="413" t="n"/>
      <c r="S245" s="413" t="n"/>
      <c r="T245" s="413" t="n"/>
      <c r="U245" s="413" t="n"/>
      <c r="V245" s="413" t="n"/>
      <c r="W245" s="413" t="n"/>
      <c r="X245" s="413" t="n"/>
      <c r="Y245" s="413" t="n"/>
      <c r="Z245" s="413" t="n"/>
      <c r="AA245" s="413" t="n"/>
      <c r="AB245" s="413" t="n"/>
      <c r="AC245" s="413" t="n"/>
      <c r="AD245" s="413" t="n"/>
      <c r="AE245" s="413" t="n"/>
      <c r="AF245" s="413" t="n"/>
      <c r="AG245" s="974" t="inlineStr">
        <is>
          <t xml:space="preserve">.   .   .   .   .   .   .   .   .   .   .   .   . </t>
        </is>
      </c>
      <c r="AH245" s="10008" t="n">
        <v>37</v>
      </c>
      <c r="AI245" s="11734" t="n"/>
      <c r="AJ245" s="8413">
        <f>SUM(AJ243,-AK244)</f>
        <v/>
      </c>
      <c r="AK245" s="8412" t="n"/>
      <c r="AL245" s="8412" t="n"/>
      <c r="AM245" s="8412" t="n"/>
      <c r="AN245" s="8412" t="n"/>
      <c r="AO245" s="8412" t="n"/>
      <c r="AP245" s="1277" t="n"/>
      <c r="BG245" s="769" t="n"/>
      <c r="BH245" s="658" t="n"/>
      <c r="BI245" s="658" t="n"/>
      <c r="BJ245" s="658" t="n"/>
      <c r="BK245" s="658" t="n"/>
      <c r="BL245" s="658" t="n"/>
      <c r="BM245" s="658" t="n"/>
      <c r="BN245" s="658" t="n"/>
      <c r="BO245" s="658" t="n"/>
      <c r="BP245" s="658" t="n"/>
    </row>
    <row r="246" ht="17.25" customFormat="1" customHeight="1" s="1405">
      <c r="A246" s="2119" t="n"/>
      <c r="B246" s="8410" t="inlineStr">
        <is>
          <t>Part IV</t>
        </is>
      </c>
      <c r="C246" s="8412" t="n"/>
      <c r="D246" s="8412" t="n"/>
      <c r="E246" s="2120" t="n"/>
      <c r="F246" s="4189" t="inlineStr">
        <is>
          <t>Income or Loss From Real Estate Mortgage Investment Conduits (REMICs)—Residual Holder</t>
        </is>
      </c>
      <c r="G246" s="2120" t="n"/>
      <c r="H246" s="2120" t="n"/>
      <c r="I246" s="2120" t="n"/>
      <c r="J246" s="2120" t="n"/>
      <c r="K246" s="2120" t="n"/>
      <c r="L246" s="2120" t="n"/>
      <c r="M246" s="2120" t="n"/>
      <c r="N246" s="2120" t="n"/>
      <c r="O246" s="2120" t="n"/>
      <c r="P246" s="2120" t="n"/>
      <c r="Q246" s="2120" t="n"/>
      <c r="R246" s="2120" t="n"/>
      <c r="S246" s="2120" t="n"/>
      <c r="T246" s="2120" t="n"/>
      <c r="U246" s="2120" t="n"/>
      <c r="V246" s="2120" t="n"/>
      <c r="W246" s="2120" t="n"/>
      <c r="X246" s="3901" t="n"/>
      <c r="Y246" s="2120" t="n"/>
      <c r="Z246" s="2120" t="n"/>
      <c r="AA246" s="2120" t="n"/>
      <c r="AB246" s="2120" t="n"/>
      <c r="AC246" s="2120" t="n"/>
      <c r="AD246" s="2120" t="n"/>
      <c r="AE246" s="2120" t="n"/>
      <c r="AF246" s="2120" t="n"/>
      <c r="AG246" s="1998" t="n"/>
      <c r="AH246" s="2120" t="n"/>
      <c r="AI246" s="2120" t="n"/>
      <c r="AJ246" s="2120" t="n"/>
      <c r="AK246" s="2120" t="n"/>
      <c r="AL246" s="2120" t="n"/>
      <c r="AM246" s="2120" t="n"/>
      <c r="AN246" s="2120" t="n"/>
      <c r="AO246" s="2120" t="n"/>
      <c r="AP246" s="1277" t="n"/>
      <c r="BG246" s="769" t="n"/>
      <c r="BH246" s="658" t="n"/>
      <c r="BI246" s="658" t="n"/>
      <c r="BJ246" s="658" t="n"/>
      <c r="BK246" s="658" t="n"/>
      <c r="BL246" s="658" t="n"/>
      <c r="BM246" s="658" t="n"/>
      <c r="BN246" s="658" t="n"/>
      <c r="BO246" s="658" t="n"/>
      <c r="BP246" s="658" t="n"/>
      <c r="BQ246" s="815" t="n"/>
    </row>
    <row r="247" ht="12.75" customHeight="1" s="7635">
      <c r="A247" s="1277" t="n"/>
      <c r="B247" s="406" t="n"/>
      <c r="C247" s="8415" t="n"/>
      <c r="D247" s="12124" t="inlineStr">
        <is>
          <t>(a)  Name</t>
        </is>
      </c>
      <c r="E247" s="7839" t="n"/>
      <c r="F247" s="7839" t="n"/>
      <c r="G247" s="7839" t="n"/>
      <c r="H247" s="7839" t="n"/>
      <c r="I247" s="7839" t="n"/>
      <c r="J247" s="10091" t="n"/>
      <c r="K247" s="12126" t="inlineStr">
        <is>
          <t>(b) Employer identification
number</t>
        </is>
      </c>
      <c r="L247" s="7839" t="n"/>
      <c r="M247" s="7839" t="n"/>
      <c r="N247" s="7839" t="n"/>
      <c r="O247" s="7839" t="n"/>
      <c r="P247" s="7839" t="n"/>
      <c r="Q247" s="7839" t="n"/>
      <c r="R247" s="10091" t="n"/>
      <c r="S247" s="12122" t="inlineStr">
        <is>
          <t>(c) Excess inclusion from Schedules Q, line 2c 
(see instructions)</t>
        </is>
      </c>
      <c r="T247" s="7839" t="n"/>
      <c r="U247" s="7839" t="n"/>
      <c r="V247" s="7839" t="n"/>
      <c r="W247" s="7839" t="n"/>
      <c r="X247" s="7839" t="n"/>
      <c r="Y247" s="10091" t="n"/>
      <c r="Z247" s="12126" t="inlineStr">
        <is>
          <t>(d)  Taxable income (net loss)
from Schedules Q, line 1b</t>
        </is>
      </c>
      <c r="AA247" s="7839" t="n"/>
      <c r="AB247" s="7839" t="n"/>
      <c r="AC247" s="7839" t="n"/>
      <c r="AD247" s="7839" t="n"/>
      <c r="AE247" s="7839" t="n"/>
      <c r="AF247" s="7839" t="n"/>
      <c r="AG247" s="10091" t="n"/>
      <c r="AH247" s="10176" t="inlineStr">
        <is>
          <t>(e)  Income from
Schedules Q, line 3b</t>
        </is>
      </c>
      <c r="AI247" s="7839" t="n"/>
      <c r="AJ247" s="7839" t="n"/>
      <c r="AK247" s="7839" t="n"/>
      <c r="AL247" s="7839" t="n"/>
      <c r="AM247" s="7839" t="n"/>
      <c r="AN247" s="7839" t="n"/>
      <c r="AO247" s="7839" t="n"/>
      <c r="AP247" s="1277" t="n"/>
      <c r="BG247" s="769" t="n"/>
      <c r="BH247" s="658" t="n"/>
      <c r="BI247" s="658" t="n"/>
      <c r="BJ247" s="658" t="n"/>
      <c r="BK247" s="658" t="n"/>
      <c r="BL247" s="658" t="n"/>
      <c r="BM247" s="658" t="n"/>
      <c r="BN247" s="658" t="n"/>
      <c r="BO247" s="658" t="n"/>
      <c r="BP247" s="658" t="n"/>
    </row>
    <row r="248" ht="12.75" customHeight="1" s="7635">
      <c r="A248" s="1277" t="n"/>
      <c r="B248" s="8439" t="n">
        <v>38</v>
      </c>
      <c r="J248" s="7636" t="n"/>
      <c r="K248" s="4772" t="n"/>
      <c r="R248" s="7636" t="n"/>
      <c r="S248" s="4772" t="n"/>
      <c r="Y248" s="7636" t="n"/>
      <c r="Z248" s="4772" t="n"/>
      <c r="AG248" s="7636" t="n"/>
      <c r="AH248" s="4772" t="n"/>
      <c r="AP248" s="1277" t="n"/>
      <c r="AX248" s="1405" t="n"/>
      <c r="AY248" s="1405" t="n"/>
      <c r="AZ248" s="1405" t="n"/>
      <c r="BA248" s="1405" t="n"/>
      <c r="BB248" s="1405" t="n"/>
      <c r="BC248" s="1405" t="n"/>
      <c r="BD248" s="1405" t="n"/>
      <c r="BG248" s="769" t="n"/>
      <c r="BH248" s="658" t="n"/>
      <c r="BI248" s="658" t="n"/>
      <c r="BJ248" s="658" t="n"/>
      <c r="BK248" s="658" t="n"/>
      <c r="BL248" s="658" t="n"/>
      <c r="BM248" s="658" t="n"/>
      <c r="BN248" s="658" t="n"/>
      <c r="BO248" s="658" t="n"/>
      <c r="BP248" s="658" t="n"/>
    </row>
    <row r="249" ht="12.75" customHeight="1" s="7635">
      <c r="A249" s="1277" t="n"/>
      <c r="B249" s="413" t="n"/>
      <c r="C249" s="9108" t="n"/>
      <c r="D249" s="7637" t="n"/>
      <c r="E249" s="7637" t="n"/>
      <c r="F249" s="7637" t="n"/>
      <c r="G249" s="7637" t="n"/>
      <c r="H249" s="7637" t="n"/>
      <c r="I249" s="7637" t="n"/>
      <c r="J249" s="7638" t="n"/>
      <c r="K249" s="3614" t="n"/>
      <c r="L249" s="7637" t="n"/>
      <c r="M249" s="7637" t="n"/>
      <c r="N249" s="7637" t="n"/>
      <c r="O249" s="7637" t="n"/>
      <c r="P249" s="7637" t="n"/>
      <c r="Q249" s="7637" t="n"/>
      <c r="R249" s="7638" t="n"/>
      <c r="S249" s="3614" t="n"/>
      <c r="T249" s="7637" t="n"/>
      <c r="U249" s="7637" t="n"/>
      <c r="V249" s="7637" t="n"/>
      <c r="W249" s="7637" t="n"/>
      <c r="X249" s="7637" t="n"/>
      <c r="Y249" s="7638" t="n"/>
      <c r="Z249" s="3614" t="n"/>
      <c r="AA249" s="7637" t="n"/>
      <c r="AB249" s="7637" t="n"/>
      <c r="AC249" s="7637" t="n"/>
      <c r="AD249" s="7637" t="n"/>
      <c r="AE249" s="7637" t="n"/>
      <c r="AF249" s="7637" t="n"/>
      <c r="AG249" s="7638" t="n"/>
      <c r="AH249" s="3614" t="n"/>
      <c r="AI249" s="7637" t="n"/>
      <c r="AJ249" s="7637" t="n"/>
      <c r="AK249" s="7637" t="n"/>
      <c r="AL249" s="7637" t="n"/>
      <c r="AM249" s="7637" t="n"/>
      <c r="AN249" s="7637" t="n"/>
      <c r="AO249" s="7637" t="n"/>
      <c r="AP249" s="1277" t="n"/>
      <c r="AQ249" s="2875" t="n"/>
      <c r="AR249" s="2875" t="n"/>
      <c r="AS249" s="2875" t="n"/>
      <c r="BG249" s="769" t="n"/>
      <c r="BH249" s="658" t="n"/>
      <c r="BI249" s="658" t="n"/>
      <c r="BJ249" s="658" t="n"/>
      <c r="BK249" s="658" t="n"/>
      <c r="BL249" s="658" t="n"/>
      <c r="BM249" s="658" t="n"/>
      <c r="BN249" s="658" t="n"/>
      <c r="BO249" s="658" t="n"/>
      <c r="BP249" s="658" t="n"/>
    </row>
    <row r="250" ht="12.75" customHeight="1" s="7635">
      <c r="A250" s="1277" t="n"/>
      <c r="B250" s="12142" t="n"/>
      <c r="C250" s="8007" t="n"/>
      <c r="D250" s="8007" t="n"/>
      <c r="E250" s="8007" t="n"/>
      <c r="F250" s="8007" t="n"/>
      <c r="G250" s="8007" t="n"/>
      <c r="H250" s="8007" t="n"/>
      <c r="I250" s="8007" t="n"/>
      <c r="J250" s="8008" t="n"/>
      <c r="K250" s="325" t="n"/>
      <c r="L250" s="8007" t="n"/>
      <c r="M250" s="8007" t="n"/>
      <c r="N250" s="8007" t="n"/>
      <c r="O250" s="8007" t="n"/>
      <c r="P250" s="8007" t="n"/>
      <c r="Q250" s="8007" t="n"/>
      <c r="R250" s="8008" t="n"/>
      <c r="S250" s="8401" t="n"/>
      <c r="T250" s="8007" t="n"/>
      <c r="U250" s="8007" t="n"/>
      <c r="V250" s="8007" t="n"/>
      <c r="W250" s="8007" t="n"/>
      <c r="X250" s="8007" t="n"/>
      <c r="Y250" s="8008" t="n"/>
      <c r="Z250" s="8401" t="n"/>
      <c r="AA250" s="8007" t="n"/>
      <c r="AB250" s="8007" t="n"/>
      <c r="AC250" s="8007" t="n"/>
      <c r="AD250" s="8007" t="n"/>
      <c r="AE250" s="8007" t="n"/>
      <c r="AF250" s="8007" t="n"/>
      <c r="AG250" s="8008" t="n"/>
      <c r="AH250" s="8402" t="n"/>
      <c r="AI250" s="8007" t="n"/>
      <c r="AJ250" s="8007" t="n"/>
      <c r="AK250" s="8007" t="n"/>
      <c r="AL250" s="8007" t="n"/>
      <c r="AM250" s="8007" t="n"/>
      <c r="AN250" s="8007" t="n"/>
      <c r="AO250" s="8007" t="n"/>
      <c r="AP250" s="1277" t="n"/>
      <c r="AQ250" s="2875" t="n"/>
      <c r="AR250" s="8788" t="inlineStr">
        <is>
          <t>Override</t>
        </is>
      </c>
      <c r="AS250" s="2875" t="n"/>
      <c r="BG250" s="769" t="n"/>
      <c r="BH250" s="658" t="n"/>
      <c r="BI250" s="658" t="n"/>
      <c r="BJ250" s="658" t="n"/>
      <c r="BK250" s="658" t="n"/>
      <c r="BL250" s="658" t="n"/>
      <c r="BM250" s="658" t="n"/>
      <c r="BN250" s="658" t="n"/>
      <c r="BO250" s="658" t="n"/>
      <c r="BP250" s="658" t="n"/>
    </row>
    <row r="251" ht="15.75" customHeight="1" s="7635">
      <c r="A251" s="1277" t="n"/>
      <c r="B251" s="8405" t="n">
        <v>39</v>
      </c>
      <c r="C251" s="7637" t="n"/>
      <c r="D251" s="1996" t="inlineStr">
        <is>
          <t>Combine columns (d) and (e) only. Enter the result here and include in the total on line 41 below</t>
        </is>
      </c>
      <c r="E251" s="413" t="n"/>
      <c r="F251" s="413" t="n"/>
      <c r="G251" s="413" t="n"/>
      <c r="H251" s="413" t="n"/>
      <c r="I251" s="413" t="n"/>
      <c r="J251" s="413" t="n"/>
      <c r="K251" s="413" t="n"/>
      <c r="L251" s="413" t="n"/>
      <c r="M251" s="413" t="n"/>
      <c r="N251" s="413" t="n"/>
      <c r="O251" s="413" t="n"/>
      <c r="P251" s="413" t="n"/>
      <c r="Q251" s="413" t="n"/>
      <c r="R251" s="413" t="n"/>
      <c r="S251" s="413" t="n"/>
      <c r="T251" s="413" t="n"/>
      <c r="U251" s="413" t="n"/>
      <c r="V251" s="413" t="n"/>
      <c r="W251" s="413" t="n"/>
      <c r="X251" s="413" t="n"/>
      <c r="Y251" s="413" t="n"/>
      <c r="Z251" s="413" t="n"/>
      <c r="AA251" s="413" t="n"/>
      <c r="AB251" s="413" t="n"/>
      <c r="AC251" s="413" t="n"/>
      <c r="AD251" s="413" t="n"/>
      <c r="AE251" s="413" t="n"/>
      <c r="AF251" s="413" t="n"/>
      <c r="AG251" s="414" t="n"/>
      <c r="AH251" s="10008" t="n">
        <v>39</v>
      </c>
      <c r="AI251" s="11734" t="n"/>
      <c r="AJ251" s="8408">
        <f>IF(AR251&lt;&gt;"",ROUND(AR251,0),ROUND(SUM(Z250,AH250),0))</f>
        <v/>
      </c>
      <c r="AK251" s="8412" t="n"/>
      <c r="AL251" s="8412" t="n"/>
      <c r="AM251" s="8412" t="n"/>
      <c r="AN251" s="8412" t="n"/>
      <c r="AO251" s="8412" t="n"/>
      <c r="AP251" s="1277" t="n"/>
      <c r="AQ251" s="2875" t="n"/>
      <c r="AR251" s="776" t="n"/>
      <c r="AS251" s="2875" t="n"/>
      <c r="BG251" s="769" t="n"/>
      <c r="BH251" s="658" t="n"/>
      <c r="BI251" s="658" t="n"/>
      <c r="BJ251" s="658" t="n"/>
      <c r="BK251" s="658" t="n"/>
      <c r="BL251" s="658" t="n"/>
      <c r="BM251" s="658" t="n"/>
      <c r="BN251" s="658" t="n"/>
      <c r="BO251" s="658" t="n"/>
      <c r="BP251" s="658" t="n"/>
    </row>
    <row r="252" ht="17.25" customFormat="1" customHeight="1" s="1405">
      <c r="A252" s="2119" t="n"/>
      <c r="B252" s="8410" t="inlineStr">
        <is>
          <t>Part V</t>
        </is>
      </c>
      <c r="C252" s="8412" t="n"/>
      <c r="D252" s="8412" t="n"/>
      <c r="E252" s="2120" t="n"/>
      <c r="F252" s="4189" t="inlineStr">
        <is>
          <t>Summary</t>
        </is>
      </c>
      <c r="G252" s="2120" t="n"/>
      <c r="H252" s="2120" t="n"/>
      <c r="I252" s="2120" t="n"/>
      <c r="J252" s="2120" t="n"/>
      <c r="K252" s="2120" t="n"/>
      <c r="L252" s="2120" t="n"/>
      <c r="M252" s="2120" t="n"/>
      <c r="N252" s="2120" t="n"/>
      <c r="O252" s="2120" t="n"/>
      <c r="P252" s="2120" t="n"/>
      <c r="Q252" s="2120" t="n"/>
      <c r="R252" s="2120" t="n"/>
      <c r="S252" s="2120" t="n"/>
      <c r="T252" s="2120" t="n"/>
      <c r="U252" s="2120" t="n"/>
      <c r="V252" s="2120" t="n"/>
      <c r="W252" s="2120" t="n"/>
      <c r="X252" s="3901" t="n"/>
      <c r="Y252" s="2120" t="n"/>
      <c r="Z252" s="2120" t="n"/>
      <c r="AA252" s="2120" t="n"/>
      <c r="AB252" s="2120" t="n"/>
      <c r="AC252" s="2120" t="n"/>
      <c r="AD252" s="2120" t="n"/>
      <c r="AE252" s="2120" t="n"/>
      <c r="AF252" s="2120" t="n"/>
      <c r="AG252" s="2120" t="n"/>
      <c r="AH252" s="2120" t="n"/>
      <c r="AI252" s="2120" t="n"/>
      <c r="AJ252" s="2120" t="n"/>
      <c r="AK252" s="2120" t="n"/>
      <c r="AL252" s="2120" t="n"/>
      <c r="AM252" s="2120" t="n"/>
      <c r="AN252" s="2120" t="n"/>
      <c r="AO252" s="2120" t="n"/>
      <c r="AP252" s="1277" t="n"/>
      <c r="AQ252" s="2875" t="n"/>
      <c r="AR252" s="2875" t="n"/>
      <c r="AS252" s="2875" t="n"/>
      <c r="BG252" s="769" t="n"/>
      <c r="BH252" s="658" t="n"/>
      <c r="BI252" s="658" t="n"/>
      <c r="BJ252" s="658" t="n"/>
      <c r="BK252" s="658" t="n"/>
      <c r="BL252" s="658" t="n"/>
      <c r="BM252" s="658" t="n"/>
      <c r="BN252" s="658" t="n"/>
      <c r="BO252" s="658" t="n"/>
      <c r="BP252" s="658" t="n"/>
      <c r="BQ252" s="815" t="n"/>
    </row>
    <row r="253" ht="15.75" customHeight="1" s="7635" thickBot="1">
      <c r="A253" s="1277" t="n"/>
      <c r="B253" s="8384" t="n">
        <v>40</v>
      </c>
      <c r="C253" s="7839" t="n"/>
      <c r="D253" s="2354" t="inlineStr">
        <is>
          <t>Net farm rental income or (loss) from Form 4835. Also, complete line 42 below</t>
        </is>
      </c>
      <c r="E253" s="406" t="n"/>
      <c r="F253" s="406" t="n"/>
      <c r="G253" s="406" t="n"/>
      <c r="H253" s="406" t="n"/>
      <c r="I253" s="406" t="n"/>
      <c r="J253" s="406" t="n"/>
      <c r="K253" s="406" t="n"/>
      <c r="L253" s="406" t="n"/>
      <c r="M253" s="406" t="n"/>
      <c r="N253" s="406" t="n"/>
      <c r="O253" s="406" t="n"/>
      <c r="P253" s="406" t="n"/>
      <c r="Q253" s="406" t="n"/>
      <c r="R253" s="406" t="n"/>
      <c r="S253" s="406" t="n"/>
      <c r="T253" s="406" t="n"/>
      <c r="U253" s="406" t="n"/>
      <c r="V253" s="406" t="n"/>
      <c r="W253" s="406" t="n"/>
      <c r="X253" s="406" t="n"/>
      <c r="Y253" s="406" t="n"/>
      <c r="Z253" s="406" t="n"/>
      <c r="AA253" s="406" t="n"/>
      <c r="AB253" s="406" t="n"/>
      <c r="AC253" s="406" t="n"/>
      <c r="AD253" s="406" t="n"/>
      <c r="AE253" s="406" t="n"/>
      <c r="AF253" s="406" t="n"/>
      <c r="AG253" s="2198" t="inlineStr">
        <is>
          <t xml:space="preserve">.   .   .   .   .   .   .   .   .   . </t>
        </is>
      </c>
      <c r="AH253" s="8385" t="n">
        <v>40</v>
      </c>
      <c r="AI253" s="12143" t="n"/>
      <c r="AJ253" s="8387" t="n"/>
      <c r="AK253" s="11809" t="n"/>
      <c r="AL253" s="11809" t="n"/>
      <c r="AM253" s="11809" t="n"/>
      <c r="AN253" s="11809" t="n"/>
      <c r="AO253" s="11810" t="n"/>
      <c r="AP253" s="1277" t="n"/>
      <c r="AQ253" s="2875" t="n"/>
      <c r="AR253" s="2875" t="n"/>
      <c r="AS253" s="2875" t="n"/>
      <c r="BG253" s="769" t="n"/>
      <c r="BH253" s="658" t="n"/>
      <c r="BI253" s="658" t="n"/>
      <c r="BJ253" s="658" t="n"/>
      <c r="BK253" s="658" t="n"/>
      <c r="BL253" s="658" t="n"/>
      <c r="BM253" s="658" t="n"/>
      <c r="BN253" s="658" t="n"/>
      <c r="BO253" s="658" t="n"/>
      <c r="BP253" s="658" t="n"/>
    </row>
    <row r="254" ht="13.5" customHeight="1" s="7635">
      <c r="A254" s="1277" t="n"/>
      <c r="B254" s="7642" t="n">
        <v>41</v>
      </c>
      <c r="D254" s="8650" t="inlineStr">
        <is>
          <t>Total income or (loss). Combine lines 26, 32, 37, 39, and 40. Enter the result here and on Schedule</t>
        </is>
      </c>
      <c r="E254" s="11602" t="n"/>
      <c r="F254" s="11602" t="n"/>
      <c r="G254" s="11602" t="n"/>
      <c r="H254" s="11602" t="n"/>
      <c r="I254" s="11602" t="n"/>
      <c r="J254" s="11602" t="n"/>
      <c r="K254" s="11602" t="n"/>
      <c r="L254" s="11602" t="n"/>
      <c r="M254" s="11602" t="n"/>
      <c r="N254" s="11602" t="n"/>
      <c r="O254" s="11602" t="n"/>
      <c r="P254" s="11602" t="n"/>
      <c r="Q254" s="11602" t="n"/>
      <c r="R254" s="11602" t="n"/>
      <c r="S254" s="11602" t="n"/>
      <c r="T254" s="11602" t="n"/>
      <c r="U254" s="11602" t="n"/>
      <c r="V254" s="11602" t="n"/>
      <c r="W254" s="11602" t="n"/>
      <c r="X254" s="11602" t="n"/>
      <c r="Y254" s="11602" t="n"/>
      <c r="Z254" s="11602" t="n"/>
      <c r="AA254" s="11602" t="n"/>
      <c r="AB254" s="11602" t="n"/>
      <c r="AC254" s="11602" t="n"/>
      <c r="AD254" s="11602" t="n"/>
      <c r="AE254" s="11602" t="n"/>
      <c r="AF254" s="11602" t="n"/>
      <c r="AG254" s="409" t="n"/>
      <c r="AH254" s="10103" t="n"/>
      <c r="AI254" s="4843" t="n"/>
      <c r="AJ254" s="1899" t="n"/>
      <c r="AK254" s="1900" t="n"/>
      <c r="AL254" s="1900" t="n"/>
      <c r="AM254" s="1900" t="n"/>
      <c r="AN254" s="1900" t="n"/>
      <c r="AO254" s="1900" t="n"/>
      <c r="AP254" s="1277" t="n"/>
      <c r="AQ254" s="2875" t="n"/>
      <c r="AR254" s="2875" t="n"/>
      <c r="AS254" s="2875" t="n"/>
      <c r="AX254" s="1405" t="n"/>
      <c r="AY254" s="1405" t="n"/>
      <c r="AZ254" s="1405" t="n"/>
      <c r="BA254" s="1405" t="n"/>
      <c r="BB254" s="1405" t="n"/>
      <c r="BC254" s="1405" t="n"/>
      <c r="BD254" s="1405" t="n"/>
      <c r="BG254" s="769" t="n"/>
      <c r="BH254" s="658" t="n"/>
      <c r="BI254" s="658" t="n"/>
      <c r="BJ254" s="658" t="n"/>
      <c r="BK254" s="658" t="n"/>
      <c r="BL254" s="658" t="n"/>
      <c r="BM254" s="658" t="n"/>
      <c r="BN254" s="658" t="n"/>
      <c r="BO254" s="658" t="n"/>
      <c r="BP254" s="658" t="n"/>
    </row>
    <row r="255" ht="13.5" customHeight="1" s="7635">
      <c r="A255" s="1277" t="n"/>
      <c r="B255" s="7642" t="n"/>
      <c r="D255" s="8650" t="inlineStr">
        <is>
          <t>1 (Form 1040), line 5</t>
        </is>
      </c>
      <c r="E255" s="11602" t="n"/>
      <c r="F255" s="11602" t="n"/>
      <c r="G255" s="11602" t="n"/>
      <c r="H255" s="11602" t="n"/>
      <c r="I255" s="11602" t="n"/>
      <c r="J255" s="11602" t="n"/>
      <c r="K255" s="11602" t="n"/>
      <c r="L255" s="11602" t="n"/>
      <c r="M255" s="11602" t="n"/>
      <c r="N255" s="11602" t="n"/>
      <c r="O255" s="11602" t="n"/>
      <c r="P255" s="11602" t="n"/>
      <c r="Q255" s="11602" t="n"/>
      <c r="R255" s="11602" t="n"/>
      <c r="S255" s="11602" t="n"/>
      <c r="T255" s="11602" t="n"/>
      <c r="U255" s="11602" t="n"/>
      <c r="V255" s="11602" t="n"/>
      <c r="W255" s="11602" t="n"/>
      <c r="X255" s="11602" t="n"/>
      <c r="Y255" s="11602" t="n"/>
      <c r="Z255" s="11602" t="n"/>
      <c r="AA255" s="11602" t="n"/>
      <c r="AB255" s="11602" t="n"/>
      <c r="AC255" s="11602" t="n"/>
      <c r="AD255" s="11602" t="n"/>
      <c r="AE255" s="11602" t="n"/>
      <c r="AF255" s="11602" t="n"/>
      <c r="AG255" s="2198" t="inlineStr">
        <is>
          <t xml:space="preserve">.   .   .   .   .   .   .   .   .   .   .   .   .   .   .   .   .   .   .   .   .   .   .   .   .   .   .   .   .   .   .   .   .   .   . </t>
        </is>
      </c>
      <c r="AH255" s="8389" t="n">
        <v>41</v>
      </c>
      <c r="AI255" s="7638" t="n"/>
      <c r="AJ255" s="8391">
        <f>IF(AR255&lt;&gt;"",ROUND(AR255,0),IF(SchE2_Completed,SUM(SchE2_Line26,SchE2_Line32,SchE2_Line37,SchE2_Line39,ROUND(SchE2_Line40,0)),0))</f>
        <v/>
      </c>
      <c r="AK255" s="7637" t="n"/>
      <c r="AL255" s="7637" t="n"/>
      <c r="AM255" s="7637" t="n"/>
      <c r="AN255" s="7637" t="n"/>
      <c r="AO255" s="7638" t="n"/>
      <c r="AP255" s="1277" t="n"/>
      <c r="AQ255" s="2875" t="n"/>
      <c r="AR255" s="776" t="n"/>
      <c r="AS255" s="2875" t="n"/>
      <c r="AV255">
        <f>OR(SchE2_Line26&lt;&gt;0,SchE2_Line32&lt;&gt;0,SchE2_Line37&lt;&gt;0,SchE2_Line39&lt;&gt;0,SchE2_Line40&lt;&gt;0)</f>
        <v/>
      </c>
      <c r="AX255" s="1405" t="n"/>
      <c r="AY255" s="1405" t="n"/>
      <c r="AZ255" s="1405" t="n"/>
      <c r="BA255" s="1405" t="n"/>
      <c r="BB255" s="1405" t="n"/>
      <c r="BC255" s="1405" t="n"/>
      <c r="BD255" s="1405" t="n"/>
      <c r="BG255" s="769" t="n"/>
      <c r="BH255" s="658" t="n"/>
      <c r="BI255" s="658" t="n"/>
      <c r="BJ255" s="658" t="n"/>
      <c r="BK255" s="658" t="n"/>
      <c r="BL255" s="658" t="n"/>
      <c r="BM255" s="658" t="n"/>
      <c r="BN255" s="658" t="n"/>
      <c r="BO255" s="658" t="n"/>
      <c r="BP255" s="658" t="n"/>
    </row>
    <row r="256" ht="12.75" customHeight="1" s="7635">
      <c r="A256" s="1277" t="n"/>
      <c r="B256" s="7642" t="n">
        <v>42</v>
      </c>
      <c r="D256" s="7772" t="inlineStr">
        <is>
          <t>Reconciliation of farming and fishing income.  Enter your gross</t>
        </is>
      </c>
      <c r="E256" s="11602" t="n"/>
      <c r="F256" s="11602" t="n"/>
      <c r="G256" s="11602" t="n"/>
      <c r="H256" s="11602" t="n"/>
      <c r="I256" s="11602" t="n"/>
      <c r="J256" s="11602" t="n"/>
      <c r="K256" s="11602" t="n"/>
      <c r="L256" s="11602" t="n"/>
      <c r="M256" s="11602" t="n"/>
      <c r="N256" s="11602" t="n"/>
      <c r="O256" s="11602" t="n"/>
      <c r="P256" s="11602" t="n"/>
      <c r="Q256" s="11602" t="n"/>
      <c r="R256" s="11602" t="n"/>
      <c r="S256" s="11602" t="n"/>
      <c r="T256" s="11602" t="n"/>
      <c r="U256" s="11602" t="n"/>
      <c r="V256" s="11602" t="n"/>
      <c r="W256" s="11602" t="n"/>
      <c r="X256" s="11602" t="n"/>
      <c r="Y256" s="408" t="n"/>
      <c r="Z256" s="409" t="n"/>
      <c r="AA256" s="408" t="n"/>
      <c r="AB256" s="11602" t="n"/>
      <c r="AC256" s="11602" t="n"/>
      <c r="AD256" s="11602" t="n"/>
      <c r="AE256" s="11602" t="n"/>
      <c r="AF256" s="11602" t="n"/>
      <c r="AG256" s="409" t="n"/>
      <c r="AH256" s="723" t="n"/>
      <c r="AI256" s="723" t="n"/>
      <c r="AJ256" s="723" t="n"/>
      <c r="AK256" s="723" t="n"/>
      <c r="AL256" s="723" t="n"/>
      <c r="AM256" s="723" t="n"/>
      <c r="AN256" s="723" t="n"/>
      <c r="AO256" s="723" t="n"/>
      <c r="AP256" s="1277" t="n"/>
      <c r="AQ256" s="2875" t="n"/>
      <c r="AR256" s="2875" t="n"/>
      <c r="AS256" s="2875" t="n"/>
      <c r="AV256" s="212">
        <f>IF(SchE2_Completed,SchE2_Line41,SchE2_Line26)</f>
        <v/>
      </c>
      <c r="BG256" s="769" t="n"/>
      <c r="BH256" s="658" t="n"/>
      <c r="BI256" s="658" t="n"/>
      <c r="BJ256" s="658" t="n"/>
      <c r="BK256" s="658" t="n"/>
      <c r="BL256" s="658" t="n"/>
      <c r="BM256" s="658" t="n"/>
      <c r="BN256" s="658" t="n"/>
      <c r="BO256" s="658" t="n"/>
      <c r="BP256" s="658" t="n"/>
    </row>
    <row r="257" ht="12.75" customHeight="1" s="7635">
      <c r="A257" s="1277" t="n"/>
      <c r="B257" s="7642" t="n"/>
      <c r="C257" s="11602" t="n"/>
      <c r="D257" s="8650" t="inlineStr">
        <is>
          <t>farming and fishing income reported on Form 4835, line 7; Schedule K-1</t>
        </is>
      </c>
      <c r="E257" s="11602" t="n"/>
      <c r="F257" s="11602" t="n"/>
      <c r="G257" s="11602" t="n"/>
      <c r="H257" s="11602" t="n"/>
      <c r="I257" s="11602" t="n"/>
      <c r="J257" s="11602" t="n"/>
      <c r="K257" s="11602" t="n"/>
      <c r="L257" s="11602" t="n"/>
      <c r="M257" s="11602" t="n"/>
      <c r="N257" s="11602" t="n"/>
      <c r="O257" s="11602" t="n"/>
      <c r="P257" s="11602" t="n"/>
      <c r="Q257" s="11602" t="n"/>
      <c r="R257" s="11602" t="n"/>
      <c r="S257" s="11602" t="n"/>
      <c r="T257" s="11602" t="n"/>
      <c r="U257" s="11602" t="n"/>
      <c r="V257" s="11602" t="n"/>
      <c r="W257" s="11602" t="n"/>
      <c r="X257" s="11602" t="n"/>
      <c r="Y257" s="408" t="n"/>
      <c r="Z257" s="409" t="n"/>
      <c r="AA257" s="408" t="n"/>
      <c r="AB257" s="11602" t="n"/>
      <c r="AC257" s="11602" t="n"/>
      <c r="AD257" s="11602" t="n"/>
      <c r="AE257" s="11602" t="n"/>
      <c r="AF257" s="11602" t="n"/>
      <c r="AG257" s="409" t="n"/>
      <c r="AH257" s="723" t="n"/>
      <c r="AI257" s="723" t="n"/>
      <c r="AJ257" s="723" t="n"/>
      <c r="AK257" s="723" t="n"/>
      <c r="AL257" s="723" t="n"/>
      <c r="AM257" s="723" t="n"/>
      <c r="AN257" s="723" t="n"/>
      <c r="AO257" s="723" t="n"/>
      <c r="AP257" s="1277" t="n"/>
      <c r="BG257" s="769" t="n"/>
      <c r="BH257" s="658" t="n"/>
      <c r="BI257" s="658" t="n"/>
      <c r="BJ257" s="658" t="n"/>
      <c r="BK257" s="658" t="n"/>
      <c r="BL257" s="658" t="n"/>
      <c r="BM257" s="658" t="n"/>
      <c r="BN257" s="658" t="n"/>
      <c r="BO257" s="658" t="n"/>
      <c r="BP257" s="658" t="n"/>
    </row>
    <row r="258" ht="12.75" customHeight="1" s="7635">
      <c r="A258" s="1277" t="n"/>
      <c r="B258" s="7642" t="n"/>
      <c r="C258" s="11602" t="n"/>
      <c r="D258" s="8650" t="inlineStr">
        <is>
          <t>Form 1065), box 14, code B; Schedule K-1 (Form 1120S), box 17, code</t>
        </is>
      </c>
      <c r="E258" s="11602" t="n"/>
      <c r="F258" s="11602" t="n"/>
      <c r="G258" s="11602" t="n"/>
      <c r="H258" s="11602" t="n"/>
      <c r="I258" s="11602" t="n"/>
      <c r="J258" s="11602" t="n"/>
      <c r="K258" s="11602" t="n"/>
      <c r="L258" s="11602" t="n"/>
      <c r="M258" s="11602" t="n"/>
      <c r="N258" s="11602" t="n"/>
      <c r="O258" s="11602" t="n"/>
      <c r="P258" s="11602" t="n"/>
      <c r="Q258" s="11602" t="n"/>
      <c r="R258" s="11602" t="n"/>
      <c r="S258" s="11602" t="n"/>
      <c r="T258" s="11602" t="n"/>
      <c r="U258" s="11602" t="n"/>
      <c r="V258" s="11602" t="n"/>
      <c r="W258" s="11602" t="n"/>
      <c r="X258" s="11602" t="n"/>
      <c r="Y258" s="408" t="n"/>
      <c r="Z258" s="409" t="n"/>
      <c r="AA258" s="408" t="n"/>
      <c r="AB258" s="11602" t="n"/>
      <c r="AC258" s="11602" t="n"/>
      <c r="AD258" s="11602" t="n"/>
      <c r="AE258" s="11602" t="n"/>
      <c r="AF258" s="11602" t="n"/>
      <c r="AG258" s="409" t="n"/>
      <c r="AH258" s="723" t="n"/>
      <c r="AI258" s="723" t="n"/>
      <c r="AJ258" s="723" t="n"/>
      <c r="AK258" s="723" t="n"/>
      <c r="AL258" s="723" t="n"/>
      <c r="AM258" s="723" t="n"/>
      <c r="AN258" s="723" t="n"/>
      <c r="AO258" s="723" t="n"/>
      <c r="AP258" s="1277" t="n"/>
      <c r="BG258" s="769" t="n"/>
      <c r="BH258" s="658" t="n"/>
      <c r="BI258" s="658" t="n"/>
      <c r="BJ258" s="658" t="n"/>
      <c r="BK258" s="658" t="n"/>
      <c r="BL258" s="658" t="n"/>
      <c r="BM258" s="658" t="n"/>
      <c r="BN258" s="658" t="n"/>
      <c r="BO258" s="658" t="n"/>
      <c r="BP258" s="658" t="n"/>
    </row>
    <row r="259" ht="13.5" customHeight="1" s="7635">
      <c r="A259" s="1277" t="n"/>
      <c r="B259" s="7642" t="n"/>
      <c r="C259" s="11602" t="n"/>
      <c r="D259" s="8650" t="inlineStr">
        <is>
          <t>AN; and Schedule K-1 (Form 1041), box 14, code F. See instructions</t>
        </is>
      </c>
      <c r="E259" s="11602" t="n"/>
      <c r="F259" s="11602" t="n"/>
      <c r="G259" s="11602" t="n"/>
      <c r="H259" s="11602" t="n"/>
      <c r="I259" s="11602" t="n"/>
      <c r="J259" s="11602" t="n"/>
      <c r="K259" s="11602" t="n"/>
      <c r="L259" s="11602" t="n"/>
      <c r="M259" s="11602" t="n"/>
      <c r="N259" s="11602" t="n"/>
      <c r="O259" s="11602" t="n"/>
      <c r="P259" s="11602" t="n"/>
      <c r="Q259" s="11602" t="n"/>
      <c r="R259" s="11602" t="n"/>
      <c r="S259" s="11602" t="n"/>
      <c r="T259" s="11602" t="n"/>
      <c r="U259" s="11602" t="n"/>
      <c r="V259" s="11602" t="n"/>
      <c r="W259" s="11602" t="n"/>
      <c r="X259" s="1401" t="inlineStr">
        <is>
          <t xml:space="preserve"> . </t>
        </is>
      </c>
      <c r="Y259" s="6088" t="n">
        <v>42</v>
      </c>
      <c r="Z259" s="7638" t="n"/>
      <c r="AA259" s="8394" t="n"/>
      <c r="AB259" s="11717" t="n"/>
      <c r="AC259" s="11717" t="n"/>
      <c r="AD259" s="11717" t="n"/>
      <c r="AE259" s="11717" t="n"/>
      <c r="AF259" s="11717" t="n"/>
      <c r="AG259" s="11718" t="n"/>
      <c r="AH259" s="723" t="n"/>
      <c r="AI259" s="723" t="n"/>
      <c r="AJ259" s="723" t="n"/>
      <c r="AK259" s="723" t="n"/>
      <c r="AL259" s="723" t="n"/>
      <c r="AM259" s="723" t="n"/>
      <c r="AN259" s="723" t="n"/>
      <c r="AO259" s="723" t="n"/>
      <c r="AP259" s="1277" t="n"/>
      <c r="BG259" s="769" t="n"/>
      <c r="BH259" s="658" t="n"/>
      <c r="BI259" s="658" t="n"/>
      <c r="BJ259" s="658" t="n"/>
      <c r="BK259" s="658" t="n"/>
      <c r="BL259" s="658" t="n"/>
      <c r="BM259" s="658" t="n"/>
      <c r="BN259" s="658" t="n"/>
      <c r="BO259" s="658" t="n"/>
      <c r="BP259" s="658" t="n"/>
    </row>
    <row r="260" ht="12.75" customHeight="1" s="7635">
      <c r="A260" s="1277" t="n"/>
      <c r="B260" s="7642" t="n">
        <v>43</v>
      </c>
      <c r="D260" s="8650" t="inlineStr">
        <is>
          <t>Reconciliation for real estate professionals. If you were a real estate</t>
        </is>
      </c>
      <c r="E260" s="11602" t="n"/>
      <c r="F260" s="11602" t="n"/>
      <c r="G260" s="11602" t="n"/>
      <c r="H260" s="11602" t="n"/>
      <c r="I260" s="11602" t="n"/>
      <c r="J260" s="11602" t="n"/>
      <c r="K260" s="11602" t="n"/>
      <c r="L260" s="11602" t="n"/>
      <c r="M260" s="11602" t="n"/>
      <c r="N260" s="11602" t="n"/>
      <c r="O260" s="11602" t="n"/>
      <c r="P260" s="11602" t="n"/>
      <c r="Q260" s="11602" t="n"/>
      <c r="R260" s="11602" t="n"/>
      <c r="S260" s="11602" t="n"/>
      <c r="T260" s="11602" t="n"/>
      <c r="U260" s="11602" t="n"/>
      <c r="V260" s="11602" t="n"/>
      <c r="W260" s="11602" t="n"/>
      <c r="X260" s="11602" t="n"/>
      <c r="Y260" s="405" t="n"/>
      <c r="Z260" s="407" t="n"/>
      <c r="AA260" s="406" t="n"/>
      <c r="AB260" s="406" t="n"/>
      <c r="AC260" s="406" t="n"/>
      <c r="AD260" s="406" t="n"/>
      <c r="AE260" s="406" t="n"/>
      <c r="AF260" s="406" t="n"/>
      <c r="AG260" s="407" t="n"/>
      <c r="AH260" s="723" t="n"/>
      <c r="AI260" s="723" t="n"/>
      <c r="AJ260" s="723" t="n"/>
      <c r="AK260" s="723" t="n"/>
      <c r="AL260" s="723" t="n"/>
      <c r="AM260" s="723" t="n"/>
      <c r="AN260" s="723" t="n"/>
      <c r="AO260" s="723" t="n"/>
      <c r="AP260" s="1277" t="n"/>
      <c r="BG260" s="769" t="n"/>
      <c r="BH260" s="658" t="n"/>
      <c r="BI260" s="658" t="n"/>
      <c r="BJ260" s="658" t="n"/>
      <c r="BK260" s="658" t="n"/>
      <c r="BL260" s="658" t="n"/>
      <c r="BM260" s="658" t="n"/>
      <c r="BN260" s="658" t="n"/>
      <c r="BO260" s="658" t="n"/>
      <c r="BP260" s="658" t="n"/>
    </row>
    <row r="261" ht="12.75" customHeight="1" s="7635">
      <c r="A261" s="1277" t="n"/>
      <c r="B261" s="7642" t="n"/>
      <c r="C261" s="11602" t="n"/>
      <c r="D261" s="2100" t="inlineStr">
        <is>
          <t>professional (see instructions),  enter the net income or (loss) you</t>
        </is>
      </c>
      <c r="E261" s="11602" t="n"/>
      <c r="F261" s="11602" t="n"/>
      <c r="G261" s="11602" t="n"/>
      <c r="H261" s="11602" t="n"/>
      <c r="I261" s="11602" t="n"/>
      <c r="J261" s="11602" t="n"/>
      <c r="K261" s="11602" t="n"/>
      <c r="L261" s="11602" t="n"/>
      <c r="M261" s="11602" t="n"/>
      <c r="N261" s="11602" t="n"/>
      <c r="O261" s="11602" t="n"/>
      <c r="P261" s="11602" t="n"/>
      <c r="Q261" s="11602" t="n"/>
      <c r="R261" s="11602" t="n"/>
      <c r="S261" s="11602" t="n"/>
      <c r="T261" s="11602" t="n"/>
      <c r="U261" s="11602" t="n"/>
      <c r="V261" s="11602" t="n"/>
      <c r="W261" s="11602" t="n"/>
      <c r="X261" s="11602" t="n"/>
      <c r="Y261" s="408" t="n"/>
      <c r="Z261" s="409" t="n"/>
      <c r="AA261" s="11602" t="n"/>
      <c r="AB261" s="11602" t="n"/>
      <c r="AC261" s="11602" t="n"/>
      <c r="AD261" s="11602" t="n"/>
      <c r="AE261" s="11602" t="n"/>
      <c r="AF261" s="11602" t="n"/>
      <c r="AG261" s="409" t="n"/>
      <c r="AH261" s="723" t="n"/>
      <c r="AI261" s="723" t="n"/>
      <c r="AJ261" s="723" t="n"/>
      <c r="AK261" s="723" t="n"/>
      <c r="AL261" s="723" t="n"/>
      <c r="AM261" s="723" t="n"/>
      <c r="AN261" s="723" t="n"/>
      <c r="AO261" s="723" t="n"/>
      <c r="AP261" s="1277" t="n"/>
      <c r="BG261" s="769" t="n"/>
      <c r="BH261" s="658" t="n"/>
      <c r="BI261" s="658" t="n"/>
      <c r="BJ261" s="658" t="n"/>
      <c r="BK261" s="658" t="n"/>
      <c r="BL261" s="658" t="n"/>
      <c r="BM261" s="658" t="n"/>
      <c r="BN261" s="658" t="n"/>
      <c r="BO261" s="658" t="n"/>
      <c r="BP261" s="658" t="n"/>
    </row>
    <row r="262" ht="12.75" customHeight="1" s="7635">
      <c r="A262" s="1277" t="n"/>
      <c r="B262" s="7642" t="n"/>
      <c r="C262" s="11602" t="n"/>
      <c r="D262" s="2100" t="inlineStr">
        <is>
          <t>reported  anywhere on Form 1040, Form 1040-SR, or Form 1040-NR</t>
        </is>
      </c>
      <c r="E262" s="11602" t="n"/>
      <c r="F262" s="11602" t="n"/>
      <c r="G262" s="11602" t="n"/>
      <c r="H262" s="11602" t="n"/>
      <c r="I262" s="11602" t="n"/>
      <c r="J262" s="11602" t="n"/>
      <c r="K262" s="11602" t="n"/>
      <c r="L262" s="11602" t="n"/>
      <c r="M262" s="11602" t="n"/>
      <c r="N262" s="11602" t="n"/>
      <c r="O262" s="11602" t="n"/>
      <c r="P262" s="11602" t="n"/>
      <c r="Q262" s="11602" t="n"/>
      <c r="R262" s="11602" t="n"/>
      <c r="S262" s="11602" t="n"/>
      <c r="T262" s="11602" t="n"/>
      <c r="U262" s="11602" t="n"/>
      <c r="V262" s="11602" t="n"/>
      <c r="W262" s="11602" t="n"/>
      <c r="X262" s="11602" t="n"/>
      <c r="Y262" s="408" t="n"/>
      <c r="Z262" s="409" t="n"/>
      <c r="AA262" s="11602" t="n"/>
      <c r="AB262" s="11602" t="n"/>
      <c r="AC262" s="11602" t="n"/>
      <c r="AD262" s="11602" t="n"/>
      <c r="AE262" s="11602" t="n"/>
      <c r="AF262" s="11602" t="n"/>
      <c r="AG262" s="409" t="n"/>
      <c r="AH262" s="723" t="n"/>
      <c r="AI262" s="723" t="n"/>
      <c r="AJ262" s="723" t="n"/>
      <c r="AK262" s="723" t="n"/>
      <c r="AL262" s="723" t="n"/>
      <c r="AM262" s="723" t="n"/>
      <c r="AN262" s="723" t="n"/>
      <c r="AO262" s="723" t="n"/>
      <c r="AP262" s="1277" t="n"/>
      <c r="BG262" s="769" t="n"/>
      <c r="BH262" s="658" t="n"/>
      <c r="BI262" s="658" t="n"/>
      <c r="BJ262" s="658" t="n"/>
      <c r="BK262" s="658" t="n"/>
      <c r="BL262" s="658" t="n"/>
      <c r="BM262" s="658" t="n"/>
      <c r="BN262" s="658" t="n"/>
      <c r="BO262" s="658" t="n"/>
      <c r="BP262" s="658" t="n"/>
    </row>
    <row r="263" ht="12.75" customHeight="1" s="7635">
      <c r="A263" s="1277" t="n"/>
      <c r="B263" s="7642" t="n"/>
      <c r="C263" s="11602" t="n"/>
      <c r="D263" s="8650" t="inlineStr">
        <is>
          <t>from all rental real estate activities in which you materially participated</t>
        </is>
      </c>
      <c r="E263" s="11602" t="n"/>
      <c r="F263" s="11602" t="n"/>
      <c r="G263" s="11602" t="n"/>
      <c r="H263" s="11602" t="n"/>
      <c r="I263" s="11602" t="n"/>
      <c r="J263" s="11602" t="n"/>
      <c r="K263" s="11602" t="n"/>
      <c r="L263" s="11602" t="n"/>
      <c r="M263" s="11602" t="n"/>
      <c r="N263" s="11602" t="n"/>
      <c r="O263" s="11602" t="n"/>
      <c r="P263" s="11602" t="n"/>
      <c r="Q263" s="11602" t="n"/>
      <c r="R263" s="11602" t="n"/>
      <c r="S263" s="11602" t="n"/>
      <c r="T263" s="11602" t="n"/>
      <c r="U263" s="11602" t="n"/>
      <c r="V263" s="11602" t="n"/>
      <c r="W263" s="11602" t="n"/>
      <c r="X263" s="11602" t="n"/>
      <c r="Y263" s="408" t="n"/>
      <c r="Z263" s="409" t="n"/>
      <c r="AA263" s="11602" t="n"/>
      <c r="AB263" s="11602" t="n"/>
      <c r="AC263" s="11602" t="n"/>
      <c r="AD263" s="11602" t="n"/>
      <c r="AE263" s="11602" t="n"/>
      <c r="AF263" s="11602" t="n"/>
      <c r="AG263" s="409" t="n"/>
      <c r="AH263" s="723" t="n"/>
      <c r="AI263" s="723" t="n"/>
      <c r="AJ263" s="723" t="n"/>
      <c r="AK263" s="723" t="n"/>
      <c r="AL263" s="723" t="n"/>
      <c r="AM263" s="723" t="n"/>
      <c r="AN263" s="723" t="n"/>
      <c r="AO263" s="723" t="n"/>
      <c r="AP263" s="1277" t="n"/>
      <c r="BG263" s="769" t="n"/>
      <c r="BH263" s="658" t="n"/>
      <c r="BI263" s="658" t="n"/>
      <c r="BJ263" s="658" t="n"/>
      <c r="BK263" s="658" t="n"/>
      <c r="BL263" s="658" t="n"/>
      <c r="BM263" s="658" t="n"/>
      <c r="BN263" s="658" t="n"/>
      <c r="BO263" s="658" t="n"/>
      <c r="BP263" s="658" t="n"/>
    </row>
    <row r="264" ht="13.5" customHeight="1" s="7635" thickBot="1">
      <c r="A264" s="1277" t="n"/>
      <c r="B264" s="8481" t="n"/>
      <c r="C264" s="380" t="n"/>
      <c r="D264" s="2015" t="inlineStr">
        <is>
          <t>under the passive activity loss rules</t>
        </is>
      </c>
      <c r="E264" s="380" t="n"/>
      <c r="F264" s="380" t="n"/>
      <c r="G264" s="380" t="n"/>
      <c r="H264" s="380" t="n"/>
      <c r="I264" s="380" t="n"/>
      <c r="J264" s="380" t="n"/>
      <c r="K264" s="380" t="n"/>
      <c r="L264" s="380" t="n"/>
      <c r="M264" s="380" t="n"/>
      <c r="N264" s="380" t="n"/>
      <c r="O264" s="380" t="n"/>
      <c r="P264" s="380" t="n"/>
      <c r="Q264" s="380" t="n"/>
      <c r="R264" s="380" t="n"/>
      <c r="S264" s="380" t="n"/>
      <c r="T264" s="380" t="n"/>
      <c r="U264" s="380" t="n"/>
      <c r="V264" s="380" t="n"/>
      <c r="W264" s="380" t="n"/>
      <c r="X264" s="10736" t="inlineStr">
        <is>
          <t xml:space="preserve">.   .   .   .   .   .   .   .   .   .   .   .   . </t>
        </is>
      </c>
      <c r="Y264" s="12144" t="n">
        <v>43</v>
      </c>
      <c r="Z264" s="12121" t="n"/>
      <c r="AA264" s="8382" t="n"/>
      <c r="AB264" s="11795" t="n"/>
      <c r="AC264" s="11795" t="n"/>
      <c r="AD264" s="11795" t="n"/>
      <c r="AE264" s="11795" t="n"/>
      <c r="AF264" s="11795" t="n"/>
      <c r="AG264" s="12145" t="n"/>
      <c r="AH264" s="818" t="n"/>
      <c r="AI264" s="818" t="n"/>
      <c r="AJ264" s="818" t="n"/>
      <c r="AK264" s="818" t="n"/>
      <c r="AL264" s="818" t="n"/>
      <c r="AM264" s="818" t="n"/>
      <c r="AN264" s="818" t="n"/>
      <c r="AO264" s="818" t="n"/>
      <c r="AP264" s="1277" t="n"/>
      <c r="BG264" s="769" t="n"/>
      <c r="BH264" s="658" t="n"/>
      <c r="BI264" s="658" t="n"/>
      <c r="BJ264" s="658" t="n"/>
      <c r="BK264" s="658" t="n"/>
      <c r="BL264" s="658" t="n"/>
      <c r="BM264" s="658" t="n"/>
      <c r="BN264" s="658" t="n"/>
      <c r="BO264" s="658" t="n"/>
      <c r="BP264" s="658" t="n"/>
    </row>
    <row r="265" ht="12.75" customHeight="1" s="7635">
      <c r="A265" s="1277" t="n"/>
      <c r="B265" s="7642" t="n"/>
      <c r="C265" s="11602" t="n"/>
      <c r="D265" s="11602" t="n"/>
      <c r="E265" s="11602" t="n"/>
      <c r="F265" s="11602" t="n"/>
      <c r="G265" s="11602" t="n"/>
      <c r="H265" s="11602" t="n"/>
      <c r="I265" s="11602" t="n"/>
      <c r="J265" s="11602" t="n"/>
      <c r="K265" s="11602" t="n"/>
      <c r="L265" s="11602" t="n"/>
      <c r="M265" s="11602" t="n"/>
      <c r="N265" s="11602" t="n"/>
      <c r="O265" s="11602" t="n"/>
      <c r="P265" s="11602" t="n"/>
      <c r="Q265" s="11602" t="n"/>
      <c r="R265" s="11602" t="n"/>
      <c r="S265" s="11602" t="n"/>
      <c r="T265" s="11602" t="n"/>
      <c r="U265" s="11602" t="n"/>
      <c r="V265" s="11602" t="n"/>
      <c r="W265" s="11602" t="n"/>
      <c r="X265" s="11602" t="n"/>
      <c r="Y265" s="11602" t="n"/>
      <c r="Z265" s="11602" t="n"/>
      <c r="AA265" s="11602" t="n"/>
      <c r="AB265" s="11602" t="n"/>
      <c r="AC265" s="11602" t="n"/>
      <c r="AD265" s="11602" t="n"/>
      <c r="AE265" s="11602" t="n"/>
      <c r="AF265" s="11602" t="n"/>
      <c r="AG265" s="11602" t="n"/>
      <c r="AH265" s="11602" t="n"/>
      <c r="AI265" s="11602" t="n"/>
      <c r="AJ265" s="11602" t="n"/>
      <c r="AK265" s="11602" t="n"/>
      <c r="AL265" s="11602" t="n"/>
      <c r="AM265" s="11602" t="n"/>
      <c r="AN265" s="11602" t="n"/>
      <c r="AO265" s="1989">
        <f>"Schedule E (Form 1040) "&amp;TaxYear</f>
        <v/>
      </c>
      <c r="AP265" s="1277" t="n"/>
      <c r="BG265" s="769" t="n"/>
      <c r="BH265" s="658" t="n"/>
      <c r="BI265" s="658" t="n"/>
      <c r="BJ265" s="658" t="n"/>
      <c r="BK265" s="658" t="n"/>
      <c r="BL265" s="658" t="n"/>
      <c r="BM265" s="658" t="n"/>
      <c r="BN265" s="658" t="n"/>
      <c r="BO265" s="658" t="n"/>
      <c r="BP265" s="658" t="n"/>
    </row>
    <row r="266">
      <c r="A266" s="1277" t="n"/>
      <c r="B266" s="1277" t="n"/>
      <c r="C266" s="1277" t="n"/>
      <c r="D266" s="1277" t="n"/>
      <c r="E266" s="1277" t="n"/>
      <c r="F266" s="1277" t="n"/>
      <c r="G266" s="1277" t="n"/>
      <c r="H266" s="1277" t="n"/>
      <c r="I266" s="1277" t="n"/>
      <c r="J266" s="1277" t="n"/>
      <c r="K266" s="1277" t="n"/>
      <c r="L266" s="1277" t="n"/>
      <c r="M266" s="1277" t="n"/>
      <c r="N266" s="1277" t="n"/>
      <c r="O266" s="1277" t="n"/>
      <c r="P266" s="1277" t="n"/>
      <c r="Q266" s="1277" t="n"/>
      <c r="R266" s="1277" t="n"/>
      <c r="S266" s="1277" t="n"/>
      <c r="T266" s="1277" t="n"/>
      <c r="U266" s="1277" t="n"/>
      <c r="V266" s="1277" t="n"/>
      <c r="W266" s="1277" t="n"/>
      <c r="X266" s="1277" t="n"/>
      <c r="Y266" s="1277" t="n"/>
      <c r="Z266" s="1277" t="n"/>
      <c r="AA266" s="1277" t="n"/>
      <c r="AB266" s="1277" t="n"/>
      <c r="AC266" s="1277" t="n"/>
      <c r="AD266" s="1277" t="n"/>
      <c r="AE266" s="1277" t="n"/>
      <c r="AF266" s="1277" t="n"/>
      <c r="AG266" s="1277" t="n"/>
      <c r="AH266" s="1277" t="n"/>
      <c r="AI266" s="1277" t="n"/>
      <c r="AJ266" s="1277" t="n"/>
      <c r="AK266" s="1277" t="n"/>
      <c r="AL266" s="1277" t="n"/>
      <c r="AM266" s="1277" t="n"/>
      <c r="AN266" s="1277" t="n"/>
      <c r="AO266" s="1277" t="n"/>
      <c r="AP266" s="1277" t="n"/>
      <c r="BG266" s="769" t="n"/>
      <c r="BH266" s="658" t="n"/>
      <c r="BI266" s="658" t="n"/>
      <c r="BJ266" s="658" t="n"/>
      <c r="BK266" s="658" t="n"/>
      <c r="BL266" s="658" t="n"/>
      <c r="BM266" s="658" t="n"/>
      <c r="BN266" s="658" t="n"/>
      <c r="BO266" s="658" t="n"/>
      <c r="BP266" s="658" t="n"/>
    </row>
  </sheetData>
  <sheetProtection selectLockedCells="0" selectUnlockedCells="0" algorithmName="SHA-512" sheet="1" objects="1" insertRows="1" insertHyperlinks="1" autoFilter="1" scenarios="1" formatColumns="0" deleteColumns="1" insertColumns="1" pivotTables="1" deleteRows="1" formatCells="0" saltValue="qxRm3w7H3jU+4IX6pLYJYw==" formatRows="0" sort="1" spinCount="100000" hashValue="I1/CMmNdvb9de+3XoPWilw2mjzQIaz1mOSB161Zc96+Ba6RdVgCwDypMiwcrrh2HaMpHA9MdaF3ShGCdlorxow=="/>
  <mergeCells count="664">
    <mergeCell ref="H179:R179"/>
    <mergeCell ref="Y235:AO235"/>
    <mergeCell ref="Z225:AG225"/>
    <mergeCell ref="Y214:AE214"/>
    <mergeCell ref="C233:AG233"/>
    <mergeCell ref="AJ37:AO37"/>
    <mergeCell ref="AB188:AC188"/>
    <mergeCell ref="B248:C248"/>
    <mergeCell ref="AJ195:AO195"/>
    <mergeCell ref="T183:U183"/>
    <mergeCell ref="Y242:AG242"/>
    <mergeCell ref="B14:C14"/>
    <mergeCell ref="AB190:AC190"/>
    <mergeCell ref="T176:U176"/>
    <mergeCell ref="AH224:AO224"/>
    <mergeCell ref="AD162:AI162"/>
    <mergeCell ref="B13:C13"/>
    <mergeCell ref="B142:D142"/>
    <mergeCell ref="B78:C78"/>
    <mergeCell ref="B205:C205"/>
    <mergeCell ref="B243:C243"/>
    <mergeCell ref="D115:J117"/>
    <mergeCell ref="T51:U51"/>
    <mergeCell ref="X21:Z21"/>
    <mergeCell ref="AD170:AI170"/>
    <mergeCell ref="B55:C55"/>
    <mergeCell ref="AJ50:AO50"/>
    <mergeCell ref="AJ121:AO121"/>
    <mergeCell ref="AJ42:AO42"/>
    <mergeCell ref="V174:AC174"/>
    <mergeCell ref="X23:Z23"/>
    <mergeCell ref="AJ52:AO52"/>
    <mergeCell ref="B154:C154"/>
    <mergeCell ref="AD182:AI182"/>
    <mergeCell ref="AJ119:AO119"/>
    <mergeCell ref="T33:U33"/>
    <mergeCell ref="X154:Z154"/>
    <mergeCell ref="AD46:AI46"/>
    <mergeCell ref="C89:J89"/>
    <mergeCell ref="AD40:AI40"/>
    <mergeCell ref="C80:N80"/>
    <mergeCell ref="T35:U35"/>
    <mergeCell ref="AD183:AI183"/>
    <mergeCell ref="C88:J88"/>
    <mergeCell ref="B10:D10"/>
    <mergeCell ref="T181:U181"/>
    <mergeCell ref="O215:S215"/>
    <mergeCell ref="V29:AC29"/>
    <mergeCell ref="B231:C231"/>
    <mergeCell ref="AD54:AI54"/>
    <mergeCell ref="S91:Y91"/>
    <mergeCell ref="AH63:AI63"/>
    <mergeCell ref="AA259:AG259"/>
    <mergeCell ref="D149:AO149"/>
    <mergeCell ref="AD41:AI41"/>
    <mergeCell ref="B201:D201"/>
    <mergeCell ref="V44:AC44"/>
    <mergeCell ref="V28:AO28"/>
    <mergeCell ref="B53:C53"/>
    <mergeCell ref="V31:AC31"/>
    <mergeCell ref="S93:Y93"/>
    <mergeCell ref="AD43:AI43"/>
    <mergeCell ref="AJ32:AO32"/>
    <mergeCell ref="AJ63:AO63"/>
    <mergeCell ref="O80:S80"/>
    <mergeCell ref="D150:AO150"/>
    <mergeCell ref="AF94:AG94"/>
    <mergeCell ref="AJ47:AO47"/>
    <mergeCell ref="V45:AC45"/>
    <mergeCell ref="AJ163:AO163"/>
    <mergeCell ref="Z88:AG88"/>
    <mergeCell ref="AR46:AT46"/>
    <mergeCell ref="AA21:AE21"/>
    <mergeCell ref="AJ40:AO40"/>
    <mergeCell ref="B15:C15"/>
    <mergeCell ref="O81:S81"/>
    <mergeCell ref="AH90:AO90"/>
    <mergeCell ref="AF22:AJ22"/>
    <mergeCell ref="AF155:AJ155"/>
    <mergeCell ref="AA23:AE23"/>
    <mergeCell ref="Y259:Z259"/>
    <mergeCell ref="AD178:AI178"/>
    <mergeCell ref="K118:R118"/>
    <mergeCell ref="AD34:AI34"/>
    <mergeCell ref="AD172:AI172"/>
    <mergeCell ref="B242:C242"/>
    <mergeCell ref="B229:D229"/>
    <mergeCell ref="AI95:AN95"/>
    <mergeCell ref="Y264:Z264"/>
    <mergeCell ref="V42:AC42"/>
    <mergeCell ref="F110:N110"/>
    <mergeCell ref="AD36:AI36"/>
    <mergeCell ref="AD30:AI30"/>
    <mergeCell ref="Z221:AG221"/>
    <mergeCell ref="B210:C210"/>
    <mergeCell ref="C213:N213"/>
    <mergeCell ref="Z223:AG223"/>
    <mergeCell ref="AJ45:AO45"/>
    <mergeCell ref="X153:Z153"/>
    <mergeCell ref="B170:C170"/>
    <mergeCell ref="AD175:AI175"/>
    <mergeCell ref="AH118:AO118"/>
    <mergeCell ref="C90:J90"/>
    <mergeCell ref="B34:C34"/>
    <mergeCell ref="B172:C172"/>
    <mergeCell ref="Z115:AG117"/>
    <mergeCell ref="B99:C99"/>
    <mergeCell ref="W53:AB53"/>
    <mergeCell ref="AD56:AI56"/>
    <mergeCell ref="AB57:AC57"/>
    <mergeCell ref="AD176:AI176"/>
    <mergeCell ref="B92:C92"/>
    <mergeCell ref="B30:C30"/>
    <mergeCell ref="AA132:AG132"/>
    <mergeCell ref="AJ51:AO51"/>
    <mergeCell ref="AD51:AI51"/>
    <mergeCell ref="S216:AO216"/>
    <mergeCell ref="S224:Y224"/>
    <mergeCell ref="AA151:AE152"/>
    <mergeCell ref="B94:C94"/>
    <mergeCell ref="K93:R93"/>
    <mergeCell ref="Y236:AG238"/>
    <mergeCell ref="V47:AC47"/>
    <mergeCell ref="S92:Y92"/>
    <mergeCell ref="AA127:AG127"/>
    <mergeCell ref="AJ48:AO48"/>
    <mergeCell ref="B150:C150"/>
    <mergeCell ref="AJ165:AO165"/>
    <mergeCell ref="V38:AC38"/>
    <mergeCell ref="AH217:AO219"/>
    <mergeCell ref="D22:H22"/>
    <mergeCell ref="D155:H155"/>
    <mergeCell ref="AJ179:AO179"/>
    <mergeCell ref="B244:C244"/>
    <mergeCell ref="AR157:AS159"/>
    <mergeCell ref="AH91:AO91"/>
    <mergeCell ref="K85:R87"/>
    <mergeCell ref="B23:C23"/>
    <mergeCell ref="B145:C145"/>
    <mergeCell ref="Y132:Z132"/>
    <mergeCell ref="C85:J87"/>
    <mergeCell ref="AY181:AZ181"/>
    <mergeCell ref="B181:C181"/>
    <mergeCell ref="O239:X239"/>
    <mergeCell ref="AH93:AO93"/>
    <mergeCell ref="AH220:AO220"/>
    <mergeCell ref="AD50:AI50"/>
    <mergeCell ref="B147:C147"/>
    <mergeCell ref="AD181:AI181"/>
    <mergeCell ref="B245:C245"/>
    <mergeCell ref="B97:D97"/>
    <mergeCell ref="AH222:AO222"/>
    <mergeCell ref="AD52:AI52"/>
    <mergeCell ref="B260:C260"/>
    <mergeCell ref="Y82:AE82"/>
    <mergeCell ref="AD39:AI39"/>
    <mergeCell ref="AJ59:AO59"/>
    <mergeCell ref="AJ46:AO46"/>
    <mergeCell ref="AH109:AO109"/>
    <mergeCell ref="S220:Y220"/>
    <mergeCell ref="B36:C36"/>
    <mergeCell ref="B163:C163"/>
    <mergeCell ref="B113:C113"/>
    <mergeCell ref="AH233:AO233"/>
    <mergeCell ref="AF198:AO198"/>
    <mergeCell ref="AK77:AO79"/>
    <mergeCell ref="B165:C165"/>
    <mergeCell ref="AB58:AC58"/>
    <mergeCell ref="T172:U172"/>
    <mergeCell ref="B31:C31"/>
    <mergeCell ref="AD57:AI57"/>
    <mergeCell ref="T165:U165"/>
    <mergeCell ref="D247:J249"/>
    <mergeCell ref="AF199:AO199"/>
    <mergeCell ref="V40:AC40"/>
    <mergeCell ref="AG140:AO141"/>
    <mergeCell ref="AH88:AO88"/>
    <mergeCell ref="B191:C191"/>
    <mergeCell ref="X22:Z22"/>
    <mergeCell ref="B178:C178"/>
    <mergeCell ref="AR25:AS27"/>
    <mergeCell ref="AH111:AI111"/>
    <mergeCell ref="AJ174:AO174"/>
    <mergeCell ref="AJ168:AO168"/>
    <mergeCell ref="B255:C255"/>
    <mergeCell ref="T41:U41"/>
    <mergeCell ref="AK192:AN192"/>
    <mergeCell ref="B49:C49"/>
    <mergeCell ref="V41:AC41"/>
    <mergeCell ref="T43:U43"/>
    <mergeCell ref="T170:U170"/>
    <mergeCell ref="D23:H23"/>
    <mergeCell ref="B216:R216"/>
    <mergeCell ref="AH223:AO223"/>
    <mergeCell ref="AF77:AJ79"/>
    <mergeCell ref="I151:J151"/>
    <mergeCell ref="AH195:AI195"/>
    <mergeCell ref="AH251:AI251"/>
    <mergeCell ref="S222:Y222"/>
    <mergeCell ref="AJ161:AO161"/>
    <mergeCell ref="AG7:AO7"/>
    <mergeCell ref="O77:S79"/>
    <mergeCell ref="B8:AF9"/>
    <mergeCell ref="S221:Y221"/>
    <mergeCell ref="AH253:AI253"/>
    <mergeCell ref="V161:AC161"/>
    <mergeCell ref="B179:C179"/>
    <mergeCell ref="S223:Y223"/>
    <mergeCell ref="AJ175:AO175"/>
    <mergeCell ref="Y212:AE212"/>
    <mergeCell ref="B236:N238"/>
    <mergeCell ref="B166:C166"/>
    <mergeCell ref="AJ162:AO162"/>
    <mergeCell ref="B116:C116"/>
    <mergeCell ref="B37:C37"/>
    <mergeCell ref="B174:C174"/>
    <mergeCell ref="AK151:AO152"/>
    <mergeCell ref="B168:C168"/>
    <mergeCell ref="AJ164:AO164"/>
    <mergeCell ref="AD58:AI58"/>
    <mergeCell ref="S115:Y117"/>
    <mergeCell ref="AH107:AO107"/>
    <mergeCell ref="T31:U31"/>
    <mergeCell ref="AE185:AH185"/>
    <mergeCell ref="AJ251:AO251"/>
    <mergeCell ref="AA153:AE153"/>
    <mergeCell ref="AH119:AI119"/>
    <mergeCell ref="B169:C169"/>
    <mergeCell ref="V179:AC179"/>
    <mergeCell ref="AJ253:AO253"/>
    <mergeCell ref="V43:AC43"/>
    <mergeCell ref="Y80:AE80"/>
    <mergeCell ref="AJ180:AO180"/>
    <mergeCell ref="F242:N242"/>
    <mergeCell ref="B194:C194"/>
    <mergeCell ref="B121:C121"/>
    <mergeCell ref="K89:R89"/>
    <mergeCell ref="B96:C96"/>
    <mergeCell ref="AB54:AC54"/>
    <mergeCell ref="O240:X240"/>
    <mergeCell ref="T184:U184"/>
    <mergeCell ref="B58:C58"/>
    <mergeCell ref="B52:C52"/>
    <mergeCell ref="T171:U171"/>
    <mergeCell ref="K88:R88"/>
    <mergeCell ref="K247:R249"/>
    <mergeCell ref="B60:C60"/>
    <mergeCell ref="AK53:AN53"/>
    <mergeCell ref="T173:U173"/>
    <mergeCell ref="B104:N106"/>
    <mergeCell ref="K90:R90"/>
    <mergeCell ref="AI1:AO1"/>
    <mergeCell ref="B162:C162"/>
    <mergeCell ref="V167:AC167"/>
    <mergeCell ref="B114:D114"/>
    <mergeCell ref="AF66:AO66"/>
    <mergeCell ref="Y107:AG107"/>
    <mergeCell ref="O108:X108"/>
    <mergeCell ref="V182:AC182"/>
    <mergeCell ref="C222:J222"/>
    <mergeCell ref="V169:AC169"/>
    <mergeCell ref="O213:S213"/>
    <mergeCell ref="B187:C187"/>
    <mergeCell ref="AF154:AJ154"/>
    <mergeCell ref="AJ177:AO177"/>
    <mergeCell ref="B134:G134"/>
    <mergeCell ref="V162:AC162"/>
    <mergeCell ref="AD177:AI177"/>
    <mergeCell ref="AD33:AI33"/>
    <mergeCell ref="B124:C124"/>
    <mergeCell ref="B241:C241"/>
    <mergeCell ref="AH247:AO249"/>
    <mergeCell ref="K250:R250"/>
    <mergeCell ref="B251:C251"/>
    <mergeCell ref="B189:C189"/>
    <mergeCell ref="B45:C45"/>
    <mergeCell ref="T34:U34"/>
    <mergeCell ref="V177:AC177"/>
    <mergeCell ref="AB186:AC186"/>
    <mergeCell ref="V164:AC164"/>
    <mergeCell ref="B188:C188"/>
    <mergeCell ref="AD35:AI35"/>
    <mergeCell ref="T39:U39"/>
    <mergeCell ref="B109:C109"/>
    <mergeCell ref="B2:G2"/>
    <mergeCell ref="B47:C47"/>
    <mergeCell ref="AG139:AO139"/>
    <mergeCell ref="AJ178:AO178"/>
    <mergeCell ref="T30:U30"/>
    <mergeCell ref="Z220:AG220"/>
    <mergeCell ref="AJ243:AO243"/>
    <mergeCell ref="B59:C59"/>
    <mergeCell ref="B190:C190"/>
    <mergeCell ref="B46:C46"/>
    <mergeCell ref="Z222:AG222"/>
    <mergeCell ref="B69:D69"/>
    <mergeCell ref="AG65:AH65"/>
    <mergeCell ref="T47:U47"/>
    <mergeCell ref="AD163:AI163"/>
    <mergeCell ref="B48:C48"/>
    <mergeCell ref="V180:AC180"/>
    <mergeCell ref="B235:X235"/>
    <mergeCell ref="Y108:AG108"/>
    <mergeCell ref="C82:N82"/>
    <mergeCell ref="K224:R224"/>
    <mergeCell ref="B73:C73"/>
    <mergeCell ref="AB56:AC56"/>
    <mergeCell ref="V170:AC170"/>
    <mergeCell ref="Y239:AG239"/>
    <mergeCell ref="C240:N240"/>
    <mergeCell ref="AJ183:AO183"/>
    <mergeCell ref="AH236:AO238"/>
    <mergeCell ref="AF19:AJ20"/>
    <mergeCell ref="AH115:AO117"/>
    <mergeCell ref="V172:AC172"/>
    <mergeCell ref="AD165:AI165"/>
    <mergeCell ref="C83:N83"/>
    <mergeCell ref="K225:R225"/>
    <mergeCell ref="Y240:AG240"/>
    <mergeCell ref="T52:U52"/>
    <mergeCell ref="AD29:AI29"/>
    <mergeCell ref="T174:U174"/>
    <mergeCell ref="F225:J225"/>
    <mergeCell ref="AD166:AI166"/>
    <mergeCell ref="V37:AC37"/>
    <mergeCell ref="AI227:AN227"/>
    <mergeCell ref="Z118:AG118"/>
    <mergeCell ref="AA22:AE22"/>
    <mergeCell ref="V183:AC183"/>
    <mergeCell ref="O109:X109"/>
    <mergeCell ref="AJ111:AO111"/>
    <mergeCell ref="X155:Z155"/>
    <mergeCell ref="AJ38:AO38"/>
    <mergeCell ref="T49:U49"/>
    <mergeCell ref="B140:AF141"/>
    <mergeCell ref="Y110:AG110"/>
    <mergeCell ref="K217:R219"/>
    <mergeCell ref="AR178:AT178"/>
    <mergeCell ref="T42:U42"/>
    <mergeCell ref="B21:C21"/>
    <mergeCell ref="AH225:AO225"/>
    <mergeCell ref="AD49:AI49"/>
    <mergeCell ref="K91:R91"/>
    <mergeCell ref="AJ33:AO33"/>
    <mergeCell ref="B61:C61"/>
    <mergeCell ref="T50:U50"/>
    <mergeCell ref="T44:U44"/>
    <mergeCell ref="T167:U167"/>
    <mergeCell ref="AK185:AN185"/>
    <mergeCell ref="AD184:AI184"/>
    <mergeCell ref="AJ35:AO35"/>
    <mergeCell ref="AD171:AI171"/>
    <mergeCell ref="AK193:AN193"/>
    <mergeCell ref="B112:C112"/>
    <mergeCell ref="T169:U169"/>
    <mergeCell ref="AH59:AI59"/>
    <mergeCell ref="AF95:AG95"/>
    <mergeCell ref="AD42:AI42"/>
    <mergeCell ref="AH98:AO100"/>
    <mergeCell ref="D16:AO16"/>
    <mergeCell ref="AH26:AO26"/>
    <mergeCell ref="C108:N108"/>
    <mergeCell ref="B51:C51"/>
    <mergeCell ref="BC181:BD181"/>
    <mergeCell ref="D18:AO18"/>
    <mergeCell ref="AG158:AO158"/>
    <mergeCell ref="B16:C16"/>
    <mergeCell ref="S89:Y89"/>
    <mergeCell ref="D151:H152"/>
    <mergeCell ref="AD31:AI31"/>
    <mergeCell ref="B18:C18"/>
    <mergeCell ref="Y127:Z127"/>
    <mergeCell ref="T53:U53"/>
    <mergeCell ref="AD168:AI168"/>
    <mergeCell ref="AJ30:AO30"/>
    <mergeCell ref="B253:C253"/>
    <mergeCell ref="Z85:AG87"/>
    <mergeCell ref="AN138:AO138"/>
    <mergeCell ref="AD32:AI32"/>
    <mergeCell ref="Y209:AE211"/>
    <mergeCell ref="V176:AC176"/>
    <mergeCell ref="AB189:AC189"/>
    <mergeCell ref="Z247:AG249"/>
    <mergeCell ref="AJ41:AO41"/>
    <mergeCell ref="V51:AC51"/>
    <mergeCell ref="V178:AC178"/>
    <mergeCell ref="AH226:AO226"/>
    <mergeCell ref="B3:G3"/>
    <mergeCell ref="AJ43:AO43"/>
    <mergeCell ref="AH113:AI113"/>
    <mergeCell ref="AH241:AO241"/>
    <mergeCell ref="AD173:AI173"/>
    <mergeCell ref="AH228:AO228"/>
    <mergeCell ref="B95:C95"/>
    <mergeCell ref="T37:U37"/>
    <mergeCell ref="AD44:AI44"/>
    <mergeCell ref="AF96:AG96"/>
    <mergeCell ref="B153:C153"/>
    <mergeCell ref="AD187:AI187"/>
    <mergeCell ref="B224:C224"/>
    <mergeCell ref="AB55:AC55"/>
    <mergeCell ref="AD174:AI174"/>
    <mergeCell ref="O209:S211"/>
    <mergeCell ref="AN6:AO6"/>
    <mergeCell ref="T185:U185"/>
    <mergeCell ref="Z250:AG250"/>
    <mergeCell ref="AH101:AO101"/>
    <mergeCell ref="V33:AC33"/>
    <mergeCell ref="T38:U38"/>
    <mergeCell ref="BC49:BD49"/>
    <mergeCell ref="D148:AO148"/>
    <mergeCell ref="AD45:AI45"/>
    <mergeCell ref="B184:C184"/>
    <mergeCell ref="B228:C228"/>
    <mergeCell ref="V35:AC35"/>
    <mergeCell ref="D21:H21"/>
    <mergeCell ref="S88:Y88"/>
    <mergeCell ref="V181:AC181"/>
    <mergeCell ref="AF227:AG227"/>
    <mergeCell ref="B42:C42"/>
    <mergeCell ref="V34:AC34"/>
    <mergeCell ref="O212:S212"/>
    <mergeCell ref="B17:C17"/>
    <mergeCell ref="S90:Y90"/>
    <mergeCell ref="AH221:AO221"/>
    <mergeCell ref="B148:C148"/>
    <mergeCell ref="AJ29:AO29"/>
    <mergeCell ref="B44:C44"/>
    <mergeCell ref="T163:U163"/>
    <mergeCell ref="V30:AC30"/>
    <mergeCell ref="T40:U40"/>
    <mergeCell ref="O214:S214"/>
    <mergeCell ref="Y104:AG106"/>
    <mergeCell ref="B19:C19"/>
    <mergeCell ref="AF21:AJ21"/>
    <mergeCell ref="AJ44:AO44"/>
    <mergeCell ref="B146:C146"/>
    <mergeCell ref="AD47:AI47"/>
    <mergeCell ref="Y83:AE83"/>
    <mergeCell ref="AJ31:AO31"/>
    <mergeCell ref="B4:G6"/>
    <mergeCell ref="AI3:AO4"/>
    <mergeCell ref="B254:C254"/>
    <mergeCell ref="AF23:AJ23"/>
    <mergeCell ref="AD169:AI169"/>
    <mergeCell ref="B256:C256"/>
    <mergeCell ref="AH89:AO89"/>
    <mergeCell ref="AE53:AH53"/>
    <mergeCell ref="Z89:AG89"/>
    <mergeCell ref="AF209:AJ211"/>
    <mergeCell ref="S118:Y118"/>
    <mergeCell ref="V160:AO160"/>
    <mergeCell ref="C212:N212"/>
    <mergeCell ref="AD164:AI164"/>
    <mergeCell ref="T45:U45"/>
    <mergeCell ref="C214:N214"/>
    <mergeCell ref="AH234:AO234"/>
    <mergeCell ref="B167:C167"/>
    <mergeCell ref="AD189:AI189"/>
    <mergeCell ref="B246:D246"/>
    <mergeCell ref="B111:C111"/>
    <mergeCell ref="AD188:AI188"/>
    <mergeCell ref="B225:C225"/>
    <mergeCell ref="B175:C175"/>
    <mergeCell ref="AH102:AO102"/>
    <mergeCell ref="AD190:AI190"/>
    <mergeCell ref="AF226:AG226"/>
    <mergeCell ref="V49:AC49"/>
    <mergeCell ref="AD55:AI55"/>
    <mergeCell ref="V36:AC36"/>
    <mergeCell ref="B252:D252"/>
    <mergeCell ref="AF228:AG228"/>
    <mergeCell ref="AD48:AI48"/>
    <mergeCell ref="C91:J91"/>
    <mergeCell ref="O82:S82"/>
    <mergeCell ref="V50:AC50"/>
    <mergeCell ref="AH243:AI243"/>
    <mergeCell ref="AJ39:AO39"/>
    <mergeCell ref="C220:J220"/>
    <mergeCell ref="D153:H153"/>
    <mergeCell ref="T179:U179"/>
    <mergeCell ref="AG8:AO9"/>
    <mergeCell ref="T166:U166"/>
    <mergeCell ref="AH239:AO239"/>
    <mergeCell ref="O241:X241"/>
    <mergeCell ref="B136:G138"/>
    <mergeCell ref="B22:C22"/>
    <mergeCell ref="B155:C155"/>
    <mergeCell ref="B93:C93"/>
    <mergeCell ref="B149:C149"/>
    <mergeCell ref="B193:C193"/>
    <mergeCell ref="Y213:AE213"/>
    <mergeCell ref="B67:AE67"/>
    <mergeCell ref="T168:U168"/>
    <mergeCell ref="AJ137:AM138"/>
    <mergeCell ref="B151:C151"/>
    <mergeCell ref="Y215:AE215"/>
    <mergeCell ref="AH112:AI112"/>
    <mergeCell ref="AI135:AO136"/>
    <mergeCell ref="S85:Y87"/>
    <mergeCell ref="D19:H20"/>
    <mergeCell ref="B182:C182"/>
    <mergeCell ref="C101:AG101"/>
    <mergeCell ref="B38:C38"/>
    <mergeCell ref="AJ5:AM6"/>
    <mergeCell ref="AJ172:AO172"/>
    <mergeCell ref="S247:Y249"/>
    <mergeCell ref="AH191:AI191"/>
    <mergeCell ref="V32:AC32"/>
    <mergeCell ref="B40:C40"/>
    <mergeCell ref="B103:X103"/>
    <mergeCell ref="AH250:AO250"/>
    <mergeCell ref="B183:C183"/>
    <mergeCell ref="H47:R47"/>
    <mergeCell ref="B177:C177"/>
    <mergeCell ref="B33:C33"/>
    <mergeCell ref="AA154:AE154"/>
    <mergeCell ref="AJ173:AO173"/>
    <mergeCell ref="AF151:AJ152"/>
    <mergeCell ref="Z90:AG90"/>
    <mergeCell ref="B41:C41"/>
    <mergeCell ref="Y81:AE81"/>
    <mergeCell ref="C215:N215"/>
    <mergeCell ref="B35:C35"/>
    <mergeCell ref="AI134:AO134"/>
    <mergeCell ref="B120:D120"/>
    <mergeCell ref="V175:AC175"/>
    <mergeCell ref="B250:J250"/>
    <mergeCell ref="S250:Y250"/>
    <mergeCell ref="V52:AC52"/>
    <mergeCell ref="O104:X106"/>
    <mergeCell ref="B180:C180"/>
    <mergeCell ref="AI2:AO2"/>
    <mergeCell ref="O83:S83"/>
    <mergeCell ref="AJ176:AO176"/>
    <mergeCell ref="AJ170:AO170"/>
    <mergeCell ref="AH92:AO92"/>
    <mergeCell ref="AH244:AI244"/>
    <mergeCell ref="AK61:AN61"/>
    <mergeCell ref="AJ191:AO191"/>
    <mergeCell ref="C221:J221"/>
    <mergeCell ref="B118:J118"/>
    <mergeCell ref="D154:H154"/>
    <mergeCell ref="T180:U180"/>
    <mergeCell ref="AJ184:AO184"/>
    <mergeCell ref="K19:W23"/>
    <mergeCell ref="AH240:AO240"/>
    <mergeCell ref="B119:C119"/>
    <mergeCell ref="K115:R117"/>
    <mergeCell ref="AK112:AN112"/>
    <mergeCell ref="AF67:AO67"/>
    <mergeCell ref="C81:N81"/>
    <mergeCell ref="AH96:AO96"/>
    <mergeCell ref="O107:X107"/>
    <mergeCell ref="AJ171:AO171"/>
    <mergeCell ref="C223:J223"/>
    <mergeCell ref="AH230:AO232"/>
    <mergeCell ref="T182:U182"/>
    <mergeCell ref="B186:C186"/>
    <mergeCell ref="C234:AG234"/>
    <mergeCell ref="F93:J93"/>
    <mergeCell ref="AD186:AI186"/>
    <mergeCell ref="T209:X211"/>
    <mergeCell ref="I19:J19"/>
    <mergeCell ref="AH255:AI255"/>
    <mergeCell ref="B199:AE199"/>
    <mergeCell ref="V163:AC163"/>
    <mergeCell ref="B54:C54"/>
    <mergeCell ref="AA264:AG264"/>
    <mergeCell ref="AH192:AI192"/>
    <mergeCell ref="B185:C185"/>
    <mergeCell ref="T77:X79"/>
    <mergeCell ref="S225:Y225"/>
    <mergeCell ref="W185:AB185"/>
    <mergeCell ref="Z217:AG219"/>
    <mergeCell ref="B122:C122"/>
    <mergeCell ref="B56:C56"/>
    <mergeCell ref="V48:AC48"/>
    <mergeCell ref="AA155:AE155"/>
    <mergeCell ref="V165:AC165"/>
    <mergeCell ref="T175:U175"/>
    <mergeCell ref="B43:C43"/>
    <mergeCell ref="T162:U162"/>
    <mergeCell ref="B176:C176"/>
    <mergeCell ref="AJ166:AO166"/>
    <mergeCell ref="Z91:AG91"/>
    <mergeCell ref="AK209:AO211"/>
    <mergeCell ref="T177:U177"/>
    <mergeCell ref="BA181:BB181"/>
    <mergeCell ref="AK244:AN244"/>
    <mergeCell ref="AH85:AO87"/>
    <mergeCell ref="C102:AG102"/>
    <mergeCell ref="Z93:AG93"/>
    <mergeCell ref="B57:C57"/>
    <mergeCell ref="S217:Y219"/>
    <mergeCell ref="AH121:AI121"/>
    <mergeCell ref="B171:C171"/>
    <mergeCell ref="AJ255:AO255"/>
    <mergeCell ref="AH123:AI123"/>
    <mergeCell ref="AH245:AI245"/>
    <mergeCell ref="K220:R220"/>
    <mergeCell ref="S84:AO84"/>
    <mergeCell ref="AH108:AO108"/>
    <mergeCell ref="AA19:AE20"/>
    <mergeCell ref="K222:R222"/>
    <mergeCell ref="C107:N107"/>
    <mergeCell ref="AB187:AC187"/>
    <mergeCell ref="T46:U46"/>
    <mergeCell ref="AJ123:AO123"/>
    <mergeCell ref="V46:AC46"/>
    <mergeCell ref="B173:C173"/>
    <mergeCell ref="AJ181:AO181"/>
    <mergeCell ref="K221:R221"/>
    <mergeCell ref="O236:X238"/>
    <mergeCell ref="B62:C62"/>
    <mergeCell ref="T48:U48"/>
    <mergeCell ref="B227:C227"/>
    <mergeCell ref="K92:R92"/>
    <mergeCell ref="K223:R223"/>
    <mergeCell ref="Y103:AO103"/>
    <mergeCell ref="AH104:AO106"/>
    <mergeCell ref="Y77:AE79"/>
    <mergeCell ref="K151:W155"/>
    <mergeCell ref="B39:C39"/>
    <mergeCell ref="V184:AC184"/>
    <mergeCell ref="AJ34:AO34"/>
    <mergeCell ref="V171:AC171"/>
    <mergeCell ref="AJ245:AO245"/>
    <mergeCell ref="AJ49:AO49"/>
    <mergeCell ref="AJ36:AO36"/>
    <mergeCell ref="AD179:AI179"/>
    <mergeCell ref="V173:AC173"/>
    <mergeCell ref="AJ113:AO113"/>
    <mergeCell ref="V39:AC39"/>
    <mergeCell ref="V166:AC166"/>
    <mergeCell ref="AD37:AI37"/>
    <mergeCell ref="B128:C128"/>
    <mergeCell ref="AY49:AZ49"/>
    <mergeCell ref="B226:C226"/>
    <mergeCell ref="BA49:BB49"/>
    <mergeCell ref="AH60:AI60"/>
    <mergeCell ref="D17:AO17"/>
    <mergeCell ref="B135:G135"/>
    <mergeCell ref="AJ167:AO167"/>
    <mergeCell ref="AD180:AI180"/>
    <mergeCell ref="AK19:AO20"/>
    <mergeCell ref="AD167:AI167"/>
    <mergeCell ref="V168:AC168"/>
    <mergeCell ref="T178:U178"/>
    <mergeCell ref="AD161:AI161"/>
    <mergeCell ref="B84:R84"/>
    <mergeCell ref="AH94:AO94"/>
    <mergeCell ref="B192:C192"/>
    <mergeCell ref="C239:N239"/>
    <mergeCell ref="AJ182:AO182"/>
    <mergeCell ref="AF153:AJ153"/>
    <mergeCell ref="AJ169:AO169"/>
    <mergeCell ref="AD38:AI38"/>
    <mergeCell ref="B123:C123"/>
    <mergeCell ref="AK60:AN60"/>
    <mergeCell ref="B50:C50"/>
    <mergeCell ref="T36:U36"/>
    <mergeCell ref="B110:C110"/>
    <mergeCell ref="C217:J219"/>
  </mergeCells>
  <conditionalFormatting sqref="A52">
    <cfRule type="expression" priority="9" dxfId="2567">
      <formula>AND(AS52,AT52)</formula>
    </cfRule>
  </conditionalFormatting>
  <conditionalFormatting sqref="A184">
    <cfRule type="expression" priority="4" dxfId="2567">
      <formula>AND(AS184,AT184)</formula>
    </cfRule>
  </conditionalFormatting>
  <conditionalFormatting sqref="B8 AG8">
    <cfRule type="expression" priority="201" dxfId="6">
      <formula>NoColor</formula>
    </cfRule>
  </conditionalFormatting>
  <conditionalFormatting sqref="B140 AG140">
    <cfRule type="expression" priority="79" dxfId="6">
      <formula>NoColor</formula>
    </cfRule>
  </conditionalFormatting>
  <conditionalFormatting sqref="B67:AO67">
    <cfRule type="expression" priority="111" dxfId="6">
      <formula>NoColor</formula>
    </cfRule>
  </conditionalFormatting>
  <conditionalFormatting sqref="B118:AO118">
    <cfRule type="expression" priority="80" dxfId="6">
      <formula>NoColor</formula>
    </cfRule>
  </conditionalFormatting>
  <conditionalFormatting sqref="B199:AO199">
    <cfRule type="expression" priority="21" dxfId="6">
      <formula>NoColor</formula>
    </cfRule>
  </conditionalFormatting>
  <conditionalFormatting sqref="B250:AO250">
    <cfRule type="expression" priority="27" dxfId="6">
      <formula>NoColor</formula>
    </cfRule>
  </conditionalFormatting>
  <conditionalFormatting sqref="C101:J102">
    <cfRule type="expression" priority="101" dxfId="6">
      <formula>NoColor</formula>
    </cfRule>
  </conditionalFormatting>
  <conditionalFormatting sqref="C233:J234">
    <cfRule type="expression" priority="48" dxfId="6">
      <formula>NoColor</formula>
    </cfRule>
  </conditionalFormatting>
  <conditionalFormatting sqref="C80:AO83">
    <cfRule type="expression" priority="110" dxfId="6">
      <formula>NoColor</formula>
    </cfRule>
  </conditionalFormatting>
  <conditionalFormatting sqref="C88:AO91">
    <cfRule type="expression" priority="109" dxfId="6">
      <formula>NoColor</formula>
    </cfRule>
  </conditionalFormatting>
  <conditionalFormatting sqref="C107:AO108">
    <cfRule type="expression" priority="99" dxfId="6">
      <formula>NoColor</formula>
    </cfRule>
  </conditionalFormatting>
  <conditionalFormatting sqref="C212:AO215">
    <cfRule type="expression" priority="57" dxfId="6">
      <formula>NoColor</formula>
    </cfRule>
  </conditionalFormatting>
  <conditionalFormatting sqref="C220:AO223">
    <cfRule type="expression" priority="56" dxfId="6">
      <formula>NoColor</formula>
    </cfRule>
  </conditionalFormatting>
  <conditionalFormatting sqref="C239:AO240">
    <cfRule type="expression" priority="46" dxfId="6">
      <formula>NoColor</formula>
    </cfRule>
  </conditionalFormatting>
  <conditionalFormatting sqref="D52:D53">
    <cfRule type="expression" priority="1" dxfId="0">
      <formula>$AV52</formula>
    </cfRule>
  </conditionalFormatting>
  <conditionalFormatting sqref="D184:D185">
    <cfRule type="expression" priority="2" dxfId="0">
      <formula>$AV184</formula>
    </cfRule>
  </conditionalFormatting>
  <conditionalFormatting sqref="D21:H23">
    <cfRule type="expression" priority="130" dxfId="6">
      <formula>NoColor</formula>
    </cfRule>
  </conditionalFormatting>
  <conditionalFormatting sqref="D153:H155">
    <cfRule type="expression" priority="77" dxfId="6">
      <formula>NoColor</formula>
    </cfRule>
  </conditionalFormatting>
  <conditionalFormatting sqref="D16:AO18">
    <cfRule type="expression" priority="131" dxfId="6">
      <formula>NoColor</formula>
    </cfRule>
  </conditionalFormatting>
  <conditionalFormatting sqref="D148:AO150">
    <cfRule type="expression" priority="78" dxfId="6">
      <formula>NoColor</formula>
    </cfRule>
  </conditionalFormatting>
  <conditionalFormatting sqref="F93:J93">
    <cfRule type="expression" priority="108" dxfId="6">
      <formula>NoColor</formula>
    </cfRule>
  </conditionalFormatting>
  <conditionalFormatting sqref="F225:J225">
    <cfRule type="expression" priority="55" dxfId="6">
      <formula>NoColor</formula>
    </cfRule>
  </conditionalFormatting>
  <conditionalFormatting sqref="F110:N110">
    <cfRule type="expression" priority="98" dxfId="6">
      <formula>NoColor</formula>
    </cfRule>
  </conditionalFormatting>
  <conditionalFormatting sqref="F242:N242">
    <cfRule type="expression" priority="45" dxfId="6">
      <formula>NoColor</formula>
    </cfRule>
  </conditionalFormatting>
  <conditionalFormatting sqref="H2">
    <cfRule type="expression" priority="81" dxfId="20">
      <formula>NOT(Draft)</formula>
    </cfRule>
  </conditionalFormatting>
  <conditionalFormatting sqref="H134">
    <cfRule type="expression" priority="28" dxfId="20">
      <formula>NOT(Draft)</formula>
    </cfRule>
  </conditionalFormatting>
  <conditionalFormatting sqref="H198">
    <cfRule type="expression" priority="15" dxfId="14">
      <formula>AND($AR198,$AP199="",NOT(NoColor))</formula>
    </cfRule>
  </conditionalFormatting>
  <conditionalFormatting sqref="H66:I66">
    <cfRule type="expression" priority="16" dxfId="14">
      <formula>AND($AR66,$AP67="",NOT(NoColor))</formula>
    </cfRule>
  </conditionalFormatting>
  <conditionalFormatting sqref="H47:R48">
    <cfRule type="expression" priority="119" dxfId="6">
      <formula>NoColor</formula>
    </cfRule>
  </conditionalFormatting>
  <conditionalFormatting sqref="H179:R180">
    <cfRule type="expression" priority="66" dxfId="6">
      <formula>NoColor</formula>
    </cfRule>
  </conditionalFormatting>
  <conditionalFormatting sqref="H59:AF59">
    <cfRule type="expression" priority="117" dxfId="6">
      <formula>NoColor</formula>
    </cfRule>
  </conditionalFormatting>
  <conditionalFormatting sqref="H191:AF191">
    <cfRule type="expression" priority="64" dxfId="6">
      <formula>NoColor</formula>
    </cfRule>
  </conditionalFormatting>
  <conditionalFormatting sqref="H60:AG60">
    <cfRule type="expression" priority="115" dxfId="6">
      <formula>NoColor</formula>
    </cfRule>
  </conditionalFormatting>
  <conditionalFormatting sqref="H192:AG192">
    <cfRule type="expression" priority="62" dxfId="6">
      <formula>NoColor</formula>
    </cfRule>
  </conditionalFormatting>
  <conditionalFormatting sqref="K92:R92">
    <cfRule type="expression" priority="107" dxfId="6">
      <formula>NoColor</formula>
    </cfRule>
  </conditionalFormatting>
  <conditionalFormatting sqref="K224:R224">
    <cfRule type="expression" priority="54" dxfId="6">
      <formula>NoColor</formula>
    </cfRule>
  </conditionalFormatting>
  <conditionalFormatting sqref="O109:X109">
    <cfRule type="expression" priority="97" dxfId="6">
      <formula>NoColor</formula>
    </cfRule>
  </conditionalFormatting>
  <conditionalFormatting sqref="O241:X241">
    <cfRule type="expression" priority="44" dxfId="6">
      <formula>NoColor</formula>
    </cfRule>
  </conditionalFormatting>
  <conditionalFormatting sqref="S93:AG93">
    <cfRule type="expression" priority="104" dxfId="6">
      <formula>NoColor</formula>
    </cfRule>
  </conditionalFormatting>
  <conditionalFormatting sqref="S225:AG225">
    <cfRule type="expression" priority="51" dxfId="6">
      <formula>NoColor</formula>
    </cfRule>
  </conditionalFormatting>
  <conditionalFormatting sqref="V53:W53 AC53:AE53 AI53:AK53 AO53">
    <cfRule type="expression" priority="121" dxfId="6">
      <formula>NoColor</formula>
    </cfRule>
  </conditionalFormatting>
  <conditionalFormatting sqref="V185:W185 AC185:AE185 AI185:AK185 AO185">
    <cfRule type="expression" priority="68" dxfId="6">
      <formula>NoColor</formula>
    </cfRule>
  </conditionalFormatting>
  <conditionalFormatting sqref="V32:AC32">
    <cfRule type="expression" priority="88" dxfId="20">
      <formula>$BE$21</formula>
    </cfRule>
  </conditionalFormatting>
  <conditionalFormatting sqref="V164:AC164">
    <cfRule type="expression" priority="35" dxfId="20">
      <formula>$BE$21</formula>
    </cfRule>
  </conditionalFormatting>
  <conditionalFormatting sqref="V30:AO31">
    <cfRule type="expression" priority="125" dxfId="6">
      <formula>NoColor</formula>
    </cfRule>
  </conditionalFormatting>
  <conditionalFormatting sqref="V33:AO48">
    <cfRule type="expression" priority="123" dxfId="6">
      <formula>NoColor</formula>
    </cfRule>
  </conditionalFormatting>
  <conditionalFormatting sqref="V51:AO51">
    <cfRule type="expression" priority="122" dxfId="6">
      <formula>NoColor</formula>
    </cfRule>
  </conditionalFormatting>
  <conditionalFormatting sqref="V162:AO163">
    <cfRule type="expression" priority="72" dxfId="6">
      <formula>NoColor</formula>
    </cfRule>
  </conditionalFormatting>
  <conditionalFormatting sqref="V165:AO180">
    <cfRule type="expression" priority="70" dxfId="6">
      <formula>NoColor</formula>
    </cfRule>
  </conditionalFormatting>
  <conditionalFormatting sqref="V183:AO183">
    <cfRule type="expression" priority="69" dxfId="6">
      <formula>NoColor</formula>
    </cfRule>
  </conditionalFormatting>
  <conditionalFormatting sqref="Y110:AG110">
    <cfRule type="expression" priority="96" dxfId="6">
      <formula>NoColor</formula>
    </cfRule>
  </conditionalFormatting>
  <conditionalFormatting sqref="Y242:AG242">
    <cfRule type="expression" priority="43" dxfId="6">
      <formula>NoColor</formula>
    </cfRule>
  </conditionalFormatting>
  <conditionalFormatting sqref="AA21:AE23">
    <cfRule type="expression" priority="84" dxfId="14">
      <formula>AV21</formula>
    </cfRule>
  </conditionalFormatting>
  <conditionalFormatting sqref="AA153:AE155">
    <cfRule type="expression" priority="31" dxfId="14">
      <formula>AV153</formula>
    </cfRule>
  </conditionalFormatting>
  <conditionalFormatting sqref="AA127:AG127">
    <cfRule type="expression" priority="90" dxfId="6">
      <formula>NoColor</formula>
    </cfRule>
  </conditionalFormatting>
  <conditionalFormatting sqref="AA132:AG132">
    <cfRule type="expression" priority="89" dxfId="6">
      <formula>NoColor</formula>
    </cfRule>
  </conditionalFormatting>
  <conditionalFormatting sqref="AA259:AG259">
    <cfRule type="expression" priority="37" dxfId="6">
      <formula>NoColor</formula>
    </cfRule>
  </conditionalFormatting>
  <conditionalFormatting sqref="AA264:AG264">
    <cfRule type="expression" priority="36" dxfId="6">
      <formula>NoColor</formula>
    </cfRule>
  </conditionalFormatting>
  <conditionalFormatting sqref="AA21:AJ23">
    <cfRule type="expression" priority="129" dxfId="6">
      <formula>NoColor</formula>
    </cfRule>
  </conditionalFormatting>
  <conditionalFormatting sqref="AA153:AJ155">
    <cfRule type="expression" priority="76" dxfId="6">
      <formula>NoColor</formula>
    </cfRule>
  </conditionalFormatting>
  <conditionalFormatting sqref="AD32:AI32">
    <cfRule type="expression" priority="87" dxfId="20">
      <formula>$BE$22</formula>
    </cfRule>
  </conditionalFormatting>
  <conditionalFormatting sqref="AD54:AI58 AD63:AF63 AD64:AI64">
    <cfRule type="expression" priority="120" dxfId="6">
      <formula>NoColor</formula>
    </cfRule>
  </conditionalFormatting>
  <conditionalFormatting sqref="AD164:AI164">
    <cfRule type="expression" priority="34" dxfId="20">
      <formula>$BE$22</formula>
    </cfRule>
  </conditionalFormatting>
  <conditionalFormatting sqref="AD186:AI190 AD195:AF195 AD196:AI196">
    <cfRule type="expression" priority="67" dxfId="6">
      <formula>NoColor</formula>
    </cfRule>
  </conditionalFormatting>
  <conditionalFormatting sqref="AF21:AJ23">
    <cfRule type="expression" priority="85" dxfId="14">
      <formula>AW21</formula>
    </cfRule>
  </conditionalFormatting>
  <conditionalFormatting sqref="AF153:AJ155">
    <cfRule type="expression" priority="32" dxfId="14">
      <formula>AW153</formula>
    </cfRule>
  </conditionalFormatting>
  <conditionalFormatting sqref="AG158 AH158:AO159">
    <cfRule type="expression" priority="24" dxfId="6">
      <formula>OR(NoColor,NOT(AR156))</formula>
    </cfRule>
  </conditionalFormatting>
  <conditionalFormatting sqref="AH26:AO26">
    <cfRule type="expression" priority="14" dxfId="2499">
      <formula>AND(AR24,NOT(NoColor))</formula>
    </cfRule>
  </conditionalFormatting>
  <conditionalFormatting sqref="AH92:AO92">
    <cfRule type="expression" priority="105" dxfId="6">
      <formula>NoColor</formula>
    </cfRule>
  </conditionalFormatting>
  <conditionalFormatting sqref="AH94:AO94 AH95:AI95 AH96:AO96 AO95">
    <cfRule type="expression" priority="103" dxfId="6">
      <formula>NoColor</formula>
    </cfRule>
  </conditionalFormatting>
  <conditionalFormatting sqref="AH101:AO102">
    <cfRule type="expression" priority="102" dxfId="6">
      <formula>NoColor</formula>
    </cfRule>
  </conditionalFormatting>
  <conditionalFormatting sqref="AH109:AO109">
    <cfRule type="expression" priority="95" dxfId="6">
      <formula>NoColor</formula>
    </cfRule>
  </conditionalFormatting>
  <conditionalFormatting sqref="AH224:AO224">
    <cfRule type="expression" priority="52" dxfId="6">
      <formula>NoColor</formula>
    </cfRule>
  </conditionalFormatting>
  <conditionalFormatting sqref="AH226:AO226 AH227:AI227 AH228:AO228 AO227">
    <cfRule type="expression" priority="50" dxfId="6">
      <formula>NoColor</formula>
    </cfRule>
  </conditionalFormatting>
  <conditionalFormatting sqref="AH233:AO234">
    <cfRule type="expression" priority="49" dxfId="6">
      <formula>NoColor</formula>
    </cfRule>
  </conditionalFormatting>
  <conditionalFormatting sqref="AH241:AO241">
    <cfRule type="expression" priority="42" dxfId="6">
      <formula>NoColor</formula>
    </cfRule>
  </conditionalFormatting>
  <conditionalFormatting sqref="AJ13">
    <cfRule type="expression" priority="83" dxfId="20">
      <formula>NOT(Draft)</formula>
    </cfRule>
  </conditionalFormatting>
  <conditionalFormatting sqref="AJ13:AJ14">
    <cfRule type="expression" priority="127" dxfId="6">
      <formula>NoColor</formula>
    </cfRule>
  </conditionalFormatting>
  <conditionalFormatting sqref="AJ75">
    <cfRule type="expression" priority="113" dxfId="6">
      <formula>NoColor</formula>
    </cfRule>
  </conditionalFormatting>
  <conditionalFormatting sqref="AJ145">
    <cfRule type="expression" priority="30" dxfId="20">
      <formula>NOT(Draft)</formula>
    </cfRule>
  </conditionalFormatting>
  <conditionalFormatting sqref="AJ145:AJ146">
    <cfRule type="expression" priority="74" dxfId="6">
      <formula>NoColor</formula>
    </cfRule>
  </conditionalFormatting>
  <conditionalFormatting sqref="AJ207">
    <cfRule type="expression" priority="60" dxfId="6">
      <formula>NoColor</formula>
    </cfRule>
  </conditionalFormatting>
  <conditionalFormatting sqref="AJ60:AK60">
    <cfRule type="expression" priority="26" dxfId="6">
      <formula>NoColor</formula>
    </cfRule>
  </conditionalFormatting>
  <conditionalFormatting sqref="AJ192:AK192 AO192">
    <cfRule type="expression" priority="63" dxfId="6">
      <formula>NoColor</formula>
    </cfRule>
  </conditionalFormatting>
  <conditionalFormatting sqref="AJ32:AO32">
    <cfRule type="expression" priority="86" dxfId="20">
      <formula>$BE$23</formula>
    </cfRule>
  </conditionalFormatting>
  <conditionalFormatting sqref="AJ59:AO59">
    <cfRule type="expression" priority="118" dxfId="6">
      <formula>NoColor</formula>
    </cfRule>
  </conditionalFormatting>
  <conditionalFormatting sqref="AJ63:AO63">
    <cfRule type="expression" priority="114" dxfId="6">
      <formula>NoColor</formula>
    </cfRule>
  </conditionalFormatting>
  <conditionalFormatting sqref="AJ111:AO111 AJ112:AK112 AJ113:AO113 AO112">
    <cfRule type="expression" priority="94" dxfId="6">
      <formula>NoColor</formula>
    </cfRule>
  </conditionalFormatting>
  <conditionalFormatting sqref="AJ119:AO119">
    <cfRule type="expression" priority="93" dxfId="6">
      <formula>NoColor</formula>
    </cfRule>
  </conditionalFormatting>
  <conditionalFormatting sqref="AJ121:AO123">
    <cfRule type="expression" priority="92" dxfId="6">
      <formula>NoColor</formula>
    </cfRule>
  </conditionalFormatting>
  <conditionalFormatting sqref="AJ164:AO164">
    <cfRule type="expression" priority="33" dxfId="20">
      <formula>$BE$23</formula>
    </cfRule>
  </conditionalFormatting>
  <conditionalFormatting sqref="AJ191:AO191">
    <cfRule type="expression" priority="65" dxfId="6">
      <formula>NoColor</formula>
    </cfRule>
  </conditionalFormatting>
  <conditionalFormatting sqref="AJ195:AO195">
    <cfRule type="expression" priority="61" dxfId="6">
      <formula>NoColor</formula>
    </cfRule>
  </conditionalFormatting>
  <conditionalFormatting sqref="AJ243:AO243 AJ244:AK244 AJ245:AO245 AO244">
    <cfRule type="expression" priority="41" dxfId="6">
      <formula>NoColor</formula>
    </cfRule>
  </conditionalFormatting>
  <conditionalFormatting sqref="AJ251:AO251">
    <cfRule type="expression" priority="40" dxfId="6">
      <formula>NoColor</formula>
    </cfRule>
  </conditionalFormatting>
  <conditionalFormatting sqref="AJ253:AO255">
    <cfRule type="expression" priority="39" dxfId="6">
      <formula>NoColor</formula>
    </cfRule>
  </conditionalFormatting>
  <conditionalFormatting sqref="AM13:AM14">
    <cfRule type="expression" priority="126" dxfId="6">
      <formula>NoColor</formula>
    </cfRule>
  </conditionalFormatting>
  <conditionalFormatting sqref="AM21:AM23">
    <cfRule type="expression" priority="128" dxfId="6">
      <formula>NoColor</formula>
    </cfRule>
  </conditionalFormatting>
  <conditionalFormatting sqref="AM75">
    <cfRule type="expression" priority="112" dxfId="6">
      <formula>NoColor</formula>
    </cfRule>
  </conditionalFormatting>
  <conditionalFormatting sqref="AM145:AM146">
    <cfRule type="expression" priority="73" dxfId="6">
      <formula>NoColor</formula>
    </cfRule>
  </conditionalFormatting>
  <conditionalFormatting sqref="AM153:AM155">
    <cfRule type="expression" priority="75" dxfId="6">
      <formula>NoColor</formula>
    </cfRule>
  </conditionalFormatting>
  <conditionalFormatting sqref="AM207">
    <cfRule type="expression" priority="59" dxfId="6">
      <formula>NoColor</formula>
    </cfRule>
  </conditionalFormatting>
  <conditionalFormatting sqref="AO60">
    <cfRule type="expression" priority="116" dxfId="6">
      <formula>NoColor</formula>
    </cfRule>
  </conditionalFormatting>
  <conditionalFormatting sqref="AP67">
    <cfRule type="expression" priority="18" dxfId="2458">
      <formula>$AR66</formula>
    </cfRule>
  </conditionalFormatting>
  <conditionalFormatting sqref="AP199">
    <cfRule type="expression" priority="19" dxfId="2458">
      <formula>$AR198</formula>
    </cfRule>
  </conditionalFormatting>
  <pageMargins left="0.75" right="0.25" top="0.36" bottom="0.29" header="0.36" footer="0.21"/>
  <pageSetup orientation="portrait" scale="73" fitToHeight="0"/>
  <rowBreaks count="3" manualBreakCount="3">
    <brk id="64" min="1" max="40" man="1"/>
    <brk id="133" min="1" max="40" man="1"/>
    <brk id="196" min="1" max="40" man="1"/>
  </rowBreaks>
</worksheet>
</file>

<file path=xl/worksheets/sheet34.xml><?xml version="1.0" encoding="utf-8"?>
<worksheet xmlns="http://schemas.openxmlformats.org/spreadsheetml/2006/main">
  <sheetPr>
    <outlinePr summaryBelow="1" summaryRight="1"/>
    <pageSetUpPr fitToPage="1"/>
  </sheetPr>
  <dimension ref="A1:BQ266"/>
  <sheetViews>
    <sheetView zoomScaleNormal="100" zoomScaleSheetLayoutView="100" workbookViewId="0">
      <selection activeCell="A1" sqref="A1"/>
    </sheetView>
  </sheetViews>
  <sheetFormatPr baseColWidth="8" defaultColWidth="3.42578125" defaultRowHeight="12.75"/>
  <cols>
    <col width="3.85546875" customWidth="1" style="7635" min="2" max="2"/>
    <col width="2.5703125" customWidth="1" style="7635" min="5" max="5"/>
    <col width="4.28515625" customWidth="1" style="7635" min="6" max="6"/>
    <col width="3.7109375" customWidth="1" style="7635" min="8" max="8"/>
    <col width="2.85546875" customWidth="1" style="7635" min="9" max="10"/>
    <col width="4" customWidth="1" style="7635" min="12" max="12"/>
    <col width="3" customWidth="1" style="7635" min="13" max="14"/>
    <col width="2.7109375" customWidth="1" style="7635" min="15" max="18"/>
    <col width="4.5703125" customWidth="1" style="7635" min="19" max="19"/>
    <col width="3.28515625" customWidth="1" style="7635" min="20" max="25"/>
    <col width="2.7109375" customWidth="1" style="7635" min="26" max="29"/>
    <col width="3.7109375" customWidth="1" style="7635" min="32" max="33"/>
    <col width="3.5703125" customWidth="1" style="7635" min="34" max="34"/>
    <col width="4" customWidth="1" style="7635" min="36" max="36"/>
    <col width="10.28515625" customWidth="1" style="7635" min="44" max="46"/>
    <col width="3.85546875" customWidth="1" style="7635" min="47" max="47"/>
    <col hidden="1" width="10.28515625" customWidth="1" style="7635" min="48" max="55"/>
    <col hidden="1" width="10.140625" customWidth="1" style="7635" min="56" max="56"/>
    <col hidden="1" width="10.28515625" customWidth="1" style="7635" min="57" max="57"/>
    <col width="3.42578125" customWidth="1" style="7635" min="58" max="58"/>
    <col width="10.7109375" customWidth="1" style="816" min="59" max="59"/>
    <col width="10.7109375" customWidth="1" style="815" min="60" max="69"/>
  </cols>
  <sheetData>
    <row r="1" ht="21.75" customHeight="1" s="7635">
      <c r="A1" s="1277" t="n"/>
      <c r="B1" s="1277" t="n"/>
      <c r="C1" s="4749" t="inlineStr">
        <is>
          <t>Note:  This sheet includes two Schedule E forms.</t>
        </is>
      </c>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I1" s="8634">
        <f>IF('Table of Contents'!A39="D","DRAFT","")</f>
        <v/>
      </c>
      <c r="AP1" s="1277" t="n"/>
      <c r="BG1" s="768" t="inlineStr">
        <is>
          <t>Notes</t>
        </is>
      </c>
      <c r="BH1" s="658" t="n"/>
      <c r="BI1" s="658" t="n"/>
      <c r="BJ1" s="658" t="n"/>
      <c r="BK1" s="658" t="n"/>
      <c r="BL1" s="658" t="n"/>
      <c r="BM1" s="658" t="n"/>
      <c r="BN1" s="658" t="n"/>
      <c r="BO1" s="658" t="n"/>
      <c r="BP1" s="658" t="n"/>
    </row>
    <row r="2" ht="18" customHeight="1" s="7635">
      <c r="A2" s="1277" t="n"/>
      <c r="B2" s="12105" t="inlineStr">
        <is>
          <t>SCHEDULE E</t>
        </is>
      </c>
      <c r="G2" s="1066" t="n"/>
      <c r="H2" s="4750" t="n"/>
      <c r="I2" s="11602" t="n"/>
      <c r="J2" s="11602" t="n"/>
      <c r="K2" s="11602" t="n"/>
      <c r="L2" s="11602" t="n"/>
      <c r="M2" s="2329" t="n"/>
      <c r="N2" s="11602" t="n"/>
      <c r="O2" s="11602" t="n"/>
      <c r="P2" s="11602" t="n"/>
      <c r="Q2" s="11602" t="n"/>
      <c r="R2" s="11602" t="n"/>
      <c r="S2" s="11602" t="n"/>
      <c r="T2" s="11602" t="n"/>
      <c r="U2" s="11602" t="n"/>
      <c r="V2" s="11602" t="n"/>
      <c r="W2" s="11602" t="n"/>
      <c r="X2" s="11602" t="n"/>
      <c r="Y2" s="11602" t="n"/>
      <c r="Z2" s="11602" t="n"/>
      <c r="AA2" s="11602" t="n"/>
      <c r="AB2" s="11602" t="n"/>
      <c r="AC2" s="11602" t="n"/>
      <c r="AD2" s="11602" t="n"/>
      <c r="AE2" s="11602" t="n"/>
      <c r="AF2" s="11602" t="n"/>
      <c r="AG2" s="11602" t="n"/>
      <c r="AH2" s="11602" t="n"/>
      <c r="AI2" s="8598">
        <f>IF(AND('Table of Contents'!A39="D",AP2=""),"DRAFT","OMB No. 1545-0074")</f>
        <v/>
      </c>
      <c r="AJ2" s="7637" t="n"/>
      <c r="AK2" s="7637" t="n"/>
      <c r="AL2" s="7637" t="n"/>
      <c r="AM2" s="7637" t="n"/>
      <c r="AN2" s="7637" t="n"/>
      <c r="AO2" s="7637" t="n"/>
      <c r="AP2" s="11543" t="n"/>
      <c r="BG2" s="795" t="inlineStr">
        <is>
          <t>Date:</t>
        </is>
      </c>
      <c r="BH2" s="658" t="n"/>
      <c r="BI2" s="658" t="n"/>
      <c r="BJ2" s="658" t="n"/>
      <c r="BK2" s="658" t="n"/>
      <c r="BL2" s="658" t="n"/>
      <c r="BM2" s="658" t="n"/>
      <c r="BN2" s="658" t="n"/>
      <c r="BO2" s="658" t="n"/>
      <c r="BP2" s="658" t="n"/>
    </row>
    <row r="3" ht="25.5" customHeight="1" s="7635">
      <c r="A3" s="1277" t="n"/>
      <c r="B3" s="12106" t="inlineStr">
        <is>
          <t>(Form 1040)</t>
        </is>
      </c>
      <c r="G3" s="1066" t="n"/>
      <c r="H3" s="4751" t="inlineStr">
        <is>
          <t>Supplemental Income and Loss</t>
        </is>
      </c>
      <c r="I3" s="4752" t="n"/>
      <c r="J3" s="4752" t="n"/>
      <c r="K3" s="4752" t="n"/>
      <c r="L3" s="4752" t="n"/>
      <c r="M3" s="4752" t="n"/>
      <c r="N3" s="4752" t="n"/>
      <c r="O3" s="4752" t="n"/>
      <c r="P3" s="4752" t="n"/>
      <c r="Q3" s="4752" t="n"/>
      <c r="R3" s="4752" t="n"/>
      <c r="S3" s="4752" t="n"/>
      <c r="T3" s="4752" t="n"/>
      <c r="U3" s="4752" t="n"/>
      <c r="V3" s="4752" t="n"/>
      <c r="W3" s="4752" t="n"/>
      <c r="X3" s="4752" t="n"/>
      <c r="Y3" s="4752" t="n"/>
      <c r="Z3" s="4752" t="n"/>
      <c r="AA3" s="4752" t="n"/>
      <c r="AB3" s="4752" t="n"/>
      <c r="AC3" s="4752" t="n"/>
      <c r="AD3" s="4752" t="n"/>
      <c r="AE3" s="4752" t="n"/>
      <c r="AF3" s="4752" t="n"/>
      <c r="AG3" s="4752" t="n"/>
      <c r="AH3" s="4753" t="n"/>
      <c r="AI3" s="8602">
        <f>TaxYear</f>
        <v/>
      </c>
      <c r="AJ3" s="7839" t="n"/>
      <c r="AK3" s="7839" t="n"/>
      <c r="AL3" s="7839" t="n"/>
      <c r="AM3" s="7839" t="n"/>
      <c r="AN3" s="7839" t="n"/>
      <c r="AO3" s="7839" t="n"/>
      <c r="AP3" s="1277" t="n"/>
      <c r="BG3" s="769" t="n"/>
      <c r="BH3" s="658" t="n"/>
      <c r="BI3" s="658" t="n"/>
      <c r="BJ3" s="658" t="n"/>
      <c r="BK3" s="658" t="n"/>
      <c r="BL3" s="658" t="n"/>
      <c r="BM3" s="658" t="n"/>
      <c r="BN3" s="658" t="n"/>
      <c r="BO3" s="658" t="n"/>
      <c r="BP3" s="658" t="n"/>
    </row>
    <row r="4">
      <c r="A4" s="1277" t="n"/>
      <c r="B4" s="7650" t="inlineStr">
        <is>
          <t>Department of the Treasury Internal Revenue Service</t>
        </is>
      </c>
      <c r="G4" s="1066" t="n"/>
      <c r="H4" s="4443">
        <f>"(From rental real estate, royalties, partnerships, S corporations, estates, trusts, REMICs, etc.)"</f>
        <v/>
      </c>
      <c r="I4" s="4033" t="n"/>
      <c r="J4" s="4033" t="n"/>
      <c r="K4" s="4033" t="n"/>
      <c r="L4" s="4033" t="n"/>
      <c r="M4" s="4033" t="n"/>
      <c r="N4" s="4033" t="n"/>
      <c r="O4" s="4033" t="n"/>
      <c r="P4" s="4033" t="n"/>
      <c r="Q4" s="4033" t="n"/>
      <c r="R4" s="4033" t="n"/>
      <c r="S4" s="4033" t="n"/>
      <c r="T4" s="4754" t="n"/>
      <c r="U4" s="4033" t="n"/>
      <c r="V4" s="4033" t="n"/>
      <c r="W4" s="4033" t="n"/>
      <c r="X4" s="4033" t="n"/>
      <c r="Y4" s="4033" t="n"/>
      <c r="Z4" s="4033" t="n"/>
      <c r="AA4" s="4033" t="n"/>
      <c r="AB4" s="4033" t="n"/>
      <c r="AC4" s="4033" t="n"/>
      <c r="AD4" s="4033" t="n"/>
      <c r="AE4" s="4033" t="n"/>
      <c r="AF4" s="4033" t="n"/>
      <c r="AG4" s="4033" t="n"/>
      <c r="AH4" s="4033" t="n"/>
      <c r="AI4" s="11741" t="n"/>
      <c r="AP4" s="1277" t="n"/>
      <c r="BG4" s="769" t="n"/>
      <c r="BH4" s="658" t="n"/>
      <c r="BI4" s="658" t="n"/>
      <c r="BJ4" s="658" t="n"/>
      <c r="BK4" s="658" t="n"/>
      <c r="BL4" s="658" t="n"/>
      <c r="BM4" s="658" t="n"/>
      <c r="BN4" s="658" t="n"/>
      <c r="BO4" s="658" t="n"/>
      <c r="BP4" s="658" t="n"/>
    </row>
    <row r="5">
      <c r="A5" s="1277" t="n"/>
      <c r="G5" s="1066" t="n"/>
      <c r="H5" s="341" t="n"/>
      <c r="I5" s="11602" t="n"/>
      <c r="J5" s="11602" t="n"/>
      <c r="K5" s="11602" t="n"/>
      <c r="L5" s="11602" t="n"/>
      <c r="M5" s="11602" t="n"/>
      <c r="N5" s="11602" t="n"/>
      <c r="O5" s="11602" t="n"/>
      <c r="P5" s="11602" t="n"/>
      <c r="Q5" s="11602" t="n"/>
      <c r="R5" s="11602" t="n"/>
      <c r="S5" s="11602" t="n"/>
      <c r="T5" s="733" t="inlineStr">
        <is>
          <t>Attach to Form 1040, 1040-SR, 1040NR, or Form 1041.</t>
        </is>
      </c>
      <c r="U5" s="11602" t="n"/>
      <c r="V5" s="11602" t="n"/>
      <c r="W5" s="11602" t="n"/>
      <c r="X5" s="11602" t="n"/>
      <c r="Y5" s="11602" t="n"/>
      <c r="Z5" s="11602" t="n"/>
      <c r="AA5" s="11602" t="n"/>
      <c r="AB5" s="11602" t="n"/>
      <c r="AC5" s="11602" t="n"/>
      <c r="AD5" s="11602" t="n"/>
      <c r="AE5" s="11602" t="n"/>
      <c r="AF5" s="11602" t="n"/>
      <c r="AG5" s="11602" t="n"/>
      <c r="AH5" s="11602" t="n"/>
      <c r="AI5" s="4755" t="n"/>
      <c r="AJ5" s="12107" t="inlineStr">
        <is>
          <t>Attachment 
Sequence No.</t>
        </is>
      </c>
      <c r="AN5" s="1861" t="n"/>
      <c r="AO5" s="1861" t="n"/>
      <c r="AP5" s="1277" t="n"/>
      <c r="BG5" s="769" t="n"/>
      <c r="BH5" s="658" t="n"/>
      <c r="BI5" s="658" t="n"/>
      <c r="BJ5" s="658" t="n"/>
      <c r="BK5" s="658" t="n"/>
      <c r="BL5" s="658" t="n"/>
      <c r="BM5" s="658" t="n"/>
      <c r="BN5" s="658" t="n"/>
      <c r="BO5" s="658" t="n"/>
      <c r="BP5" s="658" t="n"/>
    </row>
    <row r="6" ht="15.75" customHeight="1" s="7635" thickBot="1">
      <c r="A6" s="1277" t="n"/>
      <c r="B6" s="8848" t="n"/>
      <c r="C6" s="8848" t="n"/>
      <c r="D6" s="8848" t="n"/>
      <c r="E6" s="8848" t="n"/>
      <c r="F6" s="8848" t="n"/>
      <c r="G6" s="2627" t="n"/>
      <c r="H6" s="4756" t="inlineStr">
        <is>
          <t>Go to www.irs.gov/ScheduleE for instructions and the latest information.</t>
        </is>
      </c>
      <c r="I6" s="2879" t="n"/>
      <c r="J6" s="2879" t="n"/>
      <c r="K6" s="2879" t="n"/>
      <c r="L6" s="2879" t="n"/>
      <c r="M6" s="2879" t="n"/>
      <c r="N6" s="2879" t="n"/>
      <c r="O6" s="2879" t="n"/>
      <c r="P6" s="2879" t="n"/>
      <c r="Q6" s="2879" t="n"/>
      <c r="R6" s="2879" t="n"/>
      <c r="S6" s="2879" t="n"/>
      <c r="T6" s="2879" t="n"/>
      <c r="U6" s="2879" t="n"/>
      <c r="V6" s="2879" t="n"/>
      <c r="W6" s="2879" t="n"/>
      <c r="X6" s="2879" t="n"/>
      <c r="Y6" s="2879" t="n"/>
      <c r="Z6" s="2879" t="n"/>
      <c r="AA6" s="2879" t="n"/>
      <c r="AB6" s="2879" t="n"/>
      <c r="AC6" s="2879" t="n"/>
      <c r="AD6" s="2879" t="n"/>
      <c r="AE6" s="2879" t="n"/>
      <c r="AF6" s="2879" t="n"/>
      <c r="AG6" s="2879" t="n"/>
      <c r="AH6" s="2879" t="n"/>
      <c r="AI6" s="4757" t="n"/>
      <c r="AJ6" s="8848" t="n"/>
      <c r="AK6" s="8848" t="n"/>
      <c r="AL6" s="8848" t="n"/>
      <c r="AM6" s="8848" t="n"/>
      <c r="AN6" s="8622" t="n">
        <v>13</v>
      </c>
      <c r="AO6" s="8848" t="n"/>
      <c r="AP6" s="1277" t="n"/>
      <c r="BG6" s="769" t="n"/>
      <c r="BH6" s="658" t="n"/>
      <c r="BI6" s="658" t="n"/>
      <c r="BJ6" s="658" t="n"/>
      <c r="BK6" s="658" t="n"/>
      <c r="BL6" s="658" t="n"/>
      <c r="BM6" s="658" t="n"/>
      <c r="BN6" s="658" t="n"/>
      <c r="BO6" s="658" t="n"/>
      <c r="BP6" s="658" t="n"/>
    </row>
    <row r="7">
      <c r="A7" s="1277" t="n"/>
      <c r="B7" s="344" t="inlineStr">
        <is>
          <t>Name(s) shown on return</t>
        </is>
      </c>
      <c r="C7" s="11602" t="n"/>
      <c r="D7" s="11602" t="n"/>
      <c r="E7" s="11602" t="n"/>
      <c r="F7" s="11602" t="n"/>
      <c r="G7" s="11602" t="n"/>
      <c r="H7" s="11602" t="n"/>
      <c r="I7" s="11602" t="n"/>
      <c r="J7" s="11602" t="n"/>
      <c r="K7" s="11602" t="n"/>
      <c r="L7" s="11602" t="n"/>
      <c r="M7" s="11602" t="n"/>
      <c r="N7" s="11602" t="n"/>
      <c r="O7" s="11602" t="n"/>
      <c r="P7" s="11602" t="n"/>
      <c r="Q7" s="11602" t="n"/>
      <c r="R7" s="11602" t="n"/>
      <c r="S7" s="11602" t="n"/>
      <c r="T7" s="11602" t="n"/>
      <c r="U7" s="11602" t="n"/>
      <c r="V7" s="11602" t="n"/>
      <c r="W7" s="11602" t="n"/>
      <c r="X7" s="11602" t="n"/>
      <c r="Y7" s="11602" t="n"/>
      <c r="Z7" s="11602" t="n"/>
      <c r="AA7" s="11602" t="n"/>
      <c r="AB7" s="11602" t="n"/>
      <c r="AC7" s="11602" t="n"/>
      <c r="AD7" s="11602" t="n"/>
      <c r="AE7" s="11602" t="n"/>
      <c r="AF7" s="11602" t="n"/>
      <c r="AG7" s="8611" t="inlineStr">
        <is>
          <t>Your social security number</t>
        </is>
      </c>
      <c r="AH7" s="2506" t="n"/>
      <c r="AI7" s="2506" t="n"/>
      <c r="AJ7" s="2506" t="n"/>
      <c r="AK7" s="2506" t="n"/>
      <c r="AL7" s="2506" t="n"/>
      <c r="AM7" s="2506" t="n"/>
      <c r="AN7" s="2506" t="n"/>
      <c r="AO7" s="2506" t="n"/>
      <c r="AP7" s="1277" t="n"/>
      <c r="BG7" s="769" t="n"/>
      <c r="BH7" s="658" t="n"/>
      <c r="BI7" s="658" t="n"/>
      <c r="BJ7" s="658" t="n"/>
      <c r="BK7" s="658" t="n"/>
      <c r="BL7" s="658" t="n"/>
      <c r="BM7" s="658" t="n"/>
      <c r="BN7" s="658" t="n"/>
      <c r="BO7" s="658" t="n"/>
      <c r="BP7" s="658" t="n"/>
    </row>
    <row r="8" ht="9.75" customHeight="1" s="7635">
      <c r="A8" s="1277" t="n"/>
      <c r="B8" s="11932">
        <f>Names</f>
        <v/>
      </c>
      <c r="AF8" s="7636" t="n"/>
      <c r="AG8" s="12108">
        <f>IF(NoSSN,"",SS_Yours)</f>
        <v/>
      </c>
      <c r="AP8" s="1277" t="n"/>
      <c r="BG8" s="769" t="n"/>
      <c r="BH8" s="658" t="n"/>
      <c r="BI8" s="658" t="n"/>
      <c r="BJ8" s="658" t="n"/>
      <c r="BK8" s="658" t="n"/>
      <c r="BL8" s="658" t="n"/>
      <c r="BM8" s="658" t="n"/>
      <c r="BN8" s="658" t="n"/>
      <c r="BO8" s="658" t="n"/>
      <c r="BP8" s="658" t="n"/>
    </row>
    <row r="9" ht="9.75" customHeight="1" s="7635">
      <c r="A9" s="1277"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7" t="n"/>
      <c r="Y9" s="7637" t="n"/>
      <c r="Z9" s="7637" t="n"/>
      <c r="AA9" s="7637" t="n"/>
      <c r="AB9" s="7637" t="n"/>
      <c r="AC9" s="7637" t="n"/>
      <c r="AD9" s="7637" t="n"/>
      <c r="AE9" s="7637" t="n"/>
      <c r="AF9" s="7638" t="n"/>
      <c r="AG9" s="3614" t="n"/>
      <c r="AH9" s="7637" t="n"/>
      <c r="AI9" s="7637" t="n"/>
      <c r="AJ9" s="7637" t="n"/>
      <c r="AK9" s="7637" t="n"/>
      <c r="AL9" s="7637" t="n"/>
      <c r="AM9" s="7637" t="n"/>
      <c r="AN9" s="7637" t="n"/>
      <c r="AO9" s="7637" t="n"/>
      <c r="AP9" s="1277" t="n"/>
      <c r="BG9" s="769" t="n"/>
      <c r="BH9" s="658" t="n"/>
      <c r="BI9" s="658" t="n"/>
      <c r="BJ9" s="658" t="n"/>
      <c r="BK9" s="658" t="n"/>
      <c r="BL9" s="658" t="n"/>
      <c r="BM9" s="658" t="n"/>
      <c r="BN9" s="658" t="n"/>
      <c r="BO9" s="658" t="n"/>
      <c r="BP9" s="658" t="n"/>
    </row>
    <row r="10" ht="17.25" customFormat="1" customHeight="1" s="1405">
      <c r="A10" s="2119" t="n"/>
      <c r="B10" s="8410" t="inlineStr">
        <is>
          <t>Part I</t>
        </is>
      </c>
      <c r="C10" s="8412" t="n"/>
      <c r="D10" s="8412" t="n"/>
      <c r="E10" s="2761" t="n"/>
      <c r="F10" s="4758" t="inlineStr">
        <is>
          <t>Income or Loss From Rental Real Estate and Royalties</t>
        </is>
      </c>
      <c r="G10" s="2761" t="n"/>
      <c r="H10" s="2761" t="n"/>
      <c r="I10" s="2761" t="n"/>
      <c r="J10" s="2761" t="n"/>
      <c r="K10" s="2761" t="n"/>
      <c r="L10" s="2761" t="n"/>
      <c r="M10" s="2761" t="n"/>
      <c r="N10" s="2761" t="n"/>
      <c r="O10" s="2761" t="n"/>
      <c r="P10" s="2761" t="n"/>
      <c r="Q10" s="2761" t="n"/>
      <c r="R10" s="2761" t="n"/>
      <c r="S10" s="2761" t="n"/>
      <c r="T10" s="2761" t="n"/>
      <c r="U10" s="2761" t="n"/>
      <c r="V10" s="2761" t="n"/>
      <c r="W10" s="2761" t="n"/>
      <c r="X10" s="2354" t="n"/>
      <c r="Y10" s="2761" t="n"/>
      <c r="Z10" s="2761" t="n"/>
      <c r="AA10" s="2761" t="n"/>
      <c r="AB10" s="2761" t="n"/>
      <c r="AC10" s="2761" t="n"/>
      <c r="AD10" s="2761" t="n"/>
      <c r="AE10" s="2761" t="n"/>
      <c r="AF10" s="2761" t="n"/>
      <c r="AG10" s="2761" t="n"/>
      <c r="AH10" s="2761" t="n"/>
      <c r="AI10" s="2761" t="n"/>
      <c r="AJ10" s="2761" t="n"/>
      <c r="AK10" s="2761" t="n"/>
      <c r="AL10" s="2761" t="n"/>
      <c r="AM10" s="2761" t="n"/>
      <c r="AN10" s="2761" t="n"/>
      <c r="AO10" s="2761" t="n"/>
      <c r="AP10" s="1277" t="n"/>
      <c r="BG10" s="769" t="n"/>
      <c r="BH10" s="658" t="n"/>
      <c r="BI10" s="658" t="n"/>
      <c r="BJ10" s="658" t="n"/>
      <c r="BK10" s="658" t="n"/>
      <c r="BL10" s="658" t="n"/>
      <c r="BM10" s="658" t="n"/>
      <c r="BN10" s="658" t="n"/>
      <c r="BO10" s="658" t="n"/>
      <c r="BP10" s="658" t="n"/>
      <c r="BQ10" s="815" t="n"/>
    </row>
    <row r="11" ht="17.25" customFormat="1" customHeight="1" s="1405">
      <c r="A11" s="2119" t="n"/>
      <c r="B11" s="4844" t="n"/>
      <c r="C11" s="4844" t="n"/>
      <c r="D11" s="4844" t="n"/>
      <c r="E11" s="810" t="n"/>
      <c r="F11" s="8650" t="inlineStr">
        <is>
          <t>Note: If you are in business of renting personal property, use Schedule C.  See instructions.  If you are an individual,</t>
        </is>
      </c>
      <c r="G11" s="7772" t="n"/>
      <c r="H11" s="7772" t="n"/>
      <c r="I11" s="7772" t="n"/>
      <c r="J11" s="7772" t="n"/>
      <c r="K11" s="7772" t="n"/>
      <c r="L11" s="7772" t="n"/>
      <c r="M11" s="7772" t="n"/>
      <c r="N11" s="7772" t="n"/>
      <c r="O11" s="7772" t="n"/>
      <c r="P11" s="7772" t="n"/>
      <c r="Q11" s="7772" t="n"/>
      <c r="R11" s="7772" t="n"/>
      <c r="S11" s="7772" t="n"/>
      <c r="T11" s="7772" t="n"/>
      <c r="U11" s="7772" t="n"/>
      <c r="V11" s="7772" t="n"/>
      <c r="W11" s="7772" t="n"/>
      <c r="X11" s="8650" t="n"/>
      <c r="Y11" s="7772" t="n"/>
      <c r="Z11" s="7772" t="n"/>
      <c r="AA11" s="7772" t="n"/>
      <c r="AB11" s="7772" t="n"/>
      <c r="AC11" s="7772" t="n"/>
      <c r="AD11" s="7772" t="n"/>
      <c r="AE11" s="7772" t="n"/>
      <c r="AF11" s="7772" t="n"/>
      <c r="AG11" s="7772" t="n"/>
      <c r="AH11" s="7772" t="n"/>
      <c r="AI11" s="7772" t="n"/>
      <c r="AJ11" s="7772" t="n"/>
      <c r="AK11" s="7772" t="n"/>
      <c r="AL11" s="7772" t="n"/>
      <c r="AM11" s="7772" t="n"/>
      <c r="AN11" s="7772" t="n"/>
      <c r="AO11" s="7772" t="n"/>
      <c r="AP11" s="1277" t="n"/>
      <c r="BG11" s="769" t="n"/>
      <c r="BH11" s="658" t="n"/>
      <c r="BI11" s="658" t="n"/>
      <c r="BJ11" s="658" t="n"/>
      <c r="BK11" s="658" t="n"/>
      <c r="BL11" s="658" t="n"/>
      <c r="BM11" s="658" t="n"/>
      <c r="BN11" s="658" t="n"/>
      <c r="BO11" s="658" t="n"/>
      <c r="BP11" s="658" t="n"/>
      <c r="BQ11" s="815" t="n"/>
    </row>
    <row r="12" ht="15.75" customHeight="1" s="7635">
      <c r="A12" s="1277" t="n"/>
      <c r="B12" s="4760" t="n"/>
      <c r="C12" s="4760" t="n"/>
      <c r="D12" s="4761" t="n"/>
      <c r="E12" s="1999" t="n"/>
      <c r="F12" s="4252" t="inlineStr">
        <is>
          <t>report farm rental income or loss from Form 4835 on page 2, line 40.</t>
        </is>
      </c>
      <c r="G12" s="7764" t="n"/>
      <c r="H12" s="7764" t="n"/>
      <c r="I12" s="7764" t="n"/>
      <c r="J12" s="7764" t="n"/>
      <c r="K12" s="7764" t="n"/>
      <c r="L12" s="7764" t="n"/>
      <c r="M12" s="1999" t="n"/>
      <c r="N12" s="7764" t="n"/>
      <c r="O12" s="7764" t="n"/>
      <c r="P12" s="7764" t="n"/>
      <c r="Q12" s="7764" t="n"/>
      <c r="R12" s="7764" t="n"/>
      <c r="S12" s="7764" t="n"/>
      <c r="T12" s="7764" t="n"/>
      <c r="U12" s="7764" t="n"/>
      <c r="V12" s="7764" t="n"/>
      <c r="W12" s="7764" t="n"/>
      <c r="X12" s="7764" t="n"/>
      <c r="Y12" s="7764" t="n"/>
      <c r="Z12" s="7764" t="n"/>
      <c r="AA12" s="7764" t="n"/>
      <c r="AB12" s="7764" t="n"/>
      <c r="AC12" s="7764" t="n"/>
      <c r="AD12" s="1999" t="n"/>
      <c r="AE12" s="7764" t="n"/>
      <c r="AF12" s="7764" t="n"/>
      <c r="AG12" s="7764" t="n"/>
      <c r="AH12" s="7764" t="n"/>
      <c r="AI12" s="7764" t="n"/>
      <c r="AJ12" s="7764" t="n"/>
      <c r="AK12" s="7764" t="n"/>
      <c r="AL12" s="7764" t="n"/>
      <c r="AM12" s="7764" t="n"/>
      <c r="AN12" s="7764" t="n"/>
      <c r="AO12" s="7764" t="n"/>
      <c r="AP12" s="1277" t="n"/>
      <c r="BG12" s="769" t="n"/>
      <c r="BH12" s="658" t="n"/>
      <c r="BI12" s="658" t="n"/>
      <c r="BJ12" s="658" t="n"/>
      <c r="BK12" s="658" t="n"/>
      <c r="BL12" s="658" t="n"/>
      <c r="BM12" s="658" t="n"/>
      <c r="BN12" s="658" t="n"/>
      <c r="BO12" s="658" t="n"/>
      <c r="BP12" s="658" t="n"/>
    </row>
    <row r="13" ht="15.75" customHeight="1" s="7635">
      <c r="A13" s="1277" t="n"/>
      <c r="B13" s="8577" t="inlineStr">
        <is>
          <t>A</t>
        </is>
      </c>
      <c r="C13" s="7839" t="n"/>
      <c r="D13" s="10862">
        <f>"Did you make any payments in "&amp;TaxYear&amp;" that would require you to file Form(s) 1099?  See instructions."</f>
        <v/>
      </c>
      <c r="E13" s="7762" t="n"/>
      <c r="F13" s="7762" t="n"/>
      <c r="G13" s="7762" t="n"/>
      <c r="H13" s="7762" t="n"/>
      <c r="I13" s="7762" t="n"/>
      <c r="J13" s="7762" t="n"/>
      <c r="K13" s="7762" t="n"/>
      <c r="L13" s="7762" t="n"/>
      <c r="M13" s="7762" t="n"/>
      <c r="N13" s="7762" t="n"/>
      <c r="O13" s="7762" t="n"/>
      <c r="P13" s="7762" t="n"/>
      <c r="Q13" s="7762" t="n"/>
      <c r="R13" s="7762" t="n"/>
      <c r="S13" s="7762" t="n"/>
      <c r="T13" s="7762" t="n"/>
      <c r="U13" s="7762" t="n"/>
      <c r="V13" s="7762" t="n"/>
      <c r="W13" s="7762" t="n"/>
      <c r="X13" s="7762" t="n"/>
      <c r="Y13" s="7762" t="n"/>
      <c r="Z13" s="7762" t="n"/>
      <c r="AA13" s="7762" t="n"/>
      <c r="AB13" s="7762" t="n"/>
      <c r="AC13" s="7762" t="n"/>
      <c r="AD13" s="7762" t="n"/>
      <c r="AE13" s="7762" t="n"/>
      <c r="AF13" s="7762" t="n"/>
      <c r="AG13" s="7762" t="n"/>
      <c r="AH13" s="7762" t="n"/>
      <c r="AI13" s="7762" t="n"/>
      <c r="AJ13" s="276" t="n"/>
      <c r="AK13" s="1059" t="inlineStr">
        <is>
          <t xml:space="preserve">  Yes</t>
        </is>
      </c>
      <c r="AL13" s="7762" t="n"/>
      <c r="AM13" s="276" t="n"/>
      <c r="AN13" s="1059" t="inlineStr">
        <is>
          <t xml:space="preserve">  No</t>
        </is>
      </c>
      <c r="AO13" s="7762" t="n"/>
      <c r="AP13" s="1277" t="n"/>
      <c r="BG13" s="769" t="n"/>
      <c r="BH13" s="658" t="n"/>
      <c r="BI13" s="658" t="n"/>
      <c r="BJ13" s="658" t="n"/>
      <c r="BK13" s="658" t="n"/>
      <c r="BL13" s="658" t="n"/>
      <c r="BM13" s="658" t="n"/>
      <c r="BN13" s="658" t="n"/>
      <c r="BO13" s="658" t="n"/>
      <c r="BP13" s="658" t="n"/>
    </row>
    <row r="14" ht="15.75" customHeight="1" s="7635">
      <c r="A14" s="1277" t="n"/>
      <c r="B14" s="8595" t="inlineStr">
        <is>
          <t>B</t>
        </is>
      </c>
      <c r="C14" s="7637" t="n"/>
      <c r="D14" s="3801" t="inlineStr">
        <is>
          <t>If “Yes,” did you or will you file all required Form(s) 1099?</t>
        </is>
      </c>
      <c r="E14" s="7764" t="n"/>
      <c r="F14" s="7764" t="n"/>
      <c r="G14" s="7764" t="n"/>
      <c r="H14" s="7764" t="n"/>
      <c r="I14" s="7764" t="n"/>
      <c r="J14" s="7764" t="n"/>
      <c r="K14" s="7764" t="n"/>
      <c r="L14" s="7764" t="n"/>
      <c r="M14" s="7764" t="n"/>
      <c r="N14" s="7764" t="n"/>
      <c r="O14" s="7764" t="n"/>
      <c r="P14" s="7764" t="n"/>
      <c r="Q14" s="7764" t="n"/>
      <c r="R14" s="7764" t="n"/>
      <c r="S14" s="7764" t="n"/>
      <c r="T14" s="7764" t="n"/>
      <c r="U14" s="7764" t="n"/>
      <c r="V14" s="7764" t="n"/>
      <c r="W14" s="7764" t="n"/>
      <c r="X14" s="7764" t="n"/>
      <c r="Y14" s="7764" t="n"/>
      <c r="Z14" s="7764" t="n"/>
      <c r="AA14" s="7764" t="n"/>
      <c r="AB14" s="7764" t="n"/>
      <c r="AC14" s="7764" t="n"/>
      <c r="AD14" s="7764" t="n"/>
      <c r="AE14" s="7764" t="n"/>
      <c r="AF14" s="7764" t="n"/>
      <c r="AG14" s="7764" t="n"/>
      <c r="AH14" s="7764" t="n"/>
      <c r="AI14" s="7764" t="n"/>
      <c r="AJ14" s="276" t="n"/>
      <c r="AK14" s="2001" t="inlineStr">
        <is>
          <t xml:space="preserve">  Yes</t>
        </is>
      </c>
      <c r="AL14" s="7764" t="n"/>
      <c r="AM14" s="276" t="n"/>
      <c r="AN14" s="2001" t="inlineStr">
        <is>
          <t xml:space="preserve">  No</t>
        </is>
      </c>
      <c r="AO14" s="7764" t="n"/>
      <c r="AP14" s="1277" t="n"/>
      <c r="BG14" s="769" t="n"/>
      <c r="BH14" s="658" t="n"/>
      <c r="BI14" s="658" t="n"/>
      <c r="BJ14" s="658" t="n"/>
      <c r="BK14" s="658" t="n"/>
      <c r="BL14" s="658" t="n"/>
      <c r="BM14" s="658" t="n"/>
      <c r="BN14" s="658" t="n"/>
      <c r="BO14" s="658" t="n"/>
      <c r="BP14" s="658" t="n"/>
    </row>
    <row r="15" ht="18.75" customHeight="1" s="7635">
      <c r="A15" s="1277" t="n"/>
      <c r="B15" s="8596" t="inlineStr">
        <is>
          <t>1a</t>
        </is>
      </c>
      <c r="C15" s="8412" t="n"/>
      <c r="D15" s="4764" t="inlineStr">
        <is>
          <t>Physical address of each property (street, city, state, ZIP code)</t>
        </is>
      </c>
      <c r="E15" s="10040" t="n"/>
      <c r="F15" s="11660" t="n"/>
      <c r="G15" s="11660" t="n"/>
      <c r="H15" s="11660" t="n"/>
      <c r="I15" s="11660" t="n"/>
      <c r="J15" s="11660" t="n"/>
      <c r="K15" s="11660" t="n"/>
      <c r="L15" s="11660" t="n"/>
      <c r="M15" s="11660" t="n"/>
      <c r="N15" s="11660" t="n"/>
      <c r="O15" s="11660" t="n"/>
      <c r="P15" s="11660" t="n"/>
      <c r="Q15" s="11660" t="n"/>
      <c r="R15" s="11660" t="n"/>
      <c r="S15" s="11660" t="n"/>
      <c r="T15" s="11660" t="n"/>
      <c r="U15" s="11660" t="n"/>
      <c r="V15" s="11660" t="n"/>
      <c r="W15" s="11660" t="n"/>
      <c r="X15" s="11660" t="n"/>
      <c r="Y15" s="11660" t="n"/>
      <c r="Z15" s="11660" t="n"/>
      <c r="AA15" s="11660" t="n"/>
      <c r="AB15" s="11660" t="n"/>
      <c r="AC15" s="11660" t="n"/>
      <c r="AD15" s="11660" t="n"/>
      <c r="AE15" s="11660" t="n"/>
      <c r="AF15" s="11660" t="n"/>
      <c r="AG15" s="11660" t="n"/>
      <c r="AH15" s="11660" t="n"/>
      <c r="AI15" s="11660" t="n"/>
      <c r="AJ15" s="11660" t="n"/>
      <c r="AK15" s="11660" t="n"/>
      <c r="AL15" s="11660" t="n"/>
      <c r="AM15" s="11660" t="n"/>
      <c r="AN15" s="11660" t="n"/>
      <c r="AO15" s="11660" t="n"/>
      <c r="AP15" s="1277" t="n"/>
      <c r="BG15" s="769" t="n"/>
      <c r="BH15" s="658" t="n"/>
      <c r="BI15" s="658" t="n"/>
      <c r="BJ15" s="658" t="n"/>
      <c r="BK15" s="658" t="n"/>
      <c r="BL15" s="658" t="n"/>
      <c r="BM15" s="658" t="n"/>
      <c r="BN15" s="658" t="n"/>
      <c r="BO15" s="658" t="n"/>
      <c r="BP15" s="658" t="n"/>
    </row>
    <row r="16" ht="15.75" customHeight="1" s="7635">
      <c r="A16" s="1277" t="n"/>
      <c r="B16" s="11229" t="inlineStr">
        <is>
          <t>A</t>
        </is>
      </c>
      <c r="C16" s="11734" t="n"/>
      <c r="D16" s="8576" t="n"/>
      <c r="E16" s="8007" t="n"/>
      <c r="F16" s="8007" t="n"/>
      <c r="G16" s="8007" t="n"/>
      <c r="H16" s="8007" t="n"/>
      <c r="I16" s="8007" t="n"/>
      <c r="J16" s="8007" t="n"/>
      <c r="K16" s="8007" t="n"/>
      <c r="L16" s="8007" t="n"/>
      <c r="M16" s="8007" t="n"/>
      <c r="N16" s="8007" t="n"/>
      <c r="O16" s="8007" t="n"/>
      <c r="P16" s="8007" t="n"/>
      <c r="Q16" s="8007" t="n"/>
      <c r="R16" s="8007" t="n"/>
      <c r="S16" s="8007" t="n"/>
      <c r="T16" s="8007" t="n"/>
      <c r="U16" s="8007" t="n"/>
      <c r="V16" s="8007" t="n"/>
      <c r="W16" s="8007" t="n"/>
      <c r="X16" s="8007" t="n"/>
      <c r="Y16" s="8007" t="n"/>
      <c r="Z16" s="8007" t="n"/>
      <c r="AA16" s="8007" t="n"/>
      <c r="AB16" s="8007" t="n"/>
      <c r="AC16" s="8007" t="n"/>
      <c r="AD16" s="8007" t="n"/>
      <c r="AE16" s="8007" t="n"/>
      <c r="AF16" s="8007" t="n"/>
      <c r="AG16" s="8007" t="n"/>
      <c r="AH16" s="8007" t="n"/>
      <c r="AI16" s="8007" t="n"/>
      <c r="AJ16" s="8007" t="n"/>
      <c r="AK16" s="8007" t="n"/>
      <c r="AL16" s="8007" t="n"/>
      <c r="AM16" s="8007" t="n"/>
      <c r="AN16" s="8007" t="n"/>
      <c r="AO16" s="8007" t="n"/>
      <c r="AP16" s="1277" t="n"/>
      <c r="BG16" s="769" t="n"/>
      <c r="BH16" s="658" t="n"/>
      <c r="BI16" s="658" t="n"/>
      <c r="BJ16" s="658" t="n"/>
      <c r="BK16" s="658" t="n"/>
      <c r="BL16" s="658" t="n"/>
      <c r="BM16" s="658" t="n"/>
      <c r="BN16" s="658" t="n"/>
      <c r="BO16" s="658" t="n"/>
      <c r="BP16" s="658" t="n"/>
    </row>
    <row r="17" ht="15.75" customHeight="1" s="7635">
      <c r="A17" s="1277" t="n"/>
      <c r="B17" s="11229" t="inlineStr">
        <is>
          <t>B</t>
        </is>
      </c>
      <c r="C17" s="11734" t="n"/>
      <c r="D17" s="8576" t="n"/>
      <c r="E17" s="8007" t="n"/>
      <c r="F17" s="8007" t="n"/>
      <c r="G17" s="8007" t="n"/>
      <c r="H17" s="8007" t="n"/>
      <c r="I17" s="8007" t="n"/>
      <c r="J17" s="8007" t="n"/>
      <c r="K17" s="8007" t="n"/>
      <c r="L17" s="8007" t="n"/>
      <c r="M17" s="8007" t="n"/>
      <c r="N17" s="8007" t="n"/>
      <c r="O17" s="8007" t="n"/>
      <c r="P17" s="8007" t="n"/>
      <c r="Q17" s="8007" t="n"/>
      <c r="R17" s="8007" t="n"/>
      <c r="S17" s="8007" t="n"/>
      <c r="T17" s="8007" t="n"/>
      <c r="U17" s="8007" t="n"/>
      <c r="V17" s="8007" t="n"/>
      <c r="W17" s="8007" t="n"/>
      <c r="X17" s="8007" t="n"/>
      <c r="Y17" s="8007" t="n"/>
      <c r="Z17" s="8007" t="n"/>
      <c r="AA17" s="8007" t="n"/>
      <c r="AB17" s="8007" t="n"/>
      <c r="AC17" s="8007" t="n"/>
      <c r="AD17" s="8007" t="n"/>
      <c r="AE17" s="8007" t="n"/>
      <c r="AF17" s="8007" t="n"/>
      <c r="AG17" s="8007" t="n"/>
      <c r="AH17" s="8007" t="n"/>
      <c r="AI17" s="8007" t="n"/>
      <c r="AJ17" s="8007" t="n"/>
      <c r="AK17" s="8007" t="n"/>
      <c r="AL17" s="8007" t="n"/>
      <c r="AM17" s="8007" t="n"/>
      <c r="AN17" s="8007" t="n"/>
      <c r="AO17" s="8007" t="n"/>
      <c r="AP17" s="1277" t="n"/>
      <c r="BG17" s="769" t="n"/>
      <c r="BH17" s="658" t="n"/>
      <c r="BI17" s="658" t="n"/>
      <c r="BJ17" s="658" t="n"/>
      <c r="BK17" s="658" t="n"/>
      <c r="BL17" s="658" t="n"/>
      <c r="BM17" s="658" t="n"/>
      <c r="BN17" s="658" t="n"/>
      <c r="BO17" s="658" t="n"/>
      <c r="BP17" s="658" t="n"/>
    </row>
    <row r="18" ht="15.75" customHeight="1" s="7635">
      <c r="A18" s="1277" t="n"/>
      <c r="B18" s="11229" t="inlineStr">
        <is>
          <t>C</t>
        </is>
      </c>
      <c r="C18" s="11734" t="n"/>
      <c r="D18" s="8576" t="n"/>
      <c r="E18" s="8007" t="n"/>
      <c r="F18" s="8007" t="n"/>
      <c r="G18" s="8007" t="n"/>
      <c r="H18" s="8007" t="n"/>
      <c r="I18" s="8007" t="n"/>
      <c r="J18" s="8007" t="n"/>
      <c r="K18" s="8007" t="n"/>
      <c r="L18" s="8007" t="n"/>
      <c r="M18" s="8007" t="n"/>
      <c r="N18" s="8007" t="n"/>
      <c r="O18" s="8007" t="n"/>
      <c r="P18" s="8007" t="n"/>
      <c r="Q18" s="8007" t="n"/>
      <c r="R18" s="8007" t="n"/>
      <c r="S18" s="8007" t="n"/>
      <c r="T18" s="8007" t="n"/>
      <c r="U18" s="8007" t="n"/>
      <c r="V18" s="8007" t="n"/>
      <c r="W18" s="8007" t="n"/>
      <c r="X18" s="8007" t="n"/>
      <c r="Y18" s="8007" t="n"/>
      <c r="Z18" s="8007" t="n"/>
      <c r="AA18" s="8007" t="n"/>
      <c r="AB18" s="8007" t="n"/>
      <c r="AC18" s="8007" t="n"/>
      <c r="AD18" s="8007" t="n"/>
      <c r="AE18" s="8007" t="n"/>
      <c r="AF18" s="8007" t="n"/>
      <c r="AG18" s="8007" t="n"/>
      <c r="AH18" s="8007" t="n"/>
      <c r="AI18" s="8007" t="n"/>
      <c r="AJ18" s="8007" t="n"/>
      <c r="AK18" s="8007" t="n"/>
      <c r="AL18" s="8007" t="n"/>
      <c r="AM18" s="8007" t="n"/>
      <c r="AN18" s="8007" t="n"/>
      <c r="AO18" s="8007" t="n"/>
      <c r="AP18" s="1277" t="n"/>
      <c r="AX18" t="n">
        <v>1</v>
      </c>
      <c r="AY18" t="inlineStr">
        <is>
          <t>Single Family Residence</t>
        </is>
      </c>
      <c r="BG18" s="769" t="n"/>
      <c r="BH18" s="658" t="n"/>
      <c r="BI18" s="658" t="n"/>
      <c r="BJ18" s="658" t="n"/>
      <c r="BK18" s="658" t="n"/>
      <c r="BL18" s="658" t="n"/>
      <c r="BM18" s="658" t="n"/>
      <c r="BN18" s="658" t="n"/>
      <c r="BO18" s="658" t="n"/>
      <c r="BP18" s="658" t="n"/>
    </row>
    <row r="19" ht="15.75" customHeight="1" s="7635">
      <c r="A19" s="1277" t="n"/>
      <c r="B19" s="10097" t="inlineStr">
        <is>
          <t>1b</t>
        </is>
      </c>
      <c r="C19" s="10091" t="n"/>
      <c r="D19" s="11976" t="inlineStr">
        <is>
          <t>Type of Property (from list below)</t>
        </is>
      </c>
      <c r="E19" s="7839" t="n"/>
      <c r="F19" s="7839" t="n"/>
      <c r="G19" s="7839" t="n"/>
      <c r="H19" s="10091" t="n"/>
      <c r="I19" s="8552" t="n">
        <v>2</v>
      </c>
      <c r="J19" s="7839" t="n"/>
      <c r="K19" s="12109" t="inlineStr">
        <is>
          <t>For each rental real estate property listed 
above, report the number of fair rental and 
personal use days. Check the QJV box only
if you meet the requirements to file as a 
qualified joint venture. See instructions.</t>
        </is>
      </c>
      <c r="L19" s="7839" t="n"/>
      <c r="M19" s="7839" t="n"/>
      <c r="N19" s="7839" t="n"/>
      <c r="O19" s="7839" t="n"/>
      <c r="P19" s="7839" t="n"/>
      <c r="Q19" s="7839" t="n"/>
      <c r="R19" s="7839" t="n"/>
      <c r="S19" s="7839" t="n"/>
      <c r="T19" s="7839" t="n"/>
      <c r="U19" s="7839" t="n"/>
      <c r="V19" s="7839" t="n"/>
      <c r="W19" s="7839" t="n"/>
      <c r="X19" s="7760" t="n"/>
      <c r="Y19" s="7760" t="n"/>
      <c r="Z19" s="7760" t="n"/>
      <c r="AA19" s="12110" t="inlineStr">
        <is>
          <t>Fair Rental
Days</t>
        </is>
      </c>
      <c r="AB19" s="7839" t="n"/>
      <c r="AC19" s="7839" t="n"/>
      <c r="AD19" s="7839" t="n"/>
      <c r="AE19" s="10091" t="n"/>
      <c r="AF19" s="12110" t="inlineStr">
        <is>
          <t>Personal Use
Days</t>
        </is>
      </c>
      <c r="AG19" s="7839" t="n"/>
      <c r="AH19" s="7839" t="n"/>
      <c r="AI19" s="7839" t="n"/>
      <c r="AJ19" s="10091" t="n"/>
      <c r="AK19" s="9065" t="inlineStr">
        <is>
          <t>QJV</t>
        </is>
      </c>
      <c r="AL19" s="7839" t="n"/>
      <c r="AM19" s="7839" t="n"/>
      <c r="AN19" s="7839" t="n"/>
      <c r="AO19" s="7839" t="n"/>
      <c r="AP19" s="1277" t="n"/>
      <c r="AX19" t="n">
        <v>2</v>
      </c>
      <c r="AY19" t="inlineStr">
        <is>
          <t>Multi-Family Residence</t>
        </is>
      </c>
      <c r="BG19" s="769" t="n"/>
      <c r="BH19" s="658" t="n"/>
      <c r="BI19" s="658" t="n"/>
      <c r="BJ19" s="658" t="n"/>
      <c r="BK19" s="658" t="n"/>
      <c r="BL19" s="658" t="n"/>
      <c r="BM19" s="658" t="n"/>
      <c r="BN19" s="658" t="n"/>
      <c r="BO19" s="658" t="n"/>
      <c r="BP19" s="658" t="n"/>
    </row>
    <row r="20" ht="14.25" customHeight="1" s="7635">
      <c r="A20" s="1277" t="n"/>
      <c r="B20" s="4760" t="n"/>
      <c r="C20" s="4845" t="n"/>
      <c r="D20" s="3614" t="n"/>
      <c r="E20" s="7637" t="n"/>
      <c r="F20" s="7637" t="n"/>
      <c r="G20" s="7637" t="n"/>
      <c r="H20" s="7638" t="n"/>
      <c r="I20" s="7761" t="n"/>
      <c r="J20" s="7762" t="n"/>
      <c r="X20" s="7762" t="n"/>
      <c r="Y20" s="7762" t="n"/>
      <c r="Z20" s="7762" t="n"/>
      <c r="AA20" s="3614" t="n"/>
      <c r="AB20" s="7637" t="n"/>
      <c r="AC20" s="7637" t="n"/>
      <c r="AD20" s="7637" t="n"/>
      <c r="AE20" s="7638" t="n"/>
      <c r="AF20" s="3614" t="n"/>
      <c r="AG20" s="7637" t="n"/>
      <c r="AH20" s="7637" t="n"/>
      <c r="AI20" s="7637" t="n"/>
      <c r="AJ20" s="7638" t="n"/>
      <c r="AK20" s="3614" t="n"/>
      <c r="AL20" s="7637" t="n"/>
      <c r="AM20" s="7637" t="n"/>
      <c r="AN20" s="7637" t="n"/>
      <c r="AO20" s="7637" t="n"/>
      <c r="AP20" s="1277" t="n"/>
      <c r="AV20" s="4769">
        <f>IF(LeapYear,366,365)</f>
        <v/>
      </c>
      <c r="AW20" s="10091" t="n"/>
      <c r="AX20" t="n">
        <v>3</v>
      </c>
      <c r="AY20" t="inlineStr">
        <is>
          <t>Vacation / S.T. Rental</t>
        </is>
      </c>
      <c r="BE20" s="4770" t="inlineStr">
        <is>
          <t>Error?</t>
        </is>
      </c>
      <c r="BG20" s="769" t="n"/>
      <c r="BH20" s="658" t="n"/>
      <c r="BI20" s="658" t="n"/>
      <c r="BJ20" s="658" t="n"/>
      <c r="BK20" s="658" t="n"/>
      <c r="BL20" s="658" t="n"/>
      <c r="BM20" s="658" t="n"/>
      <c r="BN20" s="658" t="n"/>
      <c r="BO20" s="658" t="n"/>
      <c r="BP20" s="658" t="n"/>
    </row>
    <row r="21" ht="15.75" customHeight="1" s="7635">
      <c r="A21" s="1277" t="n"/>
      <c r="B21" s="11229" t="inlineStr">
        <is>
          <t>A</t>
        </is>
      </c>
      <c r="C21" s="11734" t="n"/>
      <c r="D21" s="12111" t="n"/>
      <c r="E21" s="8007" t="n"/>
      <c r="F21" s="8007" t="n"/>
      <c r="G21" s="8007" t="n"/>
      <c r="H21" s="8008" t="n"/>
      <c r="I21" s="408" t="n"/>
      <c r="J21" s="11602" t="n"/>
      <c r="X21" s="2926" t="inlineStr">
        <is>
          <t>A</t>
        </is>
      </c>
      <c r="Y21" s="8412" t="n"/>
      <c r="Z21" s="11734" t="n"/>
      <c r="AA21" s="276" t="n"/>
      <c r="AB21" s="8007" t="n"/>
      <c r="AC21" s="8007" t="n"/>
      <c r="AD21" s="8007" t="n"/>
      <c r="AE21" s="8008" t="n"/>
      <c r="AF21" s="276" t="n"/>
      <c r="AG21" s="8007" t="n"/>
      <c r="AH21" s="8007" t="n"/>
      <c r="AI21" s="8007" t="n"/>
      <c r="AJ21" s="8008" t="n"/>
      <c r="AK21" s="4771" t="n"/>
      <c r="AL21" s="773" t="n"/>
      <c r="AM21" s="276" t="n"/>
      <c r="AN21" s="773" t="n"/>
      <c r="AO21" s="773" t="n"/>
      <c r="AP21" s="1277" t="n"/>
      <c r="AR21" s="7834">
        <f>D21=8</f>
        <v/>
      </c>
      <c r="AV21" s="4772">
        <f>AA21&gt;$AV$20</f>
        <v/>
      </c>
      <c r="AW21" s="7636">
        <f>AF21&gt;$AV$20</f>
        <v/>
      </c>
      <c r="AX21" t="n">
        <v>4</v>
      </c>
      <c r="AY21" t="inlineStr">
        <is>
          <t>Commercial</t>
        </is>
      </c>
      <c r="BE21" s="726">
        <f>IF(AND(D21&lt;&gt;"",OR(D21&lt;1,D21&gt;8,ISERROR(V32))),TRUE,FALSE)</f>
        <v/>
      </c>
      <c r="BG21" s="769" t="n"/>
      <c r="BH21" s="658" t="n"/>
      <c r="BI21" s="658" t="n"/>
      <c r="BJ21" s="658" t="n"/>
      <c r="BK21" s="658" t="n"/>
      <c r="BL21" s="658" t="n"/>
      <c r="BM21" s="658" t="n"/>
      <c r="BN21" s="658" t="n"/>
      <c r="BO21" s="658" t="n"/>
      <c r="BP21" s="658" t="n"/>
    </row>
    <row r="22" ht="16.5" customHeight="1" s="7635" thickBot="1">
      <c r="A22" s="1277" t="n"/>
      <c r="B22" s="11229" t="inlineStr">
        <is>
          <t>B</t>
        </is>
      </c>
      <c r="C22" s="11734" t="n"/>
      <c r="D22" s="12111" t="n"/>
      <c r="E22" s="8007" t="n"/>
      <c r="F22" s="8007" t="n"/>
      <c r="G22" s="8007" t="n"/>
      <c r="H22" s="8008" t="n"/>
      <c r="I22" s="408" t="n"/>
      <c r="J22" s="11602" t="n"/>
      <c r="X22" s="2926" t="inlineStr">
        <is>
          <t>B</t>
        </is>
      </c>
      <c r="Y22" s="8412" t="n"/>
      <c r="Z22" s="11734" t="n"/>
      <c r="AA22" s="276" t="n"/>
      <c r="AB22" s="8007" t="n"/>
      <c r="AC22" s="8007" t="n"/>
      <c r="AD22" s="8007" t="n"/>
      <c r="AE22" s="8008" t="n"/>
      <c r="AF22" s="276" t="n"/>
      <c r="AG22" s="8007" t="n"/>
      <c r="AH22" s="8007" t="n"/>
      <c r="AI22" s="8007" t="n"/>
      <c r="AJ22" s="8008" t="n"/>
      <c r="AK22" s="4771" t="n"/>
      <c r="AL22" s="773" t="n"/>
      <c r="AM22" s="276" t="n"/>
      <c r="AN22" s="773" t="n"/>
      <c r="AO22" s="773" t="n"/>
      <c r="AP22" s="1277" t="n"/>
      <c r="AR22" s="7834">
        <f>D22=8</f>
        <v/>
      </c>
      <c r="AV22" s="4772">
        <f>AA22&gt;$AV$20</f>
        <v/>
      </c>
      <c r="AW22" s="7636">
        <f>AF22&gt;$AV$20</f>
        <v/>
      </c>
      <c r="AX22" t="n">
        <v>5</v>
      </c>
      <c r="AY22" t="inlineStr">
        <is>
          <t>Land</t>
        </is>
      </c>
      <c r="BE22" s="726">
        <f>IF(AND(D22&lt;&gt;"",OR(D22&lt;1,D22&gt;8,ISERROR(AD32))),TRUE,FALSE)</f>
        <v/>
      </c>
      <c r="BG22" s="769" t="n"/>
      <c r="BH22" s="658" t="n"/>
      <c r="BI22" s="658" t="n"/>
      <c r="BJ22" s="658" t="n"/>
      <c r="BK22" s="658" t="n"/>
      <c r="BL22" s="658" t="n"/>
      <c r="BM22" s="658" t="n"/>
      <c r="BN22" s="658" t="n"/>
      <c r="BO22" s="658" t="n"/>
      <c r="BP22" s="658" t="n"/>
    </row>
    <row r="23" ht="15.75" customHeight="1" s="7635">
      <c r="A23" s="1277" t="n"/>
      <c r="B23" s="11229" t="inlineStr">
        <is>
          <t>C</t>
        </is>
      </c>
      <c r="C23" s="11734" t="n"/>
      <c r="D23" s="12111" t="n"/>
      <c r="E23" s="8007" t="n"/>
      <c r="F23" s="8007" t="n"/>
      <c r="G23" s="8007" t="n"/>
      <c r="H23" s="8008" t="n"/>
      <c r="I23" s="412" t="n"/>
      <c r="J23" s="413" t="n"/>
      <c r="K23" s="7637" t="n"/>
      <c r="L23" s="7637" t="n"/>
      <c r="M23" s="7637" t="n"/>
      <c r="N23" s="7637" t="n"/>
      <c r="O23" s="7637" t="n"/>
      <c r="P23" s="7637" t="n"/>
      <c r="Q23" s="7637" t="n"/>
      <c r="R23" s="7637" t="n"/>
      <c r="S23" s="7637" t="n"/>
      <c r="T23" s="7637" t="n"/>
      <c r="U23" s="7637" t="n"/>
      <c r="V23" s="7637" t="n"/>
      <c r="W23" s="7637" t="n"/>
      <c r="X23" s="2926" t="inlineStr">
        <is>
          <t>C</t>
        </is>
      </c>
      <c r="Y23" s="8412" t="n"/>
      <c r="Z23" s="11734" t="n"/>
      <c r="AA23" s="276" t="n"/>
      <c r="AB23" s="8007" t="n"/>
      <c r="AC23" s="8007" t="n"/>
      <c r="AD23" s="8007" t="n"/>
      <c r="AE23" s="8008" t="n"/>
      <c r="AF23" s="276" t="n"/>
      <c r="AG23" s="8007" t="n"/>
      <c r="AH23" s="8007" t="n"/>
      <c r="AI23" s="8007" t="n"/>
      <c r="AJ23" s="8008" t="n"/>
      <c r="AK23" s="4771" t="n"/>
      <c r="AL23" s="773" t="n"/>
      <c r="AM23" s="276" t="n"/>
      <c r="AN23" s="773" t="n"/>
      <c r="AO23" s="773" t="n"/>
      <c r="AP23" s="1277" t="n"/>
      <c r="AR23" s="7834">
        <f>D23=8</f>
        <v/>
      </c>
      <c r="AV23" s="3614">
        <f>AA23&gt;$AV$20</f>
        <v/>
      </c>
      <c r="AW23" s="7638">
        <f>AF23&gt;$AV$20</f>
        <v/>
      </c>
      <c r="AX23" t="n">
        <v>6</v>
      </c>
      <c r="AY23" t="inlineStr">
        <is>
          <t>Royalties</t>
        </is>
      </c>
      <c r="AZ23" s="4773" t="inlineStr">
        <is>
          <t>A</t>
        </is>
      </c>
      <c r="BA23" s="4774" t="inlineStr">
        <is>
          <t>B</t>
        </is>
      </c>
      <c r="BB23" s="4774" t="inlineStr">
        <is>
          <t>C</t>
        </is>
      </c>
      <c r="BC23" s="4775" t="inlineStr">
        <is>
          <t>Total</t>
        </is>
      </c>
      <c r="BE23" s="726">
        <f>IF(AND(D23&lt;&gt;"",OR(D23&lt;1,D23&gt;8,ISERROR(AJ32))),TRUE,FALSE)</f>
        <v/>
      </c>
      <c r="BG23" s="769" t="n"/>
      <c r="BH23" s="658" t="n"/>
      <c r="BI23" s="658" t="n"/>
      <c r="BJ23" s="658" t="n"/>
      <c r="BK23" s="658" t="n"/>
      <c r="BL23" s="658" t="n"/>
      <c r="BM23" s="658" t="n"/>
      <c r="BN23" s="658" t="n"/>
      <c r="BO23" s="658" t="n"/>
      <c r="BP23" s="658" t="n"/>
    </row>
    <row r="24" ht="14.25" customHeight="1" s="7635">
      <c r="A24" s="1277" t="n"/>
      <c r="B24" s="3775" t="inlineStr">
        <is>
          <t>Type of Property:</t>
        </is>
      </c>
      <c r="C24" s="7865" t="n"/>
      <c r="D24" s="9237" t="n"/>
      <c r="E24" s="2126" t="n"/>
      <c r="F24" s="2126" t="n"/>
      <c r="G24" s="2126" t="n"/>
      <c r="H24" s="2126" t="n"/>
      <c r="I24" s="4776">
        <f>IF(BE24,"The 'Type of Property' must be entered as a number (1 - 8).","")</f>
        <v/>
      </c>
      <c r="J24" s="2126" t="n"/>
      <c r="K24" s="2126" t="n"/>
      <c r="L24" s="2126" t="n"/>
      <c r="M24" s="2126" t="n"/>
      <c r="N24" s="2126" t="n"/>
      <c r="O24" s="2126" t="n"/>
      <c r="P24" s="2126" t="n"/>
      <c r="Q24" s="2126" t="n"/>
      <c r="R24" s="2126" t="n"/>
      <c r="S24" s="2126" t="n"/>
      <c r="T24" s="2126" t="n"/>
      <c r="U24" s="2126" t="n"/>
      <c r="V24" s="2126" t="n"/>
      <c r="W24" s="2126" t="n"/>
      <c r="X24" s="2126" t="n"/>
      <c r="Y24" s="2126" t="n"/>
      <c r="Z24" s="2126" t="n"/>
      <c r="AA24" s="2126" t="n"/>
      <c r="AB24" s="2126" t="n"/>
      <c r="AC24" s="2126" t="n"/>
      <c r="AD24" s="4776">
        <f>IF(OR(AV21,AV22,AV23,AW21,AW22,AW23),"Must be "&amp;AV20&amp;" or less.","")</f>
        <v/>
      </c>
      <c r="AE24" s="2126" t="n"/>
      <c r="AF24" s="2126" t="n"/>
      <c r="AG24" s="2126" t="n"/>
      <c r="AH24" s="2126" t="n"/>
      <c r="AI24" s="2126" t="n"/>
      <c r="AJ24" s="2126" t="n"/>
      <c r="AK24" s="2126" t="n"/>
      <c r="AL24" s="2126" t="n"/>
      <c r="AM24" s="2126" t="n"/>
      <c r="AN24" s="2126" t="n"/>
      <c r="AO24" s="2126" t="n"/>
      <c r="AP24" s="1277" t="n"/>
      <c r="AR24" s="7834">
        <f>OR(AR21:AR23)</f>
        <v/>
      </c>
      <c r="AX24" t="n">
        <v>7</v>
      </c>
      <c r="AY24" t="inlineStr">
        <is>
          <t>Self-Rental</t>
        </is>
      </c>
      <c r="AZ24" s="4777">
        <f>IF(D21&lt;&gt;6,V30,0)</f>
        <v/>
      </c>
      <c r="BA24" s="3297">
        <f>IF(D22&lt;&gt;6,AD30,0)</f>
        <v/>
      </c>
      <c r="BB24" s="3297">
        <f>IF(D23&lt;&gt;6,AJ30,0)</f>
        <v/>
      </c>
      <c r="BC24" s="4778">
        <f>SUM(AZ24:BB24)</f>
        <v/>
      </c>
      <c r="BE24" s="726">
        <f>OR(BE21,BE22,BE23)</f>
        <v/>
      </c>
      <c r="BG24" s="769" t="n"/>
      <c r="BH24" s="658" t="n"/>
      <c r="BI24" s="658" t="n"/>
      <c r="BJ24" s="658" t="n"/>
      <c r="BK24" s="658" t="n"/>
      <c r="BL24" s="658" t="n"/>
      <c r="BM24" s="658" t="n"/>
      <c r="BN24" s="658" t="n"/>
      <c r="BO24" s="658" t="n"/>
      <c r="BP24" s="658" t="n"/>
    </row>
    <row r="25" ht="16.5" customHeight="1" s="7635" thickBot="1">
      <c r="A25" s="1277" t="n"/>
      <c r="B25" s="7865" t="n">
        <v>1</v>
      </c>
      <c r="C25" s="2100" t="inlineStr">
        <is>
          <t>Single Family Residence</t>
        </is>
      </c>
      <c r="D25" s="9237" t="n"/>
      <c r="E25" s="2126" t="n"/>
      <c r="F25" s="2126" t="n"/>
      <c r="G25" s="2126" t="n"/>
      <c r="H25" s="2126" t="n"/>
      <c r="I25" s="2126" t="n"/>
      <c r="J25" s="2126" t="n"/>
      <c r="K25" s="9847" t="n">
        <v>3</v>
      </c>
      <c r="L25" s="4505" t="inlineStr">
        <is>
          <t>Vacation/Short-Term Rental</t>
        </is>
      </c>
      <c r="M25" s="2126" t="n"/>
      <c r="N25" s="2126" t="n"/>
      <c r="O25" s="2126" t="n"/>
      <c r="P25" s="2126" t="n"/>
      <c r="Q25" s="2126" t="n"/>
      <c r="R25" s="2126" t="n"/>
      <c r="S25" s="2126" t="n"/>
      <c r="T25" s="2126" t="n"/>
      <c r="U25" s="9847" t="n">
        <v>5</v>
      </c>
      <c r="V25" s="4505" t="inlineStr">
        <is>
          <t>Land</t>
        </is>
      </c>
      <c r="W25" s="2126" t="n"/>
      <c r="X25" s="2126" t="n"/>
      <c r="Y25" s="2126" t="n"/>
      <c r="Z25" s="9847" t="n"/>
      <c r="AA25" s="9847" t="n">
        <v>7</v>
      </c>
      <c r="AB25" s="4505" t="inlineStr">
        <is>
          <t>Self-Rental</t>
        </is>
      </c>
      <c r="AC25" s="2126" t="n"/>
      <c r="AD25" s="2126" t="n"/>
      <c r="AE25" s="2126" t="n"/>
      <c r="AF25" s="2126" t="n"/>
      <c r="AG25" s="2126" t="n"/>
      <c r="AH25" s="2126" t="n"/>
      <c r="AI25" s="2126" t="n"/>
      <c r="AJ25" s="2126" t="n"/>
      <c r="AK25" s="2126" t="n"/>
      <c r="AL25" s="2126" t="n"/>
      <c r="AM25" s="2126" t="n"/>
      <c r="AN25" s="2126" t="n"/>
      <c r="AO25" s="2126" t="n"/>
      <c r="AP25" s="1277" t="n"/>
      <c r="AR25" s="8630">
        <f>IF($AR$24,"Attach a statement to your return describing the property.","")</f>
        <v/>
      </c>
      <c r="AX25" t="n">
        <v>8</v>
      </c>
      <c r="AY25" t="inlineStr">
        <is>
          <t>Other</t>
        </is>
      </c>
      <c r="AZ25" s="4779">
        <f>IF(D21=6,V31,0)</f>
        <v/>
      </c>
      <c r="BA25" s="4780">
        <f>IF(D22=6,AD31,0)</f>
        <v/>
      </c>
      <c r="BB25" s="4780">
        <f>IF(D23=6,AJ31,0)</f>
        <v/>
      </c>
      <c r="BC25" s="4781">
        <f>SUM(AZ25:BB25)</f>
        <v/>
      </c>
      <c r="BE25" s="4782" t="n"/>
      <c r="BG25" s="769" t="n"/>
      <c r="BH25" s="658" t="n"/>
      <c r="BI25" s="658" t="n"/>
      <c r="BJ25" s="658" t="n"/>
      <c r="BK25" s="658" t="n"/>
      <c r="BL25" s="658" t="n"/>
      <c r="BM25" s="658" t="n"/>
      <c r="BN25" s="658" t="n"/>
      <c r="BO25" s="658" t="n"/>
      <c r="BP25" s="658" t="n"/>
    </row>
    <row r="26" ht="17.25" customHeight="1" s="7635">
      <c r="A26" s="1277" t="n"/>
      <c r="B26" s="2313" t="n">
        <v>2</v>
      </c>
      <c r="C26" s="4783" t="inlineStr">
        <is>
          <t>Multi-Family Residence</t>
        </is>
      </c>
      <c r="D26" s="9237" t="n"/>
      <c r="E26" s="2126" t="n"/>
      <c r="F26" s="2126" t="n"/>
      <c r="G26" s="2126" t="n"/>
      <c r="H26" s="2126" t="n"/>
      <c r="I26" s="2126" t="n"/>
      <c r="J26" s="2126" t="n"/>
      <c r="K26" s="9847" t="n">
        <v>4</v>
      </c>
      <c r="L26" s="4505" t="inlineStr">
        <is>
          <t>Commercial</t>
        </is>
      </c>
      <c r="M26" s="2126" t="n"/>
      <c r="N26" s="2126" t="n"/>
      <c r="O26" s="2126" t="n"/>
      <c r="P26" s="2126" t="n"/>
      <c r="Q26" s="2126" t="n"/>
      <c r="R26" s="2126" t="n"/>
      <c r="S26" s="2126" t="n"/>
      <c r="T26" s="2126" t="n"/>
      <c r="U26" s="9847" t="n">
        <v>6</v>
      </c>
      <c r="V26" s="4505" t="inlineStr">
        <is>
          <t>Royalties</t>
        </is>
      </c>
      <c r="W26" s="2126" t="n"/>
      <c r="X26" s="2126" t="n"/>
      <c r="Y26" s="2126" t="n"/>
      <c r="Z26" s="9847" t="n"/>
      <c r="AA26" s="9847" t="n">
        <v>8</v>
      </c>
      <c r="AB26" s="4505" t="inlineStr">
        <is>
          <t>Other  (describe)</t>
        </is>
      </c>
      <c r="AC26" s="2126" t="n"/>
      <c r="AD26" s="2126" t="n"/>
      <c r="AE26" s="2126" t="n"/>
      <c r="AF26" s="2126" t="n"/>
      <c r="AG26" s="2126" t="n"/>
      <c r="AH26" s="8645" t="n"/>
      <c r="AI26" s="12079" t="n"/>
      <c r="AJ26" s="12079" t="n"/>
      <c r="AK26" s="12079" t="n"/>
      <c r="AL26" s="12079" t="n"/>
      <c r="AM26" s="12079" t="n"/>
      <c r="AN26" s="12079" t="n"/>
      <c r="AO26" s="12079" t="n"/>
      <c r="AP26" s="1277" t="n"/>
      <c r="AQ26" s="8648" t="n"/>
      <c r="AT26" s="314" t="n"/>
      <c r="BG26" s="769" t="n"/>
      <c r="BH26" s="658" t="n"/>
      <c r="BI26" s="658" t="n"/>
      <c r="BJ26" s="658" t="n"/>
      <c r="BK26" s="658" t="n"/>
      <c r="BL26" s="658" t="n"/>
      <c r="BM26" s="658" t="n"/>
      <c r="BN26" s="658" t="n"/>
      <c r="BO26" s="658" t="n"/>
      <c r="BP26" s="658" t="n"/>
    </row>
    <row r="27" ht="8.25" customHeight="1" s="7635" thickBot="1">
      <c r="A27" s="1277" t="n"/>
      <c r="B27" s="7865" t="n"/>
      <c r="C27" s="2100" t="n"/>
      <c r="D27" s="9237" t="n"/>
      <c r="E27" s="2126" t="n"/>
      <c r="F27" s="2126" t="n"/>
      <c r="G27" s="2126" t="n"/>
      <c r="H27" s="2126" t="n"/>
      <c r="I27" s="2126" t="n"/>
      <c r="J27" s="2126" t="n"/>
      <c r="K27" s="9847" t="n"/>
      <c r="L27" s="4505" t="n"/>
      <c r="M27" s="2126" t="n"/>
      <c r="N27" s="2126" t="n"/>
      <c r="O27" s="2126" t="n"/>
      <c r="P27" s="2126" t="n"/>
      <c r="Q27" s="2126" t="n"/>
      <c r="R27" s="2126" t="n"/>
      <c r="S27" s="2126" t="n"/>
      <c r="T27" s="2126" t="n"/>
      <c r="U27" s="9847" t="n"/>
      <c r="V27" s="4505" t="n"/>
      <c r="W27" s="2126" t="n"/>
      <c r="X27" s="2126" t="n"/>
      <c r="Y27" s="2126" t="n"/>
      <c r="Z27" s="9847" t="n"/>
      <c r="AA27" s="9847" t="n"/>
      <c r="AB27" s="4505" t="n"/>
      <c r="AC27" s="2126" t="n"/>
      <c r="AD27" s="2126" t="n"/>
      <c r="AE27" s="2126" t="n"/>
      <c r="AF27" s="2126" t="n"/>
      <c r="AG27" s="2126" t="n"/>
      <c r="AH27" s="2126" t="n"/>
      <c r="AI27" s="2126" t="n"/>
      <c r="AJ27" s="2126" t="n"/>
      <c r="AK27" s="2126" t="n"/>
      <c r="AL27" s="2126" t="n"/>
      <c r="AM27" s="2126" t="n"/>
      <c r="AN27" s="2126" t="n"/>
      <c r="AO27" s="2126" t="n"/>
      <c r="AP27" s="1277" t="n"/>
      <c r="AQ27" s="8648" t="n"/>
      <c r="AT27" s="314" t="n"/>
      <c r="BG27" s="769" t="n"/>
      <c r="BH27" s="658" t="n"/>
      <c r="BI27" s="658" t="n"/>
      <c r="BJ27" s="658" t="n"/>
      <c r="BK27" s="658" t="n"/>
      <c r="BL27" s="658" t="n"/>
      <c r="BM27" s="658" t="n"/>
      <c r="BN27" s="658" t="n"/>
      <c r="BO27" s="658" t="n"/>
      <c r="BP27" s="658" t="n"/>
    </row>
    <row r="28" ht="14.25" customHeight="1" s="7635">
      <c r="A28" s="1277" t="n"/>
      <c r="B28" s="4653" t="n"/>
      <c r="C28" s="4786" t="n"/>
      <c r="D28" s="9923" t="n"/>
      <c r="E28" s="2167" t="n"/>
      <c r="F28" s="2167" t="n"/>
      <c r="G28" s="2167" t="n"/>
      <c r="H28" s="2167" t="n"/>
      <c r="I28" s="2167" t="n"/>
      <c r="J28" s="2167" t="n"/>
      <c r="K28" s="2167" t="n"/>
      <c r="L28" s="2167" t="n"/>
      <c r="M28" s="2167" t="n"/>
      <c r="N28" s="2167" t="n"/>
      <c r="O28" s="2167" t="n"/>
      <c r="P28" s="2167" t="n"/>
      <c r="Q28" s="2167" t="n"/>
      <c r="R28" s="4788" t="n"/>
      <c r="S28" s="2167" t="n"/>
      <c r="T28" s="4788" t="n"/>
      <c r="U28" s="4789" t="n"/>
      <c r="V28" s="8573" t="inlineStr">
        <is>
          <t>Properties:</t>
        </is>
      </c>
      <c r="W28" s="12097" t="n"/>
      <c r="X28" s="12097" t="n"/>
      <c r="Y28" s="12097" t="n"/>
      <c r="Z28" s="12097" t="n"/>
      <c r="AA28" s="12097" t="n"/>
      <c r="AB28" s="12097" t="n"/>
      <c r="AC28" s="12097" t="n"/>
      <c r="AD28" s="12097" t="n"/>
      <c r="AE28" s="12097" t="n"/>
      <c r="AF28" s="12097" t="n"/>
      <c r="AG28" s="12097" t="n"/>
      <c r="AH28" s="12097" t="n"/>
      <c r="AI28" s="12097" t="n"/>
      <c r="AJ28" s="12097" t="n"/>
      <c r="AK28" s="12097" t="n"/>
      <c r="AL28" s="12097" t="n"/>
      <c r="AM28" s="12097" t="n"/>
      <c r="AN28" s="12097" t="n"/>
      <c r="AO28" s="12097" t="n"/>
      <c r="AP28" s="1277" t="n"/>
      <c r="AR28" s="1792" t="n"/>
      <c r="AS28" s="314" t="n"/>
      <c r="AT28" s="314" t="n"/>
      <c r="AZ28">
        <f>IF(AND($D$21="",OR($V$30&gt;0,$V$31&gt;0)),TRUE,FALSE)</f>
        <v/>
      </c>
      <c r="BA28">
        <f>IF(AND($D$22="",OR($AD$30&gt;0,$AD$31&gt;0)),TRUE,FALSE)</f>
        <v/>
      </c>
      <c r="BB28">
        <f>IF(AND($D$23="",OR($AJ$30&gt;0,$AJ$31&gt;0)),TRUE,FALSE)</f>
        <v/>
      </c>
      <c r="BG28" s="769" t="n"/>
      <c r="BH28" s="658" t="n"/>
      <c r="BI28" s="658" t="n"/>
      <c r="BJ28" s="658" t="n"/>
      <c r="BK28" s="658" t="n"/>
      <c r="BL28" s="658" t="n"/>
      <c r="BM28" s="658" t="n"/>
      <c r="BN28" s="658" t="n"/>
      <c r="BO28" s="658" t="n"/>
      <c r="BP28" s="658" t="n"/>
    </row>
    <row r="29" ht="14.25" customHeight="1" s="7635">
      <c r="A29" s="1277" t="n"/>
      <c r="B29" s="10886" t="inlineStr">
        <is>
          <t>Income:</t>
        </is>
      </c>
      <c r="C29" s="7865" t="n"/>
      <c r="D29" s="9237" t="n"/>
      <c r="E29" s="2126" t="n"/>
      <c r="F29" s="2126" t="n"/>
      <c r="G29" s="2126" t="n"/>
      <c r="H29" s="2126" t="n"/>
      <c r="I29" s="2126" t="n"/>
      <c r="J29" s="2126" t="n"/>
      <c r="K29" s="2126" t="n"/>
      <c r="L29" s="2126" t="n"/>
      <c r="M29" s="2126" t="n"/>
      <c r="N29" s="2126" t="n"/>
      <c r="O29" s="2126" t="n"/>
      <c r="P29" s="2126" t="n"/>
      <c r="Q29" s="2126" t="n"/>
      <c r="R29" s="4791" t="n"/>
      <c r="S29" s="2126" t="n"/>
      <c r="T29" s="4791" t="n"/>
      <c r="U29" s="4800" t="n"/>
      <c r="V29" s="6634" t="inlineStr">
        <is>
          <t>A</t>
        </is>
      </c>
      <c r="W29" s="8412" t="n"/>
      <c r="X29" s="8412" t="n"/>
      <c r="Y29" s="8412" t="n"/>
      <c r="Z29" s="8412" t="n"/>
      <c r="AA29" s="8412" t="n"/>
      <c r="AB29" s="8412" t="n"/>
      <c r="AC29" s="11734" t="n"/>
      <c r="AD29" s="12112" t="inlineStr">
        <is>
          <t>B</t>
        </is>
      </c>
      <c r="AE29" s="8412" t="n"/>
      <c r="AF29" s="8412" t="n"/>
      <c r="AG29" s="8412" t="n"/>
      <c r="AH29" s="8412" t="n"/>
      <c r="AI29" s="11734" t="n"/>
      <c r="AJ29" s="8568" t="inlineStr">
        <is>
          <t>C</t>
        </is>
      </c>
      <c r="AK29" s="8412" t="n"/>
      <c r="AL29" s="8412" t="n"/>
      <c r="AM29" s="8412" t="n"/>
      <c r="AN29" s="8412" t="n"/>
      <c r="AO29" s="8412" t="n"/>
      <c r="AP29" s="1277" t="n"/>
      <c r="AR29" s="1792" t="n"/>
      <c r="AS29" s="314" t="n"/>
      <c r="AT29" s="314" t="n"/>
      <c r="AZ29">
        <f>IF(AND($D$21="",OR($V$30&gt;0,$V$31&gt;0)),TRUE,FALSE)</f>
        <v/>
      </c>
      <c r="BA29">
        <f>IF(AND($D$22="",OR($AD$30&gt;0,$AD$31&gt;0)),TRUE,FALSE)</f>
        <v/>
      </c>
      <c r="BB29">
        <f>IF(AND($D$23="",OR($AJ$30&gt;0,$AJ$31&gt;0)),TRUE,FALSE)</f>
        <v/>
      </c>
      <c r="BG29" s="769" t="n"/>
      <c r="BH29" s="658" t="n"/>
      <c r="BI29" s="658" t="n"/>
      <c r="BJ29" s="658" t="n"/>
      <c r="BK29" s="658" t="n"/>
      <c r="BL29" s="658" t="n"/>
      <c r="BM29" s="658" t="n"/>
      <c r="BN29" s="658" t="n"/>
      <c r="BO29" s="658" t="n"/>
      <c r="BP29" s="658" t="n"/>
    </row>
    <row r="30" ht="14.25" customHeight="1" s="7635">
      <c r="A30" s="1277" t="n"/>
      <c r="B30" s="8519" t="n">
        <v>3</v>
      </c>
      <c r="D30" s="2100" t="inlineStr">
        <is>
          <t>Rents received</t>
        </is>
      </c>
      <c r="E30" s="2126" t="n"/>
      <c r="F30" s="2126" t="n"/>
      <c r="G30" s="2126" t="n"/>
      <c r="H30" s="2126" t="n"/>
      <c r="I30" s="2126" t="n"/>
      <c r="J30" s="2126" t="n"/>
      <c r="K30" s="2126" t="n"/>
      <c r="L30" s="2126" t="n"/>
      <c r="M30" s="2126" t="n"/>
      <c r="N30" s="2126" t="n"/>
      <c r="O30" s="2126" t="n"/>
      <c r="P30" s="2126" t="n"/>
      <c r="Q30" s="2126" t="n"/>
      <c r="R30" s="2126" t="n"/>
      <c r="S30" s="1321" t="inlineStr">
        <is>
          <t xml:space="preserve">.   .   .   .   .   .   .   .   .   .   .   .   .   .   .   .   . </t>
        </is>
      </c>
      <c r="T30" s="6634" t="n">
        <v>3</v>
      </c>
      <c r="U30" s="11734" t="n"/>
      <c r="V30" s="12113" t="n"/>
      <c r="W30" s="8007" t="n"/>
      <c r="X30" s="8007" t="n"/>
      <c r="Y30" s="8007" t="n"/>
      <c r="Z30" s="8007" t="n"/>
      <c r="AA30" s="8007" t="n"/>
      <c r="AB30" s="8007" t="n"/>
      <c r="AC30" s="8008" t="n"/>
      <c r="AD30" s="12113" t="n"/>
      <c r="AE30" s="8007" t="n"/>
      <c r="AF30" s="8007" t="n"/>
      <c r="AG30" s="8007" t="n"/>
      <c r="AH30" s="8007" t="n"/>
      <c r="AI30" s="8008" t="n"/>
      <c r="AJ30" s="8562" t="n"/>
      <c r="AK30" s="8007" t="n"/>
      <c r="AL30" s="8007" t="n"/>
      <c r="AM30" s="8007" t="n"/>
      <c r="AN30" s="8007" t="n"/>
      <c r="AO30" s="8007" t="n"/>
      <c r="AP30" s="1277" t="n"/>
      <c r="AR30" s="314" t="n"/>
      <c r="AS30" s="314" t="n"/>
      <c r="AT30" s="314" t="n"/>
      <c r="BG30" s="769" t="n"/>
      <c r="BH30" s="658" t="n"/>
      <c r="BI30" s="658" t="n"/>
      <c r="BJ30" s="658" t="n"/>
      <c r="BK30" s="658" t="n"/>
      <c r="BL30" s="658" t="n"/>
      <c r="BM30" s="658" t="n"/>
      <c r="BN30" s="658" t="n"/>
      <c r="BO30" s="658" t="n"/>
      <c r="BP30" s="658" t="n"/>
    </row>
    <row r="31" ht="14.25" customHeight="1" s="7635">
      <c r="A31" s="1277" t="n"/>
      <c r="B31" s="8561" t="n">
        <v>4</v>
      </c>
      <c r="C31" s="7637" t="n"/>
      <c r="D31" s="4794" t="inlineStr">
        <is>
          <t>Royalties received</t>
        </is>
      </c>
      <c r="E31" s="507" t="n"/>
      <c r="F31" s="507" t="n"/>
      <c r="G31" s="507" t="n"/>
      <c r="H31" s="507" t="n"/>
      <c r="I31" s="507" t="n"/>
      <c r="J31" s="507" t="n"/>
      <c r="K31" s="507" t="n"/>
      <c r="L31" s="507" t="n"/>
      <c r="M31" s="507" t="n"/>
      <c r="N31" s="507" t="n"/>
      <c r="O31" s="507" t="n"/>
      <c r="P31" s="507" t="n"/>
      <c r="Q31" s="507" t="n"/>
      <c r="R31" s="507" t="n"/>
      <c r="S31" s="974" t="inlineStr">
        <is>
          <t xml:space="preserve">.   .   .   .   .   .   .   .   .   .   .   .   .   .   .   . </t>
        </is>
      </c>
      <c r="T31" s="6634" t="n">
        <v>4</v>
      </c>
      <c r="U31" s="11734" t="n"/>
      <c r="V31" s="12113" t="n"/>
      <c r="W31" s="8007" t="n"/>
      <c r="X31" s="8007" t="n"/>
      <c r="Y31" s="8007" t="n"/>
      <c r="Z31" s="8007" t="n"/>
      <c r="AA31" s="8007" t="n"/>
      <c r="AB31" s="8007" t="n"/>
      <c r="AC31" s="8008" t="n"/>
      <c r="AD31" s="12113" t="n"/>
      <c r="AE31" s="8007" t="n"/>
      <c r="AF31" s="8007" t="n"/>
      <c r="AG31" s="8007" t="n"/>
      <c r="AH31" s="8007" t="n"/>
      <c r="AI31" s="8008" t="n"/>
      <c r="AJ31" s="8562" t="n"/>
      <c r="AK31" s="8007" t="n"/>
      <c r="AL31" s="8007" t="n"/>
      <c r="AM31" s="8007" t="n"/>
      <c r="AN31" s="8007" t="n"/>
      <c r="AO31" s="8007" t="n"/>
      <c r="AP31" s="1277" t="n"/>
      <c r="BG31" s="769" t="n"/>
      <c r="BH31" s="658" t="n"/>
      <c r="BI31" s="658" t="n"/>
      <c r="BJ31" s="658" t="n"/>
      <c r="BK31" s="658" t="n"/>
      <c r="BL31" s="658" t="n"/>
      <c r="BM31" s="658" t="n"/>
      <c r="BN31" s="658" t="n"/>
      <c r="BO31" s="658" t="n"/>
      <c r="BP31" s="658" t="n"/>
    </row>
    <row r="32" ht="14.25" customHeight="1" s="7635">
      <c r="A32" s="1277" t="n"/>
      <c r="B32" s="4795" t="inlineStr">
        <is>
          <t>Expenses:</t>
        </is>
      </c>
      <c r="C32" s="4796" t="n"/>
      <c r="D32" s="10862" t="n"/>
      <c r="E32" s="4797" t="n"/>
      <c r="F32" s="4798" t="n"/>
      <c r="G32" s="4798">
        <f>IF(OR($AZ$29,$BA$29,$BB$29),"Please enter property type in Line 1b.","")</f>
        <v/>
      </c>
      <c r="H32" s="4797" t="n"/>
      <c r="I32" s="4797" t="n"/>
      <c r="J32" s="4797" t="n"/>
      <c r="K32" s="4797" t="n"/>
      <c r="L32" s="4797" t="n"/>
      <c r="M32" s="4797" t="n"/>
      <c r="N32" s="4797" t="n"/>
      <c r="O32" s="4797" t="n"/>
      <c r="P32" s="4797" t="n"/>
      <c r="Q32" s="4797" t="n"/>
      <c r="R32" s="4797" t="n"/>
      <c r="S32" s="4797" t="n"/>
      <c r="T32" s="4509" t="n"/>
      <c r="U32" s="4799" t="n"/>
      <c r="V32" s="12114">
        <f>IF(D21="","",LOOKUP(D21,$AX$18:$AX$25,$AY$18:$AY$25))</f>
        <v/>
      </c>
      <c r="W32" s="7839" t="n"/>
      <c r="X32" s="7839" t="n"/>
      <c r="Y32" s="7839" t="n"/>
      <c r="Z32" s="7839" t="n"/>
      <c r="AA32" s="7839" t="n"/>
      <c r="AB32" s="7839" t="n"/>
      <c r="AC32" s="10091" t="n"/>
      <c r="AD32" s="12114">
        <f>IF(D22="","",LOOKUP(D22,$AX$18:$AX$25,$AY$18:$AY$25))</f>
        <v/>
      </c>
      <c r="AE32" s="7839" t="n"/>
      <c r="AF32" s="7839" t="n"/>
      <c r="AG32" s="7839" t="n"/>
      <c r="AH32" s="7839" t="n"/>
      <c r="AI32" s="10091" t="n"/>
      <c r="AJ32" s="8565">
        <f>IF(D23="","",LOOKUP(D23,$AX$18:$AX$25,$AY$18:$AY$25))</f>
        <v/>
      </c>
      <c r="AK32" s="7839" t="n"/>
      <c r="AL32" s="7839" t="n"/>
      <c r="AM32" s="7839" t="n"/>
      <c r="AN32" s="7839" t="n"/>
      <c r="AO32" s="7839" t="n"/>
      <c r="AP32" s="1277" t="n"/>
      <c r="BG32" s="769" t="n"/>
      <c r="BH32" s="658" t="n"/>
      <c r="BI32" s="658" t="n"/>
      <c r="BJ32" s="658" t="n"/>
      <c r="BK32" s="658" t="n"/>
      <c r="BL32" s="658" t="n"/>
      <c r="BM32" s="658" t="n"/>
      <c r="BN32" s="658" t="n"/>
      <c r="BO32" s="658" t="n"/>
      <c r="BP32" s="658" t="n"/>
    </row>
    <row r="33" ht="14.25" customHeight="1" s="7635">
      <c r="A33" s="1277" t="n"/>
      <c r="B33" s="8519" t="n">
        <v>5</v>
      </c>
      <c r="D33" s="2100" t="inlineStr">
        <is>
          <t>Advertising</t>
        </is>
      </c>
      <c r="E33" s="2126" t="n"/>
      <c r="F33" s="2126" t="n"/>
      <c r="G33" s="2126" t="n"/>
      <c r="H33" s="2126" t="n"/>
      <c r="I33" s="2126" t="n"/>
      <c r="J33" s="2126" t="n"/>
      <c r="K33" s="2126" t="n"/>
      <c r="L33" s="2126" t="n"/>
      <c r="M33" s="2126" t="n"/>
      <c r="N33" s="2126" t="n"/>
      <c r="O33" s="2126" t="n"/>
      <c r="P33" s="2126" t="n"/>
      <c r="Q33" s="2126" t="n"/>
      <c r="R33" s="2126" t="n"/>
      <c r="S33" s="2198" t="inlineStr">
        <is>
          <t xml:space="preserve">.   .   .   .   .   .   .   .   .   .   .   .   .   .   .   .   .   .   . </t>
        </is>
      </c>
      <c r="T33" s="6633" t="n">
        <v>5</v>
      </c>
      <c r="U33" s="7638" t="n"/>
      <c r="V33" s="8558" t="n"/>
      <c r="W33" s="11717" t="n"/>
      <c r="X33" s="11717" t="n"/>
      <c r="Y33" s="11717" t="n"/>
      <c r="Z33" s="11717" t="n"/>
      <c r="AA33" s="11717" t="n"/>
      <c r="AB33" s="11717" t="n"/>
      <c r="AC33" s="11718" t="n"/>
      <c r="AD33" s="12115" t="n"/>
      <c r="AE33" s="11717" t="n"/>
      <c r="AF33" s="11717" t="n"/>
      <c r="AG33" s="11717" t="n"/>
      <c r="AH33" s="11717" t="n"/>
      <c r="AI33" s="11718" t="n"/>
      <c r="AJ33" s="8559" t="n"/>
      <c r="AK33" s="11717" t="n"/>
      <c r="AL33" s="11717" t="n"/>
      <c r="AM33" s="11717" t="n"/>
      <c r="AN33" s="11717" t="n"/>
      <c r="AO33" s="11717" t="n"/>
      <c r="AP33" s="1277" t="n"/>
      <c r="BG33" s="769" t="n"/>
      <c r="BH33" s="658" t="n"/>
      <c r="BI33" s="658" t="n"/>
      <c r="BJ33" s="658" t="n"/>
      <c r="BK33" s="658" t="n"/>
      <c r="BL33" s="658" t="n"/>
      <c r="BM33" s="658" t="n"/>
      <c r="BN33" s="658" t="n"/>
      <c r="BO33" s="658" t="n"/>
      <c r="BP33" s="658" t="n"/>
    </row>
    <row r="34" ht="14.25" customHeight="1" s="7635">
      <c r="A34" s="1277" t="n"/>
      <c r="B34" s="8519" t="n">
        <v>6</v>
      </c>
      <c r="D34" s="2100" t="inlineStr">
        <is>
          <t>Auto and travel (see instructions)</t>
        </is>
      </c>
      <c r="E34" s="2126" t="n"/>
      <c r="F34" s="2126" t="n"/>
      <c r="G34" s="2126" t="n"/>
      <c r="H34" s="2126" t="n"/>
      <c r="I34" s="2126" t="n"/>
      <c r="J34" s="2126" t="n"/>
      <c r="K34" s="2126" t="n"/>
      <c r="L34" s="2126" t="n"/>
      <c r="M34" s="2126" t="n"/>
      <c r="N34" s="2126" t="n"/>
      <c r="O34" s="2126" t="n"/>
      <c r="P34" s="2126" t="n"/>
      <c r="Q34" s="2126" t="n"/>
      <c r="R34" s="2126" t="n"/>
      <c r="S34" s="2198" t="inlineStr">
        <is>
          <t xml:space="preserve">.   .   .   .   .   .   .   .   .   . </t>
        </is>
      </c>
      <c r="T34" s="6633" t="n">
        <v>6</v>
      </c>
      <c r="U34" s="7638" t="n"/>
      <c r="V34" s="8558" t="n"/>
      <c r="W34" s="11717" t="n"/>
      <c r="X34" s="11717" t="n"/>
      <c r="Y34" s="11717" t="n"/>
      <c r="Z34" s="11717" t="n"/>
      <c r="AA34" s="11717" t="n"/>
      <c r="AB34" s="11717" t="n"/>
      <c r="AC34" s="11718" t="n"/>
      <c r="AD34" s="12115" t="n"/>
      <c r="AE34" s="11717" t="n"/>
      <c r="AF34" s="11717" t="n"/>
      <c r="AG34" s="11717" t="n"/>
      <c r="AH34" s="11717" t="n"/>
      <c r="AI34" s="11718" t="n"/>
      <c r="AJ34" s="8559" t="n"/>
      <c r="AK34" s="11717" t="n"/>
      <c r="AL34" s="11717" t="n"/>
      <c r="AM34" s="11717" t="n"/>
      <c r="AN34" s="11717" t="n"/>
      <c r="AO34" s="11717" t="n"/>
      <c r="AP34" s="1277" t="n"/>
      <c r="BG34" s="769" t="n"/>
      <c r="BH34" s="658" t="n"/>
      <c r="BI34" s="658" t="n"/>
      <c r="BJ34" s="658" t="n"/>
      <c r="BK34" s="658" t="n"/>
      <c r="BL34" s="658" t="n"/>
      <c r="BM34" s="658" t="n"/>
      <c r="BN34" s="658" t="n"/>
      <c r="BO34" s="658" t="n"/>
      <c r="BP34" s="658" t="n"/>
    </row>
    <row r="35" ht="14.25" customHeight="1" s="7635">
      <c r="A35" s="1277" t="n"/>
      <c r="B35" s="8519" t="n">
        <v>7</v>
      </c>
      <c r="D35" s="2100" t="inlineStr">
        <is>
          <t>Cleaning and maintenance</t>
        </is>
      </c>
      <c r="E35" s="2126" t="n"/>
      <c r="F35" s="2126" t="n"/>
      <c r="G35" s="2126" t="n"/>
      <c r="H35" s="2126" t="n"/>
      <c r="I35" s="2126" t="n"/>
      <c r="J35" s="2126" t="n"/>
      <c r="K35" s="2126" t="n"/>
      <c r="L35" s="2126" t="n"/>
      <c r="M35" s="2126" t="n"/>
      <c r="N35" s="2126" t="n"/>
      <c r="O35" s="2126" t="n"/>
      <c r="P35" s="2126" t="n"/>
      <c r="Q35" s="2126" t="n"/>
      <c r="R35" s="2126" t="n"/>
      <c r="S35" s="2198" t="inlineStr">
        <is>
          <t xml:space="preserve">.   .   .   .   .   .   .   .   .   .   .   .   . </t>
        </is>
      </c>
      <c r="T35" s="6633" t="n">
        <v>7</v>
      </c>
      <c r="U35" s="7638" t="n"/>
      <c r="V35" s="8558" t="n"/>
      <c r="W35" s="11717" t="n"/>
      <c r="X35" s="11717" t="n"/>
      <c r="Y35" s="11717" t="n"/>
      <c r="Z35" s="11717" t="n"/>
      <c r="AA35" s="11717" t="n"/>
      <c r="AB35" s="11717" t="n"/>
      <c r="AC35" s="11718" t="n"/>
      <c r="AD35" s="12115" t="n"/>
      <c r="AE35" s="11717" t="n"/>
      <c r="AF35" s="11717" t="n"/>
      <c r="AG35" s="11717" t="n"/>
      <c r="AH35" s="11717" t="n"/>
      <c r="AI35" s="11718" t="n"/>
      <c r="AJ35" s="8559" t="n"/>
      <c r="AK35" s="11717" t="n"/>
      <c r="AL35" s="11717" t="n"/>
      <c r="AM35" s="11717" t="n"/>
      <c r="AN35" s="11717" t="n"/>
      <c r="AO35" s="11717" t="n"/>
      <c r="AP35" s="1277" t="n"/>
      <c r="BG35" s="769" t="n"/>
      <c r="BH35" s="658" t="n"/>
      <c r="BI35" s="658" t="n"/>
      <c r="BJ35" s="658" t="n"/>
      <c r="BK35" s="658" t="n"/>
      <c r="BL35" s="658" t="n"/>
      <c r="BM35" s="658" t="n"/>
      <c r="BN35" s="658" t="n"/>
      <c r="BO35" s="658" t="n"/>
      <c r="BP35" s="658" t="n"/>
    </row>
    <row r="36" ht="14.25" customHeight="1" s="7635">
      <c r="A36" s="1277" t="n"/>
      <c r="B36" s="8519" t="n">
        <v>8</v>
      </c>
      <c r="D36" s="2100" t="inlineStr">
        <is>
          <t>Commissions</t>
        </is>
      </c>
      <c r="E36" s="2126" t="n"/>
      <c r="F36" s="2126" t="n"/>
      <c r="G36" s="2126" t="n"/>
      <c r="H36" s="2126" t="n"/>
      <c r="I36" s="2126" t="n"/>
      <c r="J36" s="2126" t="n"/>
      <c r="K36" s="2126" t="n"/>
      <c r="L36" s="2126" t="n"/>
      <c r="M36" s="2126" t="n"/>
      <c r="N36" s="2126" t="n"/>
      <c r="O36" s="2126" t="n"/>
      <c r="P36" s="2126" t="n"/>
      <c r="Q36" s="2126" t="n"/>
      <c r="R36" s="2126" t="n"/>
      <c r="S36" s="2198" t="inlineStr">
        <is>
          <t xml:space="preserve">.   .   .   .   .   .   .   .   .   .   .   .   .   .   .   .   .   . </t>
        </is>
      </c>
      <c r="T36" s="6633" t="n">
        <v>8</v>
      </c>
      <c r="U36" s="7638" t="n"/>
      <c r="V36" s="8558" t="n"/>
      <c r="W36" s="11717" t="n"/>
      <c r="X36" s="11717" t="n"/>
      <c r="Y36" s="11717" t="n"/>
      <c r="Z36" s="11717" t="n"/>
      <c r="AA36" s="11717" t="n"/>
      <c r="AB36" s="11717" t="n"/>
      <c r="AC36" s="11718" t="n"/>
      <c r="AD36" s="12115" t="n"/>
      <c r="AE36" s="11717" t="n"/>
      <c r="AF36" s="11717" t="n"/>
      <c r="AG36" s="11717" t="n"/>
      <c r="AH36" s="11717" t="n"/>
      <c r="AI36" s="11718" t="n"/>
      <c r="AJ36" s="8559" t="n"/>
      <c r="AK36" s="11717" t="n"/>
      <c r="AL36" s="11717" t="n"/>
      <c r="AM36" s="11717" t="n"/>
      <c r="AN36" s="11717" t="n"/>
      <c r="AO36" s="11717" t="n"/>
      <c r="AP36" s="1277" t="n"/>
      <c r="BG36" s="769" t="n"/>
      <c r="BH36" s="658" t="n"/>
      <c r="BI36" s="658" t="n"/>
      <c r="BJ36" s="658" t="n"/>
      <c r="BK36" s="658" t="n"/>
      <c r="BL36" s="658" t="n"/>
      <c r="BM36" s="658" t="n"/>
      <c r="BN36" s="658" t="n"/>
      <c r="BO36" s="658" t="n"/>
      <c r="BP36" s="658" t="n"/>
    </row>
    <row r="37" ht="14.25" customHeight="1" s="7635">
      <c r="A37" s="1277" t="n"/>
      <c r="B37" s="8519" t="n">
        <v>9</v>
      </c>
      <c r="D37" s="2100" t="inlineStr">
        <is>
          <t>Insurance</t>
        </is>
      </c>
      <c r="E37" s="2126" t="n"/>
      <c r="F37" s="2126" t="n"/>
      <c r="G37" s="2126" t="n"/>
      <c r="H37" s="2126" t="n"/>
      <c r="I37" s="2126" t="n"/>
      <c r="J37" s="2126" t="n"/>
      <c r="K37" s="2126" t="n"/>
      <c r="L37" s="2126" t="n"/>
      <c r="M37" s="2126" t="n"/>
      <c r="N37" s="2126" t="n"/>
      <c r="O37" s="2126" t="n"/>
      <c r="P37" s="2126" t="n"/>
      <c r="Q37" s="2126" t="n"/>
      <c r="R37" s="2126" t="n"/>
      <c r="S37" s="2198" t="inlineStr">
        <is>
          <t xml:space="preserve">.   .   .   .   .   .   .   .   .   .   .   .   .   .   .   .   .   .   .   . </t>
        </is>
      </c>
      <c r="T37" s="6633" t="n">
        <v>9</v>
      </c>
      <c r="U37" s="7638" t="n"/>
      <c r="V37" s="8558" t="n"/>
      <c r="W37" s="11717" t="n"/>
      <c r="X37" s="11717" t="n"/>
      <c r="Y37" s="11717" t="n"/>
      <c r="Z37" s="11717" t="n"/>
      <c r="AA37" s="11717" t="n"/>
      <c r="AB37" s="11717" t="n"/>
      <c r="AC37" s="11718" t="n"/>
      <c r="AD37" s="12115" t="n"/>
      <c r="AE37" s="11717" t="n"/>
      <c r="AF37" s="11717" t="n"/>
      <c r="AG37" s="11717" t="n"/>
      <c r="AH37" s="11717" t="n"/>
      <c r="AI37" s="11718" t="n"/>
      <c r="AJ37" s="8559" t="n"/>
      <c r="AK37" s="11717" t="n"/>
      <c r="AL37" s="11717" t="n"/>
      <c r="AM37" s="11717" t="n"/>
      <c r="AN37" s="11717" t="n"/>
      <c r="AO37" s="11717" t="n"/>
      <c r="AP37" s="1277" t="n"/>
      <c r="BG37" s="769" t="n"/>
      <c r="BH37" s="658" t="n"/>
      <c r="BI37" s="658" t="n"/>
      <c r="BJ37" s="658" t="n"/>
      <c r="BK37" s="658" t="n"/>
      <c r="BL37" s="658" t="n"/>
      <c r="BM37" s="658" t="n"/>
      <c r="BN37" s="658" t="n"/>
      <c r="BO37" s="658" t="n"/>
      <c r="BP37" s="658" t="n"/>
    </row>
    <row r="38" ht="14.25" customHeight="1" s="7635">
      <c r="A38" s="1277" t="n"/>
      <c r="B38" s="8519" t="n">
        <v>10</v>
      </c>
      <c r="D38" s="2100" t="inlineStr">
        <is>
          <t>Legal and other professional fees</t>
        </is>
      </c>
      <c r="E38" s="2126" t="n"/>
      <c r="F38" s="2126" t="n"/>
      <c r="G38" s="2126" t="n"/>
      <c r="H38" s="2126" t="n"/>
      <c r="I38" s="2126" t="n"/>
      <c r="J38" s="2126" t="n"/>
      <c r="K38" s="2126" t="n"/>
      <c r="L38" s="2126" t="n"/>
      <c r="M38" s="2126" t="n"/>
      <c r="N38" s="2126" t="n"/>
      <c r="O38" s="2126" t="n"/>
      <c r="P38" s="2126" t="n"/>
      <c r="Q38" s="2126" t="n"/>
      <c r="R38" s="2126" t="n"/>
      <c r="S38" s="2198" t="inlineStr">
        <is>
          <t xml:space="preserve">.   .   .   .   .   .   .   .   . </t>
        </is>
      </c>
      <c r="T38" s="6633" t="n">
        <v>10</v>
      </c>
      <c r="U38" s="7638" t="n"/>
      <c r="V38" s="8558" t="n"/>
      <c r="W38" s="11717" t="n"/>
      <c r="X38" s="11717" t="n"/>
      <c r="Y38" s="11717" t="n"/>
      <c r="Z38" s="11717" t="n"/>
      <c r="AA38" s="11717" t="n"/>
      <c r="AB38" s="11717" t="n"/>
      <c r="AC38" s="11718" t="n"/>
      <c r="AD38" s="12115" t="n"/>
      <c r="AE38" s="11717" t="n"/>
      <c r="AF38" s="11717" t="n"/>
      <c r="AG38" s="11717" t="n"/>
      <c r="AH38" s="11717" t="n"/>
      <c r="AI38" s="11718" t="n"/>
      <c r="AJ38" s="8559" t="n"/>
      <c r="AK38" s="11717" t="n"/>
      <c r="AL38" s="11717" t="n"/>
      <c r="AM38" s="11717" t="n"/>
      <c r="AN38" s="11717" t="n"/>
      <c r="AO38" s="11717" t="n"/>
      <c r="AP38" s="1277" t="n"/>
      <c r="BG38" s="769" t="n"/>
      <c r="BH38" s="658" t="n"/>
      <c r="BI38" s="658" t="n"/>
      <c r="BJ38" s="658" t="n"/>
      <c r="BK38" s="658" t="n"/>
      <c r="BL38" s="658" t="n"/>
      <c r="BM38" s="658" t="n"/>
      <c r="BN38" s="658" t="n"/>
      <c r="BO38" s="658" t="n"/>
      <c r="BP38" s="658" t="n"/>
    </row>
    <row r="39" ht="14.25" customHeight="1" s="7635">
      <c r="A39" s="1277" t="n"/>
      <c r="B39" s="8519" t="n">
        <v>11</v>
      </c>
      <c r="D39" s="2100" t="inlineStr">
        <is>
          <t>Management fees</t>
        </is>
      </c>
      <c r="E39" s="2126" t="n"/>
      <c r="F39" s="2126" t="n"/>
      <c r="G39" s="2126" t="n"/>
      <c r="H39" s="2126" t="n"/>
      <c r="I39" s="2126" t="n"/>
      <c r="J39" s="2126" t="n"/>
      <c r="K39" s="2126" t="n"/>
      <c r="L39" s="2126" t="n"/>
      <c r="M39" s="2126" t="n"/>
      <c r="N39" s="2126" t="n"/>
      <c r="O39" s="2126" t="n"/>
      <c r="P39" s="2126" t="n"/>
      <c r="Q39" s="2126" t="n"/>
      <c r="R39" s="2126" t="n"/>
      <c r="S39" s="2198" t="inlineStr">
        <is>
          <t xml:space="preserve">.   .   .   .   .   .   .   .   .   .   .   .   .   .   .   . </t>
        </is>
      </c>
      <c r="T39" s="6633" t="n">
        <v>11</v>
      </c>
      <c r="U39" s="7638" t="n"/>
      <c r="V39" s="8558" t="n"/>
      <c r="W39" s="11717" t="n"/>
      <c r="X39" s="11717" t="n"/>
      <c r="Y39" s="11717" t="n"/>
      <c r="Z39" s="11717" t="n"/>
      <c r="AA39" s="11717" t="n"/>
      <c r="AB39" s="11717" t="n"/>
      <c r="AC39" s="11718" t="n"/>
      <c r="AD39" s="12115" t="n"/>
      <c r="AE39" s="11717" t="n"/>
      <c r="AF39" s="11717" t="n"/>
      <c r="AG39" s="11717" t="n"/>
      <c r="AH39" s="11717" t="n"/>
      <c r="AI39" s="11718" t="n"/>
      <c r="AJ39" s="8559" t="n"/>
      <c r="AK39" s="11717" t="n"/>
      <c r="AL39" s="11717" t="n"/>
      <c r="AM39" s="11717" t="n"/>
      <c r="AN39" s="11717" t="n"/>
      <c r="AO39" s="11717" t="n"/>
      <c r="AP39" s="1277" t="n"/>
      <c r="BG39" s="769" t="n"/>
      <c r="BH39" s="658" t="n"/>
      <c r="BI39" s="658" t="n"/>
      <c r="BJ39" s="658" t="n"/>
      <c r="BK39" s="658" t="n"/>
      <c r="BL39" s="658" t="n"/>
      <c r="BM39" s="658" t="n"/>
      <c r="BN39" s="658" t="n"/>
      <c r="BO39" s="658" t="n"/>
      <c r="BP39" s="658" t="n"/>
    </row>
    <row r="40" ht="14.25" customHeight="1" s="7635">
      <c r="A40" s="1277" t="n"/>
      <c r="B40" s="8519" t="n">
        <v>12</v>
      </c>
      <c r="D40" s="2100" t="inlineStr">
        <is>
          <t>Mortgage interest paid to banks, etc. (see instructions)</t>
        </is>
      </c>
      <c r="E40" s="2126" t="n"/>
      <c r="F40" s="2126" t="n"/>
      <c r="G40" s="2126" t="n"/>
      <c r="H40" s="2126" t="n"/>
      <c r="I40" s="2126" t="n"/>
      <c r="J40" s="2126" t="n"/>
      <c r="K40" s="2126" t="n"/>
      <c r="L40" s="2126" t="n"/>
      <c r="M40" s="2126" t="n"/>
      <c r="N40" s="2126" t="n"/>
      <c r="O40" s="2126" t="n"/>
      <c r="P40" s="2126" t="n"/>
      <c r="Q40" s="2126" t="n"/>
      <c r="R40" s="2126" t="n"/>
      <c r="S40" s="4800" t="n"/>
      <c r="T40" s="6633" t="n">
        <v>12</v>
      </c>
      <c r="U40" s="7638" t="n"/>
      <c r="V40" s="8558" t="n"/>
      <c r="W40" s="11717" t="n"/>
      <c r="X40" s="11717" t="n"/>
      <c r="Y40" s="11717" t="n"/>
      <c r="Z40" s="11717" t="n"/>
      <c r="AA40" s="11717" t="n"/>
      <c r="AB40" s="11717" t="n"/>
      <c r="AC40" s="11718" t="n"/>
      <c r="AD40" s="12115" t="n"/>
      <c r="AE40" s="11717" t="n"/>
      <c r="AF40" s="11717" t="n"/>
      <c r="AG40" s="11717" t="n"/>
      <c r="AH40" s="11717" t="n"/>
      <c r="AI40" s="11718" t="n"/>
      <c r="AJ40" s="8559" t="n"/>
      <c r="AK40" s="11717" t="n"/>
      <c r="AL40" s="11717" t="n"/>
      <c r="AM40" s="11717" t="n"/>
      <c r="AN40" s="11717" t="n"/>
      <c r="AO40" s="11717" t="n"/>
      <c r="AP40" s="1277" t="n"/>
      <c r="BG40" s="769" t="n"/>
      <c r="BH40" s="658" t="n"/>
      <c r="BI40" s="658" t="n"/>
      <c r="BJ40" s="658" t="n"/>
      <c r="BK40" s="658" t="n"/>
      <c r="BL40" s="658" t="n"/>
      <c r="BM40" s="658" t="n"/>
      <c r="BN40" s="658" t="n"/>
      <c r="BO40" s="658" t="n"/>
      <c r="BP40" s="658" t="n"/>
    </row>
    <row r="41" ht="14.25" customHeight="1" s="7635">
      <c r="A41" s="1277" t="n"/>
      <c r="B41" s="8519" t="n">
        <v>13</v>
      </c>
      <c r="D41" s="2100" t="inlineStr">
        <is>
          <t>Other interest</t>
        </is>
      </c>
      <c r="E41" s="2126" t="n"/>
      <c r="F41" s="2126" t="n"/>
      <c r="G41" s="2126" t="n"/>
      <c r="H41" s="2126" t="n"/>
      <c r="I41" s="2126" t="n"/>
      <c r="J41" s="2126" t="n"/>
      <c r="K41" s="2126" t="n"/>
      <c r="L41" s="2126" t="n"/>
      <c r="M41" s="2126" t="n"/>
      <c r="N41" s="2126" t="n"/>
      <c r="O41" s="2126" t="n"/>
      <c r="P41" s="2126" t="n"/>
      <c r="Q41" s="2126" t="n"/>
      <c r="R41" s="2126" t="n"/>
      <c r="S41" s="2198" t="inlineStr">
        <is>
          <t xml:space="preserve">.   .   .   .   .   .   .   .   .   .   .   .   .   .   .   .   .   . </t>
        </is>
      </c>
      <c r="T41" s="6633" t="n">
        <v>13</v>
      </c>
      <c r="U41" s="7638" t="n"/>
      <c r="V41" s="8558" t="n"/>
      <c r="W41" s="11717" t="n"/>
      <c r="X41" s="11717" t="n"/>
      <c r="Y41" s="11717" t="n"/>
      <c r="Z41" s="11717" t="n"/>
      <c r="AA41" s="11717" t="n"/>
      <c r="AB41" s="11717" t="n"/>
      <c r="AC41" s="11718" t="n"/>
      <c r="AD41" s="12115" t="n"/>
      <c r="AE41" s="11717" t="n"/>
      <c r="AF41" s="11717" t="n"/>
      <c r="AG41" s="11717" t="n"/>
      <c r="AH41" s="11717" t="n"/>
      <c r="AI41" s="11718" t="n"/>
      <c r="AJ41" s="8559" t="n"/>
      <c r="AK41" s="11717" t="n"/>
      <c r="AL41" s="11717" t="n"/>
      <c r="AM41" s="11717" t="n"/>
      <c r="AN41" s="11717" t="n"/>
      <c r="AO41" s="11717" t="n"/>
      <c r="AP41" s="1277" t="n"/>
      <c r="BG41" s="769" t="n"/>
      <c r="BH41" s="658" t="n"/>
      <c r="BI41" s="658" t="n"/>
      <c r="BJ41" s="658" t="n"/>
      <c r="BK41" s="658" t="n"/>
      <c r="BL41" s="658" t="n"/>
      <c r="BM41" s="658" t="n"/>
      <c r="BN41" s="658" t="n"/>
      <c r="BO41" s="658" t="n"/>
      <c r="BP41" s="658" t="n"/>
    </row>
    <row r="42" ht="14.25" customHeight="1" s="7635">
      <c r="A42" s="1277" t="n"/>
      <c r="B42" s="8519" t="n">
        <v>14</v>
      </c>
      <c r="D42" s="2100" t="inlineStr">
        <is>
          <t>Repairs</t>
        </is>
      </c>
      <c r="E42" s="2126" t="n"/>
      <c r="F42" s="2126" t="n"/>
      <c r="G42" s="2126" t="n"/>
      <c r="H42" s="2126" t="n"/>
      <c r="I42" s="2126" t="n"/>
      <c r="J42" s="2126" t="n"/>
      <c r="K42" s="2126" t="n"/>
      <c r="L42" s="2126" t="n"/>
      <c r="M42" s="2126" t="n"/>
      <c r="N42" s="2126" t="n"/>
      <c r="O42" s="2126" t="n"/>
      <c r="P42" s="2126" t="n"/>
      <c r="Q42" s="2126" t="n"/>
      <c r="R42" s="2126" t="n"/>
      <c r="S42" s="2198" t="inlineStr">
        <is>
          <t xml:space="preserve">.   .   .   .   .   .   .   .   .   .   .   .   .   .   .   .   .   .   .   . </t>
        </is>
      </c>
      <c r="T42" s="6633" t="n">
        <v>14</v>
      </c>
      <c r="U42" s="7638" t="n"/>
      <c r="V42" s="8558" t="n"/>
      <c r="W42" s="11717" t="n"/>
      <c r="X42" s="11717" t="n"/>
      <c r="Y42" s="11717" t="n"/>
      <c r="Z42" s="11717" t="n"/>
      <c r="AA42" s="11717" t="n"/>
      <c r="AB42" s="11717" t="n"/>
      <c r="AC42" s="11718" t="n"/>
      <c r="AD42" s="12115" t="n"/>
      <c r="AE42" s="11717" t="n"/>
      <c r="AF42" s="11717" t="n"/>
      <c r="AG42" s="11717" t="n"/>
      <c r="AH42" s="11717" t="n"/>
      <c r="AI42" s="11718" t="n"/>
      <c r="AJ42" s="8559" t="n"/>
      <c r="AK42" s="11717" t="n"/>
      <c r="AL42" s="11717" t="n"/>
      <c r="AM42" s="11717" t="n"/>
      <c r="AN42" s="11717" t="n"/>
      <c r="AO42" s="11717" t="n"/>
      <c r="AP42" s="1277" t="n"/>
      <c r="BG42" s="769" t="n"/>
      <c r="BH42" s="658" t="n"/>
      <c r="BI42" s="658" t="n"/>
      <c r="BJ42" s="658" t="n"/>
      <c r="BK42" s="658" t="n"/>
      <c r="BL42" s="658" t="n"/>
      <c r="BM42" s="658" t="n"/>
      <c r="BN42" s="658" t="n"/>
      <c r="BO42" s="658" t="n"/>
      <c r="BP42" s="658" t="n"/>
    </row>
    <row r="43" ht="14.25" customHeight="1" s="7635">
      <c r="A43" s="1277" t="n"/>
      <c r="B43" s="8519" t="n">
        <v>15</v>
      </c>
      <c r="D43" s="2100" t="inlineStr">
        <is>
          <t>Supplies</t>
        </is>
      </c>
      <c r="E43" s="2126" t="n"/>
      <c r="F43" s="2126" t="n"/>
      <c r="G43" s="2126" t="n"/>
      <c r="H43" s="2126" t="n"/>
      <c r="I43" s="2126" t="n"/>
      <c r="J43" s="2126" t="n"/>
      <c r="K43" s="2126" t="n"/>
      <c r="L43" s="2126" t="n"/>
      <c r="M43" s="2126" t="n"/>
      <c r="N43" s="2126" t="n"/>
      <c r="O43" s="2126" t="n"/>
      <c r="P43" s="2126" t="n"/>
      <c r="Q43" s="2126" t="n"/>
      <c r="R43" s="2126" t="n"/>
      <c r="S43" s="2198" t="inlineStr">
        <is>
          <t xml:space="preserve">.   .   .   .   .   .   .   .   .   .   .   .   .   .   .   .   .   .   .   . </t>
        </is>
      </c>
      <c r="T43" s="6633" t="n">
        <v>15</v>
      </c>
      <c r="U43" s="7638" t="n"/>
      <c r="V43" s="8558" t="n"/>
      <c r="W43" s="11717" t="n"/>
      <c r="X43" s="11717" t="n"/>
      <c r="Y43" s="11717" t="n"/>
      <c r="Z43" s="11717" t="n"/>
      <c r="AA43" s="11717" t="n"/>
      <c r="AB43" s="11717" t="n"/>
      <c r="AC43" s="11718" t="n"/>
      <c r="AD43" s="12115" t="n"/>
      <c r="AE43" s="11717" t="n"/>
      <c r="AF43" s="11717" t="n"/>
      <c r="AG43" s="11717" t="n"/>
      <c r="AH43" s="11717" t="n"/>
      <c r="AI43" s="11718" t="n"/>
      <c r="AJ43" s="8559" t="n"/>
      <c r="AK43" s="11717" t="n"/>
      <c r="AL43" s="11717" t="n"/>
      <c r="AM43" s="11717" t="n"/>
      <c r="AN43" s="11717" t="n"/>
      <c r="AO43" s="11717" t="n"/>
      <c r="AP43" s="1277" t="n"/>
      <c r="BG43" s="769" t="n"/>
      <c r="BH43" s="658" t="n"/>
      <c r="BI43" s="658" t="n"/>
      <c r="BJ43" s="658" t="n"/>
      <c r="BK43" s="658" t="n"/>
      <c r="BL43" s="658" t="n"/>
      <c r="BM43" s="658" t="n"/>
      <c r="BN43" s="658" t="n"/>
      <c r="BO43" s="658" t="n"/>
      <c r="BP43" s="658" t="n"/>
    </row>
    <row r="44" ht="14.25" customHeight="1" s="7635">
      <c r="A44" s="1277" t="n"/>
      <c r="B44" s="8519" t="n">
        <v>16</v>
      </c>
      <c r="D44" s="2100" t="inlineStr">
        <is>
          <t>Taxes</t>
        </is>
      </c>
      <c r="E44" s="2126" t="n"/>
      <c r="F44" s="2126" t="n"/>
      <c r="G44" s="2126" t="n"/>
      <c r="H44" s="2126" t="n"/>
      <c r="I44" s="2126" t="n"/>
      <c r="J44" s="2126" t="n"/>
      <c r="K44" s="2126" t="n"/>
      <c r="L44" s="2126" t="n"/>
      <c r="M44" s="2126" t="n"/>
      <c r="N44" s="2126" t="n"/>
      <c r="O44" s="2126" t="n"/>
      <c r="P44" s="2126" t="n"/>
      <c r="Q44" s="2126" t="n"/>
      <c r="R44" s="2126" t="n"/>
      <c r="S44" s="2198" t="inlineStr">
        <is>
          <t xml:space="preserve">.   .   .   .   .   .   .   .   .   .   .   .   .   .   .   .   .   .   .   .   . </t>
        </is>
      </c>
      <c r="T44" s="6633" t="n">
        <v>16</v>
      </c>
      <c r="U44" s="7638" t="n"/>
      <c r="V44" s="8558" t="n"/>
      <c r="W44" s="11717" t="n"/>
      <c r="X44" s="11717" t="n"/>
      <c r="Y44" s="11717" t="n"/>
      <c r="Z44" s="11717" t="n"/>
      <c r="AA44" s="11717" t="n"/>
      <c r="AB44" s="11717" t="n"/>
      <c r="AC44" s="11718" t="n"/>
      <c r="AD44" s="12115" t="n"/>
      <c r="AE44" s="11717" t="n"/>
      <c r="AF44" s="11717" t="n"/>
      <c r="AG44" s="11717" t="n"/>
      <c r="AH44" s="11717" t="n"/>
      <c r="AI44" s="11718" t="n"/>
      <c r="AJ44" s="8559" t="n"/>
      <c r="AK44" s="11717" t="n"/>
      <c r="AL44" s="11717" t="n"/>
      <c r="AM44" s="11717" t="n"/>
      <c r="AN44" s="11717" t="n"/>
      <c r="AO44" s="11717" t="n"/>
      <c r="AP44" s="1277" t="n"/>
      <c r="BG44" s="769" t="n"/>
      <c r="BH44" s="658" t="n"/>
      <c r="BI44" s="658" t="n"/>
      <c r="BJ44" s="658" t="n"/>
      <c r="BK44" s="658" t="n"/>
      <c r="BL44" s="658" t="n"/>
      <c r="BM44" s="658" t="n"/>
      <c r="BN44" s="658" t="n"/>
      <c r="BO44" s="658" t="n"/>
      <c r="BP44" s="658" t="n"/>
    </row>
    <row r="45" ht="14.25" customHeight="1" s="7635">
      <c r="A45" s="1277" t="n"/>
      <c r="B45" s="8519" t="n">
        <v>17</v>
      </c>
      <c r="D45" s="2100" t="inlineStr">
        <is>
          <t>Utilities</t>
        </is>
      </c>
      <c r="E45" s="2126" t="n"/>
      <c r="F45" s="2126" t="n"/>
      <c r="G45" s="2126" t="n"/>
      <c r="H45" s="2126" t="n"/>
      <c r="I45" s="2126" t="n"/>
      <c r="J45" s="2126" t="n"/>
      <c r="K45" s="2126" t="n"/>
      <c r="L45" s="2126" t="n"/>
      <c r="M45" s="2126" t="n"/>
      <c r="N45" s="2126" t="n"/>
      <c r="O45" s="2126" t="n"/>
      <c r="P45" s="2126" t="n"/>
      <c r="Q45" s="2126" t="n"/>
      <c r="R45" s="2126" t="n"/>
      <c r="S45" s="2198" t="inlineStr">
        <is>
          <t xml:space="preserve">.   .   .   .   .   .   .   .   .   .   .   .   .   .   .   .   .   .   .   .   . </t>
        </is>
      </c>
      <c r="T45" s="6633" t="n">
        <v>17</v>
      </c>
      <c r="U45" s="7638" t="n"/>
      <c r="V45" s="8558" t="n"/>
      <c r="W45" s="11717" t="n"/>
      <c r="X45" s="11717" t="n"/>
      <c r="Y45" s="11717" t="n"/>
      <c r="Z45" s="11717" t="n"/>
      <c r="AA45" s="11717" t="n"/>
      <c r="AB45" s="11717" t="n"/>
      <c r="AC45" s="11718" t="n"/>
      <c r="AD45" s="12115" t="n"/>
      <c r="AE45" s="11717" t="n"/>
      <c r="AF45" s="11717" t="n"/>
      <c r="AG45" s="11717" t="n"/>
      <c r="AH45" s="11717" t="n"/>
      <c r="AI45" s="11718" t="n"/>
      <c r="AJ45" s="8559" t="n"/>
      <c r="AK45" s="11717" t="n"/>
      <c r="AL45" s="11717" t="n"/>
      <c r="AM45" s="11717" t="n"/>
      <c r="AN45" s="11717" t="n"/>
      <c r="AO45" s="11717" t="n"/>
      <c r="AP45" s="1277" t="n"/>
      <c r="AQ45" s="2875" t="n"/>
      <c r="AR45" s="2875" t="n"/>
      <c r="AS45" s="2875" t="n"/>
      <c r="AT45" s="2875" t="n"/>
      <c r="AU45" s="2875" t="n"/>
      <c r="BG45" s="769" t="n"/>
      <c r="BH45" s="658" t="n"/>
      <c r="BI45" s="658" t="n"/>
      <c r="BJ45" s="658" t="n"/>
      <c r="BK45" s="658" t="n"/>
      <c r="BL45" s="658" t="n"/>
      <c r="BM45" s="658" t="n"/>
      <c r="BN45" s="658" t="n"/>
      <c r="BO45" s="658" t="n"/>
      <c r="BP45" s="658" t="n"/>
    </row>
    <row r="46" ht="14.25" customHeight="1" s="7635">
      <c r="A46" s="1277" t="n"/>
      <c r="B46" s="8519" t="n">
        <v>18</v>
      </c>
      <c r="D46" s="2100" t="inlineStr">
        <is>
          <t>Depreciation expense or depletion</t>
        </is>
      </c>
      <c r="E46" s="2126" t="n"/>
      <c r="F46" s="2126" t="n"/>
      <c r="G46" s="2126" t="n"/>
      <c r="H46" s="2126" t="n"/>
      <c r="I46" s="2126" t="n"/>
      <c r="J46" s="2126" t="n"/>
      <c r="K46" s="2126" t="n"/>
      <c r="L46" s="2126" t="n"/>
      <c r="M46" s="2126" t="n"/>
      <c r="N46" s="2126" t="n"/>
      <c r="O46" s="2126" t="n"/>
      <c r="P46" s="2126" t="n"/>
      <c r="Q46" s="2126" t="n"/>
      <c r="R46" s="2126" t="n"/>
      <c r="S46" s="2198" t="inlineStr">
        <is>
          <t xml:space="preserve">.   .   .   .   .   .   .   .   . </t>
        </is>
      </c>
      <c r="T46" s="6633" t="n">
        <v>18</v>
      </c>
      <c r="U46" s="7638" t="n"/>
      <c r="V46" s="8558" t="n"/>
      <c r="W46" s="11717" t="n"/>
      <c r="X46" s="11717" t="n"/>
      <c r="Y46" s="11717" t="n"/>
      <c r="Z46" s="11717" t="n"/>
      <c r="AA46" s="11717" t="n"/>
      <c r="AB46" s="11717" t="n"/>
      <c r="AC46" s="11718" t="n"/>
      <c r="AD46" s="12115" t="n"/>
      <c r="AE46" s="11717" t="n"/>
      <c r="AF46" s="11717" t="n"/>
      <c r="AG46" s="11717" t="n"/>
      <c r="AH46" s="11717" t="n"/>
      <c r="AI46" s="11718" t="n"/>
      <c r="AJ46" s="8559" t="n"/>
      <c r="AK46" s="11717" t="n"/>
      <c r="AL46" s="11717" t="n"/>
      <c r="AM46" s="11717" t="n"/>
      <c r="AN46" s="11717" t="n"/>
      <c r="AO46" s="11717" t="n"/>
      <c r="AP46" s="1277" t="n"/>
      <c r="AQ46" s="2875" t="n"/>
      <c r="AR46" s="7642" t="inlineStr">
        <is>
          <t>Overrides</t>
        </is>
      </c>
      <c r="AU46" s="2875" t="n"/>
      <c r="BG46" s="769" t="n"/>
      <c r="BH46" s="658" t="n"/>
      <c r="BI46" s="658" t="n"/>
      <c r="BJ46" s="658" t="n"/>
      <c r="BK46" s="658" t="n"/>
      <c r="BL46" s="658" t="n"/>
      <c r="BM46" s="658" t="n"/>
      <c r="BN46" s="658" t="n"/>
      <c r="BO46" s="658" t="n"/>
      <c r="BP46" s="658" t="n"/>
    </row>
    <row r="47" ht="14.25" customHeight="1" s="7635">
      <c r="A47" s="1277" t="n"/>
      <c r="B47" s="8519" t="n">
        <v>19</v>
      </c>
      <c r="D47" s="2100" t="inlineStr">
        <is>
          <t>Other (list)</t>
        </is>
      </c>
      <c r="E47" s="2126" t="n"/>
      <c r="F47" s="2126" t="n"/>
      <c r="G47" s="2126" t="n"/>
      <c r="H47" s="8560" t="n"/>
      <c r="I47" s="11730" t="n"/>
      <c r="J47" s="11730" t="n"/>
      <c r="K47" s="11730" t="n"/>
      <c r="L47" s="11730" t="n"/>
      <c r="M47" s="11730" t="n"/>
      <c r="N47" s="11730" t="n"/>
      <c r="O47" s="11730" t="n"/>
      <c r="P47" s="11730" t="n"/>
      <c r="Q47" s="11730" t="n"/>
      <c r="R47" s="11730" t="n"/>
      <c r="S47" s="4800" t="n"/>
      <c r="T47" s="6633" t="n">
        <v>19</v>
      </c>
      <c r="U47" s="7638" t="n"/>
      <c r="V47" s="8558" t="n"/>
      <c r="W47" s="11717" t="n"/>
      <c r="X47" s="11717" t="n"/>
      <c r="Y47" s="11717" t="n"/>
      <c r="Z47" s="11717" t="n"/>
      <c r="AA47" s="11717" t="n"/>
      <c r="AB47" s="11717" t="n"/>
      <c r="AC47" s="11718" t="n"/>
      <c r="AD47" s="12115" t="n"/>
      <c r="AE47" s="11717" t="n"/>
      <c r="AF47" s="11717" t="n"/>
      <c r="AG47" s="11717" t="n"/>
      <c r="AH47" s="11717" t="n"/>
      <c r="AI47" s="11718" t="n"/>
      <c r="AJ47" s="8559" t="n"/>
      <c r="AK47" s="11717" t="n"/>
      <c r="AL47" s="11717" t="n"/>
      <c r="AM47" s="11717" t="n"/>
      <c r="AN47" s="11717" t="n"/>
      <c r="AO47" s="11717" t="n"/>
      <c r="AP47" s="1277" t="n"/>
      <c r="AQ47" s="2875" t="n"/>
      <c r="AR47" s="2875" t="n"/>
      <c r="AS47" s="2875" t="n"/>
      <c r="AT47" s="2875" t="n"/>
      <c r="AU47" s="2875" t="n"/>
      <c r="BG47" s="769" t="n"/>
      <c r="BH47" s="658" t="n"/>
      <c r="BI47" s="658" t="n"/>
      <c r="BJ47" s="658" t="n"/>
      <c r="BK47" s="658" t="n"/>
      <c r="BL47" s="658" t="n"/>
      <c r="BM47" s="658" t="n"/>
      <c r="BN47" s="658" t="n"/>
      <c r="BO47" s="658" t="n"/>
      <c r="BP47" s="658" t="n"/>
    </row>
    <row r="48" ht="14.25" customHeight="1" s="7635">
      <c r="A48" s="1277" t="n"/>
      <c r="B48" s="8519" t="n">
        <v>20</v>
      </c>
      <c r="D48" s="2100" t="inlineStr">
        <is>
          <t>Total expenses. Add lines 5 through 19</t>
        </is>
      </c>
      <c r="E48" s="2126" t="n"/>
      <c r="F48" s="2126" t="n"/>
      <c r="G48" s="2126" t="n"/>
      <c r="H48" s="2126" t="n"/>
      <c r="I48" s="2126" t="n"/>
      <c r="J48" s="2126" t="n"/>
      <c r="K48" s="2126" t="n"/>
      <c r="L48" s="2126" t="n"/>
      <c r="M48" s="2126" t="n"/>
      <c r="N48" s="2126" t="n"/>
      <c r="O48" s="2126" t="n"/>
      <c r="P48" s="2126" t="n"/>
      <c r="Q48" s="2126" t="n"/>
      <c r="R48" s="2126" t="n"/>
      <c r="S48" s="2198" t="inlineStr">
        <is>
          <t xml:space="preserve">.   .   .   .   .   .   . </t>
        </is>
      </c>
      <c r="T48" s="6633" t="n">
        <v>20</v>
      </c>
      <c r="U48" s="7638" t="n"/>
      <c r="V48" s="8535">
        <f>IF(AR48&lt;&gt;"",ROUND(AR48,0),ROUND(SUM(V33:AC47),0))</f>
        <v/>
      </c>
      <c r="W48" s="7637" t="n"/>
      <c r="X48" s="7637" t="n"/>
      <c r="Y48" s="7637" t="n"/>
      <c r="Z48" s="7637" t="n"/>
      <c r="AA48" s="7637" t="n"/>
      <c r="AB48" s="7637" t="n"/>
      <c r="AC48" s="7638" t="n"/>
      <c r="AD48" s="12116">
        <f>IF(AS48&lt;&gt;"",ROUND(AS48,0),ROUND(SUM(AD33:AI47),0))</f>
        <v/>
      </c>
      <c r="AE48" s="7637" t="n"/>
      <c r="AF48" s="7637" t="n"/>
      <c r="AG48" s="7637" t="n"/>
      <c r="AH48" s="7637" t="n"/>
      <c r="AI48" s="7638" t="n"/>
      <c r="AJ48" s="8551">
        <f>IF(AT48&lt;&gt;"",ROUND(AT48,0),ROUND(SUM(AJ33:AO47),0))</f>
        <v/>
      </c>
      <c r="AK48" s="8412" t="n"/>
      <c r="AL48" s="8412" t="n"/>
      <c r="AM48" s="8412" t="n"/>
      <c r="AN48" s="8412" t="n"/>
      <c r="AO48" s="8412" t="n"/>
      <c r="AP48" s="1277" t="n"/>
      <c r="AQ48" s="2875" t="n"/>
      <c r="AR48" s="777" t="n"/>
      <c r="AS48" s="777" t="n"/>
      <c r="AT48" s="777" t="n"/>
      <c r="AU48" s="2875" t="n"/>
      <c r="BG48" s="769" t="n"/>
      <c r="BH48" s="658" t="n"/>
      <c r="BI48" s="658" t="n"/>
      <c r="BJ48" s="658" t="n"/>
      <c r="BK48" s="658" t="n"/>
      <c r="BL48" s="658" t="n"/>
      <c r="BM48" s="658" t="n"/>
      <c r="BN48" s="658" t="n"/>
      <c r="BO48" s="658" t="n"/>
      <c r="BP48" s="658" t="n"/>
    </row>
    <row r="49" ht="14.25" customHeight="1" s="7635">
      <c r="A49" s="1277" t="n"/>
      <c r="B49" s="8519" t="n">
        <v>21</v>
      </c>
      <c r="D49" s="2100" t="inlineStr">
        <is>
          <t>Subtract line 20 from line 3 (rents) and/or 4 (royalties).</t>
        </is>
      </c>
      <c r="E49" s="2126" t="n"/>
      <c r="F49" s="2126" t="n"/>
      <c r="G49" s="2126" t="n"/>
      <c r="H49" s="2126" t="n"/>
      <c r="I49" s="2126" t="n"/>
      <c r="J49" s="2126" t="n"/>
      <c r="K49" s="2126" t="n"/>
      <c r="L49" s="2126" t="n"/>
      <c r="M49" s="2126" t="n"/>
      <c r="N49" s="2126" t="n"/>
      <c r="O49" s="2126" t="n"/>
      <c r="P49" s="2126" t="n"/>
      <c r="Q49" s="2126" t="n"/>
      <c r="R49" s="2126" t="n"/>
      <c r="S49" s="4800" t="n"/>
      <c r="T49" s="6643" t="n"/>
      <c r="U49" s="10091" t="n"/>
      <c r="V49" s="12117" t="n"/>
      <c r="W49" s="7839" t="n"/>
      <c r="X49" s="7839" t="n"/>
      <c r="Y49" s="7839" t="n"/>
      <c r="Z49" s="7839" t="n"/>
      <c r="AA49" s="7839" t="n"/>
      <c r="AB49" s="7839" t="n"/>
      <c r="AC49" s="10091" t="n"/>
      <c r="AD49" s="12117" t="n"/>
      <c r="AE49" s="7839" t="n"/>
      <c r="AF49" s="7839" t="n"/>
      <c r="AG49" s="7839" t="n"/>
      <c r="AH49" s="7839" t="n"/>
      <c r="AI49" s="10091" t="n"/>
      <c r="AJ49" s="8554" t="n"/>
      <c r="AK49" s="7839" t="n"/>
      <c r="AL49" s="7839" t="n"/>
      <c r="AM49" s="7839" t="n"/>
      <c r="AN49" s="7839" t="n"/>
      <c r="AO49" s="7839" t="n"/>
      <c r="AP49" s="1277" t="n"/>
      <c r="AQ49" s="2875" t="n"/>
      <c r="AR49" s="2875" t="n"/>
      <c r="AS49" s="2875" t="n"/>
      <c r="AT49" s="2875" t="n"/>
      <c r="AU49" s="2875" t="n"/>
      <c r="AX49" s="8043" t="n"/>
      <c r="AY49" s="12118" t="inlineStr">
        <is>
          <t>A</t>
        </is>
      </c>
      <c r="AZ49" s="11734" t="n"/>
      <c r="BA49" s="12118" t="inlineStr">
        <is>
          <t>B</t>
        </is>
      </c>
      <c r="BB49" s="11734" t="n"/>
      <c r="BC49" s="12118" t="inlineStr">
        <is>
          <t>C</t>
        </is>
      </c>
      <c r="BD49" s="11734" t="n"/>
      <c r="BG49" s="769" t="n"/>
      <c r="BH49" s="658" t="n"/>
      <c r="BI49" s="658" t="n"/>
      <c r="BJ49" s="658" t="n"/>
      <c r="BK49" s="658" t="n"/>
      <c r="BL49" s="658" t="n"/>
      <c r="BM49" s="658" t="n"/>
      <c r="BN49" s="658" t="n"/>
      <c r="BO49" s="658" t="n"/>
      <c r="BP49" s="658" t="n"/>
    </row>
    <row r="50" ht="14.25" customHeight="1" s="7635">
      <c r="A50" s="1277" t="n"/>
      <c r="B50" s="8519" t="n"/>
      <c r="D50" s="2100" t="inlineStr">
        <is>
          <t>If result is a (loss), see instructions to find out if you</t>
        </is>
      </c>
      <c r="E50" s="2126" t="n"/>
      <c r="F50" s="2126" t="n"/>
      <c r="G50" s="2126" t="n"/>
      <c r="H50" s="2126" t="n"/>
      <c r="I50" s="2126" t="n"/>
      <c r="J50" s="2126" t="n"/>
      <c r="K50" s="2126" t="n"/>
      <c r="L50" s="2126" t="n"/>
      <c r="M50" s="2126" t="n"/>
      <c r="N50" s="2126" t="n"/>
      <c r="O50" s="2126" t="n"/>
      <c r="P50" s="2126" t="n"/>
      <c r="Q50" s="2126" t="n"/>
      <c r="R50" s="2126" t="n"/>
      <c r="S50" s="4800" t="n"/>
      <c r="T50" s="6656" t="n"/>
      <c r="U50" s="7636" t="n"/>
      <c r="V50" s="12119" t="n"/>
      <c r="AC50" s="7636" t="n"/>
      <c r="AD50" s="12119" t="n"/>
      <c r="AI50" s="7636" t="n"/>
      <c r="AJ50" s="8548" t="n"/>
      <c r="AP50" s="1277" t="n"/>
      <c r="AQ50" s="2875" t="n"/>
      <c r="AR50" s="2875" t="n"/>
      <c r="AS50" s="2875" t="n"/>
      <c r="AT50" s="2875" t="n"/>
      <c r="AU50" s="2875" t="n"/>
      <c r="AX50" s="8043" t="n"/>
      <c r="AY50" s="250" t="inlineStr">
        <is>
          <t>Gains</t>
        </is>
      </c>
      <c r="AZ50" s="250" t="inlineStr">
        <is>
          <t>Losses</t>
        </is>
      </c>
      <c r="BA50" s="250" t="inlineStr">
        <is>
          <t>Gains</t>
        </is>
      </c>
      <c r="BB50" s="250" t="inlineStr">
        <is>
          <t>Losses</t>
        </is>
      </c>
      <c r="BC50" s="250" t="inlineStr">
        <is>
          <t>Gains</t>
        </is>
      </c>
      <c r="BD50" s="250" t="inlineStr">
        <is>
          <t>Losses</t>
        </is>
      </c>
      <c r="BG50" s="769" t="n"/>
      <c r="BH50" s="658" t="n"/>
      <c r="BI50" s="658" t="n"/>
      <c r="BJ50" s="658" t="n"/>
      <c r="BK50" s="658" t="n"/>
      <c r="BL50" s="658" t="n"/>
      <c r="BM50" s="658" t="n"/>
      <c r="BN50" s="658" t="n"/>
      <c r="BO50" s="658" t="n"/>
      <c r="BP50" s="658" t="n"/>
    </row>
    <row r="51" ht="14.25" customHeight="1" s="7635">
      <c r="A51" s="1277" t="n"/>
      <c r="B51" s="8519" t="n"/>
      <c r="D51" s="2100" t="inlineStr">
        <is>
          <t>must file Form 6198</t>
        </is>
      </c>
      <c r="E51" s="2126" t="n"/>
      <c r="F51" s="2126" t="n"/>
      <c r="G51" s="2126" t="n"/>
      <c r="H51" s="2126" t="n"/>
      <c r="I51" s="2126" t="n"/>
      <c r="J51" s="2126" t="n"/>
      <c r="K51" s="2126" t="n"/>
      <c r="L51" s="2126" t="n"/>
      <c r="M51" s="2126" t="n"/>
      <c r="N51" s="2126" t="n"/>
      <c r="O51" s="2126" t="n"/>
      <c r="P51" s="2126" t="n"/>
      <c r="Q51" s="2126" t="n"/>
      <c r="R51" s="2126" t="n"/>
      <c r="S51" s="2198" t="inlineStr">
        <is>
          <t xml:space="preserve">.   .   .   .   .   .   .   .   .   .   .   .   .   .   . </t>
        </is>
      </c>
      <c r="T51" s="6633" t="n">
        <v>21</v>
      </c>
      <c r="U51" s="7638" t="n"/>
      <c r="V51" s="12116">
        <f>IF(AR51&lt;&gt;"",ROUND(AR51,0),ROUND(SUM(V30,V31,-V48),0))</f>
        <v/>
      </c>
      <c r="W51" s="7637" t="n"/>
      <c r="X51" s="7637" t="n"/>
      <c r="Y51" s="7637" t="n"/>
      <c r="Z51" s="7637" t="n"/>
      <c r="AA51" s="7637" t="n"/>
      <c r="AB51" s="7637" t="n"/>
      <c r="AC51" s="7638" t="n"/>
      <c r="AD51" s="12116">
        <f>IF(AS51&lt;&gt;"",ROUND(AS51,0),ROUND(SUM(AD30,AD31,-AD48),0))</f>
        <v/>
      </c>
      <c r="AE51" s="7637" t="n"/>
      <c r="AF51" s="7637" t="n"/>
      <c r="AG51" s="7637" t="n"/>
      <c r="AH51" s="7637" t="n"/>
      <c r="AI51" s="7638" t="n"/>
      <c r="AJ51" s="8533">
        <f>IF(AT51&lt;&gt;"",ROUND(AT51,0),ROUND(SUM(AJ30,AJ31,-AJ48),0))</f>
        <v/>
      </c>
      <c r="AK51" s="7637" t="n"/>
      <c r="AL51" s="7637" t="n"/>
      <c r="AM51" s="7637" t="n"/>
      <c r="AN51" s="7637" t="n"/>
      <c r="AO51" s="7637" t="n"/>
      <c r="AP51" s="1277" t="n"/>
      <c r="AQ51" s="2875" t="n"/>
      <c r="AR51" s="777" t="n"/>
      <c r="AS51" s="777" t="n"/>
      <c r="AT51" s="777" t="n"/>
      <c r="AU51" s="2875" t="n"/>
      <c r="AX51" s="251" t="inlineStr">
        <is>
          <t>Line 21</t>
        </is>
      </c>
      <c r="AY51" s="249">
        <f>IF(V51&gt;0,V51,0)</f>
        <v/>
      </c>
      <c r="AZ51" s="249">
        <f>IF(V51&lt;0,V51,0)</f>
        <v/>
      </c>
      <c r="BA51" s="249">
        <f>IF(AD51&gt;0,AD51,0)</f>
        <v/>
      </c>
      <c r="BB51" s="249">
        <f>IF(AD51&lt;0,AD51,0)</f>
        <v/>
      </c>
      <c r="BC51" s="249">
        <f>IF(AJ51&gt;0,AJ51,0)</f>
        <v/>
      </c>
      <c r="BD51" s="249">
        <f>IF(AJ51&lt;0,AJ51,0)</f>
        <v/>
      </c>
      <c r="BG51" s="769" t="n"/>
      <c r="BH51" s="658" t="n"/>
      <c r="BI51" s="658" t="n"/>
      <c r="BJ51" s="658" t="n"/>
      <c r="BK51" s="658" t="n"/>
      <c r="BL51" s="658" t="n"/>
      <c r="BM51" s="658" t="n"/>
      <c r="BN51" s="658" t="n"/>
      <c r="BO51" s="658" t="n"/>
      <c r="BP51" s="658" t="n"/>
    </row>
    <row r="52" ht="14.25" customHeight="1" s="7635">
      <c r="A52" s="770" t="n"/>
      <c r="B52" s="8519" t="n">
        <v>22</v>
      </c>
      <c r="D52" s="2100" t="inlineStr">
        <is>
          <t>Deductible rental real estate loss after limitation, if any,</t>
        </is>
      </c>
      <c r="E52" s="2126" t="n"/>
      <c r="F52" s="2126" t="n"/>
      <c r="G52" s="2126" t="n"/>
      <c r="H52" s="2126" t="n"/>
      <c r="I52" s="2126" t="n"/>
      <c r="J52" s="2126" t="n"/>
      <c r="K52" s="2126" t="n"/>
      <c r="L52" s="2126" t="n"/>
      <c r="M52" s="2126" t="n"/>
      <c r="N52" s="2126" t="n"/>
      <c r="O52" s="2126" t="n"/>
      <c r="P52" s="2126" t="n"/>
      <c r="Q52" s="2126" t="n"/>
      <c r="R52" s="2126" t="n"/>
      <c r="S52" s="4800" t="n"/>
      <c r="T52" s="6656" t="n"/>
      <c r="U52" s="7636" t="n"/>
      <c r="V52" s="12120">
        <f>IF(AND(V51&lt;&gt;"",V51&lt;0,$A52="",$AS52,$AT52),"See Form 8582.","")</f>
        <v/>
      </c>
      <c r="AC52" s="7636" t="n"/>
      <c r="AD52" s="8542">
        <f>IF(AND(AD51&lt;&gt;"",AD51&lt;0,$A52="",$AS52,$AT52),"See Form 8582.","")</f>
        <v/>
      </c>
      <c r="AJ52" s="8542">
        <f>IF(AND(AJ51&lt;&gt;"",AJ51&lt;0,$A52="",$AS52,$AT52),"See Form 8582.","")</f>
        <v/>
      </c>
      <c r="AP52" s="1277" t="n"/>
      <c r="AQ52" s="2875" t="n"/>
      <c r="AR52" s="6549">
        <f>'8582'!$AO$33</f>
        <v/>
      </c>
      <c r="AS52" s="6549">
        <f>OR(AND(File_Marr_Sep&lt;&gt;"",LivedApart,Adj_Gross_Inc&gt;AR52/2),Adj_Gross_Inc&gt;AR52)</f>
        <v/>
      </c>
      <c r="AT52" s="6549">
        <f>OR(AND(V51&lt;&gt;"",V51&lt;0),AND(AD51&lt;&gt;"",AD51&lt;0),AND(AJ51&lt;&gt;"",AJ51&lt;0))</f>
        <v/>
      </c>
      <c r="AU52" s="2875" t="n"/>
      <c r="AV52">
        <f>AND($A52="",$AS52,$AT52)</f>
        <v/>
      </c>
      <c r="AX52" s="251" t="inlineStr">
        <is>
          <t>Line 22</t>
        </is>
      </c>
      <c r="AY52" s="4810" t="inlineStr">
        <is>
          <t>---</t>
        </is>
      </c>
      <c r="AZ52" s="249">
        <f>IF(W53&lt;&gt;"",-W53,0)</f>
        <v/>
      </c>
      <c r="BA52" s="4810" t="inlineStr">
        <is>
          <t>---</t>
        </is>
      </c>
      <c r="BB52" s="249">
        <f>IF(AE53&lt;&gt;"",-AE53,0)</f>
        <v/>
      </c>
      <c r="BC52" s="4810" t="inlineStr">
        <is>
          <t>---</t>
        </is>
      </c>
      <c r="BD52" s="249">
        <f>IF(AK53&lt;&gt;"",-AK53,0)</f>
        <v/>
      </c>
      <c r="BG52" s="769" t="n"/>
      <c r="BH52" s="658" t="n"/>
      <c r="BI52" s="658" t="n"/>
      <c r="BJ52" s="658" t="n"/>
      <c r="BK52" s="658" t="n"/>
      <c r="BL52" s="658" t="n"/>
      <c r="BM52" s="658" t="n"/>
      <c r="BN52" s="658" t="n"/>
      <c r="BO52" s="658" t="n"/>
      <c r="BP52" s="658" t="n"/>
    </row>
    <row r="53" ht="14.25" customHeight="1" s="7635">
      <c r="A53" s="1277" t="n"/>
      <c r="B53" s="8519" t="n"/>
      <c r="D53" s="2100" t="inlineStr">
        <is>
          <t>on Form 8582 (see instructions)</t>
        </is>
      </c>
      <c r="E53" s="2126" t="n"/>
      <c r="F53" s="2126" t="n"/>
      <c r="G53" s="2126" t="n"/>
      <c r="H53" s="2126" t="n"/>
      <c r="I53" s="2126" t="n"/>
      <c r="J53" s="2126" t="n"/>
      <c r="K53" s="2126" t="n"/>
      <c r="L53" s="2126" t="n"/>
      <c r="M53" s="2126" t="n"/>
      <c r="N53" s="2126" t="n"/>
      <c r="O53" s="2126" t="n"/>
      <c r="P53" s="2126" t="n"/>
      <c r="Q53" s="2126" t="n"/>
      <c r="R53" s="2126" t="n"/>
      <c r="S53" s="2198" t="inlineStr">
        <is>
          <t xml:space="preserve">.   .   .   .   .   .   .   .   . </t>
        </is>
      </c>
      <c r="T53" s="6633" t="n">
        <v>22</v>
      </c>
      <c r="U53" s="7638" t="n"/>
      <c r="V53" s="4811" t="inlineStr">
        <is>
          <t>(</t>
        </is>
      </c>
      <c r="W53" s="8534">
        <f>IF(AND(AR53&lt;0,AR53&lt;&gt;""),-ROUND(AR53,0),IF(AND(AR53&gt;=0,AR53&lt;&gt;""),ROUND(AR53,0),IF(AND(D21&lt;&gt;6,V51&lt;0),ROUND(-V51,0),"")))</f>
        <v/>
      </c>
      <c r="X53" s="7637" t="n"/>
      <c r="Y53" s="7637" t="n"/>
      <c r="Z53" s="7637" t="n"/>
      <c r="AA53" s="7637" t="n"/>
      <c r="AB53" s="7637" t="n"/>
      <c r="AC53" s="8535" t="inlineStr">
        <is>
          <t>)</t>
        </is>
      </c>
      <c r="AD53" s="4811" t="inlineStr">
        <is>
          <t>(</t>
        </is>
      </c>
      <c r="AE53" s="8534">
        <f>IF(AND(AS53&lt;0,AS53&lt;&gt;""),-ROUND(AS53,0),IF(AND(AS53&gt;=0,AS53&lt;&gt;""),ROUND(AS53,0),IF(AND(D22&lt;&gt;6,AD51&lt;0),ROUND(-AD51,0),"")))</f>
        <v/>
      </c>
      <c r="AF53" s="7637" t="n"/>
      <c r="AG53" s="7637" t="n"/>
      <c r="AH53" s="7637" t="n"/>
      <c r="AI53" s="8535" t="inlineStr">
        <is>
          <t>)</t>
        </is>
      </c>
      <c r="AJ53" s="4811" t="inlineStr">
        <is>
          <t>(</t>
        </is>
      </c>
      <c r="AK53" s="8534">
        <f>IF(AND(AT53&lt;0,AT53&lt;&gt;""),-ROUND(AT53,0),IF(AND(AT53&gt;=0,AT53&lt;&gt;""),ROUND(AT53,0),IF(AND(D23&lt;&gt;6,AJ51&lt;0),ROUND(-AJ51,0),"")))</f>
        <v/>
      </c>
      <c r="AL53" s="7637" t="n"/>
      <c r="AM53" s="7637" t="n"/>
      <c r="AN53" s="7637" t="n"/>
      <c r="AO53" s="8534" t="inlineStr">
        <is>
          <t>)</t>
        </is>
      </c>
      <c r="AP53" s="1277" t="n"/>
      <c r="AQ53" s="2875" t="n"/>
      <c r="AR53" s="777" t="n"/>
      <c r="AS53" s="777" t="n"/>
      <c r="AT53" s="777" t="n"/>
      <c r="AU53" s="2875" t="n"/>
      <c r="AV53">
        <f>AND($A52="",$AS52,$AT52)</f>
        <v/>
      </c>
      <c r="AX53" s="251" t="n"/>
      <c r="AY53" s="251" t="inlineStr">
        <is>
          <t>Royalty losses</t>
        </is>
      </c>
      <c r="AZ53" s="249">
        <f>IF(D21=6,AZ51,0)</f>
        <v/>
      </c>
      <c r="BB53" s="249">
        <f>IF(D22=6,BB51,0)</f>
        <v/>
      </c>
      <c r="BD53" s="249">
        <f>IF(D23=6,BD51,0)</f>
        <v/>
      </c>
      <c r="BG53" s="769" t="n"/>
      <c r="BH53" s="658" t="n"/>
      <c r="BI53" s="658" t="n"/>
      <c r="BJ53" s="658" t="n"/>
      <c r="BK53" s="658" t="n"/>
      <c r="BL53" s="658" t="n"/>
      <c r="BM53" s="658" t="n"/>
      <c r="BN53" s="658" t="n"/>
      <c r="BO53" s="658" t="n"/>
      <c r="BP53" s="658" t="n"/>
    </row>
    <row r="54" ht="14.25" customHeight="1" s="7635">
      <c r="A54" s="1277" t="n"/>
      <c r="B54" s="8519" t="inlineStr">
        <is>
          <t>23a</t>
        </is>
      </c>
      <c r="D54" s="2100" t="inlineStr">
        <is>
          <t>Total of all amounts reported on line 3 for all rental properties</t>
        </is>
      </c>
      <c r="E54" s="2126" t="n"/>
      <c r="F54" s="2126" t="n"/>
      <c r="G54" s="2126" t="n"/>
      <c r="H54" s="2126" t="n"/>
      <c r="I54" s="2126" t="n"/>
      <c r="J54" s="2126" t="n"/>
      <c r="K54" s="2126" t="n"/>
      <c r="L54" s="2126" t="n"/>
      <c r="M54" s="2126" t="n"/>
      <c r="N54" s="2126" t="n"/>
      <c r="O54" s="2126" t="n"/>
      <c r="P54" s="2126" t="n"/>
      <c r="Q54" s="2126" t="n"/>
      <c r="R54" s="2126" t="n"/>
      <c r="S54" s="2126" t="n"/>
      <c r="T54" s="2126" t="n"/>
      <c r="U54" s="2126" t="n"/>
      <c r="V54" s="2126" t="n"/>
      <c r="W54" s="2126" t="n"/>
      <c r="X54" s="2126" t="n"/>
      <c r="Y54" s="2126" t="n"/>
      <c r="Z54" s="2126" t="n"/>
      <c r="AA54" s="2198" t="inlineStr">
        <is>
          <t xml:space="preserve">.   .   .   .   .   .   .   . </t>
        </is>
      </c>
      <c r="AB54" s="6634" t="inlineStr">
        <is>
          <t>23a</t>
        </is>
      </c>
      <c r="AC54" s="11734" t="n"/>
      <c r="AD54" s="12116">
        <f>IF(AR54&lt;&gt;"",ROUND(AR54,0),ROUND(BC24,0))</f>
        <v/>
      </c>
      <c r="AE54" s="7637" t="n"/>
      <c r="AF54" s="7637" t="n"/>
      <c r="AG54" s="7637" t="n"/>
      <c r="AH54" s="7637" t="n"/>
      <c r="AI54" s="7638" t="n"/>
      <c r="AJ54" s="1277" t="n"/>
      <c r="AK54" s="1277" t="n"/>
      <c r="AL54" s="1277" t="n"/>
      <c r="AM54" s="1277" t="n"/>
      <c r="AN54" s="1277" t="n"/>
      <c r="AO54" s="1277" t="n"/>
      <c r="AP54" s="1277" t="n"/>
      <c r="AQ54" s="2875" t="n"/>
      <c r="AR54" s="777" t="n"/>
      <c r="AS54" s="2875" t="n"/>
      <c r="AT54" s="2875" t="n"/>
      <c r="AU54" s="2875" t="n"/>
      <c r="AX54" s="8043" t="n"/>
      <c r="AY54" s="251" t="inlineStr">
        <is>
          <t>Rental Real Estate Losses</t>
        </is>
      </c>
      <c r="AZ54" s="249">
        <f>IF(D21&lt;&gt;6,AZ51,0)</f>
        <v/>
      </c>
      <c r="BB54" s="249">
        <f>IF(D22&lt;&gt;6,BB51,0)</f>
        <v/>
      </c>
      <c r="BD54" s="249">
        <f>IF(D23&lt;&gt;6,BD51,0)</f>
        <v/>
      </c>
      <c r="BG54" s="769" t="n"/>
      <c r="BH54" s="658" t="n"/>
      <c r="BI54" s="658" t="n"/>
      <c r="BJ54" s="658" t="n"/>
      <c r="BK54" s="658" t="n"/>
      <c r="BL54" s="658" t="n"/>
      <c r="BM54" s="658" t="n"/>
      <c r="BN54" s="658" t="n"/>
      <c r="BO54" s="658" t="n"/>
      <c r="BP54" s="658" t="n"/>
    </row>
    <row r="55" ht="14.25" customHeight="1" s="7635">
      <c r="A55" s="1277" t="n"/>
      <c r="B55" s="8531" t="inlineStr">
        <is>
          <t>b</t>
        </is>
      </c>
      <c r="D55" s="2100" t="inlineStr">
        <is>
          <t>Total of all amounts reported on line 4 for all royalty properties</t>
        </is>
      </c>
      <c r="E55" s="2126" t="n"/>
      <c r="F55" s="2126" t="n"/>
      <c r="G55" s="2126" t="n"/>
      <c r="H55" s="2126" t="n"/>
      <c r="I55" s="2126" t="n"/>
      <c r="J55" s="2126" t="n"/>
      <c r="K55" s="2126" t="n"/>
      <c r="L55" s="2126" t="n"/>
      <c r="M55" s="2126" t="n"/>
      <c r="N55" s="2126" t="n"/>
      <c r="O55" s="2126" t="n"/>
      <c r="P55" s="2126" t="n"/>
      <c r="Q55" s="2126" t="n"/>
      <c r="R55" s="2126" t="n"/>
      <c r="S55" s="2126" t="n"/>
      <c r="T55" s="2126" t="n"/>
      <c r="U55" s="2126" t="n"/>
      <c r="V55" s="2126" t="n"/>
      <c r="W55" s="2126" t="n"/>
      <c r="X55" s="2126" t="n"/>
      <c r="Y55" s="2126" t="n"/>
      <c r="Z55" s="2126" t="n"/>
      <c r="AA55" s="2198" t="inlineStr">
        <is>
          <t xml:space="preserve">.   .   .   .   .   .   . </t>
        </is>
      </c>
      <c r="AB55" s="6634" t="inlineStr">
        <is>
          <t>23b</t>
        </is>
      </c>
      <c r="AC55" s="11734" t="n"/>
      <c r="AD55" s="12116">
        <f>IF(AR55&lt;&gt;"",ROUND(AR55,0),ROUND(BC25,0))</f>
        <v/>
      </c>
      <c r="AE55" s="7637" t="n"/>
      <c r="AF55" s="7637" t="n"/>
      <c r="AG55" s="7637" t="n"/>
      <c r="AH55" s="7637" t="n"/>
      <c r="AI55" s="7638" t="n"/>
      <c r="AJ55" s="1277" t="n"/>
      <c r="AK55" s="1277" t="n"/>
      <c r="AL55" s="1277" t="n"/>
      <c r="AM55" s="1277" t="n"/>
      <c r="AN55" s="1277" t="n"/>
      <c r="AO55" s="1277" t="n"/>
      <c r="AP55" s="1277" t="n"/>
      <c r="AQ55" s="2875" t="n"/>
      <c r="AR55" s="777" t="n"/>
      <c r="AS55" s="2875" t="n"/>
      <c r="AT55" s="2875" t="n"/>
      <c r="AU55" s="2875" t="n"/>
      <c r="BG55" s="769" t="n"/>
      <c r="BH55" s="658" t="n"/>
      <c r="BI55" s="658" t="n"/>
      <c r="BJ55" s="658" t="n"/>
      <c r="BK55" s="658" t="n"/>
      <c r="BL55" s="658" t="n"/>
      <c r="BM55" s="658" t="n"/>
      <c r="BN55" s="658" t="n"/>
      <c r="BO55" s="658" t="n"/>
      <c r="BP55" s="658" t="n"/>
    </row>
    <row r="56" ht="14.25" customHeight="1" s="7635">
      <c r="A56" s="1277" t="n"/>
      <c r="B56" s="8531" t="inlineStr">
        <is>
          <t>c</t>
        </is>
      </c>
      <c r="D56" s="2100" t="inlineStr">
        <is>
          <t>Total of all amounts reported on line 12 for all properties</t>
        </is>
      </c>
      <c r="E56" s="2126" t="n"/>
      <c r="F56" s="2126" t="n"/>
      <c r="G56" s="2126" t="n"/>
      <c r="H56" s="2126" t="n"/>
      <c r="I56" s="2126" t="n"/>
      <c r="J56" s="2126" t="n"/>
      <c r="K56" s="2126" t="n"/>
      <c r="L56" s="2126" t="n"/>
      <c r="M56" s="2126" t="n"/>
      <c r="N56" s="2126" t="n"/>
      <c r="O56" s="2126" t="n"/>
      <c r="P56" s="2126" t="n"/>
      <c r="Q56" s="2126" t="n"/>
      <c r="R56" s="2126" t="n"/>
      <c r="S56" s="2126" t="n"/>
      <c r="T56" s="2126" t="n"/>
      <c r="U56" s="2126" t="n"/>
      <c r="V56" s="2126" t="n"/>
      <c r="W56" s="2126" t="n"/>
      <c r="X56" s="2126" t="n"/>
      <c r="Y56" s="2126" t="n"/>
      <c r="Z56" s="2126" t="n"/>
      <c r="AA56" s="2198" t="inlineStr">
        <is>
          <t xml:space="preserve">.   .   .   .   .   .   .   .   .   . </t>
        </is>
      </c>
      <c r="AB56" s="6634" t="inlineStr">
        <is>
          <t>23c</t>
        </is>
      </c>
      <c r="AC56" s="11734" t="n"/>
      <c r="AD56" s="12116">
        <f>IF(AR56&lt;&gt;"",ROUND(AR56,0),ROUND(SUM(V40,AD40,AJ40),0))</f>
        <v/>
      </c>
      <c r="AE56" s="7637" t="n"/>
      <c r="AF56" s="7637" t="n"/>
      <c r="AG56" s="7637" t="n"/>
      <c r="AH56" s="7637" t="n"/>
      <c r="AI56" s="7638" t="n"/>
      <c r="AJ56" s="1277" t="n"/>
      <c r="AK56" s="1277" t="n"/>
      <c r="AL56" s="1277" t="n"/>
      <c r="AM56" s="1277" t="n"/>
      <c r="AN56" s="1277" t="n"/>
      <c r="AO56" s="1277" t="n"/>
      <c r="AP56" s="1277" t="n"/>
      <c r="AQ56" s="2875" t="n"/>
      <c r="AR56" s="777" t="n"/>
      <c r="AS56" s="2875" t="n"/>
      <c r="AT56" s="2875" t="n"/>
      <c r="AU56" s="2875" t="n"/>
      <c r="BG56" s="769" t="n"/>
      <c r="BH56" s="658" t="n"/>
      <c r="BI56" s="658" t="n"/>
      <c r="BJ56" s="658" t="n"/>
      <c r="BK56" s="658" t="n"/>
      <c r="BL56" s="658" t="n"/>
      <c r="BM56" s="658" t="n"/>
      <c r="BN56" s="658" t="n"/>
      <c r="BO56" s="658" t="n"/>
      <c r="BP56" s="658" t="n"/>
    </row>
    <row r="57" ht="14.25" customHeight="1" s="7635">
      <c r="A57" s="1277" t="n"/>
      <c r="B57" s="8531" t="inlineStr">
        <is>
          <t>d</t>
        </is>
      </c>
      <c r="D57" s="2100" t="inlineStr">
        <is>
          <t>Total of all amounts reported on line 18 for all properties</t>
        </is>
      </c>
      <c r="E57" s="2126" t="n"/>
      <c r="F57" s="2126" t="n"/>
      <c r="G57" s="2126" t="n"/>
      <c r="H57" s="2126" t="n"/>
      <c r="I57" s="2126" t="n"/>
      <c r="J57" s="2126" t="n"/>
      <c r="K57" s="2126" t="n"/>
      <c r="L57" s="2126" t="n"/>
      <c r="M57" s="2126" t="n"/>
      <c r="N57" s="2126" t="n"/>
      <c r="O57" s="2126" t="n"/>
      <c r="P57" s="2126" t="n"/>
      <c r="Q57" s="2126" t="n"/>
      <c r="R57" s="2126" t="n"/>
      <c r="S57" s="2126" t="n"/>
      <c r="T57" s="2126" t="n"/>
      <c r="U57" s="2126" t="n"/>
      <c r="V57" s="2126" t="n"/>
      <c r="W57" s="2126" t="n"/>
      <c r="X57" s="2126" t="n"/>
      <c r="Y57" s="2126" t="n"/>
      <c r="Z57" s="2126" t="n"/>
      <c r="AA57" s="2198" t="inlineStr">
        <is>
          <t xml:space="preserve">.   .   .   .   .   .   .   .   .   . </t>
        </is>
      </c>
      <c r="AB57" s="6634" t="inlineStr">
        <is>
          <t>23d</t>
        </is>
      </c>
      <c r="AC57" s="11734" t="n"/>
      <c r="AD57" s="12116">
        <f>IF(AR57&lt;&gt;"",ROUND(AR57,0),ROUND(SUM(V46,AD46,AJ46),0))</f>
        <v/>
      </c>
      <c r="AE57" s="7637" t="n"/>
      <c r="AF57" s="7637" t="n"/>
      <c r="AG57" s="7637" t="n"/>
      <c r="AH57" s="7637" t="n"/>
      <c r="AI57" s="7638" t="n"/>
      <c r="AJ57" s="1277" t="n"/>
      <c r="AK57" s="1277" t="n"/>
      <c r="AL57" s="1277" t="n"/>
      <c r="AM57" s="1277" t="n"/>
      <c r="AN57" s="1277" t="n"/>
      <c r="AO57" s="1277" t="n"/>
      <c r="AP57" s="1277" t="n"/>
      <c r="AQ57" s="2875" t="n"/>
      <c r="AR57" s="777" t="n"/>
      <c r="AS57" s="2875" t="n"/>
      <c r="AT57" s="2875" t="n"/>
      <c r="AU57" s="2875" t="n"/>
      <c r="BG57" s="769" t="n"/>
      <c r="BH57" s="658" t="n"/>
      <c r="BI57" s="658" t="n"/>
      <c r="BJ57" s="658" t="n"/>
      <c r="BK57" s="658" t="n"/>
      <c r="BL57" s="658" t="n"/>
      <c r="BM57" s="658" t="n"/>
      <c r="BN57" s="658" t="n"/>
      <c r="BO57" s="658" t="n"/>
      <c r="BP57" s="658" t="n"/>
    </row>
    <row r="58" ht="14.25" customHeight="1" s="7635">
      <c r="A58" s="1277" t="n"/>
      <c r="B58" s="8531" t="inlineStr">
        <is>
          <t>e</t>
        </is>
      </c>
      <c r="D58" s="2100" t="inlineStr">
        <is>
          <t>Total of all amounts reported on line 20 for all properties</t>
        </is>
      </c>
      <c r="E58" s="2126" t="n"/>
      <c r="F58" s="2126" t="n"/>
      <c r="G58" s="2126" t="n"/>
      <c r="H58" s="2126" t="n"/>
      <c r="I58" s="2126" t="n"/>
      <c r="J58" s="2126" t="n"/>
      <c r="K58" s="2126" t="n"/>
      <c r="L58" s="2126" t="n"/>
      <c r="M58" s="2126" t="n"/>
      <c r="N58" s="2126" t="n"/>
      <c r="O58" s="2126" t="n"/>
      <c r="P58" s="2126" t="n"/>
      <c r="Q58" s="2126" t="n"/>
      <c r="R58" s="2126" t="n"/>
      <c r="S58" s="2126" t="n"/>
      <c r="T58" s="2126" t="n"/>
      <c r="U58" s="2126" t="n"/>
      <c r="V58" s="2126" t="n"/>
      <c r="W58" s="2126" t="n"/>
      <c r="X58" s="2126" t="n"/>
      <c r="Y58" s="2126" t="n"/>
      <c r="Z58" s="2126" t="n"/>
      <c r="AA58" s="2198" t="inlineStr">
        <is>
          <t xml:space="preserve">.   .   .   .   .   .   .   .   .   . </t>
        </is>
      </c>
      <c r="AB58" s="6634" t="inlineStr">
        <is>
          <t>23e</t>
        </is>
      </c>
      <c r="AC58" s="11734" t="n"/>
      <c r="AD58" s="12116">
        <f>IF(AR58&lt;&gt;"",ROUND(AR58,0),ROUND(SUM(V48,AD48,AJ48),0))</f>
        <v/>
      </c>
      <c r="AE58" s="7637" t="n"/>
      <c r="AF58" s="7637" t="n"/>
      <c r="AG58" s="7637" t="n"/>
      <c r="AH58" s="7637" t="n"/>
      <c r="AI58" s="7638" t="n"/>
      <c r="AJ58" s="1277" t="n"/>
      <c r="AK58" s="1277" t="n"/>
      <c r="AL58" s="1277" t="n"/>
      <c r="AM58" s="1277" t="n"/>
      <c r="AN58" s="1277" t="n"/>
      <c r="AO58" s="1277" t="n"/>
      <c r="AP58" s="1277" t="n"/>
      <c r="AQ58" s="2875" t="n"/>
      <c r="AR58" s="777" t="n"/>
      <c r="AS58" s="2875" t="n"/>
      <c r="AT58" s="2875" t="n"/>
      <c r="AU58" s="2875" t="n"/>
      <c r="BG58" s="769" t="n"/>
      <c r="BH58" s="658" t="n"/>
      <c r="BI58" s="658" t="n"/>
      <c r="BJ58" s="658" t="n"/>
      <c r="BK58" s="658" t="n"/>
      <c r="BL58" s="658" t="n"/>
      <c r="BM58" s="658" t="n"/>
      <c r="BN58" s="658" t="n"/>
      <c r="BO58" s="658" t="n"/>
      <c r="BP58" s="658" t="n"/>
    </row>
    <row r="59" ht="14.25" customHeight="1" s="7635">
      <c r="A59" s="1277" t="n"/>
      <c r="B59" s="8519" t="n">
        <v>24</v>
      </c>
      <c r="D59" s="2100" t="inlineStr">
        <is>
          <t>Income. Add positive amounts shown on line 21. Do not include any losses</t>
        </is>
      </c>
      <c r="E59" s="2126" t="n"/>
      <c r="F59" s="2126" t="n"/>
      <c r="G59" s="2126" t="n"/>
      <c r="H59" s="2126" t="n"/>
      <c r="I59" s="2126" t="n"/>
      <c r="J59" s="2126" t="n"/>
      <c r="K59" s="2126" t="n"/>
      <c r="L59" s="2126" t="n"/>
      <c r="M59" s="2126" t="n"/>
      <c r="N59" s="2126" t="n"/>
      <c r="O59" s="2126" t="n"/>
      <c r="P59" s="2126" t="n"/>
      <c r="Q59" s="2126" t="n"/>
      <c r="R59" s="2126" t="n"/>
      <c r="S59" s="2126" t="n"/>
      <c r="T59" s="2126" t="n"/>
      <c r="U59" s="2126" t="n"/>
      <c r="V59" s="2126" t="n"/>
      <c r="W59" s="2126" t="n"/>
      <c r="X59" s="2126" t="n"/>
      <c r="Y59" s="2126" t="n"/>
      <c r="Z59" s="2126" t="n"/>
      <c r="AA59" s="2126" t="n"/>
      <c r="AB59" s="2126" t="n"/>
      <c r="AC59" s="2126" t="n"/>
      <c r="AD59" s="2126" t="n"/>
      <c r="AE59" s="2126" t="n"/>
      <c r="AF59" s="2126" t="n"/>
      <c r="AG59" s="2198" t="inlineStr">
        <is>
          <t xml:space="preserve">.   .   .   .   .   .   .   .   .   .   . </t>
        </is>
      </c>
      <c r="AH59" s="6633" t="n">
        <v>24</v>
      </c>
      <c r="AI59" s="7638" t="n"/>
      <c r="AJ59" s="8538">
        <f>IF(AR59&lt;&gt;"",ROUND(AR59,0),ROUND(SUM(AY51,BA51,BC51),0))</f>
        <v/>
      </c>
      <c r="AK59" s="8412" t="n"/>
      <c r="AL59" s="8412" t="n"/>
      <c r="AM59" s="8412" t="n"/>
      <c r="AN59" s="8412" t="n"/>
      <c r="AO59" s="8412" t="n"/>
      <c r="AP59" s="1277" t="n"/>
      <c r="AQ59" s="2875" t="n"/>
      <c r="AR59" s="777" t="n"/>
      <c r="AS59" s="2875" t="n"/>
      <c r="AT59" s="2875" t="n"/>
      <c r="AU59" s="2875" t="n"/>
      <c r="BG59" s="769" t="n"/>
      <c r="BH59" s="658" t="n"/>
      <c r="BI59" s="658" t="n"/>
      <c r="BJ59" s="658" t="n"/>
      <c r="BK59" s="658" t="n"/>
      <c r="BL59" s="658" t="n"/>
      <c r="BM59" s="658" t="n"/>
      <c r="BN59" s="658" t="n"/>
      <c r="BO59" s="658" t="n"/>
      <c r="BP59" s="658" t="n"/>
    </row>
    <row r="60" ht="14.25" customHeight="1" s="7635">
      <c r="A60" s="1277" t="n"/>
      <c r="B60" s="8519" t="n">
        <v>25</v>
      </c>
      <c r="D60" s="4812" t="inlineStr">
        <is>
          <t>Losses. Add royalty losses from line 21 and rental real estate losses from line 22. Enter total losses here</t>
        </is>
      </c>
      <c r="E60" s="2126" t="n"/>
      <c r="F60" s="2126" t="n"/>
      <c r="G60" s="2126" t="n"/>
      <c r="H60" s="2126" t="n"/>
      <c r="I60" s="2126" t="n"/>
      <c r="J60" s="2126" t="n"/>
      <c r="K60" s="2126" t="n"/>
      <c r="L60" s="2126" t="n"/>
      <c r="M60" s="2126" t="n"/>
      <c r="N60" s="2126" t="n"/>
      <c r="O60" s="2126" t="n"/>
      <c r="P60" s="2126" t="n"/>
      <c r="Q60" s="2126" t="n"/>
      <c r="R60" s="2126" t="n"/>
      <c r="S60" s="2126" t="n"/>
      <c r="T60" s="2126" t="n"/>
      <c r="U60" s="2126" t="n"/>
      <c r="V60" s="2126" t="n"/>
      <c r="W60" s="2126" t="n"/>
      <c r="X60" s="2126" t="n"/>
      <c r="Y60" s="2126" t="n"/>
      <c r="Z60" s="2126" t="n"/>
      <c r="AA60" s="2126" t="n"/>
      <c r="AB60" s="2126" t="n"/>
      <c r="AC60" s="2126" t="n"/>
      <c r="AD60" s="2126" t="n"/>
      <c r="AE60" s="2126" t="n"/>
      <c r="AF60" s="2126" t="n"/>
      <c r="AG60" s="2126" t="n"/>
      <c r="AH60" s="6634" t="n">
        <v>25</v>
      </c>
      <c r="AI60" s="11734" t="n"/>
      <c r="AJ60" s="8551" t="inlineStr">
        <is>
          <t>(</t>
        </is>
      </c>
      <c r="AK60" s="8522">
        <f>-AK61</f>
        <v/>
      </c>
      <c r="AL60" s="8412" t="n"/>
      <c r="AM60" s="8412" t="n"/>
      <c r="AN60" s="8412" t="n"/>
      <c r="AO60" s="8522" t="inlineStr">
        <is>
          <t>)</t>
        </is>
      </c>
      <c r="AP60" s="1277" t="n"/>
      <c r="AQ60" s="2875" t="n"/>
      <c r="AR60" s="777" t="n"/>
      <c r="AS60" s="2875" t="n"/>
      <c r="AT60" s="2875" t="n"/>
      <c r="AU60" s="2875" t="n"/>
      <c r="BG60" s="769" t="n"/>
      <c r="BH60" s="658" t="n"/>
      <c r="BI60" s="658" t="n"/>
      <c r="BJ60" s="658" t="n"/>
      <c r="BK60" s="658" t="n"/>
      <c r="BL60" s="658" t="n"/>
      <c r="BM60" s="658" t="n"/>
      <c r="BN60" s="658" t="n"/>
      <c r="BO60" s="658" t="n"/>
      <c r="BP60" s="658" t="n"/>
    </row>
    <row r="61" ht="14.25" customHeight="1" s="7635">
      <c r="A61" s="1277" t="n"/>
      <c r="B61" s="8519" t="n">
        <v>26</v>
      </c>
      <c r="D61" s="2100" t="inlineStr">
        <is>
          <t>Total rental real estate and royalty income or (loss). Combine lines 24 and 25. Enter the result</t>
        </is>
      </c>
      <c r="E61" s="2126" t="n"/>
      <c r="F61" s="2126" t="n"/>
      <c r="G61" s="2126" t="n"/>
      <c r="H61" s="2126" t="n"/>
      <c r="I61" s="2126" t="n"/>
      <c r="J61" s="2126" t="n"/>
      <c r="K61" s="2126" t="n"/>
      <c r="L61" s="2126" t="n"/>
      <c r="M61" s="2126" t="n"/>
      <c r="N61" s="2126" t="n"/>
      <c r="O61" s="2126" t="n"/>
      <c r="P61" s="2126" t="n"/>
      <c r="Q61" s="2126" t="n"/>
      <c r="R61" s="2126" t="n"/>
      <c r="S61" s="2126" t="n"/>
      <c r="T61" s="9988" t="n"/>
      <c r="U61" s="9988" t="n"/>
      <c r="V61" s="8549" t="n"/>
      <c r="W61" s="8549" t="n"/>
      <c r="X61" s="8549" t="n"/>
      <c r="Y61" s="8549" t="n"/>
      <c r="Z61" s="8549" t="n"/>
      <c r="AA61" s="8549" t="n"/>
      <c r="AB61" s="8549" t="n"/>
      <c r="AC61" s="8549" t="n"/>
      <c r="AD61" s="8549" t="n"/>
      <c r="AE61" s="8549" t="n"/>
      <c r="AF61" s="8549" t="n"/>
      <c r="AG61" s="8549" t="n"/>
      <c r="AH61" s="8554" t="n"/>
      <c r="AI61" s="8556" t="n"/>
      <c r="AJ61" s="8549" t="n"/>
      <c r="AK61" s="8530">
        <f>IF(AND(AR60&lt;&gt;"",AR60&gt;=0),-ROUND(AR60,0),IF(AND(AR60&lt;&gt;"",AR60&lt;0),ROUND(AR60,0),SUM(AZ52,AZ53,BB52,BB53,BD52,BD53)))</f>
        <v/>
      </c>
      <c r="AL61" s="7839" t="n"/>
      <c r="AM61" s="7839" t="n"/>
      <c r="AN61" s="7839" t="n"/>
      <c r="AO61" s="8549" t="n"/>
      <c r="AP61" s="1277" t="n"/>
      <c r="AQ61" s="2875" t="n"/>
      <c r="AR61" s="2875" t="n"/>
      <c r="AS61" s="2875" t="n"/>
      <c r="AT61" s="2875" t="n"/>
      <c r="AU61" s="2875" t="n"/>
      <c r="BG61" s="769" t="n"/>
      <c r="BH61" s="658" t="n"/>
      <c r="BI61" s="658" t="n"/>
      <c r="BJ61" s="658" t="n"/>
      <c r="BK61" s="658" t="n"/>
      <c r="BL61" s="658" t="n"/>
      <c r="BM61" s="658" t="n"/>
      <c r="BN61" s="658" t="n"/>
      <c r="BO61" s="658" t="n"/>
      <c r="BP61" s="658" t="n"/>
    </row>
    <row r="62" ht="14.25" customHeight="1" s="7635">
      <c r="A62" s="1277" t="n"/>
      <c r="B62" s="8519" t="n"/>
      <c r="D62" s="2100" t="inlineStr">
        <is>
          <t>here. If Parts II, III, IV, and line 40 on page 2 do not apply to you, also enter this amount on</t>
        </is>
      </c>
      <c r="E62" s="2126" t="n"/>
      <c r="F62" s="2126" t="n"/>
      <c r="G62" s="2126" t="n"/>
      <c r="H62" s="2126" t="n"/>
      <c r="I62" s="2126" t="n"/>
      <c r="J62" s="2126" t="n"/>
      <c r="K62" s="2126" t="n"/>
      <c r="L62" s="2126" t="n"/>
      <c r="M62" s="2126" t="n"/>
      <c r="N62" s="2126" t="n"/>
      <c r="O62" s="2126" t="n"/>
      <c r="P62" s="2126" t="n"/>
      <c r="Q62" s="2126" t="n"/>
      <c r="R62" s="2126" t="n"/>
      <c r="S62" s="2126" t="n"/>
      <c r="T62" s="9988" t="n"/>
      <c r="U62" s="9988" t="n"/>
      <c r="V62" s="8549" t="n"/>
      <c r="W62" s="8549" t="n"/>
      <c r="X62" s="8549" t="n"/>
      <c r="Y62" s="8549" t="n"/>
      <c r="Z62" s="8549" t="n"/>
      <c r="AA62" s="8549" t="n"/>
      <c r="AB62" s="8549" t="n"/>
      <c r="AC62" s="8549" t="n"/>
      <c r="AD62" s="8549" t="n"/>
      <c r="AE62" s="8549" t="n"/>
      <c r="AF62" s="8549" t="n"/>
      <c r="AG62" s="8549" t="n"/>
      <c r="AH62" s="8548" t="n"/>
      <c r="AI62" s="8550" t="n"/>
      <c r="AJ62" s="8549" t="n"/>
      <c r="AK62" s="8549" t="n"/>
      <c r="AL62" s="8549" t="n"/>
      <c r="AM62" s="8549" t="n"/>
      <c r="AN62" s="8549" t="n"/>
      <c r="AO62" s="8549" t="n"/>
      <c r="AP62" s="1277" t="n"/>
      <c r="AQ62" s="2875" t="n"/>
      <c r="AR62" s="2875" t="n"/>
      <c r="AS62" s="2875" t="n"/>
      <c r="AT62" s="2875" t="n"/>
      <c r="AU62" s="2875" t="n"/>
      <c r="BG62" s="769" t="n"/>
      <c r="BH62" s="658" t="n"/>
      <c r="BI62" s="658" t="n"/>
      <c r="BJ62" s="658" t="n"/>
      <c r="BK62" s="658" t="n"/>
      <c r="BL62" s="658" t="n"/>
      <c r="BM62" s="658" t="n"/>
      <c r="BN62" s="658" t="n"/>
      <c r="BO62" s="658" t="n"/>
      <c r="BP62" s="658" t="n"/>
    </row>
    <row r="63" ht="14.25" customHeight="1" s="7635" thickBot="1">
      <c r="A63" s="1277" t="n"/>
      <c r="B63" s="4813" t="n"/>
      <c r="C63" s="4814" t="n"/>
      <c r="D63" s="4815" t="inlineStr">
        <is>
          <t>Schedule 1 (Form 1040), line 5. Otherwise, include this amount in the total on line 41 on page 2</t>
        </is>
      </c>
      <c r="E63" s="4816" t="n"/>
      <c r="F63" s="4816" t="n"/>
      <c r="G63" s="4816" t="n"/>
      <c r="H63" s="4816" t="n"/>
      <c r="I63" s="4816" t="n"/>
      <c r="J63" s="4816" t="n"/>
      <c r="K63" s="4816" t="n"/>
      <c r="L63" s="4816" t="n"/>
      <c r="M63" s="4816" t="n"/>
      <c r="N63" s="4816" t="n"/>
      <c r="O63" s="4816" t="n"/>
      <c r="P63" s="4816" t="n"/>
      <c r="Q63" s="4816" t="n"/>
      <c r="R63" s="4816" t="n"/>
      <c r="S63" s="4816" t="n"/>
      <c r="T63" s="4816" t="n"/>
      <c r="U63" s="4816" t="n"/>
      <c r="V63" s="4816" t="n"/>
      <c r="W63" s="4816" t="n"/>
      <c r="X63" s="4816" t="n"/>
      <c r="Y63" s="4816" t="n"/>
      <c r="Z63" s="4816" t="n"/>
      <c r="AA63" s="4816" t="n"/>
      <c r="AB63" s="4817" t="n"/>
      <c r="AC63" s="4817" t="n"/>
      <c r="AD63" s="4818" t="n"/>
      <c r="AE63" s="4818" t="n"/>
      <c r="AF63" s="4818" t="n"/>
      <c r="AG63" s="4533" t="inlineStr">
        <is>
          <t xml:space="preserve">.   . </t>
        </is>
      </c>
      <c r="AH63" s="6644" t="n">
        <v>26</v>
      </c>
      <c r="AI63" s="12121" t="n"/>
      <c r="AJ63" s="8526">
        <f>IF(AR63&lt;&gt;"",ROUND(AR63,0),SUM(AJ59,AK61))</f>
        <v/>
      </c>
      <c r="AK63" s="8848" t="n"/>
      <c r="AL63" s="8848" t="n"/>
      <c r="AM63" s="8848" t="n"/>
      <c r="AN63" s="8848" t="n"/>
      <c r="AO63" s="8848" t="n"/>
      <c r="AP63" s="1277" t="n"/>
      <c r="AQ63" s="2875" t="n"/>
      <c r="AR63" s="776" t="n"/>
      <c r="AS63" s="2875" t="n"/>
      <c r="AT63" s="2875" t="n"/>
      <c r="AU63" s="2875" t="n"/>
      <c r="BG63" s="769" t="n"/>
      <c r="BH63" s="658" t="n"/>
      <c r="BI63" s="658" t="n"/>
      <c r="BJ63" s="658" t="n"/>
      <c r="BK63" s="658" t="n"/>
      <c r="BL63" s="658" t="n"/>
      <c r="BM63" s="658" t="n"/>
      <c r="BN63" s="658" t="n"/>
      <c r="BO63" s="658" t="n"/>
      <c r="BP63" s="658" t="n"/>
    </row>
    <row r="64" ht="14.25" customHeight="1" s="7635">
      <c r="A64" s="1277" t="n"/>
      <c r="B64" s="4819" t="inlineStr">
        <is>
          <t>For Paperwork Reduction Act Notice, see the separate instructions.</t>
        </is>
      </c>
      <c r="C64" s="4820" t="n"/>
      <c r="D64" s="2100" t="n"/>
      <c r="E64" s="2126" t="n"/>
      <c r="F64" s="2126" t="n"/>
      <c r="G64" s="2126" t="n"/>
      <c r="H64" s="2126" t="n"/>
      <c r="I64" s="2126" t="n"/>
      <c r="J64" s="2126" t="n"/>
      <c r="K64" s="2126" t="n"/>
      <c r="L64" s="2126" t="n"/>
      <c r="M64" s="2126" t="n"/>
      <c r="N64" s="2126" t="n"/>
      <c r="O64" s="2126" t="n"/>
      <c r="P64" s="2126" t="n"/>
      <c r="Q64" s="2126" t="n"/>
      <c r="R64" s="2126" t="n"/>
      <c r="S64" s="2126" t="n"/>
      <c r="T64" s="2126" t="n"/>
      <c r="U64" s="2126" t="n"/>
      <c r="V64" s="2126" t="n"/>
      <c r="W64" s="2126" t="n"/>
      <c r="X64" s="2126" t="n"/>
      <c r="Y64" s="2126" t="inlineStr">
        <is>
          <t>Cat. No. 11344L</t>
        </is>
      </c>
      <c r="Z64" s="2126" t="n"/>
      <c r="AA64" s="2126" t="n"/>
      <c r="AB64" s="9988" t="n"/>
      <c r="AC64" s="9988" t="n"/>
      <c r="AD64" s="8549" t="n"/>
      <c r="AE64" s="8549" t="n"/>
      <c r="AF64" s="8549" t="n"/>
      <c r="AG64" s="8549" t="n"/>
      <c r="AH64" s="8549" t="n"/>
      <c r="AI64" s="8549" t="n"/>
      <c r="AJ64" s="11602" t="n"/>
      <c r="AK64" s="1401">
        <f>"Schedule E (Form 1040) "&amp;TaxYear</f>
        <v/>
      </c>
      <c r="AL64" s="11602" t="n"/>
      <c r="AM64" s="11602" t="n"/>
      <c r="AN64" s="11602" t="n"/>
      <c r="AO64" s="1061" t="inlineStr">
        <is>
          <t>Created 5/6/25</t>
        </is>
      </c>
      <c r="AP64" s="1277" t="n"/>
      <c r="AQ64" s="2875" t="n"/>
      <c r="AR64" s="2875" t="n"/>
      <c r="AS64" s="2875" t="n"/>
      <c r="AT64" s="2875" t="n"/>
      <c r="AU64" s="2875" t="n"/>
      <c r="BG64" s="769" t="n"/>
      <c r="BH64" s="658" t="n"/>
      <c r="BI64" s="658" t="n"/>
      <c r="BJ64" s="658" t="n"/>
      <c r="BK64" s="658" t="n"/>
      <c r="BL64" s="658" t="n"/>
      <c r="BM64" s="658" t="n"/>
      <c r="BN64" s="658" t="n"/>
      <c r="BO64" s="658" t="n"/>
      <c r="BP64" s="658" t="n"/>
    </row>
    <row r="65" ht="21" customHeight="1" s="7635">
      <c r="A65" s="1277" t="n"/>
      <c r="B65" s="462">
        <f>"Schedule E (Form 1040) "&amp;TaxYear</f>
        <v/>
      </c>
      <c r="C65" s="413" t="n"/>
      <c r="D65" s="413" t="n"/>
      <c r="E65" s="413" t="n"/>
      <c r="F65" s="413" t="n"/>
      <c r="G65" s="413" t="n"/>
      <c r="H65" s="413" t="n"/>
      <c r="I65" s="4821" t="n"/>
      <c r="J65" s="413" t="n"/>
      <c r="K65" s="413" t="n"/>
      <c r="L65" s="413" t="n"/>
      <c r="M65" s="413" t="n"/>
      <c r="N65" s="413" t="n"/>
      <c r="O65" s="413" t="n"/>
      <c r="P65" s="4822" t="n"/>
      <c r="Q65" s="413" t="n"/>
      <c r="R65" s="413" t="n"/>
      <c r="S65" s="413" t="n"/>
      <c r="T65" s="413" t="n"/>
      <c r="U65" s="413" t="n"/>
      <c r="V65" s="413" t="n"/>
      <c r="W65" s="413" t="n"/>
      <c r="X65" s="413" t="n"/>
      <c r="Y65" s="413" t="n"/>
      <c r="Z65" s="413" t="n"/>
      <c r="AA65" s="462" t="inlineStr">
        <is>
          <t>Attachment Sequence No.</t>
        </is>
      </c>
      <c r="AB65" s="413" t="n"/>
      <c r="AC65" s="413" t="n"/>
      <c r="AD65" s="413" t="n"/>
      <c r="AE65" s="413" t="n"/>
      <c r="AF65" s="413" t="n"/>
      <c r="AG65" s="8633" t="n">
        <v>13</v>
      </c>
      <c r="AH65" s="7637" t="n"/>
      <c r="AI65" s="413" t="n"/>
      <c r="AJ65" s="413" t="n"/>
      <c r="AK65" s="413" t="n"/>
      <c r="AL65" s="413" t="n"/>
      <c r="AM65" s="413" t="n"/>
      <c r="AN65" s="413" t="n"/>
      <c r="AO65" s="4823" t="inlineStr">
        <is>
          <t>Page 2</t>
        </is>
      </c>
      <c r="AP65" s="1277" t="n"/>
      <c r="BG65" s="769" t="n"/>
      <c r="BH65" s="658" t="n"/>
      <c r="BI65" s="658" t="n"/>
      <c r="BJ65" s="658" t="n"/>
      <c r="BK65" s="658" t="n"/>
      <c r="BL65" s="658" t="n"/>
      <c r="BM65" s="658" t="n"/>
      <c r="BN65" s="658" t="n"/>
      <c r="BO65" s="658" t="n"/>
      <c r="BP65" s="658" t="n"/>
    </row>
    <row r="66" ht="12.75" customHeight="1" s="7635">
      <c r="A66" s="1277" t="n"/>
      <c r="B66" s="7299" t="inlineStr">
        <is>
          <t>Name(s) shown on return.</t>
        </is>
      </c>
      <c r="C66" s="7299" t="n"/>
      <c r="D66" s="7299" t="n"/>
      <c r="E66" s="7299" t="n"/>
      <c r="F66" s="7299" t="n"/>
      <c r="G66" s="7299" t="n"/>
      <c r="H66" s="7299" t="inlineStr">
        <is>
          <t>Do not enter name and social security number if shown on other side.</t>
        </is>
      </c>
      <c r="I66" s="7299" t="n"/>
      <c r="J66" s="11602" t="n"/>
      <c r="K66" s="11602" t="n"/>
      <c r="L66" s="11602" t="n"/>
      <c r="M66" s="11602" t="n"/>
      <c r="N66" s="11602" t="n"/>
      <c r="O66" s="11602" t="n"/>
      <c r="P66" s="11602" t="n"/>
      <c r="Q66" s="11602" t="n"/>
      <c r="R66" s="11602" t="n"/>
      <c r="S66" s="11602" t="n"/>
      <c r="T66" s="11602" t="n"/>
      <c r="U66" s="11602" t="n"/>
      <c r="V66" s="11602" t="n"/>
      <c r="W66" s="11602" t="n"/>
      <c r="X66" s="11602" t="n"/>
      <c r="Y66" s="11602" t="n"/>
      <c r="Z66" s="11602" t="n"/>
      <c r="AA66" s="11602" t="n"/>
      <c r="AB66" s="11602" t="n"/>
      <c r="AC66" s="11602" t="n"/>
      <c r="AD66" s="11602" t="n"/>
      <c r="AE66" s="11602" t="n"/>
      <c r="AF66" s="8528" t="inlineStr">
        <is>
          <t>Your social security number</t>
        </is>
      </c>
      <c r="AG66" s="7839" t="n"/>
      <c r="AH66" s="7839" t="n"/>
      <c r="AI66" s="7839" t="n"/>
      <c r="AJ66" s="7839" t="n"/>
      <c r="AK66" s="7839" t="n"/>
      <c r="AL66" s="7839" t="n"/>
      <c r="AM66" s="7839" t="n"/>
      <c r="AN66" s="7839" t="n"/>
      <c r="AO66" s="7839" t="n"/>
      <c r="AP66" s="1277" t="n"/>
      <c r="AR66" s="7834">
        <f>OR(AND(AF67&lt;&gt;"",AF67=AG8),AND(B8&lt;&gt;"",B67&lt;&gt;""))</f>
        <v/>
      </c>
      <c r="BG66" s="769" t="n"/>
      <c r="BH66" s="658" t="n"/>
      <c r="BI66" s="658" t="n"/>
      <c r="BJ66" s="658" t="n"/>
      <c r="BK66" s="658" t="n"/>
      <c r="BL66" s="658" t="n"/>
      <c r="BM66" s="658" t="n"/>
      <c r="BN66" s="658" t="n"/>
      <c r="BO66" s="658" t="n"/>
      <c r="BP66" s="658" t="n"/>
    </row>
    <row r="67" ht="16.5" customHeight="1" s="7635">
      <c r="A67" s="1277" t="n"/>
      <c r="B67" s="8509" t="n"/>
      <c r="C67" s="11717" t="n"/>
      <c r="D67" s="11717" t="n"/>
      <c r="E67" s="11717" t="n"/>
      <c r="F67" s="11717" t="n"/>
      <c r="G67" s="11717" t="n"/>
      <c r="H67" s="11717" t="n"/>
      <c r="I67" s="11717" t="n"/>
      <c r="J67" s="11717" t="n"/>
      <c r="K67" s="11717" t="n"/>
      <c r="L67" s="11717" t="n"/>
      <c r="M67" s="11717" t="n"/>
      <c r="N67" s="11717" t="n"/>
      <c r="O67" s="11717" t="n"/>
      <c r="P67" s="11717" t="n"/>
      <c r="Q67" s="11717" t="n"/>
      <c r="R67" s="11717" t="n"/>
      <c r="S67" s="11717" t="n"/>
      <c r="T67" s="11717" t="n"/>
      <c r="U67" s="11717" t="n"/>
      <c r="V67" s="11717" t="n"/>
      <c r="W67" s="11717" t="n"/>
      <c r="X67" s="11717" t="n"/>
      <c r="Y67" s="11717" t="n"/>
      <c r="Z67" s="11717" t="n"/>
      <c r="AA67" s="11717" t="n"/>
      <c r="AB67" s="11717" t="n"/>
      <c r="AC67" s="11717" t="n"/>
      <c r="AD67" s="11717" t="n"/>
      <c r="AE67" s="11718" t="n"/>
      <c r="AF67" s="11720" t="n"/>
      <c r="AG67" s="11717" t="n"/>
      <c r="AH67" s="11717" t="n"/>
      <c r="AI67" s="11717" t="n"/>
      <c r="AJ67" s="11717" t="n"/>
      <c r="AK67" s="11717" t="n"/>
      <c r="AL67" s="11717" t="n"/>
      <c r="AM67" s="11717" t="n"/>
      <c r="AN67" s="11717" t="n"/>
      <c r="AO67" s="11717" t="n"/>
      <c r="AP67" s="770" t="n"/>
      <c r="AQ67" s="9864">
        <f>IF($AR66,"Hide emphasis.","")</f>
        <v/>
      </c>
      <c r="AR67" s="9864" t="n"/>
      <c r="BG67" s="769" t="n"/>
      <c r="BH67" s="658" t="n"/>
      <c r="BI67" s="658" t="n"/>
      <c r="BJ67" s="658" t="n"/>
      <c r="BK67" s="658" t="n"/>
      <c r="BL67" s="658" t="n"/>
      <c r="BM67" s="658" t="n"/>
      <c r="BN67" s="658" t="n"/>
      <c r="BO67" s="658" t="n"/>
      <c r="BP67" s="658" t="n"/>
    </row>
    <row r="68" ht="15" customHeight="1" s="7635">
      <c r="A68" s="1277" t="n"/>
      <c r="B68" s="8650" t="inlineStr">
        <is>
          <t>Caution: The IRS compares amounts reported on your tax return with amounts shown on Schedule(s) K-1.</t>
        </is>
      </c>
      <c r="C68" s="11602" t="n"/>
      <c r="D68" s="11602" t="n"/>
      <c r="E68" s="11602" t="n"/>
      <c r="F68" s="11602" t="n"/>
      <c r="G68" s="11602" t="n"/>
      <c r="H68" s="11602" t="n"/>
      <c r="I68" s="11602" t="n"/>
      <c r="J68" s="11602" t="n"/>
      <c r="K68" s="11602" t="n"/>
      <c r="L68" s="11602" t="n"/>
      <c r="M68" s="11602" t="n"/>
      <c r="N68" s="11602" t="n"/>
      <c r="O68" s="11602" t="n"/>
      <c r="P68" s="11602" t="n"/>
      <c r="Q68" s="11602" t="n"/>
      <c r="R68" s="11602" t="n"/>
      <c r="S68" s="11602" t="n"/>
      <c r="T68" s="11602" t="n"/>
      <c r="U68" s="11602" t="n"/>
      <c r="V68" s="11602" t="n"/>
      <c r="W68" s="11602" t="n"/>
      <c r="X68" s="11602" t="n"/>
      <c r="Y68" s="11602" t="n"/>
      <c r="Z68" s="11602" t="n"/>
      <c r="AA68" s="11602" t="n"/>
      <c r="AB68" s="11602" t="n"/>
      <c r="AC68" s="11602" t="n"/>
      <c r="AD68" s="11602" t="n"/>
      <c r="AE68" s="11602" t="n"/>
      <c r="AF68" s="11602" t="n"/>
      <c r="AG68" s="11602" t="n"/>
      <c r="AH68" s="11602" t="n"/>
      <c r="AI68" s="11602" t="n"/>
      <c r="AJ68" s="11602" t="n"/>
      <c r="AK68" s="11602" t="n"/>
      <c r="AL68" s="11602" t="n"/>
      <c r="AM68" s="11602" t="n"/>
      <c r="AN68" s="11602" t="n"/>
      <c r="AO68" s="11602" t="n"/>
      <c r="AP68" s="1277" t="n"/>
      <c r="BG68" s="769" t="n"/>
      <c r="BH68" s="658" t="n"/>
      <c r="BI68" s="658" t="n"/>
      <c r="BJ68" s="658" t="n"/>
      <c r="BK68" s="658" t="n"/>
      <c r="BL68" s="658" t="n"/>
      <c r="BM68" s="658" t="n"/>
      <c r="BN68" s="658" t="n"/>
      <c r="BO68" s="658" t="n"/>
      <c r="BP68" s="658" t="n"/>
    </row>
    <row r="69" ht="17.25" customFormat="1" customHeight="1" s="1405">
      <c r="A69" s="2119" t="n"/>
      <c r="B69" s="8410" t="inlineStr">
        <is>
          <t>Part II</t>
        </is>
      </c>
      <c r="C69" s="8412" t="n"/>
      <c r="D69" s="8412" t="n"/>
      <c r="E69" s="2761" t="n"/>
      <c r="F69" s="4758" t="inlineStr">
        <is>
          <t>Income or Loss From Partnerships and S Corporations</t>
        </is>
      </c>
      <c r="G69" s="2761" t="n"/>
      <c r="H69" s="2761" t="n"/>
      <c r="I69" s="2761" t="n"/>
      <c r="J69" s="2761" t="n"/>
      <c r="K69" s="2761" t="n"/>
      <c r="L69" s="2761" t="n"/>
      <c r="M69" s="2761" t="n"/>
      <c r="N69" s="2761" t="n"/>
      <c r="O69" s="2761" t="n"/>
      <c r="P69" s="2761" t="n"/>
      <c r="Q69" s="2761" t="n"/>
      <c r="R69" s="2761" t="n"/>
      <c r="S69" s="2761" t="n"/>
      <c r="T69" s="2761" t="n"/>
      <c r="U69" s="2761" t="n"/>
      <c r="V69" s="2761" t="n"/>
      <c r="W69" s="2761" t="n"/>
      <c r="X69" s="2354" t="n"/>
      <c r="Y69" s="2761" t="n"/>
      <c r="Z69" s="2761" t="n"/>
      <c r="AA69" s="2761" t="n"/>
      <c r="AB69" s="2761" t="n"/>
      <c r="AC69" s="2761" t="n"/>
      <c r="AD69" s="2761" t="n"/>
      <c r="AE69" s="2761" t="n"/>
      <c r="AF69" s="2761" t="n"/>
      <c r="AG69" s="2761" t="n"/>
      <c r="AH69" s="2761" t="n"/>
      <c r="AI69" s="2761" t="n"/>
      <c r="AJ69" s="2761" t="n"/>
      <c r="AK69" s="2761" t="n"/>
      <c r="AL69" s="2761" t="n"/>
      <c r="AM69" s="2761" t="n"/>
      <c r="AN69" s="2761" t="n"/>
      <c r="AO69" s="2761" t="n"/>
      <c r="AP69" s="1277" t="n"/>
      <c r="BG69" s="769" t="n"/>
      <c r="BH69" s="658" t="n"/>
      <c r="BI69" s="658" t="n"/>
      <c r="BJ69" s="658" t="n"/>
      <c r="BK69" s="658" t="n"/>
      <c r="BL69" s="658" t="n"/>
      <c r="BM69" s="658" t="n"/>
      <c r="BN69" s="658" t="n"/>
      <c r="BO69" s="658" t="n"/>
      <c r="BP69" s="658" t="n"/>
      <c r="BQ69" s="815" t="n"/>
    </row>
    <row r="70" ht="12.75" customHeight="1" s="7635">
      <c r="A70" s="1277" t="n"/>
      <c r="B70" s="11602" t="n"/>
      <c r="C70" s="11602" t="n"/>
      <c r="D70" s="11602" t="n"/>
      <c r="E70" s="11602" t="n"/>
      <c r="F70" s="344" t="inlineStr">
        <is>
          <t>Note:  If you report a loss, receive a distribution, dispose of stock, or receive a loan repayment from an S corporation, you must check</t>
        </is>
      </c>
      <c r="G70" s="11602" t="n"/>
      <c r="H70" s="11602" t="n"/>
      <c r="I70" s="11602" t="n"/>
      <c r="J70" s="11602" t="n"/>
      <c r="K70" s="11602" t="n"/>
      <c r="L70" s="11602" t="n"/>
      <c r="M70" s="11602" t="n"/>
      <c r="N70" s="11602" t="n"/>
      <c r="O70" s="11602" t="n"/>
      <c r="P70" s="11602" t="n"/>
      <c r="Q70" s="11602" t="n"/>
      <c r="R70" s="11602" t="n"/>
      <c r="S70" s="11602" t="n"/>
      <c r="T70" s="11602" t="n"/>
      <c r="U70" s="11602" t="n"/>
      <c r="V70" s="11602" t="n"/>
      <c r="W70" s="11602" t="n"/>
      <c r="X70" s="11602" t="n"/>
      <c r="Y70" s="11602" t="n"/>
      <c r="Z70" s="11602" t="n"/>
      <c r="AA70" s="11602" t="n"/>
      <c r="AB70" s="11602" t="n"/>
      <c r="AC70" s="11602" t="n"/>
      <c r="AD70" s="11602" t="n"/>
      <c r="AE70" s="11602" t="n"/>
      <c r="AF70" s="11602" t="n"/>
      <c r="AG70" s="11602" t="n"/>
      <c r="AH70" s="11602" t="n"/>
      <c r="AI70" s="11602" t="n"/>
      <c r="AJ70" s="11602" t="n"/>
      <c r="AK70" s="11602" t="n"/>
      <c r="AL70" s="11602" t="n"/>
      <c r="AM70" s="11602" t="n"/>
      <c r="AN70" s="11602" t="n"/>
      <c r="AO70" s="11602" t="n"/>
      <c r="AP70" s="1277" t="n"/>
      <c r="BG70" s="769" t="n"/>
      <c r="BH70" s="658" t="n"/>
      <c r="BI70" s="658" t="n"/>
      <c r="BJ70" s="658" t="n"/>
      <c r="BK70" s="658" t="n"/>
      <c r="BL70" s="658" t="n"/>
      <c r="BM70" s="658" t="n"/>
      <c r="BN70" s="658" t="n"/>
      <c r="BO70" s="658" t="n"/>
      <c r="BP70" s="658" t="n"/>
    </row>
    <row r="71" ht="12.75" customHeight="1" s="7635">
      <c r="A71" s="1277" t="n"/>
      <c r="B71" s="11602" t="n"/>
      <c r="C71" s="11602" t="n"/>
      <c r="D71" s="11602" t="n"/>
      <c r="E71" s="11602" t="n"/>
      <c r="F71" s="344" t="inlineStr">
        <is>
          <t xml:space="preserve">the box in column (e) on line 28 and attach the required basis computation. If you report a loss from an at-risk activity for which any </t>
        </is>
      </c>
      <c r="G71" s="11602" t="n"/>
      <c r="H71" s="11602" t="n"/>
      <c r="I71" s="11602" t="n"/>
      <c r="J71" s="11602" t="n"/>
      <c r="K71" s="11602" t="n"/>
      <c r="L71" s="11602" t="n"/>
      <c r="M71" s="11602" t="n"/>
      <c r="N71" s="11602" t="n"/>
      <c r="O71" s="11602" t="n"/>
      <c r="P71" s="11602" t="n"/>
      <c r="Q71" s="11602" t="n"/>
      <c r="R71" s="11602" t="n"/>
      <c r="S71" s="11602" t="n"/>
      <c r="T71" s="11602" t="n"/>
      <c r="U71" s="11602" t="n"/>
      <c r="V71" s="11602" t="n"/>
      <c r="W71" s="11602" t="n"/>
      <c r="X71" s="11602" t="n"/>
      <c r="Y71" s="11602" t="n"/>
      <c r="Z71" s="11602" t="n"/>
      <c r="AA71" s="11602" t="n"/>
      <c r="AB71" s="11602" t="n"/>
      <c r="AC71" s="11602" t="n"/>
      <c r="AD71" s="11602" t="n"/>
      <c r="AE71" s="11602" t="n"/>
      <c r="AF71" s="11602" t="n"/>
      <c r="AG71" s="11602" t="n"/>
      <c r="AH71" s="11602" t="n"/>
      <c r="AI71" s="11602" t="n"/>
      <c r="AJ71" s="11602" t="n"/>
      <c r="AK71" s="11602" t="n"/>
      <c r="AL71" s="11602" t="n"/>
      <c r="AM71" s="11602" t="n"/>
      <c r="AN71" s="11602" t="n"/>
      <c r="AO71" s="11602" t="n"/>
      <c r="AP71" s="1277" t="n"/>
      <c r="AX71" s="1405" t="n"/>
      <c r="AY71" s="1405" t="n"/>
      <c r="AZ71" s="1405" t="n"/>
      <c r="BA71" s="1405" t="n"/>
      <c r="BB71" s="1405" t="n"/>
      <c r="BC71" s="1405" t="n"/>
      <c r="BD71" s="1405" t="n"/>
      <c r="BG71" s="769" t="n"/>
      <c r="BH71" s="658" t="n"/>
      <c r="BI71" s="658" t="n"/>
      <c r="BJ71" s="658" t="n"/>
      <c r="BK71" s="658" t="n"/>
      <c r="BL71" s="658" t="n"/>
      <c r="BM71" s="658" t="n"/>
      <c r="BN71" s="658" t="n"/>
      <c r="BO71" s="658" t="n"/>
      <c r="BP71" s="658" t="n"/>
    </row>
    <row r="72" ht="12.75" customHeight="1" s="7635">
      <c r="A72" s="1277" t="n"/>
      <c r="B72" s="413" t="n"/>
      <c r="C72" s="413" t="n"/>
      <c r="D72" s="413" t="n"/>
      <c r="E72" s="413" t="n"/>
      <c r="F72" s="569" t="inlineStr">
        <is>
          <t>amount is not at risk, you must check the box in column (f) on line 28 and attach Form 6198. See instructions.</t>
        </is>
      </c>
      <c r="G72" s="413" t="n"/>
      <c r="H72" s="413" t="n"/>
      <c r="I72" s="413" t="n"/>
      <c r="J72" s="413" t="n"/>
      <c r="K72" s="413" t="n"/>
      <c r="L72" s="413" t="n"/>
      <c r="M72" s="413" t="n"/>
      <c r="N72" s="413" t="n"/>
      <c r="O72" s="413" t="n"/>
      <c r="P72" s="413" t="n"/>
      <c r="Q72" s="413" t="n"/>
      <c r="R72" s="413" t="n"/>
      <c r="S72" s="413" t="n"/>
      <c r="T72" s="413" t="n"/>
      <c r="U72" s="413" t="n"/>
      <c r="V72" s="413" t="n"/>
      <c r="W72" s="413" t="n"/>
      <c r="X72" s="413" t="n"/>
      <c r="Y72" s="413" t="n"/>
      <c r="Z72" s="413" t="n"/>
      <c r="AA72" s="413" t="n"/>
      <c r="AB72" s="413" t="n"/>
      <c r="AC72" s="413" t="n"/>
      <c r="AD72" s="413" t="n"/>
      <c r="AE72" s="413" t="n"/>
      <c r="AF72" s="413" t="n"/>
      <c r="AG72" s="413" t="n"/>
      <c r="AH72" s="413" t="n"/>
      <c r="AI72" s="413" t="n"/>
      <c r="AJ72" s="413" t="n"/>
      <c r="AK72" s="413" t="n"/>
      <c r="AL72" s="413" t="n"/>
      <c r="AM72" s="413" t="n"/>
      <c r="AN72" s="413" t="n"/>
      <c r="AO72" s="413" t="n"/>
      <c r="AP72" s="1277" t="n"/>
      <c r="BG72" s="769" t="n"/>
      <c r="BH72" s="658" t="n"/>
      <c r="BI72" s="658" t="n"/>
      <c r="BJ72" s="658" t="n"/>
      <c r="BK72" s="658" t="n"/>
      <c r="BL72" s="658" t="n"/>
      <c r="BM72" s="658" t="n"/>
      <c r="BN72" s="658" t="n"/>
      <c r="BO72" s="658" t="n"/>
      <c r="BP72" s="658" t="n"/>
    </row>
    <row r="73" ht="18.75" customHeight="1" s="7635">
      <c r="A73" s="1277" t="n"/>
      <c r="B73" s="8439" t="n">
        <v>27</v>
      </c>
      <c r="D73" s="11602" t="n"/>
      <c r="E73" s="8650" t="inlineStr">
        <is>
          <t>Are you reporting any loss not allowed in a prior year due to the at-risk or basis limitations, a prior year unallowed loss from a</t>
        </is>
      </c>
      <c r="F73" s="344" t="n"/>
      <c r="G73" s="11602" t="n"/>
      <c r="H73" s="11602" t="n"/>
      <c r="I73" s="11602" t="n"/>
      <c r="J73" s="11602" t="n"/>
      <c r="K73" s="11602" t="n"/>
      <c r="L73" s="11602" t="n"/>
      <c r="M73" s="11602" t="n"/>
      <c r="N73" s="11602" t="n"/>
      <c r="O73" s="11602" t="n"/>
      <c r="P73" s="11602" t="n"/>
      <c r="Q73" s="11602" t="n"/>
      <c r="R73" s="11602" t="n"/>
      <c r="S73" s="11602" t="n"/>
      <c r="T73" s="11602" t="n"/>
      <c r="U73" s="11602" t="n"/>
      <c r="V73" s="11602" t="n"/>
      <c r="W73" s="11602" t="n"/>
      <c r="X73" s="11602" t="n"/>
      <c r="Y73" s="11602" t="n"/>
      <c r="Z73" s="11602" t="n"/>
      <c r="AA73" s="11602" t="n"/>
      <c r="AB73" s="11602" t="n"/>
      <c r="AC73" s="11602" t="n"/>
      <c r="AD73" s="11602" t="n"/>
      <c r="AE73" s="11602" t="n"/>
      <c r="AF73" s="11602" t="n"/>
      <c r="AG73" s="11602" t="n"/>
      <c r="AH73" s="11602" t="n"/>
      <c r="AI73" s="11602" t="n"/>
      <c r="AJ73" s="11602" t="n"/>
      <c r="AK73" s="11602" t="n"/>
      <c r="AL73" s="11602" t="n"/>
      <c r="AM73" s="11602" t="n"/>
      <c r="AN73" s="11602" t="n"/>
      <c r="AO73" s="11602" t="n"/>
      <c r="AP73" s="1277" t="n"/>
      <c r="BG73" s="769" t="n"/>
      <c r="BH73" s="658" t="n"/>
      <c r="BI73" s="658" t="n"/>
      <c r="BJ73" s="658" t="n"/>
      <c r="BK73" s="658" t="n"/>
      <c r="BL73" s="658" t="n"/>
      <c r="BM73" s="658" t="n"/>
      <c r="BN73" s="658" t="n"/>
      <c r="BO73" s="658" t="n"/>
      <c r="BP73" s="658" t="n"/>
    </row>
    <row r="74" ht="12.75" customHeight="1" s="7635">
      <c r="A74" s="1277" t="n"/>
      <c r="B74" s="9988" t="n"/>
      <c r="C74" s="6996" t="n"/>
      <c r="D74" s="11602" t="n"/>
      <c r="E74" s="8650" t="inlineStr">
        <is>
          <t>passive activity (if that loss was not reported on Form 8582), or unreimbursed partnership expenses?</t>
        </is>
      </c>
      <c r="F74" s="344" t="n"/>
      <c r="G74" s="11602" t="n"/>
      <c r="H74" s="11602" t="n"/>
      <c r="I74" s="11602" t="n"/>
      <c r="J74" s="11602" t="n"/>
      <c r="K74" s="11602" t="n"/>
      <c r="L74" s="11602" t="n"/>
      <c r="M74" s="11602" t="n"/>
      <c r="N74" s="11602" t="n"/>
      <c r="O74" s="11602" t="n"/>
      <c r="P74" s="11602" t="n"/>
      <c r="Q74" s="11602" t="n"/>
      <c r="R74" s="11602" t="n"/>
      <c r="S74" s="11602" t="n"/>
      <c r="T74" s="11602" t="n"/>
      <c r="U74" s="11602" t="n"/>
      <c r="V74" s="11602" t="n"/>
      <c r="W74" s="11602" t="n"/>
      <c r="X74" s="11602" t="n"/>
      <c r="Y74" s="11602" t="n"/>
      <c r="Z74" s="11602" t="n"/>
      <c r="AA74" s="11602" t="n"/>
      <c r="AB74" s="11602" t="n"/>
      <c r="AC74" s="11602" t="n"/>
      <c r="AD74" s="11602" t="n"/>
      <c r="AE74" s="11602" t="n"/>
      <c r="AF74" s="11602" t="n"/>
      <c r="AG74" s="11602" t="n"/>
      <c r="AH74" s="11602" t="n"/>
      <c r="AI74" s="11602" t="n"/>
      <c r="AJ74" s="11602" t="n"/>
      <c r="AK74" s="11602" t="n"/>
      <c r="AL74" s="11602" t="n"/>
      <c r="AM74" s="11602" t="n"/>
      <c r="AN74" s="11602" t="n"/>
      <c r="AO74" s="11602" t="n"/>
      <c r="AP74" s="1277" t="n"/>
      <c r="BG74" s="769" t="n"/>
      <c r="BH74" s="658" t="n"/>
      <c r="BI74" s="658" t="n"/>
      <c r="BJ74" s="658" t="n"/>
      <c r="BK74" s="658" t="n"/>
      <c r="BL74" s="658" t="n"/>
      <c r="BM74" s="658" t="n"/>
      <c r="BN74" s="658" t="n"/>
      <c r="BO74" s="658" t="n"/>
      <c r="BP74" s="658" t="n"/>
    </row>
    <row r="75" ht="12.75" customHeight="1" s="7635">
      <c r="A75" s="1277" t="n"/>
      <c r="B75" s="11602" t="n"/>
      <c r="C75" s="11602" t="n"/>
      <c r="D75" s="11602" t="n"/>
      <c r="E75" s="8650" t="inlineStr">
        <is>
          <t>If you answered “Yes,” see instructions before completing this section</t>
        </is>
      </c>
      <c r="F75" s="344" t="n"/>
      <c r="G75" s="11602" t="n"/>
      <c r="H75" s="11602" t="n"/>
      <c r="I75" s="11602" t="n"/>
      <c r="J75" s="11602" t="n"/>
      <c r="K75" s="11602" t="n"/>
      <c r="L75" s="11602" t="n"/>
      <c r="M75" s="11602" t="n"/>
      <c r="N75" s="11602" t="n"/>
      <c r="O75" s="11602" t="n"/>
      <c r="P75" s="11602" t="n"/>
      <c r="Q75" s="11602" t="n"/>
      <c r="R75" s="11602" t="n"/>
      <c r="S75" s="11602" t="n"/>
      <c r="T75" s="11602" t="n"/>
      <c r="U75" s="11602" t="n"/>
      <c r="V75" s="11602" t="n"/>
      <c r="W75" s="11602" t="n"/>
      <c r="X75" s="11602" t="n"/>
      <c r="Y75" s="11602" t="n"/>
      <c r="Z75" s="11602" t="n"/>
      <c r="AA75" s="11602" t="n"/>
      <c r="AB75" s="11602" t="n"/>
      <c r="AC75" s="11602" t="n"/>
      <c r="AD75" s="11602" t="n"/>
      <c r="AE75" s="11602" t="n"/>
      <c r="AF75" s="11602" t="n"/>
      <c r="AG75" s="11602" t="n"/>
      <c r="AH75" s="11602" t="n"/>
      <c r="AI75" s="2198" t="inlineStr">
        <is>
          <t xml:space="preserve">.   .   .   .   .   .   .   .   .   .   .   .   .   .   .   . </t>
        </is>
      </c>
      <c r="AJ75" s="276" t="n"/>
      <c r="AK75" s="1059" t="inlineStr">
        <is>
          <t xml:space="preserve">  Yes</t>
        </is>
      </c>
      <c r="AL75" s="7762" t="n"/>
      <c r="AM75" s="276" t="n"/>
      <c r="AN75" s="1059" t="inlineStr">
        <is>
          <t xml:space="preserve">  No</t>
        </is>
      </c>
      <c r="AO75" s="7762" t="n"/>
      <c r="AP75" s="1277" t="n"/>
      <c r="BG75" s="769" t="n"/>
      <c r="BH75" s="658" t="n"/>
      <c r="BI75" s="658" t="n"/>
      <c r="BJ75" s="658" t="n"/>
      <c r="BK75" s="658" t="n"/>
      <c r="BL75" s="658" t="n"/>
      <c r="BM75" s="658" t="n"/>
      <c r="BN75" s="658" t="n"/>
      <c r="BO75" s="658" t="n"/>
      <c r="BP75" s="658" t="n"/>
    </row>
    <row r="76" ht="4.5" customHeight="1" s="7635">
      <c r="A76" s="1277" t="n"/>
      <c r="B76" s="413" t="n"/>
      <c r="C76" s="413" t="n"/>
      <c r="D76" s="413" t="n"/>
      <c r="E76" s="413" t="n"/>
      <c r="F76" s="569" t="n"/>
      <c r="G76" s="413" t="n"/>
      <c r="H76" s="413" t="n"/>
      <c r="I76" s="413" t="n"/>
      <c r="J76" s="413" t="n"/>
      <c r="K76" s="413" t="n"/>
      <c r="L76" s="413" t="n"/>
      <c r="M76" s="413" t="n"/>
      <c r="N76" s="413" t="n"/>
      <c r="O76" s="413" t="n"/>
      <c r="P76" s="413" t="n"/>
      <c r="Q76" s="413" t="n"/>
      <c r="R76" s="413" t="n"/>
      <c r="S76" s="413" t="n"/>
      <c r="T76" s="413" t="n"/>
      <c r="U76" s="413" t="n"/>
      <c r="V76" s="413" t="n"/>
      <c r="W76" s="413" t="n"/>
      <c r="X76" s="413" t="n"/>
      <c r="Y76" s="413" t="n"/>
      <c r="Z76" s="413" t="n"/>
      <c r="AA76" s="413" t="n"/>
      <c r="AB76" s="413" t="n"/>
      <c r="AC76" s="413" t="n"/>
      <c r="AD76" s="413" t="n"/>
      <c r="AE76" s="413" t="n"/>
      <c r="AF76" s="413" t="n"/>
      <c r="AG76" s="413" t="n"/>
      <c r="AH76" s="413" t="n"/>
      <c r="AI76" s="413" t="n"/>
      <c r="AJ76" s="413" t="n"/>
      <c r="AK76" s="413" t="n"/>
      <c r="AL76" s="413" t="n"/>
      <c r="AM76" s="413" t="n"/>
      <c r="AN76" s="413" t="n"/>
      <c r="AO76" s="413" t="n"/>
      <c r="AP76" s="1277" t="n"/>
      <c r="BG76" s="769" t="n"/>
      <c r="BH76" s="658" t="n"/>
      <c r="BI76" s="658" t="n"/>
      <c r="BJ76" s="658" t="n"/>
      <c r="BK76" s="658" t="n"/>
      <c r="BL76" s="658" t="n"/>
      <c r="BM76" s="658" t="n"/>
      <c r="BN76" s="658" t="n"/>
      <c r="BO76" s="658" t="n"/>
      <c r="BP76" s="658" t="n"/>
    </row>
    <row r="77" ht="12.75" customHeight="1" s="7635">
      <c r="A77" s="1277" t="n"/>
      <c r="B77" s="11602" t="n"/>
      <c r="C77" s="11602" t="n"/>
      <c r="D77" s="11602" t="n"/>
      <c r="E77" s="11602" t="n"/>
      <c r="F77" s="344" t="n"/>
      <c r="G77" s="11602" t="n"/>
      <c r="H77" s="11602" t="n"/>
      <c r="I77" s="11602" t="n"/>
      <c r="J77" s="11602" t="n"/>
      <c r="K77" s="11602" t="n"/>
      <c r="L77" s="11602" t="n"/>
      <c r="M77" s="11602" t="n"/>
      <c r="N77" s="11602" t="n"/>
      <c r="O77" s="12122" t="inlineStr">
        <is>
          <t>(b)  Enter P for partnership; S 
for S corporation</t>
        </is>
      </c>
      <c r="P77" s="7839" t="n"/>
      <c r="Q77" s="7839" t="n"/>
      <c r="R77" s="7839" t="n"/>
      <c r="S77" s="10091" t="n"/>
      <c r="T77" s="12122" t="inlineStr">
        <is>
          <t>(c)  Check if 
foreign 
partnership</t>
        </is>
      </c>
      <c r="U77" s="7839" t="n"/>
      <c r="V77" s="7839" t="n"/>
      <c r="W77" s="7839" t="n"/>
      <c r="X77" s="10091" t="n"/>
      <c r="Y77" s="12122" t="inlineStr">
        <is>
          <t>(d)  Employer 
identification 
number</t>
        </is>
      </c>
      <c r="Z77" s="7839" t="n"/>
      <c r="AA77" s="7839" t="n"/>
      <c r="AB77" s="7839" t="n"/>
      <c r="AC77" s="7839" t="n"/>
      <c r="AD77" s="7839" t="n"/>
      <c r="AE77" s="10091" t="n"/>
      <c r="AF77" s="12122" t="inlineStr">
        <is>
          <t>(e) Check if 
basis computation 
is required</t>
        </is>
      </c>
      <c r="AG77" s="7839" t="n"/>
      <c r="AH77" s="7839" t="n"/>
      <c r="AI77" s="7839" t="n"/>
      <c r="AJ77" s="10091" t="n"/>
      <c r="AK77" s="9854" t="inlineStr">
        <is>
          <t>(f)  Check if 
any amount is 
not at risk</t>
        </is>
      </c>
      <c r="AL77" s="7839" t="n"/>
      <c r="AM77" s="7839" t="n"/>
      <c r="AN77" s="7839" t="n"/>
      <c r="AO77" s="7839" t="n"/>
      <c r="AP77" s="1277" t="n"/>
      <c r="BG77" s="769" t="n"/>
      <c r="BH77" s="658" t="n"/>
      <c r="BI77" s="658" t="n"/>
      <c r="BJ77" s="658" t="n"/>
      <c r="BK77" s="658" t="n"/>
      <c r="BL77" s="658" t="n"/>
      <c r="BM77" s="658" t="n"/>
      <c r="BN77" s="658" t="n"/>
      <c r="BO77" s="658" t="n"/>
      <c r="BP77" s="658" t="n"/>
    </row>
    <row r="78" ht="12.75" customHeight="1" s="7635">
      <c r="A78" s="1277" t="n"/>
      <c r="B78" s="8439" t="n">
        <v>28</v>
      </c>
      <c r="D78" s="11602" t="n"/>
      <c r="E78" s="11602" t="n"/>
      <c r="F78" s="11602" t="n"/>
      <c r="G78" s="11602" t="n"/>
      <c r="H78" s="344" t="inlineStr">
        <is>
          <t>(a)  Name</t>
        </is>
      </c>
      <c r="I78" s="11602" t="n"/>
      <c r="J78" s="11602" t="n"/>
      <c r="K78" s="11602" t="n"/>
      <c r="L78" s="11602" t="n"/>
      <c r="M78" s="11602" t="n"/>
      <c r="N78" s="11602" t="n"/>
      <c r="O78" s="4772" t="n"/>
      <c r="S78" s="7636" t="n"/>
      <c r="T78" s="4772" t="n"/>
      <c r="X78" s="7636" t="n"/>
      <c r="Y78" s="4772" t="n"/>
      <c r="AE78" s="7636" t="n"/>
      <c r="AF78" s="4772" t="n"/>
      <c r="AJ78" s="7636" t="n"/>
      <c r="AK78" s="4772" t="n"/>
      <c r="AP78" s="1277" t="n"/>
      <c r="BG78" s="769" t="n"/>
      <c r="BH78" s="658" t="n"/>
      <c r="BI78" s="658" t="n"/>
      <c r="BJ78" s="658" t="n"/>
      <c r="BK78" s="658" t="n"/>
      <c r="BL78" s="658" t="n"/>
      <c r="BM78" s="658" t="n"/>
      <c r="BN78" s="658" t="n"/>
      <c r="BO78" s="658" t="n"/>
      <c r="BP78" s="658" t="n"/>
    </row>
    <row r="79" ht="12.75" customHeight="1" s="7635">
      <c r="A79" s="1277" t="n"/>
      <c r="B79" s="413" t="n"/>
      <c r="C79" s="413" t="n"/>
      <c r="D79" s="413" t="n"/>
      <c r="E79" s="413" t="n"/>
      <c r="F79" s="413" t="n"/>
      <c r="G79" s="413" t="n"/>
      <c r="H79" s="413" t="n"/>
      <c r="I79" s="413" t="n"/>
      <c r="J79" s="413" t="n"/>
      <c r="K79" s="413" t="n"/>
      <c r="L79" s="413" t="n"/>
      <c r="M79" s="413" t="n"/>
      <c r="N79" s="413" t="n"/>
      <c r="O79" s="3614" t="n"/>
      <c r="P79" s="7637" t="n"/>
      <c r="Q79" s="7637" t="n"/>
      <c r="R79" s="7637" t="n"/>
      <c r="S79" s="7638" t="n"/>
      <c r="T79" s="3614" t="n"/>
      <c r="U79" s="7637" t="n"/>
      <c r="V79" s="7637" t="n"/>
      <c r="W79" s="7637" t="n"/>
      <c r="X79" s="7638" t="n"/>
      <c r="Y79" s="3614" t="n"/>
      <c r="Z79" s="7637" t="n"/>
      <c r="AA79" s="7637" t="n"/>
      <c r="AB79" s="7637" t="n"/>
      <c r="AC79" s="7637" t="n"/>
      <c r="AD79" s="7637" t="n"/>
      <c r="AE79" s="7638" t="n"/>
      <c r="AF79" s="3614" t="n"/>
      <c r="AG79" s="7637" t="n"/>
      <c r="AH79" s="7637" t="n"/>
      <c r="AI79" s="7637" t="n"/>
      <c r="AJ79" s="7638" t="n"/>
      <c r="AK79" s="3614" t="n"/>
      <c r="AL79" s="7637" t="n"/>
      <c r="AM79" s="7637" t="n"/>
      <c r="AN79" s="7637" t="n"/>
      <c r="AO79" s="7637" t="n"/>
      <c r="AP79" s="1277" t="n"/>
      <c r="BG79" s="769" t="n"/>
      <c r="BH79" s="658" t="n"/>
      <c r="BI79" s="658" t="n"/>
      <c r="BJ79" s="658" t="n"/>
      <c r="BK79" s="658" t="n"/>
      <c r="BL79" s="658" t="n"/>
      <c r="BM79" s="658" t="n"/>
      <c r="BN79" s="658" t="n"/>
      <c r="BO79" s="658" t="n"/>
      <c r="BP79" s="658" t="n"/>
    </row>
    <row r="80" ht="13.5" customHeight="1" s="7635">
      <c r="A80" s="1277" t="n"/>
      <c r="B80" s="4824" t="inlineStr">
        <is>
          <t>A</t>
        </is>
      </c>
      <c r="C80" s="12123" t="n"/>
      <c r="D80" s="8007" t="n"/>
      <c r="E80" s="8007" t="n"/>
      <c r="F80" s="8007" t="n"/>
      <c r="G80" s="8007" t="n"/>
      <c r="H80" s="8007" t="n"/>
      <c r="I80" s="8007" t="n"/>
      <c r="J80" s="8007" t="n"/>
      <c r="K80" s="8007" t="n"/>
      <c r="L80" s="8007" t="n"/>
      <c r="M80" s="8007" t="n"/>
      <c r="N80" s="8008" t="n"/>
      <c r="O80" s="276" t="n"/>
      <c r="P80" s="8007" t="n"/>
      <c r="Q80" s="8007" t="n"/>
      <c r="R80" s="8007" t="n"/>
      <c r="S80" s="8008" t="n"/>
      <c r="T80" s="4771" t="n"/>
      <c r="U80" s="773" t="n"/>
      <c r="V80" s="276" t="n"/>
      <c r="W80" s="773" t="n"/>
      <c r="X80" s="3951" t="n"/>
      <c r="Y80" s="325" t="n"/>
      <c r="Z80" s="8007" t="n"/>
      <c r="AA80" s="8007" t="n"/>
      <c r="AB80" s="8007" t="n"/>
      <c r="AC80" s="8007" t="n"/>
      <c r="AD80" s="8007" t="n"/>
      <c r="AE80" s="8008" t="n"/>
      <c r="AF80" s="4771" t="n"/>
      <c r="AG80" s="773" t="n"/>
      <c r="AH80" s="276" t="n"/>
      <c r="AI80" s="773" t="n"/>
      <c r="AJ80" s="3951" t="n"/>
      <c r="AK80" s="4771" t="n"/>
      <c r="AL80" s="773" t="n"/>
      <c r="AM80" s="276" t="n"/>
      <c r="AN80" s="773" t="n"/>
      <c r="AO80" s="773" t="n"/>
      <c r="AP80" s="1277" t="n"/>
      <c r="BG80" s="769" t="n"/>
      <c r="BH80" s="658" t="n"/>
      <c r="BI80" s="658" t="n"/>
      <c r="BJ80" s="658" t="n"/>
      <c r="BK80" s="658" t="n"/>
      <c r="BL80" s="658" t="n"/>
      <c r="BM80" s="658" t="n"/>
      <c r="BN80" s="658" t="n"/>
      <c r="BO80" s="658" t="n"/>
      <c r="BP80" s="658" t="n"/>
    </row>
    <row r="81" ht="13.5" customHeight="1" s="7635">
      <c r="A81" s="1277" t="n"/>
      <c r="B81" s="4824" t="inlineStr">
        <is>
          <t>B</t>
        </is>
      </c>
      <c r="C81" s="12123" t="n"/>
      <c r="D81" s="8007" t="n"/>
      <c r="E81" s="8007" t="n"/>
      <c r="F81" s="8007" t="n"/>
      <c r="G81" s="8007" t="n"/>
      <c r="H81" s="8007" t="n"/>
      <c r="I81" s="8007" t="n"/>
      <c r="J81" s="8007" t="n"/>
      <c r="K81" s="8007" t="n"/>
      <c r="L81" s="8007" t="n"/>
      <c r="M81" s="8007" t="n"/>
      <c r="N81" s="8008" t="n"/>
      <c r="O81" s="276" t="n"/>
      <c r="P81" s="8007" t="n"/>
      <c r="Q81" s="8007" t="n"/>
      <c r="R81" s="8007" t="n"/>
      <c r="S81" s="8008" t="n"/>
      <c r="T81" s="4771" t="n"/>
      <c r="U81" s="773" t="n"/>
      <c r="V81" s="276" t="n"/>
      <c r="W81" s="773" t="n"/>
      <c r="X81" s="3951" t="n"/>
      <c r="Y81" s="325" t="n"/>
      <c r="Z81" s="8007" t="n"/>
      <c r="AA81" s="8007" t="n"/>
      <c r="AB81" s="8007" t="n"/>
      <c r="AC81" s="8007" t="n"/>
      <c r="AD81" s="8007" t="n"/>
      <c r="AE81" s="8008" t="n"/>
      <c r="AF81" s="4771" t="n"/>
      <c r="AG81" s="773" t="n"/>
      <c r="AH81" s="276" t="n"/>
      <c r="AI81" s="773" t="n"/>
      <c r="AJ81" s="3951" t="n"/>
      <c r="AK81" s="4771" t="n"/>
      <c r="AL81" s="773" t="n"/>
      <c r="AM81" s="276" t="n"/>
      <c r="AN81" s="773" t="n"/>
      <c r="AO81" s="773" t="n"/>
      <c r="AP81" s="1277" t="n"/>
      <c r="BG81" s="769" t="n"/>
      <c r="BH81" s="658" t="n"/>
      <c r="BI81" s="658" t="n"/>
      <c r="BJ81" s="658" t="n"/>
      <c r="BK81" s="658" t="n"/>
      <c r="BL81" s="658" t="n"/>
      <c r="BM81" s="658" t="n"/>
      <c r="BN81" s="658" t="n"/>
      <c r="BO81" s="658" t="n"/>
      <c r="BP81" s="658" t="n"/>
    </row>
    <row r="82" ht="13.5" customHeight="1" s="7635">
      <c r="A82" s="1277" t="n"/>
      <c r="B82" s="4824" t="inlineStr">
        <is>
          <t>C</t>
        </is>
      </c>
      <c r="C82" s="12123" t="n"/>
      <c r="D82" s="8007" t="n"/>
      <c r="E82" s="8007" t="n"/>
      <c r="F82" s="8007" t="n"/>
      <c r="G82" s="8007" t="n"/>
      <c r="H82" s="8007" t="n"/>
      <c r="I82" s="8007" t="n"/>
      <c r="J82" s="8007" t="n"/>
      <c r="K82" s="8007" t="n"/>
      <c r="L82" s="8007" t="n"/>
      <c r="M82" s="8007" t="n"/>
      <c r="N82" s="8008" t="n"/>
      <c r="O82" s="276" t="n"/>
      <c r="P82" s="8007" t="n"/>
      <c r="Q82" s="8007" t="n"/>
      <c r="R82" s="8007" t="n"/>
      <c r="S82" s="8008" t="n"/>
      <c r="T82" s="4771" t="n"/>
      <c r="U82" s="773" t="n"/>
      <c r="V82" s="276" t="n"/>
      <c r="W82" s="773" t="n"/>
      <c r="X82" s="3951" t="n"/>
      <c r="Y82" s="325" t="n"/>
      <c r="Z82" s="8007" t="n"/>
      <c r="AA82" s="8007" t="n"/>
      <c r="AB82" s="8007" t="n"/>
      <c r="AC82" s="8007" t="n"/>
      <c r="AD82" s="8007" t="n"/>
      <c r="AE82" s="8008" t="n"/>
      <c r="AF82" s="4771" t="n"/>
      <c r="AG82" s="773" t="n"/>
      <c r="AH82" s="276" t="n"/>
      <c r="AI82" s="773" t="n"/>
      <c r="AJ82" s="3951" t="n"/>
      <c r="AK82" s="4771" t="n"/>
      <c r="AL82" s="773" t="n"/>
      <c r="AM82" s="276" t="n"/>
      <c r="AN82" s="773" t="n"/>
      <c r="AO82" s="773" t="n"/>
      <c r="AP82" s="1277" t="n"/>
      <c r="BG82" s="769" t="n"/>
      <c r="BH82" s="658" t="n"/>
      <c r="BI82" s="658" t="n"/>
      <c r="BJ82" s="658" t="n"/>
      <c r="BK82" s="658" t="n"/>
      <c r="BL82" s="658" t="n"/>
      <c r="BM82" s="658" t="n"/>
      <c r="BN82" s="658" t="n"/>
      <c r="BO82" s="658" t="n"/>
      <c r="BP82" s="658" t="n"/>
    </row>
    <row r="83" ht="13.5" customHeight="1" s="7635">
      <c r="A83" s="1277" t="n"/>
      <c r="B83" s="4824" t="inlineStr">
        <is>
          <t>D</t>
        </is>
      </c>
      <c r="C83" s="12123" t="n"/>
      <c r="D83" s="8007" t="n"/>
      <c r="E83" s="8007" t="n"/>
      <c r="F83" s="8007" t="n"/>
      <c r="G83" s="8007" t="n"/>
      <c r="H83" s="8007" t="n"/>
      <c r="I83" s="8007" t="n"/>
      <c r="J83" s="8007" t="n"/>
      <c r="K83" s="8007" t="n"/>
      <c r="L83" s="8007" t="n"/>
      <c r="M83" s="8007" t="n"/>
      <c r="N83" s="8008" t="n"/>
      <c r="O83" s="276" t="n"/>
      <c r="P83" s="8007" t="n"/>
      <c r="Q83" s="8007" t="n"/>
      <c r="R83" s="8007" t="n"/>
      <c r="S83" s="8008" t="n"/>
      <c r="T83" s="4771" t="n"/>
      <c r="U83" s="773" t="n"/>
      <c r="V83" s="276" t="n"/>
      <c r="W83" s="773" t="n"/>
      <c r="X83" s="3951" t="n"/>
      <c r="Y83" s="325" t="n"/>
      <c r="Z83" s="8007" t="n"/>
      <c r="AA83" s="8007" t="n"/>
      <c r="AB83" s="8007" t="n"/>
      <c r="AC83" s="8007" t="n"/>
      <c r="AD83" s="8007" t="n"/>
      <c r="AE83" s="8008" t="n"/>
      <c r="AF83" s="4771" t="n"/>
      <c r="AG83" s="773" t="n"/>
      <c r="AH83" s="276" t="n"/>
      <c r="AI83" s="773" t="n"/>
      <c r="AJ83" s="3951" t="n"/>
      <c r="AK83" s="4771" t="n"/>
      <c r="AL83" s="773" t="n"/>
      <c r="AM83" s="276" t="n"/>
      <c r="AN83" s="773" t="n"/>
      <c r="AO83" s="773" t="n"/>
      <c r="AP83" s="1277" t="n"/>
      <c r="BG83" s="769" t="n"/>
      <c r="BH83" s="658" t="n"/>
      <c r="BI83" s="658" t="n"/>
      <c r="BJ83" s="658" t="n"/>
      <c r="BK83" s="658" t="n"/>
      <c r="BL83" s="658" t="n"/>
      <c r="BM83" s="658" t="n"/>
      <c r="BN83" s="658" t="n"/>
      <c r="BO83" s="658" t="n"/>
      <c r="BP83" s="658" t="n"/>
    </row>
    <row r="84" ht="17.25" customHeight="1" s="7635">
      <c r="A84" s="1277" t="n"/>
      <c r="B84" s="8384" t="inlineStr">
        <is>
          <t>Passive Income and Loss</t>
        </is>
      </c>
      <c r="C84" s="7839" t="n"/>
      <c r="D84" s="7839" t="n"/>
      <c r="E84" s="7839" t="n"/>
      <c r="F84" s="7839" t="n"/>
      <c r="G84" s="7839" t="n"/>
      <c r="H84" s="7839" t="n"/>
      <c r="I84" s="7839" t="n"/>
      <c r="J84" s="7839" t="n"/>
      <c r="K84" s="7839" t="n"/>
      <c r="L84" s="7839" t="n"/>
      <c r="M84" s="7839" t="n"/>
      <c r="N84" s="7839" t="n"/>
      <c r="O84" s="7839" t="n"/>
      <c r="P84" s="7839" t="n"/>
      <c r="Q84" s="7839" t="n"/>
      <c r="R84" s="7839" t="n"/>
      <c r="S84" s="8477" t="inlineStr">
        <is>
          <t>Nonpassive Income and Loss</t>
        </is>
      </c>
      <c r="T84" s="8412" t="n"/>
      <c r="U84" s="8412" t="n"/>
      <c r="V84" s="8412" t="n"/>
      <c r="W84" s="8412" t="n"/>
      <c r="X84" s="8412" t="n"/>
      <c r="Y84" s="8412" t="n"/>
      <c r="Z84" s="8412" t="n"/>
      <c r="AA84" s="8412" t="n"/>
      <c r="AB84" s="8412" t="n"/>
      <c r="AC84" s="8412" t="n"/>
      <c r="AD84" s="8412" t="n"/>
      <c r="AE84" s="8412" t="n"/>
      <c r="AF84" s="8412" t="n"/>
      <c r="AG84" s="8412" t="n"/>
      <c r="AH84" s="8412" t="n"/>
      <c r="AI84" s="8412" t="n"/>
      <c r="AJ84" s="8412" t="n"/>
      <c r="AK84" s="8412" t="n"/>
      <c r="AL84" s="8412" t="n"/>
      <c r="AM84" s="8412" t="n"/>
      <c r="AN84" s="8412" t="n"/>
      <c r="AO84" s="8412" t="n"/>
      <c r="AP84" s="1277" t="n"/>
      <c r="BG84" s="769" t="n"/>
      <c r="BH84" s="658" t="n"/>
      <c r="BI84" s="658" t="n"/>
      <c r="BJ84" s="658" t="n"/>
      <c r="BK84" s="658" t="n"/>
      <c r="BL84" s="658" t="n"/>
      <c r="BM84" s="658" t="n"/>
      <c r="BN84" s="658" t="n"/>
      <c r="BO84" s="658" t="n"/>
      <c r="BP84" s="658" t="n"/>
    </row>
    <row r="85" ht="12.75" customHeight="1" s="7635">
      <c r="A85" s="1277" t="n"/>
      <c r="B85" s="406" t="n"/>
      <c r="C85" s="12124" t="inlineStr">
        <is>
          <t>(g)  Passive loss allowed
(attach Form 8582 if required)</t>
        </is>
      </c>
      <c r="D85" s="7839" t="n"/>
      <c r="E85" s="7839" t="n"/>
      <c r="F85" s="7839" t="n"/>
      <c r="G85" s="7839" t="n"/>
      <c r="H85" s="7839" t="n"/>
      <c r="I85" s="7839" t="n"/>
      <c r="J85" s="10091" t="n"/>
      <c r="K85" s="10176" t="inlineStr">
        <is>
          <t>(h)  Passive income
from Schedule K-1</t>
        </is>
      </c>
      <c r="L85" s="7839" t="n"/>
      <c r="M85" s="7839" t="n"/>
      <c r="N85" s="7839" t="n"/>
      <c r="O85" s="7839" t="n"/>
      <c r="P85" s="7839" t="n"/>
      <c r="Q85" s="7839" t="n"/>
      <c r="R85" s="7839" t="n"/>
      <c r="S85" s="12125" t="inlineStr">
        <is>
          <t>(i)  Nonpassive loss allowed
(see Schedule K-1)</t>
        </is>
      </c>
      <c r="T85" s="7839" t="n"/>
      <c r="U85" s="7839" t="n"/>
      <c r="V85" s="7839" t="n"/>
      <c r="W85" s="7839" t="n"/>
      <c r="X85" s="7839" t="n"/>
      <c r="Y85" s="10091" t="n"/>
      <c r="Z85" s="12126" t="inlineStr">
        <is>
          <t>(j)  Section 179 expense
deduction from Form 4562</t>
        </is>
      </c>
      <c r="AA85" s="7839" t="n"/>
      <c r="AB85" s="7839" t="n"/>
      <c r="AC85" s="7839" t="n"/>
      <c r="AD85" s="7839" t="n"/>
      <c r="AE85" s="7839" t="n"/>
      <c r="AF85" s="7839" t="n"/>
      <c r="AG85" s="10091" t="n"/>
      <c r="AH85" s="10176" t="inlineStr">
        <is>
          <t>(k)  Nonpassive income
from Schedule K-1</t>
        </is>
      </c>
      <c r="AI85" s="7839" t="n"/>
      <c r="AJ85" s="7839" t="n"/>
      <c r="AK85" s="7839" t="n"/>
      <c r="AL85" s="7839" t="n"/>
      <c r="AM85" s="7839" t="n"/>
      <c r="AN85" s="7839" t="n"/>
      <c r="AO85" s="7839" t="n"/>
      <c r="AP85" s="1277" t="n"/>
      <c r="BG85" s="769" t="n"/>
      <c r="BH85" s="658" t="n"/>
      <c r="BI85" s="658" t="n"/>
      <c r="BJ85" s="658" t="n"/>
      <c r="BK85" s="658" t="n"/>
      <c r="BL85" s="658" t="n"/>
      <c r="BM85" s="658" t="n"/>
      <c r="BN85" s="658" t="n"/>
      <c r="BO85" s="658" t="n"/>
      <c r="BP85" s="658" t="n"/>
    </row>
    <row r="86" ht="12.75" customHeight="1" s="7635">
      <c r="A86" s="1277" t="n"/>
      <c r="B86" s="11602" t="n"/>
      <c r="J86" s="7636" t="n"/>
      <c r="K86" s="4772" t="n"/>
      <c r="S86" s="11741" t="n"/>
      <c r="Y86" s="7636" t="n"/>
      <c r="Z86" s="4772" t="n"/>
      <c r="AG86" s="7636" t="n"/>
      <c r="AH86" s="4772" t="n"/>
      <c r="AP86" s="1277" t="n"/>
      <c r="BG86" s="769" t="n"/>
      <c r="BH86" s="658" t="n"/>
      <c r="BI86" s="658" t="n"/>
      <c r="BJ86" s="658" t="n"/>
      <c r="BK86" s="658" t="n"/>
      <c r="BL86" s="658" t="n"/>
      <c r="BM86" s="658" t="n"/>
      <c r="BN86" s="658" t="n"/>
      <c r="BO86" s="658" t="n"/>
      <c r="BP86" s="658" t="n"/>
    </row>
    <row r="87" ht="12.75" customHeight="1" s="7635">
      <c r="A87" s="1277" t="n"/>
      <c r="B87" s="413" t="n"/>
      <c r="C87" s="7637" t="n"/>
      <c r="D87" s="7637" t="n"/>
      <c r="E87" s="7637" t="n"/>
      <c r="F87" s="7637" t="n"/>
      <c r="G87" s="7637" t="n"/>
      <c r="H87" s="7637" t="n"/>
      <c r="I87" s="7637" t="n"/>
      <c r="J87" s="7638" t="n"/>
      <c r="K87" s="3614" t="n"/>
      <c r="L87" s="7637" t="n"/>
      <c r="M87" s="7637" t="n"/>
      <c r="N87" s="7637" t="n"/>
      <c r="O87" s="7637" t="n"/>
      <c r="P87" s="7637" t="n"/>
      <c r="Q87" s="7637" t="n"/>
      <c r="R87" s="7637" t="n"/>
      <c r="S87" s="11907" t="n"/>
      <c r="T87" s="7637" t="n"/>
      <c r="U87" s="7637" t="n"/>
      <c r="V87" s="7637" t="n"/>
      <c r="W87" s="7637" t="n"/>
      <c r="X87" s="7637" t="n"/>
      <c r="Y87" s="7638" t="n"/>
      <c r="Z87" s="3614" t="n"/>
      <c r="AA87" s="7637" t="n"/>
      <c r="AB87" s="7637" t="n"/>
      <c r="AC87" s="7637" t="n"/>
      <c r="AD87" s="7637" t="n"/>
      <c r="AE87" s="7637" t="n"/>
      <c r="AF87" s="7637" t="n"/>
      <c r="AG87" s="7638" t="n"/>
      <c r="AH87" s="3614" t="n"/>
      <c r="AI87" s="7637" t="n"/>
      <c r="AJ87" s="7637" t="n"/>
      <c r="AK87" s="7637" t="n"/>
      <c r="AL87" s="7637" t="n"/>
      <c r="AM87" s="7637" t="n"/>
      <c r="AN87" s="7637" t="n"/>
      <c r="AO87" s="7637" t="n"/>
      <c r="AP87" s="1277" t="n"/>
      <c r="BG87" s="769" t="n"/>
      <c r="BH87" s="658" t="n"/>
      <c r="BI87" s="658" t="n"/>
      <c r="BJ87" s="658" t="n"/>
      <c r="BK87" s="658" t="n"/>
      <c r="BL87" s="658" t="n"/>
      <c r="BM87" s="658" t="n"/>
      <c r="BN87" s="658" t="n"/>
      <c r="BO87" s="658" t="n"/>
      <c r="BP87" s="658" t="n"/>
    </row>
    <row r="88" ht="13.5" customHeight="1" s="7635">
      <c r="A88" s="1277" t="n"/>
      <c r="B88" s="11220" t="inlineStr">
        <is>
          <t>A</t>
        </is>
      </c>
      <c r="C88" s="8401" t="n"/>
      <c r="D88" s="8007" t="n"/>
      <c r="E88" s="8007" t="n"/>
      <c r="F88" s="8007" t="n"/>
      <c r="G88" s="8007" t="n"/>
      <c r="H88" s="8007" t="n"/>
      <c r="I88" s="8007" t="n"/>
      <c r="J88" s="8008" t="n"/>
      <c r="K88" s="12127" t="n"/>
      <c r="L88" s="8007" t="n"/>
      <c r="M88" s="8007" t="n"/>
      <c r="N88" s="8007" t="n"/>
      <c r="O88" s="8007" t="n"/>
      <c r="P88" s="8007" t="n"/>
      <c r="Q88" s="8007" t="n"/>
      <c r="R88" s="12128" t="n"/>
      <c r="S88" s="8402" t="n"/>
      <c r="T88" s="8007" t="n"/>
      <c r="U88" s="8007" t="n"/>
      <c r="V88" s="8007" t="n"/>
      <c r="W88" s="8007" t="n"/>
      <c r="X88" s="8007" t="n"/>
      <c r="Y88" s="8007" t="n"/>
      <c r="Z88" s="8401" t="n"/>
      <c r="AA88" s="8007" t="n"/>
      <c r="AB88" s="8007" t="n"/>
      <c r="AC88" s="8007" t="n"/>
      <c r="AD88" s="8007" t="n"/>
      <c r="AE88" s="8007" t="n"/>
      <c r="AF88" s="8007" t="n"/>
      <c r="AG88" s="8008" t="n"/>
      <c r="AH88" s="8402" t="n"/>
      <c r="AI88" s="8007" t="n"/>
      <c r="AJ88" s="8007" t="n"/>
      <c r="AK88" s="8007" t="n"/>
      <c r="AL88" s="8007" t="n"/>
      <c r="AM88" s="8007" t="n"/>
      <c r="AN88" s="8007" t="n"/>
      <c r="AO88" s="8007" t="n"/>
      <c r="AP88" s="1277" t="n"/>
      <c r="BG88" s="769" t="n"/>
      <c r="BH88" s="658" t="n"/>
      <c r="BI88" s="658" t="n"/>
      <c r="BJ88" s="658" t="n"/>
      <c r="BK88" s="658" t="n"/>
      <c r="BL88" s="658" t="n"/>
      <c r="BM88" s="658" t="n"/>
      <c r="BN88" s="658" t="n"/>
      <c r="BO88" s="658" t="n"/>
      <c r="BP88" s="658" t="n"/>
    </row>
    <row r="89" ht="13.5" customHeight="1" s="7635">
      <c r="A89" s="1277" t="n"/>
      <c r="B89" s="4824" t="inlineStr">
        <is>
          <t>B</t>
        </is>
      </c>
      <c r="C89" s="8401" t="n"/>
      <c r="D89" s="8007" t="n"/>
      <c r="E89" s="8007" t="n"/>
      <c r="F89" s="8007" t="n"/>
      <c r="G89" s="8007" t="n"/>
      <c r="H89" s="8007" t="n"/>
      <c r="I89" s="8007" t="n"/>
      <c r="J89" s="8008" t="n"/>
      <c r="K89" s="12127" t="n"/>
      <c r="L89" s="8007" t="n"/>
      <c r="M89" s="8007" t="n"/>
      <c r="N89" s="8007" t="n"/>
      <c r="O89" s="8007" t="n"/>
      <c r="P89" s="8007" t="n"/>
      <c r="Q89" s="8007" t="n"/>
      <c r="R89" s="12128" t="n"/>
      <c r="S89" s="8402" t="n"/>
      <c r="T89" s="8007" t="n"/>
      <c r="U89" s="8007" t="n"/>
      <c r="V89" s="8007" t="n"/>
      <c r="W89" s="8007" t="n"/>
      <c r="X89" s="8007" t="n"/>
      <c r="Y89" s="8007" t="n"/>
      <c r="Z89" s="8401" t="n"/>
      <c r="AA89" s="8007" t="n"/>
      <c r="AB89" s="8007" t="n"/>
      <c r="AC89" s="8007" t="n"/>
      <c r="AD89" s="8007" t="n"/>
      <c r="AE89" s="8007" t="n"/>
      <c r="AF89" s="8007" t="n"/>
      <c r="AG89" s="8008" t="n"/>
      <c r="AH89" s="8402" t="n"/>
      <c r="AI89" s="8007" t="n"/>
      <c r="AJ89" s="8007" t="n"/>
      <c r="AK89" s="8007" t="n"/>
      <c r="AL89" s="8007" t="n"/>
      <c r="AM89" s="8007" t="n"/>
      <c r="AN89" s="8007" t="n"/>
      <c r="AO89" s="8007" t="n"/>
      <c r="AP89" s="1277" t="n"/>
      <c r="BG89" s="769" t="n"/>
      <c r="BH89" s="658" t="n"/>
      <c r="BI89" s="658" t="n"/>
      <c r="BJ89" s="658" t="n"/>
      <c r="BK89" s="658" t="n"/>
      <c r="BL89" s="658" t="n"/>
      <c r="BM89" s="658" t="n"/>
      <c r="BN89" s="658" t="n"/>
      <c r="BO89" s="658" t="n"/>
      <c r="BP89" s="658" t="n"/>
    </row>
    <row r="90" ht="13.5" customHeight="1" s="7635">
      <c r="A90" s="1277" t="n"/>
      <c r="B90" s="4824" t="inlineStr">
        <is>
          <t>C</t>
        </is>
      </c>
      <c r="C90" s="8401" t="n"/>
      <c r="D90" s="8007" t="n"/>
      <c r="E90" s="8007" t="n"/>
      <c r="F90" s="8007" t="n"/>
      <c r="G90" s="8007" t="n"/>
      <c r="H90" s="8007" t="n"/>
      <c r="I90" s="8007" t="n"/>
      <c r="J90" s="8008" t="n"/>
      <c r="K90" s="12127" t="n"/>
      <c r="L90" s="8007" t="n"/>
      <c r="M90" s="8007" t="n"/>
      <c r="N90" s="8007" t="n"/>
      <c r="O90" s="8007" t="n"/>
      <c r="P90" s="8007" t="n"/>
      <c r="Q90" s="8007" t="n"/>
      <c r="R90" s="12128" t="n"/>
      <c r="S90" s="8402" t="n"/>
      <c r="T90" s="8007" t="n"/>
      <c r="U90" s="8007" t="n"/>
      <c r="V90" s="8007" t="n"/>
      <c r="W90" s="8007" t="n"/>
      <c r="X90" s="8007" t="n"/>
      <c r="Y90" s="8007" t="n"/>
      <c r="Z90" s="8401" t="n"/>
      <c r="AA90" s="8007" t="n"/>
      <c r="AB90" s="8007" t="n"/>
      <c r="AC90" s="8007" t="n"/>
      <c r="AD90" s="8007" t="n"/>
      <c r="AE90" s="8007" t="n"/>
      <c r="AF90" s="8007" t="n"/>
      <c r="AG90" s="8008" t="n"/>
      <c r="AH90" s="8402" t="n"/>
      <c r="AI90" s="8007" t="n"/>
      <c r="AJ90" s="8007" t="n"/>
      <c r="AK90" s="8007" t="n"/>
      <c r="AL90" s="8007" t="n"/>
      <c r="AM90" s="8007" t="n"/>
      <c r="AN90" s="8007" t="n"/>
      <c r="AO90" s="8007" t="n"/>
      <c r="AP90" s="1277" t="n"/>
      <c r="BG90" s="769" t="n"/>
      <c r="BH90" s="658" t="n"/>
      <c r="BI90" s="658" t="n"/>
      <c r="BJ90" s="658" t="n"/>
      <c r="BK90" s="658" t="n"/>
      <c r="BL90" s="658" t="n"/>
      <c r="BM90" s="658" t="n"/>
      <c r="BN90" s="658" t="n"/>
      <c r="BO90" s="658" t="n"/>
      <c r="BP90" s="658" t="n"/>
    </row>
    <row r="91" ht="13.5" customHeight="1" s="7635">
      <c r="A91" s="1277" t="n"/>
      <c r="B91" s="4824" t="inlineStr">
        <is>
          <t>D</t>
        </is>
      </c>
      <c r="C91" s="8401" t="n"/>
      <c r="D91" s="8007" t="n"/>
      <c r="E91" s="8007" t="n"/>
      <c r="F91" s="8007" t="n"/>
      <c r="G91" s="8007" t="n"/>
      <c r="H91" s="8007" t="n"/>
      <c r="I91" s="8007" t="n"/>
      <c r="J91" s="8008" t="n"/>
      <c r="K91" s="12127" t="n"/>
      <c r="L91" s="8007" t="n"/>
      <c r="M91" s="8007" t="n"/>
      <c r="N91" s="8007" t="n"/>
      <c r="O91" s="8007" t="n"/>
      <c r="P91" s="8007" t="n"/>
      <c r="Q91" s="8007" t="n"/>
      <c r="R91" s="12128" t="n"/>
      <c r="S91" s="8402" t="n"/>
      <c r="T91" s="8007" t="n"/>
      <c r="U91" s="8007" t="n"/>
      <c r="V91" s="8007" t="n"/>
      <c r="W91" s="8007" t="n"/>
      <c r="X91" s="8007" t="n"/>
      <c r="Y91" s="8007" t="n"/>
      <c r="Z91" s="8401" t="n"/>
      <c r="AA91" s="8007" t="n"/>
      <c r="AB91" s="8007" t="n"/>
      <c r="AC91" s="8007" t="n"/>
      <c r="AD91" s="8007" t="n"/>
      <c r="AE91" s="8007" t="n"/>
      <c r="AF91" s="8007" t="n"/>
      <c r="AG91" s="8008" t="n"/>
      <c r="AH91" s="8402" t="n"/>
      <c r="AI91" s="8007" t="n"/>
      <c r="AJ91" s="8007" t="n"/>
      <c r="AK91" s="8007" t="n"/>
      <c r="AL91" s="8007" t="n"/>
      <c r="AM91" s="8007" t="n"/>
      <c r="AN91" s="8007" t="n"/>
      <c r="AO91" s="8007" t="n"/>
      <c r="AP91" s="1277" t="n"/>
      <c r="BG91" s="769" t="n"/>
      <c r="BH91" s="658" t="n"/>
      <c r="BI91" s="658" t="n"/>
      <c r="BJ91" s="658" t="n"/>
      <c r="BK91" s="658" t="n"/>
      <c r="BL91" s="658" t="n"/>
      <c r="BM91" s="658" t="n"/>
      <c r="BN91" s="658" t="n"/>
      <c r="BO91" s="658" t="n"/>
      <c r="BP91" s="658" t="n"/>
    </row>
    <row r="92" ht="13.5" customHeight="1" s="7635">
      <c r="A92" s="1277" t="n"/>
      <c r="B92" s="8384" t="inlineStr">
        <is>
          <t>29a</t>
        </is>
      </c>
      <c r="C92" s="7839" t="n"/>
      <c r="D92" s="9892" t="n"/>
      <c r="E92" s="9892" t="inlineStr">
        <is>
          <t>Totals</t>
        </is>
      </c>
      <c r="F92" s="4825" t="n"/>
      <c r="G92" s="3835" t="n"/>
      <c r="H92" s="3835" t="n"/>
      <c r="I92" s="3835" t="n"/>
      <c r="J92" s="4826" t="n"/>
      <c r="K92" s="12129">
        <f>ROUND(SUM(K88:K91),0)</f>
        <v/>
      </c>
      <c r="L92" s="8412" t="n"/>
      <c r="M92" s="8412" t="n"/>
      <c r="N92" s="8412" t="n"/>
      <c r="O92" s="8412" t="n"/>
      <c r="P92" s="8412" t="n"/>
      <c r="Q92" s="8412" t="n"/>
      <c r="R92" s="12130" t="n"/>
      <c r="S92" s="8486" t="n"/>
      <c r="T92" s="8007" t="n"/>
      <c r="U92" s="8007" t="n"/>
      <c r="V92" s="8007" t="n"/>
      <c r="W92" s="8007" t="n"/>
      <c r="X92" s="8007" t="n"/>
      <c r="Y92" s="8007" t="n"/>
      <c r="Z92" s="3835" t="n"/>
      <c r="AA92" s="3835" t="n"/>
      <c r="AB92" s="3835" t="n"/>
      <c r="AC92" s="3835" t="n"/>
      <c r="AD92" s="3835" t="n"/>
      <c r="AE92" s="3835" t="n"/>
      <c r="AF92" s="3835" t="n"/>
      <c r="AG92" s="4826" t="n"/>
      <c r="AH92" s="8408">
        <f>ROUND(SUM(AH88:AH91),0)</f>
        <v/>
      </c>
      <c r="AI92" s="8412" t="n"/>
      <c r="AJ92" s="8412" t="n"/>
      <c r="AK92" s="8412" t="n"/>
      <c r="AL92" s="8412" t="n"/>
      <c r="AM92" s="8412" t="n"/>
      <c r="AN92" s="8412" t="n"/>
      <c r="AO92" s="8412" t="n"/>
      <c r="AP92" s="1277" t="n"/>
      <c r="BG92" s="769" t="n"/>
      <c r="BH92" s="658" t="n"/>
      <c r="BI92" s="658" t="n"/>
      <c r="BJ92" s="658" t="n"/>
      <c r="BK92" s="658" t="n"/>
      <c r="BL92" s="658" t="n"/>
      <c r="BM92" s="658" t="n"/>
      <c r="BN92" s="658" t="n"/>
      <c r="BO92" s="658" t="n"/>
      <c r="BP92" s="658" t="n"/>
    </row>
    <row r="93" ht="13.5" customHeight="1" s="7635">
      <c r="A93" s="1277" t="n"/>
      <c r="B93" s="7899" t="inlineStr">
        <is>
          <t>b</t>
        </is>
      </c>
      <c r="D93" s="8650" t="n"/>
      <c r="E93" s="9892" t="inlineStr">
        <is>
          <t>Totals</t>
        </is>
      </c>
      <c r="F93" s="12131">
        <f>ROUND(SUM(C88:C91),0)</f>
        <v/>
      </c>
      <c r="G93" s="8412" t="n"/>
      <c r="H93" s="8412" t="n"/>
      <c r="I93" s="8412" t="n"/>
      <c r="J93" s="11734" t="n"/>
      <c r="K93" s="12132" t="n"/>
      <c r="L93" s="8412" t="n"/>
      <c r="M93" s="8412" t="n"/>
      <c r="N93" s="8412" t="n"/>
      <c r="O93" s="8412" t="n"/>
      <c r="P93" s="8412" t="n"/>
      <c r="Q93" s="8412" t="n"/>
      <c r="R93" s="12130" t="n"/>
      <c r="S93" s="12133">
        <f>ROUND(SUM(S88:S91),0)</f>
        <v/>
      </c>
      <c r="T93" s="8412" t="n"/>
      <c r="U93" s="8412" t="n"/>
      <c r="V93" s="8412" t="n"/>
      <c r="W93" s="8412" t="n"/>
      <c r="X93" s="8412" t="n"/>
      <c r="Y93" s="11734" t="n"/>
      <c r="Z93" s="8494">
        <f>ROUND(SUM(Z88:Z91),0)</f>
        <v/>
      </c>
      <c r="AA93" s="8412" t="n"/>
      <c r="AB93" s="8412" t="n"/>
      <c r="AC93" s="8412" t="n"/>
      <c r="AD93" s="8412" t="n"/>
      <c r="AE93" s="8412" t="n"/>
      <c r="AF93" s="8412" t="n"/>
      <c r="AG93" s="11734" t="n"/>
      <c r="AH93" s="8495" t="n"/>
      <c r="AI93" s="8412" t="n"/>
      <c r="AJ93" s="8412" t="n"/>
      <c r="AK93" s="8412" t="n"/>
      <c r="AL93" s="8412" t="n"/>
      <c r="AM93" s="8412" t="n"/>
      <c r="AN93" s="8412" t="n"/>
      <c r="AO93" s="11734" t="n"/>
      <c r="AP93" s="1277" t="n"/>
      <c r="BG93" s="769" t="n"/>
      <c r="BH93" s="658" t="n"/>
      <c r="BI93" s="658" t="n"/>
      <c r="BJ93" s="658" t="n"/>
      <c r="BK93" s="658" t="n"/>
      <c r="BL93" s="658" t="n"/>
      <c r="BM93" s="658" t="n"/>
      <c r="BN93" s="658" t="n"/>
      <c r="BO93" s="658" t="n"/>
      <c r="BP93" s="658" t="n"/>
    </row>
    <row r="94" ht="12.75" customHeight="1" s="7635">
      <c r="A94" s="1277" t="n"/>
      <c r="B94" s="7642" t="n">
        <v>30</v>
      </c>
      <c r="D94" s="8650" t="inlineStr">
        <is>
          <t>Add columns (h) and (k) of line 29a</t>
        </is>
      </c>
      <c r="E94" s="11602" t="n"/>
      <c r="F94" s="11602" t="n"/>
      <c r="G94" s="11602" t="n"/>
      <c r="H94" s="11602" t="n"/>
      <c r="I94" s="11602" t="n"/>
      <c r="J94" s="11602" t="n"/>
      <c r="K94" s="11602" t="n"/>
      <c r="L94" s="11602" t="n"/>
      <c r="M94" s="11602" t="n"/>
      <c r="N94" s="11602" t="n"/>
      <c r="O94" s="11602" t="n"/>
      <c r="P94" s="11602" t="n"/>
      <c r="Q94" s="11602" t="n"/>
      <c r="R94" s="11602" t="n"/>
      <c r="S94" s="11602" t="n"/>
      <c r="T94" s="11602" t="n"/>
      <c r="U94" s="11602" t="n"/>
      <c r="V94" s="11602" t="n"/>
      <c r="W94" s="11602" t="n"/>
      <c r="X94" s="11602" t="n"/>
      <c r="Y94" s="11602" t="n"/>
      <c r="Z94" s="11602" t="n"/>
      <c r="AA94" s="11602" t="n"/>
      <c r="AB94" s="11602" t="n"/>
      <c r="AC94" s="11602" t="n"/>
      <c r="AD94" s="11602" t="n"/>
      <c r="AE94" s="2198" t="inlineStr">
        <is>
          <t xml:space="preserve">.   .   .   .   .   .   .   .   .   .   .   .   .   .   .   .   .   .   .   .   .   .   .   . </t>
        </is>
      </c>
      <c r="AF94" s="12134" t="n">
        <v>30</v>
      </c>
      <c r="AG94" s="10091" t="n"/>
      <c r="AH94" s="8413">
        <f>SUM(K92,AH92)</f>
        <v/>
      </c>
      <c r="AI94" s="8412" t="n"/>
      <c r="AJ94" s="8412" t="n"/>
      <c r="AK94" s="8412" t="n"/>
      <c r="AL94" s="8412" t="n"/>
      <c r="AM94" s="8412" t="n"/>
      <c r="AN94" s="8412" t="n"/>
      <c r="AO94" s="8412" t="n"/>
      <c r="AP94" s="1277" t="n"/>
      <c r="AQ94" s="2875" t="n"/>
      <c r="AR94" s="2875" t="n"/>
      <c r="AS94" s="2875" t="n"/>
      <c r="BG94" s="769" t="n"/>
      <c r="BH94" s="658" t="n"/>
      <c r="BI94" s="658" t="n"/>
      <c r="BJ94" s="658" t="n"/>
      <c r="BK94" s="658" t="n"/>
      <c r="BL94" s="658" t="n"/>
      <c r="BM94" s="658" t="n"/>
      <c r="BN94" s="658" t="n"/>
      <c r="BO94" s="658" t="n"/>
      <c r="BP94" s="658" t="n"/>
    </row>
    <row r="95" ht="12.75" customHeight="1" s="7635" thickBot="1">
      <c r="A95" s="1277" t="n"/>
      <c r="B95" s="7642" t="n">
        <v>31</v>
      </c>
      <c r="D95" s="8650" t="inlineStr">
        <is>
          <t>Add columns (g), (i), and (j) of line 29b</t>
        </is>
      </c>
      <c r="E95" s="11602" t="n"/>
      <c r="F95" s="11602" t="n"/>
      <c r="G95" s="11602" t="n"/>
      <c r="H95" s="11602" t="n"/>
      <c r="I95" s="11602" t="n"/>
      <c r="J95" s="11602" t="n"/>
      <c r="K95" s="11602" t="n"/>
      <c r="L95" s="11602" t="n"/>
      <c r="M95" s="11602" t="n"/>
      <c r="N95" s="11602" t="n"/>
      <c r="O95" s="11602" t="n"/>
      <c r="P95" s="11602" t="n"/>
      <c r="Q95" s="11602" t="n"/>
      <c r="R95" s="11602" t="n"/>
      <c r="S95" s="11602" t="n"/>
      <c r="T95" s="11602" t="n"/>
      <c r="U95" s="11602" t="n"/>
      <c r="V95" s="11602" t="n"/>
      <c r="W95" s="11602" t="n"/>
      <c r="X95" s="11602" t="n"/>
      <c r="Y95" s="11602" t="n"/>
      <c r="Z95" s="11602" t="n"/>
      <c r="AA95" s="11602" t="n"/>
      <c r="AB95" s="11602" t="n"/>
      <c r="AC95" s="11602" t="n"/>
      <c r="AD95" s="11602" t="n"/>
      <c r="AE95" s="2198" t="inlineStr">
        <is>
          <t xml:space="preserve">.   .   .   .   .   .   .   .   .   .   .   .   .   .   .   .   .   .   .   .   .   .   . </t>
        </is>
      </c>
      <c r="AF95" s="12134" t="n">
        <v>31</v>
      </c>
      <c r="AG95" s="10091" t="n"/>
      <c r="AH95" s="4827" t="inlineStr">
        <is>
          <t>(</t>
        </is>
      </c>
      <c r="AI95" s="8480">
        <f>SUM(F93,S93,Z93)</f>
        <v/>
      </c>
      <c r="AJ95" s="7839" t="n"/>
      <c r="AK95" s="7839" t="n"/>
      <c r="AL95" s="7839" t="n"/>
      <c r="AM95" s="7839" t="n"/>
      <c r="AN95" s="7839" t="n"/>
      <c r="AO95" s="4828" t="inlineStr">
        <is>
          <t>)</t>
        </is>
      </c>
      <c r="AP95" s="1277" t="n"/>
      <c r="AQ95" s="2875" t="n"/>
      <c r="AR95" s="8788" t="inlineStr">
        <is>
          <t>Override</t>
        </is>
      </c>
      <c r="AS95" s="2875" t="n"/>
      <c r="BG95" s="769" t="n"/>
      <c r="BH95" s="658" t="n"/>
      <c r="BI95" s="658" t="n"/>
      <c r="BJ95" s="658" t="n"/>
      <c r="BK95" s="658" t="n"/>
      <c r="BL95" s="658" t="n"/>
      <c r="BM95" s="658" t="n"/>
      <c r="BN95" s="658" t="n"/>
      <c r="BO95" s="658" t="n"/>
      <c r="BP95" s="658" t="n"/>
    </row>
    <row r="96" ht="12.75" customHeight="1" s="7635" thickBot="1">
      <c r="A96" s="1277" t="n"/>
      <c r="B96" s="8481" t="n">
        <v>32</v>
      </c>
      <c r="C96" s="8848" t="n"/>
      <c r="D96" s="4830" t="inlineStr">
        <is>
          <t>Total partnership and S corporation income or (loss). Combine lines 30 and 31</t>
        </is>
      </c>
      <c r="E96" s="380" t="n"/>
      <c r="F96" s="380" t="n"/>
      <c r="G96" s="380" t="n"/>
      <c r="H96" s="380" t="n"/>
      <c r="I96" s="380" t="n"/>
      <c r="J96" s="380" t="n"/>
      <c r="K96" s="380" t="n"/>
      <c r="L96" s="380" t="n"/>
      <c r="M96" s="380" t="n"/>
      <c r="N96" s="380" t="n"/>
      <c r="O96" s="380" t="n"/>
      <c r="P96" s="380" t="n"/>
      <c r="Q96" s="380" t="n"/>
      <c r="R96" s="380" t="n"/>
      <c r="S96" s="380" t="n"/>
      <c r="T96" s="380" t="n"/>
      <c r="U96" s="380" t="n"/>
      <c r="V96" s="380" t="n"/>
      <c r="W96" s="380" t="n"/>
      <c r="X96" s="380" t="n"/>
      <c r="Y96" s="380" t="n"/>
      <c r="Z96" s="380" t="n"/>
      <c r="AA96" s="380" t="n"/>
      <c r="AB96" s="380" t="n"/>
      <c r="AC96" s="380" t="n"/>
      <c r="AD96" s="380" t="n"/>
      <c r="AE96" s="4533" t="inlineStr">
        <is>
          <t xml:space="preserve">.   .   .   . </t>
        </is>
      </c>
      <c r="AF96" s="12135" t="n">
        <v>32</v>
      </c>
      <c r="AG96" s="12136" t="n"/>
      <c r="AH96" s="8484">
        <f>IF(AR96&lt;&gt;"",ROUND(AR96,0),SUM(AH94,-AI95))</f>
        <v/>
      </c>
      <c r="AI96" s="12137" t="n"/>
      <c r="AJ96" s="12137" t="n"/>
      <c r="AK96" s="12137" t="n"/>
      <c r="AL96" s="12137" t="n"/>
      <c r="AM96" s="12137" t="n"/>
      <c r="AN96" s="12137" t="n"/>
      <c r="AO96" s="12137" t="n"/>
      <c r="AP96" s="1277" t="n"/>
      <c r="AQ96" s="2875" t="n"/>
      <c r="AR96" s="776" t="n"/>
      <c r="AS96" s="2875" t="n"/>
      <c r="BG96" s="769" t="n"/>
      <c r="BH96" s="658" t="n"/>
      <c r="BI96" s="658" t="n"/>
      <c r="BJ96" s="658" t="n"/>
      <c r="BK96" s="658" t="n"/>
      <c r="BL96" s="658" t="n"/>
      <c r="BM96" s="658" t="n"/>
      <c r="BN96" s="658" t="n"/>
      <c r="BO96" s="658" t="n"/>
      <c r="BP96" s="658" t="n"/>
    </row>
    <row r="97" ht="17.25" customFormat="1" customHeight="1" s="1405">
      <c r="A97" s="2119" t="n"/>
      <c r="B97" s="8463" t="inlineStr">
        <is>
          <t>Part III</t>
        </is>
      </c>
      <c r="C97" s="7637" t="n"/>
      <c r="D97" s="7637" t="n"/>
      <c r="E97" s="1998" t="n"/>
      <c r="F97" s="1997" t="inlineStr">
        <is>
          <t>Income or Loss From Estates and Trusts</t>
        </is>
      </c>
      <c r="G97" s="1998" t="n"/>
      <c r="H97" s="1998" t="n"/>
      <c r="I97" s="1998" t="n"/>
      <c r="J97" s="1998" t="n"/>
      <c r="K97" s="1998" t="n"/>
      <c r="L97" s="1998" t="n"/>
      <c r="M97" s="1998" t="n"/>
      <c r="N97" s="1998" t="n"/>
      <c r="O97" s="1998" t="n"/>
      <c r="P97" s="1998" t="n"/>
      <c r="Q97" s="1998" t="n"/>
      <c r="R97" s="1998" t="n"/>
      <c r="S97" s="1998" t="n"/>
      <c r="T97" s="1998" t="n"/>
      <c r="U97" s="1998" t="n"/>
      <c r="V97" s="1998" t="n"/>
      <c r="W97" s="1998" t="n"/>
      <c r="X97" s="1996" t="n"/>
      <c r="Y97" s="1998" t="n"/>
      <c r="Z97" s="1998" t="n"/>
      <c r="AA97" s="1998" t="n"/>
      <c r="AB97" s="1998" t="n"/>
      <c r="AC97" s="1998" t="n"/>
      <c r="AD97" s="1998" t="n"/>
      <c r="AE97" s="1998" t="n"/>
      <c r="AF97" s="1998" t="n"/>
      <c r="AG97" s="1998" t="n"/>
      <c r="AH97" s="1998" t="n"/>
      <c r="AI97" s="1998" t="n"/>
      <c r="AJ97" s="1998" t="n"/>
      <c r="AK97" s="1998" t="n"/>
      <c r="AL97" s="1998" t="n"/>
      <c r="AM97" s="1998" t="n"/>
      <c r="AN97" s="1998" t="n"/>
      <c r="AO97" s="1998" t="n"/>
      <c r="AP97" s="1277" t="n"/>
      <c r="AQ97" s="2875" t="n"/>
      <c r="AR97" s="2875" t="n"/>
      <c r="AS97" s="2875" t="n"/>
      <c r="BG97" s="769" t="n"/>
      <c r="BH97" s="658" t="n"/>
      <c r="BI97" s="658" t="n"/>
      <c r="BJ97" s="658" t="n"/>
      <c r="BK97" s="658" t="n"/>
      <c r="BL97" s="658" t="n"/>
      <c r="BM97" s="658" t="n"/>
      <c r="BN97" s="658" t="n"/>
      <c r="BO97" s="658" t="n"/>
      <c r="BP97" s="658" t="n"/>
      <c r="BQ97" s="815" t="n"/>
    </row>
    <row r="98" ht="12.75" customHeight="1" s="7635">
      <c r="A98" s="1277" t="n"/>
      <c r="B98" s="406" t="n"/>
      <c r="C98" s="406" t="n"/>
      <c r="D98" s="406" t="n"/>
      <c r="E98" s="406" t="n"/>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c r="AA98" s="406" t="n"/>
      <c r="AB98" s="406" t="n"/>
      <c r="AC98" s="406" t="n"/>
      <c r="AD98" s="406" t="n"/>
      <c r="AE98" s="406" t="n"/>
      <c r="AF98" s="406" t="n"/>
      <c r="AG98" s="407" t="n"/>
      <c r="AH98" s="10176" t="inlineStr">
        <is>
          <t>(b)  Employer 
identification number</t>
        </is>
      </c>
      <c r="AI98" s="7839" t="n"/>
      <c r="AJ98" s="7839" t="n"/>
      <c r="AK98" s="7839" t="n"/>
      <c r="AL98" s="7839" t="n"/>
      <c r="AM98" s="7839" t="n"/>
      <c r="AN98" s="7839" t="n"/>
      <c r="AO98" s="7839" t="n"/>
      <c r="AP98" s="1277" t="n"/>
      <c r="BG98" s="769" t="n"/>
      <c r="BH98" s="658" t="n"/>
      <c r="BI98" s="658" t="n"/>
      <c r="BJ98" s="658" t="n"/>
      <c r="BK98" s="658" t="n"/>
      <c r="BL98" s="658" t="n"/>
      <c r="BM98" s="658" t="n"/>
      <c r="BN98" s="658" t="n"/>
      <c r="BO98" s="658" t="n"/>
      <c r="BP98" s="658" t="n"/>
    </row>
    <row r="99" ht="12.75" customHeight="1" s="7635">
      <c r="A99" s="1277" t="n"/>
      <c r="B99" s="8439" t="n">
        <v>33</v>
      </c>
      <c r="D99" s="11602" t="n"/>
      <c r="E99" s="11602" t="n"/>
      <c r="F99" s="11602" t="n"/>
      <c r="G99" s="11602" t="n"/>
      <c r="H99" s="11602" t="n"/>
      <c r="I99" s="11602" t="n"/>
      <c r="J99" s="11602" t="n"/>
      <c r="K99" s="11602" t="n"/>
      <c r="L99" s="11602" t="n"/>
      <c r="M99" s="11602" t="n"/>
      <c r="N99" s="11602" t="n"/>
      <c r="O99" s="11602" t="n"/>
      <c r="P99" s="344" t="inlineStr">
        <is>
          <t>(a)  Name</t>
        </is>
      </c>
      <c r="Q99" s="11602" t="n"/>
      <c r="R99" s="11602" t="n"/>
      <c r="S99" s="11602" t="n"/>
      <c r="T99" s="11602" t="n"/>
      <c r="U99" s="11602" t="n"/>
      <c r="V99" s="11602" t="n"/>
      <c r="W99" s="11602" t="n"/>
      <c r="X99" s="11602" t="n"/>
      <c r="Y99" s="11602" t="n"/>
      <c r="Z99" s="11602" t="n"/>
      <c r="AA99" s="11602" t="n"/>
      <c r="AB99" s="11602" t="n"/>
      <c r="AC99" s="11602" t="n"/>
      <c r="AD99" s="11602" t="n"/>
      <c r="AE99" s="11602" t="n"/>
      <c r="AF99" s="11602" t="n"/>
      <c r="AG99" s="409" t="n"/>
      <c r="AH99" s="4772" t="n"/>
      <c r="AP99" s="1277" t="n"/>
      <c r="AX99" s="1405" t="n"/>
      <c r="AY99" s="1405" t="n"/>
      <c r="AZ99" s="1405" t="n"/>
      <c r="BA99" s="1405" t="n"/>
      <c r="BB99" s="1405" t="n"/>
      <c r="BC99" s="1405" t="n"/>
      <c r="BD99" s="1405" t="n"/>
      <c r="BG99" s="769" t="n"/>
      <c r="BH99" s="658" t="n"/>
      <c r="BI99" s="658" t="n"/>
      <c r="BJ99" s="658" t="n"/>
      <c r="BK99" s="658" t="n"/>
      <c r="BL99" s="658" t="n"/>
      <c r="BM99" s="658" t="n"/>
      <c r="BN99" s="658" t="n"/>
      <c r="BO99" s="658" t="n"/>
      <c r="BP99" s="658" t="n"/>
    </row>
    <row r="100" ht="12.75" customHeight="1" s="7635">
      <c r="A100" s="1277" t="n"/>
      <c r="B100" s="413" t="n"/>
      <c r="C100" s="413" t="n"/>
      <c r="D100" s="413" t="n"/>
      <c r="E100" s="413" t="n"/>
      <c r="F100" s="413" t="n"/>
      <c r="G100" s="413" t="n"/>
      <c r="H100" s="413" t="n"/>
      <c r="I100" s="413" t="n"/>
      <c r="J100" s="413" t="n"/>
      <c r="K100" s="413" t="n"/>
      <c r="L100" s="413" t="n"/>
      <c r="M100" s="413" t="n"/>
      <c r="N100" s="413" t="n"/>
      <c r="O100" s="413" t="n"/>
      <c r="P100" s="413" t="n"/>
      <c r="Q100" s="413" t="n"/>
      <c r="R100" s="413" t="n"/>
      <c r="S100" s="413" t="n"/>
      <c r="T100" s="413" t="n"/>
      <c r="U100" s="413" t="n"/>
      <c r="V100" s="413" t="n"/>
      <c r="W100" s="413" t="n"/>
      <c r="X100" s="413" t="n"/>
      <c r="Y100" s="413" t="n"/>
      <c r="Z100" s="413" t="n"/>
      <c r="AA100" s="413" t="n"/>
      <c r="AB100" s="413" t="n"/>
      <c r="AC100" s="413" t="n"/>
      <c r="AD100" s="413" t="n"/>
      <c r="AE100" s="413" t="n"/>
      <c r="AF100" s="413" t="n"/>
      <c r="AG100" s="414" t="n"/>
      <c r="AH100" s="3614" t="n"/>
      <c r="AI100" s="7637" t="n"/>
      <c r="AJ100" s="7637" t="n"/>
      <c r="AK100" s="7637" t="n"/>
      <c r="AL100" s="7637" t="n"/>
      <c r="AM100" s="7637" t="n"/>
      <c r="AN100" s="7637" t="n"/>
      <c r="AO100" s="7637" t="n"/>
      <c r="AP100" s="1277" t="n"/>
      <c r="BG100" s="769" t="n"/>
      <c r="BH100" s="658" t="n"/>
      <c r="BI100" s="658" t="n"/>
      <c r="BJ100" s="658" t="n"/>
      <c r="BK100" s="658" t="n"/>
      <c r="BL100" s="658" t="n"/>
      <c r="BM100" s="658" t="n"/>
      <c r="BN100" s="658" t="n"/>
      <c r="BO100" s="658" t="n"/>
      <c r="BP100" s="658" t="n"/>
    </row>
    <row r="101" ht="13.5" customHeight="1" s="7635">
      <c r="A101" s="1277" t="n"/>
      <c r="B101" s="11220" t="inlineStr">
        <is>
          <t>A</t>
        </is>
      </c>
      <c r="C101" s="12138" t="n"/>
      <c r="D101" s="8007" t="n"/>
      <c r="E101" s="8007" t="n"/>
      <c r="F101" s="8007" t="n"/>
      <c r="G101" s="8007" t="n"/>
      <c r="H101" s="8007" t="n"/>
      <c r="I101" s="8007" t="n"/>
      <c r="J101" s="8007" t="n"/>
      <c r="K101" s="8007" t="n"/>
      <c r="L101" s="8007" t="n"/>
      <c r="M101" s="8007" t="n"/>
      <c r="N101" s="8007" t="n"/>
      <c r="O101" s="8007" t="n"/>
      <c r="P101" s="8007" t="n"/>
      <c r="Q101" s="8007" t="n"/>
      <c r="R101" s="8007" t="n"/>
      <c r="S101" s="8007" t="n"/>
      <c r="T101" s="8007" t="n"/>
      <c r="U101" s="8007" t="n"/>
      <c r="V101" s="8007" t="n"/>
      <c r="W101" s="8007" t="n"/>
      <c r="X101" s="8007" t="n"/>
      <c r="Y101" s="8007" t="n"/>
      <c r="Z101" s="8007" t="n"/>
      <c r="AA101" s="8007" t="n"/>
      <c r="AB101" s="8007" t="n"/>
      <c r="AC101" s="8007" t="n"/>
      <c r="AD101" s="8007" t="n"/>
      <c r="AE101" s="8007" t="n"/>
      <c r="AF101" s="8007" t="n"/>
      <c r="AG101" s="8008" t="n"/>
      <c r="AH101" s="8472" t="n"/>
      <c r="AI101" s="8007" t="n"/>
      <c r="AJ101" s="8007" t="n"/>
      <c r="AK101" s="8007" t="n"/>
      <c r="AL101" s="8007" t="n"/>
      <c r="AM101" s="8007" t="n"/>
      <c r="AN101" s="8007" t="n"/>
      <c r="AO101" s="8007" t="n"/>
      <c r="AP101" s="1277" t="n"/>
      <c r="BG101" s="769" t="n"/>
      <c r="BH101" s="658" t="n"/>
      <c r="BI101" s="658" t="n"/>
      <c r="BJ101" s="658" t="n"/>
      <c r="BK101" s="658" t="n"/>
      <c r="BL101" s="658" t="n"/>
      <c r="BM101" s="658" t="n"/>
      <c r="BN101" s="658" t="n"/>
      <c r="BO101" s="658" t="n"/>
      <c r="BP101" s="658" t="n"/>
    </row>
    <row r="102" ht="13.5" customHeight="1" s="7635">
      <c r="A102" s="1277" t="n"/>
      <c r="B102" s="4824" t="inlineStr">
        <is>
          <t>B</t>
        </is>
      </c>
      <c r="C102" s="12138" t="n"/>
      <c r="D102" s="8007" t="n"/>
      <c r="E102" s="8007" t="n"/>
      <c r="F102" s="8007" t="n"/>
      <c r="G102" s="8007" t="n"/>
      <c r="H102" s="8007" t="n"/>
      <c r="I102" s="8007" t="n"/>
      <c r="J102" s="8007" t="n"/>
      <c r="K102" s="8007" t="n"/>
      <c r="L102" s="8007" t="n"/>
      <c r="M102" s="8007" t="n"/>
      <c r="N102" s="8007" t="n"/>
      <c r="O102" s="8007" t="n"/>
      <c r="P102" s="8007" t="n"/>
      <c r="Q102" s="8007" t="n"/>
      <c r="R102" s="8007" t="n"/>
      <c r="S102" s="8007" t="n"/>
      <c r="T102" s="8007" t="n"/>
      <c r="U102" s="8007" t="n"/>
      <c r="V102" s="8007" t="n"/>
      <c r="W102" s="8007" t="n"/>
      <c r="X102" s="8007" t="n"/>
      <c r="Y102" s="8007" t="n"/>
      <c r="Z102" s="8007" t="n"/>
      <c r="AA102" s="8007" t="n"/>
      <c r="AB102" s="8007" t="n"/>
      <c r="AC102" s="8007" t="n"/>
      <c r="AD102" s="8007" t="n"/>
      <c r="AE102" s="8007" t="n"/>
      <c r="AF102" s="8007" t="n"/>
      <c r="AG102" s="8008" t="n"/>
      <c r="AH102" s="8472" t="n"/>
      <c r="AI102" s="8007" t="n"/>
      <c r="AJ102" s="8007" t="n"/>
      <c r="AK102" s="8007" t="n"/>
      <c r="AL102" s="8007" t="n"/>
      <c r="AM102" s="8007" t="n"/>
      <c r="AN102" s="8007" t="n"/>
      <c r="AO102" s="8007" t="n"/>
      <c r="AP102" s="1277" t="n"/>
      <c r="BG102" s="769" t="n"/>
      <c r="BH102" s="658" t="n"/>
      <c r="BI102" s="658" t="n"/>
      <c r="BJ102" s="658" t="n"/>
      <c r="BK102" s="658" t="n"/>
      <c r="BL102" s="658" t="n"/>
      <c r="BM102" s="658" t="n"/>
      <c r="BN102" s="658" t="n"/>
      <c r="BO102" s="658" t="n"/>
      <c r="BP102" s="658" t="n"/>
    </row>
    <row r="103" ht="17.25" customHeight="1" s="7635">
      <c r="A103" s="1277" t="n"/>
      <c r="B103" s="12139" t="inlineStr">
        <is>
          <t>Passive Income and Loss</t>
        </is>
      </c>
      <c r="C103" s="8412" t="n"/>
      <c r="D103" s="8412" t="n"/>
      <c r="E103" s="8412" t="n"/>
      <c r="F103" s="8412" t="n"/>
      <c r="G103" s="8412" t="n"/>
      <c r="H103" s="8412" t="n"/>
      <c r="I103" s="8412" t="n"/>
      <c r="J103" s="8412" t="n"/>
      <c r="K103" s="8412" t="n"/>
      <c r="L103" s="8412" t="n"/>
      <c r="M103" s="8412" t="n"/>
      <c r="N103" s="8412" t="n"/>
      <c r="O103" s="8412" t="n"/>
      <c r="P103" s="8412" t="n"/>
      <c r="Q103" s="8412" t="n"/>
      <c r="R103" s="8412" t="n"/>
      <c r="S103" s="8412" t="n"/>
      <c r="T103" s="8412" t="n"/>
      <c r="U103" s="8412" t="n"/>
      <c r="V103" s="8412" t="n"/>
      <c r="W103" s="8412" t="n"/>
      <c r="X103" s="12130" t="n"/>
      <c r="Y103" s="8477" t="inlineStr">
        <is>
          <t>Nonpassive Income and Loss</t>
        </is>
      </c>
      <c r="Z103" s="8412" t="n"/>
      <c r="AA103" s="8412" t="n"/>
      <c r="AB103" s="8412" t="n"/>
      <c r="AC103" s="8412" t="n"/>
      <c r="AD103" s="8412" t="n"/>
      <c r="AE103" s="8412" t="n"/>
      <c r="AF103" s="8412" t="n"/>
      <c r="AG103" s="8412" t="n"/>
      <c r="AH103" s="8412" t="n"/>
      <c r="AI103" s="8412" t="n"/>
      <c r="AJ103" s="8412" t="n"/>
      <c r="AK103" s="8412" t="n"/>
      <c r="AL103" s="8412" t="n"/>
      <c r="AM103" s="8412" t="n"/>
      <c r="AN103" s="8412" t="n"/>
      <c r="AO103" s="8412" t="n"/>
      <c r="AP103" s="1277" t="n"/>
      <c r="BG103" s="769" t="n"/>
      <c r="BH103" s="658" t="n"/>
      <c r="BI103" s="658" t="n"/>
      <c r="BJ103" s="658" t="n"/>
      <c r="BK103" s="658" t="n"/>
      <c r="BL103" s="658" t="n"/>
      <c r="BM103" s="658" t="n"/>
      <c r="BN103" s="658" t="n"/>
      <c r="BO103" s="658" t="n"/>
      <c r="BP103" s="658" t="n"/>
    </row>
    <row r="104" ht="12.75" customHeight="1" s="7635">
      <c r="A104" s="1277" t="n"/>
      <c r="B104" s="10177" t="inlineStr">
        <is>
          <t>(c) Passive deduction or loss allowed
(attach Form 8582 if required)</t>
        </is>
      </c>
      <c r="C104" s="7839" t="n"/>
      <c r="D104" s="7839" t="n"/>
      <c r="E104" s="7839" t="n"/>
      <c r="F104" s="7839" t="n"/>
      <c r="G104" s="7839" t="n"/>
      <c r="H104" s="7839" t="n"/>
      <c r="I104" s="7839" t="n"/>
      <c r="J104" s="7839" t="n"/>
      <c r="K104" s="7839" t="n"/>
      <c r="L104" s="7839" t="n"/>
      <c r="M104" s="7839" t="n"/>
      <c r="N104" s="10091" t="n"/>
      <c r="O104" s="10079" t="inlineStr">
        <is>
          <t>(d) Passive income
from Schedule K-1</t>
        </is>
      </c>
      <c r="P104" s="7839" t="n"/>
      <c r="Q104" s="7839" t="n"/>
      <c r="R104" s="7839" t="n"/>
      <c r="S104" s="7839" t="n"/>
      <c r="T104" s="7839" t="n"/>
      <c r="U104" s="7839" t="n"/>
      <c r="V104" s="7839" t="n"/>
      <c r="W104" s="7839" t="n"/>
      <c r="X104" s="7839" t="n"/>
      <c r="Y104" s="12140" t="inlineStr">
        <is>
          <t>(e) Deduction or loss
from Schedule K-1</t>
        </is>
      </c>
      <c r="Z104" s="7839" t="n"/>
      <c r="AA104" s="7839" t="n"/>
      <c r="AB104" s="7839" t="n"/>
      <c r="AC104" s="7839" t="n"/>
      <c r="AD104" s="7839" t="n"/>
      <c r="AE104" s="7839" t="n"/>
      <c r="AF104" s="7839" t="n"/>
      <c r="AG104" s="10091" t="n"/>
      <c r="AH104" s="10079" t="inlineStr">
        <is>
          <t>(f) Other income from
Schedule K-1</t>
        </is>
      </c>
      <c r="AI104" s="7839" t="n"/>
      <c r="AJ104" s="7839" t="n"/>
      <c r="AK104" s="7839" t="n"/>
      <c r="AL104" s="7839" t="n"/>
      <c r="AM104" s="7839" t="n"/>
      <c r="AN104" s="7839" t="n"/>
      <c r="AO104" s="7839" t="n"/>
      <c r="AP104" s="1277" t="n"/>
      <c r="BG104" s="769" t="n"/>
      <c r="BH104" s="658" t="n"/>
      <c r="BI104" s="658" t="n"/>
      <c r="BJ104" s="658" t="n"/>
      <c r="BK104" s="658" t="n"/>
      <c r="BL104" s="658" t="n"/>
      <c r="BM104" s="658" t="n"/>
      <c r="BN104" s="658" t="n"/>
      <c r="BO104" s="658" t="n"/>
      <c r="BP104" s="658" t="n"/>
    </row>
    <row r="105" ht="12.75" customHeight="1" s="7635">
      <c r="A105" s="1277" t="n"/>
      <c r="N105" s="7636" t="n"/>
      <c r="O105" s="4772" t="n"/>
      <c r="Y105" s="11741" t="n"/>
      <c r="AG105" s="7636" t="n"/>
      <c r="AH105" s="4772" t="n"/>
      <c r="AP105" s="1277" t="n"/>
      <c r="BG105" s="769" t="n"/>
      <c r="BH105" s="658" t="n"/>
      <c r="BI105" s="658" t="n"/>
      <c r="BJ105" s="658" t="n"/>
      <c r="BK105" s="658" t="n"/>
      <c r="BL105" s="658" t="n"/>
      <c r="BM105" s="658" t="n"/>
      <c r="BN105" s="658" t="n"/>
      <c r="BO105" s="658" t="n"/>
      <c r="BP105" s="658" t="n"/>
    </row>
    <row r="106" ht="12.75" customHeight="1" s="7635">
      <c r="A106" s="1277" t="n"/>
      <c r="B106" s="7637" t="n"/>
      <c r="C106" s="7637" t="n"/>
      <c r="D106" s="7637" t="n"/>
      <c r="E106" s="7637" t="n"/>
      <c r="F106" s="7637" t="n"/>
      <c r="G106" s="7637" t="n"/>
      <c r="H106" s="7637" t="n"/>
      <c r="I106" s="7637" t="n"/>
      <c r="J106" s="7637" t="n"/>
      <c r="K106" s="7637" t="n"/>
      <c r="L106" s="7637" t="n"/>
      <c r="M106" s="7637" t="n"/>
      <c r="N106" s="7638" t="n"/>
      <c r="O106" s="3614" t="n"/>
      <c r="P106" s="7637" t="n"/>
      <c r="Q106" s="7637" t="n"/>
      <c r="R106" s="7637" t="n"/>
      <c r="S106" s="7637" t="n"/>
      <c r="T106" s="7637" t="n"/>
      <c r="U106" s="7637" t="n"/>
      <c r="V106" s="7637" t="n"/>
      <c r="W106" s="7637" t="n"/>
      <c r="X106" s="7637" t="n"/>
      <c r="Y106" s="11907" t="n"/>
      <c r="Z106" s="7637" t="n"/>
      <c r="AA106" s="7637" t="n"/>
      <c r="AB106" s="7637" t="n"/>
      <c r="AC106" s="7637" t="n"/>
      <c r="AD106" s="7637" t="n"/>
      <c r="AE106" s="7637" t="n"/>
      <c r="AF106" s="7637" t="n"/>
      <c r="AG106" s="7638" t="n"/>
      <c r="AH106" s="3614" t="n"/>
      <c r="AI106" s="7637" t="n"/>
      <c r="AJ106" s="7637" t="n"/>
      <c r="AK106" s="7637" t="n"/>
      <c r="AL106" s="7637" t="n"/>
      <c r="AM106" s="7637" t="n"/>
      <c r="AN106" s="7637" t="n"/>
      <c r="AO106" s="7637" t="n"/>
      <c r="AP106" s="1277" t="n"/>
      <c r="BG106" s="769" t="n"/>
      <c r="BH106" s="658" t="n"/>
      <c r="BI106" s="658" t="n"/>
      <c r="BJ106" s="658" t="n"/>
      <c r="BK106" s="658" t="n"/>
      <c r="BL106" s="658" t="n"/>
      <c r="BM106" s="658" t="n"/>
      <c r="BN106" s="658" t="n"/>
      <c r="BO106" s="658" t="n"/>
      <c r="BP106" s="658" t="n"/>
    </row>
    <row r="107" ht="13.5" customHeight="1" s="7635">
      <c r="A107" s="1277" t="n"/>
      <c r="B107" s="11220" t="inlineStr">
        <is>
          <t>A</t>
        </is>
      </c>
      <c r="C107" s="6226" t="n"/>
      <c r="D107" s="8007" t="n"/>
      <c r="E107" s="8007" t="n"/>
      <c r="F107" s="8007" t="n"/>
      <c r="G107" s="8007" t="n"/>
      <c r="H107" s="8007" t="n"/>
      <c r="I107" s="8007" t="n"/>
      <c r="J107" s="8007" t="n"/>
      <c r="K107" s="8007" t="n"/>
      <c r="L107" s="8007" t="n"/>
      <c r="M107" s="8007" t="n"/>
      <c r="N107" s="8008" t="n"/>
      <c r="O107" s="12141" t="n"/>
      <c r="P107" s="8007" t="n"/>
      <c r="Q107" s="8007" t="n"/>
      <c r="R107" s="8007" t="n"/>
      <c r="S107" s="8007" t="n"/>
      <c r="T107" s="8007" t="n"/>
      <c r="U107" s="8007" t="n"/>
      <c r="V107" s="8007" t="n"/>
      <c r="W107" s="8007" t="n"/>
      <c r="X107" s="12128" t="n"/>
      <c r="Y107" s="8461" t="n"/>
      <c r="Z107" s="8007" t="n"/>
      <c r="AA107" s="8007" t="n"/>
      <c r="AB107" s="8007" t="n"/>
      <c r="AC107" s="8007" t="n"/>
      <c r="AD107" s="8007" t="n"/>
      <c r="AE107" s="8007" t="n"/>
      <c r="AF107" s="8007" t="n"/>
      <c r="AG107" s="8008" t="n"/>
      <c r="AH107" s="8462" t="n"/>
      <c r="AI107" s="8007" t="n"/>
      <c r="AJ107" s="8007" t="n"/>
      <c r="AK107" s="8007" t="n"/>
      <c r="AL107" s="8007" t="n"/>
      <c r="AM107" s="8007" t="n"/>
      <c r="AN107" s="8007" t="n"/>
      <c r="AO107" s="8008" t="n"/>
      <c r="AP107" s="1277" t="n"/>
      <c r="BG107" s="769" t="n"/>
      <c r="BH107" s="658" t="n"/>
      <c r="BI107" s="658" t="n"/>
      <c r="BJ107" s="658" t="n"/>
      <c r="BK107" s="658" t="n"/>
      <c r="BL107" s="658" t="n"/>
      <c r="BM107" s="658" t="n"/>
      <c r="BN107" s="658" t="n"/>
      <c r="BO107" s="658" t="n"/>
      <c r="BP107" s="658" t="n"/>
    </row>
    <row r="108" ht="13.5" customHeight="1" s="7635">
      <c r="A108" s="1277" t="n"/>
      <c r="B108" s="11220" t="inlineStr">
        <is>
          <t>B</t>
        </is>
      </c>
      <c r="C108" s="6226" t="n"/>
      <c r="D108" s="8007" t="n"/>
      <c r="E108" s="8007" t="n"/>
      <c r="F108" s="8007" t="n"/>
      <c r="G108" s="8007" t="n"/>
      <c r="H108" s="8007" t="n"/>
      <c r="I108" s="8007" t="n"/>
      <c r="J108" s="8007" t="n"/>
      <c r="K108" s="8007" t="n"/>
      <c r="L108" s="8007" t="n"/>
      <c r="M108" s="8007" t="n"/>
      <c r="N108" s="8008" t="n"/>
      <c r="O108" s="12141" t="n"/>
      <c r="P108" s="8007" t="n"/>
      <c r="Q108" s="8007" t="n"/>
      <c r="R108" s="8007" t="n"/>
      <c r="S108" s="8007" t="n"/>
      <c r="T108" s="8007" t="n"/>
      <c r="U108" s="8007" t="n"/>
      <c r="V108" s="8007" t="n"/>
      <c r="W108" s="8007" t="n"/>
      <c r="X108" s="12128" t="n"/>
      <c r="Y108" s="8461" t="n"/>
      <c r="Z108" s="8007" t="n"/>
      <c r="AA108" s="8007" t="n"/>
      <c r="AB108" s="8007" t="n"/>
      <c r="AC108" s="8007" t="n"/>
      <c r="AD108" s="8007" t="n"/>
      <c r="AE108" s="8007" t="n"/>
      <c r="AF108" s="8007" t="n"/>
      <c r="AG108" s="8008" t="n"/>
      <c r="AH108" s="8462" t="n"/>
      <c r="AI108" s="8007" t="n"/>
      <c r="AJ108" s="8007" t="n"/>
      <c r="AK108" s="8007" t="n"/>
      <c r="AL108" s="8007" t="n"/>
      <c r="AM108" s="8007" t="n"/>
      <c r="AN108" s="8007" t="n"/>
      <c r="AO108" s="8008" t="n"/>
      <c r="AP108" s="1277" t="n"/>
      <c r="BG108" s="769" t="n"/>
      <c r="BH108" s="658" t="n"/>
      <c r="BI108" s="658" t="n"/>
      <c r="BJ108" s="658" t="n"/>
      <c r="BK108" s="658" t="n"/>
      <c r="BL108" s="658" t="n"/>
      <c r="BM108" s="658" t="n"/>
      <c r="BN108" s="658" t="n"/>
      <c r="BO108" s="658" t="n"/>
      <c r="BP108" s="658" t="n"/>
    </row>
    <row r="109" ht="13.5" customHeight="1" s="7635">
      <c r="A109" s="1277" t="n"/>
      <c r="B109" s="8384" t="inlineStr">
        <is>
          <t>34a</t>
        </is>
      </c>
      <c r="C109" s="7839" t="n"/>
      <c r="D109" s="8650" t="n"/>
      <c r="E109" s="9892" t="inlineStr">
        <is>
          <t>Totals</t>
        </is>
      </c>
      <c r="F109" s="4825" t="n"/>
      <c r="G109" s="3835" t="n"/>
      <c r="H109" s="3835" t="n"/>
      <c r="I109" s="3835" t="n"/>
      <c r="J109" s="3835" t="n"/>
      <c r="K109" s="3835" t="n"/>
      <c r="L109" s="3835" t="n"/>
      <c r="M109" s="3835" t="n"/>
      <c r="N109" s="4826" t="n"/>
      <c r="O109" s="12129">
        <f>ROUND(SUM(O107:O108),0)</f>
        <v/>
      </c>
      <c r="P109" s="8412" t="n"/>
      <c r="Q109" s="8412" t="n"/>
      <c r="R109" s="8412" t="n"/>
      <c r="S109" s="8412" t="n"/>
      <c r="T109" s="8412" t="n"/>
      <c r="U109" s="8412" t="n"/>
      <c r="V109" s="8412" t="n"/>
      <c r="W109" s="8412" t="n"/>
      <c r="X109" s="12130" t="n"/>
      <c r="Y109" s="4831" t="n"/>
      <c r="Z109" s="3835" t="n"/>
      <c r="AA109" s="3835" t="n"/>
      <c r="AB109" s="3835" t="n"/>
      <c r="AC109" s="3835" t="n"/>
      <c r="AD109" s="3835" t="n"/>
      <c r="AE109" s="3835" t="n"/>
      <c r="AF109" s="3835" t="n"/>
      <c r="AG109" s="4826" t="n"/>
      <c r="AH109" s="8408">
        <f>ROUND(SUM(AH107:AH108),0)</f>
        <v/>
      </c>
      <c r="AI109" s="8412" t="n"/>
      <c r="AJ109" s="8412" t="n"/>
      <c r="AK109" s="8412" t="n"/>
      <c r="AL109" s="8412" t="n"/>
      <c r="AM109" s="8412" t="n"/>
      <c r="AN109" s="8412" t="n"/>
      <c r="AO109" s="8412" t="n"/>
      <c r="AP109" s="1277" t="n"/>
      <c r="BG109" s="769" t="n"/>
      <c r="BH109" s="658" t="n"/>
      <c r="BI109" s="658" t="n"/>
      <c r="BJ109" s="658" t="n"/>
      <c r="BK109" s="658" t="n"/>
      <c r="BL109" s="658" t="n"/>
      <c r="BM109" s="658" t="n"/>
      <c r="BN109" s="658" t="n"/>
      <c r="BO109" s="658" t="n"/>
      <c r="BP109" s="658" t="n"/>
    </row>
    <row r="110" ht="13.5" customHeight="1" s="7635">
      <c r="A110" s="1277" t="n"/>
      <c r="B110" s="7899" t="inlineStr">
        <is>
          <t>b</t>
        </is>
      </c>
      <c r="D110" s="8650" t="n"/>
      <c r="E110" s="9892" t="inlineStr">
        <is>
          <t>Totals</t>
        </is>
      </c>
      <c r="F110" s="12131">
        <f>ROUND(SUM(C107:C108),0)</f>
        <v/>
      </c>
      <c r="G110" s="8412" t="n"/>
      <c r="H110" s="8412" t="n"/>
      <c r="I110" s="8412" t="n"/>
      <c r="J110" s="8412" t="n"/>
      <c r="K110" s="8412" t="n"/>
      <c r="L110" s="8412" t="n"/>
      <c r="M110" s="8412" t="n"/>
      <c r="N110" s="11734" t="n"/>
      <c r="O110" s="4832" t="n"/>
      <c r="P110" s="4833" t="n"/>
      <c r="Q110" s="4833" t="n"/>
      <c r="R110" s="4833" t="n"/>
      <c r="S110" s="4833" t="n"/>
      <c r="T110" s="4833" t="n"/>
      <c r="U110" s="4833" t="n"/>
      <c r="V110" s="4833" t="n"/>
      <c r="W110" s="4833" t="n"/>
      <c r="X110" s="4834" t="n"/>
      <c r="Y110" s="12131">
        <f>ROUND(SUM(Y107:Y108),0)</f>
        <v/>
      </c>
      <c r="Z110" s="8412" t="n"/>
      <c r="AA110" s="8412" t="n"/>
      <c r="AB110" s="8412" t="n"/>
      <c r="AC110" s="8412" t="n"/>
      <c r="AD110" s="8412" t="n"/>
      <c r="AE110" s="8412" t="n"/>
      <c r="AF110" s="8412" t="n"/>
      <c r="AG110" s="11734" t="n"/>
      <c r="AH110" s="4825" t="n"/>
      <c r="AI110" s="3835" t="n"/>
      <c r="AJ110" s="3835" t="n"/>
      <c r="AK110" s="3835" t="n"/>
      <c r="AL110" s="3835" t="n"/>
      <c r="AM110" s="3835" t="n"/>
      <c r="AN110" s="3835" t="n"/>
      <c r="AO110" s="3835" t="n"/>
      <c r="AP110" s="1277" t="n"/>
      <c r="BG110" s="769" t="n"/>
      <c r="BH110" s="658" t="n"/>
      <c r="BI110" s="658" t="n"/>
      <c r="BJ110" s="658" t="n"/>
      <c r="BK110" s="658" t="n"/>
      <c r="BL110" s="658" t="n"/>
      <c r="BM110" s="658" t="n"/>
      <c r="BN110" s="658" t="n"/>
      <c r="BO110" s="658" t="n"/>
      <c r="BP110" s="658" t="n"/>
    </row>
    <row r="111" ht="13.5" customHeight="1" s="7635">
      <c r="A111" s="1277" t="n"/>
      <c r="B111" s="7642" t="n">
        <v>35</v>
      </c>
      <c r="D111" s="8650" t="inlineStr">
        <is>
          <t>Add columns (d) and (f) of line 34a</t>
        </is>
      </c>
      <c r="E111" s="11602" t="n"/>
      <c r="F111" s="11602" t="n"/>
      <c r="G111" s="11602" t="n"/>
      <c r="H111" s="11602" t="n"/>
      <c r="I111" s="11602" t="n"/>
      <c r="J111" s="11602" t="n"/>
      <c r="K111" s="11602" t="n"/>
      <c r="L111" s="11602" t="n"/>
      <c r="M111" s="11602" t="n"/>
      <c r="N111" s="11602" t="n"/>
      <c r="O111" s="11602" t="n"/>
      <c r="P111" s="11602" t="n"/>
      <c r="Q111" s="11602" t="n"/>
      <c r="R111" s="11602" t="n"/>
      <c r="S111" s="11602" t="n"/>
      <c r="T111" s="11602" t="n"/>
      <c r="U111" s="11602" t="n"/>
      <c r="V111" s="11602" t="n"/>
      <c r="W111" s="11602" t="n"/>
      <c r="X111" s="11602" t="n"/>
      <c r="Y111" s="11602" t="n"/>
      <c r="Z111" s="11602" t="n"/>
      <c r="AA111" s="11602" t="n"/>
      <c r="AB111" s="11602" t="n"/>
      <c r="AC111" s="11602" t="n"/>
      <c r="AD111" s="11602" t="n"/>
      <c r="AE111" s="11602" t="n"/>
      <c r="AF111" s="11602" t="n"/>
      <c r="AG111" s="2198" t="inlineStr">
        <is>
          <t xml:space="preserve">.   .   .   .   .   .   .   .   .   .   .   .   .   .   .   .   .   .   .   .   .   .   .   .   .   . </t>
        </is>
      </c>
      <c r="AH111" s="10008" t="n">
        <v>35</v>
      </c>
      <c r="AI111" s="11734" t="n"/>
      <c r="AJ111" s="8413">
        <f>SUM(O109,AH109)</f>
        <v/>
      </c>
      <c r="AK111" s="8412" t="n"/>
      <c r="AL111" s="8412" t="n"/>
      <c r="AM111" s="8412" t="n"/>
      <c r="AN111" s="8412" t="n"/>
      <c r="AO111" s="8412" t="n"/>
      <c r="AP111" s="1277" t="n"/>
      <c r="BG111" s="769" t="n"/>
      <c r="BH111" s="658" t="n"/>
      <c r="BI111" s="658" t="n"/>
      <c r="BJ111" s="658" t="n"/>
      <c r="BK111" s="658" t="n"/>
      <c r="BL111" s="658" t="n"/>
      <c r="BM111" s="658" t="n"/>
      <c r="BN111" s="658" t="n"/>
      <c r="BO111" s="658" t="n"/>
      <c r="BP111" s="658" t="n"/>
    </row>
    <row r="112" ht="13.5" customHeight="1" s="7635">
      <c r="A112" s="1277" t="n"/>
      <c r="B112" s="7642" t="n">
        <v>36</v>
      </c>
      <c r="D112" s="8650" t="inlineStr">
        <is>
          <t>Add columns (c) and (e) of line 34b</t>
        </is>
      </c>
      <c r="E112" s="11602" t="n"/>
      <c r="F112" s="11602" t="n"/>
      <c r="G112" s="11602" t="n"/>
      <c r="H112" s="11602" t="n"/>
      <c r="I112" s="11602" t="n"/>
      <c r="J112" s="11602" t="n"/>
      <c r="K112" s="11602" t="n"/>
      <c r="L112" s="11602" t="n"/>
      <c r="M112" s="11602" t="n"/>
      <c r="N112" s="11602" t="n"/>
      <c r="O112" s="11602" t="n"/>
      <c r="P112" s="11602" t="n"/>
      <c r="Q112" s="11602" t="n"/>
      <c r="R112" s="11602" t="n"/>
      <c r="S112" s="11602" t="n"/>
      <c r="T112" s="11602" t="n"/>
      <c r="U112" s="11602" t="n"/>
      <c r="V112" s="11602" t="n"/>
      <c r="W112" s="11602" t="n"/>
      <c r="X112" s="11602" t="n"/>
      <c r="Y112" s="11602" t="n"/>
      <c r="Z112" s="11602" t="n"/>
      <c r="AA112" s="11602" t="n"/>
      <c r="AB112" s="11602" t="n"/>
      <c r="AC112" s="11602" t="n"/>
      <c r="AD112" s="11602" t="n"/>
      <c r="AE112" s="11602" t="n"/>
      <c r="AF112" s="11602" t="n"/>
      <c r="AG112" s="2198" t="inlineStr">
        <is>
          <t xml:space="preserve">.   .   .   .   .   .   .   .   .   .   .   .   .   .   .   .   .   .   .   .   .   .   .   .   .   . </t>
        </is>
      </c>
      <c r="AH112" s="10008" t="n">
        <v>36</v>
      </c>
      <c r="AI112" s="11734" t="n"/>
      <c r="AJ112" s="7056" t="inlineStr">
        <is>
          <t>(</t>
        </is>
      </c>
      <c r="AK112" s="7057">
        <f>SUM(F110,Y110)</f>
        <v/>
      </c>
      <c r="AL112" s="8412" t="n"/>
      <c r="AM112" s="8412" t="n"/>
      <c r="AN112" s="8412" t="n"/>
      <c r="AO112" s="4835" t="inlineStr">
        <is>
          <t>)</t>
        </is>
      </c>
      <c r="AP112" s="1277" t="n"/>
      <c r="BG112" s="769" t="n"/>
      <c r="BH112" s="658" t="n"/>
      <c r="BI112" s="658" t="n"/>
      <c r="BJ112" s="658" t="n"/>
      <c r="BK112" s="658" t="n"/>
      <c r="BL112" s="658" t="n"/>
      <c r="BM112" s="658" t="n"/>
      <c r="BN112" s="658" t="n"/>
      <c r="BO112" s="658" t="n"/>
      <c r="BP112" s="658" t="n"/>
    </row>
    <row r="113" ht="13.5" customHeight="1" s="7635">
      <c r="A113" s="1277" t="n"/>
      <c r="B113" s="8405" t="n">
        <v>37</v>
      </c>
      <c r="C113" s="7637" t="n"/>
      <c r="D113" s="1996" t="inlineStr">
        <is>
          <t>Total estate and trust income or (loss). Combine lines 35 and 36</t>
        </is>
      </c>
      <c r="E113" s="413" t="n"/>
      <c r="F113" s="413" t="n"/>
      <c r="G113" s="413" t="n"/>
      <c r="H113" s="413" t="n"/>
      <c r="I113" s="413" t="n"/>
      <c r="J113" s="413" t="n"/>
      <c r="K113" s="413" t="n"/>
      <c r="L113" s="413" t="n"/>
      <c r="M113" s="413" t="n"/>
      <c r="N113" s="413" t="n"/>
      <c r="O113" s="413" t="n"/>
      <c r="P113" s="413" t="n"/>
      <c r="Q113" s="413" t="n"/>
      <c r="R113" s="413" t="n"/>
      <c r="S113" s="413" t="n"/>
      <c r="T113" s="413" t="n"/>
      <c r="U113" s="413" t="n"/>
      <c r="V113" s="413" t="n"/>
      <c r="W113" s="413" t="n"/>
      <c r="X113" s="413" t="n"/>
      <c r="Y113" s="413" t="n"/>
      <c r="Z113" s="413" t="n"/>
      <c r="AA113" s="413" t="n"/>
      <c r="AB113" s="413" t="n"/>
      <c r="AC113" s="413" t="n"/>
      <c r="AD113" s="413" t="n"/>
      <c r="AE113" s="413" t="n"/>
      <c r="AF113" s="413" t="n"/>
      <c r="AG113" s="974" t="inlineStr">
        <is>
          <t xml:space="preserve">.   .   .   .   .   .   .   .   .   .   .   .   . </t>
        </is>
      </c>
      <c r="AH113" s="10008" t="n">
        <v>37</v>
      </c>
      <c r="AI113" s="11734" t="n"/>
      <c r="AJ113" s="8413">
        <f>SUM(AJ111,-AK112)</f>
        <v/>
      </c>
      <c r="AK113" s="8412" t="n"/>
      <c r="AL113" s="8412" t="n"/>
      <c r="AM113" s="8412" t="n"/>
      <c r="AN113" s="8412" t="n"/>
      <c r="AO113" s="8412" t="n"/>
      <c r="AP113" s="1277" t="n"/>
      <c r="BG113" s="769" t="n"/>
      <c r="BH113" s="658" t="n"/>
      <c r="BI113" s="658" t="n"/>
      <c r="BJ113" s="658" t="n"/>
      <c r="BK113" s="658" t="n"/>
      <c r="BL113" s="658" t="n"/>
      <c r="BM113" s="658" t="n"/>
      <c r="BN113" s="658" t="n"/>
      <c r="BO113" s="658" t="n"/>
      <c r="BP113" s="658" t="n"/>
    </row>
    <row r="114" ht="17.25" customFormat="1" customHeight="1" s="1405">
      <c r="A114" s="2119" t="n"/>
      <c r="B114" s="8410" t="inlineStr">
        <is>
          <t>Part IV</t>
        </is>
      </c>
      <c r="C114" s="8412" t="n"/>
      <c r="D114" s="8412" t="n"/>
      <c r="E114" s="2120" t="n"/>
      <c r="F114" s="4189" t="inlineStr">
        <is>
          <t>Income or Loss From Real Estate Mortgage Investment Conduits (REMICs)—Residual Holder</t>
        </is>
      </c>
      <c r="G114" s="2120" t="n"/>
      <c r="H114" s="2120" t="n"/>
      <c r="I114" s="2120" t="n"/>
      <c r="J114" s="2120" t="n"/>
      <c r="K114" s="2120" t="n"/>
      <c r="L114" s="2120" t="n"/>
      <c r="M114" s="2120" t="n"/>
      <c r="N114" s="2120" t="n"/>
      <c r="O114" s="2120" t="n"/>
      <c r="P114" s="2120" t="n"/>
      <c r="Q114" s="2120" t="n"/>
      <c r="R114" s="2120" t="n"/>
      <c r="S114" s="2120" t="n"/>
      <c r="T114" s="2120" t="n"/>
      <c r="U114" s="2120" t="n"/>
      <c r="V114" s="2120" t="n"/>
      <c r="W114" s="2120" t="n"/>
      <c r="X114" s="3901" t="n"/>
      <c r="Y114" s="2120" t="n"/>
      <c r="Z114" s="2120" t="n"/>
      <c r="AA114" s="2120" t="n"/>
      <c r="AB114" s="2120" t="n"/>
      <c r="AC114" s="2120" t="n"/>
      <c r="AD114" s="2120" t="n"/>
      <c r="AE114" s="2120" t="n"/>
      <c r="AF114" s="2120" t="n"/>
      <c r="AG114" s="1998" t="n"/>
      <c r="AH114" s="2120" t="n"/>
      <c r="AI114" s="2120" t="n"/>
      <c r="AJ114" s="2120" t="n"/>
      <c r="AK114" s="2120" t="n"/>
      <c r="AL114" s="2120" t="n"/>
      <c r="AM114" s="2120" t="n"/>
      <c r="AN114" s="2120" t="n"/>
      <c r="AO114" s="2120" t="n"/>
      <c r="AP114" s="1277" t="n"/>
      <c r="BG114" s="769" t="n"/>
      <c r="BH114" s="658" t="n"/>
      <c r="BI114" s="658" t="n"/>
      <c r="BJ114" s="658" t="n"/>
      <c r="BK114" s="658" t="n"/>
      <c r="BL114" s="658" t="n"/>
      <c r="BM114" s="658" t="n"/>
      <c r="BN114" s="658" t="n"/>
      <c r="BO114" s="658" t="n"/>
      <c r="BP114" s="658" t="n"/>
      <c r="BQ114" s="815" t="n"/>
    </row>
    <row r="115" ht="12.75" customHeight="1" s="7635">
      <c r="A115" s="1277" t="n"/>
      <c r="B115" s="406" t="n"/>
      <c r="C115" s="8415" t="n"/>
      <c r="D115" s="12124" t="inlineStr">
        <is>
          <t>(a)  Name</t>
        </is>
      </c>
      <c r="E115" s="7839" t="n"/>
      <c r="F115" s="7839" t="n"/>
      <c r="G115" s="7839" t="n"/>
      <c r="H115" s="7839" t="n"/>
      <c r="I115" s="7839" t="n"/>
      <c r="J115" s="10091" t="n"/>
      <c r="K115" s="12126" t="inlineStr">
        <is>
          <t>(b) Employer identification
number</t>
        </is>
      </c>
      <c r="L115" s="7839" t="n"/>
      <c r="M115" s="7839" t="n"/>
      <c r="N115" s="7839" t="n"/>
      <c r="O115" s="7839" t="n"/>
      <c r="P115" s="7839" t="n"/>
      <c r="Q115" s="7839" t="n"/>
      <c r="R115" s="10091" t="n"/>
      <c r="S115" s="12122" t="inlineStr">
        <is>
          <t>(c) Excess inclusion from Schedules Q, line 2c 
(see instructions)</t>
        </is>
      </c>
      <c r="T115" s="7839" t="n"/>
      <c r="U115" s="7839" t="n"/>
      <c r="V115" s="7839" t="n"/>
      <c r="W115" s="7839" t="n"/>
      <c r="X115" s="7839" t="n"/>
      <c r="Y115" s="10091" t="n"/>
      <c r="Z115" s="12126" t="inlineStr">
        <is>
          <t>(d)  Taxable income (net loss)
from Schedules Q, line 1b</t>
        </is>
      </c>
      <c r="AA115" s="7839" t="n"/>
      <c r="AB115" s="7839" t="n"/>
      <c r="AC115" s="7839" t="n"/>
      <c r="AD115" s="7839" t="n"/>
      <c r="AE115" s="7839" t="n"/>
      <c r="AF115" s="7839" t="n"/>
      <c r="AG115" s="10091" t="n"/>
      <c r="AH115" s="10176" t="inlineStr">
        <is>
          <t>(e)  Income from
Schedules Q, line 3b</t>
        </is>
      </c>
      <c r="AI115" s="7839" t="n"/>
      <c r="AJ115" s="7839" t="n"/>
      <c r="AK115" s="7839" t="n"/>
      <c r="AL115" s="7839" t="n"/>
      <c r="AM115" s="7839" t="n"/>
      <c r="AN115" s="7839" t="n"/>
      <c r="AO115" s="7839" t="n"/>
      <c r="AP115" s="1277" t="n"/>
      <c r="BG115" s="769" t="n"/>
      <c r="BH115" s="658" t="n"/>
      <c r="BI115" s="658" t="n"/>
      <c r="BJ115" s="658" t="n"/>
      <c r="BK115" s="658" t="n"/>
      <c r="BL115" s="658" t="n"/>
      <c r="BM115" s="658" t="n"/>
      <c r="BN115" s="658" t="n"/>
      <c r="BO115" s="658" t="n"/>
      <c r="BP115" s="658" t="n"/>
    </row>
    <row r="116" ht="12.75" customHeight="1" s="7635">
      <c r="A116" s="1277" t="n"/>
      <c r="B116" s="8439" t="n">
        <v>38</v>
      </c>
      <c r="J116" s="7636" t="n"/>
      <c r="K116" s="4772" t="n"/>
      <c r="R116" s="7636" t="n"/>
      <c r="S116" s="4772" t="n"/>
      <c r="Y116" s="7636" t="n"/>
      <c r="Z116" s="4772" t="n"/>
      <c r="AG116" s="7636" t="n"/>
      <c r="AH116" s="4772" t="n"/>
      <c r="AP116" s="1277" t="n"/>
      <c r="AX116" s="1405" t="n"/>
      <c r="AY116" s="1405" t="n"/>
      <c r="AZ116" s="1405" t="n"/>
      <c r="BA116" s="1405" t="n"/>
      <c r="BB116" s="1405" t="n"/>
      <c r="BC116" s="1405" t="n"/>
      <c r="BD116" s="1405" t="n"/>
      <c r="BG116" s="769" t="n"/>
      <c r="BH116" s="658" t="n"/>
      <c r="BI116" s="658" t="n"/>
      <c r="BJ116" s="658" t="n"/>
      <c r="BK116" s="658" t="n"/>
      <c r="BL116" s="658" t="n"/>
      <c r="BM116" s="658" t="n"/>
      <c r="BN116" s="658" t="n"/>
      <c r="BO116" s="658" t="n"/>
      <c r="BP116" s="658" t="n"/>
    </row>
    <row r="117" ht="12.75" customHeight="1" s="7635">
      <c r="A117" s="1277" t="n"/>
      <c r="B117" s="413" t="n"/>
      <c r="C117" s="9108" t="n"/>
      <c r="D117" s="7637" t="n"/>
      <c r="E117" s="7637" t="n"/>
      <c r="F117" s="7637" t="n"/>
      <c r="G117" s="7637" t="n"/>
      <c r="H117" s="7637" t="n"/>
      <c r="I117" s="7637" t="n"/>
      <c r="J117" s="7638" t="n"/>
      <c r="K117" s="3614" t="n"/>
      <c r="L117" s="7637" t="n"/>
      <c r="M117" s="7637" t="n"/>
      <c r="N117" s="7637" t="n"/>
      <c r="O117" s="7637" t="n"/>
      <c r="P117" s="7637" t="n"/>
      <c r="Q117" s="7637" t="n"/>
      <c r="R117" s="7638" t="n"/>
      <c r="S117" s="3614" t="n"/>
      <c r="T117" s="7637" t="n"/>
      <c r="U117" s="7637" t="n"/>
      <c r="V117" s="7637" t="n"/>
      <c r="W117" s="7637" t="n"/>
      <c r="X117" s="7637" t="n"/>
      <c r="Y117" s="7638" t="n"/>
      <c r="Z117" s="3614" t="n"/>
      <c r="AA117" s="7637" t="n"/>
      <c r="AB117" s="7637" t="n"/>
      <c r="AC117" s="7637" t="n"/>
      <c r="AD117" s="7637" t="n"/>
      <c r="AE117" s="7637" t="n"/>
      <c r="AF117" s="7637" t="n"/>
      <c r="AG117" s="7638" t="n"/>
      <c r="AH117" s="3614" t="n"/>
      <c r="AI117" s="7637" t="n"/>
      <c r="AJ117" s="7637" t="n"/>
      <c r="AK117" s="7637" t="n"/>
      <c r="AL117" s="7637" t="n"/>
      <c r="AM117" s="7637" t="n"/>
      <c r="AN117" s="7637" t="n"/>
      <c r="AO117" s="7637" t="n"/>
      <c r="AP117" s="1277" t="n"/>
      <c r="AQ117" s="2875" t="n"/>
      <c r="AR117" s="2875" t="n"/>
      <c r="AS117" s="2875" t="n"/>
      <c r="BG117" s="769" t="n"/>
      <c r="BH117" s="658" t="n"/>
      <c r="BI117" s="658" t="n"/>
      <c r="BJ117" s="658" t="n"/>
      <c r="BK117" s="658" t="n"/>
      <c r="BL117" s="658" t="n"/>
      <c r="BM117" s="658" t="n"/>
      <c r="BN117" s="658" t="n"/>
      <c r="BO117" s="658" t="n"/>
      <c r="BP117" s="658" t="n"/>
    </row>
    <row r="118" ht="12.75" customHeight="1" s="7635">
      <c r="A118" s="1277" t="n"/>
      <c r="B118" s="12142" t="n"/>
      <c r="C118" s="8007" t="n"/>
      <c r="D118" s="8007" t="n"/>
      <c r="E118" s="8007" t="n"/>
      <c r="F118" s="8007" t="n"/>
      <c r="G118" s="8007" t="n"/>
      <c r="H118" s="8007" t="n"/>
      <c r="I118" s="8007" t="n"/>
      <c r="J118" s="8008" t="n"/>
      <c r="K118" s="325" t="n"/>
      <c r="L118" s="8007" t="n"/>
      <c r="M118" s="8007" t="n"/>
      <c r="N118" s="8007" t="n"/>
      <c r="O118" s="8007" t="n"/>
      <c r="P118" s="8007" t="n"/>
      <c r="Q118" s="8007" t="n"/>
      <c r="R118" s="8008" t="n"/>
      <c r="S118" s="8401" t="n"/>
      <c r="T118" s="8007" t="n"/>
      <c r="U118" s="8007" t="n"/>
      <c r="V118" s="8007" t="n"/>
      <c r="W118" s="8007" t="n"/>
      <c r="X118" s="8007" t="n"/>
      <c r="Y118" s="8008" t="n"/>
      <c r="Z118" s="8401" t="n"/>
      <c r="AA118" s="8007" t="n"/>
      <c r="AB118" s="8007" t="n"/>
      <c r="AC118" s="8007" t="n"/>
      <c r="AD118" s="8007" t="n"/>
      <c r="AE118" s="8007" t="n"/>
      <c r="AF118" s="8007" t="n"/>
      <c r="AG118" s="8008" t="n"/>
      <c r="AH118" s="8402" t="n"/>
      <c r="AI118" s="8007" t="n"/>
      <c r="AJ118" s="8007" t="n"/>
      <c r="AK118" s="8007" t="n"/>
      <c r="AL118" s="8007" t="n"/>
      <c r="AM118" s="8007" t="n"/>
      <c r="AN118" s="8007" t="n"/>
      <c r="AO118" s="8007" t="n"/>
      <c r="AP118" s="1277" t="n"/>
      <c r="AQ118" s="2875" t="n"/>
      <c r="AR118" s="8788" t="inlineStr">
        <is>
          <t>Override</t>
        </is>
      </c>
      <c r="AS118" s="2875" t="n"/>
      <c r="BG118" s="769" t="n"/>
      <c r="BH118" s="658" t="n"/>
      <c r="BI118" s="658" t="n"/>
      <c r="BJ118" s="658" t="n"/>
      <c r="BK118" s="658" t="n"/>
      <c r="BL118" s="658" t="n"/>
      <c r="BM118" s="658" t="n"/>
      <c r="BN118" s="658" t="n"/>
      <c r="BO118" s="658" t="n"/>
      <c r="BP118" s="658" t="n"/>
    </row>
    <row r="119" ht="15.75" customHeight="1" s="7635">
      <c r="A119" s="1277" t="n"/>
      <c r="B119" s="8405" t="n">
        <v>39</v>
      </c>
      <c r="C119" s="7637" t="n"/>
      <c r="D119" s="1996" t="inlineStr">
        <is>
          <t>Combine columns (d) and (e) only. Enter the result here and include in the total on line 41 below</t>
        </is>
      </c>
      <c r="E119" s="413" t="n"/>
      <c r="F119" s="413" t="n"/>
      <c r="G119" s="413" t="n"/>
      <c r="H119" s="413" t="n"/>
      <c r="I119" s="413" t="n"/>
      <c r="J119" s="413" t="n"/>
      <c r="K119" s="413" t="n"/>
      <c r="L119" s="413" t="n"/>
      <c r="M119" s="413" t="n"/>
      <c r="N119" s="413" t="n"/>
      <c r="O119" s="413" t="n"/>
      <c r="P119" s="413" t="n"/>
      <c r="Q119" s="413" t="n"/>
      <c r="R119" s="413" t="n"/>
      <c r="S119" s="413" t="n"/>
      <c r="T119" s="413" t="n"/>
      <c r="U119" s="413" t="n"/>
      <c r="V119" s="413" t="n"/>
      <c r="W119" s="413" t="n"/>
      <c r="X119" s="413" t="n"/>
      <c r="Y119" s="413" t="n"/>
      <c r="Z119" s="413" t="n"/>
      <c r="AA119" s="413" t="n"/>
      <c r="AB119" s="413" t="n"/>
      <c r="AC119" s="413" t="n"/>
      <c r="AD119" s="413" t="n"/>
      <c r="AE119" s="413" t="n"/>
      <c r="AF119" s="413" t="n"/>
      <c r="AG119" s="414" t="n"/>
      <c r="AH119" s="10008" t="n">
        <v>39</v>
      </c>
      <c r="AI119" s="11734" t="n"/>
      <c r="AJ119" s="8408">
        <f>IF(AR119&lt;&gt;"",ROUND(AR119,0),ROUND(SUM(Z118,AH118),0))</f>
        <v/>
      </c>
      <c r="AK119" s="8412" t="n"/>
      <c r="AL119" s="8412" t="n"/>
      <c r="AM119" s="8412" t="n"/>
      <c r="AN119" s="8412" t="n"/>
      <c r="AO119" s="8412" t="n"/>
      <c r="AP119" s="1277" t="n"/>
      <c r="AQ119" s="2875" t="n"/>
      <c r="AR119" s="776" t="n"/>
      <c r="AS119" s="2875" t="n"/>
      <c r="BG119" s="769" t="n"/>
      <c r="BH119" s="658" t="n"/>
      <c r="BI119" s="658" t="n"/>
      <c r="BJ119" s="658" t="n"/>
      <c r="BK119" s="658" t="n"/>
      <c r="BL119" s="658" t="n"/>
      <c r="BM119" s="658" t="n"/>
      <c r="BN119" s="658" t="n"/>
      <c r="BO119" s="658" t="n"/>
      <c r="BP119" s="658" t="n"/>
    </row>
    <row r="120" ht="17.25" customFormat="1" customHeight="1" s="1405">
      <c r="A120" s="2119" t="n"/>
      <c r="B120" s="8410" t="inlineStr">
        <is>
          <t>Part V</t>
        </is>
      </c>
      <c r="C120" s="8412" t="n"/>
      <c r="D120" s="8412" t="n"/>
      <c r="E120" s="2120" t="n"/>
      <c r="F120" s="4836" t="inlineStr">
        <is>
          <t>Summary</t>
        </is>
      </c>
      <c r="G120" s="2120" t="n"/>
      <c r="H120" s="2120" t="n"/>
      <c r="I120" s="2120" t="n"/>
      <c r="J120" s="2120" t="n"/>
      <c r="K120" s="2120" t="n"/>
      <c r="L120" s="2120" t="n"/>
      <c r="M120" s="2120" t="n"/>
      <c r="N120" s="2120" t="n"/>
      <c r="O120" s="2120" t="n"/>
      <c r="P120" s="2120" t="n"/>
      <c r="Q120" s="2120" t="n"/>
      <c r="R120" s="2120" t="n"/>
      <c r="S120" s="2120" t="n"/>
      <c r="T120" s="2120" t="n"/>
      <c r="U120" s="2120" t="n"/>
      <c r="V120" s="2120" t="n"/>
      <c r="W120" s="2120" t="n"/>
      <c r="X120" s="3901" t="n"/>
      <c r="Y120" s="2120" t="n"/>
      <c r="Z120" s="2120" t="n"/>
      <c r="AA120" s="2120" t="n"/>
      <c r="AB120" s="2120" t="n"/>
      <c r="AC120" s="2120" t="n"/>
      <c r="AD120" s="2120" t="n"/>
      <c r="AE120" s="2120" t="n"/>
      <c r="AF120" s="2120" t="n"/>
      <c r="AG120" s="2120" t="n"/>
      <c r="AH120" s="2120" t="n"/>
      <c r="AI120" s="2120" t="n"/>
      <c r="AJ120" s="2120" t="n"/>
      <c r="AK120" s="2120" t="n"/>
      <c r="AL120" s="2120" t="n"/>
      <c r="AM120" s="2120" t="n"/>
      <c r="AN120" s="2120" t="n"/>
      <c r="AO120" s="2120" t="n"/>
      <c r="AP120" s="1277" t="n"/>
      <c r="AQ120" s="2875" t="n"/>
      <c r="AR120" s="2875" t="n"/>
      <c r="AS120" s="2875" t="n"/>
      <c r="BG120" s="769" t="n"/>
      <c r="BH120" s="658" t="n"/>
      <c r="BI120" s="658" t="n"/>
      <c r="BJ120" s="658" t="n"/>
      <c r="BK120" s="658" t="n"/>
      <c r="BL120" s="658" t="n"/>
      <c r="BM120" s="658" t="n"/>
      <c r="BN120" s="658" t="n"/>
      <c r="BO120" s="658" t="n"/>
      <c r="BP120" s="658" t="n"/>
      <c r="BQ120" s="815" t="n"/>
    </row>
    <row r="121" ht="15.75" customHeight="1" s="7635" thickBot="1">
      <c r="A121" s="1277" t="n"/>
      <c r="B121" s="8384" t="n">
        <v>40</v>
      </c>
      <c r="C121" s="7839" t="n"/>
      <c r="D121" s="4846" t="inlineStr">
        <is>
          <t>Net farm rental income or (loss) from Form 4835. Also, complete line 42 below</t>
        </is>
      </c>
      <c r="E121" s="406" t="n"/>
      <c r="F121" s="406" t="n"/>
      <c r="G121" s="406" t="n"/>
      <c r="H121" s="406" t="n"/>
      <c r="I121" s="406" t="n"/>
      <c r="J121" s="406" t="n"/>
      <c r="K121" s="406" t="n"/>
      <c r="L121" s="406" t="n"/>
      <c r="M121" s="406" t="n"/>
      <c r="N121" s="406" t="n"/>
      <c r="O121" s="406" t="n"/>
      <c r="P121" s="406" t="n"/>
      <c r="Q121" s="406" t="n"/>
      <c r="R121" s="406" t="n"/>
      <c r="S121" s="406" t="n"/>
      <c r="T121" s="406" t="n"/>
      <c r="U121" s="406" t="n"/>
      <c r="V121" s="406" t="n"/>
      <c r="W121" s="406" t="n"/>
      <c r="X121" s="406" t="n"/>
      <c r="Y121" s="406" t="n"/>
      <c r="Z121" s="406" t="n"/>
      <c r="AA121" s="406" t="n"/>
      <c r="AB121" s="406" t="n"/>
      <c r="AC121" s="406" t="n"/>
      <c r="AD121" s="406" t="n"/>
      <c r="AE121" s="406" t="n"/>
      <c r="AF121" s="406" t="n"/>
      <c r="AG121" s="2198" t="inlineStr">
        <is>
          <t xml:space="preserve">.   .   .   .   .   .   .   .   .   . </t>
        </is>
      </c>
      <c r="AH121" s="8385" t="n">
        <v>40</v>
      </c>
      <c r="AI121" s="12143" t="n"/>
      <c r="AJ121" s="8388" t="n"/>
      <c r="AK121" s="11809" t="n"/>
      <c r="AL121" s="11809" t="n"/>
      <c r="AM121" s="11809" t="n"/>
      <c r="AN121" s="11809" t="n"/>
      <c r="AO121" s="11809" t="n"/>
      <c r="AP121" s="1277" t="n"/>
      <c r="AQ121" s="2875" t="n"/>
      <c r="AR121" s="2875" t="n"/>
      <c r="AS121" s="2875" t="n"/>
      <c r="BG121" s="769" t="n"/>
      <c r="BH121" s="658" t="n"/>
      <c r="BI121" s="658" t="n"/>
      <c r="BJ121" s="658" t="n"/>
      <c r="BK121" s="658" t="n"/>
      <c r="BL121" s="658" t="n"/>
      <c r="BM121" s="658" t="n"/>
      <c r="BN121" s="658" t="n"/>
      <c r="BO121" s="658" t="n"/>
      <c r="BP121" s="658" t="n"/>
    </row>
    <row r="122" ht="13.5" customHeight="1" s="7635">
      <c r="A122" s="1277" t="n"/>
      <c r="B122" s="7642" t="n">
        <v>41</v>
      </c>
      <c r="D122" s="8650" t="inlineStr">
        <is>
          <t>Total income or (loss). Combine lines 26, 32, 37, 39, and 40. Enter the result here and on Schedule</t>
        </is>
      </c>
      <c r="E122" s="11602" t="n"/>
      <c r="F122" s="11602" t="n"/>
      <c r="G122" s="11602" t="n"/>
      <c r="H122" s="11602" t="n"/>
      <c r="I122" s="11602" t="n"/>
      <c r="J122" s="11602" t="n"/>
      <c r="K122" s="11602" t="n"/>
      <c r="L122" s="11602" t="n"/>
      <c r="M122" s="11602" t="n"/>
      <c r="N122" s="11602" t="n"/>
      <c r="O122" s="11602" t="n"/>
      <c r="P122" s="11602" t="n"/>
      <c r="Q122" s="11602" t="n"/>
      <c r="R122" s="11602" t="n"/>
      <c r="S122" s="11602" t="n"/>
      <c r="T122" s="11602" t="n"/>
      <c r="U122" s="11602" t="n"/>
      <c r="V122" s="11602" t="n"/>
      <c r="W122" s="11602" t="n"/>
      <c r="X122" s="11602" t="n"/>
      <c r="Y122" s="11602" t="n"/>
      <c r="Z122" s="11602" t="n"/>
      <c r="AA122" s="11602" t="n"/>
      <c r="AB122" s="11602" t="n"/>
      <c r="AC122" s="11602" t="n"/>
      <c r="AD122" s="11602" t="n"/>
      <c r="AE122" s="11602" t="n"/>
      <c r="AF122" s="11602" t="n"/>
      <c r="AG122" s="409" t="n"/>
      <c r="AH122" s="8439" t="n"/>
      <c r="AI122" s="7453" t="n"/>
      <c r="AJ122" s="1899" t="n"/>
      <c r="AK122" s="1900" t="n"/>
      <c r="AL122" s="1900" t="n"/>
      <c r="AM122" s="1900" t="n"/>
      <c r="AN122" s="1900" t="n"/>
      <c r="AO122" s="1900" t="n"/>
      <c r="AP122" s="1277" t="n"/>
      <c r="AQ122" s="2875" t="n"/>
      <c r="AR122" s="2875" t="n"/>
      <c r="AS122" s="2875" t="n"/>
      <c r="AX122" s="1405" t="n"/>
      <c r="AY122" s="1405" t="n"/>
      <c r="AZ122" s="1405" t="n"/>
      <c r="BA122" s="1405" t="n"/>
      <c r="BB122" s="1405" t="n"/>
      <c r="BC122" s="1405" t="n"/>
      <c r="BD122" s="1405" t="n"/>
      <c r="BG122" s="769" t="n"/>
      <c r="BH122" s="658" t="n"/>
      <c r="BI122" s="658" t="n"/>
      <c r="BJ122" s="658" t="n"/>
      <c r="BK122" s="658" t="n"/>
      <c r="BL122" s="658" t="n"/>
      <c r="BM122" s="658" t="n"/>
      <c r="BN122" s="658" t="n"/>
      <c r="BO122" s="658" t="n"/>
      <c r="BP122" s="658" t="n"/>
    </row>
    <row r="123" ht="13.5" customHeight="1" s="7635">
      <c r="A123" s="1277" t="n"/>
      <c r="B123" s="7642" t="n"/>
      <c r="D123" s="8650" t="inlineStr">
        <is>
          <t>1 (Form 1040), line 5.</t>
        </is>
      </c>
      <c r="E123" s="11602" t="n"/>
      <c r="F123" s="11602" t="n"/>
      <c r="G123" s="11602" t="n"/>
      <c r="H123" s="11602" t="n"/>
      <c r="I123" s="11602" t="n"/>
      <c r="J123" s="11602" t="n"/>
      <c r="K123" s="11602" t="n"/>
      <c r="L123" s="11602" t="n"/>
      <c r="M123" s="11602" t="n"/>
      <c r="N123" s="11602" t="n"/>
      <c r="O123" s="11602" t="n"/>
      <c r="P123" s="11602" t="n"/>
      <c r="Q123" s="11602" t="n"/>
      <c r="R123" s="11602" t="n"/>
      <c r="S123" s="11602" t="n"/>
      <c r="T123" s="11602" t="n"/>
      <c r="U123" s="11602" t="n"/>
      <c r="V123" s="11602" t="n"/>
      <c r="W123" s="11602" t="n"/>
      <c r="X123" s="11602" t="n"/>
      <c r="Y123" s="11602" t="n"/>
      <c r="Z123" s="11602" t="n"/>
      <c r="AA123" s="11602" t="n"/>
      <c r="AB123" s="11602" t="n"/>
      <c r="AC123" s="11602" t="n"/>
      <c r="AD123" s="11602" t="n"/>
      <c r="AE123" s="11602" t="n"/>
      <c r="AF123" s="11602" t="n"/>
      <c r="AG123" s="2198" t="inlineStr">
        <is>
          <t xml:space="preserve">.   .   .   .   .   .   .   .   .   .   .   .   .   .   .   .   .   .   .   .   .   .   .   .   .   .   .   .   .   .   .   .   .   .   . </t>
        </is>
      </c>
      <c r="AH123" s="8389" t="n">
        <v>41</v>
      </c>
      <c r="AI123" s="7638" t="n"/>
      <c r="AJ123" s="7062">
        <f>IF(AR123&lt;&gt;"",ROUND(AR123,0),IF(SchE3_Completed,SUM(SchE3_Line26,SchE3_Line32,SchE3_Line37,SchE3_Line39,ROUND(SchE3_Line40,0)),0))</f>
        <v/>
      </c>
      <c r="AK123" s="7637" t="n"/>
      <c r="AL123" s="7637" t="n"/>
      <c r="AM123" s="7637" t="n"/>
      <c r="AN123" s="7637" t="n"/>
      <c r="AO123" s="7637" t="n"/>
      <c r="AP123" s="1277" t="n"/>
      <c r="AQ123" s="2875" t="n"/>
      <c r="AR123" s="776" t="n"/>
      <c r="AS123" s="2875" t="n"/>
      <c r="AV123">
        <f>OR(SchE3_Line26&lt;&gt;0,SchE3_Line32&lt;&gt;0,SchE3_Line37&lt;&gt;0,SchE3_Line39&lt;&gt;0,SchE3_Line40&lt;&gt;0)</f>
        <v/>
      </c>
      <c r="AX123" s="1405" t="n"/>
      <c r="AY123" s="1405" t="n"/>
      <c r="AZ123" s="1405" t="n"/>
      <c r="BA123" s="1405" t="n"/>
      <c r="BB123" s="1405" t="n"/>
      <c r="BC123" s="1405" t="n"/>
      <c r="BD123" s="1405" t="n"/>
      <c r="BG123" s="769" t="n"/>
      <c r="BH123" s="658" t="n"/>
      <c r="BI123" s="658" t="n"/>
      <c r="BJ123" s="658" t="n"/>
      <c r="BK123" s="658" t="n"/>
      <c r="BL123" s="658" t="n"/>
      <c r="BM123" s="658" t="n"/>
      <c r="BN123" s="658" t="n"/>
      <c r="BO123" s="658" t="n"/>
      <c r="BP123" s="658" t="n"/>
    </row>
    <row r="124" ht="12.75" customHeight="1" s="7635">
      <c r="A124" s="1277" t="n"/>
      <c r="B124" s="7642" t="n">
        <v>42</v>
      </c>
      <c r="D124" s="7772" t="inlineStr">
        <is>
          <t>Reconciliation of farming and fishing income.  Enter your gross</t>
        </is>
      </c>
      <c r="E124" s="11602" t="n"/>
      <c r="F124" s="11602" t="n"/>
      <c r="G124" s="11602" t="n"/>
      <c r="H124" s="11602" t="n"/>
      <c r="I124" s="11602" t="n"/>
      <c r="J124" s="11602" t="n"/>
      <c r="K124" s="11602" t="n"/>
      <c r="L124" s="11602" t="n"/>
      <c r="M124" s="11602" t="n"/>
      <c r="N124" s="11602" t="n"/>
      <c r="O124" s="11602" t="n"/>
      <c r="P124" s="11602" t="n"/>
      <c r="Q124" s="11602" t="n"/>
      <c r="R124" s="11602" t="n"/>
      <c r="S124" s="11602" t="n"/>
      <c r="T124" s="11602" t="n"/>
      <c r="U124" s="11602" t="n"/>
      <c r="V124" s="11602" t="n"/>
      <c r="W124" s="11602" t="n"/>
      <c r="X124" s="11602" t="n"/>
      <c r="Y124" s="2094" t="n"/>
      <c r="Z124" s="4847" t="n"/>
      <c r="AA124" s="4847" t="n"/>
      <c r="AB124" s="4847" t="n"/>
      <c r="AC124" s="4847" t="n"/>
      <c r="AD124" s="4847" t="n"/>
      <c r="AE124" s="4847" t="n"/>
      <c r="AF124" s="4847" t="n"/>
      <c r="AG124" s="2095" t="n"/>
      <c r="AH124" s="723" t="n"/>
      <c r="AI124" s="723" t="n"/>
      <c r="AJ124" s="723" t="n"/>
      <c r="AK124" s="723" t="n"/>
      <c r="AL124" s="723" t="n"/>
      <c r="AM124" s="723" t="n"/>
      <c r="AN124" s="723" t="n"/>
      <c r="AO124" s="723" t="n"/>
      <c r="AP124" s="1277" t="n"/>
      <c r="AQ124" s="2875" t="n"/>
      <c r="AR124" s="2875" t="n"/>
      <c r="AS124" s="2875" t="n"/>
      <c r="AV124" s="212">
        <f>IF(SchE3_Completed,SchE3_Line41,SchE3_Line26)</f>
        <v/>
      </c>
      <c r="BG124" s="769" t="n"/>
      <c r="BH124" s="658" t="n"/>
      <c r="BI124" s="658" t="n"/>
      <c r="BJ124" s="658" t="n"/>
      <c r="BK124" s="658" t="n"/>
      <c r="BL124" s="658" t="n"/>
      <c r="BM124" s="658" t="n"/>
      <c r="BN124" s="658" t="n"/>
      <c r="BO124" s="658" t="n"/>
      <c r="BP124" s="658" t="n"/>
    </row>
    <row r="125" ht="12.75" customHeight="1" s="7635">
      <c r="A125" s="1277" t="n"/>
      <c r="B125" s="7642" t="n"/>
      <c r="C125" s="11602" t="n"/>
      <c r="D125" s="8650" t="inlineStr">
        <is>
          <t>farming and fishing income reported on Form 4835, line 7; Schedule K-1</t>
        </is>
      </c>
      <c r="E125" s="11602" t="n"/>
      <c r="F125" s="11602" t="n"/>
      <c r="G125" s="11602" t="n"/>
      <c r="H125" s="11602" t="n"/>
      <c r="I125" s="11602" t="n"/>
      <c r="J125" s="11602" t="n"/>
      <c r="K125" s="11602" t="n"/>
      <c r="L125" s="11602" t="n"/>
      <c r="M125" s="11602" t="n"/>
      <c r="N125" s="11602" t="n"/>
      <c r="O125" s="11602" t="n"/>
      <c r="P125" s="11602" t="n"/>
      <c r="Q125" s="11602" t="n"/>
      <c r="R125" s="11602" t="n"/>
      <c r="S125" s="11602" t="n"/>
      <c r="T125" s="11602" t="n"/>
      <c r="U125" s="11602" t="n"/>
      <c r="V125" s="11602" t="n"/>
      <c r="W125" s="11602" t="n"/>
      <c r="X125" s="11602" t="n"/>
      <c r="Y125" s="2073" t="n"/>
      <c r="Z125" s="723" t="n"/>
      <c r="AA125" s="723" t="n"/>
      <c r="AB125" s="723" t="n"/>
      <c r="AC125" s="723" t="n"/>
      <c r="AD125" s="723" t="n"/>
      <c r="AE125" s="723" t="n"/>
      <c r="AF125" s="723" t="n"/>
      <c r="AG125" s="2074" t="n"/>
      <c r="AH125" s="723" t="n"/>
      <c r="AI125" s="723" t="n"/>
      <c r="AJ125" s="723" t="n"/>
      <c r="AK125" s="723" t="n"/>
      <c r="AL125" s="723" t="n"/>
      <c r="AM125" s="723" t="n"/>
      <c r="AN125" s="723" t="n"/>
      <c r="AO125" s="723" t="n"/>
      <c r="AP125" s="1277" t="n"/>
      <c r="BG125" s="769" t="n"/>
      <c r="BH125" s="658" t="n"/>
      <c r="BI125" s="658" t="n"/>
      <c r="BJ125" s="658" t="n"/>
      <c r="BK125" s="658" t="n"/>
      <c r="BL125" s="658" t="n"/>
      <c r="BM125" s="658" t="n"/>
      <c r="BN125" s="658" t="n"/>
      <c r="BO125" s="658" t="n"/>
      <c r="BP125" s="658" t="n"/>
    </row>
    <row r="126" ht="12.75" customHeight="1" s="7635">
      <c r="A126" s="1277" t="n"/>
      <c r="B126" s="7642" t="n"/>
      <c r="C126" s="11602" t="n"/>
      <c r="D126" s="8650" t="inlineStr">
        <is>
          <t>Form 1065), box 14, code B; Schedule K-1 (Form 1120S), box 17, code</t>
        </is>
      </c>
      <c r="E126" s="11602" t="n"/>
      <c r="F126" s="11602" t="n"/>
      <c r="G126" s="11602" t="n"/>
      <c r="H126" s="11602" t="n"/>
      <c r="I126" s="11602" t="n"/>
      <c r="J126" s="11602" t="n"/>
      <c r="K126" s="11602" t="n"/>
      <c r="L126" s="11602" t="n"/>
      <c r="M126" s="11602" t="n"/>
      <c r="N126" s="11602" t="n"/>
      <c r="O126" s="11602" t="n"/>
      <c r="P126" s="11602" t="n"/>
      <c r="Q126" s="11602" t="n"/>
      <c r="R126" s="11602" t="n"/>
      <c r="S126" s="11602" t="n"/>
      <c r="T126" s="11602" t="n"/>
      <c r="U126" s="11602" t="n"/>
      <c r="V126" s="11602" t="n"/>
      <c r="W126" s="11602" t="n"/>
      <c r="X126" s="11602" t="n"/>
      <c r="Y126" s="2073" t="n"/>
      <c r="Z126" s="723" t="n"/>
      <c r="AA126" s="723" t="n"/>
      <c r="AB126" s="723" t="n"/>
      <c r="AC126" s="723" t="n"/>
      <c r="AD126" s="723" t="n"/>
      <c r="AE126" s="723" t="n"/>
      <c r="AF126" s="723" t="n"/>
      <c r="AG126" s="2074" t="n"/>
      <c r="AH126" s="723" t="n"/>
      <c r="AI126" s="723" t="n"/>
      <c r="AJ126" s="723" t="n"/>
      <c r="AK126" s="723" t="n"/>
      <c r="AL126" s="723" t="n"/>
      <c r="AM126" s="723" t="n"/>
      <c r="AN126" s="723" t="n"/>
      <c r="AO126" s="723" t="n"/>
      <c r="AP126" s="1277" t="n"/>
      <c r="BG126" s="769" t="n"/>
      <c r="BH126" s="658" t="n"/>
      <c r="BI126" s="658" t="n"/>
      <c r="BJ126" s="658" t="n"/>
      <c r="BK126" s="658" t="n"/>
      <c r="BL126" s="658" t="n"/>
      <c r="BM126" s="658" t="n"/>
      <c r="BN126" s="658" t="n"/>
      <c r="BO126" s="658" t="n"/>
      <c r="BP126" s="658" t="n"/>
    </row>
    <row r="127" ht="13.5" customHeight="1" s="7635">
      <c r="A127" s="1277" t="n"/>
      <c r="B127" s="7642" t="n"/>
      <c r="C127" s="11602" t="n"/>
      <c r="D127" s="8650" t="inlineStr">
        <is>
          <t>AN; and Schedule K-1 (Form 1041), box 14, code F. See instructions</t>
        </is>
      </c>
      <c r="E127" s="11602" t="n"/>
      <c r="F127" s="11602" t="n"/>
      <c r="G127" s="11602" t="n"/>
      <c r="H127" s="11602" t="n"/>
      <c r="I127" s="11602" t="n"/>
      <c r="J127" s="11602" t="n"/>
      <c r="K127" s="11602" t="n"/>
      <c r="L127" s="11602" t="n"/>
      <c r="M127" s="11602" t="n"/>
      <c r="N127" s="11602" t="n"/>
      <c r="O127" s="11602" t="n"/>
      <c r="P127" s="11602" t="n"/>
      <c r="Q127" s="11602" t="n"/>
      <c r="R127" s="11602" t="n"/>
      <c r="S127" s="11602" t="n"/>
      <c r="T127" s="11602" t="n"/>
      <c r="U127" s="11602" t="n"/>
      <c r="V127" s="11602" t="n"/>
      <c r="W127" s="11602" t="n"/>
      <c r="X127" s="1401" t="inlineStr">
        <is>
          <t xml:space="preserve">.   .   .   .   .  </t>
        </is>
      </c>
      <c r="Y127" s="12147" t="n">
        <v>42</v>
      </c>
      <c r="Z127" s="11734" t="n"/>
      <c r="AA127" s="8637" t="n"/>
      <c r="AB127" s="8007" t="n"/>
      <c r="AC127" s="8007" t="n"/>
      <c r="AD127" s="8007" t="n"/>
      <c r="AE127" s="8007" t="n"/>
      <c r="AF127" s="8007" t="n"/>
      <c r="AG127" s="8008" t="n"/>
      <c r="AH127" s="723" t="n"/>
      <c r="AI127" s="723" t="n"/>
      <c r="AJ127" s="723" t="n"/>
      <c r="AK127" s="723" t="n"/>
      <c r="AL127" s="723" t="n"/>
      <c r="AM127" s="723" t="n"/>
      <c r="AN127" s="723" t="n"/>
      <c r="AO127" s="723" t="n"/>
      <c r="AP127" s="1277" t="n"/>
      <c r="BG127" s="769" t="n"/>
      <c r="BH127" s="658" t="n"/>
      <c r="BI127" s="658" t="n"/>
      <c r="BJ127" s="658" t="n"/>
      <c r="BK127" s="658" t="n"/>
      <c r="BL127" s="658" t="n"/>
      <c r="BM127" s="658" t="n"/>
      <c r="BN127" s="658" t="n"/>
      <c r="BO127" s="658" t="n"/>
      <c r="BP127" s="658" t="n"/>
    </row>
    <row r="128" ht="12.75" customHeight="1" s="7635">
      <c r="A128" s="1277" t="n"/>
      <c r="B128" s="7642" t="n">
        <v>43</v>
      </c>
      <c r="D128" s="8650" t="inlineStr">
        <is>
          <t>Reconciliation for real estate professionals. If you were a real estate</t>
        </is>
      </c>
      <c r="E128" s="11602" t="n"/>
      <c r="F128" s="11602" t="n"/>
      <c r="G128" s="11602" t="n"/>
      <c r="H128" s="11602" t="n"/>
      <c r="I128" s="11602" t="n"/>
      <c r="J128" s="11602" t="n"/>
      <c r="K128" s="11602" t="n"/>
      <c r="L128" s="11602" t="n"/>
      <c r="M128" s="11602" t="n"/>
      <c r="N128" s="11602" t="n"/>
      <c r="O128" s="11602" t="n"/>
      <c r="P128" s="11602" t="n"/>
      <c r="Q128" s="11602" t="n"/>
      <c r="R128" s="11602" t="n"/>
      <c r="S128" s="11602" t="n"/>
      <c r="T128" s="11602" t="n"/>
      <c r="U128" s="11602" t="n"/>
      <c r="V128" s="11602" t="n"/>
      <c r="W128" s="11602" t="n"/>
      <c r="X128" s="11602" t="n"/>
      <c r="Y128" s="2094" t="n"/>
      <c r="Z128" s="4847" t="n"/>
      <c r="AA128" s="4847" t="n"/>
      <c r="AB128" s="4847" t="n"/>
      <c r="AC128" s="4847" t="n"/>
      <c r="AD128" s="4847" t="n"/>
      <c r="AE128" s="4847" t="n"/>
      <c r="AF128" s="4847" t="n"/>
      <c r="AG128" s="2095" t="n"/>
      <c r="AH128" s="723" t="n"/>
      <c r="AI128" s="723" t="n"/>
      <c r="AJ128" s="723" t="n"/>
      <c r="AK128" s="723" t="n"/>
      <c r="AL128" s="723" t="n"/>
      <c r="AM128" s="723" t="n"/>
      <c r="AN128" s="723" t="n"/>
      <c r="AO128" s="723" t="n"/>
      <c r="AP128" s="1277" t="n"/>
      <c r="BG128" s="769" t="n"/>
      <c r="BH128" s="658" t="n"/>
      <c r="BI128" s="658" t="n"/>
      <c r="BJ128" s="658" t="n"/>
      <c r="BK128" s="658" t="n"/>
      <c r="BL128" s="658" t="n"/>
      <c r="BM128" s="658" t="n"/>
      <c r="BN128" s="658" t="n"/>
      <c r="BO128" s="658" t="n"/>
      <c r="BP128" s="658" t="n"/>
    </row>
    <row r="129" ht="12.75" customHeight="1" s="7635">
      <c r="A129" s="1277" t="n"/>
      <c r="B129" s="7642" t="n"/>
      <c r="C129" s="11602" t="n"/>
      <c r="D129" s="2100" t="inlineStr">
        <is>
          <t>professional (see instructions),  enter the net income or (loss) you</t>
        </is>
      </c>
      <c r="E129" s="11602" t="n"/>
      <c r="F129" s="11602" t="n"/>
      <c r="G129" s="11602" t="n"/>
      <c r="H129" s="11602" t="n"/>
      <c r="I129" s="11602" t="n"/>
      <c r="J129" s="11602" t="n"/>
      <c r="K129" s="11602" t="n"/>
      <c r="L129" s="11602" t="n"/>
      <c r="M129" s="11602" t="n"/>
      <c r="N129" s="11602" t="n"/>
      <c r="O129" s="11602" t="n"/>
      <c r="P129" s="11602" t="n"/>
      <c r="Q129" s="11602" t="n"/>
      <c r="R129" s="11602" t="n"/>
      <c r="S129" s="11602" t="n"/>
      <c r="T129" s="11602" t="n"/>
      <c r="U129" s="11602" t="n"/>
      <c r="V129" s="11602" t="n"/>
      <c r="W129" s="11602" t="n"/>
      <c r="X129" s="11602" t="n"/>
      <c r="Y129" s="2073" t="n"/>
      <c r="Z129" s="723" t="n"/>
      <c r="AA129" s="723" t="n"/>
      <c r="AB129" s="723" t="n"/>
      <c r="AC129" s="723" t="n"/>
      <c r="AD129" s="723" t="n"/>
      <c r="AE129" s="723" t="n"/>
      <c r="AF129" s="723" t="n"/>
      <c r="AG129" s="2074" t="n"/>
      <c r="AH129" s="723" t="n"/>
      <c r="AI129" s="723" t="n"/>
      <c r="AJ129" s="723" t="n"/>
      <c r="AK129" s="723" t="n"/>
      <c r="AL129" s="723" t="n"/>
      <c r="AM129" s="723" t="n"/>
      <c r="AN129" s="723" t="n"/>
      <c r="AO129" s="723" t="n"/>
      <c r="AP129" s="1277" t="n"/>
      <c r="BG129" s="769" t="n"/>
      <c r="BH129" s="658" t="n"/>
      <c r="BI129" s="658" t="n"/>
      <c r="BJ129" s="658" t="n"/>
      <c r="BK129" s="658" t="n"/>
      <c r="BL129" s="658" t="n"/>
      <c r="BM129" s="658" t="n"/>
      <c r="BN129" s="658" t="n"/>
      <c r="BO129" s="658" t="n"/>
      <c r="BP129" s="658" t="n"/>
    </row>
    <row r="130" ht="12.75" customHeight="1" s="7635">
      <c r="A130" s="1277" t="n"/>
      <c r="B130" s="7642" t="n"/>
      <c r="C130" s="11602" t="n"/>
      <c r="D130" s="2100" t="inlineStr">
        <is>
          <t>reported  anywhere on Form 1040, Form 1040-SR, or Form 1040-NR</t>
        </is>
      </c>
      <c r="E130" s="11602" t="n"/>
      <c r="F130" s="11602" t="n"/>
      <c r="G130" s="11602" t="n"/>
      <c r="H130" s="11602" t="n"/>
      <c r="I130" s="11602" t="n"/>
      <c r="J130" s="11602" t="n"/>
      <c r="K130" s="11602" t="n"/>
      <c r="L130" s="11602" t="n"/>
      <c r="M130" s="11602" t="n"/>
      <c r="N130" s="11602" t="n"/>
      <c r="O130" s="11602" t="n"/>
      <c r="P130" s="11602" t="n"/>
      <c r="Q130" s="11602" t="n"/>
      <c r="R130" s="11602" t="n"/>
      <c r="S130" s="11602" t="n"/>
      <c r="T130" s="11602" t="n"/>
      <c r="U130" s="11602" t="n"/>
      <c r="V130" s="11602" t="n"/>
      <c r="W130" s="11602" t="n"/>
      <c r="X130" s="11602" t="n"/>
      <c r="Y130" s="2073" t="n"/>
      <c r="Z130" s="723" t="n"/>
      <c r="AA130" s="723" t="n"/>
      <c r="AB130" s="723" t="n"/>
      <c r="AC130" s="723" t="n"/>
      <c r="AD130" s="723" t="n"/>
      <c r="AE130" s="723" t="n"/>
      <c r="AF130" s="723" t="n"/>
      <c r="AG130" s="2074" t="n"/>
      <c r="AH130" s="723" t="n"/>
      <c r="AI130" s="723" t="n"/>
      <c r="AJ130" s="723" t="n"/>
      <c r="AK130" s="723" t="n"/>
      <c r="AL130" s="723" t="n"/>
      <c r="AM130" s="723" t="n"/>
      <c r="AN130" s="723" t="n"/>
      <c r="AO130" s="723" t="n"/>
      <c r="AP130" s="1277" t="n"/>
      <c r="BG130" s="769" t="n"/>
      <c r="BH130" s="658" t="n"/>
      <c r="BI130" s="658" t="n"/>
      <c r="BJ130" s="658" t="n"/>
      <c r="BK130" s="658" t="n"/>
      <c r="BL130" s="658" t="n"/>
      <c r="BM130" s="658" t="n"/>
      <c r="BN130" s="658" t="n"/>
      <c r="BO130" s="658" t="n"/>
      <c r="BP130" s="658" t="n"/>
    </row>
    <row r="131" ht="12.75" customHeight="1" s="7635">
      <c r="A131" s="1277" t="n"/>
      <c r="B131" s="7642" t="n"/>
      <c r="C131" s="11602" t="n"/>
      <c r="D131" s="8650" t="inlineStr">
        <is>
          <t>from all rental real estate activities in which you materially participated</t>
        </is>
      </c>
      <c r="E131" s="11602" t="n"/>
      <c r="F131" s="11602" t="n"/>
      <c r="G131" s="11602" t="n"/>
      <c r="H131" s="11602" t="n"/>
      <c r="I131" s="11602" t="n"/>
      <c r="J131" s="11602" t="n"/>
      <c r="K131" s="11602" t="n"/>
      <c r="L131" s="11602" t="n"/>
      <c r="M131" s="11602" t="n"/>
      <c r="N131" s="11602" t="n"/>
      <c r="O131" s="11602" t="n"/>
      <c r="P131" s="11602" t="n"/>
      <c r="Q131" s="11602" t="n"/>
      <c r="R131" s="11602" t="n"/>
      <c r="S131" s="11602" t="n"/>
      <c r="T131" s="11602" t="n"/>
      <c r="U131" s="11602" t="n"/>
      <c r="V131" s="11602" t="n"/>
      <c r="W131" s="11602" t="n"/>
      <c r="X131" s="11602" t="n"/>
      <c r="Y131" s="2073" t="n"/>
      <c r="Z131" s="723" t="n"/>
      <c r="AA131" s="723" t="n"/>
      <c r="AB131" s="723" t="n"/>
      <c r="AC131" s="723" t="n"/>
      <c r="AD131" s="723" t="n"/>
      <c r="AE131" s="723" t="n"/>
      <c r="AF131" s="723" t="n"/>
      <c r="AG131" s="2074" t="n"/>
      <c r="AH131" s="723" t="n"/>
      <c r="AI131" s="723" t="n"/>
      <c r="AJ131" s="723" t="n"/>
      <c r="AK131" s="723" t="n"/>
      <c r="AL131" s="723" t="n"/>
      <c r="AM131" s="723" t="n"/>
      <c r="AN131" s="723" t="n"/>
      <c r="AO131" s="723" t="n"/>
      <c r="AP131" s="1277" t="n"/>
      <c r="BG131" s="769" t="n"/>
      <c r="BH131" s="658" t="n"/>
      <c r="BI131" s="658" t="n"/>
      <c r="BJ131" s="658" t="n"/>
      <c r="BK131" s="658" t="n"/>
      <c r="BL131" s="658" t="n"/>
      <c r="BM131" s="658" t="n"/>
      <c r="BN131" s="658" t="n"/>
      <c r="BO131" s="658" t="n"/>
      <c r="BP131" s="658" t="n"/>
    </row>
    <row r="132" ht="13.5" customHeight="1" s="7635" thickBot="1">
      <c r="A132" s="1277" t="n"/>
      <c r="B132" s="8481" t="n"/>
      <c r="C132" s="380" t="n"/>
      <c r="D132" s="2015" t="inlineStr">
        <is>
          <t>under the passive activity loss rules</t>
        </is>
      </c>
      <c r="E132" s="380" t="n"/>
      <c r="F132" s="380" t="n"/>
      <c r="G132" s="380" t="n"/>
      <c r="H132" s="380" t="n"/>
      <c r="I132" s="380" t="n"/>
      <c r="J132" s="380" t="n"/>
      <c r="K132" s="380" t="n"/>
      <c r="L132" s="380" t="n"/>
      <c r="M132" s="380" t="n"/>
      <c r="N132" s="380" t="n"/>
      <c r="O132" s="380" t="n"/>
      <c r="P132" s="380" t="n"/>
      <c r="Q132" s="380" t="n"/>
      <c r="R132" s="380" t="n"/>
      <c r="S132" s="380" t="n"/>
      <c r="T132" s="380" t="n"/>
      <c r="U132" s="380" t="n"/>
      <c r="V132" s="380" t="n"/>
      <c r="W132" s="380" t="n"/>
      <c r="X132" s="10736" t="inlineStr">
        <is>
          <t xml:space="preserve">.   .   .   .   .   .   .   .  </t>
        </is>
      </c>
      <c r="Y132" s="12148" t="n">
        <v>43</v>
      </c>
      <c r="Z132" s="12143" t="n"/>
      <c r="AA132" s="8641" t="n"/>
      <c r="AB132" s="11809" t="n"/>
      <c r="AC132" s="11809" t="n"/>
      <c r="AD132" s="11809" t="n"/>
      <c r="AE132" s="11809" t="n"/>
      <c r="AF132" s="11809" t="n"/>
      <c r="AG132" s="11810" t="n"/>
      <c r="AH132" s="818" t="n"/>
      <c r="AI132" s="818" t="n"/>
      <c r="AJ132" s="818" t="n"/>
      <c r="AK132" s="818" t="n"/>
      <c r="AL132" s="818" t="n"/>
      <c r="AM132" s="818" t="n"/>
      <c r="AN132" s="818" t="n"/>
      <c r="AO132" s="818" t="n"/>
      <c r="AP132" s="1277" t="n"/>
      <c r="BG132" s="769" t="n"/>
      <c r="BH132" s="658" t="n"/>
      <c r="BI132" s="658" t="n"/>
      <c r="BJ132" s="658" t="n"/>
      <c r="BK132" s="658" t="n"/>
      <c r="BL132" s="658" t="n"/>
      <c r="BM132" s="658" t="n"/>
      <c r="BN132" s="658" t="n"/>
      <c r="BO132" s="658" t="n"/>
      <c r="BP132" s="658" t="n"/>
    </row>
    <row r="133" ht="12.75" customHeight="1" s="7635">
      <c r="A133" s="1277" t="n"/>
      <c r="B133" s="7642" t="n"/>
      <c r="C133" s="11602" t="n"/>
      <c r="D133" s="11602" t="n"/>
      <c r="E133" s="11602" t="n"/>
      <c r="F133" s="11602" t="n"/>
      <c r="G133" s="11602" t="n"/>
      <c r="H133" s="11602" t="n"/>
      <c r="I133" s="11602" t="n"/>
      <c r="J133" s="11602" t="n"/>
      <c r="K133" s="11602" t="n"/>
      <c r="L133" s="11602" t="n"/>
      <c r="M133" s="11602" t="n"/>
      <c r="N133" s="11602" t="n"/>
      <c r="O133" s="11602" t="n"/>
      <c r="P133" s="11602" t="n"/>
      <c r="Q133" s="11602" t="n"/>
      <c r="R133" s="11602" t="n"/>
      <c r="S133" s="11602" t="n"/>
      <c r="T133" s="11602" t="n"/>
      <c r="U133" s="11602" t="n"/>
      <c r="V133" s="11602" t="n"/>
      <c r="W133" s="11602" t="n"/>
      <c r="X133" s="11602" t="n"/>
      <c r="Y133" s="11602" t="n"/>
      <c r="Z133" s="11602" t="n"/>
      <c r="AA133" s="11602" t="n"/>
      <c r="AB133" s="11602" t="n"/>
      <c r="AC133" s="11602" t="n"/>
      <c r="AD133" s="11602" t="n"/>
      <c r="AE133" s="11602" t="n"/>
      <c r="AF133" s="11602" t="n"/>
      <c r="AG133" s="11602" t="n"/>
      <c r="AH133" s="11602" t="n"/>
      <c r="AI133" s="11602" t="n"/>
      <c r="AJ133" s="11602" t="n"/>
      <c r="AK133" s="11602" t="n"/>
      <c r="AL133" s="11602" t="n"/>
      <c r="AM133" s="11602" t="n"/>
      <c r="AN133" s="11602" t="n"/>
      <c r="AO133" s="1989">
        <f>"Schedule E (Form 1040) "&amp;TaxYear</f>
        <v/>
      </c>
      <c r="AP133" s="1277" t="n"/>
      <c r="BG133" s="769" t="n"/>
      <c r="BH133" s="658" t="n"/>
      <c r="BI133" s="658" t="n"/>
      <c r="BJ133" s="658" t="n"/>
      <c r="BK133" s="658" t="n"/>
      <c r="BL133" s="658" t="n"/>
      <c r="BM133" s="658" t="n"/>
      <c r="BN133" s="658" t="n"/>
      <c r="BO133" s="658" t="n"/>
      <c r="BP133" s="658" t="n"/>
    </row>
    <row r="134" ht="18" customHeight="1" s="7635">
      <c r="A134" s="1277" t="n"/>
      <c r="B134" s="12146" t="inlineStr">
        <is>
          <t>SCHEDULE E</t>
        </is>
      </c>
      <c r="G134" s="1066" t="n"/>
      <c r="H134" s="4750" t="n"/>
      <c r="I134" s="11602" t="n"/>
      <c r="J134" s="11602" t="n"/>
      <c r="K134" s="11602" t="n"/>
      <c r="L134" s="11602" t="n"/>
      <c r="M134" s="2329" t="n"/>
      <c r="N134" s="11602" t="n"/>
      <c r="O134" s="11602" t="n"/>
      <c r="P134" s="11602" t="n"/>
      <c r="Q134" s="11602" t="n"/>
      <c r="R134" s="11602" t="n"/>
      <c r="S134" s="11602" t="n"/>
      <c r="T134" s="11602" t="n"/>
      <c r="U134" s="11602" t="n"/>
      <c r="V134" s="11602" t="n"/>
      <c r="W134" s="11602" t="n"/>
      <c r="X134" s="11602" t="n"/>
      <c r="Y134" s="11602" t="n"/>
      <c r="Z134" s="11602" t="n"/>
      <c r="AA134" s="11602" t="n"/>
      <c r="AB134" s="11602" t="n"/>
      <c r="AC134" s="11602" t="n"/>
      <c r="AD134" s="11602" t="n"/>
      <c r="AE134" s="11602" t="n"/>
      <c r="AF134" s="11602" t="n"/>
      <c r="AG134" s="11602" t="n"/>
      <c r="AH134" s="11602" t="n"/>
      <c r="AI134" s="8598">
        <f>IF(AND('Table of Contents'!A39="D",AP134=""),"DRAFT","OMB No. 1545-0074")</f>
        <v/>
      </c>
      <c r="AJ134" s="7637" t="n"/>
      <c r="AK134" s="7637" t="n"/>
      <c r="AL134" s="7637" t="n"/>
      <c r="AM134" s="7637" t="n"/>
      <c r="AN134" s="7637" t="n"/>
      <c r="AO134" s="7637" t="n"/>
      <c r="AP134" s="770" t="n"/>
      <c r="BG134" s="795" t="inlineStr">
        <is>
          <t>Date:</t>
        </is>
      </c>
      <c r="BH134" s="658" t="n"/>
      <c r="BI134" s="658" t="n"/>
      <c r="BJ134" s="658" t="n"/>
      <c r="BK134" s="658" t="n"/>
      <c r="BL134" s="658" t="n"/>
      <c r="BM134" s="658" t="n"/>
      <c r="BN134" s="658" t="n"/>
      <c r="BO134" s="658" t="n"/>
      <c r="BP134" s="658" t="n"/>
    </row>
    <row r="135" ht="30" customHeight="1" s="7635">
      <c r="A135" s="1277" t="n"/>
      <c r="B135" s="12106" t="inlineStr">
        <is>
          <t>(Form 1040)</t>
        </is>
      </c>
      <c r="G135" s="1066" t="n"/>
      <c r="H135" s="4751" t="inlineStr">
        <is>
          <t>Supplemental Income and Loss</t>
        </is>
      </c>
      <c r="I135" s="4752" t="n"/>
      <c r="J135" s="4752" t="n"/>
      <c r="K135" s="4752" t="n"/>
      <c r="L135" s="4752" t="n"/>
      <c r="M135" s="4752" t="n"/>
      <c r="N135" s="4752" t="n"/>
      <c r="O135" s="4752" t="n"/>
      <c r="P135" s="4752" t="n"/>
      <c r="Q135" s="4752" t="n"/>
      <c r="R135" s="4752" t="n"/>
      <c r="S135" s="4752" t="n"/>
      <c r="T135" s="4752" t="n"/>
      <c r="U135" s="4752" t="n"/>
      <c r="V135" s="4752" t="n"/>
      <c r="W135" s="4752" t="n"/>
      <c r="X135" s="4752" t="n"/>
      <c r="Y135" s="4752" t="n"/>
      <c r="Z135" s="4752" t="n"/>
      <c r="AA135" s="4752" t="n"/>
      <c r="AB135" s="4752" t="n"/>
      <c r="AC135" s="4752" t="n"/>
      <c r="AD135" s="4752" t="n"/>
      <c r="AE135" s="4752" t="n"/>
      <c r="AF135" s="4752" t="n"/>
      <c r="AG135" s="4752" t="n"/>
      <c r="AH135" s="4753" t="n"/>
      <c r="AI135" s="8602">
        <f>TaxYear</f>
        <v/>
      </c>
      <c r="AJ135" s="7839" t="n"/>
      <c r="AK135" s="7839" t="n"/>
      <c r="AL135" s="7839" t="n"/>
      <c r="AM135" s="7839" t="n"/>
      <c r="AN135" s="7839" t="n"/>
      <c r="AO135" s="7839" t="n"/>
      <c r="AP135" s="1277" t="n"/>
      <c r="BG135" s="769" t="n"/>
      <c r="BH135" s="658" t="n"/>
      <c r="BI135" s="658" t="n"/>
      <c r="BJ135" s="658" t="n"/>
      <c r="BK135" s="658" t="n"/>
      <c r="BL135" s="658" t="n"/>
      <c r="BM135" s="658" t="n"/>
      <c r="BN135" s="658" t="n"/>
      <c r="BO135" s="658" t="n"/>
      <c r="BP135" s="658" t="n"/>
    </row>
    <row r="136">
      <c r="A136" s="1277" t="n"/>
      <c r="B136" s="7650" t="inlineStr">
        <is>
          <t>Department of the Treasury Internal Revenue Service</t>
        </is>
      </c>
      <c r="G136" s="1066" t="n"/>
      <c r="H136" s="4443">
        <f>"(From rental real estate, royalties, partnerships, S corporations, estates, trusts, REMICs, etc.)"</f>
        <v/>
      </c>
      <c r="I136" s="4033" t="n"/>
      <c r="J136" s="4033" t="n"/>
      <c r="K136" s="4033" t="n"/>
      <c r="L136" s="4033" t="n"/>
      <c r="M136" s="4033" t="n"/>
      <c r="N136" s="4033" t="n"/>
      <c r="O136" s="4033" t="n"/>
      <c r="P136" s="4033" t="n"/>
      <c r="Q136" s="4033" t="n"/>
      <c r="R136" s="4033" t="n"/>
      <c r="S136" s="4033" t="n"/>
      <c r="T136" s="4754" t="n"/>
      <c r="U136" s="4033" t="n"/>
      <c r="V136" s="4033" t="n"/>
      <c r="W136" s="4033" t="n"/>
      <c r="X136" s="4033" t="n"/>
      <c r="Y136" s="4033" t="n"/>
      <c r="Z136" s="4033" t="n"/>
      <c r="AA136" s="4033" t="n"/>
      <c r="AB136" s="4033" t="n"/>
      <c r="AC136" s="4033" t="n"/>
      <c r="AD136" s="4033" t="n"/>
      <c r="AE136" s="4033" t="n"/>
      <c r="AF136" s="4033" t="n"/>
      <c r="AG136" s="4033" t="n"/>
      <c r="AH136" s="4033" t="n"/>
      <c r="AI136" s="11741" t="n"/>
      <c r="AP136" s="1277" t="n"/>
      <c r="BG136" s="769" t="n"/>
      <c r="BH136" s="658" t="n"/>
      <c r="BI136" s="658" t="n"/>
      <c r="BJ136" s="658" t="n"/>
      <c r="BK136" s="658" t="n"/>
      <c r="BL136" s="658" t="n"/>
      <c r="BM136" s="658" t="n"/>
      <c r="BN136" s="658" t="n"/>
      <c r="BO136" s="658" t="n"/>
      <c r="BP136" s="658" t="n"/>
    </row>
    <row r="137">
      <c r="A137" s="1277" t="n"/>
      <c r="G137" s="1066" t="n"/>
      <c r="H137" s="341" t="n"/>
      <c r="I137" s="11602" t="n"/>
      <c r="J137" s="11602" t="n"/>
      <c r="K137" s="11602" t="n"/>
      <c r="L137" s="11602" t="n"/>
      <c r="M137" s="11602" t="n"/>
      <c r="N137" s="11602" t="n"/>
      <c r="O137" s="11602" t="n"/>
      <c r="P137" s="11602" t="n"/>
      <c r="Q137" s="11602" t="n"/>
      <c r="R137" s="11602" t="n"/>
      <c r="S137" s="11602" t="n"/>
      <c r="T137" s="733" t="inlineStr">
        <is>
          <t>Attach to Form 1040, 1040-SR, 1040NR, or Form 1041.</t>
        </is>
      </c>
      <c r="U137" s="11602" t="n"/>
      <c r="V137" s="11602" t="n"/>
      <c r="W137" s="11602" t="n"/>
      <c r="X137" s="11602" t="n"/>
      <c r="Y137" s="11602" t="n"/>
      <c r="Z137" s="11602" t="n"/>
      <c r="AA137" s="11602" t="n"/>
      <c r="AB137" s="11602" t="n"/>
      <c r="AC137" s="11602" t="n"/>
      <c r="AD137" s="11602" t="n"/>
      <c r="AE137" s="11602" t="n"/>
      <c r="AF137" s="11602" t="n"/>
      <c r="AG137" s="11602" t="n"/>
      <c r="AH137" s="11602" t="n"/>
      <c r="AI137" s="4755" t="n"/>
      <c r="AJ137" s="12107" t="inlineStr">
        <is>
          <t>Attachment 
Sequence No.</t>
        </is>
      </c>
      <c r="AN137" s="1861" t="n"/>
      <c r="AO137" s="1861" t="n"/>
      <c r="AP137" s="1277" t="n"/>
      <c r="BG137" s="769" t="n"/>
      <c r="BH137" s="658" t="n"/>
      <c r="BI137" s="658" t="n"/>
      <c r="BJ137" s="658" t="n"/>
      <c r="BK137" s="658" t="n"/>
      <c r="BL137" s="658" t="n"/>
      <c r="BM137" s="658" t="n"/>
      <c r="BN137" s="658" t="n"/>
      <c r="BO137" s="658" t="n"/>
      <c r="BP137" s="658" t="n"/>
    </row>
    <row r="138" ht="14.25" customHeight="1" s="7635" thickBot="1">
      <c r="A138" s="1277" t="n"/>
      <c r="B138" s="8848" t="n"/>
      <c r="C138" s="8848" t="n"/>
      <c r="D138" s="8848" t="n"/>
      <c r="E138" s="8848" t="n"/>
      <c r="F138" s="8848" t="n"/>
      <c r="G138" s="2627" t="n"/>
      <c r="H138" s="4756" t="inlineStr">
        <is>
          <t>Go to www.irs.gov/ScheduleE for instructions and the latest information.</t>
        </is>
      </c>
      <c r="I138" s="2879" t="n"/>
      <c r="J138" s="2879" t="n"/>
      <c r="K138" s="2879" t="n"/>
      <c r="L138" s="2879" t="n"/>
      <c r="M138" s="2879" t="n"/>
      <c r="N138" s="2879" t="n"/>
      <c r="O138" s="2879" t="n"/>
      <c r="P138" s="2879" t="n"/>
      <c r="Q138" s="2879" t="n"/>
      <c r="R138" s="2879" t="n"/>
      <c r="S138" s="2879" t="n"/>
      <c r="T138" s="2879" t="n"/>
      <c r="U138" s="2879" t="n"/>
      <c r="V138" s="2879" t="n"/>
      <c r="W138" s="2879" t="n"/>
      <c r="X138" s="2879" t="n"/>
      <c r="Y138" s="2879" t="n"/>
      <c r="Z138" s="2879" t="n"/>
      <c r="AA138" s="2879" t="n"/>
      <c r="AB138" s="2879" t="n"/>
      <c r="AC138" s="2879" t="n"/>
      <c r="AD138" s="2879" t="n"/>
      <c r="AE138" s="2879" t="n"/>
      <c r="AF138" s="2879" t="n"/>
      <c r="AG138" s="2879" t="n"/>
      <c r="AH138" s="2879" t="n"/>
      <c r="AI138" s="4757" t="n"/>
      <c r="AJ138" s="8848" t="n"/>
      <c r="AK138" s="8848" t="n"/>
      <c r="AL138" s="8848" t="n"/>
      <c r="AM138" s="8848" t="n"/>
      <c r="AN138" s="8610" t="n">
        <v>13</v>
      </c>
      <c r="AO138" s="8848" t="n"/>
      <c r="AP138" s="1277" t="n"/>
      <c r="BG138" s="769" t="n"/>
      <c r="BH138" s="658" t="n"/>
      <c r="BI138" s="658" t="n"/>
      <c r="BJ138" s="658" t="n"/>
      <c r="BK138" s="658" t="n"/>
      <c r="BL138" s="658" t="n"/>
      <c r="BM138" s="658" t="n"/>
      <c r="BN138" s="658" t="n"/>
      <c r="BO138" s="658" t="n"/>
      <c r="BP138" s="658" t="n"/>
    </row>
    <row r="139">
      <c r="A139" s="1277" t="n"/>
      <c r="B139" s="344" t="inlineStr">
        <is>
          <t>Name(s) shown on return</t>
        </is>
      </c>
      <c r="C139" s="11602" t="n"/>
      <c r="D139" s="11602" t="n"/>
      <c r="E139" s="11602" t="n"/>
      <c r="F139" s="11602" t="n"/>
      <c r="G139" s="11602" t="n"/>
      <c r="H139" s="11602" t="n"/>
      <c r="I139" s="11602" t="n"/>
      <c r="J139" s="11602" t="n"/>
      <c r="K139" s="11602" t="n"/>
      <c r="L139" s="11602" t="n"/>
      <c r="M139" s="11602" t="n"/>
      <c r="N139" s="11602" t="n"/>
      <c r="O139" s="11602" t="n"/>
      <c r="P139" s="11602" t="n"/>
      <c r="Q139" s="11602" t="n"/>
      <c r="R139" s="11602" t="n"/>
      <c r="S139" s="11602" t="n"/>
      <c r="T139" s="11602" t="n"/>
      <c r="U139" s="11602" t="n"/>
      <c r="V139" s="11602" t="n"/>
      <c r="W139" s="11602" t="n"/>
      <c r="X139" s="11602" t="n"/>
      <c r="Y139" s="11602" t="n"/>
      <c r="Z139" s="11602" t="n"/>
      <c r="AA139" s="11602" t="n"/>
      <c r="AB139" s="11602" t="n"/>
      <c r="AC139" s="11602" t="n"/>
      <c r="AD139" s="11602" t="n"/>
      <c r="AE139" s="11602" t="n"/>
      <c r="AF139" s="11602" t="n"/>
      <c r="AG139" s="8611" t="inlineStr">
        <is>
          <t>Your social security number</t>
        </is>
      </c>
      <c r="AH139" s="2506" t="n"/>
      <c r="AI139" s="2506" t="n"/>
      <c r="AJ139" s="2506" t="n"/>
      <c r="AK139" s="2506" t="n"/>
      <c r="AL139" s="2506" t="n"/>
      <c r="AM139" s="2506" t="n"/>
      <c r="AN139" s="2506" t="n"/>
      <c r="AO139" s="2506" t="n"/>
      <c r="AP139" s="1277" t="n"/>
      <c r="BG139" s="769" t="n"/>
      <c r="BH139" s="658" t="n"/>
      <c r="BI139" s="658" t="n"/>
      <c r="BJ139" s="658" t="n"/>
      <c r="BK139" s="658" t="n"/>
      <c r="BL139" s="658" t="n"/>
      <c r="BM139" s="658" t="n"/>
      <c r="BN139" s="658" t="n"/>
      <c r="BO139" s="658" t="n"/>
      <c r="BP139" s="658" t="n"/>
    </row>
    <row r="140" ht="9.75" customHeight="1" s="7635">
      <c r="A140" s="1277" t="n"/>
      <c r="B140" s="11932">
        <f>Names</f>
        <v/>
      </c>
      <c r="AF140" s="7636" t="n"/>
      <c r="AG140" s="12108">
        <f>IF(NoSSN,"",SS_Yours)</f>
        <v/>
      </c>
      <c r="AP140" s="1277" t="n"/>
      <c r="BG140" s="769" t="n"/>
      <c r="BH140" s="658" t="n"/>
      <c r="BI140" s="658" t="n"/>
      <c r="BJ140" s="658" t="n"/>
      <c r="BK140" s="658" t="n"/>
      <c r="BL140" s="658" t="n"/>
      <c r="BM140" s="658" t="n"/>
      <c r="BN140" s="658" t="n"/>
      <c r="BO140" s="658" t="n"/>
      <c r="BP140" s="658" t="n"/>
    </row>
    <row r="141" ht="9.75" customHeight="1" s="7635">
      <c r="A141" s="1277" t="n"/>
      <c r="B141" s="7637" t="n"/>
      <c r="C141" s="7637" t="n"/>
      <c r="D141" s="7637" t="n"/>
      <c r="E141" s="7637" t="n"/>
      <c r="F141" s="7637" t="n"/>
      <c r="G141" s="7637" t="n"/>
      <c r="H141" s="7637" t="n"/>
      <c r="I141" s="7637" t="n"/>
      <c r="J141" s="7637" t="n"/>
      <c r="K141" s="7637" t="n"/>
      <c r="L141" s="7637" t="n"/>
      <c r="M141" s="7637" t="n"/>
      <c r="N141" s="7637" t="n"/>
      <c r="O141" s="7637" t="n"/>
      <c r="P141" s="7637" t="n"/>
      <c r="Q141" s="7637" t="n"/>
      <c r="R141" s="7637" t="n"/>
      <c r="S141" s="7637" t="n"/>
      <c r="T141" s="7637" t="n"/>
      <c r="U141" s="7637" t="n"/>
      <c r="V141" s="7637" t="n"/>
      <c r="W141" s="7637" t="n"/>
      <c r="X141" s="7637" t="n"/>
      <c r="Y141" s="7637" t="n"/>
      <c r="Z141" s="7637" t="n"/>
      <c r="AA141" s="7637" t="n"/>
      <c r="AB141" s="7637" t="n"/>
      <c r="AC141" s="7637" t="n"/>
      <c r="AD141" s="7637" t="n"/>
      <c r="AE141" s="7637" t="n"/>
      <c r="AF141" s="7638" t="n"/>
      <c r="AG141" s="3614" t="n"/>
      <c r="AH141" s="7637" t="n"/>
      <c r="AI141" s="7637" t="n"/>
      <c r="AJ141" s="7637" t="n"/>
      <c r="AK141" s="7637" t="n"/>
      <c r="AL141" s="7637" t="n"/>
      <c r="AM141" s="7637" t="n"/>
      <c r="AN141" s="7637" t="n"/>
      <c r="AO141" s="7637" t="n"/>
      <c r="AP141" s="1277" t="n"/>
      <c r="BG141" s="769" t="n"/>
      <c r="BH141" s="658" t="n"/>
      <c r="BI141" s="658" t="n"/>
      <c r="BJ141" s="658" t="n"/>
      <c r="BK141" s="658" t="n"/>
      <c r="BL141" s="658" t="n"/>
      <c r="BM141" s="658" t="n"/>
      <c r="BN141" s="658" t="n"/>
      <c r="BO141" s="658" t="n"/>
      <c r="BP141" s="658" t="n"/>
    </row>
    <row r="142" ht="17.25" customFormat="1" customHeight="1" s="1405">
      <c r="A142" s="2119" t="n"/>
      <c r="B142" s="8410" t="inlineStr">
        <is>
          <t>Part I</t>
        </is>
      </c>
      <c r="C142" s="8412" t="n"/>
      <c r="D142" s="8412" t="n"/>
      <c r="E142" s="2761" t="n"/>
      <c r="F142" s="4758" t="inlineStr">
        <is>
          <t>Income or Loss From Rental Real Estate and Royalties</t>
        </is>
      </c>
      <c r="G142" s="2761" t="n"/>
      <c r="H142" s="2761" t="n"/>
      <c r="I142" s="2761" t="n"/>
      <c r="J142" s="2761" t="n"/>
      <c r="K142" s="2761" t="n"/>
      <c r="L142" s="2761" t="n"/>
      <c r="M142" s="2761" t="n"/>
      <c r="N142" s="2761" t="n"/>
      <c r="O142" s="2761" t="n"/>
      <c r="P142" s="2761" t="n"/>
      <c r="Q142" s="2761" t="n"/>
      <c r="R142" s="2761" t="n"/>
      <c r="S142" s="2761" t="n"/>
      <c r="T142" s="2761" t="n"/>
      <c r="U142" s="2761" t="n"/>
      <c r="V142" s="2761" t="n"/>
      <c r="W142" s="2761" t="n"/>
      <c r="X142" s="2354" t="n"/>
      <c r="Y142" s="2761" t="n"/>
      <c r="Z142" s="2761" t="n"/>
      <c r="AA142" s="2761" t="n"/>
      <c r="AB142" s="2761" t="n"/>
      <c r="AC142" s="2761" t="n"/>
      <c r="AD142" s="2761" t="n"/>
      <c r="AE142" s="2761" t="n"/>
      <c r="AF142" s="2761" t="n"/>
      <c r="AG142" s="2761" t="n"/>
      <c r="AH142" s="2761" t="n"/>
      <c r="AI142" s="2761" t="n"/>
      <c r="AJ142" s="2761" t="n"/>
      <c r="AK142" s="2761" t="n"/>
      <c r="AL142" s="2761" t="n"/>
      <c r="AM142" s="2761" t="n"/>
      <c r="AN142" s="2761" t="n"/>
      <c r="AO142" s="2761" t="n"/>
      <c r="AP142" s="1277" t="n"/>
      <c r="BG142" s="769" t="n"/>
      <c r="BH142" s="658" t="n"/>
      <c r="BI142" s="658" t="n"/>
      <c r="BJ142" s="658" t="n"/>
      <c r="BK142" s="658" t="n"/>
      <c r="BL142" s="658" t="n"/>
      <c r="BM142" s="658" t="n"/>
      <c r="BN142" s="658" t="n"/>
      <c r="BO142" s="658" t="n"/>
      <c r="BP142" s="658" t="n"/>
      <c r="BQ142" s="815" t="n"/>
    </row>
    <row r="143" ht="15.75" customHeight="1" s="7635">
      <c r="A143" s="1277" t="n"/>
      <c r="B143" s="4759" t="n"/>
      <c r="C143" s="4759" t="n"/>
      <c r="D143" s="10732" t="n"/>
      <c r="E143" s="1990" t="n"/>
      <c r="F143" s="8650" t="inlineStr">
        <is>
          <t>Note: If you are in business of renting personal property, use Schedule C.  See instructions.  If you are an individual,</t>
        </is>
      </c>
      <c r="G143" s="7762" t="n"/>
      <c r="H143" s="7762" t="n"/>
      <c r="I143" s="7762" t="n"/>
      <c r="J143" s="7762" t="n"/>
      <c r="K143" s="7762" t="n"/>
      <c r="L143" s="7762" t="n"/>
      <c r="M143" s="1990" t="n"/>
      <c r="N143" s="7762" t="n"/>
      <c r="O143" s="7762" t="n"/>
      <c r="P143" s="7762" t="n"/>
      <c r="Q143" s="7762" t="n"/>
      <c r="R143" s="7762" t="n"/>
      <c r="S143" s="7762" t="n"/>
      <c r="T143" s="7762" t="n"/>
      <c r="U143" s="7762" t="n"/>
      <c r="V143" s="7762" t="n"/>
      <c r="W143" s="7762" t="n"/>
      <c r="X143" s="7762" t="n"/>
      <c r="Y143" s="7762" t="n"/>
      <c r="Z143" s="7762" t="n"/>
      <c r="AA143" s="7762" t="n"/>
      <c r="AB143" s="7762" t="n"/>
      <c r="AC143" s="7762" t="n"/>
      <c r="AD143" s="1990" t="n"/>
      <c r="AE143" s="7762" t="n"/>
      <c r="AF143" s="7762" t="n"/>
      <c r="AG143" s="7762" t="n"/>
      <c r="AH143" s="7762" t="n"/>
      <c r="AI143" s="7762" t="n"/>
      <c r="AJ143" s="7762" t="n"/>
      <c r="AK143" s="7762" t="n"/>
      <c r="AL143" s="7762" t="n"/>
      <c r="AM143" s="7762" t="n"/>
      <c r="AN143" s="7762" t="n"/>
      <c r="AO143" s="7762" t="n"/>
      <c r="AP143" s="1277" t="n"/>
      <c r="BG143" s="769" t="n"/>
      <c r="BH143" s="658" t="n"/>
      <c r="BI143" s="658" t="n"/>
      <c r="BJ143" s="658" t="n"/>
      <c r="BK143" s="658" t="n"/>
      <c r="BL143" s="658" t="n"/>
      <c r="BM143" s="658" t="n"/>
      <c r="BN143" s="658" t="n"/>
      <c r="BO143" s="658" t="n"/>
      <c r="BP143" s="658" t="n"/>
    </row>
    <row r="144" ht="15.75" customHeight="1" s="7635">
      <c r="A144" s="1277" t="n"/>
      <c r="B144" s="4760" t="n"/>
      <c r="C144" s="4760" t="n"/>
      <c r="D144" s="4761" t="n"/>
      <c r="E144" s="1999" t="n"/>
      <c r="F144" s="4252" t="inlineStr">
        <is>
          <t>report farm rental income or loss from Form 4835 on page 2, line 40.</t>
        </is>
      </c>
      <c r="G144" s="7764" t="n"/>
      <c r="H144" s="7764" t="n"/>
      <c r="I144" s="7764" t="n"/>
      <c r="J144" s="7764" t="n"/>
      <c r="K144" s="7764" t="n"/>
      <c r="L144" s="7764" t="n"/>
      <c r="M144" s="1999" t="n"/>
      <c r="N144" s="7764" t="n"/>
      <c r="O144" s="7764" t="n"/>
      <c r="P144" s="7764" t="n"/>
      <c r="Q144" s="7764" t="n"/>
      <c r="R144" s="7764" t="n"/>
      <c r="S144" s="7764" t="n"/>
      <c r="T144" s="7764" t="n"/>
      <c r="U144" s="7764" t="n"/>
      <c r="V144" s="7764" t="n"/>
      <c r="W144" s="7764" t="n"/>
      <c r="X144" s="7764" t="n"/>
      <c r="Y144" s="7764" t="n"/>
      <c r="Z144" s="7764" t="n"/>
      <c r="AA144" s="7764" t="n"/>
      <c r="AB144" s="7764" t="n"/>
      <c r="AC144" s="7764" t="n"/>
      <c r="AD144" s="1999" t="n"/>
      <c r="AE144" s="7764" t="n"/>
      <c r="AF144" s="7764" t="n"/>
      <c r="AG144" s="7764" t="n"/>
      <c r="AH144" s="7764" t="n"/>
      <c r="AI144" s="7764" t="n"/>
      <c r="AJ144" s="7764" t="n"/>
      <c r="AK144" s="7764" t="n"/>
      <c r="AL144" s="7764" t="n"/>
      <c r="AM144" s="7764" t="n"/>
      <c r="AN144" s="7764" t="n"/>
      <c r="AO144" s="7764" t="n"/>
      <c r="AP144" s="1277" t="n"/>
      <c r="BG144" s="769" t="n"/>
      <c r="BH144" s="658" t="n"/>
      <c r="BI144" s="658" t="n"/>
      <c r="BJ144" s="658" t="n"/>
      <c r="BK144" s="658" t="n"/>
      <c r="BL144" s="658" t="n"/>
      <c r="BM144" s="658" t="n"/>
      <c r="BN144" s="658" t="n"/>
      <c r="BO144" s="658" t="n"/>
      <c r="BP144" s="658" t="n"/>
    </row>
    <row r="145" ht="15.75" customHeight="1" s="7635">
      <c r="A145" s="1277" t="n"/>
      <c r="B145" s="8577" t="inlineStr">
        <is>
          <t>A</t>
        </is>
      </c>
      <c r="C145" s="7839" t="n"/>
      <c r="D145" s="10862">
        <f>"Did you make any payments in "&amp;TaxYear&amp;" that would require you to file Form(s) 1099?  See instructions"</f>
        <v/>
      </c>
      <c r="E145" s="7762" t="n"/>
      <c r="F145" s="7762" t="n"/>
      <c r="G145" s="7762" t="n"/>
      <c r="H145" s="7762" t="n"/>
      <c r="I145" s="7762" t="n"/>
      <c r="J145" s="7762" t="n"/>
      <c r="K145" s="7762" t="n"/>
      <c r="L145" s="7762" t="n"/>
      <c r="M145" s="7762" t="n"/>
      <c r="N145" s="7762" t="n"/>
      <c r="O145" s="7762" t="n"/>
      <c r="P145" s="7762" t="n"/>
      <c r="Q145" s="7762" t="n"/>
      <c r="R145" s="7762" t="n"/>
      <c r="S145" s="7762" t="n"/>
      <c r="T145" s="7762" t="n"/>
      <c r="U145" s="7762" t="n"/>
      <c r="V145" s="7762" t="n"/>
      <c r="W145" s="7762" t="n"/>
      <c r="X145" s="7762" t="n"/>
      <c r="Y145" s="7762" t="n"/>
      <c r="Z145" s="7762" t="n"/>
      <c r="AA145" s="7762" t="n"/>
      <c r="AB145" s="7762" t="n"/>
      <c r="AC145" s="7762" t="n"/>
      <c r="AD145" s="7762" t="n"/>
      <c r="AE145" s="7762" t="n"/>
      <c r="AF145" s="7762" t="n"/>
      <c r="AG145" s="7762" t="n"/>
      <c r="AH145" s="7762" t="n"/>
      <c r="AI145" s="7762" t="n"/>
      <c r="AJ145" s="276" t="n"/>
      <c r="AK145" s="1059" t="inlineStr">
        <is>
          <t xml:space="preserve">  Yes</t>
        </is>
      </c>
      <c r="AL145" s="7762" t="n"/>
      <c r="AM145" s="276" t="n"/>
      <c r="AN145" s="1059" t="inlineStr">
        <is>
          <t xml:space="preserve">  No</t>
        </is>
      </c>
      <c r="AO145" s="7762" t="n"/>
      <c r="AP145" s="1277" t="n"/>
      <c r="BG145" s="769" t="n"/>
      <c r="BH145" s="658" t="n"/>
      <c r="BI145" s="658" t="n"/>
      <c r="BJ145" s="658" t="n"/>
      <c r="BK145" s="658" t="n"/>
      <c r="BL145" s="658" t="n"/>
      <c r="BM145" s="658" t="n"/>
      <c r="BN145" s="658" t="n"/>
      <c r="BO145" s="658" t="n"/>
      <c r="BP145" s="658" t="n"/>
    </row>
    <row r="146" ht="15.75" customHeight="1" s="7635">
      <c r="A146" s="1277" t="n"/>
      <c r="B146" s="8595" t="inlineStr">
        <is>
          <t>B</t>
        </is>
      </c>
      <c r="C146" s="7637" t="n"/>
      <c r="D146" s="3801" t="inlineStr">
        <is>
          <t>If “Yes,” did you or will you file all required Form(s) 1099?</t>
        </is>
      </c>
      <c r="E146" s="7764" t="n"/>
      <c r="F146" s="7764" t="n"/>
      <c r="G146" s="7764" t="n"/>
      <c r="H146" s="7764" t="n"/>
      <c r="I146" s="7764" t="n"/>
      <c r="J146" s="7764" t="n"/>
      <c r="K146" s="7764" t="n"/>
      <c r="L146" s="7764" t="n"/>
      <c r="M146" s="7764" t="n"/>
      <c r="N146" s="7764" t="n"/>
      <c r="O146" s="7764" t="n"/>
      <c r="P146" s="7764" t="n"/>
      <c r="Q146" s="7764" t="n"/>
      <c r="R146" s="7764" t="n"/>
      <c r="S146" s="7764" t="n"/>
      <c r="T146" s="7764" t="n"/>
      <c r="U146" s="7764" t="n"/>
      <c r="V146" s="7764" t="n"/>
      <c r="W146" s="7764" t="n"/>
      <c r="X146" s="7764" t="n"/>
      <c r="Y146" s="7764" t="n"/>
      <c r="Z146" s="7764" t="n"/>
      <c r="AA146" s="7764" t="n"/>
      <c r="AB146" s="7764" t="n"/>
      <c r="AC146" s="7764" t="n"/>
      <c r="AD146" s="7764" t="n"/>
      <c r="AE146" s="7764" t="n"/>
      <c r="AF146" s="7764" t="n"/>
      <c r="AG146" s="7764" t="n"/>
      <c r="AH146" s="7764" t="n"/>
      <c r="AI146" s="7764" t="n"/>
      <c r="AJ146" s="276" t="n"/>
      <c r="AK146" s="2001" t="inlineStr">
        <is>
          <t xml:space="preserve">  Yes</t>
        </is>
      </c>
      <c r="AL146" s="7764" t="n"/>
      <c r="AM146" s="276" t="n"/>
      <c r="AN146" s="2001" t="inlineStr">
        <is>
          <t xml:space="preserve">  No</t>
        </is>
      </c>
      <c r="AO146" s="7764" t="n"/>
      <c r="AP146" s="1277" t="n"/>
      <c r="BG146" s="769" t="n"/>
      <c r="BH146" s="658" t="n"/>
      <c r="BI146" s="658" t="n"/>
      <c r="BJ146" s="658" t="n"/>
      <c r="BK146" s="658" t="n"/>
      <c r="BL146" s="658" t="n"/>
      <c r="BM146" s="658" t="n"/>
      <c r="BN146" s="658" t="n"/>
      <c r="BO146" s="658" t="n"/>
      <c r="BP146" s="658" t="n"/>
    </row>
    <row r="147" ht="18" customHeight="1" s="7635">
      <c r="A147" s="1277" t="n"/>
      <c r="B147" s="8596" t="inlineStr">
        <is>
          <t>1a</t>
        </is>
      </c>
      <c r="C147" s="8412" t="n"/>
      <c r="D147" s="4764" t="inlineStr">
        <is>
          <t>Physical address of each property (street, city, state, ZIP code)</t>
        </is>
      </c>
      <c r="E147" s="11660" t="n"/>
      <c r="F147" s="11660" t="n"/>
      <c r="G147" s="11660" t="n"/>
      <c r="H147" s="11660" t="n"/>
      <c r="I147" s="11660" t="n"/>
      <c r="J147" s="11660" t="n"/>
      <c r="K147" s="11660" t="n"/>
      <c r="L147" s="11660" t="n"/>
      <c r="M147" s="11660" t="n"/>
      <c r="N147" s="11660" t="n"/>
      <c r="O147" s="11660" t="n"/>
      <c r="P147" s="11660" t="n"/>
      <c r="Q147" s="11660" t="n"/>
      <c r="R147" s="11660" t="n"/>
      <c r="S147" s="11660" t="n"/>
      <c r="T147" s="11660" t="n"/>
      <c r="U147" s="11660" t="n"/>
      <c r="V147" s="11660" t="n"/>
      <c r="W147" s="11660" t="n"/>
      <c r="X147" s="11660" t="n"/>
      <c r="Y147" s="11660" t="n"/>
      <c r="Z147" s="11660" t="n"/>
      <c r="AA147" s="11660" t="n"/>
      <c r="AB147" s="11660" t="n"/>
      <c r="AC147" s="11660" t="n"/>
      <c r="AD147" s="11660" t="n"/>
      <c r="AE147" s="11660" t="n"/>
      <c r="AF147" s="11660" t="n"/>
      <c r="AG147" s="11660" t="n"/>
      <c r="AH147" s="11660" t="n"/>
      <c r="AI147" s="11660" t="n"/>
      <c r="AJ147" s="11660" t="n"/>
      <c r="AK147" s="11660" t="n"/>
      <c r="AL147" s="11660" t="n"/>
      <c r="AM147" s="11660" t="n"/>
      <c r="AN147" s="11660" t="n"/>
      <c r="AO147" s="11660" t="n"/>
      <c r="AP147" s="1277" t="n"/>
      <c r="BG147" s="769" t="n"/>
      <c r="BH147" s="658" t="n"/>
      <c r="BI147" s="658" t="n"/>
      <c r="BJ147" s="658" t="n"/>
      <c r="BK147" s="658" t="n"/>
      <c r="BL147" s="658" t="n"/>
      <c r="BM147" s="658" t="n"/>
      <c r="BN147" s="658" t="n"/>
      <c r="BO147" s="658" t="n"/>
      <c r="BP147" s="658" t="n"/>
    </row>
    <row r="148" ht="15.75" customHeight="1" s="7635">
      <c r="A148" s="1277" t="n"/>
      <c r="B148" s="11229" t="inlineStr">
        <is>
          <t>A</t>
        </is>
      </c>
      <c r="C148" s="11734" t="n"/>
      <c r="D148" s="8576" t="n"/>
      <c r="E148" s="8007" t="n"/>
      <c r="F148" s="8007" t="n"/>
      <c r="G148" s="8007" t="n"/>
      <c r="H148" s="8007" t="n"/>
      <c r="I148" s="8007" t="n"/>
      <c r="J148" s="8007" t="n"/>
      <c r="K148" s="8007" t="n"/>
      <c r="L148" s="8007" t="n"/>
      <c r="M148" s="8007" t="n"/>
      <c r="N148" s="8007" t="n"/>
      <c r="O148" s="8007" t="n"/>
      <c r="P148" s="8007" t="n"/>
      <c r="Q148" s="8007" t="n"/>
      <c r="R148" s="8007" t="n"/>
      <c r="S148" s="8007" t="n"/>
      <c r="T148" s="8007" t="n"/>
      <c r="U148" s="8007" t="n"/>
      <c r="V148" s="8007" t="n"/>
      <c r="W148" s="8007" t="n"/>
      <c r="X148" s="8007" t="n"/>
      <c r="Y148" s="8007" t="n"/>
      <c r="Z148" s="8007" t="n"/>
      <c r="AA148" s="8007" t="n"/>
      <c r="AB148" s="8007" t="n"/>
      <c r="AC148" s="8007" t="n"/>
      <c r="AD148" s="8007" t="n"/>
      <c r="AE148" s="8007" t="n"/>
      <c r="AF148" s="8007" t="n"/>
      <c r="AG148" s="8007" t="n"/>
      <c r="AH148" s="8007" t="n"/>
      <c r="AI148" s="8007" t="n"/>
      <c r="AJ148" s="8007" t="n"/>
      <c r="AK148" s="8007" t="n"/>
      <c r="AL148" s="8007" t="n"/>
      <c r="AM148" s="8007" t="n"/>
      <c r="AN148" s="8007" t="n"/>
      <c r="AO148" s="8007" t="n"/>
      <c r="AP148" s="1277" t="n"/>
      <c r="BG148" s="769" t="n"/>
      <c r="BH148" s="658" t="n"/>
      <c r="BI148" s="658" t="n"/>
      <c r="BJ148" s="658" t="n"/>
      <c r="BK148" s="658" t="n"/>
      <c r="BL148" s="658" t="n"/>
      <c r="BM148" s="658" t="n"/>
      <c r="BN148" s="658" t="n"/>
      <c r="BO148" s="658" t="n"/>
      <c r="BP148" s="658" t="n"/>
    </row>
    <row r="149" ht="15.75" customHeight="1" s="7635">
      <c r="A149" s="1277" t="n"/>
      <c r="B149" s="11229" t="inlineStr">
        <is>
          <t>B</t>
        </is>
      </c>
      <c r="C149" s="11734" t="n"/>
      <c r="D149" s="8576" t="n"/>
      <c r="E149" s="8007" t="n"/>
      <c r="F149" s="8007" t="n"/>
      <c r="G149" s="8007" t="n"/>
      <c r="H149" s="8007" t="n"/>
      <c r="I149" s="8007" t="n"/>
      <c r="J149" s="8007" t="n"/>
      <c r="K149" s="8007" t="n"/>
      <c r="L149" s="8007" t="n"/>
      <c r="M149" s="8007" t="n"/>
      <c r="N149" s="8007" t="n"/>
      <c r="O149" s="8007" t="n"/>
      <c r="P149" s="8007" t="n"/>
      <c r="Q149" s="8007" t="n"/>
      <c r="R149" s="8007" t="n"/>
      <c r="S149" s="8007" t="n"/>
      <c r="T149" s="8007" t="n"/>
      <c r="U149" s="8007" t="n"/>
      <c r="V149" s="8007" t="n"/>
      <c r="W149" s="8007" t="n"/>
      <c r="X149" s="8007" t="n"/>
      <c r="Y149" s="8007" t="n"/>
      <c r="Z149" s="8007" t="n"/>
      <c r="AA149" s="8007" t="n"/>
      <c r="AB149" s="8007" t="n"/>
      <c r="AC149" s="8007" t="n"/>
      <c r="AD149" s="8007" t="n"/>
      <c r="AE149" s="8007" t="n"/>
      <c r="AF149" s="8007" t="n"/>
      <c r="AG149" s="8007" t="n"/>
      <c r="AH149" s="8007" t="n"/>
      <c r="AI149" s="8007" t="n"/>
      <c r="AJ149" s="8007" t="n"/>
      <c r="AK149" s="8007" t="n"/>
      <c r="AL149" s="8007" t="n"/>
      <c r="AM149" s="8007" t="n"/>
      <c r="AN149" s="8007" t="n"/>
      <c r="AO149" s="8007" t="n"/>
      <c r="AP149" s="1277" t="n"/>
      <c r="BG149" s="769" t="n"/>
      <c r="BH149" s="658" t="n"/>
      <c r="BI149" s="658" t="n"/>
      <c r="BJ149" s="658" t="n"/>
      <c r="BK149" s="658" t="n"/>
      <c r="BL149" s="658" t="n"/>
      <c r="BM149" s="658" t="n"/>
      <c r="BN149" s="658" t="n"/>
      <c r="BO149" s="658" t="n"/>
      <c r="BP149" s="658" t="n"/>
    </row>
    <row r="150" ht="15.75" customHeight="1" s="7635">
      <c r="A150" s="1277" t="n"/>
      <c r="B150" s="11229" t="inlineStr">
        <is>
          <t>C</t>
        </is>
      </c>
      <c r="C150" s="11734" t="n"/>
      <c r="D150" s="8576" t="n"/>
      <c r="E150" s="8007" t="n"/>
      <c r="F150" s="8007" t="n"/>
      <c r="G150" s="8007" t="n"/>
      <c r="H150" s="8007" t="n"/>
      <c r="I150" s="8007" t="n"/>
      <c r="J150" s="8007" t="n"/>
      <c r="K150" s="8007" t="n"/>
      <c r="L150" s="8007" t="n"/>
      <c r="M150" s="8007" t="n"/>
      <c r="N150" s="8007" t="n"/>
      <c r="O150" s="8007" t="n"/>
      <c r="P150" s="8007" t="n"/>
      <c r="Q150" s="8007" t="n"/>
      <c r="R150" s="8007" t="n"/>
      <c r="S150" s="8007" t="n"/>
      <c r="T150" s="8007" t="n"/>
      <c r="U150" s="8007" t="n"/>
      <c r="V150" s="8007" t="n"/>
      <c r="W150" s="8007" t="n"/>
      <c r="X150" s="8007" t="n"/>
      <c r="Y150" s="8007" t="n"/>
      <c r="Z150" s="8007" t="n"/>
      <c r="AA150" s="8007" t="n"/>
      <c r="AB150" s="8007" t="n"/>
      <c r="AC150" s="8007" t="n"/>
      <c r="AD150" s="8007" t="n"/>
      <c r="AE150" s="8007" t="n"/>
      <c r="AF150" s="8007" t="n"/>
      <c r="AG150" s="8007" t="n"/>
      <c r="AH150" s="8007" t="n"/>
      <c r="AI150" s="8007" t="n"/>
      <c r="AJ150" s="8007" t="n"/>
      <c r="AK150" s="8007" t="n"/>
      <c r="AL150" s="8007" t="n"/>
      <c r="AM150" s="8007" t="n"/>
      <c r="AN150" s="8007" t="n"/>
      <c r="AO150" s="8007" t="n"/>
      <c r="AP150" s="1277" t="n"/>
      <c r="AX150" t="n">
        <v>1</v>
      </c>
      <c r="AY150" t="inlineStr">
        <is>
          <t>Single Family Residence</t>
        </is>
      </c>
      <c r="BG150" s="769" t="n"/>
      <c r="BH150" s="658" t="n"/>
      <c r="BI150" s="658" t="n"/>
      <c r="BJ150" s="658" t="n"/>
      <c r="BK150" s="658" t="n"/>
      <c r="BL150" s="658" t="n"/>
      <c r="BM150" s="658" t="n"/>
      <c r="BN150" s="658" t="n"/>
      <c r="BO150" s="658" t="n"/>
      <c r="BP150" s="658" t="n"/>
    </row>
    <row r="151" ht="15.75" customHeight="1" s="7635">
      <c r="A151" s="1277" t="n"/>
      <c r="B151" s="10097" t="inlineStr">
        <is>
          <t>1b</t>
        </is>
      </c>
      <c r="C151" s="10091" t="n"/>
      <c r="D151" s="11976" t="inlineStr">
        <is>
          <t>Type of Property (from list below</t>
        </is>
      </c>
      <c r="E151" s="7839" t="n"/>
      <c r="F151" s="7839" t="n"/>
      <c r="G151" s="7839" t="n"/>
      <c r="H151" s="10091" t="n"/>
      <c r="I151" s="8552" t="n">
        <v>2</v>
      </c>
      <c r="J151" s="7839" t="n"/>
      <c r="K151" s="12109" t="inlineStr">
        <is>
          <t>For each rental real estate property listed 
above, report the number of fair rental and 
personal use days. Check the QJV box only
if you meet the requirements to file as a 
qualified joint venture. See instructions.</t>
        </is>
      </c>
      <c r="L151" s="7839" t="n"/>
      <c r="M151" s="7839" t="n"/>
      <c r="N151" s="7839" t="n"/>
      <c r="O151" s="7839" t="n"/>
      <c r="P151" s="7839" t="n"/>
      <c r="Q151" s="7839" t="n"/>
      <c r="R151" s="7839" t="n"/>
      <c r="S151" s="7839" t="n"/>
      <c r="T151" s="7839" t="n"/>
      <c r="U151" s="7839" t="n"/>
      <c r="V151" s="7839" t="n"/>
      <c r="W151" s="7839" t="n"/>
      <c r="X151" s="7760" t="n"/>
      <c r="Y151" s="7760" t="n"/>
      <c r="Z151" s="7760" t="n"/>
      <c r="AA151" s="12110" t="inlineStr">
        <is>
          <t>Fair Rental Days</t>
        </is>
      </c>
      <c r="AB151" s="7839" t="n"/>
      <c r="AC151" s="7839" t="n"/>
      <c r="AD151" s="7839" t="n"/>
      <c r="AE151" s="10091" t="n"/>
      <c r="AF151" s="12110" t="inlineStr">
        <is>
          <t>Personal Use Days</t>
        </is>
      </c>
      <c r="AG151" s="7839" t="n"/>
      <c r="AH151" s="7839" t="n"/>
      <c r="AI151" s="7839" t="n"/>
      <c r="AJ151" s="10091" t="n"/>
      <c r="AK151" s="9065" t="inlineStr">
        <is>
          <t>QJV</t>
        </is>
      </c>
      <c r="AL151" s="7839" t="n"/>
      <c r="AM151" s="7839" t="n"/>
      <c r="AN151" s="7839" t="n"/>
      <c r="AO151" s="7839" t="n"/>
      <c r="AP151" s="1277" t="n"/>
      <c r="AX151" t="n">
        <v>2</v>
      </c>
      <c r="AY151" t="inlineStr">
        <is>
          <t>Multi-Family Residence</t>
        </is>
      </c>
      <c r="BG151" s="769" t="n"/>
      <c r="BH151" s="658" t="n"/>
      <c r="BI151" s="658" t="n"/>
      <c r="BJ151" s="658" t="n"/>
      <c r="BK151" s="658" t="n"/>
      <c r="BL151" s="658" t="n"/>
      <c r="BM151" s="658" t="n"/>
      <c r="BN151" s="658" t="n"/>
      <c r="BO151" s="658" t="n"/>
      <c r="BP151" s="658" t="n"/>
    </row>
    <row r="152" ht="14.25" customHeight="1" s="7635">
      <c r="A152" s="1277" t="n"/>
      <c r="B152" s="4760" t="n"/>
      <c r="C152" s="4845" t="n"/>
      <c r="D152" s="3614" t="n"/>
      <c r="E152" s="7637" t="n"/>
      <c r="F152" s="7637" t="n"/>
      <c r="G152" s="7637" t="n"/>
      <c r="H152" s="7638" t="n"/>
      <c r="I152" s="7761" t="n"/>
      <c r="J152" s="7762" t="n"/>
      <c r="X152" s="7762" t="n"/>
      <c r="Y152" s="7762" t="n"/>
      <c r="Z152" s="7762" t="n"/>
      <c r="AA152" s="3614" t="n"/>
      <c r="AB152" s="7637" t="n"/>
      <c r="AC152" s="7637" t="n"/>
      <c r="AD152" s="7637" t="n"/>
      <c r="AE152" s="7638" t="n"/>
      <c r="AF152" s="3614" t="n"/>
      <c r="AG152" s="7637" t="n"/>
      <c r="AH152" s="7637" t="n"/>
      <c r="AI152" s="7637" t="n"/>
      <c r="AJ152" s="7638" t="n"/>
      <c r="AK152" s="3614" t="n"/>
      <c r="AL152" s="7637" t="n"/>
      <c r="AM152" s="7637" t="n"/>
      <c r="AN152" s="7637" t="n"/>
      <c r="AO152" s="7637" t="n"/>
      <c r="AP152" s="1277" t="n"/>
      <c r="AV152" s="4769">
        <f>IF(LeapYear,366,365)</f>
        <v/>
      </c>
      <c r="AW152" s="10091" t="n"/>
      <c r="AX152" t="n">
        <v>3</v>
      </c>
      <c r="AY152" t="inlineStr">
        <is>
          <t>Vacation / S.T. Rental</t>
        </is>
      </c>
      <c r="BE152" s="4770" t="inlineStr">
        <is>
          <t>Error?</t>
        </is>
      </c>
      <c r="BG152" s="769" t="n"/>
      <c r="BH152" s="658" t="n"/>
      <c r="BI152" s="658" t="n"/>
      <c r="BJ152" s="658" t="n"/>
      <c r="BK152" s="658" t="n"/>
      <c r="BL152" s="658" t="n"/>
      <c r="BM152" s="658" t="n"/>
      <c r="BN152" s="658" t="n"/>
      <c r="BO152" s="658" t="n"/>
      <c r="BP152" s="658" t="n"/>
    </row>
    <row r="153" ht="15.75" customHeight="1" s="7635">
      <c r="A153" s="1277" t="n"/>
      <c r="B153" s="11229" t="inlineStr">
        <is>
          <t>A</t>
        </is>
      </c>
      <c r="C153" s="11734" t="n"/>
      <c r="D153" s="12111" t="n"/>
      <c r="E153" s="8007" t="n"/>
      <c r="F153" s="8007" t="n"/>
      <c r="G153" s="8007" t="n"/>
      <c r="H153" s="8008" t="n"/>
      <c r="I153" s="408" t="n"/>
      <c r="J153" s="11602" t="n"/>
      <c r="X153" s="2926" t="inlineStr">
        <is>
          <t>A</t>
        </is>
      </c>
      <c r="Y153" s="8412" t="n"/>
      <c r="Z153" s="11734" t="n"/>
      <c r="AA153" s="276" t="n"/>
      <c r="AB153" s="8007" t="n"/>
      <c r="AC153" s="8007" t="n"/>
      <c r="AD153" s="8007" t="n"/>
      <c r="AE153" s="8008" t="n"/>
      <c r="AF153" s="276" t="n"/>
      <c r="AG153" s="8007" t="n"/>
      <c r="AH153" s="8007" t="n"/>
      <c r="AI153" s="8007" t="n"/>
      <c r="AJ153" s="8008" t="n"/>
      <c r="AK153" s="4771" t="n"/>
      <c r="AL153" s="773" t="n"/>
      <c r="AM153" s="276" t="n"/>
      <c r="AN153" s="773" t="n"/>
      <c r="AO153" s="773" t="n"/>
      <c r="AP153" s="1277" t="n"/>
      <c r="AR153" s="7834">
        <f>D153=8</f>
        <v/>
      </c>
      <c r="AV153" s="4772">
        <f>AA153&gt;$AV$20</f>
        <v/>
      </c>
      <c r="AW153" s="7636">
        <f>AF153&gt;$AV$20</f>
        <v/>
      </c>
      <c r="AX153" t="n">
        <v>4</v>
      </c>
      <c r="AY153" t="inlineStr">
        <is>
          <t>Commercial</t>
        </is>
      </c>
      <c r="BE153" s="726">
        <f>IF(AND(D153&lt;&gt;"",OR(D153&lt;1,D153&gt;8,ISERROR(V164))),TRUE,FALSE)</f>
        <v/>
      </c>
      <c r="BG153" s="769" t="n"/>
      <c r="BH153" s="658" t="n"/>
      <c r="BI153" s="658" t="n"/>
      <c r="BJ153" s="658" t="n"/>
      <c r="BK153" s="658" t="n"/>
      <c r="BL153" s="658" t="n"/>
      <c r="BM153" s="658" t="n"/>
      <c r="BN153" s="658" t="n"/>
      <c r="BO153" s="658" t="n"/>
      <c r="BP153" s="658" t="n"/>
    </row>
    <row r="154" ht="15.75" customHeight="1" s="7635">
      <c r="A154" s="1277" t="n"/>
      <c r="B154" s="11229" t="inlineStr">
        <is>
          <t>B</t>
        </is>
      </c>
      <c r="C154" s="11734" t="n"/>
      <c r="D154" s="12111" t="n"/>
      <c r="E154" s="8007" t="n"/>
      <c r="F154" s="8007" t="n"/>
      <c r="G154" s="8007" t="n"/>
      <c r="H154" s="8008" t="n"/>
      <c r="I154" s="408" t="n"/>
      <c r="J154" s="11602" t="n"/>
      <c r="X154" s="2926" t="inlineStr">
        <is>
          <t>B</t>
        </is>
      </c>
      <c r="Y154" s="8412" t="n"/>
      <c r="Z154" s="11734" t="n"/>
      <c r="AA154" s="276" t="n"/>
      <c r="AB154" s="8007" t="n"/>
      <c r="AC154" s="8007" t="n"/>
      <c r="AD154" s="8007" t="n"/>
      <c r="AE154" s="8008" t="n"/>
      <c r="AF154" s="276" t="n"/>
      <c r="AG154" s="8007" t="n"/>
      <c r="AH154" s="8007" t="n"/>
      <c r="AI154" s="8007" t="n"/>
      <c r="AJ154" s="8008" t="n"/>
      <c r="AK154" s="4771" t="n"/>
      <c r="AL154" s="773" t="n"/>
      <c r="AM154" s="276" t="n"/>
      <c r="AN154" s="773" t="n"/>
      <c r="AO154" s="773" t="n"/>
      <c r="AP154" s="1277" t="n"/>
      <c r="AR154" s="7834">
        <f>D154=8</f>
        <v/>
      </c>
      <c r="AV154" s="4772">
        <f>AA154&gt;$AV$20</f>
        <v/>
      </c>
      <c r="AW154" s="7636">
        <f>AF154&gt;$AV$20</f>
        <v/>
      </c>
      <c r="AX154" t="n">
        <v>5</v>
      </c>
      <c r="AY154" t="inlineStr">
        <is>
          <t>Land</t>
        </is>
      </c>
      <c r="BE154" s="726">
        <f>IF(AND(D154&lt;&gt;"",OR(D154&lt;1,D154&gt;8,ISERROR(AD164))),TRUE,FALSE)</f>
        <v/>
      </c>
      <c r="BG154" s="769" t="n"/>
      <c r="BH154" s="658" t="n"/>
      <c r="BI154" s="658" t="n"/>
      <c r="BJ154" s="658" t="n"/>
      <c r="BK154" s="658" t="n"/>
      <c r="BL154" s="658" t="n"/>
      <c r="BM154" s="658" t="n"/>
      <c r="BN154" s="658" t="n"/>
      <c r="BO154" s="658" t="n"/>
      <c r="BP154" s="658" t="n"/>
    </row>
    <row r="155" ht="15.75" customHeight="1" s="7635">
      <c r="A155" s="1277" t="n"/>
      <c r="B155" s="11229" t="inlineStr">
        <is>
          <t>C</t>
        </is>
      </c>
      <c r="C155" s="11734" t="n"/>
      <c r="D155" s="12111" t="n"/>
      <c r="E155" s="8007" t="n"/>
      <c r="F155" s="8007" t="n"/>
      <c r="G155" s="8007" t="n"/>
      <c r="H155" s="8008" t="n"/>
      <c r="I155" s="412" t="n"/>
      <c r="J155" s="413" t="n"/>
      <c r="K155" s="7637" t="n"/>
      <c r="L155" s="7637" t="n"/>
      <c r="M155" s="7637" t="n"/>
      <c r="N155" s="7637" t="n"/>
      <c r="O155" s="7637" t="n"/>
      <c r="P155" s="7637" t="n"/>
      <c r="Q155" s="7637" t="n"/>
      <c r="R155" s="7637" t="n"/>
      <c r="S155" s="7637" t="n"/>
      <c r="T155" s="7637" t="n"/>
      <c r="U155" s="7637" t="n"/>
      <c r="V155" s="7637" t="n"/>
      <c r="W155" s="7637" t="n"/>
      <c r="X155" s="2926" t="inlineStr">
        <is>
          <t>C</t>
        </is>
      </c>
      <c r="Y155" s="8412" t="n"/>
      <c r="Z155" s="11734" t="n"/>
      <c r="AA155" s="276" t="n"/>
      <c r="AB155" s="8007" t="n"/>
      <c r="AC155" s="8007" t="n"/>
      <c r="AD155" s="8007" t="n"/>
      <c r="AE155" s="8008" t="n"/>
      <c r="AF155" s="276" t="n"/>
      <c r="AG155" s="8007" t="n"/>
      <c r="AH155" s="8007" t="n"/>
      <c r="AI155" s="8007" t="n"/>
      <c r="AJ155" s="8008" t="n"/>
      <c r="AK155" s="4771" t="n"/>
      <c r="AL155" s="773" t="n"/>
      <c r="AM155" s="276" t="n"/>
      <c r="AN155" s="773" t="n"/>
      <c r="AO155" s="773" t="n"/>
      <c r="AP155" s="1277" t="n"/>
      <c r="AR155" s="7834">
        <f>D155=8</f>
        <v/>
      </c>
      <c r="AV155" s="3614">
        <f>AA155&gt;$AV$20</f>
        <v/>
      </c>
      <c r="AW155" s="7638">
        <f>AF155&gt;$AV$20</f>
        <v/>
      </c>
      <c r="AX155" t="n">
        <v>6</v>
      </c>
      <c r="AY155" t="inlineStr">
        <is>
          <t>Royalties</t>
        </is>
      </c>
      <c r="AZ155" s="2556" t="inlineStr">
        <is>
          <t>A</t>
        </is>
      </c>
      <c r="BA155" s="2556" t="inlineStr">
        <is>
          <t>B</t>
        </is>
      </c>
      <c r="BB155" s="2556" t="inlineStr">
        <is>
          <t>C</t>
        </is>
      </c>
      <c r="BC155" s="2556" t="inlineStr">
        <is>
          <t>Total</t>
        </is>
      </c>
      <c r="BE155" s="726">
        <f>IF(AND(D155&lt;&gt;"",OR(D155&lt;1,D155&gt;8,ISERROR(AJ164))),TRUE,FALSE)</f>
        <v/>
      </c>
      <c r="BG155" s="769" t="n"/>
      <c r="BH155" s="658" t="n"/>
      <c r="BI155" s="658" t="n"/>
      <c r="BJ155" s="658" t="n"/>
      <c r="BK155" s="658" t="n"/>
      <c r="BL155" s="658" t="n"/>
      <c r="BM155" s="658" t="n"/>
      <c r="BN155" s="658" t="n"/>
      <c r="BO155" s="658" t="n"/>
      <c r="BP155" s="658" t="n"/>
    </row>
    <row r="156" ht="14.25" customHeight="1" s="7635">
      <c r="A156" s="1277" t="n"/>
      <c r="B156" s="3775" t="inlineStr">
        <is>
          <t>Type of Property:</t>
        </is>
      </c>
      <c r="C156" s="7865" t="n"/>
      <c r="D156" s="9237" t="n"/>
      <c r="E156" s="2126" t="n"/>
      <c r="F156" s="2126" t="n"/>
      <c r="G156" s="2126" t="n"/>
      <c r="H156" s="2126" t="n"/>
      <c r="I156" s="4776">
        <f>IF(BE156,"The 'Type of Property' must be entered as a number (1 - 8).","")</f>
        <v/>
      </c>
      <c r="J156" s="2126" t="n"/>
      <c r="K156" s="2126" t="n"/>
      <c r="L156" s="2126" t="n"/>
      <c r="M156" s="2126" t="n"/>
      <c r="N156" s="2126" t="n"/>
      <c r="O156" s="2126" t="n"/>
      <c r="P156" s="2126" t="n"/>
      <c r="Q156" s="2126" t="n"/>
      <c r="R156" s="2126" t="n"/>
      <c r="S156" s="2126" t="n"/>
      <c r="T156" s="2126" t="n"/>
      <c r="U156" s="2126" t="n"/>
      <c r="V156" s="2126" t="n"/>
      <c r="W156" s="2126" t="n"/>
      <c r="X156" s="2126" t="n"/>
      <c r="Y156" s="2126" t="n"/>
      <c r="Z156" s="2126" t="n"/>
      <c r="AA156" s="2126" t="n"/>
      <c r="AB156" s="2126" t="n"/>
      <c r="AC156" s="2126" t="n"/>
      <c r="AD156" s="4776">
        <f>IF(OR(AV153,AV154,AV155,AW153,AW154,AW155),"Must be "&amp;AV152&amp;" or less.","")</f>
        <v/>
      </c>
      <c r="AE156" s="2126" t="n"/>
      <c r="AF156" s="2126" t="n"/>
      <c r="AG156" s="2126" t="n"/>
      <c r="AH156" s="2126" t="n"/>
      <c r="AI156" s="2126" t="n"/>
      <c r="AJ156" s="2126" t="n"/>
      <c r="AK156" s="2126" t="n"/>
      <c r="AL156" s="2126" t="n"/>
      <c r="AM156" s="2126" t="n"/>
      <c r="AN156" s="2126" t="n"/>
      <c r="AO156" s="2126" t="n"/>
      <c r="AP156" s="1277" t="n"/>
      <c r="AR156" s="7834">
        <f>OR(AR153:AR155)</f>
        <v/>
      </c>
      <c r="AX156" t="n">
        <v>7</v>
      </c>
      <c r="AY156" t="inlineStr">
        <is>
          <t>Self-Rental</t>
        </is>
      </c>
      <c r="AZ156">
        <f>IF(D153&lt;&gt;6,V162,0)</f>
        <v/>
      </c>
      <c r="BA156">
        <f>IF(D154&lt;&gt;6,AD162,0)</f>
        <v/>
      </c>
      <c r="BB156">
        <f>IF(D155&lt;&gt;6,AJ162,0)</f>
        <v/>
      </c>
      <c r="BC156">
        <f>SUM(AZ156:BB156)</f>
        <v/>
      </c>
      <c r="BE156" s="726">
        <f>OR(BE153,BE154,BE155)</f>
        <v/>
      </c>
      <c r="BG156" s="769" t="n"/>
      <c r="BH156" s="658" t="n"/>
      <c r="BI156" s="658" t="n"/>
      <c r="BJ156" s="658" t="n"/>
      <c r="BK156" s="658" t="n"/>
      <c r="BL156" s="658" t="n"/>
      <c r="BM156" s="658" t="n"/>
      <c r="BN156" s="658" t="n"/>
      <c r="BO156" s="658" t="n"/>
      <c r="BP156" s="658" t="n"/>
    </row>
    <row r="157" ht="18.75" customHeight="1" s="7635">
      <c r="A157" s="1277" t="n"/>
      <c r="B157" s="7865" t="n">
        <v>1</v>
      </c>
      <c r="C157" s="2100" t="inlineStr">
        <is>
          <t>Single Family Residence</t>
        </is>
      </c>
      <c r="D157" s="9237" t="n"/>
      <c r="E157" s="2126" t="n"/>
      <c r="F157" s="2126" t="n"/>
      <c r="G157" s="2126" t="n"/>
      <c r="H157" s="2126" t="n"/>
      <c r="I157" s="2126" t="n"/>
      <c r="J157" s="2126" t="n"/>
      <c r="K157" s="9847" t="n">
        <v>3</v>
      </c>
      <c r="L157" s="4505" t="inlineStr">
        <is>
          <t>Vacation/Short-Term Rental</t>
        </is>
      </c>
      <c r="M157" s="2126" t="n"/>
      <c r="N157" s="2126" t="n"/>
      <c r="O157" s="2126" t="n"/>
      <c r="P157" s="2126" t="n"/>
      <c r="Q157" s="2126" t="n"/>
      <c r="R157" s="2126" t="n"/>
      <c r="S157" s="2126" t="n"/>
      <c r="T157" s="2126" t="n"/>
      <c r="U157" s="9847" t="n">
        <v>5</v>
      </c>
      <c r="V157" s="4505" t="inlineStr">
        <is>
          <t>Land</t>
        </is>
      </c>
      <c r="W157" s="2126" t="n"/>
      <c r="X157" s="2126" t="n"/>
      <c r="Y157" s="2126" t="n"/>
      <c r="Z157" s="9847" t="n"/>
      <c r="AA157" s="9847" t="n">
        <v>7</v>
      </c>
      <c r="AB157" s="4505" t="inlineStr">
        <is>
          <t>Self-Rental</t>
        </is>
      </c>
      <c r="AC157" s="2126" t="n"/>
      <c r="AD157" s="2126" t="n"/>
      <c r="AE157" s="2126" t="n"/>
      <c r="AF157" s="2126" t="n"/>
      <c r="AG157" s="2126" t="n"/>
      <c r="AH157" s="2126" t="n"/>
      <c r="AI157" s="2126" t="n"/>
      <c r="AJ157" s="2126" t="n"/>
      <c r="AK157" s="2126" t="n"/>
      <c r="AL157" s="2126" t="n"/>
      <c r="AM157" s="2126" t="n"/>
      <c r="AN157" s="2126" t="n"/>
      <c r="AO157" s="2126" t="n"/>
      <c r="AP157" s="1277" t="n"/>
      <c r="AR157" s="8631">
        <f>IF($AR$156,"Attach a statement to your return describing the property.","")</f>
        <v/>
      </c>
      <c r="AX157" t="n">
        <v>8</v>
      </c>
      <c r="AY157" t="inlineStr">
        <is>
          <t>Other</t>
        </is>
      </c>
      <c r="AZ157">
        <f>IF(D153=6,V163,0)</f>
        <v/>
      </c>
      <c r="BA157">
        <f>IF(D154=6,AD163,0)</f>
        <v/>
      </c>
      <c r="BB157">
        <f>IF(D155=6,AJ163,0)</f>
        <v/>
      </c>
      <c r="BC157">
        <f>SUM(AZ157:BB157)</f>
        <v/>
      </c>
      <c r="BE157" s="4782" t="n"/>
      <c r="BG157" s="769" t="n"/>
      <c r="BH157" s="658" t="n"/>
      <c r="BI157" s="658" t="n"/>
      <c r="BJ157" s="658" t="n"/>
      <c r="BK157" s="658" t="n"/>
      <c r="BL157" s="658" t="n"/>
      <c r="BM157" s="658" t="n"/>
      <c r="BN157" s="658" t="n"/>
      <c r="BO157" s="658" t="n"/>
      <c r="BP157" s="658" t="n"/>
    </row>
    <row r="158" ht="16.5" customHeight="1" s="7635">
      <c r="A158" s="1277" t="n"/>
      <c r="B158" s="7865" t="n">
        <v>2</v>
      </c>
      <c r="C158" s="2100" t="inlineStr">
        <is>
          <t>Multi-Family Residence</t>
        </is>
      </c>
      <c r="D158" s="9237" t="n"/>
      <c r="E158" s="2126" t="n"/>
      <c r="F158" s="2126" t="n"/>
      <c r="G158" s="2126" t="n"/>
      <c r="H158" s="2126" t="n"/>
      <c r="I158" s="2126" t="n"/>
      <c r="J158" s="2126" t="n"/>
      <c r="K158" s="9847" t="n">
        <v>4</v>
      </c>
      <c r="L158" s="4505" t="inlineStr">
        <is>
          <t>Commercial</t>
        </is>
      </c>
      <c r="M158" s="2126" t="n"/>
      <c r="N158" s="2126" t="n"/>
      <c r="O158" s="2126" t="n"/>
      <c r="P158" s="2126" t="n"/>
      <c r="Q158" s="2126" t="n"/>
      <c r="R158" s="2126" t="n"/>
      <c r="S158" s="2126" t="n"/>
      <c r="T158" s="2126" t="n"/>
      <c r="U158" s="9847" t="n">
        <v>6</v>
      </c>
      <c r="V158" s="4505" t="inlineStr">
        <is>
          <t>Royalties</t>
        </is>
      </c>
      <c r="W158" s="2126" t="n"/>
      <c r="X158" s="2126" t="n"/>
      <c r="Y158" s="2126" t="n"/>
      <c r="Z158" s="9847" t="n"/>
      <c r="AA158" s="9847" t="n">
        <v>8</v>
      </c>
      <c r="AB158" s="4505" t="inlineStr">
        <is>
          <t>Other (describe)</t>
        </is>
      </c>
      <c r="AC158" s="2126" t="n"/>
      <c r="AD158" s="2126" t="n"/>
      <c r="AE158" s="2126" t="n"/>
      <c r="AF158" s="2126" t="n"/>
      <c r="AG158" s="2126" t="n"/>
      <c r="AH158" s="8646" t="n"/>
      <c r="AI158" s="12079" t="n"/>
      <c r="AJ158" s="12079" t="n"/>
      <c r="AK158" s="12079" t="n"/>
      <c r="AL158" s="12079" t="n"/>
      <c r="AM158" s="12079" t="n"/>
      <c r="AN158" s="12079" t="n"/>
      <c r="AO158" s="12079" t="n"/>
      <c r="AP158" s="1277" t="n"/>
      <c r="AQ158" s="8648" t="n"/>
      <c r="BG158" s="769" t="n"/>
      <c r="BH158" s="658" t="n"/>
      <c r="BI158" s="658" t="n"/>
      <c r="BJ158" s="658" t="n"/>
      <c r="BK158" s="658" t="n"/>
      <c r="BL158" s="658" t="n"/>
      <c r="BM158" s="658" t="n"/>
      <c r="BN158" s="658" t="n"/>
      <c r="BO158" s="658" t="n"/>
      <c r="BP158" s="658" t="n"/>
    </row>
    <row r="159" ht="6.75" customHeight="1" s="7635" thickBot="1">
      <c r="A159" s="1277" t="n"/>
      <c r="B159" s="7865" t="n"/>
      <c r="C159" s="2100" t="n"/>
      <c r="D159" s="9237" t="n"/>
      <c r="E159" s="2126" t="n"/>
      <c r="F159" s="2126" t="n"/>
      <c r="G159" s="2126" t="n"/>
      <c r="H159" s="2126" t="n"/>
      <c r="I159" s="2126" t="n"/>
      <c r="J159" s="2126" t="n"/>
      <c r="K159" s="9847" t="n"/>
      <c r="L159" s="4505" t="n"/>
      <c r="M159" s="2126" t="n"/>
      <c r="N159" s="2126" t="n"/>
      <c r="O159" s="2126" t="n"/>
      <c r="P159" s="2126" t="n"/>
      <c r="Q159" s="2126" t="n"/>
      <c r="R159" s="2126" t="n"/>
      <c r="S159" s="2126" t="n"/>
      <c r="T159" s="2126" t="n"/>
      <c r="U159" s="9847" t="n"/>
      <c r="V159" s="4505" t="n"/>
      <c r="W159" s="2126" t="n"/>
      <c r="X159" s="2126" t="n"/>
      <c r="Y159" s="2126" t="n"/>
      <c r="Z159" s="9847" t="n"/>
      <c r="AA159" s="9847" t="n"/>
      <c r="AB159" s="9847" t="n"/>
      <c r="AC159" s="9847" t="n"/>
      <c r="AD159" s="9847" t="n"/>
      <c r="AE159" s="9847" t="n"/>
      <c r="AF159" s="9847" t="n"/>
      <c r="AG159" s="9847" t="n"/>
      <c r="AH159" s="9847" t="n"/>
      <c r="AI159" s="9847" t="n"/>
      <c r="AJ159" s="9847" t="n"/>
      <c r="AK159" s="9847" t="n"/>
      <c r="AL159" s="9847" t="n"/>
      <c r="AM159" s="9847" t="n"/>
      <c r="AN159" s="9847" t="n"/>
      <c r="AO159" s="9847" t="n"/>
      <c r="AP159" s="1277" t="n"/>
      <c r="AQ159" s="8648" t="n"/>
      <c r="BG159" s="769" t="n"/>
      <c r="BH159" s="658" t="n"/>
      <c r="BI159" s="658" t="n"/>
      <c r="BJ159" s="658" t="n"/>
      <c r="BK159" s="658" t="n"/>
      <c r="BL159" s="658" t="n"/>
      <c r="BM159" s="658" t="n"/>
      <c r="BN159" s="658" t="n"/>
      <c r="BO159" s="658" t="n"/>
      <c r="BP159" s="658" t="n"/>
    </row>
    <row r="160" ht="14.25" customHeight="1" s="7635">
      <c r="A160" s="1277" t="n"/>
      <c r="B160" s="4653" t="n"/>
      <c r="C160" s="4786" t="n"/>
      <c r="D160" s="9923" t="n"/>
      <c r="E160" s="2167" t="n"/>
      <c r="F160" s="2167" t="n"/>
      <c r="G160" s="2167" t="n"/>
      <c r="H160" s="2167" t="n"/>
      <c r="I160" s="2167" t="n"/>
      <c r="J160" s="2167" t="n"/>
      <c r="K160" s="2167" t="n"/>
      <c r="L160" s="2167" t="n"/>
      <c r="M160" s="2167" t="n"/>
      <c r="N160" s="2167" t="n"/>
      <c r="O160" s="2167" t="n"/>
      <c r="P160" s="2167" t="n"/>
      <c r="Q160" s="2167" t="n"/>
      <c r="R160" s="4788" t="n"/>
      <c r="S160" s="2167" t="n"/>
      <c r="T160" s="4788" t="n"/>
      <c r="U160" s="4789" t="n"/>
      <c r="V160" s="8573" t="inlineStr">
        <is>
          <t>Properties:</t>
        </is>
      </c>
      <c r="W160" s="12097" t="n"/>
      <c r="X160" s="12097" t="n"/>
      <c r="Y160" s="12097" t="n"/>
      <c r="Z160" s="12097" t="n"/>
      <c r="AA160" s="12097" t="n"/>
      <c r="AB160" s="12097" t="n"/>
      <c r="AC160" s="12097" t="n"/>
      <c r="AD160" s="12097" t="n"/>
      <c r="AE160" s="12097" t="n"/>
      <c r="AF160" s="12097" t="n"/>
      <c r="AG160" s="12097" t="n"/>
      <c r="AH160" s="12097" t="n"/>
      <c r="AI160" s="12097" t="n"/>
      <c r="AJ160" s="12097" t="n"/>
      <c r="AK160" s="12097" t="n"/>
      <c r="AL160" s="12097" t="n"/>
      <c r="AM160" s="12097" t="n"/>
      <c r="AN160" s="12097" t="n"/>
      <c r="AO160" s="12097" t="n"/>
      <c r="AP160" s="1277" t="n"/>
      <c r="AR160" s="4790" t="n"/>
      <c r="AS160" s="4790" t="n"/>
      <c r="AZ160">
        <f>IF(AND($D$21="",OR($V$30&gt;0,$V$31&gt;0)),TRUE,FALSE)</f>
        <v/>
      </c>
      <c r="BA160">
        <f>IF(AND($D$22="",OR($AD$30&gt;0,$AD$31&gt;0)),TRUE,FALSE)</f>
        <v/>
      </c>
      <c r="BB160">
        <f>IF(AND($D$23="",OR($AJ$30&gt;0,$AJ$31&gt;0)),TRUE,FALSE)</f>
        <v/>
      </c>
      <c r="BG160" s="769" t="n"/>
      <c r="BH160" s="658" t="n"/>
      <c r="BI160" s="658" t="n"/>
      <c r="BJ160" s="658" t="n"/>
      <c r="BK160" s="658" t="n"/>
      <c r="BL160" s="658" t="n"/>
      <c r="BM160" s="658" t="n"/>
      <c r="BN160" s="658" t="n"/>
      <c r="BO160" s="658" t="n"/>
      <c r="BP160" s="658" t="n"/>
    </row>
    <row r="161" ht="14.25" customHeight="1" s="7635">
      <c r="A161" s="1277" t="n"/>
      <c r="B161" s="10886" t="inlineStr">
        <is>
          <t>Income:</t>
        </is>
      </c>
      <c r="C161" s="7865" t="n"/>
      <c r="D161" s="9237" t="n"/>
      <c r="E161" s="2126" t="n"/>
      <c r="F161" s="2126" t="n"/>
      <c r="G161" s="2126" t="n"/>
      <c r="H161" s="2126" t="n"/>
      <c r="I161" s="2126" t="n"/>
      <c r="J161" s="2126" t="n"/>
      <c r="K161" s="2126" t="n"/>
      <c r="L161" s="2126" t="n"/>
      <c r="M161" s="2126" t="n"/>
      <c r="N161" s="2126" t="n"/>
      <c r="O161" s="2126" t="n"/>
      <c r="P161" s="2126" t="n"/>
      <c r="Q161" s="2126" t="n"/>
      <c r="R161" s="4791" t="n"/>
      <c r="S161" s="2126" t="n"/>
      <c r="T161" s="4792" t="n"/>
      <c r="U161" s="4793" t="n"/>
      <c r="V161" s="6634" t="inlineStr">
        <is>
          <t>A</t>
        </is>
      </c>
      <c r="W161" s="8412" t="n"/>
      <c r="X161" s="8412" t="n"/>
      <c r="Y161" s="8412" t="n"/>
      <c r="Z161" s="8412" t="n"/>
      <c r="AA161" s="8412" t="n"/>
      <c r="AB161" s="8412" t="n"/>
      <c r="AC161" s="11734" t="n"/>
      <c r="AD161" s="12112" t="inlineStr">
        <is>
          <t>B</t>
        </is>
      </c>
      <c r="AE161" s="8412" t="n"/>
      <c r="AF161" s="8412" t="n"/>
      <c r="AG161" s="8412" t="n"/>
      <c r="AH161" s="8412" t="n"/>
      <c r="AI161" s="11734" t="n"/>
      <c r="AJ161" s="8568" t="inlineStr">
        <is>
          <t>C</t>
        </is>
      </c>
      <c r="AK161" s="8412" t="n"/>
      <c r="AL161" s="8412" t="n"/>
      <c r="AM161" s="8412" t="n"/>
      <c r="AN161" s="8412" t="n"/>
      <c r="AO161" s="8412" t="n"/>
      <c r="AP161" s="1277" t="n"/>
      <c r="AR161" s="1792" t="n"/>
      <c r="AZ161">
        <f>IF(AND($D$21="",OR($V$30&gt;0,$V$31&gt;0)),TRUE,FALSE)</f>
        <v/>
      </c>
      <c r="BA161">
        <f>IF(AND($D$22="",OR($AD$30&gt;0,$AD$31&gt;0)),TRUE,FALSE)</f>
        <v/>
      </c>
      <c r="BB161">
        <f>IF(AND($D$23="",OR($AJ$30&gt;0,$AJ$31&gt;0)),TRUE,FALSE)</f>
        <v/>
      </c>
      <c r="BG161" s="769" t="n"/>
      <c r="BH161" s="658" t="n"/>
      <c r="BI161" s="658" t="n"/>
      <c r="BJ161" s="658" t="n"/>
      <c r="BK161" s="658" t="n"/>
      <c r="BL161" s="658" t="n"/>
      <c r="BM161" s="658" t="n"/>
      <c r="BN161" s="658" t="n"/>
      <c r="BO161" s="658" t="n"/>
      <c r="BP161" s="658" t="n"/>
    </row>
    <row r="162" ht="14.25" customHeight="1" s="7635">
      <c r="A162" s="1277" t="n"/>
      <c r="B162" s="8519" t="n">
        <v>3</v>
      </c>
      <c r="D162" s="2100" t="inlineStr">
        <is>
          <t>Rents received</t>
        </is>
      </c>
      <c r="E162" s="2126" t="n"/>
      <c r="F162" s="2126" t="n"/>
      <c r="G162" s="2126" t="n"/>
      <c r="H162" s="2126" t="n"/>
      <c r="I162" s="2126" t="n"/>
      <c r="J162" s="2126" t="n"/>
      <c r="K162" s="2126" t="n"/>
      <c r="L162" s="2126" t="n"/>
      <c r="M162" s="2126" t="n"/>
      <c r="N162" s="2126" t="n"/>
      <c r="O162" s="2126" t="n"/>
      <c r="P162" s="2126" t="n"/>
      <c r="Q162" s="2126" t="n"/>
      <c r="R162" s="2126" t="n"/>
      <c r="S162" s="1321" t="inlineStr">
        <is>
          <t xml:space="preserve">.   .   .   .   .   .   .   .   .   .   .   .   .   .   .   .   . </t>
        </is>
      </c>
      <c r="T162" s="6634" t="n">
        <v>3</v>
      </c>
      <c r="U162" s="11734" t="n"/>
      <c r="V162" s="12113" t="n"/>
      <c r="W162" s="8007" t="n"/>
      <c r="X162" s="8007" t="n"/>
      <c r="Y162" s="8007" t="n"/>
      <c r="Z162" s="8007" t="n"/>
      <c r="AA162" s="8007" t="n"/>
      <c r="AB162" s="8007" t="n"/>
      <c r="AC162" s="8008" t="n"/>
      <c r="AD162" s="12113" t="n"/>
      <c r="AE162" s="8007" t="n"/>
      <c r="AF162" s="8007" t="n"/>
      <c r="AG162" s="8007" t="n"/>
      <c r="AH162" s="8007" t="n"/>
      <c r="AI162" s="8008" t="n"/>
      <c r="AJ162" s="8562" t="n"/>
      <c r="AK162" s="8007" t="n"/>
      <c r="AL162" s="8007" t="n"/>
      <c r="AM162" s="8007" t="n"/>
      <c r="AN162" s="8007" t="n"/>
      <c r="AO162" s="8007" t="n"/>
      <c r="AP162" s="1277" t="n"/>
      <c r="BG162" s="769" t="n"/>
      <c r="BH162" s="658" t="n"/>
      <c r="BI162" s="658" t="n"/>
      <c r="BJ162" s="658" t="n"/>
      <c r="BK162" s="658" t="n"/>
      <c r="BL162" s="658" t="n"/>
      <c r="BM162" s="658" t="n"/>
      <c r="BN162" s="658" t="n"/>
      <c r="BO162" s="658" t="n"/>
      <c r="BP162" s="658" t="n"/>
    </row>
    <row r="163" ht="14.25" customHeight="1" s="7635">
      <c r="A163" s="1277" t="n"/>
      <c r="B163" s="8561" t="n">
        <v>4</v>
      </c>
      <c r="C163" s="7637" t="n"/>
      <c r="D163" s="4794" t="inlineStr">
        <is>
          <t>Royalties received</t>
        </is>
      </c>
      <c r="E163" s="507" t="n"/>
      <c r="F163" s="507" t="n"/>
      <c r="G163" s="507" t="n"/>
      <c r="H163" s="507" t="n"/>
      <c r="I163" s="507" t="n"/>
      <c r="J163" s="507" t="n"/>
      <c r="K163" s="507" t="n"/>
      <c r="L163" s="507" t="n"/>
      <c r="M163" s="507" t="n"/>
      <c r="N163" s="507" t="n"/>
      <c r="O163" s="507" t="n"/>
      <c r="P163" s="507" t="n"/>
      <c r="Q163" s="507" t="n"/>
      <c r="R163" s="507" t="n"/>
      <c r="S163" s="974" t="inlineStr">
        <is>
          <t xml:space="preserve">.   .   .   .   .   .   .   .   .   .   .   .   .   .   .   . </t>
        </is>
      </c>
      <c r="T163" s="6634" t="n">
        <v>4</v>
      </c>
      <c r="U163" s="11734" t="n"/>
      <c r="V163" s="12113" t="n"/>
      <c r="W163" s="8007" t="n"/>
      <c r="X163" s="8007" t="n"/>
      <c r="Y163" s="8007" t="n"/>
      <c r="Z163" s="8007" t="n"/>
      <c r="AA163" s="8007" t="n"/>
      <c r="AB163" s="8007" t="n"/>
      <c r="AC163" s="8008" t="n"/>
      <c r="AD163" s="12113" t="n"/>
      <c r="AE163" s="8007" t="n"/>
      <c r="AF163" s="8007" t="n"/>
      <c r="AG163" s="8007" t="n"/>
      <c r="AH163" s="8007" t="n"/>
      <c r="AI163" s="8008" t="n"/>
      <c r="AJ163" s="8562" t="n"/>
      <c r="AK163" s="8007" t="n"/>
      <c r="AL163" s="8007" t="n"/>
      <c r="AM163" s="8007" t="n"/>
      <c r="AN163" s="8007" t="n"/>
      <c r="AO163" s="8007" t="n"/>
      <c r="AP163" s="1277" t="n"/>
      <c r="BG163" s="769" t="n"/>
      <c r="BH163" s="658" t="n"/>
      <c r="BI163" s="658" t="n"/>
      <c r="BJ163" s="658" t="n"/>
      <c r="BK163" s="658" t="n"/>
      <c r="BL163" s="658" t="n"/>
      <c r="BM163" s="658" t="n"/>
      <c r="BN163" s="658" t="n"/>
      <c r="BO163" s="658" t="n"/>
      <c r="BP163" s="658" t="n"/>
    </row>
    <row r="164" ht="14.25" customHeight="1" s="7635">
      <c r="A164" s="1277" t="n"/>
      <c r="B164" s="4795" t="inlineStr">
        <is>
          <t>Expenses:</t>
        </is>
      </c>
      <c r="C164" s="4796" t="n"/>
      <c r="D164" s="10862" t="n"/>
      <c r="E164" s="4797" t="n"/>
      <c r="F164" s="4798" t="n"/>
      <c r="G164" s="4798">
        <f>IF(OR($AZ$29,$BA$29,$BB$29),"Please enter property type in Line 1b.","")</f>
        <v/>
      </c>
      <c r="H164" s="4797" t="n"/>
      <c r="I164" s="4797" t="n"/>
      <c r="J164" s="4797" t="n"/>
      <c r="K164" s="4797" t="n"/>
      <c r="L164" s="4797" t="n"/>
      <c r="M164" s="4797" t="n"/>
      <c r="N164" s="4797" t="n"/>
      <c r="O164" s="4797" t="n"/>
      <c r="P164" s="4797" t="n"/>
      <c r="Q164" s="4797" t="n"/>
      <c r="R164" s="4797" t="n"/>
      <c r="S164" s="4797" t="n"/>
      <c r="T164" s="4509" t="n"/>
      <c r="U164" s="4799" t="n"/>
      <c r="V164" s="12114">
        <f>IF(D153="","",LOOKUP(D153,$AX$18:$AX$25,$AY$18:$AY$25))</f>
        <v/>
      </c>
      <c r="W164" s="7839" t="n"/>
      <c r="X164" s="7839" t="n"/>
      <c r="Y164" s="7839" t="n"/>
      <c r="Z164" s="7839" t="n"/>
      <c r="AA164" s="7839" t="n"/>
      <c r="AB164" s="7839" t="n"/>
      <c r="AC164" s="10091" t="n"/>
      <c r="AD164" s="12114">
        <f>IF(D154="","",LOOKUP(D154,$AX$18:$AX$25,$AY$18:$AY$25))</f>
        <v/>
      </c>
      <c r="AE164" s="7839" t="n"/>
      <c r="AF164" s="7839" t="n"/>
      <c r="AG164" s="7839" t="n"/>
      <c r="AH164" s="7839" t="n"/>
      <c r="AI164" s="10091" t="n"/>
      <c r="AJ164" s="8565">
        <f>IF(D155="","",LOOKUP(D155,$AX$18:$AX$25,$AY$18:$AY$25))</f>
        <v/>
      </c>
      <c r="AK164" s="7839" t="n"/>
      <c r="AL164" s="7839" t="n"/>
      <c r="AM164" s="7839" t="n"/>
      <c r="AN164" s="7839" t="n"/>
      <c r="AO164" s="7839" t="n"/>
      <c r="AP164" s="1277" t="n"/>
      <c r="BG164" s="769" t="n"/>
      <c r="BH164" s="658" t="n"/>
      <c r="BI164" s="658" t="n"/>
      <c r="BJ164" s="658" t="n"/>
      <c r="BK164" s="658" t="n"/>
      <c r="BL164" s="658" t="n"/>
      <c r="BM164" s="658" t="n"/>
      <c r="BN164" s="658" t="n"/>
      <c r="BO164" s="658" t="n"/>
      <c r="BP164" s="658" t="n"/>
    </row>
    <row r="165" ht="14.25" customHeight="1" s="7635">
      <c r="A165" s="1277" t="n"/>
      <c r="B165" s="8519" t="n">
        <v>5</v>
      </c>
      <c r="D165" s="2100" t="inlineStr">
        <is>
          <t>Advertising</t>
        </is>
      </c>
      <c r="E165" s="2126" t="n"/>
      <c r="F165" s="2126" t="n"/>
      <c r="G165" s="2126" t="n"/>
      <c r="H165" s="2126" t="n"/>
      <c r="I165" s="2126" t="n"/>
      <c r="J165" s="2126" t="n"/>
      <c r="K165" s="2126" t="n"/>
      <c r="L165" s="2126" t="n"/>
      <c r="M165" s="2126" t="n"/>
      <c r="N165" s="2126" t="n"/>
      <c r="O165" s="2126" t="n"/>
      <c r="P165" s="2126" t="n"/>
      <c r="Q165" s="2126" t="n"/>
      <c r="R165" s="2126" t="n"/>
      <c r="S165" s="2198" t="inlineStr">
        <is>
          <t xml:space="preserve">.   .   .   .   .   .   .   .   .   .   .   .   .   .   .   .   .   .   . </t>
        </is>
      </c>
      <c r="T165" s="6633" t="n">
        <v>5</v>
      </c>
      <c r="U165" s="7638" t="n"/>
      <c r="V165" s="8558" t="n"/>
      <c r="W165" s="11717" t="n"/>
      <c r="X165" s="11717" t="n"/>
      <c r="Y165" s="11717" t="n"/>
      <c r="Z165" s="11717" t="n"/>
      <c r="AA165" s="11717" t="n"/>
      <c r="AB165" s="11717" t="n"/>
      <c r="AC165" s="11718" t="n"/>
      <c r="AD165" s="12115" t="n"/>
      <c r="AE165" s="11717" t="n"/>
      <c r="AF165" s="11717" t="n"/>
      <c r="AG165" s="11717" t="n"/>
      <c r="AH165" s="11717" t="n"/>
      <c r="AI165" s="11718" t="n"/>
      <c r="AJ165" s="8559" t="n"/>
      <c r="AK165" s="11717" t="n"/>
      <c r="AL165" s="11717" t="n"/>
      <c r="AM165" s="11717" t="n"/>
      <c r="AN165" s="11717" t="n"/>
      <c r="AO165" s="11717" t="n"/>
      <c r="AP165" s="1277" t="n"/>
      <c r="BG165" s="769" t="n"/>
      <c r="BH165" s="658" t="n"/>
      <c r="BI165" s="658" t="n"/>
      <c r="BJ165" s="658" t="n"/>
      <c r="BK165" s="658" t="n"/>
      <c r="BL165" s="658" t="n"/>
      <c r="BM165" s="658" t="n"/>
      <c r="BN165" s="658" t="n"/>
      <c r="BO165" s="658" t="n"/>
      <c r="BP165" s="658" t="n"/>
    </row>
    <row r="166" ht="14.25" customHeight="1" s="7635">
      <c r="A166" s="1277" t="n"/>
      <c r="B166" s="8519" t="n">
        <v>6</v>
      </c>
      <c r="D166" s="2100" t="inlineStr">
        <is>
          <t>Auto and travel (see instructions)</t>
        </is>
      </c>
      <c r="E166" s="2126" t="n"/>
      <c r="F166" s="2126" t="n"/>
      <c r="G166" s="2126" t="n"/>
      <c r="H166" s="2126" t="n"/>
      <c r="I166" s="2126" t="n"/>
      <c r="J166" s="2126" t="n"/>
      <c r="K166" s="2126" t="n"/>
      <c r="L166" s="2126" t="n"/>
      <c r="M166" s="2126" t="n"/>
      <c r="N166" s="2126" t="n"/>
      <c r="O166" s="2126" t="n"/>
      <c r="P166" s="2126" t="n"/>
      <c r="Q166" s="2126" t="n"/>
      <c r="R166" s="2126" t="n"/>
      <c r="S166" s="2198" t="inlineStr">
        <is>
          <t xml:space="preserve">.   .   .   .   .   .   .   .   .   . </t>
        </is>
      </c>
      <c r="T166" s="6633" t="n">
        <v>6</v>
      </c>
      <c r="U166" s="7638" t="n"/>
      <c r="V166" s="8558" t="n"/>
      <c r="W166" s="11717" t="n"/>
      <c r="X166" s="11717" t="n"/>
      <c r="Y166" s="11717" t="n"/>
      <c r="Z166" s="11717" t="n"/>
      <c r="AA166" s="11717" t="n"/>
      <c r="AB166" s="11717" t="n"/>
      <c r="AC166" s="11718" t="n"/>
      <c r="AD166" s="12115" t="n"/>
      <c r="AE166" s="11717" t="n"/>
      <c r="AF166" s="11717" t="n"/>
      <c r="AG166" s="11717" t="n"/>
      <c r="AH166" s="11717" t="n"/>
      <c r="AI166" s="11718" t="n"/>
      <c r="AJ166" s="8559" t="n"/>
      <c r="AK166" s="11717" t="n"/>
      <c r="AL166" s="11717" t="n"/>
      <c r="AM166" s="11717" t="n"/>
      <c r="AN166" s="11717" t="n"/>
      <c r="AO166" s="11717" t="n"/>
      <c r="AP166" s="1277" t="n"/>
      <c r="BG166" s="769" t="n"/>
      <c r="BH166" s="658" t="n"/>
      <c r="BI166" s="658" t="n"/>
      <c r="BJ166" s="658" t="n"/>
      <c r="BK166" s="658" t="n"/>
      <c r="BL166" s="658" t="n"/>
      <c r="BM166" s="658" t="n"/>
      <c r="BN166" s="658" t="n"/>
      <c r="BO166" s="658" t="n"/>
      <c r="BP166" s="658" t="n"/>
    </row>
    <row r="167" ht="14.25" customHeight="1" s="7635">
      <c r="A167" s="1277" t="n"/>
      <c r="B167" s="8519" t="n">
        <v>7</v>
      </c>
      <c r="D167" s="2100" t="inlineStr">
        <is>
          <t>Cleaning and maintenance</t>
        </is>
      </c>
      <c r="E167" s="2126" t="n"/>
      <c r="F167" s="2126" t="n"/>
      <c r="G167" s="2126" t="n"/>
      <c r="H167" s="2126" t="n"/>
      <c r="I167" s="2126" t="n"/>
      <c r="J167" s="2126" t="n"/>
      <c r="K167" s="2126" t="n"/>
      <c r="L167" s="2126" t="n"/>
      <c r="M167" s="2126" t="n"/>
      <c r="N167" s="2126" t="n"/>
      <c r="O167" s="2126" t="n"/>
      <c r="P167" s="2126" t="n"/>
      <c r="Q167" s="2126" t="n"/>
      <c r="R167" s="2126" t="n"/>
      <c r="S167" s="2198" t="inlineStr">
        <is>
          <t xml:space="preserve">.   .   .   .   .   .   .   .   .   .   .   .   . </t>
        </is>
      </c>
      <c r="T167" s="6633" t="n">
        <v>7</v>
      </c>
      <c r="U167" s="7638" t="n"/>
      <c r="V167" s="8558" t="n"/>
      <c r="W167" s="11717" t="n"/>
      <c r="X167" s="11717" t="n"/>
      <c r="Y167" s="11717" t="n"/>
      <c r="Z167" s="11717" t="n"/>
      <c r="AA167" s="11717" t="n"/>
      <c r="AB167" s="11717" t="n"/>
      <c r="AC167" s="11718" t="n"/>
      <c r="AD167" s="12115" t="n"/>
      <c r="AE167" s="11717" t="n"/>
      <c r="AF167" s="11717" t="n"/>
      <c r="AG167" s="11717" t="n"/>
      <c r="AH167" s="11717" t="n"/>
      <c r="AI167" s="11718" t="n"/>
      <c r="AJ167" s="8559" t="n"/>
      <c r="AK167" s="11717" t="n"/>
      <c r="AL167" s="11717" t="n"/>
      <c r="AM167" s="11717" t="n"/>
      <c r="AN167" s="11717" t="n"/>
      <c r="AO167" s="11717" t="n"/>
      <c r="AP167" s="1277" t="n"/>
      <c r="BG167" s="769" t="n"/>
      <c r="BH167" s="658" t="n"/>
      <c r="BI167" s="658" t="n"/>
      <c r="BJ167" s="658" t="n"/>
      <c r="BK167" s="658" t="n"/>
      <c r="BL167" s="658" t="n"/>
      <c r="BM167" s="658" t="n"/>
      <c r="BN167" s="658" t="n"/>
      <c r="BO167" s="658" t="n"/>
      <c r="BP167" s="658" t="n"/>
    </row>
    <row r="168" ht="14.25" customHeight="1" s="7635">
      <c r="A168" s="1277" t="n"/>
      <c r="B168" s="8519" t="n">
        <v>8</v>
      </c>
      <c r="D168" s="2100" t="inlineStr">
        <is>
          <t>Commissions</t>
        </is>
      </c>
      <c r="E168" s="2126" t="n"/>
      <c r="F168" s="2126" t="n"/>
      <c r="G168" s="2126" t="n"/>
      <c r="H168" s="2126" t="n"/>
      <c r="I168" s="2126" t="n"/>
      <c r="J168" s="2126" t="n"/>
      <c r="K168" s="2126" t="n"/>
      <c r="L168" s="2126" t="n"/>
      <c r="M168" s="2126" t="n"/>
      <c r="N168" s="2126" t="n"/>
      <c r="O168" s="2126" t="n"/>
      <c r="P168" s="2126" t="n"/>
      <c r="Q168" s="2126" t="n"/>
      <c r="R168" s="2126" t="n"/>
      <c r="S168" s="2198" t="inlineStr">
        <is>
          <t xml:space="preserve">.   .   .   .   .   .   .   .   .   .   .   .   .   .   .   .   .   . </t>
        </is>
      </c>
      <c r="T168" s="6633" t="n">
        <v>8</v>
      </c>
      <c r="U168" s="7638" t="n"/>
      <c r="V168" s="8558" t="n"/>
      <c r="W168" s="11717" t="n"/>
      <c r="X168" s="11717" t="n"/>
      <c r="Y168" s="11717" t="n"/>
      <c r="Z168" s="11717" t="n"/>
      <c r="AA168" s="11717" t="n"/>
      <c r="AB168" s="11717" t="n"/>
      <c r="AC168" s="11718" t="n"/>
      <c r="AD168" s="12115" t="n"/>
      <c r="AE168" s="11717" t="n"/>
      <c r="AF168" s="11717" t="n"/>
      <c r="AG168" s="11717" t="n"/>
      <c r="AH168" s="11717" t="n"/>
      <c r="AI168" s="11718" t="n"/>
      <c r="AJ168" s="8559" t="n"/>
      <c r="AK168" s="11717" t="n"/>
      <c r="AL168" s="11717" t="n"/>
      <c r="AM168" s="11717" t="n"/>
      <c r="AN168" s="11717" t="n"/>
      <c r="AO168" s="11717" t="n"/>
      <c r="AP168" s="1277" t="n"/>
      <c r="BG168" s="769" t="n"/>
      <c r="BH168" s="658" t="n"/>
      <c r="BI168" s="658" t="n"/>
      <c r="BJ168" s="658" t="n"/>
      <c r="BK168" s="658" t="n"/>
      <c r="BL168" s="658" t="n"/>
      <c r="BM168" s="658" t="n"/>
      <c r="BN168" s="658" t="n"/>
      <c r="BO168" s="658" t="n"/>
      <c r="BP168" s="658" t="n"/>
    </row>
    <row r="169" ht="14.25" customHeight="1" s="7635">
      <c r="A169" s="1277" t="n"/>
      <c r="B169" s="8519" t="n">
        <v>9</v>
      </c>
      <c r="D169" s="2100" t="inlineStr">
        <is>
          <t>Insurance</t>
        </is>
      </c>
      <c r="E169" s="2126" t="n"/>
      <c r="F169" s="2126" t="n"/>
      <c r="G169" s="2126" t="n"/>
      <c r="H169" s="2126" t="n"/>
      <c r="I169" s="2126" t="n"/>
      <c r="J169" s="2126" t="n"/>
      <c r="K169" s="2126" t="n"/>
      <c r="L169" s="2126" t="n"/>
      <c r="M169" s="2126" t="n"/>
      <c r="N169" s="2126" t="n"/>
      <c r="O169" s="2126" t="n"/>
      <c r="P169" s="2126" t="n"/>
      <c r="Q169" s="2126" t="n"/>
      <c r="R169" s="2126" t="n"/>
      <c r="S169" s="2198" t="inlineStr">
        <is>
          <t xml:space="preserve">.   .   .   .   .   .   .   .   .   .   .   .   .   .   .   .   .   .   .   . </t>
        </is>
      </c>
      <c r="T169" s="6633" t="n">
        <v>9</v>
      </c>
      <c r="U169" s="7638" t="n"/>
      <c r="V169" s="8558" t="n"/>
      <c r="W169" s="11717" t="n"/>
      <c r="X169" s="11717" t="n"/>
      <c r="Y169" s="11717" t="n"/>
      <c r="Z169" s="11717" t="n"/>
      <c r="AA169" s="11717" t="n"/>
      <c r="AB169" s="11717" t="n"/>
      <c r="AC169" s="11718" t="n"/>
      <c r="AD169" s="12115" t="n"/>
      <c r="AE169" s="11717" t="n"/>
      <c r="AF169" s="11717" t="n"/>
      <c r="AG169" s="11717" t="n"/>
      <c r="AH169" s="11717" t="n"/>
      <c r="AI169" s="11718" t="n"/>
      <c r="AJ169" s="8559" t="n"/>
      <c r="AK169" s="11717" t="n"/>
      <c r="AL169" s="11717" t="n"/>
      <c r="AM169" s="11717" t="n"/>
      <c r="AN169" s="11717" t="n"/>
      <c r="AO169" s="11717" t="n"/>
      <c r="AP169" s="1277" t="n"/>
      <c r="BG169" s="769" t="n"/>
      <c r="BH169" s="658" t="n"/>
      <c r="BI169" s="658" t="n"/>
      <c r="BJ169" s="658" t="n"/>
      <c r="BK169" s="658" t="n"/>
      <c r="BL169" s="658" t="n"/>
      <c r="BM169" s="658" t="n"/>
      <c r="BN169" s="658" t="n"/>
      <c r="BO169" s="658" t="n"/>
      <c r="BP169" s="658" t="n"/>
    </row>
    <row r="170" ht="14.25" customHeight="1" s="7635">
      <c r="A170" s="1277" t="n"/>
      <c r="B170" s="8519" t="n">
        <v>10</v>
      </c>
      <c r="D170" s="2100" t="inlineStr">
        <is>
          <t>Legal and other professional fees</t>
        </is>
      </c>
      <c r="E170" s="2126" t="n"/>
      <c r="F170" s="2126" t="n"/>
      <c r="G170" s="2126" t="n"/>
      <c r="H170" s="2126" t="n"/>
      <c r="I170" s="2126" t="n"/>
      <c r="J170" s="2126" t="n"/>
      <c r="K170" s="2126" t="n"/>
      <c r="L170" s="2126" t="n"/>
      <c r="M170" s="2126" t="n"/>
      <c r="N170" s="2126" t="n"/>
      <c r="O170" s="2126" t="n"/>
      <c r="P170" s="2126" t="n"/>
      <c r="Q170" s="2126" t="n"/>
      <c r="R170" s="2126" t="n"/>
      <c r="S170" s="2198" t="inlineStr">
        <is>
          <t xml:space="preserve">.   .   .   .   .   .   .   .   . </t>
        </is>
      </c>
      <c r="T170" s="6633" t="n">
        <v>10</v>
      </c>
      <c r="U170" s="7638" t="n"/>
      <c r="V170" s="8558" t="n"/>
      <c r="W170" s="11717" t="n"/>
      <c r="X170" s="11717" t="n"/>
      <c r="Y170" s="11717" t="n"/>
      <c r="Z170" s="11717" t="n"/>
      <c r="AA170" s="11717" t="n"/>
      <c r="AB170" s="11717" t="n"/>
      <c r="AC170" s="11718" t="n"/>
      <c r="AD170" s="12115" t="n"/>
      <c r="AE170" s="11717" t="n"/>
      <c r="AF170" s="11717" t="n"/>
      <c r="AG170" s="11717" t="n"/>
      <c r="AH170" s="11717" t="n"/>
      <c r="AI170" s="11718" t="n"/>
      <c r="AJ170" s="8559" t="n"/>
      <c r="AK170" s="11717" t="n"/>
      <c r="AL170" s="11717" t="n"/>
      <c r="AM170" s="11717" t="n"/>
      <c r="AN170" s="11717" t="n"/>
      <c r="AO170" s="11717" t="n"/>
      <c r="AP170" s="1277" t="n"/>
      <c r="BG170" s="769" t="n"/>
      <c r="BH170" s="658" t="n"/>
      <c r="BI170" s="658" t="n"/>
      <c r="BJ170" s="658" t="n"/>
      <c r="BK170" s="658" t="n"/>
      <c r="BL170" s="658" t="n"/>
      <c r="BM170" s="658" t="n"/>
      <c r="BN170" s="658" t="n"/>
      <c r="BO170" s="658" t="n"/>
      <c r="BP170" s="658" t="n"/>
    </row>
    <row r="171" ht="14.25" customHeight="1" s="7635">
      <c r="A171" s="1277" t="n"/>
      <c r="B171" s="8519" t="n">
        <v>11</v>
      </c>
      <c r="D171" s="2100" t="inlineStr">
        <is>
          <t>Management fees</t>
        </is>
      </c>
      <c r="E171" s="2126" t="n"/>
      <c r="F171" s="2126" t="n"/>
      <c r="G171" s="2126" t="n"/>
      <c r="H171" s="2126" t="n"/>
      <c r="I171" s="2126" t="n"/>
      <c r="J171" s="2126" t="n"/>
      <c r="K171" s="2126" t="n"/>
      <c r="L171" s="2126" t="n"/>
      <c r="M171" s="2126" t="n"/>
      <c r="N171" s="2126" t="n"/>
      <c r="O171" s="2126" t="n"/>
      <c r="P171" s="2126" t="n"/>
      <c r="Q171" s="2126" t="n"/>
      <c r="R171" s="2126" t="n"/>
      <c r="S171" s="2198" t="inlineStr">
        <is>
          <t xml:space="preserve">.   .   .   .   .   .   .   .   .   .   .   .   .   .   .   . </t>
        </is>
      </c>
      <c r="T171" s="6633" t="n">
        <v>11</v>
      </c>
      <c r="U171" s="7638" t="n"/>
      <c r="V171" s="8558" t="n"/>
      <c r="W171" s="11717" t="n"/>
      <c r="X171" s="11717" t="n"/>
      <c r="Y171" s="11717" t="n"/>
      <c r="Z171" s="11717" t="n"/>
      <c r="AA171" s="11717" t="n"/>
      <c r="AB171" s="11717" t="n"/>
      <c r="AC171" s="11718" t="n"/>
      <c r="AD171" s="12115" t="n"/>
      <c r="AE171" s="11717" t="n"/>
      <c r="AF171" s="11717" t="n"/>
      <c r="AG171" s="11717" t="n"/>
      <c r="AH171" s="11717" t="n"/>
      <c r="AI171" s="11718" t="n"/>
      <c r="AJ171" s="8559" t="n"/>
      <c r="AK171" s="11717" t="n"/>
      <c r="AL171" s="11717" t="n"/>
      <c r="AM171" s="11717" t="n"/>
      <c r="AN171" s="11717" t="n"/>
      <c r="AO171" s="11717" t="n"/>
      <c r="AP171" s="1277" t="n"/>
      <c r="BG171" s="769" t="n"/>
      <c r="BH171" s="658" t="n"/>
      <c r="BI171" s="658" t="n"/>
      <c r="BJ171" s="658" t="n"/>
      <c r="BK171" s="658" t="n"/>
      <c r="BL171" s="658" t="n"/>
      <c r="BM171" s="658" t="n"/>
      <c r="BN171" s="658" t="n"/>
      <c r="BO171" s="658" t="n"/>
      <c r="BP171" s="658" t="n"/>
    </row>
    <row r="172" ht="14.25" customHeight="1" s="7635">
      <c r="A172" s="1277" t="n"/>
      <c r="B172" s="8519" t="n">
        <v>12</v>
      </c>
      <c r="D172" s="2100" t="inlineStr">
        <is>
          <t>Mortgage interest paid to banks, etc. (see instructions)</t>
        </is>
      </c>
      <c r="E172" s="2126" t="n"/>
      <c r="F172" s="2126" t="n"/>
      <c r="G172" s="2126" t="n"/>
      <c r="H172" s="2126" t="n"/>
      <c r="I172" s="2126" t="n"/>
      <c r="J172" s="2126" t="n"/>
      <c r="K172" s="2126" t="n"/>
      <c r="L172" s="2126" t="n"/>
      <c r="M172" s="2126" t="n"/>
      <c r="N172" s="2126" t="n"/>
      <c r="O172" s="2126" t="n"/>
      <c r="P172" s="2126" t="n"/>
      <c r="Q172" s="2126" t="n"/>
      <c r="R172" s="2126" t="n"/>
      <c r="S172" s="4800" t="n"/>
      <c r="T172" s="6633" t="n">
        <v>12</v>
      </c>
      <c r="U172" s="7638" t="n"/>
      <c r="V172" s="8558" t="n"/>
      <c r="W172" s="11717" t="n"/>
      <c r="X172" s="11717" t="n"/>
      <c r="Y172" s="11717" t="n"/>
      <c r="Z172" s="11717" t="n"/>
      <c r="AA172" s="11717" t="n"/>
      <c r="AB172" s="11717" t="n"/>
      <c r="AC172" s="11718" t="n"/>
      <c r="AD172" s="12115" t="n"/>
      <c r="AE172" s="11717" t="n"/>
      <c r="AF172" s="11717" t="n"/>
      <c r="AG172" s="11717" t="n"/>
      <c r="AH172" s="11717" t="n"/>
      <c r="AI172" s="11718" t="n"/>
      <c r="AJ172" s="8559" t="n"/>
      <c r="AK172" s="11717" t="n"/>
      <c r="AL172" s="11717" t="n"/>
      <c r="AM172" s="11717" t="n"/>
      <c r="AN172" s="11717" t="n"/>
      <c r="AO172" s="11717" t="n"/>
      <c r="AP172" s="1277" t="n"/>
      <c r="BG172" s="769" t="n"/>
      <c r="BH172" s="658" t="n"/>
      <c r="BI172" s="658" t="n"/>
      <c r="BJ172" s="658" t="n"/>
      <c r="BK172" s="658" t="n"/>
      <c r="BL172" s="658" t="n"/>
      <c r="BM172" s="658" t="n"/>
      <c r="BN172" s="658" t="n"/>
      <c r="BO172" s="658" t="n"/>
      <c r="BP172" s="658" t="n"/>
    </row>
    <row r="173" ht="14.25" customHeight="1" s="7635">
      <c r="A173" s="1277" t="n"/>
      <c r="B173" s="8519" t="n">
        <v>13</v>
      </c>
      <c r="D173" s="2100" t="inlineStr">
        <is>
          <t>Other interest</t>
        </is>
      </c>
      <c r="E173" s="2126" t="n"/>
      <c r="F173" s="2126" t="n"/>
      <c r="G173" s="2126" t="n"/>
      <c r="H173" s="2126" t="n"/>
      <c r="I173" s="2126" t="n"/>
      <c r="J173" s="2126" t="n"/>
      <c r="K173" s="2126" t="n"/>
      <c r="L173" s="2126" t="n"/>
      <c r="M173" s="2126" t="n"/>
      <c r="N173" s="2126" t="n"/>
      <c r="O173" s="2126" t="n"/>
      <c r="P173" s="2126" t="n"/>
      <c r="Q173" s="2126" t="n"/>
      <c r="R173" s="2126" t="n"/>
      <c r="S173" s="2198" t="inlineStr">
        <is>
          <t xml:space="preserve">.   .   .   .   .   .   .   .   .   .   .   .   .   .   .   .   .   . </t>
        </is>
      </c>
      <c r="T173" s="6633" t="n">
        <v>13</v>
      </c>
      <c r="U173" s="7638" t="n"/>
      <c r="V173" s="8558" t="n"/>
      <c r="W173" s="11717" t="n"/>
      <c r="X173" s="11717" t="n"/>
      <c r="Y173" s="11717" t="n"/>
      <c r="Z173" s="11717" t="n"/>
      <c r="AA173" s="11717" t="n"/>
      <c r="AB173" s="11717" t="n"/>
      <c r="AC173" s="11718" t="n"/>
      <c r="AD173" s="12115" t="n"/>
      <c r="AE173" s="11717" t="n"/>
      <c r="AF173" s="11717" t="n"/>
      <c r="AG173" s="11717" t="n"/>
      <c r="AH173" s="11717" t="n"/>
      <c r="AI173" s="11718" t="n"/>
      <c r="AJ173" s="8559" t="n"/>
      <c r="AK173" s="11717" t="n"/>
      <c r="AL173" s="11717" t="n"/>
      <c r="AM173" s="11717" t="n"/>
      <c r="AN173" s="11717" t="n"/>
      <c r="AO173" s="11717" t="n"/>
      <c r="AP173" s="1277" t="n"/>
      <c r="BG173" s="769" t="n"/>
      <c r="BH173" s="658" t="n"/>
      <c r="BI173" s="658" t="n"/>
      <c r="BJ173" s="658" t="n"/>
      <c r="BK173" s="658" t="n"/>
      <c r="BL173" s="658" t="n"/>
      <c r="BM173" s="658" t="n"/>
      <c r="BN173" s="658" t="n"/>
      <c r="BO173" s="658" t="n"/>
      <c r="BP173" s="658" t="n"/>
    </row>
    <row r="174" ht="14.25" customHeight="1" s="7635">
      <c r="A174" s="1277" t="n"/>
      <c r="B174" s="8519" t="n">
        <v>14</v>
      </c>
      <c r="D174" s="2100" t="inlineStr">
        <is>
          <t>Repairs</t>
        </is>
      </c>
      <c r="E174" s="2126" t="n"/>
      <c r="F174" s="2126" t="n"/>
      <c r="G174" s="2126" t="n"/>
      <c r="H174" s="2126" t="n"/>
      <c r="I174" s="2126" t="n"/>
      <c r="J174" s="2126" t="n"/>
      <c r="K174" s="2126" t="n"/>
      <c r="L174" s="2126" t="n"/>
      <c r="M174" s="2126" t="n"/>
      <c r="N174" s="2126" t="n"/>
      <c r="O174" s="2126" t="n"/>
      <c r="P174" s="2126" t="n"/>
      <c r="Q174" s="2126" t="n"/>
      <c r="R174" s="2126" t="n"/>
      <c r="S174" s="2198" t="inlineStr">
        <is>
          <t xml:space="preserve">.   .   .   .   .   .   .   .   .   .   .   .   .   .   .   .   .   .   .   . </t>
        </is>
      </c>
      <c r="T174" s="6633" t="n">
        <v>14</v>
      </c>
      <c r="U174" s="7638" t="n"/>
      <c r="V174" s="8558" t="n"/>
      <c r="W174" s="11717" t="n"/>
      <c r="X174" s="11717" t="n"/>
      <c r="Y174" s="11717" t="n"/>
      <c r="Z174" s="11717" t="n"/>
      <c r="AA174" s="11717" t="n"/>
      <c r="AB174" s="11717" t="n"/>
      <c r="AC174" s="11718" t="n"/>
      <c r="AD174" s="12115" t="n"/>
      <c r="AE174" s="11717" t="n"/>
      <c r="AF174" s="11717" t="n"/>
      <c r="AG174" s="11717" t="n"/>
      <c r="AH174" s="11717" t="n"/>
      <c r="AI174" s="11718" t="n"/>
      <c r="AJ174" s="8559" t="n"/>
      <c r="AK174" s="11717" t="n"/>
      <c r="AL174" s="11717" t="n"/>
      <c r="AM174" s="11717" t="n"/>
      <c r="AN174" s="11717" t="n"/>
      <c r="AO174" s="11717" t="n"/>
      <c r="AP174" s="1277" t="n"/>
      <c r="BG174" s="769" t="n"/>
      <c r="BH174" s="658" t="n"/>
      <c r="BI174" s="658" t="n"/>
      <c r="BJ174" s="658" t="n"/>
      <c r="BK174" s="658" t="n"/>
      <c r="BL174" s="658" t="n"/>
      <c r="BM174" s="658" t="n"/>
      <c r="BN174" s="658" t="n"/>
      <c r="BO174" s="658" t="n"/>
      <c r="BP174" s="658" t="n"/>
    </row>
    <row r="175" ht="14.25" customHeight="1" s="7635">
      <c r="A175" s="1277" t="n"/>
      <c r="B175" s="8519" t="n">
        <v>15</v>
      </c>
      <c r="D175" s="2100" t="inlineStr">
        <is>
          <t>Supplies</t>
        </is>
      </c>
      <c r="E175" s="2126" t="n"/>
      <c r="F175" s="2126" t="n"/>
      <c r="G175" s="2126" t="n"/>
      <c r="H175" s="2126" t="n"/>
      <c r="I175" s="2126" t="n"/>
      <c r="J175" s="2126" t="n"/>
      <c r="K175" s="2126" t="n"/>
      <c r="L175" s="2126" t="n"/>
      <c r="M175" s="2126" t="n"/>
      <c r="N175" s="2126" t="n"/>
      <c r="O175" s="2126" t="n"/>
      <c r="P175" s="2126" t="n"/>
      <c r="Q175" s="2126" t="n"/>
      <c r="R175" s="2126" t="n"/>
      <c r="S175" s="2198" t="inlineStr">
        <is>
          <t xml:space="preserve">.   .   .   .   .   .   .   .   .   .   .   .   .   .   .   .   .   .   .   . </t>
        </is>
      </c>
      <c r="T175" s="6633" t="n">
        <v>15</v>
      </c>
      <c r="U175" s="7638" t="n"/>
      <c r="V175" s="8558" t="n"/>
      <c r="W175" s="11717" t="n"/>
      <c r="X175" s="11717" t="n"/>
      <c r="Y175" s="11717" t="n"/>
      <c r="Z175" s="11717" t="n"/>
      <c r="AA175" s="11717" t="n"/>
      <c r="AB175" s="11717" t="n"/>
      <c r="AC175" s="11718" t="n"/>
      <c r="AD175" s="12115" t="n"/>
      <c r="AE175" s="11717" t="n"/>
      <c r="AF175" s="11717" t="n"/>
      <c r="AG175" s="11717" t="n"/>
      <c r="AH175" s="11717" t="n"/>
      <c r="AI175" s="11718" t="n"/>
      <c r="AJ175" s="8559" t="n"/>
      <c r="AK175" s="11717" t="n"/>
      <c r="AL175" s="11717" t="n"/>
      <c r="AM175" s="11717" t="n"/>
      <c r="AN175" s="11717" t="n"/>
      <c r="AO175" s="11717" t="n"/>
      <c r="AP175" s="1277" t="n"/>
      <c r="BG175" s="769" t="n"/>
      <c r="BH175" s="658" t="n"/>
      <c r="BI175" s="658" t="n"/>
      <c r="BJ175" s="658" t="n"/>
      <c r="BK175" s="658" t="n"/>
      <c r="BL175" s="658" t="n"/>
      <c r="BM175" s="658" t="n"/>
      <c r="BN175" s="658" t="n"/>
      <c r="BO175" s="658" t="n"/>
      <c r="BP175" s="658" t="n"/>
    </row>
    <row r="176" ht="14.25" customHeight="1" s="7635">
      <c r="A176" s="1277" t="n"/>
      <c r="B176" s="8519" t="n">
        <v>16</v>
      </c>
      <c r="D176" s="2100" t="inlineStr">
        <is>
          <t>Taxes</t>
        </is>
      </c>
      <c r="E176" s="2126" t="n"/>
      <c r="F176" s="2126" t="n"/>
      <c r="G176" s="2126" t="n"/>
      <c r="H176" s="2126" t="n"/>
      <c r="I176" s="2126" t="n"/>
      <c r="J176" s="2126" t="n"/>
      <c r="K176" s="2126" t="n"/>
      <c r="L176" s="2126" t="n"/>
      <c r="M176" s="2126" t="n"/>
      <c r="N176" s="2126" t="n"/>
      <c r="O176" s="2126" t="n"/>
      <c r="P176" s="2126" t="n"/>
      <c r="Q176" s="2126" t="n"/>
      <c r="R176" s="2126" t="n"/>
      <c r="S176" s="2198" t="inlineStr">
        <is>
          <t xml:space="preserve">.   .   .   .   .   .   .   .   .   .   .   .   .   .   .   .   .   .   .   .   . </t>
        </is>
      </c>
      <c r="T176" s="6633" t="n">
        <v>16</v>
      </c>
      <c r="U176" s="7638" t="n"/>
      <c r="V176" s="8558" t="n"/>
      <c r="W176" s="11717" t="n"/>
      <c r="X176" s="11717" t="n"/>
      <c r="Y176" s="11717" t="n"/>
      <c r="Z176" s="11717" t="n"/>
      <c r="AA176" s="11717" t="n"/>
      <c r="AB176" s="11717" t="n"/>
      <c r="AC176" s="11718" t="n"/>
      <c r="AD176" s="12115" t="n"/>
      <c r="AE176" s="11717" t="n"/>
      <c r="AF176" s="11717" t="n"/>
      <c r="AG176" s="11717" t="n"/>
      <c r="AH176" s="11717" t="n"/>
      <c r="AI176" s="11718" t="n"/>
      <c r="AJ176" s="8559" t="n"/>
      <c r="AK176" s="11717" t="n"/>
      <c r="AL176" s="11717" t="n"/>
      <c r="AM176" s="11717" t="n"/>
      <c r="AN176" s="11717" t="n"/>
      <c r="AO176" s="11717" t="n"/>
      <c r="AP176" s="1277" t="n"/>
      <c r="BG176" s="769" t="n"/>
      <c r="BH176" s="658" t="n"/>
      <c r="BI176" s="658" t="n"/>
      <c r="BJ176" s="658" t="n"/>
      <c r="BK176" s="658" t="n"/>
      <c r="BL176" s="658" t="n"/>
      <c r="BM176" s="658" t="n"/>
      <c r="BN176" s="658" t="n"/>
      <c r="BO176" s="658" t="n"/>
      <c r="BP176" s="658" t="n"/>
    </row>
    <row r="177" ht="14.25" customHeight="1" s="7635">
      <c r="A177" s="1277" t="n"/>
      <c r="B177" s="8519" t="n">
        <v>17</v>
      </c>
      <c r="D177" s="2100" t="inlineStr">
        <is>
          <t>Utilities</t>
        </is>
      </c>
      <c r="E177" s="2126" t="n"/>
      <c r="F177" s="2126" t="n"/>
      <c r="G177" s="2126" t="n"/>
      <c r="H177" s="2126" t="n"/>
      <c r="I177" s="2126" t="n"/>
      <c r="J177" s="2126" t="n"/>
      <c r="K177" s="2126" t="n"/>
      <c r="L177" s="2126" t="n"/>
      <c r="M177" s="2126" t="n"/>
      <c r="N177" s="2126" t="n"/>
      <c r="O177" s="2126" t="n"/>
      <c r="P177" s="2126" t="n"/>
      <c r="Q177" s="2126" t="n"/>
      <c r="R177" s="2126" t="n"/>
      <c r="S177" s="2198" t="inlineStr">
        <is>
          <t xml:space="preserve">.   .   .   .   .   .   .   .   .   .   .   .   .   .   .   .   .   .   .   .   . </t>
        </is>
      </c>
      <c r="T177" s="6633" t="n">
        <v>17</v>
      </c>
      <c r="U177" s="7638" t="n"/>
      <c r="V177" s="8558" t="n"/>
      <c r="W177" s="11717" t="n"/>
      <c r="X177" s="11717" t="n"/>
      <c r="Y177" s="11717" t="n"/>
      <c r="Z177" s="11717" t="n"/>
      <c r="AA177" s="11717" t="n"/>
      <c r="AB177" s="11717" t="n"/>
      <c r="AC177" s="11718" t="n"/>
      <c r="AD177" s="12115" t="n"/>
      <c r="AE177" s="11717" t="n"/>
      <c r="AF177" s="11717" t="n"/>
      <c r="AG177" s="11717" t="n"/>
      <c r="AH177" s="11717" t="n"/>
      <c r="AI177" s="11718" t="n"/>
      <c r="AJ177" s="8559" t="n"/>
      <c r="AK177" s="11717" t="n"/>
      <c r="AL177" s="11717" t="n"/>
      <c r="AM177" s="11717" t="n"/>
      <c r="AN177" s="11717" t="n"/>
      <c r="AO177" s="11717" t="n"/>
      <c r="AP177" s="1277" t="n"/>
      <c r="AQ177" s="2875" t="n"/>
      <c r="AR177" s="2875" t="n"/>
      <c r="AS177" s="2875" t="n"/>
      <c r="AT177" s="2875" t="n"/>
      <c r="AU177" s="2875" t="n"/>
      <c r="BG177" s="769" t="n"/>
      <c r="BH177" s="658" t="n"/>
      <c r="BI177" s="658" t="n"/>
      <c r="BJ177" s="658" t="n"/>
      <c r="BK177" s="658" t="n"/>
      <c r="BL177" s="658" t="n"/>
      <c r="BM177" s="658" t="n"/>
      <c r="BN177" s="658" t="n"/>
      <c r="BO177" s="658" t="n"/>
      <c r="BP177" s="658" t="n"/>
    </row>
    <row r="178" ht="14.25" customHeight="1" s="7635">
      <c r="A178" s="1277" t="n"/>
      <c r="B178" s="8519" t="n">
        <v>18</v>
      </c>
      <c r="D178" s="2100" t="inlineStr">
        <is>
          <t>Depreciation expense or depletion</t>
        </is>
      </c>
      <c r="E178" s="2126" t="n"/>
      <c r="F178" s="2126" t="n"/>
      <c r="G178" s="2126" t="n"/>
      <c r="H178" s="2126" t="n"/>
      <c r="I178" s="2126" t="n"/>
      <c r="J178" s="2126" t="n"/>
      <c r="K178" s="2126" t="n"/>
      <c r="L178" s="2126" t="n"/>
      <c r="M178" s="2126" t="n"/>
      <c r="N178" s="2126" t="n"/>
      <c r="O178" s="2126" t="n"/>
      <c r="P178" s="2126" t="n"/>
      <c r="Q178" s="2126" t="n"/>
      <c r="R178" s="2126" t="n"/>
      <c r="S178" s="2198" t="inlineStr">
        <is>
          <t xml:space="preserve">.   .   .   .   .   .   .   .   . </t>
        </is>
      </c>
      <c r="T178" s="6633" t="n">
        <v>18</v>
      </c>
      <c r="U178" s="7638" t="n"/>
      <c r="V178" s="8558" t="n"/>
      <c r="W178" s="11717" t="n"/>
      <c r="X178" s="11717" t="n"/>
      <c r="Y178" s="11717" t="n"/>
      <c r="Z178" s="11717" t="n"/>
      <c r="AA178" s="11717" t="n"/>
      <c r="AB178" s="11717" t="n"/>
      <c r="AC178" s="11718" t="n"/>
      <c r="AD178" s="12115" t="n"/>
      <c r="AE178" s="11717" t="n"/>
      <c r="AF178" s="11717" t="n"/>
      <c r="AG178" s="11717" t="n"/>
      <c r="AH178" s="11717" t="n"/>
      <c r="AI178" s="11718" t="n"/>
      <c r="AJ178" s="8559" t="n"/>
      <c r="AK178" s="11717" t="n"/>
      <c r="AL178" s="11717" t="n"/>
      <c r="AM178" s="11717" t="n"/>
      <c r="AN178" s="11717" t="n"/>
      <c r="AO178" s="11717" t="n"/>
      <c r="AP178" s="1277" t="n"/>
      <c r="AQ178" s="2875" t="n"/>
      <c r="AR178" s="7642" t="inlineStr">
        <is>
          <t>Overrides</t>
        </is>
      </c>
      <c r="AU178" s="2875" t="n"/>
      <c r="BG178" s="769" t="n"/>
      <c r="BH178" s="658" t="n"/>
      <c r="BI178" s="658" t="n"/>
      <c r="BJ178" s="658" t="n"/>
      <c r="BK178" s="658" t="n"/>
      <c r="BL178" s="658" t="n"/>
      <c r="BM178" s="658" t="n"/>
      <c r="BN178" s="658" t="n"/>
      <c r="BO178" s="658" t="n"/>
      <c r="BP178" s="658" t="n"/>
    </row>
    <row r="179" ht="14.25" customHeight="1" s="7635">
      <c r="A179" s="1277" t="n"/>
      <c r="B179" s="8519" t="n">
        <v>19</v>
      </c>
      <c r="D179" s="2100" t="inlineStr">
        <is>
          <t>Other (list)</t>
        </is>
      </c>
      <c r="E179" s="2126" t="n"/>
      <c r="F179" s="2126" t="n"/>
      <c r="G179" s="2126" t="n"/>
      <c r="H179" s="8560" t="n"/>
      <c r="I179" s="11730" t="n"/>
      <c r="J179" s="11730" t="n"/>
      <c r="K179" s="11730" t="n"/>
      <c r="L179" s="11730" t="n"/>
      <c r="M179" s="11730" t="n"/>
      <c r="N179" s="11730" t="n"/>
      <c r="O179" s="11730" t="n"/>
      <c r="P179" s="11730" t="n"/>
      <c r="Q179" s="11730" t="n"/>
      <c r="R179" s="11730" t="n"/>
      <c r="S179" s="4800" t="n"/>
      <c r="T179" s="6633" t="n">
        <v>19</v>
      </c>
      <c r="U179" s="7638" t="n"/>
      <c r="V179" s="8558" t="n"/>
      <c r="W179" s="11717" t="n"/>
      <c r="X179" s="11717" t="n"/>
      <c r="Y179" s="11717" t="n"/>
      <c r="Z179" s="11717" t="n"/>
      <c r="AA179" s="11717" t="n"/>
      <c r="AB179" s="11717" t="n"/>
      <c r="AC179" s="11718" t="n"/>
      <c r="AD179" s="12115" t="n"/>
      <c r="AE179" s="11717" t="n"/>
      <c r="AF179" s="11717" t="n"/>
      <c r="AG179" s="11717" t="n"/>
      <c r="AH179" s="11717" t="n"/>
      <c r="AI179" s="11718" t="n"/>
      <c r="AJ179" s="8559" t="n"/>
      <c r="AK179" s="11717" t="n"/>
      <c r="AL179" s="11717" t="n"/>
      <c r="AM179" s="11717" t="n"/>
      <c r="AN179" s="11717" t="n"/>
      <c r="AO179" s="11717" t="n"/>
      <c r="AP179" s="1277" t="n"/>
      <c r="AQ179" s="2875" t="n"/>
      <c r="AR179" s="2875" t="n"/>
      <c r="AS179" s="2875" t="n"/>
      <c r="AT179" s="2875" t="n"/>
      <c r="AU179" s="2875" t="n"/>
      <c r="BG179" s="769" t="n"/>
      <c r="BH179" s="658" t="n"/>
      <c r="BI179" s="658" t="n"/>
      <c r="BJ179" s="658" t="n"/>
      <c r="BK179" s="658" t="n"/>
      <c r="BL179" s="658" t="n"/>
      <c r="BM179" s="658" t="n"/>
      <c r="BN179" s="658" t="n"/>
      <c r="BO179" s="658" t="n"/>
      <c r="BP179" s="658" t="n"/>
    </row>
    <row r="180" ht="14.25" customHeight="1" s="7635">
      <c r="A180" s="1277" t="n"/>
      <c r="B180" s="8519" t="n">
        <v>20</v>
      </c>
      <c r="D180" s="2100" t="inlineStr">
        <is>
          <t>Total expenses. Add lines 5 through 19</t>
        </is>
      </c>
      <c r="E180" s="2126" t="n"/>
      <c r="F180" s="2126" t="n"/>
      <c r="G180" s="2126" t="n"/>
      <c r="H180" s="2126" t="n"/>
      <c r="I180" s="2126" t="n"/>
      <c r="J180" s="2126" t="n"/>
      <c r="K180" s="2126" t="n"/>
      <c r="L180" s="2126" t="n"/>
      <c r="M180" s="2126" t="n"/>
      <c r="N180" s="2126" t="n"/>
      <c r="O180" s="2126" t="n"/>
      <c r="P180" s="2126" t="n"/>
      <c r="Q180" s="2126" t="n"/>
      <c r="R180" s="2126" t="n"/>
      <c r="S180" s="2198" t="inlineStr">
        <is>
          <t xml:space="preserve">.   .   .   .   .   .   . </t>
        </is>
      </c>
      <c r="T180" s="6633" t="n">
        <v>20</v>
      </c>
      <c r="U180" s="7638" t="n"/>
      <c r="V180" s="8535">
        <f>IF(AR180&lt;&gt;"",ROUND(AR180,0),ROUND(SUM(V165:AC179),0))</f>
        <v/>
      </c>
      <c r="W180" s="7637" t="n"/>
      <c r="X180" s="7637" t="n"/>
      <c r="Y180" s="7637" t="n"/>
      <c r="Z180" s="7637" t="n"/>
      <c r="AA180" s="7637" t="n"/>
      <c r="AB180" s="7637" t="n"/>
      <c r="AC180" s="7638" t="n"/>
      <c r="AD180" s="12116">
        <f>IF(AS180&lt;&gt;"",ROUND(AS180,0),ROUND(SUM(AD165:AI179),0))</f>
        <v/>
      </c>
      <c r="AE180" s="7637" t="n"/>
      <c r="AF180" s="7637" t="n"/>
      <c r="AG180" s="7637" t="n"/>
      <c r="AH180" s="7637" t="n"/>
      <c r="AI180" s="7638" t="n"/>
      <c r="AJ180" s="8551">
        <f>IF(AT180&lt;&gt;"",ROUND(AT180,0),ROUND(SUM(AJ165:AO179),0))</f>
        <v/>
      </c>
      <c r="AK180" s="8412" t="n"/>
      <c r="AL180" s="8412" t="n"/>
      <c r="AM180" s="8412" t="n"/>
      <c r="AN180" s="8412" t="n"/>
      <c r="AO180" s="8412" t="n"/>
      <c r="AP180" s="1277" t="n"/>
      <c r="AQ180" s="2875" t="n"/>
      <c r="AR180" s="777" t="n"/>
      <c r="AS180" s="777" t="n"/>
      <c r="AT180" s="777" t="n"/>
      <c r="AU180" s="2875" t="n"/>
      <c r="BG180" s="769" t="n"/>
      <c r="BH180" s="658" t="n"/>
      <c r="BI180" s="658" t="n"/>
      <c r="BJ180" s="658" t="n"/>
      <c r="BK180" s="658" t="n"/>
      <c r="BL180" s="658" t="n"/>
      <c r="BM180" s="658" t="n"/>
      <c r="BN180" s="658" t="n"/>
      <c r="BO180" s="658" t="n"/>
      <c r="BP180" s="658" t="n"/>
    </row>
    <row r="181" ht="14.25" customHeight="1" s="7635">
      <c r="A181" s="1277" t="n"/>
      <c r="B181" s="8519" t="n">
        <v>21</v>
      </c>
      <c r="D181" s="2100" t="inlineStr">
        <is>
          <t>Subtract line 20 from line 3 (rents) and/or 4 (royalties).</t>
        </is>
      </c>
      <c r="E181" s="2126" t="n"/>
      <c r="F181" s="2126" t="n"/>
      <c r="G181" s="2126" t="n"/>
      <c r="H181" s="2126" t="n"/>
      <c r="I181" s="2126" t="n"/>
      <c r="J181" s="2126" t="n"/>
      <c r="K181" s="2126" t="n"/>
      <c r="L181" s="2126" t="n"/>
      <c r="M181" s="2126" t="n"/>
      <c r="N181" s="2126" t="n"/>
      <c r="O181" s="2126" t="n"/>
      <c r="P181" s="2126" t="n"/>
      <c r="Q181" s="2126" t="n"/>
      <c r="R181" s="2126" t="n"/>
      <c r="S181" s="4800" t="n"/>
      <c r="T181" s="6643" t="n"/>
      <c r="U181" s="10091" t="n"/>
      <c r="V181" s="12117" t="n"/>
      <c r="W181" s="7839" t="n"/>
      <c r="X181" s="7839" t="n"/>
      <c r="Y181" s="7839" t="n"/>
      <c r="Z181" s="7839" t="n"/>
      <c r="AA181" s="7839" t="n"/>
      <c r="AB181" s="7839" t="n"/>
      <c r="AC181" s="10091" t="n"/>
      <c r="AD181" s="12117" t="n"/>
      <c r="AE181" s="7839" t="n"/>
      <c r="AF181" s="7839" t="n"/>
      <c r="AG181" s="7839" t="n"/>
      <c r="AH181" s="7839" t="n"/>
      <c r="AI181" s="10091" t="n"/>
      <c r="AJ181" s="8554" t="n"/>
      <c r="AK181" s="7839" t="n"/>
      <c r="AL181" s="7839" t="n"/>
      <c r="AM181" s="7839" t="n"/>
      <c r="AN181" s="7839" t="n"/>
      <c r="AO181" s="7839" t="n"/>
      <c r="AP181" s="1277" t="n"/>
      <c r="AQ181" s="2875" t="n"/>
      <c r="AR181" s="2875" t="n"/>
      <c r="AS181" s="2875" t="n"/>
      <c r="AT181" s="2875" t="n"/>
      <c r="AU181" s="2875" t="n"/>
      <c r="AX181" s="8043" t="n"/>
      <c r="AY181" s="12118" t="inlineStr">
        <is>
          <t>A</t>
        </is>
      </c>
      <c r="AZ181" s="11734" t="n"/>
      <c r="BA181" s="12118" t="inlineStr">
        <is>
          <t>B</t>
        </is>
      </c>
      <c r="BB181" s="11734" t="n"/>
      <c r="BC181" s="12118" t="inlineStr">
        <is>
          <t>C</t>
        </is>
      </c>
      <c r="BD181" s="11734" t="n"/>
      <c r="BG181" s="769" t="n"/>
      <c r="BH181" s="658" t="n"/>
      <c r="BI181" s="658" t="n"/>
      <c r="BJ181" s="658" t="n"/>
      <c r="BK181" s="658" t="n"/>
      <c r="BL181" s="658" t="n"/>
      <c r="BM181" s="658" t="n"/>
      <c r="BN181" s="658" t="n"/>
      <c r="BO181" s="658" t="n"/>
      <c r="BP181" s="658" t="n"/>
    </row>
    <row r="182" ht="14.25" customHeight="1" s="7635">
      <c r="A182" s="1277" t="n"/>
      <c r="B182" s="8519" t="n"/>
      <c r="D182" s="2100" t="inlineStr">
        <is>
          <t>If result is a (loss), see instructions to find out if you</t>
        </is>
      </c>
      <c r="E182" s="2126" t="n"/>
      <c r="F182" s="2126" t="n"/>
      <c r="G182" s="2126" t="n"/>
      <c r="H182" s="2126" t="n"/>
      <c r="I182" s="2126" t="n"/>
      <c r="J182" s="2126" t="n"/>
      <c r="K182" s="2126" t="n"/>
      <c r="L182" s="2126" t="n"/>
      <c r="M182" s="2126" t="n"/>
      <c r="N182" s="2126" t="n"/>
      <c r="O182" s="2126" t="n"/>
      <c r="P182" s="2126" t="n"/>
      <c r="Q182" s="2126" t="n"/>
      <c r="R182" s="2126" t="n"/>
      <c r="S182" s="4800" t="n"/>
      <c r="T182" s="6656" t="n"/>
      <c r="U182" s="7636" t="n"/>
      <c r="V182" s="12119" t="n"/>
      <c r="AC182" s="7636" t="n"/>
      <c r="AD182" s="12119" t="n"/>
      <c r="AI182" s="7636" t="n"/>
      <c r="AJ182" s="8548" t="n"/>
      <c r="AP182" s="1277" t="n"/>
      <c r="AQ182" s="2875" t="n"/>
      <c r="AR182" s="2875" t="n"/>
      <c r="AS182" s="2875" t="n"/>
      <c r="AT182" s="2875" t="n"/>
      <c r="AU182" s="2875" t="n"/>
      <c r="AX182" s="8043" t="n"/>
      <c r="AY182" s="250" t="inlineStr">
        <is>
          <t>Gains</t>
        </is>
      </c>
      <c r="AZ182" s="250" t="inlineStr">
        <is>
          <t>Losses</t>
        </is>
      </c>
      <c r="BA182" s="250" t="inlineStr">
        <is>
          <t>Gains</t>
        </is>
      </c>
      <c r="BB182" s="250" t="inlineStr">
        <is>
          <t>Losses</t>
        </is>
      </c>
      <c r="BC182" s="250" t="inlineStr">
        <is>
          <t>Gains</t>
        </is>
      </c>
      <c r="BD182" s="250" t="inlineStr">
        <is>
          <t>Losses</t>
        </is>
      </c>
      <c r="BG182" s="769" t="n"/>
      <c r="BH182" s="658" t="n"/>
      <c r="BI182" s="658" t="n"/>
      <c r="BJ182" s="658" t="n"/>
      <c r="BK182" s="658" t="n"/>
      <c r="BL182" s="658" t="n"/>
      <c r="BM182" s="658" t="n"/>
      <c r="BN182" s="658" t="n"/>
      <c r="BO182" s="658" t="n"/>
      <c r="BP182" s="658" t="n"/>
    </row>
    <row r="183" ht="14.25" customHeight="1" s="7635">
      <c r="A183" s="1277" t="n"/>
      <c r="B183" s="8519" t="n"/>
      <c r="D183" s="2100" t="inlineStr">
        <is>
          <t>must file Form 6198</t>
        </is>
      </c>
      <c r="E183" s="2126" t="n"/>
      <c r="F183" s="2126" t="n"/>
      <c r="G183" s="2126" t="n"/>
      <c r="H183" s="2126" t="n"/>
      <c r="I183" s="2126" t="n"/>
      <c r="J183" s="2126" t="n"/>
      <c r="K183" s="2126" t="n"/>
      <c r="L183" s="2126" t="n"/>
      <c r="M183" s="2126" t="n"/>
      <c r="N183" s="2126" t="n"/>
      <c r="O183" s="2126" t="n"/>
      <c r="P183" s="2126" t="n"/>
      <c r="Q183" s="2126" t="n"/>
      <c r="R183" s="2126" t="n"/>
      <c r="S183" s="2198" t="inlineStr">
        <is>
          <t xml:space="preserve">.   .   .   .   .   .   .   .   .   .   .   .   .   .   . </t>
        </is>
      </c>
      <c r="T183" s="6633" t="n">
        <v>21</v>
      </c>
      <c r="U183" s="7638" t="n"/>
      <c r="V183" s="12116">
        <f>IF(AR183&lt;&gt;"",ROUND(AR183,0),ROUND(SUM(V162,V163,-V180),0))</f>
        <v/>
      </c>
      <c r="W183" s="7637" t="n"/>
      <c r="X183" s="7637" t="n"/>
      <c r="Y183" s="7637" t="n"/>
      <c r="Z183" s="7637" t="n"/>
      <c r="AA183" s="7637" t="n"/>
      <c r="AB183" s="7637" t="n"/>
      <c r="AC183" s="7638" t="n"/>
      <c r="AD183" s="12116">
        <f>IF(AS183&lt;&gt;"",ROUND(AS183,0),ROUND(SUM(AD162,AD163,-AD180),0))</f>
        <v/>
      </c>
      <c r="AE183" s="7637" t="n"/>
      <c r="AF183" s="7637" t="n"/>
      <c r="AG183" s="7637" t="n"/>
      <c r="AH183" s="7637" t="n"/>
      <c r="AI183" s="7638" t="n"/>
      <c r="AJ183" s="8533">
        <f>IF(AT183&lt;&gt;"",ROUND(AT183,0),ROUND(SUM(AJ162,AJ163,-AJ180),0))</f>
        <v/>
      </c>
      <c r="AK183" s="7637" t="n"/>
      <c r="AL183" s="7637" t="n"/>
      <c r="AM183" s="7637" t="n"/>
      <c r="AN183" s="7637" t="n"/>
      <c r="AO183" s="7637" t="n"/>
      <c r="AP183" s="1277" t="n"/>
      <c r="AQ183" s="2875" t="n"/>
      <c r="AR183" s="777" t="n"/>
      <c r="AS183" s="777" t="n"/>
      <c r="AT183" s="777" t="n"/>
      <c r="AU183" s="2875" t="n"/>
      <c r="AX183" s="251" t="inlineStr">
        <is>
          <t>Line 21</t>
        </is>
      </c>
      <c r="AY183" s="249">
        <f>IF(V183&gt;0,V183,0)</f>
        <v/>
      </c>
      <c r="AZ183" s="249">
        <f>IF(V183&lt;0,V183,0)</f>
        <v/>
      </c>
      <c r="BA183" s="249">
        <f>IF(AD183&gt;0,AD183,0)</f>
        <v/>
      </c>
      <c r="BB183" s="249">
        <f>IF(AD183&lt;0,AD183,0)</f>
        <v/>
      </c>
      <c r="BC183" s="249">
        <f>IF(AJ183&gt;0,AJ183,0)</f>
        <v/>
      </c>
      <c r="BD183" s="249">
        <f>IF(AJ183&lt;0,AJ183,0)</f>
        <v/>
      </c>
      <c r="BG183" s="769" t="n"/>
      <c r="BH183" s="658" t="n"/>
      <c r="BI183" s="658" t="n"/>
      <c r="BJ183" s="658" t="n"/>
      <c r="BK183" s="658" t="n"/>
      <c r="BL183" s="658" t="n"/>
      <c r="BM183" s="658" t="n"/>
      <c r="BN183" s="658" t="n"/>
      <c r="BO183" s="658" t="n"/>
      <c r="BP183" s="658" t="n"/>
    </row>
    <row r="184" ht="14.25" customHeight="1" s="7635">
      <c r="A184" s="770" t="n"/>
      <c r="B184" s="8519" t="n">
        <v>22</v>
      </c>
      <c r="D184" s="2100" t="inlineStr">
        <is>
          <t>Deductible rental real estate loss after limitation, if any,</t>
        </is>
      </c>
      <c r="E184" s="2126" t="n"/>
      <c r="F184" s="2126" t="n"/>
      <c r="G184" s="2126" t="n"/>
      <c r="H184" s="2126" t="n"/>
      <c r="I184" s="2126" t="n"/>
      <c r="J184" s="2126" t="n"/>
      <c r="K184" s="2126" t="n"/>
      <c r="L184" s="2126" t="n"/>
      <c r="M184" s="2126" t="n"/>
      <c r="N184" s="2126" t="n"/>
      <c r="O184" s="2126" t="n"/>
      <c r="P184" s="2126" t="n"/>
      <c r="Q184" s="2126" t="n"/>
      <c r="R184" s="2126" t="n"/>
      <c r="S184" s="4800" t="n"/>
      <c r="T184" s="6656" t="n"/>
      <c r="U184" s="7636" t="n"/>
      <c r="V184" s="12120">
        <f>IF(AND(V183&lt;&gt;"",V183&lt;0,$A184="",$AS184,$AT184),"See Form 8582.","")</f>
        <v/>
      </c>
      <c r="AC184" s="7636" t="n"/>
      <c r="AD184" s="8542">
        <f>IF(AND(AD183&lt;&gt;"",AD183&lt;0,$A184="",$AS184,$AT184),"See Form 8582.","")</f>
        <v/>
      </c>
      <c r="AJ184" s="8542">
        <f>IF(AND(AJ183&lt;&gt;"",AJ183&lt;0,$A184="",$AS184,$AT184),"See Form 8582.","")</f>
        <v/>
      </c>
      <c r="AP184" s="1277" t="n"/>
      <c r="AQ184" s="2875" t="n"/>
      <c r="AR184" s="6549">
        <f>'8582'!$AO$33</f>
        <v/>
      </c>
      <c r="AS184" s="6549">
        <f>OR(AND(File_Marr_Sep&lt;&gt;"",LivedApart,Adj_Gross_Inc&gt;AR184/2),Adj_Gross_Inc&gt;AR184)</f>
        <v/>
      </c>
      <c r="AT184" s="6549">
        <f>OR(AND(V183&lt;&gt;"",V183&lt;0),AND(AD183&lt;&gt;"",AD183&lt;0),AND(AJ183&lt;&gt;"",AJ183&lt;0))</f>
        <v/>
      </c>
      <c r="AU184" s="2875" t="n"/>
      <c r="AV184">
        <f>AND($A184="",$AS184,$AT184)</f>
        <v/>
      </c>
      <c r="AX184" s="251" t="inlineStr">
        <is>
          <t>Line 22</t>
        </is>
      </c>
      <c r="AY184" s="4810" t="inlineStr">
        <is>
          <t>---</t>
        </is>
      </c>
      <c r="AZ184" s="249">
        <f>IF(W185&lt;&gt;"",-W185,0)</f>
        <v/>
      </c>
      <c r="BA184" s="4810" t="inlineStr">
        <is>
          <t>---</t>
        </is>
      </c>
      <c r="BB184" s="249">
        <f>IF(AE185&lt;&gt;"",-AE185,0)</f>
        <v/>
      </c>
      <c r="BC184" s="4810" t="inlineStr">
        <is>
          <t>---</t>
        </is>
      </c>
      <c r="BD184" s="249">
        <f>IF(AK185&lt;&gt;"",-AK185,0)</f>
        <v/>
      </c>
      <c r="BG184" s="769" t="n"/>
      <c r="BH184" s="658" t="n"/>
      <c r="BI184" s="658" t="n"/>
      <c r="BJ184" s="658" t="n"/>
      <c r="BK184" s="658" t="n"/>
      <c r="BL184" s="658" t="n"/>
      <c r="BM184" s="658" t="n"/>
      <c r="BN184" s="658" t="n"/>
      <c r="BO184" s="658" t="n"/>
      <c r="BP184" s="658" t="n"/>
    </row>
    <row r="185" ht="14.25" customHeight="1" s="7635">
      <c r="A185" s="1277" t="n"/>
      <c r="B185" s="8519" t="n"/>
      <c r="D185" s="2100" t="inlineStr">
        <is>
          <t>on Form 8582 (see instructions)</t>
        </is>
      </c>
      <c r="E185" s="2126" t="n"/>
      <c r="F185" s="2126" t="n"/>
      <c r="G185" s="2126" t="n"/>
      <c r="H185" s="2126" t="n"/>
      <c r="I185" s="2126" t="n"/>
      <c r="J185" s="2126" t="n"/>
      <c r="K185" s="2126" t="n"/>
      <c r="L185" s="2126" t="n"/>
      <c r="M185" s="2126" t="n"/>
      <c r="N185" s="2126" t="n"/>
      <c r="O185" s="2126" t="n"/>
      <c r="P185" s="2126" t="n"/>
      <c r="Q185" s="2126" t="n"/>
      <c r="R185" s="2126" t="n"/>
      <c r="S185" s="2198" t="inlineStr">
        <is>
          <t xml:space="preserve">.   .   .   .   .   .   .   .   . </t>
        </is>
      </c>
      <c r="T185" s="6633" t="n">
        <v>22</v>
      </c>
      <c r="U185" s="7638" t="n"/>
      <c r="V185" s="4811" t="inlineStr">
        <is>
          <t>(</t>
        </is>
      </c>
      <c r="W185" s="8534">
        <f>IF(AND(AR185&lt;0,AR185&lt;&gt;""),-ROUND(AR185,0),IF(AND(AR185&gt;=0,AR185&lt;&gt;""),ROUND(AR185,0),IF(AND(D153&lt;&gt;6,V183&lt;0),ROUND(-V183,0),"")))</f>
        <v/>
      </c>
      <c r="X185" s="7637" t="n"/>
      <c r="Y185" s="7637" t="n"/>
      <c r="Z185" s="7637" t="n"/>
      <c r="AA185" s="7637" t="n"/>
      <c r="AB185" s="7637" t="n"/>
      <c r="AC185" s="8535" t="inlineStr">
        <is>
          <t>)</t>
        </is>
      </c>
      <c r="AD185" s="4811" t="inlineStr">
        <is>
          <t>(</t>
        </is>
      </c>
      <c r="AE185" s="8534">
        <f>IF(AND(AS185&lt;0,AS185&lt;&gt;""),-ROUND(AS185,0),IF(AND(AS185&gt;=0,AS185&lt;&gt;""),ROUND(AS185,0),IF(AND(D154&lt;&gt;6,AD183&lt;0),ROUND(-AD183,0),"")))</f>
        <v/>
      </c>
      <c r="AF185" s="7637" t="n"/>
      <c r="AG185" s="7637" t="n"/>
      <c r="AH185" s="7637" t="n"/>
      <c r="AI185" s="8535" t="inlineStr">
        <is>
          <t>)</t>
        </is>
      </c>
      <c r="AJ185" s="4811" t="inlineStr">
        <is>
          <t>(</t>
        </is>
      </c>
      <c r="AK185" s="8534">
        <f>IF(AND(AT185&lt;0,AT185&lt;&gt;""),-ROUND(AT185,0),IF(AND(AT185&gt;=0,AT185&lt;&gt;""),ROUND(AT185,0),IF(AND(D155&lt;&gt;6,AJ183&lt;0),ROUND(-AJ183,0),"")))</f>
        <v/>
      </c>
      <c r="AL185" s="7637" t="n"/>
      <c r="AM185" s="7637" t="n"/>
      <c r="AN185" s="7637" t="n"/>
      <c r="AO185" s="8534" t="inlineStr">
        <is>
          <t>)</t>
        </is>
      </c>
      <c r="AP185" s="1277" t="n"/>
      <c r="AQ185" s="2875" t="n"/>
      <c r="AR185" s="777" t="n"/>
      <c r="AS185" s="777" t="n"/>
      <c r="AT185" s="777" t="n"/>
      <c r="AU185" s="2875" t="n"/>
      <c r="AV185">
        <f>AND($A184="",$AS184,$AT184)</f>
        <v/>
      </c>
      <c r="AX185" s="251" t="n"/>
      <c r="AY185" s="251" t="inlineStr">
        <is>
          <t>Royalty losses</t>
        </is>
      </c>
      <c r="AZ185" s="249">
        <f>IF(D153=6,AZ183,0)</f>
        <v/>
      </c>
      <c r="BB185" s="249">
        <f>IF(D154=6,BB183,0)</f>
        <v/>
      </c>
      <c r="BD185" s="249">
        <f>IF(D155=6,BD183,0)</f>
        <v/>
      </c>
      <c r="BG185" s="769" t="n"/>
      <c r="BH185" s="658" t="n"/>
      <c r="BI185" s="658" t="n"/>
      <c r="BJ185" s="658" t="n"/>
      <c r="BK185" s="658" t="n"/>
      <c r="BL185" s="658" t="n"/>
      <c r="BM185" s="658" t="n"/>
      <c r="BN185" s="658" t="n"/>
      <c r="BO185" s="658" t="n"/>
      <c r="BP185" s="658" t="n"/>
    </row>
    <row r="186" ht="14.25" customHeight="1" s="7635">
      <c r="A186" s="1277" t="n"/>
      <c r="B186" s="8519" t="inlineStr">
        <is>
          <t>23a</t>
        </is>
      </c>
      <c r="D186" s="2100" t="inlineStr">
        <is>
          <t>Total of all amounts reported on line 3 for all rental properties</t>
        </is>
      </c>
      <c r="E186" s="2126" t="n"/>
      <c r="F186" s="2126" t="n"/>
      <c r="G186" s="2126" t="n"/>
      <c r="H186" s="2126" t="n"/>
      <c r="I186" s="2126" t="n"/>
      <c r="J186" s="2126" t="n"/>
      <c r="K186" s="2126" t="n"/>
      <c r="L186" s="2126" t="n"/>
      <c r="M186" s="2126" t="n"/>
      <c r="N186" s="2126" t="n"/>
      <c r="O186" s="2126" t="n"/>
      <c r="P186" s="2126" t="n"/>
      <c r="Q186" s="2126" t="n"/>
      <c r="R186" s="2126" t="n"/>
      <c r="S186" s="2126" t="n"/>
      <c r="T186" s="2126" t="n"/>
      <c r="U186" s="2126" t="n"/>
      <c r="V186" s="2126" t="n"/>
      <c r="W186" s="2126" t="n"/>
      <c r="X186" s="2126" t="n"/>
      <c r="Y186" s="2126" t="n"/>
      <c r="Z186" s="2126" t="n"/>
      <c r="AA186" s="2198" t="inlineStr">
        <is>
          <t xml:space="preserve">.   .   .   .   .   .   .   . </t>
        </is>
      </c>
      <c r="AB186" s="6634" t="inlineStr">
        <is>
          <t>23a</t>
        </is>
      </c>
      <c r="AC186" s="11734" t="n"/>
      <c r="AD186" s="12116">
        <f>IF(AR186&lt;&gt;"",ROUND(AR186,0),ROUND(BC156,0))</f>
        <v/>
      </c>
      <c r="AE186" s="7637" t="n"/>
      <c r="AF186" s="7637" t="n"/>
      <c r="AG186" s="7637" t="n"/>
      <c r="AH186" s="7637" t="n"/>
      <c r="AI186" s="7638" t="n"/>
      <c r="AJ186" s="1277" t="n"/>
      <c r="AK186" s="1277" t="n"/>
      <c r="AL186" s="1277" t="n"/>
      <c r="AM186" s="1277" t="n"/>
      <c r="AN186" s="1277" t="n"/>
      <c r="AO186" s="1277" t="n"/>
      <c r="AP186" s="1277" t="n"/>
      <c r="AQ186" s="2875" t="n"/>
      <c r="AR186" s="777" t="n"/>
      <c r="AS186" s="2875" t="n"/>
      <c r="AT186" s="2875" t="n"/>
      <c r="AU186" s="2875" t="n"/>
      <c r="AX186" s="8043" t="n"/>
      <c r="AY186" s="251" t="inlineStr">
        <is>
          <t>Rental Real Estate Losses</t>
        </is>
      </c>
      <c r="AZ186" s="249">
        <f>IF(D153&lt;&gt;6,AZ183,0)</f>
        <v/>
      </c>
      <c r="BB186" s="249">
        <f>IF(D154&lt;&gt;6,BB183,0)</f>
        <v/>
      </c>
      <c r="BD186" s="249">
        <f>IF(D155&lt;&gt;6,BD183,0)</f>
        <v/>
      </c>
      <c r="BG186" s="769" t="n"/>
      <c r="BH186" s="658" t="n"/>
      <c r="BI186" s="658" t="n"/>
      <c r="BJ186" s="658" t="n"/>
      <c r="BK186" s="658" t="n"/>
      <c r="BL186" s="658" t="n"/>
      <c r="BM186" s="658" t="n"/>
      <c r="BN186" s="658" t="n"/>
      <c r="BO186" s="658" t="n"/>
      <c r="BP186" s="658" t="n"/>
    </row>
    <row r="187" ht="14.25" customHeight="1" s="7635">
      <c r="A187" s="1277" t="n"/>
      <c r="B187" s="8531" t="inlineStr">
        <is>
          <t>b</t>
        </is>
      </c>
      <c r="D187" s="2100" t="inlineStr">
        <is>
          <t>Total of all amounts reported on line 4 for all royalty properties</t>
        </is>
      </c>
      <c r="E187" s="2126" t="n"/>
      <c r="F187" s="2126" t="n"/>
      <c r="G187" s="2126" t="n"/>
      <c r="H187" s="2126" t="n"/>
      <c r="I187" s="2126" t="n"/>
      <c r="J187" s="2126" t="n"/>
      <c r="K187" s="2126" t="n"/>
      <c r="L187" s="2126" t="n"/>
      <c r="M187" s="2126" t="n"/>
      <c r="N187" s="2126" t="n"/>
      <c r="O187" s="2126" t="n"/>
      <c r="P187" s="2126" t="n"/>
      <c r="Q187" s="2126" t="n"/>
      <c r="R187" s="2126" t="n"/>
      <c r="S187" s="2126" t="n"/>
      <c r="T187" s="2126" t="n"/>
      <c r="U187" s="2126" t="n"/>
      <c r="V187" s="2126" t="n"/>
      <c r="W187" s="2126" t="n"/>
      <c r="X187" s="2126" t="n"/>
      <c r="Y187" s="2126" t="n"/>
      <c r="Z187" s="2126" t="n"/>
      <c r="AA187" s="2198" t="inlineStr">
        <is>
          <t xml:space="preserve">.   .   .   .   .   .   . </t>
        </is>
      </c>
      <c r="AB187" s="6634" t="inlineStr">
        <is>
          <t>23b</t>
        </is>
      </c>
      <c r="AC187" s="11734" t="n"/>
      <c r="AD187" s="12116">
        <f>IF(AR187&lt;&gt;"",ROUND(AR187,0),ROUND(BC157,0))</f>
        <v/>
      </c>
      <c r="AE187" s="7637" t="n"/>
      <c r="AF187" s="7637" t="n"/>
      <c r="AG187" s="7637" t="n"/>
      <c r="AH187" s="7637" t="n"/>
      <c r="AI187" s="7638" t="n"/>
      <c r="AJ187" s="1277" t="n"/>
      <c r="AK187" s="1277" t="n"/>
      <c r="AL187" s="1277" t="n"/>
      <c r="AM187" s="1277" t="n"/>
      <c r="AN187" s="1277" t="n"/>
      <c r="AO187" s="1277" t="n"/>
      <c r="AP187" s="1277" t="n"/>
      <c r="AQ187" s="2875" t="n"/>
      <c r="AR187" s="777" t="n"/>
      <c r="AS187" s="2875" t="n"/>
      <c r="AT187" s="2875" t="n"/>
      <c r="AU187" s="2875" t="n"/>
      <c r="BG187" s="769" t="n"/>
      <c r="BH187" s="658" t="n"/>
      <c r="BI187" s="658" t="n"/>
      <c r="BJ187" s="658" t="n"/>
      <c r="BK187" s="658" t="n"/>
      <c r="BL187" s="658" t="n"/>
      <c r="BM187" s="658" t="n"/>
      <c r="BN187" s="658" t="n"/>
      <c r="BO187" s="658" t="n"/>
      <c r="BP187" s="658" t="n"/>
    </row>
    <row r="188" ht="14.25" customHeight="1" s="7635">
      <c r="A188" s="1277" t="n"/>
      <c r="B188" s="8531" t="inlineStr">
        <is>
          <t>c</t>
        </is>
      </c>
      <c r="D188" s="2100" t="inlineStr">
        <is>
          <t>Total of all amounts reported on line 12 for all properties</t>
        </is>
      </c>
      <c r="E188" s="2126" t="n"/>
      <c r="F188" s="2126" t="n"/>
      <c r="G188" s="2126" t="n"/>
      <c r="H188" s="2126" t="n"/>
      <c r="I188" s="2126" t="n"/>
      <c r="J188" s="2126" t="n"/>
      <c r="K188" s="2126" t="n"/>
      <c r="L188" s="2126" t="n"/>
      <c r="M188" s="2126" t="n"/>
      <c r="N188" s="2126" t="n"/>
      <c r="O188" s="2126" t="n"/>
      <c r="P188" s="2126" t="n"/>
      <c r="Q188" s="2126" t="n"/>
      <c r="R188" s="2126" t="n"/>
      <c r="S188" s="2126" t="n"/>
      <c r="T188" s="2126" t="n"/>
      <c r="U188" s="2126" t="n"/>
      <c r="V188" s="2126" t="n"/>
      <c r="W188" s="2126" t="n"/>
      <c r="X188" s="2126" t="n"/>
      <c r="Y188" s="2126" t="n"/>
      <c r="Z188" s="2126" t="n"/>
      <c r="AA188" s="2198" t="inlineStr">
        <is>
          <t xml:space="preserve">.   .   .   .   .   .   .   .   .   . </t>
        </is>
      </c>
      <c r="AB188" s="6634" t="inlineStr">
        <is>
          <t>23c</t>
        </is>
      </c>
      <c r="AC188" s="11734" t="n"/>
      <c r="AD188" s="12116">
        <f>IF(AR188&lt;&gt;"",ROUND(AR188,0),ROUND(SUM(V172,AD172,AJ172),0))</f>
        <v/>
      </c>
      <c r="AE188" s="7637" t="n"/>
      <c r="AF188" s="7637" t="n"/>
      <c r="AG188" s="7637" t="n"/>
      <c r="AH188" s="7637" t="n"/>
      <c r="AI188" s="7638" t="n"/>
      <c r="AJ188" s="1277" t="n"/>
      <c r="AK188" s="1277" t="n"/>
      <c r="AL188" s="1277" t="n"/>
      <c r="AM188" s="1277" t="n"/>
      <c r="AN188" s="1277" t="n"/>
      <c r="AO188" s="1277" t="n"/>
      <c r="AP188" s="1277" t="n"/>
      <c r="AQ188" s="2875" t="n"/>
      <c r="AR188" s="777" t="n"/>
      <c r="AS188" s="2875" t="n"/>
      <c r="AT188" s="2875" t="n"/>
      <c r="AU188" s="2875" t="n"/>
      <c r="BG188" s="769" t="n"/>
      <c r="BH188" s="658" t="n"/>
      <c r="BI188" s="658" t="n"/>
      <c r="BJ188" s="658" t="n"/>
      <c r="BK188" s="658" t="n"/>
      <c r="BL188" s="658" t="n"/>
      <c r="BM188" s="658" t="n"/>
      <c r="BN188" s="658" t="n"/>
      <c r="BO188" s="658" t="n"/>
      <c r="BP188" s="658" t="n"/>
    </row>
    <row r="189" ht="14.25" customHeight="1" s="7635">
      <c r="A189" s="1277" t="n"/>
      <c r="B189" s="8531" t="inlineStr">
        <is>
          <t>d</t>
        </is>
      </c>
      <c r="D189" s="2100" t="inlineStr">
        <is>
          <t>Total of all amounts reported on line 18 for all properties</t>
        </is>
      </c>
      <c r="E189" s="2126" t="n"/>
      <c r="F189" s="2126" t="n"/>
      <c r="G189" s="2126" t="n"/>
      <c r="H189" s="2126" t="n"/>
      <c r="I189" s="2126" t="n"/>
      <c r="J189" s="2126" t="n"/>
      <c r="K189" s="2126" t="n"/>
      <c r="L189" s="2126" t="n"/>
      <c r="M189" s="2126" t="n"/>
      <c r="N189" s="2126" t="n"/>
      <c r="O189" s="2126" t="n"/>
      <c r="P189" s="2126" t="n"/>
      <c r="Q189" s="2126" t="n"/>
      <c r="R189" s="2126" t="n"/>
      <c r="S189" s="2126" t="n"/>
      <c r="T189" s="2126" t="n"/>
      <c r="U189" s="2126" t="n"/>
      <c r="V189" s="2126" t="n"/>
      <c r="W189" s="2126" t="n"/>
      <c r="X189" s="2126" t="n"/>
      <c r="Y189" s="2126" t="n"/>
      <c r="Z189" s="2126" t="n"/>
      <c r="AA189" s="2198" t="inlineStr">
        <is>
          <t xml:space="preserve">.   .   .   .   .   .   .   .   .   . </t>
        </is>
      </c>
      <c r="AB189" s="6634" t="inlineStr">
        <is>
          <t>23d</t>
        </is>
      </c>
      <c r="AC189" s="11734" t="n"/>
      <c r="AD189" s="12116">
        <f>IF(AR189&lt;&gt;"",ROUND(AR189,0),ROUND(SUM(V178,AD178,AJ178),0))</f>
        <v/>
      </c>
      <c r="AE189" s="7637" t="n"/>
      <c r="AF189" s="7637" t="n"/>
      <c r="AG189" s="7637" t="n"/>
      <c r="AH189" s="7637" t="n"/>
      <c r="AI189" s="7638" t="n"/>
      <c r="AJ189" s="1277" t="n"/>
      <c r="AK189" s="1277" t="n"/>
      <c r="AL189" s="1277" t="n"/>
      <c r="AM189" s="1277" t="n"/>
      <c r="AN189" s="1277" t="n"/>
      <c r="AO189" s="1277" t="n"/>
      <c r="AP189" s="1277" t="n"/>
      <c r="AQ189" s="2875" t="n"/>
      <c r="AR189" s="777" t="n"/>
      <c r="AS189" s="2875" t="n"/>
      <c r="AT189" s="2875" t="n"/>
      <c r="AU189" s="2875" t="n"/>
      <c r="BG189" s="769" t="n"/>
      <c r="BH189" s="658" t="n"/>
      <c r="BI189" s="658" t="n"/>
      <c r="BJ189" s="658" t="n"/>
      <c r="BK189" s="658" t="n"/>
      <c r="BL189" s="658" t="n"/>
      <c r="BM189" s="658" t="n"/>
      <c r="BN189" s="658" t="n"/>
      <c r="BO189" s="658" t="n"/>
      <c r="BP189" s="658" t="n"/>
    </row>
    <row r="190" ht="14.25" customHeight="1" s="7635">
      <c r="A190" s="1277" t="n"/>
      <c r="B190" s="8531" t="inlineStr">
        <is>
          <t>e</t>
        </is>
      </c>
      <c r="D190" s="2100" t="inlineStr">
        <is>
          <t>Total of all amounts reported on line 20 for all properties</t>
        </is>
      </c>
      <c r="E190" s="2126" t="n"/>
      <c r="F190" s="2126" t="n"/>
      <c r="G190" s="2126" t="n"/>
      <c r="H190" s="2126" t="n"/>
      <c r="I190" s="2126" t="n"/>
      <c r="J190" s="2126" t="n"/>
      <c r="K190" s="2126" t="n"/>
      <c r="L190" s="2126" t="n"/>
      <c r="M190" s="2126" t="n"/>
      <c r="N190" s="2126" t="n"/>
      <c r="O190" s="2126" t="n"/>
      <c r="P190" s="2126" t="n"/>
      <c r="Q190" s="2126" t="n"/>
      <c r="R190" s="2126" t="n"/>
      <c r="S190" s="2126" t="n"/>
      <c r="T190" s="2126" t="n"/>
      <c r="U190" s="2126" t="n"/>
      <c r="V190" s="2126" t="n"/>
      <c r="W190" s="2126" t="n"/>
      <c r="X190" s="2126" t="n"/>
      <c r="Y190" s="2126" t="n"/>
      <c r="Z190" s="2126" t="n"/>
      <c r="AA190" s="2198" t="inlineStr">
        <is>
          <t xml:space="preserve">.   .   .   .   .   .   .   .   .   . </t>
        </is>
      </c>
      <c r="AB190" s="6634" t="inlineStr">
        <is>
          <t>23e</t>
        </is>
      </c>
      <c r="AC190" s="11734" t="n"/>
      <c r="AD190" s="12116">
        <f>IF(AR190&lt;&gt;"",ROUND(AR190,0),ROUND(SUM(V180,AD180,AJ180),0))</f>
        <v/>
      </c>
      <c r="AE190" s="7637" t="n"/>
      <c r="AF190" s="7637" t="n"/>
      <c r="AG190" s="7637" t="n"/>
      <c r="AH190" s="7637" t="n"/>
      <c r="AI190" s="7638" t="n"/>
      <c r="AJ190" s="1277" t="n"/>
      <c r="AK190" s="1277" t="n"/>
      <c r="AL190" s="1277" t="n"/>
      <c r="AM190" s="1277" t="n"/>
      <c r="AN190" s="1277" t="n"/>
      <c r="AO190" s="1277" t="n"/>
      <c r="AP190" s="1277" t="n"/>
      <c r="AQ190" s="2875" t="n"/>
      <c r="AR190" s="777" t="n"/>
      <c r="AS190" s="2875" t="n"/>
      <c r="AT190" s="2875" t="n"/>
      <c r="AU190" s="2875" t="n"/>
      <c r="BG190" s="769" t="n"/>
      <c r="BH190" s="658" t="n"/>
      <c r="BI190" s="658" t="n"/>
      <c r="BJ190" s="658" t="n"/>
      <c r="BK190" s="658" t="n"/>
      <c r="BL190" s="658" t="n"/>
      <c r="BM190" s="658" t="n"/>
      <c r="BN190" s="658" t="n"/>
      <c r="BO190" s="658" t="n"/>
      <c r="BP190" s="658" t="n"/>
    </row>
    <row r="191" ht="14.25" customHeight="1" s="7635">
      <c r="A191" s="1277" t="n"/>
      <c r="B191" s="8519" t="n">
        <v>24</v>
      </c>
      <c r="D191" s="2100" t="inlineStr">
        <is>
          <t>Income. Add positive amounts shown on line 21. Do not include any losses</t>
        </is>
      </c>
      <c r="E191" s="2126" t="n"/>
      <c r="F191" s="2126" t="n"/>
      <c r="G191" s="2126" t="n"/>
      <c r="H191" s="2126" t="n"/>
      <c r="I191" s="2126" t="n"/>
      <c r="J191" s="2126" t="n"/>
      <c r="K191" s="2126" t="n"/>
      <c r="L191" s="2126" t="n"/>
      <c r="M191" s="2126" t="n"/>
      <c r="N191" s="2126" t="n"/>
      <c r="O191" s="2126" t="n"/>
      <c r="P191" s="2126" t="n"/>
      <c r="Q191" s="2126" t="n"/>
      <c r="R191" s="2126" t="n"/>
      <c r="S191" s="2126" t="n"/>
      <c r="T191" s="2126" t="n"/>
      <c r="U191" s="2126" t="n"/>
      <c r="V191" s="2126" t="n"/>
      <c r="W191" s="2126" t="n"/>
      <c r="X191" s="2126" t="n"/>
      <c r="Y191" s="2126" t="n"/>
      <c r="Z191" s="2126" t="n"/>
      <c r="AA191" s="2126" t="n"/>
      <c r="AB191" s="2126" t="n"/>
      <c r="AC191" s="2126" t="n"/>
      <c r="AD191" s="2126" t="n"/>
      <c r="AE191" s="2126" t="n"/>
      <c r="AF191" s="2126" t="n"/>
      <c r="AG191" s="2198" t="inlineStr">
        <is>
          <t xml:space="preserve">.   .   .   .   .   .   .   .   .   .   . </t>
        </is>
      </c>
      <c r="AH191" s="6633" t="n">
        <v>24</v>
      </c>
      <c r="AI191" s="7638" t="n"/>
      <c r="AJ191" s="8538">
        <f>IF(AR191&lt;&gt;"",ROUND(AR191,0),ROUND(SUM(AY183,BA183,BC183),0))</f>
        <v/>
      </c>
      <c r="AK191" s="8412" t="n"/>
      <c r="AL191" s="8412" t="n"/>
      <c r="AM191" s="8412" t="n"/>
      <c r="AN191" s="8412" t="n"/>
      <c r="AO191" s="8412" t="n"/>
      <c r="AP191" s="1277" t="n"/>
      <c r="AQ191" s="2875" t="n"/>
      <c r="AR191" s="777" t="n"/>
      <c r="AS191" s="2875" t="n"/>
      <c r="AT191" s="2875" t="n"/>
      <c r="AU191" s="2875" t="n"/>
      <c r="BG191" s="769" t="n"/>
      <c r="BH191" s="658" t="n"/>
      <c r="BI191" s="658" t="n"/>
      <c r="BJ191" s="658" t="n"/>
      <c r="BK191" s="658" t="n"/>
      <c r="BL191" s="658" t="n"/>
      <c r="BM191" s="658" t="n"/>
      <c r="BN191" s="658" t="n"/>
      <c r="BO191" s="658" t="n"/>
      <c r="BP191" s="658" t="n"/>
    </row>
    <row r="192" ht="14.25" customHeight="1" s="7635">
      <c r="A192" s="1277" t="n"/>
      <c r="B192" s="8519" t="n">
        <v>25</v>
      </c>
      <c r="D192" s="4812" t="inlineStr">
        <is>
          <t>Losses. Add royalty losses from line 21 and rental real estate losses from line 22. Enter total losses here</t>
        </is>
      </c>
      <c r="E192" s="2126" t="n"/>
      <c r="F192" s="2126" t="n"/>
      <c r="G192" s="2126" t="n"/>
      <c r="H192" s="2126" t="n"/>
      <c r="I192" s="2126" t="n"/>
      <c r="J192" s="2126" t="n"/>
      <c r="K192" s="2126" t="n"/>
      <c r="L192" s="2126" t="n"/>
      <c r="M192" s="2126" t="n"/>
      <c r="N192" s="2126" t="n"/>
      <c r="O192" s="2126" t="n"/>
      <c r="P192" s="2126" t="n"/>
      <c r="Q192" s="2126" t="n"/>
      <c r="R192" s="2126" t="n"/>
      <c r="S192" s="2126" t="n"/>
      <c r="T192" s="2126" t="n"/>
      <c r="U192" s="2126" t="n"/>
      <c r="V192" s="2126" t="n"/>
      <c r="W192" s="2126" t="n"/>
      <c r="X192" s="2126" t="n"/>
      <c r="Y192" s="2126" t="n"/>
      <c r="Z192" s="2126" t="n"/>
      <c r="AA192" s="2126" t="n"/>
      <c r="AB192" s="2126" t="n"/>
      <c r="AC192" s="2126" t="n"/>
      <c r="AD192" s="2126" t="n"/>
      <c r="AE192" s="2126" t="n"/>
      <c r="AF192" s="2126" t="n"/>
      <c r="AG192" s="2126" t="n"/>
      <c r="AH192" s="6634" t="n">
        <v>25</v>
      </c>
      <c r="AI192" s="11734" t="n"/>
      <c r="AJ192" s="8551" t="inlineStr">
        <is>
          <t>(</t>
        </is>
      </c>
      <c r="AK192" s="8522">
        <f>-AK193</f>
        <v/>
      </c>
      <c r="AL192" s="8412" t="n"/>
      <c r="AM192" s="8412" t="n"/>
      <c r="AN192" s="8412" t="n"/>
      <c r="AO192" s="8522" t="inlineStr">
        <is>
          <t>)</t>
        </is>
      </c>
      <c r="AP192" s="1277" t="n"/>
      <c r="AQ192" s="2875" t="n"/>
      <c r="AR192" s="777" t="n"/>
      <c r="AS192" s="2875" t="n"/>
      <c r="AT192" s="2875" t="n"/>
      <c r="AU192" s="2875" t="n"/>
      <c r="BG192" s="769" t="n"/>
      <c r="BH192" s="658" t="n"/>
      <c r="BI192" s="658" t="n"/>
      <c r="BJ192" s="658" t="n"/>
      <c r="BK192" s="658" t="n"/>
      <c r="BL192" s="658" t="n"/>
      <c r="BM192" s="658" t="n"/>
      <c r="BN192" s="658" t="n"/>
      <c r="BO192" s="658" t="n"/>
      <c r="BP192" s="658" t="n"/>
    </row>
    <row r="193" ht="14.25" customHeight="1" s="7635">
      <c r="A193" s="1277" t="n"/>
      <c r="B193" s="8519" t="n">
        <v>26</v>
      </c>
      <c r="D193" s="2100" t="inlineStr">
        <is>
          <t>Total rental real estate and royalty income or (loss). Combine lines 24 and 25. Enter the result</t>
        </is>
      </c>
      <c r="E193" s="2126" t="n"/>
      <c r="F193" s="2126" t="n"/>
      <c r="G193" s="2126" t="n"/>
      <c r="H193" s="2126" t="n"/>
      <c r="I193" s="2126" t="n"/>
      <c r="J193" s="2126" t="n"/>
      <c r="K193" s="2126" t="n"/>
      <c r="L193" s="2126" t="n"/>
      <c r="M193" s="2126" t="n"/>
      <c r="N193" s="2126" t="n"/>
      <c r="O193" s="2126" t="n"/>
      <c r="P193" s="2126" t="n"/>
      <c r="Q193" s="2126" t="n"/>
      <c r="R193" s="2126" t="n"/>
      <c r="S193" s="2126" t="n"/>
      <c r="T193" s="9988" t="n"/>
      <c r="U193" s="9988" t="n"/>
      <c r="V193" s="8549" t="n"/>
      <c r="W193" s="8549" t="n"/>
      <c r="X193" s="8549" t="n"/>
      <c r="Y193" s="8549" t="n"/>
      <c r="Z193" s="8549" t="n"/>
      <c r="AA193" s="8549" t="n"/>
      <c r="AB193" s="8549" t="n"/>
      <c r="AC193" s="8549" t="n"/>
      <c r="AD193" s="8549" t="n"/>
      <c r="AE193" s="8549" t="n"/>
      <c r="AF193" s="8549" t="n"/>
      <c r="AG193" s="8549" t="n"/>
      <c r="AH193" s="8554" t="n"/>
      <c r="AI193" s="8556" t="n"/>
      <c r="AJ193" s="8549" t="n"/>
      <c r="AK193" s="8530">
        <f>IF(AND(AR192&lt;&gt;"",AR192&gt;=0),-ROUND(AR192,0),IF(AND(AR192&lt;&gt;"",AR192&lt;0),ROUND(AR192,0),SUM(AZ184,AZ185,BB184,BB185,BD184,BD185)))</f>
        <v/>
      </c>
      <c r="AL193" s="7839" t="n"/>
      <c r="AM193" s="7839" t="n"/>
      <c r="AN193" s="7839" t="n"/>
      <c r="AO193" s="8549" t="n"/>
      <c r="AP193" s="1277" t="n"/>
      <c r="AQ193" s="2875" t="n"/>
      <c r="AR193" s="2875" t="n"/>
      <c r="AS193" s="2875" t="n"/>
      <c r="AT193" s="2875" t="n"/>
      <c r="AU193" s="2875" t="n"/>
      <c r="BG193" s="769" t="n"/>
      <c r="BH193" s="658" t="n"/>
      <c r="BI193" s="658" t="n"/>
      <c r="BJ193" s="658" t="n"/>
      <c r="BK193" s="658" t="n"/>
      <c r="BL193" s="658" t="n"/>
      <c r="BM193" s="658" t="n"/>
      <c r="BN193" s="658" t="n"/>
      <c r="BO193" s="658" t="n"/>
      <c r="BP193" s="658" t="n"/>
    </row>
    <row r="194" ht="14.25" customHeight="1" s="7635">
      <c r="A194" s="1277" t="n"/>
      <c r="B194" s="8519" t="n"/>
      <c r="D194" s="2100" t="inlineStr">
        <is>
          <t>here. If Parts II, III, IV, and line 40 on page 2 do not apply to you, also enter this amount on</t>
        </is>
      </c>
      <c r="E194" s="2126" t="n"/>
      <c r="F194" s="2126" t="n"/>
      <c r="G194" s="2126" t="n"/>
      <c r="H194" s="2126" t="n"/>
      <c r="I194" s="2126" t="n"/>
      <c r="J194" s="2126" t="n"/>
      <c r="K194" s="2126" t="n"/>
      <c r="L194" s="2126" t="n"/>
      <c r="M194" s="2126" t="n"/>
      <c r="N194" s="2126" t="n"/>
      <c r="O194" s="2126" t="n"/>
      <c r="P194" s="2126" t="n"/>
      <c r="Q194" s="2126" t="n"/>
      <c r="R194" s="2126" t="n"/>
      <c r="S194" s="2126" t="n"/>
      <c r="T194" s="9988" t="n"/>
      <c r="U194" s="9988" t="n"/>
      <c r="V194" s="8549" t="n"/>
      <c r="W194" s="8549" t="n"/>
      <c r="X194" s="8549" t="n"/>
      <c r="Y194" s="8549" t="n"/>
      <c r="Z194" s="8549" t="n"/>
      <c r="AA194" s="8549" t="n"/>
      <c r="AB194" s="8549" t="n"/>
      <c r="AC194" s="8549" t="n"/>
      <c r="AD194" s="8549" t="n"/>
      <c r="AE194" s="8549" t="n"/>
      <c r="AF194" s="8549" t="n"/>
      <c r="AG194" s="8549" t="n"/>
      <c r="AH194" s="8548" t="n"/>
      <c r="AI194" s="8550" t="n"/>
      <c r="AJ194" s="8549" t="n"/>
      <c r="AK194" s="8549" t="n"/>
      <c r="AL194" s="8549" t="n"/>
      <c r="AM194" s="8549" t="n"/>
      <c r="AN194" s="8549" t="n"/>
      <c r="AO194" s="8549" t="n"/>
      <c r="AP194" s="1277" t="n"/>
      <c r="AQ194" s="2875" t="n"/>
      <c r="AR194" s="2875" t="n"/>
      <c r="AS194" s="2875" t="n"/>
      <c r="AT194" s="2875" t="n"/>
      <c r="AU194" s="2875" t="n"/>
      <c r="BG194" s="769" t="n"/>
      <c r="BH194" s="658" t="n"/>
      <c r="BI194" s="658" t="n"/>
      <c r="BJ194" s="658" t="n"/>
      <c r="BK194" s="658" t="n"/>
      <c r="BL194" s="658" t="n"/>
      <c r="BM194" s="658" t="n"/>
      <c r="BN194" s="658" t="n"/>
      <c r="BO194" s="658" t="n"/>
      <c r="BP194" s="658" t="n"/>
    </row>
    <row r="195" ht="14.25" customHeight="1" s="7635" thickBot="1">
      <c r="A195" s="1277" t="n"/>
      <c r="B195" s="4813" t="n"/>
      <c r="C195" s="4814" t="n"/>
      <c r="D195" s="4815" t="inlineStr">
        <is>
          <t>Schedule 1 (Form 1040), line 5. Otherwise, include this amount in the total on line 41 on page 2</t>
        </is>
      </c>
      <c r="E195" s="4816" t="n"/>
      <c r="F195" s="4816" t="n"/>
      <c r="G195" s="4816" t="n"/>
      <c r="H195" s="4816" t="n"/>
      <c r="I195" s="4816" t="n"/>
      <c r="J195" s="4816" t="n"/>
      <c r="K195" s="4816" t="n"/>
      <c r="L195" s="4816" t="n"/>
      <c r="M195" s="4816" t="n"/>
      <c r="N195" s="4816" t="n"/>
      <c r="O195" s="4816" t="n"/>
      <c r="P195" s="4816" t="n"/>
      <c r="Q195" s="4816" t="n"/>
      <c r="R195" s="4816" t="n"/>
      <c r="S195" s="4816" t="n"/>
      <c r="T195" s="4816" t="n"/>
      <c r="U195" s="4816" t="n"/>
      <c r="V195" s="4816" t="n"/>
      <c r="W195" s="4816" t="n"/>
      <c r="X195" s="4816" t="n"/>
      <c r="Y195" s="4816" t="n"/>
      <c r="Z195" s="4816" t="n"/>
      <c r="AA195" s="4816" t="n"/>
      <c r="AB195" s="4817" t="n"/>
      <c r="AC195" s="4817" t="n"/>
      <c r="AD195" s="4818" t="n"/>
      <c r="AE195" s="4818" t="n"/>
      <c r="AF195" s="4818" t="n"/>
      <c r="AG195" s="4533" t="inlineStr">
        <is>
          <t xml:space="preserve">.   . </t>
        </is>
      </c>
      <c r="AH195" s="6644" t="n">
        <v>26</v>
      </c>
      <c r="AI195" s="12121" t="n"/>
      <c r="AJ195" s="8526">
        <f>IF(AR195&lt;&gt;"",ROUND(AR195,0),SUM(AJ191,AK193))</f>
        <v/>
      </c>
      <c r="AK195" s="8848" t="n"/>
      <c r="AL195" s="8848" t="n"/>
      <c r="AM195" s="8848" t="n"/>
      <c r="AN195" s="8848" t="n"/>
      <c r="AO195" s="8848" t="n"/>
      <c r="AP195" s="1277" t="n"/>
      <c r="AQ195" s="2875" t="n"/>
      <c r="AR195" s="776" t="n"/>
      <c r="AS195" s="2875" t="n"/>
      <c r="AT195" s="2875" t="n"/>
      <c r="AU195" s="2875" t="n"/>
      <c r="BG195" s="769" t="n"/>
      <c r="BH195" s="658" t="n"/>
      <c r="BI195" s="658" t="n"/>
      <c r="BJ195" s="658" t="n"/>
      <c r="BK195" s="658" t="n"/>
      <c r="BL195" s="658" t="n"/>
      <c r="BM195" s="658" t="n"/>
      <c r="BN195" s="658" t="n"/>
      <c r="BO195" s="658" t="n"/>
      <c r="BP195" s="658" t="n"/>
    </row>
    <row r="196" ht="14.25" customHeight="1" s="7635">
      <c r="A196" s="1277" t="n"/>
      <c r="B196" s="4819" t="inlineStr">
        <is>
          <t>For Paperwork Reduction Act Notice, see the separate instructions.</t>
        </is>
      </c>
      <c r="C196" s="4820" t="n"/>
      <c r="D196" s="2100" t="n"/>
      <c r="E196" s="2126" t="n"/>
      <c r="F196" s="2126" t="n"/>
      <c r="G196" s="2126" t="n"/>
      <c r="H196" s="2126" t="n"/>
      <c r="I196" s="2126" t="n"/>
      <c r="J196" s="2126" t="n"/>
      <c r="K196" s="2126" t="n"/>
      <c r="L196" s="2126" t="n"/>
      <c r="M196" s="2126" t="n"/>
      <c r="N196" s="2126" t="n"/>
      <c r="O196" s="2126" t="n"/>
      <c r="P196" s="2126" t="n"/>
      <c r="Q196" s="2126" t="n"/>
      <c r="R196" s="2126" t="n"/>
      <c r="S196" s="2126" t="n"/>
      <c r="T196" s="2126" t="n"/>
      <c r="U196" s="2126" t="n"/>
      <c r="V196" s="2126" t="n"/>
      <c r="W196" s="2126" t="n"/>
      <c r="X196" s="2126" t="n"/>
      <c r="Y196" s="2126" t="inlineStr">
        <is>
          <t>Cat. No. 11344L</t>
        </is>
      </c>
      <c r="Z196" s="2126" t="n"/>
      <c r="AA196" s="2126" t="n"/>
      <c r="AB196" s="9988" t="n"/>
      <c r="AC196" s="9988" t="n"/>
      <c r="AD196" s="8549" t="n"/>
      <c r="AE196" s="8549" t="n"/>
      <c r="AF196" s="8549" t="n"/>
      <c r="AG196" s="8549" t="n"/>
      <c r="AH196" s="8549" t="n"/>
      <c r="AI196" s="8549" t="n"/>
      <c r="AJ196" s="11602" t="n"/>
      <c r="AK196" s="1401">
        <f>"Schedule E (Form 1040) "&amp;TaxYear</f>
        <v/>
      </c>
      <c r="AL196" s="11602" t="n"/>
      <c r="AM196" s="11602" t="n"/>
      <c r="AN196" s="11602" t="n"/>
      <c r="AO196" s="1061" t="inlineStr">
        <is>
          <t>Created 5/6/25</t>
        </is>
      </c>
      <c r="AP196" s="1277" t="n"/>
      <c r="AQ196" s="2875" t="n"/>
      <c r="AR196" s="2875" t="n"/>
      <c r="AS196" s="2875" t="n"/>
      <c r="AT196" s="2875" t="n"/>
      <c r="AU196" s="2875" t="n"/>
      <c r="BG196" s="769" t="n"/>
      <c r="BH196" s="658" t="n"/>
      <c r="BI196" s="658" t="n"/>
      <c r="BJ196" s="658" t="n"/>
      <c r="BK196" s="658" t="n"/>
      <c r="BL196" s="658" t="n"/>
      <c r="BM196" s="658" t="n"/>
      <c r="BN196" s="658" t="n"/>
      <c r="BO196" s="658" t="n"/>
      <c r="BP196" s="658" t="n"/>
    </row>
    <row r="197" ht="21" customHeight="1" s="7635">
      <c r="A197" s="1277" t="n"/>
      <c r="B197" s="462">
        <f>"Schedule E (Form 1040) "&amp;TaxYear</f>
        <v/>
      </c>
      <c r="C197" s="413" t="n"/>
      <c r="D197" s="413" t="n"/>
      <c r="E197" s="413" t="n"/>
      <c r="F197" s="413" t="n"/>
      <c r="G197" s="413" t="n"/>
      <c r="H197" s="413" t="n"/>
      <c r="I197" s="4821" t="n"/>
      <c r="J197" s="413" t="n"/>
      <c r="K197" s="413" t="n"/>
      <c r="L197" s="413" t="n"/>
      <c r="M197" s="413" t="n"/>
      <c r="N197" s="413" t="n"/>
      <c r="O197" s="413" t="n"/>
      <c r="P197" s="4822" t="n"/>
      <c r="Q197" s="413" t="n"/>
      <c r="R197" s="413" t="n"/>
      <c r="S197" s="413" t="n"/>
      <c r="T197" s="413" t="n"/>
      <c r="U197" s="413" t="n"/>
      <c r="V197" s="413" t="n"/>
      <c r="W197" s="413" t="n"/>
      <c r="X197" s="413" t="n"/>
      <c r="Y197" s="413" t="n"/>
      <c r="Z197" s="413" t="n"/>
      <c r="AA197" s="462" t="inlineStr">
        <is>
          <t>Attachment Sequence No.</t>
        </is>
      </c>
      <c r="AB197" s="413" t="n"/>
      <c r="AC197" s="413" t="n"/>
      <c r="AD197" s="413" t="n"/>
      <c r="AE197" s="413" t="n"/>
      <c r="AF197" s="413" t="n"/>
      <c r="AG197" s="2009" t="n">
        <v>13</v>
      </c>
      <c r="AH197" s="413" t="n"/>
      <c r="AI197" s="413" t="n"/>
      <c r="AJ197" s="413" t="n"/>
      <c r="AK197" s="413" t="n"/>
      <c r="AL197" s="413" t="n"/>
      <c r="AM197" s="413" t="n"/>
      <c r="AN197" s="413" t="n"/>
      <c r="AO197" s="4823" t="inlineStr">
        <is>
          <t>Page 2</t>
        </is>
      </c>
      <c r="AP197" s="1277" t="n"/>
      <c r="BG197" s="769" t="n"/>
      <c r="BH197" s="658" t="n"/>
      <c r="BI197" s="658" t="n"/>
      <c r="BJ197" s="658" t="n"/>
      <c r="BK197" s="658" t="n"/>
      <c r="BL197" s="658" t="n"/>
      <c r="BM197" s="658" t="n"/>
      <c r="BN197" s="658" t="n"/>
      <c r="BO197" s="658" t="n"/>
      <c r="BP197" s="658" t="n"/>
    </row>
    <row r="198" ht="12.75" customHeight="1" s="7635">
      <c r="A198" s="1277" t="n"/>
      <c r="B198" s="7299" t="inlineStr">
        <is>
          <t>Name(s) shown on return.</t>
        </is>
      </c>
      <c r="C198" s="7299" t="n"/>
      <c r="D198" s="7299" t="n"/>
      <c r="E198" s="7299" t="n"/>
      <c r="F198" s="7299" t="n"/>
      <c r="G198" s="7299" t="n"/>
      <c r="H198" s="7299" t="inlineStr">
        <is>
          <t>Do not enter name and social security number if shown on other side.</t>
        </is>
      </c>
      <c r="I198" s="11602" t="n"/>
      <c r="J198" s="11602" t="n"/>
      <c r="K198" s="11602" t="n"/>
      <c r="L198" s="11602" t="n"/>
      <c r="M198" s="11602" t="n"/>
      <c r="N198" s="11602" t="n"/>
      <c r="O198" s="11602" t="n"/>
      <c r="P198" s="11602" t="n"/>
      <c r="Q198" s="11602" t="n"/>
      <c r="R198" s="11602" t="n"/>
      <c r="S198" s="11602" t="n"/>
      <c r="T198" s="11602" t="n"/>
      <c r="U198" s="11602" t="n"/>
      <c r="V198" s="11602" t="n"/>
      <c r="W198" s="11602" t="n"/>
      <c r="X198" s="11602" t="n"/>
      <c r="Y198" s="11602" t="n"/>
      <c r="Z198" s="11602" t="n"/>
      <c r="AA198" s="11602" t="n"/>
      <c r="AB198" s="11602" t="n"/>
      <c r="AC198" s="11602" t="n"/>
      <c r="AD198" s="11602" t="n"/>
      <c r="AE198" s="11602" t="n"/>
      <c r="AF198" s="8528" t="inlineStr">
        <is>
          <t>Your social security number</t>
        </is>
      </c>
      <c r="AG198" s="7839" t="n"/>
      <c r="AH198" s="7839" t="n"/>
      <c r="AI198" s="7839" t="n"/>
      <c r="AJ198" s="7839" t="n"/>
      <c r="AK198" s="7839" t="n"/>
      <c r="AL198" s="7839" t="n"/>
      <c r="AM198" s="7839" t="n"/>
      <c r="AN198" s="7839" t="n"/>
      <c r="AO198" s="7839" t="n"/>
      <c r="AP198" s="1277" t="n"/>
      <c r="AR198" s="7834">
        <f>OR(AND(AF199&lt;&gt;"",AF199=AG140),AND(B140&lt;&gt;"",B199&lt;&gt;""))</f>
        <v/>
      </c>
      <c r="BG198" s="769" t="n"/>
      <c r="BH198" s="658" t="n"/>
      <c r="BI198" s="658" t="n"/>
      <c r="BJ198" s="658" t="n"/>
      <c r="BK198" s="658" t="n"/>
      <c r="BL198" s="658" t="n"/>
      <c r="BM198" s="658" t="n"/>
      <c r="BN198" s="658" t="n"/>
      <c r="BO198" s="658" t="n"/>
      <c r="BP198" s="658" t="n"/>
    </row>
    <row r="199" ht="16.5" customHeight="1" s="7635">
      <c r="A199" s="1277" t="n"/>
      <c r="B199" s="8509" t="n"/>
      <c r="C199" s="11717" t="n"/>
      <c r="D199" s="11717" t="n"/>
      <c r="E199" s="11717" t="n"/>
      <c r="F199" s="11717" t="n"/>
      <c r="G199" s="11717" t="n"/>
      <c r="H199" s="11717" t="n"/>
      <c r="I199" s="11717" t="n"/>
      <c r="J199" s="11717" t="n"/>
      <c r="K199" s="11717" t="n"/>
      <c r="L199" s="11717" t="n"/>
      <c r="M199" s="11717" t="n"/>
      <c r="N199" s="11717" t="n"/>
      <c r="O199" s="11717" t="n"/>
      <c r="P199" s="11717" t="n"/>
      <c r="Q199" s="11717" t="n"/>
      <c r="R199" s="11717" t="n"/>
      <c r="S199" s="11717" t="n"/>
      <c r="T199" s="11717" t="n"/>
      <c r="U199" s="11717" t="n"/>
      <c r="V199" s="11717" t="n"/>
      <c r="W199" s="11717" t="n"/>
      <c r="X199" s="11717" t="n"/>
      <c r="Y199" s="11717" t="n"/>
      <c r="Z199" s="11717" t="n"/>
      <c r="AA199" s="11717" t="n"/>
      <c r="AB199" s="11717" t="n"/>
      <c r="AC199" s="11717" t="n"/>
      <c r="AD199" s="11717" t="n"/>
      <c r="AE199" s="11718" t="n"/>
      <c r="AF199" s="11720" t="n"/>
      <c r="AG199" s="11717" t="n"/>
      <c r="AH199" s="11717" t="n"/>
      <c r="AI199" s="11717" t="n"/>
      <c r="AJ199" s="11717" t="n"/>
      <c r="AK199" s="11717" t="n"/>
      <c r="AL199" s="11717" t="n"/>
      <c r="AM199" s="11717" t="n"/>
      <c r="AN199" s="11717" t="n"/>
      <c r="AO199" s="11717" t="n"/>
      <c r="AP199" s="770" t="n"/>
      <c r="AQ199" s="9864">
        <f>IF($AR198,"Hide emphasis.","")</f>
        <v/>
      </c>
      <c r="AR199" s="9864" t="n"/>
      <c r="BG199" s="769" t="n"/>
      <c r="BH199" s="658" t="n"/>
      <c r="BI199" s="658" t="n"/>
      <c r="BJ199" s="658" t="n"/>
      <c r="BK199" s="658" t="n"/>
      <c r="BL199" s="658" t="n"/>
      <c r="BM199" s="658" t="n"/>
      <c r="BN199" s="658" t="n"/>
      <c r="BO199" s="658" t="n"/>
      <c r="BP199" s="658" t="n"/>
    </row>
    <row r="200" ht="15" customHeight="1" s="7635">
      <c r="A200" s="1277" t="n"/>
      <c r="B200" s="8650" t="inlineStr">
        <is>
          <t>Caution: The IRS compares amounts reported on your tax return with amounts shown on Schedule(s) K-1.</t>
        </is>
      </c>
      <c r="C200" s="11602" t="n"/>
      <c r="D200" s="11602" t="n"/>
      <c r="E200" s="11602" t="n"/>
      <c r="F200" s="11602" t="n"/>
      <c r="G200" s="11602" t="n"/>
      <c r="H200" s="11602" t="n"/>
      <c r="I200" s="11602" t="n"/>
      <c r="J200" s="11602" t="n"/>
      <c r="K200" s="11602" t="n"/>
      <c r="L200" s="11602" t="n"/>
      <c r="M200" s="11602" t="n"/>
      <c r="N200" s="11602" t="n"/>
      <c r="O200" s="11602" t="n"/>
      <c r="P200" s="11602" t="n"/>
      <c r="Q200" s="11602" t="n"/>
      <c r="R200" s="11602" t="n"/>
      <c r="S200" s="11602" t="n"/>
      <c r="T200" s="11602" t="n"/>
      <c r="U200" s="11602" t="n"/>
      <c r="V200" s="11602" t="n"/>
      <c r="W200" s="11602" t="n"/>
      <c r="X200" s="11602" t="n"/>
      <c r="Y200" s="11602" t="n"/>
      <c r="Z200" s="11602" t="n"/>
      <c r="AA200" s="11602" t="n"/>
      <c r="AB200" s="11602" t="n"/>
      <c r="AC200" s="11602" t="n"/>
      <c r="AD200" s="11602" t="n"/>
      <c r="AE200" s="11602" t="n"/>
      <c r="AF200" s="11602" t="n"/>
      <c r="AG200" s="11602" t="n"/>
      <c r="AH200" s="11602" t="n"/>
      <c r="AI200" s="11602" t="n"/>
      <c r="AJ200" s="11602" t="n"/>
      <c r="AK200" s="11602" t="n"/>
      <c r="AL200" s="11602" t="n"/>
      <c r="AM200" s="11602" t="n"/>
      <c r="AN200" s="11602" t="n"/>
      <c r="AO200" s="11602" t="n"/>
      <c r="AP200" s="1277" t="n"/>
      <c r="BG200" s="769" t="n"/>
      <c r="BH200" s="658" t="n"/>
      <c r="BI200" s="658" t="n"/>
      <c r="BJ200" s="658" t="n"/>
      <c r="BK200" s="658" t="n"/>
      <c r="BL200" s="658" t="n"/>
      <c r="BM200" s="658" t="n"/>
      <c r="BN200" s="658" t="n"/>
      <c r="BO200" s="658" t="n"/>
      <c r="BP200" s="658" t="n"/>
    </row>
    <row r="201" ht="17.25" customFormat="1" customHeight="1" s="1405">
      <c r="A201" s="2119" t="n"/>
      <c r="B201" s="8410" t="inlineStr">
        <is>
          <t>Part II</t>
        </is>
      </c>
      <c r="C201" s="8412" t="n"/>
      <c r="D201" s="8412" t="n"/>
      <c r="E201" s="2761" t="n"/>
      <c r="F201" s="4758" t="inlineStr">
        <is>
          <t>Income or Loss From Partnerships and S Corporations</t>
        </is>
      </c>
      <c r="G201" s="2761" t="n"/>
      <c r="H201" s="2761" t="n"/>
      <c r="I201" s="2761" t="n"/>
      <c r="J201" s="2761" t="n"/>
      <c r="K201" s="2761" t="n"/>
      <c r="L201" s="2761" t="n"/>
      <c r="M201" s="2761" t="n"/>
      <c r="N201" s="2761" t="n"/>
      <c r="O201" s="2761" t="n"/>
      <c r="P201" s="2761" t="n"/>
      <c r="Q201" s="2761" t="n"/>
      <c r="R201" s="2761" t="n"/>
      <c r="S201" s="2761" t="n"/>
      <c r="T201" s="2761" t="n"/>
      <c r="U201" s="2761" t="n"/>
      <c r="V201" s="2761" t="n"/>
      <c r="W201" s="2761" t="n"/>
      <c r="X201" s="2354" t="n"/>
      <c r="Y201" s="2761" t="n"/>
      <c r="Z201" s="2761" t="n"/>
      <c r="AA201" s="2761" t="n"/>
      <c r="AB201" s="2761" t="n"/>
      <c r="AC201" s="2761" t="n"/>
      <c r="AD201" s="2761" t="n"/>
      <c r="AE201" s="2761" t="n"/>
      <c r="AF201" s="2761" t="n"/>
      <c r="AG201" s="2761" t="n"/>
      <c r="AH201" s="2761" t="n"/>
      <c r="AI201" s="2761" t="n"/>
      <c r="AJ201" s="2761" t="n"/>
      <c r="AK201" s="2761" t="n"/>
      <c r="AL201" s="2761" t="n"/>
      <c r="AM201" s="2761" t="n"/>
      <c r="AN201" s="2761" t="n"/>
      <c r="AO201" s="2761" t="n"/>
      <c r="AP201" s="1277" t="n"/>
      <c r="BG201" s="769" t="n"/>
      <c r="BH201" s="658" t="n"/>
      <c r="BI201" s="658" t="n"/>
      <c r="BJ201" s="658" t="n"/>
      <c r="BK201" s="658" t="n"/>
      <c r="BL201" s="658" t="n"/>
      <c r="BM201" s="658" t="n"/>
      <c r="BN201" s="658" t="n"/>
      <c r="BO201" s="658" t="n"/>
      <c r="BP201" s="658" t="n"/>
      <c r="BQ201" s="815" t="n"/>
    </row>
    <row r="202" ht="12.75" customHeight="1" s="7635">
      <c r="A202" s="1277" t="n"/>
      <c r="B202" s="11602" t="n"/>
      <c r="C202" s="11602" t="n"/>
      <c r="D202" s="11602" t="n"/>
      <c r="E202" s="11602" t="n"/>
      <c r="F202" s="344" t="inlineStr">
        <is>
          <t>Note:  If you report a loss, receive a distribution, dispose of stock, or receive a loan repayment from an S corporation, you must check</t>
        </is>
      </c>
      <c r="G202" s="11602" t="n"/>
      <c r="H202" s="11602" t="n"/>
      <c r="I202" s="11602" t="n"/>
      <c r="J202" s="11602" t="n"/>
      <c r="K202" s="11602" t="n"/>
      <c r="L202" s="11602" t="n"/>
      <c r="M202" s="11602" t="n"/>
      <c r="N202" s="11602" t="n"/>
      <c r="O202" s="11602" t="n"/>
      <c r="P202" s="11602" t="n"/>
      <c r="Q202" s="11602" t="n"/>
      <c r="R202" s="11602" t="n"/>
      <c r="S202" s="11602" t="n"/>
      <c r="T202" s="11602" t="n"/>
      <c r="U202" s="11602" t="n"/>
      <c r="V202" s="11602" t="n"/>
      <c r="W202" s="11602" t="n"/>
      <c r="X202" s="11602" t="n"/>
      <c r="Y202" s="11602" t="n"/>
      <c r="Z202" s="11602" t="n"/>
      <c r="AA202" s="11602" t="n"/>
      <c r="AB202" s="11602" t="n"/>
      <c r="AC202" s="11602" t="n"/>
      <c r="AD202" s="11602" t="n"/>
      <c r="AE202" s="11602" t="n"/>
      <c r="AF202" s="11602" t="n"/>
      <c r="AG202" s="11602" t="n"/>
      <c r="AH202" s="11602" t="n"/>
      <c r="AI202" s="11602" t="n"/>
      <c r="AJ202" s="11602" t="n"/>
      <c r="AK202" s="11602" t="n"/>
      <c r="AL202" s="11602" t="n"/>
      <c r="AM202" s="11602" t="n"/>
      <c r="AN202" s="11602" t="n"/>
      <c r="AO202" s="11602" t="n"/>
      <c r="AP202" s="1277" t="n"/>
      <c r="BG202" s="769" t="n"/>
      <c r="BH202" s="658" t="n"/>
      <c r="BI202" s="658" t="n"/>
      <c r="BJ202" s="658" t="n"/>
      <c r="BK202" s="658" t="n"/>
      <c r="BL202" s="658" t="n"/>
      <c r="BM202" s="658" t="n"/>
      <c r="BN202" s="658" t="n"/>
      <c r="BO202" s="658" t="n"/>
      <c r="BP202" s="658" t="n"/>
    </row>
    <row r="203" ht="12.75" customHeight="1" s="7635">
      <c r="A203" s="1277" t="n"/>
      <c r="B203" s="11602" t="n"/>
      <c r="C203" s="11602" t="n"/>
      <c r="D203" s="11602" t="n"/>
      <c r="E203" s="11602" t="n"/>
      <c r="F203" s="344" t="inlineStr">
        <is>
          <t xml:space="preserve">the box in column (e) on line 28 and attach the required basis computation. If you report a loss from an at-risk activity for which any </t>
        </is>
      </c>
      <c r="G203" s="11602" t="n"/>
      <c r="H203" s="11602" t="n"/>
      <c r="I203" s="11602" t="n"/>
      <c r="J203" s="11602" t="n"/>
      <c r="K203" s="11602" t="n"/>
      <c r="L203" s="11602" t="n"/>
      <c r="M203" s="11602" t="n"/>
      <c r="N203" s="11602" t="n"/>
      <c r="O203" s="11602" t="n"/>
      <c r="P203" s="11602" t="n"/>
      <c r="Q203" s="11602" t="n"/>
      <c r="R203" s="11602" t="n"/>
      <c r="S203" s="11602" t="n"/>
      <c r="T203" s="11602" t="n"/>
      <c r="U203" s="11602" t="n"/>
      <c r="V203" s="11602" t="n"/>
      <c r="W203" s="11602" t="n"/>
      <c r="X203" s="11602" t="n"/>
      <c r="Y203" s="11602" t="n"/>
      <c r="Z203" s="11602" t="n"/>
      <c r="AA203" s="11602" t="n"/>
      <c r="AB203" s="11602" t="n"/>
      <c r="AC203" s="11602" t="n"/>
      <c r="AD203" s="11602" t="n"/>
      <c r="AE203" s="11602" t="n"/>
      <c r="AF203" s="11602" t="n"/>
      <c r="AG203" s="11602" t="n"/>
      <c r="AH203" s="11602" t="n"/>
      <c r="AI203" s="11602" t="n"/>
      <c r="AJ203" s="11602" t="n"/>
      <c r="AK203" s="11602" t="n"/>
      <c r="AL203" s="11602" t="n"/>
      <c r="AM203" s="11602" t="n"/>
      <c r="AN203" s="11602" t="n"/>
      <c r="AO203" s="11602" t="n"/>
      <c r="AP203" s="1277" t="n"/>
      <c r="AX203" s="1405" t="n"/>
      <c r="AY203" s="1405" t="n"/>
      <c r="AZ203" s="1405" t="n"/>
      <c r="BA203" s="1405" t="n"/>
      <c r="BB203" s="1405" t="n"/>
      <c r="BC203" s="1405" t="n"/>
      <c r="BD203" s="1405" t="n"/>
      <c r="BG203" s="769" t="n"/>
      <c r="BH203" s="658" t="n"/>
      <c r="BI203" s="658" t="n"/>
      <c r="BJ203" s="658" t="n"/>
      <c r="BK203" s="658" t="n"/>
      <c r="BL203" s="658" t="n"/>
      <c r="BM203" s="658" t="n"/>
      <c r="BN203" s="658" t="n"/>
      <c r="BO203" s="658" t="n"/>
      <c r="BP203" s="658" t="n"/>
    </row>
    <row r="204" ht="12.75" customHeight="1" s="7635">
      <c r="A204" s="1277" t="n"/>
      <c r="B204" s="413" t="n"/>
      <c r="C204" s="413" t="n"/>
      <c r="D204" s="413" t="n"/>
      <c r="E204" s="413" t="n"/>
      <c r="F204" s="569" t="inlineStr">
        <is>
          <t>amount is not at risk, you must check the box in column (f) on line 28 and attach Form 6198. See instructions.</t>
        </is>
      </c>
      <c r="G204" s="413" t="n"/>
      <c r="H204" s="413" t="n"/>
      <c r="I204" s="413" t="n"/>
      <c r="J204" s="413" t="n"/>
      <c r="K204" s="413" t="n"/>
      <c r="L204" s="413" t="n"/>
      <c r="M204" s="413" t="n"/>
      <c r="N204" s="413" t="n"/>
      <c r="O204" s="413" t="n"/>
      <c r="P204" s="413" t="n"/>
      <c r="Q204" s="413" t="n"/>
      <c r="R204" s="413" t="n"/>
      <c r="S204" s="413" t="n"/>
      <c r="T204" s="413" t="n"/>
      <c r="U204" s="413" t="n"/>
      <c r="V204" s="413" t="n"/>
      <c r="W204" s="413" t="n"/>
      <c r="X204" s="413" t="n"/>
      <c r="Y204" s="413" t="n"/>
      <c r="Z204" s="413" t="n"/>
      <c r="AA204" s="413" t="n"/>
      <c r="AB204" s="413" t="n"/>
      <c r="AC204" s="413" t="n"/>
      <c r="AD204" s="413" t="n"/>
      <c r="AE204" s="413" t="n"/>
      <c r="AF204" s="413" t="n"/>
      <c r="AG204" s="413" t="n"/>
      <c r="AH204" s="413" t="n"/>
      <c r="AI204" s="413" t="n"/>
      <c r="AJ204" s="413" t="n"/>
      <c r="AK204" s="413" t="n"/>
      <c r="AL204" s="413" t="n"/>
      <c r="AM204" s="413" t="n"/>
      <c r="AN204" s="413" t="n"/>
      <c r="AO204" s="413" t="n"/>
      <c r="AP204" s="1277" t="n"/>
      <c r="BG204" s="769" t="n"/>
      <c r="BH204" s="658" t="n"/>
      <c r="BI204" s="658" t="n"/>
      <c r="BJ204" s="658" t="n"/>
      <c r="BK204" s="658" t="n"/>
      <c r="BL204" s="658" t="n"/>
      <c r="BM204" s="658" t="n"/>
      <c r="BN204" s="658" t="n"/>
      <c r="BO204" s="658" t="n"/>
      <c r="BP204" s="658" t="n"/>
    </row>
    <row r="205" ht="18.75" customHeight="1" s="7635">
      <c r="A205" s="1277" t="n"/>
      <c r="B205" s="8439" t="n">
        <v>27</v>
      </c>
      <c r="D205" s="11602" t="n"/>
      <c r="E205" s="8650" t="inlineStr">
        <is>
          <t>Are you reporting any loss not allowed in a prior year due to the at-risk or basis limitations, a prior year unallowed loss from a</t>
        </is>
      </c>
      <c r="F205" s="344" t="n"/>
      <c r="G205" s="11602" t="n"/>
      <c r="H205" s="11602" t="n"/>
      <c r="I205" s="11602" t="n"/>
      <c r="J205" s="11602" t="n"/>
      <c r="K205" s="11602" t="n"/>
      <c r="L205" s="11602" t="n"/>
      <c r="M205" s="11602" t="n"/>
      <c r="N205" s="11602" t="n"/>
      <c r="O205" s="11602" t="n"/>
      <c r="P205" s="11602" t="n"/>
      <c r="Q205" s="11602" t="n"/>
      <c r="R205" s="11602" t="n"/>
      <c r="S205" s="11602" t="n"/>
      <c r="T205" s="11602" t="n"/>
      <c r="U205" s="11602" t="n"/>
      <c r="V205" s="11602" t="n"/>
      <c r="W205" s="11602" t="n"/>
      <c r="X205" s="11602" t="n"/>
      <c r="Y205" s="11602" t="n"/>
      <c r="Z205" s="11602" t="n"/>
      <c r="AA205" s="11602" t="n"/>
      <c r="AB205" s="11602" t="n"/>
      <c r="AC205" s="11602" t="n"/>
      <c r="AD205" s="11602" t="n"/>
      <c r="AE205" s="11602" t="n"/>
      <c r="AF205" s="11602" t="n"/>
      <c r="AG205" s="11602" t="n"/>
      <c r="AH205" s="11602" t="n"/>
      <c r="AI205" s="11602" t="n"/>
      <c r="AJ205" s="11602" t="n"/>
      <c r="AK205" s="11602" t="n"/>
      <c r="AL205" s="11602" t="n"/>
      <c r="AM205" s="11602" t="n"/>
      <c r="AN205" s="11602" t="n"/>
      <c r="AO205" s="11602" t="n"/>
      <c r="AP205" s="1277" t="n"/>
      <c r="BG205" s="769" t="n"/>
      <c r="BH205" s="658" t="n"/>
      <c r="BI205" s="658" t="n"/>
      <c r="BJ205" s="658" t="n"/>
      <c r="BK205" s="658" t="n"/>
      <c r="BL205" s="658" t="n"/>
      <c r="BM205" s="658" t="n"/>
      <c r="BN205" s="658" t="n"/>
      <c r="BO205" s="658" t="n"/>
      <c r="BP205" s="658" t="n"/>
    </row>
    <row r="206" ht="12.75" customHeight="1" s="7635">
      <c r="A206" s="1277" t="n"/>
      <c r="B206" s="9988" t="n"/>
      <c r="C206" s="6996" t="n"/>
      <c r="D206" s="11602" t="n"/>
      <c r="E206" s="8650" t="inlineStr">
        <is>
          <t>passive activity (if that loss was not reported on Form 8582), or unreimbursed partnership expenses?</t>
        </is>
      </c>
      <c r="F206" s="344" t="n"/>
      <c r="G206" s="11602" t="n"/>
      <c r="H206" s="11602" t="n"/>
      <c r="I206" s="11602" t="n"/>
      <c r="J206" s="11602" t="n"/>
      <c r="K206" s="11602" t="n"/>
      <c r="L206" s="11602" t="n"/>
      <c r="M206" s="11602" t="n"/>
      <c r="N206" s="11602" t="n"/>
      <c r="O206" s="11602" t="n"/>
      <c r="P206" s="11602" t="n"/>
      <c r="Q206" s="11602" t="n"/>
      <c r="R206" s="11602" t="n"/>
      <c r="S206" s="11602" t="n"/>
      <c r="T206" s="11602" t="n"/>
      <c r="U206" s="11602" t="n"/>
      <c r="V206" s="11602" t="n"/>
      <c r="W206" s="11602" t="n"/>
      <c r="X206" s="11602" t="n"/>
      <c r="Y206" s="11602" t="n"/>
      <c r="Z206" s="11602" t="n"/>
      <c r="AA206" s="11602" t="n"/>
      <c r="AB206" s="11602" t="n"/>
      <c r="AC206" s="11602" t="n"/>
      <c r="AD206" s="11602" t="n"/>
      <c r="AE206" s="11602" t="n"/>
      <c r="AF206" s="11602" t="n"/>
      <c r="AG206" s="11602" t="n"/>
      <c r="AH206" s="11602" t="n"/>
      <c r="AI206" s="11602" t="n"/>
      <c r="AJ206" s="11602" t="n"/>
      <c r="AK206" s="11602" t="n"/>
      <c r="AL206" s="11602" t="n"/>
      <c r="AM206" s="11602" t="n"/>
      <c r="AN206" s="11602" t="n"/>
      <c r="AO206" s="11602" t="n"/>
      <c r="AP206" s="1277" t="n"/>
      <c r="BG206" s="769" t="n"/>
      <c r="BH206" s="658" t="n"/>
      <c r="BI206" s="658" t="n"/>
      <c r="BJ206" s="658" t="n"/>
      <c r="BK206" s="658" t="n"/>
      <c r="BL206" s="658" t="n"/>
      <c r="BM206" s="658" t="n"/>
      <c r="BN206" s="658" t="n"/>
      <c r="BO206" s="658" t="n"/>
      <c r="BP206" s="658" t="n"/>
    </row>
    <row r="207" ht="12.75" customHeight="1" s="7635">
      <c r="A207" s="1277" t="n"/>
      <c r="B207" s="11602" t="n"/>
      <c r="C207" s="11602" t="n"/>
      <c r="D207" s="11602" t="n"/>
      <c r="E207" s="8650" t="inlineStr">
        <is>
          <t>If you answered “Yes,” see instructions before completing this section</t>
        </is>
      </c>
      <c r="F207" s="344" t="n"/>
      <c r="G207" s="11602" t="n"/>
      <c r="H207" s="11602" t="n"/>
      <c r="I207" s="11602" t="n"/>
      <c r="J207" s="11602" t="n"/>
      <c r="K207" s="11602" t="n"/>
      <c r="L207" s="11602" t="n"/>
      <c r="M207" s="11602" t="n"/>
      <c r="N207" s="11602" t="n"/>
      <c r="O207" s="11602" t="n"/>
      <c r="P207" s="11602" t="n"/>
      <c r="Q207" s="11602" t="n"/>
      <c r="R207" s="11602" t="n"/>
      <c r="S207" s="11602" t="n"/>
      <c r="T207" s="11602" t="n"/>
      <c r="U207" s="11602" t="n"/>
      <c r="V207" s="11602" t="n"/>
      <c r="W207" s="11602" t="n"/>
      <c r="X207" s="11602" t="n"/>
      <c r="Y207" s="11602" t="n"/>
      <c r="Z207" s="11602" t="n"/>
      <c r="AA207" s="11602" t="n"/>
      <c r="AB207" s="11602" t="n"/>
      <c r="AC207" s="11602" t="n"/>
      <c r="AD207" s="11602" t="n"/>
      <c r="AE207" s="11602" t="n"/>
      <c r="AF207" s="11602" t="n"/>
      <c r="AG207" s="11602" t="n"/>
      <c r="AH207" s="11602" t="n"/>
      <c r="AI207" s="11602" t="n"/>
      <c r="AJ207" s="276" t="n"/>
      <c r="AK207" s="1059" t="inlineStr">
        <is>
          <t xml:space="preserve">  Yes</t>
        </is>
      </c>
      <c r="AL207" s="7762" t="n"/>
      <c r="AM207" s="276" t="n"/>
      <c r="AN207" s="1059" t="inlineStr">
        <is>
          <t xml:space="preserve">  No</t>
        </is>
      </c>
      <c r="AO207" s="7762" t="n"/>
      <c r="AP207" s="1277" t="n"/>
      <c r="BG207" s="769" t="n"/>
      <c r="BH207" s="658" t="n"/>
      <c r="BI207" s="658" t="n"/>
      <c r="BJ207" s="658" t="n"/>
      <c r="BK207" s="658" t="n"/>
      <c r="BL207" s="658" t="n"/>
      <c r="BM207" s="658" t="n"/>
      <c r="BN207" s="658" t="n"/>
      <c r="BO207" s="658" t="n"/>
      <c r="BP207" s="658" t="n"/>
    </row>
    <row r="208" ht="4.5" customHeight="1" s="7635">
      <c r="A208" s="1277" t="n"/>
      <c r="B208" s="413" t="n"/>
      <c r="C208" s="413" t="n"/>
      <c r="D208" s="413" t="n"/>
      <c r="E208" s="413" t="n"/>
      <c r="F208" s="569" t="n"/>
      <c r="G208" s="413" t="n"/>
      <c r="H208" s="413" t="n"/>
      <c r="I208" s="413" t="n"/>
      <c r="J208" s="413" t="n"/>
      <c r="K208" s="413" t="n"/>
      <c r="L208" s="413" t="n"/>
      <c r="M208" s="413" t="n"/>
      <c r="N208" s="413" t="n"/>
      <c r="O208" s="413" t="n"/>
      <c r="P208" s="413" t="n"/>
      <c r="Q208" s="413" t="n"/>
      <c r="R208" s="413" t="n"/>
      <c r="S208" s="413" t="n"/>
      <c r="T208" s="413" t="n"/>
      <c r="U208" s="413" t="n"/>
      <c r="V208" s="413" t="n"/>
      <c r="W208" s="413" t="n"/>
      <c r="X208" s="413" t="n"/>
      <c r="Y208" s="413" t="n"/>
      <c r="Z208" s="413" t="n"/>
      <c r="AA208" s="413" t="n"/>
      <c r="AB208" s="413" t="n"/>
      <c r="AC208" s="413" t="n"/>
      <c r="AD208" s="413" t="n"/>
      <c r="AE208" s="413" t="n"/>
      <c r="AF208" s="413" t="n"/>
      <c r="AG208" s="413" t="n"/>
      <c r="AH208" s="413" t="n"/>
      <c r="AI208" s="413" t="n"/>
      <c r="AJ208" s="413" t="n"/>
      <c r="AK208" s="413" t="n"/>
      <c r="AL208" s="413" t="n"/>
      <c r="AM208" s="413" t="n"/>
      <c r="AN208" s="413" t="n"/>
      <c r="AO208" s="413" t="n"/>
      <c r="AP208" s="1277" t="n"/>
      <c r="BG208" s="769" t="n"/>
      <c r="BH208" s="658" t="n"/>
      <c r="BI208" s="658" t="n"/>
      <c r="BJ208" s="658" t="n"/>
      <c r="BK208" s="658" t="n"/>
      <c r="BL208" s="658" t="n"/>
      <c r="BM208" s="658" t="n"/>
      <c r="BN208" s="658" t="n"/>
      <c r="BO208" s="658" t="n"/>
      <c r="BP208" s="658" t="n"/>
    </row>
    <row r="209" ht="12.75" customHeight="1" s="7635">
      <c r="A209" s="1277" t="n"/>
      <c r="B209" s="11602" t="n"/>
      <c r="C209" s="11602" t="n"/>
      <c r="D209" s="11602" t="n"/>
      <c r="E209" s="11602" t="n"/>
      <c r="F209" s="344" t="n"/>
      <c r="G209" s="11602" t="n"/>
      <c r="H209" s="11602" t="n"/>
      <c r="I209" s="11602" t="n"/>
      <c r="J209" s="11602" t="n"/>
      <c r="K209" s="11602" t="n"/>
      <c r="L209" s="11602" t="n"/>
      <c r="M209" s="11602" t="n"/>
      <c r="N209" s="11602" t="n"/>
      <c r="O209" s="12122" t="inlineStr">
        <is>
          <t>(b)  Enter P for partnership; S 
for S corporation</t>
        </is>
      </c>
      <c r="P209" s="7839" t="n"/>
      <c r="Q209" s="7839" t="n"/>
      <c r="R209" s="7839" t="n"/>
      <c r="S209" s="10091" t="n"/>
      <c r="T209" s="12122" t="inlineStr">
        <is>
          <t>(c)  Check if 
foreign 
partnership</t>
        </is>
      </c>
      <c r="U209" s="7839" t="n"/>
      <c r="V209" s="7839" t="n"/>
      <c r="W209" s="7839" t="n"/>
      <c r="X209" s="10091" t="n"/>
      <c r="Y209" s="12122" t="inlineStr">
        <is>
          <t>(d)  Employer 
identification 
number</t>
        </is>
      </c>
      <c r="Z209" s="7839" t="n"/>
      <c r="AA209" s="7839" t="n"/>
      <c r="AB209" s="7839" t="n"/>
      <c r="AC209" s="7839" t="n"/>
      <c r="AD209" s="7839" t="n"/>
      <c r="AE209" s="10091" t="n"/>
      <c r="AF209" s="12122" t="inlineStr">
        <is>
          <t>(e) Check if 
basis computation 
is required</t>
        </is>
      </c>
      <c r="AG209" s="7839" t="n"/>
      <c r="AH209" s="7839" t="n"/>
      <c r="AI209" s="7839" t="n"/>
      <c r="AJ209" s="10091" t="n"/>
      <c r="AK209" s="9854" t="inlineStr">
        <is>
          <t>(f)  Check if 
any amount is 
not at risk</t>
        </is>
      </c>
      <c r="AL209" s="7839" t="n"/>
      <c r="AM209" s="7839" t="n"/>
      <c r="AN209" s="7839" t="n"/>
      <c r="AO209" s="7839" t="n"/>
      <c r="AP209" s="1277" t="n"/>
      <c r="BG209" s="769" t="n"/>
      <c r="BH209" s="658" t="n"/>
      <c r="BI209" s="658" t="n"/>
      <c r="BJ209" s="658" t="n"/>
      <c r="BK209" s="658" t="n"/>
      <c r="BL209" s="658" t="n"/>
      <c r="BM209" s="658" t="n"/>
      <c r="BN209" s="658" t="n"/>
      <c r="BO209" s="658" t="n"/>
      <c r="BP209" s="658" t="n"/>
    </row>
    <row r="210" ht="12.75" customHeight="1" s="7635">
      <c r="A210" s="1277" t="n"/>
      <c r="B210" s="8439" t="n">
        <v>28</v>
      </c>
      <c r="D210" s="11602" t="n"/>
      <c r="E210" s="11602" t="n"/>
      <c r="F210" s="11602" t="n"/>
      <c r="G210" s="11602" t="n"/>
      <c r="H210" s="344" t="inlineStr">
        <is>
          <t>(a)  Name</t>
        </is>
      </c>
      <c r="I210" s="11602" t="n"/>
      <c r="J210" s="11602" t="n"/>
      <c r="K210" s="11602" t="n"/>
      <c r="L210" s="11602" t="n"/>
      <c r="M210" s="11602" t="n"/>
      <c r="N210" s="11602" t="n"/>
      <c r="O210" s="4772" t="n"/>
      <c r="S210" s="7636" t="n"/>
      <c r="T210" s="4772" t="n"/>
      <c r="X210" s="7636" t="n"/>
      <c r="Y210" s="4772" t="n"/>
      <c r="AE210" s="7636" t="n"/>
      <c r="AF210" s="4772" t="n"/>
      <c r="AJ210" s="7636" t="n"/>
      <c r="AK210" s="4772" t="n"/>
      <c r="AP210" s="1277" t="n"/>
      <c r="BG210" s="769" t="n"/>
      <c r="BH210" s="658" t="n"/>
      <c r="BI210" s="658" t="n"/>
      <c r="BJ210" s="658" t="n"/>
      <c r="BK210" s="658" t="n"/>
      <c r="BL210" s="658" t="n"/>
      <c r="BM210" s="658" t="n"/>
      <c r="BN210" s="658" t="n"/>
      <c r="BO210" s="658" t="n"/>
      <c r="BP210" s="658" t="n"/>
    </row>
    <row r="211" ht="12.75" customHeight="1" s="7635">
      <c r="A211" s="1277" t="n"/>
      <c r="B211" s="413" t="n"/>
      <c r="C211" s="413" t="n"/>
      <c r="D211" s="413" t="n"/>
      <c r="E211" s="413" t="n"/>
      <c r="F211" s="413" t="n"/>
      <c r="G211" s="413" t="n"/>
      <c r="H211" s="413" t="n"/>
      <c r="I211" s="413" t="n"/>
      <c r="J211" s="413" t="n"/>
      <c r="K211" s="413" t="n"/>
      <c r="L211" s="413" t="n"/>
      <c r="M211" s="413" t="n"/>
      <c r="N211" s="413" t="n"/>
      <c r="O211" s="3614" t="n"/>
      <c r="P211" s="7637" t="n"/>
      <c r="Q211" s="7637" t="n"/>
      <c r="R211" s="7637" t="n"/>
      <c r="S211" s="7638" t="n"/>
      <c r="T211" s="3614" t="n"/>
      <c r="U211" s="7637" t="n"/>
      <c r="V211" s="7637" t="n"/>
      <c r="W211" s="7637" t="n"/>
      <c r="X211" s="7638" t="n"/>
      <c r="Y211" s="3614" t="n"/>
      <c r="Z211" s="7637" t="n"/>
      <c r="AA211" s="7637" t="n"/>
      <c r="AB211" s="7637" t="n"/>
      <c r="AC211" s="7637" t="n"/>
      <c r="AD211" s="7637" t="n"/>
      <c r="AE211" s="7638" t="n"/>
      <c r="AF211" s="3614" t="n"/>
      <c r="AG211" s="7637" t="n"/>
      <c r="AH211" s="7637" t="n"/>
      <c r="AI211" s="7637" t="n"/>
      <c r="AJ211" s="7638" t="n"/>
      <c r="AK211" s="3614" t="n"/>
      <c r="AL211" s="7637" t="n"/>
      <c r="AM211" s="7637" t="n"/>
      <c r="AN211" s="7637" t="n"/>
      <c r="AO211" s="7637" t="n"/>
      <c r="AP211" s="1277" t="n"/>
      <c r="BG211" s="769" t="n"/>
      <c r="BH211" s="658" t="n"/>
      <c r="BI211" s="658" t="n"/>
      <c r="BJ211" s="658" t="n"/>
      <c r="BK211" s="658" t="n"/>
      <c r="BL211" s="658" t="n"/>
      <c r="BM211" s="658" t="n"/>
      <c r="BN211" s="658" t="n"/>
      <c r="BO211" s="658" t="n"/>
      <c r="BP211" s="658" t="n"/>
    </row>
    <row r="212" ht="13.5" customHeight="1" s="7635">
      <c r="A212" s="1277" t="n"/>
      <c r="B212" s="4824" t="inlineStr">
        <is>
          <t>A</t>
        </is>
      </c>
      <c r="C212" s="12123" t="n"/>
      <c r="D212" s="8007" t="n"/>
      <c r="E212" s="8007" t="n"/>
      <c r="F212" s="8007" t="n"/>
      <c r="G212" s="8007" t="n"/>
      <c r="H212" s="8007" t="n"/>
      <c r="I212" s="8007" t="n"/>
      <c r="J212" s="8007" t="n"/>
      <c r="K212" s="8007" t="n"/>
      <c r="L212" s="8007" t="n"/>
      <c r="M212" s="8007" t="n"/>
      <c r="N212" s="8008" t="n"/>
      <c r="O212" s="276" t="n"/>
      <c r="P212" s="8007" t="n"/>
      <c r="Q212" s="8007" t="n"/>
      <c r="R212" s="8007" t="n"/>
      <c r="S212" s="8008" t="n"/>
      <c r="T212" s="4771" t="n"/>
      <c r="U212" s="773" t="n"/>
      <c r="V212" s="276" t="n"/>
      <c r="W212" s="773" t="n"/>
      <c r="X212" s="3951" t="n"/>
      <c r="Y212" s="325" t="n"/>
      <c r="Z212" s="8007" t="n"/>
      <c r="AA212" s="8007" t="n"/>
      <c r="AB212" s="8007" t="n"/>
      <c r="AC212" s="8007" t="n"/>
      <c r="AD212" s="8007" t="n"/>
      <c r="AE212" s="8008" t="n"/>
      <c r="AF212" s="4771" t="n"/>
      <c r="AG212" s="773" t="n"/>
      <c r="AH212" s="276" t="n"/>
      <c r="AI212" s="773" t="n"/>
      <c r="AJ212" s="3951" t="n"/>
      <c r="AK212" s="4771" t="n"/>
      <c r="AL212" s="773" t="n"/>
      <c r="AM212" s="276" t="n"/>
      <c r="AN212" s="773" t="n"/>
      <c r="AO212" s="773" t="n"/>
      <c r="AP212" s="1277" t="n"/>
      <c r="BG212" s="769" t="n"/>
      <c r="BH212" s="658" t="n"/>
      <c r="BI212" s="658" t="n"/>
      <c r="BJ212" s="658" t="n"/>
      <c r="BK212" s="658" t="n"/>
      <c r="BL212" s="658" t="n"/>
      <c r="BM212" s="658" t="n"/>
      <c r="BN212" s="658" t="n"/>
      <c r="BO212" s="658" t="n"/>
      <c r="BP212" s="658" t="n"/>
    </row>
    <row r="213" ht="13.5" customHeight="1" s="7635">
      <c r="A213" s="1277" t="n"/>
      <c r="B213" s="4824" t="inlineStr">
        <is>
          <t>B</t>
        </is>
      </c>
      <c r="C213" s="12123" t="n"/>
      <c r="D213" s="8007" t="n"/>
      <c r="E213" s="8007" t="n"/>
      <c r="F213" s="8007" t="n"/>
      <c r="G213" s="8007" t="n"/>
      <c r="H213" s="8007" t="n"/>
      <c r="I213" s="8007" t="n"/>
      <c r="J213" s="8007" t="n"/>
      <c r="K213" s="8007" t="n"/>
      <c r="L213" s="8007" t="n"/>
      <c r="M213" s="8007" t="n"/>
      <c r="N213" s="8008" t="n"/>
      <c r="O213" s="276" t="n"/>
      <c r="P213" s="8007" t="n"/>
      <c r="Q213" s="8007" t="n"/>
      <c r="R213" s="8007" t="n"/>
      <c r="S213" s="8008" t="n"/>
      <c r="T213" s="4771" t="n"/>
      <c r="U213" s="773" t="n"/>
      <c r="V213" s="276" t="n"/>
      <c r="W213" s="773" t="n"/>
      <c r="X213" s="3951" t="n"/>
      <c r="Y213" s="325" t="n"/>
      <c r="Z213" s="8007" t="n"/>
      <c r="AA213" s="8007" t="n"/>
      <c r="AB213" s="8007" t="n"/>
      <c r="AC213" s="8007" t="n"/>
      <c r="AD213" s="8007" t="n"/>
      <c r="AE213" s="8008" t="n"/>
      <c r="AF213" s="4771" t="n"/>
      <c r="AG213" s="773" t="n"/>
      <c r="AH213" s="276" t="n"/>
      <c r="AI213" s="773" t="n"/>
      <c r="AJ213" s="3951" t="n"/>
      <c r="AK213" s="4771" t="n"/>
      <c r="AL213" s="773" t="n"/>
      <c r="AM213" s="276" t="n"/>
      <c r="AN213" s="773" t="n"/>
      <c r="AO213" s="773" t="n"/>
      <c r="AP213" s="1277" t="n"/>
      <c r="BG213" s="769" t="n"/>
      <c r="BH213" s="658" t="n"/>
      <c r="BI213" s="658" t="n"/>
      <c r="BJ213" s="658" t="n"/>
      <c r="BK213" s="658" t="n"/>
      <c r="BL213" s="658" t="n"/>
      <c r="BM213" s="658" t="n"/>
      <c r="BN213" s="658" t="n"/>
      <c r="BO213" s="658" t="n"/>
      <c r="BP213" s="658" t="n"/>
    </row>
    <row r="214" ht="13.5" customHeight="1" s="7635">
      <c r="A214" s="1277" t="n"/>
      <c r="B214" s="4824" t="inlineStr">
        <is>
          <t>C</t>
        </is>
      </c>
      <c r="C214" s="12123" t="n"/>
      <c r="D214" s="8007" t="n"/>
      <c r="E214" s="8007" t="n"/>
      <c r="F214" s="8007" t="n"/>
      <c r="G214" s="8007" t="n"/>
      <c r="H214" s="8007" t="n"/>
      <c r="I214" s="8007" t="n"/>
      <c r="J214" s="8007" t="n"/>
      <c r="K214" s="8007" t="n"/>
      <c r="L214" s="8007" t="n"/>
      <c r="M214" s="8007" t="n"/>
      <c r="N214" s="8008" t="n"/>
      <c r="O214" s="276" t="n"/>
      <c r="P214" s="8007" t="n"/>
      <c r="Q214" s="8007" t="n"/>
      <c r="R214" s="8007" t="n"/>
      <c r="S214" s="8008" t="n"/>
      <c r="T214" s="4771" t="n"/>
      <c r="U214" s="773" t="n"/>
      <c r="V214" s="276" t="n"/>
      <c r="W214" s="773" t="n"/>
      <c r="X214" s="3951" t="n"/>
      <c r="Y214" s="325" t="n"/>
      <c r="Z214" s="8007" t="n"/>
      <c r="AA214" s="8007" t="n"/>
      <c r="AB214" s="8007" t="n"/>
      <c r="AC214" s="8007" t="n"/>
      <c r="AD214" s="8007" t="n"/>
      <c r="AE214" s="8008" t="n"/>
      <c r="AF214" s="4771" t="n"/>
      <c r="AG214" s="773" t="n"/>
      <c r="AH214" s="276" t="n"/>
      <c r="AI214" s="773" t="n"/>
      <c r="AJ214" s="3951" t="n"/>
      <c r="AK214" s="4771" t="n"/>
      <c r="AL214" s="773" t="n"/>
      <c r="AM214" s="276" t="n"/>
      <c r="AN214" s="773" t="n"/>
      <c r="AO214" s="773" t="n"/>
      <c r="AP214" s="1277" t="n"/>
      <c r="BG214" s="769" t="n"/>
      <c r="BH214" s="658" t="n"/>
      <c r="BI214" s="658" t="n"/>
      <c r="BJ214" s="658" t="n"/>
      <c r="BK214" s="658" t="n"/>
      <c r="BL214" s="658" t="n"/>
      <c r="BM214" s="658" t="n"/>
      <c r="BN214" s="658" t="n"/>
      <c r="BO214" s="658" t="n"/>
      <c r="BP214" s="658" t="n"/>
    </row>
    <row r="215" ht="13.5" customHeight="1" s="7635">
      <c r="A215" s="1277" t="n"/>
      <c r="B215" s="4824" t="inlineStr">
        <is>
          <t>D</t>
        </is>
      </c>
      <c r="C215" s="12123" t="n"/>
      <c r="D215" s="8007" t="n"/>
      <c r="E215" s="8007" t="n"/>
      <c r="F215" s="8007" t="n"/>
      <c r="G215" s="8007" t="n"/>
      <c r="H215" s="8007" t="n"/>
      <c r="I215" s="8007" t="n"/>
      <c r="J215" s="8007" t="n"/>
      <c r="K215" s="8007" t="n"/>
      <c r="L215" s="8007" t="n"/>
      <c r="M215" s="8007" t="n"/>
      <c r="N215" s="8008" t="n"/>
      <c r="O215" s="276" t="n"/>
      <c r="P215" s="8007" t="n"/>
      <c r="Q215" s="8007" t="n"/>
      <c r="R215" s="8007" t="n"/>
      <c r="S215" s="8008" t="n"/>
      <c r="T215" s="4771" t="n"/>
      <c r="U215" s="773" t="n"/>
      <c r="V215" s="276" t="n"/>
      <c r="W215" s="773" t="n"/>
      <c r="X215" s="3951" t="n"/>
      <c r="Y215" s="325" t="n"/>
      <c r="Z215" s="8007" t="n"/>
      <c r="AA215" s="8007" t="n"/>
      <c r="AB215" s="8007" t="n"/>
      <c r="AC215" s="8007" t="n"/>
      <c r="AD215" s="8007" t="n"/>
      <c r="AE215" s="8008" t="n"/>
      <c r="AF215" s="4771" t="n"/>
      <c r="AG215" s="773" t="n"/>
      <c r="AH215" s="276" t="n"/>
      <c r="AI215" s="773" t="n"/>
      <c r="AJ215" s="3951" t="n"/>
      <c r="AK215" s="4771" t="n"/>
      <c r="AL215" s="773" t="n"/>
      <c r="AM215" s="276" t="n"/>
      <c r="AN215" s="773" t="n"/>
      <c r="AO215" s="773" t="n"/>
      <c r="AP215" s="1277" t="n"/>
      <c r="BG215" s="769" t="n"/>
      <c r="BH215" s="658" t="n"/>
      <c r="BI215" s="658" t="n"/>
      <c r="BJ215" s="658" t="n"/>
      <c r="BK215" s="658" t="n"/>
      <c r="BL215" s="658" t="n"/>
      <c r="BM215" s="658" t="n"/>
      <c r="BN215" s="658" t="n"/>
      <c r="BO215" s="658" t="n"/>
      <c r="BP215" s="658" t="n"/>
    </row>
    <row r="216" ht="17.25" customHeight="1" s="7635">
      <c r="A216" s="1277" t="n"/>
      <c r="B216" s="8384" t="inlineStr">
        <is>
          <t>Passive Income and Loss</t>
        </is>
      </c>
      <c r="C216" s="7839" t="n"/>
      <c r="D216" s="7839" t="n"/>
      <c r="E216" s="7839" t="n"/>
      <c r="F216" s="7839" t="n"/>
      <c r="G216" s="7839" t="n"/>
      <c r="H216" s="7839" t="n"/>
      <c r="I216" s="7839" t="n"/>
      <c r="J216" s="7839" t="n"/>
      <c r="K216" s="7839" t="n"/>
      <c r="L216" s="7839" t="n"/>
      <c r="M216" s="7839" t="n"/>
      <c r="N216" s="7839" t="n"/>
      <c r="O216" s="7839" t="n"/>
      <c r="P216" s="7839" t="n"/>
      <c r="Q216" s="7839" t="n"/>
      <c r="R216" s="7839" t="n"/>
      <c r="S216" s="8477" t="inlineStr">
        <is>
          <t>Nonpassive Income and Loss</t>
        </is>
      </c>
      <c r="T216" s="8412" t="n"/>
      <c r="U216" s="8412" t="n"/>
      <c r="V216" s="8412" t="n"/>
      <c r="W216" s="8412" t="n"/>
      <c r="X216" s="8412" t="n"/>
      <c r="Y216" s="8412" t="n"/>
      <c r="Z216" s="8412" t="n"/>
      <c r="AA216" s="8412" t="n"/>
      <c r="AB216" s="8412" t="n"/>
      <c r="AC216" s="8412" t="n"/>
      <c r="AD216" s="8412" t="n"/>
      <c r="AE216" s="8412" t="n"/>
      <c r="AF216" s="8412" t="n"/>
      <c r="AG216" s="8412" t="n"/>
      <c r="AH216" s="8412" t="n"/>
      <c r="AI216" s="8412" t="n"/>
      <c r="AJ216" s="8412" t="n"/>
      <c r="AK216" s="8412" t="n"/>
      <c r="AL216" s="8412" t="n"/>
      <c r="AM216" s="8412" t="n"/>
      <c r="AN216" s="8412" t="n"/>
      <c r="AO216" s="8412" t="n"/>
      <c r="AP216" s="1277" t="n"/>
      <c r="BG216" s="769" t="n"/>
      <c r="BH216" s="658" t="n"/>
      <c r="BI216" s="658" t="n"/>
      <c r="BJ216" s="658" t="n"/>
      <c r="BK216" s="658" t="n"/>
      <c r="BL216" s="658" t="n"/>
      <c r="BM216" s="658" t="n"/>
      <c r="BN216" s="658" t="n"/>
      <c r="BO216" s="658" t="n"/>
      <c r="BP216" s="658" t="n"/>
    </row>
    <row r="217" ht="12.75" customHeight="1" s="7635">
      <c r="A217" s="1277" t="n"/>
      <c r="B217" s="406" t="n"/>
      <c r="C217" s="12124" t="inlineStr">
        <is>
          <t>(g)  Passive loss allowed
(attach Form 8582 if required)</t>
        </is>
      </c>
      <c r="D217" s="7839" t="n"/>
      <c r="E217" s="7839" t="n"/>
      <c r="F217" s="7839" t="n"/>
      <c r="G217" s="7839" t="n"/>
      <c r="H217" s="7839" t="n"/>
      <c r="I217" s="7839" t="n"/>
      <c r="J217" s="10091" t="n"/>
      <c r="K217" s="10176" t="inlineStr">
        <is>
          <t>(h)  Passive income
from Schedule K-1</t>
        </is>
      </c>
      <c r="L217" s="7839" t="n"/>
      <c r="M217" s="7839" t="n"/>
      <c r="N217" s="7839" t="n"/>
      <c r="O217" s="7839" t="n"/>
      <c r="P217" s="7839" t="n"/>
      <c r="Q217" s="7839" t="n"/>
      <c r="R217" s="7839" t="n"/>
      <c r="S217" s="12125" t="inlineStr">
        <is>
          <t>(i)  Nonpassive loss allowed
(see Schedule K-1)</t>
        </is>
      </c>
      <c r="T217" s="7839" t="n"/>
      <c r="U217" s="7839" t="n"/>
      <c r="V217" s="7839" t="n"/>
      <c r="W217" s="7839" t="n"/>
      <c r="X217" s="7839" t="n"/>
      <c r="Y217" s="10091" t="n"/>
      <c r="Z217" s="12126" t="inlineStr">
        <is>
          <t>(j)  Section 179 expense
deduction from Form 4562</t>
        </is>
      </c>
      <c r="AA217" s="7839" t="n"/>
      <c r="AB217" s="7839" t="n"/>
      <c r="AC217" s="7839" t="n"/>
      <c r="AD217" s="7839" t="n"/>
      <c r="AE217" s="7839" t="n"/>
      <c r="AF217" s="7839" t="n"/>
      <c r="AG217" s="10091" t="n"/>
      <c r="AH217" s="10176" t="inlineStr">
        <is>
          <t>(k)  Nonpassive income
from Schedule K-1</t>
        </is>
      </c>
      <c r="AI217" s="7839" t="n"/>
      <c r="AJ217" s="7839" t="n"/>
      <c r="AK217" s="7839" t="n"/>
      <c r="AL217" s="7839" t="n"/>
      <c r="AM217" s="7839" t="n"/>
      <c r="AN217" s="7839" t="n"/>
      <c r="AO217" s="7839" t="n"/>
      <c r="AP217" s="1277" t="n"/>
      <c r="BG217" s="769" t="n"/>
      <c r="BH217" s="658" t="n"/>
      <c r="BI217" s="658" t="n"/>
      <c r="BJ217" s="658" t="n"/>
      <c r="BK217" s="658" t="n"/>
      <c r="BL217" s="658" t="n"/>
      <c r="BM217" s="658" t="n"/>
      <c r="BN217" s="658" t="n"/>
      <c r="BO217" s="658" t="n"/>
      <c r="BP217" s="658" t="n"/>
    </row>
    <row r="218" ht="12.75" customHeight="1" s="7635">
      <c r="A218" s="1277" t="n"/>
      <c r="B218" s="11602" t="n"/>
      <c r="J218" s="7636" t="n"/>
      <c r="K218" s="4772" t="n"/>
      <c r="S218" s="11741" t="n"/>
      <c r="Y218" s="7636" t="n"/>
      <c r="Z218" s="4772" t="n"/>
      <c r="AG218" s="7636" t="n"/>
      <c r="AH218" s="4772" t="n"/>
      <c r="AP218" s="1277" t="n"/>
      <c r="BG218" s="769" t="n"/>
      <c r="BH218" s="658" t="n"/>
      <c r="BI218" s="658" t="n"/>
      <c r="BJ218" s="658" t="n"/>
      <c r="BK218" s="658" t="n"/>
      <c r="BL218" s="658" t="n"/>
      <c r="BM218" s="658" t="n"/>
      <c r="BN218" s="658" t="n"/>
      <c r="BO218" s="658" t="n"/>
      <c r="BP218" s="658" t="n"/>
    </row>
    <row r="219" ht="12.75" customHeight="1" s="7635">
      <c r="A219" s="1277" t="n"/>
      <c r="B219" s="413" t="n"/>
      <c r="C219" s="7637" t="n"/>
      <c r="D219" s="7637" t="n"/>
      <c r="E219" s="7637" t="n"/>
      <c r="F219" s="7637" t="n"/>
      <c r="G219" s="7637" t="n"/>
      <c r="H219" s="7637" t="n"/>
      <c r="I219" s="7637" t="n"/>
      <c r="J219" s="7638" t="n"/>
      <c r="K219" s="3614" t="n"/>
      <c r="L219" s="7637" t="n"/>
      <c r="M219" s="7637" t="n"/>
      <c r="N219" s="7637" t="n"/>
      <c r="O219" s="7637" t="n"/>
      <c r="P219" s="7637" t="n"/>
      <c r="Q219" s="7637" t="n"/>
      <c r="R219" s="7637" t="n"/>
      <c r="S219" s="11907" t="n"/>
      <c r="T219" s="7637" t="n"/>
      <c r="U219" s="7637" t="n"/>
      <c r="V219" s="7637" t="n"/>
      <c r="W219" s="7637" t="n"/>
      <c r="X219" s="7637" t="n"/>
      <c r="Y219" s="7638" t="n"/>
      <c r="Z219" s="3614" t="n"/>
      <c r="AA219" s="7637" t="n"/>
      <c r="AB219" s="7637" t="n"/>
      <c r="AC219" s="7637" t="n"/>
      <c r="AD219" s="7637" t="n"/>
      <c r="AE219" s="7637" t="n"/>
      <c r="AF219" s="7637" t="n"/>
      <c r="AG219" s="7638" t="n"/>
      <c r="AH219" s="3614" t="n"/>
      <c r="AI219" s="7637" t="n"/>
      <c r="AJ219" s="7637" t="n"/>
      <c r="AK219" s="7637" t="n"/>
      <c r="AL219" s="7637" t="n"/>
      <c r="AM219" s="7637" t="n"/>
      <c r="AN219" s="7637" t="n"/>
      <c r="AO219" s="7637" t="n"/>
      <c r="AP219" s="1277" t="n"/>
      <c r="BG219" s="769" t="n"/>
      <c r="BH219" s="658" t="n"/>
      <c r="BI219" s="658" t="n"/>
      <c r="BJ219" s="658" t="n"/>
      <c r="BK219" s="658" t="n"/>
      <c r="BL219" s="658" t="n"/>
      <c r="BM219" s="658" t="n"/>
      <c r="BN219" s="658" t="n"/>
      <c r="BO219" s="658" t="n"/>
      <c r="BP219" s="658" t="n"/>
    </row>
    <row r="220" ht="13.5" customHeight="1" s="7635">
      <c r="A220" s="1277" t="n"/>
      <c r="B220" s="11220" t="inlineStr">
        <is>
          <t>A</t>
        </is>
      </c>
      <c r="C220" s="8401" t="n"/>
      <c r="D220" s="8007" t="n"/>
      <c r="E220" s="8007" t="n"/>
      <c r="F220" s="8007" t="n"/>
      <c r="G220" s="8007" t="n"/>
      <c r="H220" s="8007" t="n"/>
      <c r="I220" s="8007" t="n"/>
      <c r="J220" s="8008" t="n"/>
      <c r="K220" s="12127" t="n"/>
      <c r="L220" s="8007" t="n"/>
      <c r="M220" s="8007" t="n"/>
      <c r="N220" s="8007" t="n"/>
      <c r="O220" s="8007" t="n"/>
      <c r="P220" s="8007" t="n"/>
      <c r="Q220" s="8007" t="n"/>
      <c r="R220" s="12128" t="n"/>
      <c r="S220" s="8402" t="n"/>
      <c r="T220" s="8007" t="n"/>
      <c r="U220" s="8007" t="n"/>
      <c r="V220" s="8007" t="n"/>
      <c r="W220" s="8007" t="n"/>
      <c r="X220" s="8007" t="n"/>
      <c r="Y220" s="8007" t="n"/>
      <c r="Z220" s="8401" t="n"/>
      <c r="AA220" s="8007" t="n"/>
      <c r="AB220" s="8007" t="n"/>
      <c r="AC220" s="8007" t="n"/>
      <c r="AD220" s="8007" t="n"/>
      <c r="AE220" s="8007" t="n"/>
      <c r="AF220" s="8007" t="n"/>
      <c r="AG220" s="8008" t="n"/>
      <c r="AH220" s="8402" t="n"/>
      <c r="AI220" s="8007" t="n"/>
      <c r="AJ220" s="8007" t="n"/>
      <c r="AK220" s="8007" t="n"/>
      <c r="AL220" s="8007" t="n"/>
      <c r="AM220" s="8007" t="n"/>
      <c r="AN220" s="8007" t="n"/>
      <c r="AO220" s="8007" t="n"/>
      <c r="AP220" s="1277" t="n"/>
      <c r="BG220" s="769" t="n"/>
      <c r="BH220" s="658" t="n"/>
      <c r="BI220" s="658" t="n"/>
      <c r="BJ220" s="658" t="n"/>
      <c r="BK220" s="658" t="n"/>
      <c r="BL220" s="658" t="n"/>
      <c r="BM220" s="658" t="n"/>
      <c r="BN220" s="658" t="n"/>
      <c r="BO220" s="658" t="n"/>
      <c r="BP220" s="658" t="n"/>
    </row>
    <row r="221" ht="13.5" customHeight="1" s="7635">
      <c r="A221" s="1277" t="n"/>
      <c r="B221" s="4824" t="inlineStr">
        <is>
          <t>B</t>
        </is>
      </c>
      <c r="C221" s="8401" t="n"/>
      <c r="D221" s="8007" t="n"/>
      <c r="E221" s="8007" t="n"/>
      <c r="F221" s="8007" t="n"/>
      <c r="G221" s="8007" t="n"/>
      <c r="H221" s="8007" t="n"/>
      <c r="I221" s="8007" t="n"/>
      <c r="J221" s="8008" t="n"/>
      <c r="K221" s="12127" t="n"/>
      <c r="L221" s="8007" t="n"/>
      <c r="M221" s="8007" t="n"/>
      <c r="N221" s="8007" t="n"/>
      <c r="O221" s="8007" t="n"/>
      <c r="P221" s="8007" t="n"/>
      <c r="Q221" s="8007" t="n"/>
      <c r="R221" s="12128" t="n"/>
      <c r="S221" s="8402" t="n"/>
      <c r="T221" s="8007" t="n"/>
      <c r="U221" s="8007" t="n"/>
      <c r="V221" s="8007" t="n"/>
      <c r="W221" s="8007" t="n"/>
      <c r="X221" s="8007" t="n"/>
      <c r="Y221" s="8007" t="n"/>
      <c r="Z221" s="8401" t="n"/>
      <c r="AA221" s="8007" t="n"/>
      <c r="AB221" s="8007" t="n"/>
      <c r="AC221" s="8007" t="n"/>
      <c r="AD221" s="8007" t="n"/>
      <c r="AE221" s="8007" t="n"/>
      <c r="AF221" s="8007" t="n"/>
      <c r="AG221" s="8008" t="n"/>
      <c r="AH221" s="8402" t="n"/>
      <c r="AI221" s="8007" t="n"/>
      <c r="AJ221" s="8007" t="n"/>
      <c r="AK221" s="8007" t="n"/>
      <c r="AL221" s="8007" t="n"/>
      <c r="AM221" s="8007" t="n"/>
      <c r="AN221" s="8007" t="n"/>
      <c r="AO221" s="8007" t="n"/>
      <c r="AP221" s="1277" t="n"/>
      <c r="BG221" s="769" t="n"/>
      <c r="BH221" s="658" t="n"/>
      <c r="BI221" s="658" t="n"/>
      <c r="BJ221" s="658" t="n"/>
      <c r="BK221" s="658" t="n"/>
      <c r="BL221" s="658" t="n"/>
      <c r="BM221" s="658" t="n"/>
      <c r="BN221" s="658" t="n"/>
      <c r="BO221" s="658" t="n"/>
      <c r="BP221" s="658" t="n"/>
    </row>
    <row r="222" ht="13.5" customHeight="1" s="7635">
      <c r="A222" s="1277" t="n"/>
      <c r="B222" s="4824" t="inlineStr">
        <is>
          <t>C</t>
        </is>
      </c>
      <c r="C222" s="8401" t="n"/>
      <c r="D222" s="8007" t="n"/>
      <c r="E222" s="8007" t="n"/>
      <c r="F222" s="8007" t="n"/>
      <c r="G222" s="8007" t="n"/>
      <c r="H222" s="8007" t="n"/>
      <c r="I222" s="8007" t="n"/>
      <c r="J222" s="8008" t="n"/>
      <c r="K222" s="12127" t="n"/>
      <c r="L222" s="8007" t="n"/>
      <c r="M222" s="8007" t="n"/>
      <c r="N222" s="8007" t="n"/>
      <c r="O222" s="8007" t="n"/>
      <c r="P222" s="8007" t="n"/>
      <c r="Q222" s="8007" t="n"/>
      <c r="R222" s="12128" t="n"/>
      <c r="S222" s="8402" t="n"/>
      <c r="T222" s="8007" t="n"/>
      <c r="U222" s="8007" t="n"/>
      <c r="V222" s="8007" t="n"/>
      <c r="W222" s="8007" t="n"/>
      <c r="X222" s="8007" t="n"/>
      <c r="Y222" s="8007" t="n"/>
      <c r="Z222" s="8401" t="n"/>
      <c r="AA222" s="8007" t="n"/>
      <c r="AB222" s="8007" t="n"/>
      <c r="AC222" s="8007" t="n"/>
      <c r="AD222" s="8007" t="n"/>
      <c r="AE222" s="8007" t="n"/>
      <c r="AF222" s="8007" t="n"/>
      <c r="AG222" s="8008" t="n"/>
      <c r="AH222" s="8402" t="n"/>
      <c r="AI222" s="8007" t="n"/>
      <c r="AJ222" s="8007" t="n"/>
      <c r="AK222" s="8007" t="n"/>
      <c r="AL222" s="8007" t="n"/>
      <c r="AM222" s="8007" t="n"/>
      <c r="AN222" s="8007" t="n"/>
      <c r="AO222" s="8007" t="n"/>
      <c r="AP222" s="1277" t="n"/>
      <c r="BG222" s="769" t="n"/>
      <c r="BH222" s="658" t="n"/>
      <c r="BI222" s="658" t="n"/>
      <c r="BJ222" s="658" t="n"/>
      <c r="BK222" s="658" t="n"/>
      <c r="BL222" s="658" t="n"/>
      <c r="BM222" s="658" t="n"/>
      <c r="BN222" s="658" t="n"/>
      <c r="BO222" s="658" t="n"/>
      <c r="BP222" s="658" t="n"/>
    </row>
    <row r="223" ht="13.5" customHeight="1" s="7635">
      <c r="A223" s="1277" t="n"/>
      <c r="B223" s="4824" t="inlineStr">
        <is>
          <t>D</t>
        </is>
      </c>
      <c r="C223" s="8401" t="n"/>
      <c r="D223" s="8007" t="n"/>
      <c r="E223" s="8007" t="n"/>
      <c r="F223" s="8007" t="n"/>
      <c r="G223" s="8007" t="n"/>
      <c r="H223" s="8007" t="n"/>
      <c r="I223" s="8007" t="n"/>
      <c r="J223" s="8008" t="n"/>
      <c r="K223" s="12127" t="n"/>
      <c r="L223" s="8007" t="n"/>
      <c r="M223" s="8007" t="n"/>
      <c r="N223" s="8007" t="n"/>
      <c r="O223" s="8007" t="n"/>
      <c r="P223" s="8007" t="n"/>
      <c r="Q223" s="8007" t="n"/>
      <c r="R223" s="12128" t="n"/>
      <c r="S223" s="8402" t="n"/>
      <c r="T223" s="8007" t="n"/>
      <c r="U223" s="8007" t="n"/>
      <c r="V223" s="8007" t="n"/>
      <c r="W223" s="8007" t="n"/>
      <c r="X223" s="8007" t="n"/>
      <c r="Y223" s="8007" t="n"/>
      <c r="Z223" s="8401" t="n"/>
      <c r="AA223" s="8007" t="n"/>
      <c r="AB223" s="8007" t="n"/>
      <c r="AC223" s="8007" t="n"/>
      <c r="AD223" s="8007" t="n"/>
      <c r="AE223" s="8007" t="n"/>
      <c r="AF223" s="8007" t="n"/>
      <c r="AG223" s="8008" t="n"/>
      <c r="AH223" s="8402" t="n"/>
      <c r="AI223" s="8007" t="n"/>
      <c r="AJ223" s="8007" t="n"/>
      <c r="AK223" s="8007" t="n"/>
      <c r="AL223" s="8007" t="n"/>
      <c r="AM223" s="8007" t="n"/>
      <c r="AN223" s="8007" t="n"/>
      <c r="AO223" s="8007" t="n"/>
      <c r="AP223" s="1277" t="n"/>
      <c r="BG223" s="769" t="n"/>
      <c r="BH223" s="658" t="n"/>
      <c r="BI223" s="658" t="n"/>
      <c r="BJ223" s="658" t="n"/>
      <c r="BK223" s="658" t="n"/>
      <c r="BL223" s="658" t="n"/>
      <c r="BM223" s="658" t="n"/>
      <c r="BN223" s="658" t="n"/>
      <c r="BO223" s="658" t="n"/>
      <c r="BP223" s="658" t="n"/>
    </row>
    <row r="224" ht="13.5" customHeight="1" s="7635">
      <c r="A224" s="1277" t="n"/>
      <c r="B224" s="8384" t="inlineStr">
        <is>
          <t>29a</t>
        </is>
      </c>
      <c r="C224" s="7839" t="n"/>
      <c r="D224" s="9892" t="n"/>
      <c r="E224" s="9892" t="inlineStr">
        <is>
          <t>Totals</t>
        </is>
      </c>
      <c r="F224" s="4825" t="n"/>
      <c r="G224" s="3835" t="n"/>
      <c r="H224" s="3835" t="n"/>
      <c r="I224" s="3835" t="n"/>
      <c r="J224" s="4826" t="n"/>
      <c r="K224" s="12129">
        <f>ROUND(SUM(K220:K223),0)</f>
        <v/>
      </c>
      <c r="L224" s="8412" t="n"/>
      <c r="M224" s="8412" t="n"/>
      <c r="N224" s="8412" t="n"/>
      <c r="O224" s="8412" t="n"/>
      <c r="P224" s="8412" t="n"/>
      <c r="Q224" s="8412" t="n"/>
      <c r="R224" s="12130" t="n"/>
      <c r="S224" s="8486" t="n"/>
      <c r="T224" s="8007" t="n"/>
      <c r="U224" s="8007" t="n"/>
      <c r="V224" s="8007" t="n"/>
      <c r="W224" s="8007" t="n"/>
      <c r="X224" s="8007" t="n"/>
      <c r="Y224" s="8007" t="n"/>
      <c r="Z224" s="3835" t="n"/>
      <c r="AA224" s="3835" t="n"/>
      <c r="AB224" s="3835" t="n"/>
      <c r="AC224" s="3835" t="n"/>
      <c r="AD224" s="3835" t="n"/>
      <c r="AE224" s="3835" t="n"/>
      <c r="AF224" s="3835" t="n"/>
      <c r="AG224" s="4826" t="n"/>
      <c r="AH224" s="8408">
        <f>ROUND(SUM(AH220:AH223),0)</f>
        <v/>
      </c>
      <c r="AI224" s="8412" t="n"/>
      <c r="AJ224" s="8412" t="n"/>
      <c r="AK224" s="8412" t="n"/>
      <c r="AL224" s="8412" t="n"/>
      <c r="AM224" s="8412" t="n"/>
      <c r="AN224" s="8412" t="n"/>
      <c r="AO224" s="8412" t="n"/>
      <c r="AP224" s="1277" t="n"/>
      <c r="BG224" s="769" t="n"/>
      <c r="BH224" s="658" t="n"/>
      <c r="BI224" s="658" t="n"/>
      <c r="BJ224" s="658" t="n"/>
      <c r="BK224" s="658" t="n"/>
      <c r="BL224" s="658" t="n"/>
      <c r="BM224" s="658" t="n"/>
      <c r="BN224" s="658" t="n"/>
      <c r="BO224" s="658" t="n"/>
      <c r="BP224" s="658" t="n"/>
    </row>
    <row r="225" ht="13.5" customHeight="1" s="7635">
      <c r="A225" s="1277" t="n"/>
      <c r="B225" s="7899" t="inlineStr">
        <is>
          <t>b</t>
        </is>
      </c>
      <c r="D225" s="8650" t="n"/>
      <c r="E225" s="9892" t="inlineStr">
        <is>
          <t>Totals</t>
        </is>
      </c>
      <c r="F225" s="12131">
        <f>ROUND(SUM(C220:C223),0)</f>
        <v/>
      </c>
      <c r="G225" s="8412" t="n"/>
      <c r="H225" s="8412" t="n"/>
      <c r="I225" s="8412" t="n"/>
      <c r="J225" s="11734" t="n"/>
      <c r="K225" s="12132" t="n"/>
      <c r="L225" s="8412" t="n"/>
      <c r="M225" s="8412" t="n"/>
      <c r="N225" s="8412" t="n"/>
      <c r="O225" s="8412" t="n"/>
      <c r="P225" s="8412" t="n"/>
      <c r="Q225" s="8412" t="n"/>
      <c r="R225" s="12130" t="n"/>
      <c r="S225" s="12133">
        <f>ROUND(SUM(S220:S223),0)</f>
        <v/>
      </c>
      <c r="T225" s="8412" t="n"/>
      <c r="U225" s="8412" t="n"/>
      <c r="V225" s="8412" t="n"/>
      <c r="W225" s="8412" t="n"/>
      <c r="X225" s="8412" t="n"/>
      <c r="Y225" s="11734" t="n"/>
      <c r="Z225" s="8494">
        <f>ROUND(SUM(Z220:Z223),0)</f>
        <v/>
      </c>
      <c r="AA225" s="8412" t="n"/>
      <c r="AB225" s="8412" t="n"/>
      <c r="AC225" s="8412" t="n"/>
      <c r="AD225" s="8412" t="n"/>
      <c r="AE225" s="8412" t="n"/>
      <c r="AF225" s="8412" t="n"/>
      <c r="AG225" s="11734" t="n"/>
      <c r="AH225" s="8495" t="n"/>
      <c r="AI225" s="8412" t="n"/>
      <c r="AJ225" s="8412" t="n"/>
      <c r="AK225" s="8412" t="n"/>
      <c r="AL225" s="8412" t="n"/>
      <c r="AM225" s="8412" t="n"/>
      <c r="AN225" s="8412" t="n"/>
      <c r="AO225" s="11734" t="n"/>
      <c r="AP225" s="1277" t="n"/>
      <c r="BG225" s="769" t="n"/>
      <c r="BH225" s="658" t="n"/>
      <c r="BI225" s="658" t="n"/>
      <c r="BJ225" s="658" t="n"/>
      <c r="BK225" s="658" t="n"/>
      <c r="BL225" s="658" t="n"/>
      <c r="BM225" s="658" t="n"/>
      <c r="BN225" s="658" t="n"/>
      <c r="BO225" s="658" t="n"/>
      <c r="BP225" s="658" t="n"/>
    </row>
    <row r="226" ht="12.75" customHeight="1" s="7635">
      <c r="A226" s="1277" t="n"/>
      <c r="B226" s="7642" t="n">
        <v>30</v>
      </c>
      <c r="D226" s="8650" t="inlineStr">
        <is>
          <t>Add columns (h) and (k) of line 29a</t>
        </is>
      </c>
      <c r="E226" s="11602" t="n"/>
      <c r="F226" s="11602" t="n"/>
      <c r="G226" s="11602" t="n"/>
      <c r="H226" s="11602" t="n"/>
      <c r="I226" s="11602" t="n"/>
      <c r="J226" s="11602" t="n"/>
      <c r="K226" s="11602" t="n"/>
      <c r="L226" s="11602" t="n"/>
      <c r="M226" s="11602" t="n"/>
      <c r="N226" s="11602" t="n"/>
      <c r="O226" s="11602" t="n"/>
      <c r="P226" s="11602" t="n"/>
      <c r="Q226" s="11602" t="n"/>
      <c r="R226" s="11602" t="n"/>
      <c r="S226" s="11602" t="n"/>
      <c r="T226" s="11602" t="n"/>
      <c r="U226" s="11602" t="n"/>
      <c r="V226" s="11602" t="n"/>
      <c r="W226" s="11602" t="n"/>
      <c r="X226" s="11602" t="n"/>
      <c r="Y226" s="11602" t="n"/>
      <c r="Z226" s="11602" t="n"/>
      <c r="AA226" s="11602" t="n"/>
      <c r="AB226" s="11602" t="n"/>
      <c r="AC226" s="11602" t="n"/>
      <c r="AD226" s="11602" t="n"/>
      <c r="AE226" s="2198" t="inlineStr">
        <is>
          <t xml:space="preserve">.   .   .   .   .   .   .   .   .   .   .   .   .   .   .   .   .   .   .   .   .   .   .   . </t>
        </is>
      </c>
      <c r="AF226" s="12134" t="n">
        <v>30</v>
      </c>
      <c r="AG226" s="10091" t="n"/>
      <c r="AH226" s="8413">
        <f>SUM(K224,AH224)</f>
        <v/>
      </c>
      <c r="AI226" s="8412" t="n"/>
      <c r="AJ226" s="8412" t="n"/>
      <c r="AK226" s="8412" t="n"/>
      <c r="AL226" s="8412" t="n"/>
      <c r="AM226" s="8412" t="n"/>
      <c r="AN226" s="8412" t="n"/>
      <c r="AO226" s="8412" t="n"/>
      <c r="AP226" s="1277" t="n"/>
      <c r="AQ226" s="2875" t="n"/>
      <c r="AR226" s="2875" t="n"/>
      <c r="AS226" s="2875" t="n"/>
      <c r="BG226" s="769" t="n"/>
      <c r="BH226" s="658" t="n"/>
      <c r="BI226" s="658" t="n"/>
      <c r="BJ226" s="658" t="n"/>
      <c r="BK226" s="658" t="n"/>
      <c r="BL226" s="658" t="n"/>
      <c r="BM226" s="658" t="n"/>
      <c r="BN226" s="658" t="n"/>
      <c r="BO226" s="658" t="n"/>
      <c r="BP226" s="658" t="n"/>
    </row>
    <row r="227" ht="12.75" customHeight="1" s="7635" thickBot="1">
      <c r="A227" s="1277" t="n"/>
      <c r="B227" s="7642" t="n">
        <v>31</v>
      </c>
      <c r="D227" s="8650" t="inlineStr">
        <is>
          <t>Add columns (g), (i), and (j) of line 29b</t>
        </is>
      </c>
      <c r="E227" s="11602" t="n"/>
      <c r="F227" s="11602" t="n"/>
      <c r="G227" s="11602" t="n"/>
      <c r="H227" s="11602" t="n"/>
      <c r="I227" s="11602" t="n"/>
      <c r="J227" s="11602" t="n"/>
      <c r="K227" s="11602" t="n"/>
      <c r="L227" s="11602" t="n"/>
      <c r="M227" s="11602" t="n"/>
      <c r="N227" s="11602" t="n"/>
      <c r="O227" s="11602" t="n"/>
      <c r="P227" s="11602" t="n"/>
      <c r="Q227" s="11602" t="n"/>
      <c r="R227" s="11602" t="n"/>
      <c r="S227" s="11602" t="n"/>
      <c r="T227" s="11602" t="n"/>
      <c r="U227" s="11602" t="n"/>
      <c r="V227" s="11602" t="n"/>
      <c r="W227" s="11602" t="n"/>
      <c r="X227" s="11602" t="n"/>
      <c r="Y227" s="11602" t="n"/>
      <c r="Z227" s="11602" t="n"/>
      <c r="AA227" s="11602" t="n"/>
      <c r="AB227" s="11602" t="n"/>
      <c r="AC227" s="11602" t="n"/>
      <c r="AD227" s="11602" t="n"/>
      <c r="AE227" s="2198" t="inlineStr">
        <is>
          <t xml:space="preserve">.   .   .   .   .   .   .   .   .   .   .   .   .   .   .   .   .   .   .   .   .   .   . </t>
        </is>
      </c>
      <c r="AF227" s="12134" t="n">
        <v>31</v>
      </c>
      <c r="AG227" s="10091" t="n"/>
      <c r="AH227" s="4827" t="inlineStr">
        <is>
          <t>(</t>
        </is>
      </c>
      <c r="AI227" s="8480">
        <f>SUM(F225,S225,Z225)</f>
        <v/>
      </c>
      <c r="AJ227" s="7839" t="n"/>
      <c r="AK227" s="7839" t="n"/>
      <c r="AL227" s="7839" t="n"/>
      <c r="AM227" s="7839" t="n"/>
      <c r="AN227" s="7839" t="n"/>
      <c r="AO227" s="4828" t="inlineStr">
        <is>
          <t>)</t>
        </is>
      </c>
      <c r="AP227" s="1277" t="n"/>
      <c r="AQ227" s="2875" t="n"/>
      <c r="AR227" s="8788" t="inlineStr">
        <is>
          <t>Override</t>
        </is>
      </c>
      <c r="AS227" s="2875" t="n"/>
      <c r="BG227" s="769" t="n"/>
      <c r="BH227" s="658" t="n"/>
      <c r="BI227" s="658" t="n"/>
      <c r="BJ227" s="658" t="n"/>
      <c r="BK227" s="658" t="n"/>
      <c r="BL227" s="658" t="n"/>
      <c r="BM227" s="658" t="n"/>
      <c r="BN227" s="658" t="n"/>
      <c r="BO227" s="658" t="n"/>
      <c r="BP227" s="658" t="n"/>
    </row>
    <row r="228" ht="12.75" customHeight="1" s="7635" thickBot="1">
      <c r="A228" s="1277" t="n"/>
      <c r="B228" s="8481" t="n">
        <v>32</v>
      </c>
      <c r="C228" s="8848" t="n"/>
      <c r="D228" s="4830" t="inlineStr">
        <is>
          <t>Total partnership and S corporation income or (loss). Combine lines 30 and 31</t>
        </is>
      </c>
      <c r="E228" s="380" t="n"/>
      <c r="F228" s="380" t="n"/>
      <c r="G228" s="380" t="n"/>
      <c r="H228" s="380" t="n"/>
      <c r="I228" s="380" t="n"/>
      <c r="J228" s="380" t="n"/>
      <c r="K228" s="380" t="n"/>
      <c r="L228" s="380" t="n"/>
      <c r="M228" s="380" t="n"/>
      <c r="N228" s="380" t="n"/>
      <c r="O228" s="380" t="n"/>
      <c r="P228" s="380" t="n"/>
      <c r="Q228" s="380" t="n"/>
      <c r="R228" s="380" t="n"/>
      <c r="S228" s="380" t="n"/>
      <c r="T228" s="380" t="n"/>
      <c r="U228" s="380" t="n"/>
      <c r="V228" s="380" t="n"/>
      <c r="W228" s="380" t="n"/>
      <c r="X228" s="380" t="n"/>
      <c r="Y228" s="380" t="n"/>
      <c r="Z228" s="380" t="n"/>
      <c r="AA228" s="380" t="n"/>
      <c r="AB228" s="380" t="n"/>
      <c r="AC228" s="380" t="n"/>
      <c r="AD228" s="380" t="n"/>
      <c r="AE228" s="4533" t="inlineStr">
        <is>
          <t xml:space="preserve">.   .   .   . </t>
        </is>
      </c>
      <c r="AF228" s="12135" t="n">
        <v>32</v>
      </c>
      <c r="AG228" s="12136" t="n"/>
      <c r="AH228" s="8484">
        <f>IF(AR228&lt;&gt;"",ROUND(AR228,0),SUM(AH226,-AI227))</f>
        <v/>
      </c>
      <c r="AI228" s="12137" t="n"/>
      <c r="AJ228" s="12137" t="n"/>
      <c r="AK228" s="12137" t="n"/>
      <c r="AL228" s="12137" t="n"/>
      <c r="AM228" s="12137" t="n"/>
      <c r="AN228" s="12137" t="n"/>
      <c r="AO228" s="12137" t="n"/>
      <c r="AP228" s="1277" t="n"/>
      <c r="AQ228" s="2875" t="n"/>
      <c r="AR228" s="776" t="n"/>
      <c r="AS228" s="2875" t="n"/>
      <c r="BG228" s="769" t="n"/>
      <c r="BH228" s="658" t="n"/>
      <c r="BI228" s="658" t="n"/>
      <c r="BJ228" s="658" t="n"/>
      <c r="BK228" s="658" t="n"/>
      <c r="BL228" s="658" t="n"/>
      <c r="BM228" s="658" t="n"/>
      <c r="BN228" s="658" t="n"/>
      <c r="BO228" s="658" t="n"/>
      <c r="BP228" s="658" t="n"/>
    </row>
    <row r="229" ht="17.25" customFormat="1" customHeight="1" s="1405">
      <c r="A229" s="2119" t="n"/>
      <c r="B229" s="8463" t="inlineStr">
        <is>
          <t>Part III</t>
        </is>
      </c>
      <c r="C229" s="7637" t="n"/>
      <c r="D229" s="7637" t="n"/>
      <c r="E229" s="1998" t="n"/>
      <c r="F229" s="1997" t="inlineStr">
        <is>
          <t>Income or Loss From Estates and Trusts</t>
        </is>
      </c>
      <c r="G229" s="1998" t="n"/>
      <c r="H229" s="1998" t="n"/>
      <c r="I229" s="1998" t="n"/>
      <c r="J229" s="1998" t="n"/>
      <c r="K229" s="1998" t="n"/>
      <c r="L229" s="1998" t="n"/>
      <c r="M229" s="1998" t="n"/>
      <c r="N229" s="1998" t="n"/>
      <c r="O229" s="1998" t="n"/>
      <c r="P229" s="1998" t="n"/>
      <c r="Q229" s="1998" t="n"/>
      <c r="R229" s="1998" t="n"/>
      <c r="S229" s="1998" t="n"/>
      <c r="T229" s="1998" t="n"/>
      <c r="U229" s="1998" t="n"/>
      <c r="V229" s="1998" t="n"/>
      <c r="W229" s="1998" t="n"/>
      <c r="X229" s="1996" t="n"/>
      <c r="Y229" s="1998" t="n"/>
      <c r="Z229" s="1998" t="n"/>
      <c r="AA229" s="1998" t="n"/>
      <c r="AB229" s="1998" t="n"/>
      <c r="AC229" s="1998" t="n"/>
      <c r="AD229" s="1998" t="n"/>
      <c r="AE229" s="1998" t="n"/>
      <c r="AF229" s="1998" t="n"/>
      <c r="AG229" s="1998" t="n"/>
      <c r="AH229" s="1998" t="n"/>
      <c r="AI229" s="1998" t="n"/>
      <c r="AJ229" s="1998" t="n"/>
      <c r="AK229" s="1998" t="n"/>
      <c r="AL229" s="1998" t="n"/>
      <c r="AM229" s="1998" t="n"/>
      <c r="AN229" s="1998" t="n"/>
      <c r="AO229" s="1998" t="n"/>
      <c r="AP229" s="1277" t="n"/>
      <c r="AQ229" s="2875" t="n"/>
      <c r="AR229" s="2875" t="n"/>
      <c r="AS229" s="2875" t="n"/>
      <c r="BG229" s="769" t="n"/>
      <c r="BH229" s="658" t="n"/>
      <c r="BI229" s="658" t="n"/>
      <c r="BJ229" s="658" t="n"/>
      <c r="BK229" s="658" t="n"/>
      <c r="BL229" s="658" t="n"/>
      <c r="BM229" s="658" t="n"/>
      <c r="BN229" s="658" t="n"/>
      <c r="BO229" s="658" t="n"/>
      <c r="BP229" s="658" t="n"/>
      <c r="BQ229" s="815" t="n"/>
    </row>
    <row r="230" ht="12.75" customHeight="1" s="7635">
      <c r="A230" s="1277" t="n"/>
      <c r="B230" s="406" t="n"/>
      <c r="C230" s="406" t="n"/>
      <c r="D230" s="406" t="n"/>
      <c r="E230" s="406" t="n"/>
      <c r="F230" s="406" t="n"/>
      <c r="G230" s="406" t="n"/>
      <c r="H230" s="406" t="n"/>
      <c r="I230" s="406" t="n"/>
      <c r="J230" s="406" t="n"/>
      <c r="K230" s="406" t="n"/>
      <c r="L230" s="406" t="n"/>
      <c r="M230" s="406" t="n"/>
      <c r="N230" s="406" t="n"/>
      <c r="O230" s="406" t="n"/>
      <c r="P230" s="406" t="n"/>
      <c r="Q230" s="406" t="n"/>
      <c r="R230" s="406" t="n"/>
      <c r="S230" s="406" t="n"/>
      <c r="T230" s="406" t="n"/>
      <c r="U230" s="406" t="n"/>
      <c r="V230" s="406" t="n"/>
      <c r="W230" s="406" t="n"/>
      <c r="X230" s="406" t="n"/>
      <c r="Y230" s="406" t="n"/>
      <c r="Z230" s="406" t="n"/>
      <c r="AA230" s="406" t="n"/>
      <c r="AB230" s="406" t="n"/>
      <c r="AC230" s="406" t="n"/>
      <c r="AD230" s="406" t="n"/>
      <c r="AE230" s="406" t="n"/>
      <c r="AF230" s="406" t="n"/>
      <c r="AG230" s="407" t="n"/>
      <c r="AH230" s="10176" t="inlineStr">
        <is>
          <t>(b)  Employer 
identification number</t>
        </is>
      </c>
      <c r="AI230" s="7839" t="n"/>
      <c r="AJ230" s="7839" t="n"/>
      <c r="AK230" s="7839" t="n"/>
      <c r="AL230" s="7839" t="n"/>
      <c r="AM230" s="7839" t="n"/>
      <c r="AN230" s="7839" t="n"/>
      <c r="AO230" s="7839" t="n"/>
      <c r="AP230" s="1277" t="n"/>
      <c r="BG230" s="769" t="n"/>
      <c r="BH230" s="658" t="n"/>
      <c r="BI230" s="658" t="n"/>
      <c r="BJ230" s="658" t="n"/>
      <c r="BK230" s="658" t="n"/>
      <c r="BL230" s="658" t="n"/>
      <c r="BM230" s="658" t="n"/>
      <c r="BN230" s="658" t="n"/>
      <c r="BO230" s="658" t="n"/>
      <c r="BP230" s="658" t="n"/>
    </row>
    <row r="231" ht="12.75" customHeight="1" s="7635">
      <c r="A231" s="1277" t="n"/>
      <c r="B231" s="8439" t="n">
        <v>33</v>
      </c>
      <c r="D231" s="11602" t="n"/>
      <c r="E231" s="11602" t="n"/>
      <c r="F231" s="11602" t="n"/>
      <c r="G231" s="11602" t="n"/>
      <c r="H231" s="11602" t="n"/>
      <c r="I231" s="11602" t="n"/>
      <c r="J231" s="11602" t="n"/>
      <c r="K231" s="11602" t="n"/>
      <c r="L231" s="11602" t="n"/>
      <c r="M231" s="11602" t="n"/>
      <c r="N231" s="11602" t="n"/>
      <c r="O231" s="11602" t="n"/>
      <c r="P231" s="344" t="inlineStr">
        <is>
          <t>(a)  Name</t>
        </is>
      </c>
      <c r="Q231" s="11602" t="n"/>
      <c r="R231" s="11602" t="n"/>
      <c r="S231" s="11602" t="n"/>
      <c r="T231" s="11602" t="n"/>
      <c r="U231" s="11602" t="n"/>
      <c r="V231" s="11602" t="n"/>
      <c r="W231" s="11602" t="n"/>
      <c r="X231" s="11602" t="n"/>
      <c r="Y231" s="11602" t="n"/>
      <c r="Z231" s="11602" t="n"/>
      <c r="AA231" s="11602" t="n"/>
      <c r="AB231" s="11602" t="n"/>
      <c r="AC231" s="11602" t="n"/>
      <c r="AD231" s="11602" t="n"/>
      <c r="AE231" s="11602" t="n"/>
      <c r="AF231" s="11602" t="n"/>
      <c r="AG231" s="409" t="n"/>
      <c r="AH231" s="4772" t="n"/>
      <c r="AP231" s="1277" t="n"/>
      <c r="AX231" s="1405" t="n"/>
      <c r="AY231" s="1405" t="n"/>
      <c r="AZ231" s="1405" t="n"/>
      <c r="BA231" s="1405" t="n"/>
      <c r="BB231" s="1405" t="n"/>
      <c r="BC231" s="1405" t="n"/>
      <c r="BD231" s="1405" t="n"/>
      <c r="BG231" s="769" t="n"/>
      <c r="BH231" s="658" t="n"/>
      <c r="BI231" s="658" t="n"/>
      <c r="BJ231" s="658" t="n"/>
      <c r="BK231" s="658" t="n"/>
      <c r="BL231" s="658" t="n"/>
      <c r="BM231" s="658" t="n"/>
      <c r="BN231" s="658" t="n"/>
      <c r="BO231" s="658" t="n"/>
      <c r="BP231" s="658" t="n"/>
    </row>
    <row r="232" ht="12.75" customHeight="1" s="7635">
      <c r="A232" s="1277" t="n"/>
      <c r="B232" s="413" t="n"/>
      <c r="C232" s="413" t="n"/>
      <c r="D232" s="413" t="n"/>
      <c r="E232" s="413" t="n"/>
      <c r="F232" s="413" t="n"/>
      <c r="G232" s="413" t="n"/>
      <c r="H232" s="413" t="n"/>
      <c r="I232" s="413" t="n"/>
      <c r="J232" s="413" t="n"/>
      <c r="K232" s="413" t="n"/>
      <c r="L232" s="413" t="n"/>
      <c r="M232" s="413" t="n"/>
      <c r="N232" s="413" t="n"/>
      <c r="O232" s="413" t="n"/>
      <c r="P232" s="413" t="n"/>
      <c r="Q232" s="413" t="n"/>
      <c r="R232" s="413" t="n"/>
      <c r="S232" s="413" t="n"/>
      <c r="T232" s="413" t="n"/>
      <c r="U232" s="413" t="n"/>
      <c r="V232" s="413" t="n"/>
      <c r="W232" s="413" t="n"/>
      <c r="X232" s="413" t="n"/>
      <c r="Y232" s="413" t="n"/>
      <c r="Z232" s="413" t="n"/>
      <c r="AA232" s="413" t="n"/>
      <c r="AB232" s="413" t="n"/>
      <c r="AC232" s="413" t="n"/>
      <c r="AD232" s="413" t="n"/>
      <c r="AE232" s="413" t="n"/>
      <c r="AF232" s="413" t="n"/>
      <c r="AG232" s="414" t="n"/>
      <c r="AH232" s="3614" t="n"/>
      <c r="AI232" s="7637" t="n"/>
      <c r="AJ232" s="7637" t="n"/>
      <c r="AK232" s="7637" t="n"/>
      <c r="AL232" s="7637" t="n"/>
      <c r="AM232" s="7637" t="n"/>
      <c r="AN232" s="7637" t="n"/>
      <c r="AO232" s="7637" t="n"/>
      <c r="AP232" s="1277" t="n"/>
      <c r="BG232" s="769" t="n"/>
      <c r="BH232" s="658" t="n"/>
      <c r="BI232" s="658" t="n"/>
      <c r="BJ232" s="658" t="n"/>
      <c r="BK232" s="658" t="n"/>
      <c r="BL232" s="658" t="n"/>
      <c r="BM232" s="658" t="n"/>
      <c r="BN232" s="658" t="n"/>
      <c r="BO232" s="658" t="n"/>
      <c r="BP232" s="658" t="n"/>
    </row>
    <row r="233" ht="13.5" customHeight="1" s="7635">
      <c r="A233" s="1277" t="n"/>
      <c r="B233" s="11220" t="inlineStr">
        <is>
          <t>A</t>
        </is>
      </c>
      <c r="C233" s="12138" t="n"/>
      <c r="D233" s="8007" t="n"/>
      <c r="E233" s="8007" t="n"/>
      <c r="F233" s="8007" t="n"/>
      <c r="G233" s="8007" t="n"/>
      <c r="H233" s="8007" t="n"/>
      <c r="I233" s="8007" t="n"/>
      <c r="J233" s="8007" t="n"/>
      <c r="K233" s="8007" t="n"/>
      <c r="L233" s="8007" t="n"/>
      <c r="M233" s="8007" t="n"/>
      <c r="N233" s="8007" t="n"/>
      <c r="O233" s="8007" t="n"/>
      <c r="P233" s="8007" t="n"/>
      <c r="Q233" s="8007" t="n"/>
      <c r="R233" s="8007" t="n"/>
      <c r="S233" s="8007" t="n"/>
      <c r="T233" s="8007" t="n"/>
      <c r="U233" s="8007" t="n"/>
      <c r="V233" s="8007" t="n"/>
      <c r="W233" s="8007" t="n"/>
      <c r="X233" s="8007" t="n"/>
      <c r="Y233" s="8007" t="n"/>
      <c r="Z233" s="8007" t="n"/>
      <c r="AA233" s="8007" t="n"/>
      <c r="AB233" s="8007" t="n"/>
      <c r="AC233" s="8007" t="n"/>
      <c r="AD233" s="8007" t="n"/>
      <c r="AE233" s="8007" t="n"/>
      <c r="AF233" s="8007" t="n"/>
      <c r="AG233" s="8008" t="n"/>
      <c r="AH233" s="8472" t="n"/>
      <c r="AI233" s="8007" t="n"/>
      <c r="AJ233" s="8007" t="n"/>
      <c r="AK233" s="8007" t="n"/>
      <c r="AL233" s="8007" t="n"/>
      <c r="AM233" s="8007" t="n"/>
      <c r="AN233" s="8007" t="n"/>
      <c r="AO233" s="8007" t="n"/>
      <c r="AP233" s="1277" t="n"/>
      <c r="BG233" s="769" t="n"/>
      <c r="BH233" s="658" t="n"/>
      <c r="BI233" s="658" t="n"/>
      <c r="BJ233" s="658" t="n"/>
      <c r="BK233" s="658" t="n"/>
      <c r="BL233" s="658" t="n"/>
      <c r="BM233" s="658" t="n"/>
      <c r="BN233" s="658" t="n"/>
      <c r="BO233" s="658" t="n"/>
      <c r="BP233" s="658" t="n"/>
    </row>
    <row r="234" ht="13.5" customHeight="1" s="7635">
      <c r="A234" s="1277" t="n"/>
      <c r="B234" s="4824" t="inlineStr">
        <is>
          <t>B</t>
        </is>
      </c>
      <c r="C234" s="12138" t="n"/>
      <c r="D234" s="8007" t="n"/>
      <c r="E234" s="8007" t="n"/>
      <c r="F234" s="8007" t="n"/>
      <c r="G234" s="8007" t="n"/>
      <c r="H234" s="8007" t="n"/>
      <c r="I234" s="8007" t="n"/>
      <c r="J234" s="8007" t="n"/>
      <c r="K234" s="8007" t="n"/>
      <c r="L234" s="8007" t="n"/>
      <c r="M234" s="8007" t="n"/>
      <c r="N234" s="8007" t="n"/>
      <c r="O234" s="8007" t="n"/>
      <c r="P234" s="8007" t="n"/>
      <c r="Q234" s="8007" t="n"/>
      <c r="R234" s="8007" t="n"/>
      <c r="S234" s="8007" t="n"/>
      <c r="T234" s="8007" t="n"/>
      <c r="U234" s="8007" t="n"/>
      <c r="V234" s="8007" t="n"/>
      <c r="W234" s="8007" t="n"/>
      <c r="X234" s="8007" t="n"/>
      <c r="Y234" s="8007" t="n"/>
      <c r="Z234" s="8007" t="n"/>
      <c r="AA234" s="8007" t="n"/>
      <c r="AB234" s="8007" t="n"/>
      <c r="AC234" s="8007" t="n"/>
      <c r="AD234" s="8007" t="n"/>
      <c r="AE234" s="8007" t="n"/>
      <c r="AF234" s="8007" t="n"/>
      <c r="AG234" s="8008" t="n"/>
      <c r="AH234" s="8472" t="n"/>
      <c r="AI234" s="8007" t="n"/>
      <c r="AJ234" s="8007" t="n"/>
      <c r="AK234" s="8007" t="n"/>
      <c r="AL234" s="8007" t="n"/>
      <c r="AM234" s="8007" t="n"/>
      <c r="AN234" s="8007" t="n"/>
      <c r="AO234" s="8007" t="n"/>
      <c r="AP234" s="1277" t="n"/>
      <c r="BG234" s="769" t="n"/>
      <c r="BH234" s="658" t="n"/>
      <c r="BI234" s="658" t="n"/>
      <c r="BJ234" s="658" t="n"/>
      <c r="BK234" s="658" t="n"/>
      <c r="BL234" s="658" t="n"/>
      <c r="BM234" s="658" t="n"/>
      <c r="BN234" s="658" t="n"/>
      <c r="BO234" s="658" t="n"/>
      <c r="BP234" s="658" t="n"/>
    </row>
    <row r="235" ht="17.25" customHeight="1" s="7635">
      <c r="A235" s="1277" t="n"/>
      <c r="B235" s="12139" t="inlineStr">
        <is>
          <t>Passive Income and Loss</t>
        </is>
      </c>
      <c r="C235" s="8412" t="n"/>
      <c r="D235" s="8412" t="n"/>
      <c r="E235" s="8412" t="n"/>
      <c r="F235" s="8412" t="n"/>
      <c r="G235" s="8412" t="n"/>
      <c r="H235" s="8412" t="n"/>
      <c r="I235" s="8412" t="n"/>
      <c r="J235" s="8412" t="n"/>
      <c r="K235" s="8412" t="n"/>
      <c r="L235" s="8412" t="n"/>
      <c r="M235" s="8412" t="n"/>
      <c r="N235" s="8412" t="n"/>
      <c r="O235" s="8412" t="n"/>
      <c r="P235" s="8412" t="n"/>
      <c r="Q235" s="8412" t="n"/>
      <c r="R235" s="8412" t="n"/>
      <c r="S235" s="8412" t="n"/>
      <c r="T235" s="8412" t="n"/>
      <c r="U235" s="8412" t="n"/>
      <c r="V235" s="8412" t="n"/>
      <c r="W235" s="8412" t="n"/>
      <c r="X235" s="12130" t="n"/>
      <c r="Y235" s="8477" t="inlineStr">
        <is>
          <t>Nonpassive Income and Loss</t>
        </is>
      </c>
      <c r="Z235" s="8412" t="n"/>
      <c r="AA235" s="8412" t="n"/>
      <c r="AB235" s="8412" t="n"/>
      <c r="AC235" s="8412" t="n"/>
      <c r="AD235" s="8412" t="n"/>
      <c r="AE235" s="8412" t="n"/>
      <c r="AF235" s="8412" t="n"/>
      <c r="AG235" s="8412" t="n"/>
      <c r="AH235" s="8412" t="n"/>
      <c r="AI235" s="8412" t="n"/>
      <c r="AJ235" s="8412" t="n"/>
      <c r="AK235" s="8412" t="n"/>
      <c r="AL235" s="8412" t="n"/>
      <c r="AM235" s="8412" t="n"/>
      <c r="AN235" s="8412" t="n"/>
      <c r="AO235" s="8412" t="n"/>
      <c r="AP235" s="1277" t="n"/>
      <c r="BG235" s="769" t="n"/>
      <c r="BH235" s="658" t="n"/>
      <c r="BI235" s="658" t="n"/>
      <c r="BJ235" s="658" t="n"/>
      <c r="BK235" s="658" t="n"/>
      <c r="BL235" s="658" t="n"/>
      <c r="BM235" s="658" t="n"/>
      <c r="BN235" s="658" t="n"/>
      <c r="BO235" s="658" t="n"/>
      <c r="BP235" s="658" t="n"/>
    </row>
    <row r="236" ht="12.75" customHeight="1" s="7635">
      <c r="A236" s="1277" t="n"/>
      <c r="B236" s="10177" t="inlineStr">
        <is>
          <t>(c) Passive deduction or loss allowed
(attach Form 8582 if required)</t>
        </is>
      </c>
      <c r="C236" s="7839" t="n"/>
      <c r="D236" s="7839" t="n"/>
      <c r="E236" s="7839" t="n"/>
      <c r="F236" s="7839" t="n"/>
      <c r="G236" s="7839" t="n"/>
      <c r="H236" s="7839" t="n"/>
      <c r="I236" s="7839" t="n"/>
      <c r="J236" s="7839" t="n"/>
      <c r="K236" s="7839" t="n"/>
      <c r="L236" s="7839" t="n"/>
      <c r="M236" s="7839" t="n"/>
      <c r="N236" s="10091" t="n"/>
      <c r="O236" s="10079" t="inlineStr">
        <is>
          <t>(d) Passive income
from Schedule K-1</t>
        </is>
      </c>
      <c r="P236" s="7839" t="n"/>
      <c r="Q236" s="7839" t="n"/>
      <c r="R236" s="7839" t="n"/>
      <c r="S236" s="7839" t="n"/>
      <c r="T236" s="7839" t="n"/>
      <c r="U236" s="7839" t="n"/>
      <c r="V236" s="7839" t="n"/>
      <c r="W236" s="7839" t="n"/>
      <c r="X236" s="7839" t="n"/>
      <c r="Y236" s="12140" t="inlineStr">
        <is>
          <t>(e) Deduction or loss
from Schedule K-1</t>
        </is>
      </c>
      <c r="Z236" s="7839" t="n"/>
      <c r="AA236" s="7839" t="n"/>
      <c r="AB236" s="7839" t="n"/>
      <c r="AC236" s="7839" t="n"/>
      <c r="AD236" s="7839" t="n"/>
      <c r="AE236" s="7839" t="n"/>
      <c r="AF236" s="7839" t="n"/>
      <c r="AG236" s="10091" t="n"/>
      <c r="AH236" s="10079" t="inlineStr">
        <is>
          <t>(f) Other income from
Schedule K-1</t>
        </is>
      </c>
      <c r="AI236" s="7839" t="n"/>
      <c r="AJ236" s="7839" t="n"/>
      <c r="AK236" s="7839" t="n"/>
      <c r="AL236" s="7839" t="n"/>
      <c r="AM236" s="7839" t="n"/>
      <c r="AN236" s="7839" t="n"/>
      <c r="AO236" s="7839" t="n"/>
      <c r="AP236" s="1277" t="n"/>
      <c r="BG236" s="769" t="n"/>
      <c r="BH236" s="658" t="n"/>
      <c r="BI236" s="658" t="n"/>
      <c r="BJ236" s="658" t="n"/>
      <c r="BK236" s="658" t="n"/>
      <c r="BL236" s="658" t="n"/>
      <c r="BM236" s="658" t="n"/>
      <c r="BN236" s="658" t="n"/>
      <c r="BO236" s="658" t="n"/>
      <c r="BP236" s="658" t="n"/>
    </row>
    <row r="237" ht="12.75" customHeight="1" s="7635">
      <c r="A237" s="1277" t="n"/>
      <c r="N237" s="7636" t="n"/>
      <c r="O237" s="4772" t="n"/>
      <c r="Y237" s="11741" t="n"/>
      <c r="AG237" s="7636" t="n"/>
      <c r="AH237" s="4772" t="n"/>
      <c r="AP237" s="1277" t="n"/>
      <c r="BG237" s="769" t="n"/>
      <c r="BH237" s="658" t="n"/>
      <c r="BI237" s="658" t="n"/>
      <c r="BJ237" s="658" t="n"/>
      <c r="BK237" s="658" t="n"/>
      <c r="BL237" s="658" t="n"/>
      <c r="BM237" s="658" t="n"/>
      <c r="BN237" s="658" t="n"/>
      <c r="BO237" s="658" t="n"/>
      <c r="BP237" s="658" t="n"/>
    </row>
    <row r="238" ht="12.75" customHeight="1" s="7635">
      <c r="A238" s="1277" t="n"/>
      <c r="B238" s="7637" t="n"/>
      <c r="C238" s="7637" t="n"/>
      <c r="D238" s="7637" t="n"/>
      <c r="E238" s="7637" t="n"/>
      <c r="F238" s="7637" t="n"/>
      <c r="G238" s="7637" t="n"/>
      <c r="H238" s="7637" t="n"/>
      <c r="I238" s="7637" t="n"/>
      <c r="J238" s="7637" t="n"/>
      <c r="K238" s="7637" t="n"/>
      <c r="L238" s="7637" t="n"/>
      <c r="M238" s="7637" t="n"/>
      <c r="N238" s="7638" t="n"/>
      <c r="O238" s="3614" t="n"/>
      <c r="P238" s="7637" t="n"/>
      <c r="Q238" s="7637" t="n"/>
      <c r="R238" s="7637" t="n"/>
      <c r="S238" s="7637" t="n"/>
      <c r="T238" s="7637" t="n"/>
      <c r="U238" s="7637" t="n"/>
      <c r="V238" s="7637" t="n"/>
      <c r="W238" s="7637" t="n"/>
      <c r="X238" s="7637" t="n"/>
      <c r="Y238" s="11907" t="n"/>
      <c r="Z238" s="7637" t="n"/>
      <c r="AA238" s="7637" t="n"/>
      <c r="AB238" s="7637" t="n"/>
      <c r="AC238" s="7637" t="n"/>
      <c r="AD238" s="7637" t="n"/>
      <c r="AE238" s="7637" t="n"/>
      <c r="AF238" s="7637" t="n"/>
      <c r="AG238" s="7638" t="n"/>
      <c r="AH238" s="3614" t="n"/>
      <c r="AI238" s="7637" t="n"/>
      <c r="AJ238" s="7637" t="n"/>
      <c r="AK238" s="7637" t="n"/>
      <c r="AL238" s="7637" t="n"/>
      <c r="AM238" s="7637" t="n"/>
      <c r="AN238" s="7637" t="n"/>
      <c r="AO238" s="7637" t="n"/>
      <c r="AP238" s="1277" t="n"/>
      <c r="BG238" s="769" t="n"/>
      <c r="BH238" s="658" t="n"/>
      <c r="BI238" s="658" t="n"/>
      <c r="BJ238" s="658" t="n"/>
      <c r="BK238" s="658" t="n"/>
      <c r="BL238" s="658" t="n"/>
      <c r="BM238" s="658" t="n"/>
      <c r="BN238" s="658" t="n"/>
      <c r="BO238" s="658" t="n"/>
      <c r="BP238" s="658" t="n"/>
    </row>
    <row r="239" ht="13.5" customHeight="1" s="7635">
      <c r="A239" s="1277" t="n"/>
      <c r="B239" s="11220" t="inlineStr">
        <is>
          <t>A</t>
        </is>
      </c>
      <c r="C239" s="6226" t="n"/>
      <c r="D239" s="8007" t="n"/>
      <c r="E239" s="8007" t="n"/>
      <c r="F239" s="8007" t="n"/>
      <c r="G239" s="8007" t="n"/>
      <c r="H239" s="8007" t="n"/>
      <c r="I239" s="8007" t="n"/>
      <c r="J239" s="8007" t="n"/>
      <c r="K239" s="8007" t="n"/>
      <c r="L239" s="8007" t="n"/>
      <c r="M239" s="8007" t="n"/>
      <c r="N239" s="8008" t="n"/>
      <c r="O239" s="12141" t="n"/>
      <c r="P239" s="8007" t="n"/>
      <c r="Q239" s="8007" t="n"/>
      <c r="R239" s="8007" t="n"/>
      <c r="S239" s="8007" t="n"/>
      <c r="T239" s="8007" t="n"/>
      <c r="U239" s="8007" t="n"/>
      <c r="V239" s="8007" t="n"/>
      <c r="W239" s="8007" t="n"/>
      <c r="X239" s="12128" t="n"/>
      <c r="Y239" s="8461" t="n"/>
      <c r="Z239" s="8007" t="n"/>
      <c r="AA239" s="8007" t="n"/>
      <c r="AB239" s="8007" t="n"/>
      <c r="AC239" s="8007" t="n"/>
      <c r="AD239" s="8007" t="n"/>
      <c r="AE239" s="8007" t="n"/>
      <c r="AF239" s="8007" t="n"/>
      <c r="AG239" s="8008" t="n"/>
      <c r="AH239" s="8462" t="n"/>
      <c r="AI239" s="8007" t="n"/>
      <c r="AJ239" s="8007" t="n"/>
      <c r="AK239" s="8007" t="n"/>
      <c r="AL239" s="8007" t="n"/>
      <c r="AM239" s="8007" t="n"/>
      <c r="AN239" s="8007" t="n"/>
      <c r="AO239" s="8008" t="n"/>
      <c r="AP239" s="1277" t="n"/>
      <c r="BG239" s="769" t="n"/>
      <c r="BH239" s="658" t="n"/>
      <c r="BI239" s="658" t="n"/>
      <c r="BJ239" s="658" t="n"/>
      <c r="BK239" s="658" t="n"/>
      <c r="BL239" s="658" t="n"/>
      <c r="BM239" s="658" t="n"/>
      <c r="BN239" s="658" t="n"/>
      <c r="BO239" s="658" t="n"/>
      <c r="BP239" s="658" t="n"/>
    </row>
    <row r="240" ht="13.5" customHeight="1" s="7635">
      <c r="A240" s="1277" t="n"/>
      <c r="B240" s="11220" t="inlineStr">
        <is>
          <t>B</t>
        </is>
      </c>
      <c r="C240" s="6226" t="n"/>
      <c r="D240" s="8007" t="n"/>
      <c r="E240" s="8007" t="n"/>
      <c r="F240" s="8007" t="n"/>
      <c r="G240" s="8007" t="n"/>
      <c r="H240" s="8007" t="n"/>
      <c r="I240" s="8007" t="n"/>
      <c r="J240" s="8007" t="n"/>
      <c r="K240" s="8007" t="n"/>
      <c r="L240" s="8007" t="n"/>
      <c r="M240" s="8007" t="n"/>
      <c r="N240" s="8008" t="n"/>
      <c r="O240" s="12141" t="n"/>
      <c r="P240" s="8007" t="n"/>
      <c r="Q240" s="8007" t="n"/>
      <c r="R240" s="8007" t="n"/>
      <c r="S240" s="8007" t="n"/>
      <c r="T240" s="8007" t="n"/>
      <c r="U240" s="8007" t="n"/>
      <c r="V240" s="8007" t="n"/>
      <c r="W240" s="8007" t="n"/>
      <c r="X240" s="12128" t="n"/>
      <c r="Y240" s="8461" t="n"/>
      <c r="Z240" s="8007" t="n"/>
      <c r="AA240" s="8007" t="n"/>
      <c r="AB240" s="8007" t="n"/>
      <c r="AC240" s="8007" t="n"/>
      <c r="AD240" s="8007" t="n"/>
      <c r="AE240" s="8007" t="n"/>
      <c r="AF240" s="8007" t="n"/>
      <c r="AG240" s="8008" t="n"/>
      <c r="AH240" s="8462" t="n"/>
      <c r="AI240" s="8007" t="n"/>
      <c r="AJ240" s="8007" t="n"/>
      <c r="AK240" s="8007" t="n"/>
      <c r="AL240" s="8007" t="n"/>
      <c r="AM240" s="8007" t="n"/>
      <c r="AN240" s="8007" t="n"/>
      <c r="AO240" s="8008" t="n"/>
      <c r="AP240" s="1277" t="n"/>
      <c r="BG240" s="769" t="n"/>
      <c r="BH240" s="658" t="n"/>
      <c r="BI240" s="658" t="n"/>
      <c r="BJ240" s="658" t="n"/>
      <c r="BK240" s="658" t="n"/>
      <c r="BL240" s="658" t="n"/>
      <c r="BM240" s="658" t="n"/>
      <c r="BN240" s="658" t="n"/>
      <c r="BO240" s="658" t="n"/>
      <c r="BP240" s="658" t="n"/>
    </row>
    <row r="241" ht="13.5" customHeight="1" s="7635">
      <c r="A241" s="1277" t="n"/>
      <c r="B241" s="8384" t="inlineStr">
        <is>
          <t>34a</t>
        </is>
      </c>
      <c r="C241" s="7839" t="n"/>
      <c r="D241" s="8650" t="n"/>
      <c r="E241" s="9892" t="inlineStr">
        <is>
          <t>Totals</t>
        </is>
      </c>
      <c r="F241" s="4825" t="n"/>
      <c r="G241" s="3835" t="n"/>
      <c r="H241" s="3835" t="n"/>
      <c r="I241" s="3835" t="n"/>
      <c r="J241" s="3835" t="n"/>
      <c r="K241" s="3835" t="n"/>
      <c r="L241" s="3835" t="n"/>
      <c r="M241" s="3835" t="n"/>
      <c r="N241" s="4826" t="n"/>
      <c r="O241" s="12129">
        <f>ROUND(SUM(O239:O240),0)</f>
        <v/>
      </c>
      <c r="P241" s="8412" t="n"/>
      <c r="Q241" s="8412" t="n"/>
      <c r="R241" s="8412" t="n"/>
      <c r="S241" s="8412" t="n"/>
      <c r="T241" s="8412" t="n"/>
      <c r="U241" s="8412" t="n"/>
      <c r="V241" s="8412" t="n"/>
      <c r="W241" s="8412" t="n"/>
      <c r="X241" s="12130" t="n"/>
      <c r="Y241" s="4831" t="n"/>
      <c r="Z241" s="3835" t="n"/>
      <c r="AA241" s="3835" t="n"/>
      <c r="AB241" s="3835" t="n"/>
      <c r="AC241" s="3835" t="n"/>
      <c r="AD241" s="3835" t="n"/>
      <c r="AE241" s="3835" t="n"/>
      <c r="AF241" s="3835" t="n"/>
      <c r="AG241" s="4826" t="n"/>
      <c r="AH241" s="8408">
        <f>ROUND(SUM(AH239:AH240),0)</f>
        <v/>
      </c>
      <c r="AI241" s="8412" t="n"/>
      <c r="AJ241" s="8412" t="n"/>
      <c r="AK241" s="8412" t="n"/>
      <c r="AL241" s="8412" t="n"/>
      <c r="AM241" s="8412" t="n"/>
      <c r="AN241" s="8412" t="n"/>
      <c r="AO241" s="8412" t="n"/>
      <c r="AP241" s="1277" t="n"/>
      <c r="BG241" s="769" t="n"/>
      <c r="BH241" s="658" t="n"/>
      <c r="BI241" s="658" t="n"/>
      <c r="BJ241" s="658" t="n"/>
      <c r="BK241" s="658" t="n"/>
      <c r="BL241" s="658" t="n"/>
      <c r="BM241" s="658" t="n"/>
      <c r="BN241" s="658" t="n"/>
      <c r="BO241" s="658" t="n"/>
      <c r="BP241" s="658" t="n"/>
    </row>
    <row r="242" ht="13.5" customHeight="1" s="7635">
      <c r="A242" s="1277" t="n"/>
      <c r="B242" s="7899" t="inlineStr">
        <is>
          <t>b</t>
        </is>
      </c>
      <c r="D242" s="8650" t="n"/>
      <c r="E242" s="9892" t="inlineStr">
        <is>
          <t>Totals</t>
        </is>
      </c>
      <c r="F242" s="12131">
        <f>ROUND(SUM(C239:C240),0)</f>
        <v/>
      </c>
      <c r="G242" s="8412" t="n"/>
      <c r="H242" s="8412" t="n"/>
      <c r="I242" s="8412" t="n"/>
      <c r="J242" s="8412" t="n"/>
      <c r="K242" s="8412" t="n"/>
      <c r="L242" s="8412" t="n"/>
      <c r="M242" s="8412" t="n"/>
      <c r="N242" s="11734" t="n"/>
      <c r="O242" s="4832" t="n"/>
      <c r="P242" s="4833" t="n"/>
      <c r="Q242" s="4833" t="n"/>
      <c r="R242" s="4833" t="n"/>
      <c r="S242" s="4833" t="n"/>
      <c r="T242" s="4833" t="n"/>
      <c r="U242" s="4833" t="n"/>
      <c r="V242" s="4833" t="n"/>
      <c r="W242" s="4833" t="n"/>
      <c r="X242" s="4834" t="n"/>
      <c r="Y242" s="12131">
        <f>ROUND(SUM(Y239:Y240),0)</f>
        <v/>
      </c>
      <c r="Z242" s="8412" t="n"/>
      <c r="AA242" s="8412" t="n"/>
      <c r="AB242" s="8412" t="n"/>
      <c r="AC242" s="8412" t="n"/>
      <c r="AD242" s="8412" t="n"/>
      <c r="AE242" s="8412" t="n"/>
      <c r="AF242" s="8412" t="n"/>
      <c r="AG242" s="11734" t="n"/>
      <c r="AH242" s="4825" t="n"/>
      <c r="AI242" s="3835" t="n"/>
      <c r="AJ242" s="3835" t="n"/>
      <c r="AK242" s="3835" t="n"/>
      <c r="AL242" s="3835" t="n"/>
      <c r="AM242" s="3835" t="n"/>
      <c r="AN242" s="3835" t="n"/>
      <c r="AO242" s="3835" t="n"/>
      <c r="AP242" s="1277" t="n"/>
      <c r="BG242" s="769" t="n"/>
      <c r="BH242" s="658" t="n"/>
      <c r="BI242" s="658" t="n"/>
      <c r="BJ242" s="658" t="n"/>
      <c r="BK242" s="658" t="n"/>
      <c r="BL242" s="658" t="n"/>
      <c r="BM242" s="658" t="n"/>
      <c r="BN242" s="658" t="n"/>
      <c r="BO242" s="658" t="n"/>
      <c r="BP242" s="658" t="n"/>
    </row>
    <row r="243" ht="13.5" customHeight="1" s="7635">
      <c r="A243" s="1277" t="n"/>
      <c r="B243" s="7642" t="n">
        <v>35</v>
      </c>
      <c r="D243" s="8650" t="inlineStr">
        <is>
          <t>Add columns (d) and (f) of line 34a</t>
        </is>
      </c>
      <c r="E243" s="11602" t="n"/>
      <c r="F243" s="11602" t="n"/>
      <c r="G243" s="11602" t="n"/>
      <c r="H243" s="11602" t="n"/>
      <c r="I243" s="11602" t="n"/>
      <c r="J243" s="11602" t="n"/>
      <c r="K243" s="11602" t="n"/>
      <c r="L243" s="11602" t="n"/>
      <c r="M243" s="11602" t="n"/>
      <c r="N243" s="11602" t="n"/>
      <c r="O243" s="11602" t="n"/>
      <c r="P243" s="11602" t="n"/>
      <c r="Q243" s="11602" t="n"/>
      <c r="R243" s="11602" t="n"/>
      <c r="S243" s="11602" t="n"/>
      <c r="T243" s="11602" t="n"/>
      <c r="U243" s="11602" t="n"/>
      <c r="V243" s="11602" t="n"/>
      <c r="W243" s="11602" t="n"/>
      <c r="X243" s="11602" t="n"/>
      <c r="Y243" s="11602" t="n"/>
      <c r="Z243" s="11602" t="n"/>
      <c r="AA243" s="11602" t="n"/>
      <c r="AB243" s="11602" t="n"/>
      <c r="AC243" s="11602" t="n"/>
      <c r="AD243" s="11602" t="n"/>
      <c r="AE243" s="11602" t="n"/>
      <c r="AF243" s="11602" t="n"/>
      <c r="AG243" s="2198" t="inlineStr">
        <is>
          <t xml:space="preserve">.   .   .   .   .   .   .   .   .   .   .   .   .   .   .   .   .   .   .   .   .   .   .   .   .   . </t>
        </is>
      </c>
      <c r="AH243" s="10008" t="n">
        <v>35</v>
      </c>
      <c r="AI243" s="11734" t="n"/>
      <c r="AJ243" s="8413">
        <f>SUM(O241,AH241)</f>
        <v/>
      </c>
      <c r="AK243" s="8412" t="n"/>
      <c r="AL243" s="8412" t="n"/>
      <c r="AM243" s="8412" t="n"/>
      <c r="AN243" s="8412" t="n"/>
      <c r="AO243" s="8412" t="n"/>
      <c r="AP243" s="1277" t="n"/>
      <c r="BG243" s="769" t="n"/>
      <c r="BH243" s="658" t="n"/>
      <c r="BI243" s="658" t="n"/>
      <c r="BJ243" s="658" t="n"/>
      <c r="BK243" s="658" t="n"/>
      <c r="BL243" s="658" t="n"/>
      <c r="BM243" s="658" t="n"/>
      <c r="BN243" s="658" t="n"/>
      <c r="BO243" s="658" t="n"/>
      <c r="BP243" s="658" t="n"/>
    </row>
    <row r="244" ht="13.5" customHeight="1" s="7635">
      <c r="A244" s="1277" t="n"/>
      <c r="B244" s="7642" t="n">
        <v>36</v>
      </c>
      <c r="D244" s="8650" t="inlineStr">
        <is>
          <t>Add columns (c) and (e) of line 34b</t>
        </is>
      </c>
      <c r="E244" s="11602" t="n"/>
      <c r="F244" s="11602" t="n"/>
      <c r="G244" s="11602" t="n"/>
      <c r="H244" s="11602" t="n"/>
      <c r="I244" s="11602" t="n"/>
      <c r="J244" s="11602" t="n"/>
      <c r="K244" s="11602" t="n"/>
      <c r="L244" s="11602" t="n"/>
      <c r="M244" s="11602" t="n"/>
      <c r="N244" s="11602" t="n"/>
      <c r="O244" s="11602" t="n"/>
      <c r="P244" s="11602" t="n"/>
      <c r="Q244" s="11602" t="n"/>
      <c r="R244" s="11602" t="n"/>
      <c r="S244" s="11602" t="n"/>
      <c r="T244" s="11602" t="n"/>
      <c r="U244" s="11602" t="n"/>
      <c r="V244" s="11602" t="n"/>
      <c r="W244" s="11602" t="n"/>
      <c r="X244" s="11602" t="n"/>
      <c r="Y244" s="11602" t="n"/>
      <c r="Z244" s="11602" t="n"/>
      <c r="AA244" s="11602" t="n"/>
      <c r="AB244" s="11602" t="n"/>
      <c r="AC244" s="11602" t="n"/>
      <c r="AD244" s="11602" t="n"/>
      <c r="AE244" s="11602" t="n"/>
      <c r="AF244" s="11602" t="n"/>
      <c r="AG244" s="2198" t="inlineStr">
        <is>
          <t xml:space="preserve">.   .   .   .   .   .   .   .   .   .   .   .   .   .   .   .   .   .   .   .   .   .   .   .   .   . </t>
        </is>
      </c>
      <c r="AH244" s="10008" t="n">
        <v>36</v>
      </c>
      <c r="AI244" s="11734" t="n"/>
      <c r="AJ244" s="7056" t="inlineStr">
        <is>
          <t>(</t>
        </is>
      </c>
      <c r="AK244" s="7057">
        <f>SUM(F242,Y242)</f>
        <v/>
      </c>
      <c r="AL244" s="8412" t="n"/>
      <c r="AM244" s="8412" t="n"/>
      <c r="AN244" s="8412" t="n"/>
      <c r="AO244" s="4835" t="inlineStr">
        <is>
          <t>)</t>
        </is>
      </c>
      <c r="AP244" s="1277" t="n"/>
      <c r="BG244" s="769" t="n"/>
      <c r="BH244" s="658" t="n"/>
      <c r="BI244" s="658" t="n"/>
      <c r="BJ244" s="658" t="n"/>
      <c r="BK244" s="658" t="n"/>
      <c r="BL244" s="658" t="n"/>
      <c r="BM244" s="658" t="n"/>
      <c r="BN244" s="658" t="n"/>
      <c r="BO244" s="658" t="n"/>
      <c r="BP244" s="658" t="n"/>
    </row>
    <row r="245" ht="13.5" customHeight="1" s="7635">
      <c r="A245" s="1277" t="n"/>
      <c r="B245" s="8405" t="n">
        <v>37</v>
      </c>
      <c r="C245" s="7637" t="n"/>
      <c r="D245" s="1996" t="inlineStr">
        <is>
          <t>Total estate and trust income or (loss). Combine lines 35 and 36</t>
        </is>
      </c>
      <c r="E245" s="413" t="n"/>
      <c r="F245" s="413" t="n"/>
      <c r="G245" s="413" t="n"/>
      <c r="H245" s="413" t="n"/>
      <c r="I245" s="413" t="n"/>
      <c r="J245" s="413" t="n"/>
      <c r="K245" s="413" t="n"/>
      <c r="L245" s="413" t="n"/>
      <c r="M245" s="413" t="n"/>
      <c r="N245" s="413" t="n"/>
      <c r="O245" s="413" t="n"/>
      <c r="P245" s="413" t="n"/>
      <c r="Q245" s="413" t="n"/>
      <c r="R245" s="413" t="n"/>
      <c r="S245" s="413" t="n"/>
      <c r="T245" s="413" t="n"/>
      <c r="U245" s="413" t="n"/>
      <c r="V245" s="413" t="n"/>
      <c r="W245" s="413" t="n"/>
      <c r="X245" s="413" t="n"/>
      <c r="Y245" s="413" t="n"/>
      <c r="Z245" s="413" t="n"/>
      <c r="AA245" s="413" t="n"/>
      <c r="AB245" s="413" t="n"/>
      <c r="AC245" s="413" t="n"/>
      <c r="AD245" s="413" t="n"/>
      <c r="AE245" s="413" t="n"/>
      <c r="AF245" s="413" t="n"/>
      <c r="AG245" s="974" t="inlineStr">
        <is>
          <t xml:space="preserve">.   .   .   .   .   .   .   .   .   .   .   .   . </t>
        </is>
      </c>
      <c r="AH245" s="10008" t="n">
        <v>37</v>
      </c>
      <c r="AI245" s="11734" t="n"/>
      <c r="AJ245" s="8413">
        <f>SUM(AJ243,-AK244)</f>
        <v/>
      </c>
      <c r="AK245" s="8412" t="n"/>
      <c r="AL245" s="8412" t="n"/>
      <c r="AM245" s="8412" t="n"/>
      <c r="AN245" s="8412" t="n"/>
      <c r="AO245" s="8412" t="n"/>
      <c r="AP245" s="1277" t="n"/>
      <c r="BG245" s="769" t="n"/>
      <c r="BH245" s="658" t="n"/>
      <c r="BI245" s="658" t="n"/>
      <c r="BJ245" s="658" t="n"/>
      <c r="BK245" s="658" t="n"/>
      <c r="BL245" s="658" t="n"/>
      <c r="BM245" s="658" t="n"/>
      <c r="BN245" s="658" t="n"/>
      <c r="BO245" s="658" t="n"/>
      <c r="BP245" s="658" t="n"/>
    </row>
    <row r="246" ht="17.25" customFormat="1" customHeight="1" s="1405">
      <c r="A246" s="2119" t="n"/>
      <c r="B246" s="8410" t="inlineStr">
        <is>
          <t>Part IV</t>
        </is>
      </c>
      <c r="C246" s="8412" t="n"/>
      <c r="D246" s="8412" t="n"/>
      <c r="E246" s="2120" t="n"/>
      <c r="F246" s="4189" t="inlineStr">
        <is>
          <t>Income or Loss From Real Estate Mortgage Investment Conduits (REMICs)—Residual Holder</t>
        </is>
      </c>
      <c r="G246" s="2120" t="n"/>
      <c r="H246" s="2120" t="n"/>
      <c r="I246" s="2120" t="n"/>
      <c r="J246" s="2120" t="n"/>
      <c r="K246" s="2120" t="n"/>
      <c r="L246" s="2120" t="n"/>
      <c r="M246" s="2120" t="n"/>
      <c r="N246" s="2120" t="n"/>
      <c r="O246" s="2120" t="n"/>
      <c r="P246" s="2120" t="n"/>
      <c r="Q246" s="2120" t="n"/>
      <c r="R246" s="2120" t="n"/>
      <c r="S246" s="2120" t="n"/>
      <c r="T246" s="2120" t="n"/>
      <c r="U246" s="2120" t="n"/>
      <c r="V246" s="2120" t="n"/>
      <c r="W246" s="2120" t="n"/>
      <c r="X246" s="3901" t="n"/>
      <c r="Y246" s="2120" t="n"/>
      <c r="Z246" s="2120" t="n"/>
      <c r="AA246" s="2120" t="n"/>
      <c r="AB246" s="2120" t="n"/>
      <c r="AC246" s="2120" t="n"/>
      <c r="AD246" s="2120" t="n"/>
      <c r="AE246" s="2120" t="n"/>
      <c r="AF246" s="2120" t="n"/>
      <c r="AG246" s="1998" t="n"/>
      <c r="AH246" s="2120" t="n"/>
      <c r="AI246" s="2120" t="n"/>
      <c r="AJ246" s="2120" t="n"/>
      <c r="AK246" s="2120" t="n"/>
      <c r="AL246" s="2120" t="n"/>
      <c r="AM246" s="2120" t="n"/>
      <c r="AN246" s="2120" t="n"/>
      <c r="AO246" s="2120" t="n"/>
      <c r="AP246" s="1277" t="n"/>
      <c r="BG246" s="769" t="n"/>
      <c r="BH246" s="658" t="n"/>
      <c r="BI246" s="658" t="n"/>
      <c r="BJ246" s="658" t="n"/>
      <c r="BK246" s="658" t="n"/>
      <c r="BL246" s="658" t="n"/>
      <c r="BM246" s="658" t="n"/>
      <c r="BN246" s="658" t="n"/>
      <c r="BO246" s="658" t="n"/>
      <c r="BP246" s="658" t="n"/>
      <c r="BQ246" s="815" t="n"/>
    </row>
    <row r="247" ht="12.75" customHeight="1" s="7635">
      <c r="A247" s="1277" t="n"/>
      <c r="B247" s="406" t="n"/>
      <c r="C247" s="8415" t="n"/>
      <c r="D247" s="12124" t="inlineStr">
        <is>
          <t>(a)  Name</t>
        </is>
      </c>
      <c r="E247" s="7839" t="n"/>
      <c r="F247" s="7839" t="n"/>
      <c r="G247" s="7839" t="n"/>
      <c r="H247" s="7839" t="n"/>
      <c r="I247" s="7839" t="n"/>
      <c r="J247" s="10091" t="n"/>
      <c r="K247" s="12126" t="inlineStr">
        <is>
          <t>(b) Employer identification
number</t>
        </is>
      </c>
      <c r="L247" s="7839" t="n"/>
      <c r="M247" s="7839" t="n"/>
      <c r="N247" s="7839" t="n"/>
      <c r="O247" s="7839" t="n"/>
      <c r="P247" s="7839" t="n"/>
      <c r="Q247" s="7839" t="n"/>
      <c r="R247" s="10091" t="n"/>
      <c r="S247" s="12122" t="inlineStr">
        <is>
          <t>(c) Excess inclusion from Schedules Q, line 2c 
(see instructions)</t>
        </is>
      </c>
      <c r="T247" s="7839" t="n"/>
      <c r="U247" s="7839" t="n"/>
      <c r="V247" s="7839" t="n"/>
      <c r="W247" s="7839" t="n"/>
      <c r="X247" s="7839" t="n"/>
      <c r="Y247" s="10091" t="n"/>
      <c r="Z247" s="12126" t="inlineStr">
        <is>
          <t>(d)  Taxable income (net loss)
from Schedules Q, line 1b</t>
        </is>
      </c>
      <c r="AA247" s="7839" t="n"/>
      <c r="AB247" s="7839" t="n"/>
      <c r="AC247" s="7839" t="n"/>
      <c r="AD247" s="7839" t="n"/>
      <c r="AE247" s="7839" t="n"/>
      <c r="AF247" s="7839" t="n"/>
      <c r="AG247" s="10091" t="n"/>
      <c r="AH247" s="10176" t="inlineStr">
        <is>
          <t>(e)  Income from
Schedules Q, line 3b</t>
        </is>
      </c>
      <c r="AI247" s="7839" t="n"/>
      <c r="AJ247" s="7839" t="n"/>
      <c r="AK247" s="7839" t="n"/>
      <c r="AL247" s="7839" t="n"/>
      <c r="AM247" s="7839" t="n"/>
      <c r="AN247" s="7839" t="n"/>
      <c r="AO247" s="7839" t="n"/>
      <c r="AP247" s="1277" t="n"/>
      <c r="BG247" s="769" t="n"/>
      <c r="BH247" s="658" t="n"/>
      <c r="BI247" s="658" t="n"/>
      <c r="BJ247" s="658" t="n"/>
      <c r="BK247" s="658" t="n"/>
      <c r="BL247" s="658" t="n"/>
      <c r="BM247" s="658" t="n"/>
      <c r="BN247" s="658" t="n"/>
      <c r="BO247" s="658" t="n"/>
      <c r="BP247" s="658" t="n"/>
    </row>
    <row r="248" ht="12.75" customHeight="1" s="7635">
      <c r="A248" s="1277" t="n"/>
      <c r="B248" s="8439" t="n">
        <v>38</v>
      </c>
      <c r="J248" s="7636" t="n"/>
      <c r="K248" s="4772" t="n"/>
      <c r="R248" s="7636" t="n"/>
      <c r="S248" s="4772" t="n"/>
      <c r="Y248" s="7636" t="n"/>
      <c r="Z248" s="4772" t="n"/>
      <c r="AG248" s="7636" t="n"/>
      <c r="AH248" s="4772" t="n"/>
      <c r="AP248" s="1277" t="n"/>
      <c r="AX248" s="1405" t="n"/>
      <c r="AY248" s="1405" t="n"/>
      <c r="AZ248" s="1405" t="n"/>
      <c r="BA248" s="1405" t="n"/>
      <c r="BB248" s="1405" t="n"/>
      <c r="BC248" s="1405" t="n"/>
      <c r="BD248" s="1405" t="n"/>
      <c r="BG248" s="769" t="n"/>
      <c r="BH248" s="658" t="n"/>
      <c r="BI248" s="658" t="n"/>
      <c r="BJ248" s="658" t="n"/>
      <c r="BK248" s="658" t="n"/>
      <c r="BL248" s="658" t="n"/>
      <c r="BM248" s="658" t="n"/>
      <c r="BN248" s="658" t="n"/>
      <c r="BO248" s="658" t="n"/>
      <c r="BP248" s="658" t="n"/>
    </row>
    <row r="249" ht="12.75" customHeight="1" s="7635">
      <c r="A249" s="1277" t="n"/>
      <c r="B249" s="413" t="n"/>
      <c r="C249" s="9108" t="n"/>
      <c r="D249" s="7637" t="n"/>
      <c r="E249" s="7637" t="n"/>
      <c r="F249" s="7637" t="n"/>
      <c r="G249" s="7637" t="n"/>
      <c r="H249" s="7637" t="n"/>
      <c r="I249" s="7637" t="n"/>
      <c r="J249" s="7638" t="n"/>
      <c r="K249" s="3614" t="n"/>
      <c r="L249" s="7637" t="n"/>
      <c r="M249" s="7637" t="n"/>
      <c r="N249" s="7637" t="n"/>
      <c r="O249" s="7637" t="n"/>
      <c r="P249" s="7637" t="n"/>
      <c r="Q249" s="7637" t="n"/>
      <c r="R249" s="7638" t="n"/>
      <c r="S249" s="3614" t="n"/>
      <c r="T249" s="7637" t="n"/>
      <c r="U249" s="7637" t="n"/>
      <c r="V249" s="7637" t="n"/>
      <c r="W249" s="7637" t="n"/>
      <c r="X249" s="7637" t="n"/>
      <c r="Y249" s="7638" t="n"/>
      <c r="Z249" s="3614" t="n"/>
      <c r="AA249" s="7637" t="n"/>
      <c r="AB249" s="7637" t="n"/>
      <c r="AC249" s="7637" t="n"/>
      <c r="AD249" s="7637" t="n"/>
      <c r="AE249" s="7637" t="n"/>
      <c r="AF249" s="7637" t="n"/>
      <c r="AG249" s="7638" t="n"/>
      <c r="AH249" s="3614" t="n"/>
      <c r="AI249" s="7637" t="n"/>
      <c r="AJ249" s="7637" t="n"/>
      <c r="AK249" s="7637" t="n"/>
      <c r="AL249" s="7637" t="n"/>
      <c r="AM249" s="7637" t="n"/>
      <c r="AN249" s="7637" t="n"/>
      <c r="AO249" s="7637" t="n"/>
      <c r="AP249" s="1277" t="n"/>
      <c r="AQ249" s="2875" t="n"/>
      <c r="AR249" s="2875" t="n"/>
      <c r="AS249" s="2875" t="n"/>
      <c r="BG249" s="769" t="n"/>
      <c r="BH249" s="658" t="n"/>
      <c r="BI249" s="658" t="n"/>
      <c r="BJ249" s="658" t="n"/>
      <c r="BK249" s="658" t="n"/>
      <c r="BL249" s="658" t="n"/>
      <c r="BM249" s="658" t="n"/>
      <c r="BN249" s="658" t="n"/>
      <c r="BO249" s="658" t="n"/>
      <c r="BP249" s="658" t="n"/>
    </row>
    <row r="250" ht="12.75" customHeight="1" s="7635">
      <c r="A250" s="1277" t="n"/>
      <c r="B250" s="12142" t="n"/>
      <c r="C250" s="8007" t="n"/>
      <c r="D250" s="8007" t="n"/>
      <c r="E250" s="8007" t="n"/>
      <c r="F250" s="8007" t="n"/>
      <c r="G250" s="8007" t="n"/>
      <c r="H250" s="8007" t="n"/>
      <c r="I250" s="8007" t="n"/>
      <c r="J250" s="8008" t="n"/>
      <c r="K250" s="325" t="n"/>
      <c r="L250" s="8007" t="n"/>
      <c r="M250" s="8007" t="n"/>
      <c r="N250" s="8007" t="n"/>
      <c r="O250" s="8007" t="n"/>
      <c r="P250" s="8007" t="n"/>
      <c r="Q250" s="8007" t="n"/>
      <c r="R250" s="8008" t="n"/>
      <c r="S250" s="8401" t="n"/>
      <c r="T250" s="8007" t="n"/>
      <c r="U250" s="8007" t="n"/>
      <c r="V250" s="8007" t="n"/>
      <c r="W250" s="8007" t="n"/>
      <c r="X250" s="8007" t="n"/>
      <c r="Y250" s="8008" t="n"/>
      <c r="Z250" s="8401" t="n"/>
      <c r="AA250" s="8007" t="n"/>
      <c r="AB250" s="8007" t="n"/>
      <c r="AC250" s="8007" t="n"/>
      <c r="AD250" s="8007" t="n"/>
      <c r="AE250" s="8007" t="n"/>
      <c r="AF250" s="8007" t="n"/>
      <c r="AG250" s="8008" t="n"/>
      <c r="AH250" s="8402" t="n"/>
      <c r="AI250" s="8007" t="n"/>
      <c r="AJ250" s="8007" t="n"/>
      <c r="AK250" s="8007" t="n"/>
      <c r="AL250" s="8007" t="n"/>
      <c r="AM250" s="8007" t="n"/>
      <c r="AN250" s="8007" t="n"/>
      <c r="AO250" s="8007" t="n"/>
      <c r="AP250" s="1277" t="n"/>
      <c r="AQ250" s="2875" t="n"/>
      <c r="AR250" s="8788" t="inlineStr">
        <is>
          <t>Override</t>
        </is>
      </c>
      <c r="AS250" s="2875" t="n"/>
      <c r="BG250" s="769" t="n"/>
      <c r="BH250" s="658" t="n"/>
      <c r="BI250" s="658" t="n"/>
      <c r="BJ250" s="658" t="n"/>
      <c r="BK250" s="658" t="n"/>
      <c r="BL250" s="658" t="n"/>
      <c r="BM250" s="658" t="n"/>
      <c r="BN250" s="658" t="n"/>
      <c r="BO250" s="658" t="n"/>
      <c r="BP250" s="658" t="n"/>
    </row>
    <row r="251" ht="15.75" customHeight="1" s="7635">
      <c r="A251" s="1277" t="n"/>
      <c r="B251" s="8405" t="n">
        <v>39</v>
      </c>
      <c r="C251" s="7637" t="n"/>
      <c r="D251" s="1996" t="inlineStr">
        <is>
          <t>Combine columns (d) and (e) only. Enter the result here and include in the total on line 41 below</t>
        </is>
      </c>
      <c r="E251" s="413" t="n"/>
      <c r="F251" s="413" t="n"/>
      <c r="G251" s="413" t="n"/>
      <c r="H251" s="413" t="n"/>
      <c r="I251" s="413" t="n"/>
      <c r="J251" s="413" t="n"/>
      <c r="K251" s="413" t="n"/>
      <c r="L251" s="413" t="n"/>
      <c r="M251" s="413" t="n"/>
      <c r="N251" s="413" t="n"/>
      <c r="O251" s="413" t="n"/>
      <c r="P251" s="413" t="n"/>
      <c r="Q251" s="413" t="n"/>
      <c r="R251" s="413" t="n"/>
      <c r="S251" s="413" t="n"/>
      <c r="T251" s="413" t="n"/>
      <c r="U251" s="413" t="n"/>
      <c r="V251" s="413" t="n"/>
      <c r="W251" s="413" t="n"/>
      <c r="X251" s="413" t="n"/>
      <c r="Y251" s="413" t="n"/>
      <c r="Z251" s="413" t="n"/>
      <c r="AA251" s="413" t="n"/>
      <c r="AB251" s="413" t="n"/>
      <c r="AC251" s="413" t="n"/>
      <c r="AD251" s="413" t="n"/>
      <c r="AE251" s="413" t="n"/>
      <c r="AF251" s="413" t="n"/>
      <c r="AG251" s="414" t="n"/>
      <c r="AH251" s="10008" t="n">
        <v>39</v>
      </c>
      <c r="AI251" s="11734" t="n"/>
      <c r="AJ251" s="8408">
        <f>IF(AR251&lt;&gt;"",ROUND(AR251,0),ROUND(SUM(Z250,AH250),0))</f>
        <v/>
      </c>
      <c r="AK251" s="8412" t="n"/>
      <c r="AL251" s="8412" t="n"/>
      <c r="AM251" s="8412" t="n"/>
      <c r="AN251" s="8412" t="n"/>
      <c r="AO251" s="8412" t="n"/>
      <c r="AP251" s="1277" t="n"/>
      <c r="AQ251" s="2875" t="n"/>
      <c r="AR251" s="776" t="n"/>
      <c r="AS251" s="2875" t="n"/>
      <c r="BG251" s="769" t="n"/>
      <c r="BH251" s="658" t="n"/>
      <c r="BI251" s="658" t="n"/>
      <c r="BJ251" s="658" t="n"/>
      <c r="BK251" s="658" t="n"/>
      <c r="BL251" s="658" t="n"/>
      <c r="BM251" s="658" t="n"/>
      <c r="BN251" s="658" t="n"/>
      <c r="BO251" s="658" t="n"/>
      <c r="BP251" s="658" t="n"/>
    </row>
    <row r="252" ht="17.25" customFormat="1" customHeight="1" s="1405">
      <c r="A252" s="2119" t="n"/>
      <c r="B252" s="8410" t="inlineStr">
        <is>
          <t>Part V</t>
        </is>
      </c>
      <c r="C252" s="8412" t="n"/>
      <c r="D252" s="8412" t="n"/>
      <c r="E252" s="2120" t="n"/>
      <c r="F252" s="4836" t="inlineStr">
        <is>
          <t>Summary</t>
        </is>
      </c>
      <c r="G252" s="2120" t="n"/>
      <c r="H252" s="2120" t="n"/>
      <c r="I252" s="2120" t="n"/>
      <c r="J252" s="2120" t="n"/>
      <c r="K252" s="2120" t="n"/>
      <c r="L252" s="2120" t="n"/>
      <c r="M252" s="2120" t="n"/>
      <c r="N252" s="2120" t="n"/>
      <c r="O252" s="2120" t="n"/>
      <c r="P252" s="2120" t="n"/>
      <c r="Q252" s="2120" t="n"/>
      <c r="R252" s="2120" t="n"/>
      <c r="S252" s="2120" t="n"/>
      <c r="T252" s="2120" t="n"/>
      <c r="U252" s="2120" t="n"/>
      <c r="V252" s="2120" t="n"/>
      <c r="W252" s="2120" t="n"/>
      <c r="X252" s="3901" t="n"/>
      <c r="Y252" s="2120" t="n"/>
      <c r="Z252" s="2120" t="n"/>
      <c r="AA252" s="2120" t="n"/>
      <c r="AB252" s="2120" t="n"/>
      <c r="AC252" s="2120" t="n"/>
      <c r="AD252" s="2120" t="n"/>
      <c r="AE252" s="2120" t="n"/>
      <c r="AF252" s="2120" t="n"/>
      <c r="AG252" s="2120" t="n"/>
      <c r="AH252" s="2120" t="n"/>
      <c r="AI252" s="2120" t="n"/>
      <c r="AJ252" s="2120" t="n"/>
      <c r="AK252" s="2120" t="n"/>
      <c r="AL252" s="2120" t="n"/>
      <c r="AM252" s="2120" t="n"/>
      <c r="AN252" s="2120" t="n"/>
      <c r="AO252" s="2120" t="n"/>
      <c r="AP252" s="1277" t="n"/>
      <c r="AQ252" s="2875" t="n"/>
      <c r="AR252" s="2875" t="n"/>
      <c r="AS252" s="2875" t="n"/>
      <c r="BG252" s="769" t="n"/>
      <c r="BH252" s="658" t="n"/>
      <c r="BI252" s="658" t="n"/>
      <c r="BJ252" s="658" t="n"/>
      <c r="BK252" s="658" t="n"/>
      <c r="BL252" s="658" t="n"/>
      <c r="BM252" s="658" t="n"/>
      <c r="BN252" s="658" t="n"/>
      <c r="BO252" s="658" t="n"/>
      <c r="BP252" s="658" t="n"/>
      <c r="BQ252" s="815" t="n"/>
    </row>
    <row r="253" ht="13.5" customHeight="1" s="7635">
      <c r="A253" s="1277" t="n"/>
      <c r="B253" s="8384" t="n">
        <v>40</v>
      </c>
      <c r="C253" s="7839" t="n"/>
      <c r="D253" s="2354" t="inlineStr">
        <is>
          <t>Net farm rental income or (loss) from Form 4835. Also, complete line 42 below</t>
        </is>
      </c>
      <c r="E253" s="406" t="n"/>
      <c r="F253" s="406" t="n"/>
      <c r="G253" s="406" t="n"/>
      <c r="H253" s="406" t="n"/>
      <c r="I253" s="406" t="n"/>
      <c r="J253" s="406" t="n"/>
      <c r="K253" s="406" t="n"/>
      <c r="L253" s="406" t="n"/>
      <c r="M253" s="406" t="n"/>
      <c r="N253" s="406" t="n"/>
      <c r="O253" s="406" t="n"/>
      <c r="P253" s="406" t="n"/>
      <c r="Q253" s="406" t="n"/>
      <c r="R253" s="406" t="n"/>
      <c r="S253" s="406" t="n"/>
      <c r="T253" s="406" t="n"/>
      <c r="U253" s="406" t="n"/>
      <c r="V253" s="406" t="n"/>
      <c r="W253" s="406" t="n"/>
      <c r="X253" s="406" t="n"/>
      <c r="Y253" s="406" t="n"/>
      <c r="Z253" s="406" t="n"/>
      <c r="AA253" s="406" t="n"/>
      <c r="AB253" s="406" t="n"/>
      <c r="AC253" s="406" t="n"/>
      <c r="AD253" s="406" t="n"/>
      <c r="AE253" s="406" t="n"/>
      <c r="AF253" s="406" t="n"/>
      <c r="AG253" s="2198" t="inlineStr">
        <is>
          <t xml:space="preserve">.   .   .   .   .   .   .   .   .   . </t>
        </is>
      </c>
      <c r="AH253" s="10008" t="n">
        <v>40</v>
      </c>
      <c r="AI253" s="11734" t="n"/>
      <c r="AJ253" s="8455" t="n"/>
      <c r="AK253" s="8007" t="n"/>
      <c r="AL253" s="8007" t="n"/>
      <c r="AM253" s="8007" t="n"/>
      <c r="AN253" s="8007" t="n"/>
      <c r="AO253" s="8007" t="n"/>
      <c r="AP253" s="1277" t="n"/>
      <c r="AQ253" s="2875" t="n"/>
      <c r="AR253" s="2875" t="n"/>
      <c r="AS253" s="2875" t="n"/>
      <c r="BG253" s="769" t="n"/>
      <c r="BH253" s="658" t="n"/>
      <c r="BI253" s="658" t="n"/>
      <c r="BJ253" s="658" t="n"/>
      <c r="BK253" s="658" t="n"/>
      <c r="BL253" s="658" t="n"/>
      <c r="BM253" s="658" t="n"/>
      <c r="BN253" s="658" t="n"/>
      <c r="BO253" s="658" t="n"/>
      <c r="BP253" s="658" t="n"/>
    </row>
    <row r="254" ht="13.5" customHeight="1" s="7635">
      <c r="A254" s="1277" t="n"/>
      <c r="B254" s="7642" t="n">
        <v>41</v>
      </c>
      <c r="D254" s="8650" t="inlineStr">
        <is>
          <t>Total income or (loss). Combine lines 26, 32, 37, 39, and 40. Enter the result here and on Schedule</t>
        </is>
      </c>
      <c r="E254" s="11602" t="n"/>
      <c r="F254" s="11602" t="n"/>
      <c r="G254" s="11602" t="n"/>
      <c r="H254" s="11602" t="n"/>
      <c r="I254" s="11602" t="n"/>
      <c r="J254" s="11602" t="n"/>
      <c r="K254" s="11602" t="n"/>
      <c r="L254" s="11602" t="n"/>
      <c r="M254" s="11602" t="n"/>
      <c r="N254" s="11602" t="n"/>
      <c r="O254" s="11602" t="n"/>
      <c r="P254" s="11602" t="n"/>
      <c r="Q254" s="11602" t="n"/>
      <c r="R254" s="11602" t="n"/>
      <c r="S254" s="11602" t="n"/>
      <c r="T254" s="11602" t="n"/>
      <c r="U254" s="11602" t="n"/>
      <c r="V254" s="11602" t="n"/>
      <c r="W254" s="11602" t="n"/>
      <c r="X254" s="11602" t="n"/>
      <c r="Y254" s="11602" t="n"/>
      <c r="Z254" s="11602" t="n"/>
      <c r="AA254" s="11602" t="n"/>
      <c r="AB254" s="11602" t="n"/>
      <c r="AC254" s="11602" t="n"/>
      <c r="AD254" s="11602" t="n"/>
      <c r="AE254" s="11602" t="n"/>
      <c r="AF254" s="11602" t="n"/>
      <c r="AG254" s="409" t="n"/>
      <c r="AH254" s="10090" t="n"/>
      <c r="AI254" s="11166" t="n"/>
      <c r="AJ254" s="4849" t="n"/>
      <c r="AK254" s="2904" t="n"/>
      <c r="AL254" s="2904" t="n"/>
      <c r="AM254" s="2904" t="n"/>
      <c r="AN254" s="2904" t="n"/>
      <c r="AO254" s="2904" t="n"/>
      <c r="AP254" s="1277" t="n"/>
      <c r="AQ254" s="2875" t="n"/>
      <c r="AR254" s="2875" t="n"/>
      <c r="AS254" s="2875" t="n"/>
      <c r="AX254" s="1405" t="n"/>
      <c r="AY254" s="1405" t="n"/>
      <c r="AZ254" s="1405" t="n"/>
      <c r="BA254" s="1405" t="n"/>
      <c r="BB254" s="1405" t="n"/>
      <c r="BC254" s="1405" t="n"/>
      <c r="BD254" s="1405" t="n"/>
      <c r="BG254" s="769" t="n"/>
      <c r="BH254" s="658" t="n"/>
      <c r="BI254" s="658" t="n"/>
      <c r="BJ254" s="658" t="n"/>
      <c r="BK254" s="658" t="n"/>
      <c r="BL254" s="658" t="n"/>
      <c r="BM254" s="658" t="n"/>
      <c r="BN254" s="658" t="n"/>
      <c r="BO254" s="658" t="n"/>
      <c r="BP254" s="658" t="n"/>
    </row>
    <row r="255" ht="13.5" customHeight="1" s="7635">
      <c r="A255" s="1277" t="n"/>
      <c r="B255" s="7642" t="n"/>
      <c r="D255" s="8650" t="inlineStr">
        <is>
          <t>1 (Form 1040), line 5.</t>
        </is>
      </c>
      <c r="E255" s="11602" t="n"/>
      <c r="F255" s="11602" t="n"/>
      <c r="G255" s="11602" t="n"/>
      <c r="H255" s="11602" t="n"/>
      <c r="I255" s="11602" t="n"/>
      <c r="J255" s="11602" t="n"/>
      <c r="K255" s="11602" t="n"/>
      <c r="L255" s="11602" t="n"/>
      <c r="M255" s="11602" t="n"/>
      <c r="N255" s="11602" t="n"/>
      <c r="O255" s="11602" t="n"/>
      <c r="P255" s="11602" t="n"/>
      <c r="Q255" s="11602" t="n"/>
      <c r="R255" s="11602" t="n"/>
      <c r="S255" s="11602" t="n"/>
      <c r="T255" s="11602" t="n"/>
      <c r="U255" s="11602" t="n"/>
      <c r="V255" s="11602" t="n"/>
      <c r="W255" s="11602" t="n"/>
      <c r="X255" s="11602" t="n"/>
      <c r="Y255" s="11602" t="n"/>
      <c r="Z255" s="11602" t="n"/>
      <c r="AA255" s="11602" t="n"/>
      <c r="AB255" s="11602" t="n"/>
      <c r="AC255" s="11602" t="n"/>
      <c r="AD255" s="11602" t="n"/>
      <c r="AE255" s="11602" t="n"/>
      <c r="AF255" s="11602" t="n"/>
      <c r="AG255" s="2198" t="inlineStr">
        <is>
          <t xml:space="preserve">.   .   .   .   .   .   .   .   .   .   .   .   .   .   .   .   .   .   .   .   .   .   .   .   .   .   .   .   .   .   .   .   .   .   . </t>
        </is>
      </c>
      <c r="AH255" s="8389" t="n">
        <v>41</v>
      </c>
      <c r="AI255" s="7638" t="n"/>
      <c r="AJ255" s="7063">
        <f>IF(AR255&lt;&gt;"",ROUND(AR255,0),IF(SchE4_Completed,SUM(SchE4_Line26,SchE4_Line32,SchE4_Line37,SchE4_Line39,ROUND(SchE4_Line40,0)),0))</f>
        <v/>
      </c>
      <c r="AK255" s="7637" t="n"/>
      <c r="AL255" s="7637" t="n"/>
      <c r="AM255" s="7637" t="n"/>
      <c r="AN255" s="7637" t="n"/>
      <c r="AO255" s="7637" t="n"/>
      <c r="AP255" s="1277" t="n"/>
      <c r="AQ255" s="2875" t="n"/>
      <c r="AR255" s="776" t="n"/>
      <c r="AS255" s="2875" t="n"/>
      <c r="AV255">
        <f>OR(SchE4_Line26&lt;&gt;0,SchE4_Line32&lt;&gt;0,SchE4_Line37&lt;&gt;0,SchE4_Line39&lt;&gt;0,SchE4_Line40&lt;&gt;0)</f>
        <v/>
      </c>
      <c r="AX255" s="1405" t="n"/>
      <c r="AY255" s="1405" t="n"/>
      <c r="AZ255" s="1405" t="n"/>
      <c r="BA255" s="1405" t="n"/>
      <c r="BB255" s="1405" t="n"/>
      <c r="BC255" s="1405" t="n"/>
      <c r="BD255" s="1405" t="n"/>
      <c r="BG255" s="769" t="n"/>
      <c r="BH255" s="658" t="n"/>
      <c r="BI255" s="658" t="n"/>
      <c r="BJ255" s="658" t="n"/>
      <c r="BK255" s="658" t="n"/>
      <c r="BL255" s="658" t="n"/>
      <c r="BM255" s="658" t="n"/>
      <c r="BN255" s="658" t="n"/>
      <c r="BO255" s="658" t="n"/>
      <c r="BP255" s="658" t="n"/>
    </row>
    <row r="256" ht="12.75" customHeight="1" s="7635">
      <c r="A256" s="1277" t="n"/>
      <c r="B256" s="7642" t="n">
        <v>42</v>
      </c>
      <c r="D256" s="7772" t="inlineStr">
        <is>
          <t>Reconciliation of farming and fishing income.  Enter your gross</t>
        </is>
      </c>
      <c r="E256" s="11602" t="n"/>
      <c r="F256" s="11602" t="n"/>
      <c r="G256" s="11602" t="n"/>
      <c r="H256" s="11602" t="n"/>
      <c r="I256" s="11602" t="n"/>
      <c r="J256" s="11602" t="n"/>
      <c r="K256" s="11602" t="n"/>
      <c r="L256" s="11602" t="n"/>
      <c r="M256" s="11602" t="n"/>
      <c r="N256" s="11602" t="n"/>
      <c r="O256" s="11602" t="n"/>
      <c r="P256" s="11602" t="n"/>
      <c r="Q256" s="11602" t="n"/>
      <c r="R256" s="11602" t="n"/>
      <c r="S256" s="11602" t="n"/>
      <c r="T256" s="11602" t="n"/>
      <c r="U256" s="11602" t="n"/>
      <c r="V256" s="11602" t="n"/>
      <c r="W256" s="11602" t="n"/>
      <c r="X256" s="11602" t="n"/>
      <c r="Y256" s="2094" t="n"/>
      <c r="Z256" s="4847" t="n"/>
      <c r="AA256" s="4847" t="n"/>
      <c r="AB256" s="4847" t="n"/>
      <c r="AC256" s="4847" t="n"/>
      <c r="AD256" s="4847" t="n"/>
      <c r="AE256" s="4847" t="n"/>
      <c r="AF256" s="4847" t="n"/>
      <c r="AG256" s="2095" t="n"/>
      <c r="AH256" s="723" t="n"/>
      <c r="AI256" s="723" t="n"/>
      <c r="AJ256" s="723" t="n"/>
      <c r="AK256" s="723" t="n"/>
      <c r="AL256" s="723" t="n"/>
      <c r="AM256" s="723" t="n"/>
      <c r="AN256" s="723" t="n"/>
      <c r="AO256" s="723" t="n"/>
      <c r="AP256" s="1277" t="n"/>
      <c r="AQ256" s="2875" t="n"/>
      <c r="AR256" s="2875" t="n"/>
      <c r="AS256" s="2875" t="n"/>
      <c r="AV256" s="212">
        <f>IF(SchE4_Completed,SchE4_Line41,SchE4_Line26)</f>
        <v/>
      </c>
      <c r="BG256" s="769" t="n"/>
      <c r="BH256" s="658" t="n"/>
      <c r="BI256" s="658" t="n"/>
      <c r="BJ256" s="658" t="n"/>
      <c r="BK256" s="658" t="n"/>
      <c r="BL256" s="658" t="n"/>
      <c r="BM256" s="658" t="n"/>
      <c r="BN256" s="658" t="n"/>
      <c r="BO256" s="658" t="n"/>
      <c r="BP256" s="658" t="n"/>
    </row>
    <row r="257" ht="12.75" customHeight="1" s="7635">
      <c r="A257" s="1277" t="n"/>
      <c r="B257" s="7642" t="n"/>
      <c r="C257" s="11602" t="n"/>
      <c r="D257" s="8650" t="inlineStr">
        <is>
          <t>farming and fishing income reported on Form 4835, line 7; Schedule K-1</t>
        </is>
      </c>
      <c r="E257" s="11602" t="n"/>
      <c r="F257" s="11602" t="n"/>
      <c r="G257" s="11602" t="n"/>
      <c r="H257" s="11602" t="n"/>
      <c r="I257" s="11602" t="n"/>
      <c r="J257" s="11602" t="n"/>
      <c r="K257" s="11602" t="n"/>
      <c r="L257" s="11602" t="n"/>
      <c r="M257" s="11602" t="n"/>
      <c r="N257" s="11602" t="n"/>
      <c r="O257" s="11602" t="n"/>
      <c r="P257" s="11602" t="n"/>
      <c r="Q257" s="11602" t="n"/>
      <c r="R257" s="11602" t="n"/>
      <c r="S257" s="11602" t="n"/>
      <c r="T257" s="11602" t="n"/>
      <c r="U257" s="11602" t="n"/>
      <c r="V257" s="11602" t="n"/>
      <c r="W257" s="11602" t="n"/>
      <c r="X257" s="11602" t="n"/>
      <c r="Y257" s="2073" t="n"/>
      <c r="Z257" s="723" t="n"/>
      <c r="AA257" s="723" t="n"/>
      <c r="AB257" s="723" t="n"/>
      <c r="AC257" s="723" t="n"/>
      <c r="AD257" s="723" t="n"/>
      <c r="AE257" s="723" t="n"/>
      <c r="AF257" s="723" t="n"/>
      <c r="AG257" s="2074" t="n"/>
      <c r="AH257" s="723" t="n"/>
      <c r="AI257" s="723" t="n"/>
      <c r="AJ257" s="723" t="n"/>
      <c r="AK257" s="723" t="n"/>
      <c r="AL257" s="723" t="n"/>
      <c r="AM257" s="723" t="n"/>
      <c r="AN257" s="723" t="n"/>
      <c r="AO257" s="723" t="n"/>
      <c r="AP257" s="1277" t="n"/>
      <c r="BG257" s="769" t="n"/>
      <c r="BH257" s="658" t="n"/>
      <c r="BI257" s="658" t="n"/>
      <c r="BJ257" s="658" t="n"/>
      <c r="BK257" s="658" t="n"/>
      <c r="BL257" s="658" t="n"/>
      <c r="BM257" s="658" t="n"/>
      <c r="BN257" s="658" t="n"/>
      <c r="BO257" s="658" t="n"/>
      <c r="BP257" s="658" t="n"/>
    </row>
    <row r="258" ht="12.75" customHeight="1" s="7635">
      <c r="A258" s="1277" t="n"/>
      <c r="B258" s="7642" t="n"/>
      <c r="C258" s="11602" t="n"/>
      <c r="D258" s="8650" t="inlineStr">
        <is>
          <t>Form 1065), box 14, code B; Schedule K-1 (Form 1120S), box 17, code</t>
        </is>
      </c>
      <c r="E258" s="11602" t="n"/>
      <c r="F258" s="11602" t="n"/>
      <c r="G258" s="11602" t="n"/>
      <c r="H258" s="11602" t="n"/>
      <c r="I258" s="11602" t="n"/>
      <c r="J258" s="11602" t="n"/>
      <c r="K258" s="11602" t="n"/>
      <c r="L258" s="11602" t="n"/>
      <c r="M258" s="11602" t="n"/>
      <c r="N258" s="11602" t="n"/>
      <c r="O258" s="11602" t="n"/>
      <c r="P258" s="11602" t="n"/>
      <c r="Q258" s="11602" t="n"/>
      <c r="R258" s="11602" t="n"/>
      <c r="S258" s="11602" t="n"/>
      <c r="T258" s="11602" t="n"/>
      <c r="U258" s="11602" t="n"/>
      <c r="V258" s="11602" t="n"/>
      <c r="W258" s="11602" t="n"/>
      <c r="X258" s="11602" t="n"/>
      <c r="Y258" s="2073" t="n"/>
      <c r="Z258" s="723" t="n"/>
      <c r="AA258" s="723" t="n"/>
      <c r="AB258" s="723" t="n"/>
      <c r="AC258" s="723" t="n"/>
      <c r="AD258" s="723" t="n"/>
      <c r="AE258" s="723" t="n"/>
      <c r="AF258" s="723" t="n"/>
      <c r="AG258" s="2074" t="n"/>
      <c r="AH258" s="723" t="n"/>
      <c r="AI258" s="723" t="n"/>
      <c r="AJ258" s="723" t="n"/>
      <c r="AK258" s="723" t="n"/>
      <c r="AL258" s="723" t="n"/>
      <c r="AM258" s="723" t="n"/>
      <c r="AN258" s="723" t="n"/>
      <c r="AO258" s="723" t="n"/>
      <c r="AP258" s="1277" t="n"/>
      <c r="BG258" s="769" t="n"/>
      <c r="BH258" s="658" t="n"/>
      <c r="BI258" s="658" t="n"/>
      <c r="BJ258" s="658" t="n"/>
      <c r="BK258" s="658" t="n"/>
      <c r="BL258" s="658" t="n"/>
      <c r="BM258" s="658" t="n"/>
      <c r="BN258" s="658" t="n"/>
      <c r="BO258" s="658" t="n"/>
      <c r="BP258" s="658" t="n"/>
    </row>
    <row r="259" ht="13.5" customHeight="1" s="7635">
      <c r="A259" s="1277" t="n"/>
      <c r="B259" s="7642" t="n"/>
      <c r="C259" s="11602" t="n"/>
      <c r="D259" s="8650" t="inlineStr">
        <is>
          <t>AN; and Schedule K-1 (Form 1041), box 14, code F. See instructions</t>
        </is>
      </c>
      <c r="E259" s="11602" t="n"/>
      <c r="F259" s="11602" t="n"/>
      <c r="G259" s="11602" t="n"/>
      <c r="H259" s="11602" t="n"/>
      <c r="I259" s="11602" t="n"/>
      <c r="J259" s="11602" t="n"/>
      <c r="K259" s="11602" t="n"/>
      <c r="L259" s="11602" t="n"/>
      <c r="M259" s="11602" t="n"/>
      <c r="N259" s="11602" t="n"/>
      <c r="O259" s="11602" t="n"/>
      <c r="P259" s="11602" t="n"/>
      <c r="Q259" s="11602" t="n"/>
      <c r="R259" s="11602" t="n"/>
      <c r="S259" s="11602" t="n"/>
      <c r="T259" s="11602" t="n"/>
      <c r="U259" s="11602" t="n"/>
      <c r="V259" s="11602" t="n"/>
      <c r="W259" s="11602" t="n"/>
      <c r="X259" s="1401" t="inlineStr">
        <is>
          <t xml:space="preserve">.   .   .   .   .  </t>
        </is>
      </c>
      <c r="Y259" s="12147" t="n">
        <v>42</v>
      </c>
      <c r="Z259" s="11734" t="n"/>
      <c r="AA259" s="8637" t="n"/>
      <c r="AB259" s="8007" t="n"/>
      <c r="AC259" s="8007" t="n"/>
      <c r="AD259" s="8007" t="n"/>
      <c r="AE259" s="8007" t="n"/>
      <c r="AF259" s="8007" t="n"/>
      <c r="AG259" s="8008" t="n"/>
      <c r="AH259" s="723" t="n"/>
      <c r="AI259" s="723" t="n"/>
      <c r="AJ259" s="723" t="n"/>
      <c r="AK259" s="723" t="n"/>
      <c r="AL259" s="723" t="n"/>
      <c r="AM259" s="723" t="n"/>
      <c r="AN259" s="723" t="n"/>
      <c r="AO259" s="723" t="n"/>
      <c r="AP259" s="1277" t="n"/>
      <c r="BG259" s="769" t="n"/>
      <c r="BH259" s="658" t="n"/>
      <c r="BI259" s="658" t="n"/>
      <c r="BJ259" s="658" t="n"/>
      <c r="BK259" s="658" t="n"/>
      <c r="BL259" s="658" t="n"/>
      <c r="BM259" s="658" t="n"/>
      <c r="BN259" s="658" t="n"/>
      <c r="BO259" s="658" t="n"/>
      <c r="BP259" s="658" t="n"/>
    </row>
    <row r="260" ht="12.75" customHeight="1" s="7635">
      <c r="A260" s="1277" t="n"/>
      <c r="B260" s="7642" t="n">
        <v>43</v>
      </c>
      <c r="D260" s="8650" t="inlineStr">
        <is>
          <t>Reconciliation for real estate professionals. If you were a real estate</t>
        </is>
      </c>
      <c r="E260" s="11602" t="n"/>
      <c r="F260" s="11602" t="n"/>
      <c r="G260" s="11602" t="n"/>
      <c r="H260" s="11602" t="n"/>
      <c r="I260" s="11602" t="n"/>
      <c r="J260" s="11602" t="n"/>
      <c r="K260" s="11602" t="n"/>
      <c r="L260" s="11602" t="n"/>
      <c r="M260" s="11602" t="n"/>
      <c r="N260" s="11602" t="n"/>
      <c r="O260" s="11602" t="n"/>
      <c r="P260" s="11602" t="n"/>
      <c r="Q260" s="11602" t="n"/>
      <c r="R260" s="11602" t="n"/>
      <c r="S260" s="11602" t="n"/>
      <c r="T260" s="11602" t="n"/>
      <c r="U260" s="11602" t="n"/>
      <c r="V260" s="11602" t="n"/>
      <c r="W260" s="11602" t="n"/>
      <c r="X260" s="11602" t="n"/>
      <c r="Y260" s="2094" t="n"/>
      <c r="Z260" s="4847" t="n"/>
      <c r="AA260" s="4847" t="n"/>
      <c r="AB260" s="4847" t="n"/>
      <c r="AC260" s="4847" t="n"/>
      <c r="AD260" s="4847" t="n"/>
      <c r="AE260" s="4847" t="n"/>
      <c r="AF260" s="4847" t="n"/>
      <c r="AG260" s="2095" t="n"/>
      <c r="AH260" s="723" t="n"/>
      <c r="AI260" s="723" t="n"/>
      <c r="AJ260" s="723" t="n"/>
      <c r="AK260" s="723" t="n"/>
      <c r="AL260" s="723" t="n"/>
      <c r="AM260" s="723" t="n"/>
      <c r="AN260" s="723" t="n"/>
      <c r="AO260" s="723" t="n"/>
      <c r="AP260" s="1277" t="n"/>
      <c r="BG260" s="769" t="n"/>
      <c r="BH260" s="658" t="n"/>
      <c r="BI260" s="658" t="n"/>
      <c r="BJ260" s="658" t="n"/>
      <c r="BK260" s="658" t="n"/>
      <c r="BL260" s="658" t="n"/>
      <c r="BM260" s="658" t="n"/>
      <c r="BN260" s="658" t="n"/>
      <c r="BO260" s="658" t="n"/>
      <c r="BP260" s="658" t="n"/>
    </row>
    <row r="261" ht="12.75" customHeight="1" s="7635">
      <c r="A261" s="1277" t="n"/>
      <c r="B261" s="7642" t="n"/>
      <c r="C261" s="11602" t="n"/>
      <c r="D261" s="2100" t="inlineStr">
        <is>
          <t>professional (see instructions),  enter the net income or (loss) you</t>
        </is>
      </c>
      <c r="E261" s="11602" t="n"/>
      <c r="F261" s="11602" t="n"/>
      <c r="G261" s="11602" t="n"/>
      <c r="H261" s="11602" t="n"/>
      <c r="I261" s="11602" t="n"/>
      <c r="J261" s="11602" t="n"/>
      <c r="K261" s="11602" t="n"/>
      <c r="L261" s="11602" t="n"/>
      <c r="M261" s="11602" t="n"/>
      <c r="N261" s="11602" t="n"/>
      <c r="O261" s="11602" t="n"/>
      <c r="P261" s="11602" t="n"/>
      <c r="Q261" s="11602" t="n"/>
      <c r="R261" s="11602" t="n"/>
      <c r="S261" s="11602" t="n"/>
      <c r="T261" s="11602" t="n"/>
      <c r="U261" s="11602" t="n"/>
      <c r="V261" s="11602" t="n"/>
      <c r="W261" s="11602" t="n"/>
      <c r="X261" s="11602" t="n"/>
      <c r="Y261" s="2073" t="n"/>
      <c r="Z261" s="723" t="n"/>
      <c r="AA261" s="723" t="n"/>
      <c r="AB261" s="723" t="n"/>
      <c r="AC261" s="723" t="n"/>
      <c r="AD261" s="723" t="n"/>
      <c r="AE261" s="723" t="n"/>
      <c r="AF261" s="723" t="n"/>
      <c r="AG261" s="2074" t="n"/>
      <c r="AH261" s="723" t="n"/>
      <c r="AI261" s="723" t="n"/>
      <c r="AJ261" s="723" t="n"/>
      <c r="AK261" s="723" t="n"/>
      <c r="AL261" s="723" t="n"/>
      <c r="AM261" s="723" t="n"/>
      <c r="AN261" s="723" t="n"/>
      <c r="AO261" s="723" t="n"/>
      <c r="AP261" s="1277" t="n"/>
      <c r="BG261" s="769" t="n"/>
      <c r="BH261" s="658" t="n"/>
      <c r="BI261" s="658" t="n"/>
      <c r="BJ261" s="658" t="n"/>
      <c r="BK261" s="658" t="n"/>
      <c r="BL261" s="658" t="n"/>
      <c r="BM261" s="658" t="n"/>
      <c r="BN261" s="658" t="n"/>
      <c r="BO261" s="658" t="n"/>
      <c r="BP261" s="658" t="n"/>
    </row>
    <row r="262" ht="12.75" customHeight="1" s="7635">
      <c r="A262" s="1277" t="n"/>
      <c r="B262" s="7642" t="n"/>
      <c r="C262" s="11602" t="n"/>
      <c r="D262" s="2100" t="inlineStr">
        <is>
          <t>reported  anywhere on Form 1040, Form 1040-SR, or Form 1040-NR</t>
        </is>
      </c>
      <c r="E262" s="11602" t="n"/>
      <c r="F262" s="11602" t="n"/>
      <c r="G262" s="11602" t="n"/>
      <c r="H262" s="11602" t="n"/>
      <c r="I262" s="11602" t="n"/>
      <c r="J262" s="11602" t="n"/>
      <c r="K262" s="11602" t="n"/>
      <c r="L262" s="11602" t="n"/>
      <c r="M262" s="11602" t="n"/>
      <c r="N262" s="11602" t="n"/>
      <c r="O262" s="11602" t="n"/>
      <c r="P262" s="11602" t="n"/>
      <c r="Q262" s="11602" t="n"/>
      <c r="R262" s="11602" t="n"/>
      <c r="S262" s="11602" t="n"/>
      <c r="T262" s="11602" t="n"/>
      <c r="U262" s="11602" t="n"/>
      <c r="V262" s="11602" t="n"/>
      <c r="W262" s="11602" t="n"/>
      <c r="X262" s="11602" t="n"/>
      <c r="Y262" s="2073" t="n"/>
      <c r="Z262" s="723" t="n"/>
      <c r="AA262" s="723" t="n"/>
      <c r="AB262" s="723" t="n"/>
      <c r="AC262" s="723" t="n"/>
      <c r="AD262" s="723" t="n"/>
      <c r="AE262" s="723" t="n"/>
      <c r="AF262" s="723" t="n"/>
      <c r="AG262" s="2074" t="n"/>
      <c r="AH262" s="723" t="n"/>
      <c r="AI262" s="723" t="n"/>
      <c r="AJ262" s="723" t="n"/>
      <c r="AK262" s="723" t="n"/>
      <c r="AL262" s="723" t="n"/>
      <c r="AM262" s="723" t="n"/>
      <c r="AN262" s="723" t="n"/>
      <c r="AO262" s="723" t="n"/>
      <c r="AP262" s="1277" t="n"/>
      <c r="BG262" s="769" t="n"/>
      <c r="BH262" s="658" t="n"/>
      <c r="BI262" s="658" t="n"/>
      <c r="BJ262" s="658" t="n"/>
      <c r="BK262" s="658" t="n"/>
      <c r="BL262" s="658" t="n"/>
      <c r="BM262" s="658" t="n"/>
      <c r="BN262" s="658" t="n"/>
      <c r="BO262" s="658" t="n"/>
      <c r="BP262" s="658" t="n"/>
    </row>
    <row r="263" ht="12.75" customHeight="1" s="7635">
      <c r="A263" s="1277" t="n"/>
      <c r="B263" s="7642" t="n"/>
      <c r="C263" s="11602" t="n"/>
      <c r="D263" s="8650" t="inlineStr">
        <is>
          <t>from all rental real estate activities in which you materially participated</t>
        </is>
      </c>
      <c r="E263" s="11602" t="n"/>
      <c r="F263" s="11602" t="n"/>
      <c r="G263" s="11602" t="n"/>
      <c r="H263" s="11602" t="n"/>
      <c r="I263" s="11602" t="n"/>
      <c r="J263" s="11602" t="n"/>
      <c r="K263" s="11602" t="n"/>
      <c r="L263" s="11602" t="n"/>
      <c r="M263" s="11602" t="n"/>
      <c r="N263" s="11602" t="n"/>
      <c r="O263" s="11602" t="n"/>
      <c r="P263" s="11602" t="n"/>
      <c r="Q263" s="11602" t="n"/>
      <c r="R263" s="11602" t="n"/>
      <c r="S263" s="11602" t="n"/>
      <c r="T263" s="11602" t="n"/>
      <c r="U263" s="11602" t="n"/>
      <c r="V263" s="11602" t="n"/>
      <c r="W263" s="11602" t="n"/>
      <c r="X263" s="11602" t="n"/>
      <c r="Y263" s="2073" t="n"/>
      <c r="Z263" s="723" t="n"/>
      <c r="AA263" s="723" t="n"/>
      <c r="AB263" s="723" t="n"/>
      <c r="AC263" s="723" t="n"/>
      <c r="AD263" s="723" t="n"/>
      <c r="AE263" s="723" t="n"/>
      <c r="AF263" s="723" t="n"/>
      <c r="AG263" s="2074" t="n"/>
      <c r="AH263" s="723" t="n"/>
      <c r="AI263" s="723" t="n"/>
      <c r="AJ263" s="723" t="n"/>
      <c r="AK263" s="723" t="n"/>
      <c r="AL263" s="723" t="n"/>
      <c r="AM263" s="723" t="n"/>
      <c r="AN263" s="723" t="n"/>
      <c r="AO263" s="723" t="n"/>
      <c r="AP263" s="1277" t="n"/>
      <c r="BG263" s="769" t="n"/>
      <c r="BH263" s="658" t="n"/>
      <c r="BI263" s="658" t="n"/>
      <c r="BJ263" s="658" t="n"/>
      <c r="BK263" s="658" t="n"/>
      <c r="BL263" s="658" t="n"/>
      <c r="BM263" s="658" t="n"/>
      <c r="BN263" s="658" t="n"/>
      <c r="BO263" s="658" t="n"/>
      <c r="BP263" s="658" t="n"/>
    </row>
    <row r="264" ht="13.5" customHeight="1" s="7635" thickBot="1">
      <c r="A264" s="1277" t="n"/>
      <c r="B264" s="8481" t="n"/>
      <c r="C264" s="380" t="n"/>
      <c r="D264" s="2015" t="inlineStr">
        <is>
          <t>under the passive activity loss rules</t>
        </is>
      </c>
      <c r="E264" s="380" t="n"/>
      <c r="F264" s="380" t="n"/>
      <c r="G264" s="380" t="n"/>
      <c r="H264" s="380" t="n"/>
      <c r="I264" s="380" t="n"/>
      <c r="J264" s="380" t="n"/>
      <c r="K264" s="380" t="n"/>
      <c r="L264" s="380" t="n"/>
      <c r="M264" s="380" t="n"/>
      <c r="N264" s="380" t="n"/>
      <c r="O264" s="380" t="n"/>
      <c r="P264" s="380" t="n"/>
      <c r="Q264" s="380" t="n"/>
      <c r="R264" s="380" t="n"/>
      <c r="S264" s="380" t="n"/>
      <c r="T264" s="380" t="n"/>
      <c r="U264" s="380" t="n"/>
      <c r="V264" s="380" t="n"/>
      <c r="W264" s="380" t="n"/>
      <c r="X264" s="10736" t="inlineStr">
        <is>
          <t xml:space="preserve">.   .   .   .   .   .   .   .  </t>
        </is>
      </c>
      <c r="Y264" s="12148" t="n">
        <v>43</v>
      </c>
      <c r="Z264" s="12143" t="n"/>
      <c r="AA264" s="8641" t="n"/>
      <c r="AB264" s="11809" t="n"/>
      <c r="AC264" s="11809" t="n"/>
      <c r="AD264" s="11809" t="n"/>
      <c r="AE264" s="11809" t="n"/>
      <c r="AF264" s="11809" t="n"/>
      <c r="AG264" s="11810" t="n"/>
      <c r="AH264" s="818" t="n"/>
      <c r="AI264" s="818" t="n"/>
      <c r="AJ264" s="818" t="n"/>
      <c r="AK264" s="818" t="n"/>
      <c r="AL264" s="818" t="n"/>
      <c r="AM264" s="818" t="n"/>
      <c r="AN264" s="818" t="n"/>
      <c r="AO264" s="818" t="n"/>
      <c r="AP264" s="1277" t="n"/>
      <c r="BG264" s="769" t="n"/>
      <c r="BH264" s="658" t="n"/>
      <c r="BI264" s="658" t="n"/>
      <c r="BJ264" s="658" t="n"/>
      <c r="BK264" s="658" t="n"/>
      <c r="BL264" s="658" t="n"/>
      <c r="BM264" s="658" t="n"/>
      <c r="BN264" s="658" t="n"/>
      <c r="BO264" s="658" t="n"/>
      <c r="BP264" s="658" t="n"/>
    </row>
    <row r="265" ht="12.75" customHeight="1" s="7635">
      <c r="A265" s="1277" t="n"/>
      <c r="B265" s="7642" t="n"/>
      <c r="C265" s="11602" t="n"/>
      <c r="D265" s="11602" t="n"/>
      <c r="E265" s="11602" t="n"/>
      <c r="F265" s="11602" t="n"/>
      <c r="G265" s="11602" t="n"/>
      <c r="H265" s="11602" t="n"/>
      <c r="I265" s="11602" t="n"/>
      <c r="J265" s="11602" t="n"/>
      <c r="K265" s="11602" t="n"/>
      <c r="L265" s="11602" t="n"/>
      <c r="M265" s="11602" t="n"/>
      <c r="N265" s="11602" t="n"/>
      <c r="O265" s="11602" t="n"/>
      <c r="P265" s="11602" t="n"/>
      <c r="Q265" s="11602" t="n"/>
      <c r="R265" s="11602" t="n"/>
      <c r="S265" s="11602" t="n"/>
      <c r="T265" s="11602" t="n"/>
      <c r="U265" s="11602" t="n"/>
      <c r="V265" s="11602" t="n"/>
      <c r="W265" s="11602" t="n"/>
      <c r="X265" s="11602" t="n"/>
      <c r="Y265" s="11602" t="n"/>
      <c r="Z265" s="11602" t="n"/>
      <c r="AA265" s="11602" t="n"/>
      <c r="AB265" s="11602" t="n"/>
      <c r="AC265" s="11602" t="n"/>
      <c r="AD265" s="11602" t="n"/>
      <c r="AE265" s="11602" t="n"/>
      <c r="AF265" s="11602" t="n"/>
      <c r="AG265" s="11602" t="n"/>
      <c r="AH265" s="11602" t="n"/>
      <c r="AI265" s="11602" t="n"/>
      <c r="AJ265" s="11602" t="n"/>
      <c r="AK265" s="11602" t="n"/>
      <c r="AL265" s="11602" t="n"/>
      <c r="AM265" s="11602" t="n"/>
      <c r="AN265" s="11602" t="n"/>
      <c r="AO265" s="1989">
        <f>"Schedule E (Form 1040) "&amp;TaxYear</f>
        <v/>
      </c>
      <c r="AP265" s="1277" t="n"/>
      <c r="BG265" s="769" t="n"/>
      <c r="BH265" s="658" t="n"/>
      <c r="BI265" s="658" t="n"/>
      <c r="BJ265" s="658" t="n"/>
      <c r="BK265" s="658" t="n"/>
      <c r="BL265" s="658" t="n"/>
      <c r="BM265" s="658" t="n"/>
      <c r="BN265" s="658" t="n"/>
      <c r="BO265" s="658" t="n"/>
      <c r="BP265" s="658" t="n"/>
    </row>
    <row r="266">
      <c r="A266" s="1277" t="n"/>
      <c r="B266" s="1277" t="n"/>
      <c r="C266" s="1277" t="n"/>
      <c r="D266" s="1277" t="n"/>
      <c r="E266" s="1277" t="n"/>
      <c r="F266" s="1277" t="n"/>
      <c r="G266" s="1277" t="n"/>
      <c r="H266" s="1277" t="n"/>
      <c r="I266" s="1277" t="n"/>
      <c r="J266" s="1277" t="n"/>
      <c r="K266" s="1277" t="n"/>
      <c r="L266" s="1277" t="n"/>
      <c r="M266" s="1277" t="n"/>
      <c r="N266" s="1277" t="n"/>
      <c r="O266" s="1277" t="n"/>
      <c r="P266" s="1277" t="n"/>
      <c r="Q266" s="1277" t="n"/>
      <c r="R266" s="1277" t="n"/>
      <c r="S266" s="1277" t="n"/>
      <c r="T266" s="1277" t="n"/>
      <c r="U266" s="1277" t="n"/>
      <c r="V266" s="1277" t="n"/>
      <c r="W266" s="1277" t="n"/>
      <c r="X266" s="1277" t="n"/>
      <c r="Y266" s="1277" t="n"/>
      <c r="Z266" s="1277" t="n"/>
      <c r="AA266" s="1277" t="n"/>
      <c r="AB266" s="1277" t="n"/>
      <c r="AC266" s="1277" t="n"/>
      <c r="AD266" s="1277" t="n"/>
      <c r="AE266" s="1277" t="n"/>
      <c r="AF266" s="1277" t="n"/>
      <c r="AG266" s="1277" t="n"/>
      <c r="AH266" s="1277" t="n"/>
      <c r="AI266" s="1277" t="n"/>
      <c r="AJ266" s="1277" t="n"/>
      <c r="AK266" s="1277" t="n"/>
      <c r="AL266" s="1277" t="n"/>
      <c r="AM266" s="1277" t="n"/>
      <c r="AN266" s="1277" t="n"/>
      <c r="AO266" s="1277" t="n"/>
      <c r="AP266" s="1277" t="n"/>
      <c r="BG266" s="769" t="n"/>
      <c r="BH266" s="658" t="n"/>
      <c r="BI266" s="658" t="n"/>
      <c r="BJ266" s="658" t="n"/>
      <c r="BK266" s="658" t="n"/>
      <c r="BL266" s="658" t="n"/>
      <c r="BM266" s="658" t="n"/>
      <c r="BN266" s="658" t="n"/>
      <c r="BO266" s="658" t="n"/>
      <c r="BP266" s="658" t="n"/>
    </row>
  </sheetData>
  <sheetProtection selectLockedCells="0" selectUnlockedCells="0" algorithmName="SHA-512" sheet="1" objects="1" insertRows="1" insertHyperlinks="1" autoFilter="1" scenarios="1" formatColumns="0" deleteColumns="1" insertColumns="1" pivotTables="1" deleteRows="1" formatCells="0" saltValue="Krgffed+v16q58eujN8f6g==" formatRows="0" sort="1" spinCount="100000" hashValue="ixjFCpZ9oP+P1e+Y9UIZNUvjlLdyU2afJjMn5zUYx3njdL9AfF3u3AUBSxQhSvCcwM2/2aphpg3mdlG3u8ZIww=="/>
  <mergeCells count="664">
    <mergeCell ref="H179:R179"/>
    <mergeCell ref="Y235:AO235"/>
    <mergeCell ref="Z225:AG225"/>
    <mergeCell ref="Y214:AE214"/>
    <mergeCell ref="C233:AG233"/>
    <mergeCell ref="AJ37:AO37"/>
    <mergeCell ref="AB188:AC188"/>
    <mergeCell ref="B248:C248"/>
    <mergeCell ref="AJ195:AO195"/>
    <mergeCell ref="T183:U183"/>
    <mergeCell ref="Y242:AG242"/>
    <mergeCell ref="B14:C14"/>
    <mergeCell ref="AB190:AC190"/>
    <mergeCell ref="T176:U176"/>
    <mergeCell ref="AH224:AO224"/>
    <mergeCell ref="AD162:AI162"/>
    <mergeCell ref="B13:C13"/>
    <mergeCell ref="B142:D142"/>
    <mergeCell ref="B78:C78"/>
    <mergeCell ref="B205:C205"/>
    <mergeCell ref="B243:C243"/>
    <mergeCell ref="D115:J117"/>
    <mergeCell ref="T51:U51"/>
    <mergeCell ref="X21:Z21"/>
    <mergeCell ref="AD170:AI170"/>
    <mergeCell ref="B55:C55"/>
    <mergeCell ref="AJ50:AO50"/>
    <mergeCell ref="AJ121:AO121"/>
    <mergeCell ref="AJ42:AO42"/>
    <mergeCell ref="V174:AC174"/>
    <mergeCell ref="X23:Z23"/>
    <mergeCell ref="AJ52:AO52"/>
    <mergeCell ref="B154:C154"/>
    <mergeCell ref="AD182:AI182"/>
    <mergeCell ref="AH158:AO158"/>
    <mergeCell ref="AJ119:AO119"/>
    <mergeCell ref="T33:U33"/>
    <mergeCell ref="X154:Z154"/>
    <mergeCell ref="AD46:AI46"/>
    <mergeCell ref="AD40:AI40"/>
    <mergeCell ref="C89:J89"/>
    <mergeCell ref="C80:N80"/>
    <mergeCell ref="T35:U35"/>
    <mergeCell ref="AD183:AI183"/>
    <mergeCell ref="B10:D10"/>
    <mergeCell ref="C88:J88"/>
    <mergeCell ref="T181:U181"/>
    <mergeCell ref="O215:S215"/>
    <mergeCell ref="V29:AC29"/>
    <mergeCell ref="B231:C231"/>
    <mergeCell ref="AD54:AI54"/>
    <mergeCell ref="S91:Y91"/>
    <mergeCell ref="AH63:AI63"/>
    <mergeCell ref="AA259:AG259"/>
    <mergeCell ref="D149:AO149"/>
    <mergeCell ref="AD41:AI41"/>
    <mergeCell ref="B201:D201"/>
    <mergeCell ref="V44:AC44"/>
    <mergeCell ref="V28:AO28"/>
    <mergeCell ref="B53:C53"/>
    <mergeCell ref="V31:AC31"/>
    <mergeCell ref="S93:Y93"/>
    <mergeCell ref="AD43:AI43"/>
    <mergeCell ref="AJ32:AO32"/>
    <mergeCell ref="AJ63:AO63"/>
    <mergeCell ref="O80:S80"/>
    <mergeCell ref="D150:AO150"/>
    <mergeCell ref="AF94:AG94"/>
    <mergeCell ref="AJ47:AO47"/>
    <mergeCell ref="V45:AC45"/>
    <mergeCell ref="AJ163:AO163"/>
    <mergeCell ref="Z88:AG88"/>
    <mergeCell ref="B15:C15"/>
    <mergeCell ref="AA21:AE21"/>
    <mergeCell ref="AJ40:AO40"/>
    <mergeCell ref="AR46:AT46"/>
    <mergeCell ref="O81:S81"/>
    <mergeCell ref="AH90:AO90"/>
    <mergeCell ref="AF22:AJ22"/>
    <mergeCell ref="AF155:AJ155"/>
    <mergeCell ref="AA23:AE23"/>
    <mergeCell ref="Y259:Z259"/>
    <mergeCell ref="AD178:AI178"/>
    <mergeCell ref="AD34:AI34"/>
    <mergeCell ref="K118:R118"/>
    <mergeCell ref="AD172:AI172"/>
    <mergeCell ref="B242:C242"/>
    <mergeCell ref="B229:D229"/>
    <mergeCell ref="AI95:AN95"/>
    <mergeCell ref="Y264:Z264"/>
    <mergeCell ref="V42:AC42"/>
    <mergeCell ref="F110:N110"/>
    <mergeCell ref="AD36:AI36"/>
    <mergeCell ref="AD30:AI30"/>
    <mergeCell ref="Z221:AG221"/>
    <mergeCell ref="B210:C210"/>
    <mergeCell ref="C213:N213"/>
    <mergeCell ref="Z223:AG223"/>
    <mergeCell ref="AJ45:AO45"/>
    <mergeCell ref="X153:Z153"/>
    <mergeCell ref="B170:C170"/>
    <mergeCell ref="AD175:AI175"/>
    <mergeCell ref="C90:J90"/>
    <mergeCell ref="AH118:AO118"/>
    <mergeCell ref="B34:C34"/>
    <mergeCell ref="B172:C172"/>
    <mergeCell ref="Z115:AG117"/>
    <mergeCell ref="B99:C99"/>
    <mergeCell ref="W53:AB53"/>
    <mergeCell ref="AD56:AI56"/>
    <mergeCell ref="AB57:AC57"/>
    <mergeCell ref="AD176:AI176"/>
    <mergeCell ref="B92:C92"/>
    <mergeCell ref="B30:C30"/>
    <mergeCell ref="AJ51:AO51"/>
    <mergeCell ref="AA132:AG132"/>
    <mergeCell ref="AD51:AI51"/>
    <mergeCell ref="S216:AO216"/>
    <mergeCell ref="S224:Y224"/>
    <mergeCell ref="AA151:AE152"/>
    <mergeCell ref="B94:C94"/>
    <mergeCell ref="K93:R93"/>
    <mergeCell ref="Y236:AG238"/>
    <mergeCell ref="V47:AC47"/>
    <mergeCell ref="S92:Y92"/>
    <mergeCell ref="AA127:AG127"/>
    <mergeCell ref="AJ48:AO48"/>
    <mergeCell ref="B150:C150"/>
    <mergeCell ref="AJ165:AO165"/>
    <mergeCell ref="V38:AC38"/>
    <mergeCell ref="AH217:AO219"/>
    <mergeCell ref="D22:H22"/>
    <mergeCell ref="D155:H155"/>
    <mergeCell ref="AJ179:AO179"/>
    <mergeCell ref="B244:C244"/>
    <mergeCell ref="AR157:AS159"/>
    <mergeCell ref="AH91:AO91"/>
    <mergeCell ref="B23:C23"/>
    <mergeCell ref="K85:R87"/>
    <mergeCell ref="B145:C145"/>
    <mergeCell ref="C85:J87"/>
    <mergeCell ref="Y132:Z132"/>
    <mergeCell ref="AY181:AZ181"/>
    <mergeCell ref="B181:C181"/>
    <mergeCell ref="O239:X239"/>
    <mergeCell ref="AH93:AO93"/>
    <mergeCell ref="AH220:AO220"/>
    <mergeCell ref="AD50:AI50"/>
    <mergeCell ref="B147:C147"/>
    <mergeCell ref="AD181:AI181"/>
    <mergeCell ref="B245:C245"/>
    <mergeCell ref="B97:D97"/>
    <mergeCell ref="AH222:AO222"/>
    <mergeCell ref="AD52:AI52"/>
    <mergeCell ref="B260:C260"/>
    <mergeCell ref="Y82:AE82"/>
    <mergeCell ref="AD39:AI39"/>
    <mergeCell ref="AJ59:AO59"/>
    <mergeCell ref="AJ46:AO46"/>
    <mergeCell ref="AH109:AO109"/>
    <mergeCell ref="S220:Y220"/>
    <mergeCell ref="B36:C36"/>
    <mergeCell ref="B163:C163"/>
    <mergeCell ref="B113:C113"/>
    <mergeCell ref="AH233:AO233"/>
    <mergeCell ref="AF198:AO198"/>
    <mergeCell ref="AK77:AO79"/>
    <mergeCell ref="B165:C165"/>
    <mergeCell ref="AB58:AC58"/>
    <mergeCell ref="T172:U172"/>
    <mergeCell ref="B31:C31"/>
    <mergeCell ref="AD57:AI57"/>
    <mergeCell ref="T165:U165"/>
    <mergeCell ref="D247:J249"/>
    <mergeCell ref="AF199:AO199"/>
    <mergeCell ref="V40:AC40"/>
    <mergeCell ref="AG140:AO141"/>
    <mergeCell ref="AH88:AO88"/>
    <mergeCell ref="B191:C191"/>
    <mergeCell ref="X22:Z22"/>
    <mergeCell ref="B178:C178"/>
    <mergeCell ref="AR25:AS27"/>
    <mergeCell ref="AH111:AI111"/>
    <mergeCell ref="AJ174:AO174"/>
    <mergeCell ref="AJ168:AO168"/>
    <mergeCell ref="B255:C255"/>
    <mergeCell ref="T41:U41"/>
    <mergeCell ref="AK192:AN192"/>
    <mergeCell ref="V41:AC41"/>
    <mergeCell ref="B49:C49"/>
    <mergeCell ref="T43:U43"/>
    <mergeCell ref="T170:U170"/>
    <mergeCell ref="D23:H23"/>
    <mergeCell ref="B216:R216"/>
    <mergeCell ref="AH223:AO223"/>
    <mergeCell ref="AF77:AJ79"/>
    <mergeCell ref="I151:J151"/>
    <mergeCell ref="AH195:AI195"/>
    <mergeCell ref="AH251:AI251"/>
    <mergeCell ref="S222:Y222"/>
    <mergeCell ref="AJ161:AO161"/>
    <mergeCell ref="AG7:AO7"/>
    <mergeCell ref="O77:S79"/>
    <mergeCell ref="B8:AF9"/>
    <mergeCell ref="S221:Y221"/>
    <mergeCell ref="AH253:AI253"/>
    <mergeCell ref="V161:AC161"/>
    <mergeCell ref="B179:C179"/>
    <mergeCell ref="S223:Y223"/>
    <mergeCell ref="AJ175:AO175"/>
    <mergeCell ref="Y212:AE212"/>
    <mergeCell ref="B236:N238"/>
    <mergeCell ref="B166:C166"/>
    <mergeCell ref="AJ162:AO162"/>
    <mergeCell ref="B116:C116"/>
    <mergeCell ref="B37:C37"/>
    <mergeCell ref="B174:C174"/>
    <mergeCell ref="AK151:AO152"/>
    <mergeCell ref="B168:C168"/>
    <mergeCell ref="AJ164:AO164"/>
    <mergeCell ref="AD58:AI58"/>
    <mergeCell ref="S115:Y117"/>
    <mergeCell ref="AH107:AO107"/>
    <mergeCell ref="T31:U31"/>
    <mergeCell ref="AE185:AH185"/>
    <mergeCell ref="AJ251:AO251"/>
    <mergeCell ref="AA153:AE153"/>
    <mergeCell ref="AH119:AI119"/>
    <mergeCell ref="B169:C169"/>
    <mergeCell ref="V179:AC179"/>
    <mergeCell ref="AJ253:AO253"/>
    <mergeCell ref="V43:AC43"/>
    <mergeCell ref="Y80:AE80"/>
    <mergeCell ref="AJ180:AO180"/>
    <mergeCell ref="F242:N242"/>
    <mergeCell ref="B194:C194"/>
    <mergeCell ref="B121:C121"/>
    <mergeCell ref="K89:R89"/>
    <mergeCell ref="B96:C96"/>
    <mergeCell ref="AB54:AC54"/>
    <mergeCell ref="O240:X240"/>
    <mergeCell ref="T184:U184"/>
    <mergeCell ref="B58:C58"/>
    <mergeCell ref="B52:C52"/>
    <mergeCell ref="T171:U171"/>
    <mergeCell ref="K88:R88"/>
    <mergeCell ref="K247:R249"/>
    <mergeCell ref="B60:C60"/>
    <mergeCell ref="AK53:AN53"/>
    <mergeCell ref="T173:U173"/>
    <mergeCell ref="B104:N106"/>
    <mergeCell ref="K90:R90"/>
    <mergeCell ref="AI1:AO1"/>
    <mergeCell ref="B162:C162"/>
    <mergeCell ref="V167:AC167"/>
    <mergeCell ref="B114:D114"/>
    <mergeCell ref="AF66:AO66"/>
    <mergeCell ref="Y107:AG107"/>
    <mergeCell ref="O108:X108"/>
    <mergeCell ref="V182:AC182"/>
    <mergeCell ref="C222:J222"/>
    <mergeCell ref="V169:AC169"/>
    <mergeCell ref="O213:S213"/>
    <mergeCell ref="B187:C187"/>
    <mergeCell ref="AF154:AJ154"/>
    <mergeCell ref="AJ177:AO177"/>
    <mergeCell ref="B134:G134"/>
    <mergeCell ref="V162:AC162"/>
    <mergeCell ref="AD177:AI177"/>
    <mergeCell ref="AD33:AI33"/>
    <mergeCell ref="B124:C124"/>
    <mergeCell ref="B241:C241"/>
    <mergeCell ref="AH247:AO249"/>
    <mergeCell ref="K250:R250"/>
    <mergeCell ref="B251:C251"/>
    <mergeCell ref="B189:C189"/>
    <mergeCell ref="T34:U34"/>
    <mergeCell ref="B45:C45"/>
    <mergeCell ref="V177:AC177"/>
    <mergeCell ref="AB186:AC186"/>
    <mergeCell ref="V164:AC164"/>
    <mergeCell ref="B188:C188"/>
    <mergeCell ref="AD35:AI35"/>
    <mergeCell ref="T39:U39"/>
    <mergeCell ref="B2:G2"/>
    <mergeCell ref="B109:C109"/>
    <mergeCell ref="B47:C47"/>
    <mergeCell ref="AG139:AO139"/>
    <mergeCell ref="AJ178:AO178"/>
    <mergeCell ref="T30:U30"/>
    <mergeCell ref="Z220:AG220"/>
    <mergeCell ref="AJ243:AO243"/>
    <mergeCell ref="B59:C59"/>
    <mergeCell ref="B190:C190"/>
    <mergeCell ref="B46:C46"/>
    <mergeCell ref="Z222:AG222"/>
    <mergeCell ref="B69:D69"/>
    <mergeCell ref="AG65:AH65"/>
    <mergeCell ref="T47:U47"/>
    <mergeCell ref="AD163:AI163"/>
    <mergeCell ref="B48:C48"/>
    <mergeCell ref="V180:AC180"/>
    <mergeCell ref="B235:X235"/>
    <mergeCell ref="Y108:AG108"/>
    <mergeCell ref="C82:N82"/>
    <mergeCell ref="K224:R224"/>
    <mergeCell ref="AB56:AC56"/>
    <mergeCell ref="B73:C73"/>
    <mergeCell ref="V170:AC170"/>
    <mergeCell ref="Y239:AG239"/>
    <mergeCell ref="C240:N240"/>
    <mergeCell ref="AJ183:AO183"/>
    <mergeCell ref="AH236:AO238"/>
    <mergeCell ref="AF19:AJ20"/>
    <mergeCell ref="AH115:AO117"/>
    <mergeCell ref="V172:AC172"/>
    <mergeCell ref="AD165:AI165"/>
    <mergeCell ref="C83:N83"/>
    <mergeCell ref="K225:R225"/>
    <mergeCell ref="Y240:AG240"/>
    <mergeCell ref="AD29:AI29"/>
    <mergeCell ref="T52:U52"/>
    <mergeCell ref="T174:U174"/>
    <mergeCell ref="F225:J225"/>
    <mergeCell ref="AD166:AI166"/>
    <mergeCell ref="V37:AC37"/>
    <mergeCell ref="AI227:AN227"/>
    <mergeCell ref="Z118:AG118"/>
    <mergeCell ref="AA22:AE22"/>
    <mergeCell ref="V183:AC183"/>
    <mergeCell ref="AJ111:AO111"/>
    <mergeCell ref="O109:X109"/>
    <mergeCell ref="X155:Z155"/>
    <mergeCell ref="AJ38:AO38"/>
    <mergeCell ref="T49:U49"/>
    <mergeCell ref="B140:AF141"/>
    <mergeCell ref="Y110:AG110"/>
    <mergeCell ref="K217:R219"/>
    <mergeCell ref="AR178:AT178"/>
    <mergeCell ref="T42:U42"/>
    <mergeCell ref="B21:C21"/>
    <mergeCell ref="AH225:AO225"/>
    <mergeCell ref="AD49:AI49"/>
    <mergeCell ref="K91:R91"/>
    <mergeCell ref="AJ33:AO33"/>
    <mergeCell ref="T50:U50"/>
    <mergeCell ref="B61:C61"/>
    <mergeCell ref="T44:U44"/>
    <mergeCell ref="T167:U167"/>
    <mergeCell ref="AK185:AN185"/>
    <mergeCell ref="AD184:AI184"/>
    <mergeCell ref="AJ35:AO35"/>
    <mergeCell ref="AD171:AI171"/>
    <mergeCell ref="AK193:AN193"/>
    <mergeCell ref="B112:C112"/>
    <mergeCell ref="T169:U169"/>
    <mergeCell ref="AH59:AI59"/>
    <mergeCell ref="AF95:AG95"/>
    <mergeCell ref="AD42:AI42"/>
    <mergeCell ref="AH98:AO100"/>
    <mergeCell ref="D16:AO16"/>
    <mergeCell ref="AH26:AO26"/>
    <mergeCell ref="C108:N108"/>
    <mergeCell ref="B51:C51"/>
    <mergeCell ref="BC181:BD181"/>
    <mergeCell ref="D18:AO18"/>
    <mergeCell ref="B16:C16"/>
    <mergeCell ref="S89:Y89"/>
    <mergeCell ref="D151:H152"/>
    <mergeCell ref="AD31:AI31"/>
    <mergeCell ref="B18:C18"/>
    <mergeCell ref="Y127:Z127"/>
    <mergeCell ref="T53:U53"/>
    <mergeCell ref="AD168:AI168"/>
    <mergeCell ref="AJ30:AO30"/>
    <mergeCell ref="B253:C253"/>
    <mergeCell ref="Z85:AG87"/>
    <mergeCell ref="AN138:AO138"/>
    <mergeCell ref="AD32:AI32"/>
    <mergeCell ref="Y209:AE211"/>
    <mergeCell ref="V176:AC176"/>
    <mergeCell ref="AB189:AC189"/>
    <mergeCell ref="Z247:AG249"/>
    <mergeCell ref="AJ41:AO41"/>
    <mergeCell ref="V51:AC51"/>
    <mergeCell ref="V178:AC178"/>
    <mergeCell ref="AH226:AO226"/>
    <mergeCell ref="B3:G3"/>
    <mergeCell ref="AJ43:AO43"/>
    <mergeCell ref="AH113:AI113"/>
    <mergeCell ref="AH241:AO241"/>
    <mergeCell ref="AD173:AI173"/>
    <mergeCell ref="AH228:AO228"/>
    <mergeCell ref="B95:C95"/>
    <mergeCell ref="T37:U37"/>
    <mergeCell ref="AD44:AI44"/>
    <mergeCell ref="AF96:AG96"/>
    <mergeCell ref="B153:C153"/>
    <mergeCell ref="AD187:AI187"/>
    <mergeCell ref="B224:C224"/>
    <mergeCell ref="AB55:AC55"/>
    <mergeCell ref="AD174:AI174"/>
    <mergeCell ref="O209:S211"/>
    <mergeCell ref="AN6:AO6"/>
    <mergeCell ref="T185:U185"/>
    <mergeCell ref="Z250:AG250"/>
    <mergeCell ref="V33:AC33"/>
    <mergeCell ref="AH101:AO101"/>
    <mergeCell ref="T38:U38"/>
    <mergeCell ref="BC49:BD49"/>
    <mergeCell ref="D148:AO148"/>
    <mergeCell ref="AD45:AI45"/>
    <mergeCell ref="B184:C184"/>
    <mergeCell ref="B228:C228"/>
    <mergeCell ref="V35:AC35"/>
    <mergeCell ref="D21:H21"/>
    <mergeCell ref="S88:Y88"/>
    <mergeCell ref="V181:AC181"/>
    <mergeCell ref="AF227:AG227"/>
    <mergeCell ref="V34:AC34"/>
    <mergeCell ref="B42:C42"/>
    <mergeCell ref="O212:S212"/>
    <mergeCell ref="B17:C17"/>
    <mergeCell ref="S90:Y90"/>
    <mergeCell ref="AH221:AO221"/>
    <mergeCell ref="B148:C148"/>
    <mergeCell ref="AJ29:AO29"/>
    <mergeCell ref="B44:C44"/>
    <mergeCell ref="T163:U163"/>
    <mergeCell ref="V30:AC30"/>
    <mergeCell ref="T40:U40"/>
    <mergeCell ref="O214:S214"/>
    <mergeCell ref="Y104:AG106"/>
    <mergeCell ref="B19:C19"/>
    <mergeCell ref="AF21:AJ21"/>
    <mergeCell ref="AJ44:AO44"/>
    <mergeCell ref="B146:C146"/>
    <mergeCell ref="AD47:AI47"/>
    <mergeCell ref="Y83:AE83"/>
    <mergeCell ref="AJ31:AO31"/>
    <mergeCell ref="B4:G6"/>
    <mergeCell ref="AI3:AO4"/>
    <mergeCell ref="B254:C254"/>
    <mergeCell ref="AF23:AJ23"/>
    <mergeCell ref="AD169:AI169"/>
    <mergeCell ref="B256:C256"/>
    <mergeCell ref="AH89:AO89"/>
    <mergeCell ref="AE53:AH53"/>
    <mergeCell ref="Z89:AG89"/>
    <mergeCell ref="AF209:AJ211"/>
    <mergeCell ref="V160:AO160"/>
    <mergeCell ref="S118:Y118"/>
    <mergeCell ref="C212:N212"/>
    <mergeCell ref="AD164:AI164"/>
    <mergeCell ref="T45:U45"/>
    <mergeCell ref="C214:N214"/>
    <mergeCell ref="AH234:AO234"/>
    <mergeCell ref="B167:C167"/>
    <mergeCell ref="AD189:AI189"/>
    <mergeCell ref="B246:D246"/>
    <mergeCell ref="B111:C111"/>
    <mergeCell ref="AD188:AI188"/>
    <mergeCell ref="B225:C225"/>
    <mergeCell ref="B175:C175"/>
    <mergeCell ref="AH102:AO102"/>
    <mergeCell ref="AD190:AI190"/>
    <mergeCell ref="AF226:AG226"/>
    <mergeCell ref="V49:AC49"/>
    <mergeCell ref="AD55:AI55"/>
    <mergeCell ref="V36:AC36"/>
    <mergeCell ref="B252:D252"/>
    <mergeCell ref="AF228:AG228"/>
    <mergeCell ref="AD48:AI48"/>
    <mergeCell ref="C91:J91"/>
    <mergeCell ref="O82:S82"/>
    <mergeCell ref="V50:AC50"/>
    <mergeCell ref="AH243:AI243"/>
    <mergeCell ref="AJ39:AO39"/>
    <mergeCell ref="C220:J220"/>
    <mergeCell ref="D153:H153"/>
    <mergeCell ref="T179:U179"/>
    <mergeCell ref="AG8:AO9"/>
    <mergeCell ref="T166:U166"/>
    <mergeCell ref="AH239:AO239"/>
    <mergeCell ref="O241:X241"/>
    <mergeCell ref="B136:G138"/>
    <mergeCell ref="B22:C22"/>
    <mergeCell ref="B155:C155"/>
    <mergeCell ref="B93:C93"/>
    <mergeCell ref="B149:C149"/>
    <mergeCell ref="B193:C193"/>
    <mergeCell ref="Y213:AE213"/>
    <mergeCell ref="B67:AE67"/>
    <mergeCell ref="T168:U168"/>
    <mergeCell ref="AJ137:AM138"/>
    <mergeCell ref="B151:C151"/>
    <mergeCell ref="Y215:AE215"/>
    <mergeCell ref="AH112:AI112"/>
    <mergeCell ref="AI135:AO136"/>
    <mergeCell ref="S85:Y87"/>
    <mergeCell ref="D19:H20"/>
    <mergeCell ref="B182:C182"/>
    <mergeCell ref="C101:AG101"/>
    <mergeCell ref="B38:C38"/>
    <mergeCell ref="AJ5:AM6"/>
    <mergeCell ref="AJ172:AO172"/>
    <mergeCell ref="S247:Y249"/>
    <mergeCell ref="AH191:AI191"/>
    <mergeCell ref="V32:AC32"/>
    <mergeCell ref="B40:C40"/>
    <mergeCell ref="B103:X103"/>
    <mergeCell ref="AH250:AO250"/>
    <mergeCell ref="B183:C183"/>
    <mergeCell ref="H47:R47"/>
    <mergeCell ref="B177:C177"/>
    <mergeCell ref="B33:C33"/>
    <mergeCell ref="AA154:AE154"/>
    <mergeCell ref="AJ173:AO173"/>
    <mergeCell ref="AF151:AJ152"/>
    <mergeCell ref="Z90:AG90"/>
    <mergeCell ref="B41:C41"/>
    <mergeCell ref="Y81:AE81"/>
    <mergeCell ref="C215:N215"/>
    <mergeCell ref="B35:C35"/>
    <mergeCell ref="AI134:AO134"/>
    <mergeCell ref="B120:D120"/>
    <mergeCell ref="V175:AC175"/>
    <mergeCell ref="B250:J250"/>
    <mergeCell ref="S250:Y250"/>
    <mergeCell ref="V52:AC52"/>
    <mergeCell ref="O104:X106"/>
    <mergeCell ref="B180:C180"/>
    <mergeCell ref="AI2:AO2"/>
    <mergeCell ref="O83:S83"/>
    <mergeCell ref="AJ176:AO176"/>
    <mergeCell ref="AJ170:AO170"/>
    <mergeCell ref="AH92:AO92"/>
    <mergeCell ref="AH244:AI244"/>
    <mergeCell ref="AK61:AN61"/>
    <mergeCell ref="AJ191:AO191"/>
    <mergeCell ref="C221:J221"/>
    <mergeCell ref="B118:J118"/>
    <mergeCell ref="D154:H154"/>
    <mergeCell ref="T180:U180"/>
    <mergeCell ref="AJ184:AO184"/>
    <mergeCell ref="K19:W23"/>
    <mergeCell ref="AH240:AO240"/>
    <mergeCell ref="B119:C119"/>
    <mergeCell ref="K115:R117"/>
    <mergeCell ref="AH96:AO96"/>
    <mergeCell ref="AF67:AO67"/>
    <mergeCell ref="C81:N81"/>
    <mergeCell ref="AK112:AN112"/>
    <mergeCell ref="O107:X107"/>
    <mergeCell ref="AJ171:AO171"/>
    <mergeCell ref="C223:J223"/>
    <mergeCell ref="AH230:AO232"/>
    <mergeCell ref="T182:U182"/>
    <mergeCell ref="B186:C186"/>
    <mergeCell ref="C234:AG234"/>
    <mergeCell ref="F93:J93"/>
    <mergeCell ref="AD186:AI186"/>
    <mergeCell ref="T209:X211"/>
    <mergeCell ref="I19:J19"/>
    <mergeCell ref="AH255:AI255"/>
    <mergeCell ref="B199:AE199"/>
    <mergeCell ref="V163:AC163"/>
    <mergeCell ref="B54:C54"/>
    <mergeCell ref="AA264:AG264"/>
    <mergeCell ref="AH192:AI192"/>
    <mergeCell ref="B185:C185"/>
    <mergeCell ref="T77:X79"/>
    <mergeCell ref="S225:Y225"/>
    <mergeCell ref="W185:AB185"/>
    <mergeCell ref="Z217:AG219"/>
    <mergeCell ref="B122:C122"/>
    <mergeCell ref="V48:AC48"/>
    <mergeCell ref="B56:C56"/>
    <mergeCell ref="AA155:AE155"/>
    <mergeCell ref="V165:AC165"/>
    <mergeCell ref="T175:U175"/>
    <mergeCell ref="B43:C43"/>
    <mergeCell ref="T162:U162"/>
    <mergeCell ref="B176:C176"/>
    <mergeCell ref="AJ166:AO166"/>
    <mergeCell ref="Z91:AG91"/>
    <mergeCell ref="AK209:AO211"/>
    <mergeCell ref="T177:U177"/>
    <mergeCell ref="BA181:BB181"/>
    <mergeCell ref="AK244:AN244"/>
    <mergeCell ref="AH85:AO87"/>
    <mergeCell ref="C102:AG102"/>
    <mergeCell ref="B57:C57"/>
    <mergeCell ref="Z93:AG93"/>
    <mergeCell ref="S217:Y219"/>
    <mergeCell ref="AH121:AI121"/>
    <mergeCell ref="B171:C171"/>
    <mergeCell ref="AJ255:AO255"/>
    <mergeCell ref="AH123:AI123"/>
    <mergeCell ref="AH245:AI245"/>
    <mergeCell ref="K220:R220"/>
    <mergeCell ref="S84:AO84"/>
    <mergeCell ref="AH108:AO108"/>
    <mergeCell ref="AA19:AE20"/>
    <mergeCell ref="K222:R222"/>
    <mergeCell ref="C107:N107"/>
    <mergeCell ref="AB187:AC187"/>
    <mergeCell ref="T46:U46"/>
    <mergeCell ref="AJ123:AO123"/>
    <mergeCell ref="V46:AC46"/>
    <mergeCell ref="B173:C173"/>
    <mergeCell ref="AJ181:AO181"/>
    <mergeCell ref="K221:R221"/>
    <mergeCell ref="O236:X238"/>
    <mergeCell ref="T48:U48"/>
    <mergeCell ref="B62:C62"/>
    <mergeCell ref="B227:C227"/>
    <mergeCell ref="K92:R92"/>
    <mergeCell ref="K223:R223"/>
    <mergeCell ref="Y103:AO103"/>
    <mergeCell ref="AH104:AO106"/>
    <mergeCell ref="Y77:AE79"/>
    <mergeCell ref="K151:W155"/>
    <mergeCell ref="B39:C39"/>
    <mergeCell ref="V184:AC184"/>
    <mergeCell ref="AJ34:AO34"/>
    <mergeCell ref="V171:AC171"/>
    <mergeCell ref="AJ245:AO245"/>
    <mergeCell ref="AJ49:AO49"/>
    <mergeCell ref="AJ36:AO36"/>
    <mergeCell ref="AD179:AI179"/>
    <mergeCell ref="V173:AC173"/>
    <mergeCell ref="AJ113:AO113"/>
    <mergeCell ref="V39:AC39"/>
    <mergeCell ref="V166:AC166"/>
    <mergeCell ref="AD37:AI37"/>
    <mergeCell ref="B128:C128"/>
    <mergeCell ref="AY49:AZ49"/>
    <mergeCell ref="B226:C226"/>
    <mergeCell ref="BA49:BB49"/>
    <mergeCell ref="AH60:AI60"/>
    <mergeCell ref="D17:AO17"/>
    <mergeCell ref="B135:G135"/>
    <mergeCell ref="AJ167:AO167"/>
    <mergeCell ref="AD180:AI180"/>
    <mergeCell ref="AK19:AO20"/>
    <mergeCell ref="AD167:AI167"/>
    <mergeCell ref="V168:AC168"/>
    <mergeCell ref="T178:U178"/>
    <mergeCell ref="AD161:AI161"/>
    <mergeCell ref="B84:R84"/>
    <mergeCell ref="AH94:AO94"/>
    <mergeCell ref="B192:C192"/>
    <mergeCell ref="C239:N239"/>
    <mergeCell ref="AJ182:AO182"/>
    <mergeCell ref="AF153:AJ153"/>
    <mergeCell ref="AJ169:AO169"/>
    <mergeCell ref="AD38:AI38"/>
    <mergeCell ref="B123:C123"/>
    <mergeCell ref="AK60:AN60"/>
    <mergeCell ref="T36:U36"/>
    <mergeCell ref="B50:C50"/>
    <mergeCell ref="B110:C110"/>
    <mergeCell ref="C217:J219"/>
  </mergeCells>
  <conditionalFormatting sqref="A52">
    <cfRule type="expression" priority="5" dxfId="2567">
      <formula>AND(AS52,AT52)</formula>
    </cfRule>
  </conditionalFormatting>
  <conditionalFormatting sqref="A184">
    <cfRule type="expression" priority="2" dxfId="2567">
      <formula>AND(AS184,AT184)</formula>
    </cfRule>
  </conditionalFormatting>
  <conditionalFormatting sqref="B8 AG8">
    <cfRule type="expression" priority="123" dxfId="6">
      <formula>NoColor</formula>
    </cfRule>
  </conditionalFormatting>
  <conditionalFormatting sqref="B140 AG140">
    <cfRule type="expression" priority="71" dxfId="6">
      <formula>NoColor</formula>
    </cfRule>
  </conditionalFormatting>
  <conditionalFormatting sqref="B67:AO67">
    <cfRule type="expression" priority="102" dxfId="6">
      <formula>NoColor</formula>
    </cfRule>
  </conditionalFormatting>
  <conditionalFormatting sqref="B118:AO118">
    <cfRule type="expression" priority="72" dxfId="6">
      <formula>NoColor</formula>
    </cfRule>
  </conditionalFormatting>
  <conditionalFormatting sqref="B199:AO199">
    <cfRule type="expression" priority="17" dxfId="6">
      <formula>NoColor</formula>
    </cfRule>
  </conditionalFormatting>
  <conditionalFormatting sqref="B250:AO250">
    <cfRule type="expression" priority="21" dxfId="6">
      <formula>NoColor</formula>
    </cfRule>
  </conditionalFormatting>
  <conditionalFormatting sqref="C101:J102">
    <cfRule type="expression" priority="92" dxfId="6">
      <formula>NoColor</formula>
    </cfRule>
  </conditionalFormatting>
  <conditionalFormatting sqref="C233:J234">
    <cfRule type="expression" priority="41" dxfId="6">
      <formula>NoColor</formula>
    </cfRule>
  </conditionalFormatting>
  <conditionalFormatting sqref="C80:AO83">
    <cfRule type="expression" priority="101" dxfId="6">
      <formula>NoColor</formula>
    </cfRule>
  </conditionalFormatting>
  <conditionalFormatting sqref="C88:AO91">
    <cfRule type="expression" priority="100" dxfId="6">
      <formula>NoColor</formula>
    </cfRule>
  </conditionalFormatting>
  <conditionalFormatting sqref="C107:AO108">
    <cfRule type="expression" priority="90" dxfId="6">
      <formula>NoColor</formula>
    </cfRule>
  </conditionalFormatting>
  <conditionalFormatting sqref="C212:AO215">
    <cfRule type="expression" priority="50" dxfId="6">
      <formula>NoColor</formula>
    </cfRule>
  </conditionalFormatting>
  <conditionalFormatting sqref="C220:AO223">
    <cfRule type="expression" priority="49" dxfId="6">
      <formula>NoColor</formula>
    </cfRule>
  </conditionalFormatting>
  <conditionalFormatting sqref="C239:AO240">
    <cfRule type="expression" priority="39" dxfId="6">
      <formula>NoColor</formula>
    </cfRule>
  </conditionalFormatting>
  <conditionalFormatting sqref="D52:D53">
    <cfRule type="expression" priority="4" dxfId="0">
      <formula>$AV52</formula>
    </cfRule>
  </conditionalFormatting>
  <conditionalFormatting sqref="D184:D185">
    <cfRule type="expression" priority="1" dxfId="0">
      <formula>$AV184</formula>
    </cfRule>
  </conditionalFormatting>
  <conditionalFormatting sqref="D21:H23">
    <cfRule type="expression" priority="121" dxfId="6">
      <formula>NoColor</formula>
    </cfRule>
  </conditionalFormatting>
  <conditionalFormatting sqref="D153:H155">
    <cfRule type="expression" priority="69" dxfId="6">
      <formula>NoColor</formula>
    </cfRule>
  </conditionalFormatting>
  <conditionalFormatting sqref="D16:AO18">
    <cfRule type="expression" priority="122" dxfId="6">
      <formula>NoColor</formula>
    </cfRule>
  </conditionalFormatting>
  <conditionalFormatting sqref="D148:AO150">
    <cfRule type="expression" priority="70" dxfId="6">
      <formula>NoColor</formula>
    </cfRule>
  </conditionalFormatting>
  <conditionalFormatting sqref="F93:J93">
    <cfRule type="expression" priority="99" dxfId="6">
      <formula>NoColor</formula>
    </cfRule>
  </conditionalFormatting>
  <conditionalFormatting sqref="F225:J225">
    <cfRule type="expression" priority="48" dxfId="6">
      <formula>NoColor</formula>
    </cfRule>
  </conditionalFormatting>
  <conditionalFormatting sqref="F110:N110">
    <cfRule type="expression" priority="89" dxfId="6">
      <formula>NoColor</formula>
    </cfRule>
  </conditionalFormatting>
  <conditionalFormatting sqref="F242:N242">
    <cfRule type="expression" priority="38" dxfId="6">
      <formula>NoColor</formula>
    </cfRule>
  </conditionalFormatting>
  <conditionalFormatting sqref="H2">
    <cfRule type="expression" priority="73" dxfId="20">
      <formula>NOT(Draft)</formula>
    </cfRule>
  </conditionalFormatting>
  <conditionalFormatting sqref="H134">
    <cfRule type="expression" priority="22" dxfId="20">
      <formula>NOT(Draft)</formula>
    </cfRule>
  </conditionalFormatting>
  <conditionalFormatting sqref="H198">
    <cfRule type="expression" priority="12" dxfId="14">
      <formula>AND($AR198,$AP199="",NOT(NoColor))</formula>
    </cfRule>
  </conditionalFormatting>
  <conditionalFormatting sqref="H66:I66">
    <cfRule type="expression" priority="13" dxfId="14">
      <formula>AND($AR66,$AP67="",NOT(NoColor))</formula>
    </cfRule>
  </conditionalFormatting>
  <conditionalFormatting sqref="H47:R48">
    <cfRule type="expression" priority="110" dxfId="6">
      <formula>NoColor</formula>
    </cfRule>
  </conditionalFormatting>
  <conditionalFormatting sqref="H179:R180">
    <cfRule type="expression" priority="58" dxfId="6">
      <formula>NoColor</formula>
    </cfRule>
  </conditionalFormatting>
  <conditionalFormatting sqref="H59:AF59">
    <cfRule type="expression" priority="108" dxfId="6">
      <formula>NoColor</formula>
    </cfRule>
  </conditionalFormatting>
  <conditionalFormatting sqref="H191:AF191">
    <cfRule type="expression" priority="56" dxfId="6">
      <formula>NoColor</formula>
    </cfRule>
  </conditionalFormatting>
  <conditionalFormatting sqref="H60:AG60">
    <cfRule type="expression" priority="106" dxfId="6">
      <formula>NoColor</formula>
    </cfRule>
  </conditionalFormatting>
  <conditionalFormatting sqref="H192:AG192">
    <cfRule type="expression" priority="54" dxfId="6">
      <formula>NoColor</formula>
    </cfRule>
  </conditionalFormatting>
  <conditionalFormatting sqref="K92:R92">
    <cfRule type="expression" priority="98" dxfId="6">
      <formula>NoColor</formula>
    </cfRule>
  </conditionalFormatting>
  <conditionalFormatting sqref="K224:R224">
    <cfRule type="expression" priority="47" dxfId="6">
      <formula>NoColor</formula>
    </cfRule>
  </conditionalFormatting>
  <conditionalFormatting sqref="O109:X109">
    <cfRule type="expression" priority="88" dxfId="6">
      <formula>NoColor</formula>
    </cfRule>
  </conditionalFormatting>
  <conditionalFormatting sqref="O241:X241">
    <cfRule type="expression" priority="37" dxfId="6">
      <formula>NoColor</formula>
    </cfRule>
  </conditionalFormatting>
  <conditionalFormatting sqref="S93:AG93">
    <cfRule type="expression" priority="95" dxfId="6">
      <formula>NoColor</formula>
    </cfRule>
  </conditionalFormatting>
  <conditionalFormatting sqref="S225:AG225">
    <cfRule type="expression" priority="44" dxfId="6">
      <formula>NoColor</formula>
    </cfRule>
  </conditionalFormatting>
  <conditionalFormatting sqref="V53:W53 AC53:AE53 AI53:AK53 AO53">
    <cfRule type="expression" priority="6" dxfId="6">
      <formula>NoColor</formula>
    </cfRule>
  </conditionalFormatting>
  <conditionalFormatting sqref="V185:W185 AC185:AE185 AI185:AK185 AO185">
    <cfRule type="expression" priority="3" dxfId="6">
      <formula>NoColor</formula>
    </cfRule>
  </conditionalFormatting>
  <conditionalFormatting sqref="V32:AC32">
    <cfRule type="expression" priority="79" dxfId="20">
      <formula>$BE$21</formula>
    </cfRule>
  </conditionalFormatting>
  <conditionalFormatting sqref="V164:AC164">
    <cfRule type="expression" priority="28" dxfId="20">
      <formula>$BE$21</formula>
    </cfRule>
  </conditionalFormatting>
  <conditionalFormatting sqref="V30:AO31">
    <cfRule type="expression" priority="116" dxfId="6">
      <formula>NoColor</formula>
    </cfRule>
  </conditionalFormatting>
  <conditionalFormatting sqref="V33:AO48">
    <cfRule type="expression" priority="114" dxfId="6">
      <formula>NoColor</formula>
    </cfRule>
  </conditionalFormatting>
  <conditionalFormatting sqref="V51:AO51">
    <cfRule type="expression" priority="113" dxfId="6">
      <formula>NoColor</formula>
    </cfRule>
  </conditionalFormatting>
  <conditionalFormatting sqref="V162:AO163">
    <cfRule type="expression" priority="64" dxfId="6">
      <formula>NoColor</formula>
    </cfRule>
  </conditionalFormatting>
  <conditionalFormatting sqref="V165:AO180">
    <cfRule type="expression" priority="62" dxfId="6">
      <formula>NoColor</formula>
    </cfRule>
  </conditionalFormatting>
  <conditionalFormatting sqref="V183:AO183">
    <cfRule type="expression" priority="61" dxfId="6">
      <formula>NoColor</formula>
    </cfRule>
  </conditionalFormatting>
  <conditionalFormatting sqref="Y110:AG110">
    <cfRule type="expression" priority="87" dxfId="6">
      <formula>NoColor</formula>
    </cfRule>
  </conditionalFormatting>
  <conditionalFormatting sqref="Y242:AG242">
    <cfRule type="expression" priority="36" dxfId="6">
      <formula>NoColor</formula>
    </cfRule>
  </conditionalFormatting>
  <conditionalFormatting sqref="AA21:AE23">
    <cfRule type="expression" priority="75" dxfId="14">
      <formula>AV21</formula>
    </cfRule>
  </conditionalFormatting>
  <conditionalFormatting sqref="AA153:AE155">
    <cfRule type="expression" priority="24" dxfId="14">
      <formula>AV153</formula>
    </cfRule>
  </conditionalFormatting>
  <conditionalFormatting sqref="AA127:AG127">
    <cfRule type="expression" priority="81" dxfId="6">
      <formula>NoColor</formula>
    </cfRule>
  </conditionalFormatting>
  <conditionalFormatting sqref="AA132:AG132">
    <cfRule type="expression" priority="80" dxfId="6">
      <formula>NoColor</formula>
    </cfRule>
  </conditionalFormatting>
  <conditionalFormatting sqref="AA259:AG259">
    <cfRule type="expression" priority="30" dxfId="6">
      <formula>NoColor</formula>
    </cfRule>
  </conditionalFormatting>
  <conditionalFormatting sqref="AA264:AG264">
    <cfRule type="expression" priority="29" dxfId="6">
      <formula>NoColor</formula>
    </cfRule>
  </conditionalFormatting>
  <conditionalFormatting sqref="AA21:AJ23">
    <cfRule type="expression" priority="120" dxfId="6">
      <formula>NoColor</formula>
    </cfRule>
  </conditionalFormatting>
  <conditionalFormatting sqref="AA153:AJ155">
    <cfRule type="expression" priority="68" dxfId="6">
      <formula>NoColor</formula>
    </cfRule>
  </conditionalFormatting>
  <conditionalFormatting sqref="AD32:AI32">
    <cfRule type="expression" priority="78" dxfId="20">
      <formula>$BE$22</formula>
    </cfRule>
  </conditionalFormatting>
  <conditionalFormatting sqref="AD54:AI58 AD63:AF63 AD64:AI64">
    <cfRule type="expression" priority="111" dxfId="6">
      <formula>NoColor</formula>
    </cfRule>
  </conditionalFormatting>
  <conditionalFormatting sqref="AD164:AI164">
    <cfRule type="expression" priority="27" dxfId="20">
      <formula>$BE$22</formula>
    </cfRule>
  </conditionalFormatting>
  <conditionalFormatting sqref="AD186:AI190 AD195:AF195 AD196:AI196">
    <cfRule type="expression" priority="59" dxfId="6">
      <formula>NoColor</formula>
    </cfRule>
  </conditionalFormatting>
  <conditionalFormatting sqref="AF21:AJ23">
    <cfRule type="expression" priority="76" dxfId="14">
      <formula>AW21</formula>
    </cfRule>
  </conditionalFormatting>
  <conditionalFormatting sqref="AF153:AJ155">
    <cfRule type="expression" priority="25" dxfId="14">
      <formula>AW153</formula>
    </cfRule>
  </conditionalFormatting>
  <conditionalFormatting sqref="AH158">
    <cfRule type="expression" priority="18" dxfId="2499">
      <formula>AND($AR$156,NOT(NoColor))</formula>
    </cfRule>
  </conditionalFormatting>
  <conditionalFormatting sqref="AH26:AO26">
    <cfRule type="expression" priority="11" dxfId="2499">
      <formula>AND(AR24,NOT(NoColor))</formula>
    </cfRule>
  </conditionalFormatting>
  <conditionalFormatting sqref="AH92:AO92">
    <cfRule type="expression" priority="96" dxfId="6">
      <formula>NoColor</formula>
    </cfRule>
  </conditionalFormatting>
  <conditionalFormatting sqref="AH94:AO94 AH95:AI95 AH96:AO96 AO95">
    <cfRule type="expression" priority="94" dxfId="6">
      <formula>NoColor</formula>
    </cfRule>
  </conditionalFormatting>
  <conditionalFormatting sqref="AH101:AO102">
    <cfRule type="expression" priority="93" dxfId="6">
      <formula>NoColor</formula>
    </cfRule>
  </conditionalFormatting>
  <conditionalFormatting sqref="AH109:AO109">
    <cfRule type="expression" priority="86" dxfId="6">
      <formula>NoColor</formula>
    </cfRule>
  </conditionalFormatting>
  <conditionalFormatting sqref="AH224:AO224">
    <cfRule type="expression" priority="45" dxfId="6">
      <formula>NoColor</formula>
    </cfRule>
  </conditionalFormatting>
  <conditionalFormatting sqref="AH226:AO226 AH227:AI227 AH228:AO228 AO227">
    <cfRule type="expression" priority="43" dxfId="6">
      <formula>NoColor</formula>
    </cfRule>
  </conditionalFormatting>
  <conditionalFormatting sqref="AH233:AO234">
    <cfRule type="expression" priority="42" dxfId="6">
      <formula>NoColor</formula>
    </cfRule>
  </conditionalFormatting>
  <conditionalFormatting sqref="AH241:AO241">
    <cfRule type="expression" priority="35" dxfId="6">
      <formula>NoColor</formula>
    </cfRule>
  </conditionalFormatting>
  <conditionalFormatting sqref="AJ13">
    <cfRule type="expression" priority="74" dxfId="20">
      <formula>NOT(Draft)</formula>
    </cfRule>
  </conditionalFormatting>
  <conditionalFormatting sqref="AJ13:AJ14">
    <cfRule type="expression" priority="118" dxfId="6">
      <formula>NoColor</formula>
    </cfRule>
  </conditionalFormatting>
  <conditionalFormatting sqref="AJ75">
    <cfRule type="expression" priority="104" dxfId="6">
      <formula>NoColor</formula>
    </cfRule>
  </conditionalFormatting>
  <conditionalFormatting sqref="AJ145">
    <cfRule type="expression" priority="23" dxfId="20">
      <formula>NOT(Draft)</formula>
    </cfRule>
  </conditionalFormatting>
  <conditionalFormatting sqref="AJ145:AJ146">
    <cfRule type="expression" priority="66" dxfId="6">
      <formula>NoColor</formula>
    </cfRule>
  </conditionalFormatting>
  <conditionalFormatting sqref="AJ207">
    <cfRule type="expression" priority="52" dxfId="6">
      <formula>NoColor</formula>
    </cfRule>
  </conditionalFormatting>
  <conditionalFormatting sqref="AJ60:AK60">
    <cfRule type="expression" priority="20" dxfId="6">
      <formula>NoColor</formula>
    </cfRule>
  </conditionalFormatting>
  <conditionalFormatting sqref="AJ192:AK192 AO192">
    <cfRule type="expression" priority="55" dxfId="6">
      <formula>NoColor</formula>
    </cfRule>
  </conditionalFormatting>
  <conditionalFormatting sqref="AJ32:AO32">
    <cfRule type="expression" priority="77" dxfId="20">
      <formula>$BE$23</formula>
    </cfRule>
  </conditionalFormatting>
  <conditionalFormatting sqref="AJ59:AO59">
    <cfRule type="expression" priority="109" dxfId="6">
      <formula>NoColor</formula>
    </cfRule>
  </conditionalFormatting>
  <conditionalFormatting sqref="AJ63:AO63">
    <cfRule type="expression" priority="105" dxfId="6">
      <formula>NoColor</formula>
    </cfRule>
  </conditionalFormatting>
  <conditionalFormatting sqref="AJ111:AO111 AJ112:AK112 AJ113:AO113 AO112">
    <cfRule type="expression" priority="85" dxfId="6">
      <formula>NoColor</formula>
    </cfRule>
  </conditionalFormatting>
  <conditionalFormatting sqref="AJ119:AO119">
    <cfRule type="expression" priority="84" dxfId="6">
      <formula>NoColor</formula>
    </cfRule>
  </conditionalFormatting>
  <conditionalFormatting sqref="AJ121:AO123">
    <cfRule type="expression" priority="83" dxfId="6">
      <formula>NoColor</formula>
    </cfRule>
  </conditionalFormatting>
  <conditionalFormatting sqref="AJ164:AO164">
    <cfRule type="expression" priority="26" dxfId="20">
      <formula>$BE$23</formula>
    </cfRule>
  </conditionalFormatting>
  <conditionalFormatting sqref="AJ191:AO191">
    <cfRule type="expression" priority="57" dxfId="6">
      <formula>NoColor</formula>
    </cfRule>
  </conditionalFormatting>
  <conditionalFormatting sqref="AJ195:AO195">
    <cfRule type="expression" priority="53" dxfId="6">
      <formula>NoColor</formula>
    </cfRule>
  </conditionalFormatting>
  <conditionalFormatting sqref="AJ243:AO243 AJ244:AK244 AJ245:AO245 AO244">
    <cfRule type="expression" priority="34" dxfId="6">
      <formula>NoColor</formula>
    </cfRule>
  </conditionalFormatting>
  <conditionalFormatting sqref="AJ251:AO251">
    <cfRule type="expression" priority="33" dxfId="6">
      <formula>NoColor</formula>
    </cfRule>
  </conditionalFormatting>
  <conditionalFormatting sqref="AJ253:AO255">
    <cfRule type="expression" priority="32" dxfId="6">
      <formula>NoColor</formula>
    </cfRule>
  </conditionalFormatting>
  <conditionalFormatting sqref="AM13:AM14">
    <cfRule type="expression" priority="117" dxfId="6">
      <formula>NoColor</formula>
    </cfRule>
  </conditionalFormatting>
  <conditionalFormatting sqref="AM21:AM23">
    <cfRule type="expression" priority="119" dxfId="6">
      <formula>NoColor</formula>
    </cfRule>
  </conditionalFormatting>
  <conditionalFormatting sqref="AM75">
    <cfRule type="expression" priority="103" dxfId="6">
      <formula>NoColor</formula>
    </cfRule>
  </conditionalFormatting>
  <conditionalFormatting sqref="AM145:AM146">
    <cfRule type="expression" priority="65" dxfId="6">
      <formula>NoColor</formula>
    </cfRule>
  </conditionalFormatting>
  <conditionalFormatting sqref="AM153:AM155">
    <cfRule type="expression" priority="67" dxfId="6">
      <formula>NoColor</formula>
    </cfRule>
  </conditionalFormatting>
  <conditionalFormatting sqref="AM207">
    <cfRule type="expression" priority="51" dxfId="6">
      <formula>NoColor</formula>
    </cfRule>
  </conditionalFormatting>
  <conditionalFormatting sqref="AO60">
    <cfRule type="expression" priority="107" dxfId="6">
      <formula>NoColor</formula>
    </cfRule>
  </conditionalFormatting>
  <conditionalFormatting sqref="AP67">
    <cfRule type="expression" priority="15" dxfId="2458">
      <formula>$AR66</formula>
    </cfRule>
  </conditionalFormatting>
  <conditionalFormatting sqref="AP199">
    <cfRule type="expression" priority="16" dxfId="2458">
      <formula>$AR198</formula>
    </cfRule>
  </conditionalFormatting>
  <pageMargins left="0.75" right="0.25" top="0.36" bottom="0.29" header="0.36" footer="0.21"/>
  <pageSetup orientation="portrait" scale="74" fitToHeight="0"/>
  <rowBreaks count="3" manualBreakCount="3">
    <brk id="64" min="1" max="40" man="1"/>
    <brk id="133" min="1" max="40" man="1"/>
    <brk id="196" min="1" max="40" man="1"/>
  </rowBreaks>
</worksheet>
</file>

<file path=xl/worksheets/sheet35.xml><?xml version="1.0" encoding="utf-8"?>
<worksheet xmlns="http://schemas.openxmlformats.org/spreadsheetml/2006/main">
  <sheetPr>
    <outlinePr summaryBelow="1" summaryRight="1"/>
    <pageSetUpPr fitToPage="1"/>
  </sheetPr>
  <dimension ref="A1:AJ128"/>
  <sheetViews>
    <sheetView zoomScaleNormal="100" zoomScaleSheetLayoutView="145" workbookViewId="0">
      <selection activeCell="A1" sqref="A1"/>
    </sheetView>
  </sheetViews>
  <sheetFormatPr baseColWidth="8" defaultRowHeight="12.75"/>
  <cols>
    <col width="2" customWidth="1" style="7635" min="1" max="1"/>
    <col width="3.85546875" customWidth="1" style="7635" min="2" max="2"/>
    <col width="4.85546875" customWidth="1" style="7635" min="3" max="3"/>
    <col width="12" customWidth="1" style="7635" min="4" max="4"/>
    <col width="11.7109375" customWidth="1" style="7635" min="5" max="5"/>
    <col width="3" customWidth="1" style="7635" min="6" max="6"/>
    <col width="6.28515625" customWidth="1" style="7635" min="7" max="7"/>
    <col width="3.28515625" customWidth="1" style="7635" min="8" max="8"/>
    <col width="3.85546875" customWidth="1" style="7635" min="9" max="14"/>
    <col width="2.140625" customWidth="1" style="7635" min="15" max="15"/>
    <col width="4.85546875" customWidth="1" style="7635" min="16" max="16"/>
    <col width="3.5703125" customWidth="1" style="7635" min="17" max="17"/>
    <col width="3.28515625" customWidth="1" style="7635" min="18" max="18"/>
    <col width="3.5703125" customWidth="1" style="7635" min="19" max="21"/>
    <col width="3.7109375" customWidth="1" style="7635" min="22" max="22"/>
    <col width="3.85546875" customWidth="1" style="7635" min="23" max="31"/>
    <col width="3.28515625" customWidth="1" style="7635" min="32" max="32"/>
    <col width="13.85546875" customWidth="1" style="7635" min="33" max="33"/>
    <col width="2.5703125" customWidth="1" style="7635" min="34" max="34"/>
    <col width="15.42578125" customWidth="1" style="7635" min="35" max="35"/>
    <col width="10.7109375" customWidth="1" style="658" min="36" max="45"/>
  </cols>
  <sheetData>
    <row r="1" ht="15.75" customHeight="1" s="7635">
      <c r="A1" s="139" t="n"/>
      <c r="B1" s="139" t="n"/>
      <c r="C1" s="139" t="n"/>
      <c r="D1" s="139" t="n"/>
      <c r="E1" s="962" t="n"/>
      <c r="F1" s="139" t="n"/>
      <c r="G1" s="139" t="n"/>
      <c r="H1" s="139" t="n"/>
      <c r="I1" s="139" t="n"/>
      <c r="J1" s="139" t="n"/>
      <c r="K1" s="139" t="n"/>
      <c r="L1" s="139" t="n"/>
      <c r="M1" s="139" t="n"/>
      <c r="N1" s="139" t="n"/>
      <c r="O1" s="139" t="n"/>
      <c r="P1" s="139" t="n"/>
      <c r="Q1" s="139" t="n"/>
      <c r="R1" s="139" t="n"/>
      <c r="S1" s="139" t="n"/>
      <c r="T1" s="139" t="n"/>
      <c r="U1" s="139" t="n"/>
      <c r="V1" s="139" t="n"/>
      <c r="W1" s="139" t="n"/>
      <c r="X1" s="139" t="n"/>
      <c r="Y1" s="139" t="n"/>
      <c r="Z1" s="139" t="n"/>
      <c r="AA1" s="139" t="n"/>
      <c r="AB1" s="139" t="n"/>
      <c r="AC1" s="139" t="n"/>
      <c r="AD1" s="139" t="n"/>
      <c r="AE1" s="139" t="n"/>
      <c r="AF1" s="139" t="n"/>
      <c r="AG1" s="2875" t="n"/>
      <c r="AH1" s="139" t="n"/>
      <c r="AJ1" s="657" t="inlineStr">
        <is>
          <t>Notes</t>
        </is>
      </c>
    </row>
    <row r="2" ht="15.75" customHeight="1" s="7635">
      <c r="A2" s="139" t="n"/>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39" t="n"/>
      <c r="Y2" s="139" t="n"/>
      <c r="Z2" s="139" t="n"/>
      <c r="AA2" s="7431">
        <f>IF('Table of Contents'!A40="D","DRAFT","")</f>
        <v/>
      </c>
      <c r="AF2" s="139" t="n"/>
      <c r="AG2" s="2875" t="n"/>
      <c r="AH2" s="139" t="n"/>
    </row>
    <row r="3" ht="15" customHeight="1" s="7635">
      <c r="A3" s="139" t="n"/>
      <c r="B3" s="12149" t="inlineStr">
        <is>
          <t>SCHEDULE F
(Form 1040)</t>
        </is>
      </c>
      <c r="D3" s="9671" t="n"/>
      <c r="E3" s="3822" t="n"/>
      <c r="F3" s="11602" t="n"/>
      <c r="G3" s="11602" t="n"/>
      <c r="H3" s="11602" t="n"/>
      <c r="I3" s="11602" t="n"/>
      <c r="J3" s="11602" t="n"/>
      <c r="K3" s="11602" t="n"/>
      <c r="L3" s="11602" t="n"/>
      <c r="M3" s="11602" t="n"/>
      <c r="N3" s="11602" t="n"/>
      <c r="O3" s="11602" t="n"/>
      <c r="P3" s="11602" t="n"/>
      <c r="Q3" s="11602" t="n"/>
      <c r="R3" s="11602" t="n"/>
      <c r="S3" s="11602" t="n"/>
      <c r="T3" s="11602" t="n"/>
      <c r="U3" s="11602" t="n"/>
      <c r="V3" s="11602" t="n"/>
      <c r="W3" s="11602" t="n"/>
      <c r="X3" s="11602" t="n"/>
      <c r="Y3" s="6281" t="n"/>
      <c r="Z3" s="11602" t="n"/>
      <c r="AA3" s="8745">
        <f>IF(AND('Table of Contents'!A40="D",AF3=""),"DRAFT","OMB No. 1545-0074")</f>
        <v/>
      </c>
      <c r="AB3" s="7637" t="n"/>
      <c r="AC3" s="7637" t="n"/>
      <c r="AD3" s="7637" t="n"/>
      <c r="AE3" s="7637" t="n"/>
      <c r="AF3" s="1796" t="n"/>
      <c r="AG3" s="8702" t="inlineStr">
        <is>
          <t>Use which SSN?</t>
        </is>
      </c>
      <c r="AH3" s="139" t="n"/>
    </row>
    <row r="4" ht="21" customHeight="1" s="7635">
      <c r="A4" s="139" t="n"/>
      <c r="D4" s="9671" t="n"/>
      <c r="E4" s="8703" t="inlineStr">
        <is>
          <t>Profit or Loss from Farming</t>
        </is>
      </c>
      <c r="AA4" s="8704">
        <f>TaxYear</f>
        <v/>
      </c>
      <c r="AB4" s="7839" t="n"/>
      <c r="AC4" s="7839" t="n"/>
      <c r="AD4" s="7839" t="n"/>
      <c r="AE4" s="7839" t="n"/>
      <c r="AF4" s="139" t="n"/>
      <c r="AH4" s="139" t="n"/>
    </row>
    <row r="5" ht="13.5" customHeight="1" s="7635" thickBot="1">
      <c r="A5" s="139" t="n"/>
      <c r="B5" s="8729" t="inlineStr">
        <is>
          <t>Department of the Treasury Internal Revenue Service</t>
        </is>
      </c>
      <c r="D5" s="9671" t="n"/>
      <c r="E5" s="6282" t="inlineStr">
        <is>
          <t>Attach to Form 1040, Form 1040-SR, Form 1040NR, Form 1041, or Form 1065.</t>
        </is>
      </c>
      <c r="F5" s="366" t="n"/>
      <c r="G5" s="366" t="n"/>
      <c r="H5" s="366" t="n"/>
      <c r="I5" s="366" t="n"/>
      <c r="J5" s="366" t="n"/>
      <c r="K5" s="366" t="n"/>
      <c r="L5" s="366" t="n"/>
      <c r="M5" s="366" t="n"/>
      <c r="N5" s="366" t="n"/>
      <c r="O5" s="366" t="n"/>
      <c r="P5" s="366" t="n"/>
      <c r="Q5" s="366" t="n"/>
      <c r="R5" s="366" t="n"/>
      <c r="S5" s="366" t="n"/>
      <c r="T5" s="366" t="n"/>
      <c r="U5" s="366" t="n"/>
      <c r="V5" s="366" t="n"/>
      <c r="W5" s="366" t="n"/>
      <c r="X5" s="366" t="n"/>
      <c r="Y5" s="366" t="n"/>
      <c r="Z5" s="366" t="n"/>
      <c r="AA5" s="12150" t="inlineStr">
        <is>
          <t>Attachment
Sequence No. 14</t>
        </is>
      </c>
      <c r="AF5" s="139" t="n"/>
      <c r="AG5" s="2875" t="n"/>
      <c r="AH5" s="139" t="n"/>
    </row>
    <row r="6" ht="13.5" customHeight="1" s="7635" thickBot="1">
      <c r="A6" s="139" t="n"/>
      <c r="D6" s="9671" t="n"/>
      <c r="E6" s="6283" t="inlineStr">
        <is>
          <t>Go to www.irs.gov/ScheduleF for instructions and the latest information.</t>
        </is>
      </c>
      <c r="F6" s="6282" t="n"/>
      <c r="G6" s="6282" t="n"/>
      <c r="H6" s="6282" t="n"/>
      <c r="I6" s="6282" t="n"/>
      <c r="J6" s="6282" t="n"/>
      <c r="K6" s="6282" t="n"/>
      <c r="L6" s="6282" t="n"/>
      <c r="M6" s="6282" t="n"/>
      <c r="N6" s="6282" t="n"/>
      <c r="O6" s="6282" t="n"/>
      <c r="P6" s="6282" t="n"/>
      <c r="Q6" s="6282" t="n"/>
      <c r="R6" s="6282" t="n"/>
      <c r="S6" s="6282" t="n"/>
      <c r="T6" s="6282" t="n"/>
      <c r="U6" s="6282" t="n"/>
      <c r="V6" s="6282" t="n"/>
      <c r="W6" s="6282" t="n"/>
      <c r="X6" s="6282" t="n"/>
      <c r="Y6" s="6282" t="n"/>
      <c r="Z6" s="6284" t="n"/>
      <c r="AA6" s="9670" t="n"/>
      <c r="AF6" s="139" t="n"/>
      <c r="AG6" s="1203" t="inlineStr">
        <is>
          <t>Your's</t>
        </is>
      </c>
      <c r="AH6" s="1987">
        <f>IF(AH8="","X","")</f>
        <v/>
      </c>
    </row>
    <row r="7" ht="6.75" customHeight="1" s="7635" thickBot="1">
      <c r="A7" s="139" t="n"/>
      <c r="B7" s="11705" t="n"/>
      <c r="C7" s="11705" t="n"/>
      <c r="D7" s="12151" t="n"/>
      <c r="E7" s="6285" t="n"/>
      <c r="F7" s="6286" t="n"/>
      <c r="G7" s="6286" t="n"/>
      <c r="H7" s="6286" t="n"/>
      <c r="I7" s="6286" t="n"/>
      <c r="J7" s="6286" t="n"/>
      <c r="K7" s="6286" t="n"/>
      <c r="L7" s="6286" t="n"/>
      <c r="M7" s="6286" t="n"/>
      <c r="N7" s="6286" t="n"/>
      <c r="O7" s="6286" t="n"/>
      <c r="P7" s="6286" t="n"/>
      <c r="Q7" s="6286" t="n"/>
      <c r="R7" s="6286" t="n"/>
      <c r="S7" s="6286" t="n"/>
      <c r="T7" s="6286" t="n"/>
      <c r="U7" s="6286" t="n"/>
      <c r="V7" s="6286" t="n"/>
      <c r="W7" s="6286" t="n"/>
      <c r="X7" s="6286" t="n"/>
      <c r="Y7" s="6286" t="n"/>
      <c r="Z7" s="6287" t="n"/>
      <c r="AA7" s="12152" t="n"/>
      <c r="AB7" s="11705" t="n"/>
      <c r="AC7" s="11705" t="n"/>
      <c r="AD7" s="11705" t="n"/>
      <c r="AE7" s="11705" t="n"/>
      <c r="AF7" s="139" t="n"/>
      <c r="AG7" s="2875" t="n"/>
      <c r="AH7" s="139" t="n"/>
    </row>
    <row r="8" ht="12" customHeight="1" s="7635" thickBot="1" thickTop="1">
      <c r="A8" s="139" t="n"/>
      <c r="B8" s="8647" t="inlineStr">
        <is>
          <t>Name of proprietor</t>
        </is>
      </c>
      <c r="C8" s="8665" t="n"/>
      <c r="D8" s="2754" t="n"/>
      <c r="E8" s="2754" t="n"/>
      <c r="F8" s="2754" t="n"/>
      <c r="G8" s="2755" t="n"/>
      <c r="H8" s="2755" t="n"/>
      <c r="I8" s="2756" t="n"/>
      <c r="J8" s="2756" t="n"/>
      <c r="K8" s="2756" t="n"/>
      <c r="L8" s="2756" t="n"/>
      <c r="M8" s="2756" t="n"/>
      <c r="N8" s="2753" t="n"/>
      <c r="O8" s="2753" t="n"/>
      <c r="P8" s="2753" t="n"/>
      <c r="Q8" s="2753" t="n"/>
      <c r="R8" s="2756" t="n"/>
      <c r="S8" s="2756" t="n"/>
      <c r="T8" s="2756" t="n"/>
      <c r="U8" s="2756" t="n"/>
      <c r="V8" s="5242" t="n"/>
      <c r="W8" s="5249" t="inlineStr">
        <is>
          <t xml:space="preserve"> Social security number (SSN)</t>
        </is>
      </c>
      <c r="X8" s="2756" t="n"/>
      <c r="Y8" s="2756" t="n"/>
      <c r="Z8" s="2756" t="n"/>
      <c r="AA8" s="2755" t="n"/>
      <c r="AB8" s="2755" t="n"/>
      <c r="AC8" s="2755" t="n"/>
      <c r="AD8" s="2755" t="n"/>
      <c r="AE8" s="2755" t="n"/>
      <c r="AF8" s="139" t="n"/>
      <c r="AG8" s="1203" t="inlineStr">
        <is>
          <t>Your spouse's</t>
        </is>
      </c>
      <c r="AH8" s="277" t="n"/>
    </row>
    <row r="9" ht="14.25" customHeight="1" s="7635" thickBot="1">
      <c r="A9" s="139" t="n"/>
      <c r="B9" s="12153" t="n"/>
      <c r="C9" s="11717" t="n"/>
      <c r="D9" s="11717" t="n"/>
      <c r="E9" s="11717" t="n"/>
      <c r="F9" s="11717" t="n"/>
      <c r="G9" s="11717" t="n"/>
      <c r="H9" s="11717" t="n"/>
      <c r="I9" s="11717" t="n"/>
      <c r="J9" s="11717" t="n"/>
      <c r="K9" s="11717" t="n"/>
      <c r="L9" s="11717" t="n"/>
      <c r="M9" s="11717" t="n"/>
      <c r="N9" s="11717" t="n"/>
      <c r="O9" s="11717" t="n"/>
      <c r="P9" s="11717" t="n"/>
      <c r="Q9" s="11717" t="n"/>
      <c r="R9" s="11717" t="n"/>
      <c r="S9" s="11717" t="n"/>
      <c r="T9" s="11717" t="n"/>
      <c r="U9" s="11717" t="n"/>
      <c r="V9" s="11718" t="n"/>
      <c r="W9" s="12154">
        <f>IF(AH6&lt;&gt;"",SS_Yours,SS_Spouse)</f>
        <v/>
      </c>
      <c r="X9" s="7637" t="n"/>
      <c r="Y9" s="7637" t="n"/>
      <c r="Z9" s="7637" t="n"/>
      <c r="AA9" s="7637" t="n"/>
      <c r="AB9" s="7637" t="n"/>
      <c r="AC9" s="7637" t="n"/>
      <c r="AD9" s="7637" t="n"/>
      <c r="AE9" s="7637" t="n"/>
      <c r="AF9" s="139" t="n"/>
      <c r="AG9" s="2875" t="n"/>
      <c r="AH9" s="139" t="n"/>
    </row>
    <row r="10" ht="12.75" customHeight="1" s="7635" thickTop="1">
      <c r="A10" s="139" t="n"/>
      <c r="B10" s="3654" t="inlineStr">
        <is>
          <t>A</t>
        </is>
      </c>
      <c r="C10" s="8647" t="inlineStr">
        <is>
          <t>Principal crop or activity</t>
        </is>
      </c>
      <c r="D10" s="8665" t="n"/>
      <c r="E10" s="8665" t="n"/>
      <c r="F10" s="8665" t="n"/>
      <c r="G10" s="5219" t="n"/>
      <c r="H10" s="6288" t="n"/>
      <c r="I10" s="6289" t="inlineStr">
        <is>
          <t>B  Enter code from Part IV</t>
        </is>
      </c>
      <c r="J10" s="6290" t="n"/>
      <c r="K10" s="3555" t="n"/>
      <c r="L10" s="3555" t="n"/>
      <c r="M10" s="3555" t="n"/>
      <c r="N10" s="3555" t="n"/>
      <c r="O10" s="6291" t="inlineStr">
        <is>
          <t xml:space="preserve"> C </t>
        </is>
      </c>
      <c r="P10" s="6292" t="inlineStr">
        <is>
          <t>Accounting method:</t>
        </is>
      </c>
      <c r="Q10" s="11602" t="n"/>
      <c r="R10" s="11602" t="n"/>
      <c r="S10" s="11602" t="n"/>
      <c r="T10" s="11602" t="n"/>
      <c r="U10" s="11602" t="n"/>
      <c r="V10" s="11602" t="n"/>
      <c r="W10" s="6293" t="inlineStr">
        <is>
          <t>D  Employer ID number (EIN), (see instr)</t>
        </is>
      </c>
      <c r="X10" s="3754" t="n"/>
      <c r="Y10" s="3754" t="n"/>
      <c r="Z10" s="3754" t="n"/>
      <c r="AA10" s="3642" t="n"/>
      <c r="AB10" s="3642" t="n"/>
      <c r="AC10" s="3642" t="n"/>
      <c r="AD10" s="3642" t="n"/>
      <c r="AE10" s="3642" t="n"/>
      <c r="AF10" s="139" t="n"/>
      <c r="AG10" s="2875" t="n"/>
      <c r="AH10" s="139" t="n"/>
    </row>
    <row r="11" ht="12.75" customHeight="1" s="7635">
      <c r="A11" s="139" t="n"/>
      <c r="B11" s="8725" t="n"/>
      <c r="C11" s="194" t="n"/>
      <c r="D11" s="194" t="n"/>
      <c r="E11" s="194" t="n"/>
      <c r="F11" s="194" t="n"/>
      <c r="G11" s="194" t="n"/>
      <c r="H11" s="12155" t="n"/>
      <c r="I11" s="8722" t="n"/>
      <c r="J11" s="12156" t="n"/>
      <c r="K11" s="12156" t="n"/>
      <c r="L11" s="12156" t="n"/>
      <c r="M11" s="12156" t="n"/>
      <c r="N11" s="12157" t="n"/>
      <c r="O11" s="12158" t="n"/>
      <c r="P11" s="5789" t="n"/>
      <c r="Q11" s="325" t="n"/>
      <c r="R11" s="5789" t="inlineStr">
        <is>
          <t>Cash</t>
        </is>
      </c>
      <c r="S11" s="5789" t="n"/>
      <c r="T11" s="325" t="n"/>
      <c r="U11" s="5789" t="inlineStr">
        <is>
          <t>Accrual</t>
        </is>
      </c>
      <c r="V11" s="5789" t="n"/>
      <c r="W11" s="12159" t="n"/>
      <c r="X11" s="12160" t="n"/>
      <c r="Y11" s="12161" t="n"/>
      <c r="Z11" s="12159" t="n"/>
      <c r="AA11" s="12159" t="n"/>
      <c r="AB11" s="12159" t="n"/>
      <c r="AC11" s="12159" t="n"/>
      <c r="AD11" s="12159" t="n"/>
      <c r="AE11" s="12159" t="n"/>
      <c r="AF11" s="139" t="n"/>
      <c r="AG11" s="2875" t="n"/>
      <c r="AH11" s="139" t="n"/>
    </row>
    <row r="12" ht="4.5" customHeight="1" s="7635" thickBot="1">
      <c r="A12" s="139" t="n"/>
      <c r="B12" s="11717" t="n"/>
      <c r="C12" s="11717" t="n"/>
      <c r="D12" s="11717" t="n"/>
      <c r="E12" s="11717" t="n"/>
      <c r="F12" s="11717" t="n"/>
      <c r="G12" s="11717" t="n"/>
      <c r="H12" s="12072" t="n"/>
      <c r="I12" s="12162" t="n"/>
      <c r="J12" s="12163" t="n"/>
      <c r="K12" s="12163" t="n"/>
      <c r="L12" s="12163" t="n"/>
      <c r="M12" s="12163" t="n"/>
      <c r="N12" s="12164" t="n"/>
      <c r="O12" s="11908" t="n"/>
      <c r="P12" s="6294" t="n"/>
      <c r="Q12" s="6295" t="n"/>
      <c r="R12" s="6295" t="n"/>
      <c r="S12" s="6295" t="n"/>
      <c r="T12" s="6295" t="n"/>
      <c r="U12" s="6295" t="n"/>
      <c r="V12" s="6295" t="n"/>
      <c r="W12" s="11969" t="n"/>
      <c r="X12" s="12165" t="n"/>
      <c r="Y12" s="12166" t="n"/>
      <c r="Z12" s="11969" t="n"/>
      <c r="AA12" s="11969" t="n"/>
      <c r="AB12" s="11969" t="n"/>
      <c r="AC12" s="11969" t="n"/>
      <c r="AD12" s="11969" t="n"/>
      <c r="AE12" s="11969" t="n"/>
      <c r="AF12" s="139" t="n"/>
      <c r="AG12" s="2875" t="n"/>
      <c r="AH12" s="139" t="n"/>
    </row>
    <row r="13" ht="3.75" customHeight="1" s="7635" thickTop="1">
      <c r="A13" s="139" t="n"/>
      <c r="B13" s="2995" t="n"/>
      <c r="C13" s="2995" t="n"/>
      <c r="D13" s="8665" t="n"/>
      <c r="E13" s="8665" t="n"/>
      <c r="F13" s="1603" t="n"/>
      <c r="G13" s="2755" t="n"/>
      <c r="H13" s="8374" t="n"/>
      <c r="I13" s="1604" t="n"/>
      <c r="J13" s="1604" t="n"/>
      <c r="K13" s="1604" t="n"/>
      <c r="L13" s="1604" t="n"/>
      <c r="M13" s="1604" t="n"/>
      <c r="N13" s="8665" t="n"/>
      <c r="O13" s="3016" t="n"/>
      <c r="P13" s="3016" t="n"/>
      <c r="Q13" s="1604" t="n"/>
      <c r="R13" s="8665" t="n"/>
      <c r="S13" s="8665" t="n"/>
      <c r="T13" s="8665" t="n"/>
      <c r="U13" s="8665" t="n"/>
      <c r="V13" s="8665" t="n"/>
      <c r="W13" s="8665" t="n"/>
      <c r="X13" s="5255" t="n"/>
      <c r="Y13" s="1605" t="n"/>
      <c r="Z13" s="1605" t="n"/>
      <c r="AA13" s="1605" t="n"/>
      <c r="AB13" s="1605" t="n"/>
      <c r="AC13" s="1605" t="n"/>
      <c r="AD13" s="1605" t="n"/>
      <c r="AE13" s="1605" t="n"/>
      <c r="AF13" s="139" t="n"/>
      <c r="AG13" s="2875" t="n"/>
      <c r="AH13" s="139" t="n"/>
    </row>
    <row r="14" ht="14.25" customHeight="1" s="7635">
      <c r="A14" s="139" t="n"/>
      <c r="B14" s="2984" t="inlineStr">
        <is>
          <t>E</t>
        </is>
      </c>
      <c r="C14" s="8647">
        <f>"Did you “materially participate” in operation of this business during "&amp;TaxYear&amp;"?  If “No,” see instructions for limit on passive losses"</f>
        <v/>
      </c>
      <c r="D14" s="2753" t="n"/>
      <c r="E14" s="2753" t="n"/>
      <c r="F14" s="2755" t="n"/>
      <c r="G14" s="2755" t="n"/>
      <c r="H14" s="8374" t="n"/>
      <c r="I14" s="2755" t="n"/>
      <c r="J14" s="2755" t="n"/>
      <c r="K14" s="2755" t="n"/>
      <c r="L14" s="2755" t="n"/>
      <c r="M14" s="2755" t="n"/>
      <c r="N14" s="8665" t="n"/>
      <c r="O14" s="3016" t="n"/>
      <c r="P14" s="3016" t="n"/>
      <c r="Q14" s="3016" t="n"/>
      <c r="R14" s="2755" t="n"/>
      <c r="S14" s="2755" t="n"/>
      <c r="T14" s="2755" t="n"/>
      <c r="U14" s="2755" t="n"/>
      <c r="V14" s="2755" t="n"/>
      <c r="W14" s="8665" t="n"/>
      <c r="X14" s="2755" t="n"/>
      <c r="Y14" s="2755" t="n"/>
      <c r="Z14" s="2755" t="n"/>
      <c r="AA14" s="572" t="n"/>
      <c r="AB14" s="2769" t="inlineStr">
        <is>
          <t>Yes</t>
        </is>
      </c>
      <c r="AC14" s="2995" t="n"/>
      <c r="AD14" s="572" t="n"/>
      <c r="AE14" s="2769" t="inlineStr">
        <is>
          <t>No</t>
        </is>
      </c>
      <c r="AF14" s="139" t="n"/>
      <c r="AG14" s="2875" t="n"/>
      <c r="AH14" s="139" t="n"/>
    </row>
    <row r="15" ht="14.25" customHeight="1" s="7635">
      <c r="A15" s="139" t="n"/>
      <c r="B15" s="2984" t="inlineStr">
        <is>
          <t>F</t>
        </is>
      </c>
      <c r="C15" s="8651">
        <f>"Did you make any payments in "&amp;TaxYear&amp;" that would require you to file Form(s) 1099? See instructions"</f>
        <v/>
      </c>
      <c r="D15" s="8665" t="n"/>
      <c r="E15" s="2753" t="n"/>
      <c r="F15" s="2755" t="n"/>
      <c r="G15" s="2755" t="n"/>
      <c r="H15" s="8374" t="n"/>
      <c r="I15" s="2755" t="n"/>
      <c r="J15" s="2755" t="n"/>
      <c r="K15" s="2755" t="n"/>
      <c r="L15" s="2755" t="n"/>
      <c r="M15" s="2755" t="n"/>
      <c r="N15" s="8665" t="n"/>
      <c r="O15" s="3016" t="n"/>
      <c r="P15" s="3016" t="n"/>
      <c r="Q15" s="3016" t="n"/>
      <c r="R15" s="2755" t="n"/>
      <c r="S15" s="2755" t="n"/>
      <c r="T15" s="2755" t="n"/>
      <c r="U15" s="2755" t="n"/>
      <c r="V15" s="2755" t="n"/>
      <c r="W15" s="8665" t="n"/>
      <c r="X15" s="2755" t="n"/>
      <c r="Y15" s="2755" t="n"/>
      <c r="Z15" s="5265" t="inlineStr">
        <is>
          <t xml:space="preserve">.   .   .   .   .   .   .   .   </t>
        </is>
      </c>
      <c r="AA15" s="572" t="n"/>
      <c r="AB15" s="2769" t="inlineStr">
        <is>
          <t>Yes</t>
        </is>
      </c>
      <c r="AC15" s="2995" t="n"/>
      <c r="AD15" s="572" t="n"/>
      <c r="AE15" s="2769" t="inlineStr">
        <is>
          <t>No</t>
        </is>
      </c>
      <c r="AF15" s="139" t="n"/>
      <c r="AG15" s="2875" t="n"/>
      <c r="AH15" s="139" t="n"/>
    </row>
    <row r="16" ht="14.25" customHeight="1" s="7635">
      <c r="A16" s="139" t="n"/>
      <c r="B16" s="2984" t="inlineStr">
        <is>
          <t>G</t>
        </is>
      </c>
      <c r="C16" s="8651" t="inlineStr">
        <is>
          <t>If "Yes," did you or will you file all required Form(s) 1099?</t>
        </is>
      </c>
      <c r="D16" s="8665" t="n"/>
      <c r="E16" s="2753" t="n"/>
      <c r="F16" s="2755" t="n"/>
      <c r="G16" s="2755" t="n"/>
      <c r="H16" s="8374" t="n"/>
      <c r="I16" s="2755" t="n"/>
      <c r="J16" s="2755" t="n"/>
      <c r="K16" s="2755" t="n"/>
      <c r="L16" s="2755" t="n"/>
      <c r="M16" s="2755" t="n"/>
      <c r="N16" s="8665" t="n"/>
      <c r="O16" s="3016" t="n"/>
      <c r="P16" s="3016" t="n"/>
      <c r="Q16" s="3016" t="n"/>
      <c r="R16" s="2755" t="n"/>
      <c r="S16" s="2755" t="n"/>
      <c r="T16" s="2755" t="n"/>
      <c r="U16" s="2755" t="n"/>
      <c r="V16" s="2755" t="n"/>
      <c r="W16" s="8665" t="n"/>
      <c r="X16" s="2755" t="n"/>
      <c r="Y16" s="2755" t="n"/>
      <c r="Z16" s="5265" t="inlineStr">
        <is>
          <t xml:space="preserve"> .   .   .   .   .   .   .   .   .   .   .   .   .   .   .   .   .   .   .   .   .   .   .   </t>
        </is>
      </c>
      <c r="AA16" s="572" t="n"/>
      <c r="AB16" s="2769" t="inlineStr">
        <is>
          <t>Yes</t>
        </is>
      </c>
      <c r="AC16" s="2995" t="n"/>
      <c r="AD16" s="572" t="n"/>
      <c r="AE16" s="2769" t="inlineStr">
        <is>
          <t>No</t>
        </is>
      </c>
      <c r="AF16" s="139" t="n"/>
      <c r="AG16" s="7886" t="inlineStr">
        <is>
          <t>Manual</t>
        </is>
      </c>
      <c r="AH16" s="139" t="n"/>
    </row>
    <row r="17" ht="3.75" customHeight="1" s="7635">
      <c r="A17" s="139" t="n"/>
      <c r="B17" s="5319" t="n"/>
      <c r="C17" s="5212" t="n"/>
      <c r="D17" s="5212" t="n"/>
      <c r="E17" s="3582" t="n"/>
      <c r="F17" s="3565" t="n"/>
      <c r="G17" s="3565" t="n"/>
      <c r="H17" s="3107" t="n"/>
      <c r="I17" s="3565" t="n"/>
      <c r="J17" s="3565" t="n"/>
      <c r="K17" s="3565" t="n"/>
      <c r="L17" s="3565" t="n"/>
      <c r="M17" s="3565" t="n"/>
      <c r="N17" s="5212" t="n"/>
      <c r="O17" s="6296" t="n"/>
      <c r="P17" s="6296" t="n"/>
      <c r="Q17" s="6296" t="n"/>
      <c r="R17" s="3565" t="n"/>
      <c r="S17" s="3565" t="n"/>
      <c r="T17" s="3565" t="n"/>
      <c r="U17" s="3565" t="n"/>
      <c r="V17" s="3565" t="n"/>
      <c r="W17" s="5212" t="n"/>
      <c r="X17" s="3565" t="n"/>
      <c r="Y17" s="3565" t="n"/>
      <c r="Z17" s="3565" t="n"/>
      <c r="AA17" s="1822" t="n"/>
      <c r="AB17" s="3326" t="n"/>
      <c r="AC17" s="6297" t="n"/>
      <c r="AD17" s="1822" t="n"/>
      <c r="AE17" s="3326" t="n"/>
      <c r="AF17" s="139" t="n"/>
      <c r="AG17" s="7886" t="n"/>
      <c r="AH17" s="139" t="n"/>
    </row>
    <row r="18" ht="15" customHeight="1" s="7635">
      <c r="A18" s="139" t="n"/>
      <c r="B18" s="8743" t="inlineStr">
        <is>
          <t>Part I</t>
        </is>
      </c>
      <c r="C18" s="8412" t="n"/>
      <c r="D18" s="6298" t="inlineStr">
        <is>
          <t>Farm Income—Cash Method.</t>
        </is>
      </c>
      <c r="E18" s="10329" t="n"/>
      <c r="F18" s="5257" t="n"/>
      <c r="G18" s="5110" t="n"/>
      <c r="H18" s="6299" t="n"/>
      <c r="I18" s="5110" t="inlineStr">
        <is>
          <t>Complete Parts I and II (Accrual method. Complete Parts II and III, and Part I, line 9.)</t>
        </is>
      </c>
      <c r="J18" s="6299" t="n"/>
      <c r="K18" s="5110" t="n"/>
      <c r="L18" s="5110" t="n"/>
      <c r="M18" s="5110" t="n"/>
      <c r="N18" s="5112" t="n"/>
      <c r="O18" s="5112" t="n"/>
      <c r="P18" s="5112" t="n"/>
      <c r="Q18" s="5112" t="n"/>
      <c r="R18" s="5112" t="n"/>
      <c r="S18" s="5112" t="n"/>
      <c r="T18" s="5112" t="n"/>
      <c r="U18" s="5112" t="n"/>
      <c r="V18" s="5112" t="n"/>
      <c r="W18" s="5112" t="n"/>
      <c r="X18" s="5110" t="n"/>
      <c r="Y18" s="5110" t="n"/>
      <c r="Z18" s="5258" t="n"/>
      <c r="AA18" s="3110" t="n"/>
      <c r="AB18" s="5110" t="n"/>
      <c r="AC18" s="5110" t="n"/>
      <c r="AD18" s="3110" t="n"/>
      <c r="AE18" s="5110" t="n"/>
      <c r="AF18" s="139" t="n"/>
      <c r="AG18" s="7886" t="inlineStr">
        <is>
          <t>Override ê</t>
        </is>
      </c>
      <c r="AH18" s="139" t="n"/>
    </row>
    <row r="19" ht="14.25" customHeight="1" s="7635">
      <c r="A19" s="962" t="n"/>
      <c r="B19" s="8374" t="inlineStr">
        <is>
          <t>1a</t>
        </is>
      </c>
      <c r="C19" s="3602" t="inlineStr">
        <is>
          <t>Sales of livestock and other resale items (see instructions)</t>
        </is>
      </c>
      <c r="D19" s="2770" t="n"/>
      <c r="E19" s="2770" t="n"/>
      <c r="F19" s="10292" t="n"/>
      <c r="G19" s="10292" t="n"/>
      <c r="H19" s="10292" t="n"/>
      <c r="I19" s="10292" t="n"/>
      <c r="J19" s="10292" t="n"/>
      <c r="K19" s="10292" t="n"/>
      <c r="L19" s="10292" t="n"/>
      <c r="M19" s="10292" t="n"/>
      <c r="N19" s="5259" t="n"/>
      <c r="O19" s="5259" t="n"/>
      <c r="P19" s="5259" t="n"/>
      <c r="Q19" s="5259" t="n"/>
      <c r="R19" s="5265" t="n"/>
      <c r="S19" s="5265" t="n"/>
      <c r="T19" s="5265" t="n"/>
      <c r="U19" s="5265" t="inlineStr">
        <is>
          <t xml:space="preserve">.   .   .   .   .   .   .   .   .   .   .   .   .   .   .   </t>
        </is>
      </c>
      <c r="V19" s="2075" t="inlineStr">
        <is>
          <t>1a</t>
        </is>
      </c>
      <c r="W19" s="12167" t="n"/>
      <c r="X19" s="8007" t="n"/>
      <c r="Y19" s="8007" t="n"/>
      <c r="Z19" s="8008" t="n"/>
      <c r="AA19" s="6300" t="n"/>
      <c r="AB19" s="5262" t="n"/>
      <c r="AC19" s="5262" t="n"/>
      <c r="AD19" s="5262" t="n"/>
      <c r="AE19" s="5262" t="n"/>
      <c r="AF19" s="139" t="n"/>
      <c r="AG19" s="2875" t="n"/>
      <c r="AH19" s="139" t="n"/>
    </row>
    <row r="20" ht="14.25" customHeight="1" s="7635">
      <c r="A20" s="962" t="n"/>
      <c r="B20" s="8374" t="inlineStr">
        <is>
          <t>b</t>
        </is>
      </c>
      <c r="C20" s="3602" t="inlineStr">
        <is>
          <t>Cost or other basis of livestock or other items reported on line 1a</t>
        </is>
      </c>
      <c r="D20" s="2770" t="n"/>
      <c r="E20" s="2770" t="n"/>
      <c r="F20" s="10292" t="n"/>
      <c r="G20" s="10292" t="n"/>
      <c r="H20" s="10292" t="n"/>
      <c r="I20" s="10292" t="n"/>
      <c r="J20" s="10292" t="n"/>
      <c r="K20" s="10292" t="n"/>
      <c r="L20" s="10292" t="n"/>
      <c r="M20" s="10292" t="n"/>
      <c r="N20" s="5259" t="n"/>
      <c r="O20" s="5259" t="n"/>
      <c r="P20" s="5259" t="n"/>
      <c r="Q20" s="5259" t="n"/>
      <c r="R20" s="5265" t="n"/>
      <c r="S20" s="5265" t="n"/>
      <c r="T20" s="5265" t="n"/>
      <c r="U20" s="5265" t="inlineStr">
        <is>
          <t xml:space="preserve">.   .   .   .   .   .   .   .   .   .   .   .   .   .   .   </t>
        </is>
      </c>
      <c r="V20" s="2075" t="inlineStr">
        <is>
          <t>1b</t>
        </is>
      </c>
      <c r="W20" s="12167" t="n"/>
      <c r="X20" s="8007" t="n"/>
      <c r="Y20" s="8007" t="n"/>
      <c r="Z20" s="8008" t="n"/>
      <c r="AA20" s="6300" t="n"/>
      <c r="AB20" s="6301" t="n"/>
      <c r="AC20" s="8730" t="n"/>
      <c r="AF20" s="139" t="n"/>
      <c r="AG20" s="2875" t="n"/>
      <c r="AH20" s="139" t="n"/>
    </row>
    <row r="21" ht="14.25" customHeight="1" s="7635">
      <c r="A21" s="962" t="n"/>
      <c r="B21" s="8374" t="inlineStr">
        <is>
          <t>c</t>
        </is>
      </c>
      <c r="C21" s="3602" t="inlineStr">
        <is>
          <t>Subtract line 1b from line 1a</t>
        </is>
      </c>
      <c r="D21" s="2770" t="n"/>
      <c r="E21" s="2770" t="n"/>
      <c r="F21" s="10292" t="n"/>
      <c r="G21" s="10292" t="n"/>
      <c r="H21" s="10292" t="n"/>
      <c r="I21" s="10292" t="n"/>
      <c r="J21" s="10292" t="n"/>
      <c r="K21" s="10292" t="n"/>
      <c r="L21" s="10292" t="n"/>
      <c r="M21" s="10292" t="n"/>
      <c r="N21" s="5259" t="n"/>
      <c r="O21" s="5259" t="n"/>
      <c r="P21" s="5259" t="n"/>
      <c r="Q21" s="5259" t="n"/>
      <c r="R21" s="5259" t="n"/>
      <c r="S21" s="5259" t="n"/>
      <c r="T21" s="5259" t="n"/>
      <c r="U21" s="5259" t="n"/>
      <c r="V21" s="5259" t="n"/>
      <c r="W21" s="3016" t="n"/>
      <c r="X21" s="10292" t="n"/>
      <c r="Y21" s="3016" t="n"/>
      <c r="Z21" s="5265" t="inlineStr">
        <is>
          <t xml:space="preserve">.   .   .   .   .   .   .   .   .   .   .   .   .   .   .   .   .   .   .   .   .   .   .   .   .   .   .   .   .   .   .   .   .   .   .   .   .   </t>
        </is>
      </c>
      <c r="AA21" s="2773" t="inlineStr">
        <is>
          <t>1c</t>
        </is>
      </c>
      <c r="AB21" s="8203">
        <f>IF(AG21&lt;&gt;"",ROUND(AG21,0),SUM(W19,-W20))</f>
        <v/>
      </c>
      <c r="AC21" s="7637" t="n"/>
      <c r="AD21" s="7637" t="n"/>
      <c r="AE21" s="7637" t="n"/>
      <c r="AF21" s="139" t="n"/>
      <c r="AG21" s="134" t="n"/>
      <c r="AH21" s="139" t="n"/>
    </row>
    <row r="22" ht="14.25" customHeight="1" s="7635">
      <c r="A22" s="962" t="n"/>
      <c r="B22" s="8374">
        <f>"2  "</f>
        <v/>
      </c>
      <c r="C22" s="3602" t="inlineStr">
        <is>
          <t>Sales of livestock, produce, grains, and other products you raised</t>
        </is>
      </c>
      <c r="D22" s="2770" t="n"/>
      <c r="E22" s="2770" t="n"/>
      <c r="F22" s="10292" t="n"/>
      <c r="G22" s="10292" t="n"/>
      <c r="H22" s="10292" t="n"/>
      <c r="I22" s="10292" t="n"/>
      <c r="J22" s="10292" t="n"/>
      <c r="K22" s="10292" t="n"/>
      <c r="L22" s="10292" t="n"/>
      <c r="M22" s="10292" t="n"/>
      <c r="N22" s="5259" t="n"/>
      <c r="O22" s="5259" t="n"/>
      <c r="P22" s="5259" t="n"/>
      <c r="Q22" s="5259" t="n"/>
      <c r="R22" s="5259" t="n"/>
      <c r="S22" s="5259" t="n"/>
      <c r="T22" s="5259" t="n"/>
      <c r="U22" s="5259" t="n"/>
      <c r="V22" s="5259" t="n"/>
      <c r="W22" s="5259" t="n"/>
      <c r="X22" s="10292" t="n"/>
      <c r="Y22" s="10292" t="n"/>
      <c r="Z22" s="5265" t="inlineStr">
        <is>
          <t xml:space="preserve">.   .   .   .   .   .   .   .   .   .   .   .   .   .   .   .   .   .   .   .   .   </t>
        </is>
      </c>
      <c r="AA22" s="2773" t="n">
        <v>2</v>
      </c>
      <c r="AB22" s="8169" t="n"/>
      <c r="AC22" s="11717" t="n"/>
      <c r="AD22" s="11717" t="n"/>
      <c r="AE22" s="11717" t="n"/>
      <c r="AF22" s="139" t="n"/>
      <c r="AG22" s="2875" t="n"/>
      <c r="AH22" s="139" t="n"/>
    </row>
    <row r="23" ht="14.25" customHeight="1" s="7635">
      <c r="A23" s="962" t="n"/>
      <c r="B23" s="8374" t="inlineStr">
        <is>
          <t>3a</t>
        </is>
      </c>
      <c r="C23" s="5318" t="inlineStr">
        <is>
          <t>Cooperative distributions (Form(s) 1099-PATR)</t>
        </is>
      </c>
      <c r="D23" s="5267" t="n"/>
      <c r="E23" s="5267" t="n"/>
      <c r="F23" s="5267" t="n"/>
      <c r="G23" s="8223" t="n"/>
      <c r="H23" s="8223" t="n"/>
      <c r="I23" s="8223" t="n"/>
      <c r="J23" s="8223" t="n"/>
      <c r="K23" s="8223" t="n"/>
      <c r="L23" s="8223" t="n"/>
      <c r="M23" s="8223" t="n"/>
      <c r="N23" s="5267" t="n"/>
      <c r="O23" s="5265" t="inlineStr">
        <is>
          <t xml:space="preserve"> .   .   .   .   .   .   .   .   .   </t>
        </is>
      </c>
      <c r="P23" s="6302" t="inlineStr">
        <is>
          <t>3a</t>
        </is>
      </c>
      <c r="Q23" s="12168" t="n"/>
      <c r="R23" s="11717" t="n"/>
      <c r="S23" s="11717" t="n"/>
      <c r="T23" s="11717" t="n"/>
      <c r="U23" s="11718" t="n"/>
      <c r="V23" s="6303" t="inlineStr">
        <is>
          <t>3b</t>
        </is>
      </c>
      <c r="W23" s="12169" t="inlineStr">
        <is>
          <t>Taxable amount</t>
        </is>
      </c>
      <c r="Z23" s="7636" t="n"/>
      <c r="AA23" s="8230" t="inlineStr">
        <is>
          <t>3b</t>
        </is>
      </c>
      <c r="AB23" s="8169" t="n"/>
      <c r="AC23" s="11717" t="n"/>
      <c r="AD23" s="11717" t="n"/>
      <c r="AE23" s="11717" t="n"/>
      <c r="AF23" s="139" t="n"/>
      <c r="AG23" s="2875" t="n"/>
      <c r="AH23" s="139" t="n"/>
    </row>
    <row r="24" ht="14.25" customHeight="1" s="7635">
      <c r="A24" s="962" t="n"/>
      <c r="B24" s="8374" t="inlineStr">
        <is>
          <t>4a</t>
        </is>
      </c>
      <c r="C24" s="5318" t="inlineStr">
        <is>
          <t>Agricultural program payments (see instructions)</t>
        </is>
      </c>
      <c r="D24" s="5267" t="n"/>
      <c r="E24" s="5267" t="n"/>
      <c r="F24" s="5267" t="n"/>
      <c r="G24" s="8223" t="n"/>
      <c r="H24" s="8223" t="n"/>
      <c r="I24" s="8223" t="n"/>
      <c r="J24" s="8223" t="n"/>
      <c r="K24" s="8223" t="n"/>
      <c r="L24" s="8223" t="n"/>
      <c r="M24" s="8223" t="n"/>
      <c r="N24" s="5267" t="n"/>
      <c r="O24" s="5265" t="inlineStr">
        <is>
          <t xml:space="preserve">.   .   .   .   .   .   .   .   .   .   .   </t>
        </is>
      </c>
      <c r="P24" s="6302" t="inlineStr">
        <is>
          <t>4a</t>
        </is>
      </c>
      <c r="Q24" s="12170">
        <f>IF(AG24&lt;&gt;"",ROUND(AG24,0),IF(AND(AgPMT_Other="",F1099G_MktGain=""),"",SUM(AgPMT_Other,F1099G_MktGain)))</f>
        <v/>
      </c>
      <c r="R24" s="7637" t="n"/>
      <c r="S24" s="7637" t="n"/>
      <c r="T24" s="7637" t="n"/>
      <c r="U24" s="7638" t="n"/>
      <c r="V24" s="6303" t="inlineStr">
        <is>
          <t>4b</t>
        </is>
      </c>
      <c r="W24" s="12169" t="inlineStr">
        <is>
          <t>Taxable amount</t>
        </is>
      </c>
      <c r="Z24" s="7636" t="n"/>
      <c r="AA24" s="8230" t="inlineStr">
        <is>
          <t>4b</t>
        </is>
      </c>
      <c r="AB24" s="8169" t="n"/>
      <c r="AC24" s="11717" t="n"/>
      <c r="AD24" s="11717" t="n"/>
      <c r="AE24" s="11717" t="n"/>
      <c r="AF24" s="139" t="n"/>
      <c r="AG24" s="134" t="n"/>
      <c r="AH24" s="6305">
        <f>IF(AH26="","X","")</f>
        <v/>
      </c>
    </row>
    <row r="25" ht="14.25" customHeight="1" s="7635">
      <c r="A25" s="962" t="n"/>
      <c r="B25" s="8374" t="inlineStr">
        <is>
          <t>5a</t>
        </is>
      </c>
      <c r="C25" s="3602" t="inlineStr">
        <is>
          <t>Commodity Credit Corporation (CCC) loans reported under election</t>
        </is>
      </c>
      <c r="D25" s="2770" t="n"/>
      <c r="E25" s="2770" t="n"/>
      <c r="F25" s="10292" t="n"/>
      <c r="G25" s="10292" t="n"/>
      <c r="H25" s="10292" t="n"/>
      <c r="I25" s="10292" t="n"/>
      <c r="J25" s="10292" t="n"/>
      <c r="K25" s="10292" t="n"/>
      <c r="L25" s="10292" t="n"/>
      <c r="M25" s="10292" t="n"/>
      <c r="N25" s="5259" t="n"/>
      <c r="O25" s="5259" t="n"/>
      <c r="P25" s="5259" t="n"/>
      <c r="Q25" s="5259" t="n"/>
      <c r="R25" s="5259" t="n"/>
      <c r="S25" s="5259" t="n"/>
      <c r="T25" s="5259" t="n"/>
      <c r="U25" s="5259" t="n"/>
      <c r="V25" s="5259" t="n"/>
      <c r="W25" s="5259" t="n"/>
      <c r="X25" s="10292" t="n"/>
      <c r="Y25" s="10292" t="n"/>
      <c r="Z25" s="5265" t="inlineStr">
        <is>
          <t xml:space="preserve">.   .   .   .   .   .   .   .   .   .   .   .   .   .   .   .   .   .   .   .   .   </t>
        </is>
      </c>
      <c r="AA25" s="2773" t="inlineStr">
        <is>
          <t>5a</t>
        </is>
      </c>
      <c r="AB25" s="8169" t="n"/>
      <c r="AC25" s="11717" t="n"/>
      <c r="AD25" s="11717" t="n"/>
      <c r="AE25" s="11717" t="n"/>
      <c r="AF25" s="139" t="n"/>
      <c r="AG25" s="6306" t="n"/>
      <c r="AH25" s="139" t="n"/>
      <c r="AI25" s="9123" t="n"/>
    </row>
    <row r="26" ht="14.25" customHeight="1" s="7635">
      <c r="A26" s="962" t="n"/>
      <c r="B26" s="8374" t="inlineStr">
        <is>
          <t>b</t>
        </is>
      </c>
      <c r="C26" s="5318" t="inlineStr">
        <is>
          <t>CCC loans forfeited</t>
        </is>
      </c>
      <c r="D26" s="5267" t="n"/>
      <c r="E26" s="5267" t="n"/>
      <c r="F26" s="5267" t="n"/>
      <c r="G26" s="8223" t="n"/>
      <c r="H26" s="8223" t="n"/>
      <c r="I26" s="8223" t="n"/>
      <c r="J26" s="8223" t="n"/>
      <c r="K26" s="8223" t="n"/>
      <c r="L26" s="8223" t="n"/>
      <c r="M26" s="8223" t="n"/>
      <c r="N26" s="5267" t="n"/>
      <c r="O26" s="5265" t="inlineStr">
        <is>
          <t xml:space="preserve">.   .   .   .   .   .   .   .   .   .   .   .   .   .   .   .   .   .   .   .   .   .   .   </t>
        </is>
      </c>
      <c r="P26" s="6302" t="inlineStr">
        <is>
          <t>5b</t>
        </is>
      </c>
      <c r="Q26" s="287" t="n"/>
      <c r="R26" s="11717" t="n"/>
      <c r="S26" s="11717" t="n"/>
      <c r="T26" s="11717" t="n"/>
      <c r="U26" s="11718" t="n"/>
      <c r="V26" s="6303" t="inlineStr">
        <is>
          <t>5c</t>
        </is>
      </c>
      <c r="W26" s="8695" t="inlineStr">
        <is>
          <t>Taxable amount</t>
        </is>
      </c>
      <c r="X26" s="6307" t="n"/>
      <c r="Y26" s="9238" t="n"/>
      <c r="Z26" s="9238" t="n"/>
      <c r="AA26" s="8230" t="inlineStr">
        <is>
          <t>5c</t>
        </is>
      </c>
      <c r="AB26" s="8169" t="n"/>
      <c r="AC26" s="11717" t="n"/>
      <c r="AD26" s="11717" t="n"/>
      <c r="AE26" s="11717" t="n"/>
      <c r="AF26" s="139" t="n"/>
      <c r="AG26" s="6306" t="n"/>
      <c r="AH26" s="805" t="n"/>
    </row>
    <row r="27" ht="14.25" customHeight="1" s="7635">
      <c r="A27" s="962" t="n"/>
      <c r="B27" s="8374">
        <f>"6  "</f>
        <v/>
      </c>
      <c r="C27" s="3602" t="inlineStr">
        <is>
          <t>Crop insurance proceeds and federal crop disaster payments (see instructions)</t>
        </is>
      </c>
      <c r="D27" s="2770" t="n"/>
      <c r="E27" s="2770" t="n"/>
      <c r="F27" s="10292" t="n"/>
      <c r="G27" s="10292" t="n"/>
      <c r="H27" s="10292" t="n"/>
      <c r="I27" s="10292" t="n"/>
      <c r="J27" s="10292" t="n"/>
      <c r="K27" s="10292" t="n"/>
      <c r="L27" s="10292" t="n"/>
      <c r="M27" s="10292" t="n"/>
      <c r="N27" s="5259" t="n"/>
      <c r="O27" s="5259" t="n"/>
      <c r="P27" s="5259" t="n"/>
      <c r="Q27" s="5259" t="n"/>
      <c r="R27" s="5259" t="n"/>
      <c r="S27" s="5259" t="n"/>
      <c r="T27" s="5259" t="n"/>
      <c r="U27" s="5259" t="n"/>
      <c r="V27" s="5259" t="n"/>
      <c r="W27" s="5259" t="n"/>
      <c r="X27" s="10292" t="n"/>
      <c r="Y27" s="10292" t="n"/>
      <c r="Z27" s="8223" t="n"/>
      <c r="AA27" s="6300" t="n"/>
      <c r="AB27" s="8661" t="n"/>
      <c r="AC27" s="7839" t="n"/>
      <c r="AD27" s="7839" t="n"/>
      <c r="AE27" s="7839" t="n"/>
      <c r="AF27" s="139" t="n"/>
      <c r="AG27" s="6306" t="n"/>
      <c r="AH27" s="139" t="n"/>
      <c r="AI27" s="9123" t="n"/>
    </row>
    <row r="28" ht="14.25" customHeight="1" s="7635">
      <c r="A28" s="962" t="n"/>
      <c r="B28" s="8374" t="inlineStr">
        <is>
          <t>a</t>
        </is>
      </c>
      <c r="C28" s="5318">
        <f>"Amount received in "&amp;TaxYear</f>
        <v/>
      </c>
      <c r="D28" s="5267" t="n"/>
      <c r="E28" s="5267" t="n"/>
      <c r="F28" s="5267" t="n"/>
      <c r="G28" s="8223" t="n"/>
      <c r="H28" s="8223" t="n"/>
      <c r="I28" s="8223" t="n"/>
      <c r="J28" s="8223" t="n"/>
      <c r="K28" s="8223" t="n"/>
      <c r="L28" s="8223" t="n"/>
      <c r="M28" s="8223" t="n"/>
      <c r="N28" s="5267" t="n"/>
      <c r="O28" s="5265" t="inlineStr">
        <is>
          <t xml:space="preserve">.   .   .   .   .   .   .   .   .   .   .   .   .   .   .   .   .   .   .   </t>
        </is>
      </c>
      <c r="P28" s="6302" t="inlineStr">
        <is>
          <t>6a</t>
        </is>
      </c>
      <c r="Q28" s="12170">
        <f>IF(AG28&lt;&gt;"",ROUND(AG28,0),AgPMT_Disaster)</f>
        <v/>
      </c>
      <c r="R28" s="7637" t="n"/>
      <c r="S28" s="7637" t="n"/>
      <c r="T28" s="7637" t="n"/>
      <c r="U28" s="7638" t="n"/>
      <c r="V28" s="6303" t="inlineStr">
        <is>
          <t>6b</t>
        </is>
      </c>
      <c r="W28" s="8695" t="inlineStr">
        <is>
          <t>Taxable amount</t>
        </is>
      </c>
      <c r="X28" s="6307" t="n"/>
      <c r="Y28" s="9238" t="n"/>
      <c r="Z28" s="9238" t="n"/>
      <c r="AA28" s="8230" t="inlineStr">
        <is>
          <t>6b</t>
        </is>
      </c>
      <c r="AB28" s="8169" t="n"/>
      <c r="AC28" s="11717" t="n"/>
      <c r="AD28" s="11717" t="n"/>
      <c r="AE28" s="11717" t="n"/>
      <c r="AF28" s="139" t="n"/>
      <c r="AG28" s="134" t="n"/>
      <c r="AH28" s="139" t="n"/>
    </row>
    <row r="29" ht="4.5" customHeight="1" s="7635">
      <c r="A29" s="962" t="n"/>
      <c r="B29" s="8374" t="n"/>
      <c r="C29" s="5318" t="n"/>
      <c r="D29" s="5267" t="n"/>
      <c r="E29" s="5267" t="n"/>
      <c r="F29" s="5267" t="n"/>
      <c r="G29" s="8223" t="n"/>
      <c r="H29" s="8223" t="n"/>
      <c r="I29" s="8223" t="n"/>
      <c r="J29" s="8223" t="n"/>
      <c r="K29" s="8223" t="n"/>
      <c r="L29" s="8223" t="n"/>
      <c r="M29" s="8223" t="n"/>
      <c r="N29" s="5267" t="n"/>
      <c r="O29" s="5265" t="n"/>
      <c r="P29" s="6308" t="n"/>
      <c r="Q29" s="6308" t="n"/>
      <c r="R29" s="6308" t="n"/>
      <c r="S29" s="6308" t="n"/>
      <c r="T29" s="6308" t="n"/>
      <c r="U29" s="6308" t="n"/>
      <c r="V29" s="6308" t="n"/>
      <c r="W29" s="6307" t="n"/>
      <c r="X29" s="6307" t="n"/>
      <c r="Y29" s="9238" t="n"/>
      <c r="Z29" s="9238" t="n"/>
      <c r="AA29" s="8679" t="n"/>
      <c r="AB29" s="8749" t="n"/>
      <c r="AC29" s="11745" t="n"/>
      <c r="AD29" s="11745" t="n"/>
      <c r="AE29" s="11745" t="n"/>
      <c r="AF29" s="139" t="n"/>
      <c r="AG29" s="1464" t="n"/>
      <c r="AH29" s="139" t="n"/>
    </row>
    <row r="30" ht="14.25" customHeight="1" s="7635">
      <c r="A30" s="962" t="n"/>
      <c r="B30" s="6309" t="inlineStr">
        <is>
          <t>c</t>
        </is>
      </c>
      <c r="C30" s="6310">
        <f>"If election to defer to "&amp;TaxYear+1&amp;" is attached, check here"</f>
        <v/>
      </c>
      <c r="D30" s="5267" t="n"/>
      <c r="E30" s="5267" t="n"/>
      <c r="F30" s="5267" t="n"/>
      <c r="G30" s="8223" t="n"/>
      <c r="H30" s="8223" t="n"/>
      <c r="I30" s="8223" t="n"/>
      <c r="J30" s="5267" t="n"/>
      <c r="K30" s="5267" t="n"/>
      <c r="L30" s="8223" t="n"/>
      <c r="M30" s="5267" t="n"/>
      <c r="N30" s="5267" t="n"/>
      <c r="O30" s="8223" t="n"/>
      <c r="P30" s="5265" t="inlineStr">
        <is>
          <t xml:space="preserve">.   .   .   .   .   .   .   .   .   .   .   </t>
        </is>
      </c>
      <c r="Q30" s="364" t="n"/>
      <c r="R30" s="6308" t="inlineStr">
        <is>
          <t xml:space="preserve">6d </t>
        </is>
      </c>
      <c r="S30" s="6311" t="n"/>
      <c r="T30" s="8648" t="n"/>
      <c r="U30" s="5268" t="n"/>
      <c r="V30" s="5268" t="n"/>
      <c r="W30" s="5268" t="n"/>
      <c r="X30" s="5268" t="n"/>
      <c r="Y30" s="5266" t="n"/>
      <c r="Z30" s="6312">
        <f>"Amount deferred from "&amp;TaxYear-1</f>
        <v/>
      </c>
      <c r="AA30" s="8230" t="inlineStr">
        <is>
          <t>6d</t>
        </is>
      </c>
      <c r="AB30" s="11728" t="n"/>
      <c r="AC30" s="11717" t="n"/>
      <c r="AD30" s="11717" t="n"/>
      <c r="AE30" s="11717" t="n"/>
      <c r="AF30" s="139" t="n"/>
      <c r="AG30" s="2875" t="n"/>
      <c r="AH30" s="139" t="n"/>
    </row>
    <row r="31" ht="14.25" customHeight="1" s="7635">
      <c r="A31" s="962" t="n"/>
      <c r="B31" s="8374">
        <f>"7  "</f>
        <v/>
      </c>
      <c r="C31" s="5318" t="inlineStr">
        <is>
          <t>Custom hire (machine work) income</t>
        </is>
      </c>
      <c r="D31" s="5267" t="n"/>
      <c r="E31" s="5256" t="n"/>
      <c r="F31" s="5267" t="n"/>
      <c r="G31" s="8223" t="n"/>
      <c r="H31" s="8223" t="n"/>
      <c r="I31" s="8223" t="n"/>
      <c r="J31" s="8223" t="n"/>
      <c r="K31" s="8223" t="n"/>
      <c r="L31" s="8223" t="n"/>
      <c r="M31" s="8223" t="n"/>
      <c r="N31" s="5267" t="n"/>
      <c r="O31" s="5267" t="n"/>
      <c r="P31" s="5267" t="n"/>
      <c r="Q31" s="5267" t="n"/>
      <c r="R31" s="5267" t="n"/>
      <c r="S31" s="5267" t="n"/>
      <c r="T31" s="5267" t="n"/>
      <c r="U31" s="5267" t="n"/>
      <c r="V31" s="5267" t="n"/>
      <c r="W31" s="5267" t="n"/>
      <c r="X31" s="8223" t="n"/>
      <c r="Y31" s="8223" t="n"/>
      <c r="Z31" s="5265" t="inlineStr">
        <is>
          <t xml:space="preserve">.   .   .   .   .   .   .   .   .   .   .   .   .   .   .   .   .   .   .   .   .   .   .   .   .   .   .   .   .   .   .   .   .   .   .   .   </t>
        </is>
      </c>
      <c r="AA31" s="8230" t="n">
        <v>7</v>
      </c>
      <c r="AB31" s="8169" t="n"/>
      <c r="AC31" s="11717" t="n"/>
      <c r="AD31" s="11717" t="n"/>
      <c r="AE31" s="11717" t="n"/>
      <c r="AF31" s="139" t="n"/>
      <c r="AG31" s="2875" t="n"/>
      <c r="AH31" s="139" t="n"/>
    </row>
    <row r="32" ht="14.25" customHeight="1" s="7635">
      <c r="A32" s="962" t="n"/>
      <c r="B32" s="8374">
        <f>"8  "</f>
        <v/>
      </c>
      <c r="C32" s="5318" t="inlineStr">
        <is>
          <t>Other income, including federal and state gasoline or fuel tax credit or refund (see instructions)</t>
        </is>
      </c>
      <c r="D32" s="5267" t="n"/>
      <c r="E32" s="5267" t="n"/>
      <c r="F32" s="5267" t="n"/>
      <c r="G32" s="8223" t="n"/>
      <c r="H32" s="8223" t="n"/>
      <c r="I32" s="8223" t="n"/>
      <c r="J32" s="8223" t="n"/>
      <c r="K32" s="8223" t="n"/>
      <c r="L32" s="8223" t="n"/>
      <c r="M32" s="8223" t="n"/>
      <c r="N32" s="5267" t="n"/>
      <c r="O32" s="5267" t="n"/>
      <c r="P32" s="5267" t="n"/>
      <c r="Q32" s="5267" t="n"/>
      <c r="R32" s="5267" t="n"/>
      <c r="S32" s="5267" t="n"/>
      <c r="T32" s="5267" t="n"/>
      <c r="U32" s="5267" t="n"/>
      <c r="V32" s="5267" t="n"/>
      <c r="W32" s="5267" t="n"/>
      <c r="X32" s="8223" t="n"/>
      <c r="Y32" s="8223" t="n"/>
      <c r="Z32" s="5265" t="inlineStr">
        <is>
          <t xml:space="preserve">.   .   .   .   .   .   .   .   .   </t>
        </is>
      </c>
      <c r="AA32" s="8230" t="n">
        <v>8</v>
      </c>
      <c r="AB32" s="8169" t="n"/>
      <c r="AC32" s="11717" t="n"/>
      <c r="AD32" s="11717" t="n"/>
      <c r="AE32" s="11717" t="n"/>
      <c r="AF32" s="139" t="n"/>
      <c r="AG32" s="2875" t="n"/>
      <c r="AH32" s="139" t="n"/>
    </row>
    <row r="33" ht="14.25" customHeight="1" s="7635">
      <c r="A33" s="962" t="n"/>
      <c r="B33" s="8374">
        <f>"9  "</f>
        <v/>
      </c>
      <c r="C33" s="5318" t="inlineStr">
        <is>
          <t>Gross income.  Add amounts in the right column (lines 1c, 2, 3b, 4b, 5a, 5c, 6b, 6d, 7, and 8). If you use the</t>
        </is>
      </c>
      <c r="D33" s="5267" t="n"/>
      <c r="E33" s="5267" t="n"/>
      <c r="F33" s="5267" t="n"/>
      <c r="G33" s="8223" t="n"/>
      <c r="H33" s="8223" t="n"/>
      <c r="I33" s="8223" t="n"/>
      <c r="J33" s="8223" t="n"/>
      <c r="K33" s="8223" t="n"/>
      <c r="L33" s="8223" t="n"/>
      <c r="M33" s="8223" t="n"/>
      <c r="N33" s="5267" t="n"/>
      <c r="O33" s="5267" t="n"/>
      <c r="P33" s="5267" t="n"/>
      <c r="Q33" s="5267" t="n"/>
      <c r="R33" s="5267" t="n"/>
      <c r="S33" s="5267" t="n"/>
      <c r="T33" s="5267" t="n"/>
      <c r="U33" s="5267" t="n"/>
      <c r="V33" s="5267" t="n"/>
      <c r="W33" s="5267" t="n"/>
      <c r="X33" s="8223" t="n"/>
      <c r="Y33" s="8223" t="n"/>
      <c r="Z33" s="5267" t="n"/>
      <c r="AA33" s="8679" t="n">
        <v>9</v>
      </c>
      <c r="AB33" s="8661" t="n"/>
      <c r="AC33" s="7839" t="n"/>
      <c r="AD33" s="7839" t="n"/>
      <c r="AE33" s="7839" t="n"/>
      <c r="AF33" s="139" t="n"/>
      <c r="AG33" s="2875" t="n"/>
      <c r="AH33" s="139" t="n"/>
    </row>
    <row r="34" ht="14.25" customHeight="1" s="7635" thickBot="1">
      <c r="A34" s="962" t="n"/>
      <c r="B34" s="8374" t="n"/>
      <c r="C34" s="8651" t="inlineStr">
        <is>
          <t>accrual method, enter the amount from Part III, line 50.  See instructions</t>
        </is>
      </c>
      <c r="D34" s="8665" t="n"/>
      <c r="E34" s="2754" t="n"/>
      <c r="F34" s="8665" t="n"/>
      <c r="G34" s="10292" t="n"/>
      <c r="H34" s="10292" t="n"/>
      <c r="I34" s="9663" t="n"/>
      <c r="J34" s="9663" t="n"/>
      <c r="K34" s="9663" t="n"/>
      <c r="L34" s="9663" t="n"/>
      <c r="M34" s="9663" t="n"/>
      <c r="N34" s="5267" t="n"/>
      <c r="O34" s="5267" t="n"/>
      <c r="P34" s="5267" t="n"/>
      <c r="Q34" s="5267" t="n"/>
      <c r="R34" s="5220" t="n"/>
      <c r="S34" s="5220" t="n"/>
      <c r="T34" s="5220" t="n"/>
      <c r="U34" s="5220" t="n"/>
      <c r="V34" s="5220" t="n"/>
      <c r="W34" s="5267" t="n"/>
      <c r="X34" s="9663" t="n"/>
      <c r="Y34" s="9663" t="n"/>
      <c r="Z34" s="5265" t="inlineStr">
        <is>
          <t xml:space="preserve">.   .   .   .   .   .   .   .   .   .   .   .   .   .   .   .   .   .   </t>
        </is>
      </c>
      <c r="AA34" s="11747" t="n"/>
      <c r="AB34" s="8662">
        <f>IF(AG34&lt;&gt;"",ROUND(AG34,0),IF(ScheduleF_PartIII,AB95,ROUND(SUM(AB21,AB22,AB23,AB24,AB25,AB26,AB28,AB29,AB31,AB32),0)))</f>
        <v/>
      </c>
      <c r="AF34" s="139" t="n"/>
      <c r="AG34" s="134" t="n"/>
      <c r="AH34" s="139" t="n"/>
    </row>
    <row r="35" ht="14.25" customHeight="1" s="7635">
      <c r="A35" s="139" t="n"/>
      <c r="B35" s="8741" t="inlineStr">
        <is>
          <t>Part II</t>
        </is>
      </c>
      <c r="C35" s="12097" t="n"/>
      <c r="D35" s="6313" t="inlineStr">
        <is>
          <t>Farm Expenses—Cash and Accrual Method.</t>
        </is>
      </c>
      <c r="E35" s="5314" t="n"/>
      <c r="F35" s="5314" t="n"/>
      <c r="G35" s="5314" t="n"/>
      <c r="H35" s="5314" t="n"/>
      <c r="I35" s="6314" t="n"/>
      <c r="J35" s="6314" t="n"/>
      <c r="K35" s="6314" t="n"/>
      <c r="L35" s="6315" t="n"/>
      <c r="M35" s="6315" t="n"/>
      <c r="N35" s="5314" t="inlineStr">
        <is>
          <t>Do not include personal or living expenses. See instructions.</t>
        </is>
      </c>
      <c r="O35" s="6315" t="n"/>
      <c r="P35" s="5314" t="n"/>
      <c r="Q35" s="5314" t="n"/>
      <c r="R35" s="5314" t="n"/>
      <c r="S35" s="5314" t="n"/>
      <c r="T35" s="5314" t="n"/>
      <c r="U35" s="5314" t="n"/>
      <c r="V35" s="5314" t="n"/>
      <c r="W35" s="5314" t="n"/>
      <c r="X35" s="5314" t="n"/>
      <c r="Y35" s="5314" t="n"/>
      <c r="Z35" s="5314" t="n"/>
      <c r="AA35" s="5314" t="n"/>
      <c r="AB35" s="5314" t="n"/>
      <c r="AC35" s="5314" t="n"/>
      <c r="AD35" s="6316" t="n"/>
      <c r="AE35" s="6316" t="n"/>
      <c r="AF35" s="139" t="n"/>
      <c r="AG35" s="2875" t="n"/>
      <c r="AH35" s="139" t="n"/>
    </row>
    <row r="36" ht="14.25" customHeight="1" s="7635">
      <c r="A36" s="139" t="n"/>
      <c r="B36" s="2984" t="n">
        <v>10</v>
      </c>
      <c r="C36" s="8651" t="inlineStr">
        <is>
          <t>Car   and   truck  expenses   (see</t>
        </is>
      </c>
      <c r="D36" s="8647" t="n"/>
      <c r="E36" s="8647" t="n"/>
      <c r="F36" s="10292" t="n"/>
      <c r="G36" s="10292" t="n"/>
      <c r="H36" s="9663" t="n"/>
      <c r="I36" s="5339" t="n"/>
      <c r="J36" s="8655" t="n"/>
      <c r="K36" s="7839" t="n"/>
      <c r="L36" s="7839" t="n"/>
      <c r="M36" s="7839" t="n"/>
      <c r="N36" s="8752" t="n">
        <v>23</v>
      </c>
      <c r="O36" s="7839" t="n"/>
      <c r="P36" s="3602" t="inlineStr">
        <is>
          <t>Pension and profit-sharing plans</t>
        </is>
      </c>
      <c r="Q36" s="8651" t="n"/>
      <c r="R36" s="2769" t="n"/>
      <c r="S36" s="2769" t="n"/>
      <c r="T36" s="2769" t="n"/>
      <c r="U36" s="2769" t="n"/>
      <c r="V36" s="2769" t="n"/>
      <c r="W36" s="8651" t="n"/>
      <c r="X36" s="8651" t="n"/>
      <c r="Y36" s="8651" t="n"/>
      <c r="Z36" s="3016" t="inlineStr">
        <is>
          <t xml:space="preserve">.   .   .   . </t>
        </is>
      </c>
      <c r="AA36" s="6317" t="n">
        <v>23</v>
      </c>
      <c r="AB36" s="8169" t="n"/>
      <c r="AC36" s="11717" t="n"/>
      <c r="AD36" s="11717" t="n"/>
      <c r="AE36" s="11717" t="n"/>
      <c r="AF36" s="139" t="n"/>
      <c r="AG36" s="2875" t="n"/>
      <c r="AH36" s="139" t="n"/>
    </row>
    <row r="37" ht="14.25" customHeight="1" s="7635">
      <c r="A37" s="139" t="n"/>
      <c r="B37" s="2984" t="n"/>
      <c r="C37" s="8651" t="inlineStr">
        <is>
          <t>instructions). Also attach Form 4562</t>
        </is>
      </c>
      <c r="D37" s="8647" t="n"/>
      <c r="E37" s="8647" t="n"/>
      <c r="F37" s="10292" t="n"/>
      <c r="G37" s="10292" t="n"/>
      <c r="H37" s="9663" t="n"/>
      <c r="I37" s="2773">
        <f>B36</f>
        <v/>
      </c>
      <c r="J37" s="8169" t="n"/>
      <c r="K37" s="11717" t="n"/>
      <c r="L37" s="11717" t="n"/>
      <c r="M37" s="11717" t="n"/>
      <c r="N37" s="8652" t="n">
        <v>24</v>
      </c>
      <c r="P37" s="3602" t="inlineStr">
        <is>
          <t>Rent or lease (see instructions):</t>
        </is>
      </c>
      <c r="Q37" s="2770" t="n"/>
      <c r="R37" s="3003" t="n"/>
      <c r="S37" s="3003" t="n"/>
      <c r="T37" s="3003" t="n"/>
      <c r="U37" s="3003" t="n"/>
      <c r="V37" s="3003" t="n"/>
      <c r="W37" s="3624" t="n"/>
      <c r="X37" s="8647" t="n"/>
      <c r="Y37" s="8647" t="n"/>
      <c r="Z37" s="5266" t="n"/>
      <c r="AA37" s="6300" t="n"/>
      <c r="AB37" s="8661" t="n"/>
      <c r="AC37" s="7839" t="n"/>
      <c r="AD37" s="7839" t="n"/>
      <c r="AE37" s="7839" t="n"/>
      <c r="AF37" s="139" t="n"/>
      <c r="AG37" s="2875" t="n"/>
      <c r="AH37" s="139" t="n"/>
    </row>
    <row r="38" ht="14.25" customHeight="1" s="7635">
      <c r="A38" s="139" t="n"/>
      <c r="B38" s="2984" t="n">
        <v>11</v>
      </c>
      <c r="C38" s="8651" t="inlineStr">
        <is>
          <t>Chemicals</t>
        </is>
      </c>
      <c r="D38" s="8647" t="n"/>
      <c r="E38" s="8647" t="n"/>
      <c r="F38" s="10292" t="n"/>
      <c r="G38" s="10292" t="n"/>
      <c r="H38" s="3016" t="inlineStr">
        <is>
          <t xml:space="preserve">.   .   .   .   .   .   .   .   .   .   .   .   .   . </t>
        </is>
      </c>
      <c r="I38" s="2773" t="n">
        <v>11</v>
      </c>
      <c r="J38" s="8169" t="n"/>
      <c r="K38" s="11717" t="n"/>
      <c r="L38" s="11717" t="n"/>
      <c r="M38" s="11717" t="n"/>
      <c r="N38" s="8652" t="inlineStr">
        <is>
          <t>a</t>
        </is>
      </c>
      <c r="P38" s="3602" t="inlineStr">
        <is>
          <t>Vehicles, machinery, equipment</t>
        </is>
      </c>
      <c r="Q38" s="3003" t="n"/>
      <c r="R38" s="3003" t="n"/>
      <c r="S38" s="3003" t="n"/>
      <c r="T38" s="3003" t="n"/>
      <c r="U38" s="3003" t="n"/>
      <c r="V38" s="3003" t="n"/>
      <c r="W38" s="3624" t="n"/>
      <c r="X38" s="3065" t="n"/>
      <c r="Y38" s="3065" t="n"/>
      <c r="Z38" s="3016" t="inlineStr">
        <is>
          <t xml:space="preserve">.   .   .   . </t>
        </is>
      </c>
      <c r="AA38" s="6318" t="inlineStr">
        <is>
          <t>24a</t>
        </is>
      </c>
      <c r="AB38" s="8169" t="n"/>
      <c r="AC38" s="11717" t="n"/>
      <c r="AD38" s="11717" t="n"/>
      <c r="AE38" s="11717" t="n"/>
      <c r="AF38" s="139" t="n"/>
      <c r="AG38" s="2875" t="n"/>
      <c r="AH38" s="139" t="n"/>
    </row>
    <row r="39" ht="14.25" customHeight="1" s="7635">
      <c r="A39" s="139" t="n"/>
      <c r="B39" s="2984" t="n">
        <v>12</v>
      </c>
      <c r="C39" s="8651" t="inlineStr">
        <is>
          <t>Conservation expenses (see instructions)</t>
        </is>
      </c>
      <c r="D39" s="8647" t="n"/>
      <c r="E39" s="8647" t="n"/>
      <c r="F39" s="10292" t="n"/>
      <c r="G39" s="10292" t="n"/>
      <c r="H39" s="9663" t="n"/>
      <c r="I39" s="5276">
        <f>B39</f>
        <v/>
      </c>
      <c r="J39" s="8169" t="n"/>
      <c r="K39" s="11717" t="n"/>
      <c r="L39" s="11717" t="n"/>
      <c r="M39" s="11717" t="n"/>
      <c r="N39" s="8652" t="inlineStr">
        <is>
          <t>b</t>
        </is>
      </c>
      <c r="P39" s="3602" t="inlineStr">
        <is>
          <t>Other (land, animals, etc.)</t>
        </is>
      </c>
      <c r="Q39" s="2770" t="n"/>
      <c r="R39" s="3003" t="n"/>
      <c r="S39" s="3003" t="n"/>
      <c r="T39" s="3003" t="n"/>
      <c r="U39" s="3003" t="n"/>
      <c r="V39" s="3003" t="n"/>
      <c r="W39" s="3624" t="n"/>
      <c r="X39" s="8647" t="n"/>
      <c r="Y39" s="8647" t="n"/>
      <c r="Z39" s="3016" t="inlineStr">
        <is>
          <t xml:space="preserve">.   .   .   .   .   .   .   . </t>
        </is>
      </c>
      <c r="AA39" s="6318" t="inlineStr">
        <is>
          <t>24b</t>
        </is>
      </c>
      <c r="AB39" s="8169" t="n"/>
      <c r="AC39" s="11717" t="n"/>
      <c r="AD39" s="11717" t="n"/>
      <c r="AE39" s="11717" t="n"/>
      <c r="AF39" s="139" t="n"/>
      <c r="AG39" s="2875" t="n"/>
      <c r="AH39" s="139" t="n"/>
    </row>
    <row r="40" ht="14.25" customHeight="1" s="7635">
      <c r="A40" s="139" t="n"/>
      <c r="B40" s="2984" t="n">
        <v>13</v>
      </c>
      <c r="C40" s="8651" t="inlineStr">
        <is>
          <t>Custom hire (machine work)</t>
        </is>
      </c>
      <c r="D40" s="8647" t="n"/>
      <c r="E40" s="8647" t="n"/>
      <c r="F40" s="10292" t="n"/>
      <c r="G40" s="10292" t="n"/>
      <c r="H40" s="3016" t="inlineStr">
        <is>
          <t xml:space="preserve"> .   .   .   .   .   . </t>
        </is>
      </c>
      <c r="I40" s="2773">
        <f>B40</f>
        <v/>
      </c>
      <c r="J40" s="8169" t="n"/>
      <c r="K40" s="11717" t="n"/>
      <c r="L40" s="11717" t="n"/>
      <c r="M40" s="11717" t="n"/>
      <c r="N40" s="8652" t="n">
        <v>25</v>
      </c>
      <c r="P40" s="3602" t="inlineStr">
        <is>
          <t>Repairs and maintenance</t>
        </is>
      </c>
      <c r="Q40" s="2770" t="n"/>
      <c r="R40" s="2769" t="n"/>
      <c r="S40" s="2769" t="n"/>
      <c r="T40" s="2769" t="n"/>
      <c r="U40" s="2769" t="n"/>
      <c r="V40" s="2769" t="n"/>
      <c r="W40" s="5266" t="n"/>
      <c r="X40" s="8647" t="n"/>
      <c r="Y40" s="8647" t="n"/>
      <c r="Z40" s="3016" t="inlineStr">
        <is>
          <t xml:space="preserve">.   .   .   .   .   .   .   . </t>
        </is>
      </c>
      <c r="AA40" s="8230" t="n">
        <v>25</v>
      </c>
      <c r="AB40" s="8169" t="n"/>
      <c r="AC40" s="11717" t="n"/>
      <c r="AD40" s="11717" t="n"/>
      <c r="AE40" s="11717" t="n"/>
      <c r="AF40" s="139" t="n"/>
      <c r="AG40" s="2875" t="n"/>
      <c r="AH40" s="139" t="n"/>
    </row>
    <row r="41" ht="14.25" customHeight="1" s="7635">
      <c r="A41" s="139" t="n"/>
      <c r="B41" s="2984" t="n">
        <v>14</v>
      </c>
      <c r="C41" s="8651" t="inlineStr">
        <is>
          <t>Depreciation and section 179</t>
        </is>
      </c>
      <c r="D41" s="8647" t="n"/>
      <c r="E41" s="8647" t="n"/>
      <c r="F41" s="10292" t="n"/>
      <c r="G41" s="10292" t="n"/>
      <c r="H41" s="9663" t="n"/>
      <c r="I41" s="8679" t="n"/>
      <c r="J41" s="5339" t="n"/>
      <c r="K41" s="7839" t="n"/>
      <c r="L41" s="7839" t="n"/>
      <c r="M41" s="10091" t="n"/>
      <c r="N41" s="8652" t="n">
        <v>26</v>
      </c>
      <c r="P41" s="3602" t="inlineStr">
        <is>
          <t>Seeds and plants</t>
        </is>
      </c>
      <c r="Q41" s="2770" t="n"/>
      <c r="R41" s="2769" t="n"/>
      <c r="S41" s="2769" t="n"/>
      <c r="T41" s="2769" t="n"/>
      <c r="U41" s="2769" t="n"/>
      <c r="V41" s="2769" t="n"/>
      <c r="W41" s="2769" t="n"/>
      <c r="X41" s="2769" t="n"/>
      <c r="Y41" s="2769" t="n"/>
      <c r="Z41" s="3016" t="inlineStr">
        <is>
          <t xml:space="preserve">.   .   .   .   .   .   .   .   .   .   .   . </t>
        </is>
      </c>
      <c r="AA41" s="8230" t="n">
        <v>26</v>
      </c>
      <c r="AB41" s="8169" t="n"/>
      <c r="AC41" s="11717" t="n"/>
      <c r="AD41" s="11717" t="n"/>
      <c r="AE41" s="11717" t="n"/>
      <c r="AF41" s="139" t="n"/>
      <c r="AG41" s="2875" t="n"/>
      <c r="AH41" s="139" t="n"/>
    </row>
    <row r="42" ht="14.25" customHeight="1" s="7635">
      <c r="A42" s="139" t="n"/>
      <c r="B42" s="2984" t="n"/>
      <c r="C42" s="8651" t="inlineStr">
        <is>
          <t>expense (see instructions)</t>
        </is>
      </c>
      <c r="D42" s="8647" t="n"/>
      <c r="E42" s="8647" t="n"/>
      <c r="F42" s="10292" t="n"/>
      <c r="G42" s="10292" t="n"/>
      <c r="H42" s="3016" t="inlineStr">
        <is>
          <t xml:space="preserve">   .   .   .   .   .   .   .   .</t>
        </is>
      </c>
      <c r="I42" s="2773">
        <f>B41</f>
        <v/>
      </c>
      <c r="J42" s="8169" t="n"/>
      <c r="K42" s="11717" t="n"/>
      <c r="L42" s="11717" t="n"/>
      <c r="M42" s="11717" t="n"/>
      <c r="N42" s="8652" t="n">
        <v>27</v>
      </c>
      <c r="P42" s="3602" t="inlineStr">
        <is>
          <t>Storage and warehousing</t>
        </is>
      </c>
      <c r="Q42" s="2770" t="n"/>
      <c r="R42" s="2769" t="n"/>
      <c r="S42" s="2769" t="n"/>
      <c r="T42" s="2769" t="n"/>
      <c r="U42" s="2769" t="n"/>
      <c r="V42" s="2769" t="n"/>
      <c r="W42" s="2769" t="n"/>
      <c r="X42" s="2769" t="n"/>
      <c r="Y42" s="2769" t="n"/>
      <c r="Z42" s="3016" t="inlineStr">
        <is>
          <t xml:space="preserve">.   .   .   .   .   .   .   . </t>
        </is>
      </c>
      <c r="AA42" s="8230" t="n">
        <v>27</v>
      </c>
      <c r="AB42" s="8169" t="n"/>
      <c r="AC42" s="11717" t="n"/>
      <c r="AD42" s="11717" t="n"/>
      <c r="AE42" s="11717" t="n"/>
      <c r="AF42" s="139" t="n"/>
      <c r="AG42" s="2875" t="n"/>
      <c r="AH42" s="139" t="n"/>
    </row>
    <row r="43" ht="14.25" customHeight="1" s="7635">
      <c r="A43" s="139" t="n"/>
      <c r="B43" s="2984" t="n">
        <v>15</v>
      </c>
      <c r="C43" s="8651" t="inlineStr">
        <is>
          <t>Employee benefit programs other than</t>
        </is>
      </c>
      <c r="D43" s="8647" t="n"/>
      <c r="E43" s="8647" t="n"/>
      <c r="F43" s="10292" t="n"/>
      <c r="G43" s="10292" t="n"/>
      <c r="H43" s="9663" t="n"/>
      <c r="I43" s="8679" t="n"/>
      <c r="J43" s="5339" t="n"/>
      <c r="K43" s="7839" t="n"/>
      <c r="L43" s="7839" t="n"/>
      <c r="M43" s="10091" t="n"/>
      <c r="N43" s="8652" t="n">
        <v>28</v>
      </c>
      <c r="P43" s="3602" t="inlineStr">
        <is>
          <t>Supplies</t>
        </is>
      </c>
      <c r="Q43" s="2770" t="n"/>
      <c r="R43" s="2769" t="n"/>
      <c r="S43" s="2769" t="n"/>
      <c r="T43" s="2769" t="n"/>
      <c r="U43" s="2769" t="n"/>
      <c r="V43" s="2769" t="n"/>
      <c r="W43" s="2769" t="n"/>
      <c r="X43" s="2769" t="n"/>
      <c r="Y43" s="2769" t="n"/>
      <c r="Z43" s="3016" t="inlineStr">
        <is>
          <t xml:space="preserve">.   .   .   .   .   .   .   .   .   .   .   .   .   .   .   .   .   . </t>
        </is>
      </c>
      <c r="AA43" s="8230" t="n">
        <v>28</v>
      </c>
      <c r="AB43" s="8169" t="n"/>
      <c r="AC43" s="11717" t="n"/>
      <c r="AD43" s="11717" t="n"/>
      <c r="AE43" s="11717" t="n"/>
      <c r="AF43" s="139" t="n"/>
      <c r="AG43" s="2875" t="n"/>
      <c r="AH43" s="139" t="n"/>
    </row>
    <row r="44" ht="14.25" customHeight="1" s="7635">
      <c r="A44" s="139" t="n"/>
      <c r="B44" s="2984" t="n"/>
      <c r="C44" s="8651" t="inlineStr">
        <is>
          <t>on line 23</t>
        </is>
      </c>
      <c r="D44" s="8647" t="n"/>
      <c r="E44" s="8647" t="n"/>
      <c r="F44" s="10292" t="n"/>
      <c r="G44" s="10292" t="n"/>
      <c r="H44" s="3016" t="inlineStr">
        <is>
          <t xml:space="preserve">.   .   .   .   .   .   .   .   .   .   .   .   .   . </t>
        </is>
      </c>
      <c r="I44" s="2773">
        <f>B43</f>
        <v/>
      </c>
      <c r="J44" s="8169" t="n"/>
      <c r="K44" s="11717" t="n"/>
      <c r="L44" s="11717" t="n"/>
      <c r="M44" s="11717" t="n"/>
      <c r="N44" s="8652" t="n">
        <v>29</v>
      </c>
      <c r="P44" s="3602" t="inlineStr">
        <is>
          <t>Taxes</t>
        </is>
      </c>
      <c r="Q44" s="2770" t="n"/>
      <c r="R44" s="2769" t="n"/>
      <c r="S44" s="2769" t="n"/>
      <c r="T44" s="2769" t="n"/>
      <c r="U44" s="2769" t="n"/>
      <c r="V44" s="2769" t="n"/>
      <c r="W44" s="2769" t="n"/>
      <c r="X44" s="2769" t="n"/>
      <c r="Y44" s="2769" t="n"/>
      <c r="Z44" s="3016" t="inlineStr">
        <is>
          <t xml:space="preserve">.   .   .   .   .   .   .   .   .   .   .   .   .   .   .   .   .   . </t>
        </is>
      </c>
      <c r="AA44" s="8230" t="n">
        <v>29</v>
      </c>
      <c r="AB44" s="8169" t="n"/>
      <c r="AC44" s="11717" t="n"/>
      <c r="AD44" s="11717" t="n"/>
      <c r="AE44" s="11717" t="n"/>
      <c r="AF44" s="139" t="n"/>
      <c r="AG44" s="2875" t="n"/>
      <c r="AH44" s="139" t="n"/>
    </row>
    <row r="45" ht="14.25" customHeight="1" s="7635">
      <c r="A45" s="139" t="n"/>
      <c r="B45" s="2984" t="n">
        <v>16</v>
      </c>
      <c r="C45" s="8651" t="inlineStr">
        <is>
          <t>Feed</t>
        </is>
      </c>
      <c r="D45" s="8647" t="n"/>
      <c r="E45" s="8647" t="n"/>
      <c r="F45" s="10292" t="n"/>
      <c r="G45" s="10292" t="n"/>
      <c r="H45" s="3016" t="inlineStr">
        <is>
          <t xml:space="preserve">   .   .   .   .   .   .   .   .   .   .   .   .   .   .   .   .   .   . </t>
        </is>
      </c>
      <c r="I45" s="2773">
        <f>B45</f>
        <v/>
      </c>
      <c r="J45" s="8169" t="n"/>
      <c r="K45" s="11717" t="n"/>
      <c r="L45" s="11717" t="n"/>
      <c r="M45" s="11717" t="n"/>
      <c r="N45" s="8652" t="n">
        <v>30</v>
      </c>
      <c r="P45" s="3602" t="inlineStr">
        <is>
          <t>Utilities</t>
        </is>
      </c>
      <c r="Q45" s="2770" t="n"/>
      <c r="R45" s="2769" t="n"/>
      <c r="S45" s="2769" t="n"/>
      <c r="T45" s="2769" t="n"/>
      <c r="U45" s="2769" t="n"/>
      <c r="V45" s="2769" t="n"/>
      <c r="W45" s="2769" t="n"/>
      <c r="X45" s="2769" t="n"/>
      <c r="Y45" s="2769" t="n"/>
      <c r="Z45" s="3016" t="inlineStr">
        <is>
          <t xml:space="preserve">.   .   .   .   .   .   .   .   .   .   .   .   .   .   .   .   .   . </t>
        </is>
      </c>
      <c r="AA45" s="8230" t="n">
        <v>30</v>
      </c>
      <c r="AB45" s="8169" t="n"/>
      <c r="AC45" s="11717" t="n"/>
      <c r="AD45" s="11717" t="n"/>
      <c r="AE45" s="11717" t="n"/>
      <c r="AF45" s="139" t="n"/>
      <c r="AG45" s="2875" t="n"/>
      <c r="AH45" s="139" t="n"/>
    </row>
    <row r="46" ht="14.25" customHeight="1" s="7635">
      <c r="A46" s="139" t="n"/>
      <c r="B46" s="2984" t="n">
        <v>17</v>
      </c>
      <c r="C46" s="8651" t="inlineStr">
        <is>
          <t>Fertilizers and lime</t>
        </is>
      </c>
      <c r="D46" s="8647" t="n"/>
      <c r="E46" s="8647" t="n"/>
      <c r="F46" s="10292" t="n"/>
      <c r="G46" s="10292" t="n"/>
      <c r="H46" s="3016" t="inlineStr">
        <is>
          <t xml:space="preserve"> .   .   .   .   .   .   .   .   .   .   . </t>
        </is>
      </c>
      <c r="I46" s="2773">
        <f>B46</f>
        <v/>
      </c>
      <c r="J46" s="8169" t="n"/>
      <c r="K46" s="11717" t="n"/>
      <c r="L46" s="11717" t="n"/>
      <c r="M46" s="11717" t="n"/>
      <c r="N46" s="8652" t="n">
        <v>31</v>
      </c>
      <c r="P46" s="3602" t="inlineStr">
        <is>
          <t>Veterinary, breeding, and medicine</t>
        </is>
      </c>
      <c r="Q46" s="2770" t="n"/>
      <c r="R46" s="2769" t="n"/>
      <c r="S46" s="2769" t="n"/>
      <c r="T46" s="2769" t="n"/>
      <c r="U46" s="2769" t="n"/>
      <c r="V46" s="2769" t="n"/>
      <c r="W46" s="2769" t="n"/>
      <c r="X46" s="2769" t="n"/>
      <c r="Y46" s="2769" t="n"/>
      <c r="Z46" s="2769" t="n"/>
      <c r="AA46" s="8230" t="n">
        <v>31</v>
      </c>
      <c r="AB46" s="8169" t="n"/>
      <c r="AC46" s="11717" t="n"/>
      <c r="AD46" s="11717" t="n"/>
      <c r="AE46" s="11717" t="n"/>
      <c r="AF46" s="139" t="n"/>
      <c r="AG46" s="2875" t="n"/>
      <c r="AH46" s="139" t="n"/>
    </row>
    <row r="47" ht="14.25" customHeight="1" s="7635">
      <c r="A47" s="139" t="n"/>
      <c r="B47" s="2984" t="n">
        <v>18</v>
      </c>
      <c r="C47" s="8651" t="inlineStr">
        <is>
          <t>Freight and trucking</t>
        </is>
      </c>
      <c r="D47" s="8647" t="n"/>
      <c r="E47" s="8647" t="n"/>
      <c r="F47" s="10292" t="n"/>
      <c r="G47" s="10292" t="n"/>
      <c r="H47" s="3016" t="inlineStr">
        <is>
          <t xml:space="preserve">.   .   .   .   .   .   .   .   .   . </t>
        </is>
      </c>
      <c r="I47" s="2773">
        <f>B47</f>
        <v/>
      </c>
      <c r="J47" s="8169" t="n"/>
      <c r="K47" s="11717" t="n"/>
      <c r="L47" s="11717" t="n"/>
      <c r="M47" s="11717" t="n"/>
      <c r="N47" s="8652" t="n">
        <v>32</v>
      </c>
      <c r="P47" s="3602" t="inlineStr">
        <is>
          <t>Other expenses (specify):</t>
        </is>
      </c>
      <c r="Q47" s="2770" t="n"/>
      <c r="R47" s="2769" t="n"/>
      <c r="S47" s="2769" t="n"/>
      <c r="T47" s="2769" t="n"/>
      <c r="U47" s="2769" t="n"/>
      <c r="V47" s="11254" t="n"/>
      <c r="W47" s="11602" t="n"/>
      <c r="X47" s="11602" t="n"/>
      <c r="Y47" s="11602" t="n"/>
      <c r="Z47" s="11602" t="n"/>
      <c r="AA47" s="6300" t="n"/>
      <c r="AB47" s="8661" t="n"/>
      <c r="AC47" s="7839" t="n"/>
      <c r="AD47" s="7839" t="n"/>
      <c r="AE47" s="7839" t="n"/>
      <c r="AF47" s="139" t="n"/>
      <c r="AG47" s="2875" t="n"/>
      <c r="AH47" s="139" t="n"/>
    </row>
    <row r="48" ht="14.25" customHeight="1" s="7635">
      <c r="A48" s="139" t="n"/>
      <c r="B48" s="2984" t="n">
        <v>19</v>
      </c>
      <c r="C48" s="8651" t="inlineStr">
        <is>
          <t>Gasoline, fuel, and oil</t>
        </is>
      </c>
      <c r="D48" s="8647" t="n"/>
      <c r="E48" s="8647" t="n"/>
      <c r="F48" s="10292" t="n"/>
      <c r="G48" s="10292" t="n"/>
      <c r="H48" s="3016" t="inlineStr">
        <is>
          <t>.   .   .   .   .   .   .   .   .   .</t>
        </is>
      </c>
      <c r="I48" s="2773">
        <f>B48</f>
        <v/>
      </c>
      <c r="J48" s="8169" t="n"/>
      <c r="K48" s="11717" t="n"/>
      <c r="L48" s="11717" t="n"/>
      <c r="M48" s="11717" t="n"/>
      <c r="N48" s="8652" t="inlineStr">
        <is>
          <t>a</t>
        </is>
      </c>
      <c r="P48" s="12171" t="n"/>
      <c r="Q48" s="11730" t="n"/>
      <c r="R48" s="11730" t="n"/>
      <c r="S48" s="11730" t="n"/>
      <c r="T48" s="11730" t="n"/>
      <c r="U48" s="11730" t="n"/>
      <c r="V48" s="11730" t="n"/>
      <c r="W48" s="11730" t="n"/>
      <c r="X48" s="11730" t="n"/>
      <c r="Y48" s="11730" t="n"/>
      <c r="Z48" s="12064" t="n"/>
      <c r="AA48" s="8230" t="inlineStr">
        <is>
          <t>32a</t>
        </is>
      </c>
      <c r="AB48" s="8169" t="n"/>
      <c r="AC48" s="11717" t="n"/>
      <c r="AD48" s="11717" t="n"/>
      <c r="AE48" s="11717" t="n"/>
      <c r="AF48" s="139" t="n"/>
      <c r="AG48" s="2875" t="n"/>
      <c r="AH48" s="139" t="n"/>
    </row>
    <row r="49" ht="14.25" customHeight="1" s="7635">
      <c r="A49" s="139" t="n"/>
      <c r="B49" s="2984" t="n">
        <v>20</v>
      </c>
      <c r="C49" s="8651" t="inlineStr">
        <is>
          <t>Insurance (other than health)</t>
        </is>
      </c>
      <c r="D49" s="8647" t="n"/>
      <c r="E49" s="8647" t="n"/>
      <c r="F49" s="10292" t="n"/>
      <c r="G49" s="10292" t="n"/>
      <c r="H49" s="3016" t="inlineStr">
        <is>
          <t>.   .   .   .   .   .   .</t>
        </is>
      </c>
      <c r="I49" s="2773">
        <f>B49</f>
        <v/>
      </c>
      <c r="J49" s="8169" t="n"/>
      <c r="K49" s="11717" t="n"/>
      <c r="L49" s="11717" t="n"/>
      <c r="M49" s="11717" t="n"/>
      <c r="N49" s="8652" t="inlineStr">
        <is>
          <t>b</t>
        </is>
      </c>
      <c r="P49" s="12171" t="n"/>
      <c r="Q49" s="11730" t="n"/>
      <c r="R49" s="11730" t="n"/>
      <c r="S49" s="11730" t="n"/>
      <c r="T49" s="11730" t="n"/>
      <c r="U49" s="11730" t="n"/>
      <c r="V49" s="11730" t="n"/>
      <c r="W49" s="11730" t="n"/>
      <c r="X49" s="11730" t="n"/>
      <c r="Y49" s="11730" t="n"/>
      <c r="Z49" s="12064" t="n"/>
      <c r="AA49" s="8230" t="inlineStr">
        <is>
          <t>32b</t>
        </is>
      </c>
      <c r="AB49" s="8169" t="n"/>
      <c r="AC49" s="11717" t="n"/>
      <c r="AD49" s="11717" t="n"/>
      <c r="AE49" s="11717" t="n"/>
      <c r="AF49" s="139" t="n"/>
      <c r="AG49" s="2875" t="n"/>
      <c r="AH49" s="139" t="n"/>
    </row>
    <row r="50" ht="14.25" customHeight="1" s="7635">
      <c r="A50" s="139" t="n"/>
      <c r="B50" s="2984" t="n">
        <v>21</v>
      </c>
      <c r="C50" s="8651" t="inlineStr">
        <is>
          <t>Interest:</t>
        </is>
      </c>
      <c r="D50" s="8647" t="n"/>
      <c r="E50" s="8647" t="n"/>
      <c r="F50" s="10292" t="n"/>
      <c r="G50" s="10292" t="n"/>
      <c r="H50" s="9663" t="n"/>
      <c r="I50" s="6300" t="n"/>
      <c r="J50" s="5339" t="n"/>
      <c r="K50" s="7839" t="n"/>
      <c r="L50" s="7839" t="n"/>
      <c r="M50" s="10091" t="n"/>
      <c r="N50" s="8652" t="inlineStr">
        <is>
          <t>c</t>
        </is>
      </c>
      <c r="P50" s="12171" t="n"/>
      <c r="Q50" s="11730" t="n"/>
      <c r="R50" s="11730" t="n"/>
      <c r="S50" s="11730" t="n"/>
      <c r="T50" s="11730" t="n"/>
      <c r="U50" s="11730" t="n"/>
      <c r="V50" s="11730" t="n"/>
      <c r="W50" s="11730" t="n"/>
      <c r="X50" s="11730" t="n"/>
      <c r="Y50" s="11730" t="n"/>
      <c r="Z50" s="12064" t="n"/>
      <c r="AA50" s="8230" t="inlineStr">
        <is>
          <t>32c</t>
        </is>
      </c>
      <c r="AB50" s="8169" t="n"/>
      <c r="AC50" s="11717" t="n"/>
      <c r="AD50" s="11717" t="n"/>
      <c r="AE50" s="11717" t="n"/>
      <c r="AF50" s="139" t="n"/>
      <c r="AG50" s="2875" t="n"/>
      <c r="AH50" s="139" t="n"/>
    </row>
    <row r="51" ht="14.25" customHeight="1" s="7635">
      <c r="A51" s="139" t="n"/>
      <c r="B51" s="8374" t="inlineStr">
        <is>
          <t>a</t>
        </is>
      </c>
      <c r="C51" s="8651" t="inlineStr">
        <is>
          <t>Mortgage (paid to banks, etc.)</t>
        </is>
      </c>
      <c r="D51" s="8647" t="n"/>
      <c r="E51" s="8647" t="n"/>
      <c r="F51" s="10292" t="n"/>
      <c r="G51" s="10292" t="n"/>
      <c r="H51" s="3016" t="inlineStr">
        <is>
          <t>.   .   .   .   .   .   .</t>
        </is>
      </c>
      <c r="I51" s="3039" t="inlineStr">
        <is>
          <t>21a</t>
        </is>
      </c>
      <c r="J51" s="8169" t="n"/>
      <c r="K51" s="11717" t="n"/>
      <c r="L51" s="11717" t="n"/>
      <c r="M51" s="11717" t="n"/>
      <c r="N51" s="8652" t="inlineStr">
        <is>
          <t>d</t>
        </is>
      </c>
      <c r="P51" s="12171" t="n"/>
      <c r="Q51" s="11730" t="n"/>
      <c r="R51" s="11730" t="n"/>
      <c r="S51" s="11730" t="n"/>
      <c r="T51" s="11730" t="n"/>
      <c r="U51" s="11730" t="n"/>
      <c r="V51" s="11730" t="n"/>
      <c r="W51" s="11730" t="n"/>
      <c r="X51" s="11730" t="n"/>
      <c r="Y51" s="11730" t="n"/>
      <c r="Z51" s="12064" t="n"/>
      <c r="AA51" s="8230" t="inlineStr">
        <is>
          <t>32d</t>
        </is>
      </c>
      <c r="AB51" s="8169" t="n"/>
      <c r="AC51" s="11717" t="n"/>
      <c r="AD51" s="11717" t="n"/>
      <c r="AE51" s="11717" t="n"/>
      <c r="AF51" s="139" t="n"/>
      <c r="AG51" s="2875" t="n"/>
      <c r="AH51" s="139" t="n"/>
    </row>
    <row r="52" ht="14.25" customHeight="1" s="7635">
      <c r="A52" s="139" t="n"/>
      <c r="B52" s="8374" t="inlineStr">
        <is>
          <t>b</t>
        </is>
      </c>
      <c r="C52" s="8651" t="inlineStr">
        <is>
          <t>Other</t>
        </is>
      </c>
      <c r="D52" s="8647" t="n"/>
      <c r="E52" s="8647" t="n"/>
      <c r="F52" s="10292" t="n"/>
      <c r="G52" s="10292" t="n"/>
      <c r="H52" s="3016" t="inlineStr">
        <is>
          <t xml:space="preserve"> .   .   .   .   .   .   .   .   .   .   .   .   .   .   .   .   .   .   .   .   .   .</t>
        </is>
      </c>
      <c r="I52" s="3039" t="inlineStr">
        <is>
          <t>21b</t>
        </is>
      </c>
      <c r="J52" s="8169" t="n"/>
      <c r="K52" s="11717" t="n"/>
      <c r="L52" s="11717" t="n"/>
      <c r="M52" s="11717" t="n"/>
      <c r="N52" s="8652" t="inlineStr">
        <is>
          <t>e</t>
        </is>
      </c>
      <c r="P52" s="12171" t="n"/>
      <c r="Q52" s="11730" t="n"/>
      <c r="R52" s="11730" t="n"/>
      <c r="S52" s="11730" t="n"/>
      <c r="T52" s="11730" t="n"/>
      <c r="U52" s="11730" t="n"/>
      <c r="V52" s="11730" t="n"/>
      <c r="W52" s="11730" t="n"/>
      <c r="X52" s="11730" t="n"/>
      <c r="Y52" s="11730" t="n"/>
      <c r="Z52" s="12064" t="n"/>
      <c r="AA52" s="8230" t="inlineStr">
        <is>
          <t>32e</t>
        </is>
      </c>
      <c r="AB52" s="8169" t="n"/>
      <c r="AC52" s="11717" t="n"/>
      <c r="AD52" s="11717" t="n"/>
      <c r="AE52" s="11717" t="n"/>
      <c r="AF52" s="139" t="n"/>
      <c r="AG52" s="2875" t="n"/>
      <c r="AH52" s="139" t="n"/>
    </row>
    <row r="53" ht="14.25" customHeight="1" s="7635" thickBot="1">
      <c r="A53" s="139" t="n"/>
      <c r="B53" s="3667" t="n">
        <v>22</v>
      </c>
      <c r="C53" s="5222" t="inlineStr">
        <is>
          <t>Labor hired (less employment credits)</t>
        </is>
      </c>
      <c r="D53" s="5205" t="n"/>
      <c r="E53" s="5205" t="n"/>
      <c r="F53" s="5279" t="n"/>
      <c r="G53" s="5279" t="n"/>
      <c r="H53" s="5280" t="n"/>
      <c r="I53" s="3742" t="n">
        <v>22</v>
      </c>
      <c r="J53" s="8671" t="n"/>
      <c r="K53" s="11809" t="n"/>
      <c r="L53" s="11809" t="n"/>
      <c r="M53" s="11809" t="n"/>
      <c r="N53" s="8700" t="inlineStr">
        <is>
          <t>f</t>
        </is>
      </c>
      <c r="O53" s="8848" t="n"/>
      <c r="P53" s="12172" t="n"/>
      <c r="Q53" s="12173" t="n"/>
      <c r="R53" s="12173" t="n"/>
      <c r="S53" s="12173" t="n"/>
      <c r="T53" s="12173" t="n"/>
      <c r="U53" s="12173" t="n"/>
      <c r="V53" s="12173" t="n"/>
      <c r="W53" s="12173" t="n"/>
      <c r="X53" s="12173" t="n"/>
      <c r="Y53" s="12173" t="n"/>
      <c r="Z53" s="12174" t="n"/>
      <c r="AA53" s="4295" t="inlineStr">
        <is>
          <t>32f</t>
        </is>
      </c>
      <c r="AB53" s="8671" t="n"/>
      <c r="AC53" s="11809" t="n"/>
      <c r="AD53" s="11809" t="n"/>
      <c r="AE53" s="11809" t="n"/>
      <c r="AF53" s="139" t="n"/>
      <c r="AG53" s="2875" t="n"/>
      <c r="AH53" s="139" t="n"/>
    </row>
    <row r="54" ht="15" customHeight="1" s="7635">
      <c r="A54" s="139" t="n"/>
      <c r="B54" s="6319" t="n">
        <v>33</v>
      </c>
      <c r="C54" s="6320" t="inlineStr">
        <is>
          <t>Total expenses.  Add lines 10 through 32f. If line 32f is negative, see instructions</t>
        </is>
      </c>
      <c r="D54" s="6321" t="n"/>
      <c r="E54" s="6321" t="n"/>
      <c r="F54" s="6322" t="n"/>
      <c r="G54" s="6323" t="n"/>
      <c r="H54" s="6323" t="n"/>
      <c r="I54" s="6323" t="n"/>
      <c r="J54" s="6323" t="n"/>
      <c r="K54" s="6323" t="n"/>
      <c r="L54" s="6323" t="n"/>
      <c r="M54" s="6323" t="n"/>
      <c r="N54" s="6322" t="n"/>
      <c r="O54" s="6322" t="n"/>
      <c r="P54" s="6322" t="n"/>
      <c r="Q54" s="6322" t="n"/>
      <c r="R54" s="6322" t="n"/>
      <c r="S54" s="6322" t="n"/>
      <c r="T54" s="6322" t="n"/>
      <c r="U54" s="6322" t="n"/>
      <c r="V54" s="6322" t="n"/>
      <c r="W54" s="6322" t="n"/>
      <c r="X54" s="6323" t="n"/>
      <c r="Y54" s="6323" t="n"/>
      <c r="Z54" s="6324" t="inlineStr">
        <is>
          <t xml:space="preserve">.   .   .   .   .   .   .   .   .   .   .   .   .   .   .   .   .   </t>
        </is>
      </c>
      <c r="AA54" s="6325" t="n">
        <v>33</v>
      </c>
      <c r="AB54" s="8674">
        <f>IF(AG54&lt;&gt;"",ROUND(AG54,0),ROUND(SUM(J37:M53,AB36:AE53),0))</f>
        <v/>
      </c>
      <c r="AC54" s="12097" t="n"/>
      <c r="AD54" s="12097" t="n"/>
      <c r="AE54" s="12097" t="n"/>
      <c r="AF54" s="139" t="n"/>
      <c r="AG54" s="134" t="n"/>
      <c r="AH54" s="139" t="n"/>
    </row>
    <row r="55" ht="15" customHeight="1" s="7635">
      <c r="A55" s="139" t="n"/>
      <c r="B55" s="2984" t="n">
        <v>34</v>
      </c>
      <c r="C55" s="5318" t="inlineStr">
        <is>
          <t>Net farm profit or (loss). Subtract line 33 from line 9</t>
        </is>
      </c>
      <c r="D55" s="5267" t="n"/>
      <c r="E55" s="5267" t="n"/>
      <c r="F55" s="5267" t="n"/>
      <c r="G55" s="8223" t="n"/>
      <c r="H55" s="8223" t="n"/>
      <c r="I55" s="8223" t="n"/>
      <c r="J55" s="8223" t="n"/>
      <c r="K55" s="8223" t="n"/>
      <c r="L55" s="8223" t="n"/>
      <c r="M55" s="8223" t="n"/>
      <c r="N55" s="5267" t="n"/>
      <c r="O55" s="5267" t="n"/>
      <c r="P55" s="5267" t="n"/>
      <c r="Q55" s="5267" t="n"/>
      <c r="R55" s="5267" t="n"/>
      <c r="S55" s="5267" t="n"/>
      <c r="T55" s="5267" t="n"/>
      <c r="U55" s="5267" t="n"/>
      <c r="V55" s="5267" t="n"/>
      <c r="W55" s="5267" t="n"/>
      <c r="X55" s="8223" t="n"/>
      <c r="Y55" s="8223" t="n"/>
      <c r="Z55" s="5265" t="inlineStr">
        <is>
          <t xml:space="preserve">.   .   .   .   .   .   .   .   .   .   .   .   .   .   .   .   .   .   .   .   .   .   .   .   .   .   .   .   .   </t>
        </is>
      </c>
      <c r="AA55" s="6317" t="n">
        <v>34</v>
      </c>
      <c r="AB55" s="8203">
        <f>IF(AG55&lt;&gt;"",ROUND(AG55,0),SUM(AB34,-AB54))</f>
        <v/>
      </c>
      <c r="AC55" s="7637" t="n"/>
      <c r="AD55" s="7637" t="n"/>
      <c r="AE55" s="7637" t="n"/>
      <c r="AF55" s="139" t="n"/>
      <c r="AG55" s="134" t="n"/>
      <c r="AH55" s="139" t="n"/>
    </row>
    <row r="56" ht="14.25" customHeight="1" s="7635">
      <c r="A56" s="139" t="n"/>
      <c r="B56" s="2984" t="n"/>
      <c r="C56" s="6326" t="inlineStr">
        <is>
          <t>If a profit, stop here and see instructions for where to report. If a loss, complete line 36.</t>
        </is>
      </c>
      <c r="D56" s="5266" t="n"/>
      <c r="E56" s="5267" t="n"/>
      <c r="F56" s="5267" t="n"/>
      <c r="G56" s="8223" t="n"/>
      <c r="H56" s="8223" t="n"/>
      <c r="I56" s="8223" t="n"/>
      <c r="J56" s="8223" t="n"/>
      <c r="K56" s="8223" t="n"/>
      <c r="L56" s="8223" t="n"/>
      <c r="M56" s="8223" t="n"/>
      <c r="N56" s="5267" t="n"/>
      <c r="O56" s="5267" t="n"/>
      <c r="P56" s="5267" t="n"/>
      <c r="Q56" s="5267" t="n"/>
      <c r="R56" s="5267" t="n"/>
      <c r="S56" s="5267" t="n"/>
      <c r="T56" s="5267" t="n"/>
      <c r="U56" s="5267" t="n"/>
      <c r="V56" s="5267" t="n"/>
      <c r="W56" s="5267" t="n"/>
      <c r="X56" s="8223" t="n"/>
      <c r="Y56" s="8223" t="n"/>
      <c r="Z56" s="8223" t="n"/>
      <c r="AA56" s="12175">
        <f>IF(AA57&lt;&gt;"",1,0)</f>
        <v/>
      </c>
      <c r="AB56" s="6327" t="n"/>
      <c r="AC56" s="6327" t="n"/>
      <c r="AD56" s="12175">
        <f>IF(AD57&lt;&gt;"",1,0)</f>
        <v/>
      </c>
      <c r="AE56" s="12175">
        <f>SUM(AA56,AD56)</f>
        <v/>
      </c>
      <c r="AF56" s="139" t="n"/>
      <c r="AG56" s="2875" t="n"/>
      <c r="AH56" s="139" t="n"/>
    </row>
    <row r="57" ht="14.25" customHeight="1" s="7635">
      <c r="A57" s="139" t="n"/>
      <c r="B57" s="2984" t="n">
        <v>35</v>
      </c>
      <c r="C57" s="6326" t="inlineStr">
        <is>
          <t>Reserved for future use.</t>
        </is>
      </c>
      <c r="D57" s="5266" t="n"/>
      <c r="E57" s="5267" t="n"/>
      <c r="F57" s="5267" t="n"/>
      <c r="G57" s="8223" t="n"/>
      <c r="H57" s="8223" t="n"/>
      <c r="I57" s="8223" t="n"/>
      <c r="J57" s="8223" t="n"/>
      <c r="K57" s="8223" t="n"/>
      <c r="L57" s="8223" t="n"/>
      <c r="M57" s="8223" t="n"/>
      <c r="N57" s="5267" t="n"/>
      <c r="O57" s="5267" t="n"/>
      <c r="P57" s="5267" t="n"/>
      <c r="Q57" s="5267" t="n"/>
      <c r="R57" s="5267" t="n"/>
      <c r="S57" s="5267" t="n"/>
      <c r="T57" s="5267" t="n"/>
      <c r="U57" s="5267" t="n"/>
      <c r="V57" s="5267" t="n"/>
      <c r="W57" s="5267" t="n"/>
      <c r="X57" s="8223" t="n"/>
      <c r="Y57" s="8223" t="n"/>
      <c r="Z57" s="8223" t="n"/>
      <c r="AA57" s="8223" t="n"/>
      <c r="AB57" s="8223" t="n"/>
      <c r="AC57" s="8223" t="n"/>
      <c r="AD57" s="8223" t="n"/>
      <c r="AE57" s="8223" t="n"/>
      <c r="AF57" s="139" t="n"/>
      <c r="AG57" s="6306" t="n"/>
      <c r="AH57" s="139" t="n"/>
    </row>
    <row r="58" ht="14.25" customHeight="1" s="7635">
      <c r="A58" s="139" t="n"/>
      <c r="B58" s="2984" t="n">
        <v>36</v>
      </c>
      <c r="C58" s="6326" t="inlineStr">
        <is>
          <t>Check the box that describes your investment in this activity and see instructions for where to report your loss.</t>
        </is>
      </c>
      <c r="D58" s="5266" t="n"/>
      <c r="E58" s="5267" t="n"/>
      <c r="F58" s="5267" t="n"/>
      <c r="G58" s="8223" t="n"/>
      <c r="H58" s="8223" t="n"/>
      <c r="I58" s="8223" t="n"/>
      <c r="J58" s="8223" t="n"/>
      <c r="K58" s="8223" t="n"/>
      <c r="L58" s="8223" t="n"/>
      <c r="M58" s="8223" t="n"/>
      <c r="N58" s="5267" t="n"/>
      <c r="O58" s="5267" t="n"/>
      <c r="P58" s="5267" t="n"/>
      <c r="Q58" s="5267" t="n"/>
      <c r="R58" s="5267" t="n"/>
      <c r="S58" s="5267" t="n"/>
      <c r="T58" s="5267" t="n"/>
      <c r="U58" s="5267" t="n"/>
      <c r="V58" s="5267" t="n"/>
      <c r="W58" s="5267" t="n"/>
      <c r="X58" s="8223" t="n"/>
      <c r="Y58" s="8223" t="n"/>
      <c r="Z58" s="6328" t="n"/>
      <c r="AA58" s="6329" t="n"/>
      <c r="AB58" s="794" t="n"/>
      <c r="AC58" s="794" t="n"/>
      <c r="AD58" s="794" t="n"/>
      <c r="AE58" s="794" t="n"/>
      <c r="AF58" s="139" t="n"/>
      <c r="AG58" s="6306" t="n"/>
      <c r="AH58" s="139" t="n"/>
      <c r="AI58" s="9123" t="n"/>
    </row>
    <row r="59" ht="12.75" customHeight="1" s="7635">
      <c r="A59" s="139" t="n"/>
      <c r="B59" s="8374" t="inlineStr">
        <is>
          <t>a</t>
        </is>
      </c>
      <c r="C59" s="364" t="n"/>
      <c r="D59" s="6330" t="inlineStr">
        <is>
          <t>All investment is at risk.</t>
        </is>
      </c>
      <c r="E59" s="3016" t="n"/>
      <c r="F59" s="2770" t="n"/>
      <c r="G59" s="2770" t="n"/>
      <c r="H59" s="3016" t="inlineStr">
        <is>
          <t>b</t>
        </is>
      </c>
      <c r="I59" s="364" t="n"/>
      <c r="J59" s="3600" t="inlineStr">
        <is>
          <t>Some investment is not at risk.</t>
        </is>
      </c>
      <c r="K59" s="10292" t="n"/>
      <c r="L59" s="3016" t="n"/>
      <c r="M59" s="8665" t="n"/>
      <c r="N59" s="8665" t="n"/>
      <c r="O59" s="8665" t="n"/>
      <c r="P59" s="8665" t="n"/>
      <c r="Q59" s="8665" t="n"/>
      <c r="R59" s="5220" t="n"/>
      <c r="S59" s="5220" t="n"/>
      <c r="T59" s="5220" t="n"/>
      <c r="U59" s="5220" t="n"/>
      <c r="V59" s="5220" t="n"/>
      <c r="W59" s="8665" t="n"/>
      <c r="X59" s="10292" t="n"/>
      <c r="Y59" s="10292" t="n"/>
      <c r="Z59" s="5267" t="n"/>
      <c r="AA59" s="3004" t="n"/>
      <c r="AB59" s="3004" t="n"/>
      <c r="AC59" s="6331" t="n"/>
      <c r="AD59" s="3004" t="n"/>
      <c r="AE59" s="3004" t="n"/>
      <c r="AF59" s="139" t="n"/>
      <c r="AG59" s="6306" t="n"/>
      <c r="AH59" s="139" t="n"/>
    </row>
    <row r="60" ht="3.75" customHeight="1" s="7635" thickBot="1">
      <c r="A60" s="139" t="n"/>
      <c r="B60" s="3016" t="n"/>
      <c r="C60" s="3016" t="n"/>
      <c r="D60" s="8665" t="n"/>
      <c r="E60" s="8665" t="n"/>
      <c r="F60" s="8665" t="n"/>
      <c r="G60" s="10292" t="n"/>
      <c r="H60" s="10292" t="n"/>
      <c r="I60" s="10292" t="n"/>
      <c r="J60" s="10292" t="n"/>
      <c r="K60" s="10292" t="n"/>
      <c r="L60" s="10292" t="n"/>
      <c r="M60" s="10292" t="n"/>
      <c r="N60" s="8665" t="n"/>
      <c r="O60" s="8665" t="n"/>
      <c r="P60" s="8665" t="n"/>
      <c r="Q60" s="8665" t="n"/>
      <c r="R60" s="5220" t="n"/>
      <c r="S60" s="5220" t="n"/>
      <c r="T60" s="5220" t="n"/>
      <c r="U60" s="5220" t="n"/>
      <c r="V60" s="5220" t="n"/>
      <c r="W60" s="8665" t="n"/>
      <c r="X60" s="10292" t="n"/>
      <c r="Y60" s="10292" t="n"/>
      <c r="Z60" s="5267" t="n"/>
      <c r="AA60" s="3004" t="n"/>
      <c r="AB60" s="3004" t="n"/>
      <c r="AC60" s="6331" t="n"/>
      <c r="AD60" s="3004" t="n"/>
      <c r="AE60" s="3004" t="n"/>
      <c r="AF60" s="139" t="n"/>
      <c r="AG60" s="6306" t="n"/>
      <c r="AH60" s="139" t="n"/>
    </row>
    <row r="61" ht="22.5" customHeight="1" s="7635">
      <c r="A61" s="139" t="n"/>
      <c r="B61" s="5303" t="inlineStr">
        <is>
          <t>For Paperwork Reduction Act Notice, see the separate instructions.</t>
        </is>
      </c>
      <c r="C61" s="5303" t="n"/>
      <c r="D61" s="4246" t="n"/>
      <c r="E61" s="4246" t="n"/>
      <c r="F61" s="4246" t="n"/>
      <c r="G61" s="5304" t="n"/>
      <c r="H61" s="5304" t="n"/>
      <c r="I61" s="5304" t="n"/>
      <c r="J61" s="5304" t="n"/>
      <c r="K61" s="5304" t="n"/>
      <c r="L61" s="5304" t="n"/>
      <c r="M61" s="5304" t="n"/>
      <c r="N61" s="4246" t="n"/>
      <c r="O61" s="4246" t="n"/>
      <c r="P61" s="6332" t="n"/>
      <c r="Q61" s="6333" t="n"/>
      <c r="R61" s="6333" t="inlineStr">
        <is>
          <t>Cat. No. 11346H</t>
        </is>
      </c>
      <c r="S61" s="6333" t="n"/>
      <c r="T61" s="6333" t="n"/>
      <c r="U61" s="6333" t="n"/>
      <c r="V61" s="5305" t="n"/>
      <c r="W61" s="4246" t="n"/>
      <c r="X61" s="5305" t="n"/>
      <c r="Y61" s="5304" t="n"/>
      <c r="Z61" s="5306" t="n"/>
      <c r="AA61" s="5304" t="n"/>
      <c r="AB61" s="5304" t="n"/>
      <c r="AC61" s="5307" t="n"/>
      <c r="AD61" s="5308" t="n"/>
      <c r="AE61" s="5308">
        <f>"Schedule F (Form 1040)  "&amp;TaxYear</f>
        <v/>
      </c>
      <c r="AF61" s="139" t="n"/>
      <c r="AG61" s="6306" t="n"/>
      <c r="AH61" s="139" t="n"/>
      <c r="AI61" s="302" t="n"/>
    </row>
    <row r="62" ht="19.5" customHeight="1" s="7635" thickBot="1">
      <c r="A62" s="139" t="n"/>
      <c r="B62" s="6334">
        <f>"Schedule F (Form 1040) "&amp;TaxYear</f>
        <v/>
      </c>
      <c r="C62" s="6335" t="n"/>
      <c r="D62" s="6335" t="n"/>
      <c r="E62" s="6335" t="n"/>
      <c r="F62" s="6335" t="n"/>
      <c r="G62" s="6335" t="n"/>
      <c r="H62" s="6335" t="n"/>
      <c r="I62" s="6335" t="n"/>
      <c r="J62" s="6335" t="n"/>
      <c r="K62" s="6335" t="n"/>
      <c r="L62" s="6335" t="n"/>
      <c r="M62" s="6335" t="n"/>
      <c r="N62" s="6335" t="n"/>
      <c r="O62" s="6335" t="n"/>
      <c r="P62" s="6335" t="n"/>
      <c r="Q62" s="6335" t="n"/>
      <c r="R62" s="6335" t="n"/>
      <c r="S62" s="6335" t="n"/>
      <c r="T62" s="6335" t="n"/>
      <c r="U62" s="6335" t="n"/>
      <c r="V62" s="6335" t="n"/>
      <c r="W62" s="6335" t="n"/>
      <c r="X62" s="6335" t="n"/>
      <c r="Y62" s="6335" t="n"/>
      <c r="Z62" s="6335" t="n"/>
      <c r="AA62" s="6335" t="n"/>
      <c r="AB62" s="6336" t="n"/>
      <c r="AC62" s="6336" t="n"/>
      <c r="AD62" s="6336" t="inlineStr">
        <is>
          <t>Page</t>
        </is>
      </c>
      <c r="AE62" s="6337">
        <f>"2"</f>
        <v/>
      </c>
      <c r="AF62" s="139" t="n"/>
      <c r="AG62" s="2875" t="n"/>
      <c r="AH62" s="139" t="n"/>
    </row>
    <row r="63" ht="20.25" customHeight="1" s="7635" thickTop="1">
      <c r="A63" s="139" t="n"/>
      <c r="B63" s="8740" t="inlineStr">
        <is>
          <t>Part III</t>
        </is>
      </c>
      <c r="C63" s="11713" t="n"/>
      <c r="D63" s="6338" t="inlineStr">
        <is>
          <t xml:space="preserve">   Farm Income — Accrual Method (see instructions)</t>
        </is>
      </c>
      <c r="E63" s="6339" t="n"/>
      <c r="F63" s="6339" t="n"/>
      <c r="G63" s="6339" t="n"/>
      <c r="H63" s="6339" t="n"/>
      <c r="I63" s="6339" t="n"/>
      <c r="J63" s="6339" t="n"/>
      <c r="K63" s="6339" t="n"/>
      <c r="L63" s="6339" t="n"/>
      <c r="M63" s="6339" t="n"/>
      <c r="N63" s="6339" t="n"/>
      <c r="O63" s="6339" t="n"/>
      <c r="P63" s="6339" t="n"/>
      <c r="Q63" s="6339" t="n"/>
      <c r="R63" s="6339" t="n"/>
      <c r="S63" s="6339" t="n"/>
      <c r="T63" s="6339" t="n"/>
      <c r="U63" s="6339" t="n"/>
      <c r="V63" s="6339" t="n"/>
      <c r="W63" s="6339" t="n"/>
      <c r="X63" s="6339" t="n"/>
      <c r="Y63" s="6339" t="n"/>
      <c r="Z63" s="6339" t="n"/>
      <c r="AA63" s="6339" t="n"/>
      <c r="AB63" s="6339" t="n"/>
      <c r="AC63" s="6339" t="n"/>
      <c r="AD63" s="6339" t="n"/>
      <c r="AE63" s="6339" t="n"/>
      <c r="AF63" s="139" t="n"/>
      <c r="AG63" s="2875" t="n"/>
      <c r="AH63" s="139" t="n"/>
    </row>
    <row r="64" ht="9.75" customHeight="1" s="7635">
      <c r="A64" s="139" t="n"/>
      <c r="B64" s="8647" t="n"/>
      <c r="C64" s="8651" t="n"/>
      <c r="D64" s="8651" t="n"/>
      <c r="E64" s="8651" t="n"/>
      <c r="F64" s="8651" t="n"/>
      <c r="G64" s="8651" t="n"/>
      <c r="H64" s="8651" t="n"/>
      <c r="I64" s="8651" t="n"/>
      <c r="J64" s="8651" t="n"/>
      <c r="K64" s="8651" t="n"/>
      <c r="L64" s="8651" t="n"/>
      <c r="M64" s="8651" t="n"/>
      <c r="N64" s="8651" t="n"/>
      <c r="O64" s="8651" t="n"/>
      <c r="P64" s="8651" t="n"/>
      <c r="Q64" s="8651" t="n"/>
      <c r="R64" s="8651" t="n"/>
      <c r="S64" s="8651" t="n"/>
      <c r="T64" s="8651" t="n"/>
      <c r="U64" s="8651" t="n"/>
      <c r="V64" s="8651" t="n"/>
      <c r="W64" s="8651" t="n"/>
      <c r="X64" s="8651" t="n"/>
      <c r="Y64" s="8651" t="n"/>
      <c r="Z64" s="8651" t="n"/>
      <c r="AA64" s="6340" t="n"/>
      <c r="AB64" s="8651" t="n"/>
      <c r="AC64" s="8651" t="n"/>
      <c r="AD64" s="8651" t="n"/>
      <c r="AE64" s="8651" t="n"/>
      <c r="AF64" s="139" t="n"/>
      <c r="AG64" s="2875" t="n"/>
      <c r="AH64" s="139" t="n"/>
    </row>
    <row r="65" ht="14.25" customHeight="1" s="7635">
      <c r="A65" s="139" t="n"/>
      <c r="B65" s="2984" t="n">
        <v>37</v>
      </c>
      <c r="C65" s="8651" t="inlineStr">
        <is>
          <t>Sales of livestock, produce, grains, and other products (see instructions)</t>
        </is>
      </c>
      <c r="D65" s="8665" t="n"/>
      <c r="E65" s="8665" t="n"/>
      <c r="F65" s="8665" t="n"/>
      <c r="G65" s="8665" t="n"/>
      <c r="H65" s="8665" t="n"/>
      <c r="I65" s="8665" t="n"/>
      <c r="J65" s="8665" t="n"/>
      <c r="K65" s="8665" t="n"/>
      <c r="L65" s="8665" t="n"/>
      <c r="M65" s="8665" t="n"/>
      <c r="N65" s="8665" t="n"/>
      <c r="O65" s="8665" t="n"/>
      <c r="P65" s="8665" t="n"/>
      <c r="Q65" s="8665" t="n"/>
      <c r="R65" s="8665" t="n"/>
      <c r="S65" s="8665" t="n"/>
      <c r="T65" s="8665" t="n"/>
      <c r="U65" s="8665" t="n"/>
      <c r="V65" s="8665" t="n"/>
      <c r="W65" s="8665" t="n"/>
      <c r="X65" s="8665" t="n"/>
      <c r="Y65" s="8665" t="n"/>
      <c r="Z65" s="5265" t="inlineStr">
        <is>
          <t xml:space="preserve">.   .   .   .   .   .   .   .   .   .   .   .   .   .   .   .   .   .   </t>
        </is>
      </c>
      <c r="AA65" s="8230" t="n">
        <v>37</v>
      </c>
      <c r="AB65" s="8169" t="n"/>
      <c r="AC65" s="11717" t="n"/>
      <c r="AD65" s="11717" t="n"/>
      <c r="AE65" s="11717" t="n"/>
      <c r="AF65" s="139" t="n"/>
      <c r="AG65" s="2875" t="n"/>
      <c r="AH65" s="139" t="n"/>
    </row>
    <row r="66" ht="12" customHeight="1" s="7635">
      <c r="A66" s="139" t="n"/>
      <c r="B66" s="2984" t="n"/>
      <c r="C66" s="3654" t="n"/>
      <c r="D66" s="8665" t="n"/>
      <c r="E66" s="8665" t="n"/>
      <c r="F66" s="8665" t="n"/>
      <c r="G66" s="8665" t="n"/>
      <c r="H66" s="8665" t="n"/>
      <c r="I66" s="8665" t="n"/>
      <c r="J66" s="8665" t="n"/>
      <c r="K66" s="8665" t="n"/>
      <c r="L66" s="8665" t="n"/>
      <c r="M66" s="8665" t="n"/>
      <c r="N66" s="8665" t="n"/>
      <c r="O66" s="8665" t="n"/>
      <c r="P66" s="8665" t="n"/>
      <c r="Q66" s="8665" t="n"/>
      <c r="R66" s="8665" t="n"/>
      <c r="S66" s="8665" t="n"/>
      <c r="T66" s="8665" t="n"/>
      <c r="U66" s="8665" t="n"/>
      <c r="V66" s="8665" t="n"/>
      <c r="W66" s="8665" t="n"/>
      <c r="X66" s="8665" t="n"/>
      <c r="Y66" s="8665" t="n"/>
      <c r="Z66" s="8665" t="n"/>
      <c r="AA66" s="6340" t="n"/>
      <c r="AB66" s="8665" t="n"/>
      <c r="AC66" s="8665" t="n"/>
      <c r="AD66" s="8665" t="n"/>
      <c r="AE66" s="8665" t="n"/>
      <c r="AF66" s="139" t="n"/>
      <c r="AG66" s="2875" t="n"/>
      <c r="AH66" s="139" t="n"/>
    </row>
    <row r="67" ht="15" customHeight="1" s="7635">
      <c r="A67" s="139" t="n"/>
      <c r="B67" s="2984" t="inlineStr">
        <is>
          <t>38a</t>
        </is>
      </c>
      <c r="C67" s="5318" t="inlineStr">
        <is>
          <t>Cooperative distributions (Form(s) 1099-PATR)</t>
        </is>
      </c>
      <c r="D67" s="5267" t="n"/>
      <c r="E67" s="5267" t="n"/>
      <c r="F67" s="5267" t="n"/>
      <c r="G67" s="5267" t="n"/>
      <c r="H67" s="5267" t="n"/>
      <c r="I67" s="5267" t="n"/>
      <c r="J67" s="6341" t="inlineStr">
        <is>
          <t xml:space="preserve">.   .  </t>
        </is>
      </c>
      <c r="K67" s="12176" t="inlineStr">
        <is>
          <t>38a</t>
        </is>
      </c>
      <c r="L67" s="7638" t="n"/>
      <c r="M67" s="287" t="n"/>
      <c r="N67" s="11717" t="n"/>
      <c r="O67" s="11717" t="n"/>
      <c r="P67" s="11718" t="n"/>
      <c r="Q67" s="8665" t="n"/>
      <c r="R67" s="5328" t="n"/>
      <c r="S67" s="6342" t="inlineStr">
        <is>
          <t>38a</t>
        </is>
      </c>
      <c r="T67" s="8695" t="inlineStr">
        <is>
          <t>Taxable amount</t>
        </is>
      </c>
      <c r="U67" s="5328" t="n"/>
      <c r="V67" s="6307" t="n"/>
      <c r="W67" s="6307" t="n"/>
      <c r="X67" s="6307" t="n"/>
      <c r="Y67" s="9238" t="n"/>
      <c r="Z67" s="6341" t="inlineStr">
        <is>
          <t xml:space="preserve">.   .   .   .   .   </t>
        </is>
      </c>
      <c r="AA67" s="8230" t="inlineStr">
        <is>
          <t>38b</t>
        </is>
      </c>
      <c r="AB67" s="8169" t="n"/>
      <c r="AC67" s="11717" t="n"/>
      <c r="AD67" s="11717" t="n"/>
      <c r="AE67" s="11717" t="n"/>
      <c r="AF67" s="139" t="n"/>
      <c r="AG67" s="2875" t="n"/>
      <c r="AH67" s="139" t="n"/>
    </row>
    <row r="68" ht="12.75" customHeight="1" s="7635">
      <c r="A68" s="139" t="n"/>
      <c r="B68" s="2984" t="n"/>
      <c r="C68" s="3654" t="n"/>
      <c r="D68" s="5267" t="n"/>
      <c r="E68" s="5267" t="n"/>
      <c r="F68" s="5267" t="n"/>
      <c r="G68" s="5267" t="n"/>
      <c r="H68" s="5267" t="n"/>
      <c r="I68" s="5267" t="n"/>
      <c r="J68" s="5267" t="n"/>
      <c r="K68" s="5267" t="n"/>
      <c r="L68" s="5267" t="n"/>
      <c r="M68" s="5267" t="n"/>
      <c r="N68" s="5267" t="n"/>
      <c r="O68" s="5267" t="n"/>
      <c r="P68" s="8665" t="n"/>
      <c r="Q68" s="8665" t="n"/>
      <c r="R68" s="8665" t="n"/>
      <c r="S68" s="8665" t="n"/>
      <c r="T68" s="8647" t="n"/>
      <c r="U68" s="8665" t="n"/>
      <c r="V68" s="5267" t="n"/>
      <c r="W68" s="5267" t="n"/>
      <c r="X68" s="5267" t="n"/>
      <c r="Y68" s="5267" t="n"/>
      <c r="Z68" s="5267" t="n"/>
      <c r="AA68" s="6340" t="n"/>
      <c r="AB68" s="5267" t="n"/>
      <c r="AC68" s="6343">
        <f>IF(AND(X68&lt;&gt;"",AA68&lt;&gt;""),"Check ONLY one.","")</f>
        <v/>
      </c>
      <c r="AD68" s="5267" t="n"/>
      <c r="AE68" s="5267" t="n"/>
      <c r="AF68" s="139" t="n"/>
      <c r="AG68" s="2875" t="n"/>
      <c r="AH68" s="139" t="n"/>
    </row>
    <row r="69" ht="15" customHeight="1" s="7635">
      <c r="A69" s="139" t="n"/>
      <c r="B69" s="2984" t="inlineStr">
        <is>
          <t>39a</t>
        </is>
      </c>
      <c r="C69" s="5318" t="inlineStr">
        <is>
          <t>Agricultural program payments</t>
        </is>
      </c>
      <c r="D69" s="5267" t="n"/>
      <c r="E69" s="5267" t="n"/>
      <c r="F69" s="5267" t="n"/>
      <c r="G69" s="5267" t="n"/>
      <c r="H69" s="5267" t="n"/>
      <c r="I69" s="5267" t="n"/>
      <c r="J69" s="5265" t="inlineStr">
        <is>
          <t xml:space="preserve">.   .   .   .   .   .   .   .   .  </t>
        </is>
      </c>
      <c r="K69" s="6302" t="inlineStr">
        <is>
          <t>39a</t>
        </is>
      </c>
      <c r="L69" s="7638" t="n"/>
      <c r="M69" s="287" t="n"/>
      <c r="N69" s="11717" t="n"/>
      <c r="O69" s="11717" t="n"/>
      <c r="P69" s="11718" t="n"/>
      <c r="Q69" s="8665" t="n"/>
      <c r="R69" s="5328" t="n"/>
      <c r="S69" s="6342" t="inlineStr">
        <is>
          <t>39b</t>
        </is>
      </c>
      <c r="T69" s="8695" t="inlineStr">
        <is>
          <t>Taxable amount</t>
        </is>
      </c>
      <c r="U69" s="5328" t="n"/>
      <c r="V69" s="6307" t="n"/>
      <c r="W69" s="6307" t="n"/>
      <c r="X69" s="6307" t="n"/>
      <c r="Y69" s="9238" t="n"/>
      <c r="Z69" s="6341" t="inlineStr">
        <is>
          <t xml:space="preserve">.   .   .   .   .   </t>
        </is>
      </c>
      <c r="AA69" s="8230" t="inlineStr">
        <is>
          <t>39b</t>
        </is>
      </c>
      <c r="AB69" s="8169" t="n"/>
      <c r="AC69" s="11717" t="n"/>
      <c r="AD69" s="11717" t="n"/>
      <c r="AE69" s="11717" t="n"/>
      <c r="AF69" s="139" t="n"/>
      <c r="AG69" s="2875" t="n"/>
      <c r="AH69" s="139" t="n"/>
    </row>
    <row r="70" ht="12.75" customHeight="1" s="7635">
      <c r="A70" s="139" t="n"/>
      <c r="B70" s="2984" t="n"/>
      <c r="C70" s="3654" t="n"/>
      <c r="D70" s="5267" t="n"/>
      <c r="E70" s="5267" t="n"/>
      <c r="F70" s="5267" t="n"/>
      <c r="G70" s="5267" t="n"/>
      <c r="H70" s="5267" t="n"/>
      <c r="I70" s="5267" t="n"/>
      <c r="J70" s="5267" t="n"/>
      <c r="K70" s="5267" t="n"/>
      <c r="L70" s="5267" t="n"/>
      <c r="M70" s="5267" t="n"/>
      <c r="N70" s="5267" t="n"/>
      <c r="O70" s="5267" t="n"/>
      <c r="P70" s="8665" t="n"/>
      <c r="Q70" s="8665" t="n"/>
      <c r="R70" s="8665" t="n"/>
      <c r="S70" s="8665" t="n"/>
      <c r="T70" s="8647" t="n"/>
      <c r="U70" s="8665" t="n"/>
      <c r="V70" s="5267" t="n"/>
      <c r="W70" s="5267" t="n"/>
      <c r="X70" s="5267" t="n"/>
      <c r="Y70" s="5267" t="n"/>
      <c r="Z70" s="5267" t="n"/>
      <c r="AA70" s="6344" t="n"/>
      <c r="AB70" s="5267" t="n"/>
      <c r="AC70" s="6343">
        <f>IF(AND(X70&lt;&gt;"",AA70&lt;&gt;""),"Check ONLY one.","")</f>
        <v/>
      </c>
      <c r="AD70" s="5267" t="n"/>
      <c r="AE70" s="5267" t="n"/>
      <c r="AF70" s="139" t="n"/>
      <c r="AG70" s="2875" t="n"/>
      <c r="AH70" s="139" t="n"/>
    </row>
    <row r="71" ht="12.75" customHeight="1" s="7635">
      <c r="A71" s="139" t="n"/>
      <c r="B71" s="2984" t="n">
        <v>40</v>
      </c>
      <c r="C71" s="5318" t="inlineStr">
        <is>
          <t>Commodity Credit Corporation (CCC) loans:</t>
        </is>
      </c>
      <c r="D71" s="5267" t="n"/>
      <c r="E71" s="5267" t="n"/>
      <c r="F71" s="5267" t="n"/>
      <c r="G71" s="5267" t="n"/>
      <c r="H71" s="5267" t="n"/>
      <c r="I71" s="5267" t="n"/>
      <c r="J71" s="5267" t="n"/>
      <c r="K71" s="5267" t="n"/>
      <c r="L71" s="5267" t="n"/>
      <c r="M71" s="5267" t="n"/>
      <c r="N71" s="5267" t="n"/>
      <c r="O71" s="5267" t="n"/>
      <c r="P71" s="8665" t="n"/>
      <c r="Q71" s="8665" t="n"/>
      <c r="R71" s="8665" t="n"/>
      <c r="S71" s="8665" t="n"/>
      <c r="T71" s="8647" t="n"/>
      <c r="U71" s="8665" t="n"/>
      <c r="V71" s="5267" t="n"/>
      <c r="W71" s="5267" t="n"/>
      <c r="X71" s="5267" t="n"/>
      <c r="Y71" s="5267" t="n"/>
      <c r="Z71" s="5267" t="n"/>
      <c r="AA71" s="6345" t="n"/>
      <c r="AB71" s="5267" t="n"/>
      <c r="AC71" s="6343" t="n"/>
      <c r="AD71" s="5267" t="n"/>
      <c r="AE71" s="5267" t="n"/>
      <c r="AF71" s="139" t="n"/>
      <c r="AG71" s="2875" t="n"/>
      <c r="AH71" s="139" t="n"/>
    </row>
    <row r="72" ht="15" customHeight="1" s="7635">
      <c r="A72" s="139" t="n"/>
      <c r="B72" s="8374" t="inlineStr">
        <is>
          <t>a</t>
        </is>
      </c>
      <c r="C72" s="5318" t="inlineStr">
        <is>
          <t>CCC loans reported under election</t>
        </is>
      </c>
      <c r="D72" s="5267" t="n"/>
      <c r="E72" s="5267" t="n"/>
      <c r="F72" s="5267" t="n"/>
      <c r="G72" s="5267" t="n"/>
      <c r="H72" s="5267" t="n"/>
      <c r="I72" s="5267" t="n"/>
      <c r="J72" s="5267" t="n"/>
      <c r="K72" s="5267" t="n"/>
      <c r="L72" s="5267" t="n"/>
      <c r="M72" s="5267" t="n"/>
      <c r="N72" s="5267" t="n"/>
      <c r="O72" s="5267" t="n"/>
      <c r="P72" s="5267" t="n"/>
      <c r="Q72" s="5267" t="n"/>
      <c r="R72" s="8665" t="n"/>
      <c r="S72" s="8665" t="n"/>
      <c r="T72" s="8647" t="n"/>
      <c r="U72" s="8665" t="n"/>
      <c r="V72" s="5265" t="n"/>
      <c r="W72" s="6307" t="n"/>
      <c r="X72" s="6307" t="n"/>
      <c r="Y72" s="9238" t="n"/>
      <c r="Z72" s="5265" t="inlineStr">
        <is>
          <t xml:space="preserve">.   .   .   .   .   .   .   .   .   .   .   .   .   .   .   .   .   .   .   .   .   .   .   .   .   .   .   .   .   .   .   .   .   .   .   .   .   </t>
        </is>
      </c>
      <c r="AA72" s="8230" t="inlineStr">
        <is>
          <t>40a</t>
        </is>
      </c>
      <c r="AB72" s="8169" t="n"/>
      <c r="AC72" s="11717" t="n"/>
      <c r="AD72" s="11717" t="n"/>
      <c r="AE72" s="11717" t="n"/>
      <c r="AF72" s="139" t="n"/>
      <c r="AG72" s="2875" t="n"/>
      <c r="AH72" s="139" t="n"/>
    </row>
    <row r="73" ht="12" customHeight="1" s="7635">
      <c r="A73" s="139" t="n"/>
      <c r="B73" s="8374" t="n"/>
      <c r="C73" s="3654" t="n"/>
      <c r="D73" s="5267" t="n"/>
      <c r="E73" s="5267" t="n"/>
      <c r="F73" s="5267" t="n"/>
      <c r="G73" s="5267" t="n"/>
      <c r="H73" s="5267" t="n"/>
      <c r="I73" s="5267" t="n"/>
      <c r="J73" s="5267" t="n"/>
      <c r="K73" s="5267" t="n"/>
      <c r="L73" s="5267" t="n"/>
      <c r="M73" s="5267" t="n"/>
      <c r="N73" s="5267" t="n"/>
      <c r="O73" s="5267" t="n"/>
      <c r="P73" s="8665" t="n"/>
      <c r="Q73" s="8665" t="n"/>
      <c r="R73" s="8665" t="n"/>
      <c r="S73" s="8665" t="n"/>
      <c r="T73" s="8647" t="n"/>
      <c r="U73" s="8665" t="n"/>
      <c r="V73" s="5267" t="n"/>
      <c r="W73" s="5267" t="n"/>
      <c r="X73" s="5267" t="n"/>
      <c r="Y73" s="5267" t="n"/>
      <c r="Z73" s="6346" t="n"/>
      <c r="AA73" s="6340" t="n"/>
      <c r="AB73" s="5267" t="n"/>
      <c r="AC73" s="5267" t="n"/>
      <c r="AD73" s="5267" t="n"/>
      <c r="AE73" s="5267" t="n"/>
      <c r="AF73" s="139" t="n"/>
      <c r="AG73" s="2875" t="n"/>
      <c r="AH73" s="139" t="n"/>
    </row>
    <row r="74" ht="15" customHeight="1" s="7635">
      <c r="A74" s="139" t="n"/>
      <c r="B74" s="8374" t="inlineStr">
        <is>
          <t>b</t>
        </is>
      </c>
      <c r="C74" s="5318" t="inlineStr">
        <is>
          <t>CCC loans forfeited</t>
        </is>
      </c>
      <c r="D74" s="5267" t="n"/>
      <c r="E74" s="5267" t="n"/>
      <c r="F74" s="5267" t="n"/>
      <c r="G74" s="5267" t="n"/>
      <c r="H74" s="5267" t="n"/>
      <c r="I74" s="5267" t="n"/>
      <c r="J74" s="6347" t="inlineStr">
        <is>
          <t xml:space="preserve">.   .   .   .   .   .   .   .   .   .   .   .   .   .   .  </t>
        </is>
      </c>
      <c r="K74" s="6302" t="inlineStr">
        <is>
          <t>40b</t>
        </is>
      </c>
      <c r="L74" s="7638" t="n"/>
      <c r="M74" s="12177" t="n"/>
      <c r="N74" s="11717" t="n"/>
      <c r="O74" s="11717" t="n"/>
      <c r="P74" s="11718" t="n"/>
      <c r="Q74" s="8665" t="n"/>
      <c r="R74" s="5328" t="inlineStr">
        <is>
          <t>40c</t>
        </is>
      </c>
      <c r="S74" s="5328" t="n"/>
      <c r="T74" s="8695" t="inlineStr">
        <is>
          <t>Taxable amount</t>
        </is>
      </c>
      <c r="U74" s="5328" t="n"/>
      <c r="V74" s="6307" t="n"/>
      <c r="W74" s="6307" t="n"/>
      <c r="X74" s="6307" t="n"/>
      <c r="Y74" s="9238" t="n"/>
      <c r="Z74" s="6341" t="inlineStr">
        <is>
          <t xml:space="preserve">.   .   .   .   .   </t>
        </is>
      </c>
      <c r="AA74" s="8230" t="inlineStr">
        <is>
          <t>40c</t>
        </is>
      </c>
      <c r="AB74" s="8169" t="n"/>
      <c r="AC74" s="11717" t="n"/>
      <c r="AD74" s="11717" t="n"/>
      <c r="AE74" s="11717" t="n"/>
      <c r="AF74" s="139" t="n"/>
      <c r="AG74" s="2875" t="n"/>
      <c r="AH74" s="139" t="n"/>
    </row>
    <row r="75" ht="9.75" customHeight="1" s="7635">
      <c r="A75" s="139" t="n"/>
      <c r="B75" s="8647" t="n"/>
      <c r="C75" s="8651" t="n"/>
      <c r="D75" s="8651" t="n"/>
      <c r="E75" s="8651" t="n"/>
      <c r="F75" s="8651" t="n"/>
      <c r="G75" s="8651" t="n"/>
      <c r="H75" s="8651" t="n"/>
      <c r="I75" s="8651" t="n"/>
      <c r="J75" s="8651" t="n"/>
      <c r="K75" s="8651" t="n"/>
      <c r="L75" s="8651" t="n"/>
      <c r="M75" s="8651" t="n"/>
      <c r="N75" s="8651" t="n"/>
      <c r="O75" s="8651" t="n"/>
      <c r="P75" s="8651" t="n"/>
      <c r="Q75" s="8651" t="n"/>
      <c r="R75" s="8651" t="n"/>
      <c r="S75" s="8651" t="n"/>
      <c r="T75" s="8651" t="n"/>
      <c r="U75" s="8651" t="n"/>
      <c r="V75" s="8651" t="n"/>
      <c r="W75" s="8651" t="n"/>
      <c r="X75" s="8651" t="n"/>
      <c r="Y75" s="8651" t="n"/>
      <c r="Z75" s="6348" t="n"/>
      <c r="AA75" s="6340" t="n"/>
      <c r="AB75" s="8651" t="n"/>
      <c r="AC75" s="8651" t="n"/>
      <c r="AD75" s="8651" t="n"/>
      <c r="AE75" s="8651" t="n"/>
      <c r="AF75" s="139" t="n"/>
      <c r="AG75" s="2875" t="n"/>
      <c r="AH75" s="139" t="n"/>
    </row>
    <row r="76" ht="14.25" customHeight="1" s="7635">
      <c r="A76" s="139" t="n"/>
      <c r="B76" s="2984" t="n">
        <v>41</v>
      </c>
      <c r="C76" s="8651" t="inlineStr">
        <is>
          <t>Crop insurance proceeds</t>
        </is>
      </c>
      <c r="D76" s="8665" t="n"/>
      <c r="E76" s="8665" t="n"/>
      <c r="F76" s="8665" t="n"/>
      <c r="G76" s="8665" t="n"/>
      <c r="H76" s="8665" t="n"/>
      <c r="I76" s="8665" t="n"/>
      <c r="J76" s="8665" t="n"/>
      <c r="K76" s="8665" t="n"/>
      <c r="L76" s="8665" t="n"/>
      <c r="M76" s="8665" t="n"/>
      <c r="N76" s="8665" t="n"/>
      <c r="O76" s="8665" t="n"/>
      <c r="P76" s="8665" t="n"/>
      <c r="Q76" s="8665" t="n"/>
      <c r="R76" s="8665" t="n"/>
      <c r="S76" s="8665" t="n"/>
      <c r="T76" s="8665" t="n"/>
      <c r="U76" s="8665" t="n"/>
      <c r="V76" s="8665" t="n"/>
      <c r="W76" s="8665" t="n"/>
      <c r="X76" s="8665" t="n"/>
      <c r="Y76" s="8665" t="n"/>
      <c r="Z76" s="5265" t="inlineStr">
        <is>
          <t xml:space="preserve">.   .   .   .   .   .   .   .   .   .   .   .   .   .   .   .   .   .   .   .   .   .   .   .   .   .   .   .   .   .   .   .   .   .   .   .   .   .   .   .   .   .   </t>
        </is>
      </c>
      <c r="AA76" s="8230" t="n">
        <v>41</v>
      </c>
      <c r="AB76" s="8169" t="n"/>
      <c r="AC76" s="11717" t="n"/>
      <c r="AD76" s="11717" t="n"/>
      <c r="AE76" s="11717" t="n"/>
      <c r="AF76" s="139" t="n"/>
      <c r="AG76" s="2875" t="n"/>
      <c r="AH76" s="139" t="n"/>
    </row>
    <row r="77" ht="9.75" customHeight="1" s="7635">
      <c r="A77" s="139" t="n"/>
      <c r="B77" s="8647" t="n"/>
      <c r="C77" s="8651" t="n"/>
      <c r="D77" s="8651" t="n"/>
      <c r="E77" s="8651" t="n"/>
      <c r="F77" s="8651" t="n"/>
      <c r="G77" s="8651" t="n"/>
      <c r="H77" s="8651" t="n"/>
      <c r="I77" s="8651" t="n"/>
      <c r="J77" s="8651" t="n"/>
      <c r="K77" s="8651" t="n"/>
      <c r="L77" s="8651" t="n"/>
      <c r="M77" s="8651" t="n"/>
      <c r="N77" s="8651" t="n"/>
      <c r="O77" s="8651" t="n"/>
      <c r="P77" s="8651" t="n"/>
      <c r="Q77" s="8651" t="n"/>
      <c r="R77" s="8651" t="n"/>
      <c r="S77" s="8651" t="n"/>
      <c r="T77" s="8651" t="n"/>
      <c r="U77" s="8651" t="n"/>
      <c r="V77" s="8651" t="n"/>
      <c r="W77" s="8651" t="n"/>
      <c r="X77" s="8651" t="n"/>
      <c r="Y77" s="8651" t="n"/>
      <c r="Z77" s="8651" t="n"/>
      <c r="AA77" s="6340" t="n"/>
      <c r="AB77" s="8651" t="n"/>
      <c r="AC77" s="8651" t="n"/>
      <c r="AD77" s="8651" t="n"/>
      <c r="AE77" s="8651" t="n"/>
      <c r="AF77" s="139" t="n"/>
      <c r="AG77" s="2875" t="n"/>
      <c r="AH77" s="139" t="n"/>
    </row>
    <row r="78" ht="14.25" customHeight="1" s="7635">
      <c r="A78" s="139" t="n"/>
      <c r="B78" s="2984" t="n">
        <v>42</v>
      </c>
      <c r="C78" s="8651" t="inlineStr">
        <is>
          <t>Custom hire (machine work) income</t>
        </is>
      </c>
      <c r="D78" s="8665" t="n"/>
      <c r="E78" s="8665" t="n"/>
      <c r="F78" s="8665" t="n"/>
      <c r="G78" s="8665" t="n"/>
      <c r="H78" s="8665" t="n"/>
      <c r="I78" s="8665" t="n"/>
      <c r="J78" s="8665" t="n"/>
      <c r="K78" s="8665" t="n"/>
      <c r="L78" s="8665" t="n"/>
      <c r="M78" s="8665" t="n"/>
      <c r="N78" s="8665" t="n"/>
      <c r="O78" s="8665" t="n"/>
      <c r="P78" s="8665" t="n"/>
      <c r="Q78" s="8665" t="n"/>
      <c r="R78" s="8665" t="n"/>
      <c r="S78" s="8665" t="n"/>
      <c r="T78" s="8665" t="n"/>
      <c r="U78" s="8665" t="n"/>
      <c r="V78" s="8665" t="n"/>
      <c r="W78" s="8665" t="n"/>
      <c r="X78" s="8665" t="n"/>
      <c r="Y78" s="8665" t="n"/>
      <c r="Z78" s="5265" t="inlineStr">
        <is>
          <t xml:space="preserve">.   .   .   .   .   .   .   .   .   .   .   .   .   .   .   .   .   .   .   .   .   .   .   .   .   .   .   .   .   .   .   .   .   .   .   .   .   </t>
        </is>
      </c>
      <c r="AA78" s="8230" t="n">
        <v>42</v>
      </c>
      <c r="AB78" s="8169" t="n"/>
      <c r="AC78" s="11717" t="n"/>
      <c r="AD78" s="11717" t="n"/>
      <c r="AE78" s="11717" t="n"/>
      <c r="AF78" s="139" t="n"/>
      <c r="AG78" s="2875" t="n"/>
      <c r="AH78" s="139" t="n"/>
    </row>
    <row r="79" ht="9.75" customHeight="1" s="7635">
      <c r="A79" s="139" t="n"/>
      <c r="B79" s="8647" t="n"/>
      <c r="C79" s="8651" t="n"/>
      <c r="D79" s="8651" t="n"/>
      <c r="E79" s="8651" t="n"/>
      <c r="F79" s="8651" t="n"/>
      <c r="G79" s="8651" t="n"/>
      <c r="H79" s="8651" t="n"/>
      <c r="I79" s="8651" t="n"/>
      <c r="J79" s="8651" t="n"/>
      <c r="K79" s="8651" t="n"/>
      <c r="L79" s="8651" t="n"/>
      <c r="M79" s="8651" t="n"/>
      <c r="N79" s="8651" t="n"/>
      <c r="O79" s="8651" t="n"/>
      <c r="P79" s="8651" t="n"/>
      <c r="Q79" s="8651" t="n"/>
      <c r="R79" s="8651" t="n"/>
      <c r="S79" s="8651" t="n"/>
      <c r="T79" s="8651" t="n"/>
      <c r="U79" s="8651" t="n"/>
      <c r="V79" s="8651" t="n"/>
      <c r="W79" s="8651" t="n"/>
      <c r="X79" s="8651" t="n"/>
      <c r="Y79" s="8651" t="n"/>
      <c r="Z79" s="8651" t="n"/>
      <c r="AA79" s="6340" t="n"/>
      <c r="AB79" s="8651" t="n"/>
      <c r="AC79" s="8651" t="n"/>
      <c r="AD79" s="8651" t="n"/>
      <c r="AE79" s="8651" t="n"/>
      <c r="AF79" s="139" t="n"/>
      <c r="AG79" s="2875" t="n"/>
      <c r="AH79" s="139" t="n"/>
    </row>
    <row r="80" ht="14.25" customHeight="1" s="7635">
      <c r="A80" s="139" t="n"/>
      <c r="B80" s="2984" t="n">
        <v>43</v>
      </c>
      <c r="C80" s="8651" t="inlineStr">
        <is>
          <t>Other income (see instructions)</t>
        </is>
      </c>
      <c r="D80" s="8665" t="n"/>
      <c r="E80" s="8665" t="n"/>
      <c r="F80" s="8665" t="n"/>
      <c r="G80" s="8665" t="n"/>
      <c r="H80" s="8665" t="n"/>
      <c r="I80" s="8665" t="n"/>
      <c r="J80" s="8665" t="n"/>
      <c r="K80" s="8665" t="n"/>
      <c r="L80" s="8665" t="n"/>
      <c r="M80" s="8665" t="n"/>
      <c r="N80" s="8665" t="n"/>
      <c r="O80" s="8665" t="n"/>
      <c r="P80" s="8665" t="n"/>
      <c r="Q80" s="8665" t="n"/>
      <c r="R80" s="8665" t="n"/>
      <c r="S80" s="8665" t="n"/>
      <c r="T80" s="8665" t="n"/>
      <c r="U80" s="8665" t="n"/>
      <c r="V80" s="8665" t="n"/>
      <c r="W80" s="8665" t="n"/>
      <c r="X80" s="8665" t="n"/>
      <c r="Y80" s="8665" t="n"/>
      <c r="Z80" s="5265" t="inlineStr">
        <is>
          <t xml:space="preserve">.   .   .   .   .   .   .   .   .   .   .   .   .   .   .   .   .   .   .   .   .   .   .   .   .   .   .   .   .   .   .   .   .   .   .   .   .   .   .   </t>
        </is>
      </c>
      <c r="AA80" s="8230" t="n">
        <v>43</v>
      </c>
      <c r="AB80" s="8169" t="n"/>
      <c r="AC80" s="11717" t="n"/>
      <c r="AD80" s="11717" t="n"/>
      <c r="AE80" s="11717" t="n"/>
      <c r="AF80" s="139" t="n"/>
      <c r="AG80" s="2875" t="n"/>
      <c r="AH80" s="139" t="n"/>
    </row>
    <row r="81" ht="9.75" customHeight="1" s="7635">
      <c r="A81" s="139" t="n"/>
      <c r="B81" s="8647" t="n"/>
      <c r="C81" s="8651" t="n"/>
      <c r="D81" s="8651" t="n"/>
      <c r="E81" s="8651" t="n"/>
      <c r="F81" s="8651" t="n"/>
      <c r="G81" s="8651" t="n"/>
      <c r="H81" s="8651" t="n"/>
      <c r="I81" s="8651" t="n"/>
      <c r="J81" s="8651" t="n"/>
      <c r="K81" s="8651" t="n"/>
      <c r="L81" s="8651" t="n"/>
      <c r="M81" s="8651" t="n"/>
      <c r="N81" s="8651" t="n"/>
      <c r="O81" s="8651" t="n"/>
      <c r="P81" s="8651" t="n"/>
      <c r="Q81" s="8651" t="n"/>
      <c r="R81" s="8651" t="n"/>
      <c r="S81" s="8651" t="n"/>
      <c r="T81" s="8651" t="n"/>
      <c r="U81" s="8651" t="n"/>
      <c r="V81" s="8651" t="n"/>
      <c r="W81" s="8651" t="n"/>
      <c r="X81" s="8651" t="n"/>
      <c r="Y81" s="8651" t="n"/>
      <c r="Z81" s="8651" t="n"/>
      <c r="AA81" s="6340" t="n"/>
      <c r="AB81" s="6349" t="n"/>
      <c r="AC81" s="6350" t="n"/>
      <c r="AD81" s="6350" t="n"/>
      <c r="AE81" s="6350" t="n"/>
      <c r="AF81" s="139" t="n"/>
      <c r="AG81" s="2875" t="n"/>
      <c r="AH81" s="139" t="n"/>
    </row>
    <row r="82" ht="14.25" customHeight="1" s="7635">
      <c r="A82" s="139" t="n"/>
      <c r="B82" s="2984" t="n">
        <v>44</v>
      </c>
      <c r="C82" s="8651" t="inlineStr">
        <is>
          <t>Add amounts in the right column for lines 37 through 43 (lines 37, 38b, 39b, 40a, 40c, 41, 42, and 43)</t>
        </is>
      </c>
      <c r="D82" s="8665" t="n"/>
      <c r="E82" s="8665" t="n"/>
      <c r="F82" s="8665" t="n"/>
      <c r="G82" s="8665" t="n"/>
      <c r="H82" s="8665" t="n"/>
      <c r="I82" s="8665" t="n"/>
      <c r="J82" s="8665" t="n"/>
      <c r="K82" s="8665" t="n"/>
      <c r="L82" s="8665" t="n"/>
      <c r="M82" s="8665" t="n"/>
      <c r="N82" s="8665" t="n"/>
      <c r="O82" s="8665" t="n"/>
      <c r="P82" s="8665" t="n"/>
      <c r="Q82" s="8665" t="n"/>
      <c r="R82" s="8665" t="n"/>
      <c r="S82" s="8665" t="n"/>
      <c r="T82" s="8665" t="n"/>
      <c r="U82" s="8665" t="n"/>
      <c r="V82" s="8665" t="n"/>
      <c r="W82" s="8665" t="n"/>
      <c r="X82" s="8665" t="n"/>
      <c r="Y82" s="8665" t="n"/>
      <c r="Z82" s="5265" t="inlineStr">
        <is>
          <t xml:space="preserve"> .    .    .   .   .   .   .   </t>
        </is>
      </c>
      <c r="AA82" s="8230" t="n">
        <v>44</v>
      </c>
      <c r="AB82" s="8176">
        <f>IF(AG82&lt;&gt;"",ROUND(AG82,0),ROUND(SUM(AB65,AB67,AB69,AB72,AB74,AB76,AB78,AB80),0))</f>
        <v/>
      </c>
      <c r="AC82" s="7637" t="n"/>
      <c r="AD82" s="7637" t="n"/>
      <c r="AE82" s="7637" t="n"/>
      <c r="AF82" s="139" t="n"/>
      <c r="AG82" s="134" t="n"/>
      <c r="AH82" s="139" t="n"/>
    </row>
    <row r="83" ht="9.75" customHeight="1" s="7635">
      <c r="A83" s="139" t="n"/>
      <c r="B83" s="8647" t="n"/>
      <c r="C83" s="8651" t="n"/>
      <c r="D83" s="8651" t="n"/>
      <c r="E83" s="8651" t="n"/>
      <c r="F83" s="8651" t="n"/>
      <c r="G83" s="8651" t="n"/>
      <c r="H83" s="8651" t="n"/>
      <c r="I83" s="8651" t="n"/>
      <c r="J83" s="8651" t="n"/>
      <c r="K83" s="8651" t="n"/>
      <c r="L83" s="8651" t="n"/>
      <c r="M83" s="8651" t="n"/>
      <c r="N83" s="8651" t="n"/>
      <c r="O83" s="8651" t="n"/>
      <c r="P83" s="8651" t="n"/>
      <c r="Q83" s="8651" t="n"/>
      <c r="R83" s="8651" t="n"/>
      <c r="S83" s="8651" t="n"/>
      <c r="T83" s="8651" t="n"/>
      <c r="U83" s="8651" t="n"/>
      <c r="V83" s="8651" t="n"/>
      <c r="W83" s="8651" t="n"/>
      <c r="X83" s="8651" t="n"/>
      <c r="Y83" s="8651" t="n"/>
      <c r="Z83" s="8651" t="n"/>
      <c r="AA83" s="6344" t="n"/>
      <c r="AB83" s="8651" t="n"/>
      <c r="AC83" s="8651" t="n"/>
      <c r="AD83" s="8651" t="n"/>
      <c r="AE83" s="8651" t="n"/>
      <c r="AF83" s="139" t="n"/>
      <c r="AG83" s="2875" t="n"/>
      <c r="AH83" s="139" t="n"/>
    </row>
    <row r="84" ht="14.25" customHeight="1" s="7635">
      <c r="A84" s="139" t="n"/>
      <c r="B84" s="2984" t="n">
        <v>45</v>
      </c>
      <c r="C84" s="8651" t="inlineStr">
        <is>
          <t>Inventory of livestock, produce, grains, and other products at beginning of the year.</t>
        </is>
      </c>
      <c r="D84" s="8665" t="n"/>
      <c r="E84" s="8665" t="n"/>
      <c r="F84" s="8665" t="n"/>
      <c r="G84" s="8665" t="n"/>
      <c r="H84" s="8665" t="n"/>
      <c r="I84" s="8665" t="n"/>
      <c r="J84" s="8665" t="n"/>
      <c r="K84" s="8665" t="n"/>
      <c r="L84" s="8665" t="n"/>
      <c r="M84" s="8665" t="n"/>
      <c r="N84" s="8665" t="n"/>
      <c r="O84" s="8665" t="n"/>
      <c r="P84" s="8665" t="n"/>
      <c r="Q84" s="8665" t="n"/>
      <c r="R84" s="8665" t="n"/>
      <c r="S84" s="8665" t="n"/>
      <c r="T84" s="8665" t="n"/>
      <c r="U84" s="8665" t="n"/>
      <c r="V84" s="5265" t="n"/>
      <c r="W84" s="6307" t="n"/>
      <c r="X84" s="6307" t="n"/>
      <c r="Y84" s="9238" t="n"/>
      <c r="Z84" s="9238" t="n"/>
      <c r="AA84" s="6345" t="n"/>
      <c r="AB84" s="8651" t="n"/>
      <c r="AC84" s="8651" t="n"/>
      <c r="AD84" s="8651" t="n"/>
      <c r="AE84" s="8651" t="n"/>
      <c r="AF84" s="139" t="n"/>
      <c r="AG84" s="2875" t="n"/>
      <c r="AH84" s="139" t="n"/>
    </row>
    <row r="85" ht="12.75" customHeight="1" s="7635">
      <c r="A85" s="139" t="n"/>
      <c r="B85" s="2984" t="n"/>
      <c r="C85" s="5318" t="inlineStr">
        <is>
          <t>Do not include sales reported on Form 4797</t>
        </is>
      </c>
      <c r="D85" s="5267" t="n"/>
      <c r="E85" s="5267" t="n"/>
      <c r="F85" s="5267" t="n"/>
      <c r="G85" s="5267" t="n"/>
      <c r="H85" s="5267" t="n"/>
      <c r="I85" s="5267" t="n"/>
      <c r="J85" s="5267" t="n"/>
      <c r="K85" s="5267" t="n"/>
      <c r="L85" s="5267" t="n"/>
      <c r="M85" s="5267" t="n"/>
      <c r="N85" s="5267" t="n"/>
      <c r="O85" s="5267" t="n"/>
      <c r="P85" s="5267" t="n"/>
      <c r="Q85" s="5267" t="n"/>
      <c r="R85" s="6341" t="n"/>
      <c r="S85" s="6341" t="n"/>
      <c r="T85" s="6341" t="n"/>
      <c r="U85" s="6341" t="inlineStr">
        <is>
          <t xml:space="preserve">.   .   .   .   .   .   .   .   .   .   .   .   .   .   .   .   .   .   .   .   .   .   .   .  </t>
        </is>
      </c>
      <c r="V85" s="6351" t="n">
        <v>45</v>
      </c>
      <c r="W85" s="8170" t="n"/>
      <c r="X85" s="11717" t="n"/>
      <c r="Y85" s="11717" t="n"/>
      <c r="Z85" s="11717" t="n"/>
      <c r="AA85" s="6345" t="n"/>
      <c r="AB85" s="8651" t="n"/>
      <c r="AC85" s="8651" t="n"/>
      <c r="AD85" s="8651" t="n"/>
      <c r="AE85" s="8651" t="n"/>
      <c r="AF85" s="139" t="n"/>
      <c r="AG85" s="2875" t="n"/>
      <c r="AH85" s="139" t="n"/>
    </row>
    <row r="86" ht="21" customHeight="1" s="7635">
      <c r="A86" s="139" t="n"/>
      <c r="B86" s="2984" t="n">
        <v>46</v>
      </c>
      <c r="C86" s="8651" t="inlineStr">
        <is>
          <t>Cost of livestock, produce, grains, and other products purchased during the</t>
        </is>
      </c>
      <c r="D86" s="8665" t="n"/>
      <c r="E86" s="8665" t="n"/>
      <c r="F86" s="8665" t="n"/>
      <c r="G86" s="8665" t="n"/>
      <c r="H86" s="8665" t="n"/>
      <c r="I86" s="8665" t="n"/>
      <c r="J86" s="8665" t="n"/>
      <c r="K86" s="8665" t="n"/>
      <c r="L86" s="8665" t="n"/>
      <c r="M86" s="8665" t="n"/>
      <c r="N86" s="8665" t="n"/>
      <c r="O86" s="8665" t="n"/>
      <c r="P86" s="8665" t="n"/>
      <c r="Q86" s="8665" t="n"/>
      <c r="R86" s="8665" t="n"/>
      <c r="S86" s="8665" t="n"/>
      <c r="T86" s="8665" t="n"/>
      <c r="U86" s="8665" t="n"/>
      <c r="V86" s="6352" t="n"/>
      <c r="W86" s="6307" t="n"/>
      <c r="X86" s="6307" t="n"/>
      <c r="Y86" s="9238" t="n"/>
      <c r="Z86" s="9238" t="n"/>
      <c r="AA86" s="6345" t="n"/>
      <c r="AB86" s="8651" t="n"/>
      <c r="AC86" s="8651" t="n"/>
      <c r="AD86" s="8651" t="n"/>
      <c r="AE86" s="8651" t="n"/>
      <c r="AF86" s="139" t="n"/>
      <c r="AG86" s="2875" t="n"/>
      <c r="AH86" s="139" t="n"/>
    </row>
    <row r="87" ht="12.75" customHeight="1" s="7635">
      <c r="A87" s="139" t="n"/>
      <c r="B87" s="2984" t="n"/>
      <c r="C87" s="5318" t="inlineStr">
        <is>
          <t>year</t>
        </is>
      </c>
      <c r="D87" s="5267" t="n"/>
      <c r="E87" s="5267" t="n"/>
      <c r="F87" s="5267" t="n"/>
      <c r="G87" s="5267" t="n"/>
      <c r="H87" s="5267" t="n"/>
      <c r="I87" s="5267" t="n"/>
      <c r="J87" s="5267" t="n"/>
      <c r="K87" s="5267" t="n"/>
      <c r="L87" s="5267" t="n"/>
      <c r="M87" s="5267" t="n"/>
      <c r="N87" s="5267" t="n"/>
      <c r="O87" s="5267" t="n"/>
      <c r="P87" s="5267" t="n"/>
      <c r="Q87" s="5267" t="n"/>
      <c r="R87" s="6341" t="n"/>
      <c r="S87" s="6341" t="n"/>
      <c r="T87" s="6341" t="n"/>
      <c r="U87" s="6341" t="inlineStr">
        <is>
          <t xml:space="preserve">.   .   .   .   .   .   .   .   .   .   .   .   .   .   .   .   .   .   .   .   .   .   .   .   .   .   .   .   .   .   .   .   .   .   .   .   .   .   .   .   .   .  </t>
        </is>
      </c>
      <c r="V87" s="6351" t="n">
        <v>46</v>
      </c>
      <c r="W87" s="8170" t="n"/>
      <c r="X87" s="11717" t="n"/>
      <c r="Y87" s="11717" t="n"/>
      <c r="Z87" s="11717" t="n"/>
      <c r="AA87" s="6345" t="n"/>
      <c r="AB87" s="8651" t="n"/>
      <c r="AC87" s="8651" t="n"/>
      <c r="AD87" s="8651" t="n"/>
      <c r="AE87" s="8651" t="n"/>
      <c r="AF87" s="139" t="n"/>
      <c r="AG87" s="2875" t="n"/>
      <c r="AH87" s="139" t="n"/>
    </row>
    <row r="88" ht="11.25" customHeight="1" s="7635">
      <c r="A88" s="139" t="n"/>
      <c r="B88" s="2984" t="n"/>
      <c r="C88" s="3654" t="n"/>
      <c r="D88" s="8665" t="n"/>
      <c r="E88" s="8665" t="n"/>
      <c r="F88" s="8665" t="n"/>
      <c r="G88" s="8665" t="n"/>
      <c r="H88" s="8665" t="n"/>
      <c r="I88" s="8665" t="n"/>
      <c r="J88" s="8665" t="n"/>
      <c r="K88" s="8665" t="n"/>
      <c r="L88" s="8665" t="n"/>
      <c r="M88" s="8665" t="n"/>
      <c r="N88" s="8665" t="n"/>
      <c r="O88" s="8665" t="n"/>
      <c r="P88" s="8665" t="n"/>
      <c r="Q88" s="8665" t="n"/>
      <c r="R88" s="8665" t="n"/>
      <c r="S88" s="8665" t="n"/>
      <c r="T88" s="8665" t="n"/>
      <c r="U88" s="8665" t="n"/>
      <c r="V88" s="6352" t="n"/>
      <c r="W88" s="6307" t="n"/>
      <c r="X88" s="6307" t="n"/>
      <c r="Y88" s="9238" t="n"/>
      <c r="Z88" s="9238" t="n"/>
      <c r="AA88" s="6345" t="n"/>
      <c r="AB88" s="8651" t="n"/>
      <c r="AC88" s="8651" t="n"/>
      <c r="AD88" s="8651" t="n"/>
      <c r="AE88" s="8651" t="n"/>
      <c r="AF88" s="139" t="n"/>
      <c r="AG88" s="2875" t="n"/>
      <c r="AH88" s="139" t="n"/>
    </row>
    <row r="89" ht="12.75" customHeight="1" s="7635">
      <c r="A89" s="139" t="n"/>
      <c r="B89" s="2984" t="n">
        <v>47</v>
      </c>
      <c r="C89" s="5318" t="inlineStr">
        <is>
          <t>Add lines 45 and 46</t>
        </is>
      </c>
      <c r="D89" s="5267" t="n"/>
      <c r="E89" s="5267" t="n"/>
      <c r="F89" s="5267" t="n"/>
      <c r="G89" s="5267" t="n"/>
      <c r="H89" s="5267" t="n"/>
      <c r="I89" s="5267" t="n"/>
      <c r="J89" s="5267" t="n"/>
      <c r="K89" s="5267" t="n"/>
      <c r="L89" s="5267" t="n"/>
      <c r="M89" s="5267" t="n"/>
      <c r="N89" s="5267" t="n"/>
      <c r="O89" s="5267" t="n"/>
      <c r="P89" s="5267" t="n"/>
      <c r="Q89" s="5267" t="n"/>
      <c r="R89" s="6341" t="n"/>
      <c r="S89" s="6341" t="n"/>
      <c r="T89" s="6341" t="n"/>
      <c r="U89" s="6341" t="inlineStr">
        <is>
          <t xml:space="preserve">.   .   .   .   .   .   .   .   .   .   .   .   .   .   .   .   .   .   .   .   .   .   .   .   .   .   .   .   .   .   .   .   .   .  </t>
        </is>
      </c>
      <c r="V89" s="6351" t="n">
        <v>47</v>
      </c>
      <c r="W89" s="8176">
        <f>ROUND(SUM(W85,W87),0)</f>
        <v/>
      </c>
      <c r="X89" s="7637" t="n"/>
      <c r="Y89" s="7637" t="n"/>
      <c r="Z89" s="7637" t="n"/>
      <c r="AA89" s="6345" t="n"/>
      <c r="AB89" s="8651" t="n"/>
      <c r="AC89" s="8651" t="n"/>
      <c r="AD89" s="8651" t="n"/>
      <c r="AE89" s="8651" t="n"/>
      <c r="AF89" s="139" t="n"/>
      <c r="AG89" s="2875" t="n"/>
      <c r="AH89" s="139" t="n"/>
    </row>
    <row r="90" ht="14.25" customHeight="1" s="7635">
      <c r="A90" s="139" t="n"/>
      <c r="B90" s="2984" t="n"/>
      <c r="C90" s="3654" t="n"/>
      <c r="D90" s="8665" t="n"/>
      <c r="E90" s="8665" t="n"/>
      <c r="F90" s="8665" t="n"/>
      <c r="G90" s="8665" t="n"/>
      <c r="H90" s="8665" t="n"/>
      <c r="I90" s="8665" t="n"/>
      <c r="J90" s="8665" t="n"/>
      <c r="K90" s="8665" t="n"/>
      <c r="L90" s="8665" t="n"/>
      <c r="M90" s="8665" t="n"/>
      <c r="N90" s="8665" t="n"/>
      <c r="O90" s="8665" t="n"/>
      <c r="P90" s="8665" t="n"/>
      <c r="Q90" s="8665" t="n"/>
      <c r="R90" s="8665" t="n"/>
      <c r="S90" s="8665" t="n"/>
      <c r="T90" s="8665" t="n"/>
      <c r="U90" s="8665" t="n"/>
      <c r="V90" s="6352" t="n"/>
      <c r="W90" s="6307" t="n"/>
      <c r="X90" s="6307" t="n"/>
      <c r="Y90" s="9238" t="n"/>
      <c r="Z90" s="9238" t="n"/>
      <c r="AA90" s="6345" t="n"/>
      <c r="AB90" s="8651" t="n"/>
      <c r="AC90" s="8651" t="n"/>
      <c r="AD90" s="8651" t="n"/>
      <c r="AE90" s="8651" t="n"/>
      <c r="AF90" s="139" t="n"/>
      <c r="AG90" s="2875" t="n"/>
      <c r="AH90" s="139" t="n"/>
    </row>
    <row r="91" ht="12.75" customHeight="1" s="7635">
      <c r="A91" s="139" t="n"/>
      <c r="B91" s="2984" t="n">
        <v>48</v>
      </c>
      <c r="C91" s="5318" t="inlineStr">
        <is>
          <t>Inventory of livestock, produce, grains, and other products at end of year</t>
        </is>
      </c>
      <c r="D91" s="5267" t="n"/>
      <c r="E91" s="5267" t="n"/>
      <c r="F91" s="5267" t="n"/>
      <c r="G91" s="5267" t="n"/>
      <c r="H91" s="5267" t="n"/>
      <c r="I91" s="5267" t="n"/>
      <c r="J91" s="5267" t="n"/>
      <c r="K91" s="5267" t="n"/>
      <c r="L91" s="5267" t="n"/>
      <c r="M91" s="5267" t="n"/>
      <c r="N91" s="5267" t="n"/>
      <c r="O91" s="5267" t="n"/>
      <c r="P91" s="5267" t="n"/>
      <c r="Q91" s="5267" t="n"/>
      <c r="R91" s="6341" t="n"/>
      <c r="S91" s="6341" t="n"/>
      <c r="T91" s="6341" t="n"/>
      <c r="U91" s="6341" t="inlineStr">
        <is>
          <t xml:space="preserve">.   .   .   .   .   .   .   .   .   .   .   </t>
        </is>
      </c>
      <c r="V91" s="6351" t="n">
        <v>48</v>
      </c>
      <c r="W91" s="8170" t="n"/>
      <c r="X91" s="11717" t="n"/>
      <c r="Y91" s="11717" t="n"/>
      <c r="Z91" s="11717" t="n"/>
      <c r="AA91" s="6345" t="n"/>
      <c r="AB91" s="8651" t="n"/>
      <c r="AC91" s="8651" t="n"/>
      <c r="AD91" s="8651" t="n"/>
      <c r="AE91" s="8651" t="n"/>
      <c r="AF91" s="139" t="n"/>
      <c r="AG91" s="2875" t="n"/>
      <c r="AH91" s="139" t="n"/>
    </row>
    <row r="92" ht="9.75" customHeight="1" s="7635">
      <c r="A92" s="139" t="n"/>
      <c r="B92" s="8647" t="n"/>
      <c r="C92" s="8651" t="n"/>
      <c r="D92" s="8651" t="n"/>
      <c r="E92" s="8651" t="n"/>
      <c r="F92" s="8651" t="n"/>
      <c r="G92" s="8651" t="n"/>
      <c r="H92" s="8651" t="n"/>
      <c r="I92" s="8651" t="n"/>
      <c r="J92" s="8651" t="n"/>
      <c r="K92" s="8651" t="n"/>
      <c r="L92" s="8651" t="n"/>
      <c r="M92" s="8651" t="n"/>
      <c r="N92" s="8651" t="n"/>
      <c r="O92" s="8651" t="n"/>
      <c r="P92" s="8651" t="n"/>
      <c r="Q92" s="8651" t="n"/>
      <c r="R92" s="8651" t="n"/>
      <c r="S92" s="8651" t="n"/>
      <c r="T92" s="8651" t="n"/>
      <c r="U92" s="8651" t="n"/>
      <c r="V92" s="8651" t="n"/>
      <c r="W92" s="8651" t="n"/>
      <c r="X92" s="8651" t="n"/>
      <c r="Y92" s="8651" t="n"/>
      <c r="Z92" s="8651" t="n"/>
      <c r="AA92" s="6340" t="n"/>
      <c r="AB92" s="8651" t="n"/>
      <c r="AC92" s="8651" t="n"/>
      <c r="AD92" s="8651" t="n"/>
      <c r="AE92" s="8651" t="n"/>
      <c r="AF92" s="139" t="n"/>
      <c r="AG92" s="2875" t="n"/>
      <c r="AH92" s="139" t="n"/>
    </row>
    <row r="93" ht="14.25" customHeight="1" s="7635">
      <c r="A93" s="139" t="n"/>
      <c r="B93" s="2984" t="n">
        <v>49</v>
      </c>
      <c r="C93" s="8651" t="inlineStr">
        <is>
          <t>Cost of livestock, produce, grains, and other products sold. Subtract line 48 from line 47*</t>
        </is>
      </c>
      <c r="D93" s="8665" t="n"/>
      <c r="E93" s="8665" t="n"/>
      <c r="F93" s="8665" t="n"/>
      <c r="G93" s="8665" t="n"/>
      <c r="H93" s="8665" t="n"/>
      <c r="I93" s="8665" t="n"/>
      <c r="J93" s="8665" t="n"/>
      <c r="K93" s="8665" t="n"/>
      <c r="L93" s="8665" t="n"/>
      <c r="M93" s="8665" t="n"/>
      <c r="N93" s="8665" t="n"/>
      <c r="O93" s="8665" t="n"/>
      <c r="P93" s="8665" t="n"/>
      <c r="Q93" s="8665" t="n"/>
      <c r="R93" s="8665" t="n"/>
      <c r="S93" s="8665" t="n"/>
      <c r="T93" s="8665" t="n"/>
      <c r="U93" s="8665" t="n"/>
      <c r="V93" s="8665" t="n"/>
      <c r="W93" s="8665" t="n"/>
      <c r="X93" s="8665" t="n"/>
      <c r="Y93" s="8665" t="n"/>
      <c r="Z93" s="6341" t="inlineStr">
        <is>
          <t xml:space="preserve">.   .   .   .   .   .   .   .   .   .   .   .   .   .  </t>
        </is>
      </c>
      <c r="AA93" s="8230" t="n">
        <v>49</v>
      </c>
      <c r="AB93" s="8176">
        <f>SUM(W89,-W91)</f>
        <v/>
      </c>
      <c r="AC93" s="7637" t="n"/>
      <c r="AD93" s="7637" t="n"/>
      <c r="AE93" s="7637" t="n"/>
      <c r="AF93" s="139" t="n"/>
      <c r="AG93" s="2875" t="n"/>
      <c r="AH93" s="139" t="n"/>
    </row>
    <row r="94" ht="9.75" customHeight="1" s="7635">
      <c r="A94" s="139" t="n"/>
      <c r="B94" s="8647" t="n"/>
      <c r="C94" s="8651" t="n"/>
      <c r="D94" s="8651" t="n"/>
      <c r="E94" s="8651" t="n"/>
      <c r="F94" s="8651" t="n"/>
      <c r="G94" s="8651" t="n"/>
      <c r="H94" s="8651" t="n"/>
      <c r="I94" s="8651" t="n"/>
      <c r="J94" s="8651" t="n"/>
      <c r="K94" s="8651" t="n"/>
      <c r="L94" s="8651" t="n"/>
      <c r="M94" s="8651" t="n"/>
      <c r="N94" s="8651" t="n"/>
      <c r="O94" s="8651" t="n"/>
      <c r="P94" s="8651" t="n"/>
      <c r="Q94" s="8651" t="n"/>
      <c r="R94" s="8651" t="n"/>
      <c r="S94" s="8651" t="n"/>
      <c r="T94" s="8651" t="n"/>
      <c r="U94" s="8651" t="n"/>
      <c r="V94" s="8651" t="n"/>
      <c r="W94" s="8651" t="n"/>
      <c r="X94" s="8651" t="n"/>
      <c r="Y94" s="8651" t="n"/>
      <c r="Z94" s="8651" t="n"/>
      <c r="AA94" s="6340" t="n"/>
      <c r="AB94" s="8666">
        <f>IF(OR(AB82&lt;&gt;0,W89&lt;&gt;0,AB93&lt;&gt;0),TRUE,FALSE)</f>
        <v/>
      </c>
      <c r="AC94" s="7839" t="n"/>
      <c r="AD94" s="7839" t="n"/>
      <c r="AE94" s="7839" t="n"/>
      <c r="AF94" s="139" t="n"/>
      <c r="AG94" s="2875" t="n"/>
      <c r="AH94" s="139" t="n"/>
    </row>
    <row r="95" ht="14.25" customHeight="1" s="7635">
      <c r="A95" s="139" t="n"/>
      <c r="B95" s="8238" t="n">
        <v>50</v>
      </c>
      <c r="C95" s="3110" t="inlineStr">
        <is>
          <t>Gross income. Subtract line 49 from line 44. Enter the result here and on Part I, line 9</t>
        </is>
      </c>
      <c r="D95" s="5212" t="n"/>
      <c r="E95" s="5212" t="n"/>
      <c r="F95" s="5212" t="n"/>
      <c r="G95" s="5212" t="n"/>
      <c r="H95" s="5212" t="n"/>
      <c r="I95" s="5212" t="n"/>
      <c r="J95" s="5212" t="n"/>
      <c r="K95" s="5212" t="n"/>
      <c r="L95" s="5212" t="n"/>
      <c r="M95" s="5212" t="n"/>
      <c r="N95" s="5212" t="n"/>
      <c r="O95" s="5212" t="n"/>
      <c r="P95" s="5212" t="n"/>
      <c r="Q95" s="5212" t="n"/>
      <c r="R95" s="5212" t="n"/>
      <c r="S95" s="5212" t="n"/>
      <c r="T95" s="5212" t="n"/>
      <c r="U95" s="5212" t="n"/>
      <c r="V95" s="5212" t="n"/>
      <c r="W95" s="5212" t="n"/>
      <c r="X95" s="5212" t="n"/>
      <c r="Y95" s="5212" t="n"/>
      <c r="Z95" s="6353" t="inlineStr">
        <is>
          <t xml:space="preserve">.   .   .   .   .   .   .   .   .   .   .   .   .   .   .  </t>
        </is>
      </c>
      <c r="AA95" s="8230" t="n">
        <v>50</v>
      </c>
      <c r="AB95" s="8176">
        <f>IF(AG95&lt;&gt;"",ROUND(AG95,0),SUM(AB82,-AB93))</f>
        <v/>
      </c>
      <c r="AC95" s="7637" t="n"/>
      <c r="AD95" s="7637" t="n"/>
      <c r="AE95" s="7637" t="n"/>
      <c r="AF95" s="139" t="n"/>
      <c r="AG95" s="134" t="n"/>
      <c r="AH95" s="139" t="n"/>
    </row>
    <row r="96" ht="14.25" customHeight="1" s="7635">
      <c r="A96" s="139" t="n"/>
      <c r="B96" s="2769" t="inlineStr">
        <is>
          <t>*If you use the unit-livestock-price method or the farm-price method of valuing inventory and the amount on line 48 is larger than the amount on line</t>
        </is>
      </c>
      <c r="C96" s="2770" t="n"/>
      <c r="D96" s="5267" t="n"/>
      <c r="E96" s="5267" t="n"/>
      <c r="F96" s="5267" t="n"/>
      <c r="G96" s="5267" t="n"/>
      <c r="H96" s="5267" t="n"/>
      <c r="I96" s="5267" t="n"/>
      <c r="J96" s="5267" t="n"/>
      <c r="K96" s="5267" t="n"/>
      <c r="L96" s="5267" t="n"/>
      <c r="M96" s="5267" t="n"/>
      <c r="N96" s="5267" t="n"/>
      <c r="O96" s="5267" t="n"/>
      <c r="P96" s="5267" t="n"/>
      <c r="Q96" s="5267" t="n"/>
      <c r="R96" s="5267" t="n"/>
      <c r="S96" s="5267" t="n"/>
      <c r="T96" s="5267" t="n"/>
      <c r="U96" s="5267" t="n"/>
      <c r="V96" s="5267" t="n"/>
      <c r="W96" s="5267" t="n"/>
      <c r="X96" s="5267" t="n"/>
      <c r="Y96" s="5267" t="n"/>
      <c r="Z96" s="5267" t="n"/>
      <c r="AA96" s="5267" t="n"/>
      <c r="AB96" s="5267" t="n"/>
      <c r="AC96" s="5267" t="n"/>
      <c r="AD96" s="5267" t="n"/>
      <c r="AE96" s="5267" t="n"/>
      <c r="AF96" s="139" t="n"/>
      <c r="AG96" s="2875" t="n"/>
      <c r="AH96" s="139" t="n"/>
    </row>
    <row r="97" ht="14.25" customHeight="1" s="7635" thickBot="1">
      <c r="A97" s="139" t="n"/>
      <c r="B97" s="3370" t="inlineStr">
        <is>
          <t>47, subtract line 47 from line 48. Enter the result on line 49. Add lines 44 and 49. Enter the total on line 50 and on Part I, line 9.</t>
        </is>
      </c>
      <c r="C97" s="6354" t="n"/>
      <c r="D97" s="6335" t="n"/>
      <c r="E97" s="6335" t="n"/>
      <c r="F97" s="6335" t="n"/>
      <c r="G97" s="6335" t="n"/>
      <c r="H97" s="6335" t="n"/>
      <c r="I97" s="6335" t="n"/>
      <c r="J97" s="6335" t="n"/>
      <c r="K97" s="6335" t="n"/>
      <c r="L97" s="6335" t="n"/>
      <c r="M97" s="6335" t="n"/>
      <c r="N97" s="6335" t="n"/>
      <c r="O97" s="6335" t="n"/>
      <c r="P97" s="6335" t="n"/>
      <c r="Q97" s="6335" t="n"/>
      <c r="R97" s="6335" t="n"/>
      <c r="S97" s="6335" t="n"/>
      <c r="T97" s="6335" t="n"/>
      <c r="U97" s="6335" t="n"/>
      <c r="V97" s="6335" t="n"/>
      <c r="W97" s="6335" t="n"/>
      <c r="X97" s="6335" t="n"/>
      <c r="Y97" s="6335" t="n"/>
      <c r="Z97" s="6335" t="n"/>
      <c r="AA97" s="6335" t="n"/>
      <c r="AB97" s="6335" t="n"/>
      <c r="AC97" s="6335" t="n"/>
      <c r="AD97" s="6335" t="n"/>
      <c r="AE97" s="6335" t="n"/>
      <c r="AF97" s="139" t="n"/>
      <c r="AG97" s="2875" t="n"/>
      <c r="AH97" s="139" t="n"/>
    </row>
    <row r="98" ht="15" customHeight="1" s="7635" thickTop="1">
      <c r="A98" s="139" t="n"/>
      <c r="B98" s="8668" t="inlineStr">
        <is>
          <t>Part IV</t>
        </is>
      </c>
      <c r="C98" s="11713" t="n"/>
      <c r="D98" s="6355" t="inlineStr">
        <is>
          <t xml:space="preserve">  Principal Agricultural Activity Codes</t>
        </is>
      </c>
      <c r="E98" s="6339" t="n"/>
      <c r="F98" s="6339" t="n"/>
      <c r="G98" s="6339" t="n"/>
      <c r="H98" s="6339" t="n"/>
      <c r="I98" s="6339" t="n"/>
      <c r="J98" s="6339" t="n"/>
      <c r="K98" s="6339" t="n"/>
      <c r="L98" s="6339" t="n"/>
      <c r="M98" s="6339" t="n"/>
      <c r="N98" s="6339" t="n"/>
      <c r="O98" s="6339" t="n"/>
      <c r="P98" s="6339" t="n"/>
      <c r="Q98" s="6339" t="n"/>
      <c r="R98" s="6339" t="n"/>
      <c r="S98" s="6339" t="n"/>
      <c r="T98" s="6339" t="n"/>
      <c r="U98" s="6339" t="n"/>
      <c r="V98" s="6339" t="n"/>
      <c r="W98" s="6339" t="n"/>
      <c r="X98" s="6339" t="n"/>
      <c r="Y98" s="6339" t="n"/>
      <c r="Z98" s="6339" t="n"/>
      <c r="AA98" s="6339" t="n"/>
      <c r="AB98" s="6339" t="n"/>
      <c r="AC98" s="6339" t="n"/>
      <c r="AD98" s="6339" t="n"/>
      <c r="AE98" s="6339" t="n"/>
      <c r="AF98" s="139" t="n"/>
      <c r="AG98" s="2875" t="n"/>
      <c r="AH98" s="139" t="n"/>
    </row>
    <row r="99" ht="12.75" customHeight="1" s="7635">
      <c r="A99" s="139" t="n"/>
      <c r="B99" s="2984" t="n"/>
      <c r="C99" s="2984" t="n"/>
      <c r="D99" s="6356" t="inlineStr">
        <is>
          <t>Do not file Schedule F (Form 1040) to report the</t>
        </is>
      </c>
      <c r="E99" s="6357" t="n"/>
      <c r="F99" s="8651" t="n"/>
      <c r="G99" s="8651" t="n"/>
      <c r="H99" s="8651" t="n"/>
      <c r="I99" s="8651" t="n"/>
      <c r="J99" s="8651" t="n"/>
      <c r="K99" s="8651" t="n"/>
      <c r="L99" s="8651" t="n"/>
      <c r="M99" s="8651" t="n"/>
      <c r="N99" s="8651" t="n"/>
      <c r="O99" s="8651" t="n">
        <v>111300</v>
      </c>
      <c r="R99" s="8651" t="inlineStr">
        <is>
          <t>Fruit and tree nut farming</t>
        </is>
      </c>
      <c r="S99" s="8665" t="n"/>
      <c r="T99" s="8665" t="n"/>
      <c r="U99" s="8665" t="n"/>
      <c r="V99" s="8651" t="n"/>
      <c r="W99" s="8651" t="n"/>
      <c r="X99" s="8651" t="n"/>
      <c r="Y99" s="8651" t="n"/>
      <c r="Z99" s="8651" t="n"/>
      <c r="AA99" s="8651" t="n"/>
      <c r="AB99" s="8651" t="n"/>
      <c r="AC99" s="8651" t="n"/>
      <c r="AD99" s="8651" t="n"/>
      <c r="AE99" s="8651" t="n"/>
      <c r="AF99" s="139" t="n"/>
      <c r="AG99" s="2875" t="n"/>
      <c r="AH99" s="139" t="n"/>
    </row>
    <row r="100" ht="12.75" customHeight="1" s="7635">
      <c r="A100" s="139" t="n"/>
      <c r="B100" s="2984" t="n"/>
      <c r="C100" s="2984" t="n"/>
      <c r="D100" s="6356" t="inlineStr">
        <is>
          <t>following.</t>
        </is>
      </c>
      <c r="E100" s="6357" t="n"/>
      <c r="F100" s="8651" t="n"/>
      <c r="G100" s="8651" t="n"/>
      <c r="H100" s="8651" t="n"/>
      <c r="I100" s="8651" t="n"/>
      <c r="J100" s="8651" t="n"/>
      <c r="K100" s="8651" t="n"/>
      <c r="L100" s="8651" t="n"/>
      <c r="M100" s="8651" t="n"/>
      <c r="N100" s="8651" t="n"/>
      <c r="O100" s="8651" t="n">
        <v>111400</v>
      </c>
      <c r="R100" s="8651" t="inlineStr">
        <is>
          <t>Greenhouse, nursery, and floriculture production</t>
        </is>
      </c>
      <c r="S100" s="8665" t="n"/>
      <c r="T100" s="8665" t="n"/>
      <c r="U100" s="8665" t="n"/>
      <c r="V100" s="8651" t="n"/>
      <c r="W100" s="8651" t="n"/>
      <c r="X100" s="8651" t="n"/>
      <c r="Y100" s="8651" t="n"/>
      <c r="Z100" s="8651" t="n"/>
      <c r="AA100" s="8651" t="n"/>
      <c r="AB100" s="8651" t="n"/>
      <c r="AC100" s="8651" t="n"/>
      <c r="AD100" s="8651" t="n"/>
      <c r="AE100" s="8651" t="n"/>
      <c r="AF100" s="139" t="n"/>
      <c r="AG100" s="2875" t="n"/>
      <c r="AH100" s="139" t="n"/>
    </row>
    <row r="101" ht="12.75" customHeight="1" s="7635">
      <c r="A101" s="139" t="n"/>
      <c r="B101" s="2984" t="n"/>
      <c r="C101" s="2984" t="n"/>
      <c r="D101" s="6356" t="inlineStr">
        <is>
          <t>• Income from providing agricultural services such as</t>
        </is>
      </c>
      <c r="E101" s="6357" t="n"/>
      <c r="F101" s="8651" t="n"/>
      <c r="G101" s="8651" t="n"/>
      <c r="H101" s="8651" t="n"/>
      <c r="I101" s="8651" t="n"/>
      <c r="J101" s="8651" t="n"/>
      <c r="K101" s="8651" t="n"/>
      <c r="L101" s="8651" t="n"/>
      <c r="M101" s="8651" t="n"/>
      <c r="N101" s="8651" t="n"/>
      <c r="O101" s="8651" t="n">
        <v>111900</v>
      </c>
      <c r="R101" s="8651" t="inlineStr">
        <is>
          <t>Other crop farming</t>
        </is>
      </c>
      <c r="S101" s="8665" t="n"/>
      <c r="T101" s="8665" t="n"/>
      <c r="U101" s="8665" t="n"/>
      <c r="V101" s="8651" t="n"/>
      <c r="W101" s="8651" t="n"/>
      <c r="X101" s="8651" t="n"/>
      <c r="Y101" s="8651" t="n"/>
      <c r="Z101" s="8651" t="n"/>
      <c r="AA101" s="8651" t="n"/>
      <c r="AB101" s="8651" t="n"/>
      <c r="AC101" s="8651" t="n"/>
      <c r="AD101" s="8651" t="n"/>
      <c r="AE101" s="8651" t="n"/>
      <c r="AF101" s="139" t="n"/>
      <c r="AG101" s="2875" t="n"/>
      <c r="AH101" s="139" t="n"/>
    </row>
    <row r="102" ht="12.75" customHeight="1" s="7635">
      <c r="A102" s="139" t="n"/>
      <c r="B102" s="2984" t="n"/>
      <c r="C102" s="2984" t="n"/>
      <c r="D102" s="6356" t="inlineStr">
        <is>
          <t>soil preparation, veterinary, farm labor, horticultural services</t>
        </is>
      </c>
      <c r="E102" s="6357" t="n"/>
      <c r="F102" s="8651" t="n"/>
      <c r="G102" s="8651" t="n"/>
      <c r="H102" s="8651" t="n"/>
      <c r="I102" s="8651" t="n"/>
      <c r="J102" s="8651" t="n"/>
      <c r="K102" s="8651" t="n"/>
      <c r="L102" s="8651" t="n"/>
      <c r="M102" s="8651" t="n"/>
      <c r="N102" s="8651" t="n"/>
      <c r="O102" s="6358" t="inlineStr">
        <is>
          <t>Animal Production</t>
        </is>
      </c>
      <c r="P102" s="8651" t="n"/>
      <c r="Q102" s="8651" t="n"/>
      <c r="R102" s="8651" t="n"/>
      <c r="S102" s="8651" t="n"/>
      <c r="T102" s="8651" t="n"/>
      <c r="U102" s="8651" t="n"/>
      <c r="V102" s="8651" t="n"/>
      <c r="W102" s="8651" t="n"/>
      <c r="X102" s="8651" t="n"/>
      <c r="Y102" s="8651" t="n"/>
      <c r="Z102" s="8651" t="n"/>
      <c r="AA102" s="8651" t="n"/>
      <c r="AB102" s="8651" t="n"/>
      <c r="AC102" s="8651" t="n"/>
      <c r="AD102" s="8651" t="n"/>
      <c r="AE102" s="8651" t="n"/>
      <c r="AF102" s="139" t="n"/>
      <c r="AG102" s="2875" t="n"/>
      <c r="AH102" s="139" t="n"/>
    </row>
    <row r="103" ht="12.75" customHeight="1" s="7635">
      <c r="A103" s="139" t="n"/>
      <c r="B103" s="6359" t="inlineStr">
        <is>
          <t>if your principal source of income is from providing such services.</t>
        </is>
      </c>
      <c r="C103" s="6360" t="n"/>
      <c r="D103" s="6361" t="n"/>
      <c r="E103" s="8651" t="n"/>
      <c r="F103" s="8651" t="n"/>
      <c r="G103" s="8651" t="n"/>
      <c r="H103" s="8651" t="n"/>
      <c r="I103" s="8651" t="n"/>
      <c r="J103" s="8651" t="n"/>
      <c r="K103" s="8651" t="n"/>
      <c r="L103" s="8651" t="n"/>
      <c r="M103" s="8651" t="n"/>
      <c r="N103" s="8651" t="n"/>
      <c r="O103" s="8651" t="n">
        <v>112111</v>
      </c>
      <c r="R103" s="8651" t="inlineStr">
        <is>
          <t>Beef cattle ranching and farming</t>
        </is>
      </c>
      <c r="S103" s="8665" t="n"/>
      <c r="T103" s="8665" t="n"/>
      <c r="U103" s="8665" t="n"/>
      <c r="V103" s="8651" t="n"/>
      <c r="W103" s="8651" t="n"/>
      <c r="X103" s="8651" t="n"/>
      <c r="Y103" s="8651" t="n"/>
      <c r="Z103" s="8651" t="n"/>
      <c r="AA103" s="8651" t="n"/>
      <c r="AB103" s="8651" t="n"/>
      <c r="AC103" s="8651" t="n"/>
      <c r="AD103" s="8651" t="n"/>
      <c r="AE103" s="8651" t="n"/>
      <c r="AF103" s="139" t="n"/>
      <c r="AG103" s="2875" t="n"/>
      <c r="AH103" s="139" t="n"/>
    </row>
    <row r="104" ht="12.75" customHeight="1" s="7635">
      <c r="A104" s="139" t="n"/>
      <c r="B104" s="6359" t="inlineStr">
        <is>
          <t>Instead, see the Instructions for Schedule C (Form 1040).</t>
        </is>
      </c>
      <c r="C104" s="6362" t="n"/>
      <c r="D104" s="6361" t="n"/>
      <c r="E104" s="8651" t="n"/>
      <c r="F104" s="8651" t="n"/>
      <c r="G104" s="8651" t="n"/>
      <c r="H104" s="8651" t="n"/>
      <c r="I104" s="8651" t="n"/>
      <c r="J104" s="8651" t="n"/>
      <c r="K104" s="8651" t="n"/>
      <c r="L104" s="8651" t="n"/>
      <c r="M104" s="8651" t="n"/>
      <c r="N104" s="8651" t="n"/>
      <c r="O104" s="8651" t="n">
        <v>112112</v>
      </c>
      <c r="R104" s="8651" t="inlineStr">
        <is>
          <t>Cattle feedlots</t>
        </is>
      </c>
      <c r="S104" s="8665" t="n"/>
      <c r="T104" s="8665" t="n"/>
      <c r="U104" s="8665" t="n"/>
      <c r="V104" s="8651" t="n"/>
      <c r="W104" s="8651" t="n"/>
      <c r="X104" s="8651" t="n"/>
      <c r="Y104" s="8651" t="n"/>
      <c r="Z104" s="8651" t="n"/>
      <c r="AA104" s="8651" t="n"/>
      <c r="AB104" s="8651" t="n"/>
      <c r="AC104" s="8651" t="n"/>
      <c r="AD104" s="8651" t="n"/>
      <c r="AE104" s="8651" t="n"/>
      <c r="AF104" s="139" t="n"/>
      <c r="AG104" s="2875" t="n"/>
      <c r="AH104" s="139" t="n"/>
    </row>
    <row r="105" ht="12.75" customHeight="1" s="7635">
      <c r="A105" s="139" t="n"/>
      <c r="B105" s="6362" t="inlineStr">
        <is>
          <t>• Income from breeding, raising, or caring for dogs, cats, or</t>
        </is>
      </c>
      <c r="C105" s="6362" t="n"/>
      <c r="D105" s="6361" t="n"/>
      <c r="E105" s="5266" t="n"/>
      <c r="F105" s="5318" t="n"/>
      <c r="G105" s="5318" t="n"/>
      <c r="H105" s="5318" t="n"/>
      <c r="I105" s="5318" t="n"/>
      <c r="J105" s="5318" t="n"/>
      <c r="K105" s="5318" t="n"/>
      <c r="L105" s="5318" t="n"/>
      <c r="M105" s="5318" t="n"/>
      <c r="N105" s="6363" t="n"/>
      <c r="O105" s="8649" t="n">
        <v>112120</v>
      </c>
      <c r="R105" s="8649" t="inlineStr">
        <is>
          <t>Dairy cattle and milk production</t>
        </is>
      </c>
      <c r="S105" s="6365" t="n"/>
      <c r="T105" s="6365" t="n"/>
      <c r="U105" s="6365" t="n"/>
      <c r="V105" s="6363" t="n"/>
      <c r="W105" s="6363" t="n"/>
      <c r="X105" s="6363" t="n"/>
      <c r="Y105" s="6363" t="n"/>
      <c r="Z105" s="6363" t="n"/>
      <c r="AA105" s="6363" t="n"/>
      <c r="AB105" s="6363" t="n"/>
      <c r="AC105" s="6363" t="n"/>
      <c r="AD105" s="6363" t="n"/>
      <c r="AE105" s="5318" t="n"/>
      <c r="AF105" s="139" t="n"/>
      <c r="AG105" s="2875" t="n"/>
      <c r="AH105" s="139" t="n"/>
    </row>
    <row r="106" ht="12.75" customHeight="1" s="7635">
      <c r="A106" s="139" t="n"/>
      <c r="B106" s="6359" t="inlineStr">
        <is>
          <t>other pet animals. Instead, see the Instructions for Schedule C</t>
        </is>
      </c>
      <c r="C106" s="6362" t="n"/>
      <c r="D106" s="6361" t="n"/>
      <c r="E106" s="5266" t="n"/>
      <c r="F106" s="5318" t="n"/>
      <c r="G106" s="5318" t="n"/>
      <c r="H106" s="5318" t="n"/>
      <c r="I106" s="5318" t="n"/>
      <c r="J106" s="5318" t="n"/>
      <c r="K106" s="5318" t="n"/>
      <c r="L106" s="5318" t="n"/>
      <c r="M106" s="5318" t="n"/>
      <c r="N106" s="6363" t="n"/>
      <c r="O106" s="8649" t="n">
        <v>112210</v>
      </c>
      <c r="R106" s="8649" t="inlineStr">
        <is>
          <t>Hog and pig farming</t>
        </is>
      </c>
      <c r="S106" s="6365" t="n"/>
      <c r="T106" s="6365" t="n"/>
      <c r="U106" s="6365" t="n"/>
      <c r="V106" s="6363" t="n"/>
      <c r="W106" s="6363" t="n"/>
      <c r="X106" s="6363" t="n"/>
      <c r="Y106" s="6363" t="n"/>
      <c r="Z106" s="6363" t="n"/>
      <c r="AA106" s="6363" t="n"/>
      <c r="AB106" s="6363" t="n"/>
      <c r="AC106" s="6363" t="n"/>
      <c r="AD106" s="6363" t="n"/>
      <c r="AE106" s="5318" t="n"/>
      <c r="AF106" s="139" t="n"/>
      <c r="AG106" s="2875" t="n"/>
      <c r="AH106" s="139" t="n"/>
    </row>
    <row r="107" ht="12.75" customHeight="1" s="7635">
      <c r="A107" s="139" t="n"/>
      <c r="B107" s="6359" t="inlineStr">
        <is>
          <t>(Form 1040).</t>
        </is>
      </c>
      <c r="C107" s="6362" t="n"/>
      <c r="D107" s="6361" t="n"/>
      <c r="E107" s="5266" t="n"/>
      <c r="F107" s="5318" t="n"/>
      <c r="G107" s="5318" t="n"/>
      <c r="H107" s="5318" t="n"/>
      <c r="I107" s="5318" t="n"/>
      <c r="J107" s="5318" t="n"/>
      <c r="K107" s="5318" t="n"/>
      <c r="L107" s="5318" t="n"/>
      <c r="M107" s="5318" t="n"/>
      <c r="N107" s="6363" t="n"/>
      <c r="O107" s="8747" t="n">
        <v>112300</v>
      </c>
      <c r="R107" s="8649" t="inlineStr">
        <is>
          <t>Poultry and egg production</t>
        </is>
      </c>
      <c r="S107" s="6365" t="n"/>
      <c r="T107" s="6365" t="n"/>
      <c r="U107" s="6365" t="n"/>
      <c r="V107" s="6363" t="n"/>
      <c r="W107" s="6363" t="n"/>
      <c r="X107" s="6363" t="n"/>
      <c r="Y107" s="6363" t="n"/>
      <c r="Z107" s="6363" t="n"/>
      <c r="AA107" s="6363" t="n"/>
      <c r="AB107" s="6363" t="n"/>
      <c r="AC107" s="6363" t="n"/>
      <c r="AD107" s="6363" t="n"/>
      <c r="AE107" s="5318" t="n"/>
      <c r="AF107" s="139" t="n"/>
      <c r="AG107" s="2875" t="n"/>
      <c r="AH107" s="139" t="n"/>
    </row>
    <row r="108" ht="12.75" customHeight="1" s="7635">
      <c r="A108" s="139" t="n"/>
      <c r="B108" s="6362" t="inlineStr">
        <is>
          <t>• Income from managing a farm for a fee or on a contract basis.</t>
        </is>
      </c>
      <c r="C108" s="6362" t="n"/>
      <c r="D108" s="6361" t="n"/>
      <c r="E108" s="5266" t="n"/>
      <c r="F108" s="5318" t="n"/>
      <c r="G108" s="5318" t="n"/>
      <c r="H108" s="5318" t="n"/>
      <c r="I108" s="5318" t="n"/>
      <c r="J108" s="5318" t="n"/>
      <c r="K108" s="5318" t="n"/>
      <c r="L108" s="5318" t="n"/>
      <c r="M108" s="5318" t="n"/>
      <c r="N108" s="6363" t="n"/>
      <c r="O108" s="8747" t="n">
        <v>112400</v>
      </c>
      <c r="R108" s="8649" t="inlineStr">
        <is>
          <t>Sheep and goat farming</t>
        </is>
      </c>
      <c r="S108" s="6365" t="n"/>
      <c r="T108" s="6365" t="n"/>
      <c r="U108" s="6365" t="n"/>
      <c r="V108" s="6363" t="n"/>
      <c r="W108" s="6363" t="n"/>
      <c r="X108" s="6363" t="n"/>
      <c r="Y108" s="6363" t="n"/>
      <c r="Z108" s="6363" t="n"/>
      <c r="AA108" s="6363" t="n"/>
      <c r="AB108" s="6363" t="n"/>
      <c r="AC108" s="6363" t="n"/>
      <c r="AD108" s="6363" t="n"/>
      <c r="AE108" s="5318" t="n"/>
      <c r="AF108" s="139" t="n"/>
      <c r="AG108" s="2875" t="n"/>
      <c r="AH108" s="139" t="n"/>
    </row>
    <row r="109" ht="12.75" customHeight="1" s="7635">
      <c r="A109" s="139" t="n"/>
      <c r="B109" s="6359" t="inlineStr">
        <is>
          <t>Instead, see the Instructions for Schedule C (Form 1040).</t>
        </is>
      </c>
      <c r="C109" s="6362" t="n"/>
      <c r="D109" s="6361" t="n"/>
      <c r="E109" s="5266" t="n"/>
      <c r="F109" s="5318" t="n"/>
      <c r="G109" s="5318" t="n"/>
      <c r="H109" s="5318" t="n"/>
      <c r="I109" s="5318" t="n"/>
      <c r="J109" s="5318" t="n"/>
      <c r="K109" s="5318" t="n"/>
      <c r="L109" s="5318" t="n"/>
      <c r="M109" s="5318" t="n"/>
      <c r="N109" s="6363" t="n"/>
      <c r="O109" s="8748" t="n">
        <v>112510</v>
      </c>
      <c r="R109" s="6366" t="inlineStr">
        <is>
          <t>Aquaculture</t>
        </is>
      </c>
      <c r="S109" s="6365" t="n"/>
      <c r="T109" s="6365" t="n"/>
      <c r="U109" s="6365" t="n"/>
      <c r="V109" s="6363" t="n"/>
      <c r="W109" s="6363" t="n"/>
      <c r="X109" s="6363" t="n"/>
      <c r="Y109" s="6363" t="n"/>
      <c r="Z109" s="6363" t="n"/>
      <c r="AA109" s="6363" t="n"/>
      <c r="AB109" s="6363" t="n"/>
      <c r="AC109" s="6363" t="n"/>
      <c r="AD109" s="6363" t="n"/>
      <c r="AE109" s="5318" t="n"/>
      <c r="AF109" s="139" t="n"/>
      <c r="AG109" s="2875" t="n"/>
      <c r="AH109" s="139" t="n"/>
    </row>
    <row r="110" ht="12.75" customHeight="1" s="7635">
      <c r="A110" s="139" t="n"/>
      <c r="B110" s="6362" t="inlineStr">
        <is>
          <t>• Sales of livestock held for draft, breeding, sport, or dairy</t>
        </is>
      </c>
      <c r="C110" s="6362" t="n"/>
      <c r="D110" s="6361" t="n"/>
      <c r="E110" s="5266" t="n"/>
      <c r="F110" s="5318" t="n"/>
      <c r="G110" s="5318" t="n"/>
      <c r="H110" s="5318" t="n"/>
      <c r="I110" s="5318" t="n"/>
      <c r="J110" s="5318" t="n"/>
      <c r="K110" s="5318" t="n"/>
      <c r="L110" s="5318" t="n"/>
      <c r="M110" s="5318" t="n"/>
      <c r="N110" s="6363" t="n"/>
      <c r="O110" s="8747" t="n">
        <v>112900</v>
      </c>
      <c r="R110" s="8649" t="inlineStr">
        <is>
          <t>Other animal production</t>
        </is>
      </c>
      <c r="S110" s="6365" t="n"/>
      <c r="T110" s="6365" t="n"/>
      <c r="U110" s="6365" t="n"/>
      <c r="V110" s="6363" t="n"/>
      <c r="W110" s="6363" t="n"/>
      <c r="X110" s="6363" t="n"/>
      <c r="Y110" s="6363" t="n"/>
      <c r="Z110" s="6363" t="n"/>
      <c r="AA110" s="6363" t="n"/>
      <c r="AB110" s="6363" t="n"/>
      <c r="AC110" s="6363" t="n"/>
      <c r="AD110" s="6363" t="n"/>
      <c r="AE110" s="5318" t="n"/>
      <c r="AF110" s="139" t="n"/>
      <c r="AG110" s="2875" t="n"/>
      <c r="AH110" s="139" t="n"/>
    </row>
    <row r="111" ht="15.75" customHeight="1" s="7635" thickBot="1">
      <c r="A111" s="139" t="n"/>
      <c r="B111" s="6367" t="inlineStr">
        <is>
          <t>purposes. Instead, see the Instructions for Form 4797.</t>
        </is>
      </c>
      <c r="C111" s="6368" t="n"/>
      <c r="D111" s="6369" t="n"/>
      <c r="E111" s="6370" t="n"/>
      <c r="F111" s="6371" t="n"/>
      <c r="G111" s="6371" t="n"/>
      <c r="H111" s="6371" t="n"/>
      <c r="I111" s="6371" t="n"/>
      <c r="J111" s="6371" t="n"/>
      <c r="K111" s="6371" t="n"/>
      <c r="L111" s="6371" t="n"/>
      <c r="M111" s="6371" t="n"/>
      <c r="N111" s="6363" t="n"/>
      <c r="O111" s="6358" t="inlineStr">
        <is>
          <t>Forestry and Logging</t>
        </is>
      </c>
      <c r="P111" s="5318" t="n"/>
      <c r="Q111" s="5318" t="n"/>
      <c r="R111" s="5318" t="n"/>
      <c r="S111" s="5318" t="n"/>
      <c r="T111" s="6365" t="n"/>
      <c r="U111" s="6365" t="n"/>
      <c r="V111" s="6363" t="n"/>
      <c r="W111" s="6363" t="n"/>
      <c r="X111" s="6363" t="n"/>
      <c r="Y111" s="6363" t="n"/>
      <c r="Z111" s="6363" t="n"/>
      <c r="AA111" s="6363" t="n"/>
      <c r="AB111" s="6363" t="n"/>
      <c r="AC111" s="6363" t="n"/>
      <c r="AD111" s="6363" t="n"/>
      <c r="AE111" s="5318" t="n"/>
      <c r="AF111" s="139" t="n"/>
      <c r="AG111" s="2875" t="n"/>
      <c r="AH111" s="139" t="n"/>
    </row>
    <row r="112" ht="15" customHeight="1" s="7635" thickTop="1">
      <c r="A112" s="139" t="n"/>
      <c r="B112" s="6372" t="inlineStr">
        <is>
          <t>These codes for the Principal Agricultural Activity classify</t>
        </is>
      </c>
      <c r="C112" s="5214" t="n"/>
      <c r="D112" s="6357" t="n"/>
      <c r="E112" s="5267" t="n"/>
      <c r="F112" s="5267" t="n"/>
      <c r="G112" s="5267" t="n"/>
      <c r="H112" s="5267" t="n"/>
      <c r="I112" s="5267" t="n"/>
      <c r="J112" s="5267" t="n"/>
      <c r="K112" s="5267" t="n"/>
      <c r="L112" s="5318" t="n"/>
      <c r="M112" s="5318" t="n"/>
      <c r="N112" s="6363" t="n"/>
      <c r="O112" s="8677" t="n">
        <v>113000</v>
      </c>
      <c r="R112" s="8651" t="inlineStr">
        <is>
          <t>Forestry and logging (including forest nurseries and</t>
        </is>
      </c>
      <c r="S112" s="8665" t="n"/>
      <c r="T112" s="6365" t="n"/>
      <c r="U112" s="6365" t="n"/>
      <c r="V112" s="6363" t="n"/>
      <c r="W112" s="6363" t="n"/>
      <c r="X112" s="6363" t="n"/>
      <c r="Y112" s="6363" t="n"/>
      <c r="Z112" s="6363" t="n"/>
      <c r="AA112" s="6363" t="n"/>
      <c r="AB112" s="6363" t="n"/>
      <c r="AC112" s="6363" t="n"/>
      <c r="AD112" s="6363" t="n"/>
      <c r="AE112" s="5318" t="n"/>
      <c r="AF112" s="139" t="n"/>
      <c r="AG112" s="2875" t="n"/>
      <c r="AH112" s="139" t="n"/>
    </row>
    <row r="113" ht="12.75" customHeight="1" s="7635">
      <c r="A113" s="139" t="n"/>
      <c r="B113" s="8651" t="inlineStr">
        <is>
          <t>farms by their primary activity to facilitate the administration of</t>
        </is>
      </c>
      <c r="C113" s="8665" t="n"/>
      <c r="D113" s="6357" t="n"/>
      <c r="E113" s="5267" t="n"/>
      <c r="F113" s="5267" t="n"/>
      <c r="G113" s="5267" t="n"/>
      <c r="H113" s="5267" t="n"/>
      <c r="I113" s="5267" t="n"/>
      <c r="J113" s="5267" t="n"/>
      <c r="K113" s="5267" t="n"/>
      <c r="L113" s="5318" t="n"/>
      <c r="M113" s="5318" t="n"/>
      <c r="N113" s="6363" t="n"/>
      <c r="O113" s="5318" t="n"/>
      <c r="P113" s="5318" t="n"/>
      <c r="Q113" s="5318" t="n"/>
      <c r="R113" s="8651" t="inlineStr">
        <is>
          <t>timber tracts)</t>
        </is>
      </c>
      <c r="S113" s="8665" t="n"/>
      <c r="T113" s="6365" t="n"/>
      <c r="U113" s="6365" t="n"/>
      <c r="V113" s="6363" t="n"/>
      <c r="W113" s="6363" t="n"/>
      <c r="X113" s="6363" t="n"/>
      <c r="Y113" s="6363" t="n"/>
      <c r="Z113" s="6363" t="n"/>
      <c r="AA113" s="6363" t="n"/>
      <c r="AB113" s="6363" t="n"/>
      <c r="AC113" s="6363" t="n"/>
      <c r="AD113" s="6363" t="n"/>
      <c r="AE113" s="5318" t="n"/>
      <c r="AF113" s="139" t="n"/>
      <c r="AG113" s="2875" t="n"/>
      <c r="AH113" s="139" t="n"/>
    </row>
    <row r="114" ht="12.75" customHeight="1" s="7635">
      <c r="A114" s="139" t="n"/>
      <c r="B114" s="8651" t="inlineStr">
        <is>
          <t>the Internal Revenue Code. These six-digit codes are based on</t>
        </is>
      </c>
      <c r="C114" s="8665" t="n"/>
      <c r="D114" s="6357" t="n"/>
      <c r="E114" s="5267" t="n"/>
      <c r="F114" s="5267" t="n"/>
      <c r="G114" s="5267" t="n"/>
      <c r="H114" s="5267" t="n"/>
      <c r="I114" s="5267" t="n"/>
      <c r="J114" s="5267" t="n"/>
      <c r="K114" s="5267" t="n"/>
      <c r="L114" s="5318" t="n"/>
      <c r="M114" s="5318" t="n"/>
      <c r="N114" s="5318" t="n"/>
      <c r="O114" s="8651" t="n">
        <v>113110</v>
      </c>
      <c r="R114" s="8651" t="inlineStr">
        <is>
          <t>Timber tract operations</t>
        </is>
      </c>
      <c r="S114" s="8665" t="n"/>
      <c r="T114" s="5318" t="n"/>
      <c r="U114" s="5318" t="n"/>
      <c r="V114" s="5318" t="n"/>
      <c r="W114" s="5318" t="n"/>
      <c r="X114" s="5318" t="n"/>
      <c r="Y114" s="5318" t="n"/>
      <c r="Z114" s="5318" t="n"/>
      <c r="AA114" s="5318" t="n"/>
      <c r="AB114" s="5318" t="n"/>
      <c r="AC114" s="5318" t="n"/>
      <c r="AD114" s="5318" t="n"/>
      <c r="AE114" s="5318" t="n"/>
      <c r="AF114" s="139" t="n"/>
      <c r="AG114" s="2875" t="n"/>
      <c r="AH114" s="139" t="n"/>
    </row>
    <row r="115" ht="12.75" customHeight="1" s="7635">
      <c r="A115" s="139" t="n"/>
      <c r="B115" s="8651" t="inlineStr">
        <is>
          <t>the North American Industry Classification System (NAICS).</t>
        </is>
      </c>
      <c r="C115" s="8665" t="n"/>
      <c r="D115" s="6357" t="n"/>
      <c r="E115" s="5267" t="n"/>
      <c r="F115" s="5267" t="n"/>
      <c r="G115" s="5267" t="n"/>
      <c r="H115" s="5267" t="n"/>
      <c r="I115" s="5267" t="n"/>
      <c r="J115" s="5267" t="n"/>
      <c r="K115" s="5267" t="n"/>
      <c r="L115" s="5318" t="n"/>
      <c r="M115" s="5318" t="n"/>
      <c r="N115" s="5318" t="n"/>
      <c r="O115" s="8651" t="n">
        <v>113210</v>
      </c>
      <c r="R115" s="8651" t="inlineStr">
        <is>
          <t>Forest nurseries and gathering of forest products</t>
        </is>
      </c>
      <c r="S115" s="8665" t="n"/>
      <c r="T115" s="8665" t="n"/>
      <c r="U115" s="8665" t="n"/>
      <c r="V115" s="5318" t="n"/>
      <c r="W115" s="5318" t="n"/>
      <c r="X115" s="5318" t="n"/>
      <c r="Y115" s="5318" t="n"/>
      <c r="Z115" s="5318" t="n"/>
      <c r="AA115" s="5318" t="n"/>
      <c r="AB115" s="5318" t="n"/>
      <c r="AC115" s="5318" t="n"/>
      <c r="AD115" s="5318" t="n"/>
      <c r="AE115" s="5318" t="n"/>
      <c r="AF115" s="139" t="n"/>
      <c r="AG115" s="2875" t="n"/>
      <c r="AH115" s="139" t="n"/>
    </row>
    <row r="116" ht="12.75" customHeight="1" s="7635">
      <c r="A116" s="139" t="n"/>
      <c r="B116" s="6372" t="inlineStr">
        <is>
          <t>Select the code that best identifies your primary farming</t>
        </is>
      </c>
      <c r="C116" s="5214" t="n"/>
      <c r="D116" s="6357" t="n"/>
      <c r="E116" s="5267" t="n"/>
      <c r="F116" s="5267" t="n"/>
      <c r="G116" s="5267" t="n"/>
      <c r="H116" s="5267" t="n"/>
      <c r="I116" s="5267" t="n"/>
      <c r="J116" s="5267" t="n"/>
      <c r="K116" s="5267" t="n"/>
      <c r="L116" s="5318" t="n"/>
      <c r="M116" s="5318" t="n"/>
      <c r="N116" s="5318" t="n"/>
      <c r="O116" s="8651" t="n">
        <v>113310</v>
      </c>
      <c r="R116" s="8651" t="inlineStr">
        <is>
          <t>Logging</t>
        </is>
      </c>
      <c r="S116" s="8665" t="n"/>
      <c r="T116" s="8665" t="n"/>
      <c r="U116" s="8665" t="n"/>
      <c r="V116" s="5318" t="n"/>
      <c r="W116" s="5318" t="n"/>
      <c r="X116" s="5318" t="n"/>
      <c r="Y116" s="5318" t="n"/>
      <c r="Z116" s="5318" t="n"/>
      <c r="AA116" s="5318" t="n"/>
      <c r="AB116" s="5318" t="n"/>
      <c r="AC116" s="5318" t="n"/>
      <c r="AD116" s="5318" t="n"/>
      <c r="AE116" s="5318" t="n"/>
      <c r="AF116" s="139" t="n"/>
      <c r="AG116" s="2875" t="n"/>
      <c r="AH116" s="139" t="n"/>
    </row>
    <row r="117" ht="12.75" customHeight="1" s="7635">
      <c r="A117" s="139" t="n"/>
      <c r="B117" s="8651" t="inlineStr">
        <is>
          <t>activity and enter the six-digit number on line B.</t>
        </is>
      </c>
      <c r="C117" s="8665" t="n"/>
      <c r="D117" s="6357" t="n"/>
      <c r="E117" s="5267" t="n"/>
      <c r="F117" s="5267" t="n"/>
      <c r="G117" s="5267" t="n"/>
      <c r="H117" s="5267" t="n"/>
      <c r="I117" s="5267" t="n"/>
      <c r="J117" s="5267" t="n"/>
      <c r="K117" s="5267" t="n"/>
      <c r="L117" s="5318" t="n"/>
      <c r="M117" s="5318" t="n"/>
      <c r="N117" s="5318" t="n"/>
      <c r="O117" s="8647" t="n"/>
      <c r="R117" s="8647" t="n"/>
      <c r="S117" s="8665" t="n"/>
      <c r="T117" s="8665" t="n"/>
      <c r="U117" s="8665" t="n"/>
      <c r="V117" s="5318" t="n"/>
      <c r="W117" s="5318" t="n"/>
      <c r="X117" s="5318" t="n"/>
      <c r="Y117" s="5318" t="n"/>
      <c r="Z117" s="5318" t="n"/>
      <c r="AA117" s="5318" t="n"/>
      <c r="AB117" s="5318" t="n"/>
      <c r="AC117" s="5318" t="n"/>
      <c r="AD117" s="5318" t="n"/>
      <c r="AE117" s="5318" t="n"/>
      <c r="AF117" s="139" t="n"/>
      <c r="AG117" s="2875" t="n"/>
      <c r="AH117" s="139" t="n"/>
    </row>
    <row r="118" ht="12.75" customHeight="1" s="7635">
      <c r="A118" s="139" t="n"/>
      <c r="B118" s="6373" t="inlineStr">
        <is>
          <t>Crop Production</t>
        </is>
      </c>
      <c r="C118" s="2754" t="n"/>
      <c r="D118" s="6357" t="n"/>
      <c r="E118" s="5267" t="n"/>
      <c r="F118" s="5267" t="n"/>
      <c r="G118" s="5267" t="n"/>
      <c r="H118" s="5267" t="n"/>
      <c r="I118" s="5267" t="n"/>
      <c r="J118" s="5267" t="n"/>
      <c r="K118" s="5267" t="n"/>
      <c r="L118" s="5318" t="n"/>
      <c r="M118" s="5318" t="n"/>
      <c r="N118" s="5318" t="n"/>
      <c r="O118" s="8647" t="n"/>
      <c r="R118" s="8647" t="n"/>
      <c r="S118" s="8665" t="n"/>
      <c r="T118" s="8665" t="n"/>
      <c r="U118" s="8665" t="n"/>
      <c r="V118" s="5318" t="n"/>
      <c r="W118" s="5318" t="n"/>
      <c r="X118" s="5318" t="n"/>
      <c r="Y118" s="5318" t="n"/>
      <c r="Z118" s="5318" t="n"/>
      <c r="AA118" s="5318" t="n"/>
      <c r="AB118" s="5318" t="n"/>
      <c r="AC118" s="5318" t="n"/>
      <c r="AD118" s="5318" t="n"/>
      <c r="AE118" s="5318" t="n"/>
      <c r="AF118" s="139" t="n"/>
      <c r="AG118" s="2875" t="n"/>
      <c r="AH118" s="139" t="n"/>
    </row>
    <row r="119" ht="12.75" customHeight="1" s="7635">
      <c r="A119" s="139" t="n"/>
      <c r="B119" s="8665" t="n">
        <v>111100</v>
      </c>
      <c r="D119" s="8647" t="inlineStr">
        <is>
          <t>Oilseed and grain farming</t>
        </is>
      </c>
      <c r="E119" s="5266" t="n"/>
      <c r="F119" s="5318" t="n"/>
      <c r="G119" s="5318" t="n"/>
      <c r="H119" s="5318" t="n"/>
      <c r="I119" s="5318" t="n"/>
      <c r="J119" s="5318" t="n"/>
      <c r="K119" s="5318" t="n"/>
      <c r="L119" s="5318" t="n"/>
      <c r="M119" s="5318" t="n"/>
      <c r="N119" s="5318" t="n"/>
      <c r="O119" s="8647" t="n"/>
      <c r="R119" s="8647" t="n"/>
      <c r="S119" s="8665" t="n"/>
      <c r="T119" s="8665" t="n"/>
      <c r="U119" s="8665" t="n"/>
      <c r="V119" s="5318" t="n"/>
      <c r="W119" s="5318" t="n"/>
      <c r="X119" s="5318" t="n"/>
      <c r="Y119" s="5318" t="n"/>
      <c r="Z119" s="5318" t="n"/>
      <c r="AA119" s="5318" t="n"/>
      <c r="AB119" s="5318" t="n"/>
      <c r="AC119" s="5318" t="n"/>
      <c r="AD119" s="5318" t="n"/>
      <c r="AE119" s="5318" t="n"/>
      <c r="AF119" s="139" t="n"/>
      <c r="AG119" s="2875" t="n"/>
      <c r="AH119" s="139" t="n"/>
    </row>
    <row r="120" ht="12.75" customHeight="1" s="7635">
      <c r="A120" s="139" t="n"/>
      <c r="B120" s="8665" t="n">
        <v>111210</v>
      </c>
      <c r="D120" s="8647" t="inlineStr">
        <is>
          <t>Vegetable and melon farming</t>
        </is>
      </c>
      <c r="E120" s="5266" t="n"/>
      <c r="F120" s="5318" t="n"/>
      <c r="G120" s="5318" t="n"/>
      <c r="H120" s="5318" t="n"/>
      <c r="I120" s="5318" t="n"/>
      <c r="J120" s="5318" t="n"/>
      <c r="K120" s="5318" t="n"/>
      <c r="L120" s="5318" t="n"/>
      <c r="M120" s="5318" t="n"/>
      <c r="N120" s="5318" t="n"/>
      <c r="O120" s="5318" t="n"/>
      <c r="P120" s="5318" t="n"/>
      <c r="Q120" s="5318" t="n"/>
      <c r="R120" s="8665" t="n"/>
      <c r="S120" s="8665" t="n"/>
      <c r="T120" s="8665" t="n"/>
      <c r="U120" s="8665" t="n"/>
      <c r="V120" s="5318" t="n"/>
      <c r="W120" s="5318" t="n"/>
      <c r="X120" s="5318" t="n"/>
      <c r="Y120" s="5318" t="n"/>
      <c r="Z120" s="5318" t="n"/>
      <c r="AA120" s="5318" t="n"/>
      <c r="AB120" s="5318" t="n"/>
      <c r="AC120" s="5318" t="n"/>
      <c r="AD120" s="5318" t="n"/>
      <c r="AE120" s="5318" t="n"/>
      <c r="AF120" s="139" t="n"/>
      <c r="AG120" s="2875" t="n"/>
      <c r="AH120" s="139" t="n"/>
    </row>
    <row r="121" ht="12.75" customHeight="1" s="7635" thickBot="1">
      <c r="A121" s="139" t="n"/>
      <c r="B121" s="6374" t="n"/>
      <c r="C121" s="6374" t="n"/>
      <c r="D121" s="5334" t="n"/>
      <c r="E121" s="5334" t="n"/>
      <c r="F121" s="5301" t="n"/>
      <c r="G121" s="5301" t="n"/>
      <c r="H121" s="5301" t="n"/>
      <c r="I121" s="5301" t="n"/>
      <c r="J121" s="5301" t="n"/>
      <c r="K121" s="5301" t="n"/>
      <c r="L121" s="5301" t="n"/>
      <c r="M121" s="5301" t="n"/>
      <c r="N121" s="5301" t="n"/>
      <c r="O121" s="5301" t="n"/>
      <c r="P121" s="5301" t="n"/>
      <c r="Q121" s="5301" t="n"/>
      <c r="R121" s="5301" t="n"/>
      <c r="S121" s="5301" t="n"/>
      <c r="T121" s="5301" t="n"/>
      <c r="U121" s="5301" t="n"/>
      <c r="V121" s="5301" t="n"/>
      <c r="W121" s="5301" t="n"/>
      <c r="X121" s="5301" t="n"/>
      <c r="Y121" s="5301" t="n"/>
      <c r="Z121" s="5301" t="n"/>
      <c r="AA121" s="5301" t="n"/>
      <c r="AB121" s="5301" t="n"/>
      <c r="AC121" s="5301" t="n"/>
      <c r="AD121" s="5301" t="n"/>
      <c r="AE121" s="5301" t="n"/>
      <c r="AF121" s="139" t="n"/>
      <c r="AG121" s="2875" t="n"/>
      <c r="AH121" s="139" t="n"/>
    </row>
    <row r="122" ht="18" customHeight="1" s="7635">
      <c r="A122" s="139" t="n"/>
      <c r="B122" s="5069" t="n"/>
      <c r="C122" s="5069" t="n"/>
      <c r="D122" s="5069" t="n"/>
      <c r="E122" s="5069" t="n"/>
      <c r="F122" s="5069" t="n"/>
      <c r="G122" s="5217" t="n"/>
      <c r="H122" s="5217" t="n"/>
      <c r="I122" s="5217" t="n"/>
      <c r="J122" s="5217" t="n"/>
      <c r="K122" s="5217" t="n"/>
      <c r="L122" s="5217" t="n"/>
      <c r="M122" s="5217" t="n"/>
      <c r="N122" s="5342" t="n"/>
      <c r="O122" s="5342" t="n"/>
      <c r="P122" s="5342" t="n"/>
      <c r="Q122" s="5342" t="n"/>
      <c r="R122" s="5209" t="n"/>
      <c r="S122" s="5221" t="n"/>
      <c r="T122" s="5221" t="n"/>
      <c r="U122" s="5221" t="n"/>
      <c r="V122" s="5221" t="n"/>
      <c r="W122" s="5342" t="n"/>
      <c r="X122" s="5217" t="n"/>
      <c r="Y122" s="5217" t="n"/>
      <c r="Z122" s="5347" t="n"/>
      <c r="AA122" s="5217" t="n"/>
      <c r="AB122" s="5217" t="n"/>
      <c r="AC122" s="5209" t="n"/>
      <c r="AD122" s="5348" t="n"/>
      <c r="AE122" s="6375">
        <f>"Schedule F   (Form 1040)  "&amp;TaxYear</f>
        <v/>
      </c>
      <c r="AF122" s="139" t="n"/>
      <c r="AG122" s="2875" t="n"/>
      <c r="AH122" s="139" t="n"/>
    </row>
    <row r="123" ht="8.25" customHeight="1" s="7635">
      <c r="A123" s="139" t="n"/>
      <c r="B123" s="5349" t="n"/>
      <c r="C123" s="5349" t="n"/>
      <c r="D123" s="5349" t="n"/>
      <c r="E123" s="5349" t="n"/>
      <c r="F123" s="5349" t="n"/>
      <c r="G123" s="2733" t="n"/>
      <c r="H123" s="2733" t="n"/>
      <c r="I123" s="2733" t="n"/>
      <c r="J123" s="2733" t="n"/>
      <c r="K123" s="2733" t="n"/>
      <c r="L123" s="2733" t="n"/>
      <c r="M123" s="2733" t="n"/>
      <c r="N123" s="5350" t="n"/>
      <c r="O123" s="5350" t="n"/>
      <c r="P123" s="5350" t="n"/>
      <c r="Q123" s="5350" t="n"/>
      <c r="R123" s="5350" t="n"/>
      <c r="S123" s="5350" t="n"/>
      <c r="T123" s="5350" t="n"/>
      <c r="U123" s="5350" t="n"/>
      <c r="V123" s="5350" t="n"/>
      <c r="W123" s="5350" t="n"/>
      <c r="X123" s="2733" t="n"/>
      <c r="Y123" s="2733" t="n"/>
      <c r="Z123" s="5351" t="n"/>
      <c r="AA123" s="2733" t="n"/>
      <c r="AB123" s="2733" t="n"/>
      <c r="AC123" s="2733" t="n"/>
      <c r="AD123" s="2733" t="n"/>
      <c r="AE123" s="2733" t="n"/>
      <c r="AF123" s="139" t="n"/>
      <c r="AG123" s="2875" t="n"/>
      <c r="AH123" s="139" t="n"/>
    </row>
    <row r="124">
      <c r="B124" s="2938" t="n"/>
      <c r="C124" s="2938" t="n"/>
      <c r="D124" s="2939" t="n"/>
      <c r="E124" s="2939" t="n"/>
      <c r="F124" s="2939" t="n"/>
      <c r="G124" s="2939" t="n"/>
      <c r="H124" s="2939" t="n"/>
      <c r="I124" s="2939" t="n"/>
      <c r="J124" s="2939" t="n"/>
      <c r="K124" s="2939" t="n"/>
      <c r="L124" s="2939" t="n"/>
      <c r="M124" s="2939" t="n"/>
      <c r="N124" s="5352" t="n"/>
      <c r="O124" s="5352" t="n"/>
      <c r="P124" s="5352" t="n"/>
      <c r="Q124" s="5352" t="n"/>
      <c r="R124" s="5352" t="n"/>
      <c r="S124" s="5352" t="n"/>
      <c r="T124" s="5352" t="n"/>
      <c r="U124" s="5352" t="n"/>
      <c r="V124" s="5352" t="n"/>
      <c r="W124" s="4248" t="n"/>
      <c r="X124" s="2939" t="n"/>
      <c r="Y124" s="2939" t="n"/>
      <c r="Z124" s="5353" t="n"/>
      <c r="AA124" s="2939" t="n"/>
      <c r="AB124" s="2939" t="n"/>
      <c r="AC124" s="2939" t="n"/>
      <c r="AD124" s="2939" t="n"/>
      <c r="AE124" s="2939" t="n"/>
    </row>
    <row r="125" ht="13.5" customHeight="1" s="7635" thickBot="1">
      <c r="B125" s="2938" t="n"/>
      <c r="C125" s="2938" t="n"/>
      <c r="D125" s="2939" t="n"/>
      <c r="E125" s="2939" t="n"/>
      <c r="F125" s="2939" t="n"/>
      <c r="G125" s="2939" t="n"/>
      <c r="H125" s="2939" t="n"/>
      <c r="I125" s="2939" t="n"/>
      <c r="J125" s="2939" t="n"/>
      <c r="K125" s="2939" t="n"/>
      <c r="L125" s="2939" t="n"/>
      <c r="M125" s="2939" t="n"/>
      <c r="N125" s="5352" t="n"/>
      <c r="O125" s="5352" t="n"/>
      <c r="P125" s="5352" t="n"/>
      <c r="Q125" s="5352" t="n"/>
      <c r="R125" s="2938" t="n"/>
      <c r="S125" s="2938" t="n"/>
      <c r="T125" s="2938" t="n"/>
      <c r="U125" s="2938" t="n"/>
      <c r="V125" s="2938" t="n"/>
      <c r="W125" s="5354" t="n"/>
      <c r="X125" s="2939" t="n"/>
      <c r="Y125" s="2939" t="n"/>
      <c r="Z125" s="5353" t="n"/>
      <c r="AA125" s="2939" t="n"/>
      <c r="AB125" s="2939" t="n"/>
      <c r="AC125" s="2939" t="n"/>
      <c r="AD125" s="2939" t="n"/>
      <c r="AE125" s="2939" t="n"/>
    </row>
    <row r="126" ht="14.25" customHeight="1" s="7635" thickBot="1" thickTop="1">
      <c r="B126" s="2940" t="n"/>
      <c r="C126" s="2940" t="n"/>
      <c r="D126" s="12083" t="inlineStr">
        <is>
          <t>Download Form 1040 Schedule F</t>
        </is>
      </c>
      <c r="E126" s="11825" t="n"/>
      <c r="F126" s="11825" t="n"/>
      <c r="G126" s="11825" t="n"/>
      <c r="H126" s="11826" t="n"/>
      <c r="I126" s="2941" t="n"/>
      <c r="J126" s="2941" t="n"/>
      <c r="K126" s="2941" t="n"/>
      <c r="L126" s="2941" t="n"/>
      <c r="M126" s="2941" t="n"/>
      <c r="N126" s="5355" t="n"/>
      <c r="O126" s="5355" t="n"/>
      <c r="P126" s="5355" t="n"/>
      <c r="Q126" s="5355" t="n"/>
      <c r="R126" s="2940" t="n"/>
      <c r="S126" s="2940" t="n"/>
      <c r="T126" s="2940" t="n"/>
      <c r="U126" s="2940" t="n"/>
      <c r="V126" s="2940" t="n"/>
      <c r="W126" s="131" t="n"/>
      <c r="X126" s="2941" t="n"/>
      <c r="Y126" s="2941" t="n"/>
      <c r="Z126" s="5356" t="n"/>
      <c r="AA126" s="2941" t="n"/>
      <c r="AB126" s="2941" t="n"/>
      <c r="AC126" s="2941" t="n"/>
      <c r="AD126" s="2941" t="n"/>
      <c r="AE126" s="2941" t="n"/>
    </row>
    <row r="127" ht="14.25" customHeight="1" s="7635" thickBot="1" thickTop="1">
      <c r="B127" s="2940" t="n"/>
      <c r="C127" s="2940" t="n"/>
      <c r="D127" s="2941" t="n"/>
      <c r="E127" s="2941" t="n"/>
      <c r="F127" s="2941" t="n"/>
      <c r="G127" s="2941" t="n"/>
      <c r="H127" s="2941" t="n"/>
      <c r="I127" s="2941" t="n"/>
      <c r="J127" s="2941" t="n"/>
      <c r="K127" s="2941" t="n"/>
      <c r="L127" s="2941" t="n"/>
      <c r="M127" s="2941" t="n"/>
      <c r="N127" s="5355" t="n"/>
      <c r="O127" s="5355" t="n"/>
      <c r="P127" s="5355" t="n"/>
      <c r="Q127" s="5355" t="n"/>
      <c r="R127" s="2940" t="n"/>
      <c r="S127" s="2940" t="n"/>
      <c r="T127" s="2940" t="n"/>
      <c r="U127" s="2940" t="n"/>
      <c r="V127" s="2940" t="n"/>
      <c r="W127" s="131" t="n"/>
      <c r="X127" s="2941" t="n"/>
      <c r="Y127" s="2941" t="n"/>
      <c r="Z127" s="5356" t="n"/>
      <c r="AA127" s="2941" t="n"/>
      <c r="AB127" s="2941" t="n"/>
      <c r="AC127" s="2941" t="n"/>
      <c r="AD127" s="2941" t="n"/>
      <c r="AE127" s="2941" t="n"/>
    </row>
    <row r="128" ht="27.75" customHeight="1" s="7635" thickBot="1" thickTop="1">
      <c r="B128" s="2940" t="n"/>
      <c r="C128" s="2940" t="n"/>
      <c r="D128" s="12084" t="inlineStr">
        <is>
          <t>Download Form 1040 Schedule F Instructions</t>
        </is>
      </c>
      <c r="E128" s="11825" t="n"/>
      <c r="F128" s="11825" t="n"/>
      <c r="G128" s="11825" t="n"/>
      <c r="H128" s="11826" t="n"/>
      <c r="I128" s="2941" t="n"/>
      <c r="J128" s="2941" t="n"/>
      <c r="K128" s="2941" t="n"/>
      <c r="L128" s="2941" t="n"/>
      <c r="M128" s="2941" t="n"/>
      <c r="N128" s="5355" t="n"/>
      <c r="O128" s="5355" t="n"/>
      <c r="P128" s="5355" t="n"/>
      <c r="Q128" s="5355" t="n"/>
      <c r="R128" s="2940" t="n"/>
      <c r="S128" s="2940" t="n"/>
      <c r="T128" s="2940" t="n"/>
      <c r="U128" s="2940" t="n"/>
      <c r="V128" s="2940" t="n"/>
      <c r="W128" s="131" t="n"/>
      <c r="X128" s="2941" t="n"/>
      <c r="Y128" s="2941" t="n"/>
      <c r="Z128" s="5356" t="n"/>
      <c r="AA128" s="2941" t="n"/>
      <c r="AB128" s="2941" t="n"/>
      <c r="AC128" s="2941" t="n"/>
      <c r="AD128" s="2941" t="n"/>
      <c r="AE128" s="2941" t="n"/>
    </row>
    <row r="129" ht="13.5" customHeight="1" s="7635" thickTop="1"/>
  </sheetData>
  <sheetProtection selectLockedCells="0" selectUnlockedCells="0" algorithmName="SHA-512" sheet="1" objects="1" insertRows="1" insertHyperlinks="1" autoFilter="1" scenarios="1" formatColumns="0" deleteColumns="1" insertColumns="1" pivotTables="1" deleteRows="1" formatCells="0" saltValue="5WHaJ54IAKMIOpRzeyP+3g==" formatRows="0" sort="1" spinCount="100000" hashValue="DAmdsOC4pmux0XqfX6r+S5YAnI99588nlsRNxjx/3/nGRENDkRtrPZk2GOTroUxgTCVMqsuGpqu6TpkxJyUO8g=="/>
  <mergeCells count="160">
    <mergeCell ref="O112:Q112"/>
    <mergeCell ref="Q28:U28"/>
    <mergeCell ref="J43:M43"/>
    <mergeCell ref="O114:Q114"/>
    <mergeCell ref="N53:O53"/>
    <mergeCell ref="W23:Z23"/>
    <mergeCell ref="J11:J12"/>
    <mergeCell ref="AB33:AE33"/>
    <mergeCell ref="J42:M42"/>
    <mergeCell ref="AB93:AE93"/>
    <mergeCell ref="AB42:AE42"/>
    <mergeCell ref="O104:Q104"/>
    <mergeCell ref="O109:Q109"/>
    <mergeCell ref="AB74:AE74"/>
    <mergeCell ref="N46:O46"/>
    <mergeCell ref="W87:Z87"/>
    <mergeCell ref="Q23:U23"/>
    <mergeCell ref="J44:M44"/>
    <mergeCell ref="N39:O39"/>
    <mergeCell ref="W24:Z24"/>
    <mergeCell ref="AB76:AE76"/>
    <mergeCell ref="AA4:AE4"/>
    <mergeCell ref="AB45:AE45"/>
    <mergeCell ref="W11:W12"/>
    <mergeCell ref="W89:Z89"/>
    <mergeCell ref="K67:L67"/>
    <mergeCell ref="D126:H126"/>
    <mergeCell ref="N48:O48"/>
    <mergeCell ref="P48:Z48"/>
    <mergeCell ref="B5:D7"/>
    <mergeCell ref="N38:O38"/>
    <mergeCell ref="AG3:AG4"/>
    <mergeCell ref="AB47:AE47"/>
    <mergeCell ref="J53:M53"/>
    <mergeCell ref="AB44:AE44"/>
    <mergeCell ref="O101:Q101"/>
    <mergeCell ref="AC11:AC12"/>
    <mergeCell ref="AE11:AE12"/>
    <mergeCell ref="N40:O40"/>
    <mergeCell ref="AB31:AE31"/>
    <mergeCell ref="AB46:AE46"/>
    <mergeCell ref="J45:M45"/>
    <mergeCell ref="O117:Q117"/>
    <mergeCell ref="M74:P74"/>
    <mergeCell ref="W91:Z91"/>
    <mergeCell ref="AB21:AE21"/>
    <mergeCell ref="AB39:AE39"/>
    <mergeCell ref="AB95:AE95"/>
    <mergeCell ref="B63:C63"/>
    <mergeCell ref="AB48:AE48"/>
    <mergeCell ref="K69:L69"/>
    <mergeCell ref="B35:C35"/>
    <mergeCell ref="AB23:AE23"/>
    <mergeCell ref="AB38:AE38"/>
    <mergeCell ref="O103:Q103"/>
    <mergeCell ref="J47:M47"/>
    <mergeCell ref="AB29:AE30"/>
    <mergeCell ref="N50:O50"/>
    <mergeCell ref="D128:H128"/>
    <mergeCell ref="O118:Q118"/>
    <mergeCell ref="N51:O51"/>
    <mergeCell ref="B18:C18"/>
    <mergeCell ref="AC20:AE20"/>
    <mergeCell ref="P52:Z52"/>
    <mergeCell ref="AB65:AE65"/>
    <mergeCell ref="N42:O42"/>
    <mergeCell ref="B3:D4"/>
    <mergeCell ref="B9:V9"/>
    <mergeCell ref="N52:O52"/>
    <mergeCell ref="B119:C119"/>
    <mergeCell ref="N44:O44"/>
    <mergeCell ref="AB50:AE50"/>
    <mergeCell ref="AA5:AE7"/>
    <mergeCell ref="E4:Z4"/>
    <mergeCell ref="O105:Q105"/>
    <mergeCell ref="J49:M49"/>
    <mergeCell ref="J36:M36"/>
    <mergeCell ref="AB22:AE22"/>
    <mergeCell ref="AB36:AE36"/>
    <mergeCell ref="O107:Q107"/>
    <mergeCell ref="O116:Q116"/>
    <mergeCell ref="I11:I12"/>
    <mergeCell ref="AB67:AE67"/>
    <mergeCell ref="K74:L74"/>
    <mergeCell ref="O99:Q99"/>
    <mergeCell ref="P51:Z51"/>
    <mergeCell ref="M11:M12"/>
    <mergeCell ref="N41:O41"/>
    <mergeCell ref="AB69:AE69"/>
    <mergeCell ref="J46:M46"/>
    <mergeCell ref="Q24:U24"/>
    <mergeCell ref="AB78:AE78"/>
    <mergeCell ref="AA33:AA34"/>
    <mergeCell ref="J51:M51"/>
    <mergeCell ref="Y11:Y12"/>
    <mergeCell ref="P50:Z50"/>
    <mergeCell ref="W19:Z19"/>
    <mergeCell ref="N43:O43"/>
    <mergeCell ref="K11:K12"/>
    <mergeCell ref="J48:M48"/>
    <mergeCell ref="B120:C120"/>
    <mergeCell ref="B98:C98"/>
    <mergeCell ref="AB49:AE49"/>
    <mergeCell ref="AB55:AE55"/>
    <mergeCell ref="J38:M38"/>
    <mergeCell ref="AB24:AE24"/>
    <mergeCell ref="AB11:AB12"/>
    <mergeCell ref="P49:Z49"/>
    <mergeCell ref="AD11:AD12"/>
    <mergeCell ref="AB51:AE51"/>
    <mergeCell ref="M67:P67"/>
    <mergeCell ref="AB54:AE54"/>
    <mergeCell ref="AB32:AE32"/>
    <mergeCell ref="O119:Q119"/>
    <mergeCell ref="J40:M40"/>
    <mergeCell ref="AB26:AE26"/>
    <mergeCell ref="AB41:AE41"/>
    <mergeCell ref="O11:O12"/>
    <mergeCell ref="O106:Q106"/>
    <mergeCell ref="M69:P69"/>
    <mergeCell ref="AB25:AE25"/>
    <mergeCell ref="L11:L12"/>
    <mergeCell ref="P53:Z53"/>
    <mergeCell ref="N11:N12"/>
    <mergeCell ref="AA3:AE3"/>
    <mergeCell ref="AB27:AE27"/>
    <mergeCell ref="O108:Q108"/>
    <mergeCell ref="N45:O45"/>
    <mergeCell ref="AB82:AE82"/>
    <mergeCell ref="AB52:AE52"/>
    <mergeCell ref="N47:O47"/>
    <mergeCell ref="AB53:AE53"/>
    <mergeCell ref="J50:M50"/>
    <mergeCell ref="AB34:AE34"/>
    <mergeCell ref="N37:O37"/>
    <mergeCell ref="B11:H12"/>
    <mergeCell ref="AB28:AE28"/>
    <mergeCell ref="AB37:AE37"/>
    <mergeCell ref="J52:M52"/>
    <mergeCell ref="J39:M39"/>
    <mergeCell ref="O110:Q110"/>
    <mergeCell ref="W9:AE9"/>
    <mergeCell ref="Q26:U26"/>
    <mergeCell ref="AB80:AE80"/>
    <mergeCell ref="J37:M37"/>
    <mergeCell ref="O100:Q100"/>
    <mergeCell ref="AB94:AE94"/>
    <mergeCell ref="O115:Q115"/>
    <mergeCell ref="AB40:AE40"/>
    <mergeCell ref="W20:Z20"/>
    <mergeCell ref="AB72:AE72"/>
    <mergeCell ref="W85:Z85"/>
    <mergeCell ref="AA11:AA12"/>
    <mergeCell ref="AA2:AE2"/>
    <mergeCell ref="AB43:AE43"/>
    <mergeCell ref="N49:O49"/>
    <mergeCell ref="X11:X12"/>
    <mergeCell ref="Z11:Z12"/>
    <mergeCell ref="N36:O36"/>
    <mergeCell ref="J41:M41"/>
  </mergeCells>
  <conditionalFormatting sqref="B11">
    <cfRule type="expression" priority="221" dxfId="6">
      <formula>IF(NoColor,1,0)</formula>
    </cfRule>
  </conditionalFormatting>
  <conditionalFormatting sqref="B9:C9 P11:V12 W9:AD9">
    <cfRule type="expression" priority="222" dxfId="6">
      <formula>IF(NoColor,1,0)</formula>
    </cfRule>
  </conditionalFormatting>
  <conditionalFormatting sqref="C59">
    <cfRule type="expression" priority="24" dxfId="6">
      <formula>IF(NoColor,1,0)</formula>
    </cfRule>
  </conditionalFormatting>
  <conditionalFormatting sqref="E3">
    <cfRule type="expression" priority="21" dxfId="20">
      <formula>NOT(Draft)</formula>
    </cfRule>
  </conditionalFormatting>
  <conditionalFormatting sqref="I59">
    <cfRule type="expression" priority="23" dxfId="6">
      <formula>IF(NoColor,1,0)</formula>
    </cfRule>
  </conditionalFormatting>
  <conditionalFormatting sqref="I11:O11">
    <cfRule type="expression" priority="169" dxfId="6">
      <formula>IF(NoColor,1,0)</formula>
    </cfRule>
  </conditionalFormatting>
  <conditionalFormatting sqref="J37:K40">
    <cfRule type="expression" priority="96" dxfId="6">
      <formula>IF(NoColor,1,0)</formula>
    </cfRule>
  </conditionalFormatting>
  <conditionalFormatting sqref="J42:K42">
    <cfRule type="expression" priority="95" dxfId="6">
      <formula>IF(NoColor,1,0)</formula>
    </cfRule>
  </conditionalFormatting>
  <conditionalFormatting sqref="J44:K49">
    <cfRule type="expression" priority="87" dxfId="6">
      <formula>IF(NoColor,1,0)</formula>
    </cfRule>
  </conditionalFormatting>
  <conditionalFormatting sqref="J51:K53">
    <cfRule type="expression" priority="65" dxfId="6">
      <formula>IF(NoColor,1,0)</formula>
    </cfRule>
  </conditionalFormatting>
  <conditionalFormatting sqref="M67:N67">
    <cfRule type="expression" priority="52" dxfId="6">
      <formula>IF(NoColor,1,0)</formula>
    </cfRule>
  </conditionalFormatting>
  <conditionalFormatting sqref="M69:N69">
    <cfRule type="expression" priority="51" dxfId="6">
      <formula>IF(NoColor,1,0)</formula>
    </cfRule>
  </conditionalFormatting>
  <conditionalFormatting sqref="M74:N74">
    <cfRule type="expression" priority="46" dxfId="6">
      <formula>IF(NoColor,1,0)</formula>
    </cfRule>
  </conditionalFormatting>
  <conditionalFormatting sqref="P48:Z53">
    <cfRule type="expression" priority="29" dxfId="920">
      <formula>IF(NoColor,1,0)</formula>
    </cfRule>
  </conditionalFormatting>
  <conditionalFormatting sqref="Q23:Q24">
    <cfRule type="expression" priority="109" dxfId="6">
      <formula>IF(NoColor,1,0)</formula>
    </cfRule>
  </conditionalFormatting>
  <conditionalFormatting sqref="Q26">
    <cfRule type="expression" priority="107" dxfId="6">
      <formula>IF(NoColor,1,0)</formula>
    </cfRule>
  </conditionalFormatting>
  <conditionalFormatting sqref="Q28">
    <cfRule type="expression" priority="105" dxfId="6">
      <formula>IF(NoColor,1,0)</formula>
    </cfRule>
  </conditionalFormatting>
  <conditionalFormatting sqref="Q30">
    <cfRule type="expression" priority="28" dxfId="6">
      <formula>IF(NoColor,1,0)</formula>
    </cfRule>
  </conditionalFormatting>
  <conditionalFormatting sqref="W19:W20">
    <cfRule type="expression" priority="157" dxfId="6">
      <formula>IF(NoColor,1,0)</formula>
    </cfRule>
  </conditionalFormatting>
  <conditionalFormatting sqref="W85:X85">
    <cfRule type="expression" priority="38" dxfId="6">
      <formula>IF(NoColor,1,0)</formula>
    </cfRule>
  </conditionalFormatting>
  <conditionalFormatting sqref="W87:X87">
    <cfRule type="expression" priority="37" dxfId="6">
      <formula>IF(NoColor,1,0)</formula>
    </cfRule>
  </conditionalFormatting>
  <conditionalFormatting sqref="W89:X89">
    <cfRule type="expression" priority="31" dxfId="6">
      <formula>IF(NoColor,1,0)</formula>
    </cfRule>
  </conditionalFormatting>
  <conditionalFormatting sqref="W91:X91">
    <cfRule type="expression" priority="35" dxfId="6">
      <formula>IF(NoColor,1,0)</formula>
    </cfRule>
  </conditionalFormatting>
  <conditionalFormatting sqref="W9:AE9">
    <cfRule type="expression" priority="11" dxfId="20">
      <formula>AND(NoSSN,NoColor)</formula>
    </cfRule>
    <cfRule type="expression" priority="12" dxfId="46">
      <formula>NoSSN</formula>
    </cfRule>
  </conditionalFormatting>
  <conditionalFormatting sqref="W11:AE11">
    <cfRule type="expression" priority="159" dxfId="6">
      <formula>IF(NoColor,1,0)</formula>
    </cfRule>
  </conditionalFormatting>
  <conditionalFormatting sqref="Y3">
    <cfRule type="expression" priority="20" dxfId="20">
      <formula>NOT(Draft)</formula>
    </cfRule>
  </conditionalFormatting>
  <conditionalFormatting sqref="AA14:AA17">
    <cfRule type="expression" priority="26" dxfId="6">
      <formula>IF(NoColor,1,0)</formula>
    </cfRule>
  </conditionalFormatting>
  <conditionalFormatting sqref="AB21:AC26">
    <cfRule type="expression" priority="108" dxfId="6">
      <formula>IF(NoColor,1,0)</formula>
    </cfRule>
  </conditionalFormatting>
  <conditionalFormatting sqref="AB28:AC28 AB29">
    <cfRule type="expression" priority="118" dxfId="6">
      <formula>IF(NoColor,1,0)</formula>
    </cfRule>
  </conditionalFormatting>
  <conditionalFormatting sqref="AB31:AC32">
    <cfRule type="expression" priority="115" dxfId="6">
      <formula>IF(NoColor,1,0)</formula>
    </cfRule>
  </conditionalFormatting>
  <conditionalFormatting sqref="AB34:AC34">
    <cfRule type="expression" priority="114" dxfId="6">
      <formula>IF(NoColor,1,0)</formula>
    </cfRule>
  </conditionalFormatting>
  <conditionalFormatting sqref="AB36:AC36">
    <cfRule type="expression" priority="104" dxfId="6">
      <formula>IF(NoColor,1,0)</formula>
    </cfRule>
  </conditionalFormatting>
  <conditionalFormatting sqref="AB38:AC46">
    <cfRule type="expression" priority="74" dxfId="6">
      <formula>IF(NoColor,1,0)</formula>
    </cfRule>
  </conditionalFormatting>
  <conditionalFormatting sqref="AB48:AC55">
    <cfRule type="expression" priority="22" dxfId="6">
      <formula>IF(NoColor,1,0)</formula>
    </cfRule>
  </conditionalFormatting>
  <conditionalFormatting sqref="AB65:AC65">
    <cfRule type="expression" priority="50" dxfId="6">
      <formula>IF(NoColor,1,0)</formula>
    </cfRule>
  </conditionalFormatting>
  <conditionalFormatting sqref="AB67:AC67">
    <cfRule type="expression" priority="55" dxfId="6">
      <formula>IF(NoColor,1,0)</formula>
    </cfRule>
  </conditionalFormatting>
  <conditionalFormatting sqref="AB69:AC69">
    <cfRule type="expression" priority="53" dxfId="6">
      <formula>IF(NoColor,1,0)</formula>
    </cfRule>
  </conditionalFormatting>
  <conditionalFormatting sqref="AB72:AC72">
    <cfRule type="expression" priority="49" dxfId="6">
      <formula>IF(NoColor,1,0)</formula>
    </cfRule>
  </conditionalFormatting>
  <conditionalFormatting sqref="AB74:AC74">
    <cfRule type="expression" priority="47" dxfId="6">
      <formula>IF(NoColor,1,0)</formula>
    </cfRule>
  </conditionalFormatting>
  <conditionalFormatting sqref="AB76:AC76">
    <cfRule type="expression" priority="45" dxfId="6">
      <formula>IF(NoColor,1,0)</formula>
    </cfRule>
  </conditionalFormatting>
  <conditionalFormatting sqref="AB78:AC78">
    <cfRule type="expression" priority="44" dxfId="6">
      <formula>IF(NoColor,1,0)</formula>
    </cfRule>
  </conditionalFormatting>
  <conditionalFormatting sqref="AB80:AC80">
    <cfRule type="expression" priority="43" dxfId="6">
      <formula>IF(NoColor,1,0)</formula>
    </cfRule>
  </conditionalFormatting>
  <conditionalFormatting sqref="AB82:AC82">
    <cfRule type="expression" priority="41" dxfId="6">
      <formula>IF(NoColor,1,0)</formula>
    </cfRule>
  </conditionalFormatting>
  <conditionalFormatting sqref="AB93:AC93">
    <cfRule type="expression" priority="30" dxfId="6">
      <formula>IF(NoColor,1,0)</formula>
    </cfRule>
  </conditionalFormatting>
  <conditionalFormatting sqref="AB95:AC95">
    <cfRule type="expression" priority="32" dxfId="6">
      <formula>IF(NoColor,1,0)</formula>
    </cfRule>
  </conditionalFormatting>
  <conditionalFormatting sqref="AD14:AD17">
    <cfRule type="expression" priority="27" dxfId="6">
      <formula>IF(NoColor,1,0)</formula>
    </cfRule>
  </conditionalFormatting>
  <conditionalFormatting sqref="AG58:AG59">
    <cfRule type="expression" priority="4796" dxfId="0">
      <formula>OR(AND(AB25&lt;&gt;"",AB25&lt;&gt;0,AH27="",AH60&lt;&gt;""),AND(AH27&lt;&gt;"",AH60=""))</formula>
    </cfRule>
  </conditionalFormatting>
  <conditionalFormatting sqref="AG58:AG61">
    <cfRule type="expression" priority="3726" dxfId="1">
      <formula>(AB56&lt;&gt;0)</formula>
    </cfRule>
  </conditionalFormatting>
  <conditionalFormatting sqref="AG60:AG61">
    <cfRule type="expression" priority="3725" dxfId="0">
      <formula>"OR(AND(Y24&lt;&gt;"""",Y24&lt;&gt;0,AE26="""",AE58&lt;&gt;""""),AND(AE26&lt;&gt;"""",AE58=""""))"</formula>
    </cfRule>
  </conditionalFormatting>
  <conditionalFormatting sqref="AH8">
    <cfRule type="expression" priority="5" dxfId="2356">
      <formula>AND(AB6&lt;&gt;"",AB6&lt;&gt;0)</formula>
    </cfRule>
  </conditionalFormatting>
  <hyperlinks>
    <hyperlink xmlns:r="http://schemas.openxmlformats.org/officeDocument/2006/relationships" ref="D126" display="Download Form 1040 Schedule F" r:id="rId1"/>
    <hyperlink xmlns:r="http://schemas.openxmlformats.org/officeDocument/2006/relationships" ref="D128" display="Download Form 1040 Schedule F Instructions" r:id="rId2"/>
  </hyperlinks>
  <pageMargins left="0.75" right="0.25" top="0.36" bottom="0.29" header="0.36" footer="0.21"/>
  <pageSetup orientation="portrait" scale="78" fitToHeight="0"/>
  <rowBreaks count="1" manualBreakCount="1">
    <brk id="61" min="1" max="27" man="1"/>
  </rowBreaks>
  <drawing xmlns:r="http://schemas.openxmlformats.org/officeDocument/2006/relationships" r:id="rId3"/>
</worksheet>
</file>

<file path=xl/worksheets/sheet36.xml><?xml version="1.0" encoding="utf-8"?>
<worksheet xmlns="http://schemas.openxmlformats.org/spreadsheetml/2006/main">
  <sheetPr>
    <outlinePr summaryBelow="1" summaryRight="1"/>
    <pageSetUpPr fitToPage="1"/>
  </sheetPr>
  <dimension ref="A1:AP136"/>
  <sheetViews>
    <sheetView zoomScaleNormal="100" zoomScaleSheetLayoutView="125" workbookViewId="0">
      <selection activeCell="A1" sqref="A1"/>
    </sheetView>
  </sheetViews>
  <sheetFormatPr baseColWidth="8" defaultColWidth="9.140625" defaultRowHeight="12.75"/>
  <cols>
    <col width="2" customWidth="1" style="7635" min="1" max="1"/>
    <col width="4.42578125" customWidth="1" style="7635" min="2" max="2"/>
    <col width="2.28515625" customWidth="1" style="7635" min="3" max="3"/>
    <col width="11.7109375" customWidth="1" style="7635" min="4" max="4"/>
    <col width="7.85546875" customWidth="1" style="7635" min="5" max="5"/>
    <col width="3" customWidth="1" style="7635" min="6" max="6"/>
    <col width="2.5703125" customWidth="1" style="7635" min="7" max="8"/>
    <col width="10.140625" customWidth="1" style="7635" min="9" max="9"/>
    <col width="3.28515625" customWidth="1" style="7635" min="10" max="12"/>
    <col width="1.28515625" customWidth="1" style="7635" min="13" max="13"/>
    <col width="3.7109375" customWidth="1" style="7635" min="14" max="14"/>
    <col width="2.85546875" customWidth="1" style="7635" min="15" max="15"/>
    <col width="5.28515625" bestFit="1" customWidth="1" style="7635" min="16" max="16"/>
    <col width="2.42578125" customWidth="1" style="7635" min="17" max="17"/>
    <col width="3.42578125" customWidth="1" style="7635" min="18" max="18"/>
    <col width="3.7109375" customWidth="1" style="7635" min="19" max="19"/>
    <col width="3.42578125" customWidth="1" style="7635" min="20" max="25"/>
    <col width="2.7109375" customWidth="1" style="7635" min="26" max="26"/>
    <col width="2.85546875" customWidth="1" style="7635" min="27" max="27"/>
    <col width="3.42578125" customWidth="1" style="7635" min="28" max="28"/>
    <col width="2.5703125" customWidth="1" style="7635" min="29" max="29"/>
    <col width="12.140625" customWidth="1" style="26" min="30" max="30"/>
    <col width="2.5703125" customWidth="1" style="7635" min="31" max="31"/>
    <col width="6.140625" customWidth="1" style="7635" min="32" max="32"/>
    <col width="10.7109375" customWidth="1" style="658" min="33" max="42"/>
  </cols>
  <sheetData>
    <row r="1" ht="15.75" customHeight="1" s="7635">
      <c r="A1" s="37" t="n"/>
      <c r="B1" s="37" t="n"/>
      <c r="C1" s="37" t="n"/>
      <c r="D1" s="37" t="n"/>
      <c r="E1" s="218" t="n"/>
      <c r="F1" s="37" t="n"/>
      <c r="G1" s="37" t="n"/>
      <c r="H1" s="37" t="n"/>
      <c r="I1" s="37" t="n"/>
      <c r="J1" s="37" t="n"/>
      <c r="K1" s="37" t="n"/>
      <c r="L1" s="37" t="n"/>
      <c r="M1" s="37" t="n"/>
      <c r="N1" s="37" t="n"/>
      <c r="O1" s="37" t="n"/>
      <c r="P1" s="37" t="n"/>
      <c r="Q1" s="37" t="n"/>
      <c r="R1" s="37" t="n"/>
      <c r="S1" s="37" t="n"/>
      <c r="T1" s="37" t="n"/>
      <c r="U1" s="37" t="n"/>
      <c r="V1" s="37" t="n"/>
      <c r="W1" s="37" t="n"/>
      <c r="X1" s="37" t="n"/>
      <c r="Y1" s="37" t="n"/>
      <c r="Z1" s="37" t="n"/>
      <c r="AA1" s="37" t="n"/>
      <c r="AB1" s="37" t="n"/>
      <c r="AC1" s="139" t="n"/>
      <c r="AD1" s="110" t="n"/>
      <c r="AE1" s="139" t="n"/>
      <c r="AG1" s="657" t="inlineStr">
        <is>
          <t>Notes</t>
        </is>
      </c>
    </row>
    <row r="2" ht="15.75" customHeight="1" s="7635">
      <c r="A2" s="37" t="n"/>
      <c r="B2" s="37" t="n"/>
      <c r="C2" s="37" t="n"/>
      <c r="D2" s="934">
        <f>IF(NOT(R12),"You do not qualify to take this credit.",IF(Y120,"You can't take this credit.  (See line 19.)",IF(AD136,"You can't take this credit.  (See Credit Limit Worksheet—Line 21 at the bottom of this page.)","")))</f>
        <v/>
      </c>
      <c r="E2" s="218" t="n"/>
      <c r="F2" s="37" t="n"/>
      <c r="G2" s="37" t="n"/>
      <c r="H2" s="37" t="n"/>
      <c r="I2" s="37" t="n"/>
      <c r="J2" s="37" t="n"/>
      <c r="K2" s="37" t="n"/>
      <c r="L2" s="37" t="n"/>
      <c r="M2" s="37" t="n"/>
      <c r="N2" s="37" t="n"/>
      <c r="O2" s="37" t="n"/>
      <c r="P2" s="37" t="n"/>
      <c r="Q2" s="37" t="n"/>
      <c r="R2" s="37" t="n"/>
      <c r="S2" s="37" t="n"/>
      <c r="T2" s="37" t="n"/>
      <c r="U2" s="37" t="n"/>
      <c r="V2" s="37" t="n"/>
      <c r="W2" s="37" t="n"/>
      <c r="X2" s="37" t="n"/>
      <c r="Y2" s="37" t="n"/>
      <c r="Z2" s="37" t="n"/>
      <c r="AA2" s="37" t="n"/>
      <c r="AB2" s="37" t="n"/>
      <c r="AC2" s="139" t="n"/>
      <c r="AD2" s="110" t="n"/>
      <c r="AE2" s="139" t="n"/>
      <c r="AG2" s="657" t="n"/>
    </row>
    <row r="3" ht="13.5" customHeight="1" s="7635">
      <c r="A3" s="37" t="n"/>
      <c r="B3" s="37" t="n"/>
      <c r="C3" s="37" t="n"/>
      <c r="D3" s="37" t="n"/>
      <c r="E3" s="891">
        <f>IF(OR(NOT(YouR65),NOT(SpouseIs65)),"Answer 'Yes' or 'No' below:","")</f>
        <v/>
      </c>
      <c r="F3" s="8780" t="inlineStr">
        <is>
          <t>You</t>
        </is>
      </c>
      <c r="G3" s="12178" t="n"/>
      <c r="H3" s="12178" t="n"/>
      <c r="I3" s="37" t="n"/>
      <c r="J3" s="8782">
        <f>IF(File_Marr_Joint&lt;&gt;"","Spouse","")</f>
        <v/>
      </c>
      <c r="K3" s="26" t="n"/>
      <c r="L3" s="26" t="n"/>
      <c r="M3" s="37" t="n"/>
      <c r="N3" s="37" t="n"/>
      <c r="O3" s="37" t="n"/>
      <c r="P3" s="37" t="n"/>
      <c r="Q3" s="37" t="n"/>
      <c r="R3" s="37" t="n"/>
      <c r="S3" s="37" t="n"/>
      <c r="T3" s="37" t="n"/>
      <c r="U3" s="37" t="n"/>
      <c r="V3" s="37" t="n"/>
      <c r="W3" s="37" t="n"/>
      <c r="X3" s="37" t="n"/>
      <c r="Y3" s="37" t="n"/>
      <c r="Z3" s="37" t="n"/>
      <c r="AA3" s="37" t="n"/>
      <c r="AB3" s="37" t="n"/>
      <c r="AC3" s="139" t="n"/>
      <c r="AD3" s="110" t="n"/>
      <c r="AE3" s="139" t="n"/>
      <c r="AG3" s="657" t="n"/>
    </row>
    <row r="4" ht="16.5" customHeight="1" s="7635">
      <c r="A4" s="37" t="n"/>
      <c r="B4" s="37" t="n"/>
      <c r="C4" s="37" t="n"/>
      <c r="D4" s="891" t="n"/>
      <c r="E4" s="891" t="inlineStr">
        <is>
          <t xml:space="preserve">Under age 65? </t>
        </is>
      </c>
      <c r="F4" s="8781">
        <f>IF(NOT(YouR65),"Yes","No")</f>
        <v/>
      </c>
      <c r="G4" s="12179" t="n"/>
      <c r="H4" s="12179" t="n"/>
      <c r="I4" s="940">
        <f>NOT(YouR65)</f>
        <v/>
      </c>
      <c r="J4" s="8783">
        <f>IF(File_Marr_Joint="","",IF(NOT(SpouseIs65),"Yes","No"))</f>
        <v/>
      </c>
      <c r="K4" s="26" t="n"/>
      <c r="L4" s="26" t="n"/>
      <c r="M4" s="37" t="n"/>
      <c r="N4" s="37" t="n"/>
      <c r="O4" s="37" t="n"/>
      <c r="P4" s="940">
        <f>AND(File_Marr_Joint&lt;&gt;"",NOT(SpouseIs65))</f>
        <v/>
      </c>
      <c r="Q4" s="315" t="n"/>
      <c r="R4" s="8774">
        <f>OR(AND(I4,NOT(P4)),AND(NOT(I4),P4))</f>
        <v/>
      </c>
      <c r="S4" s="26" t="n"/>
      <c r="T4" s="941" t="inlineStr">
        <is>
          <t>Only one.</t>
        </is>
      </c>
      <c r="U4" s="315" t="n"/>
      <c r="V4" s="939" t="n"/>
      <c r="W4" s="939" t="n"/>
      <c r="X4" s="37" t="n"/>
      <c r="Y4" s="37" t="n"/>
      <c r="Z4" s="37" t="n"/>
      <c r="AA4" s="37" t="n"/>
      <c r="AB4" s="37" t="n"/>
      <c r="AC4" s="139" t="n"/>
      <c r="AD4" s="110" t="n"/>
      <c r="AE4" s="139" t="n"/>
      <c r="AG4" s="657" t="n"/>
    </row>
    <row r="5" ht="6.75" customHeight="1" s="7635">
      <c r="A5" s="37" t="n"/>
      <c r="B5" s="37" t="n"/>
      <c r="C5" s="37" t="n"/>
      <c r="D5" s="37" t="n"/>
      <c r="E5" s="218" t="n"/>
      <c r="F5" s="37" t="n"/>
      <c r="G5" s="37" t="n"/>
      <c r="H5" s="37" t="n"/>
      <c r="I5" s="315" t="n"/>
      <c r="J5" s="37" t="n"/>
      <c r="K5" s="37" t="n"/>
      <c r="L5" s="37" t="n"/>
      <c r="M5" s="37" t="n"/>
      <c r="N5" s="37" t="n"/>
      <c r="O5" s="37" t="n"/>
      <c r="P5" s="942" t="n"/>
      <c r="Q5" s="315" t="n"/>
      <c r="R5" s="315" t="n"/>
      <c r="S5" s="315" t="n"/>
      <c r="T5" s="315" t="n"/>
      <c r="U5" s="315" t="n"/>
      <c r="V5" s="939" t="n"/>
      <c r="W5" s="939" t="n"/>
      <c r="X5" s="37" t="n"/>
      <c r="Y5" s="37" t="n"/>
      <c r="Z5" s="37" t="n"/>
      <c r="AA5" s="37" t="n"/>
      <c r="AB5" s="37" t="n"/>
      <c r="AC5" s="139" t="n"/>
      <c r="AD5" s="110" t="n"/>
      <c r="AE5" s="139" t="n"/>
      <c r="AG5" s="657" t="n"/>
    </row>
    <row r="6" ht="11.25" customHeight="1" s="7635">
      <c r="A6" s="37" t="n"/>
      <c r="B6" s="37" t="n"/>
      <c r="C6" s="37" t="n"/>
      <c r="D6" s="891" t="n"/>
      <c r="E6" s="891">
        <f>IF(OR(I4,P4),"Retired? ","")</f>
        <v/>
      </c>
      <c r="F6" s="8775" t="n"/>
      <c r="G6" s="194" t="n"/>
      <c r="H6" s="194" t="n"/>
      <c r="I6" s="940">
        <f>OR(LEFT(F6,1)="Y",LEFT(F6,1)="y")</f>
        <v/>
      </c>
      <c r="J6" s="8775" t="n"/>
      <c r="K6" s="194" t="n"/>
      <c r="L6" s="194" t="n"/>
      <c r="M6" s="37" t="n"/>
      <c r="N6" s="37" t="n"/>
      <c r="O6" s="37" t="n"/>
      <c r="P6" s="940">
        <f>OR(LEFT(J6,1)="Y",LEFT(J6,1)="y")</f>
        <v/>
      </c>
      <c r="Q6" s="315" t="n"/>
      <c r="R6" s="315" t="n"/>
      <c r="S6" s="315" t="n"/>
      <c r="T6" s="315" t="n"/>
      <c r="U6" s="315" t="n"/>
      <c r="V6" s="939" t="n"/>
      <c r="W6" s="939" t="n"/>
      <c r="X6" s="37" t="n"/>
      <c r="Y6" s="37" t="n"/>
      <c r="Z6" s="37" t="n"/>
      <c r="AA6" s="37" t="n"/>
      <c r="AB6" s="37" t="n"/>
      <c r="AC6" s="139" t="n"/>
      <c r="AD6" s="110" t="n"/>
      <c r="AE6" s="139" t="n"/>
      <c r="AG6" s="657" t="n"/>
    </row>
    <row r="7" ht="6.75" customHeight="1" s="7635">
      <c r="A7" s="152" t="n"/>
      <c r="B7" s="152" t="n"/>
      <c r="C7" s="152" t="n"/>
      <c r="D7" s="152" t="n"/>
      <c r="E7" s="218" t="n"/>
      <c r="F7" s="37" t="n"/>
      <c r="G7" s="37" t="n"/>
      <c r="H7" s="37" t="n"/>
      <c r="I7" s="315" t="n"/>
      <c r="J7" s="37" t="n"/>
      <c r="K7" s="37" t="n"/>
      <c r="L7" s="37" t="n"/>
      <c r="M7" s="37" t="n"/>
      <c r="N7" s="37" t="n"/>
      <c r="O7" s="37" t="n"/>
      <c r="P7" s="942" t="n"/>
      <c r="Q7" s="315" t="n"/>
      <c r="R7" s="315" t="n"/>
      <c r="S7" s="315" t="n"/>
      <c r="T7" s="315" t="n"/>
      <c r="U7" s="315" t="n"/>
      <c r="V7" s="939" t="n"/>
      <c r="W7" s="939" t="n"/>
      <c r="X7" s="37" t="n"/>
      <c r="Y7" s="37" t="n"/>
      <c r="Z7" s="37" t="n"/>
      <c r="AA7" s="37" t="n"/>
      <c r="AB7" s="37" t="n"/>
      <c r="AC7" s="139" t="n"/>
      <c r="AD7" s="110" t="n"/>
      <c r="AE7" s="139" t="n"/>
      <c r="AG7" s="657" t="n"/>
    </row>
    <row r="8" ht="11.25" customHeight="1" s="7635">
      <c r="A8" s="37" t="n"/>
      <c r="B8" s="37" t="n"/>
      <c r="C8" s="37" t="n"/>
      <c r="D8" s="891" t="n"/>
      <c r="E8" s="891">
        <f>IF(OR(I6,P6),"Permanently and totally disabled? ","")</f>
        <v/>
      </c>
      <c r="F8" s="8775" t="n"/>
      <c r="G8" s="194" t="n"/>
      <c r="H8" s="194" t="n"/>
      <c r="I8" s="940">
        <f>OR(LEFT(F8,1)="Y",LEFT(F8,1)="y")</f>
        <v/>
      </c>
      <c r="J8" s="8775" t="n"/>
      <c r="K8" s="194" t="n"/>
      <c r="L8" s="194" t="n"/>
      <c r="M8" s="37" t="n"/>
      <c r="N8" s="37" t="n"/>
      <c r="O8" s="37" t="n"/>
      <c r="P8" s="940">
        <f>OR(LEFT(J8,1)="Y",LEFT(J8,1)="y")</f>
        <v/>
      </c>
      <c r="Q8" s="315" t="n"/>
      <c r="R8" s="8774">
        <f>OR(AND(I8,NOT(P8)),AND(NOT(I8),P8))</f>
        <v/>
      </c>
      <c r="S8" s="26" t="n"/>
      <c r="T8" s="941" t="inlineStr">
        <is>
          <t>Only one.</t>
        </is>
      </c>
      <c r="U8" s="315" t="n"/>
      <c r="V8" s="939" t="n"/>
      <c r="W8" s="939" t="n"/>
      <c r="X8" s="37" t="n"/>
      <c r="Y8" s="37" t="n"/>
      <c r="Z8" s="37" t="n"/>
      <c r="AA8" s="37" t="n"/>
      <c r="AB8" s="37" t="n"/>
      <c r="AC8" s="139" t="n"/>
      <c r="AD8" s="110" t="n"/>
      <c r="AE8" s="139" t="n"/>
      <c r="AG8" s="657" t="n"/>
    </row>
    <row r="9" ht="6.75" customHeight="1" s="7635">
      <c r="A9" s="152" t="n"/>
      <c r="B9" s="152" t="n"/>
      <c r="C9" s="152" t="n"/>
      <c r="D9" s="152" t="n"/>
      <c r="E9" s="218" t="n"/>
      <c r="F9" s="37" t="n"/>
      <c r="G9" s="37" t="n"/>
      <c r="H9" s="37" t="n"/>
      <c r="I9" s="315" t="n"/>
      <c r="J9" s="37" t="n"/>
      <c r="K9" s="37" t="n"/>
      <c r="L9" s="37" t="n"/>
      <c r="M9" s="37" t="n"/>
      <c r="N9" s="37" t="n"/>
      <c r="O9" s="37" t="n"/>
      <c r="P9" s="942" t="n"/>
      <c r="Q9" s="315" t="n"/>
      <c r="R9" s="315" t="n"/>
      <c r="S9" s="315" t="n"/>
      <c r="T9" s="315" t="n"/>
      <c r="U9" s="315" t="n"/>
      <c r="V9" s="939" t="n"/>
      <c r="W9" s="939" t="n"/>
      <c r="X9" s="37" t="n"/>
      <c r="Y9" s="37" t="n"/>
      <c r="Z9" s="37" t="n"/>
      <c r="AA9" s="37" t="n"/>
      <c r="AB9" s="37" t="n"/>
      <c r="AC9" s="139" t="n"/>
      <c r="AD9" s="110" t="n"/>
      <c r="AE9" s="139" t="n"/>
      <c r="AG9" s="657" t="n"/>
    </row>
    <row r="10" ht="11.25" customHeight="1" s="7635">
      <c r="A10" s="152" t="n"/>
      <c r="B10" s="152" t="n"/>
      <c r="C10" s="152" t="n"/>
      <c r="D10" s="152" t="n"/>
      <c r="E10" s="891">
        <f>IF(OR(I8,P8),"Taxable disability income: ","")</f>
        <v/>
      </c>
      <c r="F10" s="8772" t="n"/>
      <c r="G10" s="194" t="n"/>
      <c r="H10" s="194" t="n"/>
      <c r="I10" s="940">
        <f>F10&gt;0</f>
        <v/>
      </c>
      <c r="J10" s="8773" t="n"/>
      <c r="K10" s="194" t="n"/>
      <c r="L10" s="194" t="n"/>
      <c r="M10" s="37" t="n"/>
      <c r="N10" s="37" t="n"/>
      <c r="O10" s="37" t="n"/>
      <c r="P10" s="940">
        <f>J10&gt;0</f>
        <v/>
      </c>
      <c r="Q10" s="315" t="n"/>
      <c r="R10" s="315" t="n"/>
      <c r="S10" s="315" t="n"/>
      <c r="T10" s="315" t="n"/>
      <c r="U10" s="315" t="n"/>
      <c r="V10" s="939" t="n"/>
      <c r="W10" s="939" t="n"/>
      <c r="X10" s="37" t="n"/>
      <c r="Y10" s="37" t="n"/>
      <c r="Z10" s="37" t="n"/>
      <c r="AA10" s="37" t="n"/>
      <c r="AB10" s="37" t="n"/>
      <c r="AC10" s="139" t="n"/>
      <c r="AD10" s="110" t="n"/>
      <c r="AE10" s="139" t="n"/>
      <c r="AG10" s="657" t="n"/>
    </row>
    <row r="11" ht="6.75" customHeight="1" s="7635">
      <c r="A11" s="37" t="n"/>
      <c r="B11" s="37" t="n"/>
      <c r="C11" s="37" t="n"/>
      <c r="D11" s="37" t="n"/>
      <c r="E11" s="218" t="n"/>
      <c r="F11" s="37" t="n"/>
      <c r="G11" s="37" t="n"/>
      <c r="H11" s="37" t="n"/>
      <c r="I11" s="315" t="n"/>
      <c r="J11" s="37" t="n"/>
      <c r="K11" s="37" t="n"/>
      <c r="L11" s="37" t="n"/>
      <c r="M11" s="37" t="n"/>
      <c r="N11" s="37" t="n"/>
      <c r="O11" s="37" t="n"/>
      <c r="P11" s="942" t="n"/>
      <c r="Q11" s="315" t="n"/>
      <c r="R11" s="315" t="n"/>
      <c r="S11" s="315" t="n"/>
      <c r="T11" s="315" t="n"/>
      <c r="U11" s="315" t="n"/>
      <c r="V11" s="939" t="n"/>
      <c r="W11" s="939" t="n"/>
      <c r="X11" s="37" t="n"/>
      <c r="Y11" s="37" t="n"/>
      <c r="Z11" s="37" t="n"/>
      <c r="AA11" s="37" t="n"/>
      <c r="AB11" s="37" t="n"/>
      <c r="AC11" s="139" t="n"/>
      <c r="AD11" s="110" t="n"/>
      <c r="AE11" s="139" t="n"/>
      <c r="AG11" s="657" t="n"/>
    </row>
    <row r="12" ht="15" customHeight="1" s="7635">
      <c r="A12" s="37" t="n"/>
      <c r="B12" s="37" t="n"/>
      <c r="C12" s="37" t="n"/>
      <c r="D12" s="891" t="n"/>
      <c r="E12" s="218" t="n"/>
      <c r="F12" s="37" t="n"/>
      <c r="G12" s="37" t="n"/>
      <c r="H12" s="37" t="n"/>
      <c r="I12" s="940">
        <f>AND(I4,I6,I8,I10)</f>
        <v/>
      </c>
      <c r="J12" s="37" t="n"/>
      <c r="K12" s="37" t="n"/>
      <c r="L12" s="37" t="n"/>
      <c r="M12" s="37" t="n"/>
      <c r="N12" s="37" t="n"/>
      <c r="O12" s="37" t="n"/>
      <c r="P12" s="940">
        <f>AND(P4,P6,P8,P10)</f>
        <v/>
      </c>
      <c r="Q12" s="315" t="n"/>
      <c r="R12" s="8774">
        <f>OR(YouR65,SpouseIs65,I12,P12)</f>
        <v/>
      </c>
      <c r="S12" s="26" t="n"/>
      <c r="T12" s="315" t="n"/>
      <c r="U12" s="315" t="n"/>
      <c r="V12" s="939" t="n"/>
      <c r="W12" s="939" t="n"/>
      <c r="X12" s="8103">
        <f>IF('Table of Contents'!A41="D","DRAFT","")</f>
        <v/>
      </c>
      <c r="Y12" s="26" t="n"/>
      <c r="Z12" s="26" t="n"/>
      <c r="AA12" s="26" t="n"/>
      <c r="AB12" s="26" t="n"/>
      <c r="AC12" s="139" t="n"/>
      <c r="AD12" s="110" t="n"/>
      <c r="AE12" s="139" t="n"/>
      <c r="AG12" s="657" t="n"/>
    </row>
    <row r="13" ht="10.5" customHeight="1" s="7635">
      <c r="A13" s="37" t="n"/>
      <c r="B13" s="8798" t="inlineStr">
        <is>
          <t>Schedule R
(Form 1040)</t>
        </is>
      </c>
      <c r="C13" s="26" t="n"/>
      <c r="D13" s="11837" t="n"/>
      <c r="E13" s="791" t="n"/>
      <c r="F13" s="275" t="n"/>
      <c r="G13" s="275" t="n"/>
      <c r="H13" s="275" t="n"/>
      <c r="I13" s="275" t="n"/>
      <c r="J13" s="275" t="n"/>
      <c r="K13" s="275" t="n"/>
      <c r="L13" s="275" t="n"/>
      <c r="M13" s="275" t="n"/>
      <c r="N13" s="275" t="n"/>
      <c r="O13" s="275" t="n"/>
      <c r="P13" s="275" t="n"/>
      <c r="Q13" s="275" t="n"/>
      <c r="R13" s="275" t="n"/>
      <c r="S13" s="275" t="n"/>
      <c r="T13" s="275" t="n"/>
      <c r="U13" s="275" t="n"/>
      <c r="V13" s="792" t="n"/>
      <c r="W13" s="275" t="n"/>
      <c r="X13" s="8778">
        <f>IF(AND(AC13="",'Table of Contents'!A41="D"),"DRAFT","OMB No. 1545-0074")</f>
        <v/>
      </c>
      <c r="Y13" s="645" t="n"/>
      <c r="Z13" s="645" t="n"/>
      <c r="AA13" s="645" t="n"/>
      <c r="AB13" s="645" t="n"/>
      <c r="AC13" s="1796" t="n"/>
      <c r="AD13" s="110" t="n"/>
      <c r="AE13" s="139" t="n"/>
    </row>
    <row r="14" ht="21.75" customHeight="1" s="7635">
      <c r="A14" s="139" t="n"/>
      <c r="B14" s="26" t="n"/>
      <c r="C14" s="26" t="n"/>
      <c r="D14" s="11837" t="n"/>
      <c r="E14" s="12180" t="inlineStr">
        <is>
          <t>Credit for the Elderly or the Disabled</t>
        </is>
      </c>
      <c r="F14" s="26" t="n"/>
      <c r="G14" s="26" t="n"/>
      <c r="H14" s="26" t="n"/>
      <c r="I14" s="26" t="n"/>
      <c r="J14" s="26" t="n"/>
      <c r="K14" s="26" t="n"/>
      <c r="L14" s="26" t="n"/>
      <c r="M14" s="26" t="n"/>
      <c r="N14" s="26" t="n"/>
      <c r="O14" s="26" t="n"/>
      <c r="P14" s="26" t="n"/>
      <c r="Q14" s="26" t="n"/>
      <c r="R14" s="26" t="n"/>
      <c r="S14" s="26" t="n"/>
      <c r="T14" s="26" t="n"/>
      <c r="U14" s="26" t="n"/>
      <c r="V14" s="26" t="n"/>
      <c r="W14" s="11837" t="n"/>
      <c r="X14" s="8802">
        <f>TaxYear</f>
        <v/>
      </c>
      <c r="Y14" s="12051" t="n"/>
      <c r="Z14" s="12051" t="n"/>
      <c r="AA14" s="12051" t="n"/>
      <c r="AB14" s="12051" t="n"/>
      <c r="AC14" s="139" t="n"/>
      <c r="AD14" s="110" t="n"/>
      <c r="AE14" s="139" t="n"/>
    </row>
    <row r="15" ht="9.75" customHeight="1" s="7635">
      <c r="A15" s="139" t="n"/>
      <c r="B15" s="8819" t="n"/>
      <c r="C15" s="26" t="n"/>
      <c r="D15" s="11837" t="n"/>
      <c r="E15" s="12181" t="inlineStr">
        <is>
          <t>Attach to Form 1040 or 1040-SR.</t>
        </is>
      </c>
      <c r="W15" s="1066" t="n"/>
      <c r="X15" s="12182" t="inlineStr">
        <is>
          <t>Attachment
Sequence No. 16</t>
        </is>
      </c>
      <c r="Y15" s="26" t="n"/>
      <c r="Z15" s="26" t="n"/>
      <c r="AA15" s="26" t="n"/>
      <c r="AB15" s="26" t="n"/>
      <c r="AC15" s="139" t="n"/>
      <c r="AD15" s="110" t="n"/>
      <c r="AE15" s="139" t="n"/>
    </row>
    <row r="16" ht="12" customHeight="1" s="7635">
      <c r="A16" s="139" t="n"/>
      <c r="B16" s="12183" t="inlineStr">
        <is>
          <t>Department of the Treasury
Internal Revenue Service</t>
        </is>
      </c>
      <c r="C16" s="26" t="n"/>
      <c r="D16" s="11837" t="n"/>
      <c r="E16" s="12184" t="inlineStr">
        <is>
          <t>Go to www.irs.gov/ScheduleR for instructions and latest information.</t>
        </is>
      </c>
      <c r="W16" s="1066" t="n"/>
      <c r="X16" s="11836" t="n"/>
      <c r="Y16" s="26" t="n"/>
      <c r="Z16" s="26" t="n"/>
      <c r="AA16" s="26" t="n"/>
      <c r="AB16" s="26" t="n"/>
      <c r="AC16" s="139" t="n"/>
      <c r="AD16" s="110" t="n"/>
      <c r="AE16" s="139" t="n"/>
    </row>
    <row r="17" ht="6.75" customHeight="1" s="7635">
      <c r="A17" s="139" t="n"/>
      <c r="B17" s="645" t="n"/>
      <c r="C17" s="645" t="n"/>
      <c r="D17" s="12185" t="n"/>
      <c r="E17" s="367" t="n"/>
      <c r="F17" s="7601" t="n"/>
      <c r="G17" s="7601" t="n"/>
      <c r="H17" s="7601" t="n"/>
      <c r="I17" s="7601" t="n"/>
      <c r="J17" s="7601" t="n"/>
      <c r="K17" s="7601" t="n"/>
      <c r="L17" s="7601" t="n"/>
      <c r="M17" s="7601" t="n"/>
      <c r="N17" s="7601" t="n"/>
      <c r="O17" s="7601" t="n"/>
      <c r="P17" s="7601" t="n"/>
      <c r="Q17" s="7601" t="n"/>
      <c r="R17" s="7601" t="n"/>
      <c r="S17" s="7601" t="n"/>
      <c r="T17" s="7601" t="n"/>
      <c r="U17" s="7601" t="n"/>
      <c r="V17" s="7601" t="n"/>
      <c r="W17" s="7601" t="n"/>
      <c r="X17" s="12049" t="n"/>
      <c r="Y17" s="645" t="n"/>
      <c r="Z17" s="645" t="n"/>
      <c r="AA17" s="645" t="n"/>
      <c r="AB17" s="645" t="n"/>
      <c r="AC17" s="139" t="n"/>
      <c r="AD17" s="110" t="n"/>
      <c r="AE17" s="139" t="n"/>
    </row>
    <row r="18" ht="12" customHeight="1" s="7635">
      <c r="A18" s="139" t="n"/>
      <c r="B18" s="76" t="inlineStr">
        <is>
          <t>Name(s) shown on Form 1040</t>
        </is>
      </c>
      <c r="C18" s="76" t="n"/>
      <c r="D18" s="74" t="n"/>
      <c r="E18" s="74" t="n"/>
      <c r="F18" s="74" t="n"/>
      <c r="G18" s="61" t="n"/>
      <c r="H18" s="61" t="n"/>
      <c r="I18" s="62" t="n"/>
      <c r="J18" s="62" t="n"/>
      <c r="K18" s="62" t="n"/>
      <c r="L18" s="62" t="n"/>
      <c r="M18" s="62" t="n"/>
      <c r="N18" s="16" t="n"/>
      <c r="O18" s="16" t="n"/>
      <c r="P18" s="16" t="n"/>
      <c r="Q18" s="16" t="n"/>
      <c r="R18" s="69" t="n"/>
      <c r="S18" s="67" t="n"/>
      <c r="T18" s="370" t="inlineStr">
        <is>
          <t xml:space="preserve">  Your social security number</t>
        </is>
      </c>
      <c r="U18" s="62" t="n"/>
      <c r="V18" s="62" t="n"/>
      <c r="W18" s="62" t="n"/>
      <c r="X18" s="61" t="n"/>
      <c r="Y18" s="61" t="n"/>
      <c r="Z18" s="61" t="n"/>
      <c r="AA18" s="61" t="n"/>
      <c r="AB18" s="61" t="n"/>
      <c r="AC18" s="139" t="n"/>
      <c r="AD18" s="110" t="n"/>
      <c r="AE18" s="139" t="n"/>
    </row>
    <row r="19" ht="14.25" customHeight="1" s="7635">
      <c r="A19" s="139" t="n"/>
      <c r="B19" s="12186">
        <f>Names</f>
        <v/>
      </c>
      <c r="C19" s="645" t="n"/>
      <c r="D19" s="645" t="n"/>
      <c r="E19" s="645" t="n"/>
      <c r="F19" s="645" t="n"/>
      <c r="G19" s="645" t="n"/>
      <c r="H19" s="645" t="n"/>
      <c r="I19" s="645" t="n"/>
      <c r="J19" s="645" t="n"/>
      <c r="K19" s="645" t="n"/>
      <c r="L19" s="645" t="n"/>
      <c r="M19" s="645" t="n"/>
      <c r="N19" s="645" t="n"/>
      <c r="O19" s="645" t="n"/>
      <c r="P19" s="645" t="n"/>
      <c r="Q19" s="645" t="n"/>
      <c r="R19" s="645" t="n"/>
      <c r="S19" s="12187" t="n"/>
      <c r="T19" s="12188">
        <f>IF(NoSSN,"",SS_Yours)</f>
        <v/>
      </c>
      <c r="U19" s="645" t="n"/>
      <c r="V19" s="645" t="n"/>
      <c r="W19" s="645" t="n"/>
      <c r="X19" s="645" t="n"/>
      <c r="Y19" s="645" t="n"/>
      <c r="Z19" s="645" t="n"/>
      <c r="AA19" s="645" t="n"/>
      <c r="AB19" s="645" t="n"/>
      <c r="AC19" s="139" t="n"/>
      <c r="AD19" s="110" t="n"/>
      <c r="AE19" s="139" t="n"/>
    </row>
    <row r="20" ht="12" customFormat="1" customHeight="1" s="815">
      <c r="A20" s="139" t="n"/>
      <c r="B20" s="856">
        <f>"You may be able to take this credit and reduce your tax if by the end of "&amp;TaxYear&amp;":"</f>
        <v/>
      </c>
      <c r="C20" s="376" t="n"/>
      <c r="D20" s="376" t="n"/>
      <c r="E20" s="376" t="n"/>
      <c r="F20" s="1617" t="n"/>
      <c r="G20" s="1618" t="n"/>
      <c r="H20" s="1618" t="n"/>
      <c r="I20" s="1618" t="n"/>
      <c r="J20" s="1618" t="n"/>
      <c r="K20" s="1618" t="n"/>
      <c r="L20" s="1618" t="n"/>
      <c r="M20" s="1618" t="n"/>
      <c r="N20" s="1617" t="n"/>
      <c r="O20" s="1617" t="n"/>
      <c r="P20" s="217" t="n"/>
      <c r="Q20" s="217" t="n"/>
      <c r="R20" s="217" t="n"/>
      <c r="S20" s="217" t="n"/>
      <c r="T20" s="217" t="n"/>
      <c r="U20" s="217" t="n"/>
      <c r="V20" s="217" t="n"/>
      <c r="W20" s="217" t="n"/>
      <c r="X20" s="217" t="n"/>
      <c r="Y20" s="217" t="n"/>
      <c r="Z20" s="217" t="n"/>
      <c r="AA20" s="217" t="n"/>
      <c r="AB20" s="217" t="n"/>
      <c r="AC20" s="139" t="n"/>
      <c r="AD20" s="110" t="n"/>
      <c r="AE20" s="139" t="n"/>
      <c r="AG20" s="658" t="n"/>
      <c r="AH20" s="658" t="n"/>
      <c r="AI20" s="658" t="n"/>
      <c r="AJ20" s="658" t="n"/>
      <c r="AK20" s="658" t="n"/>
      <c r="AL20" s="658" t="n"/>
      <c r="AM20" s="658" t="n"/>
      <c r="AN20" s="658" t="n"/>
      <c r="AO20" s="658" t="n"/>
      <c r="AP20" s="658" t="n"/>
    </row>
    <row r="21" ht="12" customFormat="1" customHeight="1" s="815">
      <c r="A21" s="139" t="n"/>
      <c r="B21" s="857" t="inlineStr">
        <is>
          <t xml:space="preserve">• </t>
        </is>
      </c>
      <c r="C21" s="217" t="inlineStr">
        <is>
          <t>You were age 65 or older</t>
        </is>
      </c>
      <c r="D21" s="217" t="n"/>
      <c r="E21" s="217" t="n"/>
      <c r="F21" s="240" t="inlineStr">
        <is>
          <t>or</t>
        </is>
      </c>
      <c r="G21" s="857" t="inlineStr">
        <is>
          <t xml:space="preserve">• </t>
        </is>
      </c>
      <c r="H21" s="1430" t="inlineStr">
        <is>
          <t>You were under age 65, you retired on permanent and total disability, and</t>
        </is>
      </c>
      <c r="I21" s="1530" t="n"/>
      <c r="J21" s="1530" t="n"/>
      <c r="K21" s="1530" t="n"/>
      <c r="L21" s="1530" t="n"/>
      <c r="M21" s="1530" t="n"/>
      <c r="N21" s="217" t="n"/>
      <c r="O21" s="217" t="n"/>
      <c r="P21" s="217" t="n"/>
      <c r="Q21" s="217" t="n"/>
      <c r="R21" s="217" t="n"/>
      <c r="S21" s="217" t="n"/>
      <c r="T21" s="217" t="n"/>
      <c r="U21" s="217" t="n"/>
      <c r="V21" s="217" t="n"/>
      <c r="W21" s="217" t="n"/>
      <c r="X21" s="217" t="n"/>
      <c r="Y21" s="217" t="n"/>
      <c r="Z21" s="217" t="n"/>
      <c r="AA21" s="217" t="n"/>
      <c r="AB21" s="217" t="n"/>
      <c r="AC21" s="139" t="n"/>
      <c r="AD21" s="110" t="n"/>
      <c r="AE21" s="139" t="n"/>
      <c r="AG21" s="658" t="n"/>
      <c r="AH21" s="658" t="n"/>
      <c r="AI21" s="658" t="n"/>
      <c r="AJ21" s="658" t="n"/>
      <c r="AK21" s="658" t="n"/>
      <c r="AL21" s="658" t="n"/>
      <c r="AM21" s="658" t="n"/>
      <c r="AN21" s="658" t="n"/>
      <c r="AO21" s="658" t="n"/>
      <c r="AP21" s="658" t="n"/>
    </row>
    <row r="22" ht="12" customFormat="1" customHeight="1" s="815">
      <c r="A22" s="139" t="n"/>
      <c r="B22" s="75" t="n"/>
      <c r="C22" s="323" t="n"/>
      <c r="D22" s="323" t="n"/>
      <c r="E22" s="217" t="n"/>
      <c r="F22" s="217" t="n"/>
      <c r="G22" s="1530" t="n"/>
      <c r="H22" s="1619" t="inlineStr">
        <is>
          <t>you received taxable disability income.</t>
        </is>
      </c>
      <c r="I22" s="1530" t="n"/>
      <c r="J22" s="1530" t="n"/>
      <c r="K22" s="1530" t="n"/>
      <c r="L22" s="1530" t="n"/>
      <c r="M22" s="1530" t="n"/>
      <c r="N22" s="217" t="n"/>
      <c r="O22" s="217" t="n"/>
      <c r="P22" s="217" t="n"/>
      <c r="Q22" s="217" t="n"/>
      <c r="R22" s="217" t="n"/>
      <c r="S22" s="217" t="n"/>
      <c r="T22" s="217" t="n"/>
      <c r="U22" s="1530" t="n"/>
      <c r="V22" s="1530" t="n"/>
      <c r="W22" s="1530" t="n"/>
      <c r="X22" s="12189" t="n"/>
      <c r="Y22" s="697" t="n"/>
      <c r="Z22" s="697" t="n"/>
      <c r="AA22" s="12189" t="n"/>
      <c r="AB22" s="12189" t="n"/>
      <c r="AC22" s="139" t="n"/>
      <c r="AD22" s="110" t="n"/>
      <c r="AE22" s="139" t="n"/>
      <c r="AG22" s="658" t="n"/>
      <c r="AH22" s="658" t="n"/>
      <c r="AI22" s="658" t="n"/>
      <c r="AJ22" s="658" t="n"/>
      <c r="AK22" s="658" t="n"/>
      <c r="AL22" s="658" t="n"/>
      <c r="AM22" s="658" t="n"/>
      <c r="AN22" s="658" t="n"/>
      <c r="AO22" s="658" t="n"/>
      <c r="AP22" s="658" t="n"/>
    </row>
    <row r="23" ht="12" customFormat="1" customHeight="1" s="815">
      <c r="A23" s="139" t="n"/>
      <c r="B23" s="217" t="inlineStr">
        <is>
          <t>But you must also meet other tests. See instructions.</t>
        </is>
      </c>
      <c r="C23" s="217" t="n"/>
      <c r="D23" s="323" t="n"/>
      <c r="E23" s="217" t="n"/>
      <c r="F23" s="217" t="n"/>
      <c r="G23" s="1530" t="n"/>
      <c r="H23" s="1530" t="n"/>
      <c r="I23" s="1530" t="n"/>
      <c r="J23" s="1530" t="n"/>
      <c r="K23" s="1530" t="n"/>
      <c r="L23" s="1530" t="n"/>
      <c r="M23" s="1530" t="n"/>
      <c r="N23" s="217" t="n"/>
      <c r="O23" s="217" t="n"/>
      <c r="P23" s="217" t="n"/>
      <c r="Q23" s="217" t="n"/>
      <c r="R23" s="217" t="n"/>
      <c r="S23" s="217" t="n"/>
      <c r="T23" s="217" t="n"/>
      <c r="U23" s="1530" t="n"/>
      <c r="V23" s="1530" t="n"/>
      <c r="W23" s="1530" t="n"/>
      <c r="X23" s="1530" t="n"/>
      <c r="Y23" s="1530" t="n"/>
      <c r="Z23" s="1530" t="n"/>
      <c r="AA23" s="1530" t="n"/>
      <c r="AB23" s="1530" t="n"/>
      <c r="AC23" s="139" t="n"/>
      <c r="AD23" s="110" t="n"/>
      <c r="AE23" s="806" t="n"/>
      <c r="AG23" s="658" t="n"/>
      <c r="AH23" s="658" t="n"/>
      <c r="AI23" s="658" t="n"/>
      <c r="AJ23" s="658" t="n"/>
      <c r="AK23" s="658" t="n"/>
      <c r="AL23" s="658" t="n"/>
      <c r="AM23" s="658" t="n"/>
      <c r="AN23" s="658" t="n"/>
      <c r="AO23" s="658" t="n"/>
      <c r="AP23" s="658" t="n"/>
    </row>
    <row r="24" ht="18.75" customFormat="1" customHeight="1" s="815">
      <c r="A24" s="139" t="n"/>
      <c r="B24" s="75" t="n"/>
      <c r="C24" s="323" t="n"/>
      <c r="D24" s="1297" t="inlineStr">
        <is>
          <t>In most cases, the IRS can figure the credit for you. See instructions.</t>
        </is>
      </c>
      <c r="E24" s="323" t="n"/>
      <c r="F24" s="217" t="n"/>
      <c r="G24" s="217" t="n"/>
      <c r="H24" s="217" t="n"/>
      <c r="I24" s="217" t="n"/>
      <c r="J24" s="217" t="n"/>
      <c r="K24" s="217" t="n"/>
      <c r="L24" s="217" t="n"/>
      <c r="M24" s="217" t="n"/>
      <c r="N24" s="217" t="n"/>
      <c r="O24" s="217" t="n"/>
      <c r="P24" s="217" t="n"/>
      <c r="Q24" s="217" t="n"/>
      <c r="R24" s="217" t="n"/>
      <c r="S24" s="217" t="n"/>
      <c r="T24" s="217" t="n"/>
      <c r="U24" s="1530" t="n"/>
      <c r="V24" s="1530" t="n"/>
      <c r="W24" s="8776" t="n"/>
      <c r="X24" s="793" t="n"/>
      <c r="Y24" s="794" t="n"/>
      <c r="Z24" s="794" t="n"/>
      <c r="AA24" s="794" t="n"/>
      <c r="AB24" s="794" t="n"/>
      <c r="AC24" s="139" t="n"/>
      <c r="AD24" s="110" t="n"/>
      <c r="AE24" s="139" t="n"/>
      <c r="AF24" s="382" t="n"/>
      <c r="AG24" s="658" t="n"/>
      <c r="AH24" s="658" t="n"/>
      <c r="AI24" s="658" t="n"/>
      <c r="AJ24" s="658" t="n"/>
      <c r="AK24" s="658" t="n"/>
      <c r="AL24" s="658" t="n"/>
      <c r="AM24" s="658" t="n"/>
      <c r="AN24" s="658" t="n"/>
      <c r="AO24" s="658" t="n"/>
      <c r="AP24" s="658" t="n"/>
    </row>
    <row r="25" ht="5.25" customFormat="1" customHeight="1" s="815" thickBot="1">
      <c r="A25" s="139" t="n"/>
      <c r="B25" s="133" t="n"/>
      <c r="C25" s="323" t="n"/>
      <c r="D25" s="323" t="n"/>
      <c r="E25" s="323" t="n"/>
      <c r="F25" s="85" t="n"/>
      <c r="G25" s="85" t="n"/>
      <c r="H25" s="85" t="n"/>
      <c r="I25" s="85" t="n"/>
      <c r="J25" s="85" t="n"/>
      <c r="K25" s="85" t="n"/>
      <c r="L25" s="85" t="n"/>
      <c r="M25" s="85" t="n"/>
      <c r="N25" s="85" t="n"/>
      <c r="O25" s="85" t="n"/>
      <c r="P25" s="85" t="n"/>
      <c r="Q25" s="85" t="n"/>
      <c r="R25" s="65" t="n"/>
      <c r="S25" s="65" t="n"/>
      <c r="T25" s="76" t="n"/>
      <c r="U25" s="1532" t="n"/>
      <c r="V25" s="1532" t="n"/>
      <c r="W25" s="217" t="n"/>
      <c r="X25" s="15" t="n"/>
      <c r="Y25" s="15" t="n"/>
      <c r="Z25" s="154" t="n"/>
      <c r="AA25" s="15" t="n"/>
      <c r="AB25" s="15" t="n"/>
      <c r="AC25" s="139" t="n"/>
      <c r="AD25" s="110" t="n"/>
      <c r="AE25" s="805" t="n"/>
      <c r="AG25" s="658" t="n"/>
      <c r="AH25" s="658" t="n"/>
      <c r="AI25" s="658" t="n"/>
      <c r="AJ25" s="658" t="n"/>
      <c r="AK25" s="658" t="n"/>
      <c r="AL25" s="658" t="n"/>
      <c r="AM25" s="658" t="n"/>
      <c r="AN25" s="658" t="n"/>
      <c r="AO25" s="658" t="n"/>
      <c r="AP25" s="658" t="n"/>
    </row>
    <row r="26" ht="15.75" customFormat="1" customHeight="1" s="815" thickTop="1">
      <c r="A26" s="139" t="n"/>
      <c r="B26" s="8784" t="inlineStr">
        <is>
          <t>Part I</t>
        </is>
      </c>
      <c r="C26" s="12190" t="n"/>
      <c r="D26" s="858" t="inlineStr">
        <is>
          <t xml:space="preserve">   Check the Box for Your Filing Status and Age</t>
        </is>
      </c>
      <c r="E26" s="78" t="n"/>
      <c r="F26" s="78" t="n"/>
      <c r="G26" s="78" t="n"/>
      <c r="H26" s="78" t="n"/>
      <c r="I26" s="78" t="n"/>
      <c r="J26" s="78" t="n"/>
      <c r="K26" s="78" t="n"/>
      <c r="L26" s="78" t="n"/>
      <c r="M26" s="78" t="n"/>
      <c r="N26" s="78" t="n"/>
      <c r="O26" s="78" t="n"/>
      <c r="P26" s="78" t="n"/>
      <c r="Q26" s="78" t="n"/>
      <c r="R26" s="78" t="n"/>
      <c r="S26" s="78" t="n"/>
      <c r="T26" s="78" t="n"/>
      <c r="U26" s="78" t="n"/>
      <c r="V26" s="78" t="n"/>
      <c r="W26" s="78" t="n"/>
      <c r="X26" s="78" t="n"/>
      <c r="Y26" s="78" t="n"/>
      <c r="Z26" s="78" t="n"/>
      <c r="AA26" s="78" t="n"/>
      <c r="AB26" s="78" t="n"/>
      <c r="AC26" s="139" t="n"/>
      <c r="AD26" s="937" t="inlineStr">
        <is>
          <t>Override</t>
        </is>
      </c>
      <c r="AE26" s="139" t="n"/>
      <c r="AG26" s="658" t="n"/>
      <c r="AH26" s="658" t="n"/>
      <c r="AI26" s="658" t="n"/>
      <c r="AJ26" s="658" t="n"/>
      <c r="AK26" s="658" t="n"/>
      <c r="AL26" s="658" t="n"/>
      <c r="AM26" s="658" t="n"/>
      <c r="AN26" s="658" t="n"/>
      <c r="AO26" s="658" t="n"/>
      <c r="AP26" s="658" t="n"/>
    </row>
    <row r="27" ht="12" customFormat="1" customHeight="1" s="815">
      <c r="A27" s="139" t="n"/>
      <c r="B27" s="1620" t="inlineStr">
        <is>
          <t>If your filing status is:</t>
        </is>
      </c>
      <c r="C27" s="859" t="n"/>
      <c r="D27" s="859" t="n"/>
      <c r="E27" s="860" t="n"/>
      <c r="F27" s="860" t="n"/>
      <c r="G27" s="861" t="n"/>
      <c r="H27" s="862">
        <f>"And by the end of "&amp;TaxYear&amp;":"</f>
        <v/>
      </c>
      <c r="I27" s="861" t="n"/>
      <c r="J27" s="861" t="n"/>
      <c r="K27" s="861" t="n"/>
      <c r="L27" s="861" t="n"/>
      <c r="M27" s="861" t="n"/>
      <c r="N27" s="860" t="n"/>
      <c r="O27" s="860" t="n"/>
      <c r="P27" s="860" t="n"/>
      <c r="Q27" s="860" t="n"/>
      <c r="R27" s="860" t="n"/>
      <c r="S27" s="860" t="n"/>
      <c r="T27" s="860" t="n"/>
      <c r="U27" s="861" t="n"/>
      <c r="V27" s="861" t="n"/>
      <c r="W27" s="861" t="n"/>
      <c r="X27" s="12191" t="n"/>
      <c r="Y27" s="864" t="n"/>
      <c r="Z27" s="864" t="n"/>
      <c r="AA27" s="12191" t="n"/>
      <c r="AB27" s="12192" t="inlineStr">
        <is>
          <t>Check only one box:</t>
        </is>
      </c>
      <c r="AC27" s="139" t="n"/>
      <c r="AD27" s="110" t="n"/>
      <c r="AE27" s="139" t="n"/>
      <c r="AG27" s="658" t="n"/>
      <c r="AH27" s="658" t="n"/>
      <c r="AI27" s="658" t="n"/>
      <c r="AJ27" s="658" t="n"/>
      <c r="AK27" s="658" t="n"/>
      <c r="AL27" s="658" t="n"/>
      <c r="AM27" s="658" t="n"/>
      <c r="AN27" s="658" t="n"/>
      <c r="AO27" s="658" t="n"/>
      <c r="AP27" s="658" t="n"/>
    </row>
    <row r="28" ht="12" customFormat="1" customHeight="1" s="815">
      <c r="A28" s="139" t="n"/>
      <c r="B28" s="8789">
        <f>OR(File_Single&lt;&gt;"",File_Head&lt;&gt;"",File_Qual_Widow&lt;&gt;"")</f>
        <v/>
      </c>
      <c r="C28" s="12051" t="n"/>
      <c r="D28" s="323" t="n"/>
      <c r="E28" s="217" t="n"/>
      <c r="F28" s="217" t="n"/>
      <c r="G28" s="1530" t="n"/>
      <c r="H28" s="853" t="n"/>
      <c r="I28" s="1530" t="n"/>
      <c r="J28" s="1530" t="n"/>
      <c r="K28" s="1530" t="n"/>
      <c r="L28" s="1530" t="n"/>
      <c r="M28" s="1530" t="n"/>
      <c r="N28" s="217" t="n"/>
      <c r="O28" s="217" t="n"/>
      <c r="P28" s="217" t="n"/>
      <c r="Q28" s="217" t="n"/>
      <c r="R28" s="217" t="n"/>
      <c r="S28" s="217" t="n"/>
      <c r="T28" s="217" t="n"/>
      <c r="U28" s="1530" t="n"/>
      <c r="V28" s="1530" t="n"/>
      <c r="W28" s="1530" t="n"/>
      <c r="X28" s="12189" t="n"/>
      <c r="Y28" s="697" t="n"/>
      <c r="Z28" s="697" t="n"/>
      <c r="AA28" s="12189" t="n"/>
      <c r="AB28" s="12189" t="n"/>
      <c r="AC28" s="139" t="n"/>
      <c r="AD28" s="110" t="n"/>
      <c r="AE28" s="139" t="n"/>
      <c r="AG28" s="658" t="n"/>
      <c r="AH28" s="658" t="n"/>
      <c r="AI28" s="658" t="n"/>
      <c r="AJ28" s="658" t="n"/>
      <c r="AK28" s="658" t="n"/>
      <c r="AL28" s="658" t="n"/>
      <c r="AM28" s="658" t="n"/>
      <c r="AN28" s="658" t="n"/>
      <c r="AO28" s="658" t="n"/>
      <c r="AP28" s="658" t="n"/>
    </row>
    <row r="29" ht="12" customFormat="1" customHeight="1" s="815">
      <c r="A29" s="139" t="n"/>
      <c r="B29" s="112" t="inlineStr">
        <is>
          <t>Single,</t>
        </is>
      </c>
      <c r="C29" s="323" t="n"/>
      <c r="D29" s="323" t="n"/>
      <c r="E29" s="217" t="n"/>
      <c r="F29" s="866" t="inlineStr">
        <is>
          <t>1</t>
        </is>
      </c>
      <c r="G29" s="1653" t="inlineStr">
        <is>
          <t>You were 65 or older</t>
        </is>
      </c>
      <c r="H29" s="853" t="n"/>
      <c r="I29" s="1530" t="n"/>
      <c r="J29" s="1530" t="n"/>
      <c r="K29" s="1530" t="n"/>
      <c r="L29" s="1530" t="n"/>
      <c r="M29" s="1530" t="n"/>
      <c r="N29" s="217" t="n"/>
      <c r="O29" s="217" t="n"/>
      <c r="P29" s="217" t="n"/>
      <c r="Q29" s="217" t="n"/>
      <c r="R29" s="217" t="n"/>
      <c r="S29" s="217" t="n"/>
      <c r="T29" s="217" t="n"/>
      <c r="U29" s="1530" t="n"/>
      <c r="V29" s="1530" t="n"/>
      <c r="W29" s="1530" t="n"/>
      <c r="X29" s="140" t="inlineStr">
        <is>
          <t xml:space="preserve">.   .   .   .   .   .   .   .   .   .   .   .   .   .   .   .   .   .   .   .   .   .   .   .  </t>
        </is>
      </c>
      <c r="Y29" s="866" t="inlineStr">
        <is>
          <t>1</t>
        </is>
      </c>
      <c r="Z29" s="697" t="n"/>
      <c r="AA29" s="12193">
        <f>IF(OR($AD$34=1,AND($AD$34="",B28,YouR65)),"X","")</f>
        <v/>
      </c>
      <c r="AB29" s="12189" t="n"/>
      <c r="AC29" s="139" t="n"/>
      <c r="AD29" s="110" t="n"/>
      <c r="AE29" s="139" t="n"/>
      <c r="AG29" s="658" t="n"/>
      <c r="AH29" s="658" t="n"/>
      <c r="AI29" s="658" t="n"/>
      <c r="AJ29" s="658" t="n"/>
      <c r="AK29" s="658" t="n"/>
      <c r="AL29" s="658" t="n"/>
      <c r="AM29" s="658" t="n"/>
      <c r="AN29" s="658" t="n"/>
      <c r="AO29" s="658" t="n"/>
      <c r="AP29" s="658" t="n"/>
    </row>
    <row r="30" ht="12" customFormat="1" customHeight="1" s="815">
      <c r="A30" s="139" t="n"/>
      <c r="B30" s="112" t="inlineStr">
        <is>
          <t>Head of household, or</t>
        </is>
      </c>
      <c r="C30" s="323" t="n"/>
      <c r="D30" s="323" t="n"/>
      <c r="E30" s="217" t="n"/>
      <c r="F30" s="217" t="n"/>
      <c r="G30" s="1530" t="n"/>
      <c r="H30" s="853" t="n"/>
      <c r="I30" s="1530" t="n"/>
      <c r="J30" s="1530" t="n"/>
      <c r="K30" s="1530" t="n"/>
      <c r="L30" s="1530" t="n"/>
      <c r="M30" s="1530" t="n"/>
      <c r="N30" s="217" t="n"/>
      <c r="O30" s="217" t="n"/>
      <c r="P30" s="217" t="n"/>
      <c r="Q30" s="217" t="n"/>
      <c r="R30" s="217" t="n"/>
      <c r="S30" s="217" t="n"/>
      <c r="T30" s="217" t="n"/>
      <c r="U30" s="1530" t="n"/>
      <c r="V30" s="1530" t="n"/>
      <c r="W30" s="1530" t="n"/>
      <c r="X30" s="12189" t="n"/>
      <c r="Y30" s="697" t="n"/>
      <c r="Z30" s="697" t="n"/>
      <c r="AA30" s="12189" t="n"/>
      <c r="AB30" s="12189" t="n"/>
      <c r="AC30" s="139" t="n"/>
      <c r="AD30" s="938" t="inlineStr">
        <is>
          <t>To override,</t>
        </is>
      </c>
      <c r="AE30" s="139" t="n"/>
      <c r="AG30" s="658" t="n"/>
      <c r="AH30" s="658" t="n"/>
      <c r="AI30" s="658" t="n"/>
      <c r="AJ30" s="658" t="n"/>
      <c r="AK30" s="658" t="n"/>
      <c r="AL30" s="658" t="n"/>
      <c r="AM30" s="658" t="n"/>
      <c r="AN30" s="658" t="n"/>
      <c r="AO30" s="658" t="n"/>
      <c r="AP30" s="658" t="n"/>
    </row>
    <row r="31" ht="12" customFormat="1" customHeight="1" s="815">
      <c r="A31" s="139" t="n"/>
      <c r="B31" s="112" t="inlineStr">
        <is>
          <t>Qualifying surviving spouse</t>
        </is>
      </c>
      <c r="C31" s="323" t="n"/>
      <c r="D31" s="323" t="n"/>
      <c r="E31" s="217" t="n"/>
      <c r="F31" s="866" t="inlineStr">
        <is>
          <t>2</t>
        </is>
      </c>
      <c r="G31" s="1653" t="inlineStr">
        <is>
          <t>You were under 65 and you retired on permanent and total disability</t>
        </is>
      </c>
      <c r="H31" s="853" t="n"/>
      <c r="I31" s="1530" t="n"/>
      <c r="J31" s="1530" t="n"/>
      <c r="K31" s="1530" t="n"/>
      <c r="L31" s="1530" t="n"/>
      <c r="M31" s="1530" t="n"/>
      <c r="N31" s="217" t="n"/>
      <c r="O31" s="217" t="n"/>
      <c r="P31" s="217" t="n"/>
      <c r="Q31" s="217" t="n"/>
      <c r="R31" s="217" t="n"/>
      <c r="S31" s="217" t="n"/>
      <c r="T31" s="217" t="n"/>
      <c r="U31" s="1530" t="n"/>
      <c r="V31" s="1530" t="n"/>
      <c r="W31" s="1530" t="n"/>
      <c r="X31" s="140" t="inlineStr">
        <is>
          <t xml:space="preserve">.   .   .  </t>
        </is>
      </c>
      <c r="Y31" s="866" t="inlineStr">
        <is>
          <t>2</t>
        </is>
      </c>
      <c r="Z31" s="697" t="n"/>
      <c r="AA31" s="12193">
        <f>IF(OR($AD$34=2,AND($AD$34="",B28,I6,I8)),"X","")</f>
        <v/>
      </c>
      <c r="AB31" s="12189" t="n"/>
      <c r="AC31" s="139" t="n"/>
      <c r="AD31" s="938" t="inlineStr">
        <is>
          <t>enter number</t>
        </is>
      </c>
      <c r="AE31" s="139" t="n"/>
      <c r="AG31" s="658" t="n"/>
      <c r="AH31" s="658" t="n"/>
      <c r="AI31" s="658" t="n"/>
      <c r="AJ31" s="658" t="n"/>
      <c r="AK31" s="658" t="n"/>
      <c r="AL31" s="658" t="n"/>
      <c r="AM31" s="658" t="n"/>
      <c r="AN31" s="658" t="n"/>
      <c r="AO31" s="658" t="n"/>
      <c r="AP31" s="658" t="n"/>
    </row>
    <row r="32" ht="12" customFormat="1" customHeight="1" s="815">
      <c r="A32" s="139" t="n"/>
      <c r="B32" s="142" t="n"/>
      <c r="C32" s="456" t="n"/>
      <c r="D32" s="456" t="n"/>
      <c r="E32" s="1609" t="n"/>
      <c r="F32" s="1609" t="n"/>
      <c r="G32" s="1621" t="n"/>
      <c r="H32" s="1622" t="n"/>
      <c r="I32" s="1621" t="n"/>
      <c r="J32" s="1621" t="n"/>
      <c r="K32" s="1621" t="n"/>
      <c r="L32" s="1621" t="n"/>
      <c r="M32" s="1621" t="n"/>
      <c r="N32" s="1609" t="n"/>
      <c r="O32" s="1609" t="n"/>
      <c r="P32" s="1609" t="n"/>
      <c r="Q32" s="1609" t="n"/>
      <c r="R32" s="1609" t="n"/>
      <c r="S32" s="1609" t="n"/>
      <c r="T32" s="1609" t="n"/>
      <c r="U32" s="1621" t="n"/>
      <c r="V32" s="1621" t="n"/>
      <c r="W32" s="1621" t="n"/>
      <c r="X32" s="12194" t="n"/>
      <c r="Y32" s="868" t="n"/>
      <c r="Z32" s="868" t="n"/>
      <c r="AA32" s="12194" t="n"/>
      <c r="AB32" s="12194" t="n"/>
      <c r="AC32" s="139" t="n"/>
      <c r="AD32" s="938" t="inlineStr">
        <is>
          <t>of box to be</t>
        </is>
      </c>
      <c r="AE32" s="139" t="n"/>
      <c r="AG32" s="658" t="n"/>
      <c r="AH32" s="658" t="n"/>
      <c r="AI32" s="658" t="n"/>
      <c r="AJ32" s="658" t="n"/>
      <c r="AK32" s="658" t="n"/>
      <c r="AL32" s="658" t="n"/>
      <c r="AM32" s="658" t="n"/>
      <c r="AN32" s="658" t="n"/>
      <c r="AO32" s="658" t="n"/>
      <c r="AP32" s="658" t="n"/>
    </row>
    <row r="33" ht="12" customFormat="1" customHeight="1" s="815" thickBot="1">
      <c r="A33" s="139" t="n"/>
      <c r="B33" s="856" t="n"/>
      <c r="C33" s="869" t="n"/>
      <c r="D33" s="869" t="n"/>
      <c r="E33" s="1617" t="n"/>
      <c r="F33" s="1617" t="n"/>
      <c r="G33" s="1618" t="n"/>
      <c r="H33" s="1623" t="n"/>
      <c r="I33" s="1618" t="n"/>
      <c r="J33" s="1618" t="n"/>
      <c r="K33" s="1618" t="n"/>
      <c r="L33" s="1618" t="n"/>
      <c r="M33" s="1618" t="n"/>
      <c r="N33" s="1617" t="n"/>
      <c r="O33" s="1617" t="n"/>
      <c r="P33" s="1617" t="n"/>
      <c r="Q33" s="1617" t="n"/>
      <c r="R33" s="1617" t="n"/>
      <c r="S33" s="1617" t="n"/>
      <c r="T33" s="1617" t="n"/>
      <c r="U33" s="1618" t="n"/>
      <c r="V33" s="1618" t="n"/>
      <c r="W33" s="1618" t="n"/>
      <c r="X33" s="12195" t="n"/>
      <c r="Y33" s="871" t="n"/>
      <c r="Z33" s="871" t="n"/>
      <c r="AA33" s="12195" t="n"/>
      <c r="AB33" s="12195" t="n"/>
      <c r="AC33" s="139" t="n"/>
      <c r="AD33" s="938" t="inlineStr">
        <is>
          <t>checked.</t>
        </is>
      </c>
      <c r="AE33" s="139" t="n"/>
      <c r="AG33" s="658" t="n"/>
      <c r="AH33" s="658" t="n"/>
      <c r="AI33" s="658" t="n"/>
      <c r="AJ33" s="658" t="n"/>
      <c r="AK33" s="658" t="n"/>
      <c r="AL33" s="658" t="n"/>
      <c r="AM33" s="658" t="n"/>
      <c r="AN33" s="658" t="n"/>
      <c r="AO33" s="658" t="n"/>
      <c r="AP33" s="658" t="n"/>
    </row>
    <row r="34" ht="12" customFormat="1" customHeight="1" s="815" thickBot="1">
      <c r="A34" s="139" t="n"/>
      <c r="B34" s="85" t="n"/>
      <c r="C34" s="323" t="n"/>
      <c r="D34" s="323" t="n"/>
      <c r="E34" s="217" t="n"/>
      <c r="F34" s="866" t="inlineStr">
        <is>
          <t>3</t>
        </is>
      </c>
      <c r="G34" s="1653" t="inlineStr">
        <is>
          <t>Both spouses were 65 or older</t>
        </is>
      </c>
      <c r="H34" s="853" t="n"/>
      <c r="I34" s="1530" t="n"/>
      <c r="J34" s="1530" t="n"/>
      <c r="K34" s="1530" t="n"/>
      <c r="L34" s="1530" t="n"/>
      <c r="M34" s="1530" t="n"/>
      <c r="N34" s="217" t="n"/>
      <c r="O34" s="217" t="n"/>
      <c r="P34" s="217" t="n"/>
      <c r="Q34" s="217" t="n"/>
      <c r="R34" s="217" t="n"/>
      <c r="S34" s="217" t="n"/>
      <c r="T34" s="217" t="n"/>
      <c r="U34" s="1530" t="n"/>
      <c r="V34" s="1530" t="n"/>
      <c r="W34" s="1530" t="n"/>
      <c r="X34" s="140" t="inlineStr">
        <is>
          <t xml:space="preserve">.   .   .   .   .   .   .   .   .   .   .   .   .   .   .   .   .   .   .   .  </t>
        </is>
      </c>
      <c r="Y34" s="866" t="inlineStr">
        <is>
          <t>3</t>
        </is>
      </c>
      <c r="Z34" s="697" t="n"/>
      <c r="AA34" s="12193">
        <f>IF(OR($AD$34=3,AND($AD$34="",B38,YouR65,SpouseIs65)),"X","")</f>
        <v/>
      </c>
      <c r="AB34" s="12189" t="n"/>
      <c r="AC34" s="139" t="n"/>
      <c r="AD34" s="1026" t="n"/>
      <c r="AE34" s="139" t="n"/>
      <c r="AG34" s="658" t="n"/>
      <c r="AH34" s="658" t="n"/>
      <c r="AI34" s="658" t="n"/>
      <c r="AJ34" s="658" t="n"/>
      <c r="AK34" s="658" t="n"/>
      <c r="AL34" s="658" t="n"/>
      <c r="AM34" s="658" t="n"/>
      <c r="AN34" s="658" t="n"/>
      <c r="AO34" s="658" t="n"/>
      <c r="AP34" s="658" t="n"/>
    </row>
    <row r="35" ht="12" customFormat="1" customHeight="1" s="815">
      <c r="A35" s="139" t="n"/>
      <c r="B35" s="85" t="n"/>
      <c r="C35" s="323" t="n"/>
      <c r="D35" s="323" t="n"/>
      <c r="E35" s="217" t="n"/>
      <c r="F35" s="217" t="n"/>
      <c r="G35" s="1530" t="n"/>
      <c r="H35" s="853" t="n"/>
      <c r="I35" s="1530" t="n"/>
      <c r="J35" s="1530" t="n"/>
      <c r="K35" s="1530" t="n"/>
      <c r="L35" s="1530" t="n"/>
      <c r="M35" s="1530" t="n"/>
      <c r="N35" s="217" t="n"/>
      <c r="O35" s="217" t="n"/>
      <c r="P35" s="217" t="n"/>
      <c r="Q35" s="217" t="n"/>
      <c r="R35" s="217" t="n"/>
      <c r="S35" s="217" t="n"/>
      <c r="T35" s="217" t="n"/>
      <c r="U35" s="1530" t="n"/>
      <c r="V35" s="1530" t="n"/>
      <c r="W35" s="1530" t="n"/>
      <c r="X35" s="12189" t="n"/>
      <c r="Y35" s="697" t="n"/>
      <c r="Z35" s="697" t="n"/>
      <c r="AA35" s="12189" t="n"/>
      <c r="AB35" s="12189" t="n"/>
      <c r="AC35" s="139" t="n"/>
      <c r="AD35" s="110" t="n"/>
      <c r="AE35" s="139" t="n"/>
      <c r="AG35" s="658" t="n"/>
      <c r="AH35" s="658" t="n"/>
      <c r="AI35" s="658" t="n"/>
      <c r="AJ35" s="658" t="n"/>
      <c r="AK35" s="658" t="n"/>
      <c r="AL35" s="658" t="n"/>
      <c r="AM35" s="658" t="n"/>
      <c r="AN35" s="658" t="n"/>
      <c r="AO35" s="658" t="n"/>
      <c r="AP35" s="658" t="n"/>
    </row>
    <row r="36" ht="12" customFormat="1" customHeight="1" s="815">
      <c r="A36" s="139" t="n"/>
      <c r="B36" s="85" t="n"/>
      <c r="C36" s="323" t="n"/>
      <c r="D36" s="323" t="n"/>
      <c r="E36" s="217" t="n"/>
      <c r="F36" s="866" t="inlineStr">
        <is>
          <t>4</t>
        </is>
      </c>
      <c r="G36" s="1653" t="inlineStr">
        <is>
          <t>Both spouses were under 65, but only one spouse retired on permanent and</t>
        </is>
      </c>
      <c r="H36" s="853" t="n"/>
      <c r="I36" s="1530" t="n"/>
      <c r="J36" s="1530" t="n"/>
      <c r="K36" s="1530" t="n"/>
      <c r="L36" s="1530" t="n"/>
      <c r="M36" s="1530" t="n"/>
      <c r="N36" s="217" t="n"/>
      <c r="O36" s="217" t="n"/>
      <c r="P36" s="217" t="n"/>
      <c r="Q36" s="217" t="n"/>
      <c r="R36" s="217" t="n"/>
      <c r="S36" s="217" t="n"/>
      <c r="T36" s="217" t="n"/>
      <c r="U36" s="1530" t="n"/>
      <c r="V36" s="1530" t="n"/>
      <c r="W36" s="1530" t="n"/>
      <c r="X36" s="12189" t="n"/>
      <c r="Y36" s="697" t="n"/>
      <c r="Z36" s="697" t="n"/>
      <c r="AA36" s="12189" t="n"/>
      <c r="AB36" s="12189" t="n"/>
      <c r="AC36" s="139" t="n"/>
      <c r="AD36" s="110" t="n"/>
      <c r="AE36" s="139" t="n"/>
      <c r="AG36" s="658" t="n"/>
      <c r="AH36" s="658" t="n"/>
      <c r="AI36" s="658" t="n"/>
      <c r="AJ36" s="658" t="n"/>
      <c r="AK36" s="658" t="n"/>
      <c r="AL36" s="658" t="n"/>
      <c r="AM36" s="658" t="n"/>
      <c r="AN36" s="658" t="n"/>
      <c r="AO36" s="658" t="n"/>
      <c r="AP36" s="658" t="n"/>
    </row>
    <row r="37" ht="12" customFormat="1" customHeight="1" s="815">
      <c r="A37" s="139" t="n"/>
      <c r="B37" s="85" t="n"/>
      <c r="C37" s="323" t="n"/>
      <c r="D37" s="323" t="n"/>
      <c r="E37" s="217" t="n"/>
      <c r="F37" s="217" t="n"/>
      <c r="G37" s="1653" t="inlineStr">
        <is>
          <t>total disability</t>
        </is>
      </c>
      <c r="H37" s="853" t="n"/>
      <c r="I37" s="1530" t="n"/>
      <c r="J37" s="1530" t="n"/>
      <c r="K37" s="1530" t="n"/>
      <c r="L37" s="1530" t="n"/>
      <c r="M37" s="1530" t="n"/>
      <c r="N37" s="217" t="n"/>
      <c r="O37" s="217" t="n"/>
      <c r="P37" s="217" t="n"/>
      <c r="Q37" s="217" t="n"/>
      <c r="R37" s="217" t="n"/>
      <c r="S37" s="217" t="n"/>
      <c r="T37" s="217" t="n"/>
      <c r="U37" s="1530" t="n"/>
      <c r="V37" s="1530" t="n"/>
      <c r="W37" s="1530" t="n"/>
      <c r="X37" s="140" t="inlineStr">
        <is>
          <t xml:space="preserve">.   .   .   .   .   .   .   .   .   .   .   .   .   .   .   .   .   .   .   .   .   .   .   .   .   .  </t>
        </is>
      </c>
      <c r="Y37" s="866" t="inlineStr">
        <is>
          <t>4</t>
        </is>
      </c>
      <c r="Z37" s="697" t="n"/>
      <c r="AA37" s="12193">
        <f>IF(OR($AD$34=4,AND($AD$34="",B38,I4,P4,R8)),"X","")</f>
        <v/>
      </c>
      <c r="AB37" s="12189" t="n"/>
      <c r="AC37" s="139" t="n"/>
      <c r="AD37" s="110" t="n"/>
      <c r="AE37" s="139" t="n"/>
      <c r="AG37" s="658" t="n"/>
      <c r="AH37" s="658" t="n"/>
      <c r="AI37" s="658" t="n"/>
      <c r="AJ37" s="658" t="n"/>
      <c r="AK37" s="658" t="n"/>
      <c r="AL37" s="658" t="n"/>
      <c r="AM37" s="658" t="n"/>
      <c r="AN37" s="658" t="n"/>
      <c r="AO37" s="658" t="n"/>
      <c r="AP37" s="658" t="n"/>
    </row>
    <row r="38" ht="12" customFormat="1" customHeight="1" s="815">
      <c r="A38" s="139" t="n"/>
      <c r="B38" s="8786">
        <f>File_Marr_Joint&lt;&gt;""</f>
        <v/>
      </c>
      <c r="C38" s="26" t="n"/>
      <c r="D38" s="323" t="n"/>
      <c r="E38" s="217" t="n"/>
      <c r="F38" s="217" t="n"/>
      <c r="G38" s="1530" t="n"/>
      <c r="H38" s="853" t="n"/>
      <c r="I38" s="1530" t="n"/>
      <c r="J38" s="1530" t="n"/>
      <c r="K38" s="1530" t="n"/>
      <c r="L38" s="1530" t="n"/>
      <c r="M38" s="1530" t="n"/>
      <c r="N38" s="217" t="n"/>
      <c r="O38" s="217" t="n"/>
      <c r="P38" s="217" t="n"/>
      <c r="Q38" s="217" t="n"/>
      <c r="R38" s="217" t="n"/>
      <c r="S38" s="217" t="n"/>
      <c r="T38" s="217" t="n"/>
      <c r="U38" s="1530" t="n"/>
      <c r="V38" s="1530" t="n"/>
      <c r="W38" s="1530" t="n"/>
      <c r="X38" s="12189" t="n"/>
      <c r="Y38" s="697" t="n"/>
      <c r="Z38" s="697" t="n"/>
      <c r="AA38" s="12189" t="n"/>
      <c r="AB38" s="12189" t="n"/>
      <c r="AC38" s="139" t="n"/>
      <c r="AD38" s="110" t="n"/>
      <c r="AE38" s="139" t="n"/>
      <c r="AG38" s="658" t="n"/>
      <c r="AH38" s="658" t="n"/>
      <c r="AI38" s="658" t="n"/>
      <c r="AJ38" s="658" t="n"/>
      <c r="AK38" s="658" t="n"/>
      <c r="AL38" s="658" t="n"/>
      <c r="AM38" s="658" t="n"/>
      <c r="AN38" s="658" t="n"/>
      <c r="AO38" s="658" t="n"/>
      <c r="AP38" s="658" t="n"/>
    </row>
    <row r="39" ht="12" customFormat="1" customHeight="1" s="815">
      <c r="A39" s="139" t="n"/>
      <c r="B39" s="112" t="inlineStr">
        <is>
          <t>Married filing</t>
        </is>
      </c>
      <c r="C39" s="323" t="n"/>
      <c r="D39" s="323" t="n"/>
      <c r="E39" s="217" t="n"/>
      <c r="F39" s="866" t="inlineStr">
        <is>
          <t>5</t>
        </is>
      </c>
      <c r="G39" s="1653" t="inlineStr">
        <is>
          <t>Both spouses were under 65, and both retired on permanent and total</t>
        </is>
      </c>
      <c r="H39" s="853" t="n"/>
      <c r="I39" s="1530" t="n"/>
      <c r="J39" s="1530" t="n"/>
      <c r="K39" s="1530" t="n"/>
      <c r="L39" s="1530" t="n"/>
      <c r="M39" s="1530" t="n"/>
      <c r="N39" s="217" t="n"/>
      <c r="O39" s="217" t="n"/>
      <c r="P39" s="217" t="n"/>
      <c r="Q39" s="217" t="n"/>
      <c r="R39" s="217" t="n"/>
      <c r="S39" s="217" t="n"/>
      <c r="T39" s="217" t="n"/>
      <c r="U39" s="1530" t="n"/>
      <c r="V39" s="1530" t="n"/>
      <c r="W39" s="1530" t="n"/>
      <c r="X39" s="12189" t="n"/>
      <c r="Y39" s="697" t="n"/>
      <c r="Z39" s="697" t="n"/>
      <c r="AA39" s="12189" t="n"/>
      <c r="AB39" s="12189" t="n"/>
      <c r="AC39" s="139" t="n"/>
      <c r="AD39" s="110" t="n"/>
      <c r="AE39" s="139" t="n"/>
      <c r="AG39" s="658" t="n"/>
      <c r="AH39" s="658" t="n"/>
      <c r="AI39" s="658" t="n"/>
      <c r="AJ39" s="658" t="n"/>
      <c r="AK39" s="658" t="n"/>
      <c r="AL39" s="658" t="n"/>
      <c r="AM39" s="658" t="n"/>
      <c r="AN39" s="658" t="n"/>
      <c r="AO39" s="658" t="n"/>
      <c r="AP39" s="658" t="n"/>
    </row>
    <row r="40" ht="12" customFormat="1" customHeight="1" s="815">
      <c r="A40" s="139" t="n"/>
      <c r="B40" s="112" t="inlineStr">
        <is>
          <t>jointly</t>
        </is>
      </c>
      <c r="C40" s="323" t="n"/>
      <c r="D40" s="323" t="n"/>
      <c r="E40" s="217" t="n"/>
      <c r="F40" s="217" t="n"/>
      <c r="G40" s="1653" t="inlineStr">
        <is>
          <t>disability</t>
        </is>
      </c>
      <c r="H40" s="853" t="n"/>
      <c r="I40" s="1530" t="n"/>
      <c r="J40" s="1530" t="n"/>
      <c r="K40" s="1530" t="n"/>
      <c r="L40" s="1530" t="n"/>
      <c r="M40" s="1530" t="n"/>
      <c r="N40" s="217" t="n"/>
      <c r="O40" s="217" t="n"/>
      <c r="P40" s="217" t="n"/>
      <c r="Q40" s="217" t="n"/>
      <c r="R40" s="217" t="n"/>
      <c r="S40" s="217" t="n"/>
      <c r="T40" s="217" t="n"/>
      <c r="U40" s="1530" t="n"/>
      <c r="V40" s="1530" t="n"/>
      <c r="W40" s="1530" t="n"/>
      <c r="X40" s="140" t="inlineStr">
        <is>
          <t xml:space="preserve">.   .   .   .   .   .   .   .   .   .   .   .   .   .   .   .   .   .   .   .   .   .   .   .   .   .   .   .   .  </t>
        </is>
      </c>
      <c r="Y40" s="866" t="inlineStr">
        <is>
          <t>5</t>
        </is>
      </c>
      <c r="Z40" s="697" t="n"/>
      <c r="AA40" s="12193">
        <f>IF(OR($AD$34=5,AND($AD$34="",B38,I4,P4,I8,P8)),"X","")</f>
        <v/>
      </c>
      <c r="AB40" s="12189" t="n"/>
      <c r="AC40" s="139" t="n"/>
      <c r="AD40" s="110" t="n"/>
      <c r="AE40" s="139" t="n"/>
      <c r="AG40" s="658" t="n"/>
      <c r="AH40" s="658" t="n"/>
      <c r="AI40" s="658" t="n"/>
      <c r="AJ40" s="658" t="n"/>
      <c r="AK40" s="658" t="n"/>
      <c r="AL40" s="658" t="n"/>
      <c r="AM40" s="658" t="n"/>
      <c r="AN40" s="658" t="n"/>
      <c r="AO40" s="658" t="n"/>
      <c r="AP40" s="658" t="n"/>
    </row>
    <row r="41" ht="12" customFormat="1" customHeight="1" s="815">
      <c r="A41" s="139" t="n"/>
      <c r="B41" s="85" t="n"/>
      <c r="C41" s="323" t="n"/>
      <c r="D41" s="323" t="n"/>
      <c r="E41" s="217" t="n"/>
      <c r="F41" s="217" t="n"/>
      <c r="G41" s="1530" t="n"/>
      <c r="H41" s="853" t="n"/>
      <c r="I41" s="1530" t="n"/>
      <c r="J41" s="1530" t="n"/>
      <c r="K41" s="1530" t="n"/>
      <c r="L41" s="1530" t="n"/>
      <c r="M41" s="1530" t="n"/>
      <c r="N41" s="217" t="n"/>
      <c r="O41" s="217" t="n"/>
      <c r="P41" s="217" t="n"/>
      <c r="Q41" s="217" t="n"/>
      <c r="R41" s="217" t="n"/>
      <c r="S41" s="217" t="n"/>
      <c r="T41" s="217" t="n"/>
      <c r="U41" s="1530" t="n"/>
      <c r="V41" s="1530" t="n"/>
      <c r="W41" s="1530" t="n"/>
      <c r="X41" s="12189" t="n"/>
      <c r="Y41" s="697" t="n"/>
      <c r="Z41" s="697" t="n"/>
      <c r="AA41" s="12189" t="n"/>
      <c r="AB41" s="12189" t="n"/>
      <c r="AC41" s="139" t="n"/>
      <c r="AD41" s="110" t="n"/>
      <c r="AE41" s="139" t="n"/>
      <c r="AG41" s="658" t="n"/>
      <c r="AH41" s="658" t="n"/>
      <c r="AI41" s="658" t="n"/>
      <c r="AJ41" s="658" t="n"/>
      <c r="AK41" s="658" t="n"/>
      <c r="AL41" s="658" t="n"/>
      <c r="AM41" s="658" t="n"/>
      <c r="AN41" s="658" t="n"/>
      <c r="AO41" s="658" t="n"/>
      <c r="AP41" s="658" t="n"/>
    </row>
    <row r="42" ht="12" customFormat="1" customHeight="1" s="815">
      <c r="A42" s="139" t="n"/>
      <c r="B42" s="85" t="n"/>
      <c r="C42" s="323" t="n"/>
      <c r="D42" s="323" t="n"/>
      <c r="E42" s="217" t="n"/>
      <c r="F42" s="866" t="inlineStr">
        <is>
          <t>6</t>
        </is>
      </c>
      <c r="G42" s="1653" t="inlineStr">
        <is>
          <t>One spouse was 65 or older, and the other spouse was under 65 and retired</t>
        </is>
      </c>
      <c r="H42" s="853" t="n"/>
      <c r="I42" s="1530" t="n"/>
      <c r="J42" s="1530" t="n"/>
      <c r="K42" s="1530" t="n"/>
      <c r="L42" s="1530" t="n"/>
      <c r="M42" s="1530" t="n"/>
      <c r="N42" s="217" t="n"/>
      <c r="O42" s="217" t="n"/>
      <c r="P42" s="217" t="n"/>
      <c r="Q42" s="217" t="n"/>
      <c r="R42" s="217" t="n"/>
      <c r="S42" s="217" t="n"/>
      <c r="T42" s="217" t="n"/>
      <c r="U42" s="1530" t="n"/>
      <c r="V42" s="1530" t="n"/>
      <c r="W42" s="1530" t="n"/>
      <c r="X42" s="12189" t="n"/>
      <c r="Y42" s="697" t="n"/>
      <c r="Z42" s="697" t="n"/>
      <c r="AA42" s="12189" t="n"/>
      <c r="AB42" s="12189" t="n"/>
      <c r="AC42" s="139" t="n"/>
      <c r="AD42" s="110" t="n"/>
      <c r="AE42" s="139" t="n"/>
      <c r="AG42" s="658" t="n"/>
      <c r="AH42" s="658" t="n"/>
      <c r="AI42" s="658" t="n"/>
      <c r="AJ42" s="658" t="n"/>
      <c r="AK42" s="658" t="n"/>
      <c r="AL42" s="658" t="n"/>
      <c r="AM42" s="658" t="n"/>
      <c r="AN42" s="658" t="n"/>
      <c r="AO42" s="658" t="n"/>
      <c r="AP42" s="658" t="n"/>
    </row>
    <row r="43" ht="12" customFormat="1" customHeight="1" s="815">
      <c r="A43" s="139" t="n"/>
      <c r="B43" s="85" t="n"/>
      <c r="C43" s="323" t="n"/>
      <c r="D43" s="323" t="n"/>
      <c r="E43" s="217" t="n"/>
      <c r="F43" s="217" t="n"/>
      <c r="G43" s="1653" t="inlineStr">
        <is>
          <t>on permanent and total disability</t>
        </is>
      </c>
      <c r="H43" s="853" t="n"/>
      <c r="I43" s="1530" t="n"/>
      <c r="J43" s="1530" t="n"/>
      <c r="K43" s="1530" t="n"/>
      <c r="L43" s="1530" t="n"/>
      <c r="M43" s="1530" t="n"/>
      <c r="N43" s="217" t="n"/>
      <c r="O43" s="217" t="n"/>
      <c r="P43" s="217" t="n"/>
      <c r="Q43" s="217" t="n"/>
      <c r="R43" s="217" t="n"/>
      <c r="S43" s="217" t="n"/>
      <c r="T43" s="217" t="n"/>
      <c r="U43" s="1530" t="n"/>
      <c r="V43" s="1530" t="n"/>
      <c r="W43" s="1530" t="n"/>
      <c r="X43" s="140" t="inlineStr">
        <is>
          <t xml:space="preserve">.   .   .   .   .   .   .   .   .   .   .   .   .   .   .   .   .   .   .  </t>
        </is>
      </c>
      <c r="Y43" s="866" t="inlineStr">
        <is>
          <t>6</t>
        </is>
      </c>
      <c r="Z43" s="697" t="n"/>
      <c r="AA43" s="12193">
        <f>IF(OR($AD$34=6,AND($AD$34="",B38,R4,OR(I8,P8))),"X","")</f>
        <v/>
      </c>
      <c r="AB43" s="12189" t="n"/>
      <c r="AC43" s="139" t="n"/>
      <c r="AD43" s="110" t="n"/>
      <c r="AE43" s="139" t="n"/>
      <c r="AG43" s="658" t="n"/>
      <c r="AH43" s="658" t="n"/>
      <c r="AI43" s="658" t="n"/>
      <c r="AJ43" s="658" t="n"/>
      <c r="AK43" s="658" t="n"/>
      <c r="AL43" s="658" t="n"/>
      <c r="AM43" s="658" t="n"/>
      <c r="AN43" s="658" t="n"/>
      <c r="AO43" s="658" t="n"/>
      <c r="AP43" s="658" t="n"/>
    </row>
    <row r="44" ht="12" customFormat="1" customHeight="1" s="815">
      <c r="A44" s="139" t="n"/>
      <c r="B44" s="85" t="n"/>
      <c r="C44" s="323" t="n"/>
      <c r="D44" s="323" t="n"/>
      <c r="E44" s="217" t="n"/>
      <c r="F44" s="217" t="n"/>
      <c r="G44" s="853" t="n"/>
      <c r="H44" s="853" t="n"/>
      <c r="I44" s="1530" t="n"/>
      <c r="J44" s="1530" t="n"/>
      <c r="K44" s="1530" t="n"/>
      <c r="L44" s="1530" t="n"/>
      <c r="M44" s="1530" t="n"/>
      <c r="N44" s="217" t="n"/>
      <c r="O44" s="217" t="n"/>
      <c r="P44" s="217" t="n"/>
      <c r="Q44" s="217" t="n"/>
      <c r="R44" s="217" t="n"/>
      <c r="S44" s="217" t="n"/>
      <c r="T44" s="217" t="n"/>
      <c r="U44" s="1530" t="n"/>
      <c r="V44" s="1530" t="n"/>
      <c r="W44" s="1530" t="n"/>
      <c r="X44" s="12189" t="n"/>
      <c r="Y44" s="866" t="n"/>
      <c r="Z44" s="697" t="n"/>
      <c r="AA44" s="12189" t="n"/>
      <c r="AB44" s="12189" t="n"/>
      <c r="AC44" s="139" t="n"/>
      <c r="AD44" s="110" t="n"/>
      <c r="AE44" s="139" t="n"/>
      <c r="AG44" s="658" t="n"/>
      <c r="AH44" s="658" t="n"/>
      <c r="AI44" s="658" t="n"/>
      <c r="AJ44" s="658" t="n"/>
      <c r="AK44" s="658" t="n"/>
      <c r="AL44" s="658" t="n"/>
      <c r="AM44" s="658" t="n"/>
      <c r="AN44" s="658" t="n"/>
      <c r="AO44" s="658" t="n"/>
      <c r="AP44" s="658" t="n"/>
    </row>
    <row r="45" ht="12" customFormat="1" customHeight="1" s="815">
      <c r="A45" s="139" t="n"/>
      <c r="B45" s="85" t="n"/>
      <c r="C45" s="323" t="n"/>
      <c r="D45" s="323" t="n"/>
      <c r="E45" s="217" t="n"/>
      <c r="F45" s="866" t="inlineStr">
        <is>
          <t>7</t>
        </is>
      </c>
      <c r="G45" s="1653" t="inlineStr">
        <is>
          <t>One spouse was 65 or older, and the other spouse was under 65 and not</t>
        </is>
      </c>
      <c r="H45" s="853" t="n"/>
      <c r="I45" s="1530" t="n"/>
      <c r="J45" s="1530" t="n"/>
      <c r="K45" s="1530" t="n"/>
      <c r="L45" s="1530" t="n"/>
      <c r="M45" s="1530" t="n"/>
      <c r="N45" s="217" t="n"/>
      <c r="O45" s="217" t="n"/>
      <c r="P45" s="217" t="n"/>
      <c r="Q45" s="217" t="n"/>
      <c r="R45" s="217" t="n"/>
      <c r="S45" s="217" t="n"/>
      <c r="T45" s="217" t="n"/>
      <c r="U45" s="1530" t="n"/>
      <c r="V45" s="1530" t="n"/>
      <c r="W45" s="1530" t="n"/>
      <c r="X45" s="12189" t="n"/>
      <c r="Y45" s="866" t="n"/>
      <c r="Z45" s="697" t="n"/>
      <c r="AA45" s="12189" t="n"/>
      <c r="AB45" s="12189" t="n"/>
      <c r="AC45" s="139" t="n"/>
      <c r="AD45" s="110" t="n"/>
      <c r="AE45" s="139" t="n"/>
      <c r="AG45" s="658" t="n"/>
      <c r="AH45" s="658" t="n"/>
      <c r="AI45" s="658" t="n"/>
      <c r="AJ45" s="658" t="n"/>
      <c r="AK45" s="658" t="n"/>
      <c r="AL45" s="658" t="n"/>
      <c r="AM45" s="658" t="n"/>
      <c r="AN45" s="658" t="n"/>
      <c r="AO45" s="658" t="n"/>
      <c r="AP45" s="658" t="n"/>
    </row>
    <row r="46" ht="12" customFormat="1" customHeight="1" s="815">
      <c r="A46" s="139" t="n"/>
      <c r="B46" s="85" t="n"/>
      <c r="C46" s="323" t="n"/>
      <c r="D46" s="323" t="n"/>
      <c r="E46" s="217" t="n"/>
      <c r="F46" s="217" t="n"/>
      <c r="G46" s="1653" t="inlineStr">
        <is>
          <t>retired on permanent and total disability</t>
        </is>
      </c>
      <c r="H46" s="853" t="n"/>
      <c r="I46" s="1530" t="n"/>
      <c r="J46" s="1530" t="n"/>
      <c r="K46" s="1530" t="n"/>
      <c r="L46" s="1530" t="n"/>
      <c r="M46" s="1530" t="n"/>
      <c r="N46" s="217" t="n"/>
      <c r="O46" s="217" t="n"/>
      <c r="P46" s="217" t="n"/>
      <c r="Q46" s="217" t="n"/>
      <c r="R46" s="217" t="n"/>
      <c r="S46" s="217" t="n"/>
      <c r="T46" s="217" t="n"/>
      <c r="U46" s="1530" t="n"/>
      <c r="V46" s="1530" t="n"/>
      <c r="W46" s="1530" t="n"/>
      <c r="X46" s="140" t="inlineStr">
        <is>
          <t xml:space="preserve">.   .   .   .   .   .   .   .   .   .   .   .   .   .   .  </t>
        </is>
      </c>
      <c r="Y46" s="866" t="inlineStr">
        <is>
          <t>7</t>
        </is>
      </c>
      <c r="Z46" s="697" t="n"/>
      <c r="AA46" s="12193">
        <f>IF(OR($AD$34=7,AND($AD$34="",B38,R4,NOT(I8),NOT(P8))),"X","")</f>
        <v/>
      </c>
      <c r="AB46" s="12189" t="n"/>
      <c r="AC46" s="139" t="n"/>
      <c r="AD46" s="110" t="n"/>
      <c r="AE46" s="139" t="n"/>
      <c r="AG46" s="658" t="n"/>
      <c r="AH46" s="658" t="n"/>
      <c r="AI46" s="658" t="n"/>
      <c r="AJ46" s="658" t="n"/>
      <c r="AK46" s="658" t="n"/>
      <c r="AL46" s="658" t="n"/>
      <c r="AM46" s="658" t="n"/>
      <c r="AN46" s="658" t="n"/>
      <c r="AO46" s="658" t="n"/>
      <c r="AP46" s="658" t="n"/>
    </row>
    <row r="47" ht="12" customFormat="1" customHeight="1" s="815">
      <c r="A47" s="139" t="n"/>
      <c r="B47" s="142" t="n"/>
      <c r="C47" s="456" t="n"/>
      <c r="D47" s="456" t="n"/>
      <c r="E47" s="1609" t="n"/>
      <c r="F47" s="1609" t="n"/>
      <c r="G47" s="1621" t="n"/>
      <c r="H47" s="1622" t="n"/>
      <c r="I47" s="1621" t="n"/>
      <c r="J47" s="1621" t="n"/>
      <c r="K47" s="1621" t="n"/>
      <c r="L47" s="1621" t="n"/>
      <c r="M47" s="1621" t="n"/>
      <c r="N47" s="1609" t="n"/>
      <c r="O47" s="1609" t="n"/>
      <c r="P47" s="1609" t="n"/>
      <c r="Q47" s="1609" t="n"/>
      <c r="R47" s="1609" t="n"/>
      <c r="S47" s="1609" t="n"/>
      <c r="T47" s="1609" t="n"/>
      <c r="U47" s="1621" t="n"/>
      <c r="V47" s="1621" t="n"/>
      <c r="W47" s="1621" t="n"/>
      <c r="X47" s="12194" t="n"/>
      <c r="Y47" s="868" t="n"/>
      <c r="Z47" s="868" t="n"/>
      <c r="AA47" s="12194" t="n"/>
      <c r="AB47" s="12194" t="n"/>
      <c r="AC47" s="139" t="n"/>
      <c r="AD47" s="110" t="n"/>
      <c r="AE47" s="139" t="n"/>
      <c r="AG47" s="658" t="n"/>
      <c r="AH47" s="658" t="n"/>
      <c r="AI47" s="658" t="n"/>
      <c r="AJ47" s="658" t="n"/>
      <c r="AK47" s="658" t="n"/>
      <c r="AL47" s="658" t="n"/>
      <c r="AM47" s="658" t="n"/>
      <c r="AN47" s="658" t="n"/>
      <c r="AO47" s="658" t="n"/>
      <c r="AP47" s="658" t="n"/>
    </row>
    <row r="48" ht="12" customFormat="1" customHeight="1" s="815">
      <c r="A48" s="139" t="n"/>
      <c r="B48" s="856" t="n"/>
      <c r="C48" s="869" t="n"/>
      <c r="D48" s="869" t="n"/>
      <c r="E48" s="1617" t="n"/>
      <c r="F48" s="1617" t="n"/>
      <c r="G48" s="1618" t="n"/>
      <c r="H48" s="1623" t="n"/>
      <c r="I48" s="1618" t="n"/>
      <c r="J48" s="1618" t="n"/>
      <c r="K48" s="1618" t="n"/>
      <c r="L48" s="1618" t="n"/>
      <c r="M48" s="1618" t="n"/>
      <c r="N48" s="1617" t="n"/>
      <c r="O48" s="1617" t="n"/>
      <c r="P48" s="1617" t="n"/>
      <c r="Q48" s="1617" t="n"/>
      <c r="R48" s="1617" t="n"/>
      <c r="S48" s="1617" t="n"/>
      <c r="T48" s="1617" t="n"/>
      <c r="U48" s="1618" t="n"/>
      <c r="V48" s="1618" t="n"/>
      <c r="W48" s="1618" t="n"/>
      <c r="X48" s="12195" t="n"/>
      <c r="Y48" s="871" t="n"/>
      <c r="Z48" s="871" t="n"/>
      <c r="AA48" s="12195" t="n"/>
      <c r="AB48" s="12195" t="n"/>
      <c r="AC48" s="139" t="n"/>
      <c r="AD48" s="110" t="n"/>
      <c r="AE48" s="139" t="n"/>
      <c r="AG48" s="658" t="n"/>
      <c r="AH48" s="658" t="n"/>
      <c r="AI48" s="658" t="n"/>
      <c r="AJ48" s="658" t="n"/>
      <c r="AK48" s="658" t="n"/>
      <c r="AL48" s="658" t="n"/>
      <c r="AM48" s="658" t="n"/>
      <c r="AN48" s="658" t="n"/>
      <c r="AO48" s="658" t="n"/>
      <c r="AP48" s="658" t="n"/>
    </row>
    <row r="49" ht="12" customFormat="1" customHeight="1" s="815">
      <c r="A49" s="139" t="n"/>
      <c r="B49" s="8786">
        <f>File_Marr_Sep&lt;&gt;""</f>
        <v/>
      </c>
      <c r="C49" s="26" t="n"/>
      <c r="D49" s="323" t="n"/>
      <c r="E49" s="217" t="n"/>
      <c r="F49" s="866" t="inlineStr">
        <is>
          <t>8</t>
        </is>
      </c>
      <c r="G49" s="1653">
        <f>"You were 65 or older and you lived apart from your spouse for all of "&amp;TaxYear</f>
        <v/>
      </c>
      <c r="H49" s="853" t="n"/>
      <c r="I49" s="1530" t="n"/>
      <c r="J49" s="1530" t="n"/>
      <c r="K49" s="1530" t="n"/>
      <c r="L49" s="1530" t="n"/>
      <c r="M49" s="1530" t="n"/>
      <c r="N49" s="217" t="n"/>
      <c r="O49" s="217" t="n"/>
      <c r="P49" s="217" t="n"/>
      <c r="Q49" s="217" t="n"/>
      <c r="R49" s="217" t="n"/>
      <c r="S49" s="217" t="n"/>
      <c r="T49" s="217" t="n"/>
      <c r="U49" s="1530" t="n"/>
      <c r="V49" s="1530" t="n"/>
      <c r="W49" s="1530" t="n"/>
      <c r="X49" s="140" t="inlineStr">
        <is>
          <t xml:space="preserve">.   .  </t>
        </is>
      </c>
      <c r="Y49" s="866" t="inlineStr">
        <is>
          <t>8</t>
        </is>
      </c>
      <c r="Z49" s="697" t="n"/>
      <c r="AA49" s="12193">
        <f>IF(OR($AD$34=8,AND($AD$34="",B49,YouR65,LivedApart)),"X","")</f>
        <v/>
      </c>
      <c r="AB49" s="12189" t="n"/>
      <c r="AC49" s="139" t="n"/>
      <c r="AD49" s="110" t="n"/>
      <c r="AE49" s="139" t="n"/>
      <c r="AG49" s="658" t="n"/>
      <c r="AH49" s="658" t="n"/>
      <c r="AI49" s="658" t="n"/>
      <c r="AJ49" s="658" t="n"/>
      <c r="AK49" s="658" t="n"/>
      <c r="AL49" s="658" t="n"/>
      <c r="AM49" s="658" t="n"/>
      <c r="AN49" s="658" t="n"/>
      <c r="AO49" s="658" t="n"/>
      <c r="AP49" s="658" t="n"/>
    </row>
    <row r="50" ht="12" customFormat="1" customHeight="1" s="815">
      <c r="A50" s="139" t="n"/>
      <c r="B50" s="112" t="inlineStr">
        <is>
          <t>Married filing</t>
        </is>
      </c>
      <c r="C50" s="323" t="n"/>
      <c r="D50" s="323" t="n"/>
      <c r="E50" s="217" t="n"/>
      <c r="F50" s="217" t="n"/>
      <c r="G50" s="1530" t="n"/>
      <c r="H50" s="853" t="n"/>
      <c r="I50" s="1530" t="n"/>
      <c r="J50" s="1530" t="n"/>
      <c r="K50" s="1530" t="n"/>
      <c r="L50" s="1530" t="n"/>
      <c r="M50" s="1530" t="n"/>
      <c r="N50" s="217" t="n"/>
      <c r="O50" s="217" t="n"/>
      <c r="P50" s="217" t="n"/>
      <c r="Q50" s="217" t="n"/>
      <c r="R50" s="217" t="n"/>
      <c r="S50" s="217" t="n"/>
      <c r="T50" s="217" t="n"/>
      <c r="U50" s="1530" t="n"/>
      <c r="V50" s="1530" t="n"/>
      <c r="W50" s="1530" t="n"/>
      <c r="X50" s="12189" t="n"/>
      <c r="Y50" s="697" t="n"/>
      <c r="Z50" s="697" t="n"/>
      <c r="AA50" s="12189" t="n"/>
      <c r="AB50" s="12189" t="n"/>
      <c r="AC50" s="139" t="n"/>
      <c r="AD50" s="110" t="n"/>
      <c r="AE50" s="139" t="n"/>
      <c r="AG50" s="658" t="n"/>
      <c r="AH50" s="658" t="n"/>
      <c r="AI50" s="658" t="n"/>
      <c r="AJ50" s="658" t="n"/>
      <c r="AK50" s="658" t="n"/>
      <c r="AL50" s="658" t="n"/>
      <c r="AM50" s="658" t="n"/>
      <c r="AN50" s="658" t="n"/>
      <c r="AO50" s="658" t="n"/>
      <c r="AP50" s="658" t="n"/>
    </row>
    <row r="51" ht="12" customFormat="1" customHeight="1" s="815">
      <c r="A51" s="139" t="n"/>
      <c r="B51" s="112" t="inlineStr">
        <is>
          <t>separately</t>
        </is>
      </c>
      <c r="C51" s="323" t="n"/>
      <c r="D51" s="323" t="n"/>
      <c r="E51" s="217" t="n"/>
      <c r="F51" s="866" t="inlineStr">
        <is>
          <t>9</t>
        </is>
      </c>
      <c r="G51" s="1653" t="inlineStr">
        <is>
          <t>You were under 65, you retired on permanent and total disability, and you</t>
        </is>
      </c>
      <c r="H51" s="853" t="n"/>
      <c r="I51" s="1530" t="n"/>
      <c r="J51" s="1530" t="n"/>
      <c r="K51" s="1530" t="n"/>
      <c r="L51" s="1530" t="n"/>
      <c r="M51" s="1530" t="n"/>
      <c r="N51" s="217" t="n"/>
      <c r="O51" s="217" t="n"/>
      <c r="P51" s="217" t="n"/>
      <c r="Q51" s="217" t="n"/>
      <c r="R51" s="217" t="n"/>
      <c r="S51" s="217" t="n"/>
      <c r="T51" s="217" t="n"/>
      <c r="U51" s="1530" t="n"/>
      <c r="V51" s="1530" t="n"/>
      <c r="W51" s="1530" t="n"/>
      <c r="X51" s="12189" t="n"/>
      <c r="Y51" s="697" t="n"/>
      <c r="Z51" s="697" t="n"/>
      <c r="AA51" s="12189" t="n"/>
      <c r="AB51" s="12189" t="n"/>
      <c r="AC51" s="139" t="n"/>
      <c r="AD51" s="110" t="n"/>
      <c r="AE51" s="139" t="n"/>
      <c r="AG51" s="658" t="n"/>
      <c r="AH51" s="658" t="n"/>
      <c r="AI51" s="658" t="n"/>
      <c r="AJ51" s="658" t="n"/>
      <c r="AK51" s="658" t="n"/>
      <c r="AL51" s="658" t="n"/>
      <c r="AM51" s="658" t="n"/>
      <c r="AN51" s="658" t="n"/>
      <c r="AO51" s="658" t="n"/>
      <c r="AP51" s="658" t="n"/>
    </row>
    <row r="52" ht="12" customFormat="1" customHeight="1" s="815">
      <c r="A52" s="139" t="n"/>
      <c r="B52" s="85" t="n"/>
      <c r="C52" s="323" t="n"/>
      <c r="D52" s="323" t="n"/>
      <c r="E52" s="217" t="n"/>
      <c r="F52" s="217" t="n"/>
      <c r="G52" s="1653">
        <f>"lived apart from your spouse for all of "&amp;TaxYear</f>
        <v/>
      </c>
      <c r="H52" s="853" t="n"/>
      <c r="I52" s="1530" t="n"/>
      <c r="J52" s="1530" t="n"/>
      <c r="K52" s="1530" t="n"/>
      <c r="L52" s="1530" t="n"/>
      <c r="M52" s="1530" t="n"/>
      <c r="N52" s="217" t="n"/>
      <c r="O52" s="217" t="n"/>
      <c r="P52" s="217" t="n"/>
      <c r="Q52" s="217" t="n"/>
      <c r="R52" s="217" t="n"/>
      <c r="S52" s="217" t="n"/>
      <c r="T52" s="217" t="n"/>
      <c r="U52" s="1530" t="n"/>
      <c r="V52" s="1530" t="n"/>
      <c r="W52" s="1530" t="n"/>
      <c r="X52" s="140" t="inlineStr">
        <is>
          <t xml:space="preserve">.   .   .   .   .   .   .   .   .   .   .   .   .   .  </t>
        </is>
      </c>
      <c r="Y52" s="866" t="inlineStr">
        <is>
          <t>9</t>
        </is>
      </c>
      <c r="Z52" s="697" t="n"/>
      <c r="AA52" s="12193">
        <f>IF(OR($AD$34=9,AND($AD$34="",B49,NOT(YouR65),I8,LivedApart)),"X","")</f>
        <v/>
      </c>
      <c r="AB52" s="12189" t="n"/>
      <c r="AC52" s="139" t="n"/>
      <c r="AD52" s="110" t="n"/>
      <c r="AE52" s="139" t="n"/>
      <c r="AG52" s="658" t="n"/>
      <c r="AH52" s="658" t="n"/>
      <c r="AI52" s="658" t="n"/>
      <c r="AJ52" s="658" t="n"/>
      <c r="AK52" s="658" t="n"/>
      <c r="AL52" s="658" t="n"/>
      <c r="AM52" s="658" t="n"/>
      <c r="AN52" s="658" t="n"/>
      <c r="AO52" s="658" t="n"/>
      <c r="AP52" s="658" t="n"/>
    </row>
    <row r="53" ht="12" customFormat="1" customHeight="1" s="815">
      <c r="A53" s="139" t="n"/>
      <c r="B53" s="142" t="n"/>
      <c r="C53" s="456" t="n"/>
      <c r="D53" s="456" t="n"/>
      <c r="E53" s="1609" t="n"/>
      <c r="F53" s="1609" t="n"/>
      <c r="G53" s="1621" t="n"/>
      <c r="H53" s="1622" t="n"/>
      <c r="I53" s="1621" t="n"/>
      <c r="J53" s="1621" t="n"/>
      <c r="K53" s="1621" t="n"/>
      <c r="L53" s="1621" t="n"/>
      <c r="M53" s="1621" t="n"/>
      <c r="N53" s="1609" t="n"/>
      <c r="O53" s="1609" t="n"/>
      <c r="P53" s="1609" t="n"/>
      <c r="Q53" s="1609" t="n"/>
      <c r="R53" s="1609" t="n"/>
      <c r="S53" s="1609" t="n"/>
      <c r="T53" s="1609" t="n"/>
      <c r="U53" s="1621" t="n"/>
      <c r="V53" s="1621" t="n"/>
      <c r="W53" s="1621" t="n"/>
      <c r="X53" s="12194" t="n"/>
      <c r="Y53" s="868" t="n"/>
      <c r="Z53" s="868" t="n"/>
      <c r="AA53" s="12194" t="n"/>
      <c r="AB53" s="12194" t="n"/>
      <c r="AC53" s="139" t="n"/>
      <c r="AD53" s="110" t="n"/>
      <c r="AE53" s="139" t="n"/>
      <c r="AG53" s="658" t="n"/>
      <c r="AH53" s="658" t="n"/>
      <c r="AI53" s="658" t="n"/>
      <c r="AJ53" s="658" t="n"/>
      <c r="AK53" s="658" t="n"/>
      <c r="AL53" s="658" t="n"/>
      <c r="AM53" s="658" t="n"/>
      <c r="AN53" s="658" t="n"/>
      <c r="AO53" s="658" t="n"/>
      <c r="AP53" s="658" t="n"/>
    </row>
    <row r="54" ht="12" customFormat="1" customHeight="1" s="815" thickBot="1">
      <c r="A54" s="139" t="n"/>
      <c r="B54" s="8792">
        <f>OR(AA29&lt;&gt;"",AA34&lt;&gt;"",AA46&lt;&gt;"",AA49&lt;&gt;"")</f>
        <v/>
      </c>
      <c r="C54" s="12051" t="n"/>
      <c r="D54" s="869" t="n"/>
      <c r="E54" s="1617" t="n"/>
      <c r="F54" s="1617" t="n"/>
      <c r="G54" s="1618" t="n"/>
      <c r="H54" s="1623" t="n"/>
      <c r="I54" s="1618" t="n"/>
      <c r="J54" s="1618" t="n"/>
      <c r="K54" s="1618" t="n"/>
      <c r="L54" s="1618" t="n"/>
      <c r="M54" s="1618" t="n"/>
      <c r="N54" s="1617" t="n"/>
      <c r="O54" s="1617" t="n"/>
      <c r="P54" s="1617" t="n"/>
      <c r="Q54" s="1617" t="n"/>
      <c r="R54" s="1617" t="n"/>
      <c r="S54" s="1617" t="n"/>
      <c r="T54" s="1617" t="n"/>
      <c r="U54" s="1618" t="n"/>
      <c r="V54" s="1618" t="n"/>
      <c r="W54" s="1618" t="n"/>
      <c r="X54" s="12195" t="n"/>
      <c r="Y54" s="871" t="n"/>
      <c r="Z54" s="871" t="n"/>
      <c r="AA54" s="12195" t="n"/>
      <c r="AB54" s="12195" t="n"/>
      <c r="AC54" s="139" t="n"/>
      <c r="AD54" s="110" t="n"/>
      <c r="AE54" s="139" t="n"/>
      <c r="AG54" s="658" t="n"/>
      <c r="AH54" s="658" t="n"/>
      <c r="AI54" s="658" t="n"/>
      <c r="AJ54" s="658" t="n"/>
      <c r="AK54" s="658" t="n"/>
      <c r="AL54" s="658" t="n"/>
      <c r="AM54" s="658" t="n"/>
      <c r="AN54" s="658" t="n"/>
      <c r="AO54" s="658" t="n"/>
      <c r="AP54" s="658" t="n"/>
    </row>
    <row r="55" ht="6.75" customFormat="1" customHeight="1" s="815" thickTop="1">
      <c r="A55" s="139" t="n"/>
      <c r="B55" s="1431" t="n"/>
      <c r="C55" s="1432" t="n"/>
      <c r="D55" s="1433" t="n"/>
      <c r="E55" s="217" t="n"/>
      <c r="F55" s="217" t="n"/>
      <c r="G55" s="1530" t="n"/>
      <c r="H55" s="853" t="n"/>
      <c r="I55" s="1530" t="n"/>
      <c r="J55" s="1530" t="n"/>
      <c r="K55" s="1530" t="n"/>
      <c r="L55" s="1530" t="n"/>
      <c r="M55" s="1530" t="n"/>
      <c r="N55" s="217" t="n"/>
      <c r="O55" s="217" t="n"/>
      <c r="P55" s="217" t="n"/>
      <c r="Q55" s="217" t="n"/>
      <c r="R55" s="217" t="n"/>
      <c r="S55" s="217" t="n"/>
      <c r="T55" s="217" t="n"/>
      <c r="U55" s="1530" t="n"/>
      <c r="V55" s="1530" t="n"/>
      <c r="W55" s="1530" t="n"/>
      <c r="X55" s="12189" t="n"/>
      <c r="Y55" s="697" t="n"/>
      <c r="Z55" s="697" t="n"/>
      <c r="AA55" s="12189" t="n"/>
      <c r="AB55" s="12189" t="n"/>
      <c r="AC55" s="139" t="n"/>
      <c r="AD55" s="110" t="n"/>
      <c r="AE55" s="139" t="n"/>
      <c r="AG55" s="658" t="n"/>
      <c r="AH55" s="658" t="n"/>
      <c r="AI55" s="658" t="n"/>
      <c r="AJ55" s="658" t="n"/>
      <c r="AK55" s="658" t="n"/>
      <c r="AL55" s="658" t="n"/>
      <c r="AM55" s="658" t="n"/>
      <c r="AN55" s="658" t="n"/>
      <c r="AO55" s="658" t="n"/>
      <c r="AP55" s="658" t="n"/>
    </row>
    <row r="56" ht="12" customFormat="1" customHeight="1" s="815">
      <c r="A56" s="139" t="n"/>
      <c r="B56" s="2286" t="inlineStr">
        <is>
          <t>Did you check</t>
        </is>
      </c>
      <c r="C56" s="323" t="n"/>
      <c r="D56" s="1434" t="n"/>
      <c r="E56" s="217" t="inlineStr">
        <is>
          <t>—————</t>
        </is>
      </c>
      <c r="F56" s="8787" t="inlineStr">
        <is>
          <t>Yes.</t>
        </is>
      </c>
      <c r="G56" s="26" t="n"/>
      <c r="H56" s="217" t="inlineStr">
        <is>
          <t>——————————</t>
        </is>
      </c>
      <c r="I56" s="853" t="n"/>
      <c r="J56" s="1653" t="inlineStr">
        <is>
          <t xml:space="preserve">  Skip Part II and complete Part III on the back.</t>
        </is>
      </c>
      <c r="K56" s="1530" t="n"/>
      <c r="L56" s="1530" t="n"/>
      <c r="M56" s="1530" t="n"/>
      <c r="N56" s="217" t="n"/>
      <c r="O56" s="217" t="n"/>
      <c r="P56" s="217" t="n"/>
      <c r="Q56" s="217" t="n"/>
      <c r="R56" s="217" t="n"/>
      <c r="S56" s="217" t="n"/>
      <c r="T56" s="217" t="n"/>
      <c r="U56" s="1530" t="n"/>
      <c r="V56" s="1530" t="n"/>
      <c r="W56" s="1530" t="n"/>
      <c r="X56" s="12189" t="n"/>
      <c r="Y56" s="697" t="n"/>
      <c r="Z56" s="697" t="n"/>
      <c r="AA56" s="12189" t="n"/>
      <c r="AB56" s="12189" t="n"/>
      <c r="AC56" s="139" t="n"/>
      <c r="AD56" s="110" t="n"/>
      <c r="AE56" s="139" t="n"/>
      <c r="AG56" s="658" t="n"/>
      <c r="AH56" s="658" t="n"/>
      <c r="AI56" s="658" t="n"/>
      <c r="AJ56" s="658" t="n"/>
      <c r="AK56" s="658" t="n"/>
      <c r="AL56" s="658" t="n"/>
      <c r="AM56" s="658" t="n"/>
      <c r="AN56" s="658" t="n"/>
      <c r="AO56" s="658" t="n"/>
      <c r="AP56" s="658" t="n"/>
    </row>
    <row r="57" ht="4.5" customFormat="1" customHeight="1" s="815">
      <c r="A57" s="139" t="n"/>
      <c r="B57" s="1435" t="n"/>
      <c r="C57" s="323" t="n"/>
      <c r="D57" s="1434" t="n"/>
      <c r="E57" s="217" t="n"/>
      <c r="F57" s="217" t="n"/>
      <c r="G57" s="1530" t="n"/>
      <c r="H57" s="853" t="n"/>
      <c r="I57" s="853" t="n"/>
      <c r="J57" s="1530" t="n"/>
      <c r="K57" s="1530" t="n"/>
      <c r="L57" s="1530" t="n"/>
      <c r="M57" s="1530" t="n"/>
      <c r="N57" s="217" t="n"/>
      <c r="O57" s="217" t="n"/>
      <c r="P57" s="217" t="n"/>
      <c r="Q57" s="217" t="n"/>
      <c r="R57" s="217" t="n"/>
      <c r="S57" s="217" t="n"/>
      <c r="T57" s="217" t="n"/>
      <c r="U57" s="1530" t="n"/>
      <c r="V57" s="1530" t="n"/>
      <c r="W57" s="1530" t="n"/>
      <c r="X57" s="12189" t="n"/>
      <c r="Y57" s="697" t="n"/>
      <c r="Z57" s="697" t="n"/>
      <c r="AA57" s="12189" t="n"/>
      <c r="AB57" s="12189" t="n"/>
      <c r="AC57" s="139" t="n"/>
      <c r="AD57" s="110" t="n"/>
      <c r="AE57" s="139" t="n"/>
      <c r="AG57" s="658" t="n"/>
      <c r="AH57" s="658" t="n"/>
      <c r="AI57" s="658" t="n"/>
      <c r="AJ57" s="658" t="n"/>
      <c r="AK57" s="658" t="n"/>
      <c r="AL57" s="658" t="n"/>
      <c r="AM57" s="658" t="n"/>
      <c r="AN57" s="658" t="n"/>
      <c r="AO57" s="658" t="n"/>
      <c r="AP57" s="658" t="n"/>
    </row>
    <row r="58" ht="12" customFormat="1" customHeight="1" s="815">
      <c r="A58" s="139" t="n"/>
      <c r="B58" s="2286" t="inlineStr">
        <is>
          <t>box 1, 3, 7 or 8?</t>
        </is>
      </c>
      <c r="C58" s="323" t="n"/>
      <c r="D58" s="1434" t="n"/>
      <c r="E58" s="217" t="inlineStr">
        <is>
          <t>—————</t>
        </is>
      </c>
      <c r="F58" s="8787" t="inlineStr">
        <is>
          <t>No.</t>
        </is>
      </c>
      <c r="G58" s="26" t="n"/>
      <c r="H58" s="217" t="inlineStr">
        <is>
          <t>——————————</t>
        </is>
      </c>
      <c r="I58" s="853" t="n"/>
      <c r="J58" s="1653" t="inlineStr">
        <is>
          <t xml:space="preserve">  Complete Parts II and III.</t>
        </is>
      </c>
      <c r="K58" s="1530" t="n"/>
      <c r="L58" s="1530" t="n"/>
      <c r="M58" s="1530" t="n"/>
      <c r="N58" s="217" t="n"/>
      <c r="O58" s="217" t="n"/>
      <c r="P58" s="217" t="n"/>
      <c r="Q58" s="217" t="n"/>
      <c r="R58" s="217" t="n"/>
      <c r="S58" s="217" t="n"/>
      <c r="T58" s="217" t="n"/>
      <c r="U58" s="1530" t="n"/>
      <c r="V58" s="1530" t="n"/>
      <c r="W58" s="1530" t="n"/>
      <c r="X58" s="12189" t="n"/>
      <c r="Y58" s="697" t="n"/>
      <c r="Z58" s="697" t="n"/>
      <c r="AA58" s="12189" t="n"/>
      <c r="AB58" s="12189" t="n"/>
      <c r="AC58" s="139" t="n"/>
      <c r="AD58" s="110" t="n"/>
      <c r="AE58" s="139" t="n"/>
      <c r="AG58" s="658" t="n"/>
      <c r="AH58" s="658" t="n"/>
      <c r="AI58" s="658" t="n"/>
      <c r="AJ58" s="658" t="n"/>
      <c r="AK58" s="658" t="n"/>
      <c r="AL58" s="658" t="n"/>
      <c r="AM58" s="658" t="n"/>
      <c r="AN58" s="658" t="n"/>
      <c r="AO58" s="658" t="n"/>
      <c r="AP58" s="658" t="n"/>
    </row>
    <row r="59" ht="6.75" customFormat="1" customHeight="1" s="815" thickBot="1">
      <c r="A59" s="139" t="n"/>
      <c r="B59" s="1436" t="n"/>
      <c r="C59" s="1437" t="n"/>
      <c r="D59" s="1438" t="n"/>
      <c r="E59" s="217" t="n"/>
      <c r="F59" s="217" t="n"/>
      <c r="G59" s="1530" t="n"/>
      <c r="H59" s="853" t="n"/>
      <c r="I59" s="1530" t="n"/>
      <c r="J59" s="1530" t="n"/>
      <c r="K59" s="1530" t="n"/>
      <c r="L59" s="1530" t="n"/>
      <c r="M59" s="1530" t="n"/>
      <c r="N59" s="217" t="n"/>
      <c r="O59" s="217" t="n"/>
      <c r="P59" s="217" t="n"/>
      <c r="Q59" s="217" t="n"/>
      <c r="R59" s="217" t="n"/>
      <c r="S59" s="217" t="n"/>
      <c r="T59" s="217" t="n"/>
      <c r="U59" s="1530" t="n"/>
      <c r="V59" s="1530" t="n"/>
      <c r="W59" s="1530" t="n"/>
      <c r="X59" s="12189" t="n"/>
      <c r="Y59" s="697" t="n"/>
      <c r="Z59" s="697" t="n"/>
      <c r="AA59" s="12189" t="n"/>
      <c r="AB59" s="12189" t="n"/>
      <c r="AC59" s="139" t="n"/>
      <c r="AD59" s="110" t="n"/>
      <c r="AE59" s="139" t="n"/>
      <c r="AG59" s="658" t="n"/>
      <c r="AH59" s="658" t="n"/>
      <c r="AI59" s="658" t="n"/>
      <c r="AJ59" s="658" t="n"/>
      <c r="AK59" s="658" t="n"/>
      <c r="AL59" s="658" t="n"/>
      <c r="AM59" s="658" t="n"/>
      <c r="AN59" s="658" t="n"/>
      <c r="AO59" s="658" t="n"/>
      <c r="AP59" s="658" t="n"/>
    </row>
    <row r="60" ht="12" customFormat="1" customHeight="1" s="815" thickBot="1" thickTop="1">
      <c r="A60" s="139" t="n"/>
      <c r="B60" s="85" t="n"/>
      <c r="C60" s="323" t="n"/>
      <c r="D60" s="323" t="n"/>
      <c r="E60" s="217" t="n"/>
      <c r="F60" s="217" t="n"/>
      <c r="G60" s="1530" t="n"/>
      <c r="H60" s="853" t="n"/>
      <c r="I60" s="1530" t="n"/>
      <c r="J60" s="1530" t="n"/>
      <c r="K60" s="1530" t="n"/>
      <c r="L60" s="1530" t="n"/>
      <c r="M60" s="1530" t="n"/>
      <c r="N60" s="217" t="n"/>
      <c r="O60" s="217" t="n"/>
      <c r="P60" s="217" t="n"/>
      <c r="Q60" s="217" t="n"/>
      <c r="R60" s="217" t="n"/>
      <c r="S60" s="217" t="n"/>
      <c r="T60" s="217" t="n"/>
      <c r="U60" s="1530" t="n"/>
      <c r="V60" s="1530" t="n"/>
      <c r="W60" s="1530" t="n"/>
      <c r="X60" s="12189" t="n"/>
      <c r="Y60" s="697" t="n"/>
      <c r="Z60" s="697" t="n"/>
      <c r="AA60" s="12189" t="n"/>
      <c r="AB60" s="12189" t="n"/>
      <c r="AC60" s="139" t="n"/>
      <c r="AD60" s="110" t="n"/>
      <c r="AE60" s="139" t="n"/>
      <c r="AG60" s="658" t="n"/>
      <c r="AH60" s="658" t="n"/>
      <c r="AI60" s="658" t="n"/>
      <c r="AJ60" s="658" t="n"/>
      <c r="AK60" s="658" t="n"/>
      <c r="AL60" s="658" t="n"/>
      <c r="AM60" s="658" t="n"/>
      <c r="AN60" s="658" t="n"/>
      <c r="AO60" s="658" t="n"/>
      <c r="AP60" s="658" t="n"/>
    </row>
    <row r="61" ht="15.75" customFormat="1" customHeight="1" s="815" thickTop="1">
      <c r="A61" s="139" t="n"/>
      <c r="B61" s="8790" t="inlineStr">
        <is>
          <t>Part II</t>
        </is>
      </c>
      <c r="C61" s="12190" t="n"/>
      <c r="D61" s="858" t="inlineStr">
        <is>
          <t xml:space="preserve">   Statement of Permanent and Total Disability</t>
        </is>
      </c>
      <c r="E61" s="78" t="n"/>
      <c r="F61" s="78" t="n"/>
      <c r="G61" s="78" t="n"/>
      <c r="H61" s="78" t="n"/>
      <c r="I61" s="78" t="n"/>
      <c r="J61" s="78" t="n"/>
      <c r="K61" s="78" t="n"/>
      <c r="L61" s="78" t="n"/>
      <c r="M61" s="875" t="inlineStr">
        <is>
          <t>(Complete only if you checked box 2, 4, 5, 6, or 9 above.)</t>
        </is>
      </c>
      <c r="N61" s="78" t="n"/>
      <c r="O61" s="78" t="n"/>
      <c r="P61" s="78" t="n"/>
      <c r="Q61" s="78" t="n"/>
      <c r="R61" s="78" t="n"/>
      <c r="S61" s="78" t="n"/>
      <c r="T61" s="78" t="n"/>
      <c r="U61" s="78" t="n"/>
      <c r="V61" s="78" t="n"/>
      <c r="W61" s="78" t="n"/>
      <c r="X61" s="78" t="n"/>
      <c r="Y61" s="78" t="n"/>
      <c r="Z61" s="78" t="n"/>
      <c r="AA61" s="78" t="n"/>
      <c r="AB61" s="78" t="n"/>
      <c r="AC61" s="139" t="n"/>
      <c r="AD61" s="110" t="n"/>
      <c r="AE61" s="139" t="n"/>
      <c r="AG61" s="658" t="n"/>
      <c r="AH61" s="658" t="n"/>
      <c r="AI61" s="658" t="n"/>
      <c r="AJ61" s="658" t="n"/>
      <c r="AK61" s="658" t="n"/>
      <c r="AL61" s="658" t="n"/>
      <c r="AM61" s="658" t="n"/>
      <c r="AN61" s="658" t="n"/>
      <c r="AO61" s="658" t="n"/>
      <c r="AP61" s="658" t="n"/>
    </row>
    <row r="62" ht="14.25" customFormat="1" customHeight="1" s="815">
      <c r="A62" s="139" t="n"/>
      <c r="B62" s="876" t="inlineStr">
        <is>
          <t>If:</t>
        </is>
      </c>
      <c r="C62" s="878" t="inlineStr">
        <is>
          <t>1</t>
        </is>
      </c>
      <c r="D62" s="1044" t="inlineStr">
        <is>
          <t>You filed a physician’s statement for this disability for 1983 or an earlier year, or you filed or got a</t>
        </is>
      </c>
      <c r="E62" s="96" t="n"/>
      <c r="F62" s="96" t="n"/>
      <c r="G62" s="96" t="n"/>
      <c r="H62" s="96" t="n"/>
      <c r="I62" s="96" t="n"/>
      <c r="J62" s="96" t="n"/>
      <c r="K62" s="96" t="n"/>
      <c r="L62" s="96" t="n"/>
      <c r="M62" s="96" t="n"/>
      <c r="N62" s="96" t="n"/>
      <c r="O62" s="96" t="n"/>
      <c r="P62" s="96" t="n"/>
      <c r="Q62" s="96" t="n"/>
      <c r="R62" s="96" t="n"/>
      <c r="S62" s="96" t="n"/>
      <c r="T62" s="96" t="n"/>
      <c r="U62" s="96" t="n"/>
      <c r="V62" s="96" t="n"/>
      <c r="W62" s="96" t="n"/>
      <c r="X62" s="96" t="n"/>
      <c r="Y62" s="96" t="n"/>
      <c r="Z62" s="96" t="n"/>
      <c r="AA62" s="96" t="n"/>
      <c r="AB62" s="96" t="n"/>
      <c r="AC62" s="139" t="n"/>
      <c r="AD62" s="110" t="n"/>
      <c r="AE62" s="139" t="n"/>
      <c r="AG62" s="658" t="n"/>
      <c r="AH62" s="658" t="n"/>
      <c r="AI62" s="658" t="n"/>
      <c r="AJ62" s="658" t="n"/>
      <c r="AK62" s="658" t="n"/>
      <c r="AL62" s="658" t="n"/>
      <c r="AM62" s="658" t="n"/>
      <c r="AN62" s="658" t="n"/>
      <c r="AO62" s="658" t="n"/>
      <c r="AP62" s="658" t="n"/>
    </row>
    <row r="63" ht="15" customFormat="1" customHeight="1" s="815">
      <c r="A63" s="139" t="n"/>
      <c r="B63" s="872" t="n"/>
      <c r="C63" s="873" t="n"/>
      <c r="D63" s="1044" t="inlineStr">
        <is>
          <t>statement for tax years after 1983 and your physician signed line B on the statement, and</t>
        </is>
      </c>
      <c r="E63" s="96" t="n"/>
      <c r="F63" s="96" t="n"/>
      <c r="G63" s="96" t="n"/>
      <c r="H63" s="96" t="n"/>
      <c r="I63" s="96" t="n"/>
      <c r="J63" s="96" t="n"/>
      <c r="K63" s="96" t="n"/>
      <c r="L63" s="96" t="n"/>
      <c r="M63" s="96" t="n"/>
      <c r="N63" s="96" t="n"/>
      <c r="O63" s="96" t="n"/>
      <c r="P63" s="96" t="n"/>
      <c r="Q63" s="96" t="n"/>
      <c r="R63" s="96" t="n"/>
      <c r="S63" s="96" t="n"/>
      <c r="T63" s="96" t="n"/>
      <c r="U63" s="96" t="n"/>
      <c r="V63" s="96" t="n"/>
      <c r="W63" s="96" t="n"/>
      <c r="X63" s="96" t="n"/>
      <c r="Y63" s="96" t="n"/>
      <c r="Z63" s="96" t="n"/>
      <c r="AA63" s="96" t="n"/>
      <c r="AB63" s="96" t="n"/>
      <c r="AC63" s="139" t="n"/>
      <c r="AD63" s="110" t="n"/>
      <c r="AE63" s="139" t="n"/>
      <c r="AG63" s="658" t="n"/>
      <c r="AH63" s="658" t="n"/>
      <c r="AI63" s="658" t="n"/>
      <c r="AJ63" s="658" t="n"/>
      <c r="AK63" s="658" t="n"/>
      <c r="AL63" s="658" t="n"/>
      <c r="AM63" s="658" t="n"/>
      <c r="AN63" s="658" t="n"/>
      <c r="AO63" s="658" t="n"/>
      <c r="AP63" s="658" t="n"/>
    </row>
    <row r="64" ht="8.25" customFormat="1" customHeight="1" s="815">
      <c r="A64" s="139" t="n"/>
      <c r="B64" s="872" t="n"/>
      <c r="C64" s="873" t="n"/>
      <c r="D64" s="874" t="n"/>
      <c r="E64" s="96" t="n"/>
      <c r="F64" s="96" t="n"/>
      <c r="G64" s="96" t="n"/>
      <c r="H64" s="96" t="n"/>
      <c r="I64" s="96" t="n"/>
      <c r="J64" s="96" t="n"/>
      <c r="K64" s="96" t="n"/>
      <c r="L64" s="96" t="n"/>
      <c r="M64" s="96" t="n"/>
      <c r="N64" s="96" t="n"/>
      <c r="O64" s="96" t="n"/>
      <c r="P64" s="96" t="n"/>
      <c r="Q64" s="96" t="n"/>
      <c r="R64" s="96" t="n"/>
      <c r="S64" s="96" t="n"/>
      <c r="T64" s="96" t="n"/>
      <c r="U64" s="96" t="n"/>
      <c r="V64" s="96" t="n"/>
      <c r="W64" s="96" t="n"/>
      <c r="X64" s="96" t="n"/>
      <c r="Y64" s="96" t="n"/>
      <c r="Z64" s="96" t="n"/>
      <c r="AA64" s="96" t="n"/>
      <c r="AB64" s="96" t="n"/>
      <c r="AC64" s="139" t="n"/>
      <c r="AD64" s="110" t="n"/>
      <c r="AE64" s="139" t="n"/>
      <c r="AG64" s="658" t="n"/>
      <c r="AH64" s="658" t="n"/>
      <c r="AI64" s="658" t="n"/>
      <c r="AJ64" s="658" t="n"/>
      <c r="AK64" s="658" t="n"/>
      <c r="AL64" s="658" t="n"/>
      <c r="AM64" s="658" t="n"/>
      <c r="AN64" s="658" t="n"/>
      <c r="AO64" s="658" t="n"/>
      <c r="AP64" s="658" t="n"/>
    </row>
    <row r="65" ht="14.25" customFormat="1" customHeight="1" s="815">
      <c r="A65" s="139" t="n"/>
      <c r="B65" s="872" t="n"/>
      <c r="C65" s="878" t="inlineStr">
        <is>
          <t>2</t>
        </is>
      </c>
      <c r="D65" s="1044" t="inlineStr">
        <is>
          <t>Due to your continued disabled condition, you were unable to engage in any substantial gainful activity</t>
        </is>
      </c>
      <c r="E65" s="96" t="n"/>
      <c r="F65" s="96" t="n"/>
      <c r="G65" s="96" t="n"/>
      <c r="H65" s="96" t="n"/>
      <c r="I65" s="96" t="n"/>
      <c r="J65" s="96" t="n"/>
      <c r="K65" s="96" t="n"/>
      <c r="L65" s="96" t="n"/>
      <c r="M65" s="96" t="n"/>
      <c r="N65" s="96" t="n"/>
      <c r="O65" s="96" t="n"/>
      <c r="P65" s="96" t="n"/>
      <c r="Q65" s="96" t="n"/>
      <c r="R65" s="96" t="n"/>
      <c r="S65" s="96" t="n"/>
      <c r="T65" s="96" t="n"/>
      <c r="U65" s="96" t="n"/>
      <c r="V65" s="96" t="n"/>
      <c r="W65" s="96" t="n"/>
      <c r="X65" s="96" t="n"/>
      <c r="Y65" s="96" t="n"/>
      <c r="Z65" s="96" t="n"/>
      <c r="AA65" s="96" t="n"/>
      <c r="AB65" s="96" t="n"/>
      <c r="AC65" s="139" t="n"/>
      <c r="AD65" s="110" t="n"/>
      <c r="AE65" s="139" t="n"/>
      <c r="AG65" s="658" t="n"/>
      <c r="AH65" s="658" t="n"/>
      <c r="AI65" s="658" t="n"/>
      <c r="AJ65" s="658" t="n"/>
      <c r="AK65" s="658" t="n"/>
      <c r="AL65" s="658" t="n"/>
      <c r="AM65" s="658" t="n"/>
      <c r="AN65" s="658" t="n"/>
      <c r="AO65" s="658" t="n"/>
      <c r="AP65" s="658" t="n"/>
    </row>
    <row r="66" ht="14.25" customFormat="1" customHeight="1" s="815">
      <c r="A66" s="139" t="n"/>
      <c r="B66" s="872" t="n"/>
      <c r="C66" s="873" t="n"/>
      <c r="D66" s="1044">
        <f>"in "&amp;TaxYear&amp;", check this box"</f>
        <v/>
      </c>
      <c r="E66" s="96" t="n"/>
      <c r="F66" s="96" t="n"/>
      <c r="G66" s="96" t="n"/>
      <c r="H66" s="96" t="n"/>
      <c r="I66" s="96" t="n"/>
      <c r="J66" s="96" t="n"/>
      <c r="K66" s="96" t="n"/>
      <c r="L66" s="96" t="n"/>
      <c r="M66" s="96" t="n"/>
      <c r="N66" s="96" t="n"/>
      <c r="O66" s="96" t="n"/>
      <c r="P66" s="96" t="n"/>
      <c r="Q66" s="96" t="n"/>
      <c r="R66" s="96" t="n"/>
      <c r="S66" s="96" t="n"/>
      <c r="T66" s="96" t="n"/>
      <c r="U66" s="96" t="n"/>
      <c r="V66" s="96" t="n"/>
      <c r="W66" s="96" t="n"/>
      <c r="X66" s="96" t="n"/>
      <c r="Y66" s="96" t="n"/>
      <c r="Z66" s="140" t="inlineStr">
        <is>
          <t xml:space="preserve">.   .   .   .   .   .   .   .   .   .   .   .   .   .   .   .   .   .   .   .   .   .   .   .   .   .   .   .   .   .   .   .   .   .   .  </t>
        </is>
      </c>
      <c r="AA66" s="12196" t="n"/>
      <c r="AB66" s="96" t="n"/>
      <c r="AC66" s="139" t="n"/>
      <c r="AD66" s="110" t="n"/>
      <c r="AE66" s="139" t="n"/>
      <c r="AG66" s="658" t="n"/>
      <c r="AH66" s="658" t="n"/>
      <c r="AI66" s="658" t="n"/>
      <c r="AJ66" s="658" t="n"/>
      <c r="AK66" s="658" t="n"/>
      <c r="AL66" s="658" t="n"/>
      <c r="AM66" s="658" t="n"/>
      <c r="AN66" s="658" t="n"/>
      <c r="AO66" s="658" t="n"/>
      <c r="AP66" s="658" t="n"/>
    </row>
    <row r="67" ht="7.5" customFormat="1" customHeight="1" s="815">
      <c r="A67" s="139" t="n"/>
      <c r="B67" s="872" t="n"/>
      <c r="C67" s="873" t="n"/>
      <c r="D67" s="877" t="n"/>
      <c r="E67" s="96" t="n"/>
      <c r="F67" s="96" t="n"/>
      <c r="G67" s="96" t="n"/>
      <c r="H67" s="96" t="n"/>
      <c r="I67" s="96" t="n"/>
      <c r="J67" s="96" t="n"/>
      <c r="K67" s="96" t="n"/>
      <c r="L67" s="96" t="n"/>
      <c r="M67" s="96" t="n"/>
      <c r="N67" s="96" t="n"/>
      <c r="O67" s="96" t="n"/>
      <c r="P67" s="96" t="n"/>
      <c r="Q67" s="96" t="n"/>
      <c r="R67" s="96" t="n"/>
      <c r="S67" s="96" t="n"/>
      <c r="T67" s="96" t="n"/>
      <c r="U67" s="96" t="n"/>
      <c r="V67" s="96" t="n"/>
      <c r="W67" s="96" t="n"/>
      <c r="X67" s="96" t="n"/>
      <c r="Y67" s="96" t="n"/>
      <c r="Z67" s="96" t="n"/>
      <c r="AA67" s="96" t="n"/>
      <c r="AB67" s="96" t="n"/>
      <c r="AC67" s="139" t="n"/>
      <c r="AD67" s="110" t="n"/>
      <c r="AE67" s="139" t="n"/>
      <c r="AG67" s="658" t="n"/>
      <c r="AH67" s="658" t="n"/>
      <c r="AI67" s="658" t="n"/>
      <c r="AJ67" s="658" t="n"/>
      <c r="AK67" s="658" t="n"/>
      <c r="AL67" s="658" t="n"/>
      <c r="AM67" s="658" t="n"/>
      <c r="AN67" s="658" t="n"/>
      <c r="AO67" s="658" t="n"/>
      <c r="AP67" s="658" t="n"/>
    </row>
    <row r="68" ht="15" customFormat="1" customHeight="1" s="815">
      <c r="A68" s="139" t="n"/>
      <c r="B68" s="872" t="n"/>
      <c r="C68" s="857" t="inlineStr">
        <is>
          <t xml:space="preserve">• </t>
        </is>
      </c>
      <c r="D68" s="1044">
        <f>"If you checked this box, you don’t have to get another statement for "&amp;TaxYear&amp;"."</f>
        <v/>
      </c>
      <c r="E68" s="96" t="n"/>
      <c r="F68" s="96" t="n"/>
      <c r="G68" s="96" t="n"/>
      <c r="H68" s="96" t="n"/>
      <c r="I68" s="96" t="n"/>
      <c r="J68" s="96" t="n"/>
      <c r="K68" s="96" t="n"/>
      <c r="L68" s="96" t="n"/>
      <c r="M68" s="96" t="n"/>
      <c r="N68" s="96" t="n"/>
      <c r="O68" s="96" t="n"/>
      <c r="P68" s="96" t="n"/>
      <c r="Q68" s="96" t="n"/>
      <c r="R68" s="96" t="n"/>
      <c r="S68" s="96" t="n"/>
      <c r="T68" s="96" t="n"/>
      <c r="U68" s="96" t="n"/>
      <c r="V68" s="96" t="n"/>
      <c r="W68" s="96" t="n"/>
      <c r="X68" s="96" t="n"/>
      <c r="Y68" s="96" t="n"/>
      <c r="Z68" s="96" t="n"/>
      <c r="AA68" s="96" t="n"/>
      <c r="AB68" s="96" t="n"/>
      <c r="AC68" s="139" t="n"/>
      <c r="AD68" s="110" t="n"/>
      <c r="AE68" s="139" t="n"/>
      <c r="AG68" s="658" t="n"/>
      <c r="AH68" s="658" t="n"/>
      <c r="AI68" s="658" t="n"/>
      <c r="AJ68" s="658" t="n"/>
      <c r="AK68" s="658" t="n"/>
      <c r="AL68" s="658" t="n"/>
      <c r="AM68" s="658" t="n"/>
      <c r="AN68" s="658" t="n"/>
      <c r="AO68" s="658" t="n"/>
      <c r="AP68" s="658" t="n"/>
    </row>
    <row r="69" ht="7.5" customFormat="1" customHeight="1" s="815">
      <c r="A69" s="139" t="n"/>
      <c r="B69" s="872" t="n"/>
      <c r="C69" s="873" t="n"/>
      <c r="D69" s="877" t="n"/>
      <c r="E69" s="96" t="n"/>
      <c r="F69" s="96" t="n"/>
      <c r="G69" s="96" t="n"/>
      <c r="H69" s="96" t="n"/>
      <c r="I69" s="96" t="n"/>
      <c r="J69" s="96" t="n"/>
      <c r="K69" s="96" t="n"/>
      <c r="L69" s="96" t="n"/>
      <c r="M69" s="96" t="n"/>
      <c r="N69" s="96" t="n"/>
      <c r="O69" s="96" t="n"/>
      <c r="P69" s="96" t="n"/>
      <c r="Q69" s="96" t="n"/>
      <c r="R69" s="96" t="n"/>
      <c r="S69" s="96" t="n"/>
      <c r="T69" s="96" t="n"/>
      <c r="U69" s="96" t="n"/>
      <c r="V69" s="96" t="n"/>
      <c r="W69" s="96" t="n"/>
      <c r="X69" s="96" t="n"/>
      <c r="Y69" s="96" t="n"/>
      <c r="Z69" s="96" t="n"/>
      <c r="AA69" s="96" t="n"/>
      <c r="AB69" s="96" t="n"/>
      <c r="AC69" s="139" t="n"/>
      <c r="AD69" s="110" t="n"/>
      <c r="AE69" s="139" t="n"/>
      <c r="AG69" s="658" t="n"/>
      <c r="AH69" s="658" t="n"/>
      <c r="AI69" s="658" t="n"/>
      <c r="AJ69" s="658" t="n"/>
      <c r="AK69" s="658" t="n"/>
      <c r="AL69" s="658" t="n"/>
      <c r="AM69" s="658" t="n"/>
      <c r="AN69" s="658" t="n"/>
      <c r="AO69" s="658" t="n"/>
      <c r="AP69" s="658" t="n"/>
    </row>
    <row r="70" ht="15" customFormat="1" customHeight="1" s="815">
      <c r="A70" s="139" t="n"/>
      <c r="B70" s="872" t="n"/>
      <c r="C70" s="857" t="inlineStr">
        <is>
          <t xml:space="preserve">• </t>
        </is>
      </c>
      <c r="D70" s="1044" t="inlineStr">
        <is>
          <t>If you didn’t check this box, have your physician complete the statement in the instructions. You must</t>
        </is>
      </c>
      <c r="E70" s="96" t="n"/>
      <c r="F70" s="96" t="n"/>
      <c r="G70" s="96" t="n"/>
      <c r="H70" s="96" t="n"/>
      <c r="I70" s="96" t="n"/>
      <c r="J70" s="96" t="n"/>
      <c r="K70" s="96" t="n"/>
      <c r="L70" s="96" t="n"/>
      <c r="M70" s="96" t="n"/>
      <c r="N70" s="96" t="n"/>
      <c r="O70" s="96" t="n"/>
      <c r="P70" s="96" t="n"/>
      <c r="Q70" s="96" t="n"/>
      <c r="R70" s="96" t="n"/>
      <c r="S70" s="96" t="n"/>
      <c r="T70" s="96" t="n"/>
      <c r="U70" s="96" t="n"/>
      <c r="V70" s="96" t="n"/>
      <c r="W70" s="96" t="n"/>
      <c r="X70" s="96" t="n"/>
      <c r="Y70" s="96" t="n"/>
      <c r="Z70" s="96" t="n"/>
      <c r="AA70" s="96" t="n"/>
      <c r="AB70" s="96" t="n"/>
      <c r="AC70" s="139" t="n"/>
      <c r="AD70" s="110" t="n"/>
      <c r="AE70" s="139" t="n"/>
      <c r="AG70" s="658" t="n"/>
      <c r="AH70" s="658" t="n"/>
      <c r="AI70" s="658" t="n"/>
      <c r="AJ70" s="658" t="n"/>
      <c r="AK70" s="658" t="n"/>
      <c r="AL70" s="658" t="n"/>
      <c r="AM70" s="658" t="n"/>
      <c r="AN70" s="658" t="n"/>
      <c r="AO70" s="658" t="n"/>
      <c r="AP70" s="658" t="n"/>
    </row>
    <row r="71" ht="14.25" customFormat="1" customHeight="1" s="815">
      <c r="A71" s="139" t="n"/>
      <c r="B71" s="872" t="n"/>
      <c r="C71" s="873" t="n"/>
      <c r="D71" s="1044" t="inlineStr">
        <is>
          <t>keep the statement for your records.</t>
        </is>
      </c>
      <c r="E71" s="96" t="n"/>
      <c r="F71" s="96" t="n"/>
      <c r="G71" s="96" t="n"/>
      <c r="H71" s="96" t="n"/>
      <c r="I71" s="96" t="n"/>
      <c r="J71" s="96" t="n"/>
      <c r="K71" s="96" t="n"/>
      <c r="L71" s="96" t="n"/>
      <c r="M71" s="96" t="n"/>
      <c r="N71" s="96" t="n"/>
      <c r="O71" s="96" t="n"/>
      <c r="P71" s="96" t="n"/>
      <c r="Q71" s="96" t="n"/>
      <c r="R71" s="96" t="n"/>
      <c r="S71" s="96" t="n"/>
      <c r="T71" s="96" t="n"/>
      <c r="U71" s="96" t="n"/>
      <c r="V71" s="96" t="n"/>
      <c r="W71" s="96" t="n"/>
      <c r="X71" s="96" t="n"/>
      <c r="Y71" s="96" t="n"/>
      <c r="Z71" s="96" t="n"/>
      <c r="AA71" s="96" t="n"/>
      <c r="AB71" s="96" t="n"/>
      <c r="AC71" s="139" t="n"/>
      <c r="AD71" s="110" t="n"/>
      <c r="AE71" s="139" t="n"/>
      <c r="AG71" s="658" t="n"/>
      <c r="AH71" s="658" t="n"/>
      <c r="AI71" s="658" t="n"/>
      <c r="AJ71" s="658" t="n"/>
      <c r="AK71" s="658" t="n"/>
      <c r="AL71" s="658" t="n"/>
      <c r="AM71" s="658" t="n"/>
      <c r="AN71" s="658" t="n"/>
      <c r="AO71" s="658" t="n"/>
      <c r="AP71" s="658" t="n"/>
    </row>
    <row r="72" ht="9" customFormat="1" customHeight="1" s="815">
      <c r="A72" s="139" t="n"/>
      <c r="B72" s="872" t="n"/>
      <c r="C72" s="873" t="n"/>
      <c r="D72" s="877" t="n"/>
      <c r="E72" s="96" t="n"/>
      <c r="F72" s="96" t="n"/>
      <c r="G72" s="96" t="n"/>
      <c r="H72" s="96" t="n"/>
      <c r="I72" s="96" t="n"/>
      <c r="J72" s="96" t="n"/>
      <c r="K72" s="96" t="n"/>
      <c r="L72" s="96" t="n"/>
      <c r="M72" s="96" t="n"/>
      <c r="N72" s="96" t="n"/>
      <c r="O72" s="96" t="n"/>
      <c r="P72" s="96" t="n"/>
      <c r="Q72" s="96" t="n"/>
      <c r="R72" s="96" t="n"/>
      <c r="S72" s="96" t="n"/>
      <c r="T72" s="96" t="n"/>
      <c r="U72" s="96" t="n"/>
      <c r="V72" s="96" t="n"/>
      <c r="W72" s="96" t="n"/>
      <c r="X72" s="96" t="n"/>
      <c r="Y72" s="96" t="n"/>
      <c r="Z72" s="96" t="n"/>
      <c r="AA72" s="96" t="n"/>
      <c r="AB72" s="96" t="n"/>
      <c r="AC72" s="139" t="n"/>
      <c r="AD72" s="110" t="n"/>
      <c r="AE72" s="139" t="n"/>
      <c r="AG72" s="658" t="n"/>
      <c r="AH72" s="658" t="n"/>
      <c r="AI72" s="658" t="n"/>
      <c r="AJ72" s="658" t="n"/>
      <c r="AK72" s="658" t="n"/>
      <c r="AL72" s="658" t="n"/>
      <c r="AM72" s="658" t="n"/>
      <c r="AN72" s="658" t="n"/>
      <c r="AO72" s="658" t="n"/>
      <c r="AP72" s="658" t="n"/>
    </row>
    <row r="73" ht="3.75" customFormat="1" customHeight="1" s="815" thickBot="1">
      <c r="A73" s="139" t="n"/>
      <c r="B73" s="133" t="n"/>
      <c r="C73" s="133" t="n"/>
      <c r="D73" s="76" t="n"/>
      <c r="E73" s="76" t="n"/>
      <c r="F73" s="76" t="n"/>
      <c r="G73" s="1532" t="n"/>
      <c r="H73" s="1532" t="n"/>
      <c r="I73" s="1532" t="n"/>
      <c r="J73" s="1532" t="n"/>
      <c r="K73" s="1532" t="n"/>
      <c r="L73" s="1532" t="n"/>
      <c r="M73" s="1532" t="n"/>
      <c r="N73" s="76" t="n"/>
      <c r="O73" s="76" t="n"/>
      <c r="P73" s="76" t="n"/>
      <c r="Q73" s="76" t="n"/>
      <c r="R73" s="65" t="n"/>
      <c r="S73" s="65" t="n"/>
      <c r="T73" s="76" t="n"/>
      <c r="U73" s="1532" t="n"/>
      <c r="V73" s="1532" t="n"/>
      <c r="W73" s="217" t="n"/>
      <c r="X73" s="15" t="n"/>
      <c r="Y73" s="15" t="n"/>
      <c r="Z73" s="154" t="n"/>
      <c r="AA73" s="15" t="n"/>
      <c r="AB73" s="15" t="n"/>
      <c r="AC73" s="139" t="n"/>
      <c r="AD73" s="110" t="n"/>
      <c r="AE73" s="139" t="n"/>
      <c r="AG73" s="658" t="n"/>
      <c r="AH73" s="658" t="n"/>
      <c r="AI73" s="658" t="n"/>
      <c r="AJ73" s="658" t="n"/>
      <c r="AK73" s="658" t="n"/>
      <c r="AL73" s="658" t="n"/>
      <c r="AM73" s="658" t="n"/>
      <c r="AN73" s="658" t="n"/>
      <c r="AO73" s="658" t="n"/>
      <c r="AP73" s="658" t="n"/>
    </row>
    <row r="74" ht="22.5" customFormat="1" customHeight="1" s="815">
      <c r="A74" s="139" t="n"/>
      <c r="B74" s="855" t="inlineStr">
        <is>
          <t>For Paperwork Reduction Act Notice, see your tax return instructions.</t>
        </is>
      </c>
      <c r="C74" s="455" t="n"/>
      <c r="D74" s="1453" t="n"/>
      <c r="E74" s="1453" t="n"/>
      <c r="F74" s="1453" t="n"/>
      <c r="G74" s="1606" t="n"/>
      <c r="H74" s="1606" t="n"/>
      <c r="I74" s="1606" t="n"/>
      <c r="J74" s="1606" t="n"/>
      <c r="K74" s="1606" t="n"/>
      <c r="L74" s="1606" t="n"/>
      <c r="M74" s="1606" t="n"/>
      <c r="N74" s="1453" t="n"/>
      <c r="O74" s="1045" t="n"/>
      <c r="P74" s="242" t="inlineStr">
        <is>
          <t xml:space="preserve">Cat. No. 11359K </t>
        </is>
      </c>
      <c r="Q74" s="1453" t="n"/>
      <c r="R74" s="242" t="n"/>
      <c r="S74" s="242" t="n"/>
      <c r="T74" s="1453" t="n"/>
      <c r="U74" s="242" t="n"/>
      <c r="V74" s="1606" t="n"/>
      <c r="W74" s="1607" t="n"/>
      <c r="X74" s="879">
        <f>"Schedule R (Form 1040)  "&amp;TaxYear</f>
        <v/>
      </c>
      <c r="Y74" s="879" t="n"/>
      <c r="Z74" s="1608" t="n"/>
      <c r="AA74" s="123" t="n"/>
      <c r="AB74" s="1170" t="inlineStr">
        <is>
          <t>Created 4/14/25</t>
        </is>
      </c>
      <c r="AC74" s="139" t="n"/>
      <c r="AD74" s="852" t="n"/>
      <c r="AE74" s="139" t="n"/>
      <c r="AF74" s="382" t="n"/>
      <c r="AG74" s="658" t="n"/>
      <c r="AH74" s="658" t="n"/>
      <c r="AI74" s="658" t="n"/>
      <c r="AJ74" s="658" t="n"/>
      <c r="AK74" s="658" t="n"/>
      <c r="AL74" s="658" t="n"/>
      <c r="AM74" s="658" t="n"/>
      <c r="AN74" s="658" t="n"/>
      <c r="AO74" s="658" t="n"/>
      <c r="AP74" s="658" t="n"/>
    </row>
    <row r="75" ht="19.5" customFormat="1" customHeight="1" s="815" thickBot="1">
      <c r="A75" s="139" t="n"/>
      <c r="B75" s="1615">
        <f>"Schedule R (Form 1040) "&amp;TaxYear</f>
        <v/>
      </c>
      <c r="C75" s="1615" t="n"/>
      <c r="D75" s="1615" t="n"/>
      <c r="E75" s="1615" t="n"/>
      <c r="F75" s="1615" t="n"/>
      <c r="G75" s="1615" t="n"/>
      <c r="H75" s="1615" t="n"/>
      <c r="I75" s="1615" t="n"/>
      <c r="J75" s="1615" t="n"/>
      <c r="K75" s="1615" t="n"/>
      <c r="L75" s="1615" t="n"/>
      <c r="M75" s="1615" t="n"/>
      <c r="N75" s="1615" t="n"/>
      <c r="O75" s="1615" t="n"/>
      <c r="P75" s="1615" t="n"/>
      <c r="Q75" s="1615" t="n"/>
      <c r="R75" s="1615" t="n"/>
      <c r="S75" s="1615" t="n"/>
      <c r="T75" s="1615" t="n"/>
      <c r="U75" s="1615" t="n"/>
      <c r="V75" s="1615" t="n"/>
      <c r="W75" s="1615" t="n"/>
      <c r="X75" s="1615" t="n"/>
      <c r="Y75" s="371" t="n"/>
      <c r="Z75" s="371" t="n"/>
      <c r="AA75" s="371" t="inlineStr">
        <is>
          <t>Page</t>
        </is>
      </c>
      <c r="AB75" s="372">
        <f>"2"</f>
        <v/>
      </c>
      <c r="AC75" s="139" t="n"/>
      <c r="AD75" s="110" t="n"/>
      <c r="AE75" s="139" t="n"/>
      <c r="AG75" s="658" t="n"/>
      <c r="AH75" s="658" t="n"/>
      <c r="AI75" s="658" t="n"/>
      <c r="AJ75" s="658" t="n"/>
      <c r="AK75" s="658" t="n"/>
      <c r="AL75" s="658" t="n"/>
      <c r="AM75" s="658" t="n"/>
      <c r="AN75" s="658" t="n"/>
      <c r="AO75" s="658" t="n"/>
      <c r="AP75" s="658" t="n"/>
    </row>
    <row r="76" ht="15.75" customFormat="1" customHeight="1" s="815" thickTop="1">
      <c r="A76" s="139" t="n"/>
      <c r="B76" s="8794" t="inlineStr">
        <is>
          <t>Part III</t>
        </is>
      </c>
      <c r="C76" s="12190" t="n"/>
      <c r="D76" s="374" t="inlineStr">
        <is>
          <t xml:space="preserve">   Figure Your Credit</t>
        </is>
      </c>
      <c r="E76" s="373" t="n"/>
      <c r="F76" s="373" t="n"/>
      <c r="G76" s="373" t="n"/>
      <c r="H76" s="373" t="n"/>
      <c r="I76" s="373" t="n"/>
      <c r="J76" s="373" t="n"/>
      <c r="K76" s="373" t="n"/>
      <c r="L76" s="373" t="n"/>
      <c r="M76" s="373" t="n"/>
      <c r="N76" s="373" t="n"/>
      <c r="O76" s="373" t="n"/>
      <c r="P76" s="373" t="n"/>
      <c r="Q76" s="373" t="n"/>
      <c r="R76" s="373" t="n"/>
      <c r="S76" s="373" t="n"/>
      <c r="T76" s="373" t="n"/>
      <c r="U76" s="373" t="n"/>
      <c r="V76" s="373" t="n"/>
      <c r="W76" s="373" t="n"/>
      <c r="X76" s="373" t="n"/>
      <c r="Y76" s="373" t="n"/>
      <c r="Z76" s="373" t="n"/>
      <c r="AA76" s="373" t="n"/>
      <c r="AB76" s="373" t="n"/>
      <c r="AC76" s="139" t="n"/>
      <c r="AD76" s="110" t="n"/>
      <c r="AE76" s="139" t="n"/>
      <c r="AG76" s="658" t="n"/>
      <c r="AH76" s="658" t="n"/>
      <c r="AI76" s="658" t="n"/>
      <c r="AJ76" s="658" t="n"/>
      <c r="AK76" s="658" t="n"/>
      <c r="AL76" s="658" t="n"/>
      <c r="AM76" s="658" t="n"/>
      <c r="AN76" s="658" t="n"/>
      <c r="AO76" s="658" t="n"/>
      <c r="AP76" s="658" t="n"/>
    </row>
    <row r="77" ht="12" customFormat="1" customHeight="1" s="815">
      <c r="A77" s="139" t="n"/>
      <c r="B77" s="75" t="n">
        <v>10</v>
      </c>
      <c r="C77" s="17" t="inlineStr">
        <is>
          <t>If you checked (in Part I):</t>
        </is>
      </c>
      <c r="D77" s="96" t="n"/>
      <c r="E77" s="96" t="n"/>
      <c r="F77" s="96" t="n"/>
      <c r="G77" s="96" t="n"/>
      <c r="H77" s="96" t="n"/>
      <c r="I77" s="96" t="n"/>
      <c r="J77" s="96" t="n"/>
      <c r="K77" s="74" t="inlineStr">
        <is>
          <t>Enter:</t>
        </is>
      </c>
      <c r="L77" s="96" t="n"/>
      <c r="M77" s="96" t="n"/>
      <c r="N77" s="96" t="n"/>
      <c r="O77" s="96" t="n"/>
      <c r="P77" s="96" t="n"/>
      <c r="Q77" s="96" t="n"/>
      <c r="R77" s="96" t="n"/>
      <c r="S77" s="96" t="n"/>
      <c r="T77" s="96" t="n"/>
      <c r="U77" s="96" t="n"/>
      <c r="V77" s="96" t="n"/>
      <c r="W77" s="96" t="n"/>
      <c r="X77" s="1624" t="n"/>
      <c r="Y77" s="217" t="n"/>
      <c r="Z77" s="79">
        <f>IF(AND(U77&lt;&gt;"",X77&lt;&gt;""),"Check ONLY one.","")</f>
        <v/>
      </c>
      <c r="AA77" s="217" t="n"/>
      <c r="AB77" s="217" t="n"/>
      <c r="AC77" s="139" t="n"/>
      <c r="AD77" s="110" t="n"/>
      <c r="AE77" s="139" t="n"/>
      <c r="AG77" s="658" t="n"/>
      <c r="AH77" s="658" t="n"/>
      <c r="AI77" s="658" t="n"/>
      <c r="AJ77" s="658" t="n"/>
      <c r="AK77" s="658" t="n"/>
      <c r="AL77" s="658" t="n"/>
      <c r="AM77" s="658" t="n"/>
      <c r="AN77" s="658" t="n"/>
      <c r="AO77" s="658" t="n"/>
      <c r="AP77" s="658" t="n"/>
    </row>
    <row r="78" ht="12" customFormat="1" customHeight="1" s="815">
      <c r="A78" s="139" t="n"/>
      <c r="B78" s="889">
        <f>OR(AA29&lt;&gt;"",AA31&lt;&gt;"",AA37&lt;&gt;"",AA46&lt;&gt;"")</f>
        <v/>
      </c>
      <c r="C78" s="221" t="inlineStr">
        <is>
          <t>Box 1, 2, 4, or 7</t>
        </is>
      </c>
      <c r="D78" s="76" t="n"/>
      <c r="E78" s="76" t="n"/>
      <c r="F78" s="76" t="n"/>
      <c r="G78" s="76" t="n"/>
      <c r="H78" s="76" t="n"/>
      <c r="I78" s="76" t="n"/>
      <c r="J78" s="140" t="inlineStr">
        <is>
          <t xml:space="preserve">.   .   .   .   .   .   .   .   .   .   .   .   .   .   .  </t>
        </is>
      </c>
      <c r="K78" s="12197" t="n">
        <v>5000</v>
      </c>
      <c r="L78" s="26" t="n"/>
      <c r="M78" s="26" t="n"/>
      <c r="N78" s="76" t="n"/>
      <c r="O78" s="76" t="n"/>
      <c r="P78" s="76" t="n"/>
      <c r="Q78" s="76" t="n"/>
      <c r="R78" s="76" t="n"/>
      <c r="S78" s="76" t="n"/>
      <c r="T78" s="76" t="n"/>
      <c r="U78" s="76" t="n"/>
      <c r="V78" s="76" t="n"/>
      <c r="W78" s="140" t="n"/>
      <c r="X78" s="1625" t="n"/>
      <c r="Y78" s="217" t="n"/>
      <c r="Z78" s="79" t="n"/>
      <c r="AA78" s="217" t="n"/>
      <c r="AB78" s="217" t="n"/>
      <c r="AC78" s="139" t="n"/>
      <c r="AD78" s="110" t="n"/>
      <c r="AE78" s="139" t="n"/>
      <c r="AG78" s="658" t="n"/>
      <c r="AH78" s="658" t="n"/>
      <c r="AI78" s="658" t="n"/>
      <c r="AJ78" s="658" t="n"/>
      <c r="AK78" s="658" t="n"/>
      <c r="AL78" s="658" t="n"/>
      <c r="AM78" s="658" t="n"/>
      <c r="AN78" s="658" t="n"/>
      <c r="AO78" s="658" t="n"/>
      <c r="AP78" s="658" t="n"/>
    </row>
    <row r="79" ht="12" customHeight="1" s="7635">
      <c r="A79" s="139" t="n"/>
      <c r="B79" s="889">
        <f>OR(AA34&lt;&gt;"",AA40&lt;&gt;"",AA43&lt;&gt;"")</f>
        <v/>
      </c>
      <c r="C79" s="221" t="inlineStr">
        <is>
          <t>Box 3, 5, or 6</t>
        </is>
      </c>
      <c r="D79" s="76" t="n"/>
      <c r="E79" s="76" t="n"/>
      <c r="F79" s="76" t="n"/>
      <c r="G79" s="76" t="n"/>
      <c r="H79" s="76" t="n"/>
      <c r="I79" s="76" t="n"/>
      <c r="J79" s="140" t="inlineStr">
        <is>
          <t xml:space="preserve">.   .   .   .   .   .   .   .   .   .   .   .   .   .   .   .  </t>
        </is>
      </c>
      <c r="K79" s="12197" t="n">
        <v>7500</v>
      </c>
      <c r="L79" s="26" t="n"/>
      <c r="M79" s="26" t="n"/>
      <c r="N79" s="76" t="n"/>
      <c r="O79" s="76" t="n"/>
      <c r="P79" s="76" t="n"/>
      <c r="Q79" s="76" t="n"/>
      <c r="R79" s="76" t="n"/>
      <c r="S79" s="76" t="n"/>
      <c r="T79" s="76" t="n"/>
      <c r="U79" s="76" t="n"/>
      <c r="V79" s="76" t="n"/>
      <c r="W79" s="140" t="inlineStr">
        <is>
          <t xml:space="preserve">.   .   .   .   .   .   .   .   .   .   .   .   .   .   .   .  </t>
        </is>
      </c>
      <c r="X79" s="884" t="n">
        <v>10</v>
      </c>
      <c r="Y79" s="8766">
        <f>IF(B78,K78,IF(B79,K79,IF(B80,K80,"")))</f>
        <v/>
      </c>
      <c r="Z79" s="645" t="n"/>
      <c r="AA79" s="645" t="n"/>
      <c r="AB79" s="645" t="n"/>
      <c r="AC79" s="139" t="n"/>
      <c r="AD79" s="110" t="n"/>
      <c r="AE79" s="139" t="n"/>
    </row>
    <row r="80" ht="12" customHeight="1" s="7635">
      <c r="A80" s="139" t="n"/>
      <c r="B80" s="889">
        <f>OR(AA49&lt;&gt;"",AA52&lt;&gt;"")</f>
        <v/>
      </c>
      <c r="C80" s="221" t="inlineStr">
        <is>
          <t>Box 8 or 9</t>
        </is>
      </c>
      <c r="D80" s="886" t="n"/>
      <c r="E80" s="886" t="n"/>
      <c r="F80" s="886" t="n"/>
      <c r="G80" s="886" t="n"/>
      <c r="H80" s="886" t="n"/>
      <c r="I80" s="886" t="n"/>
      <c r="J80" s="140" t="inlineStr">
        <is>
          <t xml:space="preserve">.   .   .   .   .   .   .   .   .   .   .   .   .   .   .   .   .  </t>
        </is>
      </c>
      <c r="K80" s="12197" t="n">
        <v>3750</v>
      </c>
      <c r="L80" s="26" t="n"/>
      <c r="M80" s="26" t="n"/>
      <c r="N80" s="885" t="n"/>
      <c r="O80" s="473" t="n"/>
      <c r="P80" s="473" t="n"/>
      <c r="Q80" s="887" t="n"/>
      <c r="R80" s="883" t="n"/>
      <c r="S80" s="361" t="n"/>
      <c r="T80" s="361" t="n"/>
      <c r="U80" s="361" t="n"/>
      <c r="V80" s="513" t="n"/>
      <c r="W80" s="513" t="n"/>
      <c r="X80" s="1625" t="n"/>
      <c r="Y80" s="217" t="n"/>
      <c r="Z80" s="79">
        <f>IF(AND(U80&lt;&gt;"",X80&lt;&gt;""),"Check ONLY one.","")</f>
        <v/>
      </c>
      <c r="AA80" s="217" t="n"/>
      <c r="AB80" s="217" t="n"/>
      <c r="AC80" s="139" t="n"/>
      <c r="AD80" s="110" t="n"/>
      <c r="AE80" s="139" t="n"/>
    </row>
    <row r="81" ht="4.5" customHeight="1" s="7635" thickBot="1">
      <c r="A81" s="139" t="n"/>
      <c r="B81" s="76" t="n"/>
      <c r="C81" s="76" t="n"/>
      <c r="D81" s="886" t="n"/>
      <c r="E81" s="886" t="n"/>
      <c r="F81" s="886" t="n"/>
      <c r="G81" s="886" t="n"/>
      <c r="H81" s="886" t="n"/>
      <c r="I81" s="886" t="n"/>
      <c r="J81" s="886" t="n"/>
      <c r="K81" s="886" t="n"/>
      <c r="L81" s="886" t="n"/>
      <c r="M81" s="886" t="n"/>
      <c r="N81" s="886" t="n"/>
      <c r="O81" s="886" t="n"/>
      <c r="P81" s="887" t="n"/>
      <c r="Q81" s="887" t="n"/>
      <c r="R81" s="887" t="n"/>
      <c r="S81" s="886" t="n"/>
      <c r="T81" s="886" t="n"/>
      <c r="U81" s="886" t="n"/>
      <c r="V81" s="886" t="n"/>
      <c r="W81" s="886" t="n"/>
      <c r="X81" s="1625" t="n"/>
      <c r="Y81" s="217" t="n"/>
      <c r="Z81" s="79">
        <f>IF(AND(U81&lt;&gt;"",X81&lt;&gt;""),"Check ONLY one.","")</f>
        <v/>
      </c>
      <c r="AA81" s="217" t="n"/>
      <c r="AB81" s="217" t="n"/>
      <c r="AC81" s="139" t="n"/>
      <c r="AD81" s="110" t="n"/>
      <c r="AE81" s="139" t="n"/>
    </row>
    <row r="82" ht="5.25" customHeight="1" s="7635" thickTop="1">
      <c r="A82" s="139" t="n"/>
      <c r="B82" s="76" t="n"/>
      <c r="C82" s="216" t="n"/>
      <c r="D82" s="1439" t="n"/>
      <c r="E82" s="886" t="n"/>
      <c r="F82" s="886" t="n"/>
      <c r="G82" s="886" t="n"/>
      <c r="H82" s="886" t="n"/>
      <c r="I82" s="886" t="n"/>
      <c r="J82" s="886" t="n"/>
      <c r="K82" s="881" t="n"/>
      <c r="L82" s="882" t="n"/>
      <c r="M82" s="885" t="n"/>
      <c r="N82" s="885" t="n"/>
      <c r="O82" s="473" t="n"/>
      <c r="P82" s="473" t="n"/>
      <c r="Q82" s="887" t="n"/>
      <c r="R82" s="883" t="n"/>
      <c r="S82" s="361" t="n"/>
      <c r="T82" s="361" t="n"/>
      <c r="U82" s="361" t="n"/>
      <c r="V82" s="513" t="n"/>
      <c r="W82" s="513" t="n"/>
      <c r="X82" s="1625" t="n"/>
      <c r="Y82" s="217" t="n"/>
      <c r="Z82" s="79">
        <f>IF(AND(U82&lt;&gt;"",X82&lt;&gt;""),"Check ONLY one.","")</f>
        <v/>
      </c>
      <c r="AA82" s="217" t="n"/>
      <c r="AB82" s="217" t="n"/>
      <c r="AC82" s="139" t="n"/>
      <c r="AD82" s="110" t="n"/>
      <c r="AE82" s="139" t="n"/>
    </row>
    <row r="83" ht="12" customHeight="1" s="7635">
      <c r="A83" s="139" t="n"/>
      <c r="B83" s="76" t="n"/>
      <c r="C83" s="1440" t="inlineStr">
        <is>
          <t xml:space="preserve"> Did you check</t>
        </is>
      </c>
      <c r="D83" s="1441" t="n"/>
      <c r="E83" s="217" t="inlineStr">
        <is>
          <t>—————</t>
        </is>
      </c>
      <c r="F83" s="8776" t="inlineStr">
        <is>
          <t>Yes</t>
        </is>
      </c>
      <c r="G83" s="26" t="n"/>
      <c r="H83" s="217" t="inlineStr">
        <is>
          <t>——————————</t>
        </is>
      </c>
      <c r="I83" s="886" t="n"/>
      <c r="J83" s="886" t="n"/>
      <c r="K83" s="886" t="n"/>
      <c r="L83" s="886" t="inlineStr">
        <is>
          <t>You must complete line 11.</t>
        </is>
      </c>
      <c r="M83" s="886" t="n"/>
      <c r="N83" s="886" t="n"/>
      <c r="O83" s="886" t="n"/>
      <c r="P83" s="887" t="n"/>
      <c r="Q83" s="887" t="n"/>
      <c r="R83" s="887" t="n"/>
      <c r="S83" s="886" t="n"/>
      <c r="T83" s="886" t="n"/>
      <c r="U83" s="886" t="n"/>
      <c r="V83" s="886" t="n"/>
      <c r="W83" s="886" t="n"/>
      <c r="X83" s="1625" t="n"/>
      <c r="Y83" s="217" t="n"/>
      <c r="Z83" s="79">
        <f>IF(AND(U83&lt;&gt;"",X83&lt;&gt;""),"Check ONLY one.","")</f>
        <v/>
      </c>
      <c r="AA83" s="217" t="n"/>
      <c r="AB83" s="217" t="n"/>
      <c r="AC83" s="139" t="n"/>
      <c r="AD83" s="110" t="n"/>
      <c r="AE83" s="139" t="n"/>
    </row>
    <row r="84" ht="12" customHeight="1" s="7635">
      <c r="A84" s="139" t="n"/>
      <c r="B84" s="889">
        <f>OR(AA31&lt;&gt;"",AA37&lt;&gt;"",AA40&lt;&gt;"",AA43&lt;&gt;"",AA52&lt;&gt;"")</f>
        <v/>
      </c>
      <c r="C84" s="1440" t="inlineStr">
        <is>
          <t xml:space="preserve"> box 2, 4, 5, 6,</t>
        </is>
      </c>
      <c r="D84" s="1441" t="n"/>
      <c r="E84" s="886" t="n"/>
      <c r="F84" s="886" t="n"/>
      <c r="G84" s="886" t="n"/>
      <c r="H84" s="886" t="n"/>
      <c r="I84" s="886" t="n"/>
      <c r="J84" s="886" t="n"/>
      <c r="K84" s="886" t="n"/>
      <c r="L84" s="886" t="n"/>
      <c r="M84" s="886" t="n"/>
      <c r="N84" s="886" t="n"/>
      <c r="O84" s="886" t="n"/>
      <c r="P84" s="887" t="n"/>
      <c r="Q84" s="887" t="n"/>
      <c r="R84" s="887" t="n"/>
      <c r="S84" s="886" t="n"/>
      <c r="T84" s="886" t="n"/>
      <c r="U84" s="886" t="n"/>
      <c r="V84" s="886" t="n"/>
      <c r="W84" s="886" t="n"/>
      <c r="X84" s="1625" t="n"/>
      <c r="Y84" s="217" t="n"/>
      <c r="Z84" s="79" t="n"/>
      <c r="AA84" s="217" t="n"/>
      <c r="AB84" s="217" t="n"/>
      <c r="AC84" s="139" t="n"/>
      <c r="AD84" s="110" t="n"/>
      <c r="AE84" s="139" t="n"/>
    </row>
    <row r="85" ht="12" customHeight="1" s="7635">
      <c r="A85" s="139" t="n"/>
      <c r="B85" s="76" t="n"/>
      <c r="C85" s="1440" t="inlineStr">
        <is>
          <t xml:space="preserve"> or 9 in Part I?</t>
        </is>
      </c>
      <c r="D85" s="1441" t="n"/>
      <c r="E85" s="217" t="inlineStr">
        <is>
          <t>—————</t>
        </is>
      </c>
      <c r="F85" s="8776" t="inlineStr">
        <is>
          <t>No</t>
        </is>
      </c>
      <c r="G85" s="26" t="n"/>
      <c r="H85" s="217" t="inlineStr">
        <is>
          <t>——————————</t>
        </is>
      </c>
      <c r="I85" s="886" t="n"/>
      <c r="J85" s="886" t="n"/>
      <c r="K85" s="886" t="n"/>
      <c r="L85" s="886" t="inlineStr">
        <is>
          <t>Enter the amount from line 10 on line 12 and</t>
        </is>
      </c>
      <c r="M85" s="886" t="n"/>
      <c r="N85" s="886" t="n"/>
      <c r="O85" s="886" t="n"/>
      <c r="P85" s="886" t="n"/>
      <c r="Q85" s="886" t="n"/>
      <c r="R85" s="887" t="n"/>
      <c r="S85" s="883" t="n"/>
      <c r="T85" s="361" t="n"/>
      <c r="U85" s="361" t="n"/>
      <c r="V85" s="513" t="n"/>
      <c r="W85" s="883" t="n"/>
      <c r="X85" s="1625" t="n"/>
      <c r="Y85" s="217" t="n"/>
      <c r="Z85" s="79">
        <f>IF(AND(U85&lt;&gt;"",X85&lt;&gt;""),"Check ONLY one.","")</f>
        <v/>
      </c>
      <c r="AA85" s="217" t="n"/>
      <c r="AB85" s="217" t="n"/>
      <c r="AC85" s="139" t="n"/>
      <c r="AD85" s="110" t="n"/>
      <c r="AE85" s="139" t="n"/>
    </row>
    <row r="86" ht="6" customHeight="1" s="7635" thickBot="1">
      <c r="A86" s="139" t="n"/>
      <c r="B86" s="76" t="n"/>
      <c r="C86" s="1442" t="n"/>
      <c r="D86" s="1443" t="n"/>
      <c r="E86" s="886" t="n"/>
      <c r="F86" s="886" t="n"/>
      <c r="G86" s="886" t="n"/>
      <c r="H86" s="886" t="n"/>
      <c r="I86" s="886" t="n"/>
      <c r="J86" s="886" t="n"/>
      <c r="K86" s="886" t="n"/>
      <c r="L86" s="8777" t="inlineStr">
        <is>
          <t>go to line 13.</t>
        </is>
      </c>
      <c r="M86" s="26" t="n"/>
      <c r="N86" s="26" t="n"/>
      <c r="O86" s="26" t="n"/>
      <c r="P86" s="26" t="n"/>
      <c r="Q86" s="26" t="n"/>
      <c r="R86" s="26" t="n"/>
      <c r="S86" s="886" t="n"/>
      <c r="T86" s="886" t="n"/>
      <c r="U86" s="886" t="n"/>
      <c r="V86" s="886" t="n"/>
      <c r="W86" s="886" t="n"/>
      <c r="X86" s="1625" t="n"/>
      <c r="Y86" s="217" t="n"/>
      <c r="Z86" s="217" t="n"/>
      <c r="AA86" s="217" t="n"/>
      <c r="AB86" s="217" t="n"/>
      <c r="AC86" s="139" t="n"/>
      <c r="AD86" s="110" t="n"/>
      <c r="AE86" s="139" t="n"/>
    </row>
    <row r="87" ht="6.75" customHeight="1" s="7635" thickTop="1">
      <c r="A87" s="139" t="n"/>
      <c r="B87" s="76" t="n"/>
      <c r="C87" s="76" t="n"/>
      <c r="D87" s="886" t="n"/>
      <c r="E87" s="886" t="n"/>
      <c r="F87" s="886" t="n"/>
      <c r="G87" s="886" t="n"/>
      <c r="H87" s="886" t="n"/>
      <c r="I87" s="886" t="n"/>
      <c r="J87" s="886" t="n"/>
      <c r="K87" s="883" t="n"/>
      <c r="L87" s="26" t="n"/>
      <c r="M87" s="26" t="n"/>
      <c r="N87" s="26" t="n"/>
      <c r="O87" s="26" t="n"/>
      <c r="P87" s="26" t="n"/>
      <c r="Q87" s="26" t="n"/>
      <c r="R87" s="26" t="n"/>
      <c r="S87" s="361" t="n"/>
      <c r="T87" s="361" t="n"/>
      <c r="U87" s="361" t="n"/>
      <c r="V87" s="513" t="n"/>
      <c r="W87" s="513" t="n"/>
      <c r="X87" s="1625" t="n"/>
      <c r="Y87" s="217" t="n"/>
      <c r="Z87" s="79">
        <f>IF(AND(U87&lt;&gt;"",X87&lt;&gt;""),"Check ONLY one.","")</f>
        <v/>
      </c>
      <c r="AA87" s="217" t="n"/>
      <c r="AB87" s="217" t="n"/>
      <c r="AC87" s="139" t="n"/>
      <c r="AD87" s="110" t="n"/>
      <c r="AE87" s="139" t="n"/>
    </row>
    <row r="88" ht="12" customHeight="1" s="7635">
      <c r="A88" s="139" t="n"/>
      <c r="B88" s="75" t="n">
        <v>11</v>
      </c>
      <c r="C88" s="17" t="inlineStr">
        <is>
          <t>If you checked (in Part I):</t>
        </is>
      </c>
      <c r="D88" s="888" t="n"/>
      <c r="E88" s="888" t="n"/>
      <c r="F88" s="888" t="n"/>
      <c r="G88" s="888" t="n"/>
      <c r="H88" s="888" t="n"/>
      <c r="I88" s="888" t="n"/>
      <c r="J88" s="888" t="n"/>
      <c r="K88" s="888" t="n"/>
      <c r="L88" s="888" t="n"/>
      <c r="M88" s="888" t="n"/>
      <c r="N88" s="888" t="n"/>
      <c r="O88" s="888" t="n"/>
      <c r="P88" s="888" t="n"/>
      <c r="Q88" s="888" t="n"/>
      <c r="R88" s="888" t="n"/>
      <c r="S88" s="888" t="n"/>
      <c r="T88" s="888" t="n"/>
      <c r="U88" s="888" t="n"/>
      <c r="V88" s="888" t="n"/>
      <c r="W88" s="888" t="n"/>
      <c r="X88" s="1625" t="n"/>
      <c r="Y88" s="96" t="n"/>
      <c r="Z88" s="96" t="n"/>
      <c r="AA88" s="96" t="n"/>
      <c r="AB88" s="96" t="n"/>
      <c r="AC88" s="139" t="n"/>
      <c r="AD88" s="110" t="n"/>
      <c r="AE88" s="139" t="n"/>
    </row>
    <row r="89" ht="12" customHeight="1" s="7635">
      <c r="A89" s="139" t="n"/>
      <c r="B89" s="889">
        <f>AA43&lt;&gt;""</f>
        <v/>
      </c>
      <c r="C89" s="890" t="inlineStr">
        <is>
          <t xml:space="preserve">• </t>
        </is>
      </c>
      <c r="D89" s="790">
        <f>"Box 6, add "&amp;TEXT(K78,"$0,000")&amp;" to the taxable disability income of the"</f>
        <v/>
      </c>
      <c r="E89" s="887" t="n"/>
      <c r="F89" s="887" t="n"/>
      <c r="G89" s="887" t="n"/>
      <c r="H89" s="887" t="n"/>
      <c r="I89" s="887" t="n"/>
      <c r="J89" s="887" t="n"/>
      <c r="K89" s="887" t="n"/>
      <c r="L89" s="887" t="n"/>
      <c r="M89" s="887" t="n"/>
      <c r="N89" s="887" t="n"/>
      <c r="O89" s="887" t="n"/>
      <c r="P89" s="887" t="n"/>
      <c r="Q89" s="887" t="n"/>
      <c r="R89" s="887" t="n"/>
      <c r="S89" s="887" t="n"/>
      <c r="T89" s="887" t="n"/>
      <c r="U89" s="887" t="n"/>
      <c r="V89" s="887" t="n"/>
      <c r="W89" s="883" t="n"/>
      <c r="X89" s="1625" t="n"/>
      <c r="Y89" s="217" t="n"/>
      <c r="Z89" s="79">
        <f>IF(AND(U89&lt;&gt;"",X89&lt;&gt;""),"Check ONLY one.","")</f>
        <v/>
      </c>
      <c r="AA89" s="217" t="n"/>
      <c r="AB89" s="217" t="n"/>
      <c r="AC89" s="139" t="n"/>
      <c r="AD89" s="110" t="n"/>
      <c r="AE89" s="139" t="n"/>
    </row>
    <row r="90" ht="12" customHeight="1" s="7635">
      <c r="A90" s="139" t="n"/>
      <c r="B90" s="76" t="n"/>
      <c r="C90" s="106" t="n"/>
      <c r="D90" s="790" t="inlineStr">
        <is>
          <t>spouse who was under age 65. Enter the total.</t>
        </is>
      </c>
      <c r="E90" s="888" t="n"/>
      <c r="F90" s="888" t="n"/>
      <c r="G90" s="888" t="n"/>
      <c r="H90" s="888" t="n"/>
      <c r="I90" s="888" t="n"/>
      <c r="J90" s="888" t="n"/>
      <c r="K90" s="888" t="n"/>
      <c r="L90" s="888" t="n"/>
      <c r="M90" s="888" t="n"/>
      <c r="N90" s="888" t="n"/>
      <c r="O90" s="888" t="n"/>
      <c r="P90" s="888" t="n"/>
      <c r="Q90" s="888" t="n"/>
      <c r="R90" s="888" t="n"/>
      <c r="S90" s="888" t="n"/>
      <c r="T90" s="888" t="n"/>
      <c r="U90" s="888" t="n"/>
      <c r="V90" s="888" t="n"/>
      <c r="W90" s="888" t="n"/>
      <c r="X90" s="1625" t="n"/>
      <c r="Y90" s="96" t="n"/>
      <c r="Z90" s="96" t="n"/>
      <c r="AA90" s="96" t="n"/>
      <c r="AB90" s="96" t="n"/>
      <c r="AC90" s="139" t="n"/>
      <c r="AD90" s="110" t="n"/>
      <c r="AE90" s="139" t="n"/>
    </row>
    <row r="91" ht="12" customHeight="1" s="7635">
      <c r="A91" s="139" t="n"/>
      <c r="B91" s="889">
        <f>OR(AA31&lt;&gt;"",AA37&lt;&gt;"",AA52&lt;&gt;"")</f>
        <v/>
      </c>
      <c r="C91" s="890" t="inlineStr">
        <is>
          <t xml:space="preserve">• </t>
        </is>
      </c>
      <c r="D91" s="790" t="inlineStr">
        <is>
          <t>Box 2, 4, or 9, enter your taxable disability income.</t>
        </is>
      </c>
      <c r="E91" s="887" t="n"/>
      <c r="F91" s="887" t="n"/>
      <c r="G91" s="887" t="n"/>
      <c r="H91" s="887" t="n"/>
      <c r="I91" s="887" t="n"/>
      <c r="J91" s="887" t="n"/>
      <c r="K91" s="887" t="n"/>
      <c r="L91" s="887" t="n"/>
      <c r="M91" s="887" t="n"/>
      <c r="N91" s="887" t="n"/>
      <c r="O91" s="887" t="n"/>
      <c r="P91" s="887" t="n"/>
      <c r="Q91" s="887" t="n"/>
      <c r="R91" s="887" t="n"/>
      <c r="S91" s="887" t="n"/>
      <c r="T91" s="887" t="n"/>
      <c r="U91" s="887" t="n"/>
      <c r="V91" s="887" t="n"/>
      <c r="W91" s="140" t="inlineStr">
        <is>
          <t xml:space="preserve">.   .   .   .   .   .   .   .   .   .   .   .   .   .   .   .   .   .  </t>
        </is>
      </c>
      <c r="X91" s="884" t="n">
        <v>11</v>
      </c>
      <c r="Y91" s="8766">
        <f>IF(AD91&lt;&gt;"",ROUND(AD91,0),IF(AND(B89,I12),SUM(K78,F10),IF(AND(B89,P12),SUM(K78,J10),IF(AND(B91,I12),F10,IF(AND(B91,P12),J10,IF(B92,SUM(F10,J10),""))))))</f>
        <v/>
      </c>
      <c r="Z91" s="645" t="n"/>
      <c r="AA91" s="645" t="n"/>
      <c r="AB91" s="645" t="n"/>
      <c r="AC91" s="139" t="n"/>
      <c r="AD91" s="933" t="n"/>
      <c r="AE91" s="139" t="n"/>
    </row>
    <row r="92" ht="12" customHeight="1" s="7635">
      <c r="A92" s="139" t="n"/>
      <c r="B92" s="889">
        <f>AA40&lt;&gt;""</f>
        <v/>
      </c>
      <c r="C92" s="890" t="inlineStr">
        <is>
          <t xml:space="preserve">• </t>
        </is>
      </c>
      <c r="D92" s="790" t="inlineStr">
        <is>
          <t>Box 5, add your taxable disability income to your spouse’s</t>
        </is>
      </c>
      <c r="E92" s="888" t="n"/>
      <c r="F92" s="888" t="n"/>
      <c r="G92" s="888" t="n"/>
      <c r="H92" s="888" t="n"/>
      <c r="I92" s="888" t="n"/>
      <c r="J92" s="888" t="n"/>
      <c r="K92" s="888" t="n"/>
      <c r="L92" s="888" t="n"/>
      <c r="M92" s="888" t="n"/>
      <c r="N92" s="888" t="n"/>
      <c r="O92" s="888" t="n"/>
      <c r="P92" s="888" t="n"/>
      <c r="Q92" s="888" t="n"/>
      <c r="R92" s="888" t="n"/>
      <c r="S92" s="888" t="n"/>
      <c r="T92" s="888" t="n"/>
      <c r="U92" s="888" t="n"/>
      <c r="V92" s="888" t="n"/>
      <c r="W92" s="888" t="n"/>
      <c r="X92" s="1625" t="n"/>
      <c r="Y92" s="96" t="n"/>
      <c r="Z92" s="96" t="n"/>
      <c r="AA92" s="96" t="n"/>
      <c r="AB92" s="96" t="n"/>
      <c r="AC92" s="139" t="n"/>
      <c r="AD92" s="110" t="n"/>
      <c r="AE92" s="139" t="n"/>
    </row>
    <row r="93" ht="12" customHeight="1" s="7635">
      <c r="A93" s="139" t="n"/>
      <c r="B93" s="889">
        <f>OR(B89,B91,B92)</f>
        <v/>
      </c>
      <c r="C93" s="76" t="n"/>
      <c r="D93" s="790" t="inlineStr">
        <is>
          <t>taxable disability income. Enter the total.</t>
        </is>
      </c>
      <c r="E93" s="887" t="n"/>
      <c r="F93" s="887" t="n"/>
      <c r="G93" s="887" t="n"/>
      <c r="H93" s="887" t="n"/>
      <c r="I93" s="887" t="n"/>
      <c r="J93" s="887" t="n"/>
      <c r="K93" s="887" t="n"/>
      <c r="L93" s="887" t="n"/>
      <c r="M93" s="887" t="n"/>
      <c r="N93" s="887" t="n"/>
      <c r="O93" s="887" t="n"/>
      <c r="P93" s="887" t="n"/>
      <c r="Q93" s="887" t="n"/>
      <c r="R93" s="887" t="n"/>
      <c r="S93" s="887" t="n"/>
      <c r="T93" s="887" t="n"/>
      <c r="U93" s="887" t="n"/>
      <c r="V93" s="887" t="n"/>
      <c r="W93" s="883" t="n"/>
      <c r="X93" s="1625" t="n"/>
      <c r="Y93" s="96" t="n"/>
      <c r="Z93" s="96" t="n"/>
      <c r="AA93" s="96" t="n"/>
      <c r="AB93" s="96" t="n"/>
      <c r="AC93" s="139" t="n"/>
      <c r="AD93" s="110" t="n"/>
      <c r="AE93" s="139" t="n"/>
    </row>
    <row r="94" ht="6.75" customHeight="1" s="7635">
      <c r="A94" s="139" t="n"/>
      <c r="B94" s="888" t="n"/>
      <c r="C94" s="888" t="n"/>
      <c r="D94" s="888" t="n"/>
      <c r="E94" s="888" t="n"/>
      <c r="F94" s="888" t="n"/>
      <c r="G94" s="888" t="n"/>
      <c r="H94" s="888" t="n"/>
      <c r="I94" s="888" t="n"/>
      <c r="J94" s="888" t="n"/>
      <c r="K94" s="888" t="n"/>
      <c r="L94" s="888" t="n"/>
      <c r="M94" s="888" t="n"/>
      <c r="N94" s="888" t="n"/>
      <c r="O94" s="888" t="n"/>
      <c r="P94" s="888" t="n"/>
      <c r="Q94" s="888" t="n"/>
      <c r="R94" s="888" t="n"/>
      <c r="S94" s="888" t="n"/>
      <c r="T94" s="888" t="n"/>
      <c r="U94" s="888" t="n"/>
      <c r="V94" s="888" t="n"/>
      <c r="W94" s="888" t="n"/>
      <c r="X94" s="1625" t="n"/>
      <c r="Y94" s="96" t="n"/>
      <c r="Z94" s="96" t="n"/>
      <c r="AA94" s="96" t="n"/>
      <c r="AB94" s="96" t="n"/>
      <c r="AC94" s="139" t="n"/>
      <c r="AD94" s="110" t="n"/>
      <c r="AE94" s="139" t="n"/>
    </row>
    <row r="95" ht="12" customHeight="1" s="7635">
      <c r="A95" s="139" t="n"/>
      <c r="B95" s="75" t="n"/>
      <c r="C95" s="76" t="n"/>
      <c r="D95" s="953" t="inlineStr">
        <is>
          <t>For more details on what to include on line 11, see Figure Your Credit in the instructions.</t>
        </is>
      </c>
      <c r="E95" s="76" t="n"/>
      <c r="F95" s="76" t="n"/>
      <c r="G95" s="76" t="n"/>
      <c r="H95" s="76" t="n"/>
      <c r="I95" s="76" t="n"/>
      <c r="J95" s="76" t="n"/>
      <c r="K95" s="76" t="n"/>
      <c r="L95" s="76" t="n"/>
      <c r="M95" s="76" t="n"/>
      <c r="N95" s="76" t="n"/>
      <c r="O95" s="76" t="n"/>
      <c r="P95" s="76" t="n"/>
      <c r="Q95" s="76" t="n"/>
      <c r="R95" s="76" t="n"/>
      <c r="S95" s="76" t="n"/>
      <c r="T95" s="76" t="n"/>
      <c r="U95" s="76" t="n"/>
      <c r="V95" s="76" t="n"/>
      <c r="W95" s="140" t="n"/>
      <c r="X95" s="1625" t="n"/>
      <c r="Y95" s="96" t="n"/>
      <c r="Z95" s="96" t="n"/>
      <c r="AA95" s="96" t="n"/>
      <c r="AB95" s="96" t="n"/>
      <c r="AC95" s="139" t="n"/>
      <c r="AD95" s="110" t="n"/>
      <c r="AE95" s="139" t="n"/>
    </row>
    <row r="96" ht="6.75" customHeight="1" s="7635">
      <c r="A96" s="139" t="n"/>
      <c r="B96" s="96" t="n"/>
      <c r="C96" s="96" t="n"/>
      <c r="D96" s="96" t="n"/>
      <c r="E96" s="96" t="n"/>
      <c r="F96" s="96" t="n"/>
      <c r="G96" s="96" t="n"/>
      <c r="H96" s="96" t="n"/>
      <c r="I96" s="96" t="n"/>
      <c r="J96" s="96" t="n"/>
      <c r="K96" s="96" t="n"/>
      <c r="L96" s="96" t="n"/>
      <c r="M96" s="96" t="n"/>
      <c r="N96" s="96" t="n"/>
      <c r="O96" s="96" t="n"/>
      <c r="P96" s="96" t="n"/>
      <c r="Q96" s="96" t="n"/>
      <c r="R96" s="96" t="n"/>
      <c r="S96" s="96" t="n"/>
      <c r="T96" s="96" t="n"/>
      <c r="U96" s="96" t="n"/>
      <c r="V96" s="96" t="n"/>
      <c r="W96" s="96" t="n"/>
      <c r="X96" s="1625" t="n"/>
      <c r="Y96" s="96" t="n"/>
      <c r="Z96" s="96" t="n"/>
      <c r="AA96" s="96" t="n"/>
      <c r="AB96" s="96" t="n"/>
      <c r="AC96" s="139" t="n"/>
      <c r="AD96" s="110" t="n"/>
      <c r="AE96" s="139" t="n"/>
    </row>
    <row r="97" ht="12" customHeight="1" s="7635">
      <c r="A97" s="139" t="n"/>
      <c r="B97" s="75" t="n">
        <v>12</v>
      </c>
      <c r="C97" s="221" t="inlineStr">
        <is>
          <t>If you completed line 11, enter the smaller of line 10 or line 11. All others, enter the</t>
        </is>
      </c>
      <c r="D97" s="76" t="n"/>
      <c r="E97" s="76" t="n"/>
      <c r="F97" s="76" t="n"/>
      <c r="G97" s="76" t="n"/>
      <c r="H97" s="76" t="n"/>
      <c r="I97" s="76" t="n"/>
      <c r="J97" s="76" t="n"/>
      <c r="K97" s="76" t="n"/>
      <c r="L97" s="76" t="n"/>
      <c r="M97" s="76" t="n"/>
      <c r="N97" s="76" t="n"/>
      <c r="O97" s="76" t="n"/>
      <c r="P97" s="76" t="n"/>
      <c r="Q97" s="76" t="n"/>
      <c r="R97" s="96" t="n"/>
      <c r="S97" s="96" t="n"/>
      <c r="T97" s="96" t="n"/>
      <c r="U97" s="96" t="n"/>
      <c r="V97" s="96" t="n"/>
      <c r="W97" s="96" t="n"/>
      <c r="X97" s="1625" t="n"/>
      <c r="Y97" s="96" t="n"/>
      <c r="Z97" s="96" t="n"/>
      <c r="AA97" s="96" t="n"/>
      <c r="AB97" s="96" t="n"/>
      <c r="AC97" s="139" t="n"/>
      <c r="AD97" s="110" t="n"/>
      <c r="AE97" s="139" t="n"/>
    </row>
    <row r="98" ht="12" customHeight="1" s="7635">
      <c r="A98" s="139" t="n"/>
      <c r="B98" s="75" t="n"/>
      <c r="C98" s="323" t="inlineStr">
        <is>
          <t>amount from line 10</t>
        </is>
      </c>
      <c r="D98" s="217" t="n"/>
      <c r="E98" s="217" t="n"/>
      <c r="F98" s="217" t="n"/>
      <c r="G98" s="217" t="n"/>
      <c r="H98" s="217" t="n"/>
      <c r="I98" s="217" t="n"/>
      <c r="J98" s="217" t="n"/>
      <c r="K98" s="217" t="n"/>
      <c r="L98" s="217" t="n"/>
      <c r="M98" s="217" t="n"/>
      <c r="N98" s="217" t="n"/>
      <c r="O98" s="217" t="n"/>
      <c r="P98" s="217" t="n"/>
      <c r="Q98" s="217" t="n"/>
      <c r="R98" s="96" t="n"/>
      <c r="S98" s="96" t="n"/>
      <c r="T98" s="96" t="n"/>
      <c r="U98" s="96" t="n"/>
      <c r="V98" s="96" t="n"/>
      <c r="W98" s="140" t="inlineStr">
        <is>
          <t xml:space="preserve">.   .   .   .   .   .   .   .   .   .   .   .   .   .   .   .   .   .   .   .   .   .   .   .   .   .   .   .   .   .   .   .   .   .  </t>
        </is>
      </c>
      <c r="X98" s="884" t="n">
        <v>12</v>
      </c>
      <c r="Y98" s="8766">
        <f>IF(B93,MIN(Y79,Y91),Y79)</f>
        <v/>
      </c>
      <c r="Z98" s="645" t="n"/>
      <c r="AA98" s="645" t="n"/>
      <c r="AB98" s="645" t="n"/>
      <c r="AC98" s="139" t="n"/>
      <c r="AD98" s="933" t="n"/>
      <c r="AE98" s="139" t="n"/>
    </row>
    <row r="99" ht="12" customHeight="1" s="7635">
      <c r="A99" s="139" t="n"/>
      <c r="B99" s="75" t="n">
        <v>13</v>
      </c>
      <c r="C99" s="221" t="inlineStr">
        <is>
          <t>Enter the following pensions, annuities, or disability income that you</t>
        </is>
      </c>
      <c r="D99" s="76" t="n"/>
      <c r="E99" s="76" t="n"/>
      <c r="F99" s="76" t="n"/>
      <c r="G99" s="76" t="n"/>
      <c r="H99" s="76" t="n"/>
      <c r="I99" s="76" t="n"/>
      <c r="J99" s="76" t="n"/>
      <c r="K99" s="76" t="n"/>
      <c r="L99" s="76" t="n"/>
      <c r="M99" s="76" t="n"/>
      <c r="N99" s="76" t="n"/>
      <c r="O99" s="76" t="n"/>
      <c r="P99" s="76" t="n"/>
      <c r="Q99" s="76" t="n"/>
      <c r="R99" s="96" t="n"/>
      <c r="S99" s="1298" t="n"/>
      <c r="T99" s="96" t="n"/>
      <c r="U99" s="96" t="n"/>
      <c r="V99" s="96" t="n"/>
      <c r="W99" s="96" t="n"/>
      <c r="X99" s="1625" t="n"/>
      <c r="Y99" s="96" t="n"/>
      <c r="Z99" s="96" t="n"/>
      <c r="AA99" s="96" t="n"/>
      <c r="AB99" s="96" t="n"/>
      <c r="AC99" s="139" t="n"/>
      <c r="AD99" s="110" t="n"/>
      <c r="AE99" s="139" t="n"/>
    </row>
    <row r="100" ht="12" customHeight="1" s="7635">
      <c r="A100" s="139" t="n"/>
      <c r="B100" s="75" t="n"/>
      <c r="C100" s="323">
        <f>"(and your spouse if filing jointly) received in "&amp;TaxYear&amp;"."</f>
        <v/>
      </c>
      <c r="D100" s="217" t="n"/>
      <c r="E100" s="217" t="n"/>
      <c r="F100" s="217" t="n"/>
      <c r="G100" s="217" t="n"/>
      <c r="H100" s="217" t="n"/>
      <c r="I100" s="217" t="n"/>
      <c r="J100" s="217" t="n"/>
      <c r="K100" s="217" t="n"/>
      <c r="L100" s="217" t="n"/>
      <c r="M100" s="217" t="n"/>
      <c r="N100" s="217" t="n"/>
      <c r="O100" s="217" t="n"/>
      <c r="P100" s="217" t="n"/>
      <c r="Q100" s="217" t="n"/>
      <c r="R100" s="369" t="n"/>
      <c r="S100" s="1298" t="n"/>
      <c r="T100" s="96" t="n"/>
      <c r="U100" s="96" t="n"/>
      <c r="V100" s="96" t="n"/>
      <c r="W100" s="96" t="n"/>
      <c r="X100" s="1625" t="n"/>
      <c r="Y100" s="96" t="n"/>
      <c r="Z100" s="96" t="n"/>
      <c r="AA100" s="96" t="n"/>
      <c r="AB100" s="96" t="n"/>
      <c r="AC100" s="139" t="n"/>
      <c r="AD100" s="110" t="n"/>
      <c r="AE100" s="139" t="n"/>
    </row>
    <row r="101" ht="12" customHeight="1" s="7635">
      <c r="A101" s="139" t="n"/>
      <c r="B101" s="133" t="inlineStr">
        <is>
          <t>a</t>
        </is>
      </c>
      <c r="C101" s="221" t="inlineStr">
        <is>
          <t>Nontaxable part of social security benefits and nontaxable part of</t>
        </is>
      </c>
      <c r="D101" s="76" t="n"/>
      <c r="E101" s="76" t="n"/>
      <c r="F101" s="76" t="n"/>
      <c r="G101" s="76" t="n"/>
      <c r="H101" s="76" t="n"/>
      <c r="I101" s="76" t="n"/>
      <c r="J101" s="76" t="n"/>
      <c r="K101" s="76" t="n"/>
      <c r="L101" s="76" t="n"/>
      <c r="M101" s="76" t="n"/>
      <c r="N101" s="76" t="n"/>
      <c r="O101" s="76" t="n"/>
      <c r="P101" s="76" t="n"/>
      <c r="Q101" s="76" t="n"/>
      <c r="R101" s="76" t="n"/>
      <c r="S101" s="1298" t="n"/>
      <c r="T101" s="96" t="n"/>
      <c r="U101" s="96" t="n"/>
      <c r="V101" s="96" t="n"/>
      <c r="W101" s="96" t="n"/>
      <c r="X101" s="1625" t="n"/>
      <c r="Y101" s="96" t="n"/>
      <c r="Z101" s="96" t="n"/>
      <c r="AA101" s="96" t="n"/>
      <c r="AB101" s="96" t="n"/>
      <c r="AC101" s="139" t="n"/>
      <c r="AD101" s="110" t="n"/>
      <c r="AE101" s="139" t="n"/>
    </row>
    <row r="102" ht="12" customHeight="1" s="7635">
      <c r="A102" s="139" t="n"/>
      <c r="B102" s="75" t="n"/>
      <c r="C102" s="323" t="inlineStr">
        <is>
          <t>railroad retirement benefits treated as social security (see instructions)</t>
        </is>
      </c>
      <c r="D102" s="76" t="n"/>
      <c r="E102" s="76" t="n"/>
      <c r="F102" s="76" t="n"/>
      <c r="G102" s="76" t="n"/>
      <c r="H102" s="76" t="n"/>
      <c r="I102" s="76" t="n"/>
      <c r="J102" s="76" t="n"/>
      <c r="K102" s="76" t="n"/>
      <c r="L102" s="76" t="n"/>
      <c r="M102" s="76" t="n"/>
      <c r="N102" s="76" t="n"/>
      <c r="O102" s="76" t="n"/>
      <c r="P102" s="76" t="n"/>
      <c r="Q102" s="76" t="n"/>
      <c r="R102" s="140" t="inlineStr">
        <is>
          <t xml:space="preserve">.   .   .   .   .  </t>
        </is>
      </c>
      <c r="S102" s="892" t="inlineStr">
        <is>
          <t>13a</t>
        </is>
      </c>
      <c r="T102" s="8766">
        <f>IF(AD102&lt;&gt;"",ROUND(AD102,0),SUM('1040'!S71,-'1040'!AL71))</f>
        <v/>
      </c>
      <c r="U102" s="645" t="n"/>
      <c r="V102" s="645" t="n"/>
      <c r="W102" s="645" t="n"/>
      <c r="X102" s="1625" t="n"/>
      <c r="Y102" s="96" t="n"/>
      <c r="Z102" s="96" t="n"/>
      <c r="AA102" s="96" t="n"/>
      <c r="AB102" s="96" t="n"/>
      <c r="AC102" s="139" t="n"/>
      <c r="AD102" s="933" t="n"/>
      <c r="AE102" s="139" t="n"/>
    </row>
    <row r="103" ht="12" customHeight="1" s="7635">
      <c r="A103" s="139" t="n"/>
      <c r="B103" s="133" t="inlineStr">
        <is>
          <t>b</t>
        </is>
      </c>
      <c r="C103" s="323" t="inlineStr">
        <is>
          <t>Nontaxable veterans’ pensions and any other pension, annuity, or</t>
        </is>
      </c>
      <c r="D103" s="217" t="n"/>
      <c r="E103" s="217" t="n"/>
      <c r="F103" s="217" t="n"/>
      <c r="G103" s="217" t="n"/>
      <c r="H103" s="217" t="n"/>
      <c r="I103" s="217" t="n"/>
      <c r="J103" s="217" t="n"/>
      <c r="K103" s="217" t="n"/>
      <c r="L103" s="217" t="n"/>
      <c r="M103" s="217" t="n"/>
      <c r="N103" s="217" t="n"/>
      <c r="O103" s="217" t="n"/>
      <c r="P103" s="217" t="n"/>
      <c r="Q103" s="217" t="n"/>
      <c r="R103" s="217" t="n"/>
      <c r="S103" s="1625" t="n"/>
      <c r="T103" s="217" t="n"/>
      <c r="U103" s="217" t="n"/>
      <c r="V103" s="217" t="n"/>
      <c r="W103" s="217" t="n"/>
      <c r="X103" s="1625" t="n"/>
      <c r="Y103" s="96" t="n"/>
      <c r="Z103" s="96" t="n"/>
      <c r="AA103" s="96" t="n"/>
      <c r="AB103" s="96" t="n"/>
      <c r="AC103" s="139" t="n"/>
      <c r="AD103" s="110" t="n"/>
      <c r="AE103" s="139" t="n"/>
    </row>
    <row r="104" ht="12" customHeight="1" s="7635">
      <c r="A104" s="139" t="n"/>
      <c r="B104" s="96" t="n"/>
      <c r="C104" s="323" t="inlineStr">
        <is>
          <t>disability benefit that is excluded from income under any other</t>
        </is>
      </c>
      <c r="D104" s="217" t="n"/>
      <c r="E104" s="96" t="n"/>
      <c r="F104" s="96" t="n"/>
      <c r="G104" s="96" t="n"/>
      <c r="H104" s="96" t="n"/>
      <c r="I104" s="96" t="n"/>
      <c r="J104" s="96" t="n"/>
      <c r="K104" s="96" t="n"/>
      <c r="L104" s="96" t="n"/>
      <c r="M104" s="96" t="n"/>
      <c r="N104" s="96" t="n"/>
      <c r="O104" s="96" t="n"/>
      <c r="P104" s="96" t="n"/>
      <c r="Q104" s="96" t="n"/>
      <c r="R104" s="96" t="n"/>
      <c r="S104" s="1625" t="n"/>
      <c r="T104" s="96" t="n"/>
      <c r="U104" s="96" t="n"/>
      <c r="V104" s="96" t="n"/>
      <c r="W104" s="96" t="n"/>
      <c r="X104" s="1625" t="n"/>
      <c r="Y104" s="96" t="n"/>
      <c r="Z104" s="96" t="n"/>
      <c r="AA104" s="96" t="n"/>
      <c r="AB104" s="96" t="n"/>
      <c r="AC104" s="139" t="n"/>
      <c r="AD104" s="110" t="n"/>
      <c r="AE104" s="139" t="n"/>
    </row>
    <row r="105" ht="12" customHeight="1" s="7635">
      <c r="A105" s="139" t="n"/>
      <c r="B105" s="75" t="n"/>
      <c r="C105" s="323" t="inlineStr">
        <is>
          <t>provision of law (see instructions)</t>
        </is>
      </c>
      <c r="D105" s="217" t="n"/>
      <c r="E105" s="76" t="n"/>
      <c r="F105" s="76" t="n"/>
      <c r="G105" s="76" t="n"/>
      <c r="H105" s="76" t="n"/>
      <c r="I105" s="76" t="n"/>
      <c r="J105" s="76" t="n"/>
      <c r="K105" s="76" t="n"/>
      <c r="L105" s="76" t="n"/>
      <c r="M105" s="76" t="n"/>
      <c r="N105" s="76" t="n"/>
      <c r="O105" s="76" t="n"/>
      <c r="P105" s="76" t="n"/>
      <c r="Q105" s="76" t="n"/>
      <c r="R105" s="140" t="inlineStr">
        <is>
          <t xml:space="preserve">.   .   .   .   .   .   .   .   .   .   .   .   .   .   .   .   .   .  </t>
        </is>
      </c>
      <c r="S105" s="892" t="inlineStr">
        <is>
          <t>13b</t>
        </is>
      </c>
      <c r="T105" s="8169" t="n"/>
      <c r="U105" s="11717" t="n"/>
      <c r="V105" s="11717" t="n"/>
      <c r="W105" s="11717" t="n"/>
      <c r="X105" s="1625" t="n"/>
      <c r="Y105" s="96" t="n"/>
      <c r="Z105" s="96" t="n"/>
      <c r="AA105" s="96" t="n"/>
      <c r="AB105" s="96" t="n"/>
      <c r="AC105" s="139" t="n"/>
      <c r="AD105" s="110" t="n"/>
      <c r="AE105" s="139" t="n"/>
    </row>
    <row r="106" ht="12" customHeight="1" s="7635">
      <c r="A106" s="139" t="n"/>
      <c r="B106" s="133" t="inlineStr">
        <is>
          <t>c</t>
        </is>
      </c>
      <c r="C106" s="323" t="inlineStr">
        <is>
          <t>Add lines 13a and 13b. (Even though these income items aren’t</t>
        </is>
      </c>
      <c r="D106" s="217" t="n"/>
      <c r="E106" s="96" t="n"/>
      <c r="F106" s="96" t="n"/>
      <c r="G106" s="96" t="n"/>
      <c r="H106" s="96" t="n"/>
      <c r="I106" s="96" t="n"/>
      <c r="J106" s="96" t="n"/>
      <c r="K106" s="96" t="n"/>
      <c r="L106" s="96" t="n"/>
      <c r="M106" s="96" t="n"/>
      <c r="N106" s="96" t="n"/>
      <c r="O106" s="96" t="n"/>
      <c r="P106" s="96" t="n"/>
      <c r="Q106" s="96" t="n"/>
      <c r="R106" s="96" t="n"/>
      <c r="S106" s="1625" t="n"/>
      <c r="T106" s="96" t="n"/>
      <c r="U106" s="96" t="n"/>
      <c r="V106" s="96" t="n"/>
      <c r="W106" s="96" t="n"/>
      <c r="X106" s="1625" t="n"/>
      <c r="Y106" s="96" t="n"/>
      <c r="Z106" s="96" t="n"/>
      <c r="AA106" s="96" t="n"/>
      <c r="AB106" s="96" t="n"/>
      <c r="AC106" s="139" t="n"/>
      <c r="AD106" s="110" t="n"/>
      <c r="AE106" s="139" t="n"/>
    </row>
    <row r="107" ht="12" customHeight="1" s="7635">
      <c r="A107" s="139" t="n"/>
      <c r="B107" s="96" t="n"/>
      <c r="C107" s="323" t="inlineStr">
        <is>
          <t>taxable, they must be included here to figure your credit.) If you didn't</t>
        </is>
      </c>
      <c r="D107" s="217" t="n"/>
      <c r="E107" s="96" t="n"/>
      <c r="F107" s="96" t="n"/>
      <c r="G107" s="96" t="n"/>
      <c r="H107" s="96" t="n"/>
      <c r="I107" s="96" t="n"/>
      <c r="J107" s="96" t="n"/>
      <c r="K107" s="96" t="n"/>
      <c r="L107" s="96" t="n"/>
      <c r="M107" s="96" t="n"/>
      <c r="N107" s="96" t="n"/>
      <c r="O107" s="96" t="n"/>
      <c r="P107" s="96" t="n"/>
      <c r="Q107" s="96" t="n"/>
      <c r="R107" s="96" t="n"/>
      <c r="S107" s="1625" t="n"/>
      <c r="T107" s="96" t="n"/>
      <c r="U107" s="96" t="n"/>
      <c r="V107" s="96" t="n"/>
      <c r="W107" s="96" t="n"/>
      <c r="X107" s="1625" t="n"/>
      <c r="Y107" s="96" t="n"/>
      <c r="Z107" s="96" t="n"/>
      <c r="AA107" s="96" t="n"/>
      <c r="AB107" s="96" t="n"/>
      <c r="AC107" s="139" t="n"/>
      <c r="AD107" s="110" t="n"/>
      <c r="AE107" s="139" t="n"/>
    </row>
    <row r="108" ht="12" customHeight="1" s="7635">
      <c r="A108" s="139" t="n"/>
      <c r="B108" s="96" t="n"/>
      <c r="C108" s="323" t="inlineStr">
        <is>
          <t>receive any of the types of nontaxable income listed on line 13a or</t>
        </is>
      </c>
      <c r="D108" s="217" t="n"/>
      <c r="E108" s="96" t="n"/>
      <c r="F108" s="96" t="n"/>
      <c r="G108" s="96" t="n"/>
      <c r="H108" s="96" t="n"/>
      <c r="I108" s="96" t="n"/>
      <c r="J108" s="96" t="n"/>
      <c r="K108" s="96" t="n"/>
      <c r="L108" s="96" t="n"/>
      <c r="M108" s="96" t="n"/>
      <c r="N108" s="96" t="n"/>
      <c r="O108" s="96" t="n"/>
      <c r="P108" s="96" t="n"/>
      <c r="Q108" s="96" t="n"/>
      <c r="R108" s="96" t="n"/>
      <c r="S108" s="1625" t="n"/>
      <c r="T108" s="96" t="n"/>
      <c r="U108" s="96" t="n"/>
      <c r="V108" s="96" t="n"/>
      <c r="W108" s="96" t="n"/>
      <c r="X108" s="1625" t="n"/>
      <c r="Y108" s="96" t="n"/>
      <c r="Z108" s="96" t="n"/>
      <c r="AA108" s="96" t="n"/>
      <c r="AB108" s="96" t="n"/>
      <c r="AC108" s="139" t="n"/>
      <c r="AD108" s="110" t="n"/>
      <c r="AE108" s="139" t="n"/>
    </row>
    <row r="109" ht="12" customHeight="1" s="7635">
      <c r="A109" s="139" t="n"/>
      <c r="B109" s="96" t="n"/>
      <c r="C109" s="323" t="inlineStr">
        <is>
          <t>13b, enter -0- on line 13c</t>
        </is>
      </c>
      <c r="D109" s="217" t="n"/>
      <c r="E109" s="96" t="n"/>
      <c r="F109" s="96" t="n"/>
      <c r="G109" s="96" t="n"/>
      <c r="H109" s="96" t="n"/>
      <c r="I109" s="96" t="n"/>
      <c r="J109" s="96" t="n"/>
      <c r="K109" s="96" t="n"/>
      <c r="L109" s="96" t="n"/>
      <c r="M109" s="96" t="n"/>
      <c r="N109" s="96" t="n"/>
      <c r="O109" s="96" t="n"/>
      <c r="P109" s="96" t="n"/>
      <c r="Q109" s="96" t="n"/>
      <c r="R109" s="140" t="inlineStr">
        <is>
          <t xml:space="preserve">.   .   .   .   .   .   .   .   .   .   .   .   .   .   .   .   .   .   .  </t>
        </is>
      </c>
      <c r="S109" s="892" t="inlineStr">
        <is>
          <t>13c</t>
        </is>
      </c>
      <c r="T109" s="8766">
        <f>ROUND(SUM(T102,T105),0)</f>
        <v/>
      </c>
      <c r="U109" s="645" t="n"/>
      <c r="V109" s="645" t="n"/>
      <c r="W109" s="645" t="n"/>
      <c r="X109" s="1625" t="n"/>
      <c r="Y109" s="96" t="n"/>
      <c r="Z109" s="96" t="n"/>
      <c r="AA109" s="96" t="n"/>
      <c r="AB109" s="96" t="n"/>
      <c r="AC109" s="139" t="n"/>
      <c r="AD109" s="110" t="n"/>
      <c r="AE109" s="139" t="n"/>
    </row>
    <row r="110" ht="12" customHeight="1" s="7635">
      <c r="A110" s="139" t="n"/>
      <c r="B110" s="75" t="n">
        <v>14</v>
      </c>
      <c r="C110" s="323" t="inlineStr">
        <is>
          <t>Enter the amount from Form 1040,</t>
        </is>
      </c>
      <c r="D110" s="217" t="n"/>
      <c r="E110" s="96" t="n"/>
      <c r="F110" s="96" t="n"/>
      <c r="G110" s="96" t="n"/>
      <c r="H110" s="96" t="n"/>
      <c r="I110" s="96" t="n"/>
      <c r="J110" s="96" t="n"/>
      <c r="K110" s="96" t="n"/>
      <c r="L110" s="96" t="n"/>
      <c r="M110" s="96" t="n"/>
      <c r="N110" s="96" t="n"/>
      <c r="O110" s="96" t="n"/>
      <c r="P110" s="96" t="n"/>
      <c r="Q110" s="96" t="n"/>
      <c r="R110" s="96" t="n"/>
      <c r="S110" s="1625" t="n"/>
      <c r="T110" s="96" t="n"/>
      <c r="U110" s="96" t="n"/>
      <c r="V110" s="96" t="n"/>
      <c r="W110" s="96" t="n"/>
      <c r="X110" s="1625" t="n"/>
      <c r="Y110" s="96" t="n"/>
      <c r="Z110" s="96" t="n"/>
      <c r="AA110" s="96" t="n"/>
      <c r="AB110" s="96" t="n"/>
      <c r="AC110" s="139" t="n"/>
      <c r="AD110" s="110" t="n"/>
      <c r="AE110" s="139" t="n"/>
    </row>
    <row r="111" ht="12" customHeight="1" s="7635">
      <c r="A111" s="139" t="n"/>
      <c r="B111" s="96" t="n"/>
      <c r="C111" s="323" t="inlineStr">
        <is>
          <t>line 11a</t>
        </is>
      </c>
      <c r="D111" s="217" t="n"/>
      <c r="E111" s="96" t="n"/>
      <c r="F111" s="96" t="n"/>
      <c r="G111" s="96" t="n"/>
      <c r="H111" s="96" t="n"/>
      <c r="I111" s="96" t="n"/>
      <c r="J111" s="96" t="n"/>
      <c r="K111" s="96" t="n"/>
      <c r="L111" s="140" t="n"/>
      <c r="M111" s="140" t="inlineStr">
        <is>
          <t xml:space="preserve">.   .   .   .   .   .   .   .   .   .   .   .   .   .   .   .   .   .   .   .   .   .   .  </t>
        </is>
      </c>
      <c r="N111" s="892" t="n">
        <v>14</v>
      </c>
      <c r="O111" s="8766">
        <f>IF(SchRQualify,Adj_Gross_Inc,"")</f>
        <v/>
      </c>
      <c r="P111" s="645" t="n"/>
      <c r="Q111" s="645" t="n"/>
      <c r="R111" s="645" t="n"/>
      <c r="S111" s="1625" t="n"/>
      <c r="T111" s="96" t="n"/>
      <c r="U111" s="96" t="n"/>
      <c r="V111" s="96" t="n"/>
      <c r="W111" s="96" t="n"/>
      <c r="X111" s="1625" t="n"/>
      <c r="Y111" s="96" t="n"/>
      <c r="Z111" s="96" t="n"/>
      <c r="AA111" s="96" t="n"/>
      <c r="AB111" s="96" t="n"/>
      <c r="AC111" s="139" t="n"/>
      <c r="AD111" s="110" t="n"/>
      <c r="AE111" s="139" t="n"/>
    </row>
    <row r="112" ht="12" customHeight="1" s="7635">
      <c r="A112" s="139" t="n"/>
      <c r="B112" s="75" t="n">
        <v>15</v>
      </c>
      <c r="C112" s="1184" t="inlineStr">
        <is>
          <t>If you checked (in Part I):</t>
        </is>
      </c>
      <c r="D112" s="240" t="n"/>
      <c r="E112" s="96" t="n"/>
      <c r="F112" s="96" t="n"/>
      <c r="G112" s="96" t="n"/>
      <c r="H112" s="96" t="n"/>
      <c r="I112" s="363" t="inlineStr">
        <is>
          <t>Enter:</t>
        </is>
      </c>
      <c r="J112" s="96" t="n"/>
      <c r="K112" s="96" t="n"/>
      <c r="L112" s="96" t="n"/>
      <c r="M112" s="96" t="n"/>
      <c r="N112" s="1625" t="n"/>
      <c r="O112" s="96" t="n"/>
      <c r="P112" s="96" t="n"/>
      <c r="Q112" s="96" t="n"/>
      <c r="R112" s="96" t="n"/>
      <c r="S112" s="1625" t="n"/>
      <c r="T112" s="96" t="n"/>
      <c r="U112" s="96" t="n"/>
      <c r="V112" s="96" t="n"/>
      <c r="W112" s="96" t="n"/>
      <c r="X112" s="1625" t="n"/>
      <c r="Y112" s="96" t="n"/>
      <c r="Z112" s="96" t="n"/>
      <c r="AA112" s="96" t="n"/>
      <c r="AB112" s="96" t="n"/>
      <c r="AC112" s="139" t="n"/>
      <c r="AD112" s="110" t="n"/>
      <c r="AE112" s="139" t="n"/>
    </row>
    <row r="113" ht="12" customHeight="1" s="7635">
      <c r="A113" s="139" t="n"/>
      <c r="B113" s="889">
        <f>OR(AA29&lt;&gt;"",AA31&lt;&gt;"")</f>
        <v/>
      </c>
      <c r="C113" s="323" t="inlineStr">
        <is>
          <t>Box 1 or 2</t>
        </is>
      </c>
      <c r="D113" s="217" t="n"/>
      <c r="E113" s="96" t="n"/>
      <c r="F113" s="96" t="n"/>
      <c r="G113" s="96" t="n"/>
      <c r="H113" s="140" t="inlineStr">
        <is>
          <t xml:space="preserve">.   .   .   .   .   .   .   .   .   .  </t>
        </is>
      </c>
      <c r="I113" s="12198" t="n">
        <v>7500</v>
      </c>
      <c r="J113" s="12199" t="n"/>
      <c r="K113" s="12199" t="n"/>
      <c r="L113" s="96" t="n"/>
      <c r="M113" s="96" t="n"/>
      <c r="N113" s="1625" t="n"/>
      <c r="O113" s="96" t="n"/>
      <c r="P113" s="96" t="n"/>
      <c r="Q113" s="96" t="n"/>
      <c r="R113" s="96" t="n"/>
      <c r="S113" s="1625" t="n"/>
      <c r="T113" s="96" t="n"/>
      <c r="U113" s="96" t="n"/>
      <c r="V113" s="96" t="n"/>
      <c r="W113" s="96" t="n"/>
      <c r="X113" s="1625" t="n"/>
      <c r="Y113" s="96" t="n"/>
      <c r="Z113" s="96" t="n"/>
      <c r="AA113" s="96" t="n"/>
      <c r="AB113" s="96" t="n"/>
      <c r="AC113" s="139" t="n"/>
      <c r="AD113" s="110" t="n"/>
      <c r="AE113" s="139" t="n"/>
    </row>
    <row r="114" ht="12" customHeight="1" s="7635">
      <c r="A114" s="139" t="n"/>
      <c r="B114" s="889">
        <f>OR(AA34&lt;&gt;"",AA37&lt;&gt;"",AA40&lt;&gt;"",AA43&lt;&gt;"",AA46&lt;&gt;"")</f>
        <v/>
      </c>
      <c r="C114" s="323" t="inlineStr">
        <is>
          <t>Box 3, 4, 5, 6, or 7</t>
        </is>
      </c>
      <c r="D114" s="217" t="n"/>
      <c r="E114" s="96" t="n"/>
      <c r="F114" s="96" t="n"/>
      <c r="G114" s="96" t="n"/>
      <c r="H114" s="140" t="inlineStr">
        <is>
          <t xml:space="preserve">.   .   .   .   .   .  </t>
        </is>
      </c>
      <c r="I114" s="12198" t="n">
        <v>10000</v>
      </c>
      <c r="J114" s="96" t="n"/>
      <c r="K114" s="96" t="n"/>
      <c r="L114" s="96" t="n"/>
      <c r="M114" s="96" t="n"/>
      <c r="N114" s="892" t="n">
        <v>15</v>
      </c>
      <c r="O114" s="8766">
        <f>IF(B113,I113,IF(B114,I114,IF(B115,I115,"")))</f>
        <v/>
      </c>
      <c r="P114" s="645" t="n"/>
      <c r="Q114" s="645" t="n"/>
      <c r="R114" s="645" t="n"/>
      <c r="S114" s="1625" t="n"/>
      <c r="T114" s="96" t="n"/>
      <c r="U114" s="96" t="n"/>
      <c r="V114" s="96" t="n"/>
      <c r="W114" s="96" t="n"/>
      <c r="X114" s="1625" t="n"/>
      <c r="Y114" s="96" t="n"/>
      <c r="Z114" s="96" t="n"/>
      <c r="AA114" s="96" t="n"/>
      <c r="AB114" s="96" t="n"/>
      <c r="AC114" s="139" t="n"/>
      <c r="AD114" s="110" t="n"/>
      <c r="AE114" s="139" t="n"/>
    </row>
    <row r="115" ht="12" customHeight="1" s="7635">
      <c r="A115" s="139" t="n"/>
      <c r="B115" s="889">
        <f>OR(AA49&lt;&gt;"",AA52&lt;&gt;"")</f>
        <v/>
      </c>
      <c r="C115" s="323" t="inlineStr">
        <is>
          <t>Box 8 or 9</t>
        </is>
      </c>
      <c r="D115" s="217" t="n"/>
      <c r="E115" s="96" t="n"/>
      <c r="F115" s="96" t="n"/>
      <c r="G115" s="96" t="n"/>
      <c r="H115" s="140" t="inlineStr">
        <is>
          <t xml:space="preserve">.   .   .   .   .   .   .   .   .   .  </t>
        </is>
      </c>
      <c r="I115" s="12198" t="n">
        <v>5000</v>
      </c>
      <c r="J115" s="96" t="n"/>
      <c r="K115" s="96" t="n"/>
      <c r="L115" s="96" t="n"/>
      <c r="M115" s="96" t="n"/>
      <c r="N115" s="1625" t="n"/>
      <c r="O115" s="12200">
        <f>IF(B113,I113,IF(B114,I114,IF(B115,I115,0)))</f>
        <v/>
      </c>
      <c r="P115" s="12051" t="n"/>
      <c r="Q115" s="12051" t="n"/>
      <c r="R115" s="12201" t="n"/>
      <c r="S115" s="1625" t="n"/>
      <c r="T115" s="96" t="n"/>
      <c r="U115" s="96" t="n"/>
      <c r="V115" s="96" t="n"/>
      <c r="W115" s="96" t="n"/>
      <c r="X115" s="1625" t="n"/>
      <c r="Y115" s="96" t="n"/>
      <c r="Z115" s="96" t="n"/>
      <c r="AA115" s="96" t="n"/>
      <c r="AB115" s="96" t="n"/>
      <c r="AC115" s="139" t="n"/>
      <c r="AD115" s="110" t="n"/>
      <c r="AE115" s="139" t="n"/>
    </row>
    <row r="116" ht="12" customHeight="1" s="7635">
      <c r="A116" s="139" t="n"/>
      <c r="B116" s="75" t="n">
        <v>16</v>
      </c>
      <c r="C116" s="323" t="inlineStr">
        <is>
          <t>Subtract line 15 from line 14. If zero or less,</t>
        </is>
      </c>
      <c r="D116" s="217" t="n"/>
      <c r="E116" s="96" t="n"/>
      <c r="F116" s="96" t="n"/>
      <c r="G116" s="96" t="n"/>
      <c r="H116" s="96" t="n"/>
      <c r="I116" s="12199" t="n"/>
      <c r="J116" s="96" t="n"/>
      <c r="K116" s="96" t="n"/>
      <c r="L116" s="96" t="n"/>
      <c r="M116" s="96" t="n"/>
      <c r="N116" s="1625" t="n"/>
      <c r="O116" s="96" t="n"/>
      <c r="P116" s="96" t="n"/>
      <c r="Q116" s="96" t="n"/>
      <c r="R116" s="96" t="n"/>
      <c r="S116" s="1625" t="n"/>
      <c r="T116" s="96" t="n"/>
      <c r="U116" s="96" t="n"/>
      <c r="V116" s="96" t="n"/>
      <c r="W116" s="96" t="n"/>
      <c r="X116" s="1625" t="n"/>
      <c r="Y116" s="96" t="n"/>
      <c r="Z116" s="96" t="n"/>
      <c r="AA116" s="96" t="n"/>
      <c r="AB116" s="96" t="n"/>
      <c r="AC116" s="139" t="n"/>
      <c r="AD116" s="110" t="n"/>
      <c r="AE116" s="139" t="n"/>
    </row>
    <row r="117" ht="12" customHeight="1" s="7635">
      <c r="A117" s="139" t="n"/>
      <c r="B117" s="96" t="n"/>
      <c r="C117" s="323" t="inlineStr">
        <is>
          <t>enter -0-</t>
        </is>
      </c>
      <c r="D117" s="217" t="n"/>
      <c r="E117" s="96" t="n"/>
      <c r="F117" s="96" t="n"/>
      <c r="G117" s="96" t="n"/>
      <c r="H117" s="96" t="n"/>
      <c r="I117" s="12199" t="n"/>
      <c r="J117" s="96" t="n"/>
      <c r="K117" s="96" t="n"/>
      <c r="L117" s="96" t="n"/>
      <c r="M117" s="140" t="inlineStr">
        <is>
          <t xml:space="preserve">.   .   .   .   .   .   .   .   .   .   .   .   .   .   .   .   .   .   .  </t>
        </is>
      </c>
      <c r="N117" s="892" t="n">
        <v>16</v>
      </c>
      <c r="O117" s="8766">
        <f>IF(SchRQualify,MAX(0,SUM(O111,-O115)),"")</f>
        <v/>
      </c>
      <c r="P117" s="645" t="n"/>
      <c r="Q117" s="645" t="n"/>
      <c r="R117" s="645" t="n"/>
      <c r="S117" s="1625" t="n"/>
      <c r="T117" s="96" t="n"/>
      <c r="U117" s="96" t="n"/>
      <c r="V117" s="96" t="n"/>
      <c r="W117" s="96" t="n"/>
      <c r="X117" s="1625" t="n"/>
      <c r="Y117" s="96" t="n"/>
      <c r="Z117" s="96" t="n"/>
      <c r="AA117" s="96" t="n"/>
      <c r="AB117" s="96" t="n"/>
      <c r="AC117" s="139" t="n"/>
      <c r="AD117" s="110" t="n"/>
      <c r="AE117" s="139" t="n"/>
    </row>
    <row r="118" ht="12" customHeight="1" s="7635">
      <c r="A118" s="139" t="n"/>
      <c r="B118" s="75" t="n">
        <v>17</v>
      </c>
      <c r="C118" s="323" t="inlineStr">
        <is>
          <t>Enter one-half of line 16</t>
        </is>
      </c>
      <c r="D118" s="217" t="n"/>
      <c r="E118" s="96" t="n"/>
      <c r="F118" s="96" t="n"/>
      <c r="G118" s="96" t="n"/>
      <c r="H118" s="96" t="n"/>
      <c r="I118" s="12199" t="n"/>
      <c r="J118" s="96" t="n"/>
      <c r="K118" s="96" t="n"/>
      <c r="L118" s="96" t="n"/>
      <c r="M118" s="96" t="n"/>
      <c r="N118" s="96" t="n"/>
      <c r="O118" s="96" t="n"/>
      <c r="P118" s="96" t="n"/>
      <c r="Q118" s="96" t="n"/>
      <c r="R118" s="140" t="inlineStr">
        <is>
          <t xml:space="preserve">.   .   .   .   .   .   .   .   .   .   .   .   .   .   .   .   .   .   .   .   .   .   .   .  </t>
        </is>
      </c>
      <c r="S118" s="892" t="n">
        <v>17</v>
      </c>
      <c r="T118" s="8766">
        <f>IF(SchRQualify,ROUND(O117/2,0),"")</f>
        <v/>
      </c>
      <c r="U118" s="645" t="n"/>
      <c r="V118" s="645" t="n"/>
      <c r="W118" s="645" t="n"/>
      <c r="X118" s="1625" t="n"/>
      <c r="Y118" s="96" t="n"/>
      <c r="Z118" s="96" t="n"/>
      <c r="AA118" s="96" t="n"/>
      <c r="AB118" s="96" t="n"/>
      <c r="AC118" s="139" t="n"/>
      <c r="AD118" s="110" t="n"/>
      <c r="AE118" s="139" t="n"/>
    </row>
    <row r="119" ht="12" customHeight="1" s="7635">
      <c r="A119" s="139" t="n"/>
      <c r="B119" s="75" t="n">
        <v>18</v>
      </c>
      <c r="C119" s="323" t="inlineStr">
        <is>
          <t>Add lines 13c and 17</t>
        </is>
      </c>
      <c r="D119" s="217" t="n"/>
      <c r="E119" s="96" t="n"/>
      <c r="F119" s="96" t="n"/>
      <c r="G119" s="96" t="n"/>
      <c r="H119" s="96" t="n"/>
      <c r="I119" s="12199" t="n"/>
      <c r="J119" s="96" t="n"/>
      <c r="K119" s="96" t="n"/>
      <c r="L119" s="96" t="n"/>
      <c r="M119" s="96" t="n"/>
      <c r="N119" s="96" t="n"/>
      <c r="O119" s="96" t="n"/>
      <c r="P119" s="96" t="n"/>
      <c r="Q119" s="96" t="n"/>
      <c r="R119" s="96" t="n"/>
      <c r="S119" s="96" t="n"/>
      <c r="T119" s="96" t="n"/>
      <c r="U119" s="96" t="n"/>
      <c r="V119" s="96" t="n"/>
      <c r="W119" s="140" t="inlineStr">
        <is>
          <t xml:space="preserve">.   .   .   .   .   .   .   .   .   .   .   .   .   .   .   .   .   .   .   .   .   .   .   .   .   .   .   .   .   .   .   .   .   .  </t>
        </is>
      </c>
      <c r="X119" s="884" t="n">
        <v>18</v>
      </c>
      <c r="Y119" s="8766">
        <f>IF(AD119&lt;&gt;"",ROUND(AD119,0),IF(SchRQualify,SUM(T109,T118),""))</f>
        <v/>
      </c>
      <c r="Z119" s="645" t="n"/>
      <c r="AA119" s="645" t="n"/>
      <c r="AB119" s="645" t="n"/>
      <c r="AC119" s="139" t="n"/>
      <c r="AD119" s="933" t="n"/>
      <c r="AE119" s="139" t="n"/>
    </row>
    <row r="120" ht="12" customHeight="1" s="7635">
      <c r="A120" s="139" t="n"/>
      <c r="B120" s="75" t="n">
        <v>19</v>
      </c>
      <c r="C120" s="323" t="inlineStr">
        <is>
          <t>Subtract line 18 from line 12.</t>
        </is>
      </c>
      <c r="D120" s="217" t="n"/>
      <c r="E120" s="96" t="n"/>
      <c r="F120" s="96" t="n"/>
      <c r="G120" s="323" t="inlineStr">
        <is>
          <t>If zero or less, stop; you can’t take the credit.</t>
        </is>
      </c>
      <c r="H120" s="96" t="n"/>
      <c r="I120" s="12199" t="n"/>
      <c r="J120" s="96" t="n"/>
      <c r="K120" s="96" t="n"/>
      <c r="L120" s="96" t="n"/>
      <c r="M120" s="96" t="n"/>
      <c r="N120" s="96" t="n"/>
      <c r="O120" s="96" t="n"/>
      <c r="P120" s="96" t="n"/>
      <c r="Q120" s="217" t="n"/>
      <c r="R120" s="323" t="inlineStr">
        <is>
          <t>Otherwise,</t>
        </is>
      </c>
      <c r="S120" s="96" t="n"/>
      <c r="T120" s="96" t="n"/>
      <c r="U120" s="96" t="n"/>
      <c r="V120" s="96" t="n"/>
      <c r="W120" s="96" t="n"/>
      <c r="X120" s="1625" t="n"/>
      <c r="Y120" s="8764">
        <f>(Y119&gt;=Y98)</f>
        <v/>
      </c>
      <c r="Z120" s="12051" t="n"/>
      <c r="AA120" s="12051" t="n"/>
      <c r="AB120" s="12051" t="n"/>
      <c r="AC120" s="139" t="n"/>
      <c r="AD120" s="110" t="n"/>
      <c r="AE120" s="139" t="n"/>
    </row>
    <row r="121" ht="12" customHeight="1" s="7635">
      <c r="A121" s="139" t="n"/>
      <c r="B121" s="75" t="n"/>
      <c r="C121" s="323" t="inlineStr">
        <is>
          <t>go to line 20</t>
        </is>
      </c>
      <c r="D121" s="217" t="n"/>
      <c r="E121" s="96" t="n"/>
      <c r="F121" s="96" t="n"/>
      <c r="G121" s="96" t="n"/>
      <c r="H121" s="96" t="n"/>
      <c r="I121" s="12199" t="n"/>
      <c r="J121" s="96" t="n"/>
      <c r="K121" s="96" t="n"/>
      <c r="L121" s="96" t="n"/>
      <c r="M121" s="96" t="n"/>
      <c r="N121" s="96" t="n"/>
      <c r="O121" s="96" t="n"/>
      <c r="P121" s="96" t="n"/>
      <c r="Q121" s="96" t="n"/>
      <c r="R121" s="96" t="n"/>
      <c r="S121" s="96" t="n"/>
      <c r="T121" s="96" t="n"/>
      <c r="U121" s="96" t="n"/>
      <c r="V121" s="96" t="n"/>
      <c r="W121" s="140" t="inlineStr">
        <is>
          <t xml:space="preserve">.   .   .   .   .   .   .   .   .   .   .   .   .   .   .   .   .   .   .   .   .   .   .   .   .   .   .   .   .   .   .   .   .   .   .   .   .   .  </t>
        </is>
      </c>
      <c r="X121" s="884" t="n">
        <v>19</v>
      </c>
      <c r="Y121" s="8766">
        <f>IF(SchRQualify,MAX(0,SUM(Y98,-Y119)),"")</f>
        <v/>
      </c>
      <c r="Z121" s="645" t="n"/>
      <c r="AA121" s="645" t="n"/>
      <c r="AB121" s="645" t="n"/>
      <c r="AC121" s="139" t="n"/>
      <c r="AD121" s="110" t="n"/>
      <c r="AE121" s="139" t="n"/>
    </row>
    <row r="122" ht="12" customHeight="1" s="7635">
      <c r="A122" s="139" t="n"/>
      <c r="B122" s="75" t="n">
        <v>20</v>
      </c>
      <c r="C122" s="323">
        <f>"Multiply line 19 by "&amp;TEXT(AF122,"0%")&amp;" ("&amp;TEXT(AF122,"0.00")&amp;")"</f>
        <v/>
      </c>
      <c r="D122" s="217" t="n"/>
      <c r="E122" s="96" t="n"/>
      <c r="F122" s="96" t="n"/>
      <c r="G122" s="96" t="n"/>
      <c r="H122" s="96" t="n"/>
      <c r="I122" s="12199" t="n"/>
      <c r="J122" s="96" t="n"/>
      <c r="K122" s="96" t="n"/>
      <c r="L122" s="96" t="n"/>
      <c r="M122" s="96" t="n"/>
      <c r="N122" s="96" t="n"/>
      <c r="O122" s="96" t="n"/>
      <c r="P122" s="96" t="n"/>
      <c r="Q122" s="96" t="n"/>
      <c r="R122" s="96" t="n"/>
      <c r="S122" s="96" t="n"/>
      <c r="T122" s="96" t="n"/>
      <c r="U122" s="96" t="n"/>
      <c r="V122" s="96" t="n"/>
      <c r="W122" s="140" t="inlineStr">
        <is>
          <t xml:space="preserve"> .   .   .   .   .   .   .   .   .   .   .   .   .   .   .   .   .   .   .   .   .   .   .   .   .   .   .   .   .   .  </t>
        </is>
      </c>
      <c r="X122" s="884" t="n">
        <v>20</v>
      </c>
      <c r="Y122" s="8766">
        <f>IF(Y120,"",ROUND(Y121*AF122,0))</f>
        <v/>
      </c>
      <c r="Z122" s="645" t="n"/>
      <c r="AA122" s="645" t="n"/>
      <c r="AB122" s="645" t="n"/>
      <c r="AC122" s="139" t="n"/>
      <c r="AD122" s="110" t="n"/>
      <c r="AE122" s="139" t="n"/>
      <c r="AF122" s="854" t="n">
        <v>0.15</v>
      </c>
    </row>
    <row r="123" ht="12" customHeight="1" s="7635">
      <c r="A123" s="139" t="n"/>
      <c r="B123" s="75" t="n">
        <v>21</v>
      </c>
      <c r="C123" s="323" t="inlineStr">
        <is>
          <t>Tax liability limit. Enter the amount from the Credit Limit Worksheet in the instructions</t>
        </is>
      </c>
      <c r="D123" s="217" t="n"/>
      <c r="E123" s="96" t="n"/>
      <c r="F123" s="96" t="n"/>
      <c r="G123" s="96" t="n"/>
      <c r="H123" s="96" t="n"/>
      <c r="I123" s="12199" t="n"/>
      <c r="J123" s="96" t="n"/>
      <c r="K123" s="96" t="n"/>
      <c r="L123" s="96" t="n"/>
      <c r="M123" s="96" t="n"/>
      <c r="N123" s="96" t="n"/>
      <c r="O123" s="96" t="n"/>
      <c r="P123" s="96" t="n"/>
      <c r="Q123" s="96" t="n"/>
      <c r="R123" s="96" t="n"/>
      <c r="S123" s="96" t="n"/>
      <c r="T123" s="96" t="n"/>
      <c r="U123" s="96" t="n"/>
      <c r="V123" s="96" t="n"/>
      <c r="W123" s="140" t="inlineStr">
        <is>
          <t xml:space="preserve">.   .   .   .   .   .   .   .  </t>
        </is>
      </c>
      <c r="X123" s="884" t="n">
        <v>21</v>
      </c>
      <c r="Y123" s="8766">
        <f>IF(OR(Y120,AD136),"",AD135)</f>
        <v/>
      </c>
      <c r="Z123" s="645" t="n"/>
      <c r="AA123" s="645" t="n"/>
      <c r="AB123" s="645" t="n"/>
      <c r="AC123" s="139" t="n"/>
      <c r="AD123" s="110" t="n"/>
      <c r="AE123" s="139" t="n"/>
    </row>
    <row r="124" ht="12" customHeight="1" s="7635">
      <c r="A124" s="139" t="n"/>
      <c r="B124" s="75" t="n">
        <v>22</v>
      </c>
      <c r="C124" s="323" t="inlineStr">
        <is>
          <t>Credit for the elderly or the disabled. Enter the smaller of line 20 or line 21. Also enter</t>
        </is>
      </c>
      <c r="D124" s="217" t="n"/>
      <c r="E124" s="96" t="n"/>
      <c r="F124" s="96" t="n"/>
      <c r="G124" s="96" t="n"/>
      <c r="H124" s="96" t="n"/>
      <c r="I124" s="12199" t="n"/>
      <c r="J124" s="96" t="n"/>
      <c r="K124" s="96" t="n"/>
      <c r="L124" s="96" t="n"/>
      <c r="M124" s="96" t="n"/>
      <c r="N124" s="96" t="n"/>
      <c r="O124" s="96" t="n"/>
      <c r="P124" s="96" t="n"/>
      <c r="Q124" s="96" t="n"/>
      <c r="R124" s="96" t="n"/>
      <c r="S124" s="96" t="n"/>
      <c r="T124" s="96" t="n"/>
      <c r="U124" s="96" t="n"/>
      <c r="V124" s="96" t="n"/>
      <c r="W124" s="96" t="n"/>
      <c r="X124" s="1625" t="n"/>
      <c r="Y124" s="96" t="n"/>
      <c r="Z124" s="96" t="n"/>
      <c r="AA124" s="96" t="n"/>
      <c r="AB124" s="96" t="n"/>
      <c r="AC124" s="139" t="n"/>
      <c r="AD124" s="110" t="n"/>
      <c r="AE124" s="139" t="n"/>
    </row>
    <row r="125" ht="12" customHeight="1" s="7635" thickBot="1">
      <c r="A125" s="139" t="n"/>
      <c r="B125" s="1616" t="n"/>
      <c r="C125" s="1654" t="inlineStr">
        <is>
          <t>this amount on Schedule 3 (Form 1040), line 6d</t>
        </is>
      </c>
      <c r="D125" s="894" t="n"/>
      <c r="E125" s="375" t="n"/>
      <c r="F125" s="375" t="n"/>
      <c r="G125" s="375" t="n"/>
      <c r="H125" s="375" t="n"/>
      <c r="I125" s="375" t="n"/>
      <c r="J125" s="375" t="n"/>
      <c r="K125" s="375" t="n"/>
      <c r="L125" s="375" t="n"/>
      <c r="M125" s="375" t="n"/>
      <c r="N125" s="375" t="n"/>
      <c r="O125" s="375" t="n"/>
      <c r="P125" s="375" t="n"/>
      <c r="Q125" s="375" t="n"/>
      <c r="R125" s="375" t="n"/>
      <c r="S125" s="375" t="n"/>
      <c r="T125" s="375" t="n"/>
      <c r="U125" s="375" t="n"/>
      <c r="V125" s="375" t="n"/>
      <c r="W125" s="896" t="inlineStr">
        <is>
          <t xml:space="preserve">.   .   .   .   .   .   .   .   .   .   .   .   .   .   .   .   .   .   .   .   .   .   .  </t>
        </is>
      </c>
      <c r="X125" s="895" t="n">
        <v>22</v>
      </c>
      <c r="Y125" s="8769">
        <f>IF(AD125&lt;&gt;"",ROUND(AD125,0),IF(OR(Y120,AD136),"",IF(AD136,"",MIN(Y122,Y123))))</f>
        <v/>
      </c>
      <c r="Z125" s="11839" t="n"/>
      <c r="AA125" s="11839" t="n"/>
      <c r="AB125" s="11839" t="n"/>
      <c r="AC125" s="139" t="n"/>
      <c r="AD125" s="933" t="n"/>
      <c r="AE125" s="139" t="n"/>
    </row>
    <row r="126" ht="15" customHeight="1" s="7635">
      <c r="A126" s="139" t="n"/>
      <c r="B126" s="105" t="n"/>
      <c r="C126" s="105" t="n"/>
      <c r="D126" s="105" t="n"/>
      <c r="E126" s="105" t="n"/>
      <c r="F126" s="105" t="n"/>
      <c r="G126" s="106" t="n"/>
      <c r="H126" s="106" t="n"/>
      <c r="I126" s="106" t="n"/>
      <c r="J126" s="106" t="n"/>
      <c r="K126" s="106" t="n"/>
      <c r="L126" s="106" t="n"/>
      <c r="M126" s="106" t="n"/>
      <c r="N126" s="107" t="n"/>
      <c r="O126" s="107" t="n"/>
      <c r="P126" s="107" t="n"/>
      <c r="Q126" s="107" t="n"/>
      <c r="R126" s="365" t="n"/>
      <c r="S126" s="365" t="n"/>
      <c r="T126" s="107" t="n"/>
      <c r="U126" s="106" t="n"/>
      <c r="V126" s="106" t="n"/>
      <c r="W126" s="108" t="n"/>
      <c r="X126" s="106" t="n"/>
      <c r="Y126" s="106" t="n"/>
      <c r="Z126" s="365" t="n"/>
      <c r="AA126" s="814" t="n"/>
      <c r="AB126" s="893">
        <f>"Schedule R   (Form 1040)  "&amp;TaxYear</f>
        <v/>
      </c>
      <c r="AC126" s="139" t="n"/>
      <c r="AD126" s="110" t="n"/>
      <c r="AE126" s="139" t="n"/>
    </row>
    <row r="127" ht="8.25" customHeight="1" s="7635">
      <c r="A127" s="139" t="n"/>
      <c r="B127" s="145" t="n"/>
      <c r="C127" s="145" t="n"/>
      <c r="D127" s="145" t="n"/>
      <c r="E127" s="145" t="n"/>
      <c r="F127" s="145" t="n"/>
      <c r="G127" s="132" t="n"/>
      <c r="H127" s="132" t="n"/>
      <c r="I127" s="132" t="n"/>
      <c r="J127" s="132" t="n"/>
      <c r="K127" s="132" t="n"/>
      <c r="L127" s="132" t="n"/>
      <c r="M127" s="132" t="n"/>
      <c r="N127" s="146" t="n"/>
      <c r="O127" s="146" t="n"/>
      <c r="P127" s="146" t="n"/>
      <c r="Q127" s="146" t="n"/>
      <c r="R127" s="146" t="n"/>
      <c r="S127" s="146" t="n"/>
      <c r="T127" s="146" t="n"/>
      <c r="U127" s="132" t="n"/>
      <c r="V127" s="132" t="n"/>
      <c r="W127" s="147" t="n"/>
      <c r="X127" s="132" t="n"/>
      <c r="Y127" s="132" t="n"/>
      <c r="Z127" s="132" t="n"/>
      <c r="AA127" s="132" t="n"/>
      <c r="AB127" s="132" t="n"/>
      <c r="AC127" s="139" t="n"/>
      <c r="AD127" s="110" t="n"/>
      <c r="AE127" s="139" t="n"/>
    </row>
    <row r="128">
      <c r="B128" s="7" t="n"/>
      <c r="C128" s="7" t="n"/>
      <c r="D128" s="8" t="n"/>
      <c r="E128" s="8" t="n"/>
      <c r="F128" s="8" t="n"/>
      <c r="G128" s="8" t="n"/>
      <c r="H128" s="8" t="n"/>
      <c r="I128" s="8" t="n"/>
      <c r="J128" s="8" t="n"/>
      <c r="K128" s="8" t="n"/>
      <c r="L128" s="8" t="n"/>
      <c r="M128" s="8" t="n"/>
      <c r="N128" s="9" t="n"/>
      <c r="O128" s="9" t="n"/>
      <c r="P128" s="9" t="n"/>
      <c r="Q128" s="9" t="n"/>
      <c r="R128" s="9" t="n"/>
      <c r="S128" s="9" t="n"/>
      <c r="T128" s="10" t="n"/>
      <c r="U128" s="8" t="n"/>
      <c r="V128" s="8" t="n"/>
      <c r="W128" s="6" t="n"/>
      <c r="X128" s="8" t="n"/>
      <c r="Y128" s="8" t="n"/>
      <c r="Z128" s="8" t="n"/>
      <c r="AA128" s="8" t="n"/>
      <c r="AB128" s="8" t="n"/>
    </row>
    <row r="129" ht="13.5" customHeight="1" s="7635" thickBot="1">
      <c r="B129" s="7" t="n"/>
      <c r="C129" s="7" t="n"/>
      <c r="D129" s="8" t="n"/>
      <c r="E129" s="8" t="n"/>
      <c r="F129" s="8" t="n"/>
      <c r="G129" s="8" t="n"/>
      <c r="H129" s="8" t="n"/>
      <c r="I129" s="8" t="n"/>
      <c r="J129" s="8" t="n"/>
      <c r="K129" s="918" t="inlineStr">
        <is>
          <t>Credit Limit Worksheet—Line 21</t>
        </is>
      </c>
      <c r="L129" s="919" t="n"/>
      <c r="M129" s="920" t="n"/>
      <c r="N129" s="919" t="n"/>
      <c r="O129" s="921" t="n"/>
      <c r="P129" s="921" t="n"/>
      <c r="Q129" s="921" t="n"/>
      <c r="R129" s="922" t="n"/>
      <c r="S129" s="922" t="n"/>
      <c r="T129" s="923" t="n"/>
      <c r="U129" s="920" t="n"/>
      <c r="V129" s="920" t="n"/>
      <c r="W129" s="924" t="n"/>
      <c r="X129" s="920" t="n"/>
      <c r="Y129" s="920" t="n"/>
      <c r="Z129" s="920" t="n"/>
      <c r="AA129" s="920" t="n"/>
      <c r="AB129" s="925" t="n"/>
      <c r="AC129" s="925" t="inlineStr">
        <is>
          <t>Keep for your records</t>
        </is>
      </c>
      <c r="AD129" s="386" t="n"/>
      <c r="AE129" s="407" t="n"/>
    </row>
    <row r="130" ht="13.5" customHeight="1" s="7635" thickBot="1">
      <c r="B130" s="12202" t="inlineStr">
        <is>
          <t>Download Form 1040 Schedule R</t>
        </is>
      </c>
      <c r="C130" s="12137" t="n"/>
      <c r="D130" s="12137" t="n"/>
      <c r="E130" s="12137" t="n"/>
      <c r="F130" s="12137" t="n"/>
      <c r="G130" s="12137" t="n"/>
      <c r="H130" s="12137" t="n"/>
      <c r="I130" s="12203" t="n"/>
      <c r="J130" s="130" t="n"/>
      <c r="K130" s="6484" t="inlineStr">
        <is>
          <t>The amount of credit you can claim is generally limited to the amount of your tax.</t>
        </is>
      </c>
      <c r="L130" s="6477" t="n"/>
      <c r="M130" s="6478" t="n"/>
      <c r="N130" s="6477" t="n"/>
      <c r="O130" s="6479" t="n"/>
      <c r="P130" s="6479" t="n"/>
      <c r="Q130" s="6479" t="n"/>
      <c r="R130" s="6480" t="n"/>
      <c r="S130" s="6480" t="n"/>
      <c r="T130" s="6481" t="n"/>
      <c r="U130" s="6478" t="n"/>
      <c r="V130" s="6478" t="n"/>
      <c r="W130" s="6482" t="n"/>
      <c r="X130" s="6478" t="n"/>
      <c r="Y130" s="6478" t="n"/>
      <c r="Z130" s="6478" t="n"/>
      <c r="AA130" s="6478" t="n"/>
      <c r="AB130" s="6483" t="n"/>
      <c r="AC130" s="11602" t="n"/>
      <c r="AD130" s="275" t="n"/>
      <c r="AE130" s="409" t="n"/>
    </row>
    <row r="131" ht="12" customHeight="1" s="7635" thickBot="1">
      <c r="B131" s="129" t="n"/>
      <c r="C131" s="129" t="n"/>
      <c r="D131" s="130" t="n"/>
      <c r="E131" s="130" t="n"/>
      <c r="F131" s="130" t="n"/>
      <c r="G131" s="130" t="n"/>
      <c r="H131" s="130" t="n"/>
      <c r="I131" s="130" t="n"/>
      <c r="J131" s="130" t="n"/>
      <c r="K131" s="6485" t="inlineStr">
        <is>
          <t>Use the Credit Limit Worksheet to determine if your credit is limited.</t>
        </is>
      </c>
      <c r="L131" s="926" t="n"/>
      <c r="M131" s="927" t="n"/>
      <c r="N131" s="926" t="n"/>
      <c r="O131" s="926" t="n"/>
      <c r="P131" s="926" t="n"/>
      <c r="Q131" s="926" t="n"/>
      <c r="R131" s="928" t="n"/>
      <c r="S131" s="928" t="n"/>
      <c r="T131" s="929" t="n"/>
      <c r="U131" s="927" t="n"/>
      <c r="V131" s="927" t="n"/>
      <c r="W131" s="930" t="n"/>
      <c r="X131" s="927" t="n"/>
      <c r="Y131" s="927" t="n"/>
      <c r="Z131" s="927" t="n"/>
      <c r="AA131" s="927" t="n"/>
      <c r="AB131" s="927" t="n"/>
      <c r="AC131" s="380" t="n"/>
      <c r="AD131" s="312" t="n"/>
      <c r="AE131" s="931" t="n"/>
    </row>
    <row r="132" ht="13.5" customHeight="1" s="7635" thickBot="1">
      <c r="B132" s="12204" t="inlineStr">
        <is>
          <t>Download Form 1040 Schedule R Instructions</t>
        </is>
      </c>
      <c r="C132" s="12137" t="n"/>
      <c r="D132" s="12137" t="n"/>
      <c r="E132" s="12137" t="n"/>
      <c r="F132" s="12137" t="n"/>
      <c r="G132" s="12137" t="n"/>
      <c r="H132" s="12137" t="n"/>
      <c r="I132" s="12203" t="n"/>
      <c r="J132" s="130" t="n"/>
      <c r="K132" s="897" t="inlineStr">
        <is>
          <t>1.</t>
        </is>
      </c>
      <c r="L132" s="898" t="inlineStr">
        <is>
          <t>Enter the amount from Form 1040, line 18</t>
        </is>
      </c>
      <c r="M132" s="899" t="n"/>
      <c r="N132" s="898" t="n"/>
      <c r="O132" s="898" t="n"/>
      <c r="P132" s="898" t="n"/>
      <c r="Q132" s="898" t="n"/>
      <c r="R132" s="900" t="n"/>
      <c r="S132" s="900" t="n"/>
      <c r="T132" s="901" t="n"/>
      <c r="U132" s="899" t="n"/>
      <c r="V132" s="899" t="n"/>
      <c r="W132" s="902" t="n"/>
      <c r="X132" s="899" t="n"/>
      <c r="Y132" s="899" t="n"/>
      <c r="Z132" s="899" t="n"/>
      <c r="AA132" s="899" t="n"/>
      <c r="AB132" s="2288" t="inlineStr">
        <is>
          <t>.   .   .   .   .   .   .   .   .   .   .</t>
        </is>
      </c>
      <c r="AC132" s="903" t="inlineStr">
        <is>
          <t>1.</t>
        </is>
      </c>
      <c r="AD132" s="917">
        <f>IF(Y120,"",Tax)</f>
        <v/>
      </c>
      <c r="AE132" s="904" t="n"/>
    </row>
    <row r="133">
      <c r="K133" s="905" t="inlineStr">
        <is>
          <t>2.</t>
        </is>
      </c>
      <c r="L133" s="906" t="inlineStr">
        <is>
          <t>Enter the amount from Schedule 3 (Form 1040), lines 1, 2, and 6l</t>
        </is>
      </c>
      <c r="M133" s="907" t="n"/>
      <c r="N133" s="906" t="n"/>
      <c r="O133" s="906" t="n"/>
      <c r="P133" s="906" t="n"/>
      <c r="Q133" s="906" t="n"/>
      <c r="R133" s="908" t="n"/>
      <c r="S133" s="908" t="n"/>
      <c r="T133" s="909" t="n"/>
      <c r="U133" s="907" t="n"/>
      <c r="V133" s="907" t="n"/>
      <c r="W133" s="910" t="n"/>
      <c r="X133" s="907" t="n"/>
      <c r="Y133" s="907" t="n"/>
      <c r="Z133" s="907" t="n"/>
      <c r="AA133" s="907" t="n"/>
      <c r="AB133" s="2288" t="inlineStr">
        <is>
          <t>.   .   .</t>
        </is>
      </c>
      <c r="AC133" s="911" t="inlineStr">
        <is>
          <t>2.</t>
        </is>
      </c>
      <c r="AD133" s="334">
        <f>IF(Y120,"",SUM(Foreign_Tax_Credit,Care_Expenses,'Sch. 3'!W29))</f>
        <v/>
      </c>
      <c r="AE133" s="912" t="n"/>
    </row>
    <row r="134">
      <c r="D134" s="7274" t="inlineStr">
        <is>
          <t>Table of Contents</t>
        </is>
      </c>
      <c r="K134" s="905" t="inlineStr">
        <is>
          <t>3.</t>
        </is>
      </c>
      <c r="L134" s="906" t="inlineStr">
        <is>
          <t>Subtract line 2 from line 1. Enter this amount on Schedule R (Form 1040),</t>
        </is>
      </c>
      <c r="M134" s="723" t="n"/>
      <c r="N134" s="906" t="n"/>
      <c r="O134" s="723" t="n"/>
      <c r="P134" s="723" t="n"/>
      <c r="Q134" s="723" t="n"/>
      <c r="R134" s="723" t="n"/>
      <c r="S134" s="723" t="n"/>
      <c r="T134" s="723" t="n"/>
      <c r="U134" s="723" t="n"/>
      <c r="V134" s="723" t="n"/>
      <c r="W134" s="723" t="n"/>
      <c r="X134" s="723" t="n"/>
      <c r="Y134" s="723" t="n"/>
      <c r="Z134" s="723" t="n"/>
      <c r="AA134" s="723" t="n"/>
      <c r="AB134" s="723" t="n"/>
      <c r="AC134" s="723" t="n"/>
      <c r="AD134" s="385" t="n"/>
      <c r="AE134" s="912" t="n"/>
    </row>
    <row r="135">
      <c r="K135" s="913" t="n"/>
      <c r="L135" s="906" t="inlineStr">
        <is>
          <t xml:space="preserve">line 21. </t>
        </is>
      </c>
      <c r="M135" s="723" t="n"/>
      <c r="N135" s="906" t="n"/>
      <c r="O135" s="906" t="inlineStr">
        <is>
          <t>But if zero or less, STOP, you can't take this credit</t>
        </is>
      </c>
      <c r="P135" s="723" t="n"/>
      <c r="Q135" s="723" t="n"/>
      <c r="R135" s="723" t="n"/>
      <c r="S135" s="723" t="n"/>
      <c r="T135" s="723" t="n"/>
      <c r="U135" s="723" t="n"/>
      <c r="V135" s="723" t="n"/>
      <c r="W135" s="723" t="n"/>
      <c r="X135" s="723" t="n"/>
      <c r="Y135" s="723" t="n"/>
      <c r="Z135" s="723" t="n"/>
      <c r="AA135" s="723" t="n"/>
      <c r="AB135" s="2288" t="inlineStr">
        <is>
          <t>.   .   .   .</t>
        </is>
      </c>
      <c r="AC135" s="911" t="inlineStr">
        <is>
          <t>3.</t>
        </is>
      </c>
      <c r="AD135" s="334">
        <f>IF(Y120,"",SUM(AD132,-AD133))</f>
        <v/>
      </c>
      <c r="AE135" s="912" t="n"/>
    </row>
    <row r="136" ht="13.5" customHeight="1" s="7635" thickBot="1">
      <c r="K136" s="914" t="n"/>
      <c r="L136" s="818" t="n"/>
      <c r="M136" s="818" t="n"/>
      <c r="N136" s="915" t="n"/>
      <c r="O136" s="818" t="n"/>
      <c r="P136" s="818" t="n"/>
      <c r="Q136" s="818" t="n"/>
      <c r="R136" s="818" t="n"/>
      <c r="S136" s="818" t="n"/>
      <c r="T136" s="818" t="n"/>
      <c r="U136" s="818" t="n"/>
      <c r="V136" s="818" t="n"/>
      <c r="W136" s="818" t="n"/>
      <c r="X136" s="818" t="n"/>
      <c r="Y136" s="818" t="n"/>
      <c r="Z136" s="818" t="n"/>
      <c r="AA136" s="818" t="n"/>
      <c r="AB136" s="818" t="n"/>
      <c r="AC136" s="818" t="n"/>
      <c r="AD136" s="932">
        <f>(AD135&lt;=0)</f>
        <v/>
      </c>
      <c r="AE136" s="916" t="n"/>
    </row>
  </sheetData>
  <sheetProtection selectLockedCells="0" selectUnlockedCells="0" algorithmName="SHA-512" sheet="1" objects="1" insertRows="1" insertHyperlinks="1" autoFilter="1" scenarios="1" formatColumns="0" deleteColumns="1" insertColumns="1" pivotTables="1" deleteRows="1" formatCells="0" saltValue="I9d9LI8dmnistZX0j2CaCQ==" formatRows="0" sort="1" spinCount="100000" hashValue="BougqCHuOTKTFqsn9u6nG+h6CvolhnTXebvhd8TdtutMVJ23jbbQpI6ELCNYRRFVaX943qdYfVnHsvMaGTz31w=="/>
  <mergeCells count="60">
    <mergeCell ref="E15:W15"/>
    <mergeCell ref="X12:AB12"/>
    <mergeCell ref="J6:L6"/>
    <mergeCell ref="B54:C54"/>
    <mergeCell ref="F8:H8"/>
    <mergeCell ref="T105:W105"/>
    <mergeCell ref="J4:L4"/>
    <mergeCell ref="Y120:AB120"/>
    <mergeCell ref="R4:S4"/>
    <mergeCell ref="E16:W16"/>
    <mergeCell ref="F83:G83"/>
    <mergeCell ref="B16:D17"/>
    <mergeCell ref="X13:AB13"/>
    <mergeCell ref="T102:W102"/>
    <mergeCell ref="B130:I130"/>
    <mergeCell ref="O115:R115"/>
    <mergeCell ref="O111:R111"/>
    <mergeCell ref="B19:S19"/>
    <mergeCell ref="Y122:AB122"/>
    <mergeCell ref="Y91:AB91"/>
    <mergeCell ref="B61:C61"/>
    <mergeCell ref="Y125:AB125"/>
    <mergeCell ref="F85:G85"/>
    <mergeCell ref="O117:R117"/>
    <mergeCell ref="B15:D15"/>
    <mergeCell ref="B132:I132"/>
    <mergeCell ref="J3:L3"/>
    <mergeCell ref="Y121:AB121"/>
    <mergeCell ref="R12:S12"/>
    <mergeCell ref="B38:C38"/>
    <mergeCell ref="T19:AB19"/>
    <mergeCell ref="X15:AB17"/>
    <mergeCell ref="E14:W14"/>
    <mergeCell ref="B28:C28"/>
    <mergeCell ref="K78:M78"/>
    <mergeCell ref="X14:AB14"/>
    <mergeCell ref="D134:E136"/>
    <mergeCell ref="F4:H4"/>
    <mergeCell ref="J8:L8"/>
    <mergeCell ref="B13:D14"/>
    <mergeCell ref="Y98:AB98"/>
    <mergeCell ref="F56:G56"/>
    <mergeCell ref="B49:C49"/>
    <mergeCell ref="F58:G58"/>
    <mergeCell ref="L86:R87"/>
    <mergeCell ref="Y123:AB123"/>
    <mergeCell ref="F10:H10"/>
    <mergeCell ref="T118:W118"/>
    <mergeCell ref="K80:M80"/>
    <mergeCell ref="F6:H6"/>
    <mergeCell ref="J10:L10"/>
    <mergeCell ref="Y79:AB79"/>
    <mergeCell ref="B76:C76"/>
    <mergeCell ref="O114:R114"/>
    <mergeCell ref="K79:M79"/>
    <mergeCell ref="Y119:AB119"/>
    <mergeCell ref="B26:C26"/>
    <mergeCell ref="F3:H3"/>
    <mergeCell ref="T109:W109"/>
    <mergeCell ref="R8:S8"/>
  </mergeCells>
  <conditionalFormatting sqref="B19:C19 T19:AA19">
    <cfRule type="expression" priority="158" dxfId="6">
      <formula>IF(NoColor,1,0)</formula>
    </cfRule>
  </conditionalFormatting>
  <conditionalFormatting sqref="E13">
    <cfRule type="expression" priority="67" dxfId="20">
      <formula>NOT(Draft)</formula>
    </cfRule>
  </conditionalFormatting>
  <conditionalFormatting sqref="F56:G56">
    <cfRule type="expression" priority="62" dxfId="4">
      <formula>$B$54</formula>
    </cfRule>
  </conditionalFormatting>
  <conditionalFormatting sqref="F58:G58">
    <cfRule type="expression" priority="61" dxfId="4">
      <formula>NOT($B$54)</formula>
    </cfRule>
  </conditionalFormatting>
  <conditionalFormatting sqref="F83:G83">
    <cfRule type="expression" priority="58" dxfId="4">
      <formula>$B$84</formula>
    </cfRule>
  </conditionalFormatting>
  <conditionalFormatting sqref="F85:G85">
    <cfRule type="expression" priority="57" dxfId="4">
      <formula>NOT($B$84)</formula>
    </cfRule>
  </conditionalFormatting>
  <conditionalFormatting sqref="F6:H6">
    <cfRule type="expression" priority="51" dxfId="2390">
      <formula>$I$4</formula>
    </cfRule>
  </conditionalFormatting>
  <conditionalFormatting sqref="F8:H8">
    <cfRule type="expression" priority="50" dxfId="2390">
      <formula>$I$6</formula>
    </cfRule>
  </conditionalFormatting>
  <conditionalFormatting sqref="F10:H10">
    <cfRule type="expression" priority="49" dxfId="2390">
      <formula>$I$8</formula>
    </cfRule>
  </conditionalFormatting>
  <conditionalFormatting sqref="G120">
    <cfRule type="expression" priority="31" dxfId="14">
      <formula>$Y$120</formula>
    </cfRule>
  </conditionalFormatting>
  <conditionalFormatting sqref="J3:L3">
    <cfRule type="expression" priority="30" dxfId="2394">
      <formula>File_Marr_Joint&lt;&gt;""</formula>
    </cfRule>
  </conditionalFormatting>
  <conditionalFormatting sqref="J4:L4">
    <cfRule type="expression" priority="55" dxfId="2087">
      <formula>File_Marr_Joint&lt;&gt;""</formula>
    </cfRule>
  </conditionalFormatting>
  <conditionalFormatting sqref="J6:L6">
    <cfRule type="expression" priority="54" dxfId="2390">
      <formula>AND(File_Marr_Joint&lt;&gt;"",P4)</formula>
    </cfRule>
  </conditionalFormatting>
  <conditionalFormatting sqref="J8:L8">
    <cfRule type="expression" priority="53" dxfId="2390">
      <formula>AND(File_Marr_Joint&lt;&gt;"",P6)</formula>
    </cfRule>
  </conditionalFormatting>
  <conditionalFormatting sqref="J10:L10">
    <cfRule type="expression" priority="48" dxfId="2390">
      <formula>$P$8</formula>
    </cfRule>
  </conditionalFormatting>
  <conditionalFormatting sqref="M82:N82">
    <cfRule type="expression" priority="89" dxfId="6">
      <formula>IF(NoColor,1,0)</formula>
    </cfRule>
  </conditionalFormatting>
  <conditionalFormatting sqref="N80">
    <cfRule type="expression" priority="90" dxfId="6">
      <formula>IF(NoColor,1,0)</formula>
    </cfRule>
  </conditionalFormatting>
  <conditionalFormatting sqref="O135">
    <cfRule type="expression" priority="34" dxfId="158">
      <formula>$AD$136</formula>
    </cfRule>
  </conditionalFormatting>
  <conditionalFormatting sqref="O111:P111">
    <cfRule type="expression" priority="43" dxfId="6">
      <formula>IF(NoColor,1,0)</formula>
    </cfRule>
  </conditionalFormatting>
  <conditionalFormatting sqref="O114:P115">
    <cfRule type="expression" priority="16" dxfId="6">
      <formula>IF(NoColor,1,0)</formula>
    </cfRule>
  </conditionalFormatting>
  <conditionalFormatting sqref="O117:P117">
    <cfRule type="expression" priority="15" dxfId="6">
      <formula>IF(NoColor,1,0)</formula>
    </cfRule>
  </conditionalFormatting>
  <conditionalFormatting sqref="T102">
    <cfRule type="expression" priority="46" dxfId="6">
      <formula>IF(NoColor,1,0)</formula>
    </cfRule>
  </conditionalFormatting>
  <conditionalFormatting sqref="T105">
    <cfRule type="expression" priority="17" dxfId="6">
      <formula>IF(NoColor,1,0)</formula>
    </cfRule>
  </conditionalFormatting>
  <conditionalFormatting sqref="T109">
    <cfRule type="expression" priority="44" dxfId="6">
      <formula>IF(NoColor,1,0)</formula>
    </cfRule>
  </conditionalFormatting>
  <conditionalFormatting sqref="T118:U118">
    <cfRule type="expression" priority="20" dxfId="6">
      <formula>IF(NoColor,1,0)</formula>
    </cfRule>
  </conditionalFormatting>
  <conditionalFormatting sqref="V13">
    <cfRule type="expression" priority="66" dxfId="20">
      <formula>NOT(Draft)</formula>
    </cfRule>
  </conditionalFormatting>
  <conditionalFormatting sqref="Y79">
    <cfRule type="expression" priority="59" dxfId="6">
      <formula>IF(NoColor,1,0)</formula>
    </cfRule>
  </conditionalFormatting>
  <conditionalFormatting sqref="Y91">
    <cfRule type="expression" priority="28" dxfId="6">
      <formula>IF(NoColor,1,0)</formula>
    </cfRule>
  </conditionalFormatting>
  <conditionalFormatting sqref="Y98">
    <cfRule type="expression" priority="27" dxfId="6">
      <formula>IF(NoColor,1,0)</formula>
    </cfRule>
  </conditionalFormatting>
  <conditionalFormatting sqref="Y119">
    <cfRule type="expression" priority="26" dxfId="6">
      <formula>IF(NoColor,1,0)</formula>
    </cfRule>
  </conditionalFormatting>
  <conditionalFormatting sqref="Y121:Y123">
    <cfRule type="expression" priority="23" dxfId="6">
      <formula>IF(NoColor,1,0)</formula>
    </cfRule>
  </conditionalFormatting>
  <conditionalFormatting sqref="Y125">
    <cfRule type="expression" priority="22" dxfId="6">
      <formula>IF(NoColor,1,0)</formula>
    </cfRule>
  </conditionalFormatting>
  <conditionalFormatting sqref="AA29">
    <cfRule type="expression" priority="11" dxfId="6">
      <formula>NoColor</formula>
    </cfRule>
  </conditionalFormatting>
  <conditionalFormatting sqref="AA31">
    <cfRule type="expression" priority="10" dxfId="6">
      <formula>NoColor</formula>
    </cfRule>
  </conditionalFormatting>
  <conditionalFormatting sqref="AA34">
    <cfRule type="expression" priority="9" dxfId="6">
      <formula>NoColor</formula>
    </cfRule>
  </conditionalFormatting>
  <conditionalFormatting sqref="AA37">
    <cfRule type="expression" priority="8" dxfId="6">
      <formula>NoColor</formula>
    </cfRule>
  </conditionalFormatting>
  <conditionalFormatting sqref="AA40">
    <cfRule type="expression" priority="7" dxfId="6">
      <formula>NoColor</formula>
    </cfRule>
  </conditionalFormatting>
  <conditionalFormatting sqref="AA43">
    <cfRule type="expression" priority="6" dxfId="6">
      <formula>NoColor</formula>
    </cfRule>
  </conditionalFormatting>
  <conditionalFormatting sqref="AA46">
    <cfRule type="expression" priority="5" dxfId="6">
      <formula>NoColor</formula>
    </cfRule>
  </conditionalFormatting>
  <conditionalFormatting sqref="AA49">
    <cfRule type="expression" priority="4" dxfId="6">
      <formula>NoColor</formula>
    </cfRule>
  </conditionalFormatting>
  <conditionalFormatting sqref="AA52">
    <cfRule type="expression" priority="3" dxfId="6">
      <formula>NoColor</formula>
    </cfRule>
  </conditionalFormatting>
  <conditionalFormatting sqref="AA66">
    <cfRule type="expression" priority="29" dxfId="6">
      <formula>NoColor</formula>
    </cfRule>
  </conditionalFormatting>
  <conditionalFormatting sqref="AD74">
    <cfRule type="expression" priority="65" dxfId="1">
      <formula>(Y25&lt;&gt;0)</formula>
    </cfRule>
  </conditionalFormatting>
  <conditionalFormatting sqref="AD132:AD133">
    <cfRule type="expression" priority="13" dxfId="6">
      <formula>NoColor</formula>
    </cfRule>
  </conditionalFormatting>
  <conditionalFormatting sqref="AD135">
    <cfRule type="expression" priority="12" dxfId="6">
      <formula>NoColor</formula>
    </cfRule>
  </conditionalFormatting>
  <conditionalFormatting sqref="AE23">
    <cfRule type="expression" priority="64" dxfId="2357">
      <formula>FarmProfitNet&lt;&gt;0</formula>
    </cfRule>
  </conditionalFormatting>
  <conditionalFormatting sqref="AE25">
    <cfRule type="expression" priority="63" dxfId="2356">
      <formula>FarmProfitNet&lt;&gt;0</formula>
    </cfRule>
  </conditionalFormatting>
  <hyperlinks>
    <hyperlink xmlns:r="http://schemas.openxmlformats.org/officeDocument/2006/relationships" ref="B130" display="Download Form 1040 Schedule R" r:id="rId1"/>
    <hyperlink xmlns:r="http://schemas.openxmlformats.org/officeDocument/2006/relationships" ref="B132" display="Download Form 1040 Schedule R Instructions" r:id="rId2"/>
    <hyperlink ref="D134" location="'Table of Contents'!A1" display="Table of Contents"/>
  </hyperlinks>
  <pageMargins left="0.75" right="0.25" top="0.36" bottom="0.29" header="0.36" footer="0.21"/>
  <pageSetup orientation="portrait" scale="91" fitToHeight="0"/>
  <rowBreaks count="1" manualBreakCount="1">
    <brk id="74" min="1" max="27" man="1"/>
  </rowBreaks>
  <drawing xmlns:r="http://schemas.openxmlformats.org/officeDocument/2006/relationships" r:id="rId3"/>
</worksheet>
</file>

<file path=xl/worksheets/sheet37.xml><?xml version="1.0" encoding="utf-8"?>
<worksheet xmlns="http://schemas.openxmlformats.org/spreadsheetml/2006/main">
  <sheetPr codeName="Sheet12">
    <outlinePr summaryBelow="1" summaryRight="1"/>
    <pageSetUpPr fitToPage="1"/>
  </sheetPr>
  <dimension ref="A1:AZ147"/>
  <sheetViews>
    <sheetView zoomScaleNormal="100" zoomScaleSheetLayoutView="115" workbookViewId="0">
      <selection activeCell="A1" sqref="A1"/>
    </sheetView>
  </sheetViews>
  <sheetFormatPr baseColWidth="8" defaultRowHeight="12.75"/>
  <cols>
    <col width="2.140625" customWidth="1" style="7635" min="1" max="1"/>
    <col width="1.85546875" customWidth="1" style="7635" min="2" max="2"/>
    <col width="3.140625" customWidth="1" style="7635" min="3" max="4"/>
    <col width="4.140625" customWidth="1" style="7635" min="5" max="5"/>
    <col width="9.28515625" customWidth="1" style="7635" min="6" max="6"/>
    <col width="6.28515625" customWidth="1" style="7635" min="7" max="7"/>
    <col width="5.42578125" customWidth="1" style="7635" min="8" max="8"/>
    <col width="5" customWidth="1" style="7635" min="9" max="9"/>
    <col width="4.140625" customWidth="1" style="7635" min="10" max="10"/>
    <col width="9.85546875" customWidth="1" style="7635" min="11" max="11"/>
    <col width="2.5703125" customWidth="1" style="7635" min="12" max="12"/>
    <col width="3.7109375" customWidth="1" style="7635" min="13" max="13"/>
    <col width="4.140625" customWidth="1" style="7635" min="14" max="14"/>
    <col width="2.28515625" customWidth="1" style="7635" min="15" max="15"/>
    <col width="4.5703125" customWidth="1" style="7635" min="16" max="16"/>
    <col width="6.85546875" customWidth="1" style="7635" min="17" max="17"/>
    <col width="3.7109375" customWidth="1" style="7635" min="18" max="22"/>
    <col width="4" customWidth="1" style="7635" min="23" max="23"/>
    <col width="11.42578125" customWidth="1" style="7635" min="24" max="24"/>
    <col width="3.85546875" customWidth="1" style="7635" min="25" max="25"/>
    <col width="1.5703125" customWidth="1" style="7635" min="26" max="26"/>
    <col width="3.42578125" customWidth="1" style="7635" min="27" max="27"/>
    <col width="17.140625" customWidth="1" style="7635" min="28" max="28"/>
    <col width="4.28515625" customWidth="1" style="7635" min="29" max="30"/>
    <col width="10.7109375" customWidth="1" style="7635" min="31" max="31"/>
    <col width="6.5703125" customWidth="1" style="7635" min="32" max="32"/>
    <col width="23.7109375" customWidth="1" style="7635" min="33" max="33"/>
    <col width="14.85546875" customWidth="1" style="7635" min="34" max="34"/>
    <col width="3.7109375" customWidth="1" style="7635" min="35" max="35"/>
    <col hidden="1" width="13.85546875" customWidth="1" style="7635" min="36" max="36"/>
    <col hidden="1" width="27.7109375" customWidth="1" style="7635" min="37" max="37"/>
    <col hidden="1" width="12.140625" customWidth="1" style="7635" min="38" max="41"/>
    <col width="5.28515625" customWidth="1" style="7635" min="42" max="42"/>
    <col width="10.5703125" customWidth="1" style="7635" min="43" max="44"/>
    <col width="10.42578125" customWidth="1" style="7635" min="45" max="45"/>
    <col width="8.7109375" customWidth="1" style="7635" min="46" max="48"/>
  </cols>
  <sheetData>
    <row r="1" ht="27" customHeight="1" s="7635">
      <c r="A1" s="139" t="n"/>
      <c r="B1" s="8860" t="n"/>
      <c r="G1" s="844" t="inlineStr">
        <is>
          <t>NOTE:  This sheet includes 2 Schedule SE forms.</t>
        </is>
      </c>
      <c r="H1" s="139" t="n"/>
      <c r="I1" s="139" t="n"/>
      <c r="J1" s="139" t="n"/>
      <c r="K1" s="139" t="n"/>
      <c r="L1" s="139" t="n"/>
      <c r="M1" s="139" t="n"/>
      <c r="N1" s="139" t="n"/>
      <c r="O1" s="139" t="n"/>
      <c r="P1" s="139" t="n"/>
      <c r="Q1" s="139" t="n"/>
      <c r="R1" s="139" t="n"/>
      <c r="S1" s="139" t="n"/>
      <c r="T1" s="139" t="n"/>
      <c r="U1" s="139" t="n"/>
      <c r="V1" s="139" t="n"/>
      <c r="W1" s="8946">
        <f>IF('Table of Contents'!A42="D","DRAFT","")</f>
        <v/>
      </c>
      <c r="AA1" s="139" t="n"/>
      <c r="AB1" s="5415" t="n"/>
      <c r="AC1" s="11602" t="n"/>
      <c r="AD1" s="11602" t="n"/>
      <c r="AE1" s="11602" t="n"/>
      <c r="AF1" s="11602" t="n"/>
      <c r="AG1" s="11602" t="n"/>
      <c r="AH1" s="11602" t="n"/>
      <c r="AI1" s="11602" t="n"/>
      <c r="AJ1" s="11602" t="n"/>
      <c r="AK1" s="11602" t="n"/>
      <c r="AL1" s="11602" t="n"/>
      <c r="AM1" s="11602" t="n"/>
      <c r="AN1" s="11602" t="n"/>
      <c r="AO1" s="11602" t="n"/>
      <c r="AP1" s="11602" t="n"/>
      <c r="AQ1" s="658" t="n"/>
      <c r="AR1" s="658" t="n"/>
      <c r="AS1" s="658" t="n"/>
      <c r="AT1" s="658" t="n"/>
      <c r="AU1" s="658" t="n"/>
      <c r="AV1" s="658" t="n"/>
      <c r="AW1" s="658" t="n"/>
      <c r="AX1" s="658" t="n"/>
      <c r="AY1" s="658" t="n"/>
      <c r="AZ1" s="658" t="n"/>
    </row>
    <row r="2" ht="21.75" customHeight="1" s="7635">
      <c r="A2" s="139" t="n"/>
      <c r="B2" s="12205" t="inlineStr">
        <is>
          <t>SCHEDULE SE</t>
        </is>
      </c>
      <c r="F2" s="1066" t="n"/>
      <c r="G2" s="2118" t="n"/>
      <c r="H2" s="1660" t="n"/>
      <c r="I2" s="1660" t="n"/>
      <c r="J2" s="1660" t="n"/>
      <c r="K2" s="1660" t="n"/>
      <c r="L2" s="1660" t="n"/>
      <c r="M2" s="1660" t="n"/>
      <c r="N2" s="1660" t="n"/>
      <c r="O2" s="1660" t="n"/>
      <c r="P2" s="1660" t="n"/>
      <c r="Q2" s="1660" t="n"/>
      <c r="R2" s="1660" t="n"/>
      <c r="S2" s="1660" t="n"/>
      <c r="T2" s="1660" t="n"/>
      <c r="U2" s="1660" t="n"/>
      <c r="V2" s="5600" t="n"/>
      <c r="W2" s="8945">
        <f>IF(AND(AA2="",'Table of Contents'!A42="D"),"DRAFT","OMB No. 1545-0074")</f>
        <v/>
      </c>
      <c r="X2" s="7637" t="n"/>
      <c r="Y2" s="7637" t="n"/>
      <c r="Z2" s="7637" t="n"/>
      <c r="AA2" s="2386" t="n"/>
      <c r="AB2" s="2975" t="inlineStr">
        <is>
          <t>Schedule SE #1</t>
        </is>
      </c>
      <c r="AC2" s="9068" t="n"/>
      <c r="AD2" s="9068" t="n"/>
      <c r="AE2" s="9068" t="n"/>
      <c r="AF2" s="9068" t="n"/>
      <c r="AG2" s="9068" t="n"/>
      <c r="AH2" s="9068" t="n"/>
      <c r="AI2" s="7816" t="n"/>
      <c r="AJ2" s="9068" t="n"/>
      <c r="AK2" s="7816" t="n"/>
      <c r="AL2" s="7816" t="n"/>
      <c r="AM2" s="7816" t="n"/>
      <c r="AN2" s="7816" t="n"/>
      <c r="AO2" s="7816" t="n"/>
      <c r="AP2" s="7816" t="n"/>
      <c r="AQ2" s="657" t="inlineStr">
        <is>
          <t>Notes</t>
        </is>
      </c>
      <c r="AR2" s="658" t="n"/>
      <c r="AS2" s="658" t="n"/>
      <c r="AT2" s="658" t="n"/>
      <c r="AU2" s="658" t="n"/>
      <c r="AV2" s="658" t="n"/>
      <c r="AW2" s="658" t="n"/>
      <c r="AX2" s="658" t="n"/>
      <c r="AY2" s="658" t="n"/>
      <c r="AZ2" s="658" t="n"/>
    </row>
    <row r="3" ht="27.75" customHeight="1" s="7635">
      <c r="A3" s="139" t="n"/>
      <c r="B3" s="8896" t="inlineStr">
        <is>
          <t>(Form 1040)</t>
        </is>
      </c>
      <c r="F3" s="1066" t="n"/>
      <c r="G3" s="12206" t="inlineStr">
        <is>
          <t>Self-Employment Tax</t>
        </is>
      </c>
      <c r="V3" s="1066" t="n"/>
      <c r="W3" s="8911">
        <f>TaxYear</f>
        <v/>
      </c>
      <c r="X3" s="7839" t="n"/>
      <c r="Y3" s="7839" t="n"/>
      <c r="Z3" s="7839" t="n"/>
      <c r="AA3" s="139" t="n"/>
      <c r="AB3" s="5415" t="n"/>
      <c r="AC3" s="7816" t="inlineStr">
        <is>
          <t>This Schedule SE is being completed for:</t>
        </is>
      </c>
      <c r="AF3" s="9068" t="n"/>
      <c r="AG3" s="9068" t="n"/>
      <c r="AH3" s="9068" t="n"/>
      <c r="AI3" s="7816" t="n"/>
      <c r="AJ3" s="9068" t="n"/>
      <c r="AK3" s="7816" t="n"/>
      <c r="AL3" s="7816" t="n"/>
      <c r="AM3" s="7816" t="n"/>
      <c r="AN3" s="7816" t="n"/>
      <c r="AO3" s="7816" t="n"/>
      <c r="AP3" s="7816" t="n"/>
      <c r="AQ3" s="658" t="n"/>
      <c r="AR3" s="658" t="n"/>
      <c r="AS3" s="658" t="n"/>
      <c r="AT3" s="658" t="n"/>
      <c r="AU3" s="658" t="n"/>
      <c r="AV3" s="658" t="n"/>
      <c r="AW3" s="658" t="n"/>
      <c r="AX3" s="658" t="n"/>
      <c r="AY3" s="658" t="n"/>
      <c r="AZ3" s="658" t="n"/>
    </row>
    <row r="4" ht="13.5" customHeight="1" s="7635" thickBot="1">
      <c r="A4" s="139" t="n"/>
      <c r="B4" s="8886" t="inlineStr">
        <is>
          <t>Department of the Treasury</t>
        </is>
      </c>
      <c r="F4" s="1066" t="n"/>
      <c r="G4" s="12207" t="inlineStr">
        <is>
          <t xml:space="preserve">Attach to Form 1040, 1040-SR,  1040-SS, or  1040NR.   </t>
        </is>
      </c>
      <c r="V4" s="1066" t="n"/>
      <c r="W4" s="5601" t="n"/>
      <c r="X4" s="8908" t="inlineStr">
        <is>
          <t>Attachment
Sequence No. 17</t>
        </is>
      </c>
      <c r="AA4" s="139" t="n"/>
      <c r="AB4" s="5415" t="n"/>
      <c r="AF4" s="9068" t="n"/>
      <c r="AG4" s="9068" t="n"/>
      <c r="AH4" s="9068" t="n"/>
      <c r="AI4" s="7816" t="n"/>
      <c r="AJ4" s="9068" t="n"/>
      <c r="AK4" s="7816" t="n"/>
      <c r="AL4" s="7816" t="n"/>
      <c r="AM4" s="7816" t="n"/>
      <c r="AN4" s="7816" t="n"/>
      <c r="AO4" s="7816" t="n"/>
      <c r="AP4" s="7816" t="n"/>
      <c r="AQ4" s="658" t="n"/>
      <c r="AR4" s="658" t="n"/>
      <c r="AS4" s="658" t="n"/>
      <c r="AT4" s="658" t="n"/>
      <c r="AU4" s="658" t="n"/>
      <c r="AV4" s="658" t="n"/>
      <c r="AW4" s="658" t="n"/>
      <c r="AX4" s="658" t="n"/>
      <c r="AY4" s="658" t="n"/>
      <c r="AZ4" s="658" t="n"/>
    </row>
    <row r="5" ht="12.75" customHeight="1" s="7635" thickBot="1">
      <c r="A5" s="139" t="n"/>
      <c r="B5" s="8889">
        <f>"Internal Revenue Service  (99)"</f>
        <v/>
      </c>
      <c r="C5" s="8848" t="n"/>
      <c r="D5" s="8848" t="n"/>
      <c r="E5" s="8848" t="n"/>
      <c r="F5" s="2627" t="n"/>
      <c r="G5" s="12207" t="inlineStr">
        <is>
          <t>Go to www.irs.gov/ScheduleSE for instructions and the latest information.</t>
        </is>
      </c>
      <c r="V5" s="1066" t="n"/>
      <c r="W5" s="5602" t="n"/>
      <c r="X5" s="8848" t="n"/>
      <c r="Y5" s="8848" t="n"/>
      <c r="Z5" s="8848" t="n"/>
      <c r="AA5" s="139" t="n"/>
      <c r="AB5" s="5415" t="n"/>
      <c r="AC5" s="11602" t="n"/>
      <c r="AD5" s="277" t="inlineStr">
        <is>
          <t>X</t>
        </is>
      </c>
      <c r="AE5" s="1059" t="inlineStr">
        <is>
          <t xml:space="preserve">  Yourself</t>
        </is>
      </c>
      <c r="AF5" s="11602" t="n"/>
      <c r="AG5" s="8898">
        <f>IF(AND(AJ7,AL35),"Error: You can't check 'Spouse' if this form is for your statutory employee income.",IF(AND(AJ5,AM35),"Error: You can't check 'Yourself' if this form is for your spouse's statutory employee income.",""))</f>
        <v/>
      </c>
      <c r="AH5" s="7816" t="n"/>
      <c r="AI5" s="11602" t="n"/>
      <c r="AJ5" s="11602">
        <f>(AD5&lt;&gt;"")</f>
        <v/>
      </c>
      <c r="AK5" s="7816" t="n"/>
      <c r="AL5" s="11602">
        <f>OR(AND('Sch. C'!M7=SS_Yours,'Sch. C'!Y6,NOT('Sch. C'!Y10)),AND('Sch. C'!M121=SS_Yours,'Sch. C'!Y120,NOT('Sch. C'!Y124)))</f>
        <v/>
      </c>
      <c r="AM5" s="7816" t="n"/>
      <c r="AN5" s="7816" t="n"/>
      <c r="AO5" s="7816" t="n"/>
      <c r="AP5" s="7816" t="n"/>
      <c r="AQ5" s="658" t="n"/>
      <c r="AR5" s="658" t="n"/>
      <c r="AS5" s="658" t="n"/>
      <c r="AT5" s="658" t="n"/>
      <c r="AU5" s="658" t="n"/>
      <c r="AV5" s="658" t="n"/>
      <c r="AW5" s="658" t="n"/>
      <c r="AX5" s="658" t="n"/>
      <c r="AY5" s="658" t="n"/>
      <c r="AZ5" s="658" t="n"/>
    </row>
    <row r="6" ht="12" customHeight="1" s="7635" thickBot="1">
      <c r="A6" s="139" t="n"/>
      <c r="B6" s="8884" t="inlineStr">
        <is>
          <t>Name of person with self-employment income (as shown on Form 1040, 1040-SR, 1040-SS or 1040-NR)</t>
        </is>
      </c>
      <c r="C6" s="2506" t="n"/>
      <c r="D6" s="2506" t="n"/>
      <c r="E6" s="2506" t="n"/>
      <c r="F6" s="2506" t="n"/>
      <c r="G6" s="2506" t="n"/>
      <c r="H6" s="2506" t="n"/>
      <c r="I6" s="2506" t="n"/>
      <c r="J6" s="2506" t="n"/>
      <c r="K6" s="2506" t="n"/>
      <c r="L6" s="2506" t="n"/>
      <c r="M6" s="2506" t="n"/>
      <c r="N6" s="2506" t="n"/>
      <c r="O6" s="2506" t="n"/>
      <c r="P6" s="2506" t="n"/>
      <c r="Q6" s="12208">
        <f>IF($AJ$6,"Social security number(s) MUST be entered for this form to work properly.","Social security number of person"&amp;CHAR(10)&amp;"with self-employment income")</f>
        <v/>
      </c>
      <c r="R6" s="2506" t="n"/>
      <c r="S6" s="2506" t="n"/>
      <c r="T6" s="2506" t="n"/>
      <c r="U6" s="2506" t="n"/>
      <c r="V6" s="11716" t="n"/>
      <c r="W6" s="12209">
        <f>IF(AND(AJ5,AJ7),SS_Yours,IF(AJ5,SS_Yours,IF(AJ7,SS_Spouse,"")))</f>
        <v/>
      </c>
      <c r="X6" s="2506" t="n"/>
      <c r="Y6" s="2506" t="n"/>
      <c r="Z6" s="2506" t="n"/>
      <c r="AA6" s="139" t="n"/>
      <c r="AB6" s="5415" t="n"/>
      <c r="AC6" s="11602" t="n"/>
      <c r="AD6" s="11602" t="n"/>
      <c r="AE6" s="5603">
        <f>IF(File_Marr_Joint&lt;&gt;"","Check both boxes if for both.","")</f>
        <v/>
      </c>
      <c r="AF6" s="11602" t="n"/>
      <c r="AH6" s="11602" t="n"/>
      <c r="AI6" s="7816" t="n"/>
      <c r="AJ6" s="7816">
        <f>OR(AND(File_Marr_Joint&lt;&gt;"",SS_Yours=0,SS_Spouse=0),SS_Yours=0)</f>
        <v/>
      </c>
      <c r="AK6" s="11602" t="n"/>
      <c r="AL6" s="11602" t="n"/>
      <c r="AM6" s="7816" t="n"/>
      <c r="AN6" s="7816" t="n"/>
      <c r="AO6" s="7816" t="n"/>
      <c r="AP6" s="7816" t="n"/>
      <c r="AQ6" s="658" t="n"/>
      <c r="AR6" s="658" t="n"/>
      <c r="AS6" s="658" t="n"/>
      <c r="AT6" s="658" t="n"/>
      <c r="AU6" s="658" t="n"/>
      <c r="AV6" s="658" t="n"/>
      <c r="AW6" s="658" t="n"/>
      <c r="AX6" s="658" t="n"/>
      <c r="AY6" s="658" t="n"/>
      <c r="AZ6" s="658" t="n"/>
    </row>
    <row r="7" ht="16.5" customHeight="1" s="7635" thickBot="1">
      <c r="A7" s="139" t="n"/>
      <c r="B7" s="8883">
        <f>IF(AND(AJ5,AJ7),NameYours&amp;" and "&amp;NameSpouse,IF(AJ5,NameYours,IF(AJ7,NameSpouse,"")))</f>
        <v/>
      </c>
      <c r="C7" s="7637" t="n"/>
      <c r="D7" s="7637" t="n"/>
      <c r="E7" s="7637" t="n"/>
      <c r="F7" s="7637" t="n"/>
      <c r="G7" s="7637" t="n"/>
      <c r="H7" s="7637" t="n"/>
      <c r="I7" s="7637" t="n"/>
      <c r="J7" s="7637" t="n"/>
      <c r="K7" s="7637" t="n"/>
      <c r="L7" s="7637" t="n"/>
      <c r="M7" s="7637" t="n"/>
      <c r="N7" s="7637" t="n"/>
      <c r="O7" s="7637" t="n"/>
      <c r="P7" s="7637" t="n"/>
      <c r="Q7" s="3614" t="n"/>
      <c r="R7" s="7637" t="n"/>
      <c r="S7" s="7637" t="n"/>
      <c r="T7" s="7637" t="n"/>
      <c r="U7" s="7637" t="n"/>
      <c r="V7" s="7638" t="n"/>
      <c r="W7" s="3614" t="n"/>
      <c r="X7" s="7637" t="n"/>
      <c r="Y7" s="7637" t="n"/>
      <c r="Z7" s="7637" t="n"/>
      <c r="AA7" s="139" t="n"/>
      <c r="AB7" s="7825" t="inlineStr">
        <is>
          <t>Manual
Overide ê</t>
        </is>
      </c>
      <c r="AC7" s="11602" t="n"/>
      <c r="AD7" s="277" t="n"/>
      <c r="AE7" s="1059">
        <f>IF(AND(NumFileStatusBoxes=1,File_Marr_Joint&lt;&gt;""),"  Spouse","")</f>
        <v/>
      </c>
      <c r="AF7" s="11602" t="n"/>
      <c r="AH7" s="7816" t="n"/>
      <c r="AI7" s="11602" t="n"/>
      <c r="AJ7" s="11602">
        <f>(AD7&lt;&gt;"")</f>
        <v/>
      </c>
      <c r="AK7" s="11602" t="n"/>
      <c r="AL7" s="11602">
        <f>AND(File_Marr_Joint&lt;&gt;"",OR(AND('Sch. C'!M7=SS_Spouse,'Sch. C'!Y6,NOT('Sch. C'!Y10)),AND('Sch. C'!M121=SS_Spouse,'Sch. C'!Y120,NOT('Sch. C'!Y124))))</f>
        <v/>
      </c>
      <c r="AM7" s="7816" t="n"/>
      <c r="AN7" s="7816" t="n"/>
      <c r="AO7" s="7816" t="n"/>
      <c r="AP7" s="7816" t="n"/>
      <c r="AQ7" s="658" t="n"/>
      <c r="AR7" s="658" t="n"/>
      <c r="AS7" s="658" t="n"/>
      <c r="AT7" s="658" t="n"/>
      <c r="AU7" s="658" t="n"/>
      <c r="AV7" s="658" t="n"/>
      <c r="AW7" s="658" t="n"/>
      <c r="AX7" s="658" t="n"/>
      <c r="AY7" s="658" t="n"/>
      <c r="AZ7" s="658" t="n"/>
    </row>
    <row r="8" ht="18" customHeight="1" s="7635">
      <c r="A8" s="139" t="n"/>
      <c r="B8" s="8876" t="inlineStr">
        <is>
          <t>Part I</t>
        </is>
      </c>
      <c r="C8" s="7637" t="n"/>
      <c r="D8" s="7637" t="n"/>
      <c r="E8" s="5604" t="inlineStr">
        <is>
          <t>Self-Employment Tax</t>
        </is>
      </c>
      <c r="F8" s="2432" t="n"/>
      <c r="G8" s="2432" t="n"/>
      <c r="H8" s="2432" t="n"/>
      <c r="I8" s="2432" t="n"/>
      <c r="J8" s="2432" t="n"/>
      <c r="K8" s="2432" t="n"/>
      <c r="L8" s="2432" t="n"/>
      <c r="M8" s="2432" t="n"/>
      <c r="N8" s="2432" t="n"/>
      <c r="O8" s="2432" t="n"/>
      <c r="P8" s="2432" t="n"/>
      <c r="Q8" s="2432" t="n"/>
      <c r="R8" s="2432" t="n"/>
      <c r="S8" s="2432" t="n"/>
      <c r="T8" s="2432" t="n"/>
      <c r="U8" s="2432" t="n"/>
      <c r="V8" s="2432" t="n"/>
      <c r="W8" s="2432" t="n"/>
      <c r="X8" s="2432" t="n"/>
      <c r="Y8" s="2432" t="n"/>
      <c r="Z8" s="2432" t="n"/>
      <c r="AA8" s="139" t="n"/>
      <c r="AC8" s="11602" t="n"/>
      <c r="AD8" s="8291" t="inlineStr">
        <is>
          <t>Note: Information from these check boxes are used in:  
Sch. SE, Section B, Line 8a, and  
Form 2441, Lines 4 and 5.</t>
        </is>
      </c>
      <c r="AJ8" s="9911" t="n"/>
      <c r="AK8" s="7816" t="n"/>
      <c r="AL8" s="7816" t="n"/>
      <c r="AM8" s="7816" t="n"/>
      <c r="AN8" s="7816" t="n"/>
      <c r="AO8" s="7816" t="n"/>
      <c r="AP8" s="7816" t="n"/>
      <c r="AQ8" s="658" t="n"/>
      <c r="AR8" s="658" t="n"/>
      <c r="AS8" s="658" t="n"/>
      <c r="AT8" s="658" t="n"/>
      <c r="AU8" s="658" t="n"/>
      <c r="AV8" s="658" t="n"/>
      <c r="AW8" s="658" t="n"/>
      <c r="AX8" s="658" t="n"/>
      <c r="AY8" s="658" t="n"/>
      <c r="AZ8" s="658" t="n"/>
    </row>
    <row r="9" ht="14.25" customHeight="1" s="7635">
      <c r="A9" s="139" t="n"/>
      <c r="B9" s="2126" t="inlineStr">
        <is>
          <t>Note: If your only income subject to self-employment tax is church employee income, see instructions for how to report your income</t>
        </is>
      </c>
      <c r="C9" s="10645" t="n"/>
      <c r="D9" s="10645" t="n"/>
      <c r="E9" s="5605" t="n"/>
      <c r="F9" s="88" t="n"/>
      <c r="G9" s="88" t="n"/>
      <c r="H9" s="88" t="n"/>
      <c r="I9" s="88" t="n"/>
      <c r="J9" s="88" t="n"/>
      <c r="K9" s="88" t="n"/>
      <c r="L9" s="88" t="n"/>
      <c r="M9" s="88" t="n"/>
      <c r="N9" s="88" t="n"/>
      <c r="O9" s="88" t="n"/>
      <c r="P9" s="88" t="n"/>
      <c r="Q9" s="88" t="n"/>
      <c r="R9" s="88" t="n"/>
      <c r="S9" s="88" t="n"/>
      <c r="T9" s="88" t="n"/>
      <c r="U9" s="88" t="n"/>
      <c r="V9" s="88" t="n"/>
      <c r="W9" s="88" t="n"/>
      <c r="X9" s="88" t="n"/>
      <c r="Y9" s="88" t="n"/>
      <c r="Z9" s="88" t="n"/>
      <c r="AA9" s="139" t="n"/>
      <c r="AB9" s="5415" t="n"/>
      <c r="AC9" s="11602" t="n"/>
      <c r="AJ9" s="9911" t="n"/>
      <c r="AK9" s="7816" t="n"/>
      <c r="AL9" s="7816" t="n"/>
      <c r="AM9" s="7816" t="n"/>
      <c r="AN9" s="7816" t="n"/>
      <c r="AO9" s="7816" t="n"/>
      <c r="AP9" s="7816" t="n"/>
      <c r="AQ9" s="658" t="n"/>
      <c r="AR9" s="658" t="n"/>
      <c r="AS9" s="658" t="n"/>
      <c r="AT9" s="658" t="n"/>
      <c r="AU9" s="658" t="n"/>
      <c r="AV9" s="658" t="n"/>
      <c r="AW9" s="658" t="n"/>
      <c r="AX9" s="658" t="n"/>
      <c r="AY9" s="658" t="n"/>
      <c r="AZ9" s="658" t="n"/>
    </row>
    <row r="10" ht="14.25" customFormat="1" customHeight="1" s="138">
      <c r="A10" s="139" t="n"/>
      <c r="B10" s="2126" t="inlineStr">
        <is>
          <t>and the definition of church employee income.</t>
        </is>
      </c>
      <c r="C10" s="10645" t="n"/>
      <c r="D10" s="10645" t="n"/>
      <c r="E10" s="5605" t="n"/>
      <c r="F10" s="88" t="n"/>
      <c r="G10" s="88" t="n"/>
      <c r="H10" s="88" t="n"/>
      <c r="I10" s="88" t="n"/>
      <c r="J10" s="88" t="n"/>
      <c r="K10" s="88" t="n"/>
      <c r="L10" s="88" t="n"/>
      <c r="M10" s="88" t="n"/>
      <c r="N10" s="88" t="n"/>
      <c r="O10" s="88" t="n"/>
      <c r="P10" s="88" t="n"/>
      <c r="Q10" s="88" t="n"/>
      <c r="R10" s="88" t="n"/>
      <c r="S10" s="88" t="n"/>
      <c r="T10" s="88" t="n"/>
      <c r="U10" s="88" t="n"/>
      <c r="V10" s="88" t="n"/>
      <c r="W10" s="88" t="n"/>
      <c r="X10" s="88" t="n"/>
      <c r="Y10" s="88" t="n"/>
      <c r="Z10" s="88" t="n"/>
      <c r="AA10" s="139" t="n"/>
      <c r="AB10" s="8906">
        <f>IF(ChurchEmployee1,"Skip line 1 thru 4b, enter -0- on line 4c, and go to line 5a.","")</f>
        <v/>
      </c>
      <c r="AC10" s="11602" t="n"/>
      <c r="AJ10" s="9911" t="n"/>
      <c r="AK10" s="7816" t="n"/>
      <c r="AL10" s="7816" t="n"/>
      <c r="AM10" s="7816" t="n"/>
      <c r="AN10" s="7816" t="n"/>
      <c r="AO10" s="7816" t="n"/>
      <c r="AP10" s="7816" t="n"/>
      <c r="AQ10" s="662" t="n"/>
      <c r="AR10" s="662" t="n"/>
      <c r="AS10" s="662" t="n"/>
      <c r="AT10" s="662" t="n"/>
      <c r="AU10" s="662" t="n"/>
      <c r="AV10" s="662" t="n"/>
      <c r="AW10" s="662" t="n"/>
      <c r="AX10" s="662" t="n"/>
      <c r="AY10" s="662" t="n"/>
      <c r="AZ10" s="662" t="n"/>
    </row>
    <row r="11" ht="11.25" customHeight="1" s="7635">
      <c r="A11" s="139" t="n"/>
      <c r="B11" s="7788" t="inlineStr">
        <is>
          <t>A</t>
        </is>
      </c>
      <c r="D11" s="10645" t="n"/>
      <c r="E11" s="2126" t="inlineStr">
        <is>
          <t>If you are a minister, member of a religious order, or Christian Science practitioner and you filed Form 4361, but you had</t>
        </is>
      </c>
      <c r="F11" s="88" t="n"/>
      <c r="G11" s="88" t="n"/>
      <c r="H11" s="88" t="n"/>
      <c r="I11" s="88" t="n"/>
      <c r="J11" s="88" t="n"/>
      <c r="K11" s="88" t="n"/>
      <c r="L11" s="88" t="n"/>
      <c r="M11" s="88" t="n"/>
      <c r="N11" s="88" t="n"/>
      <c r="O11" s="88" t="n"/>
      <c r="P11" s="88" t="n"/>
      <c r="Q11" s="88" t="n"/>
      <c r="R11" s="88" t="n"/>
      <c r="S11" s="88" t="n"/>
      <c r="T11" s="88" t="n"/>
      <c r="U11" s="88" t="n"/>
      <c r="V11" s="88" t="n"/>
      <c r="W11" s="88" t="n"/>
      <c r="X11" s="88" t="n"/>
      <c r="Y11" s="88" t="n"/>
      <c r="Z11" s="88" t="n"/>
      <c r="AA11" s="139" t="n"/>
      <c r="AC11" s="11602" t="n"/>
      <c r="AJ11" s="9911" t="n"/>
      <c r="AK11" s="7816" t="n"/>
      <c r="AL11" s="7816" t="n"/>
      <c r="AM11" s="7816" t="n"/>
      <c r="AN11" s="7816" t="n"/>
      <c r="AO11" s="7816" t="n"/>
      <c r="AP11" s="7816" t="n"/>
      <c r="AQ11" s="658" t="n"/>
      <c r="AR11" s="658" t="n"/>
      <c r="AS11" s="658" t="n"/>
      <c r="AT11" s="658" t="n"/>
      <c r="AU11" s="658" t="n"/>
      <c r="AV11" s="658" t="n"/>
      <c r="AW11" s="658" t="n"/>
      <c r="AX11" s="658" t="n"/>
      <c r="AY11" s="658" t="n"/>
      <c r="AZ11" s="658" t="n"/>
    </row>
    <row r="12" ht="11.25" customHeight="1" s="7635">
      <c r="A12" s="139" t="n"/>
      <c r="B12" s="10645" t="n"/>
      <c r="C12" s="10645" t="n"/>
      <c r="D12" s="10645" t="n"/>
      <c r="E12" s="2126">
        <f>TEXT(AJ20,"$0")&amp;" or more of"</f>
        <v/>
      </c>
      <c r="F12" s="88" t="n"/>
      <c r="G12" s="11403" t="n"/>
      <c r="H12" s="2449" t="n"/>
      <c r="I12" s="5454" t="inlineStr">
        <is>
          <t>other net earnings</t>
        </is>
      </c>
      <c r="J12" s="2617" t="inlineStr">
        <is>
          <t>from self-employment, check here and continue with Part I</t>
        </is>
      </c>
      <c r="K12" s="88" t="n"/>
      <c r="L12" s="88" t="n"/>
      <c r="M12" s="88" t="n"/>
      <c r="N12" s="88" t="n"/>
      <c r="O12" s="88" t="n"/>
      <c r="P12" s="88" t="n"/>
      <c r="Q12" s="88" t="n"/>
      <c r="R12" s="88" t="n"/>
      <c r="S12" s="88" t="n"/>
      <c r="T12" s="88" t="n"/>
      <c r="U12" s="88" t="n"/>
      <c r="V12" s="88" t="n"/>
      <c r="W12" s="88" t="n"/>
      <c r="X12" s="2715" t="inlineStr">
        <is>
          <t xml:space="preserve">.   .   .   .   .   .   .   .   .  </t>
        </is>
      </c>
      <c r="Y12" s="1111" t="n"/>
      <c r="Z12" s="88" t="n"/>
      <c r="AA12" s="139" t="n"/>
      <c r="AC12" s="11602" t="n"/>
      <c r="AD12" s="9911" t="n"/>
      <c r="AE12" s="1198">
        <f>AND(X21=0,ChurchEmployeeIncome1&lt;&gt;"",ChurchEmployeeIncome1&gt;0)</f>
        <v/>
      </c>
      <c r="AF12" s="9911" t="n"/>
      <c r="AG12" s="9911" t="n"/>
      <c r="AH12" s="9911" t="n"/>
      <c r="AI12" s="7816" t="n"/>
      <c r="AJ12" s="9911">
        <f>AND(Y12&lt;&gt;"",AJ5)</f>
        <v/>
      </c>
      <c r="AK12" s="7816" t="n"/>
      <c r="AL12" s="7816">
        <f>AND(Y12&lt;&gt;"",AND(AJ7,NOT(AJ8)))</f>
        <v/>
      </c>
      <c r="AM12" s="7816" t="n"/>
      <c r="AN12" s="7816" t="n"/>
      <c r="AO12" s="7816" t="n"/>
      <c r="AP12" s="7816" t="n"/>
      <c r="AQ12" s="658" t="n"/>
      <c r="AR12" s="658" t="n"/>
      <c r="AS12" s="658" t="n"/>
      <c r="AT12" s="658" t="n"/>
      <c r="AU12" s="658" t="n"/>
      <c r="AV12" s="658" t="n"/>
      <c r="AW12" s="658" t="n"/>
      <c r="AX12" s="658" t="n"/>
      <c r="AY12" s="658" t="n"/>
      <c r="AZ12" s="658" t="n"/>
    </row>
    <row r="13" ht="13.5" customHeight="1" s="7635" thickBot="1">
      <c r="A13" s="139" t="n"/>
      <c r="B13" s="2126" t="inlineStr">
        <is>
          <t>Skip lines 1a and 1b if you use the farm optional method in Part II. See instructions.</t>
        </is>
      </c>
      <c r="C13" s="10645" t="n"/>
      <c r="D13" s="10645" t="n"/>
      <c r="E13" s="2126" t="n"/>
      <c r="F13" s="88" t="n"/>
      <c r="G13" s="88" t="n"/>
      <c r="H13" s="88" t="n"/>
      <c r="I13" s="88" t="n"/>
      <c r="J13" s="88" t="n"/>
      <c r="K13" s="88" t="n"/>
      <c r="L13" s="88" t="n"/>
      <c r="M13" s="88" t="n"/>
      <c r="N13" s="88" t="n"/>
      <c r="O13" s="88" t="n"/>
      <c r="P13" s="88" t="n"/>
      <c r="Q13" s="88" t="n"/>
      <c r="R13" s="88" t="n"/>
      <c r="S13" s="88" t="n"/>
      <c r="T13" s="88" t="n"/>
      <c r="U13" s="88" t="n"/>
      <c r="V13" s="88" t="n"/>
      <c r="W13" s="88" t="n"/>
      <c r="X13" s="88" t="n"/>
      <c r="Y13" s="88" t="n"/>
      <c r="Z13" s="88" t="n"/>
      <c r="AA13" s="139" t="n"/>
      <c r="AB13" s="5415" t="n"/>
      <c r="AC13" s="5415" t="n"/>
      <c r="AD13" s="5415" t="n"/>
      <c r="AE13" s="5415" t="n"/>
      <c r="AF13" s="5415" t="n"/>
      <c r="AG13" s="5415" t="n"/>
      <c r="AH13" s="5415" t="n"/>
      <c r="AI13" s="5415" t="n"/>
      <c r="AJ13" s="851">
        <f>IF(AB15&lt;&gt;"",ROUND(AB15,0),FarmProfitNet)</f>
        <v/>
      </c>
      <c r="AK13" s="7816" t="n"/>
      <c r="AL13" s="7816" t="n"/>
      <c r="AM13" s="7816" t="n"/>
      <c r="AN13" s="7816" t="n"/>
      <c r="AO13" s="7816" t="n"/>
      <c r="AP13" s="7816" t="n"/>
      <c r="AQ13" s="658" t="n"/>
      <c r="AR13" s="658" t="n"/>
      <c r="AS13" s="658" t="n"/>
      <c r="AT13" s="658" t="n"/>
      <c r="AU13" s="658" t="n"/>
      <c r="AV13" s="658" t="n"/>
      <c r="AW13" s="658" t="n"/>
      <c r="AX13" s="658" t="n"/>
      <c r="AY13" s="658" t="n"/>
      <c r="AZ13" s="658" t="n"/>
    </row>
    <row r="14" ht="13.5" customHeight="1" s="7635" thickBot="1">
      <c r="A14" s="139" t="n"/>
      <c r="B14" s="88" t="n"/>
      <c r="C14" s="2715" t="inlineStr">
        <is>
          <t>1a</t>
        </is>
      </c>
      <c r="D14" s="11403" t="inlineStr">
        <is>
          <t>Net farm profit or (loss) from Schedule F, line 34, and farm partnerships, Schedule K-1 (Form 1065),</t>
        </is>
      </c>
      <c r="E14" s="88" t="n"/>
      <c r="F14" s="88" t="n"/>
      <c r="G14" s="88" t="n"/>
      <c r="H14" s="88" t="n"/>
      <c r="I14" s="88" t="n"/>
      <c r="J14" s="88" t="n"/>
      <c r="K14" s="88" t="n"/>
      <c r="L14" s="88" t="n"/>
      <c r="M14" s="88" t="n"/>
      <c r="N14" s="88" t="n"/>
      <c r="O14" s="88" t="n"/>
      <c r="P14" s="88" t="n"/>
      <c r="Q14" s="88" t="n"/>
      <c r="R14" s="88" t="n"/>
      <c r="S14" s="88" t="n"/>
      <c r="T14" s="88" t="n"/>
      <c r="U14" s="88" t="n"/>
      <c r="V14" s="88" t="n"/>
      <c r="W14" s="5448" t="n"/>
      <c r="X14" s="8936" t="n"/>
      <c r="AA14" s="139" t="n"/>
      <c r="AB14" s="5606" t="n"/>
      <c r="AC14" s="5415" t="n"/>
      <c r="AD14" s="5607" t="inlineStr">
        <is>
          <t>For line 1a, enter amount from Sch. K-1 (Form 1065),</t>
        </is>
      </c>
      <c r="AE14" s="377" t="n"/>
      <c r="AF14" s="377" t="n"/>
      <c r="AG14" s="5608" t="n"/>
      <c r="AH14" s="378" t="n"/>
      <c r="AI14" s="5415" t="n"/>
      <c r="AJ14" s="11602" t="n"/>
      <c r="AK14" s="11602" t="n"/>
      <c r="AL14" s="11602" t="n"/>
      <c r="AM14" s="11602" t="n"/>
      <c r="AN14" s="11602" t="n"/>
      <c r="AO14" s="11602" t="n"/>
      <c r="AP14" s="11602" t="n"/>
      <c r="AQ14" s="658" t="n"/>
      <c r="AR14" s="658" t="n"/>
      <c r="AS14" s="658" t="n"/>
      <c r="AT14" s="658" t="n"/>
      <c r="AU14" s="658" t="n"/>
      <c r="AV14" s="658" t="n"/>
      <c r="AW14" s="658" t="n"/>
      <c r="AX14" s="658" t="n"/>
      <c r="AY14" s="658" t="n"/>
      <c r="AZ14" s="658" t="n"/>
    </row>
    <row r="15" ht="13.5" customHeight="1" s="7635" thickBot="1">
      <c r="A15" s="139" t="n"/>
      <c r="B15" s="182" t="n"/>
      <c r="C15" s="2975" t="n"/>
      <c r="D15" s="2449" t="inlineStr">
        <is>
          <t>box 14, code A</t>
        </is>
      </c>
      <c r="E15" s="182" t="n"/>
      <c r="F15" s="182" t="n"/>
      <c r="G15" s="182" t="n"/>
      <c r="H15" s="182" t="n"/>
      <c r="I15" s="182" t="n"/>
      <c r="J15" s="182" t="n"/>
      <c r="K15" s="182" t="n"/>
      <c r="L15" s="182" t="n"/>
      <c r="M15" s="182" t="n"/>
      <c r="N15" s="182" t="n"/>
      <c r="O15" s="182" t="n"/>
      <c r="P15" s="182" t="n"/>
      <c r="Q15" s="182" t="n"/>
      <c r="R15" s="182" t="n"/>
      <c r="S15" s="182" t="n"/>
      <c r="T15" s="182" t="n"/>
      <c r="U15" s="182" t="n"/>
      <c r="V15" s="5445" t="inlineStr">
        <is>
          <t xml:space="preserve">.   .   .   .   .   .   .   .   .   .   .   .   .   .   .   .   .   .   .   .   .   .   .   .   .   .   .   .   .   .   .   .   . </t>
        </is>
      </c>
      <c r="W15" s="5447" t="inlineStr">
        <is>
          <t>1a</t>
        </is>
      </c>
      <c r="X15" s="8924">
        <f>IF(AB15&lt;&gt;"",ROUND(AB15,0),IF(OR(FarmOptMeth1,AND(NOT(AJ5),NOT(AJ7))),"",IF(AND(AJ5,AJ7),SUM(AN32,ROUND(AH15,0)),IF(AJ5,SUM(AL32,ROUND(AH15,0)),IF(AJ7,SUM(AM32,ROUND(AH15,0)),"")))))</f>
        <v/>
      </c>
      <c r="Y15" s="7637" t="n"/>
      <c r="Z15" s="7637" t="n"/>
      <c r="AA15" s="144" t="n"/>
      <c r="AB15" s="811" t="n"/>
      <c r="AC15" s="5415" t="n"/>
      <c r="AD15" s="980" t="inlineStr">
        <is>
          <t>box 14, code A (for farm partnerships)</t>
        </is>
      </c>
      <c r="AE15" s="380" t="n"/>
      <c r="AF15" s="380" t="n"/>
      <c r="AG15" s="380" t="n"/>
      <c r="AH15" s="1031" t="n"/>
      <c r="AI15" s="5415" t="n"/>
      <c r="AJ15" s="11602" t="n"/>
      <c r="AK15" s="11602" t="n"/>
      <c r="AL15" s="11602" t="n"/>
      <c r="AM15" s="11602" t="n"/>
      <c r="AN15" s="11602" t="n"/>
      <c r="AO15" s="11602" t="n"/>
      <c r="AP15" s="11602" t="n"/>
      <c r="AQ15" s="658" t="n"/>
      <c r="AR15" s="658" t="n"/>
      <c r="AS15" s="658" t="n"/>
      <c r="AT15" s="658" t="n"/>
      <c r="AU15" s="658" t="n"/>
      <c r="AV15" s="658" t="n"/>
      <c r="AW15" s="658" t="n"/>
      <c r="AX15" s="658" t="n"/>
      <c r="AY15" s="658" t="n"/>
      <c r="AZ15" s="658" t="n"/>
    </row>
    <row r="16" ht="13.5" customHeight="1" s="7635" thickBot="1">
      <c r="A16" s="139" t="n"/>
      <c r="B16" s="88" t="n"/>
      <c r="C16" s="2715" t="inlineStr">
        <is>
          <t>b</t>
        </is>
      </c>
      <c r="D16" s="11403" t="inlineStr">
        <is>
          <t>If you received social security retirement or disability benefits, enter the amount of Conservation Reserve</t>
        </is>
      </c>
      <c r="E16" s="88" t="n"/>
      <c r="F16" s="88" t="n"/>
      <c r="G16" s="88" t="n"/>
      <c r="H16" s="88" t="n"/>
      <c r="I16" s="88" t="n"/>
      <c r="J16" s="88" t="n"/>
      <c r="K16" s="88" t="n"/>
      <c r="L16" s="88" t="n"/>
      <c r="M16" s="88" t="n"/>
      <c r="N16" s="88" t="n"/>
      <c r="O16" s="88" t="n"/>
      <c r="P16" s="88" t="n"/>
      <c r="Q16" s="88" t="n"/>
      <c r="R16" s="88" t="n"/>
      <c r="S16" s="88" t="n"/>
      <c r="T16" s="88" t="n"/>
      <c r="U16" s="88" t="n"/>
      <c r="V16" s="88" t="n"/>
      <c r="W16" s="9460" t="n"/>
      <c r="X16" s="8923">
        <f>IF('Sch. F'!AB24="","",'Sch. F'!AB24)</f>
        <v/>
      </c>
      <c r="Y16" s="7839" t="n"/>
      <c r="Z16" s="7839" t="n"/>
      <c r="AA16" s="139" t="n"/>
      <c r="AB16" s="5606" t="n"/>
      <c r="AC16" s="5415" t="n"/>
      <c r="AD16" s="5609" t="inlineStr">
        <is>
          <t>For line 1b, enter amount of Conservation Reserve Program payments</t>
        </is>
      </c>
      <c r="AE16" s="406" t="n"/>
      <c r="AF16" s="406" t="n"/>
      <c r="AG16" s="406" t="n"/>
      <c r="AH16" s="406" t="n"/>
      <c r="AI16" s="5415" t="n"/>
      <c r="AJ16" s="11602" t="n"/>
      <c r="AK16" s="11602" t="n"/>
      <c r="AL16" s="11602" t="n"/>
      <c r="AM16" s="11602" t="n"/>
      <c r="AN16" s="11602" t="n"/>
      <c r="AO16" s="11602" t="n"/>
      <c r="AP16" s="11602" t="n"/>
      <c r="AQ16" s="658" t="n"/>
      <c r="AR16" s="658" t="n"/>
      <c r="AS16" s="658" t="n"/>
      <c r="AT16" s="658" t="n"/>
      <c r="AU16" s="658" t="n"/>
      <c r="AV16" s="658" t="n"/>
      <c r="AW16" s="658" t="n"/>
      <c r="AX16" s="658" t="n"/>
      <c r="AY16" s="658" t="n"/>
      <c r="AZ16" s="658" t="n"/>
    </row>
    <row r="17" ht="13.5" customHeight="1" s="7635" thickBot="1">
      <c r="A17" s="139" t="n"/>
      <c r="B17" s="182" t="n"/>
      <c r="C17" s="2975" t="n"/>
      <c r="D17" s="2449" t="inlineStr">
        <is>
          <t>Program paymts included on Schedule F, line 4b, or listed on Schedule K-1 (Form 1065), box 20, code AQ</t>
        </is>
      </c>
      <c r="E17" s="182" t="n"/>
      <c r="F17" s="182" t="n"/>
      <c r="G17" s="182" t="n"/>
      <c r="H17" s="182" t="n"/>
      <c r="I17" s="182" t="n"/>
      <c r="J17" s="182" t="n"/>
      <c r="K17" s="182" t="n"/>
      <c r="L17" s="182" t="n"/>
      <c r="M17" s="182" t="n"/>
      <c r="N17" s="182" t="n"/>
      <c r="O17" s="182" t="n"/>
      <c r="P17" s="182" t="n"/>
      <c r="Q17" s="182" t="n"/>
      <c r="R17" s="182" t="n"/>
      <c r="S17" s="182" t="n"/>
      <c r="T17" s="182" t="n"/>
      <c r="U17" s="182" t="n"/>
      <c r="V17" s="5445" t="n"/>
      <c r="W17" s="5447" t="inlineStr">
        <is>
          <t>1b</t>
        </is>
      </c>
      <c r="X17" s="8924">
        <f>IF(AB17&lt;&gt;"",-ROUND(ABS(AB17),0),IF(OR(FarmOptMeth1,AND(NOT(AJ5),NOT(AJ7))),"",IF(AH17&lt;&gt;"",-ABS(ROUND(AH17,0)),"")))</f>
        <v/>
      </c>
      <c r="Y17" s="7637" t="n"/>
      <c r="Z17" s="7637" t="n"/>
      <c r="AA17" s="144" t="n"/>
      <c r="AB17" s="811" t="n"/>
      <c r="AC17" s="5415" t="n"/>
      <c r="AD17" s="1197" t="inlineStr">
        <is>
          <t>from Sch. F, line 4b, or Sch. K-1, box 20, code AH</t>
        </is>
      </c>
      <c r="AE17" s="380" t="n"/>
      <c r="AF17" s="380" t="n"/>
      <c r="AG17" s="1194" t="n"/>
      <c r="AH17" s="1031" t="n"/>
      <c r="AI17" s="5415" t="n"/>
      <c r="AJ17" s="11602">
        <f>AND(FALSE,OR(AB17&gt;0,AH17&gt;0))</f>
        <v/>
      </c>
      <c r="AK17" s="11602" t="n"/>
      <c r="AL17" s="11602" t="n"/>
      <c r="AM17" s="11602" t="n"/>
      <c r="AN17" s="11602" t="n"/>
      <c r="AO17" s="11602" t="n"/>
      <c r="AP17" s="11602" t="n"/>
      <c r="AQ17" s="658" t="n"/>
      <c r="AR17" s="658" t="n"/>
      <c r="AS17" s="658" t="n"/>
      <c r="AT17" s="658" t="n"/>
      <c r="AU17" s="658" t="n"/>
      <c r="AV17" s="658" t="n"/>
      <c r="AW17" s="658" t="n"/>
      <c r="AX17" s="658" t="n"/>
      <c r="AY17" s="658" t="n"/>
      <c r="AZ17" s="658" t="n"/>
    </row>
    <row r="18" ht="18.75" customFormat="1" customHeight="1" s="9864" thickBot="1">
      <c r="A18" s="144" t="n"/>
      <c r="B18" s="2126" t="inlineStr">
        <is>
          <t>Skip line 2 if you use the nonfarm optional method in Part II. See instructions.</t>
        </is>
      </c>
      <c r="C18" s="10645" t="n"/>
      <c r="D18" s="10645" t="n"/>
      <c r="E18" s="2126" t="n"/>
      <c r="F18" s="182" t="n"/>
      <c r="G18" s="182" t="n"/>
      <c r="H18" s="182" t="n"/>
      <c r="I18" s="182" t="n"/>
      <c r="J18" s="182" t="n"/>
      <c r="K18" s="182" t="n"/>
      <c r="L18" s="182" t="n"/>
      <c r="M18" s="182" t="n"/>
      <c r="N18" s="182" t="n"/>
      <c r="O18" s="182" t="n"/>
      <c r="P18" s="182" t="n"/>
      <c r="Q18" s="182" t="n"/>
      <c r="R18" s="182" t="n"/>
      <c r="S18" s="182" t="n"/>
      <c r="T18" s="182" t="n"/>
      <c r="U18" s="182" t="n"/>
      <c r="V18" s="182" t="n"/>
      <c r="W18" s="5610" t="n"/>
      <c r="X18" s="8937" t="n"/>
      <c r="Y18" s="7839" t="n"/>
      <c r="Z18" s="7839" t="n"/>
      <c r="AA18" s="144" t="n"/>
      <c r="AB18" s="12210">
        <f>IF(AN35,"See NOTE regarding Statutory Employee profit/loss.","")</f>
        <v/>
      </c>
      <c r="AC18" s="5415" t="n"/>
      <c r="AD18" s="5415" t="n"/>
      <c r="AE18" s="5415" t="n"/>
      <c r="AF18" s="5415" t="n"/>
      <c r="AG18" s="5415" t="n"/>
      <c r="AH18" s="5415" t="n"/>
      <c r="AI18" s="5611" t="n"/>
      <c r="AJ18" s="411" t="n"/>
      <c r="AK18" s="411" t="n"/>
      <c r="AL18" s="411" t="n"/>
      <c r="AM18" s="411" t="n"/>
      <c r="AN18" s="411" t="n"/>
      <c r="AO18" s="411" t="n"/>
      <c r="AP18" s="411" t="n"/>
      <c r="AQ18" s="665" t="n"/>
      <c r="AR18" s="665" t="n"/>
      <c r="AS18" s="665" t="n"/>
      <c r="AT18" s="665" t="n"/>
      <c r="AU18" s="665" t="n"/>
      <c r="AV18" s="665" t="n"/>
      <c r="AW18" s="665" t="n"/>
      <c r="AX18" s="665" t="n"/>
      <c r="AY18" s="665" t="n"/>
      <c r="AZ18" s="665" t="n"/>
    </row>
    <row r="19" ht="13.5" customHeight="1" s="7635" thickBot="1">
      <c r="A19" s="139" t="n"/>
      <c r="B19" s="88" t="n"/>
      <c r="C19" s="228" t="n">
        <v>2</v>
      </c>
      <c r="D19" s="11403" t="inlineStr">
        <is>
          <t>Net profit or (loss) from Schedule C, line 31; and Schedule K-1 (Form 1065), box 14, code A (other than</t>
        </is>
      </c>
      <c r="E19" s="88" t="n"/>
      <c r="F19" s="88" t="n"/>
      <c r="G19" s="88" t="n"/>
      <c r="H19" s="88" t="n"/>
      <c r="I19" s="88" t="n"/>
      <c r="J19" s="88" t="n"/>
      <c r="K19" s="88" t="n"/>
      <c r="L19" s="88" t="n"/>
      <c r="M19" s="88" t="n"/>
      <c r="N19" s="88" t="n"/>
      <c r="O19" s="88" t="n"/>
      <c r="P19" s="88" t="n"/>
      <c r="Q19" s="88" t="n"/>
      <c r="R19" s="88" t="n"/>
      <c r="S19" s="88" t="n"/>
      <c r="T19" s="88" t="n"/>
      <c r="U19" s="88" t="n"/>
      <c r="V19" s="88" t="n"/>
      <c r="W19" s="5448" t="n"/>
      <c r="X19" s="8921" t="n"/>
      <c r="AA19" s="139" t="n"/>
      <c r="AB19" s="8848" t="n"/>
      <c r="AC19" s="5415" t="n"/>
      <c r="AD19" s="5609" t="inlineStr">
        <is>
          <t>For line 2, enter amount from Sch. K-1 (Form 1065),</t>
        </is>
      </c>
      <c r="AE19" s="1199" t="n"/>
      <c r="AF19" s="1199" t="n"/>
      <c r="AG19" s="1199" t="n"/>
      <c r="AH19" s="5612" t="n"/>
      <c r="AI19" s="5611" t="n"/>
      <c r="AJ19" s="11602" t="n"/>
      <c r="AK19" s="11602">
        <f>OR(AB15&lt;&gt;"",AB17&lt;&gt;"",AB20&lt;&gt;"",AH15&lt;&gt;"",AH17&lt;&gt;"", AH20&lt;&gt;"",AB21&lt;&gt;"",X52&lt;&gt;"",X58&lt;&gt;"")</f>
        <v/>
      </c>
      <c r="AL19" s="11602" t="n"/>
      <c r="AM19" s="11602" t="n"/>
      <c r="AN19" s="11602" t="n"/>
      <c r="AO19" s="11602" t="n"/>
      <c r="AP19" s="11602" t="n"/>
      <c r="AQ19" s="658" t="n"/>
      <c r="AR19" s="658" t="n"/>
      <c r="AS19" s="658" t="n"/>
      <c r="AT19" s="658" t="n"/>
      <c r="AU19" s="658" t="n"/>
      <c r="AV19" s="658" t="n"/>
      <c r="AW19" s="658" t="n"/>
      <c r="AX19" s="658" t="n"/>
      <c r="AY19" s="658" t="n"/>
      <c r="AZ19" s="658" t="n"/>
    </row>
    <row r="20" ht="13.5" customHeight="1" s="7635" thickBot="1">
      <c r="A20" s="139" t="n"/>
      <c r="B20" s="88" t="n"/>
      <c r="C20" s="228" t="n"/>
      <c r="D20" s="2449" t="inlineStr">
        <is>
          <t>farming). See instructions for other income to report or if you are a minister or member of a religious order</t>
        </is>
      </c>
      <c r="E20" s="88" t="n"/>
      <c r="F20" s="88" t="n"/>
      <c r="G20" s="88" t="n"/>
      <c r="H20" s="88" t="n"/>
      <c r="I20" s="88" t="n"/>
      <c r="J20" s="88" t="n"/>
      <c r="K20" s="88" t="n"/>
      <c r="L20" s="88" t="n"/>
      <c r="M20" s="88" t="n"/>
      <c r="N20" s="88" t="n"/>
      <c r="O20" s="88" t="n"/>
      <c r="P20" s="88" t="n"/>
      <c r="Q20" s="88" t="n"/>
      <c r="R20" s="88" t="n"/>
      <c r="S20" s="88" t="n"/>
      <c r="T20" s="88" t="n"/>
      <c r="U20" s="88" t="n"/>
      <c r="V20" s="5445" t="n"/>
      <c r="W20" s="5450" t="n">
        <v>2</v>
      </c>
      <c r="X20" s="8861">
        <f>IF(AB20&lt;&gt;"",ROUND(AB20,0),IF($AJ$6,"Need SSN.",IF(NonFarmOptMeth1,"",IF(AND(AJ5,AJ7),SUM(AN33,ROUND(AH20,0)),IF(AJ5,SUM(AL33,ROUND(AH20,0)),IF(AJ7,SUM(AM33,ROUND(AH20,0)),""))))))</f>
        <v/>
      </c>
      <c r="Y20" s="7637" t="n"/>
      <c r="Z20" s="7637" t="n"/>
      <c r="AA20" s="139" t="n"/>
      <c r="AB20" s="811" t="n"/>
      <c r="AC20" s="5613" t="n"/>
      <c r="AD20" s="1197" t="inlineStr">
        <is>
          <t>box 14, code A (other than farming)</t>
        </is>
      </c>
      <c r="AE20" s="380" t="n"/>
      <c r="AF20" s="380" t="n"/>
      <c r="AG20" s="1194" t="n"/>
      <c r="AH20" s="1031" t="n"/>
      <c r="AI20" s="5415" t="n"/>
      <c r="AJ20" s="11602" t="n">
        <v>400</v>
      </c>
      <c r="AK20" s="1661" t="n"/>
      <c r="AL20" s="11602" t="n"/>
      <c r="AM20" s="11602" t="n"/>
      <c r="AN20" s="11602" t="n"/>
      <c r="AO20" s="11602" t="n"/>
      <c r="AP20" s="801" t="n"/>
      <c r="AQ20" s="658" t="n"/>
      <c r="AR20" s="658" t="n"/>
      <c r="AS20" s="658" t="n"/>
      <c r="AT20" s="658" t="n"/>
      <c r="AU20" s="658" t="n"/>
      <c r="AV20" s="658" t="n"/>
      <c r="AW20" s="658" t="n"/>
      <c r="AX20" s="658" t="n"/>
      <c r="AY20" s="658" t="n"/>
      <c r="AZ20" s="658" t="n"/>
    </row>
    <row r="21" ht="13.5" customHeight="1" s="7635" thickBot="1">
      <c r="A21" s="139" t="n"/>
      <c r="B21" s="182" t="n"/>
      <c r="C21" s="2975" t="n">
        <v>3</v>
      </c>
      <c r="D21" s="11403" t="inlineStr">
        <is>
          <t xml:space="preserve">Combine lines 1a, 1b, and 2. </t>
        </is>
      </c>
      <c r="E21" s="182" t="n"/>
      <c r="F21" s="182" t="n"/>
      <c r="G21" s="182" t="n"/>
      <c r="H21" s="182" t="n"/>
      <c r="I21" s="182" t="n"/>
      <c r="J21" s="182" t="n"/>
      <c r="K21" s="182" t="n"/>
      <c r="L21" s="182" t="n"/>
      <c r="M21" s="182" t="n"/>
      <c r="N21" s="182" t="n"/>
      <c r="O21" s="182" t="n"/>
      <c r="P21" s="182" t="n"/>
      <c r="Q21" s="182" t="n"/>
      <c r="R21" s="182" t="n"/>
      <c r="S21" s="182" t="n"/>
      <c r="T21" s="182" t="n"/>
      <c r="U21" s="182" t="n"/>
      <c r="V21" s="5445" t="inlineStr">
        <is>
          <t xml:space="preserve">.   .   .   .   .   .   .   .   .   .   .   .   .   .   .   .   .   .   .   .   .   .   .   .   .   .   .   . </t>
        </is>
      </c>
      <c r="W21" s="5447" t="n">
        <v>3</v>
      </c>
      <c r="X21" s="8861">
        <f>IF(AB21&lt;&gt;"",ROUND(AB21,0),SUM(X15,X17,X20))</f>
        <v/>
      </c>
      <c r="Y21" s="7637" t="n"/>
      <c r="Z21" s="7637" t="n"/>
      <c r="AA21" s="144" t="n"/>
      <c r="AB21" s="811" t="n"/>
      <c r="AC21" s="5415" t="n"/>
      <c r="AD21" s="5415" t="n"/>
      <c r="AE21" s="5415" t="n"/>
      <c r="AF21" s="5415" t="n"/>
      <c r="AG21" s="5415" t="n"/>
      <c r="AH21" s="5415" t="n"/>
      <c r="AI21" s="5614" t="n"/>
      <c r="AJ21" s="11602" t="n">
        <v>434</v>
      </c>
      <c r="AK21" s="851" t="n"/>
      <c r="AL21" s="851" t="n"/>
      <c r="AM21" s="851" t="n"/>
      <c r="AN21" s="851" t="n"/>
      <c r="AO21" s="851" t="n"/>
      <c r="AP21" s="851" t="n"/>
      <c r="AQ21" s="658" t="n"/>
      <c r="AR21" s="658" t="n"/>
      <c r="AS21" s="658" t="n"/>
      <c r="AT21" s="658" t="n"/>
      <c r="AU21" s="658" t="n"/>
      <c r="AV21" s="658" t="n"/>
      <c r="AW21" s="658" t="n"/>
      <c r="AX21" s="658" t="n"/>
      <c r="AY21" s="658" t="n"/>
      <c r="AZ21" s="658" t="n"/>
    </row>
    <row r="22" ht="13.5" customHeight="1" s="7635" thickBot="1">
      <c r="A22" s="139" t="n"/>
      <c r="B22" s="88" t="n"/>
      <c r="C22" s="7831" t="inlineStr">
        <is>
          <t>4a</t>
        </is>
      </c>
      <c r="D22" s="88">
        <f>"If line 3 is more than zero, multiply line 3 by "&amp;TEXT(AJ22,"0.00%")&amp;" ("&amp;TEXT(AJ22,"0.0000")&amp;")."</f>
        <v/>
      </c>
      <c r="E22" s="226" t="n"/>
      <c r="F22" s="88" t="n"/>
      <c r="G22" s="88" t="n"/>
      <c r="H22" s="88" t="n"/>
      <c r="I22" s="11403" t="n"/>
      <c r="J22" s="88" t="n"/>
      <c r="K22" s="88" t="n"/>
      <c r="L22" s="88" t="n"/>
      <c r="M22" s="88" t="n"/>
      <c r="N22" s="11403" t="inlineStr">
        <is>
          <t>Otherwise, enter the amount from line 3</t>
        </is>
      </c>
      <c r="O22" s="88" t="n"/>
      <c r="P22" s="11403" t="n"/>
      <c r="Q22" s="88" t="n"/>
      <c r="R22" s="88" t="n"/>
      <c r="S22" s="88" t="n"/>
      <c r="T22" s="88" t="n"/>
      <c r="U22" s="88" t="n"/>
      <c r="V22" s="88" t="n"/>
      <c r="W22" s="5488" t="n"/>
      <c r="X22" s="8939" t="n"/>
      <c r="Y22" s="7839" t="n"/>
      <c r="Z22" s="7839" t="n"/>
      <c r="AA22" s="139" t="n"/>
      <c r="AB22" s="5615" t="n"/>
      <c r="AC22" s="5415" t="n"/>
      <c r="AD22" s="8897">
        <f>IF(AN35,"NOTE: Statutory Employee profit/loss from Sch. C."&amp;CHAR(10)&amp;"has been excluded from Line 2.  See IRS instructions.","")</f>
        <v/>
      </c>
      <c r="AI22" s="5415" t="n"/>
      <c r="AJ22" s="11602" t="n">
        <v>0.9235</v>
      </c>
      <c r="AK22" s="851">
        <f>IF(AND(X23&lt;AJ20,X17&lt;&gt;""),SUM(X15,X20),0)</f>
        <v/>
      </c>
      <c r="AL22" s="851" t="n"/>
      <c r="AM22" s="851" t="n"/>
      <c r="AN22" s="851" t="n"/>
      <c r="AO22" s="851" t="n"/>
      <c r="AP22" s="851" t="n"/>
      <c r="AQ22" s="658" t="n"/>
      <c r="AR22" s="658" t="n"/>
      <c r="AS22" s="658" t="n"/>
      <c r="AT22" s="658" t="n"/>
      <c r="AU22" s="658" t="n"/>
      <c r="AV22" s="658" t="n"/>
      <c r="AW22" s="658" t="n"/>
      <c r="AX22" s="658" t="n"/>
      <c r="AY22" s="658" t="n"/>
      <c r="AZ22" s="658" t="n"/>
    </row>
    <row r="23" ht="13.5" customHeight="1" s="7635" thickBot="1">
      <c r="A23" s="139" t="n"/>
      <c r="B23" s="226" t="inlineStr">
        <is>
          <t>Note:</t>
        </is>
      </c>
      <c r="C23" s="11403" t="n"/>
      <c r="D23" s="11403">
        <f>"If line 4a is less than "&amp;TEXT(AJ20,"$0")&amp;" due to Conservation Reserve Program payments on line 1b, see instructions"</f>
        <v/>
      </c>
      <c r="E23" s="226" t="n"/>
      <c r="F23" s="11403" t="n"/>
      <c r="G23" s="88" t="n"/>
      <c r="H23" s="88" t="n"/>
      <c r="I23" s="88" t="n"/>
      <c r="J23" s="88" t="n"/>
      <c r="K23" s="88" t="n"/>
      <c r="L23" s="88" t="n"/>
      <c r="M23" s="88" t="n"/>
      <c r="N23" s="88" t="n"/>
      <c r="O23" s="88" t="n"/>
      <c r="P23" s="88" t="n"/>
      <c r="Q23" s="88" t="n"/>
      <c r="R23" s="88" t="n"/>
      <c r="S23" s="88" t="n"/>
      <c r="T23" s="88" t="n"/>
      <c r="U23" s="5445" t="n"/>
      <c r="V23" s="5616" t="inlineStr">
        <is>
          <t xml:space="preserve">.  . </t>
        </is>
      </c>
      <c r="W23" s="5450" t="inlineStr">
        <is>
          <t>4a</t>
        </is>
      </c>
      <c r="X23" s="8837">
        <f>IF(AB23&lt;&gt;"",ROUND(AB23,0),IF(X21&gt;0,ROUND((X21*AJ22),0),X21))</f>
        <v/>
      </c>
      <c r="Y23" s="7637" t="n"/>
      <c r="Z23" s="7637" t="n"/>
      <c r="AA23" s="139" t="n"/>
      <c r="AB23" s="811" t="n"/>
      <c r="AC23" s="5415" t="n"/>
      <c r="AI23" s="5415" t="n"/>
      <c r="AJ23" s="5617" t="n">
        <v>137700</v>
      </c>
      <c r="AK23" s="11602">
        <f>AND(S28&lt;&gt;"",S28&gt;0)</f>
        <v/>
      </c>
      <c r="AL23" s="11602" t="b">
        <v>1</v>
      </c>
      <c r="AM23" s="11602" t="n"/>
      <c r="AN23" s="851" t="n"/>
      <c r="AO23" s="851" t="n"/>
      <c r="AP23" s="851" t="n"/>
      <c r="AQ23" s="658" t="n"/>
      <c r="AR23" s="658" t="n"/>
      <c r="AS23" s="658" t="n"/>
      <c r="AT23" s="658" t="n"/>
      <c r="AU23" s="658" t="n"/>
      <c r="AV23" s="658" t="n"/>
      <c r="AW23" s="658" t="n"/>
      <c r="AX23" s="658" t="n"/>
      <c r="AY23" s="658" t="n"/>
      <c r="AZ23" s="658" t="n"/>
    </row>
    <row r="24">
      <c r="A24" s="139" t="n"/>
      <c r="B24" s="88" t="n"/>
      <c r="C24" s="228" t="inlineStr">
        <is>
          <t>b</t>
        </is>
      </c>
      <c r="D24" s="11403" t="inlineStr">
        <is>
          <t>If you elect one or both of the optional methods, enter the total of lines 15 and 17 here</t>
        </is>
      </c>
      <c r="E24" s="226" t="n"/>
      <c r="F24" s="88" t="n"/>
      <c r="G24" s="88" t="n"/>
      <c r="H24" s="88" t="n"/>
      <c r="I24" s="88" t="n"/>
      <c r="J24" s="88" t="n"/>
      <c r="K24" s="88" t="n"/>
      <c r="L24" s="88" t="n"/>
      <c r="M24" s="88" t="n"/>
      <c r="N24" s="88" t="n"/>
      <c r="O24" s="88" t="n"/>
      <c r="P24" s="88" t="n"/>
      <c r="Q24" s="88" t="n"/>
      <c r="R24" s="88" t="n"/>
      <c r="S24" s="88" t="n"/>
      <c r="T24" s="88" t="n"/>
      <c r="U24" s="5445" t="n"/>
      <c r="V24" s="5445" t="inlineStr">
        <is>
          <t xml:space="preserve">.   .   .   .   .   .   .   . </t>
        </is>
      </c>
      <c r="W24" s="5450" t="inlineStr">
        <is>
          <t>4b</t>
        </is>
      </c>
      <c r="X24" s="8837">
        <f>IF(OR(FarmOptMeth1,NonFarmOptMeth1),SUM(X52,X58),"")</f>
        <v/>
      </c>
      <c r="Y24" s="7637" t="n"/>
      <c r="Z24" s="7637" t="n"/>
      <c r="AA24" s="139" t="n"/>
      <c r="AB24" s="5618">
        <f>IF(AK24,"IF line 4c is &lt;"&amp;TEXT(AJ20,"$0")&amp;",","")</f>
        <v/>
      </c>
      <c r="AC24" s="5415" t="n"/>
      <c r="AD24" s="5415" t="n"/>
      <c r="AE24" s="5415" t="n"/>
      <c r="AF24" s="5415" t="n"/>
      <c r="AG24" s="5415" t="n"/>
      <c r="AH24" s="5415" t="n"/>
      <c r="AI24" s="5415" t="n"/>
      <c r="AJ24" s="11602" t="n">
        <v>0.029</v>
      </c>
      <c r="AK24" s="851">
        <f>AND(NOT(AK23),SUM(X23,X24)&lt;AJ20)</f>
        <v/>
      </c>
      <c r="AL24" s="1193" t="inlineStr">
        <is>
          <t>No CEI and 4c&lt;$400</t>
        </is>
      </c>
      <c r="AM24" s="851" t="n"/>
      <c r="AN24" s="1193" t="n"/>
      <c r="AO24" s="1193" t="n"/>
      <c r="AP24" s="1193" t="n"/>
      <c r="AQ24" s="658" t="n"/>
      <c r="AR24" s="658" t="n"/>
      <c r="AS24" s="658" t="n"/>
      <c r="AT24" s="658" t="n"/>
      <c r="AU24" s="658" t="n"/>
      <c r="AV24" s="658" t="n"/>
      <c r="AW24" s="658" t="n"/>
      <c r="AX24" s="658" t="n"/>
      <c r="AY24" s="658" t="n"/>
      <c r="AZ24" s="658" t="n"/>
    </row>
    <row r="25">
      <c r="A25" s="139" t="n"/>
      <c r="B25" s="88" t="n"/>
      <c r="C25" s="228" t="inlineStr">
        <is>
          <t>c</t>
        </is>
      </c>
      <c r="D25" s="11403">
        <f>"Combine  lines 4a and 4b. If less than "&amp;TEXT(AJ20,"$0")&amp;","</f>
        <v/>
      </c>
      <c r="E25" s="226" t="n"/>
      <c r="F25" s="88" t="n"/>
      <c r="G25" s="88" t="n"/>
      <c r="H25" s="88" t="n"/>
      <c r="I25" s="88" t="n"/>
      <c r="J25" s="88" t="n"/>
      <c r="K25" s="11403" t="inlineStr">
        <is>
          <t>stop; you don’t owe self-employment tax. Exception: If</t>
        </is>
      </c>
      <c r="L25" s="88" t="n"/>
      <c r="M25" s="88" t="n"/>
      <c r="N25" s="88" t="n"/>
      <c r="O25" s="88" t="n"/>
      <c r="P25" s="88" t="n"/>
      <c r="Q25" s="88" t="n"/>
      <c r="R25" s="88" t="n"/>
      <c r="S25" s="88" t="n"/>
      <c r="T25" s="88" t="n"/>
      <c r="U25" s="5445" t="n"/>
      <c r="V25" s="5445" t="n"/>
      <c r="W25" s="5619" t="n"/>
      <c r="X25" s="8872" t="n"/>
      <c r="AA25" s="139" t="n"/>
      <c r="AB25" s="5618">
        <f>IF(AK24,"STOP you don't owe","")</f>
        <v/>
      </c>
      <c r="AC25" s="11602" t="n"/>
      <c r="AD25" s="11602" t="n"/>
      <c r="AE25" s="11602" t="n"/>
      <c r="AF25" s="11602" t="n"/>
      <c r="AG25" s="11602" t="n"/>
      <c r="AH25" s="11602" t="n"/>
      <c r="AI25" s="11602" t="n"/>
      <c r="AJ25" s="740" t="n">
        <v>16479.6</v>
      </c>
      <c r="AK25" s="1193">
        <f>AND(AK23,SUM(X23,X24)&lt;AJ20)</f>
        <v/>
      </c>
      <c r="AL25" s="1193" t="inlineStr">
        <is>
          <t>CEI and 4c&lt;$400</t>
        </is>
      </c>
      <c r="AM25" s="1193" t="n"/>
      <c r="AN25" s="11602" t="n"/>
      <c r="AO25" s="11602" t="n"/>
      <c r="AP25" s="11602" t="n"/>
      <c r="AQ25" s="658" t="n"/>
      <c r="AR25" s="658" t="n"/>
      <c r="AS25" s="658" t="n"/>
      <c r="AT25" s="658" t="n"/>
      <c r="AU25" s="658" t="n"/>
      <c r="AV25" s="658" t="n"/>
      <c r="AW25" s="658" t="n"/>
      <c r="AX25" s="658" t="n"/>
      <c r="AY25" s="658" t="n"/>
      <c r="AZ25" s="658" t="n"/>
    </row>
    <row r="26">
      <c r="A26" s="139" t="n"/>
      <c r="B26" s="88" t="n"/>
      <c r="C26" s="228" t="n"/>
      <c r="D26" s="11403">
        <f>"less than "&amp;TEXT(AJ20,"$0")&amp;" and"</f>
        <v/>
      </c>
      <c r="E26" s="226" t="n"/>
      <c r="F26" s="88" t="n"/>
      <c r="G26" s="11403" t="inlineStr">
        <is>
          <t>you had church employee income, enter -0- and continue</t>
        </is>
      </c>
      <c r="H26" s="88" t="n"/>
      <c r="I26" s="88" t="n"/>
      <c r="J26" s="88" t="n"/>
      <c r="K26" s="88" t="n"/>
      <c r="L26" s="88" t="n"/>
      <c r="M26" s="88" t="n"/>
      <c r="N26" s="88" t="n"/>
      <c r="O26" s="88" t="n"/>
      <c r="P26" s="88" t="n"/>
      <c r="Q26" s="88" t="n"/>
      <c r="R26" s="88" t="n"/>
      <c r="S26" s="88" t="n"/>
      <c r="T26" s="88" t="n"/>
      <c r="U26" s="5445" t="n"/>
      <c r="V26" s="5445" t="inlineStr">
        <is>
          <t xml:space="preserve">.   .   .   .   .   .   .   .   .   .   . </t>
        </is>
      </c>
      <c r="W26" s="5450" t="inlineStr">
        <is>
          <t>4c</t>
        </is>
      </c>
      <c r="X26" s="8837">
        <f>IF(AK25,0,SUM(X23,X24))</f>
        <v/>
      </c>
      <c r="Y26" s="7637" t="n"/>
      <c r="Z26" s="7637" t="n"/>
      <c r="AA26" s="139" t="n"/>
      <c r="AB26" s="5618">
        <f>IF(AK24,"self employment tax.","")</f>
        <v/>
      </c>
      <c r="AC26" s="11602" t="n"/>
      <c r="AD26" s="11602" t="n"/>
      <c r="AE26" s="11602" t="n"/>
      <c r="AF26" s="11602" t="n"/>
      <c r="AG26" s="11602" t="n"/>
      <c r="AH26" s="11602" t="n"/>
      <c r="AI26" s="11602" t="n"/>
      <c r="AJ26" s="11602" t="n">
        <v>0.153</v>
      </c>
      <c r="AK26" s="11602" t="n"/>
      <c r="AL26" s="11602" t="n"/>
      <c r="AM26" s="11602" t="n"/>
      <c r="AN26" s="11602" t="n"/>
      <c r="AO26" s="11602" t="n"/>
      <c r="AP26" s="11602" t="n"/>
      <c r="AQ26" s="658" t="n"/>
      <c r="AR26" s="658" t="n"/>
      <c r="AS26" s="658" t="n"/>
      <c r="AT26" s="658" t="n"/>
      <c r="AU26" s="658" t="n"/>
      <c r="AV26" s="658" t="n"/>
      <c r="AW26" s="658" t="n"/>
      <c r="AX26" s="658" t="n"/>
      <c r="AY26" s="658" t="n"/>
      <c r="AZ26" s="658" t="n"/>
    </row>
    <row r="27">
      <c r="A27" s="139" t="n"/>
      <c r="B27" s="88" t="n"/>
      <c r="C27" s="7831" t="inlineStr">
        <is>
          <t>5a</t>
        </is>
      </c>
      <c r="D27" s="11403" t="inlineStr">
        <is>
          <t>Enter your  church employee income  from Form W-2.</t>
        </is>
      </c>
      <c r="E27" s="226" t="n"/>
      <c r="F27" s="88" t="n"/>
      <c r="G27" s="88" t="n"/>
      <c r="H27" s="88" t="n"/>
      <c r="I27" s="88" t="n"/>
      <c r="J27" s="88" t="n"/>
      <c r="K27" s="88" t="n"/>
      <c r="L27" s="88" t="inlineStr">
        <is>
          <t>See instructions for</t>
        </is>
      </c>
      <c r="M27" s="88" t="n"/>
      <c r="N27" s="88" t="n"/>
      <c r="O27" s="88" t="n"/>
      <c r="P27" s="88" t="n"/>
      <c r="Q27" s="88" t="n"/>
      <c r="R27" s="5620" t="n"/>
      <c r="S27" s="12211" t="n"/>
      <c r="V27" s="7636" t="n"/>
      <c r="W27" s="5619" t="n"/>
      <c r="X27" s="8919" t="n"/>
      <c r="Y27" s="7839" t="n"/>
      <c r="Z27" s="7839" t="n"/>
      <c r="AA27" s="139" t="n"/>
      <c r="AB27" s="5426" t="n"/>
      <c r="AC27" s="11602" t="n"/>
      <c r="AD27" s="11602" t="n"/>
      <c r="AE27" s="11602" t="n"/>
      <c r="AF27" s="11602" t="n"/>
      <c r="AG27" s="11602" t="n"/>
      <c r="AH27" s="11602" t="n"/>
      <c r="AI27" s="11602" t="n"/>
      <c r="AJ27" s="11602" t="n">
        <v>0.062</v>
      </c>
      <c r="AK27" s="11602" t="n"/>
      <c r="AL27" s="11602" t="n"/>
      <c r="AM27" s="11602" t="n"/>
      <c r="AN27" s="11602" t="n"/>
      <c r="AO27" s="11602" t="n"/>
      <c r="AP27" s="11602" t="n"/>
      <c r="AQ27" s="658" t="n"/>
      <c r="AR27" s="658" t="n"/>
      <c r="AS27" s="658" t="n"/>
      <c r="AT27" s="658" t="n"/>
      <c r="AU27" s="658" t="n"/>
      <c r="AV27" s="658" t="n"/>
      <c r="AW27" s="658" t="n"/>
      <c r="AX27" s="658" t="n"/>
      <c r="AY27" s="658" t="n"/>
      <c r="AZ27" s="658" t="n"/>
    </row>
    <row r="28">
      <c r="A28" s="139" t="n"/>
      <c r="B28" s="88" t="n"/>
      <c r="C28" s="228" t="n"/>
      <c r="D28" s="11403" t="inlineStr">
        <is>
          <t>definition of church employee income</t>
        </is>
      </c>
      <c r="E28" s="226" t="n"/>
      <c r="F28" s="88" t="n"/>
      <c r="G28" s="88" t="n"/>
      <c r="H28" s="88" t="n"/>
      <c r="I28" s="88" t="n"/>
      <c r="J28" s="88" t="n"/>
      <c r="K28" s="88" t="n"/>
      <c r="L28" s="88" t="n"/>
      <c r="M28" s="88" t="n"/>
      <c r="N28" s="88" t="n"/>
      <c r="O28" s="88" t="n"/>
      <c r="P28" s="88" t="n"/>
      <c r="Q28" s="5445" t="inlineStr">
        <is>
          <t xml:space="preserve">.   .   .   .   .   .   .   .   .   .   .   .   .   .   .   .   . </t>
        </is>
      </c>
      <c r="R28" s="5521" t="inlineStr">
        <is>
          <t>5a</t>
        </is>
      </c>
      <c r="S28" s="12212" t="n"/>
      <c r="T28" s="11717" t="n"/>
      <c r="U28" s="11717" t="n"/>
      <c r="V28" s="11718" t="n"/>
      <c r="W28" s="5619" t="n"/>
      <c r="X28" s="8840">
        <f>ROUND(S28,0)</f>
        <v/>
      </c>
      <c r="AA28" s="139" t="n"/>
      <c r="AB28" s="5621" t="n"/>
      <c r="AC28" s="11602" t="n"/>
      <c r="AD28" s="11602" t="n"/>
      <c r="AE28" s="11602" t="n"/>
      <c r="AF28" s="11602" t="n"/>
      <c r="AG28" s="11602" t="n"/>
      <c r="AH28" s="11602" t="n"/>
      <c r="AI28" s="11602" t="n"/>
      <c r="AJ28" s="11602" t="n">
        <v>0.0765</v>
      </c>
      <c r="AK28" s="11602" t="n"/>
      <c r="AL28" s="11602" t="n"/>
      <c r="AM28" s="11602" t="n"/>
      <c r="AN28" s="11602" t="n"/>
      <c r="AO28" s="11602" t="n"/>
      <c r="AP28" s="11602" t="n"/>
      <c r="AQ28" s="658" t="n"/>
      <c r="AR28" s="658" t="n"/>
      <c r="AS28" s="658" t="n"/>
      <c r="AT28" s="658" t="n"/>
      <c r="AU28" s="658" t="n"/>
      <c r="AV28" s="658" t="n"/>
      <c r="AW28" s="658" t="n"/>
      <c r="AX28" s="658" t="n"/>
      <c r="AY28" s="658" t="n"/>
      <c r="AZ28" s="658" t="n"/>
    </row>
    <row r="29" ht="13.5" customHeight="1" s="7635" thickBot="1">
      <c r="A29" s="139" t="n"/>
      <c r="B29" s="88" t="n"/>
      <c r="C29" s="228" t="inlineStr">
        <is>
          <t>b</t>
        </is>
      </c>
      <c r="D29" s="11403">
        <f>"Multiply line 5a by "&amp;TEXT(AC29,"0.00%")&amp;" ("&amp;TEXT(AC29,"0.0000")&amp;"). If less than "&amp;TEXT(AC30,"$0")&amp;", enter -0-"</f>
        <v/>
      </c>
      <c r="E29" s="226" t="n"/>
      <c r="F29" s="88" t="n"/>
      <c r="G29" s="88" t="n"/>
      <c r="H29" s="88" t="n"/>
      <c r="I29" s="88" t="n"/>
      <c r="J29" s="88" t="n"/>
      <c r="K29" s="88" t="n"/>
      <c r="L29" s="88" t="n"/>
      <c r="M29" s="88" t="n"/>
      <c r="N29" s="88" t="n"/>
      <c r="O29" s="88" t="n"/>
      <c r="P29" s="88" t="n"/>
      <c r="Q29" s="441" t="n"/>
      <c r="R29" s="441" t="n"/>
      <c r="S29" s="5622" t="n"/>
      <c r="T29" s="5622" t="n"/>
      <c r="U29" s="5622" t="n"/>
      <c r="V29" s="5445" t="inlineStr">
        <is>
          <t xml:space="preserve">.   .   .   .   .   .   .   .   .   .   .   .   .   .   .   .   . </t>
        </is>
      </c>
      <c r="W29" s="5623" t="inlineStr">
        <is>
          <t>5b</t>
        </is>
      </c>
      <c r="X29" s="8835">
        <f>IF(ChurchEmployeeIncome1="","",IF(ROUND(X28*AC29,0)&lt;AC30,0,ROUND(X28*AC29,0)))</f>
        <v/>
      </c>
      <c r="Y29" s="8848" t="n"/>
      <c r="Z29" s="8848" t="n"/>
      <c r="AA29" s="139" t="n"/>
      <c r="AB29" s="5624" t="n"/>
      <c r="AC29" s="8914" t="n">
        <v>0.9235</v>
      </c>
      <c r="AE29" s="11602" t="n"/>
      <c r="AF29" s="11602" t="n"/>
      <c r="AG29" s="11602" t="n"/>
      <c r="AH29" s="11602" t="n"/>
      <c r="AI29" s="11602" t="n"/>
      <c r="AJ29" s="11602" t="n"/>
      <c r="AK29" s="1061" t="n"/>
      <c r="AL29" s="5625" t="n"/>
      <c r="AM29" s="5625" t="n"/>
      <c r="AN29" s="5625" t="n"/>
      <c r="AO29" s="11602" t="n"/>
      <c r="AP29" s="11602" t="n"/>
      <c r="AQ29" s="658" t="n"/>
      <c r="AR29" s="658" t="n"/>
      <c r="AS29" s="658" t="n"/>
      <c r="AT29" s="658" t="n"/>
      <c r="AU29" s="658" t="n"/>
      <c r="AV29" s="658" t="n"/>
      <c r="AW29" s="658" t="n"/>
      <c r="AX29" s="658" t="n"/>
      <c r="AY29" s="658" t="n"/>
      <c r="AZ29" s="658" t="n"/>
    </row>
    <row r="30" ht="12.75" customHeight="1" s="7635" thickBot="1">
      <c r="A30" s="139" t="n"/>
      <c r="B30" s="88" t="n"/>
      <c r="C30" s="7831" t="n">
        <v>6</v>
      </c>
      <c r="D30" s="11403" t="inlineStr">
        <is>
          <t>Add lines 4c and 5b</t>
        </is>
      </c>
      <c r="E30" s="226" t="n"/>
      <c r="F30" s="88" t="n"/>
      <c r="G30" s="88" t="n"/>
      <c r="H30" s="88" t="n"/>
      <c r="I30" s="88" t="n"/>
      <c r="J30" s="88" t="n"/>
      <c r="K30" s="88" t="n"/>
      <c r="L30" s="88" t="n"/>
      <c r="M30" s="88" t="n"/>
      <c r="N30" s="88" t="n"/>
      <c r="O30" s="88" t="n"/>
      <c r="P30" s="88" t="n"/>
      <c r="Q30" s="88" t="n"/>
      <c r="R30" s="88" t="n"/>
      <c r="S30" s="88" t="n"/>
      <c r="T30" s="88" t="n"/>
      <c r="U30" s="5445" t="n"/>
      <c r="V30" s="5445" t="inlineStr">
        <is>
          <t xml:space="preserve">.   .   .   .   .   .   .   .   .   .   .   .   .   .   .   .   .   .   .   .   .   .   .   .   .   .   .   .   .   .   . </t>
        </is>
      </c>
      <c r="W30" s="5450" t="n">
        <v>6</v>
      </c>
      <c r="X30" s="8837">
        <f>IF(AB30&lt;&gt;"",ROUND(AB30,0),IF(AK24,"",SUM(X26,X29)))</f>
        <v/>
      </c>
      <c r="Y30" s="7637" t="n"/>
      <c r="Z30" s="7637" t="n"/>
      <c r="AA30" s="139" t="n"/>
      <c r="AB30" s="811" t="n"/>
      <c r="AC30" s="8915" t="n">
        <v>100</v>
      </c>
      <c r="AE30" s="11602" t="n"/>
      <c r="AF30" s="11602" t="n"/>
      <c r="AG30" s="11602" t="n"/>
      <c r="AH30" s="11602" t="n"/>
      <c r="AI30" s="11602" t="n"/>
      <c r="AJ30" s="405" t="n"/>
      <c r="AK30" s="406" t="n"/>
      <c r="AL30" s="11165" t="inlineStr">
        <is>
          <t>You</t>
        </is>
      </c>
      <c r="AM30" s="7935" t="inlineStr">
        <is>
          <t>Spouse</t>
        </is>
      </c>
      <c r="AN30" s="406" t="n"/>
      <c r="AO30" s="7936" t="n"/>
      <c r="AP30" s="11602" t="n"/>
      <c r="AQ30" s="658" t="n"/>
      <c r="AR30" s="658" t="n"/>
      <c r="AS30" s="658" t="n"/>
      <c r="AT30" s="658" t="n"/>
      <c r="AU30" s="658" t="n"/>
      <c r="AV30" s="658" t="n"/>
      <c r="AW30" s="658" t="n"/>
      <c r="AX30" s="658" t="n"/>
      <c r="AY30" s="658" t="n"/>
      <c r="AZ30" s="658" t="n"/>
    </row>
    <row r="31" ht="13.5" customHeight="1" s="7635" thickBot="1">
      <c r="A31" s="139" t="n"/>
      <c r="B31" s="88" t="n"/>
      <c r="C31" s="7831" t="n">
        <v>7</v>
      </c>
      <c r="D31" s="11403" t="inlineStr">
        <is>
          <t>Maximum amount of combined wages and self-employment earnings subject to social security tax or</t>
        </is>
      </c>
      <c r="E31" s="226" t="n"/>
      <c r="F31" s="88" t="n"/>
      <c r="G31" s="88" t="n"/>
      <c r="H31" s="88" t="n"/>
      <c r="I31" s="88" t="n"/>
      <c r="J31" s="88" t="n"/>
      <c r="K31" s="88" t="n"/>
      <c r="L31" s="88" t="n"/>
      <c r="M31" s="88" t="n"/>
      <c r="N31" s="88" t="n"/>
      <c r="O31" s="88" t="n"/>
      <c r="P31" s="88" t="n"/>
      <c r="Q31" s="88" t="n"/>
      <c r="R31" s="88" t="n"/>
      <c r="S31" s="88" t="n"/>
      <c r="T31" s="88" t="n"/>
      <c r="U31" s="5445" t="n"/>
      <c r="V31" s="5445" t="n"/>
      <c r="W31" s="5619" t="n"/>
      <c r="X31" s="12213">
        <f>MaxSSTaxEarnings</f>
        <v/>
      </c>
      <c r="Y31" s="7839" t="n"/>
      <c r="Z31" s="7839" t="n"/>
      <c r="AA31" s="139" t="n"/>
      <c r="AB31" s="5426" t="n"/>
      <c r="AC31" s="807" t="n"/>
      <c r="AD31" s="11602" t="n"/>
      <c r="AE31" s="11602" t="n"/>
      <c r="AG31" s="11602" t="n"/>
      <c r="AH31" s="7957" t="n"/>
      <c r="AI31" s="7957" t="n"/>
      <c r="AJ31" s="8977" t="inlineStr">
        <is>
          <t>Line</t>
        </is>
      </c>
      <c r="AK31" s="7914" t="inlineStr">
        <is>
          <t>Source</t>
        </is>
      </c>
      <c r="AL31" s="12214">
        <f>SS_Yours</f>
        <v/>
      </c>
      <c r="AM31" s="12214">
        <f>SS_Spouse</f>
        <v/>
      </c>
      <c r="AN31" s="7957" t="inlineStr">
        <is>
          <t>BOTH</t>
        </is>
      </c>
      <c r="AO31" s="7958" t="n"/>
      <c r="AP31" s="7957" t="n"/>
      <c r="AQ31" s="658" t="n"/>
      <c r="AR31" s="658" t="n"/>
      <c r="AS31" s="658" t="n"/>
      <c r="AT31" s="658" t="n"/>
      <c r="AU31" s="658" t="n"/>
      <c r="AV31" s="658" t="n"/>
      <c r="AW31" s="658" t="n"/>
      <c r="AX31" s="658" t="n"/>
      <c r="AY31" s="658" t="n"/>
      <c r="AZ31" s="658" t="n"/>
    </row>
    <row r="32" ht="12" customHeight="1" s="7635">
      <c r="A32" s="139" t="n"/>
      <c r="B32" s="88" t="n"/>
      <c r="C32" s="228" t="n"/>
      <c r="D32" s="11403">
        <f>"the "&amp;TEXT(AJ27,"0.0%")&amp;" portion of the "&amp;TEXT(AJ28,"0.00%")&amp;" railroad retirement (tier 1) tax for "&amp;TaxYear</f>
        <v/>
      </c>
      <c r="E32" s="226" t="n"/>
      <c r="F32" s="88" t="n"/>
      <c r="G32" s="88" t="n"/>
      <c r="H32" s="88" t="n"/>
      <c r="I32" s="88" t="n"/>
      <c r="J32" s="88" t="n"/>
      <c r="K32" s="88" t="n"/>
      <c r="L32" s="88" t="n"/>
      <c r="M32" s="88" t="n"/>
      <c r="N32" s="88" t="n"/>
      <c r="O32" s="88" t="n"/>
      <c r="P32" s="8839">
        <f>AND(X30&lt;&gt;"",X30&gt;0,NOT(AJ5),NOT(AJ7))</f>
        <v/>
      </c>
      <c r="R32" s="88" t="n"/>
      <c r="S32" s="8834">
        <f>IF(P32,"Identify above","")</f>
        <v/>
      </c>
      <c r="V32" s="7636" t="n"/>
      <c r="W32" s="5450" t="n">
        <v>7</v>
      </c>
      <c r="X32" s="3614" t="n"/>
      <c r="Y32" s="7637" t="n"/>
      <c r="Z32" s="7637" t="n"/>
      <c r="AA32" s="139" t="n"/>
      <c r="AB32" s="5426" t="n"/>
      <c r="AC32" s="11602" t="n"/>
      <c r="AD32" s="11602" t="n"/>
      <c r="AE32" s="11602" t="n"/>
      <c r="AF32" s="11602" t="n"/>
      <c r="AG32" s="11602" t="n"/>
      <c r="AH32" s="5625" t="n"/>
      <c r="AI32" s="5625" t="n"/>
      <c r="AJ32" s="5627" t="inlineStr">
        <is>
          <t>1a.</t>
        </is>
      </c>
      <c r="AK32" s="344" t="inlineStr">
        <is>
          <t>Sch. F Line 34</t>
        </is>
      </c>
      <c r="AL32" s="5628">
        <f>IF(SchF_SSN=SS_Yours,FarmProfitNet,0)</f>
        <v/>
      </c>
      <c r="AM32" s="5629">
        <f>IF(SchF_SSN=SS_Spouse,FarmProfitNet,0)</f>
        <v/>
      </c>
      <c r="AN32" s="5630">
        <f>SUM(AL32,AM32)</f>
        <v/>
      </c>
      <c r="AO32" s="5631" t="n"/>
      <c r="AP32" s="5625" t="n"/>
      <c r="AQ32" s="658" t="n"/>
      <c r="AR32" s="658" t="n"/>
      <c r="AS32" s="658" t="n"/>
      <c r="AT32" s="658" t="n"/>
      <c r="AU32" s="658" t="n"/>
      <c r="AV32" s="658" t="n"/>
      <c r="AW32" s="658" t="n"/>
      <c r="AX32" s="658" t="n"/>
      <c r="AY32" s="658" t="n"/>
      <c r="AZ32" s="658" t="n"/>
    </row>
    <row r="33" ht="13.5" customHeight="1" s="7635">
      <c r="A33" s="139" t="n"/>
      <c r="B33" s="88" t="n"/>
      <c r="C33" s="7831" t="inlineStr">
        <is>
          <t>8a</t>
        </is>
      </c>
      <c r="D33" s="11403" t="inlineStr">
        <is>
          <t>Total social security wages and tips (total of boxes 3 and 7 on Form(s) W-2)</t>
        </is>
      </c>
      <c r="E33" s="226" t="n"/>
      <c r="F33" s="88" t="n"/>
      <c r="G33" s="88" t="n"/>
      <c r="H33" s="88" t="n"/>
      <c r="I33" s="88" t="n"/>
      <c r="J33" s="88" t="n"/>
      <c r="K33" s="88" t="n"/>
      <c r="L33" s="88" t="n"/>
      <c r="M33" s="88" t="n"/>
      <c r="N33" s="88" t="n"/>
      <c r="O33" s="88" t="n"/>
      <c r="P33" s="88" t="n"/>
      <c r="Q33" s="88" t="n"/>
      <c r="R33" s="5448" t="n"/>
      <c r="S33" s="12215">
        <f>IF(P32,"for whom this form","")</f>
        <v/>
      </c>
      <c r="V33" s="7636" t="n"/>
      <c r="W33" s="5619" t="n"/>
      <c r="X33" s="8919" t="n"/>
      <c r="Y33" s="7839" t="n"/>
      <c r="Z33" s="7839" t="n"/>
      <c r="AA33" s="139" t="n"/>
      <c r="AB33" s="12216" t="inlineStr">
        <is>
          <t>Railroad retirement 
(tier 1) compensation</t>
        </is>
      </c>
      <c r="AC33" s="807" t="n"/>
      <c r="AD33" s="11602" t="n"/>
      <c r="AE33" s="11602" t="n"/>
      <c r="AG33" s="11602" t="n"/>
      <c r="AH33" s="5625" t="n"/>
      <c r="AI33" s="5625" t="n"/>
      <c r="AJ33" s="5627" t="inlineStr">
        <is>
          <t>2.</t>
        </is>
      </c>
      <c r="AK33" s="1061" t="inlineStr">
        <is>
          <t>Sch. C1 &amp; C2 Line 31</t>
        </is>
      </c>
      <c r="AL33" s="5632">
        <f>IF(AND(NOT(AL50),NOT(AL51),'Sch. C'!M7=SS_Yours,'Sch. C'!M121=SS_Yours,'Sch. C'!Y6,'Sch. C'!Y120),AL49,IF(AND(NOT(AL50),'Sch. C'!M7=SS_Yours,'Sch. C'!Y6),AL47,IF(AND(NOT(AL51),'Sch. C'!M121=SS_Yours,'Sch. C'!Y120),AL48,0)))</f>
        <v/>
      </c>
      <c r="AM33" s="5633">
        <f>IF(AND(NOT(AL50),NOT(AL51),'Sch. C'!M7=SS_Spouse,'Sch. C'!M121=SS_Spouse,'Sch. C'!Y6,'Sch. C'!Y120),AL49,IF(AND(NOT(AL50),'Sch. C'!M7=SS_Spouse,'Sch. C'!Y6),AL47,IF(AND(NOT(AL51),'Sch. C'!M121=SS_Spouse,'Sch. C'!Y120),AL48,0)))</f>
        <v/>
      </c>
      <c r="AN33" s="5634">
        <f>SUM(AL33,AM33)</f>
        <v/>
      </c>
      <c r="AO33" s="5631" t="n"/>
      <c r="AP33" s="5625" t="n"/>
      <c r="AQ33" s="658" t="n"/>
      <c r="AR33" s="658" t="n"/>
      <c r="AS33" s="658" t="n"/>
      <c r="AT33" s="658" t="n"/>
      <c r="AU33" s="658" t="n"/>
      <c r="AV33" s="658" t="n"/>
      <c r="AW33" s="658" t="n"/>
      <c r="AX33" s="658" t="n"/>
      <c r="AY33" s="658" t="n"/>
      <c r="AZ33" s="658" t="n"/>
    </row>
    <row r="34">
      <c r="A34" s="139" t="n"/>
      <c r="B34" s="88" t="n"/>
      <c r="C34" s="228" t="n"/>
      <c r="D34" s="11403">
        <f>"and railroad retirement (tier 1) compensation. If "&amp;TEXT(X31,"$0,000")&amp;" or more, skip lines"</f>
        <v/>
      </c>
      <c r="E34" s="226" t="n"/>
      <c r="F34" s="88" t="n"/>
      <c r="G34" s="88" t="n"/>
      <c r="H34" s="88" t="n"/>
      <c r="I34" s="88" t="n"/>
      <c r="J34" s="88" t="n"/>
      <c r="K34" s="88" t="n"/>
      <c r="L34" s="88" t="n"/>
      <c r="M34" s="88" t="n"/>
      <c r="N34" s="88" t="n"/>
      <c r="O34" s="88" t="n"/>
      <c r="P34" s="88" t="n"/>
      <c r="Q34" s="88" t="n"/>
      <c r="R34" s="5448" t="n"/>
      <c r="S34" s="12217">
        <f>IF(P32,"is being completed.","")</f>
        <v/>
      </c>
      <c r="V34" s="7636" t="n"/>
      <c r="W34" s="5619" t="n"/>
      <c r="X34" s="12218" t="n"/>
      <c r="AA34" s="139" t="n"/>
      <c r="AB34" s="7637" t="n"/>
      <c r="AC34" s="11602" t="n"/>
      <c r="AD34" s="11602" t="n"/>
      <c r="AE34" s="11602" t="n"/>
      <c r="AF34" s="11602" t="n"/>
      <c r="AG34" s="11602" t="n"/>
      <c r="AH34" s="5625" t="n"/>
      <c r="AI34" s="5625" t="n"/>
      <c r="AJ34" s="5627" t="inlineStr">
        <is>
          <t>8a.</t>
        </is>
      </c>
      <c r="AK34" s="344" t="inlineStr">
        <is>
          <t>W-2 SS W&amp;T</t>
        </is>
      </c>
      <c r="AL34" s="5632">
        <f>ROUND(SUM(SocSecWages_You,SocSecTips_You),0)</f>
        <v/>
      </c>
      <c r="AM34" s="5633">
        <f>ROUND(SUM(SocSecWages_Spouse,SocSecTips_Spouse),0)</f>
        <v/>
      </c>
      <c r="AN34" s="5634">
        <f>SUM(AL34,AM34)</f>
        <v/>
      </c>
      <c r="AO34" s="5631" t="n"/>
      <c r="AP34" s="5625" t="n"/>
      <c r="AQ34" s="658" t="n"/>
      <c r="AR34" s="658" t="n"/>
      <c r="AS34" s="658" t="n"/>
      <c r="AT34" s="658" t="n"/>
      <c r="AU34" s="658" t="n"/>
      <c r="AV34" s="658" t="n"/>
      <c r="AW34" s="658" t="n"/>
      <c r="AX34" s="658" t="n"/>
      <c r="AY34" s="658" t="n"/>
      <c r="AZ34" s="658" t="n"/>
    </row>
    <row r="35" ht="13.5" customHeight="1" s="7635" thickBot="1">
      <c r="A35" s="139" t="n"/>
      <c r="B35" s="88" t="n"/>
      <c r="C35" s="228" t="n"/>
      <c r="D35" s="11403" t="inlineStr">
        <is>
          <t>lines 8b through 10, and go to line 11</t>
        </is>
      </c>
      <c r="E35" s="226" t="n"/>
      <c r="F35" s="88" t="n"/>
      <c r="G35" s="88" t="n"/>
      <c r="H35" s="88" t="n"/>
      <c r="I35" s="88" t="n"/>
      <c r="J35" s="88" t="n"/>
      <c r="K35" s="88" t="n"/>
      <c r="L35" s="88" t="n"/>
      <c r="M35" s="88" t="n"/>
      <c r="N35" s="88" t="n"/>
      <c r="O35" s="88" t="n"/>
      <c r="P35" s="88" t="n"/>
      <c r="Q35" s="5445" t="inlineStr">
        <is>
          <t xml:space="preserve">.   .   .   .   .   .   .   .   .   .   .   .   .   .   .   .   . </t>
        </is>
      </c>
      <c r="R35" s="5521" t="inlineStr">
        <is>
          <t>8a</t>
        </is>
      </c>
      <c r="S35" s="12219">
        <f>IF(AK24,"",IF(AND(AJ5,AJ7),SUM(AN34,X35),IF(AJ5,SUM(AL34,X35),IF(AJ7,SUM(AM34,X35),""))))</f>
        <v/>
      </c>
      <c r="T35" s="7637" t="n"/>
      <c r="U35" s="7637" t="n"/>
      <c r="V35" s="7638" t="n"/>
      <c r="W35" s="5619" t="n"/>
      <c r="X35" s="8840">
        <f>IF(AB35="",0,ROUND(AB35,0))</f>
        <v/>
      </c>
      <c r="AA35" s="139" t="n"/>
      <c r="AB35" s="124" t="n"/>
      <c r="AC35" s="11602" t="n"/>
      <c r="AD35" s="11602" t="n"/>
      <c r="AE35" s="580" t="n"/>
      <c r="AF35" s="11602" t="n"/>
      <c r="AG35" s="11602" t="n"/>
      <c r="AH35" s="11602" t="n"/>
      <c r="AI35" s="11602" t="n"/>
      <c r="AJ35" s="408" t="n"/>
      <c r="AK35" s="344" t="inlineStr">
        <is>
          <t>Sch C1 &amp; C2 St Emp</t>
        </is>
      </c>
      <c r="AL35" s="5635">
        <f>OR(AND(SS_Yours='Sch. C'!M7,AL50),AND(SS_Yours='Sch. C'!M121,AL51))</f>
        <v/>
      </c>
      <c r="AM35" s="5636">
        <f>OR(AND(SS_Spouse='Sch. C'!M7,AL50),AND(SS_Spouse='Sch. C'!M121,AL51))</f>
        <v/>
      </c>
      <c r="AN35" s="5637">
        <f>AND(NOT(AND(AJ5,AJ7)),OR(AND(AJ5,AL35),AND(AJ7,AM35)))</f>
        <v/>
      </c>
      <c r="AO35" s="409" t="n"/>
      <c r="AP35" s="11602" t="n"/>
      <c r="AQ35" s="658" t="n"/>
      <c r="AR35" s="658" t="n"/>
      <c r="AS35" s="658" t="n"/>
      <c r="AT35" s="658" t="n"/>
      <c r="AU35" s="658" t="n"/>
      <c r="AV35" s="658" t="n"/>
      <c r="AW35" s="658" t="n"/>
      <c r="AX35" s="658" t="n"/>
      <c r="AY35" s="658" t="n"/>
      <c r="AZ35" s="658" t="n"/>
    </row>
    <row r="36">
      <c r="A36" s="139" t="n"/>
      <c r="B36" s="88" t="n"/>
      <c r="C36" s="228" t="inlineStr">
        <is>
          <t>b</t>
        </is>
      </c>
      <c r="D36" s="11403" t="inlineStr">
        <is>
          <t>Unreported tips subject to social security tax from Form 4137, line 10</t>
        </is>
      </c>
      <c r="E36" s="226" t="n"/>
      <c r="F36" s="88" t="n"/>
      <c r="G36" s="88" t="n"/>
      <c r="H36" s="88" t="n"/>
      <c r="I36" s="88" t="n"/>
      <c r="J36" s="88" t="n"/>
      <c r="K36" s="88" t="n"/>
      <c r="L36" s="88" t="n"/>
      <c r="M36" s="88" t="n"/>
      <c r="N36" s="88" t="n"/>
      <c r="O36" s="88" t="n"/>
      <c r="P36" s="88" t="n"/>
      <c r="Q36" s="5445" t="inlineStr">
        <is>
          <t xml:space="preserve">.   .   .   .   .   .   . </t>
        </is>
      </c>
      <c r="R36" s="5521" t="inlineStr">
        <is>
          <t>8b</t>
        </is>
      </c>
      <c r="S36" s="12212" t="n"/>
      <c r="T36" s="11717" t="n"/>
      <c r="U36" s="11717" t="n"/>
      <c r="V36" s="11718" t="n"/>
      <c r="W36" s="5619" t="n"/>
      <c r="X36" s="8840">
        <f>ROUND(S36,0)</f>
        <v/>
      </c>
      <c r="AA36" s="139" t="n"/>
      <c r="AB36" s="5426" t="n"/>
      <c r="AC36" s="11602" t="n"/>
      <c r="AD36" s="11602" t="n"/>
      <c r="AE36" s="11602" t="n"/>
      <c r="AF36" s="11602" t="n"/>
      <c r="AG36" s="11602" t="n"/>
      <c r="AH36" s="11602" t="n"/>
      <c r="AI36" s="11602" t="n"/>
      <c r="AJ36" s="412" t="n"/>
      <c r="AK36" s="569" t="n"/>
      <c r="AL36" s="569" t="n"/>
      <c r="AM36" s="569" t="n"/>
      <c r="AN36" s="569" t="n"/>
      <c r="AO36" s="414" t="n"/>
      <c r="AP36" s="11602" t="n"/>
      <c r="AQ36" s="658" t="n"/>
      <c r="AR36" s="658" t="n"/>
      <c r="AS36" s="658" t="n"/>
      <c r="AT36" s="658" t="n"/>
      <c r="AU36" s="658" t="n"/>
      <c r="AV36" s="658" t="n"/>
      <c r="AW36" s="658" t="n"/>
      <c r="AX36" s="658" t="n"/>
      <c r="AY36" s="658" t="n"/>
      <c r="AZ36" s="658" t="n"/>
    </row>
    <row r="37" ht="15" customHeight="1" s="7635" thickBot="1">
      <c r="A37" s="139" t="n"/>
      <c r="B37" s="88" t="n"/>
      <c r="C37" s="228" t="inlineStr">
        <is>
          <t>c</t>
        </is>
      </c>
      <c r="D37" s="11403" t="inlineStr">
        <is>
          <t>Wages subject to social security tax from Form 8919, line 10</t>
        </is>
      </c>
      <c r="E37" s="226" t="n"/>
      <c r="F37" s="88" t="n"/>
      <c r="G37" s="88" t="n"/>
      <c r="H37" s="88" t="n"/>
      <c r="I37" s="88" t="n"/>
      <c r="J37" s="88" t="n"/>
      <c r="K37" s="88" t="n"/>
      <c r="L37" s="88" t="n"/>
      <c r="M37" s="88" t="n"/>
      <c r="N37" s="88" t="n"/>
      <c r="O37" s="88" t="n"/>
      <c r="P37" s="88" t="n"/>
      <c r="Q37" s="5445" t="inlineStr">
        <is>
          <t xml:space="preserve">.   .   .   .   .   .   .   .   .   . </t>
        </is>
      </c>
      <c r="R37" s="5638" t="inlineStr">
        <is>
          <t>8c</t>
        </is>
      </c>
      <c r="S37" s="12220" t="n"/>
      <c r="T37" s="11809" t="n"/>
      <c r="U37" s="11809" t="n"/>
      <c r="V37" s="11810" t="n"/>
      <c r="W37" s="5619" t="n"/>
      <c r="X37" s="8840">
        <f>ROUND(S37,0)</f>
        <v/>
      </c>
      <c r="AA37" s="139" t="n"/>
      <c r="AB37" s="5426" t="n"/>
      <c r="AC37" s="11602" t="n"/>
      <c r="AE37" s="11602" t="n"/>
      <c r="AF37" s="11602" t="n"/>
      <c r="AG37" s="11602" t="n"/>
      <c r="AH37" s="11602" t="n"/>
      <c r="AI37" s="11602" t="n"/>
      <c r="AJ37" s="11602" t="n"/>
      <c r="AK37" s="11602" t="n"/>
      <c r="AL37" s="11602" t="n"/>
      <c r="AM37" s="11602" t="n"/>
      <c r="AN37" s="11602" t="n"/>
      <c r="AQ37" s="658" t="n"/>
      <c r="AR37" s="658" t="n"/>
      <c r="AS37" s="658" t="n"/>
      <c r="AT37" s="658" t="n"/>
      <c r="AU37" s="658" t="n"/>
      <c r="AV37" s="658" t="n"/>
      <c r="AW37" s="658" t="n"/>
      <c r="AX37" s="658" t="n"/>
      <c r="AY37" s="658" t="n"/>
      <c r="AZ37" s="658" t="n"/>
    </row>
    <row r="38" ht="13.5" customHeight="1" s="7635" thickBot="1">
      <c r="A38" s="139" t="n"/>
      <c r="B38" s="88" t="n"/>
      <c r="C38" s="228" t="inlineStr">
        <is>
          <t>d</t>
        </is>
      </c>
      <c r="D38" s="11403" t="inlineStr">
        <is>
          <t>Add lines 8a, 8b, and 8c</t>
        </is>
      </c>
      <c r="E38" s="226" t="n"/>
      <c r="F38" s="88" t="n"/>
      <c r="G38" s="88" t="n"/>
      <c r="H38" s="88" t="n"/>
      <c r="I38" s="88" t="n"/>
      <c r="J38" s="88" t="n"/>
      <c r="K38" s="88" t="n"/>
      <c r="L38" s="88" t="n"/>
      <c r="M38" s="88" t="n"/>
      <c r="N38" s="88" t="n"/>
      <c r="O38" s="88" t="n"/>
      <c r="P38" s="88" t="n"/>
      <c r="Q38" s="88" t="n"/>
      <c r="R38" s="228" t="n"/>
      <c r="S38" s="1189" t="n"/>
      <c r="T38" s="1189" t="n"/>
      <c r="U38" s="1189" t="n"/>
      <c r="V38" s="5445" t="inlineStr">
        <is>
          <t xml:space="preserve">.   .   .   .   .   .   .   .   .   .   .   .   .   .   .   .   .   .   .   .   .   .   .   .   .   .   .   .   .   . </t>
        </is>
      </c>
      <c r="W38" s="5639" t="inlineStr">
        <is>
          <t>8d</t>
        </is>
      </c>
      <c r="X38" s="8835">
        <f>IF(AK24,"",SUM(S35,X36,X37))</f>
        <v/>
      </c>
      <c r="Y38" s="8848" t="n"/>
      <c r="Z38" s="8848" t="n"/>
      <c r="AA38" s="139" t="n"/>
      <c r="AB38" s="5426" t="n"/>
      <c r="AC38" s="11602" t="n"/>
      <c r="AD38" s="11602" t="n"/>
      <c r="AE38" s="11602" t="n"/>
      <c r="AF38" s="11602" t="n"/>
      <c r="AG38" s="11602" t="n"/>
      <c r="AH38" s="11602" t="n"/>
      <c r="AI38" s="11602" t="n"/>
      <c r="AJ38" s="11602">
        <f>IF(X38="",0,X38)</f>
        <v/>
      </c>
      <c r="AK38" s="11602" t="n"/>
      <c r="AL38" s="5640" t="n"/>
      <c r="AM38" s="11602" t="n"/>
      <c r="AN38" s="11602" t="n"/>
      <c r="AO38" s="11602" t="n"/>
      <c r="AP38" s="11602" t="n"/>
      <c r="AQ38" s="658" t="n"/>
      <c r="AR38" s="658" t="n"/>
      <c r="AS38" s="658" t="n"/>
      <c r="AT38" s="658" t="n"/>
      <c r="AU38" s="658" t="n"/>
      <c r="AV38" s="658" t="n"/>
      <c r="AW38" s="658" t="n"/>
      <c r="AX38" s="658" t="n"/>
      <c r="AY38" s="658" t="n"/>
      <c r="AZ38" s="658" t="n"/>
    </row>
    <row r="39" ht="12.75" customHeight="1" s="7635" thickBot="1">
      <c r="A39" s="139" t="n"/>
      <c r="B39" s="88" t="n"/>
      <c r="C39" s="228" t="n">
        <v>9</v>
      </c>
      <c r="D39" s="11403" t="inlineStr">
        <is>
          <t>Subtract line 8d from line 7. If zero or less, enter -0- here and on line 10 and go to line 11</t>
        </is>
      </c>
      <c r="E39" s="226" t="n"/>
      <c r="F39" s="88" t="n"/>
      <c r="G39" s="88" t="n"/>
      <c r="H39" s="88" t="n"/>
      <c r="I39" s="88" t="n"/>
      <c r="J39" s="88" t="n"/>
      <c r="K39" s="88" t="n"/>
      <c r="L39" s="88" t="n"/>
      <c r="M39" s="88" t="n"/>
      <c r="N39" s="88" t="n"/>
      <c r="O39" s="88" t="n"/>
      <c r="P39" s="88" t="n"/>
      <c r="Q39" s="88" t="n"/>
      <c r="R39" s="228" t="n"/>
      <c r="S39" s="1189" t="n"/>
      <c r="T39" s="1663" t="n"/>
      <c r="U39" s="1663" t="n"/>
      <c r="V39" s="5445" t="inlineStr">
        <is>
          <t xml:space="preserve">.   .   .   .   .   .   .   . </t>
        </is>
      </c>
      <c r="W39" s="5450" t="n">
        <v>9</v>
      </c>
      <c r="X39" s="8837">
        <f>IF(OR(X38="",P32),"",IF(AJ40,0,SUM(X31,-AJ38)))</f>
        <v/>
      </c>
      <c r="Y39" s="7637" t="n"/>
      <c r="Z39" s="7637" t="n"/>
      <c r="AA39" s="139" t="n"/>
      <c r="AB39" s="5426" t="n"/>
      <c r="AC39" s="11602" t="n"/>
      <c r="AD39" s="11602" t="n"/>
      <c r="AE39" s="11602" t="n"/>
      <c r="AF39" s="11602" t="n"/>
      <c r="AG39" s="11602" t="n"/>
      <c r="AH39" s="11602" t="n"/>
      <c r="AI39" s="1195" t="n"/>
      <c r="AJ39" s="11602">
        <f>IF(X39="",0,X39)</f>
        <v/>
      </c>
      <c r="AK39" s="7902" t="inlineStr">
        <is>
          <t>Input to Form 2441</t>
        </is>
      </c>
      <c r="AL39" s="8848" t="n"/>
      <c r="AM39" s="11602" t="n"/>
      <c r="AN39" s="11602" t="n"/>
      <c r="AO39" s="1195" t="n"/>
      <c r="AP39" s="1195" t="n"/>
      <c r="AQ39" s="658" t="n"/>
      <c r="AR39" s="658" t="n"/>
      <c r="AS39" s="658" t="n"/>
      <c r="AT39" s="658" t="n"/>
      <c r="AU39" s="658" t="n"/>
      <c r="AV39" s="658" t="n"/>
      <c r="AW39" s="658" t="n"/>
      <c r="AX39" s="658" t="n"/>
      <c r="AY39" s="658" t="n"/>
      <c r="AZ39" s="658" t="n"/>
    </row>
    <row r="40" ht="14.25" customHeight="1" s="7635" thickBot="1">
      <c r="A40" s="139" t="n"/>
      <c r="B40" s="88" t="n"/>
      <c r="C40" s="7831" t="n">
        <v>10</v>
      </c>
      <c r="D40" s="11403" t="inlineStr">
        <is>
          <t>Multiply the  smaller  of  line 6  or  line 9 by</t>
        </is>
      </c>
      <c r="E40" s="226" t="n"/>
      <c r="F40" s="88" t="n"/>
      <c r="G40" s="88" t="n"/>
      <c r="H40" s="88" t="n"/>
      <c r="I40" s="88" t="n"/>
      <c r="J40" s="11403" t="n"/>
      <c r="K40" s="11403">
        <f>TEXT(AE40,"0.0%")&amp;" ("&amp;TEXT(AE40,"0.000")&amp;")"</f>
        <v/>
      </c>
      <c r="L40" s="88" t="n"/>
      <c r="M40" s="88" t="n"/>
      <c r="N40" s="88" t="n"/>
      <c r="O40" s="88" t="n"/>
      <c r="P40" s="88" t="n"/>
      <c r="Q40" s="88" t="n"/>
      <c r="R40" s="1191" t="n"/>
      <c r="S40" s="1191" t="n"/>
      <c r="T40" s="1191" t="n"/>
      <c r="U40" s="12221" t="n"/>
      <c r="V40" s="5641" t="inlineStr">
        <is>
          <t xml:space="preserve">.   .   .   .   .   .   .   .   .   .   .   .   .   .   .   .   .   .  </t>
        </is>
      </c>
      <c r="W40" s="5450" t="n">
        <v>10</v>
      </c>
      <c r="X40" s="8837">
        <f>IF(OR(P32,AK24),"",IF(AJ40,0,ROUND(AJ41*AE40,0)))</f>
        <v/>
      </c>
      <c r="Y40" s="7637" t="n"/>
      <c r="Z40" s="7637" t="n"/>
      <c r="AA40" s="139" t="n"/>
      <c r="AB40" s="5426" t="n"/>
      <c r="AC40" s="11602" t="n"/>
      <c r="AD40" s="11602" t="n"/>
      <c r="AE40" s="12222" t="n">
        <v>0.124</v>
      </c>
      <c r="AF40" s="194" t="n"/>
      <c r="AG40" s="11602" t="n"/>
      <c r="AH40" s="11602" t="n"/>
      <c r="AI40" s="1191" t="n"/>
      <c r="AJ40" s="1794">
        <f>SUM(X31,-AJ38)&lt;=0</f>
        <v/>
      </c>
      <c r="AK40" s="5642">
        <f>IF(X21="",0,X21)</f>
        <v/>
      </c>
      <c r="AL40" s="5643" t="inlineStr">
        <is>
          <t>You</t>
        </is>
      </c>
      <c r="AM40" s="5644" t="inlineStr">
        <is>
          <t>Spouse</t>
        </is>
      </c>
      <c r="AN40" s="5645" t="n"/>
      <c r="AO40" s="1191" t="n"/>
      <c r="AP40" s="1191" t="n"/>
      <c r="AQ40" s="658" t="n"/>
      <c r="AR40" s="658" t="n"/>
      <c r="AS40" s="658" t="n"/>
      <c r="AT40" s="658" t="n"/>
      <c r="AU40" s="658" t="n"/>
      <c r="AV40" s="658" t="n"/>
      <c r="AW40" s="658" t="n"/>
      <c r="AX40" s="658" t="n"/>
      <c r="AY40" s="658" t="n"/>
      <c r="AZ40" s="658" t="n"/>
    </row>
    <row r="41" ht="12.75" customHeight="1" s="7635">
      <c r="A41" s="139" t="n"/>
      <c r="B41" s="88" t="n"/>
      <c r="C41" s="228" t="n">
        <v>11</v>
      </c>
      <c r="D41" s="11403">
        <f>"Multiply line 6 by "&amp;TEXT(AC41,"0.0%")&amp;" ("&amp;TEXT(AC41,"0.000")&amp;")"</f>
        <v/>
      </c>
      <c r="E41" s="226" t="n"/>
      <c r="F41" s="88" t="n"/>
      <c r="G41" s="88" t="n"/>
      <c r="H41" s="88" t="n"/>
      <c r="I41" s="12221" t="n"/>
      <c r="J41" s="12221" t="n"/>
      <c r="K41" s="12221" t="n"/>
      <c r="L41" s="12221" t="n"/>
      <c r="M41" s="12221" t="n"/>
      <c r="N41" s="12221" t="n"/>
      <c r="O41" s="12221" t="n"/>
      <c r="P41" s="12221" t="n"/>
      <c r="Q41" s="12221" t="n"/>
      <c r="R41" s="12221" t="n"/>
      <c r="S41" s="12221" t="n"/>
      <c r="T41" s="12221" t="n"/>
      <c r="U41" s="12221" t="n"/>
      <c r="V41" s="5641" t="inlineStr">
        <is>
          <t xml:space="preserve">.   .   .   .   .   .   .   .   .   .   .   .   .   .   .   .   .   .   .   .   .   .   .   .   .   .   .   .  </t>
        </is>
      </c>
      <c r="W41" s="5450" t="n">
        <v>11</v>
      </c>
      <c r="X41" s="8837">
        <f>IF(OR(P32,AK24),"",ROUND(X30*AC41,0))</f>
        <v/>
      </c>
      <c r="Y41" s="7637" t="n"/>
      <c r="Z41" s="7637" t="n"/>
      <c r="AA41" s="139" t="n"/>
      <c r="AB41" s="5426" t="n"/>
      <c r="AC41" s="12222" t="n">
        <v>0.029</v>
      </c>
      <c r="AD41" s="194" t="n"/>
      <c r="AE41" s="1192" t="n"/>
      <c r="AF41" s="1192" t="n"/>
      <c r="AG41" s="11602" t="n"/>
      <c r="AH41" s="11602" t="n"/>
      <c r="AI41" s="11602" t="n"/>
      <c r="AJ41" s="1208">
        <f>MIN(X30,AJ39)</f>
        <v/>
      </c>
      <c r="AK41" s="5646" t="inlineStr">
        <is>
          <t>Line 3</t>
        </is>
      </c>
      <c r="AL41" s="5647">
        <f>IF(NOT(AJ5),0,SchSE_Profit1)</f>
        <v/>
      </c>
      <c r="AM41" s="5648">
        <f>IF(AND(NOT(AJ5),AJ7),SchSE_Profit1,0)</f>
        <v/>
      </c>
      <c r="AN41" s="5649" t="n"/>
      <c r="AO41" s="11602" t="n"/>
      <c r="AP41" s="11602" t="n"/>
      <c r="AQ41" s="658" t="n"/>
      <c r="AR41" s="658" t="n"/>
      <c r="AS41" s="658" t="n"/>
      <c r="AT41" s="658" t="n"/>
      <c r="AU41" s="658" t="n"/>
      <c r="AV41" s="658" t="n"/>
      <c r="AW41" s="658" t="n"/>
      <c r="AX41" s="658" t="n"/>
      <c r="AY41" s="658" t="n"/>
      <c r="AZ41" s="658" t="n"/>
    </row>
    <row r="42" ht="14.25" customHeight="1" s="7635" thickBot="1">
      <c r="A42" s="139" t="n"/>
      <c r="B42" s="88" t="n"/>
      <c r="C42" s="228" t="n">
        <v>12</v>
      </c>
      <c r="D42" s="11403" t="inlineStr">
        <is>
          <t>Self-employment tax. Add lines 10 and 11. Enter here and on Schedule 2 (Form 1040), line 4, or</t>
        </is>
      </c>
      <c r="E42" s="226" t="n"/>
      <c r="F42" s="88" t="n"/>
      <c r="G42" s="88" t="n"/>
      <c r="H42" s="88" t="n"/>
      <c r="I42" s="88" t="n"/>
      <c r="J42" s="88" t="n"/>
      <c r="K42" s="88" t="n"/>
      <c r="L42" s="88" t="n"/>
      <c r="M42" s="88" t="n"/>
      <c r="N42" s="88" t="n"/>
      <c r="O42" s="88" t="n"/>
      <c r="P42" s="88" t="n"/>
      <c r="Q42" s="88" t="n"/>
      <c r="R42" s="228" t="n"/>
      <c r="S42" s="1189" t="n"/>
      <c r="T42" s="1189" t="n"/>
      <c r="U42" s="1189" t="n"/>
      <c r="V42" s="1189" t="n"/>
      <c r="W42" s="5650" t="n"/>
      <c r="X42" s="8912" t="n"/>
      <c r="Y42" s="7839" t="n"/>
      <c r="Z42" s="7839" t="n"/>
      <c r="AA42" s="139" t="n"/>
      <c r="AB42" s="5426" t="n"/>
      <c r="AC42" s="12222" t="n"/>
      <c r="AD42" s="12222" t="n"/>
      <c r="AE42" s="1192" t="n"/>
      <c r="AF42" s="1192" t="n"/>
      <c r="AG42" s="11602" t="n"/>
      <c r="AH42" s="11602" t="n"/>
      <c r="AI42" s="11602" t="n"/>
      <c r="AJ42" s="1208" t="n"/>
      <c r="AK42" s="1061" t="inlineStr">
        <is>
          <t>Clergy or Church Emp. Income</t>
        </is>
      </c>
      <c r="AL42" s="5651">
        <f>IF(AND(AJ5,SchSE_Clergy1_You),X30,IF(AJ5,ChurchEmployeeIncome1,0))</f>
        <v/>
      </c>
      <c r="AM42" s="5652">
        <f>IF(AND(AJ5,SchSE_Clergy1_Sp),X30,IF(AJ5,ChurchEmployeeIncome1,0))</f>
        <v/>
      </c>
      <c r="AN42" s="5653" t="n"/>
      <c r="AO42" s="11602" t="n"/>
      <c r="AP42" s="11602" t="n"/>
      <c r="AQ42" s="658" t="n"/>
      <c r="AR42" s="658" t="n"/>
      <c r="AS42" s="658" t="n"/>
      <c r="AT42" s="658" t="n"/>
      <c r="AU42" s="658" t="n"/>
      <c r="AV42" s="658" t="n"/>
      <c r="AW42" s="658" t="n"/>
      <c r="AX42" s="658" t="n"/>
      <c r="AY42" s="658" t="n"/>
      <c r="AZ42" s="658" t="n"/>
    </row>
    <row r="43" ht="14.25" customHeight="1" s="7635">
      <c r="A43" s="139" t="n"/>
      <c r="B43" s="88" t="n"/>
      <c r="C43" s="228" t="n"/>
      <c r="D43" s="2447" t="inlineStr">
        <is>
          <t>Form 1040-SS, Part I, line 3</t>
        </is>
      </c>
      <c r="E43" s="226" t="n"/>
      <c r="F43" s="88" t="n"/>
      <c r="G43" s="88" t="n"/>
      <c r="H43" s="88" t="n"/>
      <c r="I43" s="88" t="n"/>
      <c r="J43" s="88" t="n"/>
      <c r="K43" s="88" t="n"/>
      <c r="L43" s="88" t="n"/>
      <c r="M43" s="88" t="n"/>
      <c r="N43" s="88" t="n"/>
      <c r="O43" s="88" t="n"/>
      <c r="P43" s="88" t="n"/>
      <c r="Q43" s="88" t="n"/>
      <c r="R43" s="228" t="n"/>
      <c r="S43" s="1189" t="n"/>
      <c r="T43" s="1189" t="n"/>
      <c r="U43" s="1189" t="n"/>
      <c r="V43" s="5641" t="inlineStr">
        <is>
          <t xml:space="preserve">.   .   .   .   .   .   .   .   .   .   .   .   .   .   .   .   .   .   .   .   .   .   .   .   .   .   .   .  </t>
        </is>
      </c>
      <c r="W43" s="5450" t="n">
        <v>12</v>
      </c>
      <c r="X43" s="8861">
        <f>IF(OR(P32,AK24),"",SUM(X40,X41))</f>
        <v/>
      </c>
      <c r="Y43" s="7637" t="n"/>
      <c r="Z43" s="7637" t="n"/>
      <c r="AA43" s="139" t="n"/>
      <c r="AB43" s="5426" t="n"/>
      <c r="AC43" s="12222" t="n"/>
      <c r="AD43" s="12222" t="n"/>
      <c r="AE43" s="1192" t="n"/>
      <c r="AF43" s="1192" t="n"/>
      <c r="AG43" s="11602" t="n"/>
      <c r="AH43" s="11602" t="n"/>
      <c r="AI43" s="11602" t="n"/>
      <c r="AJ43" s="1208" t="n"/>
      <c r="AK43" s="1061" t="n"/>
      <c r="AL43" s="1661" t="n"/>
      <c r="AM43" s="1661" t="n"/>
      <c r="AN43" s="1661" t="n"/>
      <c r="AO43" s="11602" t="n"/>
      <c r="AP43" s="11602" t="n"/>
      <c r="AQ43" s="658" t="n"/>
      <c r="AR43" s="658" t="n"/>
      <c r="AS43" s="658" t="n"/>
      <c r="AT43" s="658" t="n"/>
      <c r="AU43" s="658" t="n"/>
      <c r="AV43" s="658" t="n"/>
      <c r="AW43" s="658" t="n"/>
      <c r="AX43" s="658" t="n"/>
      <c r="AY43" s="658" t="n"/>
      <c r="AZ43" s="658" t="n"/>
    </row>
    <row r="44">
      <c r="A44" s="139" t="n"/>
      <c r="B44" s="88" t="n"/>
      <c r="C44" s="228" t="n">
        <v>13</v>
      </c>
      <c r="D44" s="226" t="inlineStr">
        <is>
          <t>Deduction for one-half of self-employment tax.</t>
        </is>
      </c>
      <c r="E44" s="88" t="n"/>
      <c r="F44" s="88" t="n"/>
      <c r="G44" s="88" t="n"/>
      <c r="H44" s="88" t="n"/>
      <c r="I44" s="88" t="n"/>
      <c r="J44" s="88" t="n"/>
      <c r="K44" s="88" t="n"/>
      <c r="L44" s="88" t="n"/>
      <c r="M44" s="88" t="n"/>
      <c r="N44" s="88" t="n"/>
      <c r="O44" s="88" t="n"/>
      <c r="P44" s="88" t="n"/>
      <c r="Q44" s="88" t="n"/>
      <c r="R44" s="88" t="n"/>
      <c r="S44" s="88" t="n"/>
      <c r="T44" s="88" t="n"/>
      <c r="U44" s="8875" t="n"/>
      <c r="V44" s="7636" t="n"/>
      <c r="W44" s="8842" t="n"/>
      <c r="X44" s="7839" t="n"/>
      <c r="Y44" s="7839" t="n"/>
      <c r="Z44" s="7839" t="n"/>
      <c r="AA44" s="139" t="n"/>
      <c r="AB44" s="5415" t="n"/>
      <c r="AC44" s="12222" t="n"/>
      <c r="AD44" s="12222" t="n"/>
      <c r="AE44" s="1192" t="n"/>
      <c r="AF44" s="1192" t="n"/>
      <c r="AG44" s="11602" t="n"/>
      <c r="AH44" s="11602" t="n"/>
      <c r="AI44" s="11602" t="n"/>
      <c r="AJ44" s="1208" t="n"/>
      <c r="AK44" s="344" t="n"/>
      <c r="AL44" s="344" t="n"/>
      <c r="AM44" s="344" t="n"/>
      <c r="AN44" s="344" t="n"/>
      <c r="AO44" s="11602" t="n"/>
      <c r="AP44" s="11602" t="n"/>
      <c r="AQ44" s="658" t="n"/>
      <c r="AR44" s="658" t="n"/>
      <c r="AS44" s="658" t="n"/>
      <c r="AT44" s="658" t="n"/>
      <c r="AU44" s="658" t="n"/>
      <c r="AV44" s="658" t="n"/>
      <c r="AW44" s="658" t="n"/>
      <c r="AX44" s="658" t="n"/>
      <c r="AY44" s="658" t="n"/>
      <c r="AZ44" s="658" t="n"/>
    </row>
    <row r="45" ht="12.75" customHeight="1" s="7635" thickBot="1">
      <c r="A45" s="139" t="n"/>
      <c r="B45" s="88" t="n"/>
      <c r="C45" s="228" t="n"/>
      <c r="D45" s="11403">
        <f>"Multiply  line 12  by "&amp;TEXT(U45,"0%")&amp;" ("&amp;TEXT(U45,"0.00")&amp;")."</f>
        <v/>
      </c>
      <c r="E45" s="11403" t="n"/>
      <c r="F45" s="88" t="n"/>
      <c r="G45" s="88" t="n"/>
      <c r="H45" s="11403" t="n"/>
      <c r="I45" s="2617" t="inlineStr">
        <is>
          <t>Enter the result here and on Schedule 1  (1040),</t>
        </is>
      </c>
      <c r="J45" s="88" t="n"/>
      <c r="K45" s="88" t="n"/>
      <c r="L45" s="88" t="n"/>
      <c r="M45" s="226" t="n"/>
      <c r="N45" s="88" t="n"/>
      <c r="O45" s="2715" t="n"/>
      <c r="P45" s="88" t="n"/>
      <c r="Q45" s="88" t="n"/>
      <c r="R45" s="5448" t="n"/>
      <c r="S45" s="88" t="n"/>
      <c r="T45" s="88" t="n"/>
      <c r="U45" s="8857" t="n">
        <v>0.5</v>
      </c>
      <c r="V45" s="7636" t="n"/>
      <c r="W45" s="139" t="n"/>
      <c r="X45" s="139" t="n"/>
      <c r="Y45" s="139" t="n"/>
      <c r="Z45" s="139" t="n"/>
      <c r="AA45" s="139" t="n"/>
      <c r="AB45" s="5415" t="n"/>
      <c r="AC45" s="12222" t="n"/>
      <c r="AD45" s="12222" t="n"/>
      <c r="AE45" s="1192" t="n"/>
      <c r="AF45" s="1192" t="n"/>
      <c r="AG45" s="11602" t="n"/>
      <c r="AH45" s="11602" t="n"/>
      <c r="AI45" s="11602" t="n"/>
      <c r="AJ45" s="11602" t="n"/>
      <c r="AK45" s="344" t="n"/>
      <c r="AL45" s="1193" t="n"/>
      <c r="AM45" s="1193" t="n"/>
      <c r="AN45" s="1193" t="n"/>
      <c r="AO45" s="11602" t="n"/>
      <c r="AP45" s="11602" t="n"/>
      <c r="AQ45" s="658" t="n"/>
      <c r="AR45" s="658" t="n"/>
      <c r="AS45" s="658" t="n"/>
      <c r="AT45" s="658" t="n"/>
      <c r="AU45" s="658" t="n"/>
      <c r="AV45" s="658" t="n"/>
      <c r="AW45" s="658" t="n"/>
      <c r="AX45" s="658" t="n"/>
      <c r="AY45" s="658" t="n"/>
      <c r="AZ45" s="658" t="n"/>
    </row>
    <row r="46" ht="16.5" customHeight="1" s="7635" thickBot="1">
      <c r="A46" s="139" t="n"/>
      <c r="B46" s="91" t="n"/>
      <c r="C46" s="3448" t="n"/>
      <c r="D46" s="5654" t="inlineStr">
        <is>
          <t>line 15</t>
        </is>
      </c>
      <c r="E46" s="5655" t="n"/>
      <c r="F46" s="5655" t="n"/>
      <c r="G46" s="91" t="n"/>
      <c r="H46" s="91" t="n"/>
      <c r="I46" s="91" t="n"/>
      <c r="J46" s="91" t="n"/>
      <c r="K46" s="91" t="n"/>
      <c r="L46" s="91" t="n"/>
      <c r="M46" s="91" t="n"/>
      <c r="N46" s="91" t="n"/>
      <c r="O46" s="5656" t="n"/>
      <c r="P46" s="91" t="n"/>
      <c r="Q46" s="5656" t="inlineStr">
        <is>
          <t xml:space="preserve">.   .   .   .   .   .   .   .   .   .   .   .   .   .   .   .   .   .   .   .   .   .   .   .   .   .   .   .  </t>
        </is>
      </c>
      <c r="R46" s="5623" t="n">
        <v>13</v>
      </c>
      <c r="S46" s="12223">
        <f>IF(AB46&lt;&gt;"",ROUND(AB46,0),IF(OR(P32,AK24),"",ROUND(X43*U45,0)))</f>
        <v/>
      </c>
      <c r="T46" s="8848" t="n"/>
      <c r="U46" s="8848" t="n"/>
      <c r="V46" s="12121" t="n"/>
      <c r="W46" s="8847" t="n"/>
      <c r="X46" s="8848" t="n"/>
      <c r="Y46" s="8848" t="n"/>
      <c r="Z46" s="8848" t="n"/>
      <c r="AA46" s="139" t="n"/>
      <c r="AB46" s="811" t="n"/>
      <c r="AC46" s="12222" t="n"/>
      <c r="AD46" s="12222" t="n"/>
      <c r="AE46" s="1192" t="n"/>
      <c r="AF46" s="1192" t="n"/>
      <c r="AG46" s="11602" t="n"/>
      <c r="AH46" s="11602" t="n"/>
      <c r="AI46" s="11602" t="n"/>
      <c r="AJ46" s="11602" t="n"/>
      <c r="AK46" s="344" t="n"/>
      <c r="AL46" s="1205" t="inlineStr">
        <is>
          <t>Sch. SE 1</t>
        </is>
      </c>
      <c r="AM46" s="1205" t="inlineStr">
        <is>
          <t>Sch. SE 2</t>
        </is>
      </c>
      <c r="AN46" s="1205" t="n"/>
      <c r="AO46" s="11602" t="n"/>
      <c r="AP46" s="11602" t="n"/>
      <c r="AQ46" s="658" t="n"/>
      <c r="AR46" s="658" t="n"/>
      <c r="AS46" s="658" t="n"/>
      <c r="AT46" s="658" t="n"/>
      <c r="AU46" s="658" t="n"/>
      <c r="AV46" s="658" t="n"/>
      <c r="AW46" s="658" t="n"/>
      <c r="AX46" s="658" t="n"/>
      <c r="AY46" s="658" t="n"/>
      <c r="AZ46" s="658" t="n"/>
    </row>
    <row r="47" ht="13.5" customHeight="1" s="7635">
      <c r="A47" s="139" t="n"/>
      <c r="B47" s="5657" t="n"/>
      <c r="C47" s="5658" t="inlineStr">
        <is>
          <t>Part II</t>
        </is>
      </c>
      <c r="D47" s="5659" t="n"/>
      <c r="E47" s="5660" t="inlineStr">
        <is>
          <t xml:space="preserve">   Optional Methods To Figure Net Earnings (see instructions)</t>
        </is>
      </c>
      <c r="F47" s="5661" t="n"/>
      <c r="G47" s="5661" t="n"/>
      <c r="H47" s="5661" t="n"/>
      <c r="I47" s="5661" t="n"/>
      <c r="J47" s="5661" t="n"/>
      <c r="K47" s="5661" t="n"/>
      <c r="L47" s="5661" t="n"/>
      <c r="M47" s="5661" t="n"/>
      <c r="N47" s="5661" t="n"/>
      <c r="O47" s="5661" t="n"/>
      <c r="P47" s="5661" t="n"/>
      <c r="Q47" s="5661" t="n"/>
      <c r="R47" s="5661" t="n"/>
      <c r="S47" s="5661" t="n"/>
      <c r="T47" s="5661" t="n"/>
      <c r="U47" s="5661" t="n"/>
      <c r="V47" s="5661" t="n"/>
      <c r="W47" s="5661" t="n"/>
      <c r="X47" s="5661" t="n"/>
      <c r="Y47" s="5661" t="n"/>
      <c r="Z47" s="5661" t="n"/>
      <c r="AA47" s="139" t="n"/>
      <c r="AB47" s="5415" t="n"/>
      <c r="AC47" s="12222" t="n"/>
      <c r="AD47" s="12222" t="n"/>
      <c r="AE47" s="1192" t="n"/>
      <c r="AF47" s="1192" t="n"/>
      <c r="AG47" s="11602" t="n"/>
      <c r="AH47" s="11602" t="n"/>
      <c r="AI47" s="11602" t="n"/>
      <c r="AJ47" s="9750" t="inlineStr">
        <is>
          <t>2.</t>
        </is>
      </c>
      <c r="AK47" s="344" t="inlineStr">
        <is>
          <t>Sch. C1 Line 31</t>
        </is>
      </c>
      <c r="AL47" s="5628">
        <f>IF('Sch. C'!Y10,0,IF('Sch. C'!Y6,SchC_ProfitLoss1,0))</f>
        <v/>
      </c>
      <c r="AM47" s="5630">
        <f>IF('Sch. C'!Y10,0,IF('Sch. C'!Y8,SchC_ProfitLoss1,0))</f>
        <v/>
      </c>
      <c r="AN47" s="11602" t="n"/>
      <c r="AO47" s="11602" t="n"/>
      <c r="AP47" s="11602" t="n"/>
      <c r="AQ47" s="658" t="n"/>
      <c r="AR47" s="658" t="n"/>
      <c r="AS47" s="658" t="n"/>
      <c r="AT47" s="658" t="n"/>
      <c r="AU47" s="658" t="n"/>
      <c r="AV47" s="658" t="n"/>
      <c r="AW47" s="658" t="n"/>
      <c r="AX47" s="658" t="n"/>
      <c r="AY47" s="658" t="n"/>
      <c r="AZ47" s="658" t="n"/>
    </row>
    <row r="48" ht="14.25" customHeight="1" s="7635">
      <c r="A48" s="139" t="n"/>
      <c r="B48" s="226" t="inlineStr">
        <is>
          <t>Farm Optional Method. You may use this method only if (a) your gross farm income1 was not more</t>
        </is>
      </c>
      <c r="C48" s="88" t="n"/>
      <c r="D48" s="88" t="n"/>
      <c r="E48" s="88" t="n"/>
      <c r="F48" s="88" t="n"/>
      <c r="G48" s="88" t="n"/>
      <c r="H48" s="88" t="n"/>
      <c r="I48" s="88" t="n"/>
      <c r="J48" s="88" t="n"/>
      <c r="K48" s="88" t="n"/>
      <c r="L48" s="88" t="n"/>
      <c r="M48" s="88" t="n"/>
      <c r="N48" s="88" t="n"/>
      <c r="O48" s="88" t="n"/>
      <c r="P48" s="88" t="n"/>
      <c r="Q48" s="88" t="n"/>
      <c r="R48" s="88" t="n"/>
      <c r="S48" s="88" t="n"/>
      <c r="T48" s="88" t="n"/>
      <c r="U48" s="88" t="n"/>
      <c r="V48" s="88" t="n"/>
      <c r="W48" s="5448" t="n"/>
      <c r="X48" s="2468" t="n">
        <v>10860</v>
      </c>
      <c r="Y48" s="88" t="n"/>
      <c r="Z48" s="88" t="n"/>
      <c r="AA48" s="139" t="n"/>
      <c r="AB48" s="5415" t="n"/>
      <c r="AC48" s="12222" t="n"/>
      <c r="AD48" s="12222" t="n"/>
      <c r="AE48" s="1192" t="n"/>
      <c r="AF48" s="1192" t="n"/>
      <c r="AG48" s="11602" t="n"/>
      <c r="AH48" s="11602" t="n"/>
      <c r="AI48" s="11602" t="n"/>
      <c r="AJ48" s="9750" t="inlineStr">
        <is>
          <t>2.</t>
        </is>
      </c>
      <c r="AK48" s="344" t="inlineStr">
        <is>
          <t>Sch. C2 Line 31</t>
        </is>
      </c>
      <c r="AL48" s="5632">
        <f>IF('Sch. C'!Y124,0,IF('Sch. C'!Y120,SchC_ProfitLoss2,0))</f>
        <v/>
      </c>
      <c r="AM48" s="5634">
        <f>IF('Sch. C'!Y124,0,IF('Sch. C'!Y122,SchC_ProfitLoss2,0))</f>
        <v/>
      </c>
      <c r="AN48" s="11602" t="n"/>
      <c r="AO48" s="11602" t="n"/>
      <c r="AP48" s="11602" t="n"/>
      <c r="AQ48" s="658" t="n"/>
      <c r="AR48" s="658" t="n"/>
      <c r="AS48" s="658" t="n"/>
      <c r="AT48" s="658" t="n"/>
      <c r="AU48" s="658" t="n"/>
      <c r="AV48" s="658" t="n"/>
      <c r="AW48" s="658" t="n"/>
      <c r="AX48" s="658" t="n"/>
      <c r="AY48" s="658" t="n"/>
      <c r="AZ48" s="658" t="n"/>
    </row>
    <row r="49" ht="12.75" customHeight="1" s="7635" thickBot="1">
      <c r="A49" s="139" t="n"/>
      <c r="B49" s="11403">
        <f>"than "&amp;TEXT(X48,"$0,000")&amp;" or (b) your net farm profits were less than "&amp;TEXT(X49,"$0,000")&amp;"."</f>
        <v/>
      </c>
      <c r="C49" s="88" t="n"/>
      <c r="D49" s="88" t="n"/>
      <c r="E49" s="88" t="n"/>
      <c r="F49" s="88" t="n"/>
      <c r="G49" s="88" t="n"/>
      <c r="H49" s="88" t="n"/>
      <c r="I49" s="88" t="n"/>
      <c r="J49" s="88" t="n"/>
      <c r="K49" s="88" t="n"/>
      <c r="L49" s="88" t="n"/>
      <c r="M49" s="88" t="n"/>
      <c r="N49" s="88" t="n"/>
      <c r="O49" s="88" t="n"/>
      <c r="P49" s="88" t="n"/>
      <c r="Q49" s="88" t="n"/>
      <c r="R49" s="88" t="n"/>
      <c r="S49" s="88" t="n"/>
      <c r="T49" s="88" t="n"/>
      <c r="U49" s="88" t="n"/>
      <c r="V49" s="88" t="n"/>
      <c r="W49" s="5448" t="n"/>
      <c r="X49" s="2468" t="n">
        <v>7840</v>
      </c>
      <c r="Y49" s="88" t="n"/>
      <c r="Z49" s="88" t="n"/>
      <c r="AA49" s="139" t="n"/>
      <c r="AB49" s="5415" t="n"/>
      <c r="AC49" s="12222" t="n"/>
      <c r="AD49" s="12222" t="n"/>
      <c r="AE49" s="1192" t="n"/>
      <c r="AF49" s="1192" t="n"/>
      <c r="AG49" s="11602" t="n"/>
      <c r="AH49" s="11602" t="n"/>
      <c r="AI49" s="11602" t="n"/>
      <c r="AJ49" s="9750" t="inlineStr">
        <is>
          <t>2.</t>
        </is>
      </c>
      <c r="AK49" s="1061" t="inlineStr">
        <is>
          <t>Sch. C1 &amp; C2 Line 31</t>
        </is>
      </c>
      <c r="AL49" s="5662">
        <f>IF(AND('Sch. C'!Y6,NOT('Sch. C'!Y10),'Sch. C'!Y120,NOT('Sch. C'!Y124)),SUM(SchC_ProfitLoss1,SchC_ProfitLoss2),0)</f>
        <v/>
      </c>
      <c r="AM49" s="5663">
        <f>IF(AND('Sch. C'!Y8,NOT('Sch. C'!Y10),'Sch. C'!Y122,NOT('Sch. C'!Y124)),SUM(SchC_ProfitLoss1,SchC_ProfitLoss2),0)</f>
        <v/>
      </c>
      <c r="AN49" s="1193" t="n"/>
      <c r="AO49" s="11602" t="n"/>
      <c r="AP49" s="11602" t="n"/>
      <c r="AQ49" s="670" t="n"/>
      <c r="AR49" s="658" t="n"/>
      <c r="AS49" s="658" t="n"/>
      <c r="AT49" s="658" t="n"/>
      <c r="AU49" s="658" t="n"/>
      <c r="AV49" s="658" t="n"/>
      <c r="AW49" s="658" t="n"/>
      <c r="AX49" s="658" t="n"/>
      <c r="AY49" s="658" t="n"/>
      <c r="AZ49" s="658" t="n"/>
    </row>
    <row r="50" ht="13.5" customHeight="1" s="7635">
      <c r="A50" s="139" t="n"/>
      <c r="B50" s="88" t="n"/>
      <c r="C50" s="228" t="n">
        <v>14</v>
      </c>
      <c r="D50" s="88" t="inlineStr">
        <is>
          <t>Maximum income for optional methods</t>
        </is>
      </c>
      <c r="E50" s="88" t="n"/>
      <c r="F50" s="88" t="n"/>
      <c r="G50" s="88" t="n"/>
      <c r="H50" s="88" t="n"/>
      <c r="I50" s="88" t="n"/>
      <c r="J50" s="88" t="n"/>
      <c r="K50" s="88" t="n"/>
      <c r="L50" s="88" t="n"/>
      <c r="M50" s="88" t="n"/>
      <c r="N50" s="88" t="n"/>
      <c r="O50" s="88" t="n"/>
      <c r="P50" s="88" t="n"/>
      <c r="Q50" s="88" t="n"/>
      <c r="R50" s="88" t="n"/>
      <c r="S50" s="88" t="n"/>
      <c r="T50" s="88" t="n"/>
      <c r="U50" s="88" t="n"/>
      <c r="V50" s="2715" t="inlineStr">
        <is>
          <t xml:space="preserve">.   .   .   .   .   .   .   .   .   .   .   .   .   .   .   .   .   .   .   .   .   .   . </t>
        </is>
      </c>
      <c r="W50" s="5521" t="n">
        <v>14</v>
      </c>
      <c r="X50" s="8849" t="n">
        <v>7240</v>
      </c>
      <c r="Y50" s="7637" t="n"/>
      <c r="Z50" s="7637" t="n"/>
      <c r="AA50" s="139" t="n"/>
      <c r="AB50" s="5664">
        <f>IF(X52&gt;X50,"Line 15 cannot","")</f>
        <v/>
      </c>
      <c r="AC50" s="12222" t="n"/>
      <c r="AD50" s="12222" t="n"/>
      <c r="AE50" s="1192" t="n"/>
      <c r="AF50" s="1192" t="n"/>
      <c r="AG50" s="11602" t="n"/>
      <c r="AH50" s="11602" t="n"/>
      <c r="AI50" s="11602" t="n"/>
      <c r="AJ50" s="11602" t="n"/>
      <c r="AK50" s="344" t="inlineStr">
        <is>
          <t>Sch C1 St Emp</t>
        </is>
      </c>
      <c r="AL50" s="1193">
        <f>AND('Sch. C'!Y6,SchC_StatutoryEmp_1&lt;&gt;"")</f>
        <v/>
      </c>
      <c r="AM50" s="1193">
        <f>AND('Sch. C'!Y8,SchC_StatutoryEmp_1&lt;&gt;"")</f>
        <v/>
      </c>
      <c r="AN50" s="1193" t="n"/>
      <c r="AO50" s="11602" t="n"/>
      <c r="AP50" s="11602" t="n"/>
      <c r="AQ50" s="658" t="n"/>
      <c r="AR50" s="658" t="n"/>
      <c r="AS50" s="658" t="n"/>
      <c r="AT50" s="658" t="n"/>
      <c r="AU50" s="658" t="n"/>
      <c r="AV50" s="658" t="n"/>
      <c r="AW50" s="658" t="n"/>
      <c r="AX50" s="658" t="n"/>
      <c r="AY50" s="658" t="n"/>
      <c r="AZ50" s="658" t="n"/>
    </row>
    <row r="51" ht="13.5" customHeight="1" s="7635">
      <c r="A51" s="139" t="n"/>
      <c r="B51" s="88" t="n"/>
      <c r="C51" s="228" t="n">
        <v>15</v>
      </c>
      <c r="D51" s="11403" t="inlineStr">
        <is>
          <t>Enter the smaller of: two-thirds (2 ⁄3) of gross farm income1 (not less than zero)  or</t>
        </is>
      </c>
      <c r="E51" s="88" t="n"/>
      <c r="F51" s="88" t="n"/>
      <c r="G51" s="88" t="n"/>
      <c r="H51" s="88" t="n"/>
      <c r="I51" s="88" t="n"/>
      <c r="J51" s="88" t="n"/>
      <c r="K51" s="88" t="n"/>
      <c r="L51" s="88" t="n"/>
      <c r="M51" s="88" t="n"/>
      <c r="N51" s="88" t="n"/>
      <c r="O51" s="88" t="n"/>
      <c r="P51" s="88" t="n"/>
      <c r="Q51" s="88" t="n"/>
      <c r="R51" s="8874">
        <f>TEXT(X50,"$0,000")&amp;" "</f>
        <v/>
      </c>
      <c r="T51" s="2423" t="n"/>
      <c r="U51" s="11403" t="n"/>
      <c r="V51" s="5454" t="inlineStr">
        <is>
          <t>Also, include</t>
        </is>
      </c>
      <c r="W51" s="5448" t="n"/>
      <c r="X51" s="441">
        <f>AND(X52&lt;&gt;"",X52&gt;0)</f>
        <v/>
      </c>
      <c r="Y51" s="88" t="n"/>
      <c r="Z51" s="88" t="n"/>
      <c r="AA51" s="139" t="n"/>
      <c r="AB51" s="5664">
        <f>IF(X52&gt;X50,"be more than","")</f>
        <v/>
      </c>
      <c r="AC51" s="12222" t="n"/>
      <c r="AD51" s="12222" t="n"/>
      <c r="AE51" s="1192" t="n"/>
      <c r="AF51" s="1192" t="n"/>
      <c r="AG51" s="11602" t="n"/>
      <c r="AH51" s="11602" t="n"/>
      <c r="AI51" s="11602" t="n"/>
      <c r="AJ51" s="11602" t="n"/>
      <c r="AK51" s="344" t="inlineStr">
        <is>
          <t>Sch C2 St Emp</t>
        </is>
      </c>
      <c r="AL51" s="11602">
        <f>AND('Sch. C'!Y120,NOT('Sch. C'!Y124),SchC_StatutoryEmp_2&lt;&gt;"")</f>
        <v/>
      </c>
      <c r="AM51" s="11602">
        <f>AND('Sch. C'!Y122,NOT('Sch. C'!Y124),SchC_StatutoryEmp_2&lt;&gt;"")</f>
        <v/>
      </c>
      <c r="AN51" s="11602" t="n"/>
      <c r="AO51" s="11602" t="n"/>
      <c r="AP51" s="11602" t="n"/>
      <c r="AQ51" s="658" t="n"/>
      <c r="AR51" s="658" t="n"/>
      <c r="AS51" s="658" t="n"/>
      <c r="AT51" s="658" t="n"/>
      <c r="AU51" s="658" t="n"/>
      <c r="AV51" s="658" t="n"/>
      <c r="AW51" s="658" t="n"/>
      <c r="AX51" s="658" t="n"/>
      <c r="AY51" s="658" t="n"/>
      <c r="AZ51" s="658" t="n"/>
    </row>
    <row r="52" ht="13.5" customHeight="1" s="7635">
      <c r="A52" s="139" t="n"/>
      <c r="B52" s="2432" t="n"/>
      <c r="C52" s="2432" t="n"/>
      <c r="D52" s="5665" t="inlineStr">
        <is>
          <t>this amount on line 4b above</t>
        </is>
      </c>
      <c r="E52" s="2432" t="n"/>
      <c r="F52" s="2432" t="n"/>
      <c r="G52" s="2432" t="n"/>
      <c r="H52" s="2432" t="n"/>
      <c r="I52" s="2432" t="n"/>
      <c r="J52" s="2432" t="n"/>
      <c r="K52" s="2432" t="n"/>
      <c r="L52" s="2432" t="n"/>
      <c r="M52" s="2432" t="n"/>
      <c r="N52" s="2432" t="n"/>
      <c r="O52" s="2432" t="n"/>
      <c r="P52" s="2432" t="n"/>
      <c r="Q52" s="2432" t="n"/>
      <c r="R52" s="2432" t="n"/>
      <c r="S52" s="2432" t="n"/>
      <c r="T52" s="2432" t="n"/>
      <c r="U52" s="2432" t="n"/>
      <c r="V52" s="5666" t="inlineStr">
        <is>
          <t xml:space="preserve">.   .   .   .   .   .   .   .   .   .   .   .   .   .   .   .   .   .   .   .   .   .   .   . </t>
        </is>
      </c>
      <c r="W52" s="5521" t="n">
        <v>15</v>
      </c>
      <c r="X52" s="8851" t="n"/>
      <c r="Y52" s="11717" t="n"/>
      <c r="Z52" s="11717" t="n"/>
      <c r="AA52" s="139" t="n"/>
      <c r="AB52" s="5664">
        <f>IF(X52&gt;X50,"Line 14.","")</f>
        <v/>
      </c>
      <c r="AC52" s="12222" t="n"/>
      <c r="AD52" s="12222" t="n"/>
      <c r="AE52" s="1192" t="n"/>
      <c r="AF52" s="1192" t="n"/>
      <c r="AG52" s="11602" t="n"/>
      <c r="AH52" s="11602" t="n"/>
      <c r="AI52" s="11602" t="n"/>
      <c r="AJ52" s="11602" t="n"/>
      <c r="AK52" s="11602" t="n"/>
      <c r="AL52" s="11602" t="n"/>
      <c r="AM52" s="11602" t="n"/>
      <c r="AN52" s="11602" t="n"/>
      <c r="AO52" s="11602" t="n"/>
      <c r="AP52" s="11602" t="n"/>
      <c r="AQ52" s="658" t="n"/>
      <c r="AR52" s="658" t="n"/>
      <c r="AS52" s="658" t="n"/>
      <c r="AT52" s="658" t="n"/>
      <c r="AU52" s="658" t="n"/>
      <c r="AV52" s="658" t="n"/>
      <c r="AW52" s="658" t="n"/>
      <c r="AX52" s="658" t="n"/>
      <c r="AY52" s="658" t="n"/>
      <c r="AZ52" s="658" t="n"/>
    </row>
    <row r="53" ht="13.5" customHeight="1" s="7635">
      <c r="A53" s="139" t="n"/>
      <c r="B53" s="226" t="inlineStr">
        <is>
          <t>Nonfarm Optional Method.     You may use this method only if   (a) your net nonfarm profits3 were  less</t>
        </is>
      </c>
      <c r="C53" s="88" t="n"/>
      <c r="D53" s="88" t="n"/>
      <c r="E53" s="88" t="n"/>
      <c r="F53" s="88" t="n"/>
      <c r="G53" s="88" t="n"/>
      <c r="H53" s="88" t="n"/>
      <c r="I53" s="88" t="n"/>
      <c r="J53" s="88" t="n"/>
      <c r="K53" s="88" t="n"/>
      <c r="L53" s="88" t="n"/>
      <c r="M53" s="88" t="n"/>
      <c r="N53" s="88" t="n"/>
      <c r="O53" s="88" t="n"/>
      <c r="P53" s="88" t="n"/>
      <c r="Q53" s="88" t="n"/>
      <c r="R53" s="88" t="n"/>
      <c r="S53" s="88" t="n"/>
      <c r="T53" s="7300">
        <f>"than "&amp;TEXT(X49,"$0,000")</f>
        <v/>
      </c>
      <c r="U53" s="7300" t="n"/>
      <c r="V53" s="5667" t="n"/>
      <c r="W53" s="5448" t="n"/>
      <c r="X53" s="441" t="n">
        <v>0.72189</v>
      </c>
      <c r="Y53" s="88" t="n"/>
      <c r="Z53" s="88" t="n"/>
      <c r="AA53" s="139" t="n"/>
      <c r="AB53" s="5415" t="n"/>
      <c r="AC53" s="12222" t="n"/>
      <c r="AD53" s="12222" t="n"/>
      <c r="AE53" s="1192" t="n"/>
      <c r="AF53" s="1192" t="n"/>
      <c r="AG53" s="11602" t="n"/>
      <c r="AH53" s="11602" t="n"/>
      <c r="AI53" s="11602" t="n"/>
      <c r="AJ53" s="11602" t="n"/>
      <c r="AK53" s="344" t="n"/>
      <c r="AL53" s="1193" t="n"/>
      <c r="AM53" s="344" t="n"/>
      <c r="AN53" s="11602" t="n"/>
      <c r="AO53" s="11602" t="n"/>
      <c r="AP53" s="11602" t="n"/>
      <c r="AQ53" s="658" t="n"/>
      <c r="AR53" s="658" t="n"/>
      <c r="AS53" s="658" t="n"/>
      <c r="AT53" s="658" t="n"/>
      <c r="AU53" s="658" t="n"/>
      <c r="AV53" s="658" t="n"/>
      <c r="AW53" s="658" t="n"/>
      <c r="AX53" s="658" t="n"/>
      <c r="AY53" s="658" t="n"/>
      <c r="AZ53" s="658" t="n"/>
    </row>
    <row r="54" ht="13.5" customHeight="1" s="7635">
      <c r="A54" s="139" t="n"/>
      <c r="B54" s="2617">
        <f>"and also less than "&amp;TEXT(X53,"0.000%")&amp;" of your"</f>
        <v/>
      </c>
      <c r="C54" s="88" t="n"/>
      <c r="D54" s="88" t="n"/>
      <c r="E54" s="88" t="n"/>
      <c r="F54" s="88" t="n"/>
      <c r="G54" s="88" t="n"/>
      <c r="H54" s="11403" t="n"/>
      <c r="I54" s="88" t="n"/>
      <c r="J54" s="11403" t="n"/>
      <c r="K54" s="88" t="n"/>
      <c r="L54" s="88" t="n"/>
      <c r="M54" s="88" t="n"/>
      <c r="N54" s="88" t="n"/>
      <c r="O54" s="88" t="n"/>
      <c r="P54" s="88" t="n"/>
      <c r="Q54" s="88" t="n"/>
      <c r="R54" s="88" t="n"/>
      <c r="S54" s="5454" t="inlineStr">
        <is>
          <t>gross nonfarm income4 and (b) you had net earnings from self-</t>
        </is>
      </c>
      <c r="T54" s="88" t="n"/>
      <c r="U54" s="88" t="n"/>
      <c r="V54" s="88" t="n"/>
      <c r="W54" s="5448" t="n"/>
      <c r="X54" s="441" t="n">
        <v>400</v>
      </c>
      <c r="Y54" s="88" t="n"/>
      <c r="Z54" s="88" t="n"/>
      <c r="AA54" s="139" t="n"/>
      <c r="AB54" s="5415" t="n"/>
      <c r="AC54" s="12222" t="n"/>
      <c r="AD54" s="12222" t="n"/>
      <c r="AE54" s="1192" t="n"/>
      <c r="AF54" s="1192" t="n"/>
      <c r="AG54" s="11602" t="n"/>
      <c r="AH54" s="11602" t="n"/>
      <c r="AI54" s="11602" t="n"/>
      <c r="AJ54" s="11602" t="n"/>
      <c r="AK54" s="1195" t="n"/>
      <c r="AL54" s="1195" t="n"/>
      <c r="AM54" s="1195" t="n"/>
      <c r="AN54" s="1195" t="n"/>
      <c r="AO54" s="11602" t="n"/>
      <c r="AP54" s="11602" t="n"/>
      <c r="AQ54" s="658" t="n"/>
      <c r="AR54" s="658" t="n"/>
      <c r="AS54" s="658" t="n"/>
      <c r="AT54" s="658" t="n"/>
      <c r="AU54" s="658" t="n"/>
      <c r="AV54" s="658" t="n"/>
      <c r="AW54" s="658" t="n"/>
      <c r="AX54" s="658" t="n"/>
      <c r="AY54" s="658" t="n"/>
      <c r="AZ54" s="658" t="n"/>
    </row>
    <row r="55">
      <c r="A55" s="139" t="n"/>
      <c r="B55" s="8922">
        <f>"employment of at least "&amp;TEXT(X54,"$0")&amp;" in 2 of the prior 3 years."</f>
        <v/>
      </c>
      <c r="C55" s="88" t="n"/>
      <c r="D55" s="88" t="n"/>
      <c r="E55" s="88" t="n"/>
      <c r="F55" s="88" t="n"/>
      <c r="G55" s="88" t="n"/>
      <c r="H55" s="88" t="n"/>
      <c r="I55" s="88" t="n"/>
      <c r="J55" s="88" t="n"/>
      <c r="K55" s="11403" t="inlineStr">
        <is>
          <t>Caution: You may use this method no more than five times.</t>
        </is>
      </c>
      <c r="L55" s="88" t="n"/>
      <c r="M55" s="11403" t="n"/>
      <c r="N55" s="88" t="n"/>
      <c r="O55" s="88" t="n"/>
      <c r="P55" s="88" t="n"/>
      <c r="Q55" s="88" t="n"/>
      <c r="R55" s="88" t="n"/>
      <c r="S55" s="88" t="n"/>
      <c r="T55" s="88" t="n"/>
      <c r="U55" s="88" t="n"/>
      <c r="V55" s="88" t="n"/>
      <c r="W55" s="5448" t="n"/>
      <c r="X55" s="88" t="n"/>
      <c r="Y55" s="88" t="n"/>
      <c r="Z55" s="88" t="n"/>
      <c r="AA55" s="139" t="n"/>
      <c r="AB55" s="5415" t="n"/>
      <c r="AC55" s="12222" t="n"/>
      <c r="AD55" s="12222" t="n"/>
      <c r="AE55" s="1192" t="n"/>
      <c r="AF55" s="1192" t="n"/>
      <c r="AG55" s="11602" t="n"/>
      <c r="AH55" s="11602" t="n"/>
      <c r="AI55" s="11602" t="n"/>
      <c r="AJ55" s="11602" t="n"/>
      <c r="AK55" s="1191" t="n"/>
      <c r="AL55" s="1191" t="n"/>
      <c r="AM55" s="1191" t="n"/>
      <c r="AN55" s="1191" t="n"/>
      <c r="AO55" s="11602" t="n"/>
      <c r="AP55" s="11602" t="n"/>
      <c r="AQ55" s="658" t="n"/>
      <c r="AR55" s="658" t="n"/>
      <c r="AS55" s="658" t="n"/>
      <c r="AT55" s="658" t="n"/>
      <c r="AU55" s="658" t="n"/>
      <c r="AV55" s="658" t="n"/>
      <c r="AW55" s="658" t="n"/>
      <c r="AX55" s="658" t="n"/>
      <c r="AY55" s="658" t="n"/>
      <c r="AZ55" s="658" t="n"/>
    </row>
    <row r="56">
      <c r="A56" s="139" t="n"/>
      <c r="B56" s="88" t="n"/>
      <c r="C56" s="228" t="n">
        <v>16</v>
      </c>
      <c r="D56" s="88" t="inlineStr">
        <is>
          <t>Subtract line 15 from line 14</t>
        </is>
      </c>
      <c r="E56" s="88" t="n"/>
      <c r="F56" s="88" t="n"/>
      <c r="G56" s="88" t="n"/>
      <c r="H56" s="88" t="n"/>
      <c r="I56" s="88" t="n"/>
      <c r="J56" s="88" t="n"/>
      <c r="K56" s="88" t="n"/>
      <c r="L56" s="88" t="n"/>
      <c r="M56" s="88" t="n"/>
      <c r="N56" s="88" t="n"/>
      <c r="O56" s="88" t="n"/>
      <c r="P56" s="88" t="n"/>
      <c r="Q56" s="88" t="n"/>
      <c r="R56" s="88" t="n"/>
      <c r="S56" s="88" t="n"/>
      <c r="T56" s="88" t="n"/>
      <c r="U56" s="88" t="n"/>
      <c r="V56" s="5668" t="inlineStr">
        <is>
          <t xml:space="preserve"> .   .   .   .   .   .   .   .   .   .   .   .   .   .   .   .   .   .   .   .   .   .   .   .   .   .   . </t>
        </is>
      </c>
      <c r="W56" s="5521" t="n">
        <v>16</v>
      </c>
      <c r="X56" s="8858">
        <f>IF(X52="","",IF(X50-X52&lt;0,0,X50-X52))</f>
        <v/>
      </c>
      <c r="Y56" s="7637" t="n"/>
      <c r="Z56" s="7637" t="n"/>
      <c r="AA56" s="139" t="n"/>
      <c r="AB56" s="5415" t="n"/>
      <c r="AC56" s="11602" t="n"/>
      <c r="AD56" s="11602" t="n"/>
      <c r="AE56" s="11602" t="n"/>
      <c r="AF56" s="11602" t="n"/>
      <c r="AG56" s="11602" t="n"/>
      <c r="AH56" s="512">
        <f>IF(Q46="",0,Q46)</f>
        <v/>
      </c>
      <c r="AI56" s="11602" t="n"/>
      <c r="AJ56" s="11602" t="n"/>
      <c r="AK56" s="11602" t="n"/>
      <c r="AL56" s="11602" t="n"/>
      <c r="AM56" s="11602" t="n"/>
      <c r="AN56" s="11602" t="n"/>
      <c r="AO56" s="11602" t="n"/>
      <c r="AP56" s="11602" t="n"/>
      <c r="AQ56" s="658" t="n"/>
      <c r="AR56" s="658" t="n"/>
      <c r="AS56" s="658" t="n"/>
      <c r="AT56" s="658" t="n"/>
      <c r="AU56" s="658" t="n"/>
      <c r="AV56" s="658" t="n"/>
      <c r="AW56" s="658" t="n"/>
      <c r="AX56" s="658" t="n"/>
      <c r="AY56" s="658" t="n"/>
      <c r="AZ56" s="658" t="n"/>
    </row>
    <row r="57" ht="14.25" customHeight="1" s="7635">
      <c r="A57" s="139" t="n"/>
      <c r="B57" s="88" t="n"/>
      <c r="C57" s="228" t="n">
        <v>17</v>
      </c>
      <c r="D57" s="11403" t="inlineStr">
        <is>
          <t>Enter the smaller of: two-thirds (2 ⁄3) of gross nonfarm income4 (not less than zero) or the amount on</t>
        </is>
      </c>
      <c r="E57" s="88" t="n"/>
      <c r="F57" s="88" t="n"/>
      <c r="G57" s="88" t="n"/>
      <c r="H57" s="88" t="n"/>
      <c r="I57" s="88" t="n"/>
      <c r="J57" s="88" t="n"/>
      <c r="K57" s="88" t="n"/>
      <c r="L57" s="88" t="n"/>
      <c r="M57" s="88" t="n"/>
      <c r="N57" s="88" t="n"/>
      <c r="O57" s="88" t="n"/>
      <c r="P57" s="88" t="n"/>
      <c r="Q57" s="88" t="n"/>
      <c r="R57" s="88" t="n"/>
      <c r="S57" s="88" t="n"/>
      <c r="T57" s="88" t="n"/>
      <c r="U57" s="88" t="n"/>
      <c r="V57" s="88" t="n"/>
      <c r="W57" s="5448" t="n"/>
      <c r="X57" s="441">
        <f>AND(X58&lt;&gt;"",X58&gt;0)</f>
        <v/>
      </c>
      <c r="Y57" s="88" t="n"/>
      <c r="Z57" s="88" t="n"/>
      <c r="AA57" s="139" t="n"/>
      <c r="AB57" s="2701">
        <f>IF($X$58&gt;$X$56,"Line 17 cannot","")</f>
        <v/>
      </c>
      <c r="AC57" s="5669" t="n"/>
      <c r="AD57" s="5669" t="n"/>
      <c r="AE57" s="5669" t="n"/>
      <c r="AF57" s="5669" t="n"/>
      <c r="AG57" s="5669" t="n"/>
      <c r="AH57" s="5669" t="n"/>
      <c r="AI57" s="11602" t="n"/>
      <c r="AJ57" s="1060" t="n"/>
      <c r="AK57" s="11602" t="n"/>
      <c r="AL57" s="5640" t="n"/>
      <c r="AM57" s="7957" t="n"/>
      <c r="AN57" s="7957" t="n"/>
      <c r="AO57" s="11602" t="n"/>
      <c r="AP57" s="11602" t="n"/>
      <c r="AQ57" s="658" t="n"/>
      <c r="AR57" s="658" t="n"/>
      <c r="AS57" s="658" t="n"/>
      <c r="AT57" s="658" t="n"/>
      <c r="AU57" s="658" t="n"/>
      <c r="AV57" s="658" t="n"/>
      <c r="AW57" s="658" t="n"/>
      <c r="AX57" s="658" t="n"/>
      <c r="AY57" s="658" t="n"/>
      <c r="AZ57" s="658" t="n"/>
    </row>
    <row r="58">
      <c r="A58" s="139" t="n"/>
      <c r="B58" s="88" t="n"/>
      <c r="C58" s="88" t="n"/>
      <c r="D58" s="2449" t="inlineStr">
        <is>
          <t>line 16. Also include this amount on line 4b above</t>
        </is>
      </c>
      <c r="E58" s="88" t="n"/>
      <c r="F58" s="88" t="n"/>
      <c r="G58" s="88" t="n"/>
      <c r="H58" s="88" t="n"/>
      <c r="I58" s="88" t="n"/>
      <c r="J58" s="88" t="n"/>
      <c r="K58" s="88" t="n"/>
      <c r="L58" s="88" t="n"/>
      <c r="M58" s="88" t="n"/>
      <c r="N58" s="88" t="n"/>
      <c r="O58" s="88" t="n"/>
      <c r="P58" s="88" t="n"/>
      <c r="Q58" s="88" t="n"/>
      <c r="R58" s="88" t="n"/>
      <c r="S58" s="88" t="n"/>
      <c r="T58" s="88" t="n"/>
      <c r="U58" s="88" t="n"/>
      <c r="V58" s="2715" t="inlineStr">
        <is>
          <t xml:space="preserve">.   .   .   .   .   .   .   .   .   .   .   .   .   .   .   .   . </t>
        </is>
      </c>
      <c r="W58" s="5521" t="n">
        <v>17</v>
      </c>
      <c r="X58" s="8851" t="n"/>
      <c r="Y58" s="11717" t="n"/>
      <c r="Z58" s="11717" t="n"/>
      <c r="AA58" s="139" t="n"/>
      <c r="AB58" s="2701">
        <f>IF($X$58&gt;$X$56,"be more than","")</f>
        <v/>
      </c>
      <c r="AC58" s="11602" t="n"/>
      <c r="AD58" s="11602" t="n"/>
      <c r="AE58" s="11602" t="n"/>
      <c r="AF58" s="11602" t="n"/>
      <c r="AG58" s="11602" t="n"/>
      <c r="AH58" s="11602" t="n"/>
      <c r="AI58" s="11602" t="n"/>
      <c r="AJ58" s="12214" t="n"/>
      <c r="AK58" s="1060" t="n"/>
      <c r="AL58" s="5640" t="n"/>
      <c r="AM58" s="7957" t="n"/>
      <c r="AN58" s="7957" t="n"/>
      <c r="AO58" s="11602" t="n"/>
      <c r="AP58" s="11602" t="n"/>
      <c r="AQ58" s="658" t="n"/>
      <c r="AR58" s="658" t="n"/>
      <c r="AS58" s="658" t="n"/>
      <c r="AT58" s="658" t="n"/>
      <c r="AU58" s="658" t="n"/>
      <c r="AV58" s="658" t="n"/>
      <c r="AW58" s="658" t="n"/>
      <c r="AX58" s="658" t="n"/>
      <c r="AY58" s="658" t="n"/>
      <c r="AZ58" s="658" t="n"/>
    </row>
    <row r="59" ht="14.25" customHeight="1" s="7635">
      <c r="A59" s="139" t="n"/>
      <c r="B59" s="5670" t="n">
        <v>1</v>
      </c>
      <c r="C59" s="8830" t="inlineStr">
        <is>
          <t>From Sch. F, line 9, and Sch. K-1 (Form 1065), box 14, code B.</t>
        </is>
      </c>
      <c r="L59" s="7636" t="n"/>
      <c r="M59" s="5671" t="n">
        <v>3</v>
      </c>
      <c r="N59" s="8843" t="inlineStr">
        <is>
          <t>From Sch. C, line 31; and Sch. K-1 (Form 1065), box 14, code A.</t>
        </is>
      </c>
      <c r="AA59" s="139" t="n"/>
      <c r="AB59" s="2701">
        <f>IF($X$58&gt;$X$56,"Line 16.","")</f>
        <v/>
      </c>
      <c r="AC59" s="11602" t="n"/>
      <c r="AD59" s="11602" t="n"/>
      <c r="AE59" s="11602" t="n"/>
      <c r="AF59" s="11602" t="n"/>
      <c r="AG59" s="11602" t="n"/>
      <c r="AH59" s="11602" t="n"/>
      <c r="AI59" s="11602" t="n"/>
      <c r="AJ59" s="11602" t="n"/>
      <c r="AK59" s="12224" t="n"/>
      <c r="AL59" s="5625" t="n"/>
      <c r="AM59" s="5625" t="n"/>
      <c r="AN59" s="5625" t="n"/>
      <c r="AO59" s="11602" t="n"/>
      <c r="AP59" s="11602" t="n"/>
      <c r="AQ59" s="658" t="n"/>
      <c r="AR59" s="658" t="n"/>
      <c r="AS59" s="658" t="n"/>
      <c r="AT59" s="658" t="n"/>
      <c r="AU59" s="658" t="n"/>
      <c r="AV59" s="658" t="n"/>
      <c r="AW59" s="658" t="n"/>
      <c r="AX59" s="658" t="n"/>
      <c r="AY59" s="658" t="n"/>
      <c r="AZ59" s="658" t="n"/>
    </row>
    <row r="60" ht="25.5" customFormat="1" customHeight="1" s="207" thickBot="1">
      <c r="A60" s="139" t="n"/>
      <c r="B60" s="5673" t="n">
        <v>2</v>
      </c>
      <c r="C60" s="8832" t="inlineStr">
        <is>
          <t>From Sch. F, line 34, and Sch. K-1 (Form 1065),  box 14, code A - minus the amount you would've entered on line 1b had you not used the optional method.</t>
        </is>
      </c>
      <c r="D60" s="8848" t="n"/>
      <c r="E60" s="8848" t="n"/>
      <c r="F60" s="8848" t="n"/>
      <c r="G60" s="8848" t="n"/>
      <c r="H60" s="8848" t="n"/>
      <c r="I60" s="8848" t="n"/>
      <c r="J60" s="8848" t="n"/>
      <c r="K60" s="8848" t="n"/>
      <c r="L60" s="12121" t="n"/>
      <c r="M60" s="5673" t="n">
        <v>4</v>
      </c>
      <c r="N60" s="8831" t="inlineStr">
        <is>
          <t>From Sch. C, line 7; and Sch. K-1 (Form 1065), box 14, code C.</t>
        </is>
      </c>
      <c r="O60" s="8848" t="n"/>
      <c r="P60" s="8848" t="n"/>
      <c r="Q60" s="8848" t="n"/>
      <c r="R60" s="8848" t="n"/>
      <c r="S60" s="8848" t="n"/>
      <c r="T60" s="8848" t="n"/>
      <c r="U60" s="8848" t="n"/>
      <c r="V60" s="8848" t="n"/>
      <c r="W60" s="8848" t="n"/>
      <c r="X60" s="8848" t="n"/>
      <c r="Y60" s="8848" t="n"/>
      <c r="Z60" s="8848" t="n"/>
      <c r="AA60" s="139" t="n"/>
      <c r="AB60" s="5415" t="n"/>
      <c r="AC60" s="11602" t="n"/>
      <c r="AD60" s="11602" t="n"/>
      <c r="AE60" s="11602" t="n"/>
      <c r="AF60" s="11602" t="n"/>
      <c r="AG60" s="11602" t="n"/>
      <c r="AH60" s="11602" t="n"/>
      <c r="AI60" s="11602" t="n"/>
      <c r="AJ60" s="11602" t="n"/>
      <c r="AK60" s="1061" t="n"/>
      <c r="AL60" s="5625" t="n"/>
      <c r="AM60" s="5625" t="n"/>
      <c r="AN60" s="5625" t="n"/>
      <c r="AO60" s="11602" t="n"/>
      <c r="AP60" s="11602" t="n"/>
      <c r="AQ60" s="687" t="n"/>
      <c r="AR60" s="687" t="n"/>
      <c r="AS60" s="687" t="n"/>
      <c r="AT60" s="687" t="n"/>
      <c r="AU60" s="687" t="n"/>
      <c r="AV60" s="687" t="n"/>
      <c r="AW60" s="687" t="n"/>
      <c r="AX60" s="687" t="n"/>
      <c r="AY60" s="687" t="n"/>
      <c r="AZ60" s="687" t="n"/>
    </row>
    <row r="61" ht="13.5" customHeight="1" s="7635" thickBot="1">
      <c r="A61" s="5674" t="n"/>
      <c r="B61" s="6489" t="inlineStr">
        <is>
          <t>For Paperwork Reduction Act Notice, see your tax return instructions.</t>
        </is>
      </c>
      <c r="C61" s="5675" t="n"/>
      <c r="D61" s="5676" t="n"/>
      <c r="E61" s="5676" t="n"/>
      <c r="F61" s="5677" t="n"/>
      <c r="G61" s="5678" t="n"/>
      <c r="H61" s="5676" t="n"/>
      <c r="I61" s="5676" t="n"/>
      <c r="J61" s="5676" t="n"/>
      <c r="K61" s="5676" t="n"/>
      <c r="L61" s="5676" t="n"/>
      <c r="M61" s="5677" t="n"/>
      <c r="N61" s="5678" t="n"/>
      <c r="O61" s="5676" t="n"/>
      <c r="P61" s="5676" t="n"/>
      <c r="Q61" s="6486" t="inlineStr">
        <is>
          <t>Cat. No. 11358Z</t>
        </is>
      </c>
      <c r="R61" s="5676" t="n"/>
      <c r="S61" s="6488">
        <f>"Schedule SE (Form 1040) "&amp;TaxYear</f>
        <v/>
      </c>
      <c r="T61" s="5679" t="n"/>
      <c r="U61" s="5680" t="n"/>
      <c r="V61" s="571" t="n"/>
      <c r="W61" s="5681" t="n"/>
      <c r="X61" s="5422" t="n"/>
      <c r="Y61" s="5422" t="n"/>
      <c r="Z61" s="6487" t="inlineStr">
        <is>
          <t>Created 5/7/25</t>
        </is>
      </c>
      <c r="AA61" s="5682" t="n"/>
      <c r="AB61" s="5683" t="n"/>
      <c r="AC61" s="11602" t="n"/>
      <c r="AD61" s="11602" t="n"/>
      <c r="AE61" s="11602" t="n"/>
      <c r="AF61" s="11602" t="n"/>
      <c r="AG61" s="11602" t="n"/>
      <c r="AH61" s="11602" t="n"/>
      <c r="AI61" s="11602" t="n"/>
      <c r="AJ61" s="11602" t="n"/>
      <c r="AK61" s="11602" t="n"/>
      <c r="AL61" s="11602" t="n"/>
      <c r="AM61" s="11602" t="n"/>
      <c r="AN61" s="11602" t="n"/>
      <c r="AO61" s="11602" t="n"/>
      <c r="AP61" s="11602" t="n"/>
      <c r="AQ61" s="658" t="n"/>
      <c r="AR61" s="658" t="n"/>
      <c r="AS61" s="658" t="n"/>
      <c r="AT61" s="658" t="n"/>
      <c r="AU61" s="658" t="n"/>
      <c r="AV61" s="658" t="n"/>
      <c r="AW61" s="658" t="n"/>
      <c r="AX61" s="658" t="n"/>
      <c r="AY61" s="658" t="n"/>
      <c r="AZ61" s="658" t="n"/>
    </row>
    <row r="62" ht="21.75" customHeight="1" s="7635">
      <c r="A62" s="139" t="n"/>
      <c r="B62" s="12205" t="inlineStr">
        <is>
          <t>SCHEDULE SE</t>
        </is>
      </c>
      <c r="F62" s="1066" t="n"/>
      <c r="G62" s="5684" t="n"/>
      <c r="H62" s="88" t="n"/>
      <c r="I62" s="5685" t="n"/>
      <c r="J62" s="5685" t="n"/>
      <c r="K62" s="5685" t="n"/>
      <c r="L62" s="88" t="n"/>
      <c r="M62" s="5686" t="n"/>
      <c r="N62" s="88" t="n"/>
      <c r="O62" s="5685" t="n"/>
      <c r="P62" s="5685" t="n"/>
      <c r="Q62" s="5685" t="n"/>
      <c r="R62" s="88" t="n"/>
      <c r="S62" s="88" t="n"/>
      <c r="T62" s="88" t="n"/>
      <c r="U62" s="2699" t="n"/>
      <c r="V62" s="90" t="n"/>
      <c r="W62" s="8909">
        <f>IF(AND(AA62="",'Table of Contents'!A42="D"),"DRAFT","OMB No. 1545-0074")</f>
        <v/>
      </c>
      <c r="X62" s="7637" t="n"/>
      <c r="Y62" s="7637" t="n"/>
      <c r="Z62" s="7637" t="n"/>
      <c r="AA62" s="5687" t="n"/>
      <c r="AB62" s="2975" t="inlineStr">
        <is>
          <t>Schedule SE #2</t>
        </is>
      </c>
      <c r="AC62" s="9068" t="n"/>
      <c r="AD62" s="9068" t="n"/>
      <c r="AE62" s="9068" t="n"/>
      <c r="AF62" s="9068" t="n"/>
      <c r="AG62" s="9068" t="n"/>
      <c r="AH62" s="9068" t="n"/>
      <c r="AI62" s="7816" t="n"/>
      <c r="AJ62" s="11602" t="n"/>
      <c r="AK62" s="11602" t="n"/>
      <c r="AL62" s="11602" t="n"/>
      <c r="AM62" s="11602" t="n"/>
      <c r="AN62" s="11602" t="n"/>
      <c r="AO62" s="11602" t="n"/>
      <c r="AP62" s="7816" t="n"/>
      <c r="AQ62" s="657" t="inlineStr">
        <is>
          <t>Notes</t>
        </is>
      </c>
      <c r="AR62" s="658" t="n"/>
      <c r="AS62" s="658" t="n"/>
      <c r="AT62" s="658" t="n"/>
      <c r="AU62" s="658" t="n"/>
      <c r="AV62" s="658" t="n"/>
      <c r="AW62" s="658" t="n"/>
      <c r="AX62" s="658" t="n"/>
      <c r="AY62" s="658" t="n"/>
      <c r="AZ62" s="658" t="n"/>
    </row>
    <row r="63" ht="27.75" customHeight="1" s="7635">
      <c r="A63" s="139" t="n"/>
      <c r="B63" s="8896" t="inlineStr">
        <is>
          <t>(Form 1040)</t>
        </is>
      </c>
      <c r="F63" s="1066" t="n"/>
      <c r="G63" s="12206" t="inlineStr">
        <is>
          <t>Self-Employment Tax</t>
        </is>
      </c>
      <c r="V63" s="1066" t="n"/>
      <c r="W63" s="8911">
        <f>TaxYear</f>
        <v/>
      </c>
      <c r="X63" s="7839" t="n"/>
      <c r="Y63" s="7839" t="n"/>
      <c r="Z63" s="7839" t="n"/>
      <c r="AA63" s="139" t="n"/>
      <c r="AB63" s="5415" t="n"/>
      <c r="AC63" s="7816" t="inlineStr">
        <is>
          <t>This Schedule SE is being completed for:</t>
        </is>
      </c>
      <c r="AF63" s="9068" t="n"/>
      <c r="AG63" s="9068" t="n"/>
      <c r="AH63" s="9068" t="n"/>
      <c r="AI63" s="7816" t="n"/>
      <c r="AJ63" s="11602" t="n"/>
      <c r="AK63" s="11602" t="n"/>
      <c r="AL63" s="11602" t="n"/>
      <c r="AM63" s="11602" t="n"/>
      <c r="AN63" s="11602" t="n"/>
      <c r="AO63" s="11602" t="n"/>
      <c r="AP63" s="7816" t="n"/>
      <c r="AQ63" s="658" t="n"/>
      <c r="AR63" s="658" t="n"/>
      <c r="AS63" s="658" t="n"/>
      <c r="AT63" s="658" t="n"/>
      <c r="AU63" s="658" t="n"/>
      <c r="AV63" s="658" t="n"/>
      <c r="AW63" s="658" t="n"/>
      <c r="AX63" s="658" t="n"/>
      <c r="AY63" s="658" t="n"/>
      <c r="AZ63" s="658" t="n"/>
    </row>
    <row r="64" ht="13.5" customHeight="1" s="7635" thickBot="1">
      <c r="A64" s="139" t="n"/>
      <c r="B64" s="8886" t="inlineStr">
        <is>
          <t>Department of the Treasury</t>
        </is>
      </c>
      <c r="F64" s="1066" t="n"/>
      <c r="G64" s="12207" t="inlineStr">
        <is>
          <t xml:space="preserve">Attach to Form 1040, 1040-SR,  1040-SS, or  1040NR.   </t>
        </is>
      </c>
      <c r="V64" s="1066" t="n"/>
      <c r="W64" s="5601" t="n"/>
      <c r="X64" s="8908" t="inlineStr">
        <is>
          <t>Attachment
Sequence No. 17</t>
        </is>
      </c>
      <c r="AA64" s="139" t="n"/>
      <c r="AB64" s="5415" t="n"/>
      <c r="AF64" s="9068" t="n"/>
      <c r="AG64" s="9068" t="n"/>
      <c r="AH64" s="9068" t="n"/>
      <c r="AI64" s="7816" t="n"/>
      <c r="AJ64" s="9068" t="n"/>
      <c r="AK64" s="7816" t="n"/>
      <c r="AL64" s="7816" t="n"/>
      <c r="AM64" s="7816" t="n"/>
      <c r="AN64" s="7816" t="n"/>
      <c r="AO64" s="7816" t="n"/>
      <c r="AP64" s="7816" t="n"/>
      <c r="AQ64" s="658" t="n"/>
      <c r="AR64" s="658" t="n"/>
      <c r="AS64" s="658" t="n"/>
      <c r="AT64" s="658" t="n"/>
      <c r="AU64" s="658" t="n"/>
      <c r="AV64" s="658" t="n"/>
      <c r="AW64" s="658" t="n"/>
      <c r="AX64" s="658" t="n"/>
      <c r="AY64" s="658" t="n"/>
      <c r="AZ64" s="658" t="n"/>
    </row>
    <row r="65" ht="12.75" customHeight="1" s="7635" thickBot="1">
      <c r="A65" s="139" t="n"/>
      <c r="B65" s="8889">
        <f>"Internal Revenue Service  (99)"</f>
        <v/>
      </c>
      <c r="C65" s="8848" t="n"/>
      <c r="D65" s="8848" t="n"/>
      <c r="E65" s="8848" t="n"/>
      <c r="F65" s="2627" t="n"/>
      <c r="G65" s="12207" t="inlineStr">
        <is>
          <t>Go to www.irs.gov/ScheduleSE for instructions and the latest information.</t>
        </is>
      </c>
      <c r="V65" s="1066" t="n"/>
      <c r="W65" s="5602" t="n"/>
      <c r="X65" s="8848" t="n"/>
      <c r="Y65" s="8848" t="n"/>
      <c r="Z65" s="8848" t="n"/>
      <c r="AA65" s="139" t="n"/>
      <c r="AB65" s="5415" t="n"/>
      <c r="AC65" s="11602" t="n"/>
      <c r="AD65" s="277" t="inlineStr">
        <is>
          <t>X</t>
        </is>
      </c>
      <c r="AE65" s="1059" t="inlineStr">
        <is>
          <t xml:space="preserve">  Yourself</t>
        </is>
      </c>
      <c r="AF65" s="11602" t="n"/>
      <c r="AG65" s="8898">
        <f>IF(AND(AJ67,AL95),"Error: You can't check 'Spouse' if this form is for your statutory employee income.",IF(AND(AJ65,AM95),"Error: You can't check 'Yourself' if this form is for your spouse's statutory employee income.",""))</f>
        <v/>
      </c>
      <c r="AH65" s="7816" t="n"/>
      <c r="AI65" s="11602" t="n"/>
      <c r="AJ65" s="11602">
        <f>(AD65&lt;&gt;"")</f>
        <v/>
      </c>
      <c r="AK65" s="7816" t="n"/>
      <c r="AL65" s="7816" t="n"/>
      <c r="AM65" s="7816" t="n"/>
      <c r="AN65" s="7816" t="n"/>
      <c r="AO65" s="7816" t="n"/>
      <c r="AP65" s="7816" t="n"/>
      <c r="AQ65" s="658" t="n"/>
      <c r="AR65" s="658" t="n"/>
      <c r="AS65" s="658" t="n"/>
      <c r="AT65" s="658" t="n"/>
      <c r="AU65" s="658" t="n"/>
      <c r="AV65" s="658" t="n"/>
      <c r="AW65" s="658" t="n"/>
      <c r="AX65" s="658" t="n"/>
      <c r="AY65" s="658" t="n"/>
      <c r="AZ65" s="658" t="n"/>
    </row>
    <row r="66" ht="12" customHeight="1" s="7635" thickBot="1">
      <c r="A66" s="139" t="n"/>
      <c r="B66" s="8884" t="inlineStr">
        <is>
          <t>Name of person with self-employment income (as shown on Form 1040, 1040-SR, 1040-SS or 1040-NR)</t>
        </is>
      </c>
      <c r="C66" s="2506" t="n"/>
      <c r="D66" s="2506" t="n"/>
      <c r="E66" s="2506" t="n"/>
      <c r="F66" s="2506" t="n"/>
      <c r="G66" s="2506" t="n"/>
      <c r="H66" s="2506" t="n"/>
      <c r="I66" s="2506" t="n"/>
      <c r="J66" s="2506" t="n"/>
      <c r="K66" s="2506" t="n"/>
      <c r="L66" s="2506" t="n"/>
      <c r="M66" s="2506" t="n"/>
      <c r="N66" s="2506" t="n"/>
      <c r="O66" s="2506" t="n"/>
      <c r="P66" s="2506" t="n"/>
      <c r="Q66" s="12208">
        <f>IF($AJ$6,"Social security number(s) MUST be entered for this form to work properly.","Social security number of person"&amp;CHAR(10)&amp;"with self-employment income")</f>
        <v/>
      </c>
      <c r="R66" s="2506" t="n"/>
      <c r="S66" s="2506" t="n"/>
      <c r="T66" s="2506" t="n"/>
      <c r="U66" s="2506" t="n"/>
      <c r="V66" s="11716" t="n"/>
      <c r="W66" s="12209">
        <f>IF(AND(AJ65,AJ67),SS_Yours,IF(AJ65,SS_Yours,IF(AJ67,SS_Spouse,"")))</f>
        <v/>
      </c>
      <c r="X66" s="2506" t="n"/>
      <c r="Y66" s="2506" t="n"/>
      <c r="Z66" s="2506" t="n"/>
      <c r="AA66" s="139" t="n"/>
      <c r="AB66" s="5415" t="n"/>
      <c r="AC66" s="11602" t="n"/>
      <c r="AD66" s="11602" t="n"/>
      <c r="AE66" s="5603">
        <f>IF(File_Marr_Joint&lt;&gt;"","Check both boxes if for both.","")</f>
        <v/>
      </c>
      <c r="AF66" s="11602" t="n"/>
      <c r="AH66" s="7816" t="n"/>
      <c r="AI66" s="11602" t="n"/>
      <c r="AJ66" s="411" t="n"/>
      <c r="AK66" s="7816" t="n"/>
      <c r="AL66" s="7816" t="n"/>
      <c r="AM66" s="7816" t="n"/>
      <c r="AN66" s="7816" t="n"/>
      <c r="AO66" s="7816" t="n"/>
      <c r="AP66" s="7816" t="n"/>
      <c r="AQ66" s="658" t="n"/>
      <c r="AR66" s="658" t="n"/>
      <c r="AS66" s="658" t="n"/>
      <c r="AT66" s="658" t="n"/>
      <c r="AU66" s="658" t="n"/>
      <c r="AV66" s="658" t="n"/>
      <c r="AW66" s="658" t="n"/>
      <c r="AX66" s="658" t="n"/>
      <c r="AY66" s="658" t="n"/>
      <c r="AZ66" s="658" t="n"/>
    </row>
    <row r="67" ht="16.5" customHeight="1" s="7635" thickBot="1">
      <c r="A67" s="139" t="n"/>
      <c r="B67" s="8883">
        <f>IF(AND(AJ65,AJ67),NameYours&amp;" and "&amp;NameSpouse,IF(AJ65,NameYours,IF(AJ67,NameSpouse,"")))</f>
        <v/>
      </c>
      <c r="C67" s="7637" t="n"/>
      <c r="D67" s="7637" t="n"/>
      <c r="E67" s="7637" t="n"/>
      <c r="F67" s="7637" t="n"/>
      <c r="G67" s="7637" t="n"/>
      <c r="H67" s="7637" t="n"/>
      <c r="I67" s="7637" t="n"/>
      <c r="J67" s="7637" t="n"/>
      <c r="K67" s="7637" t="n"/>
      <c r="L67" s="7637" t="n"/>
      <c r="M67" s="7637" t="n"/>
      <c r="N67" s="7637" t="n"/>
      <c r="O67" s="7637" t="n"/>
      <c r="P67" s="7637" t="n"/>
      <c r="Q67" s="3614" t="n"/>
      <c r="R67" s="7637" t="n"/>
      <c r="S67" s="7637" t="n"/>
      <c r="T67" s="7637" t="n"/>
      <c r="U67" s="7637" t="n"/>
      <c r="V67" s="7638" t="n"/>
      <c r="W67" s="3614" t="n"/>
      <c r="X67" s="7637" t="n"/>
      <c r="Y67" s="7637" t="n"/>
      <c r="Z67" s="7637" t="n"/>
      <c r="AA67" s="139" t="n"/>
      <c r="AB67" s="7825" t="inlineStr">
        <is>
          <t>Manual
Overide ê</t>
        </is>
      </c>
      <c r="AC67" s="11602" t="n"/>
      <c r="AD67" s="277" t="n"/>
      <c r="AE67" s="1059">
        <f>IF(AND(NumFileStatusBoxes=1,File_Marr_Joint&lt;&gt;""),"  Spouse","")</f>
        <v/>
      </c>
      <c r="AF67" s="11602" t="n"/>
      <c r="AH67" s="7816" t="n"/>
      <c r="AI67" s="11602" t="n"/>
      <c r="AJ67" s="11602">
        <f>(AD67&lt;&gt;"")</f>
        <v/>
      </c>
      <c r="AK67" s="7816" t="n"/>
      <c r="AL67" s="11602">
        <f>OR(AND('Sch. C'!M7=SS_Yours,'Sch. C'!Y8,NOT('Sch. C'!Y10)),AND('Sch. C'!M121=SS_Yours,'Sch. C'!Y122,NOT('Sch. C'!Y124)))</f>
        <v/>
      </c>
      <c r="AM67" s="7816" t="n"/>
      <c r="AN67" s="7816" t="n"/>
      <c r="AO67" s="7816" t="n"/>
      <c r="AP67" s="7816" t="n"/>
      <c r="AQ67" s="658" t="n"/>
      <c r="AR67" s="658" t="n"/>
      <c r="AS67" s="658" t="n"/>
      <c r="AT67" s="658" t="n"/>
      <c r="AU67" s="658" t="n"/>
      <c r="AV67" s="658" t="n"/>
      <c r="AW67" s="658" t="n"/>
      <c r="AX67" s="658" t="n"/>
      <c r="AY67" s="658" t="n"/>
      <c r="AZ67" s="658" t="n"/>
    </row>
    <row r="68" ht="18" customHeight="1" s="7635">
      <c r="A68" s="139" t="n"/>
      <c r="B68" s="8876" t="inlineStr">
        <is>
          <t>Part I</t>
        </is>
      </c>
      <c r="C68" s="7637" t="n"/>
      <c r="D68" s="7637" t="n"/>
      <c r="E68" s="5604" t="inlineStr">
        <is>
          <t>Self-Employment Tax</t>
        </is>
      </c>
      <c r="F68" s="2432" t="n"/>
      <c r="G68" s="2432" t="n"/>
      <c r="H68" s="2432" t="n"/>
      <c r="I68" s="2432" t="n"/>
      <c r="J68" s="2432" t="n"/>
      <c r="K68" s="2432" t="n"/>
      <c r="L68" s="2432" t="n"/>
      <c r="M68" s="2432" t="n"/>
      <c r="N68" s="2432" t="n"/>
      <c r="O68" s="2432" t="n"/>
      <c r="P68" s="2432" t="n"/>
      <c r="Q68" s="2432" t="n"/>
      <c r="R68" s="2432" t="n"/>
      <c r="S68" s="2432" t="n"/>
      <c r="T68" s="2432" t="n"/>
      <c r="U68" s="2432" t="n"/>
      <c r="V68" s="2432" t="n"/>
      <c r="W68" s="2432" t="n"/>
      <c r="X68" s="2432" t="n"/>
      <c r="Y68" s="2432" t="n"/>
      <c r="Z68" s="2432" t="n"/>
      <c r="AA68" s="139" t="n"/>
      <c r="AC68" s="11602" t="n"/>
      <c r="AD68" s="8291" t="inlineStr">
        <is>
          <t>Note: Information from these check boxes are used in:  
Sch. SE, Section B, Line 8a, and  
Form 2441, Lines 4 and 5.</t>
        </is>
      </c>
      <c r="AJ68" s="9068" t="n"/>
      <c r="AK68" s="7816" t="n"/>
      <c r="AL68" s="11602" t="n"/>
      <c r="AM68" s="7816" t="n"/>
      <c r="AN68" s="7816" t="n"/>
      <c r="AO68" s="7816" t="n"/>
      <c r="AP68" s="7816" t="n"/>
      <c r="AQ68" s="658" t="n"/>
      <c r="AR68" s="658" t="n"/>
      <c r="AS68" s="658" t="n"/>
      <c r="AT68" s="658" t="n"/>
      <c r="AU68" s="658" t="n"/>
      <c r="AV68" s="658" t="n"/>
      <c r="AW68" s="658" t="n"/>
      <c r="AX68" s="658" t="n"/>
      <c r="AY68" s="658" t="n"/>
      <c r="AZ68" s="658" t="n"/>
    </row>
    <row r="69" ht="14.25" customHeight="1" s="7635">
      <c r="A69" s="139" t="n"/>
      <c r="B69" s="2126" t="inlineStr">
        <is>
          <t>Note: If your only income subject to self-employment tax is church employee income, see instructions for how to report your income</t>
        </is>
      </c>
      <c r="C69" s="10645" t="n"/>
      <c r="D69" s="10645" t="n"/>
      <c r="E69" s="5605" t="n"/>
      <c r="F69" s="88" t="n"/>
      <c r="G69" s="88" t="n"/>
      <c r="H69" s="88" t="n"/>
      <c r="I69" s="88" t="n"/>
      <c r="J69" s="88" t="n"/>
      <c r="K69" s="88" t="n"/>
      <c r="L69" s="88" t="n"/>
      <c r="M69" s="88" t="n"/>
      <c r="N69" s="88" t="n"/>
      <c r="O69" s="88" t="n"/>
      <c r="P69" s="88" t="n"/>
      <c r="Q69" s="88" t="n"/>
      <c r="R69" s="88" t="n"/>
      <c r="S69" s="88" t="n"/>
      <c r="T69" s="88" t="n"/>
      <c r="U69" s="88" t="n"/>
      <c r="V69" s="88" t="n"/>
      <c r="W69" s="88" t="n"/>
      <c r="X69" s="88" t="n"/>
      <c r="Y69" s="88" t="n"/>
      <c r="Z69" s="88" t="n"/>
      <c r="AA69" s="139" t="n"/>
      <c r="AB69" s="5415" t="n"/>
      <c r="AC69" s="11602" t="n"/>
      <c r="AJ69" s="9068" t="n"/>
      <c r="AK69" s="11602" t="n"/>
      <c r="AL69" s="11602">
        <f>AND(File_Marr_Joint&lt;&gt;"",OR(AND('Sch. C'!M7=SS_Spouse,'Sch. C'!Y8,NOT('Sch. C'!Y10)),AND('Sch. C'!M121=SS_Spouse,'Sch. C'!Y122,NOT('Sch. C'!Y124))))</f>
        <v/>
      </c>
      <c r="AM69" s="7816" t="n"/>
      <c r="AN69" s="7816" t="n"/>
      <c r="AO69" s="7816" t="n"/>
      <c r="AP69" s="7816" t="n"/>
      <c r="AQ69" s="658" t="n"/>
      <c r="AR69" s="658" t="n"/>
      <c r="AS69" s="658" t="n"/>
      <c r="AT69" s="658" t="n"/>
      <c r="AU69" s="658" t="n"/>
      <c r="AV69" s="658" t="n"/>
      <c r="AW69" s="658" t="n"/>
      <c r="AX69" s="658" t="n"/>
      <c r="AY69" s="658" t="n"/>
      <c r="AZ69" s="658" t="n"/>
    </row>
    <row r="70" ht="14.25" customFormat="1" customHeight="1" s="138">
      <c r="A70" s="139" t="n"/>
      <c r="B70" s="2126" t="inlineStr">
        <is>
          <t>and the definition of church employee income.</t>
        </is>
      </c>
      <c r="C70" s="10645" t="n"/>
      <c r="D70" s="10645" t="n"/>
      <c r="E70" s="5605" t="n"/>
      <c r="F70" s="88" t="n"/>
      <c r="G70" s="88" t="n"/>
      <c r="H70" s="88" t="n"/>
      <c r="I70" s="88" t="n"/>
      <c r="J70" s="88" t="n"/>
      <c r="K70" s="88" t="n"/>
      <c r="L70" s="88" t="n"/>
      <c r="M70" s="88" t="n"/>
      <c r="N70" s="88" t="n"/>
      <c r="O70" s="88" t="n"/>
      <c r="P70" s="88" t="n"/>
      <c r="Q70" s="88" t="n"/>
      <c r="R70" s="88" t="n"/>
      <c r="S70" s="88" t="n"/>
      <c r="T70" s="88" t="n"/>
      <c r="U70" s="88" t="n"/>
      <c r="V70" s="88" t="n"/>
      <c r="W70" s="88" t="n"/>
      <c r="X70" s="88" t="n"/>
      <c r="Y70" s="88" t="n"/>
      <c r="Z70" s="88" t="n"/>
      <c r="AA70" s="139" t="n"/>
      <c r="AB70" s="8906">
        <f>IF(ChurchEmployee2,"Skip line 1 thru 4b, enter -0- on line 4c, and go to line 5a.","")</f>
        <v/>
      </c>
      <c r="AC70" s="11602" t="n"/>
      <c r="AJ70" s="9911" t="n"/>
      <c r="AK70" s="7816" t="n"/>
      <c r="AL70" s="7816" t="n"/>
      <c r="AM70" s="7816" t="n"/>
      <c r="AN70" s="7816" t="n"/>
      <c r="AO70" s="7816" t="n"/>
      <c r="AP70" s="7816" t="n"/>
      <c r="AQ70" s="662" t="n"/>
      <c r="AR70" s="662" t="n"/>
      <c r="AS70" s="662" t="n"/>
      <c r="AT70" s="662" t="n"/>
      <c r="AU70" s="662" t="n"/>
      <c r="AV70" s="662" t="n"/>
      <c r="AW70" s="662" t="n"/>
      <c r="AX70" s="662" t="n"/>
      <c r="AY70" s="662" t="n"/>
      <c r="AZ70" s="662" t="n"/>
    </row>
    <row r="71" ht="11.25" customHeight="1" s="7635">
      <c r="A71" s="139" t="n"/>
      <c r="B71" s="7788" t="inlineStr">
        <is>
          <t>A</t>
        </is>
      </c>
      <c r="D71" s="10645" t="n"/>
      <c r="E71" s="2126" t="inlineStr">
        <is>
          <t>If you are a minister, member of a religious order, or Christian Science practitioner and you filed Form 4361, but you had</t>
        </is>
      </c>
      <c r="F71" s="88" t="n"/>
      <c r="G71" s="88" t="n"/>
      <c r="H71" s="88" t="n"/>
      <c r="I71" s="88" t="n"/>
      <c r="J71" s="88" t="n"/>
      <c r="K71" s="88" t="n"/>
      <c r="L71" s="88" t="n"/>
      <c r="M71" s="88" t="n"/>
      <c r="N71" s="88" t="n"/>
      <c r="O71" s="88" t="n"/>
      <c r="P71" s="88" t="n"/>
      <c r="Q71" s="88" t="n"/>
      <c r="R71" s="88" t="n"/>
      <c r="S71" s="88" t="n"/>
      <c r="T71" s="88" t="n"/>
      <c r="U71" s="88" t="n"/>
      <c r="V71" s="88" t="n"/>
      <c r="W71" s="88" t="n"/>
      <c r="X71" s="88" t="n"/>
      <c r="Y71" s="88" t="n"/>
      <c r="Z71" s="88" t="n"/>
      <c r="AA71" s="139" t="n"/>
      <c r="AC71" s="11602" t="n"/>
      <c r="AJ71" s="9911" t="n"/>
      <c r="AK71" s="7816" t="n"/>
      <c r="AL71" s="7816" t="n"/>
      <c r="AM71" s="7816" t="n"/>
      <c r="AN71" s="7816" t="n"/>
      <c r="AO71" s="7816" t="n"/>
      <c r="AP71" s="7816" t="n"/>
      <c r="AQ71" s="658" t="n"/>
      <c r="AR71" s="658" t="n"/>
      <c r="AS71" s="658" t="n"/>
      <c r="AT71" s="658" t="n"/>
      <c r="AU71" s="658" t="n"/>
      <c r="AV71" s="658" t="n"/>
      <c r="AW71" s="658" t="n"/>
      <c r="AX71" s="658" t="n"/>
      <c r="AY71" s="658" t="n"/>
      <c r="AZ71" s="658" t="n"/>
    </row>
    <row r="72" ht="11.25" customHeight="1" s="7635">
      <c r="A72" s="139" t="n"/>
      <c r="B72" s="10645" t="n"/>
      <c r="C72" s="10645" t="n"/>
      <c r="D72" s="10645" t="n"/>
      <c r="E72" s="2126">
        <f>TEXT(AJ80,"$0")&amp;" or more of"</f>
        <v/>
      </c>
      <c r="F72" s="88" t="n"/>
      <c r="G72" s="11403" t="n"/>
      <c r="H72" s="88" t="n"/>
      <c r="I72" s="5454" t="inlineStr">
        <is>
          <t>other net earnings</t>
        </is>
      </c>
      <c r="J72" s="5455" t="inlineStr">
        <is>
          <t>from self-employment, check here and continue with Part I</t>
        </is>
      </c>
      <c r="K72" s="88" t="n"/>
      <c r="L72" s="88" t="n"/>
      <c r="M72" s="88" t="n"/>
      <c r="N72" s="88" t="n"/>
      <c r="O72" s="88" t="n"/>
      <c r="P72" s="88" t="n"/>
      <c r="Q72" s="88" t="n"/>
      <c r="R72" s="88" t="n"/>
      <c r="S72" s="88" t="n"/>
      <c r="T72" s="88" t="n"/>
      <c r="U72" s="88" t="n"/>
      <c r="V72" s="88" t="n"/>
      <c r="W72" s="88" t="n"/>
      <c r="X72" s="2715" t="inlineStr">
        <is>
          <t xml:space="preserve">.   .   .   .   .   .   .   .   .  </t>
        </is>
      </c>
      <c r="Y72" s="1111" t="n"/>
      <c r="Z72" s="88" t="n"/>
      <c r="AA72" s="139" t="n"/>
      <c r="AC72" s="11602" t="n"/>
      <c r="AD72" s="9911" t="n"/>
      <c r="AE72" s="1198">
        <f>AND(X81=0,ChurchEmployeeIncome2&lt;&gt;"",ChurchEmployeeIncome2&gt;0)</f>
        <v/>
      </c>
      <c r="AF72" s="9911" t="n"/>
      <c r="AG72" s="9911" t="n"/>
      <c r="AH72" s="9911" t="n"/>
      <c r="AI72" s="7816" t="n"/>
      <c r="AJ72" s="9911">
        <f>AND(Y72&lt;&gt;"",AJ65)</f>
        <v/>
      </c>
      <c r="AK72" s="7816" t="n"/>
      <c r="AL72" s="7816">
        <f>AND(Y72&lt;&gt;"",AND(AJ67,NOT(AJ68)))</f>
        <v/>
      </c>
      <c r="AM72" s="7816" t="n"/>
      <c r="AN72" s="7816" t="n"/>
      <c r="AO72" s="7816" t="n"/>
      <c r="AP72" s="7816" t="n"/>
      <c r="AQ72" s="658" t="n"/>
      <c r="AR72" s="658" t="n"/>
      <c r="AS72" s="658" t="n"/>
      <c r="AT72" s="658" t="n"/>
      <c r="AU72" s="658" t="n"/>
      <c r="AV72" s="658" t="n"/>
      <c r="AW72" s="658" t="n"/>
      <c r="AX72" s="658" t="n"/>
      <c r="AY72" s="658" t="n"/>
      <c r="AZ72" s="658" t="n"/>
    </row>
    <row r="73" ht="13.5" customHeight="1" s="7635" thickBot="1">
      <c r="A73" s="139" t="n"/>
      <c r="B73" s="2126" t="inlineStr">
        <is>
          <t>Skip lines 1a and 1b if you use the farm optional method in Part II. See instructions.</t>
        </is>
      </c>
      <c r="C73" s="10645" t="n"/>
      <c r="D73" s="10645" t="n"/>
      <c r="E73" s="2126" t="n"/>
      <c r="F73" s="88" t="n"/>
      <c r="G73" s="88" t="n"/>
      <c r="H73" s="88" t="n"/>
      <c r="I73" s="88" t="n"/>
      <c r="J73" s="88" t="n"/>
      <c r="K73" s="88" t="n"/>
      <c r="L73" s="88" t="n"/>
      <c r="M73" s="88" t="n"/>
      <c r="N73" s="88" t="n"/>
      <c r="O73" s="88" t="n"/>
      <c r="P73" s="88" t="n"/>
      <c r="Q73" s="88" t="n"/>
      <c r="R73" s="88" t="n"/>
      <c r="S73" s="88" t="n"/>
      <c r="T73" s="88" t="n"/>
      <c r="U73" s="88" t="n"/>
      <c r="V73" s="88" t="n"/>
      <c r="W73" s="88" t="n"/>
      <c r="X73" s="88" t="n"/>
      <c r="Y73" s="88" t="n"/>
      <c r="Z73" s="88" t="n"/>
      <c r="AA73" s="139" t="n"/>
      <c r="AB73" s="5415" t="n"/>
      <c r="AC73" s="5415" t="n"/>
      <c r="AD73" s="5415" t="n"/>
      <c r="AE73" s="5415" t="n"/>
      <c r="AF73" s="5415" t="n"/>
      <c r="AG73" s="5415" t="n"/>
      <c r="AH73" s="5415" t="n"/>
      <c r="AI73" s="5415" t="n"/>
      <c r="AJ73" s="9911" t="n"/>
      <c r="AK73" s="7816" t="n"/>
      <c r="AL73" s="7816" t="n"/>
      <c r="AM73" s="7816" t="n"/>
      <c r="AN73" s="7816" t="n"/>
      <c r="AO73" s="7816" t="n"/>
      <c r="AP73" s="7816" t="n"/>
      <c r="AQ73" s="658" t="n"/>
      <c r="AR73" s="658" t="n"/>
      <c r="AS73" s="658" t="n"/>
      <c r="AT73" s="658" t="n"/>
      <c r="AU73" s="658" t="n"/>
      <c r="AV73" s="658" t="n"/>
      <c r="AW73" s="658" t="n"/>
      <c r="AX73" s="658" t="n"/>
      <c r="AY73" s="658" t="n"/>
      <c r="AZ73" s="658" t="n"/>
    </row>
    <row r="74" ht="13.5" customHeight="1" s="7635" thickBot="1">
      <c r="A74" s="139" t="n"/>
      <c r="B74" s="88" t="n"/>
      <c r="C74" s="2715" t="inlineStr">
        <is>
          <t>1a</t>
        </is>
      </c>
      <c r="D74" s="11403" t="inlineStr">
        <is>
          <t>Net farm profit or (loss) from Schedule F, line 34, and farm partnerships, Schedule K-1 (Form 1065),</t>
        </is>
      </c>
      <c r="E74" s="88" t="n"/>
      <c r="F74" s="88" t="n"/>
      <c r="G74" s="88" t="n"/>
      <c r="H74" s="88" t="n"/>
      <c r="I74" s="88" t="n"/>
      <c r="J74" s="88" t="n"/>
      <c r="K74" s="88" t="n"/>
      <c r="L74" s="88" t="n"/>
      <c r="M74" s="88" t="n"/>
      <c r="N74" s="88" t="n"/>
      <c r="O74" s="88" t="n"/>
      <c r="P74" s="88" t="n"/>
      <c r="Q74" s="88" t="n"/>
      <c r="R74" s="88" t="n"/>
      <c r="S74" s="88" t="n"/>
      <c r="T74" s="88" t="n"/>
      <c r="U74" s="88" t="n"/>
      <c r="V74" s="88" t="n"/>
      <c r="W74" s="5448" t="n"/>
      <c r="X74" s="8936" t="n"/>
      <c r="AA74" s="139" t="n"/>
      <c r="AB74" s="5606" t="n"/>
      <c r="AC74" s="5415" t="n"/>
      <c r="AD74" s="5607" t="inlineStr">
        <is>
          <t>For line 1a, enter amount from Sch. K-1 (Form 1065),</t>
        </is>
      </c>
      <c r="AE74" s="377" t="n"/>
      <c r="AF74" s="377" t="n"/>
      <c r="AG74" s="5608" t="n"/>
      <c r="AH74" s="378" t="n"/>
      <c r="AI74" s="5415" t="n"/>
      <c r="AJ74" s="9911" t="n"/>
      <c r="AK74" s="7816" t="n"/>
      <c r="AL74" s="7816" t="n"/>
      <c r="AM74" s="7816" t="n"/>
      <c r="AN74" s="7816" t="n"/>
      <c r="AO74" s="7816" t="n"/>
      <c r="AP74" s="11602" t="n"/>
      <c r="AQ74" s="658" t="n"/>
      <c r="AR74" s="658" t="n"/>
      <c r="AS74" s="658" t="n"/>
      <c r="AT74" s="658" t="n"/>
      <c r="AU74" s="658" t="n"/>
      <c r="AV74" s="658" t="n"/>
      <c r="AW74" s="658" t="n"/>
      <c r="AX74" s="658" t="n"/>
      <c r="AY74" s="658" t="n"/>
      <c r="AZ74" s="658" t="n"/>
    </row>
    <row r="75" ht="13.5" customHeight="1" s="7635" thickBot="1">
      <c r="A75" s="139" t="n"/>
      <c r="B75" s="182" t="n"/>
      <c r="C75" s="2975" t="n"/>
      <c r="D75" s="2449" t="inlineStr">
        <is>
          <t>box 14, code A</t>
        </is>
      </c>
      <c r="E75" s="182" t="n"/>
      <c r="F75" s="182" t="n"/>
      <c r="G75" s="182" t="n"/>
      <c r="H75" s="182" t="n"/>
      <c r="I75" s="182" t="n"/>
      <c r="J75" s="182" t="n"/>
      <c r="K75" s="182" t="n"/>
      <c r="L75" s="182" t="n"/>
      <c r="M75" s="182" t="n"/>
      <c r="N75" s="182" t="n"/>
      <c r="O75" s="182" t="n"/>
      <c r="P75" s="182" t="n"/>
      <c r="Q75" s="182" t="n"/>
      <c r="R75" s="182" t="n"/>
      <c r="S75" s="182" t="n"/>
      <c r="T75" s="182" t="n"/>
      <c r="U75" s="182" t="n"/>
      <c r="V75" s="5445" t="inlineStr">
        <is>
          <t xml:space="preserve">.   .   .   .   .   .   .   .   .   .   .   .   .   .   .   .   .   .   .   .   .   .   .   .   .   .   .   .   .   .   .   .   . </t>
        </is>
      </c>
      <c r="W75" s="5447" t="inlineStr">
        <is>
          <t>1a</t>
        </is>
      </c>
      <c r="X75" s="8924">
        <f>IF(AB75&lt;&gt;"",ROUND(AB75,0),IF(OR(FarmOptMeth2,AND(NOT(AJ65),NOT(AJ67))),"",IF(AND(AJ65,AJ67),SUM(AN92,ROUND(AH75,0)),IF(AJ65,SUM(AL92,ROUND(AH75,0)),IF(AJ67,SUM(AM92,ROUND(AH75,0)),"")))))</f>
        <v/>
      </c>
      <c r="Y75" s="7637" t="n"/>
      <c r="Z75" s="7637" t="n"/>
      <c r="AA75" s="144" t="n"/>
      <c r="AB75" s="811" t="n"/>
      <c r="AC75" s="5415" t="n"/>
      <c r="AD75" s="980" t="inlineStr">
        <is>
          <t>box 14, code A (for farm partnerships)</t>
        </is>
      </c>
      <c r="AE75" s="380" t="n"/>
      <c r="AF75" s="380" t="n"/>
      <c r="AG75" s="380" t="n"/>
      <c r="AH75" s="1031" t="n"/>
      <c r="AI75" s="5415" t="n"/>
      <c r="AJ75" s="851">
        <f>IF(AB75&lt;&gt;"",ROUND(AB75,0),FarmProfitNet)</f>
        <v/>
      </c>
      <c r="AK75" s="7816" t="n"/>
      <c r="AL75" s="7816" t="n"/>
      <c r="AM75" s="7816" t="n"/>
      <c r="AN75" s="7816" t="n"/>
      <c r="AO75" s="7816" t="n"/>
      <c r="AP75" s="11602" t="n"/>
      <c r="AQ75" s="658" t="n"/>
      <c r="AR75" s="658" t="n"/>
      <c r="AS75" s="658" t="n"/>
      <c r="AT75" s="658" t="n"/>
      <c r="AU75" s="658" t="n"/>
      <c r="AV75" s="658" t="n"/>
      <c r="AW75" s="658" t="n"/>
      <c r="AX75" s="658" t="n"/>
      <c r="AY75" s="658" t="n"/>
      <c r="AZ75" s="658" t="n"/>
    </row>
    <row r="76" ht="13.5" customHeight="1" s="7635" thickBot="1">
      <c r="A76" s="139" t="n"/>
      <c r="B76" s="88" t="n"/>
      <c r="C76" s="2715" t="inlineStr">
        <is>
          <t>b</t>
        </is>
      </c>
      <c r="D76" s="11403" t="inlineStr">
        <is>
          <t>If you received social security retirement or disability benefits, enter the amount of Conservation Reserve</t>
        </is>
      </c>
      <c r="E76" s="88" t="n"/>
      <c r="F76" s="88" t="n"/>
      <c r="G76" s="88" t="n"/>
      <c r="H76" s="88" t="n"/>
      <c r="I76" s="88" t="n"/>
      <c r="J76" s="88" t="n"/>
      <c r="K76" s="88" t="n"/>
      <c r="L76" s="88" t="n"/>
      <c r="M76" s="88" t="n"/>
      <c r="N76" s="88" t="n"/>
      <c r="O76" s="88" t="n"/>
      <c r="P76" s="88" t="n"/>
      <c r="Q76" s="88" t="n"/>
      <c r="R76" s="88" t="n"/>
      <c r="S76" s="88" t="n"/>
      <c r="T76" s="88" t="n"/>
      <c r="U76" s="88" t="n"/>
      <c r="V76" s="88" t="n"/>
      <c r="W76" s="9460" t="n"/>
      <c r="X76" s="8923">
        <f>IF('Sch. F'!AB100="","",'Sch. F'!AB100)</f>
        <v/>
      </c>
      <c r="Y76" s="7839" t="n"/>
      <c r="Z76" s="7839" t="n"/>
      <c r="AA76" s="139" t="n"/>
      <c r="AB76" s="5606" t="n"/>
      <c r="AC76" s="5415" t="n"/>
      <c r="AD76" s="5609" t="inlineStr">
        <is>
          <t>For line 1b, enter amount of Conservation Reserve Program payments</t>
        </is>
      </c>
      <c r="AE76" s="406" t="n"/>
      <c r="AF76" s="406" t="n"/>
      <c r="AG76" s="406" t="n"/>
      <c r="AH76" s="406" t="n"/>
      <c r="AI76" s="5415" t="n"/>
      <c r="AJ76" s="11602" t="n"/>
      <c r="AK76" s="11602" t="n"/>
      <c r="AL76" s="11602" t="n"/>
      <c r="AM76" s="11602" t="n"/>
      <c r="AN76" s="11602" t="n"/>
      <c r="AO76" s="11602" t="n"/>
      <c r="AP76" s="411" t="n"/>
      <c r="AQ76" s="658" t="n"/>
      <c r="AR76" s="658" t="n"/>
      <c r="AS76" s="658" t="n"/>
      <c r="AT76" s="658" t="n"/>
      <c r="AU76" s="658" t="n"/>
      <c r="AV76" s="658" t="n"/>
      <c r="AW76" s="658" t="n"/>
      <c r="AX76" s="658" t="n"/>
      <c r="AY76" s="658" t="n"/>
      <c r="AZ76" s="658" t="n"/>
    </row>
    <row r="77" ht="20.25" customHeight="1" s="7635" thickBot="1">
      <c r="A77" s="139" t="n"/>
      <c r="B77" s="182" t="n"/>
      <c r="C77" s="2975" t="n"/>
      <c r="D77" s="2449" t="inlineStr">
        <is>
          <t>Program paymts included on Schedule F, line 4b, or listed on Schedule K-1 (Form 1065), box 20, code AQ</t>
        </is>
      </c>
      <c r="E77" s="182" t="n"/>
      <c r="F77" s="182" t="n"/>
      <c r="G77" s="182" t="n"/>
      <c r="H77" s="182" t="n"/>
      <c r="I77" s="182" t="n"/>
      <c r="J77" s="182" t="n"/>
      <c r="K77" s="182" t="n"/>
      <c r="L77" s="182" t="n"/>
      <c r="M77" s="182" t="n"/>
      <c r="N77" s="182" t="n"/>
      <c r="O77" s="182" t="n"/>
      <c r="P77" s="182" t="n"/>
      <c r="Q77" s="182" t="n"/>
      <c r="R77" s="182" t="n"/>
      <c r="S77" s="182" t="n"/>
      <c r="T77" s="182" t="n"/>
      <c r="U77" s="182" t="n"/>
      <c r="V77" s="5445" t="n"/>
      <c r="W77" s="5447" t="inlineStr">
        <is>
          <t>1b</t>
        </is>
      </c>
      <c r="X77" s="8924">
        <f>IF(AB77&lt;&gt;"",-ROUND(ABS(AB77),0),IF(OR(FarmOptMeth2,AND(NOT(AJ65),NOT(AJ67))),"",IF(AH77&lt;&gt;"",-ABS(ROUND(AH77,0)),"")))</f>
        <v/>
      </c>
      <c r="Y77" s="7637" t="n"/>
      <c r="Z77" s="7637" t="n"/>
      <c r="AA77" s="144" t="n"/>
      <c r="AB77" s="811" t="n"/>
      <c r="AC77" s="5415" t="n"/>
      <c r="AD77" s="1197" t="inlineStr">
        <is>
          <t>from Sch. F, line 4b, or Sch. K-1, box 20, code AH</t>
        </is>
      </c>
      <c r="AE77" s="380" t="n"/>
      <c r="AF77" s="380" t="n"/>
      <c r="AG77" s="1194" t="n"/>
      <c r="AH77" s="1031" t="n"/>
      <c r="AI77" s="5415" t="n"/>
      <c r="AJ77" s="11602">
        <f>AND(FALSE,OR(AB77&gt;0,AH77&gt;0))</f>
        <v/>
      </c>
      <c r="AK77" s="11602" t="n"/>
      <c r="AL77" s="11602" t="n"/>
      <c r="AM77" s="11602" t="n"/>
      <c r="AN77" s="11602" t="n"/>
      <c r="AO77" s="11602" t="n"/>
      <c r="AP77" s="11602" t="n"/>
      <c r="AQ77" s="658" t="n"/>
      <c r="AR77" s="658" t="n"/>
      <c r="AS77" s="658" t="n"/>
      <c r="AT77" s="658" t="n"/>
      <c r="AU77" s="658" t="n"/>
      <c r="AV77" s="658" t="n"/>
      <c r="AW77" s="658" t="n"/>
      <c r="AX77" s="658" t="n"/>
      <c r="AY77" s="658" t="n"/>
      <c r="AZ77" s="658" t="n"/>
    </row>
    <row r="78" ht="12.75" customFormat="1" customHeight="1" s="9864" thickBot="1">
      <c r="A78" s="144" t="n"/>
      <c r="B78" s="2126" t="inlineStr">
        <is>
          <t>Skip line 2 if you use the nonfarm optional method in Part II. See instructions.</t>
        </is>
      </c>
      <c r="C78" s="10645" t="n"/>
      <c r="D78" s="10645" t="n"/>
      <c r="E78" s="2126" t="n"/>
      <c r="F78" s="182" t="n"/>
      <c r="G78" s="182" t="n"/>
      <c r="H78" s="182" t="n"/>
      <c r="I78" s="182" t="n"/>
      <c r="J78" s="182" t="n"/>
      <c r="K78" s="182" t="n"/>
      <c r="L78" s="182" t="n"/>
      <c r="M78" s="182" t="n"/>
      <c r="N78" s="182" t="n"/>
      <c r="O78" s="182" t="n"/>
      <c r="P78" s="182" t="n"/>
      <c r="Q78" s="182" t="n"/>
      <c r="R78" s="182" t="n"/>
      <c r="S78" s="182" t="n"/>
      <c r="T78" s="182" t="n"/>
      <c r="U78" s="182" t="n"/>
      <c r="V78" s="182" t="n"/>
      <c r="W78" s="5610" t="n"/>
      <c r="X78" s="8937" t="n"/>
      <c r="Y78" s="7839" t="n"/>
      <c r="Z78" s="7839" t="n"/>
      <c r="AA78" s="144" t="n"/>
      <c r="AB78" s="12210">
        <f>IF(AN95,"See NOTE regarding Statutory Employee profit/loss.","")</f>
        <v/>
      </c>
      <c r="AC78" s="5415" t="n"/>
      <c r="AD78" s="5415" t="n"/>
      <c r="AE78" s="5415" t="n"/>
      <c r="AF78" s="5415" t="n"/>
      <c r="AG78" s="5415" t="n"/>
      <c r="AH78" s="5415" t="n"/>
      <c r="AI78" s="5611" t="n"/>
      <c r="AJ78" s="411" t="n"/>
      <c r="AK78" s="411" t="n"/>
      <c r="AL78" s="411" t="n"/>
      <c r="AM78" s="411" t="n"/>
      <c r="AN78" s="411" t="n"/>
      <c r="AO78" s="411" t="n"/>
      <c r="AP78" s="801" t="n"/>
      <c r="AQ78" s="665" t="n"/>
      <c r="AR78" s="665" t="n"/>
      <c r="AS78" s="665" t="n"/>
      <c r="AT78" s="665" t="n"/>
      <c r="AU78" s="665" t="n"/>
      <c r="AV78" s="665" t="n"/>
      <c r="AW78" s="665" t="n"/>
      <c r="AX78" s="665" t="n"/>
      <c r="AY78" s="665" t="n"/>
      <c r="AZ78" s="665" t="n"/>
    </row>
    <row r="79" ht="13.5" customHeight="1" s="7635" thickBot="1">
      <c r="A79" s="139" t="n"/>
      <c r="B79" s="88" t="n"/>
      <c r="C79" s="228" t="n">
        <v>2</v>
      </c>
      <c r="D79" s="11403" t="inlineStr">
        <is>
          <t>Net profit or (loss) from Schedule C, line 31; and Schedule K-1 (Form 1065), box 14, code A (other than</t>
        </is>
      </c>
      <c r="E79" s="88" t="n"/>
      <c r="F79" s="88" t="n"/>
      <c r="G79" s="88" t="n"/>
      <c r="H79" s="88" t="n"/>
      <c r="I79" s="88" t="n"/>
      <c r="J79" s="88" t="n"/>
      <c r="K79" s="88" t="n"/>
      <c r="L79" s="88" t="n"/>
      <c r="M79" s="88" t="n"/>
      <c r="N79" s="88" t="n"/>
      <c r="O79" s="88" t="n"/>
      <c r="P79" s="88" t="n"/>
      <c r="Q79" s="88" t="n"/>
      <c r="R79" s="88" t="n"/>
      <c r="S79" s="88" t="n"/>
      <c r="T79" s="88" t="n"/>
      <c r="U79" s="88" t="n"/>
      <c r="V79" s="88" t="n"/>
      <c r="W79" s="5448" t="n"/>
      <c r="X79" s="8921" t="n"/>
      <c r="AA79" s="139" t="n"/>
      <c r="AB79" s="8848" t="n"/>
      <c r="AC79" s="5415" t="n"/>
      <c r="AD79" s="5609" t="inlineStr">
        <is>
          <t>For line 2, enter amount from Sch. K-1 (Form 1065),</t>
        </is>
      </c>
      <c r="AE79" s="1199" t="n"/>
      <c r="AF79" s="1199" t="n"/>
      <c r="AG79" s="1199" t="n"/>
      <c r="AH79" s="5612" t="n"/>
      <c r="AI79" s="5611" t="n"/>
      <c r="AJ79" s="11602" t="n"/>
      <c r="AK79" s="11602">
        <f>OR(AB75&lt;&gt;"",AB77&lt;&gt;"",AB80&lt;&gt;"",AH75&lt;&gt;"",AH77&lt;&gt;"", AH80&lt;&gt;"",AB81&lt;&gt;"",X112&lt;&gt;"",X118&lt;&gt;"")</f>
        <v/>
      </c>
      <c r="AL79" s="11602" t="n"/>
      <c r="AM79" s="11602" t="n"/>
      <c r="AN79" s="11602" t="n"/>
      <c r="AO79" s="11602" t="n"/>
      <c r="AP79" s="851" t="n"/>
      <c r="AQ79" s="658" t="n"/>
      <c r="AR79" s="658" t="n"/>
      <c r="AS79" s="658" t="n"/>
      <c r="AT79" s="658" t="n"/>
      <c r="AU79" s="658" t="n"/>
      <c r="AV79" s="658" t="n"/>
      <c r="AW79" s="658" t="n"/>
      <c r="AX79" s="658" t="n"/>
      <c r="AY79" s="658" t="n"/>
      <c r="AZ79" s="658" t="n"/>
    </row>
    <row r="80" ht="13.5" customHeight="1" s="7635" thickBot="1">
      <c r="A80" s="139" t="n"/>
      <c r="B80" s="88" t="n"/>
      <c r="C80" s="228" t="n"/>
      <c r="D80" s="2449" t="inlineStr">
        <is>
          <t>farming). See instructions for other income to report or if you are a minister or member of a religious order</t>
        </is>
      </c>
      <c r="E80" s="88" t="n"/>
      <c r="F80" s="88" t="n"/>
      <c r="G80" s="88" t="n"/>
      <c r="H80" s="88" t="n"/>
      <c r="I80" s="88" t="n"/>
      <c r="J80" s="88" t="n"/>
      <c r="K80" s="88" t="n"/>
      <c r="L80" s="88" t="n"/>
      <c r="M80" s="88" t="n"/>
      <c r="N80" s="88" t="n"/>
      <c r="O80" s="88" t="n"/>
      <c r="P80" s="88" t="n"/>
      <c r="Q80" s="88" t="n"/>
      <c r="R80" s="88" t="n"/>
      <c r="S80" s="88" t="n"/>
      <c r="T80" s="88" t="n"/>
      <c r="U80" s="88" t="n"/>
      <c r="V80" s="5445" t="n"/>
      <c r="W80" s="5450" t="n">
        <v>2</v>
      </c>
      <c r="X80" s="8861">
        <f>IF(AB80&lt;&gt;"",ROUND(AB80,0),IF(NonFarmOptMeth2,"",IF(AND(AJ65,AJ67),SUM(AN93,ROUND(AH80,0)),IF(AJ65,SUM(AL93,ROUND(AH80,0)),IF(AJ67,SUM(AM93,ROUND(AH80,0)),"")))))</f>
        <v/>
      </c>
      <c r="Y80" s="7637" t="n"/>
      <c r="Z80" s="7637" t="n"/>
      <c r="AA80" s="139" t="n"/>
      <c r="AB80" s="811" t="n"/>
      <c r="AC80" s="5613" t="n"/>
      <c r="AD80" s="1197" t="inlineStr">
        <is>
          <t>box 14, code A (other than farming)</t>
        </is>
      </c>
      <c r="AE80" s="380" t="n"/>
      <c r="AF80" s="380" t="n"/>
      <c r="AG80" s="1194" t="n"/>
      <c r="AH80" s="1031" t="n"/>
      <c r="AI80" s="5415" t="n"/>
      <c r="AJ80" s="11602" t="n">
        <v>400</v>
      </c>
      <c r="AK80" s="801" t="n"/>
      <c r="AL80" s="11602" t="n"/>
      <c r="AM80" s="11602" t="n"/>
      <c r="AN80" s="11602" t="n"/>
      <c r="AO80" s="11602" t="n"/>
      <c r="AP80" s="851" t="n"/>
      <c r="AQ80" s="658" t="n"/>
      <c r="AR80" s="658" t="n"/>
      <c r="AS80" s="658" t="n"/>
      <c r="AT80" s="658" t="n"/>
      <c r="AU80" s="658" t="n"/>
      <c r="AV80" s="658" t="n"/>
      <c r="AW80" s="658" t="n"/>
      <c r="AX80" s="658" t="n"/>
      <c r="AY80" s="658" t="n"/>
      <c r="AZ80" s="658" t="n"/>
    </row>
    <row r="81" ht="13.5" customHeight="1" s="7635" thickBot="1">
      <c r="A81" s="139" t="n"/>
      <c r="B81" s="182" t="n"/>
      <c r="C81" s="2975" t="n">
        <v>3</v>
      </c>
      <c r="D81" s="11403" t="inlineStr">
        <is>
          <t xml:space="preserve">Combine lines 1a, 1b, and 2. </t>
        </is>
      </c>
      <c r="E81" s="182" t="n"/>
      <c r="F81" s="182" t="n"/>
      <c r="G81" s="182" t="n"/>
      <c r="H81" s="182" t="n"/>
      <c r="I81" s="182" t="n"/>
      <c r="J81" s="182" t="n"/>
      <c r="K81" s="182" t="n"/>
      <c r="L81" s="182" t="n"/>
      <c r="M81" s="182" t="n"/>
      <c r="N81" s="182" t="n"/>
      <c r="O81" s="182" t="n"/>
      <c r="P81" s="182" t="n"/>
      <c r="Q81" s="182" t="n"/>
      <c r="R81" s="182" t="n"/>
      <c r="S81" s="182" t="n"/>
      <c r="T81" s="182" t="n"/>
      <c r="U81" s="182" t="n"/>
      <c r="V81" s="5445" t="inlineStr">
        <is>
          <t xml:space="preserve">.   .   .   .   .   .   .   .   .   .   .   .   .   .   .   .   .   .   .   .   .   .   .   .   .   .   .   . </t>
        </is>
      </c>
      <c r="W81" s="5447" t="n">
        <v>3</v>
      </c>
      <c r="X81" s="8861">
        <f>IF(AB81&lt;&gt;"",ROUND(AB81,0),SUM(X75,X77,X80))</f>
        <v/>
      </c>
      <c r="Y81" s="7637" t="n"/>
      <c r="Z81" s="7637" t="n"/>
      <c r="AA81" s="144" t="n"/>
      <c r="AB81" s="811" t="n"/>
      <c r="AC81" s="5415" t="n"/>
      <c r="AD81" s="5415" t="n"/>
      <c r="AE81" s="5415" t="n"/>
      <c r="AF81" s="5415" t="n"/>
      <c r="AG81" s="5415" t="n"/>
      <c r="AH81" s="5415" t="n"/>
      <c r="AI81" s="5614" t="n"/>
      <c r="AJ81" s="11602" t="n">
        <v>434</v>
      </c>
      <c r="AK81" s="851" t="n"/>
      <c r="AL81" s="851" t="n"/>
      <c r="AM81" s="851" t="n"/>
      <c r="AN81" s="851" t="n"/>
      <c r="AO81" s="851" t="n"/>
      <c r="AP81" s="851" t="n"/>
      <c r="AQ81" s="658" t="n"/>
      <c r="AR81" s="658" t="n"/>
      <c r="AS81" s="658" t="n"/>
      <c r="AT81" s="658" t="n"/>
      <c r="AU81" s="658" t="n"/>
      <c r="AV81" s="658" t="n"/>
      <c r="AW81" s="658" t="n"/>
      <c r="AX81" s="658" t="n"/>
      <c r="AY81" s="658" t="n"/>
      <c r="AZ81" s="658" t="n"/>
    </row>
    <row r="82" ht="13.5" customHeight="1" s="7635" thickBot="1">
      <c r="A82" s="139" t="n"/>
      <c r="B82" s="88" t="n"/>
      <c r="C82" s="7831" t="inlineStr">
        <is>
          <t>4a</t>
        </is>
      </c>
      <c r="D82" s="88">
        <f>"If line 3 is more than zero, multiply line 3 by "&amp;TEXT(AJ82,"0.00%")&amp;" ("&amp;TEXT(AJ82,"0.0000")&amp;")."</f>
        <v/>
      </c>
      <c r="E82" s="226" t="n"/>
      <c r="F82" s="88" t="n"/>
      <c r="G82" s="88" t="n"/>
      <c r="H82" s="88" t="n"/>
      <c r="I82" s="11403" t="n"/>
      <c r="J82" s="88" t="n"/>
      <c r="K82" s="88" t="n"/>
      <c r="L82" s="88" t="n"/>
      <c r="M82" s="88" t="n"/>
      <c r="N82" s="11403" t="inlineStr">
        <is>
          <t>Otherwise, enter the amount from line 3</t>
        </is>
      </c>
      <c r="O82" s="88" t="n"/>
      <c r="P82" s="11403" t="n"/>
      <c r="Q82" s="88" t="n"/>
      <c r="R82" s="88" t="n"/>
      <c r="S82" s="88" t="n"/>
      <c r="T82" s="88" t="n"/>
      <c r="U82" s="88" t="n"/>
      <c r="V82" s="88" t="n"/>
      <c r="W82" s="5488" t="n"/>
      <c r="X82" s="8939" t="n"/>
      <c r="Y82" s="7839" t="n"/>
      <c r="Z82" s="7839" t="n"/>
      <c r="AA82" s="139" t="n"/>
      <c r="AB82" s="5615" t="n"/>
      <c r="AC82" s="5415" t="n"/>
      <c r="AD82" s="8897">
        <f>IF(AN95,"NOTE: Statutory Employee profit/loss from Sch. C."&amp;CHAR(10)&amp;"has been excluded from Line 2.  See IRS instructions.","")</f>
        <v/>
      </c>
      <c r="AI82" s="5415" t="n"/>
      <c r="AJ82" s="11602" t="n">
        <v>0.9235</v>
      </c>
      <c r="AK82" s="851">
        <f>IF(AND(X83&lt;AJ80,X77&lt;&gt;""),SUM(X75,X80),0)</f>
        <v/>
      </c>
      <c r="AL82" s="851" t="n"/>
      <c r="AM82" s="851" t="n"/>
      <c r="AN82" s="851" t="n"/>
      <c r="AO82" s="851" t="n"/>
      <c r="AP82" s="1193" t="n"/>
      <c r="AQ82" s="658" t="n"/>
      <c r="AR82" s="658" t="n"/>
      <c r="AS82" s="658" t="n"/>
      <c r="AT82" s="658" t="n"/>
      <c r="AU82" s="658" t="n"/>
      <c r="AV82" s="658" t="n"/>
      <c r="AW82" s="658" t="n"/>
      <c r="AX82" s="658" t="n"/>
      <c r="AY82" s="658" t="n"/>
      <c r="AZ82" s="658" t="n"/>
    </row>
    <row r="83" ht="13.5" customHeight="1" s="7635" thickBot="1">
      <c r="A83" s="139" t="n"/>
      <c r="B83" s="226" t="inlineStr">
        <is>
          <t>Note:</t>
        </is>
      </c>
      <c r="C83" s="11403" t="n"/>
      <c r="D83" s="11403">
        <f>"If line 4a is less than "&amp;TEXT(AJ80,"$0")&amp;" due to Conservation Reserve Program payments on line 1b, see instructions"</f>
        <v/>
      </c>
      <c r="E83" s="226" t="n"/>
      <c r="F83" s="11403" t="n"/>
      <c r="G83" s="88" t="n"/>
      <c r="H83" s="88" t="n"/>
      <c r="I83" s="88" t="n"/>
      <c r="J83" s="88" t="n"/>
      <c r="K83" s="88" t="n"/>
      <c r="L83" s="88" t="n"/>
      <c r="M83" s="88" t="n"/>
      <c r="N83" s="88" t="n"/>
      <c r="O83" s="88" t="n"/>
      <c r="P83" s="88" t="n"/>
      <c r="Q83" s="88" t="n"/>
      <c r="R83" s="88" t="n"/>
      <c r="S83" s="88" t="n"/>
      <c r="T83" s="88" t="n"/>
      <c r="U83" s="5445" t="n"/>
      <c r="V83" s="5616" t="inlineStr">
        <is>
          <t xml:space="preserve">.  . </t>
        </is>
      </c>
      <c r="W83" s="5450" t="inlineStr">
        <is>
          <t>4a</t>
        </is>
      </c>
      <c r="X83" s="8837">
        <f>IF(AB83&lt;&gt;"",ROUND(AB83,0),IF(X81&gt;0,ROUND((X81*AJ82),0),X81))</f>
        <v/>
      </c>
      <c r="Y83" s="7637" t="n"/>
      <c r="Z83" s="7637" t="n"/>
      <c r="AA83" s="139" t="n"/>
      <c r="AB83" s="811" t="n"/>
      <c r="AC83" s="5415" t="n"/>
      <c r="AI83" s="5415" t="n"/>
      <c r="AJ83" s="5617" t="n">
        <v>137700</v>
      </c>
      <c r="AK83" s="11602">
        <f>AND(S88&lt;&gt;"",S88&gt;0)</f>
        <v/>
      </c>
      <c r="AL83" s="11602" t="n"/>
      <c r="AM83" s="11602" t="n"/>
      <c r="AN83" s="851" t="n"/>
      <c r="AO83" s="851" t="n"/>
      <c r="AP83" s="11602" t="n"/>
      <c r="AQ83" s="658" t="n"/>
      <c r="AR83" s="658" t="n"/>
      <c r="AS83" s="658" t="n"/>
      <c r="AT83" s="658" t="n"/>
      <c r="AU83" s="658" t="n"/>
      <c r="AV83" s="658" t="n"/>
      <c r="AW83" s="658" t="n"/>
      <c r="AX83" s="658" t="n"/>
      <c r="AY83" s="658" t="n"/>
      <c r="AZ83" s="658" t="n"/>
    </row>
    <row r="84">
      <c r="A84" s="139" t="n"/>
      <c r="B84" s="88" t="n"/>
      <c r="C84" s="228" t="inlineStr">
        <is>
          <t>b</t>
        </is>
      </c>
      <c r="D84" s="11403" t="inlineStr">
        <is>
          <t>If you elect one or both of the optional methods, enter the total of lines 15 and 17 here</t>
        </is>
      </c>
      <c r="E84" s="226" t="n"/>
      <c r="F84" s="88" t="n"/>
      <c r="G84" s="88" t="n"/>
      <c r="H84" s="88" t="n"/>
      <c r="I84" s="88" t="n"/>
      <c r="J84" s="88" t="n"/>
      <c r="K84" s="88" t="n"/>
      <c r="L84" s="88" t="n"/>
      <c r="M84" s="88" t="n"/>
      <c r="N84" s="88" t="n"/>
      <c r="O84" s="88" t="n"/>
      <c r="P84" s="88" t="n"/>
      <c r="Q84" s="88" t="n"/>
      <c r="R84" s="88" t="n"/>
      <c r="S84" s="88" t="n"/>
      <c r="T84" s="88" t="n"/>
      <c r="U84" s="5445" t="n"/>
      <c r="V84" s="5445" t="inlineStr">
        <is>
          <t xml:space="preserve">.   .   .   .   .   .   .   . </t>
        </is>
      </c>
      <c r="W84" s="5450" t="inlineStr">
        <is>
          <t>4b</t>
        </is>
      </c>
      <c r="X84" s="8837">
        <f>IF(OR(FarmOptMeth2,NonFarmOptMeth2),SUM(X112,X118),"")</f>
        <v/>
      </c>
      <c r="Y84" s="7637" t="n"/>
      <c r="Z84" s="7637" t="n"/>
      <c r="AA84" s="139" t="n"/>
      <c r="AB84" s="5618">
        <f>IF(AK84,"IF line 4c is &lt;"&amp;TEXT(AJ80,"$0")&amp;",","")</f>
        <v/>
      </c>
      <c r="AC84" s="5415" t="n"/>
      <c r="AD84" s="5415" t="n"/>
      <c r="AE84" s="5415" t="n"/>
      <c r="AF84" s="5415" t="n"/>
      <c r="AG84" s="5415" t="n"/>
      <c r="AH84" s="5415" t="n"/>
      <c r="AI84" s="5415" t="n"/>
      <c r="AJ84" s="11602" t="n">
        <v>0.029</v>
      </c>
      <c r="AK84" s="851">
        <f>AND(NOT(AK83),SUM(X83,X84)&lt;AJ80)</f>
        <v/>
      </c>
      <c r="AL84" s="1193" t="inlineStr">
        <is>
          <t>No CEI and 4c&lt;$400</t>
        </is>
      </c>
      <c r="AM84" s="851" t="n"/>
      <c r="AN84" s="1193" t="n"/>
      <c r="AO84" s="1193" t="n"/>
      <c r="AP84" s="11602" t="n"/>
      <c r="AQ84" s="658" t="n"/>
      <c r="AR84" s="658" t="n"/>
      <c r="AS84" s="658" t="n"/>
      <c r="AT84" s="658" t="n"/>
      <c r="AU84" s="658" t="n"/>
      <c r="AV84" s="658" t="n"/>
      <c r="AW84" s="658" t="n"/>
      <c r="AX84" s="658" t="n"/>
      <c r="AY84" s="658" t="n"/>
      <c r="AZ84" s="658" t="n"/>
    </row>
    <row r="85">
      <c r="A85" s="139" t="n"/>
      <c r="B85" s="88" t="n"/>
      <c r="C85" s="228" t="inlineStr">
        <is>
          <t>c</t>
        </is>
      </c>
      <c r="D85" s="11403">
        <f>"Combine  lines 4a and 4b. If less than "&amp;TEXT(AJ80,"$0")&amp;","</f>
        <v/>
      </c>
      <c r="E85" s="226" t="n"/>
      <c r="F85" s="88" t="n"/>
      <c r="G85" s="88" t="n"/>
      <c r="H85" s="88" t="n"/>
      <c r="I85" s="88" t="n"/>
      <c r="J85" s="88" t="n"/>
      <c r="K85" s="11403" t="inlineStr">
        <is>
          <t>stop; you don’t owe self-employment tax. Exception: If</t>
        </is>
      </c>
      <c r="L85" s="88" t="n"/>
      <c r="M85" s="88" t="n"/>
      <c r="N85" s="88" t="n"/>
      <c r="O85" s="88" t="n"/>
      <c r="P85" s="88" t="n"/>
      <c r="Q85" s="88" t="n"/>
      <c r="R85" s="88" t="n"/>
      <c r="S85" s="88" t="n"/>
      <c r="T85" s="88" t="n"/>
      <c r="U85" s="5445" t="n"/>
      <c r="V85" s="5445" t="n"/>
      <c r="W85" s="5619" t="n"/>
      <c r="X85" s="8872" t="n"/>
      <c r="AA85" s="139" t="n"/>
      <c r="AB85" s="5618">
        <f>IF(AK84,"STOP you don't owe","")</f>
        <v/>
      </c>
      <c r="AC85" s="11602" t="n"/>
      <c r="AD85" s="11602" t="n"/>
      <c r="AE85" s="11602" t="n"/>
      <c r="AF85" s="11602" t="n"/>
      <c r="AG85" s="11602" t="n"/>
      <c r="AH85" s="11602" t="n"/>
      <c r="AI85" s="11602" t="n"/>
      <c r="AJ85" s="740" t="n">
        <v>16479.6</v>
      </c>
      <c r="AK85" s="1193">
        <f>AND(ChurchEmployeeInc2,SUM(X83,X84)&lt;AJ80)</f>
        <v/>
      </c>
      <c r="AL85" s="1193" t="inlineStr">
        <is>
          <t>CEI and 4c&lt;$400</t>
        </is>
      </c>
      <c r="AM85" s="1193" t="n"/>
      <c r="AN85" s="11602" t="n"/>
      <c r="AO85" s="11602" t="n"/>
      <c r="AP85" s="11602" t="n"/>
      <c r="AQ85" s="658" t="n"/>
      <c r="AR85" s="658" t="n"/>
      <c r="AS85" s="658" t="n"/>
      <c r="AT85" s="658" t="n"/>
      <c r="AU85" s="658" t="n"/>
      <c r="AV85" s="658" t="n"/>
      <c r="AW85" s="658" t="n"/>
      <c r="AX85" s="658" t="n"/>
      <c r="AY85" s="658" t="n"/>
      <c r="AZ85" s="658" t="n"/>
    </row>
    <row r="86">
      <c r="A86" s="139" t="n"/>
      <c r="B86" s="88" t="n"/>
      <c r="C86" s="228" t="n"/>
      <c r="D86" s="11403">
        <f>"less than "&amp;TEXT(AJ80,"$0")&amp;" and"</f>
        <v/>
      </c>
      <c r="E86" s="226" t="n"/>
      <c r="F86" s="88" t="n"/>
      <c r="G86" s="11403" t="inlineStr">
        <is>
          <t>you had church employee income, enter -0- and continue</t>
        </is>
      </c>
      <c r="H86" s="88" t="n"/>
      <c r="I86" s="88" t="n"/>
      <c r="J86" s="88" t="n"/>
      <c r="K86" s="88" t="n"/>
      <c r="L86" s="88" t="n"/>
      <c r="M86" s="88" t="n"/>
      <c r="N86" s="88" t="n"/>
      <c r="O86" s="88" t="n"/>
      <c r="P86" s="88" t="n"/>
      <c r="Q86" s="88" t="n"/>
      <c r="R86" s="88" t="n"/>
      <c r="S86" s="88" t="n"/>
      <c r="T86" s="88" t="n"/>
      <c r="U86" s="5445" t="n"/>
      <c r="V86" s="5445" t="inlineStr">
        <is>
          <t xml:space="preserve">.   .   .   .   .   .   .   .   .   .   . </t>
        </is>
      </c>
      <c r="W86" s="5450" t="inlineStr">
        <is>
          <t>4c</t>
        </is>
      </c>
      <c r="X86" s="8837">
        <f>IF(AK85,0,SUM(X83,X84))</f>
        <v/>
      </c>
      <c r="Y86" s="7637" t="n"/>
      <c r="Z86" s="7637" t="n"/>
      <c r="AA86" s="139" t="n"/>
      <c r="AB86" s="5618">
        <f>IF(AK84,"self employment tax.","")</f>
        <v/>
      </c>
      <c r="AC86" s="11602" t="n"/>
      <c r="AD86" s="11602" t="n"/>
      <c r="AE86" s="11602" t="n"/>
      <c r="AF86" s="11602" t="n"/>
      <c r="AG86" s="11602" t="n"/>
      <c r="AH86" s="11602" t="n"/>
      <c r="AI86" s="11602" t="n"/>
      <c r="AJ86" s="11602" t="n">
        <v>0.153</v>
      </c>
      <c r="AK86" s="11602" t="n"/>
      <c r="AL86" s="11602" t="n"/>
      <c r="AM86" s="11602" t="n"/>
      <c r="AN86" s="11602" t="n"/>
      <c r="AO86" s="11602" t="n"/>
      <c r="AP86" s="11602" t="n"/>
      <c r="AQ86" s="658" t="n"/>
      <c r="AR86" s="658" t="n"/>
      <c r="AS86" s="658" t="n"/>
      <c r="AT86" s="658" t="n"/>
      <c r="AU86" s="658" t="n"/>
      <c r="AV86" s="658" t="n"/>
      <c r="AW86" s="658" t="n"/>
      <c r="AX86" s="658" t="n"/>
      <c r="AY86" s="658" t="n"/>
      <c r="AZ86" s="658" t="n"/>
    </row>
    <row r="87">
      <c r="A87" s="139" t="n"/>
      <c r="B87" s="88" t="n"/>
      <c r="C87" s="7831" t="inlineStr">
        <is>
          <t>5a</t>
        </is>
      </c>
      <c r="D87" s="11403" t="inlineStr">
        <is>
          <t>Enter your  church employee income  from Form W-2.</t>
        </is>
      </c>
      <c r="E87" s="226" t="n"/>
      <c r="F87" s="88" t="n"/>
      <c r="G87" s="88" t="n"/>
      <c r="H87" s="88" t="n"/>
      <c r="I87" s="88" t="n"/>
      <c r="J87" s="88" t="n"/>
      <c r="K87" s="88" t="n"/>
      <c r="L87" s="88" t="inlineStr">
        <is>
          <t>See instructions for</t>
        </is>
      </c>
      <c r="M87" s="88" t="n"/>
      <c r="N87" s="88" t="n"/>
      <c r="O87" s="88" t="n"/>
      <c r="P87" s="88" t="n"/>
      <c r="Q87" s="88" t="n"/>
      <c r="R87" s="5620" t="n"/>
      <c r="S87" s="88" t="n"/>
      <c r="T87" s="88" t="n"/>
      <c r="U87" s="5445" t="n"/>
      <c r="V87" s="5445" t="n"/>
      <c r="W87" s="5619" t="n"/>
      <c r="X87" s="8919" t="n"/>
      <c r="Y87" s="7839" t="n"/>
      <c r="Z87" s="7839" t="n"/>
      <c r="AA87" s="139" t="n"/>
      <c r="AB87" s="5614" t="n"/>
      <c r="AC87" s="11602" t="n"/>
      <c r="AD87" s="11602" t="n"/>
      <c r="AE87" s="11602" t="n"/>
      <c r="AF87" s="11602" t="n"/>
      <c r="AG87" s="11602" t="n"/>
      <c r="AH87" s="11602" t="n"/>
      <c r="AI87" s="11602" t="n"/>
      <c r="AJ87" s="11602" t="n">
        <v>0.062</v>
      </c>
      <c r="AK87" s="11602" t="n"/>
      <c r="AL87" s="11602" t="n"/>
      <c r="AM87" s="11602" t="n"/>
      <c r="AN87" s="11602" t="n"/>
      <c r="AO87" s="11602" t="n"/>
      <c r="AP87" s="11602" t="n"/>
      <c r="AQ87" s="658" t="n"/>
      <c r="AR87" s="658" t="n"/>
      <c r="AS87" s="658" t="n"/>
      <c r="AT87" s="658" t="n"/>
      <c r="AU87" s="658" t="n"/>
      <c r="AV87" s="658" t="n"/>
      <c r="AW87" s="658" t="n"/>
      <c r="AX87" s="658" t="n"/>
      <c r="AY87" s="658" t="n"/>
      <c r="AZ87" s="658" t="n"/>
    </row>
    <row r="88">
      <c r="A88" s="139" t="n"/>
      <c r="B88" s="88" t="n"/>
      <c r="C88" s="228" t="n"/>
      <c r="D88" s="11403" t="inlineStr">
        <is>
          <t>definition of church employee income</t>
        </is>
      </c>
      <c r="E88" s="226" t="n"/>
      <c r="F88" s="88" t="n"/>
      <c r="G88" s="88" t="n"/>
      <c r="H88" s="88" t="n"/>
      <c r="I88" s="88" t="n"/>
      <c r="J88" s="88" t="n"/>
      <c r="K88" s="88" t="n"/>
      <c r="L88" s="88" t="n"/>
      <c r="M88" s="88" t="n"/>
      <c r="N88" s="88" t="n"/>
      <c r="O88" s="88" t="n"/>
      <c r="P88" s="88" t="n"/>
      <c r="Q88" s="5445" t="inlineStr">
        <is>
          <t xml:space="preserve">.   .   .   .   .   .   .   .   .   .   .   .   .   .   .   .   . </t>
        </is>
      </c>
      <c r="R88" s="5521" t="inlineStr">
        <is>
          <t>5a</t>
        </is>
      </c>
      <c r="S88" s="12212" t="n"/>
      <c r="T88" s="11717" t="n"/>
      <c r="U88" s="11717" t="n"/>
      <c r="V88" s="11718" t="n"/>
      <c r="W88" s="5619" t="n"/>
      <c r="X88" s="8840">
        <f>ROUND(S88,0)</f>
        <v/>
      </c>
      <c r="AA88" s="139" t="n"/>
      <c r="AB88" s="5614" t="n"/>
      <c r="AC88" s="11602" t="n"/>
      <c r="AD88" s="11602" t="n"/>
      <c r="AE88" s="11602" t="n"/>
      <c r="AF88" s="11602" t="n"/>
      <c r="AG88" s="11602" t="n"/>
      <c r="AH88" s="11602" t="n"/>
      <c r="AI88" s="11602" t="n"/>
      <c r="AJ88" s="11602" t="n">
        <v>0.0765</v>
      </c>
      <c r="AK88" s="11602" t="n"/>
      <c r="AL88" s="11602" t="n"/>
      <c r="AM88" s="11602" t="n"/>
      <c r="AN88" s="11602" t="n"/>
      <c r="AO88" s="11602" t="n"/>
      <c r="AP88" s="11602" t="n"/>
      <c r="AQ88" s="658" t="n"/>
      <c r="AR88" s="658" t="n"/>
      <c r="AS88" s="658" t="n"/>
      <c r="AT88" s="658" t="n"/>
      <c r="AU88" s="658" t="n"/>
      <c r="AV88" s="658" t="n"/>
      <c r="AW88" s="658" t="n"/>
      <c r="AX88" s="658" t="n"/>
      <c r="AY88" s="658" t="n"/>
      <c r="AZ88" s="658" t="n"/>
    </row>
    <row r="89" ht="13.5" customHeight="1" s="7635" thickBot="1">
      <c r="A89" s="139" t="n"/>
      <c r="B89" s="88" t="n"/>
      <c r="C89" s="228" t="inlineStr">
        <is>
          <t>b</t>
        </is>
      </c>
      <c r="D89" s="11403">
        <f>"Multiply line 5a by "&amp;TEXT(AC89,"0.00%")&amp;" ("&amp;TEXT(AC89,"0.0000")&amp;"). If less than "&amp;TEXT(AC90,"$0")&amp;", enter -0-"</f>
        <v/>
      </c>
      <c r="E89" s="226" t="n"/>
      <c r="F89" s="88" t="n"/>
      <c r="G89" s="88" t="n"/>
      <c r="H89" s="88" t="n"/>
      <c r="I89" s="88" t="n"/>
      <c r="J89" s="88" t="n"/>
      <c r="K89" s="88" t="n"/>
      <c r="L89" s="88" t="n"/>
      <c r="M89" s="88" t="n"/>
      <c r="N89" s="88" t="n"/>
      <c r="O89" s="88" t="n"/>
      <c r="P89" s="88" t="n"/>
      <c r="Q89" s="441" t="n"/>
      <c r="R89" s="441" t="n"/>
      <c r="S89" s="5622" t="n"/>
      <c r="T89" s="5622" t="n"/>
      <c r="U89" s="5622" t="n"/>
      <c r="V89" s="5445" t="inlineStr">
        <is>
          <t xml:space="preserve">.   .   .   .   .   .   .   .   .   .   .   .   .   .   .   .   . </t>
        </is>
      </c>
      <c r="W89" s="5623" t="inlineStr">
        <is>
          <t>5b</t>
        </is>
      </c>
      <c r="X89" s="8835">
        <f>IF(ChurchEmployeeIncome2="","",IF(ROUND(X88*S89,0)&lt;Q89,0,ROUND(X88*S89,0)))</f>
        <v/>
      </c>
      <c r="Y89" s="8848" t="n"/>
      <c r="Z89" s="8848" t="n"/>
      <c r="AA89" s="139" t="n"/>
      <c r="AB89" s="5614" t="n"/>
      <c r="AC89" s="8914" t="n">
        <v>0.9235</v>
      </c>
      <c r="AE89" s="11602" t="n"/>
      <c r="AF89" s="11602" t="n"/>
      <c r="AG89" s="11602" t="n"/>
      <c r="AH89" s="11602" t="n"/>
      <c r="AI89" s="11602" t="n"/>
      <c r="AJ89" s="11602" t="n"/>
      <c r="AK89" s="1061" t="n"/>
      <c r="AL89" s="5625" t="n"/>
      <c r="AM89" s="5625" t="n"/>
      <c r="AN89" s="5625" t="n"/>
      <c r="AO89" s="11602" t="n"/>
      <c r="AP89" s="7957" t="n"/>
      <c r="AQ89" s="658" t="n"/>
      <c r="AR89" s="658" t="n"/>
      <c r="AS89" s="658" t="n"/>
      <c r="AT89" s="658" t="n"/>
      <c r="AU89" s="658" t="n"/>
      <c r="AV89" s="658" t="n"/>
      <c r="AW89" s="658" t="n"/>
      <c r="AX89" s="658" t="n"/>
      <c r="AY89" s="658" t="n"/>
      <c r="AZ89" s="658" t="n"/>
    </row>
    <row r="90" ht="12.75" customHeight="1" s="7635" thickBot="1">
      <c r="A90" s="139" t="n"/>
      <c r="B90" s="88" t="n"/>
      <c r="C90" s="7831" t="n">
        <v>6</v>
      </c>
      <c r="D90" s="11403" t="inlineStr">
        <is>
          <t>Add lines 4c and 5b</t>
        </is>
      </c>
      <c r="E90" s="226" t="n"/>
      <c r="F90" s="88" t="n"/>
      <c r="G90" s="88" t="n"/>
      <c r="H90" s="88" t="n"/>
      <c r="I90" s="88" t="n"/>
      <c r="J90" s="88" t="n"/>
      <c r="K90" s="88" t="n"/>
      <c r="L90" s="88" t="n"/>
      <c r="M90" s="88" t="n"/>
      <c r="N90" s="88" t="n"/>
      <c r="O90" s="88" t="n"/>
      <c r="P90" s="88" t="n"/>
      <c r="Q90" s="88" t="n"/>
      <c r="R90" s="88" t="n"/>
      <c r="S90" s="88" t="n"/>
      <c r="T90" s="88" t="n"/>
      <c r="U90" s="5445" t="n"/>
      <c r="V90" s="5445" t="inlineStr">
        <is>
          <t xml:space="preserve">.   .   .   .   .   .   .   .   .   .   .   .   .   .   .   .   .   .   .   .   .   .   .   .   .   .   .   .   .   .   . </t>
        </is>
      </c>
      <c r="W90" s="5450" t="n">
        <v>6</v>
      </c>
      <c r="X90" s="8837">
        <f>IF(AB90&lt;&gt;"",ROUND(AB90,0),IF(AK84,"",SUM(X86,X89)))</f>
        <v/>
      </c>
      <c r="Y90" s="7637" t="n"/>
      <c r="Z90" s="7637" t="n"/>
      <c r="AA90" s="139" t="n"/>
      <c r="AB90" s="811" t="n"/>
      <c r="AC90" s="8915" t="n">
        <v>100</v>
      </c>
      <c r="AE90" s="11602" t="n"/>
      <c r="AF90" s="11602" t="n"/>
      <c r="AG90" s="11602" t="n"/>
      <c r="AH90" s="11602" t="n"/>
      <c r="AI90" s="11602" t="n"/>
      <c r="AJ90" s="405" t="n"/>
      <c r="AK90" s="406" t="n"/>
      <c r="AL90" s="11165" t="inlineStr">
        <is>
          <t>You</t>
        </is>
      </c>
      <c r="AM90" s="7935" t="inlineStr">
        <is>
          <t>Spouse</t>
        </is>
      </c>
      <c r="AN90" s="406" t="n"/>
      <c r="AO90" s="7936" t="n"/>
      <c r="AP90" s="5625" t="n"/>
      <c r="AQ90" s="658" t="n"/>
      <c r="AR90" s="658" t="n"/>
      <c r="AS90" s="658" t="n"/>
      <c r="AT90" s="658" t="n"/>
      <c r="AU90" s="658" t="n"/>
      <c r="AV90" s="658" t="n"/>
      <c r="AW90" s="658" t="n"/>
      <c r="AX90" s="658" t="n"/>
      <c r="AY90" s="658" t="n"/>
      <c r="AZ90" s="658" t="n"/>
    </row>
    <row r="91" ht="13.5" customHeight="1" s="7635" thickBot="1">
      <c r="A91" s="139" t="n"/>
      <c r="B91" s="88" t="n"/>
      <c r="C91" s="7831" t="n">
        <v>7</v>
      </c>
      <c r="D91" s="11403" t="inlineStr">
        <is>
          <t>Maximum amount of combined wages and self-employment earnings subject to social security tax or</t>
        </is>
      </c>
      <c r="E91" s="226" t="n"/>
      <c r="F91" s="88" t="n"/>
      <c r="G91" s="88" t="n"/>
      <c r="H91" s="88" t="n"/>
      <c r="I91" s="88" t="n"/>
      <c r="J91" s="88" t="n"/>
      <c r="K91" s="88" t="n"/>
      <c r="L91" s="88" t="n"/>
      <c r="M91" s="88" t="n"/>
      <c r="N91" s="88" t="n"/>
      <c r="O91" s="88" t="n"/>
      <c r="P91" s="88" t="n"/>
      <c r="Q91" s="88" t="n"/>
      <c r="R91" s="88" t="n"/>
      <c r="S91" s="88" t="n"/>
      <c r="T91" s="88" t="n"/>
      <c r="U91" s="5445" t="n"/>
      <c r="V91" s="5445" t="n"/>
      <c r="W91" s="5619" t="n"/>
      <c r="X91" s="12213">
        <f>MaxSSTaxEarnings</f>
        <v/>
      </c>
      <c r="Y91" s="7839" t="n"/>
      <c r="Z91" s="7839" t="n"/>
      <c r="AA91" s="139" t="n"/>
      <c r="AB91" s="5426" t="n"/>
      <c r="AC91" s="807" t="n"/>
      <c r="AD91" s="11602" t="n"/>
      <c r="AE91" s="11602" t="n"/>
      <c r="AG91" s="11602" t="n"/>
      <c r="AH91" s="7957" t="n"/>
      <c r="AI91" s="7957" t="n"/>
      <c r="AJ91" s="8977" t="inlineStr">
        <is>
          <t>Line</t>
        </is>
      </c>
      <c r="AK91" s="7914" t="inlineStr">
        <is>
          <t>Source</t>
        </is>
      </c>
      <c r="AL91" s="12214">
        <f>SS_Yours</f>
        <v/>
      </c>
      <c r="AM91" s="12214">
        <f>SS_Spouse</f>
        <v/>
      </c>
      <c r="AN91" s="7957" t="inlineStr">
        <is>
          <t>BOTH</t>
        </is>
      </c>
      <c r="AO91" s="7958" t="n"/>
      <c r="AP91" s="5625" t="n"/>
      <c r="AQ91" s="658" t="n"/>
      <c r="AR91" s="658" t="n"/>
      <c r="AS91" s="658" t="n"/>
      <c r="AT91" s="658" t="n"/>
      <c r="AU91" s="658" t="n"/>
      <c r="AV91" s="658" t="n"/>
      <c r="AW91" s="658" t="n"/>
      <c r="AX91" s="658" t="n"/>
      <c r="AY91" s="658" t="n"/>
      <c r="AZ91" s="658" t="n"/>
    </row>
    <row r="92" ht="12" customHeight="1" s="7635">
      <c r="A92" s="139" t="n"/>
      <c r="B92" s="88" t="n"/>
      <c r="C92" s="228" t="n"/>
      <c r="D92" s="11403">
        <f>"the "&amp;TEXT(AJ87,"0.0%")&amp;" portion of the "&amp;TEXT(AJ88,"0.00%")&amp;" railroad retirement (tier 1) tax for "&amp;TaxYear</f>
        <v/>
      </c>
      <c r="E92" s="226" t="n"/>
      <c r="F92" s="88" t="n"/>
      <c r="G92" s="88" t="n"/>
      <c r="H92" s="88" t="n"/>
      <c r="I92" s="88" t="n"/>
      <c r="J92" s="88" t="n"/>
      <c r="K92" s="88" t="n"/>
      <c r="L92" s="88" t="n"/>
      <c r="M92" s="88" t="n"/>
      <c r="N92" s="88" t="n"/>
      <c r="O92" s="88" t="n"/>
      <c r="P92" s="8839">
        <f>AND(X90&lt;&gt;"",X90&gt;0,NOT(AJ65),NOT(AJ67))</f>
        <v/>
      </c>
      <c r="R92" s="88" t="n"/>
      <c r="S92" s="8834">
        <f>IF(P92,"Identify above","")</f>
        <v/>
      </c>
      <c r="V92" s="7636" t="n"/>
      <c r="W92" s="5450" t="n">
        <v>7</v>
      </c>
      <c r="X92" s="3614" t="n"/>
      <c r="Y92" s="7637" t="n"/>
      <c r="Z92" s="7637" t="n"/>
      <c r="AA92" s="139" t="n"/>
      <c r="AB92" s="5426" t="n"/>
      <c r="AC92" s="11602" t="n"/>
      <c r="AD92" s="11602" t="n"/>
      <c r="AE92" s="11602" t="n"/>
      <c r="AF92" s="11602" t="n"/>
      <c r="AG92" s="11602" t="n"/>
      <c r="AH92" s="5625" t="n"/>
      <c r="AI92" s="5625" t="n"/>
      <c r="AJ92" s="5627" t="inlineStr">
        <is>
          <t>1a.</t>
        </is>
      </c>
      <c r="AK92" s="344" t="inlineStr">
        <is>
          <t>Sch. F Line 34</t>
        </is>
      </c>
      <c r="AL92" s="5628">
        <f>IF(SchF_SSN=SS_Yours,FarmProfitNet,0)</f>
        <v/>
      </c>
      <c r="AM92" s="5629">
        <f>IF(SchF_SSN=SS_Spouse,FarmProfitNet,0)</f>
        <v/>
      </c>
      <c r="AN92" s="5630">
        <f>SUM(AL92,AM92)</f>
        <v/>
      </c>
      <c r="AO92" s="5631" t="n"/>
      <c r="AP92" s="5625" t="n"/>
      <c r="AQ92" s="658" t="n"/>
      <c r="AR92" s="658" t="n"/>
      <c r="AS92" s="658" t="n"/>
      <c r="AT92" s="658" t="n"/>
      <c r="AU92" s="658" t="n"/>
      <c r="AV92" s="658" t="n"/>
      <c r="AW92" s="658" t="n"/>
      <c r="AX92" s="658" t="n"/>
      <c r="AY92" s="658" t="n"/>
      <c r="AZ92" s="658" t="n"/>
    </row>
    <row r="93" ht="13.5" customHeight="1" s="7635">
      <c r="A93" s="139" t="n"/>
      <c r="B93" s="88" t="n"/>
      <c r="C93" s="7831" t="inlineStr">
        <is>
          <t>8a</t>
        </is>
      </c>
      <c r="D93" s="11403" t="inlineStr">
        <is>
          <t>Total social security wages and tips (total of boxes 3 and 7 on Form(s) W-2)</t>
        </is>
      </c>
      <c r="E93" s="226" t="n"/>
      <c r="F93" s="88" t="n"/>
      <c r="G93" s="88" t="n"/>
      <c r="H93" s="88" t="n"/>
      <c r="I93" s="88" t="n"/>
      <c r="J93" s="88" t="n"/>
      <c r="K93" s="88" t="n"/>
      <c r="L93" s="88" t="n"/>
      <c r="M93" s="88" t="n"/>
      <c r="N93" s="88" t="n"/>
      <c r="O93" s="88" t="n"/>
      <c r="P93" s="88" t="n"/>
      <c r="Q93" s="88" t="n"/>
      <c r="R93" s="5448" t="n"/>
      <c r="S93" s="12215">
        <f>IF(P92,"for whom this form","")</f>
        <v/>
      </c>
      <c r="V93" s="7636" t="n"/>
      <c r="W93" s="5619" t="n"/>
      <c r="X93" s="8919" t="n"/>
      <c r="Y93" s="7839" t="n"/>
      <c r="Z93" s="7839" t="n"/>
      <c r="AA93" s="139" t="n"/>
      <c r="AB93" s="12216" t="inlineStr">
        <is>
          <t>Railroad retirement 
(tier 1) compensation</t>
        </is>
      </c>
      <c r="AC93" s="807" t="n"/>
      <c r="AD93" s="11602" t="n"/>
      <c r="AE93" s="11602" t="n"/>
      <c r="AG93" s="11602" t="n"/>
      <c r="AH93" s="5625" t="n"/>
      <c r="AI93" s="5625" t="n"/>
      <c r="AJ93" s="5627" t="inlineStr">
        <is>
          <t>2.</t>
        </is>
      </c>
      <c r="AK93" s="1061" t="inlineStr">
        <is>
          <t>Sch. C1 &amp; C2 Line 31</t>
        </is>
      </c>
      <c r="AL93" s="5632">
        <f>IF(AND(NOT(AM124),NOT(AM125),'Sch. C'!M7=SS_Yours,'Sch. C'!M121=SS_Yours,'Sch. C'!Y8,'Sch. C'!Y122),AM123,IF(AND(NOT(AM124),'Sch. C'!M7=SS_Yours,'Sch. C'!Y8),AM121,IF(AND(NOT(AM125),'Sch. C'!M121=SS_Yours,'Sch. C'!Y122),AM122,0)))</f>
        <v/>
      </c>
      <c r="AM93" s="5633">
        <f>IF(AND(NOT(AM124),NOT(AM125),'Sch. C'!M7=SS_Spouse,'Sch. C'!M121=SS_Spouse,'Sch. C'!Y8,'Sch. C'!Y122),AM123,IF(AND(NOT(AM124),'Sch. C'!M7=SS_Spouse,'Sch. C'!Y8),AM121,IF(AND(NOT(AM125),'Sch. C'!M121=SS_Spouse,'Sch. C'!Y122),AM122,0)))</f>
        <v/>
      </c>
      <c r="AN93" s="5634">
        <f>SUM(AL93,AM93)</f>
        <v/>
      </c>
      <c r="AO93" s="5631" t="n"/>
      <c r="AP93" s="11602" t="n"/>
      <c r="AQ93" s="658" t="n"/>
      <c r="AR93" s="658" t="n"/>
      <c r="AS93" s="658" t="n"/>
      <c r="AT93" s="658" t="n"/>
      <c r="AU93" s="658" t="n"/>
      <c r="AV93" s="658" t="n"/>
      <c r="AW93" s="658" t="n"/>
      <c r="AX93" s="658" t="n"/>
      <c r="AY93" s="658" t="n"/>
      <c r="AZ93" s="658" t="n"/>
    </row>
    <row r="94">
      <c r="A94" s="139" t="n"/>
      <c r="B94" s="88" t="n"/>
      <c r="C94" s="228" t="n"/>
      <c r="D94" s="11403">
        <f>"and railroad retirement (tier 1) compensation. If "&amp;TEXT(X91,"$0,000")&amp;" or more, skip lines"</f>
        <v/>
      </c>
      <c r="E94" s="226" t="n"/>
      <c r="F94" s="88" t="n"/>
      <c r="G94" s="88" t="n"/>
      <c r="H94" s="88" t="n"/>
      <c r="I94" s="88" t="n"/>
      <c r="J94" s="88" t="n"/>
      <c r="K94" s="88" t="n"/>
      <c r="L94" s="88" t="n"/>
      <c r="M94" s="88" t="n"/>
      <c r="N94" s="88" t="n"/>
      <c r="O94" s="88" t="n"/>
      <c r="P94" s="88" t="n"/>
      <c r="Q94" s="88" t="n"/>
      <c r="R94" s="5448" t="n"/>
      <c r="S94" s="12217">
        <f>IF(P92,"is being completed.","")</f>
        <v/>
      </c>
      <c r="V94" s="7636" t="n"/>
      <c r="W94" s="5619" t="n"/>
      <c r="X94" s="8872" t="n"/>
      <c r="AA94" s="139" t="n"/>
      <c r="AB94" s="7637" t="n"/>
      <c r="AC94" s="11602" t="n"/>
      <c r="AD94" s="11602" t="n"/>
      <c r="AE94" s="11602" t="n"/>
      <c r="AF94" s="11602" t="n"/>
      <c r="AG94" s="11602" t="n"/>
      <c r="AH94" s="5625" t="n"/>
      <c r="AI94" s="5625" t="n"/>
      <c r="AJ94" s="5627" t="inlineStr">
        <is>
          <t>8a.</t>
        </is>
      </c>
      <c r="AK94" s="344" t="inlineStr">
        <is>
          <t>W-2 SS W&amp;T</t>
        </is>
      </c>
      <c r="AL94" s="5632">
        <f>ROUND(SUM(SocSecWages_You,SocSecTips_You),0)</f>
        <v/>
      </c>
      <c r="AM94" s="5633">
        <f>ROUND(SUM(SocSecWages_Spouse,SocSecTips_Spouse),0)</f>
        <v/>
      </c>
      <c r="AN94" s="5634">
        <f>SUM(AL94,AM94)</f>
        <v/>
      </c>
      <c r="AO94" s="5631" t="n"/>
      <c r="AP94" s="11602" t="n"/>
      <c r="AQ94" s="658" t="n"/>
      <c r="AR94" s="658" t="n"/>
      <c r="AS94" s="658" t="n"/>
      <c r="AT94" s="658" t="n"/>
      <c r="AU94" s="658" t="n"/>
      <c r="AV94" s="658" t="n"/>
      <c r="AW94" s="658" t="n"/>
      <c r="AX94" s="658" t="n"/>
      <c r="AY94" s="658" t="n"/>
      <c r="AZ94" s="658" t="n"/>
    </row>
    <row r="95" ht="13.5" customHeight="1" s="7635" thickBot="1">
      <c r="A95" s="139" t="n"/>
      <c r="B95" s="88" t="n"/>
      <c r="C95" s="228" t="n"/>
      <c r="D95" s="11403" t="inlineStr">
        <is>
          <t>lines 8b through 10, and go to line 11</t>
        </is>
      </c>
      <c r="E95" s="226" t="n"/>
      <c r="F95" s="88" t="n"/>
      <c r="G95" s="88" t="n"/>
      <c r="H95" s="88" t="n"/>
      <c r="I95" s="88" t="n"/>
      <c r="J95" s="88" t="n"/>
      <c r="K95" s="88" t="n"/>
      <c r="L95" s="88" t="n"/>
      <c r="M95" s="88" t="n"/>
      <c r="N95" s="88" t="n"/>
      <c r="O95" s="88" t="n"/>
      <c r="P95" s="88" t="n"/>
      <c r="Q95" s="5445" t="inlineStr">
        <is>
          <t xml:space="preserve">.   .   .   .   .   .   .   .   .   .   .   .   .   .   .   .   . </t>
        </is>
      </c>
      <c r="R95" s="5521" t="inlineStr">
        <is>
          <t>8a</t>
        </is>
      </c>
      <c r="S95" s="12219">
        <f>IF(AK84,"",IF(AND(AJ65,AJ67),SUM(AN94,X95),IF(AJ65,SUM(AL94,X95),IF(AJ67,SUM(AM94,X95),""))))</f>
        <v/>
      </c>
      <c r="T95" s="7637" t="n"/>
      <c r="U95" s="7637" t="n"/>
      <c r="V95" s="7638" t="n"/>
      <c r="W95" s="5619" t="n"/>
      <c r="X95" s="8840">
        <f>IF(AB95="",0,ROUND(AB95,0))</f>
        <v/>
      </c>
      <c r="AA95" s="139" t="n"/>
      <c r="AB95" s="124" t="n"/>
      <c r="AC95" s="11602" t="n"/>
      <c r="AD95" s="11602" t="n"/>
      <c r="AE95" s="724" t="n"/>
      <c r="AF95" s="11602" t="n"/>
      <c r="AG95" s="11602" t="n"/>
      <c r="AH95" s="11602" t="n"/>
      <c r="AI95" s="11602" t="n"/>
      <c r="AJ95" s="408" t="n"/>
      <c r="AK95" s="344" t="inlineStr">
        <is>
          <t>Sch C1 &amp; C2 St Emp</t>
        </is>
      </c>
      <c r="AL95" s="5635">
        <f>OR(AND(SS_Yours='Sch. C'!M7,AM124),AND(SS_Yours='Sch. C'!M121,AM125))</f>
        <v/>
      </c>
      <c r="AM95" s="5636">
        <f>OR(AND(SS_Spouse='Sch. C'!M7,AM124),AND(SS_Spouse='Sch. C'!M121,AM125))</f>
        <v/>
      </c>
      <c r="AN95" s="5637">
        <f>OR(AND(NOT(AND(AJ65,AJ67)),OR(AND(AJ65,AL95),AND(AJ67,AM95))))</f>
        <v/>
      </c>
      <c r="AO95" s="409" t="n"/>
      <c r="AQ95" s="658" t="n"/>
      <c r="AR95" s="658" t="n"/>
      <c r="AS95" s="658" t="n"/>
      <c r="AT95" s="658" t="n"/>
      <c r="AU95" s="658" t="n"/>
      <c r="AV95" s="658" t="n"/>
      <c r="AW95" s="658" t="n"/>
      <c r="AX95" s="658" t="n"/>
      <c r="AY95" s="658" t="n"/>
      <c r="AZ95" s="658" t="n"/>
    </row>
    <row r="96">
      <c r="A96" s="139" t="n"/>
      <c r="B96" s="88" t="n"/>
      <c r="C96" s="228" t="inlineStr">
        <is>
          <t>b</t>
        </is>
      </c>
      <c r="D96" s="11403" t="inlineStr">
        <is>
          <t>Unreported tips subject to social security tax from Form 4137, line 10</t>
        </is>
      </c>
      <c r="E96" s="226" t="n"/>
      <c r="F96" s="88" t="n"/>
      <c r="G96" s="88" t="n"/>
      <c r="H96" s="88" t="n"/>
      <c r="I96" s="88" t="n"/>
      <c r="J96" s="88" t="n"/>
      <c r="K96" s="88" t="n"/>
      <c r="L96" s="88" t="n"/>
      <c r="M96" s="88" t="n"/>
      <c r="N96" s="88" t="n"/>
      <c r="O96" s="88" t="n"/>
      <c r="P96" s="88" t="n"/>
      <c r="Q96" s="5445" t="inlineStr">
        <is>
          <t xml:space="preserve">.   .   .   .   .   . </t>
        </is>
      </c>
      <c r="R96" s="5521" t="inlineStr">
        <is>
          <t>8b</t>
        </is>
      </c>
      <c r="S96" s="12212" t="n"/>
      <c r="T96" s="11717" t="n"/>
      <c r="U96" s="11717" t="n"/>
      <c r="V96" s="11718" t="n"/>
      <c r="W96" s="5619" t="n"/>
      <c r="X96" s="8840">
        <f>ROUND(S96,0)</f>
        <v/>
      </c>
      <c r="AA96" s="139" t="n"/>
      <c r="AB96" s="5426" t="n"/>
      <c r="AC96" s="11602" t="n"/>
      <c r="AD96" s="11602" t="n"/>
      <c r="AE96" s="11602" t="n"/>
      <c r="AF96" s="11602" t="n"/>
      <c r="AG96" s="11602" t="n"/>
      <c r="AH96" s="11602" t="n"/>
      <c r="AI96" s="11602" t="n"/>
      <c r="AJ96" s="412" t="n"/>
      <c r="AK96" s="569" t="n"/>
      <c r="AL96" s="569" t="n"/>
      <c r="AM96" s="569" t="n"/>
      <c r="AN96" s="569" t="n"/>
      <c r="AO96" s="414" t="n"/>
      <c r="AP96" s="11602" t="n"/>
      <c r="AQ96" s="658" t="n"/>
      <c r="AR96" s="658" t="n"/>
      <c r="AS96" s="658" t="n"/>
      <c r="AT96" s="658" t="n"/>
      <c r="AU96" s="658" t="n"/>
      <c r="AV96" s="658" t="n"/>
      <c r="AW96" s="658" t="n"/>
      <c r="AX96" s="658" t="n"/>
      <c r="AY96" s="658" t="n"/>
      <c r="AZ96" s="658" t="n"/>
    </row>
    <row r="97" ht="15" customHeight="1" s="7635" thickBot="1">
      <c r="A97" s="139" t="n"/>
      <c r="B97" s="88" t="n"/>
      <c r="C97" s="228" t="inlineStr">
        <is>
          <t>c</t>
        </is>
      </c>
      <c r="D97" s="11403" t="inlineStr">
        <is>
          <t>Wages subject to social security tax from Form 8919, line 10</t>
        </is>
      </c>
      <c r="E97" s="226" t="n"/>
      <c r="F97" s="88" t="n"/>
      <c r="G97" s="88" t="n"/>
      <c r="H97" s="88" t="n"/>
      <c r="I97" s="88" t="n"/>
      <c r="J97" s="88" t="n"/>
      <c r="K97" s="88" t="n"/>
      <c r="L97" s="88" t="n"/>
      <c r="M97" s="88" t="n"/>
      <c r="N97" s="88" t="n"/>
      <c r="O97" s="88" t="n"/>
      <c r="P97" s="88" t="n"/>
      <c r="Q97" s="5445" t="inlineStr">
        <is>
          <t xml:space="preserve">.   .   .   .   .   .   .   .   . </t>
        </is>
      </c>
      <c r="R97" s="5638" t="inlineStr">
        <is>
          <t>8c</t>
        </is>
      </c>
      <c r="S97" s="12220" t="n"/>
      <c r="T97" s="11809" t="n"/>
      <c r="U97" s="11809" t="n"/>
      <c r="V97" s="11810" t="n"/>
      <c r="W97" s="5619" t="n"/>
      <c r="X97" s="8840">
        <f>ROUND(S97,0)</f>
        <v/>
      </c>
      <c r="AA97" s="139" t="n"/>
      <c r="AB97" s="5426" t="n"/>
      <c r="AC97" s="11602" t="n"/>
      <c r="AE97" s="11602" t="n"/>
      <c r="AF97" s="11602" t="n"/>
      <c r="AG97" s="11602" t="n"/>
      <c r="AH97" s="11602" t="n"/>
      <c r="AI97" s="11602" t="n"/>
      <c r="AJ97" s="851">
        <f>IF(X90="",0,X90)</f>
        <v/>
      </c>
      <c r="AK97" s="344" t="inlineStr">
        <is>
          <t>Line 6</t>
        </is>
      </c>
      <c r="AL97" s="344" t="n"/>
      <c r="AM97" s="344" t="n"/>
      <c r="AN97" s="344" t="n"/>
      <c r="AO97" s="11602" t="n"/>
      <c r="AP97" s="11602" t="n"/>
      <c r="AQ97" s="658" t="n"/>
      <c r="AR97" s="658" t="n"/>
      <c r="AS97" s="658" t="n"/>
      <c r="AT97" s="658" t="n"/>
      <c r="AU97" s="658" t="n"/>
      <c r="AV97" s="658" t="n"/>
      <c r="AW97" s="658" t="n"/>
      <c r="AX97" s="658" t="n"/>
      <c r="AY97" s="658" t="n"/>
      <c r="AZ97" s="658" t="n"/>
    </row>
    <row r="98" ht="13.5" customHeight="1" s="7635" thickBot="1">
      <c r="A98" s="139" t="n"/>
      <c r="B98" s="88" t="n"/>
      <c r="C98" s="228" t="inlineStr">
        <is>
          <t>d</t>
        </is>
      </c>
      <c r="D98" s="11403" t="inlineStr">
        <is>
          <t>Add lines 8a, 8b, and 8c</t>
        </is>
      </c>
      <c r="E98" s="226" t="n"/>
      <c r="F98" s="88" t="n"/>
      <c r="G98" s="88" t="n"/>
      <c r="H98" s="88" t="n"/>
      <c r="I98" s="88" t="n"/>
      <c r="J98" s="88" t="n"/>
      <c r="K98" s="88" t="n"/>
      <c r="L98" s="88" t="n"/>
      <c r="M98" s="88" t="n"/>
      <c r="N98" s="88" t="n"/>
      <c r="O98" s="88" t="n"/>
      <c r="P98" s="88" t="n"/>
      <c r="Q98" s="88" t="n"/>
      <c r="R98" s="228" t="n"/>
      <c r="S98" s="1189" t="n"/>
      <c r="T98" s="1189" t="n"/>
      <c r="U98" s="1189" t="n"/>
      <c r="V98" s="5445" t="inlineStr">
        <is>
          <t xml:space="preserve">.   .   .   .   .   .   .   .   .   .   .   .   .   .   .   .   .   .   .   .   .   .   .   .   .   .   .   .   . </t>
        </is>
      </c>
      <c r="W98" s="5639" t="inlineStr">
        <is>
          <t>8d</t>
        </is>
      </c>
      <c r="X98" s="8835">
        <f>IF(AK84,"",SUM(S95,X96,X97))</f>
        <v/>
      </c>
      <c r="Y98" s="8848" t="n"/>
      <c r="Z98" s="8848" t="n"/>
      <c r="AA98" s="139" t="n"/>
      <c r="AB98" s="5426" t="n"/>
      <c r="AC98" s="11602" t="n"/>
      <c r="AD98" s="11602" t="n"/>
      <c r="AE98" s="11602" t="n"/>
      <c r="AF98" s="11602" t="n"/>
      <c r="AG98" s="11602" t="n"/>
      <c r="AH98" s="11602" t="n"/>
      <c r="AI98" s="11602" t="n"/>
      <c r="AJ98" s="851">
        <f>IF(X98="",0,X98)</f>
        <v/>
      </c>
      <c r="AK98" s="344" t="inlineStr">
        <is>
          <t>Line 8d</t>
        </is>
      </c>
      <c r="AL98" s="344" t="n"/>
      <c r="AM98" s="344" t="n"/>
      <c r="AN98" s="344" t="n"/>
      <c r="AO98" s="11602" t="n"/>
      <c r="AP98" s="11602" t="n"/>
      <c r="AQ98" s="658" t="n"/>
      <c r="AR98" s="658" t="n"/>
      <c r="AS98" s="658" t="n"/>
      <c r="AT98" s="658" t="n"/>
      <c r="AU98" s="658" t="n"/>
      <c r="AV98" s="658" t="n"/>
      <c r="AW98" s="658" t="n"/>
      <c r="AX98" s="658" t="n"/>
      <c r="AY98" s="658" t="n"/>
      <c r="AZ98" s="658" t="n"/>
    </row>
    <row r="99" ht="12.75" customHeight="1" s="7635">
      <c r="A99" s="139" t="n"/>
      <c r="B99" s="88" t="n"/>
      <c r="C99" s="228" t="n">
        <v>9</v>
      </c>
      <c r="D99" s="11403" t="inlineStr">
        <is>
          <t>Subtract line 8d from line 7. If zero or less, enter -0- here and on line 10 and go to line 11</t>
        </is>
      </c>
      <c r="E99" s="226" t="n"/>
      <c r="F99" s="88" t="n"/>
      <c r="G99" s="88" t="n"/>
      <c r="H99" s="88" t="n"/>
      <c r="I99" s="88" t="n"/>
      <c r="J99" s="88" t="n"/>
      <c r="K99" s="88" t="n"/>
      <c r="L99" s="88" t="n"/>
      <c r="M99" s="88" t="n"/>
      <c r="N99" s="88" t="n"/>
      <c r="O99" s="88" t="n"/>
      <c r="P99" s="88" t="n"/>
      <c r="Q99" s="88" t="n"/>
      <c r="R99" s="228" t="n"/>
      <c r="S99" s="1189" t="n"/>
      <c r="T99" s="1663" t="n"/>
      <c r="U99" s="1663" t="n"/>
      <c r="V99" s="5445" t="inlineStr">
        <is>
          <t xml:space="preserve">.   .   .   .   .   .   .   . </t>
        </is>
      </c>
      <c r="W99" s="5450" t="n">
        <v>9</v>
      </c>
      <c r="X99" s="8837">
        <f>IF(OR(X98="",P92),"",IF(AJ100,0,SUM(X91,-AJ98)))</f>
        <v/>
      </c>
      <c r="Y99" s="7637" t="n"/>
      <c r="Z99" s="7637" t="n"/>
      <c r="AA99" s="139" t="n"/>
      <c r="AB99" s="5426" t="n"/>
      <c r="AC99" s="11602" t="n"/>
      <c r="AD99" s="11602" t="n"/>
      <c r="AE99" s="11602" t="n"/>
      <c r="AF99" s="11602" t="n"/>
      <c r="AG99" s="11602" t="n"/>
      <c r="AH99" s="11602" t="n"/>
      <c r="AJ99" s="851">
        <f>IF(X99="",0,X99)</f>
        <v/>
      </c>
      <c r="AK99" s="344" t="inlineStr">
        <is>
          <t>Line 9</t>
        </is>
      </c>
      <c r="AL99" s="344" t="n"/>
      <c r="AM99" s="344" t="n"/>
      <c r="AN99" s="344" t="n"/>
      <c r="AO99" s="11602" t="n"/>
      <c r="AP99" s="11602" t="n"/>
      <c r="AQ99" s="658" t="n"/>
      <c r="AR99" s="658" t="n"/>
      <c r="AS99" s="658" t="n"/>
      <c r="AT99" s="658" t="n"/>
      <c r="AU99" s="658" t="n"/>
      <c r="AV99" s="658" t="n"/>
      <c r="AW99" s="658" t="n"/>
      <c r="AX99" s="658" t="n"/>
      <c r="AY99" s="658" t="n"/>
      <c r="AZ99" s="658" t="n"/>
    </row>
    <row r="100" ht="14.25" customHeight="1" s="7635">
      <c r="A100" s="139" t="n"/>
      <c r="B100" s="88" t="n"/>
      <c r="C100" s="7831" t="n">
        <v>10</v>
      </c>
      <c r="D100" s="11403" t="inlineStr">
        <is>
          <t>Multiply  the  smaller  of  line 6 or line 9 by</t>
        </is>
      </c>
      <c r="E100" s="226" t="n"/>
      <c r="F100" s="88" t="n"/>
      <c r="G100" s="88" t="n"/>
      <c r="H100" s="88" t="n"/>
      <c r="I100" s="88" t="n"/>
      <c r="J100" s="88" t="n"/>
      <c r="K100" s="728">
        <f>TEXT(AE100,"0.0%")&amp;" ("&amp;TEXT(AE100,"0.000")&amp;")"</f>
        <v/>
      </c>
      <c r="L100" s="88" t="n"/>
      <c r="M100" s="88" t="n"/>
      <c r="N100" s="88" t="n"/>
      <c r="O100" s="88" t="n"/>
      <c r="P100" s="88" t="n"/>
      <c r="Q100" s="88" t="n"/>
      <c r="R100" s="88" t="n"/>
      <c r="S100" s="88" t="n"/>
      <c r="T100" s="88" t="n"/>
      <c r="U100" s="88" t="n"/>
      <c r="V100" s="5641" t="inlineStr">
        <is>
          <t xml:space="preserve">.   .   .   .   .   .   .   .   .   .   .   .   .   .   .   .   .   .  </t>
        </is>
      </c>
      <c r="W100" s="5450" t="n">
        <v>10</v>
      </c>
      <c r="X100" s="8837">
        <f>IF(OR(P92,AK84),"",IF(AJ100,0,ROUND(AJ101*AE100,0)))</f>
        <v/>
      </c>
      <c r="Y100" s="7637" t="n"/>
      <c r="Z100" s="7637" t="n"/>
      <c r="AA100" s="139" t="n"/>
      <c r="AB100" s="5426" t="n"/>
      <c r="AC100" s="11602" t="n"/>
      <c r="AD100" s="11602" t="n"/>
      <c r="AE100" s="12222" t="n">
        <v>0.124</v>
      </c>
      <c r="AF100" s="194" t="n"/>
      <c r="AG100" s="11602" t="n"/>
      <c r="AH100" s="11602" t="n"/>
      <c r="AI100" s="1191" t="n"/>
      <c r="AJ100" s="1195">
        <f>SUM(X91,-AJ98)&lt;=0</f>
        <v/>
      </c>
      <c r="AK100" s="344" t="n"/>
      <c r="AL100" s="344" t="n"/>
      <c r="AM100" s="344" t="n"/>
      <c r="AN100" s="344" t="n"/>
      <c r="AO100" s="11602" t="n"/>
      <c r="AP100" s="11602" t="n"/>
      <c r="AQ100" s="658" t="n"/>
      <c r="AR100" s="658" t="n"/>
      <c r="AS100" s="658" t="n"/>
      <c r="AT100" s="658" t="n"/>
      <c r="AU100" s="658" t="n"/>
      <c r="AV100" s="658" t="n"/>
      <c r="AW100" s="658" t="n"/>
      <c r="AX100" s="658" t="n"/>
      <c r="AY100" s="658" t="n"/>
      <c r="AZ100" s="658" t="n"/>
    </row>
    <row r="101" ht="12.75" customHeight="1" s="7635">
      <c r="A101" s="139" t="n"/>
      <c r="B101" s="88" t="n"/>
      <c r="C101" s="228" t="n">
        <v>11</v>
      </c>
      <c r="D101" s="11403">
        <f>"Multiply line 6 by "&amp;TEXT(AC101,"0.0%")&amp;" ("&amp;TEXT(AC101,"0.000")&amp;")"</f>
        <v/>
      </c>
      <c r="E101" s="226" t="n"/>
      <c r="F101" s="88" t="n"/>
      <c r="G101" s="88" t="n"/>
      <c r="H101" s="88" t="n"/>
      <c r="I101" s="88" t="n"/>
      <c r="J101" s="88" t="n"/>
      <c r="K101" s="88" t="n"/>
      <c r="L101" s="88" t="n"/>
      <c r="M101" s="88" t="n"/>
      <c r="N101" s="88" t="n"/>
      <c r="O101" s="88" t="n"/>
      <c r="P101" s="88" t="n"/>
      <c r="Q101" s="88" t="n"/>
      <c r="R101" s="228" t="n"/>
      <c r="S101" s="1189" t="n"/>
      <c r="T101" s="1189" t="n"/>
      <c r="U101" s="12221" t="n"/>
      <c r="V101" s="5641" t="inlineStr">
        <is>
          <t xml:space="preserve">.   .   .   .   .   .   .   .   .   .   .   .   .   .   .   .   .   .   .   .   .   .   .   .   .   .   .   .  </t>
        </is>
      </c>
      <c r="W101" s="5450" t="n">
        <v>11</v>
      </c>
      <c r="X101" s="8837">
        <f>IF(OR(P92,AK84),"",ROUND(X90*AC101,0))</f>
        <v/>
      </c>
      <c r="Y101" s="7637" t="n"/>
      <c r="Z101" s="7637" t="n"/>
      <c r="AA101" s="139" t="n"/>
      <c r="AB101" s="5426" t="n"/>
      <c r="AC101" s="12222" t="n">
        <v>0.029</v>
      </c>
      <c r="AD101" s="194" t="n"/>
      <c r="AE101" s="1192" t="n"/>
      <c r="AF101" s="1192" t="n"/>
      <c r="AG101" s="11602" t="n"/>
      <c r="AH101" s="11602" t="n"/>
      <c r="AI101" s="11602" t="n"/>
      <c r="AJ101" s="1208">
        <f>MIN(X90,AJ99)</f>
        <v/>
      </c>
      <c r="AK101" s="11602" t="n"/>
      <c r="AL101" s="11602" t="n"/>
      <c r="AM101" s="11602" t="n"/>
      <c r="AN101" s="11602" t="n"/>
      <c r="AP101" s="1195" t="n"/>
      <c r="AQ101" s="658" t="n"/>
      <c r="AR101" s="658" t="n"/>
      <c r="AS101" s="658" t="n"/>
      <c r="AT101" s="658" t="n"/>
      <c r="AU101" s="658" t="n"/>
      <c r="AV101" s="658" t="n"/>
      <c r="AW101" s="658" t="n"/>
      <c r="AX101" s="658" t="n"/>
      <c r="AY101" s="658" t="n"/>
      <c r="AZ101" s="658" t="n"/>
    </row>
    <row r="102" ht="14.25" customHeight="1" s="7635">
      <c r="A102" s="139" t="n"/>
      <c r="B102" s="88" t="n"/>
      <c r="C102" s="228" t="n">
        <v>12</v>
      </c>
      <c r="D102" s="11403" t="inlineStr">
        <is>
          <t>Self-employment tax. Add lines 10 and 11. Enter here and on Schedule 2 (Form 1040), line 4, or</t>
        </is>
      </c>
      <c r="E102" s="226" t="n"/>
      <c r="F102" s="88" t="n"/>
      <c r="G102" s="88" t="n"/>
      <c r="H102" s="88" t="n"/>
      <c r="I102" s="88" t="n"/>
      <c r="J102" s="88" t="n"/>
      <c r="K102" s="88" t="n"/>
      <c r="L102" s="88" t="n"/>
      <c r="M102" s="88" t="n"/>
      <c r="N102" s="88" t="n"/>
      <c r="O102" s="88" t="n"/>
      <c r="P102" s="88" t="n"/>
      <c r="Q102" s="88" t="n"/>
      <c r="R102" s="228" t="n"/>
      <c r="S102" s="1189" t="n"/>
      <c r="T102" s="1189" t="n"/>
      <c r="U102" s="1189" t="n"/>
      <c r="V102" s="1189" t="n"/>
      <c r="W102" s="5689" t="n"/>
      <c r="X102" s="8840" t="n"/>
      <c r="AA102" s="139" t="n"/>
      <c r="AB102" s="5426" t="n"/>
      <c r="AC102" s="12222" t="n"/>
      <c r="AD102" s="12222" t="n"/>
      <c r="AE102" s="1192" t="n"/>
      <c r="AF102" s="1192" t="n"/>
      <c r="AG102" s="11602" t="n"/>
      <c r="AH102" s="11602" t="n"/>
      <c r="AI102" s="11602" t="n"/>
      <c r="AJ102" s="1195">
        <f>SUM(X93,-AJ100)&lt;=0</f>
        <v/>
      </c>
      <c r="AK102" s="11602" t="n"/>
      <c r="AL102" s="5640" t="n"/>
      <c r="AM102" s="11602" t="n"/>
      <c r="AN102" s="11602" t="n"/>
      <c r="AO102" s="11602" t="n"/>
      <c r="AP102" s="1191" t="n"/>
      <c r="AQ102" s="658" t="n"/>
      <c r="AR102" s="658" t="n"/>
      <c r="AS102" s="658" t="n"/>
      <c r="AT102" s="658" t="n"/>
      <c r="AU102" s="658" t="n"/>
      <c r="AV102" s="658" t="n"/>
      <c r="AW102" s="658" t="n"/>
      <c r="AX102" s="658" t="n"/>
      <c r="AY102" s="658" t="n"/>
      <c r="AZ102" s="658" t="n"/>
    </row>
    <row r="103" ht="14.25" customHeight="1" s="7635">
      <c r="A103" s="139" t="n"/>
      <c r="B103" s="88" t="n"/>
      <c r="C103" s="228" t="n"/>
      <c r="D103" s="2447" t="inlineStr">
        <is>
          <t>Form 1040-SS, Part I, line 3</t>
        </is>
      </c>
      <c r="E103" s="226" t="n"/>
      <c r="F103" s="88" t="n"/>
      <c r="G103" s="88" t="n"/>
      <c r="H103" s="88" t="n"/>
      <c r="I103" s="88" t="n"/>
      <c r="J103" s="88" t="n"/>
      <c r="K103" s="88" t="n"/>
      <c r="L103" s="88" t="n"/>
      <c r="M103" s="88" t="n"/>
      <c r="N103" s="88" t="n"/>
      <c r="O103" s="88" t="n"/>
      <c r="P103" s="88" t="n"/>
      <c r="Q103" s="88" t="n"/>
      <c r="R103" s="228" t="n"/>
      <c r="S103" s="1189" t="n"/>
      <c r="T103" s="1189" t="n"/>
      <c r="U103" s="1189" t="n"/>
      <c r="V103" s="5641" t="inlineStr">
        <is>
          <t xml:space="preserve">.   .   .   .   .   .   .   .   .   .   .   .   .   .   .   .   .   .   .   .   .   .   .   .   .   .   .   .  </t>
        </is>
      </c>
      <c r="W103" s="5450" t="n">
        <v>12</v>
      </c>
      <c r="X103" s="8861">
        <f>IF(OR(P92,AK84),"",SUM(X100,X101))</f>
        <v/>
      </c>
      <c r="Y103" s="7637" t="n"/>
      <c r="Z103" s="7637" t="n"/>
      <c r="AA103" s="139" t="n"/>
      <c r="AB103" s="5426" t="n"/>
      <c r="AC103" s="12222" t="n"/>
      <c r="AD103" s="12222" t="n"/>
      <c r="AE103" s="1192" t="n"/>
      <c r="AF103" s="1192" t="n"/>
      <c r="AG103" s="11602" t="n"/>
      <c r="AH103" s="11602" t="n"/>
      <c r="AI103" s="11602" t="n"/>
      <c r="AJ103" s="1208" t="n"/>
      <c r="AK103" s="1061" t="n"/>
      <c r="AL103" s="1193" t="n"/>
      <c r="AM103" s="1193" t="n"/>
      <c r="AN103" s="1193" t="n"/>
      <c r="AO103" s="11602" t="n"/>
      <c r="AP103" s="11602" t="n"/>
      <c r="AQ103" s="658" t="n"/>
      <c r="AR103" s="658" t="n"/>
      <c r="AS103" s="658" t="n"/>
      <c r="AT103" s="658" t="n"/>
      <c r="AU103" s="658" t="n"/>
      <c r="AV103" s="658" t="n"/>
      <c r="AW103" s="658" t="n"/>
      <c r="AX103" s="658" t="n"/>
      <c r="AY103" s="658" t="n"/>
      <c r="AZ103" s="658" t="n"/>
    </row>
    <row r="104" ht="13.5" customHeight="1" s="7635" thickBot="1">
      <c r="A104" s="139" t="n"/>
      <c r="B104" s="88" t="n"/>
      <c r="C104" s="228" t="n">
        <v>13</v>
      </c>
      <c r="D104" s="226" t="inlineStr">
        <is>
          <t>Deduction for one-half of self-employment tax.</t>
        </is>
      </c>
      <c r="E104" s="88" t="n"/>
      <c r="F104" s="88" t="n"/>
      <c r="G104" s="88" t="n"/>
      <c r="H104" s="88" t="n"/>
      <c r="I104" s="88" t="n"/>
      <c r="J104" s="88" t="n"/>
      <c r="K104" s="88" t="n"/>
      <c r="L104" s="88" t="n"/>
      <c r="M104" s="88" t="n"/>
      <c r="N104" s="88" t="n"/>
      <c r="O104" s="88" t="n"/>
      <c r="P104" s="88" t="n"/>
      <c r="Q104" s="88" t="n"/>
      <c r="R104" s="88" t="n"/>
      <c r="S104" s="88" t="n"/>
      <c r="T104" s="88" t="n"/>
      <c r="U104" s="8875" t="n"/>
      <c r="V104" s="7636" t="n"/>
      <c r="W104" s="8842" t="n"/>
      <c r="X104" s="7839" t="n"/>
      <c r="Y104" s="7839" t="n"/>
      <c r="Z104" s="7839" t="n"/>
      <c r="AA104" s="139" t="n"/>
      <c r="AB104" s="5415" t="n"/>
      <c r="AC104" s="12222" t="n"/>
      <c r="AD104" s="12222" t="n"/>
      <c r="AE104" s="1192" t="n"/>
      <c r="AF104" s="1192" t="n"/>
      <c r="AG104" s="11602" t="n"/>
      <c r="AH104" s="11602" t="n"/>
      <c r="AI104" s="11602" t="n"/>
      <c r="AJ104" s="1208" t="n"/>
      <c r="AK104" s="7902" t="inlineStr">
        <is>
          <t>Input to Form 2441</t>
        </is>
      </c>
      <c r="AL104" s="8848" t="n"/>
      <c r="AM104" s="11602" t="n"/>
      <c r="AN104" s="11602" t="n"/>
      <c r="AO104" s="1195" t="n"/>
      <c r="AP104" s="11602" t="n"/>
      <c r="AQ104" s="658" t="n"/>
      <c r="AR104" s="658" t="n"/>
      <c r="AS104" s="658" t="n"/>
      <c r="AT104" s="658" t="n"/>
      <c r="AU104" s="658" t="n"/>
      <c r="AV104" s="658" t="n"/>
      <c r="AW104" s="658" t="n"/>
      <c r="AX104" s="658" t="n"/>
      <c r="AY104" s="658" t="n"/>
      <c r="AZ104" s="658" t="n"/>
    </row>
    <row r="105" ht="12.75" customHeight="1" s="7635" thickBot="1">
      <c r="A105" s="139" t="n"/>
      <c r="B105" s="88" t="n"/>
      <c r="C105" s="228" t="n"/>
      <c r="D105" s="11403">
        <f>"Multiply  line 12  by "&amp;TEXT(U105,"0%")&amp;" ("&amp;TEXT(U105,"0.00")&amp;")."</f>
        <v/>
      </c>
      <c r="E105" s="11403" t="n"/>
      <c r="F105" s="88" t="n"/>
      <c r="G105" s="88" t="n"/>
      <c r="H105" s="11403" t="n"/>
      <c r="I105" s="2617" t="inlineStr">
        <is>
          <t>Enter the result here and on Schedule 1  (1040),</t>
        </is>
      </c>
      <c r="J105" s="88" t="n"/>
      <c r="K105" s="88" t="n"/>
      <c r="L105" s="88" t="n"/>
      <c r="M105" s="226" t="n"/>
      <c r="N105" s="88" t="n"/>
      <c r="O105" s="2715" t="n"/>
      <c r="P105" s="88" t="n"/>
      <c r="Q105" s="88" t="n"/>
      <c r="R105" s="5448" t="n"/>
      <c r="S105" s="88" t="n"/>
      <c r="T105" s="88" t="n"/>
      <c r="U105" s="8857" t="n">
        <v>0.5</v>
      </c>
      <c r="V105" s="7636" t="n"/>
      <c r="W105" s="139" t="n"/>
      <c r="X105" s="139" t="n"/>
      <c r="Y105" s="139" t="n"/>
      <c r="Z105" s="139" t="n"/>
      <c r="AA105" s="139" t="n"/>
      <c r="AB105" s="5415" t="n"/>
      <c r="AC105" s="12222" t="n"/>
      <c r="AD105" s="12222" t="n"/>
      <c r="AE105" s="1192" t="n"/>
      <c r="AF105" s="1192" t="n"/>
      <c r="AG105" s="11602" t="n"/>
      <c r="AH105" s="11602" t="n"/>
      <c r="AI105" s="11602" t="n"/>
      <c r="AJ105" s="11602" t="n"/>
      <c r="AK105" s="5642" t="n"/>
      <c r="AL105" s="5643" t="inlineStr">
        <is>
          <t>You</t>
        </is>
      </c>
      <c r="AM105" s="5644" t="inlineStr">
        <is>
          <t>Spouse</t>
        </is>
      </c>
      <c r="AN105" s="5645" t="n"/>
      <c r="AO105" s="1191" t="n"/>
      <c r="AP105" s="11602" t="n"/>
      <c r="AQ105" s="658" t="n"/>
      <c r="AR105" s="658" t="n"/>
      <c r="AS105" s="658" t="n"/>
      <c r="AT105" s="658" t="n"/>
      <c r="AU105" s="658" t="n"/>
      <c r="AV105" s="658" t="n"/>
      <c r="AW105" s="658" t="n"/>
      <c r="AX105" s="658" t="n"/>
      <c r="AY105" s="658" t="n"/>
      <c r="AZ105" s="658" t="n"/>
    </row>
    <row r="106" ht="16.5" customHeight="1" s="7635" thickBot="1">
      <c r="A106" s="139" t="n"/>
      <c r="B106" s="91" t="n"/>
      <c r="C106" s="3448" t="n"/>
      <c r="D106" s="5654" t="inlineStr">
        <is>
          <t>line 15</t>
        </is>
      </c>
      <c r="E106" s="5655" t="n"/>
      <c r="F106" s="5655" t="n"/>
      <c r="G106" s="91" t="n"/>
      <c r="H106" s="91" t="n"/>
      <c r="I106" s="91" t="n"/>
      <c r="J106" s="91" t="n"/>
      <c r="K106" s="91" t="n"/>
      <c r="L106" s="91" t="n"/>
      <c r="M106" s="91" t="n"/>
      <c r="N106" s="91" t="n"/>
      <c r="O106" s="5656" t="n"/>
      <c r="P106" s="91" t="n"/>
      <c r="Q106" s="5656" t="inlineStr">
        <is>
          <t>.   .   .   .   .   .   .   .   .   .   .   .   .   .   .   .   .   .   .   .   .   .   .   .   .   .   .   .</t>
        </is>
      </c>
      <c r="R106" s="5623" t="n">
        <v>13</v>
      </c>
      <c r="S106" s="12223">
        <f>IF(AB106&lt;&gt;"",ROUND(AB106,0),IF(OR(P92,AK84),"",ROUND(X103*U105,0)))</f>
        <v/>
      </c>
      <c r="T106" s="8848" t="n"/>
      <c r="U106" s="8848" t="n"/>
      <c r="V106" s="12121" t="n"/>
      <c r="W106" s="8847" t="n"/>
      <c r="X106" s="8848" t="n"/>
      <c r="Y106" s="8848" t="n"/>
      <c r="Z106" s="8848" t="n"/>
      <c r="AA106" s="139" t="n"/>
      <c r="AB106" s="811" t="n"/>
      <c r="AC106" s="12222" t="n"/>
      <c r="AD106" s="12222" t="n"/>
      <c r="AE106" s="1192" t="n"/>
      <c r="AF106" s="1192" t="n"/>
      <c r="AG106" s="11602" t="n"/>
      <c r="AH106" s="11602" t="n"/>
      <c r="AI106" s="11602" t="n"/>
      <c r="AJ106" s="11602" t="n"/>
      <c r="AK106" s="5646" t="inlineStr">
        <is>
          <t>Line 3</t>
        </is>
      </c>
      <c r="AL106" s="5647">
        <f>IF(NOT($AJ$65),0,X81)</f>
        <v/>
      </c>
      <c r="AM106" s="5648">
        <f>IF(AND(NOT($AJ$65),$AJ$67),X81,0)</f>
        <v/>
      </c>
      <c r="AN106" s="5649" t="n"/>
      <c r="AO106" s="11602" t="n"/>
      <c r="AP106" s="11602" t="n"/>
      <c r="AQ106" s="658" t="n"/>
      <c r="AR106" s="658" t="n"/>
      <c r="AS106" s="658" t="n"/>
      <c r="AT106" s="658" t="n"/>
      <c r="AU106" s="658" t="n"/>
      <c r="AV106" s="658" t="n"/>
      <c r="AW106" s="658" t="n"/>
      <c r="AX106" s="658" t="n"/>
      <c r="AY106" s="658" t="n"/>
      <c r="AZ106" s="658" t="n"/>
    </row>
    <row r="107" ht="13.5" customHeight="1" s="7635" thickBot="1">
      <c r="A107" s="139" t="n"/>
      <c r="B107" s="5657" t="n"/>
      <c r="C107" s="5658" t="inlineStr">
        <is>
          <t>Part II</t>
        </is>
      </c>
      <c r="D107" s="5659" t="n"/>
      <c r="E107" s="5660" t="inlineStr">
        <is>
          <t xml:space="preserve">   Optional Methods To Figure Net Earnings (see instructions)</t>
        </is>
      </c>
      <c r="F107" s="5661" t="n"/>
      <c r="G107" s="5661" t="n"/>
      <c r="H107" s="5661" t="n"/>
      <c r="I107" s="5661" t="n"/>
      <c r="J107" s="5661" t="n"/>
      <c r="K107" s="5661" t="n"/>
      <c r="L107" s="5661" t="n"/>
      <c r="M107" s="5661" t="n"/>
      <c r="N107" s="5661" t="n"/>
      <c r="O107" s="5661" t="n"/>
      <c r="P107" s="5661" t="n"/>
      <c r="Q107" s="5661" t="n"/>
      <c r="R107" s="5661" t="n"/>
      <c r="S107" s="5661" t="n"/>
      <c r="T107" s="5661" t="n"/>
      <c r="U107" s="5661" t="n"/>
      <c r="V107" s="5661" t="n"/>
      <c r="W107" s="5661" t="n"/>
      <c r="X107" s="5661" t="n"/>
      <c r="Y107" s="5661" t="n"/>
      <c r="Z107" s="5661" t="n"/>
      <c r="AA107" s="139" t="n"/>
      <c r="AB107" s="5415" t="n"/>
      <c r="AC107" s="12222" t="n"/>
      <c r="AD107" s="12222" t="n"/>
      <c r="AE107" s="1192" t="n"/>
      <c r="AF107" s="1192" t="n"/>
      <c r="AG107" s="11602" t="n"/>
      <c r="AH107" s="11602" t="n"/>
      <c r="AI107" s="11602" t="n"/>
      <c r="AJ107" s="1208" t="n"/>
      <c r="AK107" s="1061" t="inlineStr">
        <is>
          <t>Clergy or Church Employee Income</t>
        </is>
      </c>
      <c r="AL107" s="5651">
        <f>IF(AND($AJ$65,SchSE_Clergy2_You),X90,IF($AJ$65,ChurchEmployeeIncome2,0))</f>
        <v/>
      </c>
      <c r="AM107" s="5652">
        <f>IF(AND(NOT($AJ$65),$AJ$67,SchSE_Clergy2_Sp),X90,IF(AND(NOT($AJ$65),$AJ$67,ChurchEmployeeIncome2),S88,0))</f>
        <v/>
      </c>
      <c r="AN107" s="5653" t="n"/>
      <c r="AO107" s="11602" t="n"/>
      <c r="AP107" s="11602" t="n"/>
      <c r="AQ107" s="658" t="n"/>
      <c r="AR107" s="658" t="n"/>
      <c r="AS107" s="658" t="n"/>
      <c r="AT107" s="658" t="n"/>
      <c r="AU107" s="658" t="n"/>
      <c r="AV107" s="658" t="n"/>
      <c r="AW107" s="658" t="n"/>
      <c r="AX107" s="658" t="n"/>
      <c r="AY107" s="658" t="n"/>
      <c r="AZ107" s="658" t="n"/>
    </row>
    <row r="108" ht="15" customHeight="1" s="7635" thickBot="1">
      <c r="A108" s="139" t="n"/>
      <c r="B108" s="226" t="inlineStr">
        <is>
          <t>Farm Optional Method. You may use this method only if (a) your gross farm income1 was not more</t>
        </is>
      </c>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88" t="n"/>
      <c r="V108" s="88" t="n"/>
      <c r="W108" s="5448" t="n"/>
      <c r="X108" s="2468">
        <f>X48</f>
        <v/>
      </c>
      <c r="Y108" s="88" t="n"/>
      <c r="Z108" s="88" t="n"/>
      <c r="AA108" s="139" t="n"/>
      <c r="AB108" s="5415" t="n"/>
      <c r="AC108" s="12222" t="n"/>
      <c r="AD108" s="12222" t="n"/>
      <c r="AE108" s="1192" t="n"/>
      <c r="AF108" s="1192" t="n"/>
      <c r="AG108" s="11602" t="n"/>
      <c r="AH108" s="11602" t="n"/>
      <c r="AI108" s="11602" t="n"/>
      <c r="AJ108" s="1208" t="n"/>
      <c r="AK108" s="1061" t="inlineStr">
        <is>
          <t>TOTAL Clergy or Church Employee Income</t>
        </is>
      </c>
      <c r="AL108" s="5651">
        <f>SUM(AL42,AL107)</f>
        <v/>
      </c>
      <c r="AM108" s="5652">
        <f>SUM(AM42,AM107)</f>
        <v/>
      </c>
      <c r="AN108" s="5653">
        <f>SUM(SchSE_Clergy_CEI_You,SchSE_Clergy_CEI_Sp)</f>
        <v/>
      </c>
      <c r="AO108" s="11602" t="n"/>
      <c r="AP108" s="11602" t="n"/>
      <c r="AQ108" s="658" t="n"/>
      <c r="AR108" s="658" t="n"/>
      <c r="AS108" s="658" t="n"/>
      <c r="AT108" s="658" t="n"/>
      <c r="AU108" s="658" t="n"/>
      <c r="AV108" s="658" t="n"/>
      <c r="AW108" s="658" t="n"/>
      <c r="AX108" s="658" t="n"/>
      <c r="AY108" s="658" t="n"/>
      <c r="AZ108" s="658" t="n"/>
    </row>
    <row r="109" ht="12.75" customHeight="1" s="7635" thickBot="1">
      <c r="A109" s="139" t="n"/>
      <c r="B109" s="11403">
        <f>"than "&amp;TEXT(X108,"$0,000")&amp;" or (b) your net farm profits were less than "&amp;TEXT(X109,"$0,000")&amp;"."</f>
        <v/>
      </c>
      <c r="C109" s="88" t="n"/>
      <c r="D109" s="88" t="n"/>
      <c r="E109" s="88" t="n"/>
      <c r="F109" s="88" t="n"/>
      <c r="G109" s="88" t="n"/>
      <c r="H109" s="88" t="n"/>
      <c r="I109" s="88" t="n"/>
      <c r="J109" s="88" t="n"/>
      <c r="K109" s="88" t="n"/>
      <c r="L109" s="88" t="n"/>
      <c r="M109" s="88" t="n"/>
      <c r="N109" s="88" t="n"/>
      <c r="O109" s="88" t="n"/>
      <c r="P109" s="88" t="n"/>
      <c r="Q109" s="88" t="n"/>
      <c r="R109" s="88" t="n"/>
      <c r="S109" s="88" t="n"/>
      <c r="T109" s="88" t="n"/>
      <c r="U109" s="88" t="n"/>
      <c r="V109" s="88" t="n"/>
      <c r="W109" s="5448" t="n"/>
      <c r="X109" s="2468">
        <f>X49</f>
        <v/>
      </c>
      <c r="Y109" s="88" t="n"/>
      <c r="Z109" s="88" t="n"/>
      <c r="AA109" s="139" t="n"/>
      <c r="AB109" s="5415" t="n"/>
      <c r="AC109" s="12222" t="n"/>
      <c r="AD109" s="12222" t="n"/>
      <c r="AE109" s="1192" t="n"/>
      <c r="AF109" s="1192" t="n"/>
      <c r="AG109" s="11602" t="n"/>
      <c r="AH109" s="11602" t="n"/>
      <c r="AI109" s="11602" t="n"/>
      <c r="AJ109" s="11602" t="n"/>
      <c r="AK109" s="344" t="n"/>
      <c r="AL109" s="1193" t="n"/>
      <c r="AM109" s="1193" t="n"/>
      <c r="AN109" s="1193" t="n"/>
      <c r="AO109" s="11602" t="n"/>
      <c r="AP109" s="11602" t="n"/>
      <c r="AQ109" s="670" t="n"/>
      <c r="AR109" s="658" t="n"/>
      <c r="AS109" s="658" t="n"/>
      <c r="AT109" s="658" t="n"/>
      <c r="AU109" s="658" t="n"/>
      <c r="AV109" s="658" t="n"/>
      <c r="AW109" s="658" t="n"/>
      <c r="AX109" s="658" t="n"/>
      <c r="AY109" s="658" t="n"/>
      <c r="AZ109" s="658" t="n"/>
    </row>
    <row r="110" ht="13.5" customHeight="1" s="7635">
      <c r="A110" s="139" t="n"/>
      <c r="B110" s="88" t="n"/>
      <c r="C110" s="228" t="n">
        <v>14</v>
      </c>
      <c r="D110" s="88" t="inlineStr">
        <is>
          <t>Maximum income for optional methods</t>
        </is>
      </c>
      <c r="E110" s="88" t="n"/>
      <c r="F110" s="88" t="n"/>
      <c r="G110" s="88" t="n"/>
      <c r="H110" s="88" t="n"/>
      <c r="I110" s="88" t="n"/>
      <c r="J110" s="88" t="n"/>
      <c r="K110" s="88" t="n"/>
      <c r="L110" s="88" t="n"/>
      <c r="M110" s="88" t="n"/>
      <c r="N110" s="88" t="n"/>
      <c r="O110" s="88" t="n"/>
      <c r="P110" s="88" t="n"/>
      <c r="Q110" s="88" t="n"/>
      <c r="R110" s="88" t="n"/>
      <c r="S110" s="88" t="n"/>
      <c r="T110" s="88" t="n"/>
      <c r="U110" s="88" t="n"/>
      <c r="V110" s="2715" t="inlineStr">
        <is>
          <t xml:space="preserve">.   .   .   .   .   .   .   .   .   .   .   .   .   .   .   .   .   .   .   .   .   .   . </t>
        </is>
      </c>
      <c r="W110" s="5521" t="n">
        <v>14</v>
      </c>
      <c r="X110" s="8849">
        <f>X50</f>
        <v/>
      </c>
      <c r="Y110" s="7637" t="n"/>
      <c r="Z110" s="7637" t="n"/>
      <c r="AA110" s="139" t="n"/>
      <c r="AB110" s="5664">
        <f>IF(X112&gt;X110,"Line 15 cannot","")</f>
        <v/>
      </c>
      <c r="AC110" s="12222" t="n"/>
      <c r="AD110" s="12222" t="n"/>
      <c r="AE110" s="1192" t="n"/>
      <c r="AF110" s="1192" t="n"/>
      <c r="AG110" s="11602" t="n"/>
      <c r="AH110" s="11602" t="n"/>
      <c r="AI110" s="11602" t="n"/>
      <c r="AJ110" s="11602" t="n"/>
      <c r="AK110" s="5642" t="n"/>
      <c r="AL110" s="5643" t="inlineStr">
        <is>
          <t>You</t>
        </is>
      </c>
      <c r="AM110" s="5644" t="inlineStr">
        <is>
          <t>Spouse</t>
        </is>
      </c>
      <c r="AN110" s="5645" t="n"/>
      <c r="AO110" s="1191" t="n"/>
      <c r="AP110" s="11602" t="n"/>
      <c r="AQ110" s="658" t="n"/>
      <c r="AR110" s="658" t="n"/>
      <c r="AS110" s="658" t="n"/>
      <c r="AT110" s="658" t="n"/>
      <c r="AU110" s="658" t="n"/>
      <c r="AV110" s="658" t="n"/>
      <c r="AW110" s="658" t="n"/>
      <c r="AX110" s="658" t="n"/>
      <c r="AY110" s="658" t="n"/>
      <c r="AZ110" s="658" t="n"/>
    </row>
    <row r="111" ht="13.5" customHeight="1" s="7635">
      <c r="A111" s="139" t="n"/>
      <c r="B111" s="88" t="n"/>
      <c r="C111" s="228" t="n">
        <v>15</v>
      </c>
      <c r="D111" s="2617" t="inlineStr">
        <is>
          <t>Enter the smaller of: two-thirds (2 ⁄3) of gross farm income1 (not less than zero)  or</t>
        </is>
      </c>
      <c r="E111" s="88" t="n"/>
      <c r="F111" s="88" t="n"/>
      <c r="G111" s="88" t="n"/>
      <c r="H111" s="88" t="n"/>
      <c r="I111" s="88" t="n"/>
      <c r="J111" s="88" t="n"/>
      <c r="K111" s="88" t="n"/>
      <c r="L111" s="88" t="n"/>
      <c r="M111" s="88" t="n"/>
      <c r="N111" s="88" t="n"/>
      <c r="O111" s="88" t="n"/>
      <c r="P111" s="88" t="n"/>
      <c r="Q111" s="88" t="n"/>
      <c r="R111" s="8853">
        <f>TEXT(X110,"$0,000")&amp;" "</f>
        <v/>
      </c>
      <c r="T111" s="2423" t="n"/>
      <c r="U111" s="11403" t="n"/>
      <c r="V111" s="5454" t="inlineStr">
        <is>
          <t>Also, include</t>
        </is>
      </c>
      <c r="W111" s="5448" t="n"/>
      <c r="X111" s="441">
        <f>AND(X112&lt;&gt;"",X112&gt;0)</f>
        <v/>
      </c>
      <c r="Y111" s="88" t="n"/>
      <c r="Z111" s="88" t="n"/>
      <c r="AA111" s="139" t="n"/>
      <c r="AB111" s="5664">
        <f>IF(X112&gt;X110,"be more than","")</f>
        <v/>
      </c>
      <c r="AC111" s="12222" t="n"/>
      <c r="AD111" s="12222" t="n"/>
      <c r="AE111" s="1192" t="n"/>
      <c r="AF111" s="1192" t="n"/>
      <c r="AG111" s="11602" t="n"/>
      <c r="AH111" s="11602" t="n"/>
      <c r="AI111" s="11602" t="n"/>
      <c r="AJ111" s="11602" t="n"/>
      <c r="AK111" s="5646" t="inlineStr">
        <is>
          <t>Sch. SE #1 Lines 3 &amp; 4b</t>
        </is>
      </c>
      <c r="AL111" s="5647">
        <f>IF(NOT($AJ$5),0,SUM(SchSE_Profit1,SchSELine4b1))</f>
        <v/>
      </c>
      <c r="AM111" s="5648">
        <f>IF(AND(NOT($AJ$5),$AJ$7),SUM(SchSE_Profit1,SchSELine4b1),0)</f>
        <v/>
      </c>
      <c r="AN111" s="5649" t="n"/>
      <c r="AO111" s="11602" t="n"/>
      <c r="AP111" s="11602" t="n"/>
      <c r="AQ111" s="658" t="n"/>
      <c r="AR111" s="658" t="n"/>
      <c r="AS111" s="658" t="n"/>
      <c r="AT111" s="658" t="n"/>
      <c r="AU111" s="658" t="n"/>
      <c r="AV111" s="658" t="n"/>
      <c r="AW111" s="658" t="n"/>
      <c r="AX111" s="658" t="n"/>
      <c r="AY111" s="658" t="n"/>
      <c r="AZ111" s="658" t="n"/>
    </row>
    <row r="112" ht="13.5" customHeight="1" s="7635" thickBot="1">
      <c r="A112" s="139" t="n"/>
      <c r="B112" s="2432" t="n"/>
      <c r="C112" s="2432" t="n"/>
      <c r="D112" s="5665" t="inlineStr">
        <is>
          <t>this amount on line 4b above</t>
        </is>
      </c>
      <c r="E112" s="2432" t="n"/>
      <c r="F112" s="2432" t="n"/>
      <c r="G112" s="2432" t="n"/>
      <c r="H112" s="2432" t="n"/>
      <c r="I112" s="2432" t="n"/>
      <c r="J112" s="2432" t="n"/>
      <c r="K112" s="2432" t="n"/>
      <c r="L112" s="2432" t="n"/>
      <c r="M112" s="2432" t="n"/>
      <c r="N112" s="2432" t="n"/>
      <c r="O112" s="2432" t="n"/>
      <c r="P112" s="2432" t="n"/>
      <c r="Q112" s="2432" t="n"/>
      <c r="R112" s="2432" t="n"/>
      <c r="S112" s="2432" t="n"/>
      <c r="T112" s="2432" t="n"/>
      <c r="U112" s="2432" t="n"/>
      <c r="V112" s="5666" t="inlineStr">
        <is>
          <t xml:space="preserve">.   .   .   .   .   .   .   .   .   .   .   .   .   .   .   .   .   .   .   .   .   .   .   . </t>
        </is>
      </c>
      <c r="W112" s="5521" t="n">
        <v>15</v>
      </c>
      <c r="X112" s="8851" t="n"/>
      <c r="Y112" s="11717" t="n"/>
      <c r="Z112" s="11717" t="n"/>
      <c r="AA112" s="139" t="n"/>
      <c r="AB112" s="5664">
        <f>IF(X112&gt;X110,"Line 14.","")</f>
        <v/>
      </c>
      <c r="AC112" s="12222" t="n"/>
      <c r="AD112" s="12222" t="n"/>
      <c r="AE112" s="1192" t="n"/>
      <c r="AF112" s="1192" t="n"/>
      <c r="AG112" s="11602" t="n"/>
      <c r="AH112" s="11602" t="n"/>
      <c r="AI112" s="11602" t="n"/>
      <c r="AJ112" s="1208" t="n"/>
      <c r="AK112" s="5646" t="inlineStr">
        <is>
          <t>Sch. SE #2 Lines 3 &amp; 4b</t>
        </is>
      </c>
      <c r="AL112" s="5651">
        <f>IF(NOT($AJ$65),0,SUM(SchSE_Profit2,SchSELine4b2))</f>
        <v/>
      </c>
      <c r="AM112" s="6402">
        <f>IF(AND(NOT($AJ$65),$AJ$67),SUM(SchSE_Profit2,SchSELine4b2),0)</f>
        <v/>
      </c>
      <c r="AN112" s="5653" t="n"/>
      <c r="AO112" s="11602" t="n"/>
      <c r="AP112" s="11602" t="n"/>
      <c r="AQ112" s="658" t="n"/>
      <c r="AR112" s="658" t="n"/>
      <c r="AS112" s="658" t="n"/>
      <c r="AT112" s="658" t="n"/>
      <c r="AU112" s="658" t="n"/>
      <c r="AV112" s="658" t="n"/>
      <c r="AW112" s="658" t="n"/>
      <c r="AX112" s="658" t="n"/>
      <c r="AY112" s="658" t="n"/>
      <c r="AZ112" s="658" t="n"/>
    </row>
    <row r="113" ht="13.5" customHeight="1" s="7635" thickBot="1">
      <c r="A113" s="139" t="n"/>
      <c r="B113" s="226" t="inlineStr">
        <is>
          <t>Nonfarm Optional Method.     You may use this method only if   (a) your net nonfarm profits3 were  less</t>
        </is>
      </c>
      <c r="C113" s="88" t="n"/>
      <c r="D113" s="88" t="n"/>
      <c r="E113" s="88" t="n"/>
      <c r="F113" s="88" t="n"/>
      <c r="G113" s="88" t="n"/>
      <c r="H113" s="88" t="n"/>
      <c r="I113" s="88" t="n"/>
      <c r="J113" s="88" t="n"/>
      <c r="K113" s="88" t="n"/>
      <c r="L113" s="88" t="n"/>
      <c r="M113" s="88" t="n"/>
      <c r="N113" s="88" t="n"/>
      <c r="O113" s="88" t="n"/>
      <c r="P113" s="88" t="n"/>
      <c r="Q113" s="88" t="n"/>
      <c r="R113" s="88" t="n"/>
      <c r="S113" s="88" t="n"/>
      <c r="T113" s="7300">
        <f>"than "&amp;TEXT(X109,"$0,000")</f>
        <v/>
      </c>
      <c r="U113" s="7300" t="n"/>
      <c r="V113" s="5667" t="n"/>
      <c r="W113" s="5448" t="n"/>
      <c r="X113" s="441" t="n">
        <v>0.72189</v>
      </c>
      <c r="Y113" s="88" t="n"/>
      <c r="Z113" s="88" t="n"/>
      <c r="AA113" s="139" t="n"/>
      <c r="AB113" s="5415" t="n"/>
      <c r="AC113" s="12222" t="n"/>
      <c r="AD113" s="12222" t="n"/>
      <c r="AE113" s="1192" t="n"/>
      <c r="AF113" s="1192" t="n"/>
      <c r="AG113" s="11602" t="n"/>
      <c r="AH113" s="11602" t="n"/>
      <c r="AI113" s="11602" t="n"/>
      <c r="AJ113" s="1208" t="n"/>
      <c r="AK113" s="1061" t="inlineStr">
        <is>
          <t>Total lines 3 &amp; 4b</t>
        </is>
      </c>
      <c r="AL113" s="5651">
        <f>SUM(AL111:AL112)</f>
        <v/>
      </c>
      <c r="AM113" s="6403">
        <f>SUM(AM111:AM112)</f>
        <v/>
      </c>
      <c r="AN113" s="5653">
        <f>SUM(SchSE_Clergy_CEI_You,SchSE_Clergy_CEI_Sp)</f>
        <v/>
      </c>
      <c r="AO113" s="11602" t="n"/>
      <c r="AP113" s="11602" t="n"/>
      <c r="AQ113" s="658" t="n"/>
      <c r="AR113" s="658" t="n"/>
      <c r="AS113" s="658" t="n"/>
      <c r="AT113" s="658" t="n"/>
      <c r="AU113" s="658" t="n"/>
      <c r="AV113" s="658" t="n"/>
      <c r="AW113" s="658" t="n"/>
      <c r="AX113" s="658" t="n"/>
      <c r="AY113" s="658" t="n"/>
      <c r="AZ113" s="658" t="n"/>
    </row>
    <row r="114" ht="13.5" customHeight="1" s="7635" thickBot="1">
      <c r="A114" s="139" t="n"/>
      <c r="B114" s="2617">
        <f>"and also less than "&amp;TEXT(X113,"0.000%")&amp;" of your"</f>
        <v/>
      </c>
      <c r="C114" s="88" t="n"/>
      <c r="D114" s="88" t="n"/>
      <c r="E114" s="88" t="n"/>
      <c r="F114" s="88" t="n"/>
      <c r="G114" s="88" t="n"/>
      <c r="H114" s="11403" t="n"/>
      <c r="I114" s="88" t="n"/>
      <c r="J114" s="11403" t="n"/>
      <c r="K114" s="88" t="n"/>
      <c r="L114" s="88" t="n"/>
      <c r="M114" s="88" t="n"/>
      <c r="N114" s="88" t="n"/>
      <c r="O114" s="88" t="n"/>
      <c r="P114" s="88" t="n"/>
      <c r="Q114" s="88" t="n"/>
      <c r="R114" s="88" t="n"/>
      <c r="S114" s="5454" t="inlineStr">
        <is>
          <t>gross nonfarm income4 and (b) you had net earnings from self-</t>
        </is>
      </c>
      <c r="T114" s="88" t="n"/>
      <c r="U114" s="88" t="n"/>
      <c r="V114" s="88" t="n"/>
      <c r="W114" s="5448" t="n"/>
      <c r="X114" s="441" t="n">
        <v>400</v>
      </c>
      <c r="Y114" s="88" t="n"/>
      <c r="Z114" s="88" t="n"/>
      <c r="AA114" s="139" t="n"/>
      <c r="AB114" s="5415" t="n"/>
      <c r="AC114" s="12222" t="n"/>
      <c r="AD114" s="12222" t="n"/>
      <c r="AE114" s="1192" t="n"/>
      <c r="AF114" s="1192" t="n"/>
      <c r="AG114" s="11602" t="n"/>
      <c r="AH114" s="11602" t="n"/>
      <c r="AI114" s="11602" t="n"/>
      <c r="AJ114" s="11602" t="n"/>
      <c r="AK114" s="344" t="n"/>
      <c r="AL114" s="1193" t="n"/>
      <c r="AM114" s="1193" t="n"/>
      <c r="AN114" s="1193" t="n"/>
      <c r="AO114" s="11602" t="n"/>
      <c r="AP114" s="11602" t="n"/>
      <c r="AQ114" s="658" t="n"/>
      <c r="AR114" s="658" t="n"/>
      <c r="AS114" s="658" t="n"/>
      <c r="AT114" s="658" t="n"/>
      <c r="AU114" s="658" t="n"/>
      <c r="AV114" s="658" t="n"/>
      <c r="AW114" s="658" t="n"/>
      <c r="AX114" s="658" t="n"/>
      <c r="AY114" s="658" t="n"/>
      <c r="AZ114" s="658" t="n"/>
    </row>
    <row r="115">
      <c r="A115" s="139" t="n"/>
      <c r="B115" s="8922">
        <f>"employment of at least "&amp;TEXT(X114,"$0")&amp;" in 2 of the prior 3 years."</f>
        <v/>
      </c>
      <c r="C115" s="88" t="n"/>
      <c r="D115" s="88" t="n"/>
      <c r="E115" s="88" t="n"/>
      <c r="F115" s="88" t="n"/>
      <c r="G115" s="88" t="n"/>
      <c r="H115" s="88" t="n"/>
      <c r="I115" s="88" t="n"/>
      <c r="J115" s="88" t="n"/>
      <c r="K115" s="11403" t="inlineStr">
        <is>
          <t>Caution: You may use this method no more than five times.</t>
        </is>
      </c>
      <c r="L115" s="88" t="n"/>
      <c r="M115" s="11403" t="n"/>
      <c r="N115" s="88" t="n"/>
      <c r="O115" s="88" t="n"/>
      <c r="P115" s="88" t="n"/>
      <c r="Q115" s="88" t="n"/>
      <c r="R115" s="88" t="n"/>
      <c r="S115" s="88" t="n"/>
      <c r="T115" s="88" t="n"/>
      <c r="U115" s="88" t="n"/>
      <c r="V115" s="88" t="n"/>
      <c r="W115" s="5448" t="n"/>
      <c r="X115" s="88" t="n"/>
      <c r="Y115" s="88" t="n"/>
      <c r="Z115" s="88" t="n"/>
      <c r="AA115" s="139" t="n"/>
      <c r="AB115" s="5415" t="n"/>
      <c r="AC115" s="12222" t="n"/>
      <c r="AD115" s="12222" t="n"/>
      <c r="AE115" s="1192" t="n"/>
      <c r="AF115" s="1192" t="n"/>
      <c r="AG115" s="11602" t="n"/>
      <c r="AH115" s="11602" t="n"/>
      <c r="AI115" s="11602" t="n"/>
      <c r="AJ115" s="11602" t="n"/>
      <c r="AK115" s="5642" t="n"/>
      <c r="AL115" s="5643" t="inlineStr">
        <is>
          <t>You</t>
        </is>
      </c>
      <c r="AM115" s="5644" t="inlineStr">
        <is>
          <t>Spouse</t>
        </is>
      </c>
      <c r="AN115" s="5645" t="n"/>
      <c r="AO115" s="1191" t="n"/>
      <c r="AP115" s="11602" t="n"/>
      <c r="AQ115" s="658" t="n"/>
      <c r="AR115" s="658" t="n"/>
      <c r="AS115" s="658" t="n"/>
      <c r="AT115" s="658" t="n"/>
      <c r="AU115" s="658" t="n"/>
      <c r="AV115" s="658" t="n"/>
      <c r="AW115" s="658" t="n"/>
      <c r="AX115" s="658" t="n"/>
      <c r="AY115" s="658" t="n"/>
      <c r="AZ115" s="658" t="n"/>
    </row>
    <row r="116">
      <c r="A116" s="139" t="n"/>
      <c r="B116" s="88" t="n"/>
      <c r="C116" s="228" t="n">
        <v>16</v>
      </c>
      <c r="D116" s="88" t="inlineStr">
        <is>
          <t>Subtract line 15 from line 14</t>
        </is>
      </c>
      <c r="E116" s="88" t="n"/>
      <c r="F116" s="88" t="n"/>
      <c r="G116" s="88" t="n"/>
      <c r="H116" s="88" t="n"/>
      <c r="I116" s="88" t="n"/>
      <c r="J116" s="88" t="n"/>
      <c r="K116" s="88" t="n"/>
      <c r="L116" s="88" t="n"/>
      <c r="M116" s="88" t="n"/>
      <c r="N116" s="88" t="n"/>
      <c r="O116" s="88" t="n"/>
      <c r="P116" s="88" t="n"/>
      <c r="Q116" s="88" t="n"/>
      <c r="R116" s="88" t="n"/>
      <c r="S116" s="88" t="n"/>
      <c r="T116" s="88" t="n"/>
      <c r="U116" s="88" t="n"/>
      <c r="V116" s="5668" t="inlineStr">
        <is>
          <t xml:space="preserve"> .   .   .   .   .   .   .   .   .   .   .   .   .   .   .   .   .   .   .   .   .   .   .   .   .   .   . </t>
        </is>
      </c>
      <c r="W116" s="5521" t="n">
        <v>16</v>
      </c>
      <c r="X116" s="8858">
        <f>IF(X112="","",IF(X110-X112&lt;0,0,X110-X112))</f>
        <v/>
      </c>
      <c r="Y116" s="7637" t="n"/>
      <c r="Z116" s="7637" t="n"/>
      <c r="AA116" s="139" t="n"/>
      <c r="AB116" s="5415" t="n"/>
      <c r="AH116" s="7834">
        <f>IF(Q106="",0,Q106)</f>
        <v/>
      </c>
      <c r="AJ116" s="11602" t="n"/>
      <c r="AK116" s="5646" t="inlineStr">
        <is>
          <t>Sch. SE #1 Lines 3, 4b, &amp; 5a.</t>
        </is>
      </c>
      <c r="AL116" s="5647">
        <f>IF(NOT($AJ$5),0,SUM(SchSE_Profit1,SchSELine4b1,ChurchEmployeeIncome1))</f>
        <v/>
      </c>
      <c r="AM116" s="5648">
        <f>IF(AND(NOT($AJ$5),$AJ$7),SUM(SchSE_Profit1,SchSELine4b1,ChurchEmployeeIncome1),0)</f>
        <v/>
      </c>
      <c r="AN116" s="5649" t="n"/>
      <c r="AO116" s="11602" t="n"/>
      <c r="AP116" s="11602" t="n"/>
      <c r="AQ116" s="658" t="n"/>
      <c r="AR116" s="658" t="n"/>
      <c r="AS116" s="658" t="n"/>
      <c r="AT116" s="658" t="n"/>
      <c r="AU116" s="658" t="n"/>
      <c r="AV116" s="658" t="n"/>
      <c r="AW116" s="658" t="n"/>
      <c r="AX116" s="658" t="n"/>
      <c r="AY116" s="658" t="n"/>
      <c r="AZ116" s="658" t="n"/>
    </row>
    <row r="117" ht="15" customHeight="1" s="7635" thickBot="1">
      <c r="A117" s="139" t="n"/>
      <c r="B117" s="88" t="n"/>
      <c r="C117" s="228" t="n">
        <v>17</v>
      </c>
      <c r="D117" s="11403" t="inlineStr">
        <is>
          <t>Enter the smaller of: two-thirds (2 ⁄3) of gross nonfarm income4 (not less than zero) or the amount on</t>
        </is>
      </c>
      <c r="E117" s="88" t="n"/>
      <c r="F117" s="88" t="n"/>
      <c r="G117" s="88" t="n"/>
      <c r="H117" s="88" t="n"/>
      <c r="I117" s="88" t="n"/>
      <c r="J117" s="88" t="n"/>
      <c r="K117" s="88" t="n"/>
      <c r="L117" s="88" t="n"/>
      <c r="M117" s="88" t="n"/>
      <c r="N117" s="88" t="n"/>
      <c r="O117" s="88" t="n"/>
      <c r="P117" s="88" t="n"/>
      <c r="Q117" s="88" t="n"/>
      <c r="R117" s="88" t="n"/>
      <c r="S117" s="88" t="n"/>
      <c r="T117" s="88" t="n"/>
      <c r="U117" s="88" t="n"/>
      <c r="V117" s="88" t="n"/>
      <c r="W117" s="5448" t="n"/>
      <c r="X117" s="441">
        <f>AND(X118&lt;&gt;"",X118&gt;0)</f>
        <v/>
      </c>
      <c r="Y117" s="88" t="n"/>
      <c r="Z117" s="88" t="n"/>
      <c r="AA117" s="139" t="n"/>
      <c r="AB117" s="2701">
        <f>IF($X$58&gt;$X$56,"Line 17 cannot","")</f>
        <v/>
      </c>
      <c r="AC117" s="207" t="n"/>
      <c r="AD117" s="207" t="n"/>
      <c r="AE117" s="207" t="n"/>
      <c r="AF117" s="207" t="n"/>
      <c r="AG117" s="207" t="n"/>
      <c r="AH117" s="207" t="n"/>
      <c r="AJ117" s="1208" t="n"/>
      <c r="AK117" s="5646" t="inlineStr">
        <is>
          <t>Sch. SE #2 Lines 3, 4b, &amp; 5a.</t>
        </is>
      </c>
      <c r="AL117" s="5651">
        <f>IF(NOT($AJ$65),0,SUM(SchSE_Profit2,SchSELine4b2,ChurchEmployeeIncome2))</f>
        <v/>
      </c>
      <c r="AM117" s="6402">
        <f>IF(AND(NOT($AJ$65),$AJ$67),SUM(SchSE_Profit2,SchSELine4b2,ChurchEmployeeIncome2),0)</f>
        <v/>
      </c>
      <c r="AN117" s="5653" t="n"/>
      <c r="AO117" s="11602" t="n"/>
      <c r="AP117" s="11602" t="n"/>
      <c r="AQ117" s="658" t="n"/>
      <c r="AR117" s="658" t="n"/>
      <c r="AS117" s="658" t="n"/>
      <c r="AT117" s="658" t="n"/>
      <c r="AU117" s="658" t="n"/>
      <c r="AV117" s="658" t="n"/>
      <c r="AW117" s="658" t="n"/>
      <c r="AX117" s="658" t="n"/>
      <c r="AY117" s="658" t="n"/>
      <c r="AZ117" s="658" t="n"/>
    </row>
    <row r="118" ht="13.5" customHeight="1" s="7635" thickBot="1">
      <c r="A118" s="139" t="n"/>
      <c r="B118" s="88" t="n"/>
      <c r="C118" s="88" t="n"/>
      <c r="D118" s="2449" t="inlineStr">
        <is>
          <t>line 16. Also include this amount on line 4b above</t>
        </is>
      </c>
      <c r="E118" s="88" t="n"/>
      <c r="F118" s="88" t="n"/>
      <c r="G118" s="88" t="n"/>
      <c r="H118" s="88" t="n"/>
      <c r="I118" s="88" t="n"/>
      <c r="J118" s="88" t="n"/>
      <c r="K118" s="88" t="n"/>
      <c r="L118" s="88" t="n"/>
      <c r="M118" s="88" t="n"/>
      <c r="N118" s="88" t="n"/>
      <c r="O118" s="88" t="n"/>
      <c r="P118" s="88" t="n"/>
      <c r="Q118" s="88" t="n"/>
      <c r="R118" s="88" t="n"/>
      <c r="S118" s="88" t="n"/>
      <c r="T118" s="88" t="n"/>
      <c r="U118" s="88" t="n"/>
      <c r="V118" s="2715" t="inlineStr">
        <is>
          <t xml:space="preserve">.   .   .   .   .   .   .   .   .   .   .   .   .   .   .   .   . </t>
        </is>
      </c>
      <c r="W118" s="5521" t="n">
        <v>17</v>
      </c>
      <c r="X118" s="8851" t="n"/>
      <c r="Y118" s="11717" t="n"/>
      <c r="Z118" s="11717" t="n"/>
      <c r="AA118" s="139" t="n"/>
      <c r="AB118" s="2701">
        <f>IF($X$58&gt;$X$56,"be more than","")</f>
        <v/>
      </c>
      <c r="AJ118" s="1208" t="n"/>
      <c r="AK118" s="1061" t="inlineStr">
        <is>
          <t>Total lines 3, 4b, &amp; 5a</t>
        </is>
      </c>
      <c r="AL118" s="5651">
        <f>SUM(AL116:AL117)</f>
        <v/>
      </c>
      <c r="AM118" s="6403">
        <f>SUM(AM116:AM117)</f>
        <v/>
      </c>
      <c r="AN118" s="5653">
        <f>SUM(SchSE_Clergy_CEI_You,SchSE_Clergy_CEI_Sp)</f>
        <v/>
      </c>
      <c r="AO118" s="11602" t="n"/>
      <c r="AP118" s="11602" t="n"/>
      <c r="AQ118" s="658" t="n"/>
      <c r="AR118" s="658" t="n"/>
      <c r="AS118" s="658" t="n"/>
      <c r="AT118" s="658" t="n"/>
      <c r="AU118" s="658" t="n"/>
      <c r="AV118" s="658" t="n"/>
      <c r="AW118" s="658" t="n"/>
      <c r="AX118" s="658" t="n"/>
      <c r="AY118" s="658" t="n"/>
      <c r="AZ118" s="658" t="n"/>
    </row>
    <row r="119" ht="14.25" customHeight="1" s="7635">
      <c r="A119" s="139" t="n"/>
      <c r="B119" s="5670" t="n">
        <v>1</v>
      </c>
      <c r="C119" s="8830" t="inlineStr">
        <is>
          <t>From Sch. F, line 9, and Sch. K-1 (Form 1065), box 14, code B.</t>
        </is>
      </c>
      <c r="L119" s="7636" t="n"/>
      <c r="M119" s="5671" t="n">
        <v>3</v>
      </c>
      <c r="N119" s="8843" t="inlineStr">
        <is>
          <t>From Sch. C, line 31; and Sch. K-1 (Form 1065), box 14, code A.</t>
        </is>
      </c>
      <c r="AA119" s="139" t="n"/>
      <c r="AB119" s="2701">
        <f>IF($X$58&gt;$X$56,"Line 16.","")</f>
        <v/>
      </c>
      <c r="AJ119" s="1208" t="n"/>
      <c r="AK119" s="1061" t="n"/>
      <c r="AL119" s="1061" t="n"/>
      <c r="AM119" s="1061" t="n"/>
      <c r="AN119" s="1061" t="n"/>
      <c r="AO119" s="11602" t="n"/>
      <c r="AP119" s="11602" t="n"/>
      <c r="AQ119" s="658" t="n"/>
      <c r="AR119" s="658" t="n"/>
      <c r="AS119" s="658" t="n"/>
      <c r="AT119" s="658" t="n"/>
      <c r="AU119" s="658" t="n"/>
      <c r="AV119" s="658" t="n"/>
      <c r="AW119" s="658" t="n"/>
      <c r="AX119" s="658" t="n"/>
      <c r="AY119" s="658" t="n"/>
      <c r="AZ119" s="658" t="n"/>
    </row>
    <row r="120" ht="25.5" customFormat="1" customHeight="1" s="207" thickBot="1">
      <c r="A120" s="139" t="n"/>
      <c r="B120" s="5673" t="n">
        <v>2</v>
      </c>
      <c r="C120" s="8832" t="inlineStr">
        <is>
          <t>From Sch. F, line 34, and Sch. K-1 (Form 1065),  box 14, code A - minus the amount you would've entered on line 1b had you not used the optional method.</t>
        </is>
      </c>
      <c r="D120" s="8848" t="n"/>
      <c r="E120" s="8848" t="n"/>
      <c r="F120" s="8848" t="n"/>
      <c r="G120" s="8848" t="n"/>
      <c r="H120" s="8848" t="n"/>
      <c r="I120" s="8848" t="n"/>
      <c r="J120" s="8848" t="n"/>
      <c r="K120" s="8848" t="n"/>
      <c r="L120" s="12121" t="n"/>
      <c r="M120" s="5673" t="n">
        <v>4</v>
      </c>
      <c r="N120" s="8831" t="inlineStr">
        <is>
          <t>From Sch. C, line 7; and Sch. K-1 (Form 1065), box 14, code C.</t>
        </is>
      </c>
      <c r="O120" s="8848" t="n"/>
      <c r="P120" s="8848" t="n"/>
      <c r="Q120" s="8848" t="n"/>
      <c r="R120" s="8848" t="n"/>
      <c r="S120" s="8848" t="n"/>
      <c r="T120" s="8848" t="n"/>
      <c r="U120" s="8848" t="n"/>
      <c r="V120" s="8848" t="n"/>
      <c r="W120" s="8848" t="n"/>
      <c r="X120" s="8848" t="n"/>
      <c r="Y120" s="8848" t="n"/>
      <c r="Z120" s="8848" t="n"/>
      <c r="AA120" s="139" t="n"/>
      <c r="AB120" s="5415" t="n"/>
      <c r="AJ120" s="11602" t="n"/>
      <c r="AK120" s="344" t="n"/>
      <c r="AL120" s="1205" t="inlineStr">
        <is>
          <t>Sch. SE 1</t>
        </is>
      </c>
      <c r="AM120" s="1205" t="inlineStr">
        <is>
          <t>Sch. SE 2</t>
        </is>
      </c>
      <c r="AN120" s="1205" t="n"/>
      <c r="AO120" s="11602" t="n"/>
      <c r="AP120" s="11602" t="n"/>
      <c r="AQ120" s="687" t="n"/>
      <c r="AR120" s="687" t="n"/>
      <c r="AS120" s="687" t="n"/>
      <c r="AT120" s="687" t="n"/>
      <c r="AU120" s="687" t="n"/>
      <c r="AV120" s="687" t="n"/>
      <c r="AW120" s="687" t="n"/>
      <c r="AX120" s="687" t="n"/>
      <c r="AY120" s="687" t="n"/>
      <c r="AZ120" s="687" t="n"/>
    </row>
    <row r="121" ht="13.5" customHeight="1" s="7635" thickBot="1">
      <c r="A121" s="5674" t="n"/>
      <c r="B121" s="6489" t="inlineStr">
        <is>
          <t>For Paperwork Reduction Act Notice, see your tax return instructions.</t>
        </is>
      </c>
      <c r="C121" s="5675" t="n"/>
      <c r="D121" s="5676" t="n"/>
      <c r="E121" s="5676" t="n"/>
      <c r="F121" s="5677" t="n"/>
      <c r="G121" s="5678" t="n"/>
      <c r="H121" s="5676" t="n"/>
      <c r="I121" s="5676" t="n"/>
      <c r="J121" s="5676" t="n"/>
      <c r="K121" s="5676" t="n"/>
      <c r="L121" s="5676" t="n"/>
      <c r="M121" s="5677" t="n"/>
      <c r="N121" s="5678" t="n"/>
      <c r="O121" s="5676" t="n"/>
      <c r="P121" s="5676" t="n"/>
      <c r="Q121" s="6486" t="inlineStr">
        <is>
          <t>Cat. No. 11358Z</t>
        </is>
      </c>
      <c r="R121" s="5676" t="n"/>
      <c r="S121" s="6488">
        <f>"Schedule SE (Form 1040) "&amp;TaxYear</f>
        <v/>
      </c>
      <c r="T121" s="5679" t="n"/>
      <c r="U121" s="5680" t="n"/>
      <c r="V121" s="571" t="n"/>
      <c r="W121" s="5681" t="n"/>
      <c r="X121" s="5422" t="n"/>
      <c r="Y121" s="5422" t="n"/>
      <c r="Z121" s="6487" t="inlineStr">
        <is>
          <t>Created 5/7/25</t>
        </is>
      </c>
      <c r="AA121" s="5682" t="n"/>
      <c r="AB121" s="5683" t="n"/>
      <c r="AJ121" s="9750" t="inlineStr">
        <is>
          <t>2.</t>
        </is>
      </c>
      <c r="AK121" s="344" t="inlineStr">
        <is>
          <t>Sch. C1 Line 31</t>
        </is>
      </c>
      <c r="AL121" s="5628">
        <f>AL47</f>
        <v/>
      </c>
      <c r="AM121" s="5630">
        <f>AM47</f>
        <v/>
      </c>
      <c r="AN121" s="11602" t="n"/>
      <c r="AO121" s="11602" t="n"/>
      <c r="AP121" s="11602" t="n"/>
      <c r="AQ121" s="658" t="n"/>
      <c r="AR121" s="658" t="n"/>
      <c r="AS121" s="658" t="n"/>
      <c r="AT121" s="658" t="n"/>
      <c r="AU121" s="658" t="n"/>
      <c r="AV121" s="658" t="n"/>
      <c r="AW121" s="658" t="n"/>
      <c r="AX121" s="658" t="n"/>
      <c r="AY121" s="658" t="n"/>
      <c r="AZ121" s="658" t="n"/>
    </row>
    <row r="122">
      <c r="A122" s="139" t="n"/>
      <c r="B122" s="139" t="n"/>
      <c r="C122" s="139" t="n"/>
      <c r="D122" s="139" t="n"/>
      <c r="E122" s="139" t="n"/>
      <c r="F122" s="139" t="n"/>
      <c r="G122" s="139" t="n"/>
      <c r="H122" s="139" t="n"/>
      <c r="I122" s="139" t="n"/>
      <c r="J122" s="139" t="n"/>
      <c r="K122" s="139" t="n"/>
      <c r="L122" s="139" t="n"/>
      <c r="M122" s="139" t="n"/>
      <c r="N122" s="139" t="n"/>
      <c r="O122" s="139" t="n"/>
      <c r="P122" s="139" t="n"/>
      <c r="Q122" s="139" t="n"/>
      <c r="R122" s="139" t="n"/>
      <c r="S122" s="139" t="n"/>
      <c r="T122" s="139" t="n"/>
      <c r="U122" s="139" t="n"/>
      <c r="V122" s="139" t="n"/>
      <c r="W122" s="139" t="n"/>
      <c r="X122" s="139" t="n"/>
      <c r="Y122" s="139" t="n"/>
      <c r="Z122" s="139" t="n"/>
      <c r="AA122" s="139" t="n"/>
      <c r="AB122" s="5415" t="n"/>
      <c r="AJ122" s="9750" t="inlineStr">
        <is>
          <t>2.</t>
        </is>
      </c>
      <c r="AK122" s="344" t="inlineStr">
        <is>
          <t>Sch. C2 Line 31</t>
        </is>
      </c>
      <c r="AL122" s="5632">
        <f>AL48</f>
        <v/>
      </c>
      <c r="AM122" s="5634">
        <f>AM48</f>
        <v/>
      </c>
      <c r="AN122" s="11602" t="n"/>
      <c r="AO122" s="11602" t="n"/>
      <c r="AP122" s="11602" t="n"/>
    </row>
    <row r="123" ht="13.5" customHeight="1" s="7635" thickBot="1">
      <c r="AJ123" s="9750" t="inlineStr">
        <is>
          <t>2.</t>
        </is>
      </c>
      <c r="AK123" s="1061" t="inlineStr">
        <is>
          <t>Sch. C1 &amp; C2 Line 31</t>
        </is>
      </c>
      <c r="AL123" s="5662">
        <f>AL49</f>
        <v/>
      </c>
      <c r="AM123" s="5663">
        <f>AM49</f>
        <v/>
      </c>
      <c r="AN123" s="1193" t="n"/>
      <c r="AO123" s="11602" t="n"/>
      <c r="AP123" s="11602" t="n"/>
    </row>
    <row r="124" ht="13.5" customHeight="1" s="7635" thickBot="1">
      <c r="AJ124" s="11602" t="n"/>
      <c r="AK124" s="344" t="inlineStr">
        <is>
          <t>Sch C1 St Emp</t>
        </is>
      </c>
      <c r="AL124" s="1193">
        <f>AL50</f>
        <v/>
      </c>
      <c r="AM124" s="1193">
        <f>AM50</f>
        <v/>
      </c>
      <c r="AN124" s="1193" t="n"/>
      <c r="AO124" s="11602" t="n"/>
      <c r="AP124" s="11602" t="n"/>
    </row>
    <row r="125" ht="26.25" customHeight="1" s="7635" thickBot="1" thickTop="1">
      <c r="B125" s="7980" t="n"/>
      <c r="C125" s="7980" t="n"/>
      <c r="D125" s="7980" t="n"/>
      <c r="E125" s="7980" t="n"/>
      <c r="F125" s="12225" t="inlineStr">
        <is>
          <t>Download Form 1040 Schedule SE</t>
        </is>
      </c>
      <c r="G125" s="11825" t="n"/>
      <c r="H125" s="11825" t="n"/>
      <c r="I125" s="11825" t="n"/>
      <c r="J125" s="11825" t="n"/>
      <c r="K125" s="11826" t="n"/>
      <c r="L125" s="7980" t="n"/>
      <c r="M125" s="7980" t="n"/>
      <c r="N125" s="7980" t="n"/>
      <c r="O125" s="7980" t="n"/>
      <c r="P125" s="7980" t="n"/>
      <c r="Q125" s="7980" t="n"/>
      <c r="R125" s="7980" t="n"/>
      <c r="S125" s="7980" t="n"/>
      <c r="T125" s="7980" t="n"/>
      <c r="U125" s="7980" t="n"/>
      <c r="V125" s="7980" t="n"/>
      <c r="W125" s="7980" t="n"/>
      <c r="X125" s="7980" t="n"/>
      <c r="Y125" s="7980" t="n"/>
      <c r="Z125" s="7980" t="n"/>
      <c r="AB125" s="7980" t="n"/>
      <c r="AJ125" s="11602" t="n"/>
      <c r="AK125" s="344" t="inlineStr">
        <is>
          <t>Sch C2 St Emp</t>
        </is>
      </c>
      <c r="AL125" s="11602">
        <f>AL51</f>
        <v/>
      </c>
      <c r="AM125" s="11602">
        <f>AM51</f>
        <v/>
      </c>
      <c r="AN125" s="11602" t="n"/>
      <c r="AO125" s="11602" t="n"/>
      <c r="AP125" s="11602" t="n"/>
    </row>
    <row r="126" ht="14.25" customHeight="1" s="7635" thickBot="1" thickTop="1">
      <c r="AA126" s="7980" t="n"/>
      <c r="AJ126" s="11602" t="n"/>
      <c r="AK126" s="11602" t="n"/>
      <c r="AL126" s="11602" t="n"/>
      <c r="AM126" s="11602" t="n"/>
      <c r="AN126" s="11602" t="n"/>
      <c r="AO126" s="11602" t="n"/>
      <c r="AP126" s="11602" t="n"/>
    </row>
    <row r="127" ht="14.25" customHeight="1" s="7635" thickBot="1" thickTop="1">
      <c r="B127" s="7980" t="n"/>
      <c r="C127" s="7980" t="n"/>
      <c r="D127" s="7980" t="n"/>
      <c r="E127" s="7980" t="n"/>
      <c r="F127" s="12225" t="inlineStr">
        <is>
          <t>Download Form 1040 Schedule SE Instructions</t>
        </is>
      </c>
      <c r="G127" s="11825" t="n"/>
      <c r="H127" s="11825" t="n"/>
      <c r="I127" s="11825" t="n"/>
      <c r="J127" s="11825" t="n"/>
      <c r="K127" s="11826" t="n"/>
      <c r="L127" s="7980" t="n"/>
      <c r="M127" s="7980" t="n"/>
      <c r="N127" s="7980" t="n"/>
      <c r="O127" s="7980" t="n"/>
      <c r="P127" s="7980" t="n"/>
      <c r="Q127" s="7980" t="n"/>
      <c r="R127" s="7980" t="n"/>
      <c r="S127" s="7980" t="n"/>
      <c r="T127" s="7980" t="n"/>
      <c r="U127" s="7980" t="n"/>
      <c r="V127" s="7980" t="n"/>
      <c r="W127" s="7980" t="n"/>
      <c r="X127" s="7980" t="n"/>
      <c r="Y127" s="7980" t="n"/>
      <c r="Z127" s="7980" t="n"/>
      <c r="AB127" s="7980" t="n"/>
      <c r="AJ127" s="11602" t="n"/>
      <c r="AK127" s="344" t="n"/>
      <c r="AL127" s="1193" t="n"/>
      <c r="AM127" s="344" t="n"/>
      <c r="AN127" s="11602" t="n"/>
      <c r="AO127" s="11602" t="n"/>
      <c r="AP127" s="11602" t="n"/>
    </row>
    <row r="128" ht="13.5" customHeight="1" s="7635" thickTop="1">
      <c r="AJ128" s="11602" t="n"/>
      <c r="AK128" s="1192" t="inlineStr">
        <is>
          <t>Sch. SE #1 Line 12</t>
        </is>
      </c>
      <c r="AL128" s="1209">
        <f>X43</f>
        <v/>
      </c>
      <c r="AM128" s="1195" t="n"/>
      <c r="AN128" s="1195" t="n"/>
      <c r="AO128" s="11602" t="n"/>
      <c r="AP128" s="11602" t="n"/>
    </row>
    <row r="129" ht="13.5" customHeight="1" s="7635" thickBot="1">
      <c r="AJ129" s="11602" t="n"/>
      <c r="AK129" s="1192" t="inlineStr">
        <is>
          <t>Sch. SE #2 Line 12</t>
        </is>
      </c>
      <c r="AL129" s="1210">
        <f>X103</f>
        <v/>
      </c>
      <c r="AM129" s="1191" t="n"/>
      <c r="AN129" s="1191" t="n"/>
      <c r="AO129" s="11602" t="n"/>
      <c r="AP129" s="11602" t="n"/>
    </row>
    <row r="130" ht="13.5" customHeight="1" s="7635" thickBot="1">
      <c r="AJ130" s="11602" t="n"/>
      <c r="AK130" s="1192" t="inlineStr">
        <is>
          <t>Total</t>
        </is>
      </c>
      <c r="AL130" s="1662">
        <f>SUM(AL128:AL129)</f>
        <v/>
      </c>
      <c r="AM130" s="1191" t="n"/>
      <c r="AN130" s="1191" t="n"/>
      <c r="AO130" s="11602" t="n"/>
    </row>
    <row r="131">
      <c r="AJ131" s="11602" t="n"/>
      <c r="AK131" s="1192" t="n"/>
      <c r="AL131" s="1191" t="n"/>
      <c r="AM131" s="1191" t="n"/>
      <c r="AN131" s="1191" t="n"/>
      <c r="AO131" s="11602" t="n"/>
      <c r="AP131" s="11602" t="n"/>
    </row>
    <row r="132" ht="13.5" customHeight="1" s="7635" thickBot="1">
      <c r="AJ132" s="1060" t="n"/>
      <c r="AK132" s="1192" t="n"/>
      <c r="AL132" s="1208" t="inlineStr">
        <is>
          <t>Yourself</t>
        </is>
      </c>
      <c r="AM132" s="1208" t="inlineStr">
        <is>
          <t>Spouse</t>
        </is>
      </c>
      <c r="AN132" s="1208" t="inlineStr">
        <is>
          <t>Both</t>
        </is>
      </c>
      <c r="AO132" s="11602" t="n"/>
      <c r="AP132" s="11602" t="n"/>
    </row>
    <row r="133">
      <c r="AJ133" s="12214" t="n"/>
      <c r="AK133" s="1192" t="inlineStr">
        <is>
          <t>Sch. SE #1 Line 13</t>
        </is>
      </c>
      <c r="AL133" s="1209">
        <f>IF(AND(AJ5,NOT(AJ7)),SchSEHalfTax1,0)</f>
        <v/>
      </c>
      <c r="AM133" s="1209">
        <f>IF(AND(NOT(AJ5),AJ7),SchSEHalfTax1,0)</f>
        <v/>
      </c>
      <c r="AN133" s="1209">
        <f>IF(AND(AJ5,AJ7),SchSEHalfTax1,0)</f>
        <v/>
      </c>
      <c r="AO133" s="11602" t="n"/>
      <c r="AP133" s="11602" t="n"/>
    </row>
    <row r="134">
      <c r="AJ134" s="11602" t="n"/>
      <c r="AK134" s="1192" t="inlineStr">
        <is>
          <t>Sch. SE #2 Line 13</t>
        </is>
      </c>
      <c r="AL134" s="1342">
        <f>IF(AND(AJ65,NOT(AJ67)),SchSEHalfTax2,0)</f>
        <v/>
      </c>
      <c r="AM134" s="1342">
        <f>IF(AND(NOT(AJ65),AJ67),SchSEHalfTax2,0)</f>
        <v/>
      </c>
      <c r="AN134" s="1342">
        <f>IF(AND(AJ65,AJ67),SchSEHalfTax2,0)</f>
        <v/>
      </c>
      <c r="AO134" s="11602" t="n"/>
      <c r="AP134" s="11602" t="n"/>
    </row>
    <row r="135" ht="13.5" customHeight="1" s="7635" thickBot="1">
      <c r="AJ135" s="11602" t="n"/>
      <c r="AK135" s="1061" t="inlineStr">
        <is>
          <t>Total</t>
        </is>
      </c>
      <c r="AL135" s="1343">
        <f>SUM(AL133:AL134)</f>
        <v/>
      </c>
      <c r="AM135" s="1343">
        <f>SUM(AM133:AM134)</f>
        <v/>
      </c>
      <c r="AN135" s="1343">
        <f>SUM(AN133:AN134)</f>
        <v/>
      </c>
      <c r="AO135" s="11602" t="n"/>
      <c r="AP135" s="11602" t="n"/>
    </row>
    <row r="136" ht="13.5" customHeight="1" s="7635" thickBot="1">
      <c r="AJ136" s="11602" t="n"/>
      <c r="AK136" s="1061" t="inlineStr">
        <is>
          <t>Grand Total</t>
        </is>
      </c>
      <c r="AL136" s="1343">
        <f>SUM(SchSE_Deduction_You,SchSE_Deduction_Sp,SchSE_Deduction_Both)</f>
        <v/>
      </c>
      <c r="AM136" s="5690" t="inlineStr">
        <is>
          <t xml:space="preserve"> &gt; to Sch. 1, line 15</t>
        </is>
      </c>
      <c r="AN136" s="5625" t="n"/>
      <c r="AO136" s="11602" t="n"/>
      <c r="AP136" s="11602" t="n"/>
    </row>
    <row r="137">
      <c r="AJ137" s="11602" t="n"/>
      <c r="AK137" s="1061" t="n"/>
      <c r="AL137" s="5625" t="n"/>
      <c r="AM137" s="5625" t="n"/>
      <c r="AN137" s="5625" t="n"/>
      <c r="AO137" s="11602" t="n"/>
      <c r="AP137" s="11602" t="n"/>
    </row>
    <row r="138">
      <c r="AJ138" s="11602" t="n"/>
      <c r="AK138" s="11602" t="n"/>
      <c r="AL138" s="11602" t="n"/>
      <c r="AM138" s="11602" t="n"/>
      <c r="AN138" s="11602" t="n"/>
      <c r="AO138" s="11602" t="n"/>
      <c r="AP138" s="11602" t="n"/>
    </row>
    <row r="139">
      <c r="AJ139" s="11602" t="n"/>
      <c r="AK139" s="11602" t="n"/>
      <c r="AL139" s="11602" t="n"/>
      <c r="AM139" s="11602" t="n"/>
      <c r="AN139" s="11602" t="n"/>
      <c r="AO139" s="11602" t="n"/>
      <c r="AP139" s="11602" t="n"/>
    </row>
    <row r="140">
      <c r="AJ140" s="11602" t="n"/>
      <c r="AK140" s="11602" t="n"/>
      <c r="AL140" s="11602" t="n"/>
      <c r="AM140" s="11602" t="n"/>
      <c r="AN140" s="11602" t="n"/>
      <c r="AO140" s="11602" t="n"/>
      <c r="AP140" s="11602" t="n"/>
    </row>
    <row r="141">
      <c r="AJ141" s="11602" t="n"/>
      <c r="AK141" s="11602" t="n"/>
      <c r="AL141" s="11602" t="n"/>
      <c r="AM141" s="11602" t="n"/>
      <c r="AN141" s="11602" t="n"/>
      <c r="AO141" s="11602" t="n"/>
      <c r="AP141" s="11602" t="n"/>
    </row>
    <row r="142">
      <c r="AJ142" s="11602" t="n"/>
      <c r="AK142" s="11602" t="n"/>
      <c r="AL142" s="11602" t="n"/>
      <c r="AM142" s="11602" t="n"/>
      <c r="AN142" s="11602" t="n"/>
      <c r="AO142" s="11602" t="n"/>
      <c r="AP142" s="11602" t="n"/>
    </row>
    <row r="143">
      <c r="AJ143" s="11602" t="n"/>
      <c r="AK143" s="11602" t="n"/>
      <c r="AL143" s="11602" t="n"/>
      <c r="AM143" s="11602" t="n"/>
      <c r="AN143" s="11602" t="n"/>
      <c r="AO143" s="11602" t="n"/>
      <c r="AP143" s="11602" t="n"/>
    </row>
    <row r="144">
      <c r="AJ144" s="11602" t="n"/>
      <c r="AK144" s="11602" t="n"/>
      <c r="AL144" s="11602" t="n"/>
      <c r="AM144" s="11602" t="n"/>
      <c r="AN144" s="11602" t="n"/>
      <c r="AO144" s="11602" t="n"/>
      <c r="AP144" s="11602" t="n"/>
    </row>
    <row r="145">
      <c r="AJ145" s="11602" t="n"/>
      <c r="AK145" s="11602" t="n"/>
      <c r="AL145" s="11602" t="n"/>
      <c r="AM145" s="11602" t="n"/>
      <c r="AN145" s="11602" t="n"/>
      <c r="AO145" s="11602" t="n"/>
      <c r="AP145" s="11602" t="n"/>
    </row>
    <row r="146">
      <c r="AJ146" s="11602" t="n"/>
      <c r="AK146" s="11602" t="n"/>
      <c r="AL146" s="11602" t="n"/>
      <c r="AM146" s="11602" t="n"/>
      <c r="AN146" s="11602" t="n"/>
      <c r="AO146" s="11602" t="n"/>
      <c r="AP146" s="11602" t="n"/>
    </row>
    <row r="147">
      <c r="AJ147" s="11602" t="n"/>
      <c r="AK147" s="11602" t="n"/>
      <c r="AL147" s="11602" t="n"/>
      <c r="AM147" s="11602" t="n"/>
      <c r="AN147" s="11602" t="n"/>
      <c r="AO147" s="11602" t="n"/>
    </row>
  </sheetData>
  <sheetProtection selectLockedCells="0" selectUnlockedCells="0" algorithmName="SHA-512" sheet="1" objects="1" insertRows="1" insertHyperlinks="1" autoFilter="1" scenarios="1" formatColumns="0" deleteColumns="1" insertColumns="1" pivotTables="1" deleteRows="1" formatCells="0" saltValue="98puKppsGdrOonNF59O2Iw==" formatRows="0" sort="1" spinCount="100000" hashValue="YWA1xH0BrrOXTPEC/zAHL7w5mtn21OkjM59J9g1LdVwnGjSjnRPzqFPvJy1IsCGMYD4XQH1scpArwq39L9Ct5g=="/>
  <mergeCells count="165">
    <mergeCell ref="W6:Z7"/>
    <mergeCell ref="X18:Z18"/>
    <mergeCell ref="B3:F3"/>
    <mergeCell ref="X74:Z74"/>
    <mergeCell ref="S95:V95"/>
    <mergeCell ref="AB10:AB12"/>
    <mergeCell ref="U105:V105"/>
    <mergeCell ref="X58:Z58"/>
    <mergeCell ref="B2:F2"/>
    <mergeCell ref="X76:Z76"/>
    <mergeCell ref="AC89:AD89"/>
    <mergeCell ref="AD8:AI11"/>
    <mergeCell ref="X100:Z100"/>
    <mergeCell ref="S96:V96"/>
    <mergeCell ref="X84:Z84"/>
    <mergeCell ref="R51:S51"/>
    <mergeCell ref="X22:Z22"/>
    <mergeCell ref="P32:Q32"/>
    <mergeCell ref="X102:Z102"/>
    <mergeCell ref="AC90:AD90"/>
    <mergeCell ref="X99:Z99"/>
    <mergeCell ref="X21:Z21"/>
    <mergeCell ref="W1:Z1"/>
    <mergeCell ref="X86:Z86"/>
    <mergeCell ref="W63:Z63"/>
    <mergeCell ref="X39:Z39"/>
    <mergeCell ref="X95:Z95"/>
    <mergeCell ref="W3:Z3"/>
    <mergeCell ref="X101:Z101"/>
    <mergeCell ref="X23:Z23"/>
    <mergeCell ref="C59:L59"/>
    <mergeCell ref="X97:Z97"/>
    <mergeCell ref="F127:K127"/>
    <mergeCell ref="S34:V34"/>
    <mergeCell ref="X78:Z78"/>
    <mergeCell ref="X16:Z16"/>
    <mergeCell ref="X87:Z87"/>
    <mergeCell ref="AE100:AF100"/>
    <mergeCell ref="G65:V65"/>
    <mergeCell ref="N119:Z119"/>
    <mergeCell ref="S36:V36"/>
    <mergeCell ref="B8:D8"/>
    <mergeCell ref="S92:V92"/>
    <mergeCell ref="X31:Z32"/>
    <mergeCell ref="Q66:V67"/>
    <mergeCell ref="X112:Z112"/>
    <mergeCell ref="X33:Z33"/>
    <mergeCell ref="S94:V94"/>
    <mergeCell ref="AC30:AD30"/>
    <mergeCell ref="B11:C11"/>
    <mergeCell ref="U104:V104"/>
    <mergeCell ref="X41:Z41"/>
    <mergeCell ref="X93:Z93"/>
    <mergeCell ref="X35:Z35"/>
    <mergeCell ref="X50:Z50"/>
    <mergeCell ref="B68:D68"/>
    <mergeCell ref="AK104:AL104"/>
    <mergeCell ref="S46:V46"/>
    <mergeCell ref="AB67:AB68"/>
    <mergeCell ref="X25:Z25"/>
    <mergeCell ref="X91:Z92"/>
    <mergeCell ref="X27:Z27"/>
    <mergeCell ref="X36:Z36"/>
    <mergeCell ref="W104:Z104"/>
    <mergeCell ref="AB78:AB79"/>
    <mergeCell ref="X77:Z77"/>
    <mergeCell ref="AG65:AG67"/>
    <mergeCell ref="Q6:V7"/>
    <mergeCell ref="AC63:AE64"/>
    <mergeCell ref="AD82:AH83"/>
    <mergeCell ref="X52:Z52"/>
    <mergeCell ref="W106:Z106"/>
    <mergeCell ref="B66:P66"/>
    <mergeCell ref="B5:F5"/>
    <mergeCell ref="X4:Z5"/>
    <mergeCell ref="AC41:AD41"/>
    <mergeCell ref="S97:V97"/>
    <mergeCell ref="U44:V44"/>
    <mergeCell ref="X116:Z116"/>
    <mergeCell ref="B4:F4"/>
    <mergeCell ref="S33:V33"/>
    <mergeCell ref="X103:Z103"/>
    <mergeCell ref="R111:S111"/>
    <mergeCell ref="AB70:AB72"/>
    <mergeCell ref="B62:F62"/>
    <mergeCell ref="B67:P67"/>
    <mergeCell ref="G64:V64"/>
    <mergeCell ref="W2:Z2"/>
    <mergeCell ref="X118:Z118"/>
    <mergeCell ref="S35:V35"/>
    <mergeCell ref="B71:C71"/>
    <mergeCell ref="U45:V45"/>
    <mergeCell ref="X15:Z15"/>
    <mergeCell ref="X24:Z24"/>
    <mergeCell ref="X80:Z80"/>
    <mergeCell ref="G63:V63"/>
    <mergeCell ref="X38:Z38"/>
    <mergeCell ref="F125:K125"/>
    <mergeCell ref="X89:Z89"/>
    <mergeCell ref="AD68:AI71"/>
    <mergeCell ref="W44:Z44"/>
    <mergeCell ref="AK39:AL39"/>
    <mergeCell ref="W66:Z67"/>
    <mergeCell ref="X79:Z79"/>
    <mergeCell ref="X88:Z88"/>
    <mergeCell ref="X26:Z26"/>
    <mergeCell ref="AG5:AG7"/>
    <mergeCell ref="AD22:AH23"/>
    <mergeCell ref="AC3:AE4"/>
    <mergeCell ref="B1:F1"/>
    <mergeCell ref="S93:V93"/>
    <mergeCell ref="X81:Z81"/>
    <mergeCell ref="AC29:AD29"/>
    <mergeCell ref="X90:Z90"/>
    <mergeCell ref="X43:Z43"/>
    <mergeCell ref="X110:Z110"/>
    <mergeCell ref="AE40:AF40"/>
    <mergeCell ref="S28:V28"/>
    <mergeCell ref="B7:P7"/>
    <mergeCell ref="B65:F65"/>
    <mergeCell ref="S37:V37"/>
    <mergeCell ref="X17:Z17"/>
    <mergeCell ref="G3:V3"/>
    <mergeCell ref="AB93:AB94"/>
    <mergeCell ref="B63:F63"/>
    <mergeCell ref="C120:L120"/>
    <mergeCell ref="X19:Z19"/>
    <mergeCell ref="X34:Z34"/>
    <mergeCell ref="G5:V5"/>
    <mergeCell ref="X28:Z28"/>
    <mergeCell ref="C119:L119"/>
    <mergeCell ref="N59:Z59"/>
    <mergeCell ref="X37:Z37"/>
    <mergeCell ref="N60:Z60"/>
    <mergeCell ref="X83:Z83"/>
    <mergeCell ref="G4:V4"/>
    <mergeCell ref="X30:Z30"/>
    <mergeCell ref="S32:V32"/>
    <mergeCell ref="S88:V88"/>
    <mergeCell ref="AC101:AD101"/>
    <mergeCell ref="X42:Z42"/>
    <mergeCell ref="X20:Z20"/>
    <mergeCell ref="X14:Z14"/>
    <mergeCell ref="X29:Z29"/>
    <mergeCell ref="X85:Z85"/>
    <mergeCell ref="S106:V106"/>
    <mergeCell ref="X94:Z94"/>
    <mergeCell ref="X75:Z75"/>
    <mergeCell ref="AB7:AB8"/>
    <mergeCell ref="S27:V27"/>
    <mergeCell ref="B6:P6"/>
    <mergeCell ref="X96:Z96"/>
    <mergeCell ref="X56:Z56"/>
    <mergeCell ref="X64:Z65"/>
    <mergeCell ref="X40:Z40"/>
    <mergeCell ref="B64:F64"/>
    <mergeCell ref="X98:Z98"/>
    <mergeCell ref="W62:Z62"/>
    <mergeCell ref="N120:Z120"/>
    <mergeCell ref="AB18:AB19"/>
    <mergeCell ref="AB33:AB34"/>
    <mergeCell ref="X82:Z82"/>
    <mergeCell ref="C60:L60"/>
    <mergeCell ref="W46:Z46"/>
    <mergeCell ref="P92:Q92"/>
  </mergeCells>
  <conditionalFormatting sqref="B7">
    <cfRule type="expression" priority="215" dxfId="6">
      <formula>NoColor</formula>
    </cfRule>
  </conditionalFormatting>
  <conditionalFormatting sqref="B67">
    <cfRule type="expression" priority="78" dxfId="6">
      <formula>NoColor</formula>
    </cfRule>
  </conditionalFormatting>
  <conditionalFormatting sqref="B23:C23">
    <cfRule type="expression" priority="211" dxfId="14" stopIfTrue="1">
      <formula>IF(AND(#REF!&lt;&gt;"",OR($X$17="",$X$17=0),$X$23&lt;$X$22),1,0)</formula>
    </cfRule>
  </conditionalFormatting>
  <conditionalFormatting sqref="B83:C83">
    <cfRule type="expression" priority="76" dxfId="14" stopIfTrue="1">
      <formula>IF(AND(#REF!&lt;&gt;"",OR($X$17="",$X$17=0),$X$23&lt;$X$22),1,0)</formula>
    </cfRule>
  </conditionalFormatting>
  <conditionalFormatting sqref="D27">
    <cfRule type="expression" priority="199" dxfId="0">
      <formula>AND(ChurchEmployee,ChurchEmployeeIncome="")</formula>
    </cfRule>
  </conditionalFormatting>
  <conditionalFormatting sqref="D87">
    <cfRule type="expression" priority="69" dxfId="0">
      <formula>AND(ChurchEmployee,ChurchEmployeeIncome="")</formula>
    </cfRule>
  </conditionalFormatting>
  <conditionalFormatting sqref="G62">
    <cfRule type="expression" priority="118" dxfId="20">
      <formula>NOT(Draft)</formula>
    </cfRule>
  </conditionalFormatting>
  <conditionalFormatting sqref="I22">
    <cfRule type="expression" priority="503" dxfId="14" stopIfTrue="1">
      <formula>IF(AND(#REF!&lt;&gt;"",OR($X$17="",$X$17=0),$X$23&lt;$X$22),1,0)</formula>
    </cfRule>
  </conditionalFormatting>
  <conditionalFormatting sqref="I82">
    <cfRule type="expression" priority="125" dxfId="14" stopIfTrue="1">
      <formula>IF(AND(#REF!&lt;&gt;"",OR($X$17="",$X$17=0),$X$23&lt;$X$22),1,0)</formula>
    </cfRule>
  </conditionalFormatting>
  <conditionalFormatting sqref="Q6">
    <cfRule type="expression" priority="47" dxfId="0">
      <formula>$AJ$6</formula>
    </cfRule>
  </conditionalFormatting>
  <conditionalFormatting sqref="Q66">
    <cfRule type="expression" priority="46" dxfId="0">
      <formula>$AJ$6</formula>
    </cfRule>
  </conditionalFormatting>
  <conditionalFormatting sqref="S28">
    <cfRule type="expression" priority="253" dxfId="6">
      <formula>IF(NoColor,1,0)</formula>
    </cfRule>
  </conditionalFormatting>
  <conditionalFormatting sqref="S35:S37">
    <cfRule type="expression" priority="245" dxfId="6">
      <formula>IF(NoColor,1,0)</formula>
    </cfRule>
  </conditionalFormatting>
  <conditionalFormatting sqref="S46">
    <cfRule type="expression" priority="489" dxfId="6">
      <formula>IF(NoColor,1,0)</formula>
    </cfRule>
  </conditionalFormatting>
  <conditionalFormatting sqref="S88">
    <cfRule type="expression" priority="109" dxfId="6">
      <formula>IF(NoColor,1,0)</formula>
    </cfRule>
  </conditionalFormatting>
  <conditionalFormatting sqref="S95:S97">
    <cfRule type="expression" priority="102" dxfId="6">
      <formula>IF(NoColor,1,0)</formula>
    </cfRule>
  </conditionalFormatting>
  <conditionalFormatting sqref="S106">
    <cfRule type="expression" priority="120" dxfId="6">
      <formula>IF(NoColor,1,0)</formula>
    </cfRule>
  </conditionalFormatting>
  <conditionalFormatting sqref="U62">
    <cfRule type="expression" priority="117" dxfId="20">
      <formula>NOT(Draft)</formula>
    </cfRule>
  </conditionalFormatting>
  <conditionalFormatting sqref="W6:Z7">
    <cfRule type="expression" priority="318" dxfId="20">
      <formula>AND(NoColor,NoSSN)</formula>
    </cfRule>
    <cfRule type="expression" priority="321" dxfId="6">
      <formula>IF(NoColor,1,0)</formula>
    </cfRule>
  </conditionalFormatting>
  <conditionalFormatting sqref="W66:Z67">
    <cfRule type="expression" priority="112" dxfId="20">
      <formula>AND(NoColor,NoSSN)</formula>
    </cfRule>
    <cfRule type="expression" priority="113" dxfId="6">
      <formula>IF(NoColor,1,0)</formula>
    </cfRule>
  </conditionalFormatting>
  <conditionalFormatting sqref="X103">
    <cfRule type="expression" priority="11" dxfId="6">
      <formula>IF(NoColor,1,0)</formula>
    </cfRule>
  </conditionalFormatting>
  <conditionalFormatting sqref="X15:Z15">
    <cfRule type="expression" priority="497" dxfId="6">
      <formula>IF(NoColor,1,0)</formula>
    </cfRule>
    <cfRule type="expression" priority="3657" dxfId="778" stopIfTrue="1">
      <formula>AND(NOT(NoColor),ChurchEmployee1,AB15="")</formula>
    </cfRule>
  </conditionalFormatting>
  <conditionalFormatting sqref="X17:Z17">
    <cfRule type="expression" priority="233" dxfId="6">
      <formula>IF(NoColor,1,0)</formula>
    </cfRule>
    <cfRule type="expression" priority="234" dxfId="778" stopIfTrue="1">
      <formula>AND(NOT(NoColor),ChurchEmployee1,AB17="")</formula>
    </cfRule>
  </conditionalFormatting>
  <conditionalFormatting sqref="X18:Z18">
    <cfRule type="expression" priority="212" dxfId="1305" stopIfTrue="1">
      <formula>AND(X17&lt;&gt;"",X17&gt;0)</formula>
    </cfRule>
  </conditionalFormatting>
  <conditionalFormatting sqref="X19:Z19">
    <cfRule type="expression" priority="517" dxfId="1305" stopIfTrue="1">
      <formula>AND(X17&lt;&gt;"",X17&gt;0)</formula>
    </cfRule>
  </conditionalFormatting>
  <conditionalFormatting sqref="X20:Z20">
    <cfRule type="expression" priority="45" dxfId="778">
      <formula>AND(NOT(NoColor),ChurchEmployee1,AB15="")</formula>
    </cfRule>
  </conditionalFormatting>
  <conditionalFormatting sqref="X20:Z21">
    <cfRule type="expression" priority="232" dxfId="6">
      <formula>IF(NoColor,1,0)</formula>
    </cfRule>
  </conditionalFormatting>
  <conditionalFormatting sqref="X21:Z21">
    <cfRule type="expression" priority="4139" dxfId="778">
      <formula>AND(NOT(NoColor),ChurchEmployee1,AB15="",AB17="",AB20="",AB21="")</formula>
    </cfRule>
  </conditionalFormatting>
  <conditionalFormatting sqref="X23:Z23">
    <cfRule type="expression" priority="4137" dxfId="778">
      <formula>AND(NOT(NoColor),ChurchEmployee1,AB15="",AB17="",AB20="",AB23="")</formula>
    </cfRule>
  </conditionalFormatting>
  <conditionalFormatting sqref="X23:Z24">
    <cfRule type="expression" priority="226" dxfId="6">
      <formula>IF(NoColor,1,0)</formula>
    </cfRule>
  </conditionalFormatting>
  <conditionalFormatting sqref="X24:Z24">
    <cfRule type="expression" priority="4141" dxfId="778" stopIfTrue="1">
      <formula>AND(NOT(NoColor),ChurchEmployee1,AB15="",AB17="",AB20="",AB23="",AB24="")</formula>
    </cfRule>
  </conditionalFormatting>
  <conditionalFormatting sqref="X26:Z26">
    <cfRule type="expression" priority="249" dxfId="6">
      <formula>IF(NoColor,1,0)</formula>
    </cfRule>
  </conditionalFormatting>
  <conditionalFormatting sqref="X29:Z30">
    <cfRule type="expression" priority="224" dxfId="6">
      <formula>IF(NoColor,1,0)</formula>
    </cfRule>
  </conditionalFormatting>
  <conditionalFormatting sqref="X38:Z41 X43">
    <cfRule type="expression" priority="17" dxfId="6">
      <formula>IF(NoColor,1,0)</formula>
    </cfRule>
  </conditionalFormatting>
  <conditionalFormatting sqref="X52:Z52">
    <cfRule type="expression" priority="220" dxfId="6">
      <formula>IF(NoColor,1,0)</formula>
    </cfRule>
  </conditionalFormatting>
  <conditionalFormatting sqref="X56:Z56">
    <cfRule type="expression" priority="217" dxfId="6">
      <formula>IF(NoColor,1,0)</formula>
    </cfRule>
  </conditionalFormatting>
  <conditionalFormatting sqref="X58:Z58">
    <cfRule type="expression" priority="216" dxfId="6">
      <formula>IF(NoColor,1,0)</formula>
    </cfRule>
  </conditionalFormatting>
  <conditionalFormatting sqref="X75:Z75">
    <cfRule type="expression" priority="40" dxfId="778" stopIfTrue="1">
      <formula>AND(NOT(NoColor),ChurchEmployee2,AB75="")</formula>
    </cfRule>
    <cfRule type="expression" priority="39" dxfId="6">
      <formula>IF(NoColor,1,0)</formula>
    </cfRule>
  </conditionalFormatting>
  <conditionalFormatting sqref="X77:Z77">
    <cfRule type="expression" priority="38" dxfId="778" stopIfTrue="1">
      <formula>AND(NOT(NoColor),ChurchEmployee2,AB77="")</formula>
    </cfRule>
    <cfRule type="expression" priority="37" dxfId="6">
      <formula>IF(NoColor,1,0)</formula>
    </cfRule>
  </conditionalFormatting>
  <conditionalFormatting sqref="X78:Z78">
    <cfRule type="expression" priority="77" dxfId="1305" stopIfTrue="1">
      <formula>AND(X77&lt;&gt;"",X77&gt;0)</formula>
    </cfRule>
  </conditionalFormatting>
  <conditionalFormatting sqref="X79:Z79">
    <cfRule type="expression" priority="127" dxfId="1305" stopIfTrue="1">
      <formula>AND(X77&lt;&gt;"",X77&gt;0)</formula>
    </cfRule>
  </conditionalFormatting>
  <conditionalFormatting sqref="X80:Z81">
    <cfRule type="expression" priority="34" dxfId="6">
      <formula>IF(NoColor,1,0)</formula>
    </cfRule>
    <cfRule type="expression" priority="33" dxfId="778">
      <formula>AND(NOT(NoColor),ChurchEmployee2,AB75="")</formula>
    </cfRule>
  </conditionalFormatting>
  <conditionalFormatting sqref="X83:Z83">
    <cfRule type="expression" priority="4147" dxfId="778">
      <formula>AND(NOT(NoColor),ChurchEmployee2,AB75="",AB77="",AB80="",AB83="")</formula>
    </cfRule>
  </conditionalFormatting>
  <conditionalFormatting sqref="X83:Z84">
    <cfRule type="expression" priority="29" dxfId="6">
      <formula>IF(NoColor,1,0)</formula>
    </cfRule>
  </conditionalFormatting>
  <conditionalFormatting sqref="X84:Z84">
    <cfRule type="expression" priority="4149" dxfId="778" stopIfTrue="1">
      <formula>AND(NOT(NoColor),ChurchEmployee2,AB75="",AB77="",AB80="",AB83="",AB84="")</formula>
    </cfRule>
  </conditionalFormatting>
  <conditionalFormatting sqref="X86:Z86">
    <cfRule type="expression" priority="25" dxfId="6">
      <formula>IF(NoColor,1,0)</formula>
    </cfRule>
  </conditionalFormatting>
  <conditionalFormatting sqref="X89:Z90">
    <cfRule type="expression" priority="24" dxfId="6">
      <formula>IF(NoColor,1,0)</formula>
    </cfRule>
  </conditionalFormatting>
  <conditionalFormatting sqref="X98:Z101">
    <cfRule type="expression" priority="7" dxfId="6">
      <formula>IF(NoColor,1,0)</formula>
    </cfRule>
  </conditionalFormatting>
  <conditionalFormatting sqref="X112:Z112">
    <cfRule type="expression" priority="82" dxfId="6">
      <formula>IF(NoColor,1,0)</formula>
    </cfRule>
  </conditionalFormatting>
  <conditionalFormatting sqref="X116:Z116">
    <cfRule type="expression" priority="80" dxfId="6">
      <formula>IF(NoColor,1,0)</formula>
    </cfRule>
  </conditionalFormatting>
  <conditionalFormatting sqref="X118:Z118">
    <cfRule type="expression" priority="79" dxfId="6">
      <formula>IF(NoColor,1,0)</formula>
    </cfRule>
  </conditionalFormatting>
  <conditionalFormatting sqref="Y12">
    <cfRule type="expression" priority="256" dxfId="6">
      <formula>NoColor</formula>
    </cfRule>
  </conditionalFormatting>
  <conditionalFormatting sqref="Y72">
    <cfRule type="expression" priority="110" dxfId="6">
      <formula>NoColor</formula>
    </cfRule>
  </conditionalFormatting>
  <conditionalFormatting sqref="AB10:AB12">
    <cfRule type="expression" priority="206" dxfId="2280">
      <formula>ChurchEmployee1</formula>
    </cfRule>
  </conditionalFormatting>
  <conditionalFormatting sqref="AB16">
    <cfRule type="expression" priority="307" dxfId="1">
      <formula>AND(#REF!,SchC_StatutoryEmp_1&lt;&gt;"")</formula>
    </cfRule>
  </conditionalFormatting>
  <conditionalFormatting sqref="AB18">
    <cfRule type="expression" priority="198" dxfId="2278">
      <formula>AJ17</formula>
    </cfRule>
    <cfRule type="expression" priority="183" dxfId="1">
      <formula>$AN$35</formula>
    </cfRule>
  </conditionalFormatting>
  <conditionalFormatting sqref="AB24:AB26">
    <cfRule type="expression" priority="3992" dxfId="1">
      <formula>$AK$24</formula>
    </cfRule>
  </conditionalFormatting>
  <conditionalFormatting sqref="AB27">
    <cfRule type="expression" priority="20" dxfId="1971">
      <formula>#REF!</formula>
    </cfRule>
  </conditionalFormatting>
  <conditionalFormatting sqref="AB36:AB38 AB99:AC100 AC37:AC38">
    <cfRule type="expression" priority="3995" dxfId="1971">
      <formula>#REF!</formula>
    </cfRule>
  </conditionalFormatting>
  <conditionalFormatting sqref="AB41:AB43">
    <cfRule type="expression" priority="4017" dxfId="1971">
      <formula>#REF!</formula>
    </cfRule>
  </conditionalFormatting>
  <conditionalFormatting sqref="AB50:AB52">
    <cfRule type="expression" priority="221" dxfId="2268" stopIfTrue="1">
      <formula>($X$52&gt;$X$50)</formula>
    </cfRule>
  </conditionalFormatting>
  <conditionalFormatting sqref="AB52">
    <cfRule type="expression" priority="210" dxfId="2268" stopIfTrue="1">
      <formula>(X52&gt;X50)</formula>
    </cfRule>
  </conditionalFormatting>
  <conditionalFormatting sqref="AB57:AB59">
    <cfRule type="expression" priority="219" dxfId="3" stopIfTrue="1">
      <formula>($X$58&gt;$X$56)</formula>
    </cfRule>
  </conditionalFormatting>
  <conditionalFormatting sqref="AB70:AB72">
    <cfRule type="expression" priority="73" dxfId="2280">
      <formula>ChurchEmployee2</formula>
    </cfRule>
  </conditionalFormatting>
  <conditionalFormatting sqref="AB76">
    <cfRule type="expression" priority="111" dxfId="1">
      <formula>AND(#REF!,SchC_StatutoryEmp_1&lt;&gt;"")</formula>
    </cfRule>
  </conditionalFormatting>
  <conditionalFormatting sqref="AB78">
    <cfRule type="expression" priority="4969" dxfId="2278">
      <formula>AJ77</formula>
    </cfRule>
    <cfRule type="expression" priority="4968" dxfId="1">
      <formula>AN95</formula>
    </cfRule>
  </conditionalFormatting>
  <conditionalFormatting sqref="AB84">
    <cfRule type="expression" priority="42" dxfId="1">
      <formula>AK$84</formula>
    </cfRule>
  </conditionalFormatting>
  <conditionalFormatting sqref="AB85">
    <cfRule type="expression" priority="19" dxfId="1">
      <formula>AK84</formula>
    </cfRule>
  </conditionalFormatting>
  <conditionalFormatting sqref="AB86">
    <cfRule type="expression" priority="18" dxfId="1">
      <formula>AK84</formula>
    </cfRule>
  </conditionalFormatting>
  <conditionalFormatting sqref="AB87:AB89">
    <cfRule type="expression" priority="70" dxfId="1">
      <formula>AND(#REF!,SchC_StatutoryEmp_1&lt;&gt;"")</formula>
    </cfRule>
  </conditionalFormatting>
  <conditionalFormatting sqref="AB96:AB98 AC97:AC98">
    <cfRule type="expression" priority="134" dxfId="1971">
      <formula>#REF!</formula>
    </cfRule>
  </conditionalFormatting>
  <conditionalFormatting sqref="AB101:AB103">
    <cfRule type="expression" priority="12" dxfId="1971">
      <formula>#REF!</formula>
    </cfRule>
  </conditionalFormatting>
  <conditionalFormatting sqref="AB110:AB111">
    <cfRule type="expression" priority="16" dxfId="2268" stopIfTrue="1">
      <formula>($X$52&gt;$X$50)</formula>
    </cfRule>
  </conditionalFormatting>
  <conditionalFormatting sqref="AB112">
    <cfRule type="expression" priority="75" dxfId="2268" stopIfTrue="1">
      <formula>(X112&gt;X110)</formula>
    </cfRule>
    <cfRule type="expression" priority="83" dxfId="2268" stopIfTrue="1">
      <formula>($X$52&gt;$X$50)</formula>
    </cfRule>
  </conditionalFormatting>
  <conditionalFormatting sqref="AB117:AB119">
    <cfRule type="expression" priority="81" dxfId="3" stopIfTrue="1">
      <formula>($X$58&gt;$X$56)</formula>
    </cfRule>
  </conditionalFormatting>
  <conditionalFormatting sqref="AB31:AC31 AB32">
    <cfRule type="expression" priority="4011" dxfId="1971">
      <formula>#REF!</formula>
    </cfRule>
  </conditionalFormatting>
  <conditionalFormatting sqref="AB39:AC40">
    <cfRule type="expression" priority="4015" dxfId="1971">
      <formula>#REF!</formula>
    </cfRule>
  </conditionalFormatting>
  <conditionalFormatting sqref="AB91:AC91 AB92">
    <cfRule type="expression" priority="144" dxfId="1971">
      <formula>#REF!</formula>
    </cfRule>
  </conditionalFormatting>
  <conditionalFormatting sqref="AC28:AC30">
    <cfRule type="expression" priority="3989" dxfId="1971">
      <formula>#REF!</formula>
    </cfRule>
  </conditionalFormatting>
  <conditionalFormatting sqref="AC32:AC33">
    <cfRule type="expression" priority="3993" dxfId="1971">
      <formula>#REF!</formula>
    </cfRule>
  </conditionalFormatting>
  <conditionalFormatting sqref="AC88:AC90">
    <cfRule type="expression" priority="10" dxfId="1971">
      <formula>#REF!</formula>
    </cfRule>
  </conditionalFormatting>
  <conditionalFormatting sqref="AC92:AC93">
    <cfRule type="expression" priority="132" dxfId="1971">
      <formula>#REF!</formula>
    </cfRule>
  </conditionalFormatting>
  <conditionalFormatting sqref="AD5">
    <cfRule type="expression" priority="368" dxfId="6">
      <formula>IF(NoColor,1,0)</formula>
    </cfRule>
  </conditionalFormatting>
  <conditionalFormatting sqref="AD28 AD31:AD33">
    <cfRule type="expression" priority="4003" dxfId="1971">
      <formula>#REF!</formula>
    </cfRule>
  </conditionalFormatting>
  <conditionalFormatting sqref="AD37:AD40 AD97:AD100">
    <cfRule type="expression" priority="4005" dxfId="1971">
      <formula>#REF!</formula>
    </cfRule>
  </conditionalFormatting>
  <conditionalFormatting sqref="AD65">
    <cfRule type="expression" priority="116" dxfId="6">
      <formula>IF(NoColor,1,0)</formula>
    </cfRule>
  </conditionalFormatting>
  <conditionalFormatting sqref="AD88 AD91:AD93">
    <cfRule type="expression" priority="136" dxfId="1971">
      <formula>#REF!</formula>
    </cfRule>
  </conditionalFormatting>
  <conditionalFormatting sqref="AD7:AE7">
    <cfRule type="expression" priority="366" dxfId="2252">
      <formula>OR(NumFileStatusBoxes=0,AND(NumFileStatusBoxes=1,File_Marr_Joint=""))</formula>
    </cfRule>
    <cfRule type="expression" priority="367" dxfId="6">
      <formula>IF(NoColor,1,0)</formula>
    </cfRule>
  </conditionalFormatting>
  <conditionalFormatting sqref="AD67:AE67">
    <cfRule type="expression" priority="114" dxfId="2252">
      <formula>OR(NumFileStatusBoxes=0,AND(NumFileStatusBoxes=1,File_Marr_Joint=""))</formula>
    </cfRule>
    <cfRule type="expression" priority="115" dxfId="6">
      <formula>IF(NoColor,1,0)</formula>
    </cfRule>
  </conditionalFormatting>
  <conditionalFormatting sqref="AD22:AH23">
    <cfRule type="expression" priority="184" dxfId="3">
      <formula>$AN$35</formula>
    </cfRule>
  </conditionalFormatting>
  <conditionalFormatting sqref="AD82:AH83">
    <cfRule type="expression" priority="56" dxfId="3">
      <formula>$AN$95</formula>
    </cfRule>
  </conditionalFormatting>
  <conditionalFormatting sqref="AE29:AE33">
    <cfRule type="expression" priority="4048" dxfId="1971">
      <formula>#REF!</formula>
    </cfRule>
  </conditionalFormatting>
  <conditionalFormatting sqref="AE89:AE93">
    <cfRule type="expression" priority="168" dxfId="1971">
      <formula>#REF!</formula>
    </cfRule>
  </conditionalFormatting>
  <conditionalFormatting sqref="AG5 AG7 AG65">
    <cfRule type="expression" priority="4142" dxfId="4">
      <formula>OR(AND(AJ7,AL35),AND(AJ5,AL35))</formula>
    </cfRule>
  </conditionalFormatting>
  <conditionalFormatting sqref="AG6">
    <cfRule type="expression" priority="4144" dxfId="4">
      <formula>OR(AND(AJ8,AL36),AND(AH6,AL36))</formula>
    </cfRule>
  </conditionalFormatting>
  <conditionalFormatting sqref="AG66">
    <cfRule type="expression" priority="5071" dxfId="4">
      <formula>OR(AND(AJ70,AL96),AND(AJ66,AL96))</formula>
    </cfRule>
  </conditionalFormatting>
  <conditionalFormatting sqref="AG67">
    <cfRule type="expression" priority="5072" dxfId="4">
      <formula>OR(AND(AJ71,AL101),AND(AJ67,AL101))</formula>
    </cfRule>
  </conditionalFormatting>
  <conditionalFormatting sqref="AI21">
    <cfRule type="expression" priority="207" dxfId="20">
      <formula>(File_Marr_Joint="")</formula>
    </cfRule>
  </conditionalFormatting>
  <conditionalFormatting sqref="AI81">
    <cfRule type="expression" priority="74" dxfId="20">
      <formula>(File_Marr_Joint="")</formula>
    </cfRule>
  </conditionalFormatting>
  <hyperlinks>
    <hyperlink xmlns:r="http://schemas.openxmlformats.org/officeDocument/2006/relationships" ref="F125" display="Download Form 1040 Schedule SE" r:id="rId1"/>
    <hyperlink xmlns:r="http://schemas.openxmlformats.org/officeDocument/2006/relationships" ref="F127" display="Download Form 1040 Schedule SE Instructions" r:id="rId2"/>
  </hyperlinks>
  <pageMargins left="0.75" right="0.25" top="0.36" bottom="0.29" header="0.36" footer="0.21"/>
  <pageSetup orientation="portrait" scale="84" fitToHeight="0"/>
  <rowBreaks count="1" manualBreakCount="1">
    <brk id="61" min="1" max="25" man="1"/>
  </rowBreaks>
</worksheet>
</file>

<file path=xl/worksheets/sheet38.xml><?xml version="1.0" encoding="utf-8"?>
<worksheet xmlns="http://schemas.openxmlformats.org/spreadsheetml/2006/main">
  <sheetPr>
    <outlinePr summaryBelow="1" summaryRight="1"/>
    <pageSetUpPr fitToPage="1"/>
  </sheetPr>
  <dimension ref="A1:BH390"/>
  <sheetViews>
    <sheetView zoomScaleNormal="100" zoomScaleSheetLayoutView="150" workbookViewId="0">
      <selection activeCell="A1" sqref="A1"/>
    </sheetView>
  </sheetViews>
  <sheetFormatPr baseColWidth="8" defaultColWidth="3.42578125" defaultRowHeight="12.75"/>
  <cols>
    <col width="6" customWidth="1" style="4221" min="1" max="1"/>
    <col width="3.5703125" customWidth="1" style="7635" min="2" max="2"/>
    <col width="2.28515625" customWidth="1" style="7635" min="3" max="3"/>
    <col width="3.7109375" customWidth="1" style="7635" min="4" max="4"/>
    <col width="3.5703125" customWidth="1" style="7635" min="5" max="5"/>
    <col width="4.28515625" customWidth="1" style="7635" min="6" max="6"/>
    <col width="3.5703125" customWidth="1" style="7635" min="7" max="7"/>
    <col width="3" customWidth="1" style="7635" min="8" max="8"/>
    <col width="5.5703125" customWidth="1" style="7635" min="9" max="9"/>
    <col width="3.42578125" customWidth="1" style="7635" min="10" max="10"/>
    <col width="2.85546875" customWidth="1" style="7635" min="11" max="11"/>
    <col width="4.5703125" customWidth="1" style="7635" min="12" max="12"/>
    <col width="2.7109375" customWidth="1" style="7635" min="13" max="13"/>
    <col width="3.5703125" customWidth="1" style="7635" min="14" max="14"/>
    <col width="1.5703125" customWidth="1" style="7635" min="15" max="15"/>
    <col width="1.85546875" customWidth="1" style="7635" min="16" max="19"/>
    <col width="2.42578125" customWidth="1" style="7635" min="20" max="25"/>
    <col width="3.28515625" customWidth="1" style="7635" min="26" max="26"/>
    <col width="2" customWidth="1" style="7635" min="27" max="27"/>
    <col width="2.5703125" customWidth="1" style="7635" min="28" max="30"/>
    <col width="2.140625" customWidth="1" style="7635" min="31" max="34"/>
    <col width="2.5703125" customWidth="1" style="7635" min="35" max="38"/>
    <col width="2.7109375" customWidth="1" style="7635" min="39" max="40"/>
    <col width="10.7109375" customWidth="1" style="7635" min="41" max="41"/>
    <col width="9" customWidth="1" style="7635" min="43" max="43"/>
    <col width="3.85546875" customWidth="1" style="7635" min="45" max="45"/>
    <col width="5.140625" customWidth="1" style="7635" min="48" max="48"/>
    <col width="5.85546875" customWidth="1" style="7635" min="49" max="49"/>
    <col width="10.7109375" customWidth="1" style="816" min="50" max="50"/>
    <col width="10.7109375" customWidth="1" style="966" min="51" max="52"/>
    <col width="6.42578125" customWidth="1" style="966" min="53" max="53"/>
    <col width="10.7109375" customWidth="1" style="966" min="54" max="54"/>
    <col width="6" customWidth="1" style="966" min="55" max="55"/>
    <col width="12" customWidth="1" style="966" min="56" max="56"/>
    <col width="12.7109375" customWidth="1" style="966" min="57" max="57"/>
    <col width="8.42578125" customWidth="1" style="966" min="58" max="58"/>
    <col width="12.7109375" customWidth="1" style="966" min="59" max="59"/>
    <col width="7.5703125" customWidth="1" style="966" min="60" max="60"/>
  </cols>
  <sheetData>
    <row r="1" ht="9.75" customHeight="1" s="7635">
      <c r="A1" s="2112"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I1" s="1277" t="n"/>
      <c r="AJ1" s="1277" t="n"/>
      <c r="AK1" s="1277" t="n"/>
      <c r="AL1" s="1277" t="n"/>
      <c r="AM1" s="1277" t="n"/>
      <c r="AN1" s="1277" t="n"/>
      <c r="AO1" s="1277" t="n"/>
      <c r="AP1" s="1277" t="n"/>
      <c r="AQ1" s="512" t="n"/>
      <c r="AR1" s="11602" t="n"/>
      <c r="AS1" s="11602" t="n"/>
      <c r="AT1" s="11602" t="n"/>
      <c r="AU1" s="11602" t="n"/>
      <c r="AV1" s="11602" t="n"/>
      <c r="AW1" s="11602" t="n"/>
      <c r="AX1" s="768" t="n"/>
      <c r="AY1" s="964" t="n"/>
      <c r="AZ1" s="964" t="n"/>
      <c r="BA1" s="964" t="n"/>
      <c r="BB1" s="964" t="n"/>
      <c r="BC1" s="964" t="n"/>
      <c r="BD1" s="964" t="n"/>
      <c r="BE1" s="964" t="n"/>
      <c r="BF1" s="964" t="n"/>
      <c r="BG1" s="964" t="n"/>
      <c r="BH1" s="964" t="n"/>
    </row>
    <row r="2" ht="15" customHeight="1" s="7635">
      <c r="A2" s="2112" t="n"/>
      <c r="B2" s="4134" t="inlineStr">
        <is>
          <t>There are three (3) Form 1116s on this sheet.</t>
        </is>
      </c>
      <c r="C2" s="1277" t="n"/>
      <c r="D2" s="1277" t="n"/>
      <c r="E2" s="1277" t="n"/>
      <c r="F2" s="1277" t="n"/>
      <c r="G2" s="1277" t="n"/>
      <c r="H2" s="1277" t="n"/>
      <c r="I2" s="1277" t="n"/>
      <c r="J2" s="1277" t="n"/>
      <c r="K2" s="1277" t="n"/>
      <c r="L2" s="1277" t="n"/>
      <c r="M2" s="1277" t="n"/>
      <c r="N2" s="1277" t="n"/>
      <c r="O2" s="1277" t="n"/>
      <c r="P2" s="1277" t="n"/>
      <c r="Q2" s="1277" t="n"/>
      <c r="R2" s="1277" t="n"/>
      <c r="S2" s="1277" t="n"/>
      <c r="T2" s="1277" t="n"/>
      <c r="U2" s="1277" t="n"/>
      <c r="V2" s="1277" t="n"/>
      <c r="W2" s="1277" t="n"/>
      <c r="X2" s="1277" t="n"/>
      <c r="Y2" s="1277" t="n"/>
      <c r="Z2" s="1277" t="n"/>
      <c r="AA2" s="1277" t="n"/>
      <c r="AB2" s="1277" t="n"/>
      <c r="AC2" s="1277" t="n"/>
      <c r="AD2" s="1277" t="n"/>
      <c r="AE2" s="1277" t="n"/>
      <c r="AF2" s="1277" t="n"/>
      <c r="AG2" s="1277" t="n"/>
      <c r="AH2" s="1277" t="n"/>
      <c r="AI2" s="1277" t="n"/>
      <c r="AJ2" s="1277" t="n"/>
      <c r="AK2" s="1277" t="n"/>
      <c r="AL2" s="1277" t="n"/>
      <c r="AM2" s="1277" t="n"/>
      <c r="AN2" s="1277" t="n"/>
      <c r="AO2" s="1277" t="n"/>
      <c r="AP2" s="1277" t="n"/>
      <c r="AQ2" s="512" t="n"/>
      <c r="AR2" s="11602" t="n"/>
      <c r="AS2" s="11602" t="n"/>
      <c r="AT2" s="11602" t="n"/>
      <c r="AU2" s="11602" t="n"/>
      <c r="AV2" s="11602" t="n"/>
      <c r="AW2" s="11602" t="n"/>
      <c r="AX2" s="768" t="inlineStr">
        <is>
          <t>Notes</t>
        </is>
      </c>
      <c r="AY2" s="964" t="n"/>
      <c r="AZ2" s="964" t="n"/>
      <c r="BA2" s="964" t="n"/>
      <c r="BB2" s="964" t="n"/>
      <c r="BC2" s="964" t="n"/>
      <c r="BD2" s="964" t="n"/>
      <c r="BE2" s="964" t="n"/>
      <c r="BF2" s="964" t="n"/>
      <c r="BG2" s="964" t="n"/>
      <c r="BH2" s="964" t="n"/>
    </row>
    <row r="3" ht="15" customHeight="1" s="7635">
      <c r="A3" s="2112" t="n"/>
      <c r="B3" s="1277" t="n"/>
      <c r="C3" s="1277" t="n"/>
      <c r="D3" s="1277" t="n"/>
      <c r="E3" s="1277" t="n"/>
      <c r="F3" s="1277" t="n"/>
      <c r="G3" s="1277" t="n"/>
      <c r="H3" s="1277" t="n"/>
      <c r="I3" s="1277" t="n"/>
      <c r="J3" s="1277" t="n"/>
      <c r="K3" s="1277" t="n"/>
      <c r="L3" s="1277" t="n"/>
      <c r="M3" s="1277" t="n"/>
      <c r="N3" s="1277" t="n"/>
      <c r="O3" s="1277" t="n"/>
      <c r="P3" s="1277" t="n"/>
      <c r="Q3" s="1277" t="n"/>
      <c r="R3" s="1277" t="n"/>
      <c r="S3" s="1277" t="n"/>
      <c r="T3" s="1277" t="n"/>
      <c r="U3" s="1277" t="n"/>
      <c r="V3" s="1277" t="n"/>
      <c r="W3" s="1277" t="n"/>
      <c r="X3" s="1277" t="n"/>
      <c r="Y3" s="1277" t="n"/>
      <c r="Z3" s="1277" t="n"/>
      <c r="AA3" s="1277" t="n"/>
      <c r="AB3" s="1277" t="n"/>
      <c r="AC3" s="1277" t="n"/>
      <c r="AD3" s="1277" t="n"/>
      <c r="AE3" s="1277" t="n"/>
      <c r="AF3" s="1277" t="n"/>
      <c r="AG3" s="1277" t="n"/>
      <c r="AH3" s="1277" t="n"/>
      <c r="AI3" s="1277" t="n"/>
      <c r="AJ3" s="1277" t="n"/>
      <c r="AK3" s="1277" t="n"/>
      <c r="AL3" s="1277" t="n"/>
      <c r="AM3" s="1277" t="n"/>
      <c r="AN3" s="1277" t="n"/>
      <c r="AO3" s="1277" t="n"/>
      <c r="AP3" s="1277" t="n"/>
      <c r="AQ3" s="512" t="n"/>
      <c r="AR3" s="11602" t="n"/>
      <c r="AS3" s="11602" t="n"/>
      <c r="AT3" s="11602" t="n"/>
      <c r="AU3" s="11602" t="n"/>
      <c r="AV3" s="11602" t="n"/>
      <c r="AW3" s="11602" t="n"/>
      <c r="AX3" s="768" t="n"/>
      <c r="AY3" s="964" t="n"/>
      <c r="AZ3" s="964" t="n"/>
      <c r="BA3" s="964" t="n"/>
      <c r="BB3" s="964" t="n"/>
      <c r="BC3" s="964" t="n"/>
      <c r="BD3" s="964" t="n"/>
      <c r="BE3" s="964" t="n"/>
      <c r="BF3" s="964" t="n"/>
      <c r="BG3" s="964" t="n"/>
      <c r="BH3" s="964" t="n"/>
    </row>
    <row r="4">
      <c r="A4" s="4135">
        <f>IF(OR(B6="---",B10="---"),FALSE,IF(AND(B6,B8,B10),TRUE,FALSE))</f>
        <v/>
      </c>
      <c r="B4" s="4136">
        <f>IF(OR(B6="---",B10="---",AND(A6&gt;0,SUM(AM80,AM202,AM323)=0)),"Complete Form 1116.  If all three of these conditions are TRUE, Form 1116 need not be filed.",IF(A4,"Form 1116 is not required to be filed.",IF(OR(ForeignTaxPaid&gt;AQ10,AND(K23="",AO22=1),NOT(B8)),"Form 1116 is required to be filed.",IF(AND(NOT(B6),NOT(B8),NOT(B10)),"You may be able to claim the foreign tax credit without filing Form 1116 -- See IRS instructions for details.","Finish completing Form 1116 to determine if it needs to be filed."))))</f>
        <v/>
      </c>
      <c r="C4" s="1277" t="n"/>
      <c r="D4" s="1277" t="n"/>
      <c r="E4" s="1277" t="n"/>
      <c r="F4" s="1277" t="n"/>
      <c r="G4" s="1277" t="n"/>
      <c r="H4" s="1277" t="n"/>
      <c r="I4" s="1277" t="n"/>
      <c r="J4" s="1277" t="n"/>
      <c r="K4" s="1277" t="n"/>
      <c r="L4" s="1277" t="n"/>
      <c r="M4" s="1277" t="n"/>
      <c r="N4" s="1277" t="n"/>
      <c r="O4" s="1277" t="n"/>
      <c r="P4" s="1277" t="n"/>
      <c r="Q4" s="1277" t="n"/>
      <c r="R4" s="1277" t="n"/>
      <c r="S4" s="1277" t="n"/>
      <c r="T4" s="1277" t="n"/>
      <c r="U4" s="1277" t="n"/>
      <c r="V4" s="1277" t="n"/>
      <c r="W4" s="1277" t="n"/>
      <c r="X4" s="1277" t="n"/>
      <c r="Y4" s="1277" t="n"/>
      <c r="Z4" s="1277" t="n"/>
      <c r="AA4" s="1277" t="n"/>
      <c r="AB4" s="1277" t="n"/>
      <c r="AC4" s="1277" t="n"/>
      <c r="AD4" s="1277" t="n"/>
      <c r="AE4" s="1277" t="n"/>
      <c r="AF4" s="1277" t="n"/>
      <c r="AG4" s="1277" t="n"/>
      <c r="AH4" s="1277" t="n"/>
      <c r="AI4" s="1277" t="n"/>
      <c r="AJ4" s="1277" t="n"/>
      <c r="AK4" s="1277" t="n"/>
      <c r="AL4" s="1277" t="n"/>
      <c r="AM4" s="1277" t="n"/>
      <c r="AN4" s="1277" t="n"/>
      <c r="AO4" s="1277" t="n"/>
      <c r="AP4" s="1277" t="n"/>
      <c r="AQ4" s="512" t="n"/>
      <c r="AR4" s="11602" t="n"/>
      <c r="AS4" s="11602" t="n"/>
      <c r="AT4" s="11602" t="n"/>
      <c r="AU4" s="11602" t="n"/>
      <c r="AV4" s="11602" t="n"/>
      <c r="AW4" s="11602" t="n"/>
      <c r="AX4" s="968" t="inlineStr">
        <is>
          <t>Date</t>
        </is>
      </c>
      <c r="AY4" s="964" t="n"/>
      <c r="AZ4" s="964" t="n"/>
      <c r="BA4" s="964" t="n"/>
      <c r="BB4" s="964" t="n"/>
      <c r="BC4" s="964" t="n"/>
      <c r="BD4" s="964" t="n"/>
      <c r="BE4" s="964" t="n"/>
      <c r="BF4" s="964" t="n"/>
      <c r="BG4" s="964" t="n"/>
      <c r="BH4" s="964" t="n"/>
    </row>
    <row r="5" ht="6.75" customHeight="1" s="7635">
      <c r="A5" s="2112" t="n"/>
      <c r="B5" s="2260" t="n"/>
      <c r="C5" s="1277" t="n"/>
      <c r="D5" s="1277" t="n"/>
      <c r="E5" s="1277" t="n"/>
      <c r="F5" s="1277" t="n"/>
      <c r="G5" s="1277" t="n"/>
      <c r="H5" s="1277" t="n"/>
      <c r="I5" s="1277" t="n"/>
      <c r="J5" s="1277" t="n"/>
      <c r="K5" s="1277" t="n"/>
      <c r="L5" s="1277" t="n"/>
      <c r="M5" s="1277" t="n"/>
      <c r="N5" s="1277" t="n"/>
      <c r="O5" s="1277" t="n"/>
      <c r="P5" s="1277" t="n"/>
      <c r="Q5" s="1277" t="n"/>
      <c r="R5" s="1277" t="n"/>
      <c r="S5" s="1277" t="n"/>
      <c r="T5" s="1277" t="n"/>
      <c r="U5" s="1277" t="n"/>
      <c r="V5" s="1277" t="n"/>
      <c r="W5" s="1277" t="n"/>
      <c r="X5" s="1277" t="n"/>
      <c r="Y5" s="1277" t="n"/>
      <c r="Z5" s="1277" t="n"/>
      <c r="AA5" s="1277" t="n"/>
      <c r="AB5" s="1277" t="n"/>
      <c r="AC5" s="1277" t="n"/>
      <c r="AD5" s="1277" t="n"/>
      <c r="AE5" s="1277" t="n"/>
      <c r="AF5" s="1277" t="n"/>
      <c r="AG5" s="1277" t="n"/>
      <c r="AH5" s="1277" t="n"/>
      <c r="AI5" s="1277" t="n"/>
      <c r="AJ5" s="1277" t="n"/>
      <c r="AK5" s="1277" t="n"/>
      <c r="AL5" s="1277" t="n"/>
      <c r="AM5" s="1277" t="n"/>
      <c r="AN5" s="1277" t="n"/>
      <c r="AO5" s="1277" t="n"/>
      <c r="AP5" s="1277" t="n"/>
      <c r="AQ5" s="512" t="n"/>
      <c r="AR5" s="11602" t="n"/>
      <c r="AS5" s="11602" t="n"/>
      <c r="AT5" s="11602" t="n"/>
      <c r="AU5" s="11602" t="n"/>
      <c r="AV5" s="11602" t="n"/>
      <c r="AW5" s="11602" t="n"/>
      <c r="AX5" s="769" t="n"/>
      <c r="AY5" s="964" t="n"/>
      <c r="AZ5" s="964" t="n"/>
      <c r="BA5" s="964" t="n"/>
      <c r="BB5" s="964" t="n"/>
      <c r="BC5" s="964" t="n"/>
      <c r="BD5" s="964" t="n"/>
      <c r="BE5" s="964" t="n"/>
      <c r="BF5" s="964" t="n"/>
      <c r="BG5" s="964" t="n"/>
      <c r="BH5" s="964" t="n"/>
    </row>
    <row r="6" ht="15" customHeight="1" s="7635">
      <c r="A6" s="4137">
        <f>SUM(AO22,AO144,AO265)</f>
        <v/>
      </c>
      <c r="B6" s="12226">
        <f>IF(OR(B10="---",A6=0,AND(NOT(A80),NOT(A202),NOT(A323))),"---",IF(OR(AND(A6=3,A23,A145,A266),AND(A6=2,OR(AND(A23,A145),AND(A145,A266),AND(A23,A266))),AND(A6=1,OR(A23,A145,A266))),TRUE,FALSE))</f>
        <v/>
      </c>
      <c r="C6" s="11734" t="n"/>
      <c r="D6" s="4138" t="inlineStr">
        <is>
          <t>• Foreign taxes were paid on foreign “passive category income” (Box 'c') (which includes most interest and dividends).</t>
        </is>
      </c>
      <c r="E6" s="1277" t="n"/>
      <c r="F6" s="1277" t="n"/>
      <c r="G6" s="1277" t="n"/>
      <c r="H6" s="1277" t="n"/>
      <c r="I6" s="1277" t="n"/>
      <c r="J6" s="1277" t="n"/>
      <c r="K6" s="1277" t="n"/>
      <c r="L6" s="1277" t="n"/>
      <c r="M6" s="1277" t="n"/>
      <c r="N6" s="1277" t="n"/>
      <c r="O6" s="1277" t="n"/>
      <c r="P6" s="1277" t="n"/>
      <c r="Q6" s="1277" t="n"/>
      <c r="R6" s="1277" t="n"/>
      <c r="S6" s="1277" t="n"/>
      <c r="T6" s="1277" t="n"/>
      <c r="U6" s="1277" t="n"/>
      <c r="V6" s="1277" t="n"/>
      <c r="W6" s="1277" t="n"/>
      <c r="X6" s="1277" t="n"/>
      <c r="Y6" s="1277" t="n"/>
      <c r="Z6" s="1277" t="n"/>
      <c r="AA6" s="1277" t="n"/>
      <c r="AB6" s="1277" t="n"/>
      <c r="AC6" s="1277" t="n"/>
      <c r="AD6" s="1277" t="n"/>
      <c r="AE6" s="1277" t="n"/>
      <c r="AF6" s="1277" t="n"/>
      <c r="AG6" s="1277" t="n"/>
      <c r="AH6" s="1277" t="n"/>
      <c r="AI6" s="1277" t="n"/>
      <c r="AJ6" s="1277" t="n"/>
      <c r="AK6" s="1277" t="n"/>
      <c r="AL6" s="1277" t="n"/>
      <c r="AM6" s="1277" t="n"/>
      <c r="AN6" s="1277" t="n"/>
      <c r="AO6" s="1277" t="n"/>
      <c r="AP6" s="1277" t="n"/>
      <c r="AQ6" s="512" t="n">
        <v>600</v>
      </c>
      <c r="AR6" s="11602" t="n"/>
      <c r="AS6" s="11602" t="n"/>
      <c r="AT6" s="11602" t="n"/>
      <c r="AU6" s="11602" t="n"/>
      <c r="AV6" s="11602" t="n"/>
      <c r="AW6" s="11602" t="n"/>
      <c r="AX6" s="768" t="n"/>
      <c r="AY6" s="964" t="n"/>
      <c r="AZ6" s="964" t="n"/>
      <c r="BA6" s="964" t="n"/>
      <c r="BB6" s="964" t="n"/>
      <c r="BC6" s="964" t="n"/>
      <c r="BD6" s="964" t="n"/>
      <c r="BE6" s="964" t="n"/>
      <c r="BF6" s="964" t="n"/>
      <c r="BG6" s="964" t="n"/>
      <c r="BH6" s="964" t="n"/>
    </row>
    <row r="7" ht="7.5" customHeight="1" s="7635">
      <c r="A7" s="2112" t="n"/>
      <c r="B7" s="1277" t="n"/>
      <c r="C7" s="1277" t="n"/>
      <c r="D7" s="4139" t="n"/>
      <c r="E7" s="1277" t="n"/>
      <c r="F7" s="1277" t="n"/>
      <c r="G7" s="1277" t="n"/>
      <c r="H7" s="1277" t="n"/>
      <c r="I7" s="1277" t="n"/>
      <c r="J7" s="1277" t="n"/>
      <c r="K7" s="1277" t="n"/>
      <c r="L7" s="1277" t="n"/>
      <c r="M7" s="1277" t="n"/>
      <c r="N7" s="1277" t="n"/>
      <c r="O7" s="1277" t="n"/>
      <c r="P7" s="1277" t="n"/>
      <c r="Q7" s="1277" t="n"/>
      <c r="R7" s="1277" t="n"/>
      <c r="S7" s="1277" t="n"/>
      <c r="T7" s="1277" t="n"/>
      <c r="U7" s="1277" t="n"/>
      <c r="V7" s="1277" t="n"/>
      <c r="W7" s="1277" t="n"/>
      <c r="X7" s="1277" t="n"/>
      <c r="Y7" s="1277" t="n"/>
      <c r="Z7" s="1277" t="n"/>
      <c r="AA7" s="1277" t="n"/>
      <c r="AB7" s="1277" t="n"/>
      <c r="AC7" s="1277" t="n"/>
      <c r="AD7" s="1277" t="n"/>
      <c r="AE7" s="1277" t="n"/>
      <c r="AF7" s="1277" t="n"/>
      <c r="AG7" s="1277" t="n"/>
      <c r="AH7" s="1277" t="n"/>
      <c r="AI7" s="1277" t="n"/>
      <c r="AJ7" s="1277" t="n"/>
      <c r="AK7" s="1277" t="n"/>
      <c r="AL7" s="1277" t="n"/>
      <c r="AM7" s="1277" t="n"/>
      <c r="AN7" s="1277" t="n"/>
      <c r="AO7" s="1277" t="n"/>
      <c r="AP7" s="1277" t="n"/>
      <c r="AQ7" s="512" t="n"/>
      <c r="AR7" s="11602" t="n"/>
      <c r="AS7" s="11602" t="n"/>
      <c r="AT7" s="11602" t="n"/>
      <c r="AU7" s="11602" t="n"/>
      <c r="AV7" s="11602" t="n"/>
      <c r="AW7" s="11602" t="n"/>
      <c r="AX7" s="768" t="n"/>
      <c r="AY7" s="964" t="n"/>
      <c r="AZ7" s="964" t="n"/>
      <c r="BA7" s="964" t="n"/>
      <c r="BB7" s="964" t="n"/>
      <c r="BC7" s="964" t="n"/>
      <c r="BD7" s="964" t="n"/>
      <c r="BE7" s="964" t="n"/>
      <c r="BF7" s="964" t="n"/>
      <c r="BG7" s="964" t="n"/>
      <c r="BH7" s="964" t="n"/>
    </row>
    <row r="8" ht="15" customHeight="1" s="7635">
      <c r="A8" s="4135" t="n"/>
      <c r="B8" s="11784" t="b">
        <v>1</v>
      </c>
      <c r="C8" s="8008" t="n"/>
      <c r="D8" s="4138" t="inlineStr">
        <is>
          <t xml:space="preserve">• All the income and any foreign taxes paid on it were reported to you on a qualified payee statement. </t>
        </is>
      </c>
      <c r="E8" s="1277" t="n"/>
      <c r="F8" s="2113" t="n"/>
      <c r="G8" s="1277" t="n"/>
      <c r="H8" s="1277" t="n"/>
      <c r="I8" s="1277" t="n"/>
      <c r="J8" s="1277" t="n"/>
      <c r="K8" s="1277" t="n"/>
      <c r="L8" s="1277" t="n"/>
      <c r="M8" s="1277" t="n"/>
      <c r="N8" s="1277" t="n"/>
      <c r="O8" s="1277" t="n"/>
      <c r="P8" s="1277" t="n"/>
      <c r="Q8" s="1277" t="n"/>
      <c r="R8" s="1277" t="n"/>
      <c r="S8" s="1277" t="n"/>
      <c r="T8" s="1277" t="n"/>
      <c r="U8" s="1277" t="n"/>
      <c r="V8" s="1277" t="n"/>
      <c r="W8" s="1277" t="n"/>
      <c r="X8" s="1277" t="n"/>
      <c r="Y8" s="1277" t="n"/>
      <c r="Z8" s="1277" t="n"/>
      <c r="AA8" s="1277" t="n"/>
      <c r="AB8" s="1277" t="n"/>
      <c r="AC8" s="1277" t="n"/>
      <c r="AD8" s="1277" t="n"/>
      <c r="AE8" s="1277" t="n"/>
      <c r="AF8" s="1277" t="n"/>
      <c r="AG8" s="1277" t="n"/>
      <c r="AH8" s="1277" t="n"/>
      <c r="AI8" s="1277" t="n"/>
      <c r="AJ8" s="1277" t="n"/>
      <c r="AK8" s="1277" t="n"/>
      <c r="AL8" s="1277" t="n"/>
      <c r="AM8" s="1277" t="n"/>
      <c r="AN8" s="1277" t="n"/>
      <c r="AO8" s="2112" t="n"/>
      <c r="AP8" s="1277" t="n"/>
      <c r="AQ8" s="512" t="n">
        <v>300</v>
      </c>
      <c r="AR8" s="11602" t="n"/>
      <c r="AS8" s="11602" t="n"/>
      <c r="AT8" s="11602" t="n"/>
      <c r="AU8" s="11602" t="n"/>
      <c r="AV8" s="11602" t="n"/>
      <c r="AW8" s="11602" t="n"/>
      <c r="AX8" s="768" t="n"/>
      <c r="AY8" s="964" t="n"/>
      <c r="AZ8" s="964" t="n"/>
      <c r="BA8" s="964" t="n"/>
      <c r="BB8" s="964" t="n"/>
      <c r="BC8" s="964" t="n"/>
      <c r="BD8" s="964" t="n"/>
      <c r="BE8" s="964" t="n"/>
      <c r="BF8" s="964" t="n"/>
      <c r="BG8" s="964" t="n"/>
      <c r="BH8" s="964" t="n"/>
    </row>
    <row r="9" ht="7.5" customHeight="1" s="7635">
      <c r="A9" s="2112" t="n"/>
      <c r="B9" s="1277" t="n"/>
      <c r="C9" s="1277" t="n"/>
      <c r="D9" s="4139" t="n"/>
      <c r="E9" s="1277" t="n"/>
      <c r="F9" s="1277" t="n"/>
      <c r="G9" s="1277" t="n"/>
      <c r="H9" s="1277" t="n"/>
      <c r="I9" s="1277" t="n"/>
      <c r="J9" s="1277" t="n"/>
      <c r="K9" s="1277" t="n"/>
      <c r="L9" s="1277" t="n"/>
      <c r="M9" s="1277" t="n"/>
      <c r="N9" s="1277" t="n"/>
      <c r="O9" s="1277" t="n"/>
      <c r="P9" s="1277" t="n"/>
      <c r="Q9" s="1277" t="n"/>
      <c r="R9" s="1277" t="n"/>
      <c r="S9" s="1277" t="n"/>
      <c r="T9" s="1277" t="n"/>
      <c r="U9" s="1277" t="n"/>
      <c r="V9" s="1277" t="n"/>
      <c r="W9" s="1277" t="n"/>
      <c r="X9" s="1277" t="n"/>
      <c r="Y9" s="1277" t="n"/>
      <c r="Z9" s="1277" t="n"/>
      <c r="AA9" s="1277" t="n"/>
      <c r="AB9" s="1277" t="n"/>
      <c r="AC9" s="1277" t="n"/>
      <c r="AD9" s="1277" t="n"/>
      <c r="AE9" s="1277" t="n"/>
      <c r="AF9" s="1277" t="n"/>
      <c r="AG9" s="1277" t="n"/>
      <c r="AH9" s="1277" t="n"/>
      <c r="AI9" s="1277" t="n"/>
      <c r="AJ9" s="1277" t="n"/>
      <c r="AK9" s="1277" t="n"/>
      <c r="AL9" s="1277" t="n"/>
      <c r="AM9" s="1277" t="n"/>
      <c r="AN9" s="1277" t="n"/>
      <c r="AO9" s="2112" t="n"/>
      <c r="AP9" s="1277" t="n"/>
      <c r="AQ9" s="512" t="n"/>
      <c r="AR9" s="11602" t="n"/>
      <c r="AS9" s="11602" t="n"/>
      <c r="AT9" s="11602" t="n"/>
      <c r="AU9" s="11602" t="n"/>
      <c r="AV9" s="11602" t="n"/>
      <c r="AW9" s="11602" t="n"/>
      <c r="AX9" s="768" t="n"/>
      <c r="AY9" s="964" t="n"/>
      <c r="AZ9" s="964" t="n"/>
      <c r="BA9" s="964" t="n"/>
      <c r="BB9" s="964" t="n"/>
      <c r="BC9" s="964" t="n"/>
      <c r="BD9" s="964" t="n"/>
      <c r="BE9" s="964" t="n"/>
      <c r="BF9" s="964" t="n"/>
      <c r="BG9" s="964" t="n"/>
      <c r="BH9" s="964" t="n"/>
    </row>
    <row r="10" ht="15" customHeight="1" s="7635">
      <c r="A10" s="4140">
        <f>IF(SUM(AM80,AM202,AM323)&gt;0,SUM(AM80,AM202,AM323),SUM(ForeignTaxPaid_INT,ForeignTaxPaid_DIV))</f>
        <v/>
      </c>
      <c r="B10" s="12226">
        <f>IF(OR(ForeignTaxPaid="",ForeignTaxPaid=0),"---",IF(ForeignTaxPaid&lt;=ForeignTaxThreshold,TRUE,FALSE))</f>
        <v/>
      </c>
      <c r="C10" s="11734" t="n"/>
      <c r="D10" s="4138" t="inlineStr">
        <is>
          <t>• Your total creditable foreign taxes aren't more than $300 ($600 if married filing a joint return).</t>
        </is>
      </c>
      <c r="E10" s="1277" t="n"/>
      <c r="F10" s="1277" t="n"/>
      <c r="G10" s="1277" t="n"/>
      <c r="H10" s="1277" t="n"/>
      <c r="I10" s="1277" t="n"/>
      <c r="J10" s="1277" t="n"/>
      <c r="K10" s="1277" t="n"/>
      <c r="L10" s="1277" t="n"/>
      <c r="M10" s="1277" t="n"/>
      <c r="N10" s="1277" t="n"/>
      <c r="O10" s="1277" t="n"/>
      <c r="P10" s="1277" t="n"/>
      <c r="Q10" s="1277" t="n"/>
      <c r="R10" s="1277" t="n"/>
      <c r="S10" s="1277" t="n"/>
      <c r="T10" s="1277" t="n"/>
      <c r="U10" s="1277" t="n"/>
      <c r="V10" s="1277" t="n"/>
      <c r="W10" s="1277" t="n"/>
      <c r="X10" s="1277" t="n"/>
      <c r="Y10" s="1277" t="n"/>
      <c r="Z10" s="1277" t="n"/>
      <c r="AA10" s="1277" t="n"/>
      <c r="AB10" s="1277" t="n"/>
      <c r="AC10" s="1277" t="n"/>
      <c r="AD10" s="1277" t="n"/>
      <c r="AE10" s="1277" t="n"/>
      <c r="AF10" s="1277" t="n"/>
      <c r="AG10" s="8999">
        <f>IF(AND(ForeignTaxPaid&lt;&gt;"",ForeignTaxPaid&gt;0),"Foreign taxes paid &gt;","")</f>
        <v/>
      </c>
      <c r="AO10" s="4141">
        <f>IF(SUM(AM80,AM202,AM323,ForeignTaxPaid_INT,ForeignTaxPaid_DIV)=0,"", IF(AQ11&gt;0,AQ11,SUM(ForeignTaxPaid_INT,ForeignTaxPaid_DIV)))</f>
        <v/>
      </c>
      <c r="AP10" s="1277" t="n"/>
      <c r="AQ10" s="512">
        <f>IF(File_Marr_Joint&lt;&gt;"",AQ6,AQ8)</f>
        <v/>
      </c>
      <c r="AR10" s="11602" t="n"/>
      <c r="AS10" s="11602" t="n"/>
      <c r="AT10" s="11602" t="n"/>
      <c r="AU10" s="11602" t="n"/>
      <c r="AV10" s="11602" t="n"/>
      <c r="AW10" s="11602" t="n"/>
      <c r="AX10" s="768" t="n"/>
      <c r="AY10" s="964" t="n"/>
      <c r="AZ10" s="964" t="n"/>
      <c r="BA10" s="964" t="n"/>
      <c r="BB10" s="964" t="n"/>
      <c r="BC10" s="964" t="n"/>
      <c r="BD10" s="964" t="n"/>
      <c r="BE10" s="964" t="n"/>
      <c r="BF10" s="964" t="n"/>
      <c r="BG10" s="964" t="n"/>
      <c r="BH10" s="964" t="n"/>
    </row>
    <row r="11" ht="15.75" customHeight="1" s="7635">
      <c r="A11" s="2112" t="n"/>
      <c r="B11" s="1277" t="n"/>
      <c r="C11" s="1277" t="n"/>
      <c r="D11" s="1277" t="n"/>
      <c r="E11" s="1277" t="n"/>
      <c r="F11" s="1277" t="n"/>
      <c r="G11" s="1277" t="n"/>
      <c r="H11" s="1277" t="n"/>
      <c r="I11" s="1277" t="n"/>
      <c r="J11" s="1277" t="n"/>
      <c r="K11" s="1277" t="n"/>
      <c r="L11" s="1277" t="n"/>
      <c r="M11" s="1277" t="n"/>
      <c r="N11" s="1277" t="n"/>
      <c r="O11" s="1277" t="n"/>
      <c r="P11" s="1277" t="n"/>
      <c r="Q11" s="1277" t="n"/>
      <c r="R11" s="1277" t="n"/>
      <c r="S11" s="1277" t="n"/>
      <c r="T11" s="1277" t="n"/>
      <c r="U11" s="1277" t="n"/>
      <c r="V11" s="1277" t="n"/>
      <c r="W11" s="1277" t="n"/>
      <c r="X11" s="1277" t="n"/>
      <c r="Y11" s="1277" t="n"/>
      <c r="Z11" s="1277" t="n"/>
      <c r="AA11" s="1277" t="n"/>
      <c r="AB11" s="1277" t="n"/>
      <c r="AC11" s="1277" t="n"/>
      <c r="AD11" s="1277" t="n"/>
      <c r="AE11" s="1277" t="n"/>
      <c r="AF11" s="1277" t="n"/>
      <c r="AG11" s="1277" t="n"/>
      <c r="AH11" s="1277" t="n"/>
      <c r="AI11" s="1277" t="n"/>
      <c r="AJ11" s="1277" t="n"/>
      <c r="AK11" s="1277" t="n"/>
      <c r="AL11" s="1277" t="n"/>
      <c r="AM11" s="1277" t="n"/>
      <c r="AN11" s="1277" t="n"/>
      <c r="AO11" s="1277" t="n"/>
      <c r="AP11" s="1277" t="n"/>
      <c r="AQ11" s="990">
        <f>SUM(AM80,AM202,AM323)</f>
        <v/>
      </c>
      <c r="AR11" s="11602" t="n"/>
      <c r="AS11" s="11602" t="n"/>
      <c r="AT11" s="11602" t="n"/>
      <c r="AU11" s="11602" t="n"/>
      <c r="AV11" s="11602" t="n"/>
      <c r="AW11" s="11602" t="n"/>
      <c r="AX11" s="769" t="n"/>
      <c r="AY11" s="964" t="n"/>
      <c r="AZ11" s="964" t="n"/>
      <c r="BA11" s="964" t="n"/>
      <c r="BB11" s="964" t="n"/>
      <c r="BC11" s="964" t="n"/>
      <c r="BD11" s="964" t="n"/>
      <c r="BE11" s="964" t="n"/>
      <c r="BF11" s="964" t="n"/>
      <c r="BG11" s="964" t="n"/>
      <c r="BH11" s="964" t="n"/>
    </row>
    <row r="12" ht="15.75" customHeight="1" s="7635">
      <c r="A12" s="2112" t="n"/>
      <c r="B12" s="9068" t="inlineStr">
        <is>
          <t>Form 1116</t>
        </is>
      </c>
      <c r="H12" s="4142">
        <f>IF(AND(NOT(NoColor),'Table of Contents'!$A$43="D"),"DRAFT","")</f>
        <v/>
      </c>
      <c r="I12" s="9086" t="n"/>
      <c r="J12" s="9086" t="n"/>
      <c r="K12" s="9086" t="n"/>
      <c r="L12" s="9086" t="n"/>
      <c r="M12" s="7954" t="inlineStr">
        <is>
          <t>Foreign Tax Credit</t>
        </is>
      </c>
      <c r="AA12" s="9086" t="n"/>
      <c r="AB12" s="9086" t="n"/>
      <c r="AC12" s="9086" t="n"/>
      <c r="AD12" s="9086" t="n"/>
      <c r="AE12" s="9086" t="n"/>
      <c r="AF12" s="9086" t="n"/>
      <c r="AG12" s="9086" t="n"/>
      <c r="AH12" s="2910" t="n"/>
      <c r="AI12" s="8598" t="inlineStr">
        <is>
          <t>OMB No. 1545-0121</t>
        </is>
      </c>
      <c r="AJ12" s="7637" t="n"/>
      <c r="AK12" s="7637" t="n"/>
      <c r="AL12" s="7637" t="n"/>
      <c r="AM12" s="7637" t="n"/>
      <c r="AN12" s="7637" t="n"/>
      <c r="AO12" s="7637" t="n"/>
      <c r="AP12" s="1277" t="n"/>
      <c r="AQ12" s="2158">
        <f>AND(AQ23="",AQ38="",AQ77="")</f>
        <v/>
      </c>
      <c r="AR12" s="4143" t="n"/>
      <c r="AS12" s="4143" t="n"/>
      <c r="AT12" s="4143" t="n"/>
      <c r="AU12" s="4143" t="n"/>
      <c r="AV12" s="4143" t="n"/>
      <c r="AW12" s="4143" t="n"/>
      <c r="AX12" s="768" t="n"/>
      <c r="AY12" s="964" t="n"/>
      <c r="AZ12" s="964" t="n"/>
      <c r="BA12" s="964" t="n"/>
      <c r="BB12" s="964" t="n"/>
      <c r="BC12" s="964" t="n"/>
      <c r="BD12" s="964" t="n"/>
      <c r="BE12" s="964" t="n"/>
      <c r="BF12" s="964" t="n"/>
      <c r="BG12" s="964" t="n"/>
      <c r="BH12" s="964" t="n"/>
    </row>
    <row r="13" ht="22.5" customHeight="1" s="7635">
      <c r="A13" s="4135" t="n"/>
      <c r="H13" s="4144" t="n"/>
      <c r="I13" s="9086" t="n"/>
      <c r="J13" s="9086" t="n"/>
      <c r="K13" s="9086" t="n"/>
      <c r="L13" s="9086" t="n"/>
      <c r="AA13" s="9086" t="n"/>
      <c r="AB13" s="9086" t="n"/>
      <c r="AC13" s="9086" t="n"/>
      <c r="AD13" s="9086" t="n"/>
      <c r="AE13" s="9086" t="n"/>
      <c r="AF13" s="9086" t="n"/>
      <c r="AG13" s="9086" t="n"/>
      <c r="AH13" s="809" t="n"/>
      <c r="AI13" s="9055">
        <f>TaxYear</f>
        <v/>
      </c>
      <c r="AJ13" s="7839" t="n"/>
      <c r="AK13" s="7839" t="n"/>
      <c r="AL13" s="7839" t="n"/>
      <c r="AM13" s="7839" t="n"/>
      <c r="AN13" s="7839" t="n"/>
      <c r="AO13" s="7839" t="n"/>
      <c r="AP13" s="1277" t="n"/>
      <c r="AQ13" s="9234">
        <f>IF(AND(ForeignTaxPaid&lt;&gt;"",ForeignTaxPaid&gt;0),"Note: Foreign Tax payments of ","")</f>
        <v/>
      </c>
      <c r="AX13" s="768" t="n"/>
      <c r="AY13" s="964" t="n"/>
      <c r="AZ13" s="964" t="n"/>
      <c r="BA13" s="964" t="n"/>
      <c r="BB13" s="964" t="n"/>
      <c r="BC13" s="964" t="n"/>
      <c r="BD13" s="964" t="n"/>
      <c r="BE13" s="964" t="n"/>
      <c r="BF13" s="964" t="n"/>
      <c r="BG13" s="964" t="n"/>
      <c r="BH13" s="964" t="n"/>
    </row>
    <row r="14" ht="15" customHeight="1" s="7635">
      <c r="A14" s="2112" t="n"/>
      <c r="B14" s="2677" t="n"/>
      <c r="C14" s="11602" t="n"/>
      <c r="D14" s="11602" t="n"/>
      <c r="E14" s="11602" t="n"/>
      <c r="F14" s="11602" t="n"/>
      <c r="G14" s="11602" t="n"/>
      <c r="H14" s="12227" t="inlineStr">
        <is>
          <t>(Individual, Estate, or Trust)</t>
        </is>
      </c>
      <c r="AH14" s="1066" t="n"/>
      <c r="AI14" s="11741" t="n"/>
      <c r="AP14" s="1277" t="n"/>
      <c r="AX14" s="768" t="n"/>
      <c r="AY14" s="964" t="n"/>
      <c r="AZ14" s="964" t="n"/>
      <c r="BA14" s="964" t="n"/>
      <c r="BB14" s="964" t="n"/>
      <c r="BC14" s="964" t="n"/>
      <c r="BD14" s="964" t="n"/>
      <c r="BE14" s="964" t="n"/>
      <c r="BF14" s="964" t="n"/>
      <c r="BG14" s="964" t="n"/>
      <c r="BH14" s="964" t="n"/>
    </row>
    <row r="15" ht="11.25" customHeight="1" s="7635">
      <c r="A15" s="2112" t="n"/>
      <c r="B15" s="7650" t="inlineStr">
        <is>
          <t>Department of the Treasury Internal Revenue Service</t>
        </is>
      </c>
      <c r="G15" s="1066" t="n"/>
      <c r="H15" s="12228" t="inlineStr">
        <is>
          <t>Attach to Form 1040, 1040-SR, 1040-NR, 1041, or 990-T.</t>
        </is>
      </c>
      <c r="AH15" s="1066" t="n"/>
      <c r="AI15" s="12229" t="inlineStr">
        <is>
          <t>Attachment 
Sequence No.</t>
        </is>
      </c>
      <c r="AN15" s="9088" t="n">
        <v>19</v>
      </c>
      <c r="AP15" s="1277" t="n"/>
      <c r="AQ15" s="9234">
        <f>IF(AND(ForeignTaxPaid_INT_DIV&lt;&gt;"",ForeignTaxPaid_INT_DIV&gt;=1000),TEXT(ForeignTaxPaid_INT_DIV,"$0,000")&amp;" were reported on Forms",IF(AND(ForeignTaxPaid_INT_DIV&lt;&gt;"",ForeignTaxPaid_INT_DIV&gt;0),TEXT(ForeignTaxPaid_INT_DIV,"$0")&amp;" were reported on Forms",""))</f>
        <v/>
      </c>
      <c r="AX15" s="768" t="n"/>
      <c r="AY15" s="964" t="n"/>
      <c r="AZ15" s="964" t="n"/>
      <c r="BA15" s="964" t="n"/>
      <c r="BB15" s="964" t="n"/>
      <c r="BC15" s="964" t="n"/>
      <c r="BD15" s="964" t="n"/>
      <c r="BE15" s="964" t="n"/>
      <c r="BF15" s="964" t="n"/>
      <c r="BG15" s="964" t="n"/>
      <c r="BH15" s="964" t="n"/>
    </row>
    <row r="16" ht="11.25" customHeight="1" s="7635" thickBot="1">
      <c r="A16" s="2112" t="n"/>
      <c r="B16" s="8848" t="n"/>
      <c r="C16" s="8848" t="n"/>
      <c r="D16" s="8848" t="n"/>
      <c r="E16" s="8848" t="n"/>
      <c r="F16" s="8848" t="n"/>
      <c r="G16" s="2627" t="n"/>
      <c r="H16" s="12230" t="inlineStr">
        <is>
          <t>Go to www.irs.gov/Form1116 for instructions and the latest information.</t>
        </is>
      </c>
      <c r="I16" s="8848" t="n"/>
      <c r="J16" s="8848" t="n"/>
      <c r="K16" s="8848" t="n"/>
      <c r="L16" s="8848" t="n"/>
      <c r="M16" s="8848" t="n"/>
      <c r="N16" s="8848" t="n"/>
      <c r="O16" s="8848" t="n"/>
      <c r="P16" s="8848" t="n"/>
      <c r="Q16" s="8848" t="n"/>
      <c r="R16" s="8848" t="n"/>
      <c r="S16" s="8848" t="n"/>
      <c r="T16" s="8848" t="n"/>
      <c r="U16" s="8848" t="n"/>
      <c r="V16" s="8848" t="n"/>
      <c r="W16" s="8848" t="n"/>
      <c r="X16" s="8848" t="n"/>
      <c r="Y16" s="8848" t="n"/>
      <c r="Z16" s="8848" t="n"/>
      <c r="AA16" s="8848" t="n"/>
      <c r="AB16" s="8848" t="n"/>
      <c r="AC16" s="8848" t="n"/>
      <c r="AD16" s="8848" t="n"/>
      <c r="AE16" s="8848" t="n"/>
      <c r="AF16" s="8848" t="n"/>
      <c r="AG16" s="8848" t="n"/>
      <c r="AH16" s="2627" t="n"/>
      <c r="AI16" s="11743" t="n"/>
      <c r="AJ16" s="8848" t="n"/>
      <c r="AK16" s="8848" t="n"/>
      <c r="AL16" s="8848" t="n"/>
      <c r="AM16" s="8848" t="n"/>
      <c r="AN16" s="8848" t="n"/>
      <c r="AO16" s="8848" t="n"/>
      <c r="AP16" s="1277" t="n"/>
      <c r="AQ16" s="9235">
        <f>IF(AND(ForeignTaxPaid&lt;&gt;"",ForeignTaxPaid&gt;0),"1099-INT &amp; DIV. Complete Form 1116,","")</f>
        <v/>
      </c>
      <c r="AX16" s="769" t="n"/>
      <c r="AY16" s="964" t="n"/>
      <c r="AZ16" s="964" t="n"/>
      <c r="BA16" s="964" t="n"/>
      <c r="BB16" s="964" t="n"/>
      <c r="BC16" s="964" t="n"/>
      <c r="BD16" s="964" t="n"/>
      <c r="BE16" s="964" t="n"/>
      <c r="BF16" s="964" t="n"/>
      <c r="BG16" s="964" t="n"/>
      <c r="BH16" s="964" t="n"/>
    </row>
    <row r="17">
      <c r="A17" s="2112" t="n"/>
      <c r="B17" s="339" t="inlineStr">
        <is>
          <t>Name</t>
        </is>
      </c>
      <c r="C17" s="377" t="n"/>
      <c r="D17" s="377" t="n"/>
      <c r="E17" s="377" t="n"/>
      <c r="F17" s="377" t="n"/>
      <c r="G17" s="377" t="n"/>
      <c r="H17" s="377" t="n"/>
      <c r="I17" s="377" t="n"/>
      <c r="J17" s="377" t="n"/>
      <c r="K17" s="377" t="n"/>
      <c r="L17" s="377" t="n"/>
      <c r="M17" s="377" t="n"/>
      <c r="N17" s="377" t="n"/>
      <c r="O17" s="377" t="n"/>
      <c r="P17" s="377" t="n"/>
      <c r="Q17" s="377" t="n"/>
      <c r="R17" s="377" t="n"/>
      <c r="S17" s="377" t="n"/>
      <c r="T17" s="377" t="n"/>
      <c r="U17" s="377" t="n"/>
      <c r="V17" s="377" t="n"/>
      <c r="W17" s="377" t="n"/>
      <c r="X17" s="377" t="n"/>
      <c r="Y17" s="377" t="n"/>
      <c r="Z17" s="377" t="n"/>
      <c r="AA17" s="9053" t="inlineStr">
        <is>
          <t>Identifying number as shown on page 1 of your tax return</t>
        </is>
      </c>
      <c r="AB17" s="2506" t="n"/>
      <c r="AC17" s="2506" t="n"/>
      <c r="AD17" s="2506" t="n"/>
      <c r="AE17" s="2506" t="n"/>
      <c r="AF17" s="2506" t="n"/>
      <c r="AG17" s="2506" t="n"/>
      <c r="AH17" s="2506" t="n"/>
      <c r="AI17" s="2506" t="n"/>
      <c r="AJ17" s="2506" t="n"/>
      <c r="AK17" s="2506" t="n"/>
      <c r="AL17" s="2506" t="n"/>
      <c r="AM17" s="2506" t="n"/>
      <c r="AN17" s="2506" t="n"/>
      <c r="AO17" s="2506" t="n"/>
      <c r="AP17" s="1277" t="n"/>
      <c r="AQ17" s="9236">
        <f>IF(AND(ForeignTaxPaid&lt;&gt;"",ForeignTaxPaid&gt;0),"to determine Sch.3, Line 1 amount.","")</f>
        <v/>
      </c>
      <c r="AX17" s="769" t="n"/>
      <c r="AY17" s="964" t="n"/>
      <c r="AZ17" s="964" t="n"/>
      <c r="BA17" s="964" t="n"/>
      <c r="BB17" s="964" t="n"/>
      <c r="BC17" s="964" t="n"/>
      <c r="BD17" s="964" t="n"/>
      <c r="BE17" s="964" t="n"/>
      <c r="BF17" s="964" t="n"/>
      <c r="BG17" s="964" t="n"/>
      <c r="BH17" s="964" t="n"/>
    </row>
    <row r="18" ht="9" customHeight="1" s="7635">
      <c r="A18" s="2112" t="n"/>
      <c r="B18" s="12231">
        <f>Names</f>
        <v/>
      </c>
      <c r="C18" s="194" t="n"/>
      <c r="D18" s="194" t="n"/>
      <c r="E18" s="194" t="n"/>
      <c r="F18" s="194" t="n"/>
      <c r="G18" s="194" t="n"/>
      <c r="H18" s="194" t="n"/>
      <c r="I18" s="194" t="n"/>
      <c r="J18" s="194" t="n"/>
      <c r="K18" s="194" t="n"/>
      <c r="L18" s="194" t="n"/>
      <c r="M18" s="194" t="n"/>
      <c r="N18" s="194" t="n"/>
      <c r="O18" s="194" t="n"/>
      <c r="P18" s="194" t="n"/>
      <c r="Q18" s="194" t="n"/>
      <c r="R18" s="194" t="n"/>
      <c r="S18" s="194" t="n"/>
      <c r="T18" s="194" t="n"/>
      <c r="U18" s="194" t="n"/>
      <c r="V18" s="194" t="n"/>
      <c r="W18" s="194" t="n"/>
      <c r="X18" s="194" t="n"/>
      <c r="Y18" s="194" t="n"/>
      <c r="Z18" s="194" t="n"/>
      <c r="AA18" s="12232">
        <f>IF(NoSSN,"",SS_Yours)</f>
        <v/>
      </c>
      <c r="AP18" s="1277" t="n"/>
      <c r="AQ18" s="11602" t="n"/>
      <c r="AR18" s="11602" t="n"/>
      <c r="AS18" s="11602" t="n"/>
      <c r="AT18" s="11602" t="n"/>
      <c r="AU18" s="11602" t="n"/>
      <c r="AV18" s="11602" t="n"/>
      <c r="AW18" s="11602" t="n"/>
      <c r="AX18" s="769" t="n"/>
      <c r="AY18" s="964" t="n"/>
      <c r="AZ18" s="964" t="n"/>
      <c r="BA18" s="964" t="n"/>
      <c r="BB18" s="964" t="n"/>
      <c r="BC18" s="964" t="n"/>
      <c r="BD18" s="964" t="n"/>
      <c r="BE18" s="964" t="n"/>
      <c r="BF18" s="964" t="n"/>
      <c r="BG18" s="964" t="n"/>
      <c r="BH18" s="964" t="n"/>
    </row>
    <row r="19" ht="9" customHeight="1" s="7635">
      <c r="A19" s="2112" t="n"/>
      <c r="B19" s="11717" t="n"/>
      <c r="C19" s="11717" t="n"/>
      <c r="D19" s="11717" t="n"/>
      <c r="E19" s="11717" t="n"/>
      <c r="F19" s="11717" t="n"/>
      <c r="G19" s="11717" t="n"/>
      <c r="H19" s="11717" t="n"/>
      <c r="I19" s="11717" t="n"/>
      <c r="J19" s="11717" t="n"/>
      <c r="K19" s="11717" t="n"/>
      <c r="L19" s="11717" t="n"/>
      <c r="M19" s="11717" t="n"/>
      <c r="N19" s="11717" t="n"/>
      <c r="O19" s="11717" t="n"/>
      <c r="P19" s="11717" t="n"/>
      <c r="Q19" s="11717" t="n"/>
      <c r="R19" s="11717" t="n"/>
      <c r="S19" s="11717" t="n"/>
      <c r="T19" s="11717" t="n"/>
      <c r="U19" s="11717" t="n"/>
      <c r="V19" s="11717" t="n"/>
      <c r="W19" s="11717" t="n"/>
      <c r="X19" s="11717" t="n"/>
      <c r="Y19" s="11717" t="n"/>
      <c r="Z19" s="11717" t="n"/>
      <c r="AA19" s="3614" t="n"/>
      <c r="AB19" s="7637" t="n"/>
      <c r="AC19" s="7637" t="n"/>
      <c r="AD19" s="7637" t="n"/>
      <c r="AE19" s="7637" t="n"/>
      <c r="AF19" s="7637" t="n"/>
      <c r="AG19" s="7637" t="n"/>
      <c r="AH19" s="7637" t="n"/>
      <c r="AI19" s="7637" t="n"/>
      <c r="AJ19" s="7637" t="n"/>
      <c r="AK19" s="7637" t="n"/>
      <c r="AL19" s="7637" t="n"/>
      <c r="AM19" s="7637" t="n"/>
      <c r="AN19" s="7637" t="n"/>
      <c r="AO19" s="7637" t="n"/>
      <c r="AP19" s="1277" t="n"/>
      <c r="AQ19" s="11602" t="n"/>
      <c r="AR19" s="11602" t="n"/>
      <c r="AS19" s="11602" t="n"/>
      <c r="AT19" s="11602" t="n"/>
      <c r="AU19" s="11602" t="n"/>
      <c r="AV19" s="11602" t="n"/>
      <c r="AW19" s="11602" t="n"/>
      <c r="AX19" s="769" t="n"/>
      <c r="AY19" s="964" t="n"/>
      <c r="AZ19" s="964" t="n"/>
      <c r="BA19" s="964" t="n"/>
      <c r="BB19" s="964" t="n"/>
      <c r="BC19" s="964" t="n"/>
      <c r="BD19" s="964" t="n"/>
      <c r="BE19" s="964" t="n"/>
      <c r="BF19" s="964" t="n"/>
      <c r="BG19" s="964" t="n"/>
      <c r="BH19" s="964" t="n"/>
    </row>
    <row r="20" ht="12.75" customHeight="1" s="7635">
      <c r="A20" s="2112" t="n"/>
      <c r="B20" s="2263" t="inlineStr">
        <is>
          <t xml:space="preserve">Use a separate Form 1116 for each category of income listed below. See Categories of Income in the instructions. </t>
        </is>
      </c>
      <c r="C20" s="406" t="n"/>
      <c r="D20" s="406" t="n"/>
      <c r="E20" s="406" t="n"/>
      <c r="F20" s="406" t="n"/>
      <c r="G20" s="406" t="n"/>
      <c r="H20" s="406" t="n"/>
      <c r="I20" s="406" t="n"/>
      <c r="J20" s="406" t="n"/>
      <c r="K20" s="406" t="n"/>
      <c r="L20" s="406" t="n"/>
      <c r="M20" s="406" t="n"/>
      <c r="N20" s="406" t="n"/>
      <c r="O20" s="406" t="n"/>
      <c r="P20" s="406" t="n"/>
      <c r="Q20" s="406" t="n"/>
      <c r="R20" s="406" t="n"/>
      <c r="S20" s="406" t="n"/>
      <c r="T20" s="406" t="n"/>
      <c r="U20" s="406" t="n"/>
      <c r="V20" s="406" t="n"/>
      <c r="W20" s="406" t="n"/>
      <c r="X20" s="406" t="n"/>
      <c r="Y20" s="406" t="n"/>
      <c r="Z20" s="406" t="n"/>
      <c r="AA20" s="406" t="n"/>
      <c r="AB20" s="406" t="n"/>
      <c r="AC20" s="406" t="n"/>
      <c r="AD20" s="406" t="n"/>
      <c r="AE20" s="406" t="n"/>
      <c r="AF20" s="406" t="n"/>
      <c r="AG20" s="406" t="n"/>
      <c r="AH20" s="406" t="n"/>
      <c r="AI20" s="10866" t="inlineStr">
        <is>
          <t>Check only one box on each</t>
        </is>
      </c>
      <c r="AJ20" s="406" t="n"/>
      <c r="AK20" s="406" t="n"/>
      <c r="AL20" s="406" t="n"/>
      <c r="AM20" s="406" t="n"/>
      <c r="AN20" s="406" t="n"/>
      <c r="AO20" s="4145" t="n"/>
      <c r="AP20" s="1277" t="n"/>
      <c r="AQ20" s="512">
        <f>AND(AO22&lt;2,AO144&lt;2,AO265&lt;2,SUM(AO22,AO144,AO265)&gt;1)</f>
        <v/>
      </c>
      <c r="AR20" s="512" t="n"/>
      <c r="AS20" s="512" t="n"/>
      <c r="AT20" s="512" t="n"/>
      <c r="AU20" s="512" t="n"/>
      <c r="AV20" s="4146" t="n"/>
      <c r="AW20" s="4146" t="n"/>
      <c r="AX20" s="769" t="n"/>
      <c r="AY20" s="964" t="n"/>
      <c r="AZ20" s="964" t="n"/>
      <c r="BA20" s="964" t="n"/>
      <c r="BB20" s="964" t="n"/>
      <c r="BC20" s="964" t="n"/>
      <c r="BD20" s="964" t="n"/>
      <c r="BE20" s="964" t="n"/>
      <c r="BF20" s="964" t="n"/>
      <c r="BG20" s="964" t="n"/>
      <c r="BH20" s="964" t="n"/>
    </row>
    <row r="21" ht="12.75" customHeight="1" s="7635">
      <c r="A21" s="4135" t="n"/>
      <c r="B21" s="7299" t="inlineStr">
        <is>
          <t xml:space="preserve">Form 1116. </t>
        </is>
      </c>
      <c r="C21" s="11602" t="n"/>
      <c r="D21" s="11602" t="n"/>
      <c r="E21" s="7299" t="inlineStr">
        <is>
          <t>Report all amounts in U.S. dollars except where specified in Part II below.</t>
        </is>
      </c>
      <c r="F21" s="7772" t="n"/>
      <c r="G21" s="11602" t="n"/>
      <c r="H21" s="11602" t="n"/>
      <c r="I21" s="11602" t="n"/>
      <c r="J21" s="11602" t="n"/>
      <c r="K21" s="11602" t="n"/>
      <c r="L21" s="11602" t="n"/>
      <c r="M21" s="11602" t="n"/>
      <c r="N21" s="11602" t="n"/>
      <c r="O21" s="11602" t="n"/>
      <c r="P21" s="11602" t="n"/>
      <c r="Q21" s="11602" t="n"/>
      <c r="R21" s="11602" t="n"/>
      <c r="S21" s="11602" t="n"/>
      <c r="T21" s="11602" t="n"/>
      <c r="U21" s="11602" t="n"/>
      <c r="V21" s="11602" t="n"/>
      <c r="W21" s="11602" t="n"/>
      <c r="X21" s="11602" t="n"/>
      <c r="Y21" s="11602" t="n"/>
      <c r="Z21" s="11602" t="n"/>
      <c r="AA21" s="11602" t="n"/>
      <c r="AB21" s="11602" t="n"/>
      <c r="AC21" s="11602" t="n"/>
      <c r="AD21" s="11602" t="n"/>
      <c r="AE21" s="11602" t="n"/>
      <c r="AF21" s="11602" t="n"/>
      <c r="AG21" s="11602" t="n"/>
      <c r="AH21" s="11602" t="n"/>
      <c r="AI21" s="11602" t="n"/>
      <c r="AJ21" s="11602" t="n"/>
      <c r="AK21" s="11602" t="n"/>
      <c r="AL21" s="11602" t="n"/>
      <c r="AM21" s="11602" t="n"/>
      <c r="AN21" s="11602" t="n"/>
      <c r="AO21" s="11602" t="n"/>
      <c r="AP21" s="1277" t="n"/>
      <c r="AQ21" s="724" t="n"/>
      <c r="AR21" s="8953" t="n"/>
      <c r="AV21" s="512" t="n"/>
      <c r="AW21" s="512" t="n"/>
      <c r="AX21" s="769" t="n"/>
      <c r="AY21" s="964" t="n"/>
      <c r="AZ21" s="964" t="n"/>
      <c r="BA21" s="964" t="n"/>
      <c r="BB21" s="964" t="n"/>
      <c r="BC21" s="964" t="n"/>
      <c r="BD21" s="964" t="n"/>
      <c r="BE21" s="964" t="n"/>
      <c r="BF21" s="964" t="n"/>
      <c r="BG21" s="964" t="n"/>
      <c r="BH21" s="964" t="n"/>
    </row>
    <row r="22" ht="6" customHeight="1" s="7635">
      <c r="A22" s="2112" t="n"/>
      <c r="B22" s="11602" t="n"/>
      <c r="C22" s="3235">
        <f>IF(C23&lt;&gt;"",1,0)</f>
        <v/>
      </c>
      <c r="D22" s="512" t="n"/>
      <c r="E22" s="512" t="n"/>
      <c r="F22" s="4148" t="n"/>
      <c r="G22" s="512" t="n"/>
      <c r="H22" s="512" t="n"/>
      <c r="I22" s="512" t="n"/>
      <c r="J22" s="512" t="n"/>
      <c r="K22" s="3235">
        <f>IF(K23&lt;&gt;"",1,0)</f>
        <v/>
      </c>
      <c r="L22" s="512" t="n"/>
      <c r="M22" s="512" t="n"/>
      <c r="N22" s="3235" t="n"/>
      <c r="O22" s="512" t="n"/>
      <c r="P22" s="512" t="n"/>
      <c r="Q22" s="512" t="n"/>
      <c r="R22" s="512" t="n"/>
      <c r="S22" s="512" t="n"/>
      <c r="T22" s="512" t="n"/>
      <c r="U22" s="512" t="n"/>
      <c r="V22" s="512" t="n"/>
      <c r="W22" s="3235">
        <f>IF(W23&lt;&gt;"",1,0)</f>
        <v/>
      </c>
      <c r="X22" s="512" t="n"/>
      <c r="Y22" s="512" t="n"/>
      <c r="Z22" s="512" t="n"/>
      <c r="AA22" s="512" t="n"/>
      <c r="AB22" s="3235" t="n"/>
      <c r="AC22" s="11602" t="n"/>
      <c r="AD22" s="11602" t="n"/>
      <c r="AE22" s="11602" t="n"/>
      <c r="AF22" s="11602" t="n"/>
      <c r="AG22" s="11602" t="n"/>
      <c r="AH22" s="11602" t="n"/>
      <c r="AI22" s="3235">
        <f>IF(AI23&lt;&gt;"",1,0)</f>
        <v/>
      </c>
      <c r="AJ22" s="11602" t="n"/>
      <c r="AK22" s="11602" t="n"/>
      <c r="AL22" s="11602" t="n"/>
      <c r="AM22" s="11602" t="n"/>
      <c r="AN22" s="11602" t="n"/>
      <c r="AO22" s="3787">
        <f>SUM(C22,K22,W22,AI22,C24,K24,W24)</f>
        <v/>
      </c>
      <c r="AP22" s="1277" t="n"/>
      <c r="AQ22" s="512" t="n"/>
      <c r="AR22" s="512" t="n"/>
      <c r="AS22" s="512" t="n"/>
      <c r="AT22" s="512" t="n"/>
      <c r="AU22" s="512" t="n"/>
      <c r="AV22" s="512" t="n"/>
      <c r="AW22" s="512" t="n"/>
      <c r="AX22" s="769" t="n"/>
      <c r="AY22" s="964" t="n"/>
      <c r="AZ22" s="964" t="n"/>
      <c r="BA22" s="964" t="n"/>
      <c r="BB22" s="964" t="n"/>
      <c r="BC22" s="964" t="n"/>
      <c r="BD22" s="964" t="n"/>
      <c r="BE22" s="964" t="n"/>
      <c r="BF22" s="964" t="n"/>
      <c r="BG22" s="964" t="n"/>
      <c r="BH22" s="964" t="n"/>
    </row>
    <row r="23" ht="11.25" customHeight="1" s="7635">
      <c r="A23" s="4135">
        <f>AND(K23&lt;&gt;"",AO22=1,A80)</f>
        <v/>
      </c>
      <c r="B23" s="7642" t="inlineStr">
        <is>
          <t>a</t>
        </is>
      </c>
      <c r="C23" s="325" t="n"/>
      <c r="D23" s="2853" t="inlineStr">
        <is>
          <t>Section 951A income</t>
        </is>
      </c>
      <c r="E23" s="11602" t="n"/>
      <c r="F23" s="11602" t="n"/>
      <c r="G23" s="11602" t="n"/>
      <c r="H23" s="11602" t="n"/>
      <c r="I23" s="11602" t="n"/>
      <c r="J23" s="7642" t="inlineStr">
        <is>
          <t>c</t>
        </is>
      </c>
      <c r="K23" s="325" t="n"/>
      <c r="L23" s="2853" t="inlineStr">
        <is>
          <t>Passive category income</t>
        </is>
      </c>
      <c r="M23" s="2853" t="n"/>
      <c r="N23" s="344" t="n"/>
      <c r="O23" s="2853" t="n"/>
      <c r="P23" s="344" t="n"/>
      <c r="Q23" s="11602" t="n"/>
      <c r="R23" s="11602" t="n"/>
      <c r="S23" s="11602" t="n"/>
      <c r="T23" s="11602" t="n"/>
      <c r="U23" s="11602" t="n"/>
      <c r="V23" s="7642" t="inlineStr">
        <is>
          <t>e</t>
        </is>
      </c>
      <c r="W23" s="325" t="n"/>
      <c r="X23" s="2853" t="inlineStr">
        <is>
          <t>Section 901(j) income</t>
        </is>
      </c>
      <c r="Y23" s="11602" t="n"/>
      <c r="Z23" s="11602" t="n"/>
      <c r="AA23" s="7642" t="n"/>
      <c r="AB23" s="11602" t="n"/>
      <c r="AC23" s="2853" t="n"/>
      <c r="AD23" s="7642" t="n"/>
      <c r="AE23" s="11602" t="n"/>
      <c r="AF23" s="7642" t="n"/>
      <c r="AG23" s="11602" t="n"/>
      <c r="AH23" s="7642" t="inlineStr">
        <is>
          <t>g</t>
        </is>
      </c>
      <c r="AI23" s="325" t="n"/>
      <c r="AJ23" s="2853" t="inlineStr">
        <is>
          <t>Lump-sum distributions</t>
        </is>
      </c>
      <c r="AK23" s="11602" t="n"/>
      <c r="AL23" s="11602" t="n"/>
      <c r="AM23" s="11602" t="n"/>
      <c r="AN23" s="11602" t="n"/>
      <c r="AO23" s="8914" t="n"/>
      <c r="AP23" s="1277" t="n"/>
      <c r="AQ23" s="4149">
        <f>IF(NOT(AO22),"←  Check one box.","")</f>
        <v/>
      </c>
      <c r="AR23" s="4150" t="n"/>
      <c r="AS23" s="4150" t="n"/>
      <c r="AT23" s="580" t="n"/>
      <c r="AU23" s="4150" t="n"/>
      <c r="AV23" s="4150" t="n"/>
      <c r="AW23" s="4146" t="n"/>
      <c r="AX23" s="769" t="n"/>
      <c r="AY23" s="964" t="n"/>
      <c r="AZ23" s="964" t="n"/>
      <c r="BA23" s="964" t="n"/>
      <c r="BB23" s="964" t="n"/>
      <c r="BC23" s="964" t="n"/>
      <c r="BD23" s="964" t="n"/>
      <c r="BE23" s="964" t="n"/>
      <c r="BF23" s="964" t="n"/>
      <c r="BG23" s="964" t="n"/>
      <c r="BH23" s="964" t="n"/>
    </row>
    <row r="24" ht="6.75" customHeight="1" s="7635">
      <c r="A24" s="2112" t="n"/>
      <c r="B24" s="9169" t="n"/>
      <c r="C24" s="3235">
        <f>IF(C25&lt;&gt;"",1,0)</f>
        <v/>
      </c>
      <c r="D24" s="4152" t="n"/>
      <c r="E24" s="512" t="n"/>
      <c r="F24" s="512" t="n"/>
      <c r="G24" s="512" t="n"/>
      <c r="H24" s="512" t="n"/>
      <c r="I24" s="512" t="n"/>
      <c r="J24" s="512" t="n"/>
      <c r="K24" s="3235">
        <f>IF(K25&lt;&gt;"",1,0)</f>
        <v/>
      </c>
      <c r="L24" s="512" t="n"/>
      <c r="M24" s="512" t="n"/>
      <c r="N24" s="3235" t="n"/>
      <c r="O24" s="11602" t="n"/>
      <c r="P24" s="11602" t="n"/>
      <c r="Q24" s="11602" t="n"/>
      <c r="R24" s="11602" t="n"/>
      <c r="S24" s="11602" t="n"/>
      <c r="T24" s="11602" t="n"/>
      <c r="U24" s="11602" t="n"/>
      <c r="V24" s="11602" t="n"/>
      <c r="W24" s="3235">
        <f>IF(W25&lt;&gt;"",1,0)</f>
        <v/>
      </c>
      <c r="X24" s="11602" t="n"/>
      <c r="Y24" s="11602" t="n"/>
      <c r="Z24" s="11602" t="n"/>
      <c r="AA24" s="11602" t="n"/>
      <c r="AB24" s="11602" t="n"/>
      <c r="AC24" s="11602" t="n"/>
      <c r="AD24" s="11602" t="n"/>
      <c r="AE24" s="11602" t="n"/>
      <c r="AF24" s="11602" t="n"/>
      <c r="AG24" s="11602" t="n"/>
      <c r="AH24" s="11602" t="n"/>
      <c r="AI24" s="11602" t="n"/>
      <c r="AJ24" s="11602" t="n"/>
      <c r="AK24" s="11602" t="n"/>
      <c r="AL24" s="11602" t="n"/>
      <c r="AM24" s="11602" t="n"/>
      <c r="AN24" s="11602" t="n"/>
      <c r="AO24" s="11602" t="n"/>
      <c r="AP24" s="1277" t="n"/>
      <c r="AQ24" s="571" t="n"/>
      <c r="AR24" s="571" t="n"/>
      <c r="AS24" s="571" t="n"/>
      <c r="AT24" s="571" t="n"/>
      <c r="AU24" s="571" t="n"/>
      <c r="AV24" s="571" t="n"/>
      <c r="AW24" s="571" t="n"/>
      <c r="AX24" s="769" t="n"/>
      <c r="AY24" s="964" t="n"/>
      <c r="AZ24" s="964" t="n"/>
      <c r="BA24" s="964" t="n"/>
      <c r="BB24" s="964" t="n"/>
      <c r="BC24" s="964" t="n"/>
      <c r="BD24" s="964" t="n"/>
      <c r="BE24" s="964" t="n"/>
      <c r="BF24" s="964" t="n"/>
      <c r="BG24" s="964" t="n"/>
      <c r="BH24" s="964" t="n"/>
    </row>
    <row r="25" ht="11.25" customHeight="1" s="7635">
      <c r="A25" s="2112" t="n"/>
      <c r="B25" s="7642" t="inlineStr">
        <is>
          <t>b</t>
        </is>
      </c>
      <c r="C25" s="325" t="n"/>
      <c r="D25" s="2853" t="inlineStr">
        <is>
          <t>Foreign branch income</t>
        </is>
      </c>
      <c r="E25" s="11602" t="n"/>
      <c r="F25" s="11602" t="n"/>
      <c r="G25" s="11602" t="n"/>
      <c r="H25" s="11602" t="n"/>
      <c r="I25" s="11602" t="n"/>
      <c r="J25" s="7642" t="inlineStr">
        <is>
          <t>d</t>
        </is>
      </c>
      <c r="K25" s="325" t="n"/>
      <c r="L25" s="2853" t="inlineStr">
        <is>
          <t>General category income</t>
        </is>
      </c>
      <c r="M25" s="2853" t="n"/>
      <c r="N25" s="344" t="n"/>
      <c r="O25" s="2853" t="n"/>
      <c r="P25" s="344" t="n"/>
      <c r="Q25" s="11602" t="n"/>
      <c r="R25" s="11602" t="n"/>
      <c r="S25" s="11602" t="n"/>
      <c r="T25" s="11602" t="n"/>
      <c r="U25" s="11602" t="n"/>
      <c r="V25" s="7642" t="inlineStr">
        <is>
          <t>f</t>
        </is>
      </c>
      <c r="W25" s="325" t="n"/>
      <c r="X25" s="2853" t="inlineStr">
        <is>
          <t>Certain income re-sourced by treaty</t>
        </is>
      </c>
      <c r="Y25" s="11602" t="n"/>
      <c r="Z25" s="11602" t="n"/>
      <c r="AA25" s="11602" t="n"/>
      <c r="AB25" s="11602" t="n"/>
      <c r="AC25" s="11602" t="n"/>
      <c r="AD25" s="11602" t="n"/>
      <c r="AE25" s="11602" t="n"/>
      <c r="AF25" s="11602" t="n"/>
      <c r="AG25" s="11602" t="n"/>
      <c r="AH25" s="11602" t="n"/>
      <c r="AI25" s="11602" t="n"/>
      <c r="AJ25" s="11602" t="n"/>
      <c r="AK25" s="11602" t="n"/>
      <c r="AL25" s="11602" t="n"/>
      <c r="AM25" s="11602" t="n"/>
      <c r="AN25" s="11602" t="n"/>
      <c r="AO25" s="512">
        <f>AO22&lt;&gt;1</f>
        <v/>
      </c>
      <c r="AP25" s="1277" t="n"/>
      <c r="AQ25" s="512" t="n"/>
      <c r="AR25" s="8955" t="n"/>
      <c r="AS25" s="8955" t="n"/>
      <c r="AT25" s="8955" t="n"/>
      <c r="AU25" s="8955" t="n"/>
      <c r="AV25" s="580" t="n"/>
      <c r="AW25" s="4146" t="n"/>
      <c r="AX25" s="769" t="n"/>
      <c r="AY25" s="964" t="n"/>
      <c r="AZ25" s="964" t="n"/>
      <c r="BA25" s="964" t="n"/>
      <c r="BB25" s="964" t="n"/>
      <c r="BC25" s="964" t="n"/>
      <c r="BD25" s="964" t="n"/>
      <c r="BE25" s="964" t="n"/>
      <c r="BF25" s="964" t="n"/>
      <c r="BG25" s="964" t="n"/>
      <c r="BH25" s="964" t="n"/>
    </row>
    <row r="26" ht="6" customHeight="1" s="7635">
      <c r="A26" s="2112" t="n"/>
      <c r="B26" s="9169" t="n"/>
      <c r="C26" s="9169" t="n"/>
      <c r="D26" s="8650" t="n"/>
      <c r="E26" s="11602" t="n"/>
      <c r="F26" s="11602" t="n"/>
      <c r="G26" s="11602" t="n"/>
      <c r="H26" s="11602" t="n"/>
      <c r="I26" s="11602" t="n"/>
      <c r="J26" s="11602" t="n"/>
      <c r="K26" s="11602" t="n"/>
      <c r="L26" s="11602" t="n"/>
      <c r="M26" s="11602" t="n"/>
      <c r="N26" s="11602" t="n"/>
      <c r="O26" s="11602" t="n"/>
      <c r="P26" s="11602" t="n"/>
      <c r="Q26" s="11602" t="n"/>
      <c r="R26" s="11602" t="n"/>
      <c r="S26" s="11602" t="n"/>
      <c r="T26" s="11602" t="n"/>
      <c r="U26" s="11602" t="n"/>
      <c r="V26" s="11602" t="n"/>
      <c r="W26" s="11602" t="n"/>
      <c r="X26" s="11602" t="n"/>
      <c r="Y26" s="11602" t="n"/>
      <c r="Z26" s="11602" t="n"/>
      <c r="AA26" s="11602" t="n"/>
      <c r="AB26" s="11602" t="n"/>
      <c r="AC26" s="11602" t="n"/>
      <c r="AD26" s="11602" t="n"/>
      <c r="AE26" s="11602" t="n"/>
      <c r="AF26" s="11602" t="n"/>
      <c r="AG26" s="11602" t="n"/>
      <c r="AH26" s="11602" t="n"/>
      <c r="AI26" s="11602" t="n"/>
      <c r="AJ26" s="11602" t="n"/>
      <c r="AK26" s="11602" t="n"/>
      <c r="AL26" s="11602" t="n"/>
      <c r="AM26" s="11602" t="n"/>
      <c r="AN26" s="11602" t="n"/>
      <c r="AO26" s="11602" t="n"/>
      <c r="AP26" s="1277" t="n"/>
      <c r="AQ26" s="724" t="n"/>
      <c r="AR26" s="8953" t="n"/>
      <c r="AS26" s="8953" t="n"/>
      <c r="AT26" s="724" t="n"/>
      <c r="AU26" s="8953" t="n"/>
      <c r="AV26" s="580" t="n"/>
      <c r="AW26" s="4146" t="n"/>
      <c r="AX26" s="769" t="n"/>
      <c r="AY26" s="964" t="n"/>
      <c r="AZ26" s="964" t="n"/>
      <c r="BA26" s="964" t="n"/>
      <c r="BB26" s="964" t="n"/>
      <c r="BC26" s="964" t="n"/>
      <c r="BD26" s="964" t="n"/>
      <c r="BE26" s="964" t="n"/>
      <c r="BF26" s="964" t="n"/>
      <c r="BG26" s="964" t="n"/>
      <c r="BH26" s="964" t="n"/>
    </row>
    <row r="27" ht="15.75" customHeight="1" s="7635">
      <c r="A27" s="2112" t="n"/>
      <c r="B27" s="8474" t="inlineStr">
        <is>
          <t>h</t>
        </is>
      </c>
      <c r="C27" s="4154" t="inlineStr">
        <is>
          <t>Resident of (name of country)</t>
        </is>
      </c>
      <c r="D27" s="773" t="n"/>
      <c r="E27" s="773" t="n"/>
      <c r="F27" s="773" t="n"/>
      <c r="G27" s="773" t="n"/>
      <c r="H27" s="773" t="n"/>
      <c r="I27" s="773" t="n"/>
      <c r="J27" s="773" t="n"/>
      <c r="K27" s="773" t="n"/>
      <c r="L27" s="8968" t="n"/>
      <c r="M27" s="8007" t="n"/>
      <c r="N27" s="8007" t="n"/>
      <c r="O27" s="8007" t="n"/>
      <c r="P27" s="8007" t="n"/>
      <c r="Q27" s="8007" t="n"/>
      <c r="R27" s="8007" t="n"/>
      <c r="S27" s="8007" t="n"/>
      <c r="T27" s="8007" t="n"/>
      <c r="U27" s="8007" t="n"/>
      <c r="V27" s="8007" t="n"/>
      <c r="W27" s="8007" t="n"/>
      <c r="X27" s="8007" t="n"/>
      <c r="Y27" s="8007" t="n"/>
      <c r="Z27" s="8007" t="n"/>
      <c r="AA27" s="8007" t="n"/>
      <c r="AB27" s="8007" t="n"/>
      <c r="AC27" s="8007" t="n"/>
      <c r="AD27" s="8007" t="n"/>
      <c r="AE27" s="8007" t="n"/>
      <c r="AF27" s="8007" t="n"/>
      <c r="AG27" s="8007" t="n"/>
      <c r="AH27" s="8007" t="n"/>
      <c r="AI27" s="8007" t="n"/>
      <c r="AJ27" s="8007" t="n"/>
      <c r="AK27" s="8007" t="n"/>
      <c r="AL27" s="8007" t="n"/>
      <c r="AM27" s="8007" t="n"/>
      <c r="AN27" s="8007" t="n"/>
      <c r="AO27" s="8007" t="n"/>
      <c r="AP27" s="1277" t="n"/>
      <c r="AQ27" s="10557" t="inlineStr">
        <is>
          <t>a</t>
        </is>
      </c>
      <c r="AR27" s="8979">
        <f>SUM(AR121,AR242,AR365)</f>
        <v/>
      </c>
      <c r="AV27" s="580" t="n"/>
      <c r="AW27" s="4146" t="n"/>
      <c r="AX27" s="769" t="n"/>
      <c r="AY27" s="964" t="n"/>
      <c r="AZ27" s="964" t="n"/>
      <c r="BA27" s="964" t="n"/>
      <c r="BB27" s="964" t="n"/>
      <c r="BC27" s="964" t="n"/>
      <c r="BD27" s="964" t="n"/>
      <c r="BE27" s="964" t="n"/>
      <c r="BF27" s="964" t="n"/>
      <c r="BG27" s="964" t="n"/>
      <c r="BH27" s="964" t="n"/>
    </row>
    <row r="28" ht="12.75" customHeight="1" s="7635">
      <c r="A28" s="2112" t="n"/>
      <c r="B28" s="9153" t="inlineStr">
        <is>
          <t>Note:</t>
        </is>
      </c>
      <c r="C28" s="7839" t="n"/>
      <c r="D28" s="344" t="inlineStr">
        <is>
          <t>If you paid taxes to only one foreign country or U.S. possession, use column A in Part I and line A in Part II. If you paid taxes to</t>
        </is>
      </c>
      <c r="E28" s="11602" t="n"/>
      <c r="F28" s="11602" t="n"/>
      <c r="G28" s="11602" t="n"/>
      <c r="H28" s="11602" t="n"/>
      <c r="I28" s="11602" t="n"/>
      <c r="J28" s="11602" t="n"/>
      <c r="K28" s="11602" t="n"/>
      <c r="L28" s="11602" t="n"/>
      <c r="M28" s="11602" t="n"/>
      <c r="N28" s="11602" t="n"/>
      <c r="O28" s="11602" t="n"/>
      <c r="P28" s="11602" t="n"/>
      <c r="Q28" s="11602" t="n"/>
      <c r="R28" s="11602" t="n"/>
      <c r="S28" s="11602" t="n"/>
      <c r="T28" s="11602" t="n"/>
      <c r="U28" s="11602" t="n"/>
      <c r="V28" s="11602" t="n"/>
      <c r="W28" s="11602" t="n"/>
      <c r="X28" s="11602" t="n"/>
      <c r="Y28" s="11602" t="n"/>
      <c r="Z28" s="11602" t="n"/>
      <c r="AA28" s="11602" t="n"/>
      <c r="AB28" s="11602" t="n"/>
      <c r="AC28" s="11602" t="n"/>
      <c r="AD28" s="11602" t="n"/>
      <c r="AE28" s="11602" t="n"/>
      <c r="AF28" s="11602" t="n"/>
      <c r="AG28" s="11602" t="n"/>
      <c r="AH28" s="11602" t="n"/>
      <c r="AI28" s="11602" t="n"/>
      <c r="AJ28" s="11602" t="n"/>
      <c r="AK28" s="11602" t="n"/>
      <c r="AL28" s="11602" t="n"/>
      <c r="AM28" s="11602" t="n"/>
      <c r="AN28" s="11602" t="n"/>
      <c r="AO28" s="11602" t="n"/>
      <c r="AP28" s="1277" t="n"/>
      <c r="AQ28" s="10557" t="inlineStr">
        <is>
          <t>b</t>
        </is>
      </c>
      <c r="AR28" s="8980">
        <f>SUM(AR122,AR243,AR366)</f>
        <v/>
      </c>
      <c r="AV28" s="580" t="n"/>
      <c r="AW28" s="4146" t="n"/>
      <c r="AX28" s="769" t="n"/>
      <c r="AY28" s="964" t="n"/>
      <c r="AZ28" s="964" t="n"/>
      <c r="BA28" s="964" t="n"/>
      <c r="BB28" s="964" t="n"/>
      <c r="BC28" s="964" t="n"/>
      <c r="BD28" s="964" t="n"/>
      <c r="BE28" s="964" t="n"/>
      <c r="BF28" s="964" t="n"/>
      <c r="BG28" s="964" t="n"/>
      <c r="BH28" s="964" t="n"/>
    </row>
    <row r="29" ht="12.75" customHeight="1" s="7635">
      <c r="A29" s="2112" t="n"/>
      <c r="B29" s="3801" t="inlineStr">
        <is>
          <t>more than one foreign country or U.S. possession, use a separate column and line for each country or possession.</t>
        </is>
      </c>
      <c r="C29" s="4156" t="n"/>
      <c r="D29" s="1996" t="n"/>
      <c r="E29" s="413" t="n"/>
      <c r="F29" s="413" t="n"/>
      <c r="G29" s="413" t="n"/>
      <c r="H29" s="413" t="n"/>
      <c r="I29" s="413" t="n"/>
      <c r="J29" s="413" t="n"/>
      <c r="K29" s="413" t="n"/>
      <c r="L29" s="413" t="n"/>
      <c r="M29" s="413" t="n"/>
      <c r="N29" s="413" t="n"/>
      <c r="O29" s="413" t="n"/>
      <c r="P29" s="413" t="n"/>
      <c r="Q29" s="413" t="n"/>
      <c r="R29" s="413" t="n"/>
      <c r="S29" s="413" t="n"/>
      <c r="T29" s="413" t="n"/>
      <c r="U29" s="413" t="n"/>
      <c r="V29" s="413" t="n"/>
      <c r="W29" s="413" t="n"/>
      <c r="X29" s="413" t="n"/>
      <c r="Y29" s="413" t="n"/>
      <c r="Z29" s="413" t="n"/>
      <c r="AA29" s="413" t="n"/>
      <c r="AB29" s="413" t="n"/>
      <c r="AC29" s="413" t="n"/>
      <c r="AD29" s="413" t="n"/>
      <c r="AE29" s="413" t="n"/>
      <c r="AF29" s="413" t="n"/>
      <c r="AG29" s="413" t="n"/>
      <c r="AH29" s="413" t="n"/>
      <c r="AI29" s="413" t="n"/>
      <c r="AJ29" s="413" t="n"/>
      <c r="AK29" s="413" t="n"/>
      <c r="AL29" s="413" t="n"/>
      <c r="AM29" s="413" t="n"/>
      <c r="AN29" s="413" t="n"/>
      <c r="AO29" s="413" t="n"/>
      <c r="AP29" s="1277" t="n"/>
      <c r="AQ29" s="10557" t="inlineStr">
        <is>
          <t>c</t>
        </is>
      </c>
      <c r="AR29" s="8979">
        <f>SUM(AR123,AR244,AR367)</f>
        <v/>
      </c>
      <c r="AV29" s="580" t="n"/>
      <c r="AW29" s="4146" t="n"/>
      <c r="AX29" s="769" t="n"/>
      <c r="AY29" s="964" t="n"/>
      <c r="AZ29" s="964" t="n"/>
      <c r="BA29" s="964" t="n"/>
      <c r="BB29" s="964" t="n"/>
      <c r="BC29" s="964" t="n"/>
      <c r="BD29" s="964" t="n"/>
      <c r="BE29" s="964" t="n"/>
      <c r="BF29" s="964" t="n"/>
      <c r="BG29" s="964" t="n"/>
      <c r="BH29" s="964" t="n"/>
    </row>
    <row r="30" ht="17.25" customFormat="1" customHeight="1" s="1405">
      <c r="A30" s="4157" t="n"/>
      <c r="B30" s="8410" t="inlineStr">
        <is>
          <t>Part I</t>
        </is>
      </c>
      <c r="C30" s="8412" t="n"/>
      <c r="D30" s="8412" t="n"/>
      <c r="E30" s="9151" t="inlineStr">
        <is>
          <t xml:space="preserve"> Taxable Income or Loss From Sources Outside the United States (for category checked above)</t>
        </is>
      </c>
      <c r="F30" s="8412" t="n"/>
      <c r="G30" s="8412" t="n"/>
      <c r="H30" s="8412" t="n"/>
      <c r="I30" s="8412" t="n"/>
      <c r="J30" s="8412" t="n"/>
      <c r="K30" s="8412" t="n"/>
      <c r="L30" s="8412" t="n"/>
      <c r="M30" s="8412" t="n"/>
      <c r="N30" s="8412" t="n"/>
      <c r="O30" s="8412" t="n"/>
      <c r="P30" s="8412" t="n"/>
      <c r="Q30" s="8412" t="n"/>
      <c r="R30" s="8412" t="n"/>
      <c r="S30" s="8412" t="n"/>
      <c r="T30" s="8412" t="n"/>
      <c r="U30" s="8412" t="n"/>
      <c r="V30" s="8412" t="n"/>
      <c r="W30" s="8412" t="n"/>
      <c r="X30" s="8412" t="n"/>
      <c r="Y30" s="8412" t="n"/>
      <c r="Z30" s="8412" t="n"/>
      <c r="AA30" s="8412" t="n"/>
      <c r="AB30" s="8412" t="n"/>
      <c r="AC30" s="8412" t="n"/>
      <c r="AD30" s="8412" t="n"/>
      <c r="AE30" s="8412" t="n"/>
      <c r="AF30" s="8412" t="n"/>
      <c r="AG30" s="8412" t="n"/>
      <c r="AH30" s="8412" t="n"/>
      <c r="AI30" s="8412" t="n"/>
      <c r="AJ30" s="8412" t="n"/>
      <c r="AK30" s="8412" t="n"/>
      <c r="AL30" s="8412" t="n"/>
      <c r="AM30" s="8412" t="n"/>
      <c r="AN30" s="8412" t="n"/>
      <c r="AO30" s="8412" t="n"/>
      <c r="AP30" s="1277" t="n"/>
      <c r="AQ30" s="10557" t="inlineStr">
        <is>
          <t>d</t>
        </is>
      </c>
      <c r="AR30" s="8980">
        <f>SUM(AR124,AR245,AR368)</f>
        <v/>
      </c>
      <c r="AV30" s="580" t="n"/>
      <c r="AW30" s="4146" t="n"/>
      <c r="AX30" s="769" t="n"/>
      <c r="AY30" s="964" t="n"/>
      <c r="AZ30" s="964" t="n"/>
      <c r="BA30" s="964" t="n"/>
      <c r="BB30" s="964" t="n"/>
      <c r="BC30" s="964" t="n"/>
      <c r="BD30" s="964" t="n"/>
      <c r="BE30" s="964" t="n"/>
      <c r="BF30" s="964" t="n"/>
      <c r="BG30" s="964" t="n"/>
      <c r="BH30" s="964" t="n"/>
    </row>
    <row r="31" ht="14.25" customHeight="1" s="7635">
      <c r="A31" s="2112" t="n"/>
      <c r="B31" s="9136" t="n"/>
      <c r="D31" s="8650" t="n"/>
      <c r="E31" s="11602" t="n"/>
      <c r="F31" s="11602" t="n"/>
      <c r="G31" s="11602" t="n"/>
      <c r="H31" s="11602" t="n"/>
      <c r="I31" s="11602" t="n"/>
      <c r="J31" s="11602" t="n"/>
      <c r="K31" s="11602" t="n"/>
      <c r="L31" s="11602" t="n"/>
      <c r="M31" s="11602" t="n"/>
      <c r="N31" s="11602" t="n"/>
      <c r="O31" s="11602" t="n"/>
      <c r="P31" s="12233" t="inlineStr">
        <is>
          <t>Foreign Country or U.S. Possession</t>
        </is>
      </c>
      <c r="Q31" s="8412" t="n"/>
      <c r="R31" s="8412" t="n"/>
      <c r="S31" s="8412" t="n"/>
      <c r="T31" s="8412" t="n"/>
      <c r="U31" s="8412" t="n"/>
      <c r="V31" s="8412" t="n"/>
      <c r="W31" s="8412" t="n"/>
      <c r="X31" s="8412" t="n"/>
      <c r="Y31" s="8412" t="n"/>
      <c r="Z31" s="8412" t="n"/>
      <c r="AA31" s="8412" t="n"/>
      <c r="AB31" s="8412" t="n"/>
      <c r="AC31" s="8412" t="n"/>
      <c r="AD31" s="8412" t="n"/>
      <c r="AE31" s="8412" t="n"/>
      <c r="AF31" s="8412" t="n"/>
      <c r="AG31" s="8412" t="n"/>
      <c r="AH31" s="8412" t="n"/>
      <c r="AI31" s="11734" t="n"/>
      <c r="AJ31" s="10079" t="inlineStr">
        <is>
          <t>Total 
(Add cols. A, B, and C.)</t>
        </is>
      </c>
      <c r="AK31" s="7839" t="n"/>
      <c r="AL31" s="7839" t="n"/>
      <c r="AM31" s="7839" t="n"/>
      <c r="AN31" s="7839" t="n"/>
      <c r="AO31" s="7839" t="n"/>
      <c r="AP31" s="1277" t="n"/>
      <c r="AQ31" s="10557" t="inlineStr">
        <is>
          <t>e</t>
        </is>
      </c>
      <c r="AR31" s="8955">
        <f>SUM(AR125,AR246,AR369)</f>
        <v/>
      </c>
      <c r="AV31" s="580" t="n"/>
      <c r="AW31" s="4146" t="n"/>
      <c r="AX31" s="769" t="n"/>
      <c r="AY31" s="964" t="n"/>
      <c r="AZ31" s="964" t="n"/>
      <c r="BA31" s="964" t="n"/>
      <c r="BB31" s="964" t="n"/>
      <c r="BC31" s="964" t="n"/>
      <c r="BD31" s="964" t="n"/>
      <c r="BE31" s="964" t="n"/>
      <c r="BF31" s="964" t="n"/>
      <c r="BG31" s="964" t="n"/>
      <c r="BH31" s="964" t="n"/>
    </row>
    <row r="32" ht="15" customHeight="1" s="7635">
      <c r="A32" s="2112" t="n"/>
      <c r="B32" s="9186" t="inlineStr">
        <is>
          <t>i</t>
        </is>
      </c>
      <c r="D32" s="807" t="inlineStr">
        <is>
          <t>Enter the name of the foreign country or U.S.</t>
        </is>
      </c>
      <c r="E32" s="11602" t="n"/>
      <c r="F32" s="11602" t="n"/>
      <c r="G32" s="11602" t="n"/>
      <c r="H32" s="11602" t="n"/>
      <c r="I32" s="11602" t="n"/>
      <c r="J32" s="11602" t="n"/>
      <c r="K32" s="11602" t="n"/>
      <c r="L32" s="11602" t="n"/>
      <c r="M32" s="11602" t="n"/>
      <c r="N32" s="11602" t="n"/>
      <c r="O32" s="11602" t="n"/>
      <c r="P32" s="12110" t="inlineStr">
        <is>
          <t>A</t>
        </is>
      </c>
      <c r="Q32" s="8412" t="n"/>
      <c r="R32" s="8412" t="n"/>
      <c r="S32" s="8412" t="n"/>
      <c r="T32" s="8412" t="n"/>
      <c r="U32" s="8412" t="n"/>
      <c r="V32" s="11734" t="n"/>
      <c r="W32" s="12110" t="inlineStr">
        <is>
          <t>B</t>
        </is>
      </c>
      <c r="X32" s="8412" t="n"/>
      <c r="Y32" s="8412" t="n"/>
      <c r="Z32" s="8412" t="n"/>
      <c r="AA32" s="8412" t="n"/>
      <c r="AB32" s="8412" t="n"/>
      <c r="AC32" s="11734" t="n"/>
      <c r="AD32" s="12110" t="inlineStr">
        <is>
          <t>C</t>
        </is>
      </c>
      <c r="AE32" s="8412" t="n"/>
      <c r="AF32" s="8412" t="n"/>
      <c r="AG32" s="8412" t="n"/>
      <c r="AH32" s="8412" t="n"/>
      <c r="AI32" s="11734" t="n"/>
      <c r="AJ32" s="3614" t="n"/>
      <c r="AK32" s="7637" t="n"/>
      <c r="AL32" s="7637" t="n"/>
      <c r="AM32" s="7637" t="n"/>
      <c r="AN32" s="7637" t="n"/>
      <c r="AO32" s="7637" t="n"/>
      <c r="AP32" s="1277" t="n"/>
      <c r="AQ32" s="10557" t="inlineStr">
        <is>
          <t>f</t>
        </is>
      </c>
      <c r="AR32" s="8955">
        <f>SUM(AR126,AR247,AR370)</f>
        <v/>
      </c>
      <c r="AV32" s="580" t="n"/>
      <c r="AW32" s="4146" t="n"/>
      <c r="AX32" s="769" t="n"/>
      <c r="AY32" s="964" t="n"/>
      <c r="AZ32" s="964" t="n"/>
      <c r="BA32" s="964" t="n"/>
      <c r="BB32" s="964" t="n"/>
      <c r="BC32" s="964" t="n"/>
      <c r="BD32" s="964" t="n"/>
      <c r="BE32" s="964" t="n"/>
      <c r="BF32" s="964" t="n"/>
      <c r="BG32" s="964" t="n"/>
      <c r="BH32" s="964" t="n"/>
    </row>
    <row r="33" ht="13.5" customFormat="1" customHeight="1" s="138">
      <c r="A33" s="4158" t="n"/>
      <c r="B33" s="9187" t="n"/>
      <c r="D33" s="4159" t="inlineStr">
        <is>
          <t>possession</t>
        </is>
      </c>
      <c r="E33" s="571" t="n"/>
      <c r="F33" s="571" t="n"/>
      <c r="G33" s="571" t="n"/>
      <c r="H33" s="571" t="n"/>
      <c r="I33" s="571" t="n"/>
      <c r="J33" s="571" t="n"/>
      <c r="K33" s="571" t="n"/>
      <c r="L33" s="571" t="n"/>
      <c r="M33" s="571" t="n"/>
      <c r="N33" s="571" t="n"/>
      <c r="O33" s="4160" t="inlineStr">
        <is>
          <t xml:space="preserve">.   .   .   .   .   .   .   .   .   .   .   .   .   .   .  </t>
        </is>
      </c>
      <c r="P33" s="12234" t="n"/>
      <c r="Q33" s="8007" t="n"/>
      <c r="R33" s="8007" t="n"/>
      <c r="S33" s="8007" t="n"/>
      <c r="T33" s="8007" t="n"/>
      <c r="U33" s="8007" t="n"/>
      <c r="V33" s="8008" t="n"/>
      <c r="W33" s="12234" t="n"/>
      <c r="X33" s="8007" t="n"/>
      <c r="Y33" s="8007" t="n"/>
      <c r="Z33" s="8007" t="n"/>
      <c r="AA33" s="8007" t="n"/>
      <c r="AB33" s="8007" t="n"/>
      <c r="AC33" s="8008" t="n"/>
      <c r="AD33" s="12234" t="n"/>
      <c r="AE33" s="8007" t="n"/>
      <c r="AF33" s="8007" t="n"/>
      <c r="AG33" s="8007" t="n"/>
      <c r="AH33" s="8007" t="n"/>
      <c r="AI33" s="8008" t="n"/>
      <c r="AJ33" s="9062" t="n"/>
      <c r="AK33" s="7839" t="n"/>
      <c r="AL33" s="4161" t="n"/>
      <c r="AM33" s="11536" t="n"/>
      <c r="AN33" s="11536" t="n"/>
      <c r="AO33" s="11536" t="n"/>
      <c r="AP33" s="2888" t="n"/>
      <c r="AQ33" s="10557" t="inlineStr">
        <is>
          <t>g</t>
        </is>
      </c>
      <c r="AR33" s="8955">
        <f>SUM(AR127,AR248,AR371)</f>
        <v/>
      </c>
      <c r="AV33" s="580" t="n"/>
      <c r="AW33" s="4146" t="n"/>
      <c r="AX33" s="967" t="n"/>
      <c r="AY33" s="965" t="n"/>
      <c r="AZ33" s="965" t="n"/>
      <c r="BA33" s="965" t="n"/>
      <c r="BB33" s="965" t="n"/>
      <c r="BC33" s="965" t="n"/>
      <c r="BD33" s="965" t="n"/>
      <c r="BE33" s="965" t="n"/>
      <c r="BF33" s="965" t="n"/>
      <c r="BG33" s="965" t="n"/>
      <c r="BH33" s="965" t="n"/>
    </row>
    <row r="34" ht="12" customHeight="1" s="7635">
      <c r="A34" s="2112" t="n"/>
      <c r="B34" s="9169" t="inlineStr">
        <is>
          <t>1a</t>
        </is>
      </c>
      <c r="D34" s="7299" t="inlineStr">
        <is>
          <t>Gross income from sources within country shown</t>
        </is>
      </c>
      <c r="E34" s="11602" t="n"/>
      <c r="F34" s="11602" t="n"/>
      <c r="G34" s="11602" t="n"/>
      <c r="H34" s="11602" t="n"/>
      <c r="I34" s="11602" t="n"/>
      <c r="J34" s="11602" t="n"/>
      <c r="K34" s="11602" t="n"/>
      <c r="L34" s="11602" t="n"/>
      <c r="M34" s="11602" t="n"/>
      <c r="N34" s="11602" t="n"/>
      <c r="O34" s="11602" t="n"/>
      <c r="P34" s="2094" t="n"/>
      <c r="Q34" s="723" t="n"/>
      <c r="R34" s="723" t="n"/>
      <c r="S34" s="723" t="n"/>
      <c r="T34" s="723" t="n"/>
      <c r="U34" s="723" t="n"/>
      <c r="V34" s="2095" t="n"/>
      <c r="W34" s="2094" t="n"/>
      <c r="X34" s="723" t="n"/>
      <c r="Y34" s="723" t="n"/>
      <c r="Z34" s="723" t="n"/>
      <c r="AA34" s="723" t="n"/>
      <c r="AB34" s="723" t="n"/>
      <c r="AC34" s="2095" t="n"/>
      <c r="AD34" s="2094" t="n"/>
      <c r="AE34" s="723" t="n"/>
      <c r="AF34" s="723" t="n"/>
      <c r="AG34" s="723" t="n"/>
      <c r="AH34" s="723" t="n"/>
      <c r="AI34" s="2095" t="n"/>
      <c r="AJ34" s="8967" t="n"/>
      <c r="AL34" s="408" t="n"/>
      <c r="AM34" s="11602" t="n"/>
      <c r="AN34" s="11602" t="n"/>
      <c r="AO34" s="11602" t="n"/>
      <c r="AP34" s="1277" t="n"/>
      <c r="AQ34" s="11602" t="n"/>
      <c r="AR34" s="11602" t="n"/>
      <c r="AS34" s="11602" t="n"/>
      <c r="AT34" s="11602" t="n"/>
      <c r="AU34" s="11602" t="n"/>
      <c r="AV34" s="11602" t="n"/>
      <c r="AW34" s="11602" t="n"/>
      <c r="AX34" s="769" t="n"/>
      <c r="AY34" s="964" t="n"/>
      <c r="AZ34" s="964" t="n"/>
      <c r="BA34" s="964" t="n"/>
      <c r="BB34" s="964" t="n"/>
      <c r="BC34" s="964" t="n"/>
      <c r="BD34" s="964" t="n"/>
      <c r="BE34" s="964" t="n"/>
      <c r="BF34" s="964" t="n"/>
      <c r="BG34" s="964" t="n"/>
      <c r="BH34" s="964" t="n"/>
    </row>
    <row r="35" ht="12" customHeight="1" s="7635">
      <c r="A35" s="2112" t="n"/>
      <c r="B35" s="2373" t="n"/>
      <c r="C35" s="2373" t="n"/>
      <c r="D35" s="344" t="inlineStr">
        <is>
          <t>above and of the type checked above (see</t>
        </is>
      </c>
      <c r="E35" s="11602" t="n"/>
      <c r="F35" s="11602" t="n"/>
      <c r="G35" s="11602" t="n"/>
      <c r="H35" s="11602" t="n"/>
      <c r="I35" s="11602" t="n"/>
      <c r="J35" s="11602" t="n"/>
      <c r="K35" s="11602" t="n"/>
      <c r="L35" s="11602" t="n"/>
      <c r="M35" s="11602" t="n"/>
      <c r="N35" s="11602" t="n"/>
      <c r="O35" s="11602" t="n"/>
      <c r="P35" s="2073" t="n"/>
      <c r="Q35" s="723" t="n"/>
      <c r="R35" s="723" t="n"/>
      <c r="S35" s="723" t="n"/>
      <c r="T35" s="723" t="n"/>
      <c r="U35" s="723" t="n"/>
      <c r="V35" s="2074" t="n"/>
      <c r="W35" s="2073" t="n"/>
      <c r="X35" s="723" t="n"/>
      <c r="Y35" s="723" t="n"/>
      <c r="Z35" s="723" t="n"/>
      <c r="AA35" s="723" t="n"/>
      <c r="AB35" s="723" t="n"/>
      <c r="AC35" s="2074" t="n"/>
      <c r="AD35" s="2073" t="n"/>
      <c r="AE35" s="723" t="n"/>
      <c r="AF35" s="723" t="n"/>
      <c r="AG35" s="723" t="n"/>
      <c r="AH35" s="723" t="n"/>
      <c r="AI35" s="2074" t="n"/>
      <c r="AJ35" s="8967" t="n"/>
      <c r="AL35" s="408" t="n"/>
      <c r="AM35" s="11602" t="n"/>
      <c r="AN35" s="11602" t="n"/>
      <c r="AO35" s="11602" t="n"/>
      <c r="AP35" s="1277" t="n"/>
      <c r="AQ35" s="11602" t="n"/>
      <c r="AR35" s="11602" t="n"/>
      <c r="AS35" s="11602" t="n"/>
      <c r="AT35" s="11602" t="n"/>
      <c r="AU35" s="11602" t="n"/>
      <c r="AV35" s="11602" t="n"/>
      <c r="AW35" s="11602" t="n"/>
      <c r="AX35" s="769" t="n"/>
      <c r="AY35" s="964" t="n"/>
      <c r="AZ35" s="964" t="n"/>
      <c r="BA35" s="964" t="n"/>
      <c r="BB35" s="964" t="n"/>
      <c r="BC35" s="964" t="n"/>
      <c r="BD35" s="964" t="n"/>
      <c r="BE35" s="964" t="n"/>
      <c r="BF35" s="964" t="n"/>
      <c r="BG35" s="964" t="n"/>
      <c r="BH35" s="964" t="n"/>
    </row>
    <row r="36" ht="12" customHeight="1" s="7635">
      <c r="A36" s="2112" t="n"/>
      <c r="B36" s="2373" t="n"/>
      <c r="C36" s="2373" t="n"/>
      <c r="D36" s="979" t="inlineStr">
        <is>
          <t>instructions):</t>
        </is>
      </c>
      <c r="E36" s="11602" t="n"/>
      <c r="F36" s="11602" t="n"/>
      <c r="G36" s="11602" t="n"/>
      <c r="H36" s="9149" t="n"/>
      <c r="I36" s="12079" t="n"/>
      <c r="J36" s="12079" t="n"/>
      <c r="K36" s="12079" t="n"/>
      <c r="L36" s="12079" t="n"/>
      <c r="M36" s="12079" t="n"/>
      <c r="N36" s="12079" t="n"/>
      <c r="O36" s="11602" t="n"/>
      <c r="P36" s="2073" t="n"/>
      <c r="Q36" s="723" t="n"/>
      <c r="R36" s="723" t="n"/>
      <c r="S36" s="723" t="n"/>
      <c r="T36" s="723" t="n"/>
      <c r="U36" s="723" t="n"/>
      <c r="V36" s="2074" t="n"/>
      <c r="W36" s="2073" t="n"/>
      <c r="X36" s="723" t="n"/>
      <c r="Y36" s="723" t="n"/>
      <c r="Z36" s="723" t="n"/>
      <c r="AA36" s="723" t="n"/>
      <c r="AB36" s="723" t="n"/>
      <c r="AC36" s="2074" t="n"/>
      <c r="AD36" s="2073" t="n"/>
      <c r="AE36" s="723" t="n"/>
      <c r="AF36" s="723" t="n"/>
      <c r="AG36" s="723" t="n"/>
      <c r="AH36" s="723" t="n"/>
      <c r="AI36" s="2074" t="n"/>
      <c r="AJ36" s="8967" t="n"/>
      <c r="AL36" s="408" t="n"/>
      <c r="AM36" s="11602" t="n"/>
      <c r="AN36" s="11602" t="n"/>
      <c r="AO36" s="11602" t="n"/>
      <c r="AP36" s="1277" t="n"/>
      <c r="AQ36" s="11602" t="n"/>
      <c r="AR36" s="11602" t="n"/>
      <c r="AS36" s="11602" t="n"/>
      <c r="AT36" s="11602" t="n"/>
      <c r="AU36" s="11602" t="n"/>
      <c r="AV36" s="11602" t="n"/>
      <c r="AW36" s="11602" t="n"/>
      <c r="AX36" s="769" t="n"/>
      <c r="AY36" s="964" t="n"/>
      <c r="AZ36" s="964" t="n"/>
      <c r="BA36" s="964" t="n"/>
      <c r="BB36" s="964" t="n"/>
      <c r="BC36" s="964" t="n"/>
      <c r="BD36" s="964" t="n"/>
      <c r="BE36" s="964" t="n"/>
      <c r="BF36" s="964" t="n"/>
      <c r="BG36" s="964" t="n"/>
      <c r="BH36" s="964" t="n"/>
    </row>
    <row r="37" ht="12" customHeight="1" s="7635">
      <c r="A37" s="2112" t="n"/>
      <c r="B37" s="2373" t="n"/>
      <c r="C37" s="2373" t="n"/>
      <c r="D37" s="9005" t="n"/>
      <c r="E37" s="12079" t="n"/>
      <c r="F37" s="12079" t="n"/>
      <c r="G37" s="12079" t="n"/>
      <c r="H37" s="12079" t="n"/>
      <c r="I37" s="12079" t="n"/>
      <c r="J37" s="12079" t="n"/>
      <c r="K37" s="12079" t="n"/>
      <c r="L37" s="12079" t="n"/>
      <c r="M37" s="12079" t="n"/>
      <c r="N37" s="12079" t="n"/>
      <c r="O37" s="11602" t="n"/>
      <c r="P37" s="2073" t="n"/>
      <c r="Q37" s="723" t="n"/>
      <c r="R37" s="723" t="n"/>
      <c r="S37" s="723" t="n"/>
      <c r="T37" s="723" t="n"/>
      <c r="U37" s="723" t="n"/>
      <c r="V37" s="2074" t="n"/>
      <c r="W37" s="2073" t="n"/>
      <c r="X37" s="723" t="n"/>
      <c r="Y37" s="723" t="n"/>
      <c r="Z37" s="723" t="n"/>
      <c r="AA37" s="723" t="n"/>
      <c r="AB37" s="723" t="n"/>
      <c r="AC37" s="2074" t="n"/>
      <c r="AD37" s="2073" t="n"/>
      <c r="AE37" s="723" t="n"/>
      <c r="AF37" s="723" t="n"/>
      <c r="AG37" s="723" t="n"/>
      <c r="AH37" s="723" t="n"/>
      <c r="AI37" s="2074" t="n"/>
      <c r="AJ37" s="8967" t="n"/>
      <c r="AL37" s="408" t="n"/>
      <c r="AM37" s="11602" t="n"/>
      <c r="AN37" s="11602" t="n"/>
      <c r="AO37" s="11602" t="n"/>
      <c r="AP37" s="1277" t="n"/>
      <c r="AQ37" s="11602" t="n"/>
      <c r="AR37" s="11602" t="n"/>
      <c r="AS37" s="11602" t="n"/>
      <c r="AT37" s="11602" t="n"/>
      <c r="AU37" s="11602" t="n"/>
      <c r="AV37" s="11602" t="n"/>
      <c r="AW37" s="11602" t="n"/>
      <c r="AX37" s="769" t="n"/>
      <c r="AY37" s="964" t="n"/>
      <c r="AZ37" s="964" t="n"/>
      <c r="BA37" s="964" t="n"/>
      <c r="BB37" s="964" t="n"/>
      <c r="BC37" s="964" t="n"/>
      <c r="BD37" s="964" t="n"/>
      <c r="BE37" s="964" t="n"/>
      <c r="BF37" s="964" t="n"/>
      <c r="BG37" s="964" t="n"/>
      <c r="BH37" s="964" t="n"/>
    </row>
    <row r="38" ht="12" customHeight="1" s="7635">
      <c r="A38" s="2112" t="n"/>
      <c r="B38" s="2373" t="n"/>
      <c r="C38" s="2373" t="n"/>
      <c r="D38" s="9069" t="n"/>
      <c r="E38" s="12061" t="n"/>
      <c r="F38" s="12061" t="n"/>
      <c r="G38" s="12061" t="n"/>
      <c r="H38" s="12061" t="n"/>
      <c r="I38" s="12061" t="n"/>
      <c r="J38" s="12061" t="n"/>
      <c r="K38" s="12061" t="n"/>
      <c r="L38" s="12061" t="n"/>
      <c r="M38" s="12061" t="n"/>
      <c r="N38" s="12061" t="n"/>
      <c r="O38" s="11602" t="n"/>
      <c r="P38" s="12235" t="n"/>
      <c r="Q38" s="11717" t="n"/>
      <c r="R38" s="11717" t="n"/>
      <c r="S38" s="11717" t="n"/>
      <c r="T38" s="11717" t="n"/>
      <c r="U38" s="11717" t="n"/>
      <c r="V38" s="11718" t="n"/>
      <c r="W38" s="12235" t="n"/>
      <c r="X38" s="11717" t="n"/>
      <c r="Y38" s="11717" t="n"/>
      <c r="Z38" s="11717" t="n"/>
      <c r="AA38" s="11717" t="n"/>
      <c r="AB38" s="11717" t="n"/>
      <c r="AC38" s="11718" t="n"/>
      <c r="AD38" s="12235" t="n"/>
      <c r="AE38" s="11717" t="n"/>
      <c r="AF38" s="11717" t="n"/>
      <c r="AG38" s="11717" t="n"/>
      <c r="AH38" s="11717" t="n"/>
      <c r="AI38" s="11718" t="n"/>
      <c r="AJ38" s="12236" t="inlineStr">
        <is>
          <t>1a</t>
        </is>
      </c>
      <c r="AK38" s="7638" t="n"/>
      <c r="AL38" s="8988">
        <f>IF(AND(SUM(P38,W38,AD38)&gt;0,AO22=0),"Check one box.",ROUND(SUM(P38,W38,AD38),0))</f>
        <v/>
      </c>
      <c r="AM38" s="7637" t="n"/>
      <c r="AN38" s="7637" t="n"/>
      <c r="AO38" s="7637" t="n"/>
      <c r="AP38" s="1277" t="n"/>
      <c r="AQ38" s="4149">
        <f>IF(AND(ForeignTaxPaid&lt;&gt;"",ForeignTaxPaid&gt;0,P38="",W38="",AD38=""),"←  Enter gross income.","")</f>
        <v/>
      </c>
      <c r="AR38" s="11602" t="n"/>
      <c r="AS38" s="11602" t="n"/>
      <c r="AT38" s="11602" t="n"/>
      <c r="AU38" s="11602" t="n"/>
      <c r="AV38" s="11602" t="n"/>
      <c r="AW38" s="11602" t="n"/>
      <c r="AX38" s="769" t="n"/>
      <c r="AY38" s="964" t="n"/>
      <c r="AZ38" s="964" t="n"/>
      <c r="BA38" s="964" t="n"/>
      <c r="BB38" s="964" t="n"/>
      <c r="BC38" s="964" t="n"/>
      <c r="BD38" s="964" t="n"/>
      <c r="BE38" s="964" t="n"/>
      <c r="BF38" s="964" t="n"/>
      <c r="BG38" s="964" t="n"/>
      <c r="BH38" s="964" t="n"/>
    </row>
    <row r="39" ht="12" customHeight="1" s="7635">
      <c r="A39" s="2112" t="n"/>
      <c r="B39" s="9169" t="inlineStr">
        <is>
          <t>b</t>
        </is>
      </c>
      <c r="D39" s="1680" t="inlineStr">
        <is>
          <t>Check if line 1a is compensation for personal</t>
        </is>
      </c>
      <c r="E39" s="11602" t="n"/>
      <c r="F39" s="11602" t="n"/>
      <c r="G39" s="11602" t="n"/>
      <c r="H39" s="11602" t="n"/>
      <c r="I39" s="11602" t="n"/>
      <c r="J39" s="11602" t="n"/>
      <c r="K39" s="11602" t="n"/>
      <c r="L39" s="11602" t="n"/>
      <c r="M39" s="11602" t="n"/>
      <c r="N39" s="11602" t="n"/>
      <c r="O39" s="11602" t="n"/>
      <c r="P39" s="2073" t="n"/>
      <c r="Q39" s="723" t="n"/>
      <c r="R39" s="723" t="n"/>
      <c r="S39" s="723" t="n"/>
      <c r="T39" s="723" t="n"/>
      <c r="U39" s="723" t="n"/>
      <c r="V39" s="2074" t="n"/>
      <c r="W39" s="2073" t="n"/>
      <c r="X39" s="723" t="n"/>
      <c r="Y39" s="723" t="n"/>
      <c r="Z39" s="723" t="n"/>
      <c r="AA39" s="723" t="n"/>
      <c r="AB39" s="723" t="n"/>
      <c r="AC39" s="2074" t="n"/>
      <c r="AD39" s="2073" t="n"/>
      <c r="AE39" s="723" t="n"/>
      <c r="AF39" s="723" t="n"/>
      <c r="AG39" s="723" t="n"/>
      <c r="AH39" s="723" t="n"/>
      <c r="AI39" s="2074" t="n"/>
      <c r="AJ39" s="9082" t="n"/>
      <c r="AK39" s="7839" t="n"/>
      <c r="AL39" s="405" t="n"/>
      <c r="AM39" s="11602" t="n"/>
      <c r="AN39" s="11602" t="n"/>
      <c r="AO39" s="11602" t="n"/>
      <c r="AP39" s="1277" t="n"/>
      <c r="AQ39" s="11602" t="n"/>
      <c r="AR39" s="11602" t="n"/>
      <c r="AS39" s="11602" t="n"/>
      <c r="AT39" s="11602" t="n"/>
      <c r="AU39" s="11602" t="n"/>
      <c r="AV39" s="11602" t="n"/>
      <c r="AW39" s="11602" t="n"/>
      <c r="AX39" s="769" t="n"/>
      <c r="AY39" s="964" t="n"/>
      <c r="AZ39" s="964" t="n"/>
      <c r="BA39" s="964" t="n"/>
      <c r="BB39" s="964" t="n"/>
      <c r="BC39" s="964" t="n"/>
      <c r="BD39" s="964" t="n"/>
      <c r="BE39" s="964" t="n"/>
      <c r="BF39" s="964" t="n"/>
      <c r="BG39" s="964" t="n"/>
      <c r="BH39" s="964" t="n"/>
    </row>
    <row r="40" ht="12" customHeight="1" s="7635">
      <c r="A40" s="2112" t="n"/>
      <c r="B40" s="2373" t="n"/>
      <c r="C40" s="2373" t="n"/>
      <c r="D40" s="1680" t="inlineStr">
        <is>
          <t>services as an employee, your total compensation</t>
        </is>
      </c>
      <c r="E40" s="11602" t="n"/>
      <c r="F40" s="11602" t="n"/>
      <c r="G40" s="11602" t="n"/>
      <c r="H40" s="11602" t="n"/>
      <c r="I40" s="11602" t="n"/>
      <c r="J40" s="11602" t="n"/>
      <c r="K40" s="11602" t="n"/>
      <c r="L40" s="11602" t="n"/>
      <c r="M40" s="11602" t="n"/>
      <c r="N40" s="11602" t="n"/>
      <c r="O40" s="11602" t="n"/>
      <c r="P40" s="2073" t="n"/>
      <c r="Q40" s="723" t="n"/>
      <c r="R40" s="723" t="n"/>
      <c r="S40" s="723" t="n"/>
      <c r="T40" s="723" t="n"/>
      <c r="U40" s="723" t="n"/>
      <c r="V40" s="2074" t="n"/>
      <c r="W40" s="2073" t="n"/>
      <c r="X40" s="723" t="n"/>
      <c r="Y40" s="723" t="n"/>
      <c r="Z40" s="723" t="n"/>
      <c r="AA40" s="723" t="n"/>
      <c r="AB40" s="723" t="n"/>
      <c r="AC40" s="2074" t="n"/>
      <c r="AD40" s="2073" t="n"/>
      <c r="AE40" s="723" t="n"/>
      <c r="AF40" s="723" t="n"/>
      <c r="AG40" s="723" t="n"/>
      <c r="AH40" s="723" t="n"/>
      <c r="AI40" s="2074" t="n"/>
      <c r="AJ40" s="8967" t="n"/>
      <c r="AL40" s="408" t="n"/>
      <c r="AM40" s="11602" t="n"/>
      <c r="AN40" s="11602" t="n"/>
      <c r="AO40" s="11602" t="n"/>
      <c r="AP40" s="1277" t="n"/>
      <c r="AQ40" s="11602" t="n"/>
      <c r="AR40" s="11602" t="n"/>
      <c r="AS40" s="11602" t="n"/>
      <c r="AT40" s="11602" t="n"/>
      <c r="AU40" s="11602" t="n"/>
      <c r="AV40" s="11602" t="n"/>
      <c r="AW40" s="11602" t="n"/>
      <c r="AX40" s="769" t="n"/>
      <c r="AY40" s="964" t="n"/>
      <c r="AZ40" s="964" t="n"/>
      <c r="BA40" s="964" t="n"/>
      <c r="BB40" s="964" t="n"/>
      <c r="BC40" s="964" t="n"/>
      <c r="BD40" s="964" t="n"/>
      <c r="BE40" s="964" t="n"/>
      <c r="BF40" s="964" t="n"/>
      <c r="BG40" s="964" t="n"/>
      <c r="BH40" s="964" t="n"/>
    </row>
    <row r="41" ht="12" customHeight="1" s="7635">
      <c r="A41" s="2112" t="n"/>
      <c r="B41" s="2373" t="n"/>
      <c r="C41" s="2373" t="n"/>
      <c r="D41" s="1680" t="inlineStr">
        <is>
          <t>from all sources is $250,000 or more, and you</t>
        </is>
      </c>
      <c r="E41" s="11602" t="n"/>
      <c r="F41" s="11602" t="n"/>
      <c r="G41" s="11602" t="n"/>
      <c r="H41" s="11602" t="n"/>
      <c r="I41" s="11602" t="n"/>
      <c r="J41" s="11602" t="n"/>
      <c r="K41" s="11602" t="n"/>
      <c r="L41" s="11602" t="n"/>
      <c r="M41" s="11602" t="n"/>
      <c r="N41" s="11602" t="n"/>
      <c r="O41" s="11602" t="n"/>
      <c r="P41" s="2073" t="n"/>
      <c r="Q41" s="723" t="n"/>
      <c r="R41" s="723" t="n"/>
      <c r="S41" s="723" t="n"/>
      <c r="T41" s="723" t="n"/>
      <c r="U41" s="723" t="n"/>
      <c r="V41" s="2074" t="n"/>
      <c r="W41" s="2073" t="n"/>
      <c r="X41" s="723" t="n"/>
      <c r="Y41" s="723" t="n"/>
      <c r="Z41" s="723" t="n"/>
      <c r="AA41" s="723" t="n"/>
      <c r="AB41" s="723" t="n"/>
      <c r="AC41" s="2074" t="n"/>
      <c r="AD41" s="2073" t="n"/>
      <c r="AE41" s="723" t="n"/>
      <c r="AF41" s="723" t="n"/>
      <c r="AG41" s="723" t="n"/>
      <c r="AH41" s="723" t="n"/>
      <c r="AI41" s="2074" t="n"/>
      <c r="AJ41" s="8967" t="n"/>
      <c r="AL41" s="408" t="n"/>
      <c r="AM41" s="11602" t="n"/>
      <c r="AN41" s="11602" t="n"/>
      <c r="AO41" s="11602" t="n"/>
      <c r="AP41" s="1277" t="n"/>
      <c r="AQ41" s="11602" t="n"/>
      <c r="AR41" s="11602" t="n"/>
      <c r="AS41" s="11602" t="n"/>
      <c r="AT41" s="11602" t="n"/>
      <c r="AU41" s="11602" t="n"/>
      <c r="AV41" s="11602" t="n"/>
      <c r="AW41" s="11602" t="n"/>
      <c r="AX41" s="769" t="n"/>
      <c r="AY41" s="964" t="n"/>
      <c r="AZ41" s="964" t="n"/>
      <c r="BA41" s="964" t="n"/>
      <c r="BB41" s="964" t="n"/>
      <c r="BC41" s="964" t="n"/>
      <c r="BD41" s="964" t="n"/>
      <c r="BE41" s="964" t="n"/>
      <c r="BF41" s="964" t="n"/>
      <c r="BG41" s="964" t="n"/>
      <c r="BH41" s="964" t="n"/>
    </row>
    <row r="42" ht="12" customHeight="1" s="7635">
      <c r="A42" s="2112" t="n"/>
      <c r="B42" s="2373" t="n"/>
      <c r="C42" s="2373" t="n"/>
      <c r="D42" s="1680" t="inlineStr">
        <is>
          <t>used an alternative basis to determine its source</t>
        </is>
      </c>
      <c r="E42" s="11602" t="n"/>
      <c r="F42" s="11602" t="n"/>
      <c r="G42" s="11602" t="n"/>
      <c r="H42" s="11602" t="n"/>
      <c r="I42" s="11602" t="n"/>
      <c r="J42" s="11602" t="n"/>
      <c r="K42" s="11602" t="n"/>
      <c r="L42" s="11602" t="n"/>
      <c r="M42" s="11602" t="n"/>
      <c r="N42" s="11602" t="n"/>
      <c r="O42" s="11602" t="n"/>
      <c r="P42" s="2073" t="n"/>
      <c r="Q42" s="723" t="n"/>
      <c r="R42" s="723" t="n"/>
      <c r="S42" s="723" t="n"/>
      <c r="T42" s="723" t="n"/>
      <c r="U42" s="723" t="n"/>
      <c r="V42" s="2074" t="n"/>
      <c r="W42" s="2073" t="n"/>
      <c r="X42" s="723" t="n"/>
      <c r="Y42" s="723" t="n"/>
      <c r="Z42" s="723" t="n"/>
      <c r="AA42" s="723" t="n"/>
      <c r="AB42" s="723" t="n"/>
      <c r="AC42" s="2074" t="n"/>
      <c r="AD42" s="2073" t="n"/>
      <c r="AE42" s="723" t="n"/>
      <c r="AF42" s="723" t="n"/>
      <c r="AG42" s="723" t="n"/>
      <c r="AH42" s="723" t="n"/>
      <c r="AI42" s="2074" t="n"/>
      <c r="AJ42" s="8967" t="n"/>
      <c r="AL42" s="408" t="n"/>
      <c r="AM42" s="11602" t="n"/>
      <c r="AN42" s="11602" t="n"/>
      <c r="AO42" s="11602" t="n"/>
      <c r="AP42" s="1277" t="n"/>
      <c r="AQ42" s="11602" t="n"/>
      <c r="AR42" s="11602" t="n"/>
      <c r="AS42" s="11602" t="n"/>
      <c r="AT42" s="11602" t="n"/>
      <c r="AU42" s="11602" t="n"/>
      <c r="AV42" s="11602" t="n"/>
      <c r="AW42" s="11602" t="n"/>
      <c r="AX42" s="769" t="n"/>
      <c r="AY42" s="964" t="n"/>
      <c r="AZ42" s="964" t="n"/>
      <c r="BA42" s="964" t="n"/>
      <c r="BB42" s="964" t="n"/>
      <c r="BC42" s="964" t="n"/>
      <c r="BD42" s="964" t="n"/>
      <c r="BE42" s="964" t="n"/>
      <c r="BF42" s="964" t="n"/>
      <c r="BG42" s="964" t="n"/>
      <c r="BH42" s="964" t="n"/>
    </row>
    <row r="43" ht="12" customHeight="1" s="7635">
      <c r="A43" s="2112" t="n"/>
      <c r="B43" s="2373" t="n"/>
      <c r="C43" s="2373" t="n"/>
      <c r="D43" s="1680" t="inlineStr">
        <is>
          <t>See instructions</t>
        </is>
      </c>
      <c r="E43" s="11602" t="n"/>
      <c r="F43" s="11602" t="n"/>
      <c r="G43" s="11602" t="n"/>
      <c r="H43" s="11602" t="n"/>
      <c r="I43" s="11602" t="n"/>
      <c r="J43" s="11602" t="n"/>
      <c r="K43" s="11602" t="n"/>
      <c r="L43" s="11602" t="n"/>
      <c r="M43" s="1401" t="inlineStr">
        <is>
          <t xml:space="preserve">.   .   .   .   .   .   .   .   .   .  </t>
        </is>
      </c>
      <c r="N43" s="276" t="n"/>
      <c r="O43" s="11602" t="n"/>
      <c r="P43" s="2073" t="n"/>
      <c r="Q43" s="723" t="n"/>
      <c r="R43" s="723" t="n"/>
      <c r="S43" s="723" t="n"/>
      <c r="T43" s="723" t="n"/>
      <c r="U43" s="723" t="n"/>
      <c r="V43" s="2074" t="n"/>
      <c r="W43" s="2073" t="n"/>
      <c r="X43" s="723" t="n"/>
      <c r="Y43" s="723" t="n"/>
      <c r="Z43" s="723" t="n"/>
      <c r="AA43" s="723" t="n"/>
      <c r="AB43" s="723" t="n"/>
      <c r="AC43" s="2074" t="n"/>
      <c r="AD43" s="2073" t="n"/>
      <c r="AE43" s="723" t="n"/>
      <c r="AF43" s="723" t="n"/>
      <c r="AG43" s="723" t="n"/>
      <c r="AH43" s="723" t="n"/>
      <c r="AI43" s="2074" t="n"/>
      <c r="AJ43" s="8967" t="n"/>
      <c r="AL43" s="408" t="n"/>
      <c r="AM43" s="11602" t="n"/>
      <c r="AN43" s="11602" t="n"/>
      <c r="AO43" s="11602" t="n"/>
      <c r="AP43" s="1277" t="n"/>
      <c r="AQ43" s="11602" t="n"/>
      <c r="AR43" s="11602" t="n"/>
      <c r="AS43" s="11602" t="n"/>
      <c r="AT43" s="11602" t="n"/>
      <c r="AU43" s="11602" t="n"/>
      <c r="AV43" s="11602" t="n"/>
      <c r="AW43" s="11602" t="n"/>
      <c r="AX43" s="769" t="n"/>
      <c r="AY43" s="964" t="n"/>
      <c r="AZ43" s="964" t="n"/>
      <c r="BA43" s="964" t="n"/>
      <c r="BB43" s="964" t="n"/>
      <c r="BC43" s="964" t="n"/>
      <c r="BD43" s="964" t="n"/>
      <c r="BE43" s="964" t="n"/>
      <c r="BF43" s="964" t="n"/>
      <c r="BG43" s="964" t="n"/>
      <c r="BH43" s="964" t="n"/>
    </row>
    <row r="44" ht="6" customHeight="1" s="7635">
      <c r="A44" s="2112" t="n"/>
      <c r="B44" s="4156" t="n"/>
      <c r="C44" s="4156" t="n"/>
      <c r="D44" s="4162" t="n"/>
      <c r="E44" s="413" t="n"/>
      <c r="F44" s="413" t="n"/>
      <c r="G44" s="413" t="n"/>
      <c r="H44" s="413" t="n"/>
      <c r="I44" s="413" t="n"/>
      <c r="J44" s="413" t="n"/>
      <c r="K44" s="413" t="n"/>
      <c r="L44" s="413" t="n"/>
      <c r="M44" s="413" t="n"/>
      <c r="N44" s="413" t="n"/>
      <c r="O44" s="413" t="n"/>
      <c r="P44" s="4163" t="n"/>
      <c r="Q44" s="4164" t="n"/>
      <c r="R44" s="4164" t="n"/>
      <c r="S44" s="4164" t="n"/>
      <c r="T44" s="4164" t="n"/>
      <c r="U44" s="4164" t="n"/>
      <c r="V44" s="4165" t="n"/>
      <c r="W44" s="4163" t="n"/>
      <c r="X44" s="4164" t="n"/>
      <c r="Y44" s="4164" t="n"/>
      <c r="Z44" s="4164" t="n"/>
      <c r="AA44" s="4164" t="n"/>
      <c r="AB44" s="4164" t="n"/>
      <c r="AC44" s="4165" t="n"/>
      <c r="AD44" s="4163" t="n"/>
      <c r="AE44" s="4164" t="n"/>
      <c r="AF44" s="4164" t="n"/>
      <c r="AG44" s="4164" t="n"/>
      <c r="AH44" s="4164" t="n"/>
      <c r="AI44" s="4165" t="n"/>
      <c r="AJ44" s="8967" t="n"/>
      <c r="AL44" s="408" t="n"/>
      <c r="AM44" s="11602" t="n"/>
      <c r="AN44" s="11602" t="n"/>
      <c r="AO44" s="11602" t="n"/>
      <c r="AP44" s="1277" t="n"/>
      <c r="AQ44" s="11602" t="n"/>
      <c r="AR44" s="11602" t="n"/>
      <c r="AS44" s="11602" t="n"/>
      <c r="AT44" s="11602" t="n"/>
      <c r="AU44" s="11602" t="n"/>
      <c r="AV44" s="11602" t="n"/>
      <c r="AW44" s="11602" t="n"/>
      <c r="AX44" s="769" t="n"/>
      <c r="AY44" s="964" t="n"/>
      <c r="AZ44" s="964" t="n"/>
      <c r="BA44" s="964" t="n"/>
      <c r="BB44" s="964" t="n"/>
      <c r="BC44" s="964" t="n"/>
      <c r="BD44" s="964" t="n"/>
      <c r="BE44" s="964" t="n"/>
      <c r="BF44" s="964" t="n"/>
      <c r="BG44" s="964" t="n"/>
      <c r="BH44" s="964" t="n"/>
    </row>
    <row r="45" ht="13.5" customHeight="1" s="7635">
      <c r="A45" s="2112" t="n"/>
      <c r="B45" s="7299" t="inlineStr">
        <is>
          <t xml:space="preserve"> Deductions and losses (Caution: See instructions.):</t>
        </is>
      </c>
      <c r="C45" s="2373" t="n"/>
      <c r="D45" s="8650" t="n"/>
      <c r="E45" s="11602" t="n"/>
      <c r="F45" s="11602" t="n"/>
      <c r="G45" s="11602" t="n"/>
      <c r="H45" s="11602" t="n"/>
      <c r="I45" s="11602" t="n"/>
      <c r="J45" s="11602" t="n"/>
      <c r="K45" s="11602" t="n"/>
      <c r="L45" s="11602" t="n"/>
      <c r="M45" s="11602" t="n"/>
      <c r="N45" s="11602" t="n"/>
      <c r="O45" s="11602" t="n"/>
      <c r="P45" s="2073" t="n"/>
      <c r="Q45" s="723" t="n"/>
      <c r="R45" s="723" t="n"/>
      <c r="S45" s="723" t="n"/>
      <c r="T45" s="723" t="n"/>
      <c r="U45" s="723" t="n"/>
      <c r="V45" s="2074" t="n"/>
      <c r="W45" s="2073" t="n"/>
      <c r="X45" s="723" t="n"/>
      <c r="Y45" s="723" t="n"/>
      <c r="Z45" s="723" t="n"/>
      <c r="AA45" s="723" t="n"/>
      <c r="AB45" s="723" t="n"/>
      <c r="AC45" s="2074" t="n"/>
      <c r="AD45" s="2073" t="n"/>
      <c r="AE45" s="723" t="n"/>
      <c r="AF45" s="723" t="n"/>
      <c r="AG45" s="723" t="n"/>
      <c r="AH45" s="723" t="n"/>
      <c r="AI45" s="2074" t="n"/>
      <c r="AJ45" s="8967" t="n"/>
      <c r="AL45" s="408" t="n"/>
      <c r="AM45" s="11602" t="n"/>
      <c r="AN45" s="11602" t="n"/>
      <c r="AO45" s="11602" t="n"/>
      <c r="AP45" s="1277" t="n"/>
      <c r="AQ45" s="11602" t="n"/>
      <c r="AR45" s="11602" t="n"/>
      <c r="AS45" s="11602" t="n"/>
      <c r="AT45" s="11602" t="n"/>
      <c r="AU45" s="11602" t="n"/>
      <c r="AV45" s="11602" t="n"/>
      <c r="AW45" s="11602" t="n"/>
      <c r="AX45" s="769" t="n"/>
      <c r="AY45" s="964" t="n"/>
      <c r="AZ45" s="964" t="n"/>
      <c r="BA45" s="964" t="n"/>
      <c r="BB45" s="964" t="n"/>
      <c r="BC45" s="964" t="n"/>
      <c r="BD45" s="964" t="n"/>
      <c r="BE45" s="964" t="n"/>
      <c r="BF45" s="964" t="n"/>
      <c r="BG45" s="964" t="n"/>
      <c r="BH45" s="964" t="n"/>
    </row>
    <row r="46" ht="13.5" customHeight="1" s="7635">
      <c r="A46" s="2112" t="n"/>
      <c r="B46" s="9040" t="n">
        <v>2</v>
      </c>
      <c r="D46" s="7299" t="inlineStr">
        <is>
          <t>Expenses definitely related to the income on line</t>
        </is>
      </c>
      <c r="E46" s="11602" t="n"/>
      <c r="F46" s="11602" t="n"/>
      <c r="G46" s="11602" t="n"/>
      <c r="H46" s="11602" t="n"/>
      <c r="I46" s="11602" t="n"/>
      <c r="J46" s="11602" t="n"/>
      <c r="K46" s="11602" t="n"/>
      <c r="L46" s="11602" t="n"/>
      <c r="M46" s="11602" t="n"/>
      <c r="N46" s="11602" t="n"/>
      <c r="O46" s="11602" t="n"/>
      <c r="P46" s="408" t="n"/>
      <c r="Q46" s="11602" t="n"/>
      <c r="R46" s="11602" t="n"/>
      <c r="S46" s="11602" t="n"/>
      <c r="T46" s="11602" t="n"/>
      <c r="U46" s="11602" t="n"/>
      <c r="V46" s="409" t="n"/>
      <c r="W46" s="11602" t="n"/>
      <c r="X46" s="11602" t="n"/>
      <c r="Y46" s="11602" t="n"/>
      <c r="Z46" s="11602" t="n"/>
      <c r="AA46" s="11602" t="n"/>
      <c r="AB46" s="11602" t="n"/>
      <c r="AC46" s="409" t="n"/>
      <c r="AD46" s="11602" t="n"/>
      <c r="AE46" s="11602" t="n"/>
      <c r="AF46" s="11602" t="n"/>
      <c r="AG46" s="11602" t="n"/>
      <c r="AH46" s="11602" t="n"/>
      <c r="AI46" s="409" t="n"/>
      <c r="AJ46" s="8967" t="n"/>
      <c r="AL46" s="408" t="n"/>
      <c r="AM46" s="11602" t="n"/>
      <c r="AN46" s="11602" t="n"/>
      <c r="AO46" s="11602" t="n"/>
      <c r="AP46" s="1277" t="n"/>
      <c r="AQ46" s="11602" t="n"/>
      <c r="AR46" s="11602" t="n"/>
      <c r="AS46" s="11602" t="n"/>
      <c r="AT46" s="11602" t="n"/>
      <c r="AU46" s="11602" t="n"/>
      <c r="AV46" s="11602" t="n"/>
      <c r="AW46" s="11602" t="n"/>
      <c r="AX46" s="769" t="n"/>
      <c r="AY46" s="964" t="n"/>
      <c r="AZ46" s="964" t="n"/>
      <c r="BA46" s="964" t="n"/>
      <c r="BB46" s="964" t="n"/>
      <c r="BC46" s="964" t="n"/>
      <c r="BD46" s="964" t="n"/>
      <c r="BE46" s="964" t="n"/>
      <c r="BF46" s="964" t="n"/>
      <c r="BG46" s="964" t="n"/>
      <c r="BH46" s="964" t="n"/>
    </row>
    <row r="47" ht="13.5" customHeight="1" s="7635">
      <c r="A47" s="2112" t="n"/>
      <c r="B47" s="9169" t="n"/>
      <c r="D47" s="344" t="inlineStr">
        <is>
          <t>line1a (attach statement)</t>
        </is>
      </c>
      <c r="E47" s="11602" t="n"/>
      <c r="F47" s="11602" t="n"/>
      <c r="G47" s="11602" t="n"/>
      <c r="H47" s="11602" t="n"/>
      <c r="I47" s="11602" t="n"/>
      <c r="J47" s="11602" t="n"/>
      <c r="K47" s="11602" t="n"/>
      <c r="L47" s="11602" t="n"/>
      <c r="M47" s="11602" t="n"/>
      <c r="N47" s="11602" t="n"/>
      <c r="O47" s="1401" t="inlineStr">
        <is>
          <t xml:space="preserve">.   .   .   .   .   .   .   .  </t>
        </is>
      </c>
      <c r="P47" s="12235" t="n"/>
      <c r="Q47" s="11717" t="n"/>
      <c r="R47" s="11717" t="n"/>
      <c r="S47" s="11717" t="n"/>
      <c r="T47" s="11717" t="n"/>
      <c r="U47" s="11717" t="n"/>
      <c r="V47" s="11718" t="n"/>
      <c r="W47" s="12235" t="n"/>
      <c r="X47" s="11717" t="n"/>
      <c r="Y47" s="11717" t="n"/>
      <c r="Z47" s="11717" t="n"/>
      <c r="AA47" s="11717" t="n"/>
      <c r="AB47" s="11717" t="n"/>
      <c r="AC47" s="11718" t="n"/>
      <c r="AD47" s="12235" t="n"/>
      <c r="AE47" s="11717" t="n"/>
      <c r="AF47" s="11717" t="n"/>
      <c r="AG47" s="11717" t="n"/>
      <c r="AH47" s="11717" t="n"/>
      <c r="AI47" s="11718" t="n"/>
      <c r="AJ47" s="8967" t="n"/>
      <c r="AL47" s="408" t="n"/>
      <c r="AM47" s="11602" t="n"/>
      <c r="AN47" s="11602" t="n"/>
      <c r="AO47" s="11602" t="n"/>
      <c r="AP47" s="1277" t="n"/>
      <c r="AQ47" s="11602" t="n"/>
      <c r="AR47" s="11602" t="n"/>
      <c r="AS47" s="11602" t="n"/>
      <c r="AT47" s="11602" t="n"/>
      <c r="AU47" s="11602" t="n"/>
      <c r="AV47" s="11602" t="n"/>
      <c r="AW47" s="11602" t="n"/>
      <c r="AX47" s="769" t="n"/>
      <c r="AY47" s="964" t="n"/>
      <c r="AZ47" s="964" t="n"/>
      <c r="BA47" s="964" t="n"/>
      <c r="BB47" s="964" t="n"/>
      <c r="BC47" s="964" t="n"/>
      <c r="BD47" s="964" t="n"/>
      <c r="BE47" s="964" t="n"/>
      <c r="BF47" s="964" t="n"/>
      <c r="BG47" s="964" t="n"/>
      <c r="BH47" s="964" t="n"/>
    </row>
    <row r="48" ht="13.5" customHeight="1" s="7635">
      <c r="A48" s="2112" t="n"/>
      <c r="B48" s="9040" t="n">
        <v>3</v>
      </c>
      <c r="D48" s="7299" t="inlineStr">
        <is>
          <t>Pro rata share of other deductions not definitely</t>
        </is>
      </c>
      <c r="E48" s="11602" t="n"/>
      <c r="F48" s="11602" t="n"/>
      <c r="G48" s="11602" t="n"/>
      <c r="H48" s="11602" t="n"/>
      <c r="I48" s="11602" t="n"/>
      <c r="J48" s="11602" t="n"/>
      <c r="K48" s="11602" t="n"/>
      <c r="L48" s="11602" t="n"/>
      <c r="M48" s="11602" t="n"/>
      <c r="N48" s="11602" t="n"/>
      <c r="O48" s="11602" t="n"/>
      <c r="P48" s="2073" t="n"/>
      <c r="Q48" s="723" t="n"/>
      <c r="R48" s="723" t="n"/>
      <c r="S48" s="723" t="n"/>
      <c r="T48" s="723" t="n"/>
      <c r="U48" s="723" t="n"/>
      <c r="V48" s="2074" t="n"/>
      <c r="W48" s="2073" t="n"/>
      <c r="X48" s="723" t="n"/>
      <c r="Y48" s="723" t="n"/>
      <c r="Z48" s="723" t="n"/>
      <c r="AA48" s="723" t="n"/>
      <c r="AB48" s="723" t="n"/>
      <c r="AC48" s="2074" t="n"/>
      <c r="AD48" s="2073" t="n"/>
      <c r="AE48" s="723" t="n"/>
      <c r="AF48" s="723" t="n"/>
      <c r="AG48" s="723" t="n"/>
      <c r="AH48" s="723" t="n"/>
      <c r="AI48" s="2074" t="n"/>
      <c r="AJ48" s="8967" t="n"/>
      <c r="AL48" s="408" t="n"/>
      <c r="AM48" s="11602" t="n"/>
      <c r="AN48" s="11602" t="n"/>
      <c r="AO48" s="11602" t="n"/>
      <c r="AP48" s="1277" t="n"/>
      <c r="AQ48" s="11602" t="n"/>
      <c r="AR48" s="11602" t="n"/>
      <c r="AS48" s="11602" t="n"/>
      <c r="AT48" s="11602" t="n"/>
      <c r="AU48" s="11602" t="n"/>
      <c r="AV48" s="11602" t="n"/>
      <c r="AW48" s="11602" t="n"/>
      <c r="AX48" s="769" t="n"/>
      <c r="AY48" s="964" t="n"/>
      <c r="AZ48" s="964" t="n"/>
      <c r="BA48" s="964" t="n"/>
      <c r="BB48" s="964" t="n"/>
      <c r="BC48" s="964" t="n"/>
      <c r="BD48" s="964" t="n"/>
      <c r="BE48" s="964" t="n"/>
      <c r="BF48" s="964" t="n"/>
      <c r="BG48" s="964" t="n"/>
      <c r="BH48" s="964" t="n"/>
    </row>
    <row r="49" ht="13.5" customHeight="1" s="7635">
      <c r="A49" s="2112" t="n"/>
      <c r="B49" s="9169" t="n"/>
      <c r="D49" s="807" t="inlineStr">
        <is>
          <t>related:</t>
        </is>
      </c>
      <c r="E49" s="11602" t="n"/>
      <c r="F49" s="11602" t="n"/>
      <c r="G49" s="11602" t="n"/>
      <c r="H49" s="11602" t="n"/>
      <c r="I49" s="11602" t="n"/>
      <c r="J49" s="11602" t="n"/>
      <c r="K49" s="11602" t="n"/>
      <c r="L49" s="11602" t="n"/>
      <c r="M49" s="11602" t="n"/>
      <c r="N49" s="11602" t="n"/>
      <c r="O49" s="11602" t="n"/>
      <c r="P49" s="2073" t="n"/>
      <c r="Q49" s="723" t="n"/>
      <c r="R49" s="723" t="n"/>
      <c r="S49" s="723" t="n"/>
      <c r="T49" s="723" t="n"/>
      <c r="U49" s="723" t="n"/>
      <c r="V49" s="2074" t="n"/>
      <c r="W49" s="2073" t="n"/>
      <c r="X49" s="723" t="n"/>
      <c r="Y49" s="723" t="n"/>
      <c r="Z49" s="723" t="n"/>
      <c r="AA49" s="723" t="n"/>
      <c r="AB49" s="723" t="n"/>
      <c r="AC49" s="2074" t="n"/>
      <c r="AD49" s="2073" t="n"/>
      <c r="AE49" s="723" t="n"/>
      <c r="AF49" s="723" t="n"/>
      <c r="AG49" s="723" t="n"/>
      <c r="AH49" s="723" t="n"/>
      <c r="AI49" s="2074" t="n"/>
      <c r="AJ49" s="8967" t="n"/>
      <c r="AL49" s="408" t="n"/>
      <c r="AM49" s="11602" t="n"/>
      <c r="AN49" s="11602" t="n"/>
      <c r="AO49" s="11602" t="n"/>
      <c r="AP49" s="1277" t="n"/>
      <c r="AQ49" s="11602" t="n"/>
      <c r="AR49" s="11602" t="n"/>
      <c r="AS49" s="11602" t="n"/>
      <c r="AT49" s="11602" t="n"/>
      <c r="AU49" s="11602" t="n"/>
      <c r="AV49" s="11602" t="n"/>
      <c r="AW49" s="11602" t="n"/>
      <c r="AX49" s="769" t="n"/>
      <c r="AY49" s="964" t="n"/>
      <c r="AZ49" s="964" t="n"/>
      <c r="BA49" s="964" t="n"/>
      <c r="BB49" s="964" t="n"/>
      <c r="BC49" s="964" t="n"/>
      <c r="BD49" s="964" t="n"/>
      <c r="BE49" s="964" t="n"/>
      <c r="BF49" s="964" t="n"/>
      <c r="BG49" s="964" t="n"/>
      <c r="BH49" s="964" t="n"/>
    </row>
    <row r="50" ht="13.5" customHeight="1" s="7635">
      <c r="A50" s="2112" t="n"/>
      <c r="B50" s="9040" t="inlineStr">
        <is>
          <t>a</t>
        </is>
      </c>
      <c r="D50" s="7299" t="inlineStr">
        <is>
          <t>Certain itemized deductions or standard deduction</t>
        </is>
      </c>
      <c r="E50" s="11602" t="n"/>
      <c r="F50" s="11602" t="n"/>
      <c r="G50" s="11602" t="n"/>
      <c r="H50" s="11602" t="n"/>
      <c r="I50" s="11602" t="n"/>
      <c r="J50" s="11602" t="n"/>
      <c r="K50" s="11602" t="n"/>
      <c r="L50" s="11602" t="n"/>
      <c r="M50" s="11602" t="n"/>
      <c r="N50" s="11602" t="n"/>
      <c r="O50" s="11602" t="n"/>
      <c r="P50" s="408" t="n"/>
      <c r="Q50" s="11602" t="n"/>
      <c r="R50" s="11602" t="n"/>
      <c r="S50" s="11602" t="n"/>
      <c r="T50" s="11602" t="n"/>
      <c r="U50" s="11602" t="n"/>
      <c r="V50" s="409" t="n"/>
      <c r="W50" s="11602" t="n"/>
      <c r="X50" s="11602" t="n"/>
      <c r="Y50" s="11602" t="n"/>
      <c r="Z50" s="11602" t="n"/>
      <c r="AA50" s="11602" t="n"/>
      <c r="AB50" s="11602" t="n"/>
      <c r="AC50" s="409" t="n"/>
      <c r="AD50" s="11602" t="n"/>
      <c r="AE50" s="11602" t="n"/>
      <c r="AF50" s="11602" t="n"/>
      <c r="AG50" s="11602" t="n"/>
      <c r="AH50" s="11602" t="n"/>
      <c r="AI50" s="409" t="n"/>
      <c r="AJ50" s="8967" t="n"/>
      <c r="AL50" s="408" t="n"/>
      <c r="AM50" s="11602" t="n"/>
      <c r="AN50" s="11602" t="n"/>
      <c r="AO50" s="11602" t="n"/>
      <c r="AP50" s="1277" t="n"/>
      <c r="AQ50" s="11602" t="n"/>
      <c r="AR50" s="11602" t="n"/>
      <c r="AS50" s="11602" t="n"/>
      <c r="AT50" s="11602" t="n"/>
      <c r="AU50" s="11602" t="n"/>
      <c r="AV50" s="11602" t="n"/>
      <c r="AW50" s="11602" t="n"/>
      <c r="AX50" s="769" t="n"/>
      <c r="AY50" s="964" t="n"/>
      <c r="AZ50" s="964" t="n"/>
      <c r="BA50" s="964" t="n"/>
      <c r="BB50" s="964" t="n"/>
      <c r="BC50" s="964" t="n"/>
      <c r="BD50" s="964" t="n"/>
      <c r="BE50" s="964" t="n"/>
      <c r="BF50" s="964" t="n"/>
      <c r="BG50" s="964" t="n"/>
      <c r="BH50" s="964" t="n"/>
    </row>
    <row r="51" ht="13.5" customHeight="1" s="7635">
      <c r="A51" s="2112" t="n"/>
      <c r="B51" s="9169" t="n"/>
      <c r="C51" s="9169" t="n"/>
      <c r="D51" s="7299" t="inlineStr">
        <is>
          <t>(see instructions)</t>
        </is>
      </c>
      <c r="E51" s="11602" t="n"/>
      <c r="F51" s="11602" t="n"/>
      <c r="G51" s="11602" t="n"/>
      <c r="H51" s="11602" t="n"/>
      <c r="I51" s="11602" t="n"/>
      <c r="J51" s="11602" t="n"/>
      <c r="K51" s="11602" t="n"/>
      <c r="L51" s="11602" t="n"/>
      <c r="M51" s="11602" t="n"/>
      <c r="N51" s="11602" t="n"/>
      <c r="O51" s="1401" t="inlineStr">
        <is>
          <t xml:space="preserve">.   .   .   .   .   .   .   .   .   .   .  </t>
        </is>
      </c>
      <c r="P51" s="12235" t="n"/>
      <c r="Q51" s="11717" t="n"/>
      <c r="R51" s="11717" t="n"/>
      <c r="S51" s="11717" t="n"/>
      <c r="T51" s="11717" t="n"/>
      <c r="U51" s="11717" t="n"/>
      <c r="V51" s="11718" t="n"/>
      <c r="W51" s="12235" t="n"/>
      <c r="X51" s="11717" t="n"/>
      <c r="Y51" s="11717" t="n"/>
      <c r="Z51" s="11717" t="n"/>
      <c r="AA51" s="11717" t="n"/>
      <c r="AB51" s="11717" t="n"/>
      <c r="AC51" s="11718" t="n"/>
      <c r="AD51" s="12235" t="n"/>
      <c r="AE51" s="11717" t="n"/>
      <c r="AF51" s="11717" t="n"/>
      <c r="AG51" s="11717" t="n"/>
      <c r="AH51" s="11717" t="n"/>
      <c r="AI51" s="11718" t="n"/>
      <c r="AJ51" s="8967" t="n"/>
      <c r="AL51" s="408" t="n"/>
      <c r="AM51" s="11602" t="n"/>
      <c r="AN51" s="11602" t="n"/>
      <c r="AO51" s="11602" t="n"/>
      <c r="AP51" s="1277" t="n"/>
      <c r="AQ51" s="11602" t="n"/>
      <c r="AR51" s="11602" t="n"/>
      <c r="AS51" s="11602" t="n"/>
      <c r="AT51" s="11602" t="n"/>
      <c r="AU51" s="11602" t="n"/>
      <c r="AV51" s="11602" t="n"/>
      <c r="AW51" s="11602" t="n"/>
      <c r="AX51" s="769" t="n"/>
      <c r="AY51" s="964" t="n"/>
      <c r="AZ51" s="964" t="n"/>
      <c r="BA51" s="964" t="n"/>
      <c r="BB51" s="964" t="n"/>
      <c r="BC51" s="964" t="n"/>
      <c r="BD51" s="964" t="n"/>
      <c r="BE51" s="964" t="n"/>
      <c r="BF51" s="964" t="n"/>
      <c r="BG51" s="964" t="n"/>
      <c r="BH51" s="964" t="n"/>
    </row>
    <row r="52" ht="13.5" customHeight="1" s="7635">
      <c r="A52" s="2112" t="n"/>
      <c r="B52" s="9040" t="inlineStr">
        <is>
          <t>b</t>
        </is>
      </c>
      <c r="D52" s="7299" t="inlineStr">
        <is>
          <t>Other deductions (attach statement)</t>
        </is>
      </c>
      <c r="E52" s="11602" t="n"/>
      <c r="F52" s="11602" t="n"/>
      <c r="G52" s="11602" t="n"/>
      <c r="H52" s="11602" t="n"/>
      <c r="I52" s="11602" t="n"/>
      <c r="J52" s="11602" t="n"/>
      <c r="K52" s="11602" t="n"/>
      <c r="L52" s="11602" t="n"/>
      <c r="M52" s="11602" t="n"/>
      <c r="N52" s="11602" t="n"/>
      <c r="O52" s="1401" t="inlineStr">
        <is>
          <t xml:space="preserve">.   .   .   .   .  </t>
        </is>
      </c>
      <c r="P52" s="12237" t="n"/>
      <c r="Q52" s="8007" t="n"/>
      <c r="R52" s="8007" t="n"/>
      <c r="S52" s="8007" t="n"/>
      <c r="T52" s="8007" t="n"/>
      <c r="U52" s="8007" t="n"/>
      <c r="V52" s="8008" t="n"/>
      <c r="W52" s="12237" t="n"/>
      <c r="X52" s="8007" t="n"/>
      <c r="Y52" s="8007" t="n"/>
      <c r="Z52" s="8007" t="n"/>
      <c r="AA52" s="8007" t="n"/>
      <c r="AB52" s="8007" t="n"/>
      <c r="AC52" s="8008" t="n"/>
      <c r="AD52" s="12237" t="n"/>
      <c r="AE52" s="8007" t="n"/>
      <c r="AF52" s="8007" t="n"/>
      <c r="AG52" s="8007" t="n"/>
      <c r="AH52" s="8007" t="n"/>
      <c r="AI52" s="8008" t="n"/>
      <c r="AJ52" s="8967" t="n"/>
      <c r="AL52" s="408" t="n"/>
      <c r="AM52" s="11602" t="n"/>
      <c r="AN52" s="11602" t="n"/>
      <c r="AO52" s="11602" t="n"/>
      <c r="AP52" s="1277" t="n"/>
      <c r="AQ52" s="11602" t="n"/>
      <c r="AR52" s="11602" t="n"/>
      <c r="AS52" s="11602" t="n"/>
      <c r="AT52" s="11602" t="n"/>
      <c r="AU52" s="11602" t="n"/>
      <c r="AV52" s="11602" t="n"/>
      <c r="AW52" s="11602" t="n"/>
      <c r="AX52" s="769" t="n"/>
      <c r="AY52" s="964" t="n"/>
      <c r="AZ52" s="964" t="n"/>
      <c r="BA52" s="964" t="n"/>
      <c r="BB52" s="964" t="n"/>
      <c r="BC52" s="964" t="n"/>
      <c r="BD52" s="964" t="n"/>
      <c r="BE52" s="964" t="n"/>
      <c r="BF52" s="964" t="n"/>
      <c r="BG52" s="964" t="n"/>
      <c r="BH52" s="964" t="n"/>
    </row>
    <row r="53" ht="13.5" customHeight="1" s="7635">
      <c r="A53" s="2112" t="n"/>
      <c r="B53" s="9040" t="inlineStr">
        <is>
          <t>c</t>
        </is>
      </c>
      <c r="D53" s="7299" t="inlineStr">
        <is>
          <t>Add lines 3a and 3b</t>
        </is>
      </c>
      <c r="E53" s="11602" t="n"/>
      <c r="F53" s="11602" t="n"/>
      <c r="G53" s="11602" t="n"/>
      <c r="H53" s="11602" t="n"/>
      <c r="I53" s="11602" t="n"/>
      <c r="J53" s="11602" t="n"/>
      <c r="K53" s="11602" t="n"/>
      <c r="L53" s="11602" t="n"/>
      <c r="M53" s="11602" t="n"/>
      <c r="N53" s="11602" t="n"/>
      <c r="O53" s="1401" t="inlineStr">
        <is>
          <t xml:space="preserve">.   .   .   .   .   .   .   .   .   .  </t>
        </is>
      </c>
      <c r="P53" s="12238">
        <f>SUM(P51:P52)</f>
        <v/>
      </c>
      <c r="Q53" s="8412" t="n"/>
      <c r="R53" s="8412" t="n"/>
      <c r="S53" s="8412" t="n"/>
      <c r="T53" s="8412" t="n"/>
      <c r="U53" s="8412" t="n"/>
      <c r="V53" s="11734" t="n"/>
      <c r="W53" s="12238">
        <f>SUM(W51:W52)</f>
        <v/>
      </c>
      <c r="X53" s="8412" t="n"/>
      <c r="Y53" s="8412" t="n"/>
      <c r="Z53" s="8412" t="n"/>
      <c r="AA53" s="8412" t="n"/>
      <c r="AB53" s="8412" t="n"/>
      <c r="AC53" s="11734" t="n"/>
      <c r="AD53" s="12238">
        <f>SUM(AD51:AD52)</f>
        <v/>
      </c>
      <c r="AE53" s="8412" t="n"/>
      <c r="AF53" s="8412" t="n"/>
      <c r="AG53" s="8412" t="n"/>
      <c r="AH53" s="8412" t="n"/>
      <c r="AI53" s="11734" t="n"/>
      <c r="AJ53" s="8967" t="n"/>
      <c r="AL53" s="408" t="n"/>
      <c r="AM53" s="11602" t="n"/>
      <c r="AN53" s="11602" t="n"/>
      <c r="AO53" s="11602" t="n"/>
      <c r="AP53" s="1277" t="n"/>
      <c r="AQ53" s="11602" t="n"/>
      <c r="AR53" s="11602" t="n"/>
      <c r="AS53" s="11602" t="n"/>
      <c r="AT53" s="11602" t="n"/>
      <c r="AU53" s="11602" t="n"/>
      <c r="AV53" s="11602" t="n"/>
      <c r="AW53" s="11602" t="n"/>
      <c r="AX53" s="769" t="n"/>
      <c r="AY53" s="964" t="n"/>
      <c r="AZ53" s="964" t="n"/>
      <c r="BA53" s="964" t="n"/>
      <c r="BB53" s="964" t="n"/>
      <c r="BC53" s="964" t="n"/>
      <c r="BD53" s="964" t="n"/>
      <c r="BE53" s="964" t="n"/>
      <c r="BF53" s="964" t="n"/>
      <c r="BG53" s="964" t="n"/>
      <c r="BH53" s="964" t="n"/>
    </row>
    <row r="54" ht="13.5" customHeight="1" s="7635">
      <c r="A54" s="2112" t="n"/>
      <c r="B54" s="9040" t="inlineStr">
        <is>
          <t>d</t>
        </is>
      </c>
      <c r="D54" s="7299" t="inlineStr">
        <is>
          <t>Gross foreign source income (see instructions)</t>
        </is>
      </c>
      <c r="E54" s="11602" t="n"/>
      <c r="F54" s="11602" t="n"/>
      <c r="G54" s="11602" t="n"/>
      <c r="H54" s="11602" t="n"/>
      <c r="I54" s="11602" t="n"/>
      <c r="J54" s="11602" t="n"/>
      <c r="K54" s="11602" t="n"/>
      <c r="L54" s="11602" t="n"/>
      <c r="M54" s="11602" t="n"/>
      <c r="N54" s="11602" t="n"/>
      <c r="O54" s="1401" t="inlineStr">
        <is>
          <t xml:space="preserve"> .  </t>
        </is>
      </c>
      <c r="P54" s="12237" t="n"/>
      <c r="Q54" s="8007" t="n"/>
      <c r="R54" s="8007" t="n"/>
      <c r="S54" s="8007" t="n"/>
      <c r="T54" s="8007" t="n"/>
      <c r="U54" s="8007" t="n"/>
      <c r="V54" s="8008" t="n"/>
      <c r="W54" s="12237" t="n"/>
      <c r="X54" s="8007" t="n"/>
      <c r="Y54" s="8007" t="n"/>
      <c r="Z54" s="8007" t="n"/>
      <c r="AA54" s="8007" t="n"/>
      <c r="AB54" s="8007" t="n"/>
      <c r="AC54" s="8008" t="n"/>
      <c r="AD54" s="12237" t="n"/>
      <c r="AE54" s="8007" t="n"/>
      <c r="AF54" s="8007" t="n"/>
      <c r="AG54" s="8007" t="n"/>
      <c r="AH54" s="8007" t="n"/>
      <c r="AI54" s="8008" t="n"/>
      <c r="AJ54" s="8967" t="n"/>
      <c r="AL54" s="408" t="n"/>
      <c r="AM54" s="11602" t="n"/>
      <c r="AN54" s="11602" t="n"/>
      <c r="AO54" s="11602" t="n"/>
      <c r="AP54" s="1277" t="n"/>
      <c r="AQ54" s="11602" t="n"/>
      <c r="AR54" s="11602" t="n"/>
      <c r="AS54" s="11602" t="n"/>
      <c r="AT54" s="11602" t="n"/>
      <c r="AU54" s="11602" t="n"/>
      <c r="AV54" s="11602" t="n"/>
      <c r="AW54" s="11602" t="n"/>
      <c r="AX54" s="769" t="n"/>
      <c r="AY54" s="964" t="n"/>
      <c r="AZ54" s="964" t="n"/>
      <c r="BA54" s="964" t="n"/>
      <c r="BB54" s="964" t="n"/>
      <c r="BC54" s="964" t="n"/>
      <c r="BD54" s="964" t="n"/>
      <c r="BE54" s="964" t="n"/>
      <c r="BF54" s="964" t="n"/>
      <c r="BG54" s="964" t="n"/>
      <c r="BH54" s="964" t="n"/>
    </row>
    <row r="55" ht="13.5" customHeight="1" s="7635">
      <c r="A55" s="2112" t="n"/>
      <c r="B55" s="9040" t="inlineStr">
        <is>
          <t>e</t>
        </is>
      </c>
      <c r="D55" s="7299" t="inlineStr">
        <is>
          <t>Gross income from all sources (see instructions)</t>
        </is>
      </c>
      <c r="E55" s="11602" t="n"/>
      <c r="F55" s="11602" t="n"/>
      <c r="G55" s="11602" t="n"/>
      <c r="H55" s="11602" t="n"/>
      <c r="I55" s="11602" t="n"/>
      <c r="J55" s="11602" t="n"/>
      <c r="K55" s="11602" t="n"/>
      <c r="L55" s="11602" t="n"/>
      <c r="M55" s="11602" t="n"/>
      <c r="N55" s="11602" t="n"/>
      <c r="O55" s="1401" t="inlineStr">
        <is>
          <t xml:space="preserve"> .  </t>
        </is>
      </c>
      <c r="P55" s="12237" t="n"/>
      <c r="Q55" s="8007" t="n"/>
      <c r="R55" s="8007" t="n"/>
      <c r="S55" s="8007" t="n"/>
      <c r="T55" s="8007" t="n"/>
      <c r="U55" s="8007" t="n"/>
      <c r="V55" s="8008" t="n"/>
      <c r="W55" s="12237" t="n"/>
      <c r="X55" s="8007" t="n"/>
      <c r="Y55" s="8007" t="n"/>
      <c r="Z55" s="8007" t="n"/>
      <c r="AA55" s="8007" t="n"/>
      <c r="AB55" s="8007" t="n"/>
      <c r="AC55" s="8008" t="n"/>
      <c r="AD55" s="12237" t="n"/>
      <c r="AE55" s="8007" t="n"/>
      <c r="AF55" s="8007" t="n"/>
      <c r="AG55" s="8007" t="n"/>
      <c r="AH55" s="8007" t="n"/>
      <c r="AI55" s="8008" t="n"/>
      <c r="AJ55" s="8967" t="n"/>
      <c r="AL55" s="408" t="n"/>
      <c r="AM55" s="11602" t="n"/>
      <c r="AN55" s="11602" t="n"/>
      <c r="AO55" s="11602" t="n"/>
      <c r="AP55" s="1277" t="n"/>
      <c r="AQ55" s="11602" t="n"/>
      <c r="AR55" s="11602" t="n"/>
      <c r="AS55" s="11602" t="n"/>
      <c r="AT55" s="11602" t="n"/>
      <c r="AU55" s="11602" t="n"/>
      <c r="AV55" s="11602" t="n"/>
      <c r="AW55" s="11602" t="n"/>
      <c r="AX55" s="769" t="n"/>
      <c r="AY55" s="964" t="n"/>
      <c r="AZ55" s="964" t="n"/>
      <c r="BA55" s="964" t="n"/>
      <c r="BB55" s="964" t="n"/>
      <c r="BC55" s="964" t="n"/>
      <c r="BD55" s="964" t="n"/>
      <c r="BE55" s="964" t="n"/>
      <c r="BF55" s="964" t="n"/>
      <c r="BG55" s="964" t="n"/>
      <c r="BH55" s="964" t="n"/>
    </row>
    <row r="56" ht="13.5" customHeight="1" s="7635">
      <c r="A56" s="2112" t="n"/>
      <c r="B56" s="9040" t="inlineStr">
        <is>
          <t>f</t>
        </is>
      </c>
      <c r="D56" s="7299" t="inlineStr">
        <is>
          <t>Divide line 3d by line 3e (see instructions)</t>
        </is>
      </c>
      <c r="E56" s="11602" t="n"/>
      <c r="F56" s="11602" t="n"/>
      <c r="G56" s="11602" t="n"/>
      <c r="H56" s="11602" t="n"/>
      <c r="I56" s="11602" t="n"/>
      <c r="J56" s="11602" t="n"/>
      <c r="K56" s="11602" t="n"/>
      <c r="L56" s="11602" t="n"/>
      <c r="M56" s="11602" t="n"/>
      <c r="N56" s="11602" t="n"/>
      <c r="O56" s="1401" t="inlineStr">
        <is>
          <t xml:space="preserve">.   .   .  </t>
        </is>
      </c>
      <c r="P56" s="12239">
        <f>IF(P55=0,"",ROUND(P54/P55,4))</f>
        <v/>
      </c>
      <c r="Q56" s="8412" t="n"/>
      <c r="R56" s="8412" t="n"/>
      <c r="S56" s="8412" t="n"/>
      <c r="T56" s="8412" t="n"/>
      <c r="U56" s="8412" t="n"/>
      <c r="V56" s="11734" t="n"/>
      <c r="W56" s="12239">
        <f>IF(W55=0,"",ROUND(W54/W55,4))</f>
        <v/>
      </c>
      <c r="X56" s="8412" t="n"/>
      <c r="Y56" s="8412" t="n"/>
      <c r="Z56" s="8412" t="n"/>
      <c r="AA56" s="8412" t="n"/>
      <c r="AB56" s="8412" t="n"/>
      <c r="AC56" s="11734" t="n"/>
      <c r="AD56" s="12240">
        <f>IF(AD55=0,"",ROUND(AD54/AD55,4))</f>
        <v/>
      </c>
      <c r="AE56" s="8412" t="n"/>
      <c r="AF56" s="8412" t="n"/>
      <c r="AG56" s="8412" t="n"/>
      <c r="AH56" s="8412" t="n"/>
      <c r="AI56" s="11734" t="n"/>
      <c r="AJ56" s="8967" t="n"/>
      <c r="AL56" s="408" t="n"/>
      <c r="AM56" s="11602" t="n"/>
      <c r="AN56" s="11602" t="n"/>
      <c r="AO56" s="11602" t="n"/>
      <c r="AP56" s="1277" t="n"/>
      <c r="AQ56" s="11602" t="n"/>
      <c r="AR56" s="11602" t="n"/>
      <c r="AS56" s="11602" t="n"/>
      <c r="AT56" s="11602" t="n"/>
      <c r="AU56" s="11602" t="n"/>
      <c r="AV56" s="11602" t="n"/>
      <c r="AW56" s="11602" t="n"/>
      <c r="AX56" s="769" t="n"/>
      <c r="AY56" s="964" t="n"/>
      <c r="AZ56" s="964" t="n"/>
      <c r="BA56" s="964" t="n"/>
      <c r="BB56" s="964" t="n"/>
      <c r="BC56" s="964" t="n"/>
      <c r="BD56" s="964" t="n"/>
      <c r="BE56" s="964" t="n"/>
      <c r="BF56" s="964" t="n"/>
      <c r="BG56" s="964" t="n"/>
      <c r="BH56" s="964" t="n"/>
    </row>
    <row r="57" ht="13.5" customHeight="1" s="7635">
      <c r="A57" s="2112" t="n"/>
      <c r="B57" s="9040" t="inlineStr">
        <is>
          <t>g</t>
        </is>
      </c>
      <c r="D57" s="7299" t="inlineStr">
        <is>
          <t>Multiply line 3c by line 3f</t>
        </is>
      </c>
      <c r="E57" s="11602" t="n"/>
      <c r="F57" s="11602" t="n"/>
      <c r="G57" s="11602" t="n"/>
      <c r="H57" s="11602" t="n"/>
      <c r="I57" s="11602" t="n"/>
      <c r="J57" s="11602" t="n"/>
      <c r="K57" s="11602" t="n"/>
      <c r="L57" s="11602" t="n"/>
      <c r="M57" s="11602" t="n"/>
      <c r="N57" s="11602" t="n"/>
      <c r="O57" s="1401" t="inlineStr">
        <is>
          <t xml:space="preserve">.   .   .   .   .   .   .   .   .  </t>
        </is>
      </c>
      <c r="P57" s="12238">
        <f>IF(OR(P53="",P56=""),"",P53*P56)</f>
        <v/>
      </c>
      <c r="Q57" s="8412" t="n"/>
      <c r="R57" s="8412" t="n"/>
      <c r="S57" s="8412" t="n"/>
      <c r="T57" s="8412" t="n"/>
      <c r="U57" s="8412" t="n"/>
      <c r="V57" s="11734" t="n"/>
      <c r="W57" s="12238">
        <f>IF(OR(W53="",W56=""),"",W53*W56)</f>
        <v/>
      </c>
      <c r="X57" s="8412" t="n"/>
      <c r="Y57" s="8412" t="n"/>
      <c r="Z57" s="8412" t="n"/>
      <c r="AA57" s="8412" t="n"/>
      <c r="AB57" s="8412" t="n"/>
      <c r="AC57" s="11734" t="n"/>
      <c r="AD57" s="12238">
        <f>IF(OR(AD53="",AD56=""),"",AD53*AD56)</f>
        <v/>
      </c>
      <c r="AE57" s="8412" t="n"/>
      <c r="AF57" s="8412" t="n"/>
      <c r="AG57" s="8412" t="n"/>
      <c r="AH57" s="8412" t="n"/>
      <c r="AI57" s="11734" t="n"/>
      <c r="AJ57" s="8967" t="n"/>
      <c r="AL57" s="408" t="n"/>
      <c r="AM57" s="11602" t="n"/>
      <c r="AN57" s="11602" t="n"/>
      <c r="AO57" s="11602" t="n"/>
      <c r="AP57" s="1277" t="n"/>
      <c r="AQ57" s="11602" t="n"/>
      <c r="AR57" s="11602" t="n"/>
      <c r="AS57" s="11602" t="n"/>
      <c r="AT57" s="11602" t="n"/>
      <c r="AU57" s="11602" t="n"/>
      <c r="AV57" s="11602" t="n"/>
      <c r="AW57" s="11602" t="n"/>
      <c r="AX57" s="769" t="n"/>
      <c r="AY57" s="964" t="n"/>
      <c r="AZ57" s="964" t="n"/>
      <c r="BA57" s="964" t="n"/>
      <c r="BB57" s="964" t="n"/>
      <c r="BC57" s="964" t="n"/>
      <c r="BD57" s="964" t="n"/>
      <c r="BE57" s="964" t="n"/>
      <c r="BF57" s="964" t="n"/>
      <c r="BG57" s="964" t="n"/>
      <c r="BH57" s="964" t="n"/>
    </row>
    <row r="58" ht="13.5" customHeight="1" s="7635">
      <c r="A58" s="2112" t="n"/>
      <c r="B58" s="9024" t="n">
        <v>4</v>
      </c>
      <c r="D58" s="7299" t="inlineStr">
        <is>
          <t>Pro rata share of interest expense (see instructions):</t>
        </is>
      </c>
      <c r="E58" s="11602" t="n"/>
      <c r="F58" s="11602" t="n"/>
      <c r="G58" s="11602" t="n"/>
      <c r="H58" s="11602" t="n"/>
      <c r="I58" s="11602" t="n"/>
      <c r="J58" s="11602" t="n"/>
      <c r="K58" s="11602" t="n"/>
      <c r="L58" s="11602" t="n"/>
      <c r="M58" s="11602" t="n"/>
      <c r="N58" s="11602" t="n"/>
      <c r="O58" s="11602" t="n"/>
      <c r="P58" s="4167" t="n"/>
      <c r="Q58" s="4168" t="n"/>
      <c r="R58" s="4168" t="n"/>
      <c r="S58" s="4168" t="n"/>
      <c r="T58" s="4168" t="n"/>
      <c r="U58" s="4168" t="n"/>
      <c r="V58" s="4169" t="n"/>
      <c r="W58" s="4167" t="n"/>
      <c r="X58" s="4168" t="n"/>
      <c r="Y58" s="4168" t="n"/>
      <c r="Z58" s="4168" t="n"/>
      <c r="AA58" s="4168" t="n"/>
      <c r="AB58" s="4168" t="n"/>
      <c r="AC58" s="4169" t="n"/>
      <c r="AD58" s="4167" t="n"/>
      <c r="AE58" s="4168" t="n"/>
      <c r="AF58" s="4168" t="n"/>
      <c r="AG58" s="4168" t="n"/>
      <c r="AH58" s="4168" t="n"/>
      <c r="AI58" s="4169" t="n"/>
      <c r="AJ58" s="8967" t="n"/>
      <c r="AL58" s="408" t="n"/>
      <c r="AM58" s="11602" t="n"/>
      <c r="AN58" s="11602" t="n"/>
      <c r="AO58" s="11602" t="n"/>
      <c r="AP58" s="1277" t="n"/>
      <c r="AQ58" s="11602" t="n"/>
      <c r="AR58" s="11602" t="n"/>
      <c r="AS58" s="11602" t="n"/>
      <c r="AT58" s="11602" t="n"/>
      <c r="AU58" s="11602" t="n"/>
      <c r="AV58" s="11602" t="n"/>
      <c r="AW58" s="11602" t="n"/>
      <c r="AX58" s="769" t="n"/>
      <c r="AY58" s="964" t="n"/>
      <c r="AZ58" s="964" t="n"/>
      <c r="BA58" s="964" t="n"/>
      <c r="BB58" s="964" t="n"/>
      <c r="BC58" s="964" t="n"/>
      <c r="BD58" s="964" t="n"/>
      <c r="BE58" s="964" t="n"/>
      <c r="BF58" s="964" t="n"/>
      <c r="BG58" s="964" t="n"/>
      <c r="BH58" s="964" t="n"/>
    </row>
    <row r="59" ht="13.5" customHeight="1" s="7635">
      <c r="A59" s="2112" t="n"/>
      <c r="B59" s="9040" t="inlineStr">
        <is>
          <t>a</t>
        </is>
      </c>
      <c r="D59" s="7299" t="inlineStr">
        <is>
          <t>Home mortgage interest (use the Worksheet for</t>
        </is>
      </c>
      <c r="E59" s="11602" t="n"/>
      <c r="F59" s="11602" t="n"/>
      <c r="G59" s="11602" t="n"/>
      <c r="H59" s="11602" t="n"/>
      <c r="I59" s="11602" t="n"/>
      <c r="J59" s="11602" t="n"/>
      <c r="K59" s="11602" t="n"/>
      <c r="L59" s="11602" t="n"/>
      <c r="M59" s="11602" t="n"/>
      <c r="N59" s="11602" t="n"/>
      <c r="O59" s="11602" t="n"/>
      <c r="P59" s="566" t="n"/>
      <c r="Q59" s="344" t="n"/>
      <c r="R59" s="344" t="n"/>
      <c r="S59" s="344" t="n"/>
      <c r="T59" s="344" t="n"/>
      <c r="U59" s="344" t="n"/>
      <c r="V59" s="567" t="n"/>
      <c r="W59" s="344" t="n"/>
      <c r="X59" s="344" t="n"/>
      <c r="Y59" s="344" t="n"/>
      <c r="Z59" s="344" t="n"/>
      <c r="AA59" s="344" t="n"/>
      <c r="AB59" s="344" t="n"/>
      <c r="AC59" s="567" t="n"/>
      <c r="AD59" s="344" t="n"/>
      <c r="AE59" s="344" t="n"/>
      <c r="AF59" s="344" t="n"/>
      <c r="AG59" s="344" t="n"/>
      <c r="AH59" s="344" t="n"/>
      <c r="AI59" s="567" t="n"/>
      <c r="AJ59" s="8967" t="n"/>
      <c r="AL59" s="408" t="n"/>
      <c r="AM59" s="11602" t="n"/>
      <c r="AN59" s="11602" t="n"/>
      <c r="AO59" s="11602" t="n"/>
      <c r="AP59" s="1277" t="n"/>
      <c r="AQ59" s="11602" t="n"/>
      <c r="AR59" s="11602" t="n"/>
      <c r="AS59" s="11602" t="n"/>
      <c r="AT59" s="11602" t="n"/>
      <c r="AU59" s="11602" t="n"/>
      <c r="AV59" s="11602" t="n"/>
      <c r="AW59" s="11602" t="n"/>
      <c r="AX59" s="769" t="n"/>
      <c r="AY59" s="964" t="n"/>
      <c r="AZ59" s="964" t="n"/>
      <c r="BA59" s="964" t="n"/>
      <c r="BB59" s="964" t="n"/>
      <c r="BC59" s="964" t="n"/>
      <c r="BD59" s="964" t="n"/>
      <c r="BE59" s="964" t="n"/>
      <c r="BF59" s="964" t="n"/>
      <c r="BG59" s="964" t="n"/>
      <c r="BH59" s="964" t="n"/>
    </row>
    <row r="60" ht="13.5" customHeight="1" s="7635">
      <c r="A60" s="2112" t="n"/>
      <c r="B60" s="9040" t="n"/>
      <c r="C60" s="9040" t="n"/>
      <c r="D60" s="7299" t="inlineStr">
        <is>
          <t>Home Mortgage Interest in the instructions)</t>
        </is>
      </c>
      <c r="E60" s="11602" t="n"/>
      <c r="F60" s="11602" t="n"/>
      <c r="G60" s="11602" t="n"/>
      <c r="H60" s="11602" t="n"/>
      <c r="I60" s="11602" t="n"/>
      <c r="J60" s="11602" t="n"/>
      <c r="K60" s="11602" t="n"/>
      <c r="L60" s="11602" t="n"/>
      <c r="M60" s="11602" t="n"/>
      <c r="N60" s="11602" t="n"/>
      <c r="O60" s="1401" t="inlineStr">
        <is>
          <t xml:space="preserve">.   .   .  </t>
        </is>
      </c>
      <c r="P60" s="12235" t="n"/>
      <c r="Q60" s="11717" t="n"/>
      <c r="R60" s="11717" t="n"/>
      <c r="S60" s="11717" t="n"/>
      <c r="T60" s="11717" t="n"/>
      <c r="U60" s="11717" t="n"/>
      <c r="V60" s="11718" t="n"/>
      <c r="W60" s="12235" t="n"/>
      <c r="X60" s="11717" t="n"/>
      <c r="Y60" s="11717" t="n"/>
      <c r="Z60" s="11717" t="n"/>
      <c r="AA60" s="11717" t="n"/>
      <c r="AB60" s="11717" t="n"/>
      <c r="AC60" s="11718" t="n"/>
      <c r="AD60" s="12235" t="n"/>
      <c r="AE60" s="11717" t="n"/>
      <c r="AF60" s="11717" t="n"/>
      <c r="AG60" s="11717" t="n"/>
      <c r="AH60" s="11717" t="n"/>
      <c r="AI60" s="11718" t="n"/>
      <c r="AJ60" s="8967" t="n"/>
      <c r="AL60" s="408" t="n"/>
      <c r="AM60" s="11602" t="n"/>
      <c r="AN60" s="11602" t="n"/>
      <c r="AO60" s="11602" t="n"/>
      <c r="AP60" s="1277" t="n"/>
      <c r="AQ60" s="11602" t="n"/>
      <c r="AR60" s="11602" t="n"/>
      <c r="AS60" s="11602" t="n"/>
      <c r="AT60" s="11602" t="n"/>
      <c r="AU60" s="11602" t="n"/>
      <c r="AV60" s="11602" t="n"/>
      <c r="AW60" s="11602" t="n"/>
      <c r="AX60" s="769" t="n"/>
      <c r="AY60" s="964" t="n"/>
      <c r="AZ60" s="964" t="n"/>
      <c r="BA60" s="964" t="n"/>
      <c r="BB60" s="964" t="n"/>
      <c r="BC60" s="964" t="n"/>
      <c r="BD60" s="964" t="n"/>
      <c r="BE60" s="964" t="n"/>
      <c r="BF60" s="964" t="n"/>
      <c r="BG60" s="964" t="n"/>
      <c r="BH60" s="964" t="n"/>
    </row>
    <row r="61" ht="13.5" customHeight="1" s="7635">
      <c r="A61" s="2112" t="n"/>
      <c r="B61" s="9040" t="inlineStr">
        <is>
          <t>b</t>
        </is>
      </c>
      <c r="D61" s="7299" t="inlineStr">
        <is>
          <t>Other interest expense</t>
        </is>
      </c>
      <c r="E61" s="11602" t="n"/>
      <c r="F61" s="11602" t="n"/>
      <c r="G61" s="11602" t="n"/>
      <c r="H61" s="11602" t="n"/>
      <c r="I61" s="11602" t="n"/>
      <c r="J61" s="11602" t="n"/>
      <c r="K61" s="11602" t="n"/>
      <c r="L61" s="11602" t="n"/>
      <c r="M61" s="11602" t="n"/>
      <c r="N61" s="11602" t="n"/>
      <c r="O61" s="1401" t="inlineStr">
        <is>
          <t xml:space="preserve">.   .   .   .   .   .   .   .   .  </t>
        </is>
      </c>
      <c r="P61" s="12237" t="n"/>
      <c r="Q61" s="8007" t="n"/>
      <c r="R61" s="8007" t="n"/>
      <c r="S61" s="8007" t="n"/>
      <c r="T61" s="8007" t="n"/>
      <c r="U61" s="8007" t="n"/>
      <c r="V61" s="8008" t="n"/>
      <c r="W61" s="12237" t="n"/>
      <c r="X61" s="8007" t="n"/>
      <c r="Y61" s="8007" t="n"/>
      <c r="Z61" s="8007" t="n"/>
      <c r="AA61" s="8007" t="n"/>
      <c r="AB61" s="8007" t="n"/>
      <c r="AC61" s="8008" t="n"/>
      <c r="AD61" s="12237" t="n"/>
      <c r="AE61" s="8007" t="n"/>
      <c r="AF61" s="8007" t="n"/>
      <c r="AG61" s="8007" t="n"/>
      <c r="AH61" s="8007" t="n"/>
      <c r="AI61" s="8008" t="n"/>
      <c r="AJ61" s="8967" t="n"/>
      <c r="AL61" s="408" t="n"/>
      <c r="AM61" s="11602" t="n"/>
      <c r="AN61" s="11602" t="n"/>
      <c r="AO61" s="11602" t="n"/>
      <c r="AP61" s="1277" t="n"/>
      <c r="AQ61" s="11602" t="n"/>
      <c r="AR61" s="11602" t="n"/>
      <c r="AS61" s="11602" t="n"/>
      <c r="AT61" s="11602" t="n"/>
      <c r="AU61" s="11602" t="n"/>
      <c r="AV61" s="11602" t="n"/>
      <c r="AW61" s="11602" t="n"/>
      <c r="AX61" s="769" t="n"/>
      <c r="AY61" s="964" t="n"/>
      <c r="AZ61" s="964" t="n"/>
      <c r="BA61" s="964" t="n"/>
      <c r="BB61" s="964" t="n"/>
      <c r="BC61" s="964" t="n"/>
      <c r="BD61" s="964" t="n"/>
      <c r="BE61" s="964" t="n"/>
      <c r="BF61" s="964" t="n"/>
      <c r="BG61" s="964" t="n"/>
      <c r="BH61" s="964" t="n"/>
    </row>
    <row r="62" ht="13.5" customHeight="1" s="7635">
      <c r="A62" s="2112" t="n"/>
      <c r="B62" s="9024" t="n">
        <v>5</v>
      </c>
      <c r="D62" s="7299" t="inlineStr">
        <is>
          <t>Losses from foreign sources</t>
        </is>
      </c>
      <c r="E62" s="11602" t="n"/>
      <c r="F62" s="11602" t="n"/>
      <c r="G62" s="11602" t="n"/>
      <c r="H62" s="11602" t="n"/>
      <c r="I62" s="11602" t="n"/>
      <c r="J62" s="11602" t="n"/>
      <c r="K62" s="11602" t="n"/>
      <c r="L62" s="11602" t="n"/>
      <c r="M62" s="11602" t="n"/>
      <c r="N62" s="11602" t="n"/>
      <c r="O62" s="1401" t="inlineStr">
        <is>
          <t xml:space="preserve">.   .   .   .   .   .   .  </t>
        </is>
      </c>
      <c r="P62" s="12237" t="n"/>
      <c r="Q62" s="8007" t="n"/>
      <c r="R62" s="8007" t="n"/>
      <c r="S62" s="8007" t="n"/>
      <c r="T62" s="8007" t="n"/>
      <c r="U62" s="8007" t="n"/>
      <c r="V62" s="8008" t="n"/>
      <c r="W62" s="12237" t="n"/>
      <c r="X62" s="8007" t="n"/>
      <c r="Y62" s="8007" t="n"/>
      <c r="Z62" s="8007" t="n"/>
      <c r="AA62" s="8007" t="n"/>
      <c r="AB62" s="8007" t="n"/>
      <c r="AC62" s="8008" t="n"/>
      <c r="AD62" s="12237" t="n"/>
      <c r="AE62" s="8007" t="n"/>
      <c r="AF62" s="8007" t="n"/>
      <c r="AG62" s="8007" t="n"/>
      <c r="AH62" s="8007" t="n"/>
      <c r="AI62" s="8008" t="n"/>
      <c r="AJ62" s="8967" t="n"/>
      <c r="AL62" s="408" t="n"/>
      <c r="AM62" s="11602" t="n"/>
      <c r="AN62" s="11602" t="n"/>
      <c r="AO62" s="11602" t="n"/>
      <c r="AP62" s="1277" t="n"/>
      <c r="AQ62" s="1277" t="n"/>
      <c r="AR62" s="1277" t="n"/>
      <c r="AS62" s="1277" t="n"/>
      <c r="AT62" s="1277" t="n"/>
      <c r="AU62" s="1277" t="n"/>
      <c r="AV62" s="11602" t="n"/>
      <c r="AW62" s="11602" t="n"/>
      <c r="AX62" s="769" t="n"/>
      <c r="AY62" s="964" t="n"/>
      <c r="AZ62" s="964" t="n"/>
      <c r="BA62" s="964" t="n"/>
      <c r="BB62" s="964" t="n"/>
      <c r="BC62" s="964" t="n"/>
      <c r="BD62" s="964" t="n"/>
      <c r="BE62" s="964" t="n"/>
      <c r="BF62" s="964" t="n"/>
      <c r="BG62" s="964" t="n"/>
      <c r="BH62" s="964" t="n"/>
    </row>
    <row r="63" ht="13.5" customHeight="1" s="7635">
      <c r="A63" s="2112" t="n"/>
      <c r="B63" s="9024" t="n">
        <v>6</v>
      </c>
      <c r="D63" s="7299" t="inlineStr">
        <is>
          <t>Add lines 2, 3g, 4a, 4b, and 5</t>
        </is>
      </c>
      <c r="E63" s="11602" t="n"/>
      <c r="F63" s="11602" t="n"/>
      <c r="G63" s="11602" t="n"/>
      <c r="H63" s="11602" t="n"/>
      <c r="I63" s="11602" t="n"/>
      <c r="J63" s="11602" t="n"/>
      <c r="K63" s="11602" t="n"/>
      <c r="L63" s="11602" t="n"/>
      <c r="M63" s="11602" t="n"/>
      <c r="N63" s="11602" t="n"/>
      <c r="O63" s="1401" t="inlineStr">
        <is>
          <t xml:space="preserve">.   .   .   .   .   .   .  </t>
        </is>
      </c>
      <c r="P63" s="12241">
        <f>SUM(P47,P57,P60,P61,P62)</f>
        <v/>
      </c>
      <c r="Q63" s="8412" t="n"/>
      <c r="R63" s="8412" t="n"/>
      <c r="S63" s="8412" t="n"/>
      <c r="T63" s="8412" t="n"/>
      <c r="U63" s="8412" t="n"/>
      <c r="V63" s="11734" t="n"/>
      <c r="W63" s="12241">
        <f>SUM(W47,W57,W60,W61,W62)</f>
        <v/>
      </c>
      <c r="X63" s="8412" t="n"/>
      <c r="Y63" s="8412" t="n"/>
      <c r="Z63" s="8412" t="n"/>
      <c r="AA63" s="8412" t="n"/>
      <c r="AB63" s="8412" t="n"/>
      <c r="AC63" s="11734" t="n"/>
      <c r="AD63" s="12241">
        <f>SUM(AD47,AD57,AD60,AD61,AD62)</f>
        <v/>
      </c>
      <c r="AE63" s="8412" t="n"/>
      <c r="AF63" s="8412" t="n"/>
      <c r="AG63" s="8412" t="n"/>
      <c r="AH63" s="8412" t="n"/>
      <c r="AI63" s="11734" t="n"/>
      <c r="AJ63" s="12236" t="n">
        <v>6</v>
      </c>
      <c r="AK63" s="7638" t="n"/>
      <c r="AL63" s="9216">
        <f>IF(AQ63&lt;&gt;"",ROUND(AQ63,0),IF(AO22=0,"",ROUND(SUM(P63,W63,AD63),0)))</f>
        <v/>
      </c>
      <c r="AM63" s="7637" t="n"/>
      <c r="AN63" s="7637" t="n"/>
      <c r="AO63" s="7637" t="n"/>
      <c r="AP63" s="1277" t="n"/>
      <c r="AQ63" s="8957" t="n"/>
      <c r="AR63" s="11717" t="n"/>
      <c r="AS63" s="11717" t="n"/>
      <c r="AT63" s="11717" t="n"/>
      <c r="AU63" s="1277" t="n"/>
      <c r="AV63" s="11602" t="n"/>
      <c r="AW63" s="11602" t="n"/>
      <c r="AX63" s="769" t="n"/>
      <c r="AY63" s="964" t="n"/>
      <c r="AZ63" s="964" t="n"/>
      <c r="BA63" s="964" t="n"/>
      <c r="BB63" s="964" t="n"/>
      <c r="BC63" s="964" t="n"/>
      <c r="BD63" s="964" t="n"/>
      <c r="BE63" s="964" t="n"/>
      <c r="BF63" s="964" t="n"/>
      <c r="BG63" s="964" t="n"/>
      <c r="BH63" s="964" t="n"/>
    </row>
    <row r="64" ht="16.5" customHeight="1" s="7635" thickBot="1">
      <c r="A64" s="2112" t="n"/>
      <c r="B64" s="9158" t="n">
        <v>7</v>
      </c>
      <c r="C64" s="7839" t="n"/>
      <c r="D64" s="2003" t="inlineStr">
        <is>
          <t>Subtract line 6 from line 1a. Enter the result here and on line 15, page 2</t>
        </is>
      </c>
      <c r="E64" s="406" t="n"/>
      <c r="F64" s="406" t="n"/>
      <c r="G64" s="406" t="n"/>
      <c r="H64" s="406" t="n"/>
      <c r="I64" s="406" t="n"/>
      <c r="J64" s="406" t="n"/>
      <c r="K64" s="406" t="n"/>
      <c r="L64" s="406" t="n"/>
      <c r="M64" s="406" t="n"/>
      <c r="N64" s="406" t="n"/>
      <c r="O64" s="406" t="n"/>
      <c r="P64" s="406" t="n"/>
      <c r="Q64" s="406" t="n"/>
      <c r="R64" s="406" t="n"/>
      <c r="S64" s="406" t="n"/>
      <c r="T64" s="406" t="n"/>
      <c r="U64" s="406" t="n"/>
      <c r="V64" s="406" t="n"/>
      <c r="W64" s="406" t="n"/>
      <c r="X64" s="406" t="n"/>
      <c r="Y64" s="406" t="n"/>
      <c r="Z64" s="406" t="n"/>
      <c r="AA64" s="406" t="n"/>
      <c r="AB64" s="406" t="n"/>
      <c r="AC64" s="406" t="n"/>
      <c r="AD64" s="406" t="n"/>
      <c r="AE64" s="406" t="n"/>
      <c r="AF64" s="406" t="n"/>
      <c r="AG64" s="406" t="n"/>
      <c r="AH64" s="406" t="n"/>
      <c r="AI64" s="1401" t="inlineStr">
        <is>
          <t xml:space="preserve">.   .   .   .   .   .   .   .   .   .   .   .  </t>
        </is>
      </c>
      <c r="AJ64" s="12242" t="n">
        <v>7</v>
      </c>
      <c r="AK64" s="10091" t="n"/>
      <c r="AL64" s="9218">
        <f>IF(AQ64&lt;&gt;"",ROUND(AQ64,0),IF(AO22=0,"",ROUND(SUM(AL38,-AL63),0)))</f>
        <v/>
      </c>
      <c r="AP64" s="1277" t="n"/>
      <c r="AQ64" s="8957" t="n"/>
      <c r="AR64" s="11717" t="n"/>
      <c r="AS64" s="11717" t="n"/>
      <c r="AT64" s="11717" t="n"/>
      <c r="AU64" s="1277" t="n"/>
      <c r="AV64" s="11602" t="n"/>
      <c r="AW64" s="11602" t="n"/>
      <c r="AX64" s="769" t="n"/>
      <c r="AY64" s="964" t="n"/>
      <c r="AZ64" s="964" t="n"/>
      <c r="BA64" s="964" t="n"/>
      <c r="BB64" s="964" t="n"/>
      <c r="BC64" s="964" t="n"/>
      <c r="BD64" s="964" t="n"/>
      <c r="BE64" s="964" t="n"/>
      <c r="BF64" s="964" t="n"/>
      <c r="BG64" s="964" t="n"/>
      <c r="BH64" s="964" t="n"/>
    </row>
    <row r="65" ht="17.25" customFormat="1" customHeight="1" s="1405">
      <c r="A65" s="4157" t="n"/>
      <c r="B65" s="9161" t="inlineStr">
        <is>
          <t>Part II</t>
        </is>
      </c>
      <c r="C65" s="12097" t="n"/>
      <c r="D65" s="12097" t="n"/>
      <c r="E65" s="9214" t="inlineStr">
        <is>
          <t>Foreign Taxes Paid or Accrued  (see instructions)</t>
        </is>
      </c>
      <c r="F65" s="12097" t="n"/>
      <c r="G65" s="12097" t="n"/>
      <c r="H65" s="12097" t="n"/>
      <c r="I65" s="12097" t="n"/>
      <c r="J65" s="12097" t="n"/>
      <c r="K65" s="12097" t="n"/>
      <c r="L65" s="12097" t="n"/>
      <c r="M65" s="12097" t="n"/>
      <c r="N65" s="12097" t="n"/>
      <c r="O65" s="12097" t="n"/>
      <c r="P65" s="12097" t="n"/>
      <c r="Q65" s="12097" t="n"/>
      <c r="R65" s="12097" t="n"/>
      <c r="S65" s="12097" t="n"/>
      <c r="T65" s="12097" t="n"/>
      <c r="U65" s="12097" t="n"/>
      <c r="V65" s="12097" t="n"/>
      <c r="W65" s="12097" t="n"/>
      <c r="X65" s="12097" t="n"/>
      <c r="Y65" s="12097" t="n"/>
      <c r="Z65" s="12097" t="n"/>
      <c r="AA65" s="12097" t="n"/>
      <c r="AB65" s="12097" t="n"/>
      <c r="AC65" s="12097" t="n"/>
      <c r="AD65" s="12097" t="n"/>
      <c r="AE65" s="12097" t="n"/>
      <c r="AF65" s="12097" t="n"/>
      <c r="AG65" s="12097" t="n"/>
      <c r="AH65" s="12097" t="n"/>
      <c r="AI65" s="12097" t="n"/>
      <c r="AJ65" s="12097" t="n"/>
      <c r="AK65" s="12097" t="n"/>
      <c r="AL65" s="12097" t="n"/>
      <c r="AM65" s="12097" t="n"/>
      <c r="AN65" s="12097" t="n"/>
      <c r="AO65" s="12097" t="n"/>
      <c r="AP65" s="1277" t="n"/>
      <c r="AQ65" s="1277" t="n"/>
      <c r="AR65" s="1277" t="n"/>
      <c r="AS65" s="1277" t="n"/>
      <c r="AT65" s="1277" t="n"/>
      <c r="AU65" s="1277" t="n"/>
      <c r="AV65" s="7772" t="n"/>
      <c r="AW65" s="7772" t="n"/>
      <c r="AX65" s="769" t="n"/>
      <c r="AY65" s="964" t="n"/>
      <c r="AZ65" s="964" t="n"/>
      <c r="BA65" s="964" t="n"/>
      <c r="BB65" s="964" t="n"/>
      <c r="BC65" s="964" t="n"/>
      <c r="BD65" s="964" t="n"/>
      <c r="BE65" s="964" t="n"/>
      <c r="BF65" s="964" t="n"/>
      <c r="BG65" s="964" t="n"/>
      <c r="BH65" s="964" t="n"/>
    </row>
    <row r="66" ht="10.5" customFormat="1" customHeight="1" s="1405">
      <c r="A66" s="4157" t="n"/>
      <c r="B66" s="12243" t="inlineStr">
        <is>
          <t>Country</t>
        </is>
      </c>
      <c r="C66" s="12244" t="inlineStr">
        <is>
          <t>Credit is claimed 
for taxes 
(you must check one)</t>
        </is>
      </c>
      <c r="D66" s="7839" t="n"/>
      <c r="E66" s="7839" t="n"/>
      <c r="F66" s="7839" t="n"/>
      <c r="G66" s="10091" t="n"/>
      <c r="H66" s="12245" t="inlineStr">
        <is>
          <t>Foreign taxes paid or accrued</t>
        </is>
      </c>
      <c r="I66" s="7839" t="n"/>
      <c r="J66" s="7839" t="n"/>
      <c r="K66" s="7839" t="n"/>
      <c r="L66" s="7839" t="n"/>
      <c r="M66" s="7839" t="n"/>
      <c r="N66" s="7839" t="n"/>
      <c r="O66" s="7839" t="n"/>
      <c r="P66" s="7839" t="n"/>
      <c r="Q66" s="7839" t="n"/>
      <c r="R66" s="7839" t="n"/>
      <c r="S66" s="7839" t="n"/>
      <c r="T66" s="7839" t="n"/>
      <c r="U66" s="7839" t="n"/>
      <c r="V66" s="7839" t="n"/>
      <c r="W66" s="7839" t="n"/>
      <c r="X66" s="7839" t="n"/>
      <c r="Y66" s="7839" t="n"/>
      <c r="Z66" s="7839" t="n"/>
      <c r="AA66" s="7839" t="n"/>
      <c r="AB66" s="7839" t="n"/>
      <c r="AC66" s="7839" t="n"/>
      <c r="AD66" s="7839" t="n"/>
      <c r="AE66" s="7839" t="n"/>
      <c r="AF66" s="7839" t="n"/>
      <c r="AG66" s="7839" t="n"/>
      <c r="AH66" s="7839" t="n"/>
      <c r="AI66" s="7839" t="n"/>
      <c r="AJ66" s="7839" t="n"/>
      <c r="AK66" s="7839" t="n"/>
      <c r="AL66" s="7839" t="n"/>
      <c r="AM66" s="7839" t="n"/>
      <c r="AN66" s="7839" t="n"/>
      <c r="AO66" s="7839" t="n"/>
      <c r="AP66" s="1277" t="n"/>
      <c r="AQ66" s="7772" t="n"/>
      <c r="AR66" s="7772" t="n"/>
      <c r="AS66" s="7772" t="n"/>
      <c r="AT66" s="7772" t="n"/>
      <c r="AU66" s="7772" t="n"/>
      <c r="AV66" s="7772" t="n"/>
      <c r="AW66" s="7772" t="n"/>
      <c r="AX66" s="769" t="n"/>
      <c r="AY66" s="964" t="n"/>
      <c r="AZ66" s="964" t="n"/>
      <c r="BA66" s="964" t="n"/>
      <c r="BB66" s="964" t="n"/>
      <c r="BC66" s="964" t="n"/>
      <c r="BD66" s="964" t="n"/>
      <c r="BE66" s="964" t="n"/>
      <c r="BF66" s="964" t="n"/>
      <c r="BG66" s="964" t="n"/>
      <c r="BH66" s="964" t="n"/>
    </row>
    <row r="67" ht="10.5" customFormat="1" customHeight="1" s="1405">
      <c r="A67" s="4157" t="n"/>
      <c r="B67" s="7636" t="n"/>
      <c r="C67" s="4772" t="n"/>
      <c r="G67" s="7636" t="n"/>
      <c r="H67" s="4772" t="n"/>
      <c r="AP67" s="1277" t="n"/>
      <c r="AQ67" s="7772" t="n"/>
      <c r="AR67" s="7772" t="n"/>
      <c r="AS67" s="7772" t="n"/>
      <c r="AT67" s="7772" t="n"/>
      <c r="AU67" s="7772" t="n"/>
      <c r="AV67" s="7772" t="n"/>
      <c r="AW67" s="7772" t="n"/>
      <c r="AX67" s="769" t="n"/>
      <c r="AY67" s="964" t="n"/>
      <c r="AZ67" s="964" t="n"/>
      <c r="BA67" s="964" t="n"/>
      <c r="BB67" s="964" t="n"/>
      <c r="BC67" s="964" t="n"/>
      <c r="BD67" s="964" t="n"/>
      <c r="BE67" s="964" t="n"/>
      <c r="BF67" s="964" t="n"/>
      <c r="BG67" s="964" t="n"/>
      <c r="BH67" s="964" t="n"/>
    </row>
    <row r="68" ht="12.75" customFormat="1" customHeight="1" s="1405">
      <c r="A68" s="4157" t="n"/>
      <c r="B68" s="7636" t="n"/>
      <c r="C68" s="4772" t="n"/>
      <c r="G68" s="7636" t="n"/>
      <c r="H68" s="3614" t="n"/>
      <c r="I68" s="7637" t="n"/>
      <c r="J68" s="7637" t="n"/>
      <c r="K68" s="7637" t="n"/>
      <c r="L68" s="7637" t="n"/>
      <c r="M68" s="7637" t="n"/>
      <c r="N68" s="7637" t="n"/>
      <c r="O68" s="7637" t="n"/>
      <c r="P68" s="7637" t="n"/>
      <c r="Q68" s="7637" t="n"/>
      <c r="R68" s="7637" t="n"/>
      <c r="S68" s="7637" t="n"/>
      <c r="T68" s="7637" t="n"/>
      <c r="U68" s="7637" t="n"/>
      <c r="V68" s="7637" t="n"/>
      <c r="W68" s="7637" t="n"/>
      <c r="X68" s="7637" t="n"/>
      <c r="Y68" s="7637" t="n"/>
      <c r="Z68" s="7637" t="n"/>
      <c r="AA68" s="7637" t="n"/>
      <c r="AB68" s="7637" t="n"/>
      <c r="AC68" s="7637" t="n"/>
      <c r="AD68" s="7637" t="n"/>
      <c r="AE68" s="7637" t="n"/>
      <c r="AF68" s="7637" t="n"/>
      <c r="AG68" s="7637" t="n"/>
      <c r="AH68" s="7637" t="n"/>
      <c r="AI68" s="7637" t="n"/>
      <c r="AJ68" s="7637" t="n"/>
      <c r="AK68" s="7637" t="n"/>
      <c r="AL68" s="7637" t="n"/>
      <c r="AM68" s="7637" t="n"/>
      <c r="AN68" s="7637" t="n"/>
      <c r="AO68" s="7637" t="n"/>
      <c r="AP68" s="1277" t="n"/>
      <c r="AQ68" s="7772" t="n"/>
      <c r="AR68" s="7772" t="n"/>
      <c r="AS68" s="7772" t="n"/>
      <c r="AT68" s="7772" t="n"/>
      <c r="AU68" s="7772" t="n"/>
      <c r="AV68" s="7772" t="n"/>
      <c r="AW68" s="7772" t="n"/>
      <c r="AX68" s="769" t="n"/>
      <c r="AY68" s="964" t="n"/>
      <c r="AZ68" s="964" t="n"/>
      <c r="BA68" s="964" t="n"/>
      <c r="BB68" s="964" t="n"/>
      <c r="BC68" s="964" t="n"/>
      <c r="BD68" s="964" t="n"/>
      <c r="BE68" s="964" t="n"/>
      <c r="BF68" s="964" t="n"/>
      <c r="BG68" s="964" t="n"/>
      <c r="BH68" s="964" t="n"/>
    </row>
    <row r="69" ht="10.5" customFormat="1" customHeight="1" s="1405">
      <c r="A69" s="4157" t="n"/>
      <c r="B69" s="7636" t="n"/>
      <c r="C69" s="4170">
        <f>IF(E69&lt;&gt;"",1,0)</f>
        <v/>
      </c>
      <c r="D69" s="7914" t="inlineStr">
        <is>
          <t>(j)</t>
        </is>
      </c>
      <c r="E69" s="278" t="n"/>
      <c r="F69" s="7209" t="inlineStr">
        <is>
          <t xml:space="preserve"> Paid</t>
        </is>
      </c>
      <c r="G69" s="4171" t="n"/>
      <c r="H69" s="12126" t="inlineStr">
        <is>
          <t>In foreign currency</t>
        </is>
      </c>
      <c r="I69" s="7839" t="n"/>
      <c r="J69" s="7839" t="n"/>
      <c r="K69" s="7839" t="n"/>
      <c r="L69" s="7839" t="n"/>
      <c r="M69" s="7839" t="n"/>
      <c r="N69" s="7839" t="n"/>
      <c r="O69" s="7839" t="n"/>
      <c r="P69" s="7839" t="n"/>
      <c r="Q69" s="7839" t="n"/>
      <c r="R69" s="7839" t="n"/>
      <c r="S69" s="7839" t="n"/>
      <c r="T69" s="7839" t="n"/>
      <c r="U69" s="7839" t="n"/>
      <c r="V69" s="7839" t="n"/>
      <c r="W69" s="10091" t="n"/>
      <c r="X69" s="10176" t="inlineStr">
        <is>
          <t>In U.S. dollars</t>
        </is>
      </c>
      <c r="Y69" s="7839" t="n"/>
      <c r="Z69" s="7839" t="n"/>
      <c r="AA69" s="7839" t="n"/>
      <c r="AB69" s="7839" t="n"/>
      <c r="AC69" s="7839" t="n"/>
      <c r="AD69" s="7839" t="n"/>
      <c r="AE69" s="7839" t="n"/>
      <c r="AF69" s="7839" t="n"/>
      <c r="AG69" s="7839" t="n"/>
      <c r="AH69" s="7839" t="n"/>
      <c r="AI69" s="7839" t="n"/>
      <c r="AJ69" s="7839" t="n"/>
      <c r="AK69" s="7839" t="n"/>
      <c r="AL69" s="7839" t="n"/>
      <c r="AM69" s="7839" t="n"/>
      <c r="AN69" s="7839" t="n"/>
      <c r="AO69" s="7839" t="n"/>
      <c r="AP69" s="1277" t="n"/>
      <c r="AQ69" s="9233" t="n"/>
      <c r="AR69" s="4173" t="n"/>
      <c r="AS69" s="4173" t="n"/>
      <c r="AT69" s="4173" t="n"/>
      <c r="AU69" s="4173" t="n"/>
      <c r="AV69" s="4173" t="n"/>
      <c r="AW69" s="4173" t="n"/>
      <c r="AX69" s="769" t="n"/>
      <c r="AY69" s="964" t="n"/>
      <c r="AZ69" s="964" t="n"/>
      <c r="BA69" s="964" t="n"/>
      <c r="BB69" s="964" t="n"/>
      <c r="BC69" s="964" t="n"/>
      <c r="BD69" s="964" t="n"/>
      <c r="BE69" s="964" t="n"/>
      <c r="BF69" s="964" t="n"/>
      <c r="BG69" s="964" t="n"/>
      <c r="BH69" s="964" t="n"/>
    </row>
    <row r="70" ht="6.75" customHeight="1" s="7635">
      <c r="A70" s="2112" t="n"/>
      <c r="B70" s="7636" t="n"/>
      <c r="C70" s="4174" t="n"/>
      <c r="D70" s="344" t="n"/>
      <c r="E70" s="11602" t="n"/>
      <c r="F70" s="11602" t="n"/>
      <c r="G70" s="409" t="n"/>
      <c r="H70" s="3614" t="n"/>
      <c r="I70" s="7637" t="n"/>
      <c r="J70" s="7637" t="n"/>
      <c r="K70" s="7637" t="n"/>
      <c r="L70" s="7637" t="n"/>
      <c r="M70" s="7637" t="n"/>
      <c r="N70" s="7637" t="n"/>
      <c r="O70" s="7637" t="n"/>
      <c r="P70" s="7637" t="n"/>
      <c r="Q70" s="7637" t="n"/>
      <c r="R70" s="7637" t="n"/>
      <c r="S70" s="7637" t="n"/>
      <c r="T70" s="7637" t="n"/>
      <c r="U70" s="7637" t="n"/>
      <c r="V70" s="7637" t="n"/>
      <c r="W70" s="7638" t="n"/>
      <c r="X70" s="3614" t="n"/>
      <c r="Y70" s="7637" t="n"/>
      <c r="Z70" s="7637" t="n"/>
      <c r="AA70" s="7637" t="n"/>
      <c r="AB70" s="7637" t="n"/>
      <c r="AC70" s="7637" t="n"/>
      <c r="AD70" s="7637" t="n"/>
      <c r="AE70" s="7637" t="n"/>
      <c r="AF70" s="7637" t="n"/>
      <c r="AG70" s="7637" t="n"/>
      <c r="AH70" s="7637" t="n"/>
      <c r="AI70" s="7637" t="n"/>
      <c r="AJ70" s="7637" t="n"/>
      <c r="AK70" s="7637" t="n"/>
      <c r="AL70" s="7637" t="n"/>
      <c r="AM70" s="7637" t="n"/>
      <c r="AN70" s="7637" t="n"/>
      <c r="AO70" s="7637" t="n"/>
      <c r="AP70" s="1277" t="n"/>
      <c r="AR70" s="9233" t="n"/>
      <c r="AS70" s="9233" t="n"/>
      <c r="AT70" s="9233" t="n"/>
      <c r="AU70" s="9233" t="n"/>
      <c r="AV70" s="9233" t="n"/>
      <c r="AW70" s="9233" t="n"/>
      <c r="AX70" s="769" t="n"/>
      <c r="AY70" s="964" t="n"/>
      <c r="AZ70" s="964" t="n"/>
      <c r="BA70" s="964" t="n"/>
      <c r="BB70" s="964" t="n"/>
      <c r="BC70" s="964" t="n"/>
      <c r="BD70" s="964" t="n"/>
      <c r="BE70" s="964" t="n"/>
      <c r="BF70" s="964" t="n"/>
      <c r="BG70" s="964" t="n"/>
      <c r="BH70" s="964" t="n"/>
    </row>
    <row r="71" ht="10.5" customHeight="1" s="7635">
      <c r="A71" s="2112" t="n"/>
      <c r="B71" s="7636" t="n"/>
      <c r="C71" s="4170">
        <f>IF(E71&lt;&gt;"",1,0)</f>
        <v/>
      </c>
      <c r="D71" s="733" t="inlineStr">
        <is>
          <t>(k)</t>
        </is>
      </c>
      <c r="E71" s="278" t="n"/>
      <c r="F71" s="7209" t="inlineStr">
        <is>
          <t>Accrued</t>
        </is>
      </c>
      <c r="G71" s="4175" t="n"/>
      <c r="H71" s="12122" t="inlineStr">
        <is>
          <t>Taxes withheld at source on:</t>
        </is>
      </c>
      <c r="I71" s="7839" t="n"/>
      <c r="J71" s="7839" t="n"/>
      <c r="K71" s="7839" t="n"/>
      <c r="L71" s="7839" t="n"/>
      <c r="M71" s="7839" t="n"/>
      <c r="N71" s="7839" t="n"/>
      <c r="O71" s="7839" t="n"/>
      <c r="P71" s="7839" t="n"/>
      <c r="Q71" s="7839" t="n"/>
      <c r="R71" s="7839" t="n"/>
      <c r="S71" s="10091" t="n"/>
      <c r="T71" s="12122" t="inlineStr">
        <is>
          <t>(p) Other
foreign taxes
paid or
accrued</t>
        </is>
      </c>
      <c r="U71" s="7839" t="n"/>
      <c r="V71" s="7839" t="n"/>
      <c r="W71" s="10091" t="n"/>
      <c r="X71" s="12122" t="inlineStr">
        <is>
          <t>Taxes withheld at source on:</t>
        </is>
      </c>
      <c r="Y71" s="7839" t="n"/>
      <c r="Z71" s="7839" t="n"/>
      <c r="AA71" s="7839" t="n"/>
      <c r="AB71" s="7839" t="n"/>
      <c r="AC71" s="7839" t="n"/>
      <c r="AD71" s="7839" t="n"/>
      <c r="AE71" s="7839" t="n"/>
      <c r="AF71" s="7839" t="n"/>
      <c r="AG71" s="7839" t="n"/>
      <c r="AH71" s="10091" t="n"/>
      <c r="AI71" s="12122" t="inlineStr">
        <is>
          <t>(t) Other
foreign taxes
paid or
accrued</t>
        </is>
      </c>
      <c r="AJ71" s="7839" t="n"/>
      <c r="AK71" s="7839" t="n"/>
      <c r="AL71" s="10091" t="n"/>
      <c r="AM71" s="9854" t="inlineStr">
        <is>
          <t>(u) Total foreign
taxes paid or
accrued (add cols.
(q) through (t))</t>
        </is>
      </c>
      <c r="AN71" s="7839" t="n"/>
      <c r="AO71" s="7839" t="n"/>
      <c r="AP71" s="1277" t="n"/>
      <c r="AQ71" s="9233" t="n"/>
      <c r="AX71" s="769" t="n"/>
      <c r="AY71" s="964" t="n"/>
      <c r="AZ71" s="964" t="n"/>
      <c r="BA71" s="964" t="n"/>
      <c r="BB71" s="964" t="n"/>
      <c r="BC71" s="964" t="n"/>
      <c r="BD71" s="964" t="n"/>
      <c r="BE71" s="964" t="n"/>
      <c r="BF71" s="964" t="n"/>
      <c r="BG71" s="964" t="n"/>
      <c r="BH71" s="964" t="n"/>
    </row>
    <row r="72" ht="7.5" customHeight="1" s="7635">
      <c r="A72" s="2112" t="n"/>
      <c r="B72" s="7638" t="n"/>
      <c r="C72" s="4176" t="n"/>
      <c r="D72" s="2271" t="n"/>
      <c r="E72" s="2271" t="n"/>
      <c r="F72" s="2271" t="n"/>
      <c r="G72" s="4177" t="n"/>
      <c r="H72" s="3614" t="n"/>
      <c r="I72" s="7637" t="n"/>
      <c r="J72" s="7637" t="n"/>
      <c r="K72" s="7637" t="n"/>
      <c r="L72" s="7637" t="n"/>
      <c r="M72" s="7637" t="n"/>
      <c r="N72" s="7637" t="n"/>
      <c r="O72" s="7637" t="n"/>
      <c r="P72" s="7637" t="n"/>
      <c r="Q72" s="7637" t="n"/>
      <c r="R72" s="7637" t="n"/>
      <c r="S72" s="7638" t="n"/>
      <c r="T72" s="4772" t="n"/>
      <c r="W72" s="7636" t="n"/>
      <c r="X72" s="3614" t="n"/>
      <c r="Y72" s="7637" t="n"/>
      <c r="Z72" s="7637" t="n"/>
      <c r="AA72" s="7637" t="n"/>
      <c r="AB72" s="7637" t="n"/>
      <c r="AC72" s="7637" t="n"/>
      <c r="AD72" s="7637" t="n"/>
      <c r="AE72" s="7637" t="n"/>
      <c r="AF72" s="7637" t="n"/>
      <c r="AG72" s="7637" t="n"/>
      <c r="AH72" s="7638" t="n"/>
      <c r="AI72" s="4772" t="n"/>
      <c r="AL72" s="7636" t="n"/>
      <c r="AM72" s="4772" t="n"/>
      <c r="AP72" s="1277" t="n"/>
      <c r="AQ72" s="11602" t="n"/>
      <c r="AR72" s="11602" t="n"/>
      <c r="AS72" s="11602" t="n"/>
      <c r="AT72" s="11602" t="n"/>
      <c r="AU72" s="11602" t="n"/>
      <c r="AV72" s="11602" t="n"/>
      <c r="AW72" s="11602" t="n"/>
      <c r="AX72" s="769" t="n"/>
      <c r="AY72" s="964" t="n"/>
      <c r="AZ72" s="964" t="n"/>
      <c r="BA72" s="964" t="n"/>
      <c r="BB72" s="964" t="n"/>
      <c r="BC72" s="964" t="n"/>
      <c r="BD72" s="964" t="n"/>
      <c r="BE72" s="964" t="n"/>
      <c r="BF72" s="964" t="n"/>
      <c r="BG72" s="964" t="n"/>
      <c r="BH72" s="964" t="n"/>
    </row>
    <row r="73" ht="7.5" customHeight="1" s="7635">
      <c r="A73" s="2112" t="n"/>
      <c r="B73" s="4178" t="n"/>
      <c r="C73" s="12246" t="inlineStr">
        <is>
          <t>(l) Date paid</t>
        </is>
      </c>
      <c r="D73" s="7839" t="n"/>
      <c r="E73" s="7839" t="n"/>
      <c r="F73" s="7839" t="n"/>
      <c r="G73" s="10091" t="n"/>
      <c r="H73" s="9854" t="inlineStr">
        <is>
          <t>(m)
Dividends</t>
        </is>
      </c>
      <c r="I73" s="7839" t="n"/>
      <c r="J73" s="7839" t="n"/>
      <c r="K73" s="9854" t="inlineStr">
        <is>
          <t>(n) Rents
and royalties</t>
        </is>
      </c>
      <c r="L73" s="7839" t="n"/>
      <c r="M73" s="7839" t="n"/>
      <c r="N73" s="7839" t="n"/>
      <c r="O73" s="8426" t="inlineStr">
        <is>
          <t>(o) Interest</t>
        </is>
      </c>
      <c r="P73" s="7839" t="n"/>
      <c r="Q73" s="7839" t="n"/>
      <c r="R73" s="7839" t="n"/>
      <c r="S73" s="10091" t="n"/>
      <c r="T73" s="4772" t="n"/>
      <c r="W73" s="7636" t="n"/>
      <c r="X73" s="9854" t="inlineStr">
        <is>
          <t>(q) Dividends</t>
        </is>
      </c>
      <c r="Y73" s="7839" t="n"/>
      <c r="Z73" s="7839" t="n"/>
      <c r="AA73" s="9854" t="inlineStr">
        <is>
          <t>(r) Rents
and royalties</t>
        </is>
      </c>
      <c r="AB73" s="7839" t="n"/>
      <c r="AC73" s="7839" t="n"/>
      <c r="AD73" s="7839" t="n"/>
      <c r="AE73" s="12122" t="inlineStr">
        <is>
          <t>(s) Interest</t>
        </is>
      </c>
      <c r="AF73" s="7839" t="n"/>
      <c r="AG73" s="7839" t="n"/>
      <c r="AH73" s="10091" t="n"/>
      <c r="AI73" s="4772" t="n"/>
      <c r="AL73" s="7636" t="n"/>
      <c r="AM73" s="4772" t="n"/>
      <c r="AP73" s="1277" t="n"/>
      <c r="AQ73" s="11602" t="n"/>
      <c r="AR73" s="11602" t="n"/>
      <c r="AS73" s="11602" t="n"/>
      <c r="AT73" s="11602" t="n"/>
      <c r="AU73" s="11602" t="n"/>
      <c r="AV73" s="11602" t="n"/>
      <c r="AW73" s="11602" t="n"/>
      <c r="AX73" s="769" t="n"/>
      <c r="AY73" s="964" t="n"/>
      <c r="AZ73" s="964" t="n"/>
      <c r="BA73" s="964" t="n"/>
      <c r="BB73" s="964" t="n"/>
      <c r="BC73" s="964" t="n"/>
      <c r="BD73" s="964" t="n"/>
      <c r="BE73" s="964" t="n"/>
      <c r="BF73" s="964" t="n"/>
      <c r="BG73" s="964" t="n"/>
      <c r="BH73" s="964" t="n"/>
    </row>
    <row r="74" ht="13.5" customHeight="1" s="7635">
      <c r="A74" s="2112" t="n"/>
      <c r="B74" s="4179">
        <f>IF(SUM(C69,C71)=1,TRUE,FALSE)</f>
        <v/>
      </c>
      <c r="C74" s="4772" t="n"/>
      <c r="G74" s="7636" t="n"/>
      <c r="H74" s="4772" t="n"/>
      <c r="K74" s="4772" t="n"/>
      <c r="O74" s="4772" t="n"/>
      <c r="S74" s="7636" t="n"/>
      <c r="T74" s="4772" t="n"/>
      <c r="W74" s="7636" t="n"/>
      <c r="X74" s="4772" t="n"/>
      <c r="AA74" s="4772" t="n"/>
      <c r="AE74" s="4772" t="n"/>
      <c r="AH74" s="7636" t="n"/>
      <c r="AI74" s="4772" t="n"/>
      <c r="AL74" s="7636" t="n"/>
      <c r="AM74" s="4772" t="n"/>
      <c r="AP74" s="1277" t="n"/>
      <c r="AQ74" s="11602" t="n"/>
      <c r="AR74" s="11602" t="n"/>
      <c r="AS74" s="11602" t="n"/>
      <c r="AT74" s="11602" t="n"/>
      <c r="AU74" s="11602" t="n"/>
      <c r="AV74" s="11602" t="n"/>
      <c r="AW74" s="11602" t="n"/>
      <c r="AX74" s="769" t="n"/>
      <c r="AY74" s="964" t="n"/>
      <c r="AZ74" s="964" t="n"/>
      <c r="BA74" s="964" t="n"/>
      <c r="BB74" s="964" t="n"/>
      <c r="BC74" s="964" t="n"/>
      <c r="BD74" s="964" t="n"/>
      <c r="BE74" s="964" t="n"/>
      <c r="BF74" s="964" t="n"/>
      <c r="BG74" s="964" t="n"/>
      <c r="BH74" s="964" t="n"/>
    </row>
    <row r="75" ht="13.5" customHeight="1" s="7635">
      <c r="A75" s="2112" t="n"/>
      <c r="B75" s="4178" t="n"/>
      <c r="C75" s="12247" t="inlineStr">
        <is>
          <t>or accrued</t>
        </is>
      </c>
      <c r="G75" s="7636" t="n"/>
      <c r="H75" s="4772" t="n"/>
      <c r="K75" s="4772" t="n"/>
      <c r="O75" s="4772" t="n"/>
      <c r="S75" s="7636" t="n"/>
      <c r="T75" s="4772" t="n"/>
      <c r="W75" s="7636" t="n"/>
      <c r="X75" s="4772" t="n"/>
      <c r="AA75" s="4772" t="n"/>
      <c r="AE75" s="4772" t="n"/>
      <c r="AH75" s="7636" t="n"/>
      <c r="AI75" s="4772" t="n"/>
      <c r="AL75" s="7636" t="n"/>
      <c r="AM75" s="4772" t="n"/>
      <c r="AP75" s="1277" t="n"/>
      <c r="AQ75" s="11602" t="n"/>
      <c r="AR75" s="11602" t="n"/>
      <c r="AS75" s="11602" t="n"/>
      <c r="AT75" s="11602" t="n"/>
      <c r="AU75" s="11602" t="n"/>
      <c r="AV75" s="11602" t="n"/>
      <c r="AW75" s="11602" t="n"/>
      <c r="AX75" s="769" t="n"/>
      <c r="AY75" s="964" t="n"/>
      <c r="AZ75" s="964" t="n"/>
      <c r="BA75" s="964" t="n"/>
      <c r="BB75" s="964" t="n"/>
      <c r="BC75" s="964" t="n"/>
      <c r="BD75" s="964" t="n"/>
      <c r="BE75" s="964" t="n"/>
      <c r="BF75" s="964" t="n"/>
      <c r="BG75" s="964" t="n"/>
      <c r="BH75" s="964" t="n"/>
    </row>
    <row r="76" ht="6.75" customHeight="1" s="7635">
      <c r="A76" s="2112" t="n"/>
      <c r="B76" s="4180" t="n"/>
      <c r="C76" s="4181" t="n"/>
      <c r="D76" s="462" t="n"/>
      <c r="E76" s="462" t="n"/>
      <c r="F76" s="462" t="n"/>
      <c r="G76" s="4182" t="n"/>
      <c r="H76" s="3614" t="n"/>
      <c r="I76" s="7637" t="n"/>
      <c r="J76" s="7637" t="n"/>
      <c r="K76" s="3614" t="n"/>
      <c r="L76" s="7637" t="n"/>
      <c r="M76" s="7637" t="n"/>
      <c r="N76" s="7637" t="n"/>
      <c r="O76" s="12248" t="n"/>
      <c r="P76" s="7637" t="n"/>
      <c r="Q76" s="7637" t="n"/>
      <c r="R76" s="7637" t="n"/>
      <c r="S76" s="7638" t="n"/>
      <c r="T76" s="3614" t="n"/>
      <c r="U76" s="7637" t="n"/>
      <c r="V76" s="7637" t="n"/>
      <c r="W76" s="7638" t="n"/>
      <c r="X76" s="3614" t="n"/>
      <c r="Y76" s="7637" t="n"/>
      <c r="Z76" s="7637" t="n"/>
      <c r="AA76" s="3614" t="n"/>
      <c r="AB76" s="7637" t="n"/>
      <c r="AC76" s="7637" t="n"/>
      <c r="AD76" s="7637" t="n"/>
      <c r="AE76" s="3614" t="n"/>
      <c r="AF76" s="7637" t="n"/>
      <c r="AG76" s="7637" t="n"/>
      <c r="AH76" s="7638" t="n"/>
      <c r="AI76" s="3614" t="n"/>
      <c r="AJ76" s="7637" t="n"/>
      <c r="AK76" s="7637" t="n"/>
      <c r="AL76" s="7638" t="n"/>
      <c r="AM76" s="3614" t="n"/>
      <c r="AN76" s="7637" t="n"/>
      <c r="AO76" s="7637" t="n"/>
      <c r="AP76" s="1277" t="n"/>
      <c r="AQ76" s="11602" t="n"/>
      <c r="AR76" s="11602" t="n"/>
      <c r="AS76" s="11602" t="n"/>
      <c r="AT76" s="11602" t="n"/>
      <c r="AU76" s="11602" t="n"/>
      <c r="AV76" s="11602" t="n"/>
      <c r="AW76" s="11602" t="n"/>
      <c r="AX76" s="769" t="n"/>
      <c r="AY76" s="964" t="n"/>
      <c r="AZ76" s="964" t="n"/>
      <c r="BA76" s="964" t="n"/>
      <c r="BB76" s="964" t="n"/>
      <c r="BC76" s="964" t="n"/>
      <c r="BD76" s="964" t="n"/>
      <c r="BE76" s="964" t="n"/>
      <c r="BF76" s="964" t="n"/>
      <c r="BG76" s="964" t="n"/>
      <c r="BH76" s="964" t="n"/>
    </row>
    <row r="77" ht="15" customHeight="1" s="7635">
      <c r="A77" s="4183">
        <f>SUM(X77:AL77)</f>
        <v/>
      </c>
      <c r="B77" s="4184" t="inlineStr">
        <is>
          <t>A</t>
        </is>
      </c>
      <c r="C77" s="9210" t="n"/>
      <c r="D77" s="8007" t="n"/>
      <c r="E77" s="8007" t="n"/>
      <c r="F77" s="8007" t="n"/>
      <c r="G77" s="8007" t="n"/>
      <c r="H77" s="12249" t="n"/>
      <c r="I77" s="8007" t="n"/>
      <c r="J77" s="8008" t="n"/>
      <c r="K77" s="8985" t="n"/>
      <c r="L77" s="8007" t="n"/>
      <c r="M77" s="8007" t="n"/>
      <c r="N77" s="8007" t="n"/>
      <c r="O77" s="12249" t="n"/>
      <c r="P77" s="8007" t="n"/>
      <c r="Q77" s="8007" t="n"/>
      <c r="R77" s="8007" t="n"/>
      <c r="S77" s="8008" t="n"/>
      <c r="T77" s="12249" t="n"/>
      <c r="U77" s="8007" t="n"/>
      <c r="V77" s="8007" t="n"/>
      <c r="W77" s="8008" t="n"/>
      <c r="X77" s="12249" t="n"/>
      <c r="Y77" s="8007" t="n"/>
      <c r="Z77" s="8008" t="n"/>
      <c r="AA77" s="8986" t="n"/>
      <c r="AB77" s="8007" t="n"/>
      <c r="AC77" s="8007" t="n"/>
      <c r="AD77" s="8008" t="n"/>
      <c r="AE77" s="12249" t="n"/>
      <c r="AF77" s="8007" t="n"/>
      <c r="AG77" s="8007" t="n"/>
      <c r="AH77" s="8008" t="n"/>
      <c r="AI77" s="12249" t="n"/>
      <c r="AJ77" s="8007" t="n"/>
      <c r="AK77" s="8007" t="n"/>
      <c r="AL77" s="8008" t="n"/>
      <c r="AM77" s="8987">
        <f>ROUND(SUM(X77:AL77),0)</f>
        <v/>
      </c>
      <c r="AN77" s="8412" t="n"/>
      <c r="AO77" s="8412" t="n"/>
      <c r="AP77" s="1277" t="n"/>
      <c r="AQ77" s="4149">
        <f>IF(AND(ForeignTaxPaid&lt;&gt;"",ForeignTaxPaid&gt;0,X77="",AA77="",AE77="",AI77="",X78="",AA78="",AE78="",AI78="",X79="",AA79="",AE79="",AI79=""),"←  Enter foreign tax paid.","")</f>
        <v/>
      </c>
      <c r="AR77" s="11602" t="n"/>
      <c r="AS77" s="11602" t="n"/>
      <c r="AT77" s="11602" t="n"/>
      <c r="AU77" s="11602" t="n"/>
      <c r="AV77" s="11602" t="n"/>
      <c r="AW77" s="11602" t="n"/>
      <c r="AX77" s="769" t="n"/>
      <c r="AY77" s="964" t="n"/>
      <c r="AZ77" s="964" t="n"/>
      <c r="BA77" s="964" t="n"/>
      <c r="BB77" s="964" t="n"/>
      <c r="BC77" s="964" t="n"/>
      <c r="BD77" s="964" t="n"/>
      <c r="BE77" s="964" t="n"/>
      <c r="BF77" s="964" t="n"/>
      <c r="BG77" s="964" t="n"/>
      <c r="BH77" s="964" t="n"/>
    </row>
    <row r="78" ht="15" customHeight="1" s="7635">
      <c r="A78" s="4183">
        <f>SUM(X78:AL78)</f>
        <v/>
      </c>
      <c r="B78" s="4184" t="inlineStr">
        <is>
          <t>B</t>
        </is>
      </c>
      <c r="C78" s="9210" t="n"/>
      <c r="D78" s="8007" t="n"/>
      <c r="E78" s="8007" t="n"/>
      <c r="F78" s="8007" t="n"/>
      <c r="G78" s="8007" t="n"/>
      <c r="H78" s="12249" t="n"/>
      <c r="I78" s="8007" t="n"/>
      <c r="J78" s="8008" t="n"/>
      <c r="K78" s="8985" t="n"/>
      <c r="L78" s="8007" t="n"/>
      <c r="M78" s="8007" t="n"/>
      <c r="N78" s="8007" t="n"/>
      <c r="O78" s="12249" t="n"/>
      <c r="P78" s="8007" t="n"/>
      <c r="Q78" s="8007" t="n"/>
      <c r="R78" s="8007" t="n"/>
      <c r="S78" s="8008" t="n"/>
      <c r="T78" s="12249" t="n"/>
      <c r="U78" s="8007" t="n"/>
      <c r="V78" s="8007" t="n"/>
      <c r="W78" s="8008" t="n"/>
      <c r="X78" s="12249" t="n"/>
      <c r="Y78" s="8007" t="n"/>
      <c r="Z78" s="8008" t="n"/>
      <c r="AA78" s="8986" t="n"/>
      <c r="AB78" s="8007" t="n"/>
      <c r="AC78" s="8007" t="n"/>
      <c r="AD78" s="8008" t="n"/>
      <c r="AE78" s="12249" t="n"/>
      <c r="AF78" s="8007" t="n"/>
      <c r="AG78" s="8007" t="n"/>
      <c r="AH78" s="8008" t="n"/>
      <c r="AI78" s="12249" t="n"/>
      <c r="AJ78" s="8007" t="n"/>
      <c r="AK78" s="8007" t="n"/>
      <c r="AL78" s="8008" t="n"/>
      <c r="AM78" s="8987">
        <f>ROUND(SUM(X78:AL78),0)</f>
        <v/>
      </c>
      <c r="AN78" s="8412" t="n"/>
      <c r="AO78" s="8412" t="n"/>
      <c r="AP78" s="1277" t="n"/>
      <c r="AQ78" s="11602" t="n"/>
      <c r="AR78" s="11602" t="n"/>
      <c r="AS78" s="11602" t="n"/>
      <c r="AT78" s="11602" t="n"/>
      <c r="AU78" s="11602" t="n"/>
      <c r="AV78" s="11602" t="n"/>
      <c r="AW78" s="11602" t="n"/>
      <c r="AX78" s="769" t="n"/>
      <c r="AY78" s="964" t="n"/>
      <c r="AZ78" s="964" t="n"/>
      <c r="BA78" s="964" t="n"/>
      <c r="BB78" s="964" t="n"/>
      <c r="BC78" s="964" t="n"/>
      <c r="BD78" s="964" t="n"/>
      <c r="BE78" s="964" t="n"/>
      <c r="BF78" s="964" t="n"/>
      <c r="BG78" s="964" t="n"/>
      <c r="BH78" s="964" t="n"/>
    </row>
    <row r="79" ht="15" customHeight="1" s="7635">
      <c r="A79" s="4183">
        <f>SUM(X79:AL79)</f>
        <v/>
      </c>
      <c r="B79" s="4184" t="inlineStr">
        <is>
          <t>C</t>
        </is>
      </c>
      <c r="C79" s="9210" t="n"/>
      <c r="D79" s="8007" t="n"/>
      <c r="E79" s="8007" t="n"/>
      <c r="F79" s="8007" t="n"/>
      <c r="G79" s="8007" t="n"/>
      <c r="H79" s="12249" t="n"/>
      <c r="I79" s="8007" t="n"/>
      <c r="J79" s="8008" t="n"/>
      <c r="K79" s="8985" t="n"/>
      <c r="L79" s="8007" t="n"/>
      <c r="M79" s="8007" t="n"/>
      <c r="N79" s="8007" t="n"/>
      <c r="O79" s="12249" t="n"/>
      <c r="P79" s="8007" t="n"/>
      <c r="Q79" s="8007" t="n"/>
      <c r="R79" s="8007" t="n"/>
      <c r="S79" s="8008" t="n"/>
      <c r="T79" s="12249" t="n"/>
      <c r="U79" s="8007" t="n"/>
      <c r="V79" s="8007" t="n"/>
      <c r="W79" s="8008" t="n"/>
      <c r="X79" s="12249" t="n"/>
      <c r="Y79" s="8007" t="n"/>
      <c r="Z79" s="8008" t="n"/>
      <c r="AA79" s="8986" t="n"/>
      <c r="AB79" s="8007" t="n"/>
      <c r="AC79" s="8007" t="n"/>
      <c r="AD79" s="8008" t="n"/>
      <c r="AE79" s="12249" t="n"/>
      <c r="AF79" s="8007" t="n"/>
      <c r="AG79" s="8007" t="n"/>
      <c r="AH79" s="8008" t="n"/>
      <c r="AI79" s="12249" t="n"/>
      <c r="AJ79" s="8007" t="n"/>
      <c r="AK79" s="8007" t="n"/>
      <c r="AL79" s="8008" t="n"/>
      <c r="AM79" s="8987">
        <f>ROUND(SUM(X79:AL79),0)</f>
        <v/>
      </c>
      <c r="AN79" s="8412" t="n"/>
      <c r="AO79" s="8412" t="n"/>
      <c r="AP79" s="1277" t="n"/>
      <c r="AQ79" s="1277" t="n"/>
      <c r="AR79" s="1277" t="n"/>
      <c r="AS79" s="1277" t="n"/>
      <c r="AT79" s="1277" t="n"/>
      <c r="AU79" s="1277" t="n"/>
      <c r="AV79" s="11602" t="n"/>
      <c r="AW79" s="11602" t="n"/>
      <c r="AX79" s="769" t="n"/>
      <c r="AY79" s="964" t="n"/>
      <c r="AZ79" s="964" t="n"/>
      <c r="BA79" s="964" t="n"/>
      <c r="BB79" s="964" t="n"/>
      <c r="BC79" s="964" t="n"/>
      <c r="BD79" s="964" t="n"/>
      <c r="BE79" s="964" t="n"/>
      <c r="BF79" s="964" t="n"/>
      <c r="BG79" s="964" t="n"/>
      <c r="BH79" s="964" t="n"/>
    </row>
    <row r="80" ht="16.5" customHeight="1" s="7635">
      <c r="A80" s="4185">
        <f>SUM(A77:A79)&gt;0</f>
        <v/>
      </c>
      <c r="B80" s="9095" t="n">
        <v>8</v>
      </c>
      <c r="C80" s="8412" t="n"/>
      <c r="D80" s="4186" t="inlineStr">
        <is>
          <t>Add lines A through C, column (u). Enter the total here and on line 9, page 2</t>
        </is>
      </c>
      <c r="E80" s="773" t="n"/>
      <c r="F80" s="773" t="n"/>
      <c r="G80" s="773" t="n"/>
      <c r="H80" s="773" t="n"/>
      <c r="I80" s="773" t="n"/>
      <c r="J80" s="773" t="n"/>
      <c r="K80" s="773" t="n"/>
      <c r="L80" s="773" t="n"/>
      <c r="M80" s="773" t="n"/>
      <c r="N80" s="773" t="n"/>
      <c r="O80" s="773" t="n"/>
      <c r="P80" s="773" t="n"/>
      <c r="Q80" s="773" t="n"/>
      <c r="R80" s="773" t="n"/>
      <c r="S80" s="773" t="n"/>
      <c r="T80" s="773" t="n"/>
      <c r="U80" s="773" t="n"/>
      <c r="V80" s="773" t="n"/>
      <c r="W80" s="773" t="n"/>
      <c r="X80" s="773" t="n"/>
      <c r="Y80" s="773" t="n"/>
      <c r="Z80" s="773" t="n"/>
      <c r="AA80" s="773" t="n"/>
      <c r="AB80" s="773" t="n"/>
      <c r="AC80" s="773" t="n"/>
      <c r="AD80" s="773" t="n"/>
      <c r="AE80" s="773" t="n"/>
      <c r="AF80" s="773" t="n"/>
      <c r="AG80" s="773" t="n"/>
      <c r="AH80" s="773" t="n"/>
      <c r="AI80" s="773" t="n"/>
      <c r="AJ80" s="4187" t="inlineStr">
        <is>
          <t xml:space="preserve">.   .   .   .   .   .   .   .   .  </t>
        </is>
      </c>
      <c r="AK80" s="12110" t="n">
        <v>8</v>
      </c>
      <c r="AL80" s="11734" t="n"/>
      <c r="AM80" s="9220">
        <f>IF(AQ80&lt;&gt;"",ROUND(AQ80,0),ROUND(SUM(AM77:AM79),0))</f>
        <v/>
      </c>
      <c r="AN80" s="8412" t="n"/>
      <c r="AO80" s="8412" t="n"/>
      <c r="AP80" s="1277" t="n"/>
      <c r="AQ80" s="8959" t="n"/>
      <c r="AR80" s="11717" t="n"/>
      <c r="AS80" s="11717" t="n"/>
      <c r="AT80" s="11717" t="n"/>
      <c r="AU80" s="1277" t="n"/>
      <c r="AV80" s="11602" t="n"/>
      <c r="AW80" s="11602" t="n"/>
      <c r="AX80" s="769" t="n"/>
      <c r="AY80" s="964" t="n"/>
      <c r="AZ80" s="964" t="n"/>
      <c r="BA80" s="964" t="n"/>
      <c r="BB80" s="964" t="n"/>
      <c r="BC80" s="964" t="n"/>
      <c r="BD80" s="964" t="n"/>
      <c r="BE80" s="964" t="n"/>
      <c r="BF80" s="964" t="n"/>
      <c r="BG80" s="964" t="n"/>
      <c r="BH80" s="964" t="n"/>
    </row>
    <row r="81" ht="18" customHeight="1" s="7635">
      <c r="A81" s="2112" t="n"/>
      <c r="B81" s="1218" t="inlineStr">
        <is>
          <t>For Paperwork Reduction Act Notice, see instructions.</t>
        </is>
      </c>
      <c r="C81" s="2373" t="n"/>
      <c r="D81" s="11602" t="n"/>
      <c r="E81" s="11602" t="n"/>
      <c r="F81" s="11602" t="n"/>
      <c r="G81" s="11602" t="n"/>
      <c r="H81" s="11602" t="n"/>
      <c r="I81" s="11602" t="n"/>
      <c r="J81" s="11602" t="n"/>
      <c r="K81" s="11602" t="n"/>
      <c r="L81" s="11602" t="n"/>
      <c r="M81" s="11602" t="n"/>
      <c r="N81" s="11602" t="n"/>
      <c r="O81" s="11602" t="n"/>
      <c r="P81" s="11602" t="n"/>
      <c r="Q81" s="11602" t="n"/>
      <c r="R81" s="11602" t="n"/>
      <c r="S81" s="11602" t="n"/>
      <c r="T81" s="11602" t="n"/>
      <c r="U81" s="11602" t="n"/>
      <c r="V81" s="11602" t="n"/>
      <c r="W81" s="11602" t="n"/>
      <c r="X81" s="344" t="inlineStr">
        <is>
          <t>Cat. No. 11440U</t>
        </is>
      </c>
      <c r="Y81" s="11602" t="n"/>
      <c r="Z81" s="11602" t="n"/>
      <c r="AA81" s="11602" t="n"/>
      <c r="AB81" s="11602" t="n"/>
      <c r="AC81" s="11602" t="n"/>
      <c r="AD81" s="11602" t="n"/>
      <c r="AE81" s="11602" t="n"/>
      <c r="AF81" s="11602" t="n"/>
      <c r="AG81" s="11602" t="n"/>
      <c r="AH81" s="11602" t="n"/>
      <c r="AI81" s="11602" t="n"/>
      <c r="AJ81" s="11602" t="n"/>
      <c r="AK81" s="1061" t="inlineStr">
        <is>
          <t>Form 1116</t>
        </is>
      </c>
      <c r="AL81" s="11602" t="n"/>
      <c r="AM81" s="6996">
        <f>"("&amp;TaxYear&amp;")"</f>
        <v/>
      </c>
      <c r="AN81" s="1061" t="n"/>
      <c r="AO81" s="689" t="inlineStr">
        <is>
          <t xml:space="preserve">Created 9/16/25 </t>
        </is>
      </c>
      <c r="AP81" s="1277" t="n"/>
      <c r="AQ81" s="1277" t="n"/>
      <c r="AR81" s="1277" t="n"/>
      <c r="AS81" s="1277" t="n"/>
      <c r="AT81" s="1277" t="n"/>
      <c r="AU81" s="1277" t="n"/>
      <c r="AV81" s="11602" t="n"/>
      <c r="AW81" s="11602" t="n"/>
      <c r="AX81" s="769" t="n"/>
      <c r="AY81" s="964" t="n"/>
      <c r="AZ81" s="964" t="n"/>
      <c r="BA81" s="964" t="n"/>
      <c r="BB81" s="964" t="n"/>
      <c r="BC81" s="964" t="n"/>
      <c r="BD81" s="964" t="n"/>
      <c r="BE81" s="964" t="n"/>
      <c r="BF81" s="964" t="n"/>
      <c r="BG81" s="964" t="n"/>
      <c r="BH81" s="964" t="n"/>
    </row>
    <row r="82" ht="6" customHeight="1" s="7635">
      <c r="A82" s="2112" t="n"/>
      <c r="B82" s="11602" t="n"/>
      <c r="C82" s="11602" t="n"/>
      <c r="D82" s="11602" t="n"/>
      <c r="E82" s="11602" t="n"/>
      <c r="F82" s="11602" t="n"/>
      <c r="G82" s="11602" t="n"/>
      <c r="H82" s="11602" t="n"/>
      <c r="I82" s="11602" t="n"/>
      <c r="J82" s="11602" t="n"/>
      <c r="K82" s="11602" t="n"/>
      <c r="L82" s="11602" t="n"/>
      <c r="M82" s="11602" t="n"/>
      <c r="N82" s="11602" t="n"/>
      <c r="O82" s="11602" t="n"/>
      <c r="P82" s="11602" t="n"/>
      <c r="Q82" s="11602" t="n"/>
      <c r="R82" s="11602" t="n"/>
      <c r="S82" s="11602" t="n"/>
      <c r="T82" s="794" t="n"/>
      <c r="U82" s="11602" t="n"/>
      <c r="V82" s="11602" t="n"/>
      <c r="W82" s="11602" t="n"/>
      <c r="X82" s="11602" t="n"/>
      <c r="Y82" s="11602" t="n"/>
      <c r="Z82" s="11602" t="n"/>
      <c r="AA82" s="11602" t="n"/>
      <c r="AB82" s="11602" t="n"/>
      <c r="AC82" s="11602" t="n"/>
      <c r="AD82" s="11602" t="n"/>
      <c r="AE82" s="11602" t="n"/>
      <c r="AF82" s="11602" t="n"/>
      <c r="AG82" s="11602" t="n"/>
      <c r="AH82" s="11602" t="n"/>
      <c r="AI82" s="11602" t="n"/>
      <c r="AJ82" s="11602" t="n"/>
      <c r="AK82" s="11602" t="n"/>
      <c r="AL82" s="11602" t="n"/>
      <c r="AM82" s="11602" t="n"/>
      <c r="AN82" s="11602" t="n"/>
      <c r="AO82" s="11602" t="n"/>
      <c r="AP82" s="1277" t="n"/>
      <c r="AQ82" s="11602" t="n"/>
      <c r="AR82" s="11602" t="n"/>
      <c r="AS82" s="11602" t="n"/>
      <c r="AT82" s="11602" t="n"/>
      <c r="AU82" s="11602" t="n"/>
      <c r="AV82" s="11602" t="n"/>
      <c r="AW82" s="11602" t="n"/>
      <c r="AX82" s="769" t="n"/>
      <c r="AY82" s="964" t="n"/>
      <c r="AZ82" s="964" t="n"/>
      <c r="BA82" s="964" t="n"/>
      <c r="BB82" s="964" t="n"/>
      <c r="BC82" s="964" t="n"/>
      <c r="BD82" s="964" t="n"/>
      <c r="BE82" s="964" t="n"/>
      <c r="BF82" s="964" t="n"/>
      <c r="BG82" s="964" t="n"/>
      <c r="BH82" s="964" t="n"/>
    </row>
    <row r="83" ht="18" customHeight="1" s="7635" thickBot="1">
      <c r="A83" s="2112" t="n"/>
      <c r="B83" s="2266">
        <f>"Form 1116 ("&amp;TaxYear&amp;")"</f>
        <v/>
      </c>
      <c r="C83" s="380" t="n"/>
      <c r="D83" s="380" t="n"/>
      <c r="E83" s="380" t="n"/>
      <c r="F83" s="380" t="n"/>
      <c r="G83" s="380" t="n"/>
      <c r="H83" s="380" t="n"/>
      <c r="I83" s="380" t="n"/>
      <c r="J83" s="380" t="n"/>
      <c r="K83" s="380" t="n"/>
      <c r="L83" s="380" t="n"/>
      <c r="M83" s="380" t="n"/>
      <c r="N83" s="380" t="n"/>
      <c r="O83" s="380" t="n"/>
      <c r="P83" s="380" t="n"/>
      <c r="Q83" s="380" t="n"/>
      <c r="R83" s="380" t="n"/>
      <c r="S83" s="380" t="n"/>
      <c r="T83" s="380" t="n"/>
      <c r="U83" s="380" t="n"/>
      <c r="V83" s="380" t="n"/>
      <c r="W83" s="380" t="n"/>
      <c r="X83" s="380" t="n"/>
      <c r="Y83" s="380" t="n"/>
      <c r="Z83" s="380" t="n"/>
      <c r="AA83" s="380" t="n"/>
      <c r="AB83" s="380" t="n"/>
      <c r="AC83" s="380" t="n"/>
      <c r="AD83" s="380" t="n"/>
      <c r="AE83" s="380" t="n"/>
      <c r="AF83" s="380" t="n"/>
      <c r="AG83" s="380" t="n"/>
      <c r="AH83" s="380" t="n"/>
      <c r="AI83" s="380" t="n"/>
      <c r="AJ83" s="380" t="n"/>
      <c r="AK83" s="380" t="n"/>
      <c r="AL83" s="380" t="n"/>
      <c r="AM83" s="380" t="n"/>
      <c r="AN83" s="380" t="n"/>
      <c r="AO83" s="4188" t="inlineStr">
        <is>
          <t>Page 2</t>
        </is>
      </c>
      <c r="AP83" s="1277" t="n"/>
      <c r="AQ83" s="11602" t="n"/>
      <c r="AR83" s="11602" t="n"/>
      <c r="AS83" s="11602" t="n"/>
      <c r="AT83" s="11602" t="n"/>
      <c r="AU83" s="11602" t="n"/>
      <c r="AV83" s="11602" t="n"/>
      <c r="AW83" s="11602" t="n"/>
      <c r="AX83" s="769" t="n"/>
      <c r="AY83" s="964" t="n"/>
      <c r="AZ83" s="964" t="n"/>
      <c r="BA83" s="964" t="n"/>
      <c r="BB83" s="964" t="n"/>
      <c r="BC83" s="964" t="n"/>
      <c r="BD83" s="964" t="n"/>
      <c r="BE83" s="964" t="n"/>
      <c r="BF83" s="964" t="n"/>
      <c r="BG83" s="964" t="n"/>
      <c r="BH83" s="964" t="n"/>
    </row>
    <row r="84" ht="16.5" customFormat="1" customHeight="1" s="1405">
      <c r="A84" s="4157" t="n"/>
      <c r="B84" s="9161" t="inlineStr">
        <is>
          <t>Part III</t>
        </is>
      </c>
      <c r="C84" s="12097" t="n"/>
      <c r="D84" s="12097" t="n"/>
      <c r="E84" s="2120" t="n"/>
      <c r="F84" s="4189" t="inlineStr">
        <is>
          <t>Figuring the Credit</t>
        </is>
      </c>
      <c r="G84" s="2120" t="n"/>
      <c r="H84" s="2120" t="n"/>
      <c r="I84" s="2120" t="n"/>
      <c r="J84" s="2120" t="n"/>
      <c r="K84" s="2120" t="n"/>
      <c r="L84" s="2120" t="n"/>
      <c r="M84" s="2120" t="n"/>
      <c r="N84" s="2120" t="n"/>
      <c r="O84" s="2120" t="n"/>
      <c r="P84" s="2120" t="n"/>
      <c r="Q84" s="2120" t="n"/>
      <c r="R84" s="2120" t="n"/>
      <c r="S84" s="2120" t="n"/>
      <c r="T84" s="2120" t="n"/>
      <c r="U84" s="2120" t="n"/>
      <c r="V84" s="2120" t="n"/>
      <c r="W84" s="2120" t="n"/>
      <c r="X84" s="2120" t="n"/>
      <c r="Y84" s="2120" t="n"/>
      <c r="Z84" s="2120" t="n"/>
      <c r="AA84" s="2120" t="n"/>
      <c r="AB84" s="2120" t="n"/>
      <c r="AC84" s="2120" t="n"/>
      <c r="AD84" s="2120" t="n"/>
      <c r="AE84" s="2120" t="n"/>
      <c r="AF84" s="2120" t="n"/>
      <c r="AG84" s="2120" t="n"/>
      <c r="AH84" s="2120" t="n"/>
      <c r="AI84" s="2120" t="n"/>
      <c r="AJ84" s="2120" t="n"/>
      <c r="AK84" s="2120" t="n"/>
      <c r="AL84" s="2120" t="n"/>
      <c r="AM84" s="2120" t="n"/>
      <c r="AN84" s="2120" t="n"/>
      <c r="AO84" s="2120" t="n"/>
      <c r="AP84" s="1277" t="n"/>
      <c r="AQ84" s="7772" t="n"/>
      <c r="AR84" s="7772" t="n"/>
      <c r="AS84" s="7772" t="n"/>
      <c r="AT84" s="7772" t="n"/>
      <c r="AU84" s="7772" t="n"/>
      <c r="AV84" s="7772" t="n"/>
      <c r="AW84" s="7772" t="n"/>
      <c r="AX84" s="769" t="n"/>
      <c r="AY84" s="964" t="n"/>
      <c r="AZ84" s="964" t="n"/>
      <c r="BA84" s="964" t="n"/>
      <c r="BB84" s="964" t="n"/>
      <c r="BC84" s="964" t="n"/>
      <c r="BD84" s="964" t="n"/>
      <c r="BE84" s="964" t="n"/>
      <c r="BF84" s="964" t="n"/>
      <c r="BG84" s="964" t="n"/>
      <c r="BH84" s="964" t="n"/>
    </row>
    <row r="85" ht="17.25" customHeight="1" s="7635">
      <c r="A85" s="2112" t="n"/>
      <c r="B85" s="9185" t="n">
        <v>9</v>
      </c>
      <c r="C85" s="7839" t="n"/>
      <c r="D85" s="11602" t="inlineStr">
        <is>
          <t>Enter the amount from line 8. These are your total foreign taxes paid</t>
        </is>
      </c>
      <c r="E85" s="11602" t="n"/>
      <c r="F85" s="8650" t="n"/>
      <c r="G85" s="11602" t="n"/>
      <c r="H85" s="11602" t="n"/>
      <c r="I85" s="11602" t="n"/>
      <c r="J85" s="11602" t="n"/>
      <c r="K85" s="11602" t="n"/>
      <c r="L85" s="11602" t="n"/>
      <c r="M85" s="11602" t="n"/>
      <c r="N85" s="11602" t="n"/>
      <c r="O85" s="11602" t="n"/>
      <c r="P85" s="11602" t="n"/>
      <c r="Q85" s="11602" t="n"/>
      <c r="R85" s="11602" t="n"/>
      <c r="S85" s="11602" t="n"/>
      <c r="T85" s="11602" t="n"/>
      <c r="U85" s="11602" t="n"/>
      <c r="V85" s="11602" t="n"/>
      <c r="W85" s="11602" t="n"/>
      <c r="X85" s="11602" t="n"/>
      <c r="Y85" s="11602" t="n"/>
      <c r="Z85" s="2898" t="n"/>
      <c r="AA85" s="10091" t="n"/>
      <c r="AB85" s="405" t="n"/>
      <c r="AC85" s="406" t="n"/>
      <c r="AD85" s="406" t="n"/>
      <c r="AE85" s="406" t="n"/>
      <c r="AF85" s="406" t="n"/>
      <c r="AG85" s="406" t="n"/>
      <c r="AH85" s="406" t="n"/>
      <c r="AI85" s="407" t="n"/>
      <c r="AJ85" s="8967" t="n"/>
      <c r="AL85" s="405" t="n"/>
      <c r="AM85" s="406" t="n"/>
      <c r="AN85" s="406" t="n"/>
      <c r="AO85" s="406" t="n"/>
      <c r="AP85" s="1277" t="n"/>
      <c r="AQ85" s="7772" t="n"/>
      <c r="AR85" s="7772" t="n"/>
      <c r="AS85" s="7772" t="n"/>
      <c r="AT85" s="7772" t="n"/>
      <c r="AU85" s="7772" t="n"/>
      <c r="AV85" s="11602" t="n"/>
      <c r="AW85" s="11602" t="n"/>
      <c r="AX85" s="769" t="n"/>
      <c r="AY85" s="964" t="n"/>
      <c r="AZ85" s="964" t="n"/>
      <c r="BA85" s="964" t="n"/>
      <c r="BB85" s="964" t="n"/>
      <c r="BC85" s="964" t="n"/>
      <c r="BD85" s="964" t="n"/>
      <c r="BE85" s="964" t="n"/>
      <c r="BF85" s="964" t="n"/>
      <c r="BG85" s="964" t="n"/>
      <c r="BH85" s="964" t="n"/>
    </row>
    <row r="86" ht="14.25" customHeight="1" s="7635">
      <c r="A86" s="2112" t="n"/>
      <c r="B86" s="344" t="n"/>
      <c r="C86" s="344" t="n"/>
      <c r="D86" s="11602" t="inlineStr">
        <is>
          <t>or accrued for the category of income checked above Part I</t>
        </is>
      </c>
      <c r="E86" s="11602" t="n"/>
      <c r="F86" s="8650" t="n"/>
      <c r="G86" s="11602" t="n"/>
      <c r="H86" s="11602" t="n"/>
      <c r="I86" s="11602" t="n"/>
      <c r="J86" s="11602" t="n"/>
      <c r="K86" s="11602" t="n"/>
      <c r="L86" s="11602" t="n"/>
      <c r="M86" s="11602" t="n"/>
      <c r="N86" s="11602" t="n"/>
      <c r="O86" s="11602" t="n"/>
      <c r="P86" s="11602" t="n"/>
      <c r="Q86" s="11602" t="n"/>
      <c r="R86" s="11602" t="n"/>
      <c r="S86" s="11602" t="n"/>
      <c r="T86" s="11602" t="n"/>
      <c r="U86" s="11602" t="n"/>
      <c r="V86" s="11602" t="n"/>
      <c r="W86" s="11602" t="n"/>
      <c r="X86" s="11602" t="n"/>
      <c r="Y86" s="1401" t="inlineStr">
        <is>
          <t xml:space="preserve">.   .   .   .   .   .  </t>
        </is>
      </c>
      <c r="Z86" s="2895" t="n">
        <v>9</v>
      </c>
      <c r="AA86" s="7638" t="n"/>
      <c r="AB86" s="12250">
        <f>AM80</f>
        <v/>
      </c>
      <c r="AC86" s="7637" t="n"/>
      <c r="AD86" s="7637" t="n"/>
      <c r="AE86" s="7637" t="n"/>
      <c r="AF86" s="7637" t="n"/>
      <c r="AG86" s="7637" t="n"/>
      <c r="AH86" s="7637" t="n"/>
      <c r="AI86" s="7638" t="n"/>
      <c r="AJ86" s="8967" t="n"/>
      <c r="AL86" s="408" t="n"/>
      <c r="AM86" s="11602" t="n"/>
      <c r="AN86" s="11602" t="n"/>
      <c r="AO86" s="11602" t="n"/>
      <c r="AP86" s="1277" t="n"/>
      <c r="AQ86" s="7772" t="n"/>
      <c r="AR86" s="7772" t="n"/>
      <c r="AS86" s="7772" t="n"/>
      <c r="AT86" s="7772" t="n"/>
      <c r="AU86" s="7772" t="n"/>
      <c r="AV86" s="11602" t="n"/>
      <c r="AW86" s="11602" t="n"/>
      <c r="AX86" s="769" t="n"/>
      <c r="AY86" s="964" t="n"/>
      <c r="AZ86" s="964" t="n"/>
      <c r="BA86" s="964" t="n"/>
      <c r="BB86" s="964" t="n"/>
      <c r="BC86" s="964" t="n"/>
      <c r="BD86" s="964" t="n"/>
      <c r="BE86" s="964" t="n"/>
      <c r="BF86" s="964" t="n"/>
      <c r="BG86" s="964" t="n"/>
      <c r="BH86" s="964" t="n"/>
    </row>
    <row r="87" ht="15" customHeight="1" s="7635">
      <c r="A87" s="2112" t="n"/>
      <c r="B87" s="8966" t="n">
        <v>10</v>
      </c>
      <c r="D87" s="344" t="inlineStr">
        <is>
          <t>Enter the sum of any carryover of foreign taxes (from Schedule B,</t>
        </is>
      </c>
      <c r="E87" s="11602" t="n"/>
      <c r="F87" s="8650" t="n"/>
      <c r="G87" s="11602" t="n"/>
      <c r="H87" s="11602" t="n"/>
      <c r="I87" s="11602" t="n"/>
      <c r="J87" s="11602" t="n"/>
      <c r="K87" s="11602" t="n"/>
      <c r="L87" s="11602" t="n"/>
      <c r="M87" s="11602" t="n"/>
      <c r="N87" s="11602" t="n"/>
      <c r="O87" s="11602" t="n"/>
      <c r="P87" s="11602" t="n"/>
      <c r="Q87" s="11602" t="n"/>
      <c r="R87" s="11602" t="n"/>
      <c r="S87" s="11602" t="n"/>
      <c r="T87" s="11602" t="n"/>
      <c r="U87" s="11602" t="n"/>
      <c r="V87" s="11602" t="n"/>
      <c r="W87" s="11602" t="n"/>
      <c r="X87" s="11602" t="n"/>
      <c r="Y87" s="11602" t="n"/>
      <c r="Z87" s="2898" t="n"/>
      <c r="AA87" s="10091" t="n"/>
      <c r="AB87" s="405" t="n"/>
      <c r="AC87" s="406" t="n"/>
      <c r="AD87" s="406" t="n"/>
      <c r="AE87" s="406" t="n"/>
      <c r="AF87" s="406" t="n"/>
      <c r="AG87" s="406" t="n"/>
      <c r="AH87" s="406" t="n"/>
      <c r="AI87" s="407" t="n"/>
      <c r="AJ87" s="8967" t="n"/>
      <c r="AL87" s="408" t="n"/>
      <c r="AM87" s="11602" t="n"/>
      <c r="AN87" s="11602" t="n"/>
      <c r="AO87" s="11602" t="n"/>
      <c r="AP87" s="1277" t="n"/>
      <c r="AQ87" s="7772" t="n"/>
      <c r="AR87" s="7772" t="n"/>
      <c r="AS87" s="7772" t="n"/>
      <c r="AT87" s="7772" t="n"/>
      <c r="AU87" s="7772" t="n"/>
      <c r="AV87" s="11602" t="n"/>
      <c r="AW87" s="11602" t="n"/>
      <c r="AX87" s="769" t="n"/>
      <c r="AY87" s="964" t="n"/>
      <c r="AZ87" s="964" t="n"/>
      <c r="BA87" s="964" t="n"/>
      <c r="BB87" s="964" t="n"/>
      <c r="BC87" s="964" t="n"/>
      <c r="BD87" s="964" t="n"/>
      <c r="BE87" s="964" t="n"/>
      <c r="BF87" s="964" t="n"/>
      <c r="BG87" s="964" t="n"/>
      <c r="BH87" s="964" t="n"/>
    </row>
    <row r="88" ht="13.5" customHeight="1" s="7635">
      <c r="A88" s="2112" t="n"/>
      <c r="B88" s="8966" t="n"/>
      <c r="D88" s="344" t="inlineStr">
        <is>
          <t>line 3, column (xiv)) plus any carrybacks to the current tax year. If</t>
        </is>
      </c>
      <c r="E88" s="11602" t="n"/>
      <c r="F88" s="8650" t="n"/>
      <c r="G88" s="11602" t="n"/>
      <c r="H88" s="11602" t="n"/>
      <c r="I88" s="11602" t="n"/>
      <c r="J88" s="11602" t="n"/>
      <c r="K88" s="11602" t="n"/>
      <c r="L88" s="11602" t="n"/>
      <c r="M88" s="11602" t="n"/>
      <c r="N88" s="11602" t="n"/>
      <c r="O88" s="11602" t="n"/>
      <c r="P88" s="11602" t="n"/>
      <c r="Q88" s="11602" t="n"/>
      <c r="R88" s="11602" t="n"/>
      <c r="S88" s="11602" t="n"/>
      <c r="T88" s="11602" t="n"/>
      <c r="U88" s="11602" t="n"/>
      <c r="V88" s="11602" t="n"/>
      <c r="W88" s="11602" t="n"/>
      <c r="X88" s="11602" t="n"/>
      <c r="Y88" s="1401" t="n"/>
      <c r="Z88" s="2921" t="n"/>
      <c r="AA88" s="7636" t="n"/>
      <c r="AB88" s="408" t="n"/>
      <c r="AC88" s="11602" t="n"/>
      <c r="AD88" s="11602" t="n"/>
      <c r="AE88" s="11602" t="n"/>
      <c r="AF88" s="11602" t="n"/>
      <c r="AG88" s="11602" t="n"/>
      <c r="AH88" s="11602" t="n"/>
      <c r="AI88" s="409" t="n"/>
      <c r="AJ88" s="8967" t="n"/>
      <c r="AL88" s="408" t="n"/>
      <c r="AM88" s="11602" t="n"/>
      <c r="AN88" s="11602" t="n"/>
      <c r="AO88" s="11602" t="n"/>
      <c r="AP88" s="1277" t="n"/>
      <c r="AQ88" s="11602" t="n"/>
      <c r="AR88" s="11602" t="n"/>
      <c r="AS88" s="11602" t="n"/>
      <c r="AT88" s="11602" t="n"/>
      <c r="AU88" s="11602" t="n"/>
      <c r="AV88" s="11602" t="n"/>
      <c r="AW88" s="11602" t="n"/>
      <c r="AX88" s="769" t="n"/>
      <c r="AY88" s="964" t="n"/>
      <c r="AZ88" s="964" t="n"/>
      <c r="BA88" s="964" t="n"/>
      <c r="BB88" s="964" t="n"/>
      <c r="BC88" s="964" t="n"/>
      <c r="BD88" s="964" t="n"/>
      <c r="BE88" s="964" t="n"/>
      <c r="BF88" s="964" t="n"/>
      <c r="BG88" s="964" t="n"/>
      <c r="BH88" s="964" t="n"/>
    </row>
    <row r="89" ht="13.5" customHeight="1" s="7635">
      <c r="A89" s="2112" t="n"/>
      <c r="B89" s="8966" t="n"/>
      <c r="C89" s="8966" t="n"/>
      <c r="D89" s="344" t="inlineStr">
        <is>
          <t>you enter an amount on line 10 and you don’t need to attach</t>
        </is>
      </c>
      <c r="E89" s="11602" t="n"/>
      <c r="F89" s="8650" t="n"/>
      <c r="G89" s="11602" t="n"/>
      <c r="H89" s="11602" t="n"/>
      <c r="I89" s="11602" t="n"/>
      <c r="J89" s="11602" t="n"/>
      <c r="K89" s="11602" t="n"/>
      <c r="L89" s="11602" t="n"/>
      <c r="M89" s="11602" t="n"/>
      <c r="N89" s="11602" t="n"/>
      <c r="O89" s="11602" t="n"/>
      <c r="P89" s="11602" t="n"/>
      <c r="Q89" s="11602" t="n"/>
      <c r="R89" s="11602" t="n"/>
      <c r="S89" s="11602" t="n"/>
      <c r="T89" s="11602" t="n"/>
      <c r="U89" s="11602" t="n"/>
      <c r="V89" s="11602" t="n"/>
      <c r="W89" s="11602" t="n"/>
      <c r="X89" s="11602" t="n"/>
      <c r="Y89" s="1401" t="n"/>
      <c r="Z89" s="8977" t="n"/>
      <c r="AA89" s="8978" t="n"/>
      <c r="AB89" s="408" t="n"/>
      <c r="AC89" s="11602" t="n"/>
      <c r="AD89" s="11602" t="n"/>
      <c r="AE89" s="11602" t="n"/>
      <c r="AF89" s="11602" t="n"/>
      <c r="AG89" s="11602" t="n"/>
      <c r="AH89" s="11602" t="n"/>
      <c r="AI89" s="409" t="n"/>
      <c r="AJ89" s="8967" t="n"/>
      <c r="AL89" s="408" t="n"/>
      <c r="AM89" s="11602" t="n"/>
      <c r="AN89" s="11602" t="n"/>
      <c r="AO89" s="11602" t="n"/>
      <c r="AP89" s="1277" t="n"/>
      <c r="AQ89" s="11602" t="n"/>
      <c r="AR89" s="11602" t="n"/>
      <c r="AS89" s="11602" t="n"/>
      <c r="AT89" s="11602" t="n"/>
      <c r="AU89" s="11602" t="n"/>
      <c r="AV89" s="11602" t="n"/>
      <c r="AW89" s="11602" t="n"/>
      <c r="AX89" s="769" t="n"/>
      <c r="AY89" s="964" t="n"/>
      <c r="AZ89" s="964" t="n"/>
      <c r="BA89" s="964" t="n"/>
      <c r="BB89" s="964" t="n"/>
      <c r="BC89" s="964" t="n"/>
      <c r="BD89" s="964" t="n"/>
      <c r="BE89" s="964" t="n"/>
      <c r="BF89" s="964" t="n"/>
      <c r="BG89" s="964" t="n"/>
      <c r="BH89" s="964" t="n"/>
    </row>
    <row r="90" ht="16.5" customHeight="1" s="7635">
      <c r="A90" s="2112" t="n"/>
      <c r="B90" s="8966" t="n"/>
      <c r="D90" s="344" t="inlineStr">
        <is>
          <t>Schedule B, check here (see instructions)</t>
        </is>
      </c>
      <c r="E90" s="11602" t="n"/>
      <c r="F90" s="8650" t="n"/>
      <c r="G90" s="11602" t="n"/>
      <c r="H90" s="11602" t="n"/>
      <c r="I90" s="11602" t="n"/>
      <c r="J90" s="11602" t="n"/>
      <c r="K90" s="11602" t="n"/>
      <c r="L90" s="11602" t="n"/>
      <c r="M90" s="11602" t="n"/>
      <c r="N90" s="11602" t="n"/>
      <c r="O90" s="11602" t="n"/>
      <c r="P90" s="11602" t="n"/>
      <c r="Q90" s="11602" t="n"/>
      <c r="R90" s="11602" t="n"/>
      <c r="S90" s="11602" t="n"/>
      <c r="T90" s="11602" t="n"/>
      <c r="U90" s="11602" t="n"/>
      <c r="V90" s="11602" t="n"/>
      <c r="W90" s="11602" t="n"/>
      <c r="X90" s="276" t="n"/>
      <c r="Y90" s="11602" t="n"/>
      <c r="Z90" s="2895" t="n">
        <v>10</v>
      </c>
      <c r="AA90" s="7638" t="n"/>
      <c r="AB90" s="12251" t="n"/>
      <c r="AC90" s="11717" t="n"/>
      <c r="AD90" s="11717" t="n"/>
      <c r="AE90" s="11717" t="n"/>
      <c r="AF90" s="11717" t="n"/>
      <c r="AG90" s="11717" t="n"/>
      <c r="AH90" s="11717" t="n"/>
      <c r="AI90" s="11718" t="n"/>
      <c r="AJ90" s="8967" t="n"/>
      <c r="AL90" s="9100">
        <f>ROUND(AB90,0)</f>
        <v/>
      </c>
      <c r="AP90" s="1277" t="n"/>
      <c r="AQ90" s="11602" t="n"/>
      <c r="AR90" s="11602" t="n"/>
      <c r="AS90" s="11602" t="n"/>
      <c r="AT90" s="11602" t="n"/>
      <c r="AU90" s="11602" t="n"/>
      <c r="AV90" s="11602" t="n"/>
      <c r="AW90" s="11602" t="n"/>
      <c r="AX90" s="769" t="n"/>
      <c r="AY90" s="964" t="n"/>
      <c r="AZ90" s="964" t="n"/>
      <c r="BA90" s="964" t="n"/>
      <c r="BB90" s="964" t="n"/>
      <c r="BC90" s="964" t="n"/>
      <c r="BD90" s="964" t="n"/>
      <c r="BE90" s="964" t="n"/>
      <c r="BF90" s="964" t="n"/>
      <c r="BG90" s="964" t="n"/>
      <c r="BH90" s="964" t="n"/>
    </row>
    <row r="91" ht="13.5" customHeight="1" s="7635">
      <c r="A91" s="2112" t="n"/>
      <c r="B91" s="8966" t="n"/>
      <c r="D91" s="344" t="inlineStr">
        <is>
          <t>(If your income was section 951A category income (box a above Part I),</t>
        </is>
      </c>
      <c r="E91" s="11602" t="n"/>
      <c r="F91" s="8650" t="n"/>
      <c r="G91" s="11602" t="n"/>
      <c r="H91" s="11602" t="n"/>
      <c r="I91" s="11602" t="n"/>
      <c r="J91" s="11602" t="n"/>
      <c r="K91" s="11602" t="n"/>
      <c r="L91" s="11602" t="n"/>
      <c r="M91" s="11602" t="n"/>
      <c r="N91" s="11602" t="n"/>
      <c r="O91" s="11602" t="n"/>
      <c r="P91" s="11602" t="n"/>
      <c r="Q91" s="11602" t="n"/>
      <c r="R91" s="11602" t="n"/>
      <c r="S91" s="11602" t="n"/>
      <c r="T91" s="11602" t="n"/>
      <c r="U91" s="11602" t="n"/>
      <c r="V91" s="11602" t="n"/>
      <c r="W91" s="11602" t="n"/>
      <c r="X91" s="11602" t="n"/>
      <c r="Y91" s="11602" t="n"/>
      <c r="Z91" s="2921" t="n"/>
      <c r="AA91" s="7636" t="n"/>
      <c r="AB91" s="408" t="n"/>
      <c r="AC91" s="11602" t="n"/>
      <c r="AD91" s="11602" t="n"/>
      <c r="AE91" s="11602" t="n"/>
      <c r="AF91" s="11602" t="n"/>
      <c r="AG91" s="11602" t="n"/>
      <c r="AH91" s="11602" t="n"/>
      <c r="AI91" s="409" t="n"/>
      <c r="AJ91" s="8967" t="n"/>
      <c r="AL91" s="408" t="n"/>
      <c r="AM91" s="11602" t="n"/>
      <c r="AN91" s="11602" t="n"/>
      <c r="AO91" s="11602" t="n"/>
      <c r="AP91" s="1277" t="n"/>
      <c r="AQ91" s="11602" t="n"/>
      <c r="AR91" s="11602" t="n"/>
      <c r="AS91" s="11602" t="n"/>
      <c r="AT91" s="11602" t="n"/>
      <c r="AU91" s="11602" t="n"/>
      <c r="AV91" s="11602" t="n"/>
      <c r="AW91" s="11602" t="n"/>
      <c r="AX91" s="769" t="n"/>
      <c r="AY91" s="964" t="n"/>
      <c r="AZ91" s="964" t="n"/>
      <c r="BA91" s="964" t="n"/>
      <c r="BB91" s="964" t="n"/>
      <c r="BC91" s="964" t="n"/>
      <c r="BD91" s="964" t="n"/>
      <c r="BE91" s="964" t="n"/>
      <c r="BF91" s="964" t="n"/>
      <c r="BG91" s="964" t="n"/>
      <c r="BH91" s="964" t="n"/>
    </row>
    <row r="92" ht="13.5" customHeight="1" s="7635">
      <c r="A92" s="2112" t="n"/>
      <c r="B92" s="8966" t="n"/>
      <c r="C92" s="8966" t="n"/>
      <c r="D92" s="344" t="inlineStr">
        <is>
          <t>leave line 10 blank.)</t>
        </is>
      </c>
      <c r="E92" s="11602" t="n"/>
      <c r="F92" s="8650" t="n"/>
      <c r="G92" s="11602" t="n"/>
      <c r="H92" s="11602" t="n"/>
      <c r="I92" s="11602" t="n"/>
      <c r="J92" s="11602" t="n"/>
      <c r="K92" s="11602" t="n"/>
      <c r="L92" s="11602" t="n"/>
      <c r="M92" s="11602" t="n"/>
      <c r="N92" s="11602" t="n"/>
      <c r="O92" s="11602" t="n"/>
      <c r="P92" s="11602" t="n"/>
      <c r="Q92" s="11602" t="n"/>
      <c r="R92" s="11602" t="n"/>
      <c r="S92" s="11602" t="n"/>
      <c r="T92" s="11602" t="n"/>
      <c r="U92" s="11602" t="n"/>
      <c r="V92" s="11602" t="n"/>
      <c r="W92" s="11602" t="n"/>
      <c r="X92" s="11602" t="n"/>
      <c r="Y92" s="11602" t="n"/>
      <c r="Z92" s="8977" t="n"/>
      <c r="AA92" s="8978" t="n"/>
      <c r="AB92" s="408" t="n"/>
      <c r="AC92" s="11602" t="n"/>
      <c r="AD92" s="11602" t="n"/>
      <c r="AE92" s="11602" t="n"/>
      <c r="AF92" s="11602" t="n"/>
      <c r="AG92" s="11602" t="n"/>
      <c r="AH92" s="11602" t="n"/>
      <c r="AI92" s="409" t="n"/>
      <c r="AJ92" s="8967" t="n"/>
      <c r="AL92" s="408" t="n"/>
      <c r="AM92" s="11602" t="n"/>
      <c r="AN92" s="11602" t="n"/>
      <c r="AO92" s="11602" t="n"/>
      <c r="AP92" s="1277" t="n"/>
      <c r="AQ92" s="11602" t="n"/>
      <c r="AR92" s="11602" t="n"/>
      <c r="AS92" s="11602" t="n"/>
      <c r="AT92" s="11602" t="n"/>
      <c r="AU92" s="11602" t="n"/>
      <c r="AV92" s="11602" t="n"/>
      <c r="AW92" s="11602" t="n"/>
      <c r="AX92" s="769" t="n"/>
      <c r="AY92" s="964" t="n"/>
      <c r="AZ92" s="964" t="n"/>
      <c r="BA92" s="964" t="n"/>
      <c r="BB92" s="964" t="n"/>
      <c r="BC92" s="964" t="n"/>
      <c r="BD92" s="964" t="n"/>
      <c r="BE92" s="964" t="n"/>
      <c r="BF92" s="964" t="n"/>
      <c r="BG92" s="964" t="n"/>
      <c r="BH92" s="964" t="n"/>
    </row>
    <row r="93" ht="15.75" customHeight="1" s="7635" thickBot="1">
      <c r="A93" s="2112" t="n"/>
      <c r="B93" s="8966" t="n">
        <v>11</v>
      </c>
      <c r="D93" s="11602" t="inlineStr">
        <is>
          <t>Add lines 9 and 10</t>
        </is>
      </c>
      <c r="E93" s="11602" t="n"/>
      <c r="F93" s="8650" t="n"/>
      <c r="G93" s="11602" t="n"/>
      <c r="H93" s="11602" t="n"/>
      <c r="I93" s="11602" t="n"/>
      <c r="J93" s="11602" t="n"/>
      <c r="K93" s="11602" t="n"/>
      <c r="L93" s="11602" t="n"/>
      <c r="M93" s="11602" t="n"/>
      <c r="N93" s="11602" t="n"/>
      <c r="O93" s="11602" t="n"/>
      <c r="P93" s="11602" t="n"/>
      <c r="Q93" s="11602" t="n"/>
      <c r="R93" s="11602" t="n"/>
      <c r="S93" s="11602" t="n"/>
      <c r="T93" s="11602" t="n"/>
      <c r="U93" s="11602" t="n"/>
      <c r="V93" s="11602" t="n"/>
      <c r="W93" s="11602" t="n"/>
      <c r="X93" s="11602" t="n"/>
      <c r="Y93" s="1401" t="inlineStr">
        <is>
          <t xml:space="preserve">.   .   .   .   .   .   .   .   .   .   .   .   .   .   .   .   .   .   .  </t>
        </is>
      </c>
      <c r="Z93" s="2895" t="n">
        <v>11</v>
      </c>
      <c r="AA93" s="7638" t="n"/>
      <c r="AB93" s="12250">
        <f>SUM(AB86,AL90)</f>
        <v/>
      </c>
      <c r="AC93" s="7637" t="n"/>
      <c r="AD93" s="7637" t="n"/>
      <c r="AE93" s="7637" t="n"/>
      <c r="AF93" s="7637" t="n"/>
      <c r="AG93" s="7637" t="n"/>
      <c r="AH93" s="7637" t="n"/>
      <c r="AI93" s="7638" t="n"/>
      <c r="AJ93" s="8967" t="n"/>
      <c r="AL93" s="9007">
        <f>IF(AB94&gt;0,"Line 12 cannot be","")</f>
        <v/>
      </c>
      <c r="AP93" s="1277" t="n"/>
      <c r="AQ93" s="11602" t="n"/>
      <c r="AR93" s="11602" t="n"/>
      <c r="AS93" s="11602" t="n"/>
      <c r="AT93" s="11602" t="n"/>
      <c r="AU93" s="11602" t="n"/>
      <c r="AV93" s="11602" t="n"/>
      <c r="AW93" s="11602" t="n"/>
      <c r="AX93" s="769" t="n"/>
      <c r="AY93" s="964" t="n"/>
      <c r="AZ93" s="964" t="n"/>
      <c r="BA93" s="964" t="n"/>
      <c r="BB93" s="964" t="n"/>
      <c r="BC93" s="964" t="n"/>
      <c r="BD93" s="964" t="n"/>
      <c r="BE93" s="964" t="n"/>
      <c r="BF93" s="964" t="n"/>
      <c r="BG93" s="964" t="n"/>
      <c r="BH93" s="964" t="n"/>
    </row>
    <row r="94" ht="13.5" customHeight="1" s="7635">
      <c r="A94" s="2112" t="n"/>
      <c r="B94" s="8966" t="n">
        <v>12</v>
      </c>
      <c r="D94" s="344" t="inlineStr">
        <is>
          <t>Reduction in foreign taxes (see instructions)</t>
        </is>
      </c>
      <c r="E94" s="11602" t="n"/>
      <c r="F94" s="8650" t="n"/>
      <c r="G94" s="11602" t="n"/>
      <c r="H94" s="11602" t="n"/>
      <c r="I94" s="11602" t="n"/>
      <c r="J94" s="11602" t="n"/>
      <c r="K94" s="11602" t="n"/>
      <c r="L94" s="11602" t="n"/>
      <c r="M94" s="11602" t="n"/>
      <c r="N94" s="11602" t="n"/>
      <c r="O94" s="11602" t="n"/>
      <c r="P94" s="11602" t="n"/>
      <c r="Q94" s="11602" t="n"/>
      <c r="R94" s="11602" t="n"/>
      <c r="S94" s="11602" t="n"/>
      <c r="T94" s="11602" t="n"/>
      <c r="U94" s="11602" t="n"/>
      <c r="V94" s="11602" t="n"/>
      <c r="W94" s="11602" t="n"/>
      <c r="X94" s="11602" t="n"/>
      <c r="Y94" s="1401" t="inlineStr">
        <is>
          <t xml:space="preserve">.   .   .   .   .   .   .   .   .   .   .  </t>
        </is>
      </c>
      <c r="Z94" s="2895" t="n">
        <v>12</v>
      </c>
      <c r="AA94" s="7638" t="n"/>
      <c r="AB94" s="12252" t="n"/>
      <c r="AC94" s="11717" t="n"/>
      <c r="AD94" s="11717" t="n"/>
      <c r="AE94" s="11717" t="n"/>
      <c r="AF94" s="11717" t="n"/>
      <c r="AG94" s="11717" t="n"/>
      <c r="AH94" s="11717" t="n"/>
      <c r="AI94" s="11718" t="n"/>
      <c r="AJ94" s="8967" t="n"/>
      <c r="AL94" s="9007">
        <f>IF(AB94&gt;0,"a positive number.","")</f>
        <v/>
      </c>
      <c r="AP94" s="1277" t="n"/>
      <c r="AQ94" s="11602" t="n"/>
      <c r="AR94" s="11602" t="n"/>
      <c r="AS94" s="11602" t="n"/>
      <c r="AT94" s="11602" t="n"/>
      <c r="AU94" s="11602" t="n"/>
      <c r="AV94" s="11602" t="n"/>
      <c r="AW94" s="11602" t="n"/>
      <c r="AX94" s="1384" t="n"/>
      <c r="AY94" s="1385" t="n"/>
      <c r="AZ94" s="1385" t="n"/>
      <c r="BA94" s="1385" t="n"/>
      <c r="BB94" s="1385" t="n"/>
      <c r="BC94" s="1385" t="n"/>
      <c r="BD94" s="1385" t="n"/>
      <c r="BE94" s="1385" t="n"/>
      <c r="BF94" s="1385" t="n"/>
      <c r="BG94" s="1385" t="n"/>
      <c r="BH94" s="1386" t="n"/>
    </row>
    <row r="95" ht="13.5" customHeight="1" s="7635">
      <c r="A95" s="2112" t="n"/>
      <c r="B95" s="8966" t="n">
        <v>13</v>
      </c>
      <c r="D95" s="344" t="inlineStr">
        <is>
          <t>Taxes reclassified under high tax kickout (see instructions)</t>
        </is>
      </c>
      <c r="E95" s="11602" t="n"/>
      <c r="F95" s="8650" t="n"/>
      <c r="G95" s="11602" t="n"/>
      <c r="H95" s="11602" t="n"/>
      <c r="I95" s="11602" t="n"/>
      <c r="J95" s="11602" t="n"/>
      <c r="K95" s="11602" t="n"/>
      <c r="L95" s="11602" t="n"/>
      <c r="M95" s="11602" t="n"/>
      <c r="N95" s="11602" t="n"/>
      <c r="O95" s="11602" t="n"/>
      <c r="P95" s="11602" t="n"/>
      <c r="Q95" s="11602" t="n"/>
      <c r="R95" s="11602" t="n"/>
      <c r="S95" s="11602" t="n"/>
      <c r="T95" s="11602" t="n"/>
      <c r="U95" s="11602" t="n"/>
      <c r="V95" s="11602" t="n"/>
      <c r="W95" s="11602" t="n"/>
      <c r="X95" s="11602" t="n"/>
      <c r="Y95" s="1401" t="inlineStr">
        <is>
          <t xml:space="preserve">.   .   .   .   .   .  </t>
        </is>
      </c>
      <c r="Z95" s="2895" t="n">
        <v>13</v>
      </c>
      <c r="AA95" s="7638" t="n"/>
      <c r="AB95" s="12251" t="n"/>
      <c r="AC95" s="11717" t="n"/>
      <c r="AD95" s="11717" t="n"/>
      <c r="AE95" s="11717" t="n"/>
      <c r="AF95" s="11717" t="n"/>
      <c r="AG95" s="11717" t="n"/>
      <c r="AH95" s="11717" t="n"/>
      <c r="AI95" s="11718" t="n"/>
      <c r="AJ95" s="8967" t="n"/>
      <c r="AL95" s="408" t="n"/>
      <c r="AM95" s="11602" t="n"/>
      <c r="AN95" s="11602" t="n"/>
      <c r="AO95" s="11602" t="n"/>
      <c r="AP95" s="1277" t="n"/>
      <c r="AQ95" s="11602" t="n"/>
      <c r="AR95" s="11602" t="n"/>
      <c r="AS95" s="11602" t="n"/>
      <c r="AT95" s="11602" t="n"/>
      <c r="AU95" s="11602" t="n"/>
      <c r="AV95" s="11602" t="n"/>
      <c r="AW95" s="11602" t="n"/>
      <c r="AX95" s="1387" t="inlineStr">
        <is>
          <t>If you completed the Qualified Dividends and Capital Gain Tax Worksheet, you must figure the amount to enter on line 18 if:</t>
        </is>
      </c>
      <c r="AY95" s="1388" t="n"/>
      <c r="AZ95" s="1027" t="n"/>
      <c r="BA95" s="1027" t="n"/>
      <c r="BB95" s="1027" t="n"/>
      <c r="BC95" s="1027" t="n"/>
      <c r="BD95" s="1027" t="n"/>
      <c r="BE95" s="1027" t="n"/>
      <c r="BF95" s="1027" t="n"/>
      <c r="BG95" s="1027" t="n"/>
      <c r="BH95" s="1389" t="n"/>
    </row>
    <row r="96" ht="13.5" customHeight="1" s="7635">
      <c r="A96" s="2112" t="n"/>
      <c r="B96" s="8966" t="n">
        <v>14</v>
      </c>
      <c r="D96" s="344" t="inlineStr">
        <is>
          <t>Combine lines 11, 12, and 13. This is the total amount of foreign taxes available for credit</t>
        </is>
      </c>
      <c r="E96" s="11602" t="n"/>
      <c r="F96" s="8650" t="n"/>
      <c r="G96" s="11602" t="n"/>
      <c r="H96" s="11602" t="n"/>
      <c r="I96" s="11602" t="n"/>
      <c r="J96" s="11602" t="n"/>
      <c r="K96" s="11602" t="n"/>
      <c r="L96" s="11602" t="n"/>
      <c r="M96" s="11602" t="n"/>
      <c r="N96" s="11602" t="n"/>
      <c r="O96" s="11602" t="n"/>
      <c r="P96" s="11602" t="n"/>
      <c r="Q96" s="11602" t="n"/>
      <c r="R96" s="11602" t="n"/>
      <c r="S96" s="11602" t="n"/>
      <c r="T96" s="11602" t="n"/>
      <c r="U96" s="11602" t="n"/>
      <c r="V96" s="11602" t="n"/>
      <c r="W96" s="11602" t="n"/>
      <c r="X96" s="11602" t="n"/>
      <c r="Y96" s="11602" t="n"/>
      <c r="Z96" s="11602" t="n"/>
      <c r="AA96" s="11602" t="n"/>
      <c r="AB96" s="11602" t="n"/>
      <c r="AC96" s="11602" t="n"/>
      <c r="AD96" s="11602" t="n"/>
      <c r="AE96" s="11602" t="n"/>
      <c r="AF96" s="11602" t="n"/>
      <c r="AG96" s="11602" t="n"/>
      <c r="AH96" s="11602" t="n"/>
      <c r="AI96" s="1401" t="inlineStr">
        <is>
          <t xml:space="preserve">.   .   .   .   .  </t>
        </is>
      </c>
      <c r="AJ96" s="2895" t="n">
        <v>14</v>
      </c>
      <c r="AK96" s="7638" t="n"/>
      <c r="AL96" s="8991">
        <f>SUM(AB93,AB94,AB95)</f>
        <v/>
      </c>
      <c r="AM96" s="7637" t="n"/>
      <c r="AN96" s="7637" t="n"/>
      <c r="AO96" s="7637" t="n"/>
      <c r="AP96" s="1277" t="n"/>
      <c r="AQ96" s="11602" t="n"/>
      <c r="AR96" s="11602" t="n"/>
      <c r="AS96" s="11602" t="n"/>
      <c r="AT96" s="11602" t="n"/>
      <c r="AU96" s="11602" t="n"/>
      <c r="AV96" s="11602" t="n"/>
      <c r="AW96" s="11602" t="n"/>
      <c r="AX96" s="1390">
        <f>AND(CGTW_Line5&gt;0,CGTW_Line5&lt;&gt;"")</f>
        <v/>
      </c>
      <c r="AY96" s="1388" t="inlineStr">
        <is>
          <t>1. Line 5 of your Qualified Dividends and Capital Gain Tax Worksheet is greater than zero, and</t>
        </is>
      </c>
      <c r="AZ96" s="1027" t="n"/>
      <c r="BA96" s="1027" t="n"/>
      <c r="BB96" s="1027" t="n"/>
      <c r="BC96" s="1027" t="n"/>
      <c r="BD96" s="1027" t="n"/>
      <c r="BE96" s="1027" t="n"/>
      <c r="BF96" s="1027" t="n"/>
      <c r="BG96" s="1027" t="n"/>
      <c r="BH96" s="1389" t="n"/>
    </row>
    <row r="97" ht="18" customHeight="1" s="7635">
      <c r="A97" s="2112" t="n"/>
      <c r="B97" s="8966" t="n">
        <v>15</v>
      </c>
      <c r="D97" s="11602" t="inlineStr">
        <is>
          <t>Enter the amount from line 7. This is your taxable income or (loss) from</t>
        </is>
      </c>
      <c r="E97" s="11602" t="n"/>
      <c r="F97" s="8650" t="n"/>
      <c r="G97" s="11602" t="n"/>
      <c r="H97" s="11602" t="n"/>
      <c r="I97" s="11602" t="n"/>
      <c r="J97" s="11602" t="n"/>
      <c r="K97" s="11602" t="n"/>
      <c r="L97" s="11602" t="n"/>
      <c r="M97" s="11602" t="n"/>
      <c r="N97" s="11602" t="n"/>
      <c r="O97" s="11602" t="n"/>
      <c r="P97" s="11602" t="n"/>
      <c r="Q97" s="11602" t="n"/>
      <c r="R97" s="11602" t="n"/>
      <c r="S97" s="11602" t="n"/>
      <c r="T97" s="11602" t="n"/>
      <c r="U97" s="11602" t="n"/>
      <c r="V97" s="11602" t="n"/>
      <c r="W97" s="11602" t="n"/>
      <c r="X97" s="11602" t="n"/>
      <c r="Y97" s="11602" t="n"/>
      <c r="Z97" s="2921" t="n"/>
      <c r="AA97" s="7636" t="n"/>
      <c r="AB97" s="408" t="n"/>
      <c r="AC97" s="11602" t="n"/>
      <c r="AD97" s="11602" t="n"/>
      <c r="AE97" s="11602" t="n"/>
      <c r="AF97" s="11602" t="n"/>
      <c r="AG97" s="11602" t="n"/>
      <c r="AH97" s="11602" t="n"/>
      <c r="AI97" s="409" t="n"/>
      <c r="AJ97" s="9082" t="n"/>
      <c r="AK97" s="6616" t="n"/>
      <c r="AL97" s="11602" t="n"/>
      <c r="AM97" s="11602" t="n"/>
      <c r="AN97" s="11602" t="n"/>
      <c r="AO97" s="11602" t="n"/>
      <c r="AP97" s="1277" t="n"/>
      <c r="AQ97" s="11602" t="n"/>
      <c r="AR97" s="11602" t="n"/>
      <c r="AS97" s="11602" t="n"/>
      <c r="AT97" s="11602" t="n"/>
      <c r="AU97" s="11602" t="n"/>
      <c r="AV97" s="11602" t="n"/>
      <c r="AW97" s="11602" t="n"/>
      <c r="AX97" s="1390">
        <f>AND(CGTW_Line23&lt;&gt;"",CGTW_Line24&lt;&gt;"",CGTW_Line23&lt;CGTW_Line24)</f>
        <v/>
      </c>
      <c r="AY97" s="1388" t="inlineStr">
        <is>
          <t>2. Line 23 of your Qualified Dividends and Capital Gain Tax Worksheet is less than line 24 of that worksheet.</t>
        </is>
      </c>
      <c r="AZ97" s="1027" t="n"/>
      <c r="BA97" s="1027" t="n"/>
      <c r="BB97" s="1027" t="n"/>
      <c r="BC97" s="1027" t="n"/>
      <c r="BD97" s="1027" t="n"/>
      <c r="BE97" s="1027" t="n"/>
      <c r="BF97" s="1027" t="n"/>
      <c r="BG97" s="1027" t="n"/>
      <c r="BH97" s="1389" t="n"/>
    </row>
    <row r="98" ht="13.5" customHeight="1" s="7635">
      <c r="A98" s="2112" t="n"/>
      <c r="B98" s="8966" t="n"/>
      <c r="D98" s="11602" t="inlineStr">
        <is>
          <t>sources outside the United States (before adjustments) for the category</t>
        </is>
      </c>
      <c r="E98" s="11602" t="n"/>
      <c r="F98" s="8650" t="n"/>
      <c r="G98" s="11602" t="n"/>
      <c r="H98" s="11602" t="n"/>
      <c r="I98" s="11602" t="n"/>
      <c r="J98" s="11602" t="n"/>
      <c r="K98" s="11602" t="n"/>
      <c r="L98" s="11602" t="n"/>
      <c r="M98" s="11602" t="n"/>
      <c r="N98" s="11602" t="n"/>
      <c r="O98" s="11602" t="n"/>
      <c r="P98" s="11602" t="n"/>
      <c r="Q98" s="11602" t="n"/>
      <c r="R98" s="11602" t="n"/>
      <c r="S98" s="11602" t="n"/>
      <c r="T98" s="11602" t="n"/>
      <c r="U98" s="11602" t="n"/>
      <c r="V98" s="11602" t="n"/>
      <c r="W98" s="11602" t="n"/>
      <c r="X98" s="11602" t="n"/>
      <c r="Y98" s="11602" t="n"/>
      <c r="Z98" s="2921" t="n"/>
      <c r="AA98" s="7636" t="n"/>
      <c r="AB98" s="408" t="n"/>
      <c r="AC98" s="11602" t="n"/>
      <c r="AD98" s="11602" t="n"/>
      <c r="AE98" s="11602" t="n"/>
      <c r="AF98" s="11602" t="n"/>
      <c r="AG98" s="11602" t="n"/>
      <c r="AH98" s="11602" t="n"/>
      <c r="AI98" s="409" t="n"/>
      <c r="AJ98" s="8967" t="n"/>
      <c r="AK98" s="6615" t="n"/>
      <c r="AL98" s="11602" t="n"/>
      <c r="AM98" s="11602" t="n"/>
      <c r="AN98" s="11602" t="n"/>
      <c r="AO98" s="11602" t="n"/>
      <c r="AP98" s="1277" t="n"/>
      <c r="AQ98" s="11602" t="n"/>
      <c r="AR98" s="11602" t="n"/>
      <c r="AS98" s="11602" t="n"/>
      <c r="AT98" s="11602" t="n"/>
      <c r="AU98" s="11602" t="n"/>
      <c r="AV98" s="11602" t="n"/>
      <c r="AW98" s="11602" t="n"/>
      <c r="AX98" s="1391">
        <f>AND(AX96,AX97)</f>
        <v/>
      </c>
      <c r="AY98" s="1388" t="n"/>
      <c r="AZ98" s="1027" t="n"/>
      <c r="BA98" s="1027" t="n"/>
      <c r="BB98" s="1027" t="n"/>
      <c r="BC98" s="1027" t="n"/>
      <c r="BD98" s="1027" t="n"/>
      <c r="BE98" s="1027" t="n"/>
      <c r="BF98" s="1027" t="n"/>
      <c r="BG98" s="1027" t="n"/>
      <c r="BH98" s="1389" t="n"/>
    </row>
    <row r="99" ht="13.5" customHeight="1" s="7635">
      <c r="A99" s="2112" t="n"/>
      <c r="B99" s="1321" t="n"/>
      <c r="C99" s="1321" t="n"/>
      <c r="D99" s="571" t="inlineStr">
        <is>
          <t>of income checked above Part I (see instructions)</t>
        </is>
      </c>
      <c r="E99" s="11602" t="n"/>
      <c r="F99" s="11602" t="n"/>
      <c r="G99" s="11602" t="n"/>
      <c r="H99" s="11602" t="n"/>
      <c r="I99" s="11602" t="n"/>
      <c r="J99" s="11602" t="n"/>
      <c r="K99" s="11602" t="n"/>
      <c r="L99" s="11602" t="n"/>
      <c r="M99" s="11602" t="n"/>
      <c r="N99" s="11602" t="n"/>
      <c r="O99" s="11602" t="n"/>
      <c r="P99" s="11602" t="n"/>
      <c r="Q99" s="11602" t="n"/>
      <c r="R99" s="11602" t="n"/>
      <c r="S99" s="11602" t="n"/>
      <c r="T99" s="11602" t="n"/>
      <c r="U99" s="11602" t="n"/>
      <c r="V99" s="11602" t="n"/>
      <c r="W99" s="11602" t="n"/>
      <c r="X99" s="11602" t="n"/>
      <c r="Y99" s="1401" t="inlineStr">
        <is>
          <t xml:space="preserve">.   .   .   .   .   .   .   .   .  </t>
        </is>
      </c>
      <c r="Z99" s="2895" t="n">
        <v>15</v>
      </c>
      <c r="AA99" s="7638" t="n"/>
      <c r="AB99" s="12250">
        <f>AL64</f>
        <v/>
      </c>
      <c r="AC99" s="7637" t="n"/>
      <c r="AD99" s="7637" t="n"/>
      <c r="AE99" s="7637" t="n"/>
      <c r="AF99" s="7637" t="n"/>
      <c r="AG99" s="7637" t="n"/>
      <c r="AH99" s="7637" t="n"/>
      <c r="AI99" s="7638" t="n"/>
      <c r="AJ99" s="8967" t="n"/>
      <c r="AK99" s="6615" t="n"/>
      <c r="AL99" s="11602" t="n"/>
      <c r="AM99" s="11602" t="n"/>
      <c r="AN99" s="11602" t="n"/>
      <c r="AO99" s="11602" t="n"/>
      <c r="AP99" s="1277" t="n"/>
      <c r="AQ99" s="11602" t="n"/>
      <c r="AR99" s="11602" t="n"/>
      <c r="AS99" s="11602" t="n"/>
      <c r="AT99" s="11602" t="n"/>
      <c r="AU99" s="11602" t="n"/>
      <c r="AV99" s="11602" t="n"/>
      <c r="AW99" s="11602" t="n"/>
      <c r="AX99" s="1392" t="inlineStr">
        <is>
          <t>See instructions for Form 1116 to see if you qualify for an exception that allows you to elect to NOT adjust your qualified</t>
        </is>
      </c>
      <c r="AY99" s="1388" t="n"/>
      <c r="AZ99" s="1027" t="n"/>
      <c r="BA99" s="1027" t="n"/>
      <c r="BB99" s="1027" t="n"/>
      <c r="BC99" s="1027" t="n"/>
      <c r="BD99" s="1027" t="n"/>
      <c r="BE99" s="1027" t="n"/>
      <c r="BF99" s="1027" t="n"/>
      <c r="BG99" s="1027" t="n"/>
      <c r="BH99" s="1389" t="n"/>
    </row>
    <row r="100" ht="15" customHeight="1" s="7635" thickBot="1">
      <c r="A100" s="2112" t="n"/>
      <c r="B100" s="8966" t="n">
        <v>16</v>
      </c>
      <c r="D100" s="9237" t="inlineStr">
        <is>
          <t>Adjustments to line 15 (see instructions)</t>
        </is>
      </c>
      <c r="E100" s="733" t="n"/>
      <c r="F100" s="7209" t="n"/>
      <c r="G100" s="11602" t="n"/>
      <c r="H100" s="11602" t="n"/>
      <c r="I100" s="11602" t="n"/>
      <c r="J100" s="11602" t="n"/>
      <c r="K100" s="11602" t="n"/>
      <c r="L100" s="11602" t="n"/>
      <c r="M100" s="11602" t="n"/>
      <c r="N100" s="11602" t="n"/>
      <c r="O100" s="11602" t="n"/>
      <c r="P100" s="7642" t="n"/>
      <c r="Q100" s="733" t="n"/>
      <c r="R100" s="7209" t="n"/>
      <c r="S100" s="344" t="n"/>
      <c r="T100" s="11602" t="n"/>
      <c r="U100" s="11602" t="n"/>
      <c r="V100" s="11602" t="n"/>
      <c r="W100" s="11602" t="n"/>
      <c r="X100" s="11602" t="n"/>
      <c r="Y100" s="1401" t="inlineStr">
        <is>
          <t xml:space="preserve">.   .   .   .   .   .   .   .   .   .   .   .  </t>
        </is>
      </c>
      <c r="Z100" s="2926" t="n">
        <v>16</v>
      </c>
      <c r="AA100" s="11734" t="n"/>
      <c r="AB100" s="12253" t="n"/>
      <c r="AC100" s="11717" t="n"/>
      <c r="AD100" s="11717" t="n"/>
      <c r="AE100" s="11717" t="n"/>
      <c r="AF100" s="11717" t="n"/>
      <c r="AG100" s="11717" t="n"/>
      <c r="AH100" s="11717" t="n"/>
      <c r="AI100" s="11718" t="n"/>
      <c r="AJ100" s="8967" t="n"/>
      <c r="AK100" s="6615" t="n"/>
      <c r="AL100" s="11602" t="n"/>
      <c r="AM100" s="11602" t="n"/>
      <c r="AN100" s="11602" t="n"/>
      <c r="AO100" s="11602" t="n"/>
      <c r="AP100" s="1277" t="n"/>
      <c r="AQ100" s="11602" t="n"/>
      <c r="AR100" s="11602" t="n"/>
      <c r="AS100" s="11602" t="n"/>
      <c r="AT100" s="11602" t="n"/>
      <c r="AU100" s="11602" t="n"/>
      <c r="AV100" s="11602" t="n"/>
      <c r="AW100" s="11602" t="n"/>
      <c r="AX100" s="1393" t="inlineStr">
        <is>
          <t>dividends and capital gains. If so, you must make this election by not completing ths worksheet.</t>
        </is>
      </c>
      <c r="AY100" s="1394" t="n"/>
      <c r="AZ100" s="1395" t="n"/>
      <c r="BA100" s="1395" t="n"/>
      <c r="BB100" s="1395" t="n"/>
      <c r="BC100" s="1395" t="n"/>
      <c r="BD100" s="1395" t="n"/>
      <c r="BE100" s="1395" t="n"/>
      <c r="BF100" s="1395" t="n"/>
      <c r="BG100" s="1395" t="n"/>
      <c r="BH100" s="1396" t="n"/>
    </row>
    <row r="101" ht="14.25" customHeight="1" s="7635">
      <c r="A101" s="2112" t="n"/>
      <c r="B101" s="8966" t="n">
        <v>17</v>
      </c>
      <c r="D101" s="344" t="inlineStr">
        <is>
          <t>Combine the amounts on lines 15 and 16. This is your net foreign source</t>
        </is>
      </c>
      <c r="E101" s="11602" t="n"/>
      <c r="F101" s="8650" t="n"/>
      <c r="G101" s="11602" t="n"/>
      <c r="H101" s="11602" t="n"/>
      <c r="I101" s="11602" t="n"/>
      <c r="J101" s="11602" t="n"/>
      <c r="K101" s="11602" t="n"/>
      <c r="L101" s="11602" t="n"/>
      <c r="M101" s="11602" t="n"/>
      <c r="N101" s="11602" t="n"/>
      <c r="O101" s="11602" t="n"/>
      <c r="P101" s="11602" t="n"/>
      <c r="Q101" s="11602" t="n"/>
      <c r="R101" s="11602" t="n"/>
      <c r="S101" s="11602" t="n"/>
      <c r="T101" s="11602" t="n"/>
      <c r="U101" s="11602" t="n"/>
      <c r="V101" s="11602" t="n"/>
      <c r="W101" s="11602" t="n"/>
      <c r="X101" s="11602" t="n"/>
      <c r="Y101" s="11602" t="n"/>
      <c r="Z101" s="2921" t="n"/>
      <c r="AA101" s="7636" t="n"/>
      <c r="AB101" s="408" t="n"/>
      <c r="AC101" s="11602" t="n"/>
      <c r="AD101" s="11602" t="n"/>
      <c r="AE101" s="11602" t="n"/>
      <c r="AF101" s="11602" t="n"/>
      <c r="AG101" s="11602" t="n"/>
      <c r="AH101" s="11602" t="n"/>
      <c r="AI101" s="409" t="n"/>
      <c r="AJ101" s="8967" t="n"/>
      <c r="AK101" s="6615" t="n"/>
      <c r="AL101" s="11602" t="n"/>
      <c r="AM101" s="11602" t="n"/>
      <c r="AN101" s="11602" t="n"/>
      <c r="AO101" s="11602" t="n"/>
      <c r="AP101" s="1277" t="n"/>
      <c r="AQ101" s="11602" t="n"/>
      <c r="AR101" s="11602" t="n"/>
      <c r="AS101" s="11602" t="n"/>
      <c r="AT101" s="11602" t="n"/>
      <c r="AU101" s="11602" t="n"/>
      <c r="AV101" s="11602" t="n"/>
      <c r="AW101" s="11602" t="n"/>
      <c r="AX101" s="12254" t="inlineStr">
        <is>
          <t>Worksheet for Line 18 (Worldwide Qualified Dividends and Capital Gains)</t>
        </is>
      </c>
      <c r="AY101" s="2506" t="n"/>
      <c r="AZ101" s="2506" t="n"/>
      <c r="BA101" s="2506" t="n"/>
      <c r="BB101" s="2506" t="n"/>
      <c r="BC101" s="2506" t="n"/>
      <c r="BD101" s="2506" t="n"/>
      <c r="BE101" s="2506" t="n"/>
      <c r="BF101" s="12255" t="inlineStr">
        <is>
          <t>Keep for Your Records</t>
        </is>
      </c>
      <c r="BG101" s="2506" t="n"/>
      <c r="BH101" s="4191" t="n"/>
    </row>
    <row r="102" ht="12" customHeight="1" s="7635">
      <c r="A102" s="2112" t="n"/>
      <c r="B102" s="8966" t="n"/>
      <c r="D102" s="344" t="inlineStr">
        <is>
          <t>taxable income. (If the result is zero or less, you have no foreign tax credit</t>
        </is>
      </c>
      <c r="E102" s="11602" t="n"/>
      <c r="F102" s="8650" t="n"/>
      <c r="G102" s="11602" t="n"/>
      <c r="H102" s="11602" t="n"/>
      <c r="I102" s="11602" t="n"/>
      <c r="J102" s="11602" t="n"/>
      <c r="K102" s="11602" t="n"/>
      <c r="L102" s="11602" t="n"/>
      <c r="M102" s="11602" t="n"/>
      <c r="N102" s="11602" t="n"/>
      <c r="O102" s="11602" t="n"/>
      <c r="P102" s="11602" t="n"/>
      <c r="Q102" s="11602" t="n"/>
      <c r="R102" s="11602" t="n"/>
      <c r="S102" s="11602" t="n"/>
      <c r="T102" s="11602" t="n"/>
      <c r="U102" s="11602" t="n"/>
      <c r="V102" s="11602" t="n"/>
      <c r="W102" s="11602" t="n"/>
      <c r="X102" s="11602" t="n"/>
      <c r="Y102" s="11602" t="n"/>
      <c r="Z102" s="2921" t="n"/>
      <c r="AA102" s="7636" t="n"/>
      <c r="AB102" s="6492" t="n"/>
      <c r="AC102" s="1193" t="n"/>
      <c r="AD102" s="1193" t="n"/>
      <c r="AE102" s="1193" t="n"/>
      <c r="AF102" s="1193" t="n"/>
      <c r="AG102" s="1193" t="n"/>
      <c r="AH102" s="1193" t="n"/>
      <c r="AI102" s="6493" t="n"/>
      <c r="AJ102" s="8967" t="n"/>
      <c r="AK102" s="6615" t="n"/>
      <c r="AL102" s="11602" t="n"/>
      <c r="AM102" s="11602" t="n"/>
      <c r="AN102" s="11602" t="n"/>
      <c r="AO102" s="11602" t="n"/>
      <c r="AP102" s="1277" t="n"/>
      <c r="AQ102" s="11602" t="n"/>
      <c r="AR102" s="11602" t="n"/>
      <c r="AS102" s="11602" t="n"/>
      <c r="AT102" s="11602" t="n"/>
      <c r="AU102" s="11602" t="n"/>
      <c r="AV102" s="11602" t="n"/>
      <c r="AW102" s="11602" t="n"/>
      <c r="AX102" s="11907" t="n"/>
      <c r="AY102" s="7637" t="n"/>
      <c r="AZ102" s="7637" t="n"/>
      <c r="BA102" s="7637" t="n"/>
      <c r="BB102" s="7637" t="n"/>
      <c r="BC102" s="7637" t="n"/>
      <c r="BD102" s="7637" t="n"/>
      <c r="BE102" s="7637" t="n"/>
      <c r="BF102" s="7637" t="n"/>
      <c r="BG102" s="7637" t="n"/>
      <c r="BH102" s="4192" t="n"/>
    </row>
    <row r="103" ht="13.5" customHeight="1" s="7635">
      <c r="A103" s="2112" t="n"/>
      <c r="B103" s="1321" t="n"/>
      <c r="C103" s="1321" t="n"/>
      <c r="D103" s="979" t="inlineStr">
        <is>
          <t>line 20.)</t>
        </is>
      </c>
      <c r="E103" s="11602" t="n"/>
      <c r="F103" s="11602" t="n"/>
      <c r="G103" s="11602" t="n"/>
      <c r="H103" s="11602" t="n"/>
      <c r="I103" s="11602" t="n"/>
      <c r="J103" s="11602" t="n"/>
      <c r="K103" s="11602" t="n"/>
      <c r="L103" s="11602" t="n"/>
      <c r="M103" s="11602" t="n"/>
      <c r="N103" s="11602" t="n"/>
      <c r="O103" s="11602" t="n"/>
      <c r="P103" s="11602" t="n"/>
      <c r="Q103" s="11602" t="n"/>
      <c r="R103" s="11602" t="n"/>
      <c r="S103" s="11602" t="n"/>
      <c r="T103" s="11602" t="n"/>
      <c r="U103" s="11602" t="n"/>
      <c r="V103" s="11602" t="n"/>
      <c r="W103" s="11602" t="n"/>
      <c r="X103" s="11602" t="n"/>
      <c r="Y103" s="1401" t="inlineStr">
        <is>
          <t xml:space="preserve">.   .   .   .   .   .   .   .   .   .   .   .   .   .   .   .   .   .   .   .   .   .   .  </t>
        </is>
      </c>
      <c r="Z103" s="2895" t="n">
        <v>17</v>
      </c>
      <c r="AA103" s="7638" t="n"/>
      <c r="AB103" s="12250">
        <f>SUM(AB99,AB100)</f>
        <v/>
      </c>
      <c r="AC103" s="7637" t="n"/>
      <c r="AD103" s="7637" t="n"/>
      <c r="AE103" s="7637" t="n"/>
      <c r="AF103" s="7637" t="n"/>
      <c r="AG103" s="7637" t="n"/>
      <c r="AH103" s="7637" t="n"/>
      <c r="AI103" s="7638" t="n"/>
      <c r="AJ103" s="8967" t="n"/>
      <c r="AK103" s="6615" t="n"/>
      <c r="AL103" s="8952" t="n"/>
      <c r="AP103" s="1277" t="n"/>
      <c r="AQ103" s="8952">
        <f>IF(AND(AL96&gt;0,AB104),"Skip lines 18 through 24.","")</f>
        <v/>
      </c>
      <c r="AV103" s="11602" t="n"/>
      <c r="AW103" s="11602" t="n"/>
      <c r="AX103" s="4193" t="n"/>
      <c r="AY103" s="851" t="n"/>
      <c r="AZ103" s="851" t="n"/>
      <c r="BA103" s="851" t="n"/>
      <c r="BB103" s="851" t="n"/>
      <c r="BC103" s="851" t="n"/>
      <c r="BD103" s="851" t="n"/>
      <c r="BE103" s="851" t="n"/>
      <c r="BF103" s="851" t="n"/>
      <c r="BG103" s="851" t="n"/>
      <c r="BH103" s="4194" t="n"/>
    </row>
    <row r="104" ht="14.25" customHeight="1" s="7635">
      <c r="A104" s="2112" t="n"/>
      <c r="B104" s="8966" t="n">
        <v>18</v>
      </c>
      <c r="D104" s="344" t="inlineStr">
        <is>
          <t>Individuals:Enter the sum of (i) Form 1040, 1040-SR, or 1040-NR, line 11b,</t>
        </is>
      </c>
      <c r="E104" s="11602" t="n"/>
      <c r="F104" s="8650" t="n"/>
      <c r="G104" s="11602" t="n"/>
      <c r="H104" s="11602" t="n"/>
      <c r="I104" s="11602" t="n"/>
      <c r="J104" s="11602" t="n"/>
      <c r="K104" s="11602" t="n"/>
      <c r="L104" s="11602" t="n"/>
      <c r="M104" s="11602" t="n"/>
      <c r="N104" s="11602" t="n"/>
      <c r="O104" s="11602" t="n"/>
      <c r="P104" s="11602" t="n"/>
      <c r="Q104" s="11602" t="n"/>
      <c r="R104" s="11602" t="n"/>
      <c r="S104" s="11602" t="n"/>
      <c r="T104" s="11602" t="n"/>
      <c r="U104" s="11602" t="n"/>
      <c r="V104" s="11602" t="n"/>
      <c r="W104" s="11602" t="n"/>
      <c r="X104" s="11602" t="n"/>
      <c r="Y104" s="11602" t="n"/>
      <c r="Z104" s="2921" t="n"/>
      <c r="AA104" s="7636" t="n"/>
      <c r="AB104" s="12256">
        <f>AND(AB103&lt;=0,AQ107="")</f>
        <v/>
      </c>
      <c r="AC104" s="7839" t="n"/>
      <c r="AD104" s="7839" t="n"/>
      <c r="AE104" s="7839" t="n"/>
      <c r="AF104" s="7839" t="n"/>
      <c r="AG104" s="7839" t="n"/>
      <c r="AH104" s="7839" t="n"/>
      <c r="AI104" s="10091" t="n"/>
      <c r="AJ104" s="8967" t="n"/>
      <c r="AK104" s="6615" t="n"/>
      <c r="AL104" s="8961" t="n"/>
      <c r="AP104" s="1277" t="n"/>
      <c r="AQ104" s="8961" t="n"/>
      <c r="AX104" s="6499" t="inlineStr">
        <is>
          <t>Caution:</t>
        </is>
      </c>
      <c r="AY104" s="1193" t="inlineStr">
        <is>
          <t>See the instructions for line 18 below before starting this worksheet.</t>
        </is>
      </c>
      <c r="AZ104" s="851" t="n"/>
      <c r="BA104" s="851" t="n"/>
      <c r="BB104" s="851" t="n"/>
      <c r="BC104" s="851" t="n"/>
      <c r="BD104" s="851" t="n"/>
      <c r="BE104" s="851" t="n"/>
      <c r="BF104" s="851" t="n"/>
      <c r="BG104" s="851" t="n"/>
      <c r="BH104" s="4194" t="n"/>
    </row>
    <row r="105" ht="12" customHeight="1" s="7635">
      <c r="A105" s="2112" t="n"/>
      <c r="B105" s="8966" t="n"/>
      <c r="C105" s="8966" t="n"/>
      <c r="D105" s="9237" t="inlineStr">
        <is>
          <t>minus Form 1040, 1040-SR, or 1040-NR, line 14, and (ii) Schedule 1-A</t>
        </is>
      </c>
      <c r="E105" s="8966" t="n"/>
      <c r="F105" s="8650" t="n"/>
      <c r="G105" s="11602" t="n"/>
      <c r="H105" s="11602" t="n"/>
      <c r="I105" s="11602" t="n"/>
      <c r="J105" s="11602" t="n"/>
      <c r="K105" s="11602" t="n"/>
      <c r="L105" s="11602" t="n"/>
      <c r="M105" s="11602" t="n"/>
      <c r="N105" s="11602" t="n"/>
      <c r="O105" s="11602" t="n"/>
      <c r="P105" s="11602" t="n"/>
      <c r="Q105" s="11602" t="n"/>
      <c r="R105" s="11602" t="n"/>
      <c r="S105" s="11602" t="n"/>
      <c r="T105" s="11602" t="n"/>
      <c r="U105" s="11602" t="n"/>
      <c r="V105" s="11602" t="n"/>
      <c r="W105" s="11602" t="n"/>
      <c r="X105" s="11602" t="n"/>
      <c r="Y105" s="11602" t="n"/>
      <c r="Z105" s="8977" t="n"/>
      <c r="AA105" s="8978" t="n"/>
      <c r="AB105" s="12257">
        <f>IF(TotalDeductions="",0,TotalDeductions)</f>
        <v/>
      </c>
      <c r="AI105" s="7636" t="n"/>
      <c r="AJ105" s="8967" t="n"/>
      <c r="AK105" s="6615" t="n"/>
      <c r="AL105" s="8961" t="n"/>
      <c r="AM105" s="8961" t="n"/>
      <c r="AN105" s="8961" t="n"/>
      <c r="AO105" s="8961" t="n"/>
      <c r="AP105" s="1277" t="n"/>
      <c r="AQ105" s="8961" t="n"/>
      <c r="AR105" s="8961" t="n"/>
      <c r="AS105" s="8961" t="n"/>
      <c r="AT105" s="8961" t="n"/>
      <c r="AU105" s="11602" t="n"/>
      <c r="AV105" s="11602" t="n"/>
      <c r="AW105" s="11602" t="n"/>
      <c r="AX105" s="4193" t="n"/>
      <c r="AY105" s="851" t="n"/>
      <c r="AZ105" s="851" t="n"/>
      <c r="BA105" s="851" t="n"/>
      <c r="BB105" s="851" t="n"/>
      <c r="BC105" s="851" t="n"/>
      <c r="BD105" s="851" t="n"/>
      <c r="BE105" s="851" t="n"/>
      <c r="BF105" s="851" t="n"/>
      <c r="BG105" s="851" t="n"/>
      <c r="BH105" s="4194" t="n"/>
    </row>
    <row r="106" ht="12" customHeight="1" s="7635">
      <c r="A106" s="2112" t="n"/>
      <c r="B106" s="8966" t="n"/>
      <c r="C106" s="8966" t="n"/>
      <c r="D106" s="8648" t="inlineStr">
        <is>
          <t>(Form 1040), line 37. Estates and trusts: Enter your taxable income without</t>
        </is>
      </c>
      <c r="E106" s="8966" t="n"/>
      <c r="F106" s="8650" t="n"/>
      <c r="G106" s="11602" t="n"/>
      <c r="H106" s="11602" t="n"/>
      <c r="I106" s="11602" t="n"/>
      <c r="J106" s="11602" t="n"/>
      <c r="K106" s="11602" t="n"/>
      <c r="L106" s="11602" t="n"/>
      <c r="M106" s="11602" t="n"/>
      <c r="N106" s="11602" t="n"/>
      <c r="O106" s="11602" t="n"/>
      <c r="P106" s="11602" t="n"/>
      <c r="Q106" s="11602" t="n"/>
      <c r="R106" s="11602" t="n"/>
      <c r="S106" s="11602" t="n"/>
      <c r="T106" s="11602" t="n"/>
      <c r="U106" s="11602" t="n"/>
      <c r="V106" s="11602" t="n"/>
      <c r="W106" s="11602" t="n"/>
      <c r="X106" s="11602" t="n"/>
      <c r="Y106" s="11602" t="n"/>
      <c r="Z106" s="8977" t="n"/>
      <c r="AA106" s="8978" t="n"/>
      <c r="AB106" s="12257">
        <f>IF(DeductionForSeniors="",0,DeductionForSeniors)</f>
        <v/>
      </c>
      <c r="AI106" s="7636" t="n"/>
      <c r="AJ106" s="8967" t="n"/>
      <c r="AK106" s="6615" t="n"/>
      <c r="AL106" s="8961" t="n"/>
      <c r="AM106" s="8961" t="n"/>
      <c r="AN106" s="8961" t="n"/>
      <c r="AO106" s="8961" t="n"/>
      <c r="AP106" s="1277" t="n"/>
      <c r="AQ106" s="8961" t="n"/>
      <c r="AR106" s="8961" t="n"/>
      <c r="AS106" s="8961" t="n"/>
      <c r="AT106" s="8961" t="n"/>
      <c r="AU106" s="11602" t="n"/>
      <c r="AV106" s="11602" t="n"/>
      <c r="AW106" s="11602" t="n"/>
      <c r="AX106" s="4193" t="n"/>
      <c r="AY106" s="851" t="n"/>
      <c r="AZ106" s="851" t="n"/>
      <c r="BA106" s="851" t="n"/>
      <c r="BB106" s="851" t="n"/>
      <c r="BC106" s="851" t="n"/>
      <c r="BD106" s="851" t="n"/>
      <c r="BE106" s="851" t="n"/>
      <c r="BF106" s="851" t="n"/>
      <c r="BG106" s="851" t="n"/>
      <c r="BH106" s="4194" t="n"/>
    </row>
    <row r="107" ht="12.75" customHeight="1" s="7635">
      <c r="A107" s="2112" t="n"/>
      <c r="B107" s="1321" t="n"/>
      <c r="C107" s="1321" t="n"/>
      <c r="D107" s="8648" t="inlineStr">
        <is>
          <t>the deduction for your exemption</t>
        </is>
      </c>
      <c r="E107" s="11602" t="n"/>
      <c r="F107" s="11602" t="n"/>
      <c r="G107" s="11602" t="n"/>
      <c r="H107" s="11602" t="n"/>
      <c r="I107" s="11602" t="n"/>
      <c r="J107" s="11602" t="n"/>
      <c r="K107" s="11602" t="n"/>
      <c r="L107" s="11602" t="n"/>
      <c r="M107" s="11602" t="n"/>
      <c r="N107" s="11602" t="n"/>
      <c r="O107" s="11602" t="n"/>
      <c r="P107" s="11602" t="n"/>
      <c r="Q107" s="11602" t="n"/>
      <c r="R107" s="11602" t="n"/>
      <c r="S107" s="11602" t="n"/>
      <c r="T107" s="11602" t="n"/>
      <c r="U107" s="11602" t="n"/>
      <c r="V107" s="11602" t="n"/>
      <c r="W107" s="11602" t="n"/>
      <c r="X107" s="11602" t="n"/>
      <c r="Y107" s="1401" t="inlineStr">
        <is>
          <t xml:space="preserve">.   .   .   .   .   .   .   .   .   .   .   .   .   .   .   .  </t>
        </is>
      </c>
      <c r="Z107" s="2895" t="n">
        <v>18</v>
      </c>
      <c r="AA107" s="7638" t="n"/>
      <c r="AB107" s="12250">
        <f>IF(AQ107&lt;&gt;"",ROUND(AQ107,0),IF(AB104,"",IF(AX98,BG122,SUM(Adj_Gross_Inc_Pg2,-AB105,AB106))))</f>
        <v/>
      </c>
      <c r="AC107" s="7637" t="n"/>
      <c r="AD107" s="7637" t="n"/>
      <c r="AE107" s="7637" t="n"/>
      <c r="AF107" s="7637" t="n"/>
      <c r="AG107" s="7637" t="n"/>
      <c r="AH107" s="7637" t="n"/>
      <c r="AI107" s="7638" t="n"/>
      <c r="AJ107" s="8967" t="n"/>
      <c r="AK107" s="6615" t="n"/>
      <c r="AL107" s="11602" t="n"/>
      <c r="AM107" s="11602" t="n"/>
      <c r="AN107" s="11602" t="n"/>
      <c r="AO107" s="11602" t="n"/>
      <c r="AP107" s="1277" t="n"/>
      <c r="AQ107" s="8957" t="n"/>
      <c r="AR107" s="11717" t="n"/>
      <c r="AS107" s="11717" t="n"/>
      <c r="AT107" s="11717" t="n"/>
      <c r="AU107" s="1277" t="n"/>
      <c r="AV107" s="11602" t="n"/>
      <c r="AW107" s="11602" t="n"/>
      <c r="AX107" s="4195" t="inlineStr">
        <is>
          <t>1.</t>
        </is>
      </c>
      <c r="AY107" s="1193" t="inlineStr">
        <is>
          <t>Individuals: Enter the sum of (i) Form 1040, 1040-SR, or 1040-NR, line 11b, minus Form</t>
        </is>
      </c>
      <c r="AZ107" s="851" t="n"/>
      <c r="BA107" s="851" t="n"/>
      <c r="BB107" s="851" t="n"/>
      <c r="BC107" s="851" t="n"/>
      <c r="BD107" s="851" t="n"/>
      <c r="BE107" s="851" t="n"/>
      <c r="BF107" s="851" t="n"/>
      <c r="BG107" s="990">
        <f>IF(TotalDeductions="",0,TotalDeductions)</f>
        <v/>
      </c>
      <c r="BH107" s="4194" t="n"/>
    </row>
    <row r="108" ht="12.75" customHeight="1" s="7635">
      <c r="A108" s="2112" t="n"/>
      <c r="B108" s="1321" t="n"/>
      <c r="C108" s="1321" t="n"/>
      <c r="D108" s="979" t="inlineStr">
        <is>
          <t>Caution: If you figured your tax using the lower rates on qualified dividends or capital gains, see</t>
        </is>
      </c>
      <c r="E108" s="733" t="n"/>
      <c r="F108" s="7209" t="n"/>
      <c r="G108" s="11602" t="n"/>
      <c r="H108" s="11602" t="n"/>
      <c r="I108" s="11602" t="n"/>
      <c r="J108" s="11602" t="n"/>
      <c r="K108" s="11602" t="n"/>
      <c r="L108" s="11602" t="n"/>
      <c r="M108" s="11602" t="n"/>
      <c r="N108" s="11602" t="n"/>
      <c r="O108" s="11602" t="n"/>
      <c r="P108" s="7642" t="n"/>
      <c r="Q108" s="733" t="n"/>
      <c r="R108" s="7209" t="n"/>
      <c r="S108" s="344" t="n"/>
      <c r="T108" s="11602" t="n"/>
      <c r="U108" s="11602" t="n"/>
      <c r="V108" s="11602" t="n"/>
      <c r="W108" s="11602" t="n"/>
      <c r="X108" s="11602" t="n"/>
      <c r="Y108" s="11602" t="n"/>
      <c r="Z108" s="11602" t="n"/>
      <c r="AA108" s="11602" t="n"/>
      <c r="AB108" s="11602" t="n"/>
      <c r="AC108" s="11602" t="n"/>
      <c r="AD108" s="7642" t="n"/>
      <c r="AE108" s="733" t="n"/>
      <c r="AF108" s="7209" t="n"/>
      <c r="AG108" s="11602" t="n"/>
      <c r="AH108" s="11602" t="n"/>
      <c r="AI108" s="11602" t="n"/>
      <c r="AJ108" s="8967" t="n"/>
      <c r="AK108" s="6615" t="n"/>
      <c r="AL108" s="11602" t="n"/>
      <c r="AM108" s="11602" t="n"/>
      <c r="AN108" s="11602" t="n"/>
      <c r="AO108" s="11602" t="n"/>
      <c r="AP108" s="1277" t="n"/>
      <c r="AQ108" s="1277" t="n"/>
      <c r="AR108" s="1277" t="n"/>
      <c r="AS108" s="1277" t="n"/>
      <c r="AT108" s="1277" t="n"/>
      <c r="AU108" s="1277" t="n"/>
      <c r="AV108" s="11602" t="n"/>
      <c r="AW108" s="11602" t="n"/>
      <c r="AX108" s="4195" t="n"/>
      <c r="AY108" s="1193" t="inlineStr">
        <is>
          <t>1040, 1040-SR, or 1040-NR, line 14; and (ii) Schedule 1-A (Form 1040), line 37.</t>
        </is>
      </c>
      <c r="AZ108" s="851" t="n"/>
      <c r="BA108" s="851" t="n"/>
      <c r="BB108" s="851" t="n"/>
      <c r="BC108" s="851" t="n"/>
      <c r="BD108" s="851" t="n"/>
      <c r="BE108" s="851" t="n"/>
      <c r="BF108" s="851" t="n"/>
      <c r="BG108" s="990">
        <f>IF(DeductionForSeniors="",0,DeductionForSeniors)</f>
        <v/>
      </c>
      <c r="BH108" s="4194" t="n"/>
    </row>
    <row r="109" ht="12.75" customHeight="1" s="7635">
      <c r="A109" s="2112" t="n"/>
      <c r="B109" s="344" t="n"/>
      <c r="C109" s="344" t="n"/>
      <c r="D109" s="571" t="inlineStr">
        <is>
          <t>instructions.</t>
        </is>
      </c>
      <c r="E109" s="11602" t="n"/>
      <c r="F109" s="11602" t="n"/>
      <c r="G109" s="11602" t="n"/>
      <c r="H109" s="11602" t="n"/>
      <c r="I109" s="11602" t="n"/>
      <c r="J109" s="11602" t="n"/>
      <c r="K109" s="11602" t="n"/>
      <c r="L109" s="11602" t="n"/>
      <c r="M109" s="11602" t="n"/>
      <c r="N109" s="11602" t="n"/>
      <c r="O109" s="11602" t="n"/>
      <c r="P109" s="11602" t="n"/>
      <c r="Q109" s="11602" t="n"/>
      <c r="R109" s="11602" t="n"/>
      <c r="S109" s="11602" t="n"/>
      <c r="T109" s="794" t="n"/>
      <c r="U109" s="11602" t="n"/>
      <c r="V109" s="11602" t="n"/>
      <c r="W109" s="11602" t="n"/>
      <c r="X109" s="11602" t="n"/>
      <c r="Y109" s="11602" t="n"/>
      <c r="Z109" s="11602" t="n"/>
      <c r="AA109" s="11602" t="n"/>
      <c r="AB109" s="11602" t="n"/>
      <c r="AC109" s="11602" t="n"/>
      <c r="AD109" s="11602" t="n"/>
      <c r="AE109" s="11602" t="n"/>
      <c r="AF109" s="11602" t="n"/>
      <c r="AG109" s="11602" t="n"/>
      <c r="AH109" s="11602" t="n"/>
      <c r="AI109" s="11602" t="n"/>
      <c r="AJ109" s="8967" t="n"/>
      <c r="AK109" s="6615" t="n"/>
      <c r="AL109" s="11602" t="n"/>
      <c r="AM109" s="11602" t="n"/>
      <c r="AN109" s="11602" t="n"/>
      <c r="AO109" s="11602" t="n"/>
      <c r="AP109" s="1277" t="n"/>
      <c r="AQ109" s="1277" t="n"/>
      <c r="AR109" s="1277" t="n"/>
      <c r="AS109" s="1277" t="n"/>
      <c r="AT109" s="1277" t="n"/>
      <c r="AU109" s="1277" t="n"/>
      <c r="AV109" s="11602" t="n"/>
      <c r="AW109" s="11602" t="n"/>
      <c r="AX109" s="4193" t="n"/>
      <c r="AY109" s="1193" t="inlineStr">
        <is>
          <t>Estates and trusts: Enter taxable income without the deduction for your exemption</t>
        </is>
      </c>
      <c r="AZ109" s="851" t="n"/>
      <c r="BA109" s="851" t="n"/>
      <c r="BB109" s="851" t="n"/>
      <c r="BC109" s="851" t="n"/>
      <c r="BD109" s="851" t="n"/>
      <c r="BE109" s="1027" t="n"/>
      <c r="BF109" s="1028" t="inlineStr">
        <is>
          <t>1.</t>
        </is>
      </c>
      <c r="BG109" s="1030">
        <f>IF(NOT(AX98),"",SUM(Adj_Gross_Inc_Pg2,-BG107,BG108))</f>
        <v/>
      </c>
      <c r="BH109" s="4194" t="n"/>
    </row>
    <row r="110" ht="16.5" customHeight="1" s="7635">
      <c r="A110" s="2112" t="n"/>
      <c r="B110" s="8966" t="n">
        <v>19</v>
      </c>
      <c r="D110" s="344" t="inlineStr">
        <is>
          <t>Divide line 17 by line 18. If line 17 is more than line 18, enter “1”</t>
        </is>
      </c>
      <c r="E110" s="11602" t="n"/>
      <c r="F110" s="8650" t="n"/>
      <c r="G110" s="11602" t="n"/>
      <c r="H110" s="11602" t="n"/>
      <c r="I110" s="11602" t="n"/>
      <c r="J110" s="11602" t="n"/>
      <c r="K110" s="11602" t="n"/>
      <c r="L110" s="11602" t="n"/>
      <c r="M110" s="11602" t="n"/>
      <c r="N110" s="11602" t="n"/>
      <c r="O110" s="11602" t="n"/>
      <c r="P110" s="11602" t="n"/>
      <c r="Q110" s="11602" t="n"/>
      <c r="R110" s="11602" t="n"/>
      <c r="S110" s="11602" t="n"/>
      <c r="T110" s="11602" t="n"/>
      <c r="U110" s="11602" t="n"/>
      <c r="V110" s="11602" t="n"/>
      <c r="W110" s="11602" t="n"/>
      <c r="X110" s="11602" t="n"/>
      <c r="Y110" s="11602" t="n"/>
      <c r="Z110" s="11602" t="n"/>
      <c r="AA110" s="11602" t="n"/>
      <c r="AB110" s="11602" t="n"/>
      <c r="AC110" s="11602" t="n"/>
      <c r="AD110" s="11602" t="n"/>
      <c r="AE110" s="11602" t="n"/>
      <c r="AF110" s="11602" t="n"/>
      <c r="AG110" s="11602" t="n"/>
      <c r="AH110" s="11602" t="n"/>
      <c r="AI110" s="1401" t="inlineStr">
        <is>
          <t xml:space="preserve">.   .   .   .   .   .   .   .   .   .   .   .   .   .   .  </t>
        </is>
      </c>
      <c r="AJ110" s="2895" t="n">
        <v>19</v>
      </c>
      <c r="AK110" s="7638" t="n"/>
      <c r="AL110" s="12258">
        <f>IF(AQ110&lt;&gt;"",ROUND(AQ110,4),IF(AB104,0,IF(OR(AB107="",AB107=0),"                    ---",IF(AB103&gt;AB107,1,ROUND(AB103/AB107,4)))))</f>
        <v/>
      </c>
      <c r="AM110" s="7637" t="n"/>
      <c r="AN110" s="7637" t="n"/>
      <c r="AO110" s="7637" t="n"/>
      <c r="AP110" s="1277" t="n"/>
      <c r="AQ110" s="12259" t="n"/>
      <c r="AR110" s="11717" t="n"/>
      <c r="AS110" s="11717" t="n"/>
      <c r="AT110" s="11717" t="n"/>
      <c r="AU110" s="1277" t="n"/>
      <c r="AV110" s="11602" t="n"/>
      <c r="AW110" s="11602" t="n"/>
      <c r="AX110" s="4195" t="inlineStr">
        <is>
          <t>2.</t>
        </is>
      </c>
      <c r="AY110" s="1193">
        <f>"Enter your worldwide "&amp;TEXT(BF110,"0%")&amp;" gains (see instructions)"</f>
        <v/>
      </c>
      <c r="AZ110" s="851" t="n"/>
      <c r="BA110" s="851" t="n"/>
      <c r="BB110" s="851" t="n"/>
      <c r="BC110" s="851" t="n"/>
      <c r="BD110" s="4196" t="inlineStr">
        <is>
          <t>2.</t>
        </is>
      </c>
      <c r="BE110" s="7843" t="n"/>
      <c r="BF110" s="4197" t="n">
        <v>0.28</v>
      </c>
      <c r="BG110" s="851" t="n"/>
      <c r="BH110" s="4194" t="n"/>
    </row>
    <row r="111" ht="18" customHeight="1" s="7635">
      <c r="A111" s="2112" t="n"/>
      <c r="B111" s="8966" t="n">
        <v>20</v>
      </c>
      <c r="D111" s="344" t="inlineStr">
        <is>
          <t>Individuals: Enter the total of Form 1040 or 1040-SR, line 16, and Schedule 2 (Form 1040),</t>
        </is>
      </c>
      <c r="E111" s="11602" t="n"/>
      <c r="F111" s="8650" t="n"/>
      <c r="G111" s="11602" t="n"/>
      <c r="H111" s="11602" t="n"/>
      <c r="I111" s="11602" t="n"/>
      <c r="J111" s="11602" t="n"/>
      <c r="K111" s="11602" t="n"/>
      <c r="L111" s="11602" t="n"/>
      <c r="M111" s="11602" t="n"/>
      <c r="N111" s="11602" t="n"/>
      <c r="O111" s="11602" t="n"/>
      <c r="P111" s="11602" t="n"/>
      <c r="Q111" s="11602" t="n"/>
      <c r="R111" s="11602" t="n"/>
      <c r="S111" s="11602" t="n"/>
      <c r="T111" s="11602" t="n"/>
      <c r="U111" s="11602" t="n"/>
      <c r="V111" s="11602" t="n"/>
      <c r="W111" s="11602" t="n"/>
      <c r="X111" s="11602" t="n"/>
      <c r="Y111" s="11602" t="n"/>
      <c r="Z111" s="11602" t="n"/>
      <c r="AA111" s="11602" t="n"/>
      <c r="AB111" s="11602" t="n"/>
      <c r="AC111" s="11602" t="n"/>
      <c r="AD111" s="11602" t="n"/>
      <c r="AE111" s="11602" t="n"/>
      <c r="AF111" s="11602" t="n"/>
      <c r="AG111" s="11602" t="n"/>
      <c r="AH111" s="11602" t="n"/>
      <c r="AI111" s="11602" t="n"/>
      <c r="AJ111" s="9085" t="n"/>
      <c r="AL111" s="408" t="n"/>
      <c r="AM111" s="11602" t="n"/>
      <c r="AN111" s="11602" t="n"/>
      <c r="AO111" s="11602" t="n"/>
      <c r="AP111" s="1277" t="n"/>
      <c r="AQ111" s="1277" t="n"/>
      <c r="AR111" s="1277" t="n"/>
      <c r="AS111" s="1277" t="n"/>
      <c r="AT111" s="1277" t="n"/>
      <c r="AU111" s="1277" t="n"/>
      <c r="AV111" s="11602" t="n"/>
      <c r="AW111" s="11602" t="n"/>
      <c r="AX111" s="4195" t="inlineStr">
        <is>
          <t>3.</t>
        </is>
      </c>
      <c r="AY111" s="1193">
        <f>"Multiply line 2 by "&amp;TEXT(BF111,"0.0000")</f>
        <v/>
      </c>
      <c r="AZ111" s="851" t="n"/>
      <c r="BA111" s="851" t="n"/>
      <c r="BB111" s="851" t="n"/>
      <c r="BC111" s="851" t="n"/>
      <c r="BD111" s="4196" t="inlineStr">
        <is>
          <t>3.</t>
        </is>
      </c>
      <c r="BE111" s="7842">
        <f>IF(BE110&lt;&gt;"",ROUND(BE110*BF111,0),"")</f>
        <v/>
      </c>
      <c r="BF111" s="12260" t="n">
        <v>0.2432</v>
      </c>
      <c r="BG111" s="851" t="n"/>
      <c r="BH111" s="4194" t="n"/>
    </row>
    <row r="112" ht="13.5" customHeight="1" s="7635">
      <c r="A112" s="2112" t="n"/>
      <c r="B112" s="1321" t="n"/>
      <c r="C112" s="1321" t="n"/>
      <c r="D112" s="344" t="inlineStr">
        <is>
          <t>line 1z. Estates and trusts: See instructions</t>
        </is>
      </c>
      <c r="E112" s="11602" t="n"/>
      <c r="F112" s="11602" t="n"/>
      <c r="G112" s="11602" t="n"/>
      <c r="H112" s="11602" t="n"/>
      <c r="I112" s="11602" t="n"/>
      <c r="J112" s="11602" t="n"/>
      <c r="K112" s="11602" t="n"/>
      <c r="L112" s="11602" t="n"/>
      <c r="M112" s="11602" t="n"/>
      <c r="N112" s="11602" t="n"/>
      <c r="O112" s="11602" t="n"/>
      <c r="P112" s="11602" t="n"/>
      <c r="Q112" s="11602" t="n"/>
      <c r="R112" s="11602" t="n"/>
      <c r="S112" s="11602" t="n"/>
      <c r="T112" s="11602" t="n"/>
      <c r="U112" s="11602" t="n"/>
      <c r="V112" s="11602" t="n"/>
      <c r="W112" s="11602" t="n"/>
      <c r="X112" s="11602" t="n"/>
      <c r="Y112" s="11602" t="n"/>
      <c r="Z112" s="11602" t="n"/>
      <c r="AA112" s="11602" t="n"/>
      <c r="AB112" s="11602" t="n"/>
      <c r="AC112" s="11602" t="n"/>
      <c r="AD112" s="11602" t="n"/>
      <c r="AE112" s="11602" t="n"/>
      <c r="AF112" s="11602" t="n"/>
      <c r="AG112" s="11602" t="n"/>
      <c r="AH112" s="11602" t="n"/>
      <c r="AI112" s="1401" t="inlineStr">
        <is>
          <t xml:space="preserve">.   .   .   .   .   .   .   .   .   .   .   .   .   .   .   .   .   .   .   .   .   .  </t>
        </is>
      </c>
      <c r="AJ112" s="2895" t="n">
        <v>20</v>
      </c>
      <c r="AK112" s="7638" t="n"/>
      <c r="AL112" s="8991">
        <f>IF(AQ112&lt;&gt;"",ROUND(AQ112,0),IF(AB104,"",IF(AO22&lt;&gt;1,"",SUM(Tax_SubTotal,PTC_ExcessAdv))))</f>
        <v/>
      </c>
      <c r="AM112" s="7637" t="n"/>
      <c r="AN112" s="7637" t="n"/>
      <c r="AO112" s="7637" t="n"/>
      <c r="AP112" s="1277" t="n"/>
      <c r="AQ112" s="8957" t="n"/>
      <c r="AR112" s="11717" t="n"/>
      <c r="AS112" s="11717" t="n"/>
      <c r="AT112" s="11717" t="n"/>
      <c r="AU112" s="1277" t="n"/>
      <c r="AV112" s="11602" t="n"/>
      <c r="AW112" s="11602" t="n"/>
      <c r="AX112" s="4195" t="inlineStr">
        <is>
          <t>4.</t>
        </is>
      </c>
      <c r="AY112" s="1193">
        <f>"Enter your worldwide "&amp;TEXT(BF112,"0%")&amp;" gains (see instructions)"</f>
        <v/>
      </c>
      <c r="AZ112" s="851" t="n"/>
      <c r="BA112" s="851" t="n"/>
      <c r="BB112" s="851" t="n"/>
      <c r="BC112" s="851" t="n"/>
      <c r="BD112" s="4196" t="inlineStr">
        <is>
          <t>4.</t>
        </is>
      </c>
      <c r="BE112" s="7843" t="n"/>
      <c r="BF112" s="4197" t="n">
        <v>0.25</v>
      </c>
      <c r="BG112" s="851" t="n"/>
      <c r="BH112" s="4194" t="n"/>
    </row>
    <row r="113" ht="13.5" customHeight="1" s="7635">
      <c r="A113" s="2112" t="n"/>
      <c r="B113" s="8966" t="n"/>
      <c r="D113" s="344" t="inlineStr">
        <is>
          <t>Caution: If you are completing line 20 for separate category g (lump-sum distributions), or, if you file</t>
        </is>
      </c>
      <c r="E113" s="11602" t="n"/>
      <c r="F113" s="8650" t="n"/>
      <c r="G113" s="11602" t="n"/>
      <c r="H113" s="11602" t="n"/>
      <c r="I113" s="11602" t="n"/>
      <c r="J113" s="11602" t="n"/>
      <c r="K113" s="11602" t="n"/>
      <c r="L113" s="11602" t="n"/>
      <c r="M113" s="11602" t="n"/>
      <c r="N113" s="11602" t="n"/>
      <c r="O113" s="11602" t="n"/>
      <c r="P113" s="11602" t="n"/>
      <c r="Q113" s="11602" t="n"/>
      <c r="R113" s="11602" t="n"/>
      <c r="S113" s="11602" t="n"/>
      <c r="T113" s="11602" t="n"/>
      <c r="U113" s="11602" t="n"/>
      <c r="V113" s="11602" t="n"/>
      <c r="W113" s="11602" t="n"/>
      <c r="X113" s="11602" t="n"/>
      <c r="Y113" s="11602" t="n"/>
      <c r="Z113" s="11602" t="n"/>
      <c r="AA113" s="11602" t="n"/>
      <c r="AB113" s="11602" t="n"/>
      <c r="AC113" s="11602" t="n"/>
      <c r="AD113" s="11602" t="n"/>
      <c r="AE113" s="11602" t="n"/>
      <c r="AF113" s="11602" t="n"/>
      <c r="AG113" s="11602" t="n"/>
      <c r="AH113" s="11602" t="n"/>
      <c r="AI113" s="11602" t="n"/>
      <c r="AJ113" s="408" t="n"/>
      <c r="AK113" s="409" t="n"/>
      <c r="AL113" s="11602" t="n"/>
      <c r="AM113" s="11602" t="n"/>
      <c r="AN113" s="11602" t="n"/>
      <c r="AO113" s="11602" t="n"/>
      <c r="AP113" s="1277" t="n"/>
      <c r="AQ113" s="1277" t="n"/>
      <c r="AR113" s="1277" t="n"/>
      <c r="AS113" s="1277" t="n"/>
      <c r="AT113" s="1277" t="n"/>
      <c r="AU113" s="1277" t="n"/>
      <c r="AV113" s="11602" t="n"/>
      <c r="AW113" s="11602" t="n"/>
      <c r="AX113" s="4195" t="inlineStr">
        <is>
          <t>5.</t>
        </is>
      </c>
      <c r="AY113" s="1193">
        <f>"Multiply line 4 by "&amp;TEXT(BF113,"0.0000")</f>
        <v/>
      </c>
      <c r="AZ113" s="851" t="n"/>
      <c r="BA113" s="851" t="n"/>
      <c r="BB113" s="851" t="n"/>
      <c r="BC113" s="851" t="n"/>
      <c r="BD113" s="4196" t="inlineStr">
        <is>
          <t>5.</t>
        </is>
      </c>
      <c r="BE113" s="7842">
        <f>IF(BE112&lt;&gt;"",ROUND(BE112*BF113,0),"")</f>
        <v/>
      </c>
      <c r="BF113" s="12260" t="n">
        <v>0.3243</v>
      </c>
      <c r="BG113" s="851" t="n"/>
      <c r="BH113" s="4194" t="n"/>
    </row>
    <row r="114" ht="13.5" customHeight="1" s="7635">
      <c r="A114" s="2112" t="n"/>
      <c r="B114" s="344" t="n"/>
      <c r="C114" s="344" t="n"/>
      <c r="D114" s="571" t="inlineStr">
        <is>
          <t>Form 8978, Partner’s Additional Reporting Year Tax, see instructions.</t>
        </is>
      </c>
      <c r="E114" s="11602" t="n"/>
      <c r="F114" s="11602" t="n"/>
      <c r="G114" s="11602" t="n"/>
      <c r="H114" s="11602" t="n"/>
      <c r="I114" s="11602" t="n"/>
      <c r="J114" s="11602" t="n"/>
      <c r="K114" s="11602" t="n"/>
      <c r="L114" s="11602" t="n"/>
      <c r="M114" s="11602" t="n"/>
      <c r="N114" s="11602" t="n"/>
      <c r="O114" s="11602" t="n"/>
      <c r="P114" s="11602" t="n"/>
      <c r="Q114" s="11602" t="n"/>
      <c r="R114" s="11602" t="n"/>
      <c r="S114" s="11602" t="n"/>
      <c r="T114" s="794" t="n"/>
      <c r="U114" s="11602" t="n"/>
      <c r="V114" s="11602" t="n"/>
      <c r="W114" s="11602" t="n"/>
      <c r="X114" s="11602" t="n"/>
      <c r="Y114" s="11602" t="n"/>
      <c r="Z114" s="11602" t="n"/>
      <c r="AA114" s="11602" t="n"/>
      <c r="AB114" s="11602" t="n"/>
      <c r="AC114" s="11602" t="n"/>
      <c r="AD114" s="11602" t="n"/>
      <c r="AE114" s="11602" t="n"/>
      <c r="AF114" s="11602" t="n"/>
      <c r="AG114" s="11602" t="n"/>
      <c r="AH114" s="11602" t="n"/>
      <c r="AI114" s="11602" t="n"/>
      <c r="AJ114" s="408" t="n"/>
      <c r="AK114" s="409" t="n"/>
      <c r="AL114" s="11602" t="n"/>
      <c r="AM114" s="11602" t="n"/>
      <c r="AN114" s="11602" t="n"/>
      <c r="AO114" s="11602" t="n"/>
      <c r="AP114" s="1277" t="n"/>
      <c r="AQ114" s="1277" t="n"/>
      <c r="AR114" s="1277" t="n"/>
      <c r="AS114" s="1277" t="n"/>
      <c r="AT114" s="1277" t="n"/>
      <c r="AU114" s="1277" t="n"/>
      <c r="AV114" s="11602" t="n"/>
      <c r="AW114" s="11602" t="n"/>
      <c r="AX114" s="4195" t="inlineStr">
        <is>
          <t>6.</t>
        </is>
      </c>
      <c r="AY114" s="1193">
        <f>"Enter your worldwide "&amp;TEXT(BF114,"0%")&amp;" gains (see instructions)"</f>
        <v/>
      </c>
      <c r="AZ114" s="851" t="n"/>
      <c r="BA114" s="851" t="n"/>
      <c r="BB114" s="851" t="n"/>
      <c r="BC114" s="851" t="n"/>
      <c r="BD114" s="4196" t="inlineStr">
        <is>
          <t>6.</t>
        </is>
      </c>
      <c r="BE114" s="7843" t="n"/>
      <c r="BF114" s="4197" t="n">
        <v>0.2</v>
      </c>
      <c r="BG114" s="851" t="n"/>
      <c r="BH114" s="4194" t="n"/>
    </row>
    <row r="115" ht="15.75" customHeight="1" s="7635">
      <c r="A115" s="2112" t="n"/>
      <c r="B115" s="8966" t="n">
        <v>21</v>
      </c>
      <c r="D115" s="11602" t="inlineStr">
        <is>
          <t>Multiply line 20 by line 19 (maximum amount of credit)</t>
        </is>
      </c>
      <c r="E115" s="11602" t="n"/>
      <c r="F115" s="11602" t="n"/>
      <c r="G115" s="11602" t="n"/>
      <c r="H115" s="11602" t="n"/>
      <c r="I115" s="11602" t="n"/>
      <c r="J115" s="11602" t="n"/>
      <c r="K115" s="11602" t="n"/>
      <c r="L115" s="11602" t="n"/>
      <c r="M115" s="11602" t="n"/>
      <c r="N115" s="11602" t="n"/>
      <c r="O115" s="11602" t="n"/>
      <c r="P115" s="11602" t="n"/>
      <c r="Q115" s="11602" t="n"/>
      <c r="R115" s="11602" t="n"/>
      <c r="S115" s="11602" t="n"/>
      <c r="T115" s="794" t="n"/>
      <c r="U115" s="11602" t="n"/>
      <c r="V115" s="11602" t="n"/>
      <c r="W115" s="11602" t="n"/>
      <c r="X115" s="11602" t="n"/>
      <c r="Y115" s="11602" t="n"/>
      <c r="Z115" s="11602" t="n"/>
      <c r="AA115" s="11602" t="n"/>
      <c r="AB115" s="11602" t="n"/>
      <c r="AC115" s="11602" t="n"/>
      <c r="AD115" s="11602" t="n"/>
      <c r="AE115" s="11602" t="n"/>
      <c r="AF115" s="11602" t="n"/>
      <c r="AG115" s="11602" t="n"/>
      <c r="AH115" s="11602" t="n"/>
      <c r="AI115" s="1401" t="inlineStr">
        <is>
          <t xml:space="preserve">.   .   .   .   .   .   .   .   .   .   .   .   .   .   .   .   .   .  </t>
        </is>
      </c>
      <c r="AJ115" s="2895" t="n">
        <v>21</v>
      </c>
      <c r="AK115" s="7638" t="n"/>
      <c r="AL115" s="8991">
        <f>IF(AB104,"",IF(ISERROR(AL110*AL112),"                    ---",ROUND(AL110*AL112,0)))</f>
        <v/>
      </c>
      <c r="AM115" s="7637" t="n"/>
      <c r="AN115" s="7637" t="n"/>
      <c r="AO115" s="7637" t="n"/>
      <c r="AP115" s="1277" t="n"/>
      <c r="AQ115" s="1277" t="n"/>
      <c r="AR115" s="1277" t="n"/>
      <c r="AS115" s="1277" t="n"/>
      <c r="AT115" s="1277" t="n"/>
      <c r="AU115" s="1277" t="n"/>
      <c r="AV115" s="11602" t="n"/>
      <c r="AW115" s="11602" t="n"/>
      <c r="AX115" s="4195" t="inlineStr">
        <is>
          <t>7.</t>
        </is>
      </c>
      <c r="AY115" s="1193">
        <f>"Multiply line 6 by "&amp;TEXT(BF115,"0.0000")</f>
        <v/>
      </c>
      <c r="AZ115" s="851" t="n"/>
      <c r="BA115" s="851" t="n"/>
      <c r="BB115" s="851" t="n"/>
      <c r="BC115" s="851" t="n"/>
      <c r="BD115" s="4196" t="inlineStr">
        <is>
          <t>7.</t>
        </is>
      </c>
      <c r="BE115" s="7842">
        <f>IF(BE114&lt;&gt;"",ROUND(BE114*BF115,0),"")</f>
        <v/>
      </c>
      <c r="BF115" s="12260" t="n">
        <v>0.4595</v>
      </c>
      <c r="BG115" s="851" t="n"/>
      <c r="BH115" s="4194" t="n"/>
    </row>
    <row r="116" ht="12.75" customHeight="1" s="7635">
      <c r="A116" s="2112" t="n"/>
      <c r="B116" s="8966" t="n">
        <v>22</v>
      </c>
      <c r="D116" s="344" t="inlineStr">
        <is>
          <t>Increase in limitation (section 960(c))</t>
        </is>
      </c>
      <c r="E116" s="11602" t="n"/>
      <c r="F116" s="11602" t="n"/>
      <c r="G116" s="11602" t="n"/>
      <c r="H116" s="11602" t="n"/>
      <c r="I116" s="11602" t="n"/>
      <c r="J116" s="11602" t="n"/>
      <c r="K116" s="11602" t="n"/>
      <c r="L116" s="11602" t="n"/>
      <c r="M116" s="11602" t="n"/>
      <c r="N116" s="11602" t="n"/>
      <c r="O116" s="11602" t="n"/>
      <c r="P116" s="11602" t="n"/>
      <c r="Q116" s="11602" t="n"/>
      <c r="R116" s="11602" t="n"/>
      <c r="S116" s="11602" t="n"/>
      <c r="T116" s="794" t="n"/>
      <c r="U116" s="11602" t="n"/>
      <c r="V116" s="11602" t="n"/>
      <c r="W116" s="11602" t="n"/>
      <c r="X116" s="11602" t="n"/>
      <c r="Y116" s="11602" t="n"/>
      <c r="Z116" s="11602" t="n"/>
      <c r="AA116" s="11602" t="n"/>
      <c r="AB116" s="11602" t="n"/>
      <c r="AC116" s="11602" t="n"/>
      <c r="AD116" s="11602" t="n"/>
      <c r="AE116" s="11602" t="n"/>
      <c r="AF116" s="11602" t="n"/>
      <c r="AG116" s="11602" t="n"/>
      <c r="AH116" s="11602" t="n"/>
      <c r="AI116" s="1401" t="inlineStr">
        <is>
          <t xml:space="preserve">.   .   .   .   .   .   .   .   .   .   .   .   .   .   .   .   .   .   .   .   .   .   .   .   .  </t>
        </is>
      </c>
      <c r="AJ116" s="2895" t="n">
        <v>22</v>
      </c>
      <c r="AK116" s="7638" t="n"/>
      <c r="AL116" s="9017" t="n"/>
      <c r="AM116" s="11717" t="n"/>
      <c r="AN116" s="11717" t="n"/>
      <c r="AO116" s="11717" t="n"/>
      <c r="AP116" s="1277" t="n"/>
      <c r="AQ116" s="8949">
        <f>IF(AL116&lt;&gt;"",ROUND(AL116,0),0)</f>
        <v/>
      </c>
      <c r="AU116" s="1277" t="n"/>
      <c r="AV116" s="11602" t="n"/>
      <c r="AW116" s="11602" t="n"/>
      <c r="AX116" s="4195" t="inlineStr">
        <is>
          <t>8.</t>
        </is>
      </c>
      <c r="AY116" s="1193">
        <f>"Enter your worldwide "&amp;TEXT(BF116,"0%")&amp;" gains (see instructions)"</f>
        <v/>
      </c>
      <c r="AZ116" s="851" t="n"/>
      <c r="BA116" s="851" t="n"/>
      <c r="BB116" s="851" t="n"/>
      <c r="BC116" s="851" t="n"/>
      <c r="BD116" s="4196" t="inlineStr">
        <is>
          <t>8.</t>
        </is>
      </c>
      <c r="BE116" s="7843" t="n"/>
      <c r="BF116" s="4197" t="n">
        <v>0.15</v>
      </c>
      <c r="BG116" s="851" t="n"/>
      <c r="BH116" s="4194" t="n"/>
    </row>
    <row r="117" ht="13.5" customHeight="1" s="7635">
      <c r="A117" s="2112" t="n"/>
      <c r="B117" s="8966" t="n">
        <v>23</v>
      </c>
      <c r="D117" s="344" t="inlineStr">
        <is>
          <t>Add lines 21 and 22</t>
        </is>
      </c>
      <c r="E117" s="11602" t="n"/>
      <c r="F117" s="11602" t="n"/>
      <c r="G117" s="11602" t="n"/>
      <c r="H117" s="11602" t="n"/>
      <c r="I117" s="11602" t="n"/>
      <c r="J117" s="11602" t="n"/>
      <c r="K117" s="11602" t="n"/>
      <c r="L117" s="11602" t="n"/>
      <c r="M117" s="11602" t="n"/>
      <c r="N117" s="11602" t="n"/>
      <c r="O117" s="11602" t="n"/>
      <c r="P117" s="11602" t="n"/>
      <c r="Q117" s="11602" t="n"/>
      <c r="R117" s="11602" t="n"/>
      <c r="S117" s="11602" t="n"/>
      <c r="T117" s="794" t="n"/>
      <c r="U117" s="11602" t="n"/>
      <c r="V117" s="11602" t="n"/>
      <c r="W117" s="11602" t="n"/>
      <c r="X117" s="11602" t="n"/>
      <c r="Y117" s="11602" t="n"/>
      <c r="Z117" s="11602" t="n"/>
      <c r="AA117" s="11602" t="n"/>
      <c r="AB117" s="11602" t="n"/>
      <c r="AC117" s="11602" t="n"/>
      <c r="AD117" s="11602" t="n"/>
      <c r="AE117" s="11602" t="n"/>
      <c r="AF117" s="11602" t="n"/>
      <c r="AG117" s="11602" t="n"/>
      <c r="AH117" s="11602" t="n"/>
      <c r="AI117" s="1401" t="inlineStr">
        <is>
          <t xml:space="preserve">.   .   .   .   .   .   .   .   .   .   .   .   .   .   .   .   .   .   .   .   .   .   .   .   .   .   .   .   .   .   .   .  </t>
        </is>
      </c>
      <c r="AJ117" s="2895" t="n">
        <v>23</v>
      </c>
      <c r="AK117" s="7638" t="n"/>
      <c r="AL117" s="8991">
        <f>IF(AB104,"",SUM(AL115,AQ116))</f>
        <v/>
      </c>
      <c r="AM117" s="7637" t="n"/>
      <c r="AN117" s="7637" t="n"/>
      <c r="AO117" s="7637" t="n"/>
      <c r="AP117" s="1277" t="n"/>
      <c r="AQ117" s="1277" t="n"/>
      <c r="AR117" s="1277" t="n"/>
      <c r="AS117" s="1277" t="n"/>
      <c r="AT117" s="1277" t="n"/>
      <c r="AU117" s="1277" t="n"/>
      <c r="AV117" s="11602" t="n"/>
      <c r="AW117" s="11602" t="n"/>
      <c r="AX117" s="4195" t="inlineStr">
        <is>
          <t>9.</t>
        </is>
      </c>
      <c r="AY117" s="1193">
        <f>"Multiply line 8 by "&amp;TEXT(BF117,"0.0000")</f>
        <v/>
      </c>
      <c r="AZ117" s="851" t="n"/>
      <c r="BA117" s="851" t="n"/>
      <c r="BB117" s="851" t="n"/>
      <c r="BC117" s="851" t="n"/>
      <c r="BD117" s="4196" t="inlineStr">
        <is>
          <t>9.</t>
        </is>
      </c>
      <c r="BE117" s="7842">
        <f>IF(BE116&lt;&gt;"",ROUND(BE116*BF117,0),"")</f>
        <v/>
      </c>
      <c r="BF117" s="12260" t="n">
        <v>0.5946</v>
      </c>
      <c r="BG117" s="851" t="n"/>
      <c r="BH117" s="4194" t="n"/>
    </row>
    <row r="118" ht="14.25" customHeight="1" s="7635" thickBot="1">
      <c r="A118" s="2112" t="n"/>
      <c r="B118" s="9134" t="n">
        <v>24</v>
      </c>
      <c r="C118" s="8848" t="n"/>
      <c r="D118" s="498" t="inlineStr">
        <is>
          <t>Enter the smaller of line 14 or line 23. Enter here and on the appropriate line of Part IV. See instructions</t>
        </is>
      </c>
      <c r="E118" s="380" t="n"/>
      <c r="F118" s="380" t="n"/>
      <c r="G118" s="380" t="n"/>
      <c r="H118" s="380" t="n"/>
      <c r="I118" s="380" t="n"/>
      <c r="J118" s="380" t="n"/>
      <c r="K118" s="380" t="n"/>
      <c r="L118" s="380" t="n"/>
      <c r="M118" s="380" t="n"/>
      <c r="N118" s="380" t="n"/>
      <c r="O118" s="380" t="n"/>
      <c r="P118" s="380" t="n"/>
      <c r="Q118" s="380" t="n"/>
      <c r="R118" s="380" t="n"/>
      <c r="S118" s="380" t="n"/>
      <c r="T118" s="4206" t="n"/>
      <c r="U118" s="380" t="n"/>
      <c r="V118" s="380" t="n"/>
      <c r="W118" s="380" t="n"/>
      <c r="X118" s="380" t="n"/>
      <c r="Y118" s="380" t="n"/>
      <c r="Z118" s="380" t="n"/>
      <c r="AA118" s="380" t="n"/>
      <c r="AB118" s="380" t="n"/>
      <c r="AC118" s="380" t="n"/>
      <c r="AD118" s="380" t="n"/>
      <c r="AE118" s="380" t="n"/>
      <c r="AF118" s="380" t="n"/>
      <c r="AG118" s="380" t="n"/>
      <c r="AH118" s="380" t="n"/>
      <c r="AI118" s="10735" t="n"/>
      <c r="AJ118" s="3840" t="n">
        <v>24</v>
      </c>
      <c r="AK118" s="12121" t="n"/>
      <c r="AL118" s="9025">
        <f>IF(AQ118&lt;&gt;"",ROUND(AQ118,0),IF(AB104,"",IF(ISERROR(AL96*AL115),"                    ---",MIN(AL96,AL115))))</f>
        <v/>
      </c>
      <c r="AM118" s="8848" t="n"/>
      <c r="AN118" s="8848" t="n"/>
      <c r="AO118" s="8848" t="n"/>
      <c r="AP118" s="1277" t="n"/>
      <c r="AQ118" s="8957" t="n"/>
      <c r="AR118" s="11717" t="n"/>
      <c r="AS118" s="11717" t="n"/>
      <c r="AT118" s="11717" t="n"/>
      <c r="AU118" s="1277" t="n"/>
      <c r="AV118" s="11602" t="n"/>
      <c r="AW118" s="11602" t="n"/>
      <c r="AX118" s="4195" t="inlineStr">
        <is>
          <t>10.</t>
        </is>
      </c>
      <c r="AY118" s="1193">
        <f>"Enter your worldwide "&amp;TEXT(BF118,"0%")&amp;" gains and qualified dividends"</f>
        <v/>
      </c>
      <c r="AZ118" s="851" t="n"/>
      <c r="BA118" s="851" t="n"/>
      <c r="BB118" s="851" t="n"/>
      <c r="BC118" s="851" t="n"/>
      <c r="BD118" s="4196" t="n"/>
      <c r="BE118" s="1027" t="n"/>
      <c r="BF118" s="4197" t="n">
        <v>0</v>
      </c>
      <c r="BG118" s="851" t="n"/>
      <c r="BH118" s="4194" t="n"/>
    </row>
    <row r="119" ht="14.25" customHeight="1" s="7635">
      <c r="A119" s="4157" t="n"/>
      <c r="B119" s="9180" t="inlineStr">
        <is>
          <t>Part IV</t>
        </is>
      </c>
      <c r="E119" s="7772" t="n"/>
      <c r="F119" s="342" t="inlineStr">
        <is>
          <t>Summary of Credits From Separate Parts III   (Enter amounts from Part III, line 24, for each applicable</t>
        </is>
      </c>
      <c r="G119" s="7772" t="n"/>
      <c r="H119" s="7772" t="n"/>
      <c r="I119" s="7772" t="n"/>
      <c r="J119" s="7772" t="n"/>
      <c r="K119" s="7772" t="n"/>
      <c r="L119" s="7772" t="n"/>
      <c r="M119" s="7772" t="n"/>
      <c r="N119" s="7772" t="n"/>
      <c r="O119" s="7772" t="n"/>
      <c r="P119" s="7772" t="n"/>
      <c r="Q119" s="7772" t="n"/>
      <c r="R119" s="7772" t="n"/>
      <c r="S119" s="7772" t="n"/>
      <c r="T119" s="7772" t="n"/>
      <c r="U119" s="7772" t="n"/>
      <c r="V119" s="7772" t="n"/>
      <c r="W119" s="7772" t="n"/>
      <c r="X119" s="7772" t="n"/>
      <c r="Y119" s="7772" t="n"/>
      <c r="Z119" s="7772" t="n"/>
      <c r="AA119" s="7772" t="n"/>
      <c r="AB119" s="7772" t="n"/>
      <c r="AC119" s="7772" t="n"/>
      <c r="AD119" s="7772" t="n"/>
      <c r="AE119" s="7772" t="n"/>
      <c r="AF119" s="7772" t="n"/>
      <c r="AG119" s="7772" t="n"/>
      <c r="AH119" s="7772" t="n"/>
      <c r="AI119" s="7772" t="n"/>
      <c r="AJ119" s="7772" t="n"/>
      <c r="AK119" s="7772" t="n"/>
      <c r="AL119" s="6494" t="n"/>
      <c r="AM119" s="6494" t="n"/>
      <c r="AN119" s="6494" t="n"/>
      <c r="AO119" s="6494" t="n"/>
      <c r="AP119" s="1277" t="n"/>
      <c r="AQ119" s="1277" t="n"/>
      <c r="AR119" s="1277" t="n"/>
      <c r="AS119" s="1277" t="n"/>
      <c r="AT119" s="1277" t="n"/>
      <c r="AU119" s="1277" t="n"/>
      <c r="AV119" s="11602" t="n"/>
      <c r="AW119" s="11602" t="n"/>
      <c r="AX119" s="4193" t="n"/>
      <c r="AY119" s="1193" t="inlineStr">
        <is>
          <t>(see instructions)</t>
        </is>
      </c>
      <c r="AZ119" s="851" t="n"/>
      <c r="BA119" s="851" t="n"/>
      <c r="BB119" s="851" t="n"/>
      <c r="BC119" s="851" t="n"/>
      <c r="BD119" s="4196" t="inlineStr">
        <is>
          <t>10.</t>
        </is>
      </c>
      <c r="BE119" s="7843" t="n"/>
      <c r="BF119" s="851" t="n"/>
      <c r="BG119" s="990">
        <f>ROUND(BE119,0)</f>
        <v/>
      </c>
      <c r="BH119" s="4194" t="n"/>
    </row>
    <row r="120" ht="14.25" customHeight="1" s="7635">
      <c r="A120" s="4157" t="n"/>
      <c r="B120" s="3879" t="n"/>
      <c r="C120" s="3879" t="n"/>
      <c r="D120" s="3879" t="n"/>
      <c r="E120" s="3879" t="n"/>
      <c r="F120" s="2002" t="inlineStr">
        <is>
          <t>category of income. Don’t include taxes paid to sanctioned countries.) See instructions.</t>
        </is>
      </c>
      <c r="G120" s="1998" t="n"/>
      <c r="H120" s="1998" t="n"/>
      <c r="I120" s="1998" t="n"/>
      <c r="J120" s="1998" t="n"/>
      <c r="K120" s="1998" t="n"/>
      <c r="L120" s="1998" t="n"/>
      <c r="M120" s="1998" t="n"/>
      <c r="N120" s="1998" t="n"/>
      <c r="O120" s="1998" t="n"/>
      <c r="P120" s="1998" t="n"/>
      <c r="Q120" s="1998" t="n"/>
      <c r="R120" s="1998" t="n"/>
      <c r="S120" s="1998" t="n"/>
      <c r="T120" s="1998" t="n"/>
      <c r="U120" s="1998" t="n"/>
      <c r="V120" s="1998" t="n"/>
      <c r="W120" s="1998" t="n"/>
      <c r="X120" s="1998" t="n"/>
      <c r="Y120" s="1998" t="n"/>
      <c r="Z120" s="1998" t="n"/>
      <c r="AA120" s="1998" t="n"/>
      <c r="AB120" s="1998" t="n"/>
      <c r="AC120" s="1998" t="n"/>
      <c r="AD120" s="1998" t="n"/>
      <c r="AE120" s="1998" t="n"/>
      <c r="AF120" s="1998" t="n"/>
      <c r="AG120" s="1998" t="n"/>
      <c r="AH120" s="1998" t="n"/>
      <c r="AI120" s="1998" t="n"/>
      <c r="AJ120" s="1998" t="n"/>
      <c r="AK120" s="1998" t="n"/>
      <c r="AL120" s="9224">
        <f>SUM($AO$22,$AO$144,$AO$265)</f>
        <v/>
      </c>
      <c r="AM120" s="7637" t="n"/>
      <c r="AN120" s="7637" t="n"/>
      <c r="AO120" s="6498">
        <f>AND(AL120&gt;0,AL118=MAX($AL$118,$AL$239,$AL$362))</f>
        <v/>
      </c>
      <c r="AP120" s="1277" t="n"/>
      <c r="AQ120" s="1277" t="n"/>
      <c r="AR120" s="1277" t="n"/>
      <c r="AS120" s="1277" t="n"/>
      <c r="AT120" s="1277" t="n"/>
      <c r="AU120" s="1277" t="n"/>
      <c r="AV120" s="11602" t="n"/>
      <c r="AW120" s="11602" t="n"/>
      <c r="AX120" s="4195" t="inlineStr">
        <is>
          <t>11.</t>
        </is>
      </c>
      <c r="AY120" s="1193" t="inlineStr">
        <is>
          <t>Add lines 3, 5, 7, 9, and 10</t>
        </is>
      </c>
      <c r="AZ120" s="851" t="n"/>
      <c r="BA120" s="851" t="n"/>
      <c r="BB120" s="851" t="n"/>
      <c r="BC120" s="851" t="n"/>
      <c r="BD120" s="851" t="n"/>
      <c r="BE120" s="990">
        <f>OR(BE110&lt;&gt;"",BE112&lt;&gt;"",BE114&lt;&gt;"",BE116&lt;&gt;"",BE119&lt;&gt;"")</f>
        <v/>
      </c>
      <c r="BF120" s="4196" t="inlineStr">
        <is>
          <t>11.</t>
        </is>
      </c>
      <c r="BG120" s="7842">
        <f>IF(BE120,SUM(BE111,BE113,BE115,BE117,BG119),IF(AB104,"",0))</f>
        <v/>
      </c>
      <c r="BH120" s="4194" t="n"/>
    </row>
    <row r="121" ht="14.25" customHeight="1" s="7635">
      <c r="A121" s="2112" t="n"/>
      <c r="B121" s="8966" t="n">
        <v>25</v>
      </c>
      <c r="D121" s="344" t="inlineStr">
        <is>
          <t>Credit for taxes on section 951A income</t>
        </is>
      </c>
      <c r="E121" s="11602" t="n"/>
      <c r="F121" s="8650" t="n"/>
      <c r="G121" s="11602" t="n"/>
      <c r="H121" s="11602" t="n"/>
      <c r="I121" s="11602" t="n"/>
      <c r="J121" s="11602" t="n"/>
      <c r="K121" s="11602" t="n"/>
      <c r="L121" s="11602" t="n"/>
      <c r="M121" s="11602" t="n"/>
      <c r="N121" s="11602" t="n"/>
      <c r="O121" s="11602" t="n"/>
      <c r="P121" s="11602" t="n"/>
      <c r="Q121" s="11602" t="n"/>
      <c r="R121" s="11602" t="n"/>
      <c r="S121" s="11602" t="n"/>
      <c r="T121" s="11602" t="n"/>
      <c r="U121" s="11602" t="n"/>
      <c r="V121" s="11602" t="n"/>
      <c r="W121" s="11602" t="n"/>
      <c r="X121" s="580" t="n"/>
      <c r="Y121" s="1401" t="inlineStr">
        <is>
          <t xml:space="preserve">.   .   .   .   .   .   .   .   .   .   .   .   .  </t>
        </is>
      </c>
      <c r="Z121" s="2895" t="n">
        <v>25</v>
      </c>
      <c r="AA121" s="7638" t="n"/>
      <c r="AB121" s="12251">
        <f>IF(AO120,$AR$27,"")</f>
        <v/>
      </c>
      <c r="AC121" s="11717" t="n"/>
      <c r="AD121" s="11717" t="n"/>
      <c r="AE121" s="11717" t="n"/>
      <c r="AF121" s="11717" t="n"/>
      <c r="AG121" s="11717" t="n"/>
      <c r="AH121" s="11717" t="n"/>
      <c r="AI121" s="11718" t="n"/>
      <c r="AJ121" s="8967" t="n"/>
      <c r="AL121" s="408" t="n"/>
      <c r="AM121" s="11602" t="n"/>
      <c r="AN121" s="11602" t="n"/>
      <c r="AO121" s="11602" t="n"/>
      <c r="AP121" s="1277" t="n"/>
      <c r="AQ121" s="512" t="inlineStr">
        <is>
          <t>a</t>
        </is>
      </c>
      <c r="AR121" s="8955">
        <f>IF(C23&lt;&gt;"",$AL$118,0)</f>
        <v/>
      </c>
      <c r="AV121" s="11602" t="n"/>
      <c r="AW121" s="11602" t="n"/>
      <c r="AX121" s="4195" t="n"/>
      <c r="AY121" s="1193" t="n"/>
      <c r="AZ121" s="851" t="n"/>
      <c r="BA121" s="851" t="n"/>
      <c r="BB121" s="851" t="n"/>
      <c r="BC121" s="851" t="n"/>
      <c r="BD121" s="851" t="n"/>
      <c r="BE121" s="990" t="n"/>
      <c r="BF121" s="4196" t="n"/>
      <c r="BG121" s="4196" t="n"/>
      <c r="BH121" s="4194" t="n"/>
    </row>
    <row r="122" ht="14.25" customHeight="1" s="7635">
      <c r="A122" s="2112" t="n"/>
      <c r="B122" s="8966" t="n">
        <v>26</v>
      </c>
      <c r="D122" s="344" t="inlineStr">
        <is>
          <t>Credit for taxes on foreign branch income</t>
        </is>
      </c>
      <c r="E122" s="11602" t="n"/>
      <c r="F122" s="8650" t="n"/>
      <c r="G122" s="11602" t="n"/>
      <c r="H122" s="11602" t="n"/>
      <c r="I122" s="11602" t="n"/>
      <c r="J122" s="11602" t="n"/>
      <c r="K122" s="11602" t="n"/>
      <c r="L122" s="11602" t="n"/>
      <c r="M122" s="11602" t="n"/>
      <c r="N122" s="11602" t="n"/>
      <c r="O122" s="11602" t="n"/>
      <c r="P122" s="11602" t="n"/>
      <c r="Q122" s="11602" t="n"/>
      <c r="R122" s="11602" t="n"/>
      <c r="S122" s="11602" t="n"/>
      <c r="T122" s="11602" t="n"/>
      <c r="U122" s="11602" t="n"/>
      <c r="V122" s="11602" t="n"/>
      <c r="W122" s="11602" t="n"/>
      <c r="X122" s="580" t="n"/>
      <c r="Y122" s="1401" t="inlineStr">
        <is>
          <t xml:space="preserve">.   .   .   .   .   .   .   .   .   .   .   .  </t>
        </is>
      </c>
      <c r="Z122" s="2895" t="n">
        <v>26</v>
      </c>
      <c r="AA122" s="7638" t="n"/>
      <c r="AB122" s="12251">
        <f>IF(AO120,$AR$28,"")</f>
        <v/>
      </c>
      <c r="AC122" s="11717" t="n"/>
      <c r="AD122" s="11717" t="n"/>
      <c r="AE122" s="11717" t="n"/>
      <c r="AF122" s="11717" t="n"/>
      <c r="AG122" s="11717" t="n"/>
      <c r="AH122" s="11717" t="n"/>
      <c r="AI122" s="11718" t="n"/>
      <c r="AJ122" s="8967" t="n"/>
      <c r="AL122" s="408" t="n"/>
      <c r="AM122" s="11602" t="n"/>
      <c r="AN122" s="11602" t="n"/>
      <c r="AO122" s="11602" t="n"/>
      <c r="AP122" s="1277" t="n"/>
      <c r="AQ122" s="512" t="inlineStr">
        <is>
          <t>b</t>
        </is>
      </c>
      <c r="AR122" s="8955">
        <f>IF(C25&lt;&gt;"",$AL$118,0)</f>
        <v/>
      </c>
      <c r="AV122" s="11602" t="n"/>
      <c r="AW122" s="11602" t="n"/>
      <c r="AX122" s="4195" t="inlineStr">
        <is>
          <t>12.</t>
        </is>
      </c>
      <c r="AY122" s="1193" t="inlineStr">
        <is>
          <t>Subtract line 11 from line 1. Enter the result here and on Form 1116, line 18</t>
        </is>
      </c>
      <c r="AZ122" s="851" t="n"/>
      <c r="BA122" s="851" t="n"/>
      <c r="BB122" s="851" t="n"/>
      <c r="BC122" s="851" t="n"/>
      <c r="BD122" s="851" t="n"/>
      <c r="BE122" s="851" t="n"/>
      <c r="BF122" s="4196" t="inlineStr">
        <is>
          <t>12.</t>
        </is>
      </c>
      <c r="BG122" s="7842">
        <f>IF(BG120="","",MAX(0,SUM(BG109,-BG120)))</f>
        <v/>
      </c>
      <c r="BH122" s="4194" t="n"/>
    </row>
    <row r="123" ht="14.25" customHeight="1" s="7635" thickBot="1">
      <c r="A123" s="2112" t="n"/>
      <c r="B123" s="8966" t="n">
        <v>27</v>
      </c>
      <c r="D123" s="344" t="inlineStr">
        <is>
          <t>Credit for taxes on passive category income</t>
        </is>
      </c>
      <c r="E123" s="11602" t="n"/>
      <c r="F123" s="8650" t="n"/>
      <c r="G123" s="11602" t="n"/>
      <c r="H123" s="11602" t="n"/>
      <c r="I123" s="11602" t="n"/>
      <c r="J123" s="11602" t="n"/>
      <c r="K123" s="11602" t="n"/>
      <c r="L123" s="11602" t="n"/>
      <c r="M123" s="11602" t="n"/>
      <c r="N123" s="11602" t="n"/>
      <c r="O123" s="11602" t="n"/>
      <c r="P123" s="11602" t="n"/>
      <c r="Q123" s="11602" t="n"/>
      <c r="R123" s="11602" t="n"/>
      <c r="S123" s="11602" t="n"/>
      <c r="T123" s="11602" t="n"/>
      <c r="U123" s="11602" t="n"/>
      <c r="V123" s="11602" t="n"/>
      <c r="W123" s="11602" t="n"/>
      <c r="X123" s="580" t="n"/>
      <c r="Y123" s="1401" t="inlineStr">
        <is>
          <t xml:space="preserve">.   .   .   .   .   .   .   .   .   .   .  </t>
        </is>
      </c>
      <c r="Z123" s="2895" t="n">
        <v>27</v>
      </c>
      <c r="AA123" s="7638" t="n"/>
      <c r="AB123" s="12251">
        <f>IF(AO120,$AR$29,"")</f>
        <v/>
      </c>
      <c r="AC123" s="11717" t="n"/>
      <c r="AD123" s="11717" t="n"/>
      <c r="AE123" s="11717" t="n"/>
      <c r="AF123" s="11717" t="n"/>
      <c r="AG123" s="11717" t="n"/>
      <c r="AH123" s="11717" t="n"/>
      <c r="AI123" s="11718" t="n"/>
      <c r="AJ123" s="8967" t="n"/>
      <c r="AL123" s="408" t="n"/>
      <c r="AM123" s="11602" t="n"/>
      <c r="AN123" s="11602" t="n"/>
      <c r="AO123" s="11602" t="n"/>
      <c r="AP123" s="1277" t="n"/>
      <c r="AQ123" s="512" t="inlineStr">
        <is>
          <t>c</t>
        </is>
      </c>
      <c r="AR123" s="8955">
        <f>IF(K23&lt;&gt;"",$AL$118,0)</f>
        <v/>
      </c>
      <c r="AV123" s="11602" t="n"/>
      <c r="AW123" s="11602" t="n"/>
      <c r="AX123" s="4201" t="n"/>
      <c r="AY123" s="6500" t="inlineStr">
        <is>
          <t>(if the result is zero or less, enter -0-)</t>
        </is>
      </c>
      <c r="AZ123" s="1194" t="n"/>
      <c r="BA123" s="1194" t="n"/>
      <c r="BB123" s="1194" t="n"/>
      <c r="BC123" s="1194" t="n"/>
      <c r="BD123" s="1194" t="n"/>
      <c r="BE123" s="1194" t="n"/>
      <c r="BF123" s="1194" t="n"/>
      <c r="BG123" s="1194" t="n"/>
      <c r="BH123" s="4202" t="n"/>
    </row>
    <row r="124" ht="14.25" customHeight="1" s="7635">
      <c r="A124" s="2112" t="n"/>
      <c r="B124" s="8966" t="n">
        <v>28</v>
      </c>
      <c r="D124" s="344" t="inlineStr">
        <is>
          <t>Credit for taxes on general category income</t>
        </is>
      </c>
      <c r="E124" s="11602" t="n"/>
      <c r="F124" s="8650" t="n"/>
      <c r="G124" s="11602" t="n"/>
      <c r="H124" s="11602" t="n"/>
      <c r="I124" s="11602" t="n"/>
      <c r="J124" s="11602" t="n"/>
      <c r="K124" s="11602" t="n"/>
      <c r="L124" s="11602" t="n"/>
      <c r="M124" s="11602" t="n"/>
      <c r="N124" s="11602" t="n"/>
      <c r="O124" s="11602" t="n"/>
      <c r="P124" s="11602" t="n"/>
      <c r="Q124" s="11602" t="n"/>
      <c r="R124" s="11602" t="n"/>
      <c r="S124" s="11602" t="n"/>
      <c r="T124" s="11602" t="n"/>
      <c r="U124" s="11602" t="n"/>
      <c r="V124" s="11602" t="n"/>
      <c r="W124" s="11602" t="n"/>
      <c r="X124" s="580" t="n"/>
      <c r="Y124" s="1401" t="inlineStr">
        <is>
          <t xml:space="preserve">.   .   .   .   .   .   .   .   .   .   .  </t>
        </is>
      </c>
      <c r="Z124" s="2895" t="n">
        <v>28</v>
      </c>
      <c r="AA124" s="7638" t="n"/>
      <c r="AB124" s="12251">
        <f>IF(AO120,$AR$30,"")</f>
        <v/>
      </c>
      <c r="AC124" s="11717" t="n"/>
      <c r="AD124" s="11717" t="n"/>
      <c r="AE124" s="11717" t="n"/>
      <c r="AF124" s="11717" t="n"/>
      <c r="AG124" s="11717" t="n"/>
      <c r="AH124" s="11717" t="n"/>
      <c r="AI124" s="11718" t="n"/>
      <c r="AJ124" s="8967" t="n"/>
      <c r="AL124" s="408" t="n"/>
      <c r="AM124" s="11602" t="n"/>
      <c r="AN124" s="11602" t="n"/>
      <c r="AO124" s="11602" t="n"/>
      <c r="AP124" s="1277" t="n"/>
      <c r="AQ124" s="512" t="inlineStr">
        <is>
          <t>d</t>
        </is>
      </c>
      <c r="AR124" s="8955">
        <f>IF(K25&lt;&gt;"",$AL$118,0)</f>
        <v/>
      </c>
      <c r="AV124" s="11602" t="n"/>
      <c r="AW124" s="11602" t="n"/>
      <c r="AX124" s="769" t="n"/>
      <c r="AY124" s="964" t="n"/>
      <c r="AZ124" s="964" t="n"/>
      <c r="BA124" s="964" t="n"/>
      <c r="BB124" s="964" t="n"/>
      <c r="BC124" s="964" t="n"/>
      <c r="BD124" s="964" t="n"/>
      <c r="BE124" s="964" t="n"/>
      <c r="BF124" s="964" t="n"/>
      <c r="BG124" s="964" t="n"/>
      <c r="BH124" s="964" t="n"/>
    </row>
    <row r="125" ht="14.25" customHeight="1" s="7635">
      <c r="A125" s="2112" t="n"/>
      <c r="B125" s="8966" t="n">
        <v>29</v>
      </c>
      <c r="D125" s="344" t="inlineStr">
        <is>
          <t>Credit for taxes on section 901(j) income</t>
        </is>
      </c>
      <c r="E125" s="11602" t="n"/>
      <c r="F125" s="8650" t="n"/>
      <c r="G125" s="11602" t="n"/>
      <c r="H125" s="11602" t="n"/>
      <c r="I125" s="11602" t="n"/>
      <c r="J125" s="11602" t="n"/>
      <c r="K125" s="11602" t="n"/>
      <c r="L125" s="11602" t="n"/>
      <c r="M125" s="11602" t="n"/>
      <c r="N125" s="11602" t="n"/>
      <c r="O125" s="11602" t="n"/>
      <c r="P125" s="11602" t="n"/>
      <c r="Q125" s="11602" t="n"/>
      <c r="R125" s="11602" t="n"/>
      <c r="S125" s="11602" t="n"/>
      <c r="T125" s="11602" t="n"/>
      <c r="U125" s="11602" t="n"/>
      <c r="V125" s="11602" t="n"/>
      <c r="W125" s="11602" t="n"/>
      <c r="X125" s="580" t="n"/>
      <c r="Y125" s="1401" t="inlineStr">
        <is>
          <t xml:space="preserve">.   .   .   .   .   .   .   .   .   .   .   .  </t>
        </is>
      </c>
      <c r="Z125" s="2895" t="n">
        <v>29</v>
      </c>
      <c r="AA125" s="7638" t="n"/>
      <c r="AB125" s="12251">
        <f>IF(AO120,$AR$31,"")</f>
        <v/>
      </c>
      <c r="AC125" s="11717" t="n"/>
      <c r="AD125" s="11717" t="n"/>
      <c r="AE125" s="11717" t="n"/>
      <c r="AF125" s="11717" t="n"/>
      <c r="AG125" s="11717" t="n"/>
      <c r="AH125" s="11717" t="n"/>
      <c r="AI125" s="11718" t="n"/>
      <c r="AJ125" s="8967" t="n"/>
      <c r="AL125" s="408" t="n"/>
      <c r="AM125" s="11602" t="n"/>
      <c r="AN125" s="11602" t="n"/>
      <c r="AO125" s="11602" t="n"/>
      <c r="AP125" s="1277" t="n"/>
      <c r="AQ125" s="512" t="inlineStr">
        <is>
          <t>e</t>
        </is>
      </c>
      <c r="AR125" s="8955">
        <f>IF(W23&lt;&gt;"",$AL$118,0)</f>
        <v/>
      </c>
      <c r="AV125" s="11602" t="n"/>
      <c r="AW125" s="11602" t="n"/>
      <c r="AX125" s="769" t="n"/>
      <c r="AY125" s="964" t="n"/>
      <c r="AZ125" s="964" t="n"/>
      <c r="BA125" s="964" t="n"/>
      <c r="BB125" s="964" t="n"/>
      <c r="BC125" s="964" t="n"/>
      <c r="BD125" s="964" t="n"/>
      <c r="BE125" s="964" t="n"/>
      <c r="BF125" s="964" t="n"/>
      <c r="BG125" s="964" t="n"/>
      <c r="BH125" s="964" t="n"/>
    </row>
    <row r="126" ht="14.25" customHeight="1" s="7635">
      <c r="A126" s="2112" t="n"/>
      <c r="B126" s="8966" t="n">
        <v>30</v>
      </c>
      <c r="D126" s="344" t="inlineStr">
        <is>
          <t>Credit for taxes on certain income re-sourced by treaty</t>
        </is>
      </c>
      <c r="E126" s="11602" t="n"/>
      <c r="F126" s="8650" t="n"/>
      <c r="G126" s="11602" t="n"/>
      <c r="H126" s="11602" t="n"/>
      <c r="I126" s="11602" t="n"/>
      <c r="J126" s="11602" t="n"/>
      <c r="K126" s="11602" t="n"/>
      <c r="L126" s="11602" t="n"/>
      <c r="M126" s="11602" t="n"/>
      <c r="N126" s="11602" t="n"/>
      <c r="O126" s="11602" t="n"/>
      <c r="P126" s="11602" t="n"/>
      <c r="Q126" s="11602" t="n"/>
      <c r="R126" s="11602" t="n"/>
      <c r="S126" s="11602" t="n"/>
      <c r="T126" s="11602" t="n"/>
      <c r="U126" s="11602" t="n"/>
      <c r="V126" s="11602" t="n"/>
      <c r="W126" s="11602" t="n"/>
      <c r="X126" s="580" t="n"/>
      <c r="Y126" s="1401" t="inlineStr">
        <is>
          <t xml:space="preserve">.   .   .   .   .   .   .  </t>
        </is>
      </c>
      <c r="Z126" s="2895" t="n">
        <v>30</v>
      </c>
      <c r="AA126" s="7638" t="n"/>
      <c r="AB126" s="12251">
        <f>IF(AO120,$AR$32,"")</f>
        <v/>
      </c>
      <c r="AC126" s="11717" t="n"/>
      <c r="AD126" s="11717" t="n"/>
      <c r="AE126" s="11717" t="n"/>
      <c r="AF126" s="11717" t="n"/>
      <c r="AG126" s="11717" t="n"/>
      <c r="AH126" s="11717" t="n"/>
      <c r="AI126" s="11718" t="n"/>
      <c r="AJ126" s="8967" t="n"/>
      <c r="AL126" s="408" t="n"/>
      <c r="AM126" s="11602" t="n"/>
      <c r="AN126" s="11602" t="n"/>
      <c r="AO126" s="11602" t="n"/>
      <c r="AP126" s="1277" t="n"/>
      <c r="AQ126" s="512" t="inlineStr">
        <is>
          <t>f</t>
        </is>
      </c>
      <c r="AR126" s="8955">
        <f>IF(W25&lt;&gt;"",$AL$118,0)</f>
        <v/>
      </c>
      <c r="AV126" s="11602" t="n"/>
      <c r="AW126" s="11602" t="n"/>
      <c r="AX126" s="769" t="n"/>
      <c r="AY126" s="964" t="n"/>
      <c r="AZ126" s="964" t="n"/>
      <c r="BA126" s="964" t="n"/>
      <c r="BB126" s="964" t="n"/>
      <c r="BC126" s="964" t="n"/>
      <c r="BD126" s="964" t="n"/>
      <c r="BE126" s="964" t="n"/>
      <c r="BF126" s="964" t="n"/>
      <c r="BG126" s="964" t="n"/>
      <c r="BH126" s="964" t="n"/>
    </row>
    <row r="127" ht="14.25" customHeight="1" s="7635" thickBot="1">
      <c r="A127" s="2112" t="n"/>
      <c r="B127" s="8966" t="n">
        <v>31</v>
      </c>
      <c r="D127" s="344" t="inlineStr">
        <is>
          <t>Credit for taxes on lump-sum distributions</t>
        </is>
      </c>
      <c r="E127" s="11602" t="n"/>
      <c r="F127" s="8650" t="n"/>
      <c r="G127" s="11602" t="n"/>
      <c r="H127" s="11602" t="n"/>
      <c r="I127" s="11602" t="n"/>
      <c r="J127" s="11602" t="n"/>
      <c r="K127" s="11602" t="n"/>
      <c r="L127" s="11602" t="n"/>
      <c r="M127" s="11602" t="n"/>
      <c r="N127" s="11602" t="n"/>
      <c r="O127" s="11602" t="n"/>
      <c r="P127" s="11602" t="n"/>
      <c r="Q127" s="11602" t="n"/>
      <c r="R127" s="11602" t="n"/>
      <c r="S127" s="11602" t="n"/>
      <c r="T127" s="11602" t="n"/>
      <c r="U127" s="11602" t="n"/>
      <c r="V127" s="11602" t="n"/>
      <c r="W127" s="11602" t="n"/>
      <c r="X127" s="580" t="n"/>
      <c r="Y127" s="1401" t="inlineStr">
        <is>
          <t xml:space="preserve">.   .   .   .   .   .   .   .   .   .   .   .  </t>
        </is>
      </c>
      <c r="Z127" s="12261" t="n">
        <v>31</v>
      </c>
      <c r="AA127" s="12143" t="n"/>
      <c r="AB127" s="12262">
        <f>IF(AO120,$AR$33,"")</f>
        <v/>
      </c>
      <c r="AC127" s="11809" t="n"/>
      <c r="AD127" s="11809" t="n"/>
      <c r="AE127" s="11809" t="n"/>
      <c r="AF127" s="11809" t="n"/>
      <c r="AG127" s="11809" t="n"/>
      <c r="AH127" s="11809" t="n"/>
      <c r="AI127" s="11810" t="n"/>
      <c r="AJ127" s="8967" t="n"/>
      <c r="AL127" s="408" t="n"/>
      <c r="AM127" s="11602" t="n"/>
      <c r="AN127" s="11602" t="n"/>
      <c r="AO127" s="11602" t="n"/>
      <c r="AP127" s="1277" t="n"/>
      <c r="AQ127" s="4204" t="inlineStr">
        <is>
          <t>g</t>
        </is>
      </c>
      <c r="AR127" s="9020">
        <f>IF(AI23&lt;&gt;"",$AL$118,0)</f>
        <v/>
      </c>
      <c r="AV127" s="11602" t="n"/>
      <c r="AW127" s="11602" t="n"/>
      <c r="AX127" s="769" t="n"/>
      <c r="AY127" s="964" t="n"/>
      <c r="AZ127" s="964" t="n"/>
      <c r="BA127" s="964" t="n"/>
      <c r="BB127" s="964" t="n"/>
      <c r="BC127" s="964" t="n"/>
      <c r="BD127" s="964" t="n"/>
      <c r="BE127" s="964" t="n"/>
      <c r="BF127" s="964" t="n"/>
      <c r="BG127" s="964" t="n"/>
      <c r="BH127" s="964" t="n"/>
    </row>
    <row r="128" ht="14.25" customHeight="1" s="7635">
      <c r="A128" s="2112" t="n"/>
      <c r="B128" s="8966" t="n">
        <v>32</v>
      </c>
      <c r="D128" s="344" t="inlineStr">
        <is>
          <t>Add lines 25 through 31</t>
        </is>
      </c>
      <c r="E128" s="11602" t="n"/>
      <c r="F128" s="8650" t="n"/>
      <c r="G128" s="11602" t="n"/>
      <c r="H128" s="11602" t="n"/>
      <c r="I128" s="11602" t="n"/>
      <c r="J128" s="11602" t="n"/>
      <c r="K128" s="11602" t="n"/>
      <c r="L128" s="11602" t="n"/>
      <c r="M128" s="11602" t="n"/>
      <c r="N128" s="11602" t="n"/>
      <c r="O128" s="11602" t="n"/>
      <c r="P128" s="11602" t="n"/>
      <c r="Q128" s="11602" t="n"/>
      <c r="R128" s="11602" t="n"/>
      <c r="S128" s="11602" t="n"/>
      <c r="T128" s="11602" t="n"/>
      <c r="U128" s="11602" t="n"/>
      <c r="V128" s="11602" t="n"/>
      <c r="W128" s="11602" t="n"/>
      <c r="X128" s="11602" t="n"/>
      <c r="Y128" s="11602" t="n"/>
      <c r="Z128" s="7914" t="n"/>
      <c r="AA128" s="7914" t="n"/>
      <c r="AB128" s="11602" t="n"/>
      <c r="AC128" s="11602" t="n"/>
      <c r="AD128" s="11602" t="n"/>
      <c r="AE128" s="11602" t="n"/>
      <c r="AF128" s="11602" t="n"/>
      <c r="AG128" s="11602" t="n"/>
      <c r="AH128" s="11602" t="n"/>
      <c r="AI128" s="1401" t="inlineStr">
        <is>
          <t xml:space="preserve">.   .   .   .   .   .   .   .   .   .   .   .   .   .   .   .   .   .   .   .   .   .   .   .   .   .   .   .   .  </t>
        </is>
      </c>
      <c r="AJ128" s="2895" t="n">
        <v>32</v>
      </c>
      <c r="AK128" s="7638" t="n"/>
      <c r="AL128" s="8991">
        <f>IF(AQ128&lt;&gt;"",ROUND(AQ128,0),IF(NOT(AO120),"",SUM(AB121:AI127)))</f>
        <v/>
      </c>
      <c r="AM128" s="7637" t="n"/>
      <c r="AN128" s="7637" t="n"/>
      <c r="AO128" s="7637" t="n"/>
      <c r="AP128" s="1277" t="n"/>
      <c r="AQ128" s="8957" t="n"/>
      <c r="AR128" s="11717" t="n"/>
      <c r="AS128" s="11717" t="n"/>
      <c r="AT128" s="11717" t="n"/>
      <c r="AU128" s="1277" t="n"/>
      <c r="AV128" s="7772" t="n"/>
      <c r="AW128" s="7772" t="n"/>
      <c r="AX128" s="769" t="n"/>
      <c r="AY128" s="964" t="n"/>
      <c r="AZ128" s="964" t="n"/>
      <c r="BA128" s="964" t="n"/>
      <c r="BB128" s="964" t="n"/>
      <c r="BC128" s="964" t="n"/>
      <c r="BD128" s="964" t="n"/>
      <c r="BE128" s="964" t="n"/>
      <c r="BF128" s="964" t="n"/>
      <c r="BG128" s="964" t="n"/>
      <c r="BH128" s="964" t="n"/>
    </row>
    <row r="129" ht="14.25" customHeight="1" s="7635">
      <c r="A129" s="2112" t="n"/>
      <c r="B129" s="8966" t="n">
        <v>33</v>
      </c>
      <c r="D129" s="344" t="inlineStr">
        <is>
          <t>Enter the smaller of line 20 or line 32</t>
        </is>
      </c>
      <c r="E129" s="11602" t="n"/>
      <c r="F129" s="8650" t="n"/>
      <c r="G129" s="11602" t="n"/>
      <c r="H129" s="11602" t="n"/>
      <c r="I129" s="11602" t="n"/>
      <c r="J129" s="11602" t="n"/>
      <c r="K129" s="11602" t="n"/>
      <c r="L129" s="11602" t="n"/>
      <c r="M129" s="11602" t="n"/>
      <c r="N129" s="11602" t="n"/>
      <c r="O129" s="11602" t="n"/>
      <c r="P129" s="11602" t="n"/>
      <c r="Q129" s="11602" t="n"/>
      <c r="R129" s="11602" t="n"/>
      <c r="S129" s="11602" t="n"/>
      <c r="T129" s="11602" t="n"/>
      <c r="U129" s="11602" t="n"/>
      <c r="V129" s="11602" t="n"/>
      <c r="W129" s="11602" t="n"/>
      <c r="X129" s="11602" t="n"/>
      <c r="Y129" s="11602" t="n"/>
      <c r="Z129" s="7914" t="n"/>
      <c r="AA129" s="7914" t="n"/>
      <c r="AB129" s="11602" t="n"/>
      <c r="AC129" s="11602" t="n"/>
      <c r="AD129" s="11602" t="n"/>
      <c r="AE129" s="11602" t="n"/>
      <c r="AF129" s="11602" t="n"/>
      <c r="AG129" s="11602" t="n"/>
      <c r="AH129" s="11602" t="n"/>
      <c r="AI129" s="1401" t="inlineStr">
        <is>
          <t xml:space="preserve">.   .   .   .   .   .   .   .   .   .   .   .   .   .   .   .   .   .   .   .   .   .   .  </t>
        </is>
      </c>
      <c r="AJ129" s="2895" t="n">
        <v>33</v>
      </c>
      <c r="AK129" s="7638" t="n"/>
      <c r="AL129" s="8991">
        <f>IF(NOT(AQ20),AL118,IF(NOT(AO120),"",IF(ISERROR(MIN(AL112,AL128)),"",MIN(AL112,AL128))))</f>
        <v/>
      </c>
      <c r="AM129" s="7637" t="n"/>
      <c r="AN129" s="7637" t="n"/>
      <c r="AO129" s="7637" t="n"/>
      <c r="AP129" s="1277" t="n"/>
      <c r="AQ129" s="1277" t="n"/>
      <c r="AR129" s="1277" t="n"/>
      <c r="AS129" s="1277" t="n"/>
      <c r="AT129" s="1277" t="n"/>
      <c r="AU129" s="1277" t="n"/>
      <c r="AV129" s="11602" t="n"/>
      <c r="AW129" s="11602" t="n"/>
      <c r="AX129" s="769" t="n"/>
      <c r="AY129" s="969" t="inlineStr">
        <is>
          <t>CarryBack from Current Year</t>
        </is>
      </c>
      <c r="AZ129" s="964" t="n"/>
      <c r="BA129" s="964" t="n"/>
      <c r="BB129" s="971">
        <f>IF(ISERROR(SUM(AL115,-ForeignTaxCredit_1))," ---",MAX(SUM(AL115,-ForeignTaxCredit_1),0))</f>
        <v/>
      </c>
      <c r="BC129" s="973" t="inlineStr">
        <is>
          <t>Line 21 less Line 33 (Must be &gt;=0)</t>
        </is>
      </c>
      <c r="BD129" s="964" t="n"/>
      <c r="BE129" s="964" t="n"/>
      <c r="BF129" s="964" t="n"/>
      <c r="BG129" s="964" t="n"/>
      <c r="BH129" s="964" t="n"/>
    </row>
    <row r="130" ht="14.25" customHeight="1" s="7635">
      <c r="A130" s="2112" t="n"/>
      <c r="B130" s="8966" t="n">
        <v>34</v>
      </c>
      <c r="D130" s="344" t="inlineStr">
        <is>
          <t>Reduction of credit for international boycott operations. See instructions for line 12</t>
        </is>
      </c>
      <c r="E130" s="11602" t="n"/>
      <c r="F130" s="8650" t="n"/>
      <c r="G130" s="11602" t="n"/>
      <c r="H130" s="11602" t="n"/>
      <c r="I130" s="11602" t="n"/>
      <c r="J130" s="11602" t="n"/>
      <c r="K130" s="11602" t="n"/>
      <c r="L130" s="11602" t="n"/>
      <c r="M130" s="11602" t="n"/>
      <c r="N130" s="11602" t="n"/>
      <c r="O130" s="11602" t="n"/>
      <c r="P130" s="11602" t="n"/>
      <c r="Q130" s="11602" t="n"/>
      <c r="R130" s="11602" t="n"/>
      <c r="S130" s="11602" t="n"/>
      <c r="T130" s="11602" t="n"/>
      <c r="U130" s="11602" t="n"/>
      <c r="V130" s="11602" t="n"/>
      <c r="W130" s="11602" t="n"/>
      <c r="X130" s="11602" t="n"/>
      <c r="Y130" s="11602" t="n"/>
      <c r="Z130" s="7914" t="n"/>
      <c r="AA130" s="7914" t="n"/>
      <c r="AB130" s="11602" t="n"/>
      <c r="AC130" s="11602" t="n"/>
      <c r="AD130" s="11602" t="n"/>
      <c r="AE130" s="11602" t="n"/>
      <c r="AF130" s="11602" t="n"/>
      <c r="AG130" s="11602" t="n"/>
      <c r="AH130" s="11602" t="n"/>
      <c r="AI130" s="1401" t="inlineStr">
        <is>
          <t xml:space="preserve">.   .   .   .   .   .   .  </t>
        </is>
      </c>
      <c r="AJ130" s="2898" t="n">
        <v>34</v>
      </c>
      <c r="AK130" s="10091" t="n"/>
      <c r="AL130" s="9178" t="n"/>
      <c r="AM130" s="11745" t="n"/>
      <c r="AN130" s="11745" t="n"/>
      <c r="AO130" s="11745" t="n"/>
      <c r="AP130" s="1277" t="n"/>
      <c r="AQ130" s="11602" t="n"/>
      <c r="AR130" s="11602" t="n"/>
      <c r="AS130" s="11602" t="n"/>
      <c r="AT130" s="11602" t="n"/>
      <c r="AU130" s="11602" t="n"/>
      <c r="AV130" s="11602" t="n"/>
      <c r="AW130" s="11602" t="n"/>
      <c r="AX130" s="769" t="n"/>
      <c r="AY130" s="969" t="inlineStr">
        <is>
          <t>CarryForward to Next Year</t>
        </is>
      </c>
      <c r="AZ130" s="964" t="n"/>
      <c r="BA130" s="964" t="n"/>
      <c r="BB130" s="972">
        <f>IF(ISERROR(SUM(AL96,-ForeignTaxCredit_1))," ---",MAX(SUM(AL96,-ForeignTaxCredit_1),0))</f>
        <v/>
      </c>
      <c r="BC130" s="973" t="inlineStr">
        <is>
          <t>Line 14 less Line 33 (Must be &gt;=0)</t>
        </is>
      </c>
      <c r="BD130" s="964" t="n"/>
      <c r="BE130" s="964" t="n"/>
      <c r="BF130" s="964" t="n"/>
      <c r="BG130" s="964" t="n"/>
      <c r="BH130" s="964" t="n"/>
    </row>
    <row r="131">
      <c r="A131" s="2112" t="n"/>
      <c r="B131" s="8966" t="n">
        <v>35</v>
      </c>
      <c r="D131" s="344" t="inlineStr">
        <is>
          <t>Subtract line 34 from line 33. This is your foreign tax credit. Enter here and on Schedule 3 (Form 1040),</t>
        </is>
      </c>
      <c r="E131" s="11602" t="n"/>
      <c r="F131" s="11602" t="n"/>
      <c r="G131" s="11602" t="n"/>
      <c r="H131" s="11602" t="n"/>
      <c r="I131" s="11602" t="n"/>
      <c r="J131" s="11602" t="n"/>
      <c r="K131" s="11602" t="n"/>
      <c r="L131" s="11602" t="n"/>
      <c r="M131" s="11602" t="n"/>
      <c r="N131" s="11602" t="n"/>
      <c r="O131" s="11602" t="n"/>
      <c r="P131" s="11602" t="n"/>
      <c r="Q131" s="11602" t="n"/>
      <c r="R131" s="11602" t="n"/>
      <c r="S131" s="11602" t="n"/>
      <c r="T131" s="794" t="n"/>
      <c r="U131" s="11602" t="n"/>
      <c r="V131" s="11602" t="n"/>
      <c r="W131" s="11602" t="n"/>
      <c r="X131" s="11602" t="n"/>
      <c r="Y131" s="11602" t="n"/>
      <c r="Z131" s="11602" t="n"/>
      <c r="AA131" s="11602" t="n"/>
      <c r="AB131" s="11602" t="n"/>
      <c r="AC131" s="11602" t="n"/>
      <c r="AD131" s="11602" t="n"/>
      <c r="AE131" s="11602" t="n"/>
      <c r="AF131" s="11602" t="n"/>
      <c r="AG131" s="11602" t="n"/>
      <c r="AH131" s="11602" t="n"/>
      <c r="AI131" s="11602" t="n"/>
      <c r="AJ131" s="7599" t="n"/>
      <c r="AK131" s="7839" t="n"/>
      <c r="AL131" s="405" t="n"/>
      <c r="AM131" s="406" t="n"/>
      <c r="AN131" s="406" t="n"/>
      <c r="AO131" s="406" t="n"/>
      <c r="AP131" s="1277" t="n"/>
      <c r="AQ131" s="1277" t="n"/>
      <c r="AR131" s="1277" t="n"/>
      <c r="AS131" s="1277" t="n"/>
      <c r="AT131" s="1277" t="n"/>
      <c r="AU131" s="1277" t="n"/>
      <c r="AV131" s="11602" t="n"/>
      <c r="AW131" s="11602" t="n"/>
      <c r="AX131" s="769" t="n"/>
      <c r="AY131" s="964" t="n"/>
      <c r="AZ131" s="964" t="n"/>
      <c r="BA131" s="964" t="n"/>
      <c r="BB131" s="964" t="n"/>
      <c r="BC131" s="964" t="n"/>
      <c r="BD131" s="964" t="n"/>
      <c r="BE131" s="964" t="n"/>
      <c r="BF131" s="964" t="n"/>
      <c r="BG131" s="964" t="n"/>
      <c r="BH131" s="964" t="n"/>
    </row>
    <row r="132" ht="13.5" customHeight="1" s="7635" thickBot="1">
      <c r="A132" s="2112" t="n"/>
      <c r="B132" s="9134" t="n"/>
      <c r="C132" s="9134" t="n"/>
      <c r="D132" s="498" t="inlineStr">
        <is>
          <t>line 1; Form 1041, Schedule G, line 2a; or Form 990-T, Part III, line 1a</t>
        </is>
      </c>
      <c r="E132" s="380" t="n"/>
      <c r="F132" s="380" t="n"/>
      <c r="G132" s="380" t="n"/>
      <c r="H132" s="380" t="n"/>
      <c r="I132" s="380" t="n"/>
      <c r="J132" s="380" t="n"/>
      <c r="K132" s="380" t="n"/>
      <c r="L132" s="380" t="n"/>
      <c r="M132" s="380" t="n"/>
      <c r="N132" s="380" t="n"/>
      <c r="O132" s="380" t="n"/>
      <c r="P132" s="380" t="n"/>
      <c r="Q132" s="380" t="n"/>
      <c r="R132" s="380" t="n"/>
      <c r="S132" s="380" t="n"/>
      <c r="T132" s="4206" t="n"/>
      <c r="U132" s="380" t="n"/>
      <c r="V132" s="380" t="n"/>
      <c r="W132" s="380" t="n"/>
      <c r="X132" s="380" t="n"/>
      <c r="Y132" s="380" t="n"/>
      <c r="Z132" s="380" t="n"/>
      <c r="AA132" s="380" t="n"/>
      <c r="AB132" s="380" t="n"/>
      <c r="AC132" s="380" t="n"/>
      <c r="AD132" s="380" t="n"/>
      <c r="AE132" s="380" t="n"/>
      <c r="AF132" s="380" t="n"/>
      <c r="AG132" s="380" t="n"/>
      <c r="AH132" s="380" t="n"/>
      <c r="AI132" s="10736" t="inlineStr">
        <is>
          <t xml:space="preserve">.   .   .   .   .   .   .   .   .   .  </t>
        </is>
      </c>
      <c r="AJ132" s="3840" t="n">
        <v>35</v>
      </c>
      <c r="AK132" s="12121" t="n"/>
      <c r="AL132" s="9025">
        <f>IF(AQ132&lt;&gt;"",ROUND(AQ132,0),IF(AND(AL120=1,AO22=1),AL118,IF(NOT(AO120),"",IF(ISERROR(SUM(AL129,-AL130)),"",SUM(AL129,-AL130)))))</f>
        <v/>
      </c>
      <c r="AM132" s="8848" t="n"/>
      <c r="AN132" s="8848" t="n"/>
      <c r="AO132" s="8848" t="n"/>
      <c r="AP132" s="1277" t="n"/>
      <c r="AQ132" s="8957" t="n"/>
      <c r="AR132" s="11717" t="n"/>
      <c r="AS132" s="11717" t="n"/>
      <c r="AT132" s="11717" t="n"/>
      <c r="AU132" s="1277" t="n"/>
      <c r="AV132" s="11602" t="n"/>
      <c r="AW132" s="11602" t="n"/>
      <c r="AX132" s="769" t="n"/>
      <c r="AY132" s="969" t="inlineStr">
        <is>
          <t>Important! - Retain these CarryBack and CarryForward amounts for EACH year you file Form 1116.</t>
        </is>
      </c>
      <c r="AZ132" s="964" t="n"/>
      <c r="BA132" s="964" t="n"/>
      <c r="BB132" s="964" t="n"/>
      <c r="BC132" s="964" t="n"/>
      <c r="BD132" s="964" t="n"/>
      <c r="BE132" s="964" t="n"/>
      <c r="BF132" s="964" t="n"/>
      <c r="BG132" s="964" t="n"/>
      <c r="BH132" s="964" t="n"/>
    </row>
    <row r="133" ht="18" customHeight="1" s="7635">
      <c r="A133" s="2112" t="n"/>
      <c r="B133" s="1218" t="n"/>
      <c r="C133" s="2373" t="n"/>
      <c r="D133" s="11602" t="n"/>
      <c r="E133" s="11602" t="n"/>
      <c r="F133" s="11602" t="n"/>
      <c r="G133" s="11602" t="n"/>
      <c r="H133" s="11602" t="n"/>
      <c r="I133" s="11602" t="n"/>
      <c r="J133" s="11602" t="n"/>
      <c r="K133" s="11602" t="n"/>
      <c r="L133" s="11602" t="n"/>
      <c r="M133" s="11602" t="n"/>
      <c r="N133" s="11602" t="n"/>
      <c r="O133" s="11602" t="n"/>
      <c r="P133" s="11602" t="n"/>
      <c r="Q133" s="11602" t="n"/>
      <c r="R133" s="11602" t="n"/>
      <c r="S133" s="11602" t="n"/>
      <c r="T133" s="11602" t="n"/>
      <c r="U133" s="11602" t="n"/>
      <c r="V133" s="11602" t="n"/>
      <c r="W133" s="11602" t="n"/>
      <c r="X133" s="11602" t="n"/>
      <c r="Y133" s="11602" t="n"/>
      <c r="Z133" s="11602" t="n"/>
      <c r="AA133" s="11602" t="n"/>
      <c r="AB133" s="11602" t="n"/>
      <c r="AC133" s="11602" t="n"/>
      <c r="AD133" s="11602" t="n"/>
      <c r="AE133" s="11602" t="n"/>
      <c r="AF133" s="11602" t="n"/>
      <c r="AG133" s="11602" t="n"/>
      <c r="AH133" s="11602" t="n"/>
      <c r="AI133" s="11602" t="n"/>
      <c r="AJ133" s="11602" t="n"/>
      <c r="AK133" s="1061" t="n"/>
      <c r="AL133" s="11602" t="n"/>
      <c r="AM133" s="11602" t="n"/>
      <c r="AN133" s="1061" t="inlineStr">
        <is>
          <t>Form 1116</t>
        </is>
      </c>
      <c r="AO133" s="6996">
        <f>"("&amp;TaxYear&amp;")"</f>
        <v/>
      </c>
      <c r="AP133" s="1277" t="n"/>
      <c r="AQ133" s="1277" t="n"/>
      <c r="AR133" s="1277" t="n"/>
      <c r="AS133" s="1277" t="n"/>
      <c r="AT133" s="1277" t="n"/>
      <c r="AU133" s="1277" t="n"/>
      <c r="AV133" s="11602" t="n"/>
      <c r="AW133" s="11602" t="n"/>
      <c r="AX133" s="769" t="n"/>
      <c r="AY133" s="969" t="inlineStr">
        <is>
          <t>They will be needed in future years when you can get a REFUND from CarryBack and for utilizing</t>
        </is>
      </c>
      <c r="AZ133" s="964" t="n"/>
      <c r="BA133" s="964" t="n"/>
      <c r="BB133" s="964" t="n"/>
      <c r="BC133" s="964" t="n"/>
      <c r="BD133" s="964" t="n"/>
      <c r="BE133" s="964" t="n"/>
      <c r="BF133" s="964" t="n"/>
      <c r="BG133" s="964" t="n"/>
      <c r="BH133" s="964" t="n"/>
    </row>
    <row r="134" ht="20.25" customHeight="1" s="7635">
      <c r="A134" s="2112" t="n"/>
      <c r="B134" s="9068" t="inlineStr">
        <is>
          <t>Form 1116</t>
        </is>
      </c>
      <c r="H134" s="4142">
        <f>IF(AND(NOT(NoColor),'Table of Contents'!$A$43="D"),"DRAFT","")</f>
        <v/>
      </c>
      <c r="I134" s="9086" t="n"/>
      <c r="J134" s="9086" t="n"/>
      <c r="K134" s="9086" t="n"/>
      <c r="L134" s="9086" t="n"/>
      <c r="M134" s="7954" t="inlineStr">
        <is>
          <t>Foreign Tax Credit</t>
        </is>
      </c>
      <c r="AA134" s="9086" t="n"/>
      <c r="AB134" s="9086" t="n"/>
      <c r="AC134" s="9086" t="n"/>
      <c r="AD134" s="9086" t="n"/>
      <c r="AE134" s="9086" t="n"/>
      <c r="AF134" s="9086" t="n"/>
      <c r="AG134" s="9086" t="n"/>
      <c r="AH134" s="2910" t="n"/>
      <c r="AI134" s="8598" t="inlineStr">
        <is>
          <t>OMB No. 1545-0121</t>
        </is>
      </c>
      <c r="AJ134" s="7637" t="n"/>
      <c r="AK134" s="7637" t="n"/>
      <c r="AL134" s="7637" t="n"/>
      <c r="AM134" s="7637" t="n"/>
      <c r="AN134" s="7637" t="n"/>
      <c r="AO134" s="7637" t="n"/>
      <c r="AP134" s="1277" t="n"/>
      <c r="AQ134" s="11602" t="n"/>
      <c r="AR134" s="11602" t="n"/>
      <c r="AS134" s="11602" t="n"/>
      <c r="AT134" s="11602" t="n"/>
      <c r="AU134" s="11602" t="n"/>
      <c r="AV134" s="11602" t="n"/>
      <c r="AW134" s="11602" t="n"/>
      <c r="AX134" s="769" t="n"/>
      <c r="AY134" s="970" t="inlineStr">
        <is>
          <t>Unused CarryForward next year on Form 1116 Line 10.</t>
        </is>
      </c>
      <c r="AZ134" s="964" t="n"/>
      <c r="BA134" s="964" t="n"/>
      <c r="BB134" s="964" t="n"/>
      <c r="BC134" s="964" t="n"/>
      <c r="BD134" s="964" t="n"/>
      <c r="BE134" s="964" t="n"/>
      <c r="BF134" s="964" t="n"/>
      <c r="BG134" s="964" t="n"/>
      <c r="BH134" s="964" t="n"/>
    </row>
    <row r="135" ht="11.25" customHeight="1" s="7635">
      <c r="A135" s="4135" t="n"/>
      <c r="H135" s="4144" t="n"/>
      <c r="I135" s="9086" t="n"/>
      <c r="J135" s="9086" t="n"/>
      <c r="K135" s="9086" t="n"/>
      <c r="L135" s="9086" t="n"/>
      <c r="AA135" s="9086" t="n"/>
      <c r="AB135" s="9086" t="n"/>
      <c r="AC135" s="9086" t="n"/>
      <c r="AD135" s="9086" t="n"/>
      <c r="AE135" s="9086" t="n"/>
      <c r="AF135" s="9086" t="n"/>
      <c r="AG135" s="9086" t="n"/>
      <c r="AH135" s="809" t="n"/>
      <c r="AI135" s="9055">
        <f>TaxYear</f>
        <v/>
      </c>
      <c r="AJ135" s="7839" t="n"/>
      <c r="AK135" s="7839" t="n"/>
      <c r="AL135" s="7839" t="n"/>
      <c r="AM135" s="7839" t="n"/>
      <c r="AN135" s="7839" t="n"/>
      <c r="AO135" s="7839" t="n"/>
      <c r="AP135" s="1277" t="n"/>
      <c r="AQ135" s="11602" t="n"/>
      <c r="AR135" s="11602" t="n"/>
      <c r="AS135" s="11602" t="n"/>
      <c r="AT135" s="11602" t="n"/>
      <c r="AU135" s="11602" t="n"/>
      <c r="AV135" s="11602" t="n"/>
      <c r="AW135" s="11602" t="n"/>
      <c r="AX135" s="769" t="n"/>
      <c r="AY135" s="970" t="n"/>
      <c r="AZ135" s="964" t="n"/>
      <c r="BA135" s="964" t="n"/>
      <c r="BB135" s="964" t="n"/>
      <c r="BC135" s="964" t="n"/>
      <c r="BD135" s="964" t="n"/>
      <c r="BE135" s="964" t="n"/>
      <c r="BF135" s="964" t="n"/>
      <c r="BG135" s="964" t="n"/>
      <c r="BH135" s="964" t="n"/>
    </row>
    <row r="136" ht="18" customHeight="1" s="7635">
      <c r="A136" s="2112" t="n"/>
      <c r="B136" s="2677" t="n"/>
      <c r="C136" s="11602" t="n"/>
      <c r="D136" s="11602" t="n"/>
      <c r="E136" s="11602" t="n"/>
      <c r="F136" s="11602" t="n"/>
      <c r="G136" s="11602" t="n"/>
      <c r="H136" s="12263" t="inlineStr">
        <is>
          <t>(Individual, Estate, or Trust)</t>
        </is>
      </c>
      <c r="AH136" s="1066" t="n"/>
      <c r="AI136" s="11741" t="n"/>
      <c r="AP136" s="1277" t="n"/>
      <c r="AQ136" s="11602" t="n"/>
      <c r="AR136" s="11602" t="n"/>
      <c r="AS136" s="11602" t="n"/>
      <c r="AT136" s="11602" t="n"/>
      <c r="AU136" s="11602" t="n"/>
      <c r="AV136" s="11602" t="n"/>
      <c r="AW136" s="11602" t="n"/>
      <c r="AX136" s="768" t="n"/>
      <c r="AY136" s="964" t="n"/>
      <c r="AZ136" s="964" t="n"/>
      <c r="BA136" s="964" t="n"/>
      <c r="BB136" s="964" t="n"/>
      <c r="BC136" s="964" t="n"/>
      <c r="BD136" s="964" t="n"/>
      <c r="BE136" s="964" t="n"/>
      <c r="BF136" s="964" t="n"/>
      <c r="BG136" s="964" t="n"/>
      <c r="BH136" s="964" t="n"/>
    </row>
    <row r="137" ht="14.25" customHeight="1" s="7635">
      <c r="A137" s="2112" t="n"/>
      <c r="B137" s="7650" t="inlineStr">
        <is>
          <t>Department of the Treasury Internal Revenue Service</t>
        </is>
      </c>
      <c r="G137" s="1066" t="n"/>
      <c r="H137" s="12228" t="inlineStr">
        <is>
          <t>Attach to Form 1040, 1040-SR, 1040-NR, 1041, or 990-T.</t>
        </is>
      </c>
      <c r="AH137" s="1066" t="n"/>
      <c r="AI137" s="12264" t="inlineStr">
        <is>
          <t>Attachment 
Sequence No.</t>
        </is>
      </c>
      <c r="AN137" s="9176" t="n">
        <v>19</v>
      </c>
      <c r="AP137" s="1277" t="n"/>
      <c r="AQ137" s="11602" t="n"/>
      <c r="AR137" s="11602" t="n"/>
      <c r="AS137" s="11602" t="n"/>
      <c r="AT137" s="11602" t="n"/>
      <c r="AU137" s="11602" t="n"/>
      <c r="AV137" s="11602" t="n"/>
      <c r="AW137" s="11602" t="n"/>
      <c r="AX137" s="768" t="inlineStr">
        <is>
          <t>Notes</t>
        </is>
      </c>
      <c r="AY137" s="964" t="n"/>
      <c r="AZ137" s="964" t="n"/>
      <c r="BA137" s="964" t="n"/>
      <c r="BB137" s="964" t="n"/>
      <c r="BC137" s="964" t="n"/>
      <c r="BD137" s="964" t="n"/>
      <c r="BE137" s="964" t="n"/>
      <c r="BF137" s="964" t="n"/>
      <c r="BG137" s="964" t="n"/>
      <c r="BH137" s="964" t="n"/>
    </row>
    <row r="138" ht="13.5" customHeight="1" s="7635" thickBot="1">
      <c r="A138" s="2112" t="n"/>
      <c r="B138" s="8848" t="n"/>
      <c r="C138" s="8848" t="n"/>
      <c r="D138" s="8848" t="n"/>
      <c r="E138" s="8848" t="n"/>
      <c r="F138" s="8848" t="n"/>
      <c r="G138" s="2627" t="n"/>
      <c r="H138" s="12230" t="inlineStr">
        <is>
          <t>Go to www.irs.gov/Form1116 for instructions and the latest information.</t>
        </is>
      </c>
      <c r="I138" s="8848" t="n"/>
      <c r="J138" s="8848" t="n"/>
      <c r="K138" s="8848" t="n"/>
      <c r="L138" s="8848" t="n"/>
      <c r="M138" s="8848" t="n"/>
      <c r="N138" s="8848" t="n"/>
      <c r="O138" s="8848" t="n"/>
      <c r="P138" s="8848" t="n"/>
      <c r="Q138" s="8848" t="n"/>
      <c r="R138" s="8848" t="n"/>
      <c r="S138" s="8848" t="n"/>
      <c r="T138" s="8848" t="n"/>
      <c r="U138" s="8848" t="n"/>
      <c r="V138" s="8848" t="n"/>
      <c r="W138" s="8848" t="n"/>
      <c r="X138" s="8848" t="n"/>
      <c r="Y138" s="8848" t="n"/>
      <c r="Z138" s="8848" t="n"/>
      <c r="AA138" s="8848" t="n"/>
      <c r="AB138" s="8848" t="n"/>
      <c r="AC138" s="8848" t="n"/>
      <c r="AD138" s="8848" t="n"/>
      <c r="AE138" s="8848" t="n"/>
      <c r="AF138" s="8848" t="n"/>
      <c r="AG138" s="8848" t="n"/>
      <c r="AH138" s="2627" t="n"/>
      <c r="AI138" s="11743" t="n"/>
      <c r="AJ138" s="8848" t="n"/>
      <c r="AK138" s="8848" t="n"/>
      <c r="AL138" s="8848" t="n"/>
      <c r="AM138" s="8848" t="n"/>
      <c r="AN138" s="8848" t="n"/>
      <c r="AO138" s="8848" t="n"/>
      <c r="AP138" s="1277" t="n"/>
      <c r="AQ138" s="11602" t="n"/>
      <c r="AR138" s="11602" t="n"/>
      <c r="AS138" s="11602" t="n"/>
      <c r="AT138" s="11602" t="n"/>
      <c r="AU138" s="11602" t="n"/>
      <c r="AV138" s="11602" t="n"/>
      <c r="AW138" s="11602" t="n"/>
      <c r="AX138" s="968" t="inlineStr">
        <is>
          <t>Date</t>
        </is>
      </c>
      <c r="AY138" s="964" t="n"/>
      <c r="AZ138" s="964" t="n"/>
      <c r="BA138" s="964" t="n"/>
      <c r="BB138" s="964" t="n"/>
      <c r="BC138" s="964" t="n"/>
      <c r="BD138" s="964" t="n"/>
      <c r="BE138" s="964" t="n"/>
      <c r="BF138" s="964" t="n"/>
      <c r="BG138" s="964" t="n"/>
      <c r="BH138" s="964" t="n"/>
    </row>
    <row r="139" ht="9.75" customHeight="1" s="7635">
      <c r="A139" s="2112" t="n"/>
      <c r="B139" s="339" t="inlineStr">
        <is>
          <t>Name</t>
        </is>
      </c>
      <c r="C139" s="377" t="n"/>
      <c r="D139" s="377" t="n"/>
      <c r="E139" s="377" t="n"/>
      <c r="F139" s="377" t="n"/>
      <c r="G139" s="377" t="n"/>
      <c r="H139" s="377" t="n"/>
      <c r="I139" s="377" t="n"/>
      <c r="J139" s="377" t="n"/>
      <c r="K139" s="377" t="n"/>
      <c r="L139" s="377" t="n"/>
      <c r="M139" s="377" t="n"/>
      <c r="N139" s="377" t="n"/>
      <c r="O139" s="377" t="n"/>
      <c r="P139" s="377" t="n"/>
      <c r="Q139" s="377" t="n"/>
      <c r="R139" s="377" t="n"/>
      <c r="S139" s="377" t="n"/>
      <c r="T139" s="377" t="n"/>
      <c r="U139" s="377" t="n"/>
      <c r="V139" s="377" t="n"/>
      <c r="W139" s="377" t="n"/>
      <c r="X139" s="377" t="n"/>
      <c r="Y139" s="377" t="n"/>
      <c r="Z139" s="377" t="n"/>
      <c r="AA139" s="9053" t="inlineStr">
        <is>
          <t>Identifying number as shown on page 1 of your tax return</t>
        </is>
      </c>
      <c r="AB139" s="2506" t="n"/>
      <c r="AC139" s="2506" t="n"/>
      <c r="AD139" s="2506" t="n"/>
      <c r="AE139" s="2506" t="n"/>
      <c r="AF139" s="2506" t="n"/>
      <c r="AG139" s="2506" t="n"/>
      <c r="AH139" s="2506" t="n"/>
      <c r="AI139" s="2506" t="n"/>
      <c r="AJ139" s="2506" t="n"/>
      <c r="AK139" s="2506" t="n"/>
      <c r="AL139" s="2506" t="n"/>
      <c r="AM139" s="2506" t="n"/>
      <c r="AN139" s="2506" t="n"/>
      <c r="AO139" s="2506" t="n"/>
      <c r="AP139" s="1277" t="n"/>
      <c r="AQ139" s="11602" t="n"/>
      <c r="AR139" s="11602" t="n"/>
      <c r="AS139" s="11602" t="n"/>
      <c r="AT139" s="11602" t="n"/>
      <c r="AU139" s="11602" t="n"/>
      <c r="AV139" s="11602" t="n"/>
      <c r="AW139" s="11602" t="n"/>
      <c r="AX139" s="769" t="n"/>
      <c r="AY139" s="964" t="n"/>
      <c r="AZ139" s="964" t="n"/>
      <c r="BA139" s="964" t="n"/>
      <c r="BB139" s="964" t="n"/>
      <c r="BC139" s="964" t="n"/>
      <c r="BD139" s="964" t="n"/>
      <c r="BE139" s="964" t="n"/>
      <c r="BF139" s="964" t="n"/>
      <c r="BG139" s="964" t="n"/>
      <c r="BH139" s="964" t="n"/>
    </row>
    <row r="140" ht="12.75" customHeight="1" s="7635">
      <c r="A140" s="2112" t="n"/>
      <c r="B140" s="12231">
        <f>Names</f>
        <v/>
      </c>
      <c r="C140" s="194" t="n"/>
      <c r="D140" s="194" t="n"/>
      <c r="E140" s="194" t="n"/>
      <c r="F140" s="194" t="n"/>
      <c r="G140" s="194" t="n"/>
      <c r="H140" s="194" t="n"/>
      <c r="I140" s="194" t="n"/>
      <c r="J140" s="194" t="n"/>
      <c r="K140" s="194" t="n"/>
      <c r="L140" s="194" t="n"/>
      <c r="M140" s="194" t="n"/>
      <c r="N140" s="194" t="n"/>
      <c r="O140" s="194" t="n"/>
      <c r="P140" s="194" t="n"/>
      <c r="Q140" s="194" t="n"/>
      <c r="R140" s="194" t="n"/>
      <c r="S140" s="194" t="n"/>
      <c r="T140" s="194" t="n"/>
      <c r="U140" s="194" t="n"/>
      <c r="V140" s="194" t="n"/>
      <c r="W140" s="194" t="n"/>
      <c r="X140" s="194" t="n"/>
      <c r="Y140" s="194" t="n"/>
      <c r="Z140" s="194" t="n"/>
      <c r="AA140" s="12232">
        <f>IF(NoSSN,"",SS_Yours)</f>
        <v/>
      </c>
      <c r="AP140" s="1277" t="n"/>
      <c r="AQ140" s="11602" t="n"/>
      <c r="AR140" s="11602" t="n"/>
      <c r="AS140" s="11602" t="n"/>
      <c r="AT140" s="11602" t="n"/>
      <c r="AU140" s="11602" t="n"/>
      <c r="AV140" s="11602" t="n"/>
      <c r="AW140" s="11602" t="n"/>
      <c r="AX140" s="769" t="n"/>
      <c r="AY140" s="964" t="n"/>
      <c r="AZ140" s="964" t="n"/>
      <c r="BA140" s="964" t="n"/>
      <c r="BB140" s="964" t="n"/>
      <c r="BC140" s="964" t="n"/>
      <c r="BD140" s="964" t="n"/>
      <c r="BE140" s="964" t="n"/>
      <c r="BF140" s="964" t="n"/>
      <c r="BG140" s="964" t="n"/>
      <c r="BH140" s="964" t="n"/>
    </row>
    <row r="141" ht="12.75" customHeight="1" s="7635">
      <c r="A141" s="2112" t="n"/>
      <c r="B141" s="11717" t="n"/>
      <c r="C141" s="11717" t="n"/>
      <c r="D141" s="11717" t="n"/>
      <c r="E141" s="11717" t="n"/>
      <c r="F141" s="11717" t="n"/>
      <c r="G141" s="11717" t="n"/>
      <c r="H141" s="11717" t="n"/>
      <c r="I141" s="11717" t="n"/>
      <c r="J141" s="11717" t="n"/>
      <c r="K141" s="11717" t="n"/>
      <c r="L141" s="11717" t="n"/>
      <c r="M141" s="11717" t="n"/>
      <c r="N141" s="11717" t="n"/>
      <c r="O141" s="11717" t="n"/>
      <c r="P141" s="11717" t="n"/>
      <c r="Q141" s="11717" t="n"/>
      <c r="R141" s="11717" t="n"/>
      <c r="S141" s="11717" t="n"/>
      <c r="T141" s="11717" t="n"/>
      <c r="U141" s="11717" t="n"/>
      <c r="V141" s="11717" t="n"/>
      <c r="W141" s="11717" t="n"/>
      <c r="X141" s="11717" t="n"/>
      <c r="Y141" s="11717" t="n"/>
      <c r="Z141" s="11717" t="n"/>
      <c r="AA141" s="3614" t="n"/>
      <c r="AB141" s="7637" t="n"/>
      <c r="AC141" s="7637" t="n"/>
      <c r="AD141" s="7637" t="n"/>
      <c r="AE141" s="7637" t="n"/>
      <c r="AF141" s="7637" t="n"/>
      <c r="AG141" s="7637" t="n"/>
      <c r="AH141" s="7637" t="n"/>
      <c r="AI141" s="7637" t="n"/>
      <c r="AJ141" s="7637" t="n"/>
      <c r="AK141" s="7637" t="n"/>
      <c r="AL141" s="7637" t="n"/>
      <c r="AM141" s="7637" t="n"/>
      <c r="AN141" s="7637" t="n"/>
      <c r="AO141" s="7637" t="n"/>
      <c r="AP141" s="1277" t="n"/>
      <c r="AQ141" s="11602" t="n"/>
      <c r="AR141" s="11602" t="n"/>
      <c r="AS141" s="11602" t="n"/>
      <c r="AT141" s="11602" t="n"/>
      <c r="AU141" s="11602" t="n"/>
      <c r="AV141" s="11602" t="n"/>
      <c r="AW141" s="11602" t="n"/>
      <c r="AX141" s="769" t="n"/>
      <c r="AY141" s="964" t="n"/>
      <c r="AZ141" s="964" t="n"/>
      <c r="BA141" s="964" t="n"/>
      <c r="BB141" s="964" t="n"/>
      <c r="BC141" s="964" t="n"/>
      <c r="BD141" s="964" t="n"/>
      <c r="BE141" s="964" t="n"/>
      <c r="BF141" s="964" t="n"/>
      <c r="BG141" s="964" t="n"/>
      <c r="BH141" s="964" t="n"/>
    </row>
    <row r="142">
      <c r="A142" s="2112" t="n"/>
      <c r="B142" s="2263" t="inlineStr">
        <is>
          <t xml:space="preserve">Use a separate Form 1116 for each category of income listed below. See Categories of Income in the instructions. </t>
        </is>
      </c>
      <c r="C142" s="406" t="n"/>
      <c r="D142" s="406" t="n"/>
      <c r="E142" s="406" t="n"/>
      <c r="F142" s="406" t="n"/>
      <c r="G142" s="406" t="n"/>
      <c r="H142" s="406" t="n"/>
      <c r="I142" s="406" t="n"/>
      <c r="J142" s="406" t="n"/>
      <c r="K142" s="406" t="n"/>
      <c r="L142" s="406" t="n"/>
      <c r="M142" s="406" t="n"/>
      <c r="N142" s="406" t="n"/>
      <c r="O142" s="406" t="n"/>
      <c r="P142" s="406" t="n"/>
      <c r="Q142" s="406" t="n"/>
      <c r="R142" s="406" t="n"/>
      <c r="S142" s="406" t="n"/>
      <c r="T142" s="406" t="n"/>
      <c r="U142" s="406" t="n"/>
      <c r="V142" s="406" t="n"/>
      <c r="W142" s="406" t="n"/>
      <c r="X142" s="406" t="n"/>
      <c r="Y142" s="406" t="n"/>
      <c r="Z142" s="406" t="n"/>
      <c r="AA142" s="406" t="n"/>
      <c r="AB142" s="406" t="n"/>
      <c r="AC142" s="406" t="n"/>
      <c r="AD142" s="406" t="n"/>
      <c r="AE142" s="406" t="n"/>
      <c r="AF142" s="406" t="n"/>
      <c r="AG142" s="406" t="n"/>
      <c r="AH142" s="406" t="n"/>
      <c r="AI142" s="10866" t="inlineStr">
        <is>
          <t>Check only one box on each</t>
        </is>
      </c>
      <c r="AJ142" s="406" t="n"/>
      <c r="AK142" s="406" t="n"/>
      <c r="AL142" s="406" t="n"/>
      <c r="AM142" s="406" t="n"/>
      <c r="AN142" s="406" t="n"/>
      <c r="AO142" s="406" t="n"/>
      <c r="AP142" s="1277" t="n"/>
      <c r="AQ142" s="11602" t="n"/>
      <c r="AR142" s="11602" t="n"/>
      <c r="AS142" s="11602" t="n"/>
      <c r="AT142" s="11602" t="n"/>
      <c r="AU142" s="11602" t="n"/>
      <c r="AV142" s="11602" t="n"/>
      <c r="AW142" s="11602" t="n"/>
      <c r="AX142" s="769" t="n"/>
      <c r="AY142" s="964" t="n"/>
      <c r="AZ142" s="964" t="n"/>
      <c r="BA142" s="964" t="n"/>
      <c r="BB142" s="964" t="n"/>
      <c r="BC142" s="964" t="n"/>
      <c r="BD142" s="964" t="n"/>
      <c r="BE142" s="964" t="n"/>
      <c r="BF142" s="964" t="n"/>
      <c r="BG142" s="964" t="n"/>
      <c r="BH142" s="964" t="n"/>
    </row>
    <row r="143" ht="13.5" customHeight="1" s="7635">
      <c r="A143" s="4135" t="n"/>
      <c r="B143" s="11602" t="inlineStr">
        <is>
          <t xml:space="preserve">Form 1116. </t>
        </is>
      </c>
      <c r="C143" s="11602" t="n"/>
      <c r="D143" s="11602" t="n"/>
      <c r="E143" s="11602" t="inlineStr">
        <is>
          <t>Report all amounts in U.S. dollars except where specified in Part II below.</t>
        </is>
      </c>
      <c r="F143" s="7772" t="n"/>
      <c r="G143" s="11602" t="n"/>
      <c r="H143" s="11602" t="n"/>
      <c r="I143" s="11602" t="n"/>
      <c r="J143" s="11602" t="n"/>
      <c r="K143" s="11602" t="n"/>
      <c r="L143" s="11602" t="n"/>
      <c r="M143" s="11602" t="n"/>
      <c r="N143" s="11602" t="n"/>
      <c r="O143" s="11602" t="n"/>
      <c r="P143" s="11602" t="n"/>
      <c r="Q143" s="11602" t="n"/>
      <c r="R143" s="11602" t="n"/>
      <c r="S143" s="11602" t="n"/>
      <c r="T143" s="11602" t="n"/>
      <c r="U143" s="11602" t="n"/>
      <c r="V143" s="11602" t="n"/>
      <c r="W143" s="11602" t="n"/>
      <c r="X143" s="11602" t="n"/>
      <c r="Y143" s="11602" t="n"/>
      <c r="Z143" s="11602" t="n"/>
      <c r="AA143" s="11602" t="n"/>
      <c r="AB143" s="11602" t="n"/>
      <c r="AC143" s="11602" t="n"/>
      <c r="AD143" s="11602" t="n"/>
      <c r="AE143" s="11602" t="n"/>
      <c r="AF143" s="11602" t="n"/>
      <c r="AG143" s="11602" t="n"/>
      <c r="AH143" s="11602" t="n"/>
      <c r="AI143" s="11602" t="n"/>
      <c r="AJ143" s="11602" t="n"/>
      <c r="AK143" s="11602" t="n"/>
      <c r="AL143" s="11602" t="n"/>
      <c r="AM143" s="11602" t="n"/>
      <c r="AN143" s="11602" t="n"/>
      <c r="AO143" s="11602" t="n"/>
      <c r="AP143" s="1277" t="n"/>
      <c r="AQ143" s="512" t="n"/>
      <c r="AR143" s="8955" t="n"/>
      <c r="AS143" s="8956" t="n"/>
      <c r="AT143" s="8956" t="n"/>
      <c r="AU143" s="8956" t="n"/>
      <c r="AV143" s="11602" t="n"/>
      <c r="AW143" s="11602" t="n"/>
      <c r="AX143" s="769" t="n"/>
      <c r="AY143" s="964" t="n"/>
      <c r="AZ143" s="964" t="n"/>
      <c r="BA143" s="964" t="n"/>
      <c r="BB143" s="964" t="n"/>
      <c r="BC143" s="964" t="n"/>
      <c r="BD143" s="964" t="n"/>
      <c r="BE143" s="964" t="n"/>
      <c r="BF143" s="964" t="n"/>
      <c r="BG143" s="964" t="n"/>
      <c r="BH143" s="964" t="n"/>
    </row>
    <row r="144" ht="6.75" customHeight="1" s="7635">
      <c r="A144" s="2112" t="n"/>
      <c r="B144" s="11602" t="n"/>
      <c r="C144" s="3235">
        <f>IF(C145&lt;&gt;"",1,0)</f>
        <v/>
      </c>
      <c r="D144" s="512" t="n"/>
      <c r="E144" s="512" t="n"/>
      <c r="F144" s="4148" t="n"/>
      <c r="G144" s="512" t="n"/>
      <c r="H144" s="512" t="n"/>
      <c r="I144" s="512" t="n"/>
      <c r="J144" s="512" t="n"/>
      <c r="K144" s="3235">
        <f>IF(K145&lt;&gt;"",1,0)</f>
        <v/>
      </c>
      <c r="L144" s="512" t="n"/>
      <c r="M144" s="512" t="n"/>
      <c r="N144" s="3235" t="n"/>
      <c r="O144" s="512" t="n"/>
      <c r="P144" s="512" t="n"/>
      <c r="Q144" s="512" t="n"/>
      <c r="R144" s="512" t="n"/>
      <c r="S144" s="512" t="n"/>
      <c r="T144" s="512" t="n"/>
      <c r="U144" s="512" t="n"/>
      <c r="V144" s="512" t="n"/>
      <c r="W144" s="3235">
        <f>IF(W145&lt;&gt;"",1,0)</f>
        <v/>
      </c>
      <c r="X144" s="512" t="n"/>
      <c r="Y144" s="512" t="n"/>
      <c r="Z144" s="512" t="n"/>
      <c r="AA144" s="512" t="n"/>
      <c r="AB144" s="3235" t="n"/>
      <c r="AC144" s="11602" t="n"/>
      <c r="AD144" s="11602" t="n"/>
      <c r="AE144" s="11602" t="n"/>
      <c r="AF144" s="11602" t="n"/>
      <c r="AG144" s="11602" t="n"/>
      <c r="AH144" s="11602" t="n"/>
      <c r="AI144" s="3235">
        <f>IF(AI145&lt;&gt;"",1,0)</f>
        <v/>
      </c>
      <c r="AJ144" s="11602" t="n"/>
      <c r="AK144" s="11602" t="n"/>
      <c r="AL144" s="11602" t="n"/>
      <c r="AM144" s="11602" t="n"/>
      <c r="AN144" s="11602" t="n"/>
      <c r="AO144" s="1318">
        <f>SUM(C144,K144,W144,AI144,C146,K146,W146)</f>
        <v/>
      </c>
      <c r="AP144" s="1277" t="n"/>
      <c r="AQ144" s="512" t="n"/>
      <c r="AR144" s="512" t="n"/>
      <c r="AS144" s="512" t="n"/>
      <c r="AT144" s="512" t="n"/>
      <c r="AU144" s="512" t="n"/>
      <c r="AV144" s="11602" t="n"/>
      <c r="AW144" s="11602" t="n"/>
      <c r="AX144" s="769" t="n"/>
      <c r="AY144" s="964" t="n"/>
      <c r="AZ144" s="964" t="n"/>
      <c r="BA144" s="964" t="n"/>
      <c r="BB144" s="964" t="n"/>
      <c r="BC144" s="964" t="n"/>
      <c r="BD144" s="964" t="n"/>
      <c r="BE144" s="964" t="n"/>
      <c r="BF144" s="964" t="n"/>
      <c r="BG144" s="964" t="n"/>
      <c r="BH144" s="964" t="n"/>
    </row>
    <row r="145" ht="11.25" customHeight="1" s="7635">
      <c r="A145" s="4135">
        <f>AND(K145&lt;&gt;"",AO144=1,A202)</f>
        <v/>
      </c>
      <c r="B145" s="7642" t="inlineStr">
        <is>
          <t>a</t>
        </is>
      </c>
      <c r="C145" s="325" t="n"/>
      <c r="D145" s="2853" t="inlineStr">
        <is>
          <t>Section 951A income</t>
        </is>
      </c>
      <c r="E145" s="11602" t="n"/>
      <c r="F145" s="11602" t="n"/>
      <c r="G145" s="11602" t="n"/>
      <c r="H145" s="11602" t="n"/>
      <c r="I145" s="11602" t="n"/>
      <c r="J145" s="7642" t="inlineStr">
        <is>
          <t>c</t>
        </is>
      </c>
      <c r="K145" s="325" t="n"/>
      <c r="L145" s="2853" t="inlineStr">
        <is>
          <t>Passive category income</t>
        </is>
      </c>
      <c r="M145" s="2853" t="n"/>
      <c r="N145" s="344" t="n"/>
      <c r="O145" s="2853" t="n"/>
      <c r="P145" s="344" t="n"/>
      <c r="Q145" s="11602" t="n"/>
      <c r="R145" s="11602" t="n"/>
      <c r="S145" s="11602" t="n"/>
      <c r="T145" s="11602" t="n"/>
      <c r="U145" s="11602" t="n"/>
      <c r="V145" s="7642" t="inlineStr">
        <is>
          <t>e</t>
        </is>
      </c>
      <c r="W145" s="325" t="n"/>
      <c r="X145" s="2853" t="inlineStr">
        <is>
          <t>Section 901(j) income</t>
        </is>
      </c>
      <c r="Y145" s="11602" t="n"/>
      <c r="Z145" s="11602" t="n"/>
      <c r="AA145" s="7642" t="n"/>
      <c r="AB145" s="11602" t="n"/>
      <c r="AC145" s="2853" t="n"/>
      <c r="AD145" s="7642" t="n"/>
      <c r="AE145" s="11602" t="n"/>
      <c r="AF145" s="7642" t="n"/>
      <c r="AG145" s="11602" t="n"/>
      <c r="AH145" s="7642" t="inlineStr">
        <is>
          <t>g</t>
        </is>
      </c>
      <c r="AI145" s="325" t="n"/>
      <c r="AJ145" s="2853" t="inlineStr">
        <is>
          <t>Lump-sum distributions</t>
        </is>
      </c>
      <c r="AK145" s="11602" t="n"/>
      <c r="AL145" s="11602" t="n"/>
      <c r="AM145" s="11602" t="n"/>
      <c r="AN145" s="11602" t="n"/>
      <c r="AO145" s="8914" t="n"/>
      <c r="AP145" s="1277" t="n"/>
      <c r="AQ145" s="512" t="n"/>
      <c r="AR145" s="8955" t="n"/>
      <c r="AS145" s="8956" t="n"/>
      <c r="AT145" s="8956" t="n"/>
      <c r="AU145" s="8956" t="n"/>
      <c r="AV145" s="11602" t="n"/>
      <c r="AW145" s="11602" t="n"/>
      <c r="AX145" s="769" t="n"/>
      <c r="AY145" s="964" t="n"/>
      <c r="AZ145" s="964" t="n"/>
      <c r="BA145" s="964" t="n"/>
      <c r="BB145" s="964" t="n"/>
      <c r="BC145" s="964" t="n"/>
      <c r="BD145" s="964" t="n"/>
      <c r="BE145" s="964" t="n"/>
      <c r="BF145" s="964" t="n"/>
      <c r="BG145" s="964" t="n"/>
      <c r="BH145" s="964" t="n"/>
    </row>
    <row r="146" ht="6.75" customHeight="1" s="7635">
      <c r="A146" s="2112" t="n"/>
      <c r="B146" s="9169" t="n"/>
      <c r="C146" s="3235">
        <f>IF(C147&lt;&gt;"",1,0)</f>
        <v/>
      </c>
      <c r="D146" s="4152" t="n"/>
      <c r="E146" s="512" t="n"/>
      <c r="F146" s="512" t="n"/>
      <c r="G146" s="512" t="n"/>
      <c r="H146" s="512" t="n"/>
      <c r="I146" s="512" t="n"/>
      <c r="J146" s="512" t="n"/>
      <c r="K146" s="3235">
        <f>IF(K147&lt;&gt;"",1,0)</f>
        <v/>
      </c>
      <c r="L146" s="512" t="n"/>
      <c r="M146" s="512" t="n"/>
      <c r="N146" s="3235" t="n"/>
      <c r="O146" s="11602" t="n"/>
      <c r="P146" s="11602" t="n"/>
      <c r="Q146" s="11602" t="n"/>
      <c r="R146" s="11602" t="n"/>
      <c r="S146" s="11602" t="n"/>
      <c r="T146" s="11602" t="n"/>
      <c r="U146" s="11602" t="n"/>
      <c r="V146" s="11602" t="n"/>
      <c r="W146" s="3235">
        <f>IF(W147&lt;&gt;"",1,0)</f>
        <v/>
      </c>
      <c r="X146" s="11602" t="n"/>
      <c r="Y146" s="11602" t="n"/>
      <c r="Z146" s="11602" t="n"/>
      <c r="AA146" s="11602" t="n"/>
      <c r="AB146" s="11602" t="n"/>
      <c r="AC146" s="11602" t="n"/>
      <c r="AD146" s="11602" t="n"/>
      <c r="AE146" s="11602" t="n"/>
      <c r="AF146" s="11602" t="n"/>
      <c r="AG146" s="11602" t="n"/>
      <c r="AH146" s="11602" t="n"/>
      <c r="AI146" s="11602" t="n"/>
      <c r="AJ146" s="11602" t="n"/>
      <c r="AK146" s="11602" t="n"/>
      <c r="AL146" s="11602" t="n"/>
      <c r="AM146" s="11602" t="n"/>
      <c r="AN146" s="11602" t="n"/>
      <c r="AO146" s="11602" t="n"/>
      <c r="AP146" s="1277" t="n"/>
      <c r="AQ146" s="512" t="n"/>
      <c r="AR146" s="512" t="n"/>
      <c r="AS146" s="512" t="n"/>
      <c r="AT146" s="512" t="n"/>
      <c r="AU146" s="512" t="n"/>
      <c r="AV146" s="11602" t="n"/>
      <c r="AW146" s="11602" t="n"/>
      <c r="AX146" s="769" t="n"/>
      <c r="AY146" s="964" t="n"/>
      <c r="AZ146" s="964" t="n"/>
      <c r="BA146" s="964" t="n"/>
      <c r="BB146" s="964" t="n"/>
      <c r="BC146" s="964" t="n"/>
      <c r="BD146" s="964" t="n"/>
      <c r="BE146" s="964" t="n"/>
      <c r="BF146" s="964" t="n"/>
      <c r="BG146" s="964" t="n"/>
      <c r="BH146" s="964" t="n"/>
    </row>
    <row r="147" ht="11.25" customHeight="1" s="7635">
      <c r="A147" s="2112" t="n"/>
      <c r="B147" s="7642" t="inlineStr">
        <is>
          <t>b</t>
        </is>
      </c>
      <c r="C147" s="325" t="n"/>
      <c r="D147" s="2853" t="inlineStr">
        <is>
          <t>Foreign branch income</t>
        </is>
      </c>
      <c r="E147" s="11602" t="n"/>
      <c r="F147" s="11602" t="n"/>
      <c r="G147" s="11602" t="n"/>
      <c r="H147" s="11602" t="n"/>
      <c r="I147" s="11602" t="n"/>
      <c r="J147" s="7642" t="inlineStr">
        <is>
          <t>d</t>
        </is>
      </c>
      <c r="K147" s="325" t="n"/>
      <c r="L147" s="2853" t="inlineStr">
        <is>
          <t>General category income</t>
        </is>
      </c>
      <c r="M147" s="2853" t="n"/>
      <c r="N147" s="344" t="n"/>
      <c r="O147" s="2853" t="n"/>
      <c r="P147" s="344" t="n"/>
      <c r="Q147" s="11602" t="n"/>
      <c r="R147" s="11602" t="n"/>
      <c r="S147" s="11602" t="n"/>
      <c r="T147" s="11602" t="n"/>
      <c r="U147" s="11602" t="n"/>
      <c r="V147" s="7642" t="inlineStr">
        <is>
          <t>f</t>
        </is>
      </c>
      <c r="W147" s="325" t="n"/>
      <c r="X147" s="2853" t="inlineStr">
        <is>
          <t>Certain income re-sourced by treaty</t>
        </is>
      </c>
      <c r="Y147" s="11602" t="n"/>
      <c r="Z147" s="11602" t="n"/>
      <c r="AA147" s="11602" t="n"/>
      <c r="AB147" s="11602" t="n"/>
      <c r="AC147" s="11602" t="n"/>
      <c r="AD147" s="11602" t="n"/>
      <c r="AE147" s="11602" t="n"/>
      <c r="AF147" s="11602" t="n"/>
      <c r="AG147" s="11602" t="n"/>
      <c r="AH147" s="11602" t="n"/>
      <c r="AI147" s="11602" t="n"/>
      <c r="AJ147" s="11602" t="n"/>
      <c r="AK147" s="11602" t="n"/>
      <c r="AL147" s="11602" t="n"/>
      <c r="AM147" s="11602" t="n"/>
      <c r="AN147" s="11602" t="n"/>
      <c r="AO147" s="512">
        <f>IF(AO144&lt;&gt;1,TRUE,FALSE)</f>
        <v/>
      </c>
      <c r="AP147" s="1277" t="n"/>
      <c r="AQ147" s="512" t="n"/>
      <c r="AR147" s="8955" t="n"/>
      <c r="AS147" s="8956" t="n"/>
      <c r="AT147" s="8956" t="n"/>
      <c r="AU147" s="8956" t="n"/>
      <c r="AV147" s="11602" t="n"/>
      <c r="AW147" s="11602" t="n"/>
      <c r="AX147" s="769" t="n"/>
      <c r="AY147" s="964" t="n"/>
      <c r="AZ147" s="964" t="n"/>
      <c r="BA147" s="964" t="n"/>
      <c r="BB147" s="964" t="n"/>
      <c r="BC147" s="964" t="n"/>
      <c r="BD147" s="964" t="n"/>
      <c r="BE147" s="964" t="n"/>
      <c r="BF147" s="964" t="n"/>
      <c r="BG147" s="964" t="n"/>
      <c r="BH147" s="964" t="n"/>
    </row>
    <row r="148" ht="6.75" customHeight="1" s="7635">
      <c r="A148" s="2112" t="n"/>
      <c r="B148" s="9169" t="n"/>
      <c r="C148" s="9169" t="n"/>
      <c r="D148" s="8650" t="n"/>
      <c r="E148" s="11602" t="n"/>
      <c r="F148" s="11602" t="n"/>
      <c r="G148" s="11602" t="n"/>
      <c r="H148" s="11602" t="n"/>
      <c r="I148" s="11602" t="n"/>
      <c r="J148" s="11602" t="n"/>
      <c r="K148" s="11602" t="n"/>
      <c r="L148" s="11602" t="n"/>
      <c r="M148" s="11602" t="n"/>
      <c r="N148" s="11602" t="n"/>
      <c r="O148" s="11602" t="n"/>
      <c r="P148" s="11602" t="n"/>
      <c r="Q148" s="11602" t="n"/>
      <c r="R148" s="11602" t="n"/>
      <c r="S148" s="11602" t="n"/>
      <c r="T148" s="11602" t="n"/>
      <c r="U148" s="11602" t="n"/>
      <c r="V148" s="11602" t="n"/>
      <c r="W148" s="11602" t="n"/>
      <c r="X148" s="11602" t="n"/>
      <c r="Y148" s="11602" t="n"/>
      <c r="Z148" s="11602" t="n"/>
      <c r="AA148" s="11602" t="n"/>
      <c r="AB148" s="11602" t="n"/>
      <c r="AC148" s="11602" t="n"/>
      <c r="AD148" s="11602" t="n"/>
      <c r="AE148" s="11602" t="n"/>
      <c r="AF148" s="11602" t="n"/>
      <c r="AG148" s="11602" t="n"/>
      <c r="AH148" s="11602" t="n"/>
      <c r="AI148" s="11602" t="n"/>
      <c r="AJ148" s="11602" t="n"/>
      <c r="AK148" s="11602" t="n"/>
      <c r="AL148" s="11602" t="n"/>
      <c r="AM148" s="11602" t="n"/>
      <c r="AN148" s="11602" t="n"/>
      <c r="AO148" s="11602" t="n"/>
      <c r="AP148" s="1277" t="n"/>
      <c r="AQ148" s="512" t="n"/>
      <c r="AR148" s="512" t="n"/>
      <c r="AS148" s="512" t="n"/>
      <c r="AT148" s="512" t="n"/>
      <c r="AU148" s="512" t="n"/>
      <c r="AV148" s="11602" t="n"/>
      <c r="AW148" s="11602" t="n"/>
      <c r="AX148" s="769" t="n"/>
      <c r="AY148" s="964" t="n"/>
      <c r="AZ148" s="964" t="n"/>
      <c r="BA148" s="964" t="n"/>
      <c r="BB148" s="964" t="n"/>
      <c r="BC148" s="964" t="n"/>
      <c r="BD148" s="964" t="n"/>
      <c r="BE148" s="964" t="n"/>
      <c r="BF148" s="964" t="n"/>
      <c r="BG148" s="964" t="n"/>
      <c r="BH148" s="964" t="n"/>
    </row>
    <row r="149" ht="12.75" customHeight="1" s="7635">
      <c r="A149" s="2112" t="n"/>
      <c r="B149" s="8474" t="inlineStr">
        <is>
          <t>f</t>
        </is>
      </c>
      <c r="C149" s="4154" t="inlineStr">
        <is>
          <t>Resident of (name of country)</t>
        </is>
      </c>
      <c r="D149" s="773" t="n"/>
      <c r="E149" s="773" t="n"/>
      <c r="F149" s="773" t="n"/>
      <c r="G149" s="773" t="n"/>
      <c r="H149" s="773" t="n"/>
      <c r="I149" s="773" t="n"/>
      <c r="J149" s="773" t="n"/>
      <c r="K149" s="773" t="n"/>
      <c r="L149" s="8968" t="n"/>
      <c r="M149" s="8007" t="n"/>
      <c r="N149" s="8007" t="n"/>
      <c r="O149" s="8007" t="n"/>
      <c r="P149" s="8007" t="n"/>
      <c r="Q149" s="8007" t="n"/>
      <c r="R149" s="8007" t="n"/>
      <c r="S149" s="8007" t="n"/>
      <c r="T149" s="8007" t="n"/>
      <c r="U149" s="8007" t="n"/>
      <c r="V149" s="8007" t="n"/>
      <c r="W149" s="8007" t="n"/>
      <c r="X149" s="8007" t="n"/>
      <c r="Y149" s="8007" t="n"/>
      <c r="Z149" s="8007" t="n"/>
      <c r="AA149" s="8007" t="n"/>
      <c r="AB149" s="8007" t="n"/>
      <c r="AC149" s="8007" t="n"/>
      <c r="AD149" s="8007" t="n"/>
      <c r="AE149" s="8007" t="n"/>
      <c r="AF149" s="8007" t="n"/>
      <c r="AG149" s="8007" t="n"/>
      <c r="AH149" s="8007" t="n"/>
      <c r="AI149" s="8007" t="n"/>
      <c r="AJ149" s="8007" t="n"/>
      <c r="AK149" s="8007" t="n"/>
      <c r="AL149" s="8007" t="n"/>
      <c r="AM149" s="8007" t="n"/>
      <c r="AN149" s="8007" t="n"/>
      <c r="AO149" s="8007" t="n"/>
      <c r="AP149" s="1277" t="n"/>
      <c r="AQ149" s="11602" t="n"/>
      <c r="AR149" s="11602" t="n"/>
      <c r="AS149" s="11602" t="n"/>
      <c r="AT149" s="11602" t="n"/>
      <c r="AU149" s="11602" t="n"/>
      <c r="AV149" s="11602" t="n"/>
      <c r="AW149" s="11602" t="n"/>
      <c r="AX149" s="769" t="n"/>
      <c r="AY149" s="964" t="n"/>
      <c r="AZ149" s="964" t="n"/>
      <c r="BA149" s="964" t="n"/>
      <c r="BB149" s="964" t="n"/>
      <c r="BC149" s="964" t="n"/>
      <c r="BD149" s="964" t="n"/>
      <c r="BE149" s="964" t="n"/>
      <c r="BF149" s="964" t="n"/>
      <c r="BG149" s="964" t="n"/>
      <c r="BH149" s="964" t="n"/>
    </row>
    <row r="150" ht="15" customFormat="1" customHeight="1" s="1405">
      <c r="A150" s="2112" t="n"/>
      <c r="B150" s="9153" t="inlineStr">
        <is>
          <t>Note:</t>
        </is>
      </c>
      <c r="C150" s="7839" t="n"/>
      <c r="D150" s="344" t="inlineStr">
        <is>
          <t>If you paid taxes to only one foreign country or U.S. possession, use column A in Part I and line A in Part II. If you paid taxes to</t>
        </is>
      </c>
      <c r="E150" s="11602" t="n"/>
      <c r="F150" s="11602" t="n"/>
      <c r="G150" s="11602" t="n"/>
      <c r="H150" s="11602" t="n"/>
      <c r="I150" s="11602" t="n"/>
      <c r="J150" s="11602" t="n"/>
      <c r="K150" s="11602" t="n"/>
      <c r="L150" s="11602" t="n"/>
      <c r="M150" s="11602" t="n"/>
      <c r="N150" s="11602" t="n"/>
      <c r="O150" s="11602" t="n"/>
      <c r="P150" s="11602" t="n"/>
      <c r="Q150" s="11602" t="n"/>
      <c r="R150" s="11602" t="n"/>
      <c r="S150" s="11602" t="n"/>
      <c r="T150" s="11602" t="n"/>
      <c r="U150" s="11602" t="n"/>
      <c r="V150" s="11602" t="n"/>
      <c r="W150" s="11602" t="n"/>
      <c r="X150" s="11602" t="n"/>
      <c r="Y150" s="11602" t="n"/>
      <c r="Z150" s="11602" t="n"/>
      <c r="AA150" s="11602" t="n"/>
      <c r="AB150" s="11602" t="n"/>
      <c r="AC150" s="11602" t="n"/>
      <c r="AD150" s="11602" t="n"/>
      <c r="AE150" s="11602" t="n"/>
      <c r="AF150" s="11602" t="n"/>
      <c r="AG150" s="11602" t="n"/>
      <c r="AH150" s="11602" t="n"/>
      <c r="AI150" s="11602" t="n"/>
      <c r="AJ150" s="11602" t="n"/>
      <c r="AK150" s="11602" t="n"/>
      <c r="AL150" s="11602" t="n"/>
      <c r="AM150" s="11602" t="n"/>
      <c r="AN150" s="11602" t="n"/>
      <c r="AO150" s="11602" t="n"/>
      <c r="AP150" s="1277" t="n"/>
      <c r="AQ150" s="11602" t="n"/>
      <c r="AR150" s="11602" t="n"/>
      <c r="AS150" s="11602" t="n"/>
      <c r="AT150" s="11602" t="n"/>
      <c r="AU150" s="11602" t="n"/>
      <c r="AV150" s="11602" t="n"/>
      <c r="AW150" s="11602" t="n"/>
      <c r="AX150" s="769" t="n"/>
      <c r="AY150" s="964" t="n"/>
      <c r="AZ150" s="964" t="n"/>
      <c r="BA150" s="964" t="n"/>
      <c r="BB150" s="964" t="n"/>
      <c r="BC150" s="964" t="n"/>
      <c r="BD150" s="964" t="n"/>
      <c r="BE150" s="964" t="n"/>
      <c r="BF150" s="964" t="n"/>
      <c r="BG150" s="964" t="n"/>
      <c r="BH150" s="964" t="n"/>
    </row>
    <row r="151" ht="14.25" customHeight="1" s="7635">
      <c r="A151" s="2112" t="n"/>
      <c r="B151" s="3801" t="inlineStr">
        <is>
          <t>more than one foreign country or U.S. possession, use a separate column and line for each country or possession.</t>
        </is>
      </c>
      <c r="C151" s="4156" t="n"/>
      <c r="D151" s="1996" t="n"/>
      <c r="E151" s="413" t="n"/>
      <c r="F151" s="413" t="n"/>
      <c r="G151" s="413" t="n"/>
      <c r="H151" s="413" t="n"/>
      <c r="I151" s="413" t="n"/>
      <c r="J151" s="413" t="n"/>
      <c r="K151" s="413" t="n"/>
      <c r="L151" s="413" t="n"/>
      <c r="M151" s="413" t="n"/>
      <c r="N151" s="413" t="n"/>
      <c r="O151" s="413" t="n"/>
      <c r="P151" s="413" t="n"/>
      <c r="Q151" s="413" t="n"/>
      <c r="R151" s="413" t="n"/>
      <c r="S151" s="413" t="n"/>
      <c r="T151" s="413" t="n"/>
      <c r="U151" s="413" t="n"/>
      <c r="V151" s="413" t="n"/>
      <c r="W151" s="413" t="n"/>
      <c r="X151" s="413" t="n"/>
      <c r="Y151" s="413" t="n"/>
      <c r="Z151" s="413" t="n"/>
      <c r="AA151" s="413" t="n"/>
      <c r="AB151" s="413" t="n"/>
      <c r="AC151" s="413" t="n"/>
      <c r="AD151" s="413" t="n"/>
      <c r="AE151" s="413" t="n"/>
      <c r="AF151" s="413" t="n"/>
      <c r="AG151" s="413" t="n"/>
      <c r="AH151" s="413" t="n"/>
      <c r="AI151" s="413" t="n"/>
      <c r="AJ151" s="413" t="n"/>
      <c r="AK151" s="413" t="n"/>
      <c r="AL151" s="413" t="n"/>
      <c r="AM151" s="413" t="n"/>
      <c r="AN151" s="413" t="n"/>
      <c r="AO151" s="413" t="n"/>
      <c r="AP151" s="1277" t="n"/>
      <c r="AQ151" s="11602" t="n"/>
      <c r="AR151" s="11602" t="n"/>
      <c r="AS151" s="11602" t="n"/>
      <c r="AT151" s="11602" t="n"/>
      <c r="AU151" s="11602" t="n"/>
      <c r="AV151" s="11602" t="n"/>
      <c r="AW151" s="11602" t="n"/>
      <c r="AX151" s="769" t="n"/>
      <c r="AY151" s="964" t="n"/>
      <c r="AZ151" s="964" t="n"/>
      <c r="BA151" s="964" t="n"/>
      <c r="BB151" s="964" t="n"/>
      <c r="BC151" s="964" t="n"/>
      <c r="BD151" s="964" t="n"/>
      <c r="BE151" s="964" t="n"/>
      <c r="BF151" s="964" t="n"/>
      <c r="BG151" s="964" t="n"/>
      <c r="BH151" s="964" t="n"/>
    </row>
    <row r="152" ht="15.75" customHeight="1" s="7635">
      <c r="A152" s="4157" t="n"/>
      <c r="B152" s="9109" t="inlineStr">
        <is>
          <t>Part I</t>
        </is>
      </c>
      <c r="C152" s="8412" t="n"/>
      <c r="D152" s="8412" t="n"/>
      <c r="E152" s="9151" t="inlineStr">
        <is>
          <t xml:space="preserve"> Taxable Income or Loss From Sources Outside the United States (for category checked above)</t>
        </is>
      </c>
      <c r="F152" s="8412" t="n"/>
      <c r="G152" s="8412" t="n"/>
      <c r="H152" s="8412" t="n"/>
      <c r="I152" s="8412" t="n"/>
      <c r="J152" s="8412" t="n"/>
      <c r="K152" s="8412" t="n"/>
      <c r="L152" s="8412" t="n"/>
      <c r="M152" s="8412" t="n"/>
      <c r="N152" s="8412" t="n"/>
      <c r="O152" s="8412" t="n"/>
      <c r="P152" s="8412" t="n"/>
      <c r="Q152" s="8412" t="n"/>
      <c r="R152" s="8412" t="n"/>
      <c r="S152" s="8412" t="n"/>
      <c r="T152" s="8412" t="n"/>
      <c r="U152" s="8412" t="n"/>
      <c r="V152" s="8412" t="n"/>
      <c r="W152" s="8412" t="n"/>
      <c r="X152" s="8412" t="n"/>
      <c r="Y152" s="8412" t="n"/>
      <c r="Z152" s="8412" t="n"/>
      <c r="AA152" s="8412" t="n"/>
      <c r="AB152" s="8412" t="n"/>
      <c r="AC152" s="8412" t="n"/>
      <c r="AD152" s="8412" t="n"/>
      <c r="AE152" s="8412" t="n"/>
      <c r="AF152" s="8412" t="n"/>
      <c r="AG152" s="8412" t="n"/>
      <c r="AH152" s="8412" t="n"/>
      <c r="AI152" s="8412" t="n"/>
      <c r="AJ152" s="8412" t="n"/>
      <c r="AK152" s="8412" t="n"/>
      <c r="AL152" s="8412" t="n"/>
      <c r="AM152" s="8412" t="n"/>
      <c r="AN152" s="8412" t="n"/>
      <c r="AO152" s="8412" t="n"/>
      <c r="AP152" s="1277" t="n"/>
      <c r="AQ152" s="7772" t="n"/>
      <c r="AR152" s="7772" t="n"/>
      <c r="AS152" s="7772" t="n"/>
      <c r="AT152" s="7772" t="n"/>
      <c r="AU152" s="7772" t="n"/>
      <c r="AV152" s="7772" t="n"/>
      <c r="AW152" s="7772" t="n"/>
      <c r="AX152" s="769" t="n"/>
      <c r="AY152" s="964" t="n"/>
      <c r="AZ152" s="964" t="n"/>
      <c r="BA152" s="964" t="n"/>
      <c r="BB152" s="964" t="n"/>
      <c r="BC152" s="964" t="n"/>
      <c r="BD152" s="964" t="n"/>
      <c r="BE152" s="964" t="n"/>
      <c r="BF152" s="964" t="n"/>
      <c r="BG152" s="964" t="n"/>
      <c r="BH152" s="964" t="n"/>
    </row>
    <row r="153" ht="13.5" customFormat="1" customHeight="1" s="138">
      <c r="A153" s="2112" t="n"/>
      <c r="B153" s="9136" t="n"/>
      <c r="D153" s="8650" t="n"/>
      <c r="E153" s="11602" t="n"/>
      <c r="F153" s="11602" t="n"/>
      <c r="G153" s="11602" t="n"/>
      <c r="H153" s="11602" t="n"/>
      <c r="I153" s="11602" t="n"/>
      <c r="J153" s="11602" t="n"/>
      <c r="K153" s="11602" t="n"/>
      <c r="L153" s="11602" t="n"/>
      <c r="M153" s="11602" t="n"/>
      <c r="N153" s="11602" t="n"/>
      <c r="O153" s="11602" t="n"/>
      <c r="P153" s="12233" t="inlineStr">
        <is>
          <t>Foreign Country or U.S. Possession</t>
        </is>
      </c>
      <c r="Q153" s="8412" t="n"/>
      <c r="R153" s="8412" t="n"/>
      <c r="S153" s="8412" t="n"/>
      <c r="T153" s="8412" t="n"/>
      <c r="U153" s="8412" t="n"/>
      <c r="V153" s="8412" t="n"/>
      <c r="W153" s="8412" t="n"/>
      <c r="X153" s="8412" t="n"/>
      <c r="Y153" s="8412" t="n"/>
      <c r="Z153" s="8412" t="n"/>
      <c r="AA153" s="8412" t="n"/>
      <c r="AB153" s="8412" t="n"/>
      <c r="AC153" s="8412" t="n"/>
      <c r="AD153" s="8412" t="n"/>
      <c r="AE153" s="8412" t="n"/>
      <c r="AF153" s="8412" t="n"/>
      <c r="AG153" s="8412" t="n"/>
      <c r="AH153" s="8412" t="n"/>
      <c r="AI153" s="11734" t="n"/>
      <c r="AJ153" s="10079" t="inlineStr">
        <is>
          <t>Total 
(Add cols. A, B, and C.)</t>
        </is>
      </c>
      <c r="AK153" s="7839" t="n"/>
      <c r="AL153" s="7839" t="n"/>
      <c r="AM153" s="7839" t="n"/>
      <c r="AN153" s="7839" t="n"/>
      <c r="AO153" s="7839" t="n"/>
      <c r="AP153" s="1277" t="n"/>
      <c r="AQ153" s="11602" t="n"/>
      <c r="AR153" s="11602" t="n"/>
      <c r="AS153" s="11602" t="n"/>
      <c r="AT153" s="11602" t="n"/>
      <c r="AU153" s="11602" t="n"/>
      <c r="AV153" s="11602" t="n"/>
      <c r="AW153" s="11602" t="n"/>
      <c r="AX153" s="769" t="n"/>
      <c r="AY153" s="964" t="n"/>
      <c r="AZ153" s="964" t="n"/>
      <c r="BA153" s="964" t="n"/>
      <c r="BB153" s="964" t="n"/>
      <c r="BC153" s="964" t="n"/>
      <c r="BD153" s="964" t="n"/>
      <c r="BE153" s="964" t="n"/>
      <c r="BF153" s="964" t="n"/>
      <c r="BG153" s="964" t="n"/>
      <c r="BH153" s="964" t="n"/>
    </row>
    <row r="154">
      <c r="A154" s="2112" t="n"/>
      <c r="B154" s="9024">
        <f>B32</f>
        <v/>
      </c>
      <c r="D154" s="807" t="inlineStr">
        <is>
          <t>Enter the name of the foreign country or U.S.</t>
        </is>
      </c>
      <c r="E154" s="11602" t="n"/>
      <c r="F154" s="11602" t="n"/>
      <c r="G154" s="11602" t="n"/>
      <c r="H154" s="11602" t="n"/>
      <c r="I154" s="11602" t="n"/>
      <c r="J154" s="11602" t="n"/>
      <c r="K154" s="11602" t="n"/>
      <c r="L154" s="11602" t="n"/>
      <c r="M154" s="11602" t="n"/>
      <c r="N154" s="11602" t="n"/>
      <c r="O154" s="11602" t="n"/>
      <c r="P154" s="12110" t="inlineStr">
        <is>
          <t>A</t>
        </is>
      </c>
      <c r="Q154" s="8412" t="n"/>
      <c r="R154" s="8412" t="n"/>
      <c r="S154" s="8412" t="n"/>
      <c r="T154" s="8412" t="n"/>
      <c r="U154" s="8412" t="n"/>
      <c r="V154" s="11734" t="n"/>
      <c r="W154" s="12110" t="inlineStr">
        <is>
          <t>B</t>
        </is>
      </c>
      <c r="X154" s="8412" t="n"/>
      <c r="Y154" s="8412" t="n"/>
      <c r="Z154" s="8412" t="n"/>
      <c r="AA154" s="8412" t="n"/>
      <c r="AB154" s="8412" t="n"/>
      <c r="AC154" s="11734" t="n"/>
      <c r="AD154" s="12110" t="inlineStr">
        <is>
          <t>C</t>
        </is>
      </c>
      <c r="AE154" s="8412" t="n"/>
      <c r="AF154" s="8412" t="n"/>
      <c r="AG154" s="8412" t="n"/>
      <c r="AH154" s="8412" t="n"/>
      <c r="AI154" s="11734" t="n"/>
      <c r="AJ154" s="3614" t="n"/>
      <c r="AK154" s="7637" t="n"/>
      <c r="AL154" s="7637" t="n"/>
      <c r="AM154" s="7637" t="n"/>
      <c r="AN154" s="7637" t="n"/>
      <c r="AO154" s="7637" t="n"/>
      <c r="AP154" s="1277" t="n"/>
      <c r="AQ154" s="11602" t="n"/>
      <c r="AR154" s="11602" t="n"/>
      <c r="AS154" s="11602" t="n"/>
      <c r="AT154" s="11602" t="n"/>
      <c r="AU154" s="11602" t="n"/>
      <c r="AV154" s="11602" t="n"/>
      <c r="AW154" s="11602" t="n"/>
      <c r="AX154" s="769" t="n"/>
      <c r="AY154" s="964" t="n"/>
      <c r="AZ154" s="964" t="n"/>
      <c r="BA154" s="964" t="n"/>
      <c r="BB154" s="964" t="n"/>
      <c r="BC154" s="964" t="n"/>
      <c r="BD154" s="964" t="n"/>
      <c r="BE154" s="964" t="n"/>
      <c r="BF154" s="964" t="n"/>
      <c r="BG154" s="964" t="n"/>
      <c r="BH154" s="964" t="n"/>
    </row>
    <row r="155" ht="12" customHeight="1" s="7635">
      <c r="A155" s="4158" t="n"/>
      <c r="B155" s="9033" t="n"/>
      <c r="D155" s="4159" t="inlineStr">
        <is>
          <t>possession</t>
        </is>
      </c>
      <c r="E155" s="571" t="n"/>
      <c r="F155" s="571" t="n"/>
      <c r="G155" s="571" t="n"/>
      <c r="H155" s="571" t="n"/>
      <c r="I155" s="571" t="n"/>
      <c r="J155" s="571" t="n"/>
      <c r="K155" s="571" t="n"/>
      <c r="L155" s="571" t="n"/>
      <c r="M155" s="571" t="n"/>
      <c r="N155" s="571" t="n"/>
      <c r="O155" s="4160" t="inlineStr">
        <is>
          <t xml:space="preserve">.   .   .   .   .   .   .   .   .   .   .   .   .   .   .  </t>
        </is>
      </c>
      <c r="P155" s="12234" t="n"/>
      <c r="Q155" s="8007" t="n"/>
      <c r="R155" s="8007" t="n"/>
      <c r="S155" s="8007" t="n"/>
      <c r="T155" s="8007" t="n"/>
      <c r="U155" s="8007" t="n"/>
      <c r="V155" s="8008" t="n"/>
      <c r="W155" s="12234" t="n"/>
      <c r="X155" s="8007" t="n"/>
      <c r="Y155" s="8007" t="n"/>
      <c r="Z155" s="8007" t="n"/>
      <c r="AA155" s="8007" t="n"/>
      <c r="AB155" s="8007" t="n"/>
      <c r="AC155" s="8008" t="n"/>
      <c r="AD155" s="12234" t="n"/>
      <c r="AE155" s="8007" t="n"/>
      <c r="AF155" s="8007" t="n"/>
      <c r="AG155" s="8007" t="n"/>
      <c r="AH155" s="8007" t="n"/>
      <c r="AI155" s="8008" t="n"/>
      <c r="AJ155" s="9062" t="n"/>
      <c r="AK155" s="7839" t="n"/>
      <c r="AL155" s="4161" t="n"/>
      <c r="AM155" s="571" t="n"/>
      <c r="AN155" s="571" t="n"/>
      <c r="AO155" s="571" t="n"/>
      <c r="AP155" s="2888" t="n"/>
      <c r="AQ155" s="571" t="n"/>
      <c r="AR155" s="571" t="n"/>
      <c r="AS155" s="571" t="n"/>
      <c r="AT155" s="571" t="n"/>
      <c r="AU155" s="571" t="n"/>
      <c r="AV155" s="571" t="n"/>
      <c r="AW155" s="571" t="n"/>
      <c r="AX155" s="769" t="n"/>
      <c r="AY155" s="964" t="n"/>
      <c r="AZ155" s="964" t="n"/>
      <c r="BA155" s="964" t="n"/>
      <c r="BB155" s="964" t="n"/>
      <c r="BC155" s="964" t="n"/>
      <c r="BD155" s="964" t="n"/>
      <c r="BE155" s="964" t="n"/>
      <c r="BF155" s="964" t="n"/>
      <c r="BG155" s="964" t="n"/>
      <c r="BH155" s="964" t="n"/>
    </row>
    <row r="156" ht="12" customHeight="1" s="7635">
      <c r="A156" s="2112" t="n"/>
      <c r="B156" s="9040" t="inlineStr">
        <is>
          <t>1a</t>
        </is>
      </c>
      <c r="D156" s="7299" t="inlineStr">
        <is>
          <t>Gross income from sources within country shown</t>
        </is>
      </c>
      <c r="E156" s="11602" t="n"/>
      <c r="F156" s="11602" t="n"/>
      <c r="G156" s="11602" t="n"/>
      <c r="H156" s="11602" t="n"/>
      <c r="I156" s="11602" t="n"/>
      <c r="J156" s="11602" t="n"/>
      <c r="K156" s="11602" t="n"/>
      <c r="L156" s="11602" t="n"/>
      <c r="M156" s="11602" t="n"/>
      <c r="N156" s="11602" t="n"/>
      <c r="O156" s="11602" t="n"/>
      <c r="P156" s="2094" t="n"/>
      <c r="Q156" s="723" t="n"/>
      <c r="R156" s="723" t="n"/>
      <c r="S156" s="723" t="n"/>
      <c r="T156" s="723" t="n"/>
      <c r="U156" s="723" t="n"/>
      <c r="V156" s="2095" t="n"/>
      <c r="W156" s="2094" t="n"/>
      <c r="X156" s="723" t="n"/>
      <c r="Y156" s="723" t="n"/>
      <c r="Z156" s="723" t="n"/>
      <c r="AA156" s="723" t="n"/>
      <c r="AB156" s="723" t="n"/>
      <c r="AC156" s="2095" t="n"/>
      <c r="AD156" s="2094" t="n"/>
      <c r="AE156" s="723" t="n"/>
      <c r="AF156" s="723" t="n"/>
      <c r="AG156" s="723" t="n"/>
      <c r="AH156" s="723" t="n"/>
      <c r="AI156" s="2095" t="n"/>
      <c r="AJ156" s="8967" t="n"/>
      <c r="AL156" s="408" t="n"/>
      <c r="AM156" s="11602" t="n"/>
      <c r="AN156" s="11602" t="n"/>
      <c r="AO156" s="11602" t="n"/>
      <c r="AP156" s="1277" t="n"/>
      <c r="AQ156" s="11602" t="n"/>
      <c r="AR156" s="11602" t="n"/>
      <c r="AS156" s="11602" t="n"/>
      <c r="AT156" s="11602" t="n"/>
      <c r="AU156" s="11602" t="n"/>
      <c r="AV156" s="11602" t="n"/>
      <c r="AW156" s="11602" t="n"/>
      <c r="AX156" s="769" t="n"/>
      <c r="AY156" s="964" t="n"/>
      <c r="AZ156" s="964" t="n"/>
      <c r="BA156" s="964" t="n"/>
      <c r="BB156" s="964" t="n"/>
      <c r="BC156" s="964" t="n"/>
      <c r="BD156" s="964" t="n"/>
      <c r="BE156" s="964" t="n"/>
      <c r="BF156" s="964" t="n"/>
      <c r="BG156" s="964" t="n"/>
      <c r="BH156" s="964" t="n"/>
    </row>
    <row r="157" ht="12" customHeight="1" s="7635">
      <c r="A157" s="2112" t="n"/>
      <c r="B157" s="2373" t="n"/>
      <c r="C157" s="2373" t="n"/>
      <c r="D157" s="344" t="inlineStr">
        <is>
          <t>above and of the type checked above (see</t>
        </is>
      </c>
      <c r="E157" s="11602" t="n"/>
      <c r="F157" s="11602" t="n"/>
      <c r="G157" s="11602" t="n"/>
      <c r="H157" s="11602" t="n"/>
      <c r="I157" s="11602" t="n"/>
      <c r="J157" s="11602" t="n"/>
      <c r="K157" s="11602" t="n"/>
      <c r="L157" s="11602" t="n"/>
      <c r="M157" s="11602" t="n"/>
      <c r="N157" s="11602" t="n"/>
      <c r="O157" s="11602" t="n"/>
      <c r="P157" s="2073" t="n"/>
      <c r="Q157" s="723" t="n"/>
      <c r="R157" s="723" t="n"/>
      <c r="S157" s="723" t="n"/>
      <c r="T157" s="723" t="n"/>
      <c r="U157" s="723" t="n"/>
      <c r="V157" s="2074" t="n"/>
      <c r="W157" s="2073" t="n"/>
      <c r="X157" s="723" t="n"/>
      <c r="Y157" s="723" t="n"/>
      <c r="Z157" s="723" t="n"/>
      <c r="AA157" s="723" t="n"/>
      <c r="AB157" s="723" t="n"/>
      <c r="AC157" s="2074" t="n"/>
      <c r="AD157" s="2073" t="n"/>
      <c r="AE157" s="723" t="n"/>
      <c r="AF157" s="723" t="n"/>
      <c r="AG157" s="723" t="n"/>
      <c r="AH157" s="723" t="n"/>
      <c r="AI157" s="2074" t="n"/>
      <c r="AJ157" s="8967" t="n"/>
      <c r="AL157" s="408" t="n"/>
      <c r="AM157" s="11602" t="n"/>
      <c r="AN157" s="11602" t="n"/>
      <c r="AO157" s="11602" t="n"/>
      <c r="AP157" s="1277" t="n"/>
      <c r="AQ157" s="11602" t="n"/>
      <c r="AR157" s="11602" t="n"/>
      <c r="AS157" s="11602" t="n"/>
      <c r="AT157" s="11602" t="n"/>
      <c r="AU157" s="11602" t="n"/>
      <c r="AV157" s="11602" t="n"/>
      <c r="AW157" s="11602" t="n"/>
      <c r="AX157" s="967" t="n"/>
      <c r="AY157" s="965" t="n"/>
      <c r="AZ157" s="965" t="n"/>
      <c r="BA157" s="965" t="n"/>
      <c r="BB157" s="965" t="n"/>
      <c r="BC157" s="965" t="n"/>
      <c r="BD157" s="965" t="n"/>
      <c r="BE157" s="965" t="n"/>
      <c r="BF157" s="965" t="n"/>
      <c r="BG157" s="965" t="n"/>
      <c r="BH157" s="965" t="n"/>
    </row>
    <row r="158" ht="12" customHeight="1" s="7635">
      <c r="A158" s="2112" t="n"/>
      <c r="B158" s="2373" t="n"/>
      <c r="C158" s="2373" t="n"/>
      <c r="D158" s="979" t="inlineStr">
        <is>
          <t>instructions):</t>
        </is>
      </c>
      <c r="E158" s="11602" t="n"/>
      <c r="F158" s="11602" t="n"/>
      <c r="G158" s="11602" t="n"/>
      <c r="H158" s="9149" t="n"/>
      <c r="I158" s="12079" t="n"/>
      <c r="J158" s="12079" t="n"/>
      <c r="K158" s="12079" t="n"/>
      <c r="L158" s="12079" t="n"/>
      <c r="M158" s="12079" t="n"/>
      <c r="N158" s="12079" t="n"/>
      <c r="O158" s="11602" t="n"/>
      <c r="P158" s="2073" t="n"/>
      <c r="Q158" s="723" t="n"/>
      <c r="R158" s="723" t="n"/>
      <c r="S158" s="723" t="n"/>
      <c r="T158" s="723" t="n"/>
      <c r="U158" s="723" t="n"/>
      <c r="V158" s="2074" t="n"/>
      <c r="W158" s="2073" t="n"/>
      <c r="X158" s="723" t="n"/>
      <c r="Y158" s="723" t="n"/>
      <c r="Z158" s="723" t="n"/>
      <c r="AA158" s="723" t="n"/>
      <c r="AB158" s="723" t="n"/>
      <c r="AC158" s="2074" t="n"/>
      <c r="AD158" s="2073" t="n"/>
      <c r="AE158" s="723" t="n"/>
      <c r="AF158" s="723" t="n"/>
      <c r="AG158" s="723" t="n"/>
      <c r="AH158" s="723" t="n"/>
      <c r="AI158" s="2074" t="n"/>
      <c r="AJ158" s="8967" t="n"/>
      <c r="AL158" s="408" t="n"/>
      <c r="AM158" s="11602" t="n"/>
      <c r="AN158" s="11602" t="n"/>
      <c r="AO158" s="11602" t="n"/>
      <c r="AP158" s="1277" t="n"/>
      <c r="AQ158" s="11602" t="n"/>
      <c r="AR158" s="11602" t="n"/>
      <c r="AS158" s="11602" t="n"/>
      <c r="AT158" s="11602" t="n"/>
      <c r="AU158" s="11602" t="n"/>
      <c r="AV158" s="11602" t="n"/>
      <c r="AW158" s="11602" t="n"/>
      <c r="AX158" s="769" t="n"/>
      <c r="AY158" s="964" t="n"/>
      <c r="AZ158" s="964" t="n"/>
      <c r="BA158" s="964" t="n"/>
      <c r="BB158" s="964" t="n"/>
      <c r="BC158" s="964" t="n"/>
      <c r="BD158" s="964" t="n"/>
      <c r="BE158" s="964" t="n"/>
      <c r="BF158" s="964" t="n"/>
      <c r="BG158" s="964" t="n"/>
      <c r="BH158" s="964" t="n"/>
    </row>
    <row r="159" ht="12" customHeight="1" s="7635">
      <c r="A159" s="2112" t="n"/>
      <c r="B159" s="2373" t="n"/>
      <c r="C159" s="2373" t="n"/>
      <c r="D159" s="9005" t="n"/>
      <c r="E159" s="12079" t="n"/>
      <c r="F159" s="12079" t="n"/>
      <c r="G159" s="12079" t="n"/>
      <c r="H159" s="12079" t="n"/>
      <c r="I159" s="12079" t="n"/>
      <c r="J159" s="12079" t="n"/>
      <c r="K159" s="12079" t="n"/>
      <c r="L159" s="12079" t="n"/>
      <c r="M159" s="12079" t="n"/>
      <c r="N159" s="12079" t="n"/>
      <c r="O159" s="11602" t="n"/>
      <c r="P159" s="2073" t="n"/>
      <c r="Q159" s="723" t="n"/>
      <c r="R159" s="723" t="n"/>
      <c r="S159" s="723" t="n"/>
      <c r="T159" s="723" t="n"/>
      <c r="U159" s="723" t="n"/>
      <c r="V159" s="2074" t="n"/>
      <c r="W159" s="2073" t="n"/>
      <c r="X159" s="723" t="n"/>
      <c r="Y159" s="723" t="n"/>
      <c r="Z159" s="723" t="n"/>
      <c r="AA159" s="723" t="n"/>
      <c r="AB159" s="723" t="n"/>
      <c r="AC159" s="2074" t="n"/>
      <c r="AD159" s="2073" t="n"/>
      <c r="AE159" s="723" t="n"/>
      <c r="AF159" s="723" t="n"/>
      <c r="AG159" s="723" t="n"/>
      <c r="AH159" s="723" t="n"/>
      <c r="AI159" s="2074" t="n"/>
      <c r="AJ159" s="8967" t="n"/>
      <c r="AL159" s="408" t="n"/>
      <c r="AM159" s="11602" t="n"/>
      <c r="AN159" s="11602" t="n"/>
      <c r="AO159" s="11602" t="n"/>
      <c r="AP159" s="1277" t="n"/>
      <c r="AQ159" s="11602" t="n"/>
      <c r="AR159" s="11602" t="n"/>
      <c r="AS159" s="11602" t="n"/>
      <c r="AT159" s="11602" t="n"/>
      <c r="AU159" s="11602" t="n"/>
      <c r="AV159" s="11602" t="n"/>
      <c r="AW159" s="11602" t="n"/>
      <c r="AX159" s="769" t="n"/>
      <c r="AY159" s="964" t="n"/>
      <c r="AZ159" s="964" t="n"/>
      <c r="BA159" s="964" t="n"/>
      <c r="BB159" s="964" t="n"/>
      <c r="BC159" s="964" t="n"/>
      <c r="BD159" s="964" t="n"/>
      <c r="BE159" s="964" t="n"/>
      <c r="BF159" s="964" t="n"/>
      <c r="BG159" s="964" t="n"/>
      <c r="BH159" s="964" t="n"/>
    </row>
    <row r="160" ht="12" customHeight="1" s="7635">
      <c r="A160" s="2112" t="n"/>
      <c r="B160" s="2373" t="n"/>
      <c r="C160" s="2373" t="n"/>
      <c r="D160" s="9069" t="n"/>
      <c r="E160" s="12061" t="n"/>
      <c r="F160" s="12061" t="n"/>
      <c r="G160" s="12061" t="n"/>
      <c r="H160" s="12061" t="n"/>
      <c r="I160" s="12061" t="n"/>
      <c r="J160" s="12061" t="n"/>
      <c r="K160" s="12061" t="n"/>
      <c r="L160" s="12061" t="n"/>
      <c r="M160" s="12061" t="n"/>
      <c r="N160" s="12061" t="n"/>
      <c r="O160" s="11602" t="n"/>
      <c r="P160" s="12265" t="n"/>
      <c r="Q160" s="11717" t="n"/>
      <c r="R160" s="11717" t="n"/>
      <c r="S160" s="11717" t="n"/>
      <c r="T160" s="11717" t="n"/>
      <c r="U160" s="11717" t="n"/>
      <c r="V160" s="11718" t="n"/>
      <c r="W160" s="12265" t="n"/>
      <c r="X160" s="11717" t="n"/>
      <c r="Y160" s="11717" t="n"/>
      <c r="Z160" s="11717" t="n"/>
      <c r="AA160" s="11717" t="n"/>
      <c r="AB160" s="11717" t="n"/>
      <c r="AC160" s="11718" t="n"/>
      <c r="AD160" s="12265" t="n"/>
      <c r="AE160" s="11717" t="n"/>
      <c r="AF160" s="11717" t="n"/>
      <c r="AG160" s="11717" t="n"/>
      <c r="AH160" s="11717" t="n"/>
      <c r="AI160" s="11718" t="n"/>
      <c r="AJ160" s="12236" t="inlineStr">
        <is>
          <t>1a</t>
        </is>
      </c>
      <c r="AK160" s="7638" t="n"/>
      <c r="AL160" s="8988">
        <f>IF(AND(SUM(P160,W160,AD160)&gt;0,AO144=0),"Check one box.",ROUND(SUM(P160,W160,AD160),0))</f>
        <v/>
      </c>
      <c r="AM160" s="7637" t="n"/>
      <c r="AN160" s="7637" t="n"/>
      <c r="AO160" s="7637" t="n"/>
      <c r="AP160" s="1277" t="n"/>
      <c r="AQ160" s="11602" t="n"/>
      <c r="AR160" s="11602" t="n"/>
      <c r="AS160" s="11602" t="n"/>
      <c r="AT160" s="11602" t="n"/>
      <c r="AU160" s="11602" t="n"/>
      <c r="AV160" s="11602" t="n"/>
      <c r="AW160" s="11602" t="n"/>
      <c r="AX160" s="769" t="n"/>
      <c r="AY160" s="964" t="n"/>
      <c r="AZ160" s="964" t="n"/>
      <c r="BA160" s="964" t="n"/>
      <c r="BB160" s="964" t="n"/>
      <c r="BC160" s="964" t="n"/>
      <c r="BD160" s="964" t="n"/>
      <c r="BE160" s="964" t="n"/>
      <c r="BF160" s="964" t="n"/>
      <c r="BG160" s="964" t="n"/>
      <c r="BH160" s="964" t="n"/>
    </row>
    <row r="161" ht="12" customHeight="1" s="7635">
      <c r="A161" s="2112" t="n"/>
      <c r="B161" s="9169" t="inlineStr">
        <is>
          <t>b</t>
        </is>
      </c>
      <c r="D161" s="1680" t="inlineStr">
        <is>
          <t>Check if line 1a is compensation for personal</t>
        </is>
      </c>
      <c r="E161" s="11602" t="n"/>
      <c r="F161" s="11602" t="n"/>
      <c r="G161" s="11602" t="n"/>
      <c r="H161" s="11602" t="n"/>
      <c r="I161" s="11602" t="n"/>
      <c r="J161" s="11602" t="n"/>
      <c r="K161" s="11602" t="n"/>
      <c r="L161" s="11602" t="n"/>
      <c r="M161" s="11602" t="n"/>
      <c r="N161" s="11602" t="n"/>
      <c r="O161" s="11602" t="n"/>
      <c r="P161" s="4167" t="n"/>
      <c r="Q161" s="4168" t="n"/>
      <c r="R161" s="4168" t="n"/>
      <c r="S161" s="4168" t="n"/>
      <c r="T161" s="4168" t="n"/>
      <c r="U161" s="4168" t="n"/>
      <c r="V161" s="4169" t="n"/>
      <c r="W161" s="4167" t="n"/>
      <c r="X161" s="4168" t="n"/>
      <c r="Y161" s="4168" t="n"/>
      <c r="Z161" s="4168" t="n"/>
      <c r="AA161" s="4168" t="n"/>
      <c r="AB161" s="4168" t="n"/>
      <c r="AC161" s="4169" t="n"/>
      <c r="AD161" s="4167" t="n"/>
      <c r="AE161" s="4168" t="n"/>
      <c r="AF161" s="4168" t="n"/>
      <c r="AG161" s="4168" t="n"/>
      <c r="AH161" s="4168" t="n"/>
      <c r="AI161" s="4169" t="n"/>
      <c r="AJ161" s="9082" t="n"/>
      <c r="AK161" s="7839" t="n"/>
      <c r="AL161" s="405" t="n"/>
      <c r="AM161" s="11602" t="n"/>
      <c r="AN161" s="11602" t="n"/>
      <c r="AO161" s="11602" t="n"/>
      <c r="AP161" s="1277" t="n"/>
      <c r="AQ161" s="11602" t="n"/>
      <c r="AR161" s="11602" t="n"/>
      <c r="AS161" s="11602" t="n"/>
      <c r="AT161" s="11602" t="n"/>
      <c r="AU161" s="11602" t="n"/>
      <c r="AV161" s="11602" t="n"/>
      <c r="AW161" s="11602" t="n"/>
      <c r="AX161" s="769" t="n"/>
      <c r="AY161" s="964" t="n"/>
      <c r="AZ161" s="964" t="n"/>
      <c r="BA161" s="964" t="n"/>
      <c r="BB161" s="964" t="n"/>
      <c r="BC161" s="964" t="n"/>
      <c r="BD161" s="964" t="n"/>
      <c r="BE161" s="964" t="n"/>
      <c r="BF161" s="964" t="n"/>
      <c r="BG161" s="964" t="n"/>
      <c r="BH161" s="964" t="n"/>
    </row>
    <row r="162" ht="12" customHeight="1" s="7635">
      <c r="A162" s="2112" t="n"/>
      <c r="B162" s="2373" t="n"/>
      <c r="C162" s="2373" t="n"/>
      <c r="D162" s="1680" t="inlineStr">
        <is>
          <t>services as an employee, your total compensation</t>
        </is>
      </c>
      <c r="E162" s="11602" t="n"/>
      <c r="F162" s="11602" t="n"/>
      <c r="G162" s="11602" t="n"/>
      <c r="H162" s="11602" t="n"/>
      <c r="I162" s="11602" t="n"/>
      <c r="J162" s="11602" t="n"/>
      <c r="K162" s="11602" t="n"/>
      <c r="L162" s="11602" t="n"/>
      <c r="M162" s="11602" t="n"/>
      <c r="N162" s="11602" t="n"/>
      <c r="O162" s="11602" t="n"/>
      <c r="P162" s="4167" t="n"/>
      <c r="Q162" s="4168" t="n"/>
      <c r="R162" s="4168" t="n"/>
      <c r="S162" s="4168" t="n"/>
      <c r="T162" s="4168" t="n"/>
      <c r="U162" s="4168" t="n"/>
      <c r="V162" s="4169" t="n"/>
      <c r="W162" s="4167" t="n"/>
      <c r="X162" s="4168" t="n"/>
      <c r="Y162" s="4168" t="n"/>
      <c r="Z162" s="4168" t="n"/>
      <c r="AA162" s="4168" t="n"/>
      <c r="AB162" s="4168" t="n"/>
      <c r="AC162" s="4169" t="n"/>
      <c r="AD162" s="4167" t="n"/>
      <c r="AE162" s="4168" t="n"/>
      <c r="AF162" s="4168" t="n"/>
      <c r="AG162" s="4168" t="n"/>
      <c r="AH162" s="4168" t="n"/>
      <c r="AI162" s="4169" t="n"/>
      <c r="AJ162" s="8967" t="n"/>
      <c r="AL162" s="408" t="n"/>
      <c r="AM162" s="11602" t="n"/>
      <c r="AN162" s="11602" t="n"/>
      <c r="AO162" s="11602" t="n"/>
      <c r="AP162" s="1277" t="n"/>
      <c r="AQ162" s="11602" t="n"/>
      <c r="AR162" s="11602" t="n"/>
      <c r="AS162" s="11602" t="n"/>
      <c r="AT162" s="11602" t="n"/>
      <c r="AU162" s="11602" t="n"/>
      <c r="AV162" s="11602" t="n"/>
      <c r="AW162" s="11602" t="n"/>
      <c r="AX162" s="769" t="n"/>
      <c r="AY162" s="964" t="n"/>
      <c r="AZ162" s="964" t="n"/>
      <c r="BA162" s="964" t="n"/>
      <c r="BB162" s="964" t="n"/>
      <c r="BC162" s="964" t="n"/>
      <c r="BD162" s="964" t="n"/>
      <c r="BE162" s="964" t="n"/>
      <c r="BF162" s="964" t="n"/>
      <c r="BG162" s="964" t="n"/>
      <c r="BH162" s="964" t="n"/>
    </row>
    <row r="163" ht="12" customHeight="1" s="7635">
      <c r="A163" s="2112" t="n"/>
      <c r="B163" s="2373" t="n"/>
      <c r="C163" s="2373" t="n"/>
      <c r="D163" s="1680" t="inlineStr">
        <is>
          <t>from all sources is $250,000 or more, and you</t>
        </is>
      </c>
      <c r="E163" s="11602" t="n"/>
      <c r="F163" s="11602" t="n"/>
      <c r="G163" s="11602" t="n"/>
      <c r="H163" s="11602" t="n"/>
      <c r="I163" s="11602" t="n"/>
      <c r="J163" s="11602" t="n"/>
      <c r="K163" s="11602" t="n"/>
      <c r="L163" s="11602" t="n"/>
      <c r="M163" s="11602" t="n"/>
      <c r="N163" s="11602" t="n"/>
      <c r="O163" s="11602" t="n"/>
      <c r="P163" s="4167" t="n"/>
      <c r="Q163" s="4168" t="n"/>
      <c r="R163" s="4168" t="n"/>
      <c r="S163" s="4168" t="n"/>
      <c r="T163" s="4168" t="n"/>
      <c r="U163" s="4168" t="n"/>
      <c r="V163" s="4169" t="n"/>
      <c r="W163" s="4167" t="n"/>
      <c r="X163" s="4168" t="n"/>
      <c r="Y163" s="4168" t="n"/>
      <c r="Z163" s="4168" t="n"/>
      <c r="AA163" s="4168" t="n"/>
      <c r="AB163" s="4168" t="n"/>
      <c r="AC163" s="4169" t="n"/>
      <c r="AD163" s="4167" t="n"/>
      <c r="AE163" s="4168" t="n"/>
      <c r="AF163" s="4168" t="n"/>
      <c r="AG163" s="4168" t="n"/>
      <c r="AH163" s="4168" t="n"/>
      <c r="AI163" s="4169" t="n"/>
      <c r="AJ163" s="8967" t="n"/>
      <c r="AL163" s="408" t="n"/>
      <c r="AM163" s="11602" t="n"/>
      <c r="AN163" s="11602" t="n"/>
      <c r="AO163" s="11602" t="n"/>
      <c r="AP163" s="1277" t="n"/>
      <c r="AQ163" s="11602" t="n"/>
      <c r="AR163" s="11602" t="n"/>
      <c r="AS163" s="11602" t="n"/>
      <c r="AT163" s="11602" t="n"/>
      <c r="AU163" s="11602" t="n"/>
      <c r="AV163" s="11602" t="n"/>
      <c r="AW163" s="11602" t="n"/>
      <c r="AX163" s="769" t="n"/>
      <c r="AY163" s="964" t="n"/>
      <c r="AZ163" s="964" t="n"/>
      <c r="BA163" s="964" t="n"/>
      <c r="BB163" s="964" t="n"/>
      <c r="BC163" s="964" t="n"/>
      <c r="BD163" s="964" t="n"/>
      <c r="BE163" s="964" t="n"/>
      <c r="BF163" s="964" t="n"/>
      <c r="BG163" s="964" t="n"/>
      <c r="BH163" s="964" t="n"/>
    </row>
    <row r="164">
      <c r="A164" s="2112" t="n"/>
      <c r="B164" s="2373" t="n"/>
      <c r="C164" s="2373" t="n"/>
      <c r="D164" s="1680" t="inlineStr">
        <is>
          <t>used an alternative basis to determine its source</t>
        </is>
      </c>
      <c r="E164" s="11602" t="n"/>
      <c r="F164" s="11602" t="n"/>
      <c r="G164" s="11602" t="n"/>
      <c r="H164" s="11602" t="n"/>
      <c r="I164" s="11602" t="n"/>
      <c r="J164" s="11602" t="n"/>
      <c r="K164" s="11602" t="n"/>
      <c r="L164" s="11602" t="n"/>
      <c r="M164" s="11602" t="n"/>
      <c r="N164" s="11602" t="n"/>
      <c r="O164" s="11602" t="n"/>
      <c r="P164" s="4167" t="n"/>
      <c r="Q164" s="4168" t="n"/>
      <c r="R164" s="4168" t="n"/>
      <c r="S164" s="4168" t="n"/>
      <c r="T164" s="4168" t="n"/>
      <c r="U164" s="4168" t="n"/>
      <c r="V164" s="4169" t="n"/>
      <c r="W164" s="4167" t="n"/>
      <c r="X164" s="4168" t="n"/>
      <c r="Y164" s="4168" t="n"/>
      <c r="Z164" s="4168" t="n"/>
      <c r="AA164" s="4168" t="n"/>
      <c r="AB164" s="4168" t="n"/>
      <c r="AC164" s="4169" t="n"/>
      <c r="AD164" s="4167" t="n"/>
      <c r="AE164" s="4168" t="n"/>
      <c r="AF164" s="4168" t="n"/>
      <c r="AG164" s="4168" t="n"/>
      <c r="AH164" s="4168" t="n"/>
      <c r="AI164" s="4169" t="n"/>
      <c r="AJ164" s="8967" t="n"/>
      <c r="AL164" s="408" t="n"/>
      <c r="AM164" s="11602" t="n"/>
      <c r="AN164" s="11602" t="n"/>
      <c r="AO164" s="11602" t="n"/>
      <c r="AP164" s="1277" t="n"/>
      <c r="AQ164" s="11602" t="n"/>
      <c r="AR164" s="11602" t="n"/>
      <c r="AS164" s="11602" t="n"/>
      <c r="AT164" s="11602" t="n"/>
      <c r="AU164" s="11602" t="n"/>
      <c r="AV164" s="11602" t="n"/>
      <c r="AW164" s="11602" t="n"/>
      <c r="AX164" s="769" t="n"/>
      <c r="AY164" s="964" t="n"/>
      <c r="AZ164" s="964" t="n"/>
      <c r="BA164" s="964" t="n"/>
      <c r="BB164" s="964" t="n"/>
      <c r="BC164" s="964" t="n"/>
      <c r="BD164" s="964" t="n"/>
      <c r="BE164" s="964" t="n"/>
      <c r="BF164" s="964" t="n"/>
      <c r="BG164" s="964" t="n"/>
      <c r="BH164" s="964" t="n"/>
    </row>
    <row r="165" ht="13.5" customHeight="1" s="7635">
      <c r="A165" s="2112" t="n"/>
      <c r="B165" s="2373" t="n"/>
      <c r="C165" s="2373" t="n"/>
      <c r="D165" s="1680" t="inlineStr">
        <is>
          <t>See instructions</t>
        </is>
      </c>
      <c r="E165" s="11602" t="n"/>
      <c r="F165" s="11602" t="n"/>
      <c r="G165" s="11602" t="n"/>
      <c r="H165" s="11602" t="n"/>
      <c r="I165" s="11602" t="n"/>
      <c r="J165" s="11602" t="n"/>
      <c r="K165" s="11602" t="n"/>
      <c r="L165" s="11602" t="n"/>
      <c r="M165" s="1401" t="inlineStr">
        <is>
          <t xml:space="preserve">.   .   .   .   .   .   .   .   .   .  </t>
        </is>
      </c>
      <c r="N165" s="276" t="n"/>
      <c r="O165" s="11602" t="n"/>
      <c r="P165" s="4167" t="n"/>
      <c r="Q165" s="4168" t="n"/>
      <c r="R165" s="4168" t="n"/>
      <c r="S165" s="4168" t="n"/>
      <c r="T165" s="4168" t="n"/>
      <c r="U165" s="4168" t="n"/>
      <c r="V165" s="4169" t="n"/>
      <c r="W165" s="4167" t="n"/>
      <c r="X165" s="4168" t="n"/>
      <c r="Y165" s="4168" t="n"/>
      <c r="Z165" s="4168" t="n"/>
      <c r="AA165" s="4168" t="n"/>
      <c r="AB165" s="4168" t="n"/>
      <c r="AC165" s="4169" t="n"/>
      <c r="AD165" s="4167" t="n"/>
      <c r="AE165" s="4168" t="n"/>
      <c r="AF165" s="4168" t="n"/>
      <c r="AG165" s="4168" t="n"/>
      <c r="AH165" s="4168" t="n"/>
      <c r="AI165" s="4169" t="n"/>
      <c r="AJ165" s="8967" t="n"/>
      <c r="AL165" s="408" t="n"/>
      <c r="AM165" s="11602" t="n"/>
      <c r="AN165" s="11602" t="n"/>
      <c r="AO165" s="11602" t="n"/>
      <c r="AP165" s="1277" t="n"/>
      <c r="AQ165" s="11602" t="n"/>
      <c r="AR165" s="11602" t="n"/>
      <c r="AS165" s="11602" t="n"/>
      <c r="AT165" s="11602" t="n"/>
      <c r="AU165" s="11602" t="n"/>
      <c r="AV165" s="11602" t="n"/>
      <c r="AW165" s="11602" t="n"/>
      <c r="AX165" s="769" t="n"/>
      <c r="AY165" s="964" t="n"/>
      <c r="AZ165" s="964" t="n"/>
      <c r="BA165" s="964" t="n"/>
      <c r="BB165" s="964" t="n"/>
      <c r="BC165" s="964" t="n"/>
      <c r="BD165" s="964" t="n"/>
      <c r="BE165" s="964" t="n"/>
      <c r="BF165" s="964" t="n"/>
      <c r="BG165" s="964" t="n"/>
      <c r="BH165" s="964" t="n"/>
    </row>
    <row r="166" ht="13.5" customHeight="1" s="7635">
      <c r="A166" s="2112" t="n"/>
      <c r="B166" s="4156" t="n"/>
      <c r="C166" s="4156" t="n"/>
      <c r="D166" s="4162" t="n"/>
      <c r="E166" s="413" t="n"/>
      <c r="F166" s="413" t="n"/>
      <c r="G166" s="413" t="n"/>
      <c r="H166" s="413" t="n"/>
      <c r="I166" s="413" t="n"/>
      <c r="J166" s="413" t="n"/>
      <c r="K166" s="413" t="n"/>
      <c r="L166" s="413" t="n"/>
      <c r="M166" s="413" t="n"/>
      <c r="N166" s="413" t="n"/>
      <c r="O166" s="413" t="n"/>
      <c r="P166" s="4207" t="n"/>
      <c r="Q166" s="4208" t="n"/>
      <c r="R166" s="4208" t="n"/>
      <c r="S166" s="4208" t="n"/>
      <c r="T166" s="4208" t="n"/>
      <c r="U166" s="4208" t="n"/>
      <c r="V166" s="4209" t="n"/>
      <c r="W166" s="4207" t="n"/>
      <c r="X166" s="4208" t="n"/>
      <c r="Y166" s="4208" t="n"/>
      <c r="Z166" s="4208" t="n"/>
      <c r="AA166" s="4208" t="n"/>
      <c r="AB166" s="4208" t="n"/>
      <c r="AC166" s="4209" t="n"/>
      <c r="AD166" s="4207" t="n"/>
      <c r="AE166" s="4208" t="n"/>
      <c r="AF166" s="4208" t="n"/>
      <c r="AG166" s="4208" t="n"/>
      <c r="AH166" s="4208" t="n"/>
      <c r="AI166" s="4209" t="n"/>
      <c r="AJ166" s="8967" t="n"/>
      <c r="AL166" s="408" t="n"/>
      <c r="AM166" s="11602" t="n"/>
      <c r="AN166" s="11602" t="n"/>
      <c r="AO166" s="11602" t="n"/>
      <c r="AP166" s="1277" t="n"/>
      <c r="AQ166" s="11602" t="n"/>
      <c r="AR166" s="11602" t="n"/>
      <c r="AS166" s="11602" t="n"/>
      <c r="AT166" s="11602" t="n"/>
      <c r="AU166" s="11602" t="n"/>
      <c r="AV166" s="11602" t="n"/>
      <c r="AW166" s="11602" t="n"/>
      <c r="AX166" s="769" t="n"/>
      <c r="AY166" s="964" t="n"/>
      <c r="AZ166" s="964" t="n"/>
      <c r="BA166" s="964" t="n"/>
      <c r="BB166" s="964" t="n"/>
      <c r="BC166" s="964" t="n"/>
      <c r="BD166" s="964" t="n"/>
      <c r="BE166" s="964" t="n"/>
      <c r="BF166" s="964" t="n"/>
      <c r="BG166" s="964" t="n"/>
      <c r="BH166" s="964" t="n"/>
    </row>
    <row r="167" ht="13.5" customHeight="1" s="7635">
      <c r="A167" s="2112" t="n"/>
      <c r="B167" s="344" t="inlineStr">
        <is>
          <t xml:space="preserve"> Deductions and losses (Caution: See instructions.):</t>
        </is>
      </c>
      <c r="C167" s="2373" t="n"/>
      <c r="D167" s="8650" t="n"/>
      <c r="E167" s="11602" t="n"/>
      <c r="F167" s="11602" t="n"/>
      <c r="G167" s="11602" t="n"/>
      <c r="H167" s="11602" t="n"/>
      <c r="I167" s="11602" t="n"/>
      <c r="J167" s="11602" t="n"/>
      <c r="K167" s="11602" t="n"/>
      <c r="L167" s="11602" t="n"/>
      <c r="M167" s="11602" t="n"/>
      <c r="N167" s="11602" t="n"/>
      <c r="O167" s="11602" t="n"/>
      <c r="P167" s="4167" t="n"/>
      <c r="Q167" s="4168" t="n"/>
      <c r="R167" s="4168" t="n"/>
      <c r="S167" s="4168" t="n"/>
      <c r="T167" s="4168" t="n"/>
      <c r="U167" s="4168" t="n"/>
      <c r="V167" s="4169" t="n"/>
      <c r="W167" s="4167" t="n"/>
      <c r="X167" s="4168" t="n"/>
      <c r="Y167" s="4168" t="n"/>
      <c r="Z167" s="4168" t="n"/>
      <c r="AA167" s="4168" t="n"/>
      <c r="AB167" s="4168" t="n"/>
      <c r="AC167" s="4169" t="n"/>
      <c r="AD167" s="4167" t="n"/>
      <c r="AE167" s="4168" t="n"/>
      <c r="AF167" s="4168" t="n"/>
      <c r="AG167" s="4168" t="n"/>
      <c r="AH167" s="4168" t="n"/>
      <c r="AI167" s="4169" t="n"/>
      <c r="AJ167" s="8967" t="n"/>
      <c r="AL167" s="408" t="n"/>
      <c r="AM167" s="11602" t="n"/>
      <c r="AN167" s="11602" t="n"/>
      <c r="AO167" s="11602" t="n"/>
      <c r="AP167" s="1277" t="n"/>
      <c r="AQ167" s="11602" t="n"/>
      <c r="AR167" s="11602" t="n"/>
      <c r="AS167" s="11602" t="n"/>
      <c r="AT167" s="11602" t="n"/>
      <c r="AU167" s="11602" t="n"/>
      <c r="AV167" s="11602" t="n"/>
      <c r="AW167" s="11602" t="n"/>
      <c r="AX167" s="769" t="n"/>
      <c r="AY167" s="964" t="n"/>
      <c r="AZ167" s="964" t="n"/>
      <c r="BA167" s="964" t="n"/>
      <c r="BB167" s="964" t="n"/>
      <c r="BC167" s="964" t="n"/>
      <c r="BD167" s="964" t="n"/>
      <c r="BE167" s="964" t="n"/>
      <c r="BF167" s="964" t="n"/>
      <c r="BG167" s="964" t="n"/>
      <c r="BH167" s="964" t="n"/>
    </row>
    <row r="168">
      <c r="A168" s="2112" t="n"/>
      <c r="B168" s="9040" t="n">
        <v>2</v>
      </c>
      <c r="D168" s="7299" t="inlineStr">
        <is>
          <t>Expenses definitely related to the income on line</t>
        </is>
      </c>
      <c r="E168" s="11602" t="n"/>
      <c r="F168" s="11602" t="n"/>
      <c r="G168" s="11602" t="n"/>
      <c r="H168" s="11602" t="n"/>
      <c r="I168" s="11602" t="n"/>
      <c r="J168" s="11602" t="n"/>
      <c r="K168" s="11602" t="n"/>
      <c r="L168" s="11602" t="n"/>
      <c r="M168" s="11602" t="n"/>
      <c r="N168" s="11602" t="n"/>
      <c r="O168" s="11602" t="n"/>
      <c r="P168" s="566" t="n"/>
      <c r="Q168" s="344" t="n"/>
      <c r="R168" s="344" t="n"/>
      <c r="S168" s="344" t="n"/>
      <c r="T168" s="344" t="n"/>
      <c r="U168" s="344" t="n"/>
      <c r="V168" s="567" t="n"/>
      <c r="W168" s="344" t="n"/>
      <c r="X168" s="344" t="n"/>
      <c r="Y168" s="344" t="n"/>
      <c r="Z168" s="344" t="n"/>
      <c r="AA168" s="344" t="n"/>
      <c r="AB168" s="344" t="n"/>
      <c r="AC168" s="567" t="n"/>
      <c r="AD168" s="344" t="n"/>
      <c r="AE168" s="344" t="n"/>
      <c r="AF168" s="344" t="n"/>
      <c r="AG168" s="344" t="n"/>
      <c r="AH168" s="344" t="n"/>
      <c r="AI168" s="567" t="n"/>
      <c r="AJ168" s="8967" t="n"/>
      <c r="AL168" s="408" t="n"/>
      <c r="AM168" s="11602" t="n"/>
      <c r="AN168" s="11602" t="n"/>
      <c r="AO168" s="11602" t="n"/>
      <c r="AP168" s="1277" t="n"/>
      <c r="AQ168" s="11602" t="n"/>
      <c r="AR168" s="11602" t="n"/>
      <c r="AS168" s="11602" t="n"/>
      <c r="AT168" s="11602" t="n"/>
      <c r="AU168" s="11602" t="n"/>
      <c r="AV168" s="11602" t="n"/>
      <c r="AW168" s="11602" t="n"/>
      <c r="AX168" s="769" t="n"/>
      <c r="AY168" s="964" t="n"/>
      <c r="AZ168" s="964" t="n"/>
      <c r="BA168" s="964" t="n"/>
      <c r="BB168" s="964" t="n"/>
      <c r="BC168" s="964" t="n"/>
      <c r="BD168" s="964" t="n"/>
      <c r="BE168" s="964" t="n"/>
      <c r="BF168" s="964" t="n"/>
      <c r="BG168" s="964" t="n"/>
      <c r="BH168" s="964" t="n"/>
    </row>
    <row r="169" ht="13.5" customHeight="1" s="7635">
      <c r="A169" s="2112" t="n"/>
      <c r="B169" s="9040" t="n"/>
      <c r="D169" s="344" t="inlineStr">
        <is>
          <t>line1a (attach statement)</t>
        </is>
      </c>
      <c r="E169" s="11602" t="n"/>
      <c r="F169" s="11602" t="n"/>
      <c r="G169" s="11602" t="n"/>
      <c r="H169" s="11602" t="n"/>
      <c r="I169" s="11602" t="n"/>
      <c r="J169" s="11602" t="n"/>
      <c r="K169" s="11602" t="n"/>
      <c r="L169" s="11602" t="n"/>
      <c r="M169" s="11602" t="n"/>
      <c r="N169" s="11602" t="n"/>
      <c r="O169" s="1401" t="inlineStr">
        <is>
          <t xml:space="preserve">.   .   .   .   .   .   .   .  </t>
        </is>
      </c>
      <c r="P169" s="12235" t="n"/>
      <c r="Q169" s="11717" t="n"/>
      <c r="R169" s="11717" t="n"/>
      <c r="S169" s="11717" t="n"/>
      <c r="T169" s="11717" t="n"/>
      <c r="U169" s="11717" t="n"/>
      <c r="V169" s="11718" t="n"/>
      <c r="W169" s="12235" t="n"/>
      <c r="X169" s="11717" t="n"/>
      <c r="Y169" s="11717" t="n"/>
      <c r="Z169" s="11717" t="n"/>
      <c r="AA169" s="11717" t="n"/>
      <c r="AB169" s="11717" t="n"/>
      <c r="AC169" s="11718" t="n"/>
      <c r="AD169" s="12235" t="n"/>
      <c r="AE169" s="11717" t="n"/>
      <c r="AF169" s="11717" t="n"/>
      <c r="AG169" s="11717" t="n"/>
      <c r="AH169" s="11717" t="n"/>
      <c r="AI169" s="11718" t="n"/>
      <c r="AJ169" s="8967" t="n"/>
      <c r="AL169" s="408" t="n"/>
      <c r="AM169" s="11602" t="n"/>
      <c r="AN169" s="11602" t="n"/>
      <c r="AO169" s="11602" t="n"/>
      <c r="AP169" s="1277" t="n"/>
      <c r="AQ169" s="11602" t="n"/>
      <c r="AR169" s="11602" t="n"/>
      <c r="AS169" s="11602" t="n"/>
      <c r="AT169" s="11602" t="n"/>
      <c r="AU169" s="11602" t="n"/>
      <c r="AV169" s="11602" t="n"/>
      <c r="AW169" s="11602" t="n"/>
      <c r="AX169" s="769" t="n"/>
      <c r="AY169" s="964" t="n"/>
      <c r="AZ169" s="964" t="n"/>
      <c r="BA169" s="964" t="n"/>
      <c r="BB169" s="964" t="n"/>
      <c r="BC169" s="964" t="n"/>
      <c r="BD169" s="964" t="n"/>
      <c r="BE169" s="964" t="n"/>
      <c r="BF169" s="964" t="n"/>
      <c r="BG169" s="964" t="n"/>
      <c r="BH169" s="964" t="n"/>
    </row>
    <row r="170" ht="13.5" customHeight="1" s="7635">
      <c r="A170" s="2112" t="n"/>
      <c r="B170" s="9040" t="n">
        <v>3</v>
      </c>
      <c r="D170" s="7299" t="inlineStr">
        <is>
          <t>Pro rata share of other deductions not definitely</t>
        </is>
      </c>
      <c r="E170" s="11602" t="n"/>
      <c r="F170" s="11602" t="n"/>
      <c r="G170" s="11602" t="n"/>
      <c r="H170" s="11602" t="n"/>
      <c r="I170" s="11602" t="n"/>
      <c r="J170" s="11602" t="n"/>
      <c r="K170" s="11602" t="n"/>
      <c r="L170" s="11602" t="n"/>
      <c r="M170" s="11602" t="n"/>
      <c r="N170" s="11602" t="n"/>
      <c r="O170" s="11602" t="n"/>
      <c r="P170" s="4167" t="n"/>
      <c r="Q170" s="4168" t="n"/>
      <c r="R170" s="4168" t="n"/>
      <c r="S170" s="4168" t="n"/>
      <c r="T170" s="4168" t="n"/>
      <c r="U170" s="4168" t="n"/>
      <c r="V170" s="4169" t="n"/>
      <c r="W170" s="4167" t="n"/>
      <c r="X170" s="4168" t="n"/>
      <c r="Y170" s="4168" t="n"/>
      <c r="Z170" s="4168" t="n"/>
      <c r="AA170" s="4168" t="n"/>
      <c r="AB170" s="4168" t="n"/>
      <c r="AC170" s="4169" t="n"/>
      <c r="AD170" s="4167" t="n"/>
      <c r="AE170" s="4168" t="n"/>
      <c r="AF170" s="4168" t="n"/>
      <c r="AG170" s="4168" t="n"/>
      <c r="AH170" s="4168" t="n"/>
      <c r="AI170" s="4169" t="n"/>
      <c r="AJ170" s="8967" t="n"/>
      <c r="AL170" s="408" t="n"/>
      <c r="AM170" s="11602" t="n"/>
      <c r="AN170" s="11602" t="n"/>
      <c r="AO170" s="11602" t="n"/>
      <c r="AP170" s="1277" t="n"/>
      <c r="AQ170" s="11602" t="n"/>
      <c r="AR170" s="11602" t="n"/>
      <c r="AS170" s="11602" t="n"/>
      <c r="AT170" s="11602" t="n"/>
      <c r="AU170" s="11602" t="n"/>
      <c r="AV170" s="11602" t="n"/>
      <c r="AW170" s="11602" t="n"/>
      <c r="AX170" s="769" t="n"/>
      <c r="AY170" s="964" t="n"/>
      <c r="AZ170" s="964" t="n"/>
      <c r="BA170" s="964" t="n"/>
      <c r="BB170" s="964" t="n"/>
      <c r="BC170" s="964" t="n"/>
      <c r="BD170" s="964" t="n"/>
      <c r="BE170" s="964" t="n"/>
      <c r="BF170" s="964" t="n"/>
      <c r="BG170" s="964" t="n"/>
      <c r="BH170" s="964" t="n"/>
    </row>
    <row r="171" ht="13.5" customHeight="1" s="7635">
      <c r="A171" s="2112" t="n"/>
      <c r="B171" s="9040" t="n"/>
      <c r="D171" s="807" t="inlineStr">
        <is>
          <t>related:</t>
        </is>
      </c>
      <c r="E171" s="11602" t="n"/>
      <c r="F171" s="11602" t="n"/>
      <c r="G171" s="11602" t="n"/>
      <c r="H171" s="11602" t="n"/>
      <c r="I171" s="11602" t="n"/>
      <c r="J171" s="11602" t="n"/>
      <c r="K171" s="11602" t="n"/>
      <c r="L171" s="11602" t="n"/>
      <c r="M171" s="11602" t="n"/>
      <c r="N171" s="11602" t="n"/>
      <c r="O171" s="11602" t="n"/>
      <c r="P171" s="4167" t="n"/>
      <c r="Q171" s="4168" t="n"/>
      <c r="R171" s="4168" t="n"/>
      <c r="S171" s="4168" t="n"/>
      <c r="T171" s="4168" t="n"/>
      <c r="U171" s="4168" t="n"/>
      <c r="V171" s="4169" t="n"/>
      <c r="W171" s="4167" t="n"/>
      <c r="X171" s="4168" t="n"/>
      <c r="Y171" s="4168" t="n"/>
      <c r="Z171" s="4168" t="n"/>
      <c r="AA171" s="4168" t="n"/>
      <c r="AB171" s="4168" t="n"/>
      <c r="AC171" s="4169" t="n"/>
      <c r="AD171" s="4167" t="n"/>
      <c r="AE171" s="4168" t="n"/>
      <c r="AF171" s="4168" t="n"/>
      <c r="AG171" s="4168" t="n"/>
      <c r="AH171" s="4168" t="n"/>
      <c r="AI171" s="4169" t="n"/>
      <c r="AJ171" s="8967" t="n"/>
      <c r="AL171" s="408" t="n"/>
      <c r="AM171" s="11602" t="n"/>
      <c r="AN171" s="11602" t="n"/>
      <c r="AO171" s="11602" t="n"/>
      <c r="AP171" s="1277" t="n"/>
      <c r="AQ171" s="11602" t="n"/>
      <c r="AR171" s="11602" t="n"/>
      <c r="AS171" s="11602" t="n"/>
      <c r="AT171" s="11602" t="n"/>
      <c r="AU171" s="11602" t="n"/>
      <c r="AV171" s="11602" t="n"/>
      <c r="AW171" s="11602" t="n"/>
      <c r="AX171" s="769" t="n"/>
      <c r="AY171" s="964" t="n"/>
      <c r="AZ171" s="964" t="n"/>
      <c r="BA171" s="964" t="n"/>
      <c r="BB171" s="964" t="n"/>
      <c r="BC171" s="964" t="n"/>
      <c r="BD171" s="964" t="n"/>
      <c r="BE171" s="964" t="n"/>
      <c r="BF171" s="964" t="n"/>
      <c r="BG171" s="964" t="n"/>
      <c r="BH171" s="964" t="n"/>
    </row>
    <row r="172" ht="13.5" customHeight="1" s="7635">
      <c r="A172" s="2112" t="n"/>
      <c r="B172" s="9040" t="inlineStr">
        <is>
          <t>a</t>
        </is>
      </c>
      <c r="D172" s="7299" t="inlineStr">
        <is>
          <t>Certain itemized deductions or standard deduction</t>
        </is>
      </c>
      <c r="E172" s="11602" t="n"/>
      <c r="F172" s="11602" t="n"/>
      <c r="G172" s="11602" t="n"/>
      <c r="H172" s="11602" t="n"/>
      <c r="I172" s="11602" t="n"/>
      <c r="J172" s="11602" t="n"/>
      <c r="K172" s="11602" t="n"/>
      <c r="L172" s="11602" t="n"/>
      <c r="M172" s="11602" t="n"/>
      <c r="N172" s="11602" t="n"/>
      <c r="O172" s="11602" t="n"/>
      <c r="P172" s="566" t="n"/>
      <c r="Q172" s="344" t="n"/>
      <c r="R172" s="344" t="n"/>
      <c r="S172" s="344" t="n"/>
      <c r="T172" s="344" t="n"/>
      <c r="U172" s="344" t="n"/>
      <c r="V172" s="567" t="n"/>
      <c r="W172" s="344" t="n"/>
      <c r="X172" s="344" t="n"/>
      <c r="Y172" s="344" t="n"/>
      <c r="Z172" s="344" t="n"/>
      <c r="AA172" s="344" t="n"/>
      <c r="AB172" s="344" t="n"/>
      <c r="AC172" s="567" t="n"/>
      <c r="AD172" s="344" t="n"/>
      <c r="AE172" s="344" t="n"/>
      <c r="AF172" s="344" t="n"/>
      <c r="AG172" s="344" t="n"/>
      <c r="AH172" s="344" t="n"/>
      <c r="AI172" s="567" t="n"/>
      <c r="AJ172" s="8967" t="n"/>
      <c r="AL172" s="408" t="n"/>
      <c r="AM172" s="11602" t="n"/>
      <c r="AN172" s="11602" t="n"/>
      <c r="AO172" s="11602" t="n"/>
      <c r="AP172" s="1277" t="n"/>
      <c r="AQ172" s="11602" t="n"/>
      <c r="AR172" s="11602" t="n"/>
      <c r="AS172" s="11602" t="n"/>
      <c r="AT172" s="11602" t="n"/>
      <c r="AU172" s="11602" t="n"/>
      <c r="AV172" s="11602" t="n"/>
      <c r="AW172" s="11602" t="n"/>
      <c r="AX172" s="769" t="n"/>
      <c r="AY172" s="964" t="n"/>
      <c r="AZ172" s="964" t="n"/>
      <c r="BA172" s="964" t="n"/>
      <c r="BB172" s="964" t="n"/>
      <c r="BC172" s="964" t="n"/>
      <c r="BD172" s="964" t="n"/>
      <c r="BE172" s="964" t="n"/>
      <c r="BF172" s="964" t="n"/>
      <c r="BG172" s="964" t="n"/>
      <c r="BH172" s="964" t="n"/>
    </row>
    <row r="173" ht="13.5" customHeight="1" s="7635">
      <c r="A173" s="2112" t="n"/>
      <c r="B173" s="9040" t="n"/>
      <c r="C173" s="9040" t="n"/>
      <c r="D173" s="7299" t="inlineStr">
        <is>
          <t>(see instructions)</t>
        </is>
      </c>
      <c r="E173" s="11602" t="n"/>
      <c r="F173" s="11602" t="n"/>
      <c r="G173" s="11602" t="n"/>
      <c r="H173" s="11602" t="n"/>
      <c r="I173" s="11602" t="n"/>
      <c r="J173" s="11602" t="n"/>
      <c r="K173" s="11602" t="n"/>
      <c r="L173" s="11602" t="n"/>
      <c r="M173" s="11602" t="n"/>
      <c r="N173" s="11602" t="n"/>
      <c r="O173" s="1401" t="inlineStr">
        <is>
          <t xml:space="preserve">.   .   .   .   .   .   .   .   .   .   .  </t>
        </is>
      </c>
      <c r="P173" s="12235" t="n"/>
      <c r="Q173" s="11717" t="n"/>
      <c r="R173" s="11717" t="n"/>
      <c r="S173" s="11717" t="n"/>
      <c r="T173" s="11717" t="n"/>
      <c r="U173" s="11717" t="n"/>
      <c r="V173" s="11718" t="n"/>
      <c r="W173" s="12235" t="n"/>
      <c r="X173" s="11717" t="n"/>
      <c r="Y173" s="11717" t="n"/>
      <c r="Z173" s="11717" t="n"/>
      <c r="AA173" s="11717" t="n"/>
      <c r="AB173" s="11717" t="n"/>
      <c r="AC173" s="11718" t="n"/>
      <c r="AD173" s="12235" t="n"/>
      <c r="AE173" s="11717" t="n"/>
      <c r="AF173" s="11717" t="n"/>
      <c r="AG173" s="11717" t="n"/>
      <c r="AH173" s="11717" t="n"/>
      <c r="AI173" s="11718" t="n"/>
      <c r="AJ173" s="8967" t="n"/>
      <c r="AL173" s="408" t="n"/>
      <c r="AM173" s="11602" t="n"/>
      <c r="AN173" s="11602" t="n"/>
      <c r="AO173" s="11602" t="n"/>
      <c r="AP173" s="1277" t="n"/>
      <c r="AQ173" s="11602" t="n"/>
      <c r="AR173" s="11602" t="n"/>
      <c r="AS173" s="11602" t="n"/>
      <c r="AT173" s="11602" t="n"/>
      <c r="AU173" s="11602" t="n"/>
      <c r="AV173" s="11602" t="n"/>
      <c r="AW173" s="11602" t="n"/>
      <c r="AX173" s="769" t="n"/>
      <c r="AY173" s="964" t="n"/>
      <c r="AZ173" s="964" t="n"/>
      <c r="BA173" s="964" t="n"/>
      <c r="BB173" s="964" t="n"/>
      <c r="BC173" s="964" t="n"/>
      <c r="BD173" s="964" t="n"/>
      <c r="BE173" s="964" t="n"/>
      <c r="BF173" s="964" t="n"/>
      <c r="BG173" s="964" t="n"/>
      <c r="BH173" s="964" t="n"/>
    </row>
    <row r="174" ht="13.5" customHeight="1" s="7635">
      <c r="A174" s="2112" t="n"/>
      <c r="B174" s="9040" t="inlineStr">
        <is>
          <t>b</t>
        </is>
      </c>
      <c r="D174" s="7299" t="inlineStr">
        <is>
          <t>Other deductions (attach statement)</t>
        </is>
      </c>
      <c r="E174" s="11602" t="n"/>
      <c r="F174" s="11602" t="n"/>
      <c r="G174" s="11602" t="n"/>
      <c r="H174" s="11602" t="n"/>
      <c r="I174" s="11602" t="n"/>
      <c r="J174" s="11602" t="n"/>
      <c r="K174" s="11602" t="n"/>
      <c r="L174" s="11602" t="n"/>
      <c r="M174" s="11602" t="n"/>
      <c r="N174" s="11602" t="n"/>
      <c r="O174" s="1401" t="inlineStr">
        <is>
          <t xml:space="preserve">.   .   .   .   .  </t>
        </is>
      </c>
      <c r="P174" s="12235" t="n"/>
      <c r="Q174" s="11717" t="n"/>
      <c r="R174" s="11717" t="n"/>
      <c r="S174" s="11717" t="n"/>
      <c r="T174" s="11717" t="n"/>
      <c r="U174" s="11717" t="n"/>
      <c r="V174" s="11718" t="n"/>
      <c r="W174" s="12235" t="n"/>
      <c r="X174" s="11717" t="n"/>
      <c r="Y174" s="11717" t="n"/>
      <c r="Z174" s="11717" t="n"/>
      <c r="AA174" s="11717" t="n"/>
      <c r="AB174" s="11717" t="n"/>
      <c r="AC174" s="11718" t="n"/>
      <c r="AD174" s="12235" t="n"/>
      <c r="AE174" s="11717" t="n"/>
      <c r="AF174" s="11717" t="n"/>
      <c r="AG174" s="11717" t="n"/>
      <c r="AH174" s="11717" t="n"/>
      <c r="AI174" s="11718" t="n"/>
      <c r="AJ174" s="8967" t="n"/>
      <c r="AL174" s="408" t="n"/>
      <c r="AM174" s="11602" t="n"/>
      <c r="AN174" s="11602" t="n"/>
      <c r="AO174" s="11602" t="n"/>
      <c r="AP174" s="1277" t="n"/>
      <c r="AQ174" s="11602" t="n"/>
      <c r="AR174" s="11602" t="n"/>
      <c r="AS174" s="11602" t="n"/>
      <c r="AT174" s="11602" t="n"/>
      <c r="AU174" s="11602" t="n"/>
      <c r="AV174" s="11602" t="n"/>
      <c r="AW174" s="11602" t="n"/>
      <c r="AX174" s="769" t="n"/>
      <c r="AY174" s="964" t="n"/>
      <c r="AZ174" s="964" t="n"/>
      <c r="BA174" s="964" t="n"/>
      <c r="BB174" s="964" t="n"/>
      <c r="BC174" s="964" t="n"/>
      <c r="BD174" s="964" t="n"/>
      <c r="BE174" s="964" t="n"/>
      <c r="BF174" s="964" t="n"/>
      <c r="BG174" s="964" t="n"/>
      <c r="BH174" s="964" t="n"/>
    </row>
    <row r="175" ht="13.5" customHeight="1" s="7635">
      <c r="A175" s="2112" t="n"/>
      <c r="B175" s="9040" t="inlineStr">
        <is>
          <t>c</t>
        </is>
      </c>
      <c r="D175" s="7299" t="inlineStr">
        <is>
          <t>Add lines 3a and 3b</t>
        </is>
      </c>
      <c r="E175" s="11602" t="n"/>
      <c r="F175" s="11602" t="n"/>
      <c r="G175" s="11602" t="n"/>
      <c r="H175" s="11602" t="n"/>
      <c r="I175" s="11602" t="n"/>
      <c r="J175" s="11602" t="n"/>
      <c r="K175" s="11602" t="n"/>
      <c r="L175" s="11602" t="n"/>
      <c r="M175" s="11602" t="n"/>
      <c r="N175" s="11602" t="n"/>
      <c r="O175" s="1401" t="inlineStr">
        <is>
          <t xml:space="preserve">.   .   .   .   .   .   .   .   .   .  </t>
        </is>
      </c>
      <c r="P175" s="12238">
        <f>SUM(P173:P174)</f>
        <v/>
      </c>
      <c r="Q175" s="8412" t="n"/>
      <c r="R175" s="8412" t="n"/>
      <c r="S175" s="8412" t="n"/>
      <c r="T175" s="8412" t="n"/>
      <c r="U175" s="8412" t="n"/>
      <c r="V175" s="11734" t="n"/>
      <c r="W175" s="12238">
        <f>SUM(W173:W174)</f>
        <v/>
      </c>
      <c r="X175" s="8412" t="n"/>
      <c r="Y175" s="8412" t="n"/>
      <c r="Z175" s="8412" t="n"/>
      <c r="AA175" s="8412" t="n"/>
      <c r="AB175" s="8412" t="n"/>
      <c r="AC175" s="11734" t="n"/>
      <c r="AD175" s="12238">
        <f>SUM(AD173:AD174)</f>
        <v/>
      </c>
      <c r="AE175" s="8412" t="n"/>
      <c r="AF175" s="8412" t="n"/>
      <c r="AG175" s="8412" t="n"/>
      <c r="AH175" s="8412" t="n"/>
      <c r="AI175" s="11734" t="n"/>
      <c r="AJ175" s="8967" t="n"/>
      <c r="AL175" s="408" t="n"/>
      <c r="AM175" s="11602" t="n"/>
      <c r="AN175" s="11602" t="n"/>
      <c r="AO175" s="11602" t="n"/>
      <c r="AP175" s="1277" t="n"/>
      <c r="AQ175" s="11602" t="n"/>
      <c r="AR175" s="11602" t="n"/>
      <c r="AS175" s="11602" t="n"/>
      <c r="AT175" s="11602" t="n"/>
      <c r="AU175" s="11602" t="n"/>
      <c r="AV175" s="11602" t="n"/>
      <c r="AW175" s="11602" t="n"/>
      <c r="AX175" s="769" t="n"/>
      <c r="AY175" s="964" t="n"/>
      <c r="AZ175" s="964" t="n"/>
      <c r="BA175" s="964" t="n"/>
      <c r="BB175" s="964" t="n"/>
      <c r="BC175" s="964" t="n"/>
      <c r="BD175" s="964" t="n"/>
      <c r="BE175" s="964" t="n"/>
      <c r="BF175" s="964" t="n"/>
      <c r="BG175" s="964" t="n"/>
      <c r="BH175" s="964" t="n"/>
    </row>
    <row r="176" ht="13.5" customHeight="1" s="7635">
      <c r="A176" s="2112" t="n"/>
      <c r="B176" s="9040" t="inlineStr">
        <is>
          <t>d</t>
        </is>
      </c>
      <c r="D176" s="7299" t="inlineStr">
        <is>
          <t>Gross foreign source income (see instructions)</t>
        </is>
      </c>
      <c r="E176" s="11602" t="n"/>
      <c r="F176" s="11602" t="n"/>
      <c r="G176" s="11602" t="n"/>
      <c r="H176" s="11602" t="n"/>
      <c r="I176" s="11602" t="n"/>
      <c r="J176" s="11602" t="n"/>
      <c r="K176" s="11602" t="n"/>
      <c r="L176" s="11602" t="n"/>
      <c r="M176" s="11602" t="n"/>
      <c r="N176" s="11602" t="n"/>
      <c r="O176" s="1401" t="inlineStr">
        <is>
          <t xml:space="preserve"> .  </t>
        </is>
      </c>
      <c r="P176" s="12235" t="n"/>
      <c r="Q176" s="11717" t="n"/>
      <c r="R176" s="11717" t="n"/>
      <c r="S176" s="11717" t="n"/>
      <c r="T176" s="11717" t="n"/>
      <c r="U176" s="11717" t="n"/>
      <c r="V176" s="11718" t="n"/>
      <c r="W176" s="12235" t="n"/>
      <c r="X176" s="11717" t="n"/>
      <c r="Y176" s="11717" t="n"/>
      <c r="Z176" s="11717" t="n"/>
      <c r="AA176" s="11717" t="n"/>
      <c r="AB176" s="11717" t="n"/>
      <c r="AC176" s="11718" t="n"/>
      <c r="AD176" s="12235" t="n"/>
      <c r="AE176" s="11717" t="n"/>
      <c r="AF176" s="11717" t="n"/>
      <c r="AG176" s="11717" t="n"/>
      <c r="AH176" s="11717" t="n"/>
      <c r="AI176" s="11718" t="n"/>
      <c r="AJ176" s="8967" t="n"/>
      <c r="AL176" s="408" t="n"/>
      <c r="AM176" s="11602" t="n"/>
      <c r="AN176" s="11602" t="n"/>
      <c r="AO176" s="11602" t="n"/>
      <c r="AP176" s="1277" t="n"/>
      <c r="AQ176" s="11602" t="n"/>
      <c r="AR176" s="11602" t="n"/>
      <c r="AS176" s="11602" t="n"/>
      <c r="AT176" s="11602" t="n"/>
      <c r="AU176" s="11602" t="n"/>
      <c r="AV176" s="11602" t="n"/>
      <c r="AW176" s="11602" t="n"/>
      <c r="AX176" s="769" t="n"/>
      <c r="AY176" s="964" t="n"/>
      <c r="AZ176" s="964" t="n"/>
      <c r="BA176" s="964" t="n"/>
      <c r="BB176" s="964" t="n"/>
      <c r="BC176" s="964" t="n"/>
      <c r="BD176" s="964" t="n"/>
      <c r="BE176" s="964" t="n"/>
      <c r="BF176" s="964" t="n"/>
      <c r="BG176" s="964" t="n"/>
      <c r="BH176" s="964" t="n"/>
    </row>
    <row r="177" ht="13.5" customHeight="1" s="7635">
      <c r="A177" s="2112" t="n"/>
      <c r="B177" s="9040" t="inlineStr">
        <is>
          <t>e</t>
        </is>
      </c>
      <c r="D177" s="7299" t="inlineStr">
        <is>
          <t>Gross income from all sources (see instructions)</t>
        </is>
      </c>
      <c r="E177" s="11602" t="n"/>
      <c r="F177" s="11602" t="n"/>
      <c r="G177" s="11602" t="n"/>
      <c r="H177" s="11602" t="n"/>
      <c r="I177" s="11602" t="n"/>
      <c r="J177" s="11602" t="n"/>
      <c r="K177" s="11602" t="n"/>
      <c r="L177" s="11602" t="n"/>
      <c r="M177" s="11602" t="n"/>
      <c r="N177" s="11602" t="n"/>
      <c r="O177" s="1401" t="inlineStr">
        <is>
          <t xml:space="preserve"> .  </t>
        </is>
      </c>
      <c r="P177" s="12235" t="n"/>
      <c r="Q177" s="11717" t="n"/>
      <c r="R177" s="11717" t="n"/>
      <c r="S177" s="11717" t="n"/>
      <c r="T177" s="11717" t="n"/>
      <c r="U177" s="11717" t="n"/>
      <c r="V177" s="11718" t="n"/>
      <c r="W177" s="12235" t="n"/>
      <c r="X177" s="11717" t="n"/>
      <c r="Y177" s="11717" t="n"/>
      <c r="Z177" s="11717" t="n"/>
      <c r="AA177" s="11717" t="n"/>
      <c r="AB177" s="11717" t="n"/>
      <c r="AC177" s="11718" t="n"/>
      <c r="AD177" s="12235" t="n"/>
      <c r="AE177" s="11717" t="n"/>
      <c r="AF177" s="11717" t="n"/>
      <c r="AG177" s="11717" t="n"/>
      <c r="AH177" s="11717" t="n"/>
      <c r="AI177" s="11718" t="n"/>
      <c r="AJ177" s="8967" t="n"/>
      <c r="AL177" s="408" t="n"/>
      <c r="AM177" s="11602" t="n"/>
      <c r="AN177" s="11602" t="n"/>
      <c r="AO177" s="11602" t="n"/>
      <c r="AP177" s="1277" t="n"/>
      <c r="AQ177" s="11602" t="n"/>
      <c r="AR177" s="11602" t="n"/>
      <c r="AS177" s="11602" t="n"/>
      <c r="AT177" s="11602" t="n"/>
      <c r="AU177" s="11602" t="n"/>
      <c r="AV177" s="11602" t="n"/>
      <c r="AW177" s="11602" t="n"/>
      <c r="AX177" s="769" t="n"/>
      <c r="AY177" s="964" t="n"/>
      <c r="AZ177" s="964" t="n"/>
      <c r="BA177" s="964" t="n"/>
      <c r="BB177" s="964" t="n"/>
      <c r="BC177" s="964" t="n"/>
      <c r="BD177" s="964" t="n"/>
      <c r="BE177" s="964" t="n"/>
      <c r="BF177" s="964" t="n"/>
      <c r="BG177" s="964" t="n"/>
      <c r="BH177" s="964" t="n"/>
    </row>
    <row r="178" ht="13.5" customHeight="1" s="7635">
      <c r="A178" s="2112" t="n"/>
      <c r="B178" s="9040" t="inlineStr">
        <is>
          <t>f</t>
        </is>
      </c>
      <c r="D178" s="7299" t="inlineStr">
        <is>
          <t>Divide line 3d by line 3e (see instructions)</t>
        </is>
      </c>
      <c r="E178" s="11602" t="n"/>
      <c r="F178" s="11602" t="n"/>
      <c r="G178" s="11602" t="n"/>
      <c r="H178" s="11602" t="n"/>
      <c r="I178" s="11602" t="n"/>
      <c r="J178" s="11602" t="n"/>
      <c r="K178" s="11602" t="n"/>
      <c r="L178" s="11602" t="n"/>
      <c r="M178" s="11602" t="n"/>
      <c r="N178" s="11602" t="n"/>
      <c r="O178" s="1401" t="inlineStr">
        <is>
          <t xml:space="preserve">.   .   .  </t>
        </is>
      </c>
      <c r="P178" s="12266">
        <f>IF(P177=0,"",ROUND(P176/P177,4))</f>
        <v/>
      </c>
      <c r="Q178" s="7637" t="n"/>
      <c r="R178" s="7637" t="n"/>
      <c r="S178" s="7637" t="n"/>
      <c r="T178" s="7637" t="n"/>
      <c r="U178" s="7637" t="n"/>
      <c r="V178" s="7638" t="n"/>
      <c r="W178" s="12266">
        <f>IF(W177=0,"",ROUND(W176/W177,4))</f>
        <v/>
      </c>
      <c r="X178" s="7637" t="n"/>
      <c r="Y178" s="7637" t="n"/>
      <c r="Z178" s="7637" t="n"/>
      <c r="AA178" s="7637" t="n"/>
      <c r="AB178" s="7637" t="n"/>
      <c r="AC178" s="7638" t="n"/>
      <c r="AD178" s="12267">
        <f>IF(AD177=0,"",ROUND(AD176/AD177,4))</f>
        <v/>
      </c>
      <c r="AE178" s="7637" t="n"/>
      <c r="AF178" s="7637" t="n"/>
      <c r="AG178" s="7637" t="n"/>
      <c r="AH178" s="7637" t="n"/>
      <c r="AI178" s="7638" t="n"/>
      <c r="AJ178" s="8967" t="n"/>
      <c r="AL178" s="408" t="n"/>
      <c r="AM178" s="11602" t="n"/>
      <c r="AN178" s="11602" t="n"/>
      <c r="AO178" s="11602" t="n"/>
      <c r="AP178" s="1277" t="n"/>
      <c r="AQ178" s="11602" t="n"/>
      <c r="AR178" s="11602" t="n"/>
      <c r="AS178" s="11602" t="n"/>
      <c r="AT178" s="11602" t="n"/>
      <c r="AU178" s="11602" t="n"/>
      <c r="AV178" s="11602" t="n"/>
      <c r="AW178" s="11602" t="n"/>
      <c r="AX178" s="769" t="n"/>
      <c r="AY178" s="964" t="n"/>
      <c r="AZ178" s="964" t="n"/>
      <c r="BA178" s="964" t="n"/>
      <c r="BB178" s="964" t="n"/>
      <c r="BC178" s="964" t="n"/>
      <c r="BD178" s="964" t="n"/>
      <c r="BE178" s="964" t="n"/>
      <c r="BF178" s="964" t="n"/>
      <c r="BG178" s="964" t="n"/>
      <c r="BH178" s="964" t="n"/>
    </row>
    <row r="179" ht="13.5" customHeight="1" s="7635">
      <c r="A179" s="2112" t="n"/>
      <c r="B179" s="9040" t="inlineStr">
        <is>
          <t>g</t>
        </is>
      </c>
      <c r="D179" s="7299" t="inlineStr">
        <is>
          <t>Multiply line 3c by line 3f</t>
        </is>
      </c>
      <c r="E179" s="11602" t="n"/>
      <c r="F179" s="11602" t="n"/>
      <c r="G179" s="11602" t="n"/>
      <c r="H179" s="11602" t="n"/>
      <c r="I179" s="11602" t="n"/>
      <c r="J179" s="11602" t="n"/>
      <c r="K179" s="11602" t="n"/>
      <c r="L179" s="11602" t="n"/>
      <c r="M179" s="11602" t="n"/>
      <c r="N179" s="11602" t="n"/>
      <c r="O179" s="1401" t="inlineStr">
        <is>
          <t xml:space="preserve">.   .   .   .   .   .   .   .   .  </t>
        </is>
      </c>
      <c r="P179" s="12268">
        <f>IF(OR(P175="",P178=""),"",P175*P178)</f>
        <v/>
      </c>
      <c r="Q179" s="7637" t="n"/>
      <c r="R179" s="7637" t="n"/>
      <c r="S179" s="7637" t="n"/>
      <c r="T179" s="7637" t="n"/>
      <c r="U179" s="7637" t="n"/>
      <c r="V179" s="7638" t="n"/>
      <c r="W179" s="12268">
        <f>IF(OR(W175="",W178=""),"",W175*W178)</f>
        <v/>
      </c>
      <c r="X179" s="7637" t="n"/>
      <c r="Y179" s="7637" t="n"/>
      <c r="Z179" s="7637" t="n"/>
      <c r="AA179" s="7637" t="n"/>
      <c r="AB179" s="7637" t="n"/>
      <c r="AC179" s="7638" t="n"/>
      <c r="AD179" s="12268">
        <f>IF(OR(AD175="",AD178=""),"",AD175*AD178)</f>
        <v/>
      </c>
      <c r="AE179" s="7637" t="n"/>
      <c r="AF179" s="7637" t="n"/>
      <c r="AG179" s="7637" t="n"/>
      <c r="AH179" s="7637" t="n"/>
      <c r="AI179" s="7638" t="n"/>
      <c r="AJ179" s="8967" t="n"/>
      <c r="AL179" s="408" t="n"/>
      <c r="AM179" s="11602" t="n"/>
      <c r="AN179" s="11602" t="n"/>
      <c r="AO179" s="11602" t="n"/>
      <c r="AP179" s="1277" t="n"/>
      <c r="AQ179" s="11602" t="n"/>
      <c r="AR179" s="11602" t="n"/>
      <c r="AS179" s="11602" t="n"/>
      <c r="AT179" s="11602" t="n"/>
      <c r="AU179" s="11602" t="n"/>
      <c r="AV179" s="11602" t="n"/>
      <c r="AW179" s="11602" t="n"/>
      <c r="AX179" s="769" t="n"/>
      <c r="AY179" s="964" t="n"/>
      <c r="AZ179" s="964" t="n"/>
      <c r="BA179" s="964" t="n"/>
      <c r="BB179" s="964" t="n"/>
      <c r="BC179" s="964" t="n"/>
      <c r="BD179" s="964" t="n"/>
      <c r="BE179" s="964" t="n"/>
      <c r="BF179" s="964" t="n"/>
      <c r="BG179" s="964" t="n"/>
      <c r="BH179" s="964" t="n"/>
    </row>
    <row r="180" ht="13.5" customHeight="1" s="7635">
      <c r="A180" s="2112" t="n"/>
      <c r="B180" s="9024" t="n">
        <v>4</v>
      </c>
      <c r="D180" s="7299" t="inlineStr">
        <is>
          <t>Pro rata share of interest expense (see instructions):</t>
        </is>
      </c>
      <c r="E180" s="11602" t="n"/>
      <c r="F180" s="11602" t="n"/>
      <c r="G180" s="11602" t="n"/>
      <c r="H180" s="11602" t="n"/>
      <c r="I180" s="11602" t="n"/>
      <c r="J180" s="11602" t="n"/>
      <c r="K180" s="11602" t="n"/>
      <c r="L180" s="11602" t="n"/>
      <c r="M180" s="11602" t="n"/>
      <c r="N180" s="11602" t="n"/>
      <c r="O180" s="11602" t="n"/>
      <c r="P180" s="4167" t="n"/>
      <c r="Q180" s="4168" t="n"/>
      <c r="R180" s="4168" t="n"/>
      <c r="S180" s="4168" t="n"/>
      <c r="T180" s="4168" t="n"/>
      <c r="U180" s="4168" t="n"/>
      <c r="V180" s="4169" t="n"/>
      <c r="W180" s="4167" t="n"/>
      <c r="X180" s="4168" t="n"/>
      <c r="Y180" s="4168" t="n"/>
      <c r="Z180" s="4168" t="n"/>
      <c r="AA180" s="4168" t="n"/>
      <c r="AB180" s="4168" t="n"/>
      <c r="AC180" s="4169" t="n"/>
      <c r="AD180" s="4167" t="n"/>
      <c r="AE180" s="4168" t="n"/>
      <c r="AF180" s="4168" t="n"/>
      <c r="AG180" s="4168" t="n"/>
      <c r="AH180" s="4168" t="n"/>
      <c r="AI180" s="4169" t="n"/>
      <c r="AJ180" s="8967" t="n"/>
      <c r="AL180" s="408" t="n"/>
      <c r="AM180" s="11602" t="n"/>
      <c r="AN180" s="11602" t="n"/>
      <c r="AO180" s="11602" t="n"/>
      <c r="AP180" s="1277" t="n"/>
      <c r="AQ180" s="11602" t="n"/>
      <c r="AR180" s="11602" t="n"/>
      <c r="AS180" s="11602" t="n"/>
      <c r="AT180" s="11602" t="n"/>
      <c r="AU180" s="11602" t="n"/>
      <c r="AV180" s="11602" t="n"/>
      <c r="AW180" s="11602" t="n"/>
      <c r="AX180" s="769" t="n"/>
      <c r="AY180" s="964" t="n"/>
      <c r="AZ180" s="964" t="n"/>
      <c r="BA180" s="964" t="n"/>
      <c r="BB180" s="964" t="n"/>
      <c r="BC180" s="964" t="n"/>
      <c r="BD180" s="964" t="n"/>
      <c r="BE180" s="964" t="n"/>
      <c r="BF180" s="964" t="n"/>
      <c r="BG180" s="964" t="n"/>
      <c r="BH180" s="964" t="n"/>
    </row>
    <row r="181" ht="13.5" customHeight="1" s="7635">
      <c r="A181" s="2112" t="n"/>
      <c r="B181" s="9040" t="inlineStr">
        <is>
          <t>a</t>
        </is>
      </c>
      <c r="D181" s="7299" t="inlineStr">
        <is>
          <t>Home mortgage interest (use the Worksheet for</t>
        </is>
      </c>
      <c r="E181" s="11602" t="n"/>
      <c r="F181" s="11602" t="n"/>
      <c r="G181" s="11602" t="n"/>
      <c r="H181" s="11602" t="n"/>
      <c r="I181" s="11602" t="n"/>
      <c r="J181" s="11602" t="n"/>
      <c r="K181" s="11602" t="n"/>
      <c r="L181" s="11602" t="n"/>
      <c r="M181" s="11602" t="n"/>
      <c r="N181" s="11602" t="n"/>
      <c r="O181" s="11602" t="n"/>
      <c r="P181" s="566" t="n"/>
      <c r="Q181" s="344" t="n"/>
      <c r="R181" s="344" t="n"/>
      <c r="S181" s="344" t="n"/>
      <c r="T181" s="344" t="n"/>
      <c r="U181" s="344" t="n"/>
      <c r="V181" s="567" t="n"/>
      <c r="W181" s="344" t="n"/>
      <c r="X181" s="344" t="n"/>
      <c r="Y181" s="344" t="n"/>
      <c r="Z181" s="344" t="n"/>
      <c r="AA181" s="344" t="n"/>
      <c r="AB181" s="344" t="n"/>
      <c r="AC181" s="567" t="n"/>
      <c r="AD181" s="344" t="n"/>
      <c r="AE181" s="344" t="n"/>
      <c r="AF181" s="344" t="n"/>
      <c r="AG181" s="344" t="n"/>
      <c r="AH181" s="344" t="n"/>
      <c r="AI181" s="567" t="n"/>
      <c r="AJ181" s="8967" t="n"/>
      <c r="AL181" s="408" t="n"/>
      <c r="AM181" s="11602" t="n"/>
      <c r="AN181" s="11602" t="n"/>
      <c r="AO181" s="11602" t="n"/>
      <c r="AP181" s="1277" t="n"/>
      <c r="AQ181" s="11602" t="n"/>
      <c r="AR181" s="11602" t="n"/>
      <c r="AS181" s="11602" t="n"/>
      <c r="AT181" s="11602" t="n"/>
      <c r="AU181" s="11602" t="n"/>
      <c r="AV181" s="11602" t="n"/>
      <c r="AW181" s="11602" t="n"/>
      <c r="AX181" s="769" t="n"/>
      <c r="AY181" s="964" t="n"/>
      <c r="AZ181" s="964" t="n"/>
      <c r="BA181" s="964" t="n"/>
      <c r="BB181" s="964" t="n"/>
      <c r="BC181" s="964" t="n"/>
      <c r="BD181" s="964" t="n"/>
      <c r="BE181" s="964" t="n"/>
      <c r="BF181" s="964" t="n"/>
      <c r="BG181" s="964" t="n"/>
      <c r="BH181" s="964" t="n"/>
    </row>
    <row r="182" ht="13.5" customHeight="1" s="7635">
      <c r="A182" s="2112" t="n"/>
      <c r="B182" s="9040" t="n"/>
      <c r="C182" s="9040" t="n"/>
      <c r="D182" s="7299" t="inlineStr">
        <is>
          <t>Home Mortgage Interest in the instructions)</t>
        </is>
      </c>
      <c r="E182" s="11602" t="n"/>
      <c r="F182" s="11602" t="n"/>
      <c r="G182" s="11602" t="n"/>
      <c r="H182" s="11602" t="n"/>
      <c r="I182" s="11602" t="n"/>
      <c r="J182" s="11602" t="n"/>
      <c r="K182" s="11602" t="n"/>
      <c r="L182" s="11602" t="n"/>
      <c r="M182" s="11602" t="n"/>
      <c r="N182" s="11602" t="n"/>
      <c r="O182" s="1401" t="inlineStr">
        <is>
          <t xml:space="preserve">.   .   .  </t>
        </is>
      </c>
      <c r="P182" s="12235" t="n"/>
      <c r="Q182" s="11717" t="n"/>
      <c r="R182" s="11717" t="n"/>
      <c r="S182" s="11717" t="n"/>
      <c r="T182" s="11717" t="n"/>
      <c r="U182" s="11717" t="n"/>
      <c r="V182" s="11718" t="n"/>
      <c r="W182" s="12235" t="n"/>
      <c r="X182" s="11717" t="n"/>
      <c r="Y182" s="11717" t="n"/>
      <c r="Z182" s="11717" t="n"/>
      <c r="AA182" s="11717" t="n"/>
      <c r="AB182" s="11717" t="n"/>
      <c r="AC182" s="11718" t="n"/>
      <c r="AD182" s="12235" t="n"/>
      <c r="AE182" s="11717" t="n"/>
      <c r="AF182" s="11717" t="n"/>
      <c r="AG182" s="11717" t="n"/>
      <c r="AH182" s="11717" t="n"/>
      <c r="AI182" s="11718" t="n"/>
      <c r="AJ182" s="8967" t="n"/>
      <c r="AL182" s="408" t="n"/>
      <c r="AM182" s="11602" t="n"/>
      <c r="AN182" s="11602" t="n"/>
      <c r="AO182" s="11602" t="n"/>
      <c r="AP182" s="1277" t="n"/>
      <c r="AQ182" s="11602" t="n"/>
      <c r="AR182" s="11602" t="n"/>
      <c r="AS182" s="11602" t="n"/>
      <c r="AT182" s="11602" t="n"/>
      <c r="AU182" s="11602" t="n"/>
      <c r="AV182" s="11602" t="n"/>
      <c r="AW182" s="11602" t="n"/>
      <c r="AX182" s="769" t="n"/>
      <c r="AY182" s="964" t="n"/>
      <c r="AZ182" s="964" t="n"/>
      <c r="BA182" s="964" t="n"/>
      <c r="BB182" s="964" t="n"/>
      <c r="BC182" s="964" t="n"/>
      <c r="BD182" s="964" t="n"/>
      <c r="BE182" s="964" t="n"/>
      <c r="BF182" s="964" t="n"/>
      <c r="BG182" s="964" t="n"/>
      <c r="BH182" s="964" t="n"/>
    </row>
    <row r="183" ht="13.5" customHeight="1" s="7635">
      <c r="A183" s="2112" t="n"/>
      <c r="B183" s="9040" t="inlineStr">
        <is>
          <t>b</t>
        </is>
      </c>
      <c r="D183" s="7299" t="inlineStr">
        <is>
          <t>Other interest expense</t>
        </is>
      </c>
      <c r="E183" s="11602" t="n"/>
      <c r="F183" s="11602" t="n"/>
      <c r="G183" s="11602" t="n"/>
      <c r="H183" s="11602" t="n"/>
      <c r="I183" s="11602" t="n"/>
      <c r="J183" s="11602" t="n"/>
      <c r="K183" s="11602" t="n"/>
      <c r="L183" s="11602" t="n"/>
      <c r="M183" s="11602" t="n"/>
      <c r="N183" s="11602" t="n"/>
      <c r="O183" s="1401" t="inlineStr">
        <is>
          <t xml:space="preserve">.   .   .   .   .   .   .   .   .  </t>
        </is>
      </c>
      <c r="P183" s="12235" t="n"/>
      <c r="Q183" s="11717" t="n"/>
      <c r="R183" s="11717" t="n"/>
      <c r="S183" s="11717" t="n"/>
      <c r="T183" s="11717" t="n"/>
      <c r="U183" s="11717" t="n"/>
      <c r="V183" s="11718" t="n"/>
      <c r="W183" s="12235" t="n"/>
      <c r="X183" s="11717" t="n"/>
      <c r="Y183" s="11717" t="n"/>
      <c r="Z183" s="11717" t="n"/>
      <c r="AA183" s="11717" t="n"/>
      <c r="AB183" s="11717" t="n"/>
      <c r="AC183" s="11718" t="n"/>
      <c r="AD183" s="12235" t="n"/>
      <c r="AE183" s="11717" t="n"/>
      <c r="AF183" s="11717" t="n"/>
      <c r="AG183" s="11717" t="n"/>
      <c r="AH183" s="11717" t="n"/>
      <c r="AI183" s="11718" t="n"/>
      <c r="AJ183" s="8967" t="n"/>
      <c r="AL183" s="408" t="n"/>
      <c r="AM183" s="11602" t="n"/>
      <c r="AN183" s="11602" t="n"/>
      <c r="AO183" s="11602" t="n"/>
      <c r="AP183" s="1277" t="n"/>
      <c r="AQ183" s="11602" t="n"/>
      <c r="AR183" s="11602" t="n"/>
      <c r="AS183" s="11602" t="n"/>
      <c r="AT183" s="11602" t="n"/>
      <c r="AU183" s="11602" t="n"/>
      <c r="AV183" s="11602" t="n"/>
      <c r="AW183" s="11602" t="n"/>
      <c r="AX183" s="769" t="n"/>
      <c r="AY183" s="964" t="n"/>
      <c r="AZ183" s="964" t="n"/>
      <c r="BA183" s="964" t="n"/>
      <c r="BB183" s="964" t="n"/>
      <c r="BC183" s="964" t="n"/>
      <c r="BD183" s="964" t="n"/>
      <c r="BE183" s="964" t="n"/>
      <c r="BF183" s="964" t="n"/>
      <c r="BG183" s="964" t="n"/>
      <c r="BH183" s="964" t="n"/>
    </row>
    <row r="184">
      <c r="A184" s="2112" t="n"/>
      <c r="B184" s="9024" t="n">
        <v>5</v>
      </c>
      <c r="D184" s="7299" t="inlineStr">
        <is>
          <t>Losses from foreign sources</t>
        </is>
      </c>
      <c r="E184" s="11602" t="n"/>
      <c r="F184" s="11602" t="n"/>
      <c r="G184" s="11602" t="n"/>
      <c r="H184" s="11602" t="n"/>
      <c r="I184" s="11602" t="n"/>
      <c r="J184" s="11602" t="n"/>
      <c r="K184" s="11602" t="n"/>
      <c r="L184" s="11602" t="n"/>
      <c r="M184" s="11602" t="n"/>
      <c r="N184" s="11602" t="n"/>
      <c r="O184" s="1401" t="inlineStr">
        <is>
          <t xml:space="preserve">.   .   .   .   .   .   .  </t>
        </is>
      </c>
      <c r="P184" s="12235" t="n"/>
      <c r="Q184" s="11717" t="n"/>
      <c r="R184" s="11717" t="n"/>
      <c r="S184" s="11717" t="n"/>
      <c r="T184" s="11717" t="n"/>
      <c r="U184" s="11717" t="n"/>
      <c r="V184" s="11718" t="n"/>
      <c r="W184" s="12235" t="n"/>
      <c r="X184" s="11717" t="n"/>
      <c r="Y184" s="11717" t="n"/>
      <c r="Z184" s="11717" t="n"/>
      <c r="AA184" s="11717" t="n"/>
      <c r="AB184" s="11717" t="n"/>
      <c r="AC184" s="11718" t="n"/>
      <c r="AD184" s="12235" t="n"/>
      <c r="AE184" s="11717" t="n"/>
      <c r="AF184" s="11717" t="n"/>
      <c r="AG184" s="11717" t="n"/>
      <c r="AH184" s="11717" t="n"/>
      <c r="AI184" s="11718" t="n"/>
      <c r="AJ184" s="8967" t="n"/>
      <c r="AL184" s="408" t="n"/>
      <c r="AM184" s="11602" t="n"/>
      <c r="AN184" s="11602" t="n"/>
      <c r="AO184" s="11602" t="n"/>
      <c r="AP184" s="1277" t="n"/>
      <c r="AQ184" s="1277" t="n"/>
      <c r="AR184" s="1277" t="n"/>
      <c r="AS184" s="1277" t="n"/>
      <c r="AT184" s="1277" t="n"/>
      <c r="AU184" s="1277" t="n"/>
      <c r="AV184" s="11602" t="n"/>
      <c r="AW184" s="11602" t="n"/>
      <c r="AX184" s="769" t="n"/>
      <c r="AY184" s="964" t="n"/>
      <c r="AZ184" s="964" t="n"/>
      <c r="BA184" s="964" t="n"/>
      <c r="BB184" s="964" t="n"/>
      <c r="BC184" s="964" t="n"/>
      <c r="BD184" s="964" t="n"/>
      <c r="BE184" s="964" t="n"/>
      <c r="BF184" s="964" t="n"/>
      <c r="BG184" s="964" t="n"/>
      <c r="BH184" s="964" t="n"/>
    </row>
    <row r="185" ht="15" customFormat="1" customHeight="1" s="1405">
      <c r="A185" s="2112" t="n"/>
      <c r="B185" s="9024" t="n">
        <v>6</v>
      </c>
      <c r="D185" s="344" t="inlineStr">
        <is>
          <t>Add lines 2, 3g, 4a, 4b, and 5</t>
        </is>
      </c>
      <c r="E185" s="11602" t="n"/>
      <c r="F185" s="11602" t="n"/>
      <c r="G185" s="11602" t="n"/>
      <c r="H185" s="11602" t="n"/>
      <c r="I185" s="11602" t="n"/>
      <c r="J185" s="11602" t="n"/>
      <c r="K185" s="11602" t="n"/>
      <c r="L185" s="11602" t="n"/>
      <c r="M185" s="11602" t="n"/>
      <c r="N185" s="11602" t="n"/>
      <c r="O185" s="1401" t="inlineStr">
        <is>
          <t xml:space="preserve">.   .   .   .   .   .   .  </t>
        </is>
      </c>
      <c r="P185" s="12268">
        <f>SUM(P169,P179,P182,P183,P184)</f>
        <v/>
      </c>
      <c r="Q185" s="7637" t="n"/>
      <c r="R185" s="7637" t="n"/>
      <c r="S185" s="7637" t="n"/>
      <c r="T185" s="7637" t="n"/>
      <c r="U185" s="7637" t="n"/>
      <c r="V185" s="7638" t="n"/>
      <c r="W185" s="12268">
        <f>SUM(W169,W179,W182,W183,W184)</f>
        <v/>
      </c>
      <c r="X185" s="7637" t="n"/>
      <c r="Y185" s="7637" t="n"/>
      <c r="Z185" s="7637" t="n"/>
      <c r="AA185" s="7637" t="n"/>
      <c r="AB185" s="7637" t="n"/>
      <c r="AC185" s="7638" t="n"/>
      <c r="AD185" s="12268">
        <f>SUM(AD169,AD179,AD182,AD183,AD184)</f>
        <v/>
      </c>
      <c r="AE185" s="7637" t="n"/>
      <c r="AF185" s="7637" t="n"/>
      <c r="AG185" s="7637" t="n"/>
      <c r="AH185" s="7637" t="n"/>
      <c r="AI185" s="7638" t="n"/>
      <c r="AJ185" s="12236" t="n">
        <v>6</v>
      </c>
      <c r="AK185" s="7638" t="n"/>
      <c r="AL185" s="8988">
        <f>IF(AQ185&lt;&gt;"",ROUND(AQ185,0),IF(AO144=0,"",ROUND(SUM(P185,W185,AD185),0)))</f>
        <v/>
      </c>
      <c r="AM185" s="7637" t="n"/>
      <c r="AN185" s="7637" t="n"/>
      <c r="AO185" s="7637" t="n"/>
      <c r="AP185" s="1277" t="n"/>
      <c r="AQ185" s="8957" t="n"/>
      <c r="AR185" s="11717" t="n"/>
      <c r="AS185" s="11717" t="n"/>
      <c r="AT185" s="11717" t="n"/>
      <c r="AU185" s="1277" t="n"/>
      <c r="AV185" s="11602" t="n"/>
      <c r="AW185" s="11602" t="n"/>
      <c r="AX185" s="769" t="n"/>
      <c r="AY185" s="964" t="n"/>
      <c r="AZ185" s="964" t="n"/>
      <c r="BA185" s="964" t="n"/>
      <c r="BB185" s="964" t="n"/>
      <c r="BC185" s="964" t="n"/>
      <c r="BD185" s="964" t="n"/>
      <c r="BE185" s="964" t="n"/>
      <c r="BF185" s="964" t="n"/>
      <c r="BG185" s="964" t="n"/>
      <c r="BH185" s="964" t="n"/>
    </row>
    <row r="186" ht="12" customFormat="1" customHeight="1" s="1405" thickBot="1">
      <c r="A186" s="2112" t="n"/>
      <c r="B186" s="9158" t="n">
        <v>7</v>
      </c>
      <c r="C186" s="7839" t="n"/>
      <c r="D186" s="2003" t="inlineStr">
        <is>
          <t>Subtract line 6 from line 1a. Enter the result here and on line 15, page 2</t>
        </is>
      </c>
      <c r="E186" s="406" t="n"/>
      <c r="F186" s="406" t="n"/>
      <c r="G186" s="406" t="n"/>
      <c r="H186" s="406" t="n"/>
      <c r="I186" s="406" t="n"/>
      <c r="J186" s="406" t="n"/>
      <c r="K186" s="406" t="n"/>
      <c r="L186" s="406" t="n"/>
      <c r="M186" s="406" t="n"/>
      <c r="N186" s="406" t="n"/>
      <c r="O186" s="406" t="n"/>
      <c r="P186" s="406" t="n"/>
      <c r="Q186" s="406" t="n"/>
      <c r="R186" s="406" t="n"/>
      <c r="S186" s="406" t="n"/>
      <c r="T186" s="406" t="n"/>
      <c r="U186" s="406" t="n"/>
      <c r="V186" s="406" t="n"/>
      <c r="W186" s="406" t="n"/>
      <c r="X186" s="406" t="n"/>
      <c r="Y186" s="406" t="n"/>
      <c r="Z186" s="406" t="n"/>
      <c r="AA186" s="406" t="n"/>
      <c r="AB186" s="406" t="n"/>
      <c r="AC186" s="406" t="n"/>
      <c r="AD186" s="406" t="n"/>
      <c r="AE186" s="406" t="n"/>
      <c r="AF186" s="406" t="n"/>
      <c r="AG186" s="406" t="n"/>
      <c r="AH186" s="406" t="n"/>
      <c r="AI186" s="1321" t="inlineStr">
        <is>
          <t xml:space="preserve">.   .   .   .   .   .   .   .   .   .   .  </t>
        </is>
      </c>
      <c r="AJ186" s="12242" t="n">
        <v>7</v>
      </c>
      <c r="AK186" s="10091" t="n"/>
      <c r="AL186" s="9159">
        <f>IF(AQ186&lt;&gt;"",ROUND(AQ186,0),IF(AO144=0,"",ROUND(SUM(AL160,-AL185),0)))</f>
        <v/>
      </c>
      <c r="AP186" s="1277" t="n"/>
      <c r="AQ186" s="8957" t="n"/>
      <c r="AR186" s="11717" t="n"/>
      <c r="AS186" s="11717" t="n"/>
      <c r="AT186" s="11717" t="n"/>
      <c r="AU186" s="1277" t="n"/>
      <c r="AV186" s="11602" t="n"/>
      <c r="AW186" s="11602" t="n"/>
      <c r="AX186" s="769" t="n"/>
      <c r="AY186" s="964" t="n"/>
      <c r="AZ186" s="964" t="n"/>
      <c r="BA186" s="964" t="n"/>
      <c r="BB186" s="964" t="n"/>
      <c r="BC186" s="964" t="n"/>
      <c r="BD186" s="964" t="n"/>
      <c r="BE186" s="964" t="n"/>
      <c r="BF186" s="964" t="n"/>
      <c r="BG186" s="964" t="n"/>
      <c r="BH186" s="964" t="n"/>
    </row>
    <row r="187" ht="18" customFormat="1" customHeight="1" s="1405">
      <c r="A187" s="4157" t="n"/>
      <c r="B187" s="9161" t="inlineStr">
        <is>
          <t>Part II</t>
        </is>
      </c>
      <c r="C187" s="12097" t="n"/>
      <c r="D187" s="12097" t="n"/>
      <c r="E187" s="9163" t="inlineStr">
        <is>
          <t>Foreign Taxes Paid or Accrued  (see instructions)</t>
        </is>
      </c>
      <c r="F187" s="12097" t="n"/>
      <c r="G187" s="12097" t="n"/>
      <c r="H187" s="12097" t="n"/>
      <c r="I187" s="12097" t="n"/>
      <c r="J187" s="12097" t="n"/>
      <c r="K187" s="12097" t="n"/>
      <c r="L187" s="12097" t="n"/>
      <c r="M187" s="12097" t="n"/>
      <c r="N187" s="12097" t="n"/>
      <c r="O187" s="12097" t="n"/>
      <c r="P187" s="12097" t="n"/>
      <c r="Q187" s="12097" t="n"/>
      <c r="R187" s="12097" t="n"/>
      <c r="S187" s="12097" t="n"/>
      <c r="T187" s="12097" t="n"/>
      <c r="U187" s="12097" t="n"/>
      <c r="V187" s="12097" t="n"/>
      <c r="W187" s="12097" t="n"/>
      <c r="X187" s="12097" t="n"/>
      <c r="Y187" s="12097" t="n"/>
      <c r="Z187" s="12097" t="n"/>
      <c r="AA187" s="12097" t="n"/>
      <c r="AB187" s="12097" t="n"/>
      <c r="AC187" s="12097" t="n"/>
      <c r="AD187" s="12097" t="n"/>
      <c r="AE187" s="12097" t="n"/>
      <c r="AF187" s="12097" t="n"/>
      <c r="AG187" s="12097" t="n"/>
      <c r="AH187" s="12097" t="n"/>
      <c r="AI187" s="12097" t="n"/>
      <c r="AJ187" s="12097" t="n"/>
      <c r="AK187" s="12097" t="n"/>
      <c r="AL187" s="12097" t="n"/>
      <c r="AM187" s="12097" t="n"/>
      <c r="AN187" s="12097" t="n"/>
      <c r="AO187" s="12097" t="n"/>
      <c r="AP187" s="1277" t="n"/>
      <c r="AQ187" s="1277" t="n"/>
      <c r="AR187" s="1277" t="n"/>
      <c r="AS187" s="1277" t="n"/>
      <c r="AT187" s="1277" t="n"/>
      <c r="AU187" s="1277" t="n"/>
      <c r="AV187" s="7772" t="n"/>
      <c r="AW187" s="7772" t="n"/>
      <c r="AX187" s="769" t="n"/>
      <c r="AY187" s="964" t="n"/>
      <c r="AZ187" s="964" t="n"/>
      <c r="BA187" s="964" t="n"/>
      <c r="BB187" s="964" t="n"/>
      <c r="BC187" s="964" t="n"/>
      <c r="BD187" s="964" t="n"/>
      <c r="BE187" s="964" t="n"/>
      <c r="BF187" s="964" t="n"/>
      <c r="BG187" s="964" t="n"/>
      <c r="BH187" s="964" t="n"/>
    </row>
    <row r="188" ht="15" customFormat="1" customHeight="1" s="1405">
      <c r="A188" s="4157" t="n"/>
      <c r="B188" s="12243" t="inlineStr">
        <is>
          <t>Country</t>
        </is>
      </c>
      <c r="C188" s="12244" t="inlineStr">
        <is>
          <t>Credit is claimed 
for taxes 
(you must check one)</t>
        </is>
      </c>
      <c r="D188" s="7839" t="n"/>
      <c r="E188" s="7839" t="n"/>
      <c r="F188" s="7839" t="n"/>
      <c r="G188" s="10091" t="n"/>
      <c r="H188" s="12245" t="inlineStr">
        <is>
          <t>Foreign taxes paid or accrued</t>
        </is>
      </c>
      <c r="I188" s="7839" t="n"/>
      <c r="J188" s="7839" t="n"/>
      <c r="K188" s="7839" t="n"/>
      <c r="L188" s="7839" t="n"/>
      <c r="M188" s="7839" t="n"/>
      <c r="N188" s="7839" t="n"/>
      <c r="O188" s="7839" t="n"/>
      <c r="P188" s="7839" t="n"/>
      <c r="Q188" s="7839" t="n"/>
      <c r="R188" s="7839" t="n"/>
      <c r="S188" s="7839" t="n"/>
      <c r="T188" s="7839" t="n"/>
      <c r="U188" s="7839" t="n"/>
      <c r="V188" s="7839" t="n"/>
      <c r="W188" s="7839" t="n"/>
      <c r="X188" s="7839" t="n"/>
      <c r="Y188" s="7839" t="n"/>
      <c r="Z188" s="7839" t="n"/>
      <c r="AA188" s="7839" t="n"/>
      <c r="AB188" s="7839" t="n"/>
      <c r="AC188" s="7839" t="n"/>
      <c r="AD188" s="7839" t="n"/>
      <c r="AE188" s="7839" t="n"/>
      <c r="AF188" s="7839" t="n"/>
      <c r="AG188" s="7839" t="n"/>
      <c r="AH188" s="7839" t="n"/>
      <c r="AI188" s="7839" t="n"/>
      <c r="AJ188" s="7839" t="n"/>
      <c r="AK188" s="7839" t="n"/>
      <c r="AL188" s="7839" t="n"/>
      <c r="AM188" s="7839" t="n"/>
      <c r="AN188" s="7839" t="n"/>
      <c r="AO188" s="7839" t="n"/>
      <c r="AP188" s="1277" t="n"/>
      <c r="AQ188" s="7772" t="n"/>
      <c r="AR188" s="7772" t="n"/>
      <c r="AS188" s="7772" t="n"/>
      <c r="AT188" s="7772" t="n"/>
      <c r="AU188" s="7772" t="n"/>
      <c r="AV188" s="7772" t="n"/>
      <c r="AW188" s="7772" t="n"/>
      <c r="AX188" s="769" t="n"/>
      <c r="AY188" s="964" t="n"/>
      <c r="AZ188" s="964" t="n"/>
      <c r="BA188" s="964" t="n"/>
      <c r="BB188" s="964" t="n"/>
      <c r="BC188" s="964" t="n"/>
      <c r="BD188" s="964" t="n"/>
      <c r="BE188" s="964" t="n"/>
      <c r="BF188" s="964" t="n"/>
      <c r="BG188" s="964" t="n"/>
      <c r="BH188" s="964" t="n"/>
    </row>
    <row r="189" ht="15" customFormat="1" customHeight="1" s="1405">
      <c r="A189" s="4157" t="n"/>
      <c r="B189" s="7636" t="n"/>
      <c r="C189" s="4772" t="n"/>
      <c r="G189" s="7636" t="n"/>
      <c r="H189" s="4772" t="n"/>
      <c r="AP189" s="1277" t="n"/>
      <c r="AQ189" s="7772" t="n"/>
      <c r="AR189" s="7772" t="n"/>
      <c r="AS189" s="7772" t="n"/>
      <c r="AT189" s="7772" t="n"/>
      <c r="AU189" s="7772" t="n"/>
      <c r="AV189" s="7772" t="n"/>
      <c r="AW189" s="7772" t="n"/>
      <c r="AX189" s="769" t="n"/>
      <c r="AY189" s="964" t="n"/>
      <c r="AZ189" s="964" t="n"/>
      <c r="BA189" s="964" t="n"/>
      <c r="BB189" s="964" t="n"/>
      <c r="BC189" s="964" t="n"/>
      <c r="BD189" s="964" t="n"/>
      <c r="BE189" s="964" t="n"/>
      <c r="BF189" s="964" t="n"/>
      <c r="BG189" s="964" t="n"/>
      <c r="BH189" s="964" t="n"/>
    </row>
    <row r="190" ht="15" customHeight="1" s="7635">
      <c r="A190" s="4157" t="n"/>
      <c r="B190" s="7636" t="n"/>
      <c r="C190" s="4772" t="n"/>
      <c r="G190" s="7636" t="n"/>
      <c r="H190" s="3614" t="n"/>
      <c r="I190" s="7637" t="n"/>
      <c r="J190" s="7637" t="n"/>
      <c r="K190" s="7637" t="n"/>
      <c r="L190" s="7637" t="n"/>
      <c r="M190" s="7637" t="n"/>
      <c r="N190" s="7637" t="n"/>
      <c r="O190" s="7637" t="n"/>
      <c r="P190" s="7637" t="n"/>
      <c r="Q190" s="7637" t="n"/>
      <c r="R190" s="7637" t="n"/>
      <c r="S190" s="7637" t="n"/>
      <c r="T190" s="7637" t="n"/>
      <c r="U190" s="7637" t="n"/>
      <c r="V190" s="7637" t="n"/>
      <c r="W190" s="7637" t="n"/>
      <c r="X190" s="7637" t="n"/>
      <c r="Y190" s="7637" t="n"/>
      <c r="Z190" s="7637" t="n"/>
      <c r="AA190" s="7637" t="n"/>
      <c r="AB190" s="7637" t="n"/>
      <c r="AC190" s="7637" t="n"/>
      <c r="AD190" s="7637" t="n"/>
      <c r="AE190" s="7637" t="n"/>
      <c r="AF190" s="7637" t="n"/>
      <c r="AG190" s="7637" t="n"/>
      <c r="AH190" s="7637" t="n"/>
      <c r="AI190" s="7637" t="n"/>
      <c r="AJ190" s="7637" t="n"/>
      <c r="AK190" s="7637" t="n"/>
      <c r="AL190" s="7637" t="n"/>
      <c r="AM190" s="7637" t="n"/>
      <c r="AN190" s="7637" t="n"/>
      <c r="AO190" s="7637" t="n"/>
      <c r="AP190" s="1277" t="n"/>
      <c r="AQ190" s="7772" t="n"/>
      <c r="AR190" s="7772" t="n"/>
      <c r="AS190" s="7772" t="n"/>
      <c r="AT190" s="7772" t="n"/>
      <c r="AU190" s="7772" t="n"/>
      <c r="AV190" s="7772" t="n"/>
      <c r="AW190" s="7772" t="n"/>
      <c r="AX190" s="769" t="n"/>
      <c r="AY190" s="964" t="n"/>
      <c r="AZ190" s="964" t="n"/>
      <c r="BA190" s="964" t="n"/>
      <c r="BB190" s="964" t="n"/>
      <c r="BC190" s="964" t="n"/>
      <c r="BD190" s="964" t="n"/>
      <c r="BE190" s="964" t="n"/>
      <c r="BF190" s="964" t="n"/>
      <c r="BG190" s="964" t="n"/>
      <c r="BH190" s="964" t="n"/>
    </row>
    <row r="191" ht="15.75" customHeight="1" s="7635">
      <c r="A191" s="4157" t="n"/>
      <c r="B191" s="7636" t="n"/>
      <c r="C191" s="4170">
        <f>IF(E191&lt;&gt;"",1,0)</f>
        <v/>
      </c>
      <c r="D191" s="7914" t="inlineStr">
        <is>
          <t>(j)</t>
        </is>
      </c>
      <c r="E191" s="278" t="n"/>
      <c r="F191" s="7209" t="inlineStr">
        <is>
          <t xml:space="preserve"> Paid</t>
        </is>
      </c>
      <c r="G191" s="4171" t="n"/>
      <c r="H191" s="12126" t="inlineStr">
        <is>
          <t>In foreign currency</t>
        </is>
      </c>
      <c r="I191" s="7839" t="n"/>
      <c r="J191" s="7839" t="n"/>
      <c r="K191" s="7839" t="n"/>
      <c r="L191" s="7839" t="n"/>
      <c r="M191" s="7839" t="n"/>
      <c r="N191" s="7839" t="n"/>
      <c r="O191" s="7839" t="n"/>
      <c r="P191" s="7839" t="n"/>
      <c r="Q191" s="7839" t="n"/>
      <c r="R191" s="7839" t="n"/>
      <c r="S191" s="7839" t="n"/>
      <c r="T191" s="7839" t="n"/>
      <c r="U191" s="7839" t="n"/>
      <c r="V191" s="7839" t="n"/>
      <c r="W191" s="10091" t="n"/>
      <c r="X191" s="10176" t="inlineStr">
        <is>
          <t>In U.S. dollars</t>
        </is>
      </c>
      <c r="Y191" s="7839" t="n"/>
      <c r="Z191" s="7839" t="n"/>
      <c r="AA191" s="7839" t="n"/>
      <c r="AB191" s="7839" t="n"/>
      <c r="AC191" s="7839" t="n"/>
      <c r="AD191" s="7839" t="n"/>
      <c r="AE191" s="7839" t="n"/>
      <c r="AF191" s="7839" t="n"/>
      <c r="AG191" s="7839" t="n"/>
      <c r="AH191" s="7839" t="n"/>
      <c r="AI191" s="7839" t="n"/>
      <c r="AJ191" s="7839" t="n"/>
      <c r="AK191" s="7839" t="n"/>
      <c r="AL191" s="7839" t="n"/>
      <c r="AM191" s="7839" t="n"/>
      <c r="AN191" s="7839" t="n"/>
      <c r="AO191" s="7839" t="n"/>
      <c r="AP191" s="1277" t="n"/>
      <c r="AQ191" s="7772" t="n"/>
      <c r="AR191" s="7772" t="n"/>
      <c r="AS191" s="7772" t="n"/>
      <c r="AT191" s="7772" t="n"/>
      <c r="AU191" s="7772" t="n"/>
      <c r="AV191" s="7772" t="n"/>
      <c r="AW191" s="7772" t="n"/>
      <c r="AX191" s="769" t="n"/>
      <c r="AY191" s="964" t="n"/>
      <c r="AZ191" s="964" t="n"/>
      <c r="BA191" s="964" t="n"/>
      <c r="BB191" s="964" t="n"/>
      <c r="BC191" s="964" t="n"/>
      <c r="BD191" s="964" t="n"/>
      <c r="BE191" s="964" t="n"/>
      <c r="BF191" s="964" t="n"/>
      <c r="BG191" s="964" t="n"/>
      <c r="BH191" s="964" t="n"/>
    </row>
    <row r="192" ht="8.25" customHeight="1" s="7635">
      <c r="A192" s="2112" t="n"/>
      <c r="B192" s="7636" t="n"/>
      <c r="C192" s="4174" t="n"/>
      <c r="D192" s="344" t="n"/>
      <c r="E192" s="11602" t="n"/>
      <c r="F192" s="11602" t="n"/>
      <c r="G192" s="409" t="n"/>
      <c r="H192" s="3614" t="n"/>
      <c r="I192" s="7637" t="n"/>
      <c r="J192" s="7637" t="n"/>
      <c r="K192" s="7637" t="n"/>
      <c r="L192" s="7637" t="n"/>
      <c r="M192" s="7637" t="n"/>
      <c r="N192" s="7637" t="n"/>
      <c r="O192" s="7637" t="n"/>
      <c r="P192" s="7637" t="n"/>
      <c r="Q192" s="7637" t="n"/>
      <c r="R192" s="7637" t="n"/>
      <c r="S192" s="7637" t="n"/>
      <c r="T192" s="7637" t="n"/>
      <c r="U192" s="7637" t="n"/>
      <c r="V192" s="7637" t="n"/>
      <c r="W192" s="7638" t="n"/>
      <c r="X192" s="3614" t="n"/>
      <c r="Y192" s="7637" t="n"/>
      <c r="Z192" s="7637" t="n"/>
      <c r="AA192" s="7637" t="n"/>
      <c r="AB192" s="7637" t="n"/>
      <c r="AC192" s="7637" t="n"/>
      <c r="AD192" s="7637" t="n"/>
      <c r="AE192" s="7637" t="n"/>
      <c r="AF192" s="7637" t="n"/>
      <c r="AG192" s="7637" t="n"/>
      <c r="AH192" s="7637" t="n"/>
      <c r="AI192" s="7637" t="n"/>
      <c r="AJ192" s="7637" t="n"/>
      <c r="AK192" s="7637" t="n"/>
      <c r="AL192" s="7637" t="n"/>
      <c r="AM192" s="7637" t="n"/>
      <c r="AN192" s="7637" t="n"/>
      <c r="AO192" s="7637" t="n"/>
      <c r="AP192" s="1277" t="n"/>
      <c r="AQ192" s="11602" t="n"/>
      <c r="AR192" s="11602" t="n"/>
      <c r="AS192" s="11602" t="n"/>
      <c r="AT192" s="11602" t="n"/>
      <c r="AU192" s="11602" t="n"/>
      <c r="AV192" s="11602" t="n"/>
      <c r="AW192" s="11602" t="n"/>
      <c r="AX192" s="769" t="n"/>
      <c r="AY192" s="964" t="n"/>
      <c r="AZ192" s="964" t="n"/>
      <c r="BA192" s="964" t="n"/>
      <c r="BB192" s="964" t="n"/>
      <c r="BC192" s="964" t="n"/>
      <c r="BD192" s="964" t="n"/>
      <c r="BE192" s="964" t="n"/>
      <c r="BF192" s="964" t="n"/>
      <c r="BG192" s="964" t="n"/>
      <c r="BH192" s="964" t="n"/>
    </row>
    <row r="193" ht="12" customHeight="1" s="7635">
      <c r="A193" s="2112" t="n"/>
      <c r="B193" s="7636" t="n"/>
      <c r="C193" s="4170">
        <f>IF(E193&lt;&gt;"",1,0)</f>
        <v/>
      </c>
      <c r="D193" s="733" t="inlineStr">
        <is>
          <t>(k)</t>
        </is>
      </c>
      <c r="E193" s="278" t="n"/>
      <c r="F193" s="7209" t="inlineStr">
        <is>
          <t>Accrued</t>
        </is>
      </c>
      <c r="G193" s="4175" t="n"/>
      <c r="H193" s="12122" t="inlineStr">
        <is>
          <t>Taxes withheld at source on:</t>
        </is>
      </c>
      <c r="I193" s="7839" t="n"/>
      <c r="J193" s="7839" t="n"/>
      <c r="K193" s="7839" t="n"/>
      <c r="L193" s="7839" t="n"/>
      <c r="M193" s="7839" t="n"/>
      <c r="N193" s="7839" t="n"/>
      <c r="O193" s="7839" t="n"/>
      <c r="P193" s="7839" t="n"/>
      <c r="Q193" s="7839" t="n"/>
      <c r="R193" s="7839" t="n"/>
      <c r="S193" s="10091" t="n"/>
      <c r="T193" s="12122" t="inlineStr">
        <is>
          <t>(p) Other
foreign taxes
paid or
accrued</t>
        </is>
      </c>
      <c r="U193" s="7839" t="n"/>
      <c r="V193" s="7839" t="n"/>
      <c r="W193" s="10091" t="n"/>
      <c r="X193" s="12122" t="inlineStr">
        <is>
          <t>Taxes withheld at source on:</t>
        </is>
      </c>
      <c r="Y193" s="7839" t="n"/>
      <c r="Z193" s="7839" t="n"/>
      <c r="AA193" s="7839" t="n"/>
      <c r="AB193" s="7839" t="n"/>
      <c r="AC193" s="7839" t="n"/>
      <c r="AD193" s="7839" t="n"/>
      <c r="AE193" s="7839" t="n"/>
      <c r="AF193" s="7839" t="n"/>
      <c r="AG193" s="7839" t="n"/>
      <c r="AH193" s="10091" t="n"/>
      <c r="AI193" s="12122" t="inlineStr">
        <is>
          <t>(t) Other
foreign taxes
paid or
accrued</t>
        </is>
      </c>
      <c r="AJ193" s="7839" t="n"/>
      <c r="AK193" s="7839" t="n"/>
      <c r="AL193" s="10091" t="n"/>
      <c r="AM193" s="9854" t="inlineStr">
        <is>
          <t>(u) Total foreign
taxes paid or
accrued (add cols.
(q) through (t))</t>
        </is>
      </c>
      <c r="AN193" s="7839" t="n"/>
      <c r="AO193" s="7839" t="n"/>
      <c r="AP193" s="1277" t="n"/>
      <c r="AQ193" s="11602" t="n"/>
      <c r="AR193" s="11602" t="n"/>
      <c r="AS193" s="11602" t="n"/>
      <c r="AT193" s="11602" t="n"/>
      <c r="AU193" s="11602" t="n"/>
      <c r="AV193" s="11602" t="n"/>
      <c r="AW193" s="11602" t="n"/>
      <c r="AX193" s="769" t="n"/>
      <c r="AY193" s="964" t="n"/>
      <c r="AZ193" s="964" t="n"/>
      <c r="BA193" s="964" t="n"/>
      <c r="BB193" s="964" t="n"/>
      <c r="BC193" s="964" t="n"/>
      <c r="BD193" s="964" t="n"/>
      <c r="BE193" s="964" t="n"/>
      <c r="BF193" s="964" t="n"/>
      <c r="BG193" s="964" t="n"/>
      <c r="BH193" s="964" t="n"/>
    </row>
    <row r="194" ht="7.5" customHeight="1" s="7635">
      <c r="A194" s="2112" t="n"/>
      <c r="B194" s="7638" t="n"/>
      <c r="C194" s="4176" t="n"/>
      <c r="D194" s="2271" t="n"/>
      <c r="E194" s="2271" t="n"/>
      <c r="F194" s="2271" t="n"/>
      <c r="G194" s="4177" t="n"/>
      <c r="H194" s="3614" t="n"/>
      <c r="I194" s="7637" t="n"/>
      <c r="J194" s="7637" t="n"/>
      <c r="K194" s="7637" t="n"/>
      <c r="L194" s="7637" t="n"/>
      <c r="M194" s="7637" t="n"/>
      <c r="N194" s="7637" t="n"/>
      <c r="O194" s="7637" t="n"/>
      <c r="P194" s="7637" t="n"/>
      <c r="Q194" s="7637" t="n"/>
      <c r="R194" s="7637" t="n"/>
      <c r="S194" s="7638" t="n"/>
      <c r="T194" s="4772" t="n"/>
      <c r="W194" s="7636" t="n"/>
      <c r="X194" s="3614" t="n"/>
      <c r="Y194" s="7637" t="n"/>
      <c r="Z194" s="7637" t="n"/>
      <c r="AA194" s="7637" t="n"/>
      <c r="AB194" s="7637" t="n"/>
      <c r="AC194" s="7637" t="n"/>
      <c r="AD194" s="7637" t="n"/>
      <c r="AE194" s="7637" t="n"/>
      <c r="AF194" s="7637" t="n"/>
      <c r="AG194" s="7637" t="n"/>
      <c r="AH194" s="7638" t="n"/>
      <c r="AI194" s="4772" t="n"/>
      <c r="AL194" s="7636" t="n"/>
      <c r="AM194" s="4772" t="n"/>
      <c r="AP194" s="1277" t="n"/>
      <c r="AQ194" s="11602" t="n"/>
      <c r="AR194" s="11602" t="n"/>
      <c r="AS194" s="11602" t="n"/>
      <c r="AT194" s="11602" t="n"/>
      <c r="AU194" s="11602" t="n"/>
      <c r="AV194" s="11602" t="n"/>
      <c r="AW194" s="11602" t="n"/>
      <c r="AX194" s="769" t="n"/>
      <c r="AY194" s="964" t="n"/>
      <c r="AZ194" s="964" t="n"/>
      <c r="BA194" s="964" t="n"/>
      <c r="BB194" s="964" t="n"/>
      <c r="BC194" s="964" t="n"/>
      <c r="BD194" s="964" t="n"/>
      <c r="BE194" s="964" t="n"/>
      <c r="BF194" s="964" t="n"/>
      <c r="BG194" s="964" t="n"/>
      <c r="BH194" s="964" t="n"/>
    </row>
    <row r="195" ht="9.75" customHeight="1" s="7635">
      <c r="A195" s="2112" t="n"/>
      <c r="B195" s="4178" t="n"/>
      <c r="C195" s="12269" t="inlineStr">
        <is>
          <t>(l) Date paid</t>
        </is>
      </c>
      <c r="D195" s="7839" t="n"/>
      <c r="E195" s="7839" t="n"/>
      <c r="F195" s="7839" t="n"/>
      <c r="G195" s="10091" t="n"/>
      <c r="H195" s="9854" t="inlineStr">
        <is>
          <t>(m)
Dividends</t>
        </is>
      </c>
      <c r="I195" s="7839" t="n"/>
      <c r="J195" s="7839" t="n"/>
      <c r="K195" s="9854" t="inlineStr">
        <is>
          <t>(n) Rents
and royalties</t>
        </is>
      </c>
      <c r="L195" s="7839" t="n"/>
      <c r="M195" s="7839" t="n"/>
      <c r="N195" s="7839" t="n"/>
      <c r="O195" s="8426" t="inlineStr">
        <is>
          <t>(o) Interest</t>
        </is>
      </c>
      <c r="P195" s="7839" t="n"/>
      <c r="Q195" s="7839" t="n"/>
      <c r="R195" s="7839" t="n"/>
      <c r="S195" s="10091" t="n"/>
      <c r="T195" s="4772" t="n"/>
      <c r="W195" s="7636" t="n"/>
      <c r="X195" s="9854" t="inlineStr">
        <is>
          <t>(q) Dividends</t>
        </is>
      </c>
      <c r="Y195" s="7839" t="n"/>
      <c r="Z195" s="7839" t="n"/>
      <c r="AA195" s="9854" t="inlineStr">
        <is>
          <t>(r) Rents
and royalties</t>
        </is>
      </c>
      <c r="AB195" s="7839" t="n"/>
      <c r="AC195" s="7839" t="n"/>
      <c r="AD195" s="7839" t="n"/>
      <c r="AE195" s="12122" t="inlineStr">
        <is>
          <t>(s) Interest</t>
        </is>
      </c>
      <c r="AF195" s="7839" t="n"/>
      <c r="AG195" s="7839" t="n"/>
      <c r="AH195" s="10091" t="n"/>
      <c r="AI195" s="4772" t="n"/>
      <c r="AL195" s="7636" t="n"/>
      <c r="AM195" s="4772" t="n"/>
      <c r="AP195" s="1277" t="n"/>
      <c r="AQ195" s="11602" t="n"/>
      <c r="AR195" s="11602" t="n"/>
      <c r="AS195" s="11602" t="n"/>
      <c r="AT195" s="11602" t="n"/>
      <c r="AU195" s="11602" t="n"/>
      <c r="AV195" s="11602" t="n"/>
      <c r="AW195" s="11602" t="n"/>
      <c r="AX195" s="769" t="n"/>
      <c r="AY195" s="964" t="n"/>
      <c r="AZ195" s="964" t="n"/>
      <c r="BA195" s="964" t="n"/>
      <c r="BB195" s="964" t="n"/>
      <c r="BC195" s="964" t="n"/>
      <c r="BD195" s="964" t="n"/>
      <c r="BE195" s="964" t="n"/>
      <c r="BF195" s="964" t="n"/>
      <c r="BG195" s="964" t="n"/>
      <c r="BH195" s="964" t="n"/>
    </row>
    <row r="196" ht="6.75" customHeight="1" s="7635">
      <c r="A196" s="2112" t="n"/>
      <c r="B196" s="4178" t="n"/>
      <c r="C196" s="4772" t="n"/>
      <c r="G196" s="7636" t="n"/>
      <c r="H196" s="4772" t="n"/>
      <c r="K196" s="4772" t="n"/>
      <c r="O196" s="4772" t="n"/>
      <c r="S196" s="7636" t="n"/>
      <c r="T196" s="4772" t="n"/>
      <c r="W196" s="7636" t="n"/>
      <c r="X196" s="4772" t="n"/>
      <c r="AA196" s="4772" t="n"/>
      <c r="AE196" s="4772" t="n"/>
      <c r="AH196" s="7636" t="n"/>
      <c r="AI196" s="4772" t="n"/>
      <c r="AL196" s="7636" t="n"/>
      <c r="AM196" s="4772" t="n"/>
      <c r="AP196" s="1277" t="n"/>
      <c r="AQ196" s="11602" t="n"/>
      <c r="AR196" s="11602" t="n"/>
      <c r="AS196" s="11602" t="n"/>
      <c r="AT196" s="11602" t="n"/>
      <c r="AU196" s="11602" t="n"/>
      <c r="AV196" s="11602" t="n"/>
      <c r="AW196" s="11602" t="n"/>
      <c r="AX196" s="769" t="n"/>
      <c r="AY196" s="964" t="n"/>
      <c r="AZ196" s="964" t="n"/>
      <c r="BA196" s="964" t="n"/>
      <c r="BB196" s="964" t="n"/>
      <c r="BC196" s="964" t="n"/>
      <c r="BD196" s="964" t="n"/>
      <c r="BE196" s="964" t="n"/>
      <c r="BF196" s="964" t="n"/>
      <c r="BG196" s="964" t="n"/>
      <c r="BH196" s="964" t="n"/>
    </row>
    <row r="197" ht="12.75" customHeight="1" s="7635">
      <c r="A197" s="2112" t="n"/>
      <c r="B197" s="4178" t="n"/>
      <c r="C197" s="12247" t="inlineStr">
        <is>
          <t>or accrued</t>
        </is>
      </c>
      <c r="G197" s="7636" t="n"/>
      <c r="H197" s="4772" t="n"/>
      <c r="K197" s="4772" t="n"/>
      <c r="O197" s="4772" t="n"/>
      <c r="S197" s="7636" t="n"/>
      <c r="T197" s="4772" t="n"/>
      <c r="W197" s="7636" t="n"/>
      <c r="X197" s="4772" t="n"/>
      <c r="AA197" s="4772" t="n"/>
      <c r="AE197" s="4772" t="n"/>
      <c r="AH197" s="7636" t="n"/>
      <c r="AI197" s="4772" t="n"/>
      <c r="AL197" s="7636" t="n"/>
      <c r="AM197" s="4772" t="n"/>
      <c r="AP197" s="1277" t="n"/>
      <c r="AQ197" s="11602" t="n"/>
      <c r="AR197" s="11602" t="n"/>
      <c r="AS197" s="11602" t="n"/>
      <c r="AT197" s="11602" t="n"/>
      <c r="AU197" s="11602" t="n"/>
      <c r="AV197" s="11602" t="n"/>
      <c r="AW197" s="11602" t="n"/>
      <c r="AX197" s="769" t="n"/>
      <c r="AY197" s="964" t="n"/>
      <c r="AZ197" s="964" t="n"/>
      <c r="BA197" s="964" t="n"/>
      <c r="BB197" s="964" t="n"/>
      <c r="BC197" s="964" t="n"/>
      <c r="BD197" s="964" t="n"/>
      <c r="BE197" s="964" t="n"/>
      <c r="BF197" s="964" t="n"/>
      <c r="BG197" s="964" t="n"/>
      <c r="BH197" s="964" t="n"/>
    </row>
    <row r="198" ht="11.25" customHeight="1" s="7635">
      <c r="A198" s="2112" t="n"/>
      <c r="B198" s="4180" t="n"/>
      <c r="C198" s="4181" t="n"/>
      <c r="D198" s="462" t="n"/>
      <c r="E198" s="462" t="n"/>
      <c r="F198" s="462" t="n"/>
      <c r="G198" s="4182" t="n"/>
      <c r="H198" s="3614" t="n"/>
      <c r="I198" s="7637" t="n"/>
      <c r="J198" s="7637" t="n"/>
      <c r="K198" s="3614" t="n"/>
      <c r="L198" s="7637" t="n"/>
      <c r="M198" s="7637" t="n"/>
      <c r="N198" s="7637" t="n"/>
      <c r="O198" s="12248" t="n"/>
      <c r="P198" s="7637" t="n"/>
      <c r="Q198" s="7637" t="n"/>
      <c r="R198" s="7637" t="n"/>
      <c r="S198" s="7638" t="n"/>
      <c r="T198" s="3614" t="n"/>
      <c r="U198" s="7637" t="n"/>
      <c r="V198" s="7637" t="n"/>
      <c r="W198" s="7638" t="n"/>
      <c r="X198" s="3614" t="n"/>
      <c r="Y198" s="7637" t="n"/>
      <c r="Z198" s="7637" t="n"/>
      <c r="AA198" s="3614" t="n"/>
      <c r="AB198" s="7637" t="n"/>
      <c r="AC198" s="7637" t="n"/>
      <c r="AD198" s="7637" t="n"/>
      <c r="AE198" s="3614" t="n"/>
      <c r="AF198" s="7637" t="n"/>
      <c r="AG198" s="7637" t="n"/>
      <c r="AH198" s="7638" t="n"/>
      <c r="AI198" s="3614" t="n"/>
      <c r="AJ198" s="7637" t="n"/>
      <c r="AK198" s="7637" t="n"/>
      <c r="AL198" s="7638" t="n"/>
      <c r="AM198" s="3614" t="n"/>
      <c r="AN198" s="7637" t="n"/>
      <c r="AO198" s="7637" t="n"/>
      <c r="AP198" s="1277" t="n"/>
      <c r="AQ198" s="11602" t="n"/>
      <c r="AR198" s="11602" t="n"/>
      <c r="AS198" s="11602" t="n"/>
      <c r="AT198" s="11602" t="n"/>
      <c r="AU198" s="11602" t="n"/>
      <c r="AV198" s="11602" t="n"/>
      <c r="AW198" s="11602" t="n"/>
      <c r="AX198" s="769" t="n"/>
      <c r="AY198" s="964" t="n"/>
      <c r="AZ198" s="964" t="n"/>
      <c r="BA198" s="964" t="n"/>
      <c r="BB198" s="964" t="n"/>
      <c r="BC198" s="964" t="n"/>
      <c r="BD198" s="964" t="n"/>
      <c r="BE198" s="964" t="n"/>
      <c r="BF198" s="964" t="n"/>
      <c r="BG198" s="964" t="n"/>
      <c r="BH198" s="964" t="n"/>
    </row>
    <row r="199" ht="15" customHeight="1" s="7635">
      <c r="A199" s="4183">
        <f>SUM(X199:AL199)</f>
        <v/>
      </c>
      <c r="B199" s="4184" t="inlineStr">
        <is>
          <t>A</t>
        </is>
      </c>
      <c r="C199" s="9037" t="n"/>
      <c r="D199" s="8007" t="n"/>
      <c r="E199" s="8007" t="n"/>
      <c r="F199" s="8007" t="n"/>
      <c r="G199" s="8007" t="n"/>
      <c r="H199" s="12249" t="n"/>
      <c r="I199" s="8007" t="n"/>
      <c r="J199" s="8008" t="n"/>
      <c r="K199" s="8985" t="n"/>
      <c r="L199" s="8007" t="n"/>
      <c r="M199" s="8007" t="n"/>
      <c r="N199" s="8007" t="n"/>
      <c r="O199" s="12249" t="n"/>
      <c r="P199" s="8007" t="n"/>
      <c r="Q199" s="8007" t="n"/>
      <c r="R199" s="8007" t="n"/>
      <c r="S199" s="8008" t="n"/>
      <c r="T199" s="12249" t="n"/>
      <c r="U199" s="8007" t="n"/>
      <c r="V199" s="8007" t="n"/>
      <c r="W199" s="8008" t="n"/>
      <c r="X199" s="12249" t="n"/>
      <c r="Y199" s="8007" t="n"/>
      <c r="Z199" s="8008" t="n"/>
      <c r="AA199" s="8986" t="n"/>
      <c r="AB199" s="8007" t="n"/>
      <c r="AC199" s="8007" t="n"/>
      <c r="AD199" s="8008" t="n"/>
      <c r="AE199" s="12249" t="n"/>
      <c r="AF199" s="8007" t="n"/>
      <c r="AG199" s="8007" t="n"/>
      <c r="AH199" s="8008" t="n"/>
      <c r="AI199" s="12249" t="n"/>
      <c r="AJ199" s="8007" t="n"/>
      <c r="AK199" s="8007" t="n"/>
      <c r="AL199" s="8008" t="n"/>
      <c r="AM199" s="8987">
        <f>ROUND(SUM(X199:AL199),0)</f>
        <v/>
      </c>
      <c r="AN199" s="8412" t="n"/>
      <c r="AO199" s="8412" t="n"/>
      <c r="AP199" s="1277" t="n"/>
      <c r="AQ199" s="11602" t="n"/>
      <c r="AR199" s="11602" t="n"/>
      <c r="AS199" s="11602" t="n"/>
      <c r="AT199" s="11602" t="n"/>
      <c r="AU199" s="11602" t="n"/>
      <c r="AV199" s="11602" t="n"/>
      <c r="AW199" s="11602" t="n"/>
      <c r="AX199" s="769" t="n"/>
      <c r="AY199" s="964" t="n"/>
      <c r="AZ199" s="964" t="n"/>
      <c r="BA199" s="964" t="n"/>
      <c r="BB199" s="964" t="n"/>
      <c r="BC199" s="964" t="n"/>
      <c r="BD199" s="964" t="n"/>
      <c r="BE199" s="964" t="n"/>
      <c r="BF199" s="964" t="n"/>
      <c r="BG199" s="964" t="n"/>
      <c r="BH199" s="964" t="n"/>
    </row>
    <row r="200" ht="15.75" customHeight="1" s="7635">
      <c r="A200" s="4183">
        <f>SUM(X200:AL200)</f>
        <v/>
      </c>
      <c r="B200" s="4184" t="inlineStr">
        <is>
          <t>B</t>
        </is>
      </c>
      <c r="C200" s="9037" t="n"/>
      <c r="D200" s="8007" t="n"/>
      <c r="E200" s="8007" t="n"/>
      <c r="F200" s="8007" t="n"/>
      <c r="G200" s="8007" t="n"/>
      <c r="H200" s="12249" t="n"/>
      <c r="I200" s="8007" t="n"/>
      <c r="J200" s="8008" t="n"/>
      <c r="K200" s="8985" t="n"/>
      <c r="L200" s="8007" t="n"/>
      <c r="M200" s="8007" t="n"/>
      <c r="N200" s="8007" t="n"/>
      <c r="O200" s="12249" t="n"/>
      <c r="P200" s="8007" t="n"/>
      <c r="Q200" s="8007" t="n"/>
      <c r="R200" s="8007" t="n"/>
      <c r="S200" s="8008" t="n"/>
      <c r="T200" s="12249" t="n"/>
      <c r="U200" s="8007" t="n"/>
      <c r="V200" s="8007" t="n"/>
      <c r="W200" s="8008" t="n"/>
      <c r="X200" s="12249" t="n"/>
      <c r="Y200" s="8007" t="n"/>
      <c r="Z200" s="8008" t="n"/>
      <c r="AA200" s="8986" t="n"/>
      <c r="AB200" s="8007" t="n"/>
      <c r="AC200" s="8007" t="n"/>
      <c r="AD200" s="8008" t="n"/>
      <c r="AE200" s="12249" t="n"/>
      <c r="AF200" s="8007" t="n"/>
      <c r="AG200" s="8007" t="n"/>
      <c r="AH200" s="8008" t="n"/>
      <c r="AI200" s="12249" t="n"/>
      <c r="AJ200" s="8007" t="n"/>
      <c r="AK200" s="8007" t="n"/>
      <c r="AL200" s="8008" t="n"/>
      <c r="AM200" s="8987">
        <f>ROUND(SUM(X200:AL200),0)</f>
        <v/>
      </c>
      <c r="AN200" s="8412" t="n"/>
      <c r="AO200" s="8412" t="n"/>
      <c r="AP200" s="1277" t="n"/>
      <c r="AQ200" s="11602" t="n"/>
      <c r="AR200" s="11602" t="n"/>
      <c r="AS200" s="11602" t="n"/>
      <c r="AT200" s="11602" t="n"/>
      <c r="AU200" s="11602" t="n"/>
      <c r="AV200" s="11602" t="n"/>
      <c r="AW200" s="11602" t="n"/>
      <c r="AX200" s="769" t="n"/>
      <c r="AY200" s="964" t="n"/>
      <c r="AZ200" s="964" t="n"/>
      <c r="BA200" s="964" t="n"/>
      <c r="BB200" s="964" t="n"/>
      <c r="BC200" s="964" t="n"/>
      <c r="BD200" s="964" t="n"/>
      <c r="BE200" s="964" t="n"/>
      <c r="BF200" s="964" t="n"/>
      <c r="BG200" s="964" t="n"/>
      <c r="BH200" s="964" t="n"/>
    </row>
    <row r="201" ht="15" customHeight="1" s="7635">
      <c r="A201" s="4183">
        <f>SUM(X201:AL201)</f>
        <v/>
      </c>
      <c r="B201" s="4184" t="inlineStr">
        <is>
          <t>C</t>
        </is>
      </c>
      <c r="C201" s="9037" t="n"/>
      <c r="D201" s="8007" t="n"/>
      <c r="E201" s="8007" t="n"/>
      <c r="F201" s="8007" t="n"/>
      <c r="G201" s="8007" t="n"/>
      <c r="H201" s="12249" t="n"/>
      <c r="I201" s="8007" t="n"/>
      <c r="J201" s="8008" t="n"/>
      <c r="K201" s="8985" t="n"/>
      <c r="L201" s="8007" t="n"/>
      <c r="M201" s="8007" t="n"/>
      <c r="N201" s="8007" t="n"/>
      <c r="O201" s="12249" t="n"/>
      <c r="P201" s="8007" t="n"/>
      <c r="Q201" s="8007" t="n"/>
      <c r="R201" s="8007" t="n"/>
      <c r="S201" s="8008" t="n"/>
      <c r="T201" s="12249" t="n"/>
      <c r="U201" s="8007" t="n"/>
      <c r="V201" s="8007" t="n"/>
      <c r="W201" s="8008" t="n"/>
      <c r="X201" s="12249" t="n"/>
      <c r="Y201" s="8007" t="n"/>
      <c r="Z201" s="8008" t="n"/>
      <c r="AA201" s="8986" t="n"/>
      <c r="AB201" s="8007" t="n"/>
      <c r="AC201" s="8007" t="n"/>
      <c r="AD201" s="8008" t="n"/>
      <c r="AE201" s="12249" t="n"/>
      <c r="AF201" s="8007" t="n"/>
      <c r="AG201" s="8007" t="n"/>
      <c r="AH201" s="8008" t="n"/>
      <c r="AI201" s="12249" t="n"/>
      <c r="AJ201" s="8007" t="n"/>
      <c r="AK201" s="8007" t="n"/>
      <c r="AL201" s="8008" t="n"/>
      <c r="AM201" s="8987">
        <f>ROUND(SUM(X201:AL201),0)</f>
        <v/>
      </c>
      <c r="AN201" s="8412" t="n"/>
      <c r="AO201" s="8412" t="n"/>
      <c r="AP201" s="1277" t="n"/>
      <c r="AQ201" s="1277" t="n"/>
      <c r="AR201" s="1277" t="n"/>
      <c r="AS201" s="1277" t="n"/>
      <c r="AT201" s="1277" t="n"/>
      <c r="AU201" s="1277" t="n"/>
      <c r="AV201" s="11602" t="n"/>
      <c r="AW201" s="11602" t="n"/>
      <c r="AX201" s="769" t="n"/>
      <c r="AY201" s="964" t="n"/>
      <c r="AZ201" s="964" t="n"/>
      <c r="BA201" s="964" t="n"/>
      <c r="BB201" s="964" t="n"/>
      <c r="BC201" s="964" t="n"/>
      <c r="BD201" s="964" t="n"/>
      <c r="BE201" s="964" t="n"/>
      <c r="BF201" s="964" t="n"/>
      <c r="BG201" s="964" t="n"/>
      <c r="BH201" s="964" t="n"/>
    </row>
    <row r="202" ht="15" customHeight="1" s="7635">
      <c r="A202" s="4185">
        <f>SUM(A199:A201)&gt;0</f>
        <v/>
      </c>
      <c r="B202" s="9095" t="n">
        <v>8</v>
      </c>
      <c r="C202" s="8412" t="n"/>
      <c r="D202" s="4186" t="inlineStr">
        <is>
          <t>Add lines A through C, column (s). Enter the total here and on line 9, page 2</t>
        </is>
      </c>
      <c r="E202" s="773" t="n"/>
      <c r="F202" s="773" t="n"/>
      <c r="G202" s="773" t="n"/>
      <c r="H202" s="773" t="n"/>
      <c r="I202" s="773" t="n"/>
      <c r="J202" s="773" t="n"/>
      <c r="K202" s="773" t="n"/>
      <c r="L202" s="773" t="n"/>
      <c r="M202" s="773" t="n"/>
      <c r="N202" s="773" t="n"/>
      <c r="O202" s="773" t="n"/>
      <c r="P202" s="773" t="n"/>
      <c r="Q202" s="773" t="n"/>
      <c r="R202" s="773" t="n"/>
      <c r="S202" s="773" t="n"/>
      <c r="T202" s="773" t="n"/>
      <c r="U202" s="773" t="n"/>
      <c r="V202" s="773" t="n"/>
      <c r="W202" s="773" t="n"/>
      <c r="X202" s="773" t="n"/>
      <c r="Y202" s="773" t="n"/>
      <c r="Z202" s="773" t="n"/>
      <c r="AA202" s="773" t="n"/>
      <c r="AB202" s="773" t="n"/>
      <c r="AC202" s="773" t="n"/>
      <c r="AD202" s="773" t="n"/>
      <c r="AE202" s="773" t="n"/>
      <c r="AF202" s="773" t="n"/>
      <c r="AG202" s="773" t="n"/>
      <c r="AH202" s="773" t="n"/>
      <c r="AI202" s="773" t="n"/>
      <c r="AJ202" s="4187" t="inlineStr">
        <is>
          <t xml:space="preserve">.   .   .   .   .   .   .   .   .  </t>
        </is>
      </c>
      <c r="AK202" s="12110" t="n">
        <v>8</v>
      </c>
      <c r="AL202" s="11734" t="n"/>
      <c r="AM202" s="9071">
        <f>IF(AQ202&lt;&gt;"",ROUND(AQ202,0),ROUND(SUM(AM199:AO201),0))</f>
        <v/>
      </c>
      <c r="AN202" s="8412" t="n"/>
      <c r="AO202" s="8412" t="n"/>
      <c r="AP202" s="1277" t="n"/>
      <c r="AQ202" s="8959" t="n"/>
      <c r="AR202" s="11717" t="n"/>
      <c r="AS202" s="11717" t="n"/>
      <c r="AT202" s="11717" t="n"/>
      <c r="AU202" s="1277" t="n"/>
      <c r="AV202" s="11602" t="n"/>
      <c r="AW202" s="11602" t="n"/>
      <c r="AX202" s="769" t="n"/>
      <c r="AY202" s="964" t="n"/>
      <c r="AZ202" s="964" t="n"/>
      <c r="BA202" s="964" t="n"/>
      <c r="BB202" s="964" t="n"/>
      <c r="BC202" s="964" t="n"/>
      <c r="BD202" s="964" t="n"/>
      <c r="BE202" s="964" t="n"/>
      <c r="BF202" s="964" t="n"/>
      <c r="BG202" s="964" t="n"/>
      <c r="BH202" s="964" t="n"/>
    </row>
    <row r="203" ht="15" customHeight="1" s="7635">
      <c r="A203" s="2112" t="n"/>
      <c r="B203" s="1218" t="inlineStr">
        <is>
          <t>For Paperwork Reduction Act Notice, see instructions.</t>
        </is>
      </c>
      <c r="C203" s="2373" t="n"/>
      <c r="D203" s="11602" t="n"/>
      <c r="E203" s="11602" t="n"/>
      <c r="F203" s="11602" t="n"/>
      <c r="G203" s="11602" t="n"/>
      <c r="H203" s="11602" t="n"/>
      <c r="I203" s="11602" t="n"/>
      <c r="J203" s="11602" t="n"/>
      <c r="K203" s="11602" t="n"/>
      <c r="L203" s="11602" t="n"/>
      <c r="M203" s="11602" t="n"/>
      <c r="N203" s="11602" t="n"/>
      <c r="O203" s="11602" t="n"/>
      <c r="P203" s="11602" t="n"/>
      <c r="Q203" s="11602" t="n"/>
      <c r="R203" s="11602" t="n"/>
      <c r="S203" s="11602" t="n"/>
      <c r="T203" s="11602" t="n"/>
      <c r="U203" s="11602" t="n"/>
      <c r="V203" s="11602" t="n"/>
      <c r="W203" s="11602" t="n"/>
      <c r="X203" s="344" t="inlineStr">
        <is>
          <t>Cat. No. 11440U</t>
        </is>
      </c>
      <c r="Y203" s="11602" t="n"/>
      <c r="Z203" s="11602" t="n"/>
      <c r="AA203" s="11602" t="n"/>
      <c r="AB203" s="11602" t="n"/>
      <c r="AC203" s="11602" t="n"/>
      <c r="AD203" s="11602" t="n"/>
      <c r="AE203" s="11602" t="n"/>
      <c r="AF203" s="11602" t="n"/>
      <c r="AG203" s="11602" t="n"/>
      <c r="AH203" s="11602" t="n"/>
      <c r="AI203" s="11602" t="n"/>
      <c r="AJ203" s="11602" t="n"/>
      <c r="AK203" s="1061" t="inlineStr">
        <is>
          <t>Form 1116</t>
        </is>
      </c>
      <c r="AL203" s="11602" t="n"/>
      <c r="AM203" s="6996">
        <f>"("&amp;TaxYear&amp;")"</f>
        <v/>
      </c>
      <c r="AN203" s="1061" t="n"/>
      <c r="AO203" s="689" t="inlineStr">
        <is>
          <t xml:space="preserve">Created 9/16/25 </t>
        </is>
      </c>
      <c r="AP203" s="1277" t="n"/>
      <c r="AQ203" s="1277" t="n"/>
      <c r="AR203" s="1277" t="n"/>
      <c r="AS203" s="1277" t="n"/>
      <c r="AT203" s="1277" t="n"/>
      <c r="AU203" s="1277" t="n"/>
      <c r="AV203" s="11602" t="n"/>
      <c r="AW203" s="11602" t="n"/>
      <c r="AX203" s="769" t="n"/>
      <c r="AY203" s="964" t="n"/>
      <c r="AZ203" s="964" t="n"/>
      <c r="BA203" s="964" t="n"/>
      <c r="BB203" s="964" t="n"/>
      <c r="BC203" s="964" t="n"/>
      <c r="BD203" s="964" t="n"/>
      <c r="BE203" s="964" t="n"/>
      <c r="BF203" s="964" t="n"/>
      <c r="BG203" s="964" t="n"/>
      <c r="BH203" s="964" t="n"/>
    </row>
    <row r="204" ht="16.5" customFormat="1" customHeight="1" s="1405" thickBot="1">
      <c r="A204" s="2112" t="n"/>
      <c r="B204" s="7299">
        <f>"Form 1116 ("&amp;TaxYear&amp;")"</f>
        <v/>
      </c>
      <c r="C204" s="11602" t="n"/>
      <c r="D204" s="11602" t="n"/>
      <c r="E204" s="11602" t="n"/>
      <c r="F204" s="11602" t="n"/>
      <c r="G204" s="11602" t="n"/>
      <c r="H204" s="11602" t="n"/>
      <c r="I204" s="11602" t="n"/>
      <c r="J204" s="11602" t="n"/>
      <c r="K204" s="11602" t="n"/>
      <c r="L204" s="11602" t="n"/>
      <c r="M204" s="11602" t="n"/>
      <c r="N204" s="11602" t="n"/>
      <c r="O204" s="11602" t="n"/>
      <c r="P204" s="11602" t="n"/>
      <c r="Q204" s="11602" t="n"/>
      <c r="R204" s="11602" t="n"/>
      <c r="S204" s="11602" t="n"/>
      <c r="T204" s="11602" t="n"/>
      <c r="U204" s="11602" t="n"/>
      <c r="V204" s="11602" t="n"/>
      <c r="W204" s="11602" t="n"/>
      <c r="X204" s="11602" t="n"/>
      <c r="Y204" s="11602" t="n"/>
      <c r="Z204" s="11602" t="n"/>
      <c r="AA204" s="11602" t="n"/>
      <c r="AB204" s="11602" t="n"/>
      <c r="AC204" s="11602" t="n"/>
      <c r="AD204" s="11602" t="n"/>
      <c r="AE204" s="11602" t="n"/>
      <c r="AF204" s="11602" t="n"/>
      <c r="AG204" s="11602" t="n"/>
      <c r="AH204" s="11602" t="n"/>
      <c r="AI204" s="11602" t="n"/>
      <c r="AJ204" s="11602" t="n"/>
      <c r="AK204" s="11602" t="n"/>
      <c r="AL204" s="11602" t="n"/>
      <c r="AM204" s="11602" t="n"/>
      <c r="AN204" s="11602" t="n"/>
      <c r="AO204" s="1061" t="inlineStr">
        <is>
          <t>Page 2</t>
        </is>
      </c>
      <c r="AP204" s="1277" t="n"/>
      <c r="AQ204" s="11602" t="n"/>
      <c r="AR204" s="11602" t="n"/>
      <c r="AS204" s="11602" t="n"/>
      <c r="AT204" s="11602" t="n"/>
      <c r="AU204" s="11602" t="n"/>
      <c r="AV204" s="11602" t="n"/>
      <c r="AW204" s="11602" t="n"/>
      <c r="AX204" s="769" t="n"/>
      <c r="AY204" s="964" t="n"/>
      <c r="AZ204" s="964" t="n"/>
      <c r="BA204" s="964" t="n"/>
      <c r="BB204" s="964" t="n"/>
      <c r="BC204" s="964" t="n"/>
      <c r="BD204" s="964" t="n"/>
      <c r="BE204" s="964" t="n"/>
      <c r="BF204" s="964" t="n"/>
      <c r="BG204" s="964" t="n"/>
      <c r="BH204" s="964" t="n"/>
    </row>
    <row r="205" ht="15.75" customHeight="1" s="7635" thickTop="1">
      <c r="A205" s="4157" t="n"/>
      <c r="B205" s="9078" t="inlineStr">
        <is>
          <t>Part III</t>
        </is>
      </c>
      <c r="C205" s="11713" t="n"/>
      <c r="D205" s="11713" t="n"/>
      <c r="E205" s="4211" t="n"/>
      <c r="F205" s="4212" t="inlineStr">
        <is>
          <t>Figuring the Credit</t>
        </is>
      </c>
      <c r="G205" s="4211" t="n"/>
      <c r="H205" s="4211" t="n"/>
      <c r="I205" s="4211" t="n"/>
      <c r="J205" s="4211" t="n"/>
      <c r="K205" s="4211" t="n"/>
      <c r="L205" s="4211" t="n"/>
      <c r="M205" s="4211" t="n"/>
      <c r="N205" s="4211" t="n"/>
      <c r="O205" s="4211" t="n"/>
      <c r="P205" s="4211" t="n"/>
      <c r="Q205" s="4211" t="n"/>
      <c r="R205" s="4211" t="n"/>
      <c r="S205" s="4211" t="n"/>
      <c r="T205" s="4211" t="n"/>
      <c r="U205" s="4211" t="n"/>
      <c r="V205" s="4211" t="n"/>
      <c r="W205" s="4211" t="n"/>
      <c r="X205" s="4211" t="n"/>
      <c r="Y205" s="4211" t="n"/>
      <c r="Z205" s="4211" t="n"/>
      <c r="AA205" s="4211" t="n"/>
      <c r="AB205" s="4211" t="n"/>
      <c r="AC205" s="4211" t="n"/>
      <c r="AD205" s="4211" t="n"/>
      <c r="AE205" s="4211" t="n"/>
      <c r="AF205" s="4211" t="n"/>
      <c r="AG205" s="4211" t="n"/>
      <c r="AH205" s="4211" t="n"/>
      <c r="AI205" s="4211" t="n"/>
      <c r="AJ205" s="4211" t="n"/>
      <c r="AK205" s="4211" t="n"/>
      <c r="AL205" s="4211" t="n"/>
      <c r="AM205" s="4211" t="n"/>
      <c r="AN205" s="4211" t="n"/>
      <c r="AO205" s="4211" t="n"/>
      <c r="AP205" s="1277" t="n"/>
      <c r="AQ205" s="7772" t="n"/>
      <c r="AR205" s="7772" t="n"/>
      <c r="AS205" s="7772" t="n"/>
      <c r="AT205" s="7772" t="n"/>
      <c r="AU205" s="7772" t="n"/>
      <c r="AV205" s="7772" t="n"/>
      <c r="AW205" s="7772" t="n"/>
      <c r="AX205" s="769" t="n"/>
      <c r="AY205" s="964" t="n"/>
      <c r="AZ205" s="964" t="n"/>
      <c r="BA205" s="964" t="n"/>
      <c r="BB205" s="964" t="n"/>
      <c r="BC205" s="964" t="n"/>
      <c r="BD205" s="964" t="n"/>
      <c r="BE205" s="964" t="n"/>
      <c r="BF205" s="964" t="n"/>
      <c r="BG205" s="964" t="n"/>
      <c r="BH205" s="964" t="n"/>
    </row>
    <row r="206" ht="15" customHeight="1" s="7635">
      <c r="A206" s="2112" t="n"/>
      <c r="B206" s="9080" t="n">
        <v>9</v>
      </c>
      <c r="C206" s="7839" t="n"/>
      <c r="D206" s="11602" t="inlineStr">
        <is>
          <t>Enter the amount from line 8. These are your total foreign taxes paid</t>
        </is>
      </c>
      <c r="E206" s="11602" t="n"/>
      <c r="F206" s="8650" t="n"/>
      <c r="G206" s="11602" t="n"/>
      <c r="H206" s="11602" t="n"/>
      <c r="I206" s="11602" t="n"/>
      <c r="J206" s="11602" t="n"/>
      <c r="K206" s="11602" t="n"/>
      <c r="L206" s="11602" t="n"/>
      <c r="M206" s="11602" t="n"/>
      <c r="N206" s="11602" t="n"/>
      <c r="O206" s="11602" t="n"/>
      <c r="P206" s="11602" t="n"/>
      <c r="Q206" s="11602" t="n"/>
      <c r="R206" s="11602" t="n"/>
      <c r="S206" s="11602" t="n"/>
      <c r="T206" s="11602" t="n"/>
      <c r="U206" s="11602" t="n"/>
      <c r="V206" s="11602" t="n"/>
      <c r="W206" s="11602" t="n"/>
      <c r="X206" s="11602" t="n"/>
      <c r="Y206" s="11602" t="n"/>
      <c r="Z206" s="2898" t="n"/>
      <c r="AA206" s="10091" t="n"/>
      <c r="AB206" s="405" t="n"/>
      <c r="AC206" s="406" t="n"/>
      <c r="AD206" s="406" t="n"/>
      <c r="AE206" s="406" t="n"/>
      <c r="AF206" s="406" t="n"/>
      <c r="AG206" s="406" t="n"/>
      <c r="AH206" s="406" t="n"/>
      <c r="AI206" s="407" t="n"/>
      <c r="AJ206" s="8967" t="n"/>
      <c r="AL206" s="405" t="n"/>
      <c r="AM206" s="406" t="n"/>
      <c r="AN206" s="406" t="n"/>
      <c r="AO206" s="406" t="n"/>
      <c r="AP206" s="1277" t="n"/>
      <c r="AQ206" s="11602" t="n"/>
      <c r="AR206" s="11602" t="n"/>
      <c r="AS206" s="11602" t="n"/>
      <c r="AT206" s="11602" t="n"/>
      <c r="AU206" s="11602" t="n"/>
      <c r="AV206" s="11602" t="n"/>
      <c r="AW206" s="11602" t="n"/>
      <c r="AX206" s="769" t="n"/>
      <c r="AY206" s="964" t="n"/>
      <c r="AZ206" s="964" t="n"/>
      <c r="BA206" s="964" t="n"/>
      <c r="BB206" s="964" t="n"/>
      <c r="BC206" s="964" t="n"/>
      <c r="BD206" s="964" t="n"/>
      <c r="BE206" s="964" t="n"/>
      <c r="BF206" s="964" t="n"/>
      <c r="BG206" s="964" t="n"/>
      <c r="BH206" s="964" t="n"/>
    </row>
    <row r="207" ht="15.75" customHeight="1" s="7635">
      <c r="A207" s="2112" t="n"/>
      <c r="B207" s="11602" t="n"/>
      <c r="C207" s="11602" t="n"/>
      <c r="D207" s="11602" t="inlineStr">
        <is>
          <t>or accrued for the category of income checked above Part I</t>
        </is>
      </c>
      <c r="E207" s="11602" t="n"/>
      <c r="F207" s="8650" t="n"/>
      <c r="G207" s="11602" t="n"/>
      <c r="H207" s="11602" t="n"/>
      <c r="I207" s="11602" t="n"/>
      <c r="J207" s="11602" t="n"/>
      <c r="K207" s="11602" t="n"/>
      <c r="L207" s="11602" t="n"/>
      <c r="M207" s="11602" t="n"/>
      <c r="N207" s="11602" t="n"/>
      <c r="O207" s="11602" t="n"/>
      <c r="P207" s="11602" t="n"/>
      <c r="Q207" s="11602" t="n"/>
      <c r="R207" s="11602" t="n"/>
      <c r="S207" s="11602" t="n"/>
      <c r="T207" s="11602" t="n"/>
      <c r="U207" s="11602" t="n"/>
      <c r="V207" s="11602" t="n"/>
      <c r="W207" s="11602" t="n"/>
      <c r="X207" s="11602" t="n"/>
      <c r="Y207" s="11602" t="n"/>
      <c r="Z207" s="2895" t="n">
        <v>9</v>
      </c>
      <c r="AA207" s="7638" t="n"/>
      <c r="AB207" s="12250">
        <f>AM202</f>
        <v/>
      </c>
      <c r="AC207" s="7637" t="n"/>
      <c r="AD207" s="7637" t="n"/>
      <c r="AE207" s="7637" t="n"/>
      <c r="AF207" s="7637" t="n"/>
      <c r="AG207" s="7637" t="n"/>
      <c r="AH207" s="7637" t="n"/>
      <c r="AI207" s="7638" t="n"/>
      <c r="AJ207" s="8967" t="n"/>
      <c r="AL207" s="408" t="n"/>
      <c r="AM207" s="11602" t="n"/>
      <c r="AN207" s="11602" t="n"/>
      <c r="AO207" s="11602" t="n"/>
      <c r="AP207" s="1277" t="n"/>
      <c r="AQ207" s="11602" t="n"/>
      <c r="AR207" s="11602" t="n"/>
      <c r="AS207" s="11602" t="n"/>
      <c r="AT207" s="11602" t="n"/>
      <c r="AU207" s="11602" t="n"/>
      <c r="AV207" s="11602" t="n"/>
      <c r="AW207" s="11602" t="n"/>
      <c r="AX207" s="769" t="n"/>
      <c r="AY207" s="964" t="n"/>
      <c r="AZ207" s="964" t="n"/>
      <c r="BA207" s="964" t="n"/>
      <c r="BB207" s="964" t="n"/>
      <c r="BC207" s="964" t="n"/>
      <c r="BD207" s="964" t="n"/>
      <c r="BE207" s="964" t="n"/>
      <c r="BF207" s="964" t="n"/>
      <c r="BG207" s="964" t="n"/>
      <c r="BH207" s="964" t="n"/>
    </row>
    <row r="208" ht="13.5" customHeight="1" s="7635">
      <c r="A208" s="2112" t="n"/>
      <c r="B208" s="8966" t="n">
        <v>10</v>
      </c>
      <c r="D208" s="344" t="inlineStr">
        <is>
          <t>Enter the sum of any carryover of foreign taxes (from Schedule B,</t>
        </is>
      </c>
      <c r="E208" s="11602" t="n"/>
      <c r="F208" s="8650" t="n"/>
      <c r="G208" s="11602" t="n"/>
      <c r="H208" s="11602" t="n"/>
      <c r="I208" s="11602" t="n"/>
      <c r="J208" s="11602" t="n"/>
      <c r="K208" s="11602" t="n"/>
      <c r="L208" s="11602" t="n"/>
      <c r="M208" s="11602" t="n"/>
      <c r="N208" s="11602" t="n"/>
      <c r="O208" s="11602" t="n"/>
      <c r="P208" s="11602" t="n"/>
      <c r="Q208" s="11602" t="n"/>
      <c r="R208" s="11602" t="n"/>
      <c r="S208" s="11602" t="n"/>
      <c r="T208" s="11602" t="n"/>
      <c r="U208" s="11602" t="n"/>
      <c r="V208" s="11602" t="n"/>
      <c r="W208" s="11602" t="n"/>
      <c r="X208" s="11602" t="n"/>
      <c r="Y208" s="11602" t="n"/>
      <c r="Z208" s="2898" t="n"/>
      <c r="AA208" s="10091" t="n"/>
      <c r="AB208" s="405" t="n"/>
      <c r="AC208" s="406" t="n"/>
      <c r="AD208" s="406" t="n"/>
      <c r="AE208" s="406" t="n"/>
      <c r="AF208" s="406" t="n"/>
      <c r="AG208" s="406" t="n"/>
      <c r="AH208" s="406" t="n"/>
      <c r="AI208" s="407" t="n"/>
      <c r="AJ208" s="8967" t="n"/>
      <c r="AL208" s="408" t="n"/>
      <c r="AM208" s="11602" t="n"/>
      <c r="AN208" s="11602" t="n"/>
      <c r="AO208" s="11602" t="n"/>
      <c r="AP208" s="1277" t="n"/>
      <c r="AQ208" s="7772" t="n"/>
      <c r="AR208" s="7772" t="n"/>
      <c r="AS208" s="7772" t="n"/>
      <c r="AT208" s="7772" t="n"/>
      <c r="AU208" s="7772" t="n"/>
      <c r="AV208" s="11602" t="n"/>
      <c r="AW208" s="11602" t="n"/>
      <c r="AX208" s="769" t="n"/>
      <c r="AY208" s="964" t="n"/>
      <c r="AZ208" s="964" t="n"/>
      <c r="BA208" s="964" t="n"/>
      <c r="BB208" s="964" t="n"/>
      <c r="BC208" s="964" t="n"/>
      <c r="BD208" s="964" t="n"/>
      <c r="BE208" s="964" t="n"/>
      <c r="BF208" s="964" t="n"/>
      <c r="BG208" s="964" t="n"/>
      <c r="BH208" s="964" t="n"/>
    </row>
    <row r="209" ht="13.5" customHeight="1" s="7635">
      <c r="A209" s="2112" t="n"/>
      <c r="B209" s="8966" t="n"/>
      <c r="D209" s="344" t="inlineStr">
        <is>
          <t>line 3, column (xiv)) plus any carrybacks to the current tax year. If</t>
        </is>
      </c>
      <c r="E209" s="11602" t="n"/>
      <c r="F209" s="8650" t="n"/>
      <c r="G209" s="11602" t="n"/>
      <c r="H209" s="11602" t="n"/>
      <c r="I209" s="11602" t="n"/>
      <c r="J209" s="11602" t="n"/>
      <c r="K209" s="11602" t="n"/>
      <c r="L209" s="11602" t="n"/>
      <c r="M209" s="11602" t="n"/>
      <c r="N209" s="11602" t="n"/>
      <c r="O209" s="11602" t="n"/>
      <c r="P209" s="11602" t="n"/>
      <c r="Q209" s="11602" t="n"/>
      <c r="R209" s="11602" t="n"/>
      <c r="S209" s="11602" t="n"/>
      <c r="T209" s="11602" t="n"/>
      <c r="U209" s="11602" t="n"/>
      <c r="V209" s="11602" t="n"/>
      <c r="W209" s="11602" t="n"/>
      <c r="X209" s="11602" t="n"/>
      <c r="Y209" s="1401" t="n"/>
      <c r="Z209" s="2921" t="n"/>
      <c r="AA209" s="7636" t="n"/>
      <c r="AB209" s="408" t="n"/>
      <c r="AC209" s="11602" t="n"/>
      <c r="AD209" s="11602" t="n"/>
      <c r="AE209" s="11602" t="n"/>
      <c r="AF209" s="11602" t="n"/>
      <c r="AG209" s="11602" t="n"/>
      <c r="AH209" s="11602" t="n"/>
      <c r="AI209" s="409" t="n"/>
      <c r="AJ209" s="8967" t="n"/>
      <c r="AL209" s="408" t="n"/>
      <c r="AM209" s="11602" t="n"/>
      <c r="AN209" s="11602" t="n"/>
      <c r="AO209" s="11602" t="n"/>
      <c r="AP209" s="1277" t="n"/>
      <c r="AQ209" s="11602" t="n"/>
      <c r="AR209" s="11602" t="n"/>
      <c r="AS209" s="11602" t="n"/>
      <c r="AT209" s="11602" t="n"/>
      <c r="AU209" s="11602" t="n"/>
      <c r="AV209" s="11602" t="n"/>
      <c r="AW209" s="11602" t="n"/>
      <c r="AX209" s="769" t="n"/>
      <c r="AY209" s="964" t="n"/>
      <c r="AZ209" s="964" t="n"/>
      <c r="BA209" s="964" t="n"/>
      <c r="BB209" s="964" t="n"/>
      <c r="BC209" s="964" t="n"/>
      <c r="BD209" s="964" t="n"/>
      <c r="BE209" s="964" t="n"/>
      <c r="BF209" s="964" t="n"/>
      <c r="BG209" s="964" t="n"/>
      <c r="BH209" s="964" t="n"/>
    </row>
    <row r="210" ht="15" customHeight="1" s="7635">
      <c r="A210" s="2112" t="n"/>
      <c r="B210" s="8966" t="n"/>
      <c r="C210" s="8966" t="n"/>
      <c r="D210" s="344" t="inlineStr">
        <is>
          <t>you enter an amount on line 10 and you don’t need to attach</t>
        </is>
      </c>
      <c r="E210" s="11602" t="n"/>
      <c r="F210" s="8650" t="n"/>
      <c r="G210" s="11602" t="n"/>
      <c r="H210" s="11602" t="n"/>
      <c r="I210" s="11602" t="n"/>
      <c r="J210" s="11602" t="n"/>
      <c r="K210" s="11602" t="n"/>
      <c r="L210" s="11602" t="n"/>
      <c r="M210" s="11602" t="n"/>
      <c r="N210" s="11602" t="n"/>
      <c r="O210" s="11602" t="n"/>
      <c r="P210" s="11602" t="n"/>
      <c r="Q210" s="11602" t="n"/>
      <c r="R210" s="11602" t="n"/>
      <c r="S210" s="11602" t="n"/>
      <c r="T210" s="11602" t="n"/>
      <c r="U210" s="11602" t="n"/>
      <c r="V210" s="11602" t="n"/>
      <c r="W210" s="11602" t="n"/>
      <c r="X210" s="11602" t="n"/>
      <c r="Y210" s="1401" t="n"/>
      <c r="Z210" s="8977" t="n"/>
      <c r="AA210" s="8978" t="n"/>
      <c r="AB210" s="408" t="n"/>
      <c r="AC210" s="11602" t="n"/>
      <c r="AD210" s="11602" t="n"/>
      <c r="AE210" s="11602" t="n"/>
      <c r="AF210" s="11602" t="n"/>
      <c r="AG210" s="11602" t="n"/>
      <c r="AH210" s="11602" t="n"/>
      <c r="AI210" s="409" t="n"/>
      <c r="AJ210" s="8967" t="n"/>
      <c r="AL210" s="408" t="n"/>
      <c r="AM210" s="11602" t="n"/>
      <c r="AN210" s="11602" t="n"/>
      <c r="AO210" s="11602" t="n"/>
      <c r="AP210" s="1277" t="n"/>
      <c r="AQ210" s="11602" t="n"/>
      <c r="AR210" s="11602" t="n"/>
      <c r="AS210" s="11602" t="n"/>
      <c r="AT210" s="11602" t="n"/>
      <c r="AU210" s="11602" t="n"/>
      <c r="AV210" s="11602" t="n"/>
      <c r="AW210" s="11602" t="n"/>
      <c r="AX210" s="769" t="n"/>
      <c r="AY210" s="964" t="n"/>
      <c r="AZ210" s="964" t="n"/>
      <c r="BA210" s="964" t="n"/>
      <c r="BB210" s="964" t="n"/>
      <c r="BC210" s="964" t="n"/>
      <c r="BD210" s="964" t="n"/>
      <c r="BE210" s="964" t="n"/>
      <c r="BF210" s="964" t="n"/>
      <c r="BG210" s="964" t="n"/>
      <c r="BH210" s="964" t="n"/>
    </row>
    <row r="211" ht="13.5" customHeight="1" s="7635">
      <c r="A211" s="2112" t="n"/>
      <c r="B211" s="8966" t="n"/>
      <c r="D211" s="344" t="inlineStr">
        <is>
          <t>Schedule B, check here (see instructions)</t>
        </is>
      </c>
      <c r="E211" s="11602" t="n"/>
      <c r="F211" s="8650" t="n"/>
      <c r="G211" s="11602" t="n"/>
      <c r="H211" s="11602" t="n"/>
      <c r="I211" s="11602" t="n"/>
      <c r="J211" s="11602" t="n"/>
      <c r="K211" s="11602" t="n"/>
      <c r="L211" s="11602" t="n"/>
      <c r="M211" s="11602" t="n"/>
      <c r="N211" s="11602" t="n"/>
      <c r="O211" s="11602" t="n"/>
      <c r="P211" s="11602" t="n"/>
      <c r="Q211" s="11602" t="n"/>
      <c r="R211" s="11602" t="n"/>
      <c r="S211" s="11602" t="n"/>
      <c r="T211" s="11602" t="n"/>
      <c r="U211" s="11602" t="n"/>
      <c r="V211" s="11602" t="n"/>
      <c r="W211" s="11602" t="n"/>
      <c r="X211" s="276" t="n"/>
      <c r="Y211" s="11602" t="n"/>
      <c r="Z211" s="2895" t="n">
        <v>10</v>
      </c>
      <c r="AA211" s="7638" t="n"/>
      <c r="AB211" s="12251" t="n"/>
      <c r="AC211" s="11717" t="n"/>
      <c r="AD211" s="11717" t="n"/>
      <c r="AE211" s="11717" t="n"/>
      <c r="AF211" s="11717" t="n"/>
      <c r="AG211" s="11717" t="n"/>
      <c r="AH211" s="11717" t="n"/>
      <c r="AI211" s="11718" t="n"/>
      <c r="AJ211" s="8967" t="n"/>
      <c r="AL211" s="9100">
        <f>ROUND(AB211,0)</f>
        <v/>
      </c>
      <c r="AP211" s="1277" t="n"/>
      <c r="AQ211" s="11602" t="n"/>
      <c r="AR211" s="11602" t="n"/>
      <c r="AS211" s="11602" t="n"/>
      <c r="AT211" s="11602" t="n"/>
      <c r="AU211" s="11602" t="n"/>
      <c r="AV211" s="11602" t="n"/>
      <c r="AW211" s="11602" t="n"/>
      <c r="AX211" s="769" t="n"/>
      <c r="AY211" s="964" t="n"/>
      <c r="AZ211" s="964" t="n"/>
      <c r="BA211" s="964" t="n"/>
      <c r="BB211" s="964" t="n"/>
      <c r="BC211" s="964" t="n"/>
      <c r="BD211" s="964" t="n"/>
      <c r="BE211" s="964" t="n"/>
      <c r="BF211" s="964" t="n"/>
      <c r="BG211" s="964" t="n"/>
      <c r="BH211" s="964" t="n"/>
    </row>
    <row r="212" ht="13.5" customHeight="1" s="7635">
      <c r="A212" s="2112" t="n"/>
      <c r="B212" s="8966" t="n"/>
      <c r="D212" s="344" t="inlineStr">
        <is>
          <t>(If your income was section 951A category income (box a above Part I),</t>
        </is>
      </c>
      <c r="E212" s="11602" t="n"/>
      <c r="F212" s="8650" t="n"/>
      <c r="G212" s="11602" t="n"/>
      <c r="H212" s="11602" t="n"/>
      <c r="I212" s="11602" t="n"/>
      <c r="J212" s="11602" t="n"/>
      <c r="K212" s="11602" t="n"/>
      <c r="L212" s="11602" t="n"/>
      <c r="M212" s="11602" t="n"/>
      <c r="N212" s="11602" t="n"/>
      <c r="O212" s="11602" t="n"/>
      <c r="P212" s="11602" t="n"/>
      <c r="Q212" s="11602" t="n"/>
      <c r="R212" s="11602" t="n"/>
      <c r="S212" s="11602" t="n"/>
      <c r="T212" s="11602" t="n"/>
      <c r="U212" s="11602" t="n"/>
      <c r="V212" s="11602" t="n"/>
      <c r="W212" s="11602" t="n"/>
      <c r="X212" s="11602" t="n"/>
      <c r="Y212" s="11602" t="n"/>
      <c r="Z212" s="2921" t="n"/>
      <c r="AA212" s="7636" t="n"/>
      <c r="AB212" s="408" t="n"/>
      <c r="AC212" s="11602" t="n"/>
      <c r="AD212" s="11602" t="n"/>
      <c r="AE212" s="11602" t="n"/>
      <c r="AF212" s="11602" t="n"/>
      <c r="AG212" s="11602" t="n"/>
      <c r="AH212" s="11602" t="n"/>
      <c r="AI212" s="409" t="n"/>
      <c r="AJ212" s="8967" t="n"/>
      <c r="AL212" s="408" t="n"/>
      <c r="AM212" s="11602" t="n"/>
      <c r="AN212" s="11602" t="n"/>
      <c r="AO212" s="11602" t="n"/>
      <c r="AP212" s="1277" t="n"/>
      <c r="AQ212" s="11602" t="n"/>
      <c r="AR212" s="11602" t="n"/>
      <c r="AS212" s="11602" t="n"/>
      <c r="AT212" s="11602" t="n"/>
      <c r="AU212" s="11602" t="n"/>
      <c r="AV212" s="11602" t="n"/>
      <c r="AW212" s="11602" t="n"/>
      <c r="AX212" s="769" t="n"/>
      <c r="AY212" s="964" t="n"/>
      <c r="AZ212" s="964" t="n"/>
      <c r="BA212" s="964" t="n"/>
      <c r="BB212" s="964" t="n"/>
      <c r="BC212" s="964" t="n"/>
      <c r="BD212" s="964" t="n"/>
      <c r="BE212" s="964" t="n"/>
      <c r="BF212" s="964" t="n"/>
      <c r="BG212" s="964" t="n"/>
      <c r="BH212" s="964" t="n"/>
    </row>
    <row r="213" ht="16.5" customHeight="1" s="7635">
      <c r="A213" s="2112" t="n"/>
      <c r="B213" s="8966" t="n"/>
      <c r="C213" s="8966" t="n"/>
      <c r="D213" s="344" t="inlineStr">
        <is>
          <t>leave line 10 blank.)</t>
        </is>
      </c>
      <c r="E213" s="11602" t="n"/>
      <c r="F213" s="8650" t="n"/>
      <c r="G213" s="11602" t="n"/>
      <c r="H213" s="11602" t="n"/>
      <c r="I213" s="11602" t="n"/>
      <c r="J213" s="11602" t="n"/>
      <c r="K213" s="11602" t="n"/>
      <c r="L213" s="11602" t="n"/>
      <c r="M213" s="11602" t="n"/>
      <c r="N213" s="11602" t="n"/>
      <c r="O213" s="11602" t="n"/>
      <c r="P213" s="11602" t="n"/>
      <c r="Q213" s="11602" t="n"/>
      <c r="R213" s="11602" t="n"/>
      <c r="S213" s="11602" t="n"/>
      <c r="T213" s="11602" t="n"/>
      <c r="U213" s="11602" t="n"/>
      <c r="V213" s="11602" t="n"/>
      <c r="W213" s="11602" t="n"/>
      <c r="X213" s="11602" t="n"/>
      <c r="Y213" s="11602" t="n"/>
      <c r="Z213" s="8977" t="n"/>
      <c r="AA213" s="8978" t="n"/>
      <c r="AB213" s="408" t="n"/>
      <c r="AC213" s="11602" t="n"/>
      <c r="AD213" s="11602" t="n"/>
      <c r="AE213" s="11602" t="n"/>
      <c r="AF213" s="11602" t="n"/>
      <c r="AG213" s="11602" t="n"/>
      <c r="AH213" s="11602" t="n"/>
      <c r="AI213" s="409" t="n"/>
      <c r="AJ213" s="8967" t="n"/>
      <c r="AL213" s="408" t="n"/>
      <c r="AM213" s="11602" t="n"/>
      <c r="AN213" s="11602" t="n"/>
      <c r="AO213" s="11602" t="n"/>
      <c r="AP213" s="1277" t="n"/>
      <c r="AQ213" s="11602" t="n"/>
      <c r="AR213" s="11602" t="n"/>
      <c r="AS213" s="11602" t="n"/>
      <c r="AT213" s="11602" t="n"/>
      <c r="AU213" s="11602" t="n"/>
      <c r="AV213" s="11602" t="n"/>
      <c r="AW213" s="11602" t="n"/>
      <c r="AX213" s="769" t="n"/>
      <c r="AY213" s="964" t="n"/>
      <c r="AZ213" s="964" t="n"/>
      <c r="BA213" s="964" t="n"/>
      <c r="BB213" s="964" t="n"/>
      <c r="BC213" s="964" t="n"/>
      <c r="BD213" s="964" t="n"/>
      <c r="BE213" s="964" t="n"/>
      <c r="BF213" s="964" t="n"/>
      <c r="BG213" s="964" t="n"/>
      <c r="BH213" s="964" t="n"/>
    </row>
    <row r="214" ht="13.5" customHeight="1" s="7635">
      <c r="A214" s="2112" t="n"/>
      <c r="B214" s="8965" t="n">
        <v>11</v>
      </c>
      <c r="D214" s="11602" t="inlineStr">
        <is>
          <t>Add lines 9 and 10</t>
        </is>
      </c>
      <c r="E214" s="11602" t="n"/>
      <c r="F214" s="8650" t="n"/>
      <c r="G214" s="11602" t="n"/>
      <c r="H214" s="11602" t="n"/>
      <c r="I214" s="11602" t="n"/>
      <c r="J214" s="11602" t="n"/>
      <c r="K214" s="11602" t="n"/>
      <c r="L214" s="11602" t="n"/>
      <c r="M214" s="11602" t="n"/>
      <c r="N214" s="11602" t="n"/>
      <c r="O214" s="11602" t="n"/>
      <c r="P214" s="11602" t="n"/>
      <c r="Q214" s="11602" t="n"/>
      <c r="R214" s="11602" t="n"/>
      <c r="S214" s="11602" t="n"/>
      <c r="T214" s="11602" t="n"/>
      <c r="U214" s="11602" t="n"/>
      <c r="V214" s="11602" t="n"/>
      <c r="W214" s="11602" t="n"/>
      <c r="X214" s="11602" t="n"/>
      <c r="Y214" s="1401" t="inlineStr">
        <is>
          <t xml:space="preserve">.   .   .   .   .   .   .   .   .   .   .   .   .   .   .   .   .   .  </t>
        </is>
      </c>
      <c r="Z214" s="2895" t="n">
        <v>11</v>
      </c>
      <c r="AA214" s="7638" t="n"/>
      <c r="AB214" s="12250">
        <f>SUM(AB207,AL211)</f>
        <v/>
      </c>
      <c r="AC214" s="7637" t="n"/>
      <c r="AD214" s="7637" t="n"/>
      <c r="AE214" s="7637" t="n"/>
      <c r="AF214" s="7637" t="n"/>
      <c r="AG214" s="7637" t="n"/>
      <c r="AH214" s="7637" t="n"/>
      <c r="AI214" s="7638" t="n"/>
      <c r="AJ214" s="8967" t="n"/>
      <c r="AL214" s="9007">
        <f>IF(AB215&gt;0,"Line 12 cannot be","")</f>
        <v/>
      </c>
      <c r="AP214" s="1277" t="n"/>
      <c r="AQ214" s="11602" t="n"/>
      <c r="AR214" s="11602" t="n"/>
      <c r="AS214" s="11602" t="n"/>
      <c r="AT214" s="11602" t="n"/>
      <c r="AU214" s="11602" t="n"/>
      <c r="AV214" s="11602" t="n"/>
      <c r="AW214" s="11602" t="n"/>
      <c r="AX214" s="769" t="n"/>
      <c r="AY214" s="964" t="n"/>
      <c r="AZ214" s="964" t="n"/>
      <c r="BA214" s="964" t="n"/>
      <c r="BB214" s="964" t="n"/>
      <c r="BC214" s="964" t="n"/>
      <c r="BD214" s="964" t="n"/>
      <c r="BE214" s="964" t="n"/>
      <c r="BF214" s="964" t="n"/>
      <c r="BG214" s="964" t="n"/>
      <c r="BH214" s="964" t="n"/>
    </row>
    <row r="215" ht="13.5" customHeight="1" s="7635">
      <c r="A215" s="2112" t="n"/>
      <c r="B215" s="8965" t="n">
        <v>12</v>
      </c>
      <c r="D215" s="344" t="inlineStr">
        <is>
          <t>Reduction in foreign taxes (see instructions)</t>
        </is>
      </c>
      <c r="E215" s="11602" t="n"/>
      <c r="F215" s="8650" t="n"/>
      <c r="G215" s="11602" t="n"/>
      <c r="H215" s="11602" t="n"/>
      <c r="I215" s="11602" t="n"/>
      <c r="J215" s="11602" t="n"/>
      <c r="K215" s="11602" t="n"/>
      <c r="L215" s="11602" t="n"/>
      <c r="M215" s="11602" t="n"/>
      <c r="N215" s="11602" t="n"/>
      <c r="O215" s="11602" t="n"/>
      <c r="P215" s="11602" t="n"/>
      <c r="Q215" s="11602" t="n"/>
      <c r="R215" s="11602" t="n"/>
      <c r="S215" s="11602" t="n"/>
      <c r="T215" s="11602" t="n"/>
      <c r="U215" s="11602" t="n"/>
      <c r="V215" s="11602" t="n"/>
      <c r="W215" s="11602" t="n"/>
      <c r="X215" s="11602" t="n"/>
      <c r="Y215" s="1401" t="inlineStr">
        <is>
          <t xml:space="preserve">.   .   .   .   .   .   .   .   .   .   .   .  </t>
        </is>
      </c>
      <c r="Z215" s="2895" t="n">
        <v>12</v>
      </c>
      <c r="AA215" s="7638" t="n"/>
      <c r="AB215" s="12251" t="n"/>
      <c r="AC215" s="11717" t="n"/>
      <c r="AD215" s="11717" t="n"/>
      <c r="AE215" s="11717" t="n"/>
      <c r="AF215" s="11717" t="n"/>
      <c r="AG215" s="11717" t="n"/>
      <c r="AH215" s="11717" t="n"/>
      <c r="AI215" s="11718" t="n"/>
      <c r="AJ215" s="8967" t="n"/>
      <c r="AL215" s="9007">
        <f>IF(AB215&gt;0,"a positive number.","")</f>
        <v/>
      </c>
      <c r="AP215" s="1277" t="n"/>
      <c r="AQ215" s="11602" t="n"/>
      <c r="AR215" s="11602" t="n"/>
      <c r="AS215" s="11602" t="n"/>
      <c r="AT215" s="11602" t="n"/>
      <c r="AU215" s="11602" t="n"/>
      <c r="AV215" s="11602" t="n"/>
      <c r="AW215" s="11602" t="n"/>
      <c r="AX215" s="769" t="n"/>
      <c r="AY215" s="964" t="n"/>
      <c r="AZ215" s="964" t="n"/>
      <c r="BA215" s="964" t="n"/>
      <c r="BB215" s="964" t="n"/>
      <c r="BC215" s="964" t="n"/>
      <c r="BD215" s="964" t="n"/>
      <c r="BE215" s="964" t="n"/>
      <c r="BF215" s="964" t="n"/>
      <c r="BG215" s="964" t="n"/>
      <c r="BH215" s="964" t="n"/>
    </row>
    <row r="216" ht="13.5" customHeight="1" s="7635">
      <c r="A216" s="2112" t="n"/>
      <c r="B216" s="8965" t="n">
        <v>13</v>
      </c>
      <c r="D216" s="344" t="inlineStr">
        <is>
          <t>Taxes reclassified under high tax kickout (see instructions)</t>
        </is>
      </c>
      <c r="E216" s="11602" t="n"/>
      <c r="F216" s="8650" t="n"/>
      <c r="G216" s="11602" t="n"/>
      <c r="H216" s="11602" t="n"/>
      <c r="I216" s="11602" t="n"/>
      <c r="J216" s="11602" t="n"/>
      <c r="K216" s="11602" t="n"/>
      <c r="L216" s="11602" t="n"/>
      <c r="M216" s="11602" t="n"/>
      <c r="N216" s="11602" t="n"/>
      <c r="O216" s="11602" t="n"/>
      <c r="P216" s="11602" t="n"/>
      <c r="Q216" s="11602" t="n"/>
      <c r="R216" s="11602" t="n"/>
      <c r="S216" s="11602" t="n"/>
      <c r="T216" s="11602" t="n"/>
      <c r="U216" s="11602" t="n"/>
      <c r="V216" s="11602" t="n"/>
      <c r="W216" s="11602" t="n"/>
      <c r="X216" s="11602" t="n"/>
      <c r="Y216" s="1401" t="inlineStr">
        <is>
          <t xml:space="preserve">.   .   .   .   .   .  </t>
        </is>
      </c>
      <c r="Z216" s="2895" t="n">
        <v>13</v>
      </c>
      <c r="AA216" s="7638" t="n"/>
      <c r="AB216" s="12251" t="n"/>
      <c r="AC216" s="11717" t="n"/>
      <c r="AD216" s="11717" t="n"/>
      <c r="AE216" s="11717" t="n"/>
      <c r="AF216" s="11717" t="n"/>
      <c r="AG216" s="11717" t="n"/>
      <c r="AH216" s="11717" t="n"/>
      <c r="AI216" s="11718" t="n"/>
      <c r="AJ216" s="8967" t="n"/>
      <c r="AL216" s="408" t="n"/>
      <c r="AM216" s="11602" t="n"/>
      <c r="AN216" s="11602" t="n"/>
      <c r="AO216" s="11602" t="n"/>
      <c r="AP216" s="1277" t="n"/>
      <c r="AQ216" s="11602" t="n"/>
      <c r="AR216" s="11602" t="n"/>
      <c r="AS216" s="11602" t="n"/>
      <c r="AT216" s="11602" t="n"/>
      <c r="AU216" s="11602" t="n"/>
      <c r="AV216" s="11602" t="n"/>
      <c r="AW216" s="11602" t="n"/>
      <c r="AX216" s="769" t="n"/>
      <c r="AY216" s="964" t="n"/>
      <c r="AZ216" s="964" t="n"/>
      <c r="BA216" s="964" t="n"/>
      <c r="BB216" s="964" t="n"/>
      <c r="BC216" s="964" t="n"/>
      <c r="BD216" s="964" t="n"/>
      <c r="BE216" s="964" t="n"/>
      <c r="BF216" s="964" t="n"/>
      <c r="BG216" s="964" t="n"/>
      <c r="BH216" s="964" t="n"/>
    </row>
    <row r="217" ht="13.5" customHeight="1" s="7635">
      <c r="A217" s="2112" t="n"/>
      <c r="B217" s="8965" t="n">
        <v>14</v>
      </c>
      <c r="D217" s="344" t="inlineStr">
        <is>
          <t>Combine lines 11, 12, and 13. This is the total amount of foreign taxes available for credit</t>
        </is>
      </c>
      <c r="E217" s="11602" t="n"/>
      <c r="F217" s="8650" t="n"/>
      <c r="G217" s="11602" t="n"/>
      <c r="H217" s="11602" t="n"/>
      <c r="I217" s="11602" t="n"/>
      <c r="J217" s="11602" t="n"/>
      <c r="K217" s="11602" t="n"/>
      <c r="L217" s="11602" t="n"/>
      <c r="M217" s="11602" t="n"/>
      <c r="N217" s="11602" t="n"/>
      <c r="O217" s="11602" t="n"/>
      <c r="P217" s="11602" t="n"/>
      <c r="Q217" s="11602" t="n"/>
      <c r="R217" s="11602" t="n"/>
      <c r="S217" s="11602" t="n"/>
      <c r="T217" s="11602" t="n"/>
      <c r="U217" s="11602" t="n"/>
      <c r="V217" s="11602" t="n"/>
      <c r="W217" s="11602" t="n"/>
      <c r="X217" s="11602" t="n"/>
      <c r="Y217" s="11602" t="n"/>
      <c r="Z217" s="11602" t="n"/>
      <c r="AA217" s="11602" t="n"/>
      <c r="AB217" s="11602" t="n"/>
      <c r="AC217" s="11602" t="n"/>
      <c r="AD217" s="11602" t="n"/>
      <c r="AE217" s="11602" t="n"/>
      <c r="AF217" s="11602" t="n"/>
      <c r="AG217" s="11602" t="n"/>
      <c r="AH217" s="11602" t="n"/>
      <c r="AI217" s="1401" t="inlineStr">
        <is>
          <t xml:space="preserve">.   .   .   .   .   .  </t>
        </is>
      </c>
      <c r="AJ217" s="2895" t="n">
        <v>14</v>
      </c>
      <c r="AK217" s="7638" t="n"/>
      <c r="AL217" s="8991">
        <f>SUM(AB214,AB215,AB216)</f>
        <v/>
      </c>
      <c r="AM217" s="7637" t="n"/>
      <c r="AN217" s="7637" t="n"/>
      <c r="AO217" s="7637" t="n"/>
      <c r="AP217" s="1277" t="n"/>
      <c r="AQ217" s="11602" t="n"/>
      <c r="AR217" s="11602" t="n"/>
      <c r="AS217" s="11602" t="n"/>
      <c r="AT217" s="11602" t="n"/>
      <c r="AU217" s="11602" t="n"/>
      <c r="AV217" s="11602" t="n"/>
      <c r="AW217" s="11602" t="n"/>
      <c r="AX217" s="769" t="n"/>
      <c r="AY217" s="964" t="n"/>
      <c r="AZ217" s="964" t="n"/>
      <c r="BA217" s="964" t="n"/>
      <c r="BB217" s="964" t="n"/>
      <c r="BC217" s="964" t="n"/>
      <c r="BD217" s="964" t="n"/>
      <c r="BE217" s="964" t="n"/>
      <c r="BF217" s="964" t="n"/>
      <c r="BG217" s="964" t="n"/>
      <c r="BH217" s="964" t="n"/>
    </row>
    <row r="218" ht="13.5" customHeight="1" s="7635">
      <c r="A218" s="2112" t="n"/>
      <c r="B218" s="8965" t="n">
        <v>15</v>
      </c>
      <c r="D218" s="11602" t="inlineStr">
        <is>
          <t>Enter the amount from line 7. This is your taxable income or (loss) from</t>
        </is>
      </c>
      <c r="E218" s="11602" t="n"/>
      <c r="F218" s="8650" t="n"/>
      <c r="G218" s="11602" t="n"/>
      <c r="H218" s="11602" t="n"/>
      <c r="I218" s="11602" t="n"/>
      <c r="J218" s="11602" t="n"/>
      <c r="K218" s="11602" t="n"/>
      <c r="L218" s="11602" t="n"/>
      <c r="M218" s="11602" t="n"/>
      <c r="N218" s="11602" t="n"/>
      <c r="O218" s="11602" t="n"/>
      <c r="P218" s="11602" t="n"/>
      <c r="Q218" s="11602" t="n"/>
      <c r="R218" s="11602" t="n"/>
      <c r="S218" s="11602" t="n"/>
      <c r="T218" s="11602" t="n"/>
      <c r="U218" s="11602" t="n"/>
      <c r="V218" s="11602" t="n"/>
      <c r="W218" s="11602" t="n"/>
      <c r="X218" s="11602" t="n"/>
      <c r="Y218" s="11602" t="n"/>
      <c r="Z218" s="2921" t="n"/>
      <c r="AA218" s="7636" t="n"/>
      <c r="AB218" s="408" t="n"/>
      <c r="AC218" s="11602" t="n"/>
      <c r="AD218" s="11602" t="n"/>
      <c r="AE218" s="11602" t="n"/>
      <c r="AF218" s="11602" t="n"/>
      <c r="AG218" s="11602" t="n"/>
      <c r="AH218" s="11602" t="n"/>
      <c r="AI218" s="409" t="n"/>
      <c r="AJ218" s="8967" t="n"/>
      <c r="AL218" s="408" t="n"/>
      <c r="AM218" s="11602" t="n"/>
      <c r="AN218" s="11602" t="n"/>
      <c r="AO218" s="11602" t="n"/>
      <c r="AP218" s="1277" t="n"/>
      <c r="AQ218" s="11602" t="n"/>
      <c r="AR218" s="11602" t="n"/>
      <c r="AS218" s="11602" t="n"/>
      <c r="AT218" s="11602" t="n"/>
      <c r="AU218" s="11602" t="n"/>
      <c r="AV218" s="11602" t="n"/>
      <c r="AW218" s="11602" t="n"/>
      <c r="AX218" s="769" t="n"/>
      <c r="AY218" s="964" t="n"/>
      <c r="AZ218" s="964" t="n"/>
      <c r="BA218" s="964" t="n"/>
      <c r="BB218" s="964" t="n"/>
      <c r="BC218" s="964" t="n"/>
      <c r="BD218" s="964" t="n"/>
      <c r="BE218" s="964" t="n"/>
      <c r="BF218" s="964" t="n"/>
      <c r="BG218" s="964" t="n"/>
      <c r="BH218" s="964" t="n"/>
    </row>
    <row r="219" ht="13.5" customHeight="1" s="7635">
      <c r="A219" s="2112" t="n"/>
      <c r="B219" s="8965" t="n"/>
      <c r="D219" s="11602" t="inlineStr">
        <is>
          <t>sources outside the United States (before adjustments) for the category</t>
        </is>
      </c>
      <c r="E219" s="11602" t="n"/>
      <c r="F219" s="8650" t="n"/>
      <c r="G219" s="11602" t="n"/>
      <c r="H219" s="11602" t="n"/>
      <c r="I219" s="11602" t="n"/>
      <c r="J219" s="11602" t="n"/>
      <c r="K219" s="11602" t="n"/>
      <c r="L219" s="11602" t="n"/>
      <c r="M219" s="11602" t="n"/>
      <c r="N219" s="11602" t="n"/>
      <c r="O219" s="11602" t="n"/>
      <c r="P219" s="11602" t="n"/>
      <c r="Q219" s="11602" t="n"/>
      <c r="R219" s="11602" t="n"/>
      <c r="S219" s="11602" t="n"/>
      <c r="T219" s="11602" t="n"/>
      <c r="U219" s="11602" t="n"/>
      <c r="V219" s="11602" t="n"/>
      <c r="W219" s="11602" t="n"/>
      <c r="X219" s="11602" t="n"/>
      <c r="Y219" s="11602" t="n"/>
      <c r="Z219" s="2921" t="n"/>
      <c r="AA219" s="7636" t="n"/>
      <c r="AB219" s="408" t="n"/>
      <c r="AC219" s="11602" t="n"/>
      <c r="AD219" s="11602" t="n"/>
      <c r="AE219" s="11602" t="n"/>
      <c r="AF219" s="11602" t="n"/>
      <c r="AG219" s="11602" t="n"/>
      <c r="AH219" s="11602" t="n"/>
      <c r="AI219" s="409" t="n"/>
      <c r="AJ219" s="8967" t="n"/>
      <c r="AL219" s="408" t="n"/>
      <c r="AM219" s="11602" t="n"/>
      <c r="AN219" s="11602" t="n"/>
      <c r="AO219" s="11602" t="n"/>
      <c r="AP219" s="1277" t="n"/>
      <c r="AQ219" s="11602" t="n"/>
      <c r="AR219" s="11602" t="n"/>
      <c r="AS219" s="11602" t="n"/>
      <c r="AT219" s="11602" t="n"/>
      <c r="AU219" s="11602" t="n"/>
      <c r="AV219" s="11602" t="n"/>
      <c r="AW219" s="11602" t="n"/>
      <c r="AX219" s="769" t="n"/>
      <c r="AY219" s="964" t="n"/>
      <c r="AZ219" s="964" t="n"/>
      <c r="BA219" s="964" t="n"/>
      <c r="BB219" s="964" t="n"/>
      <c r="BC219" s="964" t="n"/>
      <c r="BD219" s="964" t="n"/>
      <c r="BE219" s="964" t="n"/>
      <c r="BF219" s="964" t="n"/>
      <c r="BG219" s="964" t="n"/>
      <c r="BH219" s="964" t="n"/>
    </row>
    <row r="220" ht="18" customHeight="1" s="7635">
      <c r="A220" s="2112" t="n"/>
      <c r="B220" s="4178" t="n"/>
      <c r="C220" s="4178" t="n"/>
      <c r="D220" s="571" t="inlineStr">
        <is>
          <t>of income checked above Part I (see instructions)</t>
        </is>
      </c>
      <c r="E220" s="11602" t="n"/>
      <c r="F220" s="11602" t="n"/>
      <c r="G220" s="11602" t="n"/>
      <c r="H220" s="11602" t="n"/>
      <c r="I220" s="11602" t="n"/>
      <c r="J220" s="11602" t="n"/>
      <c r="K220" s="11602" t="n"/>
      <c r="L220" s="11602" t="n"/>
      <c r="M220" s="11602" t="n"/>
      <c r="N220" s="11602" t="n"/>
      <c r="O220" s="11602" t="n"/>
      <c r="P220" s="11602" t="n"/>
      <c r="Q220" s="11602" t="n"/>
      <c r="R220" s="11602" t="n"/>
      <c r="S220" s="11602" t="n"/>
      <c r="T220" s="11602" t="n"/>
      <c r="U220" s="11602" t="n"/>
      <c r="V220" s="11602" t="n"/>
      <c r="W220" s="11602" t="n"/>
      <c r="X220" s="11602" t="n"/>
      <c r="Y220" s="1401" t="inlineStr">
        <is>
          <t xml:space="preserve">.   .   .   .   .   .   .   .   .   .  </t>
        </is>
      </c>
      <c r="Z220" s="2895" t="n">
        <v>15</v>
      </c>
      <c r="AA220" s="7638" t="n"/>
      <c r="AB220" s="12250">
        <f>AL186</f>
        <v/>
      </c>
      <c r="AC220" s="7637" t="n"/>
      <c r="AD220" s="7637" t="n"/>
      <c r="AE220" s="7637" t="n"/>
      <c r="AF220" s="7637" t="n"/>
      <c r="AG220" s="7637" t="n"/>
      <c r="AH220" s="7637" t="n"/>
      <c r="AI220" s="7638" t="n"/>
      <c r="AJ220" s="8967" t="n"/>
      <c r="AL220" s="408" t="n"/>
      <c r="AM220" s="11602" t="n"/>
      <c r="AN220" s="11602" t="n"/>
      <c r="AO220" s="11602" t="n"/>
      <c r="AP220" s="1277" t="n"/>
      <c r="AQ220" s="11602" t="n"/>
      <c r="AR220" s="11602" t="n"/>
      <c r="AS220" s="11602" t="n"/>
      <c r="AT220" s="11602" t="n"/>
      <c r="AU220" s="11602" t="n"/>
      <c r="AV220" s="11602" t="n"/>
      <c r="AW220" s="11602" t="n"/>
      <c r="AX220" s="769" t="n"/>
      <c r="AY220" s="964" t="n"/>
      <c r="AZ220" s="964" t="n"/>
      <c r="BA220" s="964" t="n"/>
      <c r="BB220" s="964" t="n"/>
      <c r="BC220" s="964" t="n"/>
      <c r="BD220" s="964" t="n"/>
      <c r="BE220" s="964" t="n"/>
      <c r="BF220" s="964" t="n"/>
      <c r="BG220" s="964" t="n"/>
      <c r="BH220" s="964" t="n"/>
    </row>
    <row r="221" ht="13.5" customHeight="1" s="7635" thickBot="1">
      <c r="A221" s="2112" t="n"/>
      <c r="B221" s="8965" t="n">
        <v>16</v>
      </c>
      <c r="D221" s="9237" t="inlineStr">
        <is>
          <t>Adjustments to line 15 (see instructions)</t>
        </is>
      </c>
      <c r="E221" s="733" t="n"/>
      <c r="F221" s="7209" t="n"/>
      <c r="G221" s="11602" t="n"/>
      <c r="H221" s="11602" t="n"/>
      <c r="I221" s="11602" t="n"/>
      <c r="J221" s="11602" t="n"/>
      <c r="K221" s="11602" t="n"/>
      <c r="L221" s="11602" t="n"/>
      <c r="M221" s="11602" t="n"/>
      <c r="N221" s="11602" t="n"/>
      <c r="O221" s="11602" t="n"/>
      <c r="P221" s="7642" t="n"/>
      <c r="Q221" s="733" t="n"/>
      <c r="R221" s="7209" t="n"/>
      <c r="S221" s="344" t="n"/>
      <c r="T221" s="11602" t="n"/>
      <c r="U221" s="11602" t="n"/>
      <c r="V221" s="11602" t="n"/>
      <c r="W221" s="11602" t="n"/>
      <c r="X221" s="11602" t="n"/>
      <c r="Y221" s="1401" t="inlineStr">
        <is>
          <t xml:space="preserve">.   .   .   .   .   .   .   .   .   .   .   .   .   .  </t>
        </is>
      </c>
      <c r="Z221" s="2926" t="n">
        <v>16</v>
      </c>
      <c r="AA221" s="11734" t="n"/>
      <c r="AB221" s="12251" t="n"/>
      <c r="AC221" s="11717" t="n"/>
      <c r="AD221" s="11717" t="n"/>
      <c r="AE221" s="11717" t="n"/>
      <c r="AF221" s="11717" t="n"/>
      <c r="AG221" s="11717" t="n"/>
      <c r="AH221" s="11717" t="n"/>
      <c r="AI221" s="11718" t="n"/>
      <c r="AJ221" s="8967" t="n"/>
      <c r="AL221" s="408" t="n"/>
      <c r="AM221" s="11602" t="n"/>
      <c r="AN221" s="11602" t="n"/>
      <c r="AO221" s="11602" t="n"/>
      <c r="AP221" s="1277" t="n"/>
      <c r="AQ221" s="11602" t="n"/>
      <c r="AR221" s="11602" t="n"/>
      <c r="AS221" s="11602" t="n"/>
      <c r="AT221" s="11602" t="n"/>
      <c r="AU221" s="11602" t="n"/>
      <c r="AV221" s="11602" t="n"/>
      <c r="AW221" s="11602" t="n"/>
      <c r="AX221" s="769" t="n"/>
      <c r="AY221" s="964" t="n"/>
      <c r="AZ221" s="964" t="n"/>
      <c r="BA221" s="964" t="n"/>
      <c r="BB221" s="964" t="n"/>
      <c r="BC221" s="964" t="n"/>
      <c r="BD221" s="964" t="n"/>
      <c r="BE221" s="964" t="n"/>
      <c r="BF221" s="964" t="n"/>
      <c r="BG221" s="964" t="n"/>
      <c r="BH221" s="964" t="n"/>
    </row>
    <row r="222" ht="13.5" customHeight="1" s="7635">
      <c r="A222" s="2112" t="n"/>
      <c r="B222" s="8965" t="n">
        <v>17</v>
      </c>
      <c r="D222" s="344" t="inlineStr">
        <is>
          <t>Combine the amounts on lines 15 and 16. This is your net foreign source</t>
        </is>
      </c>
      <c r="E222" s="11602" t="n"/>
      <c r="F222" s="8650" t="n"/>
      <c r="G222" s="11602" t="n"/>
      <c r="H222" s="11602" t="n"/>
      <c r="I222" s="11602" t="n"/>
      <c r="J222" s="11602" t="n"/>
      <c r="K222" s="11602" t="n"/>
      <c r="L222" s="11602" t="n"/>
      <c r="M222" s="11602" t="n"/>
      <c r="N222" s="11602" t="n"/>
      <c r="O222" s="11602" t="n"/>
      <c r="P222" s="11602" t="n"/>
      <c r="Q222" s="11602" t="n"/>
      <c r="R222" s="11602" t="n"/>
      <c r="S222" s="11602" t="n"/>
      <c r="T222" s="11602" t="n"/>
      <c r="U222" s="11602" t="n"/>
      <c r="V222" s="11602" t="n"/>
      <c r="W222" s="11602" t="n"/>
      <c r="X222" s="11602" t="n"/>
      <c r="Y222" s="11602" t="n"/>
      <c r="Z222" s="2921" t="n"/>
      <c r="AA222" s="7636" t="n"/>
      <c r="AB222" s="408" t="n"/>
      <c r="AC222" s="11602" t="n"/>
      <c r="AD222" s="11602" t="n"/>
      <c r="AE222" s="11602" t="n"/>
      <c r="AF222" s="11602" t="n"/>
      <c r="AG222" s="11602" t="n"/>
      <c r="AH222" s="11602" t="n"/>
      <c r="AI222" s="409" t="n"/>
      <c r="AJ222" s="8967" t="n"/>
      <c r="AL222" s="408" t="n"/>
      <c r="AM222" s="11602" t="n"/>
      <c r="AN222" s="11602" t="n"/>
      <c r="AO222" s="11602" t="n"/>
      <c r="AP222" s="1277" t="n"/>
      <c r="AQ222" s="11602" t="n"/>
      <c r="AR222" s="11602" t="n"/>
      <c r="AS222" s="11602" t="n"/>
      <c r="AT222" s="11602" t="n"/>
      <c r="AU222" s="11602" t="n"/>
      <c r="AV222" s="11602" t="n"/>
      <c r="AW222" s="11602" t="n"/>
      <c r="AX222" s="1384" t="n"/>
      <c r="AY222" s="1385" t="n"/>
      <c r="AZ222" s="1385" t="n"/>
      <c r="BA222" s="1385" t="n"/>
      <c r="BB222" s="1385" t="n"/>
      <c r="BC222" s="1385" t="n"/>
      <c r="BD222" s="1385" t="n"/>
      <c r="BE222" s="1385" t="n"/>
      <c r="BF222" s="1385" t="n"/>
      <c r="BG222" s="1385" t="n"/>
      <c r="BH222" s="1386" t="n"/>
    </row>
    <row r="223" ht="13.5" customHeight="1" s="7635">
      <c r="A223" s="2112" t="n"/>
      <c r="B223" s="8965" t="n"/>
      <c r="D223" s="344" t="inlineStr">
        <is>
          <t>taxable income. (If the result is zero or less, skip line 18 and enter -0- on</t>
        </is>
      </c>
      <c r="E223" s="11602" t="n"/>
      <c r="F223" s="8650" t="n"/>
      <c r="G223" s="11602" t="n"/>
      <c r="H223" s="11602" t="n"/>
      <c r="I223" s="11602" t="n"/>
      <c r="J223" s="11602" t="n"/>
      <c r="K223" s="11602" t="n"/>
      <c r="L223" s="11602" t="n"/>
      <c r="M223" s="11602" t="n"/>
      <c r="N223" s="11602" t="n"/>
      <c r="O223" s="11602" t="n"/>
      <c r="P223" s="11602" t="n"/>
      <c r="Q223" s="11602" t="n"/>
      <c r="R223" s="11602" t="n"/>
      <c r="S223" s="11602" t="n"/>
      <c r="T223" s="11602" t="n"/>
      <c r="U223" s="11602" t="n"/>
      <c r="V223" s="11602" t="n"/>
      <c r="W223" s="11602" t="n"/>
      <c r="X223" s="11602" t="n"/>
      <c r="Y223" s="11602" t="n"/>
      <c r="Z223" s="2921" t="n"/>
      <c r="AA223" s="7636" t="n"/>
      <c r="AB223" s="408" t="n"/>
      <c r="AC223" s="11602" t="n"/>
      <c r="AD223" s="11602" t="n"/>
      <c r="AE223" s="11602" t="n"/>
      <c r="AF223" s="11602" t="n"/>
      <c r="AG223" s="11602" t="n"/>
      <c r="AH223" s="11602" t="n"/>
      <c r="AI223" s="409" t="n"/>
      <c r="AJ223" s="8967" t="n"/>
      <c r="AL223" s="408" t="n"/>
      <c r="AM223" s="11602" t="n"/>
      <c r="AN223" s="11602" t="n"/>
      <c r="AO223" s="11602" t="n"/>
      <c r="AP223" s="1277" t="n"/>
      <c r="AQ223" s="11602" t="n"/>
      <c r="AR223" s="11602" t="n"/>
      <c r="AS223" s="11602" t="n"/>
      <c r="AT223" s="11602" t="n"/>
      <c r="AU223" s="11602" t="n"/>
      <c r="AV223" s="11602" t="n"/>
      <c r="AW223" s="11602" t="n"/>
      <c r="AX223" s="1387" t="inlineStr">
        <is>
          <t>If you completed the Qualified Dividends and Capital Gain Tax Worksheet, you must figure the amount to enter on line 18 if:</t>
        </is>
      </c>
      <c r="AY223" s="1388" t="n"/>
      <c r="AZ223" s="1027" t="n"/>
      <c r="BA223" s="1027" t="n"/>
      <c r="BB223" s="1027" t="n"/>
      <c r="BC223" s="1027" t="n"/>
      <c r="BD223" s="1027" t="n"/>
      <c r="BE223" s="1027" t="n"/>
      <c r="BF223" s="1027" t="n"/>
      <c r="BG223" s="1027" t="n"/>
      <c r="BH223" s="1389" t="n"/>
    </row>
    <row r="224" ht="12.75" customHeight="1" s="7635">
      <c r="A224" s="2112" t="n"/>
      <c r="B224" s="4178" t="n"/>
      <c r="C224" s="4178" t="n"/>
      <c r="D224" s="979" t="inlineStr">
        <is>
          <t>line 19.)</t>
        </is>
      </c>
      <c r="E224" s="11602" t="n"/>
      <c r="F224" s="11602" t="n"/>
      <c r="G224" s="11602" t="n"/>
      <c r="H224" s="11602" t="n"/>
      <c r="I224" s="11602" t="n"/>
      <c r="J224" s="11602" t="n"/>
      <c r="K224" s="11602" t="n"/>
      <c r="L224" s="11602" t="n"/>
      <c r="M224" s="11602" t="n"/>
      <c r="N224" s="11602" t="n"/>
      <c r="O224" s="11602" t="n"/>
      <c r="P224" s="11602" t="n"/>
      <c r="Q224" s="11602" t="n"/>
      <c r="R224" s="11602" t="n"/>
      <c r="S224" s="11602" t="n"/>
      <c r="T224" s="11602" t="n"/>
      <c r="U224" s="11602" t="n"/>
      <c r="V224" s="11602" t="n"/>
      <c r="W224" s="11602" t="n"/>
      <c r="X224" s="11602" t="n"/>
      <c r="Y224" s="1401" t="inlineStr">
        <is>
          <t xml:space="preserve">.   .   .   .   .   .   .   .   .   .   .   .  </t>
        </is>
      </c>
      <c r="Z224" s="2895" t="n">
        <v>17</v>
      </c>
      <c r="AA224" s="7638" t="n"/>
      <c r="AB224" s="12250">
        <f>SUM(AB220,AB221)</f>
        <v/>
      </c>
      <c r="AC224" s="7637" t="n"/>
      <c r="AD224" s="7637" t="n"/>
      <c r="AE224" s="7637" t="n"/>
      <c r="AF224" s="7637" t="n"/>
      <c r="AG224" s="7637" t="n"/>
      <c r="AH224" s="7637" t="n"/>
      <c r="AI224" s="7638" t="n"/>
      <c r="AJ224" s="8967" t="n"/>
      <c r="AL224" s="8996" t="n"/>
      <c r="AP224" s="1277" t="n"/>
      <c r="AQ224" s="8952">
        <f>IF(AND(AL217&gt;0,AB225),"Skip lines 18 through 24.","")</f>
        <v/>
      </c>
      <c r="AV224" s="11602" t="n"/>
      <c r="AW224" s="11602" t="n"/>
      <c r="AX224" s="1390">
        <f>AND(CGTW_Line5&gt;0,CGTW_Line5&lt;&gt;"")</f>
        <v/>
      </c>
      <c r="AY224" s="1388" t="inlineStr">
        <is>
          <t>1. Line 5 of your Qualified Dividends and Capital Gain Tax Worksheet is greater than zero, and</t>
        </is>
      </c>
      <c r="AZ224" s="1027" t="n"/>
      <c r="BA224" s="1027" t="n"/>
      <c r="BB224" s="1027" t="n"/>
      <c r="BC224" s="1027" t="n"/>
      <c r="BD224" s="1027" t="n"/>
      <c r="BE224" s="1027" t="n"/>
      <c r="BF224" s="1027" t="n"/>
      <c r="BG224" s="1027" t="n"/>
      <c r="BH224" s="1389" t="n"/>
    </row>
    <row r="225" ht="14.25" customHeight="1" s="7635">
      <c r="A225" s="2112" t="n"/>
      <c r="B225" s="8965" t="n">
        <v>18</v>
      </c>
      <c r="D225" s="344" t="inlineStr">
        <is>
          <t>Individuals: Enter the sum of (i) Form 1040, 1040-SR, 1040-NR, line 11b,</t>
        </is>
      </c>
      <c r="E225" s="11602" t="n"/>
      <c r="F225" s="8650" t="n"/>
      <c r="G225" s="11602" t="n"/>
      <c r="H225" s="11602" t="n"/>
      <c r="I225" s="11602" t="n"/>
      <c r="J225" s="11602" t="n"/>
      <c r="K225" s="11602" t="n"/>
      <c r="L225" s="11602" t="n"/>
      <c r="M225" s="11602" t="n"/>
      <c r="N225" s="11602" t="n"/>
      <c r="O225" s="11602" t="n"/>
      <c r="P225" s="11602" t="n"/>
      <c r="Q225" s="11602" t="n"/>
      <c r="R225" s="11602" t="n"/>
      <c r="S225" s="11602" t="n"/>
      <c r="T225" s="11602" t="n"/>
      <c r="U225" s="11602" t="n"/>
      <c r="V225" s="11602" t="n"/>
      <c r="W225" s="11602" t="n"/>
      <c r="X225" s="11602" t="n"/>
      <c r="Y225" s="11602" t="n"/>
      <c r="Z225" s="2921" t="n"/>
      <c r="AA225" s="7636" t="n"/>
      <c r="AB225" s="12256">
        <f>AND(AB224&lt;=0,AQ228="")</f>
        <v/>
      </c>
      <c r="AC225" s="7839" t="n"/>
      <c r="AD225" s="7839" t="n"/>
      <c r="AE225" s="7839" t="n"/>
      <c r="AF225" s="7839" t="n"/>
      <c r="AG225" s="7839" t="n"/>
      <c r="AH225" s="7839" t="n"/>
      <c r="AI225" s="10091" t="n"/>
      <c r="AJ225" s="8967" t="n"/>
      <c r="AL225" s="8983" t="n"/>
      <c r="AP225" s="1277" t="n"/>
      <c r="AQ225" s="4213" t="n"/>
      <c r="AR225" s="4213" t="n"/>
      <c r="AS225" s="4213" t="n"/>
      <c r="AT225" s="4213" t="n"/>
      <c r="AU225" s="11602" t="n"/>
      <c r="AV225" s="11602" t="n"/>
      <c r="AW225" s="379" t="n"/>
      <c r="AX225" s="1390">
        <f>AND(CGTW_Line23&lt;&gt;"",CGTW_Line24&lt;&gt;"",CGTW_Line23&lt;CGTW_Line24)</f>
        <v/>
      </c>
      <c r="AY225" s="1388" t="inlineStr">
        <is>
          <t>2. Line 23 of your Qualified Dividends and Capital Gain Tax Worksheet is less than line 24 of that worksheet.</t>
        </is>
      </c>
      <c r="AZ225" s="1027" t="n"/>
      <c r="BA225" s="1027" t="n"/>
      <c r="BB225" s="1027" t="n"/>
      <c r="BC225" s="1027" t="n"/>
      <c r="BD225" s="1027" t="n"/>
      <c r="BE225" s="1027" t="n"/>
      <c r="BF225" s="1027" t="n"/>
      <c r="BG225" s="1027" t="n"/>
      <c r="BH225" s="1389" t="n"/>
    </row>
    <row r="226" ht="14.25" customHeight="1" s="7635">
      <c r="A226" s="2112" t="n"/>
      <c r="B226" s="8965" t="n"/>
      <c r="C226" s="8965" t="n"/>
      <c r="D226" s="344" t="inlineStr">
        <is>
          <t>minus Form 1040, 1040-SR, or 1040-NR, line 14, and (ii) Schedule 1-A</t>
        </is>
      </c>
      <c r="E226" s="11602" t="n"/>
      <c r="F226" s="8650" t="n"/>
      <c r="G226" s="11602" t="n"/>
      <c r="H226" s="11602" t="n"/>
      <c r="I226" s="11602" t="n"/>
      <c r="J226" s="11602" t="n"/>
      <c r="K226" s="11602" t="n"/>
      <c r="L226" s="11602" t="n"/>
      <c r="M226" s="11602" t="n"/>
      <c r="N226" s="11602" t="n"/>
      <c r="O226" s="11602" t="n"/>
      <c r="P226" s="11602" t="n"/>
      <c r="Q226" s="11602" t="n"/>
      <c r="R226" s="11602" t="n"/>
      <c r="S226" s="11602" t="n"/>
      <c r="T226" s="11602" t="n"/>
      <c r="U226" s="11602" t="n"/>
      <c r="V226" s="11602" t="n"/>
      <c r="W226" s="11602" t="n"/>
      <c r="X226" s="11602" t="n"/>
      <c r="Y226" s="11602" t="n"/>
      <c r="Z226" s="8977" t="n"/>
      <c r="AA226" s="8978" t="n"/>
      <c r="AB226" s="12270">
        <f>IF(TotalDeductions="",0,TotalDeductions)</f>
        <v/>
      </c>
      <c r="AI226" s="7636" t="n"/>
      <c r="AJ226" s="8967" t="n"/>
      <c r="AL226" s="8983" t="n"/>
      <c r="AM226" s="8961" t="n"/>
      <c r="AN226" s="8961" t="n"/>
      <c r="AO226" s="8961" t="n"/>
      <c r="AP226" s="1277" t="n"/>
      <c r="AQ226" s="4213" t="n"/>
      <c r="AR226" s="4213" t="n"/>
      <c r="AS226" s="4213" t="n"/>
      <c r="AT226" s="4213" t="n"/>
      <c r="AU226" s="11602" t="n"/>
      <c r="AV226" s="11602" t="n"/>
      <c r="AW226" s="11602" t="n"/>
      <c r="AX226" s="1391">
        <f>AND(AX224,AX225)</f>
        <v/>
      </c>
      <c r="AY226" s="1388" t="n"/>
      <c r="AZ226" s="1027" t="n"/>
      <c r="BA226" s="1027" t="n"/>
      <c r="BB226" s="1027" t="n"/>
      <c r="BC226" s="1027" t="n"/>
      <c r="BD226" s="1027" t="n"/>
      <c r="BE226" s="1027" t="n"/>
      <c r="BF226" s="1027" t="n"/>
      <c r="BG226" s="1027" t="n"/>
      <c r="BH226" s="1389" t="n"/>
    </row>
    <row r="227" ht="12.75" customHeight="1" s="7635">
      <c r="A227" s="2112" t="n"/>
      <c r="B227" s="8965" t="n"/>
      <c r="D227" s="344" t="inlineStr">
        <is>
          <t>(Form 1040), line 37. Estates and trusts:  Enter your taxable income</t>
        </is>
      </c>
      <c r="E227" s="11602" t="n"/>
      <c r="F227" s="8650" t="n"/>
      <c r="G227" s="11602" t="n"/>
      <c r="H227" s="11602" t="n"/>
      <c r="I227" s="11602" t="n"/>
      <c r="J227" s="11602" t="n"/>
      <c r="K227" s="11602" t="n"/>
      <c r="L227" s="11602" t="n"/>
      <c r="M227" s="11602" t="n"/>
      <c r="N227" s="11602" t="n"/>
      <c r="O227" s="11602" t="n"/>
      <c r="P227" s="11602" t="n"/>
      <c r="Q227" s="11602" t="n"/>
      <c r="R227" s="11602" t="n"/>
      <c r="S227" s="11602" t="n"/>
      <c r="T227" s="11602" t="n"/>
      <c r="U227" s="11602" t="n"/>
      <c r="V227" s="11602" t="n"/>
      <c r="W227" s="11602" t="n"/>
      <c r="X227" s="11602" t="n"/>
      <c r="Y227" s="11602" t="n"/>
      <c r="Z227" s="2921" t="n"/>
      <c r="AA227" s="7636" t="n"/>
      <c r="AB227" s="12270">
        <f>IF(DeductionForSeniors="",0,DeductionForSeniors)</f>
        <v/>
      </c>
      <c r="AI227" s="7636" t="n"/>
      <c r="AJ227" s="8967" t="n"/>
      <c r="AL227" s="408" t="n"/>
      <c r="AM227" s="11602" t="n"/>
      <c r="AN227" s="11602" t="n"/>
      <c r="AO227" s="11602" t="n"/>
      <c r="AP227" s="1277" t="n"/>
      <c r="AQ227" s="1277" t="n"/>
      <c r="AR227" s="1277" t="n"/>
      <c r="AS227" s="1277" t="n"/>
      <c r="AT227" s="1277" t="n"/>
      <c r="AU227" s="1277" t="n"/>
      <c r="AV227" s="11602" t="n"/>
      <c r="AW227" s="11602" t="n"/>
      <c r="AX227" s="1392" t="inlineStr">
        <is>
          <t>See instructions for Form 1116 to see if you qualify for an exception that allows you to elect to NOT adjust your qualified</t>
        </is>
      </c>
      <c r="AY227" s="1388" t="n"/>
      <c r="AZ227" s="1027" t="n"/>
      <c r="BA227" s="1027" t="n"/>
      <c r="BB227" s="1027" t="n"/>
      <c r="BC227" s="1027" t="n"/>
      <c r="BD227" s="1027" t="n"/>
      <c r="BE227" s="1027" t="n"/>
      <c r="BF227" s="1027" t="n"/>
      <c r="BG227" s="1027" t="n"/>
      <c r="BH227" s="1389" t="n"/>
    </row>
    <row r="228" ht="12" customHeight="1" s="7635" thickBot="1">
      <c r="A228" s="4158" t="n"/>
      <c r="B228" s="4214" t="n"/>
      <c r="C228" s="4214" t="n"/>
      <c r="D228" s="344" t="inlineStr">
        <is>
          <t>without the deduction for your exemption</t>
        </is>
      </c>
      <c r="E228" s="571" t="n"/>
      <c r="F228" s="571" t="n"/>
      <c r="G228" s="571" t="n"/>
      <c r="H228" s="571" t="n"/>
      <c r="I228" s="571" t="n"/>
      <c r="J228" s="571" t="n"/>
      <c r="K228" s="571" t="n"/>
      <c r="L228" s="571" t="n"/>
      <c r="M228" s="571" t="n"/>
      <c r="N228" s="571" t="n"/>
      <c r="O228" s="571" t="n"/>
      <c r="P228" s="571" t="n"/>
      <c r="Q228" s="571" t="n"/>
      <c r="R228" s="571" t="n"/>
      <c r="S228" s="571" t="n"/>
      <c r="T228" s="571" t="n"/>
      <c r="U228" s="571" t="n"/>
      <c r="V228" s="571" t="n"/>
      <c r="W228" s="571" t="n"/>
      <c r="X228" s="571" t="n"/>
      <c r="Y228" s="4160" t="inlineStr">
        <is>
          <t xml:space="preserve">.   .   .   .   .   .   .   .   .   .  </t>
        </is>
      </c>
      <c r="Z228" s="12271" t="n">
        <v>18</v>
      </c>
      <c r="AA228" s="7638" t="n"/>
      <c r="AB228" s="12250">
        <f>IF(AQ228&lt;&gt;"",ROUND(AQ228,0),IF(AB225,"",IF(AX222,BG245,SUM(Adj_Gross_Inc_Pg2,-AB226,AB227))))</f>
        <v/>
      </c>
      <c r="AC228" s="7637" t="n"/>
      <c r="AD228" s="7637" t="n"/>
      <c r="AE228" s="7637" t="n"/>
      <c r="AF228" s="7637" t="n"/>
      <c r="AG228" s="7637" t="n"/>
      <c r="AH228" s="7637" t="n"/>
      <c r="AI228" s="7638" t="n"/>
      <c r="AJ228" s="12272" t="n"/>
      <c r="AK228" s="7636" t="n"/>
      <c r="AL228" s="4215" t="n"/>
      <c r="AM228" s="571" t="n"/>
      <c r="AN228" s="571" t="n"/>
      <c r="AO228" s="571" t="n"/>
      <c r="AP228" s="2888" t="n"/>
      <c r="AQ228" s="9083" t="n"/>
      <c r="AR228" s="11717" t="n"/>
      <c r="AS228" s="11717" t="n"/>
      <c r="AT228" s="11717" t="n"/>
      <c r="AU228" s="2888" t="n"/>
      <c r="AV228" s="571" t="n"/>
      <c r="AW228" s="571" t="n"/>
      <c r="AX228" s="6490" t="inlineStr">
        <is>
          <t>dividends and capital gains. If so, you must make this election by not completing ths worksheet.</t>
        </is>
      </c>
      <c r="AY228" s="1388" t="n"/>
      <c r="AZ228" s="1027" t="n"/>
      <c r="BA228" s="1027" t="n"/>
      <c r="BB228" s="1027" t="n"/>
      <c r="BC228" s="1027" t="n"/>
      <c r="BD228" s="1027" t="n"/>
      <c r="BE228" s="1027" t="n"/>
      <c r="BF228" s="1027" t="n"/>
      <c r="BG228" s="1027" t="n"/>
      <c r="BH228" s="1389" t="n"/>
    </row>
    <row r="229" ht="14.25" customHeight="1" s="7635">
      <c r="A229" s="2112" t="n"/>
      <c r="B229" s="4178" t="n"/>
      <c r="C229" s="4178" t="n"/>
      <c r="D229" s="979" t="inlineStr">
        <is>
          <t>Caution: If you figured your tax using the lower rates on qualified dividends or capital gains, see</t>
        </is>
      </c>
      <c r="E229" s="733" t="n"/>
      <c r="F229" s="7209" t="n"/>
      <c r="G229" s="11602" t="n"/>
      <c r="H229" s="11602" t="n"/>
      <c r="I229" s="11602" t="n"/>
      <c r="J229" s="11602" t="n"/>
      <c r="K229" s="11602" t="n"/>
      <c r="L229" s="11602" t="n"/>
      <c r="M229" s="11602" t="n"/>
      <c r="N229" s="11602" t="n"/>
      <c r="O229" s="11602" t="n"/>
      <c r="P229" s="7642" t="n"/>
      <c r="Q229" s="733" t="n"/>
      <c r="R229" s="7209" t="n"/>
      <c r="S229" s="344" t="n"/>
      <c r="T229" s="11602" t="n"/>
      <c r="U229" s="11602" t="n"/>
      <c r="V229" s="11602" t="n"/>
      <c r="W229" s="11602" t="n"/>
      <c r="X229" s="11602" t="n"/>
      <c r="Y229" s="11602" t="n"/>
      <c r="Z229" s="11602" t="n"/>
      <c r="AA229" s="11602" t="n"/>
      <c r="AB229" s="11602" t="n"/>
      <c r="AC229" s="11602" t="n"/>
      <c r="AD229" s="7642" t="n"/>
      <c r="AE229" s="733" t="n"/>
      <c r="AF229" s="7209" t="n"/>
      <c r="AG229" s="11602" t="n"/>
      <c r="AH229" s="11602" t="n"/>
      <c r="AI229" s="11602" t="n"/>
      <c r="AJ229" s="12272" t="n"/>
      <c r="AK229" s="7636" t="n"/>
      <c r="AL229" s="11602" t="n"/>
      <c r="AM229" s="11602" t="n"/>
      <c r="AN229" s="11602" t="n"/>
      <c r="AO229" s="11602" t="n"/>
      <c r="AP229" s="1277" t="n"/>
      <c r="AQ229" s="1277" t="n"/>
      <c r="AR229" s="1277" t="n"/>
      <c r="AS229" s="1277" t="n"/>
      <c r="AT229" s="1277" t="n"/>
      <c r="AU229" s="1277" t="n"/>
      <c r="AV229" s="11602" t="n"/>
      <c r="AW229" s="11602" t="n"/>
      <c r="AX229" s="12254" t="inlineStr">
        <is>
          <t>Worksheet for Line 18 (Worldwide Qualified Dividends and Capital Gains)</t>
        </is>
      </c>
      <c r="AY229" s="2506" t="n"/>
      <c r="AZ229" s="2506" t="n"/>
      <c r="BA229" s="2506" t="n"/>
      <c r="BB229" s="2506" t="n"/>
      <c r="BC229" s="2506" t="n"/>
      <c r="BD229" s="2506" t="n"/>
      <c r="BE229" s="2506" t="n"/>
      <c r="BF229" s="12255" t="inlineStr">
        <is>
          <t>Keep for Your Records</t>
        </is>
      </c>
      <c r="BG229" s="2506" t="n"/>
      <c r="BH229" s="4191" t="n"/>
    </row>
    <row r="230" ht="13.5" customFormat="1" customHeight="1" s="138">
      <c r="A230" s="2112" t="n"/>
      <c r="B230" s="11602" t="n"/>
      <c r="C230" s="343" t="n"/>
      <c r="D230" s="571" t="inlineStr">
        <is>
          <t>instructions.</t>
        </is>
      </c>
      <c r="E230" s="11602" t="n"/>
      <c r="F230" s="11602" t="n"/>
      <c r="G230" s="11602" t="n"/>
      <c r="H230" s="11602" t="n"/>
      <c r="I230" s="11602" t="n"/>
      <c r="J230" s="11602" t="n"/>
      <c r="K230" s="11602" t="n"/>
      <c r="L230" s="11602" t="n"/>
      <c r="M230" s="11602" t="n"/>
      <c r="N230" s="11602" t="n"/>
      <c r="O230" s="11602" t="n"/>
      <c r="P230" s="11602" t="n"/>
      <c r="Q230" s="11602" t="n"/>
      <c r="R230" s="11602" t="n"/>
      <c r="S230" s="11602" t="n"/>
      <c r="T230" s="794" t="n"/>
      <c r="U230" s="11602" t="n"/>
      <c r="V230" s="11602" t="n"/>
      <c r="W230" s="11602" t="n"/>
      <c r="X230" s="11602" t="n"/>
      <c r="Y230" s="11602" t="n"/>
      <c r="Z230" s="11602" t="n"/>
      <c r="AA230" s="11602" t="n"/>
      <c r="AB230" s="11602" t="n"/>
      <c r="AC230" s="11602" t="n"/>
      <c r="AD230" s="11602" t="n"/>
      <c r="AE230" s="11602" t="n"/>
      <c r="AF230" s="11602" t="n"/>
      <c r="AG230" s="11602" t="n"/>
      <c r="AH230" s="11602" t="n"/>
      <c r="AI230" s="11602" t="n"/>
      <c r="AJ230" s="12272" t="n"/>
      <c r="AK230" s="7636" t="n"/>
      <c r="AL230" s="11602" t="n"/>
      <c r="AM230" s="11602" t="n"/>
      <c r="AN230" s="11602" t="n"/>
      <c r="AO230" s="11602" t="n"/>
      <c r="AP230" s="1277" t="n"/>
      <c r="AQ230" s="1277" t="n"/>
      <c r="AR230" s="1277" t="n"/>
      <c r="AS230" s="1277" t="n"/>
      <c r="AT230" s="1277" t="n"/>
      <c r="AU230" s="1277" t="n"/>
      <c r="AV230" s="11602" t="n"/>
      <c r="AW230" s="11602" t="n"/>
      <c r="AX230" s="11907" t="n"/>
      <c r="AY230" s="7637" t="n"/>
      <c r="AZ230" s="7637" t="n"/>
      <c r="BA230" s="7637" t="n"/>
      <c r="BB230" s="7637" t="n"/>
      <c r="BC230" s="7637" t="n"/>
      <c r="BD230" s="7637" t="n"/>
      <c r="BE230" s="7637" t="n"/>
      <c r="BF230" s="7637" t="n"/>
      <c r="BG230" s="7637" t="n"/>
      <c r="BH230" s="4192" t="n"/>
    </row>
    <row r="231" ht="13.5" customHeight="1" s="7635">
      <c r="A231" s="2112" t="n"/>
      <c r="B231" s="8965" t="n">
        <v>19</v>
      </c>
      <c r="D231" s="344" t="inlineStr">
        <is>
          <t>Divide line 17 by line 18. If line 17 is more than line 18, enter “1”</t>
        </is>
      </c>
      <c r="E231" s="11602" t="n"/>
      <c r="F231" s="8650" t="n"/>
      <c r="G231" s="11602" t="n"/>
      <c r="H231" s="11602" t="n"/>
      <c r="I231" s="11602" t="n"/>
      <c r="J231" s="11602" t="n"/>
      <c r="K231" s="11602" t="n"/>
      <c r="L231" s="11602" t="n"/>
      <c r="M231" s="11602" t="n"/>
      <c r="N231" s="11602" t="n"/>
      <c r="O231" s="11602" t="n"/>
      <c r="P231" s="11602" t="n"/>
      <c r="Q231" s="11602" t="n"/>
      <c r="R231" s="11602" t="n"/>
      <c r="S231" s="11602" t="n"/>
      <c r="T231" s="11602" t="n"/>
      <c r="U231" s="11602" t="n"/>
      <c r="V231" s="11602" t="n"/>
      <c r="W231" s="11602" t="n"/>
      <c r="X231" s="11602" t="n"/>
      <c r="Y231" s="11602" t="n"/>
      <c r="Z231" s="11602" t="n"/>
      <c r="AA231" s="11602" t="n"/>
      <c r="AB231" s="11602" t="n"/>
      <c r="AC231" s="11602" t="n"/>
      <c r="AD231" s="11602" t="n"/>
      <c r="AE231" s="11602" t="n"/>
      <c r="AF231" s="11602" t="n"/>
      <c r="AG231" s="11602" t="n"/>
      <c r="AH231" s="11602" t="n"/>
      <c r="AI231" s="1401" t="inlineStr">
        <is>
          <t xml:space="preserve">.   .   .   .   .   .   .   .   .   .   .   .   .   .   .  </t>
        </is>
      </c>
      <c r="AJ231" s="2895" t="n">
        <v>19</v>
      </c>
      <c r="AK231" s="7638" t="n"/>
      <c r="AL231" s="12258">
        <f>IF(AQ231&lt;&gt;"",ROUND(AQ231,4),IF(AB225,"",IF(OR(AB228="",AB228=0),"                    ---",IF(AB224&gt;AB228,1,ROUND(AB224/AB228,4)))))</f>
        <v/>
      </c>
      <c r="AM231" s="7637" t="n"/>
      <c r="AN231" s="7637" t="n"/>
      <c r="AO231" s="7637" t="n"/>
      <c r="AP231" s="1277" t="n"/>
      <c r="AQ231" s="12259" t="n"/>
      <c r="AR231" s="11717" t="n"/>
      <c r="AS231" s="11717" t="n"/>
      <c r="AT231" s="11717" t="n"/>
      <c r="AU231" s="1277" t="n"/>
      <c r="AV231" s="11602" t="n"/>
      <c r="AW231" s="11602" t="n"/>
      <c r="AX231" s="4193" t="n"/>
      <c r="AY231" s="851" t="n"/>
      <c r="AZ231" s="851" t="n"/>
      <c r="BA231" s="851" t="n"/>
      <c r="BB231" s="851" t="n"/>
      <c r="BC231" s="851" t="n"/>
      <c r="BD231" s="851" t="n"/>
      <c r="BE231" s="851" t="n"/>
      <c r="BF231" s="851" t="n"/>
      <c r="BG231" s="851" t="n"/>
      <c r="BH231" s="4194" t="n"/>
    </row>
    <row r="232" ht="13.5" customHeight="1" s="7635">
      <c r="A232" s="2112" t="n"/>
      <c r="B232" s="8966" t="n">
        <v>20</v>
      </c>
      <c r="D232" s="344" t="inlineStr">
        <is>
          <t>Individuals: Enter the total of Form 1040 or 1040-SR, line 16, and Schedule 2 (Form 1040),</t>
        </is>
      </c>
      <c r="E232" s="11602" t="n"/>
      <c r="F232" s="8650" t="n"/>
      <c r="G232" s="11602" t="n"/>
      <c r="H232" s="11602" t="n"/>
      <c r="I232" s="11602" t="n"/>
      <c r="J232" s="11602" t="n"/>
      <c r="K232" s="11602" t="n"/>
      <c r="L232" s="11602" t="n"/>
      <c r="M232" s="11602" t="n"/>
      <c r="N232" s="11602" t="n"/>
      <c r="O232" s="11602" t="n"/>
      <c r="P232" s="11602" t="n"/>
      <c r="Q232" s="11602" t="n"/>
      <c r="R232" s="11602" t="n"/>
      <c r="S232" s="11602" t="n"/>
      <c r="T232" s="11602" t="n"/>
      <c r="U232" s="11602" t="n"/>
      <c r="V232" s="11602" t="n"/>
      <c r="W232" s="11602" t="n"/>
      <c r="X232" s="11602" t="n"/>
      <c r="Y232" s="11602" t="n"/>
      <c r="Z232" s="11602" t="n"/>
      <c r="AA232" s="11602" t="n"/>
      <c r="AB232" s="11602" t="n"/>
      <c r="AC232" s="11602" t="n"/>
      <c r="AD232" s="11602" t="n"/>
      <c r="AE232" s="11602" t="n"/>
      <c r="AF232" s="11602" t="n"/>
      <c r="AG232" s="11602" t="n"/>
      <c r="AH232" s="11602" t="n"/>
      <c r="AI232" s="11602" t="n"/>
      <c r="AJ232" s="9085" t="n"/>
      <c r="AL232" s="408" t="n"/>
      <c r="AM232" s="11602" t="n"/>
      <c r="AN232" s="11602" t="n"/>
      <c r="AO232" s="11602" t="n"/>
      <c r="AP232" s="1277" t="n"/>
      <c r="AQ232" s="1277" t="n"/>
      <c r="AR232" s="1277" t="n"/>
      <c r="AS232" s="1277" t="n"/>
      <c r="AT232" s="1277" t="n"/>
      <c r="AU232" s="1277" t="n"/>
      <c r="AV232" s="11602" t="n"/>
      <c r="AW232" s="11602" t="n"/>
      <c r="AX232" s="6499" t="inlineStr">
        <is>
          <t>Caution:</t>
        </is>
      </c>
      <c r="AY232" s="1193" t="inlineStr">
        <is>
          <t>See the instructions for line 18 below before starting this worksheet.</t>
        </is>
      </c>
      <c r="AZ232" s="851" t="n"/>
      <c r="BA232" s="851" t="n"/>
      <c r="BB232" s="851" t="n"/>
      <c r="BC232" s="851" t="n"/>
      <c r="BD232" s="851" t="n"/>
      <c r="BE232" s="851" t="n"/>
      <c r="BF232" s="851" t="n"/>
      <c r="BG232" s="851" t="n"/>
      <c r="BH232" s="4194" t="n"/>
    </row>
    <row r="233">
      <c r="A233" s="2112" t="n"/>
      <c r="B233" s="1321" t="n"/>
      <c r="C233" s="1321" t="n"/>
      <c r="D233" s="344" t="inlineStr">
        <is>
          <t>line 1z. Estates and trusts: See instructions.</t>
        </is>
      </c>
      <c r="E233" s="11602" t="n"/>
      <c r="F233" s="11602" t="n"/>
      <c r="G233" s="11602" t="n"/>
      <c r="H233" s="11602" t="n"/>
      <c r="I233" s="11602" t="n"/>
      <c r="J233" s="11602" t="n"/>
      <c r="K233" s="11602" t="n"/>
      <c r="L233" s="11602" t="n"/>
      <c r="M233" s="11602" t="n"/>
      <c r="N233" s="11602" t="n"/>
      <c r="O233" s="11602" t="n"/>
      <c r="P233" s="11602" t="n"/>
      <c r="Q233" s="11602" t="n"/>
      <c r="R233" s="11602" t="n"/>
      <c r="S233" s="11602" t="n"/>
      <c r="T233" s="11602" t="n"/>
      <c r="U233" s="11602" t="n"/>
      <c r="V233" s="11602" t="n"/>
      <c r="W233" s="11602" t="n"/>
      <c r="X233" s="11602" t="n"/>
      <c r="Y233" s="11602" t="n"/>
      <c r="Z233" s="11602" t="n"/>
      <c r="AA233" s="11602" t="n"/>
      <c r="AB233" s="11602" t="n"/>
      <c r="AC233" s="11602" t="n"/>
      <c r="AD233" s="11602" t="n"/>
      <c r="AE233" s="11602" t="n"/>
      <c r="AF233" s="11602" t="n"/>
      <c r="AG233" s="11602" t="n"/>
      <c r="AH233" s="11602" t="n"/>
      <c r="AI233" s="1401" t="inlineStr">
        <is>
          <t xml:space="preserve">.   .   .   .   .   .   .   .   .   .   .   .   .   .   .   .   .   .   .   .   .   .   .  </t>
        </is>
      </c>
      <c r="AJ233" s="2895" t="n">
        <v>20</v>
      </c>
      <c r="AK233" s="7638" t="n"/>
      <c r="AL233" s="8991">
        <f>IF(AQ233&lt;&gt;"",ROUND(AQ233,0),IF(AB225,"",IF(AO144&lt;&gt;1,"",SUM(Tax_SubTotal,PTC_ExcessAdv))))</f>
        <v/>
      </c>
      <c r="AM233" s="7637" t="n"/>
      <c r="AN233" s="7637" t="n"/>
      <c r="AO233" s="7637" t="n"/>
      <c r="AP233" s="1277" t="n"/>
      <c r="AQ233" s="8957" t="n"/>
      <c r="AR233" s="11717" t="n"/>
      <c r="AS233" s="11717" t="n"/>
      <c r="AT233" s="11717" t="n"/>
      <c r="AU233" s="1277" t="n"/>
      <c r="AV233" s="11602" t="n"/>
      <c r="AW233" s="11602" t="n"/>
      <c r="AX233" s="4193" t="n"/>
      <c r="AY233" s="851" t="n"/>
      <c r="AZ233" s="851" t="n"/>
      <c r="BA233" s="851" t="n"/>
      <c r="BB233" s="851" t="n"/>
      <c r="BC233" s="851" t="n"/>
      <c r="BD233" s="851" t="n"/>
      <c r="BE233" s="851" t="n"/>
      <c r="BF233" s="851" t="n"/>
      <c r="BG233" s="851" t="n"/>
      <c r="BH233" s="4194" t="n"/>
    </row>
    <row r="234" ht="15.75" customHeight="1" s="7635">
      <c r="A234" s="2112" t="n"/>
      <c r="B234" s="8966" t="n"/>
      <c r="D234" s="344" t="inlineStr">
        <is>
          <t>Caution: If you are completing line 20 for separate category g (lump-sum distributions), or, if you file</t>
        </is>
      </c>
      <c r="E234" s="11602" t="n"/>
      <c r="F234" s="8650" t="n"/>
      <c r="G234" s="11602" t="n"/>
      <c r="H234" s="11602" t="n"/>
      <c r="I234" s="11602" t="n"/>
      <c r="J234" s="11602" t="n"/>
      <c r="K234" s="11602" t="n"/>
      <c r="L234" s="11602" t="n"/>
      <c r="M234" s="11602" t="n"/>
      <c r="N234" s="11602" t="n"/>
      <c r="O234" s="11602" t="n"/>
      <c r="P234" s="11602" t="n"/>
      <c r="Q234" s="11602" t="n"/>
      <c r="R234" s="11602" t="n"/>
      <c r="S234" s="11602" t="n"/>
      <c r="T234" s="11602" t="n"/>
      <c r="U234" s="11602" t="n"/>
      <c r="V234" s="11602" t="n"/>
      <c r="W234" s="11602" t="n"/>
      <c r="X234" s="11602" t="n"/>
      <c r="Y234" s="11602" t="n"/>
      <c r="Z234" s="11602" t="n"/>
      <c r="AA234" s="11602" t="n"/>
      <c r="AB234" s="11602" t="n"/>
      <c r="AC234" s="11602" t="n"/>
      <c r="AD234" s="11602" t="n"/>
      <c r="AE234" s="11602" t="n"/>
      <c r="AF234" s="11602" t="n"/>
      <c r="AG234" s="11602" t="n"/>
      <c r="AH234" s="11602" t="n"/>
      <c r="AI234" s="11602" t="n"/>
      <c r="AJ234" s="408" t="n"/>
      <c r="AK234" s="409" t="n"/>
      <c r="AL234" s="11602" t="n"/>
      <c r="AM234" s="11602" t="n"/>
      <c r="AN234" s="11602" t="n"/>
      <c r="AO234" s="11602" t="n"/>
      <c r="AP234" s="1277" t="n"/>
      <c r="AQ234" s="1277" t="n"/>
      <c r="AR234" s="1277" t="n"/>
      <c r="AS234" s="1277" t="n"/>
      <c r="AT234" s="1277" t="n"/>
      <c r="AU234" s="1277" t="n"/>
      <c r="AV234" s="11602" t="n"/>
      <c r="AW234" s="11602" t="n"/>
      <c r="AX234" s="4195" t="inlineStr">
        <is>
          <t>1.</t>
        </is>
      </c>
      <c r="AY234" s="1193" t="inlineStr">
        <is>
          <t>Individuals: Enter the sum of (i) Form 1040, 1040-SR, or 1040-NR, line 11b, minus Form</t>
        </is>
      </c>
      <c r="AZ234" s="851" t="n"/>
      <c r="BA234" s="851" t="n"/>
      <c r="BB234" s="851" t="n"/>
      <c r="BC234" s="851" t="n"/>
      <c r="BD234" s="851" t="n"/>
      <c r="BE234" s="851" t="n"/>
      <c r="BF234" s="851" t="n"/>
      <c r="BG234" s="990">
        <f>IF(TotalDeductions="",0,TotalDeductions)</f>
        <v/>
      </c>
      <c r="BH234" s="4194" t="n"/>
    </row>
    <row r="235" ht="13.5" customHeight="1" s="7635">
      <c r="A235" s="2112" t="n"/>
      <c r="B235" s="344" t="n"/>
      <c r="C235" s="344" t="n"/>
      <c r="D235" s="571" t="inlineStr">
        <is>
          <t>Form 8978, Partner’s Additional Reporting Year Tax, see instructions.</t>
        </is>
      </c>
      <c r="E235" s="11602" t="n"/>
      <c r="F235" s="11602" t="n"/>
      <c r="G235" s="11602" t="n"/>
      <c r="H235" s="11602" t="n"/>
      <c r="I235" s="11602" t="n"/>
      <c r="J235" s="11602" t="n"/>
      <c r="K235" s="11602" t="n"/>
      <c r="L235" s="11602" t="n"/>
      <c r="M235" s="11602" t="n"/>
      <c r="N235" s="11602" t="n"/>
      <c r="O235" s="11602" t="n"/>
      <c r="P235" s="11602" t="n"/>
      <c r="Q235" s="11602" t="n"/>
      <c r="R235" s="11602" t="n"/>
      <c r="S235" s="11602" t="n"/>
      <c r="T235" s="794" t="n"/>
      <c r="U235" s="11602" t="n"/>
      <c r="V235" s="11602" t="n"/>
      <c r="W235" s="11602" t="n"/>
      <c r="X235" s="11602" t="n"/>
      <c r="Y235" s="11602" t="n"/>
      <c r="Z235" s="11602" t="n"/>
      <c r="AA235" s="11602" t="n"/>
      <c r="AB235" s="11602" t="n"/>
      <c r="AC235" s="11602" t="n"/>
      <c r="AD235" s="11602" t="n"/>
      <c r="AE235" s="11602" t="n"/>
      <c r="AF235" s="11602" t="n"/>
      <c r="AG235" s="11602" t="n"/>
      <c r="AH235" s="11602" t="n"/>
      <c r="AI235" s="11602" t="n"/>
      <c r="AJ235" s="408" t="n"/>
      <c r="AK235" s="409" t="n"/>
      <c r="AL235" s="11602" t="n"/>
      <c r="AM235" s="11602" t="n"/>
      <c r="AN235" s="11602" t="n"/>
      <c r="AO235" s="11602" t="n"/>
      <c r="AP235" s="1277" t="n"/>
      <c r="AQ235" s="1277" t="n"/>
      <c r="AR235" s="1277" t="n"/>
      <c r="AS235" s="1277" t="n"/>
      <c r="AT235" s="1277" t="n"/>
      <c r="AU235" s="1277" t="n"/>
      <c r="AV235" s="11602" t="n"/>
      <c r="AW235" s="11602" t="n"/>
      <c r="AX235" s="4195" t="n"/>
      <c r="AY235" s="1193" t="inlineStr">
        <is>
          <t>1040, 1040-SR, or 1040-NR, line 14; and (ii) Schedule 1-A (Form 1040), line 37.</t>
        </is>
      </c>
      <c r="AZ235" s="851" t="n"/>
      <c r="BA235" s="851" t="n"/>
      <c r="BB235" s="851" t="n"/>
      <c r="BC235" s="851" t="n"/>
      <c r="BD235" s="851" t="n"/>
      <c r="BE235" s="851" t="n"/>
      <c r="BF235" s="851" t="n"/>
      <c r="BG235" s="990">
        <f>IF(DeductionForSeniors="",0,DeductionForSeniors)</f>
        <v/>
      </c>
      <c r="BH235" s="4194" t="n"/>
    </row>
    <row r="236" ht="13.5" customHeight="1" s="7635">
      <c r="A236" s="2112" t="n"/>
      <c r="B236" s="8965" t="n">
        <v>21</v>
      </c>
      <c r="D236" s="11602" t="inlineStr">
        <is>
          <t>Multiply line 20 by line 19 (maximum amount of credit)</t>
        </is>
      </c>
      <c r="E236" s="11602" t="n"/>
      <c r="F236" s="11602" t="n"/>
      <c r="G236" s="11602" t="n"/>
      <c r="H236" s="11602" t="n"/>
      <c r="I236" s="11602" t="n"/>
      <c r="J236" s="11602" t="n"/>
      <c r="K236" s="11602" t="n"/>
      <c r="L236" s="11602" t="n"/>
      <c r="M236" s="11602" t="n"/>
      <c r="N236" s="11602" t="n"/>
      <c r="O236" s="11602" t="n"/>
      <c r="P236" s="11602" t="n"/>
      <c r="Q236" s="11602" t="n"/>
      <c r="R236" s="11602" t="n"/>
      <c r="S236" s="11602" t="n"/>
      <c r="T236" s="794" t="n"/>
      <c r="U236" s="11602" t="n"/>
      <c r="V236" s="11602" t="n"/>
      <c r="W236" s="11602" t="n"/>
      <c r="X236" s="11602" t="n"/>
      <c r="Y236" s="11602" t="n"/>
      <c r="Z236" s="11602" t="n"/>
      <c r="AA236" s="11602" t="n"/>
      <c r="AB236" s="11602" t="n"/>
      <c r="AC236" s="11602" t="n"/>
      <c r="AD236" s="11602" t="n"/>
      <c r="AE236" s="11602" t="n"/>
      <c r="AF236" s="11602" t="n"/>
      <c r="AG236" s="11602" t="n"/>
      <c r="AH236" s="11602" t="n"/>
      <c r="AI236" s="1401" t="inlineStr">
        <is>
          <t xml:space="preserve">.   .   .   .   .   .   .   .   .   .   .   .   .   .   .   .   .   .  </t>
        </is>
      </c>
      <c r="AJ236" s="2895" t="n">
        <v>21</v>
      </c>
      <c r="AK236" s="7638" t="n"/>
      <c r="AL236" s="8991">
        <f>IF(AB225,"",IF(ISERROR(AL231*AL234),"                    ---",ROUND(AL231*AL233,0)))</f>
        <v/>
      </c>
      <c r="AM236" s="7637" t="n"/>
      <c r="AN236" s="7637" t="n"/>
      <c r="AO236" s="7637" t="n"/>
      <c r="AP236" s="1277" t="n"/>
      <c r="AQ236" s="1277" t="n"/>
      <c r="AR236" s="1277" t="n"/>
      <c r="AS236" s="1277" t="n"/>
      <c r="AT236" s="1277" t="n"/>
      <c r="AU236" s="1277" t="n"/>
      <c r="AV236" s="11602" t="n"/>
      <c r="AW236" s="11602" t="n"/>
      <c r="AX236" s="4193" t="n"/>
      <c r="AY236" s="1193" t="inlineStr">
        <is>
          <t>Estates and trusts: Enter taxable income without the deduction for your exemption</t>
        </is>
      </c>
      <c r="AZ236" s="851" t="n"/>
      <c r="BA236" s="851" t="n"/>
      <c r="BB236" s="851" t="n"/>
      <c r="BC236" s="851" t="n"/>
      <c r="BD236" s="851" t="n"/>
      <c r="BE236" s="1027" t="n"/>
      <c r="BF236" s="1028" t="inlineStr">
        <is>
          <t>1.</t>
        </is>
      </c>
      <c r="BG236" s="1030">
        <f>IF(NOT(AX226),"",SUM(Adj_Gross_Inc_Pg2,-BG234,BG235))</f>
        <v/>
      </c>
      <c r="BH236" s="4194" t="n"/>
    </row>
    <row r="237" ht="13.5" customHeight="1" s="7635">
      <c r="A237" s="2112" t="n"/>
      <c r="B237" s="8966" t="n">
        <v>22</v>
      </c>
      <c r="D237" s="344" t="inlineStr">
        <is>
          <t>Increase in limitation (section 960(c))</t>
        </is>
      </c>
      <c r="E237" s="11602" t="n"/>
      <c r="F237" s="11602" t="n"/>
      <c r="G237" s="11602" t="n"/>
      <c r="H237" s="11602" t="n"/>
      <c r="I237" s="11602" t="n"/>
      <c r="J237" s="11602" t="n"/>
      <c r="K237" s="11602" t="n"/>
      <c r="L237" s="11602" t="n"/>
      <c r="M237" s="11602" t="n"/>
      <c r="N237" s="11602" t="n"/>
      <c r="O237" s="11602" t="n"/>
      <c r="P237" s="11602" t="n"/>
      <c r="Q237" s="11602" t="n"/>
      <c r="R237" s="11602" t="n"/>
      <c r="S237" s="11602" t="n"/>
      <c r="T237" s="794" t="n"/>
      <c r="U237" s="11602" t="n"/>
      <c r="V237" s="11602" t="n"/>
      <c r="W237" s="11602" t="n"/>
      <c r="X237" s="11602" t="n"/>
      <c r="Y237" s="11602" t="n"/>
      <c r="Z237" s="11602" t="n"/>
      <c r="AA237" s="11602" t="n"/>
      <c r="AB237" s="11602" t="n"/>
      <c r="AC237" s="11602" t="n"/>
      <c r="AD237" s="11602" t="n"/>
      <c r="AE237" s="11602" t="n"/>
      <c r="AF237" s="11602" t="n"/>
      <c r="AG237" s="11602" t="n"/>
      <c r="AH237" s="11602" t="n"/>
      <c r="AI237" s="1401" t="inlineStr">
        <is>
          <t xml:space="preserve">.   .   .   .   .   .   .   .   .   .   .   .   .   .   .   .   .   .   .   .   .   .   .   .   .  </t>
        </is>
      </c>
      <c r="AJ237" s="2895" t="n">
        <v>22</v>
      </c>
      <c r="AK237" s="7638" t="n"/>
      <c r="AL237" s="9017" t="n"/>
      <c r="AM237" s="11717" t="n"/>
      <c r="AN237" s="11717" t="n"/>
      <c r="AO237" s="11717" t="n"/>
      <c r="AP237" s="1277" t="n"/>
      <c r="AQ237" s="8949">
        <f>IF(AL237&lt;&gt;"",ROUND(AL237,0),0)</f>
        <v/>
      </c>
      <c r="AU237" s="1277" t="n"/>
      <c r="AV237" s="11602" t="n"/>
      <c r="AW237" s="11602" t="n"/>
      <c r="AX237" s="4195" t="inlineStr">
        <is>
          <t>2.</t>
        </is>
      </c>
      <c r="AY237" s="1193">
        <f>"Enter your worldwide "&amp;TEXT(BF237,"0%")&amp;" gains (see instructions)"</f>
        <v/>
      </c>
      <c r="AZ237" s="851" t="n"/>
      <c r="BA237" s="851" t="n"/>
      <c r="BB237" s="851" t="n"/>
      <c r="BC237" s="851" t="n"/>
      <c r="BD237" s="4196" t="inlineStr">
        <is>
          <t>2.</t>
        </is>
      </c>
      <c r="BE237" s="7843" t="n"/>
      <c r="BF237" s="4197" t="n">
        <v>0.28</v>
      </c>
      <c r="BG237" s="851" t="n"/>
      <c r="BH237" s="4194" t="n"/>
    </row>
    <row r="238" ht="15.75" customHeight="1" s="7635">
      <c r="A238" s="2112" t="n"/>
      <c r="B238" s="8966" t="n">
        <v>23</v>
      </c>
      <c r="D238" s="344" t="inlineStr">
        <is>
          <t>Add lines 21 and 22</t>
        </is>
      </c>
      <c r="E238" s="11602" t="n"/>
      <c r="F238" s="11602" t="n"/>
      <c r="G238" s="11602" t="n"/>
      <c r="H238" s="11602" t="n"/>
      <c r="I238" s="11602" t="n"/>
      <c r="J238" s="11602" t="n"/>
      <c r="K238" s="11602" t="n"/>
      <c r="L238" s="11602" t="n"/>
      <c r="M238" s="11602" t="n"/>
      <c r="N238" s="11602" t="n"/>
      <c r="O238" s="11602" t="n"/>
      <c r="P238" s="11602" t="n"/>
      <c r="Q238" s="11602" t="n"/>
      <c r="R238" s="11602" t="n"/>
      <c r="S238" s="11602" t="n"/>
      <c r="T238" s="794" t="n"/>
      <c r="U238" s="11602" t="n"/>
      <c r="V238" s="11602" t="n"/>
      <c r="W238" s="11602" t="n"/>
      <c r="X238" s="11602" t="n"/>
      <c r="Y238" s="11602" t="n"/>
      <c r="Z238" s="11602" t="n"/>
      <c r="AA238" s="11602" t="n"/>
      <c r="AB238" s="11602" t="n"/>
      <c r="AC238" s="11602" t="n"/>
      <c r="AD238" s="11602" t="n"/>
      <c r="AE238" s="11602" t="n"/>
      <c r="AF238" s="11602" t="n"/>
      <c r="AG238" s="11602" t="n"/>
      <c r="AH238" s="11602" t="n"/>
      <c r="AI238" s="1401" t="inlineStr">
        <is>
          <t xml:space="preserve">.   .   .   .   .   .   .   .   .   .   .   .   .   .   .   .   .   .   .   .   .   .   .   .   .   .   .   .   .   .  </t>
        </is>
      </c>
      <c r="AJ238" s="2895" t="n">
        <v>23</v>
      </c>
      <c r="AK238" s="7638" t="n"/>
      <c r="AL238" s="8991">
        <f>IF(AB225,"",SUM(AL236,AQ237))</f>
        <v/>
      </c>
      <c r="AM238" s="7637" t="n"/>
      <c r="AN238" s="7637" t="n"/>
      <c r="AO238" s="7637" t="n"/>
      <c r="AP238" s="1277" t="n"/>
      <c r="AQ238" s="1277" t="n"/>
      <c r="AR238" s="1277" t="n"/>
      <c r="AS238" s="1277" t="n"/>
      <c r="AT238" s="1277" t="n"/>
      <c r="AU238" s="1277" t="n"/>
      <c r="AV238" s="11602" t="n"/>
      <c r="AW238" s="11602" t="n"/>
      <c r="AX238" s="4195" t="inlineStr">
        <is>
          <t>3.</t>
        </is>
      </c>
      <c r="AY238" s="1193">
        <f>"Multiply line 2 by "&amp;TEXT(BF238,"0.0000")</f>
        <v/>
      </c>
      <c r="AZ238" s="851" t="n"/>
      <c r="BA238" s="851" t="n"/>
      <c r="BB238" s="851" t="n"/>
      <c r="BC238" s="851" t="n"/>
      <c r="BD238" s="4196" t="inlineStr">
        <is>
          <t>3.</t>
        </is>
      </c>
      <c r="BE238" s="7842">
        <f>IF(BE237&lt;&gt;"",ROUND(BE237*BF238,0),"")</f>
        <v/>
      </c>
      <c r="BF238" s="12260" t="n">
        <v>0.2432</v>
      </c>
      <c r="BG238" s="851" t="n"/>
      <c r="BH238" s="4194" t="n"/>
    </row>
    <row r="239" ht="13.5" customHeight="1" s="7635" thickBot="1">
      <c r="A239" s="2112" t="n"/>
      <c r="B239" s="9134" t="n">
        <v>24</v>
      </c>
      <c r="C239" s="8848" t="n"/>
      <c r="D239" s="981" t="inlineStr">
        <is>
          <t>Enter the smaller of line 14 or line 23. Enter here and on the appropriate line of Part IV. See instructions</t>
        </is>
      </c>
      <c r="E239" s="380" t="n"/>
      <c r="F239" s="380" t="n"/>
      <c r="G239" s="380" t="n"/>
      <c r="H239" s="380" t="n"/>
      <c r="I239" s="380" t="n"/>
      <c r="J239" s="380" t="n"/>
      <c r="K239" s="380" t="n"/>
      <c r="L239" s="380" t="n"/>
      <c r="M239" s="380" t="n"/>
      <c r="N239" s="380" t="n"/>
      <c r="O239" s="380" t="n"/>
      <c r="P239" s="380" t="n"/>
      <c r="Q239" s="380" t="n"/>
      <c r="R239" s="380" t="n"/>
      <c r="S239" s="380" t="n"/>
      <c r="T239" s="4206" t="n"/>
      <c r="U239" s="380" t="n"/>
      <c r="V239" s="380" t="n"/>
      <c r="W239" s="380" t="n"/>
      <c r="X239" s="380" t="n"/>
      <c r="Y239" s="380" t="n"/>
      <c r="Z239" s="380" t="n"/>
      <c r="AA239" s="380" t="n"/>
      <c r="AB239" s="380" t="n"/>
      <c r="AC239" s="380" t="n"/>
      <c r="AD239" s="380" t="n"/>
      <c r="AE239" s="380" t="n"/>
      <c r="AF239" s="380" t="n"/>
      <c r="AG239" s="380" t="n"/>
      <c r="AH239" s="380" t="n"/>
      <c r="AI239" s="10735" t="n"/>
      <c r="AJ239" s="3840" t="n">
        <v>24</v>
      </c>
      <c r="AK239" s="12121" t="n"/>
      <c r="AL239" s="9025">
        <f>IF(AQ239&lt;&gt;"",ROUND(AQ239,0),IF(AB225,"",IF(ISERROR(AL217*AL236),"                    ---",MIN(AL217,AL236))))</f>
        <v/>
      </c>
      <c r="AM239" s="8848" t="n"/>
      <c r="AN239" s="8848" t="n"/>
      <c r="AO239" s="8848" t="n"/>
      <c r="AP239" s="1277" t="n"/>
      <c r="AQ239" s="8957" t="n"/>
      <c r="AR239" s="11717" t="n"/>
      <c r="AS239" s="11717" t="n"/>
      <c r="AT239" s="11717" t="n"/>
      <c r="AU239" s="1277" t="n"/>
      <c r="AV239" s="11602" t="n"/>
      <c r="AW239" s="11602" t="n"/>
      <c r="AX239" s="4195" t="inlineStr">
        <is>
          <t>4.</t>
        </is>
      </c>
      <c r="AY239" s="1193">
        <f>"Enter your worldwide "&amp;TEXT(BF239,"0%")&amp;" gains (see instructions)"</f>
        <v/>
      </c>
      <c r="AZ239" s="851" t="n"/>
      <c r="BA239" s="851" t="n"/>
      <c r="BB239" s="851" t="n"/>
      <c r="BC239" s="851" t="n"/>
      <c r="BD239" s="4196" t="inlineStr">
        <is>
          <t>4.</t>
        </is>
      </c>
      <c r="BE239" s="7843" t="n"/>
      <c r="BF239" s="4197" t="n">
        <v>0.25</v>
      </c>
      <c r="BG239" s="851" t="n"/>
      <c r="BH239" s="4194" t="n"/>
    </row>
    <row r="240" ht="14.25" customHeight="1" s="7635">
      <c r="A240" s="4157" t="n"/>
      <c r="B240" s="9091" t="inlineStr">
        <is>
          <t>Part IV</t>
        </is>
      </c>
      <c r="C240" s="7637" t="n"/>
      <c r="D240" s="7637" t="n"/>
      <c r="E240" s="7772" t="n"/>
      <c r="F240" s="342" t="inlineStr">
        <is>
          <t>Summary of Credits From Separate Parts III   (Enter amounts from Part III, line 24, for each applicable</t>
        </is>
      </c>
      <c r="G240" s="7772" t="n"/>
      <c r="H240" s="7772" t="n"/>
      <c r="I240" s="7772" t="n"/>
      <c r="J240" s="7772" t="n"/>
      <c r="K240" s="7772" t="n"/>
      <c r="L240" s="7772" t="n"/>
      <c r="M240" s="7772" t="n"/>
      <c r="N240" s="7772" t="n"/>
      <c r="O240" s="7772" t="n"/>
      <c r="P240" s="7772" t="n"/>
      <c r="Q240" s="7772" t="n"/>
      <c r="R240" s="7772" t="n"/>
      <c r="S240" s="7772" t="n"/>
      <c r="T240" s="7772" t="n"/>
      <c r="U240" s="7772" t="n"/>
      <c r="V240" s="7772" t="n"/>
      <c r="W240" s="7772" t="n"/>
      <c r="X240" s="7772" t="n"/>
      <c r="Y240" s="7772" t="n"/>
      <c r="Z240" s="7772" t="n"/>
      <c r="AA240" s="7772" t="n"/>
      <c r="AB240" s="7772" t="n"/>
      <c r="AC240" s="7772" t="n"/>
      <c r="AD240" s="7772" t="n"/>
      <c r="AE240" s="7772" t="n"/>
      <c r="AF240" s="7772" t="n"/>
      <c r="AG240" s="7772" t="n"/>
      <c r="AH240" s="7772" t="n"/>
      <c r="AI240" s="7772" t="n"/>
      <c r="AJ240" s="7772" t="n"/>
      <c r="AK240" s="7772" t="n"/>
      <c r="AL240" s="6496" t="n"/>
      <c r="AM240" s="6497" t="n"/>
      <c r="AN240" s="6497" t="n"/>
      <c r="AO240" s="6497" t="n"/>
      <c r="AP240" s="1277" t="n"/>
      <c r="AQ240" s="1277" t="n"/>
      <c r="AR240" s="1277" t="n"/>
      <c r="AS240" s="1277" t="n"/>
      <c r="AT240" s="1277" t="n"/>
      <c r="AU240" s="1277" t="n"/>
      <c r="AV240" s="7772" t="n"/>
      <c r="AW240" s="7772" t="n"/>
      <c r="AX240" s="4195" t="inlineStr">
        <is>
          <t>5.</t>
        </is>
      </c>
      <c r="AY240" s="1193">
        <f>"Multiply line 4 by "&amp;TEXT(BF240,"0.0000")</f>
        <v/>
      </c>
      <c r="AZ240" s="851" t="n"/>
      <c r="BA240" s="851" t="n"/>
      <c r="BB240" s="851" t="n"/>
      <c r="BC240" s="851" t="n"/>
      <c r="BD240" s="4196" t="inlineStr">
        <is>
          <t>5.</t>
        </is>
      </c>
      <c r="BE240" s="7842">
        <f>IF(BE239&lt;&gt;"",ROUND(BE239*BF240,0),"")</f>
        <v/>
      </c>
      <c r="BF240" s="12260" t="n">
        <v>0.3243</v>
      </c>
      <c r="BG240" s="851" t="n"/>
      <c r="BH240" s="4194" t="n"/>
    </row>
    <row r="241" ht="14.25" customHeight="1" s="7635">
      <c r="A241" s="4157" t="n"/>
      <c r="B241" s="3879" t="n"/>
      <c r="C241" s="3879" t="n"/>
      <c r="D241" s="3879" t="n"/>
      <c r="E241" s="3879" t="n"/>
      <c r="F241" s="2002" t="inlineStr">
        <is>
          <t>category of income. Don’t include taxes paid to sanctioned countries.) See instructions.</t>
        </is>
      </c>
      <c r="G241" s="1998" t="n"/>
      <c r="H241" s="1998" t="n"/>
      <c r="I241" s="1998" t="n"/>
      <c r="J241" s="1998" t="n"/>
      <c r="K241" s="1998" t="n"/>
      <c r="L241" s="1998" t="n"/>
      <c r="M241" s="1998" t="n"/>
      <c r="N241" s="1998" t="n"/>
      <c r="O241" s="1998" t="n"/>
      <c r="P241" s="1998" t="n"/>
      <c r="Q241" s="1998" t="n"/>
      <c r="R241" s="1998" t="n"/>
      <c r="S241" s="1998" t="n"/>
      <c r="T241" s="1998" t="n"/>
      <c r="U241" s="1998" t="n"/>
      <c r="V241" s="1998" t="n"/>
      <c r="W241" s="1998" t="n"/>
      <c r="X241" s="1998" t="n"/>
      <c r="Y241" s="1998" t="n"/>
      <c r="Z241" s="1998" t="n"/>
      <c r="AA241" s="1998" t="n"/>
      <c r="AB241" s="1998" t="n"/>
      <c r="AC241" s="1998" t="n"/>
      <c r="AD241" s="1998" t="n"/>
      <c r="AE241" s="1998" t="n"/>
      <c r="AF241" s="1998" t="n"/>
      <c r="AG241" s="1998" t="n"/>
      <c r="AH241" s="1998" t="n"/>
      <c r="AI241" s="1998" t="n"/>
      <c r="AJ241" s="1998" t="n"/>
      <c r="AK241" s="1998" t="n"/>
      <c r="AL241" s="9224">
        <f>SUM($AO$22,$AO$144,$AO$265)</f>
        <v/>
      </c>
      <c r="AM241" s="7637" t="n"/>
      <c r="AN241" s="7637" t="n"/>
      <c r="AO241" s="6498">
        <f>AND(AL241&gt;0,AL239=MAX($AL$118,$AL$239,$AL$362),AL239&lt;&gt;$AL$118)</f>
        <v/>
      </c>
      <c r="AP241" s="1277" t="n"/>
      <c r="AQ241" s="1277" t="n"/>
      <c r="AR241" s="1277" t="n"/>
      <c r="AS241" s="1277" t="n"/>
      <c r="AT241" s="1277" t="n"/>
      <c r="AU241" s="1277" t="n"/>
      <c r="AV241" s="11602" t="n"/>
      <c r="AW241" s="11602" t="n"/>
      <c r="AX241" s="4195" t="inlineStr">
        <is>
          <t>6.</t>
        </is>
      </c>
      <c r="AY241" s="1193">
        <f>"Enter your worldwide "&amp;TEXT(BF241,"0%")&amp;" gains (see instructions)"</f>
        <v/>
      </c>
      <c r="AZ241" s="851" t="n"/>
      <c r="BA241" s="851" t="n"/>
      <c r="BB241" s="851" t="n"/>
      <c r="BC241" s="851" t="n"/>
      <c r="BD241" s="4196" t="inlineStr">
        <is>
          <t>6.</t>
        </is>
      </c>
      <c r="BE241" s="7843" t="n"/>
      <c r="BF241" s="4197" t="n">
        <v>0.2</v>
      </c>
      <c r="BG241" s="851" t="n"/>
      <c r="BH241" s="4194" t="n"/>
    </row>
    <row r="242" ht="14.25" customHeight="1" s="7635">
      <c r="A242" s="2112" t="n"/>
      <c r="B242" s="8966" t="n">
        <v>25</v>
      </c>
      <c r="D242" s="344" t="inlineStr">
        <is>
          <t>Credit for taxes on section 951A income</t>
        </is>
      </c>
      <c r="E242" s="11602" t="n"/>
      <c r="F242" s="8650" t="n"/>
      <c r="G242" s="11602" t="n"/>
      <c r="H242" s="11602" t="n"/>
      <c r="I242" s="11602" t="n"/>
      <c r="J242" s="11602" t="n"/>
      <c r="K242" s="11602" t="n"/>
      <c r="L242" s="11602" t="n"/>
      <c r="M242" s="11602" t="n"/>
      <c r="N242" s="11602" t="n"/>
      <c r="O242" s="11602" t="n"/>
      <c r="P242" s="11602" t="n"/>
      <c r="Q242" s="11602" t="n"/>
      <c r="R242" s="11602" t="n"/>
      <c r="S242" s="11602" t="n"/>
      <c r="T242" s="11602" t="n"/>
      <c r="U242" s="11602" t="n"/>
      <c r="V242" s="11602" t="n"/>
      <c r="W242" s="11602" t="n"/>
      <c r="X242" s="580" t="n"/>
      <c r="Y242" s="1401" t="inlineStr">
        <is>
          <t xml:space="preserve">.   .   .   .   .   .   .   .   .   .   .   .   .  </t>
        </is>
      </c>
      <c r="Z242" s="2895" t="n">
        <v>25</v>
      </c>
      <c r="AA242" s="7638" t="n"/>
      <c r="AB242" s="12251">
        <f>IF(AO241,$AR$27,"")</f>
        <v/>
      </c>
      <c r="AC242" s="11717" t="n"/>
      <c r="AD242" s="11717" t="n"/>
      <c r="AE242" s="11717" t="n"/>
      <c r="AF242" s="11717" t="n"/>
      <c r="AG242" s="11717" t="n"/>
      <c r="AH242" s="11717" t="n"/>
      <c r="AI242" s="11718" t="n"/>
      <c r="AJ242" s="8967" t="n"/>
      <c r="AL242" s="408" t="n"/>
      <c r="AM242" s="11602" t="n"/>
      <c r="AN242" s="11602" t="n"/>
      <c r="AO242" s="11602" t="n"/>
      <c r="AP242" s="1277" t="n"/>
      <c r="AQ242" s="512" t="inlineStr">
        <is>
          <t>a</t>
        </is>
      </c>
      <c r="AR242" s="8955">
        <f>IF(C145&lt;&gt;"",AL239,0)</f>
        <v/>
      </c>
      <c r="AV242" s="11602" t="n"/>
      <c r="AW242" s="11602" t="n"/>
      <c r="AX242" s="4195" t="inlineStr">
        <is>
          <t>7.</t>
        </is>
      </c>
      <c r="AY242" s="1193">
        <f>"Multiply line 6 by "&amp;TEXT(BF242,"0.0000")</f>
        <v/>
      </c>
      <c r="AZ242" s="851" t="n"/>
      <c r="BA242" s="851" t="n"/>
      <c r="BB242" s="851" t="n"/>
      <c r="BC242" s="851" t="n"/>
      <c r="BD242" s="4196" t="inlineStr">
        <is>
          <t>7.</t>
        </is>
      </c>
      <c r="BE242" s="7842">
        <f>IF(BE241&lt;&gt;"",ROUND(BE241*BF242,0),"")</f>
        <v/>
      </c>
      <c r="BF242" s="12260" t="n">
        <v>0.4595</v>
      </c>
      <c r="BG242" s="851" t="n"/>
      <c r="BH242" s="4194" t="n"/>
    </row>
    <row r="243" ht="14.25" customHeight="1" s="7635">
      <c r="A243" s="2112" t="n"/>
      <c r="B243" s="8966" t="n">
        <v>26</v>
      </c>
      <c r="D243" s="344" t="inlineStr">
        <is>
          <t>Credit for taxes on foreign branch income</t>
        </is>
      </c>
      <c r="E243" s="11602" t="n"/>
      <c r="F243" s="8650" t="n"/>
      <c r="G243" s="11602" t="n"/>
      <c r="H243" s="11602" t="n"/>
      <c r="I243" s="11602" t="n"/>
      <c r="J243" s="11602" t="n"/>
      <c r="K243" s="11602" t="n"/>
      <c r="L243" s="11602" t="n"/>
      <c r="M243" s="11602" t="n"/>
      <c r="N243" s="11602" t="n"/>
      <c r="O243" s="11602" t="n"/>
      <c r="P243" s="11602" t="n"/>
      <c r="Q243" s="11602" t="n"/>
      <c r="R243" s="11602" t="n"/>
      <c r="S243" s="11602" t="n"/>
      <c r="T243" s="11602" t="n"/>
      <c r="U243" s="11602" t="n"/>
      <c r="V243" s="11602" t="n"/>
      <c r="W243" s="11602" t="n"/>
      <c r="X243" s="580" t="n"/>
      <c r="Y243" s="1401" t="inlineStr">
        <is>
          <t xml:space="preserve">.   .   .   .   .   .   .   .   .   .   .   .  </t>
        </is>
      </c>
      <c r="Z243" s="2895" t="n">
        <v>26</v>
      </c>
      <c r="AA243" s="7638" t="n"/>
      <c r="AB243" s="12251">
        <f>IF(AO241,$AR$28,"")</f>
        <v/>
      </c>
      <c r="AC243" s="11717" t="n"/>
      <c r="AD243" s="11717" t="n"/>
      <c r="AE243" s="11717" t="n"/>
      <c r="AF243" s="11717" t="n"/>
      <c r="AG243" s="11717" t="n"/>
      <c r="AH243" s="11717" t="n"/>
      <c r="AI243" s="11718" t="n"/>
      <c r="AJ243" s="8967" t="n"/>
      <c r="AL243" s="408" t="n"/>
      <c r="AM243" s="11602" t="n"/>
      <c r="AN243" s="11602" t="n"/>
      <c r="AO243" s="11602" t="n"/>
      <c r="AP243" s="1277" t="n"/>
      <c r="AQ243" s="512" t="inlineStr">
        <is>
          <t>b</t>
        </is>
      </c>
      <c r="AR243" s="8955">
        <f>IF(C147&lt;&gt;"",AL239,0)</f>
        <v/>
      </c>
      <c r="AV243" s="11602" t="n"/>
      <c r="AW243" s="11602" t="n"/>
      <c r="AX243" s="4195" t="inlineStr">
        <is>
          <t>8.</t>
        </is>
      </c>
      <c r="AY243" s="1193">
        <f>"Enter your worldwide "&amp;TEXT(BF243,"0%")&amp;" gains (see instructions)"</f>
        <v/>
      </c>
      <c r="AZ243" s="851" t="n"/>
      <c r="BA243" s="851" t="n"/>
      <c r="BB243" s="851" t="n"/>
      <c r="BC243" s="851" t="n"/>
      <c r="BD243" s="4196" t="inlineStr">
        <is>
          <t>8.</t>
        </is>
      </c>
      <c r="BE243" s="7843" t="n"/>
      <c r="BF243" s="4197" t="n">
        <v>0.15</v>
      </c>
      <c r="BG243" s="851" t="n"/>
      <c r="BH243" s="4194" t="n"/>
    </row>
    <row r="244" ht="14.25" customHeight="1" s="7635">
      <c r="A244" s="2112" t="n"/>
      <c r="B244" s="8966" t="n">
        <v>27</v>
      </c>
      <c r="D244" s="344" t="inlineStr">
        <is>
          <t>Credit for taxes on passive category income</t>
        </is>
      </c>
      <c r="E244" s="11602" t="n"/>
      <c r="F244" s="8650" t="n"/>
      <c r="G244" s="11602" t="n"/>
      <c r="H244" s="11602" t="n"/>
      <c r="I244" s="11602" t="n"/>
      <c r="J244" s="11602" t="n"/>
      <c r="K244" s="11602" t="n"/>
      <c r="L244" s="11602" t="n"/>
      <c r="M244" s="11602" t="n"/>
      <c r="N244" s="11602" t="n"/>
      <c r="O244" s="11602" t="n"/>
      <c r="P244" s="11602" t="n"/>
      <c r="Q244" s="11602" t="n"/>
      <c r="R244" s="11602" t="n"/>
      <c r="S244" s="11602" t="n"/>
      <c r="T244" s="11602" t="n"/>
      <c r="U244" s="11602" t="n"/>
      <c r="V244" s="11602" t="n"/>
      <c r="W244" s="11602" t="n"/>
      <c r="X244" s="580" t="n"/>
      <c r="Y244" s="1401" t="inlineStr">
        <is>
          <t xml:space="preserve">.   .   .   .   .   .   .   .   .   .   .  </t>
        </is>
      </c>
      <c r="Z244" s="2895" t="n">
        <v>27</v>
      </c>
      <c r="AA244" s="7638" t="n"/>
      <c r="AB244" s="12251">
        <f>IF(AO241,$AR$29,"")</f>
        <v/>
      </c>
      <c r="AC244" s="11717" t="n"/>
      <c r="AD244" s="11717" t="n"/>
      <c r="AE244" s="11717" t="n"/>
      <c r="AF244" s="11717" t="n"/>
      <c r="AG244" s="11717" t="n"/>
      <c r="AH244" s="11717" t="n"/>
      <c r="AI244" s="11718" t="n"/>
      <c r="AJ244" s="8967" t="n"/>
      <c r="AL244" s="408" t="n"/>
      <c r="AM244" s="11602" t="n"/>
      <c r="AN244" s="11602" t="n"/>
      <c r="AO244" s="11602" t="n"/>
      <c r="AP244" s="1277" t="n"/>
      <c r="AQ244" s="512" t="inlineStr">
        <is>
          <t>c</t>
        </is>
      </c>
      <c r="AR244" s="8955">
        <f>IF(K145&lt;&gt;"",AL239,0)</f>
        <v/>
      </c>
      <c r="AV244" s="11602" t="n"/>
      <c r="AW244" s="11602" t="n"/>
      <c r="AX244" s="4195" t="n"/>
      <c r="AY244" s="1193" t="n"/>
      <c r="AZ244" s="851" t="n"/>
      <c r="BA244" s="851" t="n"/>
      <c r="BB244" s="851" t="n"/>
      <c r="BC244" s="851" t="n"/>
      <c r="BD244" s="851" t="n"/>
      <c r="BE244" s="990" t="n"/>
      <c r="BF244" s="4196" t="n"/>
      <c r="BG244" s="4196" t="n"/>
      <c r="BH244" s="4194" t="n"/>
    </row>
    <row r="245" ht="14.25" customHeight="1" s="7635">
      <c r="A245" s="2112" t="n"/>
      <c r="B245" s="8966" t="n">
        <v>28</v>
      </c>
      <c r="D245" s="344" t="inlineStr">
        <is>
          <t>Credit for taxes on general category income</t>
        </is>
      </c>
      <c r="E245" s="11602" t="n"/>
      <c r="F245" s="8650" t="n"/>
      <c r="G245" s="11602" t="n"/>
      <c r="H245" s="11602" t="n"/>
      <c r="I245" s="11602" t="n"/>
      <c r="J245" s="11602" t="n"/>
      <c r="K245" s="11602" t="n"/>
      <c r="L245" s="11602" t="n"/>
      <c r="M245" s="11602" t="n"/>
      <c r="N245" s="11602" t="n"/>
      <c r="O245" s="11602" t="n"/>
      <c r="P245" s="11602" t="n"/>
      <c r="Q245" s="11602" t="n"/>
      <c r="R245" s="11602" t="n"/>
      <c r="S245" s="11602" t="n"/>
      <c r="T245" s="11602" t="n"/>
      <c r="U245" s="11602" t="n"/>
      <c r="V245" s="11602" t="n"/>
      <c r="W245" s="11602" t="n"/>
      <c r="X245" s="580" t="n"/>
      <c r="Y245" s="1401" t="inlineStr">
        <is>
          <t xml:space="preserve">.   .   .   .   .   .   .   .   .   .   .  </t>
        </is>
      </c>
      <c r="Z245" s="2895" t="n">
        <v>28</v>
      </c>
      <c r="AA245" s="7638" t="n"/>
      <c r="AB245" s="12251">
        <f>IF(AO241,$AR$30,"")</f>
        <v/>
      </c>
      <c r="AC245" s="11717" t="n"/>
      <c r="AD245" s="11717" t="n"/>
      <c r="AE245" s="11717" t="n"/>
      <c r="AF245" s="11717" t="n"/>
      <c r="AG245" s="11717" t="n"/>
      <c r="AH245" s="11717" t="n"/>
      <c r="AI245" s="11718" t="n"/>
      <c r="AJ245" s="8967" t="n"/>
      <c r="AL245" s="408" t="n"/>
      <c r="AM245" s="11602" t="n"/>
      <c r="AN245" s="11602" t="n"/>
      <c r="AO245" s="11602" t="n"/>
      <c r="AP245" s="1277" t="n"/>
      <c r="AQ245" s="512" t="inlineStr">
        <is>
          <t>d</t>
        </is>
      </c>
      <c r="AR245" s="8955">
        <f>IF(K147&lt;&gt;"",AL239,0)</f>
        <v/>
      </c>
      <c r="AV245" s="11602" t="n"/>
      <c r="AW245" s="11602" t="n"/>
      <c r="AX245" s="4195" t="inlineStr">
        <is>
          <t>9.</t>
        </is>
      </c>
      <c r="AY245" s="1193">
        <f>"Multiply line 8 by "&amp;TEXT(BF245,"0.0000")</f>
        <v/>
      </c>
      <c r="AZ245" s="851" t="n"/>
      <c r="BA245" s="851" t="n"/>
      <c r="BB245" s="851" t="n"/>
      <c r="BC245" s="851" t="n"/>
      <c r="BD245" s="4196" t="inlineStr">
        <is>
          <t>9.</t>
        </is>
      </c>
      <c r="BE245" s="7842">
        <f>IF(BE243&lt;&gt;"",ROUND(BE243*BF245,0),"")</f>
        <v/>
      </c>
      <c r="BF245" s="12260" t="n">
        <v>0.5946</v>
      </c>
      <c r="BG245" s="851" t="n"/>
      <c r="BH245" s="4194" t="n"/>
    </row>
    <row r="246" ht="14.25" customHeight="1" s="7635">
      <c r="A246" s="2112" t="n"/>
      <c r="B246" s="8966" t="n">
        <v>29</v>
      </c>
      <c r="D246" s="344" t="inlineStr">
        <is>
          <t>Credit for taxes on section 901(j) income</t>
        </is>
      </c>
      <c r="E246" s="11602" t="n"/>
      <c r="F246" s="8650" t="n"/>
      <c r="G246" s="11602" t="n"/>
      <c r="H246" s="11602" t="n"/>
      <c r="I246" s="11602" t="n"/>
      <c r="J246" s="11602" t="n"/>
      <c r="K246" s="11602" t="n"/>
      <c r="L246" s="11602" t="n"/>
      <c r="M246" s="11602" t="n"/>
      <c r="N246" s="11602" t="n"/>
      <c r="O246" s="11602" t="n"/>
      <c r="P246" s="11602" t="n"/>
      <c r="Q246" s="11602" t="n"/>
      <c r="R246" s="11602" t="n"/>
      <c r="S246" s="11602" t="n"/>
      <c r="T246" s="11602" t="n"/>
      <c r="U246" s="11602" t="n"/>
      <c r="V246" s="11602" t="n"/>
      <c r="W246" s="11602" t="n"/>
      <c r="X246" s="580" t="n"/>
      <c r="Y246" s="1401" t="inlineStr">
        <is>
          <t xml:space="preserve">.   .   .   .   .   .   .   .   .   .   .   .  </t>
        </is>
      </c>
      <c r="Z246" s="2895" t="n">
        <v>29</v>
      </c>
      <c r="AA246" s="7638" t="n"/>
      <c r="AB246" s="12251">
        <f>IF(AO241,$AR$31,"")</f>
        <v/>
      </c>
      <c r="AC246" s="11717" t="n"/>
      <c r="AD246" s="11717" t="n"/>
      <c r="AE246" s="11717" t="n"/>
      <c r="AF246" s="11717" t="n"/>
      <c r="AG246" s="11717" t="n"/>
      <c r="AH246" s="11717" t="n"/>
      <c r="AI246" s="11718" t="n"/>
      <c r="AJ246" s="8967" t="n"/>
      <c r="AL246" s="408" t="n"/>
      <c r="AM246" s="11602" t="n"/>
      <c r="AN246" s="11602" t="n"/>
      <c r="AO246" s="11602" t="n"/>
      <c r="AP246" s="1277" t="n"/>
      <c r="AQ246" s="512" t="inlineStr">
        <is>
          <t>e</t>
        </is>
      </c>
      <c r="AR246" s="8955">
        <f>IF(W145&lt;&gt;"",AL239,0)</f>
        <v/>
      </c>
      <c r="AV246" s="11602" t="n"/>
      <c r="AW246" s="11602" t="n"/>
      <c r="AX246" s="4195" t="inlineStr">
        <is>
          <t>10.</t>
        </is>
      </c>
      <c r="AY246" s="1193">
        <f>"Enter your worldwide "&amp;TEXT(BF246,"0%")&amp;" gains and qualified dividends"</f>
        <v/>
      </c>
      <c r="AZ246" s="851" t="n"/>
      <c r="BA246" s="851" t="n"/>
      <c r="BB246" s="851" t="n"/>
      <c r="BC246" s="851" t="n"/>
      <c r="BD246" s="4196" t="n"/>
      <c r="BE246" s="1029" t="n"/>
      <c r="BF246" s="4197" t="n">
        <v>0</v>
      </c>
      <c r="BG246" s="851" t="n"/>
      <c r="BH246" s="4194" t="n"/>
    </row>
    <row r="247" ht="14.25" customHeight="1" s="7635">
      <c r="A247" s="2112" t="n"/>
      <c r="B247" s="8966" t="n">
        <v>30</v>
      </c>
      <c r="D247" s="344" t="inlineStr">
        <is>
          <t>Credit for taxes on certain income re-sourced by treaty</t>
        </is>
      </c>
      <c r="E247" s="11602" t="n"/>
      <c r="F247" s="8650" t="n"/>
      <c r="G247" s="11602" t="n"/>
      <c r="H247" s="11602" t="n"/>
      <c r="I247" s="11602" t="n"/>
      <c r="J247" s="11602" t="n"/>
      <c r="K247" s="11602" t="n"/>
      <c r="L247" s="11602" t="n"/>
      <c r="M247" s="11602" t="n"/>
      <c r="N247" s="11602" t="n"/>
      <c r="O247" s="11602" t="n"/>
      <c r="P247" s="11602" t="n"/>
      <c r="Q247" s="11602" t="n"/>
      <c r="R247" s="11602" t="n"/>
      <c r="S247" s="11602" t="n"/>
      <c r="T247" s="11602" t="n"/>
      <c r="U247" s="11602" t="n"/>
      <c r="V247" s="11602" t="n"/>
      <c r="W247" s="11602" t="n"/>
      <c r="X247" s="580" t="n"/>
      <c r="Y247" s="1401" t="inlineStr">
        <is>
          <t xml:space="preserve">.   .   .   .   .   .   .  </t>
        </is>
      </c>
      <c r="Z247" s="2895" t="n">
        <v>30</v>
      </c>
      <c r="AA247" s="7638" t="n"/>
      <c r="AB247" s="12251">
        <f>IF(AO241,$AR$32,"")</f>
        <v/>
      </c>
      <c r="AC247" s="11717" t="n"/>
      <c r="AD247" s="11717" t="n"/>
      <c r="AE247" s="11717" t="n"/>
      <c r="AF247" s="11717" t="n"/>
      <c r="AG247" s="11717" t="n"/>
      <c r="AH247" s="11717" t="n"/>
      <c r="AI247" s="11718" t="n"/>
      <c r="AJ247" s="8967" t="n"/>
      <c r="AL247" s="408" t="n"/>
      <c r="AM247" s="11602" t="n"/>
      <c r="AN247" s="11602" t="n"/>
      <c r="AO247" s="11602" t="n"/>
      <c r="AP247" s="1277" t="n"/>
      <c r="AQ247" s="512" t="inlineStr">
        <is>
          <t>f</t>
        </is>
      </c>
      <c r="AR247" s="8955">
        <f>IF(W147&lt;&gt;"",AL239,0)</f>
        <v/>
      </c>
      <c r="AV247" s="11602" t="n"/>
      <c r="AW247" s="11602" t="n"/>
      <c r="AX247" s="4193" t="n"/>
      <c r="AY247" s="1193" t="inlineStr">
        <is>
          <t>(see instructions)</t>
        </is>
      </c>
      <c r="AZ247" s="851" t="n"/>
      <c r="BA247" s="851" t="n"/>
      <c r="BB247" s="851" t="n"/>
      <c r="BC247" s="851" t="n"/>
      <c r="BD247" s="4196" t="inlineStr">
        <is>
          <t>10.</t>
        </is>
      </c>
      <c r="BE247" s="7843" t="n"/>
      <c r="BF247" s="851" t="n"/>
      <c r="BG247" s="990">
        <f>ROUND(BE247,0)</f>
        <v/>
      </c>
      <c r="BH247" s="4194" t="n"/>
    </row>
    <row r="248" ht="14.25" customHeight="1" s="7635" thickBot="1">
      <c r="A248" s="2112" t="n"/>
      <c r="B248" s="8966" t="n">
        <v>31</v>
      </c>
      <c r="D248" s="344" t="inlineStr">
        <is>
          <t>Credit for taxes on lump-sum distributions</t>
        </is>
      </c>
      <c r="E248" s="11602" t="n"/>
      <c r="F248" s="8650" t="n"/>
      <c r="G248" s="11602" t="n"/>
      <c r="H248" s="11602" t="n"/>
      <c r="I248" s="11602" t="n"/>
      <c r="J248" s="11602" t="n"/>
      <c r="K248" s="11602" t="n"/>
      <c r="L248" s="11602" t="n"/>
      <c r="M248" s="11602" t="n"/>
      <c r="N248" s="11602" t="n"/>
      <c r="O248" s="11602" t="n"/>
      <c r="P248" s="11602" t="n"/>
      <c r="Q248" s="11602" t="n"/>
      <c r="R248" s="11602" t="n"/>
      <c r="S248" s="11602" t="n"/>
      <c r="T248" s="11602" t="n"/>
      <c r="U248" s="11602" t="n"/>
      <c r="V248" s="11602" t="n"/>
      <c r="W248" s="11602" t="n"/>
      <c r="X248" s="580" t="n"/>
      <c r="Y248" s="1401" t="inlineStr">
        <is>
          <t xml:space="preserve">.   .   .   .   .   .   .   .   .   .   .   .  </t>
        </is>
      </c>
      <c r="Z248" s="12261" t="n">
        <v>31</v>
      </c>
      <c r="AA248" s="12143" t="n"/>
      <c r="AB248" s="12262">
        <f>IF(AO241,$AR$33,"")</f>
        <v/>
      </c>
      <c r="AC248" s="11809" t="n"/>
      <c r="AD248" s="11809" t="n"/>
      <c r="AE248" s="11809" t="n"/>
      <c r="AF248" s="11809" t="n"/>
      <c r="AG248" s="11809" t="n"/>
      <c r="AH248" s="11809" t="n"/>
      <c r="AI248" s="11810" t="n"/>
      <c r="AJ248" s="8967" t="n"/>
      <c r="AL248" s="408" t="n"/>
      <c r="AM248" s="11602" t="n"/>
      <c r="AN248" s="11602" t="n"/>
      <c r="AO248" s="11602" t="n"/>
      <c r="AP248" s="1277" t="n"/>
      <c r="AQ248" s="4204" t="inlineStr">
        <is>
          <t>g</t>
        </is>
      </c>
      <c r="AR248" s="9020">
        <f>IF(AI145&lt;&gt;"",AL239,0)</f>
        <v/>
      </c>
      <c r="AV248" s="11602" t="n"/>
      <c r="AW248" s="11602" t="n"/>
      <c r="AX248" s="4195" t="inlineStr">
        <is>
          <t>11.</t>
        </is>
      </c>
      <c r="AY248" s="1193" t="inlineStr">
        <is>
          <t>Add lines 3, 5, 7, 9, and 10</t>
        </is>
      </c>
      <c r="AZ248" s="851" t="n"/>
      <c r="BA248" s="851" t="n"/>
      <c r="BB248" s="851" t="n"/>
      <c r="BC248" s="851" t="n"/>
      <c r="BD248" s="851" t="n"/>
      <c r="BE248" s="990">
        <f>OR(BE237&lt;&gt;"",BE239&lt;&gt;"",BE242&lt;&gt;"",BE245&lt;&gt;"",BE247&lt;&gt;"")</f>
        <v/>
      </c>
      <c r="BF248" s="4196" t="inlineStr">
        <is>
          <t>11.</t>
        </is>
      </c>
      <c r="BG248" s="7842">
        <f>IF(BE248,SUM(BE238,BE240,BE242,BE245,BG247),IF(AB225,"",0))</f>
        <v/>
      </c>
      <c r="BH248" s="4194" t="n"/>
    </row>
    <row r="249" ht="14.25" customHeight="1" s="7635">
      <c r="A249" s="2112" t="n"/>
      <c r="B249" s="8966" t="n">
        <v>32</v>
      </c>
      <c r="D249" s="344" t="inlineStr">
        <is>
          <t>Add lines 25 through 31</t>
        </is>
      </c>
      <c r="E249" s="11602" t="n"/>
      <c r="F249" s="8650" t="n"/>
      <c r="G249" s="11602" t="n"/>
      <c r="H249" s="11602" t="n"/>
      <c r="I249" s="11602" t="n"/>
      <c r="J249" s="11602" t="n"/>
      <c r="K249" s="11602" t="n"/>
      <c r="L249" s="11602" t="n"/>
      <c r="M249" s="11602" t="n"/>
      <c r="N249" s="11602" t="n"/>
      <c r="O249" s="11602" t="n"/>
      <c r="P249" s="11602" t="n"/>
      <c r="Q249" s="11602" t="n"/>
      <c r="R249" s="11602" t="n"/>
      <c r="S249" s="11602" t="n"/>
      <c r="T249" s="11602" t="n"/>
      <c r="U249" s="11602" t="n"/>
      <c r="V249" s="11602" t="n"/>
      <c r="W249" s="11602" t="n"/>
      <c r="X249" s="11602" t="n"/>
      <c r="Y249" s="11602" t="n"/>
      <c r="Z249" s="7914" t="n"/>
      <c r="AA249" s="7914" t="n"/>
      <c r="AB249" s="11602" t="n"/>
      <c r="AC249" s="11602" t="n"/>
      <c r="AD249" s="11602" t="n"/>
      <c r="AE249" s="11602" t="n"/>
      <c r="AF249" s="11602" t="n"/>
      <c r="AG249" s="11602" t="n"/>
      <c r="AH249" s="11602" t="n"/>
      <c r="AI249" s="1401" t="inlineStr">
        <is>
          <t xml:space="preserve">.   .   .   .   .   .   .   .   .   .   .   .   .   .   .   .   .   .   .   .   .   .   .   .   .   .   .   .   .  </t>
        </is>
      </c>
      <c r="AJ249" s="2895" t="n">
        <v>32</v>
      </c>
      <c r="AK249" s="7638" t="n"/>
      <c r="AL249" s="8991">
        <f>IF(AQ249&lt;&gt;"",ROUND(AQ249,0),IF(NOT(AO241),"",SUM(AB242:AI248)))</f>
        <v/>
      </c>
      <c r="AM249" s="7637" t="n"/>
      <c r="AN249" s="7637" t="n"/>
      <c r="AO249" s="7637" t="n"/>
      <c r="AP249" s="1277" t="n"/>
      <c r="AQ249" s="8957" t="n"/>
      <c r="AR249" s="11717" t="n"/>
      <c r="AS249" s="11717" t="n"/>
      <c r="AT249" s="11717" t="n"/>
      <c r="AU249" s="1277" t="n"/>
      <c r="AV249" s="11602" t="n"/>
      <c r="AW249" s="11602" t="n"/>
      <c r="AX249" s="4195" t="inlineStr">
        <is>
          <t>12.</t>
        </is>
      </c>
      <c r="AY249" s="1193" t="inlineStr">
        <is>
          <t>Subtract line 11 from line 1. Enter the result here and on Form 1116, line 18</t>
        </is>
      </c>
      <c r="AZ249" s="851" t="n"/>
      <c r="BA249" s="851" t="n"/>
      <c r="BB249" s="851" t="n"/>
      <c r="BC249" s="851" t="n"/>
      <c r="BD249" s="851" t="n"/>
      <c r="BE249" s="851" t="n"/>
      <c r="BF249" s="4196" t="inlineStr">
        <is>
          <t>12.</t>
        </is>
      </c>
      <c r="BG249" s="7842">
        <f>IF(BG248="","",MAX(0,SUM(BG236,-BG248)))</f>
        <v/>
      </c>
      <c r="BH249" s="4194" t="n"/>
    </row>
    <row r="250" ht="15" customHeight="1" s="7635" thickBot="1">
      <c r="A250" s="2112" t="n"/>
      <c r="B250" s="8966" t="n">
        <v>33</v>
      </c>
      <c r="D250" s="344" t="inlineStr">
        <is>
          <t>Enter the smaller of line 20 or line 32</t>
        </is>
      </c>
      <c r="E250" s="11602" t="n"/>
      <c r="F250" s="8650" t="n"/>
      <c r="G250" s="11602" t="n"/>
      <c r="H250" s="11602" t="n"/>
      <c r="I250" s="11602" t="n"/>
      <c r="J250" s="11602" t="n"/>
      <c r="K250" s="11602" t="n"/>
      <c r="L250" s="11602" t="n"/>
      <c r="M250" s="11602" t="n"/>
      <c r="N250" s="11602" t="n"/>
      <c r="O250" s="11602" t="n"/>
      <c r="P250" s="11602" t="n"/>
      <c r="Q250" s="11602" t="n"/>
      <c r="R250" s="11602" t="n"/>
      <c r="S250" s="11602" t="n"/>
      <c r="T250" s="11602" t="n"/>
      <c r="U250" s="11602" t="n"/>
      <c r="V250" s="11602" t="n"/>
      <c r="W250" s="11602" t="n"/>
      <c r="X250" s="11602" t="n"/>
      <c r="Y250" s="11602" t="n"/>
      <c r="Z250" s="7914" t="n"/>
      <c r="AA250" s="7914" t="n"/>
      <c r="AB250" s="11602" t="n"/>
      <c r="AC250" s="11602" t="n"/>
      <c r="AD250" s="11602" t="n"/>
      <c r="AE250" s="11602" t="n"/>
      <c r="AF250" s="11602" t="n"/>
      <c r="AG250" s="11602" t="n"/>
      <c r="AH250" s="11602" t="n"/>
      <c r="AI250" s="1401" t="inlineStr">
        <is>
          <t xml:space="preserve">.   .   .   .   .   .   .   .   .   .   .   .   .   .   .   .   .   .   .   .   .   .   .  </t>
        </is>
      </c>
      <c r="AJ250" s="2895" t="n">
        <v>33</v>
      </c>
      <c r="AK250" s="7638" t="n"/>
      <c r="AL250" s="8991">
        <f>IF(NOT(AO241),"",IF(NOT(AO241),"",IF(ISERROR(MIN(AL234,AL249)),"",MIN(AL234,AL249))))</f>
        <v/>
      </c>
      <c r="AM250" s="7637" t="n"/>
      <c r="AN250" s="7637" t="n"/>
      <c r="AO250" s="7637" t="n"/>
      <c r="AP250" s="1277" t="n"/>
      <c r="AQ250" s="1277" t="n"/>
      <c r="AR250" s="1277" t="n"/>
      <c r="AS250" s="1277" t="n"/>
      <c r="AT250" s="1277" t="n"/>
      <c r="AU250" s="1277" t="n"/>
      <c r="AV250" s="11602" t="n"/>
      <c r="AW250" s="11602" t="n"/>
      <c r="AX250" s="4216" t="n"/>
      <c r="AY250" s="6500" t="inlineStr">
        <is>
          <t>(if the result is zero or less, enter -0-)</t>
        </is>
      </c>
      <c r="AZ250" s="4217" t="n"/>
      <c r="BA250" s="4217" t="n"/>
      <c r="BB250" s="4217" t="n"/>
      <c r="BC250" s="4217" t="n"/>
      <c r="BD250" s="4217" t="n"/>
      <c r="BE250" s="4217" t="n"/>
      <c r="BF250" s="4217" t="n"/>
      <c r="BG250" s="4217" t="n"/>
      <c r="BH250" s="4218" t="n"/>
    </row>
    <row r="251" ht="15" customHeight="1" s="7635" thickBot="1">
      <c r="A251" s="2112" t="n"/>
      <c r="B251" s="8966" t="n">
        <v>34</v>
      </c>
      <c r="D251" s="344" t="inlineStr">
        <is>
          <t>Reduction of credit for international boycott operations. See instructions for line 12</t>
        </is>
      </c>
      <c r="E251" s="11602" t="n"/>
      <c r="F251" s="8650" t="n"/>
      <c r="G251" s="11602" t="n"/>
      <c r="H251" s="11602" t="n"/>
      <c r="I251" s="11602" t="n"/>
      <c r="J251" s="11602" t="n"/>
      <c r="K251" s="11602" t="n"/>
      <c r="L251" s="11602" t="n"/>
      <c r="M251" s="11602" t="n"/>
      <c r="N251" s="11602" t="n"/>
      <c r="O251" s="11602" t="n"/>
      <c r="P251" s="11602" t="n"/>
      <c r="Q251" s="11602" t="n"/>
      <c r="R251" s="11602" t="n"/>
      <c r="S251" s="11602" t="n"/>
      <c r="T251" s="11602" t="n"/>
      <c r="U251" s="11602" t="n"/>
      <c r="V251" s="11602" t="n"/>
      <c r="W251" s="11602" t="n"/>
      <c r="X251" s="11602" t="n"/>
      <c r="Y251" s="11602" t="n"/>
      <c r="Z251" s="7914" t="n"/>
      <c r="AA251" s="7914" t="n"/>
      <c r="AB251" s="11602" t="n"/>
      <c r="AC251" s="11602" t="n"/>
      <c r="AD251" s="11602" t="n"/>
      <c r="AE251" s="11602" t="n"/>
      <c r="AF251" s="11602" t="n"/>
      <c r="AG251" s="11602" t="n"/>
      <c r="AH251" s="11602" t="n"/>
      <c r="AI251" s="1401" t="inlineStr">
        <is>
          <t xml:space="preserve">.   .   .   .   .   .   .  </t>
        </is>
      </c>
      <c r="AJ251" s="12261" t="n">
        <v>34</v>
      </c>
      <c r="AK251" s="12143" t="n"/>
      <c r="AL251" s="9089" t="n"/>
      <c r="AM251" s="11809" t="n"/>
      <c r="AN251" s="11809" t="n"/>
      <c r="AO251" s="11809" t="n"/>
      <c r="AP251" s="1277" t="n"/>
      <c r="AQ251" s="11602" t="n"/>
      <c r="AR251" s="11602" t="n"/>
      <c r="AS251" s="11602" t="n"/>
      <c r="AT251" s="11602" t="n"/>
      <c r="AU251" s="11602" t="n"/>
      <c r="AV251" s="11602" t="n"/>
      <c r="AW251" s="11602" t="n"/>
      <c r="AX251" s="769" t="n"/>
      <c r="AY251" s="964" t="n"/>
      <c r="AZ251" s="964" t="n"/>
      <c r="BA251" s="964" t="n"/>
      <c r="BB251" s="964" t="n"/>
      <c r="BC251" s="964" t="n"/>
      <c r="BD251" s="964" t="n"/>
      <c r="BE251" s="964" t="n"/>
      <c r="BF251" s="964" t="n"/>
      <c r="BG251" s="964" t="n"/>
      <c r="BH251" s="964" t="n"/>
    </row>
    <row r="252" ht="12.75" customHeight="1" s="7635">
      <c r="A252" s="2112" t="n"/>
      <c r="B252" s="8966" t="n">
        <v>35</v>
      </c>
      <c r="D252" s="344" t="inlineStr">
        <is>
          <t>Subtract line 34 from line 33. This is your foreign tax credit. Enter here and on Schedule 3 (Form</t>
        </is>
      </c>
      <c r="E252" s="11602" t="n"/>
      <c r="F252" s="11602" t="n"/>
      <c r="G252" s="11602" t="n"/>
      <c r="H252" s="11602" t="n"/>
      <c r="I252" s="11602" t="n"/>
      <c r="J252" s="11602" t="n"/>
      <c r="K252" s="11602" t="n"/>
      <c r="L252" s="11602" t="n"/>
      <c r="M252" s="11602" t="n"/>
      <c r="N252" s="11602" t="n"/>
      <c r="O252" s="11602" t="n"/>
      <c r="P252" s="11602" t="n"/>
      <c r="Q252" s="11602" t="n"/>
      <c r="R252" s="11602" t="n"/>
      <c r="S252" s="11602" t="n"/>
      <c r="T252" s="794" t="n"/>
      <c r="U252" s="11602" t="n"/>
      <c r="V252" s="11602" t="n"/>
      <c r="W252" s="11602" t="n"/>
      <c r="X252" s="11602" t="n"/>
      <c r="Y252" s="11602" t="n"/>
      <c r="Z252" s="11602" t="n"/>
      <c r="AA252" s="11602" t="n"/>
      <c r="AB252" s="11602" t="n"/>
      <c r="AC252" s="11602" t="n"/>
      <c r="AD252" s="11602" t="n"/>
      <c r="AE252" s="11602" t="n"/>
      <c r="AF252" s="11602" t="n"/>
      <c r="AG252" s="11602" t="n"/>
      <c r="AH252" s="11602" t="n"/>
      <c r="AI252" s="11602" t="n"/>
      <c r="AJ252" s="9085" t="n"/>
      <c r="AL252" s="408" t="n"/>
      <c r="AM252" s="11602" t="n"/>
      <c r="AN252" s="11602" t="n"/>
      <c r="AO252" s="11602" t="n"/>
      <c r="AP252" s="1277" t="n"/>
      <c r="AQ252" s="1277" t="n"/>
      <c r="AR252" s="1277" t="n"/>
      <c r="AS252" s="1277" t="n"/>
      <c r="AT252" s="1277" t="n"/>
      <c r="AU252" s="1277" t="n"/>
      <c r="AV252" s="11602" t="n"/>
      <c r="AW252" s="11602" t="n"/>
      <c r="AX252" s="769" t="n"/>
      <c r="AY252" s="964" t="n"/>
      <c r="AZ252" s="964" t="n"/>
      <c r="BA252" s="964" t="n"/>
      <c r="BB252" s="964" t="n"/>
      <c r="BC252" s="964" t="n"/>
      <c r="BD252" s="964" t="n"/>
      <c r="BE252" s="964" t="n"/>
      <c r="BF252" s="964" t="n"/>
      <c r="BG252" s="964" t="n"/>
      <c r="BH252" s="964" t="n"/>
    </row>
    <row r="253" ht="13.5" customHeight="1" s="7635" thickBot="1">
      <c r="A253" s="2112" t="n"/>
      <c r="B253" s="4200" t="n"/>
      <c r="C253" s="4200" t="n"/>
      <c r="D253" s="498" t="inlineStr">
        <is>
          <t>1040), line 1; Form 1041, Schedule G, line 2a; or Form 990-T, Part III, line 1a</t>
        </is>
      </c>
      <c r="E253" s="380" t="n"/>
      <c r="F253" s="380" t="n"/>
      <c r="G253" s="380" t="n"/>
      <c r="H253" s="380" t="n"/>
      <c r="I253" s="380" t="n"/>
      <c r="J253" s="380" t="n"/>
      <c r="K253" s="380" t="n"/>
      <c r="L253" s="380" t="n"/>
      <c r="M253" s="380" t="n"/>
      <c r="N253" s="380" t="n"/>
      <c r="O253" s="380" t="n"/>
      <c r="P253" s="380" t="n"/>
      <c r="Q253" s="380" t="n"/>
      <c r="R253" s="380" t="n"/>
      <c r="S253" s="380" t="n"/>
      <c r="T253" s="4206" t="n"/>
      <c r="U253" s="380" t="n"/>
      <c r="V253" s="380" t="n"/>
      <c r="W253" s="380" t="n"/>
      <c r="X253" s="380" t="n"/>
      <c r="Y253" s="380" t="n"/>
      <c r="Z253" s="380" t="n"/>
      <c r="AA253" s="380" t="n"/>
      <c r="AB253" s="380" t="n"/>
      <c r="AC253" s="380" t="n"/>
      <c r="AD253" s="380" t="n"/>
      <c r="AE253" s="380" t="n"/>
      <c r="AF253" s="380" t="n"/>
      <c r="AG253" s="380" t="n"/>
      <c r="AH253" s="380" t="n"/>
      <c r="AI253" s="10736" t="inlineStr">
        <is>
          <t xml:space="preserve">.   .   .   .   .   .   .   .   .   .  </t>
        </is>
      </c>
      <c r="AJ253" s="3840" t="n">
        <v>35</v>
      </c>
      <c r="AK253" s="12121" t="n"/>
      <c r="AL253" s="9025">
        <f>IF(AQ253&lt;&gt;"",ROUND(AQ253,0),IF(AND(AL241=1,AO144=1),AL239,IF(NOT(AO241),"",IF(ISERROR(SUM(AL250,-AL251)),"",SUM(AL250,-AL251)))))</f>
        <v/>
      </c>
      <c r="AM253" s="8848" t="n"/>
      <c r="AN253" s="8848" t="n"/>
      <c r="AO253" s="8848" t="n"/>
      <c r="AP253" s="1277" t="n"/>
      <c r="AQ253" s="8957" t="n"/>
      <c r="AR253" s="11717" t="n"/>
      <c r="AS253" s="11717" t="n"/>
      <c r="AT253" s="11717" t="n"/>
      <c r="AU253" s="1277" t="n"/>
      <c r="AV253" s="11602" t="n"/>
      <c r="AW253" s="11602" t="n"/>
      <c r="AX253" s="769" t="n"/>
      <c r="AY253" s="969" t="inlineStr">
        <is>
          <t>CarryBack from Current Year</t>
        </is>
      </c>
      <c r="AZ253" s="964" t="n"/>
      <c r="BA253" s="964" t="n"/>
      <c r="BB253" s="971">
        <f>IF(ISERROR(SUM(AL236,-ForeignTaxCredit_2))," ---",MAX(SUM(AL236,-ForeignTaxCredit_2),0))</f>
        <v/>
      </c>
      <c r="BC253" s="973" t="inlineStr">
        <is>
          <t>Line 21 less Line 33 (Must be &gt;=0)</t>
        </is>
      </c>
      <c r="BD253" s="964" t="n"/>
      <c r="BE253" s="964" t="n"/>
      <c r="BF253" s="964" t="n"/>
      <c r="BG253" s="964" t="n"/>
      <c r="BH253" s="964" t="n"/>
    </row>
    <row r="254" ht="21" customHeight="1" s="7635">
      <c r="A254" s="2112" t="n"/>
      <c r="B254" s="1218" t="n"/>
      <c r="C254" s="2373" t="n"/>
      <c r="D254" s="11602" t="n"/>
      <c r="E254" s="11602" t="n"/>
      <c r="F254" s="11602" t="n"/>
      <c r="G254" s="11602" t="n"/>
      <c r="H254" s="11602" t="n"/>
      <c r="I254" s="11602" t="n"/>
      <c r="J254" s="11602" t="n"/>
      <c r="K254" s="11602" t="n"/>
      <c r="L254" s="11602" t="n"/>
      <c r="M254" s="11602" t="n"/>
      <c r="N254" s="11602" t="n"/>
      <c r="O254" s="11602" t="n"/>
      <c r="P254" s="11602" t="n"/>
      <c r="Q254" s="11602" t="n"/>
      <c r="R254" s="11602" t="n"/>
      <c r="S254" s="11602" t="n"/>
      <c r="T254" s="11602" t="n"/>
      <c r="U254" s="11602" t="n"/>
      <c r="V254" s="11602" t="n"/>
      <c r="W254" s="11602" t="n"/>
      <c r="X254" s="11602" t="n"/>
      <c r="Y254" s="11602" t="n"/>
      <c r="Z254" s="11602" t="n"/>
      <c r="AA254" s="11602" t="n"/>
      <c r="AB254" s="11602" t="n"/>
      <c r="AC254" s="11602" t="n"/>
      <c r="AD254" s="11602" t="n"/>
      <c r="AE254" s="11602" t="n"/>
      <c r="AF254" s="11602" t="n"/>
      <c r="AG254" s="11602" t="n"/>
      <c r="AH254" s="11602" t="n"/>
      <c r="AI254" s="11602" t="n"/>
      <c r="AJ254" s="11602" t="n"/>
      <c r="AK254" s="1061" t="n"/>
      <c r="AL254" s="11602" t="n"/>
      <c r="AM254" s="11602" t="n"/>
      <c r="AN254" s="1061" t="inlineStr">
        <is>
          <t>Form 1116</t>
        </is>
      </c>
      <c r="AO254" s="6996">
        <f>"("&amp;TaxYear&amp;")"</f>
        <v/>
      </c>
      <c r="AP254" s="1277" t="n"/>
      <c r="AQ254" s="1277" t="n"/>
      <c r="AR254" s="1277" t="n"/>
      <c r="AS254" s="1277" t="n"/>
      <c r="AT254" s="1277" t="n"/>
      <c r="AU254" s="1277" t="n"/>
      <c r="AV254" s="11602" t="n"/>
      <c r="AW254" s="11602" t="n"/>
      <c r="AX254" s="769" t="n"/>
      <c r="AY254" s="969" t="inlineStr">
        <is>
          <t>CarryForward to Next Year</t>
        </is>
      </c>
      <c r="AZ254" s="964" t="n"/>
      <c r="BA254" s="964" t="n"/>
      <c r="BB254" s="972">
        <f>IF(ISERROR(SUM(AL217,-ForeignTaxCredit_2))," ---",MAX(SUM(AL217,-ForeignTaxCredit_2),0))</f>
        <v/>
      </c>
      <c r="BC254" s="973" t="inlineStr">
        <is>
          <t>Line 14 less Line 33 (Must be &gt;=0)</t>
        </is>
      </c>
      <c r="BD254" s="964" t="n"/>
      <c r="BE254" s="964" t="n"/>
      <c r="BF254" s="964" t="n"/>
      <c r="BG254" s="964" t="n"/>
      <c r="BH254" s="964" t="n"/>
    </row>
    <row r="255">
      <c r="A255" s="2112" t="n"/>
      <c r="B255" s="9068" t="inlineStr">
        <is>
          <t>Form 1116</t>
        </is>
      </c>
      <c r="H255" s="12273" t="inlineStr">
        <is>
          <t>Foreign Tax Credit</t>
        </is>
      </c>
      <c r="AH255" s="1066" t="n"/>
      <c r="AI255" s="8598" t="inlineStr">
        <is>
          <t>OMB No. 1545-0121</t>
        </is>
      </c>
      <c r="AJ255" s="7637" t="n"/>
      <c r="AK255" s="7637" t="n"/>
      <c r="AL255" s="7637" t="n"/>
      <c r="AM255" s="7637" t="n"/>
      <c r="AN255" s="7637" t="n"/>
      <c r="AO255" s="7637" t="n"/>
      <c r="AP255" s="1277" t="n"/>
      <c r="AQ255" s="11602" t="n"/>
      <c r="AR255" s="11602" t="n"/>
      <c r="AS255" s="11602" t="n"/>
      <c r="AT255" s="11602" t="n"/>
      <c r="AU255" s="11602" t="n"/>
      <c r="AV255" s="11602" t="n"/>
      <c r="AW255" s="11602" t="n"/>
      <c r="AX255" s="769" t="n"/>
      <c r="AY255" s="964" t="n"/>
      <c r="AZ255" s="964" t="n"/>
      <c r="BA255" s="964" t="n"/>
      <c r="BB255" s="964" t="n"/>
      <c r="BC255" s="964" t="n"/>
      <c r="BD255" s="964" t="n"/>
      <c r="BE255" s="964" t="n"/>
      <c r="BF255" s="964" t="n"/>
      <c r="BG255" s="964" t="n"/>
      <c r="BH255" s="964" t="n"/>
    </row>
    <row r="256" ht="11.25" customHeight="1" s="7635">
      <c r="A256" s="4135" t="n"/>
      <c r="H256" s="11741" t="n"/>
      <c r="AH256" s="1066" t="n"/>
      <c r="AI256" s="9055">
        <f>TaxYear</f>
        <v/>
      </c>
      <c r="AJ256" s="7839" t="n"/>
      <c r="AK256" s="7839" t="n"/>
      <c r="AL256" s="7839" t="n"/>
      <c r="AM256" s="7839" t="n"/>
      <c r="AN256" s="7839" t="n"/>
      <c r="AO256" s="7839" t="n"/>
      <c r="AP256" s="1277" t="n"/>
      <c r="AQ256" s="11602" t="n"/>
      <c r="AR256" s="11602" t="n"/>
      <c r="AS256" s="11602" t="n"/>
      <c r="AT256" s="11602" t="n"/>
      <c r="AU256" s="11602" t="n"/>
      <c r="AV256" s="11602" t="n"/>
      <c r="AW256" s="11602" t="n"/>
      <c r="AX256" s="769" t="n"/>
      <c r="AY256" s="969" t="inlineStr">
        <is>
          <t>Important! - Retain these CarryBack and CarryForward amounts for EACH year you file Form 1116.</t>
        </is>
      </c>
      <c r="AZ256" s="964" t="n"/>
      <c r="BA256" s="964" t="n"/>
      <c r="BB256" s="964" t="n"/>
      <c r="BC256" s="964" t="n"/>
      <c r="BD256" s="964" t="n"/>
      <c r="BE256" s="964" t="n"/>
      <c r="BF256" s="964" t="n"/>
      <c r="BG256" s="964" t="n"/>
      <c r="BH256" s="964" t="n"/>
    </row>
    <row r="257">
      <c r="A257" s="2112" t="n"/>
      <c r="B257" s="2677" t="n"/>
      <c r="C257" s="11602" t="n"/>
      <c r="D257" s="11602" t="n"/>
      <c r="E257" s="11602" t="n"/>
      <c r="F257" s="11602" t="n"/>
      <c r="G257" s="11602" t="n"/>
      <c r="H257" s="12263" t="inlineStr">
        <is>
          <t>(Individual, Estate, or Trust)</t>
        </is>
      </c>
      <c r="AH257" s="1066" t="n"/>
      <c r="AI257" s="11741" t="n"/>
      <c r="AP257" s="1277" t="n"/>
      <c r="AQ257" s="11602" t="n"/>
      <c r="AR257" s="11602" t="n"/>
      <c r="AS257" s="11602" t="n"/>
      <c r="AT257" s="11602" t="n"/>
      <c r="AU257" s="11602" t="n"/>
      <c r="AV257" s="11602" t="n"/>
      <c r="AW257" s="11602" t="n"/>
      <c r="AX257" s="769" t="n"/>
      <c r="AY257" s="969" t="inlineStr">
        <is>
          <t>They will be needed in future years when you can get a REFUND from CarryBack and for utilizing</t>
        </is>
      </c>
      <c r="AZ257" s="964" t="n"/>
      <c r="BA257" s="964" t="n"/>
      <c r="BB257" s="964" t="n"/>
      <c r="BC257" s="964" t="n"/>
      <c r="BD257" s="964" t="n"/>
      <c r="BE257" s="964" t="n"/>
      <c r="BF257" s="964" t="n"/>
      <c r="BG257" s="964" t="n"/>
      <c r="BH257" s="964" t="n"/>
    </row>
    <row r="258">
      <c r="A258" s="2112" t="n"/>
      <c r="B258" s="7650" t="inlineStr">
        <is>
          <t>Department of the Treasury Internal Revenue Service</t>
        </is>
      </c>
      <c r="G258" s="1066" t="n"/>
      <c r="H258" s="12228" t="inlineStr">
        <is>
          <t>Attach to Form 1040, 1040-SR, 1040-NR, 1041, or 990-T.</t>
        </is>
      </c>
      <c r="AH258" s="1066" t="n"/>
      <c r="AI258" s="9076" t="inlineStr">
        <is>
          <t>Attachment   
Sequence No.</t>
        </is>
      </c>
      <c r="AO258" s="9088" t="n">
        <v>19</v>
      </c>
      <c r="AP258" s="1277" t="n"/>
      <c r="AQ258" s="11602" t="n"/>
      <c r="AR258" s="11602" t="n"/>
      <c r="AS258" s="11602" t="n"/>
      <c r="AT258" s="11602" t="n"/>
      <c r="AU258" s="11602" t="n"/>
      <c r="AV258" s="11602" t="n"/>
      <c r="AW258" s="11602" t="n"/>
      <c r="AX258" s="769" t="n"/>
      <c r="AY258" s="970" t="inlineStr">
        <is>
          <t>Unused CarryForward next year on Form 1116 Line 10.</t>
        </is>
      </c>
      <c r="AZ258" s="964" t="n"/>
      <c r="BA258" s="964" t="n"/>
      <c r="BB258" s="964" t="n"/>
      <c r="BC258" s="964" t="n"/>
      <c r="BD258" s="964" t="n"/>
      <c r="BE258" s="964" t="n"/>
      <c r="BF258" s="964" t="n"/>
      <c r="BG258" s="964" t="n"/>
      <c r="BH258" s="964" t="n"/>
    </row>
    <row r="259" ht="12.75" customHeight="1" s="7635" thickBot="1">
      <c r="A259" s="2112" t="n"/>
      <c r="B259" s="8848" t="n"/>
      <c r="C259" s="8848" t="n"/>
      <c r="D259" s="8848" t="n"/>
      <c r="E259" s="8848" t="n"/>
      <c r="F259" s="8848" t="n"/>
      <c r="G259" s="2627" t="n"/>
      <c r="H259" s="12230" t="inlineStr">
        <is>
          <t>Go to www.irs.gov/Form1116 for instructions and the latest information.</t>
        </is>
      </c>
      <c r="I259" s="8848" t="n"/>
      <c r="J259" s="8848" t="n"/>
      <c r="K259" s="8848" t="n"/>
      <c r="L259" s="8848" t="n"/>
      <c r="M259" s="8848" t="n"/>
      <c r="N259" s="8848" t="n"/>
      <c r="O259" s="8848" t="n"/>
      <c r="P259" s="8848" t="n"/>
      <c r="Q259" s="8848" t="n"/>
      <c r="R259" s="8848" t="n"/>
      <c r="S259" s="8848" t="n"/>
      <c r="T259" s="8848" t="n"/>
      <c r="U259" s="8848" t="n"/>
      <c r="V259" s="8848" t="n"/>
      <c r="W259" s="8848" t="n"/>
      <c r="X259" s="8848" t="n"/>
      <c r="Y259" s="8848" t="n"/>
      <c r="Z259" s="8848" t="n"/>
      <c r="AA259" s="8848" t="n"/>
      <c r="AB259" s="8848" t="n"/>
      <c r="AC259" s="8848" t="n"/>
      <c r="AD259" s="8848" t="n"/>
      <c r="AE259" s="8848" t="n"/>
      <c r="AF259" s="8848" t="n"/>
      <c r="AG259" s="8848" t="n"/>
      <c r="AH259" s="2627" t="n"/>
      <c r="AI259" s="11743" t="n"/>
      <c r="AJ259" s="8848" t="n"/>
      <c r="AK259" s="8848" t="n"/>
      <c r="AL259" s="8848" t="n"/>
      <c r="AM259" s="8848" t="n"/>
      <c r="AN259" s="8848" t="n"/>
      <c r="AO259" s="8848" t="n"/>
      <c r="AP259" s="1277" t="n"/>
      <c r="AQ259" s="11602" t="n"/>
      <c r="AR259" s="11602" t="n"/>
      <c r="AS259" s="11602" t="n"/>
      <c r="AT259" s="11602" t="n"/>
      <c r="AU259" s="11602" t="n"/>
      <c r="AV259" s="11602" t="n"/>
      <c r="AW259" s="11602" t="n"/>
      <c r="AX259" s="769" t="n"/>
      <c r="AY259" s="970" t="n"/>
      <c r="AZ259" s="964" t="n"/>
      <c r="BA259" s="964" t="n"/>
      <c r="BB259" s="964" t="n"/>
      <c r="BC259" s="964" t="n"/>
      <c r="BD259" s="964" t="n"/>
      <c r="BE259" s="964" t="n"/>
      <c r="BF259" s="964" t="n"/>
      <c r="BG259" s="964" t="n"/>
      <c r="BH259" s="964" t="n"/>
    </row>
    <row r="260" ht="12.75" customHeight="1" s="7635">
      <c r="A260" s="2112" t="n"/>
      <c r="B260" s="339" t="inlineStr">
        <is>
          <t>Name</t>
        </is>
      </c>
      <c r="C260" s="377" t="n"/>
      <c r="D260" s="377" t="n"/>
      <c r="E260" s="377" t="n"/>
      <c r="F260" s="377" t="n"/>
      <c r="G260" s="377" t="n"/>
      <c r="H260" s="377" t="n"/>
      <c r="I260" s="377" t="n"/>
      <c r="J260" s="377" t="n"/>
      <c r="K260" s="377" t="n"/>
      <c r="L260" s="377" t="n"/>
      <c r="M260" s="377" t="n"/>
      <c r="N260" s="377" t="n"/>
      <c r="O260" s="377" t="n"/>
      <c r="P260" s="377" t="n"/>
      <c r="Q260" s="377" t="n"/>
      <c r="R260" s="377" t="n"/>
      <c r="S260" s="377" t="n"/>
      <c r="T260" s="377" t="n"/>
      <c r="U260" s="377" t="n"/>
      <c r="V260" s="377" t="n"/>
      <c r="W260" s="377" t="n"/>
      <c r="X260" s="377" t="n"/>
      <c r="Y260" s="377" t="n"/>
      <c r="Z260" s="377" t="n"/>
      <c r="AA260" s="9053" t="inlineStr">
        <is>
          <t>Identifying number as shown on page 1 of your tax return</t>
        </is>
      </c>
      <c r="AB260" s="2506" t="n"/>
      <c r="AC260" s="2506" t="n"/>
      <c r="AD260" s="2506" t="n"/>
      <c r="AE260" s="2506" t="n"/>
      <c r="AF260" s="2506" t="n"/>
      <c r="AG260" s="2506" t="n"/>
      <c r="AH260" s="2506" t="n"/>
      <c r="AI260" s="2506" t="n"/>
      <c r="AJ260" s="2506" t="n"/>
      <c r="AK260" s="2506" t="n"/>
      <c r="AL260" s="2506" t="n"/>
      <c r="AM260" s="2506" t="n"/>
      <c r="AN260" s="2506" t="n"/>
      <c r="AO260" s="2506" t="n"/>
      <c r="AP260" s="1277" t="n"/>
      <c r="AQ260" s="11602" t="n"/>
      <c r="AR260" s="11602" t="n"/>
      <c r="AS260" s="11602" t="n"/>
      <c r="AT260" s="11602" t="n"/>
      <c r="AU260" s="11602" t="n"/>
      <c r="AV260" s="11602" t="n"/>
      <c r="AW260" s="11602" t="n"/>
      <c r="AX260" s="768" t="n"/>
      <c r="AY260" s="964" t="n"/>
      <c r="AZ260" s="964" t="n"/>
      <c r="BA260" s="964" t="n"/>
      <c r="BB260" s="964" t="n"/>
      <c r="BC260" s="964" t="n"/>
      <c r="BD260" s="964" t="n"/>
      <c r="BE260" s="964" t="n"/>
      <c r="BF260" s="964" t="n"/>
      <c r="BG260" s="964" t="n"/>
      <c r="BH260" s="964" t="n"/>
    </row>
    <row r="261" ht="15" customHeight="1" s="7635">
      <c r="A261" s="2112" t="n"/>
      <c r="B261" s="12231">
        <f>Names</f>
        <v/>
      </c>
      <c r="C261" s="194" t="n"/>
      <c r="D261" s="194" t="n"/>
      <c r="E261" s="194" t="n"/>
      <c r="F261" s="194" t="n"/>
      <c r="G261" s="194" t="n"/>
      <c r="H261" s="194" t="n"/>
      <c r="I261" s="194" t="n"/>
      <c r="J261" s="194" t="n"/>
      <c r="K261" s="194" t="n"/>
      <c r="L261" s="194" t="n"/>
      <c r="M261" s="194" t="n"/>
      <c r="N261" s="194" t="n"/>
      <c r="O261" s="194" t="n"/>
      <c r="P261" s="194" t="n"/>
      <c r="Q261" s="194" t="n"/>
      <c r="R261" s="194" t="n"/>
      <c r="S261" s="194" t="n"/>
      <c r="T261" s="194" t="n"/>
      <c r="U261" s="194" t="n"/>
      <c r="V261" s="194" t="n"/>
      <c r="W261" s="194" t="n"/>
      <c r="X261" s="194" t="n"/>
      <c r="Y261" s="194" t="n"/>
      <c r="Z261" s="194" t="n"/>
      <c r="AA261" s="12232">
        <f>IF(NoSSN,"",SS_Yours)</f>
        <v/>
      </c>
      <c r="AP261" s="1277" t="n"/>
      <c r="AQ261" s="11602" t="n"/>
      <c r="AR261" s="11602" t="n"/>
      <c r="AS261" s="11602" t="n"/>
      <c r="AT261" s="11602" t="n"/>
      <c r="AU261" s="11602" t="n"/>
      <c r="AV261" s="11602" t="n"/>
      <c r="AW261" s="11602" t="n"/>
      <c r="AX261" s="768" t="inlineStr">
        <is>
          <t>Notes</t>
        </is>
      </c>
      <c r="AY261" s="964" t="n"/>
      <c r="AZ261" s="964" t="n"/>
      <c r="BA261" s="964" t="n"/>
      <c r="BB261" s="964" t="n"/>
      <c r="BC261" s="964" t="n"/>
      <c r="BD261" s="964" t="n"/>
      <c r="BE261" s="964" t="n"/>
      <c r="BF261" s="964" t="n"/>
      <c r="BG261" s="964" t="n"/>
      <c r="BH261" s="964" t="n"/>
    </row>
    <row r="262" ht="12.75" customHeight="1" s="7635">
      <c r="A262" s="2112" t="n"/>
      <c r="B262" s="11717" t="n"/>
      <c r="C262" s="11717" t="n"/>
      <c r="D262" s="11717" t="n"/>
      <c r="E262" s="11717" t="n"/>
      <c r="F262" s="11717" t="n"/>
      <c r="G262" s="11717" t="n"/>
      <c r="H262" s="11717" t="n"/>
      <c r="I262" s="11717" t="n"/>
      <c r="J262" s="11717" t="n"/>
      <c r="K262" s="11717" t="n"/>
      <c r="L262" s="11717" t="n"/>
      <c r="M262" s="11717" t="n"/>
      <c r="N262" s="11717" t="n"/>
      <c r="O262" s="11717" t="n"/>
      <c r="P262" s="11717" t="n"/>
      <c r="Q262" s="11717" t="n"/>
      <c r="R262" s="11717" t="n"/>
      <c r="S262" s="11717" t="n"/>
      <c r="T262" s="11717" t="n"/>
      <c r="U262" s="11717" t="n"/>
      <c r="V262" s="11717" t="n"/>
      <c r="W262" s="11717" t="n"/>
      <c r="X262" s="11717" t="n"/>
      <c r="Y262" s="11717" t="n"/>
      <c r="Z262" s="11717" t="n"/>
      <c r="AA262" s="3614" t="n"/>
      <c r="AB262" s="7637" t="n"/>
      <c r="AC262" s="7637" t="n"/>
      <c r="AD262" s="7637" t="n"/>
      <c r="AE262" s="7637" t="n"/>
      <c r="AF262" s="7637" t="n"/>
      <c r="AG262" s="7637" t="n"/>
      <c r="AH262" s="7637" t="n"/>
      <c r="AI262" s="7637" t="n"/>
      <c r="AJ262" s="7637" t="n"/>
      <c r="AK262" s="7637" t="n"/>
      <c r="AL262" s="7637" t="n"/>
      <c r="AM262" s="7637" t="n"/>
      <c r="AN262" s="7637" t="n"/>
      <c r="AO262" s="7637" t="n"/>
      <c r="AP262" s="1277" t="n"/>
      <c r="AQ262" s="11602" t="n"/>
      <c r="AR262" s="11602" t="n"/>
      <c r="AS262" s="11602" t="n"/>
      <c r="AT262" s="11602" t="n"/>
      <c r="AU262" s="11602" t="n"/>
      <c r="AV262" s="11602" t="n"/>
      <c r="AW262" s="11602" t="n"/>
      <c r="AX262" s="769" t="n"/>
      <c r="AY262" s="964" t="n"/>
      <c r="AZ262" s="964" t="n"/>
      <c r="BA262" s="964" t="n"/>
      <c r="BB262" s="964" t="n"/>
      <c r="BC262" s="964" t="n"/>
      <c r="BD262" s="964" t="n"/>
      <c r="BE262" s="964" t="n"/>
      <c r="BF262" s="964" t="n"/>
      <c r="BG262" s="964" t="n"/>
      <c r="BH262" s="964" t="n"/>
    </row>
    <row r="263" ht="13.5" customHeight="1" s="7635">
      <c r="A263" s="2112" t="n"/>
      <c r="B263" s="2263" t="inlineStr">
        <is>
          <t xml:space="preserve">Use a separate Form 1116 for each category of income listed below. See Categories of Income in the instructions. </t>
        </is>
      </c>
      <c r="C263" s="406" t="n"/>
      <c r="D263" s="406" t="n"/>
      <c r="E263" s="406" t="n"/>
      <c r="F263" s="406" t="n"/>
      <c r="G263" s="406" t="n"/>
      <c r="H263" s="406" t="n"/>
      <c r="I263" s="406" t="n"/>
      <c r="J263" s="406" t="n"/>
      <c r="K263" s="406" t="n"/>
      <c r="L263" s="406" t="n"/>
      <c r="M263" s="406" t="n"/>
      <c r="N263" s="406" t="n"/>
      <c r="O263" s="406" t="n"/>
      <c r="P263" s="406" t="n"/>
      <c r="Q263" s="406" t="n"/>
      <c r="R263" s="406" t="n"/>
      <c r="S263" s="406" t="n"/>
      <c r="T263" s="406" t="n"/>
      <c r="U263" s="406" t="n"/>
      <c r="V263" s="406" t="n"/>
      <c r="W263" s="406" t="n"/>
      <c r="X263" s="406" t="n"/>
      <c r="Y263" s="406" t="n"/>
      <c r="Z263" s="406" t="n"/>
      <c r="AA263" s="406" t="n"/>
      <c r="AB263" s="406" t="n"/>
      <c r="AC263" s="406" t="n"/>
      <c r="AD263" s="406" t="n"/>
      <c r="AE263" s="406" t="n"/>
      <c r="AF263" s="406" t="n"/>
      <c r="AG263" s="406" t="n"/>
      <c r="AH263" s="406" t="n"/>
      <c r="AI263" s="10866" t="inlineStr">
        <is>
          <t>Check only one box on each</t>
        </is>
      </c>
      <c r="AJ263" s="406" t="n"/>
      <c r="AK263" s="406" t="n"/>
      <c r="AL263" s="406" t="n"/>
      <c r="AM263" s="406" t="n"/>
      <c r="AN263" s="406" t="n"/>
      <c r="AO263" s="406" t="n"/>
      <c r="AP263" s="1277" t="n"/>
      <c r="AQ263" s="11602" t="n"/>
      <c r="AR263" s="11602" t="n"/>
      <c r="AS263" s="11602" t="n"/>
      <c r="AT263" s="11602" t="n"/>
      <c r="AU263" s="11602" t="n"/>
      <c r="AV263" s="11602" t="n"/>
      <c r="AW263" s="11602" t="n"/>
      <c r="AX263" s="968" t="inlineStr">
        <is>
          <t>Date</t>
        </is>
      </c>
      <c r="AY263" s="964" t="n"/>
      <c r="AZ263" s="964" t="n"/>
      <c r="BA263" s="964" t="n"/>
      <c r="BB263" s="964" t="n"/>
      <c r="BC263" s="964" t="n"/>
      <c r="BD263" s="964" t="n"/>
      <c r="BE263" s="964" t="n"/>
      <c r="BF263" s="964" t="n"/>
      <c r="BG263" s="964" t="n"/>
      <c r="BH263" s="964" t="n"/>
    </row>
    <row r="264" ht="13.5" customHeight="1" s="7635">
      <c r="A264" s="4135">
        <f>AO265=0</f>
        <v/>
      </c>
      <c r="B264" s="7299" t="inlineStr">
        <is>
          <t xml:space="preserve">Form 1116. </t>
        </is>
      </c>
      <c r="C264" s="11602" t="n"/>
      <c r="D264" s="11602" t="n"/>
      <c r="E264" s="11602" t="inlineStr">
        <is>
          <t>Report all amounts in U.S. dollars except where specified in Part II below.</t>
        </is>
      </c>
      <c r="F264" s="7772" t="n"/>
      <c r="G264" s="11602" t="n"/>
      <c r="H264" s="11602" t="n"/>
      <c r="I264" s="11602" t="n"/>
      <c r="J264" s="11602" t="n"/>
      <c r="K264" s="11602" t="n"/>
      <c r="L264" s="11602" t="n"/>
      <c r="M264" s="11602" t="n"/>
      <c r="N264" s="11602" t="n"/>
      <c r="O264" s="11602" t="n"/>
      <c r="P264" s="11602" t="n"/>
      <c r="Q264" s="11602" t="n"/>
      <c r="R264" s="11602" t="n"/>
      <c r="S264" s="11602" t="n"/>
      <c r="T264" s="11602" t="n"/>
      <c r="U264" s="11602" t="n"/>
      <c r="V264" s="11602" t="n"/>
      <c r="W264" s="11602" t="n"/>
      <c r="X264" s="11602" t="n"/>
      <c r="Y264" s="11602" t="n"/>
      <c r="Z264" s="11602" t="n"/>
      <c r="AA264" s="11602" t="n"/>
      <c r="AB264" s="11602" t="n"/>
      <c r="AC264" s="11602" t="n"/>
      <c r="AD264" s="11602" t="n"/>
      <c r="AE264" s="11602" t="n"/>
      <c r="AF264" s="11602" t="n"/>
      <c r="AG264" s="11602" t="n"/>
      <c r="AH264" s="11602" t="n"/>
      <c r="AI264" s="11602" t="n"/>
      <c r="AJ264" s="11602" t="n"/>
      <c r="AK264" s="11602" t="n"/>
      <c r="AL264" s="11602" t="n"/>
      <c r="AM264" s="11602" t="n"/>
      <c r="AN264" s="11602" t="n"/>
      <c r="AO264" s="11602" t="n"/>
      <c r="AP264" s="1277" t="n"/>
      <c r="AQ264" s="512" t="n"/>
      <c r="AR264" s="8955" t="n"/>
      <c r="AS264" s="8956" t="n"/>
      <c r="AT264" s="8956" t="n"/>
      <c r="AU264" s="8956" t="n"/>
      <c r="AV264" s="11602" t="n"/>
      <c r="AW264" s="11602" t="n"/>
      <c r="AX264" s="769" t="n"/>
      <c r="AY264" s="964" t="n"/>
      <c r="AZ264" s="964" t="n"/>
      <c r="BA264" s="964" t="n"/>
      <c r="BB264" s="964" t="n"/>
      <c r="BC264" s="964" t="n"/>
      <c r="BD264" s="964" t="n"/>
      <c r="BE264" s="964" t="n"/>
      <c r="BF264" s="964" t="n"/>
      <c r="BG264" s="964" t="n"/>
      <c r="BH264" s="964" t="n"/>
    </row>
    <row r="265" ht="6.75" customHeight="1" s="7635">
      <c r="A265" s="2112" t="n"/>
      <c r="B265" s="11602" t="n"/>
      <c r="C265" s="3235">
        <f>IF(C266&lt;&gt;"",1,0)</f>
        <v/>
      </c>
      <c r="D265" s="512" t="n"/>
      <c r="E265" s="512" t="n"/>
      <c r="F265" s="4148" t="n"/>
      <c r="G265" s="512" t="n"/>
      <c r="H265" s="512" t="n"/>
      <c r="I265" s="512" t="n"/>
      <c r="J265" s="512" t="n"/>
      <c r="K265" s="3235">
        <f>IF(K266&lt;&gt;"",1,0)</f>
        <v/>
      </c>
      <c r="L265" s="512" t="n"/>
      <c r="M265" s="512" t="n"/>
      <c r="N265" s="3235" t="n"/>
      <c r="O265" s="512" t="n"/>
      <c r="P265" s="512" t="n"/>
      <c r="Q265" s="512" t="n"/>
      <c r="R265" s="512" t="n"/>
      <c r="S265" s="512" t="n"/>
      <c r="T265" s="512" t="n"/>
      <c r="U265" s="512" t="n"/>
      <c r="V265" s="512" t="n"/>
      <c r="W265" s="3235">
        <f>IF(W266&lt;&gt;"",1,0)</f>
        <v/>
      </c>
      <c r="X265" s="512" t="n"/>
      <c r="Y265" s="512" t="n"/>
      <c r="Z265" s="512" t="n"/>
      <c r="AA265" s="512" t="n"/>
      <c r="AB265" s="3235" t="n"/>
      <c r="AC265" s="11602" t="n"/>
      <c r="AD265" s="11602" t="n"/>
      <c r="AE265" s="11602" t="n"/>
      <c r="AF265" s="11602" t="n"/>
      <c r="AG265" s="11602" t="n"/>
      <c r="AH265" s="11602" t="n"/>
      <c r="AI265" s="3235">
        <f>IF(AI266&lt;&gt;"",1,0)</f>
        <v/>
      </c>
      <c r="AJ265" s="11602" t="n"/>
      <c r="AK265" s="11602" t="n"/>
      <c r="AL265" s="11602" t="n"/>
      <c r="AM265" s="11602" t="n"/>
      <c r="AN265" s="11602" t="n"/>
      <c r="AO265" s="1318">
        <f>SUM(C265,K265,W265,AI265,C267,K267,W267)</f>
        <v/>
      </c>
      <c r="AP265" s="1277" t="n"/>
      <c r="AQ265" s="512" t="n"/>
      <c r="AR265" s="512" t="n"/>
      <c r="AS265" s="512" t="n"/>
      <c r="AT265" s="512" t="n"/>
      <c r="AU265" s="512" t="n"/>
      <c r="AV265" s="11602" t="n"/>
      <c r="AW265" s="11602" t="n"/>
      <c r="AX265" s="769" t="n"/>
      <c r="AY265" s="964" t="n"/>
      <c r="AZ265" s="964" t="n"/>
      <c r="BA265" s="964" t="n"/>
      <c r="BB265" s="964" t="n"/>
      <c r="BC265" s="964" t="n"/>
      <c r="BD265" s="964" t="n"/>
      <c r="BE265" s="964" t="n"/>
      <c r="BF265" s="964" t="n"/>
      <c r="BG265" s="964" t="n"/>
      <c r="BH265" s="964" t="n"/>
    </row>
    <row r="266" ht="11.25" customHeight="1" s="7635">
      <c r="A266" s="4135">
        <f>AND(K266&lt;&gt;"",AO265=1,A323)</f>
        <v/>
      </c>
      <c r="B266" s="7642" t="inlineStr">
        <is>
          <t>a</t>
        </is>
      </c>
      <c r="C266" s="325" t="n"/>
      <c r="D266" s="2853" t="inlineStr">
        <is>
          <t>Section 951A income</t>
        </is>
      </c>
      <c r="E266" s="11602" t="n"/>
      <c r="F266" s="11602" t="n"/>
      <c r="G266" s="11602" t="n"/>
      <c r="H266" s="11602" t="n"/>
      <c r="I266" s="11602" t="n"/>
      <c r="J266" s="7642" t="inlineStr">
        <is>
          <t>c</t>
        </is>
      </c>
      <c r="K266" s="325" t="n"/>
      <c r="L266" s="2853" t="inlineStr">
        <is>
          <t>Passive category income</t>
        </is>
      </c>
      <c r="M266" s="2853" t="n"/>
      <c r="N266" s="344" t="n"/>
      <c r="O266" s="2853" t="n"/>
      <c r="P266" s="344" t="n"/>
      <c r="Q266" s="11602" t="n"/>
      <c r="R266" s="11602" t="n"/>
      <c r="S266" s="11602" t="n"/>
      <c r="T266" s="11602" t="n"/>
      <c r="U266" s="11602" t="n"/>
      <c r="V266" s="7642" t="inlineStr">
        <is>
          <t>e</t>
        </is>
      </c>
      <c r="W266" s="325" t="n"/>
      <c r="X266" s="2853" t="inlineStr">
        <is>
          <t>Section 901(j) income</t>
        </is>
      </c>
      <c r="Y266" s="11602" t="n"/>
      <c r="Z266" s="11602" t="n"/>
      <c r="AA266" s="7642" t="n"/>
      <c r="AB266" s="11602" t="n"/>
      <c r="AC266" s="2853" t="n"/>
      <c r="AD266" s="7642" t="n"/>
      <c r="AE266" s="11602" t="n"/>
      <c r="AF266" s="7642" t="n"/>
      <c r="AG266" s="11602" t="n"/>
      <c r="AH266" s="7642" t="inlineStr">
        <is>
          <t>g</t>
        </is>
      </c>
      <c r="AI266" s="325" t="n"/>
      <c r="AJ266" s="2853" t="inlineStr">
        <is>
          <t>Lump-sum distributions</t>
        </is>
      </c>
      <c r="AK266" s="11602" t="n"/>
      <c r="AL266" s="11602" t="n"/>
      <c r="AM266" s="11602" t="n"/>
      <c r="AN266" s="11602" t="n"/>
      <c r="AO266" s="8914" t="n"/>
      <c r="AP266" s="1277" t="n"/>
      <c r="AQ266" s="512" t="n"/>
      <c r="AR266" s="8955" t="n"/>
      <c r="AS266" s="8956" t="n"/>
      <c r="AT266" s="8956" t="n"/>
      <c r="AU266" s="8956" t="n"/>
      <c r="AV266" s="11602" t="n"/>
      <c r="AW266" s="11602" t="n"/>
      <c r="AX266" s="769" t="n"/>
      <c r="AY266" s="964" t="n"/>
      <c r="AZ266" s="964" t="n"/>
      <c r="BA266" s="964" t="n"/>
      <c r="BB266" s="964" t="n"/>
      <c r="BC266" s="964" t="n"/>
      <c r="BD266" s="964" t="n"/>
      <c r="BE266" s="964" t="n"/>
      <c r="BF266" s="964" t="n"/>
      <c r="BG266" s="964" t="n"/>
      <c r="BH266" s="964" t="n"/>
    </row>
    <row r="267" ht="6.75" customHeight="1" s="7635">
      <c r="A267" s="2112" t="n"/>
      <c r="B267" s="9169" t="n"/>
      <c r="C267" s="3235">
        <f>IF(C268&lt;&gt;"",1,0)</f>
        <v/>
      </c>
      <c r="D267" s="4152" t="n"/>
      <c r="E267" s="512" t="n"/>
      <c r="F267" s="512" t="n"/>
      <c r="G267" s="512" t="n"/>
      <c r="H267" s="512" t="n"/>
      <c r="I267" s="512" t="n"/>
      <c r="J267" s="512" t="n"/>
      <c r="K267" s="3235">
        <f>IF(K268&lt;&gt;"",1,0)</f>
        <v/>
      </c>
      <c r="L267" s="512" t="n"/>
      <c r="M267" s="512" t="n"/>
      <c r="N267" s="3235" t="n"/>
      <c r="O267" s="11602" t="n"/>
      <c r="P267" s="11602" t="n"/>
      <c r="Q267" s="11602" t="n"/>
      <c r="R267" s="11602" t="n"/>
      <c r="S267" s="11602" t="n"/>
      <c r="T267" s="11602" t="n"/>
      <c r="U267" s="11602" t="n"/>
      <c r="V267" s="11602" t="n"/>
      <c r="W267" s="3235">
        <f>IF(W268&lt;&gt;"",1,0)</f>
        <v/>
      </c>
      <c r="X267" s="11602" t="n"/>
      <c r="Y267" s="11602" t="n"/>
      <c r="Z267" s="11602" t="n"/>
      <c r="AA267" s="11602" t="n"/>
      <c r="AB267" s="11602" t="n"/>
      <c r="AC267" s="11602" t="n"/>
      <c r="AD267" s="11602" t="n"/>
      <c r="AE267" s="11602" t="n"/>
      <c r="AF267" s="11602" t="n"/>
      <c r="AG267" s="11602" t="n"/>
      <c r="AH267" s="11602" t="n"/>
      <c r="AI267" s="11602" t="n"/>
      <c r="AJ267" s="11602" t="n"/>
      <c r="AK267" s="11602" t="n"/>
      <c r="AL267" s="11602" t="n"/>
      <c r="AM267" s="11602" t="n"/>
      <c r="AN267" s="11602" t="n"/>
      <c r="AO267" s="11602" t="n"/>
      <c r="AP267" s="1277" t="n"/>
      <c r="AQ267" s="512" t="n"/>
      <c r="AR267" s="512" t="n"/>
      <c r="AS267" s="512" t="n"/>
      <c r="AT267" s="512" t="n"/>
      <c r="AU267" s="512" t="n"/>
      <c r="AV267" s="11602" t="n"/>
      <c r="AW267" s="11602" t="n"/>
      <c r="AX267" s="769" t="n"/>
      <c r="AY267" s="964" t="n"/>
      <c r="AZ267" s="964" t="n"/>
      <c r="BA267" s="964" t="n"/>
      <c r="BB267" s="964" t="n"/>
      <c r="BC267" s="964" t="n"/>
      <c r="BD267" s="964" t="n"/>
      <c r="BE267" s="964" t="n"/>
      <c r="BF267" s="964" t="n"/>
      <c r="BG267" s="964" t="n"/>
      <c r="BH267" s="964" t="n"/>
    </row>
    <row r="268" ht="11.25" customHeight="1" s="7635">
      <c r="A268" s="2112" t="n"/>
      <c r="B268" s="7642" t="inlineStr">
        <is>
          <t>b</t>
        </is>
      </c>
      <c r="C268" s="325" t="n"/>
      <c r="D268" s="2853" t="inlineStr">
        <is>
          <t>Foreign branch income</t>
        </is>
      </c>
      <c r="E268" s="11602" t="n"/>
      <c r="F268" s="11602" t="n"/>
      <c r="G268" s="11602" t="n"/>
      <c r="H268" s="11602" t="n"/>
      <c r="I268" s="11602" t="n"/>
      <c r="J268" s="7642" t="inlineStr">
        <is>
          <t>d</t>
        </is>
      </c>
      <c r="K268" s="325" t="n"/>
      <c r="L268" s="2853" t="inlineStr">
        <is>
          <t>General category income</t>
        </is>
      </c>
      <c r="M268" s="2853" t="n"/>
      <c r="N268" s="344" t="n"/>
      <c r="O268" s="2853" t="n"/>
      <c r="P268" s="344" t="n"/>
      <c r="Q268" s="11602" t="n"/>
      <c r="R268" s="11602" t="n"/>
      <c r="S268" s="11602" t="n"/>
      <c r="T268" s="11602" t="n"/>
      <c r="U268" s="11602" t="n"/>
      <c r="V268" s="7642" t="inlineStr">
        <is>
          <t>f</t>
        </is>
      </c>
      <c r="W268" s="325" t="n"/>
      <c r="X268" s="2853" t="inlineStr">
        <is>
          <t>Certain income re-sourced by treaty</t>
        </is>
      </c>
      <c r="Y268" s="11602" t="n"/>
      <c r="Z268" s="11602" t="n"/>
      <c r="AA268" s="11602" t="n"/>
      <c r="AB268" s="11602" t="n"/>
      <c r="AC268" s="11602" t="n"/>
      <c r="AD268" s="11602" t="n"/>
      <c r="AE268" s="11602" t="n"/>
      <c r="AF268" s="11602" t="n"/>
      <c r="AG268" s="11602" t="n"/>
      <c r="AH268" s="11602" t="n"/>
      <c r="AI268" s="11602" t="n"/>
      <c r="AJ268" s="11602" t="n"/>
      <c r="AK268" s="11602" t="n"/>
      <c r="AL268" s="11602" t="n"/>
      <c r="AM268" s="11602" t="n"/>
      <c r="AN268" s="11602" t="n"/>
      <c r="AO268" s="512">
        <f>IF(AO265&lt;&gt;1,TRUE,FALSE)</f>
        <v/>
      </c>
      <c r="AP268" s="1277" t="n"/>
      <c r="AQ268" s="512" t="n"/>
      <c r="AR268" s="8955" t="n"/>
      <c r="AS268" s="8956" t="n"/>
      <c r="AT268" s="8956" t="n"/>
      <c r="AU268" s="8956" t="n"/>
      <c r="AV268" s="11602" t="n"/>
      <c r="AW268" s="11602" t="n"/>
      <c r="AX268" s="769" t="n"/>
      <c r="AY268" s="964" t="n"/>
      <c r="AZ268" s="964" t="n"/>
      <c r="BA268" s="964" t="n"/>
      <c r="BB268" s="964" t="n"/>
      <c r="BC268" s="964" t="n"/>
      <c r="BD268" s="964" t="n"/>
      <c r="BE268" s="964" t="n"/>
      <c r="BF268" s="964" t="n"/>
      <c r="BG268" s="964" t="n"/>
      <c r="BH268" s="964" t="n"/>
    </row>
    <row r="269" ht="6.75" customFormat="1" customHeight="1" s="1405">
      <c r="A269" s="2112" t="n"/>
      <c r="B269" s="9169" t="n"/>
      <c r="C269" s="9169" t="n"/>
      <c r="D269" s="8650" t="n"/>
      <c r="E269" s="11602" t="n"/>
      <c r="F269" s="11602" t="n"/>
      <c r="G269" s="11602" t="n"/>
      <c r="H269" s="11602" t="n"/>
      <c r="I269" s="11602" t="n"/>
      <c r="J269" s="11602" t="n"/>
      <c r="K269" s="11602" t="n"/>
      <c r="L269" s="11602" t="n"/>
      <c r="M269" s="11602" t="n"/>
      <c r="N269" s="11602" t="n"/>
      <c r="O269" s="11602" t="n"/>
      <c r="P269" s="11602" t="n"/>
      <c r="Q269" s="11602" t="n"/>
      <c r="R269" s="11602" t="n"/>
      <c r="S269" s="11602" t="n"/>
      <c r="T269" s="11602" t="n"/>
      <c r="U269" s="11602" t="n"/>
      <c r="V269" s="11602" t="n"/>
      <c r="W269" s="11602" t="n"/>
      <c r="X269" s="11602" t="n"/>
      <c r="Y269" s="11602" t="n"/>
      <c r="Z269" s="11602" t="n"/>
      <c r="AA269" s="11602" t="n"/>
      <c r="AB269" s="11602" t="n"/>
      <c r="AC269" s="11602" t="n"/>
      <c r="AD269" s="11602" t="n"/>
      <c r="AE269" s="11602" t="n"/>
      <c r="AF269" s="11602" t="n"/>
      <c r="AG269" s="11602" t="n"/>
      <c r="AH269" s="11602" t="n"/>
      <c r="AI269" s="11602" t="n"/>
      <c r="AJ269" s="11602" t="n"/>
      <c r="AK269" s="11602" t="n"/>
      <c r="AL269" s="11602" t="n"/>
      <c r="AM269" s="11602" t="n"/>
      <c r="AN269" s="11602" t="n"/>
      <c r="AO269" s="11602" t="n"/>
      <c r="AP269" s="1277" t="n"/>
      <c r="AQ269" s="512" t="n"/>
      <c r="AR269" s="512" t="n"/>
      <c r="AS269" s="512" t="n"/>
      <c r="AT269" s="512" t="n"/>
      <c r="AU269" s="512" t="n"/>
      <c r="AV269" s="11602" t="n"/>
      <c r="AW269" s="11602" t="n"/>
      <c r="AX269" s="769" t="n"/>
      <c r="AY269" s="964" t="n"/>
      <c r="AZ269" s="964" t="n"/>
      <c r="BA269" s="964" t="n"/>
      <c r="BB269" s="964" t="n"/>
      <c r="BC269" s="964" t="n"/>
      <c r="BD269" s="964" t="n"/>
      <c r="BE269" s="964" t="n"/>
      <c r="BF269" s="964" t="n"/>
      <c r="BG269" s="964" t="n"/>
      <c r="BH269" s="964" t="n"/>
    </row>
    <row r="270" ht="14.25" customHeight="1" s="7635">
      <c r="A270" s="2112" t="n"/>
      <c r="B270" s="8474" t="inlineStr">
        <is>
          <t>h</t>
        </is>
      </c>
      <c r="C270" s="4154" t="inlineStr">
        <is>
          <t>Resident of (name of country)</t>
        </is>
      </c>
      <c r="D270" s="773" t="n"/>
      <c r="E270" s="773" t="n"/>
      <c r="F270" s="773" t="n"/>
      <c r="G270" s="773" t="n"/>
      <c r="H270" s="773" t="n"/>
      <c r="I270" s="773" t="n"/>
      <c r="J270" s="773" t="n"/>
      <c r="K270" s="773" t="n"/>
      <c r="L270" s="8968" t="n"/>
      <c r="M270" s="8007" t="n"/>
      <c r="N270" s="8007" t="n"/>
      <c r="O270" s="8007" t="n"/>
      <c r="P270" s="8007" t="n"/>
      <c r="Q270" s="8007" t="n"/>
      <c r="R270" s="8007" t="n"/>
      <c r="S270" s="8007" t="n"/>
      <c r="T270" s="8007" t="n"/>
      <c r="U270" s="8007" t="n"/>
      <c r="V270" s="8007" t="n"/>
      <c r="W270" s="8007" t="n"/>
      <c r="X270" s="8007" t="n"/>
      <c r="Y270" s="8007" t="n"/>
      <c r="Z270" s="8007" t="n"/>
      <c r="AA270" s="8007" t="n"/>
      <c r="AB270" s="8007" t="n"/>
      <c r="AC270" s="8007" t="n"/>
      <c r="AD270" s="8007" t="n"/>
      <c r="AE270" s="8007" t="n"/>
      <c r="AF270" s="8007" t="n"/>
      <c r="AG270" s="8007" t="n"/>
      <c r="AH270" s="8007" t="n"/>
      <c r="AI270" s="8007" t="n"/>
      <c r="AJ270" s="8007" t="n"/>
      <c r="AK270" s="8007" t="n"/>
      <c r="AL270" s="8007" t="n"/>
      <c r="AM270" s="8007" t="n"/>
      <c r="AN270" s="8007" t="n"/>
      <c r="AO270" s="8007" t="n"/>
      <c r="AP270" s="1277" t="n"/>
      <c r="AQ270" s="11602" t="n"/>
      <c r="AR270" s="11602" t="n"/>
      <c r="AS270" s="11602" t="n"/>
      <c r="AT270" s="11602" t="n"/>
      <c r="AU270" s="11602" t="n"/>
      <c r="AV270" s="11602" t="n"/>
      <c r="AW270" s="11602" t="n"/>
      <c r="AX270" s="769" t="n"/>
      <c r="AY270" s="964" t="n"/>
      <c r="AZ270" s="964" t="n"/>
      <c r="BA270" s="964" t="n"/>
      <c r="BB270" s="964" t="n"/>
      <c r="BC270" s="964" t="n"/>
      <c r="BD270" s="964" t="n"/>
      <c r="BE270" s="964" t="n"/>
      <c r="BF270" s="964" t="n"/>
      <c r="BG270" s="964" t="n"/>
      <c r="BH270" s="964" t="n"/>
    </row>
    <row r="271" ht="15" customHeight="1" s="7635">
      <c r="A271" s="2112" t="n"/>
      <c r="B271" s="9153" t="inlineStr">
        <is>
          <t>Note:</t>
        </is>
      </c>
      <c r="C271" s="7839" t="n"/>
      <c r="D271" s="344" t="inlineStr">
        <is>
          <t>If you paid taxes to only one foreign country or U.S. possession, use column A in Part I and line A in Part II. If you paid taxes to</t>
        </is>
      </c>
      <c r="E271" s="11602" t="n"/>
      <c r="F271" s="11602" t="n"/>
      <c r="G271" s="11602" t="n"/>
      <c r="H271" s="11602" t="n"/>
      <c r="I271" s="11602" t="n"/>
      <c r="J271" s="11602" t="n"/>
      <c r="K271" s="11602" t="n"/>
      <c r="L271" s="11602" t="n"/>
      <c r="M271" s="11602" t="n"/>
      <c r="N271" s="11602" t="n"/>
      <c r="O271" s="11602" t="n"/>
      <c r="P271" s="11602" t="n"/>
      <c r="Q271" s="11602" t="n"/>
      <c r="R271" s="11602" t="n"/>
      <c r="S271" s="11602" t="n"/>
      <c r="T271" s="11602" t="n"/>
      <c r="U271" s="11602" t="n"/>
      <c r="V271" s="11602" t="n"/>
      <c r="W271" s="11602" t="n"/>
      <c r="X271" s="11602" t="n"/>
      <c r="Y271" s="11602" t="n"/>
      <c r="Z271" s="11602" t="n"/>
      <c r="AA271" s="11602" t="n"/>
      <c r="AB271" s="11602" t="n"/>
      <c r="AC271" s="11602" t="n"/>
      <c r="AD271" s="11602" t="n"/>
      <c r="AE271" s="11602" t="n"/>
      <c r="AF271" s="11602" t="n"/>
      <c r="AG271" s="11602" t="n"/>
      <c r="AH271" s="11602" t="n"/>
      <c r="AI271" s="11602" t="n"/>
      <c r="AJ271" s="11602" t="n"/>
      <c r="AK271" s="11602" t="n"/>
      <c r="AL271" s="11602" t="n"/>
      <c r="AM271" s="11602" t="n"/>
      <c r="AN271" s="11602" t="n"/>
      <c r="AO271" s="11602" t="n"/>
      <c r="AP271" s="1277" t="n"/>
      <c r="AQ271" s="11602" t="n"/>
      <c r="AR271" s="11602" t="n"/>
      <c r="AS271" s="11602" t="n"/>
      <c r="AT271" s="11602" t="n"/>
      <c r="AU271" s="11602" t="n"/>
      <c r="AV271" s="11602" t="n"/>
      <c r="AW271" s="11602" t="n"/>
      <c r="AX271" s="769" t="n"/>
      <c r="AY271" s="964" t="n"/>
      <c r="AZ271" s="964" t="n"/>
      <c r="BA271" s="964" t="n"/>
      <c r="BB271" s="964" t="n"/>
      <c r="BC271" s="964" t="n"/>
      <c r="BD271" s="964" t="n"/>
      <c r="BE271" s="964" t="n"/>
      <c r="BF271" s="964" t="n"/>
      <c r="BG271" s="964" t="n"/>
      <c r="BH271" s="964" t="n"/>
    </row>
    <row r="272" ht="14.25" customFormat="1" customHeight="1" s="138">
      <c r="A272" s="2112" t="n"/>
      <c r="B272" s="3801" t="inlineStr">
        <is>
          <t>more than one foreign country or U.S. possession, use a separate column and line for each country or possession.</t>
        </is>
      </c>
      <c r="C272" s="4156" t="n"/>
      <c r="D272" s="1996" t="n"/>
      <c r="E272" s="413" t="n"/>
      <c r="F272" s="413" t="n"/>
      <c r="G272" s="413" t="n"/>
      <c r="H272" s="413" t="n"/>
      <c r="I272" s="413" t="n"/>
      <c r="J272" s="413" t="n"/>
      <c r="K272" s="413" t="n"/>
      <c r="L272" s="413" t="n"/>
      <c r="M272" s="413" t="n"/>
      <c r="N272" s="413" t="n"/>
      <c r="O272" s="413" t="n"/>
      <c r="P272" s="413" t="n"/>
      <c r="Q272" s="413" t="n"/>
      <c r="R272" s="413" t="n"/>
      <c r="S272" s="413" t="n"/>
      <c r="T272" s="413" t="n"/>
      <c r="U272" s="413" t="n"/>
      <c r="V272" s="413" t="n"/>
      <c r="W272" s="413" t="n"/>
      <c r="X272" s="413" t="n"/>
      <c r="Y272" s="413" t="n"/>
      <c r="Z272" s="413" t="n"/>
      <c r="AA272" s="413" t="n"/>
      <c r="AB272" s="413" t="n"/>
      <c r="AC272" s="413" t="n"/>
      <c r="AD272" s="413" t="n"/>
      <c r="AE272" s="413" t="n"/>
      <c r="AF272" s="413" t="n"/>
      <c r="AG272" s="413" t="n"/>
      <c r="AH272" s="413" t="n"/>
      <c r="AI272" s="413" t="n"/>
      <c r="AJ272" s="413" t="n"/>
      <c r="AK272" s="413" t="n"/>
      <c r="AL272" s="413" t="n"/>
      <c r="AM272" s="413" t="n"/>
      <c r="AN272" s="413" t="n"/>
      <c r="AO272" s="413" t="n"/>
      <c r="AP272" s="1277" t="n"/>
      <c r="AQ272" s="11602" t="n"/>
      <c r="AR272" s="11602" t="n"/>
      <c r="AS272" s="11602" t="n"/>
      <c r="AT272" s="11602" t="n"/>
      <c r="AU272" s="11602" t="n"/>
      <c r="AV272" s="11602" t="n"/>
      <c r="AW272" s="11602" t="n"/>
      <c r="AX272" s="769" t="n"/>
      <c r="AY272" s="964" t="n"/>
      <c r="AZ272" s="964" t="n"/>
      <c r="BA272" s="964" t="n"/>
      <c r="BB272" s="964" t="n"/>
      <c r="BC272" s="964" t="n"/>
      <c r="BD272" s="964" t="n"/>
      <c r="BE272" s="964" t="n"/>
      <c r="BF272" s="964" t="n"/>
      <c r="BG272" s="964" t="n"/>
      <c r="BH272" s="964" t="n"/>
    </row>
    <row r="273" ht="15.75" customHeight="1" s="7635">
      <c r="A273" s="4157" t="n"/>
      <c r="B273" s="9109" t="inlineStr">
        <is>
          <t>Part I</t>
        </is>
      </c>
      <c r="C273" s="8412" t="n"/>
      <c r="D273" s="8412" t="n"/>
      <c r="E273" s="9151" t="inlineStr">
        <is>
          <t xml:space="preserve"> Taxable Income or Loss From Sources Outside the United States (for category checked above)</t>
        </is>
      </c>
      <c r="F273" s="8412" t="n"/>
      <c r="G273" s="8412" t="n"/>
      <c r="H273" s="8412" t="n"/>
      <c r="I273" s="8412" t="n"/>
      <c r="J273" s="8412" t="n"/>
      <c r="K273" s="8412" t="n"/>
      <c r="L273" s="8412" t="n"/>
      <c r="M273" s="8412" t="n"/>
      <c r="N273" s="8412" t="n"/>
      <c r="O273" s="8412" t="n"/>
      <c r="P273" s="8412" t="n"/>
      <c r="Q273" s="8412" t="n"/>
      <c r="R273" s="8412" t="n"/>
      <c r="S273" s="8412" t="n"/>
      <c r="T273" s="8412" t="n"/>
      <c r="U273" s="8412" t="n"/>
      <c r="V273" s="8412" t="n"/>
      <c r="W273" s="8412" t="n"/>
      <c r="X273" s="8412" t="n"/>
      <c r="Y273" s="8412" t="n"/>
      <c r="Z273" s="8412" t="n"/>
      <c r="AA273" s="8412" t="n"/>
      <c r="AB273" s="8412" t="n"/>
      <c r="AC273" s="8412" t="n"/>
      <c r="AD273" s="8412" t="n"/>
      <c r="AE273" s="8412" t="n"/>
      <c r="AF273" s="8412" t="n"/>
      <c r="AG273" s="8412" t="n"/>
      <c r="AH273" s="8412" t="n"/>
      <c r="AI273" s="8412" t="n"/>
      <c r="AJ273" s="8412" t="n"/>
      <c r="AK273" s="8412" t="n"/>
      <c r="AL273" s="8412" t="n"/>
      <c r="AM273" s="8412" t="n"/>
      <c r="AN273" s="8412" t="n"/>
      <c r="AO273" s="8412" t="n"/>
      <c r="AP273" s="1277" t="n"/>
      <c r="AQ273" s="7772" t="n"/>
      <c r="AR273" s="7772" t="n"/>
      <c r="AS273" s="7772" t="n"/>
      <c r="AT273" s="7772" t="n"/>
      <c r="AU273" s="7772" t="n"/>
      <c r="AV273" s="7772" t="n"/>
      <c r="AW273" s="7772" t="n"/>
      <c r="AX273" s="769" t="n"/>
      <c r="AY273" s="964" t="n"/>
      <c r="AZ273" s="964" t="n"/>
      <c r="BA273" s="964" t="n"/>
      <c r="BB273" s="964" t="n"/>
      <c r="BC273" s="964" t="n"/>
      <c r="BD273" s="964" t="n"/>
      <c r="BE273" s="964" t="n"/>
      <c r="BF273" s="964" t="n"/>
      <c r="BG273" s="964" t="n"/>
      <c r="BH273" s="964" t="n"/>
    </row>
    <row r="274" ht="12" customHeight="1" s="7635">
      <c r="A274" s="2112" t="n"/>
      <c r="B274" s="9136" t="n"/>
      <c r="D274" s="8650" t="n"/>
      <c r="E274" s="11602" t="n"/>
      <c r="F274" s="11602" t="n"/>
      <c r="G274" s="11602" t="n"/>
      <c r="H274" s="11602" t="n"/>
      <c r="I274" s="11602" t="n"/>
      <c r="J274" s="11602" t="n"/>
      <c r="K274" s="11602" t="n"/>
      <c r="L274" s="11602" t="n"/>
      <c r="M274" s="11602" t="n"/>
      <c r="N274" s="11602" t="n"/>
      <c r="O274" s="11602" t="n"/>
      <c r="P274" s="12233" t="inlineStr">
        <is>
          <t>Foreign Country or U.S. Possession</t>
        </is>
      </c>
      <c r="Q274" s="8412" t="n"/>
      <c r="R274" s="8412" t="n"/>
      <c r="S274" s="8412" t="n"/>
      <c r="T274" s="8412" t="n"/>
      <c r="U274" s="8412" t="n"/>
      <c r="V274" s="8412" t="n"/>
      <c r="W274" s="8412" t="n"/>
      <c r="X274" s="8412" t="n"/>
      <c r="Y274" s="8412" t="n"/>
      <c r="Z274" s="8412" t="n"/>
      <c r="AA274" s="8412" t="n"/>
      <c r="AB274" s="8412" t="n"/>
      <c r="AC274" s="8412" t="n"/>
      <c r="AD274" s="8412" t="n"/>
      <c r="AE274" s="8412" t="n"/>
      <c r="AF274" s="8412" t="n"/>
      <c r="AG274" s="8412" t="n"/>
      <c r="AH274" s="8412" t="n"/>
      <c r="AI274" s="11734" t="n"/>
      <c r="AJ274" s="10079" t="inlineStr">
        <is>
          <t>Total 
(Add cols. A, B, and C.)</t>
        </is>
      </c>
      <c r="AK274" s="7839" t="n"/>
      <c r="AL274" s="7839" t="n"/>
      <c r="AM274" s="7839" t="n"/>
      <c r="AN274" s="7839" t="n"/>
      <c r="AO274" s="7839" t="n"/>
      <c r="AP274" s="1277" t="n"/>
      <c r="AQ274" s="11602" t="n"/>
      <c r="AR274" s="11602" t="n"/>
      <c r="AS274" s="11602" t="n"/>
      <c r="AT274" s="11602" t="n"/>
      <c r="AU274" s="11602" t="n"/>
      <c r="AV274" s="11602" t="n"/>
      <c r="AW274" s="11602" t="n"/>
      <c r="AX274" s="769" t="n"/>
      <c r="AY274" s="964" t="n"/>
      <c r="AZ274" s="964" t="n"/>
      <c r="BA274" s="964" t="n"/>
      <c r="BB274" s="964" t="n"/>
      <c r="BC274" s="964" t="n"/>
      <c r="BD274" s="964" t="n"/>
      <c r="BE274" s="964" t="n"/>
      <c r="BF274" s="964" t="n"/>
      <c r="BG274" s="964" t="n"/>
      <c r="BH274" s="964" t="n"/>
    </row>
    <row r="275" ht="12" customHeight="1" s="7635">
      <c r="A275" s="2112" t="n"/>
      <c r="B275" s="9024">
        <f>B32</f>
        <v/>
      </c>
      <c r="D275" s="807" t="inlineStr">
        <is>
          <t>Enter the name of the foreign country or U.S.</t>
        </is>
      </c>
      <c r="E275" s="11602" t="n"/>
      <c r="F275" s="11602" t="n"/>
      <c r="G275" s="11602" t="n"/>
      <c r="H275" s="11602" t="n"/>
      <c r="I275" s="11602" t="n"/>
      <c r="J275" s="11602" t="n"/>
      <c r="K275" s="11602" t="n"/>
      <c r="L275" s="11602" t="n"/>
      <c r="M275" s="11602" t="n"/>
      <c r="N275" s="11602" t="n"/>
      <c r="O275" s="11602" t="n"/>
      <c r="P275" s="12110" t="inlineStr">
        <is>
          <t>A</t>
        </is>
      </c>
      <c r="Q275" s="8412" t="n"/>
      <c r="R275" s="8412" t="n"/>
      <c r="S275" s="8412" t="n"/>
      <c r="T275" s="8412" t="n"/>
      <c r="U275" s="8412" t="n"/>
      <c r="V275" s="11734" t="n"/>
      <c r="W275" s="12110" t="inlineStr">
        <is>
          <t>B</t>
        </is>
      </c>
      <c r="X275" s="8412" t="n"/>
      <c r="Y275" s="8412" t="n"/>
      <c r="Z275" s="8412" t="n"/>
      <c r="AA275" s="8412" t="n"/>
      <c r="AB275" s="8412" t="n"/>
      <c r="AC275" s="11734" t="n"/>
      <c r="AD275" s="12110" t="inlineStr">
        <is>
          <t>C</t>
        </is>
      </c>
      <c r="AE275" s="8412" t="n"/>
      <c r="AF275" s="8412" t="n"/>
      <c r="AG275" s="8412" t="n"/>
      <c r="AH275" s="8412" t="n"/>
      <c r="AI275" s="11734" t="n"/>
      <c r="AJ275" s="3614" t="n"/>
      <c r="AK275" s="7637" t="n"/>
      <c r="AL275" s="7637" t="n"/>
      <c r="AM275" s="7637" t="n"/>
      <c r="AN275" s="7637" t="n"/>
      <c r="AO275" s="7637" t="n"/>
      <c r="AP275" s="1277" t="n"/>
      <c r="AQ275" s="11602" t="n"/>
      <c r="AR275" s="11602" t="n"/>
      <c r="AS275" s="11602" t="n"/>
      <c r="AT275" s="11602" t="n"/>
      <c r="AU275" s="11602" t="n"/>
      <c r="AV275" s="11602" t="n"/>
      <c r="AW275" s="11602" t="n"/>
      <c r="AX275" s="769" t="n"/>
      <c r="AY275" s="964" t="n"/>
      <c r="AZ275" s="964" t="n"/>
      <c r="BA275" s="964" t="n"/>
      <c r="BB275" s="964" t="n"/>
      <c r="BC275" s="964" t="n"/>
      <c r="BD275" s="964" t="n"/>
      <c r="BE275" s="964" t="n"/>
      <c r="BF275" s="964" t="n"/>
      <c r="BG275" s="964" t="n"/>
      <c r="BH275" s="964" t="n"/>
    </row>
    <row r="276" ht="12" customHeight="1" s="7635">
      <c r="A276" s="4158" t="n"/>
      <c r="B276" s="9033" t="n"/>
      <c r="D276" s="4159" t="inlineStr">
        <is>
          <t>possession</t>
        </is>
      </c>
      <c r="E276" s="571" t="n"/>
      <c r="F276" s="571" t="n"/>
      <c r="G276" s="571" t="n"/>
      <c r="H276" s="571" t="n"/>
      <c r="I276" s="571" t="n"/>
      <c r="J276" s="571" t="n"/>
      <c r="K276" s="571" t="n"/>
      <c r="L276" s="571" t="n"/>
      <c r="M276" s="571" t="n"/>
      <c r="N276" s="571" t="n"/>
      <c r="O276" s="4160" t="inlineStr">
        <is>
          <t xml:space="preserve">.   .   .   .   .   .   .   .   .   .   .   .   .   .   .  </t>
        </is>
      </c>
      <c r="P276" s="12234" t="n"/>
      <c r="Q276" s="8007" t="n"/>
      <c r="R276" s="8007" t="n"/>
      <c r="S276" s="8007" t="n"/>
      <c r="T276" s="8007" t="n"/>
      <c r="U276" s="8007" t="n"/>
      <c r="V276" s="8008" t="n"/>
      <c r="W276" s="12234" t="n"/>
      <c r="X276" s="8007" t="n"/>
      <c r="Y276" s="8007" t="n"/>
      <c r="Z276" s="8007" t="n"/>
      <c r="AA276" s="8007" t="n"/>
      <c r="AB276" s="8007" t="n"/>
      <c r="AC276" s="8008" t="n"/>
      <c r="AD276" s="12234" t="n"/>
      <c r="AE276" s="8007" t="n"/>
      <c r="AF276" s="8007" t="n"/>
      <c r="AG276" s="8007" t="n"/>
      <c r="AH276" s="8007" t="n"/>
      <c r="AI276" s="8008" t="n"/>
      <c r="AJ276" s="9062" t="n"/>
      <c r="AK276" s="7839" t="n"/>
      <c r="AL276" s="4161" t="n"/>
      <c r="AM276" s="571" t="n"/>
      <c r="AN276" s="571" t="n"/>
      <c r="AO276" s="571" t="n"/>
      <c r="AP276" s="2888" t="n"/>
      <c r="AQ276" s="571" t="n"/>
      <c r="AR276" s="571" t="n"/>
      <c r="AS276" s="571" t="n"/>
      <c r="AT276" s="571" t="n"/>
      <c r="AU276" s="571" t="n"/>
      <c r="AV276" s="571" t="n"/>
      <c r="AW276" s="571" t="n"/>
      <c r="AX276" s="769" t="n"/>
      <c r="AY276" s="964" t="n"/>
      <c r="AZ276" s="964" t="n"/>
      <c r="BA276" s="964" t="n"/>
      <c r="BB276" s="964" t="n"/>
      <c r="BC276" s="964" t="n"/>
      <c r="BD276" s="964" t="n"/>
      <c r="BE276" s="964" t="n"/>
      <c r="BF276" s="964" t="n"/>
      <c r="BG276" s="964" t="n"/>
      <c r="BH276" s="964" t="n"/>
    </row>
    <row r="277">
      <c r="A277" s="2112" t="n"/>
      <c r="B277" s="9040" t="inlineStr">
        <is>
          <t>1a</t>
        </is>
      </c>
      <c r="D277" s="7299" t="inlineStr">
        <is>
          <t>Gross income from sources within country shown</t>
        </is>
      </c>
      <c r="E277" s="11602" t="n"/>
      <c r="F277" s="11602" t="n"/>
      <c r="G277" s="11602" t="n"/>
      <c r="H277" s="11602" t="n"/>
      <c r="I277" s="11602" t="n"/>
      <c r="J277" s="11602" t="n"/>
      <c r="K277" s="11602" t="n"/>
      <c r="L277" s="11602" t="n"/>
      <c r="M277" s="11602" t="n"/>
      <c r="N277" s="11602" t="n"/>
      <c r="O277" s="11602" t="n"/>
      <c r="P277" s="2094" t="n"/>
      <c r="Q277" s="723" t="n"/>
      <c r="R277" s="723" t="n"/>
      <c r="S277" s="723" t="n"/>
      <c r="T277" s="723" t="n"/>
      <c r="U277" s="723" t="n"/>
      <c r="V277" s="2095" t="n"/>
      <c r="W277" s="2094" t="n"/>
      <c r="X277" s="723" t="n"/>
      <c r="Y277" s="723" t="n"/>
      <c r="Z277" s="723" t="n"/>
      <c r="AA277" s="723" t="n"/>
      <c r="AB277" s="723" t="n"/>
      <c r="AC277" s="2095" t="n"/>
      <c r="AD277" s="2094" t="n"/>
      <c r="AE277" s="723" t="n"/>
      <c r="AF277" s="723" t="n"/>
      <c r="AG277" s="723" t="n"/>
      <c r="AH277" s="723" t="n"/>
      <c r="AI277" s="2095" t="n"/>
      <c r="AJ277" s="8967" t="n"/>
      <c r="AL277" s="408" t="n"/>
      <c r="AM277" s="11602" t="n"/>
      <c r="AN277" s="11602" t="n"/>
      <c r="AO277" s="11602" t="n"/>
      <c r="AP277" s="1277" t="n"/>
      <c r="AQ277" s="11602" t="n"/>
      <c r="AR277" s="11602" t="n"/>
      <c r="AS277" s="11602" t="n"/>
      <c r="AT277" s="11602" t="n"/>
      <c r="AU277" s="11602" t="n"/>
      <c r="AV277" s="11602" t="n"/>
      <c r="AW277" s="11602" t="n"/>
      <c r="AX277" s="769" t="n"/>
      <c r="AY277" s="964" t="n"/>
      <c r="AZ277" s="964" t="n"/>
      <c r="BA277" s="964" t="n"/>
      <c r="BB277" s="964" t="n"/>
      <c r="BC277" s="964" t="n"/>
      <c r="BD277" s="964" t="n"/>
      <c r="BE277" s="964" t="n"/>
      <c r="BF277" s="964" t="n"/>
      <c r="BG277" s="964" t="n"/>
      <c r="BH277" s="964" t="n"/>
    </row>
    <row r="278" ht="12" customHeight="1" s="7635">
      <c r="A278" s="2112" t="n"/>
      <c r="B278" s="4210" t="n"/>
      <c r="C278" s="4210" t="n"/>
      <c r="D278" s="344" t="inlineStr">
        <is>
          <t>above and of the type checked above (see</t>
        </is>
      </c>
      <c r="E278" s="11602" t="n"/>
      <c r="F278" s="11602" t="n"/>
      <c r="G278" s="11602" t="n"/>
      <c r="H278" s="11602" t="n"/>
      <c r="I278" s="11602" t="n"/>
      <c r="J278" s="11602" t="n"/>
      <c r="K278" s="11602" t="n"/>
      <c r="L278" s="11602" t="n"/>
      <c r="M278" s="11602" t="n"/>
      <c r="N278" s="11602" t="n"/>
      <c r="O278" s="11602" t="n"/>
      <c r="P278" s="2073" t="n"/>
      <c r="Q278" s="723" t="n"/>
      <c r="R278" s="723" t="n"/>
      <c r="S278" s="723" t="n"/>
      <c r="T278" s="723" t="n"/>
      <c r="U278" s="723" t="n"/>
      <c r="V278" s="2074" t="n"/>
      <c r="W278" s="2073" t="n"/>
      <c r="X278" s="723" t="n"/>
      <c r="Y278" s="723" t="n"/>
      <c r="Z278" s="723" t="n"/>
      <c r="AA278" s="723" t="n"/>
      <c r="AB278" s="723" t="n"/>
      <c r="AC278" s="2074" t="n"/>
      <c r="AD278" s="2073" t="n"/>
      <c r="AE278" s="723" t="n"/>
      <c r="AF278" s="723" t="n"/>
      <c r="AG278" s="723" t="n"/>
      <c r="AH278" s="723" t="n"/>
      <c r="AI278" s="2074" t="n"/>
      <c r="AJ278" s="8967" t="n"/>
      <c r="AL278" s="408" t="n"/>
      <c r="AM278" s="11602" t="n"/>
      <c r="AN278" s="11602" t="n"/>
      <c r="AO278" s="11602" t="n"/>
      <c r="AP278" s="1277" t="n"/>
      <c r="AQ278" s="11602" t="n"/>
      <c r="AR278" s="11602" t="n"/>
      <c r="AS278" s="11602" t="n"/>
      <c r="AT278" s="11602" t="n"/>
      <c r="AU278" s="11602" t="n"/>
      <c r="AV278" s="11602" t="n"/>
      <c r="AW278" s="11602" t="n"/>
      <c r="AX278" s="967" t="n"/>
      <c r="AY278" s="965" t="n"/>
      <c r="AZ278" s="965" t="n"/>
      <c r="BA278" s="965" t="n"/>
      <c r="BB278" s="965" t="n"/>
      <c r="BC278" s="965" t="n"/>
      <c r="BD278" s="965" t="n"/>
      <c r="BE278" s="965" t="n"/>
      <c r="BF278" s="965" t="n"/>
      <c r="BG278" s="965" t="n"/>
      <c r="BH278" s="965" t="n"/>
    </row>
    <row r="279" ht="12" customHeight="1" s="7635">
      <c r="A279" s="2112" t="n"/>
      <c r="B279" s="4210" t="n"/>
      <c r="C279" s="4210" t="n"/>
      <c r="D279" s="979" t="inlineStr">
        <is>
          <t>instructions):</t>
        </is>
      </c>
      <c r="E279" s="11602" t="n"/>
      <c r="F279" s="11602" t="n"/>
      <c r="G279" s="11602" t="n"/>
      <c r="H279" s="9149" t="n"/>
      <c r="I279" s="12079" t="n"/>
      <c r="J279" s="12079" t="n"/>
      <c r="K279" s="12079" t="n"/>
      <c r="L279" s="12079" t="n"/>
      <c r="M279" s="12079" t="n"/>
      <c r="N279" s="12079" t="n"/>
      <c r="O279" s="11602" t="n"/>
      <c r="P279" s="2073" t="n"/>
      <c r="Q279" s="723" t="n"/>
      <c r="R279" s="723" t="n"/>
      <c r="S279" s="723" t="n"/>
      <c r="T279" s="723" t="n"/>
      <c r="U279" s="723" t="n"/>
      <c r="V279" s="2074" t="n"/>
      <c r="W279" s="2073" t="n"/>
      <c r="X279" s="723" t="n"/>
      <c r="Y279" s="723" t="n"/>
      <c r="Z279" s="723" t="n"/>
      <c r="AA279" s="723" t="n"/>
      <c r="AB279" s="723" t="n"/>
      <c r="AC279" s="2074" t="n"/>
      <c r="AD279" s="2073" t="n"/>
      <c r="AE279" s="723" t="n"/>
      <c r="AF279" s="723" t="n"/>
      <c r="AG279" s="723" t="n"/>
      <c r="AH279" s="723" t="n"/>
      <c r="AI279" s="2074" t="n"/>
      <c r="AJ279" s="8967" t="n"/>
      <c r="AL279" s="408" t="n"/>
      <c r="AM279" s="11602" t="n"/>
      <c r="AN279" s="11602" t="n"/>
      <c r="AO279" s="11602" t="n"/>
      <c r="AP279" s="1277" t="n"/>
      <c r="AQ279" s="11602" t="n"/>
      <c r="AR279" s="11602" t="n"/>
      <c r="AS279" s="11602" t="n"/>
      <c r="AT279" s="11602" t="n"/>
      <c r="AU279" s="11602" t="n"/>
      <c r="AV279" s="11602" t="n"/>
      <c r="AW279" s="11602" t="n"/>
      <c r="AX279" s="769" t="n"/>
      <c r="AY279" s="964" t="n"/>
      <c r="AZ279" s="964" t="n"/>
      <c r="BA279" s="964" t="n"/>
      <c r="BB279" s="964" t="n"/>
      <c r="BC279" s="964" t="n"/>
      <c r="BD279" s="964" t="n"/>
      <c r="BE279" s="964" t="n"/>
      <c r="BF279" s="964" t="n"/>
      <c r="BG279" s="964" t="n"/>
      <c r="BH279" s="964" t="n"/>
    </row>
    <row r="280" ht="12" customHeight="1" s="7635">
      <c r="A280" s="2112" t="n"/>
      <c r="B280" s="4210" t="n"/>
      <c r="C280" s="4210" t="n"/>
      <c r="D280" s="9005" t="n"/>
      <c r="E280" s="12079" t="n"/>
      <c r="F280" s="12079" t="n"/>
      <c r="G280" s="12079" t="n"/>
      <c r="H280" s="12079" t="n"/>
      <c r="I280" s="12079" t="n"/>
      <c r="J280" s="12079" t="n"/>
      <c r="K280" s="12079" t="n"/>
      <c r="L280" s="12079" t="n"/>
      <c r="M280" s="12079" t="n"/>
      <c r="N280" s="12079" t="n"/>
      <c r="O280" s="11602" t="n"/>
      <c r="P280" s="2073" t="n"/>
      <c r="Q280" s="723" t="n"/>
      <c r="R280" s="723" t="n"/>
      <c r="S280" s="723" t="n"/>
      <c r="T280" s="723" t="n"/>
      <c r="U280" s="723" t="n"/>
      <c r="V280" s="2074" t="n"/>
      <c r="W280" s="2073" t="n"/>
      <c r="X280" s="723" t="n"/>
      <c r="Y280" s="723" t="n"/>
      <c r="Z280" s="723" t="n"/>
      <c r="AA280" s="723" t="n"/>
      <c r="AB280" s="723" t="n"/>
      <c r="AC280" s="2074" t="n"/>
      <c r="AD280" s="2073" t="n"/>
      <c r="AE280" s="723" t="n"/>
      <c r="AF280" s="723" t="n"/>
      <c r="AG280" s="723" t="n"/>
      <c r="AH280" s="723" t="n"/>
      <c r="AI280" s="2074" t="n"/>
      <c r="AJ280" s="8967" t="n"/>
      <c r="AL280" s="408" t="n"/>
      <c r="AM280" s="11602" t="n"/>
      <c r="AN280" s="11602" t="n"/>
      <c r="AO280" s="11602" t="n"/>
      <c r="AP280" s="1277" t="n"/>
      <c r="AQ280" s="11602" t="n"/>
      <c r="AR280" s="11602" t="n"/>
      <c r="AS280" s="11602" t="n"/>
      <c r="AT280" s="11602" t="n"/>
      <c r="AU280" s="11602" t="n"/>
      <c r="AV280" s="11602" t="n"/>
      <c r="AW280" s="11602" t="n"/>
      <c r="AX280" s="769" t="n"/>
      <c r="AY280" s="964" t="n"/>
      <c r="AZ280" s="964" t="n"/>
      <c r="BA280" s="964" t="n"/>
      <c r="BB280" s="964" t="n"/>
      <c r="BC280" s="964" t="n"/>
      <c r="BD280" s="964" t="n"/>
      <c r="BE280" s="964" t="n"/>
      <c r="BF280" s="964" t="n"/>
      <c r="BG280" s="964" t="n"/>
      <c r="BH280" s="964" t="n"/>
    </row>
    <row r="281" ht="12" customHeight="1" s="7635">
      <c r="A281" s="2112" t="n"/>
      <c r="B281" s="4210" t="n"/>
      <c r="C281" s="4210" t="n"/>
      <c r="D281" s="9069" t="n"/>
      <c r="E281" s="12061" t="n"/>
      <c r="F281" s="12061" t="n"/>
      <c r="G281" s="12061" t="n"/>
      <c r="H281" s="12061" t="n"/>
      <c r="I281" s="12061" t="n"/>
      <c r="J281" s="12061" t="n"/>
      <c r="K281" s="12061" t="n"/>
      <c r="L281" s="12061" t="n"/>
      <c r="M281" s="12061" t="n"/>
      <c r="N281" s="12061" t="n"/>
      <c r="O281" s="11602" t="n"/>
      <c r="P281" s="12235" t="n"/>
      <c r="Q281" s="11717" t="n"/>
      <c r="R281" s="11717" t="n"/>
      <c r="S281" s="11717" t="n"/>
      <c r="T281" s="11717" t="n"/>
      <c r="U281" s="11717" t="n"/>
      <c r="V281" s="11718" t="n"/>
      <c r="W281" s="12235" t="n"/>
      <c r="X281" s="11717" t="n"/>
      <c r="Y281" s="11717" t="n"/>
      <c r="Z281" s="11717" t="n"/>
      <c r="AA281" s="11717" t="n"/>
      <c r="AB281" s="11717" t="n"/>
      <c r="AC281" s="11718" t="n"/>
      <c r="AD281" s="12235" t="n"/>
      <c r="AE281" s="11717" t="n"/>
      <c r="AF281" s="11717" t="n"/>
      <c r="AG281" s="11717" t="n"/>
      <c r="AH281" s="11717" t="n"/>
      <c r="AI281" s="11718" t="n"/>
      <c r="AJ281" s="12236" t="inlineStr">
        <is>
          <t>1a</t>
        </is>
      </c>
      <c r="AK281" s="7638" t="n"/>
      <c r="AL281" s="8988">
        <f>IF(AND(SUM(P281,W281,AD281)&gt;0,AO265=0),"Check one box.",ROUND(SUM(P281,W281,AD281),0))</f>
        <v/>
      </c>
      <c r="AM281" s="7637" t="n"/>
      <c r="AN281" s="7637" t="n"/>
      <c r="AO281" s="7637" t="n"/>
      <c r="AP281" s="1277" t="n"/>
      <c r="AQ281" s="11602" t="n"/>
      <c r="AR281" s="11602" t="n"/>
      <c r="AS281" s="11602" t="n"/>
      <c r="AT281" s="11602" t="n"/>
      <c r="AU281" s="11602" t="n"/>
      <c r="AV281" s="11602" t="n"/>
      <c r="AW281" s="11602" t="n"/>
      <c r="AX281" s="769" t="n"/>
      <c r="AY281" s="964" t="n"/>
      <c r="AZ281" s="964" t="n"/>
      <c r="BA281" s="964" t="n"/>
      <c r="BB281" s="964" t="n"/>
      <c r="BC281" s="964" t="n"/>
      <c r="BD281" s="964" t="n"/>
      <c r="BE281" s="964" t="n"/>
      <c r="BF281" s="964" t="n"/>
      <c r="BG281" s="964" t="n"/>
      <c r="BH281" s="964" t="n"/>
    </row>
    <row r="282" ht="12" customHeight="1" s="7635">
      <c r="A282" s="2112" t="n"/>
      <c r="B282" s="9040" t="inlineStr">
        <is>
          <t>b</t>
        </is>
      </c>
      <c r="D282" s="1680" t="inlineStr">
        <is>
          <t>Check if line 1a is compensation for personal</t>
        </is>
      </c>
      <c r="E282" s="11602" t="n"/>
      <c r="F282" s="11602" t="n"/>
      <c r="G282" s="11602" t="n"/>
      <c r="H282" s="11602" t="n"/>
      <c r="I282" s="11602" t="n"/>
      <c r="J282" s="11602" t="n"/>
      <c r="K282" s="11602" t="n"/>
      <c r="L282" s="11602" t="n"/>
      <c r="M282" s="11602" t="n"/>
      <c r="N282" s="11602" t="n"/>
      <c r="O282" s="11602" t="n"/>
      <c r="P282" s="4167" t="n"/>
      <c r="Q282" s="4168" t="n"/>
      <c r="R282" s="4168" t="n"/>
      <c r="S282" s="4168" t="n"/>
      <c r="T282" s="4168" t="n"/>
      <c r="U282" s="4168" t="n"/>
      <c r="V282" s="4169" t="n"/>
      <c r="W282" s="4167" t="n"/>
      <c r="X282" s="4168" t="n"/>
      <c r="Y282" s="4168" t="n"/>
      <c r="Z282" s="4168" t="n"/>
      <c r="AA282" s="4168" t="n"/>
      <c r="AB282" s="4168" t="n"/>
      <c r="AC282" s="4169" t="n"/>
      <c r="AD282" s="4167" t="n"/>
      <c r="AE282" s="4168" t="n"/>
      <c r="AF282" s="4168" t="n"/>
      <c r="AG282" s="4168" t="n"/>
      <c r="AH282" s="4168" t="n"/>
      <c r="AI282" s="4169" t="n"/>
      <c r="AJ282" s="9082" t="n"/>
      <c r="AK282" s="7839" t="n"/>
      <c r="AL282" s="405" t="n"/>
      <c r="AM282" s="11602" t="n"/>
      <c r="AN282" s="11602" t="n"/>
      <c r="AO282" s="11602" t="n"/>
      <c r="AP282" s="1277" t="n"/>
      <c r="AQ282" s="11602" t="n"/>
      <c r="AR282" s="11602" t="n"/>
      <c r="AS282" s="11602" t="n"/>
      <c r="AT282" s="11602" t="n"/>
      <c r="AU282" s="11602" t="n"/>
      <c r="AV282" s="11602" t="n"/>
      <c r="AW282" s="11602" t="n"/>
      <c r="AX282" s="769" t="n"/>
      <c r="AY282" s="964" t="n"/>
      <c r="AZ282" s="964" t="n"/>
      <c r="BA282" s="964" t="n"/>
      <c r="BB282" s="964" t="n"/>
      <c r="BC282" s="964" t="n"/>
      <c r="BD282" s="964" t="n"/>
      <c r="BE282" s="964" t="n"/>
      <c r="BF282" s="964" t="n"/>
      <c r="BG282" s="964" t="n"/>
      <c r="BH282" s="964" t="n"/>
    </row>
    <row r="283">
      <c r="A283" s="2112" t="n"/>
      <c r="B283" s="4210" t="n"/>
      <c r="C283" s="4210" t="n"/>
      <c r="D283" s="1680" t="inlineStr">
        <is>
          <t>services as an employee, your total compensation</t>
        </is>
      </c>
      <c r="E283" s="11602" t="n"/>
      <c r="F283" s="11602" t="n"/>
      <c r="G283" s="11602" t="n"/>
      <c r="H283" s="11602" t="n"/>
      <c r="I283" s="11602" t="n"/>
      <c r="J283" s="11602" t="n"/>
      <c r="K283" s="11602" t="n"/>
      <c r="L283" s="11602" t="n"/>
      <c r="M283" s="11602" t="n"/>
      <c r="N283" s="11602" t="n"/>
      <c r="O283" s="11602" t="n"/>
      <c r="P283" s="4167" t="n"/>
      <c r="Q283" s="4168" t="n"/>
      <c r="R283" s="4168" t="n"/>
      <c r="S283" s="4168" t="n"/>
      <c r="T283" s="4168" t="n"/>
      <c r="U283" s="4168" t="n"/>
      <c r="V283" s="4169" t="n"/>
      <c r="W283" s="4167" t="n"/>
      <c r="X283" s="4168" t="n"/>
      <c r="Y283" s="4168" t="n"/>
      <c r="Z283" s="4168" t="n"/>
      <c r="AA283" s="4168" t="n"/>
      <c r="AB283" s="4168" t="n"/>
      <c r="AC283" s="4169" t="n"/>
      <c r="AD283" s="4167" t="n"/>
      <c r="AE283" s="4168" t="n"/>
      <c r="AF283" s="4168" t="n"/>
      <c r="AG283" s="4168" t="n"/>
      <c r="AH283" s="4168" t="n"/>
      <c r="AI283" s="4169" t="n"/>
      <c r="AJ283" s="8967" t="n"/>
      <c r="AL283" s="408" t="n"/>
      <c r="AM283" s="11602" t="n"/>
      <c r="AN283" s="11602" t="n"/>
      <c r="AO283" s="11602" t="n"/>
      <c r="AP283" s="1277" t="n"/>
      <c r="AQ283" s="11602" t="n"/>
      <c r="AR283" s="11602" t="n"/>
      <c r="AS283" s="11602" t="n"/>
      <c r="AT283" s="11602" t="n"/>
      <c r="AU283" s="11602" t="n"/>
      <c r="AV283" s="11602" t="n"/>
      <c r="AW283" s="11602" t="n"/>
      <c r="AX283" s="769" t="n"/>
      <c r="AY283" s="964" t="n"/>
      <c r="AZ283" s="964" t="n"/>
      <c r="BA283" s="964" t="n"/>
      <c r="BB283" s="964" t="n"/>
      <c r="BC283" s="964" t="n"/>
      <c r="BD283" s="964" t="n"/>
      <c r="BE283" s="964" t="n"/>
      <c r="BF283" s="964" t="n"/>
      <c r="BG283" s="964" t="n"/>
      <c r="BH283" s="964" t="n"/>
    </row>
    <row r="284" ht="13.5" customHeight="1" s="7635">
      <c r="A284" s="2112" t="n"/>
      <c r="B284" s="4210" t="n"/>
      <c r="C284" s="4210" t="n"/>
      <c r="D284" s="1680" t="inlineStr">
        <is>
          <t>from all sources is $250,000 or more, and you</t>
        </is>
      </c>
      <c r="E284" s="11602" t="n"/>
      <c r="F284" s="11602" t="n"/>
      <c r="G284" s="11602" t="n"/>
      <c r="H284" s="11602" t="n"/>
      <c r="I284" s="11602" t="n"/>
      <c r="J284" s="11602" t="n"/>
      <c r="K284" s="11602" t="n"/>
      <c r="L284" s="11602" t="n"/>
      <c r="M284" s="11602" t="n"/>
      <c r="N284" s="11602" t="n"/>
      <c r="O284" s="11602" t="n"/>
      <c r="P284" s="4167" t="n"/>
      <c r="Q284" s="4168" t="n"/>
      <c r="R284" s="4168" t="n"/>
      <c r="S284" s="4168" t="n"/>
      <c r="T284" s="4168" t="n"/>
      <c r="U284" s="4168" t="n"/>
      <c r="V284" s="4169" t="n"/>
      <c r="W284" s="4167" t="n"/>
      <c r="X284" s="4168" t="n"/>
      <c r="Y284" s="4168" t="n"/>
      <c r="Z284" s="4168" t="n"/>
      <c r="AA284" s="4168" t="n"/>
      <c r="AB284" s="4168" t="n"/>
      <c r="AC284" s="4169" t="n"/>
      <c r="AD284" s="4167" t="n"/>
      <c r="AE284" s="4168" t="n"/>
      <c r="AF284" s="4168" t="n"/>
      <c r="AG284" s="4168" t="n"/>
      <c r="AH284" s="4168" t="n"/>
      <c r="AI284" s="4169" t="n"/>
      <c r="AJ284" s="8967" t="n"/>
      <c r="AL284" s="408" t="n"/>
      <c r="AM284" s="11602" t="n"/>
      <c r="AN284" s="11602" t="n"/>
      <c r="AO284" s="11602" t="n"/>
      <c r="AP284" s="1277" t="n"/>
      <c r="AQ284" s="11602" t="n"/>
      <c r="AR284" s="11602" t="n"/>
      <c r="AS284" s="11602" t="n"/>
      <c r="AT284" s="11602" t="n"/>
      <c r="AU284" s="11602" t="n"/>
      <c r="AV284" s="11602" t="n"/>
      <c r="AW284" s="11602" t="n"/>
      <c r="AX284" s="769" t="n"/>
      <c r="AY284" s="964" t="n"/>
      <c r="AZ284" s="964" t="n"/>
      <c r="BA284" s="964" t="n"/>
      <c r="BB284" s="964" t="n"/>
      <c r="BC284" s="964" t="n"/>
      <c r="BD284" s="964" t="n"/>
      <c r="BE284" s="964" t="n"/>
      <c r="BF284" s="964" t="n"/>
      <c r="BG284" s="964" t="n"/>
      <c r="BH284" s="964" t="n"/>
    </row>
    <row r="285" ht="13.5" customHeight="1" s="7635">
      <c r="A285" s="2112" t="n"/>
      <c r="B285" s="4210" t="n"/>
      <c r="C285" s="4210" t="n"/>
      <c r="D285" s="1680" t="inlineStr">
        <is>
          <t>used an alternative basis to determine its source</t>
        </is>
      </c>
      <c r="E285" s="11602" t="n"/>
      <c r="F285" s="11602" t="n"/>
      <c r="G285" s="11602" t="n"/>
      <c r="H285" s="11602" t="n"/>
      <c r="I285" s="11602" t="n"/>
      <c r="J285" s="11602" t="n"/>
      <c r="K285" s="11602" t="n"/>
      <c r="L285" s="11602" t="n"/>
      <c r="M285" s="11602" t="n"/>
      <c r="N285" s="11602" t="n"/>
      <c r="O285" s="11602" t="n"/>
      <c r="P285" s="4167" t="n"/>
      <c r="Q285" s="4168" t="n"/>
      <c r="R285" s="4168" t="n"/>
      <c r="S285" s="4168" t="n"/>
      <c r="T285" s="4168" t="n"/>
      <c r="U285" s="4168" t="n"/>
      <c r="V285" s="4169" t="n"/>
      <c r="W285" s="4167" t="n"/>
      <c r="X285" s="4168" t="n"/>
      <c r="Y285" s="4168" t="n"/>
      <c r="Z285" s="4168" t="n"/>
      <c r="AA285" s="4168" t="n"/>
      <c r="AB285" s="4168" t="n"/>
      <c r="AC285" s="4169" t="n"/>
      <c r="AD285" s="4167" t="n"/>
      <c r="AE285" s="4168" t="n"/>
      <c r="AF285" s="4168" t="n"/>
      <c r="AG285" s="4168" t="n"/>
      <c r="AH285" s="4168" t="n"/>
      <c r="AI285" s="4169" t="n"/>
      <c r="AJ285" s="8967" t="n"/>
      <c r="AL285" s="408" t="n"/>
      <c r="AM285" s="11602" t="n"/>
      <c r="AN285" s="11602" t="n"/>
      <c r="AO285" s="11602" t="n"/>
      <c r="AP285" s="1277" t="n"/>
      <c r="AQ285" s="11602" t="n"/>
      <c r="AR285" s="11602" t="n"/>
      <c r="AS285" s="11602" t="n"/>
      <c r="AT285" s="11602" t="n"/>
      <c r="AU285" s="11602" t="n"/>
      <c r="AV285" s="11602" t="n"/>
      <c r="AW285" s="11602" t="n"/>
      <c r="AX285" s="769" t="n"/>
      <c r="AY285" s="964" t="n"/>
      <c r="AZ285" s="964" t="n"/>
      <c r="BA285" s="964" t="n"/>
      <c r="BB285" s="964" t="n"/>
      <c r="BC285" s="964" t="n"/>
      <c r="BD285" s="964" t="n"/>
      <c r="BE285" s="964" t="n"/>
      <c r="BF285" s="964" t="n"/>
      <c r="BG285" s="964" t="n"/>
      <c r="BH285" s="964" t="n"/>
    </row>
    <row r="286" ht="13.5" customHeight="1" s="7635">
      <c r="A286" s="2112" t="n"/>
      <c r="B286" s="4210" t="n"/>
      <c r="C286" s="4210" t="n"/>
      <c r="D286" s="1680" t="inlineStr">
        <is>
          <t>See instructions</t>
        </is>
      </c>
      <c r="E286" s="11602" t="n"/>
      <c r="F286" s="11602" t="n"/>
      <c r="G286" s="11602" t="n"/>
      <c r="H286" s="11602" t="n"/>
      <c r="I286" s="11602" t="n"/>
      <c r="J286" s="11602" t="n"/>
      <c r="K286" s="11602" t="n"/>
      <c r="L286" s="11602" t="n"/>
      <c r="M286" s="1401" t="inlineStr">
        <is>
          <t xml:space="preserve">.   .   .   .   .   .   .   .   .   .  </t>
        </is>
      </c>
      <c r="N286" s="276" t="n"/>
      <c r="O286" s="11602" t="n"/>
      <c r="P286" s="4167" t="n"/>
      <c r="Q286" s="4168" t="n"/>
      <c r="R286" s="4168" t="n"/>
      <c r="S286" s="4168" t="n"/>
      <c r="T286" s="4168" t="n"/>
      <c r="U286" s="4168" t="n"/>
      <c r="V286" s="4169" t="n"/>
      <c r="W286" s="4167" t="n"/>
      <c r="X286" s="4168" t="n"/>
      <c r="Y286" s="4168" t="n"/>
      <c r="Z286" s="4168" t="n"/>
      <c r="AA286" s="4168" t="n"/>
      <c r="AB286" s="4168" t="n"/>
      <c r="AC286" s="4169" t="n"/>
      <c r="AD286" s="4167" t="n"/>
      <c r="AE286" s="4168" t="n"/>
      <c r="AF286" s="4168" t="n"/>
      <c r="AG286" s="4168" t="n"/>
      <c r="AH286" s="4168" t="n"/>
      <c r="AI286" s="4169" t="n"/>
      <c r="AJ286" s="8967" t="n"/>
      <c r="AL286" s="408" t="n"/>
      <c r="AM286" s="11602" t="n"/>
      <c r="AN286" s="11602" t="n"/>
      <c r="AO286" s="11602" t="n"/>
      <c r="AP286" s="1277" t="n"/>
      <c r="AQ286" s="11602" t="n"/>
      <c r="AR286" s="11602" t="n"/>
      <c r="AS286" s="11602" t="n"/>
      <c r="AT286" s="11602" t="n"/>
      <c r="AU286" s="11602" t="n"/>
      <c r="AV286" s="11602" t="n"/>
      <c r="AW286" s="11602" t="n"/>
      <c r="AX286" s="769" t="n"/>
      <c r="AY286" s="964" t="n"/>
      <c r="AZ286" s="964" t="n"/>
      <c r="BA286" s="964" t="n"/>
      <c r="BB286" s="964" t="n"/>
      <c r="BC286" s="964" t="n"/>
      <c r="BD286" s="964" t="n"/>
      <c r="BE286" s="964" t="n"/>
      <c r="BF286" s="964" t="n"/>
      <c r="BG286" s="964" t="n"/>
      <c r="BH286" s="964" t="n"/>
    </row>
    <row r="287" ht="13.5" customHeight="1" s="7635">
      <c r="A287" s="2112" t="n"/>
      <c r="B287" s="4156" t="n"/>
      <c r="C287" s="4156" t="n"/>
      <c r="D287" s="4162" t="n"/>
      <c r="E287" s="413" t="n"/>
      <c r="F287" s="413" t="n"/>
      <c r="G287" s="413" t="n"/>
      <c r="H287" s="413" t="n"/>
      <c r="I287" s="413" t="n"/>
      <c r="J287" s="413" t="n"/>
      <c r="K287" s="413" t="n"/>
      <c r="L287" s="413" t="n"/>
      <c r="M287" s="413" t="n"/>
      <c r="N287" s="413" t="n"/>
      <c r="O287" s="413" t="n"/>
      <c r="P287" s="4207" t="n"/>
      <c r="Q287" s="4208" t="n"/>
      <c r="R287" s="4208" t="n"/>
      <c r="S287" s="4208" t="n"/>
      <c r="T287" s="4208" t="n"/>
      <c r="U287" s="4208" t="n"/>
      <c r="V287" s="4209" t="n"/>
      <c r="W287" s="4207" t="n"/>
      <c r="X287" s="4208" t="n"/>
      <c r="Y287" s="4208" t="n"/>
      <c r="Z287" s="4208" t="n"/>
      <c r="AA287" s="4208" t="n"/>
      <c r="AB287" s="4208" t="n"/>
      <c r="AC287" s="4209" t="n"/>
      <c r="AD287" s="4207" t="n"/>
      <c r="AE287" s="4208" t="n"/>
      <c r="AF287" s="4208" t="n"/>
      <c r="AG287" s="4208" t="n"/>
      <c r="AH287" s="4208" t="n"/>
      <c r="AI287" s="4209" t="n"/>
      <c r="AJ287" s="8967" t="n"/>
      <c r="AL287" s="408" t="n"/>
      <c r="AM287" s="11602" t="n"/>
      <c r="AN287" s="11602" t="n"/>
      <c r="AO287" s="11602" t="n"/>
      <c r="AP287" s="1277" t="n"/>
      <c r="AQ287" s="11602" t="n"/>
      <c r="AR287" s="11602" t="n"/>
      <c r="AS287" s="11602" t="n"/>
      <c r="AT287" s="11602" t="n"/>
      <c r="AU287" s="11602" t="n"/>
      <c r="AV287" s="11602" t="n"/>
      <c r="AW287" s="11602" t="n"/>
      <c r="AX287" s="769" t="n"/>
      <c r="AY287" s="964" t="n"/>
      <c r="AZ287" s="964" t="n"/>
      <c r="BA287" s="964" t="n"/>
      <c r="BB287" s="964" t="n"/>
      <c r="BC287" s="964" t="n"/>
      <c r="BD287" s="964" t="n"/>
      <c r="BE287" s="964" t="n"/>
      <c r="BF287" s="964" t="n"/>
      <c r="BG287" s="964" t="n"/>
      <c r="BH287" s="964" t="n"/>
    </row>
    <row r="288" ht="13.5" customHeight="1" s="7635">
      <c r="A288" s="2112" t="n"/>
      <c r="B288" s="7299" t="inlineStr">
        <is>
          <t xml:space="preserve"> Deductions and losses (Caution: See instructions.):</t>
        </is>
      </c>
      <c r="C288" s="2373" t="n"/>
      <c r="D288" s="8650" t="n"/>
      <c r="E288" s="11602" t="n"/>
      <c r="F288" s="11602" t="n"/>
      <c r="G288" s="11602" t="n"/>
      <c r="H288" s="11602" t="n"/>
      <c r="I288" s="11602" t="n"/>
      <c r="J288" s="11602" t="n"/>
      <c r="K288" s="11602" t="n"/>
      <c r="L288" s="11602" t="n"/>
      <c r="M288" s="11602" t="n"/>
      <c r="N288" s="11602" t="n"/>
      <c r="O288" s="11602" t="n"/>
      <c r="P288" s="4167" t="n"/>
      <c r="Q288" s="4168" t="n"/>
      <c r="R288" s="4168" t="n"/>
      <c r="S288" s="4168" t="n"/>
      <c r="T288" s="4168" t="n"/>
      <c r="U288" s="4168" t="n"/>
      <c r="V288" s="4169" t="n"/>
      <c r="W288" s="4167" t="n"/>
      <c r="X288" s="4168" t="n"/>
      <c r="Y288" s="4168" t="n"/>
      <c r="Z288" s="4168" t="n"/>
      <c r="AA288" s="4168" t="n"/>
      <c r="AB288" s="4168" t="n"/>
      <c r="AC288" s="4169" t="n"/>
      <c r="AD288" s="4167" t="n"/>
      <c r="AE288" s="4168" t="n"/>
      <c r="AF288" s="4168" t="n"/>
      <c r="AG288" s="4168" t="n"/>
      <c r="AH288" s="4168" t="n"/>
      <c r="AI288" s="4169" t="n"/>
      <c r="AJ288" s="8967" t="n"/>
      <c r="AL288" s="408" t="n"/>
      <c r="AM288" s="11602" t="n"/>
      <c r="AN288" s="11602" t="n"/>
      <c r="AO288" s="11602" t="n"/>
      <c r="AP288" s="1277" t="n"/>
      <c r="AQ288" s="11602" t="n"/>
      <c r="AR288" s="11602" t="n"/>
      <c r="AS288" s="11602" t="n"/>
      <c r="AT288" s="11602" t="n"/>
      <c r="AU288" s="11602" t="n"/>
      <c r="AV288" s="11602" t="n"/>
      <c r="AW288" s="11602" t="n"/>
      <c r="AX288" s="769" t="n"/>
      <c r="AY288" s="964" t="n"/>
      <c r="AZ288" s="964" t="n"/>
      <c r="BA288" s="964" t="n"/>
      <c r="BB288" s="964" t="n"/>
      <c r="BC288" s="964" t="n"/>
      <c r="BD288" s="964" t="n"/>
      <c r="BE288" s="964" t="n"/>
      <c r="BF288" s="964" t="n"/>
      <c r="BG288" s="964" t="n"/>
      <c r="BH288" s="964" t="n"/>
    </row>
    <row r="289" ht="13.5" customHeight="1" s="7635">
      <c r="A289" s="2112" t="n"/>
      <c r="B289" s="9024" t="n">
        <v>2</v>
      </c>
      <c r="D289" s="7299" t="inlineStr">
        <is>
          <t>Expenses definitely related to the income on line</t>
        </is>
      </c>
      <c r="E289" s="11602" t="n"/>
      <c r="F289" s="11602" t="n"/>
      <c r="G289" s="11602" t="n"/>
      <c r="H289" s="11602" t="n"/>
      <c r="I289" s="11602" t="n"/>
      <c r="J289" s="11602" t="n"/>
      <c r="K289" s="11602" t="n"/>
      <c r="L289" s="11602" t="n"/>
      <c r="M289" s="11602" t="n"/>
      <c r="N289" s="11602" t="n"/>
      <c r="O289" s="11602" t="n"/>
      <c r="P289" s="566" t="n"/>
      <c r="Q289" s="344" t="n"/>
      <c r="R289" s="344" t="n"/>
      <c r="S289" s="344" t="n"/>
      <c r="T289" s="344" t="n"/>
      <c r="U289" s="344" t="n"/>
      <c r="V289" s="567" t="n"/>
      <c r="W289" s="344" t="n"/>
      <c r="X289" s="344" t="n"/>
      <c r="Y289" s="344" t="n"/>
      <c r="Z289" s="344" t="n"/>
      <c r="AA289" s="344" t="n"/>
      <c r="AB289" s="344" t="n"/>
      <c r="AC289" s="567" t="n"/>
      <c r="AD289" s="344" t="n"/>
      <c r="AE289" s="344" t="n"/>
      <c r="AF289" s="344" t="n"/>
      <c r="AG289" s="344" t="n"/>
      <c r="AH289" s="344" t="n"/>
      <c r="AI289" s="567" t="n"/>
      <c r="AJ289" s="8967" t="n"/>
      <c r="AL289" s="408" t="n"/>
      <c r="AM289" s="11602" t="n"/>
      <c r="AN289" s="11602" t="n"/>
      <c r="AO289" s="11602" t="n"/>
      <c r="AP289" s="1277" t="n"/>
      <c r="AQ289" s="11602" t="n"/>
      <c r="AR289" s="11602" t="n"/>
      <c r="AS289" s="11602" t="n"/>
      <c r="AT289" s="11602" t="n"/>
      <c r="AU289" s="11602" t="n"/>
      <c r="AV289" s="11602" t="n"/>
      <c r="AW289" s="11602" t="n"/>
      <c r="AX289" s="769" t="n"/>
      <c r="AY289" s="964" t="n"/>
      <c r="AZ289" s="964" t="n"/>
      <c r="BA289" s="964" t="n"/>
      <c r="BB289" s="964" t="n"/>
      <c r="BC289" s="964" t="n"/>
      <c r="BD289" s="964" t="n"/>
      <c r="BE289" s="964" t="n"/>
      <c r="BF289" s="964" t="n"/>
      <c r="BG289" s="964" t="n"/>
      <c r="BH289" s="964" t="n"/>
    </row>
    <row r="290" ht="13.5" customHeight="1" s="7635">
      <c r="A290" s="2112" t="n"/>
      <c r="B290" s="9024" t="n"/>
      <c r="D290" s="344" t="inlineStr">
        <is>
          <t>line1a (attach statement)</t>
        </is>
      </c>
      <c r="E290" s="11602" t="n"/>
      <c r="F290" s="11602" t="n"/>
      <c r="G290" s="11602" t="n"/>
      <c r="H290" s="11602" t="n"/>
      <c r="I290" s="11602" t="n"/>
      <c r="J290" s="11602" t="n"/>
      <c r="K290" s="11602" t="n"/>
      <c r="L290" s="11602" t="n"/>
      <c r="M290" s="11602" t="n"/>
      <c r="N290" s="11602" t="n"/>
      <c r="O290" s="1401" t="inlineStr">
        <is>
          <t xml:space="preserve">.   .   .   .   .   .   .   .  </t>
        </is>
      </c>
      <c r="P290" s="12235" t="n"/>
      <c r="Q290" s="11717" t="n"/>
      <c r="R290" s="11717" t="n"/>
      <c r="S290" s="11717" t="n"/>
      <c r="T290" s="11717" t="n"/>
      <c r="U290" s="11717" t="n"/>
      <c r="V290" s="11718" t="n"/>
      <c r="W290" s="12235" t="n"/>
      <c r="X290" s="11717" t="n"/>
      <c r="Y290" s="11717" t="n"/>
      <c r="Z290" s="11717" t="n"/>
      <c r="AA290" s="11717" t="n"/>
      <c r="AB290" s="11717" t="n"/>
      <c r="AC290" s="11718" t="n"/>
      <c r="AD290" s="12235" t="n"/>
      <c r="AE290" s="11717" t="n"/>
      <c r="AF290" s="11717" t="n"/>
      <c r="AG290" s="11717" t="n"/>
      <c r="AH290" s="11717" t="n"/>
      <c r="AI290" s="11718" t="n"/>
      <c r="AJ290" s="8967" t="n"/>
      <c r="AL290" s="408" t="n"/>
      <c r="AM290" s="11602" t="n"/>
      <c r="AN290" s="11602" t="n"/>
      <c r="AO290" s="11602" t="n"/>
      <c r="AP290" s="1277" t="n"/>
      <c r="AQ290" s="11602" t="n"/>
      <c r="AR290" s="11602" t="n"/>
      <c r="AS290" s="11602" t="n"/>
      <c r="AT290" s="11602" t="n"/>
      <c r="AU290" s="11602" t="n"/>
      <c r="AV290" s="11602" t="n"/>
      <c r="AW290" s="11602" t="n"/>
      <c r="AX290" s="769" t="n"/>
      <c r="AY290" s="964" t="n"/>
      <c r="AZ290" s="964" t="n"/>
      <c r="BA290" s="964" t="n"/>
      <c r="BB290" s="964" t="n"/>
      <c r="BC290" s="964" t="n"/>
      <c r="BD290" s="964" t="n"/>
      <c r="BE290" s="964" t="n"/>
      <c r="BF290" s="964" t="n"/>
      <c r="BG290" s="964" t="n"/>
      <c r="BH290" s="964" t="n"/>
    </row>
    <row r="291">
      <c r="A291" s="2112" t="n"/>
      <c r="B291" s="9024" t="n">
        <v>3</v>
      </c>
      <c r="D291" s="7299" t="inlineStr">
        <is>
          <t>Pro rata share of other deductions not definitely</t>
        </is>
      </c>
      <c r="E291" s="11602" t="n"/>
      <c r="F291" s="11602" t="n"/>
      <c r="G291" s="11602" t="n"/>
      <c r="H291" s="11602" t="n"/>
      <c r="I291" s="11602" t="n"/>
      <c r="J291" s="11602" t="n"/>
      <c r="K291" s="11602" t="n"/>
      <c r="L291" s="11602" t="n"/>
      <c r="M291" s="11602" t="n"/>
      <c r="N291" s="11602" t="n"/>
      <c r="O291" s="11602" t="n"/>
      <c r="P291" s="4167" t="n"/>
      <c r="Q291" s="4168" t="n"/>
      <c r="R291" s="4168" t="n"/>
      <c r="S291" s="4168" t="n"/>
      <c r="T291" s="4168" t="n"/>
      <c r="U291" s="4168" t="n"/>
      <c r="V291" s="4169" t="n"/>
      <c r="W291" s="4167" t="n"/>
      <c r="X291" s="4168" t="n"/>
      <c r="Y291" s="4168" t="n"/>
      <c r="Z291" s="4168" t="n"/>
      <c r="AA291" s="4168" t="n"/>
      <c r="AB291" s="4168" t="n"/>
      <c r="AC291" s="4169" t="n"/>
      <c r="AD291" s="4167" t="n"/>
      <c r="AE291" s="4168" t="n"/>
      <c r="AF291" s="4168" t="n"/>
      <c r="AG291" s="4168" t="n"/>
      <c r="AH291" s="4168" t="n"/>
      <c r="AI291" s="4169" t="n"/>
      <c r="AJ291" s="8967" t="n"/>
      <c r="AL291" s="408" t="n"/>
      <c r="AM291" s="11602" t="n"/>
      <c r="AN291" s="11602" t="n"/>
      <c r="AO291" s="11602" t="n"/>
      <c r="AP291" s="1277" t="n"/>
      <c r="AQ291" s="11602" t="n"/>
      <c r="AR291" s="11602" t="n"/>
      <c r="AS291" s="11602" t="n"/>
      <c r="AT291" s="11602" t="n"/>
      <c r="AU291" s="11602" t="n"/>
      <c r="AV291" s="11602" t="n"/>
      <c r="AW291" s="11602" t="n"/>
      <c r="AX291" s="769" t="n"/>
      <c r="AY291" s="964" t="n"/>
      <c r="AZ291" s="964" t="n"/>
      <c r="BA291" s="964" t="n"/>
      <c r="BB291" s="964" t="n"/>
      <c r="BC291" s="964" t="n"/>
      <c r="BD291" s="964" t="n"/>
      <c r="BE291" s="964" t="n"/>
      <c r="BF291" s="964" t="n"/>
      <c r="BG291" s="964" t="n"/>
      <c r="BH291" s="964" t="n"/>
    </row>
    <row r="292" ht="13.5" customHeight="1" s="7635">
      <c r="A292" s="2112" t="n"/>
      <c r="B292" s="9040" t="n"/>
      <c r="D292" s="807" t="inlineStr">
        <is>
          <t>related:</t>
        </is>
      </c>
      <c r="E292" s="11602" t="n"/>
      <c r="F292" s="11602" t="n"/>
      <c r="G292" s="11602" t="n"/>
      <c r="H292" s="11602" t="n"/>
      <c r="I292" s="11602" t="n"/>
      <c r="J292" s="11602" t="n"/>
      <c r="K292" s="11602" t="n"/>
      <c r="L292" s="11602" t="n"/>
      <c r="M292" s="11602" t="n"/>
      <c r="N292" s="11602" t="n"/>
      <c r="O292" s="11602" t="n"/>
      <c r="P292" s="4167" t="n"/>
      <c r="Q292" s="4168" t="n"/>
      <c r="R292" s="4168" t="n"/>
      <c r="S292" s="4168" t="n"/>
      <c r="T292" s="4168" t="n"/>
      <c r="U292" s="4168" t="n"/>
      <c r="V292" s="4169" t="n"/>
      <c r="W292" s="4167" t="n"/>
      <c r="X292" s="4168" t="n"/>
      <c r="Y292" s="4168" t="n"/>
      <c r="Z292" s="4168" t="n"/>
      <c r="AA292" s="4168" t="n"/>
      <c r="AB292" s="4168" t="n"/>
      <c r="AC292" s="4169" t="n"/>
      <c r="AD292" s="4167" t="n"/>
      <c r="AE292" s="4168" t="n"/>
      <c r="AF292" s="4168" t="n"/>
      <c r="AG292" s="4168" t="n"/>
      <c r="AH292" s="4168" t="n"/>
      <c r="AI292" s="4169" t="n"/>
      <c r="AJ292" s="8967" t="n"/>
      <c r="AL292" s="408" t="n"/>
      <c r="AM292" s="11602" t="n"/>
      <c r="AN292" s="11602" t="n"/>
      <c r="AO292" s="11602" t="n"/>
      <c r="AP292" s="1277" t="n"/>
      <c r="AQ292" s="11602" t="n"/>
      <c r="AR292" s="11602" t="n"/>
      <c r="AS292" s="11602" t="n"/>
      <c r="AT292" s="11602" t="n"/>
      <c r="AU292" s="11602" t="n"/>
      <c r="AV292" s="11602" t="n"/>
      <c r="AW292" s="11602" t="n"/>
      <c r="AX292" s="769" t="n"/>
      <c r="AY292" s="964" t="n"/>
      <c r="AZ292" s="964" t="n"/>
      <c r="BA292" s="964" t="n"/>
      <c r="BB292" s="964" t="n"/>
      <c r="BC292" s="964" t="n"/>
      <c r="BD292" s="964" t="n"/>
      <c r="BE292" s="964" t="n"/>
      <c r="BF292" s="964" t="n"/>
      <c r="BG292" s="964" t="n"/>
      <c r="BH292" s="964" t="n"/>
    </row>
    <row r="293" ht="13.5" customHeight="1" s="7635">
      <c r="A293" s="2112" t="n"/>
      <c r="B293" s="9040" t="inlineStr">
        <is>
          <t>a</t>
        </is>
      </c>
      <c r="D293" s="7299" t="inlineStr">
        <is>
          <t>Certain itemized deductions or standard deduction</t>
        </is>
      </c>
      <c r="E293" s="11602" t="n"/>
      <c r="F293" s="11602" t="n"/>
      <c r="G293" s="11602" t="n"/>
      <c r="H293" s="11602" t="n"/>
      <c r="I293" s="11602" t="n"/>
      <c r="J293" s="11602" t="n"/>
      <c r="K293" s="11602" t="n"/>
      <c r="L293" s="11602" t="n"/>
      <c r="M293" s="11602" t="n"/>
      <c r="N293" s="11602" t="n"/>
      <c r="O293" s="11602" t="n"/>
      <c r="P293" s="566" t="n"/>
      <c r="Q293" s="344" t="n"/>
      <c r="R293" s="344" t="n"/>
      <c r="S293" s="344" t="n"/>
      <c r="T293" s="344" t="n"/>
      <c r="U293" s="344" t="n"/>
      <c r="V293" s="567" t="n"/>
      <c r="W293" s="344" t="n"/>
      <c r="X293" s="344" t="n"/>
      <c r="Y293" s="344" t="n"/>
      <c r="Z293" s="344" t="n"/>
      <c r="AA293" s="344" t="n"/>
      <c r="AB293" s="344" t="n"/>
      <c r="AC293" s="567" t="n"/>
      <c r="AD293" s="344" t="n"/>
      <c r="AE293" s="344" t="n"/>
      <c r="AF293" s="344" t="n"/>
      <c r="AG293" s="344" t="n"/>
      <c r="AH293" s="344" t="n"/>
      <c r="AI293" s="567" t="n"/>
      <c r="AJ293" s="8967" t="n"/>
      <c r="AL293" s="408" t="n"/>
      <c r="AM293" s="11602" t="n"/>
      <c r="AN293" s="11602" t="n"/>
      <c r="AO293" s="11602" t="n"/>
      <c r="AP293" s="1277" t="n"/>
      <c r="AQ293" s="11602" t="n"/>
      <c r="AR293" s="11602" t="n"/>
      <c r="AS293" s="11602" t="n"/>
      <c r="AT293" s="11602" t="n"/>
      <c r="AU293" s="11602" t="n"/>
      <c r="AV293" s="11602" t="n"/>
      <c r="AW293" s="11602" t="n"/>
      <c r="AX293" s="769" t="n"/>
      <c r="AY293" s="964" t="n"/>
      <c r="AZ293" s="964" t="n"/>
      <c r="BA293" s="964" t="n"/>
      <c r="BB293" s="964" t="n"/>
      <c r="BC293" s="964" t="n"/>
      <c r="BD293" s="964" t="n"/>
      <c r="BE293" s="964" t="n"/>
      <c r="BF293" s="964" t="n"/>
      <c r="BG293" s="964" t="n"/>
      <c r="BH293" s="964" t="n"/>
    </row>
    <row r="294" ht="13.5" customHeight="1" s="7635">
      <c r="A294" s="2112" t="n"/>
      <c r="B294" s="9040" t="n"/>
      <c r="C294" s="9040" t="n"/>
      <c r="D294" s="7299" t="inlineStr">
        <is>
          <t>(see instructions)</t>
        </is>
      </c>
      <c r="E294" s="11602" t="n"/>
      <c r="F294" s="11602" t="n"/>
      <c r="G294" s="11602" t="n"/>
      <c r="H294" s="11602" t="n"/>
      <c r="I294" s="11602" t="n"/>
      <c r="J294" s="11602" t="n"/>
      <c r="K294" s="11602" t="n"/>
      <c r="L294" s="11602" t="n"/>
      <c r="M294" s="11602" t="n"/>
      <c r="N294" s="11602" t="n"/>
      <c r="O294" s="1401" t="inlineStr">
        <is>
          <t xml:space="preserve">.   .   .   .   .   .   .   .   .   .   .  </t>
        </is>
      </c>
      <c r="P294" s="12235" t="n"/>
      <c r="Q294" s="11717" t="n"/>
      <c r="R294" s="11717" t="n"/>
      <c r="S294" s="11717" t="n"/>
      <c r="T294" s="11717" t="n"/>
      <c r="U294" s="11717" t="n"/>
      <c r="V294" s="11718" t="n"/>
      <c r="W294" s="12235" t="n"/>
      <c r="X294" s="11717" t="n"/>
      <c r="Y294" s="11717" t="n"/>
      <c r="Z294" s="11717" t="n"/>
      <c r="AA294" s="11717" t="n"/>
      <c r="AB294" s="11717" t="n"/>
      <c r="AC294" s="11718" t="n"/>
      <c r="AD294" s="12235" t="n"/>
      <c r="AE294" s="11717" t="n"/>
      <c r="AF294" s="11717" t="n"/>
      <c r="AG294" s="11717" t="n"/>
      <c r="AH294" s="11717" t="n"/>
      <c r="AI294" s="11718" t="n"/>
      <c r="AJ294" s="8967" t="n"/>
      <c r="AL294" s="408" t="n"/>
      <c r="AM294" s="11602" t="n"/>
      <c r="AN294" s="11602" t="n"/>
      <c r="AO294" s="11602" t="n"/>
      <c r="AP294" s="1277" t="n"/>
      <c r="AQ294" s="11602" t="n"/>
      <c r="AR294" s="11602" t="n"/>
      <c r="AS294" s="11602" t="n"/>
      <c r="AT294" s="11602" t="n"/>
      <c r="AU294" s="11602" t="n"/>
      <c r="AV294" s="11602" t="n"/>
      <c r="AW294" s="11602" t="n"/>
      <c r="AX294" s="769" t="n"/>
      <c r="AY294" s="964" t="n"/>
      <c r="AZ294" s="964" t="n"/>
      <c r="BA294" s="964" t="n"/>
      <c r="BB294" s="964" t="n"/>
      <c r="BC294" s="964" t="n"/>
      <c r="BD294" s="964" t="n"/>
      <c r="BE294" s="964" t="n"/>
      <c r="BF294" s="964" t="n"/>
      <c r="BG294" s="964" t="n"/>
      <c r="BH294" s="964" t="n"/>
    </row>
    <row r="295" ht="13.5" customHeight="1" s="7635">
      <c r="A295" s="2112" t="n"/>
      <c r="B295" s="9040" t="inlineStr">
        <is>
          <t>b</t>
        </is>
      </c>
      <c r="D295" s="7299" t="inlineStr">
        <is>
          <t>Other deductions (attach statement)</t>
        </is>
      </c>
      <c r="E295" s="11602" t="n"/>
      <c r="F295" s="11602" t="n"/>
      <c r="G295" s="11602" t="n"/>
      <c r="H295" s="11602" t="n"/>
      <c r="I295" s="11602" t="n"/>
      <c r="J295" s="11602" t="n"/>
      <c r="K295" s="11602" t="n"/>
      <c r="L295" s="11602" t="n"/>
      <c r="M295" s="11602" t="n"/>
      <c r="N295" s="11602" t="n"/>
      <c r="O295" s="1401" t="inlineStr">
        <is>
          <t xml:space="preserve">.   .   .   .   .  </t>
        </is>
      </c>
      <c r="P295" s="12235" t="n"/>
      <c r="Q295" s="11717" t="n"/>
      <c r="R295" s="11717" t="n"/>
      <c r="S295" s="11717" t="n"/>
      <c r="T295" s="11717" t="n"/>
      <c r="U295" s="11717" t="n"/>
      <c r="V295" s="11718" t="n"/>
      <c r="W295" s="12235" t="n"/>
      <c r="X295" s="11717" t="n"/>
      <c r="Y295" s="11717" t="n"/>
      <c r="Z295" s="11717" t="n"/>
      <c r="AA295" s="11717" t="n"/>
      <c r="AB295" s="11717" t="n"/>
      <c r="AC295" s="11718" t="n"/>
      <c r="AD295" s="12235" t="n"/>
      <c r="AE295" s="11717" t="n"/>
      <c r="AF295" s="11717" t="n"/>
      <c r="AG295" s="11717" t="n"/>
      <c r="AH295" s="11717" t="n"/>
      <c r="AI295" s="11718" t="n"/>
      <c r="AJ295" s="8967" t="n"/>
      <c r="AL295" s="408" t="n"/>
      <c r="AM295" s="11602" t="n"/>
      <c r="AN295" s="11602" t="n"/>
      <c r="AO295" s="11602" t="n"/>
      <c r="AP295" s="1277" t="n"/>
      <c r="AQ295" s="11602" t="n"/>
      <c r="AR295" s="11602" t="n"/>
      <c r="AS295" s="11602" t="n"/>
      <c r="AT295" s="11602" t="n"/>
      <c r="AU295" s="11602" t="n"/>
      <c r="AV295" s="11602" t="n"/>
      <c r="AW295" s="11602" t="n"/>
      <c r="AX295" s="769" t="n"/>
      <c r="AY295" s="964" t="n"/>
      <c r="AZ295" s="964" t="n"/>
      <c r="BA295" s="964" t="n"/>
      <c r="BB295" s="964" t="n"/>
      <c r="BC295" s="964" t="n"/>
      <c r="BD295" s="964" t="n"/>
      <c r="BE295" s="964" t="n"/>
      <c r="BF295" s="964" t="n"/>
      <c r="BG295" s="964" t="n"/>
      <c r="BH295" s="964" t="n"/>
    </row>
    <row r="296" ht="13.5" customHeight="1" s="7635">
      <c r="A296" s="2112" t="n"/>
      <c r="B296" s="9040" t="inlineStr">
        <is>
          <t>c</t>
        </is>
      </c>
      <c r="D296" s="7299" t="inlineStr">
        <is>
          <t>Add lines 3a and 3b</t>
        </is>
      </c>
      <c r="E296" s="11602" t="n"/>
      <c r="F296" s="11602" t="n"/>
      <c r="G296" s="11602" t="n"/>
      <c r="H296" s="11602" t="n"/>
      <c r="I296" s="11602" t="n"/>
      <c r="J296" s="11602" t="n"/>
      <c r="K296" s="11602" t="n"/>
      <c r="L296" s="11602" t="n"/>
      <c r="M296" s="11602" t="n"/>
      <c r="N296" s="11602" t="n"/>
      <c r="O296" s="1401" t="inlineStr">
        <is>
          <t xml:space="preserve">.   .   .   .   .   .   .   .   .   .  </t>
        </is>
      </c>
      <c r="P296" s="12238">
        <f>SUM(P294:P295)</f>
        <v/>
      </c>
      <c r="Q296" s="8412" t="n"/>
      <c r="R296" s="8412" t="n"/>
      <c r="S296" s="8412" t="n"/>
      <c r="T296" s="8412" t="n"/>
      <c r="U296" s="8412" t="n"/>
      <c r="V296" s="11734" t="n"/>
      <c r="W296" s="12238">
        <f>SUM(W294:W295)</f>
        <v/>
      </c>
      <c r="X296" s="8412" t="n"/>
      <c r="Y296" s="8412" t="n"/>
      <c r="Z296" s="8412" t="n"/>
      <c r="AA296" s="8412" t="n"/>
      <c r="AB296" s="8412" t="n"/>
      <c r="AC296" s="11734" t="n"/>
      <c r="AD296" s="12238">
        <f>SUM(AD294:AD295)</f>
        <v/>
      </c>
      <c r="AE296" s="8412" t="n"/>
      <c r="AF296" s="8412" t="n"/>
      <c r="AG296" s="8412" t="n"/>
      <c r="AH296" s="8412" t="n"/>
      <c r="AI296" s="11734" t="n"/>
      <c r="AJ296" s="8967" t="n"/>
      <c r="AL296" s="408" t="n"/>
      <c r="AM296" s="11602" t="n"/>
      <c r="AN296" s="11602" t="n"/>
      <c r="AO296" s="11602" t="n"/>
      <c r="AP296" s="1277" t="n"/>
      <c r="AQ296" s="11602" t="n"/>
      <c r="AR296" s="11602" t="n"/>
      <c r="AS296" s="11602" t="n"/>
      <c r="AT296" s="11602" t="n"/>
      <c r="AU296" s="11602" t="n"/>
      <c r="AV296" s="11602" t="n"/>
      <c r="AW296" s="11602" t="n"/>
      <c r="AX296" s="769" t="n"/>
      <c r="AY296" s="964" t="n"/>
      <c r="AZ296" s="964" t="n"/>
      <c r="BA296" s="964" t="n"/>
      <c r="BB296" s="964" t="n"/>
      <c r="BC296" s="964" t="n"/>
      <c r="BD296" s="964" t="n"/>
      <c r="BE296" s="964" t="n"/>
      <c r="BF296" s="964" t="n"/>
      <c r="BG296" s="964" t="n"/>
      <c r="BH296" s="964" t="n"/>
    </row>
    <row r="297" ht="13.5" customHeight="1" s="7635">
      <c r="A297" s="2112" t="n"/>
      <c r="B297" s="9040" t="inlineStr">
        <is>
          <t>d</t>
        </is>
      </c>
      <c r="D297" s="7299" t="inlineStr">
        <is>
          <t>Gross foreign source income (see instructions)</t>
        </is>
      </c>
      <c r="E297" s="11602" t="n"/>
      <c r="F297" s="11602" t="n"/>
      <c r="G297" s="11602" t="n"/>
      <c r="H297" s="11602" t="n"/>
      <c r="I297" s="11602" t="n"/>
      <c r="J297" s="11602" t="n"/>
      <c r="K297" s="11602" t="n"/>
      <c r="L297" s="11602" t="n"/>
      <c r="M297" s="11602" t="n"/>
      <c r="N297" s="11602" t="n"/>
      <c r="O297" s="1401" t="inlineStr">
        <is>
          <t xml:space="preserve"> .  </t>
        </is>
      </c>
      <c r="P297" s="12235" t="n"/>
      <c r="Q297" s="11717" t="n"/>
      <c r="R297" s="11717" t="n"/>
      <c r="S297" s="11717" t="n"/>
      <c r="T297" s="11717" t="n"/>
      <c r="U297" s="11717" t="n"/>
      <c r="V297" s="11718" t="n"/>
      <c r="W297" s="12235" t="n"/>
      <c r="X297" s="11717" t="n"/>
      <c r="Y297" s="11717" t="n"/>
      <c r="Z297" s="11717" t="n"/>
      <c r="AA297" s="11717" t="n"/>
      <c r="AB297" s="11717" t="n"/>
      <c r="AC297" s="11718" t="n"/>
      <c r="AD297" s="12235" t="n"/>
      <c r="AE297" s="11717" t="n"/>
      <c r="AF297" s="11717" t="n"/>
      <c r="AG297" s="11717" t="n"/>
      <c r="AH297" s="11717" t="n"/>
      <c r="AI297" s="11718" t="n"/>
      <c r="AJ297" s="8967" t="n"/>
      <c r="AL297" s="408" t="n"/>
      <c r="AM297" s="11602" t="n"/>
      <c r="AN297" s="11602" t="n"/>
      <c r="AO297" s="11602" t="n"/>
      <c r="AP297" s="1277" t="n"/>
      <c r="AQ297" s="11602" t="n"/>
      <c r="AR297" s="11602" t="n"/>
      <c r="AS297" s="11602" t="n"/>
      <c r="AT297" s="11602" t="n"/>
      <c r="AU297" s="11602" t="n"/>
      <c r="AV297" s="11602" t="n"/>
      <c r="AW297" s="11602" t="n"/>
      <c r="AX297" s="769" t="n"/>
      <c r="AY297" s="964" t="n"/>
      <c r="AZ297" s="964" t="n"/>
      <c r="BA297" s="964" t="n"/>
      <c r="BB297" s="964" t="n"/>
      <c r="BC297" s="964" t="n"/>
      <c r="BD297" s="964" t="n"/>
      <c r="BE297" s="964" t="n"/>
      <c r="BF297" s="964" t="n"/>
      <c r="BG297" s="964" t="n"/>
      <c r="BH297" s="964" t="n"/>
    </row>
    <row r="298" ht="13.5" customHeight="1" s="7635">
      <c r="A298" s="2112" t="n"/>
      <c r="B298" s="9040" t="inlineStr">
        <is>
          <t>e</t>
        </is>
      </c>
      <c r="D298" s="7299" t="inlineStr">
        <is>
          <t>Gross income from all sources (see instructions)</t>
        </is>
      </c>
      <c r="E298" s="11602" t="n"/>
      <c r="F298" s="11602" t="n"/>
      <c r="G298" s="11602" t="n"/>
      <c r="H298" s="11602" t="n"/>
      <c r="I298" s="11602" t="n"/>
      <c r="J298" s="11602" t="n"/>
      <c r="K298" s="11602" t="n"/>
      <c r="L298" s="11602" t="n"/>
      <c r="M298" s="11602" t="n"/>
      <c r="N298" s="11602" t="n"/>
      <c r="O298" s="1401" t="inlineStr">
        <is>
          <t xml:space="preserve"> .  </t>
        </is>
      </c>
      <c r="P298" s="12235" t="n"/>
      <c r="Q298" s="11717" t="n"/>
      <c r="R298" s="11717" t="n"/>
      <c r="S298" s="11717" t="n"/>
      <c r="T298" s="11717" t="n"/>
      <c r="U298" s="11717" t="n"/>
      <c r="V298" s="11718" t="n"/>
      <c r="W298" s="12235" t="n"/>
      <c r="X298" s="11717" t="n"/>
      <c r="Y298" s="11717" t="n"/>
      <c r="Z298" s="11717" t="n"/>
      <c r="AA298" s="11717" t="n"/>
      <c r="AB298" s="11717" t="n"/>
      <c r="AC298" s="11718" t="n"/>
      <c r="AD298" s="12235" t="n"/>
      <c r="AE298" s="11717" t="n"/>
      <c r="AF298" s="11717" t="n"/>
      <c r="AG298" s="11717" t="n"/>
      <c r="AH298" s="11717" t="n"/>
      <c r="AI298" s="11718" t="n"/>
      <c r="AJ298" s="8967" t="n"/>
      <c r="AL298" s="408" t="n"/>
      <c r="AM298" s="11602" t="n"/>
      <c r="AN298" s="11602" t="n"/>
      <c r="AO298" s="11602" t="n"/>
      <c r="AP298" s="1277" t="n"/>
      <c r="AQ298" s="11602" t="n"/>
      <c r="AR298" s="11602" t="n"/>
      <c r="AS298" s="11602" t="n"/>
      <c r="AT298" s="11602" t="n"/>
      <c r="AU298" s="11602" t="n"/>
      <c r="AV298" s="11602" t="n"/>
      <c r="AW298" s="11602" t="n"/>
      <c r="AX298" s="769" t="n"/>
      <c r="AY298" s="964" t="n"/>
      <c r="AZ298" s="964" t="n"/>
      <c r="BA298" s="964" t="n"/>
      <c r="BB298" s="964" t="n"/>
      <c r="BC298" s="964" t="n"/>
      <c r="BD298" s="964" t="n"/>
      <c r="BE298" s="964" t="n"/>
      <c r="BF298" s="964" t="n"/>
      <c r="BG298" s="964" t="n"/>
      <c r="BH298" s="964" t="n"/>
    </row>
    <row r="299" ht="13.5" customHeight="1" s="7635">
      <c r="A299" s="2112" t="n"/>
      <c r="B299" s="9040" t="inlineStr">
        <is>
          <t>f</t>
        </is>
      </c>
      <c r="D299" s="7299" t="inlineStr">
        <is>
          <t>Divide line 3d by line 3e (see instructions)</t>
        </is>
      </c>
      <c r="E299" s="11602" t="n"/>
      <c r="F299" s="11602" t="n"/>
      <c r="G299" s="11602" t="n"/>
      <c r="H299" s="11602" t="n"/>
      <c r="I299" s="11602" t="n"/>
      <c r="J299" s="11602" t="n"/>
      <c r="K299" s="11602" t="n"/>
      <c r="L299" s="11602" t="n"/>
      <c r="M299" s="11602" t="n"/>
      <c r="N299" s="11602" t="n"/>
      <c r="O299" s="1401" t="inlineStr">
        <is>
          <t xml:space="preserve">.   .   .  </t>
        </is>
      </c>
      <c r="P299" s="12266">
        <f>IF(P298=0,"",ROUND(P297/P298,4))</f>
        <v/>
      </c>
      <c r="Q299" s="7637" t="n"/>
      <c r="R299" s="7637" t="n"/>
      <c r="S299" s="7637" t="n"/>
      <c r="T299" s="7637" t="n"/>
      <c r="U299" s="7637" t="n"/>
      <c r="V299" s="7638" t="n"/>
      <c r="W299" s="12266">
        <f>IF(W298=0,"",ROUND(W297/W298,4))</f>
        <v/>
      </c>
      <c r="X299" s="7637" t="n"/>
      <c r="Y299" s="7637" t="n"/>
      <c r="Z299" s="7637" t="n"/>
      <c r="AA299" s="7637" t="n"/>
      <c r="AB299" s="7637" t="n"/>
      <c r="AC299" s="7638" t="n"/>
      <c r="AD299" s="12267">
        <f>IF(AD298=0,"",ROUND(AD297/AD298,4))</f>
        <v/>
      </c>
      <c r="AE299" s="7637" t="n"/>
      <c r="AF299" s="7637" t="n"/>
      <c r="AG299" s="7637" t="n"/>
      <c r="AH299" s="7637" t="n"/>
      <c r="AI299" s="7638" t="n"/>
      <c r="AJ299" s="8967" t="n"/>
      <c r="AL299" s="408" t="n"/>
      <c r="AM299" s="11602" t="n"/>
      <c r="AN299" s="11602" t="n"/>
      <c r="AO299" s="11602" t="n"/>
      <c r="AP299" s="1277" t="n"/>
      <c r="AQ299" s="11602" t="n"/>
      <c r="AR299" s="11602" t="n"/>
      <c r="AS299" s="11602" t="n"/>
      <c r="AT299" s="11602" t="n"/>
      <c r="AU299" s="11602" t="n"/>
      <c r="AV299" s="11602" t="n"/>
      <c r="AW299" s="11602" t="n"/>
      <c r="AX299" s="769" t="n"/>
      <c r="AY299" s="964" t="n"/>
      <c r="AZ299" s="964" t="n"/>
      <c r="BA299" s="964" t="n"/>
      <c r="BB299" s="964" t="n"/>
      <c r="BC299" s="964" t="n"/>
      <c r="BD299" s="964" t="n"/>
      <c r="BE299" s="964" t="n"/>
      <c r="BF299" s="964" t="n"/>
      <c r="BG299" s="964" t="n"/>
      <c r="BH299" s="964" t="n"/>
    </row>
    <row r="300" ht="13.5" customHeight="1" s="7635">
      <c r="A300" s="2112" t="n"/>
      <c r="B300" s="9040" t="inlineStr">
        <is>
          <t>g</t>
        </is>
      </c>
      <c r="D300" s="7299" t="inlineStr">
        <is>
          <t>Multiply line 3c by line 3f</t>
        </is>
      </c>
      <c r="E300" s="11602" t="n"/>
      <c r="F300" s="11602" t="n"/>
      <c r="G300" s="11602" t="n"/>
      <c r="H300" s="11602" t="n"/>
      <c r="I300" s="11602" t="n"/>
      <c r="J300" s="11602" t="n"/>
      <c r="K300" s="11602" t="n"/>
      <c r="L300" s="11602" t="n"/>
      <c r="M300" s="11602" t="n"/>
      <c r="N300" s="11602" t="n"/>
      <c r="O300" s="1401" t="inlineStr">
        <is>
          <t xml:space="preserve">.   .   .   .   .   .   .   .   .  </t>
        </is>
      </c>
      <c r="P300" s="12268">
        <f>IF(OR(P296="",P299=""),"",P296*P299)</f>
        <v/>
      </c>
      <c r="Q300" s="7637" t="n"/>
      <c r="R300" s="7637" t="n"/>
      <c r="S300" s="7637" t="n"/>
      <c r="T300" s="7637" t="n"/>
      <c r="U300" s="7637" t="n"/>
      <c r="V300" s="7638" t="n"/>
      <c r="W300" s="12268">
        <f>IF(OR(W296="",W299=""),"",W296*W299)</f>
        <v/>
      </c>
      <c r="X300" s="7637" t="n"/>
      <c r="Y300" s="7637" t="n"/>
      <c r="Z300" s="7637" t="n"/>
      <c r="AA300" s="7637" t="n"/>
      <c r="AB300" s="7637" t="n"/>
      <c r="AC300" s="7638" t="n"/>
      <c r="AD300" s="12268">
        <f>IF(OR(AD296="",AD299=""),"",AD296*AD299)</f>
        <v/>
      </c>
      <c r="AE300" s="7637" t="n"/>
      <c r="AF300" s="7637" t="n"/>
      <c r="AG300" s="7637" t="n"/>
      <c r="AH300" s="7637" t="n"/>
      <c r="AI300" s="7638" t="n"/>
      <c r="AJ300" s="8967" t="n"/>
      <c r="AL300" s="408" t="n"/>
      <c r="AM300" s="11602" t="n"/>
      <c r="AN300" s="11602" t="n"/>
      <c r="AO300" s="11602" t="n"/>
      <c r="AP300" s="1277" t="n"/>
      <c r="AQ300" s="11602" t="n"/>
      <c r="AR300" s="11602" t="n"/>
      <c r="AS300" s="11602" t="n"/>
      <c r="AT300" s="11602" t="n"/>
      <c r="AU300" s="11602" t="n"/>
      <c r="AV300" s="11602" t="n"/>
      <c r="AW300" s="11602" t="n"/>
      <c r="AX300" s="769" t="n"/>
      <c r="AY300" s="964" t="n"/>
      <c r="AZ300" s="964" t="n"/>
      <c r="BA300" s="964" t="n"/>
      <c r="BB300" s="964" t="n"/>
      <c r="BC300" s="964" t="n"/>
      <c r="BD300" s="964" t="n"/>
      <c r="BE300" s="964" t="n"/>
      <c r="BF300" s="964" t="n"/>
      <c r="BG300" s="964" t="n"/>
      <c r="BH300" s="964" t="n"/>
    </row>
    <row r="301" ht="13.5" customHeight="1" s="7635">
      <c r="A301" s="2112" t="n"/>
      <c r="B301" s="9024" t="n">
        <v>4</v>
      </c>
      <c r="D301" s="7299" t="inlineStr">
        <is>
          <t>Pro rata share of interest expense (see instructions):</t>
        </is>
      </c>
      <c r="E301" s="11602" t="n"/>
      <c r="F301" s="11602" t="n"/>
      <c r="G301" s="11602" t="n"/>
      <c r="H301" s="11602" t="n"/>
      <c r="I301" s="11602" t="n"/>
      <c r="J301" s="11602" t="n"/>
      <c r="K301" s="11602" t="n"/>
      <c r="L301" s="11602" t="n"/>
      <c r="M301" s="11602" t="n"/>
      <c r="N301" s="11602" t="n"/>
      <c r="O301" s="11602" t="n"/>
      <c r="P301" s="4167" t="n"/>
      <c r="Q301" s="4168" t="n"/>
      <c r="R301" s="4168" t="n"/>
      <c r="S301" s="4168" t="n"/>
      <c r="T301" s="4168" t="n"/>
      <c r="U301" s="4168" t="n"/>
      <c r="V301" s="4169" t="n"/>
      <c r="W301" s="4167" t="n"/>
      <c r="X301" s="4168" t="n"/>
      <c r="Y301" s="4168" t="n"/>
      <c r="Z301" s="4168" t="n"/>
      <c r="AA301" s="4168" t="n"/>
      <c r="AB301" s="4168" t="n"/>
      <c r="AC301" s="4169" t="n"/>
      <c r="AD301" s="4167" t="n"/>
      <c r="AE301" s="4168" t="n"/>
      <c r="AF301" s="4168" t="n"/>
      <c r="AG301" s="4168" t="n"/>
      <c r="AH301" s="4168" t="n"/>
      <c r="AI301" s="4169" t="n"/>
      <c r="AJ301" s="8967" t="n"/>
      <c r="AL301" s="408" t="n"/>
      <c r="AM301" s="11602" t="n"/>
      <c r="AN301" s="11602" t="n"/>
      <c r="AO301" s="11602" t="n"/>
      <c r="AP301" s="1277" t="n"/>
      <c r="AQ301" s="11602" t="n"/>
      <c r="AR301" s="11602" t="n"/>
      <c r="AS301" s="11602" t="n"/>
      <c r="AT301" s="11602" t="n"/>
      <c r="AU301" s="11602" t="n"/>
      <c r="AV301" s="11602" t="n"/>
      <c r="AW301" s="11602" t="n"/>
      <c r="AX301" s="769" t="n"/>
      <c r="AY301" s="964" t="n"/>
      <c r="AZ301" s="964" t="n"/>
      <c r="BA301" s="964" t="n"/>
      <c r="BB301" s="964" t="n"/>
      <c r="BC301" s="964" t="n"/>
      <c r="BD301" s="964" t="n"/>
      <c r="BE301" s="964" t="n"/>
      <c r="BF301" s="964" t="n"/>
      <c r="BG301" s="964" t="n"/>
      <c r="BH301" s="964" t="n"/>
    </row>
    <row r="302" ht="13.5" customHeight="1" s="7635">
      <c r="A302" s="2112" t="n"/>
      <c r="B302" s="9040" t="inlineStr">
        <is>
          <t>a</t>
        </is>
      </c>
      <c r="D302" s="344" t="inlineStr">
        <is>
          <t>Home mortgage interest (use the Worksheet for</t>
        </is>
      </c>
      <c r="E302" s="11602" t="n"/>
      <c r="F302" s="11602" t="n"/>
      <c r="G302" s="11602" t="n"/>
      <c r="H302" s="11602" t="n"/>
      <c r="I302" s="11602" t="n"/>
      <c r="J302" s="11602" t="n"/>
      <c r="K302" s="11602" t="n"/>
      <c r="L302" s="11602" t="n"/>
      <c r="M302" s="11602" t="n"/>
      <c r="N302" s="11602" t="n"/>
      <c r="O302" s="11602" t="n"/>
      <c r="P302" s="566" t="n"/>
      <c r="Q302" s="344" t="n"/>
      <c r="R302" s="344" t="n"/>
      <c r="S302" s="344" t="n"/>
      <c r="T302" s="344" t="n"/>
      <c r="U302" s="344" t="n"/>
      <c r="V302" s="567" t="n"/>
      <c r="W302" s="344" t="n"/>
      <c r="X302" s="344" t="n"/>
      <c r="Y302" s="344" t="n"/>
      <c r="Z302" s="344" t="n"/>
      <c r="AA302" s="344" t="n"/>
      <c r="AB302" s="344" t="n"/>
      <c r="AC302" s="567" t="n"/>
      <c r="AD302" s="344" t="n"/>
      <c r="AE302" s="344" t="n"/>
      <c r="AF302" s="344" t="n"/>
      <c r="AG302" s="344" t="n"/>
      <c r="AH302" s="344" t="n"/>
      <c r="AI302" s="567" t="n"/>
      <c r="AJ302" s="8967" t="n"/>
      <c r="AL302" s="408" t="n"/>
      <c r="AM302" s="11602" t="n"/>
      <c r="AN302" s="11602" t="n"/>
      <c r="AO302" s="11602" t="n"/>
      <c r="AP302" s="1277" t="n"/>
      <c r="AQ302" s="11602" t="n"/>
      <c r="AR302" s="11602" t="n"/>
      <c r="AS302" s="11602" t="n"/>
      <c r="AT302" s="11602" t="n"/>
      <c r="AU302" s="11602" t="n"/>
      <c r="AV302" s="11602" t="n"/>
      <c r="AW302" s="11602" t="n"/>
      <c r="AX302" s="769" t="n"/>
      <c r="AY302" s="964" t="n"/>
      <c r="AZ302" s="964" t="n"/>
      <c r="BA302" s="964" t="n"/>
      <c r="BB302" s="964" t="n"/>
      <c r="BC302" s="964" t="n"/>
      <c r="BD302" s="964" t="n"/>
      <c r="BE302" s="964" t="n"/>
      <c r="BF302" s="964" t="n"/>
      <c r="BG302" s="964" t="n"/>
      <c r="BH302" s="964" t="n"/>
    </row>
    <row r="303" ht="16.5" customHeight="1" s="7635">
      <c r="A303" s="2112" t="n"/>
      <c r="B303" s="9040" t="n"/>
      <c r="C303" s="9040" t="n"/>
      <c r="D303" s="344" t="inlineStr">
        <is>
          <t>Home Mortgage Interest in the instructions)</t>
        </is>
      </c>
      <c r="E303" s="11602" t="n"/>
      <c r="F303" s="11602" t="n"/>
      <c r="G303" s="11602" t="n"/>
      <c r="H303" s="11602" t="n"/>
      <c r="I303" s="11602" t="n"/>
      <c r="J303" s="11602" t="n"/>
      <c r="K303" s="11602" t="n"/>
      <c r="L303" s="11602" t="n"/>
      <c r="M303" s="11602" t="n"/>
      <c r="N303" s="11602" t="n"/>
      <c r="O303" s="1401" t="inlineStr">
        <is>
          <t xml:space="preserve">.   .  </t>
        </is>
      </c>
      <c r="P303" s="12235" t="n"/>
      <c r="Q303" s="11717" t="n"/>
      <c r="R303" s="11717" t="n"/>
      <c r="S303" s="11717" t="n"/>
      <c r="T303" s="11717" t="n"/>
      <c r="U303" s="11717" t="n"/>
      <c r="V303" s="11718" t="n"/>
      <c r="W303" s="12235" t="n"/>
      <c r="X303" s="11717" t="n"/>
      <c r="Y303" s="11717" t="n"/>
      <c r="Z303" s="11717" t="n"/>
      <c r="AA303" s="11717" t="n"/>
      <c r="AB303" s="11717" t="n"/>
      <c r="AC303" s="11718" t="n"/>
      <c r="AD303" s="12235" t="n"/>
      <c r="AE303" s="11717" t="n"/>
      <c r="AF303" s="11717" t="n"/>
      <c r="AG303" s="11717" t="n"/>
      <c r="AH303" s="11717" t="n"/>
      <c r="AI303" s="11718" t="n"/>
      <c r="AJ303" s="8967" t="n"/>
      <c r="AL303" s="408" t="n"/>
      <c r="AM303" s="11602" t="n"/>
      <c r="AN303" s="11602" t="n"/>
      <c r="AO303" s="11602" t="n"/>
      <c r="AP303" s="1277" t="n"/>
      <c r="AQ303" s="11602" t="n"/>
      <c r="AR303" s="11602" t="n"/>
      <c r="AS303" s="11602" t="n"/>
      <c r="AT303" s="11602" t="n"/>
      <c r="AU303" s="11602" t="n"/>
      <c r="AV303" s="11602" t="n"/>
      <c r="AW303" s="11602" t="n"/>
      <c r="AX303" s="769" t="n"/>
      <c r="AY303" s="964" t="n"/>
      <c r="AZ303" s="964" t="n"/>
      <c r="BA303" s="964" t="n"/>
      <c r="BB303" s="964" t="n"/>
      <c r="BC303" s="964" t="n"/>
      <c r="BD303" s="964" t="n"/>
      <c r="BE303" s="964" t="n"/>
      <c r="BF303" s="964" t="n"/>
      <c r="BG303" s="964" t="n"/>
      <c r="BH303" s="964" t="n"/>
    </row>
    <row r="304" ht="17.25" customFormat="1" customHeight="1" s="1405">
      <c r="A304" s="2112" t="n"/>
      <c r="B304" s="9040" t="inlineStr">
        <is>
          <t>b</t>
        </is>
      </c>
      <c r="D304" s="344" t="inlineStr">
        <is>
          <t>Other interest expense</t>
        </is>
      </c>
      <c r="E304" s="11602" t="n"/>
      <c r="F304" s="11602" t="n"/>
      <c r="G304" s="11602" t="n"/>
      <c r="H304" s="11602" t="n"/>
      <c r="I304" s="11602" t="n"/>
      <c r="J304" s="11602" t="n"/>
      <c r="K304" s="11602" t="n"/>
      <c r="L304" s="11602" t="n"/>
      <c r="M304" s="11602" t="n"/>
      <c r="N304" s="11602" t="n"/>
      <c r="O304" s="1401" t="inlineStr">
        <is>
          <t xml:space="preserve">.   .   .   .   .   .   .   .   .  </t>
        </is>
      </c>
      <c r="P304" s="12235" t="n"/>
      <c r="Q304" s="11717" t="n"/>
      <c r="R304" s="11717" t="n"/>
      <c r="S304" s="11717" t="n"/>
      <c r="T304" s="11717" t="n"/>
      <c r="U304" s="11717" t="n"/>
      <c r="V304" s="11718" t="n"/>
      <c r="W304" s="12235" t="n"/>
      <c r="X304" s="11717" t="n"/>
      <c r="Y304" s="11717" t="n"/>
      <c r="Z304" s="11717" t="n"/>
      <c r="AA304" s="11717" t="n"/>
      <c r="AB304" s="11717" t="n"/>
      <c r="AC304" s="11718" t="n"/>
      <c r="AD304" s="12235" t="n"/>
      <c r="AE304" s="11717" t="n"/>
      <c r="AF304" s="11717" t="n"/>
      <c r="AG304" s="11717" t="n"/>
      <c r="AH304" s="11717" t="n"/>
      <c r="AI304" s="11718" t="n"/>
      <c r="AJ304" s="8967" t="n"/>
      <c r="AL304" s="408" t="n"/>
      <c r="AM304" s="11602" t="n"/>
      <c r="AN304" s="11602" t="n"/>
      <c r="AO304" s="11602" t="n"/>
      <c r="AP304" s="1277" t="n"/>
      <c r="AQ304" s="11602" t="n"/>
      <c r="AR304" s="11602" t="n"/>
      <c r="AS304" s="11602" t="n"/>
      <c r="AT304" s="11602" t="n"/>
      <c r="AU304" s="11602" t="n"/>
      <c r="AV304" s="11602" t="n"/>
      <c r="AW304" s="11602" t="n"/>
      <c r="AX304" s="769" t="n"/>
      <c r="AY304" s="964" t="n"/>
      <c r="AZ304" s="964" t="n"/>
      <c r="BA304" s="964" t="n"/>
      <c r="BB304" s="964" t="n"/>
      <c r="BC304" s="964" t="n"/>
      <c r="BD304" s="964" t="n"/>
      <c r="BE304" s="964" t="n"/>
      <c r="BF304" s="964" t="n"/>
      <c r="BG304" s="964" t="n"/>
      <c r="BH304" s="964" t="n"/>
    </row>
    <row r="305" ht="12" customFormat="1" customHeight="1" s="1405">
      <c r="A305" s="2112" t="n"/>
      <c r="B305" s="9024" t="n">
        <v>5</v>
      </c>
      <c r="D305" s="344" t="inlineStr">
        <is>
          <t>Losses from foreign sources</t>
        </is>
      </c>
      <c r="E305" s="11602" t="n"/>
      <c r="F305" s="11602" t="n"/>
      <c r="G305" s="11602" t="n"/>
      <c r="H305" s="11602" t="n"/>
      <c r="I305" s="11602" t="n"/>
      <c r="J305" s="11602" t="n"/>
      <c r="K305" s="11602" t="n"/>
      <c r="L305" s="11602" t="n"/>
      <c r="M305" s="11602" t="n"/>
      <c r="N305" s="11602" t="n"/>
      <c r="O305" s="1401" t="inlineStr">
        <is>
          <t xml:space="preserve">.   .   .   .   .   .   .  </t>
        </is>
      </c>
      <c r="P305" s="12235" t="n"/>
      <c r="Q305" s="11717" t="n"/>
      <c r="R305" s="11717" t="n"/>
      <c r="S305" s="11717" t="n"/>
      <c r="T305" s="11717" t="n"/>
      <c r="U305" s="11717" t="n"/>
      <c r="V305" s="11718" t="n"/>
      <c r="W305" s="12235" t="n"/>
      <c r="X305" s="11717" t="n"/>
      <c r="Y305" s="11717" t="n"/>
      <c r="Z305" s="11717" t="n"/>
      <c r="AA305" s="11717" t="n"/>
      <c r="AB305" s="11717" t="n"/>
      <c r="AC305" s="11718" t="n"/>
      <c r="AD305" s="12235" t="n"/>
      <c r="AE305" s="11717" t="n"/>
      <c r="AF305" s="11717" t="n"/>
      <c r="AG305" s="11717" t="n"/>
      <c r="AH305" s="11717" t="n"/>
      <c r="AI305" s="11718" t="n"/>
      <c r="AJ305" s="8967" t="n"/>
      <c r="AL305" s="408" t="n"/>
      <c r="AM305" s="11602" t="n"/>
      <c r="AN305" s="11602" t="n"/>
      <c r="AO305" s="11602" t="n"/>
      <c r="AP305" s="1277" t="n"/>
      <c r="AQ305" s="1277" t="n"/>
      <c r="AR305" s="1277" t="n"/>
      <c r="AS305" s="1277" t="n"/>
      <c r="AT305" s="1277" t="n"/>
      <c r="AU305" s="1277" t="n"/>
      <c r="AV305" s="11602" t="n"/>
      <c r="AW305" s="11602" t="n"/>
      <c r="AX305" s="769" t="n"/>
      <c r="AY305" s="964" t="n"/>
      <c r="AZ305" s="964" t="n"/>
      <c r="BA305" s="964" t="n"/>
      <c r="BB305" s="964" t="n"/>
      <c r="BC305" s="964" t="n"/>
      <c r="BD305" s="964" t="n"/>
      <c r="BE305" s="964" t="n"/>
      <c r="BF305" s="964" t="n"/>
      <c r="BG305" s="964" t="n"/>
      <c r="BH305" s="964" t="n"/>
    </row>
    <row r="306" ht="12" customFormat="1" customHeight="1" s="1405">
      <c r="A306" s="2112" t="n"/>
      <c r="B306" s="9024" t="n">
        <v>6</v>
      </c>
      <c r="D306" s="344" t="inlineStr">
        <is>
          <t>Add lines 2, 3g, 4a, 4b, and 5</t>
        </is>
      </c>
      <c r="E306" s="11602" t="n"/>
      <c r="F306" s="11602" t="n"/>
      <c r="G306" s="11602" t="n"/>
      <c r="H306" s="11602" t="n"/>
      <c r="I306" s="11602" t="n"/>
      <c r="J306" s="11602" t="n"/>
      <c r="K306" s="11602" t="n"/>
      <c r="L306" s="11602" t="n"/>
      <c r="M306" s="11602" t="n"/>
      <c r="N306" s="11602" t="n"/>
      <c r="O306" s="1401" t="inlineStr">
        <is>
          <t xml:space="preserve">.   .   .   .   .   .   .  </t>
        </is>
      </c>
      <c r="P306" s="12268">
        <f>SUM(P290,P300,P303,P304,P305)</f>
        <v/>
      </c>
      <c r="Q306" s="7637" t="n"/>
      <c r="R306" s="7637" t="n"/>
      <c r="S306" s="7637" t="n"/>
      <c r="T306" s="7637" t="n"/>
      <c r="U306" s="7637" t="n"/>
      <c r="V306" s="7638" t="n"/>
      <c r="W306" s="12268">
        <f>SUM(W290,W300,W303,W304,W305)</f>
        <v/>
      </c>
      <c r="X306" s="7637" t="n"/>
      <c r="Y306" s="7637" t="n"/>
      <c r="Z306" s="7637" t="n"/>
      <c r="AA306" s="7637" t="n"/>
      <c r="AB306" s="7637" t="n"/>
      <c r="AC306" s="7638" t="n"/>
      <c r="AD306" s="12268">
        <f>SUM(AD290,AD300,AD303,AD304,AD305)</f>
        <v/>
      </c>
      <c r="AE306" s="7637" t="n"/>
      <c r="AF306" s="7637" t="n"/>
      <c r="AG306" s="7637" t="n"/>
      <c r="AH306" s="7637" t="n"/>
      <c r="AI306" s="7638" t="n"/>
      <c r="AJ306" s="12236" t="n">
        <v>6</v>
      </c>
      <c r="AK306" s="7638" t="n"/>
      <c r="AL306" s="8988">
        <f>IF(AQ306&lt;&gt;"",ROUND(AQ306,0),IF(AO265=0,"",ROUND(SUM(P306,W306,AD306),0)))</f>
        <v/>
      </c>
      <c r="AM306" s="7637" t="n"/>
      <c r="AN306" s="7637" t="n"/>
      <c r="AO306" s="7637" t="n"/>
      <c r="AP306" s="1277" t="n"/>
      <c r="AQ306" s="8957" t="n"/>
      <c r="AR306" s="11717" t="n"/>
      <c r="AS306" s="11717" t="n"/>
      <c r="AT306" s="11717" t="n"/>
      <c r="AU306" s="1277" t="n"/>
      <c r="AV306" s="11602" t="n"/>
      <c r="AW306" s="11602" t="n"/>
      <c r="AX306" s="769" t="n"/>
      <c r="AY306" s="964" t="n"/>
      <c r="AZ306" s="964" t="n"/>
      <c r="BA306" s="964" t="n"/>
      <c r="BB306" s="964" t="n"/>
      <c r="BC306" s="964" t="n"/>
      <c r="BD306" s="964" t="n"/>
      <c r="BE306" s="964" t="n"/>
      <c r="BF306" s="964" t="n"/>
      <c r="BG306" s="964" t="n"/>
      <c r="BH306" s="964" t="n"/>
    </row>
    <row r="307" ht="12" customFormat="1" customHeight="1" s="1405">
      <c r="A307" s="2112" t="n"/>
      <c r="B307" s="9128" t="n">
        <v>7</v>
      </c>
      <c r="C307" s="8412" t="n"/>
      <c r="D307" s="4219" t="inlineStr">
        <is>
          <t>Subtract line 6 from line 1a. Enter the result here and on line 15, page 2</t>
        </is>
      </c>
      <c r="E307" s="773" t="n"/>
      <c r="F307" s="773" t="n"/>
      <c r="G307" s="773" t="n"/>
      <c r="H307" s="773" t="n"/>
      <c r="I307" s="773" t="n"/>
      <c r="J307" s="773" t="n"/>
      <c r="K307" s="773" t="n"/>
      <c r="L307" s="773" t="n"/>
      <c r="M307" s="773" t="n"/>
      <c r="N307" s="773" t="n"/>
      <c r="O307" s="773" t="n"/>
      <c r="P307" s="773" t="n"/>
      <c r="Q307" s="773" t="n"/>
      <c r="R307" s="773" t="n"/>
      <c r="S307" s="773" t="n"/>
      <c r="T307" s="773" t="n"/>
      <c r="U307" s="773" t="n"/>
      <c r="V307" s="773" t="n"/>
      <c r="W307" s="773" t="n"/>
      <c r="X307" s="773" t="n"/>
      <c r="Y307" s="773" t="n"/>
      <c r="Z307" s="773" t="n"/>
      <c r="AA307" s="773" t="n"/>
      <c r="AB307" s="773" t="n"/>
      <c r="AC307" s="773" t="n"/>
      <c r="AD307" s="773" t="n"/>
      <c r="AE307" s="773" t="n"/>
      <c r="AF307" s="773" t="n"/>
      <c r="AG307" s="773" t="n"/>
      <c r="AH307" s="773" t="n"/>
      <c r="AI307" s="1401" t="inlineStr">
        <is>
          <t xml:space="preserve">.   .   .   .   .   .   .   .   .   .   .   .   .   .  </t>
        </is>
      </c>
      <c r="AJ307" s="12110" t="n">
        <v>7</v>
      </c>
      <c r="AK307" s="11734" t="n"/>
      <c r="AL307" s="8988">
        <f>IF(AQ307&lt;&gt;"",ROUND(AQ307,0),IF(AO265=0,"",ROUND(SUM(AL281,-AL306),0)))</f>
        <v/>
      </c>
      <c r="AM307" s="7637" t="n"/>
      <c r="AN307" s="7637" t="n"/>
      <c r="AO307" s="7637" t="n"/>
      <c r="AP307" s="1277" t="n"/>
      <c r="AQ307" s="8957" t="n"/>
      <c r="AR307" s="11717" t="n"/>
      <c r="AS307" s="11717" t="n"/>
      <c r="AT307" s="11717" t="n"/>
      <c r="AU307" s="1277" t="n"/>
      <c r="AV307" s="11602" t="n"/>
      <c r="AW307" s="11602" t="n"/>
      <c r="AX307" s="769" t="n"/>
      <c r="AY307" s="964" t="n"/>
      <c r="AZ307" s="964" t="n"/>
      <c r="BA307" s="964" t="n"/>
      <c r="BB307" s="964" t="n"/>
      <c r="BC307" s="964" t="n"/>
      <c r="BD307" s="964" t="n"/>
      <c r="BE307" s="964" t="n"/>
      <c r="BF307" s="964" t="n"/>
      <c r="BG307" s="964" t="n"/>
      <c r="BH307" s="964" t="n"/>
    </row>
    <row r="308" ht="18" customFormat="1" customHeight="1" s="1405">
      <c r="A308" s="4157" t="n"/>
      <c r="B308" s="9109" t="inlineStr">
        <is>
          <t>Part II</t>
        </is>
      </c>
      <c r="C308" s="8412" t="n"/>
      <c r="D308" s="8412" t="n"/>
      <c r="E308" s="9111" t="inlineStr">
        <is>
          <t>Foreign Taxes Paid or Accrued  (see instructions)</t>
        </is>
      </c>
      <c r="F308" s="8412" t="n"/>
      <c r="G308" s="8412" t="n"/>
      <c r="H308" s="8412" t="n"/>
      <c r="I308" s="8412" t="n"/>
      <c r="J308" s="8412" t="n"/>
      <c r="K308" s="8412" t="n"/>
      <c r="L308" s="8412" t="n"/>
      <c r="M308" s="8412" t="n"/>
      <c r="N308" s="8412" t="n"/>
      <c r="O308" s="8412" t="n"/>
      <c r="P308" s="8412" t="n"/>
      <c r="Q308" s="8412" t="n"/>
      <c r="R308" s="8412" t="n"/>
      <c r="S308" s="8412" t="n"/>
      <c r="T308" s="8412" t="n"/>
      <c r="U308" s="8412" t="n"/>
      <c r="V308" s="8412" t="n"/>
      <c r="W308" s="8412" t="n"/>
      <c r="X308" s="8412" t="n"/>
      <c r="Y308" s="8412" t="n"/>
      <c r="Z308" s="8412" t="n"/>
      <c r="AA308" s="8412" t="n"/>
      <c r="AB308" s="8412" t="n"/>
      <c r="AC308" s="8412" t="n"/>
      <c r="AD308" s="8412" t="n"/>
      <c r="AE308" s="8412" t="n"/>
      <c r="AF308" s="8412" t="n"/>
      <c r="AG308" s="8412" t="n"/>
      <c r="AH308" s="8412" t="n"/>
      <c r="AI308" s="8412" t="n"/>
      <c r="AJ308" s="8412" t="n"/>
      <c r="AK308" s="8412" t="n"/>
      <c r="AL308" s="8412" t="n"/>
      <c r="AM308" s="8412" t="n"/>
      <c r="AN308" s="8412" t="n"/>
      <c r="AO308" s="8412" t="n"/>
      <c r="AP308" s="1277" t="n"/>
      <c r="AQ308" s="1277" t="n"/>
      <c r="AR308" s="1277" t="n"/>
      <c r="AS308" s="1277" t="n"/>
      <c r="AT308" s="1277" t="n"/>
      <c r="AU308" s="1277" t="n"/>
      <c r="AV308" s="7772" t="n"/>
      <c r="AW308" s="7772" t="n"/>
      <c r="AX308" s="769" t="n"/>
      <c r="AY308" s="964" t="n"/>
      <c r="AZ308" s="964" t="n"/>
      <c r="BA308" s="964" t="n"/>
      <c r="BB308" s="964" t="n"/>
      <c r="BC308" s="964" t="n"/>
      <c r="BD308" s="964" t="n"/>
      <c r="BE308" s="964" t="n"/>
      <c r="BF308" s="964" t="n"/>
      <c r="BG308" s="964" t="n"/>
      <c r="BH308" s="964" t="n"/>
    </row>
    <row r="309" ht="15" customHeight="1" s="7635">
      <c r="A309" s="4157" t="n"/>
      <c r="B309" s="12243" t="inlineStr">
        <is>
          <t>Country</t>
        </is>
      </c>
      <c r="C309" s="12244" t="inlineStr">
        <is>
          <t>Credit is claimed 
for taxes 
(you must check one)</t>
        </is>
      </c>
      <c r="D309" s="7839" t="n"/>
      <c r="E309" s="7839" t="n"/>
      <c r="F309" s="7839" t="n"/>
      <c r="G309" s="10091" t="n"/>
      <c r="H309" s="12245" t="inlineStr">
        <is>
          <t>Foreign taxes paid or accrued</t>
        </is>
      </c>
      <c r="I309" s="7839" t="n"/>
      <c r="J309" s="7839" t="n"/>
      <c r="K309" s="7839" t="n"/>
      <c r="L309" s="7839" t="n"/>
      <c r="M309" s="7839" t="n"/>
      <c r="N309" s="7839" t="n"/>
      <c r="O309" s="7839" t="n"/>
      <c r="P309" s="7839" t="n"/>
      <c r="Q309" s="7839" t="n"/>
      <c r="R309" s="7839" t="n"/>
      <c r="S309" s="7839" t="n"/>
      <c r="T309" s="7839" t="n"/>
      <c r="U309" s="7839" t="n"/>
      <c r="V309" s="7839" t="n"/>
      <c r="W309" s="7839" t="n"/>
      <c r="X309" s="7839" t="n"/>
      <c r="Y309" s="7839" t="n"/>
      <c r="Z309" s="7839" t="n"/>
      <c r="AA309" s="7839" t="n"/>
      <c r="AB309" s="7839" t="n"/>
      <c r="AC309" s="7839" t="n"/>
      <c r="AD309" s="7839" t="n"/>
      <c r="AE309" s="7839" t="n"/>
      <c r="AF309" s="7839" t="n"/>
      <c r="AG309" s="7839" t="n"/>
      <c r="AH309" s="7839" t="n"/>
      <c r="AI309" s="7839" t="n"/>
      <c r="AJ309" s="7839" t="n"/>
      <c r="AK309" s="7839" t="n"/>
      <c r="AL309" s="7839" t="n"/>
      <c r="AM309" s="7839" t="n"/>
      <c r="AN309" s="7839" t="n"/>
      <c r="AO309" s="7839" t="n"/>
      <c r="AP309" s="1277" t="n"/>
      <c r="AQ309" s="7772" t="n"/>
      <c r="AR309" s="7772" t="n"/>
      <c r="AS309" s="7772" t="n"/>
      <c r="AT309" s="7772" t="n"/>
      <c r="AU309" s="7772" t="n"/>
      <c r="AV309" s="7772" t="n"/>
      <c r="AW309" s="7772" t="n"/>
      <c r="AX309" s="769" t="n"/>
      <c r="AY309" s="964" t="n"/>
      <c r="AZ309" s="964" t="n"/>
      <c r="BA309" s="964" t="n"/>
      <c r="BB309" s="964" t="n"/>
      <c r="BC309" s="964" t="n"/>
      <c r="BD309" s="964" t="n"/>
      <c r="BE309" s="964" t="n"/>
      <c r="BF309" s="964" t="n"/>
      <c r="BG309" s="964" t="n"/>
      <c r="BH309" s="964" t="n"/>
    </row>
    <row r="310" ht="13.5" customHeight="1" s="7635">
      <c r="A310" s="4157" t="n"/>
      <c r="B310" s="7636" t="n"/>
      <c r="C310" s="4772" t="n"/>
      <c r="G310" s="7636" t="n"/>
      <c r="H310" s="4772" t="n"/>
      <c r="AP310" s="1277" t="n"/>
      <c r="AQ310" s="7772" t="n"/>
      <c r="AR310" s="7772" t="n"/>
      <c r="AS310" s="7772" t="n"/>
      <c r="AT310" s="7772" t="n"/>
      <c r="AU310" s="7772" t="n"/>
      <c r="AV310" s="7772" t="n"/>
      <c r="AW310" s="7772" t="n"/>
      <c r="AX310" s="769" t="n"/>
      <c r="AY310" s="964" t="n"/>
      <c r="AZ310" s="964" t="n"/>
      <c r="BA310" s="964" t="n"/>
      <c r="BB310" s="964" t="n"/>
      <c r="BC310" s="964" t="n"/>
      <c r="BD310" s="964" t="n"/>
      <c r="BE310" s="964" t="n"/>
      <c r="BF310" s="964" t="n"/>
      <c r="BG310" s="964" t="n"/>
      <c r="BH310" s="964" t="n"/>
    </row>
    <row r="311" ht="15" customHeight="1" s="7635">
      <c r="A311" s="4157" t="n"/>
      <c r="B311" s="7636" t="n"/>
      <c r="C311" s="4772" t="n"/>
      <c r="G311" s="7636" t="n"/>
      <c r="H311" s="3614" t="n"/>
      <c r="I311" s="7637" t="n"/>
      <c r="J311" s="7637" t="n"/>
      <c r="K311" s="7637" t="n"/>
      <c r="L311" s="7637" t="n"/>
      <c r="M311" s="7637" t="n"/>
      <c r="N311" s="7637" t="n"/>
      <c r="O311" s="7637" t="n"/>
      <c r="P311" s="7637" t="n"/>
      <c r="Q311" s="7637" t="n"/>
      <c r="R311" s="7637" t="n"/>
      <c r="S311" s="7637" t="n"/>
      <c r="T311" s="7637" t="n"/>
      <c r="U311" s="7637" t="n"/>
      <c r="V311" s="7637" t="n"/>
      <c r="W311" s="7637" t="n"/>
      <c r="X311" s="7637" t="n"/>
      <c r="Y311" s="7637" t="n"/>
      <c r="Z311" s="7637" t="n"/>
      <c r="AA311" s="7637" t="n"/>
      <c r="AB311" s="7637" t="n"/>
      <c r="AC311" s="7637" t="n"/>
      <c r="AD311" s="7637" t="n"/>
      <c r="AE311" s="7637" t="n"/>
      <c r="AF311" s="7637" t="n"/>
      <c r="AG311" s="7637" t="n"/>
      <c r="AH311" s="7637" t="n"/>
      <c r="AI311" s="7637" t="n"/>
      <c r="AJ311" s="7637" t="n"/>
      <c r="AK311" s="7637" t="n"/>
      <c r="AL311" s="7637" t="n"/>
      <c r="AM311" s="7637" t="n"/>
      <c r="AN311" s="7637" t="n"/>
      <c r="AO311" s="7637" t="n"/>
      <c r="AP311" s="1277" t="n"/>
      <c r="AQ311" s="7772" t="n"/>
      <c r="AR311" s="7772" t="n"/>
      <c r="AS311" s="7772" t="n"/>
      <c r="AT311" s="7772" t="n"/>
      <c r="AU311" s="7772" t="n"/>
      <c r="AV311" s="7772" t="n"/>
      <c r="AW311" s="7772" t="n"/>
      <c r="AX311" s="769" t="n"/>
      <c r="AY311" s="964" t="n"/>
      <c r="AZ311" s="964" t="n"/>
      <c r="BA311" s="964" t="n"/>
      <c r="BB311" s="964" t="n"/>
      <c r="BC311" s="964" t="n"/>
      <c r="BD311" s="964" t="n"/>
      <c r="BE311" s="964" t="n"/>
      <c r="BF311" s="964" t="n"/>
      <c r="BG311" s="964" t="n"/>
      <c r="BH311" s="964" t="n"/>
    </row>
    <row r="312" ht="15.75" customHeight="1" s="7635">
      <c r="A312" s="4157" t="n"/>
      <c r="B312" s="7636" t="n"/>
      <c r="C312" s="4170">
        <f>IF(E312&lt;&gt;"",1,0)</f>
        <v/>
      </c>
      <c r="D312" s="7914" t="inlineStr">
        <is>
          <t>(j)</t>
        </is>
      </c>
      <c r="E312" s="278" t="n"/>
      <c r="F312" s="7209" t="inlineStr">
        <is>
          <t xml:space="preserve"> Paid</t>
        </is>
      </c>
      <c r="G312" s="4171" t="n"/>
      <c r="H312" s="12126" t="inlineStr">
        <is>
          <t>In foreign currency</t>
        </is>
      </c>
      <c r="I312" s="7839" t="n"/>
      <c r="J312" s="7839" t="n"/>
      <c r="K312" s="7839" t="n"/>
      <c r="L312" s="7839" t="n"/>
      <c r="M312" s="7839" t="n"/>
      <c r="N312" s="7839" t="n"/>
      <c r="O312" s="7839" t="n"/>
      <c r="P312" s="7839" t="n"/>
      <c r="Q312" s="7839" t="n"/>
      <c r="R312" s="7839" t="n"/>
      <c r="S312" s="7839" t="n"/>
      <c r="T312" s="7839" t="n"/>
      <c r="U312" s="7839" t="n"/>
      <c r="V312" s="7839" t="n"/>
      <c r="W312" s="10091" t="n"/>
      <c r="X312" s="10176" t="inlineStr">
        <is>
          <t>In U.S. dollars</t>
        </is>
      </c>
      <c r="Y312" s="7839" t="n"/>
      <c r="Z312" s="7839" t="n"/>
      <c r="AA312" s="7839" t="n"/>
      <c r="AB312" s="7839" t="n"/>
      <c r="AC312" s="7839" t="n"/>
      <c r="AD312" s="7839" t="n"/>
      <c r="AE312" s="7839" t="n"/>
      <c r="AF312" s="7839" t="n"/>
      <c r="AG312" s="7839" t="n"/>
      <c r="AH312" s="7839" t="n"/>
      <c r="AI312" s="7839" t="n"/>
      <c r="AJ312" s="7839" t="n"/>
      <c r="AK312" s="7839" t="n"/>
      <c r="AL312" s="7839" t="n"/>
      <c r="AM312" s="7839" t="n"/>
      <c r="AN312" s="7839" t="n"/>
      <c r="AO312" s="7839" t="n"/>
      <c r="AP312" s="1277" t="n"/>
      <c r="AQ312" s="7772" t="n"/>
      <c r="AR312" s="7772" t="n"/>
      <c r="AS312" s="7772" t="n"/>
      <c r="AT312" s="7772" t="n"/>
      <c r="AU312" s="7772" t="n"/>
      <c r="AV312" s="7772" t="n"/>
      <c r="AW312" s="7772" t="n"/>
      <c r="AX312" s="769" t="n"/>
      <c r="AY312" s="964" t="n"/>
      <c r="AZ312" s="964" t="n"/>
      <c r="BA312" s="964" t="n"/>
      <c r="BB312" s="964" t="n"/>
      <c r="BC312" s="964" t="n"/>
      <c r="BD312" s="964" t="n"/>
      <c r="BE312" s="964" t="n"/>
      <c r="BF312" s="964" t="n"/>
      <c r="BG312" s="964" t="n"/>
      <c r="BH312" s="964" t="n"/>
    </row>
    <row r="313" ht="13.5" customHeight="1" s="7635">
      <c r="A313" s="2112" t="n"/>
      <c r="B313" s="7636" t="n"/>
      <c r="C313" s="4174" t="n"/>
      <c r="D313" s="344" t="n"/>
      <c r="E313" s="11602" t="n"/>
      <c r="F313" s="11602" t="n"/>
      <c r="G313" s="409" t="n"/>
      <c r="H313" s="3614" t="n"/>
      <c r="I313" s="7637" t="n"/>
      <c r="J313" s="7637" t="n"/>
      <c r="K313" s="7637" t="n"/>
      <c r="L313" s="7637" t="n"/>
      <c r="M313" s="7637" t="n"/>
      <c r="N313" s="7637" t="n"/>
      <c r="O313" s="7637" t="n"/>
      <c r="P313" s="7637" t="n"/>
      <c r="Q313" s="7637" t="n"/>
      <c r="R313" s="7637" t="n"/>
      <c r="S313" s="7637" t="n"/>
      <c r="T313" s="7637" t="n"/>
      <c r="U313" s="7637" t="n"/>
      <c r="V313" s="7637" t="n"/>
      <c r="W313" s="7638" t="n"/>
      <c r="X313" s="3614" t="n"/>
      <c r="Y313" s="7637" t="n"/>
      <c r="Z313" s="7637" t="n"/>
      <c r="AA313" s="7637" t="n"/>
      <c r="AB313" s="7637" t="n"/>
      <c r="AC313" s="7637" t="n"/>
      <c r="AD313" s="7637" t="n"/>
      <c r="AE313" s="7637" t="n"/>
      <c r="AF313" s="7637" t="n"/>
      <c r="AG313" s="7637" t="n"/>
      <c r="AH313" s="7637" t="n"/>
      <c r="AI313" s="7637" t="n"/>
      <c r="AJ313" s="7637" t="n"/>
      <c r="AK313" s="7637" t="n"/>
      <c r="AL313" s="7637" t="n"/>
      <c r="AM313" s="7637" t="n"/>
      <c r="AN313" s="7637" t="n"/>
      <c r="AO313" s="7637" t="n"/>
      <c r="AP313" s="1277" t="n"/>
      <c r="AQ313" s="11602" t="n"/>
      <c r="AR313" s="11602" t="n"/>
      <c r="AS313" s="11602" t="n"/>
      <c r="AT313" s="11602" t="n"/>
      <c r="AU313" s="11602" t="n"/>
      <c r="AV313" s="11602" t="n"/>
      <c r="AW313" s="11602" t="n"/>
      <c r="AX313" s="769" t="n"/>
      <c r="AY313" s="964" t="n"/>
      <c r="AZ313" s="964" t="n"/>
      <c r="BA313" s="964" t="n"/>
      <c r="BB313" s="964" t="n"/>
      <c r="BC313" s="964" t="n"/>
      <c r="BD313" s="964" t="n"/>
      <c r="BE313" s="964" t="n"/>
      <c r="BF313" s="964" t="n"/>
      <c r="BG313" s="964" t="n"/>
      <c r="BH313" s="964" t="n"/>
    </row>
    <row r="314" ht="13.5" customHeight="1" s="7635">
      <c r="A314" s="2112" t="n"/>
      <c r="B314" s="7636" t="n"/>
      <c r="C314" s="4170">
        <f>IF(E314&lt;&gt;"",1,0)</f>
        <v/>
      </c>
      <c r="D314" s="733" t="inlineStr">
        <is>
          <t>(k)</t>
        </is>
      </c>
      <c r="E314" s="278" t="n"/>
      <c r="F314" s="7209" t="inlineStr">
        <is>
          <t>Accrued</t>
        </is>
      </c>
      <c r="G314" s="4175" t="n"/>
      <c r="H314" s="12122" t="inlineStr">
        <is>
          <t>Taxes withheld at source on:</t>
        </is>
      </c>
      <c r="I314" s="7839" t="n"/>
      <c r="J314" s="7839" t="n"/>
      <c r="K314" s="7839" t="n"/>
      <c r="L314" s="7839" t="n"/>
      <c r="M314" s="7839" t="n"/>
      <c r="N314" s="7839" t="n"/>
      <c r="O314" s="7839" t="n"/>
      <c r="P314" s="7839" t="n"/>
      <c r="Q314" s="7839" t="n"/>
      <c r="R314" s="7839" t="n"/>
      <c r="S314" s="10091" t="n"/>
      <c r="T314" s="12122" t="inlineStr">
        <is>
          <t>(p) Other
foreign taxes
paid or
accrued</t>
        </is>
      </c>
      <c r="U314" s="7839" t="n"/>
      <c r="V314" s="7839" t="n"/>
      <c r="W314" s="10091" t="n"/>
      <c r="X314" s="12122" t="inlineStr">
        <is>
          <t>Taxes withheld at source on:</t>
        </is>
      </c>
      <c r="Y314" s="7839" t="n"/>
      <c r="Z314" s="7839" t="n"/>
      <c r="AA314" s="7839" t="n"/>
      <c r="AB314" s="7839" t="n"/>
      <c r="AC314" s="7839" t="n"/>
      <c r="AD314" s="7839" t="n"/>
      <c r="AE314" s="7839" t="n"/>
      <c r="AF314" s="7839" t="n"/>
      <c r="AG314" s="7839" t="n"/>
      <c r="AH314" s="10091" t="n"/>
      <c r="AI314" s="12122" t="inlineStr">
        <is>
          <t>(t) Other
foreign taxes
paid or
accrued</t>
        </is>
      </c>
      <c r="AJ314" s="7839" t="n"/>
      <c r="AK314" s="7839" t="n"/>
      <c r="AL314" s="10091" t="n"/>
      <c r="AM314" s="9854" t="inlineStr">
        <is>
          <t>(u) Total foreign
taxes paid or
accrued (add cols.
(q) through (t))</t>
        </is>
      </c>
      <c r="AN314" s="7839" t="n"/>
      <c r="AO314" s="7839" t="n"/>
      <c r="AP314" s="1277" t="n"/>
      <c r="AQ314" s="11602" t="n"/>
      <c r="AR314" s="11602" t="n"/>
      <c r="AS314" s="11602" t="n"/>
      <c r="AT314" s="11602" t="n"/>
      <c r="AU314" s="11602" t="n"/>
      <c r="AV314" s="11602" t="n"/>
      <c r="AW314" s="11602" t="n"/>
      <c r="AX314" s="769" t="n"/>
      <c r="AY314" s="964" t="n"/>
      <c r="AZ314" s="964" t="n"/>
      <c r="BA314" s="964" t="n"/>
      <c r="BB314" s="964" t="n"/>
      <c r="BC314" s="964" t="n"/>
      <c r="BD314" s="964" t="n"/>
      <c r="BE314" s="964" t="n"/>
      <c r="BF314" s="964" t="n"/>
      <c r="BG314" s="964" t="n"/>
      <c r="BH314" s="964" t="n"/>
    </row>
    <row r="315" ht="6.75" customHeight="1" s="7635">
      <c r="A315" s="2112" t="n"/>
      <c r="B315" s="7638" t="n"/>
      <c r="C315" s="4176" t="n"/>
      <c r="D315" s="2271" t="n"/>
      <c r="E315" s="2271" t="n"/>
      <c r="F315" s="2271" t="n"/>
      <c r="G315" s="4177" t="n"/>
      <c r="H315" s="3614" t="n"/>
      <c r="I315" s="7637" t="n"/>
      <c r="J315" s="7637" t="n"/>
      <c r="K315" s="7637" t="n"/>
      <c r="L315" s="7637" t="n"/>
      <c r="M315" s="7637" t="n"/>
      <c r="N315" s="7637" t="n"/>
      <c r="O315" s="7637" t="n"/>
      <c r="P315" s="7637" t="n"/>
      <c r="Q315" s="7637" t="n"/>
      <c r="R315" s="7637" t="n"/>
      <c r="S315" s="7638" t="n"/>
      <c r="T315" s="4772" t="n"/>
      <c r="W315" s="7636" t="n"/>
      <c r="X315" s="3614" t="n"/>
      <c r="Y315" s="7637" t="n"/>
      <c r="Z315" s="7637" t="n"/>
      <c r="AA315" s="7637" t="n"/>
      <c r="AB315" s="7637" t="n"/>
      <c r="AC315" s="7637" t="n"/>
      <c r="AD315" s="7637" t="n"/>
      <c r="AE315" s="7637" t="n"/>
      <c r="AF315" s="7637" t="n"/>
      <c r="AG315" s="7637" t="n"/>
      <c r="AH315" s="7638" t="n"/>
      <c r="AI315" s="4772" t="n"/>
      <c r="AL315" s="7636" t="n"/>
      <c r="AM315" s="4772" t="n"/>
      <c r="AP315" s="1277" t="n"/>
      <c r="AQ315" s="11602" t="n"/>
      <c r="AR315" s="11602" t="n"/>
      <c r="AS315" s="11602" t="n"/>
      <c r="AT315" s="11602" t="n"/>
      <c r="AU315" s="11602" t="n"/>
      <c r="AV315" s="11602" t="n"/>
      <c r="AW315" s="11602" t="n"/>
      <c r="AX315" s="769" t="n"/>
      <c r="AY315" s="964" t="n"/>
      <c r="AZ315" s="964" t="n"/>
      <c r="BA315" s="964" t="n"/>
      <c r="BB315" s="964" t="n"/>
      <c r="BC315" s="964" t="n"/>
      <c r="BD315" s="964" t="n"/>
      <c r="BE315" s="964" t="n"/>
      <c r="BF315" s="964" t="n"/>
      <c r="BG315" s="964" t="n"/>
      <c r="BH315" s="964" t="n"/>
    </row>
    <row r="316" ht="11.25" customHeight="1" s="7635">
      <c r="A316" s="2112" t="n"/>
      <c r="B316" s="4178" t="n"/>
      <c r="C316" s="12246">
        <f>C195</f>
        <v/>
      </c>
      <c r="D316" s="7839" t="n"/>
      <c r="E316" s="7839" t="n"/>
      <c r="F316" s="7839" t="n"/>
      <c r="G316" s="10091" t="n"/>
      <c r="H316" s="9854" t="inlineStr">
        <is>
          <t>(m)
Dividends</t>
        </is>
      </c>
      <c r="I316" s="7839" t="n"/>
      <c r="J316" s="7839" t="n"/>
      <c r="K316" s="9854" t="inlineStr">
        <is>
          <t>(n) Rents
and royalties</t>
        </is>
      </c>
      <c r="L316" s="7839" t="n"/>
      <c r="M316" s="7839" t="n"/>
      <c r="N316" s="7839" t="n"/>
      <c r="O316" s="8426" t="inlineStr">
        <is>
          <t>(o) Interest</t>
        </is>
      </c>
      <c r="P316" s="7839" t="n"/>
      <c r="Q316" s="7839" t="n"/>
      <c r="R316" s="7839" t="n"/>
      <c r="S316" s="10091" t="n"/>
      <c r="T316" s="4772" t="n"/>
      <c r="W316" s="7636" t="n"/>
      <c r="X316" s="9854" t="inlineStr">
        <is>
          <t>(q) Dividends</t>
        </is>
      </c>
      <c r="Y316" s="7839" t="n"/>
      <c r="Z316" s="7839" t="n"/>
      <c r="AA316" s="9854" t="inlineStr">
        <is>
          <t>(r) Rents
and royalties</t>
        </is>
      </c>
      <c r="AB316" s="7839" t="n"/>
      <c r="AC316" s="7839" t="n"/>
      <c r="AD316" s="7839" t="n"/>
      <c r="AE316" s="12122" t="inlineStr">
        <is>
          <t>(s) Interest</t>
        </is>
      </c>
      <c r="AF316" s="7839" t="n"/>
      <c r="AG316" s="7839" t="n"/>
      <c r="AH316" s="10091" t="n"/>
      <c r="AI316" s="4772" t="n"/>
      <c r="AL316" s="7636" t="n"/>
      <c r="AM316" s="4772" t="n"/>
      <c r="AP316" s="1277" t="n"/>
      <c r="AQ316" s="11602" t="n"/>
      <c r="AR316" s="11602" t="n"/>
      <c r="AS316" s="11602" t="n"/>
      <c r="AT316" s="11602" t="n"/>
      <c r="AU316" s="11602" t="n"/>
      <c r="AV316" s="11602" t="n"/>
      <c r="AW316" s="11602" t="n"/>
      <c r="AX316" s="769" t="n"/>
      <c r="AY316" s="964" t="n"/>
      <c r="AZ316" s="964" t="n"/>
      <c r="BA316" s="964" t="n"/>
      <c r="BB316" s="964" t="n"/>
      <c r="BC316" s="964" t="n"/>
      <c r="BD316" s="964" t="n"/>
      <c r="BE316" s="964" t="n"/>
      <c r="BF316" s="964" t="n"/>
      <c r="BG316" s="964" t="n"/>
      <c r="BH316" s="964" t="n"/>
    </row>
    <row r="317" ht="6.75" customHeight="1" s="7635">
      <c r="A317" s="2112" t="n"/>
      <c r="B317" s="4178" t="n"/>
      <c r="C317" s="4772" t="n"/>
      <c r="G317" s="7636" t="n"/>
      <c r="H317" s="4772" t="n"/>
      <c r="K317" s="4772" t="n"/>
      <c r="O317" s="4772" t="n"/>
      <c r="S317" s="7636" t="n"/>
      <c r="T317" s="4772" t="n"/>
      <c r="W317" s="7636" t="n"/>
      <c r="X317" s="4772" t="n"/>
      <c r="AA317" s="4772" t="n"/>
      <c r="AE317" s="4772" t="n"/>
      <c r="AH317" s="7636" t="n"/>
      <c r="AI317" s="4772" t="n"/>
      <c r="AL317" s="7636" t="n"/>
      <c r="AM317" s="4772" t="n"/>
      <c r="AP317" s="1277" t="n"/>
      <c r="AQ317" s="11602" t="n"/>
      <c r="AR317" s="11602" t="n"/>
      <c r="AS317" s="11602" t="n"/>
      <c r="AT317" s="11602" t="n"/>
      <c r="AU317" s="11602" t="n"/>
      <c r="AV317" s="11602" t="n"/>
      <c r="AW317" s="11602" t="n"/>
      <c r="AX317" s="769" t="n"/>
      <c r="AY317" s="964" t="n"/>
      <c r="AZ317" s="964" t="n"/>
      <c r="BA317" s="964" t="n"/>
      <c r="BB317" s="964" t="n"/>
      <c r="BC317" s="964" t="n"/>
      <c r="BD317" s="964" t="n"/>
      <c r="BE317" s="964" t="n"/>
      <c r="BF317" s="964" t="n"/>
      <c r="BG317" s="964" t="n"/>
      <c r="BH317" s="964" t="n"/>
    </row>
    <row r="318" ht="12" customHeight="1" s="7635">
      <c r="A318" s="2112" t="n"/>
      <c r="B318" s="4178" t="n"/>
      <c r="C318" s="12247" t="inlineStr">
        <is>
          <t>or accrued</t>
        </is>
      </c>
      <c r="G318" s="7636" t="n"/>
      <c r="H318" s="4772" t="n"/>
      <c r="K318" s="4772" t="n"/>
      <c r="O318" s="4772" t="n"/>
      <c r="S318" s="7636" t="n"/>
      <c r="T318" s="4772" t="n"/>
      <c r="W318" s="7636" t="n"/>
      <c r="X318" s="4772" t="n"/>
      <c r="AA318" s="4772" t="n"/>
      <c r="AE318" s="4772" t="n"/>
      <c r="AH318" s="7636" t="n"/>
      <c r="AI318" s="4772" t="n"/>
      <c r="AL318" s="7636" t="n"/>
      <c r="AM318" s="4772" t="n"/>
      <c r="AP318" s="1277" t="n"/>
      <c r="AQ318" s="11602" t="n"/>
      <c r="AR318" s="11602" t="n"/>
      <c r="AS318" s="11602" t="n"/>
      <c r="AT318" s="11602" t="n"/>
      <c r="AU318" s="11602" t="n"/>
      <c r="AV318" s="11602" t="n"/>
      <c r="AW318" s="11602" t="n"/>
      <c r="AX318" s="769" t="n"/>
      <c r="AY318" s="964" t="n"/>
      <c r="AZ318" s="964" t="n"/>
      <c r="BA318" s="964" t="n"/>
      <c r="BB318" s="964" t="n"/>
      <c r="BC318" s="964" t="n"/>
      <c r="BD318" s="964" t="n"/>
      <c r="BE318" s="964" t="n"/>
      <c r="BF318" s="964" t="n"/>
      <c r="BG318" s="964" t="n"/>
      <c r="BH318" s="964" t="n"/>
    </row>
    <row r="319" ht="6.75" customHeight="1" s="7635">
      <c r="A319" s="2112" t="n"/>
      <c r="B319" s="4180" t="n"/>
      <c r="C319" s="4181" t="n"/>
      <c r="D319" s="462" t="n"/>
      <c r="E319" s="462" t="n"/>
      <c r="F319" s="462" t="n"/>
      <c r="G319" s="4182" t="n"/>
      <c r="H319" s="3614" t="n"/>
      <c r="I319" s="7637" t="n"/>
      <c r="J319" s="7637" t="n"/>
      <c r="K319" s="3614" t="n"/>
      <c r="L319" s="7637" t="n"/>
      <c r="M319" s="7637" t="n"/>
      <c r="N319" s="7637" t="n"/>
      <c r="O319" s="12248" t="n"/>
      <c r="P319" s="7637" t="n"/>
      <c r="Q319" s="7637" t="n"/>
      <c r="R319" s="7637" t="n"/>
      <c r="S319" s="7638" t="n"/>
      <c r="T319" s="3614" t="n"/>
      <c r="U319" s="7637" t="n"/>
      <c r="V319" s="7637" t="n"/>
      <c r="W319" s="7638" t="n"/>
      <c r="X319" s="3614" t="n"/>
      <c r="Y319" s="7637" t="n"/>
      <c r="Z319" s="7637" t="n"/>
      <c r="AA319" s="3614" t="n"/>
      <c r="AB319" s="7637" t="n"/>
      <c r="AC319" s="7637" t="n"/>
      <c r="AD319" s="7637" t="n"/>
      <c r="AE319" s="3614" t="n"/>
      <c r="AF319" s="7637" t="n"/>
      <c r="AG319" s="7637" t="n"/>
      <c r="AH319" s="7638" t="n"/>
      <c r="AI319" s="3614" t="n"/>
      <c r="AJ319" s="7637" t="n"/>
      <c r="AK319" s="7637" t="n"/>
      <c r="AL319" s="7638" t="n"/>
      <c r="AM319" s="3614" t="n"/>
      <c r="AN319" s="7637" t="n"/>
      <c r="AO319" s="7637" t="n"/>
      <c r="AP319" s="1277" t="n"/>
      <c r="AQ319" s="11602" t="n"/>
      <c r="AR319" s="11602" t="n"/>
      <c r="AS319" s="11602" t="n"/>
      <c r="AT319" s="11602" t="n"/>
      <c r="AU319" s="11602" t="n"/>
      <c r="AV319" s="11602" t="n"/>
      <c r="AW319" s="11602" t="n"/>
      <c r="AX319" s="769" t="n"/>
      <c r="AY319" s="964" t="n"/>
      <c r="AZ319" s="964" t="n"/>
      <c r="BA319" s="964" t="n"/>
      <c r="BB319" s="964" t="n"/>
      <c r="BC319" s="964" t="n"/>
      <c r="BD319" s="964" t="n"/>
      <c r="BE319" s="964" t="n"/>
      <c r="BF319" s="964" t="n"/>
      <c r="BG319" s="964" t="n"/>
      <c r="BH319" s="964" t="n"/>
    </row>
    <row r="320" ht="15.75" customHeight="1" s="7635">
      <c r="A320" s="4183">
        <f>SUM(X320:AL320)</f>
        <v/>
      </c>
      <c r="B320" s="4184" t="inlineStr">
        <is>
          <t>A</t>
        </is>
      </c>
      <c r="C320" s="9037" t="n"/>
      <c r="D320" s="8007" t="n"/>
      <c r="E320" s="8007" t="n"/>
      <c r="F320" s="8007" t="n"/>
      <c r="G320" s="8007" t="n"/>
      <c r="H320" s="12249" t="n"/>
      <c r="I320" s="8007" t="n"/>
      <c r="J320" s="8008" t="n"/>
      <c r="K320" s="8985" t="n"/>
      <c r="L320" s="8007" t="n"/>
      <c r="M320" s="8007" t="n"/>
      <c r="N320" s="8007" t="n"/>
      <c r="O320" s="12249" t="n"/>
      <c r="P320" s="8007" t="n"/>
      <c r="Q320" s="8007" t="n"/>
      <c r="R320" s="8007" t="n"/>
      <c r="S320" s="8008" t="n"/>
      <c r="T320" s="12249" t="n"/>
      <c r="U320" s="8007" t="n"/>
      <c r="V320" s="8007" t="n"/>
      <c r="W320" s="8008" t="n"/>
      <c r="X320" s="12249" t="n"/>
      <c r="Y320" s="8007" t="n"/>
      <c r="Z320" s="8008" t="n"/>
      <c r="AA320" s="8986" t="n"/>
      <c r="AB320" s="8007" t="n"/>
      <c r="AC320" s="8007" t="n"/>
      <c r="AD320" s="8008" t="n"/>
      <c r="AE320" s="12249" t="n"/>
      <c r="AF320" s="8007" t="n"/>
      <c r="AG320" s="8007" t="n"/>
      <c r="AH320" s="8008" t="n"/>
      <c r="AI320" s="12249" t="n"/>
      <c r="AJ320" s="8007" t="n"/>
      <c r="AK320" s="8007" t="n"/>
      <c r="AL320" s="8008" t="n"/>
      <c r="AM320" s="8987">
        <f>ROUND(SUM(X320:AL320),0)</f>
        <v/>
      </c>
      <c r="AN320" s="8412" t="n"/>
      <c r="AO320" s="8412" t="n"/>
      <c r="AP320" s="1277" t="n"/>
      <c r="AQ320" s="11602" t="n"/>
      <c r="AR320" s="11602" t="n"/>
      <c r="AS320" s="11602" t="n"/>
      <c r="AT320" s="11602" t="n"/>
      <c r="AU320" s="11602" t="n"/>
      <c r="AV320" s="11602" t="n"/>
      <c r="AW320" s="11602" t="n"/>
      <c r="AX320" s="769" t="n"/>
      <c r="AY320" s="964" t="n"/>
      <c r="AZ320" s="964" t="n"/>
      <c r="BA320" s="964" t="n"/>
      <c r="BB320" s="964" t="n"/>
      <c r="BC320" s="964" t="n"/>
      <c r="BD320" s="964" t="n"/>
      <c r="BE320" s="964" t="n"/>
      <c r="BF320" s="964" t="n"/>
      <c r="BG320" s="964" t="n"/>
      <c r="BH320" s="964" t="n"/>
    </row>
    <row r="321" ht="15.75" customHeight="1" s="7635">
      <c r="A321" s="4183">
        <f>SUM(X321:AL321)</f>
        <v/>
      </c>
      <c r="B321" s="4184" t="inlineStr">
        <is>
          <t>B</t>
        </is>
      </c>
      <c r="C321" s="9037" t="n"/>
      <c r="D321" s="8007" t="n"/>
      <c r="E321" s="8007" t="n"/>
      <c r="F321" s="8007" t="n"/>
      <c r="G321" s="8007" t="n"/>
      <c r="H321" s="12249" t="n"/>
      <c r="I321" s="8007" t="n"/>
      <c r="J321" s="8008" t="n"/>
      <c r="K321" s="8985" t="n"/>
      <c r="L321" s="8007" t="n"/>
      <c r="M321" s="8007" t="n"/>
      <c r="N321" s="8007" t="n"/>
      <c r="O321" s="12249" t="n"/>
      <c r="P321" s="8007" t="n"/>
      <c r="Q321" s="8007" t="n"/>
      <c r="R321" s="8007" t="n"/>
      <c r="S321" s="8008" t="n"/>
      <c r="T321" s="12249" t="n"/>
      <c r="U321" s="8007" t="n"/>
      <c r="V321" s="8007" t="n"/>
      <c r="W321" s="8008" t="n"/>
      <c r="X321" s="12249" t="n"/>
      <c r="Y321" s="8007" t="n"/>
      <c r="Z321" s="8008" t="n"/>
      <c r="AA321" s="8986" t="n"/>
      <c r="AB321" s="8007" t="n"/>
      <c r="AC321" s="8007" t="n"/>
      <c r="AD321" s="8008" t="n"/>
      <c r="AE321" s="12249" t="n"/>
      <c r="AF321" s="8007" t="n"/>
      <c r="AG321" s="8007" t="n"/>
      <c r="AH321" s="8008" t="n"/>
      <c r="AI321" s="12249" t="n"/>
      <c r="AJ321" s="8007" t="n"/>
      <c r="AK321" s="8007" t="n"/>
      <c r="AL321" s="8008" t="n"/>
      <c r="AM321" s="8987">
        <f>ROUND(SUM(X321:AL321),0)</f>
        <v/>
      </c>
      <c r="AN321" s="8412" t="n"/>
      <c r="AO321" s="8412" t="n"/>
      <c r="AP321" s="1277" t="n"/>
      <c r="AQ321" s="11602" t="n"/>
      <c r="AR321" s="11602" t="n"/>
      <c r="AS321" s="11602" t="n"/>
      <c r="AT321" s="11602" t="n"/>
      <c r="AU321" s="11602" t="n"/>
      <c r="AV321" s="11602" t="n"/>
      <c r="AW321" s="11602" t="n"/>
      <c r="AX321" s="769" t="n"/>
      <c r="AY321" s="964" t="n"/>
      <c r="AZ321" s="964" t="n"/>
      <c r="BA321" s="964" t="n"/>
      <c r="BB321" s="964" t="n"/>
      <c r="BC321" s="964" t="n"/>
      <c r="BD321" s="964" t="n"/>
      <c r="BE321" s="964" t="n"/>
      <c r="BF321" s="964" t="n"/>
      <c r="BG321" s="964" t="n"/>
      <c r="BH321" s="964" t="n"/>
    </row>
    <row r="322" ht="18" customHeight="1" s="7635">
      <c r="A322" s="4183">
        <f>SUM(X322:AL322)</f>
        <v/>
      </c>
      <c r="B322" s="4184" t="inlineStr">
        <is>
          <t>C</t>
        </is>
      </c>
      <c r="C322" s="9037" t="n"/>
      <c r="D322" s="8007" t="n"/>
      <c r="E322" s="8007" t="n"/>
      <c r="F322" s="8007" t="n"/>
      <c r="G322" s="8007" t="n"/>
      <c r="H322" s="12249" t="n"/>
      <c r="I322" s="8007" t="n"/>
      <c r="J322" s="8008" t="n"/>
      <c r="K322" s="8985" t="n"/>
      <c r="L322" s="8007" t="n"/>
      <c r="M322" s="8007" t="n"/>
      <c r="N322" s="8007" t="n"/>
      <c r="O322" s="12249" t="n"/>
      <c r="P322" s="8007" t="n"/>
      <c r="Q322" s="8007" t="n"/>
      <c r="R322" s="8007" t="n"/>
      <c r="S322" s="8008" t="n"/>
      <c r="T322" s="12249" t="n"/>
      <c r="U322" s="8007" t="n"/>
      <c r="V322" s="8007" t="n"/>
      <c r="W322" s="8008" t="n"/>
      <c r="X322" s="12249" t="n"/>
      <c r="Y322" s="8007" t="n"/>
      <c r="Z322" s="8008" t="n"/>
      <c r="AA322" s="8986" t="n"/>
      <c r="AB322" s="8007" t="n"/>
      <c r="AC322" s="8007" t="n"/>
      <c r="AD322" s="8008" t="n"/>
      <c r="AE322" s="12249" t="n"/>
      <c r="AF322" s="8007" t="n"/>
      <c r="AG322" s="8007" t="n"/>
      <c r="AH322" s="8008" t="n"/>
      <c r="AI322" s="12249" t="n"/>
      <c r="AJ322" s="8007" t="n"/>
      <c r="AK322" s="8007" t="n"/>
      <c r="AL322" s="8008" t="n"/>
      <c r="AM322" s="8987">
        <f>ROUND(SUM(X322:AL322),0)</f>
        <v/>
      </c>
      <c r="AN322" s="8412" t="n"/>
      <c r="AO322" s="8412" t="n"/>
      <c r="AP322" s="1277" t="n"/>
      <c r="AQ322" s="1277" t="n"/>
      <c r="AR322" s="1277" t="n"/>
      <c r="AS322" s="1277" t="n"/>
      <c r="AT322" s="1277" t="n"/>
      <c r="AU322" s="1277" t="n"/>
      <c r="AV322" s="11602" t="n"/>
      <c r="AW322" s="11602" t="n"/>
      <c r="AX322" s="769" t="n"/>
      <c r="AY322" s="964" t="n"/>
      <c r="AZ322" s="964" t="n"/>
      <c r="BA322" s="964" t="n"/>
      <c r="BB322" s="964" t="n"/>
      <c r="BC322" s="964" t="n"/>
      <c r="BD322" s="964" t="n"/>
      <c r="BE322" s="964" t="n"/>
      <c r="BF322" s="964" t="n"/>
      <c r="BG322" s="964" t="n"/>
      <c r="BH322" s="964" t="n"/>
    </row>
    <row r="323" ht="16.5" customFormat="1" customHeight="1" s="1405">
      <c r="A323" s="4185">
        <f>SUM(A320:A322)&gt;0</f>
        <v/>
      </c>
      <c r="B323" s="9095" t="n">
        <v>8</v>
      </c>
      <c r="C323" s="8412" t="n"/>
      <c r="D323" s="4186" t="inlineStr">
        <is>
          <t>Add lines A through C, column (u). Enter the total here and on line 9, page 2</t>
        </is>
      </c>
      <c r="E323" s="773" t="n"/>
      <c r="F323" s="773" t="n"/>
      <c r="G323" s="773" t="n"/>
      <c r="H323" s="773" t="n"/>
      <c r="I323" s="773" t="n"/>
      <c r="J323" s="773" t="n"/>
      <c r="K323" s="773" t="n"/>
      <c r="L323" s="773" t="n"/>
      <c r="M323" s="773" t="n"/>
      <c r="N323" s="773" t="n"/>
      <c r="O323" s="773" t="n"/>
      <c r="P323" s="773" t="n"/>
      <c r="Q323" s="773" t="n"/>
      <c r="R323" s="773" t="n"/>
      <c r="S323" s="773" t="n"/>
      <c r="T323" s="773" t="n"/>
      <c r="U323" s="773" t="n"/>
      <c r="V323" s="773" t="n"/>
      <c r="W323" s="773" t="n"/>
      <c r="X323" s="773" t="n"/>
      <c r="Y323" s="773" t="n"/>
      <c r="Z323" s="773" t="n"/>
      <c r="AA323" s="773" t="n"/>
      <c r="AB323" s="773" t="n"/>
      <c r="AC323" s="773" t="n"/>
      <c r="AD323" s="773" t="n"/>
      <c r="AE323" s="773" t="n"/>
      <c r="AF323" s="773" t="n"/>
      <c r="AG323" s="773" t="n"/>
      <c r="AH323" s="773" t="n"/>
      <c r="AI323" s="773" t="n"/>
      <c r="AJ323" s="4187" t="inlineStr">
        <is>
          <t xml:space="preserve">.   .   .   .   .   .   .   .   .  </t>
        </is>
      </c>
      <c r="AK323" s="12110" t="n">
        <v>8</v>
      </c>
      <c r="AL323" s="11734" t="n"/>
      <c r="AM323" s="9071">
        <f>IF(AQ323&lt;&gt;"",ROUND(AQ323,0),ROUND(SUM(AM320:AO322),0))</f>
        <v/>
      </c>
      <c r="AN323" s="8412" t="n"/>
      <c r="AO323" s="8412" t="n"/>
      <c r="AP323" s="1277" t="n"/>
      <c r="AQ323" s="8959" t="n"/>
      <c r="AR323" s="11717" t="n"/>
      <c r="AS323" s="11717" t="n"/>
      <c r="AT323" s="11717" t="n"/>
      <c r="AU323" s="1277" t="n"/>
      <c r="AV323" s="11602" t="n"/>
      <c r="AW323" s="11602" t="n"/>
      <c r="AX323" s="769" t="n"/>
      <c r="AY323" s="964" t="n"/>
      <c r="AZ323" s="964" t="n"/>
      <c r="BA323" s="964" t="n"/>
      <c r="BB323" s="964" t="n"/>
      <c r="BC323" s="964" t="n"/>
      <c r="BD323" s="964" t="n"/>
      <c r="BE323" s="964" t="n"/>
      <c r="BF323" s="964" t="n"/>
      <c r="BG323" s="964" t="n"/>
      <c r="BH323" s="964" t="n"/>
    </row>
    <row r="324" ht="15.75" customHeight="1" s="7635">
      <c r="A324" s="2112" t="n"/>
      <c r="B324" s="1218" t="inlineStr">
        <is>
          <t>For Paperwork Reduction Act Notice, see instructions.</t>
        </is>
      </c>
      <c r="C324" s="2373" t="n"/>
      <c r="D324" s="11602" t="n"/>
      <c r="E324" s="11602" t="n"/>
      <c r="F324" s="11602" t="n"/>
      <c r="G324" s="11602" t="n"/>
      <c r="H324" s="11602" t="n"/>
      <c r="I324" s="11602" t="n"/>
      <c r="J324" s="11602" t="n"/>
      <c r="K324" s="11602" t="n"/>
      <c r="L324" s="11602" t="n"/>
      <c r="M324" s="11602" t="n"/>
      <c r="N324" s="11602" t="n"/>
      <c r="O324" s="11602" t="n"/>
      <c r="P324" s="11602" t="n"/>
      <c r="Q324" s="11602" t="n"/>
      <c r="R324" s="11602" t="n"/>
      <c r="S324" s="11602" t="n"/>
      <c r="T324" s="11602" t="n"/>
      <c r="U324" s="11602" t="n"/>
      <c r="V324" s="11602" t="n"/>
      <c r="W324" s="11602" t="n"/>
      <c r="X324" s="344" t="inlineStr">
        <is>
          <t>Cat. No. 11440U</t>
        </is>
      </c>
      <c r="Y324" s="11602" t="n"/>
      <c r="Z324" s="11602" t="n"/>
      <c r="AA324" s="11602" t="n"/>
      <c r="AB324" s="11602" t="n"/>
      <c r="AC324" s="11602" t="n"/>
      <c r="AD324" s="11602" t="n"/>
      <c r="AE324" s="11602" t="n"/>
      <c r="AF324" s="11602" t="n"/>
      <c r="AG324" s="11602" t="n"/>
      <c r="AH324" s="11602" t="n"/>
      <c r="AI324" s="11602" t="n"/>
      <c r="AJ324" s="11602" t="n"/>
      <c r="AK324" s="1061" t="inlineStr">
        <is>
          <t>Form 1116</t>
        </is>
      </c>
      <c r="AL324" s="11602" t="n"/>
      <c r="AM324" s="6996">
        <f>"("&amp;TaxYear&amp;")"</f>
        <v/>
      </c>
      <c r="AN324" s="1061" t="n"/>
      <c r="AO324" s="689" t="inlineStr">
        <is>
          <t xml:space="preserve">Created 9/16/25 </t>
        </is>
      </c>
      <c r="AP324" s="1277" t="n"/>
      <c r="AQ324" s="1277" t="n"/>
      <c r="AR324" s="1277" t="n"/>
      <c r="AS324" s="1277" t="n"/>
      <c r="AT324" s="1277" t="n"/>
      <c r="AU324" s="1277" t="n"/>
      <c r="AV324" s="11602" t="n"/>
      <c r="AW324" s="11602" t="n"/>
      <c r="AX324" s="769" t="n"/>
      <c r="AY324" s="964" t="n"/>
      <c r="AZ324" s="964" t="n"/>
      <c r="BA324" s="964" t="n"/>
      <c r="BB324" s="964" t="n"/>
      <c r="BC324" s="964" t="n"/>
      <c r="BD324" s="964" t="n"/>
      <c r="BE324" s="964" t="n"/>
      <c r="BF324" s="964" t="n"/>
      <c r="BG324" s="964" t="n"/>
      <c r="BH324" s="964" t="n"/>
    </row>
    <row r="325" ht="14.25" customHeight="1" s="7635" thickBot="1">
      <c r="A325" s="2112" t="n"/>
      <c r="B325" s="344">
        <f>"Form 1116 ("&amp;TaxYear&amp;")"</f>
        <v/>
      </c>
      <c r="C325" s="11602" t="n"/>
      <c r="D325" s="11602" t="n"/>
      <c r="E325" s="11602" t="n"/>
      <c r="F325" s="11602" t="n"/>
      <c r="G325" s="11602" t="n"/>
      <c r="H325" s="11602" t="n"/>
      <c r="I325" s="11602" t="n"/>
      <c r="J325" s="11602" t="n"/>
      <c r="K325" s="11602" t="n"/>
      <c r="L325" s="11602" t="n"/>
      <c r="M325" s="11602" t="n"/>
      <c r="N325" s="11602" t="n"/>
      <c r="O325" s="11602" t="n"/>
      <c r="P325" s="11602" t="n"/>
      <c r="Q325" s="11602" t="n"/>
      <c r="R325" s="11602" t="n"/>
      <c r="S325" s="11602" t="n"/>
      <c r="T325" s="11602" t="n"/>
      <c r="U325" s="11602" t="n"/>
      <c r="V325" s="11602" t="n"/>
      <c r="W325" s="11602" t="n"/>
      <c r="X325" s="11602" t="n"/>
      <c r="Y325" s="11602" t="n"/>
      <c r="Z325" s="11602" t="n"/>
      <c r="AA325" s="11602" t="n"/>
      <c r="AB325" s="11602" t="n"/>
      <c r="AC325" s="11602" t="n"/>
      <c r="AD325" s="11602" t="n"/>
      <c r="AE325" s="11602" t="n"/>
      <c r="AF325" s="11602" t="n"/>
      <c r="AG325" s="11602" t="n"/>
      <c r="AH325" s="11602" t="n"/>
      <c r="AI325" s="11602" t="n"/>
      <c r="AJ325" s="11602" t="n"/>
      <c r="AK325" s="11602" t="n"/>
      <c r="AL325" s="11602" t="n"/>
      <c r="AM325" s="11602" t="n"/>
      <c r="AN325" s="11602" t="n"/>
      <c r="AO325" s="1061" t="inlineStr">
        <is>
          <t>Page 2</t>
        </is>
      </c>
      <c r="AP325" s="1277" t="n"/>
      <c r="AQ325" s="11602" t="n"/>
      <c r="AR325" s="11602" t="n"/>
      <c r="AS325" s="11602" t="n"/>
      <c r="AT325" s="11602" t="n"/>
      <c r="AU325" s="11602" t="n"/>
      <c r="AV325" s="11602" t="n"/>
      <c r="AW325" s="11602" t="n"/>
      <c r="AX325" s="769" t="n"/>
      <c r="AY325" s="964" t="n"/>
      <c r="AZ325" s="964" t="n"/>
      <c r="BA325" s="964" t="n"/>
      <c r="BB325" s="964" t="n"/>
      <c r="BC325" s="964" t="n"/>
      <c r="BD325" s="964" t="n"/>
      <c r="BE325" s="964" t="n"/>
      <c r="BF325" s="964" t="n"/>
      <c r="BG325" s="964" t="n"/>
      <c r="BH325" s="964" t="n"/>
    </row>
    <row r="326" ht="16.5" customHeight="1" s="7635" thickTop="1">
      <c r="A326" s="4157" t="n"/>
      <c r="B326" s="9078" t="inlineStr">
        <is>
          <t>Part III</t>
        </is>
      </c>
      <c r="C326" s="11713" t="n"/>
      <c r="D326" s="11713" t="n"/>
      <c r="E326" s="4211" t="n"/>
      <c r="F326" s="4212" t="inlineStr">
        <is>
          <t>Figuring the Credit</t>
        </is>
      </c>
      <c r="G326" s="4211" t="n"/>
      <c r="H326" s="4211" t="n"/>
      <c r="I326" s="4211" t="n"/>
      <c r="J326" s="4211" t="n"/>
      <c r="K326" s="4211" t="n"/>
      <c r="L326" s="4211" t="n"/>
      <c r="M326" s="4211" t="n"/>
      <c r="N326" s="4211" t="n"/>
      <c r="O326" s="4211" t="n"/>
      <c r="P326" s="4211" t="n"/>
      <c r="Q326" s="4211" t="n"/>
      <c r="R326" s="4211" t="n"/>
      <c r="S326" s="4211" t="n"/>
      <c r="T326" s="4211" t="n"/>
      <c r="U326" s="4211" t="n"/>
      <c r="V326" s="4211" t="n"/>
      <c r="W326" s="4211" t="n"/>
      <c r="X326" s="4211" t="n"/>
      <c r="Y326" s="4211" t="n"/>
      <c r="Z326" s="4211" t="n"/>
      <c r="AA326" s="4211" t="n"/>
      <c r="AB326" s="4211" t="n"/>
      <c r="AC326" s="4211" t="n"/>
      <c r="AD326" s="4211" t="n"/>
      <c r="AE326" s="4211" t="n"/>
      <c r="AF326" s="4211" t="n"/>
      <c r="AG326" s="4211" t="n"/>
      <c r="AH326" s="4211" t="n"/>
      <c r="AI326" s="4211" t="n"/>
      <c r="AJ326" s="4211" t="n"/>
      <c r="AK326" s="4211" t="n"/>
      <c r="AL326" s="4211" t="n"/>
      <c r="AM326" s="4211" t="n"/>
      <c r="AN326" s="4211" t="n"/>
      <c r="AO326" s="4211" t="n"/>
      <c r="AP326" s="1277" t="n"/>
      <c r="AQ326" s="7772" t="n"/>
      <c r="AR326" s="7772" t="n"/>
      <c r="AS326" s="7772" t="n"/>
      <c r="AT326" s="7772" t="n"/>
      <c r="AU326" s="7772" t="n"/>
      <c r="AV326" s="7772" t="n"/>
      <c r="AW326" s="7772" t="n"/>
      <c r="AX326" s="769" t="n"/>
      <c r="AY326" s="964" t="n"/>
      <c r="AZ326" s="964" t="n"/>
      <c r="BA326" s="964" t="n"/>
      <c r="BB326" s="964" t="n"/>
      <c r="BC326" s="964" t="n"/>
      <c r="BD326" s="964" t="n"/>
      <c r="BE326" s="964" t="n"/>
      <c r="BF326" s="964" t="n"/>
      <c r="BG326" s="964" t="n"/>
      <c r="BH326" s="964" t="n"/>
    </row>
    <row r="327" ht="13.5" customHeight="1" s="7635">
      <c r="A327" s="2112" t="n"/>
      <c r="B327" s="9080" t="n">
        <v>9</v>
      </c>
      <c r="C327" s="7839" t="n"/>
      <c r="D327" s="11602" t="inlineStr">
        <is>
          <t>Enter the amount from line 8. These are your total foreign taxes paid</t>
        </is>
      </c>
      <c r="E327" s="11602" t="n"/>
      <c r="F327" s="8650" t="n"/>
      <c r="G327" s="11602" t="n"/>
      <c r="H327" s="11602" t="n"/>
      <c r="I327" s="11602" t="n"/>
      <c r="J327" s="11602" t="n"/>
      <c r="K327" s="11602" t="n"/>
      <c r="L327" s="11602" t="n"/>
      <c r="M327" s="11602" t="n"/>
      <c r="N327" s="11602" t="n"/>
      <c r="O327" s="11602" t="n"/>
      <c r="P327" s="11602" t="n"/>
      <c r="Q327" s="11602" t="n"/>
      <c r="R327" s="11602" t="n"/>
      <c r="S327" s="11602" t="n"/>
      <c r="T327" s="11602" t="n"/>
      <c r="U327" s="11602" t="n"/>
      <c r="V327" s="11602" t="n"/>
      <c r="W327" s="11602" t="n"/>
      <c r="X327" s="11602" t="n"/>
      <c r="Y327" s="11602" t="n"/>
      <c r="Z327" s="2898" t="n"/>
      <c r="AA327" s="10091" t="n"/>
      <c r="AB327" s="405" t="n"/>
      <c r="AC327" s="406" t="n"/>
      <c r="AD327" s="406" t="n"/>
      <c r="AE327" s="406" t="n"/>
      <c r="AF327" s="406" t="n"/>
      <c r="AG327" s="406" t="n"/>
      <c r="AH327" s="406" t="n"/>
      <c r="AI327" s="407" t="n"/>
      <c r="AJ327" s="8967" t="n"/>
      <c r="AL327" s="405" t="n"/>
      <c r="AM327" s="406" t="n"/>
      <c r="AN327" s="406" t="n"/>
      <c r="AO327" s="406" t="n"/>
      <c r="AP327" s="1277" t="n"/>
      <c r="AQ327" s="11602" t="n"/>
      <c r="AR327" s="11602" t="n"/>
      <c r="AS327" s="11602" t="n"/>
      <c r="AT327" s="11602" t="n"/>
      <c r="AU327" s="11602" t="n"/>
      <c r="AV327" s="11602" t="n"/>
      <c r="AW327" s="11602" t="n"/>
      <c r="AX327" s="769" t="n"/>
      <c r="AY327" s="964" t="n"/>
      <c r="AZ327" s="964" t="n"/>
      <c r="BA327" s="964" t="n"/>
      <c r="BB327" s="964" t="n"/>
      <c r="BC327" s="964" t="n"/>
      <c r="BD327" s="964" t="n"/>
      <c r="BE327" s="964" t="n"/>
      <c r="BF327" s="964" t="n"/>
      <c r="BG327" s="964" t="n"/>
      <c r="BH327" s="964" t="n"/>
    </row>
    <row r="328" ht="13.5" customHeight="1" s="7635">
      <c r="A328" s="2112" t="n"/>
      <c r="B328" s="11602" t="n"/>
      <c r="C328" s="11602" t="n"/>
      <c r="D328" s="11602" t="inlineStr">
        <is>
          <t>or accrued for the category of income checked above Part I</t>
        </is>
      </c>
      <c r="E328" s="11602" t="n"/>
      <c r="F328" s="8650" t="n"/>
      <c r="G328" s="11602" t="n"/>
      <c r="H328" s="11602" t="n"/>
      <c r="I328" s="11602" t="n"/>
      <c r="J328" s="11602" t="n"/>
      <c r="K328" s="11602" t="n"/>
      <c r="L328" s="11602" t="n"/>
      <c r="M328" s="11602" t="n"/>
      <c r="N328" s="11602" t="n"/>
      <c r="O328" s="11602" t="n"/>
      <c r="P328" s="11602" t="n"/>
      <c r="Q328" s="11602" t="n"/>
      <c r="R328" s="11602" t="n"/>
      <c r="S328" s="11602" t="n"/>
      <c r="T328" s="11602" t="n"/>
      <c r="U328" s="11602" t="n"/>
      <c r="V328" s="11602" t="n"/>
      <c r="W328" s="11602" t="n"/>
      <c r="X328" s="11602" t="n"/>
      <c r="Y328" s="1401" t="inlineStr">
        <is>
          <t xml:space="preserve">.   .   .   .   .   .  </t>
        </is>
      </c>
      <c r="Z328" s="2895" t="n">
        <v>9</v>
      </c>
      <c r="AA328" s="7638" t="n"/>
      <c r="AB328" s="12250">
        <f>AM323</f>
        <v/>
      </c>
      <c r="AC328" s="7637" t="n"/>
      <c r="AD328" s="7637" t="n"/>
      <c r="AE328" s="7637" t="n"/>
      <c r="AF328" s="7637" t="n"/>
      <c r="AG328" s="7637" t="n"/>
      <c r="AH328" s="7637" t="n"/>
      <c r="AI328" s="7638" t="n"/>
      <c r="AJ328" s="8967" t="n"/>
      <c r="AL328" s="408" t="n"/>
      <c r="AM328" s="11602" t="n"/>
      <c r="AN328" s="11602" t="n"/>
      <c r="AO328" s="11602" t="n"/>
      <c r="AP328" s="1277" t="n"/>
      <c r="AQ328" s="11602" t="n"/>
      <c r="AR328" s="11602" t="n"/>
      <c r="AS328" s="11602" t="n"/>
      <c r="AT328" s="11602" t="n"/>
      <c r="AU328" s="11602" t="n"/>
      <c r="AV328" s="11602" t="n"/>
      <c r="AW328" s="11602" t="n"/>
      <c r="AX328" s="769" t="n"/>
      <c r="AY328" s="964" t="n"/>
      <c r="AZ328" s="964" t="n"/>
      <c r="BA328" s="964" t="n"/>
      <c r="BB328" s="964" t="n"/>
      <c r="BC328" s="964" t="n"/>
      <c r="BD328" s="964" t="n"/>
      <c r="BE328" s="964" t="n"/>
      <c r="BF328" s="964" t="n"/>
      <c r="BG328" s="964" t="n"/>
      <c r="BH328" s="964" t="n"/>
    </row>
    <row r="329" ht="13.5" customHeight="1" s="7635">
      <c r="A329" s="2112" t="n"/>
      <c r="B329" s="8966" t="n">
        <v>10</v>
      </c>
      <c r="D329" s="344" t="inlineStr">
        <is>
          <t>Enter the sum of any carryover of foreign taxes (from Schedule B,</t>
        </is>
      </c>
      <c r="E329" s="11602" t="n"/>
      <c r="F329" s="8650" t="n"/>
      <c r="G329" s="11602" t="n"/>
      <c r="H329" s="11602" t="n"/>
      <c r="I329" s="11602" t="n"/>
      <c r="J329" s="11602" t="n"/>
      <c r="K329" s="11602" t="n"/>
      <c r="L329" s="11602" t="n"/>
      <c r="M329" s="11602" t="n"/>
      <c r="N329" s="11602" t="n"/>
      <c r="O329" s="11602" t="n"/>
      <c r="P329" s="11602" t="n"/>
      <c r="Q329" s="11602" t="n"/>
      <c r="R329" s="11602" t="n"/>
      <c r="S329" s="11602" t="n"/>
      <c r="T329" s="11602" t="n"/>
      <c r="U329" s="11602" t="n"/>
      <c r="V329" s="11602" t="n"/>
      <c r="W329" s="11602" t="n"/>
      <c r="X329" s="11602" t="n"/>
      <c r="Y329" s="11602" t="n"/>
      <c r="Z329" s="2898" t="n"/>
      <c r="AA329" s="10091" t="n"/>
      <c r="AB329" s="405" t="n"/>
      <c r="AC329" s="406" t="n"/>
      <c r="AD329" s="406" t="n"/>
      <c r="AE329" s="406" t="n"/>
      <c r="AF329" s="406" t="n"/>
      <c r="AG329" s="406" t="n"/>
      <c r="AH329" s="406" t="n"/>
      <c r="AI329" s="407" t="n"/>
      <c r="AJ329" s="8967" t="n"/>
      <c r="AL329" s="408" t="n"/>
      <c r="AM329" s="11602" t="n"/>
      <c r="AN329" s="11602" t="n"/>
      <c r="AO329" s="11602" t="n"/>
      <c r="AP329" s="1277" t="n"/>
      <c r="AQ329" s="7772" t="n"/>
      <c r="AR329" s="7772" t="n"/>
      <c r="AS329" s="7772" t="n"/>
      <c r="AT329" s="7772" t="n"/>
      <c r="AU329" s="7772" t="n"/>
      <c r="AV329" s="11602" t="n"/>
      <c r="AW329" s="11602" t="n"/>
      <c r="AX329" s="769" t="n"/>
      <c r="AY329" s="964" t="n"/>
      <c r="AZ329" s="964" t="n"/>
      <c r="BA329" s="964" t="n"/>
      <c r="BB329" s="964" t="n"/>
      <c r="BC329" s="964" t="n"/>
      <c r="BD329" s="964" t="n"/>
      <c r="BE329" s="964" t="n"/>
      <c r="BF329" s="964" t="n"/>
      <c r="BG329" s="964" t="n"/>
      <c r="BH329" s="964" t="n"/>
    </row>
    <row r="330" ht="15" customHeight="1" s="7635">
      <c r="A330" s="2112" t="n"/>
      <c r="B330" s="8966" t="n"/>
      <c r="C330" s="8966" t="n"/>
      <c r="D330" s="344" t="inlineStr">
        <is>
          <t>line 3, column (xiv)) plus any carrybacks to the current tax year. If</t>
        </is>
      </c>
      <c r="E330" s="11602" t="n"/>
      <c r="F330" s="8650" t="n"/>
      <c r="G330" s="11602" t="n"/>
      <c r="H330" s="11602" t="n"/>
      <c r="I330" s="11602" t="n"/>
      <c r="J330" s="11602" t="n"/>
      <c r="K330" s="11602" t="n"/>
      <c r="L330" s="11602" t="n"/>
      <c r="M330" s="11602" t="n"/>
      <c r="N330" s="11602" t="n"/>
      <c r="O330" s="11602" t="n"/>
      <c r="P330" s="11602" t="n"/>
      <c r="Q330" s="11602" t="n"/>
      <c r="R330" s="11602" t="n"/>
      <c r="S330" s="11602" t="n"/>
      <c r="T330" s="11602" t="n"/>
      <c r="U330" s="11602" t="n"/>
      <c r="V330" s="11602" t="n"/>
      <c r="W330" s="11602" t="n"/>
      <c r="X330" s="11602" t="n"/>
      <c r="Y330" s="11602" t="n"/>
      <c r="Z330" s="8977" t="n"/>
      <c r="AA330" s="8978" t="n"/>
      <c r="AB330" s="408" t="n"/>
      <c r="AC330" s="11602" t="n"/>
      <c r="AD330" s="11602" t="n"/>
      <c r="AE330" s="11602" t="n"/>
      <c r="AF330" s="11602" t="n"/>
      <c r="AG330" s="11602" t="n"/>
      <c r="AH330" s="11602" t="n"/>
      <c r="AI330" s="409" t="n"/>
      <c r="AJ330" s="8967" t="n"/>
      <c r="AL330" s="408" t="n"/>
      <c r="AM330" s="11602" t="n"/>
      <c r="AN330" s="11602" t="n"/>
      <c r="AO330" s="11602" t="n"/>
      <c r="AP330" s="1277" t="n"/>
      <c r="AQ330" s="7772" t="n"/>
      <c r="AR330" s="7772" t="n"/>
      <c r="AS330" s="7772" t="n"/>
      <c r="AT330" s="7772" t="n"/>
      <c r="AU330" s="7772" t="n"/>
      <c r="AV330" s="11602" t="n"/>
      <c r="AW330" s="11602" t="n"/>
      <c r="AX330" s="769" t="n"/>
      <c r="AY330" s="964" t="n"/>
      <c r="AZ330" s="964" t="n"/>
      <c r="BA330" s="964" t="n"/>
      <c r="BB330" s="964" t="n"/>
      <c r="BC330" s="964" t="n"/>
      <c r="BD330" s="964" t="n"/>
      <c r="BE330" s="964" t="n"/>
      <c r="BF330" s="964" t="n"/>
      <c r="BG330" s="964" t="n"/>
      <c r="BH330" s="964" t="n"/>
    </row>
    <row r="331" ht="13.5" customHeight="1" s="7635">
      <c r="A331" s="2112" t="n"/>
      <c r="B331" s="8966" t="n"/>
      <c r="C331" s="8966" t="n"/>
      <c r="D331" s="344" t="inlineStr">
        <is>
          <t>you enter an amount on line 10 and you don’t need to attach</t>
        </is>
      </c>
      <c r="E331" s="11602" t="n"/>
      <c r="F331" s="8650" t="n"/>
      <c r="G331" s="11602" t="n"/>
      <c r="H331" s="11602" t="n"/>
      <c r="I331" s="11602" t="n"/>
      <c r="J331" s="11602" t="n"/>
      <c r="K331" s="11602" t="n"/>
      <c r="L331" s="11602" t="n"/>
      <c r="M331" s="11602" t="n"/>
      <c r="N331" s="11602" t="n"/>
      <c r="O331" s="11602" t="n"/>
      <c r="P331" s="11602" t="n"/>
      <c r="Q331" s="11602" t="n"/>
      <c r="R331" s="11602" t="n"/>
      <c r="S331" s="11602" t="n"/>
      <c r="T331" s="11602" t="n"/>
      <c r="U331" s="11602" t="n"/>
      <c r="V331" s="11602" t="n"/>
      <c r="W331" s="11602" t="n"/>
      <c r="X331" s="11602" t="n"/>
      <c r="Y331" s="11602" t="n"/>
      <c r="Z331" s="8977" t="n"/>
      <c r="AA331" s="8978" t="n"/>
      <c r="AB331" s="408" t="n"/>
      <c r="AC331" s="11602" t="n"/>
      <c r="AD331" s="11602" t="n"/>
      <c r="AE331" s="11602" t="n"/>
      <c r="AF331" s="11602" t="n"/>
      <c r="AG331" s="11602" t="n"/>
      <c r="AH331" s="11602" t="n"/>
      <c r="AI331" s="409" t="n"/>
      <c r="AJ331" s="8967" t="n"/>
      <c r="AL331" s="408" t="n"/>
      <c r="AM331" s="11602" t="n"/>
      <c r="AN331" s="11602" t="n"/>
      <c r="AO331" s="11602" t="n"/>
      <c r="AP331" s="1277" t="n"/>
      <c r="AQ331" s="7772" t="n"/>
      <c r="AR331" s="7772" t="n"/>
      <c r="AS331" s="7772" t="n"/>
      <c r="AT331" s="7772" t="n"/>
      <c r="AU331" s="7772" t="n"/>
      <c r="AV331" s="11602" t="n"/>
      <c r="AW331" s="11602" t="n"/>
      <c r="AX331" s="769" t="n"/>
      <c r="AY331" s="964" t="n"/>
      <c r="AZ331" s="964" t="n"/>
      <c r="BA331" s="964" t="n"/>
      <c r="BB331" s="964" t="n"/>
      <c r="BC331" s="964" t="n"/>
      <c r="BD331" s="964" t="n"/>
      <c r="BE331" s="964" t="n"/>
      <c r="BF331" s="964" t="n"/>
      <c r="BG331" s="964" t="n"/>
      <c r="BH331" s="964" t="n"/>
    </row>
    <row r="332" ht="13.5" customHeight="1" s="7635" thickBot="1">
      <c r="A332" s="2112" t="n"/>
      <c r="B332" s="8966" t="n"/>
      <c r="D332" s="344" t="inlineStr">
        <is>
          <t>Schedule B, check here (see instructions)</t>
        </is>
      </c>
      <c r="E332" s="11602" t="n"/>
      <c r="F332" s="8650" t="n"/>
      <c r="G332" s="11602" t="n"/>
      <c r="H332" s="11602" t="n"/>
      <c r="I332" s="11602" t="n"/>
      <c r="J332" s="11602" t="n"/>
      <c r="K332" s="11602" t="n"/>
      <c r="L332" s="11602" t="n"/>
      <c r="M332" s="11602" t="n"/>
      <c r="N332" s="11602" t="n"/>
      <c r="O332" s="11602" t="n"/>
      <c r="P332" s="11602" t="n"/>
      <c r="Q332" s="11602" t="n"/>
      <c r="R332" s="11602" t="n"/>
      <c r="S332" s="11602" t="n"/>
      <c r="T332" s="11602" t="n"/>
      <c r="U332" s="11602" t="n"/>
      <c r="V332" s="11602" t="n"/>
      <c r="W332" s="276" t="n"/>
      <c r="X332" s="11602" t="n"/>
      <c r="Y332" s="1401" t="n"/>
      <c r="Z332" s="2921" t="n">
        <v>10</v>
      </c>
      <c r="AA332" s="7636" t="n"/>
      <c r="AB332" s="12274" t="n"/>
      <c r="AC332" s="194" t="n"/>
      <c r="AD332" s="194" t="n"/>
      <c r="AE332" s="194" t="n"/>
      <c r="AF332" s="194" t="n"/>
      <c r="AG332" s="194" t="n"/>
      <c r="AH332" s="194" t="n"/>
      <c r="AI332" s="11726" t="n"/>
      <c r="AJ332" s="8967" t="n"/>
      <c r="AL332" s="9100">
        <f>ROUND(AB332,0)</f>
        <v/>
      </c>
      <c r="AP332" s="1277" t="n"/>
      <c r="AQ332" s="11602" t="n"/>
      <c r="AR332" s="11602" t="n"/>
      <c r="AS332" s="11602" t="n"/>
      <c r="AT332" s="11602" t="n"/>
      <c r="AU332" s="11602" t="n"/>
      <c r="AV332" s="11602" t="n"/>
      <c r="AW332" s="11602" t="n"/>
      <c r="AX332" s="769" t="n"/>
      <c r="AY332" s="964" t="n"/>
      <c r="AZ332" s="964" t="n"/>
      <c r="BA332" s="964" t="n"/>
      <c r="BB332" s="964" t="n"/>
      <c r="BC332" s="964" t="n"/>
      <c r="BD332" s="964" t="n"/>
      <c r="BE332" s="964" t="n"/>
      <c r="BF332" s="964" t="n"/>
      <c r="BG332" s="964" t="n"/>
      <c r="BH332" s="964" t="n"/>
    </row>
    <row r="333" ht="15" customHeight="1" s="7635">
      <c r="A333" s="2112" t="n"/>
      <c r="B333" s="8966" t="n"/>
      <c r="D333" s="344" t="inlineStr">
        <is>
          <t>(If your income was section 951A category income (box a above Part I),</t>
        </is>
      </c>
      <c r="E333" s="11602" t="n"/>
      <c r="F333" s="8650" t="n"/>
      <c r="G333" s="11602" t="n"/>
      <c r="H333" s="11602" t="n"/>
      <c r="I333" s="11602" t="n"/>
      <c r="J333" s="11602" t="n"/>
      <c r="K333" s="11602" t="n"/>
      <c r="L333" s="11602" t="n"/>
      <c r="M333" s="11602" t="n"/>
      <c r="N333" s="11602" t="n"/>
      <c r="O333" s="11602" t="n"/>
      <c r="P333" s="11602" t="n"/>
      <c r="Q333" s="11602" t="n"/>
      <c r="R333" s="11602" t="n"/>
      <c r="S333" s="11602" t="n"/>
      <c r="T333" s="11602" t="n"/>
      <c r="U333" s="11602" t="n"/>
      <c r="V333" s="11602" t="n"/>
      <c r="W333" s="11602" t="n"/>
      <c r="X333" s="11602" t="n"/>
      <c r="Y333" s="11602" t="n"/>
      <c r="Z333" s="12275" t="n"/>
      <c r="AA333" s="11716" t="n"/>
      <c r="AB333" s="3816" t="n"/>
      <c r="AC333" s="377" t="n"/>
      <c r="AD333" s="377" t="n"/>
      <c r="AE333" s="377" t="n"/>
      <c r="AF333" s="377" t="n"/>
      <c r="AG333" s="377" t="n"/>
      <c r="AH333" s="377" t="n"/>
      <c r="AI333" s="4220" t="n"/>
      <c r="AJ333" s="8967" t="n"/>
      <c r="AL333" s="408" t="n"/>
      <c r="AM333" s="11602" t="n"/>
      <c r="AN333" s="11602" t="n"/>
      <c r="AO333" s="11602" t="n"/>
      <c r="AP333" s="1277" t="n"/>
      <c r="AQ333" s="11602" t="n"/>
      <c r="AR333" s="11602" t="n"/>
      <c r="AS333" s="11602" t="n"/>
      <c r="AT333" s="11602" t="n"/>
      <c r="AU333" s="11602" t="n"/>
      <c r="AV333" s="11602" t="n"/>
      <c r="AW333" s="11602" t="n"/>
      <c r="AX333" s="769" t="n"/>
      <c r="AY333" s="964" t="n"/>
      <c r="AZ333" s="964" t="n"/>
      <c r="BA333" s="964" t="n"/>
      <c r="BB333" s="964" t="n"/>
      <c r="BC333" s="964" t="n"/>
      <c r="BD333" s="964" t="n"/>
      <c r="BE333" s="964" t="n"/>
      <c r="BF333" s="964" t="n"/>
      <c r="BG333" s="964" t="n"/>
      <c r="BH333" s="964" t="n"/>
    </row>
    <row r="334" ht="15" customHeight="1" s="7635">
      <c r="A334" s="2112" t="n"/>
      <c r="B334" s="8966" t="n"/>
      <c r="D334" s="344" t="inlineStr">
        <is>
          <t>leave line 10 blank.)</t>
        </is>
      </c>
      <c r="E334" s="11602" t="n"/>
      <c r="F334" s="8650" t="n"/>
      <c r="G334" s="11602" t="n"/>
      <c r="H334" s="11602" t="n"/>
      <c r="I334" s="11602" t="n"/>
      <c r="J334" s="11602" t="n"/>
      <c r="K334" s="11602" t="n"/>
      <c r="L334" s="11602" t="n"/>
      <c r="M334" s="11602" t="n"/>
      <c r="N334" s="11602" t="n"/>
      <c r="O334" s="11602" t="n"/>
      <c r="P334" s="11602" t="n"/>
      <c r="Q334" s="11602" t="n"/>
      <c r="R334" s="11602" t="n"/>
      <c r="S334" s="11602" t="n"/>
      <c r="T334" s="11602" t="n"/>
      <c r="U334" s="11602" t="n"/>
      <c r="V334" s="11602" t="n"/>
      <c r="W334" s="11602" t="n"/>
      <c r="X334" s="11602" t="n"/>
      <c r="Y334" s="11602" t="n"/>
      <c r="Z334" s="2921" t="n"/>
      <c r="AA334" s="7636" t="n"/>
      <c r="AB334" s="408" t="n"/>
      <c r="AC334" s="11602" t="n"/>
      <c r="AD334" s="11602" t="n"/>
      <c r="AE334" s="11602" t="n"/>
      <c r="AF334" s="11602" t="n"/>
      <c r="AG334" s="11602" t="n"/>
      <c r="AH334" s="11602" t="n"/>
      <c r="AI334" s="409" t="n"/>
      <c r="AJ334" s="8967" t="n"/>
      <c r="AL334" s="408" t="n"/>
      <c r="AM334" s="11602" t="n"/>
      <c r="AN334" s="11602" t="n"/>
      <c r="AO334" s="11602" t="n"/>
      <c r="AP334" s="1277" t="n"/>
      <c r="AQ334" s="11602" t="n"/>
      <c r="AR334" s="11602" t="n"/>
      <c r="AS334" s="11602" t="n"/>
      <c r="AT334" s="11602" t="n"/>
      <c r="AU334" s="11602" t="n"/>
      <c r="AV334" s="11602" t="n"/>
      <c r="AW334" s="11602" t="n"/>
      <c r="AX334" s="769" t="n"/>
      <c r="AY334" s="964" t="n"/>
      <c r="AZ334" s="964" t="n"/>
      <c r="BA334" s="964" t="n"/>
      <c r="BB334" s="964" t="n"/>
      <c r="BC334" s="964" t="n"/>
      <c r="BD334" s="964" t="n"/>
      <c r="BE334" s="964" t="n"/>
      <c r="BF334" s="964" t="n"/>
      <c r="BG334" s="964" t="n"/>
      <c r="BH334" s="964" t="n"/>
    </row>
    <row r="335" ht="15" customHeight="1" s="7635">
      <c r="A335" s="2112" t="n"/>
      <c r="B335" s="8965" t="n">
        <v>11</v>
      </c>
      <c r="D335" s="11602" t="inlineStr">
        <is>
          <t>Add lines 9 and 10</t>
        </is>
      </c>
      <c r="E335" s="11602" t="n"/>
      <c r="F335" s="8650" t="n"/>
      <c r="G335" s="11602" t="n"/>
      <c r="H335" s="11602" t="n"/>
      <c r="I335" s="11602" t="n"/>
      <c r="J335" s="11602" t="n"/>
      <c r="K335" s="11602" t="n"/>
      <c r="L335" s="11602" t="n"/>
      <c r="M335" s="11602" t="n"/>
      <c r="N335" s="11602" t="n"/>
      <c r="O335" s="11602" t="n"/>
      <c r="P335" s="11602" t="n"/>
      <c r="Q335" s="11602" t="n"/>
      <c r="R335" s="11602" t="n"/>
      <c r="S335" s="11602" t="n"/>
      <c r="T335" s="11602" t="n"/>
      <c r="U335" s="11602" t="n"/>
      <c r="V335" s="11602" t="n"/>
      <c r="W335" s="11602" t="n"/>
      <c r="X335" s="11602" t="n"/>
      <c r="Y335" s="1401" t="inlineStr">
        <is>
          <t xml:space="preserve">.   .   .   .   .   .   .   .   .   .   .   .   .   .   .   .   .   .   .   .   .   .   .  </t>
        </is>
      </c>
      <c r="Z335" s="2895" t="n">
        <v>11</v>
      </c>
      <c r="AA335" s="7638" t="n"/>
      <c r="AB335" s="12250">
        <f>SUM(AB328,AL332)</f>
        <v/>
      </c>
      <c r="AC335" s="7637" t="n"/>
      <c r="AD335" s="7637" t="n"/>
      <c r="AE335" s="7637" t="n"/>
      <c r="AF335" s="7637" t="n"/>
      <c r="AG335" s="7637" t="n"/>
      <c r="AH335" s="7637" t="n"/>
      <c r="AI335" s="7638" t="n"/>
      <c r="AJ335" s="8967" t="n"/>
      <c r="AL335" s="9007">
        <f>IF(AB336&gt;0,"Line 12 cannot be","")</f>
        <v/>
      </c>
      <c r="AP335" s="1277" t="n"/>
      <c r="AQ335" s="11602" t="n"/>
      <c r="AR335" s="11602" t="n"/>
      <c r="AS335" s="11602" t="n"/>
      <c r="AT335" s="11602" t="n"/>
      <c r="AU335" s="11602" t="n"/>
      <c r="AV335" s="11602" t="n"/>
      <c r="AW335" s="11602" t="n"/>
      <c r="AX335" s="769" t="n"/>
      <c r="AY335" s="964" t="n"/>
      <c r="AZ335" s="964" t="n"/>
      <c r="BA335" s="964" t="n"/>
      <c r="BB335" s="964" t="n"/>
      <c r="BC335" s="964" t="n"/>
      <c r="BD335" s="964" t="n"/>
      <c r="BE335" s="964" t="n"/>
      <c r="BF335" s="964" t="n"/>
      <c r="BG335" s="964" t="n"/>
      <c r="BH335" s="964" t="n"/>
    </row>
    <row r="336" ht="16.5" customHeight="1" s="7635">
      <c r="A336" s="2112" t="n"/>
      <c r="B336" s="8965" t="n">
        <v>12</v>
      </c>
      <c r="D336" s="344" t="inlineStr">
        <is>
          <t>Reduction in foreign taxes (see instructions)</t>
        </is>
      </c>
      <c r="E336" s="11602" t="n"/>
      <c r="F336" s="8650" t="n"/>
      <c r="G336" s="11602" t="n"/>
      <c r="H336" s="11602" t="n"/>
      <c r="I336" s="11602" t="n"/>
      <c r="J336" s="11602" t="n"/>
      <c r="K336" s="11602" t="n"/>
      <c r="L336" s="11602" t="n"/>
      <c r="M336" s="11602" t="n"/>
      <c r="N336" s="11602" t="n"/>
      <c r="O336" s="11602" t="n"/>
      <c r="P336" s="11602" t="n"/>
      <c r="Q336" s="11602" t="n"/>
      <c r="R336" s="11602" t="n"/>
      <c r="S336" s="11602" t="n"/>
      <c r="T336" s="11602" t="n"/>
      <c r="U336" s="11602" t="n"/>
      <c r="V336" s="11602" t="n"/>
      <c r="W336" s="11602" t="n"/>
      <c r="X336" s="11602" t="n"/>
      <c r="Y336" s="1401" t="inlineStr">
        <is>
          <t xml:space="preserve">.   .   .   .   .   .   .   .   .   .   .   .  </t>
        </is>
      </c>
      <c r="Z336" s="2895" t="n">
        <v>12</v>
      </c>
      <c r="AA336" s="7638" t="n"/>
      <c r="AB336" s="12251" t="n"/>
      <c r="AC336" s="11717" t="n"/>
      <c r="AD336" s="11717" t="n"/>
      <c r="AE336" s="11717" t="n"/>
      <c r="AF336" s="11717" t="n"/>
      <c r="AG336" s="11717" t="n"/>
      <c r="AH336" s="11717" t="n"/>
      <c r="AI336" s="11718" t="n"/>
      <c r="AJ336" s="8967" t="n"/>
      <c r="AL336" s="9007">
        <f>IF(AB336&gt;0,"a positive number.","")</f>
        <v/>
      </c>
      <c r="AP336" s="1277" t="n"/>
      <c r="AQ336" s="11602" t="n"/>
      <c r="AR336" s="11602" t="n"/>
      <c r="AS336" s="11602" t="n"/>
      <c r="AT336" s="11602" t="n"/>
      <c r="AU336" s="11602" t="n"/>
      <c r="AV336" s="11602" t="n"/>
      <c r="AW336" s="11602" t="n"/>
      <c r="AX336" s="769" t="n"/>
      <c r="AY336" s="964" t="n"/>
      <c r="AZ336" s="964" t="n"/>
      <c r="BA336" s="964" t="n"/>
      <c r="BB336" s="964" t="n"/>
      <c r="BC336" s="964" t="n"/>
      <c r="BD336" s="964" t="n"/>
      <c r="BE336" s="964" t="n"/>
      <c r="BF336" s="964" t="n"/>
      <c r="BG336" s="964" t="n"/>
      <c r="BH336" s="964" t="n"/>
    </row>
    <row r="337" ht="16.5" customHeight="1" s="7635">
      <c r="A337" s="2112" t="n"/>
      <c r="B337" s="8965" t="n">
        <v>13</v>
      </c>
      <c r="D337" s="344" t="inlineStr">
        <is>
          <t>Taxes reclassified under high tax kickout (see instructions)</t>
        </is>
      </c>
      <c r="E337" s="11602" t="n"/>
      <c r="F337" s="8650" t="n"/>
      <c r="G337" s="11602" t="n"/>
      <c r="H337" s="11602" t="n"/>
      <c r="I337" s="11602" t="n"/>
      <c r="J337" s="11602" t="n"/>
      <c r="K337" s="11602" t="n"/>
      <c r="L337" s="11602" t="n"/>
      <c r="M337" s="11602" t="n"/>
      <c r="N337" s="11602" t="n"/>
      <c r="O337" s="11602" t="n"/>
      <c r="P337" s="11602" t="n"/>
      <c r="Q337" s="11602" t="n"/>
      <c r="R337" s="11602" t="n"/>
      <c r="S337" s="11602" t="n"/>
      <c r="T337" s="11602" t="n"/>
      <c r="U337" s="11602" t="n"/>
      <c r="V337" s="11602" t="n"/>
      <c r="W337" s="11602" t="n"/>
      <c r="X337" s="11602" t="n"/>
      <c r="Y337" s="1401" t="inlineStr">
        <is>
          <t xml:space="preserve">.   .   .   .   .   .  </t>
        </is>
      </c>
      <c r="Z337" s="2895" t="n">
        <v>13</v>
      </c>
      <c r="AA337" s="7638" t="n"/>
      <c r="AB337" s="12251" t="n"/>
      <c r="AC337" s="11717" t="n"/>
      <c r="AD337" s="11717" t="n"/>
      <c r="AE337" s="11717" t="n"/>
      <c r="AF337" s="11717" t="n"/>
      <c r="AG337" s="11717" t="n"/>
      <c r="AH337" s="11717" t="n"/>
      <c r="AI337" s="11718" t="n"/>
      <c r="AJ337" s="8967" t="n"/>
      <c r="AL337" s="408" t="n"/>
      <c r="AM337" s="11602" t="n"/>
      <c r="AN337" s="11602" t="n"/>
      <c r="AO337" s="11602" t="n"/>
      <c r="AP337" s="1277" t="n"/>
      <c r="AQ337" s="11602" t="n"/>
      <c r="AR337" s="11602" t="n"/>
      <c r="AS337" s="11602" t="n"/>
      <c r="AT337" s="11602" t="n"/>
      <c r="AU337" s="11602" t="n"/>
      <c r="AV337" s="11602" t="n"/>
      <c r="AW337" s="11602" t="n"/>
      <c r="AX337" s="769" t="n"/>
      <c r="AY337" s="964" t="n"/>
      <c r="AZ337" s="964" t="n"/>
      <c r="BA337" s="964" t="n"/>
      <c r="BB337" s="964" t="n"/>
      <c r="BC337" s="964" t="n"/>
      <c r="BD337" s="964" t="n"/>
      <c r="BE337" s="964" t="n"/>
      <c r="BF337" s="964" t="n"/>
      <c r="BG337" s="964" t="n"/>
      <c r="BH337" s="964" t="n"/>
    </row>
    <row r="338" ht="13.5" customHeight="1" s="7635">
      <c r="A338" s="2112" t="n"/>
      <c r="B338" s="8965" t="n">
        <v>14</v>
      </c>
      <c r="D338" s="344" t="inlineStr">
        <is>
          <t>Combine lines 11, 12, and 13. This is the total amount of foreign taxes available for credit</t>
        </is>
      </c>
      <c r="E338" s="11602" t="n"/>
      <c r="F338" s="8650" t="n"/>
      <c r="G338" s="11602" t="n"/>
      <c r="H338" s="11602" t="n"/>
      <c r="I338" s="11602" t="n"/>
      <c r="J338" s="11602" t="n"/>
      <c r="K338" s="11602" t="n"/>
      <c r="L338" s="11602" t="n"/>
      <c r="M338" s="11602" t="n"/>
      <c r="N338" s="11602" t="n"/>
      <c r="O338" s="11602" t="n"/>
      <c r="P338" s="11602" t="n"/>
      <c r="Q338" s="11602" t="n"/>
      <c r="R338" s="11602" t="n"/>
      <c r="S338" s="11602" t="n"/>
      <c r="T338" s="11602" t="n"/>
      <c r="U338" s="11602" t="n"/>
      <c r="V338" s="11602" t="n"/>
      <c r="W338" s="11602" t="n"/>
      <c r="X338" s="11602" t="n"/>
      <c r="Y338" s="11602" t="n"/>
      <c r="Z338" s="11602" t="n"/>
      <c r="AA338" s="11602" t="n"/>
      <c r="AB338" s="11602" t="n"/>
      <c r="AC338" s="11602" t="n"/>
      <c r="AD338" s="11602" t="n"/>
      <c r="AE338" s="11602" t="n"/>
      <c r="AF338" s="11602" t="n"/>
      <c r="AG338" s="11602" t="n"/>
      <c r="AH338" s="11602" t="n"/>
      <c r="AI338" s="1401" t="inlineStr">
        <is>
          <t xml:space="preserve">.   .   .   .   .  </t>
        </is>
      </c>
      <c r="AJ338" s="2895" t="n">
        <v>14</v>
      </c>
      <c r="AK338" s="7638" t="n"/>
      <c r="AL338" s="8991">
        <f>SUM(AB335,AB336,AB337)</f>
        <v/>
      </c>
      <c r="AM338" s="7637" t="n"/>
      <c r="AN338" s="7637" t="n"/>
      <c r="AO338" s="7637" t="n"/>
      <c r="AP338" s="1277" t="n"/>
      <c r="AQ338" s="11602" t="n"/>
      <c r="AR338" s="11602" t="n"/>
      <c r="AS338" s="11602" t="n"/>
      <c r="AT338" s="11602" t="n"/>
      <c r="AU338" s="11602" t="n"/>
      <c r="AV338" s="11602" t="n"/>
      <c r="AW338" s="11602" t="n"/>
      <c r="AX338" s="769" t="n"/>
      <c r="AY338" s="964" t="n"/>
      <c r="AZ338" s="964" t="n"/>
      <c r="BA338" s="964" t="n"/>
      <c r="BB338" s="964" t="n"/>
      <c r="BC338" s="964" t="n"/>
      <c r="BD338" s="964" t="n"/>
      <c r="BE338" s="964" t="n"/>
      <c r="BF338" s="964" t="n"/>
      <c r="BG338" s="964" t="n"/>
      <c r="BH338" s="964" t="n"/>
    </row>
    <row r="339" ht="13.5" customHeight="1" s="7635">
      <c r="A339" s="2112" t="n"/>
      <c r="B339" s="8965" t="n">
        <v>15</v>
      </c>
      <c r="D339" s="11602" t="inlineStr">
        <is>
          <t>Enter the amount from line 7. This is your taxable income or (loss) from</t>
        </is>
      </c>
      <c r="E339" s="11602" t="n"/>
      <c r="F339" s="8650" t="n"/>
      <c r="G339" s="11602" t="n"/>
      <c r="H339" s="11602" t="n"/>
      <c r="I339" s="11602" t="n"/>
      <c r="J339" s="11602" t="n"/>
      <c r="K339" s="11602" t="n"/>
      <c r="L339" s="11602" t="n"/>
      <c r="M339" s="11602" t="n"/>
      <c r="N339" s="11602" t="n"/>
      <c r="O339" s="11602" t="n"/>
      <c r="P339" s="11602" t="n"/>
      <c r="Q339" s="11602" t="n"/>
      <c r="R339" s="11602" t="n"/>
      <c r="S339" s="11602" t="n"/>
      <c r="T339" s="11602" t="n"/>
      <c r="U339" s="11602" t="n"/>
      <c r="V339" s="11602" t="n"/>
      <c r="W339" s="11602" t="n"/>
      <c r="X339" s="11602" t="n"/>
      <c r="Y339" s="11602" t="n"/>
      <c r="Z339" s="2921" t="n"/>
      <c r="AA339" s="7636" t="n"/>
      <c r="AB339" s="408" t="n"/>
      <c r="AC339" s="11602" t="n"/>
      <c r="AD339" s="11602" t="n"/>
      <c r="AE339" s="11602" t="n"/>
      <c r="AF339" s="11602" t="n"/>
      <c r="AG339" s="11602" t="n"/>
      <c r="AH339" s="11602" t="n"/>
      <c r="AI339" s="409" t="n"/>
      <c r="AJ339" s="8967" t="n"/>
      <c r="AL339" s="408" t="n"/>
      <c r="AM339" s="11602" t="n"/>
      <c r="AN339" s="11602" t="n"/>
      <c r="AO339" s="11602" t="n"/>
      <c r="AP339" s="1277" t="n"/>
      <c r="AQ339" s="11602" t="n"/>
      <c r="AR339" s="11602" t="n"/>
      <c r="AS339" s="11602" t="n"/>
      <c r="AT339" s="11602" t="n"/>
      <c r="AU339" s="11602" t="n"/>
      <c r="AV339" s="11602" t="n"/>
      <c r="AW339" s="11602" t="n"/>
      <c r="AX339" s="769" t="n"/>
      <c r="AY339" s="964" t="n"/>
      <c r="AZ339" s="964" t="n"/>
      <c r="BA339" s="964" t="n"/>
      <c r="BB339" s="964" t="n"/>
      <c r="BC339" s="964" t="n"/>
      <c r="BD339" s="964" t="n"/>
      <c r="BE339" s="964" t="n"/>
      <c r="BF339" s="964" t="n"/>
      <c r="BG339" s="964" t="n"/>
      <c r="BH339" s="964" t="n"/>
    </row>
    <row r="340" ht="13.5" customHeight="1" s="7635">
      <c r="A340" s="2112" t="n"/>
      <c r="B340" s="8965" t="n"/>
      <c r="D340" s="11602" t="inlineStr">
        <is>
          <t>sources outside the United States (before adjustments) for the category</t>
        </is>
      </c>
      <c r="E340" s="11602" t="n"/>
      <c r="F340" s="8650" t="n"/>
      <c r="G340" s="11602" t="n"/>
      <c r="H340" s="11602" t="n"/>
      <c r="I340" s="11602" t="n"/>
      <c r="J340" s="11602" t="n"/>
      <c r="K340" s="11602" t="n"/>
      <c r="L340" s="11602" t="n"/>
      <c r="M340" s="11602" t="n"/>
      <c r="N340" s="11602" t="n"/>
      <c r="O340" s="11602" t="n"/>
      <c r="P340" s="11602" t="n"/>
      <c r="Q340" s="11602" t="n"/>
      <c r="R340" s="11602" t="n"/>
      <c r="S340" s="11602" t="n"/>
      <c r="T340" s="11602" t="n"/>
      <c r="U340" s="11602" t="n"/>
      <c r="V340" s="11602" t="n"/>
      <c r="W340" s="11602" t="n"/>
      <c r="X340" s="11602" t="n"/>
      <c r="Y340" s="11602" t="n"/>
      <c r="Z340" s="2921" t="n"/>
      <c r="AA340" s="7636" t="n"/>
      <c r="AB340" s="408" t="n"/>
      <c r="AC340" s="11602" t="n"/>
      <c r="AD340" s="11602" t="n"/>
      <c r="AE340" s="11602" t="n"/>
      <c r="AF340" s="11602" t="n"/>
      <c r="AG340" s="11602" t="n"/>
      <c r="AH340" s="11602" t="n"/>
      <c r="AI340" s="409" t="n"/>
      <c r="AJ340" s="8967" t="n"/>
      <c r="AL340" s="408" t="n"/>
      <c r="AM340" s="11602" t="n"/>
      <c r="AN340" s="11602" t="n"/>
      <c r="AO340" s="11602" t="n"/>
      <c r="AP340" s="1277" t="n"/>
      <c r="AQ340" s="11602" t="n"/>
      <c r="AR340" s="11602" t="n"/>
      <c r="AS340" s="11602" t="n"/>
      <c r="AT340" s="11602" t="n"/>
      <c r="AU340" s="11602" t="n"/>
      <c r="AV340" s="11602" t="n"/>
      <c r="AW340" s="11602" t="n"/>
      <c r="AX340" s="769" t="n"/>
      <c r="AY340" s="964" t="n"/>
      <c r="AZ340" s="964" t="n"/>
      <c r="BA340" s="964" t="n"/>
      <c r="BB340" s="964" t="n"/>
      <c r="BC340" s="964" t="n"/>
      <c r="BD340" s="964" t="n"/>
      <c r="BE340" s="964" t="n"/>
      <c r="BF340" s="964" t="n"/>
      <c r="BG340" s="964" t="n"/>
      <c r="BH340" s="964" t="n"/>
    </row>
    <row r="341" ht="13.5" customHeight="1" s="7635">
      <c r="A341" s="2112" t="n"/>
      <c r="B341" s="4178" t="n"/>
      <c r="C341" s="4178" t="n"/>
      <c r="D341" s="571" t="inlineStr">
        <is>
          <t>of income checked above Part I (see instructions)</t>
        </is>
      </c>
      <c r="E341" s="11602" t="n"/>
      <c r="F341" s="11602" t="n"/>
      <c r="G341" s="11602" t="n"/>
      <c r="H341" s="11602" t="n"/>
      <c r="I341" s="11602" t="n"/>
      <c r="J341" s="11602" t="n"/>
      <c r="K341" s="11602" t="n"/>
      <c r="L341" s="11602" t="n"/>
      <c r="M341" s="11602" t="n"/>
      <c r="N341" s="11602" t="n"/>
      <c r="O341" s="11602" t="n"/>
      <c r="P341" s="11602" t="n"/>
      <c r="Q341" s="11602" t="n"/>
      <c r="R341" s="11602" t="n"/>
      <c r="S341" s="11602" t="n"/>
      <c r="T341" s="11602" t="n"/>
      <c r="U341" s="11602" t="n"/>
      <c r="V341" s="11602" t="n"/>
      <c r="W341" s="11602" t="n"/>
      <c r="X341" s="11602" t="n"/>
      <c r="Y341" s="1401" t="inlineStr">
        <is>
          <t xml:space="preserve">.   .   .   .   .   .   .   .   .   .  </t>
        </is>
      </c>
      <c r="Z341" s="2895" t="n">
        <v>15</v>
      </c>
      <c r="AA341" s="7638" t="n"/>
      <c r="AB341" s="12250">
        <f>AL307</f>
        <v/>
      </c>
      <c r="AC341" s="7637" t="n"/>
      <c r="AD341" s="7637" t="n"/>
      <c r="AE341" s="7637" t="n"/>
      <c r="AF341" s="7637" t="n"/>
      <c r="AG341" s="7637" t="n"/>
      <c r="AH341" s="7637" t="n"/>
      <c r="AI341" s="7638" t="n"/>
      <c r="AJ341" s="8967" t="n"/>
      <c r="AL341" s="408" t="n"/>
      <c r="AM341" s="11602" t="n"/>
      <c r="AN341" s="11602" t="n"/>
      <c r="AO341" s="11602" t="n"/>
      <c r="AP341" s="1277" t="n"/>
      <c r="AQ341" s="11602" t="n"/>
      <c r="AR341" s="11602" t="n"/>
      <c r="AS341" s="11602" t="n"/>
      <c r="AT341" s="11602" t="n"/>
      <c r="AU341" s="11602" t="n"/>
      <c r="AV341" s="11602" t="n"/>
      <c r="AW341" s="11602" t="n"/>
      <c r="AX341" s="769" t="n"/>
      <c r="AY341" s="964" t="n"/>
      <c r="AZ341" s="964" t="n"/>
      <c r="BA341" s="964" t="n"/>
      <c r="BB341" s="964" t="n"/>
      <c r="BC341" s="964" t="n"/>
      <c r="BD341" s="964" t="n"/>
      <c r="BE341" s="964" t="n"/>
      <c r="BF341" s="964" t="n"/>
      <c r="BG341" s="964" t="n"/>
      <c r="BH341" s="964" t="n"/>
    </row>
    <row r="342" ht="13.5" customHeight="1" s="7635">
      <c r="A342" s="2112" t="n"/>
      <c r="B342" s="8965" t="n">
        <v>16</v>
      </c>
      <c r="D342" s="9237" t="inlineStr">
        <is>
          <t>Adjustments to line 15 (see instructions)</t>
        </is>
      </c>
      <c r="E342" s="733" t="n"/>
      <c r="F342" s="7209" t="n"/>
      <c r="G342" s="11602" t="n"/>
      <c r="H342" s="11602" t="n"/>
      <c r="I342" s="11602" t="n"/>
      <c r="J342" s="11602" t="n"/>
      <c r="K342" s="11602" t="n"/>
      <c r="L342" s="11602" t="n"/>
      <c r="M342" s="11602" t="n"/>
      <c r="N342" s="11602" t="n"/>
      <c r="O342" s="11602" t="n"/>
      <c r="P342" s="7642" t="n"/>
      <c r="Q342" s="733" t="n"/>
      <c r="R342" s="7209" t="n"/>
      <c r="S342" s="344" t="n"/>
      <c r="T342" s="11602" t="n"/>
      <c r="U342" s="11602" t="n"/>
      <c r="V342" s="11602" t="n"/>
      <c r="W342" s="11602" t="n"/>
      <c r="X342" s="11602" t="n"/>
      <c r="Y342" s="1401" t="inlineStr">
        <is>
          <t xml:space="preserve">.   .   .   .   .   .   .   .   .   .   .   .   .   .  </t>
        </is>
      </c>
      <c r="Z342" s="2926" t="n">
        <v>16</v>
      </c>
      <c r="AA342" s="11734" t="n"/>
      <c r="AB342" s="12251" t="n"/>
      <c r="AC342" s="11717" t="n"/>
      <c r="AD342" s="11717" t="n"/>
      <c r="AE342" s="11717" t="n"/>
      <c r="AF342" s="11717" t="n"/>
      <c r="AG342" s="11717" t="n"/>
      <c r="AH342" s="11717" t="n"/>
      <c r="AI342" s="11718" t="n"/>
      <c r="AJ342" s="8967" t="n"/>
      <c r="AL342" s="408" t="n"/>
      <c r="AM342" s="11602" t="n"/>
      <c r="AN342" s="11602" t="n"/>
      <c r="AO342" s="11602" t="n"/>
      <c r="AP342" s="1277" t="n"/>
      <c r="AQ342" s="11602" t="n"/>
      <c r="AR342" s="11602" t="n"/>
      <c r="AS342" s="11602" t="n"/>
      <c r="AT342" s="11602" t="n"/>
      <c r="AU342" s="11602" t="n"/>
      <c r="AV342" s="11602" t="n"/>
      <c r="AW342" s="11602" t="n"/>
      <c r="AX342" s="769" t="n"/>
      <c r="AY342" s="964" t="n"/>
      <c r="AZ342" s="964" t="n"/>
      <c r="BA342" s="964" t="n"/>
      <c r="BB342" s="964" t="n"/>
      <c r="BC342" s="964" t="n"/>
      <c r="BD342" s="964" t="n"/>
      <c r="BE342" s="964" t="n"/>
      <c r="BF342" s="964" t="n"/>
      <c r="BG342" s="964" t="n"/>
      <c r="BH342" s="964" t="n"/>
    </row>
    <row r="343" ht="18" customHeight="1" s="7635">
      <c r="A343" s="2112" t="n"/>
      <c r="B343" s="8965" t="n">
        <v>17</v>
      </c>
      <c r="D343" s="344" t="inlineStr">
        <is>
          <t>Combine the amounts on lines 15 and 16. This is your net foreign source</t>
        </is>
      </c>
      <c r="E343" s="11602" t="n"/>
      <c r="F343" s="8650" t="n"/>
      <c r="G343" s="11602" t="n"/>
      <c r="H343" s="11602" t="n"/>
      <c r="I343" s="11602" t="n"/>
      <c r="J343" s="11602" t="n"/>
      <c r="K343" s="11602" t="n"/>
      <c r="L343" s="11602" t="n"/>
      <c r="M343" s="11602" t="n"/>
      <c r="N343" s="11602" t="n"/>
      <c r="O343" s="11602" t="n"/>
      <c r="P343" s="11602" t="n"/>
      <c r="Q343" s="11602" t="n"/>
      <c r="R343" s="11602" t="n"/>
      <c r="S343" s="11602" t="n"/>
      <c r="T343" s="11602" t="n"/>
      <c r="U343" s="11602" t="n"/>
      <c r="V343" s="11602" t="n"/>
      <c r="W343" s="11602" t="n"/>
      <c r="X343" s="11602" t="n"/>
      <c r="Y343" s="11602" t="n"/>
      <c r="Z343" s="2921" t="n"/>
      <c r="AA343" s="7636" t="n"/>
      <c r="AB343" s="408" t="n"/>
      <c r="AC343" s="11602" t="n"/>
      <c r="AD343" s="11602" t="n"/>
      <c r="AE343" s="11602" t="n"/>
      <c r="AF343" s="11602" t="n"/>
      <c r="AG343" s="11602" t="n"/>
      <c r="AH343" s="11602" t="n"/>
      <c r="AI343" s="409" t="n"/>
      <c r="AJ343" s="8967" t="n"/>
      <c r="AL343" s="408" t="n"/>
      <c r="AM343" s="11602" t="n"/>
      <c r="AN343" s="11602" t="n"/>
      <c r="AO343" s="11602" t="n"/>
      <c r="AP343" s="1277" t="n"/>
      <c r="AQ343" s="11602" t="n"/>
      <c r="AR343" s="11602" t="n"/>
      <c r="AS343" s="11602" t="n"/>
      <c r="AT343" s="11602" t="n"/>
      <c r="AU343" s="11602" t="n"/>
      <c r="AV343" s="11602" t="n"/>
      <c r="AW343" s="11602" t="n"/>
      <c r="AX343" s="769" t="n"/>
      <c r="AY343" s="964" t="n"/>
      <c r="AZ343" s="964" t="n"/>
      <c r="BA343" s="964" t="n"/>
      <c r="BB343" s="964" t="n"/>
      <c r="BC343" s="964" t="n"/>
      <c r="BD343" s="964" t="n"/>
      <c r="BE343" s="964" t="n"/>
      <c r="BF343" s="964" t="n"/>
      <c r="BG343" s="964" t="n"/>
      <c r="BH343" s="964" t="n"/>
    </row>
    <row r="344" ht="13.5" customHeight="1" s="7635">
      <c r="A344" s="2112" t="n"/>
      <c r="B344" s="8965" t="n"/>
      <c r="D344" s="344" t="inlineStr">
        <is>
          <t>taxable income. (If the result is zero or less, skip line 18 and enter -0- on</t>
        </is>
      </c>
      <c r="E344" s="11602" t="n"/>
      <c r="F344" s="8650" t="n"/>
      <c r="G344" s="11602" t="n"/>
      <c r="H344" s="11602" t="n"/>
      <c r="I344" s="11602" t="n"/>
      <c r="J344" s="11602" t="n"/>
      <c r="K344" s="11602" t="n"/>
      <c r="L344" s="11602" t="n"/>
      <c r="M344" s="11602" t="n"/>
      <c r="N344" s="11602" t="n"/>
      <c r="O344" s="11602" t="n"/>
      <c r="P344" s="11602" t="n"/>
      <c r="Q344" s="11602" t="n"/>
      <c r="R344" s="11602" t="n"/>
      <c r="S344" s="11602" t="n"/>
      <c r="T344" s="11602" t="n"/>
      <c r="U344" s="11602" t="n"/>
      <c r="V344" s="11602" t="n"/>
      <c r="W344" s="11602" t="n"/>
      <c r="X344" s="11602" t="n"/>
      <c r="Y344" s="11602" t="n"/>
      <c r="Z344" s="2921" t="n"/>
      <c r="AA344" s="7636" t="n"/>
      <c r="AB344" s="408" t="n"/>
      <c r="AC344" s="11602" t="n"/>
      <c r="AD344" s="11602" t="n"/>
      <c r="AE344" s="11602" t="n"/>
      <c r="AF344" s="11602" t="n"/>
      <c r="AG344" s="11602" t="n"/>
      <c r="AH344" s="11602" t="n"/>
      <c r="AI344" s="409" t="n"/>
      <c r="AJ344" s="8967" t="n"/>
      <c r="AL344" s="408" t="n"/>
      <c r="AM344" s="11602" t="n"/>
      <c r="AN344" s="11602" t="n"/>
      <c r="AO344" s="11602" t="n"/>
      <c r="AP344" s="1277" t="n"/>
      <c r="AQ344" s="11602" t="n"/>
      <c r="AR344" s="11602" t="n"/>
      <c r="AS344" s="11602" t="n"/>
      <c r="AT344" s="11602" t="n"/>
      <c r="AU344" s="11602" t="n"/>
      <c r="AV344" s="11602" t="n"/>
      <c r="AW344" s="11602" t="n"/>
      <c r="AX344" s="769" t="n"/>
      <c r="AY344" s="964" t="n"/>
      <c r="AZ344" s="964" t="n"/>
      <c r="BA344" s="964" t="n"/>
      <c r="BB344" s="964" t="n"/>
      <c r="BC344" s="964" t="n"/>
      <c r="BD344" s="964" t="n"/>
      <c r="BE344" s="964" t="n"/>
      <c r="BF344" s="964" t="n"/>
      <c r="BG344" s="964" t="n"/>
      <c r="BH344" s="964" t="n"/>
    </row>
    <row r="345" ht="18.75" customHeight="1" s="7635">
      <c r="A345" s="2112" t="n"/>
      <c r="B345" s="4178" t="n"/>
      <c r="C345" s="4178" t="n"/>
      <c r="D345" s="979" t="inlineStr">
        <is>
          <t>line 19.)</t>
        </is>
      </c>
      <c r="E345" s="11602" t="n"/>
      <c r="F345" s="11602" t="n"/>
      <c r="G345" s="11602" t="n"/>
      <c r="H345" s="11602" t="n"/>
      <c r="I345" s="11602" t="n"/>
      <c r="J345" s="11602" t="n"/>
      <c r="K345" s="11602" t="n"/>
      <c r="L345" s="11602" t="n"/>
      <c r="M345" s="11602" t="n"/>
      <c r="N345" s="11602" t="n"/>
      <c r="O345" s="11602" t="n"/>
      <c r="P345" s="11602" t="n"/>
      <c r="Q345" s="11602" t="n"/>
      <c r="R345" s="11602" t="n"/>
      <c r="S345" s="11602" t="n"/>
      <c r="T345" s="11602" t="n"/>
      <c r="U345" s="11602" t="n"/>
      <c r="V345" s="11602" t="n"/>
      <c r="W345" s="11602" t="n"/>
      <c r="X345" s="11602" t="n"/>
      <c r="Y345" s="1401" t="inlineStr">
        <is>
          <t xml:space="preserve">.   .   .   .   .   .   .   .   .   .   .   .  </t>
        </is>
      </c>
      <c r="Z345" s="2895" t="n">
        <v>17</v>
      </c>
      <c r="AA345" s="7638" t="n"/>
      <c r="AB345" s="12250">
        <f>SUM(AB341,AB342)</f>
        <v/>
      </c>
      <c r="AC345" s="7637" t="n"/>
      <c r="AD345" s="7637" t="n"/>
      <c r="AE345" s="7637" t="n"/>
      <c r="AF345" s="7637" t="n"/>
      <c r="AG345" s="7637" t="n"/>
      <c r="AH345" s="7637" t="n"/>
      <c r="AI345" s="7638" t="n"/>
      <c r="AJ345" s="8967" t="n"/>
      <c r="AL345" s="8996" t="n"/>
      <c r="AP345" s="1277" t="n"/>
      <c r="AQ345" s="9132">
        <f>IF(AND(AL338&gt;0,AB346),"Skip lines 18 through 24.","")</f>
        <v/>
      </c>
      <c r="AX345" s="769" t="n"/>
      <c r="AY345" s="970" t="n"/>
      <c r="AZ345" s="964" t="n"/>
      <c r="BA345" s="964" t="n"/>
      <c r="BB345" s="964" t="n"/>
      <c r="BC345" s="964" t="n"/>
      <c r="BD345" s="964" t="n"/>
      <c r="BE345" s="964" t="n"/>
      <c r="BF345" s="964" t="n"/>
      <c r="BG345" s="964" t="n"/>
      <c r="BH345" s="964" t="n"/>
    </row>
    <row r="346" ht="12.75" customHeight="1" s="7635" thickBot="1">
      <c r="A346" s="2112" t="n"/>
      <c r="B346" s="8965" t="n">
        <v>18</v>
      </c>
      <c r="D346" s="344" t="inlineStr">
        <is>
          <t>Individuals: Enter the sum of (i) Form 1040, 1040-SR, 1040-NR, line 11b,</t>
        </is>
      </c>
      <c r="E346" s="11602" t="n"/>
      <c r="F346" s="8650" t="n"/>
      <c r="G346" s="11602" t="n"/>
      <c r="H346" s="11602" t="n"/>
      <c r="I346" s="11602" t="n"/>
      <c r="J346" s="11602" t="n"/>
      <c r="K346" s="11602" t="n"/>
      <c r="L346" s="11602" t="n"/>
      <c r="M346" s="11602" t="n"/>
      <c r="N346" s="11602" t="n"/>
      <c r="O346" s="11602" t="n"/>
      <c r="P346" s="11602" t="n"/>
      <c r="Q346" s="11602" t="n"/>
      <c r="R346" s="11602" t="n"/>
      <c r="S346" s="11602" t="n"/>
      <c r="T346" s="11602" t="n"/>
      <c r="U346" s="11602" t="n"/>
      <c r="V346" s="11602" t="n"/>
      <c r="W346" s="11602" t="n"/>
      <c r="X346" s="11602" t="n"/>
      <c r="Y346" s="11602" t="n"/>
      <c r="Z346" s="2921" t="n"/>
      <c r="AA346" s="7636" t="n"/>
      <c r="AB346" s="12256">
        <f>AND(AB345&lt;=0,AQ349="")</f>
        <v/>
      </c>
      <c r="AC346" s="7839" t="n"/>
      <c r="AD346" s="7839" t="n"/>
      <c r="AE346" s="7839" t="n"/>
      <c r="AF346" s="7839" t="n"/>
      <c r="AG346" s="7839" t="n"/>
      <c r="AH346" s="7839" t="n"/>
      <c r="AI346" s="10091" t="n"/>
      <c r="AJ346" s="8967" t="n"/>
      <c r="AL346" s="8983" t="n"/>
      <c r="AP346" s="1277" t="n"/>
      <c r="AQ346" s="8961" t="n"/>
      <c r="AX346" s="769" t="n"/>
      <c r="AY346" s="964" t="n"/>
      <c r="AZ346" s="964" t="n"/>
      <c r="BA346" s="964" t="n"/>
      <c r="BB346" s="964" t="n"/>
      <c r="BC346" s="964" t="n"/>
      <c r="BD346" s="964" t="n"/>
      <c r="BE346" s="964" t="n"/>
      <c r="BF346" s="964" t="n"/>
      <c r="BG346" s="964" t="n"/>
      <c r="BH346" s="964" t="n"/>
    </row>
    <row r="347" ht="12.75" customHeight="1" s="7635">
      <c r="A347" s="2112" t="n"/>
      <c r="B347" s="8965" t="n"/>
      <c r="C347" s="8965" t="n"/>
      <c r="D347" s="516" t="inlineStr">
        <is>
          <t>minus Form 1040, 1040-SR, or 1040-NR, line 14, and (ii) Schedule 1-A</t>
        </is>
      </c>
      <c r="E347" s="11602" t="n"/>
      <c r="F347" s="8650" t="n"/>
      <c r="G347" s="11602" t="n"/>
      <c r="H347" s="11602" t="n"/>
      <c r="I347" s="11602" t="n"/>
      <c r="J347" s="11602" t="n"/>
      <c r="K347" s="11602" t="n"/>
      <c r="L347" s="11602" t="n"/>
      <c r="M347" s="11602" t="n"/>
      <c r="N347" s="11602" t="n"/>
      <c r="O347" s="11602" t="n"/>
      <c r="P347" s="11602" t="n"/>
      <c r="Q347" s="11602" t="n"/>
      <c r="R347" s="11602" t="n"/>
      <c r="S347" s="11602" t="n"/>
      <c r="T347" s="11602" t="n"/>
      <c r="U347" s="11602" t="n"/>
      <c r="V347" s="11602" t="n"/>
      <c r="W347" s="11602" t="n"/>
      <c r="X347" s="11602" t="n"/>
      <c r="Y347" s="11602" t="n"/>
      <c r="Z347" s="8977" t="n"/>
      <c r="AA347" s="8978" t="n"/>
      <c r="AB347" s="12270">
        <f>IF(TotalDeductions="",0,TotalDeductions)</f>
        <v/>
      </c>
      <c r="AI347" s="7636" t="n"/>
      <c r="AJ347" s="8967" t="n"/>
      <c r="AL347" s="8983" t="n"/>
      <c r="AM347" s="8961" t="n"/>
      <c r="AN347" s="8961" t="n"/>
      <c r="AO347" s="8961" t="n"/>
      <c r="AP347" s="1277" t="n"/>
      <c r="AQ347" s="8961" t="n"/>
      <c r="AR347" s="8961" t="n"/>
      <c r="AS347" s="8961" t="n"/>
      <c r="AT347" s="8961" t="n"/>
      <c r="AU347" s="11602" t="n"/>
      <c r="AV347" s="11602" t="n"/>
      <c r="AW347" s="11602" t="n"/>
      <c r="AX347" s="1384" t="n"/>
      <c r="AY347" s="1385" t="n"/>
      <c r="AZ347" s="1385" t="n"/>
      <c r="BA347" s="1385" t="n"/>
      <c r="BB347" s="1385" t="n"/>
      <c r="BC347" s="1385" t="n"/>
      <c r="BD347" s="1385" t="n"/>
      <c r="BE347" s="1385" t="n"/>
      <c r="BF347" s="1385" t="n"/>
      <c r="BG347" s="1385" t="n"/>
      <c r="BH347" s="1386" t="n"/>
    </row>
    <row r="348" ht="16.5" customHeight="1" s="7635">
      <c r="A348" s="2112" t="n"/>
      <c r="B348" s="8965" t="n"/>
      <c r="D348" s="344" t="inlineStr">
        <is>
          <t>(Form 1040), line 37. Estates and trusts:  Enter your taxable income</t>
        </is>
      </c>
      <c r="E348" s="11602" t="n"/>
      <c r="F348" s="8650" t="n"/>
      <c r="G348" s="11602" t="n"/>
      <c r="H348" s="11602" t="n"/>
      <c r="I348" s="11602" t="n"/>
      <c r="J348" s="11602" t="n"/>
      <c r="K348" s="11602" t="n"/>
      <c r="L348" s="11602" t="n"/>
      <c r="M348" s="11602" t="n"/>
      <c r="N348" s="11602" t="n"/>
      <c r="O348" s="11602" t="n"/>
      <c r="P348" s="11602" t="n"/>
      <c r="Q348" s="11602" t="n"/>
      <c r="R348" s="11602" t="n"/>
      <c r="S348" s="11602" t="n"/>
      <c r="T348" s="11602" t="n"/>
      <c r="U348" s="11602" t="n"/>
      <c r="V348" s="11602" t="n"/>
      <c r="W348" s="11602" t="n"/>
      <c r="X348" s="11602" t="n"/>
      <c r="Y348" s="11602" t="n"/>
      <c r="Z348" s="2921" t="n"/>
      <c r="AA348" s="7636" t="n"/>
      <c r="AB348" s="12270">
        <f>IF(DeductionForSeniors="",0,DeductionForSeniors)</f>
        <v/>
      </c>
      <c r="AI348" s="7636" t="n"/>
      <c r="AJ348" s="8967" t="n"/>
      <c r="AL348" s="408" t="n"/>
      <c r="AM348" s="11602" t="n"/>
      <c r="AN348" s="11602" t="n"/>
      <c r="AO348" s="11602" t="n"/>
      <c r="AP348" s="1277" t="n"/>
      <c r="AQ348" s="1277" t="n"/>
      <c r="AR348" s="1277" t="n"/>
      <c r="AS348" s="1277" t="n"/>
      <c r="AT348" s="1277" t="n"/>
      <c r="AU348" s="1277" t="n"/>
      <c r="AV348" s="11602" t="n"/>
      <c r="AW348" s="11602" t="n"/>
      <c r="AX348" s="1387" t="inlineStr">
        <is>
          <t>If you completed the Qualified Dividends and Capital Gain Tax Worksheet, you must figure the amount to enter on line 18 if:</t>
        </is>
      </c>
      <c r="AY348" s="1388" t="n"/>
      <c r="AZ348" s="1027" t="n"/>
      <c r="BA348" s="1027" t="n"/>
      <c r="BB348" s="1027" t="n"/>
      <c r="BC348" s="1027" t="n"/>
      <c r="BD348" s="1027" t="n"/>
      <c r="BE348" s="1027" t="n"/>
      <c r="BF348" s="1027" t="n"/>
      <c r="BG348" s="1027" t="n"/>
      <c r="BH348" s="1389" t="n"/>
    </row>
    <row r="349" ht="18" customHeight="1" s="7635">
      <c r="A349" s="2112" t="n"/>
      <c r="B349" s="4178" t="n"/>
      <c r="C349" s="4178" t="n"/>
      <c r="D349" s="979" t="inlineStr">
        <is>
          <t>without the deduction for your exemption</t>
        </is>
      </c>
      <c r="E349" s="11602" t="n"/>
      <c r="F349" s="11602" t="n"/>
      <c r="G349" s="11602" t="n"/>
      <c r="H349" s="11602" t="n"/>
      <c r="I349" s="11602" t="n"/>
      <c r="J349" s="11602" t="n"/>
      <c r="K349" s="11602" t="n"/>
      <c r="L349" s="11602" t="n"/>
      <c r="M349" s="11602" t="n"/>
      <c r="N349" s="11602" t="n"/>
      <c r="O349" s="11602" t="n"/>
      <c r="P349" s="11602" t="n"/>
      <c r="Q349" s="11602" t="n"/>
      <c r="R349" s="11602" t="n"/>
      <c r="S349" s="11602" t="n"/>
      <c r="T349" s="11602" t="n"/>
      <c r="U349" s="11602" t="n"/>
      <c r="V349" s="11602" t="n"/>
      <c r="W349" s="11602" t="n"/>
      <c r="X349" s="11602" t="n"/>
      <c r="Y349" s="1401" t="inlineStr">
        <is>
          <t xml:space="preserve">.   .   .   .   .   .   .   .   .   .   .  </t>
        </is>
      </c>
      <c r="Z349" s="2895" t="n">
        <v>18</v>
      </c>
      <c r="AA349" s="7638" t="n"/>
      <c r="AB349" s="12250">
        <f>IF(AQ349&lt;&gt;"",ROUND(AQ349,0),IF(AB346,"",IF(AX343,BG366,SUM(Adj_Gross_Inc_Pg2,-AB347,AB348))))</f>
        <v/>
      </c>
      <c r="AC349" s="7637" t="n"/>
      <c r="AD349" s="7637" t="n"/>
      <c r="AE349" s="7637" t="n"/>
      <c r="AF349" s="7637" t="n"/>
      <c r="AG349" s="7637" t="n"/>
      <c r="AH349" s="7637" t="n"/>
      <c r="AI349" s="7638" t="n"/>
      <c r="AJ349" s="12276" t="n"/>
      <c r="AK349" s="7636" t="n"/>
      <c r="AL349" s="408" t="n"/>
      <c r="AM349" s="11602" t="n"/>
      <c r="AN349" s="11602" t="n"/>
      <c r="AO349" s="11602" t="n"/>
      <c r="AP349" s="1277" t="n"/>
      <c r="AQ349" s="8957" t="n"/>
      <c r="AR349" s="11717" t="n"/>
      <c r="AS349" s="11717" t="n"/>
      <c r="AT349" s="11717" t="n"/>
      <c r="AU349" s="1277" t="n"/>
      <c r="AV349" s="11602" t="n"/>
      <c r="AW349" s="11602" t="n"/>
      <c r="AX349" s="1390">
        <f>AND(CGTW_Line5&gt;0,CGTW_Line5&lt;&gt;"")</f>
        <v/>
      </c>
      <c r="AY349" s="1388" t="inlineStr">
        <is>
          <t>1. Line 5 of your Qualified Dividends and Capital Gain Tax Worksheet is greater than zero, and</t>
        </is>
      </c>
      <c r="AZ349" s="1027" t="n"/>
      <c r="BA349" s="1027" t="n"/>
      <c r="BB349" s="1027" t="n"/>
      <c r="BC349" s="1027" t="n"/>
      <c r="BD349" s="1027" t="n"/>
      <c r="BE349" s="1027" t="n"/>
      <c r="BF349" s="1027" t="n"/>
      <c r="BG349" s="1027" t="n"/>
      <c r="BH349" s="1389" t="n"/>
    </row>
    <row r="350" ht="13.5" customHeight="1" s="7635">
      <c r="A350" s="2112" t="n"/>
      <c r="B350" s="4178" t="n"/>
      <c r="C350" s="4178" t="n"/>
      <c r="D350" s="979" t="inlineStr">
        <is>
          <t>Caution: If you figured your tax using the lower rates on qualified dividends or capital gains, see</t>
        </is>
      </c>
      <c r="E350" s="733" t="n"/>
      <c r="F350" s="7209" t="n"/>
      <c r="G350" s="11602" t="n"/>
      <c r="H350" s="11602" t="n"/>
      <c r="I350" s="11602" t="n"/>
      <c r="J350" s="11602" t="n"/>
      <c r="K350" s="11602" t="n"/>
      <c r="L350" s="11602" t="n"/>
      <c r="M350" s="11602" t="n"/>
      <c r="N350" s="11602" t="n"/>
      <c r="O350" s="11602" t="n"/>
      <c r="P350" s="7642" t="n"/>
      <c r="Q350" s="733" t="n"/>
      <c r="R350" s="7209" t="n"/>
      <c r="S350" s="344" t="n"/>
      <c r="T350" s="11602" t="n"/>
      <c r="U350" s="11602" t="n"/>
      <c r="V350" s="11602" t="n"/>
      <c r="W350" s="11602" t="n"/>
      <c r="X350" s="11602" t="n"/>
      <c r="Y350" s="11602" t="n"/>
      <c r="Z350" s="11602" t="n"/>
      <c r="AA350" s="11602" t="n"/>
      <c r="AB350" s="11602" t="n"/>
      <c r="AC350" s="11602" t="n"/>
      <c r="AD350" s="7642" t="n"/>
      <c r="AE350" s="733" t="n"/>
      <c r="AF350" s="7209" t="n"/>
      <c r="AG350" s="11602" t="n"/>
      <c r="AH350" s="11602" t="n"/>
      <c r="AI350" s="11602" t="n"/>
      <c r="AJ350" s="12276" t="n"/>
      <c r="AK350" s="7636" t="n"/>
      <c r="AL350" s="11602" t="n"/>
      <c r="AM350" s="11602" t="n"/>
      <c r="AN350" s="11602" t="n"/>
      <c r="AO350" s="11602" t="n"/>
      <c r="AP350" s="1277" t="n"/>
      <c r="AQ350" s="1277" t="n"/>
      <c r="AR350" s="1277" t="n"/>
      <c r="AS350" s="1277" t="n"/>
      <c r="AT350" s="1277" t="n"/>
      <c r="AU350" s="1277" t="n"/>
      <c r="AV350" s="11602" t="n"/>
      <c r="AW350" s="11602" t="n"/>
      <c r="AX350" s="1390">
        <f>AND(CGTW_Line23&lt;&gt;"",CGTW_Line24&lt;&gt;"",CGTW_Line23&lt;CGTW_Line24)</f>
        <v/>
      </c>
      <c r="AY350" s="1388" t="inlineStr">
        <is>
          <t>2. Line 23 of your Qualified Dividends and Capital Gain Tax Worksheet is less than line 24 of that worksheet.</t>
        </is>
      </c>
      <c r="AZ350" s="1027" t="n"/>
      <c r="BA350" s="1027" t="n"/>
      <c r="BB350" s="1027" t="n"/>
      <c r="BC350" s="1027" t="n"/>
      <c r="BD350" s="1027" t="n"/>
      <c r="BE350" s="1027" t="n"/>
      <c r="BF350" s="1027" t="n"/>
      <c r="BG350" s="1027" t="n"/>
      <c r="BH350" s="1389" t="n"/>
    </row>
    <row r="351" ht="19.5" customHeight="1" s="7635">
      <c r="A351" s="2112" t="n"/>
      <c r="B351" s="11602" t="n"/>
      <c r="C351" s="343" t="n"/>
      <c r="D351" s="571" t="inlineStr">
        <is>
          <t>instructions.</t>
        </is>
      </c>
      <c r="E351" s="11602" t="n"/>
      <c r="F351" s="11602" t="n"/>
      <c r="G351" s="11602" t="n"/>
      <c r="H351" s="11602" t="n"/>
      <c r="I351" s="11602" t="n"/>
      <c r="J351" s="11602" t="n"/>
      <c r="K351" s="11602" t="n"/>
      <c r="L351" s="11602" t="n"/>
      <c r="M351" s="11602" t="n"/>
      <c r="N351" s="11602" t="n"/>
      <c r="O351" s="11602" t="n"/>
      <c r="P351" s="11602" t="n"/>
      <c r="Q351" s="11602" t="n"/>
      <c r="R351" s="11602" t="n"/>
      <c r="S351" s="11602" t="n"/>
      <c r="T351" s="794" t="n"/>
      <c r="U351" s="11602" t="n"/>
      <c r="V351" s="11602" t="n"/>
      <c r="W351" s="11602" t="n"/>
      <c r="X351" s="11602" t="n"/>
      <c r="Y351" s="11602" t="n"/>
      <c r="Z351" s="11602" t="n"/>
      <c r="AA351" s="11602" t="n"/>
      <c r="AB351" s="11602" t="n"/>
      <c r="AC351" s="11602" t="n"/>
      <c r="AD351" s="11602" t="n"/>
      <c r="AE351" s="11602" t="n"/>
      <c r="AF351" s="11602" t="n"/>
      <c r="AG351" s="11602" t="n"/>
      <c r="AH351" s="11602" t="n"/>
      <c r="AI351" s="11602" t="n"/>
      <c r="AJ351" s="12276" t="n"/>
      <c r="AK351" s="7636" t="n"/>
      <c r="AL351" s="11602" t="n"/>
      <c r="AM351" s="11602" t="n"/>
      <c r="AN351" s="11602" t="n"/>
      <c r="AO351" s="11602" t="n"/>
      <c r="AP351" s="1277" t="n"/>
      <c r="AQ351" s="1277" t="n"/>
      <c r="AR351" s="1277" t="n"/>
      <c r="AS351" s="1277" t="n"/>
      <c r="AT351" s="1277" t="n"/>
      <c r="AU351" s="1277" t="n"/>
      <c r="AV351" s="11602" t="n"/>
      <c r="AW351" s="11602" t="n"/>
      <c r="AX351" s="1391">
        <f>AND(AX349,AX350)</f>
        <v/>
      </c>
      <c r="AY351" s="1388" t="n"/>
      <c r="AZ351" s="1027" t="n"/>
      <c r="BA351" s="1027" t="n"/>
      <c r="BB351" s="1027" t="n"/>
      <c r="BC351" s="1027" t="n"/>
      <c r="BD351" s="1027" t="n"/>
      <c r="BE351" s="1027" t="n"/>
      <c r="BF351" s="1027" t="n"/>
      <c r="BG351" s="1027" t="n"/>
      <c r="BH351" s="1389" t="n"/>
    </row>
    <row r="352" ht="13.5" customHeight="1" s="7635">
      <c r="A352" s="2112" t="n"/>
      <c r="B352" s="8965" t="n">
        <v>19</v>
      </c>
      <c r="D352" s="344" t="inlineStr">
        <is>
          <t>Divide line 17 by line 18. If line 17 is more than line 18, enter “1”</t>
        </is>
      </c>
      <c r="E352" s="11602" t="n"/>
      <c r="F352" s="8650" t="n"/>
      <c r="G352" s="11602" t="n"/>
      <c r="H352" s="11602" t="n"/>
      <c r="I352" s="11602" t="n"/>
      <c r="J352" s="11602" t="n"/>
      <c r="K352" s="11602" t="n"/>
      <c r="L352" s="11602" t="n"/>
      <c r="M352" s="11602" t="n"/>
      <c r="N352" s="11602" t="n"/>
      <c r="O352" s="11602" t="n"/>
      <c r="P352" s="11602" t="n"/>
      <c r="Q352" s="11602" t="n"/>
      <c r="R352" s="11602" t="n"/>
      <c r="S352" s="11602" t="n"/>
      <c r="T352" s="11602" t="n"/>
      <c r="U352" s="11602" t="n"/>
      <c r="V352" s="11602" t="n"/>
      <c r="W352" s="11602" t="n"/>
      <c r="X352" s="11602" t="n"/>
      <c r="Y352" s="11602" t="n"/>
      <c r="Z352" s="11602" t="n"/>
      <c r="AA352" s="11602" t="n"/>
      <c r="AB352" s="11602" t="n"/>
      <c r="AC352" s="11602" t="n"/>
      <c r="AD352" s="11602" t="n"/>
      <c r="AE352" s="11602" t="n"/>
      <c r="AF352" s="11602" t="n"/>
      <c r="AG352" s="11602" t="n"/>
      <c r="AH352" s="11602" t="n"/>
      <c r="AI352" s="1401" t="inlineStr">
        <is>
          <t xml:space="preserve">.   .   .   .   .   .   .   .   .   .   .   .   .   .   .  </t>
        </is>
      </c>
      <c r="AJ352" s="2895" t="n">
        <v>19</v>
      </c>
      <c r="AK352" s="7638" t="n"/>
      <c r="AL352" s="12258">
        <f>IF(AQ352&lt;&gt;"",ROUND(AQ352,4),IF(AB346,"",IF(OR(AB349="",AB349=0),"                    ---",IF(AB345&gt;AB349,1,ROUND(AB345/AB349,4)))))</f>
        <v/>
      </c>
      <c r="AM352" s="7637" t="n"/>
      <c r="AN352" s="7637" t="n"/>
      <c r="AO352" s="7637" t="n"/>
      <c r="AP352" s="1277" t="n"/>
      <c r="AQ352" s="12259" t="n"/>
      <c r="AR352" s="11717" t="n"/>
      <c r="AS352" s="11717" t="n"/>
      <c r="AT352" s="11717" t="n"/>
      <c r="AU352" s="1277" t="n"/>
      <c r="AV352" s="11602" t="n"/>
      <c r="AW352" s="11602" t="n"/>
      <c r="AX352" s="1392" t="inlineStr">
        <is>
          <t>See instructions for Form 1116 to see if you qualify for an exception that allows you to elect to NOT adjust your qualified</t>
        </is>
      </c>
      <c r="AY352" s="1388" t="n"/>
      <c r="AZ352" s="1027" t="n"/>
      <c r="BA352" s="1027" t="n"/>
      <c r="BB352" s="1027" t="n"/>
      <c r="BC352" s="1027" t="n"/>
      <c r="BD352" s="1027" t="n"/>
      <c r="BE352" s="1027" t="n"/>
      <c r="BF352" s="1027" t="n"/>
      <c r="BG352" s="1027" t="n"/>
      <c r="BH352" s="1389" t="n"/>
    </row>
    <row r="353" ht="13.5" customHeight="1" s="7635" thickBot="1">
      <c r="A353" s="2112" t="n"/>
      <c r="B353" s="8966" t="n">
        <v>20</v>
      </c>
      <c r="D353" s="344" t="inlineStr">
        <is>
          <t>Individuals: Enter the total of Form 1040 or 1040-SR, line 16, and Schedule 2 (Form 1040),</t>
        </is>
      </c>
      <c r="E353" s="11602" t="n"/>
      <c r="F353" s="8650" t="n"/>
      <c r="G353" s="11602" t="n"/>
      <c r="H353" s="11602" t="n"/>
      <c r="I353" s="11602" t="n"/>
      <c r="J353" s="11602" t="n"/>
      <c r="K353" s="11602" t="n"/>
      <c r="L353" s="11602" t="n"/>
      <c r="M353" s="11602" t="n"/>
      <c r="N353" s="11602" t="n"/>
      <c r="O353" s="11602" t="n"/>
      <c r="P353" s="11602" t="n"/>
      <c r="Q353" s="11602" t="n"/>
      <c r="R353" s="11602" t="n"/>
      <c r="S353" s="11602" t="n"/>
      <c r="T353" s="11602" t="n"/>
      <c r="U353" s="11602" t="n"/>
      <c r="V353" s="11602" t="n"/>
      <c r="W353" s="11602" t="n"/>
      <c r="X353" s="11602" t="n"/>
      <c r="Y353" s="11602" t="n"/>
      <c r="Z353" s="11602" t="n"/>
      <c r="AA353" s="11602" t="n"/>
      <c r="AB353" s="11602" t="n"/>
      <c r="AC353" s="11602" t="n"/>
      <c r="AD353" s="11602" t="n"/>
      <c r="AE353" s="11602" t="n"/>
      <c r="AF353" s="11602" t="n"/>
      <c r="AG353" s="11602" t="n"/>
      <c r="AH353" s="11602" t="n"/>
      <c r="AI353" s="11602" t="n"/>
      <c r="AJ353" s="9085" t="n"/>
      <c r="AL353" s="408" t="n"/>
      <c r="AM353" s="11602" t="n"/>
      <c r="AN353" s="11602" t="n"/>
      <c r="AO353" s="11602" t="n"/>
      <c r="AP353" s="1277" t="n"/>
      <c r="AQ353" s="1277" t="n"/>
      <c r="AR353" s="1277" t="n"/>
      <c r="AS353" s="1277" t="n"/>
      <c r="AT353" s="1277" t="n"/>
      <c r="AU353" s="1277" t="n"/>
      <c r="AV353" s="11602" t="n"/>
      <c r="AW353" s="11602" t="n"/>
      <c r="AX353" s="1393" t="inlineStr">
        <is>
          <t>dividends and capital gains. If so, you must make this election by not completing ths worsheet.</t>
        </is>
      </c>
      <c r="AY353" s="1394" t="n"/>
      <c r="AZ353" s="1395" t="n"/>
      <c r="BA353" s="1395" t="n"/>
      <c r="BB353" s="1395" t="n"/>
      <c r="BC353" s="1395" t="n"/>
      <c r="BD353" s="1395" t="n"/>
      <c r="BE353" s="1395" t="n"/>
      <c r="BF353" s="1395" t="n"/>
      <c r="BG353" s="1395" t="n"/>
      <c r="BH353" s="1396" t="n"/>
    </row>
    <row r="354" ht="13.5" customHeight="1" s="7635">
      <c r="A354" s="2112" t="n"/>
      <c r="B354" s="8966" t="n"/>
      <c r="D354" s="344" t="inlineStr">
        <is>
          <t>line 2. Estates and trusts: Enter the amount from Form 1041, Schedule G, line 1a; or the total of</t>
        </is>
      </c>
      <c r="E354" s="11602" t="n"/>
      <c r="F354" s="8650" t="n"/>
      <c r="G354" s="11602" t="n"/>
      <c r="H354" s="11602" t="n"/>
      <c r="I354" s="11602" t="n"/>
      <c r="J354" s="11602" t="n"/>
      <c r="K354" s="11602" t="n"/>
      <c r="L354" s="11602" t="n"/>
      <c r="M354" s="11602" t="n"/>
      <c r="N354" s="11602" t="n"/>
      <c r="O354" s="11602" t="n"/>
      <c r="P354" s="11602" t="n"/>
      <c r="Q354" s="11602" t="n"/>
      <c r="R354" s="11602" t="n"/>
      <c r="S354" s="11602" t="n"/>
      <c r="T354" s="11602" t="n"/>
      <c r="U354" s="11602" t="n"/>
      <c r="V354" s="11602" t="n"/>
      <c r="W354" s="11602" t="n"/>
      <c r="X354" s="11602" t="n"/>
      <c r="Y354" s="11602" t="n"/>
      <c r="Z354" s="11602" t="n"/>
      <c r="AA354" s="11602" t="n"/>
      <c r="AB354" s="11602" t="n"/>
      <c r="AC354" s="11602" t="n"/>
      <c r="AD354" s="11602" t="n"/>
      <c r="AE354" s="11602" t="n"/>
      <c r="AF354" s="11602" t="n"/>
      <c r="AG354" s="11602" t="n"/>
      <c r="AH354" s="11602" t="n"/>
      <c r="AI354" s="11602" t="n"/>
      <c r="AJ354" s="9085" t="n"/>
      <c r="AL354" s="408" t="n"/>
      <c r="AM354" s="11602" t="n"/>
      <c r="AN354" s="11602" t="n"/>
      <c r="AO354" s="11602" t="n"/>
      <c r="AP354" s="1277" t="n"/>
      <c r="AQ354" s="1277" t="n"/>
      <c r="AR354" s="1277" t="n"/>
      <c r="AS354" s="1277" t="n"/>
      <c r="AT354" s="1277" t="n"/>
      <c r="AU354" s="1277" t="n"/>
      <c r="AV354" s="11602" t="n"/>
      <c r="AW354" s="11602" t="n"/>
      <c r="AX354" s="12254" t="inlineStr">
        <is>
          <t>Worksheet for Line 18 (Worldwide Qualified Dividends and Capital Gains)</t>
        </is>
      </c>
      <c r="AY354" s="2506" t="n"/>
      <c r="AZ354" s="2506" t="n"/>
      <c r="BA354" s="2506" t="n"/>
      <c r="BB354" s="2506" t="n"/>
      <c r="BC354" s="2506" t="n"/>
      <c r="BD354" s="2506" t="n"/>
      <c r="BE354" s="2506" t="n"/>
      <c r="BF354" s="12277" t="inlineStr">
        <is>
          <t>Keep for Your Records</t>
        </is>
      </c>
      <c r="BG354" s="2506" t="n"/>
      <c r="BH354" s="4191" t="n"/>
    </row>
    <row r="355" ht="13.5" customHeight="1" s="7635">
      <c r="A355" s="2112" t="n"/>
      <c r="B355" s="8966" t="n"/>
      <c r="C355" s="8966" t="n"/>
      <c r="D355" s="979" t="inlineStr">
        <is>
          <t>Form 990-T, Part II, lines 2, 3, 4, and 6. Foreign estates and trusts should enter the amount from</t>
        </is>
      </c>
      <c r="E355" s="11602" t="n"/>
      <c r="F355" s="8650" t="n"/>
      <c r="G355" s="11602" t="n"/>
      <c r="H355" s="11602" t="n"/>
      <c r="I355" s="11602" t="n"/>
      <c r="J355" s="11602" t="n"/>
      <c r="K355" s="11602" t="n"/>
      <c r="L355" s="11602" t="n"/>
      <c r="M355" s="11602" t="n"/>
      <c r="N355" s="11602" t="n"/>
      <c r="O355" s="11602" t="n"/>
      <c r="P355" s="11602" t="n"/>
      <c r="Q355" s="11602" t="n"/>
      <c r="R355" s="11602" t="n"/>
      <c r="S355" s="11602" t="n"/>
      <c r="T355" s="11602" t="n"/>
      <c r="U355" s="11602" t="n"/>
      <c r="V355" s="11602" t="n"/>
      <c r="W355" s="11602" t="n"/>
      <c r="X355" s="11602" t="n"/>
      <c r="Y355" s="11602" t="n"/>
      <c r="Z355" s="11602" t="n"/>
      <c r="AA355" s="11602" t="n"/>
      <c r="AB355" s="11602" t="n"/>
      <c r="AC355" s="11602" t="n"/>
      <c r="AD355" s="11602" t="n"/>
      <c r="AE355" s="11602" t="n"/>
      <c r="AF355" s="11602" t="n"/>
      <c r="AG355" s="11602" t="n"/>
      <c r="AH355" s="11602" t="n"/>
      <c r="AI355" s="11602" t="n"/>
      <c r="AJ355" s="9085" t="n"/>
      <c r="AK355" s="9086" t="n"/>
      <c r="AL355" s="408" t="n"/>
      <c r="AM355" s="11602" t="n"/>
      <c r="AN355" s="11602" t="n"/>
      <c r="AO355" s="11602" t="n"/>
      <c r="AP355" s="1277" t="n"/>
      <c r="AQ355" s="1277" t="n"/>
      <c r="AR355" s="1277" t="n"/>
      <c r="AS355" s="1277" t="n"/>
      <c r="AT355" s="1277" t="n"/>
      <c r="AU355" s="1277" t="n"/>
      <c r="AV355" s="11602" t="n"/>
      <c r="AW355" s="11602" t="n"/>
      <c r="AX355" s="11907" t="n"/>
      <c r="AY355" s="7637" t="n"/>
      <c r="AZ355" s="7637" t="n"/>
      <c r="BA355" s="7637" t="n"/>
      <c r="BB355" s="7637" t="n"/>
      <c r="BC355" s="7637" t="n"/>
      <c r="BD355" s="7637" t="n"/>
      <c r="BE355" s="7637" t="n"/>
      <c r="BF355" s="7637" t="n"/>
      <c r="BG355" s="7637" t="n"/>
      <c r="BH355" s="4192" t="n"/>
    </row>
    <row r="356" ht="13.5" customHeight="1" s="7635">
      <c r="A356" s="2112" t="n"/>
      <c r="B356" s="1321" t="n"/>
      <c r="C356" s="1321" t="n"/>
      <c r="D356" s="979" t="inlineStr">
        <is>
          <t>Form 1040-NR, line 16. See instructions</t>
        </is>
      </c>
      <c r="E356" s="11602" t="n"/>
      <c r="F356" s="11602" t="n"/>
      <c r="G356" s="11602" t="n"/>
      <c r="H356" s="11602" t="n"/>
      <c r="I356" s="11602" t="n"/>
      <c r="J356" s="11602" t="n"/>
      <c r="K356" s="11602" t="n"/>
      <c r="L356" s="11602" t="n"/>
      <c r="M356" s="11602" t="n"/>
      <c r="N356" s="11602" t="n"/>
      <c r="O356" s="11602" t="n"/>
      <c r="P356" s="11602" t="n"/>
      <c r="Q356" s="11602" t="n"/>
      <c r="R356" s="11602" t="n"/>
      <c r="S356" s="11602" t="n"/>
      <c r="T356" s="11602" t="n"/>
      <c r="U356" s="11602" t="n"/>
      <c r="V356" s="11602" t="n"/>
      <c r="W356" s="11602" t="n"/>
      <c r="X356" s="11602" t="n"/>
      <c r="Y356" s="11602" t="n"/>
      <c r="Z356" s="11602" t="n"/>
      <c r="AA356" s="11602" t="n"/>
      <c r="AB356" s="11602" t="n"/>
      <c r="AC356" s="11602" t="n"/>
      <c r="AD356" s="11602" t="n"/>
      <c r="AE356" s="11602" t="n"/>
      <c r="AF356" s="11602" t="n"/>
      <c r="AG356" s="11602" t="n"/>
      <c r="AH356" s="11602" t="n"/>
      <c r="AI356" s="1401" t="inlineStr">
        <is>
          <t xml:space="preserve">.   .   .   .   .   .   .   .   .   .   .   .   .   .   .   .   .   .   .   .   .   .   .  </t>
        </is>
      </c>
      <c r="AJ356" s="2895" t="n">
        <v>20</v>
      </c>
      <c r="AK356" s="7638" t="n"/>
      <c r="AL356" s="8991">
        <f>IF(AQ356&lt;&gt;"",ROUND(AQ356,0),IF(AB346,"",IF(AO265&lt;&gt;1,"",SUM(Tax_SubTotal,PTC_ExcessAdv))))</f>
        <v/>
      </c>
      <c r="AM356" s="7637" t="n"/>
      <c r="AN356" s="7637" t="n"/>
      <c r="AO356" s="7637" t="n"/>
      <c r="AP356" s="1277" t="n"/>
      <c r="AQ356" s="8957" t="n"/>
      <c r="AR356" s="11717" t="n"/>
      <c r="AS356" s="11717" t="n"/>
      <c r="AT356" s="11717" t="n"/>
      <c r="AU356" s="1277" t="n"/>
      <c r="AV356" s="11602" t="n"/>
      <c r="AW356" s="11602" t="n"/>
      <c r="AX356" s="4193" t="n"/>
      <c r="AY356" s="851" t="n"/>
      <c r="AZ356" s="851" t="n"/>
      <c r="BA356" s="851" t="n"/>
      <c r="BB356" s="851" t="n"/>
      <c r="BC356" s="851" t="n"/>
      <c r="BD356" s="851" t="n"/>
      <c r="BE356" s="851" t="n"/>
      <c r="BF356" s="851" t="n"/>
      <c r="BG356" s="851" t="n"/>
      <c r="BH356" s="4194" t="n"/>
    </row>
    <row r="357" ht="14.25" customFormat="1" customHeight="1" s="9864">
      <c r="A357" s="2114" t="n"/>
      <c r="B357" s="9135" t="n"/>
      <c r="D357" s="516" t="inlineStr">
        <is>
          <t>Caution: If you are completing line 20 for separate category g (lump-sum distributions), or, if you file</t>
        </is>
      </c>
      <c r="E357" s="411" t="n"/>
      <c r="F357" s="1672" t="n"/>
      <c r="G357" s="411" t="n"/>
      <c r="H357" s="411" t="n"/>
      <c r="I357" s="411" t="n"/>
      <c r="J357" s="411" t="n"/>
      <c r="K357" s="411" t="n"/>
      <c r="L357" s="411" t="n"/>
      <c r="M357" s="411" t="n"/>
      <c r="N357" s="411" t="n"/>
      <c r="O357" s="411" t="n"/>
      <c r="P357" s="411" t="n"/>
      <c r="Q357" s="411" t="n"/>
      <c r="R357" s="411" t="n"/>
      <c r="S357" s="411" t="n"/>
      <c r="T357" s="411" t="n"/>
      <c r="U357" s="411" t="n"/>
      <c r="V357" s="411" t="n"/>
      <c r="W357" s="411" t="n"/>
      <c r="X357" s="411" t="n"/>
      <c r="Y357" s="411" t="n"/>
      <c r="Z357" s="411" t="n"/>
      <c r="AA357" s="411" t="n"/>
      <c r="AB357" s="411" t="n"/>
      <c r="AC357" s="411" t="n"/>
      <c r="AD357" s="411" t="n"/>
      <c r="AE357" s="411" t="n"/>
      <c r="AF357" s="411" t="n"/>
      <c r="AG357" s="411" t="n"/>
      <c r="AH357" s="411" t="n"/>
      <c r="AI357" s="411" t="n"/>
      <c r="AJ357" s="410" t="n"/>
      <c r="AK357" s="1450" t="n"/>
      <c r="AL357" s="411" t="n"/>
      <c r="AM357" s="411" t="n"/>
      <c r="AN357" s="411" t="n"/>
      <c r="AO357" s="411" t="n"/>
      <c r="AP357" s="2113" t="n"/>
      <c r="AQ357" s="2113" t="n"/>
      <c r="AR357" s="2113" t="n"/>
      <c r="AS357" s="2113" t="n"/>
      <c r="AT357" s="2113" t="n"/>
      <c r="AU357" s="2113" t="n"/>
      <c r="AV357" s="411" t="n"/>
      <c r="AW357" s="411" t="n"/>
      <c r="AX357" s="6499" t="inlineStr">
        <is>
          <t>Caution:</t>
        </is>
      </c>
      <c r="AY357" s="1193" t="inlineStr">
        <is>
          <t>See the instructions for line 18 below before starting this worksheet.</t>
        </is>
      </c>
      <c r="AZ357" s="851" t="n"/>
      <c r="BA357" s="851" t="n"/>
      <c r="BB357" s="851" t="n"/>
      <c r="BC357" s="851" t="n"/>
      <c r="BD357" s="851" t="n"/>
      <c r="BE357" s="851" t="n"/>
      <c r="BF357" s="851" t="n"/>
      <c r="BG357" s="851" t="n"/>
      <c r="BH357" s="4194" t="n"/>
    </row>
    <row r="358" ht="13.5" customHeight="1" s="7635">
      <c r="A358" s="2112" t="n"/>
      <c r="B358" s="344" t="n"/>
      <c r="C358" s="344" t="n"/>
      <c r="D358" s="571" t="inlineStr">
        <is>
          <t>Form 8978, Partner’s Additional Reporting Year Tax, see instructions.</t>
        </is>
      </c>
      <c r="E358" s="11602" t="n"/>
      <c r="F358" s="11602" t="n"/>
      <c r="G358" s="11602" t="n"/>
      <c r="H358" s="11602" t="n"/>
      <c r="I358" s="11602" t="n"/>
      <c r="J358" s="11602" t="n"/>
      <c r="K358" s="11602" t="n"/>
      <c r="L358" s="11602" t="n"/>
      <c r="M358" s="11602" t="n"/>
      <c r="N358" s="11602" t="n"/>
      <c r="O358" s="11602" t="n"/>
      <c r="P358" s="11602" t="n"/>
      <c r="Q358" s="11602" t="n"/>
      <c r="R358" s="11602" t="n"/>
      <c r="S358" s="11602" t="n"/>
      <c r="T358" s="794" t="n"/>
      <c r="U358" s="11602" t="n"/>
      <c r="V358" s="11602" t="n"/>
      <c r="W358" s="11602" t="n"/>
      <c r="X358" s="11602" t="n"/>
      <c r="Y358" s="11602" t="n"/>
      <c r="Z358" s="11602" t="n"/>
      <c r="AA358" s="11602" t="n"/>
      <c r="AB358" s="11602" t="n"/>
      <c r="AC358" s="11602" t="n"/>
      <c r="AD358" s="11602" t="n"/>
      <c r="AE358" s="11602" t="n"/>
      <c r="AF358" s="11602" t="n"/>
      <c r="AG358" s="11602" t="n"/>
      <c r="AH358" s="11602" t="n"/>
      <c r="AI358" s="11602" t="n"/>
      <c r="AJ358" s="408" t="n"/>
      <c r="AK358" s="409" t="n"/>
      <c r="AL358" s="11602" t="n"/>
      <c r="AM358" s="11602" t="n"/>
      <c r="AN358" s="11602" t="n"/>
      <c r="AO358" s="11602" t="n"/>
      <c r="AP358" s="1277" t="n"/>
      <c r="AQ358" s="1277" t="n"/>
      <c r="AR358" s="1277" t="n"/>
      <c r="AS358" s="1277" t="n"/>
      <c r="AT358" s="1277" t="n"/>
      <c r="AU358" s="1277" t="n"/>
      <c r="AV358" s="11602" t="n"/>
      <c r="AW358" s="11602" t="n"/>
      <c r="AX358" s="4193" t="n"/>
      <c r="AY358" s="851" t="n"/>
      <c r="AZ358" s="851" t="n"/>
      <c r="BA358" s="851" t="n"/>
      <c r="BB358" s="851" t="n"/>
      <c r="BC358" s="851" t="n"/>
      <c r="BD358" s="851" t="n"/>
      <c r="BE358" s="851" t="n"/>
      <c r="BF358" s="851" t="n"/>
      <c r="BG358" s="851" t="n"/>
      <c r="BH358" s="4194" t="n"/>
    </row>
    <row r="359" ht="13.5" customHeight="1" s="7635">
      <c r="A359" s="2112" t="n"/>
      <c r="B359" s="8965" t="n">
        <v>21</v>
      </c>
      <c r="D359" s="11602" t="inlineStr">
        <is>
          <t>Multiply line 20 by line 19 (maximum amount of credit)</t>
        </is>
      </c>
      <c r="E359" s="11602" t="n"/>
      <c r="F359" s="11602" t="n"/>
      <c r="G359" s="11602" t="n"/>
      <c r="H359" s="11602" t="n"/>
      <c r="I359" s="11602" t="n"/>
      <c r="J359" s="11602" t="n"/>
      <c r="K359" s="11602" t="n"/>
      <c r="L359" s="11602" t="n"/>
      <c r="M359" s="11602" t="n"/>
      <c r="N359" s="11602" t="n"/>
      <c r="O359" s="11602" t="n"/>
      <c r="P359" s="11602" t="n"/>
      <c r="Q359" s="11602" t="n"/>
      <c r="R359" s="11602" t="n"/>
      <c r="S359" s="11602" t="n"/>
      <c r="T359" s="794" t="n"/>
      <c r="U359" s="11602" t="n"/>
      <c r="V359" s="11602" t="n"/>
      <c r="W359" s="11602" t="n"/>
      <c r="X359" s="11602" t="n"/>
      <c r="Y359" s="11602" t="n"/>
      <c r="Z359" s="11602" t="n"/>
      <c r="AA359" s="11602" t="n"/>
      <c r="AB359" s="11602" t="n"/>
      <c r="AC359" s="11602" t="n"/>
      <c r="AD359" s="11602" t="n"/>
      <c r="AE359" s="11602" t="n"/>
      <c r="AF359" s="11602" t="n"/>
      <c r="AG359" s="11602" t="n"/>
      <c r="AH359" s="11602" t="n"/>
      <c r="AI359" s="1401" t="inlineStr">
        <is>
          <t xml:space="preserve">.   .   .   .   .   .   .   .   .   .   .   .   .   .   .   .   .   .  </t>
        </is>
      </c>
      <c r="AJ359" s="2895" t="n">
        <v>21</v>
      </c>
      <c r="AK359" s="7638" t="n"/>
      <c r="AL359" s="8991">
        <f>IF(AB346,"",IF(ISERROR(AL352*AL356),"                    ---",ROUND(AL352*AL356,0)))</f>
        <v/>
      </c>
      <c r="AM359" s="7637" t="n"/>
      <c r="AN359" s="7637" t="n"/>
      <c r="AO359" s="7637" t="n"/>
      <c r="AP359" s="1277" t="n"/>
      <c r="AQ359" s="1277" t="n"/>
      <c r="AR359" s="1277" t="n"/>
      <c r="AS359" s="1277" t="n"/>
      <c r="AT359" s="1277" t="n"/>
      <c r="AU359" s="1277" t="n"/>
      <c r="AV359" s="11602" t="n"/>
      <c r="AW359" s="11602" t="n"/>
      <c r="AX359" s="4195" t="inlineStr">
        <is>
          <t>1.</t>
        </is>
      </c>
      <c r="AY359" s="1193" t="inlineStr">
        <is>
          <t>Individuals: Enter the sum of (i) Form 1040, 1040-SR, or 1040-NR, line 11b, minus Form</t>
        </is>
      </c>
      <c r="AZ359" s="851" t="n"/>
      <c r="BA359" s="851" t="n"/>
      <c r="BB359" s="851" t="n"/>
      <c r="BC359" s="851" t="n"/>
      <c r="BD359" s="851" t="n"/>
      <c r="BE359" s="851" t="n"/>
      <c r="BF359" s="851" t="n"/>
      <c r="BG359" s="990">
        <f>IF(TotalDeductions="",0,TotalDeductions)</f>
        <v/>
      </c>
      <c r="BH359" s="4194" t="n"/>
    </row>
    <row r="360" ht="13.5" customHeight="1" s="7635">
      <c r="A360" s="2112" t="n"/>
      <c r="B360" s="8966" t="n">
        <v>22</v>
      </c>
      <c r="D360" s="344" t="inlineStr">
        <is>
          <t>Increase in limitation (section 960(c))</t>
        </is>
      </c>
      <c r="E360" s="11602" t="n"/>
      <c r="F360" s="11602" t="n"/>
      <c r="G360" s="11602" t="n"/>
      <c r="H360" s="11602" t="n"/>
      <c r="I360" s="11602" t="n"/>
      <c r="J360" s="11602" t="n"/>
      <c r="K360" s="11602" t="n"/>
      <c r="L360" s="11602" t="n"/>
      <c r="M360" s="11602" t="n"/>
      <c r="N360" s="11602" t="n"/>
      <c r="O360" s="11602" t="n"/>
      <c r="P360" s="11602" t="n"/>
      <c r="Q360" s="11602" t="n"/>
      <c r="R360" s="11602" t="n"/>
      <c r="S360" s="11602" t="n"/>
      <c r="T360" s="794" t="n"/>
      <c r="U360" s="11602" t="n"/>
      <c r="V360" s="11602" t="n"/>
      <c r="W360" s="11602" t="n"/>
      <c r="X360" s="11602" t="n"/>
      <c r="Y360" s="11602" t="n"/>
      <c r="Z360" s="11602" t="n"/>
      <c r="AA360" s="11602" t="n"/>
      <c r="AB360" s="11602" t="n"/>
      <c r="AC360" s="11602" t="n"/>
      <c r="AD360" s="11602" t="n"/>
      <c r="AE360" s="11602" t="n"/>
      <c r="AF360" s="11602" t="n"/>
      <c r="AG360" s="11602" t="n"/>
      <c r="AH360" s="11602" t="n"/>
      <c r="AI360" s="1401" t="inlineStr">
        <is>
          <t xml:space="preserve">.   .   .   .   .   .   .   .   .   .   .   .   .   .   .   .   .   .   .   .   .   .   .   .   .  </t>
        </is>
      </c>
      <c r="AJ360" s="2895" t="n">
        <v>22</v>
      </c>
      <c r="AK360" s="7638" t="n"/>
      <c r="AL360" s="9017" t="n"/>
      <c r="AM360" s="11717" t="n"/>
      <c r="AN360" s="11717" t="n"/>
      <c r="AO360" s="11717" t="n"/>
      <c r="AP360" s="1277" t="n"/>
      <c r="AQ360" s="8949">
        <f>IF(AL360&lt;&gt;"",ROUND(AL360,0),0)</f>
        <v/>
      </c>
      <c r="AU360" s="1277" t="n"/>
      <c r="AV360" s="11602" t="n"/>
      <c r="AW360" s="11602" t="n"/>
      <c r="AX360" s="4195" t="n"/>
      <c r="AY360" s="1193" t="inlineStr">
        <is>
          <t>1040, 1040-SR, or 1040-NR, line 14; and (ii) Schedule 1-A (Form 1040), line 37.</t>
        </is>
      </c>
      <c r="AZ360" s="851" t="n"/>
      <c r="BA360" s="851" t="n"/>
      <c r="BB360" s="851" t="n"/>
      <c r="BC360" s="851" t="n"/>
      <c r="BD360" s="851" t="n"/>
      <c r="BE360" s="851" t="n"/>
      <c r="BF360" s="851" t="n"/>
      <c r="BG360" s="990">
        <f>IF(DeductionForSeniors="",0,DeductionForSeniors)</f>
        <v/>
      </c>
      <c r="BH360" s="4194" t="n"/>
    </row>
    <row r="361" ht="15.75" customHeight="1" s="7635">
      <c r="A361" s="2112" t="n"/>
      <c r="B361" s="8966" t="n">
        <v>23</v>
      </c>
      <c r="D361" s="344" t="inlineStr">
        <is>
          <t>Add lines 21 and 22</t>
        </is>
      </c>
      <c r="E361" s="11602" t="n"/>
      <c r="F361" s="11602" t="n"/>
      <c r="G361" s="11602" t="n"/>
      <c r="H361" s="11602" t="n"/>
      <c r="I361" s="11602" t="n"/>
      <c r="J361" s="11602" t="n"/>
      <c r="K361" s="11602" t="n"/>
      <c r="L361" s="11602" t="n"/>
      <c r="M361" s="11602" t="n"/>
      <c r="N361" s="11602" t="n"/>
      <c r="O361" s="11602" t="n"/>
      <c r="P361" s="11602" t="n"/>
      <c r="Q361" s="11602" t="n"/>
      <c r="R361" s="11602" t="n"/>
      <c r="S361" s="11602" t="n"/>
      <c r="T361" s="794" t="n"/>
      <c r="U361" s="11602" t="n"/>
      <c r="V361" s="11602" t="n"/>
      <c r="W361" s="11602" t="n"/>
      <c r="X361" s="11602" t="n"/>
      <c r="Y361" s="11602" t="n"/>
      <c r="Z361" s="11602" t="n"/>
      <c r="AA361" s="11602" t="n"/>
      <c r="AB361" s="11602" t="n"/>
      <c r="AC361" s="11602" t="n"/>
      <c r="AD361" s="11602" t="n"/>
      <c r="AE361" s="11602" t="n"/>
      <c r="AF361" s="11602" t="n"/>
      <c r="AG361" s="11602" t="n"/>
      <c r="AH361" s="11602" t="n"/>
      <c r="AI361" s="1401" t="inlineStr">
        <is>
          <t xml:space="preserve">.   .   .   .   .   .   .   .   .   .   .   .   .   .   .   .   .   .   .   .   .   .   .   .   .   .   .   .   .   .   .   .  </t>
        </is>
      </c>
      <c r="AJ361" s="2895" t="n">
        <v>23</v>
      </c>
      <c r="AK361" s="7638" t="n"/>
      <c r="AL361" s="8991">
        <f>IF(AB346,"",SUM(AL359,AQ360))</f>
        <v/>
      </c>
      <c r="AM361" s="7637" t="n"/>
      <c r="AN361" s="7637" t="n"/>
      <c r="AO361" s="7637" t="n"/>
      <c r="AP361" s="1277" t="n"/>
      <c r="AQ361" s="1277" t="n"/>
      <c r="AR361" s="1277" t="n"/>
      <c r="AS361" s="1277" t="n"/>
      <c r="AT361" s="1277" t="n"/>
      <c r="AU361" s="1277" t="n"/>
      <c r="AV361" s="11602" t="n"/>
      <c r="AW361" s="11602" t="n"/>
      <c r="AX361" s="4193" t="n"/>
      <c r="AY361" s="1193" t="inlineStr">
        <is>
          <t>Estates and trusts: Enter taxable income without the deduction for your exemption</t>
        </is>
      </c>
      <c r="AZ361" s="851" t="n"/>
      <c r="BA361" s="851" t="n"/>
      <c r="BB361" s="851" t="n"/>
      <c r="BC361" s="851" t="n"/>
      <c r="BD361" s="851" t="n"/>
      <c r="BE361" s="1027" t="n"/>
      <c r="BF361" s="1028" t="inlineStr">
        <is>
          <t>1.</t>
        </is>
      </c>
      <c r="BG361" s="1030">
        <f>IF(NOT(AX351),"",SUM(Adj_Gross_Inc_Pg2,-BG359,BG360))</f>
        <v/>
      </c>
      <c r="BH361" s="4194" t="n"/>
    </row>
    <row r="362" ht="14.25" customHeight="1" s="7635" thickBot="1">
      <c r="A362" s="2112" t="n"/>
      <c r="B362" s="9134" t="n">
        <v>24</v>
      </c>
      <c r="C362" s="8848" t="n"/>
      <c r="D362" s="981" t="inlineStr">
        <is>
          <t>Enter the smaller of line 14 or line 23. Enter here and on the appropriate line of Part IV. See instructions</t>
        </is>
      </c>
      <c r="E362" s="380" t="n"/>
      <c r="F362" s="380" t="n"/>
      <c r="G362" s="380" t="n"/>
      <c r="H362" s="380" t="n"/>
      <c r="I362" s="380" t="n"/>
      <c r="J362" s="380" t="n"/>
      <c r="K362" s="380" t="n"/>
      <c r="L362" s="380" t="n"/>
      <c r="M362" s="380" t="n"/>
      <c r="N362" s="380" t="n"/>
      <c r="O362" s="380" t="n"/>
      <c r="P362" s="380" t="n"/>
      <c r="Q362" s="380" t="n"/>
      <c r="R362" s="380" t="n"/>
      <c r="S362" s="380" t="n"/>
      <c r="T362" s="4206" t="n"/>
      <c r="U362" s="380" t="n"/>
      <c r="V362" s="380" t="n"/>
      <c r="W362" s="380" t="n"/>
      <c r="X362" s="380" t="n"/>
      <c r="Y362" s="380" t="n"/>
      <c r="Z362" s="380" t="n"/>
      <c r="AA362" s="380" t="n"/>
      <c r="AB362" s="380" t="n"/>
      <c r="AC362" s="380" t="n"/>
      <c r="AD362" s="380" t="n"/>
      <c r="AE362" s="380" t="n"/>
      <c r="AF362" s="380" t="n"/>
      <c r="AG362" s="380" t="n"/>
      <c r="AH362" s="380" t="n"/>
      <c r="AI362" s="10735" t="n"/>
      <c r="AJ362" s="3840" t="n">
        <v>24</v>
      </c>
      <c r="AK362" s="12121" t="n"/>
      <c r="AL362" s="9025">
        <f>IF(AQ362&lt;&gt;"",ROUND(AQ362,0),IF(AB346,"",IF(ISERROR(AL338*AL359),"                    ---",MIN(AL338,AL359))))</f>
        <v/>
      </c>
      <c r="AM362" s="8848" t="n"/>
      <c r="AN362" s="8848" t="n"/>
      <c r="AO362" s="8848" t="n"/>
      <c r="AP362" s="1277" t="n"/>
      <c r="AQ362" s="8957" t="n"/>
      <c r="AR362" s="11717" t="n"/>
      <c r="AS362" s="11717" t="n"/>
      <c r="AT362" s="11717" t="n"/>
      <c r="AU362" s="1277" t="n"/>
      <c r="AV362" s="11602" t="n"/>
      <c r="AW362" s="11602" t="n"/>
      <c r="AX362" s="4195" t="inlineStr">
        <is>
          <t>2.</t>
        </is>
      </c>
      <c r="AY362" s="1193">
        <f>"Enter your worldwide "&amp;TEXT(BF362,"0%")&amp;" gains (see instructions)"</f>
        <v/>
      </c>
      <c r="AZ362" s="851" t="n"/>
      <c r="BA362" s="851" t="n"/>
      <c r="BB362" s="851" t="n"/>
      <c r="BC362" s="851" t="n"/>
      <c r="BD362" s="4196" t="inlineStr">
        <is>
          <t>2.</t>
        </is>
      </c>
      <c r="BE362" s="7843" t="n"/>
      <c r="BF362" s="4197" t="n">
        <v>0.28</v>
      </c>
      <c r="BG362" s="851" t="n"/>
      <c r="BH362" s="4194" t="n"/>
    </row>
    <row r="363" ht="14.25" customHeight="1" s="7635">
      <c r="A363" s="4157" t="n"/>
      <c r="B363" s="9091" t="inlineStr">
        <is>
          <t>Part IV</t>
        </is>
      </c>
      <c r="C363" s="7637" t="n"/>
      <c r="D363" s="7637" t="n"/>
      <c r="E363" s="7772" t="n"/>
      <c r="F363" s="342" t="inlineStr">
        <is>
          <t>Summary of Credits From Separate Parts III   (Enter amounts from Part III, line 24, for each applicable</t>
        </is>
      </c>
      <c r="G363" s="7772" t="n"/>
      <c r="H363" s="7772" t="n"/>
      <c r="I363" s="7772" t="n"/>
      <c r="J363" s="7772" t="n"/>
      <c r="K363" s="7772" t="n"/>
      <c r="L363" s="7772" t="n"/>
      <c r="M363" s="7772" t="n"/>
      <c r="N363" s="7772" t="n"/>
      <c r="O363" s="7772" t="n"/>
      <c r="P363" s="7772" t="n"/>
      <c r="Q363" s="7772" t="n"/>
      <c r="R363" s="7772" t="n"/>
      <c r="S363" s="7772" t="n"/>
      <c r="T363" s="7772" t="n"/>
      <c r="U363" s="7772" t="n"/>
      <c r="V363" s="7772" t="n"/>
      <c r="W363" s="7772" t="n"/>
      <c r="X363" s="7772" t="n"/>
      <c r="Y363" s="7772" t="n"/>
      <c r="Z363" s="7772" t="n"/>
      <c r="AA363" s="7772" t="n"/>
      <c r="AB363" s="7772" t="n"/>
      <c r="AC363" s="7772" t="n"/>
      <c r="AD363" s="7772" t="n"/>
      <c r="AE363" s="7772" t="n"/>
      <c r="AF363" s="7772" t="n"/>
      <c r="AG363" s="7772" t="n"/>
      <c r="AH363" s="7772" t="n"/>
      <c r="AI363" s="7772" t="n"/>
      <c r="AJ363" s="7772" t="n"/>
      <c r="AK363" s="7772" t="n"/>
      <c r="AL363" s="6494" t="n"/>
      <c r="AM363" s="6495" t="n"/>
      <c r="AN363" s="6495" t="n"/>
      <c r="AO363" s="6495" t="n"/>
      <c r="AP363" s="1277" t="n"/>
      <c r="AQ363" s="1277" t="n"/>
      <c r="AR363" s="1277" t="n"/>
      <c r="AS363" s="1277" t="n"/>
      <c r="AT363" s="1277" t="n"/>
      <c r="AU363" s="1277" t="n"/>
      <c r="AV363" s="7772" t="n"/>
      <c r="AW363" s="7772" t="n"/>
      <c r="AX363" s="4195" t="inlineStr">
        <is>
          <t>3.</t>
        </is>
      </c>
      <c r="AY363" s="1193">
        <f>"Multiply line 2 by "&amp;TEXT(BF363,"0.0000")</f>
        <v/>
      </c>
      <c r="AZ363" s="851" t="n"/>
      <c r="BA363" s="851" t="n"/>
      <c r="BB363" s="851" t="n"/>
      <c r="BC363" s="851" t="n"/>
      <c r="BD363" s="4196" t="inlineStr">
        <is>
          <t>3.</t>
        </is>
      </c>
      <c r="BE363" s="7842">
        <f>IF(BE362&lt;&gt;"",ROUND(BE362*BF363,0),"")</f>
        <v/>
      </c>
      <c r="BF363" s="12260" t="n">
        <v>0.2432</v>
      </c>
      <c r="BG363" s="851" t="n"/>
      <c r="BH363" s="4194" t="n"/>
    </row>
    <row r="364" ht="14.25" customHeight="1" s="7635">
      <c r="A364" s="4157" t="n"/>
      <c r="B364" s="3879" t="n"/>
      <c r="C364" s="3879" t="n"/>
      <c r="D364" s="3879" t="n"/>
      <c r="E364" s="3879" t="n"/>
      <c r="F364" s="2002" t="inlineStr">
        <is>
          <t>category of income. Don’t include taxes paid to sanctioned countries.) See instructions.</t>
        </is>
      </c>
      <c r="G364" s="1998" t="n"/>
      <c r="H364" s="1998" t="n"/>
      <c r="I364" s="1998" t="n"/>
      <c r="J364" s="1998" t="n"/>
      <c r="K364" s="1998" t="n"/>
      <c r="L364" s="1998" t="n"/>
      <c r="M364" s="1998" t="n"/>
      <c r="N364" s="1998" t="n"/>
      <c r="O364" s="1998" t="n"/>
      <c r="P364" s="1998" t="n"/>
      <c r="Q364" s="1998" t="n"/>
      <c r="R364" s="1998" t="n"/>
      <c r="S364" s="1998" t="n"/>
      <c r="T364" s="1998" t="n"/>
      <c r="U364" s="1998" t="n"/>
      <c r="V364" s="1998" t="n"/>
      <c r="W364" s="1998" t="n"/>
      <c r="X364" s="1998" t="n"/>
      <c r="Y364" s="1998" t="n"/>
      <c r="Z364" s="1998" t="n"/>
      <c r="AA364" s="1998" t="n"/>
      <c r="AB364" s="1998" t="n"/>
      <c r="AC364" s="1998" t="n"/>
      <c r="AD364" s="1998" t="n"/>
      <c r="AE364" s="1998" t="n"/>
      <c r="AF364" s="1998" t="n"/>
      <c r="AG364" s="1998" t="n"/>
      <c r="AH364" s="1998" t="n"/>
      <c r="AI364" s="1998" t="n"/>
      <c r="AJ364" s="1998" t="n"/>
      <c r="AK364" s="1998" t="n"/>
      <c r="AL364" s="9224">
        <f>SUM($AO$22,$AO$144,$AO$265)</f>
        <v/>
      </c>
      <c r="AM364" s="7637" t="n"/>
      <c r="AN364" s="7637" t="n"/>
      <c r="AO364" s="6498">
        <f>AND(AL364&gt;0,AL362=MAX($AL$118,$AL$239,$AL$362),$AL$362&lt;&gt;$AL$118,$AL$362&lt;&gt;$AL$239)</f>
        <v/>
      </c>
      <c r="AP364" s="1277" t="n"/>
      <c r="AQ364" s="1277" t="n"/>
      <c r="AR364" s="1277" t="n"/>
      <c r="AS364" s="1277" t="n"/>
      <c r="AT364" s="1277" t="n"/>
      <c r="AU364" s="1277" t="n"/>
      <c r="AV364" s="11602" t="n"/>
      <c r="AW364" s="11602" t="n"/>
      <c r="AX364" s="4195" t="inlineStr">
        <is>
          <t>4.</t>
        </is>
      </c>
      <c r="AY364" s="1193">
        <f>"Enter your worldwide "&amp;TEXT(BF364,"0%")&amp;" gains (see instructions)"</f>
        <v/>
      </c>
      <c r="AZ364" s="851" t="n"/>
      <c r="BA364" s="851" t="n"/>
      <c r="BB364" s="851" t="n"/>
      <c r="BC364" s="851" t="n"/>
      <c r="BD364" s="4196" t="inlineStr">
        <is>
          <t>4.</t>
        </is>
      </c>
      <c r="BE364" s="7843" t="n"/>
      <c r="BF364" s="4197" t="n">
        <v>0.25</v>
      </c>
      <c r="BG364" s="851" t="n"/>
      <c r="BH364" s="4194" t="n"/>
    </row>
    <row r="365" ht="14.25" customHeight="1" s="7635">
      <c r="A365" s="2112" t="n"/>
      <c r="B365" s="8966" t="n">
        <v>25</v>
      </c>
      <c r="D365" s="344" t="inlineStr">
        <is>
          <t>Credit for taxes on section 951A income</t>
        </is>
      </c>
      <c r="E365" s="11602" t="n"/>
      <c r="F365" s="8650" t="n"/>
      <c r="G365" s="11602" t="n"/>
      <c r="H365" s="11602" t="n"/>
      <c r="I365" s="11602" t="n"/>
      <c r="J365" s="11602" t="n"/>
      <c r="K365" s="11602" t="n"/>
      <c r="L365" s="11602" t="n"/>
      <c r="M365" s="11602" t="n"/>
      <c r="N365" s="11602" t="n"/>
      <c r="O365" s="11602" t="n"/>
      <c r="P365" s="11602" t="n"/>
      <c r="Q365" s="11602" t="n"/>
      <c r="R365" s="11602" t="n"/>
      <c r="S365" s="11602" t="n"/>
      <c r="T365" s="11602" t="n"/>
      <c r="U365" s="11602" t="n"/>
      <c r="V365" s="11602" t="n"/>
      <c r="W365" s="11602" t="n"/>
      <c r="X365" s="580" t="n"/>
      <c r="Y365" s="1401" t="inlineStr">
        <is>
          <t xml:space="preserve">.   .   .   .   .   .   .   .   .   .   .   .   .  </t>
        </is>
      </c>
      <c r="Z365" s="2895" t="n">
        <v>25</v>
      </c>
      <c r="AA365" s="7638" t="n"/>
      <c r="AB365" s="12251">
        <f>IF(AO364,$AR$27,"")</f>
        <v/>
      </c>
      <c r="AC365" s="11717" t="n"/>
      <c r="AD365" s="11717" t="n"/>
      <c r="AE365" s="11717" t="n"/>
      <c r="AF365" s="11717" t="n"/>
      <c r="AG365" s="11717" t="n"/>
      <c r="AH365" s="11717" t="n"/>
      <c r="AI365" s="11718" t="n"/>
      <c r="AJ365" s="8967" t="n"/>
      <c r="AL365" s="408" t="n"/>
      <c r="AM365" s="11602" t="n"/>
      <c r="AN365" s="11602" t="n"/>
      <c r="AO365" s="11602" t="n"/>
      <c r="AP365" s="1277" t="n"/>
      <c r="AQ365" s="512" t="inlineStr">
        <is>
          <t>a</t>
        </is>
      </c>
      <c r="AR365" s="8955">
        <f>IF(C266&lt;&gt;"",AL362,0)</f>
        <v/>
      </c>
      <c r="AV365" s="11602" t="n"/>
      <c r="AW365" s="11602" t="n"/>
      <c r="AX365" s="4195" t="inlineStr">
        <is>
          <t>5.</t>
        </is>
      </c>
      <c r="AY365" s="1193">
        <f>"Multiply line 4 by "&amp;TEXT(BF365,"0.0000")</f>
        <v/>
      </c>
      <c r="AZ365" s="851" t="n"/>
      <c r="BA365" s="851" t="n"/>
      <c r="BB365" s="851" t="n"/>
      <c r="BC365" s="851" t="n"/>
      <c r="BD365" s="4196" t="inlineStr">
        <is>
          <t>5.</t>
        </is>
      </c>
      <c r="BE365" s="7842">
        <f>IF(BE364&lt;&gt;"",ROUND(BE364*BF365,0),"")</f>
        <v/>
      </c>
      <c r="BF365" s="12260" t="n">
        <v>0.3243</v>
      </c>
      <c r="BG365" s="851" t="n"/>
      <c r="BH365" s="4194" t="n"/>
    </row>
    <row r="366" ht="14.25" customHeight="1" s="7635">
      <c r="A366" s="2112" t="n"/>
      <c r="B366" s="8966" t="n">
        <v>26</v>
      </c>
      <c r="D366" s="344" t="inlineStr">
        <is>
          <t>Credit for taxes on foreign branch income</t>
        </is>
      </c>
      <c r="E366" s="11602" t="n"/>
      <c r="F366" s="8650" t="n"/>
      <c r="G366" s="11602" t="n"/>
      <c r="H366" s="11602" t="n"/>
      <c r="I366" s="11602" t="n"/>
      <c r="J366" s="11602" t="n"/>
      <c r="K366" s="11602" t="n"/>
      <c r="L366" s="11602" t="n"/>
      <c r="M366" s="11602" t="n"/>
      <c r="N366" s="11602" t="n"/>
      <c r="O366" s="11602" t="n"/>
      <c r="P366" s="11602" t="n"/>
      <c r="Q366" s="11602" t="n"/>
      <c r="R366" s="11602" t="n"/>
      <c r="S366" s="11602" t="n"/>
      <c r="T366" s="11602" t="n"/>
      <c r="U366" s="11602" t="n"/>
      <c r="V366" s="11602" t="n"/>
      <c r="W366" s="11602" t="n"/>
      <c r="X366" s="580" t="n"/>
      <c r="Y366" s="1401" t="inlineStr">
        <is>
          <t xml:space="preserve">.   .   .   .   .   .   .   .   .   .   .   .  </t>
        </is>
      </c>
      <c r="Z366" s="2895" t="n">
        <v>26</v>
      </c>
      <c r="AA366" s="7638" t="n"/>
      <c r="AB366" s="12251">
        <f>IF(AO364,$AR$28,"")</f>
        <v/>
      </c>
      <c r="AC366" s="11717" t="n"/>
      <c r="AD366" s="11717" t="n"/>
      <c r="AE366" s="11717" t="n"/>
      <c r="AF366" s="11717" t="n"/>
      <c r="AG366" s="11717" t="n"/>
      <c r="AH366" s="11717" t="n"/>
      <c r="AI366" s="11718" t="n"/>
      <c r="AJ366" s="8967" t="n"/>
      <c r="AL366" s="408" t="n"/>
      <c r="AM366" s="11602" t="n"/>
      <c r="AN366" s="11602" t="n"/>
      <c r="AO366" s="11602" t="n"/>
      <c r="AP366" s="1277" t="n"/>
      <c r="AQ366" s="512" t="inlineStr">
        <is>
          <t>b</t>
        </is>
      </c>
      <c r="AR366" s="8955">
        <f>IF(C268&lt;&gt;"",AL362,0)</f>
        <v/>
      </c>
      <c r="AV366" s="11602" t="n"/>
      <c r="AW366" s="11602" t="n"/>
      <c r="AX366" s="4195" t="inlineStr">
        <is>
          <t>6.</t>
        </is>
      </c>
      <c r="AY366" s="1193">
        <f>"Enter your worldwide "&amp;TEXT(BF366,"0%")&amp;" gains (see instructions)"</f>
        <v/>
      </c>
      <c r="AZ366" s="851" t="n"/>
      <c r="BA366" s="851" t="n"/>
      <c r="BB366" s="851" t="n"/>
      <c r="BC366" s="851" t="n"/>
      <c r="BD366" s="4196" t="inlineStr">
        <is>
          <t>6.</t>
        </is>
      </c>
      <c r="BE366" s="7843" t="n"/>
      <c r="BF366" s="4197" t="n">
        <v>0.2</v>
      </c>
      <c r="BG366" s="851" t="n"/>
      <c r="BH366" s="4194" t="n"/>
    </row>
    <row r="367" ht="14.25" customHeight="1" s="7635">
      <c r="A367" s="2112" t="n"/>
      <c r="B367" s="8966" t="n">
        <v>27</v>
      </c>
      <c r="D367" s="344" t="inlineStr">
        <is>
          <t>Credit for taxes on passive category income</t>
        </is>
      </c>
      <c r="E367" s="11602" t="n"/>
      <c r="F367" s="8650" t="n"/>
      <c r="G367" s="11602" t="n"/>
      <c r="H367" s="11602" t="n"/>
      <c r="I367" s="11602" t="n"/>
      <c r="J367" s="11602" t="n"/>
      <c r="K367" s="11602" t="n"/>
      <c r="L367" s="11602" t="n"/>
      <c r="M367" s="11602" t="n"/>
      <c r="N367" s="11602" t="n"/>
      <c r="O367" s="11602" t="n"/>
      <c r="P367" s="11602" t="n"/>
      <c r="Q367" s="11602" t="n"/>
      <c r="R367" s="11602" t="n"/>
      <c r="S367" s="11602" t="n"/>
      <c r="T367" s="11602" t="n"/>
      <c r="U367" s="11602" t="n"/>
      <c r="V367" s="11602" t="n"/>
      <c r="W367" s="11602" t="n"/>
      <c r="X367" s="580" t="n"/>
      <c r="Y367" s="1401" t="inlineStr">
        <is>
          <t xml:space="preserve">.   .   .   .   .   .   .   .   .   .   .  </t>
        </is>
      </c>
      <c r="Z367" s="2895" t="n">
        <v>27</v>
      </c>
      <c r="AA367" s="7638" t="n"/>
      <c r="AB367" s="12251">
        <f>IF(AO364,$AR$29,"")</f>
        <v/>
      </c>
      <c r="AC367" s="11717" t="n"/>
      <c r="AD367" s="11717" t="n"/>
      <c r="AE367" s="11717" t="n"/>
      <c r="AF367" s="11717" t="n"/>
      <c r="AG367" s="11717" t="n"/>
      <c r="AH367" s="11717" t="n"/>
      <c r="AI367" s="11718" t="n"/>
      <c r="AJ367" s="8967" t="n"/>
      <c r="AL367" s="408" t="n"/>
      <c r="AM367" s="11602" t="n"/>
      <c r="AN367" s="11602" t="n"/>
      <c r="AO367" s="11602" t="n"/>
      <c r="AP367" s="1277" t="n"/>
      <c r="AQ367" s="512" t="inlineStr">
        <is>
          <t>c</t>
        </is>
      </c>
      <c r="AR367" s="8955">
        <f>IF(K266&lt;&gt;"",AL362,0)</f>
        <v/>
      </c>
      <c r="AV367" s="11602" t="n"/>
      <c r="AW367" s="11602" t="n"/>
      <c r="AX367" s="4195" t="inlineStr">
        <is>
          <t>7.</t>
        </is>
      </c>
      <c r="AY367" s="1193">
        <f>"Multiply line 6 by "&amp;TEXT(BF367,"0.0000")</f>
        <v/>
      </c>
      <c r="AZ367" s="851" t="n"/>
      <c r="BA367" s="851" t="n"/>
      <c r="BB367" s="851" t="n"/>
      <c r="BC367" s="851" t="n"/>
      <c r="BD367" s="4196" t="inlineStr">
        <is>
          <t>7.</t>
        </is>
      </c>
      <c r="BE367" s="7842">
        <f>IF(BE366&lt;&gt;"",ROUND(BE366*BF367,0),"")</f>
        <v/>
      </c>
      <c r="BF367" s="12260" t="n">
        <v>0.4595</v>
      </c>
      <c r="BG367" s="851" t="n"/>
      <c r="BH367" s="4194" t="n"/>
    </row>
    <row r="368" ht="14.25" customHeight="1" s="7635">
      <c r="A368" s="2112" t="n"/>
      <c r="B368" s="8966" t="n">
        <v>28</v>
      </c>
      <c r="D368" s="344" t="inlineStr">
        <is>
          <t>Credit for taxes on general category income</t>
        </is>
      </c>
      <c r="E368" s="11602" t="n"/>
      <c r="F368" s="8650" t="n"/>
      <c r="G368" s="11602" t="n"/>
      <c r="H368" s="11602" t="n"/>
      <c r="I368" s="11602" t="n"/>
      <c r="J368" s="11602" t="n"/>
      <c r="K368" s="11602" t="n"/>
      <c r="L368" s="11602" t="n"/>
      <c r="M368" s="11602" t="n"/>
      <c r="N368" s="11602" t="n"/>
      <c r="O368" s="11602" t="n"/>
      <c r="P368" s="11602" t="n"/>
      <c r="Q368" s="11602" t="n"/>
      <c r="R368" s="11602" t="n"/>
      <c r="S368" s="11602" t="n"/>
      <c r="T368" s="11602" t="n"/>
      <c r="U368" s="11602" t="n"/>
      <c r="V368" s="11602" t="n"/>
      <c r="W368" s="11602" t="n"/>
      <c r="X368" s="580" t="n"/>
      <c r="Y368" s="1401" t="inlineStr">
        <is>
          <t xml:space="preserve">.   .   .   .   .   .   .   .   .   .   .  </t>
        </is>
      </c>
      <c r="Z368" s="2895" t="n">
        <v>28</v>
      </c>
      <c r="AA368" s="7638" t="n"/>
      <c r="AB368" s="12251">
        <f>IF(AO364,$AR$30,"")</f>
        <v/>
      </c>
      <c r="AC368" s="11717" t="n"/>
      <c r="AD368" s="11717" t="n"/>
      <c r="AE368" s="11717" t="n"/>
      <c r="AF368" s="11717" t="n"/>
      <c r="AG368" s="11717" t="n"/>
      <c r="AH368" s="11717" t="n"/>
      <c r="AI368" s="11718" t="n"/>
      <c r="AJ368" s="8967" t="n"/>
      <c r="AL368" s="408" t="n"/>
      <c r="AM368" s="11602" t="n"/>
      <c r="AN368" s="11602" t="n"/>
      <c r="AO368" s="11602" t="n"/>
      <c r="AP368" s="1277" t="n"/>
      <c r="AQ368" s="512" t="inlineStr">
        <is>
          <t>d</t>
        </is>
      </c>
      <c r="AR368" s="8955">
        <f>IF(K268&lt;&gt;"",AL362,0)</f>
        <v/>
      </c>
      <c r="AV368" s="11602" t="n"/>
      <c r="AW368" s="11602" t="n"/>
      <c r="AX368" s="4195" t="n"/>
      <c r="AY368" s="1193" t="n"/>
      <c r="AZ368" s="851" t="n"/>
      <c r="BA368" s="851" t="n"/>
      <c r="BB368" s="851" t="n"/>
      <c r="BC368" s="851" t="n"/>
      <c r="BD368" s="851" t="n"/>
      <c r="BE368" s="990" t="n"/>
      <c r="BF368" s="4196" t="n"/>
      <c r="BG368" s="4196" t="n"/>
      <c r="BH368" s="4194" t="n"/>
    </row>
    <row r="369" ht="18" customHeight="1" s="7635">
      <c r="A369" s="2112" t="n"/>
      <c r="B369" s="8966" t="n">
        <v>29</v>
      </c>
      <c r="D369" s="344" t="inlineStr">
        <is>
          <t>Credit for taxes on section 901(j) income</t>
        </is>
      </c>
      <c r="E369" s="11602" t="n"/>
      <c r="F369" s="8650" t="n"/>
      <c r="G369" s="11602" t="n"/>
      <c r="H369" s="11602" t="n"/>
      <c r="I369" s="11602" t="n"/>
      <c r="J369" s="11602" t="n"/>
      <c r="K369" s="11602" t="n"/>
      <c r="L369" s="11602" t="n"/>
      <c r="M369" s="11602" t="n"/>
      <c r="N369" s="11602" t="n"/>
      <c r="O369" s="11602" t="n"/>
      <c r="P369" s="11602" t="n"/>
      <c r="Q369" s="11602" t="n"/>
      <c r="R369" s="11602" t="n"/>
      <c r="S369" s="11602" t="n"/>
      <c r="T369" s="11602" t="n"/>
      <c r="U369" s="11602" t="n"/>
      <c r="V369" s="11602" t="n"/>
      <c r="W369" s="11602" t="n"/>
      <c r="X369" s="580" t="n"/>
      <c r="Y369" s="1401" t="inlineStr">
        <is>
          <t xml:space="preserve">.   .   .   .   .   .   .   .   .   .   .   .  </t>
        </is>
      </c>
      <c r="Z369" s="2895" t="n">
        <v>29</v>
      </c>
      <c r="AA369" s="7638" t="n"/>
      <c r="AB369" s="12251">
        <f>IF(AO364,$AR$31,"")</f>
        <v/>
      </c>
      <c r="AC369" s="11717" t="n"/>
      <c r="AD369" s="11717" t="n"/>
      <c r="AE369" s="11717" t="n"/>
      <c r="AF369" s="11717" t="n"/>
      <c r="AG369" s="11717" t="n"/>
      <c r="AH369" s="11717" t="n"/>
      <c r="AI369" s="11718" t="n"/>
      <c r="AJ369" s="8967" t="n"/>
      <c r="AL369" s="408" t="n"/>
      <c r="AM369" s="11602" t="n"/>
      <c r="AN369" s="11602" t="n"/>
      <c r="AO369" s="11602" t="n"/>
      <c r="AP369" s="1277" t="n"/>
      <c r="AQ369" s="512" t="inlineStr">
        <is>
          <t>e</t>
        </is>
      </c>
      <c r="AR369" s="8955">
        <f>IF(W266&lt;&gt;"",AL362,0)</f>
        <v/>
      </c>
      <c r="AV369" s="11602" t="n"/>
      <c r="AW369" s="11602" t="n"/>
      <c r="AX369" s="4195" t="inlineStr">
        <is>
          <t>8.</t>
        </is>
      </c>
      <c r="AY369" s="1193">
        <f>"Enter your worldwide "&amp;TEXT(BF369,"0%")&amp;" gains (see instructions)"</f>
        <v/>
      </c>
      <c r="AZ369" s="851" t="n"/>
      <c r="BA369" s="851" t="n"/>
      <c r="BB369" s="851" t="n"/>
      <c r="BC369" s="851" t="n"/>
      <c r="BD369" s="4196" t="inlineStr">
        <is>
          <t>8.</t>
        </is>
      </c>
      <c r="BE369" s="7843" t="n"/>
      <c r="BF369" s="4197" t="n">
        <v>0.15</v>
      </c>
      <c r="BG369" s="851" t="n"/>
      <c r="BH369" s="4194" t="n"/>
    </row>
    <row r="370" ht="14.25" customHeight="1" s="7635">
      <c r="A370" s="2112" t="n"/>
      <c r="B370" s="8966" t="n">
        <v>30</v>
      </c>
      <c r="D370" s="344" t="inlineStr">
        <is>
          <t>Credit for taxes on certain income re-sourced by treaty</t>
        </is>
      </c>
      <c r="E370" s="11602" t="n"/>
      <c r="F370" s="8650" t="n"/>
      <c r="G370" s="11602" t="n"/>
      <c r="H370" s="11602" t="n"/>
      <c r="I370" s="11602" t="n"/>
      <c r="J370" s="11602" t="n"/>
      <c r="K370" s="11602" t="n"/>
      <c r="L370" s="11602" t="n"/>
      <c r="M370" s="11602" t="n"/>
      <c r="N370" s="11602" t="n"/>
      <c r="O370" s="11602" t="n"/>
      <c r="P370" s="11602" t="n"/>
      <c r="Q370" s="11602" t="n"/>
      <c r="R370" s="11602" t="n"/>
      <c r="S370" s="11602" t="n"/>
      <c r="T370" s="11602" t="n"/>
      <c r="U370" s="11602" t="n"/>
      <c r="V370" s="11602" t="n"/>
      <c r="W370" s="11602" t="n"/>
      <c r="X370" s="580" t="n"/>
      <c r="Y370" s="1401" t="inlineStr">
        <is>
          <t xml:space="preserve">.   .   .   .   .   .   .  </t>
        </is>
      </c>
      <c r="Z370" s="2895" t="n">
        <v>30</v>
      </c>
      <c r="AA370" s="7638" t="n"/>
      <c r="AB370" s="12251">
        <f>IF(AO364,$AR$32,"")</f>
        <v/>
      </c>
      <c r="AC370" s="11717" t="n"/>
      <c r="AD370" s="11717" t="n"/>
      <c r="AE370" s="11717" t="n"/>
      <c r="AF370" s="11717" t="n"/>
      <c r="AG370" s="11717" t="n"/>
      <c r="AH370" s="11717" t="n"/>
      <c r="AI370" s="11718" t="n"/>
      <c r="AJ370" s="8967" t="n"/>
      <c r="AL370" s="408" t="n"/>
      <c r="AM370" s="11602" t="n"/>
      <c r="AN370" s="11602" t="n"/>
      <c r="AO370" s="11602" t="n"/>
      <c r="AP370" s="1277" t="n"/>
      <c r="AQ370" s="512" t="inlineStr">
        <is>
          <t>f</t>
        </is>
      </c>
      <c r="AR370" s="8955">
        <f>IF(W268&lt;&gt;"",AL362,0)</f>
        <v/>
      </c>
      <c r="AV370" s="11602" t="n"/>
      <c r="AW370" s="11602" t="n"/>
      <c r="AX370" s="4195" t="inlineStr">
        <is>
          <t>9.</t>
        </is>
      </c>
      <c r="AY370" s="1193">
        <f>"Multiply line 8 by "&amp;TEXT(BF370,"0.0000")</f>
        <v/>
      </c>
      <c r="AZ370" s="851" t="n"/>
      <c r="BA370" s="851" t="n"/>
      <c r="BB370" s="851" t="n"/>
      <c r="BC370" s="851" t="n"/>
      <c r="BD370" s="4196" t="inlineStr">
        <is>
          <t>9.</t>
        </is>
      </c>
      <c r="BE370" s="7842">
        <f>IF(BE369&lt;&gt;"",ROUND(BE369*BF370,0),"")</f>
        <v/>
      </c>
      <c r="BF370" s="12260" t="n">
        <v>0.5946</v>
      </c>
      <c r="BG370" s="851" t="n"/>
      <c r="BH370" s="4194" t="n"/>
    </row>
    <row r="371" ht="15" customHeight="1" s="7635" thickBot="1">
      <c r="A371" s="2112" t="n"/>
      <c r="B371" s="8966" t="n">
        <v>31</v>
      </c>
      <c r="D371" s="344" t="inlineStr">
        <is>
          <t>Credit for taxes on lump-sum distributions</t>
        </is>
      </c>
      <c r="E371" s="11602" t="n"/>
      <c r="F371" s="8650" t="n"/>
      <c r="G371" s="11602" t="n"/>
      <c r="H371" s="11602" t="n"/>
      <c r="I371" s="11602" t="n"/>
      <c r="J371" s="11602" t="n"/>
      <c r="K371" s="11602" t="n"/>
      <c r="L371" s="11602" t="n"/>
      <c r="M371" s="11602" t="n"/>
      <c r="N371" s="11602" t="n"/>
      <c r="O371" s="11602" t="n"/>
      <c r="P371" s="11602" t="n"/>
      <c r="Q371" s="11602" t="n"/>
      <c r="R371" s="11602" t="n"/>
      <c r="S371" s="11602" t="n"/>
      <c r="T371" s="11602" t="n"/>
      <c r="U371" s="11602" t="n"/>
      <c r="V371" s="11602" t="n"/>
      <c r="W371" s="11602" t="n"/>
      <c r="X371" s="580" t="n"/>
      <c r="Y371" s="1401" t="inlineStr">
        <is>
          <t xml:space="preserve">.   .   .   .   .   .   .   .   .   .   .   .  </t>
        </is>
      </c>
      <c r="Z371" s="12261" t="n">
        <v>31</v>
      </c>
      <c r="AA371" s="12143" t="n"/>
      <c r="AB371" s="12262">
        <f>IF(AO364,$AR$33,"")</f>
        <v/>
      </c>
      <c r="AC371" s="11809" t="n"/>
      <c r="AD371" s="11809" t="n"/>
      <c r="AE371" s="11809" t="n"/>
      <c r="AF371" s="11809" t="n"/>
      <c r="AG371" s="11809" t="n"/>
      <c r="AH371" s="11809" t="n"/>
      <c r="AI371" s="11810" t="n"/>
      <c r="AJ371" s="8967" t="n"/>
      <c r="AL371" s="408" t="n"/>
      <c r="AM371" s="11602" t="n"/>
      <c r="AN371" s="11602" t="n"/>
      <c r="AO371" s="11602" t="n"/>
      <c r="AP371" s="1277" t="n"/>
      <c r="AQ371" s="4204" t="inlineStr">
        <is>
          <t>g</t>
        </is>
      </c>
      <c r="AR371" s="9020">
        <f>IF(AI266&lt;&gt;"",AL362,0)</f>
        <v/>
      </c>
      <c r="AV371" s="11602" t="n"/>
      <c r="AW371" s="11602" t="n"/>
      <c r="AX371" s="4195" t="inlineStr">
        <is>
          <t>10.</t>
        </is>
      </c>
      <c r="AY371" s="1193">
        <f>"Enter your worldwide "&amp;TEXT(BF371,"0%")&amp;" gains and qualified dividends"</f>
        <v/>
      </c>
      <c r="AZ371" s="851" t="n"/>
      <c r="BA371" s="851" t="n"/>
      <c r="BB371" s="851" t="n"/>
      <c r="BC371" s="851" t="n"/>
      <c r="BD371" s="4196" t="n"/>
      <c r="BE371" s="1029" t="n"/>
      <c r="BF371" s="4197" t="n">
        <v>0</v>
      </c>
      <c r="BG371" s="851" t="n"/>
      <c r="BH371" s="4194" t="n"/>
    </row>
    <row r="372" ht="14.25" customHeight="1" s="7635">
      <c r="A372" s="2112" t="n"/>
      <c r="B372" s="8966" t="n">
        <v>32</v>
      </c>
      <c r="D372" s="344" t="inlineStr">
        <is>
          <t>Add lines 25 through 31</t>
        </is>
      </c>
      <c r="E372" s="11602" t="n"/>
      <c r="F372" s="8650" t="n"/>
      <c r="G372" s="11602" t="n"/>
      <c r="H372" s="11602" t="n"/>
      <c r="I372" s="11602" t="n"/>
      <c r="J372" s="11602" t="n"/>
      <c r="K372" s="11602" t="n"/>
      <c r="L372" s="11602" t="n"/>
      <c r="M372" s="11602" t="n"/>
      <c r="N372" s="11602" t="n"/>
      <c r="O372" s="11602" t="n"/>
      <c r="P372" s="11602" t="n"/>
      <c r="Q372" s="11602" t="n"/>
      <c r="R372" s="11602" t="n"/>
      <c r="S372" s="11602" t="n"/>
      <c r="T372" s="11602" t="n"/>
      <c r="U372" s="11602" t="n"/>
      <c r="V372" s="11602" t="n"/>
      <c r="W372" s="11602" t="n"/>
      <c r="X372" s="11602" t="n"/>
      <c r="Y372" s="11602" t="n"/>
      <c r="Z372" s="9766" t="n"/>
      <c r="AA372" s="9766" t="n"/>
      <c r="AB372" s="406" t="n"/>
      <c r="AC372" s="406" t="n"/>
      <c r="AD372" s="406" t="n"/>
      <c r="AE372" s="406" t="n"/>
      <c r="AF372" s="406" t="n"/>
      <c r="AG372" s="406" t="n"/>
      <c r="AH372" s="406" t="n"/>
      <c r="AI372" s="1401" t="inlineStr">
        <is>
          <t xml:space="preserve">.   .   .   .   .   .   .   .   .   .   .   .   .   .   .   .   .   .   .   .   .   .   .   .   .   .   .   .   .  </t>
        </is>
      </c>
      <c r="AJ372" s="2895" t="n">
        <v>32</v>
      </c>
      <c r="AK372" s="7638" t="n"/>
      <c r="AL372" s="8991">
        <f>IF(AQ372&lt;&gt;"",ROUND(AQ372,0),IF(NOT(AO364),"",SUM(AB365:AI371)))</f>
        <v/>
      </c>
      <c r="AM372" s="7637" t="n"/>
      <c r="AN372" s="7637" t="n"/>
      <c r="AO372" s="7637" t="n"/>
      <c r="AP372" s="1277" t="n"/>
      <c r="AQ372" s="8957" t="n"/>
      <c r="AR372" s="11717" t="n"/>
      <c r="AS372" s="11717" t="n"/>
      <c r="AT372" s="11717" t="n"/>
      <c r="AU372" s="1277" t="n"/>
      <c r="AV372" s="11602" t="n"/>
      <c r="AW372" s="11602" t="n"/>
      <c r="AX372" s="4193" t="n"/>
      <c r="AY372" s="1193" t="inlineStr">
        <is>
          <t>(see instructions)</t>
        </is>
      </c>
      <c r="AZ372" s="851" t="n"/>
      <c r="BA372" s="851" t="n"/>
      <c r="BB372" s="851" t="n"/>
      <c r="BC372" s="851" t="n"/>
      <c r="BD372" s="4196" t="inlineStr">
        <is>
          <t>10.</t>
        </is>
      </c>
      <c r="BE372" s="7843" t="n"/>
      <c r="BF372" s="851" t="n"/>
      <c r="BG372" s="990">
        <f>ROUND(BE372,0)</f>
        <v/>
      </c>
      <c r="BH372" s="4194" t="n"/>
    </row>
    <row r="373" ht="14.25" customHeight="1" s="7635">
      <c r="A373" s="2112" t="n"/>
      <c r="B373" s="8966" t="n">
        <v>33</v>
      </c>
      <c r="D373" s="344" t="inlineStr">
        <is>
          <t>Enter the smaller of line 20 or line 32</t>
        </is>
      </c>
      <c r="E373" s="11602" t="n"/>
      <c r="F373" s="8650" t="n"/>
      <c r="G373" s="11602" t="n"/>
      <c r="H373" s="11602" t="n"/>
      <c r="I373" s="11602" t="n"/>
      <c r="J373" s="11602" t="n"/>
      <c r="K373" s="11602" t="n"/>
      <c r="L373" s="11602" t="n"/>
      <c r="M373" s="11602" t="n"/>
      <c r="N373" s="11602" t="n"/>
      <c r="O373" s="11602" t="n"/>
      <c r="P373" s="11602" t="n"/>
      <c r="Q373" s="11602" t="n"/>
      <c r="R373" s="11602" t="n"/>
      <c r="S373" s="11602" t="n"/>
      <c r="T373" s="11602" t="n"/>
      <c r="U373" s="11602" t="n"/>
      <c r="V373" s="11602" t="n"/>
      <c r="W373" s="11602" t="n"/>
      <c r="X373" s="11602" t="n"/>
      <c r="Y373" s="11602" t="n"/>
      <c r="Z373" s="7914" t="n"/>
      <c r="AA373" s="7914" t="n"/>
      <c r="AB373" s="11602" t="n"/>
      <c r="AC373" s="11602" t="n"/>
      <c r="AD373" s="11602" t="n"/>
      <c r="AE373" s="11602" t="n"/>
      <c r="AF373" s="11602" t="n"/>
      <c r="AG373" s="11602" t="n"/>
      <c r="AH373" s="11602" t="n"/>
      <c r="AI373" s="1401" t="inlineStr">
        <is>
          <t xml:space="preserve">.   .   .   .   .   .   .   .   .   .   .   .   .   .   .   .   .   .   .   .   .   .   .   .  </t>
        </is>
      </c>
      <c r="AJ373" s="2895" t="n">
        <v>33</v>
      </c>
      <c r="AK373" s="7638" t="n"/>
      <c r="AL373" s="8991">
        <f>IF(NOT(AO364),"",IF(NOT(AO364),"",IF(ISERROR(MIN(AL356,AL372)),"",MIN(AL356,AL372))))</f>
        <v/>
      </c>
      <c r="AM373" s="7637" t="n"/>
      <c r="AN373" s="7637" t="n"/>
      <c r="AO373" s="7637" t="n"/>
      <c r="AP373" s="1277" t="n"/>
      <c r="AQ373" s="1277" t="n"/>
      <c r="AR373" s="1277" t="n"/>
      <c r="AS373" s="1277" t="n"/>
      <c r="AT373" s="1277" t="n"/>
      <c r="AU373" s="1277" t="n"/>
      <c r="AV373" s="11602" t="n"/>
      <c r="AW373" s="11602" t="n"/>
      <c r="AX373" s="4195" t="inlineStr">
        <is>
          <t>11.</t>
        </is>
      </c>
      <c r="AY373" s="1193" t="inlineStr">
        <is>
          <t>Add lines 3, 5, 7, 9, and 10</t>
        </is>
      </c>
      <c r="AZ373" s="851" t="n"/>
      <c r="BA373" s="851" t="n"/>
      <c r="BB373" s="851" t="n"/>
      <c r="BC373" s="851" t="n"/>
      <c r="BD373" s="851" t="n"/>
      <c r="BE373" s="990">
        <f>OR(BE362&lt;&gt;"",BE364&lt;&gt;"",BE367&lt;&gt;"",BE370&lt;&gt;"",BE372&lt;&gt;"")</f>
        <v/>
      </c>
      <c r="BF373" s="4196" t="inlineStr">
        <is>
          <t>11.</t>
        </is>
      </c>
      <c r="BG373" s="7842">
        <f>IF(BE373,SUM(BE363,BE365,BE367,BE370,BG372),IF(AB346,"",0))</f>
        <v/>
      </c>
      <c r="BH373" s="4194" t="n"/>
    </row>
    <row r="374" ht="15" customHeight="1" s="7635" thickBot="1">
      <c r="A374" s="2112" t="n"/>
      <c r="B374" s="8966" t="n">
        <v>34</v>
      </c>
      <c r="D374" s="344" t="inlineStr">
        <is>
          <t>Reduction of credit for international boycott operations. See instructions for line 12</t>
        </is>
      </c>
      <c r="E374" s="11602" t="n"/>
      <c r="F374" s="8650" t="n"/>
      <c r="G374" s="11602" t="n"/>
      <c r="H374" s="11602" t="n"/>
      <c r="I374" s="11602" t="n"/>
      <c r="J374" s="11602" t="n"/>
      <c r="K374" s="11602" t="n"/>
      <c r="L374" s="11602" t="n"/>
      <c r="M374" s="11602" t="n"/>
      <c r="N374" s="11602" t="n"/>
      <c r="O374" s="11602" t="n"/>
      <c r="P374" s="11602" t="n"/>
      <c r="Q374" s="11602" t="n"/>
      <c r="R374" s="11602" t="n"/>
      <c r="S374" s="11602" t="n"/>
      <c r="T374" s="11602" t="n"/>
      <c r="U374" s="11602" t="n"/>
      <c r="V374" s="11602" t="n"/>
      <c r="W374" s="11602" t="n"/>
      <c r="X374" s="11602" t="n"/>
      <c r="Y374" s="11602" t="n"/>
      <c r="Z374" s="7914" t="n"/>
      <c r="AA374" s="7914" t="n"/>
      <c r="AB374" s="11602" t="n"/>
      <c r="AC374" s="11602" t="n"/>
      <c r="AD374" s="11602" t="n"/>
      <c r="AE374" s="11602" t="n"/>
      <c r="AF374" s="11602" t="n"/>
      <c r="AG374" s="11602" t="n"/>
      <c r="AH374" s="11602" t="n"/>
      <c r="AI374" s="1401" t="inlineStr">
        <is>
          <t xml:space="preserve">.   .   .   .   .   .   .  </t>
        </is>
      </c>
      <c r="AJ374" s="12261" t="n">
        <v>34</v>
      </c>
      <c r="AK374" s="12143" t="n"/>
      <c r="AL374" s="9089" t="n"/>
      <c r="AM374" s="11809" t="n"/>
      <c r="AN374" s="11809" t="n"/>
      <c r="AO374" s="11809" t="n"/>
      <c r="AP374" s="1277" t="n"/>
      <c r="AQ374" s="11602" t="n"/>
      <c r="AR374" s="11602" t="n"/>
      <c r="AS374" s="11602" t="n"/>
      <c r="AT374" s="11602" t="n"/>
      <c r="AU374" s="11602" t="n"/>
      <c r="AV374" s="11602" t="n"/>
      <c r="AW374" s="11602" t="n"/>
      <c r="AX374" s="4195" t="inlineStr">
        <is>
          <t>12.</t>
        </is>
      </c>
      <c r="AY374" s="1193" t="inlineStr">
        <is>
          <t>Subtract line 11 from line 1. Enter the result here and on Form 1116, line 18</t>
        </is>
      </c>
      <c r="AZ374" s="851" t="n"/>
      <c r="BA374" s="851" t="n"/>
      <c r="BB374" s="851" t="n"/>
      <c r="BC374" s="851" t="n"/>
      <c r="BD374" s="851" t="n"/>
      <c r="BE374" s="851" t="n"/>
      <c r="BF374" s="4196" t="inlineStr">
        <is>
          <t>12.</t>
        </is>
      </c>
      <c r="BG374" s="7842">
        <f>IF(BG373="","",MAX(0,SUM(BG361,-BG373)))</f>
        <v/>
      </c>
      <c r="BH374" s="4194" t="n"/>
    </row>
    <row r="375" ht="13.5" customHeight="1" s="7635" thickBot="1">
      <c r="A375" s="2112" t="n"/>
      <c r="B375" s="8966" t="n">
        <v>35</v>
      </c>
      <c r="D375" s="344" t="inlineStr">
        <is>
          <t>Subtract line 34 from line 33. This is your foreign tax credit. Enter here and on Schedule 3 (Form</t>
        </is>
      </c>
      <c r="E375" s="11602" t="n"/>
      <c r="F375" s="11602" t="n"/>
      <c r="G375" s="11602" t="n"/>
      <c r="H375" s="11602" t="n"/>
      <c r="I375" s="11602" t="n"/>
      <c r="J375" s="11602" t="n"/>
      <c r="K375" s="11602" t="n"/>
      <c r="L375" s="11602" t="n"/>
      <c r="M375" s="11602" t="n"/>
      <c r="N375" s="11602" t="n"/>
      <c r="O375" s="11602" t="n"/>
      <c r="P375" s="11602" t="n"/>
      <c r="Q375" s="11602" t="n"/>
      <c r="R375" s="11602" t="n"/>
      <c r="S375" s="11602" t="n"/>
      <c r="T375" s="794" t="n"/>
      <c r="U375" s="11602" t="n"/>
      <c r="V375" s="11602" t="n"/>
      <c r="W375" s="11602" t="n"/>
      <c r="X375" s="11602" t="n"/>
      <c r="Y375" s="11602" t="n"/>
      <c r="Z375" s="11602" t="n"/>
      <c r="AA375" s="11602" t="n"/>
      <c r="AB375" s="11602" t="n"/>
      <c r="AC375" s="11602" t="n"/>
      <c r="AD375" s="11602" t="n"/>
      <c r="AE375" s="11602" t="n"/>
      <c r="AF375" s="11602" t="n"/>
      <c r="AG375" s="11602" t="n"/>
      <c r="AH375" s="11602" t="n"/>
      <c r="AI375" s="11602" t="n"/>
      <c r="AJ375" s="9085" t="n"/>
      <c r="AL375" s="408" t="n"/>
      <c r="AM375" s="11602" t="n"/>
      <c r="AN375" s="11602" t="n"/>
      <c r="AO375" s="11602" t="n"/>
      <c r="AP375" s="1277" t="n"/>
      <c r="AQ375" s="1277" t="n"/>
      <c r="AR375" s="1277" t="n"/>
      <c r="AS375" s="1277" t="n"/>
      <c r="AT375" s="1277" t="n"/>
      <c r="AU375" s="1277" t="n"/>
      <c r="AV375" s="11602" t="n"/>
      <c r="AW375" s="11602" t="n"/>
      <c r="AX375" s="4201" t="n"/>
      <c r="AY375" s="6500" t="inlineStr">
        <is>
          <t>(if the result is zero or less, enter -0-)</t>
        </is>
      </c>
      <c r="AZ375" s="1194" t="n"/>
      <c r="BA375" s="1194" t="n"/>
      <c r="BB375" s="1194" t="n"/>
      <c r="BC375" s="1194" t="n"/>
      <c r="BD375" s="1194" t="n"/>
      <c r="BE375" s="1194" t="n"/>
      <c r="BF375" s="1194" t="n"/>
      <c r="BG375" s="1194" t="n"/>
      <c r="BH375" s="4202" t="n"/>
    </row>
    <row r="376" ht="15.75" customHeight="1" s="7635" thickBot="1">
      <c r="A376" s="2112" t="n"/>
      <c r="B376" s="4200" t="n"/>
      <c r="C376" s="4200" t="n"/>
      <c r="D376" s="498" t="inlineStr">
        <is>
          <t>1040), line 1; Form 1041, Schedule G, line 2a; or Form 990-T, Part III, line 1a</t>
        </is>
      </c>
      <c r="E376" s="380" t="n"/>
      <c r="F376" s="380" t="n"/>
      <c r="G376" s="380" t="n"/>
      <c r="H376" s="380" t="n"/>
      <c r="I376" s="380" t="n"/>
      <c r="J376" s="380" t="n"/>
      <c r="K376" s="380" t="n"/>
      <c r="L376" s="380" t="n"/>
      <c r="M376" s="380" t="n"/>
      <c r="N376" s="380" t="n"/>
      <c r="O376" s="380" t="n"/>
      <c r="P376" s="380" t="n"/>
      <c r="Q376" s="380" t="n"/>
      <c r="R376" s="380" t="n"/>
      <c r="S376" s="380" t="n"/>
      <c r="T376" s="4206" t="n"/>
      <c r="U376" s="380" t="n"/>
      <c r="V376" s="380" t="n"/>
      <c r="W376" s="380" t="n"/>
      <c r="X376" s="380" t="n"/>
      <c r="Y376" s="380" t="n"/>
      <c r="Z376" s="380" t="n"/>
      <c r="AA376" s="380" t="n"/>
      <c r="AB376" s="380" t="n"/>
      <c r="AC376" s="380" t="n"/>
      <c r="AD376" s="380" t="n"/>
      <c r="AE376" s="380" t="n"/>
      <c r="AF376" s="380" t="n"/>
      <c r="AG376" s="380" t="n"/>
      <c r="AH376" s="380" t="n"/>
      <c r="AI376" s="10736" t="inlineStr">
        <is>
          <t xml:space="preserve">.   .   .   .   .   .   .   .   .   .  </t>
        </is>
      </c>
      <c r="AJ376" s="3840" t="n">
        <v>35</v>
      </c>
      <c r="AK376" s="12121" t="n"/>
      <c r="AL376" s="9025">
        <f>IF(AQ376&lt;&gt;"",ROUND(AQ376,0),IF(AND(AL364=1,AO266=1),AL362,IF(NOT(AO364),"",IF(ISERROR(SUM(AL373,-AL374)),"",SUM(AL373,-AL374)))))</f>
        <v/>
      </c>
      <c r="AM376" s="8848" t="n"/>
      <c r="AN376" s="8848" t="n"/>
      <c r="AO376" s="8848" t="n"/>
      <c r="AP376" s="1277" t="n"/>
      <c r="AQ376" s="8957" t="n"/>
      <c r="AR376" s="11717" t="n"/>
      <c r="AS376" s="11717" t="n"/>
      <c r="AT376" s="11717" t="n"/>
      <c r="AU376" s="1277" t="n"/>
      <c r="AV376" s="11602" t="n"/>
      <c r="AW376" s="11602" t="n"/>
      <c r="AX376" s="769" t="n"/>
      <c r="AY376" s="964" t="n"/>
      <c r="AZ376" s="964" t="n"/>
      <c r="BA376" s="964" t="n"/>
      <c r="BB376" s="964" t="n"/>
      <c r="BC376" s="964" t="n"/>
      <c r="BD376" s="964" t="n"/>
      <c r="BE376" s="964" t="n"/>
      <c r="BF376" s="964" t="n"/>
      <c r="BG376" s="964" t="n"/>
      <c r="BH376" s="964" t="n"/>
    </row>
    <row r="377" ht="18" customHeight="1" s="7635">
      <c r="A377" s="2112" t="n"/>
      <c r="B377" s="1218" t="n"/>
      <c r="C377" s="2373" t="n"/>
      <c r="D377" s="11602" t="n"/>
      <c r="E377" s="11602" t="n"/>
      <c r="F377" s="11602" t="n"/>
      <c r="G377" s="11602" t="n"/>
      <c r="H377" s="11602" t="n"/>
      <c r="I377" s="11602" t="n"/>
      <c r="J377" s="11602" t="n"/>
      <c r="K377" s="11602" t="n"/>
      <c r="L377" s="11602" t="n"/>
      <c r="M377" s="11602" t="n"/>
      <c r="N377" s="11602" t="n"/>
      <c r="O377" s="11602" t="n"/>
      <c r="P377" s="11602" t="n"/>
      <c r="Q377" s="11602" t="n"/>
      <c r="R377" s="11602" t="n"/>
      <c r="S377" s="11602" t="n"/>
      <c r="T377" s="11602" t="n"/>
      <c r="U377" s="11602" t="n"/>
      <c r="V377" s="11602" t="n"/>
      <c r="W377" s="11602" t="n"/>
      <c r="X377" s="11602" t="n"/>
      <c r="Y377" s="11602" t="n"/>
      <c r="Z377" s="11602" t="n"/>
      <c r="AA377" s="11602" t="n"/>
      <c r="AB377" s="11602" t="n"/>
      <c r="AC377" s="11602" t="n"/>
      <c r="AD377" s="11602" t="n"/>
      <c r="AE377" s="11602" t="n"/>
      <c r="AF377" s="11602" t="n"/>
      <c r="AG377" s="11602" t="n"/>
      <c r="AH377" s="11602" t="n"/>
      <c r="AI377" s="11602" t="n"/>
      <c r="AJ377" s="11602" t="n"/>
      <c r="AK377" s="1061" t="n"/>
      <c r="AL377" s="11602" t="n"/>
      <c r="AM377" s="11602" t="n"/>
      <c r="AN377" s="1061" t="inlineStr">
        <is>
          <t>Form 1116</t>
        </is>
      </c>
      <c r="AO377" s="6996">
        <f>"("&amp;TaxYear&amp;")"</f>
        <v/>
      </c>
      <c r="AP377" s="1277" t="n"/>
      <c r="AQ377" s="1277" t="n"/>
      <c r="AR377" s="1277" t="n"/>
      <c r="AS377" s="1277" t="n"/>
      <c r="AT377" s="1277" t="n"/>
      <c r="AU377" s="1277" t="n"/>
      <c r="AV377" s="11602" t="n"/>
      <c r="AW377" s="11602" t="n"/>
      <c r="AX377" s="769" t="n"/>
      <c r="AY377" s="964" t="n"/>
      <c r="AZ377" s="964" t="n"/>
      <c r="BA377" s="964" t="n"/>
      <c r="BB377" s="964" t="n"/>
      <c r="BC377" s="964" t="n"/>
      <c r="BD377" s="964" t="n"/>
      <c r="BE377" s="964" t="n"/>
      <c r="BF377" s="964" t="n"/>
      <c r="BG377" s="964" t="n"/>
      <c r="BH377" s="964" t="n"/>
    </row>
    <row r="378">
      <c r="A378" s="2112" t="n"/>
      <c r="B378" s="1277" t="n"/>
      <c r="C378" s="1277" t="n"/>
      <c r="D378" s="1277" t="n"/>
      <c r="E378" s="1277" t="n"/>
      <c r="F378" s="1277" t="n"/>
      <c r="G378" s="1277" t="n"/>
      <c r="H378" s="1277" t="n"/>
      <c r="I378" s="1277" t="n"/>
      <c r="J378" s="1277" t="n"/>
      <c r="K378" s="1277" t="n"/>
      <c r="L378" s="1277" t="n"/>
      <c r="M378" s="1277" t="n"/>
      <c r="N378" s="1277" t="n"/>
      <c r="O378" s="1277" t="n"/>
      <c r="P378" s="1277" t="n"/>
      <c r="Q378" s="1277" t="n"/>
      <c r="R378" s="1277" t="n"/>
      <c r="S378" s="1277" t="n"/>
      <c r="T378" s="1277" t="n"/>
      <c r="U378" s="1277" t="n"/>
      <c r="V378" s="1277" t="n"/>
      <c r="W378" s="1277" t="n"/>
      <c r="X378" s="1277" t="n"/>
      <c r="Y378" s="1277" t="n"/>
      <c r="Z378" s="1277" t="n"/>
      <c r="AA378" s="1277" t="n"/>
      <c r="AB378" s="1277" t="n"/>
      <c r="AC378" s="1277" t="n"/>
      <c r="AD378" s="1277" t="n"/>
      <c r="AE378" s="1277" t="n"/>
      <c r="AF378" s="1277" t="n"/>
      <c r="AG378" s="1277" t="n"/>
      <c r="AH378" s="1277" t="n"/>
      <c r="AI378" s="1277" t="n"/>
      <c r="AJ378" s="1277" t="n"/>
      <c r="AK378" s="1277" t="n"/>
      <c r="AL378" s="1277" t="n"/>
      <c r="AM378" s="1277" t="n"/>
      <c r="AN378" s="1277" t="n"/>
      <c r="AO378" s="1277" t="n"/>
      <c r="AP378" s="1277" t="n"/>
      <c r="AQ378" s="11602" t="n"/>
      <c r="AR378" s="11602" t="n"/>
      <c r="AS378" s="11602" t="n"/>
      <c r="AT378" s="11602" t="n"/>
      <c r="AU378" s="11602" t="n"/>
      <c r="AV378" s="11602" t="n"/>
      <c r="AW378" s="11602" t="n"/>
      <c r="AX378" s="769" t="n"/>
      <c r="AY378" s="969" t="inlineStr">
        <is>
          <t>CarryBack from Current Year</t>
        </is>
      </c>
      <c r="AZ378" s="964" t="n"/>
      <c r="BA378" s="964" t="n"/>
      <c r="BB378" s="971">
        <f>IF(ISERROR(SUM(AL359,-ForeignTaxCredit_3))," ---",MAX(SUM(AL359,-ForeignTaxCredit_3),0))</f>
        <v/>
      </c>
      <c r="BC378" s="973" t="inlineStr">
        <is>
          <t>Line 21 less Line 33 (Must be &gt;=0)</t>
        </is>
      </c>
      <c r="BD378" s="964" t="n"/>
      <c r="BE378" s="964" t="n"/>
      <c r="BF378" s="964" t="n"/>
      <c r="BG378" s="964" t="n"/>
      <c r="BH378" s="964" t="n"/>
    </row>
    <row r="379">
      <c r="AX379" s="769" t="n"/>
      <c r="AY379" s="969" t="inlineStr">
        <is>
          <t>CarryForward to Next Year</t>
        </is>
      </c>
      <c r="AZ379" s="964" t="n"/>
      <c r="BA379" s="964" t="n"/>
      <c r="BB379" s="972">
        <f>IF(ISERROR(SUM(AL338,-ForeignTaxCredit_3))," ---",MAX(SUM(AL338,-ForeignTaxCredit_3),0))</f>
        <v/>
      </c>
      <c r="BC379" s="973" t="inlineStr">
        <is>
          <t>Line 14 less Line 33 (Must be &gt;=0)</t>
        </is>
      </c>
      <c r="BD379" s="964" t="n"/>
      <c r="BE379" s="964" t="n"/>
      <c r="BF379" s="964" t="n"/>
      <c r="BG379" s="964" t="n"/>
      <c r="BH379" s="964" t="n"/>
    </row>
    <row r="380">
      <c r="AX380" s="769" t="n"/>
      <c r="AY380" s="969" t="n"/>
      <c r="AZ380" s="964" t="n"/>
      <c r="BA380" s="964" t="n"/>
      <c r="BB380" s="964" t="n"/>
      <c r="BC380" s="964" t="n"/>
      <c r="BD380" s="964" t="n"/>
      <c r="BE380" s="964" t="n"/>
      <c r="BF380" s="964" t="n"/>
      <c r="BG380" s="964" t="n"/>
      <c r="BH380" s="964" t="n"/>
    </row>
    <row r="381">
      <c r="AX381" s="769" t="n"/>
      <c r="AY381" s="969" t="inlineStr">
        <is>
          <t>Important! - Retain these CarryBack and CarryForward amounts for EACH year you file Form 1116.</t>
        </is>
      </c>
      <c r="AZ381" s="964" t="n"/>
      <c r="BA381" s="964" t="n"/>
      <c r="BB381" s="964" t="n"/>
      <c r="BC381" s="964" t="n"/>
      <c r="BD381" s="964" t="n"/>
      <c r="BE381" s="964" t="n"/>
      <c r="BF381" s="964" t="n"/>
      <c r="BG381" s="964" t="n"/>
      <c r="BH381" s="964" t="n"/>
    </row>
    <row r="382">
      <c r="AX382" s="769" t="n"/>
      <c r="AY382" s="969" t="inlineStr">
        <is>
          <t>They will be needed in future years when you can get a REFUND from CarryBack and for utilizing</t>
        </is>
      </c>
      <c r="AZ382" s="964" t="n"/>
      <c r="BA382" s="964" t="n"/>
      <c r="BB382" s="964" t="n"/>
      <c r="BC382" s="964" t="n"/>
      <c r="BD382" s="964" t="n"/>
      <c r="BE382" s="964" t="n"/>
      <c r="BF382" s="964" t="n"/>
      <c r="BG382" s="964" t="n"/>
      <c r="BH382" s="964" t="n"/>
    </row>
    <row r="383">
      <c r="AX383" s="769" t="n"/>
      <c r="AY383" s="970" t="inlineStr">
        <is>
          <t>Unused CarryForward next year on Form 1116 Line 10.</t>
        </is>
      </c>
      <c r="AZ383" s="964" t="n"/>
      <c r="BA383" s="964" t="n"/>
      <c r="BB383" s="964" t="n"/>
      <c r="BC383" s="964" t="n"/>
      <c r="BD383" s="964" t="n"/>
      <c r="BE383" s="964" t="n"/>
      <c r="BF383" s="964" t="n"/>
      <c r="BG383" s="964" t="n"/>
      <c r="BH383" s="964" t="n"/>
    </row>
    <row r="384">
      <c r="AX384" s="769" t="n"/>
      <c r="AY384" s="970" t="n"/>
      <c r="AZ384" s="964" t="n"/>
      <c r="BA384" s="964" t="n"/>
      <c r="BB384" s="964" t="n"/>
      <c r="BC384" s="964" t="n"/>
      <c r="BD384" s="964" t="n"/>
      <c r="BE384" s="964" t="n"/>
      <c r="BF384" s="964" t="n"/>
      <c r="BG384" s="964" t="n"/>
      <c r="BH384" s="964" t="n"/>
    </row>
    <row r="385">
      <c r="AX385" s="769" t="n"/>
      <c r="AY385" s="969" t="n"/>
      <c r="AZ385" s="964" t="n"/>
      <c r="BA385" s="964" t="n"/>
      <c r="BB385" s="964" t="n"/>
      <c r="BC385" s="964" t="n"/>
      <c r="BD385" s="964" t="n"/>
      <c r="BE385" s="964" t="n"/>
      <c r="BF385" s="964" t="n"/>
      <c r="BG385" s="964" t="n"/>
      <c r="BH385" s="964" t="n"/>
    </row>
    <row r="386">
      <c r="AX386" s="769" t="n"/>
      <c r="AY386" s="969" t="n"/>
      <c r="AZ386" s="964" t="n"/>
      <c r="BA386" s="964" t="n"/>
      <c r="BB386" s="964" t="n"/>
      <c r="BC386" s="964" t="n"/>
      <c r="BD386" s="964" t="n"/>
      <c r="BE386" s="964" t="n"/>
      <c r="BF386" s="964" t="n"/>
      <c r="BG386" s="964" t="n"/>
      <c r="BH386" s="964" t="n"/>
    </row>
    <row r="387">
      <c r="AX387" s="769" t="n"/>
      <c r="AY387" s="969" t="n"/>
      <c r="AZ387" s="964" t="n"/>
      <c r="BA387" s="964" t="n"/>
      <c r="BB387" s="964" t="n"/>
      <c r="BC387" s="964" t="n"/>
      <c r="BD387" s="964" t="n"/>
      <c r="BE387" s="964" t="n"/>
      <c r="BF387" s="964" t="n"/>
      <c r="BG387" s="964" t="n"/>
      <c r="BH387" s="964" t="n"/>
    </row>
    <row r="388">
      <c r="AX388" s="769" t="n"/>
      <c r="AY388" s="969" t="n"/>
      <c r="AZ388" s="964" t="n"/>
      <c r="BA388" s="964" t="n"/>
      <c r="BB388" s="964" t="n"/>
      <c r="BC388" s="964" t="n"/>
      <c r="BD388" s="964" t="n"/>
      <c r="BE388" s="964" t="n"/>
      <c r="BF388" s="964" t="n"/>
      <c r="BG388" s="964" t="n"/>
      <c r="BH388" s="964" t="n"/>
    </row>
    <row r="389">
      <c r="AX389" s="769" t="n"/>
      <c r="AY389" s="969" t="n"/>
      <c r="AZ389" s="964" t="n"/>
      <c r="BA389" s="964" t="n"/>
      <c r="BB389" s="964" t="n"/>
      <c r="BC389" s="964" t="n"/>
      <c r="BD389" s="964" t="n"/>
      <c r="BE389" s="964" t="n"/>
      <c r="BF389" s="964" t="n"/>
      <c r="BG389" s="964" t="n"/>
      <c r="BH389" s="964" t="n"/>
    </row>
    <row r="390">
      <c r="AX390" s="769" t="n"/>
      <c r="AY390" s="969" t="n"/>
      <c r="AZ390" s="964" t="n"/>
      <c r="BA390" s="964" t="n"/>
      <c r="BB390" s="964" t="n"/>
      <c r="BC390" s="964" t="n"/>
      <c r="BD390" s="964" t="n"/>
      <c r="BE390" s="964" t="n"/>
      <c r="BF390" s="964" t="n"/>
      <c r="BG390" s="964" t="n"/>
      <c r="BH390" s="964" t="n"/>
    </row>
  </sheetData>
  <sheetProtection selectLockedCells="0" selectUnlockedCells="0" algorithmName="SHA-512" sheet="1" objects="0" insertRows="1" insertHyperlinks="1" autoFilter="1" scenarios="0" formatColumns="0" deleteColumns="1" insertColumns="1" pivotTables="1" deleteRows="1" formatCells="0" saltValue="8zylZwN7QGy5lhtsrdCYxQ==" formatRows="0" sort="1" spinCount="100000" hashValue="7gs2xT8MMxbokThTExTuCJgo5jIc4NILcl0t1vbNZlIjoTWZDQRf3GDDaG7rikdu0+p7+D6wNFizuYgCElSabQ=="/>
  <mergeCells count="1027">
    <mergeCell ref="AL373:AO373"/>
    <mergeCell ref="AQ132:AT132"/>
    <mergeCell ref="AL307:AO307"/>
    <mergeCell ref="X69:AO70"/>
    <mergeCell ref="Z124:AA124"/>
    <mergeCell ref="AJ121:AK121"/>
    <mergeCell ref="AO258:AO259"/>
    <mergeCell ref="AJ115:AK115"/>
    <mergeCell ref="AJ238:AK238"/>
    <mergeCell ref="AJ42:AK42"/>
    <mergeCell ref="AJ213:AK213"/>
    <mergeCell ref="AL231:AO231"/>
    <mergeCell ref="AA79:AD79"/>
    <mergeCell ref="Z126:AA126"/>
    <mergeCell ref="AJ126:AK126"/>
    <mergeCell ref="AJ375:AK375"/>
    <mergeCell ref="B248:C248"/>
    <mergeCell ref="T193:W198"/>
    <mergeCell ref="AJ31:AO32"/>
    <mergeCell ref="Z218:AA218"/>
    <mergeCell ref="D281:N281"/>
    <mergeCell ref="Z345:AA345"/>
    <mergeCell ref="O200:S200"/>
    <mergeCell ref="P31:AI31"/>
    <mergeCell ref="B84:D84"/>
    <mergeCell ref="AD154:AI154"/>
    <mergeCell ref="B362:C362"/>
    <mergeCell ref="B297:C297"/>
    <mergeCell ref="AI78:AL78"/>
    <mergeCell ref="K322:N322"/>
    <mergeCell ref="B299:C299"/>
    <mergeCell ref="AB122:AI122"/>
    <mergeCell ref="AB105:AI105"/>
    <mergeCell ref="B249:C249"/>
    <mergeCell ref="AB347:AI347"/>
    <mergeCell ref="T71:W76"/>
    <mergeCell ref="C201:G201"/>
    <mergeCell ref="AB214:AI214"/>
    <mergeCell ref="B243:C243"/>
    <mergeCell ref="AB341:AI341"/>
    <mergeCell ref="C195:G196"/>
    <mergeCell ref="AD155:AI155"/>
    <mergeCell ref="AQ13:AW14"/>
    <mergeCell ref="T78:W78"/>
    <mergeCell ref="AE201:AH201"/>
    <mergeCell ref="W55:AC55"/>
    <mergeCell ref="H15:AH15"/>
    <mergeCell ref="W182:AC182"/>
    <mergeCell ref="AB107:AI107"/>
    <mergeCell ref="W169:AC169"/>
    <mergeCell ref="AE195:AH198"/>
    <mergeCell ref="B55:C55"/>
    <mergeCell ref="AJ95:AK95"/>
    <mergeCell ref="AB342:AI342"/>
    <mergeCell ref="P179:V179"/>
    <mergeCell ref="AL361:AO361"/>
    <mergeCell ref="AR127:AU127"/>
    <mergeCell ref="W305:AC305"/>
    <mergeCell ref="AJ330:AK330"/>
    <mergeCell ref="B154:C154"/>
    <mergeCell ref="AQ253:AT253"/>
    <mergeCell ref="AJ124:AK124"/>
    <mergeCell ref="AD182:AI182"/>
    <mergeCell ref="B129:C129"/>
    <mergeCell ref="AJ47:AK47"/>
    <mergeCell ref="B365:C365"/>
    <mergeCell ref="AJ96:AK96"/>
    <mergeCell ref="AJ90:AK90"/>
    <mergeCell ref="AJ332:AK332"/>
    <mergeCell ref="B156:C156"/>
    <mergeCell ref="W294:AC294"/>
    <mergeCell ref="AJ40:AK40"/>
    <mergeCell ref="B131:C131"/>
    <mergeCell ref="Z212:AA212"/>
    <mergeCell ref="B236:C236"/>
    <mergeCell ref="AB369:AI369"/>
    <mergeCell ref="B223:C223"/>
    <mergeCell ref="AR247:AU247"/>
    <mergeCell ref="W60:AC60"/>
    <mergeCell ref="AD183:AI183"/>
    <mergeCell ref="AJ361:AK361"/>
    <mergeCell ref="B308:D308"/>
    <mergeCell ref="AM78:AO78"/>
    <mergeCell ref="C318:G318"/>
    <mergeCell ref="Z214:AA214"/>
    <mergeCell ref="B231:C231"/>
    <mergeCell ref="W53:AC53"/>
    <mergeCell ref="AD54:AI54"/>
    <mergeCell ref="AB227:AI227"/>
    <mergeCell ref="AJ327:AK327"/>
    <mergeCell ref="P299:V299"/>
    <mergeCell ref="AR122:AU122"/>
    <mergeCell ref="AR243:AU243"/>
    <mergeCell ref="T322:W322"/>
    <mergeCell ref="B53:C53"/>
    <mergeCell ref="M134:Z135"/>
    <mergeCell ref="C320:G320"/>
    <mergeCell ref="B289:C289"/>
    <mergeCell ref="AQ306:AT306"/>
    <mergeCell ref="AL110:AO110"/>
    <mergeCell ref="B66:B72"/>
    <mergeCell ref="AQ233:AT233"/>
    <mergeCell ref="AJ279:AK279"/>
    <mergeCell ref="AJ45:AK45"/>
    <mergeCell ref="O79:S79"/>
    <mergeCell ref="X77:Z77"/>
    <mergeCell ref="AJ216:AK216"/>
    <mergeCell ref="AJ343:AK343"/>
    <mergeCell ref="AJ281:AK281"/>
    <mergeCell ref="AM200:AO200"/>
    <mergeCell ref="Z224:AA224"/>
    <mergeCell ref="AI79:AL79"/>
    <mergeCell ref="P154:V154"/>
    <mergeCell ref="Z367:AA367"/>
    <mergeCell ref="B326:D326"/>
    <mergeCell ref="B80:C80"/>
    <mergeCell ref="AL238:AO238"/>
    <mergeCell ref="AJ280:AK280"/>
    <mergeCell ref="AR367:AU367"/>
    <mergeCell ref="AJ345:AK345"/>
    <mergeCell ref="AM202:AO202"/>
    <mergeCell ref="BF229:BG230"/>
    <mergeCell ref="B152:D152"/>
    <mergeCell ref="Z225:AA225"/>
    <mergeCell ref="AD178:AI178"/>
    <mergeCell ref="B242:C242"/>
    <mergeCell ref="AJ356:AK356"/>
    <mergeCell ref="B302:C302"/>
    <mergeCell ref="AB121:AI121"/>
    <mergeCell ref="E30:AO30"/>
    <mergeCell ref="AR369:AU369"/>
    <mergeCell ref="AJ86:AK86"/>
    <mergeCell ref="AJ51:AK51"/>
    <mergeCell ref="B208:C208"/>
    <mergeCell ref="AA260:AO260"/>
    <mergeCell ref="AR368:AU368"/>
    <mergeCell ref="B366:C366"/>
    <mergeCell ref="AB123:AI123"/>
    <mergeCell ref="AB365:AI365"/>
    <mergeCell ref="AL94:AO94"/>
    <mergeCell ref="X322:Z322"/>
    <mergeCell ref="AJ111:AK111"/>
    <mergeCell ref="O195:S197"/>
    <mergeCell ref="AJ209:AK209"/>
    <mergeCell ref="AD61:AI61"/>
    <mergeCell ref="AJ48:AK48"/>
    <mergeCell ref="P182:V182"/>
    <mergeCell ref="AD175:AI175"/>
    <mergeCell ref="P38:V38"/>
    <mergeCell ref="B170:C170"/>
    <mergeCell ref="AM320:AO320"/>
    <mergeCell ref="AJ211:AK211"/>
    <mergeCell ref="B333:C333"/>
    <mergeCell ref="AM80:AO80"/>
    <mergeCell ref="B234:C234"/>
    <mergeCell ref="B34:C34"/>
    <mergeCell ref="B172:C172"/>
    <mergeCell ref="AJ33:AK33"/>
    <mergeCell ref="B28:C28"/>
    <mergeCell ref="AJ348:AK348"/>
    <mergeCell ref="AD62:AI62"/>
    <mergeCell ref="AJ335:AK335"/>
    <mergeCell ref="AD56:AI56"/>
    <mergeCell ref="AM79:AO79"/>
    <mergeCell ref="AQ116:AT116"/>
    <mergeCell ref="AA17:AO17"/>
    <mergeCell ref="AD176:AI176"/>
    <mergeCell ref="H136:AH136"/>
    <mergeCell ref="B239:C239"/>
    <mergeCell ref="AJ35:AK35"/>
    <mergeCell ref="AJ206:AK206"/>
    <mergeCell ref="AD51:AI51"/>
    <mergeCell ref="C199:G199"/>
    <mergeCell ref="AB243:AI243"/>
    <mergeCell ref="AQ17:AW17"/>
    <mergeCell ref="C66:G68"/>
    <mergeCell ref="B94:C94"/>
    <mergeCell ref="B361:C361"/>
    <mergeCell ref="AI321:AL321"/>
    <mergeCell ref="AL115:AO115"/>
    <mergeCell ref="AQ185:AT185"/>
    <mergeCell ref="AA321:AD321"/>
    <mergeCell ref="AJ158:AK158"/>
    <mergeCell ref="B240:D240"/>
    <mergeCell ref="AJ351:AK351"/>
    <mergeCell ref="P175:V175"/>
    <mergeCell ref="O78:S78"/>
    <mergeCell ref="AR123:AU123"/>
    <mergeCell ref="AJ59:AK59"/>
    <mergeCell ref="AJ130:AK130"/>
    <mergeCell ref="B150:C150"/>
    <mergeCell ref="Z369:AA369"/>
    <mergeCell ref="AQ249:AT249"/>
    <mergeCell ref="AJ46:AK46"/>
    <mergeCell ref="AJ295:AK295"/>
    <mergeCell ref="AL215:AO215"/>
    <mergeCell ref="AJ282:AK282"/>
    <mergeCell ref="P177:V177"/>
    <mergeCell ref="P274:AI274"/>
    <mergeCell ref="P33:V33"/>
    <mergeCell ref="AQ186:AT186"/>
    <mergeCell ref="Z246:AA246"/>
    <mergeCell ref="AJ61:AK61"/>
    <mergeCell ref="AJ232:AK232"/>
    <mergeCell ref="B323:C323"/>
    <mergeCell ref="AJ359:AK359"/>
    <mergeCell ref="AJ159:AK159"/>
    <mergeCell ref="AQ80:AT80"/>
    <mergeCell ref="Z227:AA227"/>
    <mergeCell ref="B244:C244"/>
    <mergeCell ref="AJ346:AK346"/>
    <mergeCell ref="H199:J199"/>
    <mergeCell ref="AJ224:AK224"/>
    <mergeCell ref="W160:AC160"/>
    <mergeCell ref="AJ125:AK125"/>
    <mergeCell ref="AD296:AI296"/>
    <mergeCell ref="AJ296:AK296"/>
    <mergeCell ref="H193:S194"/>
    <mergeCell ref="K201:N201"/>
    <mergeCell ref="B181:C181"/>
    <mergeCell ref="H69:W70"/>
    <mergeCell ref="AR370:AU370"/>
    <mergeCell ref="E273:AO273"/>
    <mergeCell ref="B87:C87"/>
    <mergeCell ref="AA139:AO139"/>
    <mergeCell ref="AD298:AI298"/>
    <mergeCell ref="AB220:AI220"/>
    <mergeCell ref="B245:C245"/>
    <mergeCell ref="AB366:AI366"/>
    <mergeCell ref="W51:AC51"/>
    <mergeCell ref="AD52:AI52"/>
    <mergeCell ref="X201:Z201"/>
    <mergeCell ref="AQ345:AW345"/>
    <mergeCell ref="AL116:AO116"/>
    <mergeCell ref="Z88:AA88"/>
    <mergeCell ref="AL352:AO352"/>
    <mergeCell ref="AL103:AO103"/>
    <mergeCell ref="AB126:AI126"/>
    <mergeCell ref="AJ250:AK250"/>
    <mergeCell ref="AI71:AL76"/>
    <mergeCell ref="P61:V61"/>
    <mergeCell ref="AM321:AO321"/>
    <mergeCell ref="AK80:AL80"/>
    <mergeCell ref="AA261:AO262"/>
    <mergeCell ref="AL96:AO96"/>
    <mergeCell ref="AJ41:AK41"/>
    <mergeCell ref="Z90:AA90"/>
    <mergeCell ref="W184:AC184"/>
    <mergeCell ref="AA78:AD78"/>
    <mergeCell ref="AJ212:AK212"/>
    <mergeCell ref="AL345:AO345"/>
    <mergeCell ref="AL332:AO332"/>
    <mergeCell ref="B334:C334"/>
    <mergeCell ref="AJ277:AK277"/>
    <mergeCell ref="AJ301:AK301"/>
    <mergeCell ref="B113:C113"/>
    <mergeCell ref="AM323:AO323"/>
    <mergeCell ref="AJ349:AK349"/>
    <mergeCell ref="AL120:AN120"/>
    <mergeCell ref="AX101:BE102"/>
    <mergeCell ref="AJ276:AK276"/>
    <mergeCell ref="B100:C100"/>
    <mergeCell ref="AJ43:AK43"/>
    <mergeCell ref="AJ214:AK214"/>
    <mergeCell ref="B271:C271"/>
    <mergeCell ref="AJ341:AK341"/>
    <mergeCell ref="B336:C336"/>
    <mergeCell ref="AJ291:AK291"/>
    <mergeCell ref="B115:C115"/>
    <mergeCell ref="Z85:AA85"/>
    <mergeCell ref="B31:C31"/>
    <mergeCell ref="W179:AC179"/>
    <mergeCell ref="B102:C102"/>
    <mergeCell ref="AJ278:AK278"/>
    <mergeCell ref="B18:Z19"/>
    <mergeCell ref="AL129:AO129"/>
    <mergeCell ref="AL63:AO63"/>
    <mergeCell ref="AR365:AU365"/>
    <mergeCell ref="AD57:AI57"/>
    <mergeCell ref="C200:G200"/>
    <mergeCell ref="AB242:AI242"/>
    <mergeCell ref="T77:W77"/>
    <mergeCell ref="W304:AC304"/>
    <mergeCell ref="AA200:AD200"/>
    <mergeCell ref="AJ132:AK132"/>
    <mergeCell ref="AL236:AO236"/>
    <mergeCell ref="AJ303:AK303"/>
    <mergeCell ref="D160:N160"/>
    <mergeCell ref="Z208:AA208"/>
    <mergeCell ref="P176:V176"/>
    <mergeCell ref="AR366:AU366"/>
    <mergeCell ref="AB244:AI244"/>
    <mergeCell ref="AJ367:AK367"/>
    <mergeCell ref="AJ161:AK161"/>
    <mergeCell ref="AJ354:AK354"/>
    <mergeCell ref="P295:V295"/>
    <mergeCell ref="B178:C178"/>
    <mergeCell ref="AJ288:AK288"/>
    <mergeCell ref="Z247:AA247"/>
    <mergeCell ref="X320:Z320"/>
    <mergeCell ref="P276:V276"/>
    <mergeCell ref="AJ62:AK62"/>
    <mergeCell ref="AL281:AO281"/>
    <mergeCell ref="AJ304:AK304"/>
    <mergeCell ref="P178:V178"/>
    <mergeCell ref="AQ323:AT323"/>
    <mergeCell ref="AM71:AO76"/>
    <mergeCell ref="AJ369:AK369"/>
    <mergeCell ref="K73:N76"/>
    <mergeCell ref="AJ298:AK298"/>
    <mergeCell ref="B49:C49"/>
    <mergeCell ref="H78:J78"/>
    <mergeCell ref="H200:J200"/>
    <mergeCell ref="AE322:AH322"/>
    <mergeCell ref="AJ225:AK225"/>
    <mergeCell ref="AJ175:AK175"/>
    <mergeCell ref="AJ64:AK64"/>
    <mergeCell ref="H36:N36"/>
    <mergeCell ref="W32:AC32"/>
    <mergeCell ref="AJ306:AK306"/>
    <mergeCell ref="AJ162:AK162"/>
    <mergeCell ref="AJ368:AK368"/>
    <mergeCell ref="AJ156:AK156"/>
    <mergeCell ref="AJ227:AK227"/>
    <mergeCell ref="E152:AO152"/>
    <mergeCell ref="B32:C32"/>
    <mergeCell ref="B63:C63"/>
    <mergeCell ref="AL241:AN241"/>
    <mergeCell ref="AJ373:AK373"/>
    <mergeCell ref="AL376:AO376"/>
    <mergeCell ref="AD299:AI299"/>
    <mergeCell ref="AJ164:AK164"/>
    <mergeCell ref="AM77:AO77"/>
    <mergeCell ref="O73:S75"/>
    <mergeCell ref="B90:C90"/>
    <mergeCell ref="AL117:AO117"/>
    <mergeCell ref="AQ107:AT107"/>
    <mergeCell ref="AJ251:AK251"/>
    <mergeCell ref="P183:V183"/>
    <mergeCell ref="C309:G311"/>
    <mergeCell ref="AB94:AI94"/>
    <mergeCell ref="P62:V62"/>
    <mergeCell ref="AK323:AL323"/>
    <mergeCell ref="Z91:AA91"/>
    <mergeCell ref="P298:V298"/>
    <mergeCell ref="AA316:AD319"/>
    <mergeCell ref="AL211:AO211"/>
    <mergeCell ref="Z327:AA327"/>
    <mergeCell ref="AJ253:AK253"/>
    <mergeCell ref="AJ180:AK180"/>
    <mergeCell ref="AJ57:AK57"/>
    <mergeCell ref="B187:D187"/>
    <mergeCell ref="B179:C179"/>
    <mergeCell ref="C75:G75"/>
    <mergeCell ref="P51:V51"/>
    <mergeCell ref="Z93:AA93"/>
    <mergeCell ref="AJ293:AK293"/>
    <mergeCell ref="AJ342:AK342"/>
    <mergeCell ref="B337:C337"/>
    <mergeCell ref="AL335:AO335"/>
    <mergeCell ref="W174:AC174"/>
    <mergeCell ref="B250:C250"/>
    <mergeCell ref="B116:C116"/>
    <mergeCell ref="Z328:AA328"/>
    <mergeCell ref="B352:C352"/>
    <mergeCell ref="B174:C174"/>
    <mergeCell ref="Z122:AA122"/>
    <mergeCell ref="AJ344:AK344"/>
    <mergeCell ref="B168:C168"/>
    <mergeCell ref="B339:C339"/>
    <mergeCell ref="H316:J319"/>
    <mergeCell ref="W281:AC281"/>
    <mergeCell ref="D37:N37"/>
    <mergeCell ref="AJ294:AK294"/>
    <mergeCell ref="B118:C118"/>
    <mergeCell ref="AD294:AI294"/>
    <mergeCell ref="AQ112:AT112"/>
    <mergeCell ref="AB216:AI216"/>
    <mergeCell ref="AI15:AM16"/>
    <mergeCell ref="W47:AC47"/>
    <mergeCell ref="AR28:AU28"/>
    <mergeCell ref="AB245:AI245"/>
    <mergeCell ref="B169:C169"/>
    <mergeCell ref="D38:N38"/>
    <mergeCell ref="AL130:AO130"/>
    <mergeCell ref="X314:AH315"/>
    <mergeCell ref="AQ64:AT64"/>
    <mergeCell ref="AI200:AL200"/>
    <mergeCell ref="AL239:AO239"/>
    <mergeCell ref="Z211:AA211"/>
    <mergeCell ref="AQ362:AT362"/>
    <mergeCell ref="AJ233:AK233"/>
    <mergeCell ref="AJ246:AK246"/>
    <mergeCell ref="AR30:AU30"/>
    <mergeCell ref="AQ349:AT349"/>
    <mergeCell ref="AJ177:AK177"/>
    <mergeCell ref="AL132:AO132"/>
    <mergeCell ref="AJ370:AK370"/>
    <mergeCell ref="AJ248:AK248"/>
    <mergeCell ref="Z104:AA104"/>
    <mergeCell ref="AJ226:AK226"/>
    <mergeCell ref="H79:J79"/>
    <mergeCell ref="B121:C121"/>
    <mergeCell ref="B292:C292"/>
    <mergeCell ref="P304:V304"/>
    <mergeCell ref="Z340:AA340"/>
    <mergeCell ref="AJ297:AK297"/>
    <mergeCell ref="B357:C357"/>
    <mergeCell ref="O322:S322"/>
    <mergeCell ref="P153:AI153"/>
    <mergeCell ref="B96:C96"/>
    <mergeCell ref="AR248:AU248"/>
    <mergeCell ref="AJ185:AK185"/>
    <mergeCell ref="AA73:AD76"/>
    <mergeCell ref="AA195:AD198"/>
    <mergeCell ref="B58:C58"/>
    <mergeCell ref="X200:Z200"/>
    <mergeCell ref="AJ228:AK228"/>
    <mergeCell ref="B52:C52"/>
    <mergeCell ref="AR125:AU125"/>
    <mergeCell ref="B307:C307"/>
    <mergeCell ref="B332:C332"/>
    <mergeCell ref="P306:V306"/>
    <mergeCell ref="BF354:BG355"/>
    <mergeCell ref="AJ299:AK299"/>
    <mergeCell ref="W175:AC175"/>
    <mergeCell ref="AJ178:AK178"/>
    <mergeCell ref="B98:C98"/>
    <mergeCell ref="AB100:AI100"/>
    <mergeCell ref="AJ243:AK243"/>
    <mergeCell ref="AB336:AI336"/>
    <mergeCell ref="AQ346:AW346"/>
    <mergeCell ref="W177:AC177"/>
    <mergeCell ref="W33:AC33"/>
    <mergeCell ref="H314:S315"/>
    <mergeCell ref="C188:G190"/>
    <mergeCell ref="AL250:AO250"/>
    <mergeCell ref="AJ117:AK117"/>
    <mergeCell ref="AB95:AI95"/>
    <mergeCell ref="AI320:AL320"/>
    <mergeCell ref="AB337:AI337"/>
    <mergeCell ref="AL237:AO237"/>
    <mergeCell ref="AL356:AO356"/>
    <mergeCell ref="AL160:AO160"/>
    <mergeCell ref="Z206:AA206"/>
    <mergeCell ref="P297:V297"/>
    <mergeCell ref="L27:AO27"/>
    <mergeCell ref="Z107:AA107"/>
    <mergeCell ref="AD177:AI177"/>
    <mergeCell ref="AD33:AI33"/>
    <mergeCell ref="B124:C124"/>
    <mergeCell ref="B251:C251"/>
    <mergeCell ref="AJ91:AK91"/>
    <mergeCell ref="AL214:AO214"/>
    <mergeCell ref="B216:C216"/>
    <mergeCell ref="AJ85:AK85"/>
    <mergeCell ref="B343:C343"/>
    <mergeCell ref="AJ112:AK112"/>
    <mergeCell ref="AJ183:AK183"/>
    <mergeCell ref="E308:AO308"/>
    <mergeCell ref="AJ60:AK60"/>
    <mergeCell ref="B305:C305"/>
    <mergeCell ref="AJ302:AK302"/>
    <mergeCell ref="B126:C126"/>
    <mergeCell ref="Z207:AA207"/>
    <mergeCell ref="C78:G78"/>
    <mergeCell ref="AQ352:AT352"/>
    <mergeCell ref="AJ127:AK127"/>
    <mergeCell ref="Z334:AA334"/>
    <mergeCell ref="B47:C47"/>
    <mergeCell ref="B218:C218"/>
    <mergeCell ref="H195:J198"/>
    <mergeCell ref="W295:AC295"/>
    <mergeCell ref="AR242:AU242"/>
    <mergeCell ref="D280:N280"/>
    <mergeCell ref="B59:C59"/>
    <mergeCell ref="AJ274:AO275"/>
    <mergeCell ref="AL372:AO372"/>
    <mergeCell ref="AD305:AI305"/>
    <mergeCell ref="W61:AC61"/>
    <mergeCell ref="B46:C46"/>
    <mergeCell ref="B119:D119"/>
    <mergeCell ref="AI12:AO12"/>
    <mergeCell ref="AM193:AO198"/>
    <mergeCell ref="K200:N200"/>
    <mergeCell ref="P294:V294"/>
    <mergeCell ref="B282:C282"/>
    <mergeCell ref="B295:C295"/>
    <mergeCell ref="AR244:AU244"/>
    <mergeCell ref="AR29:AU29"/>
    <mergeCell ref="AL374:AO374"/>
    <mergeCell ref="C79:G79"/>
    <mergeCell ref="Z346:AA346"/>
    <mergeCell ref="B48:C48"/>
    <mergeCell ref="AE79:AH79"/>
    <mergeCell ref="AI258:AN259"/>
    <mergeCell ref="B346:C346"/>
    <mergeCell ref="B219:C219"/>
    <mergeCell ref="Z125:AA125"/>
    <mergeCell ref="AJ247:AK247"/>
    <mergeCell ref="AR31:AU31"/>
    <mergeCell ref="AJ38:AK38"/>
    <mergeCell ref="AB90:AI90"/>
    <mergeCell ref="H16:AH16"/>
    <mergeCell ref="AQ228:AT228"/>
    <mergeCell ref="Z348:AA348"/>
    <mergeCell ref="B12:G13"/>
    <mergeCell ref="B8:C8"/>
    <mergeCell ref="Z127:AA127"/>
    <mergeCell ref="AJ249:AK249"/>
    <mergeCell ref="B371:C371"/>
    <mergeCell ref="Z341:AA341"/>
    <mergeCell ref="P60:V60"/>
    <mergeCell ref="AJ338:AK338"/>
    <mergeCell ref="O201:S201"/>
    <mergeCell ref="W300:AC300"/>
    <mergeCell ref="W183:AC183"/>
    <mergeCell ref="AJ186:AK186"/>
    <mergeCell ref="AM322:AO322"/>
    <mergeCell ref="AA77:AD77"/>
    <mergeCell ref="B10:C10"/>
    <mergeCell ref="AL306:AO306"/>
    <mergeCell ref="AI201:AL201"/>
    <mergeCell ref="H279:N279"/>
    <mergeCell ref="W275:AC275"/>
    <mergeCell ref="Z349:AA349"/>
    <mergeCell ref="AQ16:AW16"/>
    <mergeCell ref="H73:J76"/>
    <mergeCell ref="B300:C300"/>
    <mergeCell ref="B360:C360"/>
    <mergeCell ref="AJ340:AK340"/>
    <mergeCell ref="AJ184:AK184"/>
    <mergeCell ref="W185:AC185"/>
    <mergeCell ref="B372:C372"/>
    <mergeCell ref="B335:C335"/>
    <mergeCell ref="AJ171:AK171"/>
    <mergeCell ref="K320:N320"/>
    <mergeCell ref="AJ231:AK231"/>
    <mergeCell ref="B15:G16"/>
    <mergeCell ref="T201:W201"/>
    <mergeCell ref="AB103:AI103"/>
    <mergeCell ref="W276:AC276"/>
    <mergeCell ref="H71:S72"/>
    <mergeCell ref="B374:C374"/>
    <mergeCell ref="AE199:AH199"/>
    <mergeCell ref="B232:C232"/>
    <mergeCell ref="AG10:AN10"/>
    <mergeCell ref="AL253:AO253"/>
    <mergeCell ref="M12:Z13"/>
    <mergeCell ref="AQ376:AT376"/>
    <mergeCell ref="B215:C215"/>
    <mergeCell ref="AD276:AI276"/>
    <mergeCell ref="AJ366:AK366"/>
    <mergeCell ref="AK202:AL202"/>
    <mergeCell ref="Z100:AA100"/>
    <mergeCell ref="AQ360:AT360"/>
    <mergeCell ref="Z342:AA342"/>
    <mergeCell ref="AJ328:AK328"/>
    <mergeCell ref="Z336:AA336"/>
    <mergeCell ref="E187:AO187"/>
    <mergeCell ref="AB211:AI211"/>
    <mergeCell ref="AJ122:AK122"/>
    <mergeCell ref="AJ333:AK333"/>
    <mergeCell ref="W290:AC290"/>
    <mergeCell ref="AI256:AO257"/>
    <mergeCell ref="B61:C61"/>
    <mergeCell ref="C321:G321"/>
    <mergeCell ref="Z102:AA102"/>
    <mergeCell ref="AR121:AU121"/>
    <mergeCell ref="B290:C290"/>
    <mergeCell ref="AD184:AI184"/>
    <mergeCell ref="AJ153:AO154"/>
    <mergeCell ref="O320:S320"/>
    <mergeCell ref="AM201:AO201"/>
    <mergeCell ref="B367:C367"/>
    <mergeCell ref="Z337:AA337"/>
    <mergeCell ref="W298:AC298"/>
    <mergeCell ref="H258:AH258"/>
    <mergeCell ref="B354:C354"/>
    <mergeCell ref="AR245:AU245"/>
    <mergeCell ref="B348:C348"/>
    <mergeCell ref="AN15:AO16"/>
    <mergeCell ref="B127:C127"/>
    <mergeCell ref="B298:C298"/>
    <mergeCell ref="P155:V155"/>
    <mergeCell ref="T320:W320"/>
    <mergeCell ref="B64:C64"/>
    <mergeCell ref="AQ307:AT307"/>
    <mergeCell ref="AL233:AO233"/>
    <mergeCell ref="O76:S76"/>
    <mergeCell ref="AJ54:AK54"/>
    <mergeCell ref="Z370:AA370"/>
    <mergeCell ref="AB93:AI93"/>
    <mergeCell ref="Z220:AA220"/>
    <mergeCell ref="B237:C237"/>
    <mergeCell ref="X78:Z78"/>
    <mergeCell ref="AQ231:AT231"/>
    <mergeCell ref="AJ217:AK217"/>
    <mergeCell ref="AL185:AO185"/>
    <mergeCell ref="AJ252:AK252"/>
    <mergeCell ref="AJ56:AK56"/>
    <mergeCell ref="B209:C209"/>
    <mergeCell ref="Z228:AA228"/>
    <mergeCell ref="Z222:AA222"/>
    <mergeCell ref="O77:S77"/>
    <mergeCell ref="B301:C301"/>
    <mergeCell ref="AR21:AU21"/>
    <mergeCell ref="AB124:AI124"/>
    <mergeCell ref="AJ129:AK129"/>
    <mergeCell ref="W303:AC303"/>
    <mergeCell ref="AJ123:AK123"/>
    <mergeCell ref="AI77:AL77"/>
    <mergeCell ref="Z365:AA365"/>
    <mergeCell ref="AQ103:AU103"/>
    <mergeCell ref="Z221:AA221"/>
    <mergeCell ref="H66:AO68"/>
    <mergeCell ref="AJ110:AK110"/>
    <mergeCell ref="B238:C238"/>
    <mergeCell ref="AJ181:AK181"/>
    <mergeCell ref="W57:AC57"/>
    <mergeCell ref="H191:W192"/>
    <mergeCell ref="X191:AO192"/>
    <mergeCell ref="Z223:AA223"/>
    <mergeCell ref="AB345:AI345"/>
    <mergeCell ref="AD32:AI32"/>
    <mergeCell ref="P275:V275"/>
    <mergeCell ref="AL90:AO90"/>
    <mergeCell ref="AR27:AU27"/>
    <mergeCell ref="AJ34:AK34"/>
    <mergeCell ref="AQ128:AT128"/>
    <mergeCell ref="Z248:AA248"/>
    <mergeCell ref="Z368:AA368"/>
    <mergeCell ref="AB346:AI346"/>
    <mergeCell ref="AL104:AO104"/>
    <mergeCell ref="AJ49:AK49"/>
    <mergeCell ref="P56:V56"/>
    <mergeCell ref="AJ36:AK36"/>
    <mergeCell ref="AJ92:AK92"/>
    <mergeCell ref="H14:AH14"/>
    <mergeCell ref="AJ207:AK207"/>
    <mergeCell ref="AJ334:AK334"/>
    <mergeCell ref="B329:C329"/>
    <mergeCell ref="AI193:AL198"/>
    <mergeCell ref="B6:C6"/>
    <mergeCell ref="AX354:BE355"/>
    <mergeCell ref="Z103:AA103"/>
    <mergeCell ref="AD173:AI173"/>
    <mergeCell ref="AB371:AI371"/>
    <mergeCell ref="W306:AC306"/>
    <mergeCell ref="B95:C95"/>
    <mergeCell ref="Z339:AA339"/>
    <mergeCell ref="W62:AC62"/>
    <mergeCell ref="AD63:AI63"/>
    <mergeCell ref="AJ336:AK336"/>
    <mergeCell ref="AJ44:AK44"/>
    <mergeCell ref="B368:C368"/>
    <mergeCell ref="B306:C306"/>
    <mergeCell ref="H137:AH137"/>
    <mergeCell ref="H259:AH259"/>
    <mergeCell ref="Z216:AA216"/>
    <mergeCell ref="AR124:AU124"/>
    <mergeCell ref="B97:C97"/>
    <mergeCell ref="AD60:AI60"/>
    <mergeCell ref="B153:C153"/>
    <mergeCell ref="W297:AC297"/>
    <mergeCell ref="AL118:AO118"/>
    <mergeCell ref="AD174:AI174"/>
    <mergeCell ref="B370:C370"/>
    <mergeCell ref="AB335:AI335"/>
    <mergeCell ref="C322:G322"/>
    <mergeCell ref="AR126:AU126"/>
    <mergeCell ref="C316:G317"/>
    <mergeCell ref="AJ331:AK331"/>
    <mergeCell ref="T199:W199"/>
    <mergeCell ref="B184:C184"/>
    <mergeCell ref="AL38:AO38"/>
    <mergeCell ref="AA322:AD322"/>
    <mergeCell ref="C197:G197"/>
    <mergeCell ref="AJ347:AK347"/>
    <mergeCell ref="AQ15:AW15"/>
    <mergeCell ref="B363:D363"/>
    <mergeCell ref="AD281:AI281"/>
    <mergeCell ref="AA140:AO141"/>
    <mergeCell ref="Z243:AA243"/>
    <mergeCell ref="AL249:AO249"/>
    <mergeCell ref="AJ362:AK362"/>
    <mergeCell ref="P54:V54"/>
    <mergeCell ref="X79:Z79"/>
    <mergeCell ref="AQ110:AT110"/>
    <mergeCell ref="AL338:AO338"/>
    <mergeCell ref="P173:V173"/>
    <mergeCell ref="AL186:AO186"/>
    <mergeCell ref="AJ131:AK131"/>
    <mergeCell ref="B88:C88"/>
    <mergeCell ref="T200:W200"/>
    <mergeCell ref="AJ155:AK155"/>
    <mergeCell ref="AB207:AI207"/>
    <mergeCell ref="AJ220:AK220"/>
    <mergeCell ref="H322:J322"/>
    <mergeCell ref="Z244:AA244"/>
    <mergeCell ref="AQ118:AT118"/>
    <mergeCell ref="Z371:AA371"/>
    <mergeCell ref="AQ104:AW104"/>
    <mergeCell ref="AD47:AI47"/>
    <mergeCell ref="AJ157:AK157"/>
    <mergeCell ref="W154:AC154"/>
    <mergeCell ref="AJ284:AK284"/>
    <mergeCell ref="B304:C304"/>
    <mergeCell ref="B375:C375"/>
    <mergeCell ref="AJ222:AK222"/>
    <mergeCell ref="AR371:AU371"/>
    <mergeCell ref="B258:G259"/>
    <mergeCell ref="AJ215:AK215"/>
    <mergeCell ref="AB125:AI125"/>
    <mergeCell ref="AD169:AI169"/>
    <mergeCell ref="AB367:AI367"/>
    <mergeCell ref="AM199:AO199"/>
    <mergeCell ref="B85:C85"/>
    <mergeCell ref="AB348:AI348"/>
    <mergeCell ref="T314:W319"/>
    <mergeCell ref="AE78:AH78"/>
    <mergeCell ref="BF101:BG102"/>
    <mergeCell ref="AL93:AO93"/>
    <mergeCell ref="AB127:AI127"/>
    <mergeCell ref="B261:Z262"/>
    <mergeCell ref="AJ50:AK50"/>
    <mergeCell ref="P57:V57"/>
    <mergeCell ref="X199:Z199"/>
    <mergeCell ref="P184:V184"/>
    <mergeCell ref="Z86:AA86"/>
    <mergeCell ref="AQ202:AT202"/>
    <mergeCell ref="AA201:AD201"/>
    <mergeCell ref="AB349:AI349"/>
    <mergeCell ref="D159:N159"/>
    <mergeCell ref="AJ52:AK52"/>
    <mergeCell ref="AJ350:AK350"/>
    <mergeCell ref="AJ39:AK39"/>
    <mergeCell ref="W38:AC38"/>
    <mergeCell ref="AJ337:AK337"/>
    <mergeCell ref="B161:C161"/>
    <mergeCell ref="Z242:AA242"/>
    <mergeCell ref="X193:AH194"/>
    <mergeCell ref="W299:AC299"/>
    <mergeCell ref="AJ116:AK116"/>
    <mergeCell ref="B111:C111"/>
    <mergeCell ref="H138:AH138"/>
    <mergeCell ref="AJ352:AK352"/>
    <mergeCell ref="AJ208:AK208"/>
    <mergeCell ref="B274:C274"/>
    <mergeCell ref="AJ339:AK339"/>
    <mergeCell ref="B225:C225"/>
    <mergeCell ref="AD53:AI53"/>
    <mergeCell ref="B175:C175"/>
    <mergeCell ref="Z219:AA219"/>
    <mergeCell ref="K316:N319"/>
    <mergeCell ref="X321:Z321"/>
    <mergeCell ref="X71:AH72"/>
    <mergeCell ref="AJ210:AK210"/>
    <mergeCell ref="AI255:AO255"/>
    <mergeCell ref="AL359:AO359"/>
    <mergeCell ref="AD55:AI55"/>
    <mergeCell ref="B373:C373"/>
    <mergeCell ref="AL346:AO346"/>
    <mergeCell ref="AL112:AO112"/>
    <mergeCell ref="C73:G74"/>
    <mergeCell ref="Z333:AA333"/>
    <mergeCell ref="AL217:AO217"/>
    <mergeCell ref="T79:W79"/>
    <mergeCell ref="AJ63:AK63"/>
    <mergeCell ref="O316:S318"/>
    <mergeCell ref="AJ172:AK172"/>
    <mergeCell ref="B255:G256"/>
    <mergeCell ref="AJ365:AK365"/>
    <mergeCell ref="AJ305:AK305"/>
    <mergeCell ref="Z99:AA99"/>
    <mergeCell ref="K199:N199"/>
    <mergeCell ref="AJ292:AK292"/>
    <mergeCell ref="Z366:AA366"/>
    <mergeCell ref="AB248:AI248"/>
    <mergeCell ref="X73:Z76"/>
    <mergeCell ref="H201:J201"/>
    <mergeCell ref="AJ286:AK286"/>
    <mergeCell ref="P32:V32"/>
    <mergeCell ref="Z245:AA245"/>
    <mergeCell ref="B91:C91"/>
    <mergeCell ref="W155:AC155"/>
    <mergeCell ref="AJ236:AK236"/>
    <mergeCell ref="B327:C327"/>
    <mergeCell ref="AJ163:AK163"/>
    <mergeCell ref="AA320:AD320"/>
    <mergeCell ref="Z101:AA101"/>
    <mergeCell ref="AJ223:AK223"/>
    <mergeCell ref="P47:V47"/>
    <mergeCell ref="AE320:AH320"/>
    <mergeCell ref="B155:C155"/>
    <mergeCell ref="AJ173:AK173"/>
    <mergeCell ref="B93:C93"/>
    <mergeCell ref="AA18:AO19"/>
    <mergeCell ref="AJ300:AK300"/>
    <mergeCell ref="B247:C247"/>
    <mergeCell ref="AJ287:AK287"/>
    <mergeCell ref="AB368:AI368"/>
    <mergeCell ref="H257:AH257"/>
    <mergeCell ref="AD185:AI185"/>
    <mergeCell ref="AB224:AI224"/>
    <mergeCell ref="B101:C101"/>
    <mergeCell ref="AB370:AI370"/>
    <mergeCell ref="B30:D30"/>
    <mergeCell ref="AI135:AO136"/>
    <mergeCell ref="P63:V63"/>
    <mergeCell ref="B188:B194"/>
    <mergeCell ref="L149:AO149"/>
    <mergeCell ref="AJ376:AK376"/>
    <mergeCell ref="AJ176:AK176"/>
    <mergeCell ref="AB228:AI228"/>
    <mergeCell ref="AJ170:AK170"/>
    <mergeCell ref="AJ53:AK53"/>
    <mergeCell ref="H309:AO311"/>
    <mergeCell ref="AJ289:AK289"/>
    <mergeCell ref="B246:C246"/>
    <mergeCell ref="AJ360:AK360"/>
    <mergeCell ref="P52:V52"/>
    <mergeCell ref="Z94:AA94"/>
    <mergeCell ref="P174:V174"/>
    <mergeCell ref="B211:C211"/>
    <mergeCell ref="B338:C338"/>
    <mergeCell ref="AL336:AO336"/>
    <mergeCell ref="AI137:AM138"/>
    <mergeCell ref="AM314:AO319"/>
    <mergeCell ref="AJ55:AK55"/>
    <mergeCell ref="B183:C183"/>
    <mergeCell ref="W54:AC54"/>
    <mergeCell ref="AJ353:AK353"/>
    <mergeCell ref="B177:C177"/>
    <mergeCell ref="Z87:AA87"/>
    <mergeCell ref="B33:C33"/>
    <mergeCell ref="B104:C104"/>
    <mergeCell ref="AJ218:AK218"/>
    <mergeCell ref="P281:V281"/>
    <mergeCell ref="B275:C275"/>
    <mergeCell ref="B340:C340"/>
    <mergeCell ref="H320:J320"/>
    <mergeCell ref="AD303:AI303"/>
    <mergeCell ref="AD290:AI290"/>
    <mergeCell ref="W56:AC56"/>
    <mergeCell ref="B212:C212"/>
    <mergeCell ref="B206:C206"/>
    <mergeCell ref="AI134:AO134"/>
    <mergeCell ref="B277:C277"/>
    <mergeCell ref="AQ63:AT63"/>
    <mergeCell ref="C77:G77"/>
    <mergeCell ref="B252:C252"/>
    <mergeCell ref="AL225:AO225"/>
    <mergeCell ref="AL64:AO64"/>
    <mergeCell ref="AL362:AO362"/>
    <mergeCell ref="AJ307:AK307"/>
    <mergeCell ref="AJ58:AK58"/>
    <mergeCell ref="B180:C180"/>
    <mergeCell ref="B134:G135"/>
    <mergeCell ref="O319:S319"/>
    <mergeCell ref="AL128:AO128"/>
    <mergeCell ref="B130:C130"/>
    <mergeCell ref="AX229:BE230"/>
    <mergeCell ref="AJ244:AK244"/>
    <mergeCell ref="K78:N78"/>
    <mergeCell ref="AJ371:AK371"/>
    <mergeCell ref="B117:C117"/>
    <mergeCell ref="AJ165:AK165"/>
    <mergeCell ref="P55:V55"/>
    <mergeCell ref="X316:Z319"/>
    <mergeCell ref="B353:C353"/>
    <mergeCell ref="AL224:AO224"/>
    <mergeCell ref="H312:W313"/>
    <mergeCell ref="AJ237:AK237"/>
    <mergeCell ref="P169:V169"/>
    <mergeCell ref="AA199:AD199"/>
    <mergeCell ref="B309:B315"/>
    <mergeCell ref="X312:AO313"/>
    <mergeCell ref="H77:J77"/>
    <mergeCell ref="AJ229:AK229"/>
    <mergeCell ref="AE321:AH321"/>
    <mergeCell ref="H255:AH256"/>
    <mergeCell ref="AL251:AO251"/>
    <mergeCell ref="AJ179:AK179"/>
    <mergeCell ref="K79:N79"/>
    <mergeCell ref="AJ239:AK239"/>
    <mergeCell ref="AB332:AI332"/>
    <mergeCell ref="B186:C186"/>
    <mergeCell ref="AJ166:AK166"/>
    <mergeCell ref="AQ224:AU224"/>
    <mergeCell ref="AJ160:AK160"/>
    <mergeCell ref="W173:AC173"/>
    <mergeCell ref="AB225:AI225"/>
    <mergeCell ref="AJ290:AK290"/>
    <mergeCell ref="AD275:AI275"/>
    <mergeCell ref="B273:D273"/>
    <mergeCell ref="T321:W321"/>
    <mergeCell ref="P300:V300"/>
    <mergeCell ref="AI13:AO14"/>
    <mergeCell ref="AJ128:AK128"/>
    <mergeCell ref="AJ221:AK221"/>
    <mergeCell ref="Z329:AA329"/>
    <mergeCell ref="AJ242:AK242"/>
    <mergeCell ref="H188:AO190"/>
    <mergeCell ref="B54:C54"/>
    <mergeCell ref="AD300:AI300"/>
    <mergeCell ref="AJ94:AK94"/>
    <mergeCell ref="B125:C125"/>
    <mergeCell ref="B185:C185"/>
    <mergeCell ref="P53:V53"/>
    <mergeCell ref="Z95:AA95"/>
    <mergeCell ref="H158:N158"/>
    <mergeCell ref="W176:AC176"/>
    <mergeCell ref="B122:C122"/>
    <mergeCell ref="B56:C56"/>
    <mergeCell ref="AI314:AL319"/>
    <mergeCell ref="B276:C276"/>
    <mergeCell ref="Z97:AA97"/>
    <mergeCell ref="B176:C176"/>
    <mergeCell ref="B214:C214"/>
    <mergeCell ref="AJ219:AK219"/>
    <mergeCell ref="AD304:AI304"/>
    <mergeCell ref="H321:J321"/>
    <mergeCell ref="W178:AC178"/>
    <mergeCell ref="AR32:AU32"/>
    <mergeCell ref="P303:V303"/>
    <mergeCell ref="AD160:AI160"/>
    <mergeCell ref="AJ283:AK283"/>
    <mergeCell ref="P290:V290"/>
    <mergeCell ref="AE73:AH76"/>
    <mergeCell ref="B65:D65"/>
    <mergeCell ref="AD306:AI306"/>
    <mergeCell ref="B57:C57"/>
    <mergeCell ref="AN137:AO138"/>
    <mergeCell ref="P305:V305"/>
    <mergeCell ref="AB247:AI247"/>
    <mergeCell ref="B171:C171"/>
    <mergeCell ref="B342:C342"/>
    <mergeCell ref="AJ285:AK285"/>
    <mergeCell ref="Z121:AA121"/>
    <mergeCell ref="AD297:AI297"/>
    <mergeCell ref="AB86:AI86"/>
    <mergeCell ref="Z344:AA344"/>
    <mergeCell ref="AL364:AN364"/>
    <mergeCell ref="L270:AO270"/>
    <mergeCell ref="AE77:AH77"/>
    <mergeCell ref="O198:S198"/>
    <mergeCell ref="Z123:AA123"/>
    <mergeCell ref="AJ245:AK245"/>
    <mergeCell ref="AJ372:AK372"/>
    <mergeCell ref="AQ239:AT239"/>
    <mergeCell ref="K321:N321"/>
    <mergeCell ref="Z215:AA215"/>
    <mergeCell ref="X195:Z198"/>
    <mergeCell ref="AB215:AI215"/>
    <mergeCell ref="AD295:AI295"/>
    <mergeCell ref="B359:C359"/>
    <mergeCell ref="W296:AC296"/>
    <mergeCell ref="B137:G138"/>
    <mergeCell ref="AJ374:AK374"/>
    <mergeCell ref="AJ174:AK174"/>
    <mergeCell ref="AJ230:AK230"/>
    <mergeCell ref="AE200:AH200"/>
    <mergeCell ref="AJ168:AK168"/>
    <mergeCell ref="B369:C369"/>
    <mergeCell ref="B296:C296"/>
    <mergeCell ref="P185:V185"/>
    <mergeCell ref="P160:V160"/>
    <mergeCell ref="O199:S199"/>
    <mergeCell ref="AB246:AI246"/>
    <mergeCell ref="AJ118:AK118"/>
    <mergeCell ref="E65:AO65"/>
    <mergeCell ref="AJ167:AK167"/>
    <mergeCell ref="AI199:AL199"/>
    <mergeCell ref="B62:C62"/>
    <mergeCell ref="Z343:AA343"/>
    <mergeCell ref="B227:C227"/>
    <mergeCell ref="W52:AC52"/>
    <mergeCell ref="AJ182:AK182"/>
    <mergeCell ref="B202:C202"/>
    <mergeCell ref="AB226:AI226"/>
    <mergeCell ref="AB104:AI104"/>
    <mergeCell ref="B140:Z141"/>
    <mergeCell ref="AJ169:AK169"/>
    <mergeCell ref="B291:C291"/>
    <mergeCell ref="B39:C39"/>
    <mergeCell ref="B205:D205"/>
    <mergeCell ref="AI322:AL322"/>
    <mergeCell ref="AB106:AI106"/>
    <mergeCell ref="B293:C293"/>
    <mergeCell ref="AB99:AI99"/>
    <mergeCell ref="AD179:AI179"/>
    <mergeCell ref="O321:S321"/>
    <mergeCell ref="AQ237:AT237"/>
    <mergeCell ref="AL360:AO360"/>
    <mergeCell ref="AQ356:AT356"/>
    <mergeCell ref="Z332:AA332"/>
    <mergeCell ref="AJ87:AK87"/>
    <mergeCell ref="AJ329:AK329"/>
    <mergeCell ref="AJ37:AK37"/>
    <mergeCell ref="B128:C128"/>
    <mergeCell ref="Z209:AA209"/>
    <mergeCell ref="AQ69:AQ70"/>
    <mergeCell ref="Z98:AA98"/>
    <mergeCell ref="K195:N198"/>
    <mergeCell ref="AJ89:AK89"/>
    <mergeCell ref="B217:C217"/>
    <mergeCell ref="W63:AC63"/>
    <mergeCell ref="AB328:AI328"/>
    <mergeCell ref="AJ88:AK88"/>
    <mergeCell ref="AQ71:AW71"/>
    <mergeCell ref="P296:V296"/>
    <mergeCell ref="B344:C344"/>
    <mergeCell ref="AE316:AH319"/>
    <mergeCell ref="AR246:AU246"/>
    <mergeCell ref="B222:C222"/>
    <mergeCell ref="AD38:AI38"/>
    <mergeCell ref="AQ372:AT372"/>
    <mergeCell ref="B123:C123"/>
    <mergeCell ref="K77:N77"/>
    <mergeCell ref="AB221:AI221"/>
    <mergeCell ref="AJ93:AK93"/>
    <mergeCell ref="B50:C50"/>
    <mergeCell ref="Z335:AA335"/>
    <mergeCell ref="B110:C110"/>
    <mergeCell ref="B221:C221"/>
    <mergeCell ref="AR33:AU33"/>
  </mergeCells>
  <conditionalFormatting sqref="B4">
    <cfRule type="expression" priority="127" dxfId="781">
      <formula>$A$4</formula>
    </cfRule>
  </conditionalFormatting>
  <conditionalFormatting sqref="B18 AA18 BE110:BE117 BE237:BE243 BE362:BE367">
    <cfRule type="expression" priority="636" dxfId="6">
      <formula>NoColor</formula>
    </cfRule>
  </conditionalFormatting>
  <conditionalFormatting sqref="B20">
    <cfRule type="expression" priority="426" dxfId="14">
      <formula>$AO$25</formula>
    </cfRule>
  </conditionalFormatting>
  <conditionalFormatting sqref="B21">
    <cfRule type="expression" priority="175" dxfId="158">
      <formula>$AO$22&gt;1</formula>
    </cfRule>
  </conditionalFormatting>
  <conditionalFormatting sqref="B140 AA140">
    <cfRule type="expression" priority="494" dxfId="6">
      <formula>NoColor</formula>
    </cfRule>
  </conditionalFormatting>
  <conditionalFormatting sqref="B142">
    <cfRule type="expression" priority="171" dxfId="14">
      <formula>$AO$147</formula>
    </cfRule>
  </conditionalFormatting>
  <conditionalFormatting sqref="B143">
    <cfRule type="expression" priority="162" dxfId="14">
      <formula>$AO$22&gt;1</formula>
    </cfRule>
  </conditionalFormatting>
  <conditionalFormatting sqref="B261 AA261">
    <cfRule type="expression" priority="417" dxfId="6">
      <formula>NoColor</formula>
    </cfRule>
  </conditionalFormatting>
  <conditionalFormatting sqref="B263">
    <cfRule type="expression" priority="161" dxfId="14">
      <formula>$AO$268</formula>
    </cfRule>
  </conditionalFormatting>
  <conditionalFormatting sqref="B264">
    <cfRule type="expression" priority="152" dxfId="14">
      <formula>$AO$22&gt;1</formula>
    </cfRule>
  </conditionalFormatting>
  <conditionalFormatting sqref="B6:C6">
    <cfRule type="expression" priority="124" dxfId="6">
      <formula>NoColor</formula>
    </cfRule>
  </conditionalFormatting>
  <conditionalFormatting sqref="B8:C8">
    <cfRule type="expression" priority="123" dxfId="6">
      <formula>NoColor</formula>
    </cfRule>
  </conditionalFormatting>
  <conditionalFormatting sqref="B10:C10">
    <cfRule type="expression" priority="122" dxfId="6">
      <formula>NoColor</formula>
    </cfRule>
  </conditionalFormatting>
  <conditionalFormatting sqref="C23">
    <cfRule type="expression" priority="274" dxfId="6">
      <formula>NoColor</formula>
    </cfRule>
  </conditionalFormatting>
  <conditionalFormatting sqref="C25">
    <cfRule type="expression" priority="271" dxfId="6">
      <formula>NoColor</formula>
    </cfRule>
  </conditionalFormatting>
  <conditionalFormatting sqref="C145">
    <cfRule type="expression" priority="170" dxfId="6">
      <formula>NoColor</formula>
    </cfRule>
  </conditionalFormatting>
  <conditionalFormatting sqref="C147">
    <cfRule type="expression" priority="169" dxfId="6">
      <formula>NoColor</formula>
    </cfRule>
  </conditionalFormatting>
  <conditionalFormatting sqref="C266">
    <cfRule type="expression" priority="160" dxfId="6">
      <formula>NoColor</formula>
    </cfRule>
  </conditionalFormatting>
  <conditionalFormatting sqref="C268">
    <cfRule type="expression" priority="159" dxfId="6">
      <formula>NoColor</formula>
    </cfRule>
  </conditionalFormatting>
  <conditionalFormatting sqref="C66:G68">
    <cfRule type="expression" priority="545" dxfId="14">
      <formula>NOT($B$74)</formula>
    </cfRule>
  </conditionalFormatting>
  <conditionalFormatting sqref="C188:G190">
    <cfRule type="expression" priority="260" dxfId="14">
      <formula>IF(SUM(C191,C193)&lt;&gt;1,1,0)</formula>
    </cfRule>
  </conditionalFormatting>
  <conditionalFormatting sqref="C309:G311">
    <cfRule type="expression" priority="244" dxfId="14">
      <formula>IF(SUM(C312,C314)&lt;&gt;1,1,0)</formula>
    </cfRule>
  </conditionalFormatting>
  <conditionalFormatting sqref="C77:H79 K77:K79 O77:O79">
    <cfRule type="expression" priority="546" dxfId="6">
      <formula>NoColor</formula>
    </cfRule>
  </conditionalFormatting>
  <conditionalFormatting sqref="C199:H201 K199:K201 O199:O201">
    <cfRule type="expression" priority="98" dxfId="6">
      <formula>NoColor</formula>
    </cfRule>
  </conditionalFormatting>
  <conditionalFormatting sqref="C320:H322 K320:K322 O320:O322">
    <cfRule type="expression" priority="89" dxfId="6">
      <formula>NoColor</formula>
    </cfRule>
  </conditionalFormatting>
  <conditionalFormatting sqref="D37:N38">
    <cfRule type="expression" priority="286" dxfId="6">
      <formula>NoColor</formula>
    </cfRule>
  </conditionalFormatting>
  <conditionalFormatting sqref="D159:N160">
    <cfRule type="expression" priority="288" dxfId="6">
      <formula>NoColor</formula>
    </cfRule>
  </conditionalFormatting>
  <conditionalFormatting sqref="D280:N281">
    <cfRule type="expression" priority="290" dxfId="6">
      <formula>NoColor</formula>
    </cfRule>
  </conditionalFormatting>
  <conditionalFormatting sqref="E69">
    <cfRule type="expression" priority="525" dxfId="6">
      <formula>NoColor</formula>
    </cfRule>
  </conditionalFormatting>
  <conditionalFormatting sqref="E71">
    <cfRule type="expression" priority="524" dxfId="6">
      <formula>NoColor</formula>
    </cfRule>
  </conditionalFormatting>
  <conditionalFormatting sqref="E100">
    <cfRule type="expression" priority="607" dxfId="6">
      <formula>NoColor</formula>
    </cfRule>
  </conditionalFormatting>
  <conditionalFormatting sqref="E108">
    <cfRule type="expression" priority="605" dxfId="6">
      <formula>NoColor</formula>
    </cfRule>
  </conditionalFormatting>
  <conditionalFormatting sqref="E191">
    <cfRule type="expression" priority="259" dxfId="6">
      <formula>NoColor</formula>
    </cfRule>
  </conditionalFormatting>
  <conditionalFormatting sqref="E193">
    <cfRule type="expression" priority="258" dxfId="6">
      <formula>NoColor</formula>
    </cfRule>
  </conditionalFormatting>
  <conditionalFormatting sqref="E221">
    <cfRule type="expression" priority="493" dxfId="6">
      <formula>NoColor</formula>
    </cfRule>
  </conditionalFormatting>
  <conditionalFormatting sqref="E229">
    <cfRule type="expression" priority="227" dxfId="6">
      <formula>NoColor</formula>
    </cfRule>
  </conditionalFormatting>
  <conditionalFormatting sqref="E312">
    <cfRule type="expression" priority="243" dxfId="6">
      <formula>NoColor</formula>
    </cfRule>
  </conditionalFormatting>
  <conditionalFormatting sqref="E314">
    <cfRule type="expression" priority="242" dxfId="6">
      <formula>NoColor</formula>
    </cfRule>
  </conditionalFormatting>
  <conditionalFormatting sqref="E342">
    <cfRule type="expression" priority="416" dxfId="6">
      <formula>NoColor</formula>
    </cfRule>
  </conditionalFormatting>
  <conditionalFormatting sqref="E350">
    <cfRule type="expression" priority="216" dxfId="6">
      <formula>NoColor</formula>
    </cfRule>
  </conditionalFormatting>
  <conditionalFormatting sqref="H36:N36">
    <cfRule type="expression" priority="287" dxfId="6">
      <formula>NoColor</formula>
    </cfRule>
  </conditionalFormatting>
  <conditionalFormatting sqref="H158:N158">
    <cfRule type="expression" priority="289" dxfId="6">
      <formula>NoColor</formula>
    </cfRule>
  </conditionalFormatting>
  <conditionalFormatting sqref="H279:N279">
    <cfRule type="expression" priority="291" dxfId="6">
      <formula>NoColor</formula>
    </cfRule>
  </conditionalFormatting>
  <conditionalFormatting sqref="K23">
    <cfRule type="expression" priority="177" dxfId="6">
      <formula>NoColor</formula>
    </cfRule>
  </conditionalFormatting>
  <conditionalFormatting sqref="K25">
    <cfRule type="expression" priority="178" dxfId="6">
      <formula>NoColor</formula>
    </cfRule>
  </conditionalFormatting>
  <conditionalFormatting sqref="K145">
    <cfRule type="expression" priority="164" dxfId="6">
      <formula>NoColor</formula>
    </cfRule>
  </conditionalFormatting>
  <conditionalFormatting sqref="K147">
    <cfRule type="expression" priority="165" dxfId="6">
      <formula>NoColor</formula>
    </cfRule>
  </conditionalFormatting>
  <conditionalFormatting sqref="K266">
    <cfRule type="expression" priority="154" dxfId="6">
      <formula>NoColor</formula>
    </cfRule>
  </conditionalFormatting>
  <conditionalFormatting sqref="K268">
    <cfRule type="expression" priority="155" dxfId="6">
      <formula>NoColor</formula>
    </cfRule>
  </conditionalFormatting>
  <conditionalFormatting sqref="L27:AO27">
    <cfRule type="expression" priority="544" dxfId="6">
      <formula>NoColor</formula>
    </cfRule>
  </conditionalFormatting>
  <conditionalFormatting sqref="L149:AO149">
    <cfRule type="expression" priority="476" dxfId="6">
      <formula>NoColor</formula>
    </cfRule>
  </conditionalFormatting>
  <conditionalFormatting sqref="L270:AO270">
    <cfRule type="expression" priority="404" dxfId="6">
      <formula>NoColor</formula>
    </cfRule>
  </conditionalFormatting>
  <conditionalFormatting sqref="N43">
    <cfRule type="expression" priority="527" dxfId="6">
      <formula>NoColor</formula>
    </cfRule>
  </conditionalFormatting>
  <conditionalFormatting sqref="N165">
    <cfRule type="expression" priority="285" dxfId="6">
      <formula>NoColor</formula>
    </cfRule>
  </conditionalFormatting>
  <conditionalFormatting sqref="N286">
    <cfRule type="expression" priority="284" dxfId="6">
      <formula>NoColor</formula>
    </cfRule>
  </conditionalFormatting>
  <conditionalFormatting sqref="P33:AI33">
    <cfRule type="expression" priority="543" dxfId="6">
      <formula>NoColor</formula>
    </cfRule>
  </conditionalFormatting>
  <conditionalFormatting sqref="P38:AI38">
    <cfRule type="expression" priority="540" dxfId="6">
      <formula>NoColor</formula>
    </cfRule>
  </conditionalFormatting>
  <conditionalFormatting sqref="P47:AI47">
    <cfRule type="expression" priority="539" dxfId="6">
      <formula>NoColor</formula>
    </cfRule>
  </conditionalFormatting>
  <conditionalFormatting sqref="P51:AI57">
    <cfRule type="expression" priority="532" dxfId="6">
      <formula>NoColor</formula>
    </cfRule>
  </conditionalFormatting>
  <conditionalFormatting sqref="P60:AI63">
    <cfRule type="expression" priority="531" dxfId="6">
      <formula>NoColor</formula>
    </cfRule>
  </conditionalFormatting>
  <conditionalFormatting sqref="P155:AI155">
    <cfRule type="expression" priority="312" dxfId="6">
      <formula>NoColor</formula>
    </cfRule>
  </conditionalFormatting>
  <conditionalFormatting sqref="P160:AI160">
    <cfRule type="expression" priority="204" dxfId="6">
      <formula>NoColor</formula>
    </cfRule>
  </conditionalFormatting>
  <conditionalFormatting sqref="P169:AI169">
    <cfRule type="expression" priority="471" dxfId="6">
      <formula>NoColor</formula>
    </cfRule>
  </conditionalFormatting>
  <conditionalFormatting sqref="P173:AI179">
    <cfRule type="expression" priority="129" dxfId="6">
      <formula>NoColor</formula>
    </cfRule>
  </conditionalFormatting>
  <conditionalFormatting sqref="P182:AI185">
    <cfRule type="expression" priority="463" dxfId="6">
      <formula>NoColor</formula>
    </cfRule>
  </conditionalFormatting>
  <conditionalFormatting sqref="P276:AI276">
    <cfRule type="expression" priority="311" dxfId="6">
      <formula>NoColor</formula>
    </cfRule>
  </conditionalFormatting>
  <conditionalFormatting sqref="P281:AI281">
    <cfRule type="expression" priority="202" dxfId="6">
      <formula>NoColor</formula>
    </cfRule>
  </conditionalFormatting>
  <conditionalFormatting sqref="P290:AI290">
    <cfRule type="expression" priority="399" dxfId="6">
      <formula>NoColor</formula>
    </cfRule>
  </conditionalFormatting>
  <conditionalFormatting sqref="P294:AI300">
    <cfRule type="expression" priority="128" dxfId="6">
      <formula>NoColor</formula>
    </cfRule>
  </conditionalFormatting>
  <conditionalFormatting sqref="P303:AI306">
    <cfRule type="expression" priority="391" dxfId="6">
      <formula>NoColor</formula>
    </cfRule>
  </conditionalFormatting>
  <conditionalFormatting sqref="Q100">
    <cfRule type="expression" priority="604" dxfId="6">
      <formula>NoColor</formula>
    </cfRule>
  </conditionalFormatting>
  <conditionalFormatting sqref="Q108">
    <cfRule type="expression" priority="602" dxfId="6">
      <formula>NoColor</formula>
    </cfRule>
  </conditionalFormatting>
  <conditionalFormatting sqref="Q221">
    <cfRule type="expression" priority="491" dxfId="6">
      <formula>NoColor</formula>
    </cfRule>
  </conditionalFormatting>
  <conditionalFormatting sqref="Q229">
    <cfRule type="expression" priority="226" dxfId="6">
      <formula>NoColor</formula>
    </cfRule>
  </conditionalFormatting>
  <conditionalFormatting sqref="Q342">
    <cfRule type="expression" priority="414" dxfId="6">
      <formula>NoColor</formula>
    </cfRule>
  </conditionalFormatting>
  <conditionalFormatting sqref="Q350">
    <cfRule type="expression" priority="215" dxfId="6">
      <formula>NoColor</formula>
    </cfRule>
  </conditionalFormatting>
  <conditionalFormatting sqref="T77:X79">
    <cfRule type="expression" priority="521" dxfId="6">
      <formula>NoColor</formula>
    </cfRule>
  </conditionalFormatting>
  <conditionalFormatting sqref="T199:X201">
    <cfRule type="expression" priority="95" dxfId="6">
      <formula>NoColor</formula>
    </cfRule>
  </conditionalFormatting>
  <conditionalFormatting sqref="T320:X322">
    <cfRule type="expression" priority="86" dxfId="6">
      <formula>NoColor</formula>
    </cfRule>
  </conditionalFormatting>
  <conditionalFormatting sqref="W23">
    <cfRule type="expression" priority="182" dxfId="6">
      <formula>NoColor</formula>
    </cfRule>
  </conditionalFormatting>
  <conditionalFormatting sqref="W25">
    <cfRule type="expression" priority="183" dxfId="6">
      <formula>NoColor</formula>
    </cfRule>
  </conditionalFormatting>
  <conditionalFormatting sqref="W145">
    <cfRule type="expression" priority="167" dxfId="6">
      <formula>NoColor</formula>
    </cfRule>
  </conditionalFormatting>
  <conditionalFormatting sqref="W147">
    <cfRule type="expression" priority="168" dxfId="6">
      <formula>NoColor</formula>
    </cfRule>
  </conditionalFormatting>
  <conditionalFormatting sqref="W266">
    <cfRule type="expression" priority="157" dxfId="6">
      <formula>NoColor</formula>
    </cfRule>
  </conditionalFormatting>
  <conditionalFormatting sqref="W268">
    <cfRule type="expression" priority="158" dxfId="6">
      <formula>NoColor</formula>
    </cfRule>
  </conditionalFormatting>
  <conditionalFormatting sqref="W332">
    <cfRule type="expression" priority="9" dxfId="6">
      <formula>NoColor</formula>
    </cfRule>
  </conditionalFormatting>
  <conditionalFormatting sqref="X90">
    <cfRule type="expression" priority="12" dxfId="6">
      <formula>NoColor</formula>
    </cfRule>
  </conditionalFormatting>
  <conditionalFormatting sqref="X211">
    <cfRule type="expression" priority="10" dxfId="6">
      <formula>NoColor</formula>
    </cfRule>
  </conditionalFormatting>
  <conditionalFormatting sqref="AA77:AA79 AE77:AE79 AI77:AI79">
    <cfRule type="expression" priority="547" dxfId="6">
      <formula>NoColor</formula>
    </cfRule>
  </conditionalFormatting>
  <conditionalFormatting sqref="AA199:AA201 AE199:AE201 AI199:AI201">
    <cfRule type="expression" priority="99" dxfId="6">
      <formula>NoColor</formula>
    </cfRule>
  </conditionalFormatting>
  <conditionalFormatting sqref="AA320:AA322 AE320:AE322 AI320:AI322">
    <cfRule type="expression" priority="90" dxfId="6">
      <formula>NoColor</formula>
    </cfRule>
  </conditionalFormatting>
  <conditionalFormatting sqref="AB86:AI86">
    <cfRule type="expression" priority="519" dxfId="6">
      <formula>NoColor</formula>
    </cfRule>
  </conditionalFormatting>
  <conditionalFormatting sqref="AB90:AI90">
    <cfRule type="expression" priority="13" dxfId="6">
      <formula>NoColor</formula>
    </cfRule>
  </conditionalFormatting>
  <conditionalFormatting sqref="AB93:AI95">
    <cfRule type="expression" priority="7" dxfId="6">
      <formula>NoColor</formula>
    </cfRule>
  </conditionalFormatting>
  <conditionalFormatting sqref="AB99:AI100">
    <cfRule type="expression" priority="513" dxfId="6">
      <formula>NoColor</formula>
    </cfRule>
  </conditionalFormatting>
  <conditionalFormatting sqref="AB103:AI103">
    <cfRule type="expression" priority="512" dxfId="6">
      <formula>NoColor</formula>
    </cfRule>
  </conditionalFormatting>
  <conditionalFormatting sqref="AB107:AI107">
    <cfRule type="expression" priority="511" dxfId="6">
      <formula>NoColor</formula>
    </cfRule>
  </conditionalFormatting>
  <conditionalFormatting sqref="AB121:AI127">
    <cfRule type="expression" priority="39" dxfId="6">
      <formula>NoColor</formula>
    </cfRule>
  </conditionalFormatting>
  <conditionalFormatting sqref="AB207:AI207">
    <cfRule type="expression" priority="230" dxfId="6">
      <formula>NoColor</formula>
    </cfRule>
  </conditionalFormatting>
  <conditionalFormatting sqref="AB211:AI211">
    <cfRule type="expression" priority="11" dxfId="6">
      <formula>NoColor</formula>
    </cfRule>
  </conditionalFormatting>
  <conditionalFormatting sqref="AB214:AI216">
    <cfRule type="expression" priority="446" dxfId="6">
      <formula>NoColor</formula>
    </cfRule>
  </conditionalFormatting>
  <conditionalFormatting sqref="AB220:AI221">
    <cfRule type="expression" priority="445" dxfId="6">
      <formula>NoColor</formula>
    </cfRule>
  </conditionalFormatting>
  <conditionalFormatting sqref="AB224:AI224">
    <cfRule type="expression" priority="224" dxfId="6">
      <formula>NoColor</formula>
    </cfRule>
  </conditionalFormatting>
  <conditionalFormatting sqref="AB228:AI228">
    <cfRule type="expression" priority="6" dxfId="6">
      <formula>NoColor</formula>
    </cfRule>
  </conditionalFormatting>
  <conditionalFormatting sqref="AB242:AI248">
    <cfRule type="expression" priority="40" dxfId="6">
      <formula>NoColor</formula>
    </cfRule>
  </conditionalFormatting>
  <conditionalFormatting sqref="AB328:AI328">
    <cfRule type="expression" priority="229" dxfId="6">
      <formula>NoColor</formula>
    </cfRule>
  </conditionalFormatting>
  <conditionalFormatting sqref="AB332:AI332">
    <cfRule type="expression" priority="16" dxfId="6">
      <formula>NoColor</formula>
    </cfRule>
  </conditionalFormatting>
  <conditionalFormatting sqref="AB335:AI337">
    <cfRule type="expression" priority="8" dxfId="6">
      <formula>NoColor</formula>
    </cfRule>
  </conditionalFormatting>
  <conditionalFormatting sqref="AB341:AI342">
    <cfRule type="expression" priority="373" dxfId="6">
      <formula>NoColor</formula>
    </cfRule>
  </conditionalFormatting>
  <conditionalFormatting sqref="AB345:AI345">
    <cfRule type="expression" priority="213" dxfId="6">
      <formula>NoColor</formula>
    </cfRule>
  </conditionalFormatting>
  <conditionalFormatting sqref="AB349:AI349">
    <cfRule type="expression" priority="5" dxfId="6">
      <formula>NoColor</formula>
    </cfRule>
  </conditionalFormatting>
  <conditionalFormatting sqref="AB365:AI371">
    <cfRule type="expression" priority="132" dxfId="6">
      <formula>NoColor</formula>
    </cfRule>
  </conditionalFormatting>
  <conditionalFormatting sqref="AE108">
    <cfRule type="expression" priority="599" dxfId="6">
      <formula>NoColor</formula>
    </cfRule>
  </conditionalFormatting>
  <conditionalFormatting sqref="AE229">
    <cfRule type="expression" priority="225" dxfId="6">
      <formula>NoColor</formula>
    </cfRule>
  </conditionalFormatting>
  <conditionalFormatting sqref="AE350">
    <cfRule type="expression" priority="214" dxfId="6">
      <formula>NoColor</formula>
    </cfRule>
  </conditionalFormatting>
  <conditionalFormatting sqref="AH20">
    <cfRule type="expression" priority="176" dxfId="158">
      <formula>$AO$22&gt;1</formula>
    </cfRule>
  </conditionalFormatting>
  <conditionalFormatting sqref="AH142">
    <cfRule type="expression" priority="163" dxfId="14">
      <formula>$AO$22&gt;1</formula>
    </cfRule>
  </conditionalFormatting>
  <conditionalFormatting sqref="AH263">
    <cfRule type="expression" priority="153" dxfId="14">
      <formula>$AO$22&gt;1</formula>
    </cfRule>
  </conditionalFormatting>
  <conditionalFormatting sqref="AI20">
    <cfRule type="expression" priority="134" dxfId="158">
      <formula>AO22&gt;1</formula>
    </cfRule>
  </conditionalFormatting>
  <conditionalFormatting sqref="AI23">
    <cfRule type="expression" priority="179" dxfId="6">
      <formula>NoColor</formula>
    </cfRule>
  </conditionalFormatting>
  <conditionalFormatting sqref="AI142">
    <cfRule type="expression" priority="131" dxfId="158">
      <formula>AO144&gt;1</formula>
    </cfRule>
  </conditionalFormatting>
  <conditionalFormatting sqref="AI145">
    <cfRule type="expression" priority="166" dxfId="6">
      <formula>NoColor</formula>
    </cfRule>
  </conditionalFormatting>
  <conditionalFormatting sqref="AI263">
    <cfRule type="expression" priority="130" dxfId="158">
      <formula>AO265&gt;1</formula>
    </cfRule>
  </conditionalFormatting>
  <conditionalFormatting sqref="AI266">
    <cfRule type="expression" priority="156" dxfId="6">
      <formula>NoColor</formula>
    </cfRule>
  </conditionalFormatting>
  <conditionalFormatting sqref="AL38:AO38 AL160:AO160 AL281:AO281">
    <cfRule type="expression" priority="197" dxfId="6">
      <formula>NoColor</formula>
    </cfRule>
    <cfRule type="expression" priority="196" dxfId="14">
      <formula>IF(AND(SUM(P38,W38,AD38)&gt;0,AO22=0),1,0)</formula>
    </cfRule>
  </conditionalFormatting>
  <conditionalFormatting sqref="AL63:AO64">
    <cfRule type="expression" priority="528" dxfId="6">
      <formula>NoColor</formula>
    </cfRule>
  </conditionalFormatting>
  <conditionalFormatting sqref="AL96:AO96">
    <cfRule type="expression" priority="510" dxfId="6">
      <formula>NoColor</formula>
    </cfRule>
  </conditionalFormatting>
  <conditionalFormatting sqref="AL110:AO110">
    <cfRule type="expression" priority="509" dxfId="6">
      <formula>NoColor</formula>
    </cfRule>
  </conditionalFormatting>
  <conditionalFormatting sqref="AL112:AO112">
    <cfRule type="expression" priority="313" dxfId="6">
      <formula>NoColor</formula>
    </cfRule>
  </conditionalFormatting>
  <conditionalFormatting sqref="AL115:AO118">
    <cfRule type="expression" priority="47" dxfId="6">
      <formula>NoColor</formula>
    </cfRule>
  </conditionalFormatting>
  <conditionalFormatting sqref="AL128:AO130">
    <cfRule type="expression" priority="498" dxfId="6">
      <formula>NoColor</formula>
    </cfRule>
  </conditionalFormatting>
  <conditionalFormatting sqref="AL132:AO132">
    <cfRule type="expression" priority="503" dxfId="6">
      <formula>NoColor</formula>
    </cfRule>
  </conditionalFormatting>
  <conditionalFormatting sqref="AL185:AO186">
    <cfRule type="expression" priority="188" dxfId="6">
      <formula>NoColor</formula>
    </cfRule>
  </conditionalFormatting>
  <conditionalFormatting sqref="AL217:AO217">
    <cfRule type="expression" priority="442" dxfId="6">
      <formula>NoColor</formula>
    </cfRule>
  </conditionalFormatting>
  <conditionalFormatting sqref="AL231:AO231">
    <cfRule type="expression" priority="222" dxfId="6">
      <formula>NoColor</formula>
    </cfRule>
  </conditionalFormatting>
  <conditionalFormatting sqref="AL233:AO233">
    <cfRule type="expression" priority="21" dxfId="6">
      <formula>NoColor</formula>
    </cfRule>
  </conditionalFormatting>
  <conditionalFormatting sqref="AL236:AO239">
    <cfRule type="expression" priority="44" dxfId="6">
      <formula>NoColor</formula>
    </cfRule>
  </conditionalFormatting>
  <conditionalFormatting sqref="AL249:AO251">
    <cfRule type="expression" priority="430" dxfId="6">
      <formula>NoColor</formula>
    </cfRule>
  </conditionalFormatting>
  <conditionalFormatting sqref="AL253:AO253">
    <cfRule type="expression" priority="299" dxfId="6">
      <formula>NoColor</formula>
    </cfRule>
  </conditionalFormatting>
  <conditionalFormatting sqref="AL306:AO307">
    <cfRule type="expression" priority="186" dxfId="6">
      <formula>NoColor</formula>
    </cfRule>
  </conditionalFormatting>
  <conditionalFormatting sqref="AL338:AO338">
    <cfRule type="expression" priority="370" dxfId="6">
      <formula>NoColor</formula>
    </cfRule>
  </conditionalFormatting>
  <conditionalFormatting sqref="AL352:AO352">
    <cfRule type="expression" priority="211" dxfId="6">
      <formula>NoColor</formula>
    </cfRule>
  </conditionalFormatting>
  <conditionalFormatting sqref="AL356:AO356">
    <cfRule type="expression" priority="18" dxfId="6">
      <formula>NoColor</formula>
    </cfRule>
  </conditionalFormatting>
  <conditionalFormatting sqref="AL359:AO362">
    <cfRule type="expression" priority="42" dxfId="6">
      <formula>NoColor</formula>
    </cfRule>
  </conditionalFormatting>
  <conditionalFormatting sqref="AL372:AO374">
    <cfRule type="expression" priority="358" dxfId="6">
      <formula>NoColor</formula>
    </cfRule>
  </conditionalFormatting>
  <conditionalFormatting sqref="AL376:AO376">
    <cfRule type="expression" priority="298" dxfId="6">
      <formula>NoColor</formula>
    </cfRule>
  </conditionalFormatting>
  <conditionalFormatting sqref="AM77:AM79">
    <cfRule type="expression" priority="267" dxfId="6">
      <formula>NoColor</formula>
    </cfRule>
  </conditionalFormatting>
  <conditionalFormatting sqref="AM199:AM201">
    <cfRule type="expression" priority="82" dxfId="6">
      <formula>NoColor</formula>
    </cfRule>
  </conditionalFormatting>
  <conditionalFormatting sqref="AM320:AM322">
    <cfRule type="expression" priority="79" dxfId="6">
      <formula>NoColor</formula>
    </cfRule>
  </conditionalFormatting>
  <conditionalFormatting sqref="AM80:AO80">
    <cfRule type="expression" priority="191" dxfId="6">
      <formula>NoColor</formula>
    </cfRule>
  </conditionalFormatting>
  <conditionalFormatting sqref="AM202:AO202">
    <cfRule type="expression" priority="254" dxfId="6">
      <formula>NoColor</formula>
    </cfRule>
  </conditionalFormatting>
  <conditionalFormatting sqref="AM323:AO323">
    <cfRule type="expression" priority="190" dxfId="6">
      <formula>NoColor</formula>
    </cfRule>
  </conditionalFormatting>
  <conditionalFormatting sqref="AO10">
    <cfRule type="expression" priority="126" dxfId="2087">
      <formula>AND(AO10&lt;&gt;0,AO10&lt;&gt;"")</formula>
    </cfRule>
    <cfRule type="expression" priority="125" dxfId="2086">
      <formula>AND(AO10&lt;&gt;0,AO10&lt;&gt;"",NoColor)</formula>
    </cfRule>
  </conditionalFormatting>
  <conditionalFormatting sqref="AO20">
    <cfRule type="expression" priority="135" dxfId="158">
      <formula>$AO$22&gt;1</formula>
    </cfRule>
  </conditionalFormatting>
  <conditionalFormatting sqref="AQ63:AT64">
    <cfRule type="expression" priority="526" dxfId="6">
      <formula>NoColor</formula>
    </cfRule>
  </conditionalFormatting>
  <conditionalFormatting sqref="AQ80:AT80">
    <cfRule type="expression" priority="269" dxfId="6">
      <formula>NoColor</formula>
    </cfRule>
  </conditionalFormatting>
  <conditionalFormatting sqref="AQ107:AT107">
    <cfRule type="expression" priority="497" dxfId="6">
      <formula>NoColor</formula>
    </cfRule>
  </conditionalFormatting>
  <conditionalFormatting sqref="AQ110:AT110">
    <cfRule type="expression" priority="228" dxfId="6">
      <formula>NoColor</formula>
    </cfRule>
  </conditionalFormatting>
  <conditionalFormatting sqref="AQ112:AT112">
    <cfRule type="expression" priority="496" dxfId="6">
      <formula>NoColor</formula>
    </cfRule>
  </conditionalFormatting>
  <conditionalFormatting sqref="AQ118:AT118">
    <cfRule type="expression" priority="321" dxfId="6">
      <formula>NoColor</formula>
    </cfRule>
  </conditionalFormatting>
  <conditionalFormatting sqref="AQ128:AT128">
    <cfRule type="expression" priority="38" dxfId="6">
      <formula>NoColor</formula>
    </cfRule>
  </conditionalFormatting>
  <conditionalFormatting sqref="AQ132:AT132">
    <cfRule type="expression" priority="495" dxfId="6">
      <formula>NoColor</formula>
    </cfRule>
  </conditionalFormatting>
  <conditionalFormatting sqref="AQ185:AT186">
    <cfRule type="expression" priority="458" dxfId="6">
      <formula>NoColor</formula>
    </cfRule>
  </conditionalFormatting>
  <conditionalFormatting sqref="AQ202:AT202">
    <cfRule type="expression" priority="253" dxfId="6">
      <formula>NoColor</formula>
    </cfRule>
  </conditionalFormatting>
  <conditionalFormatting sqref="AQ228:AT228">
    <cfRule type="expression" priority="220" dxfId="6">
      <formula>NoColor</formula>
    </cfRule>
  </conditionalFormatting>
  <conditionalFormatting sqref="AQ231:AT231">
    <cfRule type="expression" priority="217" dxfId="6">
      <formula>NoColor</formula>
    </cfRule>
  </conditionalFormatting>
  <conditionalFormatting sqref="AQ233:AT233">
    <cfRule type="expression" priority="22" dxfId="6">
      <formula>NoColor</formula>
    </cfRule>
  </conditionalFormatting>
  <conditionalFormatting sqref="AQ239:AT239">
    <cfRule type="expression" priority="317" dxfId="6">
      <formula>NoColor</formula>
    </cfRule>
  </conditionalFormatting>
  <conditionalFormatting sqref="AQ249:AT249">
    <cfRule type="expression" priority="37" dxfId="6">
      <formula>NoColor</formula>
    </cfRule>
  </conditionalFormatting>
  <conditionalFormatting sqref="AQ253:AT253">
    <cfRule type="expression" priority="427" dxfId="6">
      <formula>NoColor</formula>
    </cfRule>
  </conditionalFormatting>
  <conditionalFormatting sqref="AQ306:AT307">
    <cfRule type="expression" priority="386" dxfId="6">
      <formula>NoColor</formula>
    </cfRule>
  </conditionalFormatting>
  <conditionalFormatting sqref="AQ323:AT323">
    <cfRule type="expression" priority="237" dxfId="6">
      <formula>NoColor</formula>
    </cfRule>
  </conditionalFormatting>
  <conditionalFormatting sqref="AQ349:AT349">
    <cfRule type="expression" priority="209" dxfId="6">
      <formula>NoColor</formula>
    </cfRule>
  </conditionalFormatting>
  <conditionalFormatting sqref="AQ352:AT352">
    <cfRule type="expression" priority="206" dxfId="6">
      <formula>NoColor</formula>
    </cfRule>
  </conditionalFormatting>
  <conditionalFormatting sqref="AQ356:AT356">
    <cfRule type="expression" priority="19" dxfId="6">
      <formula>NoColor</formula>
    </cfRule>
  </conditionalFormatting>
  <conditionalFormatting sqref="AQ362:AT362">
    <cfRule type="expression" priority="318" dxfId="6">
      <formula>NoColor</formula>
    </cfRule>
  </conditionalFormatting>
  <conditionalFormatting sqref="AQ372:AT372">
    <cfRule type="expression" priority="36" dxfId="6">
      <formula>NoColor</formula>
    </cfRule>
  </conditionalFormatting>
  <conditionalFormatting sqref="AQ376:AT376">
    <cfRule type="expression" priority="355" dxfId="6">
      <formula>NoColor</formula>
    </cfRule>
  </conditionalFormatting>
  <conditionalFormatting sqref="AQ13:AW17">
    <cfRule type="expression" priority="85" dxfId="781">
      <formula>$AQ$12</formula>
    </cfRule>
  </conditionalFormatting>
  <conditionalFormatting sqref="AX96:AX97 AX349:AX350">
    <cfRule type="expression" priority="32" dxfId="0">
      <formula>NOT(AX96)</formula>
    </cfRule>
    <cfRule type="expression" priority="33" dxfId="781">
      <formula>AX96</formula>
    </cfRule>
  </conditionalFormatting>
  <conditionalFormatting sqref="AX224:AX225">
    <cfRule type="expression" priority="31" dxfId="781">
      <formula>AX224</formula>
    </cfRule>
    <cfRule type="expression" priority="30" dxfId="0">
      <formula>NOT(AX224)</formula>
    </cfRule>
  </conditionalFormatting>
  <conditionalFormatting sqref="BE119">
    <cfRule type="expression" priority="34" dxfId="6">
      <formula>NoColor</formula>
    </cfRule>
  </conditionalFormatting>
  <conditionalFormatting sqref="BE245">
    <cfRule type="expression" priority="23" dxfId="6">
      <formula>NoColor</formula>
    </cfRule>
  </conditionalFormatting>
  <conditionalFormatting sqref="BE247">
    <cfRule type="expression" priority="35" dxfId="6">
      <formula>NoColor</formula>
    </cfRule>
  </conditionalFormatting>
  <conditionalFormatting sqref="BE369:BE370">
    <cfRule type="expression" priority="20" dxfId="6">
      <formula>NoColor</formula>
    </cfRule>
  </conditionalFormatting>
  <conditionalFormatting sqref="BE372">
    <cfRule type="expression" priority="50" dxfId="6">
      <formula>NoColor</formula>
    </cfRule>
  </conditionalFormatting>
  <conditionalFormatting sqref="BG109">
    <cfRule type="expression" priority="2" dxfId="6">
      <formula>NoColor</formula>
    </cfRule>
  </conditionalFormatting>
  <conditionalFormatting sqref="BG120 BG122">
    <cfRule type="expression" priority="65" dxfId="6">
      <formula>NoColor</formula>
    </cfRule>
  </conditionalFormatting>
  <conditionalFormatting sqref="BG236">
    <cfRule type="expression" priority="1" dxfId="6">
      <formula>NoColor</formula>
    </cfRule>
  </conditionalFormatting>
  <conditionalFormatting sqref="BG248:BG249">
    <cfRule type="expression" priority="15" dxfId="6">
      <formula>NoColor</formula>
    </cfRule>
  </conditionalFormatting>
  <conditionalFormatting sqref="BG361">
    <cfRule type="expression" priority="3" dxfId="6">
      <formula>NoColor</formula>
    </cfRule>
  </conditionalFormatting>
  <conditionalFormatting sqref="BG373:BG374">
    <cfRule type="expression" priority="14" dxfId="6">
      <formula>NoColor</formula>
    </cfRule>
  </conditionalFormatting>
  <pageMargins left="0.5" right="0.5" top="0.29" bottom="0.29" header="0.36" footer="0.21"/>
  <pageSetup orientation="portrait" scale="83" fitToHeight="0"/>
  <rowBreaks count="5" manualBreakCount="5">
    <brk id="81" min="0" max="16383" man="1"/>
    <brk id="133" min="1" max="40" man="1"/>
    <brk id="203" min="1" max="40" man="1"/>
    <brk id="254" min="1" max="40" man="1"/>
    <brk id="324" min="1" max="40" man="1"/>
  </rowBreaks>
  <colBreaks count="2" manualBreakCount="2">
    <brk id="2" min="11" max="375" man="1"/>
    <brk id="7" min="11" max="375" man="1"/>
  </colBreaks>
</worksheet>
</file>

<file path=xl/worksheets/sheet39.xml><?xml version="1.0" encoding="utf-8"?>
<worksheet xmlns="http://schemas.openxmlformats.org/spreadsheetml/2006/main">
  <sheetPr>
    <outlinePr summaryBelow="1" summaryRight="1"/>
    <pageSetUpPr fitToPage="1"/>
  </sheetPr>
  <dimension ref="A1:CJ391"/>
  <sheetViews>
    <sheetView zoomScaleNormal="100" zoomScaleSheetLayoutView="100" workbookViewId="0">
      <pane ySplit="4" topLeftCell="A5" activePane="bottomLeft" state="frozen"/>
      <selection activeCell="E24" sqref="E24"/>
      <selection pane="bottomLeft" activeCell="A5" sqref="A5"/>
    </sheetView>
  </sheetViews>
  <sheetFormatPr baseColWidth="8" defaultRowHeight="12.75"/>
  <cols>
    <col width="2.140625" customWidth="1" style="7635" min="1" max="2"/>
    <col width="4.140625" customWidth="1" style="7635" min="3" max="3"/>
    <col width="3.140625" customWidth="1" style="7635" min="4" max="4"/>
    <col width="10.5703125" customWidth="1" style="7635" min="5" max="5"/>
    <col width="5.28515625" customWidth="1" style="7635" min="6" max="6"/>
    <col width="8" customWidth="1" style="7635" min="7" max="7"/>
    <col width="3" customWidth="1" style="7635" min="8" max="8"/>
    <col width="7.5703125" customWidth="1" style="7635" min="9" max="9"/>
    <col width="4.140625" customWidth="1" style="7635" min="10" max="10"/>
    <col width="5.42578125" customWidth="1" style="7635" min="11" max="11"/>
    <col width="1.28515625" customWidth="1" style="7635" min="12" max="12"/>
    <col width="3.5703125" customWidth="1" style="7635" min="13" max="13"/>
    <col width="5.28515625" customWidth="1" style="7635" min="14" max="14"/>
    <col width="3.85546875" customWidth="1" style="7635" min="15" max="15"/>
    <col width="4" customWidth="1" style="7635" min="16" max="16"/>
    <col width="10.7109375" customWidth="1" style="7635" min="17" max="17"/>
    <col width="3.28515625" customWidth="1" style="7635" min="18" max="18"/>
    <col width="10.7109375" customWidth="1" style="7635" min="19" max="19"/>
    <col width="3.28515625" customWidth="1" style="7635" min="20" max="20"/>
    <col width="10.7109375" customWidth="1" style="7635" min="21" max="21"/>
    <col width="3.28515625" customWidth="1" style="7635" min="22" max="22"/>
    <col width="10.7109375" customWidth="1" style="7635" min="23" max="23"/>
    <col width="5" customWidth="1" style="7635" min="24" max="24"/>
    <col width="2.85546875" customWidth="1" style="9123" min="25" max="25"/>
    <col width="13.85546875" customWidth="1" style="7635" min="26" max="26"/>
    <col width="4.7109375" customWidth="1" style="7635" min="27" max="27"/>
    <col width="3.5703125" customWidth="1" style="7635" min="28" max="28"/>
    <col width="4.7109375" customWidth="1" style="7635" min="29" max="29"/>
    <col width="2" customWidth="1" style="7635" min="30" max="30"/>
    <col width="11.85546875" customWidth="1" style="7635" min="31" max="31"/>
    <col width="5.5703125" customWidth="1" style="7635" min="32" max="32"/>
    <col width="4.140625" customWidth="1" style="7635" min="33" max="33"/>
    <col width="4.7109375" customWidth="1" style="7635" min="34" max="34"/>
    <col width="21" customWidth="1" style="7635" min="35" max="35"/>
    <col width="2.7109375" customWidth="1" style="7635" min="36" max="36"/>
    <col width="10.7109375" customWidth="1" style="7635" min="37" max="37"/>
    <col width="1.7109375" customWidth="1" style="7635" min="38" max="38"/>
    <col width="10.7109375" customWidth="1" style="7635" min="39" max="39"/>
    <col width="1.7109375" customWidth="1" style="7635" min="40" max="40"/>
    <col width="10.7109375" customWidth="1" style="7635" min="41" max="41"/>
    <col width="1.7109375" customWidth="1" style="7635" min="42" max="42"/>
    <col width="10.7109375" customWidth="1" style="7635" min="43" max="43"/>
    <col width="1.7109375" customWidth="1" style="7635" min="44" max="44"/>
    <col width="3.42578125" customWidth="1" style="7635" min="45" max="45"/>
    <col width="2.7109375" customWidth="1" style="7635" min="46" max="46"/>
    <col width="5.85546875" customWidth="1" style="7635" min="47" max="47"/>
    <col width="10.7109375" customWidth="1" style="658" min="48" max="58"/>
    <col width="9" customWidth="1" style="7635" min="59" max="71"/>
    <col width="9.140625" customWidth="1" style="7635" min="72" max="83"/>
  </cols>
  <sheetData>
    <row r="1" ht="12.75" customHeight="1" s="7635">
      <c r="A1" s="11602" t="n"/>
      <c r="B1" s="11602" t="n"/>
      <c r="C1" s="11602" t="n"/>
      <c r="D1" s="11602" t="n"/>
      <c r="E1" s="11602" t="n"/>
      <c r="F1" s="11602" t="n"/>
      <c r="G1" s="11602" t="n"/>
      <c r="H1" s="11602" t="n"/>
      <c r="I1" s="11602" t="n"/>
      <c r="J1" s="11602" t="n"/>
      <c r="K1" s="11602" t="n"/>
      <c r="L1" s="11602" t="n"/>
      <c r="M1" s="11602" t="n"/>
      <c r="N1" s="11602" t="n"/>
      <c r="O1" s="11602" t="n"/>
      <c r="P1" s="11602" t="n"/>
      <c r="Q1" s="11602" t="n"/>
      <c r="R1" s="11602" t="n"/>
      <c r="S1" s="11602" t="n"/>
      <c r="T1" s="11602" t="n"/>
      <c r="U1" s="11602" t="n"/>
      <c r="V1" s="11602" t="n"/>
      <c r="W1" s="11602" t="n"/>
      <c r="X1" s="11602" t="n"/>
      <c r="Y1" s="343" t="n"/>
      <c r="Z1" s="11602" t="n"/>
      <c r="AA1" s="11602" t="n"/>
      <c r="AB1" s="11602" t="n"/>
      <c r="AC1" s="11602" t="n"/>
      <c r="AD1" s="11602" t="n"/>
      <c r="AE1" s="11602" t="n"/>
      <c r="AF1" s="11602" t="n"/>
      <c r="AG1" s="11602" t="n"/>
      <c r="AH1" s="11602" t="n"/>
      <c r="AI1" s="11602" t="n"/>
      <c r="AJ1" s="11602" t="n"/>
      <c r="AK1" s="11602" t="n"/>
      <c r="AL1" s="11602" t="n"/>
      <c r="AM1" s="11602" t="n"/>
      <c r="AN1" s="11602" t="n"/>
      <c r="AO1" s="11602" t="n"/>
      <c r="AP1" s="11602" t="n"/>
      <c r="AQ1" s="11602" t="n"/>
      <c r="AR1" s="11602" t="n"/>
      <c r="AS1" s="11602" t="n"/>
      <c r="AT1" s="11602" t="n"/>
      <c r="AU1" s="344" t="n"/>
      <c r="AV1" s="657" t="inlineStr">
        <is>
          <t>Notes</t>
        </is>
      </c>
    </row>
    <row r="2" ht="16.5" customHeight="1" s="7635">
      <c r="A2" s="11602" t="n"/>
      <c r="B2" s="11602" t="n"/>
      <c r="C2" s="5412">
        <f>IF(AND(U39="",U40=""),"Please complete Lines 2 and 3.",IF($V$43,"Line 4 is less than "&amp;TEXT(W43,"$0,000")&amp;", don't file Form 2210.",IF($U$48,"Line 7 is less than "&amp;TEXT(W43,"$0,000")&amp;", don't file Form 2210.",IF(NOT(AC38),"Complete information in Columns AB &amp; AC for "&amp;TaxYear-1&amp;".",IF(AND(NOT($W$48),NOT($B$66)),"Line 9 is not more than Line 6 and Box E does not apply. You don't owe a penalty. Don't file Form 2210.",IF(AND(NOT($W$48),$B$66,NOT(B60),NOT(B62),NOT(B64)),"Box E applies. You must file page 1 of Form 2210, but you aren't required to figure your penalty.",IF(B60,"Box B applies.  You must figure your penalty and waiver amount and file Form 2210.",IF(B58,"Box A applies.  File only page 1 of Form 2210, but you aren't required to figure your penalty.",IF(B62,"Box C applies.  You must figure the penalty using Schedule AI (not included here) and file Form 2210.",IF(B64,"Box D applies. You must figure your penalty and file Form 2210.",IF(B66,"Box E applies. You must file page 1 of Form 2210, but you aren't required to figure your penalty.",IF(NOT(B67),"You may owe a penalty but don't file Form 2210 unless one or more boxes in Part II apply.",":"))))))))))))</f>
        <v/>
      </c>
      <c r="D2" s="11602" t="n"/>
      <c r="E2" s="11602" t="n"/>
      <c r="F2" s="11602" t="n"/>
      <c r="G2" s="11602" t="n"/>
      <c r="H2" s="11602" t="n"/>
      <c r="I2" s="11602" t="n"/>
      <c r="J2" s="11602" t="n"/>
      <c r="K2" s="11602" t="n"/>
      <c r="L2" s="11602" t="n"/>
      <c r="M2" s="11602" t="n"/>
      <c r="N2" s="11602" t="n"/>
      <c r="O2" s="11602" t="n"/>
      <c r="P2" s="11602" t="n"/>
      <c r="Q2" s="11602" t="n"/>
      <c r="R2" s="11602" t="n"/>
      <c r="S2" s="11602" t="n"/>
      <c r="T2" s="11602" t="n"/>
      <c r="U2" s="5413" t="n"/>
      <c r="V2" s="11602" t="n"/>
      <c r="W2" s="11602" t="n"/>
      <c r="X2" s="11602" t="n"/>
      <c r="Y2" s="343" t="n"/>
      <c r="Z2" s="11602" t="n"/>
      <c r="AA2" s="11602" t="n"/>
      <c r="AB2" s="11602" t="n"/>
      <c r="AC2" s="11602" t="n"/>
      <c r="AD2" s="11602" t="n"/>
      <c r="AE2" s="11602" t="n"/>
      <c r="AF2" s="11602" t="n"/>
      <c r="AG2" s="11602" t="n"/>
      <c r="AH2" s="11602" t="n"/>
      <c r="AI2" s="11602" t="n"/>
      <c r="AJ2" s="11602" t="n"/>
      <c r="AK2" s="11602" t="n"/>
      <c r="AL2" s="11602" t="n"/>
      <c r="AM2" s="11602" t="n"/>
      <c r="AN2" s="11602" t="n"/>
      <c r="AO2" s="11602" t="n"/>
      <c r="AP2" s="11602" t="n"/>
      <c r="AQ2" s="11602" t="n"/>
      <c r="AR2" s="11602" t="n"/>
      <c r="AS2" s="11602" t="n"/>
      <c r="AT2" s="11602" t="n"/>
      <c r="AU2" s="344" t="n"/>
    </row>
    <row r="3" ht="7.5" customHeight="1" s="7635">
      <c r="A3" s="11602" t="n"/>
      <c r="B3" s="580" t="n"/>
      <c r="C3" s="5414" t="n"/>
      <c r="D3" s="11602" t="n"/>
      <c r="E3" s="11602" t="n"/>
      <c r="F3" s="11602" t="n"/>
      <c r="G3" s="11602" t="n"/>
      <c r="H3" s="11602" t="n"/>
      <c r="I3" s="2740" t="n"/>
      <c r="J3" s="11602" t="n"/>
      <c r="K3" s="11602" t="n"/>
      <c r="L3" s="11602" t="n"/>
      <c r="M3" s="11602" t="n"/>
      <c r="N3" s="11602" t="n"/>
      <c r="O3" s="11602" t="n"/>
      <c r="P3" s="11602" t="n"/>
      <c r="Q3" s="11602" t="n"/>
      <c r="R3" s="11602" t="n"/>
      <c r="S3" s="11602" t="n"/>
      <c r="T3" s="11602" t="n"/>
      <c r="U3" s="11602" t="n"/>
      <c r="V3" s="11602" t="n"/>
      <c r="W3" s="11602" t="n"/>
      <c r="X3" s="11602" t="n"/>
      <c r="Y3" s="343" t="n"/>
      <c r="Z3" s="11602" t="n"/>
      <c r="AA3" s="11602" t="n"/>
      <c r="AB3" s="11602" t="n"/>
      <c r="AC3" s="11602" t="n"/>
      <c r="AD3" s="11602" t="n"/>
      <c r="AE3" s="11602" t="n"/>
      <c r="AF3" s="11602" t="n"/>
      <c r="AG3" s="11602" t="n"/>
      <c r="AH3" s="11602" t="n"/>
      <c r="AI3" s="11602" t="n"/>
      <c r="AJ3" s="11602" t="n"/>
      <c r="AK3" s="11602" t="n"/>
      <c r="AL3" s="11602" t="n"/>
      <c r="AM3" s="11602" t="n"/>
      <c r="AN3" s="11602" t="n"/>
      <c r="AO3" s="11602" t="n"/>
      <c r="AP3" s="11602" t="n"/>
      <c r="AQ3" s="11602" t="n"/>
      <c r="AR3" s="11602" t="n"/>
      <c r="AS3" s="11602" t="n"/>
      <c r="AT3" s="11602" t="n"/>
      <c r="AU3" s="344" t="n"/>
    </row>
    <row r="4" ht="9.75" customHeight="1" s="7635">
      <c r="A4" s="11602" t="n"/>
      <c r="B4" s="11602" t="n"/>
      <c r="C4" s="11602" t="n"/>
      <c r="D4" s="11602" t="n"/>
      <c r="E4" s="11602" t="n"/>
      <c r="F4" s="11602" t="n"/>
      <c r="G4" s="11602" t="n"/>
      <c r="H4" s="11602" t="n"/>
      <c r="I4" s="11602" t="n"/>
      <c r="J4" s="11602" t="n"/>
      <c r="K4" s="11602" t="n"/>
      <c r="L4" s="11602" t="n"/>
      <c r="M4" s="11602" t="n"/>
      <c r="N4" s="11602" t="n"/>
      <c r="O4" s="11602" t="n"/>
      <c r="P4" s="11602" t="n"/>
      <c r="Q4" s="11602" t="n"/>
      <c r="R4" s="11602" t="n"/>
      <c r="S4" s="11602" t="n"/>
      <c r="T4" s="11602" t="n"/>
      <c r="U4" s="11602" t="n"/>
      <c r="V4" s="11602" t="n"/>
      <c r="W4" s="11602" t="n"/>
      <c r="X4" s="11602" t="n"/>
      <c r="Y4" s="343" t="n"/>
      <c r="Z4" s="11602" t="n"/>
      <c r="AA4" s="11602" t="n"/>
      <c r="AB4" s="11602" t="n"/>
      <c r="AC4" s="11602" t="n"/>
      <c r="AD4" s="11602" t="n"/>
      <c r="AE4" s="11602" t="n"/>
      <c r="AF4" s="11602" t="n"/>
      <c r="AG4" s="11602" t="n"/>
      <c r="AH4" s="11602" t="n"/>
      <c r="AI4" s="11602" t="n"/>
      <c r="AJ4" s="11602" t="n"/>
      <c r="AK4" s="11602" t="n"/>
      <c r="AL4" s="11602" t="n"/>
      <c r="AM4" s="11602" t="n"/>
      <c r="AN4" s="11602" t="n"/>
      <c r="AO4" s="11602" t="n"/>
      <c r="AP4" s="11602" t="n"/>
      <c r="AQ4" s="11602" t="n"/>
      <c r="AR4" s="11602" t="n"/>
      <c r="AS4" s="11602" t="n"/>
      <c r="AT4" s="11602" t="n"/>
      <c r="AU4" s="344" t="n"/>
    </row>
    <row r="5" ht="9" customHeight="1" s="7635" thickBot="1">
      <c r="A5" s="139" t="n"/>
      <c r="B5" s="139" t="n"/>
      <c r="C5" s="139" t="n"/>
      <c r="D5" s="139" t="n"/>
      <c r="E5" s="139" t="n"/>
      <c r="F5" s="139" t="n"/>
      <c r="G5" s="139" t="n"/>
      <c r="H5" s="139" t="n"/>
      <c r="I5" s="139" t="n"/>
      <c r="J5" s="139" t="n"/>
      <c r="K5" s="139" t="n"/>
      <c r="L5" s="139" t="n"/>
      <c r="M5" s="139" t="n"/>
      <c r="N5" s="139" t="n"/>
      <c r="O5" s="139" t="n"/>
      <c r="P5" s="139" t="n"/>
      <c r="Q5" s="139" t="n"/>
      <c r="R5" s="139" t="n"/>
      <c r="S5" s="139" t="n"/>
      <c r="T5" s="139" t="n"/>
      <c r="U5" s="139" t="n"/>
      <c r="V5" s="139" t="n"/>
      <c r="W5" s="139" t="n"/>
      <c r="X5" s="139" t="n"/>
      <c r="Y5" s="343" t="n"/>
      <c r="Z5" s="5415" t="n"/>
      <c r="AA5" s="5415" t="n"/>
      <c r="AB5" s="5415" t="n"/>
      <c r="AC5" s="5415" t="n"/>
      <c r="AD5" s="5415" t="n"/>
      <c r="AE5" s="5415" t="n"/>
      <c r="AF5" s="5415" t="n"/>
      <c r="AG5" s="5415" t="n"/>
      <c r="AH5" s="5415" t="n"/>
      <c r="AI5" s="5415" t="n"/>
      <c r="AJ5" s="5415" t="n"/>
      <c r="AK5" s="5415" t="n"/>
      <c r="AL5" s="5415" t="n"/>
      <c r="AM5" s="5415" t="n"/>
      <c r="AN5" s="5415" t="n"/>
      <c r="AO5" s="5415" t="n"/>
      <c r="AP5" s="5415" t="n"/>
      <c r="AQ5" s="5415" t="n"/>
      <c r="AR5" s="5415" t="n"/>
      <c r="AS5" s="5415" t="n"/>
      <c r="AT5" s="5415" t="n"/>
      <c r="AU5" s="344" t="n"/>
    </row>
    <row r="6" ht="21.75" customHeight="1" s="7635" thickBot="1">
      <c r="A6" s="139" t="n"/>
      <c r="B6" s="9355" t="n"/>
      <c r="E6" s="12278" t="n">
        <v>2210</v>
      </c>
      <c r="F6" s="1066" t="n"/>
      <c r="G6" s="12279" t="inlineStr">
        <is>
          <t>Underpayment of Estimated Tax
by Individuals, Estates, and Trusts</t>
        </is>
      </c>
      <c r="S6" s="1066" t="n"/>
      <c r="T6" s="9378" t="inlineStr">
        <is>
          <t>OMB No. 1545-0074</t>
        </is>
      </c>
      <c r="U6" s="7637" t="n"/>
      <c r="V6" s="7637" t="n"/>
      <c r="W6" s="7637" t="n"/>
      <c r="X6" s="139" t="n"/>
      <c r="Y6" s="343" t="n"/>
      <c r="Z6" s="5416" t="n"/>
      <c r="AA6" s="338" t="n"/>
      <c r="AB6" s="9396">
        <f>TaxYear-1</f>
        <v/>
      </c>
      <c r="AC6" s="2506" t="n"/>
      <c r="AD6" s="2506" t="n"/>
      <c r="AE6" s="2506" t="n"/>
      <c r="AF6" s="378" t="n"/>
      <c r="AG6" s="5415" t="n"/>
      <c r="AH6" s="5415" t="n"/>
      <c r="AI6" s="5415" t="n"/>
      <c r="AJ6" s="5415" t="n"/>
      <c r="AK6" s="5415" t="n"/>
      <c r="AL6" s="5415" t="n"/>
      <c r="AM6" s="5415" t="n"/>
      <c r="AN6" s="5415" t="n"/>
      <c r="AO6" s="5415" t="n"/>
      <c r="AP6" s="5415" t="n"/>
      <c r="AQ6" s="5415" t="n"/>
      <c r="AR6" s="5415" t="n"/>
      <c r="AS6" s="5415" t="n"/>
      <c r="AT6" s="5415" t="n"/>
      <c r="AU6" s="344" t="n"/>
    </row>
    <row r="7" ht="27.75" customHeight="1" s="7635" thickBot="1">
      <c r="A7" s="139" t="n"/>
      <c r="B7" s="11417" t="n"/>
      <c r="C7" s="9359" t="inlineStr">
        <is>
          <t>Form</t>
        </is>
      </c>
      <c r="F7" s="1066" t="n"/>
      <c r="G7" s="11741" t="n"/>
      <c r="S7" s="1066" t="n"/>
      <c r="T7" s="8911">
        <f>TaxYear</f>
        <v/>
      </c>
      <c r="U7" s="7839" t="n"/>
      <c r="V7" s="7839" t="n"/>
      <c r="W7" s="7839" t="n"/>
      <c r="X7" s="139" t="n"/>
      <c r="Y7" s="343" t="n"/>
      <c r="Z7" s="5417">
        <f>IF($AC$8="","Enter taxes","")</f>
        <v/>
      </c>
      <c r="AA7" s="341" t="n"/>
      <c r="AB7" s="11602" t="n"/>
      <c r="AC7" s="8966">
        <f>" Taxes Paid"</f>
        <v/>
      </c>
      <c r="AF7" s="379" t="n"/>
      <c r="AG7" s="5415" t="n"/>
      <c r="AH7" s="12280" t="inlineStr">
        <is>
          <t>IF you file Form 1040, THEN include on line 2 the amounts on...</t>
        </is>
      </c>
      <c r="AI7" s="12281" t="n"/>
      <c r="AJ7" s="12281" t="n"/>
      <c r="AK7" s="12281" t="n"/>
      <c r="AL7" s="12281" t="n"/>
      <c r="AM7" s="12281" t="n"/>
      <c r="AN7" s="12281" t="n"/>
      <c r="AO7" s="12281" t="n"/>
      <c r="AP7" s="12282" t="n"/>
      <c r="AQ7" s="5415" t="n"/>
      <c r="AR7" s="5415" t="n"/>
      <c r="AS7" s="5415" t="n"/>
      <c r="AT7" s="5415" t="n"/>
      <c r="AU7" s="344" t="n"/>
    </row>
    <row r="8" ht="13.5" customHeight="1" s="7635">
      <c r="A8" s="139" t="n"/>
      <c r="B8" s="2497" t="n"/>
      <c r="C8" s="2497" t="inlineStr">
        <is>
          <t>Department of the Treasury</t>
        </is>
      </c>
      <c r="D8" s="2497" t="n"/>
      <c r="E8" s="2497" t="n"/>
      <c r="F8" s="90" t="n"/>
      <c r="G8" s="9403" t="inlineStr">
        <is>
          <t>Attach to Form 1040, 1040-SR, 1040-NR, 1040NR-EZ, or 1041.</t>
        </is>
      </c>
      <c r="T8" s="9391" t="inlineStr">
        <is>
          <t>Attachment</t>
        </is>
      </c>
      <c r="X8" s="139" t="n"/>
      <c r="Y8" s="343" t="n"/>
      <c r="Z8" s="5418">
        <f>IF($AC$8="","paid for Tax","")</f>
        <v/>
      </c>
      <c r="AA8" s="341" t="n"/>
      <c r="AB8" s="734" t="inlineStr">
        <is>
          <t xml:space="preserve">(1) </t>
        </is>
      </c>
      <c r="AC8" s="12283" t="n"/>
      <c r="AD8" s="12284" t="n"/>
      <c r="AE8" s="12020" t="n"/>
      <c r="AF8" s="379" t="n"/>
      <c r="AG8" s="5415" t="n"/>
      <c r="AH8" s="9425" t="inlineStr">
        <is>
          <t>Schedule 2 (Form 1040):
Line 4,
Line 8 (additional tax on distributions only),
Line 9*, 
Line 10,
Line 11,
Line 12,
Line 14,
Line 15,
Line 16,</t>
        </is>
      </c>
      <c r="AI8" s="830" t="n"/>
      <c r="AJ8" s="830" t="n"/>
      <c r="AK8" s="9429" t="inlineStr">
        <is>
          <t xml:space="preserve">
Line 17a,
Line 17c,
Line 17d,
Line 17e,
Line 17f,
Line 17g,
Line 17h,
Line 17i,
Line 17j,
Line 17l, and
Line 17z.</t>
        </is>
      </c>
      <c r="AL8" s="830" t="n"/>
      <c r="AM8" s="830" t="n"/>
      <c r="AN8" s="830" t="n"/>
      <c r="AO8" s="830" t="n"/>
      <c r="AP8" s="12285" t="n"/>
      <c r="AQ8" s="5415" t="n"/>
      <c r="AR8" s="5415" t="n"/>
      <c r="AS8" s="5415" t="n"/>
      <c r="AT8" s="5415" t="n"/>
      <c r="AU8" s="344" t="n"/>
    </row>
    <row r="9" ht="12.75" customHeight="1" s="7635" thickBot="1">
      <c r="A9" s="139" t="n"/>
      <c r="B9" s="5419" t="n"/>
      <c r="C9" s="12286">
        <f>"Internal Revenue Service"</f>
        <v/>
      </c>
      <c r="D9" s="8848" t="n"/>
      <c r="E9" s="8848" t="n"/>
      <c r="F9" s="2627" t="n"/>
      <c r="G9" s="12287" t="inlineStr">
        <is>
          <t>Go to www.irs.gov/Form2210 for instructions and the latest information.</t>
        </is>
      </c>
      <c r="H9" s="8848" t="n"/>
      <c r="I9" s="8848" t="n"/>
      <c r="J9" s="8848" t="n"/>
      <c r="K9" s="8848" t="n"/>
      <c r="L9" s="8848" t="n"/>
      <c r="M9" s="8848" t="n"/>
      <c r="N9" s="8848" t="n"/>
      <c r="O9" s="8848" t="n"/>
      <c r="P9" s="8848" t="n"/>
      <c r="Q9" s="8848" t="n"/>
      <c r="R9" s="8848" t="n"/>
      <c r="S9" s="2627" t="n"/>
      <c r="T9" s="9392" t="inlineStr">
        <is>
          <t>Sequence No. 06</t>
        </is>
      </c>
      <c r="U9" s="8848" t="n"/>
      <c r="V9" s="8848" t="n"/>
      <c r="W9" s="8848" t="n"/>
      <c r="X9" s="139" t="n"/>
      <c r="Y9" s="343" t="n"/>
      <c r="Z9" s="5420">
        <f>IF($AC$8="","Year "&amp;TaxYear-1&amp;" &gt;&gt;&gt;","")</f>
        <v/>
      </c>
      <c r="AA9" s="341" t="n"/>
      <c r="AB9" s="11602" t="n"/>
      <c r="AC9" s="12288" t="n"/>
      <c r="AD9" s="11795" t="n"/>
      <c r="AE9" s="12289" t="n"/>
      <c r="AF9" s="379" t="n"/>
      <c r="AG9" s="5415" t="n"/>
      <c r="AH9" s="11741" t="n"/>
      <c r="AP9" s="1066" t="n"/>
      <c r="AQ9" s="5415" t="n"/>
      <c r="AR9" s="5415" t="n"/>
      <c r="AS9" s="5415" t="n"/>
      <c r="AT9" s="5415" t="n"/>
      <c r="AU9" s="344" t="n"/>
    </row>
    <row r="10" ht="12" customHeight="1" s="7635">
      <c r="A10" s="139" t="n"/>
      <c r="B10" s="8922" t="inlineStr">
        <is>
          <t>Name(s) shown on tax return</t>
        </is>
      </c>
      <c r="C10" s="8922" t="n"/>
      <c r="D10" s="8922" t="n"/>
      <c r="E10" s="8922" t="n"/>
      <c r="F10" s="88" t="n"/>
      <c r="G10" s="88" t="n"/>
      <c r="H10" s="88" t="n"/>
      <c r="I10" s="88" t="n"/>
      <c r="J10" s="88" t="n"/>
      <c r="K10" s="88" t="n"/>
      <c r="L10" s="8874" t="n"/>
      <c r="M10" s="8874" t="n"/>
      <c r="N10" s="8874" t="n"/>
      <c r="O10" s="8874" t="n"/>
      <c r="P10" s="8874" t="n"/>
      <c r="Q10" s="8874" t="n"/>
      <c r="R10" s="8874" t="n"/>
      <c r="S10" s="9461" t="inlineStr">
        <is>
          <t>Identifying number</t>
        </is>
      </c>
      <c r="T10" s="2506" t="n"/>
      <c r="U10" s="2506" t="n"/>
      <c r="V10" s="2506" t="n"/>
      <c r="W10" s="2506" t="n"/>
      <c r="X10" s="139" t="n"/>
      <c r="Y10" s="343" t="n"/>
      <c r="Z10" s="5415" t="n"/>
      <c r="AA10" s="341" t="n"/>
      <c r="AB10" s="9345" t="n"/>
      <c r="AF10" s="379" t="n"/>
      <c r="AG10" s="5415" t="n"/>
      <c r="AH10" s="11741" t="n"/>
      <c r="AP10" s="1066" t="n"/>
      <c r="AQ10" s="5415" t="n"/>
      <c r="AR10" s="5415" t="n"/>
      <c r="AS10" s="5415" t="n"/>
      <c r="AT10" s="5415" t="n"/>
      <c r="AU10" s="344" t="n"/>
    </row>
    <row r="11" ht="18" customHeight="1" s="7635">
      <c r="A11" s="139" t="n"/>
      <c r="B11" s="12290">
        <f>Names</f>
        <v/>
      </c>
      <c r="C11" s="7637" t="n"/>
      <c r="D11" s="7637" t="n"/>
      <c r="E11" s="7637" t="n"/>
      <c r="F11" s="7637" t="n"/>
      <c r="G11" s="7637" t="n"/>
      <c r="H11" s="7637" t="n"/>
      <c r="I11" s="7637" t="n"/>
      <c r="J11" s="7637" t="n"/>
      <c r="K11" s="7637" t="n"/>
      <c r="L11" s="7637" t="n"/>
      <c r="M11" s="7637" t="n"/>
      <c r="N11" s="7637" t="n"/>
      <c r="O11" s="7637" t="n"/>
      <c r="P11" s="7637" t="n"/>
      <c r="Q11" s="7637" t="n"/>
      <c r="R11" s="7638" t="n"/>
      <c r="S11" s="12291">
        <f>IF(NoSSN,"",SS_Yours)</f>
        <v/>
      </c>
      <c r="T11" s="7637" t="n"/>
      <c r="U11" s="7637" t="n"/>
      <c r="V11" s="7637" t="n"/>
      <c r="W11" s="7637" t="n"/>
      <c r="X11" s="139" t="n"/>
      <c r="Y11" s="343" t="n"/>
      <c r="Z11" s="5415" t="n"/>
      <c r="AA11" s="341" t="n"/>
      <c r="AB11" s="9345">
        <f>TaxYear-1</f>
        <v/>
      </c>
      <c r="AF11" s="379" t="n"/>
      <c r="AG11" s="5415" t="n"/>
      <c r="AH11" s="11741" t="n"/>
      <c r="AP11" s="1066" t="n"/>
      <c r="AQ11" s="5415" t="n"/>
      <c r="AR11" s="5415" t="n"/>
      <c r="AS11" s="5415" t="n"/>
      <c r="AT11" s="5415" t="n"/>
      <c r="AU11" s="344" t="n"/>
    </row>
    <row r="12" ht="19.5" customHeight="1" s="7635">
      <c r="A12" s="139" t="n"/>
      <c r="B12" s="9443" t="inlineStr">
        <is>
          <t>Do You Have To File Form 2210?</t>
        </is>
      </c>
      <c r="C12" s="7839" t="n"/>
      <c r="D12" s="7839" t="n"/>
      <c r="E12" s="7839" t="n"/>
      <c r="F12" s="7839" t="n"/>
      <c r="G12" s="7839" t="n"/>
      <c r="H12" s="7839" t="n"/>
      <c r="I12" s="7839" t="n"/>
      <c r="J12" s="7839" t="n"/>
      <c r="K12" s="7839" t="n"/>
      <c r="L12" s="7839" t="n"/>
      <c r="M12" s="7839" t="n"/>
      <c r="N12" s="7839" t="n"/>
      <c r="O12" s="7839" t="n"/>
      <c r="P12" s="7839" t="n"/>
      <c r="Q12" s="7839" t="n"/>
      <c r="R12" s="7839" t="n"/>
      <c r="S12" s="7839" t="n"/>
      <c r="T12" s="7839" t="n"/>
      <c r="U12" s="7839" t="n"/>
      <c r="V12" s="7839" t="n"/>
      <c r="W12" s="7839" t="n"/>
      <c r="X12" s="139" t="n"/>
      <c r="Y12" s="343" t="n"/>
      <c r="Z12" s="9421">
        <f>IF($AC$14="","Enter "&amp;TaxYear-1&amp;" Refundable Tax Credits &gt;&gt;&gt;","")</f>
        <v/>
      </c>
      <c r="AA12" s="341" t="n"/>
      <c r="AB12" s="8965" t="inlineStr">
        <is>
          <t>Refundable
Credits</t>
        </is>
      </c>
      <c r="AF12" s="379" t="n"/>
      <c r="AG12" s="5415" t="n"/>
      <c r="AH12" s="11741" t="n"/>
      <c r="AP12" s="1066" t="n"/>
      <c r="AQ12" s="5415" t="n"/>
      <c r="AR12" s="5415" t="n"/>
      <c r="AS12" s="5415" t="n"/>
      <c r="AT12" s="5415" t="n"/>
      <c r="AU12" s="344" t="n"/>
    </row>
    <row r="13" ht="10.5" customFormat="1" customHeight="1" s="138" thickBot="1">
      <c r="A13" s="151" t="n"/>
      <c r="B13" s="7831" t="n"/>
      <c r="C13" s="5421" t="n"/>
      <c r="D13" s="5421" t="n"/>
      <c r="E13" s="5421" t="n"/>
      <c r="F13" s="5422" t="n"/>
      <c r="G13" s="5422" t="n"/>
      <c r="H13" s="5422" t="n"/>
      <c r="I13" s="5422" t="n"/>
      <c r="J13" s="5422" t="n"/>
      <c r="K13" s="5422" t="n"/>
      <c r="L13" s="5422" t="n"/>
      <c r="M13" s="5422" t="n"/>
      <c r="N13" s="5422" t="n"/>
      <c r="O13" s="5422" t="n"/>
      <c r="P13" s="5422" t="n"/>
      <c r="Q13" s="5422" t="n"/>
      <c r="R13" s="5422" t="n"/>
      <c r="S13" s="5422" t="n"/>
      <c r="T13" s="5422" t="n"/>
      <c r="U13" s="5422" t="n"/>
      <c r="V13" s="5422" t="n"/>
      <c r="W13" s="5422" t="n"/>
      <c r="X13" s="151" t="n"/>
      <c r="Y13" s="1967" t="n"/>
      <c r="Z13" s="1066" t="n"/>
      <c r="AA13" s="9335" t="n"/>
      <c r="AF13" s="5424" t="n"/>
      <c r="AG13" s="5415" t="n"/>
      <c r="AH13" s="11741" t="n"/>
      <c r="AP13" s="1066" t="n"/>
      <c r="AQ13" s="5415" t="n"/>
      <c r="AR13" s="5415" t="n"/>
      <c r="AS13" s="5415" t="n"/>
      <c r="AT13" s="5415" t="n"/>
      <c r="AU13" s="979" t="n"/>
      <c r="AV13" s="658" t="n"/>
      <c r="AW13" s="658" t="n"/>
      <c r="AX13" s="658" t="n"/>
      <c r="AY13" s="658" t="n"/>
      <c r="AZ13" s="658" t="n"/>
      <c r="BA13" s="658" t="n"/>
      <c r="BB13" s="658" t="n"/>
      <c r="BC13" s="658" t="n"/>
      <c r="BD13" s="658" t="n"/>
      <c r="BE13" s="658" t="n"/>
      <c r="BF13" s="658" t="n"/>
    </row>
    <row r="14" ht="12" customHeight="1" s="7635">
      <c r="A14" s="139" t="n"/>
      <c r="B14" s="9316" t="n"/>
      <c r="C14" s="12292">
        <f>"Complete lines 1 through 7 below. Is line 4 or line 7 less than "&amp;TEXT($W$43,"$0,000")&amp;"?"</f>
        <v/>
      </c>
      <c r="D14" s="7839" t="n"/>
      <c r="E14" s="7839" t="n"/>
      <c r="F14" s="7839" t="n"/>
      <c r="G14" s="7839" t="n"/>
      <c r="H14" s="7839" t="n"/>
      <c r="I14" s="7839" t="n"/>
      <c r="J14" s="7839" t="n"/>
      <c r="K14" s="10091" t="n"/>
      <c r="L14" s="12293" t="inlineStr">
        <is>
          <t>Yes</t>
        </is>
      </c>
      <c r="N14" s="7636" t="n"/>
      <c r="O14" s="12294" t="inlineStr">
        <is>
          <t>Don't file Form 2210. You don't owe a penalty.</t>
        </is>
      </c>
      <c r="P14" s="7839" t="n"/>
      <c r="Q14" s="7839" t="n"/>
      <c r="R14" s="7839" t="n"/>
      <c r="S14" s="7839" t="n"/>
      <c r="T14" s="7839" t="n"/>
      <c r="U14" s="7839" t="n"/>
      <c r="V14" s="10091" t="n"/>
      <c r="W14" s="5425" t="n"/>
      <c r="X14" s="144" t="n"/>
      <c r="Y14" s="505" t="n"/>
      <c r="Z14" s="1066" t="n"/>
      <c r="AA14" s="9335" t="inlineStr">
        <is>
          <t xml:space="preserve">(2) </t>
        </is>
      </c>
      <c r="AC14" s="12295" t="n"/>
      <c r="AD14" s="12284" t="n"/>
      <c r="AE14" s="12020" t="n"/>
      <c r="AF14" s="379" t="n"/>
      <c r="AG14" s="5415" t="n"/>
      <c r="AH14" s="11741" t="n"/>
      <c r="AP14" s="1066" t="n"/>
      <c r="AQ14" s="5415" t="n"/>
      <c r="AR14" s="5415" t="n"/>
      <c r="AS14" s="5415" t="n"/>
      <c r="AT14" s="5415" t="n"/>
      <c r="AU14" s="344" t="n"/>
    </row>
    <row r="15" ht="18" customHeight="1" s="7635" thickBot="1">
      <c r="A15" s="139" t="n"/>
      <c r="B15" s="7623" t="n"/>
      <c r="C15" s="3614" t="n"/>
      <c r="D15" s="7637" t="n"/>
      <c r="E15" s="7637" t="n"/>
      <c r="F15" s="7637" t="n"/>
      <c r="G15" s="7637" t="n"/>
      <c r="H15" s="7637" t="n"/>
      <c r="I15" s="7637" t="n"/>
      <c r="J15" s="7637" t="n"/>
      <c r="K15" s="7638" t="n"/>
      <c r="L15" s="182" t="n"/>
      <c r="M15" s="182" t="n"/>
      <c r="N15" s="182" t="n"/>
      <c r="O15" s="3614" t="n"/>
      <c r="P15" s="7637" t="n"/>
      <c r="Q15" s="7637" t="n"/>
      <c r="R15" s="7637" t="n"/>
      <c r="S15" s="7637" t="n"/>
      <c r="T15" s="7637" t="n"/>
      <c r="U15" s="7637" t="n"/>
      <c r="V15" s="7638" t="n"/>
      <c r="W15" s="182" t="n"/>
      <c r="X15" s="144" t="n"/>
      <c r="Y15" s="505" t="n"/>
      <c r="Z15" s="1066" t="n"/>
      <c r="AA15" s="341" t="n"/>
      <c r="AB15" s="11602" t="n"/>
      <c r="AC15" s="12288" t="n"/>
      <c r="AD15" s="11795" t="n"/>
      <c r="AE15" s="12289" t="n"/>
      <c r="AF15" s="379" t="n"/>
      <c r="AG15" s="5415" t="n"/>
      <c r="AH15" s="11741" t="n"/>
      <c r="AP15" s="1066" t="n"/>
      <c r="AQ15" s="5415" t="n"/>
      <c r="AR15" s="5415" t="n"/>
      <c r="AS15" s="5415" t="n"/>
      <c r="AT15" s="5415" t="n"/>
      <c r="AU15" s="344" t="n"/>
    </row>
    <row r="16" ht="6.75" customHeight="1" s="7635">
      <c r="A16" s="139" t="n"/>
      <c r="B16" s="88" t="n"/>
      <c r="C16" s="88" t="n"/>
      <c r="D16" s="88" t="n"/>
      <c r="E16" s="88" t="n"/>
      <c r="F16" s="12296" t="inlineStr">
        <is>
          <t>No</t>
        </is>
      </c>
      <c r="G16" s="88" t="n"/>
      <c r="H16" s="88" t="n"/>
      <c r="I16" s="88" t="n"/>
      <c r="J16" s="88" t="n"/>
      <c r="K16" s="88" t="n"/>
      <c r="L16" s="88" t="n"/>
      <c r="M16" s="88" t="n"/>
      <c r="N16" s="88" t="n"/>
      <c r="O16" s="88" t="n"/>
      <c r="P16" s="88" t="n"/>
      <c r="Q16" s="88" t="n"/>
      <c r="R16" s="88" t="n"/>
      <c r="S16" s="88" t="n"/>
      <c r="T16" s="88" t="n"/>
      <c r="U16" s="88" t="n"/>
      <c r="V16" s="88" t="n"/>
      <c r="W16" s="88" t="n"/>
      <c r="X16" s="139" t="n"/>
      <c r="Y16" s="343" t="n"/>
      <c r="Z16" s="5415" t="n"/>
      <c r="AA16" s="341" t="n"/>
      <c r="AB16" s="11602" t="n"/>
      <c r="AC16" s="11602" t="n"/>
      <c r="AD16" s="11602" t="n"/>
      <c r="AE16" s="11602" t="n"/>
      <c r="AF16" s="379" t="n"/>
      <c r="AG16" s="5415" t="n"/>
      <c r="AH16" s="11741" t="n"/>
      <c r="AP16" s="1066" t="n"/>
      <c r="AQ16" s="5415" t="n"/>
      <c r="AR16" s="5415" t="n"/>
      <c r="AS16" s="5415" t="n"/>
      <c r="AT16" s="5415" t="n"/>
      <c r="AU16" s="344" t="n"/>
    </row>
    <row r="17">
      <c r="A17" s="139" t="n"/>
      <c r="B17" s="88" t="n"/>
      <c r="C17" s="88" t="n"/>
      <c r="D17" s="88" t="n"/>
      <c r="E17" s="88" t="n"/>
      <c r="F17" s="7637" t="n"/>
      <c r="G17" s="88" t="n"/>
      <c r="H17" s="88" t="n"/>
      <c r="I17" s="88" t="n"/>
      <c r="J17" s="88" t="n"/>
      <c r="K17" s="88" t="n"/>
      <c r="L17" s="88" t="n"/>
      <c r="M17" s="88" t="n"/>
      <c r="N17" s="88" t="n"/>
      <c r="O17" s="88" t="n"/>
      <c r="P17" s="88" t="n"/>
      <c r="Q17" s="88" t="n"/>
      <c r="R17" s="88" t="n"/>
      <c r="S17" s="88" t="n"/>
      <c r="T17" s="88" t="n"/>
      <c r="U17" s="88" t="n"/>
      <c r="V17" s="88" t="n"/>
      <c r="W17" s="88" t="n"/>
      <c r="X17" s="139" t="n"/>
      <c r="Y17" s="982" t="n"/>
      <c r="Z17" s="5426">
        <f>IF(OR(AND($U$42&lt;$W$43,NOT(NoColor)),AND($U$48,NOT(NoColor))),"Remove highlite.","")</f>
        <v/>
      </c>
      <c r="AA17" s="9411" t="n">
        <v>150000</v>
      </c>
      <c r="AC17" s="8955" t="n"/>
      <c r="AD17" s="8955" t="n"/>
      <c r="AE17" s="5427" t="n">
        <v>75000</v>
      </c>
      <c r="AF17" s="379" t="n"/>
      <c r="AG17" s="5415" t="n"/>
      <c r="AH17" s="11741" t="n"/>
      <c r="AP17" s="1066" t="n"/>
      <c r="AQ17" s="5415" t="n"/>
      <c r="AR17" s="5415" t="n"/>
      <c r="AS17" s="5415" t="n"/>
      <c r="AT17" s="5415" t="n"/>
      <c r="AU17" s="344" t="n"/>
    </row>
    <row r="18" ht="6" customHeight="1" s="7635">
      <c r="A18" s="139" t="n"/>
      <c r="B18" s="2431" t="n"/>
      <c r="C18" s="12297" t="inlineStr">
        <is>
          <t>Complete lines 8 and 9 below. Is line 6 equal to or more than line 9?</t>
        </is>
      </c>
      <c r="D18" s="7839" t="n"/>
      <c r="E18" s="7839" t="n"/>
      <c r="F18" s="7839" t="n"/>
      <c r="G18" s="7839" t="n"/>
      <c r="H18" s="7839" t="n"/>
      <c r="I18" s="7839" t="n"/>
      <c r="J18" s="7839" t="n"/>
      <c r="K18" s="10091" t="n"/>
      <c r="L18" s="88" t="n"/>
      <c r="M18" s="88" t="n"/>
      <c r="N18" s="88" t="n"/>
      <c r="O18" s="12292" t="inlineStr">
        <is>
          <t>You don't owe a penalty. Don't file Form 2210 unless
box E in Part II applies, then file page 1 of Form 2210.</t>
        </is>
      </c>
      <c r="P18" s="7839" t="n"/>
      <c r="Q18" s="7839" t="n"/>
      <c r="R18" s="7839" t="n"/>
      <c r="S18" s="7839" t="n"/>
      <c r="T18" s="7839" t="n"/>
      <c r="U18" s="7839" t="n"/>
      <c r="V18" s="10091" t="n"/>
      <c r="W18" s="88" t="n"/>
      <c r="X18" s="139" t="n"/>
      <c r="Y18" s="343" t="n"/>
      <c r="Z18" s="5415" t="n"/>
      <c r="AA18" s="5428" t="n"/>
      <c r="AB18" s="512" t="n"/>
      <c r="AC18" s="8955" t="n"/>
      <c r="AD18" s="8955" t="n"/>
      <c r="AE18" s="11602" t="n"/>
      <c r="AF18" s="379" t="n"/>
      <c r="AG18" s="5415" t="n"/>
      <c r="AH18" s="11741" t="n"/>
      <c r="AP18" s="1066" t="n"/>
      <c r="AQ18" s="5415" t="n"/>
      <c r="AR18" s="5415" t="n"/>
      <c r="AS18" s="5415" t="n"/>
      <c r="AT18" s="5415" t="n"/>
      <c r="AU18" s="344" t="n"/>
    </row>
    <row r="19" ht="15.75" customHeight="1" s="7635">
      <c r="A19" s="139" t="n"/>
      <c r="B19" s="5429" t="n"/>
      <c r="C19" s="4772" t="n"/>
      <c r="K19" s="7636" t="n"/>
      <c r="L19" s="12293" t="inlineStr">
        <is>
          <t>Yes</t>
        </is>
      </c>
      <c r="N19" s="7636" t="n"/>
      <c r="O19" s="4772" t="n"/>
      <c r="V19" s="7636" t="n"/>
      <c r="W19" s="88" t="n"/>
      <c r="X19" s="139" t="n"/>
      <c r="Y19" s="343" t="n"/>
      <c r="Z19" s="5415" t="n"/>
      <c r="AA19" s="9413">
        <f>IF(File_Marr_Sep&lt;&gt;"",AE17,AA17)</f>
        <v/>
      </c>
      <c r="AC19" s="9397">
        <f>TaxYear-1</f>
        <v/>
      </c>
      <c r="AF19" s="379" t="n"/>
      <c r="AG19" s="5415" t="n"/>
      <c r="AH19" s="11741" t="n"/>
      <c r="AP19" s="1066" t="n"/>
      <c r="AQ19" s="5415" t="n"/>
      <c r="AR19" s="5415" t="n"/>
      <c r="AS19" s="5415" t="n"/>
      <c r="AT19" s="5415" t="n"/>
      <c r="AU19" s="344" t="n"/>
    </row>
    <row r="20" ht="12" customHeight="1" s="7635">
      <c r="A20" s="139" t="n"/>
      <c r="B20" s="5429" t="n"/>
      <c r="C20" s="4772" t="n"/>
      <c r="K20" s="7636" t="n"/>
      <c r="L20" s="88" t="n"/>
      <c r="M20" s="88" t="n"/>
      <c r="N20" s="88" t="n"/>
      <c r="O20" s="4772" t="n"/>
      <c r="V20" s="7636" t="n"/>
      <c r="W20" s="88" t="n"/>
      <c r="X20" s="139" t="n"/>
      <c r="Y20" s="343" t="n"/>
      <c r="Z20" s="9421">
        <f>IF($AC$23="","Enter Adjusted Gross Income for "&amp;TaxYear-1&amp;" &gt;&gt;&gt;","")</f>
        <v/>
      </c>
      <c r="AA20" s="341" t="n"/>
      <c r="AB20" s="733" t="n"/>
      <c r="AC20" s="9399" t="inlineStr">
        <is>
          <t>Adjusted Gross Income</t>
        </is>
      </c>
      <c r="AF20" s="379" t="n"/>
      <c r="AG20" s="5415" t="n"/>
      <c r="AH20" s="12298" t="inlineStr">
        <is>
          <t>* If you’re a household employer, include your household employment taxes on line 2. 
Don’t include household employment taxes if both of the following are true: 
(1) You didn’t have federal income tax withheld from your income, and 
(2) You wouldn’t be required to make estimated tax payments even if the household employment taxes weren't included.</t>
        </is>
      </c>
      <c r="AP20" s="1066" t="n"/>
      <c r="AQ20" s="5415" t="n"/>
      <c r="AR20" s="5415" t="n"/>
      <c r="AS20" s="5415" t="n"/>
      <c r="AT20" s="5415" t="n"/>
      <c r="AU20" s="344" t="n"/>
    </row>
    <row r="21">
      <c r="A21" s="139" t="n"/>
      <c r="B21" s="5429" t="n"/>
      <c r="C21" s="3614" t="n"/>
      <c r="D21" s="7637" t="n"/>
      <c r="E21" s="7637" t="n"/>
      <c r="F21" s="7637" t="n"/>
      <c r="G21" s="7637" t="n"/>
      <c r="H21" s="7637" t="n"/>
      <c r="I21" s="7637" t="n"/>
      <c r="J21" s="7637" t="n"/>
      <c r="K21" s="7638" t="n"/>
      <c r="L21" s="88" t="n"/>
      <c r="M21" s="88" t="n"/>
      <c r="N21" s="88" t="n"/>
      <c r="O21" s="3614" t="n"/>
      <c r="P21" s="7637" t="n"/>
      <c r="Q21" s="7637" t="n"/>
      <c r="R21" s="7637" t="n"/>
      <c r="S21" s="7637" t="n"/>
      <c r="T21" s="7637" t="n"/>
      <c r="U21" s="7637" t="n"/>
      <c r="V21" s="7638" t="n"/>
      <c r="W21" s="88" t="n"/>
      <c r="X21" s="139" t="n"/>
      <c r="Y21" s="343" t="n"/>
      <c r="Z21" s="1066" t="n"/>
      <c r="AA21" s="341" t="n"/>
      <c r="AB21" s="733" t="n"/>
      <c r="AF21" s="379" t="n"/>
      <c r="AG21" s="5415" t="n"/>
      <c r="AH21" s="11741" t="n"/>
      <c r="AP21" s="1066" t="n"/>
      <c r="AQ21" s="5415" t="n"/>
      <c r="AR21" s="5415" t="n"/>
      <c r="AS21" s="5415" t="n"/>
      <c r="AT21" s="5415" t="n"/>
      <c r="AU21" s="344" t="n"/>
    </row>
    <row r="22" ht="13.5" customHeight="1" s="7635" thickBot="1">
      <c r="A22" s="139" t="n"/>
      <c r="B22" s="88" t="n"/>
      <c r="C22" s="88" t="n"/>
      <c r="D22" s="88" t="n"/>
      <c r="E22" s="88" t="n"/>
      <c r="F22" s="12296" t="inlineStr">
        <is>
          <t>No</t>
        </is>
      </c>
      <c r="G22" s="88" t="n"/>
      <c r="H22" s="88" t="n"/>
      <c r="I22" s="88" t="n"/>
      <c r="J22" s="88" t="n"/>
      <c r="K22" s="88" t="n"/>
      <c r="L22" s="88" t="n"/>
      <c r="M22" s="88" t="n"/>
      <c r="N22" s="88" t="n"/>
      <c r="O22" s="88" t="n"/>
      <c r="P22" s="88" t="n"/>
      <c r="Q22" s="88" t="n"/>
      <c r="R22" s="88" t="n"/>
      <c r="S22" s="88" t="n"/>
      <c r="T22" s="88" t="n"/>
      <c r="U22" s="88" t="n"/>
      <c r="V22" s="88" t="n"/>
      <c r="W22" s="88" t="n"/>
      <c r="X22" s="139" t="n"/>
      <c r="Y22" s="343" t="n"/>
      <c r="Z22" s="1066" t="n"/>
      <c r="AA22" s="5430" t="n"/>
      <c r="AB22" s="7980" t="n"/>
      <c r="AC22" s="8848" t="n"/>
      <c r="AD22" s="8848" t="n"/>
      <c r="AE22" s="8848" t="n"/>
      <c r="AF22" s="9436" t="n"/>
      <c r="AG22" s="5415" t="n"/>
      <c r="AH22" s="11741" t="n"/>
      <c r="AP22" s="1066" t="n"/>
      <c r="AQ22" s="5415" t="n"/>
      <c r="AR22" s="5415" t="n"/>
      <c r="AS22" s="5415" t="n"/>
      <c r="AT22" s="5415" t="n"/>
      <c r="AU22" s="344" t="n"/>
    </row>
    <row r="23" ht="16.5" customHeight="1" s="7635" thickBot="1">
      <c r="A23" s="139" t="n"/>
      <c r="B23" s="88" t="n"/>
      <c r="C23" s="88" t="n"/>
      <c r="D23" s="88" t="n"/>
      <c r="E23" s="5432" t="n">
        <v>108.28</v>
      </c>
      <c r="F23" s="7637" t="n"/>
      <c r="G23" s="88" t="n"/>
      <c r="H23" s="88" t="n"/>
      <c r="I23" s="88" t="n"/>
      <c r="J23" s="88" t="n"/>
      <c r="K23" s="88" t="n"/>
      <c r="L23" s="88" t="n"/>
      <c r="M23" s="88" t="n"/>
      <c r="N23" s="88" t="n"/>
      <c r="O23" s="88" t="n"/>
      <c r="P23" s="88" t="n"/>
      <c r="Q23" s="88" t="n"/>
      <c r="R23" s="88" t="n"/>
      <c r="S23" s="88" t="n"/>
      <c r="T23" s="5433" t="n"/>
      <c r="U23" s="88" t="n"/>
      <c r="V23" s="88" t="n"/>
      <c r="W23" s="88" t="n"/>
      <c r="X23" s="139" t="n"/>
      <c r="Y23" s="343" t="n"/>
      <c r="Z23" s="1066" t="n"/>
      <c r="AA23" s="5434">
        <f>IF(Y35&lt;&gt;1,FALSE,IF(AC23&gt;AA19,TRUE,FALSE))</f>
        <v/>
      </c>
      <c r="AB23" s="512">
        <f>IF(Y35&lt;&gt;1,FALSE,AND((OR(AND(AB31&lt;&gt;"",File_Marr_Joint=""),AND(AB31="",File_Marr_Joint&lt;&gt;""))),NOT(AND(AB31&lt;&gt;"",File_Marr_Joint&lt;&gt;""))))</f>
        <v/>
      </c>
      <c r="AC23" s="12295" t="n"/>
      <c r="AD23" s="11797" t="n"/>
      <c r="AE23" s="11798" t="n"/>
      <c r="AF23" s="379" t="n"/>
      <c r="AG23" s="5415" t="n"/>
      <c r="AH23" s="11741" t="n"/>
      <c r="AP23" s="1066" t="n"/>
      <c r="AQ23" s="5415" t="n"/>
      <c r="AR23" s="5415" t="n"/>
      <c r="AS23" s="5415" t="n"/>
      <c r="AT23" s="5415" t="n"/>
      <c r="AU23" s="344" t="n"/>
    </row>
    <row r="24" ht="6" customHeight="1" s="7635">
      <c r="A24" s="139" t="n"/>
      <c r="B24" s="2431" t="n"/>
      <c r="C24" s="12299" t="inlineStr">
        <is>
          <t>You may owe a penalty. Does any box in Part II below apply?</t>
        </is>
      </c>
      <c r="D24" s="7839" t="n"/>
      <c r="E24" s="7839" t="n"/>
      <c r="F24" s="7839" t="n"/>
      <c r="G24" s="7839" t="n"/>
      <c r="H24" s="7839" t="n"/>
      <c r="I24" s="7839" t="n"/>
      <c r="J24" s="7839" t="n"/>
      <c r="K24" s="10091" t="n"/>
      <c r="L24" s="12300" t="inlineStr">
        <is>
          <t>Yes</t>
        </is>
      </c>
      <c r="N24" s="7636" t="n"/>
      <c r="O24" s="12292" t="inlineStr">
        <is>
          <t>You must file Form 2210. Does box B, C, or D in Part II apply?</t>
        </is>
      </c>
      <c r="P24" s="7839" t="n"/>
      <c r="Q24" s="7839" t="n"/>
      <c r="R24" s="7839" t="n"/>
      <c r="S24" s="7839" t="n"/>
      <c r="T24" s="7839" t="n"/>
      <c r="U24" s="7839" t="n"/>
      <c r="V24" s="10091" t="n"/>
      <c r="W24" s="88" t="n"/>
      <c r="X24" s="139" t="n"/>
      <c r="Y24" s="343" t="n"/>
      <c r="Z24" s="5415" t="n"/>
      <c r="AA24" s="5428" t="n"/>
      <c r="AB24" s="11602" t="n"/>
      <c r="AC24" s="8956" t="n"/>
      <c r="AD24" s="8956" t="n"/>
      <c r="AE24" s="11602" t="n"/>
      <c r="AF24" s="379" t="n"/>
      <c r="AG24" s="5415" t="n"/>
      <c r="AH24" s="11741" t="n"/>
      <c r="AP24" s="1066" t="n"/>
      <c r="AQ24" s="5415" t="n"/>
      <c r="AR24" s="5415" t="n"/>
      <c r="AS24" s="5415" t="n"/>
      <c r="AT24" s="5415" t="n"/>
      <c r="AU24" s="344" t="n"/>
    </row>
    <row r="25" ht="14.25" customHeight="1" s="7635">
      <c r="A25" s="139" t="n"/>
      <c r="B25" s="5429" t="n"/>
      <c r="C25" s="4772" t="n"/>
      <c r="K25" s="7636" t="n"/>
      <c r="L25" s="4772" t="n"/>
      <c r="N25" s="7636" t="n"/>
      <c r="O25" s="4772" t="n"/>
      <c r="V25" s="7636" t="n"/>
      <c r="W25" s="5425" t="n"/>
      <c r="X25" s="139" t="n"/>
      <c r="Y25" s="343" t="n"/>
      <c r="Z25" s="5415" t="n"/>
      <c r="AA25" s="5428" t="n">
        <v>1.1</v>
      </c>
      <c r="AB25" s="8296">
        <f>TaxYear-1</f>
        <v/>
      </c>
      <c r="AF25" s="379" t="n"/>
      <c r="AG25" s="5415" t="n"/>
      <c r="AH25" s="11741" t="n"/>
      <c r="AP25" s="1066" t="n"/>
      <c r="AQ25" s="5415" t="n"/>
      <c r="AR25" s="5415" t="n"/>
      <c r="AS25" s="5415" t="n"/>
      <c r="AT25" s="5415" t="n"/>
      <c r="AU25" s="344" t="n"/>
    </row>
    <row r="26" ht="6.75" customHeight="1" s="7635">
      <c r="A26" s="139" t="n"/>
      <c r="B26" s="5429" t="n"/>
      <c r="C26" s="3614" t="n"/>
      <c r="D26" s="7637" t="n"/>
      <c r="E26" s="7637" t="n"/>
      <c r="F26" s="7637" t="n"/>
      <c r="G26" s="7637" t="n"/>
      <c r="H26" s="7637" t="n"/>
      <c r="I26" s="7637" t="n"/>
      <c r="J26" s="7637" t="n"/>
      <c r="K26" s="7638" t="n"/>
      <c r="L26" s="88" t="n"/>
      <c r="M26" s="88" t="n"/>
      <c r="N26" s="88" t="n"/>
      <c r="O26" s="3614" t="n"/>
      <c r="P26" s="7637" t="n"/>
      <c r="Q26" s="7637" t="n"/>
      <c r="R26" s="7637" t="n"/>
      <c r="S26" s="7637" t="n"/>
      <c r="T26" s="7637" t="n"/>
      <c r="U26" s="7637" t="n"/>
      <c r="V26" s="7638" t="n"/>
      <c r="W26" s="88" t="n"/>
      <c r="X26" s="139" t="n"/>
      <c r="Y26" s="343" t="n"/>
      <c r="Z26" s="5415" t="n"/>
      <c r="AA26" s="341" t="n"/>
      <c r="AF26" s="379" t="n"/>
      <c r="AG26" s="5415" t="n"/>
      <c r="AH26" s="11741" t="n"/>
      <c r="AP26" s="1066" t="n"/>
      <c r="AQ26" s="5415" t="n"/>
      <c r="AR26" s="5415" t="n"/>
      <c r="AS26" s="5415" t="n"/>
      <c r="AT26" s="5415" t="n"/>
      <c r="AU26" s="344" t="n"/>
    </row>
    <row r="27" ht="6.75" customHeight="1" s="7635">
      <c r="A27" s="139" t="n"/>
      <c r="B27" s="88" t="n"/>
      <c r="C27" s="88" t="n"/>
      <c r="D27" s="88" t="n"/>
      <c r="E27" s="88" t="n"/>
      <c r="F27" s="12296" t="inlineStr">
        <is>
          <t>No</t>
        </is>
      </c>
      <c r="G27" s="88" t="n"/>
      <c r="H27" s="88" t="n"/>
      <c r="I27" s="88" t="n"/>
      <c r="J27" s="88" t="n"/>
      <c r="K27" s="88" t="n"/>
      <c r="L27" s="88" t="n"/>
      <c r="M27" s="88" t="n"/>
      <c r="N27" s="88" t="n"/>
      <c r="O27" s="88" t="n"/>
      <c r="P27" s="7352" t="inlineStr">
        <is>
          <t>No</t>
        </is>
      </c>
      <c r="Q27" s="9302" t="inlineStr">
        <is>
          <t xml:space="preserve">Yes </t>
        </is>
      </c>
      <c r="R27" s="7839" t="n"/>
      <c r="S27" s="88" t="n"/>
      <c r="T27" s="88" t="n"/>
      <c r="U27" s="88" t="n"/>
      <c r="V27" s="88" t="n"/>
      <c r="W27" s="88" t="n"/>
      <c r="X27" s="139" t="n"/>
      <c r="Y27" s="343" t="n"/>
      <c r="Z27" s="5415" t="n"/>
      <c r="AA27" s="5435" t="n"/>
      <c r="AF27" s="379" t="n"/>
      <c r="AG27" s="5415" t="n"/>
      <c r="AH27" s="11741" t="n"/>
      <c r="AP27" s="1066" t="n"/>
      <c r="AQ27" s="5415" t="n"/>
      <c r="AR27" s="5415" t="n"/>
      <c r="AS27" s="5415" t="n"/>
      <c r="AT27" s="5415" t="n"/>
      <c r="AU27" s="344" t="n"/>
    </row>
    <row r="28" ht="16.5" customHeight="1" s="7635">
      <c r="A28" s="139" t="n"/>
      <c r="B28" s="88" t="n"/>
      <c r="C28" s="88" t="n"/>
      <c r="D28" s="88" t="n"/>
      <c r="E28" s="88" t="n"/>
      <c r="G28" s="88" t="n"/>
      <c r="H28" s="88" t="n"/>
      <c r="I28" s="88" t="n"/>
      <c r="J28" s="88" t="n"/>
      <c r="K28" s="88" t="n"/>
      <c r="L28" s="88" t="n"/>
      <c r="M28" s="88" t="n"/>
      <c r="N28" s="88" t="n"/>
      <c r="O28" s="88" t="n"/>
      <c r="S28" s="12301" t="inlineStr">
        <is>
          <t>You must figure your penalty.</t>
        </is>
      </c>
      <c r="T28" s="8412" t="n"/>
      <c r="U28" s="8412" t="n"/>
      <c r="V28" s="11734" t="n"/>
      <c r="W28" s="88" t="n"/>
      <c r="X28" s="139" t="n"/>
      <c r="Y28" s="343" t="n"/>
      <c r="Z28" s="5415" t="n"/>
      <c r="AA28" s="341" t="n"/>
      <c r="AB28" s="7914" t="inlineStr">
        <is>
          <t>Filing Status</t>
        </is>
      </c>
      <c r="AF28" s="379" t="n"/>
      <c r="AG28" s="5415" t="n"/>
      <c r="AH28" s="11741" t="n"/>
      <c r="AP28" s="1066" t="n"/>
      <c r="AQ28" s="5415" t="n"/>
      <c r="AR28" s="5415" t="n"/>
      <c r="AS28" s="5415" t="n"/>
      <c r="AT28" s="5415" t="n"/>
      <c r="AU28" s="344" t="n"/>
    </row>
    <row r="29" ht="6.75" customHeight="1" s="7635" thickBot="1">
      <c r="A29" s="139" t="n"/>
      <c r="B29" s="88" t="n"/>
      <c r="C29" s="88" t="n"/>
      <c r="D29" s="88" t="n"/>
      <c r="E29" s="88" t="n"/>
      <c r="F29" s="7637" t="n"/>
      <c r="G29" s="88" t="n"/>
      <c r="H29" s="88" t="n"/>
      <c r="I29" s="88" t="n"/>
      <c r="J29" s="88" t="n"/>
      <c r="K29" s="88" t="n"/>
      <c r="L29" s="88" t="n"/>
      <c r="M29" s="88" t="n"/>
      <c r="N29" s="88" t="n"/>
      <c r="O29" s="2557" t="n"/>
      <c r="P29" s="88" t="n"/>
      <c r="Q29" s="88" t="n"/>
      <c r="R29" s="88" t="n"/>
      <c r="S29" s="88" t="n"/>
      <c r="T29" s="88" t="n"/>
      <c r="U29" s="88" t="n"/>
      <c r="V29" s="88" t="n"/>
      <c r="W29" s="88" t="n"/>
      <c r="X29" s="139" t="n"/>
      <c r="Y29" s="343" t="n"/>
      <c r="Z29" s="5415" t="n"/>
      <c r="AA29" s="341" t="n"/>
      <c r="AB29" s="7914" t="n"/>
      <c r="AC29" s="7914" t="n"/>
      <c r="AD29" s="7914" t="n"/>
      <c r="AE29" s="7914" t="n"/>
      <c r="AF29" s="379" t="n"/>
      <c r="AG29" s="5415" t="n"/>
      <c r="AH29" s="11743" t="n"/>
      <c r="AI29" s="8848" t="n"/>
      <c r="AJ29" s="8848" t="n"/>
      <c r="AK29" s="8848" t="n"/>
      <c r="AL29" s="8848" t="n"/>
      <c r="AM29" s="8848" t="n"/>
      <c r="AN29" s="8848" t="n"/>
      <c r="AO29" s="8848" t="n"/>
      <c r="AP29" s="2627" t="n"/>
      <c r="AQ29" s="5415" t="n"/>
      <c r="AR29" s="5415" t="n"/>
      <c r="AS29" s="5415" t="n"/>
      <c r="AT29" s="5415" t="n"/>
      <c r="AU29" s="344" t="n"/>
    </row>
    <row r="30" ht="21.75" customHeight="1" s="7635" thickBot="1">
      <c r="A30" s="139" t="n"/>
      <c r="B30" s="2431" t="n"/>
      <c r="C30" s="12302" t="inlineStr">
        <is>
          <t>Don't file Form 2210. You aren't required to figure
your penalty because the IRS will figure it and send
you a bill for any unpaid amount. If you want to figure
it, you may use Part III as a worksheet and enter
your penalty amount on your tax return, but don't
file Form 2210.</t>
        </is>
      </c>
      <c r="D30" s="7839" t="n"/>
      <c r="E30" s="7839" t="n"/>
      <c r="F30" s="7839" t="n"/>
      <c r="G30" s="7839" t="n"/>
      <c r="H30" s="7839" t="n"/>
      <c r="I30" s="7839" t="n"/>
      <c r="J30" s="7839" t="n"/>
      <c r="K30" s="10091" t="n"/>
      <c r="L30" s="88" t="n"/>
      <c r="M30" s="88" t="n"/>
      <c r="N30" s="12303" t="inlineStr">
        <is>
          <t>You aren't required to figure your penalty because the IRS
will figure it and send you a bill for any unpaid amount. If
you want to figure it, you may use Part III as a worksheet
and enter your penalty amount on your tax return, but file only page 1 of Form 2210.</t>
        </is>
      </c>
      <c r="O30" s="7839" t="n"/>
      <c r="P30" s="7839" t="n"/>
      <c r="Q30" s="7839" t="n"/>
      <c r="R30" s="7839" t="n"/>
      <c r="S30" s="7839" t="n"/>
      <c r="T30" s="7839" t="n"/>
      <c r="U30" s="7839" t="n"/>
      <c r="V30" s="10091" t="n"/>
      <c r="W30" s="88" t="n"/>
      <c r="X30" s="139" t="n"/>
      <c r="Y30" s="1318">
        <f>IF(AB30&lt;&gt;"",1,0)</f>
        <v/>
      </c>
      <c r="Z30" s="9325">
        <f>IF(Y35=0,"Indicate filing status for tax year "&amp;TaxYear-1&amp;" &gt;&gt;&gt;","")</f>
        <v/>
      </c>
      <c r="AA30" s="341" t="n"/>
      <c r="AB30" s="277" t="n"/>
      <c r="AC30" s="344" t="inlineStr">
        <is>
          <t>Single</t>
        </is>
      </c>
      <c r="AD30" s="344" t="n"/>
      <c r="AE30" s="11602" t="n"/>
      <c r="AF30" s="379" t="n"/>
      <c r="AG30" s="5415" t="n"/>
      <c r="AH30" s="5415" t="n"/>
      <c r="AI30" s="5415" t="n"/>
      <c r="AJ30" s="5415" t="n"/>
      <c r="AK30" s="5415" t="n"/>
      <c r="AL30" s="5415" t="n"/>
      <c r="AM30" s="5415" t="n"/>
      <c r="AN30" s="5415" t="n"/>
      <c r="AO30" s="5415" t="n"/>
      <c r="AP30" s="5415" t="n"/>
      <c r="AQ30" s="5415" t="n"/>
      <c r="AR30" s="5415" t="n"/>
      <c r="AS30" s="5415" t="n"/>
      <c r="AT30" s="5415" t="n"/>
      <c r="AU30" s="344" t="n"/>
    </row>
    <row r="31" ht="21.75" customHeight="1" s="7635" thickBot="1">
      <c r="A31" s="139" t="n"/>
      <c r="B31" s="5429" t="n"/>
      <c r="C31" s="4772" t="n"/>
      <c r="K31" s="7636" t="n"/>
      <c r="L31" s="88" t="n"/>
      <c r="M31" s="88" t="n"/>
      <c r="N31" s="4772" t="n"/>
      <c r="V31" s="7636" t="n"/>
      <c r="W31" s="88" t="n"/>
      <c r="X31" s="139" t="n"/>
      <c r="Y31" s="1318">
        <f>IF(AB31&lt;&gt;"",1,0)</f>
        <v/>
      </c>
      <c r="Z31" s="1066" t="n"/>
      <c r="AA31" s="341" t="n"/>
      <c r="AB31" s="277" t="n"/>
      <c r="AC31" s="344" t="inlineStr">
        <is>
          <t>Married Filing Jointly</t>
        </is>
      </c>
      <c r="AD31" s="344" t="n"/>
      <c r="AE31" s="11602" t="n"/>
      <c r="AF31" s="379" t="n"/>
      <c r="AG31" s="5415" t="n"/>
      <c r="AH31" s="12304" t="inlineStr">
        <is>
          <t>Line 3 -- Subtract refundable credits listed below:</t>
        </is>
      </c>
      <c r="AI31" s="12281" t="n"/>
      <c r="AJ31" s="12281" t="n"/>
      <c r="AK31" s="12281" t="n"/>
      <c r="AL31" s="12281" t="n"/>
      <c r="AM31" s="12281" t="n"/>
      <c r="AN31" s="12281" t="n"/>
      <c r="AO31" s="12281" t="n"/>
      <c r="AP31" s="12282" t="n"/>
      <c r="AQ31" s="5415" t="n"/>
      <c r="AR31" s="5415" t="n"/>
      <c r="AS31" s="5415" t="n"/>
      <c r="AT31" s="5415" t="n"/>
      <c r="AU31" s="344" t="n"/>
    </row>
    <row r="32" ht="24.75" customHeight="1" s="7635" thickBot="1">
      <c r="A32" s="139" t="n"/>
      <c r="B32" s="5429" t="n"/>
      <c r="C32" s="4772" t="n"/>
      <c r="K32" s="7636" t="n"/>
      <c r="L32" s="88" t="n"/>
      <c r="M32" s="88" t="n"/>
      <c r="N32" s="4772" t="n"/>
      <c r="V32" s="7636" t="n"/>
      <c r="W32" s="88" t="n"/>
      <c r="X32" s="139" t="n"/>
      <c r="Y32" s="1318">
        <f>IF(AB32&lt;&gt;"",1,0)</f>
        <v/>
      </c>
      <c r="Z32" s="5436" t="n"/>
      <c r="AA32" s="341" t="n"/>
      <c r="AB32" s="277" t="n"/>
      <c r="AC32" s="344" t="inlineStr">
        <is>
          <t>Head of Household</t>
        </is>
      </c>
      <c r="AD32" s="344" t="n"/>
      <c r="AE32" s="11602" t="n"/>
      <c r="AF32" s="379" t="n"/>
      <c r="AG32" s="5415" t="n"/>
      <c r="AH32" s="12305">
        <f>"Subtract the total of the following refundable credits, if any, that you claimed on your "&amp;TaxYear-1&amp;" tax return:"</f>
        <v/>
      </c>
      <c r="AI32" s="830" t="n"/>
      <c r="AJ32" s="830" t="n"/>
      <c r="AK32" s="830" t="n"/>
      <c r="AL32" s="830" t="n"/>
      <c r="AM32" s="830" t="n"/>
      <c r="AN32" s="830" t="n"/>
      <c r="AO32" s="830" t="n"/>
      <c r="AP32" s="12285" t="n"/>
      <c r="AQ32" s="5415" t="n"/>
      <c r="AR32" s="5415" t="n"/>
      <c r="AS32" s="5415" t="n"/>
      <c r="AT32" s="5415" t="n"/>
      <c r="AU32" s="344" t="n"/>
    </row>
    <row r="33" ht="16.5" customHeight="1" s="7635" thickBot="1">
      <c r="A33" s="139" t="n"/>
      <c r="B33" s="5429" t="n"/>
      <c r="C33" s="3614" t="n"/>
      <c r="D33" s="7637" t="n"/>
      <c r="E33" s="7637" t="n"/>
      <c r="F33" s="7637" t="n"/>
      <c r="G33" s="7637" t="n"/>
      <c r="H33" s="7637" t="n"/>
      <c r="I33" s="7637" t="n"/>
      <c r="J33" s="7637" t="n"/>
      <c r="K33" s="7638" t="n"/>
      <c r="L33" s="88" t="n"/>
      <c r="M33" s="88" t="n"/>
      <c r="N33" s="3614" t="n"/>
      <c r="O33" s="7637" t="n"/>
      <c r="P33" s="7637" t="n"/>
      <c r="Q33" s="7637" t="n"/>
      <c r="R33" s="7637" t="n"/>
      <c r="S33" s="7637" t="n"/>
      <c r="T33" s="7637" t="n"/>
      <c r="U33" s="7637" t="n"/>
      <c r="V33" s="7638" t="n"/>
      <c r="W33" s="88" t="n"/>
      <c r="X33" s="139" t="n"/>
      <c r="Y33" s="1318">
        <f>IF(AB33&lt;&gt;"",1,0)</f>
        <v/>
      </c>
      <c r="Z33" s="5436" t="n"/>
      <c r="AA33" s="341" t="n"/>
      <c r="AB33" s="277" t="n"/>
      <c r="AC33" s="344" t="inlineStr">
        <is>
          <t>Qualifying Widow(er)</t>
        </is>
      </c>
      <c r="AD33" s="344" t="n"/>
      <c r="AE33" s="11602" t="n"/>
      <c r="AF33" s="379" t="n"/>
      <c r="AG33" s="5415" t="n"/>
      <c r="AH33" s="5437" t="inlineStr">
        <is>
          <t>h</t>
        </is>
      </c>
      <c r="AI33" s="11602" t="inlineStr">
        <is>
          <t>Earned income credit.</t>
        </is>
      </c>
      <c r="AJ33" s="9086" t="n"/>
      <c r="AK33" s="9086" t="n"/>
      <c r="AL33" s="9086" t="n"/>
      <c r="AM33" s="9086" t="n"/>
      <c r="AN33" s="9086" t="n"/>
      <c r="AO33" s="9086" t="n"/>
      <c r="AP33" s="809" t="n"/>
      <c r="AQ33" s="5415" t="n"/>
      <c r="AR33" s="5415" t="n"/>
      <c r="AS33" s="5415" t="n"/>
      <c r="AT33" s="5415" t="n"/>
      <c r="AU33" s="344" t="n"/>
    </row>
    <row r="34" ht="13.5" customHeight="1" s="7635" thickBot="1">
      <c r="A34" s="139" t="n"/>
      <c r="B34" s="88" t="n"/>
      <c r="C34" s="88" t="n"/>
      <c r="D34" s="88" t="n"/>
      <c r="E34" s="88" t="n"/>
      <c r="F34" s="88" t="n"/>
      <c r="G34" s="88" t="n"/>
      <c r="H34" s="88" t="n"/>
      <c r="I34" s="4603" t="n"/>
      <c r="J34" s="4603" t="n"/>
      <c r="K34" s="4603" t="n"/>
      <c r="L34" s="7453" t="n"/>
      <c r="M34" s="2701" t="n"/>
      <c r="N34" s="7453" t="n"/>
      <c r="O34" s="88" t="n"/>
      <c r="P34" s="88" t="n"/>
      <c r="Q34" s="88" t="n"/>
      <c r="R34" s="88" t="n"/>
      <c r="S34" s="88" t="n"/>
      <c r="T34" s="88" t="n"/>
      <c r="U34" s="88" t="n"/>
      <c r="V34" s="88" t="n"/>
      <c r="W34" s="88" t="n"/>
      <c r="X34" s="139" t="n"/>
      <c r="Y34" s="1318">
        <f>IF(AB34&lt;&gt;"",1,0)</f>
        <v/>
      </c>
      <c r="Z34" s="5438" t="inlineStr">
        <is>
          <t xml:space="preserve"> </t>
        </is>
      </c>
      <c r="AA34" s="341" t="n"/>
      <c r="AB34" s="277" t="n"/>
      <c r="AC34" s="344" t="inlineStr">
        <is>
          <t>Married Filing Separately</t>
        </is>
      </c>
      <c r="AD34" s="344" t="n"/>
      <c r="AE34" s="11602" t="n"/>
      <c r="AF34" s="379" t="n"/>
      <c r="AG34" s="5415" t="n"/>
      <c r="AH34" s="5437" t="inlineStr">
        <is>
          <t>h</t>
        </is>
      </c>
      <c r="AI34" s="11602" t="inlineStr">
        <is>
          <t>Additional child tax credit.</t>
        </is>
      </c>
      <c r="AJ34" s="11602" t="n"/>
      <c r="AK34" s="11602" t="n"/>
      <c r="AL34" s="11602" t="n"/>
      <c r="AM34" s="11602" t="n"/>
      <c r="AN34" s="11602" t="n"/>
      <c r="AO34" s="11602" t="n"/>
      <c r="AP34" s="379" t="n"/>
      <c r="AQ34" s="5415" t="n"/>
      <c r="AR34" s="5415" t="n"/>
      <c r="AS34" s="5415" t="n"/>
      <c r="AT34" s="5415" t="n"/>
      <c r="AU34" s="344" t="n"/>
    </row>
    <row r="35" ht="16.5" customHeight="1" s="7635">
      <c r="A35" s="139" t="n"/>
      <c r="B35" s="5439" t="inlineStr">
        <is>
          <t xml:space="preserve"> Part I</t>
        </is>
      </c>
      <c r="C35" s="5440" t="n"/>
      <c r="D35" s="5440" t="n"/>
      <c r="E35" s="5441" t="inlineStr">
        <is>
          <t>Required Annual Payment</t>
        </is>
      </c>
      <c r="F35" s="5442" t="n"/>
      <c r="G35" s="5442" t="n"/>
      <c r="H35" s="5442" t="n"/>
      <c r="I35" s="5442" t="n"/>
      <c r="J35" s="5442" t="n"/>
      <c r="K35" s="5442" t="n"/>
      <c r="L35" s="5442" t="n"/>
      <c r="M35" s="5442" t="n"/>
      <c r="N35" s="5442" t="n"/>
      <c r="O35" s="5442" t="n"/>
      <c r="P35" s="5442" t="n"/>
      <c r="Q35" s="5442" t="n"/>
      <c r="R35" s="5442" t="n"/>
      <c r="S35" s="5442" t="n"/>
      <c r="T35" s="5442" t="n"/>
      <c r="U35" s="5442" t="n"/>
      <c r="V35" s="5442" t="n"/>
      <c r="W35" s="5442" t="n"/>
      <c r="X35" s="144" t="n"/>
      <c r="Y35" s="3787">
        <f>SUM(Y30:Y34)</f>
        <v/>
      </c>
      <c r="Z35" s="5415" t="n"/>
      <c r="AA35" s="341" t="n"/>
      <c r="AB35" s="11602" t="n"/>
      <c r="AC35" s="11602" t="n"/>
      <c r="AD35" s="11602" t="n"/>
      <c r="AE35" s="11602" t="n"/>
      <c r="AF35" s="379" t="n"/>
      <c r="AG35" s="5415" t="n"/>
      <c r="AH35" s="5437" t="inlineStr">
        <is>
          <t>h</t>
        </is>
      </c>
      <c r="AI35" s="7299" t="inlineStr">
        <is>
          <t>Refundable part of the American opportunity credit (Form 8863, line 8).</t>
        </is>
      </c>
      <c r="AJ35" s="11602" t="n"/>
      <c r="AK35" s="11602" t="n"/>
      <c r="AL35" s="11602" t="n"/>
      <c r="AM35" s="11602" t="n"/>
      <c r="AN35" s="11602" t="n"/>
      <c r="AO35" s="11602" t="n"/>
      <c r="AP35" s="379" t="n"/>
      <c r="AQ35" s="5415" t="n"/>
      <c r="AR35" s="5415" t="n"/>
      <c r="AS35" s="5415" t="n"/>
      <c r="AT35" s="5415" t="n"/>
      <c r="AU35" s="344" t="n"/>
    </row>
    <row r="36" ht="13.5" customHeight="1" s="7635" thickBot="1">
      <c r="A36" s="139" t="n"/>
      <c r="B36" s="182" t="n"/>
      <c r="C36" s="228" t="n">
        <v>1</v>
      </c>
      <c r="D36" s="182">
        <f>"Enter your "&amp;TaxYear&amp;" tax after credits from Form 1040, 1040-SR, or 1040-NR, line 22. (See the"</f>
        <v/>
      </c>
      <c r="E36" s="182" t="n"/>
      <c r="F36" s="182" t="n"/>
      <c r="G36" s="182" t="n"/>
      <c r="H36" s="182" t="n"/>
      <c r="I36" s="182" t="n"/>
      <c r="J36" s="182" t="n"/>
      <c r="K36" s="182" t="n"/>
      <c r="L36" s="182" t="n"/>
      <c r="M36" s="182" t="n"/>
      <c r="N36" s="182" t="n"/>
      <c r="O36" s="182" t="n"/>
      <c r="P36" s="182" t="n"/>
      <c r="Q36" s="182" t="n"/>
      <c r="R36" s="182" t="n"/>
      <c r="S36" s="182" t="n"/>
      <c r="T36" s="5443" t="n"/>
      <c r="U36" s="9460" t="n"/>
      <c r="V36" s="7839" t="n"/>
      <c r="W36" s="7839" t="n"/>
      <c r="X36" s="144" t="n"/>
      <c r="Y36" s="505" t="n"/>
      <c r="Z36" s="5444" t="inlineStr">
        <is>
          <t>Overrides</t>
        </is>
      </c>
      <c r="AA36" s="341" t="n"/>
      <c r="AB36" s="11602" t="n"/>
      <c r="AC36" s="11602" t="n"/>
      <c r="AD36" s="11602" t="n"/>
      <c r="AE36" s="11602" t="n"/>
      <c r="AF36" s="379" t="n"/>
      <c r="AG36" s="5415" t="n"/>
      <c r="AH36" s="5437" t="inlineStr">
        <is>
          <t>h</t>
        </is>
      </c>
      <c r="AI36" s="344" t="inlineStr">
        <is>
          <t>Premium tax credit (Form 8962).</t>
        </is>
      </c>
      <c r="AJ36" s="11602" t="n"/>
      <c r="AK36" s="11602" t="n"/>
      <c r="AL36" s="11602" t="n"/>
      <c r="AM36" s="11602" t="n"/>
      <c r="AN36" s="11602" t="n"/>
      <c r="AO36" s="11602" t="n"/>
      <c r="AP36" s="379" t="n"/>
      <c r="AQ36" s="5415" t="n"/>
      <c r="AR36" s="5415" t="n"/>
      <c r="AS36" s="5415" t="n"/>
      <c r="AT36" s="5415" t="n"/>
      <c r="AU36" s="344" t="n"/>
    </row>
    <row r="37" ht="13.5" customHeight="1" s="7635" thickBot="1">
      <c r="A37" s="139" t="n"/>
      <c r="B37" s="182" t="n"/>
      <c r="C37" s="228" t="n"/>
      <c r="D37" s="2617" t="inlineStr">
        <is>
          <t>instructions if not filing Form 1040.)</t>
        </is>
      </c>
      <c r="E37" s="182" t="n"/>
      <c r="F37" s="182" t="n"/>
      <c r="G37" s="182" t="n"/>
      <c r="H37" s="182" t="n"/>
      <c r="I37" s="182" t="n"/>
      <c r="J37" s="182" t="n"/>
      <c r="K37" s="182" t="n"/>
      <c r="L37" s="182" t="n"/>
      <c r="M37" s="182" t="n"/>
      <c r="N37" s="182" t="n"/>
      <c r="O37" s="182" t="n"/>
      <c r="P37" s="182" t="n"/>
      <c r="Q37" s="182" t="n"/>
      <c r="R37" s="182" t="n"/>
      <c r="S37" s="5445" t="inlineStr">
        <is>
          <t xml:space="preserve">.   .   .   .   .   .   .   .   .   .   .   .   .   .   .   .   .   .   .   .   .   .   .   .   .   . </t>
        </is>
      </c>
      <c r="T37" s="5446" t="inlineStr">
        <is>
          <t>1</t>
        </is>
      </c>
      <c r="U37" s="8837">
        <f>IF(Z37&lt;&gt;"",ROUND(Z37,0),'1040'!AL102)</f>
        <v/>
      </c>
      <c r="V37" s="7637" t="n"/>
      <c r="W37" s="7637" t="n"/>
      <c r="X37" s="144" t="n"/>
      <c r="Y37" s="505" t="n"/>
      <c r="Z37" s="992" t="n"/>
      <c r="AA37" s="341" t="n"/>
      <c r="AB37" s="11602" t="n"/>
      <c r="AC37" s="11602" t="n"/>
      <c r="AD37" s="11602" t="n"/>
      <c r="AE37" s="11602" t="n"/>
      <c r="AF37" s="379" t="n"/>
      <c r="AG37" s="5415" t="n"/>
      <c r="AH37" s="5437" t="inlineStr">
        <is>
          <t>h</t>
        </is>
      </c>
      <c r="AI37" s="344" t="inlineStr">
        <is>
          <t>Credit for federal tax paid on fuels.</t>
        </is>
      </c>
      <c r="AJ37" s="11602" t="n"/>
      <c r="AK37" s="11602" t="n"/>
      <c r="AL37" s="11602" t="n"/>
      <c r="AM37" s="11602" t="n"/>
      <c r="AN37" s="11602" t="n"/>
      <c r="AO37" s="11602" t="n"/>
      <c r="AP37" s="379" t="n"/>
      <c r="AQ37" s="5415" t="n"/>
      <c r="AR37" s="5415" t="n"/>
      <c r="AS37" s="5415" t="n"/>
      <c r="AT37" s="5415" t="n"/>
      <c r="AU37" s="344" t="n"/>
    </row>
    <row r="38" ht="13.5" customHeight="1" s="7635" thickBot="1">
      <c r="A38" s="139" t="n"/>
      <c r="B38" s="88" t="n"/>
      <c r="C38" s="228" t="n">
        <v>2</v>
      </c>
      <c r="D38" s="11403" t="inlineStr">
        <is>
          <t>Other taxes, including self-employment tax and, if applicable, Additional Medicare Tax and/or Net</t>
        </is>
      </c>
      <c r="E38" s="88" t="n"/>
      <c r="F38" s="88" t="n"/>
      <c r="G38" s="88" t="n"/>
      <c r="H38" s="88" t="n"/>
      <c r="I38" s="88" t="n"/>
      <c r="J38" s="88" t="n"/>
      <c r="K38" s="88" t="n"/>
      <c r="L38" s="88" t="n"/>
      <c r="M38" s="88" t="n"/>
      <c r="N38" s="88" t="n"/>
      <c r="O38" s="88" t="n"/>
      <c r="P38" s="88" t="n"/>
      <c r="Q38" s="88" t="n"/>
      <c r="R38" s="88" t="n"/>
      <c r="S38" s="88" t="n"/>
      <c r="T38" s="9460" t="n"/>
      <c r="U38" s="9377">
        <f>SUM(SelfEmploymentTax,'Sch. 2'!AD43,'Sch. 2'!AD44,'Sch. 2'!AD46,'Sch. 2'!AD47,'Sch. 2'!AD50,'Sch. 2'!AD51,'Sch. 2'!AD52,'Sch. 2'!Z59,'Sch. 2'!Z62,'Sch. 2'!Z64,'Sch. 2'!Z65,'Sch. 2'!Z67,'Sch. 2'!Z69,'Sch. 2'!Z71,'Sch. 2'!Z73,'Sch. 2'!Z74,'Sch. 2'!Z76,'Sch. 2'!Z86,'Sch. 2'!AD88)</f>
        <v/>
      </c>
      <c r="V38" s="7839" t="n"/>
      <c r="W38" s="7839" t="n"/>
      <c r="X38" s="139" t="n"/>
      <c r="Y38" s="343" t="n"/>
      <c r="Z38" s="5415" t="n"/>
      <c r="AA38" s="347" t="n"/>
      <c r="AB38" s="380" t="n"/>
      <c r="AC38" s="9457">
        <f>AND(AC8&lt;&gt;"",AC14&lt;&gt;"",AC23&lt;&gt;"",Y35=1)</f>
        <v/>
      </c>
      <c r="AD38" s="8848" t="n"/>
      <c r="AE38" s="8848" t="n"/>
      <c r="AF38" s="381" t="n"/>
      <c r="AG38" s="5415" t="n"/>
      <c r="AH38" s="5437" t="inlineStr">
        <is>
          <t>h</t>
        </is>
      </c>
      <c r="AI38" s="344" t="inlineStr">
        <is>
          <t xml:space="preserve">Qualified sick and family leave credits from Schedule(s) H </t>
        </is>
      </c>
      <c r="AJ38" s="11602" t="n"/>
      <c r="AK38" s="11602" t="n"/>
      <c r="AL38" s="11602" t="n"/>
      <c r="AM38" s="11602" t="n"/>
      <c r="AN38" s="11602" t="n"/>
      <c r="AO38" s="11602" t="n"/>
      <c r="AP38" s="379" t="n"/>
      <c r="AQ38" s="5415" t="n"/>
      <c r="AR38" s="5415" t="n"/>
      <c r="AS38" s="5415" t="n"/>
      <c r="AT38" s="5415" t="n"/>
      <c r="AU38" s="344" t="n"/>
    </row>
    <row r="39" ht="13.5" customHeight="1" s="7635" thickBot="1">
      <c r="A39" s="139" t="n"/>
      <c r="B39" s="182" t="n"/>
      <c r="C39" s="2975" t="n"/>
      <c r="D39" s="11403" t="inlineStr">
        <is>
          <t>Investment Income Tax (see instructions)</t>
        </is>
      </c>
      <c r="E39" s="182" t="n"/>
      <c r="F39" s="182" t="n"/>
      <c r="G39" s="182" t="n"/>
      <c r="H39" s="182" t="n"/>
      <c r="I39" s="182" t="n"/>
      <c r="J39" s="182" t="n"/>
      <c r="K39" s="182" t="n"/>
      <c r="L39" s="182" t="n"/>
      <c r="M39" s="182" t="n"/>
      <c r="N39" s="182" t="n"/>
      <c r="O39" s="182" t="n"/>
      <c r="P39" s="182" t="n"/>
      <c r="Q39" s="182" t="n"/>
      <c r="R39" s="182" t="n"/>
      <c r="S39" s="5445" t="inlineStr">
        <is>
          <t xml:space="preserve">.   .   .   .   .   .   .   .   .   .   .   .   .   .   .   .   .   .   .   .   .   .   . </t>
        </is>
      </c>
      <c r="T39" s="5447" t="n">
        <v>2</v>
      </c>
      <c r="U39" s="8837">
        <f>IF(Z39&lt;&gt;"",ROUND(Z39,0),U38)</f>
        <v/>
      </c>
      <c r="V39" s="7637" t="n"/>
      <c r="W39" s="7637" t="n"/>
      <c r="X39" s="144" t="n"/>
      <c r="Y39" s="505" t="n"/>
      <c r="Z39" s="811" t="n"/>
      <c r="AA39" s="5415" t="n"/>
      <c r="AB39" s="5415" t="n"/>
      <c r="AC39" s="5415" t="n"/>
      <c r="AD39" s="5415" t="n"/>
      <c r="AE39" s="5415" t="n"/>
      <c r="AF39" s="5415" t="n"/>
      <c r="AG39" s="5415" t="n"/>
      <c r="AH39" s="5437" t="n"/>
      <c r="AI39" s="344" t="inlineStr">
        <is>
          <t>(Schedule 3 (Form 1040), line 13z).</t>
        </is>
      </c>
      <c r="AJ39" s="11602" t="n"/>
      <c r="AK39" s="11602" t="n"/>
      <c r="AL39" s="11602" t="n"/>
      <c r="AM39" s="11602" t="n"/>
      <c r="AN39" s="11602" t="n"/>
      <c r="AO39" s="11602" t="n"/>
      <c r="AP39" s="379" t="n"/>
      <c r="AQ39" s="5415" t="n"/>
      <c r="AR39" s="5415" t="n"/>
      <c r="AS39" s="5415" t="n"/>
      <c r="AT39" s="5415" t="n"/>
      <c r="AU39" s="344" t="n"/>
    </row>
    <row r="40" ht="13.5" customHeight="1" s="7635" thickBot="1">
      <c r="A40" s="139" t="n"/>
      <c r="B40" s="88" t="n"/>
      <c r="C40" s="2975" t="n">
        <v>3</v>
      </c>
      <c r="D40" s="11403" t="inlineStr">
        <is>
          <t>Other payments and refundable credits (see instructions)</t>
        </is>
      </c>
      <c r="E40" s="88" t="n"/>
      <c r="F40" s="88" t="n"/>
      <c r="G40" s="88" t="n"/>
      <c r="H40" s="88" t="n"/>
      <c r="I40" s="88" t="n"/>
      <c r="J40" s="88" t="n"/>
      <c r="K40" s="88" t="n"/>
      <c r="L40" s="88" t="n"/>
      <c r="M40" s="88" t="n"/>
      <c r="N40" s="88" t="n"/>
      <c r="O40" s="88" t="n"/>
      <c r="P40" s="88" t="n"/>
      <c r="Q40" s="88" t="n"/>
      <c r="R40" s="88" t="n"/>
      <c r="S40" s="5445">
        <f>IF(U40&gt;0,"Line 3 should be negative.",".   .   .   .   .   .   .   .   .   .   . ")</f>
        <v/>
      </c>
      <c r="T40" s="5447" t="n">
        <v>3</v>
      </c>
      <c r="U40" s="8837">
        <f>IF(Z40&lt;&gt;"",ROUND(Z40,0),-SUM(EarnedIncomeCredit,AdditionalCTC,Form8863,FedFuelTaxCredit,PTCNet))</f>
        <v/>
      </c>
      <c r="V40" s="7637" t="n"/>
      <c r="W40" s="7637" t="n"/>
      <c r="X40" s="139" t="n"/>
      <c r="Y40" s="343" t="n"/>
      <c r="Z40" s="811" t="n"/>
      <c r="AA40" s="5415" t="n"/>
      <c r="AB40" s="11602" t="n"/>
      <c r="AC40" s="11602" t="n"/>
      <c r="AD40" s="11602" t="n"/>
      <c r="AE40" s="11602" t="n"/>
      <c r="AF40" s="11602" t="n"/>
      <c r="AG40" s="5415" t="n"/>
      <c r="AH40" s="5437" t="inlineStr">
        <is>
          <t>h</t>
        </is>
      </c>
      <c r="AI40" s="344" t="inlineStr">
        <is>
          <t>Credit determined under section 1341(a)(5)(B). To figure the</t>
        </is>
      </c>
      <c r="AJ40" s="11602" t="n"/>
      <c r="AK40" s="11602" t="n"/>
      <c r="AL40" s="11602" t="n"/>
      <c r="AM40" s="11602" t="n"/>
      <c r="AN40" s="11602" t="n"/>
      <c r="AO40" s="11602" t="n"/>
      <c r="AP40" s="379" t="n"/>
      <c r="AQ40" s="5415" t="n"/>
      <c r="AR40" s="5415" t="n"/>
      <c r="AS40" s="5415" t="n"/>
      <c r="AT40" s="5415" t="n"/>
      <c r="AU40" s="344" t="n"/>
    </row>
    <row r="41" ht="13.5" customHeight="1" s="7635" thickBot="1">
      <c r="A41" s="139" t="n"/>
      <c r="B41" s="88" t="n"/>
      <c r="C41" s="228" t="n">
        <v>4</v>
      </c>
      <c r="D41" s="11403" t="inlineStr">
        <is>
          <t>Current year tax. Combine lines 1, 2, and 3.</t>
        </is>
      </c>
      <c r="E41" s="88" t="n"/>
      <c r="F41" s="88" t="n"/>
      <c r="G41" s="88" t="n"/>
      <c r="H41" s="88" t="n"/>
      <c r="I41" s="88" t="n"/>
      <c r="J41" s="88" t="n"/>
      <c r="K41" s="88" t="n"/>
      <c r="L41" s="88" t="n"/>
      <c r="M41" s="88" t="n"/>
      <c r="N41" s="2643">
        <f>"If less than "&amp;TEXT($W$43,"$0,000")&amp;","</f>
        <v/>
      </c>
      <c r="O41" s="11403" t="inlineStr">
        <is>
          <t>stop; you don't owe a penalty.</t>
        </is>
      </c>
      <c r="P41" s="88" t="n"/>
      <c r="Q41" s="88" t="n"/>
      <c r="R41" s="88" t="n"/>
      <c r="S41" s="88" t="n"/>
      <c r="T41" s="5448" t="n"/>
      <c r="U41" s="9373">
        <f>AND($U$42&lt;$W$43)</f>
        <v/>
      </c>
      <c r="V41" s="7839" t="n"/>
      <c r="W41" s="7839" t="n"/>
      <c r="X41" s="139" t="n"/>
      <c r="Y41" s="343" t="n"/>
      <c r="Z41" s="5415" t="n"/>
      <c r="AA41" s="5415" t="n"/>
      <c r="AB41" s="11602" t="n"/>
      <c r="AC41" s="11602" t="n"/>
      <c r="AD41" s="11602" t="n"/>
      <c r="AE41" s="512">
        <f>AND(U47&lt;&gt;"",U47&lt;&gt;0)</f>
        <v/>
      </c>
      <c r="AF41" s="11602" t="n"/>
      <c r="AG41" s="5415" t="n"/>
      <c r="AH41" s="5449" t="n"/>
      <c r="AI41" s="498" t="inlineStr">
        <is>
          <t>amount of the section 1341 credit, see Repayments in Pub. 525.</t>
        </is>
      </c>
      <c r="AJ41" s="380" t="n"/>
      <c r="AK41" s="380" t="n"/>
      <c r="AL41" s="380" t="n"/>
      <c r="AM41" s="380" t="n"/>
      <c r="AN41" s="380" t="n"/>
      <c r="AO41" s="380" t="n"/>
      <c r="AP41" s="381" t="n"/>
      <c r="AQ41" s="5415" t="n"/>
      <c r="AR41" s="5415" t="n"/>
      <c r="AS41" s="5415" t="n"/>
      <c r="AT41" s="5415" t="n"/>
      <c r="AU41" s="344" t="n"/>
    </row>
    <row r="42" ht="13.5" customHeight="1" s="7635" thickBot="1">
      <c r="A42" s="139" t="n"/>
      <c r="B42" s="88" t="n"/>
      <c r="C42" s="228" t="n"/>
      <c r="D42" s="11403" t="inlineStr">
        <is>
          <t>Don't file Form 2210</t>
        </is>
      </c>
      <c r="E42" s="88" t="n"/>
      <c r="F42" s="88" t="n"/>
      <c r="G42" s="88" t="n"/>
      <c r="H42" s="88" t="n"/>
      <c r="I42" s="88" t="n"/>
      <c r="J42" s="88" t="n"/>
      <c r="K42" s="88" t="n"/>
      <c r="L42" s="88" t="n"/>
      <c r="M42" s="88" t="n"/>
      <c r="N42" s="88" t="n"/>
      <c r="O42" s="88" t="n"/>
      <c r="P42" s="88" t="n"/>
      <c r="Q42" s="88" t="n"/>
      <c r="R42" s="88" t="n"/>
      <c r="S42" s="5445" t="inlineStr">
        <is>
          <t xml:space="preserve">.   .   .   .   .   .   .   .   .   .   .   .   .   .   .   .   .   .   .   .   .   .   .   .   .   .   .   .   . </t>
        </is>
      </c>
      <c r="T42" s="5450" t="n">
        <v>4</v>
      </c>
      <c r="U42" s="9450">
        <f>SUM(U37,U39,U40)</f>
        <v/>
      </c>
      <c r="V42" s="7637" t="n"/>
      <c r="W42" s="7637" t="n"/>
      <c r="X42" s="139" t="n"/>
      <c r="Y42" s="343" t="n"/>
      <c r="Z42" s="5415" t="n"/>
      <c r="AA42" s="5415" t="n"/>
      <c r="AB42" s="11602" t="n"/>
      <c r="AC42" s="12306">
        <f>IF(AND($AE$41,$AC$38),U47,"")</f>
        <v/>
      </c>
      <c r="AD42" s="8412" t="n"/>
      <c r="AE42" s="11734" t="n"/>
      <c r="AF42" s="11602" t="n"/>
      <c r="AG42" s="5415" t="n"/>
      <c r="AH42" s="5415" t="n"/>
      <c r="AI42" s="5415" t="n"/>
      <c r="AJ42" s="5415" t="n"/>
      <c r="AK42" s="5415" t="n"/>
      <c r="AL42" s="5415" t="n"/>
      <c r="AM42" s="5415" t="n"/>
      <c r="AN42" s="5415" t="n"/>
      <c r="AO42" s="5415" t="n"/>
      <c r="AP42" s="5415" t="n"/>
      <c r="AQ42" s="5415" t="n"/>
      <c r="AR42" s="5415" t="n"/>
      <c r="AS42" s="5415" t="n"/>
      <c r="AT42" s="5415" t="n"/>
      <c r="AU42" s="344" t="n"/>
    </row>
    <row r="43" ht="15.75" customHeight="1" s="7635" thickBot="1">
      <c r="A43" s="139" t="n"/>
      <c r="B43" s="88" t="n"/>
      <c r="C43" s="228" t="n">
        <v>5</v>
      </c>
      <c r="D43" s="88">
        <f>"Multiply line 4 by "&amp;TEXT(U43,"0%")&amp;" ("&amp;TEXT(U43,"0.00")&amp;")"</f>
        <v/>
      </c>
      <c r="E43" s="88" t="n"/>
      <c r="F43" s="88" t="n"/>
      <c r="G43" s="88" t="n"/>
      <c r="H43" s="88" t="n"/>
      <c r="I43" s="88" t="n"/>
      <c r="J43" s="88" t="n"/>
      <c r="K43" s="88" t="n"/>
      <c r="L43" s="88" t="n"/>
      <c r="M43" s="88" t="n"/>
      <c r="N43" s="88" t="n"/>
      <c r="O43" s="5445" t="n"/>
      <c r="P43" s="228" t="n"/>
      <c r="Q43" s="5445" t="inlineStr">
        <is>
          <t xml:space="preserve">.   .   .   .   .   .   .   .   .   .   .   .   .   .   .   .   .   .   .   .  </t>
        </is>
      </c>
      <c r="R43" s="5451" t="n">
        <v>5</v>
      </c>
      <c r="S43" s="7842">
        <f>IF($V$43,"",ROUND(U42*U43,0))</f>
        <v/>
      </c>
      <c r="T43" s="5452" t="n"/>
      <c r="U43" s="5453" t="n">
        <v>0.9</v>
      </c>
      <c r="V43" s="3961">
        <f>IF($U$42&lt;$W$43,TRUE,FALSE)</f>
        <v/>
      </c>
      <c r="W43" s="441" t="n">
        <v>1000</v>
      </c>
      <c r="X43" s="139" t="n"/>
      <c r="Y43" s="343" t="n"/>
      <c r="Z43" s="5415" t="n"/>
      <c r="AA43" s="5415" t="n"/>
      <c r="AB43" s="11602" t="n"/>
      <c r="AC43" s="7813" t="inlineStr">
        <is>
          <t>Required Annual Payment</t>
        </is>
      </c>
      <c r="AD43" s="7839" t="n"/>
      <c r="AE43" s="7839" t="n"/>
      <c r="AF43" s="11602" t="n"/>
      <c r="AG43" s="5415" t="n"/>
      <c r="AH43" s="12304" t="inlineStr">
        <is>
          <t>Line 8 - Maximum required annual payment</t>
        </is>
      </c>
      <c r="AI43" s="12281" t="n"/>
      <c r="AJ43" s="12281" t="n"/>
      <c r="AK43" s="12281" t="n"/>
      <c r="AL43" s="12281" t="n"/>
      <c r="AM43" s="12281" t="n"/>
      <c r="AN43" s="12281" t="n"/>
      <c r="AO43" s="12281" t="n"/>
      <c r="AP43" s="12282" t="n"/>
      <c r="AQ43" s="5415" t="n"/>
      <c r="AR43" s="5415" t="n"/>
      <c r="AS43" s="5415" t="n"/>
      <c r="AT43" s="5415" t="n"/>
      <c r="AU43" s="344" t="n"/>
    </row>
    <row r="44" ht="15" customHeight="1" s="7635" thickBot="1">
      <c r="A44" s="139" t="n"/>
      <c r="B44" s="182" t="n"/>
      <c r="C44" s="228" t="n">
        <v>6</v>
      </c>
      <c r="D44" s="11403" t="inlineStr">
        <is>
          <t>Withholding taxes. Don't include estimated tax payments (see instructions)</t>
        </is>
      </c>
      <c r="E44" s="182" t="n"/>
      <c r="F44" s="182" t="n"/>
      <c r="G44" s="182" t="n"/>
      <c r="H44" s="182" t="n"/>
      <c r="I44" s="182" t="n"/>
      <c r="J44" s="182" t="n"/>
      <c r="K44" s="182" t="n"/>
      <c r="L44" s="182" t="n"/>
      <c r="M44" s="182" t="n"/>
      <c r="N44" s="182" t="n"/>
      <c r="O44" s="182" t="n"/>
      <c r="P44" s="182" t="n"/>
      <c r="Q44" s="182" t="n"/>
      <c r="R44" s="182" t="n"/>
      <c r="S44" s="5445" t="inlineStr">
        <is>
          <t xml:space="preserve"> .   .   .   .   .   .   .   .   . </t>
        </is>
      </c>
      <c r="T44" s="5450" t="n">
        <v>6</v>
      </c>
      <c r="U44" s="8837">
        <f>IF(Z44&lt;&gt;"",ROUND(Z44,0),IF($V$43,"",SUM(Fed_Inc_Tax_WH_Line_25d,ExcessSSTax)))</f>
        <v/>
      </c>
      <c r="V44" s="7637" t="n"/>
      <c r="W44" s="7637" t="n"/>
      <c r="X44" s="144" t="n"/>
      <c r="Y44" s="505" t="n"/>
      <c r="Z44" s="811" t="n"/>
      <c r="AA44" s="5415" t="n"/>
      <c r="AB44" s="11602" t="n"/>
      <c r="AF44" s="11602" t="n"/>
      <c r="AG44" s="5415" t="n"/>
      <c r="AH44" s="12307">
        <f>"To figure your "&amp;TaxYear-1&amp;" tax, first add the amounts listed in (1) (see below),
then subtract from that total amount the refundable credits listed
in (2) (see below) that are shown on your "&amp;TaxYear-1&amp;" tax return."</f>
        <v/>
      </c>
      <c r="AP44" s="1066" t="n"/>
      <c r="AQ44" s="5415" t="n"/>
      <c r="AR44" s="5415" t="n"/>
      <c r="AS44" s="5415" t="n"/>
      <c r="AT44" s="5415" t="n"/>
      <c r="AU44" s="344" t="n"/>
    </row>
    <row r="45" ht="13.5" customHeight="1" s="7635" thickBot="1">
      <c r="A45" s="139" t="n"/>
      <c r="B45" s="88" t="n"/>
      <c r="C45" s="228" t="n">
        <v>7</v>
      </c>
      <c r="D45" s="2617" t="inlineStr">
        <is>
          <t xml:space="preserve">Subtract line 6 from line 4. </t>
        </is>
      </c>
      <c r="E45" s="5425" t="n"/>
      <c r="F45" s="182" t="n"/>
      <c r="G45" s="182" t="n"/>
      <c r="H45" s="2617" t="n"/>
      <c r="I45" s="2617" t="n"/>
      <c r="J45" s="5454">
        <f>"If less than "&amp;TEXT($W$43,"$0,000")&amp;","</f>
        <v/>
      </c>
      <c r="K45" s="5455" t="inlineStr">
        <is>
          <t>stop; you don't owe a penalty. Don't file Form 2210.</t>
        </is>
      </c>
      <c r="L45" s="182" t="n"/>
      <c r="M45" s="182" t="n"/>
      <c r="N45" s="182" t="n"/>
      <c r="O45" s="182" t="n"/>
      <c r="P45" s="2617" t="n"/>
      <c r="Q45" s="182" t="n"/>
      <c r="R45" s="182" t="n"/>
      <c r="S45" s="5454" t="n"/>
      <c r="T45" s="5450" t="n">
        <v>7</v>
      </c>
      <c r="U45" s="8861">
        <f>IF(Z45&lt;&gt;"",ROUND(Z45,0),IF($V$43,"",SUM(U42,-U44)))</f>
        <v/>
      </c>
      <c r="V45" s="7637" t="n"/>
      <c r="W45" s="7637" t="n"/>
      <c r="X45" s="139" t="n"/>
      <c r="Y45" s="343" t="n"/>
      <c r="Z45" s="811" t="n"/>
      <c r="AA45" s="5415" t="n"/>
      <c r="AB45" s="11602" t="n"/>
      <c r="AC45" s="11602" t="n"/>
      <c r="AD45" s="11602" t="n"/>
      <c r="AE45" s="11602" t="n"/>
      <c r="AF45" s="11602" t="n"/>
      <c r="AG45" s="5415" t="n"/>
      <c r="AH45" s="11907" t="n"/>
      <c r="AI45" s="7637" t="n"/>
      <c r="AJ45" s="7637" t="n"/>
      <c r="AK45" s="7637" t="n"/>
      <c r="AL45" s="7637" t="n"/>
      <c r="AM45" s="7637" t="n"/>
      <c r="AN45" s="7637" t="n"/>
      <c r="AO45" s="7637" t="n"/>
      <c r="AP45" s="12070" t="n"/>
      <c r="AQ45" s="5415" t="n"/>
      <c r="AR45" s="5415" t="n"/>
      <c r="AS45" s="5415" t="n"/>
      <c r="AT45" s="5415" t="n"/>
      <c r="AU45" s="344" t="n"/>
    </row>
    <row r="46" ht="13.5" customHeight="1" s="7635" thickBot="1">
      <c r="A46" s="139" t="n"/>
      <c r="B46" s="88" t="n"/>
      <c r="C46" s="228" t="n">
        <v>8</v>
      </c>
      <c r="D46" s="88" t="inlineStr">
        <is>
          <t>Maximum required annual payment based on prior year’s tax (see instructions)</t>
        </is>
      </c>
      <c r="E46" s="226" t="n"/>
      <c r="F46" s="88" t="n"/>
      <c r="G46" s="88" t="n"/>
      <c r="H46" s="88" t="n"/>
      <c r="I46" s="88" t="n"/>
      <c r="J46" s="88" t="n"/>
      <c r="K46" s="88" t="n"/>
      <c r="L46" s="88" t="n"/>
      <c r="M46" s="88" t="n"/>
      <c r="N46" s="88" t="n"/>
      <c r="O46" s="88" t="n"/>
      <c r="P46" s="88" t="n"/>
      <c r="Q46" s="88" t="n"/>
      <c r="R46" s="88" t="n"/>
      <c r="S46" s="5445" t="inlineStr">
        <is>
          <t xml:space="preserve"> .   .   .   .   .   .   .   . </t>
        </is>
      </c>
      <c r="T46" s="5450" t="n">
        <v>8</v>
      </c>
      <c r="U46" s="8837">
        <f>IF(Z46&lt;&gt;"",ROUND(Z46,0),IF(OR($V$43,$U$48,NOT($AC$38)),"",IF(AA23,AA25*SUM(AC8,-AC14),SUM(AC8,-AC14))))</f>
        <v/>
      </c>
      <c r="V46" s="7637" t="n"/>
      <c r="W46" s="7637" t="n"/>
      <c r="X46" s="139" t="n"/>
      <c r="Y46" s="343" t="n"/>
      <c r="Z46" s="811" t="n"/>
      <c r="AA46" s="5415" t="n"/>
      <c r="AB46" s="11602" t="n"/>
      <c r="AC46" s="12306">
        <f>IF(AND($AC$38,$AE$41),U44,"")</f>
        <v/>
      </c>
      <c r="AD46" s="8412" t="n"/>
      <c r="AE46" s="11734" t="n"/>
      <c r="AF46" s="11602" t="n"/>
      <c r="AG46" s="5415" t="n"/>
      <c r="AH46" s="12308">
        <f>"(1) Add the amounts listed in the '1040' chart in the instructions based on which tax return you filed for "&amp;TaxYear-1&amp;"."</f>
        <v/>
      </c>
      <c r="AI46" s="7839" t="n"/>
      <c r="AJ46" s="7839" t="n"/>
      <c r="AK46" s="7839" t="n"/>
      <c r="AL46" s="7839" t="n"/>
      <c r="AM46" s="7839" t="n"/>
      <c r="AN46" s="7839" t="n"/>
      <c r="AO46" s="7839" t="n"/>
      <c r="AP46" s="12017" t="n"/>
      <c r="AQ46" s="5415" t="n"/>
      <c r="AR46" s="5415" t="n"/>
      <c r="AS46" s="5415" t="n"/>
      <c r="AT46" s="5415" t="n"/>
      <c r="AU46" s="344" t="n"/>
    </row>
    <row r="47" ht="13.5" customHeight="1" s="7635" thickBot="1">
      <c r="A47" s="139" t="n"/>
      <c r="B47" s="88" t="n"/>
      <c r="C47" s="228" t="n">
        <v>9</v>
      </c>
      <c r="D47" s="11403" t="inlineStr">
        <is>
          <t>Required annual payment. Enter the smaller of line 5 or line 8</t>
        </is>
      </c>
      <c r="E47" s="226" t="n"/>
      <c r="F47" s="88" t="n"/>
      <c r="G47" s="88" t="n"/>
      <c r="H47" s="88" t="n"/>
      <c r="I47" s="88" t="n"/>
      <c r="J47" s="88" t="n"/>
      <c r="K47" s="88" t="n"/>
      <c r="L47" s="88" t="n"/>
      <c r="M47" s="88" t="n"/>
      <c r="N47" s="88" t="n"/>
      <c r="O47" s="88" t="n"/>
      <c r="P47" s="88" t="n"/>
      <c r="Q47" s="88" t="n"/>
      <c r="R47" s="88" t="n"/>
      <c r="S47" s="5445" t="inlineStr">
        <is>
          <t xml:space="preserve"> .   .   .   .   .   .   .   .   .   .   .   .   .   . </t>
        </is>
      </c>
      <c r="T47" s="5450" t="n">
        <v>9</v>
      </c>
      <c r="U47" s="9375">
        <f>IF(Z47&lt;&gt;"",ROUND(Z47,0),IF(OR($V$43,$U$48),"",MIN(S43,U46)))</f>
        <v/>
      </c>
      <c r="V47" s="8412" t="n"/>
      <c r="W47" s="8412" t="n"/>
      <c r="X47" s="139" t="n"/>
      <c r="Y47" s="343" t="n"/>
      <c r="Z47" s="811" t="n"/>
      <c r="AA47" s="5415" t="n"/>
      <c r="AB47" s="11602" t="n"/>
      <c r="AC47" s="9248" t="inlineStr">
        <is>
          <t>Taxes Withheld</t>
        </is>
      </c>
      <c r="AD47" s="7839" t="n"/>
      <c r="AE47" s="7839" t="n"/>
      <c r="AF47" s="11602" t="n"/>
      <c r="AG47" s="5415" t="n"/>
      <c r="AH47" s="12309" t="n"/>
      <c r="AI47" s="841" t="n"/>
      <c r="AJ47" s="841" t="n"/>
      <c r="AK47" s="841" t="n"/>
      <c r="AL47" s="841" t="n"/>
      <c r="AM47" s="841" t="n"/>
      <c r="AN47" s="841" t="n"/>
      <c r="AO47" s="841" t="n"/>
      <c r="AP47" s="12310" t="n"/>
      <c r="AQ47" s="5415" t="n"/>
      <c r="AR47" s="5415" t="n"/>
      <c r="AS47" s="5415" t="n"/>
      <c r="AT47" s="5415" t="n"/>
      <c r="AU47" s="344" t="n"/>
    </row>
    <row r="48" ht="15" customHeight="1" s="7635">
      <c r="A48" s="139" t="n"/>
      <c r="B48" s="88" t="n"/>
      <c r="C48" s="228" t="n"/>
      <c r="D48" s="2449" t="inlineStr">
        <is>
          <t>Next: Is line 9 more than line 6?</t>
        </is>
      </c>
      <c r="E48" s="226" t="n"/>
      <c r="F48" s="88" t="n"/>
      <c r="G48" s="88" t="n"/>
      <c r="H48" s="88" t="n"/>
      <c r="I48" s="88" t="n"/>
      <c r="J48" s="88" t="n"/>
      <c r="K48" s="88" t="n"/>
      <c r="L48" s="88" t="n"/>
      <c r="M48" s="88" t="n"/>
      <c r="N48" s="88" t="n"/>
      <c r="O48" s="88" t="n"/>
      <c r="P48" s="88" t="n"/>
      <c r="Q48" s="88" t="n"/>
      <c r="R48" s="88" t="n"/>
      <c r="S48" s="5445" t="n"/>
      <c r="T48" s="5445" t="n"/>
      <c r="U48" s="3961">
        <f>$U$45&lt;$W$43</f>
        <v/>
      </c>
      <c r="V48" s="5456" t="n"/>
      <c r="W48" s="3961">
        <f>AND(U47&lt;&gt;"",U47&gt;0,U47&gt;U44)</f>
        <v/>
      </c>
      <c r="X48" s="139" t="n"/>
      <c r="Y48" s="343" t="n"/>
      <c r="Z48" s="5415" t="n"/>
      <c r="AA48" s="5415" t="n"/>
      <c r="AB48" s="11602" t="n"/>
      <c r="AF48" s="11602" t="n"/>
      <c r="AG48" s="5415" t="n"/>
      <c r="AH48" s="12308" t="inlineStr">
        <is>
          <t>(2) Subtract refundable credits listed below.</t>
        </is>
      </c>
      <c r="AI48" s="7839" t="n"/>
      <c r="AJ48" s="7839" t="n"/>
      <c r="AK48" s="7839" t="n"/>
      <c r="AL48" s="7839" t="n"/>
      <c r="AM48" s="7839" t="n"/>
      <c r="AN48" s="7839" t="n"/>
      <c r="AO48" s="7839" t="n"/>
      <c r="AP48" s="12017" t="n"/>
      <c r="AQ48" s="5415" t="n"/>
      <c r="AR48" s="5415" t="n"/>
      <c r="AS48" s="5415" t="n"/>
      <c r="AT48" s="5415" t="n"/>
      <c r="AU48" s="344" t="n"/>
    </row>
    <row r="49" ht="13.5" customHeight="1" s="7635">
      <c r="A49" s="139" t="n"/>
      <c r="B49" s="88" t="n"/>
      <c r="C49" s="228" t="n"/>
      <c r="D49" s="1846">
        <f>IF(NOT(AC38),"",IF(OR($V$43,$U$48),"",IF($W$48,"","X")))</f>
        <v/>
      </c>
      <c r="E49" s="11403" t="inlineStr">
        <is>
          <t xml:space="preserve">No.    You don't owe a penalty. </t>
        </is>
      </c>
      <c r="F49" s="88" t="n"/>
      <c r="G49" s="88" t="n"/>
      <c r="H49" s="88" t="n"/>
      <c r="I49" s="11403" t="n"/>
      <c r="J49" s="88" t="n"/>
      <c r="K49" s="88" t="n"/>
      <c r="L49" s="88" t="n"/>
      <c r="M49" s="88" t="n"/>
      <c r="N49" s="2052" t="inlineStr">
        <is>
          <t xml:space="preserve">  Don't file Form 2210 unless</t>
        </is>
      </c>
      <c r="O49" s="11403" t="inlineStr">
        <is>
          <t>box E below applies.</t>
        </is>
      </c>
      <c r="P49" s="88" t="n"/>
      <c r="Q49" s="88" t="n"/>
      <c r="R49" s="88" t="n"/>
      <c r="S49" s="7847" t="n"/>
      <c r="T49" s="7847" t="n"/>
      <c r="U49" s="7847" t="n"/>
      <c r="V49" s="7847" t="n"/>
      <c r="W49" s="229" t="n"/>
      <c r="X49" s="139" t="n"/>
      <c r="Y49" s="343" t="n"/>
      <c r="Z49" s="5417" t="n"/>
      <c r="AA49" s="5415" t="n"/>
      <c r="AB49" s="11602" t="n"/>
      <c r="AC49" s="11602" t="n"/>
      <c r="AD49" s="11602" t="n"/>
      <c r="AE49" s="11602" t="n"/>
      <c r="AF49" s="11602" t="n"/>
      <c r="AG49" s="5415" t="n"/>
      <c r="AH49" s="12309" t="n"/>
      <c r="AI49" s="841" t="n"/>
      <c r="AJ49" s="841" t="n"/>
      <c r="AK49" s="841" t="n"/>
      <c r="AL49" s="841" t="n"/>
      <c r="AM49" s="841" t="n"/>
      <c r="AN49" s="841" t="n"/>
      <c r="AO49" s="841" t="n"/>
      <c r="AP49" s="12310" t="n"/>
      <c r="AQ49" s="5415" t="n"/>
      <c r="AR49" s="5415" t="n"/>
      <c r="AS49" s="5415" t="n"/>
      <c r="AT49" s="5415" t="n"/>
      <c r="AU49" s="344" t="n"/>
    </row>
    <row r="50" ht="12.75" customHeight="1" s="7635">
      <c r="A50" s="139" t="n"/>
      <c r="B50" s="88" t="n"/>
      <c r="C50" s="11403" t="n"/>
      <c r="D50" s="11403" t="n"/>
      <c r="E50" s="11403" t="n"/>
      <c r="F50" s="88" t="n"/>
      <c r="G50" s="88" t="n"/>
      <c r="H50" s="88" t="n"/>
      <c r="I50" s="88" t="n"/>
      <c r="J50" s="88" t="n"/>
      <c r="K50" s="88" t="n"/>
      <c r="L50" s="88" t="n"/>
      <c r="M50" s="88" t="n"/>
      <c r="N50" s="88" t="n"/>
      <c r="O50" s="88" t="n"/>
      <c r="P50" s="88" t="n"/>
      <c r="Q50" s="88" t="n"/>
      <c r="R50" s="88" t="n"/>
      <c r="S50" s="7847" t="n"/>
      <c r="T50" s="7847" t="n"/>
      <c r="U50" s="7847" t="n"/>
      <c r="V50" s="7847" t="n"/>
      <c r="W50" s="7847" t="n"/>
      <c r="X50" s="139" t="n"/>
      <c r="Y50" s="343" t="n"/>
      <c r="Z50" s="5417" t="n"/>
      <c r="AA50" s="5415" t="n"/>
      <c r="AB50" s="11602" t="n"/>
      <c r="AC50" s="12311">
        <f>IF(AND($AC$38,AC46=""),AC42,IF($AC$38,SUM(AC42,-AC46),""))</f>
        <v/>
      </c>
      <c r="AD50" s="8007" t="n"/>
      <c r="AE50" s="8008" t="n"/>
      <c r="AF50" s="11602" t="n"/>
      <c r="AG50" s="5415" t="n"/>
      <c r="AH50" s="5457" t="inlineStr">
        <is>
          <t>Subtract the total of the following refundable credits, if any, that you</t>
        </is>
      </c>
      <c r="AI50" s="9911" t="n"/>
      <c r="AJ50" s="9911" t="n"/>
      <c r="AK50" s="9911" t="n"/>
      <c r="AL50" s="9911" t="n"/>
      <c r="AM50" s="9911" t="n"/>
      <c r="AN50" s="9911" t="n"/>
      <c r="AO50" s="9911" t="n"/>
      <c r="AP50" s="5458" t="n"/>
      <c r="AQ50" s="5415" t="n"/>
      <c r="AR50" s="5415" t="n"/>
      <c r="AS50" s="5415" t="n"/>
      <c r="AT50" s="5415" t="n"/>
      <c r="AU50" s="344" t="n"/>
    </row>
    <row r="51" ht="13.5" customHeight="1" s="7635">
      <c r="A51" s="139" t="n"/>
      <c r="B51" s="229" t="n"/>
      <c r="C51" s="9124" t="n"/>
      <c r="D51" s="1846">
        <f>IF(NOT(AC38),"",IF(OR($V$43,$U$48),"",IF($W$48,"X","")))</f>
        <v/>
      </c>
      <c r="E51" s="11403" t="inlineStr">
        <is>
          <t>Yes. You may owe a penalty, but don't file Form 2210 unless one or more boxes in Part II below applies.</t>
        </is>
      </c>
      <c r="F51" s="88" t="n"/>
      <c r="G51" s="88" t="n"/>
      <c r="H51" s="88" t="n"/>
      <c r="I51" s="88" t="n"/>
      <c r="J51" s="88" t="n"/>
      <c r="K51" s="88" t="n"/>
      <c r="L51" s="88" t="n"/>
      <c r="M51" s="8922" t="n"/>
      <c r="N51" s="88" t="n"/>
      <c r="O51" s="88" t="n"/>
      <c r="P51" s="88" t="n"/>
      <c r="Q51" s="88" t="n"/>
      <c r="R51" s="226" t="n"/>
      <c r="S51" s="7847" t="n"/>
      <c r="T51" s="228" t="n"/>
      <c r="U51" s="5459" t="n"/>
      <c r="V51" s="229" t="n"/>
      <c r="W51" s="3961">
        <f>$W$48</f>
        <v/>
      </c>
      <c r="X51" s="139" t="n"/>
      <c r="Y51" s="343" t="n"/>
      <c r="Z51" s="5417" t="n"/>
      <c r="AA51" s="5415" t="n"/>
      <c r="AB51" s="11602" t="n"/>
      <c r="AC51" s="9248" t="inlineStr">
        <is>
          <t>Underpayment</t>
        </is>
      </c>
      <c r="AD51" s="7839" t="n"/>
      <c r="AE51" s="7839" t="n"/>
      <c r="AF51" s="11602" t="n"/>
      <c r="AG51" s="5415" t="n"/>
      <c r="AH51" s="5457">
        <f>"claimed on your "&amp;TaxYear-1&amp;" tax return."</f>
        <v/>
      </c>
      <c r="AI51" s="9911" t="n"/>
      <c r="AJ51" s="9911" t="n"/>
      <c r="AK51" s="9911" t="n"/>
      <c r="AL51" s="9911" t="n"/>
      <c r="AM51" s="9911" t="n"/>
      <c r="AN51" s="9911" t="n"/>
      <c r="AO51" s="9911" t="n"/>
      <c r="AP51" s="5458" t="n"/>
      <c r="AQ51" s="5415" t="n"/>
      <c r="AR51" s="5415" t="n"/>
      <c r="AS51" s="5415" t="n"/>
      <c r="AT51" s="5415" t="n"/>
      <c r="AU51" s="344" t="n"/>
    </row>
    <row r="52" ht="13.5" customHeight="1" s="7635">
      <c r="A52" s="139" t="n"/>
      <c r="B52" s="9314">
        <f>IF(W52,"®","")</f>
        <v/>
      </c>
      <c r="D52" s="5460" t="inlineStr">
        <is>
          <t>h</t>
        </is>
      </c>
      <c r="E52" s="11403" t="inlineStr">
        <is>
          <t>If box B, C, or D applies, you must figure your penalty and file Form 2210.</t>
        </is>
      </c>
      <c r="F52" s="88" t="n"/>
      <c r="G52" s="88" t="n"/>
      <c r="H52" s="88" t="n"/>
      <c r="I52" s="88" t="n"/>
      <c r="J52" s="88" t="n"/>
      <c r="K52" s="88" t="n"/>
      <c r="L52" s="88" t="n"/>
      <c r="M52" s="88" t="n"/>
      <c r="N52" s="88" t="n"/>
      <c r="O52" s="88" t="n"/>
      <c r="P52" s="88" t="n"/>
      <c r="Q52" s="88" t="n"/>
      <c r="R52" s="88" t="n"/>
      <c r="S52" s="88" t="n"/>
      <c r="T52" s="88" t="n"/>
      <c r="U52" s="229" t="n"/>
      <c r="V52" s="229" t="n"/>
      <c r="W52" s="3961">
        <f>AND(W48,OR(D60&lt;&gt;"",D62&lt;&gt;"",D64&lt;&gt;""))</f>
        <v/>
      </c>
      <c r="X52" s="139" t="n"/>
      <c r="Y52" s="343" t="n"/>
      <c r="Z52" s="5417" t="n"/>
      <c r="AA52" s="5415" t="n"/>
      <c r="AB52" s="11602" t="n"/>
      <c r="AF52" s="11602" t="n"/>
      <c r="AG52" s="5415" t="n"/>
      <c r="AH52" s="5437" t="inlineStr">
        <is>
          <t>h</t>
        </is>
      </c>
      <c r="AI52" s="9086" t="inlineStr">
        <is>
          <t>Earned income credit.</t>
        </is>
      </c>
      <c r="AJ52" s="9086" t="n"/>
      <c r="AK52" s="9086" t="n"/>
      <c r="AL52" s="9086" t="n"/>
      <c r="AM52" s="9086" t="n"/>
      <c r="AN52" s="9086" t="n"/>
      <c r="AO52" s="9086" t="n"/>
      <c r="AP52" s="5458" t="n"/>
      <c r="AQ52" s="5415" t="n"/>
      <c r="AR52" s="5415" t="n"/>
      <c r="AS52" s="5415" t="n"/>
      <c r="AT52" s="5415" t="n"/>
      <c r="AU52" s="344" t="n"/>
    </row>
    <row r="53" ht="13.5" customHeight="1" s="7635">
      <c r="A53" s="139" t="n"/>
      <c r="B53" s="9314">
        <f>IF(W55,"®","")</f>
        <v/>
      </c>
      <c r="D53" s="5460" t="inlineStr">
        <is>
          <t>h</t>
        </is>
      </c>
      <c r="E53" s="11403" t="inlineStr">
        <is>
          <t>If box A or E applies (but not B, C, or D) file only page 1 of Form 2210. You aren't required to figure your penalty; the IRS</t>
        </is>
      </c>
      <c r="F53" s="88" t="n"/>
      <c r="G53" s="88" t="n"/>
      <c r="H53" s="88" t="n"/>
      <c r="I53" s="88" t="n"/>
      <c r="J53" s="88" t="n"/>
      <c r="K53" s="88" t="n"/>
      <c r="L53" s="88" t="n"/>
      <c r="M53" s="88" t="n"/>
      <c r="N53" s="88" t="n"/>
      <c r="O53" s="88" t="n"/>
      <c r="P53" s="88" t="n"/>
      <c r="Q53" s="88" t="n"/>
      <c r="R53" s="5461" t="n"/>
      <c r="S53" s="5462" t="n"/>
      <c r="T53" s="5448" t="n"/>
      <c r="U53" s="5463" t="n"/>
      <c r="V53" s="2701" t="n"/>
      <c r="W53" s="228" t="n"/>
      <c r="X53" s="139" t="n"/>
      <c r="Y53" s="343" t="n"/>
      <c r="Z53" s="5417" t="n"/>
      <c r="AA53" s="5415" t="n"/>
      <c r="AB53" s="11602" t="n"/>
      <c r="AC53" s="11602" t="n"/>
      <c r="AD53" s="11602" t="n"/>
      <c r="AE53" s="11602" t="n"/>
      <c r="AF53" s="11602" t="n"/>
      <c r="AG53" s="5415" t="n"/>
      <c r="AH53" s="5437" t="inlineStr">
        <is>
          <t>h</t>
        </is>
      </c>
      <c r="AI53" s="9238" t="inlineStr">
        <is>
          <t>Additional child tax credit.</t>
        </is>
      </c>
      <c r="AJ53" s="9086" t="n"/>
      <c r="AK53" s="9086" t="n"/>
      <c r="AL53" s="9086" t="n"/>
      <c r="AM53" s="9086" t="n"/>
      <c r="AN53" s="9086" t="n"/>
      <c r="AO53" s="9086" t="n"/>
      <c r="AP53" s="5458" t="n"/>
      <c r="AQ53" s="5415" t="n"/>
      <c r="AR53" s="5415" t="n"/>
      <c r="AS53" s="5415" t="n"/>
      <c r="AT53" s="5415" t="n"/>
      <c r="AU53" s="344" t="n"/>
    </row>
    <row r="54" ht="13.5" customHeight="1" s="7635">
      <c r="A54" s="139" t="n"/>
      <c r="B54" s="88" t="n"/>
      <c r="C54" s="228" t="n"/>
      <c r="D54" s="11403" t="n"/>
      <c r="E54" s="11403" t="inlineStr">
        <is>
          <t>will figure it and send you a bill for any unpaid amount. If you want to figure your penalty, you may use Part III as a worksheet</t>
        </is>
      </c>
      <c r="F54" s="88" t="n"/>
      <c r="G54" s="88" t="n"/>
      <c r="H54" s="88" t="n"/>
      <c r="I54" s="88" t="n"/>
      <c r="J54" s="88" t="n"/>
      <c r="K54" s="88" t="n"/>
      <c r="L54" s="88" t="n"/>
      <c r="M54" s="88" t="n"/>
      <c r="N54" s="88" t="n"/>
      <c r="O54" s="88" t="n"/>
      <c r="P54" s="88" t="n"/>
      <c r="Q54" s="88" t="n"/>
      <c r="R54" s="88" t="n"/>
      <c r="S54" s="88" t="n"/>
      <c r="T54" s="88" t="n"/>
      <c r="U54" s="88" t="n"/>
      <c r="V54" s="88" t="n"/>
      <c r="W54" s="228" t="n"/>
      <c r="X54" s="139" t="n"/>
      <c r="Y54" s="343" t="n"/>
      <c r="Z54" s="5417" t="n"/>
      <c r="AA54" s="5415" t="n"/>
      <c r="AB54" s="11602" t="n"/>
      <c r="AC54" s="12312">
        <f>IF(AND($AE$41,$AC$38),TaxDay,"")</f>
        <v/>
      </c>
      <c r="AD54" s="8007" t="n"/>
      <c r="AE54" s="8008" t="n"/>
      <c r="AF54" s="11602" t="n"/>
      <c r="AG54" s="5415" t="n"/>
      <c r="AH54" s="5437" t="inlineStr">
        <is>
          <t>h</t>
        </is>
      </c>
      <c r="AI54" s="344" t="inlineStr">
        <is>
          <t>Refundable part of the American opportunity credit (Form 8863, line 8).</t>
        </is>
      </c>
      <c r="AN54" s="9086" t="n"/>
      <c r="AO54" s="9086" t="n"/>
      <c r="AP54" s="5458" t="n"/>
      <c r="AQ54" s="5415" t="n"/>
      <c r="AR54" s="5415" t="n"/>
      <c r="AS54" s="5415" t="n"/>
      <c r="AT54" s="5415" t="n"/>
      <c r="AU54" s="344" t="n"/>
    </row>
    <row r="55" ht="15" customHeight="1" s="7635" thickBot="1">
      <c r="A55" s="139" t="n"/>
      <c r="B55" s="88" t="n"/>
      <c r="C55" s="228" t="n"/>
      <c r="D55" s="228" t="n"/>
      <c r="E55" s="11403" t="inlineStr">
        <is>
          <t>and enter your penalty on your tax return, but file only page 1 of Form 2210.</t>
        </is>
      </c>
      <c r="F55" s="88" t="n"/>
      <c r="G55" s="88" t="n"/>
      <c r="H55" s="88" t="n"/>
      <c r="I55" s="88" t="n"/>
      <c r="J55" s="226" t="n"/>
      <c r="K55" s="88" t="n"/>
      <c r="L55" s="88" t="n"/>
      <c r="M55" s="88" t="n"/>
      <c r="N55" s="88" t="n"/>
      <c r="O55" s="88" t="n"/>
      <c r="P55" s="88" t="n"/>
      <c r="Q55" s="88" t="n"/>
      <c r="R55" s="88" t="n"/>
      <c r="S55" s="3374" t="n"/>
      <c r="T55" s="88" t="n"/>
      <c r="U55" s="7847" t="n"/>
      <c r="V55" s="7847" t="n"/>
      <c r="W55" s="3961">
        <f>IF(AND(W48,OR(D58&lt;&gt;"",D66&lt;&gt;""),D60="",D62="",D64=""),TRUE,FALSE)</f>
        <v/>
      </c>
      <c r="X55" s="139" t="n"/>
      <c r="Y55" s="343" t="n"/>
      <c r="Z55" s="5417" t="n"/>
      <c r="AA55" s="5415" t="n"/>
      <c r="AB55" s="11602" t="n"/>
      <c r="AC55" s="7813" t="inlineStr">
        <is>
          <t>Date of Single Payment</t>
        </is>
      </c>
      <c r="AD55" s="7839" t="n"/>
      <c r="AE55" s="7839" t="n"/>
      <c r="AF55" s="11602" t="n"/>
      <c r="AG55" s="5415" t="n"/>
      <c r="AH55" s="5437" t="inlineStr">
        <is>
          <t>h</t>
        </is>
      </c>
      <c r="AI55" s="344" t="inlineStr">
        <is>
          <t>Premium tax Credit (Form 8962)</t>
        </is>
      </c>
      <c r="AJ55" s="11602" t="n"/>
      <c r="AK55" s="11602" t="n"/>
      <c r="AL55" s="11602" t="n"/>
      <c r="AM55" s="11602" t="n"/>
      <c r="AN55" s="9086" t="n"/>
      <c r="AO55" s="9086" t="n"/>
      <c r="AP55" s="5458" t="n"/>
      <c r="AQ55" s="5415" t="n"/>
      <c r="AR55" s="5415" t="n"/>
      <c r="AS55" s="5415" t="n"/>
      <c r="AT55" s="5415" t="n"/>
      <c r="AU55" s="344" t="n"/>
    </row>
    <row r="56" ht="13.5" customHeight="1" s="7635">
      <c r="A56" s="139" t="n"/>
      <c r="B56" s="5439" t="inlineStr">
        <is>
          <t xml:space="preserve"> Part II</t>
        </is>
      </c>
      <c r="C56" s="5440" t="n"/>
      <c r="D56" s="5440" t="n"/>
      <c r="E56" s="5464" t="inlineStr">
        <is>
          <t>Reasons for Filing.   Check applicable boxes.</t>
        </is>
      </c>
      <c r="F56" s="5442" t="n"/>
      <c r="G56" s="5442" t="n"/>
      <c r="H56" s="5442" t="n"/>
      <c r="I56" s="5442" t="n"/>
      <c r="J56" s="5442" t="n"/>
      <c r="K56" s="5442" t="n"/>
      <c r="L56" s="5465" t="inlineStr">
        <is>
          <t>If none apply, don't file Form 2210.</t>
        </is>
      </c>
      <c r="M56" s="5442" t="n"/>
      <c r="N56" s="5442" t="n"/>
      <c r="O56" s="5442" t="n"/>
      <c r="P56" s="5442" t="n"/>
      <c r="Q56" s="5442" t="n"/>
      <c r="R56" s="5442" t="n"/>
      <c r="S56" s="5442" t="n"/>
      <c r="T56" s="5442" t="n"/>
      <c r="U56" s="5442" t="n"/>
      <c r="V56" s="5442" t="n"/>
      <c r="W56" s="5442" t="n"/>
      <c r="X56" s="144" t="n"/>
      <c r="Y56" s="505" t="n"/>
      <c r="Z56" s="5417" t="n"/>
      <c r="AA56" s="5415" t="n"/>
      <c r="AB56" s="11602" t="n"/>
      <c r="AF56" s="11602" t="n"/>
      <c r="AG56" s="5415" t="n"/>
      <c r="AH56" s="5437" t="inlineStr">
        <is>
          <t>h</t>
        </is>
      </c>
      <c r="AI56" s="344" t="inlineStr">
        <is>
          <t>Recovery rebate credit</t>
        </is>
      </c>
      <c r="AJ56" s="11602" t="n"/>
      <c r="AK56" s="11602" t="n"/>
      <c r="AL56" s="11602" t="n"/>
      <c r="AM56" s="11602" t="n"/>
      <c r="AN56" s="9086" t="n"/>
      <c r="AO56" s="9086" t="n"/>
      <c r="AP56" s="5458" t="n"/>
      <c r="AQ56" s="5415" t="n"/>
      <c r="AR56" s="5415" t="n"/>
      <c r="AS56" s="5415" t="n"/>
      <c r="AT56" s="5415" t="n"/>
      <c r="AU56" s="344" t="n"/>
    </row>
    <row r="57" ht="13.5" customHeight="1" s="7635">
      <c r="A57" s="139" t="n"/>
      <c r="B57" s="88" t="n"/>
      <c r="C57" s="228" t="n"/>
      <c r="D57" s="11403" t="n"/>
      <c r="E57" s="4695" t="n"/>
      <c r="F57" s="182" t="n"/>
      <c r="G57" s="182" t="n"/>
      <c r="H57" s="182" t="n"/>
      <c r="I57" s="182" t="n"/>
      <c r="J57" s="182" t="n"/>
      <c r="K57" s="182" t="n"/>
      <c r="L57" s="182" t="n"/>
      <c r="M57" s="182" t="n"/>
      <c r="N57" s="182" t="n"/>
      <c r="O57" s="182" t="n"/>
      <c r="P57" s="182" t="n"/>
      <c r="Q57" s="182" t="n"/>
      <c r="R57" s="182" t="n"/>
      <c r="S57" s="182" t="n"/>
      <c r="T57" s="182" t="n"/>
      <c r="U57" s="182" t="n"/>
      <c r="V57" s="182" t="n"/>
      <c r="W57" s="182" t="n"/>
      <c r="X57" s="144" t="n"/>
      <c r="Y57" s="505" t="n"/>
      <c r="Z57" s="5415" t="n"/>
      <c r="AA57" s="5415" t="n"/>
      <c r="AB57" s="11602" t="n"/>
      <c r="AC57" s="11602" t="n"/>
      <c r="AD57" s="11602" t="n"/>
      <c r="AE57" s="11602" t="n"/>
      <c r="AF57" s="11602" t="n"/>
      <c r="AG57" s="5415" t="n"/>
      <c r="AH57" s="5437" t="inlineStr">
        <is>
          <t>h</t>
        </is>
      </c>
      <c r="AI57" s="344" t="inlineStr">
        <is>
          <t>Credit for federal Tax paid on fuels</t>
        </is>
      </c>
      <c r="AJ57" s="11602" t="n"/>
      <c r="AK57" s="11602" t="n"/>
      <c r="AL57" s="11602" t="n"/>
      <c r="AM57" s="11602" t="n"/>
      <c r="AN57" s="9086" t="n"/>
      <c r="AO57" s="9086" t="n"/>
      <c r="AP57" s="5458" t="n"/>
      <c r="AQ57" s="5415" t="n"/>
      <c r="AR57" s="5415" t="n"/>
      <c r="AS57" s="5415" t="n"/>
      <c r="AT57" s="5415" t="n"/>
      <c r="AU57" s="344" t="n"/>
    </row>
    <row r="58" ht="13.5" customHeight="1" s="7635">
      <c r="A58" s="139" t="n"/>
      <c r="B58" s="441">
        <f>(D58&lt;&gt;"")</f>
        <v/>
      </c>
      <c r="C58" s="228" t="inlineStr">
        <is>
          <t>A</t>
        </is>
      </c>
      <c r="D58" s="276" t="n"/>
      <c r="E58" s="4695" t="inlineStr">
        <is>
          <t>You request a waiver (see instructions) of your entire penalty. You must check this box and file page 1 of Form 2210, but you</t>
        </is>
      </c>
      <c r="F58" s="182" t="n"/>
      <c r="G58" s="182" t="n"/>
      <c r="H58" s="182" t="n"/>
      <c r="I58" s="182" t="n"/>
      <c r="J58" s="182" t="n"/>
      <c r="K58" s="182" t="n"/>
      <c r="L58" s="182" t="n"/>
      <c r="M58" s="182" t="n"/>
      <c r="N58" s="182" t="n"/>
      <c r="O58" s="182" t="n"/>
      <c r="P58" s="182" t="n"/>
      <c r="Q58" s="182" t="n"/>
      <c r="R58" s="182" t="n"/>
      <c r="S58" s="182" t="n"/>
      <c r="T58" s="182" t="n"/>
      <c r="U58" s="182" t="n"/>
      <c r="V58" s="182" t="n"/>
      <c r="W58" s="182" t="n"/>
      <c r="X58" s="144" t="n"/>
      <c r="Y58" s="505" t="n"/>
      <c r="Z58" s="5415" t="n"/>
      <c r="AA58" s="5415" t="n"/>
      <c r="AB58" s="11602" t="n"/>
      <c r="AC58" s="11602" t="n"/>
      <c r="AD58" s="11602" t="n"/>
      <c r="AE58" s="11602" t="n"/>
      <c r="AF58" s="11602" t="n"/>
      <c r="AG58" s="5415" t="n"/>
      <c r="AH58" s="5437" t="inlineStr">
        <is>
          <t>h</t>
        </is>
      </c>
      <c r="AI58" s="344" t="inlineStr">
        <is>
          <t>Qualified sick and family leave credits from Schedule(s) H</t>
        </is>
      </c>
      <c r="AJ58" s="11602" t="n"/>
      <c r="AK58" s="11602" t="n"/>
      <c r="AL58" s="11602" t="n"/>
      <c r="AM58" s="11602" t="n"/>
      <c r="AN58" s="9086" t="n"/>
      <c r="AO58" s="9086" t="n"/>
      <c r="AP58" s="5458" t="n"/>
      <c r="AQ58" s="5415" t="n"/>
      <c r="AR58" s="5415" t="n"/>
      <c r="AS58" s="5415" t="n"/>
      <c r="AT58" s="5415" t="n"/>
      <c r="AU58" s="344" t="n"/>
    </row>
    <row r="59" ht="13.5" customHeight="1" s="7635">
      <c r="A59" s="139" t="n"/>
      <c r="B59" s="9316" t="n"/>
      <c r="E59" s="4695" t="inlineStr">
        <is>
          <t xml:space="preserve"> aren't required to figure your penalty.</t>
        </is>
      </c>
      <c r="F59" s="182" t="n"/>
      <c r="G59" s="182" t="n"/>
      <c r="H59" s="182" t="n"/>
      <c r="I59" s="182" t="n"/>
      <c r="J59" s="182" t="n"/>
      <c r="K59" s="182" t="n"/>
      <c r="L59" s="182" t="n"/>
      <c r="M59" s="182" t="n"/>
      <c r="N59" s="182" t="n"/>
      <c r="O59" s="182" t="n"/>
      <c r="P59" s="182" t="n"/>
      <c r="Q59" s="182" t="n"/>
      <c r="R59" s="182" t="n"/>
      <c r="S59" s="182" t="n"/>
      <c r="T59" s="182" t="n"/>
      <c r="U59" s="182" t="n"/>
      <c r="V59" s="182" t="n"/>
      <c r="W59" s="182" t="n"/>
      <c r="X59" s="144" t="n"/>
      <c r="Y59" s="505" t="n"/>
      <c r="Z59" s="5466" t="n"/>
      <c r="AA59" s="5415" t="n"/>
      <c r="AB59" s="11602" t="n"/>
      <c r="AC59" s="11602" t="n"/>
      <c r="AD59" s="11602" t="n"/>
      <c r="AE59" s="11602" t="n"/>
      <c r="AF59" s="11602" t="n"/>
      <c r="AG59" s="5415" t="n"/>
      <c r="AH59" s="5437" t="n"/>
      <c r="AI59" s="344" t="inlineStr">
        <is>
          <t>(Schedule 3 (Form 1040), lines 13b and 13h).</t>
        </is>
      </c>
      <c r="AJ59" s="11602" t="n"/>
      <c r="AK59" s="11602" t="n"/>
      <c r="AL59" s="11602" t="n"/>
      <c r="AM59" s="11602" t="n"/>
      <c r="AN59" s="9086" t="n"/>
      <c r="AO59" s="9086" t="n"/>
      <c r="AP59" s="5458" t="n"/>
      <c r="AQ59" s="5415" t="n"/>
      <c r="AR59" s="5415" t="n"/>
      <c r="AS59" s="5415" t="n"/>
      <c r="AT59" s="5415" t="n"/>
      <c r="AU59" s="344" t="n"/>
    </row>
    <row r="60" ht="13.5" customHeight="1" s="7635">
      <c r="A60" s="139" t="n"/>
      <c r="B60" s="441">
        <f>(D60&lt;&gt;"")</f>
        <v/>
      </c>
      <c r="C60" s="228" t="inlineStr">
        <is>
          <t>B</t>
        </is>
      </c>
      <c r="D60" s="276" t="n"/>
      <c r="E60" s="4695" t="inlineStr">
        <is>
          <t>You request a waiver (see instructions) of part of your penalty. You must figure your penalty and waiver amount and file</t>
        </is>
      </c>
      <c r="F60" s="182" t="n"/>
      <c r="G60" s="182" t="n"/>
      <c r="H60" s="182" t="n"/>
      <c r="I60" s="182" t="n"/>
      <c r="J60" s="182" t="n"/>
      <c r="K60" s="182" t="n"/>
      <c r="L60" s="182" t="n"/>
      <c r="M60" s="182" t="n"/>
      <c r="N60" s="182" t="n"/>
      <c r="O60" s="182" t="n"/>
      <c r="P60" s="182" t="n"/>
      <c r="Q60" s="182" t="n"/>
      <c r="R60" s="182" t="n"/>
      <c r="S60" s="182" t="n"/>
      <c r="T60" s="182" t="n"/>
      <c r="U60" s="182" t="n"/>
      <c r="V60" s="182" t="n"/>
      <c r="W60" s="182" t="n"/>
      <c r="X60" s="144" t="n"/>
      <c r="Y60" s="505" t="n"/>
      <c r="Z60" s="5466" t="n"/>
      <c r="AA60" s="5415" t="n"/>
      <c r="AB60" s="11602" t="n"/>
      <c r="AC60" s="11602" t="n"/>
      <c r="AD60" s="344" t="inlineStr">
        <is>
          <t xml:space="preserve">                                                                         </t>
        </is>
      </c>
      <c r="AE60" s="11602" t="n"/>
      <c r="AF60" s="11602" t="n"/>
      <c r="AG60" s="5415" t="n"/>
      <c r="AH60" s="5437" t="inlineStr">
        <is>
          <t>h</t>
        </is>
      </c>
      <c r="AI60" s="344" t="inlineStr">
        <is>
          <t>Health coverage tax credit</t>
        </is>
      </c>
      <c r="AJ60" s="11602" t="n"/>
      <c r="AK60" s="11602" t="n"/>
      <c r="AL60" s="11602" t="n"/>
      <c r="AM60" s="11602" t="n"/>
      <c r="AN60" s="9086" t="n"/>
      <c r="AO60" s="9086" t="n"/>
      <c r="AP60" s="5458" t="n"/>
      <c r="AQ60" s="5415" t="n"/>
      <c r="AR60" s="5415" t="n"/>
      <c r="AS60" s="5415" t="n"/>
      <c r="AT60" s="5415" t="n"/>
      <c r="AU60" s="344" t="n"/>
    </row>
    <row r="61" ht="13.5" customHeight="1" s="7635">
      <c r="A61" s="139" t="n"/>
      <c r="B61" s="441" t="n"/>
      <c r="C61" s="228" t="n"/>
      <c r="D61" s="11403" t="n"/>
      <c r="E61" s="5467" t="inlineStr">
        <is>
          <t>Form 2210.</t>
        </is>
      </c>
      <c r="F61" s="182" t="n"/>
      <c r="G61" s="182" t="n"/>
      <c r="H61" s="182" t="n"/>
      <c r="I61" s="182" t="n"/>
      <c r="J61" s="182" t="n"/>
      <c r="K61" s="182" t="n"/>
      <c r="L61" s="182" t="n"/>
      <c r="M61" s="182" t="n"/>
      <c r="N61" s="182" t="n"/>
      <c r="O61" s="182" t="n"/>
      <c r="P61" s="182" t="n"/>
      <c r="Q61" s="182" t="n"/>
      <c r="R61" s="182" t="n"/>
      <c r="S61" s="182" t="n"/>
      <c r="T61" s="182" t="n"/>
      <c r="U61" s="182" t="n"/>
      <c r="V61" s="182" t="n"/>
      <c r="W61" s="182" t="n"/>
      <c r="X61" s="144" t="n"/>
      <c r="Y61" s="505" t="n"/>
      <c r="Z61" s="5466" t="n"/>
      <c r="AA61" s="5415" t="n"/>
      <c r="AB61" s="11602" t="n"/>
      <c r="AC61" s="11602" t="n"/>
      <c r="AD61" s="11602" t="n"/>
      <c r="AE61" s="11602" t="n"/>
      <c r="AF61" s="11602" t="n"/>
      <c r="AG61" s="5415" t="n"/>
      <c r="AH61" s="5437" t="inlineStr">
        <is>
          <t>h</t>
        </is>
      </c>
      <c r="AI61" s="344" t="inlineStr">
        <is>
          <t>Credit determined under section 1341(a)(5)(B).</t>
        </is>
      </c>
      <c r="AJ61" s="11602" t="n"/>
      <c r="AK61" s="11602" t="n"/>
      <c r="AL61" s="11602" t="n"/>
      <c r="AM61" s="11602" t="n"/>
      <c r="AN61" s="9086" t="n"/>
      <c r="AO61" s="9086" t="n"/>
      <c r="AP61" s="5458" t="n"/>
      <c r="AQ61" s="5415" t="n"/>
      <c r="AR61" s="5415" t="n"/>
      <c r="AS61" s="5415" t="n"/>
      <c r="AT61" s="5415" t="n"/>
      <c r="AU61" s="344" t="n"/>
    </row>
    <row r="62" ht="13.5" customHeight="1" s="7635" thickBot="1">
      <c r="A62" s="139" t="n"/>
      <c r="B62" s="441">
        <f>(D62&lt;&gt;"")</f>
        <v/>
      </c>
      <c r="C62" s="228" t="inlineStr">
        <is>
          <t>C</t>
        </is>
      </c>
      <c r="D62" s="276" t="n"/>
      <c r="E62" s="4695" t="inlineStr">
        <is>
          <t>Your income varied during the year and your penalty is reduced or eliminated when figured using the annualized income</t>
        </is>
      </c>
      <c r="F62" s="182" t="n"/>
      <c r="G62" s="182" t="n"/>
      <c r="H62" s="182" t="n"/>
      <c r="I62" s="182" t="n"/>
      <c r="J62" s="182" t="n"/>
      <c r="K62" s="182" t="n"/>
      <c r="L62" s="182" t="n"/>
      <c r="M62" s="182" t="n"/>
      <c r="N62" s="182" t="n"/>
      <c r="O62" s="182" t="n"/>
      <c r="P62" s="182" t="n"/>
      <c r="Q62" s="182" t="n"/>
      <c r="R62" s="182" t="n"/>
      <c r="S62" s="182" t="n"/>
      <c r="T62" s="182" t="n"/>
      <c r="U62" s="182" t="n"/>
      <c r="V62" s="182" t="n"/>
      <c r="W62" s="182" t="n"/>
      <c r="X62" s="144" t="n"/>
      <c r="Y62" s="505" t="n"/>
      <c r="Z62" s="5466" t="n"/>
      <c r="AA62" s="5415" t="n"/>
      <c r="AB62" s="11602" t="n"/>
      <c r="AC62" s="11602" t="n"/>
      <c r="AD62" s="11602" t="n"/>
      <c r="AE62" s="11602" t="n"/>
      <c r="AF62" s="11602" t="n"/>
      <c r="AG62" s="5415" t="n"/>
      <c r="AH62" s="5468" t="n"/>
      <c r="AI62" s="5469" t="n"/>
      <c r="AJ62" s="5469" t="n"/>
      <c r="AK62" s="5469" t="n"/>
      <c r="AL62" s="5469" t="n"/>
      <c r="AM62" s="5469" t="n"/>
      <c r="AN62" s="5469" t="n"/>
      <c r="AO62" s="5469" t="n"/>
      <c r="AP62" s="5470" t="n"/>
      <c r="AQ62" s="5415" t="n"/>
      <c r="AR62" s="5415" t="n"/>
      <c r="AS62" s="5415" t="n"/>
      <c r="AT62" s="5415" t="n"/>
      <c r="AU62" s="344" t="n"/>
    </row>
    <row r="63" ht="13.5" customHeight="1" s="7635">
      <c r="A63" s="139" t="n"/>
      <c r="B63" s="441" t="n"/>
      <c r="C63" s="228" t="n"/>
      <c r="D63" s="11403" t="n"/>
      <c r="E63" s="4695" t="inlineStr">
        <is>
          <t>installment method. You must figure the penalty using Schedule Al and file Form 2210.</t>
        </is>
      </c>
      <c r="F63" s="182" t="n"/>
      <c r="G63" s="182" t="n"/>
      <c r="H63" s="182" t="n"/>
      <c r="I63" s="182" t="n"/>
      <c r="J63" s="182" t="n"/>
      <c r="K63" s="182" t="n"/>
      <c r="L63" s="182" t="n"/>
      <c r="M63" s="182" t="n"/>
      <c r="N63" s="182" t="n"/>
      <c r="O63" s="182" t="n"/>
      <c r="P63" s="182" t="n"/>
      <c r="Q63" s="182" t="n"/>
      <c r="R63" s="182" t="n"/>
      <c r="S63" s="182" t="n"/>
      <c r="T63" s="182" t="n"/>
      <c r="U63" s="182" t="n"/>
      <c r="V63" s="182" t="n"/>
      <c r="W63" s="182" t="n"/>
      <c r="X63" s="144" t="n"/>
      <c r="Y63" s="505" t="n"/>
      <c r="Z63" s="5466" t="n"/>
      <c r="AA63" s="5415" t="n"/>
      <c r="AB63" s="11602" t="n"/>
      <c r="AC63" s="11602" t="n"/>
      <c r="AD63" s="11602" t="n"/>
      <c r="AE63" s="11602" t="n"/>
      <c r="AF63" s="11602" t="n"/>
      <c r="AG63" s="5415" t="n"/>
      <c r="AH63" s="5415" t="n"/>
      <c r="AI63" s="5415" t="n"/>
      <c r="AJ63" s="5415" t="n"/>
      <c r="AK63" s="5415" t="n"/>
      <c r="AL63" s="5415" t="n"/>
      <c r="AM63" s="5415" t="n"/>
      <c r="AN63" s="5415" t="n"/>
      <c r="AO63" s="5415" t="n"/>
      <c r="AP63" s="5415" t="n"/>
      <c r="AQ63" s="5415" t="n"/>
      <c r="AR63" s="5415" t="n"/>
      <c r="AS63" s="5415" t="n"/>
      <c r="AT63" s="5415" t="n"/>
      <c r="AU63" s="344" t="n"/>
    </row>
    <row r="64" ht="13.5" customHeight="1" s="7635">
      <c r="A64" s="139" t="n"/>
      <c r="B64" s="441">
        <f>(D64&lt;&gt;"")</f>
        <v/>
      </c>
      <c r="C64" s="228" t="inlineStr">
        <is>
          <t>D</t>
        </is>
      </c>
      <c r="D64" s="276" t="n"/>
      <c r="E64" s="4695" t="inlineStr">
        <is>
          <t>Your penalty is lower when figured by treating the federal income tax withheld from your income as paid on the dates it was</t>
        </is>
      </c>
      <c r="F64" s="182" t="n"/>
      <c r="G64" s="182" t="n"/>
      <c r="H64" s="182" t="n"/>
      <c r="I64" s="182" t="n"/>
      <c r="J64" s="182" t="n"/>
      <c r="K64" s="182" t="n"/>
      <c r="L64" s="182" t="n"/>
      <c r="M64" s="182" t="n"/>
      <c r="N64" s="182" t="n"/>
      <c r="O64" s="182" t="n"/>
      <c r="P64" s="182" t="n"/>
      <c r="Q64" s="182" t="n"/>
      <c r="R64" s="182" t="n"/>
      <c r="S64" s="182" t="n"/>
      <c r="T64" s="182" t="n"/>
      <c r="U64" s="182" t="n"/>
      <c r="V64" s="182" t="n"/>
      <c r="W64" s="182" t="n"/>
      <c r="X64" s="144" t="n"/>
      <c r="Y64" s="505" t="n"/>
      <c r="Z64" s="5466" t="n"/>
      <c r="AA64" s="5415" t="n"/>
      <c r="AB64" s="11602" t="n"/>
      <c r="AC64" s="11602" t="n"/>
      <c r="AD64" s="11602" t="n"/>
      <c r="AE64" s="11602" t="n"/>
      <c r="AF64" s="11602" t="n"/>
      <c r="AG64" s="5415" t="n"/>
      <c r="AH64" s="5415" t="n"/>
      <c r="AI64" s="5415" t="n"/>
      <c r="AJ64" s="5415" t="n"/>
      <c r="AK64" s="5415" t="n"/>
      <c r="AL64" s="5415" t="n"/>
      <c r="AM64" s="5415" t="n"/>
      <c r="AN64" s="5415" t="n"/>
      <c r="AO64" s="5415" t="n"/>
      <c r="AP64" s="5415" t="n"/>
      <c r="AQ64" s="5415" t="n"/>
      <c r="AR64" s="5415" t="n"/>
      <c r="AS64" s="5415" t="n"/>
      <c r="AT64" s="5415" t="n"/>
      <c r="AU64" s="344" t="n"/>
    </row>
    <row r="65" ht="13.5" customHeight="1" s="7635">
      <c r="A65" s="139" t="n"/>
      <c r="B65" s="441" t="n"/>
      <c r="C65" s="228" t="n"/>
      <c r="D65" s="11403" t="n"/>
      <c r="E65" s="11403" t="inlineStr">
        <is>
          <t xml:space="preserve">   actually withheld, instead of in equal amounts on the payment due dates. You must figure your penalty and file Form 2210.</t>
        </is>
      </c>
      <c r="F65" s="88" t="n"/>
      <c r="G65" s="88" t="n"/>
      <c r="H65" s="88" t="n"/>
      <c r="I65" s="88" t="n"/>
      <c r="J65" s="88" t="n"/>
      <c r="K65" s="88" t="n"/>
      <c r="L65" s="88" t="n"/>
      <c r="M65" s="88" t="n"/>
      <c r="N65" s="88" t="n"/>
      <c r="O65" s="88" t="n"/>
      <c r="P65" s="88" t="n"/>
      <c r="Q65" s="88" t="n"/>
      <c r="R65" s="88" t="n"/>
      <c r="S65" s="88" t="n"/>
      <c r="T65" s="88" t="n"/>
      <c r="U65" s="88" t="n"/>
      <c r="V65" s="88" t="n"/>
      <c r="W65" s="88" t="n"/>
      <c r="X65" s="139" t="n"/>
      <c r="Y65" s="343" t="n"/>
      <c r="Z65" s="5466" t="n"/>
      <c r="AA65" s="5415" t="n"/>
      <c r="AB65" s="11602" t="n"/>
      <c r="AC65" s="11602" t="n"/>
      <c r="AD65" s="11602" t="n"/>
      <c r="AE65" s="11602" t="n"/>
      <c r="AF65" s="11602" t="n"/>
      <c r="AG65" s="5415" t="n"/>
      <c r="AH65" s="5415" t="n"/>
      <c r="AI65" s="5415" t="n"/>
      <c r="AJ65" s="5415" t="n"/>
      <c r="AK65" s="5415" t="n"/>
      <c r="AL65" s="5415" t="n"/>
      <c r="AM65" s="5415" t="n"/>
      <c r="AN65" s="5415" t="n"/>
      <c r="AO65" s="5415" t="n"/>
      <c r="AP65" s="5415" t="n"/>
      <c r="AQ65" s="5415" t="n"/>
      <c r="AR65" s="5415" t="n"/>
      <c r="AS65" s="5415" t="n"/>
      <c r="AT65" s="5415" t="n"/>
      <c r="AU65" s="344" t="n"/>
    </row>
    <row r="66" ht="13.5" customHeight="1" s="7635">
      <c r="A66" s="139" t="n"/>
      <c r="B66" s="441">
        <f>(D66&lt;&gt;"")</f>
        <v/>
      </c>
      <c r="C66" s="228" t="inlineStr">
        <is>
          <t>E</t>
        </is>
      </c>
      <c r="D66" s="276" t="n"/>
      <c r="E66" s="4695">
        <f>"You filed or are filing a joint return for either "&amp;TaxYear-1&amp;" or "&amp;TaxYear&amp;",  but not for both years, and line 8 above is smaller than line 5"</f>
        <v/>
      </c>
      <c r="F66" s="182" t="n"/>
      <c r="G66" s="182" t="n"/>
      <c r="H66" s="182" t="n"/>
      <c r="I66" s="182" t="n"/>
      <c r="J66" s="182" t="n"/>
      <c r="K66" s="182" t="n"/>
      <c r="L66" s="182" t="n"/>
      <c r="M66" s="182" t="n"/>
      <c r="N66" s="182" t="n"/>
      <c r="O66" s="182" t="n"/>
      <c r="P66" s="182" t="n"/>
      <c r="Q66" s="182" t="n"/>
      <c r="R66" s="5455" t="n"/>
      <c r="S66" s="2617" t="n"/>
      <c r="T66" s="182" t="n"/>
      <c r="U66" s="182" t="n"/>
      <c r="V66" s="182" t="n"/>
      <c r="W66" s="5454" t="n"/>
      <c r="X66" s="144" t="n"/>
      <c r="Y66" s="505" t="n"/>
      <c r="Z66" s="5415" t="n"/>
      <c r="AA66" s="5415" t="n"/>
      <c r="AB66" s="11602" t="n"/>
      <c r="AC66" s="11602" t="n"/>
      <c r="AD66" s="11602" t="n"/>
      <c r="AE66" s="11602" t="n"/>
      <c r="AF66" s="11602" t="n"/>
      <c r="AG66" s="5415" t="n"/>
      <c r="AH66" s="5415" t="n"/>
      <c r="AI66" s="5415" t="n"/>
      <c r="AJ66" s="5415" t="n"/>
      <c r="AK66" s="5415" t="n"/>
      <c r="AL66" s="5415" t="n"/>
      <c r="AM66" s="5415" t="n"/>
      <c r="AN66" s="5415" t="n"/>
      <c r="AO66" s="5415" t="n"/>
      <c r="AP66" s="5415" t="n"/>
      <c r="AQ66" s="5415" t="n"/>
      <c r="AR66" s="5415" t="n"/>
      <c r="AS66" s="5415" t="n"/>
      <c r="AT66" s="5415" t="n"/>
      <c r="AU66" s="344" t="n"/>
    </row>
    <row r="67" ht="13.5" customHeight="1" s="7635" thickBot="1">
      <c r="A67" s="139" t="n"/>
      <c r="B67" s="9353">
        <f>OR(B58,B60,B62,B64,B66)</f>
        <v/>
      </c>
      <c r="C67" s="12313" t="n"/>
      <c r="D67" s="12313" t="n"/>
      <c r="E67" s="4695" t="inlineStr">
        <is>
          <t>above. You must file page 1 of Form 2210, but you aren't required to figure your penalty (unless box B, C, or D applies).</t>
        </is>
      </c>
      <c r="F67" s="182" t="n"/>
      <c r="G67" s="182" t="n"/>
      <c r="H67" s="182" t="n"/>
      <c r="I67" s="182" t="n"/>
      <c r="J67" s="182" t="n"/>
      <c r="K67" s="182" t="n"/>
      <c r="L67" s="182" t="n"/>
      <c r="M67" s="182" t="n"/>
      <c r="N67" s="182" t="n"/>
      <c r="O67" s="182" t="n"/>
      <c r="P67" s="182" t="n"/>
      <c r="Q67" s="182" t="n"/>
      <c r="R67" s="182" t="n"/>
      <c r="S67" s="182" t="n"/>
      <c r="T67" s="182" t="n"/>
      <c r="U67" s="182" t="n"/>
      <c r="V67" s="182" t="n"/>
      <c r="W67" s="5471">
        <f>NOT(B67)</f>
        <v/>
      </c>
      <c r="X67" s="144" t="n"/>
      <c r="Y67" s="505" t="n"/>
      <c r="Z67" s="5415" t="n"/>
      <c r="AA67" s="5415" t="n"/>
      <c r="AB67" s="11602" t="n"/>
      <c r="AC67" s="11602" t="n"/>
      <c r="AD67" s="11602" t="n"/>
      <c r="AE67" s="11602" t="n"/>
      <c r="AF67" s="11602" t="n"/>
      <c r="AG67" s="5415" t="n"/>
      <c r="AH67" s="5415" t="n"/>
      <c r="AI67" s="5415" t="n"/>
      <c r="AJ67" s="5415" t="n"/>
      <c r="AK67" s="5415" t="n"/>
      <c r="AL67" s="5415" t="n"/>
      <c r="AM67" s="5415" t="n"/>
      <c r="AN67" s="5415" t="n"/>
      <c r="AO67" s="5415" t="n"/>
      <c r="AP67" s="5415" t="n"/>
      <c r="AQ67" s="5415" t="n"/>
      <c r="AR67" s="5415" t="n"/>
      <c r="AS67" s="5415" t="n"/>
      <c r="AT67" s="5415" t="n"/>
      <c r="AU67" s="344" t="n"/>
    </row>
    <row r="68" ht="17.25" customFormat="1" customHeight="1" s="207">
      <c r="A68" s="5472" t="n"/>
      <c r="B68" s="5473" t="n"/>
      <c r="C68" s="5474" t="inlineStr">
        <is>
          <t>For Paperwork Reduction Act Notice, see separate instructions.</t>
        </is>
      </c>
      <c r="D68" s="5475" t="n"/>
      <c r="E68" s="5473" t="n"/>
      <c r="F68" s="5473" t="n"/>
      <c r="G68" s="5473" t="n"/>
      <c r="H68" s="5473" t="n"/>
      <c r="I68" s="5473" t="n"/>
      <c r="J68" s="5473" t="n"/>
      <c r="K68" s="5473" t="n"/>
      <c r="L68" s="5473" t="n"/>
      <c r="M68" s="5473" t="n"/>
      <c r="N68" s="5473" t="n"/>
      <c r="O68" s="5473" t="n"/>
      <c r="P68" s="5473" t="n"/>
      <c r="Q68" s="5476" t="inlineStr">
        <is>
          <t>Cat. No. 11744P</t>
        </is>
      </c>
      <c r="R68" s="5477" t="n"/>
      <c r="S68" s="5478">
        <f>IF(AND(D66&lt;&gt;"",Q43&gt;=U46),TRUE,FALSE)</f>
        <v/>
      </c>
      <c r="T68" s="5473" t="n"/>
      <c r="U68" s="5479" t="n"/>
      <c r="V68" s="5479" t="inlineStr">
        <is>
          <t>Form  2210</t>
        </is>
      </c>
      <c r="W68" s="5476">
        <f>"("&amp;TaxYear&amp;")"</f>
        <v/>
      </c>
      <c r="X68" s="5472" t="n"/>
      <c r="Y68" s="343" t="n"/>
      <c r="Z68" s="5415" t="n"/>
      <c r="AA68" s="5415" t="n"/>
      <c r="AB68" s="11602" t="n"/>
      <c r="AC68" s="11602" t="n"/>
      <c r="AD68" s="11602" t="n"/>
      <c r="AE68" s="11602" t="n"/>
      <c r="AF68" s="11602" t="n"/>
      <c r="AG68" s="5415" t="n"/>
      <c r="AH68" s="5415" t="n"/>
      <c r="AI68" s="5415" t="n"/>
      <c r="AJ68" s="5415" t="n"/>
      <c r="AK68" s="5415" t="n"/>
      <c r="AL68" s="5415" t="n"/>
      <c r="AM68" s="5415" t="n"/>
      <c r="AN68" s="5415" t="n"/>
      <c r="AO68" s="5415" t="n"/>
      <c r="AP68" s="5415" t="n"/>
      <c r="AQ68" s="5415" t="n"/>
      <c r="AR68" s="5415" t="n"/>
      <c r="AS68" s="5415" t="n"/>
      <c r="AT68" s="5415" t="n"/>
      <c r="AU68" s="344" t="n"/>
      <c r="AV68" s="658" t="n"/>
      <c r="AW68" s="658" t="n"/>
      <c r="AX68" s="658" t="n"/>
      <c r="AY68" s="658" t="n"/>
      <c r="AZ68" s="658" t="n"/>
      <c r="BA68" s="658" t="n"/>
      <c r="BB68" s="658" t="n"/>
      <c r="BC68" s="658" t="n"/>
      <c r="BD68" s="658" t="n"/>
      <c r="BE68" s="658" t="n"/>
      <c r="BF68" s="658" t="n"/>
    </row>
    <row r="69" ht="20.25" customHeight="1" s="7635" thickBot="1">
      <c r="A69" s="139" t="n"/>
      <c r="B69" s="2584" t="n"/>
      <c r="C69" s="2543">
        <f>"Form 2210 ("&amp;TaxYear&amp;")"</f>
        <v/>
      </c>
      <c r="D69" s="1901" t="n"/>
      <c r="E69" s="91" t="n"/>
      <c r="F69" s="91" t="n"/>
      <c r="G69" s="91" t="n"/>
      <c r="H69" s="91" t="n"/>
      <c r="I69" s="91" t="n"/>
      <c r="J69" s="91" t="n"/>
      <c r="K69" s="91" t="n"/>
      <c r="L69" s="91" t="n"/>
      <c r="M69" s="91" t="n"/>
      <c r="N69" s="91" t="n"/>
      <c r="O69" s="91" t="n"/>
      <c r="P69" s="91" t="n"/>
      <c r="Q69" s="5480" t="n"/>
      <c r="R69" s="10287" t="n"/>
      <c r="S69" s="91" t="n"/>
      <c r="T69" s="91" t="n"/>
      <c r="U69" s="91" t="n"/>
      <c r="V69" s="5482" t="n"/>
      <c r="W69" s="5483" t="inlineStr">
        <is>
          <t>Page 2</t>
        </is>
      </c>
      <c r="X69" s="139" t="n"/>
      <c r="Y69" s="343" t="n"/>
      <c r="Z69" s="5415" t="n"/>
      <c r="AA69" s="5415" t="n"/>
      <c r="AB69" s="11602" t="n"/>
      <c r="AC69" s="11602" t="n"/>
      <c r="AD69" s="11602" t="n"/>
      <c r="AE69" s="11602" t="n"/>
      <c r="AF69" s="11602" t="n"/>
      <c r="AG69" s="5415" t="n"/>
      <c r="AH69" s="5415" t="n"/>
      <c r="AI69" s="5415" t="n"/>
      <c r="AJ69" s="5415" t="n"/>
      <c r="AK69" s="5415" t="n"/>
      <c r="AL69" s="5415" t="n"/>
      <c r="AM69" s="5415" t="n"/>
      <c r="AN69" s="5415" t="n"/>
      <c r="AO69" s="5415" t="n"/>
      <c r="AP69" s="5415" t="n"/>
      <c r="AQ69" s="5415" t="n"/>
      <c r="AR69" s="5415" t="n"/>
      <c r="AS69" s="5415" t="n"/>
      <c r="AT69" s="5415" t="n"/>
      <c r="AU69" s="344" t="n"/>
    </row>
    <row r="70" ht="16.5" customHeight="1" s="7635">
      <c r="A70" s="139" t="n"/>
      <c r="B70" s="5439" t="inlineStr">
        <is>
          <t xml:space="preserve"> Part III</t>
        </is>
      </c>
      <c r="C70" s="5440" t="n"/>
      <c r="D70" s="5440" t="n"/>
      <c r="E70" s="5484" t="inlineStr">
        <is>
          <t>Penalty Computation</t>
        </is>
      </c>
      <c r="F70" s="5442" t="n"/>
      <c r="G70" s="5442" t="n"/>
      <c r="H70" s="5485" t="n"/>
      <c r="I70" s="5485" t="inlineStr">
        <is>
          <t>(See the instructions if you are filing Form 1040-NR.)</t>
        </is>
      </c>
      <c r="J70" s="5442" t="n"/>
      <c r="K70" s="5442" t="n"/>
      <c r="L70" s="5442" t="n"/>
      <c r="M70" s="5442" t="n"/>
      <c r="N70" s="5442" t="n"/>
      <c r="O70" s="5442" t="n"/>
      <c r="P70" s="5442" t="n"/>
      <c r="Q70" s="5442" t="n"/>
      <c r="R70" s="5442" t="n"/>
      <c r="S70" s="5442" t="n"/>
      <c r="T70" s="5442" t="n"/>
      <c r="U70" s="5442" t="n"/>
      <c r="V70" s="5442" t="n"/>
      <c r="W70" s="5442" t="n"/>
      <c r="X70" s="144" t="n"/>
      <c r="Y70" s="505" t="n"/>
      <c r="Z70" s="5415" t="n"/>
      <c r="AA70" s="5415" t="n"/>
      <c r="AB70" s="11602" t="n"/>
      <c r="AC70" s="11602" t="n"/>
      <c r="AD70" s="11602" t="n"/>
      <c r="AE70" s="11602" t="n"/>
      <c r="AF70" s="11602" t="n"/>
      <c r="AG70" s="5415" t="n"/>
      <c r="AH70" s="5415" t="n"/>
      <c r="AI70" s="5415" t="n"/>
      <c r="AJ70" s="5415" t="n"/>
      <c r="AK70" s="5415" t="n"/>
      <c r="AL70" s="5415" t="n"/>
      <c r="AM70" s="5415" t="n"/>
      <c r="AN70" s="5415" t="n"/>
      <c r="AO70" s="5415" t="n"/>
      <c r="AP70" s="5415" t="n"/>
      <c r="AQ70" s="5415" t="n"/>
      <c r="AR70" s="5415" t="n"/>
      <c r="AS70" s="5415" t="n"/>
      <c r="AT70" s="5415" t="n"/>
      <c r="AU70" s="344" t="n"/>
    </row>
    <row r="71" ht="15.75" customHeight="1" s="7635">
      <c r="A71" s="139" t="n"/>
      <c r="B71" s="12314" t="inlineStr">
        <is>
          <t>Section A—Figure Your Underpayment</t>
        </is>
      </c>
      <c r="C71" s="7839" t="n"/>
      <c r="D71" s="7839" t="n"/>
      <c r="E71" s="7839" t="n"/>
      <c r="F71" s="7839" t="n"/>
      <c r="G71" s="7839" t="n"/>
      <c r="H71" s="7839" t="n"/>
      <c r="I71" s="7839" t="n"/>
      <c r="J71" s="7839" t="n"/>
      <c r="K71" s="7839" t="n"/>
      <c r="L71" s="7839" t="n"/>
      <c r="M71" s="7839" t="n"/>
      <c r="N71" s="10091" t="n"/>
      <c r="O71" s="5486" t="n"/>
      <c r="P71" s="9306" t="inlineStr">
        <is>
          <t>Payment Due Dates</t>
        </is>
      </c>
      <c r="Q71" s="8412" t="n"/>
      <c r="R71" s="8412" t="n"/>
      <c r="S71" s="8412" t="n"/>
      <c r="T71" s="8412" t="n"/>
      <c r="U71" s="8412" t="n"/>
      <c r="V71" s="8412" t="n"/>
      <c r="W71" s="8412" t="n"/>
      <c r="X71" s="139" t="n"/>
      <c r="Y71" s="343" t="n"/>
      <c r="Z71" s="5415" t="n"/>
      <c r="AA71" s="5415" t="n"/>
      <c r="AB71" s="11602" t="n"/>
      <c r="AC71" s="11602" t="n"/>
      <c r="AD71" s="11602" t="n"/>
      <c r="AE71" s="11602" t="n"/>
      <c r="AF71" s="11602" t="n"/>
      <c r="AG71" s="5415" t="n"/>
      <c r="AH71" s="5415" t="n"/>
      <c r="AI71" s="5415" t="n"/>
      <c r="AJ71" s="5415" t="n"/>
      <c r="AK71" s="5415" t="n"/>
      <c r="AL71" s="5415" t="n"/>
      <c r="AM71" s="5415" t="n"/>
      <c r="AN71" s="5415" t="n"/>
      <c r="AO71" s="5415" t="n"/>
      <c r="AP71" s="5415" t="n"/>
      <c r="AQ71" s="5415" t="n"/>
      <c r="AR71" s="5415" t="n"/>
      <c r="AS71" s="5415" t="n"/>
      <c r="AT71" s="5415" t="n"/>
      <c r="AU71" s="344" t="n"/>
    </row>
    <row r="72" ht="17.1" customHeight="1" s="7635">
      <c r="A72" s="139" t="n"/>
      <c r="N72" s="7636" t="n"/>
      <c r="O72" s="5452" t="n"/>
      <c r="P72" s="12315" t="inlineStr">
        <is>
          <t>(a)</t>
        </is>
      </c>
      <c r="Q72" s="10091" t="n"/>
      <c r="R72" s="12315" t="inlineStr">
        <is>
          <t>(b)</t>
        </is>
      </c>
      <c r="S72" s="10091" t="n"/>
      <c r="T72" s="12315" t="inlineStr">
        <is>
          <t xml:space="preserve">(c) </t>
        </is>
      </c>
      <c r="U72" s="10091" t="n"/>
      <c r="V72" s="9243" t="inlineStr">
        <is>
          <t>(d)</t>
        </is>
      </c>
      <c r="W72" s="7839" t="n"/>
      <c r="X72" s="139" t="n"/>
      <c r="Y72" s="343" t="n"/>
      <c r="Z72" s="5415" t="n"/>
      <c r="AA72" s="5415" t="n"/>
      <c r="AB72" s="11602" t="n"/>
      <c r="AC72" s="11602" t="n"/>
      <c r="AD72" s="11602" t="n"/>
      <c r="AE72" s="11602" t="n"/>
      <c r="AF72" s="11602" t="n"/>
      <c r="AG72" s="5415" t="n"/>
      <c r="AH72" s="5415" t="n"/>
      <c r="AI72" s="5415" t="n"/>
      <c r="AJ72" s="5415" t="n"/>
      <c r="AK72" s="5415" t="n"/>
      <c r="AL72" s="5415" t="n"/>
      <c r="AM72" s="5415" t="n"/>
      <c r="AN72" s="5415" t="n"/>
      <c r="AO72" s="5415" t="n"/>
      <c r="AP72" s="5415" t="n"/>
      <c r="AQ72" s="5415" t="n"/>
      <c r="AR72" s="5415" t="n"/>
      <c r="AS72" s="5415" t="n"/>
      <c r="AT72" s="5415" t="n"/>
      <c r="AU72" s="344" t="n"/>
    </row>
    <row r="73" ht="17.1" customHeight="1" s="7635">
      <c r="A73" s="139" t="n"/>
      <c r="B73" s="7637" t="n"/>
      <c r="C73" s="7637" t="n"/>
      <c r="D73" s="7637" t="n"/>
      <c r="E73" s="7637" t="n"/>
      <c r="F73" s="7637" t="n"/>
      <c r="G73" s="7637" t="n"/>
      <c r="H73" s="7637" t="n"/>
      <c r="I73" s="7637" t="n"/>
      <c r="J73" s="7637" t="n"/>
      <c r="K73" s="7637" t="n"/>
      <c r="L73" s="7637" t="n"/>
      <c r="M73" s="7637" t="n"/>
      <c r="N73" s="7638" t="n"/>
      <c r="O73" s="5487" t="n"/>
      <c r="P73" s="12316">
        <f>DATEVALUE("15-Apr-"&amp;TaxYear)</f>
        <v/>
      </c>
      <c r="Q73" s="7638" t="n"/>
      <c r="R73" s="12316">
        <f>DATEVALUE("15-Jun-"&amp;TaxYear)</f>
        <v/>
      </c>
      <c r="S73" s="7638" t="n"/>
      <c r="T73" s="12316">
        <f>DATEVALUE("15-Sep-"&amp;TaxYear)</f>
        <v/>
      </c>
      <c r="U73" s="7638" t="n"/>
      <c r="V73" s="12317">
        <f>DATEVALUE("15-Jan-"&amp;TaxYear+1)</f>
        <v/>
      </c>
      <c r="W73" s="7637" t="n"/>
      <c r="X73" s="139" t="n"/>
      <c r="Y73" s="343" t="n"/>
      <c r="Z73" s="5415" t="n"/>
      <c r="AA73" s="5415" t="n"/>
      <c r="AB73" s="11602" t="n"/>
      <c r="AC73" s="11602" t="n"/>
      <c r="AD73" s="11602" t="n"/>
      <c r="AE73" s="11602" t="n"/>
      <c r="AF73" s="11602" t="n"/>
      <c r="AG73" s="5415" t="n"/>
      <c r="AH73" s="5415" t="n"/>
      <c r="AI73" s="5415" t="n"/>
      <c r="AJ73" s="5415" t="n"/>
      <c r="AK73" s="5415" t="n"/>
      <c r="AL73" s="5415" t="n"/>
      <c r="AM73" s="5415" t="n"/>
      <c r="AN73" s="5415" t="n"/>
      <c r="AO73" s="5415" t="n"/>
      <c r="AP73" s="5415" t="n"/>
      <c r="AQ73" s="5415" t="n"/>
      <c r="AR73" s="5415" t="n"/>
      <c r="AS73" s="5415" t="n"/>
      <c r="AT73" s="5415" t="n"/>
      <c r="AU73" s="344" t="n"/>
    </row>
    <row r="74" ht="14.25" customHeight="1" s="7635">
      <c r="A74" s="139" t="n"/>
      <c r="B74" s="88" t="n"/>
      <c r="C74" s="228" t="n">
        <v>10</v>
      </c>
      <c r="D74" s="7772" t="inlineStr">
        <is>
          <t>Required installments. If box C in Part II applies,</t>
        </is>
      </c>
      <c r="E74" s="11602" t="n"/>
      <c r="F74" s="11602" t="n"/>
      <c r="G74" s="11602" t="n"/>
      <c r="H74" s="11602" t="n"/>
      <c r="I74" s="11602" t="n"/>
      <c r="J74" s="11602" t="n"/>
      <c r="K74" s="11602" t="n"/>
      <c r="L74" s="11602" t="n"/>
      <c r="M74" s="11602" t="n"/>
      <c r="N74" s="11602" t="n"/>
      <c r="O74" s="5488" t="n"/>
      <c r="P74" s="12318" t="n"/>
      <c r="Q74" s="10091" t="n"/>
      <c r="R74" s="12318" t="n"/>
      <c r="S74" s="10091" t="n"/>
      <c r="T74" s="12318" t="n"/>
      <c r="U74" s="10091" t="n"/>
      <c r="V74" s="12319" t="n"/>
      <c r="W74" s="7839" t="n"/>
      <c r="X74" s="139" t="n"/>
      <c r="Y74" s="343" t="n"/>
      <c r="Z74" s="5415" t="n"/>
      <c r="AA74" s="5415" t="n"/>
      <c r="AB74" s="11602" t="n"/>
      <c r="AC74" s="11602" t="n"/>
      <c r="AD74" s="11602" t="n"/>
      <c r="AE74" s="11602" t="n"/>
      <c r="AF74" s="11602" t="n"/>
      <c r="AG74" s="5415" t="n"/>
      <c r="AH74" s="5415" t="n"/>
      <c r="AI74" s="5415" t="n"/>
      <c r="AJ74" s="5415" t="n"/>
      <c r="AK74" s="8966" t="inlineStr">
        <is>
          <t>Overrides</t>
        </is>
      </c>
      <c r="AL74" s="5415" t="n"/>
      <c r="AM74" s="5415" t="n"/>
      <c r="AN74" s="5415" t="n"/>
      <c r="AO74" s="5415" t="n"/>
      <c r="AP74" s="5415" t="n"/>
      <c r="AQ74" s="5415" t="n"/>
      <c r="AR74" s="5415" t="n"/>
      <c r="AS74" s="5415" t="n"/>
      <c r="AT74" s="5415" t="n"/>
      <c r="AU74" s="344" t="n"/>
    </row>
    <row r="75" ht="12.75" customHeight="1" s="7635">
      <c r="A75" s="139" t="n"/>
      <c r="B75" s="88" t="n"/>
      <c r="C75" s="228" t="n"/>
      <c r="D75" s="7772" t="inlineStr">
        <is>
          <t>enter the amounts from Schedule AI, line 27.</t>
        </is>
      </c>
      <c r="E75" s="11602" t="n"/>
      <c r="F75" s="11602" t="n"/>
      <c r="G75" s="11602" t="n"/>
      <c r="H75" s="11602" t="n"/>
      <c r="I75" s="11602" t="n"/>
      <c r="J75" s="11602" t="n"/>
      <c r="K75" s="11602" t="n"/>
      <c r="L75" s="11602" t="n"/>
      <c r="M75" s="11602" t="n"/>
      <c r="N75" s="11602" t="n"/>
      <c r="O75" s="5448" t="n"/>
      <c r="P75" s="12320" t="n"/>
      <c r="Q75" s="12321" t="n"/>
      <c r="R75" s="12320" t="n"/>
      <c r="S75" s="12321" t="n"/>
      <c r="T75" s="12320" t="n"/>
      <c r="U75" s="12321" t="n"/>
      <c r="V75" s="12320" t="n"/>
      <c r="W75" s="12322" t="n"/>
      <c r="X75" s="139" t="n"/>
      <c r="Y75" s="343" t="n"/>
      <c r="Z75" s="5415" t="n"/>
      <c r="AA75" s="5415" t="n"/>
      <c r="AB75" s="11602" t="n"/>
      <c r="AC75" s="11602" t="n"/>
      <c r="AD75" s="11602" t="n"/>
      <c r="AE75" s="11602" t="n"/>
      <c r="AF75" s="11602" t="n"/>
      <c r="AG75" s="5415" t="n"/>
      <c r="AH75" s="5415" t="n"/>
      <c r="AI75" s="5415" t="n"/>
      <c r="AJ75" s="5415" t="n"/>
      <c r="AK75" s="5492">
        <f>P$72</f>
        <v/>
      </c>
      <c r="AL75" s="5415" t="n"/>
      <c r="AM75" s="5492">
        <f>R$72</f>
        <v/>
      </c>
      <c r="AN75" s="5415" t="n"/>
      <c r="AO75" s="5492">
        <f>T$72</f>
        <v/>
      </c>
      <c r="AP75" s="5415" t="n"/>
      <c r="AQ75" s="5492">
        <f>V$72</f>
        <v/>
      </c>
      <c r="AR75" s="5415" t="n"/>
      <c r="AS75" s="5415" t="n"/>
      <c r="AT75" s="5415" t="n"/>
      <c r="AU75" s="344" t="n"/>
    </row>
    <row r="76" ht="16.5" customHeight="1" s="7635" thickBot="1">
      <c r="A76" s="139" t="n"/>
      <c r="B76" s="88" t="n"/>
      <c r="C76" s="228" t="n"/>
      <c r="D76" s="7772">
        <f>"Otherwise, enter "&amp;TEXT(Q76,"0%")&amp;" ("&amp;TEXT(Q76,"0.00")&amp;") of line 9, Form 2210, in"</f>
        <v/>
      </c>
      <c r="E76" s="11602" t="n"/>
      <c r="F76" s="11602" t="n"/>
      <c r="G76" s="11602" t="n"/>
      <c r="H76" s="11602" t="n"/>
      <c r="I76" s="11602" t="n"/>
      <c r="J76" s="11602" t="n"/>
      <c r="K76" s="11602" t="n"/>
      <c r="L76" s="11602" t="n"/>
      <c r="M76" s="11602" t="n"/>
      <c r="N76" s="11602" t="n"/>
      <c r="O76" s="5448" t="n"/>
      <c r="P76" s="12320" t="n"/>
      <c r="Q76" s="5493" t="n">
        <v>0.25</v>
      </c>
      <c r="R76" s="12320" t="n"/>
      <c r="S76" s="12321" t="n"/>
      <c r="T76" s="12320" t="n"/>
      <c r="U76" s="12321" t="n"/>
      <c r="V76" s="9475" t="n"/>
      <c r="W76" s="194" t="n"/>
      <c r="X76" s="139" t="n"/>
      <c r="Y76" s="343" t="n"/>
      <c r="Z76" s="5494" t="inlineStr">
        <is>
          <t>Overrides   ®</t>
        </is>
      </c>
      <c r="AA76" s="5415" t="n"/>
      <c r="AB76" s="11602" t="n"/>
      <c r="AC76" s="11602" t="n"/>
      <c r="AD76" s="11602" t="n"/>
      <c r="AE76" s="11602" t="n"/>
      <c r="AF76" s="11602" t="n"/>
      <c r="AG76" s="5415" t="n"/>
      <c r="AH76" s="5415" t="n"/>
      <c r="AI76" s="5415" t="n"/>
      <c r="AJ76" s="5415" t="n"/>
      <c r="AK76" s="5495">
        <f>"4/15/"&amp;TaxYear-2000</f>
        <v/>
      </c>
      <c r="AL76" s="5415" t="n"/>
      <c r="AM76" s="5495">
        <f>"6/15/"&amp;TaxYear-2000</f>
        <v/>
      </c>
      <c r="AN76" s="5415" t="n"/>
      <c r="AO76" s="5496">
        <f>"9/15/"&amp;TaxYear-2000</f>
        <v/>
      </c>
      <c r="AP76" s="5415" t="n"/>
      <c r="AQ76" s="5495">
        <f>"1/15/"&amp;TaxYear+1-2000</f>
        <v/>
      </c>
      <c r="AR76" s="5415" t="n"/>
      <c r="AS76" s="5415" t="n"/>
      <c r="AT76" s="5415" t="n"/>
      <c r="AU76" s="344" t="n"/>
    </row>
    <row r="77" ht="14.25" customHeight="1" s="7635" thickBot="1">
      <c r="A77" s="139" t="n"/>
      <c r="B77" s="88" t="n"/>
      <c r="C77" s="88" t="n"/>
      <c r="D77" s="7772" t="inlineStr">
        <is>
          <t>each column. For fiscal year filers, see instructions</t>
        </is>
      </c>
      <c r="E77" s="11602" t="n"/>
      <c r="F77" s="11602" t="n"/>
      <c r="G77" s="11602" t="n"/>
      <c r="H77" s="11602" t="n"/>
      <c r="I77" s="11602" t="n"/>
      <c r="J77" s="11602" t="n"/>
      <c r="K77" s="11602" t="n"/>
      <c r="L77" s="11602" t="n"/>
      <c r="M77" s="11602" t="n"/>
      <c r="N77" s="1321" t="n"/>
      <c r="O77" s="5497" t="n">
        <v>10</v>
      </c>
      <c r="P77" s="12323">
        <f>IF(AK77&lt;&gt;"",ROUND(AK77,0),IF(OR($U$47=0,$U$47="",NOT($W$48)),"",ROUND($Q$76*$U$47,0)))</f>
        <v/>
      </c>
      <c r="Q77" s="7638" t="n"/>
      <c r="R77" s="12323">
        <f>IF(AM77&lt;&gt;"",ROUND(AM77,0),IF(OR($U$47=0,$U$47="",NOT($W$48)),"",ROUND($Q$76*$U$47,0)))</f>
        <v/>
      </c>
      <c r="S77" s="7638" t="n"/>
      <c r="T77" s="12323">
        <f>IF(AO77&lt;&gt;"",ROUND(AO77,0),IF(OR($U$47=0,$U$47="",NOT($W$48)),"",ROUND($Q$76*$U$47,0)))</f>
        <v/>
      </c>
      <c r="U77" s="7638" t="n"/>
      <c r="V77" s="9310">
        <f>IF(AQ77&lt;&gt;"",ROUND(AQ77,0),IF(OR($U$47=0,$U$47="",NOT($W$48)),"",ROUND($Q$76*$U$47,0)))</f>
        <v/>
      </c>
      <c r="W77" s="7637" t="n"/>
      <c r="X77" s="139" t="n"/>
      <c r="Y77" s="343" t="n"/>
      <c r="Z77" s="3987" t="inlineStr">
        <is>
          <t>AJ through AQ</t>
        </is>
      </c>
      <c r="AA77" s="5415" t="n"/>
      <c r="AB77" s="11602" t="n"/>
      <c r="AC77" s="11602" t="n"/>
      <c r="AD77" s="11602" t="n"/>
      <c r="AE77" s="11602" t="n"/>
      <c r="AF77" s="11602" t="n"/>
      <c r="AG77" s="5415" t="n"/>
      <c r="AH77" s="5415" t="n"/>
      <c r="AI77" s="5415" t="n"/>
      <c r="AJ77" s="5498" t="inlineStr">
        <is>
          <t>10</t>
        </is>
      </c>
      <c r="AK77" s="518" t="n"/>
      <c r="AL77" s="5415" t="n"/>
      <c r="AM77" s="518" t="n"/>
      <c r="AN77" s="5415" t="n"/>
      <c r="AO77" s="518" t="n"/>
      <c r="AP77" s="5415" t="n"/>
      <c r="AQ77" s="518" t="n"/>
      <c r="AR77" s="5415" t="n"/>
      <c r="AS77" s="5415" t="n"/>
      <c r="AT77" s="5415" t="n"/>
      <c r="AU77" s="344" t="n"/>
    </row>
    <row r="78" ht="15" customHeight="1" s="7635">
      <c r="A78" s="139" t="n"/>
      <c r="B78" s="88" t="n"/>
      <c r="C78" s="228" t="n">
        <v>11</v>
      </c>
      <c r="D78" s="7772" t="inlineStr">
        <is>
          <t>Estimated tax paid and tax withheld (see the</t>
        </is>
      </c>
      <c r="E78" s="11602" t="n"/>
      <c r="F78" s="11602" t="n"/>
      <c r="G78" s="11602" t="n"/>
      <c r="H78" s="11602" t="n"/>
      <c r="I78" s="11602" t="n"/>
      <c r="J78" s="11602" t="n"/>
      <c r="K78" s="11602" t="n"/>
      <c r="L78" s="9320">
        <f>AND($W$48,AK83="",AM83="",AO83="",AQ83="",S179="")</f>
        <v/>
      </c>
      <c r="N78" s="7636" t="n"/>
      <c r="O78" s="5488" t="n"/>
      <c r="P78" s="12324" t="inlineStr">
        <is>
          <t>Tax Withheld</t>
        </is>
      </c>
      <c r="Q78" s="10091" t="n"/>
      <c r="R78" s="12324" t="inlineStr">
        <is>
          <t>Tax Withheld</t>
        </is>
      </c>
      <c r="S78" s="10091" t="n"/>
      <c r="T78" s="12324" t="inlineStr">
        <is>
          <t>Tax Withheld</t>
        </is>
      </c>
      <c r="U78" s="10091" t="n"/>
      <c r="V78" s="9525" t="inlineStr">
        <is>
          <t>Tax Withheld</t>
        </is>
      </c>
      <c r="W78" s="7839" t="n"/>
      <c r="X78" s="139" t="n"/>
      <c r="Y78" s="1793" t="n"/>
      <c r="Z78" s="5499" t="inlineStr">
        <is>
          <t>Hide details.</t>
        </is>
      </c>
      <c r="AA78" s="5415" t="n"/>
      <c r="AB78" s="11602" t="n"/>
      <c r="AC78" s="11602" t="n"/>
      <c r="AD78" s="11602" t="n"/>
      <c r="AE78" s="11602" t="n"/>
      <c r="AF78" s="11602" t="n"/>
      <c r="AG78" s="5415" t="n"/>
      <c r="AH78" s="5415" t="n"/>
      <c r="AI78" s="5415" t="n"/>
      <c r="AJ78" s="5415" t="n"/>
      <c r="AK78" s="5415" t="n"/>
      <c r="AL78" s="5415" t="n"/>
      <c r="AM78" s="5415" t="n"/>
      <c r="AN78" s="5415" t="n"/>
      <c r="AO78" s="5415" t="n"/>
      <c r="AP78" s="5415" t="n"/>
      <c r="AQ78" s="5415" t="n"/>
      <c r="AR78" s="5415" t="n"/>
      <c r="AS78" s="5415" t="n"/>
      <c r="AT78" s="5415" t="n"/>
      <c r="AU78" s="344" t="n"/>
    </row>
    <row r="79" ht="17.45" customHeight="1" s="7635">
      <c r="A79" s="139" t="n"/>
      <c r="B79" s="88" t="n"/>
      <c r="C79" s="228" t="n"/>
      <c r="D79" s="7772" t="inlineStr">
        <is>
          <t>instructions). For column (a) only, also enter the</t>
        </is>
      </c>
      <c r="E79" s="11602" t="n"/>
      <c r="F79" s="11602" t="n"/>
      <c r="G79" s="11602" t="n"/>
      <c r="H79" s="11602" t="n"/>
      <c r="I79" s="11602" t="n"/>
      <c r="J79" s="11602" t="n"/>
      <c r="K79" s="11602" t="n"/>
      <c r="L79" s="11602" t="n"/>
      <c r="M79" s="11602" t="n"/>
      <c r="N79" s="11602" t="n"/>
      <c r="O79" s="5448" t="n"/>
      <c r="P79" s="12325">
        <f>ROUND(SUM(Fed_Inc_Tax_WH_Line_25d,ExcessSSTax)/4,0)</f>
        <v/>
      </c>
      <c r="Q79" s="7636" t="n"/>
      <c r="R79" s="12325">
        <f>ROUND(SUM(Fed_Inc_Tax_WH_Line_25d,ExcessSSTax)/4,0)</f>
        <v/>
      </c>
      <c r="S79" s="7636" t="n"/>
      <c r="T79" s="12325">
        <f>ROUND(SUM(Fed_Inc_Tax_WH_Line_25d,ExcessSSTax)/4,0)</f>
        <v/>
      </c>
      <c r="U79" s="7636" t="n"/>
      <c r="V79" s="9257">
        <f>ROUND(SUM(Fed_Inc_Tax_WH_Line_25d,ExcessSSTax)/4,0)</f>
        <v/>
      </c>
      <c r="X79" s="139" t="n"/>
      <c r="Y79" s="343" t="n"/>
      <c r="Z79" s="5415" t="n"/>
      <c r="AA79" s="5415" t="n"/>
      <c r="AB79" s="11602" t="n"/>
      <c r="AC79" s="11602" t="n"/>
      <c r="AD79" s="11602" t="n"/>
      <c r="AE79" s="11602" t="n"/>
      <c r="AF79" s="11602" t="n"/>
      <c r="AG79" s="5415" t="n"/>
      <c r="AH79" s="5415" t="n"/>
      <c r="AI79" s="5415" t="n"/>
      <c r="AJ79" s="5415" t="n"/>
      <c r="AK79" s="5415" t="n"/>
      <c r="AL79" s="5415" t="n"/>
      <c r="AM79" s="5415" t="n"/>
      <c r="AN79" s="5415" t="n"/>
      <c r="AO79" s="5415" t="n"/>
      <c r="AP79" s="5415" t="n"/>
      <c r="AQ79" s="5415" t="n"/>
      <c r="AR79" s="5415" t="n"/>
      <c r="AS79" s="5415" t="n"/>
      <c r="AT79" s="5415" t="n"/>
      <c r="AU79" s="344" t="n"/>
    </row>
    <row r="80" ht="17.45" customHeight="1" s="7635">
      <c r="A80" s="139" t="n"/>
      <c r="B80" s="88" t="n"/>
      <c r="C80" s="228" t="n"/>
      <c r="D80" s="7772" t="inlineStr">
        <is>
          <t>amount from line 11 on line 15 column (a). If line 11</t>
        </is>
      </c>
      <c r="E80" s="11602" t="n"/>
      <c r="F80" s="11602" t="n"/>
      <c r="G80" s="11602" t="n"/>
      <c r="H80" s="11602" t="n"/>
      <c r="I80" s="11602" t="n"/>
      <c r="J80" s="11602" t="n"/>
      <c r="K80" s="11602" t="n"/>
      <c r="L80" s="993" t="n"/>
      <c r="M80" s="993" t="n"/>
      <c r="N80" s="5500" t="n"/>
      <c r="O80" s="5448" t="n"/>
      <c r="P80" s="12326">
        <f>AND(SUM(P83,R83,T83,V83)&gt;0,P83&gt;=P77,R83&gt;=R77,T83&gt;=T77,V83&gt;=V77)</f>
        <v/>
      </c>
      <c r="Q80" s="7636" t="n"/>
      <c r="R80" s="5501" t="n"/>
      <c r="S80" s="1786" t="n"/>
      <c r="T80" s="1784" t="n"/>
      <c r="U80" s="1786" t="n"/>
      <c r="V80" s="1785" t="n"/>
      <c r="W80" s="1784" t="n"/>
      <c r="X80" s="139" t="n"/>
      <c r="Y80" s="343" t="n"/>
      <c r="Z80" s="5494" t="inlineStr">
        <is>
          <t>Overrides   ®</t>
        </is>
      </c>
      <c r="AA80" s="5415" t="n"/>
      <c r="AB80" s="9183">
        <f>IF(ExcessSSTax="",0,ExcessSSTax)</f>
        <v/>
      </c>
      <c r="AG80" s="5415" t="n"/>
      <c r="AH80" s="5415" t="n"/>
      <c r="AI80" s="5415" t="n"/>
      <c r="AJ80" s="5415" t="n"/>
      <c r="AK80" s="8966" t="inlineStr">
        <is>
          <t>Overrides</t>
        </is>
      </c>
      <c r="AL80" s="5415" t="n"/>
      <c r="AM80" s="5415" t="n"/>
      <c r="AN80" s="5415" t="n"/>
      <c r="AO80" s="5415" t="n"/>
      <c r="AP80" s="5415" t="n"/>
      <c r="AQ80" s="5415" t="n"/>
      <c r="AR80" s="5415" t="n"/>
      <c r="AS80" s="5415" t="n"/>
      <c r="AT80" s="5415" t="n"/>
      <c r="AU80" s="344" t="n"/>
    </row>
    <row r="81" ht="15" customHeight="1" s="7635">
      <c r="A81" s="151" t="n"/>
      <c r="B81" s="5422" t="n"/>
      <c r="C81" s="5422" t="n"/>
      <c r="D81" s="2311" t="inlineStr">
        <is>
          <t>is equal to or more than line 10 for all payment periods,</t>
        </is>
      </c>
      <c r="E81" s="411" t="n"/>
      <c r="F81" s="411" t="n"/>
      <c r="G81" s="411" t="n"/>
      <c r="H81" s="411" t="n"/>
      <c r="I81" s="516" t="n"/>
      <c r="J81" s="411" t="n"/>
      <c r="K81" s="411" t="n"/>
      <c r="L81" s="505" t="n"/>
      <c r="M81" s="505" t="n"/>
      <c r="N81" s="5502" t="n"/>
      <c r="O81" s="5503" t="n"/>
      <c r="P81" s="12327" t="inlineStr">
        <is>
          <t>Estimated</t>
        </is>
      </c>
      <c r="Q81" s="7636" t="n"/>
      <c r="R81" s="12327" t="inlineStr">
        <is>
          <t>Estimated</t>
        </is>
      </c>
      <c r="S81" s="7636" t="n"/>
      <c r="T81" s="12327" t="inlineStr">
        <is>
          <t>Estimated</t>
        </is>
      </c>
      <c r="U81" s="7636" t="n"/>
      <c r="V81" s="9528" t="inlineStr">
        <is>
          <t>Estimated</t>
        </is>
      </c>
      <c r="X81" s="151" t="n"/>
      <c r="Y81" s="1967" t="n"/>
      <c r="Z81" s="3987" t="inlineStr">
        <is>
          <t>See columns</t>
        </is>
      </c>
      <c r="AA81" s="5415" t="n"/>
      <c r="AB81" s="9239">
        <f>OR(P77&lt;&gt;"",R77&lt;&gt;"",T77&lt;&gt;"",V77&lt;&gt;"")</f>
        <v/>
      </c>
      <c r="AG81" s="5415" t="n"/>
      <c r="AH81" s="5415" t="n"/>
      <c r="AI81" s="5415" t="n"/>
      <c r="AJ81" s="5415" t="n"/>
      <c r="AK81" s="5492">
        <f>P$72</f>
        <v/>
      </c>
      <c r="AL81" s="5415" t="n"/>
      <c r="AM81" s="5492">
        <f>R$72</f>
        <v/>
      </c>
      <c r="AN81" s="5415" t="n"/>
      <c r="AO81" s="5492">
        <f>T$72</f>
        <v/>
      </c>
      <c r="AP81" s="5415" t="n"/>
      <c r="AQ81" s="5492">
        <f>V$72</f>
        <v/>
      </c>
      <c r="AR81" s="5415" t="n"/>
      <c r="AS81" s="5415" t="n"/>
      <c r="AT81" s="5415" t="n"/>
      <c r="AU81" s="344" t="n"/>
    </row>
    <row r="82" ht="16.5" customHeight="1" s="7635" thickBot="1">
      <c r="A82" s="139" t="n"/>
      <c r="B82" s="88" t="n"/>
      <c r="C82" s="228" t="n"/>
      <c r="D82" s="2311" t="inlineStr">
        <is>
          <t>stop here; you don't owe a penalty.</t>
        </is>
      </c>
      <c r="E82" s="411" t="n"/>
      <c r="F82" s="411" t="n"/>
      <c r="G82" s="1059" t="n"/>
      <c r="H82" s="1059" t="n"/>
      <c r="I82" s="411" t="n"/>
      <c r="J82" s="411" t="n"/>
      <c r="K82" s="514" t="n"/>
      <c r="L82" s="4791" t="n"/>
      <c r="M82" s="2039" t="inlineStr">
        <is>
          <t>Don't file</t>
        </is>
      </c>
      <c r="N82" s="4791" t="n"/>
      <c r="O82" s="5448" t="n"/>
      <c r="P82" s="12328">
        <f>LOOKUP(LOOKUP(P$73,$Q$178:$Q$233,$N$178:$N$233),$N178:$N233,$U$178:$U$233)</f>
        <v/>
      </c>
      <c r="Q82" s="7636" t="n"/>
      <c r="R82" s="12328">
        <f>SUM(LOOKUP(LOOKUP(R$73,$Q$178:$Q$233,$N$178:$N$233),$N178:$N233,$U$178:$U$233),-P82)</f>
        <v/>
      </c>
      <c r="S82" s="7636" t="n"/>
      <c r="T82" s="12328">
        <f>SUM(LOOKUP(LOOKUP(T$73,$Q$178:$Q$233,$N$178:$N$233),$N178:$N233,$U$178:$U$233),-P82,-R82)</f>
        <v/>
      </c>
      <c r="U82" s="7636" t="n"/>
      <c r="V82" s="12329">
        <f>SUM(LOOKUP(LOOKUP(V$73,$Q$178:$Q$233,$N$178:$N$233),$N178:$N233,$U$178:$U$233),-P82,-R82,-T82)</f>
        <v/>
      </c>
      <c r="X82" s="139" t="n"/>
      <c r="Y82" s="343" t="n"/>
      <c r="Z82" s="3987" t="inlineStr">
        <is>
          <t>AJ through AQ</t>
        </is>
      </c>
      <c r="AA82" s="5415" t="n"/>
      <c r="AB82" s="7209">
        <f>IF(AND($AB$81,Fed_Inc_Tax_WH_Line_25d/4&gt;999),"Form 1040, Line 25d / 4 = "&amp;TEXT(ROUND(Fed_Inc_Tax_WH_Line_25d/4,0),"$0,000"),IF($AB$81,"Form 1040, Line 25d / 4 = "&amp;TEXT(ROUND(Fed_Inc_Tax_WH_Line_25d/4,0),"$0"),""))</f>
        <v/>
      </c>
      <c r="AG82" s="5415" t="n"/>
      <c r="AH82" s="5415" t="n"/>
      <c r="AI82" s="5415" t="n"/>
      <c r="AJ82" s="5415" t="n"/>
      <c r="AK82" s="5495">
        <f>"4/15/"&amp;TaxYear-2000</f>
        <v/>
      </c>
      <c r="AL82" s="5415" t="n"/>
      <c r="AM82" s="5495">
        <f>"6/15/"&amp;TaxYear-2000</f>
        <v/>
      </c>
      <c r="AN82" s="5415" t="n"/>
      <c r="AO82" s="5496">
        <f>"9/15/"&amp;TaxYear-2000</f>
        <v/>
      </c>
      <c r="AP82" s="5415" t="n"/>
      <c r="AQ82" s="5495">
        <f>"1/15/"&amp;TaxYear+1-2000</f>
        <v/>
      </c>
      <c r="AR82" s="5415" t="n"/>
      <c r="AS82" s="5415" t="n"/>
      <c r="AT82" s="5415" t="n"/>
      <c r="AU82" s="344" t="n"/>
    </row>
    <row r="83" ht="16.5" customHeight="1" s="7635" thickBot="1">
      <c r="A83" s="139" t="n"/>
      <c r="B83" s="88" t="n"/>
      <c r="C83" s="228" t="n"/>
      <c r="D83" s="514" t="inlineStr">
        <is>
          <t>Form 2210 unless you checked a box in Part II</t>
        </is>
      </c>
      <c r="E83" s="11602" t="n"/>
      <c r="F83" s="11602" t="n"/>
      <c r="G83" s="11602" t="n"/>
      <c r="H83" s="11602" t="n"/>
      <c r="I83" s="11602" t="n"/>
      <c r="J83" s="11602" t="n"/>
      <c r="K83" s="11602" t="n"/>
      <c r="L83" s="11602" t="n"/>
      <c r="M83" s="11602" t="n"/>
      <c r="N83" s="1321" t="inlineStr">
        <is>
          <t xml:space="preserve">.   .   . </t>
        </is>
      </c>
      <c r="O83" s="5504" t="n">
        <v>11</v>
      </c>
      <c r="P83" s="12330">
        <f>IF(AK83&lt;&gt;"",ROUND(AK83,0),IF(P77="","",IF(Q179&gt;P73,P79,SUM(P79,P82))))</f>
        <v/>
      </c>
      <c r="Q83" s="7636" t="n"/>
      <c r="R83" s="12330">
        <f>IF(AM83&lt;&gt;"",ROUND(AM83,0),IF(R77="","",IF(S179&gt;R73,R79,SUM(R79,R82))))</f>
        <v/>
      </c>
      <c r="S83" s="7636" t="n"/>
      <c r="T83" s="12330">
        <f>IF(AO83&lt;&gt;"",ROUND(AO83,0),IF(T77="","",IF(U179&gt;T73,T79,SUM(T79,T82))))</f>
        <v/>
      </c>
      <c r="U83" s="7636" t="n"/>
      <c r="V83" s="9477">
        <f>IF(AQ83&lt;&gt;"",ROUND(AQ83,0),IF(V77="","",IF(W179&gt;V73,V79,SUM(V79,V82))))</f>
        <v/>
      </c>
      <c r="X83" s="139" t="n"/>
      <c r="Y83" s="343" t="n"/>
      <c r="Z83" s="5415" t="n"/>
      <c r="AA83" s="5415" t="n"/>
      <c r="AB83" s="7209">
        <f>IF(AND($AB$81,AB80/4&gt;999),"Sch. 3, Line 11 / 4 = "&amp;TEXT(ROUND(AB80/4,0),"$0,000"),IF($AB$81,"Sch. 3, Line 11 / 4 = "&amp;TEXT(ROUND(AB80/4,0),"$0"),""))</f>
        <v/>
      </c>
      <c r="AG83" s="5415" t="n"/>
      <c r="AH83" s="5415" t="n"/>
      <c r="AI83" s="5415" t="n"/>
      <c r="AJ83" s="5498" t="n">
        <v>11</v>
      </c>
      <c r="AK83" s="518" t="n"/>
      <c r="AL83" s="5415" t="n"/>
      <c r="AM83" s="518" t="n"/>
      <c r="AN83" s="5415" t="n"/>
      <c r="AO83" s="518" t="n"/>
      <c r="AP83" s="5415" t="n"/>
      <c r="AQ83" s="518" t="n"/>
      <c r="AR83" s="5415" t="n"/>
      <c r="AS83" s="5415" t="n"/>
      <c r="AT83" s="5415" t="n"/>
      <c r="AU83" s="344" t="n"/>
    </row>
    <row r="84" ht="15.75" customHeight="1" s="7635">
      <c r="A84" s="139" t="n"/>
      <c r="B84" s="8885" t="n"/>
      <c r="D84" s="5505" t="n"/>
      <c r="E84" s="406" t="n"/>
      <c r="F84" s="406" t="n"/>
      <c r="G84" s="406" t="n"/>
      <c r="H84" s="406" t="n"/>
      <c r="I84" s="406" t="n"/>
      <c r="J84" s="406" t="n"/>
      <c r="K84" s="406" t="n"/>
      <c r="L84" s="406" t="n"/>
      <c r="M84" s="406" t="n"/>
      <c r="N84" s="406" t="n"/>
      <c r="O84" s="5211" t="n"/>
      <c r="P84" s="5211" t="n"/>
      <c r="Q84" s="5211" t="n"/>
      <c r="R84" s="5211" t="n"/>
      <c r="S84" s="1630" t="n"/>
      <c r="T84" s="1630" t="n"/>
      <c r="U84" s="1630" t="n"/>
      <c r="V84" s="1630" t="n"/>
      <c r="W84" s="1630" t="n"/>
      <c r="X84" s="139" t="n"/>
      <c r="Y84" s="343" t="n"/>
      <c r="Z84" s="5415" t="n"/>
      <c r="AA84" s="5415" t="n"/>
      <c r="AB84" s="9237">
        <f>IF($AB$81,IF(SUM(Fed_Inc_Tax_WH_Line_25d,ExcessSSTax)/4&gt;999,"Total = "&amp;TEXT(ROUND(SUM(Fed_Inc_Tax_WH_Line_25d,ExcessSSTax)/4,0),"$0,000")&amp;" per quarter.","Total = "&amp;TEXT(ROUND(SUM(Fed_Inc_Tax_WH_Line_25d,ExcessSSTax),0)/4,"$0")&amp;" per quarter."),"")</f>
        <v/>
      </c>
      <c r="AG84" s="5415" t="n"/>
      <c r="AH84" s="5415" t="n"/>
      <c r="AI84" s="5415" t="n"/>
      <c r="AJ84" s="5415" t="n"/>
      <c r="AK84" s="5415" t="n"/>
      <c r="AL84" s="5415" t="n"/>
      <c r="AM84" s="5415" t="n"/>
      <c r="AN84" s="5415" t="n"/>
      <c r="AO84" s="5415" t="n"/>
      <c r="AP84" s="5415" t="n"/>
      <c r="AQ84" s="5415" t="n"/>
      <c r="AR84" s="5415" t="n"/>
      <c r="AS84" s="5415" t="n"/>
      <c r="AT84" s="5415" t="n"/>
      <c r="AU84" s="344" t="n"/>
    </row>
    <row r="85" ht="12.75" customHeight="1" s="7635">
      <c r="A85" s="139" t="n"/>
      <c r="B85" s="8885" t="n"/>
      <c r="C85" s="4971">
        <f>IF($L$78,"If applicable, enter taxes paid amounts into table at Row "&amp;ROW(A181)&amp;" OR use override cells in columns AK through AQ.","Complete lines 12 through 18 of one column before going to line 12 of the next column.")</f>
        <v/>
      </c>
      <c r="D85" s="4971" t="n"/>
      <c r="E85" s="11602" t="n"/>
      <c r="F85" s="11602" t="n"/>
      <c r="G85" s="11602" t="n"/>
      <c r="H85" s="11602" t="n"/>
      <c r="I85" s="11602" t="n"/>
      <c r="J85" s="11602" t="n"/>
      <c r="K85" s="11602" t="n"/>
      <c r="L85" s="11602" t="n"/>
      <c r="M85" s="11602" t="n"/>
      <c r="N85" s="11602" t="n"/>
      <c r="O85" s="5215" t="n"/>
      <c r="P85" s="5215" t="n"/>
      <c r="Q85" s="5215" t="n"/>
      <c r="R85" s="5215" t="n"/>
      <c r="S85" s="1631" t="n"/>
      <c r="T85" s="1631" t="n"/>
      <c r="U85" s="1631" t="n"/>
      <c r="V85" s="1631" t="n"/>
      <c r="W85" s="1631" t="n"/>
      <c r="X85" s="139" t="n"/>
      <c r="Y85" s="343" t="n"/>
      <c r="Z85" s="5415" t="n"/>
      <c r="AA85" s="5415" t="n"/>
      <c r="AB85" s="11602" t="n"/>
      <c r="AC85" s="11602" t="n"/>
      <c r="AD85" s="11602" t="n"/>
      <c r="AE85" s="11602" t="n"/>
      <c r="AF85" s="11602" t="n"/>
      <c r="AG85" s="5415" t="n"/>
      <c r="AH85" s="5415" t="n"/>
      <c r="AI85" s="5415" t="n"/>
      <c r="AJ85" s="5415" t="n"/>
      <c r="AK85" s="5415" t="n"/>
      <c r="AL85" s="5415" t="n"/>
      <c r="AM85" s="5415" t="n"/>
      <c r="AN85" s="5415" t="n"/>
      <c r="AO85" s="5415" t="n"/>
      <c r="AP85" s="5415" t="n"/>
      <c r="AQ85" s="5415" t="n"/>
      <c r="AR85" s="5415" t="n"/>
      <c r="AS85" s="5415" t="n"/>
      <c r="AT85" s="5415" t="n"/>
      <c r="AU85" s="344" t="n"/>
    </row>
    <row r="86" ht="12" customHeight="1" s="7635">
      <c r="A86" s="139" t="n"/>
      <c r="B86" s="88" t="n"/>
      <c r="C86" s="228" t="n"/>
      <c r="D86" s="5506" t="n"/>
      <c r="E86" s="5506" t="n"/>
      <c r="F86" s="5506" t="n"/>
      <c r="G86" s="5506" t="n"/>
      <c r="H86" s="5506" t="n"/>
      <c r="I86" s="5506" t="n"/>
      <c r="J86" s="5506" t="n"/>
      <c r="K86" s="5506" t="n"/>
      <c r="L86" s="5506" t="n"/>
      <c r="M86" s="5506" t="n"/>
      <c r="N86" s="5506" t="n"/>
      <c r="O86" s="5507" t="n"/>
      <c r="P86" s="5213" t="n"/>
      <c r="Q86" s="5213" t="n"/>
      <c r="R86" s="5213" t="n"/>
      <c r="S86" s="1632" t="n"/>
      <c r="T86" s="1632" t="n"/>
      <c r="U86" s="1632" t="n"/>
      <c r="V86" s="1632" t="n"/>
      <c r="W86" s="1632" t="n"/>
      <c r="X86" s="139" t="n"/>
      <c r="Y86" s="343" t="n"/>
      <c r="Z86" s="5415" t="n"/>
      <c r="AA86" s="5415" t="n"/>
      <c r="AB86" s="11602" t="n"/>
      <c r="AC86" s="11602" t="n"/>
      <c r="AD86" s="11602" t="n"/>
      <c r="AE86" s="11602" t="n"/>
      <c r="AF86" s="11602" t="n"/>
      <c r="AG86" s="5415" t="n"/>
      <c r="AH86" s="5415" t="n"/>
      <c r="AI86" s="5415" t="n"/>
      <c r="AJ86" s="5415" t="n"/>
      <c r="AK86" s="5415" t="n"/>
      <c r="AL86" s="5415" t="n"/>
      <c r="AM86" s="5415" t="n"/>
      <c r="AN86" s="5415" t="n"/>
      <c r="AO86" s="5415" t="n"/>
      <c r="AP86" s="5415" t="n"/>
      <c r="AQ86" s="5415" t="n"/>
      <c r="AR86" s="5415" t="n"/>
      <c r="AS86" s="5415" t="n"/>
      <c r="AT86" s="5415" t="n"/>
      <c r="AU86" s="344" t="n"/>
    </row>
    <row r="87" ht="14.25" customHeight="1" s="7635">
      <c r="A87" s="139" t="n"/>
      <c r="B87" s="88" t="n"/>
      <c r="C87" s="228" t="n">
        <v>12</v>
      </c>
      <c r="D87" s="8650" t="inlineStr">
        <is>
          <t>Enter the amount, if any, from line 18 in the previous</t>
        </is>
      </c>
      <c r="E87" s="11602" t="n"/>
      <c r="F87" s="11602" t="n"/>
      <c r="G87" s="11602" t="n"/>
      <c r="H87" s="11602" t="n"/>
      <c r="I87" s="11602" t="n"/>
      <c r="J87" s="11602" t="n"/>
      <c r="K87" s="11602" t="n"/>
      <c r="L87" s="11602" t="n"/>
      <c r="M87" s="11602" t="n"/>
      <c r="N87" s="11602" t="n"/>
      <c r="O87" s="5448" t="n"/>
      <c r="P87" s="5508" t="n"/>
      <c r="Q87" s="5509" t="n"/>
      <c r="R87" s="8936" t="n"/>
      <c r="S87" s="1627" t="n"/>
      <c r="T87" s="1628" t="n"/>
      <c r="U87" s="1627" t="n"/>
      <c r="V87" s="1629" t="n"/>
      <c r="W87" s="1628" t="n"/>
      <c r="X87" s="139" t="n"/>
      <c r="Y87" s="343" t="n"/>
      <c r="Z87" s="5415" t="n"/>
      <c r="AA87" s="5415" t="n"/>
      <c r="AB87" s="11602" t="n"/>
      <c r="AC87" s="11602" t="n"/>
      <c r="AD87" s="11602" t="n"/>
      <c r="AE87" s="11602" t="n"/>
      <c r="AF87" s="11602" t="n"/>
      <c r="AG87" s="5415" t="n"/>
      <c r="AH87" s="5415" t="n"/>
      <c r="AI87" s="5415" t="n"/>
      <c r="AJ87" s="5415" t="n"/>
      <c r="AK87" s="5415" t="n"/>
      <c r="AL87" s="5415" t="n"/>
      <c r="AM87" s="5415" t="n"/>
      <c r="AN87" s="5415" t="n"/>
      <c r="AO87" s="5415" t="n"/>
      <c r="AP87" s="5415" t="n"/>
      <c r="AQ87" s="5415" t="n"/>
      <c r="AR87" s="5415" t="n"/>
      <c r="AS87" s="5415" t="n"/>
      <c r="AT87" s="5415" t="n"/>
      <c r="AU87" s="344" t="n"/>
    </row>
    <row r="88" ht="16.5" customHeight="1" s="7635">
      <c r="A88" s="139" t="n"/>
      <c r="B88" s="88" t="n"/>
      <c r="C88" s="228" t="n"/>
      <c r="D88" s="8650" t="inlineStr">
        <is>
          <t>column</t>
        </is>
      </c>
      <c r="E88" s="11602" t="n"/>
      <c r="F88" s="11602" t="n"/>
      <c r="G88" s="11602" t="n"/>
      <c r="H88" s="11602" t="n"/>
      <c r="I88" s="11602" t="n"/>
      <c r="J88" s="11602" t="n"/>
      <c r="K88" s="11602" t="n"/>
      <c r="L88" s="11602" t="n"/>
      <c r="M88" s="11602" t="n"/>
      <c r="N88" s="1321" t="inlineStr">
        <is>
          <t xml:space="preserve">.   .   .   .   .   .   .   .   .   .   .   .   .   .   .   .   .   .   .   . </t>
        </is>
      </c>
      <c r="O88" s="5497" t="n">
        <v>12</v>
      </c>
      <c r="P88" s="5510" t="n"/>
      <c r="Q88" s="5511" t="n"/>
      <c r="R88" s="12323">
        <f>P101</f>
        <v/>
      </c>
      <c r="S88" s="7638" t="n"/>
      <c r="T88" s="12323">
        <f>R101</f>
        <v/>
      </c>
      <c r="U88" s="7638" t="n"/>
      <c r="V88" s="9310">
        <f>T101</f>
        <v/>
      </c>
      <c r="W88" s="7637" t="n"/>
      <c r="X88" s="139" t="n"/>
      <c r="Y88" s="343" t="n"/>
      <c r="Z88" s="5415" t="n"/>
      <c r="AA88" s="5415" t="n"/>
      <c r="AB88" s="11602" t="n"/>
      <c r="AC88" s="11602" t="n"/>
      <c r="AD88" s="11602" t="n"/>
      <c r="AE88" s="11602" t="n"/>
      <c r="AF88" s="11602" t="n"/>
      <c r="AG88" s="5415" t="n"/>
      <c r="AH88" s="5415" t="n"/>
      <c r="AI88" s="5415" t="n"/>
      <c r="AJ88" s="5415" t="n"/>
      <c r="AK88" s="5415" t="n"/>
      <c r="AL88" s="5415" t="n"/>
      <c r="AM88" s="5415" t="n"/>
      <c r="AN88" s="5415" t="n"/>
      <c r="AO88" s="5415" t="n"/>
      <c r="AP88" s="5415" t="n"/>
      <c r="AQ88" s="5415" t="n"/>
      <c r="AR88" s="5415" t="n"/>
      <c r="AS88" s="5415" t="n"/>
      <c r="AT88" s="5415" t="n"/>
      <c r="AU88" s="344" t="n"/>
    </row>
    <row r="89" ht="14.25" customHeight="1" s="7635">
      <c r="A89" s="139" t="n"/>
      <c r="B89" s="88" t="n"/>
      <c r="C89" s="228" t="n">
        <v>13</v>
      </c>
      <c r="D89" s="8650" t="inlineStr">
        <is>
          <t>Add lines 11 and 12</t>
        </is>
      </c>
      <c r="E89" s="11602" t="n"/>
      <c r="F89" s="11602" t="n"/>
      <c r="G89" s="11602" t="n"/>
      <c r="H89" s="11602" t="n"/>
      <c r="I89" s="11602" t="n"/>
      <c r="J89" s="11602" t="n"/>
      <c r="K89" s="11602" t="n"/>
      <c r="L89" s="11602" t="n"/>
      <c r="M89" s="11602" t="n"/>
      <c r="N89" s="1321" t="inlineStr">
        <is>
          <t xml:space="preserve">.   .   .   .   .   .   .   .   .   .   .   .   .   .   .   . </t>
        </is>
      </c>
      <c r="O89" s="5497" t="n">
        <v>13</v>
      </c>
      <c r="P89" s="5512" t="n"/>
      <c r="Q89" s="5513" t="n"/>
      <c r="R89" s="12331">
        <f>IF(AND(NOT($P$80),R83&lt;&gt;""),SUM(R83,R88),"")</f>
        <v/>
      </c>
      <c r="S89" s="11734" t="n"/>
      <c r="T89" s="12331">
        <f>IF(AND(NOT($P$80),T83&lt;&gt;""),SUM(T83,T88),"")</f>
        <v/>
      </c>
      <c r="U89" s="11734" t="n"/>
      <c r="V89" s="9275">
        <f>IF(AND(NOT($P$80),V83&lt;&gt;""),SUM(V83,V88),"")</f>
        <v/>
      </c>
      <c r="W89" s="8412" t="n"/>
      <c r="X89" s="139" t="n"/>
      <c r="Y89" s="343" t="n"/>
      <c r="Z89" s="5415" t="n"/>
      <c r="AA89" s="5415" t="n"/>
      <c r="AB89" s="11602" t="n"/>
      <c r="AC89" s="11602" t="n"/>
      <c r="AD89" s="11602" t="n"/>
      <c r="AE89" s="11602" t="n"/>
      <c r="AF89" s="11602" t="n"/>
      <c r="AG89" s="5415" t="n"/>
      <c r="AH89" s="5415" t="n"/>
      <c r="AI89" s="5415" t="n"/>
      <c r="AJ89" s="5415" t="n"/>
      <c r="AK89" s="5415" t="n"/>
      <c r="AL89" s="5415" t="n"/>
      <c r="AM89" s="5415" t="n"/>
      <c r="AN89" s="5415" t="n"/>
      <c r="AO89" s="5415" t="n"/>
      <c r="AP89" s="5415" t="n"/>
      <c r="AQ89" s="5415" t="n"/>
      <c r="AR89" s="5415" t="n"/>
      <c r="AS89" s="5415" t="n"/>
      <c r="AT89" s="5415" t="n"/>
      <c r="AU89" s="344" t="n"/>
    </row>
    <row r="90" ht="13.5" customHeight="1" s="7635">
      <c r="A90" s="139" t="n"/>
      <c r="B90" s="88" t="n"/>
      <c r="C90" s="228" t="n">
        <v>14</v>
      </c>
      <c r="D90" s="8650" t="inlineStr">
        <is>
          <t>Add the amounts on lines 16 and 17 in the previous</t>
        </is>
      </c>
      <c r="E90" s="11602" t="n"/>
      <c r="F90" s="11602" t="n"/>
      <c r="G90" s="11602" t="n"/>
      <c r="H90" s="11602" t="n"/>
      <c r="I90" s="11602" t="n"/>
      <c r="J90" s="11602" t="n"/>
      <c r="K90" s="11602" t="n"/>
      <c r="L90" s="11602" t="n"/>
      <c r="M90" s="11602" t="n"/>
      <c r="N90" s="11602" t="n"/>
      <c r="O90" s="5448" t="n"/>
      <c r="P90" s="5508" t="n"/>
      <c r="Q90" s="5509" t="n"/>
      <c r="R90" s="8936" t="n"/>
      <c r="S90" s="1627" t="n"/>
      <c r="T90" s="1628" t="n"/>
      <c r="U90" s="1627" t="n"/>
      <c r="V90" s="1629" t="n"/>
      <c r="W90" s="1628" t="n"/>
      <c r="X90" s="139" t="n"/>
      <c r="Y90" s="343" t="n"/>
      <c r="Z90" s="5415" t="n"/>
      <c r="AA90" s="5415" t="n"/>
      <c r="AB90" s="11602" t="n"/>
      <c r="AC90" s="11602" t="n"/>
      <c r="AD90" s="11602" t="n"/>
      <c r="AE90" s="11602" t="n"/>
      <c r="AF90" s="11602" t="n"/>
      <c r="AG90" s="5415" t="n"/>
      <c r="AH90" s="5415" t="n"/>
      <c r="AI90" s="5415" t="n"/>
      <c r="AJ90" s="5415" t="n"/>
      <c r="AK90" s="5415" t="n"/>
      <c r="AL90" s="5415" t="n"/>
      <c r="AM90" s="5415" t="n"/>
      <c r="AN90" s="5415" t="n"/>
      <c r="AO90" s="5415" t="n"/>
      <c r="AP90" s="5415" t="n"/>
      <c r="AQ90" s="5415" t="n"/>
      <c r="AR90" s="5415" t="n"/>
      <c r="AS90" s="5415" t="n"/>
      <c r="AT90" s="5415" t="n"/>
      <c r="AU90" s="344" t="n"/>
    </row>
    <row r="91" ht="12" customHeight="1" s="7635">
      <c r="A91" s="139" t="n"/>
      <c r="B91" s="88" t="n"/>
      <c r="C91" s="228" t="n"/>
      <c r="D91" s="8650" t="inlineStr">
        <is>
          <t>column</t>
        </is>
      </c>
      <c r="E91" s="11602" t="n"/>
      <c r="F91" s="11602" t="n"/>
      <c r="G91" s="11602" t="n"/>
      <c r="H91" s="11602" t="n"/>
      <c r="I91" s="11602" t="n"/>
      <c r="J91" s="11602" t="n"/>
      <c r="K91" s="11602" t="n"/>
      <c r="L91" s="11602" t="n"/>
      <c r="M91" s="11602" t="n"/>
      <c r="N91" s="1321" t="inlineStr">
        <is>
          <t xml:space="preserve">.   .   .   .   .   .   .   .   .   .   .   .   .   .   .   .   .   .   .   . </t>
        </is>
      </c>
      <c r="O91" s="5497" t="n">
        <v>14</v>
      </c>
      <c r="P91" s="5510" t="n"/>
      <c r="Q91" s="5511" t="n"/>
      <c r="R91" s="12323">
        <f>IF(AND(NOT($P$80),R83&lt;&gt;""),SUM(P95,P98),"")</f>
        <v/>
      </c>
      <c r="S91" s="7638" t="n"/>
      <c r="T91" s="12323">
        <f>IF(AND(NOT($P$80),T83&lt;&gt;""),SUM(R95,R98),"")</f>
        <v/>
      </c>
      <c r="U91" s="7638" t="n"/>
      <c r="V91" s="9310">
        <f>IF(AND(NOT($P$80),V83&lt;&gt;""),SUM(T95,T98),"")</f>
        <v/>
      </c>
      <c r="W91" s="7637" t="n"/>
      <c r="X91" s="139" t="n"/>
      <c r="Y91" s="343" t="n"/>
      <c r="Z91" s="5415" t="n"/>
      <c r="AA91" s="5415" t="n"/>
      <c r="AB91" s="11602" t="n"/>
      <c r="AC91" s="11602" t="n"/>
      <c r="AD91" s="11602" t="n"/>
      <c r="AE91" s="11602" t="n"/>
      <c r="AF91" s="11602" t="n"/>
      <c r="AG91" s="5415" t="n"/>
      <c r="AH91" s="5415" t="n"/>
      <c r="AI91" s="5415" t="n"/>
      <c r="AJ91" s="5415" t="n"/>
      <c r="AK91" s="5415" t="n"/>
      <c r="AL91" s="5415" t="n"/>
      <c r="AM91" s="5415" t="n"/>
      <c r="AN91" s="5415" t="n"/>
      <c r="AO91" s="5415" t="n"/>
      <c r="AP91" s="5415" t="n"/>
      <c r="AQ91" s="5415" t="n"/>
      <c r="AR91" s="5415" t="n"/>
      <c r="AS91" s="5415" t="n"/>
      <c r="AT91" s="5415" t="n"/>
      <c r="AU91" s="344" t="n"/>
    </row>
    <row r="92" ht="13.5" customHeight="1" s="7635">
      <c r="A92" s="139" t="n"/>
      <c r="B92" s="88" t="n"/>
      <c r="C92" s="228" t="n">
        <v>15</v>
      </c>
      <c r="D92" s="7772" t="inlineStr">
        <is>
          <t xml:space="preserve">Subtract line 14 from line 13. If zero or less, enter -0-. </t>
        </is>
      </c>
      <c r="E92" s="11602" t="n"/>
      <c r="F92" s="11602" t="n"/>
      <c r="G92" s="11602" t="n"/>
      <c r="H92" s="11602" t="n"/>
      <c r="I92" s="11602" t="n"/>
      <c r="J92" s="11602" t="n"/>
      <c r="K92" s="11602" t="n"/>
      <c r="L92" s="11602" t="n"/>
      <c r="M92" s="11602" t="n"/>
      <c r="N92" s="11602" t="n"/>
      <c r="O92" s="5488" t="n"/>
      <c r="P92" s="8936" t="n"/>
      <c r="Q92" s="2431" t="n"/>
      <c r="R92" s="8936" t="n"/>
      <c r="S92" s="1627" t="n"/>
      <c r="T92" s="1628" t="n"/>
      <c r="U92" s="1627" t="n"/>
      <c r="V92" s="1629" t="n"/>
      <c r="W92" s="1628" t="n"/>
      <c r="X92" s="139" t="n"/>
      <c r="Y92" s="343" t="n"/>
      <c r="Z92" s="5415" t="n"/>
      <c r="AA92" s="5415" t="n"/>
      <c r="AB92" s="11602" t="n"/>
      <c r="AC92" s="11602" t="n"/>
      <c r="AD92" s="11602" t="n"/>
      <c r="AE92" s="11602" t="n"/>
      <c r="AF92" s="11602" t="n"/>
      <c r="AG92" s="5415" t="n"/>
      <c r="AH92" s="5415" t="n"/>
      <c r="AI92" s="5415" t="n"/>
      <c r="AJ92" s="5415" t="n"/>
      <c r="AK92" s="5415" t="n"/>
      <c r="AL92" s="5415" t="n"/>
      <c r="AM92" s="5415" t="n"/>
      <c r="AN92" s="5415" t="n"/>
      <c r="AO92" s="5415" t="n"/>
      <c r="AP92" s="5415" t="n"/>
      <c r="AQ92" s="5415" t="n"/>
      <c r="AR92" s="5415" t="n"/>
      <c r="AS92" s="5415" t="n"/>
      <c r="AT92" s="5415" t="n"/>
      <c r="AU92" s="344" t="n"/>
    </row>
    <row r="93" ht="14.25" customHeight="1" s="7635">
      <c r="A93" s="139" t="n"/>
      <c r="B93" s="88" t="n"/>
      <c r="C93" s="228" t="n"/>
      <c r="D93" s="7772" t="inlineStr">
        <is>
          <t>For column (a) only, enter the amount from line 11</t>
        </is>
      </c>
      <c r="E93" s="11602" t="n"/>
      <c r="F93" s="11602" t="n"/>
      <c r="G93" s="11602" t="n"/>
      <c r="H93" s="11602" t="n"/>
      <c r="I93" s="11602" t="n"/>
      <c r="J93" s="11602" t="n"/>
      <c r="K93" s="11602" t="n"/>
      <c r="L93" s="11602" t="n"/>
      <c r="M93" s="11602" t="n"/>
      <c r="N93" s="1321" t="inlineStr">
        <is>
          <t xml:space="preserve">.   . </t>
        </is>
      </c>
      <c r="O93" s="5497" t="n">
        <v>15</v>
      </c>
      <c r="P93" s="12323">
        <f>IF(AND(NOT($P$80),P83&lt;&gt;""),P83,"")</f>
        <v/>
      </c>
      <c r="Q93" s="7638" t="n"/>
      <c r="R93" s="12323">
        <f>IF(AND(NOT($P$80),R83&lt;&gt;"",R91&lt;&gt;""),IF(SUM(R89,-R91)&lt;=0,0,SUM(R89,-R91)),"")</f>
        <v/>
      </c>
      <c r="S93" s="7638" t="n"/>
      <c r="T93" s="12323">
        <f>IF(AND(NOT($P$80),T83&lt;&gt;"",T91&lt;&gt;""),IF(SUM(T89,-T91)&lt;=0,0,SUM(T89,-T91)),"")</f>
        <v/>
      </c>
      <c r="U93" s="7638" t="n"/>
      <c r="V93" s="9310">
        <f>IF(AND(NOT($P$80),V83&lt;&gt;"",V91&lt;&gt;""),IF(SUM(V89,-V91)&lt;=0,0,SUM(V89,-V91)),"")</f>
        <v/>
      </c>
      <c r="W93" s="7637" t="n"/>
      <c r="X93" s="139" t="n"/>
      <c r="Y93" s="343" t="n"/>
      <c r="Z93" s="5415" t="n"/>
      <c r="AA93" s="5415" t="n"/>
      <c r="AB93" s="11602" t="n"/>
      <c r="AC93" s="11602" t="n"/>
      <c r="AD93" s="11602" t="n"/>
      <c r="AE93" s="11602" t="n"/>
      <c r="AF93" s="11602" t="n"/>
      <c r="AG93" s="5415" t="n"/>
      <c r="AH93" s="5415" t="n"/>
      <c r="AI93" s="5415" t="n"/>
      <c r="AJ93" s="5415" t="n"/>
      <c r="AK93" s="5415" t="n"/>
      <c r="AL93" s="5415" t="n"/>
      <c r="AM93" s="5415" t="n"/>
      <c r="AN93" s="5415" t="n"/>
      <c r="AO93" s="5415" t="n"/>
      <c r="AP93" s="5415" t="n"/>
      <c r="AQ93" s="5415" t="n"/>
      <c r="AR93" s="5415" t="n"/>
      <c r="AS93" s="5415" t="n"/>
      <c r="AT93" s="5415" t="n"/>
      <c r="AU93" s="344" t="n"/>
    </row>
    <row r="94" ht="14.25" customHeight="1" s="7635">
      <c r="A94" s="139" t="n"/>
      <c r="B94" s="88" t="n"/>
      <c r="C94" s="228" t="n">
        <v>16</v>
      </c>
      <c r="D94" s="7772" t="inlineStr">
        <is>
          <t>If line 15 is zero, subtract line 13 from line 14.</t>
        </is>
      </c>
      <c r="E94" s="11602" t="n"/>
      <c r="F94" s="11602" t="n"/>
      <c r="G94" s="11602" t="n"/>
      <c r="H94" s="11602" t="n"/>
      <c r="I94" s="11602" t="n"/>
      <c r="J94" s="11602" t="n"/>
      <c r="K94" s="11602" t="n"/>
      <c r="L94" s="11602" t="n"/>
      <c r="M94" s="11602" t="n"/>
      <c r="N94" s="11602" t="n"/>
      <c r="O94" s="5488" t="n"/>
      <c r="P94" s="5514" t="n"/>
      <c r="Q94" s="5515" t="n"/>
      <c r="R94" s="8936" t="n"/>
      <c r="S94" s="1627" t="n"/>
      <c r="T94" s="1628" t="n"/>
      <c r="U94" s="1627" t="n"/>
      <c r="V94" s="5514" t="n"/>
      <c r="W94" s="5516" t="n"/>
      <c r="X94" s="139" t="n"/>
      <c r="Y94" s="343" t="n"/>
      <c r="Z94" s="5415" t="n"/>
      <c r="AA94" s="5415" t="n"/>
      <c r="AB94" s="11602" t="n"/>
      <c r="AC94" s="11602" t="n"/>
      <c r="AD94" s="11602" t="n"/>
      <c r="AE94" s="11602" t="n"/>
      <c r="AF94" s="11602" t="n"/>
      <c r="AG94" s="5415" t="n"/>
      <c r="AH94" s="5415" t="n"/>
      <c r="AI94" s="5415" t="n"/>
      <c r="AJ94" s="5415" t="n"/>
      <c r="AK94" s="5415" t="n"/>
      <c r="AL94" s="5415" t="n"/>
      <c r="AM94" s="5415" t="n"/>
      <c r="AN94" s="5415" t="n"/>
      <c r="AO94" s="5415" t="n"/>
      <c r="AP94" s="5415" t="n"/>
      <c r="AQ94" s="5415" t="n"/>
      <c r="AR94" s="5415" t="n"/>
      <c r="AS94" s="5415" t="n"/>
      <c r="AT94" s="5415" t="n"/>
      <c r="AU94" s="8648" t="n"/>
    </row>
    <row r="95" ht="15" customHeight="1" s="7635">
      <c r="A95" s="139" t="n"/>
      <c r="B95" s="88" t="n"/>
      <c r="C95" s="228" t="n"/>
      <c r="D95" s="7772" t="inlineStr">
        <is>
          <t>Otherwise, enter -0-</t>
        </is>
      </c>
      <c r="E95" s="11602" t="n"/>
      <c r="F95" s="11602" t="n"/>
      <c r="G95" s="11602" t="n"/>
      <c r="H95" s="11602" t="n"/>
      <c r="I95" s="11602" t="n"/>
      <c r="J95" s="11602" t="n"/>
      <c r="K95" s="11602" t="n"/>
      <c r="L95" s="11602" t="n"/>
      <c r="M95" s="11602" t="n"/>
      <c r="N95" s="1321" t="inlineStr">
        <is>
          <t xml:space="preserve">.   .   .   .   .   .   .   .   .   .   .   .   .   .   . </t>
        </is>
      </c>
      <c r="O95" s="5497" t="n">
        <v>16</v>
      </c>
      <c r="P95" s="5510" t="n"/>
      <c r="Q95" s="5511" t="n"/>
      <c r="R95" s="12323">
        <f>IF(AND(NOT($P$80),R83&lt;&gt;""),IF(R93=0,SUM(R91,-R89),0),"")</f>
        <v/>
      </c>
      <c r="S95" s="7638" t="n"/>
      <c r="T95" s="12323">
        <f>IF(AND(NOT($P$80),T83&lt;&gt;""),IF(T93=0,SUM(T91,-T89),0),"")</f>
        <v/>
      </c>
      <c r="U95" s="7638" t="n"/>
      <c r="V95" s="5510" t="n"/>
      <c r="W95" s="5517" t="n"/>
      <c r="X95" s="139" t="n"/>
      <c r="Y95" s="343" t="n"/>
      <c r="Z95" s="5415" t="n"/>
      <c r="AA95" s="5415" t="n"/>
      <c r="AB95" s="11602" t="n"/>
      <c r="AC95" s="11602" t="n"/>
      <c r="AD95" s="11602" t="n"/>
      <c r="AE95" s="11602" t="n"/>
      <c r="AF95" s="11602" t="n"/>
      <c r="AG95" s="5415" t="n"/>
      <c r="AH95" s="5415" t="n"/>
      <c r="AI95" s="5415" t="n"/>
      <c r="AJ95" s="5415" t="n"/>
      <c r="AK95" s="5415" t="n"/>
      <c r="AL95" s="5415" t="n"/>
      <c r="AM95" s="5415" t="n"/>
      <c r="AN95" s="5415" t="n"/>
      <c r="AO95" s="5415" t="n"/>
      <c r="AP95" s="5415" t="n"/>
      <c r="AQ95" s="5415" t="n"/>
      <c r="AR95" s="5415" t="n"/>
      <c r="AS95" s="5415" t="n"/>
      <c r="AT95" s="5415" t="n"/>
      <c r="AU95" s="8648" t="n"/>
    </row>
    <row r="96" ht="15.75" customHeight="1" s="7635">
      <c r="A96" s="139" t="n"/>
      <c r="B96" s="88" t="n"/>
      <c r="C96" s="228" t="n">
        <v>17</v>
      </c>
      <c r="D96" s="2311" t="inlineStr">
        <is>
          <t>Underpayment. If line 10 is equal to or more than</t>
        </is>
      </c>
      <c r="E96" s="11602" t="n"/>
      <c r="F96" s="11602" t="n"/>
      <c r="G96" s="11602" t="n"/>
      <c r="H96" s="11602" t="n"/>
      <c r="I96" s="11602" t="n"/>
      <c r="J96" s="11602" t="n"/>
      <c r="K96" s="11602" t="n"/>
      <c r="L96" s="11602" t="n"/>
      <c r="M96" s="11602" t="n"/>
      <c r="N96" s="11602" t="n"/>
      <c r="O96" s="5448" t="n"/>
      <c r="P96" s="8936" t="n"/>
      <c r="Q96" s="2431" t="n"/>
      <c r="R96" s="8936" t="n"/>
      <c r="S96" s="1627" t="n"/>
      <c r="T96" s="1628" t="n"/>
      <c r="U96" s="1627" t="n"/>
      <c r="V96" s="1629" t="n"/>
      <c r="W96" s="1628" t="n"/>
      <c r="X96" s="139" t="n"/>
      <c r="Y96" s="343" t="n"/>
      <c r="Z96" s="5415" t="n"/>
      <c r="AA96" s="5415" t="n"/>
      <c r="AB96" s="11602" t="n"/>
      <c r="AC96" s="11602" t="n"/>
      <c r="AD96" s="11602" t="n"/>
      <c r="AE96" s="11602" t="n"/>
      <c r="AF96" s="11602" t="n"/>
      <c r="AG96" s="5415" t="n"/>
      <c r="AH96" s="5415" t="n"/>
      <c r="AI96" s="5415" t="n"/>
      <c r="AJ96" s="5415" t="n"/>
      <c r="AK96" s="5415" t="n"/>
      <c r="AL96" s="5415" t="n"/>
      <c r="AM96" s="5415" t="n"/>
      <c r="AN96" s="5415" t="n"/>
      <c r="AO96" s="5415" t="n"/>
      <c r="AP96" s="5415" t="n"/>
      <c r="AQ96" s="5415" t="n"/>
      <c r="AR96" s="5415" t="n"/>
      <c r="AS96" s="5415" t="n"/>
      <c r="AT96" s="5415" t="n"/>
      <c r="AU96" s="8648" t="n"/>
    </row>
    <row r="97" ht="15.75" customHeight="1" s="7635" thickBot="1">
      <c r="A97" s="139" t="n"/>
      <c r="B97" s="88" t="n"/>
      <c r="C97" s="2715" t="n"/>
      <c r="D97" s="7772" t="inlineStr">
        <is>
          <t>line 15, subtract line 15 from line 10. Then go to line 12</t>
        </is>
      </c>
      <c r="E97" s="11602" t="n"/>
      <c r="F97" s="11602" t="n"/>
      <c r="G97" s="11602" t="n"/>
      <c r="H97" s="11602" t="n"/>
      <c r="I97" s="11602" t="n"/>
      <c r="J97" s="11602" t="n"/>
      <c r="K97" s="7886" t="n"/>
      <c r="L97" s="11602" t="n"/>
      <c r="M97" s="11602" t="n"/>
      <c r="N97" s="11602" t="n"/>
      <c r="O97" s="5448" t="n"/>
      <c r="P97" s="8936" t="n"/>
      <c r="Q97" s="2431" t="n"/>
      <c r="R97" s="8936" t="n"/>
      <c r="S97" s="1627" t="n"/>
      <c r="T97" s="1628" t="n"/>
      <c r="U97" s="1627" t="n"/>
      <c r="V97" s="1629" t="n"/>
      <c r="W97" s="1628" t="n"/>
      <c r="X97" s="139" t="n"/>
      <c r="Y97" s="343" t="n"/>
      <c r="Z97" s="5415" t="n"/>
      <c r="AA97" s="5415" t="n"/>
      <c r="AB97" s="11602" t="n"/>
      <c r="AC97" s="11602" t="n"/>
      <c r="AD97" s="11602" t="n"/>
      <c r="AE97" s="11602" t="n"/>
      <c r="AF97" s="11602" t="n"/>
      <c r="AG97" s="5415" t="n"/>
      <c r="AH97" s="5415" t="n"/>
      <c r="AI97" s="5415" t="n"/>
      <c r="AJ97" s="5415" t="n"/>
      <c r="AK97" s="8966" t="inlineStr">
        <is>
          <t>Overrides</t>
        </is>
      </c>
      <c r="AL97" s="5415" t="n"/>
      <c r="AM97" s="5415" t="n"/>
      <c r="AN97" s="5415" t="n"/>
      <c r="AO97" s="5415" t="n"/>
      <c r="AP97" s="5415" t="n"/>
      <c r="AQ97" s="5415" t="n"/>
      <c r="AR97" s="5415" t="n"/>
      <c r="AS97" s="5415" t="n"/>
      <c r="AT97" s="5415" t="n"/>
      <c r="AU97" s="8648" t="n"/>
    </row>
    <row r="98" ht="15.75" customHeight="1" s="7635" thickBot="1">
      <c r="A98" s="139" t="n"/>
      <c r="B98" s="88" t="n"/>
      <c r="C98" s="88" t="n"/>
      <c r="D98" s="7772" t="inlineStr">
        <is>
          <t>of the next column. Otherwise, go to line 18</t>
        </is>
      </c>
      <c r="E98" s="11602" t="n"/>
      <c r="F98" s="11602" t="n"/>
      <c r="G98" s="11602" t="n"/>
      <c r="H98" s="11602" t="n"/>
      <c r="I98" s="11602" t="n"/>
      <c r="J98" s="11602" t="n"/>
      <c r="K98" s="11602" t="n"/>
      <c r="L98" s="11602" t="n"/>
      <c r="M98" s="11602" t="n"/>
      <c r="N98" s="1321" t="inlineStr">
        <is>
          <t xml:space="preserve"> .   .   .   . </t>
        </is>
      </c>
      <c r="O98" s="5497" t="n">
        <v>17</v>
      </c>
      <c r="P98" s="12323">
        <f>IF(AK98&lt;&gt;"",ROUND(AK98,0),IF(AND(NOT($P$80),P83&lt;&gt;""),IF(P77&gt;=P93,SUM(P77,-P93),0),""))</f>
        <v/>
      </c>
      <c r="Q98" s="7638" t="n"/>
      <c r="R98" s="12323">
        <f>IF(AM98&lt;&gt;"",ROUND(AM98,0),IF(AND(NOT($P$80),R83&lt;&gt;""),IF(R77&gt;=R93,SUM(R77,-R93),0),""))</f>
        <v/>
      </c>
      <c r="S98" s="7638" t="n"/>
      <c r="T98" s="12323">
        <f>IF(AO98&lt;&gt;"",ROUND(AO98,0),IF(AND(NOT($P$80),T83&lt;&gt;""),IF(T77&gt;=T93,SUM(T77,-T93),0),""))</f>
        <v/>
      </c>
      <c r="U98" s="7638" t="n"/>
      <c r="V98" s="9310">
        <f>IF(AQ98&lt;&gt;"",ROUND(AQ98,0),IF(AND(NOT($P$80),V83&lt;&gt;""),IF(V77&gt;=V93,SUM(V77,-V93),0),""))</f>
        <v/>
      </c>
      <c r="W98" s="7637" t="n"/>
      <c r="X98" s="139" t="n"/>
      <c r="Y98" s="343" t="n"/>
      <c r="Z98" s="5494" t="inlineStr">
        <is>
          <t>Overrides   ®</t>
        </is>
      </c>
      <c r="AA98" s="5415" t="n"/>
      <c r="AB98" s="11602" t="n"/>
      <c r="AC98" s="11602" t="n"/>
      <c r="AD98" s="11602" t="n"/>
      <c r="AE98" s="11602" t="n"/>
      <c r="AF98" s="11602" t="n"/>
      <c r="AG98" s="5415" t="n"/>
      <c r="AH98" s="5415" t="n"/>
      <c r="AI98" s="5415" t="n"/>
      <c r="AJ98" s="5498" t="n">
        <v>17</v>
      </c>
      <c r="AK98" s="518" t="n"/>
      <c r="AL98" s="5415" t="n"/>
      <c r="AM98" s="518" t="n"/>
      <c r="AN98" s="5415" t="n"/>
      <c r="AO98" s="518" t="n"/>
      <c r="AP98" s="5415" t="n"/>
      <c r="AQ98" s="518" t="n"/>
      <c r="AR98" s="5415" t="n"/>
      <c r="AS98" s="5415" t="n"/>
      <c r="AT98" s="5415" t="n"/>
      <c r="AU98" s="8648" t="n"/>
    </row>
    <row r="99" ht="15.75" customHeight="1" s="7635">
      <c r="A99" s="139" t="n"/>
      <c r="B99" s="88" t="n"/>
      <c r="C99" s="228" t="n">
        <v>18</v>
      </c>
      <c r="D99" s="7772" t="inlineStr">
        <is>
          <t>Overpayment. If line 15 is more than line 10,</t>
        </is>
      </c>
      <c r="E99" s="11602" t="n"/>
      <c r="F99" s="11602" t="n"/>
      <c r="G99" s="11602" t="n"/>
      <c r="H99" s="11602" t="n"/>
      <c r="I99" s="11602" t="n"/>
      <c r="J99" s="11602" t="n"/>
      <c r="K99" s="11602" t="n"/>
      <c r="L99" s="11602" t="n"/>
      <c r="M99" s="11602" t="n"/>
      <c r="N99" s="11602" t="n"/>
      <c r="O99" s="5448" t="n"/>
      <c r="P99" s="8936" t="n"/>
      <c r="Q99" s="2431" t="n"/>
      <c r="R99" s="8936" t="n"/>
      <c r="S99" s="1627" t="n"/>
      <c r="T99" s="1628" t="n"/>
      <c r="U99" s="1627" t="n"/>
      <c r="V99" s="1629" t="n"/>
      <c r="W99" s="1628" t="n"/>
      <c r="X99" s="139" t="n"/>
      <c r="Y99" s="343" t="n"/>
      <c r="Z99" s="5415" t="n"/>
      <c r="AA99" s="5415" t="n"/>
      <c r="AB99" s="11602" t="n"/>
      <c r="AC99" s="11602" t="n"/>
      <c r="AD99" s="11602" t="n"/>
      <c r="AE99" s="11602" t="n"/>
      <c r="AF99" s="11602" t="n"/>
      <c r="AG99" s="5415" t="n"/>
      <c r="AH99" s="5415" t="n"/>
      <c r="AI99" s="5415" t="n"/>
      <c r="AJ99" s="5415" t="n"/>
      <c r="AK99" s="5415" t="n"/>
      <c r="AL99" s="5415" t="n"/>
      <c r="AM99" s="5415" t="n"/>
      <c r="AN99" s="5415" t="n"/>
      <c r="AO99" s="5415" t="n"/>
      <c r="AP99" s="5415" t="n"/>
      <c r="AQ99" s="5415" t="n"/>
      <c r="AR99" s="5415" t="n"/>
      <c r="AS99" s="5415" t="n"/>
      <c r="AT99" s="5415" t="n"/>
      <c r="AU99" s="8648" t="n"/>
    </row>
    <row r="100" ht="12.75" customHeight="1" s="7635" thickBot="1">
      <c r="A100" s="139" t="n"/>
      <c r="B100" s="88" t="n"/>
      <c r="C100" s="2715" t="n"/>
      <c r="D100" s="2311" t="inlineStr">
        <is>
          <t>subtract line 10 from line 15. Then go to line 12 of</t>
        </is>
      </c>
      <c r="E100" s="11602" t="n"/>
      <c r="F100" s="11602" t="n"/>
      <c r="G100" s="11602" t="n"/>
      <c r="H100" s="11602" t="n"/>
      <c r="I100" s="11602" t="n"/>
      <c r="J100" s="11602" t="n"/>
      <c r="K100" s="7886" t="n"/>
      <c r="L100" s="11602" t="n"/>
      <c r="M100" s="11602" t="n"/>
      <c r="N100" s="11602" t="n"/>
      <c r="O100" s="5448" t="n"/>
      <c r="P100" s="8936" t="n"/>
      <c r="Q100" s="2431" t="n"/>
      <c r="R100" s="8936" t="n"/>
      <c r="S100" s="1627" t="n"/>
      <c r="T100" s="1628" t="n"/>
      <c r="U100" s="1627" t="n"/>
      <c r="V100" s="1629" t="n"/>
      <c r="W100" s="1628" t="n"/>
      <c r="X100" s="139" t="n"/>
      <c r="Y100" s="343" t="n"/>
      <c r="Z100" s="5415" t="n"/>
      <c r="AA100" s="5415" t="n"/>
      <c r="AB100" s="11602" t="n"/>
      <c r="AC100" s="11602" t="n"/>
      <c r="AD100" s="11602" t="n"/>
      <c r="AE100" s="11602" t="n"/>
      <c r="AF100" s="11602" t="n"/>
      <c r="AG100" s="5415" t="n"/>
      <c r="AH100" s="5415" t="n"/>
      <c r="AI100" s="5415" t="n"/>
      <c r="AJ100" s="5415" t="n"/>
      <c r="AK100" s="8966" t="inlineStr">
        <is>
          <t>Overrides</t>
        </is>
      </c>
      <c r="AL100" s="5415" t="n"/>
      <c r="AM100" s="5415" t="n"/>
      <c r="AN100" s="5415" t="n"/>
      <c r="AO100" s="5415" t="n"/>
      <c r="AP100" s="5415" t="n"/>
      <c r="AQ100" s="5415" t="n"/>
      <c r="AR100" s="5415" t="n"/>
      <c r="AS100" s="5415" t="n"/>
      <c r="AT100" s="5415" t="n"/>
      <c r="AU100" s="8648" t="n"/>
    </row>
    <row r="101" ht="15" customHeight="1" s="7635" thickBot="1">
      <c r="A101" s="139" t="n"/>
      <c r="B101" s="88" t="n"/>
      <c r="C101" s="88" t="n"/>
      <c r="D101" s="7772" t="inlineStr">
        <is>
          <t>the next column</t>
        </is>
      </c>
      <c r="E101" s="11602" t="n"/>
      <c r="F101" s="11602" t="n"/>
      <c r="G101" s="11602" t="n"/>
      <c r="H101" s="11602" t="n"/>
      <c r="I101" s="11602" t="n"/>
      <c r="J101" s="11602" t="n"/>
      <c r="K101" s="11602" t="n"/>
      <c r="L101" s="11602" t="n"/>
      <c r="M101" s="11602" t="n"/>
      <c r="N101" s="1321" t="inlineStr">
        <is>
          <t xml:space="preserve">.   .   .   .   .   .   .   .   .   .   .   .   .   .   .   .   . </t>
        </is>
      </c>
      <c r="O101" s="5504" t="n">
        <v>18</v>
      </c>
      <c r="P101" s="12332">
        <f>IF(AK101&lt;&gt;"",ROUND(AK101,0),IF(AND(NOT($P$80),P83&lt;&gt;""),IF(P93&gt;P77,SUM(P93,-P77),0),""))</f>
        <v/>
      </c>
      <c r="Q101" s="7636" t="n"/>
      <c r="R101" s="12332">
        <f>IF(AM101&lt;&gt;"",ROUND(AM101,0),IF(AND(NOT($P$80),R83&lt;&gt;""),IF(R93&gt;R77,SUM(R93,-R77),0),""))</f>
        <v/>
      </c>
      <c r="S101" s="7636" t="n"/>
      <c r="T101" s="12332">
        <f>IF(AO101&lt;&gt;"",ROUND(AO101,0),IF(AND(NOT($P$80),T83&lt;&gt;""),IF(T93&gt;T77,SUM(T93,-T77),0),""))</f>
        <v/>
      </c>
      <c r="U101" s="7636" t="n"/>
      <c r="V101" s="9310">
        <f>IF(AQ101&lt;&gt;"",ROUND(AQ101,0),IF(AND(NOT($P$80),V83&lt;&gt;""),IF(V93&gt;V77,SUM(V93,-V77),0),""))</f>
        <v/>
      </c>
      <c r="W101" s="7637" t="n"/>
      <c r="X101" s="139" t="n"/>
      <c r="Y101" s="343" t="n"/>
      <c r="Z101" s="5494" t="inlineStr">
        <is>
          <t>Overrides   ®</t>
        </is>
      </c>
      <c r="AA101" s="5415" t="n"/>
      <c r="AB101" s="11602" t="n"/>
      <c r="AC101" s="11602" t="n"/>
      <c r="AD101" s="11602" t="n"/>
      <c r="AE101" s="11602" t="n"/>
      <c r="AF101" s="11602" t="n"/>
      <c r="AG101" s="5415" t="n"/>
      <c r="AH101" s="5415" t="n"/>
      <c r="AI101" s="5415" t="n"/>
      <c r="AJ101" s="5498" t="n">
        <v>18</v>
      </c>
      <c r="AK101" s="518" t="n"/>
      <c r="AL101" s="5415" t="n"/>
      <c r="AM101" s="518" t="n"/>
      <c r="AN101" s="5415" t="n"/>
      <c r="AO101" s="518" t="n"/>
      <c r="AP101" s="5415" t="n"/>
      <c r="AQ101" s="518" t="n"/>
      <c r="AR101" s="5415" t="n"/>
      <c r="AS101" s="5415" t="n"/>
      <c r="AT101" s="5415" t="n"/>
      <c r="AU101" s="8648" t="n"/>
    </row>
    <row r="102" ht="15" customHeight="1" s="7635">
      <c r="A102" s="139" t="n"/>
      <c r="B102" s="1839" t="n"/>
      <c r="C102" s="5518" t="n"/>
      <c r="D102" s="5519" t="n"/>
      <c r="E102" s="1839" t="n"/>
      <c r="F102" s="1839" t="n"/>
      <c r="G102" s="1839" t="n"/>
      <c r="H102" s="1839" t="n"/>
      <c r="I102" s="1839" t="n"/>
      <c r="J102" s="1839" t="n"/>
      <c r="K102" s="1839" t="n"/>
      <c r="L102" s="1839" t="n"/>
      <c r="M102" s="1839" t="n"/>
      <c r="N102" s="1839" t="n"/>
      <c r="O102" s="1839" t="n"/>
      <c r="P102" s="1839" t="n"/>
      <c r="Q102" s="1839" t="n"/>
      <c r="R102" s="1839" t="n"/>
      <c r="S102" s="1839" t="n"/>
      <c r="T102" s="1839" t="n"/>
      <c r="U102" s="1839" t="n"/>
      <c r="V102" s="1839" t="n"/>
      <c r="W102" s="1839" t="n"/>
      <c r="X102" s="139" t="n"/>
      <c r="Y102" s="343" t="n"/>
      <c r="Z102" s="5415" t="n"/>
      <c r="AA102" s="5415" t="n"/>
      <c r="AB102" s="11602" t="n"/>
      <c r="AC102" s="11602" t="n"/>
      <c r="AD102" s="11602" t="n"/>
      <c r="AE102" s="11602" t="n"/>
      <c r="AF102" s="11602" t="n"/>
      <c r="AG102" s="5415" t="n"/>
      <c r="AH102" s="5415" t="n"/>
      <c r="AI102" s="5415" t="n"/>
      <c r="AJ102" s="5415" t="n"/>
      <c r="AK102" s="5415" t="n"/>
      <c r="AL102" s="5415" t="n"/>
      <c r="AM102" s="5415" t="n"/>
      <c r="AN102" s="5415" t="n"/>
      <c r="AO102" s="5415" t="n"/>
      <c r="AP102" s="5415" t="n"/>
      <c r="AQ102" s="5415" t="n"/>
      <c r="AR102" s="5415" t="n"/>
      <c r="AS102" s="5415" t="n"/>
      <c r="AT102" s="5415" t="n"/>
      <c r="AU102" s="8648" t="n"/>
    </row>
    <row r="103" ht="13.5" customHeight="1" s="7635">
      <c r="A103" s="139" t="n"/>
      <c r="B103" s="3406" t="inlineStr">
        <is>
          <t>Section B - Figure the Penalty    (Use the Worksheet for Form 2210, Part III, Section B - Figure Penalty in the instructions.)</t>
        </is>
      </c>
      <c r="C103" s="3406" t="n"/>
      <c r="D103" s="2617" t="n"/>
      <c r="E103" s="88" t="n"/>
      <c r="F103" s="88" t="n"/>
      <c r="G103" s="88" t="n"/>
      <c r="H103" s="88" t="n"/>
      <c r="I103" s="88" t="n"/>
      <c r="J103" s="88" t="n"/>
      <c r="K103" s="88" t="n"/>
      <c r="L103" s="88" t="n"/>
      <c r="M103" s="88" t="n"/>
      <c r="N103" s="88" t="n"/>
      <c r="O103" s="88" t="n"/>
      <c r="P103" s="88" t="n"/>
      <c r="Q103" s="88" t="n"/>
      <c r="R103" s="88" t="n"/>
      <c r="S103" s="88" t="n"/>
      <c r="T103" s="88" t="n"/>
      <c r="U103" s="88" t="n"/>
      <c r="V103" s="88" t="n"/>
      <c r="W103" s="88" t="n"/>
      <c r="X103" s="139" t="n"/>
      <c r="Y103" s="343" t="n"/>
      <c r="Z103" s="5415" t="n"/>
      <c r="AA103" s="5415" t="n"/>
      <c r="AB103" s="11602" t="n"/>
      <c r="AC103" s="11602" t="n"/>
      <c r="AD103" s="11602" t="n"/>
      <c r="AE103" s="11602" t="n"/>
      <c r="AF103" s="11602" t="n"/>
      <c r="AG103" s="5415" t="n"/>
      <c r="AH103" s="5415" t="n"/>
      <c r="AI103" s="5415" t="n"/>
      <c r="AJ103" s="5415" t="n"/>
      <c r="AK103" s="5415" t="n"/>
      <c r="AL103" s="5415" t="n"/>
      <c r="AM103" s="5415" t="n"/>
      <c r="AN103" s="5415" t="n"/>
      <c r="AO103" s="5415" t="n"/>
      <c r="AP103" s="5415" t="n"/>
      <c r="AQ103" s="5415" t="n"/>
      <c r="AR103" s="5415" t="n"/>
      <c r="AS103" s="5415" t="n"/>
      <c r="AT103" s="5415" t="n"/>
      <c r="AU103" s="8648" t="n"/>
    </row>
    <row r="104" ht="13.5" customHeight="1" s="7635">
      <c r="A104" s="139" t="n"/>
      <c r="B104" s="2432" t="n"/>
      <c r="C104" s="2438" t="n"/>
      <c r="D104" s="2432" t="n"/>
      <c r="E104" s="2432" t="n"/>
      <c r="F104" s="2432" t="n"/>
      <c r="G104" s="2432" t="n"/>
      <c r="H104" s="2432" t="n"/>
      <c r="I104" s="2432" t="n"/>
      <c r="J104" s="2432" t="n"/>
      <c r="K104" s="2432" t="n"/>
      <c r="L104" s="2432" t="n"/>
      <c r="M104" s="2432" t="n"/>
      <c r="N104" s="2432" t="n"/>
      <c r="O104" s="2432" t="n"/>
      <c r="P104" s="2432" t="n"/>
      <c r="Q104" s="2432" t="n"/>
      <c r="R104" s="2432" t="n"/>
      <c r="S104" s="2432" t="n"/>
      <c r="T104" s="2432" t="n"/>
      <c r="U104" s="2432" t="n"/>
      <c r="V104" s="2432" t="n"/>
      <c r="W104" s="2432" t="n"/>
      <c r="X104" s="139" t="n"/>
      <c r="Y104" s="343" t="n"/>
      <c r="Z104" s="5415" t="n"/>
      <c r="AA104" s="5415" t="n"/>
      <c r="AB104" s="11602" t="n"/>
      <c r="AC104" s="11602" t="n"/>
      <c r="AD104" s="11602" t="n"/>
      <c r="AE104" s="11602" t="n"/>
      <c r="AF104" s="11602" t="n"/>
      <c r="AG104" s="5415" t="n"/>
      <c r="AH104" s="5415" t="n"/>
      <c r="AI104" s="5415" t="n"/>
      <c r="AJ104" s="5415" t="n"/>
      <c r="AK104" s="5415" t="n"/>
      <c r="AL104" s="5415" t="n"/>
      <c r="AM104" s="5415" t="n"/>
      <c r="AN104" s="5415" t="n"/>
      <c r="AO104" s="5415" t="n"/>
      <c r="AP104" s="5415" t="n"/>
      <c r="AQ104" s="5415" t="n"/>
      <c r="AR104" s="5415" t="n"/>
      <c r="AS104" s="5415" t="n"/>
      <c r="AT104" s="5415" t="n"/>
      <c r="AU104" s="8648" t="n"/>
    </row>
    <row r="105" ht="17.25" customHeight="1" s="7635">
      <c r="A105" s="139" t="n"/>
      <c r="B105" s="88" t="n"/>
      <c r="C105" s="5520" t="n">
        <v>19</v>
      </c>
      <c r="D105" s="3440" t="inlineStr">
        <is>
          <t>Penalty. Enter the total penalty from line 14 of the Worksheet for Form 2210, Part III, Section B -</t>
        </is>
      </c>
      <c r="E105" s="88" t="n"/>
      <c r="F105" s="88" t="n"/>
      <c r="G105" s="88" t="n"/>
      <c r="H105" s="88" t="n"/>
      <c r="I105" s="88" t="n"/>
      <c r="J105" s="88" t="n"/>
      <c r="K105" s="88" t="n"/>
      <c r="L105" s="88" t="n"/>
      <c r="M105" s="88" t="n"/>
      <c r="N105" s="88" t="n"/>
      <c r="O105" s="88" t="n"/>
      <c r="P105" s="88" t="n"/>
      <c r="Q105" s="88" t="n"/>
      <c r="R105" s="88" t="n"/>
      <c r="S105" s="88" t="n"/>
      <c r="T105" s="5488" t="n"/>
      <c r="U105" s="88" t="n"/>
      <c r="V105" s="88" t="n"/>
      <c r="W105" s="88" t="n"/>
      <c r="X105" s="139" t="n"/>
      <c r="Y105" s="343" t="n"/>
      <c r="Z105" s="5415" t="n"/>
      <c r="AA105" s="5415" t="n"/>
      <c r="AB105" s="11602" t="n"/>
      <c r="AC105" s="11602" t="n"/>
      <c r="AD105" s="11602" t="n"/>
      <c r="AE105" s="11602" t="n"/>
      <c r="AF105" s="11602" t="n"/>
      <c r="AG105" s="5415" t="n"/>
      <c r="AH105" s="5415" t="n"/>
      <c r="AI105" s="5415" t="n"/>
      <c r="AJ105" s="5415" t="n"/>
      <c r="AK105" s="5415" t="n"/>
      <c r="AL105" s="5415" t="n"/>
      <c r="AM105" s="5415" t="n"/>
      <c r="AN105" s="5415" t="n"/>
      <c r="AO105" s="5415" t="n"/>
      <c r="AP105" s="5415" t="n"/>
      <c r="AQ105" s="5415" t="n"/>
      <c r="AR105" s="5415" t="n"/>
      <c r="AS105" s="5415" t="n"/>
      <c r="AT105" s="5415" t="n"/>
      <c r="AU105" s="8648" t="n"/>
    </row>
    <row r="106" ht="12.75" customHeight="1" s="7635" thickBot="1">
      <c r="A106" s="139" t="n"/>
      <c r="B106" s="88" t="n"/>
      <c r="C106" s="228" t="n"/>
      <c r="D106" s="3440" t="inlineStr">
        <is>
          <t>Figure the Penalty. Also include this amount on Form 1040, 1040-SR, or 1040-NR, line 38; or</t>
        </is>
      </c>
      <c r="E106" s="88" t="n"/>
      <c r="F106" s="88" t="n"/>
      <c r="G106" s="88" t="n"/>
      <c r="H106" s="88" t="n"/>
      <c r="I106" s="88" t="n"/>
      <c r="J106" s="88" t="n"/>
      <c r="K106" s="88" t="n"/>
      <c r="L106" s="88" t="n"/>
      <c r="M106" s="88" t="n"/>
      <c r="N106" s="88" t="n"/>
      <c r="O106" s="88" t="n"/>
      <c r="P106" s="88" t="n"/>
      <c r="Q106" s="88" t="n"/>
      <c r="R106" s="88" t="n"/>
      <c r="S106" s="88" t="n"/>
      <c r="T106" s="5448" t="n"/>
      <c r="U106" s="88" t="n"/>
      <c r="V106" s="88" t="n"/>
      <c r="W106" s="88" t="n"/>
      <c r="X106" s="139" t="n"/>
      <c r="Y106" s="343" t="n"/>
      <c r="Z106" s="5415" t="n"/>
      <c r="AA106" s="5415" t="n"/>
      <c r="AB106" s="11602" t="n"/>
      <c r="AC106" s="11602" t="n"/>
      <c r="AD106" s="11602" t="n"/>
      <c r="AE106" s="11602" t="n"/>
      <c r="AF106" s="11602" t="n"/>
      <c r="AG106" s="5415" t="n"/>
      <c r="AH106" s="5415" t="n"/>
      <c r="AI106" s="5415" t="n"/>
      <c r="AJ106" s="5415" t="n"/>
      <c r="AK106" s="5415" t="n"/>
      <c r="AL106" s="5415" t="n"/>
      <c r="AM106" s="5415" t="n"/>
      <c r="AN106" s="5415" t="n"/>
      <c r="AO106" s="5415" t="n"/>
      <c r="AP106" s="5415" t="n"/>
      <c r="AQ106" s="5415" t="n"/>
      <c r="AR106" s="5415" t="n"/>
      <c r="AS106" s="5415" t="n"/>
      <c r="AT106" s="5415" t="n"/>
      <c r="AU106" s="8648" t="n"/>
    </row>
    <row r="107" ht="12.75" customHeight="1" s="7635" thickBot="1">
      <c r="A107" s="139" t="n"/>
      <c r="B107" s="88" t="n"/>
      <c r="C107" s="228" t="n"/>
      <c r="D107" s="3440" t="inlineStr">
        <is>
          <t>Form 1041, line 27.</t>
        </is>
      </c>
      <c r="E107" s="88" t="n"/>
      <c r="F107" s="88" t="n"/>
      <c r="G107" s="88" t="n"/>
      <c r="H107" s="3440" t="inlineStr">
        <is>
          <t>Don't file Form 2210 unless you checked a box in Part II.</t>
        </is>
      </c>
      <c r="I107" s="88" t="n"/>
      <c r="J107" s="88" t="n"/>
      <c r="K107" s="88" t="n"/>
      <c r="L107" s="88" t="n"/>
      <c r="M107" s="88" t="n"/>
      <c r="N107" s="88" t="n"/>
      <c r="O107" s="88" t="n"/>
      <c r="P107" s="88" t="n"/>
      <c r="Q107" s="88" t="n"/>
      <c r="R107" s="88" t="n"/>
      <c r="S107" s="5445" t="n"/>
      <c r="T107" s="5521" t="n">
        <v>19</v>
      </c>
      <c r="U107" s="9473">
        <f>IF(Z107&lt;&gt;"",ROUND(Z107,0),IF(AND(NOT($P$80),V83&lt;&gt;""),V165,0))</f>
        <v/>
      </c>
      <c r="V107" s="12313" t="n"/>
      <c r="W107" s="12313" t="n"/>
      <c r="X107" s="139" t="n"/>
      <c r="Y107" s="343" t="n"/>
      <c r="Z107" s="114" t="n"/>
      <c r="AA107" s="5415" t="n"/>
      <c r="AB107" s="11602" t="n"/>
      <c r="AC107" s="11602" t="n"/>
      <c r="AD107" s="11602" t="n"/>
      <c r="AE107" s="11602" t="n"/>
      <c r="AF107" s="11602" t="n"/>
      <c r="AG107" s="5415" t="n"/>
      <c r="AH107" s="5415" t="n"/>
      <c r="AI107" s="5415" t="n"/>
      <c r="AJ107" s="5415" t="n"/>
      <c r="AK107" s="5415" t="n"/>
      <c r="AL107" s="5415" t="n"/>
      <c r="AM107" s="5415" t="n"/>
      <c r="AN107" s="5415" t="n"/>
      <c r="AO107" s="5415" t="n"/>
      <c r="AP107" s="5415" t="n"/>
      <c r="AQ107" s="5415" t="n"/>
      <c r="AR107" s="5415" t="n"/>
      <c r="AS107" s="5415" t="n"/>
      <c r="AT107" s="5415" t="n"/>
      <c r="AU107" s="8648" t="n"/>
    </row>
    <row r="108" ht="12.75" customHeight="1" s="7635">
      <c r="A108" s="5472" t="n"/>
      <c r="B108" s="5473" t="n"/>
      <c r="C108" s="5474" t="n"/>
      <c r="D108" s="5475" t="n"/>
      <c r="E108" s="5473" t="n"/>
      <c r="F108" s="5473" t="n"/>
      <c r="G108" s="5522" t="n"/>
      <c r="H108" s="5473" t="n"/>
      <c r="I108" s="5473" t="n"/>
      <c r="J108" s="5473" t="n"/>
      <c r="K108" s="5473" t="n"/>
      <c r="L108" s="5473" t="n"/>
      <c r="M108" s="5473" t="n"/>
      <c r="N108" s="5473" t="n"/>
      <c r="O108" s="5473" t="n"/>
      <c r="P108" s="5473" t="n"/>
      <c r="Q108" s="5476" t="n"/>
      <c r="R108" s="5477" t="n"/>
      <c r="S108" s="5473" t="n"/>
      <c r="T108" s="5473" t="n"/>
      <c r="U108" s="5479" t="n"/>
      <c r="V108" s="5479" t="inlineStr">
        <is>
          <t>Form  2210</t>
        </is>
      </c>
      <c r="W108" s="5523">
        <f>"("&amp;TaxYear&amp;")"</f>
        <v/>
      </c>
      <c r="X108" s="5472" t="n"/>
      <c r="Y108" s="343" t="n"/>
      <c r="Z108" s="5415" t="n"/>
      <c r="AA108" s="5415" t="n"/>
      <c r="AB108" s="512">
        <f>IF(AE108,17,15)</f>
        <v/>
      </c>
      <c r="AC108" s="512" t="n"/>
      <c r="AD108" s="512" t="n"/>
      <c r="AE108" s="5524">
        <f>AND($AB$109=2,'1040'!BQ11)</f>
        <v/>
      </c>
      <c r="AF108" s="11602" t="n"/>
      <c r="AG108" s="5415" t="n"/>
      <c r="AH108" s="5415" t="n"/>
      <c r="AI108" s="5415" t="n"/>
      <c r="AJ108" s="5415" t="n"/>
      <c r="AK108" s="5415" t="n"/>
      <c r="AL108" s="5415" t="n"/>
      <c r="AM108" s="5415" t="n"/>
      <c r="AN108" s="5415" t="n"/>
      <c r="AO108" s="5415" t="n"/>
      <c r="AP108" s="5415" t="n"/>
      <c r="AQ108" s="5415" t="n"/>
      <c r="AR108" s="5415" t="n"/>
      <c r="AS108" s="5415" t="n"/>
      <c r="AT108" s="5415" t="n"/>
      <c r="AU108" s="8648" t="n"/>
    </row>
    <row r="109" ht="12.75" customHeight="1" s="7635">
      <c r="A109" s="139" t="n"/>
      <c r="B109" s="5525" t="inlineStr">
        <is>
          <t>Worksheet for Form 2210, Part III, Section B—Figure the Penalty</t>
        </is>
      </c>
      <c r="C109" s="510" t="n"/>
      <c r="D109" s="510" t="n"/>
      <c r="E109" s="510" t="n"/>
      <c r="F109" s="510" t="n"/>
      <c r="G109" s="510" t="n"/>
      <c r="H109" s="510" t="n"/>
      <c r="I109" s="510" t="n"/>
      <c r="J109" s="510" t="n"/>
      <c r="K109" s="510" t="n"/>
      <c r="L109" s="510" t="n"/>
      <c r="M109" s="510" t="n"/>
      <c r="N109" s="510" t="n"/>
      <c r="O109" s="510" t="n"/>
      <c r="P109" s="510" t="n"/>
      <c r="Q109" s="510" t="n"/>
      <c r="R109" s="510" t="n"/>
      <c r="S109" s="510" t="n"/>
      <c r="T109" s="510" t="n"/>
      <c r="U109" s="510" t="n"/>
      <c r="V109" s="510" t="n"/>
      <c r="W109" s="510" t="n"/>
      <c r="X109" s="139" t="n"/>
      <c r="Y109" s="8821" t="n"/>
      <c r="Z109" s="5415" t="n"/>
      <c r="AA109" s="5415" t="n"/>
      <c r="AB109" s="1243">
        <f>WEEKDAY($AC$109)</f>
        <v/>
      </c>
      <c r="AC109" s="12333">
        <f>"15-Apr-"&amp;TaxYear+1</f>
        <v/>
      </c>
      <c r="AD109" s="512" t="n"/>
      <c r="AE109" s="1198" t="n"/>
      <c r="AF109" s="11602" t="n"/>
      <c r="AG109" s="5415" t="n"/>
      <c r="AH109" s="5415" t="n"/>
      <c r="AI109" s="5415" t="n"/>
      <c r="AJ109" s="5415" t="n"/>
      <c r="AK109" s="5415" t="n"/>
      <c r="AL109" s="5415" t="n"/>
      <c r="AM109" s="5415" t="n"/>
      <c r="AN109" s="5415" t="n"/>
      <c r="AO109" s="5415" t="n"/>
      <c r="AP109" s="5415" t="n"/>
      <c r="AQ109" s="5415" t="n"/>
      <c r="AR109" s="5415" t="n"/>
      <c r="AS109" s="5415" t="n"/>
      <c r="AT109" s="5415" t="n"/>
      <c r="AU109" s="8648" t="n"/>
    </row>
    <row r="110" ht="15.75" customHeight="1" s="7635">
      <c r="A110" s="139" t="n"/>
      <c r="B110" s="975" t="inlineStr">
        <is>
          <t>(Penalty Worksheet)</t>
        </is>
      </c>
      <c r="C110" s="411" t="n"/>
      <c r="D110" s="411" t="n"/>
      <c r="E110" s="411" t="n"/>
      <c r="F110" s="411" t="n"/>
      <c r="G110" s="411" t="n"/>
      <c r="H110" s="411" t="n"/>
      <c r="I110" s="411" t="n"/>
      <c r="J110" s="411" t="n"/>
      <c r="K110" s="411" t="n"/>
      <c r="L110" s="411" t="n"/>
      <c r="M110" s="411" t="n"/>
      <c r="N110" s="411" t="n"/>
      <c r="O110" s="411" t="n"/>
      <c r="P110" s="411" t="n"/>
      <c r="Q110" s="411" t="n"/>
      <c r="R110" s="411" t="n"/>
      <c r="S110" s="411" t="n"/>
      <c r="T110" s="411" t="n"/>
      <c r="U110" s="5527" t="inlineStr">
        <is>
          <t>Keep for Your Records</t>
        </is>
      </c>
      <c r="V110" s="411" t="n"/>
      <c r="W110" s="411" t="n"/>
      <c r="X110" s="139" t="n"/>
      <c r="Y110" s="343" t="n"/>
      <c r="Z110" s="5415" t="n"/>
      <c r="AA110" s="5415" t="n"/>
      <c r="AB110" s="11602" t="n"/>
      <c r="AC110" s="11602" t="n"/>
      <c r="AD110" s="11602" t="n"/>
      <c r="AE110" s="11602" t="n"/>
      <c r="AF110" s="11602" t="n"/>
      <c r="AG110" s="5415" t="n"/>
      <c r="AH110" s="5415" t="n"/>
      <c r="AI110" s="5415" t="n"/>
      <c r="AJ110" s="5415" t="n"/>
      <c r="AK110" s="5415" t="n"/>
      <c r="AL110" s="5415" t="n"/>
      <c r="AM110" s="5415" t="n"/>
      <c r="AN110" s="5415" t="n"/>
      <c r="AO110" s="5415" t="n"/>
      <c r="AP110" s="5415" t="n"/>
      <c r="AQ110" s="5415" t="n"/>
      <c r="AR110" s="5415" t="n"/>
      <c r="AS110" s="5415" t="n"/>
      <c r="AT110" s="5415" t="n"/>
      <c r="AU110" s="8648" t="n"/>
    </row>
    <row r="111" ht="17.25" customFormat="1" customHeight="1" s="207">
      <c r="A111" s="139" t="n"/>
      <c r="B111" s="5528" t="inlineStr">
        <is>
          <t xml:space="preserve">Complete Rate Period 1 of each column before going to the next column; then go to Rate Periods 2, 3, and 4 in the </t>
        </is>
      </c>
      <c r="C111" s="411" t="n"/>
      <c r="D111" s="411" t="n"/>
      <c r="E111" s="411" t="n"/>
      <c r="F111" s="411" t="n"/>
      <c r="G111" s="411" t="n"/>
      <c r="H111" s="411" t="n"/>
      <c r="I111" s="411" t="n"/>
      <c r="J111" s="411" t="n"/>
      <c r="K111" s="411" t="n"/>
      <c r="L111" s="411" t="n"/>
      <c r="M111" s="411" t="n"/>
      <c r="N111" s="411" t="n"/>
      <c r="O111" s="411" t="n"/>
      <c r="P111" s="411" t="n"/>
      <c r="Q111" s="411" t="n"/>
      <c r="R111" s="411" t="n"/>
      <c r="S111" s="411" t="n"/>
      <c r="T111" s="411" t="n"/>
      <c r="U111" s="5527" t="n"/>
      <c r="V111" s="411" t="n"/>
      <c r="W111" s="411" t="n"/>
      <c r="X111" s="139" t="n"/>
      <c r="Y111" s="343" t="n"/>
      <c r="Z111" s="5415" t="n"/>
      <c r="AA111" s="5415" t="n"/>
      <c r="AB111" s="11602" t="n"/>
      <c r="AC111" s="11602" t="n"/>
      <c r="AD111" s="11602" t="n"/>
      <c r="AE111" s="11602" t="n"/>
      <c r="AF111" s="11602" t="n"/>
      <c r="AG111" s="5415" t="n"/>
      <c r="AH111" s="5415" t="n"/>
      <c r="AI111" s="5415" t="n"/>
      <c r="AJ111" s="5415" t="n"/>
      <c r="AK111" s="5415" t="n"/>
      <c r="AL111" s="5415" t="n"/>
      <c r="AM111" s="5415" t="n"/>
      <c r="AN111" s="5415" t="n"/>
      <c r="AO111" s="5415" t="n"/>
      <c r="AP111" s="5415" t="n"/>
      <c r="AQ111" s="5415" t="n"/>
      <c r="AR111" s="5415" t="n"/>
      <c r="AS111" s="5415" t="n"/>
      <c r="AT111" s="5415" t="n"/>
      <c r="AU111" s="8648" t="n"/>
      <c r="AV111" s="658" t="n"/>
      <c r="AW111" s="658" t="n"/>
      <c r="AX111" s="658" t="n"/>
      <c r="AY111" s="658" t="n"/>
      <c r="AZ111" s="658" t="n"/>
      <c r="BA111" s="658" t="n"/>
      <c r="BB111" s="658" t="n"/>
      <c r="BC111" s="658" t="n"/>
      <c r="BD111" s="658" t="n"/>
      <c r="BE111" s="658" t="n"/>
      <c r="BF111" s="658" t="n"/>
    </row>
    <row r="112" ht="20.25" customHeight="1" s="7635">
      <c r="A112" s="139" t="n"/>
      <c r="B112" s="5528" t="inlineStr">
        <is>
          <t>same manner. If multiple estimated tax payments are applied to the underpayment amount in a column of line 1a,</t>
        </is>
      </c>
      <c r="C112" s="8650" t="n"/>
      <c r="D112" s="8650" t="n"/>
      <c r="E112" s="8650" t="n"/>
      <c r="F112" s="8650" t="n"/>
      <c r="G112" s="8650" t="n"/>
      <c r="H112" s="8650" t="n"/>
      <c r="I112" s="8650" t="n"/>
      <c r="J112" s="8650" t="n"/>
      <c r="K112" s="8650" t="n"/>
      <c r="L112" s="8650" t="n"/>
      <c r="M112" s="8650" t="n"/>
      <c r="N112" s="8650" t="n"/>
      <c r="O112" s="8650" t="n"/>
      <c r="P112" s="8650" t="n"/>
      <c r="Q112" s="8650" t="n"/>
      <c r="R112" s="8650" t="n"/>
      <c r="S112" s="8650" t="n"/>
      <c r="T112" s="8650" t="n"/>
      <c r="U112" s="8650" t="n"/>
      <c r="V112" s="8650" t="n"/>
      <c r="W112" s="8650" t="n"/>
      <c r="X112" s="139" t="n"/>
      <c r="Y112" s="343" t="n"/>
      <c r="Z112" s="5415" t="n"/>
      <c r="AA112" s="5415" t="n"/>
      <c r="AB112" s="11602" t="n"/>
      <c r="AC112" s="11602" t="n"/>
      <c r="AD112" s="11602" t="n"/>
      <c r="AE112" s="11602" t="n"/>
      <c r="AF112" s="11602" t="n"/>
      <c r="AG112" s="5415" t="n"/>
      <c r="AH112" s="5415" t="n"/>
      <c r="AI112" s="5415" t="n"/>
      <c r="AJ112" s="5415" t="n"/>
      <c r="AK112" s="5415" t="n"/>
      <c r="AL112" s="5415" t="n"/>
      <c r="AM112" s="5415" t="n"/>
      <c r="AN112" s="5415" t="n"/>
      <c r="AO112" s="5415" t="n"/>
      <c r="AP112" s="5415" t="n"/>
      <c r="AQ112" s="5415" t="n"/>
      <c r="AR112" s="5415" t="n"/>
      <c r="AS112" s="5415" t="n"/>
      <c r="AT112" s="5415" t="n"/>
      <c r="AU112" s="8648" t="n"/>
    </row>
    <row r="113" ht="16.5" customHeight="1" s="7635">
      <c r="A113" s="139" t="n"/>
      <c r="B113" s="5528" t="inlineStr">
        <is>
          <t>you will need to make more than one computation for that column.</t>
        </is>
      </c>
      <c r="C113" s="8650" t="n"/>
      <c r="D113" s="8650" t="n"/>
      <c r="E113" s="8650" t="n"/>
      <c r="F113" s="8650" t="n"/>
      <c r="G113" s="8650" t="n"/>
      <c r="H113" s="8650" t="n"/>
      <c r="I113" s="8650" t="n"/>
      <c r="J113" s="8650" t="n"/>
      <c r="K113" s="8650" t="n"/>
      <c r="L113" s="8650" t="n"/>
      <c r="M113" s="8650" t="n"/>
      <c r="N113" s="8650" t="n"/>
      <c r="O113" s="8650" t="n"/>
      <c r="P113" s="8650" t="n"/>
      <c r="Q113" s="8650" t="n"/>
      <c r="R113" s="8650" t="n"/>
      <c r="S113" s="8650" t="n"/>
      <c r="T113" s="8650" t="n"/>
      <c r="U113" s="8650" t="n"/>
      <c r="V113" s="8650" t="n"/>
      <c r="W113" s="8650" t="n"/>
      <c r="X113" s="139" t="n"/>
      <c r="Y113" s="343" t="n"/>
      <c r="Z113" s="5415" t="n"/>
      <c r="AA113" s="5415" t="n"/>
      <c r="AB113" s="11602" t="n"/>
      <c r="AC113" s="11602" t="n"/>
      <c r="AD113" s="11602" t="n"/>
      <c r="AE113" s="11602" t="n"/>
      <c r="AF113" s="11602" t="n"/>
      <c r="AG113" s="5415" t="n"/>
      <c r="AH113" s="5415" t="n"/>
      <c r="AI113" s="5415" t="n"/>
      <c r="AJ113" s="5415" t="n"/>
      <c r="AK113" s="5415" t="n"/>
      <c r="AL113" s="5415" t="n"/>
      <c r="AM113" s="5415" t="n"/>
      <c r="AN113" s="5415" t="n"/>
      <c r="AO113" s="5415" t="n"/>
      <c r="AP113" s="5415" t="n"/>
      <c r="AQ113" s="5415" t="n"/>
      <c r="AR113" s="5415" t="n"/>
      <c r="AS113" s="5415" t="n"/>
      <c r="AT113" s="5415" t="n"/>
      <c r="AU113" s="8648" t="n"/>
    </row>
    <row r="114" ht="13.5" customHeight="1" s="7635">
      <c r="A114" s="139" t="n"/>
      <c r="B114" s="12334">
        <f>IF(Q179="","Enter payment information below.  (Starting on row "&amp;ROW(Q179)&amp;".)","")</f>
        <v/>
      </c>
      <c r="C114" s="7839" t="n"/>
      <c r="D114" s="7839" t="n"/>
      <c r="E114" s="7839" t="n"/>
      <c r="F114" s="7839" t="n"/>
      <c r="G114" s="7839" t="n"/>
      <c r="H114" s="7839" t="n"/>
      <c r="I114" s="7839" t="n"/>
      <c r="J114" s="7839" t="n"/>
      <c r="K114" s="7839" t="n"/>
      <c r="L114" s="7839" t="n"/>
      <c r="M114" s="7839" t="n"/>
      <c r="N114" s="10091" t="n"/>
      <c r="O114" s="2890" t="n"/>
      <c r="P114" s="9515" t="inlineStr">
        <is>
          <t>Payment Due Dates</t>
        </is>
      </c>
      <c r="Q114" s="8412" t="n"/>
      <c r="R114" s="8412" t="n"/>
      <c r="S114" s="8412" t="n"/>
      <c r="T114" s="8412" t="n"/>
      <c r="U114" s="8412" t="n"/>
      <c r="V114" s="8412" t="n"/>
      <c r="W114" s="8412" t="n"/>
      <c r="X114" s="139" t="n"/>
      <c r="Y114" s="343" t="n"/>
      <c r="Z114" s="5415" t="n"/>
      <c r="AA114" s="5415" t="n"/>
      <c r="AB114" s="11602" t="n"/>
      <c r="AC114" s="11602" t="n"/>
      <c r="AD114" s="11602" t="n"/>
      <c r="AE114" s="11602" t="n"/>
      <c r="AF114" s="11602" t="n"/>
      <c r="AG114" s="5415" t="n"/>
      <c r="AH114" s="5415" t="n"/>
      <c r="AI114" s="5415" t="n"/>
      <c r="AJ114" s="5415" t="n"/>
      <c r="AK114" s="5415" t="n"/>
      <c r="AL114" s="5415" t="n"/>
      <c r="AM114" s="5415" t="n"/>
      <c r="AN114" s="5415" t="n"/>
      <c r="AO114" s="5415" t="n"/>
      <c r="AP114" s="5415" t="n"/>
      <c r="AQ114" s="5415" t="n"/>
      <c r="AR114" s="5415" t="n"/>
      <c r="AS114" s="5415" t="n"/>
      <c r="AT114" s="5415" t="n"/>
      <c r="AU114" s="8648" t="n"/>
    </row>
    <row r="115" ht="15" customHeight="1" s="7635">
      <c r="A115" s="139" t="n"/>
      <c r="B115" s="4772" t="n"/>
      <c r="N115" s="7636" t="n"/>
      <c r="O115" s="726" t="n"/>
      <c r="P115" s="12315" t="inlineStr">
        <is>
          <t>(a)</t>
        </is>
      </c>
      <c r="Q115" s="10091" t="n"/>
      <c r="R115" s="12315" t="inlineStr">
        <is>
          <t>(b)</t>
        </is>
      </c>
      <c r="S115" s="10091" t="n"/>
      <c r="T115" s="12315" t="inlineStr">
        <is>
          <t xml:space="preserve">(c) </t>
        </is>
      </c>
      <c r="U115" s="10091" t="n"/>
      <c r="V115" s="9243" t="inlineStr">
        <is>
          <t>(d)</t>
        </is>
      </c>
      <c r="W115" s="7839" t="n"/>
      <c r="X115" s="139" t="n"/>
      <c r="Y115" s="343" t="n"/>
      <c r="Z115" s="5415" t="n"/>
      <c r="AA115" s="5415" t="n"/>
      <c r="AB115" s="11602" t="n"/>
      <c r="AC115" s="11602" t="n"/>
      <c r="AD115" s="11602" t="n"/>
      <c r="AE115" s="11602" t="n"/>
      <c r="AF115" s="11602" t="n"/>
      <c r="AG115" s="5415" t="n"/>
      <c r="AH115" s="5415" t="n"/>
      <c r="AI115" s="5415" t="n"/>
      <c r="AJ115" s="5415" t="n"/>
      <c r="AK115" s="5415" t="n"/>
      <c r="AL115" s="5415" t="n"/>
      <c r="AM115" s="5415" t="n"/>
      <c r="AN115" s="5415" t="n"/>
      <c r="AO115" s="5415" t="n"/>
      <c r="AP115" s="5415" t="n"/>
      <c r="AQ115" s="5415" t="n"/>
      <c r="AR115" s="5415" t="n"/>
      <c r="AS115" s="5415" t="n"/>
      <c r="AT115" s="5415" t="n"/>
      <c r="AU115" s="8648" t="n"/>
    </row>
    <row r="116" ht="15" customHeight="1" s="7635" thickBot="1">
      <c r="A116" s="139" t="n"/>
      <c r="B116" s="4772" t="n"/>
      <c r="N116" s="7636" t="n"/>
      <c r="O116" s="4782" t="n"/>
      <c r="P116" s="12335">
        <f>P73</f>
        <v/>
      </c>
      <c r="Q116" s="7638" t="n"/>
      <c r="R116" s="12335">
        <f>R73</f>
        <v/>
      </c>
      <c r="S116" s="7638" t="n"/>
      <c r="T116" s="12335">
        <f>T73</f>
        <v/>
      </c>
      <c r="U116" s="7638" t="n"/>
      <c r="V116" s="12336">
        <f>V73</f>
        <v/>
      </c>
      <c r="W116" s="7637" t="n"/>
      <c r="X116" s="139" t="n"/>
      <c r="Y116" s="343" t="n"/>
      <c r="Z116" s="5415" t="n"/>
      <c r="AA116" s="5415" t="n"/>
      <c r="AB116" s="11602" t="n"/>
      <c r="AC116" s="11602" t="n"/>
      <c r="AD116" s="11602" t="n"/>
      <c r="AE116" s="11602" t="n"/>
      <c r="AF116" s="11602" t="n"/>
      <c r="AG116" s="5415" t="n"/>
      <c r="AH116" s="5415" t="n"/>
      <c r="AI116" s="5415" t="n"/>
      <c r="AJ116" s="5415" t="n"/>
      <c r="AK116" s="8966" t="inlineStr">
        <is>
          <t>Overrides</t>
        </is>
      </c>
      <c r="AL116" s="5415" t="n"/>
      <c r="AM116" s="5415" t="n"/>
      <c r="AN116" s="5415" t="n"/>
      <c r="AO116" s="5415" t="n"/>
      <c r="AP116" s="5415" t="n"/>
      <c r="AQ116" s="5415" t="n"/>
      <c r="AR116" s="5415" t="n"/>
      <c r="AS116" s="5415" t="n"/>
      <c r="AT116" s="5415" t="n"/>
      <c r="AU116" s="8648" t="n"/>
    </row>
    <row r="117" ht="13.5" customHeight="1" s="7635" thickBot="1">
      <c r="A117" s="139" t="n"/>
      <c r="B117" s="9732" t="n"/>
      <c r="C117" s="5529" t="inlineStr">
        <is>
          <t xml:space="preserve">1a  </t>
        </is>
      </c>
      <c r="D117" s="507" t="inlineStr">
        <is>
          <t>Enter your underpayment from Part III, Section A, line 17</t>
        </is>
      </c>
      <c r="E117" s="9735" t="n"/>
      <c r="F117" s="9735" t="n"/>
      <c r="G117" s="9735" t="n"/>
      <c r="H117" s="9735" t="n"/>
      <c r="I117" s="9735" t="n"/>
      <c r="J117" s="9735" t="n"/>
      <c r="K117" s="9735" t="n"/>
      <c r="L117" s="9735" t="n"/>
      <c r="M117" s="9735" t="n"/>
      <c r="N117" s="974" t="inlineStr">
        <is>
          <t xml:space="preserve">.   .   .   .  </t>
        </is>
      </c>
      <c r="O117" s="2926" t="inlineStr">
        <is>
          <t>1a</t>
        </is>
      </c>
      <c r="P117" s="12337">
        <f>IF(AK117&lt;&gt;"",ROUND(AK117,0),IF(OR($P$80,P98="",P98=0),"",P98))</f>
        <v/>
      </c>
      <c r="Q117" s="11734" t="n"/>
      <c r="R117" s="12337">
        <f>IF(AM117&lt;&gt;"",ROUND(AM117,0),IF(OR($P$80,R98="",R98=0),"",R98))</f>
        <v/>
      </c>
      <c r="S117" s="11734" t="n"/>
      <c r="T117" s="12337">
        <f>IF(AO117&lt;&gt;"",ROUND(AO117,0),IF(OR($P$80,T98="",T98=0),"",T98))</f>
        <v/>
      </c>
      <c r="U117" s="11734" t="n"/>
      <c r="V117" s="12337">
        <f>IF(AQ117&lt;&gt;"",ROUND(AQ117,0),IF(OR($P$80,V98="",V98=0),"",V98))</f>
        <v/>
      </c>
      <c r="W117" s="11734" t="n"/>
      <c r="X117" s="139" t="n"/>
      <c r="Y117" s="343" t="n"/>
      <c r="Z117" s="5494" t="inlineStr">
        <is>
          <t>Overrides   ®</t>
        </is>
      </c>
      <c r="AA117" s="5415" t="n"/>
      <c r="AB117" s="11602" t="n"/>
      <c r="AC117" s="11602" t="n"/>
      <c r="AD117" s="11602" t="n"/>
      <c r="AE117" s="11602" t="n"/>
      <c r="AF117" s="11602" t="n"/>
      <c r="AG117" s="5415" t="n"/>
      <c r="AH117" s="5415" t="n"/>
      <c r="AI117" s="5415" t="n"/>
      <c r="AJ117" s="5498" t="inlineStr">
        <is>
          <t>1.a</t>
        </is>
      </c>
      <c r="AK117" s="518" t="n"/>
      <c r="AL117" s="5415" t="n"/>
      <c r="AM117" s="518" t="n"/>
      <c r="AN117" s="5415" t="n"/>
      <c r="AO117" s="518" t="n"/>
      <c r="AP117" s="5415" t="n"/>
      <c r="AQ117" s="518" t="n"/>
      <c r="AR117" s="5415" t="n"/>
      <c r="AS117" s="5415" t="n"/>
      <c r="AT117" s="5415" t="n"/>
      <c r="AU117" s="8648" t="n"/>
    </row>
    <row r="118" ht="13.5" customHeight="1" s="7635">
      <c r="A118" s="139" t="n"/>
      <c r="B118" s="5530" t="n"/>
      <c r="C118" s="9153" t="n"/>
      <c r="D118" s="12338" t="inlineStr">
        <is>
          <t>Date and amount of each payment applied to the underpayment 
in the same column. Don't enter more than the underpayment amount on line 1a for each column (see instructions). 
Note: Your payments are applied in the order made first to any underpayment balance in an earlier column until that 
underpayment is fully paid.</t>
        </is>
      </c>
      <c r="E118" s="7839" t="n"/>
      <c r="F118" s="7839" t="n"/>
      <c r="G118" s="7839" t="n"/>
      <c r="H118" s="7839" t="n"/>
      <c r="I118" s="7839" t="n"/>
      <c r="J118" s="7839" t="n"/>
      <c r="K118" s="7839" t="n"/>
      <c r="L118" s="7839" t="n"/>
      <c r="M118" s="7839" t="n"/>
      <c r="N118" s="10091" t="n"/>
      <c r="O118" s="5531" t="n"/>
      <c r="P118" s="9472">
        <f>P117</f>
        <v/>
      </c>
      <c r="R118" s="9472">
        <f>SUM(P117,R117)</f>
        <v/>
      </c>
      <c r="T118" s="9472">
        <f>SUM(P117,R117,T117)</f>
        <v/>
      </c>
      <c r="V118" s="9472">
        <f>SUM(P117,R117,T117,V117)</f>
        <v/>
      </c>
      <c r="X118" s="139" t="n"/>
      <c r="Y118" s="343" t="n"/>
      <c r="Z118" s="5415" t="n"/>
      <c r="AA118" s="5415" t="n"/>
      <c r="AB118" s="11602" t="n"/>
      <c r="AC118" s="11602" t="n"/>
      <c r="AD118" s="11602" t="n"/>
      <c r="AE118" s="11602" t="n"/>
      <c r="AF118" s="11602" t="n"/>
      <c r="AG118" s="5415" t="n"/>
      <c r="AH118" s="5415" t="n"/>
      <c r="AI118" s="5415" t="n"/>
      <c r="AJ118" s="5415" t="n"/>
      <c r="AK118" s="5415" t="n"/>
      <c r="AL118" s="5415" t="n"/>
      <c r="AM118" s="5415" t="n"/>
      <c r="AN118" s="5415" t="n"/>
      <c r="AO118" s="5415" t="n"/>
      <c r="AP118" s="5415" t="n"/>
      <c r="AQ118" s="5415" t="n"/>
      <c r="AR118" s="5415" t="n"/>
      <c r="AS118" s="5415" t="n"/>
      <c r="AT118" s="5415" t="n"/>
      <c r="AU118" s="8648" t="n"/>
    </row>
    <row r="119" ht="13.5" customHeight="1" s="7635">
      <c r="A119" s="139" t="n"/>
      <c r="B119" s="5532" t="n"/>
      <c r="C119" s="10835" t="inlineStr">
        <is>
          <t>1b</t>
        </is>
      </c>
      <c r="N119" s="7636" t="n"/>
      <c r="O119" s="5534" t="n"/>
      <c r="P119" s="9472">
        <f>IF(LOOKUP(P118,$U$178:$U$234,$U$178:$U$234)=P118,LOOKUP(P118,$U$178:$U$234,$N$178:$N$234),LOOKUP(P118,$U$178:$U$234,$N$178:$N$234)+1)</f>
        <v/>
      </c>
      <c r="R119" s="9472">
        <f>IF(LOOKUP(R118,$U$178:$U$234,$U$178:$U$234)=R118,LOOKUP(R118,$U$178:$U$234,$N$178:$N$234),LOOKUP(R118,$U$178:$U$234,$N$178:$N$234)+1)</f>
        <v/>
      </c>
      <c r="T119" s="9472">
        <f>IF(LOOKUP(T118,$U$178:$U$234,$U$178:$U$234)=T118,LOOKUP(T118,$U$178:$U$234,$N$178:$N$234),LOOKUP(T118,$U$178:$U$234,$N$178:$N$234)+1)</f>
        <v/>
      </c>
      <c r="V119" s="9472">
        <f>IF(LOOKUP(V118,$U$178:$U$234,$U$178:$U$234)=V118,LOOKUP(V118,$U$178:$U$234,$N$178:$N$234),LOOKUP(V118,$U$178:$U$234,$N$178:$N$234)+1)</f>
        <v/>
      </c>
      <c r="X119" s="139" t="n"/>
      <c r="Y119" s="343" t="n"/>
      <c r="Z119" s="5415" t="n"/>
      <c r="AA119" s="5415" t="n"/>
      <c r="AB119" s="11602" t="n"/>
      <c r="AC119" s="11602" t="n"/>
      <c r="AD119" s="11602" t="n"/>
      <c r="AE119" s="11602" t="n"/>
      <c r="AF119" s="11602" t="n"/>
      <c r="AG119" s="5415" t="n"/>
      <c r="AH119" s="5415" t="n"/>
      <c r="AI119" s="5415" t="n"/>
      <c r="AJ119" s="5415" t="n"/>
      <c r="AK119" s="5415" t="n"/>
      <c r="AL119" s="5415" t="n"/>
      <c r="AM119" s="5415" t="n"/>
      <c r="AN119" s="5415" t="n"/>
      <c r="AO119" s="5415" t="n"/>
      <c r="AP119" s="5415" t="n"/>
      <c r="AQ119" s="5415" t="n"/>
      <c r="AR119" s="5415" t="n"/>
      <c r="AS119" s="5415" t="n"/>
      <c r="AT119" s="5415" t="n"/>
      <c r="AU119" s="8648" t="n"/>
    </row>
    <row r="120" ht="13.5" customHeight="1" s="7635">
      <c r="A120" s="139" t="n"/>
      <c r="B120" s="5532" t="n"/>
      <c r="C120" s="7200" t="n"/>
      <c r="N120" s="7636" t="n"/>
      <c r="O120" s="5534" t="n"/>
      <c r="P120" s="12339">
        <f>IF(ISERROR(LOOKUP(P119,$N$178:$N$234,$Q$178:$Q$234)),DATEVALUE("15-Apr-"&amp;TaxYear),LOOKUP(P119,$N$178:$N$234,$Q$178:$Q$234))</f>
        <v/>
      </c>
      <c r="R120" s="12340">
        <f>IF(ISERROR(LOOKUP(R119,$N$178:$N$234,$Q$178:$Q$234)),DATEVALUE("15-Apr-"&amp;TaxYear),LOOKUP(R119,$N$178:$N$234,$Q$178:$Q$234))</f>
        <v/>
      </c>
      <c r="T120" s="12340">
        <f>IF(ISERROR(LOOKUP(T119,$N$178:$N$234,$Q$178:$Q$234)),DATEVALUE("15-Apr-"&amp;TaxYear),LOOKUP(T119,$N$178:$N$234,$Q$178:$Q$234))</f>
        <v/>
      </c>
      <c r="V120" s="12340">
        <f>IF(ISERROR(LOOKUP(V119,$N$178:$N$234,$Q$178:$Q$234)),DATEVALUE("15-Apr-"&amp;TaxYear),LOOKUP(V119,$N$178:$N$234,$Q$178:$Q$234))</f>
        <v/>
      </c>
      <c r="X120" s="139" t="n"/>
      <c r="Y120" s="343" t="n"/>
      <c r="Z120" s="5415" t="n"/>
      <c r="AA120" s="5415" t="n"/>
      <c r="AB120" s="11602" t="n"/>
      <c r="AC120" s="11602" t="n"/>
      <c r="AD120" s="11602" t="n"/>
      <c r="AE120" s="4474">
        <f>P120</f>
        <v/>
      </c>
      <c r="AF120" s="11602" t="n"/>
      <c r="AG120" s="5415" t="n"/>
      <c r="AH120" s="5415" t="n"/>
      <c r="AI120" s="5415" t="n"/>
      <c r="AJ120" s="5415" t="n"/>
      <c r="AK120" s="5415" t="n"/>
      <c r="AL120" s="5415" t="n"/>
      <c r="AM120" s="5415" t="n"/>
      <c r="AN120" s="5415" t="n"/>
      <c r="AO120" s="5415" t="n"/>
      <c r="AP120" s="5415" t="n"/>
      <c r="AQ120" s="5415" t="n"/>
      <c r="AR120" s="5415" t="n"/>
      <c r="AS120" s="5415" t="n"/>
      <c r="AT120" s="5415" t="n"/>
      <c r="AU120" s="8648" t="n"/>
    </row>
    <row r="121" ht="13.5" customHeight="1" s="7635" thickBot="1">
      <c r="A121" s="139" t="n"/>
      <c r="B121" s="5532" t="n"/>
      <c r="C121" s="7200" t="n"/>
      <c r="N121" s="7636" t="n"/>
      <c r="O121" s="5534" t="n"/>
      <c r="P121" s="9512">
        <f>MIN(P117,LOOKUP(P122,$Q$178:$Q$234,$U$178:$U$234))</f>
        <v/>
      </c>
      <c r="R121" s="9465">
        <f>MIN(R117,LOOKUP(R122,$Q$178:$Q$234,$U$178:$U$234))</f>
        <v/>
      </c>
      <c r="T121" s="9465">
        <f>MIN(T117,LOOKUP(T122,$Q$178:$Q$234,$U$178:$U$234))</f>
        <v/>
      </c>
      <c r="V121" s="9465">
        <f>MIN(V117,LOOKUP(V122,$Q$178:$Q$234,$U$178:$U$234))</f>
        <v/>
      </c>
      <c r="X121" s="139" t="n"/>
      <c r="Y121" s="343" t="n"/>
      <c r="Z121" s="5415" t="n"/>
      <c r="AA121" s="5415" t="n"/>
      <c r="AB121" s="9253" t="inlineStr">
        <is>
          <t>Number to lookup in 'TOTAL' column.</t>
        </is>
      </c>
      <c r="AG121" s="5415" t="n"/>
      <c r="AH121" s="5415" t="n"/>
      <c r="AI121" s="5415" t="n"/>
      <c r="AJ121" s="5415" t="n"/>
      <c r="AK121" s="8966" t="inlineStr">
        <is>
          <t>Overrides</t>
        </is>
      </c>
      <c r="AL121" s="5415" t="n"/>
      <c r="AM121" s="5415" t="n"/>
      <c r="AN121" s="5415" t="n"/>
      <c r="AO121" s="5415" t="n"/>
      <c r="AP121" s="5415" t="n"/>
      <c r="AQ121" s="5415" t="n"/>
      <c r="AR121" s="5415" t="n"/>
      <c r="AS121" s="5415" t="n"/>
      <c r="AT121" s="5415" t="n"/>
      <c r="AU121" s="8648" t="n"/>
    </row>
    <row r="122" ht="13.5" customHeight="1" s="7635" thickBot="1">
      <c r="A122" s="139" t="n"/>
      <c r="B122" s="5532" t="n"/>
      <c r="C122" s="7200" t="n"/>
      <c r="N122" s="7636" t="n"/>
      <c r="O122" s="5534" t="n"/>
      <c r="P122" s="12341">
        <f>IF(AK122&lt;&gt;"",AK122,IF(P117="","",MAX(Q128,Q138,Q148,Q158)))</f>
        <v/>
      </c>
      <c r="R122" s="12341">
        <f>IF(AM122&lt;&gt;"",AM122,IF(R117="","",MAX(S128,S138,S148,S158)))</f>
        <v/>
      </c>
      <c r="T122" s="12341">
        <f>IF(AO122&lt;&gt;"",AO122,IF(T117="","",MAX(U138,U148,U158)))</f>
        <v/>
      </c>
      <c r="V122" s="12341">
        <f>IF(AQ122&lt;&gt;"",AQ122,IF(OR(W158=0,W158="",V117=""),"",W158))</f>
        <v/>
      </c>
      <c r="X122" s="139" t="n"/>
      <c r="Y122" s="343" t="n"/>
      <c r="Z122" s="5415" t="n"/>
      <c r="AA122" s="5415" t="n"/>
      <c r="AB122" s="9253" t="inlineStr">
        <is>
          <t>Row number where U.P. was met.</t>
        </is>
      </c>
      <c r="AG122" s="5415" t="n"/>
      <c r="AH122" s="5415" t="n"/>
      <c r="AI122" s="5415" t="n"/>
      <c r="AJ122" s="5498" t="n"/>
      <c r="AK122" s="12342" t="n"/>
      <c r="AL122" s="5415" t="n"/>
      <c r="AM122" s="12342" t="n"/>
      <c r="AN122" s="5415" t="n"/>
      <c r="AO122" s="12342" t="n"/>
      <c r="AP122" s="5415" t="n"/>
      <c r="AQ122" s="12342" t="n"/>
      <c r="AR122" s="5415" t="n"/>
      <c r="AS122" s="5415" t="n"/>
      <c r="AT122" s="5415" t="n"/>
      <c r="AU122" s="8648" t="n"/>
    </row>
    <row r="123" ht="13.5" customHeight="1" s="7635" thickBot="1">
      <c r="A123" s="139" t="n"/>
      <c r="B123" s="5535" t="n"/>
      <c r="C123" s="5536" t="n"/>
      <c r="D123" s="7637" t="n"/>
      <c r="E123" s="7637" t="n"/>
      <c r="F123" s="7637" t="n"/>
      <c r="G123" s="7637" t="n"/>
      <c r="H123" s="7637" t="n"/>
      <c r="I123" s="7637" t="n"/>
      <c r="J123" s="7637" t="n"/>
      <c r="K123" s="7637" t="n"/>
      <c r="L123" s="7637" t="n"/>
      <c r="M123" s="7637" t="n"/>
      <c r="N123" s="7638" t="n"/>
      <c r="O123" s="5537" t="inlineStr">
        <is>
          <t>1.b</t>
        </is>
      </c>
      <c r="P123" s="12343">
        <f>IF(AK123&lt;&gt;"",ROUND(AK123,0),IF(OR($P$80,ISERROR(MIN(P117,LOOKUP(P122,$Q$178:$Q$234,$U$178:$U$234)))),"",MIN(P117,LOOKUP(P122,$Q$178:$Q$234,$U$178:$U$234))))</f>
        <v/>
      </c>
      <c r="Q123" s="8008" t="n"/>
      <c r="R123" s="12343">
        <f>IF(AM123&lt;&gt;"",ROUND(AM123,0),IF(OR($P$80,ISERROR(MIN(R117,LOOKUP(R122,$Q$178:$Q$234,$U$178:$U$234)))),"",MIN(R117,LOOKUP(R122,$Q$178:$Q$234,$U$178:$U$234))))</f>
        <v/>
      </c>
      <c r="S123" s="8008" t="n"/>
      <c r="T123" s="12343">
        <f>IF(AO123&lt;&gt;"",ROUND(AO123,0),IF(OR($P$80,ISERROR(MIN(T117,LOOKUP(T122,$Q$178:$Q$234,$U$178:$U$234)))),"",MIN(T117,LOOKUP(T122,$Q$178:$Q$234,$U$178:$U$234))))</f>
        <v/>
      </c>
      <c r="U123" s="8008" t="n"/>
      <c r="V123" s="12343">
        <f>IF(AQ123&lt;&gt;"",ROUND(AQ123,0),IF(OR($P$80,ISERROR(MIN(V117,LOOKUP(V122,$Q$178:$Q$234,$U$178:$U$234)))),"",MIN(V117,LOOKUP(V122,$Q$178:$Q$234,$U$178:$U$234))))</f>
        <v/>
      </c>
      <c r="W123" s="8008" t="n"/>
      <c r="X123" s="139" t="n"/>
      <c r="Y123" s="343" t="n"/>
      <c r="Z123" s="5415" t="n"/>
      <c r="AA123" s="5415" t="n"/>
      <c r="AB123" s="9254">
        <f>"'DATE' associated with row number."</f>
        <v/>
      </c>
      <c r="AG123" s="5415" t="n"/>
      <c r="AH123" s="5415" t="n"/>
      <c r="AI123" s="5415" t="n"/>
      <c r="AJ123" s="5498" t="inlineStr">
        <is>
          <t>1.b</t>
        </is>
      </c>
      <c r="AK123" s="518" t="n"/>
      <c r="AL123" s="5415" t="n"/>
      <c r="AM123" s="518" t="n"/>
      <c r="AN123" s="5415" t="n"/>
      <c r="AO123" s="518" t="n"/>
      <c r="AP123" s="5415" t="n"/>
      <c r="AQ123" s="518" t="n"/>
      <c r="AR123" s="5415" t="n"/>
      <c r="AS123" s="5415" t="n"/>
      <c r="AT123" s="5415" t="n"/>
      <c r="AU123" s="8648" t="n"/>
    </row>
    <row r="124" ht="13.5" customFormat="1" customHeight="1" s="138">
      <c r="A124" s="144" t="n"/>
      <c r="B124" s="5532" t="n"/>
      <c r="C124" s="7353" t="inlineStr">
        <is>
          <t>Rate Period 1:</t>
        </is>
      </c>
      <c r="D124" s="7353" t="n"/>
      <c r="E124" s="7200" t="n"/>
      <c r="F124" s="7353">
        <f>TEXT(K125,"MMMM D, YYYY")&amp;"—"&amp;TEXT(K126,"MMMM D, YYYY")</f>
        <v/>
      </c>
      <c r="G124" s="7200" t="n"/>
      <c r="H124" s="7200" t="n"/>
      <c r="I124" s="7200" t="n"/>
      <c r="J124" s="7200" t="n"/>
      <c r="K124" s="7200" t="n"/>
      <c r="L124" s="7200" t="n"/>
      <c r="M124" s="7200" t="n"/>
      <c r="N124" s="5538" t="n"/>
      <c r="O124" s="5539" t="n"/>
      <c r="P124" s="12344" t="n"/>
      <c r="Q124" s="11734" t="n"/>
      <c r="R124" s="12344" t="n"/>
      <c r="S124" s="11734" t="n"/>
      <c r="T124" s="5540" t="n"/>
      <c r="U124" s="5541" t="n"/>
      <c r="V124" s="5542" t="n"/>
      <c r="W124" s="5543" t="n"/>
      <c r="X124" s="144" t="n"/>
      <c r="Y124" s="343" t="n"/>
      <c r="Z124" s="5415" t="n"/>
      <c r="AA124" s="5415" t="n"/>
      <c r="AB124" s="9253" t="inlineStr">
        <is>
          <t>Lesser of 'Line a' or amount paid.</t>
        </is>
      </c>
      <c r="AG124" s="5415" t="n"/>
      <c r="AH124" s="5415" t="n"/>
      <c r="AI124" s="5415" t="n"/>
      <c r="AJ124" s="5415" t="n"/>
      <c r="AK124" s="5415" t="n"/>
      <c r="AL124" s="5415" t="n"/>
      <c r="AM124" s="5415" t="n"/>
      <c r="AN124" s="5415" t="n"/>
      <c r="AO124" s="5415" t="n"/>
      <c r="AP124" s="5415" t="n"/>
      <c r="AQ124" s="5415" t="n"/>
      <c r="AR124" s="5415" t="n"/>
      <c r="AS124" s="5415" t="n"/>
      <c r="AT124" s="5415" t="n"/>
      <c r="AU124" s="8648" t="n"/>
      <c r="AV124" s="658" t="n"/>
      <c r="AW124" s="658" t="n"/>
      <c r="AX124" s="658" t="n"/>
      <c r="AY124" s="658" t="n"/>
      <c r="AZ124" s="658" t="n"/>
      <c r="BA124" s="658" t="n"/>
      <c r="BB124" s="658" t="n"/>
      <c r="BC124" s="658" t="n"/>
      <c r="BD124" s="658" t="n"/>
      <c r="BE124" s="658" t="n"/>
      <c r="BF124" s="658" t="n"/>
    </row>
    <row r="125" ht="13.5" customHeight="1" s="7635">
      <c r="A125" s="139" t="n"/>
      <c r="B125" s="5532" t="n"/>
      <c r="C125" s="9398" t="n">
        <v>2</v>
      </c>
      <c r="D125" s="2126" t="inlineStr">
        <is>
          <t>Computation starting dates for this period</t>
        </is>
      </c>
      <c r="E125" s="7200" t="n"/>
      <c r="F125" s="7200" t="n"/>
      <c r="G125" s="7200" t="n"/>
      <c r="H125" s="7200" t="n"/>
      <c r="I125" s="7200" t="n"/>
      <c r="J125" s="7200" t="n"/>
      <c r="K125" s="12345">
        <f>DATEVALUE("16-Apr-"&amp;TaxYear)</f>
        <v/>
      </c>
      <c r="N125" s="7636" t="n"/>
      <c r="O125" s="5544" t="inlineStr">
        <is>
          <t>2</t>
        </is>
      </c>
      <c r="P125" s="12335">
        <f>P73</f>
        <v/>
      </c>
      <c r="Q125" s="7638" t="n"/>
      <c r="R125" s="12335">
        <f>R73</f>
        <v/>
      </c>
      <c r="S125" s="7638" t="n"/>
      <c r="T125" s="5543" t="n"/>
      <c r="U125" s="5545" t="n"/>
      <c r="V125" s="5546" t="n"/>
      <c r="W125" s="5547" t="n"/>
      <c r="X125" s="139" t="n"/>
      <c r="Y125" s="343" t="n"/>
      <c r="Z125" s="5415" t="n"/>
      <c r="AA125" s="5415" t="n"/>
      <c r="AB125" s="5415" t="n"/>
      <c r="AC125" s="5415" t="n"/>
      <c r="AD125" s="5415" t="n"/>
      <c r="AE125" s="5415" t="n"/>
      <c r="AF125" s="5415" t="n"/>
      <c r="AG125" s="5415" t="n"/>
      <c r="AH125" s="5415" t="n"/>
      <c r="AI125" s="5415" t="n"/>
      <c r="AJ125" s="5415" t="n"/>
      <c r="AK125" s="5415" t="n"/>
      <c r="AL125" s="5415" t="n"/>
      <c r="AM125" s="5415" t="n"/>
      <c r="AN125" s="5415" t="n"/>
      <c r="AO125" s="5415" t="n"/>
      <c r="AP125" s="5415" t="n"/>
      <c r="AQ125" s="5415" t="n"/>
      <c r="AR125" s="5415" t="n"/>
      <c r="AS125" s="5415" t="n"/>
      <c r="AT125" s="5415" t="n"/>
      <c r="AU125" s="8648" t="n"/>
    </row>
    <row r="126" ht="13.5" customHeight="1" s="7635">
      <c r="A126" s="139" t="n"/>
      <c r="B126" s="5532" t="n"/>
      <c r="C126" s="516" t="n"/>
      <c r="D126" s="516" t="n"/>
      <c r="E126" s="516" t="n"/>
      <c r="F126" s="516" t="n"/>
      <c r="G126" s="516" t="n"/>
      <c r="H126" s="516" t="n"/>
      <c r="I126" s="516" t="n"/>
      <c r="J126" s="516" t="n"/>
      <c r="K126" s="12345">
        <f>DATEVALUE("30-Jun-"&amp;TaxYear)</f>
        <v/>
      </c>
      <c r="N126" s="7636" t="n"/>
      <c r="O126" s="5534" t="n"/>
      <c r="P126" s="12346" t="inlineStr">
        <is>
          <t>Days:</t>
        </is>
      </c>
      <c r="Q126" s="10091" t="n"/>
      <c r="R126" s="12346" t="inlineStr">
        <is>
          <t>Days:</t>
        </is>
      </c>
      <c r="S126" s="10091" t="n"/>
      <c r="T126" s="5547" t="n"/>
      <c r="U126" s="5548" t="n"/>
      <c r="V126" s="5546" t="n"/>
      <c r="W126" s="5547" t="n"/>
      <c r="X126" s="139" t="n"/>
      <c r="Y126" s="343" t="n"/>
      <c r="Z126" s="5415" t="n"/>
      <c r="AA126" s="5415" t="n"/>
      <c r="AB126" s="5415" t="n"/>
      <c r="AC126" s="5415" t="n"/>
      <c r="AD126" s="5415" t="n"/>
      <c r="AE126" s="5415" t="n"/>
      <c r="AF126" s="5415" t="n"/>
      <c r="AG126" s="5415" t="n"/>
      <c r="AH126" s="5415" t="n"/>
      <c r="AI126" s="5415" t="n"/>
      <c r="AJ126" s="5415" t="n"/>
      <c r="AK126" s="5415" t="n"/>
      <c r="AL126" s="5415" t="n"/>
      <c r="AM126" s="5415" t="n"/>
      <c r="AN126" s="5415" t="n"/>
      <c r="AO126" s="5415" t="n"/>
      <c r="AP126" s="5415" t="n"/>
      <c r="AQ126" s="5415" t="n"/>
      <c r="AR126" s="5415" t="n"/>
      <c r="AS126" s="5415" t="n"/>
      <c r="AT126" s="5415" t="n"/>
      <c r="AU126" s="8648" t="n"/>
    </row>
    <row r="127" ht="15" customHeight="1" s="7635">
      <c r="A127" s="139" t="n"/>
      <c r="B127" s="5532" t="n"/>
      <c r="C127" s="7200" t="n"/>
      <c r="D127" s="7200" t="n"/>
      <c r="E127" s="7200" t="n"/>
      <c r="F127" s="7200" t="n"/>
      <c r="G127" s="7200" t="n"/>
      <c r="H127" s="7200" t="n"/>
      <c r="I127" s="7200" t="n"/>
      <c r="J127" s="7200" t="n"/>
      <c r="K127" s="6990" t="n"/>
      <c r="L127" s="6990" t="n"/>
      <c r="M127" s="6990" t="n"/>
      <c r="N127" s="6991" t="n"/>
      <c r="O127" s="5534" t="n"/>
      <c r="P127" s="5549" t="n"/>
      <c r="Q127" s="5550" t="n"/>
      <c r="R127" s="5549" t="n"/>
      <c r="S127" s="5550" t="n"/>
      <c r="T127" s="5547" t="n"/>
      <c r="U127" s="5548" t="n"/>
      <c r="V127" s="5546" t="n"/>
      <c r="W127" s="5547" t="n"/>
      <c r="X127" s="139" t="n"/>
      <c r="Y127" s="343" t="n"/>
      <c r="Z127" s="5415" t="n"/>
      <c r="AA127" s="5415" t="n"/>
      <c r="AB127" s="5415" t="n"/>
      <c r="AC127" s="5415" t="n"/>
      <c r="AD127" s="5415" t="n"/>
      <c r="AE127" s="5415" t="n"/>
      <c r="AF127" s="5415" t="n"/>
      <c r="AG127" s="5415" t="n"/>
      <c r="AH127" s="5415" t="n"/>
      <c r="AI127" s="5415" t="n"/>
      <c r="AJ127" s="5415" t="n"/>
      <c r="AK127" s="5415" t="n"/>
      <c r="AL127" s="5415" t="n"/>
      <c r="AM127" s="5415" t="n"/>
      <c r="AN127" s="5415" t="n"/>
      <c r="AO127" s="5415" t="n"/>
      <c r="AP127" s="5415" t="n"/>
      <c r="AQ127" s="5415" t="n"/>
      <c r="AR127" s="5415" t="n"/>
      <c r="AS127" s="5415" t="n"/>
      <c r="AT127" s="5415" t="n"/>
      <c r="AU127" s="8648" t="n"/>
    </row>
    <row r="128" ht="13.5" customHeight="1" s="7635">
      <c r="A128" s="139" t="n"/>
      <c r="B128" s="5532" t="n"/>
      <c r="C128" s="9398" t="n">
        <v>3</v>
      </c>
      <c r="D128" s="7121" t="inlineStr">
        <is>
          <t xml:space="preserve">Number of days from the date on line 2 to the date the amount </t>
        </is>
      </c>
      <c r="E128" s="7200" t="n"/>
      <c r="F128" s="7200" t="n"/>
      <c r="G128" s="7200" t="n"/>
      <c r="H128" s="7200" t="n"/>
      <c r="I128" s="7200" t="n"/>
      <c r="J128" s="7200" t="n"/>
      <c r="K128" s="7200" t="n"/>
      <c r="L128" s="7200" t="n"/>
      <c r="M128" s="7200" t="n"/>
      <c r="N128" s="5538" t="n"/>
      <c r="O128" s="5534" t="n"/>
      <c r="P128" s="5551" t="n"/>
      <c r="Q128" s="12347">
        <f>IF(P$120=0,$K126,IF(P$120&gt;$K126,$K126,P$120))</f>
        <v/>
      </c>
      <c r="R128" s="5553" t="n"/>
      <c r="S128" s="12347">
        <f>IF(R$12=0,$K126,IF(R$120&gt;$K126,$K126,R$120))</f>
        <v/>
      </c>
      <c r="T128" s="5547" t="n"/>
      <c r="U128" s="5548" t="n"/>
      <c r="V128" s="5546" t="n"/>
      <c r="W128" s="5547" t="n"/>
      <c r="X128" s="139" t="n"/>
      <c r="Y128" s="343" t="n"/>
      <c r="Z128" s="5415" t="n"/>
      <c r="AA128" s="5415" t="n"/>
      <c r="AB128" s="5415" t="n"/>
      <c r="AC128" s="5415" t="n"/>
      <c r="AD128" s="5415" t="n"/>
      <c r="AE128" s="5415" t="n"/>
      <c r="AF128" s="5415" t="n"/>
      <c r="AG128" s="5415" t="n"/>
      <c r="AH128" s="5415" t="n"/>
      <c r="AI128" s="5415" t="n"/>
      <c r="AJ128" s="5415" t="n"/>
      <c r="AK128" s="5415" t="n"/>
      <c r="AL128" s="5415" t="n"/>
      <c r="AM128" s="5415" t="n"/>
      <c r="AN128" s="5415" t="n"/>
      <c r="AO128" s="5415" t="n"/>
      <c r="AP128" s="5415" t="n"/>
      <c r="AQ128" s="5415" t="n"/>
      <c r="AR128" s="5415" t="n"/>
      <c r="AS128" s="5415" t="n"/>
      <c r="AT128" s="5415" t="n"/>
      <c r="AU128" s="8648" t="n"/>
    </row>
    <row r="129" ht="10.5" customHeight="1" s="7635">
      <c r="A129" s="139" t="n"/>
      <c r="B129" s="5532" t="n"/>
      <c r="C129" s="7200" t="n"/>
      <c r="D129" s="7121" t="inlineStr">
        <is>
          <t>on line 1a was paid   or</t>
        </is>
      </c>
      <c r="E129" s="7200" t="n"/>
      <c r="F129" s="7200" t="n"/>
      <c r="G129" s="7121">
        <f>TEXT(K126,"M/D/YY")&amp;", whichever is earlier"</f>
        <v/>
      </c>
      <c r="H129" s="7200" t="n"/>
      <c r="I129" s="7200" t="n"/>
      <c r="J129" s="7200" t="n"/>
      <c r="K129" s="7200" t="n"/>
      <c r="L129" s="7200" t="n"/>
      <c r="M129" s="7200" t="n"/>
      <c r="N129" s="5445" t="inlineStr">
        <is>
          <t xml:space="preserve">.   .   .   . </t>
        </is>
      </c>
      <c r="O129" s="5554" t="n">
        <v>3</v>
      </c>
      <c r="P129" s="12348">
        <f>IF(OR(P123=""),"",IF(Q128-P125&lt;0,0,SUM(Q128,-P125)))</f>
        <v/>
      </c>
      <c r="Q129" s="7638" t="n"/>
      <c r="R129" s="12348">
        <f>IF(OR(R123=""),"",IF(S128-R125&lt;0,0,SUM(S128,-R125)))</f>
        <v/>
      </c>
      <c r="S129" s="7638" t="n"/>
      <c r="T129" s="5547" t="n"/>
      <c r="U129" s="5548" t="n"/>
      <c r="V129" s="5546" t="n"/>
      <c r="W129" s="5547" t="n"/>
      <c r="X129" s="139" t="n"/>
      <c r="Y129" s="343" t="n"/>
      <c r="Z129" s="5415" t="n"/>
      <c r="AA129" s="5415" t="n"/>
      <c r="AB129" s="5415" t="n"/>
      <c r="AC129" s="5415" t="n"/>
      <c r="AD129" s="5415" t="n"/>
      <c r="AE129" s="5415" t="n"/>
      <c r="AF129" s="5415" t="n"/>
      <c r="AG129" s="5415" t="n"/>
      <c r="AH129" s="5415" t="n"/>
      <c r="AI129" s="5415" t="n"/>
      <c r="AJ129" s="5415" t="n"/>
      <c r="AK129" s="5415" t="n"/>
      <c r="AL129" s="5415" t="n"/>
      <c r="AM129" s="5415" t="n"/>
      <c r="AN129" s="5415" t="n"/>
      <c r="AO129" s="5415" t="n"/>
      <c r="AP129" s="5415" t="n"/>
      <c r="AQ129" s="5415" t="n"/>
      <c r="AR129" s="5415" t="n"/>
      <c r="AS129" s="5415" t="n"/>
      <c r="AT129" s="5415" t="n"/>
      <c r="AU129" s="8648" t="n"/>
    </row>
    <row r="130" ht="13.5" customHeight="1" s="7635">
      <c r="A130" s="139" t="n"/>
      <c r="B130" s="5532" t="n"/>
      <c r="C130" s="7200" t="n"/>
      <c r="D130" s="7200" t="n"/>
      <c r="E130" s="7200" t="n"/>
      <c r="F130" s="7200" t="n"/>
      <c r="G130" s="7200" t="n"/>
      <c r="H130" s="7200" t="n"/>
      <c r="I130" s="7200" t="n"/>
      <c r="J130" s="7200" t="n"/>
      <c r="K130" s="7200" t="n"/>
      <c r="L130" s="7200" t="n"/>
      <c r="M130" s="7200" t="n"/>
      <c r="N130" s="5538" t="n"/>
      <c r="O130" s="5534" t="n"/>
      <c r="P130" s="5555" t="n"/>
      <c r="Q130" s="5556" t="n"/>
      <c r="R130" s="5555" t="n"/>
      <c r="S130" s="5556" t="n"/>
      <c r="T130" s="5547" t="n"/>
      <c r="U130" s="5548" t="n"/>
      <c r="V130" s="5546" t="n"/>
      <c r="W130" s="5547" t="n"/>
      <c r="X130" s="139" t="n"/>
      <c r="Y130" s="343" t="n"/>
      <c r="Z130" s="5415" t="n"/>
      <c r="AA130" s="5415" t="n"/>
      <c r="AB130" s="5415" t="n"/>
      <c r="AC130" s="5415" t="n"/>
      <c r="AD130" s="5415" t="n"/>
      <c r="AE130" s="5415" t="n"/>
      <c r="AF130" s="5415" t="n"/>
      <c r="AG130" s="5415" t="n"/>
      <c r="AH130" s="5415" t="n"/>
      <c r="AI130" s="5415" t="n"/>
      <c r="AJ130" s="5415" t="n"/>
      <c r="AK130" s="5415" t="n"/>
      <c r="AL130" s="5415" t="n"/>
      <c r="AM130" s="5415" t="n"/>
      <c r="AN130" s="5415" t="n"/>
      <c r="AO130" s="5415" t="n"/>
      <c r="AP130" s="5415" t="n"/>
      <c r="AQ130" s="5415" t="n"/>
      <c r="AR130" s="5415" t="n"/>
      <c r="AS130" s="5415" t="n"/>
      <c r="AT130" s="5415" t="n"/>
      <c r="AU130" s="8648" t="n"/>
    </row>
    <row r="131" ht="13.5" customHeight="1" s="7635">
      <c r="A131" s="139" t="n"/>
      <c r="B131" s="5532" t="n"/>
      <c r="C131" s="9398" t="n">
        <v>4</v>
      </c>
      <c r="D131" s="7200" t="n"/>
      <c r="E131" s="1990" t="inlineStr">
        <is>
          <t>Underpayment</t>
        </is>
      </c>
      <c r="F131" s="7200" t="n"/>
      <c r="G131" s="7200" t="n"/>
      <c r="H131" s="7121" t="inlineStr">
        <is>
          <t>Number of days</t>
        </is>
      </c>
      <c r="I131" s="9398" t="n"/>
      <c r="J131" s="7200" t="n"/>
      <c r="K131" s="7200" t="n"/>
      <c r="L131" s="7200" t="n"/>
      <c r="M131" s="7200" t="n"/>
      <c r="N131" s="5538" t="n"/>
      <c r="O131" s="5534" t="n"/>
      <c r="P131" s="5557" t="n"/>
      <c r="Q131" s="5556" t="n"/>
      <c r="R131" s="5557" t="n"/>
      <c r="S131" s="5556" t="n"/>
      <c r="T131" s="5547" t="n"/>
      <c r="U131" s="5548" t="n"/>
      <c r="V131" s="5546" t="n"/>
      <c r="W131" s="5547" t="n"/>
      <c r="X131" s="139" t="n"/>
      <c r="Y131" s="343" t="n"/>
      <c r="Z131" s="5415" t="n"/>
      <c r="AA131" s="5415" t="n"/>
      <c r="AB131" s="5415" t="n"/>
      <c r="AC131" s="5415" t="n"/>
      <c r="AD131" s="5415" t="n"/>
      <c r="AE131" s="5415" t="n"/>
      <c r="AF131" s="5415" t="n"/>
      <c r="AG131" s="5415" t="n"/>
      <c r="AH131" s="5415" t="n"/>
      <c r="AI131" s="5415" t="n"/>
      <c r="AJ131" s="5415" t="n"/>
      <c r="AK131" s="5415" t="n"/>
      <c r="AL131" s="5415" t="n"/>
      <c r="AM131" s="5415" t="n"/>
      <c r="AN131" s="5415" t="n"/>
      <c r="AO131" s="5415" t="n"/>
      <c r="AP131" s="5415" t="n"/>
      <c r="AQ131" s="5415" t="n"/>
      <c r="AR131" s="5415" t="n"/>
      <c r="AS131" s="5415" t="n"/>
      <c r="AT131" s="5415" t="n"/>
      <c r="AU131" s="8648" t="n"/>
    </row>
    <row r="132" ht="13.5" customHeight="1" s="7635">
      <c r="A132" s="139" t="n"/>
      <c r="B132" s="5532" t="n"/>
      <c r="C132" s="9398" t="n"/>
      <c r="D132" s="2126" t="n"/>
      <c r="E132" s="1990" t="inlineStr">
        <is>
          <t>on line 1a</t>
        </is>
      </c>
      <c r="F132" s="7200" t="n"/>
      <c r="G132" s="7375" t="inlineStr">
        <is>
          <t>x</t>
        </is>
      </c>
      <c r="H132" s="5536" t="n"/>
      <c r="I132" s="1999" t="inlineStr">
        <is>
          <t>on line 3</t>
        </is>
      </c>
      <c r="J132" s="5536" t="n"/>
      <c r="K132" s="7816" t="inlineStr">
        <is>
          <t>x</t>
        </is>
      </c>
      <c r="L132" s="12349" t="n">
        <v>0.07000000000000001</v>
      </c>
      <c r="N132" s="7636" t="n"/>
      <c r="O132" s="5534" t="n"/>
      <c r="P132" s="5555" t="n"/>
      <c r="Q132" s="5556" t="n"/>
      <c r="R132" s="5555" t="n"/>
      <c r="S132" s="5556" t="n"/>
      <c r="T132" s="5547" t="n"/>
      <c r="U132" s="5548" t="n"/>
      <c r="V132" s="5546" t="n"/>
      <c r="W132" s="5547" t="n"/>
      <c r="X132" s="139" t="n"/>
      <c r="Y132" s="343" t="n"/>
      <c r="Z132" s="5415" t="n"/>
      <c r="AA132" s="5415" t="n"/>
      <c r="AB132" s="5415" t="n"/>
      <c r="AC132" s="5415" t="n"/>
      <c r="AD132" s="5415" t="n"/>
      <c r="AE132" s="5415" t="n"/>
      <c r="AF132" s="5415" t="n"/>
      <c r="AG132" s="5415" t="n"/>
      <c r="AH132" s="5415" t="n"/>
      <c r="AI132" s="5415" t="n"/>
      <c r="AJ132" s="5415" t="n"/>
      <c r="AK132" s="5415" t="n"/>
      <c r="AL132" s="5415" t="n"/>
      <c r="AM132" s="5415" t="n"/>
      <c r="AN132" s="5415" t="n"/>
      <c r="AO132" s="5415" t="n"/>
      <c r="AP132" s="5415" t="n"/>
      <c r="AQ132" s="5415" t="n"/>
      <c r="AR132" s="5415" t="n"/>
      <c r="AS132" s="5415" t="n"/>
      <c r="AT132" s="5415" t="n"/>
      <c r="AU132" s="8648" t="n"/>
    </row>
    <row r="133" ht="13.5" customHeight="1" s="7635">
      <c r="A133" s="139" t="n"/>
      <c r="B133" s="5535" t="n"/>
      <c r="C133" s="5536" t="n"/>
      <c r="D133" s="507" t="n"/>
      <c r="E133" s="5536" t="n"/>
      <c r="F133" s="5536" t="n"/>
      <c r="G133" s="5536" t="n"/>
      <c r="H133" s="5536" t="n"/>
      <c r="I133" s="5558">
        <f>DaysInTaxYear</f>
        <v/>
      </c>
      <c r="J133" s="5536" t="n"/>
      <c r="K133" s="5536" t="n"/>
      <c r="L133" s="5536" t="n"/>
      <c r="M133" s="5536" t="n"/>
      <c r="N133" s="5559" t="n"/>
      <c r="O133" s="5554" t="n">
        <v>4</v>
      </c>
      <c r="P133" s="12350">
        <f>IF(OR(P123=""),"",ROUND(P$117*P129/$I133*$L132,2))</f>
        <v/>
      </c>
      <c r="Q133" s="7638" t="n"/>
      <c r="R133" s="12350">
        <f>IF(OR(R123=""),"",ROUND(R$117*R129/$I133*$L132,2))</f>
        <v/>
      </c>
      <c r="S133" s="7638" t="n"/>
      <c r="T133" s="5560" t="n"/>
      <c r="U133" s="5561" t="n"/>
      <c r="V133" s="5546" t="n"/>
      <c r="W133" s="5547" t="n"/>
      <c r="X133" s="139" t="n"/>
      <c r="Y133" s="343" t="n"/>
      <c r="Z133" s="5415" t="n"/>
      <c r="AA133" s="5415" t="n"/>
      <c r="AB133" s="5415" t="n"/>
      <c r="AC133" s="5415" t="n"/>
      <c r="AD133" s="5415" t="n"/>
      <c r="AE133" s="5415" t="n"/>
      <c r="AF133" s="5415" t="n"/>
      <c r="AG133" s="5415" t="n"/>
      <c r="AH133" s="5415" t="n"/>
      <c r="AI133" s="5415" t="n"/>
      <c r="AJ133" s="5415" t="n"/>
      <c r="AK133" s="5415" t="n"/>
      <c r="AL133" s="5415" t="n"/>
      <c r="AM133" s="5415" t="n"/>
      <c r="AN133" s="5415" t="n"/>
      <c r="AO133" s="5415" t="n"/>
      <c r="AP133" s="5415" t="n"/>
      <c r="AQ133" s="5415" t="n"/>
      <c r="AR133" s="5415" t="n"/>
      <c r="AS133" s="5415" t="n"/>
      <c r="AT133" s="5415" t="n"/>
      <c r="AU133" s="8648" t="n"/>
    </row>
    <row r="134" ht="13.5" customHeight="1" s="7635">
      <c r="A134" s="144" t="n"/>
      <c r="B134" s="5532" t="n"/>
      <c r="C134" s="7353" t="inlineStr">
        <is>
          <t>Rate Period 2:</t>
        </is>
      </c>
      <c r="D134" s="7353" t="n"/>
      <c r="E134" s="7200" t="n"/>
      <c r="F134" s="7353">
        <f>TEXT(K135,"MMMM D, YYYY")&amp;"—"&amp;TEXT(K136,"MMMM D, YYYY")</f>
        <v/>
      </c>
      <c r="G134" s="7200" t="n"/>
      <c r="H134" s="7200" t="n"/>
      <c r="I134" s="7200" t="n"/>
      <c r="J134" s="7200" t="n"/>
      <c r="K134" s="7200" t="n"/>
      <c r="L134" s="7200" t="n"/>
      <c r="M134" s="7200" t="n"/>
      <c r="N134" s="5538" t="n"/>
      <c r="O134" s="5539" t="n"/>
      <c r="P134" s="12344" t="n"/>
      <c r="Q134" s="11734" t="n"/>
      <c r="R134" s="12344" t="n"/>
      <c r="S134" s="11734" t="n"/>
      <c r="T134" s="5540" t="n"/>
      <c r="U134" s="5541" t="n"/>
      <c r="V134" s="5546" t="n"/>
      <c r="W134" s="5547" t="n"/>
      <c r="X134" s="144" t="n"/>
      <c r="Y134" s="343" t="n"/>
      <c r="Z134" s="5415" t="n"/>
      <c r="AA134" s="5415" t="n"/>
      <c r="AB134" s="5415" t="n"/>
      <c r="AC134" s="5415" t="n"/>
      <c r="AD134" s="5415" t="n"/>
      <c r="AE134" s="5415" t="n"/>
      <c r="AF134" s="5415" t="n"/>
      <c r="AG134" s="5415" t="n"/>
      <c r="AH134" s="5415" t="n"/>
      <c r="AI134" s="5415" t="n"/>
      <c r="AJ134" s="5415" t="n"/>
      <c r="AK134" s="5415" t="n"/>
      <c r="AL134" s="5415" t="n"/>
      <c r="AM134" s="5415" t="n"/>
      <c r="AN134" s="5415" t="n"/>
      <c r="AO134" s="5415" t="n"/>
      <c r="AP134" s="5415" t="n"/>
      <c r="AQ134" s="5415" t="n"/>
      <c r="AR134" s="5415" t="n"/>
      <c r="AS134" s="5415" t="n"/>
      <c r="AT134" s="5415" t="n"/>
      <c r="AU134" s="8648" t="n"/>
    </row>
    <row r="135" ht="13.5" customHeight="1" s="7635">
      <c r="A135" s="139" t="n"/>
      <c r="B135" s="5532" t="n"/>
      <c r="C135" s="9398" t="n">
        <v>5</v>
      </c>
      <c r="D135" s="2126" t="inlineStr">
        <is>
          <t>Computation starting dates for this period</t>
        </is>
      </c>
      <c r="E135" s="7200" t="n"/>
      <c r="F135" s="7200" t="n"/>
      <c r="G135" s="7200" t="n"/>
      <c r="H135" s="7200" t="n"/>
      <c r="I135" s="7200" t="n"/>
      <c r="J135" s="7200" t="n"/>
      <c r="K135" s="12345">
        <f>DATEVALUE("1-Jul-"&amp;TaxYear)</f>
        <v/>
      </c>
      <c r="N135" s="7636" t="n"/>
      <c r="O135" s="5544" t="n">
        <v>5</v>
      </c>
      <c r="P135" s="12335">
        <f>$K126</f>
        <v/>
      </c>
      <c r="Q135" s="7638" t="n"/>
      <c r="R135" s="12335">
        <f>$K126</f>
        <v/>
      </c>
      <c r="S135" s="7638" t="n"/>
      <c r="T135" s="12335">
        <f>T116</f>
        <v/>
      </c>
      <c r="U135" s="7638" t="n"/>
      <c r="V135" s="5546" t="n"/>
      <c r="W135" s="5547" t="n"/>
      <c r="X135" s="139" t="n"/>
      <c r="Y135" s="343" t="n"/>
      <c r="Z135" s="5415" t="n"/>
      <c r="AA135" s="5415" t="n"/>
      <c r="AB135" s="5415" t="n"/>
      <c r="AC135" s="5415" t="n"/>
      <c r="AD135" s="5415" t="n"/>
      <c r="AE135" s="5415" t="n"/>
      <c r="AF135" s="5415" t="n"/>
      <c r="AG135" s="5415" t="n"/>
      <c r="AH135" s="5415" t="n"/>
      <c r="AI135" s="5415" t="n"/>
      <c r="AJ135" s="5415" t="n"/>
      <c r="AK135" s="5415" t="n"/>
      <c r="AL135" s="5415" t="n"/>
      <c r="AM135" s="5415" t="n"/>
      <c r="AN135" s="5415" t="n"/>
      <c r="AO135" s="5415" t="n"/>
      <c r="AP135" s="5415" t="n"/>
      <c r="AQ135" s="5415" t="n"/>
      <c r="AR135" s="5415" t="n"/>
      <c r="AS135" s="5415" t="n"/>
      <c r="AT135" s="5415" t="n"/>
      <c r="AU135" s="8648" t="n"/>
    </row>
    <row r="136" ht="13.5" customHeight="1" s="7635">
      <c r="A136" s="139" t="n"/>
      <c r="B136" s="5532" t="n"/>
      <c r="C136" s="7200" t="n"/>
      <c r="D136" s="7200" t="n"/>
      <c r="E136" s="7200" t="n"/>
      <c r="F136" s="7200" t="n"/>
      <c r="G136" s="7200" t="n"/>
      <c r="H136" s="7200" t="n"/>
      <c r="I136" s="7200" t="n"/>
      <c r="J136" s="7200" t="n"/>
      <c r="K136" s="12345">
        <f>DATEVALUE("30-Sep-"&amp;TaxYear)</f>
        <v/>
      </c>
      <c r="N136" s="7636" t="n"/>
      <c r="O136" s="5534" t="n"/>
      <c r="P136" s="12346" t="inlineStr">
        <is>
          <t>Days:</t>
        </is>
      </c>
      <c r="Q136" s="10091" t="n"/>
      <c r="R136" s="12346" t="inlineStr">
        <is>
          <t>Days:</t>
        </is>
      </c>
      <c r="S136" s="10091" t="n"/>
      <c r="T136" s="12346" t="inlineStr">
        <is>
          <t>Days:</t>
        </is>
      </c>
      <c r="U136" s="10091" t="n"/>
      <c r="V136" s="5546" t="n"/>
      <c r="W136" s="5547" t="n"/>
      <c r="X136" s="139" t="n"/>
      <c r="Y136" s="343" t="n"/>
      <c r="Z136" s="5415" t="n"/>
      <c r="AA136" s="5415" t="n"/>
      <c r="AB136" s="5415" t="n"/>
      <c r="AC136" s="5415" t="n"/>
      <c r="AD136" s="5415" t="n"/>
      <c r="AE136" s="5415" t="n"/>
      <c r="AF136" s="5415" t="n"/>
      <c r="AG136" s="5415" t="n"/>
      <c r="AH136" s="5415" t="n"/>
      <c r="AI136" s="5415" t="n"/>
      <c r="AJ136" s="5415" t="n"/>
      <c r="AK136" s="5415" t="n"/>
      <c r="AL136" s="5415" t="n"/>
      <c r="AM136" s="5415" t="n"/>
      <c r="AN136" s="5415" t="n"/>
      <c r="AO136" s="5415" t="n"/>
      <c r="AP136" s="5415" t="n"/>
      <c r="AQ136" s="5415" t="n"/>
      <c r="AR136" s="5415" t="n"/>
      <c r="AS136" s="5415" t="n"/>
      <c r="AT136" s="5415" t="n"/>
      <c r="AU136" s="8648" t="n"/>
      <c r="BR136" s="207" t="n"/>
    </row>
    <row r="137" ht="13.5" customHeight="1" s="7635">
      <c r="A137" s="139" t="n"/>
      <c r="B137" s="5532" t="n"/>
      <c r="C137" s="7200" t="n"/>
      <c r="D137" s="7200" t="n"/>
      <c r="E137" s="7200" t="n"/>
      <c r="F137" s="7200" t="n"/>
      <c r="G137" s="7200" t="n"/>
      <c r="H137" s="7200" t="n"/>
      <c r="I137" s="7200" t="n"/>
      <c r="J137" s="7200" t="n"/>
      <c r="K137" s="7200" t="n"/>
      <c r="L137" s="7200" t="n"/>
      <c r="M137" s="7200" t="n"/>
      <c r="N137" s="5538" t="n"/>
      <c r="O137" s="5534" t="n"/>
      <c r="P137" s="5549" t="n"/>
      <c r="Q137" s="5550" t="n"/>
      <c r="R137" s="5549" t="n"/>
      <c r="S137" s="5550" t="n"/>
      <c r="T137" s="5549" t="n"/>
      <c r="U137" s="5550" t="n"/>
      <c r="V137" s="5546" t="n"/>
      <c r="W137" s="5547" t="n"/>
      <c r="X137" s="139" t="n"/>
      <c r="Y137" s="343" t="n"/>
      <c r="Z137" s="5415" t="n"/>
      <c r="AA137" s="5415" t="n"/>
      <c r="AB137" s="5415" t="n"/>
      <c r="AC137" s="5415" t="n"/>
      <c r="AD137" s="5415" t="n"/>
      <c r="AE137" s="5415" t="n"/>
      <c r="AF137" s="5415" t="n"/>
      <c r="AG137" s="5415" t="n"/>
      <c r="AH137" s="5415" t="n"/>
      <c r="AI137" s="5415" t="n"/>
      <c r="AJ137" s="5415" t="n"/>
      <c r="AK137" s="5415" t="n"/>
      <c r="AL137" s="5415" t="n"/>
      <c r="AM137" s="5415" t="n"/>
      <c r="AN137" s="5415" t="n"/>
      <c r="AO137" s="5415" t="n"/>
      <c r="AP137" s="5415" t="n"/>
      <c r="AQ137" s="5415" t="n"/>
      <c r="AR137" s="5415" t="n"/>
      <c r="AS137" s="5415" t="n"/>
      <c r="AT137" s="5415" t="n"/>
      <c r="AU137" s="8648" t="n"/>
      <c r="BR137" s="207" t="n"/>
    </row>
    <row r="138" ht="13.5" customHeight="1" s="7635">
      <c r="A138" s="139" t="n"/>
      <c r="B138" s="5532" t="n"/>
      <c r="C138" s="9398" t="n">
        <v>6</v>
      </c>
      <c r="D138" s="7121" t="inlineStr">
        <is>
          <t xml:space="preserve">Number of days from the date on line 5 to the date the amount </t>
        </is>
      </c>
      <c r="E138" s="7200" t="n"/>
      <c r="F138" s="7200" t="n"/>
      <c r="G138" s="7200" t="n"/>
      <c r="H138" s="7200" t="n"/>
      <c r="I138" s="7200" t="n"/>
      <c r="J138" s="7200" t="n"/>
      <c r="K138" s="7200" t="n"/>
      <c r="L138" s="7200" t="n"/>
      <c r="M138" s="7200" t="n"/>
      <c r="N138" s="5538" t="n"/>
      <c r="O138" s="5534" t="n"/>
      <c r="P138" s="5551" t="n"/>
      <c r="Q138" s="12347">
        <f>IF(P$120=0,$K136,IF(P$120&gt;$K136,$K136,P$120))</f>
        <v/>
      </c>
      <c r="R138" s="5553" t="n"/>
      <c r="S138" s="12347">
        <f>IF(R$12=0,$K136,IF(R$120&gt;$K136,$K136,R$120))</f>
        <v/>
      </c>
      <c r="T138" s="5553" t="n"/>
      <c r="U138" s="12347">
        <f>IF(T$120=0,$K136,IF(T$120&gt;$K136,$K136,T$120))</f>
        <v/>
      </c>
      <c r="V138" s="5546" t="n"/>
      <c r="W138" s="5547" t="n"/>
      <c r="X138" s="139" t="n"/>
      <c r="Y138" s="343" t="n"/>
      <c r="Z138" s="5415" t="n"/>
      <c r="AA138" s="5415" t="n"/>
      <c r="AB138" s="5415" t="n"/>
      <c r="AC138" s="5415" t="n"/>
      <c r="AD138" s="5415" t="n"/>
      <c r="AE138" s="5415" t="n"/>
      <c r="AF138" s="5415" t="n"/>
      <c r="AG138" s="5415" t="n"/>
      <c r="AH138" s="5415" t="n"/>
      <c r="AI138" s="5415" t="n"/>
      <c r="AJ138" s="5415" t="n"/>
      <c r="AK138" s="5415" t="n"/>
      <c r="AL138" s="5415" t="n"/>
      <c r="AM138" s="5415" t="n"/>
      <c r="AN138" s="5415" t="n"/>
      <c r="AO138" s="5415" t="n"/>
      <c r="AP138" s="5415" t="n"/>
      <c r="AQ138" s="5415" t="n"/>
      <c r="AR138" s="5415" t="n"/>
      <c r="AS138" s="5415" t="n"/>
      <c r="AT138" s="5415" t="n"/>
      <c r="AU138" s="8648" t="n"/>
      <c r="BR138" s="207" t="n"/>
    </row>
    <row r="139" ht="13.5" customHeight="1" s="7635">
      <c r="A139" s="139" t="n"/>
      <c r="B139" s="5532" t="n"/>
      <c r="C139" s="7200" t="n"/>
      <c r="D139" s="7121" t="inlineStr">
        <is>
          <t>on line 1a was paid   or</t>
        </is>
      </c>
      <c r="E139" s="7200" t="n"/>
      <c r="F139" s="7200" t="n"/>
      <c r="G139" s="7121">
        <f>"9/30/"&amp;TaxYear-2000&amp;", whichever is earlier"</f>
        <v/>
      </c>
      <c r="H139" s="7200" t="n"/>
      <c r="I139" s="7200" t="n"/>
      <c r="J139" s="7200" t="n"/>
      <c r="K139" s="7200" t="n"/>
      <c r="L139" s="7200" t="n"/>
      <c r="M139" s="7200" t="n"/>
      <c r="N139" s="5445" t="inlineStr">
        <is>
          <t xml:space="preserve">.   .   .   . </t>
        </is>
      </c>
      <c r="O139" s="5554" t="n">
        <v>6</v>
      </c>
      <c r="P139" s="12348">
        <f>IF(OR(P123=""),"",IF(Q138-P135&lt;0,0,SUM(Q138,-P135)))</f>
        <v/>
      </c>
      <c r="Q139" s="7638" t="n"/>
      <c r="R139" s="12348">
        <f>IF(OR(R123=""),"",IF(S138-R135&lt;0,0,SUM(S138,-R135)))</f>
        <v/>
      </c>
      <c r="S139" s="7638" t="n"/>
      <c r="T139" s="12348">
        <f>IF(OR(T123=""),"",IF(U138-T135&lt;0,0,SUM(U138,-T135)))</f>
        <v/>
      </c>
      <c r="U139" s="7638" t="n"/>
      <c r="V139" s="5546" t="n"/>
      <c r="W139" s="5547" t="n"/>
      <c r="X139" s="139" t="n"/>
      <c r="Y139" s="343" t="n"/>
      <c r="Z139" s="5415" t="n"/>
      <c r="AA139" s="5415" t="n"/>
      <c r="AB139" s="5415" t="n"/>
      <c r="AC139" s="5415" t="n"/>
      <c r="AD139" s="5415" t="n"/>
      <c r="AE139" s="5415" t="n"/>
      <c r="AF139" s="5415" t="n"/>
      <c r="AG139" s="5415" t="n"/>
      <c r="AH139" s="5415" t="n"/>
      <c r="AI139" s="5415" t="n"/>
      <c r="AJ139" s="5415" t="n"/>
      <c r="AK139" s="5415" t="n"/>
      <c r="AL139" s="5415" t="n"/>
      <c r="AM139" s="5415" t="n"/>
      <c r="AN139" s="5415" t="n"/>
      <c r="AO139" s="5415" t="n"/>
      <c r="AP139" s="5415" t="n"/>
      <c r="AQ139" s="5415" t="n"/>
      <c r="AR139" s="5415" t="n"/>
      <c r="AS139" s="5415" t="n"/>
      <c r="AT139" s="5415" t="n"/>
      <c r="AU139" s="8648" t="n"/>
      <c r="BR139" s="207" t="n"/>
    </row>
    <row r="140" ht="13.5" customHeight="1" s="7635">
      <c r="A140" s="139" t="n"/>
      <c r="B140" s="5532" t="n"/>
      <c r="C140" s="7200" t="n"/>
      <c r="D140" s="7200" t="n"/>
      <c r="E140" s="7200" t="n"/>
      <c r="F140" s="7200" t="n"/>
      <c r="G140" s="7200" t="n"/>
      <c r="H140" s="7200" t="n"/>
      <c r="I140" s="7200" t="n"/>
      <c r="J140" s="7200" t="n"/>
      <c r="K140" s="7200" t="n"/>
      <c r="L140" s="7200" t="n"/>
      <c r="M140" s="7200" t="n"/>
      <c r="N140" s="5538" t="n"/>
      <c r="O140" s="5534" t="n"/>
      <c r="P140" s="5562" t="n"/>
      <c r="Q140" s="5563" t="n"/>
      <c r="R140" s="5562" t="n"/>
      <c r="S140" s="5563" t="n"/>
      <c r="T140" s="5562" t="n"/>
      <c r="U140" s="5563" t="n"/>
      <c r="V140" s="5546" t="n"/>
      <c r="W140" s="5547" t="n"/>
      <c r="X140" s="139" t="n"/>
      <c r="Y140" s="343" t="n"/>
      <c r="Z140" s="5415" t="n"/>
      <c r="AA140" s="5415" t="n"/>
      <c r="AB140" s="5415" t="n"/>
      <c r="AC140" s="5415" t="n"/>
      <c r="AD140" s="5415" t="n"/>
      <c r="AE140" s="5415" t="n"/>
      <c r="AF140" s="5415" t="n"/>
      <c r="AG140" s="5415" t="n"/>
      <c r="AH140" s="5415" t="n"/>
      <c r="AI140" s="5415" t="n"/>
      <c r="AJ140" s="5415" t="n"/>
      <c r="AK140" s="5415" t="n"/>
      <c r="AL140" s="5415" t="n"/>
      <c r="AM140" s="5415" t="n"/>
      <c r="AN140" s="5415" t="n"/>
      <c r="AO140" s="5415" t="n"/>
      <c r="AP140" s="5415" t="n"/>
      <c r="AQ140" s="5415" t="n"/>
      <c r="AR140" s="5415" t="n"/>
      <c r="AS140" s="5415" t="n"/>
      <c r="AT140" s="5415" t="n"/>
      <c r="AU140" s="8648" t="n"/>
      <c r="BR140" s="207" t="n"/>
    </row>
    <row r="141" ht="13.5" customHeight="1" s="7635">
      <c r="A141" s="139" t="n"/>
      <c r="B141" s="5532" t="n"/>
      <c r="C141" s="9398" t="n">
        <v>7</v>
      </c>
      <c r="D141" s="7200" t="n"/>
      <c r="E141" s="1990" t="inlineStr">
        <is>
          <t>Underpayment</t>
        </is>
      </c>
      <c r="F141" s="7200" t="n"/>
      <c r="G141" s="7200" t="n"/>
      <c r="H141" s="7121" t="inlineStr">
        <is>
          <t>Number of days</t>
        </is>
      </c>
      <c r="I141" s="9398" t="n"/>
      <c r="J141" s="7200" t="n"/>
      <c r="K141" s="7200" t="n"/>
      <c r="L141" s="7200" t="n"/>
      <c r="M141" s="7200" t="n"/>
      <c r="N141" s="5538" t="n"/>
      <c r="O141" s="5534" t="n"/>
      <c r="P141" s="11396" t="n"/>
      <c r="Q141" s="5563" t="n"/>
      <c r="R141" s="11396" t="n"/>
      <c r="S141" s="5563" t="n"/>
      <c r="T141" s="5562" t="n"/>
      <c r="U141" s="5563" t="n"/>
      <c r="V141" s="5546" t="n"/>
      <c r="W141" s="5547" t="n"/>
      <c r="X141" s="139" t="n"/>
      <c r="Y141" s="343" t="n"/>
      <c r="Z141" s="5415" t="n"/>
      <c r="AA141" s="5415" t="n"/>
      <c r="AB141" s="5415" t="n"/>
      <c r="AC141" s="5415" t="n"/>
      <c r="AD141" s="5415" t="n"/>
      <c r="AE141" s="5415" t="n"/>
      <c r="AF141" s="5415" t="n"/>
      <c r="AG141" s="5415" t="n"/>
      <c r="AH141" s="5415" t="n"/>
      <c r="AI141" s="5415" t="n"/>
      <c r="AJ141" s="5415" t="n"/>
      <c r="AK141" s="5415" t="n"/>
      <c r="AL141" s="5415" t="n"/>
      <c r="AM141" s="5415" t="n"/>
      <c r="AN141" s="5415" t="n"/>
      <c r="AO141" s="5415" t="n"/>
      <c r="AP141" s="5415" t="n"/>
      <c r="AQ141" s="5415" t="n"/>
      <c r="AR141" s="5415" t="n"/>
      <c r="AS141" s="5415" t="n"/>
      <c r="AT141" s="5415" t="n"/>
      <c r="AU141" s="8648" t="n"/>
      <c r="BR141" s="207" t="n"/>
    </row>
    <row r="142" ht="13.5" customHeight="1" s="7635">
      <c r="A142" s="139" t="n"/>
      <c r="B142" s="5532" t="n"/>
      <c r="C142" s="9398" t="n"/>
      <c r="D142" s="2126" t="n"/>
      <c r="E142" s="1990" t="inlineStr">
        <is>
          <t>on line 1a</t>
        </is>
      </c>
      <c r="F142" s="7200" t="n"/>
      <c r="G142" s="7375" t="inlineStr">
        <is>
          <t>x</t>
        </is>
      </c>
      <c r="H142" s="5536" t="n"/>
      <c r="I142" s="1999" t="inlineStr">
        <is>
          <t>on line 6</t>
        </is>
      </c>
      <c r="J142" s="5536" t="n"/>
      <c r="K142" s="7816" t="inlineStr">
        <is>
          <t>x</t>
        </is>
      </c>
      <c r="L142" s="12349" t="n">
        <v>0.07000000000000001</v>
      </c>
      <c r="N142" s="7636" t="n"/>
      <c r="O142" s="5534" t="n"/>
      <c r="P142" s="5562" t="n"/>
      <c r="Q142" s="5563" t="n"/>
      <c r="R142" s="5562" t="n"/>
      <c r="S142" s="5563" t="n"/>
      <c r="T142" s="5562" t="n"/>
      <c r="U142" s="5563" t="n"/>
      <c r="V142" s="5546" t="n"/>
      <c r="W142" s="5547" t="n"/>
      <c r="X142" s="139" t="n"/>
      <c r="Y142" s="343" t="n"/>
      <c r="Z142" s="5415" t="n"/>
      <c r="AA142" s="5415" t="n"/>
      <c r="AB142" s="5415" t="n"/>
      <c r="AC142" s="5415" t="n"/>
      <c r="AD142" s="5415" t="n"/>
      <c r="AE142" s="5415" t="n"/>
      <c r="AF142" s="5415" t="n"/>
      <c r="AG142" s="5415" t="n"/>
      <c r="AH142" s="5415" t="n"/>
      <c r="AI142" s="5415" t="n"/>
      <c r="AJ142" s="5415" t="n"/>
      <c r="AK142" s="5415" t="n"/>
      <c r="AL142" s="5415" t="n"/>
      <c r="AM142" s="5415" t="n"/>
      <c r="AN142" s="5415" t="n"/>
      <c r="AO142" s="5415" t="n"/>
      <c r="AP142" s="5415" t="n"/>
      <c r="AQ142" s="5415" t="n"/>
      <c r="AR142" s="5415" t="n"/>
      <c r="AS142" s="5415" t="n"/>
      <c r="AT142" s="5415" t="n"/>
      <c r="AU142" s="8648" t="n"/>
      <c r="BR142" s="207" t="n"/>
    </row>
    <row r="143" ht="13.5" customHeight="1" s="7635">
      <c r="A143" s="139" t="n"/>
      <c r="B143" s="5535" t="n"/>
      <c r="C143" s="5536" t="n"/>
      <c r="D143" s="507" t="n"/>
      <c r="E143" s="5536" t="n"/>
      <c r="F143" s="5536" t="n"/>
      <c r="G143" s="5536" t="n"/>
      <c r="H143" s="5536" t="n"/>
      <c r="I143" s="5558">
        <f>DaysInTaxYear</f>
        <v/>
      </c>
      <c r="J143" s="5536" t="n"/>
      <c r="K143" s="5536" t="n"/>
      <c r="L143" s="5536" t="n"/>
      <c r="M143" s="5536" t="n"/>
      <c r="N143" s="5559" t="n"/>
      <c r="O143" s="5554" t="n">
        <v>7</v>
      </c>
      <c r="P143" s="12350">
        <f>IF(OR(P123=""),"",ROUND(P$117*P139/I143*L142,2))</f>
        <v/>
      </c>
      <c r="Q143" s="7638" t="n"/>
      <c r="R143" s="12350">
        <f>IF(OR(R123=""),"",ROUND(R$117*R139/$I143*$L142,2))</f>
        <v/>
      </c>
      <c r="S143" s="7638" t="n"/>
      <c r="T143" s="12350">
        <f>IF(OR(T123=""),"",ROUND(T$117*T139/$I143*$L142,2))</f>
        <v/>
      </c>
      <c r="U143" s="7638" t="n"/>
      <c r="V143" s="5546" t="n"/>
      <c r="W143" s="5547" t="n"/>
      <c r="X143" s="139" t="n"/>
      <c r="Y143" s="343" t="n"/>
      <c r="Z143" s="5415" t="n"/>
      <c r="AA143" s="5415" t="n"/>
      <c r="AB143" s="5415" t="n"/>
      <c r="AC143" s="5415" t="n"/>
      <c r="AD143" s="5415" t="n"/>
      <c r="AE143" s="5415" t="n"/>
      <c r="AF143" s="5415" t="n"/>
      <c r="AG143" s="5415" t="n"/>
      <c r="AH143" s="5415" t="n"/>
      <c r="AI143" s="5415" t="n"/>
      <c r="AJ143" s="5415" t="n"/>
      <c r="AK143" s="5415" t="n"/>
      <c r="AL143" s="5415" t="n"/>
      <c r="AM143" s="5415" t="n"/>
      <c r="AN143" s="5415" t="n"/>
      <c r="AO143" s="5415" t="n"/>
      <c r="AP143" s="5415" t="n"/>
      <c r="AQ143" s="5415" t="n"/>
      <c r="AR143" s="5415" t="n"/>
      <c r="AS143" s="5415" t="n"/>
      <c r="AT143" s="5415" t="n"/>
      <c r="AU143" s="8648" t="n"/>
      <c r="BR143" s="207" t="n"/>
    </row>
    <row r="144" ht="13.5" customHeight="1" s="7635">
      <c r="A144" s="144" t="n"/>
      <c r="B144" s="5532" t="n"/>
      <c r="C144" s="7353" t="inlineStr">
        <is>
          <t>Rate Period 3:</t>
        </is>
      </c>
      <c r="D144" s="7353" t="n"/>
      <c r="E144" s="7200" t="n"/>
      <c r="F144" s="7353">
        <f>TEXT(K145,"MMMM D, YYYY")&amp;"—"&amp;TEXT(K146,"MMMM D, YYYY")</f>
        <v/>
      </c>
      <c r="G144" s="7200" t="n"/>
      <c r="H144" s="7200" t="n"/>
      <c r="I144" s="7200" t="n"/>
      <c r="J144" s="7200" t="n"/>
      <c r="K144" s="7200" t="n"/>
      <c r="L144" s="7200" t="n"/>
      <c r="M144" s="7200" t="n"/>
      <c r="N144" s="5538" t="n"/>
      <c r="O144" s="5539" t="n"/>
      <c r="P144" s="12344" t="n"/>
      <c r="Q144" s="11734" t="n"/>
      <c r="R144" s="12344" t="n"/>
      <c r="S144" s="11734" t="n"/>
      <c r="T144" s="5540" t="n"/>
      <c r="U144" s="5541" t="n"/>
      <c r="V144" s="5546" t="n"/>
      <c r="W144" s="5547" t="n"/>
      <c r="X144" s="144" t="n"/>
      <c r="Y144" s="343" t="n"/>
      <c r="Z144" s="5415" t="n"/>
      <c r="AA144" s="5415" t="n"/>
      <c r="AB144" s="5415" t="n"/>
      <c r="AC144" s="5415" t="n"/>
      <c r="AD144" s="5415" t="n"/>
      <c r="AE144" s="5415" t="n"/>
      <c r="AF144" s="5415" t="n"/>
      <c r="AG144" s="5415" t="n"/>
      <c r="AH144" s="5415" t="n"/>
      <c r="AI144" s="5415" t="n"/>
      <c r="AJ144" s="5415" t="n"/>
      <c r="AK144" s="5415" t="n"/>
      <c r="AL144" s="5415" t="n"/>
      <c r="AM144" s="5415" t="n"/>
      <c r="AN144" s="5415" t="n"/>
      <c r="AO144" s="5415" t="n"/>
      <c r="AP144" s="5415" t="n"/>
      <c r="AQ144" s="5415" t="n"/>
      <c r="AR144" s="5415" t="n"/>
      <c r="AS144" s="5415" t="n"/>
      <c r="AT144" s="5415" t="n"/>
      <c r="AU144" s="8648" t="n"/>
      <c r="BR144" s="207" t="n"/>
    </row>
    <row r="145" ht="15" customHeight="1" s="7635">
      <c r="A145" s="139" t="n"/>
      <c r="B145" s="5532" t="n"/>
      <c r="C145" s="9398" t="n">
        <v>8</v>
      </c>
      <c r="D145" s="2126" t="inlineStr">
        <is>
          <t>Computation starting dates for this period</t>
        </is>
      </c>
      <c r="E145" s="7200" t="n"/>
      <c r="F145" s="7200" t="n"/>
      <c r="G145" s="7200" t="n"/>
      <c r="H145" s="7200" t="n"/>
      <c r="I145" s="7200" t="n"/>
      <c r="J145" s="7200" t="n"/>
      <c r="K145" s="12345">
        <f>DATEVALUE("1-Oct-"&amp;TaxYear)</f>
        <v/>
      </c>
      <c r="N145" s="7636" t="n"/>
      <c r="O145" s="5544" t="n">
        <v>8</v>
      </c>
      <c r="P145" s="12335">
        <f>$K136</f>
        <v/>
      </c>
      <c r="Q145" s="7638" t="n"/>
      <c r="R145" s="12335">
        <f>$K136</f>
        <v/>
      </c>
      <c r="S145" s="7638" t="n"/>
      <c r="T145" s="12335">
        <f>$K136</f>
        <v/>
      </c>
      <c r="U145" s="7638" t="n"/>
      <c r="V145" s="5546" t="n"/>
      <c r="W145" s="5547" t="n"/>
      <c r="X145" s="139" t="n"/>
      <c r="Y145" s="343" t="n"/>
      <c r="Z145" s="5415" t="n"/>
      <c r="AA145" s="5415" t="n"/>
      <c r="AB145" s="5415" t="n"/>
      <c r="AC145" s="5415" t="n"/>
      <c r="AD145" s="5415" t="n"/>
      <c r="AE145" s="5415" t="n"/>
      <c r="AF145" s="5415" t="n"/>
      <c r="AG145" s="5415" t="n"/>
      <c r="AH145" s="5415" t="n"/>
      <c r="AI145" s="5415" t="n"/>
      <c r="AJ145" s="5415" t="n"/>
      <c r="AK145" s="5415" t="n"/>
      <c r="AL145" s="5415" t="n"/>
      <c r="AM145" s="5415" t="n"/>
      <c r="AN145" s="5415" t="n"/>
      <c r="AO145" s="5415" t="n"/>
      <c r="AP145" s="5415" t="n"/>
      <c r="AQ145" s="5415" t="n"/>
      <c r="AR145" s="5415" t="n"/>
      <c r="AS145" s="5415" t="n"/>
      <c r="AT145" s="5415" t="n"/>
      <c r="AU145" s="8648" t="n"/>
      <c r="BR145" s="207" t="n"/>
    </row>
    <row r="146" ht="14.25" customHeight="1" s="7635">
      <c r="A146" s="139" t="n"/>
      <c r="B146" s="5532" t="n"/>
      <c r="C146" s="7200" t="n"/>
      <c r="D146" s="7200" t="n"/>
      <c r="E146" s="7200" t="n"/>
      <c r="F146" s="7200" t="n"/>
      <c r="G146" s="7200" t="n"/>
      <c r="H146" s="7200" t="n"/>
      <c r="I146" s="7200" t="n"/>
      <c r="J146" s="7200" t="n"/>
      <c r="K146" s="12345">
        <f>DATEVALUE("31-Dec-"&amp;TaxYear)</f>
        <v/>
      </c>
      <c r="N146" s="7636" t="n"/>
      <c r="O146" s="5534" t="n"/>
      <c r="P146" s="12346" t="inlineStr">
        <is>
          <t>Days:</t>
        </is>
      </c>
      <c r="Q146" s="10091" t="n"/>
      <c r="R146" s="12346" t="inlineStr">
        <is>
          <t>Days:</t>
        </is>
      </c>
      <c r="S146" s="10091" t="n"/>
      <c r="T146" s="12346" t="inlineStr">
        <is>
          <t>Days:</t>
        </is>
      </c>
      <c r="U146" s="10091" t="n"/>
      <c r="V146" s="5546" t="n"/>
      <c r="W146" s="5547" t="n"/>
      <c r="X146" s="139" t="n"/>
      <c r="Y146" s="343" t="n"/>
      <c r="Z146" s="5415" t="n"/>
      <c r="AA146" s="5415" t="n"/>
      <c r="AB146" s="5415" t="n"/>
      <c r="AC146" s="5415" t="n"/>
      <c r="AD146" s="5415" t="n"/>
      <c r="AE146" s="5415" t="n"/>
      <c r="AF146" s="5415" t="n"/>
      <c r="AG146" s="5415" t="n"/>
      <c r="AH146" s="5415" t="n"/>
      <c r="AI146" s="5415" t="n"/>
      <c r="AJ146" s="5415" t="n"/>
      <c r="AK146" s="5415" t="n"/>
      <c r="AL146" s="5415" t="n"/>
      <c r="AM146" s="5415" t="n"/>
      <c r="AN146" s="5415" t="n"/>
      <c r="AO146" s="5415" t="n"/>
      <c r="AP146" s="5415" t="n"/>
      <c r="AQ146" s="5415" t="n"/>
      <c r="AR146" s="5415" t="n"/>
      <c r="AS146" s="5415" t="n"/>
      <c r="AT146" s="5415" t="n"/>
      <c r="AU146" s="8648" t="n"/>
      <c r="BG146" s="207" t="n"/>
      <c r="BR146" s="207" t="n"/>
      <c r="CF146" s="207" t="n"/>
      <c r="CG146" s="207" t="n"/>
      <c r="CH146" s="207" t="n"/>
      <c r="CI146" s="207" t="n"/>
    </row>
    <row r="147" ht="14.25" customHeight="1" s="7635">
      <c r="A147" s="139" t="n"/>
      <c r="B147" s="5532" t="n"/>
      <c r="C147" s="7200" t="n"/>
      <c r="D147" s="7200" t="n"/>
      <c r="E147" s="7200" t="n"/>
      <c r="F147" s="7200" t="n"/>
      <c r="G147" s="7200" t="n"/>
      <c r="H147" s="7200" t="n"/>
      <c r="I147" s="7200" t="n"/>
      <c r="J147" s="7200" t="n"/>
      <c r="K147" s="7200" t="n"/>
      <c r="L147" s="7200" t="n"/>
      <c r="M147" s="7200" t="n"/>
      <c r="N147" s="5538" t="n"/>
      <c r="O147" s="5534" t="n"/>
      <c r="P147" s="5557" t="n"/>
      <c r="Q147" s="5550" t="n"/>
      <c r="R147" s="5549" t="n"/>
      <c r="S147" s="5550" t="n"/>
      <c r="T147" s="5549" t="n"/>
      <c r="U147" s="5550" t="n"/>
      <c r="V147" s="5546" t="n"/>
      <c r="W147" s="5547" t="n"/>
      <c r="X147" s="139" t="n"/>
      <c r="Y147" s="343" t="n"/>
      <c r="Z147" s="5415" t="n"/>
      <c r="AA147" s="5415" t="n"/>
      <c r="AB147" s="5415" t="n"/>
      <c r="AC147" s="5415" t="n"/>
      <c r="AD147" s="5415" t="n"/>
      <c r="AE147" s="5415" t="n"/>
      <c r="AF147" s="5415" t="n"/>
      <c r="AG147" s="5415" t="n"/>
      <c r="AH147" s="5415" t="n"/>
      <c r="AI147" s="5415" t="n"/>
      <c r="AJ147" s="5415" t="n"/>
      <c r="AK147" s="5415" t="n"/>
      <c r="AL147" s="5415" t="n"/>
      <c r="AM147" s="5415" t="n"/>
      <c r="AN147" s="5415" t="n"/>
      <c r="AO147" s="5415" t="n"/>
      <c r="AP147" s="5415" t="n"/>
      <c r="AQ147" s="5415" t="n"/>
      <c r="AR147" s="5415" t="n"/>
      <c r="AS147" s="5415" t="n"/>
      <c r="AT147" s="5415" t="n"/>
      <c r="AU147" s="8648" t="n"/>
      <c r="BR147" s="207" t="n"/>
    </row>
    <row r="148" ht="14.25" customHeight="1" s="7635">
      <c r="A148" s="139" t="n"/>
      <c r="B148" s="5532" t="n"/>
      <c r="C148" s="9398" t="n">
        <v>9</v>
      </c>
      <c r="D148" s="7121" t="inlineStr">
        <is>
          <t xml:space="preserve">Number of days from the date on line 8 to the date the amount </t>
        </is>
      </c>
      <c r="E148" s="7200" t="n"/>
      <c r="F148" s="7200" t="n"/>
      <c r="G148" s="7200" t="n"/>
      <c r="H148" s="7200" t="n"/>
      <c r="I148" s="7200" t="n"/>
      <c r="J148" s="7200" t="n"/>
      <c r="K148" s="7200" t="n"/>
      <c r="L148" s="7200" t="n"/>
      <c r="M148" s="7200" t="n"/>
      <c r="N148" s="5538" t="n"/>
      <c r="O148" s="5534" t="n"/>
      <c r="P148" s="5555" t="n"/>
      <c r="Q148" s="12347">
        <f>IF(P$120=0,$K146,IF(P$120&gt;$K146,$K146,P$120))</f>
        <v/>
      </c>
      <c r="R148" s="5553" t="n"/>
      <c r="S148" s="12347">
        <f>IF(R$12=0,$K146,IF(R$120&gt;$K146,$K146,R$120))</f>
        <v/>
      </c>
      <c r="T148" s="5553" t="n"/>
      <c r="U148" s="12347">
        <f>IF(T$120=0,$K146,IF(T$120&gt;$K146,$K146,T$120))</f>
        <v/>
      </c>
      <c r="V148" s="5546" t="n"/>
      <c r="W148" s="5547" t="n"/>
      <c r="X148" s="139" t="n"/>
      <c r="Y148" s="343" t="n"/>
      <c r="Z148" s="5415" t="n"/>
      <c r="AA148" s="5415" t="n"/>
      <c r="AB148" s="5415" t="n"/>
      <c r="AC148" s="5415" t="n"/>
      <c r="AD148" s="5415" t="n"/>
      <c r="AE148" s="5415" t="n"/>
      <c r="AF148" s="5415" t="n"/>
      <c r="AG148" s="5415" t="n"/>
      <c r="AH148" s="5415" t="n"/>
      <c r="AI148" s="5415" t="n"/>
      <c r="AJ148" s="5415" t="n"/>
      <c r="AK148" s="5415" t="n"/>
      <c r="AL148" s="5415" t="n"/>
      <c r="AM148" s="5415" t="n"/>
      <c r="AN148" s="5415" t="n"/>
      <c r="AO148" s="5415" t="n"/>
      <c r="AP148" s="5415" t="n"/>
      <c r="AQ148" s="5415" t="n"/>
      <c r="AR148" s="5415" t="n"/>
      <c r="AS148" s="5415" t="n"/>
      <c r="AT148" s="5415" t="n"/>
      <c r="AU148" s="8648" t="n"/>
      <c r="BR148" s="207" t="n"/>
    </row>
    <row r="149" ht="14.25" customHeight="1" s="7635">
      <c r="A149" s="139" t="n"/>
      <c r="B149" s="5532" t="n"/>
      <c r="C149" s="7200" t="n"/>
      <c r="D149" s="7121" t="inlineStr">
        <is>
          <t>on line 1a was paid   or</t>
        </is>
      </c>
      <c r="E149" s="7200" t="n"/>
      <c r="F149" s="7200" t="n"/>
      <c r="G149" s="7121">
        <f>"12/31/"&amp;TaxYear-2000&amp;", whichever is earlier"</f>
        <v/>
      </c>
      <c r="H149" s="7200" t="n"/>
      <c r="I149" s="7200" t="n"/>
      <c r="J149" s="7200" t="n"/>
      <c r="K149" s="7200" t="n"/>
      <c r="L149" s="7200" t="n"/>
      <c r="M149" s="7200" t="n"/>
      <c r="N149" s="5445" t="inlineStr">
        <is>
          <t xml:space="preserve">.   .   .   . </t>
        </is>
      </c>
      <c r="O149" s="5554" t="n">
        <v>9</v>
      </c>
      <c r="P149" s="12348">
        <f>IF(OR(P123=""),"",IF(Q148-P145&lt;0,0,SUM(Q148,-P145)))</f>
        <v/>
      </c>
      <c r="Q149" s="7638" t="n"/>
      <c r="R149" s="12348">
        <f>IF(OR(R123=""),"",IF(S148-R145&lt;0,0,SUM(S148,-R145)))</f>
        <v/>
      </c>
      <c r="S149" s="7638" t="n"/>
      <c r="T149" s="12348">
        <f>IF(OR(T123=""),"",IF(U148-T145&lt;0,0,SUM(U148,-T145)))</f>
        <v/>
      </c>
      <c r="U149" s="7638" t="n"/>
      <c r="V149" s="5546" t="n"/>
      <c r="W149" s="5547" t="n"/>
      <c r="X149" s="139" t="n"/>
      <c r="Y149" s="343" t="n"/>
      <c r="Z149" s="5415" t="n"/>
      <c r="AA149" s="5415" t="n"/>
      <c r="AB149" s="5415" t="n"/>
      <c r="AC149" s="5415" t="n"/>
      <c r="AD149" s="5415" t="n"/>
      <c r="AE149" s="5415" t="n"/>
      <c r="AF149" s="5415" t="n"/>
      <c r="AG149" s="5415" t="n"/>
      <c r="AH149" s="5415" t="n"/>
      <c r="AI149" s="5415" t="n"/>
      <c r="AJ149" s="5415" t="n"/>
      <c r="AK149" s="5415" t="n"/>
      <c r="AL149" s="5415" t="n"/>
      <c r="AM149" s="5415" t="n"/>
      <c r="AN149" s="5415" t="n"/>
      <c r="AO149" s="5415" t="n"/>
      <c r="AP149" s="5415" t="n"/>
      <c r="AQ149" s="5415" t="n"/>
      <c r="AR149" s="5415" t="n"/>
      <c r="AS149" s="5415" t="n"/>
      <c r="AT149" s="5415" t="n"/>
      <c r="AU149" s="8648" t="n"/>
      <c r="BR149" s="207" t="n"/>
    </row>
    <row r="150" ht="14.25" customHeight="1" s="7635">
      <c r="A150" s="139" t="n"/>
      <c r="B150" s="5532" t="n"/>
      <c r="C150" s="7200" t="n"/>
      <c r="D150" s="7200" t="n"/>
      <c r="E150" s="7200" t="n"/>
      <c r="F150" s="7200" t="n"/>
      <c r="G150" s="7200" t="n"/>
      <c r="H150" s="7200" t="n"/>
      <c r="I150" s="7200" t="n"/>
      <c r="J150" s="7200" t="n"/>
      <c r="K150" s="7200" t="n"/>
      <c r="L150" s="7200" t="n"/>
      <c r="M150" s="7200" t="n"/>
      <c r="N150" s="5538" t="n"/>
      <c r="O150" s="5534" t="n"/>
      <c r="P150" s="5555" t="n"/>
      <c r="Q150" s="5556" t="n"/>
      <c r="R150" s="5555" t="n"/>
      <c r="S150" s="5556" t="n"/>
      <c r="T150" s="5555" t="n"/>
      <c r="U150" s="5556" t="n"/>
      <c r="V150" s="5546" t="n"/>
      <c r="W150" s="5547" t="n"/>
      <c r="X150" s="139" t="n"/>
      <c r="Y150" s="343" t="n"/>
      <c r="Z150" s="5415" t="n"/>
      <c r="AA150" s="5415" t="n"/>
      <c r="AB150" s="5415" t="n"/>
      <c r="AC150" s="5415" t="n"/>
      <c r="AD150" s="5415" t="n"/>
      <c r="AE150" s="5415" t="n"/>
      <c r="AF150" s="5415" t="n"/>
      <c r="AG150" s="5415" t="n"/>
      <c r="AH150" s="5415" t="n"/>
      <c r="AI150" s="5415" t="n"/>
      <c r="AJ150" s="5415" t="n"/>
      <c r="AK150" s="5415" t="n"/>
      <c r="AL150" s="5415" t="n"/>
      <c r="AM150" s="5415" t="n"/>
      <c r="AN150" s="5415" t="n"/>
      <c r="AO150" s="5415" t="n"/>
      <c r="AP150" s="5415" t="n"/>
      <c r="AQ150" s="5415" t="n"/>
      <c r="AR150" s="5415" t="n"/>
      <c r="AS150" s="5415" t="n"/>
      <c r="AT150" s="5415" t="n"/>
      <c r="AU150" s="8648" t="n"/>
      <c r="BR150" s="207" t="n"/>
    </row>
    <row r="151" ht="17.25" customFormat="1" customHeight="1" s="207">
      <c r="A151" s="139" t="n"/>
      <c r="B151" s="5532" t="n"/>
      <c r="C151" s="9398" t="n">
        <v>10</v>
      </c>
      <c r="D151" s="7200" t="n"/>
      <c r="E151" s="1990" t="inlineStr">
        <is>
          <t>Underpayment</t>
        </is>
      </c>
      <c r="F151" s="7200" t="n"/>
      <c r="G151" s="7200" t="n"/>
      <c r="H151" s="7121" t="inlineStr">
        <is>
          <t>Number of days</t>
        </is>
      </c>
      <c r="I151" s="9398" t="n"/>
      <c r="J151" s="7200" t="n"/>
      <c r="K151" s="7200" t="n"/>
      <c r="L151" s="7200" t="n"/>
      <c r="M151" s="7200" t="n"/>
      <c r="N151" s="5538" t="n"/>
      <c r="O151" s="5534" t="n"/>
      <c r="P151" s="5557" t="n"/>
      <c r="Q151" s="5556" t="n"/>
      <c r="R151" s="5557" t="n"/>
      <c r="S151" s="5556" t="n"/>
      <c r="T151" s="5555" t="n"/>
      <c r="U151" s="5556" t="n"/>
      <c r="V151" s="5546" t="n"/>
      <c r="W151" s="5547" t="n"/>
      <c r="X151" s="139" t="n"/>
      <c r="Y151" s="343" t="n"/>
      <c r="Z151" s="5415" t="n"/>
      <c r="AA151" s="5415" t="n"/>
      <c r="AB151" s="5415" t="n"/>
      <c r="AC151" s="5415" t="n"/>
      <c r="AD151" s="5415" t="n"/>
      <c r="AE151" s="5415" t="n"/>
      <c r="AF151" s="5415" t="n"/>
      <c r="AG151" s="5415" t="n"/>
      <c r="AH151" s="5415" t="n"/>
      <c r="AI151" s="5415" t="n"/>
      <c r="AJ151" s="5415" t="n"/>
      <c r="AK151" s="5415" t="n"/>
      <c r="AL151" s="5415" t="n"/>
      <c r="AM151" s="5415" t="n"/>
      <c r="AN151" s="5415" t="n"/>
      <c r="AO151" s="5415" t="n"/>
      <c r="AP151" s="5415" t="n"/>
      <c r="AQ151" s="5415" t="n"/>
      <c r="AR151" s="5415" t="n"/>
      <c r="AS151" s="5415" t="n"/>
      <c r="AT151" s="5415" t="n"/>
      <c r="AU151" s="8648" t="n"/>
      <c r="AV151" s="658" t="n"/>
      <c r="AW151" s="658" t="n"/>
      <c r="AX151" s="658" t="n"/>
      <c r="AY151" s="658" t="n"/>
      <c r="AZ151" s="658" t="n"/>
      <c r="BA151" s="658" t="n"/>
      <c r="BB151" s="658" t="n"/>
      <c r="BC151" s="658" t="n"/>
      <c r="BD151" s="658" t="n"/>
      <c r="BE151" s="658" t="n"/>
      <c r="BF151" s="658" t="n"/>
    </row>
    <row r="152" ht="20.25" customHeight="1" s="7635">
      <c r="A152" s="139" t="n"/>
      <c r="B152" s="5532" t="n"/>
      <c r="C152" s="9398" t="n"/>
      <c r="D152" s="2126" t="n"/>
      <c r="E152" s="1990" t="inlineStr">
        <is>
          <t>on line 1a</t>
        </is>
      </c>
      <c r="F152" s="7200" t="n"/>
      <c r="G152" s="7375" t="inlineStr">
        <is>
          <t>x</t>
        </is>
      </c>
      <c r="H152" s="5536" t="n"/>
      <c r="I152" s="1999" t="inlineStr">
        <is>
          <t>on line 9</t>
        </is>
      </c>
      <c r="J152" s="5536" t="n"/>
      <c r="K152" s="7816" t="inlineStr">
        <is>
          <t>x</t>
        </is>
      </c>
      <c r="L152" s="12349" t="n">
        <v>0.08</v>
      </c>
      <c r="N152" s="7636" t="n"/>
      <c r="O152" s="5534" t="n"/>
      <c r="P152" s="5555" t="n"/>
      <c r="Q152" s="5556" t="n"/>
      <c r="R152" s="5555" t="n"/>
      <c r="S152" s="5556" t="n"/>
      <c r="T152" s="5555" t="n"/>
      <c r="U152" s="5556" t="n"/>
      <c r="V152" s="5546" t="n"/>
      <c r="W152" s="5547" t="n"/>
      <c r="X152" s="139" t="n"/>
      <c r="Y152" s="343" t="n"/>
      <c r="Z152" s="5415" t="n"/>
      <c r="AA152" s="5415" t="n"/>
      <c r="AB152" s="5415" t="n"/>
      <c r="AC152" s="5415" t="n"/>
      <c r="AD152" s="5415" t="n"/>
      <c r="AE152" s="5415" t="n"/>
      <c r="AF152" s="5415" t="n"/>
      <c r="AU152" s="8648" t="n"/>
      <c r="BR152" s="207" t="n"/>
    </row>
    <row r="153" ht="15" customHeight="1" s="7635">
      <c r="A153" s="139" t="n"/>
      <c r="B153" s="5535" t="n"/>
      <c r="C153" s="5536" t="n"/>
      <c r="D153" s="507" t="n"/>
      <c r="E153" s="5536" t="n"/>
      <c r="F153" s="5536" t="n"/>
      <c r="G153" s="5536" t="n"/>
      <c r="H153" s="5536" t="n"/>
      <c r="I153" s="5558">
        <f>DaysInTaxYear</f>
        <v/>
      </c>
      <c r="J153" s="5536" t="n"/>
      <c r="K153" s="5536" t="n"/>
      <c r="L153" s="5536" t="n"/>
      <c r="M153" s="5536" t="n"/>
      <c r="N153" s="5559" t="n"/>
      <c r="O153" s="2918" t="n">
        <v>10</v>
      </c>
      <c r="P153" s="12350">
        <f>IF(OR(P123=""),"",ROUND(P$117*P149/I153*L152,2))</f>
        <v/>
      </c>
      <c r="Q153" s="7638" t="n"/>
      <c r="R153" s="12350">
        <f>IF(OR(R123=""),"",ROUND(R$117*R149/$I153*$L152,2))</f>
        <v/>
      </c>
      <c r="S153" s="7638" t="n"/>
      <c r="T153" s="12350">
        <f>IF(OR(T123=""),"",ROUND(T$117*T149/$I153*$L152,2))</f>
        <v/>
      </c>
      <c r="U153" s="7638" t="n"/>
      <c r="V153" s="5546" t="n"/>
      <c r="W153" s="5547" t="n"/>
      <c r="X153" s="139" t="n"/>
      <c r="Y153" s="343" t="n"/>
      <c r="Z153" s="5415" t="n"/>
      <c r="AA153" s="5415" t="n"/>
      <c r="AB153" s="5415" t="n"/>
      <c r="AC153" s="5415" t="n"/>
      <c r="AD153" s="5415" t="n"/>
      <c r="AE153" s="5415" t="n"/>
      <c r="AF153" s="5415" t="n"/>
      <c r="AU153" s="8648" t="n"/>
      <c r="BR153" s="207" t="n"/>
    </row>
    <row r="154" ht="15" customHeight="1" s="7635">
      <c r="A154" s="144" t="n"/>
      <c r="B154" s="5532" t="n"/>
      <c r="C154" s="7353" t="inlineStr">
        <is>
          <t>Rate Period 4:</t>
        </is>
      </c>
      <c r="D154" s="7353" t="n"/>
      <c r="E154" s="7200" t="n"/>
      <c r="F154" s="7353">
        <f>TEXT(K155,"MMMM D, YYYY")&amp;"—"&amp;TEXT(K156,"MMMM D, YYYY")</f>
        <v/>
      </c>
      <c r="G154" s="7200" t="n"/>
      <c r="H154" s="7200" t="n"/>
      <c r="I154" s="7200" t="n"/>
      <c r="J154" s="7200" t="n"/>
      <c r="K154" s="7200" t="n"/>
      <c r="L154" s="7200" t="n"/>
      <c r="M154" s="7200" t="n"/>
      <c r="N154" s="5538" t="n"/>
      <c r="O154" s="5539" t="n"/>
      <c r="P154" s="12344" t="n"/>
      <c r="Q154" s="11734" t="n"/>
      <c r="R154" s="12344" t="n"/>
      <c r="S154" s="11734" t="n"/>
      <c r="T154" s="5540" t="n"/>
      <c r="U154" s="5541" t="n"/>
      <c r="V154" s="5565" t="n"/>
      <c r="W154" s="5560" t="n"/>
      <c r="X154" s="144" t="n"/>
      <c r="Y154" s="343" t="n"/>
      <c r="Z154" s="5415" t="n"/>
      <c r="AA154" s="5415" t="n"/>
      <c r="AB154" s="5415" t="n"/>
      <c r="AC154" s="5415" t="n"/>
      <c r="AD154" s="5415" t="n"/>
      <c r="AE154" s="5415" t="n"/>
      <c r="AF154" s="5415" t="n"/>
      <c r="AU154" s="8648" t="n"/>
      <c r="BR154" s="207" t="n"/>
    </row>
    <row r="155" ht="16.5" customHeight="1" s="7635">
      <c r="A155" s="139" t="n"/>
      <c r="B155" s="5532" t="n"/>
      <c r="C155" s="9398" t="n">
        <v>11</v>
      </c>
      <c r="D155" s="2126" t="inlineStr">
        <is>
          <t>Computation starting dates for this period</t>
        </is>
      </c>
      <c r="E155" s="7200" t="n"/>
      <c r="F155" s="7200" t="n"/>
      <c r="G155" s="7200" t="n"/>
      <c r="H155" s="7200" t="n"/>
      <c r="I155" s="7200" t="n"/>
      <c r="J155" s="7200" t="n"/>
      <c r="K155" s="12345">
        <f>DATEVALUE("1-Jan-"&amp;TaxYear+1)</f>
        <v/>
      </c>
      <c r="N155" s="7636" t="n"/>
      <c r="O155" s="4502" t="n">
        <v>11</v>
      </c>
      <c r="P155" s="12335">
        <f>$K146</f>
        <v/>
      </c>
      <c r="Q155" s="7638" t="n"/>
      <c r="R155" s="12335">
        <f>$K146</f>
        <v/>
      </c>
      <c r="S155" s="7638" t="n"/>
      <c r="T155" s="12335">
        <f>$K146</f>
        <v/>
      </c>
      <c r="U155" s="7638" t="n"/>
      <c r="V155" s="12336">
        <f>V116</f>
        <v/>
      </c>
      <c r="W155" s="7637" t="n"/>
      <c r="X155" s="139" t="n"/>
      <c r="Y155" s="343" t="n"/>
      <c r="Z155" s="5415" t="n"/>
      <c r="AA155" s="5415" t="n"/>
      <c r="BR155" s="207" t="n"/>
    </row>
    <row r="156" ht="14.25" customHeight="1" s="7635">
      <c r="A156" s="139" t="n"/>
      <c r="B156" s="5532" t="n"/>
      <c r="C156" s="7200" t="n"/>
      <c r="D156" s="7200" t="n"/>
      <c r="E156" s="7200" t="n"/>
      <c r="F156" s="7200" t="n"/>
      <c r="G156" s="7200" t="n"/>
      <c r="H156" s="7200" t="n"/>
      <c r="I156" s="7200" t="n"/>
      <c r="J156" s="7200" t="n"/>
      <c r="K156" s="12345">
        <f>DATEVALUE("15-Apr-"&amp;TaxYear+1)</f>
        <v/>
      </c>
      <c r="N156" s="7636" t="n"/>
      <c r="O156" s="5534" t="n"/>
      <c r="P156" s="12346" t="inlineStr">
        <is>
          <t>Days:</t>
        </is>
      </c>
      <c r="Q156" s="10091" t="n"/>
      <c r="R156" s="12346" t="inlineStr">
        <is>
          <t>Days:</t>
        </is>
      </c>
      <c r="S156" s="10091" t="n"/>
      <c r="T156" s="12346" t="inlineStr">
        <is>
          <t>Days:</t>
        </is>
      </c>
      <c r="U156" s="10091" t="n"/>
      <c r="V156" s="9500" t="inlineStr">
        <is>
          <t>Days:</t>
        </is>
      </c>
      <c r="W156" s="7839" t="n"/>
      <c r="X156" s="139" t="n"/>
      <c r="Y156" s="343" t="n"/>
      <c r="Z156" s="5415" t="n"/>
      <c r="AA156" s="5415" t="n"/>
      <c r="BR156" s="207" t="n"/>
    </row>
    <row r="157" ht="15" customHeight="1" s="7635">
      <c r="A157" s="139" t="n"/>
      <c r="B157" s="5532" t="n"/>
      <c r="C157" s="7200" t="n"/>
      <c r="D157" s="7200" t="n"/>
      <c r="E157" s="7200" t="n"/>
      <c r="F157" s="7200" t="n"/>
      <c r="G157" s="7200" t="n"/>
      <c r="H157" s="7200" t="n"/>
      <c r="I157" s="7200" t="n"/>
      <c r="J157" s="7200" t="n"/>
      <c r="K157" s="7200" t="n"/>
      <c r="L157" s="7200" t="n"/>
      <c r="M157" s="7200" t="n"/>
      <c r="N157" s="5538" t="n"/>
      <c r="O157" s="5534" t="n"/>
      <c r="P157" s="5557" t="n"/>
      <c r="Q157" s="5550" t="n"/>
      <c r="R157" s="5549" t="n"/>
      <c r="S157" s="5550" t="n"/>
      <c r="T157" s="5549" t="n"/>
      <c r="U157" s="5550" t="n"/>
      <c r="V157" s="5549" t="n"/>
      <c r="W157" s="5566" t="n"/>
      <c r="X157" s="139" t="n"/>
      <c r="Y157" s="505" t="n"/>
      <c r="Z157" s="5415" t="n"/>
      <c r="AA157" s="5415" t="n"/>
      <c r="BR157" s="207" t="n"/>
    </row>
    <row r="158" ht="15" customHeight="1" s="7635">
      <c r="A158" s="139" t="n"/>
      <c r="B158" s="5532" t="n"/>
      <c r="C158" s="9398" t="n">
        <v>12</v>
      </c>
      <c r="D158" s="7121" t="inlineStr">
        <is>
          <t xml:space="preserve">Number of days from the date on line 11 to the date the amount </t>
        </is>
      </c>
      <c r="E158" s="7200" t="n"/>
      <c r="F158" s="7200" t="n"/>
      <c r="G158" s="7200" t="n"/>
      <c r="H158" s="7200" t="n"/>
      <c r="I158" s="7200" t="n"/>
      <c r="J158" s="7200" t="n"/>
      <c r="K158" s="7200" t="n"/>
      <c r="L158" s="7200" t="n"/>
      <c r="M158" s="7200" t="n"/>
      <c r="N158" s="5538" t="n"/>
      <c r="O158" s="5534" t="n"/>
      <c r="P158" s="5555" t="n"/>
      <c r="Q158" s="12347">
        <f>IF(P$120=0,$K156,IF(P$120&gt;$K156,$K156,P$120))</f>
        <v/>
      </c>
      <c r="R158" s="5553" t="n"/>
      <c r="S158" s="12347">
        <f>IF(R$12=0,$K156,IF(R$120&gt;$K156,$K156,R$120))</f>
        <v/>
      </c>
      <c r="T158" s="5553" t="n"/>
      <c r="U158" s="12347">
        <f>IF(T$120=0,$K156,IF(T$120&gt;$K156,$K156,T$120))</f>
        <v/>
      </c>
      <c r="V158" s="5553" t="n"/>
      <c r="W158" s="12351">
        <f>IF(V$120=0,$K156,IF(V$120&gt;$K156,$K156,V$120))</f>
        <v/>
      </c>
      <c r="X158" s="139" t="n"/>
      <c r="Y158" s="343" t="n"/>
      <c r="Z158" s="5415" t="n"/>
      <c r="AA158" s="5415" t="n"/>
      <c r="BR158" s="207" t="n"/>
    </row>
    <row r="159" ht="13.5" customHeight="1" s="7635">
      <c r="A159" s="139" t="n"/>
      <c r="B159" s="5532" t="n"/>
      <c r="C159" s="7200" t="n"/>
      <c r="D159" s="7121" t="inlineStr">
        <is>
          <t>on line 1a was paid   or</t>
        </is>
      </c>
      <c r="E159" s="7200" t="n"/>
      <c r="F159" s="7200" t="n"/>
      <c r="G159" s="7121">
        <f>"4/15/"&amp;TaxYear+1-2000&amp;", whichever is earlier"</f>
        <v/>
      </c>
      <c r="H159" s="7200" t="n"/>
      <c r="I159" s="7200" t="n"/>
      <c r="J159" s="7200" t="n"/>
      <c r="K159" s="7200" t="n"/>
      <c r="L159" s="7200" t="n"/>
      <c r="M159" s="7200" t="n"/>
      <c r="N159" s="5445" t="inlineStr">
        <is>
          <t xml:space="preserve">.   .   .   . </t>
        </is>
      </c>
      <c r="O159" s="2918" t="n">
        <v>12</v>
      </c>
      <c r="P159" s="12348">
        <f>IF(OR(P123=""),"",IF(Q158-P155&lt;0,0,SUM(Q158,-P155)))</f>
        <v/>
      </c>
      <c r="Q159" s="7638" t="n"/>
      <c r="R159" s="12348">
        <f>IF(OR(R123=""),"",IF(S158-R155&lt;0,0,SUM(S158,-R155)))</f>
        <v/>
      </c>
      <c r="S159" s="7638" t="n"/>
      <c r="T159" s="12348">
        <f>IF(OR(T123=""),"",IF(U158-T155&lt;0,0,SUM(U158,-T155)))</f>
        <v/>
      </c>
      <c r="U159" s="7638" t="n"/>
      <c r="V159" s="9513">
        <f>IF(OR(V123=""),"",IF(W158-V155&lt;0,0,SUM(W158,-V155)))</f>
        <v/>
      </c>
      <c r="W159" s="7637" t="n"/>
      <c r="X159" s="139" t="n"/>
      <c r="Y159" s="343" t="n"/>
      <c r="Z159" s="5415" t="n"/>
      <c r="AA159" s="5415" t="n"/>
      <c r="BR159" s="207" t="n"/>
    </row>
    <row r="160" ht="15" customHeight="1" s="7635">
      <c r="A160" s="139" t="n"/>
      <c r="B160" s="5532" t="n"/>
      <c r="C160" s="7200" t="n"/>
      <c r="D160" s="7200" t="n"/>
      <c r="E160" s="7200" t="n"/>
      <c r="F160" s="7200" t="n"/>
      <c r="G160" s="7200" t="n"/>
      <c r="H160" s="7200" t="n"/>
      <c r="I160" s="7200" t="n"/>
      <c r="J160" s="7200" t="n"/>
      <c r="K160" s="7200" t="n"/>
      <c r="L160" s="7200" t="n"/>
      <c r="M160" s="7200" t="n"/>
      <c r="N160" s="5538" t="n"/>
      <c r="O160" s="5534" t="n"/>
      <c r="P160" s="5555" t="n"/>
      <c r="Q160" s="5556" t="n"/>
      <c r="R160" s="5555" t="n"/>
      <c r="S160" s="5556" t="n"/>
      <c r="T160" s="5555" t="n"/>
      <c r="U160" s="5556" t="n"/>
      <c r="V160" s="5555" t="n"/>
      <c r="W160" s="5568" t="n"/>
      <c r="X160" s="139" t="n"/>
      <c r="Y160" s="343" t="n"/>
      <c r="Z160" s="5415" t="n"/>
      <c r="AA160" s="5415" t="n"/>
      <c r="BR160" s="207" t="n"/>
    </row>
    <row r="161" ht="15" customHeight="1" s="7635">
      <c r="A161" s="139" t="n"/>
      <c r="B161" s="5532" t="n"/>
      <c r="C161" s="9398" t="n">
        <v>13</v>
      </c>
      <c r="D161" s="7200" t="n"/>
      <c r="E161" s="1990" t="inlineStr">
        <is>
          <t>Underpayment</t>
        </is>
      </c>
      <c r="F161" s="7200" t="n"/>
      <c r="G161" s="7200" t="n"/>
      <c r="H161" s="7121" t="inlineStr">
        <is>
          <t>Number of days</t>
        </is>
      </c>
      <c r="I161" s="9398" t="n"/>
      <c r="J161" s="7200" t="n"/>
      <c r="K161" s="7200" t="n"/>
      <c r="L161" s="7200" t="n"/>
      <c r="M161" s="7200" t="n"/>
      <c r="N161" s="5538" t="n"/>
      <c r="O161" s="5534" t="n"/>
      <c r="P161" s="5557" t="n"/>
      <c r="Q161" s="5556" t="n"/>
      <c r="R161" s="5557" t="n"/>
      <c r="S161" s="5556" t="n"/>
      <c r="T161" s="5555" t="n"/>
      <c r="U161" s="5556" t="n"/>
      <c r="V161" s="5555" t="n"/>
      <c r="W161" s="5568" t="n"/>
      <c r="X161" s="139" t="n"/>
      <c r="Y161" s="343" t="n"/>
      <c r="Z161" s="5415" t="n"/>
      <c r="AA161" s="5415" t="n"/>
      <c r="BR161" s="207" t="n"/>
    </row>
    <row r="162" ht="15" customHeight="1" s="7635">
      <c r="A162" s="139" t="n"/>
      <c r="B162" s="5532" t="n"/>
      <c r="C162" s="9398" t="n"/>
      <c r="D162" s="2126" t="n"/>
      <c r="E162" s="1990" t="inlineStr">
        <is>
          <t>on line 1a</t>
        </is>
      </c>
      <c r="F162" s="7200" t="n"/>
      <c r="G162" s="7375" t="inlineStr">
        <is>
          <t>x</t>
        </is>
      </c>
      <c r="H162" s="5536" t="n"/>
      <c r="I162" s="1999" t="inlineStr">
        <is>
          <t>on line 12</t>
        </is>
      </c>
      <c r="J162" s="5536" t="n"/>
      <c r="K162" s="7816" t="inlineStr">
        <is>
          <t>x</t>
        </is>
      </c>
      <c r="L162" s="12349" t="n">
        <v>0.08</v>
      </c>
      <c r="N162" s="7636" t="n"/>
      <c r="O162" s="5534" t="n"/>
      <c r="P162" s="5555" t="n"/>
      <c r="Q162" s="5556" t="n"/>
      <c r="R162" s="5555" t="n"/>
      <c r="S162" s="5556" t="n"/>
      <c r="T162" s="5555" t="n"/>
      <c r="U162" s="5556" t="n"/>
      <c r="V162" s="5555" t="n"/>
      <c r="W162" s="5568" t="n"/>
      <c r="X162" s="139" t="n"/>
      <c r="Y162" s="343" t="n"/>
      <c r="Z162" s="5415" t="n"/>
      <c r="AA162" s="5415" t="n"/>
      <c r="BR162" s="207" t="n"/>
    </row>
    <row r="163" ht="14.25" customHeight="1" s="7635">
      <c r="A163" s="139" t="n"/>
      <c r="B163" s="5532" t="n"/>
      <c r="C163" s="7200" t="n"/>
      <c r="D163" s="2126" t="n"/>
      <c r="E163" s="7200" t="n"/>
      <c r="F163" s="7200" t="n"/>
      <c r="G163" s="7200" t="n"/>
      <c r="H163" s="7200" t="n"/>
      <c r="I163" s="5569">
        <f>DaysInTaxYear</f>
        <v/>
      </c>
      <c r="J163" s="7200" t="n"/>
      <c r="K163" s="7200" t="n"/>
      <c r="L163" s="7200" t="n"/>
      <c r="M163" s="7200" t="n"/>
      <c r="N163" s="5445" t="n"/>
      <c r="O163" s="2922" t="n">
        <v>13</v>
      </c>
      <c r="P163" s="12350">
        <f>IF(OR(P123=""),"",ROUND(P$117*P159/I163*L162,2))</f>
        <v/>
      </c>
      <c r="Q163" s="7638" t="n"/>
      <c r="R163" s="12350">
        <f>IF(OR(R123=""),"",ROUND(R$117*R159/$I163*$L162,2))</f>
        <v/>
      </c>
      <c r="S163" s="7638" t="n"/>
      <c r="T163" s="12350">
        <f>IF(OR(T123=""),"",ROUND(T$117*T159/$I163*$L162,2))</f>
        <v/>
      </c>
      <c r="U163" s="7638" t="n"/>
      <c r="V163" s="12352">
        <f>IF(OR(V123=""),"",ROUND(V$117*V159/$I163*$L162,2))</f>
        <v/>
      </c>
      <c r="W163" s="7637" t="n"/>
      <c r="X163" s="139" t="n"/>
      <c r="Y163" s="343" t="n"/>
      <c r="Z163" s="5415" t="n"/>
      <c r="AA163" s="5415" t="n"/>
      <c r="BR163" s="207" t="n"/>
    </row>
    <row r="164" ht="14.25" customHeight="1" s="7635">
      <c r="A164" s="139" t="n"/>
      <c r="B164" s="405" t="n"/>
      <c r="C164" s="5570" t="n">
        <v>14</v>
      </c>
      <c r="D164" s="565" t="inlineStr">
        <is>
          <t>Penalty. Add all amounts on lines 4, 7, 10, and 13 in all columns. Enter the total here and on line 19 of Part III,</t>
        </is>
      </c>
      <c r="E164" s="406" t="n"/>
      <c r="F164" s="406" t="n"/>
      <c r="G164" s="406" t="n"/>
      <c r="H164" s="406" t="n"/>
      <c r="I164" s="406" t="n"/>
      <c r="J164" s="406" t="n"/>
      <c r="K164" s="406" t="n"/>
      <c r="L164" s="406" t="n"/>
      <c r="M164" s="406" t="n"/>
      <c r="N164" s="406" t="n"/>
      <c r="O164" s="406" t="n"/>
      <c r="P164" s="406" t="n"/>
      <c r="Q164" s="406" t="n"/>
      <c r="R164" s="406" t="n"/>
      <c r="S164" s="406" t="n"/>
      <c r="T164" s="406" t="n"/>
      <c r="U164" s="406" t="n"/>
      <c r="V164" s="405" t="n"/>
      <c r="W164" s="406" t="n"/>
      <c r="X164" s="139" t="n"/>
      <c r="Y164" s="343" t="n"/>
      <c r="Z164" s="5415" t="n"/>
      <c r="AA164" s="5415" t="n"/>
      <c r="BR164" s="207" t="n"/>
    </row>
    <row r="165" ht="14.25" customHeight="1" s="7635">
      <c r="A165" s="139" t="n"/>
      <c r="B165" s="408" t="n"/>
      <c r="C165" s="11602" t="n"/>
      <c r="D165" s="344" t="inlineStr">
        <is>
          <t>Section B</t>
        </is>
      </c>
      <c r="E165" s="11602" t="n"/>
      <c r="F165" s="11602" t="n"/>
      <c r="G165" s="11602" t="n"/>
      <c r="H165" s="11602" t="n"/>
      <c r="I165" s="11602" t="n"/>
      <c r="J165" s="11602" t="n"/>
      <c r="K165" s="11602" t="n"/>
      <c r="L165" s="11602" t="n"/>
      <c r="M165" s="11602" t="n"/>
      <c r="N165" s="11602" t="n"/>
      <c r="O165" s="11602" t="n"/>
      <c r="P165" s="11602" t="n"/>
      <c r="Q165" s="11602" t="n"/>
      <c r="R165" s="11602" t="n"/>
      <c r="S165" s="11602" t="n"/>
      <c r="T165" s="11602" t="n"/>
      <c r="U165" s="5445" t="inlineStr">
        <is>
          <t xml:space="preserve">.   .   .   .   .   .   .   .   .   .   .   .   .   .   .   .   .   .   .   .   .   .   .   .   .   .   .   .   .   .   .   .   .   .   .   .   .   . </t>
        </is>
      </c>
      <c r="V165" s="12353">
        <f>IF(OR($U$47=0,$U$47="",$P$80),"",ROUND(SUM(P133,R133,P143,R143,T143,P153,R153,T153,P163,R163,T163,V163),2))</f>
        <v/>
      </c>
      <c r="X165" s="139" t="n"/>
      <c r="Y165" s="343" t="n"/>
      <c r="Z165" s="5415" t="n"/>
      <c r="AA165" s="5415" t="n"/>
      <c r="BR165" s="207" t="n"/>
    </row>
    <row r="166" ht="14.25" customHeight="1" s="7635">
      <c r="A166" s="139" t="n"/>
      <c r="B166" s="412" t="n"/>
      <c r="C166" s="413" t="n"/>
      <c r="D166" s="413" t="n"/>
      <c r="E166" s="413" t="n"/>
      <c r="F166" s="413" t="n"/>
      <c r="G166" s="413" t="n"/>
      <c r="H166" s="413" t="n"/>
      <c r="I166" s="413" t="n"/>
      <c r="J166" s="413" t="n"/>
      <c r="K166" s="413" t="n"/>
      <c r="L166" s="413" t="n"/>
      <c r="M166" s="413" t="n"/>
      <c r="N166" s="413" t="n"/>
      <c r="O166" s="413" t="n"/>
      <c r="P166" s="413" t="n"/>
      <c r="Q166" s="413" t="n"/>
      <c r="R166" s="413" t="n"/>
      <c r="S166" s="413" t="n"/>
      <c r="T166" s="413" t="n"/>
      <c r="U166" s="413" t="n"/>
      <c r="V166" s="412" t="n"/>
      <c r="W166" s="413" t="n"/>
      <c r="X166" s="139" t="n"/>
      <c r="Y166" s="343" t="n"/>
      <c r="Z166" s="5415" t="n"/>
      <c r="AA166" s="5415" t="n"/>
      <c r="BR166" s="207" t="n"/>
    </row>
    <row r="167" ht="14.25" customHeight="1" s="7635">
      <c r="A167" s="139" t="n"/>
      <c r="B167" s="406" t="n"/>
      <c r="C167" s="406" t="n"/>
      <c r="D167" s="406" t="n"/>
      <c r="E167" s="406" t="n"/>
      <c r="F167" s="406" t="n"/>
      <c r="G167" s="406" t="n"/>
      <c r="H167" s="406" t="n"/>
      <c r="I167" s="406" t="n"/>
      <c r="J167" s="406" t="n"/>
      <c r="K167" s="406" t="n"/>
      <c r="L167" s="406" t="n"/>
      <c r="M167" s="406" t="n"/>
      <c r="N167" s="406" t="n"/>
      <c r="O167" s="406" t="n"/>
      <c r="P167" s="406" t="n"/>
      <c r="Q167" s="406" t="n"/>
      <c r="R167" s="406" t="n"/>
      <c r="S167" s="406" t="n"/>
      <c r="T167" s="406" t="n"/>
      <c r="U167" s="406" t="n"/>
      <c r="V167" s="406" t="n"/>
      <c r="W167" s="406" t="n"/>
      <c r="X167" s="139" t="n"/>
      <c r="Y167" s="343" t="n"/>
      <c r="Z167" s="5415" t="n"/>
      <c r="AA167" s="5415" t="n"/>
      <c r="BR167" s="207" t="n"/>
    </row>
    <row r="168" ht="14.25" customHeight="1" s="7635">
      <c r="A168" s="139" t="n"/>
      <c r="B168" s="1212">
        <f>"Instructions for Form 2210 ("&amp;TaxYear&amp;")"</f>
        <v/>
      </c>
      <c r="C168" s="11602" t="n"/>
      <c r="D168" s="11602" t="n"/>
      <c r="E168" s="11602" t="n"/>
      <c r="F168" s="11602" t="n"/>
      <c r="G168" s="11602" t="n"/>
      <c r="H168" s="11602" t="n"/>
      <c r="I168" s="11602" t="n"/>
      <c r="J168" s="11602" t="n"/>
      <c r="K168" s="11602" t="n"/>
      <c r="L168" s="11602" t="n"/>
      <c r="M168" s="11602" t="n"/>
      <c r="N168" s="11602" t="n"/>
      <c r="O168" s="5378" t="inlineStr">
        <is>
          <t>-7-</t>
        </is>
      </c>
      <c r="P168" s="11602" t="n"/>
      <c r="Q168" s="11602" t="n"/>
      <c r="R168" s="11602" t="n"/>
      <c r="S168" s="11602" t="n"/>
      <c r="T168" s="11602" t="n"/>
      <c r="U168" s="11602" t="n"/>
      <c r="V168" s="11602" t="n"/>
      <c r="W168" s="5571" t="n"/>
      <c r="X168" s="139" t="n"/>
      <c r="Y168" s="343" t="n"/>
      <c r="Z168" s="5415" t="n"/>
      <c r="AA168" s="5415" t="n"/>
      <c r="BR168" s="207" t="n"/>
    </row>
    <row r="169" ht="14.25" customHeight="1" s="7635">
      <c r="A169" s="139" t="n"/>
      <c r="B169" s="11602" t="n"/>
      <c r="C169" s="11602" t="n"/>
      <c r="D169" s="11602" t="n"/>
      <c r="E169" s="11602" t="n"/>
      <c r="F169" s="11602" t="n"/>
      <c r="G169" s="11602" t="n"/>
      <c r="H169" s="11602" t="n"/>
      <c r="I169" s="11602" t="n"/>
      <c r="J169" s="11602" t="n"/>
      <c r="K169" s="11602" t="n"/>
      <c r="L169" s="11602" t="n"/>
      <c r="M169" s="11602" t="n"/>
      <c r="N169" s="11602" t="n"/>
      <c r="O169" s="11602" t="n"/>
      <c r="P169" s="11602" t="n"/>
      <c r="Q169" s="11602" t="n"/>
      <c r="R169" s="11602" t="n"/>
      <c r="S169" s="11602" t="n"/>
      <c r="T169" s="11602" t="n"/>
      <c r="U169" s="11602" t="n"/>
      <c r="V169" s="11602" t="n"/>
      <c r="W169" s="11602" t="n"/>
      <c r="X169" s="139" t="n"/>
      <c r="Y169" s="343" t="n"/>
      <c r="Z169" s="5415" t="n"/>
      <c r="AA169" s="5415" t="n"/>
      <c r="BR169" s="207" t="n"/>
    </row>
    <row r="170" ht="14.25" customHeight="1" s="7635" thickBot="1">
      <c r="A170" s="139" t="n"/>
      <c r="B170" s="139" t="n"/>
      <c r="C170" s="139" t="n"/>
      <c r="D170" s="139" t="n"/>
      <c r="E170" s="139" t="n"/>
      <c r="F170" s="139" t="n"/>
      <c r="G170" s="139" t="n"/>
      <c r="H170" s="139" t="n"/>
      <c r="I170" s="139" t="n"/>
      <c r="J170" s="139" t="n"/>
      <c r="K170" s="139" t="n"/>
      <c r="L170" s="139" t="n"/>
      <c r="M170" s="139" t="n"/>
      <c r="N170" s="139" t="n"/>
      <c r="O170" s="139" t="n"/>
      <c r="P170" s="139" t="n"/>
      <c r="Q170" s="139" t="n"/>
      <c r="R170" s="139" t="n"/>
      <c r="S170" s="139" t="n"/>
      <c r="T170" s="139" t="n"/>
      <c r="U170" s="139" t="n"/>
      <c r="V170" s="139" t="n"/>
      <c r="W170" s="139" t="n"/>
      <c r="X170" s="139" t="n"/>
      <c r="Y170" s="343" t="n"/>
      <c r="Z170" s="5415" t="n"/>
      <c r="AA170" s="5415" t="n"/>
      <c r="BR170" s="207" t="n"/>
    </row>
    <row r="171" ht="14.25" customHeight="1" s="7635" thickBot="1" thickTop="1">
      <c r="A171" s="11602" t="n"/>
      <c r="B171" s="11602" t="n"/>
      <c r="C171" s="11602" t="n"/>
      <c r="D171" s="11602" t="n"/>
      <c r="E171" s="11602" t="n"/>
      <c r="F171" s="11602" t="n"/>
      <c r="G171" s="11602" t="n"/>
      <c r="H171" s="11602" t="n"/>
      <c r="I171" s="11602" t="n"/>
      <c r="J171" s="11602" t="n"/>
      <c r="K171" s="11602" t="n"/>
      <c r="L171" s="11602" t="n"/>
      <c r="M171" s="11602" t="n"/>
      <c r="N171" s="11602" t="n"/>
      <c r="O171" s="512" t="n"/>
      <c r="P171" s="5572" t="n"/>
      <c r="Q171" s="5573" t="n"/>
      <c r="R171" s="5573" t="n"/>
      <c r="S171" s="5573" t="n"/>
      <c r="T171" s="5573" t="n"/>
      <c r="U171" s="5573" t="n"/>
      <c r="V171" s="5573" t="n"/>
      <c r="W171" s="5573" t="n"/>
      <c r="X171" s="5574" t="n"/>
      <c r="Y171" s="343" t="n"/>
      <c r="BR171" s="207" t="n"/>
    </row>
    <row r="172" ht="14.25" customHeight="1" s="7635">
      <c r="A172" s="11602" t="n"/>
      <c r="B172" s="11602" t="n"/>
      <c r="C172" s="11602" t="n"/>
      <c r="D172" s="11602" t="n"/>
      <c r="E172" s="12354" t="inlineStr">
        <is>
          <t>NOTE:
In each quarter, this spreadsheet uses the latest
date on which the underpayment was paid to determine the penalty.
If multiple payments were made in that quarter, a slightly higher penalty would be calculated.</t>
        </is>
      </c>
      <c r="F172" s="2506" t="n"/>
      <c r="G172" s="2506" t="n"/>
      <c r="H172" s="2506" t="n"/>
      <c r="I172" s="2506" t="n"/>
      <c r="J172" s="2506" t="n"/>
      <c r="K172" s="2614" t="n"/>
      <c r="L172" s="11602" t="n"/>
      <c r="M172" s="11602" t="n"/>
      <c r="N172" s="11602" t="n"/>
      <c r="O172" s="512" t="n"/>
      <c r="P172" s="5575" t="n"/>
      <c r="Q172" s="9256">
        <f>IF($Z$235,"Entries MUST be made in order by date.","Enter taxes paid and withheld here."&amp;CHAR(10)&amp;"- Entries must be in increasing order by date -")</f>
        <v/>
      </c>
      <c r="X172" s="5576" t="n"/>
      <c r="Y172" s="343" t="n"/>
      <c r="BR172" s="207" t="n"/>
    </row>
    <row r="173" ht="14.25" customHeight="1" s="7635">
      <c r="A173" s="11602" t="n"/>
      <c r="B173" s="11602" t="n"/>
      <c r="C173" s="11602" t="n"/>
      <c r="D173" s="11602" t="n"/>
      <c r="E173" s="11741" t="n"/>
      <c r="K173" s="1066" t="n"/>
      <c r="L173" s="11602" t="n"/>
      <c r="M173" s="11602" t="n"/>
      <c r="N173" s="11602" t="n"/>
      <c r="O173" s="512" t="n"/>
      <c r="P173" s="5575" t="n"/>
      <c r="X173" s="5576" t="n"/>
      <c r="Y173" s="343" t="n"/>
      <c r="BR173" s="207" t="n"/>
      <c r="CF173" s="7779" t="n"/>
    </row>
    <row r="174" ht="14.25" customHeight="1" s="7635">
      <c r="A174" s="11602" t="n"/>
      <c r="B174" s="11602" t="n"/>
      <c r="C174" s="11602" t="n"/>
      <c r="D174" s="11602" t="n"/>
      <c r="E174" s="11741" t="n"/>
      <c r="K174" s="1066" t="n"/>
      <c r="L174" s="11602" t="n"/>
      <c r="M174" s="11602" t="n"/>
      <c r="N174" s="11602" t="n"/>
      <c r="O174" s="512" t="n"/>
      <c r="P174" s="5575" t="n"/>
      <c r="X174" s="5576" t="n"/>
      <c r="Y174" s="343" t="n"/>
      <c r="BR174" s="207" t="n"/>
      <c r="CF174" s="7779" t="n"/>
    </row>
    <row r="175" ht="14.25" customHeight="1" s="7635">
      <c r="A175" s="11602" t="n"/>
      <c r="B175" s="11602" t="n"/>
      <c r="C175" s="11602" t="n"/>
      <c r="D175" s="11602" t="n"/>
      <c r="E175" s="11741" t="n"/>
      <c r="K175" s="1066" t="n"/>
      <c r="L175" s="11602" t="n"/>
      <c r="M175" s="11602" t="n"/>
      <c r="N175" s="11602" t="n"/>
      <c r="O175" s="512" t="n"/>
      <c r="P175" s="5575" t="n"/>
      <c r="Q175" s="5415" t="n"/>
      <c r="R175" s="5415" t="n"/>
      <c r="S175" s="5415" t="n"/>
      <c r="T175" s="5415" t="n"/>
      <c r="U175" s="5415" t="n"/>
      <c r="V175" s="5415" t="n"/>
      <c r="W175" s="5415" t="n"/>
      <c r="X175" s="5576" t="n"/>
      <c r="Y175" s="343" t="n"/>
      <c r="BR175" s="207" t="n"/>
    </row>
    <row r="176" ht="14.25" customHeight="1" s="7635">
      <c r="A176" s="11602" t="n"/>
      <c r="B176" s="11602" t="n"/>
      <c r="C176" s="11602" t="n"/>
      <c r="D176" s="11602" t="n"/>
      <c r="E176" s="11741" t="n"/>
      <c r="K176" s="1066" t="n"/>
      <c r="L176" s="11602" t="n"/>
      <c r="M176" s="11602" t="n"/>
      <c r="N176" s="11602" t="n"/>
      <c r="O176" s="512" t="n"/>
      <c r="P176" s="5575" t="n"/>
      <c r="Q176" s="5415" t="n"/>
      <c r="R176" s="5415" t="n"/>
      <c r="S176" s="8788" t="inlineStr">
        <is>
          <t>PYMNT</t>
        </is>
      </c>
      <c r="T176" s="5415" t="n"/>
      <c r="U176" s="5415" t="n"/>
      <c r="V176" s="5415" t="n"/>
      <c r="W176" s="8788" t="inlineStr">
        <is>
          <t>UNDER</t>
        </is>
      </c>
      <c r="X176" s="5576" t="n"/>
      <c r="Y176" s="343" t="n"/>
      <c r="BG176" s="7779" t="n"/>
      <c r="BR176" s="207" t="n"/>
    </row>
    <row r="177" ht="14.25" customHeight="1" s="7635">
      <c r="A177" s="11602" t="n"/>
      <c r="B177" s="11602" t="n"/>
      <c r="C177" s="11602" t="n"/>
      <c r="D177" s="11602" t="n"/>
      <c r="E177" s="11741" t="n"/>
      <c r="K177" s="1066" t="n"/>
      <c r="L177" s="11602" t="n"/>
      <c r="M177" s="11602" t="n"/>
      <c r="N177" s="11602" t="n"/>
      <c r="O177" s="724" t="n"/>
      <c r="P177" s="5575" t="n"/>
      <c r="Q177" s="8788" t="inlineStr">
        <is>
          <t>DATE</t>
        </is>
      </c>
      <c r="R177" s="5415" t="n"/>
      <c r="S177" s="8788" t="inlineStr">
        <is>
          <t>AMT.</t>
        </is>
      </c>
      <c r="T177" s="5415" t="n"/>
      <c r="U177" s="8788" t="inlineStr">
        <is>
          <t>TOTAL</t>
        </is>
      </c>
      <c r="V177" s="5415" t="n"/>
      <c r="W177" s="8788" t="inlineStr">
        <is>
          <t>PYMT</t>
        </is>
      </c>
      <c r="X177" s="5576" t="n"/>
      <c r="Y177" s="343" t="n"/>
      <c r="BG177" s="7779" t="n"/>
      <c r="BR177" s="207" t="n"/>
    </row>
    <row r="178" ht="14.25" customHeight="1" s="7635" thickBot="1">
      <c r="A178" s="11602" t="n"/>
      <c r="B178" s="11602" t="n"/>
      <c r="C178" s="11602" t="n"/>
      <c r="D178" s="11602" t="n"/>
      <c r="E178" s="11743" t="n"/>
      <c r="F178" s="8848" t="n"/>
      <c r="G178" s="8848" t="n"/>
      <c r="H178" s="8848" t="n"/>
      <c r="I178" s="8848" t="n"/>
      <c r="J178" s="8848" t="n"/>
      <c r="K178" s="2627" t="n"/>
      <c r="L178" s="11602" t="n"/>
      <c r="M178" s="11602" t="n"/>
      <c r="N178" s="9255">
        <f>ROW(Q178)</f>
        <v/>
      </c>
      <c r="O178" s="9671" t="n"/>
      <c r="P178" s="5575" t="n"/>
      <c r="Q178" s="12355">
        <f>DATEVALUE("1/1/"&amp;TaxYear)</f>
        <v/>
      </c>
      <c r="R178" s="5415" t="n"/>
      <c r="S178" s="12356" t="n">
        <v>0</v>
      </c>
      <c r="T178" s="5415" t="n"/>
      <c r="U178" s="12357">
        <f>IF(S178&lt;&gt;"",S178,"")</f>
        <v/>
      </c>
      <c r="V178" s="5415" t="n"/>
      <c r="W178" s="12358" t="n"/>
      <c r="X178" s="5576" t="n"/>
      <c r="Y178" s="343" t="n"/>
      <c r="BR178" s="207" t="n"/>
    </row>
    <row r="179" ht="14.25" customHeight="1" s="7635">
      <c r="A179" s="11602" t="n"/>
      <c r="B179" s="11602" t="n"/>
      <c r="C179" s="11602" t="n"/>
      <c r="D179" s="11602" t="n"/>
      <c r="E179" s="5581" t="n"/>
      <c r="F179" s="11602" t="n"/>
      <c r="G179" s="11602" t="n"/>
      <c r="H179" s="11602" t="n"/>
      <c r="I179" s="11602" t="n"/>
      <c r="J179" s="11602" t="n"/>
      <c r="K179" s="11602" t="n"/>
      <c r="L179" s="11602" t="n"/>
      <c r="M179" s="11602" t="n"/>
      <c r="N179" s="9255">
        <f>ROW(U179)</f>
        <v/>
      </c>
      <c r="O179" s="9671" t="n"/>
      <c r="P179" s="5575" t="n"/>
      <c r="Q179" s="12359" t="n"/>
      <c r="R179" s="5415" t="n"/>
      <c r="S179" s="12360" t="n"/>
      <c r="T179" s="1787" t="n"/>
      <c r="U179" s="12361">
        <f>IF(S179&lt;&gt;"",S179,"")</f>
        <v/>
      </c>
      <c r="V179" s="5415" t="n"/>
      <c r="W179" s="12362">
        <f>IF(S179="","",IF(AND(Q179&lt;$P$116,Q180&gt;=$P$116),SUM($P$77,-U179),IF(AND(Q179&lt;$R$116,Q180&gt;=$R$116),SUM($P$77,$R$77,-U179),IF(AND(Q179&lt;$T$116,Q180&gt;=$T$116),SUM($P$77,$R$77,$T$77,-U179),IF(AND(Q179&lt;$V$116,Q180&gt;=$V$116),SUM($P$77,$R$77,$T$77,$V$77,-U179),0)))))</f>
        <v/>
      </c>
      <c r="X179" s="5576" t="n"/>
      <c r="Y179" s="343" t="n"/>
      <c r="Z179" s="12363">
        <f>TEXT(AC54,"mm-dd-yy")</f>
        <v/>
      </c>
      <c r="BR179" s="207" t="n"/>
    </row>
    <row r="180" ht="14.25" customHeight="1" s="7635">
      <c r="A180" s="11602" t="n"/>
      <c r="B180" s="11602" t="n"/>
      <c r="C180" s="11602" t="n"/>
      <c r="D180" s="11602" t="n"/>
      <c r="E180" s="5581" t="n"/>
      <c r="F180" s="11602" t="n"/>
      <c r="G180" s="11602" t="n"/>
      <c r="H180" s="11602" t="n"/>
      <c r="I180" s="11602" t="n"/>
      <c r="J180" s="11602" t="n"/>
      <c r="K180" s="11602" t="n"/>
      <c r="L180" s="11602" t="n"/>
      <c r="M180" s="11602" t="n"/>
      <c r="N180" s="9255">
        <f>ROW(U180)</f>
        <v/>
      </c>
      <c r="O180" s="9671" t="n"/>
      <c r="P180" s="5575" t="n"/>
      <c r="Q180" s="12359" t="n"/>
      <c r="R180" s="5415" t="n"/>
      <c r="S180" s="12364" t="n"/>
      <c r="T180" s="1787" t="n"/>
      <c r="U180" s="12365">
        <f>IF(S180&lt;&gt;"",U179+S180,"")</f>
        <v/>
      </c>
      <c r="V180" s="5415" t="n"/>
      <c r="W180" s="12366">
        <f>IF(S180="","",IF(AND(Q180&lt;$P$116,Q181&gt;=$P$116),SUM($P$77,-U180),IF(AND(Q180&lt;$R$116,Q181&gt;=$R$116),SUM($P$77,$R$77,-U180),IF(AND(Q180&lt;$T$116,Q181&gt;=$T$116),SUM($P$77,$R$77,$T$77,-U180),IF(AND(Q180&lt;$V$116,Q181&gt;=$V$116),SUM($P$77,$R$77,$T$77,$V$77,-U180),0)))))</f>
        <v/>
      </c>
      <c r="X180" s="5576" t="n"/>
      <c r="Y180" s="1318">
        <f>IF(AND(Q180&lt;&gt;"",Q180&lt;Q179),1,0)</f>
        <v/>
      </c>
      <c r="BR180" s="207" t="n"/>
    </row>
    <row r="181" ht="14.25" customHeight="1" s="7635" thickBot="1">
      <c r="A181" s="11602" t="n"/>
      <c r="B181" s="11602" t="n"/>
      <c r="C181" s="11602" t="n"/>
      <c r="D181" s="11602" t="n"/>
      <c r="E181" s="5581" t="n"/>
      <c r="F181" s="11602" t="n"/>
      <c r="G181" s="11602" t="n"/>
      <c r="H181" s="11602" t="n"/>
      <c r="I181" s="11602" t="n"/>
      <c r="J181" s="11602" t="n"/>
      <c r="K181" s="11602" t="n"/>
      <c r="L181" s="11602" t="n"/>
      <c r="M181" s="11602" t="n"/>
      <c r="N181" s="9255">
        <f>ROW(U181)</f>
        <v/>
      </c>
      <c r="O181" s="9671" t="n"/>
      <c r="P181" s="5575" t="n"/>
      <c r="Q181" s="12359" t="n"/>
      <c r="R181" s="5415" t="n"/>
      <c r="S181" s="12364" t="n"/>
      <c r="T181" s="1787" t="n"/>
      <c r="U181" s="12365">
        <f>IF(S181&lt;&gt;"",U180+S181,"")</f>
        <v/>
      </c>
      <c r="V181" s="5415" t="n"/>
      <c r="W181" s="12366">
        <f>IF(S181="","",IF(AND(Q181&lt;$P$116,Q182&gt;=$P$116),SUM($P$77,-U181),IF(AND(Q181&lt;$R$116,Q182&gt;=$R$116),SUM($P$77,$R$77,-U181),IF(AND(Q181&lt;$T$116,Q182&gt;=$T$116),SUM($P$77,$R$77,$T$77,-U181),IF(AND(Q181&lt;$V$116,Q182&gt;=$V$116),SUM($P$77,$R$77,$T$77,$V$77,-U181),0)))))</f>
        <v/>
      </c>
      <c r="X181" s="5576" t="n"/>
      <c r="Y181" s="1318">
        <f>IF(AND(Q181&lt;&gt;"",Q181&lt;Q180),1,0)</f>
        <v/>
      </c>
      <c r="BR181" s="9864" t="n"/>
      <c r="CG181" s="207" t="n"/>
    </row>
    <row r="182" ht="14.25" customHeight="1" s="7635" thickBot="1" thickTop="1">
      <c r="A182" s="11602" t="n"/>
      <c r="B182" s="11602" t="n"/>
      <c r="C182" s="11602" t="n"/>
      <c r="D182" s="11602" t="n"/>
      <c r="E182" s="5581" t="n"/>
      <c r="F182" s="12225" t="inlineStr">
        <is>
          <t>Download Form 2210</t>
        </is>
      </c>
      <c r="G182" s="11825" t="n"/>
      <c r="H182" s="11825" t="n"/>
      <c r="I182" s="11825" t="n"/>
      <c r="J182" s="11825" t="n"/>
      <c r="K182" s="11826" t="n"/>
      <c r="L182" s="11602" t="n"/>
      <c r="M182" s="11602" t="n"/>
      <c r="N182" s="9255">
        <f>ROW(U182)</f>
        <v/>
      </c>
      <c r="O182" s="9671" t="n"/>
      <c r="P182" s="5575" t="n"/>
      <c r="Q182" s="12359" t="n"/>
      <c r="R182" s="5415" t="n"/>
      <c r="S182" s="12364" t="n"/>
      <c r="T182" s="1787" t="n"/>
      <c r="U182" s="12365">
        <f>IF(S182&lt;&gt;"",U181+S182,"")</f>
        <v/>
      </c>
      <c r="V182" s="5415" t="n"/>
      <c r="W182" s="12366">
        <f>IF(S182="","",IF(AND(Q182&lt;$P$116,Q183&gt;=$P$116),SUM($P$77,-U182),IF(AND(Q182&lt;$R$116,Q183&gt;=$R$116),SUM($P$77,$R$77,-U182),IF(AND(Q182&lt;$T$116,Q183&gt;=$T$116),SUM($P$77,$R$77,$T$77,-U182),IF(AND(Q182&lt;$V$116,Q183&gt;=$V$116),SUM($P$77,$R$77,$T$77,$V$77,-U182),0)))))</f>
        <v/>
      </c>
      <c r="X182" s="5576" t="n"/>
      <c r="Y182" s="1318">
        <f>IF(AND(Q182&lt;&gt;"",Q182&lt;Q181),1,0)</f>
        <v/>
      </c>
      <c r="BR182" s="7779" t="n"/>
      <c r="CG182" s="9864" t="n"/>
    </row>
    <row r="183" ht="14.25" customHeight="1" s="7635" thickBot="1" thickTop="1">
      <c r="A183" s="11602" t="n"/>
      <c r="B183" s="11602" t="n"/>
      <c r="C183" s="11602" t="n"/>
      <c r="D183" s="11602" t="n"/>
      <c r="E183" s="5581" t="n"/>
      <c r="F183" s="11602" t="n"/>
      <c r="G183" s="11602" t="n"/>
      <c r="H183" s="11602" t="n"/>
      <c r="I183" s="11602" t="n"/>
      <c r="J183" s="11602" t="n"/>
      <c r="K183" s="11602" t="n"/>
      <c r="L183" s="11602" t="n"/>
      <c r="M183" s="11602" t="n"/>
      <c r="N183" s="9255">
        <f>ROW(U183)</f>
        <v/>
      </c>
      <c r="O183" s="9671" t="n"/>
      <c r="P183" s="5575" t="n"/>
      <c r="Q183" s="12359" t="n"/>
      <c r="R183" s="5415" t="n"/>
      <c r="S183" s="12364" t="n"/>
      <c r="T183" s="1787" t="n"/>
      <c r="U183" s="12365">
        <f>IF(S183&lt;&gt;"",U182+S183,"")</f>
        <v/>
      </c>
      <c r="V183" s="5415" t="n"/>
      <c r="W183" s="12366">
        <f>IF(S183="","",IF(AND(Q183&lt;$P$116,Q184&gt;=$P$116),SUM($P$77,-U183),IF(AND(Q183&lt;$R$116,Q184&gt;=$R$116),SUM($P$77,$R$77,-U183),IF(AND(Q183&lt;$T$116,Q184&gt;=$T$116),SUM($P$77,$R$77,$T$77,-U183),IF(AND(Q183&lt;$V$116,Q184&gt;=$V$116),SUM($P$77,$R$77,$T$77,$V$77,-U183),0)))))</f>
        <v/>
      </c>
      <c r="X183" s="5576" t="n"/>
      <c r="Y183" s="1318">
        <f>IF(AND(Q183&lt;&gt;"",Q183&lt;Q182),1,0)</f>
        <v/>
      </c>
      <c r="BR183" s="7779" t="n"/>
      <c r="CG183" s="7779" t="n"/>
    </row>
    <row r="184" ht="14.25" customHeight="1" s="7635" thickBot="1" thickTop="1">
      <c r="A184" s="11602" t="n"/>
      <c r="B184" s="11602" t="n"/>
      <c r="C184" s="11602" t="n"/>
      <c r="D184" s="11602" t="n"/>
      <c r="E184" s="5581" t="n"/>
      <c r="F184" s="12084" t="inlineStr">
        <is>
          <t>Download Form 2210 Instructions</t>
        </is>
      </c>
      <c r="G184" s="11825" t="n"/>
      <c r="H184" s="11825" t="n"/>
      <c r="I184" s="11825" t="n"/>
      <c r="J184" s="11825" t="n"/>
      <c r="K184" s="11826" t="n"/>
      <c r="L184" s="11602" t="n"/>
      <c r="M184" s="11602" t="n"/>
      <c r="N184" s="9255">
        <f>ROW(U184)</f>
        <v/>
      </c>
      <c r="O184" s="9671" t="n"/>
      <c r="P184" s="5575" t="n"/>
      <c r="Q184" s="12359" t="n"/>
      <c r="R184" s="5415" t="n"/>
      <c r="S184" s="12364" t="n"/>
      <c r="T184" s="1787" t="n"/>
      <c r="U184" s="12365">
        <f>IF(S184&lt;&gt;"",U183+S184,"")</f>
        <v/>
      </c>
      <c r="V184" s="5415" t="n"/>
      <c r="W184" s="12366">
        <f>IF(S184="","",IF(AND(Q184&lt;$P$116,Q185&gt;=$P$116),SUM($P$77,-U184),IF(AND(Q184&lt;$R$116,Q185&gt;=$R$116),SUM($P$77,$R$77,-U184),IF(AND(Q184&lt;$T$116,Q185&gt;=$T$116),SUM($P$77,$R$77,$T$77,-U184),IF(AND(Q184&lt;$V$116,Q185&gt;=$V$116),SUM($P$77,$R$77,$T$77,$V$77,-U184),0)))))</f>
        <v/>
      </c>
      <c r="X184" s="5576" t="n"/>
      <c r="Y184" s="1318">
        <f>IF(AND(Q184&lt;&gt;"",Q184&lt;Q183),1,0)</f>
        <v/>
      </c>
      <c r="BR184" s="7779" t="n"/>
      <c r="CG184" s="7779" t="n"/>
    </row>
    <row r="185" ht="14.25" customHeight="1" s="7635" thickTop="1">
      <c r="A185" s="11602" t="n"/>
      <c r="B185" s="11602" t="n"/>
      <c r="C185" s="11602" t="n"/>
      <c r="D185" s="11602" t="n"/>
      <c r="E185" s="5581" t="n"/>
      <c r="F185" s="11602" t="n"/>
      <c r="G185" s="11602" t="n"/>
      <c r="H185" s="11602" t="n"/>
      <c r="I185" s="11602" t="n"/>
      <c r="J185" s="11602" t="n"/>
      <c r="K185" s="11602" t="n"/>
      <c r="L185" s="11602" t="n"/>
      <c r="M185" s="11602" t="n"/>
      <c r="N185" s="9255">
        <f>ROW(U185)</f>
        <v/>
      </c>
      <c r="O185" s="9671" t="n"/>
      <c r="P185" s="5575" t="n"/>
      <c r="Q185" s="12359" t="n"/>
      <c r="R185" s="5415" t="n"/>
      <c r="S185" s="12364" t="n"/>
      <c r="T185" s="1787" t="n"/>
      <c r="U185" s="12365">
        <f>IF(S185&lt;&gt;"",U184+S185,"")</f>
        <v/>
      </c>
      <c r="V185" s="5415" t="n"/>
      <c r="W185" s="12366">
        <f>IF(S185="","",IF(AND(Q185&lt;$P$116,Q186&gt;=$P$116),SUM($P$77,-U185),IF(AND(Q185&lt;$R$116,Q186&gt;=$R$116),SUM($P$77,$R$77,-U185),IF(AND(Q185&lt;$T$116,Q186&gt;=$T$116),SUM($P$77,$R$77,$T$77,-U185),IF(AND(Q185&lt;$V$116,Q186&gt;=$V$116),SUM($P$77,$R$77,$T$77,$V$77,-U185),0)))))</f>
        <v/>
      </c>
      <c r="X185" s="5576" t="n"/>
      <c r="Y185" s="1318">
        <f>IF(AND(Q185&lt;&gt;"",Q185&lt;Q184),1,0)</f>
        <v/>
      </c>
      <c r="CG185" s="7779" t="n"/>
      <c r="CH185" s="207" t="n"/>
    </row>
    <row r="186" ht="14.25" customHeight="1" s="7635">
      <c r="A186" s="11602" t="n"/>
      <c r="B186" s="11602" t="n"/>
      <c r="C186" s="11602" t="n"/>
      <c r="D186" s="11602" t="n"/>
      <c r="E186" s="5581" t="n"/>
      <c r="F186" s="11602" t="n"/>
      <c r="G186" s="11602" t="n"/>
      <c r="H186" s="11602" t="n"/>
      <c r="I186" s="11602" t="n"/>
      <c r="J186" s="11602" t="n"/>
      <c r="K186" s="11602" t="n"/>
      <c r="L186" s="11602" t="n"/>
      <c r="M186" s="11602" t="n"/>
      <c r="N186" s="9255">
        <f>ROW(U186)</f>
        <v/>
      </c>
      <c r="O186" s="9671" t="n"/>
      <c r="P186" s="5575" t="n"/>
      <c r="Q186" s="12359" t="n"/>
      <c r="R186" s="5415" t="n"/>
      <c r="S186" s="12364" t="n"/>
      <c r="T186" s="1787" t="n"/>
      <c r="U186" s="12365">
        <f>IF(S186&lt;&gt;"",U185+S186,"")</f>
        <v/>
      </c>
      <c r="V186" s="5415" t="n"/>
      <c r="W186" s="12366">
        <f>IF(S186="","",IF(AND(Q186&lt;$P$116,Q187&gt;=$P$116),SUM($P$77,-U186),IF(AND(Q186&lt;$R$116,Q187&gt;=$R$116),SUM($P$77,$R$77,-U186),IF(AND(Q186&lt;$T$116,Q187&gt;=$T$116),SUM($P$77,$R$77,$T$77,-U186),IF(AND(Q186&lt;$V$116,Q187&gt;=$V$116),SUM($P$77,$R$77,$T$77,$V$77,-U186),0)))))</f>
        <v/>
      </c>
      <c r="X186" s="5576" t="n"/>
      <c r="Y186" s="1318">
        <f>IF(AND(Q186&lt;&gt;"",Q186&lt;Q185),1,0)</f>
        <v/>
      </c>
      <c r="CF186" s="9864" t="n"/>
      <c r="CH186" s="9864" t="n"/>
    </row>
    <row r="187" ht="12.75" customHeight="1" s="7635">
      <c r="A187" s="11602" t="n"/>
      <c r="B187" s="11602" t="n"/>
      <c r="C187" s="11602" t="n"/>
      <c r="D187" s="11602" t="n"/>
      <c r="E187" s="5581" t="n"/>
      <c r="F187" s="11602" t="n"/>
      <c r="G187" s="11602" t="n"/>
      <c r="H187" s="11602" t="n"/>
      <c r="I187" s="11602" t="n"/>
      <c r="J187" s="11602" t="n"/>
      <c r="K187" s="11602" t="n"/>
      <c r="L187" s="11602" t="n"/>
      <c r="M187" s="11602" t="n"/>
      <c r="N187" s="9255">
        <f>ROW(U187)</f>
        <v/>
      </c>
      <c r="O187" s="9671" t="n"/>
      <c r="P187" s="5575" t="n"/>
      <c r="Q187" s="12359" t="n"/>
      <c r="R187" s="5415" t="n"/>
      <c r="S187" s="12364" t="n"/>
      <c r="T187" s="1787" t="n"/>
      <c r="U187" s="12365">
        <f>IF(S187&lt;&gt;"",U186+S187,"")</f>
        <v/>
      </c>
      <c r="V187" s="5415" t="n"/>
      <c r="W187" s="12366">
        <f>IF(S187="","",IF(AND(Q187&lt;$P$116,Q188&gt;=$P$116),SUM($P$77,-U187),IF(AND(Q187&lt;$R$116,Q188&gt;=$R$116),SUM($P$77,$R$77,-U187),IF(AND(Q187&lt;$T$116,Q188&gt;=$T$116),SUM($P$77,$R$77,$T$77,-U187),IF(AND(Q187&lt;$V$116,Q188&gt;=$V$116),SUM($P$77,$R$77,$T$77,$V$77,-U187),0)))))</f>
        <v/>
      </c>
      <c r="X187" s="5576" t="n"/>
      <c r="Y187" s="1318">
        <f>IF(AND(Q187&lt;&gt;"",Q187&lt;Q186),1,0)</f>
        <v/>
      </c>
      <c r="CH187" s="7779" t="n"/>
    </row>
    <row r="188" ht="12.75" customHeight="1" s="7635">
      <c r="E188" s="1449" t="n"/>
      <c r="N188" s="9255">
        <f>ROW(U188)</f>
        <v/>
      </c>
      <c r="O188" s="9671" t="n"/>
      <c r="P188" s="5575" t="n"/>
      <c r="Q188" s="12359" t="n"/>
      <c r="R188" s="5415" t="n"/>
      <c r="S188" s="12364" t="n"/>
      <c r="T188" s="1787" t="n"/>
      <c r="U188" s="12365">
        <f>IF(S188&lt;&gt;"",U187+S188,"")</f>
        <v/>
      </c>
      <c r="V188" s="5415" t="n"/>
      <c r="W188" s="12366">
        <f>IF(S188="","",IF(AND(Q188&lt;$P$116,Q189&gt;=$P$116),SUM($P$77,-U188),IF(AND(Q188&lt;$R$116,Q189&gt;=$R$116),SUM($P$77,$R$77,-U188),IF(AND(Q188&lt;$T$116,Q189&gt;=$T$116),SUM($P$77,$R$77,$T$77,-U188),IF(AND(Q188&lt;$V$116,Q189&gt;=$V$116),SUM($P$77,$R$77,$T$77,$V$77,-U188),0)))))</f>
        <v/>
      </c>
      <c r="X188" s="5576" t="n"/>
      <c r="Y188" s="1318">
        <f>IF(AND(Q188&lt;&gt;"",Q188&lt;Q187),1,0)</f>
        <v/>
      </c>
      <c r="CH188" s="7779" t="n"/>
    </row>
    <row r="189" ht="17.25" customHeight="1" s="7635">
      <c r="N189" s="9255">
        <f>ROW(U189)</f>
        <v/>
      </c>
      <c r="O189" s="9671" t="n"/>
      <c r="P189" s="5575" t="n"/>
      <c r="Q189" s="12359" t="n"/>
      <c r="R189" s="5415" t="n"/>
      <c r="S189" s="12364" t="n"/>
      <c r="T189" s="1787" t="n"/>
      <c r="U189" s="12365">
        <f>IF(S189&lt;&gt;"",U188+S189,"")</f>
        <v/>
      </c>
      <c r="V189" s="5415" t="n"/>
      <c r="W189" s="12366">
        <f>IF(S189="","",IF(AND(Q189&lt;$P$116,Q190&gt;=$P$116),SUM($P$77,-U189),IF(AND(Q189&lt;$R$116,Q190&gt;=$R$116),SUM($P$77,$R$77,-U189),IF(AND(Q189&lt;$T$116,Q190&gt;=$T$116),SUM($P$77,$R$77,$T$77,-U189),IF(AND(Q189&lt;$V$116,Q190&gt;=$V$116),SUM($P$77,$R$77,$T$77,$V$77,-U189),0)))))</f>
        <v/>
      </c>
      <c r="X189" s="5576" t="n"/>
      <c r="Y189" s="1318">
        <f>IF(AND(Q189&lt;&gt;"",Q189&lt;Q188),1,0)</f>
        <v/>
      </c>
      <c r="BG189" s="9864" t="n"/>
      <c r="BH189" s="9864" t="n"/>
      <c r="CB189" s="9864" t="n"/>
      <c r="CC189" s="9864" t="n"/>
      <c r="CD189" s="9864" t="n"/>
      <c r="CE189" s="9864" t="n"/>
      <c r="CH189" s="7779" t="n"/>
    </row>
    <row r="190" ht="16.5" customHeight="1" s="7635">
      <c r="N190" s="9255">
        <f>ROW(U190)</f>
        <v/>
      </c>
      <c r="O190" s="9671" t="n"/>
      <c r="P190" s="5575" t="n"/>
      <c r="Q190" s="12359" t="n"/>
      <c r="R190" s="5415" t="n"/>
      <c r="S190" s="12364" t="n"/>
      <c r="T190" s="1787" t="n"/>
      <c r="U190" s="12365">
        <f>IF(S190&lt;&gt;"",U189+S190,"")</f>
        <v/>
      </c>
      <c r="V190" s="5415" t="n"/>
      <c r="W190" s="12366">
        <f>IF(S190="","",IF(AND(Q190&lt;$P$116,Q191&gt;=$P$116),SUM($P$77,-U190),IF(AND(Q190&lt;$R$116,Q191&gt;=$R$116),SUM($P$77,$R$77,-U190),IF(AND(Q190&lt;$T$116,Q191&gt;=$T$116),SUM($P$77,$R$77,$T$77,-U190),IF(AND(Q190&lt;$V$116,Q191&gt;=$V$116),SUM($P$77,$R$77,$T$77,$V$77,-U190),0)))))</f>
        <v/>
      </c>
      <c r="X190" s="5576" t="n"/>
      <c r="Y190" s="1318">
        <f>IF(AND(Q190&lt;&gt;"",Q190&lt;Q189),1,0)</f>
        <v/>
      </c>
    </row>
    <row r="191" ht="13.5" customHeight="1" s="7635">
      <c r="E191" s="1449" t="n"/>
      <c r="N191" s="9255">
        <f>ROW(U191)</f>
        <v/>
      </c>
      <c r="O191" s="9671" t="n"/>
      <c r="P191" s="5575" t="n"/>
      <c r="Q191" s="12359" t="n"/>
      <c r="R191" s="5415" t="n"/>
      <c r="S191" s="12364" t="n"/>
      <c r="T191" s="1787" t="n"/>
      <c r="U191" s="12365">
        <f>IF(S191&lt;&gt;"",U190+S191,"")</f>
        <v/>
      </c>
      <c r="V191" s="5415" t="n"/>
      <c r="W191" s="12366">
        <f>IF(S191="","",IF(AND(Q191&lt;$P$116,Q192&gt;=$P$116),SUM($P$77,-U191),IF(AND(Q191&lt;$R$116,Q192&gt;=$R$116),SUM($P$77,$R$77,-U191),IF(AND(Q191&lt;$T$116,Q192&gt;=$T$116),SUM($P$77,$R$77,$T$77,-U191),IF(AND(Q191&lt;$V$116,Q192&gt;=$V$116),SUM($P$77,$R$77,$T$77,$V$77,-U191),0)))))</f>
        <v/>
      </c>
      <c r="X191" s="5576" t="n"/>
      <c r="Y191" s="1318">
        <f>IF(AND(Q191&lt;&gt;"",Q191&lt;Q190),1,0)</f>
        <v/>
      </c>
    </row>
    <row r="192" ht="13.5" customHeight="1" s="7635">
      <c r="E192" s="5587" t="n"/>
      <c r="N192" s="9255">
        <f>ROW(U192)</f>
        <v/>
      </c>
      <c r="O192" s="9671" t="n"/>
      <c r="P192" s="5575" t="n"/>
      <c r="Q192" s="12359" t="n"/>
      <c r="R192" s="5415" t="n"/>
      <c r="S192" s="12364" t="n"/>
      <c r="T192" s="1787" t="n"/>
      <c r="U192" s="12365">
        <f>IF(S192&lt;&gt;"",U191+S192,"")</f>
        <v/>
      </c>
      <c r="V192" s="5415" t="n"/>
      <c r="W192" s="12366">
        <f>IF(S192="","",IF(AND(Q192&lt;$P$116,Q193&gt;=$P$116),SUM($P$77,-U192),IF(AND(Q192&lt;$R$116,Q193&gt;=$R$116),SUM($P$77,$R$77,-U192),IF(AND(Q192&lt;$T$116,Q193&gt;=$T$116),SUM($P$77,$R$77,$T$77,-U192),IF(AND(Q192&lt;$V$116,Q193&gt;=$V$116),SUM($P$77,$R$77,$T$77,$V$77,-U192),0)))))</f>
        <v/>
      </c>
      <c r="X192" s="5576" t="n"/>
      <c r="Y192" s="1318">
        <f>IF(AND(Q192&lt;&gt;"",Q192&lt;Q191),1,0)</f>
        <v/>
      </c>
      <c r="CI192" s="207" t="n"/>
    </row>
    <row r="193" ht="12.75" customHeight="1" s="7635">
      <c r="E193" s="5587" t="n"/>
      <c r="N193" s="9255">
        <f>ROW(U193)</f>
        <v/>
      </c>
      <c r="O193" s="9671" t="n"/>
      <c r="P193" s="5575" t="n"/>
      <c r="Q193" s="12359" t="n"/>
      <c r="R193" s="5415" t="n"/>
      <c r="S193" s="12364" t="n"/>
      <c r="T193" s="1787" t="n"/>
      <c r="U193" s="12365">
        <f>IF(S193&lt;&gt;"",U192+S193,"")</f>
        <v/>
      </c>
      <c r="V193" s="5415" t="n"/>
      <c r="W193" s="12366">
        <f>IF(S193="","",IF(AND(Q193&lt;$P$116,Q194&gt;=$P$116),SUM($P$77,-U193),IF(AND(Q193&lt;$R$116,Q194&gt;=$R$116),SUM($P$77,$R$77,-U193),IF(AND(Q193&lt;$T$116,Q194&gt;=$T$116),SUM($P$77,$R$77,$T$77,-U193),IF(AND(Q193&lt;$V$116,Q194&gt;=$V$116),SUM($P$77,$R$77,$T$77,$V$77,-U193),0)))))</f>
        <v/>
      </c>
      <c r="X193" s="5576" t="n"/>
      <c r="Y193" s="1318">
        <f>IF(AND(Q193&lt;&gt;"",Q193&lt;Q192),1,0)</f>
        <v/>
      </c>
      <c r="CI193" s="9864" t="n"/>
    </row>
    <row r="194" ht="12.75" customHeight="1" s="7635">
      <c r="E194" s="5587" t="n"/>
      <c r="N194" s="9255">
        <f>ROW(U194)</f>
        <v/>
      </c>
      <c r="O194" s="9671" t="n"/>
      <c r="P194" s="5575" t="n"/>
      <c r="Q194" s="12359" t="n"/>
      <c r="R194" s="5415" t="n"/>
      <c r="S194" s="12364" t="n"/>
      <c r="T194" s="1787" t="n"/>
      <c r="U194" s="12365">
        <f>IF(S194&lt;&gt;"",U193+S194,"")</f>
        <v/>
      </c>
      <c r="V194" s="5415" t="n"/>
      <c r="W194" s="12366">
        <f>IF(S194="","",IF(AND(Q194&lt;$P$116,Q195&gt;=$P$116),SUM($P$77,-U194),IF(AND(Q194&lt;$R$116,Q195&gt;=$R$116),SUM($P$77,$R$77,-U194),IF(AND(Q194&lt;$T$116,Q195&gt;=$T$116),SUM($P$77,$R$77,$T$77,-U194),IF(AND(Q194&lt;$V$116,Q195&gt;=$V$116),SUM($P$77,$R$77,$T$77,$V$77,-U194),0)))))</f>
        <v/>
      </c>
      <c r="X194" s="5576" t="n"/>
      <c r="Y194" s="1318">
        <f>IF(AND(Q194&lt;&gt;"",Q194&lt;Q193),1,0)</f>
        <v/>
      </c>
      <c r="CI194" s="7779" t="n"/>
    </row>
    <row r="195" ht="13.5" customHeight="1" s="7635">
      <c r="E195" s="5587" t="n"/>
      <c r="N195" s="9255">
        <f>ROW(U195)</f>
        <v/>
      </c>
      <c r="O195" s="9671" t="n"/>
      <c r="P195" s="5575" t="n"/>
      <c r="Q195" s="12359" t="n"/>
      <c r="R195" s="5415" t="n"/>
      <c r="S195" s="12364" t="n"/>
      <c r="T195" s="1787" t="n"/>
      <c r="U195" s="12365">
        <f>IF(S195&lt;&gt;"",U194+S195,"")</f>
        <v/>
      </c>
      <c r="V195" s="5415" t="n"/>
      <c r="W195" s="12366">
        <f>IF(S195="","",IF(AND(Q195&lt;$P$116,Q196&gt;=$P$116),SUM($P$77,-U195),IF(AND(Q195&lt;$R$116,Q196&gt;=$R$116),SUM($P$77,$R$77,-U195),IF(AND(Q195&lt;$T$116,Q196&gt;=$T$116),SUM($P$77,$R$77,$T$77,-U195),IF(AND(Q195&lt;$V$116,Q196&gt;=$V$116),SUM($P$77,$R$77,$T$77,$V$77,-U195),0)))))</f>
        <v/>
      </c>
      <c r="X195" s="5576" t="n"/>
      <c r="Y195" s="1318">
        <f>IF(AND(Q195&lt;&gt;"",Q195&lt;Q194),1,0)</f>
        <v/>
      </c>
      <c r="BR195" s="9864" t="n"/>
      <c r="CI195" s="7779" t="n"/>
    </row>
    <row r="196" ht="13.5" customHeight="1" s="7635">
      <c r="E196" s="5587" t="n"/>
      <c r="N196" s="9255">
        <f>ROW(U196)</f>
        <v/>
      </c>
      <c r="O196" s="9671" t="n"/>
      <c r="P196" s="5575" t="n"/>
      <c r="Q196" s="12359" t="n"/>
      <c r="R196" s="5415" t="n"/>
      <c r="S196" s="12364" t="n"/>
      <c r="T196" s="1787" t="n"/>
      <c r="U196" s="12365">
        <f>IF(S196&lt;&gt;"",U195+S196,"")</f>
        <v/>
      </c>
      <c r="V196" s="5415" t="n"/>
      <c r="W196" s="12366">
        <f>IF(S196="","",IF(AND(Q196&lt;$P$116,Q197&gt;=$P$116),SUM($P$77,-U196),IF(AND(Q196&lt;$R$116,Q197&gt;=$R$116),SUM($P$77,$R$77,-U196),IF(AND(Q196&lt;$T$116,Q197&gt;=$T$116),SUM($P$77,$R$77,$T$77,-U196),IF(AND(Q196&lt;$V$116,Q197&gt;=$V$116),SUM($P$77,$R$77,$T$77,$V$77,-U196),0)))))</f>
        <v/>
      </c>
      <c r="X196" s="5576" t="n"/>
      <c r="Y196" s="1318">
        <f>IF(AND(Q196&lt;&gt;"",Q196&lt;Q195),1,0)</f>
        <v/>
      </c>
      <c r="CF196" s="9864" t="n"/>
      <c r="CG196" s="9864" t="n"/>
      <c r="CI196" s="7779" t="n"/>
    </row>
    <row r="197">
      <c r="E197" s="5587" t="n"/>
      <c r="N197" s="9255">
        <f>ROW(U197)</f>
        <v/>
      </c>
      <c r="O197" s="9671" t="n"/>
      <c r="P197" s="5575" t="n"/>
      <c r="Q197" s="12359" t="n"/>
      <c r="R197" s="5415" t="n"/>
      <c r="S197" s="12364" t="n"/>
      <c r="T197" s="1787" t="n"/>
      <c r="U197" s="12365">
        <f>IF(S197&lt;&gt;"",U196+S197,"")</f>
        <v/>
      </c>
      <c r="V197" s="5415" t="n"/>
      <c r="W197" s="12366">
        <f>IF(S197="","",IF(AND(Q197&lt;$P$116,Q198&gt;=$P$116),SUM($P$77,-U197),IF(AND(Q197&lt;$R$116,Q198&gt;=$R$116),SUM($P$77,$R$77,-U197),IF(AND(Q197&lt;$T$116,Q198&gt;=$T$116),SUM($P$77,$R$77,$T$77,-U197),IF(AND(Q197&lt;$V$116,Q198&gt;=$V$116),SUM($P$77,$R$77,$T$77,$V$77,-U197),0)))))</f>
        <v/>
      </c>
      <c r="X197" s="5576" t="n"/>
      <c r="Y197" s="1318">
        <f>IF(AND(Q197&lt;&gt;"",Q197&lt;Q196),1,0)</f>
        <v/>
      </c>
    </row>
    <row r="198" ht="13.5" customHeight="1" s="7635">
      <c r="E198" s="5587" t="n"/>
      <c r="N198" s="9255">
        <f>ROW(U198)</f>
        <v/>
      </c>
      <c r="O198" s="9671" t="n"/>
      <c r="P198" s="5575" t="n"/>
      <c r="Q198" s="12359" t="n"/>
      <c r="R198" s="5415" t="n"/>
      <c r="S198" s="12364" t="n"/>
      <c r="T198" s="1787" t="n"/>
      <c r="U198" s="12365">
        <f>IF(S198&lt;&gt;"",U197+S198,"")</f>
        <v/>
      </c>
      <c r="V198" s="5415" t="n"/>
      <c r="W198" s="12366">
        <f>IF(S198="","",IF(AND(Q198&lt;$P$116,Q199&gt;=$P$116),SUM($P$77,-U198),IF(AND(Q198&lt;$R$116,Q199&gt;=$R$116),SUM($P$77,$R$77,-U198),IF(AND(Q198&lt;$T$116,Q199&gt;=$T$116),SUM($P$77,$R$77,$T$77,-U198),IF(AND(Q198&lt;$V$116,Q199&gt;=$V$116),SUM($P$77,$R$77,$T$77,$V$77,-U198),0)))))</f>
        <v/>
      </c>
      <c r="X198" s="5576" t="n"/>
      <c r="Y198" s="1318">
        <f>IF(AND(Q198&lt;&gt;"",Q198&lt;Q197),1,0)</f>
        <v/>
      </c>
    </row>
    <row r="199" ht="13.5" customHeight="1" s="7635">
      <c r="E199" s="5587" t="n"/>
      <c r="N199" s="9255">
        <f>ROW(U199)</f>
        <v/>
      </c>
      <c r="O199" s="9671" t="n"/>
      <c r="P199" s="5575" t="n"/>
      <c r="Q199" s="12359" t="n"/>
      <c r="R199" s="5415" t="n"/>
      <c r="S199" s="12364" t="n"/>
      <c r="T199" s="1787" t="n"/>
      <c r="U199" s="12365">
        <f>IF(S199&lt;&gt;"",U198+S199,"")</f>
        <v/>
      </c>
      <c r="V199" s="5415" t="n"/>
      <c r="W199" s="12366">
        <f>IF(S199="","",IF(AND(Q199&lt;$P$116,Q200&gt;=$P$116),SUM($P$77,-U199),IF(AND(Q199&lt;$R$116,Q200&gt;=$R$116),SUM($P$77,$R$77,-U199),IF(AND(Q199&lt;$T$116,Q200&gt;=$T$116),SUM($P$77,$R$77,$T$77,-U199),IF(AND(Q199&lt;$V$116,Q200&gt;=$V$116),SUM($P$77,$R$77,$T$77,$V$77,-U199),0)))))</f>
        <v/>
      </c>
      <c r="X199" s="5576" t="n"/>
      <c r="Y199" s="1318">
        <f>IF(AND(Q199&lt;&gt;"",Q199&lt;Q198),1,0)</f>
        <v/>
      </c>
      <c r="BG199" s="9864" t="n"/>
      <c r="BH199" s="9864" t="n"/>
      <c r="CB199" s="9864" t="n"/>
      <c r="CC199" s="9864" t="n"/>
      <c r="CD199" s="9864" t="n"/>
      <c r="CE199" s="9864" t="n"/>
    </row>
    <row r="200" ht="16.5" customHeight="1" s="7635">
      <c r="E200" s="5587" t="n"/>
      <c r="N200" s="9255">
        <f>ROW(U200)</f>
        <v/>
      </c>
      <c r="O200" s="9671" t="n"/>
      <c r="P200" s="5575" t="n"/>
      <c r="Q200" s="12359" t="n"/>
      <c r="R200" s="5415" t="n"/>
      <c r="S200" s="12364" t="n"/>
      <c r="T200" s="1787" t="n"/>
      <c r="U200" s="12365">
        <f>IF(S200&lt;&gt;"",U199+S200,"")</f>
        <v/>
      </c>
      <c r="V200" s="5415" t="n"/>
      <c r="W200" s="12366">
        <f>IF(S200="","",IF(AND(Q200&lt;$P$116,Q201&gt;=$P$116),SUM($P$77,-U200),IF(AND(Q200&lt;$R$116,Q201&gt;=$R$116),SUM($P$77,$R$77,-U200),IF(AND(Q200&lt;$T$116,Q201&gt;=$T$116),SUM($P$77,$R$77,$T$77,-U200),IF(AND(Q200&lt;$V$116,Q201&gt;=$V$116),SUM($P$77,$R$77,$T$77,$V$77,-U200),0)))))</f>
        <v/>
      </c>
      <c r="X200" s="5576" t="n"/>
      <c r="Y200" s="1318">
        <f>IF(AND(Q200&lt;&gt;"",Q200&lt;Q199),1,0)</f>
        <v/>
      </c>
      <c r="CH200" s="9864" t="n"/>
    </row>
    <row r="201">
      <c r="E201" s="5587" t="n"/>
      <c r="N201" s="9255">
        <f>ROW(U201)</f>
        <v/>
      </c>
      <c r="O201" s="9671" t="n"/>
      <c r="P201" s="5575" t="n"/>
      <c r="Q201" s="12359" t="n"/>
      <c r="R201" s="5415" t="n"/>
      <c r="S201" s="12364" t="n"/>
      <c r="T201" s="1787" t="n"/>
      <c r="U201" s="12365">
        <f>IF(S201&lt;&gt;"",U200+S201,"")</f>
        <v/>
      </c>
      <c r="V201" s="5415" t="n"/>
      <c r="W201" s="12366">
        <f>IF(S201="","",IF(AND(Q201&lt;$P$116,Q202&gt;=$P$116),SUM($P$77,-U201),IF(AND(Q201&lt;$R$116,Q202&gt;=$R$116),SUM($P$77,$R$77,-U201),IF(AND(Q201&lt;$T$116,Q202&gt;=$T$116),SUM($P$77,$R$77,$T$77,-U201),IF(AND(Q201&lt;$V$116,Q202&gt;=$V$116),SUM($P$77,$R$77,$T$77,$V$77,-U201),0)))))</f>
        <v/>
      </c>
      <c r="X201" s="5576" t="n"/>
      <c r="Y201" s="1318">
        <f>IF(AND(Q201&lt;&gt;"",Q201&lt;Q200),1,0)</f>
        <v/>
      </c>
      <c r="CJ201" s="207" t="n"/>
    </row>
    <row r="202" ht="12" customHeight="1" s="7635">
      <c r="E202" s="5587" t="n"/>
      <c r="N202" s="9255">
        <f>ROW(U202)</f>
        <v/>
      </c>
      <c r="O202" s="9671" t="n"/>
      <c r="P202" s="5575" t="n"/>
      <c r="Q202" s="12359" t="n"/>
      <c r="R202" s="5415" t="n"/>
      <c r="S202" s="12364" t="n"/>
      <c r="T202" s="1787" t="n"/>
      <c r="U202" s="12365">
        <f>IF(S202&lt;&gt;"",U201+S202,"")</f>
        <v/>
      </c>
      <c r="V202" s="5415" t="n"/>
      <c r="W202" s="12366">
        <f>IF(S202="","",IF(AND(Q202&lt;$P$116,Q203&gt;=$P$116),SUM($P$77,-U202),IF(AND(Q202&lt;$R$116,Q203&gt;=$R$116),SUM($P$77,$R$77,-U202),IF(AND(Q202&lt;$T$116,Q203&gt;=$T$116),SUM($P$77,$R$77,$T$77,-U202),IF(AND(Q202&lt;$V$116,Q203&gt;=$V$116),SUM($P$77,$R$77,$T$77,$V$77,-U202),0)))))</f>
        <v/>
      </c>
      <c r="X202" s="5576" t="n"/>
      <c r="Y202" s="1318">
        <f>IF(AND(Q202&lt;&gt;"",Q202&lt;Q201),1,0)</f>
        <v/>
      </c>
      <c r="CJ202" s="9864" t="n"/>
    </row>
    <row r="203" ht="12.75" customHeight="1" s="7635">
      <c r="E203" s="5587" t="n"/>
      <c r="N203" s="9255">
        <f>ROW(U203)</f>
        <v/>
      </c>
      <c r="O203" s="9671" t="n"/>
      <c r="P203" s="5575" t="n"/>
      <c r="Q203" s="12359" t="n"/>
      <c r="R203" s="5415" t="n"/>
      <c r="S203" s="12364" t="n"/>
      <c r="T203" s="1787" t="n"/>
      <c r="U203" s="12365">
        <f>IF(S203&lt;&gt;"",U202+S203,"")</f>
        <v/>
      </c>
      <c r="V203" s="5415" t="n"/>
      <c r="W203" s="12366">
        <f>IF(S203="","",IF(AND(Q203&lt;$P$116,Q204&gt;=$P$116),SUM($P$77,-U203),IF(AND(Q203&lt;$R$116,Q204&gt;=$R$116),SUM($P$77,$R$77,-U203),IF(AND(Q203&lt;$T$116,Q204&gt;=$T$116),SUM($P$77,$R$77,$T$77,-U203),IF(AND(Q203&lt;$V$116,Q204&gt;=$V$116),SUM($P$77,$R$77,$T$77,$V$77,-U203),0)))))</f>
        <v/>
      </c>
      <c r="X203" s="5576" t="n"/>
      <c r="Y203" s="1318">
        <f>IF(AND(Q203&lt;&gt;"",Q203&lt;Q202),1,0)</f>
        <v/>
      </c>
      <c r="CJ203" s="7779" t="n"/>
    </row>
    <row r="204" ht="14.25" customHeight="1" s="7635">
      <c r="E204" s="5587" t="n"/>
      <c r="N204" s="9255">
        <f>ROW(U204)</f>
        <v/>
      </c>
      <c r="O204" s="9671" t="n"/>
      <c r="P204" s="5575" t="n"/>
      <c r="Q204" s="12359" t="n"/>
      <c r="R204" s="5415" t="n"/>
      <c r="S204" s="12364" t="n"/>
      <c r="T204" s="1787" t="n"/>
      <c r="U204" s="12365">
        <f>IF(S204&lt;&gt;"",U203+S204,"")</f>
        <v/>
      </c>
      <c r="V204" s="5415" t="n"/>
      <c r="W204" s="12366">
        <f>IF(S204="","",IF(AND(Q204&lt;$P$116,Q205&gt;=$P$116),SUM($P$77,-U204),IF(AND(Q204&lt;$R$116,Q205&gt;=$R$116),SUM($P$77,$R$77,-U204),IF(AND(Q204&lt;$T$116,Q205&gt;=$T$116),SUM($P$77,$R$77,$T$77,-U204),IF(AND(Q204&lt;$V$116,Q205&gt;=$V$116),SUM($P$77,$R$77,$T$77,$V$77,-U204),0)))))</f>
        <v/>
      </c>
      <c r="X204" s="5576" t="n"/>
      <c r="Y204" s="1318">
        <f>IF(AND(Q204&lt;&gt;"",Q204&lt;Q203),1,0)</f>
        <v/>
      </c>
      <c r="CJ204" s="7779" t="n"/>
    </row>
    <row r="205" ht="14.25" customHeight="1" s="7635">
      <c r="E205" s="5587" t="n"/>
      <c r="N205" s="9255">
        <f>ROW(U205)</f>
        <v/>
      </c>
      <c r="O205" s="9671" t="n"/>
      <c r="P205" s="5575" t="n"/>
      <c r="Q205" s="12359" t="n"/>
      <c r="R205" s="5415" t="n"/>
      <c r="S205" s="12364" t="n"/>
      <c r="T205" s="1787" t="n"/>
      <c r="U205" s="12365">
        <f>IF(S205&lt;&gt;"",U204+S205,"")</f>
        <v/>
      </c>
      <c r="V205" s="5415" t="n"/>
      <c r="W205" s="12366">
        <f>IF(S205="","",IF(AND(Q205&lt;$P$116,Q206&gt;=$P$116),SUM($P$77,-U205),IF(AND(Q205&lt;$R$116,Q206&gt;=$R$116),SUM($P$77,$R$77,-U205),IF(AND(Q205&lt;$T$116,Q206&gt;=$T$116),SUM($P$77,$R$77,$T$77,-U205),IF(AND(Q205&lt;$V$116,Q206&gt;=$V$116),SUM($P$77,$R$77,$T$77,$V$77,-U205),0)))))</f>
        <v/>
      </c>
      <c r="X205" s="5576" t="n"/>
      <c r="Y205" s="1318">
        <f>IF(AND(Q205&lt;&gt;"",Q205&lt;Q204),1,0)</f>
        <v/>
      </c>
      <c r="BR205" s="9864" t="n"/>
      <c r="CJ205" s="7779" t="n"/>
    </row>
    <row r="206" ht="13.5" customHeight="1" s="7635">
      <c r="E206" s="5587" t="n"/>
      <c r="N206" s="9255">
        <f>ROW(U206)</f>
        <v/>
      </c>
      <c r="O206" s="9671" t="n"/>
      <c r="P206" s="5575" t="n"/>
      <c r="Q206" s="12359" t="n"/>
      <c r="R206" s="5415" t="n"/>
      <c r="S206" s="12364" t="n"/>
      <c r="T206" s="1787" t="n"/>
      <c r="U206" s="12365">
        <f>IF(S206&lt;&gt;"",U205+S206,"")</f>
        <v/>
      </c>
      <c r="V206" s="5415" t="n"/>
      <c r="W206" s="12366">
        <f>IF(S206="","",IF(AND(Q206&lt;$P$116,Q207&gt;=$P$116),SUM($P$77,-U206),IF(AND(Q206&lt;$R$116,Q207&gt;=$R$116),SUM($P$77,$R$77,-U206),IF(AND(Q206&lt;$T$116,Q207&gt;=$T$116),SUM($P$77,$R$77,$T$77,-U206),IF(AND(Q206&lt;$V$116,Q207&gt;=$V$116),SUM($P$77,$R$77,$T$77,$V$77,-U206),0)))))</f>
        <v/>
      </c>
      <c r="X206" s="5576" t="n"/>
      <c r="Y206" s="1318">
        <f>IF(AND(Q206&lt;&gt;"",Q206&lt;Q205),1,0)</f>
        <v/>
      </c>
      <c r="CF206" s="9864" t="n"/>
      <c r="CG206" s="9864" t="n"/>
    </row>
    <row r="207" ht="13.5" customHeight="1" s="7635">
      <c r="E207" s="5587" t="n"/>
      <c r="N207" s="9255">
        <f>ROW(U207)</f>
        <v/>
      </c>
      <c r="O207" s="9671" t="n"/>
      <c r="P207" s="5575" t="n"/>
      <c r="Q207" s="12359" t="n"/>
      <c r="R207" s="5415" t="n"/>
      <c r="S207" s="12364" t="n"/>
      <c r="T207" s="1787" t="n"/>
      <c r="U207" s="12365">
        <f>IF(S207&lt;&gt;"",U206+S207,"")</f>
        <v/>
      </c>
      <c r="V207" s="5415" t="n"/>
      <c r="W207" s="12366">
        <f>IF(S207="","",IF(AND(Q207&lt;$P$116,Q208&gt;=$P$116),SUM($P$77,-U207),IF(AND(Q207&lt;$R$116,Q208&gt;=$R$116),SUM($P$77,$R$77,-U207),IF(AND(Q207&lt;$T$116,Q208&gt;=$T$116),SUM($P$77,$R$77,$T$77,-U207),IF(AND(Q207&lt;$V$116,Q208&gt;=$V$116),SUM($P$77,$R$77,$T$77,$V$77,-U207),0)))))</f>
        <v/>
      </c>
      <c r="X207" s="5576" t="n"/>
      <c r="Y207" s="1318">
        <f>IF(AND(Q207&lt;&gt;"",Q207&lt;Q206),1,0)</f>
        <v/>
      </c>
      <c r="CI207" s="9864" t="n"/>
    </row>
    <row r="208" ht="13.5" customHeight="1" s="7635">
      <c r="E208" s="5587" t="n"/>
      <c r="N208" s="9255">
        <f>ROW(U208)</f>
        <v/>
      </c>
      <c r="O208" s="9671" t="n"/>
      <c r="P208" s="5575" t="n"/>
      <c r="Q208" s="12359" t="n"/>
      <c r="R208" s="5415" t="n"/>
      <c r="S208" s="12364" t="n"/>
      <c r="T208" s="1787" t="n"/>
      <c r="U208" s="12365">
        <f>IF(S208&lt;&gt;"",U207+S208,"")</f>
        <v/>
      </c>
      <c r="V208" s="5415" t="n"/>
      <c r="W208" s="12366">
        <f>IF(S208="","",IF(AND(Q208&lt;$P$116,Q209&gt;=$P$116),SUM($P$77,-U208),IF(AND(Q208&lt;$R$116,Q209&gt;=$R$116),SUM($P$77,$R$77,-U208),IF(AND(Q208&lt;$T$116,Q209&gt;=$T$116),SUM($P$77,$R$77,$T$77,-U208),IF(AND(Q208&lt;$V$116,Q209&gt;=$V$116),SUM($P$77,$R$77,$T$77,$V$77,-U208),0)))))</f>
        <v/>
      </c>
      <c r="X208" s="5576" t="n"/>
      <c r="Y208" s="1318">
        <f>IF(AND(Q208&lt;&gt;"",Q208&lt;Q207),1,0)</f>
        <v/>
      </c>
    </row>
    <row r="209" ht="15.75" customHeight="1" s="7635">
      <c r="E209" s="5587" t="n"/>
      <c r="N209" s="9255">
        <f>ROW(U209)</f>
        <v/>
      </c>
      <c r="O209" s="9671" t="n"/>
      <c r="P209" s="5575" t="n"/>
      <c r="Q209" s="12359" t="n"/>
      <c r="R209" s="5415" t="n"/>
      <c r="S209" s="12364" t="n"/>
      <c r="T209" s="1787" t="n"/>
      <c r="U209" s="12365">
        <f>IF(S209&lt;&gt;"",U208+S209,"")</f>
        <v/>
      </c>
      <c r="V209" s="5415" t="n"/>
      <c r="W209" s="12366">
        <f>IF(S209="","",IF(AND(Q209&lt;$P$116,Q210&gt;=$P$116),SUM($P$77,-U209),IF(AND(Q209&lt;$R$116,Q210&gt;=$R$116),SUM($P$77,$R$77,-U209),IF(AND(Q209&lt;$T$116,Q210&gt;=$T$116),SUM($P$77,$R$77,$T$77,-U209),IF(AND(Q209&lt;$V$116,Q210&gt;=$V$116),SUM($P$77,$R$77,$T$77,$V$77,-U209),0)))))</f>
        <v/>
      </c>
      <c r="X209" s="5576" t="n"/>
      <c r="Y209" s="1318">
        <f>IF(AND(Q209&lt;&gt;"",Q209&lt;Q208),1,0)</f>
        <v/>
      </c>
      <c r="BG209" s="9864" t="n"/>
      <c r="BH209" s="9864" t="n"/>
      <c r="BT209" s="9864" t="n"/>
      <c r="BU209" s="9864" t="n"/>
      <c r="BV209" s="9864" t="n"/>
      <c r="BW209" s="9864" t="n"/>
      <c r="BX209" s="9864" t="n"/>
      <c r="BY209" s="9864" t="n"/>
      <c r="BZ209" s="9864" t="n"/>
      <c r="CA209" s="9864" t="n"/>
      <c r="CB209" s="9864" t="n"/>
      <c r="CC209" s="9864" t="n"/>
      <c r="CD209" s="9864" t="n"/>
      <c r="CE209" s="9864" t="n"/>
    </row>
    <row r="210" ht="12.75" customHeight="1" s="7635">
      <c r="E210" s="5587" t="n"/>
      <c r="N210" s="9255">
        <f>ROW(U210)</f>
        <v/>
      </c>
      <c r="O210" s="9671" t="n"/>
      <c r="P210" s="5575" t="n"/>
      <c r="Q210" s="12359" t="n"/>
      <c r="R210" s="5415" t="n"/>
      <c r="S210" s="12364" t="n"/>
      <c r="T210" s="1787" t="n"/>
      <c r="U210" s="12365">
        <f>IF(S210&lt;&gt;"",U209+S210,"")</f>
        <v/>
      </c>
      <c r="V210" s="5415" t="n"/>
      <c r="W210" s="12366">
        <f>IF(S210="","",IF(AND(Q210&lt;$P$116,Q211&gt;=$P$116),SUM($P$77,-U210),IF(AND(Q210&lt;$R$116,Q211&gt;=$R$116),SUM($P$77,$R$77,-U210),IF(AND(Q210&lt;$T$116,Q211&gt;=$T$116),SUM($P$77,$R$77,$T$77,-U210),IF(AND(Q210&lt;$V$116,Q211&gt;=$V$116),SUM($P$77,$R$77,$T$77,$V$77,-U210),0)))))</f>
        <v/>
      </c>
      <c r="X210" s="5576" t="n"/>
      <c r="Y210" s="1318">
        <f>IF(AND(Q210&lt;&gt;"",Q210&lt;Q209),1,0)</f>
        <v/>
      </c>
      <c r="CH210" s="9864" t="n"/>
    </row>
    <row r="211" ht="15.75" customHeight="1" s="7635">
      <c r="E211" s="5587" t="n"/>
      <c r="N211" s="9255">
        <f>ROW(U211)</f>
        <v/>
      </c>
      <c r="O211" s="9671" t="n"/>
      <c r="P211" s="5575" t="n"/>
      <c r="Q211" s="12359" t="n"/>
      <c r="R211" s="5415" t="n"/>
      <c r="S211" s="12364" t="n"/>
      <c r="T211" s="1787" t="n"/>
      <c r="U211" s="12365">
        <f>IF(S211&lt;&gt;"",U210+S211,"")</f>
        <v/>
      </c>
      <c r="V211" s="5415" t="n"/>
      <c r="W211" s="12366">
        <f>IF(S211="","",IF(AND(Q211&lt;$P$116,Q212&gt;=$P$116),SUM($P$77,-U211),IF(AND(Q211&lt;$R$116,Q212&gt;=$R$116),SUM($P$77,$R$77,-U211),IF(AND(Q211&lt;$T$116,Q212&gt;=$T$116),SUM($P$77,$R$77,$T$77,-U211),IF(AND(Q211&lt;$V$116,Q212&gt;=$V$116),SUM($P$77,$R$77,$T$77,$V$77,-U211),0)))))</f>
        <v/>
      </c>
      <c r="X211" s="5576" t="n"/>
      <c r="Y211" s="1318">
        <f>IF(AND(Q211&lt;&gt;"",Q211&lt;Q210),1,0)</f>
        <v/>
      </c>
    </row>
    <row r="212">
      <c r="E212" s="5587" t="n"/>
      <c r="N212" s="9255">
        <f>ROW(U212)</f>
        <v/>
      </c>
      <c r="O212" s="9671" t="n"/>
      <c r="P212" s="5575" t="n"/>
      <c r="Q212" s="12359" t="n"/>
      <c r="R212" s="5415" t="n"/>
      <c r="S212" s="12364" t="n"/>
      <c r="T212" s="1787" t="n"/>
      <c r="U212" s="12365">
        <f>IF(S212&lt;&gt;"",U211+S212,"")</f>
        <v/>
      </c>
      <c r="V212" s="5415" t="n"/>
      <c r="W212" s="12366">
        <f>IF(S212="","",IF(AND(Q212&lt;$P$116,Q213&gt;=$P$116),SUM($P$77,-U212),IF(AND(Q212&lt;$R$116,Q213&gt;=$R$116),SUM($P$77,$R$77,-U212),IF(AND(Q212&lt;$T$116,Q213&gt;=$T$116),SUM($P$77,$R$77,$T$77,-U212),IF(AND(Q212&lt;$V$116,Q213&gt;=$V$116),SUM($P$77,$R$77,$T$77,$V$77,-U212),0)))))</f>
        <v/>
      </c>
      <c r="X212" s="5576" t="n"/>
      <c r="Y212" s="1318">
        <f>IF(AND(Q212&lt;&gt;"",Q212&lt;Q211),1,0)</f>
        <v/>
      </c>
    </row>
    <row r="213" ht="17.25" customFormat="1" customHeight="1" s="207">
      <c r="E213" s="5587" t="n"/>
      <c r="N213" s="9255">
        <f>ROW(U213)</f>
        <v/>
      </c>
      <c r="O213" s="9671" t="n"/>
      <c r="P213" s="5575" t="n"/>
      <c r="Q213" s="12359" t="n"/>
      <c r="R213" s="5415" t="n"/>
      <c r="S213" s="12364" t="n"/>
      <c r="T213" s="1787" t="n"/>
      <c r="U213" s="12365">
        <f>IF(S213&lt;&gt;"",U212+S213,"")</f>
        <v/>
      </c>
      <c r="V213" s="5415" t="n"/>
      <c r="W213" s="12366">
        <f>IF(S213="","",IF(AND(Q213&lt;$P$116,Q214&gt;=$P$116),SUM($P$77,-U213),IF(AND(Q213&lt;$R$116,Q214&gt;=$R$116),SUM($P$77,$R$77,-U213),IF(AND(Q213&lt;$T$116,Q214&gt;=$T$116),SUM($P$77,$R$77,$T$77,-U213),IF(AND(Q213&lt;$V$116,Q214&gt;=$V$116),SUM($P$77,$R$77,$T$77,$V$77,-U213),0)))))</f>
        <v/>
      </c>
      <c r="X213" s="5576" t="n"/>
      <c r="Y213" s="1318">
        <f>IF(AND(Q213&lt;&gt;"",Q213&lt;Q212),1,0)</f>
        <v/>
      </c>
      <c r="AV213" s="658" t="n"/>
      <c r="AW213" s="658" t="n"/>
      <c r="AX213" s="658" t="n"/>
      <c r="AY213" s="658" t="n"/>
      <c r="AZ213" s="658" t="n"/>
      <c r="BA213" s="658" t="n"/>
      <c r="BB213" s="658" t="n"/>
      <c r="BC213" s="658" t="n"/>
      <c r="BD213" s="658" t="n"/>
      <c r="BE213" s="658" t="n"/>
      <c r="BF213" s="658" t="n"/>
    </row>
    <row r="214" customFormat="1" s="9864">
      <c r="E214" s="5587" t="n"/>
      <c r="N214" s="9255">
        <f>ROW(U214)</f>
        <v/>
      </c>
      <c r="O214" s="9671" t="n"/>
      <c r="P214" s="5575" t="n"/>
      <c r="Q214" s="12359" t="n"/>
      <c r="R214" s="5415" t="n"/>
      <c r="S214" s="12364" t="n"/>
      <c r="T214" s="1787" t="n"/>
      <c r="U214" s="12365">
        <f>IF(S214&lt;&gt;"",U213+S214,"")</f>
        <v/>
      </c>
      <c r="V214" s="5415" t="n"/>
      <c r="W214" s="12366">
        <f>IF(S214="","",IF(AND(Q214&lt;$P$116,Q215&gt;=$P$116),SUM($P$77,-U214),IF(AND(Q214&lt;$R$116,Q215&gt;=$R$116),SUM($P$77,$R$77,-U214),IF(AND(Q214&lt;$T$116,Q215&gt;=$T$116),SUM($P$77,$R$77,$T$77,-U214),IF(AND(Q214&lt;$V$116,Q215&gt;=$V$116),SUM($P$77,$R$77,$T$77,$V$77,-U214),0)))))</f>
        <v/>
      </c>
      <c r="X214" s="5576" t="n"/>
      <c r="Y214" s="1318">
        <f>IF(AND(Q214&lt;&gt;"",Q214&lt;Q213),1,0)</f>
        <v/>
      </c>
      <c r="AV214" s="658" t="n"/>
      <c r="AW214" s="658" t="n"/>
      <c r="AX214" s="658" t="n"/>
      <c r="AY214" s="658" t="n"/>
      <c r="AZ214" s="658" t="n"/>
      <c r="BA214" s="658" t="n"/>
      <c r="BB214" s="658" t="n"/>
      <c r="BC214" s="658" t="n"/>
      <c r="BD214" s="658" t="n"/>
      <c r="BE214" s="658" t="n"/>
      <c r="BF214" s="658" t="n"/>
    </row>
    <row r="215" customFormat="1" s="9864">
      <c r="E215" s="5587" t="n"/>
      <c r="N215" s="9255">
        <f>ROW(U215)</f>
        <v/>
      </c>
      <c r="O215" s="9671" t="n"/>
      <c r="P215" s="5575" t="n"/>
      <c r="Q215" s="12359" t="n"/>
      <c r="R215" s="5415" t="n"/>
      <c r="S215" s="12364" t="n"/>
      <c r="T215" s="1787" t="n"/>
      <c r="U215" s="12365">
        <f>IF(S215&lt;&gt;"",U214+S215,"")</f>
        <v/>
      </c>
      <c r="V215" s="5415" t="n"/>
      <c r="W215" s="12366">
        <f>IF(S215="","",IF(AND(Q215&lt;$P$116,Q216&gt;=$P$116),SUM($P$77,-U215),IF(AND(Q215&lt;$R$116,Q216&gt;=$R$116),SUM($P$77,$R$77,-U215),IF(AND(Q215&lt;$T$116,Q216&gt;=$T$116),SUM($P$77,$R$77,$T$77,-U215),IF(AND(Q215&lt;$V$116,Q216&gt;=$V$116),SUM($P$77,$R$77,$T$77,$V$77,-U215),0)))))</f>
        <v/>
      </c>
      <c r="X215" s="5576" t="n"/>
      <c r="Y215" s="1318">
        <f>IF(AND(Q215&lt;&gt;"",Q215&lt;Q214),1,0)</f>
        <v/>
      </c>
      <c r="AV215" s="658" t="n"/>
      <c r="AW215" s="658" t="n"/>
      <c r="AX215" s="658" t="n"/>
      <c r="AY215" s="658" t="n"/>
      <c r="AZ215" s="658" t="n"/>
      <c r="BA215" s="658" t="n"/>
      <c r="BB215" s="658" t="n"/>
      <c r="BC215" s="658" t="n"/>
      <c r="BD215" s="658" t="n"/>
      <c r="BE215" s="658" t="n"/>
      <c r="BF215" s="658" t="n"/>
    </row>
    <row r="216" ht="14.25" customFormat="1" customHeight="1" s="7779">
      <c r="E216" s="5587" t="n"/>
      <c r="N216" s="9255">
        <f>ROW(U216)</f>
        <v/>
      </c>
      <c r="O216" s="9671" t="n"/>
      <c r="P216" s="5575" t="n"/>
      <c r="Q216" s="12359" t="n"/>
      <c r="R216" s="5415" t="n"/>
      <c r="S216" s="12364" t="n"/>
      <c r="T216" s="1787" t="n"/>
      <c r="U216" s="12365">
        <f>IF(S216&lt;&gt;"",U215+S216,"")</f>
        <v/>
      </c>
      <c r="V216" s="5415" t="n"/>
      <c r="W216" s="12366">
        <f>IF(S216="","",IF(AND(Q216&lt;$P$116,Q217&gt;=$P$116),SUM($P$77,-U216),IF(AND(Q216&lt;$R$116,Q217&gt;=$R$116),SUM($P$77,$R$77,-U216),IF(AND(Q216&lt;$T$116,Q217&gt;=$T$116),SUM($P$77,$R$77,$T$77,-U216),IF(AND(Q216&lt;$V$116,Q217&gt;=$V$116),SUM($P$77,$R$77,$T$77,$V$77,-U216),0)))))</f>
        <v/>
      </c>
      <c r="X216" s="5576" t="n"/>
      <c r="Y216" s="1318">
        <f>IF(AND(Q216&lt;&gt;"",Q216&lt;Q215),1,0)</f>
        <v/>
      </c>
      <c r="AV216" s="658" t="n"/>
      <c r="AW216" s="658" t="n"/>
      <c r="AX216" s="658" t="n"/>
      <c r="AY216" s="658" t="n"/>
      <c r="AZ216" s="658" t="n"/>
      <c r="BA216" s="658" t="n"/>
      <c r="BB216" s="658" t="n"/>
      <c r="BC216" s="658" t="n"/>
      <c r="BD216" s="658" t="n"/>
      <c r="BE216" s="658" t="n"/>
      <c r="BF216" s="658" t="n"/>
    </row>
    <row r="217" ht="15" customFormat="1" customHeight="1" s="7779">
      <c r="E217" s="5587" t="n"/>
      <c r="N217" s="9255">
        <f>ROW(U217)</f>
        <v/>
      </c>
      <c r="O217" s="9671" t="n"/>
      <c r="P217" s="5575" t="n"/>
      <c r="Q217" s="12359" t="n"/>
      <c r="R217" s="5415" t="n"/>
      <c r="S217" s="12364" t="n"/>
      <c r="T217" s="1787" t="n"/>
      <c r="U217" s="12365">
        <f>IF(S217&lt;&gt;"",U216+S217,"")</f>
        <v/>
      </c>
      <c r="V217" s="5415" t="n"/>
      <c r="W217" s="12366">
        <f>IF(S217="","",IF(AND(Q217&lt;$P$116,Q218&gt;=$P$116),SUM($P$77,-U217),IF(AND(Q217&lt;$R$116,Q218&gt;=$R$116),SUM($P$77,$R$77,-U217),IF(AND(Q217&lt;$T$116,Q218&gt;=$T$116),SUM($P$77,$R$77,$T$77,-U217),IF(AND(Q217&lt;$V$116,Q218&gt;=$V$116),SUM($P$77,$R$77,$T$77,$V$77,-U217),0)))))</f>
        <v/>
      </c>
      <c r="X217" s="5576" t="n"/>
      <c r="Y217" s="1318">
        <f>IF(AND(Q217&lt;&gt;"",Q217&lt;Q216),1,0)</f>
        <v/>
      </c>
      <c r="AV217" s="658" t="n"/>
      <c r="AW217" s="658" t="n"/>
      <c r="AX217" s="658" t="n"/>
      <c r="AY217" s="658" t="n"/>
      <c r="AZ217" s="658" t="n"/>
      <c r="BA217" s="658" t="n"/>
      <c r="BB217" s="658" t="n"/>
      <c r="BC217" s="658" t="n"/>
      <c r="BD217" s="658" t="n"/>
      <c r="BE217" s="658" t="n"/>
      <c r="BF217" s="658" t="n"/>
      <c r="CF217" s="9864" t="n"/>
      <c r="CG217" s="9864" t="n"/>
      <c r="CJ217" s="9864" t="n"/>
    </row>
    <row r="218" ht="14.25" customFormat="1" customHeight="1" s="7779">
      <c r="E218" s="5587" t="n"/>
      <c r="N218" s="9255">
        <f>ROW(U218)</f>
        <v/>
      </c>
      <c r="O218" s="9671" t="n"/>
      <c r="P218" s="5575" t="n"/>
      <c r="Q218" s="12359" t="n"/>
      <c r="R218" s="5415" t="n"/>
      <c r="S218" s="12364" t="n"/>
      <c r="T218" s="1787" t="n"/>
      <c r="U218" s="12365">
        <f>IF(S218&lt;&gt;"",U217+S218,"")</f>
        <v/>
      </c>
      <c r="V218" s="5415" t="n"/>
      <c r="W218" s="12366">
        <f>IF(S218="","",IF(AND(Q218&lt;$P$116,Q219&gt;=$P$116),SUM($P$77,-U218),IF(AND(Q218&lt;$R$116,Q219&gt;=$R$116),SUM($P$77,$R$77,-U218),IF(AND(Q218&lt;$T$116,Q219&gt;=$T$116),SUM($P$77,$R$77,$T$77,-U218),IF(AND(Q218&lt;$V$116,Q219&gt;=$V$116),SUM($P$77,$R$77,$T$77,$V$77,-U218),0)))))</f>
        <v/>
      </c>
      <c r="X218" s="5576" t="n"/>
      <c r="Y218" s="1318">
        <f>IF(AND(Q218&lt;&gt;"",Q218&lt;Q217),1,0)</f>
        <v/>
      </c>
      <c r="AV218" s="658" t="n"/>
      <c r="AW218" s="658" t="n"/>
      <c r="AX218" s="658" t="n"/>
      <c r="AY218" s="658" t="n"/>
      <c r="AZ218" s="658" t="n"/>
      <c r="BA218" s="658" t="n"/>
      <c r="BB218" s="658" t="n"/>
      <c r="BC218" s="658" t="n"/>
      <c r="BD218" s="658" t="n"/>
      <c r="BE218" s="658" t="n"/>
      <c r="BF218" s="658" t="n"/>
      <c r="CI218" s="9864" t="n"/>
    </row>
    <row r="219" ht="13.5" customHeight="1" s="7635">
      <c r="E219" s="5587" t="n"/>
      <c r="N219" s="9255">
        <f>ROW(U219)</f>
        <v/>
      </c>
      <c r="O219" s="9671" t="n"/>
      <c r="P219" s="5575" t="n"/>
      <c r="Q219" s="12359" t="n"/>
      <c r="R219" s="5415" t="n"/>
      <c r="S219" s="12364" t="n"/>
      <c r="T219" s="1787" t="n"/>
      <c r="U219" s="12365">
        <f>IF(S219&lt;&gt;"",U218+S219,"")</f>
        <v/>
      </c>
      <c r="V219" s="5415" t="n"/>
      <c r="W219" s="12366">
        <f>IF(S219="","",IF(AND(Q219&lt;$P$116,Q220&gt;=$P$116),SUM($P$77,-U219),IF(AND(Q219&lt;$R$116,Q220&gt;=$R$116),SUM($P$77,$R$77,-U219),IF(AND(Q219&lt;$T$116,Q220&gt;=$T$116),SUM($P$77,$R$77,$T$77,-U219),IF(AND(Q219&lt;$V$116,Q220&gt;=$V$116),SUM($P$77,$R$77,$T$77,$V$77,-U219),0)))))</f>
        <v/>
      </c>
      <c r="X219" s="5576" t="n"/>
      <c r="Y219" s="1318">
        <f>IF(AND(Q219&lt;&gt;"",Q219&lt;Q218),1,0)</f>
        <v/>
      </c>
    </row>
    <row r="220" ht="13.5" customHeight="1" s="7635">
      <c r="E220" s="5587" t="n"/>
      <c r="N220" s="9255">
        <f>ROW(U220)</f>
        <v/>
      </c>
      <c r="O220" s="9671" t="n"/>
      <c r="P220" s="5575" t="n"/>
      <c r="Q220" s="12359" t="n"/>
      <c r="R220" s="5415" t="n"/>
      <c r="S220" s="12364" t="n"/>
      <c r="T220" s="1787" t="n"/>
      <c r="U220" s="12365">
        <f>IF(S220&lt;&gt;"",U219+S220,"")</f>
        <v/>
      </c>
      <c r="V220" s="5415" t="n"/>
      <c r="W220" s="12366">
        <f>IF(S220="","",IF(AND(Q220&lt;$P$116,Q221&gt;=$P$116),SUM($P$77,-U220),IF(AND(Q220&lt;$R$116,Q221&gt;=$R$116),SUM($P$77,$R$77,-U220),IF(AND(Q220&lt;$T$116,Q221&gt;=$T$116),SUM($P$77,$R$77,$T$77,-U220),IF(AND(Q220&lt;$V$116,Q221&gt;=$V$116),SUM($P$77,$R$77,$T$77,$V$77,-U220),0)))))</f>
        <v/>
      </c>
      <c r="X220" s="5576" t="n"/>
      <c r="Y220" s="1318">
        <f>IF(AND(Q220&lt;&gt;"",Q220&lt;Q219),1,0)</f>
        <v/>
      </c>
      <c r="BG220" s="9864" t="n"/>
      <c r="BH220" s="9864" t="n"/>
      <c r="BT220" s="9864" t="n"/>
      <c r="BU220" s="9864" t="n"/>
      <c r="BV220" s="9864" t="n"/>
      <c r="BW220" s="9864" t="n"/>
      <c r="BX220" s="9864" t="n"/>
      <c r="BY220" s="9864" t="n"/>
      <c r="BZ220" s="9864" t="n"/>
      <c r="CA220" s="9864" t="n"/>
      <c r="CB220" s="9864" t="n"/>
      <c r="CC220" s="9864" t="n"/>
      <c r="CD220" s="9864" t="n"/>
      <c r="CE220" s="9864" t="n"/>
    </row>
    <row r="221" ht="12" customHeight="1" s="7635">
      <c r="E221" s="5587" t="n"/>
      <c r="N221" s="9255">
        <f>ROW(U221)</f>
        <v/>
      </c>
      <c r="O221" s="9671" t="n"/>
      <c r="P221" s="5575" t="n"/>
      <c r="Q221" s="12359" t="n"/>
      <c r="R221" s="5415" t="n"/>
      <c r="S221" s="12364" t="n"/>
      <c r="T221" s="1787" t="n"/>
      <c r="U221" s="12365">
        <f>IF(S221&lt;&gt;"",U220+S221,"")</f>
        <v/>
      </c>
      <c r="V221" s="5415" t="n"/>
      <c r="W221" s="12366">
        <f>IF(S221="","",IF(AND(Q221&lt;$P$116,Q222&gt;=$P$116),SUM($P$77,-U221),IF(AND(Q221&lt;$R$116,Q222&gt;=$R$116),SUM($P$77,$R$77,-U221),IF(AND(Q221&lt;$T$116,Q222&gt;=$T$116),SUM($P$77,$R$77,$T$77,-U221),IF(AND(Q221&lt;$V$116,Q222&gt;=$V$116),SUM($P$77,$R$77,$T$77,$V$77,-U221),0)))))</f>
        <v/>
      </c>
      <c r="X221" s="5576" t="n"/>
      <c r="Y221" s="1318">
        <f>IF(AND(Q221&lt;&gt;"",Q221&lt;Q220),1,0)</f>
        <v/>
      </c>
      <c r="CH221" s="9864" t="n"/>
    </row>
    <row r="222" ht="13.5" customHeight="1" s="7635">
      <c r="E222" s="5587" t="n"/>
      <c r="N222" s="9255">
        <f>ROW(U222)</f>
        <v/>
      </c>
      <c r="O222" s="9671" t="n"/>
      <c r="P222" s="5575" t="n"/>
      <c r="Q222" s="12359" t="n"/>
      <c r="R222" s="5415" t="n"/>
      <c r="S222" s="12364" t="n"/>
      <c r="T222" s="1787" t="n"/>
      <c r="U222" s="12365">
        <f>IF(S222&lt;&gt;"",U221+S222,"")</f>
        <v/>
      </c>
      <c r="V222" s="5415" t="n"/>
      <c r="W222" s="12366">
        <f>IF(S222="","",IF(AND(Q222&lt;$P$116,Q223&gt;=$P$116),SUM($P$77,-U222),IF(AND(Q222&lt;$R$116,Q223&gt;=$R$116),SUM($P$77,$R$77,-U222),IF(AND(Q222&lt;$T$116,Q223&gt;=$T$116),SUM($P$77,$R$77,$T$77,-U222),IF(AND(Q222&lt;$V$116,Q223&gt;=$V$116),SUM($P$77,$R$77,$T$77,$V$77,-U222),0)))))</f>
        <v/>
      </c>
      <c r="X222" s="5576" t="n"/>
      <c r="Y222" s="1318">
        <f>IF(AND(Q222&lt;&gt;"",Q222&lt;Q221),1,0)</f>
        <v/>
      </c>
    </row>
    <row r="223" ht="12.6" customHeight="1" s="7635">
      <c r="E223" s="5587" t="n"/>
      <c r="N223" s="9255">
        <f>ROW(U223)</f>
        <v/>
      </c>
      <c r="O223" s="9671" t="n"/>
      <c r="P223" s="5575" t="n"/>
      <c r="Q223" s="12359" t="n"/>
      <c r="R223" s="5415" t="n"/>
      <c r="S223" s="12364" t="n"/>
      <c r="T223" s="1787" t="n"/>
      <c r="U223" s="12365">
        <f>IF(S223&lt;&gt;"",U222+S223,"")</f>
        <v/>
      </c>
      <c r="V223" s="5415" t="n"/>
      <c r="W223" s="12366">
        <f>IF(S223="","",IF(AND(Q223&lt;$P$116,Q224&gt;=$P$116),SUM($P$77,-U223),IF(AND(Q223&lt;$R$116,Q224&gt;=$R$116),SUM($P$77,$R$77,-U223),IF(AND(Q223&lt;$T$116,Q224&gt;=$T$116),SUM($P$77,$R$77,$T$77,-U223),IF(AND(Q223&lt;$V$116,Q224&gt;=$V$116),SUM($P$77,$R$77,$T$77,$V$77,-U223),0)))))</f>
        <v/>
      </c>
      <c r="X223" s="5576" t="n"/>
      <c r="Y223" s="1318">
        <f>IF(AND(Q223&lt;&gt;"",Q223&lt;Q222),1,0)</f>
        <v/>
      </c>
    </row>
    <row r="224" ht="12.6" customHeight="1" s="7635">
      <c r="E224" s="5587" t="n"/>
      <c r="N224" s="9255">
        <f>ROW(U224)</f>
        <v/>
      </c>
      <c r="O224" s="9671" t="n"/>
      <c r="P224" s="5575" t="n"/>
      <c r="Q224" s="12359" t="n"/>
      <c r="R224" s="5415" t="n"/>
      <c r="S224" s="12364" t="n"/>
      <c r="T224" s="1787" t="n"/>
      <c r="U224" s="12365">
        <f>IF(S224&lt;&gt;"",U223+S224,"")</f>
        <v/>
      </c>
      <c r="V224" s="5415" t="n"/>
      <c r="W224" s="12366">
        <f>IF(S224="","",IF(AND(Q224&lt;$P$116,Q225&gt;=$P$116),SUM($P$77,-U224),IF(AND(Q224&lt;$R$116,Q225&gt;=$R$116),SUM($P$77,$R$77,-U224),IF(AND(Q224&lt;$T$116,Q225&gt;=$T$116),SUM($P$77,$R$77,$T$77,-U224),IF(AND(Q224&lt;$V$116,Q225&gt;=$V$116),SUM($P$77,$R$77,$T$77,$V$77,-U224),0)))))</f>
        <v/>
      </c>
      <c r="X224" s="5576" t="n"/>
      <c r="Y224" s="1318">
        <f>IF(AND(Q224&lt;&gt;"",Q224&lt;Q223),1,0)</f>
        <v/>
      </c>
    </row>
    <row r="225" ht="12.6" customHeight="1" s="7635">
      <c r="E225" s="5587" t="n"/>
      <c r="N225" s="9255">
        <f>ROW(U225)</f>
        <v/>
      </c>
      <c r="O225" s="9671" t="n"/>
      <c r="P225" s="5575" t="n"/>
      <c r="Q225" s="12359" t="n"/>
      <c r="R225" s="5415" t="n"/>
      <c r="S225" s="12364" t="n"/>
      <c r="T225" s="1787" t="n"/>
      <c r="U225" s="12365">
        <f>IF(S225&lt;&gt;"",U224+S225,"")</f>
        <v/>
      </c>
      <c r="V225" s="5415" t="n"/>
      <c r="W225" s="12366">
        <f>IF(S225="","",IF(AND(Q225&lt;$P$116,Q226&gt;=$P$116),SUM($P$77,-U225),IF(AND(Q225&lt;$R$116,Q226&gt;=$R$116),SUM($P$77,$R$77,-U225),IF(AND(Q225&lt;$T$116,Q226&gt;=$T$116),SUM($P$77,$R$77,$T$77,-U225),IF(AND(Q225&lt;$V$116,Q226&gt;=$V$116),SUM($P$77,$R$77,$T$77,$V$77,-U225),0)))))</f>
        <v/>
      </c>
      <c r="X225" s="5576" t="n"/>
      <c r="Y225" s="1318">
        <f>IF(AND(Q225&lt;&gt;"",Q225&lt;Q224),1,0)</f>
        <v/>
      </c>
    </row>
    <row r="226" ht="12.6" customHeight="1" s="7635">
      <c r="E226" s="5587" t="n"/>
      <c r="N226" s="9255">
        <f>ROW(U226)</f>
        <v/>
      </c>
      <c r="O226" s="9671" t="n"/>
      <c r="P226" s="5575" t="n"/>
      <c r="Q226" s="12359" t="n"/>
      <c r="R226" s="5415" t="n"/>
      <c r="S226" s="12364" t="n"/>
      <c r="T226" s="1787" t="n"/>
      <c r="U226" s="12365">
        <f>IF(S226&lt;&gt;"",U225+S226,"")</f>
        <v/>
      </c>
      <c r="V226" s="5415" t="n"/>
      <c r="W226" s="12366">
        <f>IF(S226="","",IF(AND(Q226&lt;$P$116,Q227&gt;=$P$116),SUM($P$77,-U226),IF(AND(Q226&lt;$R$116,Q227&gt;=$R$116),SUM($P$77,$R$77,-U226),IF(AND(Q226&lt;$T$116,Q227&gt;=$T$116),SUM($P$77,$R$77,$T$77,-U226),IF(AND(Q226&lt;$V$116,Q227&gt;=$V$116),SUM($P$77,$R$77,$T$77,$V$77,-U226),0)))))</f>
        <v/>
      </c>
      <c r="X226" s="5576" t="n"/>
      <c r="Y226" s="1318">
        <f>IF(AND(Q226&lt;&gt;"",Q226&lt;Q225),1,0)</f>
        <v/>
      </c>
      <c r="BR226" s="9864" t="n"/>
      <c r="BS226" s="9864" t="n"/>
    </row>
    <row r="227" ht="12.6" customHeight="1" s="7635">
      <c r="E227" s="5587" t="n"/>
      <c r="N227" s="9255">
        <f>ROW(U227)</f>
        <v/>
      </c>
      <c r="O227" s="9671" t="n"/>
      <c r="P227" s="5575" t="n"/>
      <c r="Q227" s="12359" t="n"/>
      <c r="R227" s="5415" t="n"/>
      <c r="S227" s="12364" t="n"/>
      <c r="T227" s="1787" t="n"/>
      <c r="U227" s="12365">
        <f>IF(S227&lt;&gt;"",U226+S227,"")</f>
        <v/>
      </c>
      <c r="V227" s="5415" t="n"/>
      <c r="W227" s="12366">
        <f>IF(S227="","",IF(AND(Q227&lt;$P$116,Q228&gt;=$P$116),SUM($P$77,-U227),IF(AND(Q227&lt;$R$116,Q228&gt;=$R$116),SUM($P$77,$R$77,-U227),IF(AND(Q227&lt;$T$116,Q228&gt;=$T$116),SUM($P$77,$R$77,$T$77,-U227),IF(AND(Q227&lt;$V$116,Q228&gt;=$V$116),SUM($P$77,$R$77,$T$77,$V$77,-U227),0)))))</f>
        <v/>
      </c>
      <c r="X227" s="5576" t="n"/>
      <c r="Y227" s="1318">
        <f>IF(AND(Q227&lt;&gt;"",Q227&lt;Q226),1,0)</f>
        <v/>
      </c>
      <c r="CG227" s="9864" t="n"/>
      <c r="CJ227" s="9864" t="n"/>
    </row>
    <row r="228" ht="12.6" customHeight="1" s="7635">
      <c r="E228" s="5587" t="n"/>
      <c r="N228" s="9255">
        <f>ROW(U228)</f>
        <v/>
      </c>
      <c r="O228" s="9671" t="n"/>
      <c r="P228" s="5575" t="n"/>
      <c r="Q228" s="12359" t="n"/>
      <c r="R228" s="5415" t="n"/>
      <c r="S228" s="12364" t="n"/>
      <c r="T228" s="1787" t="n"/>
      <c r="U228" s="12365">
        <f>IF(S228&lt;&gt;"",U227+S228,"")</f>
        <v/>
      </c>
      <c r="V228" s="5415" t="n"/>
      <c r="W228" s="12366">
        <f>IF(S228="","",IF(AND(Q228&lt;$P$116,Q229&gt;=$P$116),SUM($P$77,-U228),IF(AND(Q228&lt;$R$116,Q229&gt;=$R$116),SUM($P$77,$R$77,-U228),IF(AND(Q228&lt;$T$116,Q229&gt;=$T$116),SUM($P$77,$R$77,$T$77,-U228),IF(AND(Q228&lt;$V$116,Q229&gt;=$V$116),SUM($P$77,$R$77,$T$77,$V$77,-U228),0)))))</f>
        <v/>
      </c>
      <c r="X228" s="5576" t="n"/>
      <c r="Y228" s="1318">
        <f>IF(AND(Q228&lt;&gt;"",Q228&lt;Q227),1,0)</f>
        <v/>
      </c>
      <c r="CI228" s="9864" t="n"/>
    </row>
    <row r="229" ht="20.1" customFormat="1" customHeight="1" s="9864">
      <c r="E229" s="5587" t="n"/>
      <c r="N229" s="9255">
        <f>ROW(U229)</f>
        <v/>
      </c>
      <c r="O229" s="9671" t="n"/>
      <c r="P229" s="5575" t="n"/>
      <c r="Q229" s="12359" t="n"/>
      <c r="R229" s="5415" t="n"/>
      <c r="S229" s="12364" t="n"/>
      <c r="T229" s="1787" t="n"/>
      <c r="U229" s="12365">
        <f>IF(S229&lt;&gt;"",U228+S229,"")</f>
        <v/>
      </c>
      <c r="V229" s="5415" t="n"/>
      <c r="W229" s="12366">
        <f>IF(S229="","",IF(AND(Q229&lt;$P$116,Q230&gt;=$P$116),SUM($P$77,-U229),IF(AND(Q229&lt;$R$116,Q230&gt;=$R$116),SUM($P$77,$R$77,-U229),IF(AND(Q229&lt;$T$116,Q230&gt;=$T$116),SUM($P$77,$R$77,$T$77,-U229),IF(AND(Q229&lt;$V$116,Q230&gt;=$V$116),SUM($P$77,$R$77,$T$77,$V$77,-U229),0)))))</f>
        <v/>
      </c>
      <c r="X229" s="5576" t="n"/>
      <c r="Y229" s="1318">
        <f>IF(AND(Q229&lt;&gt;"",Q229&lt;Q228),1,0)</f>
        <v/>
      </c>
      <c r="AV229" s="658" t="n"/>
      <c r="AW229" s="658" t="n"/>
      <c r="AX229" s="658" t="n"/>
      <c r="AY229" s="658" t="n"/>
      <c r="AZ229" s="658" t="n"/>
      <c r="BA229" s="658" t="n"/>
      <c r="BB229" s="658" t="n"/>
      <c r="BC229" s="658" t="n"/>
      <c r="BD229" s="658" t="n"/>
      <c r="BE229" s="658" t="n"/>
      <c r="BF229" s="658" t="n"/>
    </row>
    <row r="230">
      <c r="N230" s="9255">
        <f>ROW(U230)</f>
        <v/>
      </c>
      <c r="O230" s="9671" t="n"/>
      <c r="P230" s="5575" t="n"/>
      <c r="Q230" s="12359" t="n"/>
      <c r="R230" s="5415" t="n"/>
      <c r="S230" s="12364" t="n"/>
      <c r="T230" s="1787" t="n"/>
      <c r="U230" s="12365">
        <f>IF(S230&lt;&gt;"",U229+S230,"")</f>
        <v/>
      </c>
      <c r="V230" s="5415" t="n"/>
      <c r="W230" s="12366">
        <f>IF(S230="","",IF(AND(Q230&lt;$P$116,Q231&gt;=$P$116),SUM($P$77,-U230),IF(AND(Q230&lt;$R$116,Q231&gt;=$R$116),SUM($P$77,$R$77,-U230),IF(AND(Q230&lt;$T$116,Q231&gt;=$T$116),SUM($P$77,$R$77,$T$77,-U230),IF(AND(Q230&lt;$V$116,Q231&gt;=$V$116),SUM($P$77,$R$77,$T$77,$V$77,-U230),0)))))</f>
        <v/>
      </c>
      <c r="X230" s="5576" t="n"/>
      <c r="Y230" s="1318">
        <f>IF(AND(Q230&lt;&gt;"",Q230&lt;Q229),1,0)</f>
        <v/>
      </c>
    </row>
    <row r="231" ht="12.6" customHeight="1" s="7635">
      <c r="N231" s="9255">
        <f>ROW(U231)</f>
        <v/>
      </c>
      <c r="O231" s="9671" t="n"/>
      <c r="P231" s="5575" t="n"/>
      <c r="Q231" s="12359" t="n"/>
      <c r="R231" s="5415" t="n"/>
      <c r="S231" s="12364" t="n"/>
      <c r="T231" s="1787" t="n"/>
      <c r="U231" s="12365">
        <f>IF(S231&lt;&gt;"",U230+S231,"")</f>
        <v/>
      </c>
      <c r="V231" s="5415" t="n"/>
      <c r="W231" s="12366">
        <f>IF(S231="","",IF(AND(Q231&lt;$P$116,Q232&gt;=$P$116),SUM($P$77,-U231),IF(AND(Q231&lt;$R$116,Q232&gt;=$R$116),SUM($P$77,$R$77,-U231),IF(AND(Q231&lt;$T$116,Q232&gt;=$T$116),SUM($P$77,$R$77,$T$77,-U231),IF(AND(Q231&lt;$V$116,Q232&gt;=$V$116),SUM($P$77,$R$77,$T$77,$V$77,-U231),0)))))</f>
        <v/>
      </c>
      <c r="X231" s="5576" t="n"/>
      <c r="Y231" s="1318">
        <f>IF(AND(Q231&lt;&gt;"",Q231&lt;Q230),1,0)</f>
        <v/>
      </c>
      <c r="CH231" s="9864" t="n"/>
    </row>
    <row r="232" ht="12.6" customHeight="1" s="7635">
      <c r="N232" s="9255">
        <f>ROW(U232)</f>
        <v/>
      </c>
      <c r="O232" s="9671" t="n"/>
      <c r="P232" s="5575" t="n"/>
      <c r="Q232" s="12359" t="n"/>
      <c r="R232" s="5415" t="n"/>
      <c r="S232" s="12364" t="n"/>
      <c r="T232" s="1787" t="n"/>
      <c r="U232" s="12365">
        <f>IF(S232&lt;&gt;"",U231+S232,"")</f>
        <v/>
      </c>
      <c r="V232" s="5415" t="n"/>
      <c r="W232" s="12366">
        <f>IF(S232="","",IF(AND(Q232&lt;$P$116,Q233&gt;=$P$116),SUM($P$77,-U232),IF(AND(Q232&lt;$R$116,Q233&gt;=$R$116),SUM($P$77,$R$77,-U232),IF(AND(Q232&lt;$T$116,Q233&gt;=$T$116),SUM($P$77,$R$77,$T$77,-U232),IF(AND(Q232&lt;$V$116,Q233&gt;=$V$116),SUM($P$77,$R$77,$T$77,$V$77,-U232),0)))))</f>
        <v/>
      </c>
      <c r="X232" s="5576" t="n"/>
      <c r="Y232" s="1318">
        <f>IF(AND(Q232&lt;&gt;"",Q232&lt;Q231),1,0)</f>
        <v/>
      </c>
    </row>
    <row r="233" ht="12.6" customHeight="1" s="7635" thickBot="1">
      <c r="N233" s="9255">
        <f>ROW(U233)</f>
        <v/>
      </c>
      <c r="O233" s="9671" t="n"/>
      <c r="P233" s="5575" t="n"/>
      <c r="Q233" s="12367" t="n"/>
      <c r="R233" s="5415" t="n"/>
      <c r="S233" s="12368" t="n"/>
      <c r="T233" s="1787" t="n"/>
      <c r="U233" s="12369">
        <f>IF(S233&lt;&gt;"",U232+S233,"")</f>
        <v/>
      </c>
      <c r="V233" s="5415" t="n"/>
      <c r="W233" s="12370">
        <f>IF(S233="","",IF(AND(Q233&lt;$P$116,Q234&gt;=$P$116),SUM($P$77,-U233),IF(AND(Q233&lt;$R$116,Q234&gt;=$R$116),SUM($P$77,$R$77,-U233),IF(AND(Q233&lt;$T$116,Q234&gt;=$T$116),SUM($P$77,$R$77,$T$77,-U233),IF(AND(Q233&lt;$V$116,Q234&gt;=$V$116),SUM($P$77,$R$77,$T$77,$V$77,-U233),0)))))</f>
        <v/>
      </c>
      <c r="X233" s="5576" t="n"/>
      <c r="Y233" s="1318">
        <f>IF(AND(Q233&lt;&gt;"",Q233&lt;Q232),1,0)</f>
        <v/>
      </c>
    </row>
    <row r="234" ht="13.5" customHeight="1" s="7635" thickBot="1">
      <c r="N234" s="9255">
        <f>ROW(U234)</f>
        <v/>
      </c>
      <c r="O234" s="9671" t="n"/>
      <c r="P234" s="5590" t="n"/>
      <c r="Q234" s="5591" t="n"/>
      <c r="R234" s="5591" t="n"/>
      <c r="S234" s="5591" t="n"/>
      <c r="T234" s="5591" t="n"/>
      <c r="U234" s="5591" t="n"/>
      <c r="V234" s="5591" t="n"/>
      <c r="W234" s="5591" t="n"/>
      <c r="X234" s="5592" t="n"/>
      <c r="Y234" s="1318">
        <f>SUM(Y180:Y233)</f>
        <v/>
      </c>
    </row>
    <row r="235" ht="13.5" customHeight="1" s="7635" thickTop="1">
      <c r="O235" s="512" t="n"/>
      <c r="P235" s="11602" t="n"/>
      <c r="Q235" s="11602" t="n"/>
      <c r="R235" s="11602" t="n"/>
      <c r="S235" s="11602" t="n"/>
      <c r="T235" s="11602" t="n"/>
      <c r="U235" s="11602" t="n"/>
      <c r="V235" s="11602" t="n"/>
      <c r="W235" s="11602" t="n"/>
      <c r="X235" s="11602" t="n"/>
      <c r="Y235" s="3235" t="n"/>
    </row>
    <row r="236" ht="12.6" customHeight="1" s="7635">
      <c r="Y236" s="3235" t="n"/>
    </row>
    <row r="237">
      <c r="Y237" s="3235" t="n"/>
      <c r="CJ237" s="9864" t="n"/>
    </row>
    <row r="238" ht="15.95" customHeight="1" s="7635">
      <c r="Y238" s="3235" t="n"/>
      <c r="CI238" s="9864" t="n"/>
    </row>
    <row r="239" ht="20.1" customFormat="1" customHeight="1" s="9864">
      <c r="Y239" s="3235" t="n"/>
      <c r="AV239" s="658" t="n"/>
      <c r="AW239" s="658" t="n"/>
      <c r="AX239" s="658" t="n"/>
      <c r="AY239" s="658" t="n"/>
      <c r="AZ239" s="658" t="n"/>
      <c r="BA239" s="658" t="n"/>
      <c r="BB239" s="658" t="n"/>
      <c r="BC239" s="658" t="n"/>
      <c r="BD239" s="658" t="n"/>
      <c r="BE239" s="658" t="n"/>
      <c r="BF239" s="658" t="n"/>
    </row>
    <row r="240" ht="12.6" customHeight="1" s="7635">
      <c r="Y240" s="3235" t="n"/>
    </row>
    <row r="241" ht="12.6" customHeight="1" s="7635">
      <c r="B241" s="7980" t="n"/>
      <c r="C241" s="7980" t="n"/>
      <c r="D241" s="7980" t="n"/>
      <c r="E241" s="7980" t="n"/>
      <c r="L241" s="7980" t="n"/>
      <c r="M241" s="7980" t="n"/>
      <c r="N241" s="7980" t="n"/>
      <c r="O241" s="7980" t="n"/>
      <c r="P241" s="7980" t="n"/>
      <c r="Q241" s="7980" t="n"/>
      <c r="R241" s="7980" t="n"/>
      <c r="S241" s="7980" t="n"/>
      <c r="T241" s="7980" t="n"/>
      <c r="U241" s="7980" t="n"/>
      <c r="V241" s="7980" t="n"/>
      <c r="Y241" s="3235" t="n"/>
    </row>
    <row r="242" ht="12.6" customHeight="1" s="7635">
      <c r="Y242" s="3235" t="n"/>
    </row>
    <row r="243" ht="13.5" customHeight="1" s="7635">
      <c r="B243" s="7980" t="n"/>
      <c r="C243" s="7980" t="n"/>
      <c r="D243" s="7980" t="n"/>
      <c r="E243" s="7980" t="n"/>
      <c r="L243" s="7980" t="n"/>
      <c r="M243" s="7980" t="n"/>
      <c r="N243" s="7980" t="n"/>
      <c r="O243" s="7980" t="n"/>
      <c r="P243" s="7980" t="n"/>
      <c r="Q243" s="7980" t="n"/>
      <c r="R243" s="7980" t="n"/>
      <c r="S243" s="7980" t="n"/>
      <c r="T243" s="7980" t="n"/>
      <c r="U243" s="7980" t="n"/>
      <c r="V243" s="7980" t="n"/>
      <c r="Y243" s="3235" t="n"/>
    </row>
    <row r="244" ht="12.6" customHeight="1" s="7635">
      <c r="Y244" s="3235" t="n"/>
    </row>
    <row r="245" ht="12.6" customHeight="1" s="7635">
      <c r="Y245" s="3235" t="n"/>
    </row>
    <row r="246" ht="12.6" customHeight="1" s="7635">
      <c r="Y246" s="3235" t="n"/>
    </row>
    <row r="247" ht="12.6" customHeight="1" s="7635">
      <c r="Y247" s="3235" t="n"/>
      <c r="CJ247" s="9864" t="n"/>
    </row>
    <row r="248" ht="15.95" customHeight="1" s="7635">
      <c r="Y248" s="3235" t="n"/>
    </row>
    <row r="249" ht="20.1" customFormat="1" customHeight="1" s="9864">
      <c r="Y249" s="3235" t="n"/>
      <c r="AV249" s="658" t="n"/>
      <c r="AW249" s="658" t="n"/>
      <c r="AX249" s="658" t="n"/>
      <c r="AY249" s="658" t="n"/>
      <c r="AZ249" s="658" t="n"/>
      <c r="BA249" s="658" t="n"/>
      <c r="BB249" s="658" t="n"/>
      <c r="BC249" s="658" t="n"/>
      <c r="BD249" s="658" t="n"/>
      <c r="BE249" s="658" t="n"/>
      <c r="BF249" s="658" t="n"/>
    </row>
    <row r="250">
      <c r="Y250" s="3235" t="n"/>
    </row>
    <row r="251" ht="12.6" customHeight="1" s="7635">
      <c r="Y251" s="3235" t="n"/>
    </row>
    <row r="252" ht="12.6" customHeight="1" s="7635">
      <c r="Y252" s="3235" t="n"/>
    </row>
    <row r="253" ht="12.6" customHeight="1" s="7635">
      <c r="Y253" s="3235" t="n"/>
    </row>
    <row r="254" ht="12.6" customHeight="1" s="7635">
      <c r="Y254" s="3235" t="n"/>
    </row>
    <row r="255" ht="12.6" customHeight="1" s="7635">
      <c r="Y255" s="3235" t="n"/>
    </row>
    <row r="256" ht="12.6" customHeight="1" s="7635">
      <c r="Y256" s="3235" t="n"/>
    </row>
    <row r="257" ht="12.6" customHeight="1" s="7635">
      <c r="Y257" s="3235" t="n"/>
    </row>
    <row r="258" ht="15.95" customHeight="1" s="7635">
      <c r="Y258" s="3235" t="n"/>
    </row>
    <row r="259" ht="20.1" customFormat="1" customHeight="1" s="9864">
      <c r="Y259" s="3235">
        <f>IF(OR(Q198="",Q198&gt;Q197),0,1)</f>
        <v/>
      </c>
      <c r="AV259" s="658" t="n"/>
      <c r="AW259" s="658" t="n"/>
      <c r="AX259" s="658" t="n"/>
      <c r="AY259" s="658" t="n"/>
      <c r="AZ259" s="658" t="n"/>
      <c r="BA259" s="658" t="n"/>
      <c r="BB259" s="658" t="n"/>
      <c r="BC259" s="658" t="n"/>
      <c r="BD259" s="658" t="n"/>
      <c r="BE259" s="658" t="n"/>
      <c r="BF259" s="658" t="n"/>
    </row>
    <row r="260">
      <c r="Y260" s="3235">
        <f>IF(OR(Q199="",Q199&gt;Q198),0,1)</f>
        <v/>
      </c>
    </row>
    <row r="261" ht="12.6" customHeight="1" s="7635">
      <c r="Y261" s="3235">
        <f>IF(OR(Q200="",Q200&gt;Q199),0,1)</f>
        <v/>
      </c>
    </row>
    <row r="262" ht="12.6" customHeight="1" s="7635">
      <c r="Y262" s="3235">
        <f>IF(OR(Q201="",Q201&gt;Q200),0,1)</f>
        <v/>
      </c>
    </row>
    <row r="263" ht="12.6" customHeight="1" s="7635">
      <c r="Y263" s="3235">
        <f>IF(OR(Q202="",Q202&gt;Q201),0,1)</f>
        <v/>
      </c>
    </row>
    <row r="264" ht="12.6" customHeight="1" s="7635">
      <c r="Y264" s="3235">
        <f>IF(OR(Q203="",Q203&gt;Q202),0,1)</f>
        <v/>
      </c>
    </row>
    <row r="265" ht="12.6" customHeight="1" s="7635">
      <c r="Y265" s="3235">
        <f>IF(OR(Q204="",Q204&gt;Q203),0,1)</f>
        <v/>
      </c>
    </row>
    <row r="266" ht="12.6" customHeight="1" s="7635">
      <c r="Y266" s="3235">
        <f>IF(OR(Q205="",Q205&gt;Q204),0,1)</f>
        <v/>
      </c>
    </row>
    <row r="267" ht="12.6" customHeight="1" s="7635">
      <c r="Y267" s="3235">
        <f>IF(OR(Q206="",Q206&gt;Q205),0,1)</f>
        <v/>
      </c>
    </row>
    <row r="268" ht="15.95" customHeight="1" s="7635">
      <c r="Y268" s="3235">
        <f>IF(OR(Q207="",Q207&gt;Q206),0,1)</f>
        <v/>
      </c>
    </row>
    <row r="269">
      <c r="Y269" s="3235">
        <f>IF(OR(Q208="",Q208&gt;Q207),0,1)</f>
        <v/>
      </c>
    </row>
    <row r="270">
      <c r="Y270" s="3235">
        <f>IF(OR(Q209="",Q209&gt;Q208),0,1)</f>
        <v/>
      </c>
    </row>
    <row r="271">
      <c r="Y271" s="3235">
        <f>IF(OR(Q210="",Q210&gt;Q209),0,1)</f>
        <v/>
      </c>
    </row>
    <row r="272">
      <c r="Y272" s="3235">
        <f>IF(OR(Q211="",Q211&gt;Q210),0,1)</f>
        <v/>
      </c>
    </row>
    <row r="273">
      <c r="Y273" s="3235">
        <f>IF(OR(Q212="",Q212&gt;Q211),0,1)</f>
        <v/>
      </c>
    </row>
    <row r="274">
      <c r="Y274" s="3235">
        <f>IF(OR(Q213="",Q213&gt;Q212),0,1)</f>
        <v/>
      </c>
    </row>
    <row r="275">
      <c r="Y275" s="3235">
        <f>IF(OR(Q214="",Q214&gt;Q213),0,1)</f>
        <v/>
      </c>
    </row>
    <row r="276">
      <c r="Y276" s="3235">
        <f>IF(OR(Q215="",Q215&gt;Q214),0,1)</f>
        <v/>
      </c>
    </row>
    <row r="277">
      <c r="Y277" s="3235">
        <f>IF(OR(Q216="",Q216&gt;Q215),0,1)</f>
        <v/>
      </c>
    </row>
    <row r="278">
      <c r="Y278" s="3235">
        <f>IF(OR(Q217="",Q217&gt;Q216),0,1)</f>
        <v/>
      </c>
    </row>
    <row r="279">
      <c r="Y279" s="3235">
        <f>IF(OR(Q218="",Q218&gt;Q217),0,1)</f>
        <v/>
      </c>
    </row>
    <row r="280">
      <c r="Y280" s="3235">
        <f>IF(OR(Q219="",Q219&gt;Q218),0,1)</f>
        <v/>
      </c>
    </row>
    <row r="281">
      <c r="Y281" s="3235">
        <f>IF(OR(Q220="",Q220&gt;Q219),0,1)</f>
        <v/>
      </c>
    </row>
    <row r="282" ht="12.75" customHeight="1" s="7635">
      <c r="Y282" s="3235">
        <f>IF(OR(Q221="",Q221&gt;Q220),0,1)</f>
        <v/>
      </c>
    </row>
    <row r="283">
      <c r="Y283" s="3235">
        <f>IF(OR(Q222="",Q222&gt;Q221),0,1)</f>
        <v/>
      </c>
    </row>
    <row r="284" ht="26.25" customHeight="1" s="7635">
      <c r="Y284" s="3235">
        <f>IF(OR(Q223="",Q223&gt;Q222),0,1)</f>
        <v/>
      </c>
    </row>
    <row r="285">
      <c r="Y285" s="3235">
        <f>IF(OR(Q224="",Q224&gt;Q223),0,1)</f>
        <v/>
      </c>
    </row>
    <row r="286">
      <c r="Y286" s="3235">
        <f>IF(OR(Q225="",Q225&gt;Q224),0,1)</f>
        <v/>
      </c>
    </row>
    <row r="287">
      <c r="Y287" s="3235">
        <f>IF(OR(Q226="",Q226&gt;Q225),0,1)</f>
        <v/>
      </c>
    </row>
    <row r="288">
      <c r="Y288" s="3235">
        <f>IF(OR(Q227="",Q227&gt;Q226),0,1)</f>
        <v/>
      </c>
    </row>
    <row r="289">
      <c r="Y289" s="3235">
        <f>IF(OR(Q228="",Q228&gt;Q227),0,1)</f>
        <v/>
      </c>
    </row>
    <row r="290">
      <c r="Y290" s="3235">
        <f>IF(OR(Q229="",Q229&gt;Q228),0,1)</f>
        <v/>
      </c>
    </row>
    <row r="291">
      <c r="Y291" s="3235">
        <f>IF(OR(Q230="",Q230&gt;Q229),0,1)</f>
        <v/>
      </c>
    </row>
    <row r="292">
      <c r="Y292" s="3235">
        <f>IF(OR(Q231="",Q231&gt;Q230),0,1)</f>
        <v/>
      </c>
    </row>
    <row r="293">
      <c r="Y293" s="3235">
        <f>IF(OR(Q232="",Q232&gt;Q231),0,1)</f>
        <v/>
      </c>
    </row>
    <row r="294">
      <c r="Y294" s="3235">
        <f>IF(OR(Q233="",Q233&gt;Q232),0,1)</f>
        <v/>
      </c>
    </row>
    <row r="295">
      <c r="Y295" s="3235" t="n"/>
    </row>
    <row r="296">
      <c r="Y296" s="11602" t="n"/>
    </row>
    <row r="302" ht="12.75" customHeight="1" s="7635">
      <c r="Y302" s="9012" t="n"/>
    </row>
    <row r="304">
      <c r="Y304" s="9012" t="n"/>
    </row>
    <row r="310">
      <c r="AA310" s="9864" t="n"/>
    </row>
    <row r="320">
      <c r="AA320" s="9864" t="n"/>
    </row>
    <row r="323" ht="12.75" customHeight="1" s="7635"/>
    <row r="327" ht="12.75" customHeight="1" s="7635"/>
    <row r="328" ht="12.75" customHeight="1" s="7635"/>
    <row r="329" ht="12.75" customHeight="1" s="7635"/>
    <row r="330" ht="12.6" customHeight="1" s="7635">
      <c r="AA330" s="9864" t="n"/>
    </row>
    <row r="332" ht="12.75" customHeight="1" s="7635"/>
    <row r="333" ht="12.75" customHeight="1" s="7635"/>
    <row r="334" ht="12.75" customHeight="1" s="7635"/>
    <row r="335" ht="12.75" customHeight="1" s="7635"/>
    <row r="337" ht="12.75" customHeight="1" s="7635"/>
    <row r="338" ht="12.75" customHeight="1" s="7635"/>
    <row r="339" ht="12.75" customHeight="1" s="7635"/>
    <row r="340" ht="13.5" customHeight="1" s="7635"/>
    <row r="368">
      <c r="AG368" s="9864" t="n"/>
      <c r="AH368" s="9864" t="n"/>
      <c r="AI368" s="9864" t="n"/>
      <c r="AJ368" s="9864" t="n"/>
      <c r="AM368" s="9864" t="n"/>
    </row>
    <row r="369">
      <c r="AK369" s="9864" t="n"/>
      <c r="AL369" s="9864" t="n"/>
    </row>
    <row r="371">
      <c r="AF371" s="9864" t="n"/>
    </row>
    <row r="378">
      <c r="AG378" s="9864" t="n"/>
      <c r="AH378" s="9864" t="n"/>
      <c r="AI378" s="9864" t="n"/>
      <c r="AJ378" s="9864" t="n"/>
      <c r="AM378" s="9864" t="n"/>
    </row>
    <row r="379">
      <c r="AK379" s="9864" t="n"/>
      <c r="AL379" s="9864" t="n"/>
    </row>
    <row r="381">
      <c r="AF381" s="9864" t="n"/>
    </row>
    <row r="388">
      <c r="AG388" s="9864" t="n"/>
      <c r="AH388" s="9864" t="n"/>
      <c r="AI388" s="9864" t="n"/>
      <c r="AJ388" s="9864" t="n"/>
      <c r="AM388" s="9864" t="n"/>
    </row>
    <row r="389">
      <c r="AK389" s="9864" t="n"/>
      <c r="AL389" s="9864" t="n"/>
    </row>
    <row r="391">
      <c r="AF391" s="9864" t="n"/>
    </row>
  </sheetData>
  <sheetProtection selectLockedCells="0" selectUnlockedCells="0" algorithmName="SHA-512" sheet="1" objects="1" insertRows="1" insertHyperlinks="1" autoFilter="1" scenarios="1" formatColumns="0" deleteColumns="1" insertColumns="1" pivotTables="1" deleteRows="1" formatCells="0" saltValue="0gTvgDB8Soee9m3deadxwQ==" formatRows="0" sort="1" spinCount="100000" hashValue="nwdCCpmexVTh2WnfS1sjfVEa3b6+dtDcHEJi3W6GkDoMUUcnWxgaYQ2asKZyBbVfj7z1TgCg4MksWDiW0+19kg=="/>
  <mergeCells count="328">
    <mergeCell ref="P163:Q163"/>
    <mergeCell ref="V73:W73"/>
    <mergeCell ref="R133:S133"/>
    <mergeCell ref="R135:S135"/>
    <mergeCell ref="AK8:AP19"/>
    <mergeCell ref="T135:U135"/>
    <mergeCell ref="N229:O229"/>
    <mergeCell ref="N200:O200"/>
    <mergeCell ref="N202:O202"/>
    <mergeCell ref="N195:O195"/>
    <mergeCell ref="N197:O197"/>
    <mergeCell ref="P153:Q153"/>
    <mergeCell ref="R82:S82"/>
    <mergeCell ref="R153:S153"/>
    <mergeCell ref="T82:U82"/>
    <mergeCell ref="Q172:W174"/>
    <mergeCell ref="N234:O234"/>
    <mergeCell ref="R146:S146"/>
    <mergeCell ref="N184:O184"/>
    <mergeCell ref="T146:U146"/>
    <mergeCell ref="P115:Q115"/>
    <mergeCell ref="G6:S7"/>
    <mergeCell ref="V74:W74"/>
    <mergeCell ref="B53:C53"/>
    <mergeCell ref="P77:Q77"/>
    <mergeCell ref="N179:O179"/>
    <mergeCell ref="N215:O215"/>
    <mergeCell ref="N190:O190"/>
    <mergeCell ref="B84:C84"/>
    <mergeCell ref="V118:W118"/>
    <mergeCell ref="AC7:AE7"/>
    <mergeCell ref="AC14:AE15"/>
    <mergeCell ref="P143:Q143"/>
    <mergeCell ref="R72:S72"/>
    <mergeCell ref="R143:S143"/>
    <mergeCell ref="T72:U72"/>
    <mergeCell ref="N210:O210"/>
    <mergeCell ref="R136:S136"/>
    <mergeCell ref="L78:N78"/>
    <mergeCell ref="T136:U136"/>
    <mergeCell ref="AA17:AB17"/>
    <mergeCell ref="AB124:AF124"/>
    <mergeCell ref="AA19:AB19"/>
    <mergeCell ref="K156:N156"/>
    <mergeCell ref="V121:W121"/>
    <mergeCell ref="R88:S88"/>
    <mergeCell ref="AB12:AE13"/>
    <mergeCell ref="B114:N116"/>
    <mergeCell ref="V89:W89"/>
    <mergeCell ref="P154:Q154"/>
    <mergeCell ref="R83:S83"/>
    <mergeCell ref="R154:S154"/>
    <mergeCell ref="T83:U83"/>
    <mergeCell ref="R91:S91"/>
    <mergeCell ref="P156:Q156"/>
    <mergeCell ref="K126:N126"/>
    <mergeCell ref="V120:W120"/>
    <mergeCell ref="R156:S156"/>
    <mergeCell ref="N187:O187"/>
    <mergeCell ref="T149:U149"/>
    <mergeCell ref="P118:Q118"/>
    <mergeCell ref="N216:O216"/>
    <mergeCell ref="AH48:AP49"/>
    <mergeCell ref="Z30:Z31"/>
    <mergeCell ref="N218:O218"/>
    <mergeCell ref="L132:N132"/>
    <mergeCell ref="P114:W114"/>
    <mergeCell ref="N193:O193"/>
    <mergeCell ref="T6:W6"/>
    <mergeCell ref="AC51:AE52"/>
    <mergeCell ref="U42:W42"/>
    <mergeCell ref="AC8:AE9"/>
    <mergeCell ref="T79:U79"/>
    <mergeCell ref="D118:N123"/>
    <mergeCell ref="T73:U73"/>
    <mergeCell ref="AH7:AP7"/>
    <mergeCell ref="P98:Q98"/>
    <mergeCell ref="P93:Q93"/>
    <mergeCell ref="R155:S155"/>
    <mergeCell ref="R93:S93"/>
    <mergeCell ref="T155:U155"/>
    <mergeCell ref="N206:O206"/>
    <mergeCell ref="T8:W8"/>
    <mergeCell ref="AC23:AE23"/>
    <mergeCell ref="U37:W37"/>
    <mergeCell ref="K125:N125"/>
    <mergeCell ref="N188:O188"/>
    <mergeCell ref="AB10:AE10"/>
    <mergeCell ref="U47:W47"/>
    <mergeCell ref="N219:O219"/>
    <mergeCell ref="P125:Q125"/>
    <mergeCell ref="R125:S125"/>
    <mergeCell ref="U44:W44"/>
    <mergeCell ref="T81:U81"/>
    <mergeCell ref="N208:O208"/>
    <mergeCell ref="R120:S120"/>
    <mergeCell ref="T145:U145"/>
    <mergeCell ref="N201:O201"/>
    <mergeCell ref="T101:U101"/>
    <mergeCell ref="V163:W163"/>
    <mergeCell ref="P139:Q139"/>
    <mergeCell ref="V101:W101"/>
    <mergeCell ref="V76:W76"/>
    <mergeCell ref="N212:O212"/>
    <mergeCell ref="N203:O203"/>
    <mergeCell ref="V165:W165"/>
    <mergeCell ref="AC42:AE42"/>
    <mergeCell ref="N214:O214"/>
    <mergeCell ref="N232:O232"/>
    <mergeCell ref="V77:W77"/>
    <mergeCell ref="F184:K184"/>
    <mergeCell ref="U38:W38"/>
    <mergeCell ref="K135:N135"/>
    <mergeCell ref="U40:W40"/>
    <mergeCell ref="T9:W9"/>
    <mergeCell ref="B59:D59"/>
    <mergeCell ref="C24:K26"/>
    <mergeCell ref="T95:U95"/>
    <mergeCell ref="P133:Q133"/>
    <mergeCell ref="N225:O225"/>
    <mergeCell ref="AH46:AP47"/>
    <mergeCell ref="AB83:AF83"/>
    <mergeCell ref="P135:Q135"/>
    <mergeCell ref="N227:O227"/>
    <mergeCell ref="T120:U120"/>
    <mergeCell ref="L14:N14"/>
    <mergeCell ref="V79:W79"/>
    <mergeCell ref="K146:N146"/>
    <mergeCell ref="N209:O209"/>
    <mergeCell ref="B52:C52"/>
    <mergeCell ref="AC19:AE19"/>
    <mergeCell ref="T121:U121"/>
    <mergeCell ref="S11:W11"/>
    <mergeCell ref="N224:O224"/>
    <mergeCell ref="V115:W115"/>
    <mergeCell ref="N189:O189"/>
    <mergeCell ref="T123:U123"/>
    <mergeCell ref="V123:W123"/>
    <mergeCell ref="P82:Q82"/>
    <mergeCell ref="P146:Q146"/>
    <mergeCell ref="U46:W46"/>
    <mergeCell ref="P71:W71"/>
    <mergeCell ref="K136:N136"/>
    <mergeCell ref="B67:D67"/>
    <mergeCell ref="U41:W41"/>
    <mergeCell ref="V159:W159"/>
    <mergeCell ref="AH31:AP31"/>
    <mergeCell ref="P159:Q159"/>
    <mergeCell ref="Q27:R28"/>
    <mergeCell ref="P72:Q72"/>
    <mergeCell ref="AC50:AE50"/>
    <mergeCell ref="C14:K15"/>
    <mergeCell ref="AB84:AF84"/>
    <mergeCell ref="B11:R11"/>
    <mergeCell ref="N185:O185"/>
    <mergeCell ref="P136:Q136"/>
    <mergeCell ref="V98:W98"/>
    <mergeCell ref="R129:S129"/>
    <mergeCell ref="R121:S121"/>
    <mergeCell ref="F182:K182"/>
    <mergeCell ref="AH8:AJ19"/>
    <mergeCell ref="AA14:AB14"/>
    <mergeCell ref="T116:U116"/>
    <mergeCell ref="P83:Q83"/>
    <mergeCell ref="V116:W116"/>
    <mergeCell ref="V82:W82"/>
    <mergeCell ref="AC38:AE38"/>
    <mergeCell ref="AC20:AE22"/>
    <mergeCell ref="P149:Q149"/>
    <mergeCell ref="R78:S78"/>
    <mergeCell ref="R149:S149"/>
    <mergeCell ref="T78:U78"/>
    <mergeCell ref="AC46:AE46"/>
    <mergeCell ref="N30:V33"/>
    <mergeCell ref="P80:Q80"/>
    <mergeCell ref="N180:O180"/>
    <mergeCell ref="B6:D6"/>
    <mergeCell ref="R126:S126"/>
    <mergeCell ref="R144:S144"/>
    <mergeCell ref="N182:O182"/>
    <mergeCell ref="AH32:AP32"/>
    <mergeCell ref="G8:S8"/>
    <mergeCell ref="T119:U119"/>
    <mergeCell ref="N211:O211"/>
    <mergeCell ref="K155:N155"/>
    <mergeCell ref="P79:Q79"/>
    <mergeCell ref="P73:Q73"/>
    <mergeCell ref="AH20:AP29"/>
    <mergeCell ref="R73:S73"/>
    <mergeCell ref="E6:F7"/>
    <mergeCell ref="V88:W88"/>
    <mergeCell ref="T117:U117"/>
    <mergeCell ref="O24:V26"/>
    <mergeCell ref="P155:Q155"/>
    <mergeCell ref="V117:W117"/>
    <mergeCell ref="AB122:AF122"/>
    <mergeCell ref="V83:W83"/>
    <mergeCell ref="V119:W119"/>
    <mergeCell ref="N199:O199"/>
    <mergeCell ref="AB82:AF82"/>
    <mergeCell ref="N186:O186"/>
    <mergeCell ref="R81:S81"/>
    <mergeCell ref="N183:O183"/>
    <mergeCell ref="T122:U122"/>
    <mergeCell ref="L162:N162"/>
    <mergeCell ref="P27:P28"/>
    <mergeCell ref="G9:S9"/>
    <mergeCell ref="R74:S74"/>
    <mergeCell ref="T74:U74"/>
    <mergeCell ref="P101:Q101"/>
    <mergeCell ref="R163:S163"/>
    <mergeCell ref="R101:S101"/>
    <mergeCell ref="T163:U163"/>
    <mergeCell ref="C30:K33"/>
    <mergeCell ref="N230:O230"/>
    <mergeCell ref="N178:O178"/>
    <mergeCell ref="B71:N73"/>
    <mergeCell ref="S28:V28"/>
    <mergeCell ref="N196:O196"/>
    <mergeCell ref="R77:S77"/>
    <mergeCell ref="L19:N19"/>
    <mergeCell ref="N207:O207"/>
    <mergeCell ref="AB11:AE11"/>
    <mergeCell ref="N198:O198"/>
    <mergeCell ref="AB121:AF121"/>
    <mergeCell ref="V122:W122"/>
    <mergeCell ref="AB123:AF123"/>
    <mergeCell ref="R89:S89"/>
    <mergeCell ref="AB6:AE6"/>
    <mergeCell ref="O14:V15"/>
    <mergeCell ref="T89:U89"/>
    <mergeCell ref="T88:U88"/>
    <mergeCell ref="N191:O191"/>
    <mergeCell ref="T153:U153"/>
    <mergeCell ref="P120:Q120"/>
    <mergeCell ref="L24:N25"/>
    <mergeCell ref="N220:O220"/>
    <mergeCell ref="P121:Q121"/>
    <mergeCell ref="R115:S115"/>
    <mergeCell ref="N222:O222"/>
    <mergeCell ref="T115:U115"/>
    <mergeCell ref="P123:Q123"/>
    <mergeCell ref="T77:U77"/>
    <mergeCell ref="N204:O204"/>
    <mergeCell ref="N233:O233"/>
    <mergeCell ref="E172:K178"/>
    <mergeCell ref="T143:U143"/>
    <mergeCell ref="V72:W72"/>
    <mergeCell ref="C18:K21"/>
    <mergeCell ref="Z12:Z15"/>
    <mergeCell ref="L152:N152"/>
    <mergeCell ref="R95:S95"/>
    <mergeCell ref="P116:Q116"/>
    <mergeCell ref="P134:Q134"/>
    <mergeCell ref="R159:S159"/>
    <mergeCell ref="R134:S134"/>
    <mergeCell ref="T159:U159"/>
    <mergeCell ref="N226:O226"/>
    <mergeCell ref="U36:W36"/>
    <mergeCell ref="N217:O217"/>
    <mergeCell ref="R98:S98"/>
    <mergeCell ref="T98:U98"/>
    <mergeCell ref="F16:F17"/>
    <mergeCell ref="N192:O192"/>
    <mergeCell ref="N228:O228"/>
    <mergeCell ref="L142:N142"/>
    <mergeCell ref="T91:U91"/>
    <mergeCell ref="P129:Q129"/>
    <mergeCell ref="V91:W91"/>
    <mergeCell ref="AB80:AF80"/>
    <mergeCell ref="T156:U156"/>
    <mergeCell ref="N221:O221"/>
    <mergeCell ref="T7:W7"/>
    <mergeCell ref="R123:S123"/>
    <mergeCell ref="V156:W156"/>
    <mergeCell ref="F27:F29"/>
    <mergeCell ref="T93:U93"/>
    <mergeCell ref="N223:O223"/>
    <mergeCell ref="F22:F23"/>
    <mergeCell ref="P124:Q124"/>
    <mergeCell ref="AB81:AF81"/>
    <mergeCell ref="R124:S124"/>
    <mergeCell ref="R118:S118"/>
    <mergeCell ref="AC47:AE48"/>
    <mergeCell ref="T118:U118"/>
    <mergeCell ref="P126:Q126"/>
    <mergeCell ref="AH44:AP45"/>
    <mergeCell ref="Z20:Z23"/>
    <mergeCell ref="B12:W12"/>
    <mergeCell ref="AB25:AE27"/>
    <mergeCell ref="P78:Q78"/>
    <mergeCell ref="N205:O205"/>
    <mergeCell ref="O18:V21"/>
    <mergeCell ref="P117:Q117"/>
    <mergeCell ref="U107:W107"/>
    <mergeCell ref="AH43:AP43"/>
    <mergeCell ref="P144:Q144"/>
    <mergeCell ref="P119:Q119"/>
    <mergeCell ref="V155:W155"/>
    <mergeCell ref="V93:W93"/>
    <mergeCell ref="AC43:AE44"/>
    <mergeCell ref="U39:W39"/>
    <mergeCell ref="N231:O231"/>
    <mergeCell ref="R116:S116"/>
    <mergeCell ref="AC55:AE56"/>
    <mergeCell ref="C7:D7"/>
    <mergeCell ref="R117:S117"/>
    <mergeCell ref="K145:N145"/>
    <mergeCell ref="R119:S119"/>
    <mergeCell ref="N213:O213"/>
    <mergeCell ref="R79:S79"/>
    <mergeCell ref="AB28:AE28"/>
    <mergeCell ref="AC54:AE54"/>
    <mergeCell ref="V81:W81"/>
    <mergeCell ref="V78:W78"/>
    <mergeCell ref="P81:Q81"/>
    <mergeCell ref="N194:O194"/>
    <mergeCell ref="P145:Q145"/>
    <mergeCell ref="R145:S145"/>
    <mergeCell ref="N181:O181"/>
    <mergeCell ref="R139:S139"/>
    <mergeCell ref="T139:U139"/>
    <mergeCell ref="S10:W10"/>
    <mergeCell ref="P122:Q122"/>
    <mergeCell ref="R122:S122"/>
    <mergeCell ref="C9:F9"/>
    <mergeCell ref="U45:W45"/>
    <mergeCell ref="P74:Q74"/>
  </mergeCells>
  <conditionalFormatting sqref="B11 T88:T89 T91 T93 T98 V89:W89 V93:W93 V98:W98">
    <cfRule type="expression" priority="556" dxfId="6">
      <formula>IF(NoColor,1,0)</formula>
    </cfRule>
  </conditionalFormatting>
  <conditionalFormatting sqref="B34:W34">
    <cfRule type="expression" priority="563" dxfId="2043" stopIfTrue="1">
      <formula>IF(TaxYear&gt;1996,1,0)</formula>
    </cfRule>
  </conditionalFormatting>
  <conditionalFormatting sqref="C85">
    <cfRule type="expression" priority="2" dxfId="14">
      <formula>IF($L$78,TRUE,FALSE)</formula>
    </cfRule>
    <cfRule type="expression" priority="3" dxfId="2029">
      <formula>AND($B$67,#REF!,$L$86)</formula>
    </cfRule>
  </conditionalFormatting>
  <conditionalFormatting sqref="D42">
    <cfRule type="expression" priority="377" dxfId="14">
      <formula>AND(Y17="",$U$42&lt;$W$43,NOT(NoColor))</formula>
    </cfRule>
  </conditionalFormatting>
  <conditionalFormatting sqref="D49">
    <cfRule type="expression" priority="502" dxfId="6">
      <formula>IF(NoColor,1,0)</formula>
    </cfRule>
  </conditionalFormatting>
  <conditionalFormatting sqref="D51">
    <cfRule type="expression" priority="168" dxfId="6">
      <formula>IF(NoColor,1,0)</formula>
    </cfRule>
  </conditionalFormatting>
  <conditionalFormatting sqref="D58">
    <cfRule type="expression" priority="501" dxfId="6">
      <formula>IF(NoColor,1,0)</formula>
    </cfRule>
  </conditionalFormatting>
  <conditionalFormatting sqref="D60">
    <cfRule type="expression" priority="496" dxfId="6">
      <formula>IF(NoColor,1,0)</formula>
    </cfRule>
  </conditionalFormatting>
  <conditionalFormatting sqref="D62">
    <cfRule type="expression" priority="495" dxfId="6">
      <formula>IF(NoColor,1,0)</formula>
    </cfRule>
  </conditionalFormatting>
  <conditionalFormatting sqref="D64">
    <cfRule type="expression" priority="494" dxfId="6">
      <formula>IF(NoColor,1,0)</formula>
    </cfRule>
  </conditionalFormatting>
  <conditionalFormatting sqref="D66">
    <cfRule type="expression" priority="493" dxfId="6">
      <formula>IF(NoColor,1,0)</formula>
    </cfRule>
  </conditionalFormatting>
  <conditionalFormatting sqref="D82">
    <cfRule type="expression" priority="16" dxfId="158">
      <formula>$P$80</formula>
    </cfRule>
  </conditionalFormatting>
  <conditionalFormatting sqref="D83">
    <cfRule type="expression" priority="4" dxfId="14">
      <formula>AND(NOT(NoColor),NOT($B$67))</formula>
    </cfRule>
  </conditionalFormatting>
  <conditionalFormatting sqref="D84:D86">
    <cfRule type="expression" priority="145" dxfId="14">
      <formula>IF($L$78,TRUE,FALSE)</formula>
    </cfRule>
    <cfRule type="expression" priority="2016" dxfId="2029">
      <formula>AND($B$67,#REF!,$L$86)</formula>
    </cfRule>
  </conditionalFormatting>
  <conditionalFormatting sqref="H82">
    <cfRule type="expression" priority="48" dxfId="14">
      <formula>IF(AND(NOT(NoColor),NOT($B$67),#REF!),1,0)</formula>
    </cfRule>
  </conditionalFormatting>
  <conditionalFormatting sqref="H107">
    <cfRule type="expression" priority="5" dxfId="14">
      <formula>AND(NOT(NoColor),NOT($B$67))</formula>
    </cfRule>
  </conditionalFormatting>
  <conditionalFormatting sqref="I45">
    <cfRule type="expression" priority="1926" dxfId="14" stopIfTrue="1">
      <formula>IF(AND($C$31&lt;&gt;"",OR($U$39="",$U$39=0),$U$46&lt;$U$45),1,0)</formula>
    </cfRule>
  </conditionalFormatting>
  <conditionalFormatting sqref="I49">
    <cfRule type="expression" priority="2013" dxfId="158">
      <formula>IF(AND(NOT(NoColor),$V$43,$D$49&lt;&gt;"",NOT($B$67)),1,0)</formula>
    </cfRule>
  </conditionalFormatting>
  <conditionalFormatting sqref="I81">
    <cfRule type="expression" priority="2015" dxfId="158">
      <formula>IF(AND(NOT(NoColor),$B$67,#REF!,$L$80),1,0)</formula>
    </cfRule>
  </conditionalFormatting>
  <conditionalFormatting sqref="J41">
    <cfRule type="expression" priority="378" dxfId="14">
      <formula>IF(AND($U$42&lt;$W$43,NOT(NoColor)),1,0)</formula>
    </cfRule>
  </conditionalFormatting>
  <conditionalFormatting sqref="J45:K45">
    <cfRule type="expression" priority="130" dxfId="14">
      <formula>AND($U$48,NOT(NoColor))</formula>
    </cfRule>
  </conditionalFormatting>
  <conditionalFormatting sqref="K82">
    <cfRule type="expression" priority="13" dxfId="14">
      <formula>AND(NOT(NoColor),NOT($B$67))</formula>
    </cfRule>
  </conditionalFormatting>
  <conditionalFormatting sqref="L56">
    <cfRule type="expression" priority="1945" dxfId="158">
      <formula>AND(Y17="",NOT(NoColor),$V$43,NOT($B$67))</formula>
    </cfRule>
  </conditionalFormatting>
  <conditionalFormatting sqref="L82">
    <cfRule type="expression" priority="15" dxfId="14">
      <formula>IF(AND(NOT(NoColor),NOT($B$67),#REF!),1,0)</formula>
    </cfRule>
  </conditionalFormatting>
  <conditionalFormatting sqref="M82">
    <cfRule type="expression" priority="12" dxfId="14">
      <formula>AND(NOT(NoColor),NOT($B$67))</formula>
    </cfRule>
  </conditionalFormatting>
  <conditionalFormatting sqref="N41">
    <cfRule type="expression" priority="132" dxfId="14">
      <formula>AND(Y17="",$U$42&lt;$W$43,NOT(NoColor))</formula>
    </cfRule>
  </conditionalFormatting>
  <conditionalFormatting sqref="N49">
    <cfRule type="expression" priority="38" dxfId="158">
      <formula>IF(AND(NOT(NoColor),$V$43,$D$49&lt;&gt;"",NOT($B$67)),1,0)</formula>
    </cfRule>
  </conditionalFormatting>
  <conditionalFormatting sqref="N82">
    <cfRule type="expression" priority="47" dxfId="14">
      <formula>IF(AND(NOT(NoColor),NOT($B$67),#REF!),1,0)</formula>
    </cfRule>
  </conditionalFormatting>
  <conditionalFormatting sqref="O41">
    <cfRule type="expression" priority="133" dxfId="14">
      <formula>AND(Y17="",$U$42&lt;$W$43,NOT(NoColor))</formula>
    </cfRule>
  </conditionalFormatting>
  <conditionalFormatting sqref="O49">
    <cfRule type="expression" priority="167" dxfId="898">
      <formula>B66</formula>
    </cfRule>
  </conditionalFormatting>
  <conditionalFormatting sqref="O14:V15">
    <cfRule type="expression" priority="35" dxfId="781">
      <formula>AND(Y17="",OR(AND($U$41,NOT(NoColor)),AND($U$48,NOT(NoColor))))</formula>
    </cfRule>
  </conditionalFormatting>
  <conditionalFormatting sqref="P93:R93">
    <cfRule type="expression" priority="8" dxfId="6">
      <formula>IF(NoColor,1,0)</formula>
    </cfRule>
  </conditionalFormatting>
  <conditionalFormatting sqref="P98:R98">
    <cfRule type="expression" priority="11" dxfId="6">
      <formula>IF(NoColor,1,0)</formula>
    </cfRule>
  </conditionalFormatting>
  <conditionalFormatting sqref="P77:W77">
    <cfRule type="expression" priority="19" dxfId="6">
      <formula>IF(NoColor,1,0)</formula>
    </cfRule>
  </conditionalFormatting>
  <conditionalFormatting sqref="P78:W82">
    <cfRule type="expression" priority="1" dxfId="20">
      <formula>OR(NOT($W$48),$Y$78&lt;&gt;"")</formula>
    </cfRule>
  </conditionalFormatting>
  <conditionalFormatting sqref="P83:W83">
    <cfRule type="expression" priority="162" dxfId="6">
      <formula>IF(NoColor,1,0)</formula>
    </cfRule>
  </conditionalFormatting>
  <conditionalFormatting sqref="P101:W101">
    <cfRule type="expression" priority="17" dxfId="6">
      <formula>IF(NoColor,1,0)</formula>
    </cfRule>
  </conditionalFormatting>
  <conditionalFormatting sqref="P117:W117">
    <cfRule type="expression" priority="6" dxfId="6">
      <formula>IF(NoColor,1,0)</formula>
    </cfRule>
  </conditionalFormatting>
  <conditionalFormatting sqref="Q172">
    <cfRule type="expression" priority="5090" dxfId="2004">
      <formula>$Z$235</formula>
    </cfRule>
  </conditionalFormatting>
  <conditionalFormatting sqref="Q178:Q233">
    <cfRule type="expression" priority="153" dxfId="6">
      <formula>IF(NoColor,1,0)</formula>
    </cfRule>
    <cfRule type="expression" priority="169" dxfId="0">
      <formula>IF($X178=1,1,0)</formula>
    </cfRule>
  </conditionalFormatting>
  <conditionalFormatting sqref="R66">
    <cfRule type="expression" priority="37" dxfId="14">
      <formula>AND($D$66&lt;&gt;"",$U$46&gt;$Q$43)</formula>
    </cfRule>
  </conditionalFormatting>
  <conditionalFormatting sqref="R88:R89">
    <cfRule type="expression" priority="10" dxfId="6">
      <formula>IF(NoColor,1,0)</formula>
    </cfRule>
  </conditionalFormatting>
  <conditionalFormatting sqref="R91">
    <cfRule type="expression" priority="9" dxfId="6">
      <formula>IF(NoColor,1,0)</formula>
    </cfRule>
  </conditionalFormatting>
  <conditionalFormatting sqref="R95:U95">
    <cfRule type="expression" priority="7" dxfId="6">
      <formula>IF(NoColor,1,0)</formula>
    </cfRule>
  </conditionalFormatting>
  <conditionalFormatting sqref="S11">
    <cfRule type="expression" priority="555" dxfId="6">
      <formula>IF(NoColor,1,0)</formula>
    </cfRule>
  </conditionalFormatting>
  <conditionalFormatting sqref="S40">
    <cfRule type="expression" priority="129" dxfId="158">
      <formula>IF(U40&gt;1,1,0)</formula>
    </cfRule>
  </conditionalFormatting>
  <conditionalFormatting sqref="S43">
    <cfRule type="expression" priority="356" dxfId="6">
      <formula>IF(NoColor,1,0)</formula>
    </cfRule>
  </conditionalFormatting>
  <conditionalFormatting sqref="S45">
    <cfRule type="expression" priority="379" dxfId="14">
      <formula>IF(AND($U$48,NOT(NoColor)),1,0)</formula>
    </cfRule>
  </conditionalFormatting>
  <conditionalFormatting sqref="S178:S233">
    <cfRule type="expression" priority="152" dxfId="6">
      <formula>IF(NoColor,1,0)</formula>
    </cfRule>
  </conditionalFormatting>
  <conditionalFormatting sqref="U37">
    <cfRule type="expression" priority="551" dxfId="6">
      <formula>IF(NoColor,1,0)</formula>
    </cfRule>
    <cfRule type="expression" priority="568" dxfId="46" stopIfTrue="1">
      <formula>IF($P$31&lt;&gt;"",1,0)</formula>
    </cfRule>
  </conditionalFormatting>
  <conditionalFormatting sqref="U107">
    <cfRule type="expression" priority="471" dxfId="6">
      <formula>IF(NoColor,1,0)</formula>
    </cfRule>
    <cfRule type="expression" priority="472" dxfId="1299" stopIfTrue="1">
      <formula>IF($P$31&lt;&gt;"",1,0)</formula>
    </cfRule>
  </conditionalFormatting>
  <conditionalFormatting sqref="U178:U233">
    <cfRule type="expression" priority="151" dxfId="6">
      <formula>IF(NoColor,1,0)</formula>
    </cfRule>
  </conditionalFormatting>
  <conditionalFormatting sqref="U39:W40">
    <cfRule type="expression" priority="128" dxfId="46" stopIfTrue="1">
      <formula>IF($P$31&lt;&gt;"",1,0)</formula>
    </cfRule>
    <cfRule type="expression" priority="127" dxfId="6">
      <formula>IF(NoColor,1,0)</formula>
    </cfRule>
  </conditionalFormatting>
  <conditionalFormatting sqref="U42:W42">
    <cfRule type="expression" priority="509" dxfId="6">
      <formula>IF(NoColor,1,0)</formula>
    </cfRule>
  </conditionalFormatting>
  <conditionalFormatting sqref="U44:W44">
    <cfRule type="expression" priority="381" dxfId="46" stopIfTrue="1">
      <formula>IF($P$31&lt;&gt;"",1,0)</formula>
    </cfRule>
  </conditionalFormatting>
  <conditionalFormatting sqref="U44:W47">
    <cfRule type="expression" priority="380" dxfId="6">
      <formula>IF(NoColor,1,0)</formula>
    </cfRule>
  </conditionalFormatting>
  <conditionalFormatting sqref="U46:W47">
    <cfRule type="expression" priority="506" dxfId="1299" stopIfTrue="1">
      <formula>IF($P$31&lt;&gt;"",1,0)</formula>
    </cfRule>
  </conditionalFormatting>
  <conditionalFormatting sqref="V88">
    <cfRule type="expression" priority="359" dxfId="6">
      <formula>IF(NoColor,1,0)</formula>
    </cfRule>
  </conditionalFormatting>
  <conditionalFormatting sqref="V91">
    <cfRule type="expression" priority="208" dxfId="6">
      <formula>IF(NoColor,1,0)</formula>
    </cfRule>
  </conditionalFormatting>
  <conditionalFormatting sqref="V76:W76">
    <cfRule type="expression" priority="24" dxfId="20">
      <formula>OR(#REF!&lt;&gt;"",$U$47="",#REF!,ShortMethod,NOT(#REF!),NOT($B$62))</formula>
    </cfRule>
  </conditionalFormatting>
  <conditionalFormatting sqref="W66">
    <cfRule type="expression" priority="187" dxfId="14">
      <formula>AND($D$66&lt;&gt;"",$U$46&gt;$Q$43)</formula>
    </cfRule>
  </conditionalFormatting>
  <conditionalFormatting sqref="W178:W233">
    <cfRule type="expression" priority="150">
      <formula>IF(NoColor,1,0)</formula>
    </cfRule>
    <cfRule type="expression" priority="149" dxfId="6">
      <formula>IF(NoColor,1,0)</formula>
    </cfRule>
  </conditionalFormatting>
  <conditionalFormatting sqref="Y17">
    <cfRule type="expression" priority="33" dxfId="4">
      <formula>OR(AND($U$42&lt;$W$43,NOT(NoColor)),AND($U$48,NOT(NoColor)))</formula>
    </cfRule>
  </conditionalFormatting>
  <conditionalFormatting sqref="Y109">
    <cfRule type="expression" priority="126" dxfId="4">
      <formula>IF(AND(NOT(ShortMethod),NOT($B$62),#REF!),TRUE,FALSE)</formula>
    </cfRule>
  </conditionalFormatting>
  <conditionalFormatting sqref="Z7:Z9">
    <cfRule type="expression" priority="140" dxfId="3">
      <formula>IF($AC$8="",TRUE,FALSE)</formula>
    </cfRule>
  </conditionalFormatting>
  <conditionalFormatting sqref="Z12">
    <cfRule type="expression" priority="42" dxfId="3">
      <formula>IF($AC$14="",TRUE,FALSE)</formula>
    </cfRule>
  </conditionalFormatting>
  <conditionalFormatting sqref="Z17">
    <cfRule type="expression" priority="34" dxfId="1972">
      <formula>OR(AND($U$42&lt;$W$43,NOT(NoColor)),AND($U$48,NOT(NoColor)))</formula>
    </cfRule>
  </conditionalFormatting>
  <conditionalFormatting sqref="Z20">
    <cfRule type="expression" priority="43" dxfId="1971">
      <formula>IF($AC$23="",TRUE,FALSE)</formula>
    </cfRule>
  </conditionalFormatting>
  <conditionalFormatting sqref="Z30">
    <cfRule type="expression" priority="4517" dxfId="1970">
      <formula>IF($Y$35&lt;&gt;1,1,0)</formula>
    </cfRule>
  </conditionalFormatting>
  <hyperlinks>
    <hyperlink xmlns:r="http://schemas.openxmlformats.org/officeDocument/2006/relationships" ref="F182" display="Download Form 2210" r:id="rId1"/>
    <hyperlink xmlns:r="http://schemas.openxmlformats.org/officeDocument/2006/relationships" ref="F184" display="Download Form 2210 Instructions" r:id="rId2"/>
  </hyperlinks>
  <pageMargins left="0.75" right="0.25" top="0.36" bottom="0.29" header="0.36" footer="0.21"/>
  <pageSetup orientation="portrait" scale="78" fitToHeight="0"/>
  <rowBreaks count="2" manualBreakCount="2">
    <brk id="68" min="1" max="22" man="1"/>
    <brk id="108" min="1" max="22" man="1"/>
  </rowBreaks>
  <drawing xmlns:r="http://schemas.openxmlformats.org/officeDocument/2006/relationships" r:id="rId3"/>
</worksheet>
</file>

<file path=xl/worksheets/sheet40.xml><?xml version="1.0" encoding="utf-8"?>
<worksheet xmlns="http://schemas.openxmlformats.org/spreadsheetml/2006/main">
  <sheetPr>
    <outlinePr summaryBelow="1" summaryRight="1"/>
    <pageSetUpPr fitToPage="1"/>
  </sheetPr>
  <dimension ref="A1:BG245"/>
  <sheetViews>
    <sheetView zoomScaleNormal="100" zoomScaleSheetLayoutView="120" workbookViewId="0">
      <selection activeCell="A1" sqref="A1"/>
    </sheetView>
  </sheetViews>
  <sheetFormatPr baseColWidth="8" defaultRowHeight="12.75"/>
  <cols>
    <col width="2" customWidth="1" style="7635" min="1" max="1"/>
    <col width="8.42578125" customWidth="1" style="7635" min="2" max="2"/>
    <col width="3.140625" customWidth="1" style="7635" min="3" max="3"/>
    <col width="4.5703125" customWidth="1" style="7635" min="4" max="4"/>
    <col width="2.7109375" customWidth="1" style="7635" min="5" max="5"/>
    <col width="7.140625" customWidth="1" style="7635" min="6" max="6"/>
    <col width="7.5703125" customWidth="1" style="7635" min="7" max="7"/>
    <col width="7.28515625" customWidth="1" style="7635" min="8" max="8"/>
    <col width="4.42578125" customWidth="1" style="7635" min="9" max="9"/>
    <col width="10" customWidth="1" style="7635" min="10" max="10"/>
    <col width="6.42578125" customWidth="1" style="7635" min="11" max="11"/>
    <col width="10.5703125" customWidth="1" style="7635" min="12" max="12"/>
    <col width="3.85546875" customWidth="1" style="7635" min="13" max="13"/>
    <col width="6" customWidth="1" style="7635" min="14" max="14"/>
    <col width="4.5703125" customWidth="1" style="7635" min="15" max="15"/>
    <col width="4" customWidth="1" style="7635" min="16" max="16"/>
    <col width="3.28515625" customWidth="1" style="7635" min="17" max="17"/>
    <col width="2.42578125" customWidth="1" style="7635" min="18" max="18"/>
    <col width="4.28515625" customWidth="1" style="7635" min="19" max="19"/>
    <col width="3.28515625" customWidth="1" style="7635" min="20" max="20"/>
    <col width="4.85546875" customWidth="1" style="7635" min="21" max="21"/>
    <col width="11.28515625" customWidth="1" style="7635" min="22" max="22"/>
    <col width="6.5703125" customWidth="1" style="7635" min="23" max="23"/>
    <col width="3" customWidth="1" style="7635" min="24" max="24"/>
    <col width="3.7109375" customWidth="1" style="7635" min="25" max="25"/>
    <col width="3" customWidth="1" style="7635" min="26" max="26"/>
    <col width="16.28515625" customWidth="1" style="7635" min="27" max="27"/>
    <col width="2.42578125" customWidth="1" style="7635" min="29" max="29"/>
    <col width="3.85546875" customWidth="1" style="7635" min="30" max="30"/>
    <col width="17.5703125" customWidth="1" style="7635" min="31" max="31"/>
    <col width="23.28515625" customWidth="1" style="7635" min="32" max="32"/>
    <col width="19" customWidth="1" style="7635" min="33" max="33"/>
    <col width="2.85546875" customWidth="1" style="7635" min="34" max="34"/>
    <col width="10.42578125" customWidth="1" style="7635" min="35" max="35"/>
    <col width="2" customWidth="1" style="7635" min="36" max="36"/>
    <col width="9.85546875" customWidth="1" style="7635" min="37" max="37"/>
    <col width="3.28515625" customWidth="1" style="7635" min="38" max="38"/>
    <col width="16.28515625" customWidth="1" style="7635" min="39" max="39"/>
    <col width="2" customWidth="1" style="7635" min="40" max="40"/>
    <col width="16.28515625" customWidth="1" style="7635" min="41" max="41"/>
    <col width="4.140625" customWidth="1" style="7635" min="42" max="42"/>
    <col width="4" customWidth="1" style="7635" min="43" max="43"/>
    <col width="10.7109375" customWidth="1" style="658" min="44" max="52"/>
    <col width="9" customWidth="1" style="7635" min="55" max="55"/>
    <col width="9.85546875" customWidth="1" style="7453" min="56" max="56"/>
    <col width="13.7109375" customWidth="1" style="7453" min="57" max="57"/>
    <col width="11.85546875" customWidth="1" style="7635" min="58" max="58"/>
    <col width="2" customWidth="1" style="7635" min="279" max="279"/>
    <col width="8.28515625" customWidth="1" style="7635" min="280" max="280"/>
    <col width="15.42578125" customWidth="1" style="7635" min="281" max="281"/>
    <col width="8.7109375" customWidth="1" style="7635" min="282" max="282"/>
    <col width="8" customWidth="1" style="7635" min="283" max="283"/>
    <col width="6" customWidth="1" style="7635" min="284" max="284"/>
    <col width="6.5703125" customWidth="1" style="7635" min="285" max="285"/>
    <col width="9.5703125" customWidth="1" style="7635" min="286" max="286"/>
    <col width="11.5703125" customWidth="1" style="7635" min="287" max="287"/>
    <col width="3.5703125" customWidth="1" style="7635" min="288" max="288"/>
    <col width="13.85546875" customWidth="1" style="7635" min="289" max="289"/>
    <col width="5.5703125" customWidth="1" style="7635" min="290" max="290"/>
    <col width="19.7109375" customWidth="1" style="7635" min="291" max="291"/>
    <col width="2.140625" customWidth="1" style="7635" min="292" max="292"/>
    <col width="13.5703125" customWidth="1" style="7635" min="293" max="293"/>
    <col width="2" customWidth="1" style="7635" min="535" max="535"/>
    <col width="8.28515625" customWidth="1" style="7635" min="536" max="536"/>
    <col width="15.42578125" customWidth="1" style="7635" min="537" max="537"/>
    <col width="8.7109375" customWidth="1" style="7635" min="538" max="538"/>
    <col width="8" customWidth="1" style="7635" min="539" max="539"/>
    <col width="6" customWidth="1" style="7635" min="540" max="540"/>
    <col width="6.5703125" customWidth="1" style="7635" min="541" max="541"/>
    <col width="9.5703125" customWidth="1" style="7635" min="542" max="542"/>
    <col width="11.5703125" customWidth="1" style="7635" min="543" max="543"/>
    <col width="3.5703125" customWidth="1" style="7635" min="544" max="544"/>
    <col width="13.85546875" customWidth="1" style="7635" min="545" max="545"/>
    <col width="5.5703125" customWidth="1" style="7635" min="546" max="546"/>
    <col width="19.7109375" customWidth="1" style="7635" min="547" max="547"/>
    <col width="2.140625" customWidth="1" style="7635" min="548" max="548"/>
    <col width="13.5703125" customWidth="1" style="7635" min="549" max="549"/>
    <col width="2" customWidth="1" style="7635" min="791" max="791"/>
    <col width="8.28515625" customWidth="1" style="7635" min="792" max="792"/>
    <col width="15.42578125" customWidth="1" style="7635" min="793" max="793"/>
    <col width="8.7109375" customWidth="1" style="7635" min="794" max="794"/>
    <col width="8" customWidth="1" style="7635" min="795" max="795"/>
    <col width="6" customWidth="1" style="7635" min="796" max="796"/>
    <col width="6.5703125" customWidth="1" style="7635" min="797" max="797"/>
    <col width="9.5703125" customWidth="1" style="7635" min="798" max="798"/>
    <col width="11.5703125" customWidth="1" style="7635" min="799" max="799"/>
    <col width="3.5703125" customWidth="1" style="7635" min="800" max="800"/>
    <col width="13.85546875" customWidth="1" style="7635" min="801" max="801"/>
    <col width="5.5703125" customWidth="1" style="7635" min="802" max="802"/>
    <col width="19.7109375" customWidth="1" style="7635" min="803" max="803"/>
    <col width="2.140625" customWidth="1" style="7635" min="804" max="804"/>
    <col width="13.5703125" customWidth="1" style="7635" min="805" max="805"/>
    <col width="2" customWidth="1" style="7635" min="1047" max="1047"/>
    <col width="8.28515625" customWidth="1" style="7635" min="1048" max="1048"/>
    <col width="15.42578125" customWidth="1" style="7635" min="1049" max="1049"/>
    <col width="8.7109375" customWidth="1" style="7635" min="1050" max="1050"/>
    <col width="8" customWidth="1" style="7635" min="1051" max="1051"/>
    <col width="6" customWidth="1" style="7635" min="1052" max="1052"/>
    <col width="6.5703125" customWidth="1" style="7635" min="1053" max="1053"/>
    <col width="9.5703125" customWidth="1" style="7635" min="1054" max="1054"/>
    <col width="11.5703125" customWidth="1" style="7635" min="1055" max="1055"/>
    <col width="3.5703125" customWidth="1" style="7635" min="1056" max="1056"/>
    <col width="13.85546875" customWidth="1" style="7635" min="1057" max="1057"/>
    <col width="5.5703125" customWidth="1" style="7635" min="1058" max="1058"/>
    <col width="19.7109375" customWidth="1" style="7635" min="1059" max="1059"/>
    <col width="2.140625" customWidth="1" style="7635" min="1060" max="1060"/>
    <col width="13.5703125" customWidth="1" style="7635" min="1061" max="1061"/>
    <col width="2" customWidth="1" style="7635" min="1303" max="1303"/>
    <col width="8.28515625" customWidth="1" style="7635" min="1304" max="1304"/>
    <col width="15.42578125" customWidth="1" style="7635" min="1305" max="1305"/>
    <col width="8.7109375" customWidth="1" style="7635" min="1306" max="1306"/>
    <col width="8" customWidth="1" style="7635" min="1307" max="1307"/>
    <col width="6" customWidth="1" style="7635" min="1308" max="1308"/>
    <col width="6.5703125" customWidth="1" style="7635" min="1309" max="1309"/>
    <col width="9.5703125" customWidth="1" style="7635" min="1310" max="1310"/>
    <col width="11.5703125" customWidth="1" style="7635" min="1311" max="1311"/>
    <col width="3.5703125" customWidth="1" style="7635" min="1312" max="1312"/>
    <col width="13.85546875" customWidth="1" style="7635" min="1313" max="1313"/>
    <col width="5.5703125" customWidth="1" style="7635" min="1314" max="1314"/>
    <col width="19.7109375" customWidth="1" style="7635" min="1315" max="1315"/>
    <col width="2.140625" customWidth="1" style="7635" min="1316" max="1316"/>
    <col width="13.5703125" customWidth="1" style="7635" min="1317" max="1317"/>
    <col width="2" customWidth="1" style="7635" min="1559" max="1559"/>
    <col width="8.28515625" customWidth="1" style="7635" min="1560" max="1560"/>
    <col width="15.42578125" customWidth="1" style="7635" min="1561" max="1561"/>
    <col width="8.7109375" customWidth="1" style="7635" min="1562" max="1562"/>
    <col width="8" customWidth="1" style="7635" min="1563" max="1563"/>
    <col width="6" customWidth="1" style="7635" min="1564" max="1564"/>
    <col width="6.5703125" customWidth="1" style="7635" min="1565" max="1565"/>
    <col width="9.5703125" customWidth="1" style="7635" min="1566" max="1566"/>
    <col width="11.5703125" customWidth="1" style="7635" min="1567" max="1567"/>
    <col width="3.5703125" customWidth="1" style="7635" min="1568" max="1568"/>
    <col width="13.85546875" customWidth="1" style="7635" min="1569" max="1569"/>
    <col width="5.5703125" customWidth="1" style="7635" min="1570" max="1570"/>
    <col width="19.7109375" customWidth="1" style="7635" min="1571" max="1571"/>
    <col width="2.140625" customWidth="1" style="7635" min="1572" max="1572"/>
    <col width="13.5703125" customWidth="1" style="7635" min="1573" max="1573"/>
    <col width="2" customWidth="1" style="7635" min="1815" max="1815"/>
    <col width="8.28515625" customWidth="1" style="7635" min="1816" max="1816"/>
    <col width="15.42578125" customWidth="1" style="7635" min="1817" max="1817"/>
    <col width="8.7109375" customWidth="1" style="7635" min="1818" max="1818"/>
    <col width="8" customWidth="1" style="7635" min="1819" max="1819"/>
    <col width="6" customWidth="1" style="7635" min="1820" max="1820"/>
    <col width="6.5703125" customWidth="1" style="7635" min="1821" max="1821"/>
    <col width="9.5703125" customWidth="1" style="7635" min="1822" max="1822"/>
    <col width="11.5703125" customWidth="1" style="7635" min="1823" max="1823"/>
    <col width="3.5703125" customWidth="1" style="7635" min="1824" max="1824"/>
    <col width="13.85546875" customWidth="1" style="7635" min="1825" max="1825"/>
    <col width="5.5703125" customWidth="1" style="7635" min="1826" max="1826"/>
    <col width="19.7109375" customWidth="1" style="7635" min="1827" max="1827"/>
    <col width="2.140625" customWidth="1" style="7635" min="1828" max="1828"/>
    <col width="13.5703125" customWidth="1" style="7635" min="1829" max="1829"/>
    <col width="2" customWidth="1" style="7635" min="2071" max="2071"/>
    <col width="8.28515625" customWidth="1" style="7635" min="2072" max="2072"/>
    <col width="15.42578125" customWidth="1" style="7635" min="2073" max="2073"/>
    <col width="8.7109375" customWidth="1" style="7635" min="2074" max="2074"/>
    <col width="8" customWidth="1" style="7635" min="2075" max="2075"/>
    <col width="6" customWidth="1" style="7635" min="2076" max="2076"/>
    <col width="6.5703125" customWidth="1" style="7635" min="2077" max="2077"/>
    <col width="9.5703125" customWidth="1" style="7635" min="2078" max="2078"/>
    <col width="11.5703125" customWidth="1" style="7635" min="2079" max="2079"/>
    <col width="3.5703125" customWidth="1" style="7635" min="2080" max="2080"/>
    <col width="13.85546875" customWidth="1" style="7635" min="2081" max="2081"/>
    <col width="5.5703125" customWidth="1" style="7635" min="2082" max="2082"/>
    <col width="19.7109375" customWidth="1" style="7635" min="2083" max="2083"/>
    <col width="2.140625" customWidth="1" style="7635" min="2084" max="2084"/>
    <col width="13.5703125" customWidth="1" style="7635" min="2085" max="2085"/>
    <col width="2" customWidth="1" style="7635" min="2327" max="2327"/>
    <col width="8.28515625" customWidth="1" style="7635" min="2328" max="2328"/>
    <col width="15.42578125" customWidth="1" style="7635" min="2329" max="2329"/>
    <col width="8.7109375" customWidth="1" style="7635" min="2330" max="2330"/>
    <col width="8" customWidth="1" style="7635" min="2331" max="2331"/>
    <col width="6" customWidth="1" style="7635" min="2332" max="2332"/>
    <col width="6.5703125" customWidth="1" style="7635" min="2333" max="2333"/>
    <col width="9.5703125" customWidth="1" style="7635" min="2334" max="2334"/>
    <col width="11.5703125" customWidth="1" style="7635" min="2335" max="2335"/>
    <col width="3.5703125" customWidth="1" style="7635" min="2336" max="2336"/>
    <col width="13.85546875" customWidth="1" style="7635" min="2337" max="2337"/>
    <col width="5.5703125" customWidth="1" style="7635" min="2338" max="2338"/>
    <col width="19.7109375" customWidth="1" style="7635" min="2339" max="2339"/>
    <col width="2.140625" customWidth="1" style="7635" min="2340" max="2340"/>
    <col width="13.5703125" customWidth="1" style="7635" min="2341" max="2341"/>
    <col width="2" customWidth="1" style="7635" min="2583" max="2583"/>
    <col width="8.28515625" customWidth="1" style="7635" min="2584" max="2584"/>
    <col width="15.42578125" customWidth="1" style="7635" min="2585" max="2585"/>
    <col width="8.7109375" customWidth="1" style="7635" min="2586" max="2586"/>
    <col width="8" customWidth="1" style="7635" min="2587" max="2587"/>
    <col width="6" customWidth="1" style="7635" min="2588" max="2588"/>
    <col width="6.5703125" customWidth="1" style="7635" min="2589" max="2589"/>
    <col width="9.5703125" customWidth="1" style="7635" min="2590" max="2590"/>
    <col width="11.5703125" customWidth="1" style="7635" min="2591" max="2591"/>
    <col width="3.5703125" customWidth="1" style="7635" min="2592" max="2592"/>
    <col width="13.85546875" customWidth="1" style="7635" min="2593" max="2593"/>
    <col width="5.5703125" customWidth="1" style="7635" min="2594" max="2594"/>
    <col width="19.7109375" customWidth="1" style="7635" min="2595" max="2595"/>
    <col width="2.140625" customWidth="1" style="7635" min="2596" max="2596"/>
    <col width="13.5703125" customWidth="1" style="7635" min="2597" max="2597"/>
    <col width="2" customWidth="1" style="7635" min="2839" max="2839"/>
    <col width="8.28515625" customWidth="1" style="7635" min="2840" max="2840"/>
    <col width="15.42578125" customWidth="1" style="7635" min="2841" max="2841"/>
    <col width="8.7109375" customWidth="1" style="7635" min="2842" max="2842"/>
    <col width="8" customWidth="1" style="7635" min="2843" max="2843"/>
    <col width="6" customWidth="1" style="7635" min="2844" max="2844"/>
    <col width="6.5703125" customWidth="1" style="7635" min="2845" max="2845"/>
    <col width="9.5703125" customWidth="1" style="7635" min="2846" max="2846"/>
    <col width="11.5703125" customWidth="1" style="7635" min="2847" max="2847"/>
    <col width="3.5703125" customWidth="1" style="7635" min="2848" max="2848"/>
    <col width="13.85546875" customWidth="1" style="7635" min="2849" max="2849"/>
    <col width="5.5703125" customWidth="1" style="7635" min="2850" max="2850"/>
    <col width="19.7109375" customWidth="1" style="7635" min="2851" max="2851"/>
    <col width="2.140625" customWidth="1" style="7635" min="2852" max="2852"/>
    <col width="13.5703125" customWidth="1" style="7635" min="2853" max="2853"/>
    <col width="2" customWidth="1" style="7635" min="3095" max="3095"/>
    <col width="8.28515625" customWidth="1" style="7635" min="3096" max="3096"/>
    <col width="15.42578125" customWidth="1" style="7635" min="3097" max="3097"/>
    <col width="8.7109375" customWidth="1" style="7635" min="3098" max="3098"/>
    <col width="8" customWidth="1" style="7635" min="3099" max="3099"/>
    <col width="6" customWidth="1" style="7635" min="3100" max="3100"/>
    <col width="6.5703125" customWidth="1" style="7635" min="3101" max="3101"/>
    <col width="9.5703125" customWidth="1" style="7635" min="3102" max="3102"/>
    <col width="11.5703125" customWidth="1" style="7635" min="3103" max="3103"/>
    <col width="3.5703125" customWidth="1" style="7635" min="3104" max="3104"/>
    <col width="13.85546875" customWidth="1" style="7635" min="3105" max="3105"/>
    <col width="5.5703125" customWidth="1" style="7635" min="3106" max="3106"/>
    <col width="19.7109375" customWidth="1" style="7635" min="3107" max="3107"/>
    <col width="2.140625" customWidth="1" style="7635" min="3108" max="3108"/>
    <col width="13.5703125" customWidth="1" style="7635" min="3109" max="3109"/>
    <col width="2" customWidth="1" style="7635" min="3351" max="3351"/>
    <col width="8.28515625" customWidth="1" style="7635" min="3352" max="3352"/>
    <col width="15.42578125" customWidth="1" style="7635" min="3353" max="3353"/>
    <col width="8.7109375" customWidth="1" style="7635" min="3354" max="3354"/>
    <col width="8" customWidth="1" style="7635" min="3355" max="3355"/>
    <col width="6" customWidth="1" style="7635" min="3356" max="3356"/>
    <col width="6.5703125" customWidth="1" style="7635" min="3357" max="3357"/>
    <col width="9.5703125" customWidth="1" style="7635" min="3358" max="3358"/>
    <col width="11.5703125" customWidth="1" style="7635" min="3359" max="3359"/>
    <col width="3.5703125" customWidth="1" style="7635" min="3360" max="3360"/>
    <col width="13.85546875" customWidth="1" style="7635" min="3361" max="3361"/>
    <col width="5.5703125" customWidth="1" style="7635" min="3362" max="3362"/>
    <col width="19.7109375" customWidth="1" style="7635" min="3363" max="3363"/>
    <col width="2.140625" customWidth="1" style="7635" min="3364" max="3364"/>
    <col width="13.5703125" customWidth="1" style="7635" min="3365" max="3365"/>
    <col width="2" customWidth="1" style="7635" min="3607" max="3607"/>
    <col width="8.28515625" customWidth="1" style="7635" min="3608" max="3608"/>
    <col width="15.42578125" customWidth="1" style="7635" min="3609" max="3609"/>
    <col width="8.7109375" customWidth="1" style="7635" min="3610" max="3610"/>
    <col width="8" customWidth="1" style="7635" min="3611" max="3611"/>
    <col width="6" customWidth="1" style="7635" min="3612" max="3612"/>
    <col width="6.5703125" customWidth="1" style="7635" min="3613" max="3613"/>
    <col width="9.5703125" customWidth="1" style="7635" min="3614" max="3614"/>
    <col width="11.5703125" customWidth="1" style="7635" min="3615" max="3615"/>
    <col width="3.5703125" customWidth="1" style="7635" min="3616" max="3616"/>
    <col width="13.85546875" customWidth="1" style="7635" min="3617" max="3617"/>
    <col width="5.5703125" customWidth="1" style="7635" min="3618" max="3618"/>
    <col width="19.7109375" customWidth="1" style="7635" min="3619" max="3619"/>
    <col width="2.140625" customWidth="1" style="7635" min="3620" max="3620"/>
    <col width="13.5703125" customWidth="1" style="7635" min="3621" max="3621"/>
    <col width="2" customWidth="1" style="7635" min="3863" max="3863"/>
    <col width="8.28515625" customWidth="1" style="7635" min="3864" max="3864"/>
    <col width="15.42578125" customWidth="1" style="7635" min="3865" max="3865"/>
    <col width="8.7109375" customWidth="1" style="7635" min="3866" max="3866"/>
    <col width="8" customWidth="1" style="7635" min="3867" max="3867"/>
    <col width="6" customWidth="1" style="7635" min="3868" max="3868"/>
    <col width="6.5703125" customWidth="1" style="7635" min="3869" max="3869"/>
    <col width="9.5703125" customWidth="1" style="7635" min="3870" max="3870"/>
    <col width="11.5703125" customWidth="1" style="7635" min="3871" max="3871"/>
    <col width="3.5703125" customWidth="1" style="7635" min="3872" max="3872"/>
    <col width="13.85546875" customWidth="1" style="7635" min="3873" max="3873"/>
    <col width="5.5703125" customWidth="1" style="7635" min="3874" max="3874"/>
    <col width="19.7109375" customWidth="1" style="7635" min="3875" max="3875"/>
    <col width="2.140625" customWidth="1" style="7635" min="3876" max="3876"/>
    <col width="13.5703125" customWidth="1" style="7635" min="3877" max="3877"/>
    <col width="2" customWidth="1" style="7635" min="4119" max="4119"/>
    <col width="8.28515625" customWidth="1" style="7635" min="4120" max="4120"/>
    <col width="15.42578125" customWidth="1" style="7635" min="4121" max="4121"/>
    <col width="8.7109375" customWidth="1" style="7635" min="4122" max="4122"/>
    <col width="8" customWidth="1" style="7635" min="4123" max="4123"/>
    <col width="6" customWidth="1" style="7635" min="4124" max="4124"/>
    <col width="6.5703125" customWidth="1" style="7635" min="4125" max="4125"/>
    <col width="9.5703125" customWidth="1" style="7635" min="4126" max="4126"/>
    <col width="11.5703125" customWidth="1" style="7635" min="4127" max="4127"/>
    <col width="3.5703125" customWidth="1" style="7635" min="4128" max="4128"/>
    <col width="13.85546875" customWidth="1" style="7635" min="4129" max="4129"/>
    <col width="5.5703125" customWidth="1" style="7635" min="4130" max="4130"/>
    <col width="19.7109375" customWidth="1" style="7635" min="4131" max="4131"/>
    <col width="2.140625" customWidth="1" style="7635" min="4132" max="4132"/>
    <col width="13.5703125" customWidth="1" style="7635" min="4133" max="4133"/>
    <col width="2" customWidth="1" style="7635" min="4375" max="4375"/>
    <col width="8.28515625" customWidth="1" style="7635" min="4376" max="4376"/>
    <col width="15.42578125" customWidth="1" style="7635" min="4377" max="4377"/>
    <col width="8.7109375" customWidth="1" style="7635" min="4378" max="4378"/>
    <col width="8" customWidth="1" style="7635" min="4379" max="4379"/>
    <col width="6" customWidth="1" style="7635" min="4380" max="4380"/>
    <col width="6.5703125" customWidth="1" style="7635" min="4381" max="4381"/>
    <col width="9.5703125" customWidth="1" style="7635" min="4382" max="4382"/>
    <col width="11.5703125" customWidth="1" style="7635" min="4383" max="4383"/>
    <col width="3.5703125" customWidth="1" style="7635" min="4384" max="4384"/>
    <col width="13.85546875" customWidth="1" style="7635" min="4385" max="4385"/>
    <col width="5.5703125" customWidth="1" style="7635" min="4386" max="4386"/>
    <col width="19.7109375" customWidth="1" style="7635" min="4387" max="4387"/>
    <col width="2.140625" customWidth="1" style="7635" min="4388" max="4388"/>
    <col width="13.5703125" customWidth="1" style="7635" min="4389" max="4389"/>
    <col width="2" customWidth="1" style="7635" min="4631" max="4631"/>
    <col width="8.28515625" customWidth="1" style="7635" min="4632" max="4632"/>
    <col width="15.42578125" customWidth="1" style="7635" min="4633" max="4633"/>
    <col width="8.7109375" customWidth="1" style="7635" min="4634" max="4634"/>
    <col width="8" customWidth="1" style="7635" min="4635" max="4635"/>
    <col width="6" customWidth="1" style="7635" min="4636" max="4636"/>
    <col width="6.5703125" customWidth="1" style="7635" min="4637" max="4637"/>
    <col width="9.5703125" customWidth="1" style="7635" min="4638" max="4638"/>
    <col width="11.5703125" customWidth="1" style="7635" min="4639" max="4639"/>
    <col width="3.5703125" customWidth="1" style="7635" min="4640" max="4640"/>
    <col width="13.85546875" customWidth="1" style="7635" min="4641" max="4641"/>
    <col width="5.5703125" customWidth="1" style="7635" min="4642" max="4642"/>
    <col width="19.7109375" customWidth="1" style="7635" min="4643" max="4643"/>
    <col width="2.140625" customWidth="1" style="7635" min="4644" max="4644"/>
    <col width="13.5703125" customWidth="1" style="7635" min="4645" max="4645"/>
    <col width="2" customWidth="1" style="7635" min="4887" max="4887"/>
    <col width="8.28515625" customWidth="1" style="7635" min="4888" max="4888"/>
    <col width="15.42578125" customWidth="1" style="7635" min="4889" max="4889"/>
    <col width="8.7109375" customWidth="1" style="7635" min="4890" max="4890"/>
    <col width="8" customWidth="1" style="7635" min="4891" max="4891"/>
    <col width="6" customWidth="1" style="7635" min="4892" max="4892"/>
    <col width="6.5703125" customWidth="1" style="7635" min="4893" max="4893"/>
    <col width="9.5703125" customWidth="1" style="7635" min="4894" max="4894"/>
    <col width="11.5703125" customWidth="1" style="7635" min="4895" max="4895"/>
    <col width="3.5703125" customWidth="1" style="7635" min="4896" max="4896"/>
    <col width="13.85546875" customWidth="1" style="7635" min="4897" max="4897"/>
    <col width="5.5703125" customWidth="1" style="7635" min="4898" max="4898"/>
    <col width="19.7109375" customWidth="1" style="7635" min="4899" max="4899"/>
    <col width="2.140625" customWidth="1" style="7635" min="4900" max="4900"/>
    <col width="13.5703125" customWidth="1" style="7635" min="4901" max="4901"/>
    <col width="2" customWidth="1" style="7635" min="5143" max="5143"/>
    <col width="8.28515625" customWidth="1" style="7635" min="5144" max="5144"/>
    <col width="15.42578125" customWidth="1" style="7635" min="5145" max="5145"/>
    <col width="8.7109375" customWidth="1" style="7635" min="5146" max="5146"/>
    <col width="8" customWidth="1" style="7635" min="5147" max="5147"/>
    <col width="6" customWidth="1" style="7635" min="5148" max="5148"/>
    <col width="6.5703125" customWidth="1" style="7635" min="5149" max="5149"/>
    <col width="9.5703125" customWidth="1" style="7635" min="5150" max="5150"/>
    <col width="11.5703125" customWidth="1" style="7635" min="5151" max="5151"/>
    <col width="3.5703125" customWidth="1" style="7635" min="5152" max="5152"/>
    <col width="13.85546875" customWidth="1" style="7635" min="5153" max="5153"/>
    <col width="5.5703125" customWidth="1" style="7635" min="5154" max="5154"/>
    <col width="19.7109375" customWidth="1" style="7635" min="5155" max="5155"/>
    <col width="2.140625" customWidth="1" style="7635" min="5156" max="5156"/>
    <col width="13.5703125" customWidth="1" style="7635" min="5157" max="5157"/>
    <col width="2" customWidth="1" style="7635" min="5399" max="5399"/>
    <col width="8.28515625" customWidth="1" style="7635" min="5400" max="5400"/>
    <col width="15.42578125" customWidth="1" style="7635" min="5401" max="5401"/>
    <col width="8.7109375" customWidth="1" style="7635" min="5402" max="5402"/>
    <col width="8" customWidth="1" style="7635" min="5403" max="5403"/>
    <col width="6" customWidth="1" style="7635" min="5404" max="5404"/>
    <col width="6.5703125" customWidth="1" style="7635" min="5405" max="5405"/>
    <col width="9.5703125" customWidth="1" style="7635" min="5406" max="5406"/>
    <col width="11.5703125" customWidth="1" style="7635" min="5407" max="5407"/>
    <col width="3.5703125" customWidth="1" style="7635" min="5408" max="5408"/>
    <col width="13.85546875" customWidth="1" style="7635" min="5409" max="5409"/>
    <col width="5.5703125" customWidth="1" style="7635" min="5410" max="5410"/>
    <col width="19.7109375" customWidth="1" style="7635" min="5411" max="5411"/>
    <col width="2.140625" customWidth="1" style="7635" min="5412" max="5412"/>
    <col width="13.5703125" customWidth="1" style="7635" min="5413" max="5413"/>
    <col width="2" customWidth="1" style="7635" min="5655" max="5655"/>
    <col width="8.28515625" customWidth="1" style="7635" min="5656" max="5656"/>
    <col width="15.42578125" customWidth="1" style="7635" min="5657" max="5657"/>
    <col width="8.7109375" customWidth="1" style="7635" min="5658" max="5658"/>
    <col width="8" customWidth="1" style="7635" min="5659" max="5659"/>
    <col width="6" customWidth="1" style="7635" min="5660" max="5660"/>
    <col width="6.5703125" customWidth="1" style="7635" min="5661" max="5661"/>
    <col width="9.5703125" customWidth="1" style="7635" min="5662" max="5662"/>
    <col width="11.5703125" customWidth="1" style="7635" min="5663" max="5663"/>
    <col width="3.5703125" customWidth="1" style="7635" min="5664" max="5664"/>
    <col width="13.85546875" customWidth="1" style="7635" min="5665" max="5665"/>
    <col width="5.5703125" customWidth="1" style="7635" min="5666" max="5666"/>
    <col width="19.7109375" customWidth="1" style="7635" min="5667" max="5667"/>
    <col width="2.140625" customWidth="1" style="7635" min="5668" max="5668"/>
    <col width="13.5703125" customWidth="1" style="7635" min="5669" max="5669"/>
    <col width="2" customWidth="1" style="7635" min="5911" max="5911"/>
    <col width="8.28515625" customWidth="1" style="7635" min="5912" max="5912"/>
    <col width="15.42578125" customWidth="1" style="7635" min="5913" max="5913"/>
    <col width="8.7109375" customWidth="1" style="7635" min="5914" max="5914"/>
    <col width="8" customWidth="1" style="7635" min="5915" max="5915"/>
    <col width="6" customWidth="1" style="7635" min="5916" max="5916"/>
    <col width="6.5703125" customWidth="1" style="7635" min="5917" max="5917"/>
    <col width="9.5703125" customWidth="1" style="7635" min="5918" max="5918"/>
    <col width="11.5703125" customWidth="1" style="7635" min="5919" max="5919"/>
    <col width="3.5703125" customWidth="1" style="7635" min="5920" max="5920"/>
    <col width="13.85546875" customWidth="1" style="7635" min="5921" max="5921"/>
    <col width="5.5703125" customWidth="1" style="7635" min="5922" max="5922"/>
    <col width="19.7109375" customWidth="1" style="7635" min="5923" max="5923"/>
    <col width="2.140625" customWidth="1" style="7635" min="5924" max="5924"/>
    <col width="13.5703125" customWidth="1" style="7635" min="5925" max="5925"/>
    <col width="2" customWidth="1" style="7635" min="6167" max="6167"/>
    <col width="8.28515625" customWidth="1" style="7635" min="6168" max="6168"/>
    <col width="15.42578125" customWidth="1" style="7635" min="6169" max="6169"/>
    <col width="8.7109375" customWidth="1" style="7635" min="6170" max="6170"/>
    <col width="8" customWidth="1" style="7635" min="6171" max="6171"/>
    <col width="6" customWidth="1" style="7635" min="6172" max="6172"/>
    <col width="6.5703125" customWidth="1" style="7635" min="6173" max="6173"/>
    <col width="9.5703125" customWidth="1" style="7635" min="6174" max="6174"/>
    <col width="11.5703125" customWidth="1" style="7635" min="6175" max="6175"/>
    <col width="3.5703125" customWidth="1" style="7635" min="6176" max="6176"/>
    <col width="13.85546875" customWidth="1" style="7635" min="6177" max="6177"/>
    <col width="5.5703125" customWidth="1" style="7635" min="6178" max="6178"/>
    <col width="19.7109375" customWidth="1" style="7635" min="6179" max="6179"/>
    <col width="2.140625" customWidth="1" style="7635" min="6180" max="6180"/>
    <col width="13.5703125" customWidth="1" style="7635" min="6181" max="6181"/>
    <col width="2" customWidth="1" style="7635" min="6423" max="6423"/>
    <col width="8.28515625" customWidth="1" style="7635" min="6424" max="6424"/>
    <col width="15.42578125" customWidth="1" style="7635" min="6425" max="6425"/>
    <col width="8.7109375" customWidth="1" style="7635" min="6426" max="6426"/>
    <col width="8" customWidth="1" style="7635" min="6427" max="6427"/>
    <col width="6" customWidth="1" style="7635" min="6428" max="6428"/>
    <col width="6.5703125" customWidth="1" style="7635" min="6429" max="6429"/>
    <col width="9.5703125" customWidth="1" style="7635" min="6430" max="6430"/>
    <col width="11.5703125" customWidth="1" style="7635" min="6431" max="6431"/>
    <col width="3.5703125" customWidth="1" style="7635" min="6432" max="6432"/>
    <col width="13.85546875" customWidth="1" style="7635" min="6433" max="6433"/>
    <col width="5.5703125" customWidth="1" style="7635" min="6434" max="6434"/>
    <col width="19.7109375" customWidth="1" style="7635" min="6435" max="6435"/>
    <col width="2.140625" customWidth="1" style="7635" min="6436" max="6436"/>
    <col width="13.5703125" customWidth="1" style="7635" min="6437" max="6437"/>
    <col width="2" customWidth="1" style="7635" min="6679" max="6679"/>
    <col width="8.28515625" customWidth="1" style="7635" min="6680" max="6680"/>
    <col width="15.42578125" customWidth="1" style="7635" min="6681" max="6681"/>
    <col width="8.7109375" customWidth="1" style="7635" min="6682" max="6682"/>
    <col width="8" customWidth="1" style="7635" min="6683" max="6683"/>
    <col width="6" customWidth="1" style="7635" min="6684" max="6684"/>
    <col width="6.5703125" customWidth="1" style="7635" min="6685" max="6685"/>
    <col width="9.5703125" customWidth="1" style="7635" min="6686" max="6686"/>
    <col width="11.5703125" customWidth="1" style="7635" min="6687" max="6687"/>
    <col width="3.5703125" customWidth="1" style="7635" min="6688" max="6688"/>
    <col width="13.85546875" customWidth="1" style="7635" min="6689" max="6689"/>
    <col width="5.5703125" customWidth="1" style="7635" min="6690" max="6690"/>
    <col width="19.7109375" customWidth="1" style="7635" min="6691" max="6691"/>
    <col width="2.140625" customWidth="1" style="7635" min="6692" max="6692"/>
    <col width="13.5703125" customWidth="1" style="7635" min="6693" max="6693"/>
    <col width="2" customWidth="1" style="7635" min="6935" max="6935"/>
    <col width="8.28515625" customWidth="1" style="7635" min="6936" max="6936"/>
    <col width="15.42578125" customWidth="1" style="7635" min="6937" max="6937"/>
    <col width="8.7109375" customWidth="1" style="7635" min="6938" max="6938"/>
    <col width="8" customWidth="1" style="7635" min="6939" max="6939"/>
    <col width="6" customWidth="1" style="7635" min="6940" max="6940"/>
    <col width="6.5703125" customWidth="1" style="7635" min="6941" max="6941"/>
    <col width="9.5703125" customWidth="1" style="7635" min="6942" max="6942"/>
    <col width="11.5703125" customWidth="1" style="7635" min="6943" max="6943"/>
    <col width="3.5703125" customWidth="1" style="7635" min="6944" max="6944"/>
    <col width="13.85546875" customWidth="1" style="7635" min="6945" max="6945"/>
    <col width="5.5703125" customWidth="1" style="7635" min="6946" max="6946"/>
    <col width="19.7109375" customWidth="1" style="7635" min="6947" max="6947"/>
    <col width="2.140625" customWidth="1" style="7635" min="6948" max="6948"/>
    <col width="13.5703125" customWidth="1" style="7635" min="6949" max="6949"/>
    <col width="2" customWidth="1" style="7635" min="7191" max="7191"/>
    <col width="8.28515625" customWidth="1" style="7635" min="7192" max="7192"/>
    <col width="15.42578125" customWidth="1" style="7635" min="7193" max="7193"/>
    <col width="8.7109375" customWidth="1" style="7635" min="7194" max="7194"/>
    <col width="8" customWidth="1" style="7635" min="7195" max="7195"/>
    <col width="6" customWidth="1" style="7635" min="7196" max="7196"/>
    <col width="6.5703125" customWidth="1" style="7635" min="7197" max="7197"/>
    <col width="9.5703125" customWidth="1" style="7635" min="7198" max="7198"/>
    <col width="11.5703125" customWidth="1" style="7635" min="7199" max="7199"/>
    <col width="3.5703125" customWidth="1" style="7635" min="7200" max="7200"/>
    <col width="13.85546875" customWidth="1" style="7635" min="7201" max="7201"/>
    <col width="5.5703125" customWidth="1" style="7635" min="7202" max="7202"/>
    <col width="19.7109375" customWidth="1" style="7635" min="7203" max="7203"/>
    <col width="2.140625" customWidth="1" style="7635" min="7204" max="7204"/>
    <col width="13.5703125" customWidth="1" style="7635" min="7205" max="7205"/>
    <col width="2" customWidth="1" style="7635" min="7447" max="7447"/>
    <col width="8.28515625" customWidth="1" style="7635" min="7448" max="7448"/>
    <col width="15.42578125" customWidth="1" style="7635" min="7449" max="7449"/>
    <col width="8.7109375" customWidth="1" style="7635" min="7450" max="7450"/>
    <col width="8" customWidth="1" style="7635" min="7451" max="7451"/>
    <col width="6" customWidth="1" style="7635" min="7452" max="7452"/>
    <col width="6.5703125" customWidth="1" style="7635" min="7453" max="7453"/>
    <col width="9.5703125" customWidth="1" style="7635" min="7454" max="7454"/>
    <col width="11.5703125" customWidth="1" style="7635" min="7455" max="7455"/>
    <col width="3.5703125" customWidth="1" style="7635" min="7456" max="7456"/>
    <col width="13.85546875" customWidth="1" style="7635" min="7457" max="7457"/>
    <col width="5.5703125" customWidth="1" style="7635" min="7458" max="7458"/>
    <col width="19.7109375" customWidth="1" style="7635" min="7459" max="7459"/>
    <col width="2.140625" customWidth="1" style="7635" min="7460" max="7460"/>
    <col width="13.5703125" customWidth="1" style="7635" min="7461" max="7461"/>
    <col width="2" customWidth="1" style="7635" min="7703" max="7703"/>
    <col width="8.28515625" customWidth="1" style="7635" min="7704" max="7704"/>
    <col width="15.42578125" customWidth="1" style="7635" min="7705" max="7705"/>
    <col width="8.7109375" customWidth="1" style="7635" min="7706" max="7706"/>
    <col width="8" customWidth="1" style="7635" min="7707" max="7707"/>
    <col width="6" customWidth="1" style="7635" min="7708" max="7708"/>
    <col width="6.5703125" customWidth="1" style="7635" min="7709" max="7709"/>
    <col width="9.5703125" customWidth="1" style="7635" min="7710" max="7710"/>
    <col width="11.5703125" customWidth="1" style="7635" min="7711" max="7711"/>
    <col width="3.5703125" customWidth="1" style="7635" min="7712" max="7712"/>
    <col width="13.85546875" customWidth="1" style="7635" min="7713" max="7713"/>
    <col width="5.5703125" customWidth="1" style="7635" min="7714" max="7714"/>
    <col width="19.7109375" customWidth="1" style="7635" min="7715" max="7715"/>
    <col width="2.140625" customWidth="1" style="7635" min="7716" max="7716"/>
    <col width="13.5703125" customWidth="1" style="7635" min="7717" max="7717"/>
    <col width="2" customWidth="1" style="7635" min="7959" max="7959"/>
    <col width="8.28515625" customWidth="1" style="7635" min="7960" max="7960"/>
    <col width="15.42578125" customWidth="1" style="7635" min="7961" max="7961"/>
    <col width="8.7109375" customWidth="1" style="7635" min="7962" max="7962"/>
    <col width="8" customWidth="1" style="7635" min="7963" max="7963"/>
    <col width="6" customWidth="1" style="7635" min="7964" max="7964"/>
    <col width="6.5703125" customWidth="1" style="7635" min="7965" max="7965"/>
    <col width="9.5703125" customWidth="1" style="7635" min="7966" max="7966"/>
    <col width="11.5703125" customWidth="1" style="7635" min="7967" max="7967"/>
    <col width="3.5703125" customWidth="1" style="7635" min="7968" max="7968"/>
    <col width="13.85546875" customWidth="1" style="7635" min="7969" max="7969"/>
    <col width="5.5703125" customWidth="1" style="7635" min="7970" max="7970"/>
    <col width="19.7109375" customWidth="1" style="7635" min="7971" max="7971"/>
    <col width="2.140625" customWidth="1" style="7635" min="7972" max="7972"/>
    <col width="13.5703125" customWidth="1" style="7635" min="7973" max="7973"/>
    <col width="2" customWidth="1" style="7635" min="8215" max="8215"/>
    <col width="8.28515625" customWidth="1" style="7635" min="8216" max="8216"/>
    <col width="15.42578125" customWidth="1" style="7635" min="8217" max="8217"/>
    <col width="8.7109375" customWidth="1" style="7635" min="8218" max="8218"/>
    <col width="8" customWidth="1" style="7635" min="8219" max="8219"/>
    <col width="6" customWidth="1" style="7635" min="8220" max="8220"/>
    <col width="6.5703125" customWidth="1" style="7635" min="8221" max="8221"/>
    <col width="9.5703125" customWidth="1" style="7635" min="8222" max="8222"/>
    <col width="11.5703125" customWidth="1" style="7635" min="8223" max="8223"/>
    <col width="3.5703125" customWidth="1" style="7635" min="8224" max="8224"/>
    <col width="13.85546875" customWidth="1" style="7635" min="8225" max="8225"/>
    <col width="5.5703125" customWidth="1" style="7635" min="8226" max="8226"/>
    <col width="19.7109375" customWidth="1" style="7635" min="8227" max="8227"/>
    <col width="2.140625" customWidth="1" style="7635" min="8228" max="8228"/>
    <col width="13.5703125" customWidth="1" style="7635" min="8229" max="8229"/>
    <col width="2" customWidth="1" style="7635" min="8471" max="8471"/>
    <col width="8.28515625" customWidth="1" style="7635" min="8472" max="8472"/>
    <col width="15.42578125" customWidth="1" style="7635" min="8473" max="8473"/>
    <col width="8.7109375" customWidth="1" style="7635" min="8474" max="8474"/>
    <col width="8" customWidth="1" style="7635" min="8475" max="8475"/>
    <col width="6" customWidth="1" style="7635" min="8476" max="8476"/>
    <col width="6.5703125" customWidth="1" style="7635" min="8477" max="8477"/>
    <col width="9.5703125" customWidth="1" style="7635" min="8478" max="8478"/>
    <col width="11.5703125" customWidth="1" style="7635" min="8479" max="8479"/>
    <col width="3.5703125" customWidth="1" style="7635" min="8480" max="8480"/>
    <col width="13.85546875" customWidth="1" style="7635" min="8481" max="8481"/>
    <col width="5.5703125" customWidth="1" style="7635" min="8482" max="8482"/>
    <col width="19.7109375" customWidth="1" style="7635" min="8483" max="8483"/>
    <col width="2.140625" customWidth="1" style="7635" min="8484" max="8484"/>
    <col width="13.5703125" customWidth="1" style="7635" min="8485" max="8485"/>
    <col width="2" customWidth="1" style="7635" min="8727" max="8727"/>
    <col width="8.28515625" customWidth="1" style="7635" min="8728" max="8728"/>
    <col width="15.42578125" customWidth="1" style="7635" min="8729" max="8729"/>
    <col width="8.7109375" customWidth="1" style="7635" min="8730" max="8730"/>
    <col width="8" customWidth="1" style="7635" min="8731" max="8731"/>
    <col width="6" customWidth="1" style="7635" min="8732" max="8732"/>
    <col width="6.5703125" customWidth="1" style="7635" min="8733" max="8733"/>
    <col width="9.5703125" customWidth="1" style="7635" min="8734" max="8734"/>
    <col width="11.5703125" customWidth="1" style="7635" min="8735" max="8735"/>
    <col width="3.5703125" customWidth="1" style="7635" min="8736" max="8736"/>
    <col width="13.85546875" customWidth="1" style="7635" min="8737" max="8737"/>
    <col width="5.5703125" customWidth="1" style="7635" min="8738" max="8738"/>
    <col width="19.7109375" customWidth="1" style="7635" min="8739" max="8739"/>
    <col width="2.140625" customWidth="1" style="7635" min="8740" max="8740"/>
    <col width="13.5703125" customWidth="1" style="7635" min="8741" max="8741"/>
    <col width="2" customWidth="1" style="7635" min="8983" max="8983"/>
    <col width="8.28515625" customWidth="1" style="7635" min="8984" max="8984"/>
    <col width="15.42578125" customWidth="1" style="7635" min="8985" max="8985"/>
    <col width="8.7109375" customWidth="1" style="7635" min="8986" max="8986"/>
    <col width="8" customWidth="1" style="7635" min="8987" max="8987"/>
    <col width="6" customWidth="1" style="7635" min="8988" max="8988"/>
    <col width="6.5703125" customWidth="1" style="7635" min="8989" max="8989"/>
    <col width="9.5703125" customWidth="1" style="7635" min="8990" max="8990"/>
    <col width="11.5703125" customWidth="1" style="7635" min="8991" max="8991"/>
    <col width="3.5703125" customWidth="1" style="7635" min="8992" max="8992"/>
    <col width="13.85546875" customWidth="1" style="7635" min="8993" max="8993"/>
    <col width="5.5703125" customWidth="1" style="7635" min="8994" max="8994"/>
    <col width="19.7109375" customWidth="1" style="7635" min="8995" max="8995"/>
    <col width="2.140625" customWidth="1" style="7635" min="8996" max="8996"/>
    <col width="13.5703125" customWidth="1" style="7635" min="8997" max="8997"/>
    <col width="2" customWidth="1" style="7635" min="9239" max="9239"/>
    <col width="8.28515625" customWidth="1" style="7635" min="9240" max="9240"/>
    <col width="15.42578125" customWidth="1" style="7635" min="9241" max="9241"/>
    <col width="8.7109375" customWidth="1" style="7635" min="9242" max="9242"/>
    <col width="8" customWidth="1" style="7635" min="9243" max="9243"/>
    <col width="6" customWidth="1" style="7635" min="9244" max="9244"/>
    <col width="6.5703125" customWidth="1" style="7635" min="9245" max="9245"/>
    <col width="9.5703125" customWidth="1" style="7635" min="9246" max="9246"/>
    <col width="11.5703125" customWidth="1" style="7635" min="9247" max="9247"/>
    <col width="3.5703125" customWidth="1" style="7635" min="9248" max="9248"/>
    <col width="13.85546875" customWidth="1" style="7635" min="9249" max="9249"/>
    <col width="5.5703125" customWidth="1" style="7635" min="9250" max="9250"/>
    <col width="19.7109375" customWidth="1" style="7635" min="9251" max="9251"/>
    <col width="2.140625" customWidth="1" style="7635" min="9252" max="9252"/>
    <col width="13.5703125" customWidth="1" style="7635" min="9253" max="9253"/>
    <col width="2" customWidth="1" style="7635" min="9495" max="9495"/>
    <col width="8.28515625" customWidth="1" style="7635" min="9496" max="9496"/>
    <col width="15.42578125" customWidth="1" style="7635" min="9497" max="9497"/>
    <col width="8.7109375" customWidth="1" style="7635" min="9498" max="9498"/>
    <col width="8" customWidth="1" style="7635" min="9499" max="9499"/>
    <col width="6" customWidth="1" style="7635" min="9500" max="9500"/>
    <col width="6.5703125" customWidth="1" style="7635" min="9501" max="9501"/>
    <col width="9.5703125" customWidth="1" style="7635" min="9502" max="9502"/>
    <col width="11.5703125" customWidth="1" style="7635" min="9503" max="9503"/>
    <col width="3.5703125" customWidth="1" style="7635" min="9504" max="9504"/>
    <col width="13.85546875" customWidth="1" style="7635" min="9505" max="9505"/>
    <col width="5.5703125" customWidth="1" style="7635" min="9506" max="9506"/>
    <col width="19.7109375" customWidth="1" style="7635" min="9507" max="9507"/>
    <col width="2.140625" customWidth="1" style="7635" min="9508" max="9508"/>
    <col width="13.5703125" customWidth="1" style="7635" min="9509" max="9509"/>
    <col width="2" customWidth="1" style="7635" min="9751" max="9751"/>
    <col width="8.28515625" customWidth="1" style="7635" min="9752" max="9752"/>
    <col width="15.42578125" customWidth="1" style="7635" min="9753" max="9753"/>
    <col width="8.7109375" customWidth="1" style="7635" min="9754" max="9754"/>
    <col width="8" customWidth="1" style="7635" min="9755" max="9755"/>
    <col width="6" customWidth="1" style="7635" min="9756" max="9756"/>
    <col width="6.5703125" customWidth="1" style="7635" min="9757" max="9757"/>
    <col width="9.5703125" customWidth="1" style="7635" min="9758" max="9758"/>
    <col width="11.5703125" customWidth="1" style="7635" min="9759" max="9759"/>
    <col width="3.5703125" customWidth="1" style="7635" min="9760" max="9760"/>
    <col width="13.85546875" customWidth="1" style="7635" min="9761" max="9761"/>
    <col width="5.5703125" customWidth="1" style="7635" min="9762" max="9762"/>
    <col width="19.7109375" customWidth="1" style="7635" min="9763" max="9763"/>
    <col width="2.140625" customWidth="1" style="7635" min="9764" max="9764"/>
    <col width="13.5703125" customWidth="1" style="7635" min="9765" max="9765"/>
    <col width="2" customWidth="1" style="7635" min="10007" max="10007"/>
    <col width="8.28515625" customWidth="1" style="7635" min="10008" max="10008"/>
    <col width="15.42578125" customWidth="1" style="7635" min="10009" max="10009"/>
    <col width="8.7109375" customWidth="1" style="7635" min="10010" max="10010"/>
    <col width="8" customWidth="1" style="7635" min="10011" max="10011"/>
    <col width="6" customWidth="1" style="7635" min="10012" max="10012"/>
    <col width="6.5703125" customWidth="1" style="7635" min="10013" max="10013"/>
    <col width="9.5703125" customWidth="1" style="7635" min="10014" max="10014"/>
    <col width="11.5703125" customWidth="1" style="7635" min="10015" max="10015"/>
    <col width="3.5703125" customWidth="1" style="7635" min="10016" max="10016"/>
    <col width="13.85546875" customWidth="1" style="7635" min="10017" max="10017"/>
    <col width="5.5703125" customWidth="1" style="7635" min="10018" max="10018"/>
    <col width="19.7109375" customWidth="1" style="7635" min="10019" max="10019"/>
    <col width="2.140625" customWidth="1" style="7635" min="10020" max="10020"/>
    <col width="13.5703125" customWidth="1" style="7635" min="10021" max="10021"/>
    <col width="2" customWidth="1" style="7635" min="10263" max="10263"/>
    <col width="8.28515625" customWidth="1" style="7635" min="10264" max="10264"/>
    <col width="15.42578125" customWidth="1" style="7635" min="10265" max="10265"/>
    <col width="8.7109375" customWidth="1" style="7635" min="10266" max="10266"/>
    <col width="8" customWidth="1" style="7635" min="10267" max="10267"/>
    <col width="6" customWidth="1" style="7635" min="10268" max="10268"/>
    <col width="6.5703125" customWidth="1" style="7635" min="10269" max="10269"/>
    <col width="9.5703125" customWidth="1" style="7635" min="10270" max="10270"/>
    <col width="11.5703125" customWidth="1" style="7635" min="10271" max="10271"/>
    <col width="3.5703125" customWidth="1" style="7635" min="10272" max="10272"/>
    <col width="13.85546875" customWidth="1" style="7635" min="10273" max="10273"/>
    <col width="5.5703125" customWidth="1" style="7635" min="10274" max="10274"/>
    <col width="19.7109375" customWidth="1" style="7635" min="10275" max="10275"/>
    <col width="2.140625" customWidth="1" style="7635" min="10276" max="10276"/>
    <col width="13.5703125" customWidth="1" style="7635" min="10277" max="10277"/>
    <col width="2" customWidth="1" style="7635" min="10519" max="10519"/>
    <col width="8.28515625" customWidth="1" style="7635" min="10520" max="10520"/>
    <col width="15.42578125" customWidth="1" style="7635" min="10521" max="10521"/>
    <col width="8.7109375" customWidth="1" style="7635" min="10522" max="10522"/>
    <col width="8" customWidth="1" style="7635" min="10523" max="10523"/>
    <col width="6" customWidth="1" style="7635" min="10524" max="10524"/>
    <col width="6.5703125" customWidth="1" style="7635" min="10525" max="10525"/>
    <col width="9.5703125" customWidth="1" style="7635" min="10526" max="10526"/>
    <col width="11.5703125" customWidth="1" style="7635" min="10527" max="10527"/>
    <col width="3.5703125" customWidth="1" style="7635" min="10528" max="10528"/>
    <col width="13.85546875" customWidth="1" style="7635" min="10529" max="10529"/>
    <col width="5.5703125" customWidth="1" style="7635" min="10530" max="10530"/>
    <col width="19.7109375" customWidth="1" style="7635" min="10531" max="10531"/>
    <col width="2.140625" customWidth="1" style="7635" min="10532" max="10532"/>
    <col width="13.5703125" customWidth="1" style="7635" min="10533" max="10533"/>
    <col width="2" customWidth="1" style="7635" min="10775" max="10775"/>
    <col width="8.28515625" customWidth="1" style="7635" min="10776" max="10776"/>
    <col width="15.42578125" customWidth="1" style="7635" min="10777" max="10777"/>
    <col width="8.7109375" customWidth="1" style="7635" min="10778" max="10778"/>
    <col width="8" customWidth="1" style="7635" min="10779" max="10779"/>
    <col width="6" customWidth="1" style="7635" min="10780" max="10780"/>
    <col width="6.5703125" customWidth="1" style="7635" min="10781" max="10781"/>
    <col width="9.5703125" customWidth="1" style="7635" min="10782" max="10782"/>
    <col width="11.5703125" customWidth="1" style="7635" min="10783" max="10783"/>
    <col width="3.5703125" customWidth="1" style="7635" min="10784" max="10784"/>
    <col width="13.85546875" customWidth="1" style="7635" min="10785" max="10785"/>
    <col width="5.5703125" customWidth="1" style="7635" min="10786" max="10786"/>
    <col width="19.7109375" customWidth="1" style="7635" min="10787" max="10787"/>
    <col width="2.140625" customWidth="1" style="7635" min="10788" max="10788"/>
    <col width="13.5703125" customWidth="1" style="7635" min="10789" max="10789"/>
    <col width="2" customWidth="1" style="7635" min="11031" max="11031"/>
    <col width="8.28515625" customWidth="1" style="7635" min="11032" max="11032"/>
    <col width="15.42578125" customWidth="1" style="7635" min="11033" max="11033"/>
    <col width="8.7109375" customWidth="1" style="7635" min="11034" max="11034"/>
    <col width="8" customWidth="1" style="7635" min="11035" max="11035"/>
    <col width="6" customWidth="1" style="7635" min="11036" max="11036"/>
    <col width="6.5703125" customWidth="1" style="7635" min="11037" max="11037"/>
    <col width="9.5703125" customWidth="1" style="7635" min="11038" max="11038"/>
    <col width="11.5703125" customWidth="1" style="7635" min="11039" max="11039"/>
    <col width="3.5703125" customWidth="1" style="7635" min="11040" max="11040"/>
    <col width="13.85546875" customWidth="1" style="7635" min="11041" max="11041"/>
    <col width="5.5703125" customWidth="1" style="7635" min="11042" max="11042"/>
    <col width="19.7109375" customWidth="1" style="7635" min="11043" max="11043"/>
    <col width="2.140625" customWidth="1" style="7635" min="11044" max="11044"/>
    <col width="13.5703125" customWidth="1" style="7635" min="11045" max="11045"/>
    <col width="2" customWidth="1" style="7635" min="11287" max="11287"/>
    <col width="8.28515625" customWidth="1" style="7635" min="11288" max="11288"/>
    <col width="15.42578125" customWidth="1" style="7635" min="11289" max="11289"/>
    <col width="8.7109375" customWidth="1" style="7635" min="11290" max="11290"/>
    <col width="8" customWidth="1" style="7635" min="11291" max="11291"/>
    <col width="6" customWidth="1" style="7635" min="11292" max="11292"/>
    <col width="6.5703125" customWidth="1" style="7635" min="11293" max="11293"/>
    <col width="9.5703125" customWidth="1" style="7635" min="11294" max="11294"/>
    <col width="11.5703125" customWidth="1" style="7635" min="11295" max="11295"/>
    <col width="3.5703125" customWidth="1" style="7635" min="11296" max="11296"/>
    <col width="13.85546875" customWidth="1" style="7635" min="11297" max="11297"/>
    <col width="5.5703125" customWidth="1" style="7635" min="11298" max="11298"/>
    <col width="19.7109375" customWidth="1" style="7635" min="11299" max="11299"/>
    <col width="2.140625" customWidth="1" style="7635" min="11300" max="11300"/>
    <col width="13.5703125" customWidth="1" style="7635" min="11301" max="11301"/>
    <col width="2" customWidth="1" style="7635" min="11543" max="11543"/>
    <col width="8.28515625" customWidth="1" style="7635" min="11544" max="11544"/>
    <col width="15.42578125" customWidth="1" style="7635" min="11545" max="11545"/>
    <col width="8.7109375" customWidth="1" style="7635" min="11546" max="11546"/>
    <col width="8" customWidth="1" style="7635" min="11547" max="11547"/>
    <col width="6" customWidth="1" style="7635" min="11548" max="11548"/>
    <col width="6.5703125" customWidth="1" style="7635" min="11549" max="11549"/>
    <col width="9.5703125" customWidth="1" style="7635" min="11550" max="11550"/>
    <col width="11.5703125" customWidth="1" style="7635" min="11551" max="11551"/>
    <col width="3.5703125" customWidth="1" style="7635" min="11552" max="11552"/>
    <col width="13.85546875" customWidth="1" style="7635" min="11553" max="11553"/>
    <col width="5.5703125" customWidth="1" style="7635" min="11554" max="11554"/>
    <col width="19.7109375" customWidth="1" style="7635" min="11555" max="11555"/>
    <col width="2.140625" customWidth="1" style="7635" min="11556" max="11556"/>
    <col width="13.5703125" customWidth="1" style="7635" min="11557" max="11557"/>
    <col width="2" customWidth="1" style="7635" min="11799" max="11799"/>
    <col width="8.28515625" customWidth="1" style="7635" min="11800" max="11800"/>
    <col width="15.42578125" customWidth="1" style="7635" min="11801" max="11801"/>
    <col width="8.7109375" customWidth="1" style="7635" min="11802" max="11802"/>
    <col width="8" customWidth="1" style="7635" min="11803" max="11803"/>
    <col width="6" customWidth="1" style="7635" min="11804" max="11804"/>
    <col width="6.5703125" customWidth="1" style="7635" min="11805" max="11805"/>
    <col width="9.5703125" customWidth="1" style="7635" min="11806" max="11806"/>
    <col width="11.5703125" customWidth="1" style="7635" min="11807" max="11807"/>
    <col width="3.5703125" customWidth="1" style="7635" min="11808" max="11808"/>
    <col width="13.85546875" customWidth="1" style="7635" min="11809" max="11809"/>
    <col width="5.5703125" customWidth="1" style="7635" min="11810" max="11810"/>
    <col width="19.7109375" customWidth="1" style="7635" min="11811" max="11811"/>
    <col width="2.140625" customWidth="1" style="7635" min="11812" max="11812"/>
    <col width="13.5703125" customWidth="1" style="7635" min="11813" max="11813"/>
    <col width="2" customWidth="1" style="7635" min="12055" max="12055"/>
    <col width="8.28515625" customWidth="1" style="7635" min="12056" max="12056"/>
    <col width="15.42578125" customWidth="1" style="7635" min="12057" max="12057"/>
    <col width="8.7109375" customWidth="1" style="7635" min="12058" max="12058"/>
    <col width="8" customWidth="1" style="7635" min="12059" max="12059"/>
    <col width="6" customWidth="1" style="7635" min="12060" max="12060"/>
    <col width="6.5703125" customWidth="1" style="7635" min="12061" max="12061"/>
    <col width="9.5703125" customWidth="1" style="7635" min="12062" max="12062"/>
    <col width="11.5703125" customWidth="1" style="7635" min="12063" max="12063"/>
    <col width="3.5703125" customWidth="1" style="7635" min="12064" max="12064"/>
    <col width="13.85546875" customWidth="1" style="7635" min="12065" max="12065"/>
    <col width="5.5703125" customWidth="1" style="7635" min="12066" max="12066"/>
    <col width="19.7109375" customWidth="1" style="7635" min="12067" max="12067"/>
    <col width="2.140625" customWidth="1" style="7635" min="12068" max="12068"/>
    <col width="13.5703125" customWidth="1" style="7635" min="12069" max="12069"/>
    <col width="2" customWidth="1" style="7635" min="12311" max="12311"/>
    <col width="8.28515625" customWidth="1" style="7635" min="12312" max="12312"/>
    <col width="15.42578125" customWidth="1" style="7635" min="12313" max="12313"/>
    <col width="8.7109375" customWidth="1" style="7635" min="12314" max="12314"/>
    <col width="8" customWidth="1" style="7635" min="12315" max="12315"/>
    <col width="6" customWidth="1" style="7635" min="12316" max="12316"/>
    <col width="6.5703125" customWidth="1" style="7635" min="12317" max="12317"/>
    <col width="9.5703125" customWidth="1" style="7635" min="12318" max="12318"/>
    <col width="11.5703125" customWidth="1" style="7635" min="12319" max="12319"/>
    <col width="3.5703125" customWidth="1" style="7635" min="12320" max="12320"/>
    <col width="13.85546875" customWidth="1" style="7635" min="12321" max="12321"/>
    <col width="5.5703125" customWidth="1" style="7635" min="12322" max="12322"/>
    <col width="19.7109375" customWidth="1" style="7635" min="12323" max="12323"/>
    <col width="2.140625" customWidth="1" style="7635" min="12324" max="12324"/>
    <col width="13.5703125" customWidth="1" style="7635" min="12325" max="12325"/>
    <col width="2" customWidth="1" style="7635" min="12567" max="12567"/>
    <col width="8.28515625" customWidth="1" style="7635" min="12568" max="12568"/>
    <col width="15.42578125" customWidth="1" style="7635" min="12569" max="12569"/>
    <col width="8.7109375" customWidth="1" style="7635" min="12570" max="12570"/>
    <col width="8" customWidth="1" style="7635" min="12571" max="12571"/>
    <col width="6" customWidth="1" style="7635" min="12572" max="12572"/>
    <col width="6.5703125" customWidth="1" style="7635" min="12573" max="12573"/>
    <col width="9.5703125" customWidth="1" style="7635" min="12574" max="12574"/>
    <col width="11.5703125" customWidth="1" style="7635" min="12575" max="12575"/>
    <col width="3.5703125" customWidth="1" style="7635" min="12576" max="12576"/>
    <col width="13.85546875" customWidth="1" style="7635" min="12577" max="12577"/>
    <col width="5.5703125" customWidth="1" style="7635" min="12578" max="12578"/>
    <col width="19.7109375" customWidth="1" style="7635" min="12579" max="12579"/>
    <col width="2.140625" customWidth="1" style="7635" min="12580" max="12580"/>
    <col width="13.5703125" customWidth="1" style="7635" min="12581" max="12581"/>
    <col width="2" customWidth="1" style="7635" min="12823" max="12823"/>
    <col width="8.28515625" customWidth="1" style="7635" min="12824" max="12824"/>
    <col width="15.42578125" customWidth="1" style="7635" min="12825" max="12825"/>
    <col width="8.7109375" customWidth="1" style="7635" min="12826" max="12826"/>
    <col width="8" customWidth="1" style="7635" min="12827" max="12827"/>
    <col width="6" customWidth="1" style="7635" min="12828" max="12828"/>
    <col width="6.5703125" customWidth="1" style="7635" min="12829" max="12829"/>
    <col width="9.5703125" customWidth="1" style="7635" min="12830" max="12830"/>
    <col width="11.5703125" customWidth="1" style="7635" min="12831" max="12831"/>
    <col width="3.5703125" customWidth="1" style="7635" min="12832" max="12832"/>
    <col width="13.85546875" customWidth="1" style="7635" min="12833" max="12833"/>
    <col width="5.5703125" customWidth="1" style="7635" min="12834" max="12834"/>
    <col width="19.7109375" customWidth="1" style="7635" min="12835" max="12835"/>
    <col width="2.140625" customWidth="1" style="7635" min="12836" max="12836"/>
    <col width="13.5703125" customWidth="1" style="7635" min="12837" max="12837"/>
    <col width="2" customWidth="1" style="7635" min="13079" max="13079"/>
    <col width="8.28515625" customWidth="1" style="7635" min="13080" max="13080"/>
    <col width="15.42578125" customWidth="1" style="7635" min="13081" max="13081"/>
    <col width="8.7109375" customWidth="1" style="7635" min="13082" max="13082"/>
    <col width="8" customWidth="1" style="7635" min="13083" max="13083"/>
    <col width="6" customWidth="1" style="7635" min="13084" max="13084"/>
    <col width="6.5703125" customWidth="1" style="7635" min="13085" max="13085"/>
    <col width="9.5703125" customWidth="1" style="7635" min="13086" max="13086"/>
    <col width="11.5703125" customWidth="1" style="7635" min="13087" max="13087"/>
    <col width="3.5703125" customWidth="1" style="7635" min="13088" max="13088"/>
    <col width="13.85546875" customWidth="1" style="7635" min="13089" max="13089"/>
    <col width="5.5703125" customWidth="1" style="7635" min="13090" max="13090"/>
    <col width="19.7109375" customWidth="1" style="7635" min="13091" max="13091"/>
    <col width="2.140625" customWidth="1" style="7635" min="13092" max="13092"/>
    <col width="13.5703125" customWidth="1" style="7635" min="13093" max="13093"/>
    <col width="2" customWidth="1" style="7635" min="13335" max="13335"/>
    <col width="8.28515625" customWidth="1" style="7635" min="13336" max="13336"/>
    <col width="15.42578125" customWidth="1" style="7635" min="13337" max="13337"/>
    <col width="8.7109375" customWidth="1" style="7635" min="13338" max="13338"/>
    <col width="8" customWidth="1" style="7635" min="13339" max="13339"/>
    <col width="6" customWidth="1" style="7635" min="13340" max="13340"/>
    <col width="6.5703125" customWidth="1" style="7635" min="13341" max="13341"/>
    <col width="9.5703125" customWidth="1" style="7635" min="13342" max="13342"/>
    <col width="11.5703125" customWidth="1" style="7635" min="13343" max="13343"/>
    <col width="3.5703125" customWidth="1" style="7635" min="13344" max="13344"/>
    <col width="13.85546875" customWidth="1" style="7635" min="13345" max="13345"/>
    <col width="5.5703125" customWidth="1" style="7635" min="13346" max="13346"/>
    <col width="19.7109375" customWidth="1" style="7635" min="13347" max="13347"/>
    <col width="2.140625" customWidth="1" style="7635" min="13348" max="13348"/>
    <col width="13.5703125" customWidth="1" style="7635" min="13349" max="13349"/>
    <col width="2" customWidth="1" style="7635" min="13591" max="13591"/>
    <col width="8.28515625" customWidth="1" style="7635" min="13592" max="13592"/>
    <col width="15.42578125" customWidth="1" style="7635" min="13593" max="13593"/>
    <col width="8.7109375" customWidth="1" style="7635" min="13594" max="13594"/>
    <col width="8" customWidth="1" style="7635" min="13595" max="13595"/>
    <col width="6" customWidth="1" style="7635" min="13596" max="13596"/>
    <col width="6.5703125" customWidth="1" style="7635" min="13597" max="13597"/>
    <col width="9.5703125" customWidth="1" style="7635" min="13598" max="13598"/>
    <col width="11.5703125" customWidth="1" style="7635" min="13599" max="13599"/>
    <col width="3.5703125" customWidth="1" style="7635" min="13600" max="13600"/>
    <col width="13.85546875" customWidth="1" style="7635" min="13601" max="13601"/>
    <col width="5.5703125" customWidth="1" style="7635" min="13602" max="13602"/>
    <col width="19.7109375" customWidth="1" style="7635" min="13603" max="13603"/>
    <col width="2.140625" customWidth="1" style="7635" min="13604" max="13604"/>
    <col width="13.5703125" customWidth="1" style="7635" min="13605" max="13605"/>
    <col width="2" customWidth="1" style="7635" min="13847" max="13847"/>
    <col width="8.28515625" customWidth="1" style="7635" min="13848" max="13848"/>
    <col width="15.42578125" customWidth="1" style="7635" min="13849" max="13849"/>
    <col width="8.7109375" customWidth="1" style="7635" min="13850" max="13850"/>
    <col width="8" customWidth="1" style="7635" min="13851" max="13851"/>
    <col width="6" customWidth="1" style="7635" min="13852" max="13852"/>
    <col width="6.5703125" customWidth="1" style="7635" min="13853" max="13853"/>
    <col width="9.5703125" customWidth="1" style="7635" min="13854" max="13854"/>
    <col width="11.5703125" customWidth="1" style="7635" min="13855" max="13855"/>
    <col width="3.5703125" customWidth="1" style="7635" min="13856" max="13856"/>
    <col width="13.85546875" customWidth="1" style="7635" min="13857" max="13857"/>
    <col width="5.5703125" customWidth="1" style="7635" min="13858" max="13858"/>
    <col width="19.7109375" customWidth="1" style="7635" min="13859" max="13859"/>
    <col width="2.140625" customWidth="1" style="7635" min="13860" max="13860"/>
    <col width="13.5703125" customWidth="1" style="7635" min="13861" max="13861"/>
    <col width="2" customWidth="1" style="7635" min="14103" max="14103"/>
    <col width="8.28515625" customWidth="1" style="7635" min="14104" max="14104"/>
    <col width="15.42578125" customWidth="1" style="7635" min="14105" max="14105"/>
    <col width="8.7109375" customWidth="1" style="7635" min="14106" max="14106"/>
    <col width="8" customWidth="1" style="7635" min="14107" max="14107"/>
    <col width="6" customWidth="1" style="7635" min="14108" max="14108"/>
    <col width="6.5703125" customWidth="1" style="7635" min="14109" max="14109"/>
    <col width="9.5703125" customWidth="1" style="7635" min="14110" max="14110"/>
    <col width="11.5703125" customWidth="1" style="7635" min="14111" max="14111"/>
    <col width="3.5703125" customWidth="1" style="7635" min="14112" max="14112"/>
    <col width="13.85546875" customWidth="1" style="7635" min="14113" max="14113"/>
    <col width="5.5703125" customWidth="1" style="7635" min="14114" max="14114"/>
    <col width="19.7109375" customWidth="1" style="7635" min="14115" max="14115"/>
    <col width="2.140625" customWidth="1" style="7635" min="14116" max="14116"/>
    <col width="13.5703125" customWidth="1" style="7635" min="14117" max="14117"/>
    <col width="2" customWidth="1" style="7635" min="14359" max="14359"/>
    <col width="8.28515625" customWidth="1" style="7635" min="14360" max="14360"/>
    <col width="15.42578125" customWidth="1" style="7635" min="14361" max="14361"/>
    <col width="8.7109375" customWidth="1" style="7635" min="14362" max="14362"/>
    <col width="8" customWidth="1" style="7635" min="14363" max="14363"/>
    <col width="6" customWidth="1" style="7635" min="14364" max="14364"/>
    <col width="6.5703125" customWidth="1" style="7635" min="14365" max="14365"/>
    <col width="9.5703125" customWidth="1" style="7635" min="14366" max="14366"/>
    <col width="11.5703125" customWidth="1" style="7635" min="14367" max="14367"/>
    <col width="3.5703125" customWidth="1" style="7635" min="14368" max="14368"/>
    <col width="13.85546875" customWidth="1" style="7635" min="14369" max="14369"/>
    <col width="5.5703125" customWidth="1" style="7635" min="14370" max="14370"/>
    <col width="19.7109375" customWidth="1" style="7635" min="14371" max="14371"/>
    <col width="2.140625" customWidth="1" style="7635" min="14372" max="14372"/>
    <col width="13.5703125" customWidth="1" style="7635" min="14373" max="14373"/>
    <col width="2" customWidth="1" style="7635" min="14615" max="14615"/>
    <col width="8.28515625" customWidth="1" style="7635" min="14616" max="14616"/>
    <col width="15.42578125" customWidth="1" style="7635" min="14617" max="14617"/>
    <col width="8.7109375" customWidth="1" style="7635" min="14618" max="14618"/>
    <col width="8" customWidth="1" style="7635" min="14619" max="14619"/>
    <col width="6" customWidth="1" style="7635" min="14620" max="14620"/>
    <col width="6.5703125" customWidth="1" style="7635" min="14621" max="14621"/>
    <col width="9.5703125" customWidth="1" style="7635" min="14622" max="14622"/>
    <col width="11.5703125" customWidth="1" style="7635" min="14623" max="14623"/>
    <col width="3.5703125" customWidth="1" style="7635" min="14624" max="14624"/>
    <col width="13.85546875" customWidth="1" style="7635" min="14625" max="14625"/>
    <col width="5.5703125" customWidth="1" style="7635" min="14626" max="14626"/>
    <col width="19.7109375" customWidth="1" style="7635" min="14627" max="14627"/>
    <col width="2.140625" customWidth="1" style="7635" min="14628" max="14628"/>
    <col width="13.5703125" customWidth="1" style="7635" min="14629" max="14629"/>
    <col width="2" customWidth="1" style="7635" min="14871" max="14871"/>
    <col width="8.28515625" customWidth="1" style="7635" min="14872" max="14872"/>
    <col width="15.42578125" customWidth="1" style="7635" min="14873" max="14873"/>
    <col width="8.7109375" customWidth="1" style="7635" min="14874" max="14874"/>
    <col width="8" customWidth="1" style="7635" min="14875" max="14875"/>
    <col width="6" customWidth="1" style="7635" min="14876" max="14876"/>
    <col width="6.5703125" customWidth="1" style="7635" min="14877" max="14877"/>
    <col width="9.5703125" customWidth="1" style="7635" min="14878" max="14878"/>
    <col width="11.5703125" customWidth="1" style="7635" min="14879" max="14879"/>
    <col width="3.5703125" customWidth="1" style="7635" min="14880" max="14880"/>
    <col width="13.85546875" customWidth="1" style="7635" min="14881" max="14881"/>
    <col width="5.5703125" customWidth="1" style="7635" min="14882" max="14882"/>
    <col width="19.7109375" customWidth="1" style="7635" min="14883" max="14883"/>
    <col width="2.140625" customWidth="1" style="7635" min="14884" max="14884"/>
    <col width="13.5703125" customWidth="1" style="7635" min="14885" max="14885"/>
    <col width="2" customWidth="1" style="7635" min="15127" max="15127"/>
    <col width="8.28515625" customWidth="1" style="7635" min="15128" max="15128"/>
    <col width="15.42578125" customWidth="1" style="7635" min="15129" max="15129"/>
    <col width="8.7109375" customWidth="1" style="7635" min="15130" max="15130"/>
    <col width="8" customWidth="1" style="7635" min="15131" max="15131"/>
    <col width="6" customWidth="1" style="7635" min="15132" max="15132"/>
    <col width="6.5703125" customWidth="1" style="7635" min="15133" max="15133"/>
    <col width="9.5703125" customWidth="1" style="7635" min="15134" max="15134"/>
    <col width="11.5703125" customWidth="1" style="7635" min="15135" max="15135"/>
    <col width="3.5703125" customWidth="1" style="7635" min="15136" max="15136"/>
    <col width="13.85546875" customWidth="1" style="7635" min="15137" max="15137"/>
    <col width="5.5703125" customWidth="1" style="7635" min="15138" max="15138"/>
    <col width="19.7109375" customWidth="1" style="7635" min="15139" max="15139"/>
    <col width="2.140625" customWidth="1" style="7635" min="15140" max="15140"/>
    <col width="13.5703125" customWidth="1" style="7635" min="15141" max="15141"/>
    <col width="2" customWidth="1" style="7635" min="15383" max="15383"/>
    <col width="8.28515625" customWidth="1" style="7635" min="15384" max="15384"/>
    <col width="15.42578125" customWidth="1" style="7635" min="15385" max="15385"/>
    <col width="8.7109375" customWidth="1" style="7635" min="15386" max="15386"/>
    <col width="8" customWidth="1" style="7635" min="15387" max="15387"/>
    <col width="6" customWidth="1" style="7635" min="15388" max="15388"/>
    <col width="6.5703125" customWidth="1" style="7635" min="15389" max="15389"/>
    <col width="9.5703125" customWidth="1" style="7635" min="15390" max="15390"/>
    <col width="11.5703125" customWidth="1" style="7635" min="15391" max="15391"/>
    <col width="3.5703125" customWidth="1" style="7635" min="15392" max="15392"/>
    <col width="13.85546875" customWidth="1" style="7635" min="15393" max="15393"/>
    <col width="5.5703125" customWidth="1" style="7635" min="15394" max="15394"/>
    <col width="19.7109375" customWidth="1" style="7635" min="15395" max="15395"/>
    <col width="2.140625" customWidth="1" style="7635" min="15396" max="15396"/>
    <col width="13.5703125" customWidth="1" style="7635" min="15397" max="15397"/>
    <col width="2" customWidth="1" style="7635" min="15639" max="15639"/>
    <col width="8.28515625" customWidth="1" style="7635" min="15640" max="15640"/>
    <col width="15.42578125" customWidth="1" style="7635" min="15641" max="15641"/>
    <col width="8.7109375" customWidth="1" style="7635" min="15642" max="15642"/>
    <col width="8" customWidth="1" style="7635" min="15643" max="15643"/>
    <col width="6" customWidth="1" style="7635" min="15644" max="15644"/>
    <col width="6.5703125" customWidth="1" style="7635" min="15645" max="15645"/>
    <col width="9.5703125" customWidth="1" style="7635" min="15646" max="15646"/>
    <col width="11.5703125" customWidth="1" style="7635" min="15647" max="15647"/>
    <col width="3.5703125" customWidth="1" style="7635" min="15648" max="15648"/>
    <col width="13.85546875" customWidth="1" style="7635" min="15649" max="15649"/>
    <col width="5.5703125" customWidth="1" style="7635" min="15650" max="15650"/>
    <col width="19.7109375" customWidth="1" style="7635" min="15651" max="15651"/>
    <col width="2.140625" customWidth="1" style="7635" min="15652" max="15652"/>
    <col width="13.5703125" customWidth="1" style="7635" min="15653" max="15653"/>
    <col width="2" customWidth="1" style="7635" min="15895" max="15895"/>
    <col width="8.28515625" customWidth="1" style="7635" min="15896" max="15896"/>
    <col width="15.42578125" customWidth="1" style="7635" min="15897" max="15897"/>
    <col width="8.7109375" customWidth="1" style="7635" min="15898" max="15898"/>
    <col width="8" customWidth="1" style="7635" min="15899" max="15899"/>
    <col width="6" customWidth="1" style="7635" min="15900" max="15900"/>
    <col width="6.5703125" customWidth="1" style="7635" min="15901" max="15901"/>
    <col width="9.5703125" customWidth="1" style="7635" min="15902" max="15902"/>
    <col width="11.5703125" customWidth="1" style="7635" min="15903" max="15903"/>
    <col width="3.5703125" customWidth="1" style="7635" min="15904" max="15904"/>
    <col width="13.85546875" customWidth="1" style="7635" min="15905" max="15905"/>
    <col width="5.5703125" customWidth="1" style="7635" min="15906" max="15906"/>
    <col width="19.7109375" customWidth="1" style="7635" min="15907" max="15907"/>
    <col width="2.140625" customWidth="1" style="7635" min="15908" max="15908"/>
    <col width="13.5703125" customWidth="1" style="7635" min="15909" max="15909"/>
    <col width="2" customWidth="1" style="7635" min="16151" max="16151"/>
    <col width="8.28515625" customWidth="1" style="7635" min="16152" max="16152"/>
    <col width="15.42578125" customWidth="1" style="7635" min="16153" max="16153"/>
    <col width="8.7109375" customWidth="1" style="7635" min="16154" max="16154"/>
    <col width="8" customWidth="1" style="7635" min="16155" max="16155"/>
    <col width="6" customWidth="1" style="7635" min="16156" max="16156"/>
    <col width="6.5703125" customWidth="1" style="7635" min="16157" max="16157"/>
    <col width="9.5703125" customWidth="1" style="7635" min="16158" max="16158"/>
    <col width="11.5703125" customWidth="1" style="7635" min="16159" max="16159"/>
    <col width="3.5703125" customWidth="1" style="7635" min="16160" max="16160"/>
    <col width="13.85546875" customWidth="1" style="7635" min="16161" max="16161"/>
    <col width="5.5703125" customWidth="1" style="7635" min="16162" max="16162"/>
    <col width="19.7109375" customWidth="1" style="7635" min="16163" max="16163"/>
    <col width="2.140625" customWidth="1" style="7635" min="16164" max="16164"/>
    <col width="13.5703125" customWidth="1" style="7635" min="16165" max="16165"/>
  </cols>
  <sheetData>
    <row r="1" ht="9" customHeight="1" s="7635">
      <c r="A1" s="139" t="n"/>
      <c r="B1" s="139" t="n"/>
      <c r="C1" s="139" t="n"/>
      <c r="D1" s="139" t="n"/>
      <c r="E1" s="139" t="n"/>
      <c r="F1" s="139" t="n"/>
      <c r="G1" s="139" t="n"/>
      <c r="H1" s="139" t="n"/>
      <c r="I1" s="139" t="n"/>
      <c r="J1" s="139" t="n"/>
      <c r="K1" s="139" t="n"/>
      <c r="L1" s="139" t="n"/>
      <c r="M1" s="139" t="n"/>
      <c r="N1" s="139" t="n"/>
      <c r="O1" s="139" t="n"/>
      <c r="P1" s="139" t="n"/>
      <c r="Q1" s="139" t="n"/>
      <c r="R1" s="139" t="n"/>
      <c r="S1" s="139" t="n"/>
      <c r="T1" s="139" t="n"/>
      <c r="U1" s="139" t="n"/>
      <c r="V1" s="139" t="n"/>
      <c r="W1" s="139" t="n"/>
      <c r="X1" s="3540" t="n"/>
      <c r="Y1" s="3540" t="n"/>
      <c r="Z1" s="3540" t="n"/>
      <c r="AC1" s="7241" t="n"/>
      <c r="AD1" s="7241" t="n"/>
      <c r="AE1" s="7241" t="n"/>
      <c r="AF1" s="7241" t="n"/>
      <c r="AG1" s="7241" t="n"/>
      <c r="AH1" s="7241" t="n"/>
      <c r="AI1" s="7241" t="n"/>
      <c r="AJ1" s="7241" t="n"/>
      <c r="AK1" s="7241" t="n"/>
      <c r="AL1" s="8648" t="n"/>
      <c r="AN1" s="8648" t="n"/>
      <c r="AP1" s="8648" t="n"/>
      <c r="AQ1" s="8648" t="n"/>
      <c r="AR1" s="657" t="n"/>
      <c r="AS1" s="657" t="n"/>
      <c r="AT1" s="657" t="n"/>
      <c r="AU1" s="657" t="n"/>
      <c r="AV1" s="657" t="n"/>
      <c r="AW1" s="657" t="n"/>
      <c r="AX1" s="657" t="n"/>
      <c r="AY1" s="657" t="n"/>
      <c r="AZ1" s="657" t="n"/>
    </row>
    <row r="2" ht="18" customHeight="1" s="7635">
      <c r="A2" s="139" t="n"/>
      <c r="B2" s="139" t="n"/>
      <c r="C2" s="139" t="n"/>
      <c r="D2" s="139" t="n"/>
      <c r="E2" s="139" t="n"/>
      <c r="F2" s="139" t="n"/>
      <c r="G2" s="139" t="n"/>
      <c r="H2" s="139" t="n"/>
      <c r="I2" s="139" t="n"/>
      <c r="J2" s="139" t="n"/>
      <c r="K2" s="139" t="n"/>
      <c r="L2" s="139" t="n"/>
      <c r="M2" s="139" t="n"/>
      <c r="N2" s="139" t="n"/>
      <c r="O2" s="139" t="n"/>
      <c r="P2" s="139" t="n"/>
      <c r="Q2" s="139" t="n"/>
      <c r="R2" s="139" t="n"/>
      <c r="S2" s="139" t="n"/>
      <c r="T2" s="139" t="n"/>
      <c r="U2" s="139" t="n"/>
      <c r="V2" s="7431">
        <f>IF('Table of Contents'!A45="D","DRAFT","")</f>
        <v/>
      </c>
      <c r="X2" s="3540" t="n"/>
      <c r="Y2" s="3540" t="n"/>
      <c r="Z2" s="3540" t="n"/>
      <c r="AC2" s="3541" t="n"/>
      <c r="AD2" s="565" t="n"/>
      <c r="AE2" s="565" t="n"/>
      <c r="AF2" s="565" t="n"/>
      <c r="AG2" s="565" t="n"/>
      <c r="AH2" s="565" t="n"/>
      <c r="AI2" s="565" t="n"/>
      <c r="AJ2" s="565" t="n"/>
      <c r="AK2" s="3542" t="n"/>
      <c r="AL2" s="344" t="n"/>
      <c r="AN2" s="344" t="n"/>
      <c r="AP2" s="8648" t="n"/>
      <c r="AQ2" s="8648" t="n"/>
    </row>
    <row r="3" ht="13.5" customHeight="1" s="7635">
      <c r="A3" s="139" t="n"/>
      <c r="B3" s="813" t="n"/>
      <c r="C3" s="88" t="n"/>
      <c r="D3" s="88" t="n"/>
      <c r="E3" s="88" t="n"/>
      <c r="F3" s="90" t="n"/>
      <c r="G3" s="3543" t="n"/>
      <c r="H3" s="3544" t="n"/>
      <c r="I3" s="3544" t="n"/>
      <c r="J3" s="3544" t="n"/>
      <c r="K3" s="3544" t="n"/>
      <c r="L3" s="3544" t="n"/>
      <c r="M3" s="3544" t="n"/>
      <c r="N3" s="3544" t="n"/>
      <c r="O3" s="3544" t="n"/>
      <c r="P3" s="3544" t="n"/>
      <c r="Q3" s="3544" t="n"/>
      <c r="R3" s="3544" t="n"/>
      <c r="S3" s="3544" t="n"/>
      <c r="T3" s="3544" t="n"/>
      <c r="U3" s="3545" t="n"/>
      <c r="V3" s="9659">
        <f>IF(AND(X3="",'Table of Contents'!A45="D"),"DRAFT","OMB No. 1545-0074")</f>
        <v/>
      </c>
      <c r="W3" s="7637" t="n"/>
      <c r="X3" s="1796" t="n"/>
      <c r="Y3" s="3540" t="n"/>
      <c r="Z3" s="3540" t="n"/>
      <c r="AC3" s="566" t="n"/>
      <c r="AD3" s="1059" t="inlineStr">
        <is>
          <t>Married Persons Filing Separately  (See Form 2441 instructions.)</t>
        </is>
      </c>
      <c r="AE3" s="344" t="n"/>
      <c r="AF3" s="344" t="n"/>
      <c r="AG3" s="344" t="n"/>
      <c r="AH3" s="344" t="n"/>
      <c r="AI3" s="344" t="n"/>
      <c r="AJ3" s="344" t="n"/>
      <c r="AK3" s="567" t="n"/>
      <c r="AL3" s="344" t="n"/>
      <c r="AN3" s="344" t="n"/>
      <c r="AP3" s="8648" t="n"/>
      <c r="AQ3" s="8648" t="n"/>
    </row>
    <row r="4" ht="17.25" customHeight="1" s="7635">
      <c r="A4" s="139" t="n"/>
      <c r="B4" s="9663" t="inlineStr">
        <is>
          <t>Form</t>
        </is>
      </c>
      <c r="C4" s="12371" t="n">
        <v>2441</v>
      </c>
      <c r="F4" s="1066" t="n"/>
      <c r="G4" s="12372" t="inlineStr">
        <is>
          <t>Child and Dependent Care Expenses</t>
        </is>
      </c>
      <c r="U4" s="1066" t="n"/>
      <c r="V4" s="9661">
        <f>TaxYear</f>
        <v/>
      </c>
      <c r="X4" s="3540" t="n"/>
      <c r="Y4" s="3540" t="n"/>
      <c r="Z4" s="3540" t="n"/>
      <c r="AC4" s="566" t="n"/>
      <c r="AD4" s="344" t="inlineStr">
        <is>
          <t xml:space="preserve">Generally, married persons must file a joint return to claim the credit. </t>
        </is>
      </c>
      <c r="AE4" s="344" t="n"/>
      <c r="AF4" s="344" t="n"/>
      <c r="AG4" s="344" t="n"/>
      <c r="AH4" s="344" t="n"/>
      <c r="AI4" s="344" t="n"/>
      <c r="AJ4" s="344" t="n"/>
      <c r="AK4" s="567" t="n"/>
      <c r="AL4" s="344" t="n"/>
      <c r="AN4" s="344" t="n"/>
      <c r="AP4" s="8648" t="n"/>
      <c r="AQ4" s="8648" t="n"/>
      <c r="AR4" s="657" t="inlineStr">
        <is>
          <t>Notes</t>
        </is>
      </c>
      <c r="AS4" s="657" t="n"/>
      <c r="AT4" s="657" t="n"/>
      <c r="AU4" s="657" t="n"/>
      <c r="AV4" s="657" t="n"/>
      <c r="AW4" s="657" t="n"/>
      <c r="AX4" s="657" t="n"/>
      <c r="AY4" s="657" t="n"/>
      <c r="AZ4" s="657" t="n"/>
    </row>
    <row r="5" ht="12.75" customHeight="1" s="7635">
      <c r="A5" s="139" t="n"/>
      <c r="F5" s="1066" t="n"/>
      <c r="G5" s="11741" t="n"/>
      <c r="U5" s="1066" t="n"/>
      <c r="V5" s="11741" t="n"/>
      <c r="X5" s="3540" t="n"/>
      <c r="Y5" s="3540" t="n"/>
      <c r="Z5" s="3540" t="n"/>
      <c r="AC5" s="566" t="n"/>
      <c r="AD5" s="344" t="inlineStr">
        <is>
          <t xml:space="preserve">If your filing status is married filing separately and all of the following apply, </t>
        </is>
      </c>
      <c r="AE5" s="344" t="n"/>
      <c r="AF5" s="344" t="n"/>
      <c r="AG5" s="344" t="n"/>
      <c r="AH5" s="344" t="n"/>
      <c r="AI5" s="344" t="n"/>
      <c r="AJ5" s="344" t="n"/>
      <c r="AK5" s="567" t="n"/>
      <c r="AL5" s="344" t="n"/>
      <c r="AN5" s="344" t="n"/>
      <c r="AP5" s="8648" t="n"/>
      <c r="AQ5" s="8648" t="n"/>
    </row>
    <row r="6" ht="14.25" customHeight="1" s="7635">
      <c r="A6" s="139" t="n"/>
      <c r="B6" s="11262" t="inlineStr">
        <is>
          <t xml:space="preserve">Department of the Treasury  </t>
        </is>
      </c>
      <c r="C6" s="11262" t="n"/>
      <c r="D6" s="11262" t="n"/>
      <c r="E6" s="11262" t="n"/>
      <c r="F6" s="3546" t="n"/>
      <c r="G6" s="12373" t="inlineStr">
        <is>
          <t xml:space="preserve">   Attach to Form 1040, 1040-SR, or 1040-NR.</t>
        </is>
      </c>
      <c r="U6" s="1066" t="n"/>
      <c r="V6" s="3547" t="inlineStr">
        <is>
          <t xml:space="preserve">        Attachment </t>
        </is>
      </c>
      <c r="W6" s="9698" t="n">
        <v>21</v>
      </c>
      <c r="X6" s="3540" t="n"/>
      <c r="Y6" s="3540" t="n"/>
      <c r="Z6" s="3540" t="n"/>
      <c r="AC6" s="566" t="n"/>
      <c r="AD6" s="344" t="inlineStr">
        <is>
          <t>you are considered unmarried for purposes of claiming the credit on Form 2441.</t>
        </is>
      </c>
      <c r="AE6" s="344" t="n"/>
      <c r="AF6" s="344" t="n"/>
      <c r="AG6" s="344" t="n"/>
      <c r="AH6" s="344" t="n"/>
      <c r="AI6" s="344" t="n"/>
      <c r="AJ6" s="344" t="n"/>
      <c r="AK6" s="567" t="n"/>
      <c r="AL6" s="344" t="n"/>
      <c r="AN6" s="344" t="n"/>
      <c r="AP6" s="8648" t="n"/>
      <c r="AQ6" s="8648" t="n"/>
    </row>
    <row r="7" ht="12" customHeight="1" s="7635" thickBot="1">
      <c r="A7" s="139" t="n"/>
      <c r="B7" s="3548" t="inlineStr">
        <is>
          <t>Internal Revenue Service</t>
        </is>
      </c>
      <c r="C7" s="3549" t="n"/>
      <c r="D7" s="3549" t="n"/>
      <c r="E7" s="3549" t="n"/>
      <c r="F7" s="3550" t="n"/>
      <c r="G7" s="12374" t="inlineStr">
        <is>
          <t>Go to www.irs.gov/Form2441 for instructions and the latest information.</t>
        </is>
      </c>
      <c r="H7" s="11705" t="n"/>
      <c r="I7" s="11705" t="n"/>
      <c r="J7" s="11705" t="n"/>
      <c r="K7" s="11705" t="n"/>
      <c r="L7" s="11705" t="n"/>
      <c r="M7" s="11705" t="n"/>
      <c r="N7" s="11705" t="n"/>
      <c r="O7" s="11705" t="n"/>
      <c r="P7" s="11705" t="n"/>
      <c r="Q7" s="11705" t="n"/>
      <c r="R7" s="11705" t="n"/>
      <c r="S7" s="11705" t="n"/>
      <c r="T7" s="11705" t="n"/>
      <c r="U7" s="11710" t="n"/>
      <c r="V7" s="3551" t="inlineStr">
        <is>
          <t>Sequence No.</t>
        </is>
      </c>
      <c r="W7" s="11705" t="n"/>
      <c r="X7" s="3540" t="n"/>
      <c r="Y7" s="3540" t="n"/>
      <c r="Z7" s="3540" t="n"/>
      <c r="AA7" s="9650" t="inlineStr">
        <is>
          <t>Check 'Yes' or 'No'</t>
        </is>
      </c>
      <c r="AB7" s="7636" t="n"/>
      <c r="AC7" s="566" t="n"/>
      <c r="AD7" s="7886" t="n"/>
      <c r="AE7" s="344" t="n"/>
      <c r="AF7" s="344" t="n"/>
      <c r="AG7" s="344" t="n"/>
      <c r="AH7" s="344" t="n"/>
      <c r="AI7" s="344" t="n"/>
      <c r="AJ7" s="344" t="n"/>
      <c r="AK7" s="567" t="n"/>
      <c r="AL7" s="344" t="n"/>
      <c r="AN7" s="344" t="n"/>
      <c r="AP7" s="8648" t="n"/>
      <c r="AQ7" s="8648" t="n"/>
    </row>
    <row r="8" ht="11.25" customHeight="1" s="7635" thickTop="1">
      <c r="A8" s="139" t="n"/>
      <c r="B8" s="3552" t="inlineStr">
        <is>
          <t>Name(s) shown on return</t>
        </is>
      </c>
      <c r="C8" s="3553" t="n"/>
      <c r="D8" s="3553" t="n"/>
      <c r="E8" s="3553" t="n"/>
      <c r="F8" s="3553" t="n"/>
      <c r="G8" s="3554" t="n"/>
      <c r="H8" s="3555" t="n"/>
      <c r="I8" s="3555" t="n"/>
      <c r="J8" s="3555" t="n"/>
      <c r="K8" s="3555" t="n"/>
      <c r="L8" s="3556" t="n"/>
      <c r="M8" s="3552" t="n"/>
      <c r="N8" s="3552" t="n"/>
      <c r="O8" s="3552" t="n"/>
      <c r="P8" s="3552" t="n"/>
      <c r="Q8" s="3552" t="n"/>
      <c r="R8" s="3552" t="n"/>
      <c r="S8" s="8311" t="inlineStr">
        <is>
          <t>Your social security number</t>
        </is>
      </c>
      <c r="T8" s="9668" t="n"/>
      <c r="U8" s="9668" t="n"/>
      <c r="V8" s="9668" t="n"/>
      <c r="W8" s="9668" t="n"/>
      <c r="X8" s="3557" t="n"/>
      <c r="Y8" s="3557" t="n"/>
      <c r="Z8" s="3557" t="n"/>
      <c r="AA8" s="9650" t="inlineStr">
        <is>
          <t>box to the right</t>
        </is>
      </c>
      <c r="AB8" s="7636" t="n"/>
      <c r="AC8" s="566" t="n"/>
      <c r="AD8" s="7886">
        <f>"o You lived apart from your spouse during the last 6 months of "&amp;TaxYear&amp;"."</f>
        <v/>
      </c>
      <c r="AE8" s="344" t="n"/>
      <c r="AF8" s="344" t="n"/>
      <c r="AG8" s="344" t="n"/>
      <c r="AH8" s="344" t="n"/>
      <c r="AI8" s="344" t="n"/>
      <c r="AJ8" s="344" t="n"/>
      <c r="AK8" s="567" t="n"/>
      <c r="AL8" s="344" t="n"/>
      <c r="AN8" s="344" t="n"/>
      <c r="AP8" s="8648" t="n"/>
      <c r="AQ8" s="8648" t="n"/>
    </row>
    <row r="9" ht="16.5" customHeight="1" s="7635" thickBot="1">
      <c r="A9" s="139" t="n"/>
      <c r="B9" s="3558">
        <f>Names</f>
        <v/>
      </c>
      <c r="C9" s="3559" t="n"/>
      <c r="D9" s="3559" t="n"/>
      <c r="E9" s="3559" t="n"/>
      <c r="F9" s="3559" t="n"/>
      <c r="G9" s="3559" t="n"/>
      <c r="H9" s="3559" t="n"/>
      <c r="I9" s="3559" t="n"/>
      <c r="J9" s="3559" t="n"/>
      <c r="K9" s="3559" t="n"/>
      <c r="L9" s="3559" t="n"/>
      <c r="M9" s="3559" t="n"/>
      <c r="N9" s="3559" t="n"/>
      <c r="O9" s="3559" t="n"/>
      <c r="P9" s="3559" t="n"/>
      <c r="Q9" s="3559" t="n"/>
      <c r="R9" s="12375" t="n"/>
      <c r="S9" s="12376">
        <f>IF(NoSSN,"",SS_Yours)</f>
        <v/>
      </c>
      <c r="T9" s="8848" t="n"/>
      <c r="U9" s="8848" t="n"/>
      <c r="V9" s="8848" t="n"/>
      <c r="W9" s="8848" t="n"/>
      <c r="X9" s="3557" t="n"/>
      <c r="Y9" s="3557" t="n"/>
      <c r="Z9" s="3557" t="n"/>
      <c r="AA9" s="9650" t="inlineStr">
        <is>
          <t>and below as to</t>
        </is>
      </c>
      <c r="AB9" s="7636" t="n"/>
      <c r="AC9" s="566" t="n"/>
      <c r="AD9" s="7886">
        <f>"o Your home was the qualifying person's main home for more than half of "&amp;TaxYear&amp;"."</f>
        <v/>
      </c>
      <c r="AE9" s="344" t="n"/>
      <c r="AF9" s="344" t="n"/>
      <c r="AG9" s="344" t="n"/>
      <c r="AH9" s="344" t="n"/>
      <c r="AI9" s="344" t="n"/>
      <c r="AJ9" s="344" t="n"/>
      <c r="AK9" s="567" t="n"/>
      <c r="AL9" s="344" t="n"/>
      <c r="AN9" s="344" t="n"/>
      <c r="AP9" s="8648" t="n"/>
      <c r="AQ9" s="8648" t="n"/>
    </row>
    <row r="10" ht="15" customHeight="1" s="7635">
      <c r="A10" s="139" t="n"/>
      <c r="B10" s="3561" t="inlineStr">
        <is>
          <t>A  You can't claim a credit for  child and dependent care expenses if your filing status is  married filing separately  unless you meet the</t>
        </is>
      </c>
      <c r="C10" s="2755" t="n"/>
      <c r="D10" s="2755" t="n"/>
      <c r="E10" s="2755" t="n"/>
      <c r="F10" s="2755" t="n"/>
      <c r="G10" s="2755" t="n"/>
      <c r="H10" s="2755" t="n"/>
      <c r="I10" s="2755" t="n"/>
      <c r="J10" s="3097" t="n"/>
      <c r="K10" s="3097" t="n"/>
      <c r="L10" s="2755" t="n"/>
      <c r="M10" s="3562" t="n"/>
      <c r="N10" s="2755" t="n"/>
      <c r="O10" s="2755" t="n"/>
      <c r="P10" s="2755" t="n"/>
      <c r="Q10" s="2755" t="n"/>
      <c r="R10" s="2755" t="n"/>
      <c r="S10" s="2755" t="n"/>
      <c r="T10" s="2755" t="n"/>
      <c r="U10" s="2755" t="n"/>
      <c r="V10" s="3563" t="n"/>
      <c r="W10" s="3563" t="n"/>
      <c r="X10" s="3540" t="n"/>
      <c r="Y10" s="3540" t="n"/>
      <c r="Z10" s="3540" t="n"/>
      <c r="AA10" s="9650" t="inlineStr">
        <is>
          <t xml:space="preserve">whether or not you </t>
        </is>
      </c>
      <c r="AB10" s="7636" t="n"/>
      <c r="AC10" s="566" t="n"/>
      <c r="AD10" s="7886">
        <f>"o You paid more than half of the cost of keeping up that home for "&amp;TaxYear&amp;"."</f>
        <v/>
      </c>
      <c r="AE10" s="344" t="n"/>
      <c r="AF10" s="344" t="n"/>
      <c r="AG10" s="344" t="n"/>
      <c r="AH10" s="344" t="n"/>
      <c r="AI10" s="344" t="n"/>
      <c r="AJ10" s="344" t="n"/>
      <c r="AK10" s="567" t="n"/>
      <c r="AL10" s="344" t="n"/>
      <c r="AN10" s="344" t="n"/>
      <c r="AP10" s="8648" t="n"/>
      <c r="AQ10" s="8648" t="n"/>
    </row>
    <row r="11" ht="16.5" customHeight="1" s="7635">
      <c r="A11" s="139" t="n"/>
      <c r="B11" s="3564" t="inlineStr">
        <is>
          <t>requirements listed in the instructions under Married Persons Filing Separately.</t>
        </is>
      </c>
      <c r="C11" s="3565" t="n"/>
      <c r="D11" s="3565" t="n"/>
      <c r="E11" s="3565" t="n"/>
      <c r="F11" s="3565" t="n"/>
      <c r="G11" s="3565" t="n"/>
      <c r="H11" s="3565" t="n"/>
      <c r="I11" s="3565" t="n"/>
      <c r="J11" s="3108" t="n"/>
      <c r="K11" s="3108" t="n"/>
      <c r="L11" s="3565" t="n"/>
      <c r="M11" s="3566" t="n"/>
      <c r="N11" s="3565" t="n"/>
      <c r="O11" s="3565" t="n"/>
      <c r="P11" s="3565" t="n"/>
      <c r="Q11" s="3565" t="n"/>
      <c r="R11" s="3565" t="n"/>
      <c r="S11" s="3565" t="n"/>
      <c r="T11" s="3565" t="n"/>
      <c r="U11" s="3565" t="n"/>
      <c r="V11" s="3567">
        <f>IF(AB19,"You are not eligible for this credit.",IF(AB18,"Check 'Yes' or 'No' box at the right.","If you meet these requirements, check this box."))</f>
        <v/>
      </c>
      <c r="W11" s="3568">
        <f>IF(AND(File_Marr_Sep&lt;&gt;"",AD18&lt;&gt;""),"X","")</f>
        <v/>
      </c>
      <c r="X11" s="3540" t="n"/>
      <c r="Y11" s="3540" t="n"/>
      <c r="Z11" s="3540" t="n"/>
      <c r="AA11" s="9650" t="inlineStr">
        <is>
          <t>meet the requirements</t>
        </is>
      </c>
      <c r="AB11" s="7636" t="n"/>
      <c r="AC11" s="566" t="n"/>
      <c r="AD11" s="344" t="n"/>
      <c r="AE11" s="344" t="n"/>
      <c r="AF11" s="344" t="n"/>
      <c r="AG11" s="344" t="n"/>
      <c r="AH11" s="344" t="n"/>
      <c r="AI11" s="344" t="n"/>
      <c r="AJ11" s="344" t="n"/>
      <c r="AK11" s="567" t="n"/>
      <c r="AL11" s="344" t="n"/>
      <c r="AN11" s="344" t="n"/>
      <c r="AP11" s="8648" t="n"/>
      <c r="AQ11" s="8648" t="n"/>
    </row>
    <row r="12" ht="12.75" customHeight="1" s="7635">
      <c r="A12" s="139" t="n"/>
      <c r="B12" s="3569" t="inlineStr">
        <is>
          <t>B  If you</t>
        </is>
      </c>
      <c r="C12" s="8651">
        <f>"or your spouse was a student or was disabled during "&amp;TaxYear&amp;" and you're entering deemed income of $250 or $500 a month on"</f>
        <v/>
      </c>
      <c r="D12" s="2755" t="n"/>
      <c r="E12" s="2755" t="n"/>
      <c r="F12" s="2755" t="n"/>
      <c r="G12" s="2755" t="n"/>
      <c r="H12" s="2755" t="n"/>
      <c r="I12" s="2755" t="n"/>
      <c r="J12" s="3097" t="n"/>
      <c r="K12" s="3097" t="n"/>
      <c r="L12" s="2755" t="n"/>
      <c r="M12" s="3562" t="n"/>
      <c r="N12" s="2755" t="n"/>
      <c r="O12" s="2755" t="n"/>
      <c r="P12" s="2755" t="n"/>
      <c r="Q12" s="2755" t="n"/>
      <c r="R12" s="2755" t="n"/>
      <c r="S12" s="2755" t="n"/>
      <c r="T12" s="2755" t="n"/>
      <c r="U12" s="2755" t="n"/>
      <c r="V12" s="3563" t="n"/>
      <c r="W12" s="3570" t="n"/>
      <c r="X12" s="3540" t="n"/>
      <c r="Y12" s="3540" t="n"/>
      <c r="Z12" s="3540" t="n"/>
      <c r="AA12" s="9650" t="inlineStr">
        <is>
          <t>to be considered</t>
        </is>
      </c>
      <c r="AB12" s="7636" t="n"/>
      <c r="AC12" s="566" t="n"/>
      <c r="AD12" s="344" t="inlineStr">
        <is>
          <t>See instructions for Form 2441.</t>
        </is>
      </c>
      <c r="AE12" s="344" t="n"/>
      <c r="AF12" s="344" t="n"/>
      <c r="AG12" s="344" t="n"/>
      <c r="AH12" s="344" t="n"/>
      <c r="AI12" s="344" t="n"/>
      <c r="AJ12" s="344" t="n"/>
      <c r="AK12" s="567" t="n"/>
      <c r="AL12" s="344" t="n"/>
      <c r="AN12" s="344" t="n"/>
      <c r="AP12" s="8648" t="n"/>
      <c r="AQ12" s="8648" t="n"/>
    </row>
    <row r="13" ht="12.75" customHeight="1" s="7635">
      <c r="A13" s="139" t="n"/>
      <c r="B13" s="3571" t="inlineStr">
        <is>
          <t>Form 2441 based on the income rules listed in the instructions under If You or Your Spouse Was a Student or Disabled, check this box       .   .   .   .</t>
        </is>
      </c>
      <c r="C13" s="3565" t="n"/>
      <c r="D13" s="3565" t="n"/>
      <c r="E13" s="3565" t="n"/>
      <c r="F13" s="3565" t="n"/>
      <c r="G13" s="3565" t="n"/>
      <c r="H13" s="3565" t="n"/>
      <c r="I13" s="3565" t="n"/>
      <c r="J13" s="3108" t="n"/>
      <c r="K13" s="3108" t="n"/>
      <c r="L13" s="3565" t="n"/>
      <c r="M13" s="3566" t="n"/>
      <c r="N13" s="3565" t="n"/>
      <c r="O13" s="3565" t="n"/>
      <c r="P13" s="3565" t="n"/>
      <c r="Q13" s="3565" t="n"/>
      <c r="R13" s="3565" t="n"/>
      <c r="S13" s="3565" t="n"/>
      <c r="T13" s="3565" t="n"/>
      <c r="U13" s="3565" t="n"/>
      <c r="V13" s="3572" t="n"/>
      <c r="W13" s="572" t="n"/>
      <c r="X13" s="3540" t="n"/>
      <c r="Y13" s="3540" t="n"/>
      <c r="Z13" s="3540" t="n"/>
      <c r="AA13" s="12377" t="inlineStr">
        <is>
          <t>unmarried' for the</t>
        </is>
      </c>
      <c r="AB13" s="7636" t="n"/>
      <c r="AC13" s="566" t="n"/>
      <c r="AD13" s="344" t="n"/>
      <c r="AE13" s="344" t="n"/>
      <c r="AF13" s="344" t="n"/>
      <c r="AG13" s="344" t="n"/>
      <c r="AH13" s="344" t="n"/>
      <c r="AI13" s="344" t="n"/>
      <c r="AJ13" s="344" t="n"/>
      <c r="AK13" s="567" t="n"/>
      <c r="AL13" s="344" t="n"/>
      <c r="AN13" s="344" t="n"/>
      <c r="AP13" s="8648" t="n"/>
      <c r="AQ13" s="8648" t="n"/>
    </row>
    <row r="14" ht="15" customHeight="1" s="7635">
      <c r="A14" s="139" t="n"/>
      <c r="B14" s="8329" t="inlineStr">
        <is>
          <t>Part I</t>
        </is>
      </c>
      <c r="C14" s="3574" t="inlineStr">
        <is>
          <t xml:space="preserve">   Persons or Organizations Who Provided the Care – You must complete this part.</t>
        </is>
      </c>
      <c r="D14" s="3574" t="n"/>
      <c r="E14" s="3574" t="n"/>
      <c r="F14" s="3574" t="n"/>
      <c r="G14" s="2755" t="n"/>
      <c r="H14" s="2755" t="n"/>
      <c r="I14" s="2755" t="n"/>
      <c r="J14" s="2755" t="n"/>
      <c r="K14" s="2755" t="n"/>
      <c r="L14" s="2755" t="n"/>
      <c r="M14" s="2755" t="n"/>
      <c r="N14" s="2755" t="n"/>
      <c r="O14" s="2755" t="n"/>
      <c r="P14" s="2755" t="n"/>
      <c r="Q14" s="2755" t="n"/>
      <c r="R14" s="2755" t="n"/>
      <c r="S14" s="2755" t="n"/>
      <c r="T14" s="2755" t="n"/>
      <c r="U14" s="2755" t="n"/>
      <c r="V14" s="3575" t="n"/>
      <c r="W14" s="3575" t="n"/>
      <c r="X14" s="3540" t="n"/>
      <c r="Y14" s="3540" t="n"/>
      <c r="Z14" s="3540" t="n"/>
      <c r="AA14" s="9650" t="inlineStr">
        <is>
          <t>purposes of claiming</t>
        </is>
      </c>
      <c r="AB14" s="7636" t="n"/>
      <c r="AC14" s="566" t="n"/>
      <c r="AD14" s="344" t="inlineStr">
        <is>
          <t>If you meet all the requirements to be treated as unmarried and meet items 2</t>
        </is>
      </c>
      <c r="AE14" s="344" t="n"/>
      <c r="AF14" s="344" t="n"/>
      <c r="AG14" s="344" t="n"/>
      <c r="AH14" s="344" t="n"/>
      <c r="AI14" s="344" t="n"/>
      <c r="AJ14" s="344" t="n"/>
      <c r="AK14" s="567" t="n"/>
      <c r="AL14" s="344" t="n"/>
      <c r="AN14" s="344" t="n"/>
      <c r="AP14" s="8648" t="n"/>
      <c r="AQ14" s="8648" t="n"/>
    </row>
    <row r="15" ht="15" customHeight="1" s="7635">
      <c r="A15" s="139" t="n"/>
      <c r="B15" s="3565" t="n"/>
      <c r="C15" s="6377" t="inlineStr">
        <is>
          <t>If you have more than three care providers, see the instructions and check this box</t>
        </is>
      </c>
      <c r="D15" s="3565" t="n"/>
      <c r="E15" s="3565" t="n"/>
      <c r="F15" s="3565" t="n"/>
      <c r="G15" s="3565" t="n"/>
      <c r="H15" s="3565" t="n"/>
      <c r="I15" s="3565" t="n"/>
      <c r="J15" s="3565" t="n"/>
      <c r="K15" s="3565" t="n"/>
      <c r="L15" s="3565" t="n"/>
      <c r="M15" s="3565" t="n"/>
      <c r="N15" s="3565" t="n"/>
      <c r="O15" s="3565" t="n"/>
      <c r="P15" s="3565" t="n"/>
      <c r="Q15" s="3565" t="n"/>
      <c r="R15" s="3565" t="n"/>
      <c r="S15" s="3565" t="n"/>
      <c r="T15" s="3565" t="n"/>
      <c r="U15" s="3565" t="n"/>
      <c r="V15" s="3576" t="inlineStr">
        <is>
          <t xml:space="preserve">.   .   .   .   .   .   .   .   .   .   .   . </t>
        </is>
      </c>
      <c r="W15" s="572">
        <f>IF(AD20&lt;&gt;"","X","")</f>
        <v/>
      </c>
      <c r="X15" s="3540" t="n"/>
      <c r="Y15" s="3540" t="n"/>
      <c r="Z15" s="3540" t="n"/>
      <c r="AA15" s="9650" t="inlineStr">
        <is>
          <t>the credit on</t>
        </is>
      </c>
      <c r="AB15" s="7636" t="n"/>
      <c r="AC15" s="566" t="n"/>
      <c r="AD15" s="344" t="inlineStr">
        <is>
          <t>through 5 listed in the instructions, you can take the credit or the exclusion. If you</t>
        </is>
      </c>
      <c r="AE15" s="344" t="n"/>
      <c r="AF15" s="344" t="n"/>
      <c r="AG15" s="344" t="n"/>
      <c r="AH15" s="344" t="n"/>
      <c r="AI15" s="344" t="n"/>
      <c r="AJ15" s="344" t="n"/>
      <c r="AK15" s="567" t="n"/>
      <c r="AL15" s="344" t="n"/>
      <c r="AN15" s="344" t="n"/>
      <c r="AP15" s="8648" t="n"/>
      <c r="AQ15" s="8648" t="n"/>
    </row>
    <row r="16" ht="27" customHeight="1" s="7635">
      <c r="A16" s="139" t="n"/>
      <c r="B16" s="3016" t="inlineStr">
        <is>
          <t xml:space="preserve"> 1     (a)</t>
        </is>
      </c>
      <c r="C16" s="2753" t="inlineStr">
        <is>
          <t xml:space="preserve"> Care provider's</t>
        </is>
      </c>
      <c r="D16" s="2753" t="n"/>
      <c r="E16" s="2753" t="n"/>
      <c r="F16" s="2753" t="n"/>
      <c r="G16" s="3577" t="n"/>
      <c r="H16" s="12378" t="inlineStr">
        <is>
          <t>(b) Address</t>
        </is>
      </c>
      <c r="I16" s="7839" t="n"/>
      <c r="J16" s="7839" t="n"/>
      <c r="K16" s="7839" t="n"/>
      <c r="L16" s="10091" t="n"/>
      <c r="M16" s="12098" t="inlineStr">
        <is>
          <t>(c) Identifying number 
(SSN or EIN)</t>
        </is>
      </c>
      <c r="N16" s="7839" t="n"/>
      <c r="O16" s="10091" t="n"/>
      <c r="P16" s="12088">
        <f>"(d) Was the care provider your household employee in "&amp;TaxYear&amp;"?"&amp;CHAR(10)&amp;"For example, this generally includes nannies but not daycare centers. (see instructions)"</f>
        <v/>
      </c>
      <c r="Q16" s="7839" t="n"/>
      <c r="R16" s="7839" t="n"/>
      <c r="S16" s="7839" t="n"/>
      <c r="T16" s="7839" t="n"/>
      <c r="U16" s="10091" t="n"/>
      <c r="V16" s="9665" t="inlineStr">
        <is>
          <t xml:space="preserve">        (e) Amount paid</t>
        </is>
      </c>
      <c r="W16" s="7839" t="n"/>
      <c r="X16" s="3540" t="n"/>
      <c r="Y16" s="3540" t="n"/>
      <c r="Z16" s="3540" t="n"/>
      <c r="AA16" s="9650" t="inlineStr">
        <is>
          <t>Form 2441.</t>
        </is>
      </c>
      <c r="AB16" s="7636" t="n"/>
      <c r="AC16" s="566" t="n"/>
      <c r="AD16" s="979" t="inlineStr">
        <is>
          <t>don't meet all the requirements to be treated as unmarried, you can't take the credit.</t>
        </is>
      </c>
      <c r="AE16" s="344" t="n"/>
      <c r="AF16" s="344" t="n"/>
      <c r="AG16" s="344" t="n"/>
      <c r="AH16" s="344" t="n"/>
      <c r="AI16" s="344" t="n"/>
      <c r="AJ16" s="344" t="n"/>
      <c r="AK16" s="567" t="n"/>
      <c r="AL16" s="344" t="n"/>
      <c r="AN16" s="344" t="n"/>
      <c r="AP16" s="8648" t="n"/>
      <c r="AQ16" s="8648" t="n"/>
    </row>
    <row r="17" ht="27" customHeight="1" s="7635">
      <c r="A17" s="139" t="n"/>
      <c r="B17" s="9582" t="n"/>
      <c r="C17" s="3578" t="inlineStr">
        <is>
          <t xml:space="preserve">    name</t>
        </is>
      </c>
      <c r="D17" s="3579" t="n"/>
      <c r="E17" s="3579" t="n"/>
      <c r="F17" s="3579" t="n"/>
      <c r="G17" s="3580" t="n"/>
      <c r="H17" s="12379" t="inlineStr">
        <is>
          <t>(number, street, apt. no., city, state, and ZIP code)</t>
        </is>
      </c>
      <c r="I17" s="7637" t="n"/>
      <c r="J17" s="7637" t="n"/>
      <c r="K17" s="7637" t="n"/>
      <c r="L17" s="7638" t="n"/>
      <c r="M17" s="3614" t="n"/>
      <c r="N17" s="7637" t="n"/>
      <c r="O17" s="7638" t="n"/>
      <c r="P17" s="3614" t="n"/>
      <c r="Q17" s="7637" t="n"/>
      <c r="R17" s="7637" t="n"/>
      <c r="S17" s="7637" t="n"/>
      <c r="T17" s="7637" t="n"/>
      <c r="U17" s="7638" t="n"/>
      <c r="V17" s="3581" t="inlineStr">
        <is>
          <t xml:space="preserve">        (see instructions)</t>
        </is>
      </c>
      <c r="W17" s="3582" t="n"/>
      <c r="X17" s="3540" t="n"/>
      <c r="Y17" s="3540" t="n"/>
      <c r="Z17" s="3540" t="n"/>
      <c r="AA17" s="9650" t="n"/>
      <c r="AB17" s="7636" t="n"/>
      <c r="AC17" s="566" t="n"/>
      <c r="AD17" s="344" t="n"/>
      <c r="AE17" s="344" t="n"/>
      <c r="AF17" s="344" t="n"/>
      <c r="AG17" s="344" t="n"/>
      <c r="AH17" s="344" t="n"/>
      <c r="AI17" s="344" t="n"/>
      <c r="AJ17" s="344" t="n"/>
      <c r="AK17" s="567" t="n"/>
      <c r="AL17" s="344" t="n"/>
      <c r="AN17" s="344" t="n"/>
      <c r="AP17" s="8648" t="n"/>
      <c r="AQ17" s="8648" t="n"/>
    </row>
    <row r="18" ht="12" customHeight="1" s="7635">
      <c r="A18" s="139" t="n"/>
      <c r="B18" s="12380" t="n"/>
      <c r="C18" s="11745" t="n"/>
      <c r="D18" s="11745" t="n"/>
      <c r="E18" s="11745" t="n"/>
      <c r="F18" s="11745" t="n"/>
      <c r="G18" s="11948" t="n"/>
      <c r="H18" s="12381" t="n"/>
      <c r="I18" s="12073" t="n"/>
      <c r="J18" s="12073" t="n"/>
      <c r="K18" s="12073" t="n"/>
      <c r="L18" s="12382" t="n"/>
      <c r="M18" s="3583" t="n"/>
      <c r="N18" s="3584" t="n"/>
      <c r="O18" s="3585" t="n"/>
      <c r="P18" s="3585" t="n"/>
      <c r="Q18" s="1448" t="n"/>
      <c r="R18" s="12383" t="inlineStr">
        <is>
          <t>Yes</t>
        </is>
      </c>
      <c r="S18" s="10091" t="n"/>
      <c r="T18" s="12384">
        <f>IF(AND(OR(B18&lt;&gt;"",V19&lt;&gt;""),Q18=""),"X","")</f>
        <v/>
      </c>
      <c r="U18" s="12383" t="inlineStr">
        <is>
          <t>No</t>
        </is>
      </c>
      <c r="V18" s="1444" t="n"/>
      <c r="W18" s="1445" t="n"/>
      <c r="X18" s="3540" t="n"/>
      <c r="Y18" s="3540" t="n"/>
      <c r="Z18" s="3540" t="n"/>
      <c r="AB18" s="7834">
        <f>AND($AD$18="",$AD$19="",File_Marr_Sep&lt;&gt;"")</f>
        <v/>
      </c>
      <c r="AC18" s="564" t="n"/>
      <c r="AD18" s="299" t="n"/>
      <c r="AE18" s="344" t="inlineStr">
        <is>
          <t xml:space="preserve"> Yes.  I meet these requirements to be considered unmarried.</t>
        </is>
      </c>
      <c r="AF18" s="344" t="n"/>
      <c r="AG18" s="344" t="n"/>
      <c r="AH18" s="344" t="n"/>
      <c r="AI18" s="344" t="n"/>
      <c r="AJ18" s="344" t="n"/>
      <c r="AK18" s="567" t="n"/>
      <c r="AL18" s="344" t="n"/>
      <c r="AN18" s="344" t="n"/>
      <c r="AP18" s="8648" t="n"/>
      <c r="AQ18" s="8648" t="n"/>
    </row>
    <row r="19" ht="12" customHeight="1" s="7635">
      <c r="A19" s="139" t="n"/>
      <c r="B19" s="11717" t="n"/>
      <c r="C19" s="11717" t="n"/>
      <c r="D19" s="11717" t="n"/>
      <c r="E19" s="11717" t="n"/>
      <c r="F19" s="11717" t="n"/>
      <c r="G19" s="11718" t="n"/>
      <c r="H19" s="12385" t="n"/>
      <c r="I19" s="12074" t="n"/>
      <c r="J19" s="12074" t="n"/>
      <c r="K19" s="12074" t="n"/>
      <c r="L19" s="12081" t="n"/>
      <c r="M19" s="12386" t="n"/>
      <c r="N19" s="11717" t="n"/>
      <c r="O19" s="11718" t="n"/>
      <c r="P19" s="3586" t="n"/>
      <c r="Q19" s="11969" t="n"/>
      <c r="R19" s="3614" t="n"/>
      <c r="S19" s="7638" t="n"/>
      <c r="T19" s="11934" t="n"/>
      <c r="U19" s="11934" t="n"/>
      <c r="V19" s="9629" t="n"/>
      <c r="W19" s="11717" t="n"/>
      <c r="X19" s="3540" t="n"/>
      <c r="Y19" s="3540" t="n"/>
      <c r="Z19" s="3540" t="n"/>
      <c r="AB19" s="7834">
        <f>AND(File_Marr_Sep&lt;&gt;"",AD19&lt;&gt;"")</f>
        <v/>
      </c>
      <c r="AC19" s="564" t="n"/>
      <c r="AD19" s="299" t="n"/>
      <c r="AE19" s="344" t="inlineStr">
        <is>
          <t xml:space="preserve"> No.   I don't meet these requirements and, therefore, I can't take the credit.</t>
        </is>
      </c>
      <c r="AF19" s="344" t="n"/>
      <c r="AG19" s="344" t="n"/>
      <c r="AH19" s="344" t="n"/>
      <c r="AI19" s="344" t="n"/>
      <c r="AJ19" s="344" t="n"/>
      <c r="AK19" s="567" t="n"/>
      <c r="AL19" s="344" t="n"/>
      <c r="AN19" s="344" t="n"/>
      <c r="AP19" s="8648" t="n"/>
      <c r="AQ19" s="8648" t="n"/>
    </row>
    <row r="20" ht="12" customHeight="1" s="7635">
      <c r="A20" s="139" t="n"/>
      <c r="B20" s="12380" t="n"/>
      <c r="C20" s="11745" t="n"/>
      <c r="D20" s="11745" t="n"/>
      <c r="E20" s="11745" t="n"/>
      <c r="F20" s="11745" t="n"/>
      <c r="G20" s="11948" t="n"/>
      <c r="H20" s="12381" t="n"/>
      <c r="I20" s="12073" t="n"/>
      <c r="J20" s="12073" t="n"/>
      <c r="K20" s="12073" t="n"/>
      <c r="L20" s="12382" t="n"/>
      <c r="M20" s="3583" t="n"/>
      <c r="N20" s="3584" t="n"/>
      <c r="O20" s="3585" t="n"/>
      <c r="P20" s="3585" t="n"/>
      <c r="Q20" s="1448" t="n"/>
      <c r="R20" s="12383" t="inlineStr">
        <is>
          <t>Yes</t>
        </is>
      </c>
      <c r="S20" s="10091" t="n"/>
      <c r="T20" s="12384">
        <f>IF(AND(OR(B20&lt;&gt;"",V21&lt;&gt;""),Q20=""),"X","")</f>
        <v/>
      </c>
      <c r="U20" s="12383" t="inlineStr">
        <is>
          <t>No</t>
        </is>
      </c>
      <c r="V20" s="1444" t="n"/>
      <c r="W20" s="1445" t="n"/>
      <c r="X20" s="3540" t="n"/>
      <c r="Y20" s="3540" t="n"/>
      <c r="Z20" s="3540" t="n"/>
      <c r="AC20" s="566" t="n"/>
      <c r="AD20" s="344" t="n"/>
      <c r="AE20" s="344" t="n"/>
      <c r="AF20" s="344" t="n"/>
      <c r="AG20" s="344" t="n"/>
      <c r="AH20" s="344" t="n"/>
      <c r="AI20" s="11602" t="n"/>
      <c r="AJ20" s="11602" t="n"/>
      <c r="AK20" s="409" t="n"/>
      <c r="AL20" s="344" t="n"/>
      <c r="AN20" s="344" t="n"/>
      <c r="AP20" s="8648" t="n"/>
      <c r="AQ20" s="8648" t="n"/>
    </row>
    <row r="21" ht="12" customHeight="1" s="7635">
      <c r="A21" s="139" t="n"/>
      <c r="B21" s="11717" t="n"/>
      <c r="C21" s="11717" t="n"/>
      <c r="D21" s="11717" t="n"/>
      <c r="E21" s="11717" t="n"/>
      <c r="F21" s="11717" t="n"/>
      <c r="G21" s="11718" t="n"/>
      <c r="H21" s="12385" t="n"/>
      <c r="I21" s="12074" t="n"/>
      <c r="J21" s="12074" t="n"/>
      <c r="K21" s="12074" t="n"/>
      <c r="L21" s="12081" t="n"/>
      <c r="M21" s="12386" t="n"/>
      <c r="N21" s="11717" t="n"/>
      <c r="O21" s="11718" t="n"/>
      <c r="P21" s="3586" t="n"/>
      <c r="Q21" s="11969" t="n"/>
      <c r="R21" s="3614" t="n"/>
      <c r="S21" s="7638" t="n"/>
      <c r="T21" s="11934" t="n"/>
      <c r="U21" s="11934" t="n"/>
      <c r="V21" s="9629" t="n"/>
      <c r="W21" s="11717" t="n"/>
      <c r="X21" s="3540" t="n"/>
      <c r="Y21" s="3540" t="n"/>
      <c r="Z21" s="3540" t="n"/>
      <c r="AC21" s="568" t="n"/>
      <c r="AD21" s="569" t="n"/>
      <c r="AE21" s="569" t="n"/>
      <c r="AF21" s="569" t="n"/>
      <c r="AG21" s="569" t="n"/>
      <c r="AH21" s="569" t="n"/>
      <c r="AI21" s="413" t="n"/>
      <c r="AJ21" s="413" t="n"/>
      <c r="AK21" s="414" t="n"/>
      <c r="AL21" s="344" t="n"/>
      <c r="AN21" s="344" t="n"/>
      <c r="AP21" s="8648" t="n"/>
      <c r="AQ21" s="8648" t="n"/>
    </row>
    <row r="22" ht="12" customHeight="1" s="7635">
      <c r="A22" s="139" t="n"/>
      <c r="B22" s="12380" t="n"/>
      <c r="C22" s="11745" t="n"/>
      <c r="D22" s="11745" t="n"/>
      <c r="E22" s="11745" t="n"/>
      <c r="F22" s="11745" t="n"/>
      <c r="G22" s="11948" t="n"/>
      <c r="H22" s="12381" t="n"/>
      <c r="I22" s="12073" t="n"/>
      <c r="J22" s="12073" t="n"/>
      <c r="K22" s="12073" t="n"/>
      <c r="L22" s="12382" t="n"/>
      <c r="M22" s="3583" t="n"/>
      <c r="N22" s="3584" t="n"/>
      <c r="O22" s="3585" t="n"/>
      <c r="P22" s="3585" t="n"/>
      <c r="Q22" s="1448" t="n"/>
      <c r="R22" s="12383" t="inlineStr">
        <is>
          <t>Yes</t>
        </is>
      </c>
      <c r="S22" s="10091" t="n"/>
      <c r="T22" s="12384">
        <f>IF(AND(OR(B22&lt;&gt;"",V23&lt;&gt;""),Q22=""),"X","")</f>
        <v/>
      </c>
      <c r="U22" s="12383" t="inlineStr">
        <is>
          <t>No</t>
        </is>
      </c>
      <c r="V22" s="1444" t="n"/>
      <c r="W22" s="1445" t="n"/>
      <c r="X22" s="3540" t="n"/>
      <c r="Y22" s="3540" t="n"/>
      <c r="Z22" s="3540" t="n"/>
    </row>
    <row r="23" ht="12" customHeight="1" s="7635">
      <c r="A23" s="139" t="n"/>
      <c r="B23" s="11717" t="n"/>
      <c r="C23" s="11717" t="n"/>
      <c r="D23" s="11717" t="n"/>
      <c r="E23" s="11717" t="n"/>
      <c r="F23" s="11717" t="n"/>
      <c r="G23" s="11718" t="n"/>
      <c r="H23" s="12385" t="n"/>
      <c r="I23" s="12074" t="n"/>
      <c r="J23" s="12074" t="n"/>
      <c r="K23" s="12074" t="n"/>
      <c r="L23" s="12081" t="n"/>
      <c r="M23" s="12386" t="n"/>
      <c r="N23" s="11717" t="n"/>
      <c r="O23" s="11718" t="n"/>
      <c r="P23" s="3586" t="n"/>
      <c r="Q23" s="11969" t="n"/>
      <c r="R23" s="3614" t="n"/>
      <c r="S23" s="7638" t="n"/>
      <c r="T23" s="11934" t="n"/>
      <c r="U23" s="11934" t="n"/>
      <c r="V23" s="9629" t="n"/>
      <c r="W23" s="11717" t="n"/>
      <c r="X23" s="3540" t="n"/>
      <c r="Y23" s="3540" t="n"/>
      <c r="Z23" s="3540" t="n"/>
      <c r="AE23" s="3587" t="n"/>
    </row>
    <row r="24" ht="6.75" customHeight="1" s="7635" thickBot="1">
      <c r="A24" s="139" t="n"/>
      <c r="B24" s="2755" t="n"/>
      <c r="C24" s="2755" t="n"/>
      <c r="D24" s="2755" t="n"/>
      <c r="E24" s="2755" t="n"/>
      <c r="F24" s="2755" t="n"/>
      <c r="G24" s="2755" t="n"/>
      <c r="H24" s="2755" t="n"/>
      <c r="I24" s="2755" t="n"/>
      <c r="J24" s="2755" t="n"/>
      <c r="K24" s="2755" t="n"/>
      <c r="L24" s="2755" t="n"/>
      <c r="M24" s="2755" t="n"/>
      <c r="N24" s="2755" t="n"/>
      <c r="O24" s="2755" t="n"/>
      <c r="P24" s="2755" t="n"/>
      <c r="Q24" s="2755" t="n"/>
      <c r="R24" s="2755" t="n"/>
      <c r="S24" s="2755" t="n"/>
      <c r="T24" s="2755" t="n"/>
      <c r="U24" s="2755" t="n"/>
      <c r="V24" s="2755" t="n"/>
      <c r="W24" s="2755" t="n"/>
      <c r="X24" s="3540" t="n"/>
      <c r="Y24" s="3540" t="n"/>
      <c r="Z24" s="3540" t="n"/>
      <c r="AE24" s="9737" t="inlineStr">
        <is>
          <t>Earned Income Worksheet</t>
        </is>
      </c>
    </row>
    <row r="25" ht="13.5" customHeight="1" s="7635" thickBot="1" thickTop="1">
      <c r="A25" s="139" t="n"/>
      <c r="B25" s="2755" t="n"/>
      <c r="C25" s="2755" t="n"/>
      <c r="D25" s="2755" t="n"/>
      <c r="E25" s="2755" t="n"/>
      <c r="F25" s="2755" t="n"/>
      <c r="G25" s="12387" t="inlineStr">
        <is>
          <t>Did you receive</t>
        </is>
      </c>
      <c r="H25" s="9668" t="n"/>
      <c r="I25" s="9668" t="n"/>
      <c r="J25" s="9669" t="n"/>
      <c r="K25" s="2755" t="n"/>
      <c r="L25" s="3588" t="inlineStr">
        <is>
          <t>No</t>
        </is>
      </c>
      <c r="M25" s="282" t="n"/>
      <c r="N25" s="2755" t="inlineStr">
        <is>
          <t>Complete only Part II below.</t>
        </is>
      </c>
      <c r="O25" s="2755" t="n"/>
      <c r="P25" s="2755" t="n"/>
      <c r="Q25" s="2755" t="n"/>
      <c r="R25" s="2755" t="n"/>
      <c r="S25" s="2755" t="n"/>
      <c r="T25" s="2755" t="n"/>
      <c r="U25" s="2755" t="n"/>
      <c r="V25" s="2755" t="n"/>
      <c r="W25" s="2755" t="n"/>
      <c r="X25" s="3540" t="n"/>
      <c r="Y25" s="3540" t="n"/>
      <c r="Z25" s="3540" t="n"/>
      <c r="AI25" s="4241" t="inlineStr">
        <is>
          <t>Line 4</t>
        </is>
      </c>
      <c r="AJ25" s="4241" t="n"/>
      <c r="AK25" s="4241" t="inlineStr">
        <is>
          <t>Line 5</t>
        </is>
      </c>
    </row>
    <row r="26" ht="6.75" customHeight="1" s="7635" thickBot="1">
      <c r="A26" s="139" t="n"/>
      <c r="B26" s="2755" t="n"/>
      <c r="C26" s="2755" t="n"/>
      <c r="D26" s="2755" t="n"/>
      <c r="E26" s="2755" t="n"/>
      <c r="F26" s="2755" t="n"/>
      <c r="G26" s="9670" t="n"/>
      <c r="J26" s="9671" t="n"/>
      <c r="K26" s="3589" t="n"/>
      <c r="L26" s="3590" t="n"/>
      <c r="M26" s="9710" t="n"/>
      <c r="N26" s="2755" t="n"/>
      <c r="O26" s="2755" t="n"/>
      <c r="P26" s="2755" t="n"/>
      <c r="Q26" s="2755" t="n"/>
      <c r="R26" s="2755" t="n"/>
      <c r="S26" s="2755" t="n"/>
      <c r="T26" s="2755" t="n"/>
      <c r="U26" s="2755" t="n"/>
      <c r="V26" s="2755" t="n"/>
      <c r="W26" s="2755" t="n"/>
      <c r="X26" s="3540" t="n"/>
      <c r="Y26" s="3540" t="n"/>
      <c r="Z26" s="3540" t="n"/>
      <c r="AE26" s="12388" t="inlineStr">
        <is>
          <t>Earned income for figuring the credit includes the following amounts.</t>
        </is>
      </c>
      <c r="AF26" s="2506" t="n"/>
      <c r="AG26" s="11716" t="n"/>
      <c r="AH26" s="3816" t="n"/>
      <c r="AI26" s="377" t="n"/>
      <c r="AJ26" s="377" t="n"/>
      <c r="AK26" s="377" t="n"/>
      <c r="AL26" s="378" t="n"/>
    </row>
    <row r="27" ht="12.75" customHeight="1" s="7635" thickBot="1">
      <c r="A27" s="139" t="n"/>
      <c r="B27" s="2755" t="n"/>
      <c r="C27" s="2755" t="n"/>
      <c r="D27" s="2755" t="n"/>
      <c r="E27" s="2755" t="n"/>
      <c r="F27" s="2755" t="n"/>
      <c r="G27" s="12389" t="inlineStr">
        <is>
          <t xml:space="preserve"> dependent care benefits?</t>
        </is>
      </c>
      <c r="J27" s="9671" t="n"/>
      <c r="K27" s="2755" t="n"/>
      <c r="L27" s="3588" t="inlineStr">
        <is>
          <t>Yes</t>
        </is>
      </c>
      <c r="M27" s="282" t="n"/>
      <c r="N27" s="8647" t="inlineStr">
        <is>
          <t>Complete Part III on page 2 next.</t>
        </is>
      </c>
      <c r="O27" s="2755" t="n"/>
      <c r="P27" s="2755" t="n"/>
      <c r="Q27" s="2755" t="n"/>
      <c r="R27" s="2755" t="n"/>
      <c r="S27" s="2755" t="n"/>
      <c r="T27" s="2755" t="n"/>
      <c r="U27" s="2755" t="n"/>
      <c r="V27" s="2755" t="n"/>
      <c r="W27" s="2755" t="n"/>
      <c r="X27" s="3540" t="n"/>
      <c r="Y27" s="3540" t="n"/>
      <c r="Z27" s="3540" t="n"/>
      <c r="AE27" s="11741" t="n"/>
      <c r="AG27" s="7636" t="n"/>
      <c r="AH27" s="408" t="n"/>
      <c r="AI27" s="7902" t="inlineStr">
        <is>
          <t>You</t>
        </is>
      </c>
      <c r="AJ27" s="7914" t="n"/>
      <c r="AK27" s="7902" t="inlineStr">
        <is>
          <t>Spouse</t>
        </is>
      </c>
      <c r="AL27" s="379" t="n"/>
    </row>
    <row r="28" ht="6.75" customHeight="1" s="7635" thickBot="1">
      <c r="A28" s="139" t="n"/>
      <c r="B28" s="2755" t="n"/>
      <c r="C28" s="2755" t="n"/>
      <c r="D28" s="2755" t="n"/>
      <c r="E28" s="2755" t="n"/>
      <c r="F28" s="2755" t="n"/>
      <c r="G28" s="3593" t="n"/>
      <c r="H28" s="3594" t="n"/>
      <c r="I28" s="3594" t="n"/>
      <c r="J28" s="3595" t="n"/>
      <c r="K28" s="9710">
        <f>IF(AND(M25="",M27=""),"Check one.",IF(AND(M25&lt;&gt;"",M27&lt;&gt;""),"Check only one.",""))</f>
        <v/>
      </c>
      <c r="M28" s="2755" t="n"/>
      <c r="N28" s="3596" t="n"/>
      <c r="O28" s="2755" t="n"/>
      <c r="P28" s="2755" t="n"/>
      <c r="Q28" s="2755" t="n"/>
      <c r="R28" s="2755" t="n"/>
      <c r="S28" s="2755" t="n"/>
      <c r="T28" s="2755" t="n"/>
      <c r="U28" s="2755" t="n"/>
      <c r="V28" s="2755" t="n"/>
      <c r="W28" s="2755" t="n"/>
      <c r="X28" s="3540" t="n"/>
      <c r="Y28" s="3540" t="n"/>
      <c r="Z28" s="3540" t="n"/>
      <c r="AE28" s="11741" t="n"/>
      <c r="AG28" s="7636" t="n"/>
      <c r="AH28" s="408" t="n"/>
      <c r="AI28" s="11602" t="n"/>
      <c r="AJ28" s="11602" t="n"/>
      <c r="AK28" s="11602" t="n"/>
      <c r="AL28" s="379" t="n"/>
      <c r="AM28" s="3597" t="n"/>
      <c r="AO28" s="3597" t="n"/>
    </row>
    <row r="29" ht="6.75" customHeight="1" s="7635" thickTop="1">
      <c r="A29" s="139" t="n"/>
      <c r="B29" s="2755" t="n"/>
      <c r="C29" s="2755" t="n"/>
      <c r="D29" s="2755" t="n"/>
      <c r="E29" s="2755" t="n"/>
      <c r="F29" s="2755" t="n"/>
      <c r="G29" s="2755" t="n"/>
      <c r="H29" s="2755" t="n"/>
      <c r="I29" s="2755" t="n"/>
      <c r="J29" s="2755" t="n"/>
      <c r="M29" s="2755" t="n"/>
      <c r="N29" s="2755" t="n"/>
      <c r="O29" s="2755" t="n"/>
      <c r="P29" s="2755" t="n"/>
      <c r="Q29" s="2755" t="n"/>
      <c r="R29" s="2755" t="n"/>
      <c r="S29" s="2755" t="n"/>
      <c r="T29" s="2755" t="n"/>
      <c r="U29" s="2755" t="n"/>
      <c r="V29" s="2755" t="n"/>
      <c r="W29" s="2755" t="n"/>
      <c r="X29" s="3540" t="n"/>
      <c r="Y29" s="3540" t="n"/>
      <c r="Z29" s="3540" t="n"/>
      <c r="AA29" s="3598" t="n"/>
      <c r="AE29" s="12388" t="inlineStr">
        <is>
          <t>1. The amount shown on Form 1040, line 1z;  (W-2, line 1)</t>
        </is>
      </c>
      <c r="AF29" s="2506" t="n"/>
      <c r="AG29" s="11716" t="n"/>
      <c r="AH29" s="3816" t="n"/>
      <c r="AI29" s="377" t="n"/>
      <c r="AJ29" s="377" t="n"/>
      <c r="AK29" s="377" t="n"/>
      <c r="AL29" s="378" t="n"/>
      <c r="AM29" s="3597" t="n"/>
      <c r="AO29" s="3597" t="n"/>
    </row>
    <row r="30" ht="15.75" customHeight="1" s="7635">
      <c r="A30" s="139" t="n"/>
      <c r="B30" s="3599" t="inlineStr">
        <is>
          <t>Caution: If the care provider is your household employee, you may owe employment taxes. For details, see the Instructions for</t>
        </is>
      </c>
      <c r="C30" s="8651" t="n"/>
      <c r="D30" s="3600" t="n"/>
      <c r="E30" s="8647" t="n"/>
      <c r="F30" s="8647" t="n"/>
      <c r="G30" s="8647" t="n"/>
      <c r="H30" s="2755" t="n"/>
      <c r="I30" s="2755" t="n"/>
      <c r="J30" s="2755" t="n"/>
      <c r="K30" s="2755" t="n"/>
      <c r="L30" s="2755" t="n"/>
      <c r="M30" s="2755" t="n"/>
      <c r="N30" s="2755" t="n"/>
      <c r="O30" s="2755" t="n"/>
      <c r="P30" s="2755" t="n"/>
      <c r="Q30" s="2755" t="n"/>
      <c r="R30" s="2755" t="n"/>
      <c r="S30" s="2755" t="n"/>
      <c r="T30" s="2755" t="n"/>
      <c r="U30" s="2755" t="n"/>
      <c r="V30" s="2755" t="n"/>
      <c r="W30" s="2755" t="n"/>
      <c r="X30" s="3540" t="n"/>
      <c r="Y30" s="3540" t="n"/>
      <c r="Z30" s="3540" t="n"/>
      <c r="AA30" s="7453" t="n"/>
      <c r="AE30" s="11741" t="n"/>
      <c r="AG30" s="7636" t="n"/>
      <c r="AH30" s="408" t="n"/>
      <c r="AI30" s="3601">
        <f>W2_Wages_You</f>
        <v/>
      </c>
      <c r="AJ30" s="11602" t="n"/>
      <c r="AK30" s="3601">
        <f>W2_Wages_Spouse</f>
        <v/>
      </c>
      <c r="AL30" s="379" t="n"/>
      <c r="AM30" s="3597" t="n"/>
      <c r="AO30" s="3597" t="n"/>
    </row>
    <row r="31" ht="14.25" customHeight="1" s="7635">
      <c r="A31" s="139" t="n"/>
      <c r="B31" s="3602">
        <f>"Schedule H (Form 1040). If you incurred care expenses in "&amp;TaxYear&amp;" but didn’t pay them until "&amp;TaxYear+1&amp;", or if you prepaid in "&amp;TaxYear&amp;" for care to be"</f>
        <v/>
      </c>
      <c r="C31" s="8647" t="n"/>
      <c r="D31" s="8647" t="n"/>
      <c r="E31" s="8647" t="n"/>
      <c r="F31" s="8647" t="n"/>
      <c r="G31" s="8647" t="n"/>
      <c r="H31" s="2755" t="n"/>
      <c r="I31" s="2755" t="n"/>
      <c r="J31" s="2755" t="n"/>
      <c r="K31" s="2755" t="n"/>
      <c r="L31" s="2755" t="n"/>
      <c r="M31" s="2755" t="n"/>
      <c r="N31" s="2755" t="n"/>
      <c r="O31" s="2755" t="n"/>
      <c r="P31" s="2755" t="n"/>
      <c r="Q31" s="2755" t="n"/>
      <c r="R31" s="2755" t="n"/>
      <c r="S31" s="2755" t="n"/>
      <c r="T31" s="2755" t="n"/>
      <c r="U31" s="2755" t="n"/>
      <c r="V31" s="2755" t="n"/>
      <c r="W31" s="2755" t="n"/>
      <c r="X31" s="3540" t="n"/>
      <c r="Y31" s="3540" t="n"/>
      <c r="Z31" s="3540" t="n"/>
      <c r="AA31" s="7453" t="n"/>
      <c r="AE31" s="12390" t="inlineStr">
        <is>
          <t xml:space="preserve">     minus any amount:</t>
        </is>
      </c>
      <c r="AG31" s="7636" t="n"/>
      <c r="AH31" s="408" t="n"/>
      <c r="AI31" s="11602" t="n"/>
      <c r="AJ31" s="11602" t="n"/>
      <c r="AK31" s="11602" t="n"/>
      <c r="AL31" s="379" t="n"/>
      <c r="AM31" s="3597" t="n"/>
      <c r="AO31" s="3597" t="n"/>
    </row>
    <row r="32" ht="14.25" customHeight="1" s="7635">
      <c r="A32" s="139" t="n"/>
      <c r="B32" s="9648">
        <f>"provided in "&amp;TaxYear+1&amp;", don’t include these expenses in column (d) of line 2 for "&amp;TaxYear&amp;". See the instructions."</f>
        <v/>
      </c>
      <c r="C32" s="3109" t="n"/>
      <c r="D32" s="3109" t="n"/>
      <c r="E32" s="3109" t="n"/>
      <c r="F32" s="3109" t="n"/>
      <c r="G32" s="3109" t="n"/>
      <c r="H32" s="3565" t="n"/>
      <c r="I32" s="3565" t="n"/>
      <c r="J32" s="3565" t="n"/>
      <c r="K32" s="3565" t="n"/>
      <c r="L32" s="3565" t="n"/>
      <c r="M32" s="3565" t="n"/>
      <c r="N32" s="3565" t="n"/>
      <c r="O32" s="3565" t="n"/>
      <c r="P32" s="3565" t="n"/>
      <c r="Q32" s="3565" t="n"/>
      <c r="R32" s="3565" t="n"/>
      <c r="S32" s="3565" t="n"/>
      <c r="T32" s="3565" t="n"/>
      <c r="U32" s="3565" t="n"/>
      <c r="V32" s="3565" t="n"/>
      <c r="W32" s="2755" t="n"/>
      <c r="X32" s="3540" t="n"/>
      <c r="Y32" s="3540" t="n"/>
      <c r="Z32" s="3540" t="n"/>
      <c r="AA32" s="7453" t="n"/>
      <c r="AE32" s="12390" t="n"/>
      <c r="AG32" s="7636" t="n"/>
      <c r="AH32" s="408" t="n"/>
      <c r="AI32" s="11602" t="n"/>
      <c r="AJ32" s="11602" t="n"/>
      <c r="AK32" s="11602" t="n"/>
      <c r="AL32" s="379" t="n"/>
      <c r="AM32" s="3597" t="n"/>
      <c r="AO32" s="3597" t="n"/>
    </row>
    <row r="33" ht="17.25" customHeight="1" s="7635">
      <c r="A33" s="139" t="n"/>
      <c r="B33" s="3604" t="inlineStr">
        <is>
          <t>Part II</t>
        </is>
      </c>
      <c r="C33" s="10341" t="inlineStr">
        <is>
          <t>Credit for Child and Dependent Care Expenses</t>
        </is>
      </c>
      <c r="D33" s="3605" t="n"/>
      <c r="E33" s="3605" t="n"/>
      <c r="F33" s="3605" t="n"/>
      <c r="G33" s="3606" t="n"/>
      <c r="H33" s="3606" t="n"/>
      <c r="I33" s="3606" t="n"/>
      <c r="J33" s="3606" t="n"/>
      <c r="K33" s="3606" t="n"/>
      <c r="L33" s="3606" t="n"/>
      <c r="M33" s="3607">
        <f>IF(AND(File_Marr_Sep&lt;&gt;"",$AD18="",$AD$19=""),"Indicate eligibility above and right.",IF(AND(File_Marr_Sep&lt;&gt;"",$AD$19&lt;&gt;"",Y33=""),"You cannot take the credit.",""))</f>
        <v/>
      </c>
      <c r="N33" s="3606" t="n"/>
      <c r="O33" s="3606" t="n"/>
      <c r="P33" s="3606" t="n"/>
      <c r="Q33" s="3606" t="n"/>
      <c r="R33" s="3606" t="n"/>
      <c r="S33" s="3606" t="n"/>
      <c r="T33" s="3606" t="n"/>
      <c r="U33" s="3606" t="n"/>
      <c r="V33" s="3606" t="n"/>
      <c r="W33" s="3606" t="n"/>
      <c r="X33" s="3540" t="n"/>
      <c r="Y33" s="757" t="n"/>
      <c r="Z33" s="3540" t="n"/>
      <c r="AA33" s="3598">
        <f>IF(AND(File_Marr_Sep&lt;&gt;"",$AD$19&lt;&gt;""),"Hide note.","")</f>
        <v/>
      </c>
      <c r="AE33" s="12391" t="inlineStr">
        <is>
          <t>a. Excluded as foreign earned income (including any
housing exclusion) on Form 2555, line 43,</t>
        </is>
      </c>
      <c r="AG33" s="7636" t="n"/>
      <c r="AH33" s="9748" t="inlineStr">
        <is>
          <t>(</t>
        </is>
      </c>
      <c r="AI33" s="3601">
        <f>F2555_Line43_You</f>
        <v/>
      </c>
      <c r="AJ33" s="350" t="inlineStr">
        <is>
          <t>)(</t>
        </is>
      </c>
      <c r="AK33" s="3601">
        <f>F2555_Line43_Sp</f>
        <v/>
      </c>
      <c r="AL33" s="6386" t="inlineStr">
        <is>
          <t>)</t>
        </is>
      </c>
      <c r="AM33" s="3597" t="n"/>
      <c r="AN33" s="3608" t="n"/>
      <c r="AO33" s="3597" t="n"/>
    </row>
    <row r="34" ht="15" customHeight="1" s="7635">
      <c r="A34" s="139" t="n"/>
      <c r="B34" s="3609" t="n">
        <v>2</v>
      </c>
      <c r="C34" s="3109" t="inlineStr">
        <is>
          <t>Information about your qualifying person(s). If you have more than three qualifying persons, see the instructions and check this box.</t>
        </is>
      </c>
      <c r="D34" s="3565" t="n"/>
      <c r="E34" s="3565" t="n"/>
      <c r="F34" s="3565" t="n"/>
      <c r="G34" s="3565" t="n"/>
      <c r="H34" s="3565" t="n"/>
      <c r="I34" s="3565" t="n"/>
      <c r="J34" s="3565" t="n"/>
      <c r="K34" s="3565" t="n"/>
      <c r="L34" s="3565" t="n"/>
      <c r="M34" s="3565" t="n"/>
      <c r="N34" s="3565" t="n"/>
      <c r="O34" s="3565" t="n"/>
      <c r="P34" s="3565" t="n"/>
      <c r="Q34" s="3565" t="n"/>
      <c r="R34" s="3565" t="n"/>
      <c r="S34" s="3565" t="n"/>
      <c r="T34" s="3565" t="n"/>
      <c r="U34" s="3565" t="n"/>
      <c r="V34" s="3610" t="n"/>
      <c r="W34" s="572">
        <f>IF(AD38&lt;&gt;"","X","")</f>
        <v/>
      </c>
      <c r="X34" s="3540" t="n"/>
      <c r="Y34" s="3540" t="n"/>
      <c r="Z34" s="3540" t="n"/>
      <c r="AA34" s="3598" t="n"/>
      <c r="AE34" s="11741" t="n"/>
      <c r="AG34" s="7636" t="n"/>
      <c r="AH34" s="408" t="n"/>
      <c r="AI34" s="11602" t="n"/>
      <c r="AJ34" s="11602" t="n"/>
      <c r="AK34" s="11602" t="n"/>
      <c r="AL34" s="379" t="n"/>
      <c r="AM34" s="3597" t="n"/>
      <c r="AO34" s="3597" t="n"/>
    </row>
    <row r="35" ht="12.75" customHeight="1" s="7635">
      <c r="A35" s="139" t="n"/>
      <c r="B35" s="2755" t="n"/>
      <c r="C35" s="2755" t="n"/>
      <c r="D35" s="2755" t="n"/>
      <c r="E35" s="2755" t="n"/>
      <c r="F35" s="9754" t="inlineStr">
        <is>
          <t>(a) Qualifying person's name</t>
        </is>
      </c>
      <c r="G35" s="7839" t="n"/>
      <c r="H35" s="7839" t="n"/>
      <c r="I35" s="2755" t="n"/>
      <c r="J35" s="2755" t="n"/>
      <c r="K35" s="12098" t="inlineStr">
        <is>
          <t xml:space="preserve"> (b) Qualifying person's 
social security number</t>
        </is>
      </c>
      <c r="L35" s="7839" t="n"/>
      <c r="M35" s="10091" t="n"/>
      <c r="N35" s="12098" t="inlineStr">
        <is>
          <t>(c) Check here if the qualifying person was over age 12 and disabled. (see instructions)</t>
        </is>
      </c>
      <c r="O35" s="7839" t="n"/>
      <c r="P35" s="7839" t="n"/>
      <c r="Q35" s="7839" t="n"/>
      <c r="R35" s="7839" t="n"/>
      <c r="S35" s="10091" t="n"/>
      <c r="T35" s="9537" t="inlineStr">
        <is>
          <t>(d) Qualified expenses you</t>
        </is>
      </c>
      <c r="X35" s="3540" t="n"/>
      <c r="Y35" s="3540" t="n"/>
      <c r="Z35" s="3540" t="n"/>
      <c r="AE35" s="1073" t="n"/>
      <c r="AF35" s="344" t="n"/>
      <c r="AG35" s="567" t="n"/>
      <c r="AH35" s="408" t="n"/>
      <c r="AI35" s="11602" t="n"/>
      <c r="AJ35" s="11602" t="n"/>
      <c r="AK35" s="11602" t="n"/>
      <c r="AL35" s="379" t="n"/>
      <c r="AM35" s="3597" t="n"/>
      <c r="AO35" s="3597" t="n"/>
    </row>
    <row r="36" ht="12" customHeight="1" s="7635">
      <c r="A36" s="139" t="n"/>
      <c r="B36" s="2755" t="n"/>
      <c r="C36" s="3611" t="n"/>
      <c r="D36" s="3611" t="n"/>
      <c r="E36" s="3611" t="n"/>
      <c r="I36" s="2755" t="n"/>
      <c r="J36" s="2753" t="n"/>
      <c r="K36" s="4772" t="n"/>
      <c r="M36" s="7636" t="n"/>
      <c r="N36" s="4772" t="n"/>
      <c r="S36" s="7636" t="n"/>
      <c r="T36" s="9705">
        <f>"incurred and paid in "&amp;TaxYear&amp;" for"</f>
        <v/>
      </c>
      <c r="X36" s="3540" t="n"/>
      <c r="Y36" s="3540" t="n"/>
      <c r="Z36" s="3540" t="n"/>
      <c r="AE36" s="1073" t="inlineStr">
        <is>
          <t>b. Also reported on Schedule SE (Form 1040) because you were a</t>
        </is>
      </c>
      <c r="AF36" s="344" t="n"/>
      <c r="AG36" s="567" t="n"/>
      <c r="AH36" s="9748" t="inlineStr">
        <is>
          <t>(</t>
        </is>
      </c>
      <c r="AI36" s="9749">
        <f>SchSE_Clergy_CEI_You</f>
        <v/>
      </c>
      <c r="AJ36" s="9750" t="inlineStr">
        <is>
          <t>)(</t>
        </is>
      </c>
      <c r="AK36" s="9749">
        <f>SchSE_Clergy_CEI_Sp</f>
        <v/>
      </c>
      <c r="AL36" s="9717" t="inlineStr">
        <is>
          <t>)</t>
        </is>
      </c>
      <c r="AM36" s="7914" t="inlineStr">
        <is>
          <t>Override</t>
        </is>
      </c>
      <c r="AN36" s="9718" t="n"/>
      <c r="AO36" s="7914" t="inlineStr">
        <is>
          <t>Override</t>
        </is>
      </c>
    </row>
    <row r="37" ht="10.5" customHeight="1" s="7635" thickBot="1">
      <c r="A37" s="139" t="n"/>
      <c r="B37" s="3565" t="n"/>
      <c r="C37" s="3579" t="inlineStr">
        <is>
          <t>First</t>
        </is>
      </c>
      <c r="D37" s="3579" t="n"/>
      <c r="E37" s="3579" t="n"/>
      <c r="F37" s="3579" t="n"/>
      <c r="G37" s="3565" t="n"/>
      <c r="H37" s="3613" t="inlineStr">
        <is>
          <t>Last</t>
        </is>
      </c>
      <c r="I37" s="3565" t="n"/>
      <c r="J37" s="3582" t="n"/>
      <c r="K37" s="3614" t="n"/>
      <c r="L37" s="7637" t="n"/>
      <c r="M37" s="7638" t="n"/>
      <c r="N37" s="3614" t="n"/>
      <c r="O37" s="7637" t="n"/>
      <c r="P37" s="7637" t="n"/>
      <c r="Q37" s="7637" t="n"/>
      <c r="R37" s="7637" t="n"/>
      <c r="S37" s="7638" t="n"/>
      <c r="T37" s="9702" t="inlineStr">
        <is>
          <t>the person listed in column (a)</t>
        </is>
      </c>
      <c r="U37" s="7637" t="n"/>
      <c r="V37" s="7637" t="n"/>
      <c r="W37" s="7637" t="n"/>
      <c r="X37" s="3540" t="n"/>
      <c r="Y37" s="3540" t="n"/>
      <c r="Z37" s="3540" t="n"/>
      <c r="AE37" s="5457" t="inlineStr">
        <is>
          <t>member of the clergy OR  your received $108.28 or more</t>
        </is>
      </c>
      <c r="AF37" s="11602" t="n"/>
      <c r="AG37" s="409" t="n"/>
      <c r="AH37" s="4772" t="n"/>
      <c r="AI37" s="7637" t="n"/>
      <c r="AK37" s="7637" t="n"/>
      <c r="AL37" s="1066" t="n"/>
      <c r="AM37" s="7645" t="inlineStr">
        <is>
          <t>Line 4, part 1</t>
        </is>
      </c>
      <c r="AO37" s="7645" t="inlineStr">
        <is>
          <t>Line 5, part 1</t>
        </is>
      </c>
    </row>
    <row r="38" ht="24" customHeight="1" s="7635" thickBot="1">
      <c r="A38" s="139" t="n"/>
      <c r="B38" s="9569" t="n"/>
      <c r="C38" s="8007" t="n"/>
      <c r="D38" s="8007" t="n"/>
      <c r="E38" s="8007" t="n"/>
      <c r="F38" s="8007" t="n"/>
      <c r="G38" s="12392" t="n"/>
      <c r="H38" s="8007" t="n"/>
      <c r="I38" s="8007" t="n"/>
      <c r="J38" s="8008" t="n"/>
      <c r="K38" s="12393" t="n"/>
      <c r="L38" s="8007" t="n"/>
      <c r="M38" s="8008" t="n"/>
      <c r="N38" s="12394" t="n"/>
      <c r="O38" s="12394" t="n"/>
      <c r="P38" s="1448" t="n"/>
      <c r="Q38" s="12394" t="n"/>
      <c r="R38" s="12394" t="n"/>
      <c r="S38" s="12395" t="n"/>
      <c r="T38" s="9606" t="n"/>
      <c r="U38" s="8007" t="n"/>
      <c r="V38" s="8007" t="n"/>
      <c r="W38" s="8007" t="n"/>
      <c r="X38" s="3540">
        <f>IF(T38&lt;&gt;"",1,0)</f>
        <v/>
      </c>
      <c r="Y38" s="3540" t="n"/>
      <c r="Z38" s="3540" t="n"/>
      <c r="AA38" s="7623" t="n"/>
      <c r="AE38" s="980" t="inlineStr">
        <is>
          <t xml:space="preserve">of church employee income. </t>
        </is>
      </c>
      <c r="AF38" s="380" t="n"/>
      <c r="AG38" s="10736" t="inlineStr">
        <is>
          <t>Total for part 1:</t>
        </is>
      </c>
      <c r="AH38" s="6393" t="n"/>
      <c r="AI38" s="6394">
        <f>IF(AM38&lt;&gt;"",ROUND(AM38,0),SUM(AI30,-AI33,-AI36))</f>
        <v/>
      </c>
      <c r="AJ38" s="380" t="n"/>
      <c r="AK38" s="6394">
        <f>IF(AO38&lt;&gt;"",ROUND(AO38,0),SUM(AK30,-AK33,-AK36))</f>
        <v/>
      </c>
      <c r="AL38" s="381" t="n"/>
      <c r="AM38" s="6385" t="n"/>
      <c r="AN38" s="7637" t="n"/>
      <c r="AO38" s="1470" t="n"/>
    </row>
    <row r="39" ht="24" customHeight="1" s="7635">
      <c r="A39" s="139" t="n"/>
      <c r="B39" s="9569" t="n"/>
      <c r="C39" s="8007" t="n"/>
      <c r="D39" s="8007" t="n"/>
      <c r="E39" s="8007" t="n"/>
      <c r="F39" s="8007" t="n"/>
      <c r="G39" s="12392" t="n"/>
      <c r="H39" s="8007" t="n"/>
      <c r="I39" s="8007" t="n"/>
      <c r="J39" s="8008" t="n"/>
      <c r="K39" s="12393" t="n"/>
      <c r="L39" s="8007" t="n"/>
      <c r="M39" s="8008" t="n"/>
      <c r="N39" s="12394" t="n"/>
      <c r="O39" s="12394" t="n"/>
      <c r="P39" s="1448" t="n"/>
      <c r="Q39" s="12394" t="n"/>
      <c r="R39" s="12394" t="n"/>
      <c r="S39" s="12395" t="n"/>
      <c r="T39" s="9606" t="n"/>
      <c r="U39" s="8007" t="n"/>
      <c r="V39" s="8007" t="n"/>
      <c r="W39" s="8007" t="n"/>
      <c r="X39" s="3540">
        <f>IF(T39&lt;&gt;"",1,0)</f>
        <v/>
      </c>
      <c r="Y39" s="1304">
        <f>SUM(X38:X40,X156:X166)</f>
        <v/>
      </c>
      <c r="Z39" s="3540" t="n"/>
      <c r="AA39" s="3615" t="inlineStr">
        <is>
          <t>No. of qualifying persons.</t>
        </is>
      </c>
      <c r="AE39" s="5607" t="inlineStr">
        <is>
          <t xml:space="preserve">2. The amount shown on Schedule SE, line 3, </t>
        </is>
      </c>
      <c r="AF39" s="377" t="n"/>
      <c r="AG39" s="4220" t="n"/>
      <c r="AH39" s="3816" t="n"/>
      <c r="AI39" s="6395">
        <f>SUM(SchSE_Line3_You1,SchSE_Line3_You2)</f>
        <v/>
      </c>
      <c r="AJ39" s="377" t="n"/>
      <c r="AK39" s="6395">
        <f>SUM(SchSE_Line3_Sp1,SchSE_Line3_Sp2)</f>
        <v/>
      </c>
      <c r="AL39" s="378" t="n"/>
      <c r="AM39" s="3597" t="n"/>
      <c r="AO39" s="3597" t="n"/>
    </row>
    <row r="40" ht="24" customHeight="1" s="7635">
      <c r="A40" s="139" t="n"/>
      <c r="B40" s="9569" t="n"/>
      <c r="C40" s="8007" t="n"/>
      <c r="D40" s="8007" t="n"/>
      <c r="E40" s="8007" t="n"/>
      <c r="F40" s="8007" t="n"/>
      <c r="G40" s="12392" t="n"/>
      <c r="H40" s="8007" t="n"/>
      <c r="I40" s="8007" t="n"/>
      <c r="J40" s="8008" t="n"/>
      <c r="K40" s="12393" t="n"/>
      <c r="L40" s="8007" t="n"/>
      <c r="M40" s="8008" t="n"/>
      <c r="N40" s="12394" t="n"/>
      <c r="O40" s="12394" t="n"/>
      <c r="P40" s="1448" t="n"/>
      <c r="Q40" s="12394" t="n"/>
      <c r="R40" s="12394" t="n"/>
      <c r="S40" s="12395" t="n"/>
      <c r="T40" s="9606" t="n"/>
      <c r="U40" s="8007" t="n"/>
      <c r="V40" s="8007" t="n"/>
      <c r="W40" s="8007" t="n"/>
      <c r="X40" s="3540">
        <f>IF(T40&lt;&gt;"",1,0)</f>
        <v/>
      </c>
      <c r="Y40" s="3540" t="n"/>
      <c r="Z40" s="3616" t="inlineStr">
        <is>
          <t>&lt;&lt;</t>
        </is>
      </c>
      <c r="AA40" s="3615" t="n"/>
      <c r="AE40" s="1073" t="inlineStr">
        <is>
          <t>minus any deduction you claim on Schedule 1, line 15.</t>
        </is>
      </c>
      <c r="AF40" s="11602" t="n"/>
      <c r="AG40" s="409" t="n"/>
      <c r="AH40" s="9748" t="inlineStr">
        <is>
          <t>(</t>
        </is>
      </c>
      <c r="AI40" s="3601">
        <f>SchSE_Deduction_You</f>
        <v/>
      </c>
      <c r="AJ40" s="350" t="inlineStr">
        <is>
          <t>)(</t>
        </is>
      </c>
      <c r="AK40" s="3601">
        <f>SchSE_Deduction_Sp</f>
        <v/>
      </c>
      <c r="AL40" s="6386" t="inlineStr">
        <is>
          <t>)</t>
        </is>
      </c>
      <c r="AM40" s="3597" t="n"/>
      <c r="AN40" s="3608" t="n"/>
      <c r="AO40" s="3597" t="n"/>
    </row>
    <row r="41" ht="15.75" customHeight="1" s="7635" thickBot="1">
      <c r="A41" s="139" t="n"/>
      <c r="B41" s="3617" t="n">
        <v>3</v>
      </c>
      <c r="C41" s="8647" t="inlineStr">
        <is>
          <t>Add  the  amounts  in  column (d)  of line 2.</t>
        </is>
      </c>
      <c r="D41" s="8647" t="n"/>
      <c r="E41" s="8647" t="n"/>
      <c r="F41" s="8647" t="n"/>
      <c r="G41" s="2755" t="n"/>
      <c r="H41" s="2755" t="n"/>
      <c r="I41" s="2755" t="n"/>
      <c r="J41" s="2984" t="inlineStr">
        <is>
          <t>Don't</t>
        </is>
      </c>
      <c r="K41" s="8647">
        <f>"enter more than "&amp;TEXT(AB41,"$0,000")&amp;" for one qualifying person"</f>
        <v/>
      </c>
      <c r="L41" s="2755" t="n"/>
      <c r="M41" s="2755" t="n"/>
      <c r="N41" s="3065" t="n"/>
      <c r="O41" s="3065" t="n"/>
      <c r="P41" s="3065" t="n"/>
      <c r="Q41" s="3065" t="n"/>
      <c r="R41" s="3065" t="n"/>
      <c r="S41" s="3065" t="n"/>
      <c r="T41" s="3065" t="n"/>
      <c r="U41" s="3618" t="n"/>
      <c r="V41" s="9616">
        <f>ROUND(SUM(T38:W40,T156:W166),0)</f>
        <v/>
      </c>
      <c r="W41" s="7839" t="n"/>
      <c r="X41" s="3540">
        <f>SUM(X38:X40,X156:X166)</f>
        <v/>
      </c>
      <c r="Y41" s="3540" t="n"/>
      <c r="Z41" s="3540" t="n"/>
      <c r="AA41" s="8788" t="inlineStr">
        <is>
          <t>Override</t>
        </is>
      </c>
      <c r="AB41" s="1305" t="n">
        <v>3000</v>
      </c>
      <c r="AE41" s="6390" t="inlineStr">
        <is>
          <t>Note: Sch. 1, line 15, is derived from Sch. SE, line 13.</t>
        </is>
      </c>
      <c r="AF41" s="11602" t="n"/>
      <c r="AG41" s="409" t="n"/>
      <c r="AH41" s="408" t="n"/>
      <c r="AI41" s="851">
        <f>MAX(0,SUM(AI39,-AI40))</f>
        <v/>
      </c>
      <c r="AJ41" s="11602" t="n"/>
      <c r="AK41" s="851">
        <f>MAX(0,SUM(AK39,-AK40))</f>
        <v/>
      </c>
      <c r="AL41" s="379" t="n"/>
      <c r="AM41" s="3597" t="n"/>
      <c r="AO41" s="3597" t="n"/>
    </row>
    <row r="42" ht="15.75" customHeight="1" s="7635" thickBot="1">
      <c r="A42" s="139" t="n"/>
      <c r="B42" s="3619" t="n"/>
      <c r="C42" s="3571">
        <f>"or "&amp;TEXT(AB42,"$0,000")&amp;" for two or more persons.  If you completed Part III, enter the amount from line 31"</f>
        <v/>
      </c>
      <c r="D42" s="8647" t="n"/>
      <c r="E42" s="8647" t="n"/>
      <c r="F42" s="8647" t="n"/>
      <c r="G42" s="2755" t="n"/>
      <c r="H42" s="2755" t="n"/>
      <c r="I42" s="2755" t="n"/>
      <c r="J42" s="2755" t="n"/>
      <c r="K42" s="2755" t="n"/>
      <c r="L42" s="2755" t="n"/>
      <c r="M42" s="2755" t="n"/>
      <c r="N42" s="2755" t="n"/>
      <c r="O42" s="2755" t="n"/>
      <c r="P42" s="2755" t="n"/>
      <c r="Q42" s="8374" t="n"/>
      <c r="R42" s="3065" t="n"/>
      <c r="S42" s="2755" t="n"/>
      <c r="T42" s="3620" t="inlineStr">
        <is>
          <t xml:space="preserve">.   .   .   .   .   . </t>
        </is>
      </c>
      <c r="U42" s="3621">
        <f>B41</f>
        <v/>
      </c>
      <c r="V42" s="9608">
        <f>IF(AA42&lt;&gt;"",ROUND(AA42,0),IF(OR(AB19,K28&lt;&gt;""),"",IF(AND(M25&lt;&gt;"",M27=""),MIN(V41,AB43),V115)))</f>
        <v/>
      </c>
      <c r="W42" s="7637" t="n"/>
      <c r="X42" s="3540" t="n"/>
      <c r="Y42" s="3540" t="n"/>
      <c r="Z42" s="3540" t="n"/>
      <c r="AA42" s="438" t="n"/>
      <c r="AB42" s="1305" t="n">
        <v>6000</v>
      </c>
      <c r="AE42" s="6387" t="inlineStr">
        <is>
          <t>If you use either optional method to figure self-employment tax,</t>
        </is>
      </c>
      <c r="AF42" s="2375" t="n"/>
      <c r="AG42" s="6380" t="n"/>
      <c r="AH42" s="6382" t="n"/>
      <c r="AI42" s="2375" t="n"/>
      <c r="AJ42" s="2375" t="n"/>
      <c r="AK42" s="2375" t="n"/>
      <c r="AL42" s="6388" t="n"/>
      <c r="AM42" s="3597" t="n"/>
      <c r="AO42" s="3597" t="n"/>
    </row>
    <row r="43" ht="15.75" customHeight="1" s="7635" thickBot="1">
      <c r="A43" s="139" t="n"/>
      <c r="B43" s="3617" t="n">
        <v>4</v>
      </c>
      <c r="C43" s="8647" t="inlineStr">
        <is>
          <t>Enter your earned income.   See instructions</t>
        </is>
      </c>
      <c r="D43" s="8647" t="n"/>
      <c r="E43" s="8647" t="n"/>
      <c r="F43" s="8647" t="n"/>
      <c r="G43" s="2755" t="n"/>
      <c r="H43" s="2755" t="n"/>
      <c r="I43" s="2755" t="n"/>
      <c r="J43" s="2755" t="n"/>
      <c r="K43" s="2755" t="n"/>
      <c r="L43" s="2755" t="n"/>
      <c r="M43" s="2755" t="n"/>
      <c r="N43" s="2755" t="n"/>
      <c r="O43" s="2755" t="n"/>
      <c r="P43" s="2755" t="n"/>
      <c r="Q43" s="8374" t="inlineStr">
        <is>
          <t xml:space="preserve">.   .   .   .   .   .   .   .   .   .   .   .   .   .   .   .   .   .   .   .   . </t>
        </is>
      </c>
      <c r="R43" s="3065" t="n"/>
      <c r="S43" s="2755" t="n"/>
      <c r="T43" s="3576" t="inlineStr">
        <is>
          <t xml:space="preserve">.   .   .   .   .   .   .   .   .   .   .   .   .   .   .   .   .   .   .   .   . </t>
        </is>
      </c>
      <c r="U43" s="3621">
        <f>B43</f>
        <v/>
      </c>
      <c r="V43" s="9608">
        <f>IF(AA43&lt;&gt;"",ROUND(AA43,0),IF(OR(AB19,AND(M25="",M27="")),"",AI77))</f>
        <v/>
      </c>
      <c r="W43" s="7637" t="n"/>
      <c r="X43" s="3540" t="n"/>
      <c r="Y43" s="3540" t="n"/>
      <c r="Z43" s="3540" t="n"/>
      <c r="AA43" s="438" t="n"/>
      <c r="AB43" s="1305">
        <f>IF(Y39&gt;1,AB42,AB41)</f>
        <v/>
      </c>
      <c r="AE43" s="1073" t="inlineStr">
        <is>
          <t>total of the amounts shown on Schedule SE, lines 3 and 4b,</t>
        </is>
      </c>
      <c r="AF43" s="11602" t="n"/>
      <c r="AG43" s="409" t="n"/>
      <c r="AH43" s="408" t="n"/>
      <c r="AI43" s="4355">
        <f>SchSE_Lines_3_4b_You</f>
        <v/>
      </c>
      <c r="AJ43" s="11602" t="n"/>
      <c r="AK43" s="3601">
        <f>SchSE_Lines_3_4b_Sp</f>
        <v/>
      </c>
      <c r="AL43" s="379" t="n"/>
      <c r="AM43" s="3597" t="n"/>
      <c r="AO43" s="3597" t="n"/>
    </row>
    <row r="44" ht="15" customHeight="1" s="7635" thickBot="1">
      <c r="A44" s="139" t="n"/>
      <c r="B44" s="3617" t="n">
        <v>5</v>
      </c>
      <c r="C44" s="8647" t="inlineStr">
        <is>
          <t>If married filing jointly,  enter your spouse’s earned income  (if you or your spouse was a student</t>
        </is>
      </c>
      <c r="D44" s="8647" t="n"/>
      <c r="E44" s="8647" t="n"/>
      <c r="F44" s="8647" t="n"/>
      <c r="G44" s="2755" t="n"/>
      <c r="H44" s="2755" t="n"/>
      <c r="I44" s="2755" t="n"/>
      <c r="J44" s="2755" t="n"/>
      <c r="K44" s="2755" t="n"/>
      <c r="L44" s="2755" t="n"/>
      <c r="M44" s="2755" t="n"/>
      <c r="N44" s="2755" t="n"/>
      <c r="O44" s="2755" t="n"/>
      <c r="P44" s="2755" t="n"/>
      <c r="Q44" s="2755" t="n"/>
      <c r="R44" s="3065" t="n"/>
      <c r="S44" s="2755" t="n"/>
      <c r="T44" s="2755" t="n"/>
      <c r="U44" s="3622" t="n"/>
      <c r="V44" s="3623" t="n"/>
      <c r="W44" s="3624" t="n"/>
      <c r="X44" s="3540" t="n"/>
      <c r="Y44" s="3540" t="n"/>
      <c r="Z44" s="3540" t="n"/>
      <c r="AA44" s="3597" t="n"/>
      <c r="AE44" s="1073" t="inlineStr">
        <is>
          <t>minus any deduction you claim on Schedule 1 (Form 1040), line 15,.</t>
        </is>
      </c>
      <c r="AF44" s="11602" t="n"/>
      <c r="AG44" s="409" t="n"/>
      <c r="AH44" s="9748" t="inlineStr">
        <is>
          <t>(</t>
        </is>
      </c>
      <c r="AI44" s="3601">
        <f>SchSE_Deduction_You</f>
        <v/>
      </c>
      <c r="AJ44" s="350" t="inlineStr">
        <is>
          <t>)(</t>
        </is>
      </c>
      <c r="AK44" s="3601">
        <f>SchSE_Deduction_Sp</f>
        <v/>
      </c>
      <c r="AL44" s="6386" t="inlineStr">
        <is>
          <t>)</t>
        </is>
      </c>
      <c r="AM44" s="3597" t="n"/>
      <c r="AO44" s="3597" t="n"/>
    </row>
    <row r="45" ht="14.25" customHeight="1" s="7635" thickBot="1">
      <c r="A45" s="139" t="n"/>
      <c r="B45" s="3619" t="n"/>
      <c r="C45" s="3571" t="inlineStr">
        <is>
          <t>or was disabled, see the instructions); all others, enter the amount from line 4</t>
        </is>
      </c>
      <c r="D45" s="3625" t="n"/>
      <c r="E45" s="3625" t="n"/>
      <c r="F45" s="3625" t="n"/>
      <c r="G45" s="2755" t="n"/>
      <c r="H45" s="2755" t="n"/>
      <c r="I45" s="2755" t="n"/>
      <c r="J45" s="2755" t="n"/>
      <c r="K45" s="2755" t="n"/>
      <c r="L45" s="2755" t="n"/>
      <c r="M45" s="2755" t="n"/>
      <c r="N45" s="2755" t="n"/>
      <c r="O45" s="2755" t="n"/>
      <c r="P45" s="2755" t="n"/>
      <c r="Q45" s="8374" t="n"/>
      <c r="R45" s="3065" t="n"/>
      <c r="S45" s="2755" t="n"/>
      <c r="T45" s="8374" t="inlineStr">
        <is>
          <t xml:space="preserve">.   .   .   .   .   .   .   .   .   . </t>
        </is>
      </c>
      <c r="U45" s="3621">
        <f>B44</f>
        <v/>
      </c>
      <c r="V45" s="9608">
        <f>IF(AA45&lt;&gt;"",ROUND(AA45,0),IF(K28&lt;&gt;"","",IF(File_Marr_Joint&lt;&gt;"",AK77,"")))</f>
        <v/>
      </c>
      <c r="W45" s="7637" t="n"/>
      <c r="X45" s="3540" t="n"/>
      <c r="Y45" s="3540" t="n"/>
      <c r="Z45" s="3540" t="n"/>
      <c r="AA45" s="438" t="n"/>
      <c r="AE45" s="6390" t="inlineStr">
        <is>
          <t>Note: Sch. 1, line 15, is derived from Sch. SE, line 13.</t>
        </is>
      </c>
      <c r="AF45" s="6378" t="n"/>
      <c r="AG45" s="6379" t="n"/>
      <c r="AH45" s="6383" t="n"/>
      <c r="AI45" s="6381">
        <f>MAX(0,SUM(AI43,-AI44))</f>
        <v/>
      </c>
      <c r="AJ45" s="6378" t="n"/>
      <c r="AK45" s="6381">
        <f>MAX(0,SUM(AK43,-AK44))</f>
        <v/>
      </c>
      <c r="AL45" s="6389" t="n"/>
      <c r="AM45" s="3597" t="n"/>
      <c r="AO45" s="3597" t="n"/>
    </row>
    <row r="46" ht="14.25" customHeight="1" s="7635" thickBot="1">
      <c r="A46" s="139" t="n"/>
      <c r="B46" s="3617" t="n">
        <v>6</v>
      </c>
      <c r="C46" s="3626" t="inlineStr">
        <is>
          <t>Enter the smallest of line 3, 4, or 5</t>
        </is>
      </c>
      <c r="D46" s="8665" t="n"/>
      <c r="E46" s="8665" t="n"/>
      <c r="F46" s="8665" t="n"/>
      <c r="G46" s="2755" t="n"/>
      <c r="H46" s="2755" t="n"/>
      <c r="I46" s="2755" t="n"/>
      <c r="J46" s="2755" t="n"/>
      <c r="K46" s="2755" t="n"/>
      <c r="L46" s="2755" t="n"/>
      <c r="M46" s="2755" t="n"/>
      <c r="N46" s="2755" t="n"/>
      <c r="O46" s="2755" t="n"/>
      <c r="P46" s="2755" t="n"/>
      <c r="Q46" s="8374" t="n"/>
      <c r="R46" s="3065" t="n"/>
      <c r="S46" s="2755" t="n"/>
      <c r="T46" s="3576" t="inlineStr">
        <is>
          <t xml:space="preserve">.   .   .   .   .   .   .   .   .   .   .   .   .   .   .   .   . </t>
        </is>
      </c>
      <c r="U46" s="3621">
        <f>B46</f>
        <v/>
      </c>
      <c r="V46" s="9608">
        <f>IF(AA46&lt;&gt;"",ROUND(AA46,0),IF(OR(AB19,K28&lt;&gt;""),"",MAX(0,MIN(V42,V43,V45))))</f>
        <v/>
      </c>
      <c r="W46" s="7637" t="n"/>
      <c r="X46" s="3540" t="n"/>
      <c r="Y46" s="3540" t="n"/>
      <c r="Z46" s="3540" t="n"/>
      <c r="AA46" s="438" t="n"/>
      <c r="AE46" s="1073" t="inlineStr">
        <is>
          <t>If you received church employee income of $108.28 or more, subtract</t>
        </is>
      </c>
      <c r="AF46" s="11602" t="n"/>
      <c r="AG46" s="409" t="n"/>
      <c r="AH46" s="408" t="n"/>
      <c r="AI46" s="3601">
        <f>SchSE_Lines_3_4b_5a_You</f>
        <v/>
      </c>
      <c r="AJ46" s="11602" t="n"/>
      <c r="AK46" s="3601">
        <f>SchSE_Lines_3_4b_5a_Sp</f>
        <v/>
      </c>
      <c r="AL46" s="379" t="n"/>
      <c r="AM46" s="3597" t="n"/>
      <c r="AO46" s="3597" t="n"/>
    </row>
    <row r="47" ht="19.5" customHeight="1" s="7635" thickBot="1">
      <c r="A47" s="139" t="n"/>
      <c r="B47" s="3617" t="n">
        <v>7</v>
      </c>
      <c r="C47" s="8647" t="inlineStr">
        <is>
          <t>Enter the amount from Form 1040, 1040-SR, or 1040-NR, line 11a</t>
        </is>
      </c>
      <c r="D47" s="2755" t="n"/>
      <c r="E47" s="2755" t="n"/>
      <c r="F47" s="2755" t="n"/>
      <c r="G47" s="2755" t="n"/>
      <c r="H47" s="2755" t="n"/>
      <c r="I47" s="2755" t="n"/>
      <c r="J47" s="2755" t="n"/>
      <c r="K47" s="2755" t="n"/>
      <c r="L47" s="8374" t="n"/>
      <c r="M47" s="3621">
        <f>B47</f>
        <v/>
      </c>
      <c r="N47" s="12396">
        <f>IF(AA47&lt;&gt;"",ROUND(AA47,0),IF(OR(AB19,AND(M25="",M27="")),"",Adj_Gross_Inc))</f>
        <v/>
      </c>
      <c r="O47" s="7637" t="n"/>
      <c r="P47" s="7637" t="n"/>
      <c r="Q47" s="7637" t="n"/>
      <c r="R47" s="7637" t="n"/>
      <c r="S47" s="7637" t="n"/>
      <c r="T47" s="7638" t="n"/>
      <c r="U47" s="3628" t="n"/>
      <c r="V47" s="3629" t="n"/>
      <c r="W47" s="2756" t="n"/>
      <c r="X47" s="3540" t="n"/>
      <c r="Y47" s="3540" t="n"/>
      <c r="Z47" s="3540" t="n"/>
      <c r="AA47" s="438" t="n"/>
      <c r="AE47" s="1073" t="inlineStr">
        <is>
          <t>total the amounts shown on Schedule SE, lines 3, 4b, and 5a</t>
        </is>
      </c>
      <c r="AF47" s="11602" t="n"/>
      <c r="AG47" s="409" t="n"/>
      <c r="AH47" s="9748" t="inlineStr">
        <is>
          <t>(</t>
        </is>
      </c>
      <c r="AI47" s="3601">
        <f>SchSE_Deduction_You</f>
        <v/>
      </c>
      <c r="AJ47" s="350" t="inlineStr">
        <is>
          <t>)(</t>
        </is>
      </c>
      <c r="AK47" s="3601">
        <f>SchSE_Deduction_Sp</f>
        <v/>
      </c>
      <c r="AL47" s="6386" t="inlineStr">
        <is>
          <t>)</t>
        </is>
      </c>
      <c r="AM47" s="7914" t="inlineStr">
        <is>
          <t>Override</t>
        </is>
      </c>
      <c r="AO47" s="7914" t="inlineStr">
        <is>
          <t>Override</t>
        </is>
      </c>
      <c r="AP47" s="9864" t="n"/>
    </row>
    <row r="48" ht="14.25" customHeight="1" s="7635" thickBot="1">
      <c r="A48" s="139" t="n"/>
      <c r="B48" s="3617" t="n">
        <v>8</v>
      </c>
      <c r="C48" s="8651" t="inlineStr">
        <is>
          <t>Enter on line 8 the decimal amount shown below that applies to the amount on line 7.</t>
        </is>
      </c>
      <c r="D48" s="2755" t="n"/>
      <c r="E48" s="2755" t="n"/>
      <c r="F48" s="2755" t="n"/>
      <c r="G48" s="2755" t="n"/>
      <c r="H48" s="2755" t="n"/>
      <c r="I48" s="2755" t="n"/>
      <c r="J48" s="2755" t="n"/>
      <c r="K48" s="2755" t="n"/>
      <c r="L48" s="2755" t="n"/>
      <c r="M48" s="2755" t="n"/>
      <c r="N48" s="2755" t="n"/>
      <c r="O48" s="2755" t="n"/>
      <c r="P48" s="2755" t="n"/>
      <c r="Q48" s="2755" t="n"/>
      <c r="R48" s="2755" t="n"/>
      <c r="S48" s="2755" t="n"/>
      <c r="T48" s="2755" t="n"/>
      <c r="U48" s="3628" t="n"/>
      <c r="V48" s="9618">
        <f>IF('Sch. SE'!AJ7,SUM('Sch. SE'!X21,-SE_Deduct),0)</f>
        <v/>
      </c>
      <c r="X48" s="3540" t="n"/>
      <c r="Y48" s="3540" t="n"/>
      <c r="Z48" s="3540" t="n"/>
      <c r="AA48" s="3597" t="n"/>
      <c r="AB48" s="1305" t="n">
        <v>125000</v>
      </c>
      <c r="AE48" s="6390" t="inlineStr">
        <is>
          <t>minus any deduction you claim on Sch. 1 (Form 1040), line 15.</t>
        </is>
      </c>
      <c r="AF48" s="6378" t="n"/>
      <c r="AG48" s="6379" t="n"/>
      <c r="AH48" s="408" t="n"/>
      <c r="AI48" s="851">
        <f>MAX(0,SUM(AI46,-AI47))</f>
        <v/>
      </c>
      <c r="AJ48" s="11602" t="n"/>
      <c r="AK48" s="851">
        <f>MAX(0,SUM(AK46,-AK47))</f>
        <v/>
      </c>
      <c r="AL48" s="379" t="n"/>
      <c r="AM48" s="7914" t="inlineStr">
        <is>
          <t>Line 4, part 2</t>
        </is>
      </c>
      <c r="AO48" s="7914" t="inlineStr">
        <is>
          <t>Line 5, part 2</t>
        </is>
      </c>
    </row>
    <row r="49" ht="18" customHeight="1" s="7635" thickBot="1">
      <c r="A49" s="139" t="n"/>
      <c r="B49" s="3632" t="n"/>
      <c r="C49" s="3097" t="inlineStr">
        <is>
          <t>If line 7 is:</t>
        </is>
      </c>
      <c r="D49" s="2755" t="n"/>
      <c r="E49" s="2755" t="n"/>
      <c r="F49" s="2755" t="n"/>
      <c r="G49" s="2755" t="n"/>
      <c r="H49" s="3097" t="inlineStr">
        <is>
          <t>If line 7 is:</t>
        </is>
      </c>
      <c r="I49" s="2755" t="n"/>
      <c r="J49" s="2755" t="n"/>
      <c r="K49" s="2755" t="n"/>
      <c r="L49" s="3097" t="inlineStr">
        <is>
          <t>If line 7 is:</t>
        </is>
      </c>
      <c r="M49" s="2755" t="n"/>
      <c r="N49" s="2755" t="n"/>
      <c r="O49" s="2755" t="n"/>
      <c r="P49" s="2755" t="n"/>
      <c r="Q49" s="2755" t="n"/>
      <c r="R49" s="2755" t="n"/>
      <c r="S49" s="2755" t="n"/>
      <c r="T49" s="2755" t="n"/>
      <c r="U49" s="3628" t="n"/>
      <c r="V49" s="9618" t="n"/>
      <c r="W49" s="9619" t="n"/>
      <c r="X49" s="3540" t="n"/>
      <c r="Y49" s="3540" t="n"/>
      <c r="Z49" s="3540" t="n"/>
      <c r="AA49" s="3597" t="n"/>
      <c r="AB49" s="1305" t="n"/>
      <c r="AD49" s="9864" t="n"/>
      <c r="AE49" s="6390" t="n"/>
      <c r="AF49" s="380" t="n"/>
      <c r="AG49" s="10736" t="inlineStr">
        <is>
          <t>Total for part 2:</t>
        </is>
      </c>
      <c r="AH49" s="6396" t="n"/>
      <c r="AI49" s="6397">
        <f>IF(AM49&lt;&gt;"",ROUND(AM49,0),SUM(AI41,AI45,AI48))</f>
        <v/>
      </c>
      <c r="AJ49" s="6398" t="n"/>
      <c r="AK49" s="6397">
        <f>IF(AO49&lt;&gt;"",ROUND(AO49,0),SUM(AK41,AK45,AK48))</f>
        <v/>
      </c>
      <c r="AL49" s="6399" t="n"/>
      <c r="AM49" s="6385" t="n"/>
      <c r="AO49" s="1470" t="n"/>
    </row>
    <row r="50" ht="14.25" customHeight="1" s="7635">
      <c r="A50" s="139" t="n"/>
      <c r="B50" s="3632" t="n"/>
      <c r="C50" s="2755" t="n"/>
      <c r="D50" s="2755" t="n"/>
      <c r="E50" s="2755" t="n"/>
      <c r="F50" s="3097" t="inlineStr">
        <is>
          <t>But not</t>
        </is>
      </c>
      <c r="G50" s="9584" t="inlineStr">
        <is>
          <t>Dec. amt.</t>
        </is>
      </c>
      <c r="H50" s="2755" t="n"/>
      <c r="I50" s="2755" t="n"/>
      <c r="J50" s="3097" t="inlineStr">
        <is>
          <t>But not</t>
        </is>
      </c>
      <c r="K50" s="9584" t="inlineStr">
        <is>
          <t>Dec. amt.</t>
        </is>
      </c>
      <c r="L50" s="9586" t="inlineStr">
        <is>
          <t>Over</t>
        </is>
      </c>
      <c r="M50" s="2755" t="n"/>
      <c r="N50" s="3097" t="inlineStr">
        <is>
          <t>But not</t>
        </is>
      </c>
      <c r="O50" s="2755" t="n"/>
      <c r="P50" s="3097" t="inlineStr">
        <is>
          <t>Decimal</t>
        </is>
      </c>
      <c r="Q50" s="2755" t="n"/>
      <c r="R50" s="2755" t="n"/>
      <c r="S50" s="2755" t="n"/>
      <c r="T50" s="2755" t="n"/>
      <c r="U50" s="3628" t="n"/>
      <c r="V50" s="9618" t="n"/>
      <c r="W50" s="9619" t="n"/>
      <c r="X50" s="3540" t="n"/>
      <c r="Y50" s="3540" t="n"/>
      <c r="Z50" s="3540" t="n"/>
      <c r="AA50" s="3597" t="n"/>
      <c r="AB50" s="1305" t="n"/>
      <c r="AE50" s="5609" t="inlineStr">
        <is>
          <t xml:space="preserve">3. If you are filing Schedule C (Form 1040) </t>
        </is>
      </c>
      <c r="AF50" s="377" t="n"/>
      <c r="AG50" s="4220" t="n"/>
      <c r="AH50" s="3816" t="n"/>
      <c r="AI50" s="5608" t="n"/>
      <c r="AJ50" s="377" t="n"/>
      <c r="AK50" s="5608" t="n"/>
      <c r="AL50" s="378" t="n"/>
      <c r="AM50" s="7914" t="inlineStr">
        <is>
          <t>Override</t>
        </is>
      </c>
      <c r="AO50" s="7914" t="inlineStr">
        <is>
          <t>Override</t>
        </is>
      </c>
    </row>
    <row r="51" ht="14.25" customHeight="1" s="7635" thickBot="1">
      <c r="A51" s="139" t="n"/>
      <c r="B51" s="3632" t="n"/>
      <c r="C51" s="9582" t="inlineStr">
        <is>
          <t>Over</t>
        </is>
      </c>
      <c r="D51" s="7637" t="n"/>
      <c r="E51" s="3565" t="n"/>
      <c r="F51" s="3108" t="inlineStr">
        <is>
          <t>over</t>
        </is>
      </c>
      <c r="G51" s="12070" t="n"/>
      <c r="H51" s="9582" t="inlineStr">
        <is>
          <t>Over</t>
        </is>
      </c>
      <c r="I51" s="7637" t="n"/>
      <c r="J51" s="3108" t="inlineStr">
        <is>
          <t>over</t>
        </is>
      </c>
      <c r="K51" s="12070" t="n"/>
      <c r="L51" s="7637" t="n"/>
      <c r="M51" s="3565" t="n"/>
      <c r="N51" s="3108" t="inlineStr">
        <is>
          <t>over</t>
        </is>
      </c>
      <c r="O51" s="3565" t="n"/>
      <c r="P51" s="3108" t="inlineStr">
        <is>
          <t>amount is</t>
        </is>
      </c>
      <c r="Q51" s="3565" t="n"/>
      <c r="R51" s="3565" t="n"/>
      <c r="S51" s="3565" t="n"/>
      <c r="T51" s="2755" t="n"/>
      <c r="U51" s="3628" t="n"/>
      <c r="V51" s="9618" t="n"/>
      <c r="W51" s="9619" t="n"/>
      <c r="X51" s="3540" t="n"/>
      <c r="Y51" s="3540" t="n"/>
      <c r="Z51" s="3540" t="n"/>
      <c r="AA51" s="3597" t="n"/>
      <c r="AB51" s="1305" t="n"/>
      <c r="AE51" s="1073" t="inlineStr">
        <is>
          <t>as a statutory employee, the amount shown on line1 of the</t>
        </is>
      </c>
      <c r="AF51" s="11602" t="n"/>
      <c r="AG51" s="409" t="n"/>
      <c r="AH51" s="408" t="n"/>
      <c r="AI51" s="11602" t="n"/>
      <c r="AJ51" s="11602" t="n"/>
      <c r="AK51" s="11602" t="n"/>
      <c r="AL51" s="379" t="n"/>
      <c r="AM51" s="7914" t="inlineStr">
        <is>
          <t>Line 4, part 3</t>
        </is>
      </c>
      <c r="AO51" s="7914" t="inlineStr">
        <is>
          <t>Line 5, part 3</t>
        </is>
      </c>
    </row>
    <row r="52" ht="14.25" customHeight="1" s="7635" thickBot="1">
      <c r="A52" s="139" t="n"/>
      <c r="B52" s="3632" t="n"/>
      <c r="C52" s="12397" t="n">
        <v>0</v>
      </c>
      <c r="E52" s="3634" t="inlineStr">
        <is>
          <t>--</t>
        </is>
      </c>
      <c r="F52" s="9596" t="n">
        <v>15000</v>
      </c>
      <c r="G52" s="12398" t="n">
        <v>0.35</v>
      </c>
      <c r="H52" s="3637" t="n">
        <v>25000</v>
      </c>
      <c r="I52" s="3638" t="inlineStr">
        <is>
          <t>--</t>
        </is>
      </c>
      <c r="J52" s="9588" t="n">
        <v>27000</v>
      </c>
      <c r="K52" s="12399" t="n">
        <v>0.29</v>
      </c>
      <c r="L52" s="3637" t="n">
        <v>37000</v>
      </c>
      <c r="M52" s="3638" t="inlineStr">
        <is>
          <t>--</t>
        </is>
      </c>
      <c r="N52" s="9588" t="n">
        <v>39000</v>
      </c>
      <c r="O52" s="7839" t="n"/>
      <c r="P52" s="12400" t="n">
        <v>0.23</v>
      </c>
      <c r="Q52" s="3642" t="n"/>
      <c r="R52" s="3642" t="n"/>
      <c r="S52" s="3642" t="n"/>
      <c r="T52" s="2755" t="n"/>
      <c r="U52" s="3628" t="n"/>
      <c r="V52" s="9618" t="n"/>
      <c r="W52" s="9619" t="n"/>
      <c r="X52" s="3540" t="n"/>
      <c r="Y52" s="3540" t="n"/>
      <c r="Z52" s="3540" t="n"/>
      <c r="AA52" s="8788" t="inlineStr">
        <is>
          <t>Override</t>
        </is>
      </c>
      <c r="AB52" s="1305" t="n"/>
      <c r="AE52" s="980" t="inlineStr">
        <is>
          <t>schedule.</t>
        </is>
      </c>
      <c r="AF52" s="380" t="n"/>
      <c r="AG52" s="10736" t="inlineStr">
        <is>
          <t>Total for part 3:</t>
        </is>
      </c>
      <c r="AH52" s="6393" t="n"/>
      <c r="AI52" s="1194">
        <f>IF(AM52&lt;&gt;"",ROUND(AM52,0),SchC_You_StatEmp_Inc)</f>
        <v/>
      </c>
      <c r="AJ52" s="380" t="n"/>
      <c r="AK52" s="1194">
        <f>IF(AO52&lt;&gt;"",ROUND(AO52,0),SchC_Sp_StatEmp_Inc)</f>
        <v/>
      </c>
      <c r="AL52" s="381" t="n"/>
      <c r="AM52" s="6385" t="n"/>
      <c r="AO52" s="1470" t="n"/>
    </row>
    <row r="53" ht="14.25" customHeight="1" s="7635" thickBot="1">
      <c r="A53" s="139" t="n"/>
      <c r="B53" s="3632" t="n"/>
      <c r="C53" s="9592" t="n">
        <v>15000</v>
      </c>
      <c r="E53" s="3634" t="inlineStr">
        <is>
          <t>--</t>
        </is>
      </c>
      <c r="F53" s="9596" t="n">
        <v>17000</v>
      </c>
      <c r="G53" s="12398" t="n">
        <v>0.34</v>
      </c>
      <c r="H53" s="3643" t="n">
        <v>27000</v>
      </c>
      <c r="I53" s="3634" t="inlineStr">
        <is>
          <t>--</t>
        </is>
      </c>
      <c r="J53" s="9596" t="n">
        <v>29000</v>
      </c>
      <c r="K53" s="12398" t="n">
        <v>0.28</v>
      </c>
      <c r="L53" s="3643" t="n">
        <v>39000</v>
      </c>
      <c r="M53" s="3634" t="inlineStr">
        <is>
          <t>--</t>
        </is>
      </c>
      <c r="N53" s="9596" t="n">
        <v>41000</v>
      </c>
      <c r="P53" s="12401" t="n">
        <v>0.22</v>
      </c>
      <c r="Q53" s="12401" t="n"/>
      <c r="R53" s="2755" t="n"/>
      <c r="S53" s="2755" t="n"/>
      <c r="T53" s="2755" t="n"/>
      <c r="U53" s="3621" t="n">
        <v>8</v>
      </c>
      <c r="V53" s="3645" t="inlineStr">
        <is>
          <t xml:space="preserve">X </t>
        </is>
      </c>
      <c r="W53" s="12402">
        <f>IF(AA53&lt;&gt;"",ROUND(AA53,2),IF(OR(N47="",N47=0),"",IF(N47-1&gt;L52,LOOKUP(N47-1,L52:L55,P52:P55),IF(N47-1&gt;H52,LOOKUP(N47-1,H52:H57,K52:K57),LOOKUP(N47-1,C52:D57,G52:G57)))))</f>
        <v/>
      </c>
      <c r="X53" s="3540" t="n"/>
      <c r="Y53" s="3540" t="n"/>
      <c r="Z53" s="3540" t="n"/>
      <c r="AA53" s="756" t="n"/>
      <c r="AB53" s="1305" t="n"/>
      <c r="AE53" s="5607" t="inlineStr">
        <is>
          <t>4. Nontaxable combat pay, if you elect to include it in</t>
        </is>
      </c>
      <c r="AF53" s="377" t="n"/>
      <c r="AG53" s="4220" t="n"/>
      <c r="AH53" s="3816" t="n"/>
      <c r="AI53" s="377" t="n"/>
      <c r="AJ53" s="377" t="n"/>
      <c r="AK53" s="377" t="n"/>
      <c r="AL53" s="378" t="n"/>
      <c r="AM53" s="3597" t="n"/>
      <c r="AO53" s="3597" t="n"/>
    </row>
    <row r="54" ht="14.25" customHeight="1" s="7635">
      <c r="A54" s="139" t="n"/>
      <c r="B54" s="8647" t="n"/>
      <c r="C54" s="9592" t="n">
        <v>17000</v>
      </c>
      <c r="E54" s="3634" t="inlineStr">
        <is>
          <t>--</t>
        </is>
      </c>
      <c r="F54" s="9596" t="n">
        <v>19000</v>
      </c>
      <c r="G54" s="12398" t="n">
        <v>0.33</v>
      </c>
      <c r="H54" s="3643" t="n">
        <v>29000</v>
      </c>
      <c r="I54" s="3634" t="inlineStr">
        <is>
          <t>--</t>
        </is>
      </c>
      <c r="J54" s="9596" t="n">
        <v>31000</v>
      </c>
      <c r="K54" s="12398" t="n">
        <v>0.27</v>
      </c>
      <c r="L54" s="3643" t="n">
        <v>41000</v>
      </c>
      <c r="M54" s="3634" t="inlineStr">
        <is>
          <t>--</t>
        </is>
      </c>
      <c r="N54" s="9596" t="n">
        <v>43000</v>
      </c>
      <c r="P54" s="12401" t="n">
        <v>0.21</v>
      </c>
      <c r="Q54" s="2755" t="n"/>
      <c r="R54" s="2755" t="n"/>
      <c r="S54" s="2755" t="n"/>
      <c r="T54" s="2755" t="n"/>
      <c r="U54" s="3628" t="n"/>
      <c r="V54" s="3629" t="n"/>
      <c r="W54" s="2756" t="n"/>
      <c r="X54" s="3540" t="n"/>
      <c r="Y54" s="3540" t="n"/>
      <c r="Z54" s="3540" t="n"/>
      <c r="AA54" s="3597" t="n"/>
      <c r="AB54" s="12403" t="n">
        <v>0.5</v>
      </c>
      <c r="AE54" s="341" t="inlineStr">
        <is>
          <t>earned income. However, including this income will only</t>
        </is>
      </c>
      <c r="AF54" s="11602" t="n"/>
      <c r="AG54" s="409" t="n"/>
      <c r="AH54" s="408" t="n"/>
      <c r="AI54" s="3601">
        <f>W2_NonTaxCombatPay_You</f>
        <v/>
      </c>
      <c r="AJ54" s="11602" t="n"/>
      <c r="AK54" s="3601">
        <f>W2_NonTaxCombatPay_Sp</f>
        <v/>
      </c>
      <c r="AL54" s="379" t="n"/>
      <c r="AM54" s="3597" t="n"/>
      <c r="AO54" s="3597" t="n"/>
    </row>
    <row r="55" ht="14.25" customHeight="1" s="7635">
      <c r="A55" s="139" t="n"/>
      <c r="B55" s="8647" t="n"/>
      <c r="C55" s="9592" t="n">
        <v>19000</v>
      </c>
      <c r="E55" s="3634" t="inlineStr">
        <is>
          <t>--</t>
        </is>
      </c>
      <c r="F55" s="9596" t="n">
        <v>21000</v>
      </c>
      <c r="G55" s="12398" t="n">
        <v>0.32</v>
      </c>
      <c r="H55" s="3643" t="n">
        <v>31000</v>
      </c>
      <c r="I55" s="3634" t="inlineStr">
        <is>
          <t>--</t>
        </is>
      </c>
      <c r="J55" s="9596" t="n">
        <v>33000</v>
      </c>
      <c r="K55" s="12398" t="n">
        <v>0.26</v>
      </c>
      <c r="L55" s="3643" t="n">
        <v>43000</v>
      </c>
      <c r="M55" s="3634" t="inlineStr">
        <is>
          <t>--</t>
        </is>
      </c>
      <c r="N55" s="9595" t="inlineStr">
        <is>
          <t>No limit</t>
        </is>
      </c>
      <c r="P55" s="12401" t="n">
        <v>0.2</v>
      </c>
      <c r="Q55" s="2755" t="n"/>
      <c r="R55" s="2755" t="n"/>
      <c r="S55" s="2755" t="n"/>
      <c r="T55" s="2755" t="n"/>
      <c r="U55" s="3628" t="n"/>
      <c r="V55" s="3629" t="n"/>
      <c r="W55" s="2756" t="n"/>
      <c r="X55" s="3540" t="n"/>
      <c r="Y55" s="3540" t="n"/>
      <c r="Z55" s="3540" t="n"/>
      <c r="AA55" s="3597" t="n"/>
      <c r="AB55" s="1305" t="n">
        <v>438000</v>
      </c>
      <c r="AC55" s="8648" t="n"/>
      <c r="AE55" s="341" t="inlineStr">
        <is>
          <t>give you a larger credit if your (or your spouse's) other</t>
        </is>
      </c>
      <c r="AF55" s="11602" t="n"/>
      <c r="AG55" s="409" t="n"/>
      <c r="AH55" s="408" t="n"/>
      <c r="AI55" s="11602" t="n"/>
      <c r="AJ55" s="11602" t="n"/>
      <c r="AK55" s="11602" t="n"/>
      <c r="AL55" s="379" t="n"/>
      <c r="AM55" s="3597" t="n"/>
      <c r="AO55" s="3597" t="n"/>
    </row>
    <row r="56" ht="14.25" customHeight="1" s="7635">
      <c r="A56" s="139" t="n"/>
      <c r="B56" s="8647" t="n"/>
      <c r="C56" s="9592" t="n">
        <v>21000</v>
      </c>
      <c r="E56" s="3634" t="inlineStr">
        <is>
          <t>--</t>
        </is>
      </c>
      <c r="F56" s="9596" t="n">
        <v>23000</v>
      </c>
      <c r="G56" s="12398" t="n">
        <v>0.31</v>
      </c>
      <c r="H56" s="3643" t="n">
        <v>33000</v>
      </c>
      <c r="I56" s="3634" t="inlineStr">
        <is>
          <t>--</t>
        </is>
      </c>
      <c r="J56" s="9596" t="n">
        <v>35000</v>
      </c>
      <c r="K56" s="12398" t="n">
        <v>0.25</v>
      </c>
      <c r="L56" s="3643" t="n"/>
      <c r="M56" s="3634" t="n"/>
      <c r="N56" s="9596" t="n"/>
      <c r="P56" s="12401" t="n"/>
      <c r="Q56" s="2755" t="n"/>
      <c r="R56" s="2755" t="n"/>
      <c r="S56" s="2755" t="n"/>
      <c r="T56" s="2755" t="n"/>
      <c r="U56" s="3628" t="n"/>
      <c r="V56" s="3629" t="n"/>
      <c r="W56" s="2756" t="n"/>
      <c r="X56" s="3540" t="n"/>
      <c r="Y56" s="3540" t="n"/>
      <c r="Z56" s="3540" t="n"/>
      <c r="AA56" s="3597" t="n"/>
      <c r="AB56" s="3648" t="n"/>
      <c r="AC56" s="8648" t="n"/>
      <c r="AE56" s="341" t="inlineStr">
        <is>
          <t>earned income is less than the amount entered on line 3.</t>
        </is>
      </c>
      <c r="AF56" s="11602" t="n"/>
      <c r="AG56" s="409" t="n"/>
      <c r="AH56" s="408" t="n"/>
      <c r="AI56" s="11602" t="n"/>
      <c r="AJ56" s="11602" t="n"/>
      <c r="AK56" s="11602" t="n"/>
      <c r="AL56" s="379" t="n"/>
      <c r="AM56" s="3597" t="n"/>
      <c r="AO56" s="3597" t="n"/>
    </row>
    <row r="57" ht="14.25" customHeight="1" s="7635">
      <c r="A57" s="139" t="n"/>
      <c r="B57" s="8647" t="n"/>
      <c r="C57" s="9558" t="n">
        <v>23000</v>
      </c>
      <c r="D57" s="7637" t="n"/>
      <c r="E57" s="3649" t="inlineStr">
        <is>
          <t>--</t>
        </is>
      </c>
      <c r="F57" s="9622" t="n">
        <v>25000</v>
      </c>
      <c r="G57" s="12404" t="n">
        <v>0.3</v>
      </c>
      <c r="H57" s="3652" t="n">
        <v>35000</v>
      </c>
      <c r="I57" s="3649" t="inlineStr">
        <is>
          <t>--</t>
        </is>
      </c>
      <c r="J57" s="9622" t="n">
        <v>37000</v>
      </c>
      <c r="K57" s="12404" t="n">
        <v>0.24</v>
      </c>
      <c r="L57" s="3652" t="n"/>
      <c r="M57" s="3649" t="n"/>
      <c r="N57" s="9622" t="n"/>
      <c r="O57" s="7637" t="n"/>
      <c r="P57" s="12405" t="n"/>
      <c r="Q57" s="3565" t="n"/>
      <c r="R57" s="3565" t="n"/>
      <c r="S57" s="3565" t="n"/>
      <c r="T57" s="2755" t="n"/>
      <c r="U57" s="3628" t="n"/>
      <c r="V57" s="3629" t="n"/>
      <c r="W57" s="2756" t="n"/>
      <c r="X57" s="3540" t="n"/>
      <c r="Y57" s="3540" t="n"/>
      <c r="Z57" s="3540" t="n"/>
      <c r="AA57" s="3597" t="n"/>
      <c r="AB57" s="3648" t="n"/>
      <c r="AC57" s="8648" t="n"/>
      <c r="AE57" s="6391" t="inlineStr">
        <is>
          <t>To make the election, include all of your nontaxable</t>
        </is>
      </c>
      <c r="AF57" s="411" t="n"/>
      <c r="AG57" s="1450" t="n"/>
      <c r="AH57" s="408" t="n"/>
      <c r="AI57" s="11602" t="n"/>
      <c r="AJ57" s="11602" t="n"/>
      <c r="AK57" s="11602" t="n"/>
      <c r="AL57" s="379" t="n"/>
      <c r="AM57" s="3597" t="n"/>
      <c r="AO57" s="3597" t="n"/>
    </row>
    <row r="58" ht="15" customHeight="1" s="7635">
      <c r="A58" s="139" t="n"/>
      <c r="B58" s="3654" t="inlineStr">
        <is>
          <t>9a</t>
        </is>
      </c>
      <c r="C58" s="3600" t="inlineStr">
        <is>
          <t>Multiply line 6 by the decimal amount on line 8</t>
        </is>
      </c>
      <c r="D58" s="8647" t="n"/>
      <c r="E58" s="8647" t="n"/>
      <c r="F58" s="8647" t="n"/>
      <c r="G58" s="2755" t="n"/>
      <c r="H58" s="2755" t="n"/>
      <c r="I58" s="2755" t="n"/>
      <c r="J58" s="2755" t="n"/>
      <c r="K58" s="2755" t="n"/>
      <c r="L58" s="2755" t="n"/>
      <c r="M58" s="2755" t="n"/>
      <c r="N58" s="2755" t="n"/>
      <c r="O58" s="2755" t="n"/>
      <c r="P58" s="2755" t="n"/>
      <c r="Q58" s="2755" t="n"/>
      <c r="R58" s="2755" t="n"/>
      <c r="S58" s="2755" t="n"/>
      <c r="T58" s="2075" t="inlineStr">
        <is>
          <t xml:space="preserve">.   .   .   .   .   .   .   .   .   .   .   .   .   .   .   .   .   .   . </t>
        </is>
      </c>
      <c r="U58" s="3621" t="inlineStr">
        <is>
          <t>9a</t>
        </is>
      </c>
      <c r="V58" s="9608">
        <f>IF(OR(AB19,AND(M25="",M27=""),N47=0),"",ROUND(V46*W53,0))</f>
        <v/>
      </c>
      <c r="W58" s="7637" t="n"/>
      <c r="X58" s="3540" t="n"/>
      <c r="Y58" s="3540" t="n"/>
      <c r="Z58" s="3540" t="n"/>
      <c r="AA58" s="3597" t="n"/>
      <c r="AC58" s="8648" t="n"/>
      <c r="AE58" s="341" t="inlineStr">
        <is>
          <t>combat pay in the amount you enter on line 4 (line 5 for</t>
        </is>
      </c>
      <c r="AF58" s="11602" t="n"/>
      <c r="AG58" s="409" t="n"/>
      <c r="AH58" s="408" t="n"/>
      <c r="AI58" s="11602" t="n"/>
      <c r="AJ58" s="11602" t="n"/>
      <c r="AK58" s="11602" t="n"/>
      <c r="AL58" s="379" t="n"/>
      <c r="AM58" s="3597" t="n"/>
      <c r="AO58" s="3597" t="n"/>
    </row>
    <row r="59" ht="15" customHeight="1" s="7635" thickBot="1">
      <c r="A59" s="139" t="n"/>
      <c r="B59" s="3654" t="inlineStr">
        <is>
          <t xml:space="preserve">  b</t>
        </is>
      </c>
      <c r="C59" s="8651">
        <f>"If you paid "&amp;TaxYear-1&amp;" expenses in "&amp;TaxYear&amp;", complete Worksheet A in the instructions. Enter the amount"</f>
        <v/>
      </c>
      <c r="D59" s="8647" t="n"/>
      <c r="E59" s="8647" t="n"/>
      <c r="F59" s="8647" t="n"/>
      <c r="G59" s="2755" t="n"/>
      <c r="H59" s="2755" t="n"/>
      <c r="I59" s="2755" t="n"/>
      <c r="J59" s="2755" t="n"/>
      <c r="K59" s="2755" t="n"/>
      <c r="L59" s="2755" t="n"/>
      <c r="M59" s="2755" t="n"/>
      <c r="N59" s="2755" t="n"/>
      <c r="O59" s="2755" t="n"/>
      <c r="P59" s="2755" t="n"/>
      <c r="Q59" s="2755" t="n"/>
      <c r="R59" s="2755" t="n"/>
      <c r="S59" s="2755" t="n"/>
      <c r="T59" s="2755" t="n"/>
      <c r="U59" s="3655" t="n"/>
      <c r="V59" s="3656" t="n"/>
      <c r="W59" s="3657" t="n"/>
      <c r="X59" s="3540" t="n"/>
      <c r="Y59" s="3540" t="n"/>
      <c r="Z59" s="3540" t="n"/>
      <c r="AA59" s="3597" t="n"/>
      <c r="AC59" s="3658" t="n"/>
      <c r="AD59" s="808" t="n"/>
      <c r="AE59" s="341" t="inlineStr">
        <is>
          <t>your spouse if filing jointly).</t>
        </is>
      </c>
      <c r="AF59" s="11602" t="n"/>
      <c r="AG59" s="409" t="n"/>
      <c r="AH59" s="566" t="n"/>
      <c r="AI59" s="344" t="n"/>
      <c r="AJ59" s="344" t="n"/>
      <c r="AK59" s="11602" t="n"/>
      <c r="AL59" s="379" t="n"/>
      <c r="AM59" s="3597" t="n"/>
      <c r="AO59" s="3597" t="n"/>
    </row>
    <row r="60" ht="15" customHeight="1" s="7635" thickBot="1">
      <c r="A60" s="139" t="n"/>
      <c r="B60" s="8651" t="n"/>
      <c r="C60" s="8651" t="inlineStr">
        <is>
          <t>from line 13 of the worksheet here. Otherwise, enter -0- on line 9b and go to line 9c</t>
        </is>
      </c>
      <c r="D60" s="8647" t="n"/>
      <c r="E60" s="8647" t="n"/>
      <c r="F60" s="8647" t="n"/>
      <c r="G60" s="2755" t="n"/>
      <c r="H60" s="2755" t="n"/>
      <c r="I60" s="2755" t="n"/>
      <c r="J60" s="2755" t="n"/>
      <c r="K60" s="2755" t="n"/>
      <c r="L60" s="2755" t="n"/>
      <c r="M60" s="2754" t="n"/>
      <c r="N60" s="2754" t="n"/>
      <c r="O60" s="2754" t="n"/>
      <c r="P60" s="2754" t="n"/>
      <c r="Q60" s="2754" t="n"/>
      <c r="R60" s="2755" t="n"/>
      <c r="S60" s="2754" t="n"/>
      <c r="T60" s="2075" t="inlineStr">
        <is>
          <t xml:space="preserve">.   .   .   .   .   .   . </t>
        </is>
      </c>
      <c r="U60" s="3621" t="inlineStr">
        <is>
          <t>9b</t>
        </is>
      </c>
      <c r="V60" s="9608">
        <f>IF(AA60&lt;&gt;"",ROUND(AA60,0),IF(OR(AB19,AND(M25="",M27="")),"",V223))</f>
        <v/>
      </c>
      <c r="W60" s="7637" t="n"/>
      <c r="X60" s="3540" t="n"/>
      <c r="Y60" s="3540" t="n"/>
      <c r="Z60" s="3540" t="n"/>
      <c r="AA60" s="438" t="n"/>
      <c r="AC60" s="3658" t="n"/>
      <c r="AD60" s="808" t="n"/>
      <c r="AE60" s="341" t="inlineStr">
        <is>
          <t>If you are filing jointly and both you and your spouse</t>
        </is>
      </c>
      <c r="AF60" s="11602" t="n"/>
      <c r="AG60" s="409" t="n"/>
      <c r="AH60" s="566" t="n"/>
      <c r="AI60" s="344" t="n"/>
      <c r="AJ60" s="344" t="n"/>
      <c r="AK60" s="11602" t="n"/>
      <c r="AL60" s="379" t="n"/>
      <c r="AM60" s="3597" t="n"/>
      <c r="AO60" s="3597" t="n"/>
    </row>
    <row r="61" ht="15" customHeight="1" s="7635" thickBot="1">
      <c r="A61" s="139" t="n"/>
      <c r="B61" s="3654" t="inlineStr">
        <is>
          <t xml:space="preserve">  c</t>
        </is>
      </c>
      <c r="C61" s="3600" t="inlineStr">
        <is>
          <t>Add lines 9a and 9b and enter the result.</t>
        </is>
      </c>
      <c r="D61" s="2755" t="n"/>
      <c r="E61" s="2755" t="n"/>
      <c r="F61" s="2755" t="n"/>
      <c r="G61" s="2755" t="n"/>
      <c r="H61" s="2755" t="n"/>
      <c r="I61" s="2755" t="n"/>
      <c r="J61" s="2755" t="n"/>
      <c r="K61" s="2755" t="n"/>
      <c r="L61" s="2755" t="n"/>
      <c r="M61" s="2754" t="n"/>
      <c r="N61" s="2754" t="n"/>
      <c r="O61" s="2754" t="n"/>
      <c r="P61" s="2754" t="n"/>
      <c r="Q61" s="2754" t="n"/>
      <c r="R61" s="2755" t="n"/>
      <c r="S61" s="2754" t="n"/>
      <c r="T61" s="2075" t="inlineStr">
        <is>
          <t xml:space="preserve">.   .   .   .   .   .   .   .   .   .   .   .   .   .   .   .   .   .   .   .   .   . </t>
        </is>
      </c>
      <c r="U61" s="3621" t="inlineStr">
        <is>
          <t>9c</t>
        </is>
      </c>
      <c r="V61" s="9608">
        <f>IF(OR(AB19,AND(M25="",M27="")),"",SUM(V58,V60))</f>
        <v/>
      </c>
      <c r="W61" s="7637" t="n"/>
      <c r="X61" s="3540" t="n"/>
      <c r="Y61" s="3540" t="n"/>
      <c r="Z61" s="3540" t="n"/>
      <c r="AA61" s="3597" t="n"/>
      <c r="AB61" s="212" t="n"/>
      <c r="AC61" s="3658" t="n"/>
      <c r="AD61" s="808" t="n"/>
      <c r="AE61" s="341" t="inlineStr">
        <is>
          <t>received nontaxable combat pay, you can each make</t>
        </is>
      </c>
      <c r="AF61" s="11602" t="n"/>
      <c r="AG61" s="409" t="n"/>
      <c r="AH61" s="408" t="n"/>
      <c r="AI61" s="11602" t="n"/>
      <c r="AJ61" s="11602" t="n"/>
      <c r="AK61" s="11602" t="n"/>
      <c r="AL61" s="379" t="n"/>
      <c r="AM61" s="3597" t="n"/>
      <c r="AO61" s="3597" t="n"/>
    </row>
    <row r="62" ht="15" customHeight="1" s="7635" thickBot="1">
      <c r="A62" s="139" t="n"/>
      <c r="B62" s="3654" t="n">
        <v>10</v>
      </c>
      <c r="C62" s="3626" t="inlineStr">
        <is>
          <t>Tax liability limit. Enter amount from the Credit Limit Worksheet in the instructions</t>
        </is>
      </c>
      <c r="D62" s="2755" t="n"/>
      <c r="E62" s="2755" t="n"/>
      <c r="F62" s="2755" t="n"/>
      <c r="G62" s="2755" t="n"/>
      <c r="H62" s="2755" t="n"/>
      <c r="I62" s="2755" t="n"/>
      <c r="J62" s="2755" t="n"/>
      <c r="K62" s="2755" t="n"/>
      <c r="L62" s="2755" t="n"/>
      <c r="M62" s="2755" t="n"/>
      <c r="N62" s="3659" t="n">
        <v>10</v>
      </c>
      <c r="O62" s="12396">
        <f>IF(AA62&lt;&gt;"",ROUND(AA62,0),IF(OR(AB19,AND(M25="",M27="")),"",V177))</f>
        <v/>
      </c>
      <c r="P62" s="7637" t="n"/>
      <c r="Q62" s="7637" t="n"/>
      <c r="R62" s="7637" t="n"/>
      <c r="S62" s="7637" t="n"/>
      <c r="T62" s="7638" t="n"/>
      <c r="U62" s="3628" t="n"/>
      <c r="V62" s="3660" t="n"/>
      <c r="W62" s="3661" t="n"/>
      <c r="X62" s="3540" t="n"/>
      <c r="Y62" s="3540" t="n"/>
      <c r="Z62" s="3540" t="n"/>
      <c r="AA62" s="438" t="n"/>
      <c r="AB62" s="212" t="n"/>
      <c r="AC62" s="3658" t="n"/>
      <c r="AD62" s="808" t="n"/>
      <c r="AE62" s="341" t="inlineStr">
        <is>
          <t>your own election. (In other words, if one of you makes the</t>
        </is>
      </c>
      <c r="AF62" s="11602" t="n"/>
      <c r="AG62" s="409" t="n"/>
      <c r="AH62" s="408" t="n"/>
      <c r="AI62" s="11602" t="n"/>
      <c r="AJ62" s="11602" t="n"/>
      <c r="AK62" s="11602" t="n"/>
      <c r="AL62" s="379" t="n"/>
      <c r="AM62" s="3597" t="n"/>
      <c r="AO62" s="3597" t="n"/>
    </row>
    <row r="63" ht="16.5" customHeight="1" s="7635" thickBot="1">
      <c r="A63" s="139" t="n"/>
      <c r="B63" s="3654" t="n">
        <v>11</v>
      </c>
      <c r="C63" s="3662" t="inlineStr">
        <is>
          <t>Credit for child and dependent care expenses. Enter the smaller of line 9c or line 10 here and</t>
        </is>
      </c>
      <c r="D63" s="3097" t="n"/>
      <c r="E63" s="3097" t="n"/>
      <c r="F63" s="3097" t="n"/>
      <c r="G63" s="2755" t="n"/>
      <c r="H63" s="2755" t="n"/>
      <c r="I63" s="2755" t="n"/>
      <c r="J63" s="2755" t="n"/>
      <c r="K63" s="8647" t="n"/>
      <c r="L63" s="8647" t="n"/>
      <c r="M63" s="2755" t="n"/>
      <c r="N63" s="2755" t="n"/>
      <c r="O63" s="2755" t="n"/>
      <c r="P63" s="2755" t="n"/>
      <c r="Q63" s="2755" t="n"/>
      <c r="R63" s="2755" t="n"/>
      <c r="S63" s="2755" t="n"/>
      <c r="T63" s="3663" t="n"/>
      <c r="U63" s="3664" t="n"/>
      <c r="V63" s="3665" t="n"/>
      <c r="W63" s="3666" t="n"/>
      <c r="X63" s="3540" t="n"/>
      <c r="Y63" s="3540" t="n"/>
      <c r="Z63" s="3540" t="n"/>
      <c r="AA63" s="3597" t="n"/>
      <c r="AC63" s="3658" t="n"/>
      <c r="AD63" s="808" t="n"/>
      <c r="AE63" s="6391" t="inlineStr">
        <is>
          <t>election, the other one can also make it but does not have</t>
        </is>
      </c>
      <c r="AF63" s="11602" t="n"/>
      <c r="AG63" s="409" t="n"/>
      <c r="AH63" s="566" t="n"/>
      <c r="AI63" s="990">
        <f>ROUND(AI61,0)</f>
        <v/>
      </c>
      <c r="AJ63" s="512" t="n"/>
      <c r="AK63" s="990">
        <f>ROUND(AK61,0)</f>
        <v/>
      </c>
      <c r="AL63" s="379" t="n"/>
      <c r="AM63" s="7914" t="inlineStr">
        <is>
          <t>Override</t>
        </is>
      </c>
      <c r="AO63" s="7914" t="inlineStr">
        <is>
          <t>Override</t>
        </is>
      </c>
    </row>
    <row r="64" ht="16.5" customHeight="1" s="7635" thickBot="1">
      <c r="A64" s="139" t="n"/>
      <c r="B64" s="3667" t="n"/>
      <c r="C64" s="3668" t="inlineStr">
        <is>
          <t>on Schedule 3 (Form 1040), line 2</t>
        </is>
      </c>
      <c r="D64" s="3669" t="n"/>
      <c r="E64" s="3669" t="n"/>
      <c r="F64" s="3669" t="n"/>
      <c r="G64" s="3670" t="n"/>
      <c r="H64" s="3670" t="n"/>
      <c r="I64" s="3670" t="n"/>
      <c r="J64" s="3670" t="n"/>
      <c r="K64" s="3670" t="n"/>
      <c r="L64" s="3670" t="n"/>
      <c r="M64" s="3670" t="n"/>
      <c r="N64" s="3670" t="n"/>
      <c r="O64" s="3670" t="n"/>
      <c r="P64" s="3670" t="n"/>
      <c r="Q64" s="2075" t="n"/>
      <c r="R64" s="2755" t="n"/>
      <c r="S64" s="3670" t="n"/>
      <c r="T64" s="3671" t="inlineStr">
        <is>
          <t xml:space="preserve">.   .   .   .   .   .   .   .   .   .   .   .   .   .   .   .   .   .   .   .   .   .   .   .   .   .   . </t>
        </is>
      </c>
      <c r="U64" s="3672">
        <f>B63</f>
        <v/>
      </c>
      <c r="V64" s="9620">
        <f>IF(AA64&lt;&gt;"",ROUND(AA64,0),IF(OR(AB19,AND(M25="",M27="")),"",IF(OR(K28&lt;&gt;"",AB19),0,MIN(F2441_Refundable,O62))))</f>
        <v/>
      </c>
      <c r="W64" s="8848" t="n"/>
      <c r="X64" s="3540" t="n"/>
      <c r="Y64" s="3540" t="n"/>
      <c r="Z64" s="3540" t="n"/>
      <c r="AA64" s="438" t="n"/>
      <c r="AC64" s="3658" t="n"/>
      <c r="AD64" s="808" t="n"/>
      <c r="AE64" s="341" t="inlineStr">
        <is>
          <t>to.) The amount of your nontaxable combat pay should be</t>
        </is>
      </c>
      <c r="AF64" s="11602" t="n"/>
      <c r="AG64" s="409" t="n"/>
      <c r="AH64" s="566" t="n"/>
      <c r="AI64" s="344" t="n"/>
      <c r="AJ64" s="344" t="n"/>
      <c r="AK64" s="11602" t="n"/>
      <c r="AL64" s="6392" t="n"/>
      <c r="AM64" s="7914" t="inlineStr">
        <is>
          <t>Line 4, part 4</t>
        </is>
      </c>
      <c r="AO64" s="7914" t="inlineStr">
        <is>
          <t>Line 5, part 4</t>
        </is>
      </c>
      <c r="AQ64" s="9864" t="n"/>
    </row>
    <row r="65" ht="14.25" customHeight="1" s="7635" thickBot="1">
      <c r="A65" s="139" t="n"/>
      <c r="B65" s="3673" t="inlineStr">
        <is>
          <t>For Paperwork Reduction Act Notice, see your tax return instructions.</t>
        </is>
      </c>
      <c r="C65" s="3674" t="n"/>
      <c r="D65" s="3674" t="n"/>
      <c r="E65" s="3674" t="n"/>
      <c r="F65" s="3674" t="n"/>
      <c r="G65" s="3674" t="n"/>
      <c r="H65" s="3674" t="n"/>
      <c r="I65" s="3674" t="n"/>
      <c r="J65" s="3674" t="n"/>
      <c r="K65" s="3674" t="n"/>
      <c r="L65" s="3674" t="n"/>
      <c r="M65" s="3674" t="n"/>
      <c r="N65" s="3675" t="inlineStr">
        <is>
          <t>Cat. No. 11862M</t>
        </is>
      </c>
      <c r="O65" s="3674" t="n"/>
      <c r="P65" s="3674" t="n"/>
      <c r="Q65" s="3674" t="n"/>
      <c r="R65" s="3674" t="n"/>
      <c r="S65" s="3674" t="n"/>
      <c r="T65" s="3674" t="n"/>
      <c r="U65" s="3674" t="n"/>
      <c r="V65" s="3676" t="n"/>
      <c r="W65" s="3676">
        <f>"Form 2441  ("&amp;TaxYear&amp;")"</f>
        <v/>
      </c>
      <c r="X65" s="3677" t="n"/>
      <c r="Y65" s="3677" t="n"/>
      <c r="Z65" s="3677" t="n"/>
      <c r="AA65" s="3597" t="n"/>
      <c r="AB65" s="9864" t="n"/>
      <c r="AC65" s="3658" t="n"/>
      <c r="AD65" s="808" t="n"/>
      <c r="AE65" s="6400" t="inlineStr">
        <is>
          <t>shown in box 12 of your Form(s) W-2 with code Q.</t>
        </is>
      </c>
      <c r="AF65" s="380" t="n"/>
      <c r="AG65" s="10736" t="inlineStr">
        <is>
          <t>Total for part 4:</t>
        </is>
      </c>
      <c r="AH65" s="6401" t="n"/>
      <c r="AI65" s="1194">
        <f>IF(AM65&lt;&gt;"",ROUND(AM65,0),AI54)</f>
        <v/>
      </c>
      <c r="AJ65" s="380" t="n"/>
      <c r="AK65" s="1194">
        <f>IF(AO65&lt;&gt;"",ROUND(AO65,0),AK54)</f>
        <v/>
      </c>
      <c r="AL65" s="381" t="n"/>
      <c r="AM65" s="6385" t="n"/>
      <c r="AO65" s="1470" t="n"/>
    </row>
    <row r="66" ht="16.5" customHeight="1" s="7635" thickBot="1">
      <c r="A66" s="139" t="n"/>
      <c r="B66" s="3669">
        <f>"Form 2441 ("&amp;TaxYear&amp;")"</f>
        <v/>
      </c>
      <c r="C66" s="3670" t="n"/>
      <c r="D66" s="3670" t="n"/>
      <c r="E66" s="3670" t="n"/>
      <c r="F66" s="3670" t="n"/>
      <c r="G66" s="3670" t="n"/>
      <c r="H66" s="3670" t="n"/>
      <c r="I66" s="3670" t="n"/>
      <c r="J66" s="3670" t="n"/>
      <c r="K66" s="3670" t="n"/>
      <c r="L66" s="3670" t="n"/>
      <c r="M66" s="3670" t="n"/>
      <c r="N66" s="3670" t="n"/>
      <c r="O66" s="3670" t="n"/>
      <c r="P66" s="3670" t="n"/>
      <c r="Q66" s="3670" t="n"/>
      <c r="R66" s="3670" t="n"/>
      <c r="S66" s="3670" t="n"/>
      <c r="T66" s="3670" t="n"/>
      <c r="U66" s="3670" t="n"/>
      <c r="V66" s="3678" t="n"/>
      <c r="W66" s="3678" t="inlineStr">
        <is>
          <t>Page 2</t>
        </is>
      </c>
      <c r="X66" s="3540" t="n"/>
      <c r="Y66" s="3540" t="n"/>
      <c r="Z66" s="3540" t="n"/>
      <c r="AA66" s="3597" t="n"/>
      <c r="AC66" s="3658" t="n"/>
      <c r="AD66" s="808" t="n"/>
      <c r="AE66" s="12406" t="inlineStr">
        <is>
          <t>TIP: You can elect to include your nontaxable combat pay in earned income when figuring your credit, even if you elect not to include it in earned income for the earned income credit (EIC) or the exclusion or deduction for child and dependent care benefits. 
CAUTION: You must reduce your earned income by any loss from self-employment.
Child support payments received by you aren't included in your gross income and aren't considered as earned income for figuring this credit.
See Pub. 503 for additional details on what is considered earned income.  See instructions.</t>
        </is>
      </c>
      <c r="AG66" s="7636" t="n"/>
      <c r="AH66" s="566" t="n"/>
      <c r="AI66" s="344" t="n"/>
      <c r="AJ66" s="344" t="n"/>
      <c r="AK66" s="11602" t="n"/>
      <c r="AL66" s="379" t="n"/>
      <c r="AM66" s="3597" t="n"/>
      <c r="AO66" s="3597" t="n"/>
    </row>
    <row r="67" ht="15.75" customHeight="1" s="7635">
      <c r="A67" s="139" t="n"/>
      <c r="B67" s="3679" t="inlineStr">
        <is>
          <t>Part III</t>
        </is>
      </c>
      <c r="C67" s="3680" t="inlineStr">
        <is>
          <t xml:space="preserve">  Dependent Care Benefits</t>
        </is>
      </c>
      <c r="D67" s="3680" t="n"/>
      <c r="E67" s="3680" t="n"/>
      <c r="F67" s="3680" t="n"/>
      <c r="G67" s="3681" t="n"/>
      <c r="H67" s="3681" t="n"/>
      <c r="I67" s="3681" t="n"/>
      <c r="J67" s="3681" t="n"/>
      <c r="K67" s="3681" t="n"/>
      <c r="L67" s="3607" t="n"/>
      <c r="M67" s="3681" t="n"/>
      <c r="N67" s="3681" t="n"/>
      <c r="O67" s="3681" t="n"/>
      <c r="P67" s="3681" t="n"/>
      <c r="Q67" s="3681" t="n"/>
      <c r="R67" s="3681" t="n"/>
      <c r="S67" s="3681" t="n"/>
      <c r="T67" s="3681" t="n"/>
      <c r="U67" s="3681" t="n"/>
      <c r="V67" s="3681" t="n"/>
      <c r="W67" s="3682" t="n"/>
      <c r="X67" s="3677" t="n"/>
      <c r="Y67" s="3677" t="n"/>
      <c r="Z67" s="3677" t="n"/>
      <c r="AA67" s="3597" t="n"/>
      <c r="AC67" s="3658" t="n"/>
      <c r="AD67" s="808" t="n"/>
      <c r="AE67" s="11741" t="n"/>
      <c r="AG67" s="7636" t="n"/>
      <c r="AH67" s="566" t="n"/>
      <c r="AI67" s="344" t="n"/>
      <c r="AJ67" s="344" t="n"/>
      <c r="AK67" s="11602" t="n"/>
      <c r="AL67" s="379" t="n"/>
      <c r="AM67" s="3597" t="n"/>
      <c r="AO67" s="3597" t="n"/>
    </row>
    <row r="68" ht="16.5" customFormat="1" customHeight="1" s="9864">
      <c r="A68" s="139" t="n"/>
      <c r="B68" s="3617" t="n">
        <v>12</v>
      </c>
      <c r="C68" s="8651" t="inlineStr">
        <is>
          <t>Enter total  amount of dependent care benefits</t>
        </is>
      </c>
      <c r="D68" s="8647" t="n"/>
      <c r="E68" s="8647" t="n"/>
      <c r="F68" s="8647" t="n"/>
      <c r="G68" s="2755" t="n"/>
      <c r="H68" s="2755" t="n"/>
      <c r="I68" s="2755" t="n"/>
      <c r="J68" s="2755" t="n"/>
      <c r="K68" s="3602">
        <f>"you received  for  "&amp;TaxYear&amp;". Amounts you received"</f>
        <v/>
      </c>
      <c r="L68" s="8651" t="n"/>
      <c r="M68" s="8677" t="n"/>
      <c r="N68" s="3602" t="n"/>
      <c r="O68" s="2755" t="n"/>
      <c r="P68" s="2755" t="n"/>
      <c r="Q68" s="2755" t="n"/>
      <c r="R68" s="2755" t="n"/>
      <c r="S68" s="2755" t="n"/>
      <c r="T68" s="2755" t="n"/>
      <c r="U68" s="3628" t="n"/>
      <c r="V68" s="3684" t="n"/>
      <c r="W68" s="2756" t="n"/>
      <c r="X68" s="3540" t="n"/>
      <c r="Y68" s="3540" t="n"/>
      <c r="Z68" s="3540" t="n"/>
      <c r="AA68" s="3597" t="n"/>
      <c r="AC68" s="3658" t="n"/>
      <c r="AD68" s="808" t="n"/>
      <c r="AE68" s="11741" t="n"/>
      <c r="AG68" s="7636" t="n"/>
      <c r="AH68" s="566" t="n"/>
      <c r="AI68" s="344" t="n"/>
      <c r="AJ68" s="344" t="n"/>
      <c r="AK68" s="11602" t="n"/>
      <c r="AL68" s="379" t="n"/>
      <c r="AM68" s="3597" t="n"/>
      <c r="AO68" s="3597" t="n"/>
      <c r="AR68" s="658" t="n"/>
      <c r="AS68" s="658" t="n"/>
      <c r="AT68" s="658" t="n"/>
      <c r="AU68" s="658" t="n"/>
      <c r="AV68" s="658" t="n"/>
      <c r="AW68" s="658" t="n"/>
      <c r="AX68" s="658" t="n"/>
      <c r="AY68" s="658" t="n"/>
      <c r="AZ68" s="658" t="n"/>
      <c r="BD68" s="7453" t="n"/>
      <c r="BE68" s="7453" t="n"/>
    </row>
    <row r="69" ht="15.75" customHeight="1" s="7635">
      <c r="A69" s="144" t="n"/>
      <c r="B69" s="3685" t="n"/>
      <c r="C69" s="8651" t="inlineStr">
        <is>
          <t>as an employee should be shown in box 10 of your Form(s) W-2. Don’t include amounts</t>
        </is>
      </c>
      <c r="D69" s="8647" t="n"/>
      <c r="E69" s="8647" t="n"/>
      <c r="F69" s="8647" t="n"/>
      <c r="G69" s="2755" t="n"/>
      <c r="H69" s="2755" t="n"/>
      <c r="I69" s="2755" t="n"/>
      <c r="J69" s="2755" t="n"/>
      <c r="K69" s="2755" t="n"/>
      <c r="L69" s="2755" t="n"/>
      <c r="M69" s="2755" t="n"/>
      <c r="N69" s="2755" t="n"/>
      <c r="O69" s="2755" t="n"/>
      <c r="P69" s="2755" t="n"/>
      <c r="Q69" s="2755" t="n"/>
      <c r="R69" s="2755" t="n"/>
      <c r="S69" s="2755" t="n"/>
      <c r="T69" s="2755" t="n"/>
      <c r="U69" s="3628" t="n"/>
      <c r="V69" s="3629" t="n"/>
      <c r="W69" s="2756" t="n"/>
      <c r="X69" s="3540" t="n"/>
      <c r="Y69" s="3540" t="n"/>
      <c r="Z69" s="3540" t="n"/>
      <c r="AA69" s="3597" t="n"/>
      <c r="AC69" s="3658" t="n"/>
      <c r="AD69" s="808" t="n"/>
      <c r="AE69" s="11741" t="n"/>
      <c r="AG69" s="7636" t="n"/>
      <c r="AH69" s="566" t="n"/>
      <c r="AI69" s="344" t="n"/>
      <c r="AJ69" s="344" t="n"/>
      <c r="AK69" s="11602" t="n"/>
      <c r="AL69" s="379" t="n"/>
      <c r="AM69" s="3597" t="n"/>
      <c r="AO69" s="3597" t="n"/>
      <c r="BB69" s="9864" t="n"/>
      <c r="BC69" s="9864" t="n"/>
      <c r="BD69" s="7623" t="n"/>
      <c r="BE69" s="7623" t="n"/>
      <c r="BF69" s="9864" t="n"/>
    </row>
    <row r="70" ht="15.75" customHeight="1" s="7635">
      <c r="A70" s="139" t="n"/>
      <c r="B70" s="3685" t="n"/>
      <c r="C70" s="3686" t="inlineStr">
        <is>
          <t>reported as wages in box 1 of Form(s) W-2. If you were self-employed or a partner, include</t>
        </is>
      </c>
      <c r="D70" s="8647" t="n"/>
      <c r="E70" s="8647" t="n"/>
      <c r="F70" s="8647" t="n"/>
      <c r="G70" s="2755" t="n"/>
      <c r="H70" s="2755" t="n"/>
      <c r="I70" s="2755" t="n"/>
      <c r="J70" s="2755" t="n"/>
      <c r="K70" s="2755" t="n"/>
      <c r="L70" s="2755" t="n"/>
      <c r="M70" s="2755" t="n"/>
      <c r="N70" s="2755" t="n"/>
      <c r="O70" s="2755" t="n"/>
      <c r="P70" s="2755" t="n"/>
      <c r="Q70" s="2755" t="n"/>
      <c r="R70" s="2755" t="n"/>
      <c r="S70" s="2755" t="n"/>
      <c r="T70" s="2755" t="n"/>
      <c r="U70" s="3628" t="n"/>
      <c r="V70" s="3629" t="n"/>
      <c r="W70" s="2756" t="n"/>
      <c r="X70" s="3540" t="n"/>
      <c r="Y70" s="3540" t="n"/>
      <c r="Z70" s="3540" t="n"/>
      <c r="AA70" s="3597" t="n"/>
      <c r="AC70" s="3658" t="n"/>
      <c r="AD70" s="808" t="n"/>
      <c r="AE70" s="11741" t="n"/>
      <c r="AG70" s="7636" t="n"/>
      <c r="AH70" s="566" t="n"/>
      <c r="AI70" s="344" t="n"/>
      <c r="AJ70" s="344" t="n"/>
      <c r="AK70" s="11602" t="n"/>
      <c r="AL70" s="379" t="n"/>
      <c r="AM70" s="3597" t="n"/>
      <c r="AO70" s="3597" t="n"/>
    </row>
    <row r="71" ht="16.5" customHeight="1" s="7635" thickBot="1">
      <c r="A71" s="139" t="n"/>
      <c r="B71" s="3685" t="n"/>
      <c r="C71" s="3686" t="inlineStr">
        <is>
          <t>amounts you received under a dependent care assistance program from your sole proprietorship</t>
        </is>
      </c>
      <c r="D71" s="8647" t="n"/>
      <c r="E71" s="8647" t="n"/>
      <c r="F71" s="8647" t="n"/>
      <c r="G71" s="2755" t="n"/>
      <c r="H71" s="2755" t="n"/>
      <c r="I71" s="2755" t="n"/>
      <c r="J71" s="2755" t="n"/>
      <c r="K71" s="2755" t="n"/>
      <c r="L71" s="2755" t="n"/>
      <c r="M71" s="2755" t="n"/>
      <c r="N71" s="2755" t="n"/>
      <c r="O71" s="2755" t="n"/>
      <c r="P71" s="2755" t="n"/>
      <c r="Q71" s="2755" t="n"/>
      <c r="R71" s="2755" t="n"/>
      <c r="S71" s="2755" t="n"/>
      <c r="T71" s="2755" t="n"/>
      <c r="U71" s="3628" t="n"/>
      <c r="V71" s="3629" t="n"/>
      <c r="W71" s="2756" t="n"/>
      <c r="X71" s="3540" t="n"/>
      <c r="Y71" s="3540" t="n"/>
      <c r="Z71" s="3540" t="n"/>
      <c r="AA71" s="8788" t="inlineStr">
        <is>
          <t>Override</t>
        </is>
      </c>
      <c r="AC71" s="3658" t="n"/>
      <c r="AD71" s="808" t="n"/>
      <c r="AE71" s="11741" t="n"/>
      <c r="AG71" s="7636" t="n"/>
      <c r="AH71" s="566" t="n"/>
      <c r="AI71" s="344" t="n"/>
      <c r="AJ71" s="344" t="n"/>
      <c r="AK71" s="11602" t="n"/>
      <c r="AL71" s="379" t="n"/>
      <c r="AM71" s="3597" t="n"/>
      <c r="AO71" s="3597" t="n"/>
    </row>
    <row r="72" ht="15" customHeight="1" s="7635" thickBot="1">
      <c r="A72" s="139" t="n"/>
      <c r="B72" s="3685" t="n"/>
      <c r="C72" s="8651" t="inlineStr">
        <is>
          <t>or partnership</t>
        </is>
      </c>
      <c r="D72" s="8647" t="n"/>
      <c r="E72" s="8647" t="n"/>
      <c r="F72" s="8647" t="n"/>
      <c r="G72" s="2755" t="n"/>
      <c r="H72" s="2755" t="n"/>
      <c r="I72" s="2755" t="n"/>
      <c r="J72" s="2755" t="n"/>
      <c r="K72" s="2755" t="n"/>
      <c r="L72" s="2755" t="n"/>
      <c r="M72" s="2755" t="n"/>
      <c r="N72" s="8374" t="inlineStr">
        <is>
          <t xml:space="preserve">.   .   .   .   .   .   .   .   .   .   .   .   .   .   .   .   .   .   .   .   . </t>
        </is>
      </c>
      <c r="O72" s="2755" t="n"/>
      <c r="P72" s="2755" t="n"/>
      <c r="Q72" s="8374" t="n"/>
      <c r="R72" s="2755" t="n"/>
      <c r="S72" s="2755" t="n"/>
      <c r="T72" s="8374" t="inlineStr">
        <is>
          <t xml:space="preserve">.   .   .   .   .   .   .   .   .   .   .   .   .   .   .   .   .   .   .   .   . </t>
        </is>
      </c>
      <c r="U72" s="2773">
        <f>B68</f>
        <v/>
      </c>
      <c r="V72" s="9608">
        <f>IF(AA72&lt;&gt;"",ROUND(AA72,0),IF(OR(M25&lt;&gt;"",M27=""),"",ROUND(DependCareBenefits,0)))</f>
        <v/>
      </c>
      <c r="W72" s="7637" t="n"/>
      <c r="X72" s="3540" t="n"/>
      <c r="Y72" s="3540" t="n"/>
      <c r="Z72" s="3540" t="n"/>
      <c r="AA72" s="438" t="n"/>
      <c r="AB72" s="7834">
        <f>IF(V72="",0,V72)</f>
        <v/>
      </c>
      <c r="AC72" s="3658" t="n"/>
      <c r="AD72" s="3687" t="n"/>
      <c r="AE72" s="11741" t="n"/>
      <c r="AG72" s="7636" t="n"/>
      <c r="AH72" s="566" t="n"/>
      <c r="AI72" s="344" t="n"/>
      <c r="AJ72" s="344" t="n"/>
      <c r="AK72" s="11602" t="n"/>
      <c r="AL72" s="379" t="n"/>
      <c r="AM72" s="3597" t="n"/>
      <c r="AO72" s="3597" t="n"/>
    </row>
    <row r="73" ht="18.75" customHeight="1" s="7635">
      <c r="A73" s="139" t="n"/>
      <c r="B73" s="3617" t="n">
        <v>13</v>
      </c>
      <c r="C73" s="8651">
        <f>"Enter the amount, if any, you carried over from "&amp;TaxYear-1&amp;" used in "&amp;TaxYear&amp;" during the grace period."</f>
        <v/>
      </c>
      <c r="D73" s="8647" t="n"/>
      <c r="E73" s="8647" t="n"/>
      <c r="F73" s="8647" t="n"/>
      <c r="G73" s="2755" t="n"/>
      <c r="H73" s="2755" t="n"/>
      <c r="I73" s="2755" t="n"/>
      <c r="J73" s="2755" t="n"/>
      <c r="K73" s="2755" t="n"/>
      <c r="L73" s="2755" t="n"/>
      <c r="M73" s="2755" t="n"/>
      <c r="N73" s="8374" t="n"/>
      <c r="O73" s="2755" t="n"/>
      <c r="P73" s="2755" t="n"/>
      <c r="Q73" s="8374" t="n"/>
      <c r="R73" s="2755" t="n"/>
      <c r="S73" s="2755" t="n"/>
      <c r="T73" s="8374" t="n"/>
      <c r="U73" s="3688" t="n"/>
      <c r="V73" s="3689" t="n"/>
      <c r="W73" s="3690" t="n"/>
      <c r="X73" s="3540" t="n"/>
      <c r="Y73" s="3540" t="n"/>
      <c r="Z73" s="3540" t="n"/>
      <c r="AA73" s="2387" t="n"/>
      <c r="AC73" s="3658" t="n"/>
      <c r="AD73" s="3687" t="n"/>
      <c r="AE73" s="11741" t="n"/>
      <c r="AG73" s="7636" t="n"/>
      <c r="AH73" s="566" t="n"/>
      <c r="AI73" s="344" t="n"/>
      <c r="AJ73" s="344" t="n"/>
      <c r="AK73" s="11602" t="n"/>
      <c r="AL73" s="379" t="n"/>
      <c r="AM73" s="3597" t="n"/>
      <c r="AO73" s="3597" t="n"/>
    </row>
    <row r="74" ht="15.75" customHeight="1" s="7635" thickBot="1">
      <c r="A74" s="139" t="n"/>
      <c r="B74" s="3617" t="n"/>
      <c r="C74" s="8651" t="inlineStr">
        <is>
          <t>See instructions</t>
        </is>
      </c>
      <c r="D74" s="8647" t="n"/>
      <c r="E74" s="8647" t="n"/>
      <c r="F74" s="8647" t="n"/>
      <c r="G74" s="2755" t="n"/>
      <c r="H74" s="2755" t="n"/>
      <c r="I74" s="2755" t="n"/>
      <c r="J74" s="2755" t="n"/>
      <c r="K74" s="2755" t="n"/>
      <c r="L74" s="2755" t="n"/>
      <c r="M74" s="2755" t="n"/>
      <c r="N74" s="2755" t="n"/>
      <c r="O74" s="2755" t="n"/>
      <c r="P74" s="2755" t="n"/>
      <c r="Q74" s="8374" t="n"/>
      <c r="R74" s="2755" t="n"/>
      <c r="S74" s="2755" t="n"/>
      <c r="T74" s="8374" t="inlineStr">
        <is>
          <t xml:space="preserve">.   .   .   .   .   .   .   .   .   .   .   .   .   .   .   .   .   .   .   .   .   .   .   .   .   .   .   .   .   .   .   .   .   .   . </t>
        </is>
      </c>
      <c r="U74" s="3691" t="inlineStr">
        <is>
          <t>13</t>
        </is>
      </c>
      <c r="V74" s="9716" t="n"/>
      <c r="W74" s="11717" t="n"/>
      <c r="X74" s="3540" t="n"/>
      <c r="Y74" s="3540" t="n"/>
      <c r="Z74" s="3540" t="n"/>
      <c r="AA74" s="3597" t="n"/>
      <c r="AC74" s="3658" t="n"/>
      <c r="AD74" s="3687" t="n"/>
      <c r="AE74" s="11741" t="n"/>
      <c r="AG74" s="7636" t="n"/>
      <c r="AH74" s="566" t="n"/>
      <c r="AI74" s="344" t="n"/>
      <c r="AJ74" s="344" t="n"/>
      <c r="AK74" s="11602" t="n"/>
      <c r="AL74" s="379" t="n"/>
      <c r="AM74" s="3597" t="n"/>
      <c r="AO74" s="3597" t="n"/>
    </row>
    <row r="75" ht="15.75" customHeight="1" s="7635" thickBot="1">
      <c r="A75" s="139" t="n"/>
      <c r="B75" s="3617" t="n">
        <v>14</v>
      </c>
      <c r="C75" s="8651">
        <f>"Enter the amount, if any, you forfeited or carried forward to "&amp;TaxYear+1&amp;". See instructions"</f>
        <v/>
      </c>
      <c r="D75" s="2755" t="n"/>
      <c r="E75" s="2755" t="n"/>
      <c r="F75" s="2755" t="n"/>
      <c r="G75" s="2755" t="n"/>
      <c r="H75" s="2755" t="n"/>
      <c r="I75" s="2755" t="n"/>
      <c r="J75" s="2755" t="n"/>
      <c r="K75" s="2755" t="n"/>
      <c r="L75" s="2755" t="n"/>
      <c r="M75" s="2755" t="n"/>
      <c r="N75" s="2755" t="n"/>
      <c r="O75" s="2755" t="n"/>
      <c r="P75" s="2755" t="n"/>
      <c r="Q75" s="8374" t="n"/>
      <c r="R75" s="2755" t="n"/>
      <c r="S75" s="2755" t="n"/>
      <c r="T75" s="8374" t="inlineStr">
        <is>
          <t xml:space="preserve">.   .   .   .   .   .   . </t>
        </is>
      </c>
      <c r="U75" s="8230" t="n">
        <v>14</v>
      </c>
      <c r="V75" s="9628">
        <f>IF(OR(M25&lt;&gt;"",M27=""),"",IF(AA75&lt;0,ROUND(AA75,0),-ROUND(AA75,0)))</f>
        <v/>
      </c>
      <c r="W75" s="7637" t="n"/>
      <c r="X75" s="3540" t="n"/>
      <c r="Y75" s="3540" t="n"/>
      <c r="Z75" s="3540" t="n"/>
      <c r="AA75" s="438" t="n"/>
      <c r="AB75" s="8648" t="n"/>
      <c r="AC75" s="3658" t="n"/>
      <c r="AD75" s="3658" t="n"/>
      <c r="AE75" s="11741" t="n"/>
      <c r="AG75" s="7636" t="n"/>
      <c r="AH75" s="408" t="n"/>
      <c r="AI75" s="11602" t="n"/>
      <c r="AJ75" s="11602" t="n"/>
      <c r="AK75" s="11602" t="n"/>
      <c r="AL75" s="379" t="n"/>
      <c r="AM75" s="7914" t="inlineStr">
        <is>
          <t>Override</t>
        </is>
      </c>
      <c r="AO75" s="7914" t="inlineStr">
        <is>
          <t>Override</t>
        </is>
      </c>
    </row>
    <row r="76" ht="15.75" customHeight="1" s="7635" thickBot="1">
      <c r="A76" s="139" t="n"/>
      <c r="B76" s="3694" t="n">
        <v>15</v>
      </c>
      <c r="C76" s="3686" t="inlineStr">
        <is>
          <t>Combine lines 12 through 14. See instructions</t>
        </is>
      </c>
      <c r="D76" s="8647" t="n"/>
      <c r="E76" s="8647" t="n"/>
      <c r="F76" s="8647" t="n"/>
      <c r="G76" s="2755" t="n"/>
      <c r="H76" s="2755" t="n"/>
      <c r="I76" s="2755" t="n"/>
      <c r="J76" s="2755" t="n"/>
      <c r="K76" s="2755" t="n"/>
      <c r="L76" s="2755" t="n"/>
      <c r="M76" s="2755" t="n"/>
      <c r="N76" s="2755" t="n"/>
      <c r="O76" s="2755" t="n"/>
      <c r="P76" s="2755" t="n"/>
      <c r="Q76" s="8374" t="n"/>
      <c r="R76" s="2755" t="n"/>
      <c r="S76" s="2755" t="n"/>
      <c r="T76" s="8374" t="inlineStr">
        <is>
          <t xml:space="preserve">.   .   .   .   .   .   .   .   .   .   .   .   .   .   .   .   .   . </t>
        </is>
      </c>
      <c r="U76" s="8230">
        <f>B76</f>
        <v/>
      </c>
      <c r="V76" s="9608">
        <f>IF(OR(M25&lt;&gt;"",M27=""),"",SUM(V72,ROUND(V74,0),V75))</f>
        <v/>
      </c>
      <c r="W76" s="7637" t="n"/>
      <c r="X76" s="3540" t="n"/>
      <c r="Y76" s="3540" t="n"/>
      <c r="Z76" s="3540" t="n"/>
      <c r="AA76" s="3692" t="n"/>
      <c r="AB76" s="8648" t="n"/>
      <c r="AC76" s="3658" t="n"/>
      <c r="AD76" s="3658" t="n"/>
      <c r="AE76" s="11743" t="n"/>
      <c r="AF76" s="8848" t="n"/>
      <c r="AG76" s="12121" t="n"/>
      <c r="AH76" s="6393" t="n"/>
      <c r="AI76" s="380" t="n"/>
      <c r="AJ76" s="380" t="n"/>
      <c r="AK76" s="380" t="n"/>
      <c r="AL76" s="381" t="n"/>
      <c r="AM76" s="7914" t="inlineStr">
        <is>
          <t>Line 4 TOTAL</t>
        </is>
      </c>
      <c r="AO76" s="7914" t="inlineStr">
        <is>
          <t>Line 5 TOTAL</t>
        </is>
      </c>
    </row>
    <row r="77" ht="15.75" customHeight="1" s="7635" thickBot="1">
      <c r="A77" s="139" t="n"/>
      <c r="B77" s="3617" t="n">
        <v>16</v>
      </c>
      <c r="C77" s="8651" t="inlineStr">
        <is>
          <t>Enter the total amount of qualified expenses  incurred</t>
        </is>
      </c>
      <c r="D77" s="2755" t="n"/>
      <c r="E77" s="2755" t="n"/>
      <c r="F77" s="2755" t="n"/>
      <c r="G77" s="2755" t="n"/>
      <c r="H77" s="2755" t="n"/>
      <c r="I77" s="2755" t="n"/>
      <c r="J77" s="2755" t="n"/>
      <c r="K77" s="2755" t="n"/>
      <c r="L77" s="8651">
        <f>"in "&amp;TaxYear&amp;" for"</f>
        <v/>
      </c>
      <c r="M77" s="2755" t="n"/>
      <c r="N77" s="2755" t="n"/>
      <c r="O77" s="2755" t="n"/>
      <c r="P77" s="2755" t="n"/>
      <c r="Q77" s="2755" t="n"/>
      <c r="R77" s="2755" t="n"/>
      <c r="S77" s="2755" t="n"/>
      <c r="T77" s="2755" t="n"/>
      <c r="U77" s="3628" t="n"/>
      <c r="V77" s="2756" t="n"/>
      <c r="W77" s="2756" t="n"/>
      <c r="X77" s="3540" t="n"/>
      <c r="Y77" s="3540" t="n"/>
      <c r="Z77" s="3540" t="n"/>
      <c r="AA77" s="3597" t="n"/>
      <c r="AB77" s="8648" t="n"/>
      <c r="AC77" s="3658" t="n"/>
      <c r="AD77" s="3658" t="n"/>
      <c r="AE77" s="3687" t="n"/>
      <c r="AF77" s="3687" t="n"/>
      <c r="AG77" s="3695" t="inlineStr">
        <is>
          <t>TOTAL</t>
        </is>
      </c>
      <c r="AI77" s="6384">
        <f>IF(AM77&lt;&gt;"",ROUND(AM77,0),SUM(AI38,AI49,AI52,AI65))</f>
        <v/>
      </c>
      <c r="AK77" s="6384">
        <f>IF(AO77&lt;&gt;"",ROUND(AO77,0),SUM(AK38,AK49,AK52,AK65))</f>
        <v/>
      </c>
      <c r="AM77" s="1470" t="n"/>
      <c r="AO77" s="1470" t="n"/>
    </row>
    <row r="78" ht="16.5" customHeight="1" s="7635" thickBot="1">
      <c r="A78" s="139" t="n"/>
      <c r="B78" s="3698" t="n"/>
      <c r="C78" s="3561" t="inlineStr">
        <is>
          <t>the care of qualifying person(s)</t>
        </is>
      </c>
      <c r="D78" s="3699" t="n"/>
      <c r="E78" s="3699" t="n"/>
      <c r="F78" s="3699" t="n"/>
      <c r="G78" s="3699" t="n"/>
      <c r="H78" s="3662" t="n"/>
      <c r="I78" s="3700" t="n"/>
      <c r="J78" s="3699" t="n"/>
      <c r="K78" s="3699" t="n"/>
      <c r="L78" s="3676" t="n"/>
      <c r="M78" s="3676" t="inlineStr">
        <is>
          <t xml:space="preserve">.   .   .   .   .   .   .   .   .   .   .   .   .   . </t>
        </is>
      </c>
      <c r="N78" s="3659" t="n">
        <v>16</v>
      </c>
      <c r="O78" s="9624" t="n"/>
      <c r="P78" s="194" t="n"/>
      <c r="Q78" s="194" t="n"/>
      <c r="R78" s="194" t="n"/>
      <c r="S78" s="194" t="n"/>
      <c r="T78" s="11726" t="n"/>
      <c r="U78" s="3701" t="n"/>
      <c r="V78" s="3666">
        <f>AND($M$25="",$M$27&lt;&gt;"",$AD$18="",$AD$19="",File_Marr_Sep&lt;&gt;"")</f>
        <v/>
      </c>
      <c r="W78" s="2756" t="n"/>
      <c r="X78" s="3540" t="n"/>
      <c r="Y78" s="3540" t="n"/>
      <c r="Z78" s="3540" t="n"/>
      <c r="AA78" s="8788" t="inlineStr">
        <is>
          <t>Override</t>
        </is>
      </c>
      <c r="AB78" s="8648" t="n"/>
      <c r="AC78" s="3658" t="n"/>
      <c r="AD78" s="3658" t="n"/>
      <c r="AE78" s="3687" t="n"/>
      <c r="AF78" s="3687" t="n"/>
      <c r="AG78" s="3697" t="inlineStr">
        <is>
          <t>Input to:</t>
        </is>
      </c>
      <c r="AI78" s="8788" t="inlineStr">
        <is>
          <t>Line 4</t>
        </is>
      </c>
      <c r="AK78" s="8788" t="inlineStr">
        <is>
          <t>Line 5</t>
        </is>
      </c>
      <c r="AM78" s="8788" t="n"/>
      <c r="AO78" s="8788" t="n"/>
    </row>
    <row r="79" ht="16.5" customHeight="1" s="7635" thickBot="1">
      <c r="A79" s="139" t="n"/>
      <c r="B79" s="3617" t="n">
        <v>17</v>
      </c>
      <c r="C79" s="3600" t="inlineStr">
        <is>
          <t>Enter the smaller of line 15 or 16</t>
        </is>
      </c>
      <c r="D79" s="8647" t="n"/>
      <c r="E79" s="8647" t="n"/>
      <c r="F79" s="8647" t="n"/>
      <c r="G79" s="2755" t="n"/>
      <c r="H79" s="2755" t="n"/>
      <c r="I79" s="2755" t="n"/>
      <c r="J79" s="2755" t="n"/>
      <c r="K79" s="2755" t="n"/>
      <c r="L79" s="8374" t="n"/>
      <c r="M79" s="8374" t="inlineStr">
        <is>
          <t xml:space="preserve">.   .   .   .   .   .   .   .   .   .   .   .   . </t>
        </is>
      </c>
      <c r="N79" s="3659" t="n">
        <v>17</v>
      </c>
      <c r="O79" s="9605">
        <f>IF(AA79&lt;&gt;"",ROUND(AA79,0),IF(OR(M25&lt;&gt;"",M27=""),"",MIN(V76,O78)))</f>
        <v/>
      </c>
      <c r="P79" s="7637" t="n"/>
      <c r="Q79" s="7637" t="n"/>
      <c r="R79" s="7637" t="n"/>
      <c r="S79" s="7637" t="n"/>
      <c r="T79" s="7638" t="n"/>
      <c r="U79" s="3628" t="n"/>
      <c r="V79" s="9611" t="inlineStr">
        <is>
          <t>Indicate at the top</t>
        </is>
      </c>
      <c r="X79" s="3540" t="n"/>
      <c r="Y79" s="3540" t="n"/>
      <c r="Z79" s="3540" t="n"/>
      <c r="AA79" s="438" t="n"/>
      <c r="AB79" s="8648" t="n"/>
      <c r="AC79" s="3658" t="n"/>
      <c r="AD79" s="3658" t="n"/>
      <c r="AE79" s="3687" t="n"/>
      <c r="AF79" s="3687" t="n"/>
      <c r="AG79" s="3687" t="n"/>
      <c r="AI79" s="8788" t="n"/>
      <c r="AK79" s="8788" t="n"/>
      <c r="AM79" s="8788" t="n"/>
    </row>
    <row r="80" ht="15.75" customHeight="1" s="7635" thickBot="1">
      <c r="A80" s="139" t="n"/>
      <c r="B80" s="3617" t="n">
        <v>18</v>
      </c>
      <c r="C80" s="3600" t="inlineStr">
        <is>
          <t>Enter your earned income.  See instructions</t>
        </is>
      </c>
      <c r="D80" s="2755" t="n"/>
      <c r="E80" s="2755" t="n"/>
      <c r="F80" s="2755" t="n"/>
      <c r="G80" s="2755" t="n"/>
      <c r="H80" s="2755" t="n"/>
      <c r="I80" s="2755" t="n"/>
      <c r="J80" s="2755" t="n"/>
      <c r="K80" s="2755" t="n"/>
      <c r="L80" s="8374" t="n"/>
      <c r="M80" s="8374" t="inlineStr">
        <is>
          <t xml:space="preserve">.   .   .   .   .   .   .   . </t>
        </is>
      </c>
      <c r="N80" s="3659" t="n">
        <v>18</v>
      </c>
      <c r="O80" s="9626">
        <f>IF(AA80&lt;&gt;"",ROUND(AA80,0),IF(OR(M25&lt;&gt;"",M27=""),"",SUM(AA47,'W-2s'!J3)))</f>
        <v/>
      </c>
      <c r="P80" s="8412" t="n"/>
      <c r="Q80" s="8412" t="n"/>
      <c r="R80" s="8412" t="n"/>
      <c r="S80" s="8412" t="n"/>
      <c r="T80" s="11734" t="n"/>
      <c r="U80" s="3628" t="n"/>
      <c r="V80" s="9611" t="inlineStr">
        <is>
          <t>and to the right</t>
        </is>
      </c>
      <c r="X80" s="3540" t="n"/>
      <c r="Y80" s="3540" t="n"/>
      <c r="Z80" s="3540" t="n"/>
      <c r="AA80" s="438" t="n"/>
      <c r="AB80" s="8648" t="n"/>
      <c r="AC80" s="3658" t="n"/>
      <c r="AD80" s="3658" t="n"/>
      <c r="AE80" s="3687" t="n"/>
      <c r="AF80" s="3687" t="n"/>
      <c r="AG80" s="3687" t="n"/>
    </row>
    <row r="81" ht="14.25" customHeight="1" s="7635" thickBot="1">
      <c r="A81" s="139" t="n"/>
      <c r="B81" s="3617" t="n">
        <v>19</v>
      </c>
      <c r="C81" s="3600" t="inlineStr">
        <is>
          <t>Enter the amount shown below that applies to you.</t>
        </is>
      </c>
      <c r="D81" s="2755" t="n"/>
      <c r="E81" s="2755" t="n"/>
      <c r="F81" s="2755" t="n"/>
      <c r="G81" s="2755" t="n"/>
      <c r="H81" s="2755" t="n"/>
      <c r="I81" s="2755" t="n"/>
      <c r="J81" s="2755" t="n"/>
      <c r="K81" s="2755" t="n"/>
      <c r="L81" s="2755" t="n"/>
      <c r="M81" s="2755" t="n"/>
      <c r="N81" s="3702" t="n"/>
      <c r="O81" s="3703" t="n"/>
      <c r="P81" s="3704" t="n"/>
      <c r="Q81" s="3704" t="n"/>
      <c r="R81" s="3704" t="n"/>
      <c r="S81" s="3704" t="n"/>
      <c r="T81" s="3705" t="n"/>
      <c r="U81" s="3628" t="n"/>
      <c r="V81" s="9611" t="inlineStr">
        <is>
          <t>as to whether or</t>
        </is>
      </c>
      <c r="X81" s="3540" t="n"/>
      <c r="Y81" s="3540" t="n"/>
      <c r="Z81" s="3540" t="n"/>
      <c r="AA81" s="3597" t="n"/>
      <c r="AB81" s="8648" t="n"/>
      <c r="AC81" s="3658" t="n"/>
      <c r="AD81" s="3658" t="n"/>
      <c r="AE81" s="9737" t="inlineStr">
        <is>
          <t>Line18</t>
        </is>
      </c>
      <c r="AG81" s="3687" t="n"/>
      <c r="AM81" s="8788" t="inlineStr">
        <is>
          <t>Override</t>
        </is>
      </c>
    </row>
    <row r="82" ht="16.5" customHeight="1" s="7635" thickBot="1">
      <c r="A82" s="139" t="n"/>
      <c r="B82" s="3676" t="n"/>
      <c r="C82" s="3706" t="inlineStr">
        <is>
          <t>h</t>
        </is>
      </c>
      <c r="D82" s="3600" t="inlineStr">
        <is>
          <t>If married filing a joint return, enter your spouse's</t>
        </is>
      </c>
      <c r="E82" s="3707" t="n"/>
      <c r="F82" s="3708" t="n"/>
      <c r="G82" s="3708" t="n"/>
      <c r="H82" s="3699" t="n"/>
      <c r="I82" s="3699" t="n"/>
      <c r="J82" s="3699" t="n"/>
      <c r="K82" s="3699" t="n"/>
      <c r="L82" s="3699" t="n"/>
      <c r="M82" s="3699" t="n"/>
      <c r="N82" s="3709" t="n"/>
      <c r="O82" s="3710" t="n"/>
      <c r="P82" s="3710" t="n"/>
      <c r="Q82" s="3710" t="n"/>
      <c r="R82" s="3624" t="n"/>
      <c r="S82" s="3710" t="n"/>
      <c r="T82" s="3711" t="n"/>
      <c r="U82" s="3712" t="n"/>
      <c r="V82" s="9611" t="inlineStr">
        <is>
          <t>not you meet the</t>
        </is>
      </c>
      <c r="X82" s="3677" t="n"/>
      <c r="Y82" s="3677" t="n"/>
      <c r="Z82" s="3677" t="n"/>
      <c r="AA82" s="3713" t="n"/>
      <c r="AB82" s="8145" t="n"/>
      <c r="AC82" s="3658" t="n"/>
      <c r="AD82" s="3658" t="n"/>
      <c r="AE82" s="12407" t="inlineStr">
        <is>
          <t>Earned income for figuring the amount of dependent care 
benefits you are able to exclude or deduct from your income is 
determined in the same way as earned income for figuring the 
credit is determined, as described earlier in the instructions for 
lines 4 and 5; however, for purposes of lines 18 and 19, earned 
income doesn’t include any dependent care benefits shown on 
line 12.</t>
        </is>
      </c>
      <c r="AF82" s="7839" t="n"/>
      <c r="AG82" s="10091" t="n"/>
      <c r="AI82" s="3696">
        <f>IF(AM82&lt;&gt;"",ROUND(AM82,0),SUM(AI77,-AB72))</f>
        <v/>
      </c>
      <c r="AM82" s="1470" t="n"/>
    </row>
    <row r="83" ht="14.25" customHeight="1" s="7635">
      <c r="A83" s="139" t="n"/>
      <c r="B83" s="3685" t="n"/>
      <c r="C83" s="3600" t="n"/>
      <c r="D83" s="3600" t="inlineStr">
        <is>
          <t>earned income (if you or your spouse was a</t>
        </is>
      </c>
      <c r="E83" s="2755" t="n"/>
      <c r="F83" s="2755" t="n"/>
      <c r="G83" s="2755" t="n"/>
      <c r="H83" s="2755" t="n"/>
      <c r="I83" s="2755" t="n"/>
      <c r="J83" s="2755" t="n"/>
      <c r="K83" s="2755" t="n"/>
      <c r="L83" s="2755" t="n"/>
      <c r="M83" s="2755" t="n"/>
      <c r="N83" s="3702" t="n"/>
      <c r="O83" s="3624" t="n"/>
      <c r="P83" s="3624" t="n"/>
      <c r="Q83" s="3624" t="n"/>
      <c r="R83" s="3624" t="n"/>
      <c r="S83" s="3624" t="n"/>
      <c r="T83" s="3714" t="n"/>
      <c r="U83" s="3628" t="n"/>
      <c r="V83" s="9609" t="inlineStr">
        <is>
          <t>requirements to</t>
        </is>
      </c>
      <c r="X83" s="3540" t="n"/>
      <c r="Y83" s="3540" t="n"/>
      <c r="Z83" s="3540" t="n"/>
      <c r="AA83" s="3597" t="n"/>
      <c r="AB83" s="8648" t="n"/>
      <c r="AC83" s="3658" t="n"/>
      <c r="AD83" s="3658" t="n"/>
      <c r="AE83" s="4772" t="n"/>
      <c r="AG83" s="7636" t="n"/>
      <c r="AI83" s="8788" t="inlineStr">
        <is>
          <t>Line 18</t>
        </is>
      </c>
      <c r="AM83" s="8788" t="inlineStr">
        <is>
          <t>Line 18</t>
        </is>
      </c>
      <c r="AN83" s="9864" t="n"/>
      <c r="AQ83" s="9864" t="n"/>
    </row>
    <row r="84" ht="15.75" customHeight="1" s="7635" thickBot="1">
      <c r="A84" s="139" t="n"/>
      <c r="B84" s="3685" t="n"/>
      <c r="C84" s="3600" t="inlineStr">
        <is>
          <t xml:space="preserve">  </t>
        </is>
      </c>
      <c r="D84" s="3600" t="inlineStr">
        <is>
          <t>student or was disabled, see the</t>
        </is>
      </c>
      <c r="E84" s="2755" t="n"/>
      <c r="F84" s="2755" t="n"/>
      <c r="G84" s="2755" t="n"/>
      <c r="H84" s="2755" t="n"/>
      <c r="I84" s="2755" t="n"/>
      <c r="J84" s="2755" t="n"/>
      <c r="K84" s="2755" t="n"/>
      <c r="L84" s="2755" t="n"/>
      <c r="M84" s="2755" t="n"/>
      <c r="N84" s="3702" t="n"/>
      <c r="O84" s="12408">
        <f>IF(AND(File_Marr_Sep&lt;&gt;"",AD19&lt;&gt;""),ROUND(W2_Wages_Spouse,0),O80)</f>
        <v/>
      </c>
      <c r="T84" s="7636" t="n"/>
      <c r="U84" s="3628" t="n"/>
      <c r="V84" s="9611" t="inlineStr">
        <is>
          <t xml:space="preserve">be considered </t>
        </is>
      </c>
      <c r="X84" s="3540" t="n"/>
      <c r="Y84" s="3540" t="n"/>
      <c r="Z84" s="3540" t="n"/>
      <c r="AA84" s="8788" t="inlineStr">
        <is>
          <t>Override</t>
        </is>
      </c>
      <c r="AB84" s="8648" t="n"/>
      <c r="AC84" s="3658" t="n"/>
      <c r="AD84" s="3658" t="n"/>
      <c r="AE84" s="4772" t="n"/>
      <c r="AG84" s="7636" t="n"/>
      <c r="AL84" s="9864" t="n"/>
    </row>
    <row r="85" ht="16.5" customFormat="1" customHeight="1" s="9864" thickBot="1">
      <c r="A85" s="139" t="n"/>
      <c r="B85" s="3685" t="n"/>
      <c r="C85" s="3600" t="inlineStr">
        <is>
          <t xml:space="preserve">     instructions for line 5).</t>
        </is>
      </c>
      <c r="D85" s="3600" t="inlineStr">
        <is>
          <t>instructions for line 5).</t>
        </is>
      </c>
      <c r="E85" s="2755" t="n"/>
      <c r="F85" s="2755" t="n"/>
      <c r="G85" s="2755" t="n"/>
      <c r="H85" s="2755" t="n"/>
      <c r="I85" s="2755" t="n"/>
      <c r="J85" s="2755" t="n"/>
      <c r="K85" s="3097" t="n"/>
      <c r="L85" s="8374" t="n"/>
      <c r="M85" s="8374" t="inlineStr">
        <is>
          <t xml:space="preserve">.   .   .   .   . </t>
        </is>
      </c>
      <c r="N85" s="3659" t="n">
        <v>19</v>
      </c>
      <c r="O85" s="9605">
        <f>IF(AA85&lt;&gt;"",ROUND(AA85,0),IF(OR(M25&lt;&gt;"",M27=""),"",IF(File_Marr_Joint&lt;&gt;"",SUM(V48,ROUND('W-2s'!J40,0)),IF(AND(File_Marr_Sep&lt;&gt;"",AD19&lt;&gt;""),O84,O80))))</f>
        <v/>
      </c>
      <c r="P85" s="7637" t="n"/>
      <c r="Q85" s="7637" t="n"/>
      <c r="R85" s="7637" t="n"/>
      <c r="S85" s="7637" t="n"/>
      <c r="T85" s="7638" t="n"/>
      <c r="U85" s="3628" t="n"/>
      <c r="V85" s="9611">
        <f>"'unmarried' for"</f>
        <v/>
      </c>
      <c r="X85" s="3540" t="n"/>
      <c r="Y85" s="3540" t="n"/>
      <c r="Z85" s="3540" t="n"/>
      <c r="AA85" s="438" t="n"/>
      <c r="AB85" s="8648" t="n"/>
      <c r="AC85" s="3658" t="n"/>
      <c r="AD85" s="3658" t="n"/>
      <c r="AE85" s="4772" t="n"/>
      <c r="AG85" s="7636" t="n"/>
      <c r="AR85" s="665" t="n"/>
      <c r="AS85" s="665" t="n"/>
      <c r="AT85" s="665" t="n"/>
      <c r="AU85" s="665" t="n"/>
      <c r="AV85" s="665" t="n"/>
      <c r="AW85" s="665" t="n"/>
      <c r="AX85" s="665" t="n"/>
      <c r="AY85" s="665" t="n"/>
      <c r="AZ85" s="665" t="n"/>
      <c r="BD85" s="7453" t="n"/>
      <c r="BE85" s="7453" t="n"/>
    </row>
    <row r="86" ht="12.75" customHeight="1" s="7635">
      <c r="A86" s="144" t="n"/>
      <c r="B86" s="3685" t="n"/>
      <c r="C86" s="3706" t="inlineStr">
        <is>
          <t>h</t>
        </is>
      </c>
      <c r="D86" s="3600" t="inlineStr">
        <is>
          <t>If married filing separately, see instructions</t>
        </is>
      </c>
      <c r="E86" s="3715" t="n"/>
      <c r="F86" s="3715" t="n"/>
      <c r="G86" s="2755" t="n"/>
      <c r="H86" s="2755" t="n"/>
      <c r="I86" s="2755" t="n"/>
      <c r="J86" s="2755" t="n"/>
      <c r="K86" s="2755" t="n"/>
      <c r="L86" s="2755" t="n"/>
      <c r="M86" s="3663" t="n"/>
      <c r="N86" s="3702" t="n"/>
      <c r="O86" s="3624" t="n"/>
      <c r="P86" s="3624" t="n"/>
      <c r="Q86" s="3624" t="n"/>
      <c r="R86" s="3624" t="n"/>
      <c r="S86" s="3624" t="n"/>
      <c r="T86" s="3714" t="n"/>
      <c r="U86" s="3628" t="n"/>
      <c r="V86" s="9611" t="inlineStr">
        <is>
          <t>purposes of claiming</t>
        </is>
      </c>
      <c r="X86" s="3540" t="n"/>
      <c r="Y86" s="3540" t="n"/>
      <c r="Z86" s="3540" t="n"/>
      <c r="AA86" s="3597" t="n"/>
      <c r="AB86" s="8648" t="n"/>
      <c r="AD86" s="3658" t="n"/>
      <c r="AE86" s="4772" t="n"/>
      <c r="AG86" s="7636" t="n"/>
      <c r="BB86" s="9864" t="n"/>
      <c r="BC86" s="9864" t="n"/>
      <c r="BD86" s="7623" t="n"/>
      <c r="BE86" s="7623" t="n"/>
      <c r="BF86" s="9864" t="n"/>
    </row>
    <row r="87" ht="12.75" customHeight="1" s="7635">
      <c r="A87" s="139" t="n"/>
      <c r="B87" s="3685" t="n"/>
      <c r="C87" s="3706" t="inlineStr">
        <is>
          <t>h</t>
        </is>
      </c>
      <c r="D87" s="3600" t="inlineStr">
        <is>
          <t>All others, enter the amount from line 18.</t>
        </is>
      </c>
      <c r="E87" s="3715" t="n"/>
      <c r="F87" s="3715" t="n"/>
      <c r="G87" s="3097" t="n"/>
      <c r="H87" s="2755" t="n"/>
      <c r="I87" s="2755" t="n"/>
      <c r="J87" s="2755" t="n"/>
      <c r="K87" s="2755" t="n"/>
      <c r="L87" s="2755" t="n"/>
      <c r="M87" s="2755" t="n"/>
      <c r="N87" s="3702" t="n"/>
      <c r="O87" s="3716" t="n"/>
      <c r="P87" s="3716" t="n"/>
      <c r="Q87" s="3716" t="n"/>
      <c r="R87" s="3716" t="n"/>
      <c r="S87" s="3716" t="n"/>
      <c r="T87" s="3717" t="n"/>
      <c r="U87" s="3628" t="n"/>
      <c r="V87" s="9611" t="inlineStr">
        <is>
          <t>the credit on</t>
        </is>
      </c>
      <c r="X87" s="3540" t="n"/>
      <c r="Y87" s="3540" t="n"/>
      <c r="Z87" s="3540" t="n"/>
      <c r="AA87" s="3597" t="n"/>
      <c r="AD87" s="3658" t="n"/>
      <c r="AE87" s="3614" t="n"/>
      <c r="AF87" s="7637" t="n"/>
      <c r="AG87" s="7638" t="n"/>
    </row>
    <row r="88" ht="15.75" customHeight="1" s="7635">
      <c r="A88" s="139" t="n"/>
      <c r="B88" s="3617" t="n">
        <v>20</v>
      </c>
      <c r="C88" s="3600" t="inlineStr">
        <is>
          <t>Enter the smallest of line 17, 18, or 19</t>
        </is>
      </c>
      <c r="D88" s="8647" t="n"/>
      <c r="E88" s="8647" t="n"/>
      <c r="F88" s="8647" t="n"/>
      <c r="G88" s="2755" t="n"/>
      <c r="H88" s="2755" t="n"/>
      <c r="I88" s="2755" t="n"/>
      <c r="J88" s="2755" t="n"/>
      <c r="K88" s="2755" t="n"/>
      <c r="L88" s="8374" t="inlineStr">
        <is>
          <t xml:space="preserve">.   .   .   .   .   .   .   .   .   . </t>
        </is>
      </c>
      <c r="M88" s="3718" t="n"/>
      <c r="N88" s="3659" t="n">
        <v>20</v>
      </c>
      <c r="O88" s="9605">
        <f>IF(OR(M25&lt;&gt;"",M27=""),"",MIN(O79,O80,O85))</f>
        <v/>
      </c>
      <c r="P88" s="7637" t="n"/>
      <c r="Q88" s="7637" t="n"/>
      <c r="R88" s="7637" t="n"/>
      <c r="S88" s="7637" t="n"/>
      <c r="T88" s="7638" t="n"/>
      <c r="U88" s="3628" t="n"/>
      <c r="V88" s="9611" t="inlineStr">
        <is>
          <t>Form 2441.</t>
        </is>
      </c>
      <c r="X88" s="3540" t="n"/>
      <c r="Y88" s="3540" t="n"/>
      <c r="Z88" s="3540" t="n"/>
      <c r="AA88" s="3597" t="n"/>
      <c r="AD88" s="3658" t="n"/>
      <c r="AE88" s="3658" t="n"/>
      <c r="AF88" s="3658" t="n"/>
      <c r="AG88" s="3658" t="n"/>
    </row>
    <row r="89" ht="15.75" customHeight="1" s="7635">
      <c r="A89" s="139" t="n"/>
      <c r="B89" s="3617" t="n">
        <v>21</v>
      </c>
      <c r="C89" s="3600">
        <f>"Enter "&amp;TEXT(V89,"$0,000")&amp;" ("&amp;TEXT(V90,"$0,000")&amp;" if married"</f>
        <v/>
      </c>
      <c r="D89" s="8647" t="n"/>
      <c r="E89" s="8647" t="n"/>
      <c r="F89" s="8647" t="n"/>
      <c r="G89" s="2755" t="n"/>
      <c r="H89" s="2755" t="n"/>
      <c r="I89" s="3600" t="inlineStr">
        <is>
          <t xml:space="preserve"> filing separately and you were</t>
        </is>
      </c>
      <c r="J89" s="2755" t="n"/>
      <c r="K89" s="2755" t="n"/>
      <c r="L89" s="2755" t="n"/>
      <c r="M89" s="3718" t="n"/>
      <c r="N89" s="3702" t="n"/>
      <c r="O89" s="8374" t="n"/>
      <c r="P89" s="8374" t="n"/>
      <c r="Q89" s="8374" t="n"/>
      <c r="R89" s="8374" t="n"/>
      <c r="S89" s="8374" t="n"/>
      <c r="T89" s="8374" t="n"/>
      <c r="U89" s="3628" t="n"/>
      <c r="V89" s="393" t="n">
        <v>5000</v>
      </c>
      <c r="W89" s="1671" t="n"/>
      <c r="X89" s="3540" t="n"/>
      <c r="Y89" s="3540" t="n"/>
      <c r="Z89" s="3540" t="n"/>
      <c r="AA89" s="3597" t="n"/>
      <c r="AE89" s="3658" t="n"/>
      <c r="AF89" s="3658" t="n"/>
      <c r="AG89" s="3658" t="n"/>
    </row>
    <row r="90" ht="15" customHeight="1" s="7635">
      <c r="A90" s="139" t="n"/>
      <c r="B90" s="3632" t="n"/>
      <c r="C90" s="3600" t="inlineStr">
        <is>
          <t xml:space="preserve">required to enter spouse’s earned income on line 19). </t>
        </is>
      </c>
      <c r="D90" s="8647" t="n"/>
      <c r="E90" s="8647" t="n"/>
      <c r="F90" s="8647" t="n"/>
      <c r="G90" s="2755" t="n"/>
      <c r="H90" s="2755" t="n"/>
      <c r="I90" s="2755" t="n"/>
      <c r="J90" s="2755" t="n"/>
      <c r="K90" s="2755" t="n"/>
      <c r="L90" s="2755" t="n"/>
      <c r="M90" s="3718" t="n"/>
      <c r="N90" s="3702" t="n"/>
      <c r="O90" s="8374" t="n"/>
      <c r="P90" s="8374" t="n"/>
      <c r="Q90" s="8374" t="n"/>
      <c r="R90" s="8374" t="n"/>
      <c r="S90" s="8374" t="n"/>
      <c r="T90" s="8374" t="n"/>
      <c r="U90" s="3628" t="n"/>
      <c r="V90" s="393" t="n">
        <v>2500</v>
      </c>
      <c r="W90" s="1671" t="n"/>
      <c r="X90" s="3540" t="n"/>
      <c r="Y90" s="3540" t="n"/>
      <c r="Z90" s="3540" t="n"/>
      <c r="AA90" s="3597" t="n"/>
      <c r="AE90" s="3658" t="n"/>
      <c r="AF90" s="3658" t="n"/>
      <c r="AG90" s="3658" t="n"/>
    </row>
    <row r="91" ht="15.75" customHeight="1" s="7635" thickBot="1">
      <c r="A91" s="139" t="n"/>
      <c r="B91" s="3632" t="n"/>
      <c r="C91" s="3600" t="inlineStr">
        <is>
          <t>However, don’t enter more than maximum amount allowed</t>
        </is>
      </c>
      <c r="D91" s="8647" t="n"/>
      <c r="E91" s="8647" t="n"/>
      <c r="F91" s="8647" t="n"/>
      <c r="G91" s="2755" t="n"/>
      <c r="H91" s="2755" t="n"/>
      <c r="I91" s="2755" t="n"/>
      <c r="J91" s="2755" t="n"/>
      <c r="K91" s="2755" t="n"/>
      <c r="L91" s="2755" t="n"/>
      <c r="M91" s="2984" t="n"/>
      <c r="N91" s="3702" t="n"/>
      <c r="O91" s="8374" t="n"/>
      <c r="P91" s="8374" t="n"/>
      <c r="Q91" s="8374" t="n"/>
      <c r="R91" s="8374" t="n"/>
      <c r="S91" s="8374" t="n"/>
      <c r="T91" s="8374" t="n"/>
      <c r="U91" s="3628" t="n"/>
      <c r="V91" s="1670" t="n"/>
      <c r="W91" s="1671" t="n"/>
      <c r="X91" s="3540" t="n"/>
      <c r="Y91" s="3540" t="n"/>
      <c r="Z91" s="3540" t="n"/>
      <c r="AA91" s="8788" t="inlineStr">
        <is>
          <t>Override</t>
        </is>
      </c>
      <c r="AE91" s="3658" t="n"/>
      <c r="AF91" s="3658" t="n"/>
      <c r="AG91" s="3658" t="n"/>
    </row>
    <row r="92" ht="16.5" customHeight="1" s="7635" thickBot="1">
      <c r="A92" s="139" t="n"/>
      <c r="B92" s="3632" t="n"/>
      <c r="C92" s="3600" t="inlineStr">
        <is>
          <t>under your dependent care plan. See instructions</t>
        </is>
      </c>
      <c r="D92" s="8647" t="n"/>
      <c r="E92" s="8647" t="n"/>
      <c r="F92" s="8647" t="n"/>
      <c r="G92" s="2755" t="n"/>
      <c r="H92" s="2755" t="n"/>
      <c r="I92" s="2755" t="n"/>
      <c r="J92" s="2755" t="n"/>
      <c r="K92" s="2755" t="n"/>
      <c r="L92" s="8374" t="n"/>
      <c r="M92" s="2075" t="inlineStr">
        <is>
          <t xml:space="preserve">.   .   .   .   .   . </t>
        </is>
      </c>
      <c r="N92" s="3659" t="n">
        <v>21</v>
      </c>
      <c r="O92" s="9605">
        <f>IF(AA92&lt;&gt;"",ROUND(AA92,0),IF(OR(M25&lt;&gt;"",M27=""),"",IF(AND(File_Marr_Sep&lt;&gt;"",AD19&lt;&gt;""),V90,V89)))</f>
        <v/>
      </c>
      <c r="P92" s="7637" t="n"/>
      <c r="Q92" s="7637" t="n"/>
      <c r="R92" s="7637" t="n"/>
      <c r="S92" s="7637" t="n"/>
      <c r="T92" s="7638" t="n"/>
      <c r="U92" s="3628" t="n"/>
      <c r="V92" s="1670" t="n"/>
      <c r="W92" s="1671" t="n"/>
      <c r="X92" s="3540" t="n"/>
      <c r="Y92" s="3540" t="n"/>
      <c r="Z92" s="3540" t="n"/>
      <c r="AA92" s="438" t="n"/>
      <c r="AE92" s="3658" t="n"/>
      <c r="AF92" s="3658" t="n"/>
      <c r="AG92" s="3658" t="n"/>
    </row>
    <row r="93" ht="16.5" customHeight="1" s="7635" thickBot="1">
      <c r="A93" s="139" t="n"/>
      <c r="B93" s="3617" t="n">
        <v>22</v>
      </c>
      <c r="C93" s="3600" t="inlineStr">
        <is>
          <t>Is any amount on line 12 from your sole proprietorship or partnership?</t>
        </is>
      </c>
      <c r="D93" s="8647" t="n"/>
      <c r="E93" s="8647" t="n"/>
      <c r="F93" s="8647" t="n"/>
      <c r="G93" s="2755" t="n"/>
      <c r="H93" s="2755" t="n"/>
      <c r="I93" s="2755" t="n"/>
      <c r="J93" s="2755" t="n"/>
      <c r="K93" s="2755" t="n"/>
      <c r="L93" s="2755" t="n"/>
      <c r="M93" s="2755" t="n"/>
      <c r="N93" s="2755" t="n"/>
      <c r="O93" s="2755" t="n"/>
      <c r="P93" s="2755" t="n"/>
      <c r="Q93" s="2755" t="n"/>
      <c r="R93" s="2755" t="n"/>
      <c r="S93" s="2755" t="n"/>
      <c r="T93" s="2755" t="n"/>
      <c r="U93" s="3628" t="n"/>
      <c r="V93" s="2756" t="n"/>
      <c r="W93" s="2756" t="n"/>
      <c r="X93" s="3540" t="n"/>
      <c r="Y93" s="3540" t="n"/>
      <c r="Z93" s="3540" t="n"/>
      <c r="AA93" s="3719">
        <f>IF(AND($C$96&lt;&gt;"",File_Marr_Joint&lt;&gt;""),"Enter amount from","")</f>
        <v/>
      </c>
    </row>
    <row r="94" ht="16.5" customHeight="1" s="7635" thickBot="1">
      <c r="A94" s="139" t="n"/>
      <c r="B94" s="3632" t="n"/>
      <c r="C94" s="3720">
        <f>IF(AND(K28="",C96=""),"X","")</f>
        <v/>
      </c>
      <c r="D94" s="3721" t="inlineStr">
        <is>
          <t xml:space="preserve">No.   Enter -0-. </t>
        </is>
      </c>
      <c r="E94" s="3721" t="n"/>
      <c r="F94" s="8647" t="n"/>
      <c r="G94" s="3722" t="n"/>
      <c r="H94" s="3722" t="n"/>
      <c r="I94" s="2755" t="n"/>
      <c r="J94" s="2755" t="n"/>
      <c r="K94" s="2755" t="n"/>
      <c r="L94" s="2755" t="n"/>
      <c r="M94" s="2755" t="n"/>
      <c r="N94" s="2755" t="n"/>
      <c r="O94" s="2755" t="n"/>
      <c r="P94" s="2755" t="n"/>
      <c r="Q94" s="2755" t="n"/>
      <c r="R94" s="2755" t="n"/>
      <c r="S94" s="2755" t="n"/>
      <c r="T94" s="2755" t="n"/>
      <c r="U94" s="3628" t="n"/>
      <c r="V94" s="3723" t="n"/>
      <c r="W94" s="3724" t="n"/>
      <c r="X94" s="3540" t="n"/>
      <c r="Y94" s="3540" t="n"/>
      <c r="Z94" s="3540" t="n"/>
      <c r="AA94" s="3719">
        <f>IF(AND($C$96&lt;&gt;"",File_Marr_Joint&lt;&gt;""),"sole proprietorship.","")</f>
        <v/>
      </c>
    </row>
    <row r="95" ht="7.5" customHeight="1" s="7635" thickBot="1">
      <c r="A95" s="139" t="n"/>
      <c r="B95" s="3632" t="n"/>
      <c r="C95" s="8647" t="n"/>
      <c r="D95" s="8647" t="n"/>
      <c r="E95" s="8647" t="n"/>
      <c r="F95" s="8647" t="n"/>
      <c r="G95" s="3722" t="n"/>
      <c r="H95" s="3722" t="n"/>
      <c r="I95" s="2755" t="n"/>
      <c r="J95" s="2755" t="n"/>
      <c r="K95" s="2755" t="n"/>
      <c r="L95" s="2755" t="n"/>
      <c r="M95" s="2755" t="n"/>
      <c r="N95" s="2755" t="n"/>
      <c r="O95" s="2755" t="n"/>
      <c r="P95" s="2755" t="n"/>
      <c r="Q95" s="2755" t="n"/>
      <c r="R95" s="2755" t="n"/>
      <c r="S95" s="2755" t="n"/>
      <c r="T95" s="2755" t="n"/>
      <c r="U95" s="3725" t="n"/>
      <c r="V95" s="3723" t="n"/>
      <c r="W95" s="3724" t="n"/>
      <c r="X95" s="3540" t="n"/>
      <c r="Y95" s="3540" t="n"/>
      <c r="Z95" s="3540" t="n"/>
      <c r="AA95" s="3719" t="n"/>
      <c r="AE95" s="12409" t="inlineStr">
        <is>
          <t>Lines 27 through 31 
If you are reporting dependent care benefits in Part III of the form, you will need to complete lines 27 through 31 if you are also claiming the credit for child and dependent care expenses in Part II of the form.</t>
        </is>
      </c>
      <c r="AF95" s="7839" t="n"/>
      <c r="AG95" s="7839" t="n"/>
      <c r="AH95" s="7839" t="n"/>
      <c r="AI95" s="10091" t="n"/>
      <c r="BA95" s="658" t="n"/>
      <c r="BB95" s="658" t="n"/>
      <c r="BF95" s="7453" t="n"/>
      <c r="BG95" s="7453" t="n"/>
    </row>
    <row r="96" ht="16.5" customHeight="1" s="7635" thickBot="1">
      <c r="A96" s="139" t="n"/>
      <c r="B96" s="3685" t="n"/>
      <c r="C96" s="282" t="n"/>
      <c r="D96" s="3721" t="inlineStr">
        <is>
          <t>Yes.   Enter the amount here</t>
        </is>
      </c>
      <c r="E96" s="3721" t="n"/>
      <c r="F96" s="8647" t="n"/>
      <c r="G96" s="2755" t="n"/>
      <c r="H96" s="2755" t="n"/>
      <c r="I96" s="2755" t="n"/>
      <c r="J96" s="2755" t="n"/>
      <c r="K96" s="2755" t="n"/>
      <c r="L96" s="2755" t="n"/>
      <c r="M96" s="2755" t="n"/>
      <c r="N96" s="2755" t="n"/>
      <c r="O96" s="2755" t="n"/>
      <c r="P96" s="2755" t="n"/>
      <c r="Q96" s="2755" t="n"/>
      <c r="R96" s="2755" t="n"/>
      <c r="S96" s="2755" t="n"/>
      <c r="T96" s="2075" t="inlineStr">
        <is>
          <t xml:space="preserve">.   .   .   .   .   .   .   .   .   .   .   .   .   .   .   .   .   .   .   .   .   . </t>
        </is>
      </c>
      <c r="U96" s="3621">
        <f>B93</f>
        <v/>
      </c>
      <c r="V96" s="9608">
        <f>IF(OR(M25&lt;&gt;"",M27=""),"",IF(C94&lt;&gt;"",0,ROUND(AA96,0)))</f>
        <v/>
      </c>
      <c r="W96" s="7637" t="n"/>
      <c r="X96" s="3540" t="n"/>
      <c r="Y96" s="3540" t="n"/>
      <c r="Z96" s="3540" t="n"/>
      <c r="AA96" s="3726" t="n"/>
      <c r="AE96" s="4772" t="n"/>
      <c r="AI96" s="7636" t="n"/>
      <c r="BA96" s="658" t="n"/>
      <c r="BB96" s="658" t="n"/>
      <c r="BF96" s="7453" t="n"/>
      <c r="BG96" s="7453" t="n"/>
    </row>
    <row r="97" ht="15.75" customHeight="1" s="7635">
      <c r="A97" s="139" t="n"/>
      <c r="B97" s="3617" t="n">
        <v>23</v>
      </c>
      <c r="C97" s="3600" t="inlineStr">
        <is>
          <t>Subtract line 22 from line 15</t>
        </is>
      </c>
      <c r="D97" s="8647" t="n"/>
      <c r="E97" s="8647" t="n"/>
      <c r="F97" s="8647" t="n"/>
      <c r="G97" s="2755" t="n"/>
      <c r="H97" s="2755" t="n"/>
      <c r="I97" s="2755" t="n"/>
      <c r="J97" s="2755" t="n"/>
      <c r="K97" s="2755" t="n"/>
      <c r="L97" s="8374" t="inlineStr">
        <is>
          <t xml:space="preserve">.   .   .   .   .   .   .   .   .   .   .   .   .   .   .   . </t>
        </is>
      </c>
      <c r="M97" s="3718" t="n"/>
      <c r="N97" s="3659" t="n">
        <v>23</v>
      </c>
      <c r="O97" s="9605">
        <f>IF(OR(M25&lt;&gt;"",M27=""),"",SUM(V76,-V96))</f>
        <v/>
      </c>
      <c r="P97" s="7637" t="n"/>
      <c r="Q97" s="7637" t="n"/>
      <c r="R97" s="7637" t="n"/>
      <c r="S97" s="7637" t="n"/>
      <c r="T97" s="7638" t="n"/>
      <c r="U97" s="3628" t="n"/>
      <c r="V97" s="2756" t="n"/>
      <c r="W97" s="2756" t="n"/>
      <c r="X97" s="3540" t="n"/>
      <c r="Y97" s="3540" t="n"/>
      <c r="Z97" s="3540" t="n"/>
      <c r="AA97" s="3597" t="n"/>
      <c r="AE97" s="4772" t="n"/>
      <c r="AI97" s="7636" t="n"/>
      <c r="BA97" s="658" t="n"/>
      <c r="BB97" s="658" t="n"/>
      <c r="BF97" s="7453" t="n"/>
      <c r="BG97" s="7453" t="n"/>
    </row>
    <row r="98" ht="13.5" customHeight="1" s="7635">
      <c r="A98" s="139" t="n"/>
      <c r="B98" s="3617" t="n">
        <v>24</v>
      </c>
      <c r="C98" s="3574" t="inlineStr">
        <is>
          <t>Deductible benefits. Enter the smallest of line 20, 21, or 22. Also, include this amount</t>
        </is>
      </c>
      <c r="D98" s="3097" t="n"/>
      <c r="E98" s="3097" t="n"/>
      <c r="F98" s="3097" t="n"/>
      <c r="G98" s="2755" t="n"/>
      <c r="H98" s="2755" t="n"/>
      <c r="I98" s="2755" t="n"/>
      <c r="J98" s="2755" t="n"/>
      <c r="K98" s="2755" t="n"/>
      <c r="L98" s="2755" t="n"/>
      <c r="M98" s="2755" t="n"/>
      <c r="N98" s="2755" t="n"/>
      <c r="O98" s="2755" t="n"/>
      <c r="P98" s="2755" t="n"/>
      <c r="Q98" s="2755" t="n"/>
      <c r="R98" s="2755" t="n"/>
      <c r="S98" s="2755" t="n"/>
      <c r="T98" s="2755" t="n"/>
      <c r="U98" s="3628" t="n"/>
      <c r="V98" s="3727" t="n"/>
      <c r="W98" s="3728" t="n"/>
      <c r="X98" s="3540" t="n"/>
      <c r="Y98" s="3540" t="n"/>
      <c r="Z98" s="3540" t="n"/>
      <c r="AA98" s="3597" t="n"/>
      <c r="AE98" s="4772" t="n"/>
      <c r="AI98" s="7636" t="n"/>
      <c r="BA98" s="658" t="n"/>
      <c r="BB98" s="658" t="n"/>
      <c r="BF98" s="7453" t="n"/>
      <c r="BG98" s="7453" t="n"/>
    </row>
    <row r="99" ht="13.5" customHeight="1" s="7635">
      <c r="A99" s="139" t="n"/>
      <c r="B99" s="3619" t="n"/>
      <c r="C99" s="3600" t="inlineStr">
        <is>
          <t>on the appropriate line(s) of your return. See instructions</t>
        </is>
      </c>
      <c r="D99" s="8647" t="n"/>
      <c r="E99" s="8647" t="n"/>
      <c r="F99" s="8647" t="n"/>
      <c r="G99" s="2755" t="n"/>
      <c r="H99" s="2755" t="n"/>
      <c r="I99" s="2755" t="n"/>
      <c r="J99" s="2755" t="n"/>
      <c r="K99" s="2755" t="n"/>
      <c r="L99" s="2755" t="n"/>
      <c r="M99" s="2755" t="n"/>
      <c r="N99" s="2755" t="n"/>
      <c r="O99" s="2755" t="n"/>
      <c r="P99" s="2755" t="n"/>
      <c r="Q99" s="2755" t="n"/>
      <c r="R99" s="2755" t="n"/>
      <c r="S99" s="2755" t="n"/>
      <c r="T99" s="8374" t="inlineStr">
        <is>
          <t xml:space="preserve">.   .   .   .   .   .   .   .   .   .   .   .   . </t>
        </is>
      </c>
      <c r="U99" s="3621">
        <f>B98</f>
        <v/>
      </c>
      <c r="V99" s="9608">
        <f>IF(OR(M25&lt;&gt;"",M27=""),"",MIN(O88,O92,V96))</f>
        <v/>
      </c>
      <c r="W99" s="7637" t="n"/>
      <c r="X99" s="3540" t="n"/>
      <c r="Y99" s="3540" t="n"/>
      <c r="Z99" s="3540" t="n"/>
      <c r="AA99" s="3597" t="n"/>
      <c r="AE99" s="3614" t="n"/>
      <c r="AF99" s="7637" t="n"/>
      <c r="AG99" s="7637" t="n"/>
      <c r="AH99" s="7637" t="n"/>
      <c r="AI99" s="7638" t="n"/>
      <c r="BA99" s="658" t="n"/>
      <c r="BB99" s="658" t="n"/>
      <c r="BF99" s="7453" t="n"/>
      <c r="BG99" s="7453" t="n"/>
    </row>
    <row r="100" ht="16.5" customHeight="1" s="7635" thickBot="1">
      <c r="A100" s="139" t="n"/>
      <c r="B100" s="3617" t="n">
        <v>25</v>
      </c>
      <c r="C100" s="3721" t="inlineStr">
        <is>
          <t>Excluded benefits.  If you checked "No" on line 22, enter the smaller of line 20 or 21.</t>
        </is>
      </c>
      <c r="D100" s="2755" t="n"/>
      <c r="E100" s="2755" t="n"/>
      <c r="F100" s="2755" t="n"/>
      <c r="G100" s="2755" t="n"/>
      <c r="H100" s="2755" t="n"/>
      <c r="I100" s="2755" t="n"/>
      <c r="J100" s="2755" t="n"/>
      <c r="K100" s="2755" t="n"/>
      <c r="L100" s="8374" t="n"/>
      <c r="M100" s="2755" t="n"/>
      <c r="N100" s="2755" t="n"/>
      <c r="O100" s="3729" t="n"/>
      <c r="P100" s="3730" t="n"/>
      <c r="Q100" s="3730" t="n"/>
      <c r="R100" s="3730" t="n"/>
      <c r="S100" s="3730" t="n"/>
      <c r="T100" s="3731" t="n"/>
      <c r="U100" s="3732" t="n"/>
      <c r="V100" s="2756" t="n"/>
      <c r="W100" s="2756" t="n"/>
      <c r="X100" s="3540" t="n"/>
      <c r="Y100" s="3540" t="n"/>
      <c r="Z100" s="3540" t="n"/>
      <c r="AA100" s="8788" t="inlineStr">
        <is>
          <t>Override</t>
        </is>
      </c>
    </row>
    <row r="101" ht="13.5" customHeight="1" s="7635" thickBot="1">
      <c r="A101" s="139" t="n"/>
      <c r="B101" s="3617" t="n"/>
      <c r="C101" s="3721" t="inlineStr">
        <is>
          <t>Otherwise, subtract line 24 from the smaller of line 20 or line 21. If zero or less, enter -0-.</t>
        </is>
      </c>
      <c r="D101" s="3097" t="n"/>
      <c r="E101" s="3097" t="n"/>
      <c r="F101" s="3097" t="n"/>
      <c r="G101" s="2755" t="n"/>
      <c r="H101" s="2755" t="n"/>
      <c r="I101" s="2755" t="n"/>
      <c r="J101" s="2755" t="n"/>
      <c r="K101" s="2755" t="n"/>
      <c r="L101" s="2755" t="n"/>
      <c r="M101" s="2755" t="n"/>
      <c r="N101" s="2755" t="n"/>
      <c r="O101" s="2755" t="n"/>
      <c r="P101" s="2755" t="n"/>
      <c r="Q101" s="2755" t="n"/>
      <c r="R101" s="2755" t="n"/>
      <c r="S101" s="2755" t="n"/>
      <c r="T101" s="2755" t="n"/>
      <c r="U101" s="3621">
        <f>B100</f>
        <v/>
      </c>
      <c r="V101" s="9608">
        <f>IF(AA101&lt;&gt;"",AA101,IF(OR(M25&lt;&gt;"",M27=""),"",IF(AND(C94="",C96=""),"",IF(C94&lt;&gt;"",MIN(O88,O92),IF(SUM(MIN(O88,O92),-V99)&lt;0,0,SUM(MIN(O88,O92),-V99))))))</f>
        <v/>
      </c>
      <c r="W101" s="7637" t="n"/>
      <c r="X101" s="3540" t="n"/>
      <c r="Y101" s="3540" t="n"/>
      <c r="Z101" s="3540" t="n"/>
      <c r="AA101" s="438" t="n"/>
    </row>
    <row r="102" ht="15.75" customHeight="1" s="7635" thickBot="1">
      <c r="A102" s="139" t="n"/>
      <c r="B102" s="3617" t="n">
        <v>26</v>
      </c>
      <c r="C102" s="2985" t="inlineStr">
        <is>
          <t>Taxable benefits. Subtract line 25 from line 23. If zero or less, enter -0-. Also, enter this amount</t>
        </is>
      </c>
      <c r="D102" s="2754" t="n"/>
      <c r="E102" s="2754" t="n"/>
      <c r="F102" s="2754" t="n"/>
      <c r="G102" s="2755" t="n"/>
      <c r="H102" s="2755" t="n"/>
      <c r="I102" s="2755" t="n"/>
      <c r="J102" s="2755" t="n"/>
      <c r="K102" s="2755" t="n"/>
      <c r="L102" s="2755" t="n"/>
      <c r="M102" s="2755" t="n"/>
      <c r="N102" s="2755" t="n"/>
      <c r="O102" s="2755" t="n"/>
      <c r="P102" s="2755" t="n"/>
      <c r="Q102" s="2755" t="n"/>
      <c r="R102" s="2755" t="n"/>
      <c r="S102" s="2755" t="n"/>
      <c r="T102" s="2755" t="n"/>
      <c r="U102" s="3628" t="n"/>
      <c r="V102" s="3624" t="n"/>
      <c r="W102" s="3624" t="n"/>
      <c r="X102" s="3540" t="n"/>
      <c r="Y102" s="3540" t="n"/>
      <c r="Z102" s="3540" t="n"/>
      <c r="AA102" s="3597" t="n"/>
    </row>
    <row r="103" ht="15.75" customHeight="1" s="7635" thickBot="1">
      <c r="A103" s="139" t="n"/>
      <c r="B103" s="3733" t="n"/>
      <c r="C103" s="3564" t="inlineStr">
        <is>
          <t>on Form 1040, 1040-SR or 1040-NR, line 1e</t>
        </is>
      </c>
      <c r="D103" s="3109" t="n"/>
      <c r="E103" s="3109" t="n"/>
      <c r="F103" s="3109" t="n"/>
      <c r="G103" s="3565" t="n"/>
      <c r="H103" s="3565" t="n"/>
      <c r="I103" s="3565" t="n"/>
      <c r="J103" s="3565" t="n"/>
      <c r="K103" s="3565" t="n"/>
      <c r="L103" s="3565" t="n"/>
      <c r="M103" s="3565" t="n"/>
      <c r="N103" s="3565" t="n"/>
      <c r="O103" s="3565" t="n"/>
      <c r="P103" s="3565" t="n"/>
      <c r="Q103" s="3565" t="n"/>
      <c r="R103" s="3565" t="n"/>
      <c r="S103" s="3565" t="n"/>
      <c r="T103" s="3610" t="inlineStr">
        <is>
          <t xml:space="preserve">.   .   .   .   .   .   .   .   .   .   .   .   .   .   .   .   .   .   .   .   .  </t>
        </is>
      </c>
      <c r="U103" s="3659">
        <f>B102</f>
        <v/>
      </c>
      <c r="V103" s="9608">
        <f>IF(AA103&lt;&gt;"",ROUND(AA103,0),IF(OR(AND(File_Marr_Sep&lt;&gt;"",$AD$19&lt;&gt;""),AND(C94="",C96="")),"",IF(OR(M25&lt;&gt;"",M27=""),"",IF(SUM(O97,-V101)&lt;0,0,SUM(O97,-V101)))))</f>
        <v/>
      </c>
      <c r="W103" s="7637" t="n"/>
      <c r="X103" s="3540" t="n"/>
      <c r="Y103" s="3540" t="n"/>
      <c r="Z103" s="3540" t="n"/>
      <c r="AA103" s="438" t="n"/>
    </row>
    <row r="104" ht="9" customHeight="1" s="7635">
      <c r="A104" s="139" t="n"/>
      <c r="B104" s="2755" t="n"/>
      <c r="C104" s="2755" t="n"/>
      <c r="D104" s="2755" t="n"/>
      <c r="E104" s="2755" t="n"/>
      <c r="F104" s="2755" t="n"/>
      <c r="G104" s="2755" t="n"/>
      <c r="H104" s="2755" t="n"/>
      <c r="I104" s="2755" t="n"/>
      <c r="J104" s="2755" t="n"/>
      <c r="K104" s="2755" t="n"/>
      <c r="L104" s="2755" t="n"/>
      <c r="M104" s="2755" t="n"/>
      <c r="N104" s="2755" t="n"/>
      <c r="O104" s="2755" t="n"/>
      <c r="P104" s="2755" t="n"/>
      <c r="Q104" s="2755" t="n"/>
      <c r="R104" s="2755" t="n"/>
      <c r="S104" s="2755" t="n"/>
      <c r="T104" s="2755" t="n"/>
      <c r="U104" s="2755" t="n"/>
      <c r="V104" s="2756" t="n"/>
      <c r="W104" s="2756" t="n"/>
      <c r="X104" s="3540" t="n"/>
      <c r="Y104" s="3540" t="n"/>
      <c r="Z104" s="3540" t="n"/>
      <c r="AA104" s="3597" t="n"/>
    </row>
    <row r="105" ht="15" customHeight="1" s="7635">
      <c r="A105" s="139" t="n"/>
      <c r="B105" s="2755" t="inlineStr">
        <is>
          <t xml:space="preserve"> </t>
        </is>
      </c>
      <c r="C105" s="2755" t="n"/>
      <c r="D105" s="2755" t="n"/>
      <c r="E105" s="2755" t="n"/>
      <c r="F105" s="2755" t="n"/>
      <c r="G105" s="2755" t="n"/>
      <c r="H105" s="2755" t="n"/>
      <c r="I105" s="2755" t="n"/>
      <c r="J105" s="3600" t="n"/>
      <c r="K105" s="2755" t="n"/>
      <c r="L105" s="3734" t="inlineStr">
        <is>
          <t>To claim the child and dependent care credit,</t>
        </is>
      </c>
      <c r="M105" s="2755" t="n"/>
      <c r="N105" s="2755" t="n"/>
      <c r="O105" s="2755" t="n"/>
      <c r="P105" s="2755" t="n"/>
      <c r="Q105" s="2755" t="n"/>
      <c r="R105" s="2755" t="n"/>
      <c r="S105" s="2755" t="n"/>
      <c r="T105" s="2755" t="n"/>
      <c r="U105" s="2755" t="n"/>
      <c r="V105" s="2756" t="n"/>
      <c r="W105" s="2756" t="n"/>
      <c r="X105" s="3540" t="n"/>
      <c r="Y105" s="3540" t="n"/>
      <c r="Z105" s="3540" t="n"/>
      <c r="AA105" s="3597" t="n"/>
      <c r="AC105" s="9864" t="n"/>
      <c r="AD105" s="9864" t="n"/>
    </row>
    <row r="106" ht="15" customHeight="1" s="7635">
      <c r="A106" s="139" t="n"/>
      <c r="B106" s="8647" t="n"/>
      <c r="C106" s="2755" t="n"/>
      <c r="D106" s="2755" t="n"/>
      <c r="E106" s="2755" t="n"/>
      <c r="F106" s="2755" t="n"/>
      <c r="G106" s="2755" t="n"/>
      <c r="H106" s="2755" t="n"/>
      <c r="I106" s="2755" t="n"/>
      <c r="J106" s="3600" t="n"/>
      <c r="K106" s="2755" t="n"/>
      <c r="L106" s="3734" t="inlineStr">
        <is>
          <t>complete lines 27 through 31 below.</t>
        </is>
      </c>
      <c r="M106" s="2755" t="n"/>
      <c r="N106" s="2755" t="n"/>
      <c r="O106" s="2755" t="n"/>
      <c r="P106" s="2755" t="n"/>
      <c r="Q106" s="2755" t="n"/>
      <c r="R106" s="2755" t="n"/>
      <c r="S106" s="2755" t="n"/>
      <c r="T106" s="2755" t="n"/>
      <c r="U106" s="2755" t="n"/>
      <c r="V106" s="2756" t="n"/>
      <c r="W106" s="2756" t="n"/>
      <c r="X106" s="3540" t="n"/>
      <c r="Y106" s="3540" t="n"/>
      <c r="Z106" s="3540" t="n"/>
      <c r="AA106" s="9535" t="inlineStr">
        <is>
          <t>Override</t>
        </is>
      </c>
    </row>
    <row r="107" ht="6" customHeight="1" s="7635" thickBot="1">
      <c r="A107" s="139" t="n"/>
      <c r="B107" s="3565" t="n"/>
      <c r="C107" s="3565" t="n"/>
      <c r="D107" s="3565" t="n"/>
      <c r="E107" s="3565" t="n"/>
      <c r="F107" s="3565" t="n"/>
      <c r="G107" s="3565" t="n"/>
      <c r="H107" s="3565" t="n"/>
      <c r="I107" s="3565" t="n"/>
      <c r="J107" s="3565" t="n"/>
      <c r="K107" s="3565" t="n"/>
      <c r="L107" s="3565" t="n"/>
      <c r="M107" s="3565" t="n"/>
      <c r="N107" s="3565" t="n"/>
      <c r="O107" s="3565" t="n"/>
      <c r="P107" s="3565" t="n"/>
      <c r="Q107" s="3565" t="n"/>
      <c r="R107" s="3565" t="n"/>
      <c r="S107" s="3565" t="n"/>
      <c r="T107" s="3565" t="n"/>
      <c r="U107" s="3565" t="n"/>
      <c r="V107" s="2756" t="n"/>
      <c r="W107" s="2756" t="n"/>
      <c r="X107" s="3540" t="n"/>
      <c r="Y107" s="3540" t="n"/>
      <c r="Z107" s="3540" t="n"/>
      <c r="AA107" s="8848" t="n"/>
    </row>
    <row r="108" ht="15" customHeight="1" s="7635" thickBot="1">
      <c r="A108" s="139" t="n"/>
      <c r="B108" s="3632" t="n">
        <v>27</v>
      </c>
      <c r="C108" s="8651">
        <f>"Enter "&amp;TEXT(AB41,"$0,000")&amp;" ("&amp;TEXT(AB42,"$0,000")&amp;" if two or more qualifying persons)"</f>
        <v/>
      </c>
      <c r="D108" s="2755" t="n"/>
      <c r="E108" s="2755" t="n"/>
      <c r="F108" s="2755" t="n"/>
      <c r="G108" s="2755" t="n"/>
      <c r="H108" s="2755" t="n"/>
      <c r="I108" s="2755" t="n"/>
      <c r="J108" s="2755" t="n"/>
      <c r="K108" s="2755" t="n"/>
      <c r="L108" s="2755" t="n"/>
      <c r="M108" s="2755" t="n"/>
      <c r="N108" s="8374" t="n"/>
      <c r="O108" s="8679" t="n"/>
      <c r="P108" s="8679" t="n"/>
      <c r="Q108" s="8679" t="n"/>
      <c r="R108" s="8679" t="n"/>
      <c r="S108" s="8679" t="n"/>
      <c r="T108" s="8374" t="inlineStr">
        <is>
          <t xml:space="preserve">.   .   .   .   .   .   .   .   .   .   .   .   .   .   . </t>
        </is>
      </c>
      <c r="U108" s="2773">
        <f>B108</f>
        <v/>
      </c>
      <c r="V108" s="9631">
        <f>IF(AA108&lt;&gt;"",AA108,IF(OR(M25&lt;&gt;"",M27=""),"",IF(X41&gt;1,AB42,AB41)))</f>
        <v/>
      </c>
      <c r="W108" s="8412" t="n"/>
      <c r="X108" s="3540" t="n"/>
      <c r="Y108" s="3540" t="n"/>
      <c r="Z108" s="3540" t="n"/>
      <c r="AA108" s="438" t="n"/>
    </row>
    <row r="109" ht="15.75" customHeight="1" s="7635">
      <c r="A109" s="139" t="n"/>
      <c r="B109" s="3632" t="n">
        <v>28</v>
      </c>
      <c r="C109" s="8651" t="inlineStr">
        <is>
          <t>Add lines 24 and 25</t>
        </is>
      </c>
      <c r="D109" s="2755" t="n"/>
      <c r="E109" s="2755" t="n"/>
      <c r="F109" s="2755" t="n"/>
      <c r="G109" s="2755" t="n"/>
      <c r="H109" s="2755" t="n"/>
      <c r="I109" s="2755" t="n"/>
      <c r="J109" s="2755" t="n"/>
      <c r="K109" s="2755" t="n"/>
      <c r="L109" s="2755" t="n"/>
      <c r="M109" s="2755" t="n"/>
      <c r="N109" s="8374" t="n"/>
      <c r="O109" s="2755" t="n"/>
      <c r="P109" s="2755" t="n"/>
      <c r="Q109" s="2755" t="n"/>
      <c r="R109" s="2755" t="n"/>
      <c r="S109" s="2755" t="n"/>
      <c r="T109" s="8374" t="inlineStr">
        <is>
          <t xml:space="preserve">.   .   .   .   .   .   .   .   .   .   .   .   .   .   .   .   .   .   .   .   .   .   .   .   .   .   .   .   .   .   .   .   . </t>
        </is>
      </c>
      <c r="U109" s="2773">
        <f>B109</f>
        <v/>
      </c>
      <c r="V109" s="9631">
        <f>IF(OR(M25&lt;&gt;"",M27=""),"",SUM(V99,V101))</f>
        <v/>
      </c>
      <c r="W109" s="8412" t="n"/>
      <c r="X109" s="3540" t="n"/>
      <c r="Y109" s="3540" t="n"/>
      <c r="Z109" s="3540" t="n"/>
      <c r="AA109" s="3597" t="n"/>
    </row>
    <row r="110" ht="15.75" customHeight="1" s="7635" thickBot="1">
      <c r="A110" s="139" t="n"/>
      <c r="B110" s="3632" t="n">
        <v>29</v>
      </c>
      <c r="C110" s="3686" t="inlineStr">
        <is>
          <t>Subtract line 28 from line 27.</t>
        </is>
      </c>
      <c r="D110" s="2755" t="n"/>
      <c r="E110" s="2755" t="n"/>
      <c r="F110" s="2755" t="n"/>
      <c r="G110" s="2755" t="n"/>
      <c r="H110" s="2755" t="n"/>
      <c r="I110" s="3686" t="inlineStr">
        <is>
          <t>If zero or less, stop.    You can't take the credit.</t>
        </is>
      </c>
      <c r="J110" s="3686" t="n"/>
      <c r="K110" s="2755" t="n"/>
      <c r="L110" s="2755" t="n"/>
      <c r="M110" s="2755" t="n"/>
      <c r="N110" s="2755" t="n"/>
      <c r="O110" s="2755" t="n"/>
      <c r="P110" s="2755" t="n"/>
      <c r="Q110" s="2755" t="n"/>
      <c r="R110" s="2755" t="n"/>
      <c r="S110" s="2755" t="n"/>
      <c r="T110" s="2755" t="n"/>
      <c r="U110" s="3735" t="n"/>
      <c r="V110" s="3624" t="n"/>
      <c r="W110" s="3624" t="n"/>
      <c r="X110" s="3540" t="n"/>
      <c r="Y110" s="3540" t="n"/>
      <c r="Z110" s="3540" t="n"/>
      <c r="AA110" s="3597" t="n"/>
    </row>
    <row r="111" ht="15.75" customHeight="1" s="7635" thickBot="1">
      <c r="A111" s="139" t="n"/>
      <c r="B111" s="3676" t="n"/>
      <c r="C111" s="3736" t="inlineStr">
        <is>
          <t>Exception. If you</t>
        </is>
      </c>
      <c r="D111" s="3700" t="n"/>
      <c r="E111" s="3700" t="n"/>
      <c r="F111" s="3686" t="n"/>
      <c r="G111" s="3686">
        <f>"paid "&amp;TaxYear-1&amp;" expenses in "&amp;TaxYear&amp;", see the instruction for line 9b"</f>
        <v/>
      </c>
      <c r="H111" s="3699" t="n"/>
      <c r="I111" s="3699" t="n"/>
      <c r="J111" s="3699" t="n"/>
      <c r="K111" s="3699" t="n"/>
      <c r="L111" s="3699" t="n"/>
      <c r="M111" s="2755" t="n"/>
      <c r="N111" s="8374" t="n"/>
      <c r="O111" s="8374" t="n"/>
      <c r="P111" s="8374" t="n"/>
      <c r="Q111" s="8374" t="n"/>
      <c r="R111" s="8374" t="n"/>
      <c r="S111" s="8374" t="n"/>
      <c r="T111" s="8374" t="inlineStr">
        <is>
          <t xml:space="preserve">.   .   .   .   .   .   .   .   . </t>
        </is>
      </c>
      <c r="U111" s="2773">
        <f>B110</f>
        <v/>
      </c>
      <c r="V111" s="9608">
        <f>IF(AA111&lt;&gt;"",ROUND(AA111,0),IF(OR(M25&lt;&gt;"",M27=""),"",IF(SUM(V108,-V109)&gt;=0,SUM(V108,-V109),"STOP")))</f>
        <v/>
      </c>
      <c r="W111" s="7637" t="n"/>
      <c r="X111" s="3540" t="n"/>
      <c r="Y111" s="3540" t="n"/>
      <c r="Z111" s="3540" t="n"/>
      <c r="AA111" s="438" t="n"/>
    </row>
    <row r="112" ht="15.75" customHeight="1" s="7635" thickBot="1">
      <c r="A112" s="139" t="n"/>
      <c r="B112" s="3632" t="n">
        <v>30</v>
      </c>
      <c r="C112" s="3686" t="inlineStr">
        <is>
          <t>Complete line 2 on the front of this form. Don't include in column (d) any benefits shown on</t>
        </is>
      </c>
      <c r="D112" s="8665" t="n"/>
      <c r="E112" s="8665" t="n"/>
      <c r="F112" s="8665" t="n"/>
      <c r="G112" s="2755" t="n"/>
      <c r="H112" s="2755" t="n"/>
      <c r="I112" s="2755" t="n"/>
      <c r="J112" s="2755" t="n"/>
      <c r="K112" s="2755" t="n"/>
      <c r="L112" s="2755" t="n"/>
      <c r="M112" s="2755" t="n"/>
      <c r="N112" s="2755" t="n"/>
      <c r="O112" s="3737" t="n"/>
      <c r="P112" s="3738" t="n"/>
      <c r="Q112" s="3738" t="n"/>
      <c r="R112" s="3738" t="n"/>
      <c r="S112" s="3738" t="n"/>
      <c r="T112" s="3739" t="n"/>
      <c r="U112" s="3735" t="n"/>
      <c r="V112" s="3624" t="n"/>
      <c r="W112" s="3624" t="n"/>
      <c r="X112" s="3540" t="n"/>
      <c r="Y112" s="3540" t="n"/>
      <c r="Z112" s="3540" t="n"/>
      <c r="AA112" s="3597" t="n"/>
    </row>
    <row r="113" ht="15" customHeight="1" s="7635" thickBot="1">
      <c r="A113" s="139" t="n"/>
      <c r="B113" s="3632" t="n"/>
      <c r="C113" s="8651" t="inlineStr">
        <is>
          <t>line 28 above. Then, add the amounts in column (d) and enter the total here</t>
        </is>
      </c>
      <c r="D113" s="8665" t="n"/>
      <c r="E113" s="8665" t="n"/>
      <c r="F113" s="8665" t="n"/>
      <c r="G113" s="2755" t="n"/>
      <c r="H113" s="2755" t="n"/>
      <c r="I113" s="2755" t="n"/>
      <c r="J113" s="2755" t="n"/>
      <c r="K113" s="2755" t="n"/>
      <c r="L113" s="2755" t="n"/>
      <c r="M113" s="2755" t="n"/>
      <c r="N113" s="2755" t="n"/>
      <c r="O113" s="2755" t="n"/>
      <c r="P113" s="2755" t="n"/>
      <c r="Q113" s="2755" t="n"/>
      <c r="R113" s="2755" t="n"/>
      <c r="S113" s="2755" t="n"/>
      <c r="T113" s="8374" t="inlineStr">
        <is>
          <t xml:space="preserve">.   .   .   .   .   .   .   .   . </t>
        </is>
      </c>
      <c r="U113" s="2773">
        <f>B112</f>
        <v/>
      </c>
      <c r="V113" s="9608">
        <f>IF(AA113&lt;&gt;"",AA113,IF(OR(M25&lt;&gt;"",M27=""),"",V41))</f>
        <v/>
      </c>
      <c r="W113" s="7637" t="n"/>
      <c r="X113" s="3540" t="n"/>
      <c r="Y113" s="3540" t="n"/>
      <c r="Z113" s="3540" t="n"/>
      <c r="AA113" s="438" t="n"/>
    </row>
    <row r="114" ht="15.75" customHeight="1" s="7635" thickBot="1">
      <c r="A114" s="139" t="n"/>
      <c r="B114" s="3632" t="n">
        <v>31</v>
      </c>
      <c r="C114" s="8651" t="inlineStr">
        <is>
          <t>Enter the smaller of line 29 or 30. Also, enter this amount on line 3 on page 1 of this form and</t>
        </is>
      </c>
      <c r="D114" s="2755" t="n"/>
      <c r="E114" s="2755" t="n"/>
      <c r="F114" s="2755" t="n"/>
      <c r="G114" s="2755" t="n"/>
      <c r="H114" s="2755" t="n"/>
      <c r="I114" s="2755" t="n"/>
      <c r="J114" s="2755" t="n"/>
      <c r="K114" s="2755" t="n"/>
      <c r="L114" s="2755" t="n"/>
      <c r="M114" s="2755" t="n"/>
      <c r="N114" s="2755" t="n"/>
      <c r="O114" s="3737" t="n"/>
      <c r="P114" s="3738" t="n"/>
      <c r="Q114" s="3738" t="n"/>
      <c r="R114" s="3738" t="n"/>
      <c r="S114" s="3738" t="n"/>
      <c r="T114" s="3739" t="n"/>
      <c r="U114" s="3735" t="n"/>
      <c r="V114" s="3624" t="n"/>
      <c r="W114" s="3624" t="n"/>
      <c r="X114" s="3540" t="n"/>
      <c r="Y114" s="3540" t="n"/>
      <c r="Z114" s="3540" t="n"/>
      <c r="AA114" s="3597" t="n"/>
    </row>
    <row r="115" ht="17.25" customHeight="1" s="7635" thickBot="1">
      <c r="A115" s="139" t="n"/>
      <c r="B115" s="3740" t="n"/>
      <c r="C115" s="3668" t="inlineStr">
        <is>
          <t>complete lines 4 through 11</t>
        </is>
      </c>
      <c r="D115" s="3670" t="n"/>
      <c r="E115" s="3670" t="n"/>
      <c r="F115" s="3670" t="n"/>
      <c r="G115" s="3670" t="n"/>
      <c r="H115" s="3670" t="n"/>
      <c r="I115" s="3670" t="n"/>
      <c r="J115" s="3670" t="n"/>
      <c r="K115" s="3670" t="n"/>
      <c r="L115" s="3670" t="n"/>
      <c r="M115" s="3670" t="n"/>
      <c r="N115" s="3741" t="n"/>
      <c r="O115" s="3742" t="n"/>
      <c r="P115" s="3742" t="n"/>
      <c r="Q115" s="3742" t="n"/>
      <c r="R115" s="3742" t="n"/>
      <c r="S115" s="3742" t="n"/>
      <c r="T115" s="3743" t="inlineStr">
        <is>
          <t xml:space="preserve">.   .   .   .   .   .   .   .   .   .   .   .   .   .   .   .   .   .   .   .   .   .   .   .   .   .   .   .  </t>
        </is>
      </c>
      <c r="U115" s="3742">
        <f>B114</f>
        <v/>
      </c>
      <c r="V115" s="9620">
        <f>IF(AA115&lt;&gt;"",AA115,IF(OR(M25&lt;&gt;"",M27="",AD19&lt;&gt;""),"",IF(V111="STOP",0,MIN(V111,V113))))</f>
        <v/>
      </c>
      <c r="W115" s="8848" t="n"/>
      <c r="X115" s="3540" t="n"/>
      <c r="Y115" s="3540" t="n"/>
      <c r="Z115" s="3540" t="n"/>
      <c r="AA115" s="438" t="n"/>
    </row>
    <row r="116" ht="15" customHeight="1" s="7635">
      <c r="A116" s="139" t="n"/>
      <c r="B116" s="3744" t="n"/>
      <c r="C116" s="3745" t="n"/>
      <c r="D116" s="3745" t="n"/>
      <c r="E116" s="3745" t="n"/>
      <c r="F116" s="3745" t="n"/>
      <c r="G116" s="3745" t="n"/>
      <c r="H116" s="3745" t="n"/>
      <c r="I116" s="3745" t="n"/>
      <c r="J116" s="3745" t="n"/>
      <c r="K116" s="3745" t="n"/>
      <c r="L116" s="3745" t="n"/>
      <c r="M116" s="3745" t="n"/>
      <c r="N116" s="3084" t="n"/>
      <c r="O116" s="3745" t="n"/>
      <c r="P116" s="3745" t="n"/>
      <c r="Q116" s="3745" t="n"/>
      <c r="R116" s="3745" t="n"/>
      <c r="S116" s="3745" t="n"/>
      <c r="T116" s="3745" t="n"/>
      <c r="U116" s="3745" t="n"/>
      <c r="V116" s="3746">
        <f>"Form 2441  ("&amp;TaxYear&amp;")"</f>
        <v/>
      </c>
      <c r="W116" s="8374" t="n"/>
      <c r="X116" s="3540" t="n"/>
      <c r="Y116" s="3540" t="n"/>
      <c r="Z116" s="3540" t="n"/>
      <c r="AA116" s="3597" t="n"/>
    </row>
    <row r="117" ht="17.25" customHeight="1" s="7635" thickBot="1">
      <c r="A117" s="139" t="n"/>
      <c r="B117" s="3097" t="n"/>
      <c r="C117" s="2755" t="n"/>
      <c r="D117" s="2755" t="n"/>
      <c r="E117" s="2755" t="n"/>
      <c r="F117" s="2755" t="n"/>
      <c r="G117" s="2755" t="n"/>
      <c r="H117" s="2755" t="n"/>
      <c r="I117" s="2755" t="n"/>
      <c r="J117" s="3097" t="n"/>
      <c r="K117" s="3097" t="n"/>
      <c r="L117" s="2755" t="n"/>
      <c r="M117" s="3562" t="n"/>
      <c r="N117" s="2755" t="n"/>
      <c r="O117" s="2755" t="n"/>
      <c r="P117" s="2755" t="n"/>
      <c r="Q117" s="2755" t="n"/>
      <c r="R117" s="2755" t="n"/>
      <c r="S117" s="2755" t="n"/>
      <c r="T117" s="2755" t="n"/>
      <c r="U117" s="2755" t="n"/>
      <c r="V117" s="3563" t="n"/>
      <c r="W117" s="3563" t="n"/>
      <c r="X117" s="3540" t="n"/>
      <c r="Y117" s="3540" t="n"/>
      <c r="Z117" s="3540" t="n"/>
    </row>
    <row r="118" ht="21" customHeight="1" s="7635">
      <c r="A118" s="139" t="n"/>
      <c r="B118" s="389" t="n"/>
      <c r="C118" s="12410" t="n">
        <v>2441</v>
      </c>
      <c r="D118" s="2506" t="n"/>
      <c r="E118" s="2506" t="n"/>
      <c r="F118" s="2506" t="n"/>
      <c r="G118" s="3747" t="n"/>
      <c r="H118" s="12411" t="inlineStr">
        <is>
          <t>Attachment to:</t>
        </is>
      </c>
      <c r="I118" s="2506" t="n"/>
      <c r="J118" s="2506" t="n"/>
      <c r="K118" s="2506" t="n"/>
      <c r="L118" s="2506" t="n"/>
      <c r="M118" s="2506" t="n"/>
      <c r="N118" s="2506" t="n"/>
      <c r="O118" s="2506" t="n"/>
      <c r="P118" s="2506" t="n"/>
      <c r="Q118" s="2506" t="n"/>
      <c r="R118" s="2506" t="n"/>
      <c r="S118" s="2506" t="n"/>
      <c r="T118" s="2506" t="n"/>
      <c r="U118" s="2614" t="n"/>
      <c r="V118" s="12412">
        <f>TaxYear</f>
        <v/>
      </c>
      <c r="W118" s="2614" t="n"/>
      <c r="X118" s="3540" t="n"/>
      <c r="Y118" s="3540" t="n"/>
      <c r="Z118" s="3540" t="n"/>
    </row>
    <row r="119" ht="18.75" customHeight="1" s="7635" thickBot="1">
      <c r="A119" s="139" t="n"/>
      <c r="B119" s="3748" t="inlineStr">
        <is>
          <t>Form</t>
        </is>
      </c>
      <c r="C119" s="8848" t="n"/>
      <c r="D119" s="8848" t="n"/>
      <c r="E119" s="8848" t="n"/>
      <c r="F119" s="8848" t="n"/>
      <c r="G119" s="3749" t="n"/>
      <c r="H119" s="12413" t="inlineStr">
        <is>
          <t>Child and Dependent Care Expenses</t>
        </is>
      </c>
      <c r="I119" s="8848" t="n"/>
      <c r="J119" s="8848" t="n"/>
      <c r="K119" s="8848" t="n"/>
      <c r="L119" s="8848" t="n"/>
      <c r="M119" s="8848" t="n"/>
      <c r="N119" s="8848" t="n"/>
      <c r="O119" s="8848" t="n"/>
      <c r="P119" s="8848" t="n"/>
      <c r="Q119" s="8848" t="n"/>
      <c r="R119" s="8848" t="n"/>
      <c r="S119" s="8848" t="n"/>
      <c r="T119" s="8848" t="n"/>
      <c r="U119" s="2627" t="n"/>
      <c r="V119" s="11743" t="n"/>
      <c r="W119" s="2627" t="n"/>
      <c r="X119" s="3677" t="n"/>
      <c r="Y119" s="3677" t="n"/>
      <c r="Z119" s="3677" t="n"/>
      <c r="AA119" s="9864" t="n"/>
    </row>
    <row r="120" ht="18" customHeight="1" s="7635">
      <c r="A120" s="139" t="n"/>
      <c r="B120" s="9706" t="n"/>
      <c r="C120" s="3750" t="n"/>
      <c r="D120" s="3750" t="n"/>
      <c r="E120" s="3750" t="n"/>
      <c r="F120" s="3750" t="n"/>
      <c r="G120" s="3699" t="n"/>
      <c r="H120" s="3096" t="n"/>
      <c r="I120" s="3096" t="n"/>
      <c r="J120" s="3096" t="n"/>
      <c r="K120" s="3699" t="n"/>
      <c r="L120" s="3699" t="n"/>
      <c r="M120" s="3699" t="n"/>
      <c r="N120" s="3699" t="n"/>
      <c r="O120" s="3699" t="n"/>
      <c r="P120" s="3699" t="n"/>
      <c r="Q120" s="3699" t="n"/>
      <c r="R120" s="3699" t="n"/>
      <c r="S120" s="3699" t="n"/>
      <c r="T120" s="3699" t="n"/>
      <c r="U120" s="3699" t="n"/>
      <c r="V120" s="3751" t="n"/>
      <c r="W120" s="3751" t="n"/>
      <c r="X120" s="3677" t="n"/>
      <c r="Y120" s="3677" t="n"/>
      <c r="Z120" s="3677" t="n"/>
      <c r="AA120" s="9864" t="n"/>
      <c r="AB120" s="9864" t="n"/>
    </row>
    <row r="121" ht="14.25" customHeight="1" s="7635">
      <c r="A121" s="139" t="n"/>
      <c r="B121" s="3752" t="inlineStr">
        <is>
          <t>Name(s) shown on return</t>
        </is>
      </c>
      <c r="C121" s="3753" t="n"/>
      <c r="D121" s="3753" t="n"/>
      <c r="E121" s="3753" t="n"/>
      <c r="F121" s="3753" t="n"/>
      <c r="G121" s="3642" t="n"/>
      <c r="H121" s="3754" t="n"/>
      <c r="I121" s="3754" t="n"/>
      <c r="J121" s="3754" t="n"/>
      <c r="K121" s="3754" t="n"/>
      <c r="L121" s="3755" t="n"/>
      <c r="M121" s="3752" t="n"/>
      <c r="N121" s="3752" t="n"/>
      <c r="O121" s="3752" t="n"/>
      <c r="P121" s="3752" t="n"/>
      <c r="Q121" s="3752" t="n"/>
      <c r="R121" s="3752" t="n"/>
      <c r="S121" s="3752" t="n"/>
      <c r="T121" s="3752" t="n"/>
      <c r="U121" s="3756" t="inlineStr">
        <is>
          <t>Your social security number</t>
        </is>
      </c>
      <c r="V121" s="3757" t="n"/>
      <c r="W121" s="3757" t="n"/>
      <c r="X121" s="3557" t="n"/>
      <c r="Y121" s="3557" t="n"/>
      <c r="Z121" s="3557" t="n"/>
    </row>
    <row r="122" ht="15" customHeight="1" s="7635">
      <c r="A122" s="139" t="n"/>
      <c r="B122" s="9594">
        <f>Names</f>
        <v/>
      </c>
      <c r="C122" s="7637" t="n"/>
      <c r="D122" s="7637" t="n"/>
      <c r="E122" s="7637" t="n"/>
      <c r="F122" s="7637" t="n"/>
      <c r="G122" s="7637" t="n"/>
      <c r="H122" s="7637" t="n"/>
      <c r="I122" s="7637" t="n"/>
      <c r="J122" s="7637" t="n"/>
      <c r="K122" s="7637" t="n"/>
      <c r="L122" s="7637" t="n"/>
      <c r="M122" s="7637" t="n"/>
      <c r="N122" s="7637" t="n"/>
      <c r="O122" s="7637" t="n"/>
      <c r="P122" s="7637" t="n"/>
      <c r="Q122" s="7637" t="n"/>
      <c r="R122" s="7637" t="n"/>
      <c r="S122" s="7637" t="n"/>
      <c r="T122" s="7638" t="n"/>
      <c r="U122" s="12414">
        <f>IF(NoSSN,"",SS_Yours)</f>
        <v/>
      </c>
      <c r="V122" s="7637" t="n"/>
      <c r="W122" s="7637" t="n"/>
      <c r="X122" s="3557" t="n"/>
      <c r="Y122" s="3557" t="n"/>
      <c r="Z122" s="3557" t="n"/>
    </row>
    <row r="123" ht="15" customHeight="1" s="7635">
      <c r="A123" s="139" t="n"/>
      <c r="B123" s="3097" t="n"/>
      <c r="C123" s="2755" t="n"/>
      <c r="D123" s="2755" t="n"/>
      <c r="E123" s="2755" t="n"/>
      <c r="F123" s="2755" t="n"/>
      <c r="G123" s="2755" t="n"/>
      <c r="H123" s="2755" t="n"/>
      <c r="I123" s="2755" t="n"/>
      <c r="J123" s="3097" t="n"/>
      <c r="K123" s="3097" t="n"/>
      <c r="L123" s="2755" t="n"/>
      <c r="M123" s="3562" t="n"/>
      <c r="N123" s="2755" t="n"/>
      <c r="O123" s="2755" t="n"/>
      <c r="P123" s="2755" t="n"/>
      <c r="Q123" s="2755" t="n"/>
      <c r="R123" s="2755" t="n"/>
      <c r="S123" s="2755" t="n"/>
      <c r="T123" s="2755" t="n"/>
      <c r="U123" s="2755" t="n"/>
      <c r="V123" s="3563" t="n"/>
      <c r="W123" s="3563" t="n"/>
      <c r="X123" s="3540" t="n"/>
      <c r="Y123" s="3540" t="n"/>
      <c r="Z123" s="3540" t="n"/>
    </row>
    <row r="124" ht="15" customHeight="1" s="7635">
      <c r="A124" s="139" t="n"/>
      <c r="B124" s="8329" t="inlineStr">
        <is>
          <t>Part I</t>
        </is>
      </c>
      <c r="C124" s="3574" t="inlineStr">
        <is>
          <t xml:space="preserve">   Persons or Organizations Who Provided the Care – (Continued)</t>
        </is>
      </c>
      <c r="D124" s="3574" t="n"/>
      <c r="E124" s="3574" t="n"/>
      <c r="F124" s="3574" t="n"/>
      <c r="G124" s="2755" t="n"/>
      <c r="H124" s="2755" t="n"/>
      <c r="I124" s="2755" t="n"/>
      <c r="J124" s="2755" t="n"/>
      <c r="K124" s="2755" t="n"/>
      <c r="L124" s="2755" t="n"/>
      <c r="M124" s="2755" t="n"/>
      <c r="N124" s="2755" t="n"/>
      <c r="O124" s="2755" t="n"/>
      <c r="P124" s="2755" t="n"/>
      <c r="Q124" s="2755" t="n"/>
      <c r="R124" s="2755" t="n"/>
      <c r="S124" s="2755" t="n"/>
      <c r="T124" s="2755" t="n"/>
      <c r="U124" s="2755" t="n"/>
      <c r="V124" s="3575" t="n"/>
      <c r="W124" s="3575" t="n"/>
      <c r="X124" s="3540" t="n"/>
      <c r="Y124" s="3540" t="n"/>
      <c r="Z124" s="3540" t="n"/>
      <c r="AA124" s="7834" t="n"/>
      <c r="AB124" s="7834" t="n"/>
    </row>
    <row r="125">
      <c r="A125" s="139" t="n"/>
      <c r="B125" s="3565" t="n"/>
      <c r="C125" s="3109" t="n"/>
      <c r="D125" s="3565" t="n"/>
      <c r="E125" s="3565" t="n"/>
      <c r="F125" s="3565" t="n"/>
      <c r="G125" s="3565" t="n"/>
      <c r="H125" s="3565" t="n"/>
      <c r="I125" s="3565" t="n"/>
      <c r="J125" s="3565" t="n"/>
      <c r="K125" s="3565" t="n"/>
      <c r="L125" s="3565" t="n"/>
      <c r="M125" s="3565" t="n"/>
      <c r="N125" s="3565" t="n"/>
      <c r="O125" s="3565" t="n"/>
      <c r="P125" s="3565" t="n"/>
      <c r="Q125" s="3565" t="n"/>
      <c r="R125" s="3565" t="n"/>
      <c r="S125" s="3565" t="n"/>
      <c r="T125" s="3565" t="n"/>
      <c r="U125" s="3565" t="n"/>
      <c r="V125" s="3565" t="n"/>
      <c r="W125" s="3565" t="n"/>
      <c r="X125" s="3540" t="n"/>
      <c r="Y125" s="3540" t="n"/>
      <c r="Z125" s="3540" t="n"/>
      <c r="AA125" s="7834" t="n"/>
      <c r="AB125" s="7834" t="n"/>
      <c r="AM125" s="7834" t="n"/>
      <c r="AO125" s="7834" t="n"/>
    </row>
    <row r="126" ht="27" customHeight="1" s="7635">
      <c r="A126" s="139" t="n"/>
      <c r="B126" s="3313" t="inlineStr">
        <is>
          <t xml:space="preserve"> 1     (a)</t>
        </is>
      </c>
      <c r="C126" s="2753" t="inlineStr">
        <is>
          <t xml:space="preserve"> Care provider's</t>
        </is>
      </c>
      <c r="D126" s="2753" t="n"/>
      <c r="E126" s="2753" t="n"/>
      <c r="F126" s="2753" t="n"/>
      <c r="G126" s="3577" t="n"/>
      <c r="H126" s="3664" t="n"/>
      <c r="I126" s="2755" t="n"/>
      <c r="J126" s="3071" t="inlineStr">
        <is>
          <t>(b) Address</t>
        </is>
      </c>
      <c r="K126" s="2755" t="n"/>
      <c r="L126" s="2755" t="n"/>
      <c r="M126" s="12415" t="inlineStr">
        <is>
          <t>(c) Identifying number</t>
        </is>
      </c>
      <c r="N126" s="7839" t="n"/>
      <c r="O126" s="10091" t="n"/>
      <c r="P126" s="12088">
        <f>"(d) Was the care provider your household employee in "&amp;TaxYear&amp;"?"&amp;CHAR(10)&amp;"For example, this generally includes nannies but not daycare centers. (see instructions)"</f>
        <v/>
      </c>
      <c r="Q126" s="7839" t="n"/>
      <c r="R126" s="7839" t="n"/>
      <c r="S126" s="7839" t="n"/>
      <c r="T126" s="7839" t="n"/>
      <c r="U126" s="10091" t="n"/>
      <c r="V126" s="9665" t="inlineStr">
        <is>
          <t xml:space="preserve">        (e) Amount paid</t>
        </is>
      </c>
      <c r="W126" s="7839" t="n"/>
      <c r="X126" s="3540" t="n"/>
      <c r="Y126" s="3540" t="n"/>
      <c r="Z126" s="3540" t="n"/>
      <c r="AA126" s="7834" t="n"/>
      <c r="AB126" s="7834" t="n"/>
      <c r="AL126" s="7834" t="n"/>
      <c r="AM126" s="7834" t="n"/>
      <c r="AN126" s="7834" t="n"/>
      <c r="AO126" s="7834" t="n"/>
      <c r="AQ126" s="7834" t="n"/>
    </row>
    <row r="127" ht="39" customHeight="1" s="7635">
      <c r="A127" s="139" t="n"/>
      <c r="B127" s="9582" t="n"/>
      <c r="C127" s="3578" t="inlineStr">
        <is>
          <t xml:space="preserve">    name</t>
        </is>
      </c>
      <c r="D127" s="3579" t="n"/>
      <c r="E127" s="3579" t="n"/>
      <c r="F127" s="3579" t="n"/>
      <c r="G127" s="3580" t="n"/>
      <c r="H127" s="3581" t="inlineStr">
        <is>
          <t xml:space="preserve">     (number, street, apt. no., city, state, and ZIP code)</t>
        </is>
      </c>
      <c r="I127" s="3582" t="n"/>
      <c r="J127" s="3565" t="n"/>
      <c r="K127" s="3565" t="n"/>
      <c r="L127" s="3565" t="n"/>
      <c r="M127" s="12379" t="inlineStr">
        <is>
          <t>(SSN or EIN)</t>
        </is>
      </c>
      <c r="N127" s="7637" t="n"/>
      <c r="O127" s="7638" t="n"/>
      <c r="P127" s="3614" t="n"/>
      <c r="Q127" s="7637" t="n"/>
      <c r="R127" s="7637" t="n"/>
      <c r="S127" s="7637" t="n"/>
      <c r="T127" s="7637" t="n"/>
      <c r="U127" s="7638" t="n"/>
      <c r="V127" s="3581" t="inlineStr">
        <is>
          <t xml:space="preserve">        (see instructions)</t>
        </is>
      </c>
      <c r="W127" s="3582" t="n"/>
      <c r="X127" s="3540" t="n"/>
      <c r="Y127" s="3540" t="n"/>
      <c r="Z127" s="3540" t="n"/>
      <c r="AA127" s="7834" t="n"/>
      <c r="AB127" s="7834" t="n"/>
      <c r="AL127" s="7834" t="n"/>
      <c r="AM127" s="7834" t="n"/>
      <c r="AN127" s="7834" t="n"/>
      <c r="AO127" s="7834" t="n"/>
      <c r="AQ127" s="7834" t="n"/>
    </row>
    <row r="128" ht="12" customHeight="1" s="7635">
      <c r="A128" s="139" t="n"/>
      <c r="B128" s="12416" t="n"/>
      <c r="C128" s="11745" t="n"/>
      <c r="D128" s="11745" t="n"/>
      <c r="E128" s="11745" t="n"/>
      <c r="F128" s="11745" t="n"/>
      <c r="G128" s="11948" t="n"/>
      <c r="H128" s="12417" t="n"/>
      <c r="I128" s="12073" t="n"/>
      <c r="J128" s="12073" t="n"/>
      <c r="K128" s="12073" t="n"/>
      <c r="L128" s="12382" t="n"/>
      <c r="M128" s="3583" t="n"/>
      <c r="N128" s="3584" t="n"/>
      <c r="O128" s="3585" t="n"/>
      <c r="P128" s="3585" t="n"/>
      <c r="Q128" s="1448" t="n"/>
      <c r="R128" s="12383" t="inlineStr">
        <is>
          <t>Yes</t>
        </is>
      </c>
      <c r="S128" s="10091" t="n"/>
      <c r="T128" s="12384">
        <f>IF(AND(OR(B128&lt;&gt;"",V129&lt;&gt;""),Q128=""),"X","")</f>
        <v/>
      </c>
      <c r="U128" s="12383" t="inlineStr">
        <is>
          <t>No</t>
        </is>
      </c>
      <c r="V128" s="1444" t="n"/>
      <c r="W128" s="1445" t="n"/>
      <c r="X128" s="3540" t="n"/>
      <c r="Y128" s="3540" t="n"/>
      <c r="Z128" s="3540" t="n"/>
      <c r="AL128" s="7834" t="n"/>
      <c r="AM128" s="7834" t="n"/>
      <c r="AN128" s="7834" t="n"/>
      <c r="AO128" s="7834" t="n"/>
      <c r="AQ128" s="7834" t="n"/>
    </row>
    <row r="129" ht="12" customHeight="1" s="7635">
      <c r="A129" s="139" t="n"/>
      <c r="B129" s="11717" t="n"/>
      <c r="C129" s="11717" t="n"/>
      <c r="D129" s="11717" t="n"/>
      <c r="E129" s="11717" t="n"/>
      <c r="F129" s="11717" t="n"/>
      <c r="G129" s="11718" t="n"/>
      <c r="H129" s="12418" t="n"/>
      <c r="I129" s="12074" t="n"/>
      <c r="J129" s="12074" t="n"/>
      <c r="K129" s="12074" t="n"/>
      <c r="L129" s="12081" t="n"/>
      <c r="M129" s="1299" t="n"/>
      <c r="N129" s="1300" t="n"/>
      <c r="O129" s="1301" t="n"/>
      <c r="P129" s="3586" t="n"/>
      <c r="Q129" s="11969" t="n"/>
      <c r="R129" s="3614" t="n"/>
      <c r="S129" s="7638" t="n"/>
      <c r="T129" s="11934" t="n"/>
      <c r="U129" s="11934" t="n"/>
      <c r="V129" s="9629" t="n"/>
      <c r="W129" s="11717" t="n"/>
      <c r="X129" s="3540" t="n"/>
      <c r="Y129" s="3540" t="n"/>
      <c r="Z129" s="3540" t="n"/>
      <c r="AL129" s="7834" t="n"/>
      <c r="AN129" s="7834" t="n"/>
      <c r="AQ129" s="7834" t="n"/>
    </row>
    <row r="130" ht="12" customHeight="1" s="7635">
      <c r="A130" s="139" t="n"/>
      <c r="B130" s="12416" t="n"/>
      <c r="C130" s="11745" t="n"/>
      <c r="D130" s="11745" t="n"/>
      <c r="E130" s="11745" t="n"/>
      <c r="F130" s="11745" t="n"/>
      <c r="G130" s="11948" t="n"/>
      <c r="H130" s="12417" t="n"/>
      <c r="I130" s="12073" t="n"/>
      <c r="J130" s="12073" t="n"/>
      <c r="K130" s="12073" t="n"/>
      <c r="L130" s="12382" t="n"/>
      <c r="M130" s="3583" t="n"/>
      <c r="N130" s="3584" t="n"/>
      <c r="O130" s="3585" t="n"/>
      <c r="P130" s="3585" t="n"/>
      <c r="Q130" s="1448" t="n"/>
      <c r="R130" s="12383" t="inlineStr">
        <is>
          <t>Yes</t>
        </is>
      </c>
      <c r="S130" s="10091" t="n"/>
      <c r="T130" s="12384">
        <f>IF(AND(OR(B130&lt;&gt;"",V131&lt;&gt;""),Q130=""),"X","")</f>
        <v/>
      </c>
      <c r="U130" s="12383" t="inlineStr">
        <is>
          <t>No</t>
        </is>
      </c>
      <c r="V130" s="1444" t="n"/>
      <c r="W130" s="1445" t="n"/>
      <c r="X130" s="3540" t="n"/>
      <c r="Y130" s="3540" t="n"/>
      <c r="Z130" s="3540" t="n"/>
    </row>
    <row r="131" ht="12" customHeight="1" s="7635">
      <c r="A131" s="139" t="n"/>
      <c r="B131" s="11717" t="n"/>
      <c r="C131" s="11717" t="n"/>
      <c r="D131" s="11717" t="n"/>
      <c r="E131" s="11717" t="n"/>
      <c r="F131" s="11717" t="n"/>
      <c r="G131" s="11718" t="n"/>
      <c r="H131" s="12418" t="n"/>
      <c r="I131" s="12074" t="n"/>
      <c r="J131" s="12074" t="n"/>
      <c r="K131" s="12074" t="n"/>
      <c r="L131" s="12081" t="n"/>
      <c r="M131" s="1299" t="n"/>
      <c r="N131" s="1300" t="n"/>
      <c r="O131" s="1301" t="n"/>
      <c r="P131" s="3586" t="n"/>
      <c r="Q131" s="11969" t="n"/>
      <c r="R131" s="3614" t="n"/>
      <c r="S131" s="7638" t="n"/>
      <c r="T131" s="11934" t="n"/>
      <c r="U131" s="11934" t="n"/>
      <c r="V131" s="9629" t="n"/>
      <c r="W131" s="11717" t="n"/>
      <c r="X131" s="3540" t="n"/>
      <c r="Y131" s="3540" t="n"/>
      <c r="Z131" s="3540" t="n"/>
    </row>
    <row r="132" ht="12" customHeight="1" s="7635">
      <c r="A132" s="139" t="n"/>
      <c r="B132" s="12416" t="n"/>
      <c r="C132" s="11745" t="n"/>
      <c r="D132" s="11745" t="n"/>
      <c r="E132" s="11745" t="n"/>
      <c r="F132" s="11745" t="n"/>
      <c r="G132" s="11948" t="n"/>
      <c r="H132" s="12417" t="n"/>
      <c r="I132" s="12073" t="n"/>
      <c r="J132" s="12073" t="n"/>
      <c r="K132" s="12073" t="n"/>
      <c r="L132" s="12382" t="n"/>
      <c r="M132" s="3583" t="n"/>
      <c r="N132" s="3584" t="n"/>
      <c r="O132" s="3585" t="n"/>
      <c r="P132" s="3585" t="n"/>
      <c r="Q132" s="1448" t="n"/>
      <c r="R132" s="12383" t="inlineStr">
        <is>
          <t>Yes</t>
        </is>
      </c>
      <c r="S132" s="10091" t="n"/>
      <c r="T132" s="12384">
        <f>IF(AND(OR(B132&lt;&gt;"",V133&lt;&gt;""),Q132=""),"X","")</f>
        <v/>
      </c>
      <c r="U132" s="12383" t="inlineStr">
        <is>
          <t>No</t>
        </is>
      </c>
      <c r="V132" s="1444" t="n"/>
      <c r="W132" s="1445" t="n"/>
      <c r="X132" s="3540" t="n"/>
      <c r="Y132" s="3540" t="n"/>
      <c r="Z132" s="3540" t="n"/>
    </row>
    <row r="133" ht="12" customHeight="1" s="7635">
      <c r="A133" s="139" t="n"/>
      <c r="B133" s="11717" t="n"/>
      <c r="C133" s="11717" t="n"/>
      <c r="D133" s="11717" t="n"/>
      <c r="E133" s="11717" t="n"/>
      <c r="F133" s="11717" t="n"/>
      <c r="G133" s="11718" t="n"/>
      <c r="H133" s="12418" t="n"/>
      <c r="I133" s="12074" t="n"/>
      <c r="J133" s="12074" t="n"/>
      <c r="K133" s="12074" t="n"/>
      <c r="L133" s="12081" t="n"/>
      <c r="M133" s="1299" t="n"/>
      <c r="N133" s="1300" t="n"/>
      <c r="O133" s="1301" t="n"/>
      <c r="P133" s="3586" t="n"/>
      <c r="Q133" s="11969" t="n"/>
      <c r="R133" s="3614" t="n"/>
      <c r="S133" s="7638" t="n"/>
      <c r="T133" s="11934" t="n"/>
      <c r="U133" s="11934" t="n"/>
      <c r="V133" s="9629" t="n"/>
      <c r="W133" s="11717" t="n"/>
      <c r="X133" s="3540" t="n"/>
      <c r="Y133" s="3540" t="n"/>
      <c r="Z133" s="3540" t="n"/>
    </row>
    <row r="134" ht="12" customHeight="1" s="7635">
      <c r="A134" s="139" t="n"/>
      <c r="B134" s="12416" t="n"/>
      <c r="C134" s="11745" t="n"/>
      <c r="D134" s="11745" t="n"/>
      <c r="E134" s="11745" t="n"/>
      <c r="F134" s="11745" t="n"/>
      <c r="G134" s="11948" t="n"/>
      <c r="H134" s="12417" t="n"/>
      <c r="I134" s="12073" t="n"/>
      <c r="J134" s="12073" t="n"/>
      <c r="K134" s="12073" t="n"/>
      <c r="L134" s="12382" t="n"/>
      <c r="M134" s="3583" t="n"/>
      <c r="N134" s="3584" t="n"/>
      <c r="O134" s="3585" t="n"/>
      <c r="P134" s="3585" t="n"/>
      <c r="Q134" s="1448" t="n"/>
      <c r="R134" s="12383" t="inlineStr">
        <is>
          <t>Yes</t>
        </is>
      </c>
      <c r="S134" s="10091" t="n"/>
      <c r="T134" s="12384">
        <f>IF(AND(OR(B134&lt;&gt;"",V135&lt;&gt;""),Q134=""),"X","")</f>
        <v/>
      </c>
      <c r="U134" s="12383" t="inlineStr">
        <is>
          <t>No</t>
        </is>
      </c>
      <c r="V134" s="1444" t="n"/>
      <c r="W134" s="1445" t="n"/>
      <c r="X134" s="3540" t="n"/>
      <c r="Y134" s="3540" t="n"/>
      <c r="Z134" s="3540" t="n"/>
    </row>
    <row r="135" ht="12" customHeight="1" s="7635">
      <c r="A135" s="139" t="n"/>
      <c r="B135" s="11717" t="n"/>
      <c r="C135" s="11717" t="n"/>
      <c r="D135" s="11717" t="n"/>
      <c r="E135" s="11717" t="n"/>
      <c r="F135" s="11717" t="n"/>
      <c r="G135" s="11718" t="n"/>
      <c r="H135" s="12418" t="n"/>
      <c r="I135" s="12074" t="n"/>
      <c r="J135" s="12074" t="n"/>
      <c r="K135" s="12074" t="n"/>
      <c r="L135" s="12081" t="n"/>
      <c r="M135" s="1299" t="n"/>
      <c r="N135" s="1300" t="n"/>
      <c r="O135" s="1301" t="n"/>
      <c r="P135" s="3586" t="n"/>
      <c r="Q135" s="11969" t="n"/>
      <c r="R135" s="3614" t="n"/>
      <c r="S135" s="7638" t="n"/>
      <c r="T135" s="11934" t="n"/>
      <c r="U135" s="11934" t="n"/>
      <c r="V135" s="9629" t="n"/>
      <c r="W135" s="11717" t="n"/>
      <c r="X135" s="3540" t="n"/>
      <c r="Y135" s="3540" t="n"/>
      <c r="Z135" s="3540" t="n"/>
    </row>
    <row r="136" ht="12" customHeight="1" s="7635">
      <c r="A136" s="139" t="n"/>
      <c r="B136" s="12416" t="n"/>
      <c r="C136" s="11745" t="n"/>
      <c r="D136" s="11745" t="n"/>
      <c r="E136" s="11745" t="n"/>
      <c r="F136" s="11745" t="n"/>
      <c r="G136" s="11948" t="n"/>
      <c r="H136" s="12417" t="n"/>
      <c r="I136" s="12073" t="n"/>
      <c r="J136" s="12073" t="n"/>
      <c r="K136" s="12073" t="n"/>
      <c r="L136" s="12382" t="n"/>
      <c r="M136" s="3583" t="n"/>
      <c r="N136" s="3584" t="n"/>
      <c r="O136" s="3585" t="n"/>
      <c r="P136" s="3585" t="n"/>
      <c r="Q136" s="1448" t="n"/>
      <c r="R136" s="12383" t="inlineStr">
        <is>
          <t>Yes</t>
        </is>
      </c>
      <c r="S136" s="10091" t="n"/>
      <c r="T136" s="12384">
        <f>IF(AND(OR(B136&lt;&gt;"",V137&lt;&gt;""),Q136=""),"X","")</f>
        <v/>
      </c>
      <c r="U136" s="12383" t="inlineStr">
        <is>
          <t>No</t>
        </is>
      </c>
      <c r="V136" s="1444" t="n"/>
      <c r="W136" s="1445" t="n"/>
      <c r="X136" s="3540" t="n"/>
      <c r="Y136" s="3540" t="n"/>
      <c r="Z136" s="3540" t="n"/>
    </row>
    <row r="137" ht="12" customHeight="1" s="7635">
      <c r="A137" s="139" t="n"/>
      <c r="B137" s="11717" t="n"/>
      <c r="C137" s="11717" t="n"/>
      <c r="D137" s="11717" t="n"/>
      <c r="E137" s="11717" t="n"/>
      <c r="F137" s="11717" t="n"/>
      <c r="G137" s="11718" t="n"/>
      <c r="H137" s="12418" t="n"/>
      <c r="I137" s="12074" t="n"/>
      <c r="J137" s="12074" t="n"/>
      <c r="K137" s="12074" t="n"/>
      <c r="L137" s="12081" t="n"/>
      <c r="M137" s="1299" t="n"/>
      <c r="N137" s="1300" t="n"/>
      <c r="O137" s="1301" t="n"/>
      <c r="P137" s="3586" t="n"/>
      <c r="Q137" s="11969" t="n"/>
      <c r="R137" s="3614" t="n"/>
      <c r="S137" s="7638" t="n"/>
      <c r="T137" s="11934" t="n"/>
      <c r="U137" s="11934" t="n"/>
      <c r="V137" s="9629" t="n"/>
      <c r="W137" s="11717" t="n"/>
      <c r="X137" s="3540" t="n"/>
      <c r="Y137" s="3540" t="n"/>
      <c r="Z137" s="3540" t="n"/>
    </row>
    <row r="138" ht="12" customHeight="1" s="7635">
      <c r="A138" s="139" t="n"/>
      <c r="B138" s="12416" t="n"/>
      <c r="C138" s="11745" t="n"/>
      <c r="D138" s="11745" t="n"/>
      <c r="E138" s="11745" t="n"/>
      <c r="F138" s="11745" t="n"/>
      <c r="G138" s="11948" t="n"/>
      <c r="H138" s="12417" t="n"/>
      <c r="I138" s="12073" t="n"/>
      <c r="J138" s="12073" t="n"/>
      <c r="K138" s="12073" t="n"/>
      <c r="L138" s="12382" t="n"/>
      <c r="M138" s="3583" t="n"/>
      <c r="N138" s="3584" t="n"/>
      <c r="O138" s="3585" t="n"/>
      <c r="P138" s="3585" t="n"/>
      <c r="Q138" s="1448" t="n"/>
      <c r="R138" s="12383" t="inlineStr">
        <is>
          <t>Yes</t>
        </is>
      </c>
      <c r="S138" s="10091" t="n"/>
      <c r="T138" s="12384">
        <f>IF(AND(OR(B138&lt;&gt;"",V139&lt;&gt;""),Q138=""),"X","")</f>
        <v/>
      </c>
      <c r="U138" s="12383" t="inlineStr">
        <is>
          <t>No</t>
        </is>
      </c>
      <c r="V138" s="1444" t="n"/>
      <c r="W138" s="1445" t="n"/>
      <c r="X138" s="3540" t="n"/>
      <c r="Y138" s="3540" t="n"/>
      <c r="Z138" s="3540" t="n"/>
    </row>
    <row r="139" ht="12" customHeight="1" s="7635">
      <c r="A139" s="139" t="n"/>
      <c r="B139" s="11717" t="n"/>
      <c r="C139" s="11717" t="n"/>
      <c r="D139" s="11717" t="n"/>
      <c r="E139" s="11717" t="n"/>
      <c r="F139" s="11717" t="n"/>
      <c r="G139" s="11718" t="n"/>
      <c r="H139" s="12418" t="n"/>
      <c r="I139" s="12074" t="n"/>
      <c r="J139" s="12074" t="n"/>
      <c r="K139" s="12074" t="n"/>
      <c r="L139" s="12081" t="n"/>
      <c r="M139" s="1299" t="n"/>
      <c r="N139" s="1300" t="n"/>
      <c r="O139" s="1301" t="n"/>
      <c r="P139" s="3586" t="n"/>
      <c r="Q139" s="11969" t="n"/>
      <c r="R139" s="3614" t="n"/>
      <c r="S139" s="7638" t="n"/>
      <c r="T139" s="11934" t="n"/>
      <c r="U139" s="11934" t="n"/>
      <c r="V139" s="9629" t="n"/>
      <c r="W139" s="11717" t="n"/>
      <c r="X139" s="3540" t="n"/>
      <c r="Y139" s="3540" t="n"/>
      <c r="Z139" s="3540" t="n"/>
    </row>
    <row r="140" ht="12" customHeight="1" s="7635">
      <c r="A140" s="139" t="n"/>
      <c r="B140" s="12416" t="n"/>
      <c r="C140" s="11745" t="n"/>
      <c r="D140" s="11745" t="n"/>
      <c r="E140" s="11745" t="n"/>
      <c r="F140" s="11745" t="n"/>
      <c r="G140" s="11948" t="n"/>
      <c r="H140" s="12417" t="n"/>
      <c r="I140" s="12073" t="n"/>
      <c r="J140" s="12073" t="n"/>
      <c r="K140" s="12073" t="n"/>
      <c r="L140" s="12382" t="n"/>
      <c r="M140" s="3583" t="n"/>
      <c r="N140" s="3584" t="n"/>
      <c r="O140" s="3585" t="n"/>
      <c r="P140" s="3585" t="n"/>
      <c r="Q140" s="1448" t="n"/>
      <c r="R140" s="12383" t="inlineStr">
        <is>
          <t>Yes</t>
        </is>
      </c>
      <c r="S140" s="10091" t="n"/>
      <c r="T140" s="12384">
        <f>IF(AND(OR(B140&lt;&gt;"",V141&lt;&gt;""),Q140=""),"X","")</f>
        <v/>
      </c>
      <c r="U140" s="12383" t="inlineStr">
        <is>
          <t>No</t>
        </is>
      </c>
      <c r="V140" s="1444" t="n"/>
      <c r="W140" s="1445" t="n"/>
      <c r="X140" s="3540" t="n"/>
      <c r="Y140" s="3540" t="n"/>
      <c r="Z140" s="3540" t="n"/>
    </row>
    <row r="141" ht="12" customHeight="1" s="7635">
      <c r="A141" s="139" t="n"/>
      <c r="B141" s="11717" t="n"/>
      <c r="C141" s="11717" t="n"/>
      <c r="D141" s="11717" t="n"/>
      <c r="E141" s="11717" t="n"/>
      <c r="F141" s="11717" t="n"/>
      <c r="G141" s="11718" t="n"/>
      <c r="H141" s="12418" t="n"/>
      <c r="I141" s="12074" t="n"/>
      <c r="J141" s="12074" t="n"/>
      <c r="K141" s="12074" t="n"/>
      <c r="L141" s="12081" t="n"/>
      <c r="M141" s="1299" t="n"/>
      <c r="N141" s="1300" t="n"/>
      <c r="O141" s="1301" t="n"/>
      <c r="P141" s="3586" t="n"/>
      <c r="Q141" s="11969" t="n"/>
      <c r="R141" s="3614" t="n"/>
      <c r="S141" s="7638" t="n"/>
      <c r="T141" s="11934" t="n"/>
      <c r="U141" s="11934" t="n"/>
      <c r="V141" s="9629" t="n"/>
      <c r="W141" s="11717" t="n"/>
      <c r="X141" s="3540" t="n"/>
      <c r="Y141" s="3540" t="n"/>
      <c r="Z141" s="3540" t="n"/>
    </row>
    <row r="142" ht="12" customHeight="1" s="7635">
      <c r="A142" s="139" t="n"/>
      <c r="B142" s="12416" t="n"/>
      <c r="C142" s="11745" t="n"/>
      <c r="D142" s="11745" t="n"/>
      <c r="E142" s="11745" t="n"/>
      <c r="F142" s="11745" t="n"/>
      <c r="G142" s="11948" t="n"/>
      <c r="H142" s="12417" t="n"/>
      <c r="I142" s="12073" t="n"/>
      <c r="J142" s="12073" t="n"/>
      <c r="K142" s="12073" t="n"/>
      <c r="L142" s="12382" t="n"/>
      <c r="M142" s="3583" t="n"/>
      <c r="N142" s="3584" t="n"/>
      <c r="O142" s="3585" t="n"/>
      <c r="P142" s="3585" t="n"/>
      <c r="Q142" s="1448" t="n"/>
      <c r="R142" s="12383" t="inlineStr">
        <is>
          <t>Yes</t>
        </is>
      </c>
      <c r="S142" s="10091" t="n"/>
      <c r="T142" s="12384">
        <f>IF(AND(OR(B142&lt;&gt;"",V143&lt;&gt;""),Q142=""),"X","")</f>
        <v/>
      </c>
      <c r="U142" s="12383" t="inlineStr">
        <is>
          <t>No</t>
        </is>
      </c>
      <c r="V142" s="1444" t="n"/>
      <c r="W142" s="1445" t="n"/>
      <c r="X142" s="3540" t="n"/>
      <c r="Y142" s="3540" t="n"/>
      <c r="Z142" s="3540" t="n"/>
    </row>
    <row r="143" ht="12" customHeight="1" s="7635">
      <c r="A143" s="139" t="n"/>
      <c r="B143" s="11717" t="n"/>
      <c r="C143" s="11717" t="n"/>
      <c r="D143" s="11717" t="n"/>
      <c r="E143" s="11717" t="n"/>
      <c r="F143" s="11717" t="n"/>
      <c r="G143" s="11718" t="n"/>
      <c r="H143" s="12418" t="n"/>
      <c r="I143" s="12074" t="n"/>
      <c r="J143" s="12074" t="n"/>
      <c r="K143" s="12074" t="n"/>
      <c r="L143" s="12081" t="n"/>
      <c r="M143" s="1299" t="n"/>
      <c r="N143" s="1300" t="n"/>
      <c r="O143" s="1301" t="n"/>
      <c r="P143" s="3586" t="n"/>
      <c r="Q143" s="11969" t="n"/>
      <c r="R143" s="3614" t="n"/>
      <c r="S143" s="7638" t="n"/>
      <c r="T143" s="11934" t="n"/>
      <c r="U143" s="11934" t="n"/>
      <c r="V143" s="9629" t="n"/>
      <c r="W143" s="11717" t="n"/>
      <c r="X143" s="3540" t="n"/>
      <c r="Y143" s="3540" t="n"/>
      <c r="Z143" s="3540" t="n"/>
    </row>
    <row r="144" ht="12" customHeight="1" s="7635">
      <c r="A144" s="139" t="n"/>
      <c r="B144" s="12416" t="n"/>
      <c r="C144" s="11745" t="n"/>
      <c r="D144" s="11745" t="n"/>
      <c r="E144" s="11745" t="n"/>
      <c r="F144" s="11745" t="n"/>
      <c r="G144" s="11948" t="n"/>
      <c r="H144" s="12417" t="n"/>
      <c r="I144" s="12073" t="n"/>
      <c r="J144" s="12073" t="n"/>
      <c r="K144" s="12073" t="n"/>
      <c r="L144" s="12382" t="n"/>
      <c r="M144" s="3583" t="n"/>
      <c r="N144" s="3584" t="n"/>
      <c r="O144" s="3585" t="n"/>
      <c r="P144" s="3585" t="n"/>
      <c r="Q144" s="1448" t="n"/>
      <c r="R144" s="12383" t="inlineStr">
        <is>
          <t>Yes</t>
        </is>
      </c>
      <c r="S144" s="10091" t="n"/>
      <c r="T144" s="12384">
        <f>IF(AND(OR(B144&lt;&gt;"",V145&lt;&gt;""),Q144=""),"X","")</f>
        <v/>
      </c>
      <c r="U144" s="12383" t="inlineStr">
        <is>
          <t>No</t>
        </is>
      </c>
      <c r="V144" s="1444" t="n"/>
      <c r="W144" s="1445" t="n"/>
      <c r="X144" s="3540" t="n"/>
      <c r="Y144" s="3540" t="n"/>
      <c r="Z144" s="3540" t="n"/>
    </row>
    <row r="145" ht="12" customHeight="1" s="7635">
      <c r="A145" s="139" t="n"/>
      <c r="B145" s="11717" t="n"/>
      <c r="C145" s="11717" t="n"/>
      <c r="D145" s="11717" t="n"/>
      <c r="E145" s="11717" t="n"/>
      <c r="F145" s="11717" t="n"/>
      <c r="G145" s="11718" t="n"/>
      <c r="H145" s="12418" t="n"/>
      <c r="I145" s="12074" t="n"/>
      <c r="J145" s="12074" t="n"/>
      <c r="K145" s="12074" t="n"/>
      <c r="L145" s="12081" t="n"/>
      <c r="M145" s="1299" t="n"/>
      <c r="N145" s="1300" t="n"/>
      <c r="O145" s="1301" t="n"/>
      <c r="P145" s="3586" t="n"/>
      <c r="Q145" s="11969" t="n"/>
      <c r="R145" s="3614" t="n"/>
      <c r="S145" s="7638" t="n"/>
      <c r="T145" s="11934" t="n"/>
      <c r="U145" s="11934" t="n"/>
      <c r="V145" s="9629" t="n"/>
      <c r="W145" s="11717" t="n"/>
      <c r="X145" s="3540" t="n"/>
      <c r="Y145" s="3540" t="n"/>
      <c r="Z145" s="3540" t="n"/>
    </row>
    <row r="146" ht="12" customHeight="1" s="7635">
      <c r="A146" s="139" t="n"/>
      <c r="B146" s="12416" t="n"/>
      <c r="C146" s="11745" t="n"/>
      <c r="D146" s="11745" t="n"/>
      <c r="E146" s="11745" t="n"/>
      <c r="F146" s="11745" t="n"/>
      <c r="G146" s="11948" t="n"/>
      <c r="H146" s="12417" t="n"/>
      <c r="I146" s="12073" t="n"/>
      <c r="J146" s="12073" t="n"/>
      <c r="K146" s="12073" t="n"/>
      <c r="L146" s="12382" t="n"/>
      <c r="M146" s="3583" t="n"/>
      <c r="N146" s="3584" t="n"/>
      <c r="O146" s="3585" t="n"/>
      <c r="P146" s="3585" t="n"/>
      <c r="Q146" s="1448" t="n"/>
      <c r="R146" s="12383" t="inlineStr">
        <is>
          <t>Yes</t>
        </is>
      </c>
      <c r="S146" s="10091" t="n"/>
      <c r="T146" s="12384">
        <f>IF(AND(OR(B146&lt;&gt;"",V147&lt;&gt;""),Q146=""),"X","")</f>
        <v/>
      </c>
      <c r="U146" s="12383" t="inlineStr">
        <is>
          <t>No</t>
        </is>
      </c>
      <c r="V146" s="1444" t="n"/>
      <c r="W146" s="1445" t="n"/>
      <c r="X146" s="3540" t="n"/>
      <c r="Y146" s="3540" t="n"/>
      <c r="Z146" s="3540" t="n"/>
    </row>
    <row r="147" ht="12" customHeight="1" s="7635">
      <c r="A147" s="139" t="n"/>
      <c r="B147" s="11717" t="n"/>
      <c r="C147" s="11717" t="n"/>
      <c r="D147" s="11717" t="n"/>
      <c r="E147" s="11717" t="n"/>
      <c r="F147" s="11717" t="n"/>
      <c r="G147" s="11718" t="n"/>
      <c r="H147" s="12418" t="n"/>
      <c r="I147" s="12074" t="n"/>
      <c r="J147" s="12074" t="n"/>
      <c r="K147" s="12074" t="n"/>
      <c r="L147" s="12081" t="n"/>
      <c r="M147" s="1299" t="n"/>
      <c r="N147" s="1300" t="n"/>
      <c r="O147" s="1301" t="n"/>
      <c r="P147" s="3586" t="n"/>
      <c r="Q147" s="11969" t="n"/>
      <c r="R147" s="3614" t="n"/>
      <c r="S147" s="7638" t="n"/>
      <c r="T147" s="11934" t="n"/>
      <c r="U147" s="11934" t="n"/>
      <c r="V147" s="9629" t="n"/>
      <c r="W147" s="11717" t="n"/>
      <c r="X147" s="3540" t="n"/>
      <c r="Y147" s="3540" t="n"/>
      <c r="Z147" s="3540" t="n"/>
    </row>
    <row r="148" ht="15" customHeight="1" s="7635">
      <c r="A148" s="139" t="n"/>
      <c r="B148" s="2755" t="n"/>
      <c r="C148" s="2755" t="n"/>
      <c r="D148" s="2755" t="n"/>
      <c r="E148" s="2755" t="n"/>
      <c r="F148" s="2755" t="n"/>
      <c r="G148" s="2755" t="n"/>
      <c r="H148" s="2755" t="n"/>
      <c r="I148" s="2755" t="n"/>
      <c r="J148" s="2755" t="n"/>
      <c r="K148" s="2755" t="n"/>
      <c r="L148" s="2755" t="n"/>
      <c r="M148" s="2755" t="n"/>
      <c r="N148" s="2755" t="n"/>
      <c r="O148" s="2755" t="n"/>
      <c r="P148" s="2755" t="n"/>
      <c r="Q148" s="2755" t="n"/>
      <c r="R148" s="2755" t="n"/>
      <c r="S148" s="2755" t="n"/>
      <c r="T148" s="2755" t="n"/>
      <c r="U148" s="2755" t="n"/>
      <c r="V148" s="2755" t="n"/>
      <c r="W148" s="2755" t="n"/>
      <c r="X148" s="3540" t="n"/>
      <c r="Y148" s="3540" t="n"/>
      <c r="Z148" s="3540" t="n"/>
    </row>
    <row r="149" ht="17.25" customHeight="1" s="7635">
      <c r="A149" s="139" t="n"/>
      <c r="B149" s="3604" t="inlineStr">
        <is>
          <t>Part II</t>
        </is>
      </c>
      <c r="C149" s="3762" t="inlineStr">
        <is>
          <t>Credit for Child and Dependent Care Expenses – (Continued)</t>
        </is>
      </c>
      <c r="D149" s="3605" t="n"/>
      <c r="E149" s="3605" t="n"/>
      <c r="F149" s="3605" t="n"/>
      <c r="G149" s="3606" t="n"/>
      <c r="H149" s="3606" t="n"/>
      <c r="I149" s="3606" t="n"/>
      <c r="J149" s="3606" t="n"/>
      <c r="K149" s="3606" t="n"/>
      <c r="L149" s="3607" t="n"/>
      <c r="M149" s="3606" t="n"/>
      <c r="N149" s="3606" t="n"/>
      <c r="O149" s="3606" t="n"/>
      <c r="P149" s="3606" t="n"/>
      <c r="Q149" s="3606" t="n"/>
      <c r="R149" s="3606" t="n"/>
      <c r="S149" s="3606" t="n"/>
      <c r="T149" s="3606" t="n"/>
      <c r="U149" s="3606" t="n"/>
      <c r="V149" s="3606" t="n"/>
      <c r="W149" s="3606" t="n"/>
      <c r="X149" s="3540" t="n"/>
      <c r="Y149" s="757" t="n"/>
      <c r="Z149" s="3540" t="n"/>
      <c r="AA149" s="3598">
        <f>IF(AND(File_Marr_Sep&lt;&gt;"",$AD$19&lt;&gt;""),"Hide note.","")</f>
        <v/>
      </c>
    </row>
    <row r="150">
      <c r="A150" s="139" t="n"/>
      <c r="B150" s="9646" t="n">
        <v>2</v>
      </c>
      <c r="C150" s="12419" t="inlineStr">
        <is>
          <t xml:space="preserve">Information about your qualifying person(s). </t>
        </is>
      </c>
      <c r="D150" s="7839" t="n"/>
      <c r="E150" s="7839" t="n"/>
      <c r="F150" s="7839" t="n"/>
      <c r="G150" s="7839" t="n"/>
      <c r="H150" s="7839" t="n"/>
      <c r="I150" s="7839" t="n"/>
      <c r="J150" s="7839" t="n"/>
      <c r="K150" s="7839" t="n"/>
      <c r="L150" s="7839" t="n"/>
      <c r="M150" s="2755" t="n"/>
      <c r="N150" s="2755" t="n"/>
      <c r="O150" s="2755" t="n"/>
      <c r="P150" s="2755" t="n"/>
      <c r="Q150" s="2755" t="n"/>
      <c r="R150" s="2755" t="n"/>
      <c r="S150" s="2755" t="n"/>
      <c r="T150" s="2755" t="n"/>
      <c r="U150" s="2755" t="n"/>
      <c r="V150" s="2755" t="n"/>
      <c r="W150" s="2755" t="n"/>
      <c r="X150" s="3540" t="n"/>
      <c r="Y150" s="3540" t="n"/>
      <c r="Z150" s="3540" t="n"/>
      <c r="AA150" s="3598" t="n"/>
      <c r="AM150" s="3598" t="n"/>
      <c r="AO150" s="3598" t="n"/>
    </row>
    <row r="151">
      <c r="A151" s="139" t="n"/>
      <c r="B151" s="7637" t="n"/>
      <c r="C151" s="7637" t="n"/>
      <c r="D151" s="7637" t="n"/>
      <c r="E151" s="7637" t="n"/>
      <c r="F151" s="7637" t="n"/>
      <c r="G151" s="7637" t="n"/>
      <c r="H151" s="7637" t="n"/>
      <c r="I151" s="7637" t="n"/>
      <c r="J151" s="7637" t="n"/>
      <c r="K151" s="7637" t="n"/>
      <c r="L151" s="7637" t="n"/>
      <c r="M151" s="3565" t="n"/>
      <c r="N151" s="3565" t="n"/>
      <c r="O151" s="3565" t="n"/>
      <c r="P151" s="3565" t="n"/>
      <c r="Q151" s="3565" t="n"/>
      <c r="R151" s="3565" t="n"/>
      <c r="S151" s="3565" t="n"/>
      <c r="T151" s="3565" t="n"/>
      <c r="U151" s="3565" t="n"/>
      <c r="V151" s="3565" t="n"/>
      <c r="W151" s="3565" t="n"/>
      <c r="X151" s="3540" t="n"/>
      <c r="Y151" s="3540" t="n"/>
      <c r="Z151" s="3540" t="n"/>
      <c r="AA151" s="3598" t="n"/>
      <c r="AM151" s="3598" t="n"/>
      <c r="AO151" s="3598" t="n"/>
    </row>
    <row r="152" ht="12.75" customHeight="1" s="7635">
      <c r="A152" s="139" t="n"/>
      <c r="B152" s="2755" t="n"/>
      <c r="C152" s="2755" t="n"/>
      <c r="D152" s="2755" t="n"/>
      <c r="E152" s="2755" t="n"/>
      <c r="F152" s="2755" t="n"/>
      <c r="G152" s="3071" t="n"/>
      <c r="H152" s="2755" t="n"/>
      <c r="I152" s="2755" t="n"/>
      <c r="J152" s="2755" t="n"/>
      <c r="K152" s="2755" t="n"/>
      <c r="L152" s="2755" t="n"/>
      <c r="M152" s="12420" t="inlineStr">
        <is>
          <t xml:space="preserve"> (b) Qualifying person's social
security number</t>
        </is>
      </c>
      <c r="S152" s="7636" t="n"/>
      <c r="T152" s="9727" t="n"/>
      <c r="X152" s="3540" t="n"/>
      <c r="Y152" s="3540" t="n"/>
      <c r="Z152" s="3540" t="n"/>
      <c r="AM152" s="3598" t="n"/>
      <c r="AO152" s="3598" t="n"/>
    </row>
    <row r="153" ht="9.75" customHeight="1" s="7635">
      <c r="A153" s="139" t="n"/>
      <c r="B153" s="2755" t="n"/>
      <c r="C153" s="2755" t="n"/>
      <c r="D153" s="2755" t="n"/>
      <c r="E153" s="2755" t="n"/>
      <c r="F153" s="2755" t="n"/>
      <c r="G153" s="3071" t="n"/>
      <c r="H153" s="2755" t="n"/>
      <c r="I153" s="2755" t="n"/>
      <c r="J153" s="2755" t="n"/>
      <c r="K153" s="2755" t="n"/>
      <c r="L153" s="2755" t="n"/>
      <c r="M153" s="4772" t="n"/>
      <c r="S153" s="7636" t="n"/>
      <c r="T153" s="9537" t="inlineStr">
        <is>
          <t>(c) Qualified expenses you</t>
        </is>
      </c>
      <c r="X153" s="3540" t="n"/>
      <c r="Y153" s="3540" t="n"/>
      <c r="Z153" s="3540" t="n"/>
    </row>
    <row r="154" ht="9.75" customHeight="1" s="7635">
      <c r="A154" s="139" t="n"/>
      <c r="B154" s="2755" t="n"/>
      <c r="C154" s="3611" t="n"/>
      <c r="D154" s="3611" t="n"/>
      <c r="E154" s="3611" t="n"/>
      <c r="F154" s="3611" t="n"/>
      <c r="G154" s="3071" t="inlineStr">
        <is>
          <t>(a) Qualifying person's name</t>
        </is>
      </c>
      <c r="H154" s="2755" t="n"/>
      <c r="I154" s="2755" t="n"/>
      <c r="J154" s="2753" t="n"/>
      <c r="K154" s="2753" t="n"/>
      <c r="L154" s="2755" t="n"/>
      <c r="M154" s="4772" t="n"/>
      <c r="S154" s="7636" t="n"/>
      <c r="T154" s="9705">
        <f>"incurred and paid in "&amp;TaxYear&amp;" for"</f>
        <v/>
      </c>
      <c r="X154" s="3540" t="n"/>
      <c r="Y154" s="3540" t="n"/>
      <c r="Z154" s="3540" t="n"/>
    </row>
    <row r="155" ht="10.5" customHeight="1" s="7635">
      <c r="A155" s="139" t="n"/>
      <c r="B155" s="3565" t="n"/>
      <c r="C155" s="3579" t="inlineStr">
        <is>
          <t>First</t>
        </is>
      </c>
      <c r="D155" s="3579" t="n"/>
      <c r="E155" s="3579" t="n"/>
      <c r="F155" s="3579" t="n"/>
      <c r="G155" s="3565" t="n"/>
      <c r="H155" s="3565" t="n"/>
      <c r="I155" s="3565" t="n"/>
      <c r="J155" s="3582" t="inlineStr">
        <is>
          <t>Last</t>
        </is>
      </c>
      <c r="K155" s="3582" t="n"/>
      <c r="L155" s="3565" t="n"/>
      <c r="M155" s="3614" t="n"/>
      <c r="N155" s="7637" t="n"/>
      <c r="O155" s="7637" t="n"/>
      <c r="P155" s="7637" t="n"/>
      <c r="Q155" s="7637" t="n"/>
      <c r="R155" s="7637" t="n"/>
      <c r="S155" s="7638" t="n"/>
      <c r="T155" s="9702" t="inlineStr">
        <is>
          <t>the person listed in column (a)</t>
        </is>
      </c>
      <c r="U155" s="7637" t="n"/>
      <c r="V155" s="7637" t="n"/>
      <c r="W155" s="7637" t="n"/>
      <c r="X155" s="3540" t="n"/>
      <c r="Y155" s="3540" t="n"/>
      <c r="Z155" s="3540" t="n"/>
    </row>
    <row r="156" ht="17.25" customHeight="1" s="7635">
      <c r="A156" s="139" t="n"/>
      <c r="B156" s="12421" t="n"/>
      <c r="C156" s="8007" t="n"/>
      <c r="D156" s="8007" t="n"/>
      <c r="E156" s="8007" t="n"/>
      <c r="F156" s="8007" t="n"/>
      <c r="G156" s="8008" t="n"/>
      <c r="H156" s="12421" t="n"/>
      <c r="I156" s="8007" t="n"/>
      <c r="J156" s="8007" t="n"/>
      <c r="K156" s="8007" t="n"/>
      <c r="L156" s="8008" t="n"/>
      <c r="M156" s="12422" t="n"/>
      <c r="N156" s="8007" t="n"/>
      <c r="O156" s="8007" t="n"/>
      <c r="P156" s="8007" t="n"/>
      <c r="Q156" s="8007" t="n"/>
      <c r="R156" s="8007" t="n"/>
      <c r="S156" s="8008" t="n"/>
      <c r="T156" s="9606" t="n"/>
      <c r="U156" s="8007" t="n"/>
      <c r="V156" s="8007" t="n"/>
      <c r="W156" s="8007" t="n"/>
      <c r="X156" s="3540">
        <f>IF(T156&lt;&gt;"",1,0)</f>
        <v/>
      </c>
      <c r="Y156" s="3540" t="n"/>
      <c r="Z156" s="3540" t="n"/>
      <c r="AA156" s="7623" t="n"/>
    </row>
    <row r="157" ht="24" customHeight="1" s="7635">
      <c r="A157" s="139" t="n"/>
      <c r="B157" s="12421" t="n"/>
      <c r="C157" s="8007" t="n"/>
      <c r="D157" s="8007" t="n"/>
      <c r="E157" s="8007" t="n"/>
      <c r="F157" s="8007" t="n"/>
      <c r="G157" s="8008" t="n"/>
      <c r="H157" s="12421" t="n"/>
      <c r="I157" s="8007" t="n"/>
      <c r="J157" s="8007" t="n"/>
      <c r="K157" s="8007" t="n"/>
      <c r="L157" s="8008" t="n"/>
      <c r="M157" s="12422" t="n"/>
      <c r="N157" s="8007" t="n"/>
      <c r="O157" s="8007" t="n"/>
      <c r="P157" s="8007" t="n"/>
      <c r="Q157" s="8007" t="n"/>
      <c r="R157" s="8007" t="n"/>
      <c r="S157" s="8008" t="n"/>
      <c r="T157" s="9606" t="n"/>
      <c r="U157" s="8007" t="n"/>
      <c r="V157" s="8007" t="n"/>
      <c r="W157" s="8007" t="n"/>
      <c r="X157" s="3540">
        <f>IF(T157&lt;&gt;"",1,0)</f>
        <v/>
      </c>
      <c r="Y157" s="3540" t="n"/>
      <c r="Z157" s="3540" t="n"/>
      <c r="AA157" s="8788" t="n"/>
      <c r="AM157" s="7623" t="n"/>
      <c r="AO157" s="7623" t="n"/>
    </row>
    <row r="158" ht="24" customHeight="1" s="7635">
      <c r="A158" s="139" t="n"/>
      <c r="B158" s="12421" t="n"/>
      <c r="C158" s="8007" t="n"/>
      <c r="D158" s="8007" t="n"/>
      <c r="E158" s="8007" t="n"/>
      <c r="F158" s="8007" t="n"/>
      <c r="G158" s="8008" t="n"/>
      <c r="H158" s="12421" t="n"/>
      <c r="I158" s="8007" t="n"/>
      <c r="J158" s="8007" t="n"/>
      <c r="K158" s="8007" t="n"/>
      <c r="L158" s="8008" t="n"/>
      <c r="M158" s="12422" t="n"/>
      <c r="N158" s="8007" t="n"/>
      <c r="O158" s="8007" t="n"/>
      <c r="P158" s="8007" t="n"/>
      <c r="Q158" s="8007" t="n"/>
      <c r="R158" s="8007" t="n"/>
      <c r="S158" s="8008" t="n"/>
      <c r="T158" s="9606" t="n"/>
      <c r="U158" s="8007" t="n"/>
      <c r="V158" s="8007" t="n"/>
      <c r="W158" s="8007" t="n"/>
      <c r="X158" s="3540">
        <f>IF(T158&lt;&gt;"",1,0)</f>
        <v/>
      </c>
      <c r="Y158" s="3540" t="n"/>
      <c r="Z158" s="3540" t="n"/>
      <c r="AA158" s="8788" t="n"/>
      <c r="AM158" s="8788" t="n"/>
      <c r="AO158" s="8788" t="n"/>
    </row>
    <row r="159" ht="24" customHeight="1" s="7635">
      <c r="A159" s="139" t="n"/>
      <c r="B159" s="12421" t="n"/>
      <c r="C159" s="8007" t="n"/>
      <c r="D159" s="8007" t="n"/>
      <c r="E159" s="8007" t="n"/>
      <c r="F159" s="8007" t="n"/>
      <c r="G159" s="8008" t="n"/>
      <c r="H159" s="12421" t="n"/>
      <c r="I159" s="8007" t="n"/>
      <c r="J159" s="8007" t="n"/>
      <c r="K159" s="8007" t="n"/>
      <c r="L159" s="8008" t="n"/>
      <c r="M159" s="12422" t="n"/>
      <c r="N159" s="8007" t="n"/>
      <c r="O159" s="8007" t="n"/>
      <c r="P159" s="8007" t="n"/>
      <c r="Q159" s="8007" t="n"/>
      <c r="R159" s="8007" t="n"/>
      <c r="S159" s="8008" t="n"/>
      <c r="T159" s="9606" t="n"/>
      <c r="U159" s="8007" t="n"/>
      <c r="V159" s="8007" t="n"/>
      <c r="W159" s="8007" t="n"/>
      <c r="X159" s="3540">
        <f>IF(T159&lt;&gt;"",1,0)</f>
        <v/>
      </c>
      <c r="Y159" s="3540" t="n"/>
      <c r="Z159" s="3540" t="n"/>
      <c r="AA159" s="8788" t="n"/>
      <c r="AM159" s="8788" t="n"/>
      <c r="AO159" s="8788" t="n"/>
    </row>
    <row r="160" ht="24" customHeight="1" s="7635">
      <c r="A160" s="139" t="n"/>
      <c r="B160" s="12421" t="n"/>
      <c r="C160" s="8007" t="n"/>
      <c r="D160" s="8007" t="n"/>
      <c r="E160" s="8007" t="n"/>
      <c r="F160" s="8007" t="n"/>
      <c r="G160" s="8008" t="n"/>
      <c r="H160" s="12421" t="n"/>
      <c r="I160" s="8007" t="n"/>
      <c r="J160" s="8007" t="n"/>
      <c r="K160" s="8007" t="n"/>
      <c r="L160" s="8008" t="n"/>
      <c r="M160" s="12422" t="n"/>
      <c r="N160" s="8007" t="n"/>
      <c r="O160" s="8007" t="n"/>
      <c r="P160" s="8007" t="n"/>
      <c r="Q160" s="8007" t="n"/>
      <c r="R160" s="8007" t="n"/>
      <c r="S160" s="8008" t="n"/>
      <c r="T160" s="9606" t="n"/>
      <c r="U160" s="8007" t="n"/>
      <c r="V160" s="8007" t="n"/>
      <c r="W160" s="8007" t="n"/>
      <c r="X160" s="3540">
        <f>IF(T160&lt;&gt;"",1,0)</f>
        <v/>
      </c>
      <c r="Y160" s="3540" t="n"/>
      <c r="Z160" s="3540" t="n"/>
      <c r="AA160" s="8788" t="n"/>
      <c r="AM160" s="8788" t="n"/>
      <c r="AO160" s="8788" t="n"/>
    </row>
    <row r="161" ht="24" customHeight="1" s="7635">
      <c r="A161" s="139" t="n"/>
      <c r="B161" s="12421" t="n"/>
      <c r="C161" s="8007" t="n"/>
      <c r="D161" s="8007" t="n"/>
      <c r="E161" s="8007" t="n"/>
      <c r="F161" s="8007" t="n"/>
      <c r="G161" s="8008" t="n"/>
      <c r="H161" s="12421" t="n"/>
      <c r="I161" s="8007" t="n"/>
      <c r="J161" s="8007" t="n"/>
      <c r="K161" s="8007" t="n"/>
      <c r="L161" s="8008" t="n"/>
      <c r="M161" s="12422" t="n"/>
      <c r="N161" s="8007" t="n"/>
      <c r="O161" s="8007" t="n"/>
      <c r="P161" s="8007" t="n"/>
      <c r="Q161" s="8007" t="n"/>
      <c r="R161" s="8007" t="n"/>
      <c r="S161" s="8008" t="n"/>
      <c r="T161" s="9606" t="n"/>
      <c r="U161" s="8007" t="n"/>
      <c r="V161" s="8007" t="n"/>
      <c r="W161" s="8007" t="n"/>
      <c r="X161" s="3540">
        <f>IF(T161&lt;&gt;"",1,0)</f>
        <v/>
      </c>
      <c r="Y161" s="3540" t="n"/>
      <c r="Z161" s="3540" t="n"/>
      <c r="AA161" s="8788" t="n"/>
      <c r="AM161" s="8788" t="n"/>
      <c r="AO161" s="8788" t="n"/>
    </row>
    <row r="162" ht="24" customHeight="1" s="7635">
      <c r="A162" s="139" t="n"/>
      <c r="B162" s="12421" t="n"/>
      <c r="C162" s="8007" t="n"/>
      <c r="D162" s="8007" t="n"/>
      <c r="E162" s="8007" t="n"/>
      <c r="F162" s="8007" t="n"/>
      <c r="G162" s="8008" t="n"/>
      <c r="H162" s="12421" t="n"/>
      <c r="I162" s="8007" t="n"/>
      <c r="J162" s="8007" t="n"/>
      <c r="K162" s="8007" t="n"/>
      <c r="L162" s="8008" t="n"/>
      <c r="M162" s="12422" t="n"/>
      <c r="N162" s="8007" t="n"/>
      <c r="O162" s="8007" t="n"/>
      <c r="P162" s="8007" t="n"/>
      <c r="Q162" s="8007" t="n"/>
      <c r="R162" s="8007" t="n"/>
      <c r="S162" s="8008" t="n"/>
      <c r="T162" s="9606" t="n"/>
      <c r="U162" s="8007" t="n"/>
      <c r="V162" s="8007" t="n"/>
      <c r="W162" s="8007" t="n"/>
      <c r="X162" s="3540">
        <f>IF(T162&lt;&gt;"",1,0)</f>
        <v/>
      </c>
      <c r="Y162" s="3540" t="n"/>
      <c r="Z162" s="3540" t="n"/>
      <c r="AA162" s="8788" t="n"/>
      <c r="AM162" s="8788" t="n"/>
      <c r="AO162" s="8788" t="n"/>
    </row>
    <row r="163" ht="24" customHeight="1" s="7635">
      <c r="A163" s="139" t="n"/>
      <c r="B163" s="12421" t="n"/>
      <c r="C163" s="8007" t="n"/>
      <c r="D163" s="8007" t="n"/>
      <c r="E163" s="8007" t="n"/>
      <c r="F163" s="8007" t="n"/>
      <c r="G163" s="8008" t="n"/>
      <c r="H163" s="12421" t="n"/>
      <c r="I163" s="8007" t="n"/>
      <c r="J163" s="8007" t="n"/>
      <c r="K163" s="8007" t="n"/>
      <c r="L163" s="8008" t="n"/>
      <c r="M163" s="12422" t="n"/>
      <c r="N163" s="8007" t="n"/>
      <c r="O163" s="8007" t="n"/>
      <c r="P163" s="8007" t="n"/>
      <c r="Q163" s="8007" t="n"/>
      <c r="R163" s="8007" t="n"/>
      <c r="S163" s="8008" t="n"/>
      <c r="T163" s="9606" t="n"/>
      <c r="U163" s="8007" t="n"/>
      <c r="V163" s="8007" t="n"/>
      <c r="W163" s="8007" t="n"/>
      <c r="X163" s="3540">
        <f>IF(T163&lt;&gt;"",1,0)</f>
        <v/>
      </c>
      <c r="Y163" s="3540" t="n"/>
      <c r="Z163" s="3540" t="n"/>
      <c r="AA163" s="8788" t="n"/>
      <c r="AM163" s="8788" t="n"/>
      <c r="AO163" s="8788" t="n"/>
    </row>
    <row r="164" ht="24" customHeight="1" s="7635">
      <c r="A164" s="139" t="n"/>
      <c r="B164" s="12421" t="n"/>
      <c r="C164" s="8007" t="n"/>
      <c r="D164" s="8007" t="n"/>
      <c r="E164" s="8007" t="n"/>
      <c r="F164" s="8007" t="n"/>
      <c r="G164" s="8008" t="n"/>
      <c r="H164" s="12421" t="n"/>
      <c r="I164" s="8007" t="n"/>
      <c r="J164" s="8007" t="n"/>
      <c r="K164" s="8007" t="n"/>
      <c r="L164" s="8008" t="n"/>
      <c r="M164" s="12422" t="n"/>
      <c r="N164" s="8007" t="n"/>
      <c r="O164" s="8007" t="n"/>
      <c r="P164" s="8007" t="n"/>
      <c r="Q164" s="8007" t="n"/>
      <c r="R164" s="8007" t="n"/>
      <c r="S164" s="8008" t="n"/>
      <c r="T164" s="9606" t="n"/>
      <c r="U164" s="8007" t="n"/>
      <c r="V164" s="8007" t="n"/>
      <c r="W164" s="8007" t="n"/>
      <c r="X164" s="3540">
        <f>IF(T164&lt;&gt;"",1,0)</f>
        <v/>
      </c>
      <c r="Y164" s="3540" t="n"/>
      <c r="Z164" s="3540" t="n"/>
      <c r="AA164" s="8788" t="n"/>
      <c r="AM164" s="8788" t="n"/>
      <c r="AO164" s="8788" t="n"/>
    </row>
    <row r="165" ht="24" customHeight="1" s="7635">
      <c r="A165" s="139" t="n"/>
      <c r="B165" s="12421" t="n"/>
      <c r="C165" s="8007" t="n"/>
      <c r="D165" s="8007" t="n"/>
      <c r="E165" s="8007" t="n"/>
      <c r="F165" s="8007" t="n"/>
      <c r="G165" s="8008" t="n"/>
      <c r="H165" s="12421" t="n"/>
      <c r="I165" s="8007" t="n"/>
      <c r="J165" s="8007" t="n"/>
      <c r="K165" s="8007" t="n"/>
      <c r="L165" s="8008" t="n"/>
      <c r="M165" s="12422" t="n"/>
      <c r="N165" s="8007" t="n"/>
      <c r="O165" s="8007" t="n"/>
      <c r="P165" s="8007" t="n"/>
      <c r="Q165" s="8007" t="n"/>
      <c r="R165" s="8007" t="n"/>
      <c r="S165" s="8008" t="n"/>
      <c r="T165" s="9606" t="n"/>
      <c r="U165" s="8007" t="n"/>
      <c r="V165" s="8007" t="n"/>
      <c r="W165" s="8007" t="n"/>
      <c r="X165" s="3540">
        <f>IF(T165&lt;&gt;"",1,0)</f>
        <v/>
      </c>
      <c r="Y165" s="3540" t="n"/>
      <c r="Z165" s="3540" t="n"/>
      <c r="AA165" s="8788" t="n"/>
      <c r="AM165" s="8788" t="n"/>
      <c r="AO165" s="8788" t="n"/>
    </row>
    <row r="166" ht="24" customHeight="1" s="7635">
      <c r="A166" s="139" t="n"/>
      <c r="B166" s="12421" t="n"/>
      <c r="C166" s="8007" t="n"/>
      <c r="D166" s="8007" t="n"/>
      <c r="E166" s="8007" t="n"/>
      <c r="F166" s="8007" t="n"/>
      <c r="G166" s="8008" t="n"/>
      <c r="H166" s="12421" t="n"/>
      <c r="I166" s="8007" t="n"/>
      <c r="J166" s="8007" t="n"/>
      <c r="K166" s="8007" t="n"/>
      <c r="L166" s="8008" t="n"/>
      <c r="M166" s="12422" t="n"/>
      <c r="N166" s="8007" t="n"/>
      <c r="O166" s="8007" t="n"/>
      <c r="P166" s="8007" t="n"/>
      <c r="Q166" s="8007" t="n"/>
      <c r="R166" s="8007" t="n"/>
      <c r="S166" s="8008" t="n"/>
      <c r="T166" s="9606" t="n"/>
      <c r="U166" s="8007" t="n"/>
      <c r="V166" s="8007" t="n"/>
      <c r="W166" s="8007" t="n"/>
      <c r="X166" s="3540">
        <f>IF(T166&lt;&gt;"",1,0)</f>
        <v/>
      </c>
      <c r="Y166" s="3540" t="n"/>
      <c r="Z166" s="3540" t="n"/>
      <c r="AA166" s="8788" t="n"/>
      <c r="AM166" s="8788" t="n"/>
      <c r="AO166" s="8788" t="n"/>
    </row>
    <row r="167" ht="7.5" customHeight="1" s="7635">
      <c r="A167" s="139" t="n"/>
      <c r="B167" s="3763" t="n"/>
      <c r="C167" s="3763" t="n"/>
      <c r="D167" s="3763" t="n"/>
      <c r="E167" s="3763" t="n"/>
      <c r="F167" s="3763" t="n"/>
      <c r="G167" s="3763" t="n"/>
      <c r="H167" s="3763" t="n"/>
      <c r="I167" s="3763" t="n"/>
      <c r="J167" s="3763" t="n"/>
      <c r="K167" s="3763" t="n"/>
      <c r="L167" s="3763" t="n"/>
      <c r="M167" s="3763" t="n"/>
      <c r="N167" s="3763" t="n"/>
      <c r="O167" s="3763" t="n"/>
      <c r="P167" s="3763" t="n"/>
      <c r="Q167" s="3763" t="n"/>
      <c r="R167" s="3763" t="n"/>
      <c r="S167" s="3763" t="n"/>
      <c r="T167" s="3763" t="n"/>
      <c r="U167" s="3763" t="n"/>
      <c r="V167" s="3763" t="n"/>
      <c r="W167" s="3763" t="n"/>
      <c r="X167" s="3540" t="n"/>
      <c r="Y167" s="3540" t="n"/>
      <c r="Z167" s="3540" t="n"/>
      <c r="AM167" s="8788" t="n"/>
      <c r="AO167" s="8788" t="n"/>
    </row>
    <row r="168" ht="23.25" customHeight="1" s="7635">
      <c r="A168" s="139" t="n"/>
      <c r="B168" s="3764" t="n"/>
      <c r="C168" s="3765" t="inlineStr">
        <is>
          <t>Credit Limit Worksheet -- For Line 10.</t>
        </is>
      </c>
      <c r="D168" s="3764" t="n"/>
      <c r="E168" s="3764" t="n"/>
      <c r="F168" s="3764" t="n"/>
      <c r="G168" s="3764" t="n"/>
      <c r="H168" s="3764" t="n"/>
      <c r="I168" s="3764" t="n"/>
      <c r="J168" s="3764" t="n"/>
      <c r="K168" s="3764" t="n"/>
      <c r="L168" s="3764" t="n"/>
      <c r="M168" s="3764" t="n"/>
      <c r="N168" s="3764" t="n"/>
      <c r="O168" s="3764" t="n"/>
      <c r="P168" s="3764" t="n"/>
      <c r="Q168" s="3764" t="n"/>
      <c r="R168" s="3764" t="n"/>
      <c r="S168" s="3764" t="n"/>
      <c r="T168" s="3764" t="n"/>
      <c r="U168" s="3764" t="n"/>
      <c r="V168" s="3764" t="n"/>
      <c r="W168" s="3764" t="n"/>
      <c r="X168" s="3540" t="n"/>
      <c r="Y168" s="3540" t="n"/>
      <c r="Z168" s="3540" t="n"/>
    </row>
    <row r="169" ht="13.5" customHeight="1" s="7635">
      <c r="A169" s="139" t="n"/>
      <c r="B169" s="3764" t="n"/>
      <c r="C169" s="3766" t="n"/>
      <c r="D169" s="3764" t="n"/>
      <c r="E169" s="3764" t="n"/>
      <c r="F169" s="3764" t="n"/>
      <c r="G169" s="3764" t="n"/>
      <c r="H169" s="3764" t="n"/>
      <c r="I169" s="3764" t="n"/>
      <c r="J169" s="3764" t="n"/>
      <c r="K169" s="3764" t="n"/>
      <c r="L169" s="3764" t="n"/>
      <c r="M169" s="3764" t="n"/>
      <c r="N169" s="3764" t="n"/>
      <c r="O169" s="3764" t="n"/>
      <c r="P169" s="3764" t="n"/>
      <c r="Q169" s="3764" t="n"/>
      <c r="R169" s="3764" t="n"/>
      <c r="S169" s="3764" t="n"/>
      <c r="T169" s="3764" t="n"/>
      <c r="U169" s="3764" t="n"/>
      <c r="V169" s="3764" t="n"/>
      <c r="W169" s="3764" t="n"/>
      <c r="X169" s="3540" t="n"/>
      <c r="Y169" s="3540" t="n"/>
      <c r="Z169" s="3540" t="n"/>
    </row>
    <row r="170" ht="13.5" customHeight="1" s="7635">
      <c r="A170" s="139" t="n"/>
      <c r="B170" s="3764" t="n"/>
      <c r="C170" s="3767" t="inlineStr">
        <is>
          <t>Complete this worksheet to figure the amount to enter on line 10.</t>
        </is>
      </c>
      <c r="D170" s="3767" t="n"/>
      <c r="E170" s="3768" t="n"/>
      <c r="F170" s="3764" t="n"/>
      <c r="G170" s="3764" t="n"/>
      <c r="H170" s="3764" t="n"/>
      <c r="I170" s="3764" t="n"/>
      <c r="J170" s="3764" t="n"/>
      <c r="K170" s="3764" t="n"/>
      <c r="L170" s="3764" t="n"/>
      <c r="M170" s="3764" t="n"/>
      <c r="N170" s="3764" t="n"/>
      <c r="O170" s="3764" t="n"/>
      <c r="P170" s="3764" t="n"/>
      <c r="Q170" s="3764" t="n"/>
      <c r="R170" s="3764" t="n"/>
      <c r="S170" s="3764" t="n"/>
      <c r="T170" s="3764" t="n"/>
      <c r="U170" s="3764" t="n"/>
      <c r="V170" s="3764" t="n"/>
      <c r="W170" s="3764" t="n"/>
      <c r="X170" s="3540" t="n"/>
      <c r="Y170" s="3540" t="n"/>
      <c r="Z170" s="3540" t="n"/>
    </row>
    <row r="171" ht="13.5" customHeight="1" s="7635">
      <c r="A171" s="139" t="n"/>
      <c r="B171" s="3764" t="n"/>
      <c r="C171" s="3769" t="n"/>
      <c r="D171" s="3767" t="n"/>
      <c r="E171" s="3764" t="n"/>
      <c r="F171" s="3764" t="n"/>
      <c r="G171" s="3764" t="n"/>
      <c r="H171" s="3764" t="n"/>
      <c r="I171" s="3764" t="n"/>
      <c r="J171" s="3764" t="n"/>
      <c r="K171" s="3764" t="n"/>
      <c r="L171" s="3764" t="n"/>
      <c r="M171" s="3764" t="n"/>
      <c r="N171" s="3764" t="n"/>
      <c r="O171" s="3764" t="n"/>
      <c r="P171" s="3764" t="n"/>
      <c r="Q171" s="3764" t="n"/>
      <c r="R171" s="351" t="n"/>
      <c r="S171" s="3764" t="n"/>
      <c r="T171" s="3764" t="n"/>
      <c r="U171" s="3764" t="n"/>
      <c r="V171" s="3764" t="n"/>
      <c r="W171" s="3764" t="n"/>
      <c r="X171" s="3540" t="n"/>
      <c r="Y171" s="3540" t="n"/>
      <c r="Z171" s="3540" t="n"/>
    </row>
    <row r="172" ht="13.5" customHeight="1" s="7635">
      <c r="A172" s="139" t="n"/>
      <c r="B172" s="3764" t="n"/>
      <c r="C172" s="3769" t="inlineStr">
        <is>
          <t>1.</t>
        </is>
      </c>
      <c r="D172" s="3764" t="inlineStr">
        <is>
          <t>Enter the amount from Form 1040, 1040-SR, or</t>
        </is>
      </c>
      <c r="E172" s="3764" t="n"/>
      <c r="F172" s="3764" t="n"/>
      <c r="G172" s="3764" t="n"/>
      <c r="H172" s="3764" t="n"/>
      <c r="I172" s="3764" t="n"/>
      <c r="J172" s="3764" t="n"/>
      <c r="K172" s="3764" t="n"/>
      <c r="L172" s="3764" t="n"/>
      <c r="M172" s="3764" t="n"/>
      <c r="N172" s="3764" t="n"/>
      <c r="O172" s="3764" t="n"/>
      <c r="P172" s="3764" t="n"/>
      <c r="Q172" s="3764" t="n"/>
      <c r="R172" s="3764" t="n"/>
      <c r="S172" s="3764" t="n"/>
      <c r="T172" s="3764" t="n"/>
      <c r="U172" s="3764" t="n"/>
      <c r="V172" s="3764" t="n"/>
      <c r="W172" s="3764" t="n"/>
      <c r="X172" s="3540" t="n"/>
      <c r="Y172" s="3540" t="n"/>
      <c r="Z172" s="3540" t="n"/>
    </row>
    <row r="173" ht="13.5" customHeight="1" s="7635">
      <c r="A173" s="139" t="n"/>
      <c r="B173" s="3764" t="n"/>
      <c r="C173" s="3770" t="n"/>
      <c r="D173" s="3764" t="inlineStr">
        <is>
          <t>1040-NR, line 18</t>
        </is>
      </c>
      <c r="E173" s="3764" t="n"/>
      <c r="F173" s="3764" t="n"/>
      <c r="G173" s="3764" t="n"/>
      <c r="H173" s="3764" t="n"/>
      <c r="I173" s="3764" t="n"/>
      <c r="J173" s="3764" t="n"/>
      <c r="K173" s="3764" t="n"/>
      <c r="L173" s="3764" t="n"/>
      <c r="M173" s="3764" t="n"/>
      <c r="N173" s="3764" t="n"/>
      <c r="O173" s="3764" t="n"/>
      <c r="P173" s="3764" t="n"/>
      <c r="Q173" s="3764" t="n"/>
      <c r="R173" s="351" t="n"/>
      <c r="S173" s="3764" t="n"/>
      <c r="T173" s="8374" t="inlineStr">
        <is>
          <t xml:space="preserve">.   .   .   .   .   .   .   .   .   .   .   .   .   .   .   .   .   .   .   .   .   .   .   .   .   .   .   .   .   .   . </t>
        </is>
      </c>
      <c r="U173" s="351" t="inlineStr">
        <is>
          <t>1.</t>
        </is>
      </c>
      <c r="V173" s="7758">
        <f>IF(K28&lt;&gt;"","",Tax)</f>
        <v/>
      </c>
      <c r="W173" s="3764" t="n"/>
      <c r="X173" s="3540" t="n"/>
      <c r="Y173" s="3540" t="n"/>
      <c r="Z173" s="3540" t="n"/>
    </row>
    <row r="174">
      <c r="A174" s="139" t="n"/>
      <c r="B174" s="3764" t="n"/>
      <c r="C174" s="3769" t="inlineStr">
        <is>
          <t>2.</t>
        </is>
      </c>
      <c r="D174" s="3764" t="inlineStr">
        <is>
          <t>Enter the amount from Schedule 3 (Form 1040), line 1</t>
        </is>
      </c>
      <c r="E174" s="3764" t="n"/>
      <c r="F174" s="3764" t="n"/>
      <c r="G174" s="3764" t="n"/>
      <c r="H174" s="3764" t="n"/>
      <c r="I174" s="3764" t="n"/>
      <c r="J174" s="3764" t="n"/>
      <c r="K174" s="3764" t="n"/>
      <c r="L174" s="3764" t="n"/>
      <c r="M174" s="3764" t="n"/>
      <c r="N174" s="3764" t="n"/>
      <c r="O174" s="3764" t="n"/>
      <c r="P174" s="3764" t="n"/>
      <c r="Q174" s="3764" t="n"/>
      <c r="R174" s="3764" t="n"/>
      <c r="S174" s="3764" t="n"/>
      <c r="T174" s="3764" t="n"/>
      <c r="U174" s="3764" t="n"/>
      <c r="V174" s="3764" t="n"/>
      <c r="W174" s="3764" t="n"/>
      <c r="X174" s="3540" t="n"/>
      <c r="Y174" s="3540" t="n"/>
      <c r="Z174" s="3540" t="n"/>
    </row>
    <row r="175">
      <c r="A175" s="139" t="n"/>
      <c r="B175" s="3764" t="n"/>
      <c r="C175" s="3770" t="n"/>
      <c r="D175" s="3764" t="inlineStr">
        <is>
          <t>(foreign tax credit) and line 6l (Form 8978, line 14)</t>
        </is>
      </c>
      <c r="E175" s="3764" t="n"/>
      <c r="F175" s="3764" t="n"/>
      <c r="G175" s="3764" t="n"/>
      <c r="H175" s="3764" t="n"/>
      <c r="I175" s="3764" t="n"/>
      <c r="J175" s="3764" t="n"/>
      <c r="K175" s="3764" t="n"/>
      <c r="L175" s="3764" t="n"/>
      <c r="M175" s="3764" t="n"/>
      <c r="N175" s="3764" t="n"/>
      <c r="O175" s="3764" t="n"/>
      <c r="P175" s="3764" t="n"/>
      <c r="Q175" s="3764" t="n"/>
      <c r="R175" s="351" t="n"/>
      <c r="S175" s="3764" t="n"/>
      <c r="T175" s="8374" t="inlineStr">
        <is>
          <t xml:space="preserve">.   .   .   .   .   .   .   .   .   .   .   .   .   .   .   .   .   . </t>
        </is>
      </c>
      <c r="U175" s="351" t="inlineStr">
        <is>
          <t>2.</t>
        </is>
      </c>
      <c r="V175" s="7758">
        <f>IF(K28&lt;&gt;"","",SUM(Foreign_Tax_Credit,'Sch. 3'!W29))</f>
        <v/>
      </c>
      <c r="W175" s="3764" t="n"/>
      <c r="X175" s="3540" t="n"/>
      <c r="Y175" s="3540" t="n"/>
      <c r="Z175" s="3540" t="n"/>
    </row>
    <row r="176">
      <c r="A176" s="139" t="n"/>
      <c r="B176" s="3764" t="n"/>
      <c r="C176" s="3769" t="inlineStr">
        <is>
          <t>3.</t>
        </is>
      </c>
      <c r="D176" s="3767" t="inlineStr">
        <is>
          <t>Subtract line 2 from line 1. also, enter this amount on</t>
        </is>
      </c>
      <c r="E176" s="3764" t="n"/>
      <c r="F176" s="3764" t="n"/>
      <c r="G176" s="3764" t="n"/>
      <c r="H176" s="3764" t="n"/>
      <c r="I176" s="3764" t="n"/>
      <c r="J176" s="3764" t="n"/>
      <c r="K176" s="3764" t="n"/>
      <c r="L176" s="3764" t="n"/>
      <c r="M176" s="3764" t="n"/>
      <c r="N176" s="3764" t="n"/>
      <c r="O176" s="3764" t="n"/>
      <c r="P176" s="3764" t="n"/>
      <c r="Q176" s="3764" t="n"/>
      <c r="R176" s="3764" t="n"/>
      <c r="S176" s="3764" t="n"/>
      <c r="T176" s="8374" t="n"/>
      <c r="U176" s="3764" t="n"/>
      <c r="V176" s="3764" t="n"/>
      <c r="W176" s="3764" t="n"/>
      <c r="X176" s="3540" t="n"/>
      <c r="Y176" s="3540" t="n"/>
      <c r="Z176" s="3540" t="n"/>
    </row>
    <row r="177">
      <c r="A177" s="139" t="n"/>
      <c r="B177" s="3764" t="n"/>
      <c r="C177" s="3770" t="n"/>
      <c r="D177" s="3767" t="inlineStr">
        <is>
          <t>Form 2441, line 10. But If zero or less, stop; you can’t take the credit</t>
        </is>
      </c>
      <c r="E177" s="3764" t="n"/>
      <c r="F177" s="3764" t="n"/>
      <c r="G177" s="3764" t="n"/>
      <c r="H177" s="3764" t="n"/>
      <c r="I177" s="3764" t="n"/>
      <c r="J177" s="3764" t="n"/>
      <c r="K177" s="3764" t="n"/>
      <c r="L177" s="3764" t="n"/>
      <c r="M177" s="3764" t="n"/>
      <c r="N177" s="3764" t="n"/>
      <c r="O177" s="3764" t="n"/>
      <c r="P177" s="3764" t="n"/>
      <c r="Q177" s="3764" t="n"/>
      <c r="R177" s="351" t="n"/>
      <c r="S177" s="3764" t="n"/>
      <c r="T177" s="8374" t="inlineStr">
        <is>
          <t xml:space="preserve">.   .   .   .   .   .   .   .   .   .   .   . </t>
        </is>
      </c>
      <c r="U177" s="351" t="inlineStr">
        <is>
          <t>3.</t>
        </is>
      </c>
      <c r="V177" s="7758">
        <f>IF(K28&lt;&gt;"","",SUM(V173,-V175))</f>
        <v/>
      </c>
      <c r="W177" s="3764" t="n"/>
      <c r="X177" s="3540" t="n"/>
      <c r="Y177" s="3540" t="n"/>
      <c r="Z177" s="3540" t="n"/>
    </row>
    <row r="178">
      <c r="A178" s="139" t="n"/>
      <c r="B178" s="3764" t="n"/>
      <c r="C178" s="3764" t="n"/>
      <c r="D178" s="3764" t="n"/>
      <c r="E178" s="3764" t="n"/>
      <c r="F178" s="3764" t="n"/>
      <c r="G178" s="3764" t="n"/>
      <c r="H178" s="3764" t="n"/>
      <c r="I178" s="3764" t="n"/>
      <c r="J178" s="3764" t="n"/>
      <c r="K178" s="3764" t="n"/>
      <c r="L178" s="3764" t="n"/>
      <c r="M178" s="3764" t="n"/>
      <c r="N178" s="3764" t="n"/>
      <c r="O178" s="3764" t="n"/>
      <c r="P178" s="3764" t="n"/>
      <c r="Q178" s="3764" t="n"/>
      <c r="R178" s="3764" t="n"/>
      <c r="S178" s="3764" t="n"/>
      <c r="T178" s="3764" t="n"/>
      <c r="U178" s="3764" t="n"/>
      <c r="V178" s="3764" t="n"/>
      <c r="W178" s="3764" t="n"/>
      <c r="X178" s="3540" t="n"/>
      <c r="Y178" s="3540" t="n"/>
      <c r="Z178" s="3540" t="n"/>
    </row>
    <row r="179" ht="7.5" customHeight="1" s="7635">
      <c r="A179" s="139" t="n"/>
      <c r="B179" s="3763" t="n"/>
      <c r="C179" s="3763" t="n"/>
      <c r="D179" s="3763" t="n"/>
      <c r="E179" s="3763" t="n"/>
      <c r="F179" s="3763" t="n"/>
      <c r="G179" s="3763" t="n"/>
      <c r="H179" s="3763" t="n"/>
      <c r="I179" s="3763" t="n"/>
      <c r="J179" s="3763" t="n"/>
      <c r="K179" s="3763" t="n"/>
      <c r="L179" s="3763" t="n"/>
      <c r="M179" s="3763" t="n"/>
      <c r="N179" s="3763" t="n"/>
      <c r="O179" s="3763" t="n"/>
      <c r="P179" s="3763" t="n"/>
      <c r="Q179" s="3763" t="n"/>
      <c r="R179" s="3763" t="n"/>
      <c r="S179" s="3763" t="n"/>
      <c r="T179" s="3763" t="n"/>
      <c r="U179" s="3763" t="n"/>
      <c r="V179" s="3763" t="n"/>
      <c r="W179" s="3763" t="n"/>
      <c r="X179" s="3540" t="n"/>
      <c r="Y179" s="3540" t="n"/>
      <c r="Z179" s="3540" t="n"/>
    </row>
    <row r="180" ht="16.5" customHeight="1" s="7635">
      <c r="A180" s="139" t="n"/>
      <c r="B180" s="10861" t="n"/>
      <c r="C180" s="10862" t="n"/>
      <c r="D180" s="10862" t="n"/>
      <c r="E180" s="10862" t="n"/>
      <c r="F180" s="10862" t="n"/>
      <c r="G180" s="10862" t="n"/>
      <c r="H180" s="10862" t="n"/>
      <c r="I180" s="10862" t="n"/>
      <c r="J180" s="10862" t="n"/>
      <c r="K180" s="10862" t="n"/>
      <c r="L180" s="10862" t="n"/>
      <c r="M180" s="10862" t="n"/>
      <c r="N180" s="10862" t="n"/>
      <c r="O180" s="10862" t="n"/>
      <c r="P180" s="10862" t="n"/>
      <c r="Q180" s="10862" t="n"/>
      <c r="R180" s="10862" t="n"/>
      <c r="S180" s="10862" t="n"/>
      <c r="T180" s="10862" t="n"/>
      <c r="U180" s="10862" t="n"/>
      <c r="V180" s="10862" t="n"/>
      <c r="W180" s="10863" t="n"/>
      <c r="X180" s="3540" t="n"/>
      <c r="Y180" s="3540" t="n"/>
      <c r="Z180" s="3540" t="n"/>
    </row>
    <row r="181" ht="16.5" customHeight="1" s="7635">
      <c r="A181" s="139" t="n"/>
      <c r="B181" s="3774" t="n"/>
      <c r="C181" s="9237" t="n"/>
      <c r="D181" s="9892" t="inlineStr">
        <is>
          <t>Worksheet A.</t>
        </is>
      </c>
      <c r="E181" s="1061" t="n"/>
      <c r="F181" s="9237" t="n"/>
      <c r="G181" s="3775">
        <f>"Worksheet for "&amp;TaxYear-1&amp;" Expenses Paid in "&amp;TaxYear</f>
        <v/>
      </c>
      <c r="H181" s="9237" t="n"/>
      <c r="I181" s="9237" t="n"/>
      <c r="J181" s="9237" t="n"/>
      <c r="K181" s="9237" t="n"/>
      <c r="L181" s="9237" t="n"/>
      <c r="M181" s="9237" t="n"/>
      <c r="N181" s="9237" t="n"/>
      <c r="O181" s="9237" t="n"/>
      <c r="P181" s="9237" t="n"/>
      <c r="Q181" s="9237" t="n"/>
      <c r="R181" s="9237" t="n"/>
      <c r="S181" s="9237" t="n"/>
      <c r="T181" s="9237" t="n"/>
      <c r="U181" s="9237" t="n"/>
      <c r="V181" s="9237" t="n"/>
      <c r="W181" s="3776" t="n"/>
      <c r="X181" s="3540" t="n"/>
      <c r="Y181" s="3540" t="n"/>
      <c r="Z181" s="3540" t="n"/>
    </row>
    <row r="182" ht="16.5" customHeight="1" s="7635">
      <c r="A182" s="139" t="n"/>
      <c r="B182" s="3777" t="n"/>
      <c r="C182" s="9237" t="n"/>
      <c r="D182" s="9237" t="n"/>
      <c r="E182" s="9237" t="n"/>
      <c r="F182" s="9237" t="n"/>
      <c r="G182" s="9237" t="n"/>
      <c r="H182" s="9237" t="n"/>
      <c r="I182" s="9237" t="n"/>
      <c r="J182" s="9237" t="n"/>
      <c r="K182" s="9237" t="n"/>
      <c r="L182" s="9237" t="n"/>
      <c r="M182" s="9237" t="n"/>
      <c r="N182" s="9237" t="n"/>
      <c r="O182" s="9237" t="n"/>
      <c r="P182" s="9237" t="n"/>
      <c r="Q182" s="9237" t="n"/>
      <c r="R182" s="3778" t="n"/>
      <c r="S182" s="9237" t="n"/>
      <c r="T182" s="9237" t="n"/>
      <c r="U182" s="3778" t="inlineStr">
        <is>
          <t>Keep for Your Records</t>
        </is>
      </c>
      <c r="V182" s="3779" t="n"/>
      <c r="W182" s="3776" t="n"/>
      <c r="X182" s="3540" t="n"/>
      <c r="Y182" s="3540" t="n"/>
      <c r="Z182" s="3540" t="n"/>
    </row>
    <row r="183" ht="16.5" customHeight="1" s="7635">
      <c r="A183" s="139" t="n"/>
      <c r="B183" s="3777" t="n"/>
      <c r="C183" s="9237" t="n"/>
      <c r="D183" s="9237" t="n"/>
      <c r="E183" s="9237" t="n"/>
      <c r="F183" s="9237" t="n"/>
      <c r="G183" s="3780">
        <f>"Use this worksheet to figure the credit you may claim for "&amp;TaxYear-1&amp;" expenses paid in "&amp;TaxYear&amp;"."</f>
        <v/>
      </c>
      <c r="H183" s="9237" t="n"/>
      <c r="I183" s="9237" t="n"/>
      <c r="J183" s="9237" t="n"/>
      <c r="K183" s="9237" t="n"/>
      <c r="L183" s="9237" t="n"/>
      <c r="M183" s="9237" t="n"/>
      <c r="N183" s="9237" t="n"/>
      <c r="O183" s="9237" t="n"/>
      <c r="P183" s="9237" t="n"/>
      <c r="Q183" s="9237" t="n"/>
      <c r="R183" s="9237" t="n"/>
      <c r="S183" s="9237" t="n"/>
      <c r="T183" s="9237" t="n"/>
      <c r="U183" s="9237" t="n"/>
      <c r="V183" s="9237" t="n"/>
      <c r="W183" s="3776" t="n"/>
      <c r="X183" s="3540" t="n"/>
      <c r="Y183" s="3540" t="n"/>
      <c r="Z183" s="3540" t="n"/>
    </row>
    <row r="184" ht="20.25" customHeight="1" s="7635">
      <c r="A184" s="139" t="n"/>
      <c r="B184" s="3777" t="n"/>
      <c r="C184" s="9237" t="n"/>
      <c r="D184" s="9237" t="n"/>
      <c r="E184" s="9237" t="n"/>
      <c r="F184" s="9237" t="n"/>
      <c r="G184" s="9237" t="n"/>
      <c r="H184" s="9237" t="n"/>
      <c r="I184" s="9237" t="n"/>
      <c r="J184" s="9237" t="n"/>
      <c r="K184" s="9237" t="n"/>
      <c r="L184" s="9237" t="n"/>
      <c r="M184" s="9237" t="n"/>
      <c r="N184" s="9237" t="n"/>
      <c r="O184" s="9237" t="n"/>
      <c r="P184" s="9237" t="n"/>
      <c r="Q184" s="9237" t="n"/>
      <c r="R184" s="9237" t="n"/>
      <c r="S184" s="9237" t="n"/>
      <c r="T184" s="9237" t="n"/>
      <c r="U184" s="9237" t="n"/>
      <c r="V184" s="9237" t="n"/>
      <c r="W184" s="3776" t="n"/>
      <c r="X184" s="3540" t="n"/>
      <c r="Y184" s="3540" t="n"/>
      <c r="Z184" s="3540" t="n"/>
    </row>
    <row r="185" ht="16.5" customHeight="1" s="7635">
      <c r="A185" s="139" t="n"/>
      <c r="B185" s="9748" t="inlineStr">
        <is>
          <t>1.</t>
        </is>
      </c>
      <c r="C185" s="9237" t="n"/>
      <c r="D185" s="9237">
        <f>"Enter the amount reported on your "&amp;TaxYear-1&amp;" Form 2441, line 3"</f>
        <v/>
      </c>
      <c r="E185" s="9237" t="n"/>
      <c r="F185" s="9237" t="n"/>
      <c r="G185" s="9237" t="n"/>
      <c r="H185" s="9237" t="n"/>
      <c r="I185" s="9237" t="n"/>
      <c r="J185" s="9237" t="n"/>
      <c r="K185" s="9237" t="n"/>
      <c r="L185" s="9237" t="n"/>
      <c r="M185" s="9237" t="n"/>
      <c r="N185" s="9237" t="n"/>
      <c r="O185" s="9237" t="n"/>
      <c r="P185" s="9237" t="n"/>
      <c r="Q185" s="9237" t="n"/>
      <c r="R185" s="351" t="n"/>
      <c r="S185" s="8374" t="inlineStr">
        <is>
          <t xml:space="preserve">.   .   .   .   .   .   .   .   .   .   .   .   .   .   . </t>
        </is>
      </c>
      <c r="T185" s="9237" t="n"/>
      <c r="U185" s="351" t="inlineStr">
        <is>
          <t>1.</t>
        </is>
      </c>
      <c r="V185" s="1302" t="n"/>
      <c r="W185" s="3776" t="n"/>
      <c r="X185" s="3540" t="n"/>
      <c r="Y185" s="3540" t="n"/>
      <c r="Z185" s="3540" t="n"/>
    </row>
    <row r="186" ht="16.5" customHeight="1" s="7635">
      <c r="A186" s="139" t="n"/>
      <c r="B186" s="9748" t="inlineStr">
        <is>
          <t>2.</t>
        </is>
      </c>
      <c r="C186" s="9237" t="n"/>
      <c r="D186" s="9237">
        <f>"Enter your "&amp;TaxYear-1&amp;" qualified expenses paid in "&amp;TaxYear</f>
        <v/>
      </c>
      <c r="E186" s="9237" t="n"/>
      <c r="F186" s="9237" t="n"/>
      <c r="G186" s="9237" t="n"/>
      <c r="H186" s="9237" t="n"/>
      <c r="I186" s="9237" t="n"/>
      <c r="J186" s="9237" t="n"/>
      <c r="K186" s="9237" t="n"/>
      <c r="L186" s="9237" t="n"/>
      <c r="M186" s="9237" t="n"/>
      <c r="N186" s="9237" t="n"/>
      <c r="O186" s="9237" t="n"/>
      <c r="P186" s="9237" t="n"/>
      <c r="Q186" s="9237" t="n"/>
      <c r="R186" s="351" t="n"/>
      <c r="S186" s="8374" t="inlineStr">
        <is>
          <t xml:space="preserve">.   .   .   .   .   .   .   .   .   .   .   .   .   .   .   .   .   .   . </t>
        </is>
      </c>
      <c r="T186" s="9237" t="n"/>
      <c r="U186" s="351" t="inlineStr">
        <is>
          <t>2.</t>
        </is>
      </c>
      <c r="V186" s="1302" t="n"/>
      <c r="W186" s="3776" t="n"/>
      <c r="X186" s="3540" t="n"/>
      <c r="Y186" s="3540" t="n"/>
      <c r="Z186" s="3540" t="n"/>
    </row>
    <row r="187" ht="16.5" customHeight="1" s="7635">
      <c r="A187" s="139" t="n"/>
      <c r="B187" s="9748" t="inlineStr">
        <is>
          <t>3.</t>
        </is>
      </c>
      <c r="C187" s="9237" t="n"/>
      <c r="D187" s="9237" t="inlineStr">
        <is>
          <t>Add the amounts on lines 1 and 2</t>
        </is>
      </c>
      <c r="E187" s="9237" t="n"/>
      <c r="F187" s="9237" t="n"/>
      <c r="G187" s="9237" t="n"/>
      <c r="H187" s="9237" t="n"/>
      <c r="I187" s="9237" t="n"/>
      <c r="J187" s="9237" t="n"/>
      <c r="K187" s="9237" t="n"/>
      <c r="L187" s="9237" t="n"/>
      <c r="M187" s="9237" t="n"/>
      <c r="N187" s="9237" t="n"/>
      <c r="O187" s="9237" t="n"/>
      <c r="P187" s="9237" t="n"/>
      <c r="Q187" s="9237" t="n"/>
      <c r="R187" s="351" t="n"/>
      <c r="S187" s="8374" t="inlineStr">
        <is>
          <t xml:space="preserve">.   .   .   .   .   .   .   .   .   .   .   .   .   .   .   .   .   .   .   .   .   .   .   . </t>
        </is>
      </c>
      <c r="T187" s="9237" t="n"/>
      <c r="U187" s="351" t="inlineStr">
        <is>
          <t>3.</t>
        </is>
      </c>
      <c r="V187" s="7758">
        <f>IF(V185="","",SUM(ROUND(V185,0),ROUND(V186,0)))</f>
        <v/>
      </c>
      <c r="W187" s="3776" t="n"/>
      <c r="X187" s="3540" t="n"/>
      <c r="Y187" s="3540" t="n"/>
      <c r="Z187" s="3540" t="n"/>
      <c r="AA187" s="9799" t="n">
        <v>3000</v>
      </c>
    </row>
    <row r="188" ht="16.5" customHeight="1" s="7635">
      <c r="A188" s="139" t="n"/>
      <c r="B188" s="9748" t="inlineStr">
        <is>
          <t>4.</t>
        </is>
      </c>
      <c r="C188" s="9237" t="n"/>
      <c r="D188" s="9237">
        <f>"Enter "&amp;TEXT(AA187,"$0,000")&amp;" if you had one qualifying person ("&amp;TEXT(AA187*2,"$0,000")&amp;" if you had two or more)"</f>
        <v/>
      </c>
      <c r="E188" s="9237" t="n"/>
      <c r="F188" s="9237" t="n"/>
      <c r="G188" s="9237" t="n"/>
      <c r="H188" s="9237" t="n"/>
      <c r="I188" s="9237" t="n"/>
      <c r="J188" s="9237" t="n"/>
      <c r="K188" s="9237" t="n"/>
      <c r="L188" s="9237" t="n"/>
      <c r="M188" s="9237" t="n"/>
      <c r="N188" s="9237" t="n"/>
      <c r="O188" s="3782" t="n"/>
      <c r="P188" s="3782" t="n"/>
      <c r="Q188" s="3782" t="n"/>
      <c r="R188" s="3782" t="n"/>
      <c r="S188" s="3783" t="inlineStr">
        <is>
          <t xml:space="preserve">.   .   .   .   .   .   . </t>
        </is>
      </c>
      <c r="T188" s="9237" t="n"/>
      <c r="U188" s="351" t="inlineStr">
        <is>
          <t>4.</t>
        </is>
      </c>
      <c r="V188" s="7758">
        <f>IF(Y188="","",IF(Y188&gt;=2,2*AA187,IF(Y188&gt;0,AA187,0)))</f>
        <v/>
      </c>
      <c r="W188" s="3776" t="n"/>
      <c r="X188" s="3540" t="n"/>
      <c r="Y188" s="1303" t="n"/>
      <c r="Z188" s="3540" t="n"/>
      <c r="AA188" s="3784" t="inlineStr">
        <is>
          <t>Number of qualifiying</t>
        </is>
      </c>
      <c r="AM188" s="9799" t="n">
        <v>8000</v>
      </c>
      <c r="AO188" s="9799" t="n">
        <v>8000</v>
      </c>
    </row>
    <row r="189" ht="16.5" customHeight="1" s="7635">
      <c r="A189" s="139" t="n"/>
      <c r="B189" s="9748" t="inlineStr">
        <is>
          <t>5.</t>
        </is>
      </c>
      <c r="C189" s="9237" t="n"/>
      <c r="D189" s="9237">
        <f>"Enter any dependent care benefits received for "&amp;TaxYear-1&amp;" and deducted on your return and/or excluded"</f>
        <v/>
      </c>
      <c r="E189" s="9237" t="n"/>
      <c r="F189" s="9237" t="n"/>
      <c r="G189" s="9237" t="n"/>
      <c r="H189" s="9237" t="n"/>
      <c r="I189" s="9237" t="n"/>
      <c r="J189" s="9237" t="n"/>
      <c r="K189" s="9237" t="n"/>
      <c r="L189" s="9237" t="n"/>
      <c r="M189" s="9237" t="n"/>
      <c r="N189" s="9237" t="n"/>
      <c r="O189" s="9237" t="n"/>
      <c r="P189" s="9237" t="n"/>
      <c r="Q189" s="9237" t="n"/>
      <c r="R189" s="9237" t="n"/>
      <c r="S189" s="9237" t="n"/>
      <c r="T189" s="9237" t="n"/>
      <c r="U189" s="9237" t="n"/>
      <c r="V189" s="9237" t="n"/>
      <c r="W189" s="3776" t="n"/>
      <c r="X189" s="3540" t="n"/>
      <c r="Y189" s="3540" t="n"/>
      <c r="Z189" s="3540" t="n"/>
      <c r="AA189" s="3785">
        <f>"persons in "&amp;TaxYear-1</f>
        <v/>
      </c>
      <c r="AM189" s="3784" t="inlineStr">
        <is>
          <t>Number of qualifiying</t>
        </is>
      </c>
      <c r="AO189" s="3784" t="inlineStr">
        <is>
          <t>Number of qualifiying</t>
        </is>
      </c>
    </row>
    <row r="190" ht="16.5" customHeight="1" s="7635">
      <c r="A190" s="139" t="n"/>
      <c r="B190" s="3786" t="n"/>
      <c r="C190" s="9237" t="n"/>
      <c r="D190" s="9746">
        <f>"from your income (from your "&amp;TaxYear-1&amp;" Form 2441, lines 24 and 25)"</f>
        <v/>
      </c>
      <c r="E190" s="9237" t="n"/>
      <c r="F190" s="9237" t="n"/>
      <c r="G190" s="9237" t="n"/>
      <c r="H190" s="9237" t="n"/>
      <c r="I190" s="9237" t="n"/>
      <c r="J190" s="9237" t="n"/>
      <c r="K190" s="9237" t="n"/>
      <c r="L190" s="9237" t="n"/>
      <c r="M190" s="9237" t="n"/>
      <c r="N190" s="9237" t="n"/>
      <c r="O190" s="9237" t="n"/>
      <c r="P190" s="9237" t="n"/>
      <c r="Q190" s="9237" t="n"/>
      <c r="R190" s="351" t="n"/>
      <c r="S190" s="9237" t="n"/>
      <c r="T190" s="9237" t="n"/>
      <c r="U190" s="351" t="inlineStr">
        <is>
          <t>5.</t>
        </is>
      </c>
      <c r="V190" s="1302" t="n"/>
      <c r="W190" s="3776" t="n"/>
      <c r="X190" s="3540" t="n"/>
      <c r="Y190" s="3540" t="n"/>
      <c r="Z190" s="3540" t="n"/>
      <c r="AM190" s="3785">
        <f>"persons in "&amp;TaxYear-1</f>
        <v/>
      </c>
      <c r="AO190" s="3785">
        <f>"persons in "&amp;TaxYear-1</f>
        <v/>
      </c>
    </row>
    <row r="191" ht="16.5" customHeight="1" s="7635">
      <c r="A191" s="139" t="n"/>
      <c r="B191" s="9748" t="inlineStr">
        <is>
          <t>6.</t>
        </is>
      </c>
      <c r="C191" s="9237" t="n"/>
      <c r="D191" s="9237" t="inlineStr">
        <is>
          <t>Subtract the amount on line 5 from the amount on line 4 and enter the result</t>
        </is>
      </c>
      <c r="E191" s="9237" t="n"/>
      <c r="F191" s="9237" t="n"/>
      <c r="G191" s="9237" t="n"/>
      <c r="H191" s="9237" t="n"/>
      <c r="I191" s="9237" t="n"/>
      <c r="J191" s="9237" t="n"/>
      <c r="K191" s="9237" t="n"/>
      <c r="L191" s="9237" t="n"/>
      <c r="M191" s="9237" t="n"/>
      <c r="N191" s="9237" t="n"/>
      <c r="O191" s="9237" t="n"/>
      <c r="P191" s="9237" t="n"/>
      <c r="Q191" s="9237" t="n"/>
      <c r="R191" s="351" t="n"/>
      <c r="S191" s="3783" t="inlineStr">
        <is>
          <t xml:space="preserve">.   .   .   .   .   .   .   .   . </t>
        </is>
      </c>
      <c r="T191" s="9237" t="n"/>
      <c r="U191" s="351" t="inlineStr">
        <is>
          <t>6.</t>
        </is>
      </c>
      <c r="V191" s="7758">
        <f>IF(V185="","",MAX(0,SUM(V188,-V190)))</f>
        <v/>
      </c>
      <c r="W191" s="3776" t="n"/>
      <c r="X191" s="3540" t="n"/>
      <c r="Y191" s="3540" t="n"/>
      <c r="Z191" s="3540" t="n"/>
    </row>
    <row r="192" ht="16.5" customHeight="1" s="7635">
      <c r="A192" s="139" t="n"/>
      <c r="B192" s="9748" t="inlineStr">
        <is>
          <t>7.</t>
        </is>
      </c>
      <c r="C192" s="9237" t="n"/>
      <c r="D192" s="9237">
        <f>"Compare your earned income for "&amp;TaxYear-1&amp;" and your spouse's earned income for "&amp;TaxYear-1&amp;" and enter the"</f>
        <v/>
      </c>
      <c r="E192" s="9237" t="n"/>
      <c r="F192" s="9237" t="n"/>
      <c r="G192" s="9237" t="n"/>
      <c r="H192" s="9237" t="n"/>
      <c r="I192" s="9237" t="n"/>
      <c r="J192" s="9237" t="n"/>
      <c r="K192" s="9237" t="n"/>
      <c r="L192" s="9237" t="n"/>
      <c r="M192" s="9237" t="n"/>
      <c r="N192" s="9237" t="n"/>
      <c r="O192" s="9237" t="n"/>
      <c r="P192" s="9237" t="n"/>
      <c r="Q192" s="9237" t="n"/>
      <c r="R192" s="9237" t="n"/>
      <c r="S192" s="9237" t="n"/>
      <c r="T192" s="9237" t="n"/>
      <c r="U192" s="9237" t="n"/>
      <c r="V192" s="9237" t="n"/>
      <c r="W192" s="3776" t="n"/>
      <c r="X192" s="3540" t="n"/>
      <c r="Y192" s="3540" t="n"/>
      <c r="Z192" s="3540" t="n"/>
    </row>
    <row r="193" ht="16.5" customHeight="1" s="7635">
      <c r="A193" s="139" t="n"/>
      <c r="B193" s="3786" t="n"/>
      <c r="C193" s="9237" t="n"/>
      <c r="D193" s="9746" t="inlineStr">
        <is>
          <t>smaller amount</t>
        </is>
      </c>
      <c r="E193" s="9237" t="n"/>
      <c r="F193" s="9237" t="n"/>
      <c r="G193" s="9237" t="n"/>
      <c r="H193" s="9237" t="n"/>
      <c r="I193" s="9237" t="n"/>
      <c r="J193" s="9237" t="n"/>
      <c r="K193" s="9237" t="n"/>
      <c r="L193" s="9237" t="n"/>
      <c r="M193" s="9237" t="n"/>
      <c r="N193" s="9237" t="n"/>
      <c r="O193" s="9237" t="n"/>
      <c r="P193" s="9237" t="n"/>
      <c r="Q193" s="9237" t="n"/>
      <c r="R193" s="351" t="n"/>
      <c r="S193" s="3676" t="inlineStr">
        <is>
          <t xml:space="preserve">.   .   .   .   .   .   .   .   .   .   .   .   .   .   .   .   .   .   .   .   .   .   .   .   .   .   .   .   .   . </t>
        </is>
      </c>
      <c r="T193" s="9237" t="n"/>
      <c r="U193" s="351" t="inlineStr">
        <is>
          <t>7.</t>
        </is>
      </c>
      <c r="V193" s="1302" t="n"/>
      <c r="W193" s="3776" t="n"/>
      <c r="X193" s="3540" t="n"/>
      <c r="Y193" s="3540" t="n"/>
      <c r="Z193" s="3540" t="n"/>
    </row>
    <row r="194">
      <c r="A194" s="139" t="n"/>
      <c r="B194" s="9748" t="inlineStr">
        <is>
          <t>8.</t>
        </is>
      </c>
      <c r="C194" s="9237" t="n"/>
      <c r="D194" s="9237" t="inlineStr">
        <is>
          <t>Compare the amounts on lines 3, 6, and 7, and enter the smallest amount</t>
        </is>
      </c>
      <c r="E194" s="9237" t="n"/>
      <c r="F194" s="9237" t="n"/>
      <c r="G194" s="9237" t="n"/>
      <c r="H194" s="9237" t="n"/>
      <c r="I194" s="9237" t="n"/>
      <c r="J194" s="9237" t="n"/>
      <c r="K194" s="9237" t="n"/>
      <c r="L194" s="9237" t="n"/>
      <c r="M194" s="9237" t="n"/>
      <c r="N194" s="9237" t="n"/>
      <c r="O194" s="9237" t="n"/>
      <c r="P194" s="9237" t="n"/>
      <c r="Q194" s="9237" t="n"/>
      <c r="R194" s="351" t="n"/>
      <c r="S194" s="3783" t="inlineStr">
        <is>
          <t xml:space="preserve">.   .   .   .   .   .   .   .   . </t>
        </is>
      </c>
      <c r="T194" s="9237" t="n"/>
      <c r="U194" s="351" t="inlineStr">
        <is>
          <t>8.</t>
        </is>
      </c>
      <c r="V194" s="7758">
        <f>IF(V185="","",MIN(V187,V191,V193))</f>
        <v/>
      </c>
      <c r="W194" s="3776" t="n"/>
      <c r="X194" s="3540" t="n"/>
      <c r="Y194" s="3540" t="n"/>
      <c r="Z194" s="3540" t="n"/>
    </row>
    <row r="195">
      <c r="A195" s="139" t="n"/>
      <c r="B195" s="9748" t="inlineStr">
        <is>
          <t>9.</t>
        </is>
      </c>
      <c r="C195" s="9237" t="n"/>
      <c r="D195" s="9237">
        <f>"Enter the amount on which you figured the credit for "&amp;TaxYear-1&amp;" (from your "&amp;TaxYear-1&amp;" Form 2441, line 6)"</f>
        <v/>
      </c>
      <c r="E195" s="9237" t="n"/>
      <c r="F195" s="9237" t="n"/>
      <c r="G195" s="9237" t="n"/>
      <c r="H195" s="9237" t="n"/>
      <c r="I195" s="9237" t="n"/>
      <c r="J195" s="9237" t="n"/>
      <c r="K195" s="9237" t="n"/>
      <c r="L195" s="9237" t="n"/>
      <c r="M195" s="9237" t="n"/>
      <c r="N195" s="9237" t="n"/>
      <c r="O195" s="9237" t="n"/>
      <c r="P195" s="9237" t="n"/>
      <c r="Q195" s="9237" t="n"/>
      <c r="R195" s="351" t="n"/>
      <c r="S195" s="3783" t="inlineStr">
        <is>
          <t xml:space="preserve">.   . </t>
        </is>
      </c>
      <c r="T195" s="9237" t="n"/>
      <c r="U195" s="351" t="inlineStr">
        <is>
          <t>9.</t>
        </is>
      </c>
      <c r="V195" s="1302" t="n"/>
      <c r="W195" s="3776" t="n"/>
      <c r="X195" s="3540" t="n"/>
      <c r="Y195" s="3540" t="n"/>
      <c r="Z195" s="3540" t="n"/>
    </row>
    <row r="196">
      <c r="A196" s="139" t="n"/>
      <c r="B196" s="9748" t="inlineStr">
        <is>
          <t>10.</t>
        </is>
      </c>
      <c r="C196" s="9237" t="n"/>
      <c r="D196" s="9237" t="inlineStr">
        <is>
          <t>Subtract the amount on line 9 from the amount on line 8 and enter the result.</t>
        </is>
      </c>
      <c r="E196" s="9237" t="n"/>
      <c r="F196" s="9237" t="n"/>
      <c r="G196" s="9237" t="n"/>
      <c r="H196" s="9237" t="n"/>
      <c r="I196" s="9237" t="n"/>
      <c r="J196" s="9237" t="n"/>
      <c r="K196" s="9237" t="n"/>
      <c r="L196" s="9237" t="n"/>
      <c r="M196" s="9237" t="n"/>
      <c r="N196" s="9237" t="n"/>
      <c r="O196" s="9237" t="inlineStr">
        <is>
          <t>If zero or less, stop here.</t>
        </is>
      </c>
      <c r="P196" s="9237" t="n"/>
      <c r="Q196" s="9237" t="n"/>
      <c r="R196" s="1061" t="n"/>
      <c r="S196" s="9237" t="n"/>
      <c r="U196" s="9237" t="n"/>
      <c r="V196" s="9237" t="n"/>
      <c r="W196" s="3776" t="n"/>
      <c r="X196" s="3540" t="n"/>
      <c r="Y196" s="3540" t="n"/>
      <c r="Z196" s="3540" t="n"/>
    </row>
    <row r="197">
      <c r="A197" s="139" t="n"/>
      <c r="B197" s="3786" t="n"/>
      <c r="C197" s="3787">
        <f>AND(V185&lt;&gt;"",V197&lt;=0)</f>
        <v/>
      </c>
      <c r="D197" s="9237">
        <f>"You can't increase your "&amp;TaxYear&amp;" credit by any previous year's expenses"</f>
        <v/>
      </c>
      <c r="E197" s="9237" t="n"/>
      <c r="F197" s="9237" t="n"/>
      <c r="G197" s="9237" t="n"/>
      <c r="H197" s="9237" t="n"/>
      <c r="I197" s="9237" t="n"/>
      <c r="J197" s="9237" t="n"/>
      <c r="K197" s="9237" t="n"/>
      <c r="L197" s="9237" t="n"/>
      <c r="M197" s="9237" t="n"/>
      <c r="N197" s="9237" t="n"/>
      <c r="O197" s="9237" t="n"/>
      <c r="P197" s="9237" t="n"/>
      <c r="Q197" s="9237" t="n"/>
      <c r="R197" s="351" t="n"/>
      <c r="S197" s="3783" t="inlineStr">
        <is>
          <t xml:space="preserve">.   .   .   .   .   .   .   .   . </t>
        </is>
      </c>
      <c r="T197" s="9237" t="n"/>
      <c r="U197" s="351" t="inlineStr">
        <is>
          <t>10.</t>
        </is>
      </c>
      <c r="V197" s="7758">
        <f>IF(V185="","",SUM(V194,-V195))</f>
        <v/>
      </c>
      <c r="W197" s="3776" t="n"/>
      <c r="X197" s="3540" t="n"/>
      <c r="Y197" s="3540" t="n"/>
      <c r="Z197" s="3540" t="n"/>
    </row>
    <row r="198">
      <c r="A198" s="139" t="n"/>
      <c r="B198" s="9748" t="inlineStr">
        <is>
          <t>11.</t>
        </is>
      </c>
      <c r="C198" s="9237" t="n"/>
      <c r="D198" s="9237">
        <f>"Enter your "&amp;TaxYear-1&amp;" adjusted gross income (from your "&amp;TaxYear-1&amp;" Form 1040, 1040-SR, or 1040-NR, line 11)"</f>
        <v/>
      </c>
      <c r="E198" s="9237" t="n"/>
      <c r="F198" s="9237" t="n"/>
      <c r="G198" s="9237" t="n"/>
      <c r="H198" s="9237" t="n"/>
      <c r="I198" s="9237" t="n"/>
      <c r="J198" s="9237" t="n"/>
      <c r="K198" s="9237" t="n"/>
      <c r="L198" s="9237" t="n"/>
      <c r="M198" s="9237" t="n"/>
      <c r="N198" s="9237" t="n"/>
      <c r="O198" s="9237" t="n"/>
      <c r="P198" s="9237" t="n"/>
      <c r="Q198" s="9237" t="n"/>
      <c r="R198" s="351" t="n"/>
      <c r="S198" s="3676" t="inlineStr">
        <is>
          <t xml:space="preserve">.   .   . </t>
        </is>
      </c>
      <c r="T198" s="9237" t="n"/>
      <c r="U198" s="351" t="inlineStr">
        <is>
          <t>11.</t>
        </is>
      </c>
      <c r="V198" s="1302" t="n"/>
      <c r="W198" s="3776" t="n"/>
      <c r="X198" s="3540" t="n"/>
      <c r="Y198" s="3540" t="n"/>
      <c r="Z198" s="3540" t="n"/>
    </row>
    <row r="199">
      <c r="A199" s="139" t="n"/>
      <c r="B199" s="9748" t="inlineStr">
        <is>
          <t>12.</t>
        </is>
      </c>
      <c r="C199" s="9237" t="n"/>
      <c r="D199" s="9237">
        <f>"Find your "&amp;TaxYear-1&amp;" adjusted gross income in the table below and enter the corresponding decimal amount"</f>
        <v/>
      </c>
      <c r="E199" s="9237" t="n"/>
      <c r="F199" s="9237" t="n"/>
      <c r="G199" s="9237" t="n"/>
      <c r="H199" s="9237" t="n"/>
      <c r="I199" s="9237" t="n"/>
      <c r="J199" s="9237" t="n"/>
      <c r="K199" s="9237" t="n"/>
      <c r="L199" s="9237" t="n"/>
      <c r="M199" s="9237" t="n"/>
      <c r="N199" s="9237" t="n"/>
      <c r="O199" s="9237" t="n"/>
      <c r="P199" s="9237" t="n"/>
      <c r="Q199" s="9237" t="n"/>
      <c r="R199" s="9237" t="n"/>
      <c r="S199" s="9237" t="n"/>
      <c r="T199" s="9237" t="n"/>
      <c r="U199" s="9237" t="n"/>
      <c r="V199" s="9237" t="n"/>
      <c r="W199" s="3776" t="n"/>
      <c r="X199" s="3540" t="n"/>
      <c r="Y199" s="3540" t="n"/>
      <c r="Z199" s="3540" t="n"/>
      <c r="AA199" s="1449" t="n"/>
    </row>
    <row r="200">
      <c r="A200" s="139" t="n"/>
      <c r="B200" s="3777" t="n"/>
      <c r="C200" s="1061" t="n"/>
      <c r="D200" s="9237" t="inlineStr">
        <is>
          <t>here</t>
        </is>
      </c>
      <c r="E200" s="9237" t="n"/>
      <c r="F200" s="9237" t="n"/>
      <c r="G200" s="9237" t="n"/>
      <c r="H200" s="9237" t="n"/>
      <c r="I200" s="9237" t="n"/>
      <c r="J200" s="9237" t="n"/>
      <c r="K200" s="9237" t="n"/>
      <c r="L200" s="9237" t="n"/>
      <c r="M200" s="9237" t="n"/>
      <c r="N200" s="9237" t="n"/>
      <c r="O200" s="9237" t="n"/>
      <c r="P200" s="9237" t="n"/>
      <c r="Q200" s="9237" t="n"/>
      <c r="R200" s="351" t="n"/>
      <c r="S200" s="3676" t="inlineStr">
        <is>
          <t xml:space="preserve">.   .   .   .   .   .   .   .   .   .   .   .   .   .   .   .   .   .   .   .   .   .   .   .   .   .   .   .   .   . </t>
        </is>
      </c>
      <c r="T200" s="9237" t="n"/>
      <c r="U200" s="351" t="inlineStr">
        <is>
          <t>12.</t>
        </is>
      </c>
      <c r="V200" s="3788">
        <f>IF(V198="","",LOOKUP(V198-1,G206:G221,Q206:Q221))</f>
        <v/>
      </c>
      <c r="W200" s="3776" t="n"/>
      <c r="X200" s="3540" t="n"/>
      <c r="Y200" s="3540" t="n"/>
      <c r="Z200" s="3540" t="n"/>
      <c r="AA200" s="1449" t="n"/>
      <c r="AM200" s="1449" t="n"/>
      <c r="AO200" s="1449" t="n"/>
    </row>
    <row r="201">
      <c r="A201" s="139" t="n"/>
      <c r="B201" s="3777" t="n"/>
      <c r="C201" s="9237" t="n"/>
      <c r="D201" s="9237" t="n"/>
      <c r="E201" s="9237" t="n"/>
      <c r="F201" s="9237" t="n"/>
      <c r="G201" s="9237" t="n"/>
      <c r="H201" s="9237" t="n"/>
      <c r="I201" s="9237" t="n"/>
      <c r="J201" s="9237" t="n"/>
      <c r="K201" s="9237" t="n"/>
      <c r="L201" s="9237" t="n"/>
      <c r="M201" s="9237" t="n"/>
      <c r="N201" s="9237" t="n"/>
      <c r="O201" s="9237" t="n"/>
      <c r="P201" s="9237" t="n"/>
      <c r="Q201" s="9237" t="n"/>
      <c r="R201" s="9237" t="n"/>
      <c r="S201" s="9237" t="n"/>
      <c r="T201" s="9237" t="n"/>
      <c r="U201" s="9237" t="n"/>
      <c r="V201" s="9237" t="n"/>
      <c r="W201" s="3776" t="n"/>
      <c r="X201" s="3540" t="n"/>
      <c r="Y201" s="3540" t="n"/>
      <c r="Z201" s="3540" t="n"/>
      <c r="AM201" s="1449" t="n"/>
      <c r="AO201" s="1449" t="n"/>
    </row>
    <row r="202" ht="12.75" customHeight="1" s="7635">
      <c r="A202" s="139" t="n"/>
      <c r="B202" s="3777" t="n"/>
      <c r="C202" s="3789">
        <f>"IF your "&amp;TaxYear-1&amp;" adjusted gross income was:"</f>
        <v/>
      </c>
      <c r="D202" s="9237" t="n"/>
      <c r="E202" s="9237" t="n"/>
      <c r="F202" s="9237" t="n"/>
      <c r="G202" s="9237" t="n"/>
      <c r="H202" s="9237" t="n"/>
      <c r="I202" s="9237" t="n"/>
      <c r="J202" s="9237" t="n"/>
      <c r="K202" s="344" t="n"/>
      <c r="L202" s="344" t="n"/>
      <c r="M202" s="344" t="n"/>
      <c r="N202" s="344" t="n"/>
      <c r="O202" s="344" t="n"/>
      <c r="P202" s="344" t="n"/>
      <c r="Q202" s="344" t="n"/>
      <c r="R202" s="344" t="n"/>
      <c r="S202" s="344" t="n"/>
      <c r="T202" s="344" t="n"/>
      <c r="U202" s="344" t="n"/>
      <c r="V202" s="344" t="n"/>
      <c r="W202" s="567" t="n"/>
      <c r="X202" s="3540" t="n"/>
      <c r="Y202" s="3540" t="n"/>
      <c r="Z202" s="3540" t="n"/>
    </row>
    <row r="203" ht="12.75" customHeight="1" s="7635">
      <c r="A203" s="139" t="n"/>
      <c r="B203" s="3777" t="n"/>
      <c r="C203" s="9237" t="n"/>
      <c r="D203" s="9237" t="n"/>
      <c r="E203" s="9237" t="n"/>
      <c r="F203" s="9237" t="n"/>
      <c r="G203" s="9237" t="n"/>
      <c r="H203" s="9237" t="n"/>
      <c r="I203" s="9237" t="n"/>
      <c r="J203" s="9237" t="n"/>
      <c r="K203" s="344" t="n"/>
      <c r="L203" s="344" t="n"/>
      <c r="M203" s="344" t="n"/>
      <c r="N203" s="344" t="n"/>
      <c r="O203" s="344" t="n"/>
      <c r="P203" s="344" t="n"/>
      <c r="Q203" s="344" t="n"/>
      <c r="R203" s="344" t="n"/>
      <c r="S203" s="344" t="n"/>
      <c r="T203" s="344" t="n"/>
      <c r="U203" s="344" t="n"/>
      <c r="V203" s="344" t="n"/>
      <c r="W203" s="567" t="n"/>
      <c r="X203" s="3540" t="n"/>
      <c r="Y203" s="3540" t="n"/>
      <c r="Z203" s="3540" t="n"/>
    </row>
    <row r="204" ht="12.75" customHeight="1" s="7635">
      <c r="A204" s="139" t="n"/>
      <c r="B204" s="3777" t="n"/>
      <c r="C204" s="3790" t="n"/>
      <c r="D204" s="344" t="n"/>
      <c r="E204" s="3789" t="n"/>
      <c r="F204" s="3789" t="n"/>
      <c r="G204" s="3789" t="n"/>
      <c r="H204" s="3789" t="n"/>
      <c r="I204" s="344" t="n"/>
      <c r="J204" s="9573" t="inlineStr">
        <is>
          <t>But not over:</t>
        </is>
      </c>
      <c r="L204" s="3790" t="n"/>
      <c r="M204" s="344" t="n"/>
      <c r="N204" s="344" t="n"/>
      <c r="O204" s="9572" t="inlineStr">
        <is>
          <t>THEN the decimal amount is:</t>
        </is>
      </c>
      <c r="T204" s="344" t="n"/>
      <c r="U204" s="344" t="n"/>
      <c r="V204" s="344" t="n"/>
      <c r="W204" s="567" t="n"/>
      <c r="X204" s="3540" t="n"/>
      <c r="Y204" s="3540" t="n"/>
      <c r="Z204" s="3540" t="n"/>
    </row>
    <row r="205">
      <c r="A205" s="139" t="n"/>
      <c r="B205" s="3777" t="n"/>
      <c r="C205" s="3790" t="n"/>
      <c r="D205" s="344" t="n"/>
      <c r="E205" s="3790" t="n"/>
      <c r="F205" s="3790" t="n"/>
      <c r="G205" s="9794" t="inlineStr">
        <is>
          <t>Over:</t>
        </is>
      </c>
      <c r="H205" s="3789" t="n"/>
      <c r="I205" s="344" t="n"/>
      <c r="J205" s="7637" t="n"/>
      <c r="K205" s="7637" t="n"/>
      <c r="L205" s="3790" t="n"/>
      <c r="M205" s="344" t="n"/>
      <c r="N205" s="344" t="n"/>
      <c r="T205" s="344" t="n"/>
      <c r="U205" s="344" t="n"/>
      <c r="V205" s="344" t="n"/>
      <c r="W205" s="567" t="n"/>
      <c r="X205" s="3540" t="n"/>
      <c r="Y205" s="3540" t="n"/>
      <c r="Z205" s="3540" t="n"/>
    </row>
    <row r="206">
      <c r="A206" s="139" t="n"/>
      <c r="B206" s="12423" t="n"/>
      <c r="C206" s="12424" t="n"/>
      <c r="D206" s="9237" t="n"/>
      <c r="E206" s="344" t="n"/>
      <c r="F206" s="344" t="n"/>
      <c r="G206" s="12424" t="n">
        <v>0</v>
      </c>
      <c r="H206" s="351" t="inlineStr">
        <is>
          <t>---</t>
        </is>
      </c>
      <c r="I206" s="344" t="n"/>
      <c r="J206" s="9571">
        <f>G207</f>
        <v/>
      </c>
      <c r="K206" s="3794" t="n"/>
      <c r="L206" s="9237" t="n"/>
      <c r="M206" s="344" t="n"/>
      <c r="N206" s="344" t="n"/>
      <c r="O206" s="344" t="n"/>
      <c r="P206" s="344" t="n"/>
      <c r="Q206" s="9536" t="n">
        <v>0.35</v>
      </c>
      <c r="S206" s="344" t="n"/>
      <c r="T206" s="344" t="n"/>
      <c r="U206" s="344" t="n"/>
      <c r="V206" s="344" t="n"/>
      <c r="W206" s="567" t="n"/>
      <c r="X206" s="3540" t="n"/>
      <c r="Y206" s="3540" t="n"/>
      <c r="Z206" s="3540" t="n"/>
    </row>
    <row r="207" ht="12.75" customHeight="1" s="7635">
      <c r="A207" s="139" t="n"/>
      <c r="B207" s="3795" t="n"/>
      <c r="C207" s="3796" t="n"/>
      <c r="D207" s="9237" t="n"/>
      <c r="E207" s="9237" t="n"/>
      <c r="F207" s="344" t="n"/>
      <c r="G207" s="3796" t="n">
        <v>15000</v>
      </c>
      <c r="H207" s="351" t="inlineStr">
        <is>
          <t>---</t>
        </is>
      </c>
      <c r="I207" s="344" t="n"/>
      <c r="J207" s="9571">
        <f>G208</f>
        <v/>
      </c>
      <c r="K207" s="11602" t="n"/>
      <c r="L207" s="3797" t="n"/>
      <c r="M207" s="344" t="n"/>
      <c r="N207" s="344" t="n"/>
      <c r="O207" s="344" t="n"/>
      <c r="P207" s="344" t="n"/>
      <c r="Q207" s="9536" t="n">
        <v>0.34</v>
      </c>
      <c r="S207" s="344" t="n"/>
      <c r="T207" s="344" t="n"/>
      <c r="U207" s="344" t="n"/>
      <c r="V207" s="344" t="n"/>
      <c r="W207" s="567" t="n"/>
      <c r="X207" s="3540" t="n"/>
      <c r="Y207" s="3540" t="n"/>
      <c r="Z207" s="3540" t="n"/>
    </row>
    <row r="208" ht="12.75" customHeight="1" s="7635">
      <c r="A208" s="139" t="n"/>
      <c r="B208" s="3795" t="n"/>
      <c r="C208" s="3796" t="n"/>
      <c r="D208" s="9237" t="n"/>
      <c r="E208" s="9237" t="n"/>
      <c r="F208" s="344" t="n"/>
      <c r="G208" s="3796" t="n">
        <v>17000</v>
      </c>
      <c r="H208" s="351" t="inlineStr">
        <is>
          <t>---</t>
        </is>
      </c>
      <c r="I208" s="344" t="n"/>
      <c r="J208" s="9571">
        <f>G209</f>
        <v/>
      </c>
      <c r="K208" s="11602" t="n"/>
      <c r="L208" s="3797" t="n"/>
      <c r="M208" s="344" t="n"/>
      <c r="N208" s="344" t="n"/>
      <c r="O208" s="344" t="n"/>
      <c r="P208" s="344" t="n"/>
      <c r="Q208" s="9536" t="n">
        <v>0.33</v>
      </c>
      <c r="S208" s="344" t="n"/>
      <c r="T208" s="344" t="n"/>
      <c r="U208" s="344" t="n"/>
      <c r="V208" s="344" t="n"/>
      <c r="W208" s="567" t="n"/>
      <c r="X208" s="3540" t="n"/>
      <c r="Y208" s="3540" t="n"/>
      <c r="Z208" s="3540" t="n"/>
    </row>
    <row r="209">
      <c r="A209" s="139" t="n"/>
      <c r="B209" s="3795" t="n"/>
      <c r="C209" s="3796" t="n"/>
      <c r="D209" s="9237" t="n"/>
      <c r="E209" s="9237" t="n"/>
      <c r="F209" s="344" t="n"/>
      <c r="G209" s="3796" t="n">
        <v>19000</v>
      </c>
      <c r="H209" s="351" t="inlineStr">
        <is>
          <t>---</t>
        </is>
      </c>
      <c r="I209" s="344" t="n"/>
      <c r="J209" s="9571">
        <f>G210</f>
        <v/>
      </c>
      <c r="K209" s="11602" t="n"/>
      <c r="L209" s="3797" t="n"/>
      <c r="M209" s="344" t="n"/>
      <c r="N209" s="344" t="n"/>
      <c r="O209" s="344" t="n"/>
      <c r="P209" s="344" t="n"/>
      <c r="Q209" s="9536" t="n">
        <v>0.32</v>
      </c>
      <c r="S209" s="344" t="n"/>
      <c r="T209" s="344" t="n"/>
      <c r="U209" s="344" t="n"/>
      <c r="V209" s="344" t="n"/>
      <c r="W209" s="567" t="n"/>
      <c r="X209" s="3540" t="n"/>
      <c r="Y209" s="3540" t="n"/>
      <c r="Z209" s="3540" t="n"/>
    </row>
    <row r="210">
      <c r="A210" s="139" t="n"/>
      <c r="B210" s="3795" t="n"/>
      <c r="C210" s="3796" t="n"/>
      <c r="D210" s="9237" t="n"/>
      <c r="E210" s="9237" t="n"/>
      <c r="F210" s="344" t="n"/>
      <c r="G210" s="3796" t="n">
        <v>21000</v>
      </c>
      <c r="H210" s="351" t="inlineStr">
        <is>
          <t>---</t>
        </is>
      </c>
      <c r="I210" s="344" t="n"/>
      <c r="J210" s="9571">
        <f>G211</f>
        <v/>
      </c>
      <c r="K210" s="11602" t="n"/>
      <c r="L210" s="3797" t="n"/>
      <c r="M210" s="344" t="n"/>
      <c r="N210" s="344" t="n"/>
      <c r="O210" s="344" t="n"/>
      <c r="P210" s="344" t="n"/>
      <c r="Q210" s="9536" t="n">
        <v>0.31</v>
      </c>
      <c r="S210" s="344" t="n"/>
      <c r="T210" s="344" t="n"/>
      <c r="U210" s="344" t="n"/>
      <c r="V210" s="344" t="n"/>
      <c r="W210" s="567" t="n"/>
      <c r="X210" s="3540" t="n"/>
      <c r="Y210" s="3540" t="n"/>
      <c r="Z210" s="3540" t="n"/>
    </row>
    <row r="211">
      <c r="A211" s="139" t="n"/>
      <c r="B211" s="3795" t="n"/>
      <c r="C211" s="3796" t="n"/>
      <c r="D211" s="9237" t="n"/>
      <c r="E211" s="9237" t="n"/>
      <c r="F211" s="344" t="n"/>
      <c r="G211" s="3796" t="n">
        <v>23000</v>
      </c>
      <c r="H211" s="351" t="inlineStr">
        <is>
          <t>---</t>
        </is>
      </c>
      <c r="I211" s="344" t="n"/>
      <c r="J211" s="9571">
        <f>G212</f>
        <v/>
      </c>
      <c r="K211" s="11602" t="n"/>
      <c r="L211" s="3797" t="n"/>
      <c r="M211" s="344" t="n"/>
      <c r="N211" s="344" t="n"/>
      <c r="O211" s="344" t="n"/>
      <c r="P211" s="344" t="n"/>
      <c r="Q211" s="9536" t="n">
        <v>0.3</v>
      </c>
      <c r="S211" s="344" t="n"/>
      <c r="T211" s="344" t="n"/>
      <c r="U211" s="344" t="n"/>
      <c r="V211" s="344" t="n"/>
      <c r="W211" s="567" t="n"/>
      <c r="X211" s="3540" t="n"/>
      <c r="Y211" s="3540" t="n"/>
      <c r="Z211" s="3540" t="n"/>
    </row>
    <row r="212" ht="12.75" customHeight="1" s="7635">
      <c r="A212" s="139" t="n"/>
      <c r="B212" s="3795" t="n"/>
      <c r="C212" s="3796" t="n"/>
      <c r="D212" s="9237" t="n"/>
      <c r="E212" s="9237" t="n"/>
      <c r="F212" s="344" t="n"/>
      <c r="G212" s="3796" t="n">
        <v>25000</v>
      </c>
      <c r="H212" s="351" t="inlineStr">
        <is>
          <t>---</t>
        </is>
      </c>
      <c r="I212" s="344" t="n"/>
      <c r="J212" s="9571">
        <f>G213</f>
        <v/>
      </c>
      <c r="K212" s="11602" t="n"/>
      <c r="L212" s="3797" t="n"/>
      <c r="M212" s="344" t="n"/>
      <c r="N212" s="344" t="n"/>
      <c r="O212" s="344" t="n"/>
      <c r="P212" s="344" t="n"/>
      <c r="Q212" s="9536" t="n">
        <v>0.29</v>
      </c>
      <c r="S212" s="344" t="n"/>
      <c r="T212" s="344" t="n"/>
      <c r="U212" s="344" t="n"/>
      <c r="V212" s="344" t="n"/>
      <c r="W212" s="567" t="n"/>
      <c r="X212" s="3540" t="n"/>
      <c r="Y212" s="3540" t="n"/>
      <c r="Z212" s="3540" t="n"/>
    </row>
    <row r="213" ht="12.75" customHeight="1" s="7635">
      <c r="A213" s="139" t="n"/>
      <c r="B213" s="3795" t="n"/>
      <c r="C213" s="3796" t="n"/>
      <c r="D213" s="9237" t="n"/>
      <c r="E213" s="9237" t="n"/>
      <c r="F213" s="344" t="n"/>
      <c r="G213" s="3796" t="n">
        <v>27000</v>
      </c>
      <c r="H213" s="351" t="inlineStr">
        <is>
          <t>---</t>
        </is>
      </c>
      <c r="I213" s="344" t="n"/>
      <c r="J213" s="9571">
        <f>G214</f>
        <v/>
      </c>
      <c r="K213" s="11602" t="n"/>
      <c r="L213" s="3797" t="n"/>
      <c r="M213" s="344" t="n"/>
      <c r="N213" s="344" t="n"/>
      <c r="O213" s="344" t="n"/>
      <c r="P213" s="344" t="n"/>
      <c r="Q213" s="9536" t="n">
        <v>0.28</v>
      </c>
      <c r="S213" s="344" t="n"/>
      <c r="T213" s="344" t="n"/>
      <c r="U213" s="344" t="n"/>
      <c r="V213" s="344" t="n"/>
      <c r="W213" s="567" t="n"/>
      <c r="X213" s="3540" t="n"/>
      <c r="Y213" s="3540" t="n"/>
      <c r="Z213" s="3540" t="n"/>
    </row>
    <row r="214" ht="12.75" customHeight="1" s="7635">
      <c r="A214" s="139" t="n"/>
      <c r="B214" s="3795" t="n"/>
      <c r="C214" s="3796" t="n"/>
      <c r="D214" s="9237" t="n"/>
      <c r="E214" s="9237" t="n"/>
      <c r="F214" s="344" t="n"/>
      <c r="G214" s="3796" t="n">
        <v>29000</v>
      </c>
      <c r="H214" s="351" t="inlineStr">
        <is>
          <t>---</t>
        </is>
      </c>
      <c r="I214" s="344" t="n"/>
      <c r="J214" s="9571">
        <f>G215</f>
        <v/>
      </c>
      <c r="K214" s="11602" t="n"/>
      <c r="L214" s="3797" t="n"/>
      <c r="M214" s="344" t="n"/>
      <c r="N214" s="344" t="n"/>
      <c r="O214" s="344" t="n"/>
      <c r="P214" s="344" t="n"/>
      <c r="Q214" s="9536" t="n">
        <v>0.27</v>
      </c>
      <c r="S214" s="344" t="n"/>
      <c r="T214" s="344" t="n"/>
      <c r="U214" s="344" t="n"/>
      <c r="V214" s="344" t="n"/>
      <c r="W214" s="567" t="n"/>
      <c r="X214" s="3540" t="n"/>
      <c r="Y214" s="3540" t="n"/>
      <c r="Z214" s="3540" t="n"/>
    </row>
    <row r="215" ht="12.75" customHeight="1" s="7635">
      <c r="A215" s="139" t="n"/>
      <c r="B215" s="3795" t="n"/>
      <c r="C215" s="3796" t="n"/>
      <c r="D215" s="9237" t="n"/>
      <c r="E215" s="9237" t="n"/>
      <c r="F215" s="344" t="n"/>
      <c r="G215" s="3796" t="n">
        <v>31000</v>
      </c>
      <c r="H215" s="351" t="inlineStr">
        <is>
          <t>---</t>
        </is>
      </c>
      <c r="I215" s="344" t="n"/>
      <c r="J215" s="9571">
        <f>G216</f>
        <v/>
      </c>
      <c r="K215" s="11602" t="n"/>
      <c r="L215" s="3797" t="n"/>
      <c r="M215" s="344" t="n"/>
      <c r="N215" s="344" t="n"/>
      <c r="O215" s="344" t="n"/>
      <c r="P215" s="344" t="n"/>
      <c r="Q215" s="9536" t="n">
        <v>0.26</v>
      </c>
      <c r="S215" s="344" t="n"/>
      <c r="T215" s="344" t="n"/>
      <c r="U215" s="344" t="n"/>
      <c r="V215" s="344" t="n"/>
      <c r="W215" s="567" t="n"/>
      <c r="X215" s="3540" t="n"/>
      <c r="Y215" s="3540" t="n"/>
      <c r="Z215" s="3540" t="n"/>
    </row>
    <row r="216" ht="12.75" customHeight="1" s="7635">
      <c r="A216" s="139" t="n"/>
      <c r="B216" s="3795" t="n"/>
      <c r="C216" s="3796" t="n"/>
      <c r="D216" s="9237" t="n"/>
      <c r="E216" s="9237" t="n"/>
      <c r="F216" s="344" t="n"/>
      <c r="G216" s="3796" t="n">
        <v>33000</v>
      </c>
      <c r="H216" s="351" t="inlineStr">
        <is>
          <t>---</t>
        </is>
      </c>
      <c r="I216" s="344" t="n"/>
      <c r="J216" s="9571">
        <f>G217</f>
        <v/>
      </c>
      <c r="K216" s="11602" t="n"/>
      <c r="L216" s="3797" t="n"/>
      <c r="M216" s="344" t="n"/>
      <c r="N216" s="344" t="n"/>
      <c r="O216" s="344" t="n"/>
      <c r="P216" s="344" t="n"/>
      <c r="Q216" s="9536" t="n">
        <v>0.25</v>
      </c>
      <c r="S216" s="344" t="n"/>
      <c r="T216" s="344" t="n"/>
      <c r="U216" s="344" t="n"/>
      <c r="V216" s="344" t="n"/>
      <c r="W216" s="567" t="n"/>
      <c r="X216" s="3540" t="n"/>
      <c r="Y216" s="3540" t="n"/>
      <c r="Z216" s="3540" t="n"/>
    </row>
    <row r="217" ht="12.75" customHeight="1" s="7635">
      <c r="A217" s="139" t="n"/>
      <c r="B217" s="3795" t="n"/>
      <c r="C217" s="3796" t="n"/>
      <c r="D217" s="9237" t="n"/>
      <c r="E217" s="9237" t="n"/>
      <c r="F217" s="344" t="n"/>
      <c r="G217" s="3796" t="n">
        <v>35000</v>
      </c>
      <c r="H217" s="351" t="inlineStr">
        <is>
          <t>---</t>
        </is>
      </c>
      <c r="I217" s="344" t="n"/>
      <c r="J217" s="9571">
        <f>G218</f>
        <v/>
      </c>
      <c r="K217" s="11602" t="n"/>
      <c r="L217" s="3797" t="n"/>
      <c r="M217" s="344" t="n"/>
      <c r="N217" s="344" t="n"/>
      <c r="O217" s="344" t="n"/>
      <c r="P217" s="344" t="n"/>
      <c r="Q217" s="9536" t="n">
        <v>0.24</v>
      </c>
      <c r="S217" s="344" t="n"/>
      <c r="T217" s="344" t="n"/>
      <c r="U217" s="344" t="n"/>
      <c r="V217" s="344" t="n"/>
      <c r="W217" s="567" t="n"/>
      <c r="X217" s="3540" t="n"/>
      <c r="Y217" s="3540" t="n"/>
      <c r="Z217" s="3540" t="n"/>
    </row>
    <row r="218" ht="12.75" customHeight="1" s="7635">
      <c r="A218" s="139" t="n"/>
      <c r="B218" s="3795" t="n"/>
      <c r="C218" s="3796" t="n"/>
      <c r="D218" s="9237" t="n"/>
      <c r="E218" s="9237" t="n"/>
      <c r="F218" s="344" t="n"/>
      <c r="G218" s="3796" t="n">
        <v>37000</v>
      </c>
      <c r="H218" s="351" t="inlineStr">
        <is>
          <t>---</t>
        </is>
      </c>
      <c r="I218" s="344" t="n"/>
      <c r="J218" s="9571">
        <f>G219</f>
        <v/>
      </c>
      <c r="K218" s="11602" t="n"/>
      <c r="L218" s="3797" t="n"/>
      <c r="M218" s="344" t="n"/>
      <c r="N218" s="344" t="n"/>
      <c r="O218" s="344" t="n"/>
      <c r="P218" s="344" t="n"/>
      <c r="Q218" s="9536" t="n">
        <v>0.23</v>
      </c>
      <c r="S218" s="344" t="n"/>
      <c r="T218" s="344" t="n"/>
      <c r="U218" s="344" t="n"/>
      <c r="V218" s="344" t="n"/>
      <c r="W218" s="567" t="n"/>
      <c r="X218" s="3540" t="n"/>
      <c r="Y218" s="3540" t="n"/>
      <c r="Z218" s="3540" t="n"/>
    </row>
    <row r="219" ht="12.75" customHeight="1" s="7635">
      <c r="A219" s="139" t="n"/>
      <c r="B219" s="3795" t="n"/>
      <c r="C219" s="3796" t="n"/>
      <c r="D219" s="9237" t="n"/>
      <c r="E219" s="9237" t="n"/>
      <c r="F219" s="344" t="n"/>
      <c r="G219" s="3796" t="n">
        <v>39000</v>
      </c>
      <c r="H219" s="351" t="inlineStr">
        <is>
          <t>---</t>
        </is>
      </c>
      <c r="I219" s="344" t="n"/>
      <c r="J219" s="9571">
        <f>G220</f>
        <v/>
      </c>
      <c r="K219" s="11602" t="n"/>
      <c r="L219" s="3797" t="n"/>
      <c r="M219" s="344" t="n"/>
      <c r="N219" s="344" t="n"/>
      <c r="O219" s="344" t="n"/>
      <c r="P219" s="344" t="n"/>
      <c r="Q219" s="9536" t="n">
        <v>0.22</v>
      </c>
      <c r="S219" s="344" t="n"/>
      <c r="T219" s="344" t="n"/>
      <c r="U219" s="344" t="n"/>
      <c r="V219" s="344" t="n"/>
      <c r="W219" s="567" t="n"/>
      <c r="X219" s="3540" t="n"/>
      <c r="Y219" s="3540" t="n"/>
      <c r="Z219" s="3540" t="n"/>
    </row>
    <row r="220" ht="12.75" customHeight="1" s="7635">
      <c r="A220" s="139" t="n"/>
      <c r="B220" s="3795" t="n"/>
      <c r="C220" s="3796" t="n"/>
      <c r="D220" s="9237" t="n"/>
      <c r="E220" s="9237" t="n"/>
      <c r="F220" s="344" t="n"/>
      <c r="G220" s="3796" t="n">
        <v>41000</v>
      </c>
      <c r="H220" s="351" t="inlineStr">
        <is>
          <t>---</t>
        </is>
      </c>
      <c r="I220" s="344" t="n"/>
      <c r="J220" s="9571">
        <f>G221</f>
        <v/>
      </c>
      <c r="K220" s="11602" t="n"/>
      <c r="L220" s="3797" t="n"/>
      <c r="M220" s="344" t="n"/>
      <c r="N220" s="344" t="n"/>
      <c r="O220" s="344" t="n"/>
      <c r="P220" s="344" t="n"/>
      <c r="Q220" s="9536" t="n">
        <v>0.21</v>
      </c>
      <c r="S220" s="344" t="n"/>
      <c r="T220" s="344" t="n"/>
      <c r="U220" s="344" t="n"/>
      <c r="V220" s="344" t="n"/>
      <c r="W220" s="567" t="n"/>
      <c r="X220" s="3540" t="n"/>
      <c r="Y220" s="3540" t="n"/>
      <c r="Z220" s="3540" t="n"/>
    </row>
    <row r="221" ht="12.75" customHeight="1" s="7635">
      <c r="A221" s="139" t="n"/>
      <c r="B221" s="3795" t="n"/>
      <c r="C221" s="3796" t="n"/>
      <c r="D221" s="9237" t="n"/>
      <c r="E221" s="9237" t="n"/>
      <c r="F221" s="344" t="n"/>
      <c r="G221" s="3796" t="n">
        <v>43000</v>
      </c>
      <c r="H221" s="351" t="inlineStr">
        <is>
          <t>---</t>
        </is>
      </c>
      <c r="I221" s="344" t="n"/>
      <c r="J221" s="9571" t="inlineStr">
        <is>
          <t>No limit</t>
        </is>
      </c>
      <c r="K221" s="11602" t="n"/>
      <c r="L221" s="3797" t="n"/>
      <c r="M221" s="344" t="n"/>
      <c r="N221" s="344" t="n"/>
      <c r="O221" s="344" t="n"/>
      <c r="P221" s="344" t="n"/>
      <c r="Q221" s="9536" t="n">
        <v>0.2</v>
      </c>
      <c r="S221" s="344" t="n"/>
      <c r="T221" s="344" t="n"/>
      <c r="U221" s="344" t="n"/>
      <c r="V221" s="344" t="n"/>
      <c r="W221" s="567" t="n"/>
      <c r="X221" s="3540" t="n"/>
      <c r="Y221" s="3540" t="n"/>
      <c r="Z221" s="3540" t="n"/>
    </row>
    <row r="222" ht="12.75" customHeight="1" s="7635">
      <c r="A222" s="139" t="n"/>
      <c r="B222" s="3777" t="n"/>
      <c r="C222" s="9571" t="n"/>
      <c r="F222" s="9750" t="n"/>
      <c r="G222" s="9571" t="n"/>
      <c r="H222" s="9570" t="n"/>
      <c r="J222" s="9237" t="n"/>
      <c r="K222" s="344" t="n"/>
      <c r="L222" s="344" t="n"/>
      <c r="M222" s="344" t="n"/>
      <c r="N222" s="344" t="n"/>
      <c r="O222" s="344" t="n"/>
      <c r="P222" s="344" t="n"/>
      <c r="Q222" s="344" t="n"/>
      <c r="R222" s="344" t="n"/>
      <c r="S222" s="344" t="n"/>
      <c r="T222" s="344" t="n"/>
      <c r="U222" s="344" t="n"/>
      <c r="V222" s="344" t="n"/>
      <c r="W222" s="567" t="n"/>
      <c r="X222" s="3540" t="n"/>
      <c r="Y222" s="3540" t="n"/>
      <c r="Z222" s="3540" t="n"/>
    </row>
    <row r="223">
      <c r="A223" s="139" t="n"/>
      <c r="B223" s="9748" t="inlineStr">
        <is>
          <t>13.</t>
        </is>
      </c>
      <c r="C223" s="9237" t="n"/>
      <c r="D223" s="9237" t="inlineStr">
        <is>
          <t>Multiply line 10 by line 12 and enter the amount here and on Form 2441, line 9b</t>
        </is>
      </c>
      <c r="E223" s="9237" t="n"/>
      <c r="F223" s="9237" t="n"/>
      <c r="G223" s="9237" t="n"/>
      <c r="H223" s="9237" t="n"/>
      <c r="I223" s="9237" t="n"/>
      <c r="J223" s="9237" t="n"/>
      <c r="K223" s="9237" t="n"/>
      <c r="L223" s="9237" t="n"/>
      <c r="M223" s="9237" t="n"/>
      <c r="N223" s="9237" t="n"/>
      <c r="O223" s="9237" t="n"/>
      <c r="P223" s="9237" t="n"/>
      <c r="Q223" s="9237" t="n"/>
      <c r="R223" s="351" t="n"/>
      <c r="S223" s="9237" t="n"/>
      <c r="T223" s="345" t="inlineStr">
        <is>
          <t xml:space="preserve">.   .   .   .   .   .   .   .   .  </t>
        </is>
      </c>
      <c r="U223" s="351" t="inlineStr">
        <is>
          <t>13.</t>
        </is>
      </c>
      <c r="V223" s="7758">
        <f>IF(OR(V185="",C197),"",ROUND(V197*V200,0))</f>
        <v/>
      </c>
      <c r="W223" s="3776" t="n"/>
      <c r="X223" s="3540" t="n"/>
      <c r="Y223" s="3540" t="n"/>
      <c r="Z223" s="3540" t="n"/>
    </row>
    <row r="224">
      <c r="A224" s="139" t="n"/>
      <c r="B224" s="9748" t="inlineStr">
        <is>
          <t>14a.</t>
        </is>
      </c>
      <c r="C224" s="9237" t="n"/>
      <c r="D224" s="9237" t="inlineStr">
        <is>
          <t>Name, address, and identifying number of persons or organizations who provided the care:</t>
        </is>
      </c>
      <c r="E224" s="9237" t="n"/>
      <c r="F224" s="9237" t="n"/>
      <c r="G224" s="9237" t="n"/>
      <c r="H224" s="9237" t="n"/>
      <c r="I224" s="9237" t="n"/>
      <c r="J224" s="9237" t="n"/>
      <c r="K224" s="9237" t="n"/>
      <c r="L224" s="9237" t="n"/>
      <c r="M224" s="9237" t="n"/>
      <c r="N224" s="9237" t="n"/>
      <c r="O224" s="9237" t="n"/>
      <c r="P224" s="9237" t="n"/>
      <c r="Q224" s="9237" t="n"/>
      <c r="R224" s="9237" t="n"/>
      <c r="S224" s="9237" t="n"/>
      <c r="T224" s="9237" t="n"/>
      <c r="U224" s="9237" t="n"/>
      <c r="V224" s="9237" t="n"/>
      <c r="W224" s="3776" t="n"/>
      <c r="X224" s="3540" t="n"/>
      <c r="Y224" s="3540" t="n"/>
      <c r="Z224" s="3540" t="n"/>
    </row>
    <row r="225" ht="5.25" customHeight="1" s="7635">
      <c r="A225" s="139" t="n"/>
      <c r="B225" s="9748" t="n"/>
      <c r="C225" s="9237" t="n"/>
      <c r="D225" s="9237" t="n"/>
      <c r="E225" s="9237" t="n"/>
      <c r="F225" s="9237" t="n"/>
      <c r="G225" s="9237" t="n"/>
      <c r="H225" s="9237" t="n"/>
      <c r="I225" s="9237" t="n"/>
      <c r="J225" s="9237" t="n"/>
      <c r="K225" s="9237" t="n"/>
      <c r="L225" s="9237" t="n"/>
      <c r="M225" s="9237" t="n"/>
      <c r="N225" s="9237" t="n"/>
      <c r="O225" s="9237" t="n"/>
      <c r="P225" s="9237" t="n"/>
      <c r="Q225" s="9237" t="n"/>
      <c r="R225" s="9237" t="n"/>
      <c r="S225" s="9237" t="n"/>
      <c r="T225" s="9237" t="n"/>
      <c r="U225" s="9237" t="n"/>
      <c r="V225" s="9237" t="n"/>
      <c r="W225" s="3776" t="n"/>
      <c r="X225" s="3540" t="n"/>
      <c r="Y225" s="3540" t="n"/>
      <c r="Z225" s="3540" t="n"/>
    </row>
    <row r="226">
      <c r="A226" s="139" t="n"/>
      <c r="B226" s="3798" t="n"/>
      <c r="C226" s="3789" t="n"/>
      <c r="D226" s="9713" t="n"/>
      <c r="E226" s="11717" t="n"/>
      <c r="F226" s="11717" t="n"/>
      <c r="G226" s="11717" t="n"/>
      <c r="H226" s="11717" t="n"/>
      <c r="I226" s="11717" t="n"/>
      <c r="J226" s="11717" t="n"/>
      <c r="K226" s="11717" t="n"/>
      <c r="L226" s="11717" t="n"/>
      <c r="M226" s="11717" t="n"/>
      <c r="N226" s="11717" t="n"/>
      <c r="O226" s="11717" t="n"/>
      <c r="P226" s="11717" t="n"/>
      <c r="Q226" s="11717" t="n"/>
      <c r="R226" s="11717" t="n"/>
      <c r="S226" s="11717" t="n"/>
      <c r="T226" s="11717" t="n"/>
      <c r="U226" s="11717" t="n"/>
      <c r="V226" s="11717" t="n"/>
      <c r="W226" s="3799" t="n"/>
      <c r="X226" s="3540" t="n"/>
      <c r="Y226" s="3540" t="n"/>
      <c r="Z226" s="3540" t="n"/>
    </row>
    <row r="227" ht="8.25" customHeight="1" s="7635">
      <c r="A227" s="139" t="n"/>
      <c r="B227" s="3777" t="n"/>
      <c r="C227" s="9237" t="n"/>
      <c r="D227" s="9237" t="n"/>
      <c r="E227" s="9237" t="n"/>
      <c r="F227" s="9237" t="n"/>
      <c r="G227" s="9237" t="n"/>
      <c r="H227" s="9237" t="n"/>
      <c r="I227" s="9237" t="n"/>
      <c r="J227" s="9237" t="n"/>
      <c r="K227" s="9237" t="n"/>
      <c r="L227" s="9237" t="n"/>
      <c r="M227" s="9237" t="n"/>
      <c r="N227" s="9237" t="n"/>
      <c r="O227" s="9237" t="n"/>
      <c r="P227" s="9237" t="n"/>
      <c r="Q227" s="9237" t="n"/>
      <c r="R227" s="9237" t="n"/>
      <c r="S227" s="9237" t="n"/>
      <c r="T227" s="9237" t="n"/>
      <c r="U227" s="9237" t="n"/>
      <c r="V227" s="9237" t="n"/>
      <c r="W227" s="3776" t="n"/>
      <c r="X227" s="3540" t="n"/>
      <c r="Y227" s="3540" t="n"/>
      <c r="Z227" s="3540" t="n"/>
    </row>
    <row r="228" ht="15.75" customHeight="1" s="7635">
      <c r="A228" s="139" t="n"/>
      <c r="B228" s="9748" t="inlineStr">
        <is>
          <t>14b.</t>
        </is>
      </c>
      <c r="C228" s="9237" t="n"/>
      <c r="D228" s="9237" t="inlineStr">
        <is>
          <t>Was the care provider your household employee?</t>
        </is>
      </c>
      <c r="E228" s="9237" t="n"/>
      <c r="F228" s="9237" t="n"/>
      <c r="G228" s="9237" t="n"/>
      <c r="H228" s="9237" t="n"/>
      <c r="I228" s="9237" t="n"/>
      <c r="J228" s="9237" t="n"/>
      <c r="K228" s="9237" t="n"/>
      <c r="L228" s="9237" t="n"/>
      <c r="M228" s="2388" t="n"/>
      <c r="N228" s="3789" t="inlineStr">
        <is>
          <t xml:space="preserve"> Yes</t>
        </is>
      </c>
      <c r="O228" s="2388" t="n"/>
      <c r="P228" s="3789" t="inlineStr">
        <is>
          <t xml:space="preserve"> No</t>
        </is>
      </c>
      <c r="Q228" s="9237" t="n"/>
      <c r="R228" s="9237" t="n"/>
      <c r="S228" s="9237" t="n"/>
      <c r="T228" s="9237" t="n"/>
      <c r="U228" s="9237" t="n"/>
      <c r="V228" s="9237" t="n"/>
      <c r="W228" s="3776" t="n"/>
      <c r="X228" s="3540" t="n"/>
      <c r="Y228" s="3540" t="n"/>
      <c r="Z228" s="3540" t="n"/>
    </row>
    <row r="229" ht="14.25" customHeight="1" s="7635">
      <c r="A229" s="139" t="n"/>
      <c r="B229" s="9748" t="inlineStr">
        <is>
          <t>15a.</t>
        </is>
      </c>
      <c r="C229" s="9237" t="n"/>
      <c r="D229" s="9237" t="inlineStr">
        <is>
          <t>First and last name and taxpayer identification number of the qualifying person that received the care:</t>
        </is>
      </c>
      <c r="E229" s="9237" t="n"/>
      <c r="F229" s="9237" t="n"/>
      <c r="G229" s="9237" t="n"/>
      <c r="H229" s="9237" t="n"/>
      <c r="I229" s="9237" t="n"/>
      <c r="J229" s="9237" t="n"/>
      <c r="K229" s="9237" t="n"/>
      <c r="L229" s="9237" t="n"/>
      <c r="M229" s="9237" t="n"/>
      <c r="N229" s="9237" t="n"/>
      <c r="O229" s="9237" t="n"/>
      <c r="P229" s="9237" t="n"/>
      <c r="Q229" s="9237" t="n"/>
      <c r="R229" s="9237" t="n"/>
      <c r="S229" s="9237" t="n"/>
      <c r="T229" s="9237" t="n"/>
      <c r="U229" s="9237" t="n"/>
      <c r="V229" s="9237" t="n"/>
      <c r="W229" s="3776" t="n"/>
      <c r="X229" s="3540" t="n"/>
      <c r="Y229" s="3540" t="n"/>
      <c r="Z229" s="3540" t="n"/>
    </row>
    <row r="230" ht="7.5" customHeight="1" s="7635">
      <c r="A230" s="139" t="n"/>
      <c r="B230" s="9748" t="n"/>
      <c r="C230" s="9237" t="n"/>
      <c r="D230" s="9237" t="n"/>
      <c r="E230" s="9237" t="n"/>
      <c r="F230" s="9237" t="n"/>
      <c r="G230" s="9237" t="n"/>
      <c r="H230" s="9237" t="n"/>
      <c r="I230" s="9237" t="n"/>
      <c r="J230" s="9237" t="n"/>
      <c r="K230" s="9237" t="n"/>
      <c r="L230" s="9237" t="n"/>
      <c r="M230" s="9237" t="n"/>
      <c r="N230" s="9237" t="n"/>
      <c r="O230" s="9237" t="n"/>
      <c r="P230" s="9237" t="n"/>
      <c r="Q230" s="9237" t="n"/>
      <c r="R230" s="9237" t="n"/>
      <c r="S230" s="9237" t="n"/>
      <c r="T230" s="9237" t="n"/>
      <c r="U230" s="9237" t="n"/>
      <c r="V230" s="9237" t="n"/>
      <c r="W230" s="3776" t="n"/>
      <c r="X230" s="3540" t="n"/>
      <c r="Y230" s="3540" t="n"/>
      <c r="Z230" s="3540" t="n"/>
    </row>
    <row r="231" ht="12.75" customHeight="1" s="7635">
      <c r="A231" s="139" t="n"/>
      <c r="B231" s="3777" t="n"/>
      <c r="C231" s="9237" t="n"/>
      <c r="D231" s="9713" t="n"/>
      <c r="E231" s="11717" t="n"/>
      <c r="F231" s="11717" t="n"/>
      <c r="G231" s="11717" t="n"/>
      <c r="H231" s="11717" t="n"/>
      <c r="I231" s="11717" t="n"/>
      <c r="J231" s="11717" t="n"/>
      <c r="K231" s="11717" t="n"/>
      <c r="L231" s="11717" t="n"/>
      <c r="M231" s="11717" t="n"/>
      <c r="N231" s="11717" t="n"/>
      <c r="O231" s="11717" t="n"/>
      <c r="P231" s="11717" t="n"/>
      <c r="Q231" s="11717" t="n"/>
      <c r="R231" s="11717" t="n"/>
      <c r="S231" s="11717" t="n"/>
      <c r="T231" s="11717" t="n"/>
      <c r="U231" s="11717" t="n"/>
      <c r="V231" s="11717" t="n"/>
      <c r="W231" s="3776" t="n"/>
      <c r="X231" s="3540" t="n"/>
      <c r="Y231" s="3540" t="n"/>
      <c r="Z231" s="3540" t="n"/>
    </row>
    <row r="232" ht="14.25" customHeight="1" s="7635">
      <c r="A232" s="139" t="n"/>
      <c r="B232" s="3777" t="n"/>
      <c r="C232" s="9237" t="n"/>
      <c r="D232" s="9237" t="n"/>
      <c r="E232" s="9237" t="n"/>
      <c r="F232" s="9237" t="n"/>
      <c r="G232" s="9237" t="n"/>
      <c r="H232" s="9237" t="n"/>
      <c r="I232" s="9237" t="n"/>
      <c r="J232" s="9237" t="n"/>
      <c r="K232" s="9237" t="n"/>
      <c r="L232" s="9237" t="n"/>
      <c r="M232" s="9237" t="n"/>
      <c r="N232" s="9237" t="n"/>
      <c r="O232" s="9237" t="n"/>
      <c r="P232" s="9237" t="n"/>
      <c r="Q232" s="9237" t="n"/>
      <c r="R232" s="9237" t="n"/>
      <c r="S232" s="9237" t="n"/>
      <c r="T232" s="9237" t="n"/>
      <c r="U232" s="9237" t="n"/>
      <c r="V232" s="9237" t="n"/>
      <c r="W232" s="3776" t="n"/>
      <c r="X232" s="3540" t="n"/>
      <c r="Y232" s="3540" t="n"/>
      <c r="Z232" s="3540" t="n"/>
    </row>
    <row r="233" ht="15.75" customHeight="1" s="7635">
      <c r="A233" s="139" t="n"/>
      <c r="B233" s="9748" t="inlineStr">
        <is>
          <t>15b.</t>
        </is>
      </c>
      <c r="C233" s="9237" t="n"/>
      <c r="D233" s="9237" t="inlineStr">
        <is>
          <t>Check here if the qualifying person was over age 12 at the time the care was provided and was disabled.</t>
        </is>
      </c>
      <c r="E233" s="9237" t="n"/>
      <c r="F233" s="9237" t="n"/>
      <c r="G233" s="9237" t="n"/>
      <c r="H233" s="9237" t="n"/>
      <c r="I233" s="9237" t="n"/>
      <c r="J233" s="9237" t="n"/>
      <c r="K233" s="9237" t="n"/>
      <c r="L233" s="9237" t="n"/>
      <c r="M233" s="9237" t="n"/>
      <c r="N233" s="9237" t="n"/>
      <c r="O233" s="9237" t="n"/>
      <c r="P233" s="9237" t="n"/>
      <c r="Q233" s="9237" t="n"/>
      <c r="R233" s="9237" t="n"/>
      <c r="S233" s="9237" t="n"/>
      <c r="T233" s="9237" t="n"/>
      <c r="U233" s="2388" t="n"/>
      <c r="V233" s="9237" t="n"/>
      <c r="W233" s="3776" t="n"/>
      <c r="X233" s="3540" t="n"/>
      <c r="Y233" s="3540" t="n"/>
      <c r="Z233" s="3540" t="n"/>
    </row>
    <row r="234">
      <c r="A234" s="139" t="n"/>
      <c r="B234" s="3777" t="n"/>
      <c r="C234" s="9237" t="n"/>
      <c r="D234" s="9237" t="n"/>
      <c r="E234" s="9237" t="n"/>
      <c r="F234" s="9237" t="n"/>
      <c r="G234" s="9237" t="n"/>
      <c r="H234" s="9237" t="n"/>
      <c r="I234" s="9237" t="n"/>
      <c r="J234" s="9237" t="n"/>
      <c r="K234" s="9237" t="n"/>
      <c r="L234" s="9237" t="n"/>
      <c r="M234" s="9237" t="n"/>
      <c r="N234" s="9237" t="n"/>
      <c r="O234" s="9237" t="n"/>
      <c r="P234" s="9237" t="n"/>
      <c r="Q234" s="9237" t="n"/>
      <c r="R234" s="9237" t="n"/>
      <c r="S234" s="9237" t="n"/>
      <c r="T234" s="9237" t="n"/>
      <c r="U234" s="9237" t="n"/>
      <c r="V234" s="9237" t="n"/>
      <c r="W234" s="3776" t="n"/>
      <c r="X234" s="3540" t="n"/>
      <c r="Y234" s="3540" t="n"/>
      <c r="Z234" s="3540" t="n"/>
    </row>
    <row r="235" ht="9.75" customHeight="1" s="7635">
      <c r="A235" s="139" t="n"/>
      <c r="B235" s="3777" t="n"/>
      <c r="C235" s="9237" t="inlineStr">
        <is>
          <t>Attach to your tax return a copy of this worksheet or a statement explaining how you figured the credit for prior-year expenses that</t>
        </is>
      </c>
      <c r="D235" s="9237" t="n"/>
      <c r="E235" s="9237" t="n"/>
      <c r="F235" s="9237" t="n"/>
      <c r="G235" s="9237" t="n"/>
      <c r="H235" s="9237" t="n"/>
      <c r="I235" s="9237" t="n"/>
      <c r="J235" s="9237" t="n"/>
      <c r="K235" s="9237" t="n"/>
      <c r="L235" s="9237" t="n"/>
      <c r="M235" s="9237" t="n"/>
      <c r="N235" s="9237" t="n"/>
      <c r="O235" s="9237" t="n"/>
      <c r="P235" s="9237" t="n"/>
      <c r="Q235" s="9237" t="n"/>
      <c r="R235" s="9237" t="n"/>
      <c r="S235" s="9237" t="n"/>
      <c r="T235" s="9237" t="n"/>
      <c r="U235" s="9237" t="n"/>
      <c r="V235" s="9237" t="n"/>
      <c r="W235" s="3776" t="n"/>
      <c r="X235" s="3540" t="n"/>
      <c r="Y235" s="3540" t="n"/>
      <c r="Z235" s="3540" t="n"/>
    </row>
    <row r="236">
      <c r="A236" s="139" t="n"/>
      <c r="B236" s="3777" t="n"/>
      <c r="C236" s="9237" t="inlineStr">
        <is>
          <t>includes all the same information that is in the worksheet, including the name, address, and taxpayer identification number of the</t>
        </is>
      </c>
      <c r="D236" s="9237" t="n"/>
      <c r="E236" s="9237" t="n"/>
      <c r="F236" s="9237" t="n"/>
      <c r="G236" s="9237" t="n"/>
      <c r="H236" s="9237" t="n"/>
      <c r="I236" s="9237" t="n"/>
      <c r="J236" s="9237" t="n"/>
      <c r="K236" s="9237" t="n"/>
      <c r="L236" s="9237" t="n"/>
      <c r="M236" s="9237" t="n"/>
      <c r="N236" s="9237" t="n"/>
      <c r="O236" s="9237" t="n"/>
      <c r="P236" s="9237" t="n"/>
      <c r="Q236" s="9237" t="n"/>
      <c r="R236" s="9237" t="n"/>
      <c r="S236" s="9237" t="n"/>
      <c r="T236" s="9237" t="n"/>
      <c r="U236" s="9237" t="n"/>
      <c r="V236" s="9237" t="n"/>
      <c r="W236" s="3776" t="n"/>
      <c r="X236" s="3540" t="n"/>
      <c r="Y236" s="3540" t="n"/>
      <c r="Z236" s="3540" t="n"/>
    </row>
    <row r="237" ht="12.75" customHeight="1" s="7635">
      <c r="A237" s="139" t="n"/>
      <c r="B237" s="3777" t="n"/>
      <c r="C237" s="9237" t="inlineStr">
        <is>
          <t>persons or organizations providing the care and the name and taxpayer identification number of the person for whom you paid for</t>
        </is>
      </c>
      <c r="D237" s="9237" t="n"/>
      <c r="E237" s="9237" t="n"/>
      <c r="F237" s="9237" t="n"/>
      <c r="G237" s="9237" t="n"/>
      <c r="H237" s="9237" t="n"/>
      <c r="I237" s="9237" t="n"/>
      <c r="J237" s="9237" t="n"/>
      <c r="K237" s="9237" t="n"/>
      <c r="L237" s="9237" t="n"/>
      <c r="M237" s="9237" t="n"/>
      <c r="N237" s="9237" t="n"/>
      <c r="O237" s="9237" t="n"/>
      <c r="P237" s="9237" t="n"/>
      <c r="Q237" s="9237" t="n"/>
      <c r="R237" s="9237" t="n"/>
      <c r="S237" s="9237" t="n"/>
      <c r="T237" s="9237" t="n"/>
      <c r="U237" s="9237" t="n"/>
      <c r="V237" s="9237" t="n"/>
      <c r="W237" s="3776" t="n"/>
      <c r="X237" s="3540" t="n"/>
      <c r="Y237" s="3540" t="n"/>
      <c r="Z237" s="3540" t="n"/>
    </row>
    <row r="238">
      <c r="A238" s="139" t="n"/>
      <c r="B238" s="3777" t="n"/>
      <c r="C238" s="9237" t="inlineStr">
        <is>
          <t>care.</t>
        </is>
      </c>
      <c r="D238" s="9237" t="n"/>
      <c r="E238" s="9237" t="n"/>
      <c r="F238" s="9237" t="n"/>
      <c r="G238" s="9237" t="n"/>
      <c r="H238" s="9237" t="n"/>
      <c r="I238" s="9237" t="n"/>
      <c r="J238" s="9237" t="n"/>
      <c r="K238" s="9237" t="n"/>
      <c r="L238" s="9237" t="n"/>
      <c r="M238" s="9237" t="n"/>
      <c r="N238" s="9237" t="n"/>
      <c r="O238" s="9237" t="n"/>
      <c r="P238" s="9237" t="n"/>
      <c r="Q238" s="9237" t="n"/>
      <c r="R238" s="9237" t="n"/>
      <c r="S238" s="9237" t="n"/>
      <c r="T238" s="9237" t="n"/>
      <c r="U238" s="9237" t="n"/>
      <c r="V238" s="9237" t="n"/>
      <c r="W238" s="3776" t="n"/>
      <c r="X238" s="3540" t="n"/>
      <c r="Y238" s="3540" t="n"/>
      <c r="Z238" s="3540" t="n"/>
    </row>
    <row r="239">
      <c r="A239" s="139" t="n"/>
      <c r="B239" s="3777" t="n"/>
      <c r="C239" s="9237" t="n"/>
      <c r="D239" s="9237" t="n"/>
      <c r="E239" s="9237" t="n"/>
      <c r="F239" s="9237" t="n"/>
      <c r="G239" s="9237" t="n"/>
      <c r="H239" s="9237" t="n"/>
      <c r="I239" s="9237" t="n"/>
      <c r="J239" s="9237" t="n"/>
      <c r="K239" s="9237" t="n"/>
      <c r="L239" s="9237" t="n"/>
      <c r="M239" s="9237" t="n"/>
      <c r="N239" s="9237" t="n"/>
      <c r="O239" s="9237" t="n"/>
      <c r="P239" s="9237" t="n"/>
      <c r="Q239" s="9237" t="n"/>
      <c r="R239" s="9237" t="n"/>
      <c r="S239" s="9237" t="n"/>
      <c r="T239" s="9237" t="n"/>
      <c r="U239" s="9237" t="n"/>
      <c r="V239" s="9237" t="n"/>
      <c r="W239" s="3776" t="n"/>
      <c r="X239" s="3540" t="n"/>
      <c r="Y239" s="3540" t="n"/>
      <c r="Z239" s="3540" t="n"/>
    </row>
    <row r="240">
      <c r="A240" s="139" t="n"/>
      <c r="B240" s="3800" t="n"/>
      <c r="C240" s="3801" t="n"/>
      <c r="D240" s="3801" t="n"/>
      <c r="E240" s="3801" t="n"/>
      <c r="F240" s="3801" t="n"/>
      <c r="G240" s="3801" t="n"/>
      <c r="H240" s="3801" t="n"/>
      <c r="I240" s="3801" t="n"/>
      <c r="J240" s="3801" t="n"/>
      <c r="K240" s="3801" t="n"/>
      <c r="L240" s="3801" t="n"/>
      <c r="M240" s="3801" t="n"/>
      <c r="N240" s="3801" t="n"/>
      <c r="O240" s="3801" t="n"/>
      <c r="P240" s="3801" t="n"/>
      <c r="Q240" s="3801" t="n"/>
      <c r="R240" s="3801" t="n"/>
      <c r="S240" s="3801" t="n"/>
      <c r="T240" s="3801" t="n"/>
      <c r="U240" s="3801" t="n"/>
      <c r="V240" s="3801" t="n"/>
      <c r="W240" s="3802" t="n"/>
      <c r="X240" s="3540" t="n"/>
      <c r="Y240" s="3540" t="n"/>
      <c r="Z240" s="3540" t="n"/>
    </row>
    <row r="241">
      <c r="A241" s="139" t="n"/>
      <c r="B241" s="139" t="n"/>
      <c r="C241" s="139" t="n"/>
      <c r="D241" s="139" t="n"/>
      <c r="E241" s="139" t="n"/>
      <c r="F241" s="139" t="n"/>
      <c r="G241" s="139" t="n"/>
      <c r="H241" s="139" t="n"/>
      <c r="I241" s="139" t="n"/>
      <c r="J241" s="139" t="n"/>
      <c r="K241" s="139" t="n"/>
      <c r="L241" s="139" t="n"/>
      <c r="M241" s="139" t="n"/>
      <c r="N241" s="139" t="n"/>
      <c r="O241" s="139" t="n"/>
      <c r="P241" s="139" t="n"/>
      <c r="Q241" s="139" t="n"/>
      <c r="R241" s="139" t="n"/>
      <c r="S241" s="139" t="n"/>
      <c r="T241" s="139" t="n"/>
      <c r="U241" s="139" t="n"/>
      <c r="V241" s="139" t="n"/>
      <c r="W241" s="139" t="n"/>
      <c r="X241" s="139" t="n"/>
      <c r="Y241" s="139" t="n"/>
      <c r="Z241" s="3540" t="n"/>
    </row>
    <row r="242" ht="13.5" customHeight="1" s="7635" thickBot="1"/>
    <row r="243" ht="14.25" customHeight="1" s="7635" thickBot="1" thickTop="1">
      <c r="B243" s="1614" t="n"/>
      <c r="C243" s="12425" t="inlineStr">
        <is>
          <t>Download Form 2441</t>
        </is>
      </c>
      <c r="D243" s="11825" t="n"/>
      <c r="E243" s="11825" t="n"/>
      <c r="F243" s="11825" t="n"/>
      <c r="G243" s="11825" t="n"/>
      <c r="H243" s="11825" t="n"/>
      <c r="I243" s="11825" t="n"/>
      <c r="J243" s="11826" t="n"/>
      <c r="K243" s="1614" t="n"/>
      <c r="L243" s="1614" t="n"/>
      <c r="M243" s="1614" t="n"/>
      <c r="N243" s="1614" t="n"/>
      <c r="O243" s="1614" t="n"/>
      <c r="P243" s="1614" t="n"/>
      <c r="Q243" s="1614" t="n"/>
      <c r="R243" s="1614" t="n"/>
      <c r="S243" s="1614" t="n"/>
      <c r="T243" s="1614" t="n"/>
      <c r="U243" s="1614" t="n"/>
      <c r="V243" s="1614" t="n"/>
      <c r="W243" s="1614" t="n"/>
    </row>
    <row r="244" ht="14.25" customHeight="1" s="7635" thickBot="1" thickTop="1">
      <c r="B244" s="1614" t="n"/>
      <c r="C244" s="1614" t="n"/>
      <c r="D244" s="1614" t="n"/>
      <c r="E244" s="1614" t="n"/>
      <c r="F244" s="1614" t="n"/>
      <c r="G244" s="1614" t="n"/>
      <c r="H244" s="1614" t="n"/>
      <c r="I244" s="1614" t="n"/>
      <c r="J244" s="1614" t="n"/>
      <c r="K244" s="1614" t="n"/>
      <c r="L244" s="1614" t="n"/>
      <c r="M244" s="1614" t="n"/>
      <c r="N244" s="1614" t="n"/>
      <c r="O244" s="1614" t="n"/>
      <c r="P244" s="1614" t="n"/>
      <c r="Q244" s="1614" t="n"/>
      <c r="R244" s="1614" t="n"/>
      <c r="S244" s="1614" t="n"/>
      <c r="T244" s="1614" t="n"/>
      <c r="U244" s="1614" t="n"/>
      <c r="V244" s="1614" t="n"/>
      <c r="W244" s="1614" t="n"/>
    </row>
    <row r="245" ht="14.25" customHeight="1" s="7635" thickBot="1" thickTop="1">
      <c r="B245" s="1614" t="n"/>
      <c r="C245" s="12425" t="inlineStr">
        <is>
          <t>Download Form 2441 Instructions</t>
        </is>
      </c>
      <c r="D245" s="11825" t="n"/>
      <c r="E245" s="11825" t="n"/>
      <c r="F245" s="11825" t="n"/>
      <c r="G245" s="11825" t="n"/>
      <c r="H245" s="11825" t="n"/>
      <c r="I245" s="11825" t="n"/>
      <c r="J245" s="11826" t="n"/>
      <c r="K245" s="1614" t="n"/>
      <c r="L245" s="1614" t="n"/>
      <c r="M245" s="1614" t="n"/>
      <c r="N245" s="1614" t="n"/>
      <c r="O245" s="1614" t="n"/>
      <c r="P245" s="1614" t="n"/>
      <c r="Q245" s="1614" t="n"/>
      <c r="R245" s="1614" t="n"/>
      <c r="S245" s="1614" t="n"/>
      <c r="T245" s="1614" t="n"/>
      <c r="U245" s="1614" t="n"/>
      <c r="V245" s="1614" t="n"/>
      <c r="W245" s="1614" t="n"/>
    </row>
    <row r="246" ht="13.5" customHeight="1" s="7635" thickTop="1"/>
  </sheetData>
  <sheetProtection selectLockedCells="0" selectUnlockedCells="0" algorithmName="SHA-512" sheet="1" objects="0" insertRows="1" insertHyperlinks="1" autoFilter="1" scenarios="0" formatColumns="0" deleteColumns="1" insertColumns="1" pivotTables="1" deleteRows="1" formatCells="0" saltValue="eKtyQHYCY4tv1hBtYCo0oA==" formatRows="0" sort="1" spinCount="100000" hashValue="exFpeS6vW/e9JvTVcp5t3Qb8wnGJKfhO/16NdB2N2fZIw3MnvJMOS/9Vmb4erE491UdW9sGH1kFqq6kXKgDqWA=="/>
  <mergeCells count="317">
    <mergeCell ref="H147:L147"/>
    <mergeCell ref="V2:W2"/>
    <mergeCell ref="H165:L165"/>
    <mergeCell ref="O84:T84"/>
    <mergeCell ref="AL36:AL37"/>
    <mergeCell ref="AN36:AN37"/>
    <mergeCell ref="T142:T143"/>
    <mergeCell ref="O80:T80"/>
    <mergeCell ref="B140:G141"/>
    <mergeCell ref="T144:T145"/>
    <mergeCell ref="V84:W84"/>
    <mergeCell ref="O79:T79"/>
    <mergeCell ref="AA16:AB16"/>
    <mergeCell ref="C150:L151"/>
    <mergeCell ref="H158:L158"/>
    <mergeCell ref="H160:L160"/>
    <mergeCell ref="AA11:AB11"/>
    <mergeCell ref="W6:W7"/>
    <mergeCell ref="Q146:Q147"/>
    <mergeCell ref="Q136:Q137"/>
    <mergeCell ref="C245:J245"/>
    <mergeCell ref="M163:S163"/>
    <mergeCell ref="Q208:R208"/>
    <mergeCell ref="M165:S165"/>
    <mergeCell ref="R140:S141"/>
    <mergeCell ref="Q210:R210"/>
    <mergeCell ref="T132:T133"/>
    <mergeCell ref="H21:L21"/>
    <mergeCell ref="H222:I222"/>
    <mergeCell ref="Q209:R209"/>
    <mergeCell ref="B136:G137"/>
    <mergeCell ref="V99:W99"/>
    <mergeCell ref="V74:W74"/>
    <mergeCell ref="N52:O52"/>
    <mergeCell ref="H16:L16"/>
    <mergeCell ref="V103:W103"/>
    <mergeCell ref="B156:G156"/>
    <mergeCell ref="M152:S155"/>
    <mergeCell ref="V21:W21"/>
    <mergeCell ref="M160:S160"/>
    <mergeCell ref="AA17:AB17"/>
    <mergeCell ref="B20:G21"/>
    <mergeCell ref="V129:W129"/>
    <mergeCell ref="H134:L134"/>
    <mergeCell ref="V23:W23"/>
    <mergeCell ref="B22:G23"/>
    <mergeCell ref="T37:W37"/>
    <mergeCell ref="V131:W131"/>
    <mergeCell ref="H161:L161"/>
    <mergeCell ref="D231:V231"/>
    <mergeCell ref="V87:W87"/>
    <mergeCell ref="K39:M39"/>
    <mergeCell ref="T38:W38"/>
    <mergeCell ref="N47:T47"/>
    <mergeCell ref="H131:L131"/>
    <mergeCell ref="Q134:Q135"/>
    <mergeCell ref="V113:W113"/>
    <mergeCell ref="AE82:AG87"/>
    <mergeCell ref="Q219:R219"/>
    <mergeCell ref="T163:W163"/>
    <mergeCell ref="H18:L18"/>
    <mergeCell ref="T40:W40"/>
    <mergeCell ref="Q217:R217"/>
    <mergeCell ref="V80:W80"/>
    <mergeCell ref="V126:W126"/>
    <mergeCell ref="T158:W158"/>
    <mergeCell ref="B157:G157"/>
    <mergeCell ref="R134:S135"/>
    <mergeCell ref="AE66:AG76"/>
    <mergeCell ref="M159:S159"/>
    <mergeCell ref="T160:W160"/>
    <mergeCell ref="H51:I51"/>
    <mergeCell ref="C55:D55"/>
    <mergeCell ref="H142:L142"/>
    <mergeCell ref="M161:S161"/>
    <mergeCell ref="H129:L129"/>
    <mergeCell ref="H144:L144"/>
    <mergeCell ref="B38:F38"/>
    <mergeCell ref="V60:W60"/>
    <mergeCell ref="V45:W45"/>
    <mergeCell ref="Q207:R207"/>
    <mergeCell ref="C52:D52"/>
    <mergeCell ref="V137:W137"/>
    <mergeCell ref="AE33:AG34"/>
    <mergeCell ref="B40:F40"/>
    <mergeCell ref="V139:W139"/>
    <mergeCell ref="T153:W153"/>
    <mergeCell ref="T18:T19"/>
    <mergeCell ref="Q142:Q143"/>
    <mergeCell ref="V86:W86"/>
    <mergeCell ref="V42:W42"/>
    <mergeCell ref="K40:M40"/>
    <mergeCell ref="G6:U6"/>
    <mergeCell ref="AA13:AB13"/>
    <mergeCell ref="H137:L137"/>
    <mergeCell ref="V58:W58"/>
    <mergeCell ref="R22:S23"/>
    <mergeCell ref="N53:O53"/>
    <mergeCell ref="H130:L130"/>
    <mergeCell ref="AA15:AB15"/>
    <mergeCell ref="T166:W166"/>
    <mergeCell ref="H132:L132"/>
    <mergeCell ref="U130:U131"/>
    <mergeCell ref="B130:G131"/>
    <mergeCell ref="Q220:R220"/>
    <mergeCell ref="H119:U119"/>
    <mergeCell ref="U132:U133"/>
    <mergeCell ref="B132:G133"/>
    <mergeCell ref="G50:G51"/>
    <mergeCell ref="P126:U127"/>
    <mergeCell ref="B165:G165"/>
    <mergeCell ref="V109:W109"/>
    <mergeCell ref="M164:S164"/>
    <mergeCell ref="V145:W145"/>
    <mergeCell ref="H145:L145"/>
    <mergeCell ref="V101:W101"/>
    <mergeCell ref="V76:W76"/>
    <mergeCell ref="AE95:AI99"/>
    <mergeCell ref="V147:W147"/>
    <mergeCell ref="T161:W161"/>
    <mergeCell ref="V48:W48"/>
    <mergeCell ref="T154:W154"/>
    <mergeCell ref="R130:S131"/>
    <mergeCell ref="J204:K205"/>
    <mergeCell ref="B18:G19"/>
    <mergeCell ref="T156:W156"/>
    <mergeCell ref="H163:L163"/>
    <mergeCell ref="R132:S133"/>
    <mergeCell ref="H138:L138"/>
    <mergeCell ref="F35:H36"/>
    <mergeCell ref="AH36:AH37"/>
    <mergeCell ref="H140:L140"/>
    <mergeCell ref="AJ36:AJ37"/>
    <mergeCell ref="U138:U139"/>
    <mergeCell ref="N35:S37"/>
    <mergeCell ref="V46:W46"/>
    <mergeCell ref="U140:U141"/>
    <mergeCell ref="C53:D53"/>
    <mergeCell ref="H141:L141"/>
    <mergeCell ref="H135:L135"/>
    <mergeCell ref="B146:G147"/>
    <mergeCell ref="V61:W61"/>
    <mergeCell ref="K35:M37"/>
    <mergeCell ref="O88:T88"/>
    <mergeCell ref="B166:G166"/>
    <mergeCell ref="V79:W79"/>
    <mergeCell ref="AA9:AB9"/>
    <mergeCell ref="B39:F39"/>
    <mergeCell ref="AI36:AI37"/>
    <mergeCell ref="R18:S19"/>
    <mergeCell ref="C118:F119"/>
    <mergeCell ref="V115:W115"/>
    <mergeCell ref="T162:W162"/>
    <mergeCell ref="G39:J39"/>
    <mergeCell ref="R138:S139"/>
    <mergeCell ref="T164:W164"/>
    <mergeCell ref="U128:U129"/>
    <mergeCell ref="P16:U17"/>
    <mergeCell ref="B4:B5"/>
    <mergeCell ref="AE32:AG32"/>
    <mergeCell ref="R146:S147"/>
    <mergeCell ref="M158:S158"/>
    <mergeCell ref="T20:T21"/>
    <mergeCell ref="V3:W3"/>
    <mergeCell ref="H166:L166"/>
    <mergeCell ref="U122:W122"/>
    <mergeCell ref="C222:E222"/>
    <mergeCell ref="H143:L143"/>
    <mergeCell ref="V96:W96"/>
    <mergeCell ref="H118:U118"/>
    <mergeCell ref="U146:U147"/>
    <mergeCell ref="K28:L29"/>
    <mergeCell ref="G27:J27"/>
    <mergeCell ref="T138:T139"/>
    <mergeCell ref="T140:T141"/>
    <mergeCell ref="H159:L159"/>
    <mergeCell ref="Q144:Q145"/>
    <mergeCell ref="M16:O17"/>
    <mergeCell ref="V16:W16"/>
    <mergeCell ref="AA12:AB12"/>
    <mergeCell ref="C243:J243"/>
    <mergeCell ref="B142:G143"/>
    <mergeCell ref="AA14:AB14"/>
    <mergeCell ref="H162:L162"/>
    <mergeCell ref="U136:U137"/>
    <mergeCell ref="H156:L156"/>
    <mergeCell ref="V82:W82"/>
    <mergeCell ref="M166:S166"/>
    <mergeCell ref="T36:W36"/>
    <mergeCell ref="V118:W119"/>
    <mergeCell ref="V111:W111"/>
    <mergeCell ref="G40:J40"/>
    <mergeCell ref="H157:L157"/>
    <mergeCell ref="R136:S137"/>
    <mergeCell ref="Q206:R206"/>
    <mergeCell ref="T128:T129"/>
    <mergeCell ref="H17:L17"/>
    <mergeCell ref="AA7:AB7"/>
    <mergeCell ref="V108:W108"/>
    <mergeCell ref="H19:L19"/>
    <mergeCell ref="U20:U21"/>
    <mergeCell ref="G25:J26"/>
    <mergeCell ref="U22:U23"/>
    <mergeCell ref="T146:T147"/>
    <mergeCell ref="R20:S21"/>
    <mergeCell ref="M156:S156"/>
    <mergeCell ref="V88:W88"/>
    <mergeCell ref="H164:L164"/>
    <mergeCell ref="V19:W19"/>
    <mergeCell ref="V83:W83"/>
    <mergeCell ref="T35:W35"/>
    <mergeCell ref="B163:G163"/>
    <mergeCell ref="T136:T137"/>
    <mergeCell ref="V4:W5"/>
    <mergeCell ref="B150:B151"/>
    <mergeCell ref="Q130:Q131"/>
    <mergeCell ref="AA8:AB8"/>
    <mergeCell ref="G7:U7"/>
    <mergeCell ref="T159:W159"/>
    <mergeCell ref="H20:L20"/>
    <mergeCell ref="N54:O54"/>
    <mergeCell ref="AA10:AB10"/>
    <mergeCell ref="Q213:R213"/>
    <mergeCell ref="N56:O56"/>
    <mergeCell ref="O62:T62"/>
    <mergeCell ref="M162:S162"/>
    <mergeCell ref="B158:G158"/>
    <mergeCell ref="O85:T85"/>
    <mergeCell ref="B160:G160"/>
    <mergeCell ref="T22:T23"/>
    <mergeCell ref="C51:D51"/>
    <mergeCell ref="M157:S157"/>
    <mergeCell ref="M127:O127"/>
    <mergeCell ref="V133:W133"/>
    <mergeCell ref="V135:W135"/>
    <mergeCell ref="Q18:Q19"/>
    <mergeCell ref="Q132:Q133"/>
    <mergeCell ref="AE24:AF25"/>
    <mergeCell ref="H133:L133"/>
    <mergeCell ref="Q221:R221"/>
    <mergeCell ref="Q215:R215"/>
    <mergeCell ref="H128:L128"/>
    <mergeCell ref="N57:O57"/>
    <mergeCell ref="AE26:AG28"/>
    <mergeCell ref="V41:W41"/>
    <mergeCell ref="Q216:R216"/>
    <mergeCell ref="S9:W9"/>
    <mergeCell ref="T130:T131"/>
    <mergeCell ref="AK36:AK37"/>
    <mergeCell ref="AE29:AG30"/>
    <mergeCell ref="B159:G159"/>
    <mergeCell ref="B128:G129"/>
    <mergeCell ref="Q218:R218"/>
    <mergeCell ref="H23:L23"/>
    <mergeCell ref="B161:G161"/>
    <mergeCell ref="C4:F5"/>
    <mergeCell ref="V141:W141"/>
    <mergeCell ref="H146:L146"/>
    <mergeCell ref="B162:G162"/>
    <mergeCell ref="T155:W155"/>
    <mergeCell ref="M21:O21"/>
    <mergeCell ref="V72:W72"/>
    <mergeCell ref="C54:D54"/>
    <mergeCell ref="V143:W143"/>
    <mergeCell ref="T157:W157"/>
    <mergeCell ref="C56:D56"/>
    <mergeCell ref="Q211:R211"/>
    <mergeCell ref="T165:W165"/>
    <mergeCell ref="T152:W152"/>
    <mergeCell ref="O78:T78"/>
    <mergeCell ref="R128:S129"/>
    <mergeCell ref="H136:L136"/>
    <mergeCell ref="V43:W43"/>
    <mergeCell ref="V85:W85"/>
    <mergeCell ref="U134:U135"/>
    <mergeCell ref="B134:G135"/>
    <mergeCell ref="B144:G145"/>
    <mergeCell ref="B164:G164"/>
    <mergeCell ref="M23:O23"/>
    <mergeCell ref="G38:J38"/>
    <mergeCell ref="H22:L22"/>
    <mergeCell ref="V75:W75"/>
    <mergeCell ref="Q212:R212"/>
    <mergeCell ref="C57:D57"/>
    <mergeCell ref="O97:T97"/>
    <mergeCell ref="N55:O55"/>
    <mergeCell ref="Q214:R214"/>
    <mergeCell ref="Q20:Q21"/>
    <mergeCell ref="R144:S145"/>
    <mergeCell ref="D226:V226"/>
    <mergeCell ref="V64:W64"/>
    <mergeCell ref="S8:W8"/>
    <mergeCell ref="Q22:Q23"/>
    <mergeCell ref="M126:O126"/>
    <mergeCell ref="K38:M38"/>
    <mergeCell ref="U142:U143"/>
    <mergeCell ref="M19:O19"/>
    <mergeCell ref="L50:L51"/>
    <mergeCell ref="U144:U145"/>
    <mergeCell ref="Q138:Q139"/>
    <mergeCell ref="H139:L139"/>
    <mergeCell ref="Q140:Q141"/>
    <mergeCell ref="O92:T92"/>
    <mergeCell ref="R142:S143"/>
    <mergeCell ref="AA106:AA107"/>
    <mergeCell ref="T134:T135"/>
    <mergeCell ref="G4:U5"/>
    <mergeCell ref="B138:G139"/>
    <mergeCell ref="AE81:AF81"/>
    <mergeCell ref="K50:K51"/>
    <mergeCell ref="V81:W81"/>
    <mergeCell ref="T39:W39"/>
    <mergeCell ref="U18:U19"/>
    <mergeCell ref="B122:T122"/>
    <mergeCell ref="O204:S205"/>
    <mergeCell ref="Q128:Q129"/>
    <mergeCell ref="AE31:AG31"/>
  </mergeCells>
  <conditionalFormatting sqref="B10:B11">
    <cfRule type="expression" priority="447" dxfId="14">
      <formula>OR($AB$18,$AB$19)</formula>
    </cfRule>
  </conditionalFormatting>
  <conditionalFormatting sqref="B38:B40 K38:K40 V72:V76">
    <cfRule type="expression" priority="541" dxfId="6">
      <formula>IF(NoColor,1,0)</formula>
    </cfRule>
  </conditionalFormatting>
  <conditionalFormatting sqref="B122 U122 V185:V188">
    <cfRule type="expression" priority="378" dxfId="6">
      <formula>NoColor</formula>
    </cfRule>
  </conditionalFormatting>
  <conditionalFormatting sqref="B20:L23">
    <cfRule type="expression" priority="372" dxfId="6">
      <formula>IF(NoColor,1,0)</formula>
    </cfRule>
  </conditionalFormatting>
  <conditionalFormatting sqref="B19:M19">
    <cfRule type="expression" priority="543" dxfId="6">
      <formula>IF(NoColor,1,0)</formula>
    </cfRule>
  </conditionalFormatting>
  <conditionalFormatting sqref="B156:M166">
    <cfRule type="expression" priority="212" dxfId="6">
      <formula>IF(NoColor,1,0)</formula>
    </cfRule>
  </conditionalFormatting>
  <conditionalFormatting sqref="B18:O18">
    <cfRule type="expression" priority="368" dxfId="6">
      <formula>IF(NoColor,1,0)</formula>
    </cfRule>
  </conditionalFormatting>
  <conditionalFormatting sqref="B128:P147">
    <cfRule type="expression" priority="117" dxfId="6">
      <formula>IF(NoColor,1,0)</formula>
    </cfRule>
  </conditionalFormatting>
  <conditionalFormatting sqref="B9:Q9">
    <cfRule type="expression" priority="545" dxfId="6">
      <formula>IF(NoColor,1,0)</formula>
    </cfRule>
  </conditionalFormatting>
  <conditionalFormatting sqref="C94">
    <cfRule type="expression" priority="512" dxfId="6">
      <formula>IF(NoColor,1,0)</formula>
    </cfRule>
  </conditionalFormatting>
  <conditionalFormatting sqref="C96">
    <cfRule type="expression" priority="511" dxfId="6">
      <formula>IF(NoColor,1,0)</formula>
    </cfRule>
  </conditionalFormatting>
  <conditionalFormatting sqref="C170:E170">
    <cfRule type="expression" priority="210" dxfId="1958">
      <formula>#REF!</formula>
    </cfRule>
  </conditionalFormatting>
  <conditionalFormatting sqref="D226:V226">
    <cfRule type="expression" priority="196" dxfId="6">
      <formula>NoColor</formula>
    </cfRule>
  </conditionalFormatting>
  <conditionalFormatting sqref="D231:V231">
    <cfRule type="expression" priority="195" dxfId="6">
      <formula>NoColor</formula>
    </cfRule>
  </conditionalFormatting>
  <conditionalFormatting sqref="G38:G40">
    <cfRule type="expression" priority="321" dxfId="6">
      <formula>IF(NoColor,1,0)</formula>
    </cfRule>
  </conditionalFormatting>
  <conditionalFormatting sqref="I110">
    <cfRule type="expression" priority="407" dxfId="14">
      <formula>AND($V$111&lt;&gt;"",$V$111&lt;=0)</formula>
    </cfRule>
  </conditionalFormatting>
  <conditionalFormatting sqref="M21">
    <cfRule type="expression" priority="13" dxfId="6">
      <formula>IF(NoColor,1,0)</formula>
    </cfRule>
  </conditionalFormatting>
  <conditionalFormatting sqref="M23">
    <cfRule type="expression" priority="12" dxfId="6">
      <formula>IF(NoColor,1,0)</formula>
    </cfRule>
  </conditionalFormatting>
  <conditionalFormatting sqref="M25">
    <cfRule type="expression" priority="542" dxfId="6">
      <formula>IF(NoColor,1,0)</formula>
    </cfRule>
  </conditionalFormatting>
  <conditionalFormatting sqref="M27">
    <cfRule type="expression" priority="528" dxfId="6">
      <formula>IF(NoColor,1,0)</formula>
    </cfRule>
  </conditionalFormatting>
  <conditionalFormatting sqref="M20:O20">
    <cfRule type="expression" priority="331" dxfId="6">
      <formula>IF(NoColor,1,0)</formula>
    </cfRule>
  </conditionalFormatting>
  <conditionalFormatting sqref="M22:O22">
    <cfRule type="expression" priority="329" dxfId="6">
      <formula>IF(NoColor,1,0)</formula>
    </cfRule>
  </conditionalFormatting>
  <conditionalFormatting sqref="N47">
    <cfRule type="expression" priority="532" dxfId="6">
      <formula>IF(NoColor,1,0)</formula>
    </cfRule>
  </conditionalFormatting>
  <conditionalFormatting sqref="D197:E197 O196 R196:S196 U196">
    <cfRule type="expression" priority="315" dxfId="40">
      <formula>$C$197</formula>
    </cfRule>
  </conditionalFormatting>
  <conditionalFormatting sqref="P18:P23">
    <cfRule type="expression" priority="180" dxfId="6">
      <formula>IF(NoColor,1,0)</formula>
    </cfRule>
  </conditionalFormatting>
  <conditionalFormatting sqref="P38:Q40">
    <cfRule type="expression" priority="11" dxfId="6">
      <formula>IF(NoColor,1,0)</formula>
    </cfRule>
  </conditionalFormatting>
  <conditionalFormatting sqref="Q156:Q166">
    <cfRule type="expression" priority="137" dxfId="6">
      <formula>IF(NoColor,1,0)</formula>
    </cfRule>
  </conditionalFormatting>
  <conditionalFormatting sqref="Q18:R18">
    <cfRule type="expression" priority="181" dxfId="6">
      <formula>IF(NoColor,1,0)</formula>
    </cfRule>
  </conditionalFormatting>
  <conditionalFormatting sqref="Q20:R20">
    <cfRule type="expression" priority="82" dxfId="6">
      <formula>IF(NoColor,1,0)</formula>
    </cfRule>
  </conditionalFormatting>
  <conditionalFormatting sqref="Q22:R22">
    <cfRule type="expression" priority="81" dxfId="6">
      <formula>IF(NoColor,1,0)</formula>
    </cfRule>
  </conditionalFormatting>
  <conditionalFormatting sqref="Q128:R128">
    <cfRule type="expression" priority="77" dxfId="6">
      <formula>IF(NoColor,1,0)</formula>
    </cfRule>
  </conditionalFormatting>
  <conditionalFormatting sqref="Q130:R130">
    <cfRule type="expression" priority="76" dxfId="6">
      <formula>IF(NoColor,1,0)</formula>
    </cfRule>
  </conditionalFormatting>
  <conditionalFormatting sqref="Q132:R132">
    <cfRule type="expression" priority="71" dxfId="6">
      <formula>IF(NoColor,1,0)</formula>
    </cfRule>
  </conditionalFormatting>
  <conditionalFormatting sqref="Q134:R134">
    <cfRule type="expression" priority="67" dxfId="6">
      <formula>IF(NoColor,1,0)</formula>
    </cfRule>
  </conditionalFormatting>
  <conditionalFormatting sqref="Q136:R136">
    <cfRule type="expression" priority="63" dxfId="6">
      <formula>IF(NoColor,1,0)</formula>
    </cfRule>
  </conditionalFormatting>
  <conditionalFormatting sqref="Q138:R138">
    <cfRule type="expression" priority="59" dxfId="6">
      <formula>IF(NoColor,1,0)</formula>
    </cfRule>
  </conditionalFormatting>
  <conditionalFormatting sqref="Q140:R140">
    <cfRule type="expression" priority="55" dxfId="6">
      <formula>IF(NoColor,1,0)</formula>
    </cfRule>
  </conditionalFormatting>
  <conditionalFormatting sqref="Q142:R142">
    <cfRule type="expression" priority="51" dxfId="6">
      <formula>IF(NoColor,1,0)</formula>
    </cfRule>
  </conditionalFormatting>
  <conditionalFormatting sqref="Q144:R144">
    <cfRule type="expression" priority="47" dxfId="6">
      <formula>IF(NoColor,1,0)</formula>
    </cfRule>
  </conditionalFormatting>
  <conditionalFormatting sqref="Q146:R146">
    <cfRule type="expression" priority="43" dxfId="6">
      <formula>IF(NoColor,1,0)</formula>
    </cfRule>
  </conditionalFormatting>
  <conditionalFormatting sqref="S9">
    <cfRule type="expression" priority="544" dxfId="6">
      <formula>IF(NoColor,1,0)</formula>
    </cfRule>
  </conditionalFormatting>
  <conditionalFormatting sqref="T38:T40">
    <cfRule type="expression" priority="320" dxfId="6">
      <formula>IF(NoColor,1,0)</formula>
    </cfRule>
  </conditionalFormatting>
  <conditionalFormatting sqref="T156:T166">
    <cfRule type="expression" priority="211" dxfId="6">
      <formula>IF(NoColor,1,0)</formula>
    </cfRule>
  </conditionalFormatting>
  <conditionalFormatting sqref="T18:V18">
    <cfRule type="expression" priority="80" dxfId="6">
      <formula>IF(NoColor,1,0)</formula>
    </cfRule>
  </conditionalFormatting>
  <conditionalFormatting sqref="T20:V20">
    <cfRule type="expression" priority="27" dxfId="6">
      <formula>IF(NoColor,1,0)</formula>
    </cfRule>
  </conditionalFormatting>
  <conditionalFormatting sqref="T22:V22">
    <cfRule type="expression" priority="26" dxfId="6">
      <formula>IF(NoColor,1,0)</formula>
    </cfRule>
  </conditionalFormatting>
  <conditionalFormatting sqref="T128:V128">
    <cfRule type="expression" priority="25" dxfId="6">
      <formula>IF(NoColor,1,0)</formula>
    </cfRule>
  </conditionalFormatting>
  <conditionalFormatting sqref="T130:V130">
    <cfRule type="expression" priority="24" dxfId="6">
      <formula>IF(NoColor,1,0)</formula>
    </cfRule>
  </conditionalFormatting>
  <conditionalFormatting sqref="T132:V132">
    <cfRule type="expression" priority="23" dxfId="6">
      <formula>IF(NoColor,1,0)</formula>
    </cfRule>
  </conditionalFormatting>
  <conditionalFormatting sqref="T134:V134">
    <cfRule type="expression" priority="22" dxfId="6">
      <formula>IF(NoColor,1,0)</formula>
    </cfRule>
  </conditionalFormatting>
  <conditionalFormatting sqref="T136:V136">
    <cfRule type="expression" priority="21" dxfId="6">
      <formula>IF(NoColor,1,0)</formula>
    </cfRule>
  </conditionalFormatting>
  <conditionalFormatting sqref="T138:V138">
    <cfRule type="expression" priority="20" dxfId="6">
      <formula>IF(NoColor,1,0)</formula>
    </cfRule>
  </conditionalFormatting>
  <conditionalFormatting sqref="T140:V140">
    <cfRule type="expression" priority="19" dxfId="6">
      <formula>IF(NoColor,1,0)</formula>
    </cfRule>
  </conditionalFormatting>
  <conditionalFormatting sqref="T142:V142">
    <cfRule type="expression" priority="18" dxfId="6">
      <formula>IF(NoColor,1,0)</formula>
    </cfRule>
  </conditionalFormatting>
  <conditionalFormatting sqref="T144:V144">
    <cfRule type="expression" priority="17" dxfId="6">
      <formula>IF(NoColor,1,0)</formula>
    </cfRule>
  </conditionalFormatting>
  <conditionalFormatting sqref="T146:V146">
    <cfRule type="expression" priority="16" dxfId="6">
      <formula>IF(NoColor,1,0)</formula>
    </cfRule>
  </conditionalFormatting>
  <conditionalFormatting sqref="V11">
    <cfRule type="expression" priority="446" dxfId="158">
      <formula>OR($AB$18,$AB$19)</formula>
    </cfRule>
  </conditionalFormatting>
  <conditionalFormatting sqref="V42:V43">
    <cfRule type="expression" priority="457" dxfId="6">
      <formula>IF(NoColor,1,0)</formula>
    </cfRule>
  </conditionalFormatting>
  <conditionalFormatting sqref="V45:V46">
    <cfRule type="expression" priority="455" dxfId="6">
      <formula>IF(NoColor,1,0)</formula>
    </cfRule>
  </conditionalFormatting>
  <conditionalFormatting sqref="V58">
    <cfRule type="expression" priority="319" dxfId="6">
      <formula>IF(NoColor,1,0)</formula>
    </cfRule>
  </conditionalFormatting>
  <conditionalFormatting sqref="V60:V61">
    <cfRule type="expression" priority="453" dxfId="6">
      <formula>IF(NoColor,1,0)</formula>
    </cfRule>
  </conditionalFormatting>
  <conditionalFormatting sqref="V64">
    <cfRule type="expression" priority="452" dxfId="6">
      <formula>IF(NoColor,1,0)</formula>
    </cfRule>
  </conditionalFormatting>
  <conditionalFormatting sqref="V79:V88">
    <cfRule type="expression" priority="4680" dxfId="158">
      <formula>$V$78</formula>
    </cfRule>
  </conditionalFormatting>
  <conditionalFormatting sqref="V96">
    <cfRule type="expression" priority="510" dxfId="6">
      <formula>IF(NoColor,1,0)</formula>
    </cfRule>
  </conditionalFormatting>
  <conditionalFormatting sqref="V99">
    <cfRule type="expression" priority="505" dxfId="6">
      <formula>IF(NoColor,1,0)</formula>
    </cfRule>
  </conditionalFormatting>
  <conditionalFormatting sqref="V101">
    <cfRule type="expression" priority="504" dxfId="6">
      <formula>IF(NoColor,1,0)</formula>
    </cfRule>
  </conditionalFormatting>
  <conditionalFormatting sqref="V103">
    <cfRule type="expression" priority="503" dxfId="6">
      <formula>IF(NoColor,1,0)</formula>
    </cfRule>
  </conditionalFormatting>
  <conditionalFormatting sqref="V108:V109">
    <cfRule type="expression" priority="444" dxfId="6">
      <formula>IF(NoColor,1,0)</formula>
    </cfRule>
  </conditionalFormatting>
  <conditionalFormatting sqref="V111">
    <cfRule type="expression" priority="443" dxfId="6">
      <formula>IF(NoColor,1,0)</formula>
    </cfRule>
  </conditionalFormatting>
  <conditionalFormatting sqref="V113">
    <cfRule type="expression" priority="442" dxfId="6">
      <formula>IF(NoColor,1,0)</formula>
    </cfRule>
  </conditionalFormatting>
  <conditionalFormatting sqref="V115">
    <cfRule type="expression" priority="494" dxfId="6">
      <formula>IF(NoColor,1,0)</formula>
    </cfRule>
  </conditionalFormatting>
  <conditionalFormatting sqref="V173">
    <cfRule type="expression" priority="192" dxfId="6">
      <formula>NoColor</formula>
    </cfRule>
  </conditionalFormatting>
  <conditionalFormatting sqref="V175">
    <cfRule type="expression" priority="191" dxfId="6">
      <formula>NoColor</formula>
    </cfRule>
  </conditionalFormatting>
  <conditionalFormatting sqref="V177">
    <cfRule type="expression" priority="190" dxfId="6">
      <formula>NoColor</formula>
    </cfRule>
  </conditionalFormatting>
  <conditionalFormatting sqref="V190:V191">
    <cfRule type="expression" priority="201" dxfId="6">
      <formula>NoColor</formula>
    </cfRule>
  </conditionalFormatting>
  <conditionalFormatting sqref="V193:V195">
    <cfRule type="expression" priority="200" dxfId="6">
      <formula>NoColor</formula>
    </cfRule>
  </conditionalFormatting>
  <conditionalFormatting sqref="V197:V198">
    <cfRule type="expression" priority="199" dxfId="6">
      <formula>NoColor</formula>
    </cfRule>
  </conditionalFormatting>
  <conditionalFormatting sqref="V200">
    <cfRule type="expression" priority="198" dxfId="6">
      <formula>NoColor</formula>
    </cfRule>
  </conditionalFormatting>
  <conditionalFormatting sqref="V223">
    <cfRule type="expression" priority="197" dxfId="6">
      <formula>NoColor</formula>
    </cfRule>
  </conditionalFormatting>
  <conditionalFormatting sqref="W11">
    <cfRule type="expression" priority="449" dxfId="6">
      <formula>NoColor</formula>
    </cfRule>
  </conditionalFormatting>
  <conditionalFormatting sqref="W13">
    <cfRule type="expression" priority="309" dxfId="6">
      <formula>NoColor</formula>
    </cfRule>
  </conditionalFormatting>
  <conditionalFormatting sqref="W15">
    <cfRule type="expression" priority="373" dxfId="6">
      <formula>NoColor</formula>
    </cfRule>
  </conditionalFormatting>
  <conditionalFormatting sqref="W34">
    <cfRule type="expression" priority="322" dxfId="6">
      <formula>NoColor</formula>
    </cfRule>
  </conditionalFormatting>
  <conditionalFormatting sqref="W53">
    <cfRule type="expression" priority="15" dxfId="6">
      <formula>NoColor</formula>
    </cfRule>
  </conditionalFormatting>
  <conditionalFormatting sqref="Y33">
    <cfRule type="expression" priority="464" dxfId="135">
      <formula>AND(File_Marr_Sep&lt;&gt;"",$AD$19&lt;&gt;"")</formula>
    </cfRule>
  </conditionalFormatting>
  <conditionalFormatting sqref="Y149">
    <cfRule type="expression" priority="231" dxfId="135">
      <formula>AND(File_Marr_Sep&lt;&gt;"",$AD$19&lt;&gt;"")</formula>
    </cfRule>
  </conditionalFormatting>
  <conditionalFormatting sqref="Y188">
    <cfRule type="expression" priority="194" dxfId="6">
      <formula>NoColor</formula>
    </cfRule>
  </conditionalFormatting>
  <conditionalFormatting sqref="AA7:AA17 AM125:AM128 AN126:AN129">
    <cfRule type="expression" priority="445" dxfId="244">
      <formula>AND($AD$18="",$AD$19="",File_Marr_Sep&lt;&gt;"")</formula>
    </cfRule>
  </conditionalFormatting>
  <conditionalFormatting sqref="AA44 AA81:AA83 AA86:AA90 AM66:AM74 AO66:AO74">
    <cfRule type="expression" priority="533" dxfId="1860">
      <formula>IF(File_Marr_Joint&lt;&gt;"",1,0)</formula>
    </cfRule>
  </conditionalFormatting>
  <conditionalFormatting sqref="AA48:AA51">
    <cfRule type="expression" priority="404" dxfId="1860">
      <formula>IF(File_Marr_Joint&lt;&gt;"",1,0)</formula>
    </cfRule>
  </conditionalFormatting>
  <conditionalFormatting sqref="AA54:AA59">
    <cfRule type="expression" priority="316" dxfId="1860">
      <formula>IF(File_Marr_Joint&lt;&gt;"",1,0)</formula>
    </cfRule>
  </conditionalFormatting>
  <conditionalFormatting sqref="AA61">
    <cfRule type="expression" priority="402" dxfId="1860">
      <formula>IF(File_Marr_Joint&lt;&gt;"",1,0)</formula>
    </cfRule>
  </conditionalFormatting>
  <conditionalFormatting sqref="AA63">
    <cfRule type="expression" priority="401" dxfId="1860">
      <formula>IF(File_Marr_Joint&lt;&gt;"",1,0)</formula>
    </cfRule>
  </conditionalFormatting>
  <conditionalFormatting sqref="AA65:AA70">
    <cfRule type="expression" priority="399" dxfId="1860">
      <formula>IF(File_Marr_Joint&lt;&gt;"",1,0)</formula>
    </cfRule>
  </conditionalFormatting>
  <conditionalFormatting sqref="AA77">
    <cfRule type="expression" priority="397" dxfId="1860">
      <formula>IF(File_Marr_Joint&lt;&gt;"",1,0)</formula>
    </cfRule>
  </conditionalFormatting>
  <conditionalFormatting sqref="AA93:AA95">
    <cfRule type="expression" priority="393" dxfId="1872">
      <formula>AND($C$96&lt;&gt;"",File_Marr_Joint&lt;&gt;"")</formula>
    </cfRule>
  </conditionalFormatting>
  <conditionalFormatting sqref="AA96">
    <cfRule type="expression" priority="394" dxfId="1871">
      <formula>AND($C$96&lt;&gt;"",File_Marr_Joint&lt;&gt;"")</formula>
    </cfRule>
  </conditionalFormatting>
  <conditionalFormatting sqref="AA97:AA99">
    <cfRule type="expression" priority="392" dxfId="1860">
      <formula>IF(File_Marr_Joint&lt;&gt;"",1,0)</formula>
    </cfRule>
  </conditionalFormatting>
  <conditionalFormatting sqref="AA102">
    <cfRule type="expression" priority="391" dxfId="1860">
      <formula>IF(File_Marr_Joint&lt;&gt;"",1,0)</formula>
    </cfRule>
  </conditionalFormatting>
  <conditionalFormatting sqref="AA104:AA105">
    <cfRule type="expression" priority="390" dxfId="1860">
      <formula>IF(File_Marr_Joint&lt;&gt;"",1,0)</formula>
    </cfRule>
  </conditionalFormatting>
  <conditionalFormatting sqref="AA109:AA110">
    <cfRule type="expression" priority="388" dxfId="1860">
      <formula>IF(File_Marr_Joint&lt;&gt;"",1,0)</formula>
    </cfRule>
  </conditionalFormatting>
  <conditionalFormatting sqref="AA112">
    <cfRule type="expression" priority="387" dxfId="1860">
      <formula>IF(File_Marr_Joint&lt;&gt;"",1,0)</formula>
    </cfRule>
  </conditionalFormatting>
  <conditionalFormatting sqref="AA114">
    <cfRule type="expression" priority="386" dxfId="1860">
      <formula>IF(File_Marr_Joint&lt;&gt;"",1,0)</formula>
    </cfRule>
  </conditionalFormatting>
  <conditionalFormatting sqref="AA116">
    <cfRule type="expression" priority="385" dxfId="1860">
      <formula>IF(File_Marr_Joint&lt;&gt;"",1,0)</formula>
    </cfRule>
  </conditionalFormatting>
  <conditionalFormatting sqref="AA124:AB127 AQ126:AQ129">
    <cfRule type="expression" priority="479" dxfId="244">
      <formula>AND($AD$18="",$AD$19="",File_Marr_Sep&lt;&gt;"")</formula>
    </cfRule>
  </conditionalFormatting>
  <conditionalFormatting sqref="AC2:AL21">
    <cfRule type="expression" priority="7" dxfId="480">
      <formula>IF(File_Marr_Sep="",1,0)</formula>
    </cfRule>
  </conditionalFormatting>
  <conditionalFormatting sqref="AM28:AM35 AO28:AO35">
    <cfRule type="expression" priority="4" dxfId="1860">
      <formula>IF(File_Marr_Joint&lt;&gt;"",1,0)</formula>
    </cfRule>
  </conditionalFormatting>
  <conditionalFormatting sqref="AM39:AM46 AM53:AM62 AO39:AO46 AO53:AO62">
    <cfRule type="expression" priority="5" dxfId="1860">
      <formula>IF(File_Marr_Joint&lt;&gt;"",1,0)</formula>
    </cfRule>
  </conditionalFormatting>
  <conditionalFormatting sqref="AN2:AN21">
    <cfRule type="expression" priority="3" dxfId="480">
      <formula>IF(File_Marr_Sep="",1,0)</formula>
    </cfRule>
  </conditionalFormatting>
  <conditionalFormatting sqref="AL126:AL129 AO125:AO128">
    <cfRule type="expression" priority="8" dxfId="244">
      <formula>AND($AD$18="",$AD$19="",File_Marr_Sep&lt;&gt;"")</formula>
    </cfRule>
  </conditionalFormatting>
  <conditionalFormatting sqref="AP2:AQ21">
    <cfRule type="expression" priority="469" dxfId="480">
      <formula>IF(File_Marr_Sep="",1,0)</formula>
    </cfRule>
  </conditionalFormatting>
  <hyperlinks>
    <hyperlink xmlns:r="http://schemas.openxmlformats.org/officeDocument/2006/relationships" ref="C243" display="Download Form 2441" r:id="rId1"/>
    <hyperlink xmlns:r="http://schemas.openxmlformats.org/officeDocument/2006/relationships" ref="C245" display="Download Form 2441 Instructions" r:id="rId2"/>
  </hyperlinks>
  <pageMargins left="0.75" right="0.25" top="0.36" bottom="0.29" header="0.36" footer="0.21"/>
  <pageSetup orientation="portrait" scale="21"/>
  <rowBreaks count="4" manualBreakCount="4">
    <brk id="65" min="1" max="18" man="1"/>
    <brk id="116" min="1" max="18" man="1"/>
    <brk id="166" min="1" max="18" man="1"/>
    <brk id="178" min="1" max="18" man="1"/>
  </rowBreaks>
  <drawing xmlns:r="http://schemas.openxmlformats.org/officeDocument/2006/relationships" r:id="rId3"/>
</worksheet>
</file>

<file path=xl/worksheets/sheet41.xml><?xml version="1.0" encoding="utf-8"?>
<worksheet xmlns="http://schemas.openxmlformats.org/spreadsheetml/2006/main">
  <sheetPr>
    <outlinePr summaryBelow="1" summaryRight="1"/>
    <pageSetUpPr fitToPage="1"/>
  </sheetPr>
  <dimension ref="A1:BW424"/>
  <sheetViews>
    <sheetView zoomScaleNormal="100" zoomScaleSheetLayoutView="100" workbookViewId="0">
      <selection activeCell="A1" sqref="A1"/>
    </sheetView>
  </sheetViews>
  <sheetFormatPr baseColWidth="8" defaultColWidth="9.140625" defaultRowHeight="12.75"/>
  <cols>
    <col width="3.7109375" customWidth="1" style="7635" min="1" max="1"/>
    <col width="4" customWidth="1" style="7635" min="2" max="2"/>
    <col width="5" customWidth="1" style="7635" min="3" max="3"/>
    <col width="3.7109375" customWidth="1" style="7635" min="4" max="19"/>
    <col width="8.140625" customWidth="1" style="7635" min="20" max="20"/>
    <col width="2.85546875" customWidth="1" style="7635" min="21" max="21"/>
    <col width="3.7109375" customWidth="1" style="7635" min="22" max="25"/>
    <col width="4.140625" customWidth="1" style="7635" min="26" max="26"/>
    <col width="3.7109375" customWidth="1" style="7635" min="27" max="27"/>
    <col width="4.42578125" customWidth="1" style="7635" min="28" max="28"/>
    <col width="3.7109375" customWidth="1" style="7635" min="29" max="36"/>
    <col width="4.140625" customWidth="1" style="7635" min="37" max="37"/>
    <col width="4.42578125" customWidth="1" style="2014" min="38" max="38"/>
    <col width="12.5703125" customWidth="1" style="2014" min="39" max="39"/>
    <col width="5.140625" customWidth="1" style="2014" min="40" max="40"/>
    <col width="12.5703125" customWidth="1" style="2014" min="41" max="41"/>
    <col width="3.5703125" customWidth="1" style="2014" min="42" max="42"/>
    <col width="10.7109375" customWidth="1" style="658" min="43" max="51"/>
    <col width="9.140625" customWidth="1" style="2014" min="52" max="53"/>
    <col width="10" customWidth="1" style="2014" min="54" max="54"/>
    <col width="9.140625" customWidth="1" style="2014" min="55" max="59"/>
    <col width="3.42578125" customWidth="1" style="2014" min="60" max="60"/>
    <col width="9.140625" customWidth="1" style="2014" min="61" max="62"/>
    <col width="11.7109375" customWidth="1" style="2014" min="63" max="66"/>
    <col width="9.140625" customWidth="1" style="2014" min="67" max="67"/>
    <col width="9.140625" customWidth="1" style="2014" min="68" max="75"/>
  </cols>
  <sheetData>
    <row r="1" ht="22.5" customHeight="1" s="763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8946">
        <f>IF('Table of Contents'!A46="D","DRAFT","")</f>
        <v/>
      </c>
      <c r="AK1" s="2013" t="n"/>
      <c r="AL1" s="344" t="n"/>
      <c r="AM1" s="344" t="n"/>
      <c r="AN1" s="344" t="n"/>
      <c r="AO1" s="344" t="n"/>
      <c r="AP1" s="344" t="n"/>
      <c r="AQ1" s="657" t="inlineStr">
        <is>
          <t>Notes</t>
        </is>
      </c>
      <c r="AR1" s="657" t="n"/>
      <c r="AS1" s="657" t="n"/>
      <c r="AT1" s="657" t="n"/>
      <c r="AU1" s="657" t="n"/>
      <c r="AV1" s="657" t="n"/>
      <c r="AW1" s="657" t="n"/>
      <c r="AX1" s="657" t="n"/>
      <c r="AY1" s="657" t="n"/>
    </row>
    <row r="2" ht="18" customHeight="1" s="7635">
      <c r="A2" s="2013" t="n"/>
      <c r="B2" s="11602" t="n"/>
      <c r="C2" s="11602" t="n"/>
      <c r="D2" s="9882" t="inlineStr">
        <is>
          <t>2555</t>
        </is>
      </c>
      <c r="H2" s="379" t="n"/>
      <c r="I2" s="11993" t="inlineStr">
        <is>
          <t>Foreign Earned Income</t>
        </is>
      </c>
      <c r="AB2" s="1066" t="n"/>
      <c r="AC2" s="7620">
        <f>IF(AND('Table of Contents'!A46="D",AK2=""),"DRAFT","OMB No. 1545-0074")</f>
        <v/>
      </c>
      <c r="AD2" s="7637" t="n"/>
      <c r="AE2" s="7637" t="n"/>
      <c r="AF2" s="7637" t="n"/>
      <c r="AG2" s="7637" t="n"/>
      <c r="AH2" s="7637" t="n"/>
      <c r="AI2" s="7637" t="n"/>
      <c r="AJ2" s="7637" t="n"/>
      <c r="AK2" s="1796" t="n"/>
      <c r="AL2" s="344" t="n"/>
      <c r="AM2" s="344" t="n"/>
      <c r="AN2" s="344" t="n"/>
      <c r="AO2" s="344" t="n"/>
      <c r="AP2" s="344" t="n"/>
    </row>
    <row r="3" ht="24" customHeight="1" s="7635" thickBot="1">
      <c r="A3" s="2013" t="n"/>
      <c r="B3" s="9886" t="inlineStr">
        <is>
          <t>Form</t>
        </is>
      </c>
      <c r="H3" s="379" t="n"/>
      <c r="I3" s="11741" t="n"/>
      <c r="AB3" s="1066" t="n"/>
      <c r="AC3" s="9887">
        <f>TaxYear</f>
        <v/>
      </c>
      <c r="AD3" s="7839" t="n"/>
      <c r="AE3" s="7839" t="n"/>
      <c r="AF3" s="7839" t="n"/>
      <c r="AG3" s="7839" t="n"/>
      <c r="AH3" s="7839" t="n"/>
      <c r="AI3" s="7839" t="n"/>
      <c r="AJ3" s="7839" t="n"/>
      <c r="AK3" s="2013" t="n"/>
      <c r="AL3" s="344" t="inlineStr">
        <is>
          <t>This form is for:</t>
        </is>
      </c>
      <c r="AM3" s="344" t="n"/>
      <c r="AN3" s="344" t="n"/>
      <c r="AO3" s="344" t="n"/>
      <c r="AP3" s="344" t="n"/>
    </row>
    <row r="4" ht="13.5" customHeight="1" s="7635" thickBot="1">
      <c r="A4" s="2013" t="n"/>
      <c r="B4" s="11602" t="n"/>
      <c r="C4" s="11602" t="n"/>
      <c r="D4" s="11602" t="n"/>
      <c r="E4" s="11602" t="n"/>
      <c r="F4" s="11602" t="n"/>
      <c r="G4" s="11602" t="n"/>
      <c r="H4" s="379" t="n"/>
      <c r="I4" s="12426" t="n"/>
      <c r="AB4" s="1066" t="n"/>
      <c r="AC4" s="11741" t="n"/>
      <c r="AK4" s="2013" t="n"/>
      <c r="AL4" s="300" t="inlineStr">
        <is>
          <t>x</t>
        </is>
      </c>
      <c r="AM4" s="344" t="inlineStr">
        <is>
          <t>You</t>
        </is>
      </c>
      <c r="AN4" s="344" t="n"/>
      <c r="AO4" s="512">
        <f>AL4&lt;&gt;""</f>
        <v/>
      </c>
      <c r="AP4" s="344" t="n"/>
    </row>
    <row r="5" ht="14.25" customHeight="1" s="7635" thickBot="1">
      <c r="A5" s="2013" t="n"/>
      <c r="B5" s="8650" t="inlineStr">
        <is>
          <t>Department of the Treasury</t>
        </is>
      </c>
      <c r="C5" s="11602" t="n"/>
      <c r="D5" s="11602" t="n"/>
      <c r="E5" s="11602" t="n"/>
      <c r="F5" s="11602" t="n"/>
      <c r="G5" s="11602" t="n"/>
      <c r="H5" s="379" t="n"/>
      <c r="I5" s="12426" t="inlineStr">
        <is>
          <t>Attach to Form 1040 or 1040-SR.</t>
        </is>
      </c>
      <c r="AB5" s="1066" t="n"/>
      <c r="AC5" s="341" t="n"/>
      <c r="AD5" s="9892" t="inlineStr">
        <is>
          <t xml:space="preserve">   Attachment     </t>
        </is>
      </c>
      <c r="AH5" s="9895" t="n">
        <v>34</v>
      </c>
      <c r="AJ5" s="11602" t="n"/>
      <c r="AK5" s="2013" t="n"/>
      <c r="AL5" s="300" t="n"/>
      <c r="AM5" s="344" t="inlineStr">
        <is>
          <t>Your spouse</t>
        </is>
      </c>
      <c r="AN5" s="344" t="n"/>
      <c r="AO5" s="512">
        <f>AL5&lt;&gt;""</f>
        <v/>
      </c>
      <c r="AP5" s="344" t="n"/>
    </row>
    <row r="6" ht="17.25" customHeight="1" s="7635" thickBot="1">
      <c r="A6" s="2013" t="n"/>
      <c r="B6" s="2015" t="inlineStr">
        <is>
          <t>Internal Revenue Service</t>
        </is>
      </c>
      <c r="C6" s="380" t="n"/>
      <c r="D6" s="380" t="n"/>
      <c r="E6" s="380" t="n"/>
      <c r="F6" s="380" t="n"/>
      <c r="G6" s="380" t="n"/>
      <c r="H6" s="381" t="n"/>
      <c r="I6" s="12427" t="inlineStr">
        <is>
          <t>Go to www.irs.gov/Form2555 for instructions and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09" t="inlineStr">
        <is>
          <t>Sequence No.</t>
        </is>
      </c>
      <c r="AE6" s="8848" t="n"/>
      <c r="AF6" s="8848" t="n"/>
      <c r="AG6" s="8848" t="n"/>
      <c r="AH6" s="8848" t="n"/>
      <c r="AI6" s="8848" t="n"/>
      <c r="AJ6" s="380" t="n"/>
      <c r="AK6" s="2013" t="n"/>
      <c r="AL6" s="344" t="n"/>
      <c r="AM6" s="344" t="n"/>
      <c r="AN6" s="344" t="n"/>
      <c r="AO6" s="344" t="n"/>
      <c r="AP6" s="344" t="n"/>
    </row>
    <row r="7" ht="16.5" customHeight="1" s="7635" thickBot="1">
      <c r="A7" s="2013" t="n"/>
      <c r="B7" s="2016" t="n"/>
      <c r="C7" s="2016" t="n"/>
      <c r="D7" s="2016" t="n"/>
      <c r="E7" s="2016" t="n"/>
      <c r="F7" s="2016" t="n"/>
      <c r="G7" s="2016" t="n"/>
      <c r="H7" s="2016" t="n"/>
      <c r="I7" s="2016" t="n"/>
      <c r="J7" s="2016" t="n"/>
      <c r="K7" s="2016" t="n"/>
      <c r="L7" s="2016" t="n"/>
      <c r="M7" s="2016" t="n"/>
      <c r="N7" s="2016" t="n"/>
      <c r="O7" s="2016" t="n"/>
      <c r="P7" s="2016" t="n"/>
      <c r="Q7" s="2017" t="n"/>
      <c r="R7" s="2017" t="inlineStr">
        <is>
          <t>For Use by U.S. Citizens and Resident Aliens Only</t>
        </is>
      </c>
      <c r="S7" s="2016" t="n"/>
      <c r="T7" s="2016" t="n"/>
      <c r="U7" s="2016" t="n"/>
      <c r="V7" s="2016" t="n"/>
      <c r="W7" s="2016" t="n"/>
      <c r="X7" s="2016" t="n"/>
      <c r="Y7" s="2016" t="n"/>
      <c r="Z7" s="2016" t="n"/>
      <c r="AA7" s="2016" t="n"/>
      <c r="AB7" s="2016" t="n"/>
      <c r="AC7" s="2016" t="n"/>
      <c r="AD7" s="2016" t="n"/>
      <c r="AE7" s="2016" t="n"/>
      <c r="AF7" s="2016" t="n"/>
      <c r="AG7" s="2016" t="n"/>
      <c r="AH7" s="2016" t="n"/>
      <c r="AI7" s="2016" t="n"/>
      <c r="AJ7" s="2016" t="n"/>
      <c r="AK7" s="2013" t="n"/>
      <c r="AL7" s="344" t="n"/>
      <c r="AM7" s="344" t="n"/>
      <c r="AN7" s="344" t="n"/>
      <c r="AO7" s="344" t="n"/>
      <c r="AP7" s="344" t="n"/>
    </row>
    <row r="8">
      <c r="A8" s="2013" t="n"/>
      <c r="B8" s="344" t="inlineStr">
        <is>
          <t>Name shown on Form 1040 or 1040-SR</t>
        </is>
      </c>
      <c r="C8" s="344" t="n"/>
      <c r="D8" s="344" t="n"/>
      <c r="E8" s="344" t="n"/>
      <c r="F8" s="344" t="n"/>
      <c r="G8" s="344" t="n"/>
      <c r="H8" s="344" t="n"/>
      <c r="I8" s="344" t="n"/>
      <c r="J8" s="344" t="n"/>
      <c r="K8" s="344" t="n"/>
      <c r="L8" s="344" t="n"/>
      <c r="M8" s="344" t="n"/>
      <c r="N8" s="344" t="n"/>
      <c r="O8" s="344" t="n"/>
      <c r="P8" s="344" t="n"/>
      <c r="Q8" s="344" t="n"/>
      <c r="R8" s="344" t="n"/>
      <c r="S8" s="344" t="n"/>
      <c r="T8" s="344" t="n"/>
      <c r="U8" s="344" t="n"/>
      <c r="V8" s="344" t="n"/>
      <c r="W8" s="344" t="n"/>
      <c r="X8" s="344" t="n"/>
      <c r="Y8" s="2018" t="inlineStr">
        <is>
          <t>Your social security number</t>
        </is>
      </c>
      <c r="Z8" s="11602" t="n"/>
      <c r="AA8" s="11602" t="n"/>
      <c r="AB8" s="11602" t="n"/>
      <c r="AC8" s="408" t="n"/>
      <c r="AD8" s="2019" t="n"/>
      <c r="AE8" s="2019" t="n"/>
      <c r="AF8" s="2019" t="n"/>
      <c r="AG8" s="2019" t="n"/>
      <c r="AH8" s="2019" t="n"/>
      <c r="AI8" s="2019" t="n"/>
      <c r="AJ8" s="2019" t="n"/>
      <c r="AK8" s="2013" t="n"/>
      <c r="AL8" s="344" t="n"/>
      <c r="AM8" s="344" t="n"/>
      <c r="AN8" s="344" t="n"/>
      <c r="AO8" s="344" t="n"/>
      <c r="AP8" s="344" t="n"/>
    </row>
    <row r="9" ht="13.5" customHeight="1" s="7635">
      <c r="A9" s="2013" t="n"/>
      <c r="B9" s="12428">
        <f>IF(AND(AL4&lt;&gt;"",AL5&lt;&gt;""),Names,IF(AL4&lt;&gt;"",NameYours,IF(AL5&lt;&gt;"",NameSpouse,Names)))</f>
        <v/>
      </c>
      <c r="X9" s="7636" t="n"/>
      <c r="Y9" s="12429">
        <f>IF(NoSSN,"",IF(AND(AL4="",AL5&lt;&gt;""),SS_Spouse,SS_Yours))</f>
        <v/>
      </c>
      <c r="AK9" s="2013" t="n"/>
      <c r="AL9" s="344" t="n"/>
      <c r="AM9" s="344" t="n"/>
      <c r="AN9" s="344" t="n"/>
      <c r="AO9" s="344" t="n"/>
      <c r="AP9" s="344" t="n"/>
    </row>
    <row r="10" ht="5.25" customHeight="1" s="7635">
      <c r="A10" s="2013" t="n"/>
      <c r="B10" s="7637" t="n"/>
      <c r="C10" s="7637" t="n"/>
      <c r="D10" s="7637" t="n"/>
      <c r="E10" s="7637" t="n"/>
      <c r="F10" s="7637" t="n"/>
      <c r="G10" s="7637" t="n"/>
      <c r="H10" s="7637" t="n"/>
      <c r="I10" s="7637" t="n"/>
      <c r="J10" s="7637" t="n"/>
      <c r="K10" s="7637" t="n"/>
      <c r="L10" s="7637" t="n"/>
      <c r="M10" s="7637" t="n"/>
      <c r="N10" s="7637" t="n"/>
      <c r="O10" s="7637" t="n"/>
      <c r="P10" s="7637" t="n"/>
      <c r="Q10" s="7637" t="n"/>
      <c r="R10" s="7637" t="n"/>
      <c r="S10" s="7637" t="n"/>
      <c r="T10" s="7637" t="n"/>
      <c r="U10" s="7637" t="n"/>
      <c r="V10" s="7637" t="n"/>
      <c r="W10" s="7637" t="n"/>
      <c r="X10" s="7638" t="n"/>
      <c r="Y10" s="3614" t="n"/>
      <c r="Z10" s="7637" t="n"/>
      <c r="AA10" s="7637" t="n"/>
      <c r="AB10" s="7637" t="n"/>
      <c r="AC10" s="7637" t="n"/>
      <c r="AD10" s="7637" t="n"/>
      <c r="AE10" s="7637" t="n"/>
      <c r="AF10" s="7637" t="n"/>
      <c r="AG10" s="7637" t="n"/>
      <c r="AH10" s="7637" t="n"/>
      <c r="AI10" s="7637" t="n"/>
      <c r="AJ10" s="7637" t="n"/>
      <c r="AK10" s="2013" t="n"/>
      <c r="AL10" s="344" t="n"/>
      <c r="AM10" s="344" t="n"/>
      <c r="AN10" s="344" t="n"/>
      <c r="AO10" s="344" t="n"/>
      <c r="AP10" s="344" t="n"/>
    </row>
    <row r="11" ht="18.75" customHeight="1" s="7635">
      <c r="A11" s="2013" t="n"/>
      <c r="B11" s="9775" t="inlineStr">
        <is>
          <t>Part I</t>
        </is>
      </c>
      <c r="C11" s="8412" t="n"/>
      <c r="D11" s="10884" t="inlineStr">
        <is>
          <t>General Information</t>
        </is>
      </c>
      <c r="E11" s="2021" t="n"/>
      <c r="F11" s="2021" t="n"/>
      <c r="G11" s="2021" t="n"/>
      <c r="H11" s="2021" t="n"/>
      <c r="I11" s="2021" t="n"/>
      <c r="J11" s="2021" t="n"/>
      <c r="K11" s="2021" t="n"/>
      <c r="L11" s="2021" t="n"/>
      <c r="M11" s="2021" t="n"/>
      <c r="N11" s="2021" t="n"/>
      <c r="O11" s="2021" t="n"/>
      <c r="P11" s="2021" t="n"/>
      <c r="Q11" s="2021" t="n"/>
      <c r="R11" s="2021" t="n"/>
      <c r="S11" s="2021" t="n"/>
      <c r="T11" s="2021" t="n"/>
      <c r="U11" s="2021" t="n"/>
      <c r="V11" s="2021" t="n"/>
      <c r="W11" s="2021" t="n"/>
      <c r="X11" s="2021" t="n"/>
      <c r="Y11" s="2021" t="n"/>
      <c r="Z11" s="2021" t="n"/>
      <c r="AA11" s="2021" t="n"/>
      <c r="AB11" s="2021" t="n"/>
      <c r="AC11" s="2021" t="n"/>
      <c r="AD11" s="2021" t="n"/>
      <c r="AE11" s="2021" t="n"/>
      <c r="AF11" s="2021" t="n"/>
      <c r="AG11" s="2021" t="n"/>
      <c r="AH11" s="2021" t="n"/>
      <c r="AI11" s="2021" t="n"/>
      <c r="AJ11" s="2021" t="n"/>
      <c r="AK11" s="2013" t="n"/>
      <c r="AL11" s="344" t="n"/>
      <c r="AM11" s="344" t="n"/>
      <c r="AN11" s="344" t="n"/>
      <c r="AO11" s="344" t="n"/>
      <c r="AP11" s="344" t="n"/>
    </row>
    <row r="12" ht="15" customHeight="1" s="7635">
      <c r="A12" s="2013" t="n"/>
      <c r="B12" s="11602" t="n"/>
      <c r="C12" s="7861" t="inlineStr">
        <is>
          <t>1</t>
        </is>
      </c>
      <c r="D12" s="344" t="inlineStr">
        <is>
          <t>Your foreign address (including country)</t>
        </is>
      </c>
      <c r="E12" s="11602" t="n"/>
      <c r="F12" s="11602" t="n"/>
      <c r="G12" s="11602" t="n"/>
      <c r="H12" s="11602" t="n"/>
      <c r="I12" s="11602" t="n"/>
      <c r="J12" s="11602" t="n"/>
      <c r="K12" s="11602" t="n"/>
      <c r="L12" s="11602" t="n"/>
      <c r="M12" s="11602" t="n"/>
      <c r="N12" s="11602" t="n"/>
      <c r="O12" s="11602" t="n"/>
      <c r="P12" s="11602" t="n"/>
      <c r="Q12" s="11602" t="n"/>
      <c r="R12" s="11602" t="n"/>
      <c r="S12" s="11602" t="n"/>
      <c r="T12" s="11602" t="n"/>
      <c r="U12" s="11602" t="n"/>
      <c r="V12" s="11602" t="n"/>
      <c r="W12" s="11602" t="n"/>
      <c r="X12" s="11602" t="n"/>
      <c r="Y12" s="2023" t="inlineStr">
        <is>
          <t>2</t>
        </is>
      </c>
      <c r="Z12" s="344" t="inlineStr">
        <is>
          <t>Your occupation</t>
        </is>
      </c>
      <c r="AA12" s="11602" t="n"/>
      <c r="AB12" s="11602" t="n"/>
      <c r="AC12" s="11602" t="n"/>
      <c r="AD12" s="11602" t="n"/>
      <c r="AE12" s="11602" t="n"/>
      <c r="AF12" s="11602" t="n"/>
      <c r="AG12" s="11602" t="n"/>
      <c r="AH12" s="11602" t="n"/>
      <c r="AI12" s="11602" t="n"/>
      <c r="AJ12" s="11602" t="n"/>
      <c r="AK12" s="2013" t="n"/>
      <c r="AL12" s="344" t="n"/>
      <c r="AM12" s="344" t="n"/>
      <c r="AN12" s="7375" t="n"/>
      <c r="AO12" s="7375" t="n"/>
      <c r="AP12" s="7375" t="n"/>
      <c r="AZ12" s="2025" t="n"/>
      <c r="BA12" s="2025" t="n"/>
      <c r="BB12" s="2025" t="n"/>
      <c r="BC12" s="2025" t="n"/>
      <c r="BD12" s="2025" t="n"/>
      <c r="BE12" s="2025" t="n"/>
      <c r="BF12" s="2025" t="n"/>
      <c r="BG12" s="2025" t="n"/>
      <c r="BH12" s="2025" t="n"/>
      <c r="BI12" s="2025" t="n"/>
      <c r="BJ12" s="2025" t="n"/>
    </row>
    <row r="13" ht="16.5" customHeight="1" s="7635">
      <c r="A13" s="2013" t="n"/>
      <c r="B13" s="12430" t="n"/>
      <c r="C13" s="11717" t="n"/>
      <c r="D13" s="11717" t="n"/>
      <c r="E13" s="11717" t="n"/>
      <c r="F13" s="11717" t="n"/>
      <c r="G13" s="11717" t="n"/>
      <c r="H13" s="11717" t="n"/>
      <c r="I13" s="11717" t="n"/>
      <c r="J13" s="11717" t="n"/>
      <c r="K13" s="11717" t="n"/>
      <c r="L13" s="11717" t="n"/>
      <c r="M13" s="11717" t="n"/>
      <c r="N13" s="11717" t="n"/>
      <c r="O13" s="11717" t="n"/>
      <c r="P13" s="11717" t="n"/>
      <c r="Q13" s="11717" t="n"/>
      <c r="R13" s="11717" t="n"/>
      <c r="S13" s="11717" t="n"/>
      <c r="T13" s="11717" t="n"/>
      <c r="U13" s="11717" t="n"/>
      <c r="V13" s="11717" t="n"/>
      <c r="W13" s="11717" t="n"/>
      <c r="X13" s="11718" t="n"/>
      <c r="Y13" s="9871" t="n"/>
      <c r="Z13" s="11717" t="n"/>
      <c r="AA13" s="11717" t="n"/>
      <c r="AB13" s="11717" t="n"/>
      <c r="AC13" s="11717" t="n"/>
      <c r="AD13" s="11717" t="n"/>
      <c r="AE13" s="11717" t="n"/>
      <c r="AF13" s="11717" t="n"/>
      <c r="AG13" s="11717" t="n"/>
      <c r="AH13" s="11717" t="n"/>
      <c r="AI13" s="11717" t="n"/>
      <c r="AJ13" s="11717" t="n"/>
      <c r="AK13" s="2013" t="n"/>
      <c r="AL13" s="344" t="n"/>
      <c r="AM13" s="344" t="n"/>
      <c r="AN13" s="7375" t="n"/>
      <c r="AO13" s="7375" t="n"/>
      <c r="AP13" s="7375" t="n"/>
      <c r="AZ13" s="2025" t="n"/>
      <c r="BA13" s="2025" t="n"/>
      <c r="BB13" s="2025" t="n"/>
      <c r="BC13" s="2025" t="n"/>
      <c r="BD13" s="2025" t="n"/>
      <c r="BE13" s="2025" t="n"/>
      <c r="BF13" s="2025" t="n"/>
      <c r="BG13" s="2025" t="n"/>
      <c r="BH13" s="2025" t="n"/>
      <c r="BI13" s="2025" t="n"/>
      <c r="BJ13" s="2025" t="n"/>
    </row>
    <row r="14" ht="15" customHeight="1" s="7635">
      <c r="A14" s="2013" t="n"/>
      <c r="B14" s="11602" t="n"/>
      <c r="C14" s="7861" t="inlineStr">
        <is>
          <t>3</t>
        </is>
      </c>
      <c r="D14" s="344" t="inlineStr">
        <is>
          <t>Employer’s name</t>
        </is>
      </c>
      <c r="E14" s="11602" t="n"/>
      <c r="F14" s="11602" t="n"/>
      <c r="G14" s="11602" t="n"/>
      <c r="H14" s="11602" t="n"/>
      <c r="I14" s="9873" t="n"/>
      <c r="J14" s="12431" t="n"/>
      <c r="K14" s="12431" t="n"/>
      <c r="L14" s="12431" t="n"/>
      <c r="M14" s="12431" t="n"/>
      <c r="N14" s="12431" t="n"/>
      <c r="O14" s="12431" t="n"/>
      <c r="P14" s="12431" t="n"/>
      <c r="Q14" s="12431" t="n"/>
      <c r="R14" s="12431" t="n"/>
      <c r="S14" s="12431" t="n"/>
      <c r="T14" s="12431" t="n"/>
      <c r="U14" s="12431" t="n"/>
      <c r="V14" s="12431" t="n"/>
      <c r="W14" s="12431" t="n"/>
      <c r="X14" s="12431" t="n"/>
      <c r="Y14" s="12431" t="n"/>
      <c r="Z14" s="12431" t="n"/>
      <c r="AA14" s="12431" t="n"/>
      <c r="AB14" s="12431" t="n"/>
      <c r="AC14" s="12431" t="n"/>
      <c r="AD14" s="12431" t="n"/>
      <c r="AE14" s="12431" t="n"/>
      <c r="AF14" s="12431" t="n"/>
      <c r="AG14" s="12431" t="n"/>
      <c r="AH14" s="12431" t="n"/>
      <c r="AI14" s="12431" t="n"/>
      <c r="AJ14" s="12431" t="n"/>
      <c r="AK14" s="2013" t="n"/>
      <c r="AL14" s="344" t="n"/>
      <c r="AM14" s="344" t="n"/>
      <c r="AN14" s="7375" t="n"/>
      <c r="AO14" s="7375" t="n"/>
      <c r="AP14" s="7375" t="n"/>
      <c r="AZ14" s="2025" t="n"/>
      <c r="BA14" s="2025" t="n"/>
      <c r="BB14" s="2025" t="n"/>
      <c r="BC14" s="2025" t="n"/>
      <c r="BD14" s="2025" t="n"/>
      <c r="BE14" s="2025" t="n"/>
      <c r="BF14" s="2025" t="n"/>
      <c r="BG14" s="2025" t="n"/>
      <c r="BH14" s="2025" t="n"/>
      <c r="BI14" s="2025" t="n"/>
      <c r="BJ14" s="2025" t="n"/>
    </row>
    <row r="15" ht="15" customHeight="1" s="7635">
      <c r="A15" s="2013" t="n"/>
      <c r="B15" s="11602" t="n"/>
      <c r="C15" s="2026" t="inlineStr">
        <is>
          <t>4 a</t>
        </is>
      </c>
      <c r="D15" s="344" t="inlineStr">
        <is>
          <t>Employer’s U.S. address</t>
        </is>
      </c>
      <c r="E15" s="11602" t="n"/>
      <c r="F15" s="11602" t="n"/>
      <c r="G15" s="11602" t="n"/>
      <c r="H15" s="11602" t="n"/>
      <c r="I15" s="11602" t="n"/>
      <c r="J15" s="11602" t="n"/>
      <c r="K15" s="9877" t="n"/>
      <c r="L15" s="12030" t="n"/>
      <c r="M15" s="12030" t="n"/>
      <c r="N15" s="12030" t="n"/>
      <c r="O15" s="12030" t="n"/>
      <c r="P15" s="12030" t="n"/>
      <c r="Q15" s="12030" t="n"/>
      <c r="R15" s="12030" t="n"/>
      <c r="S15" s="12030" t="n"/>
      <c r="T15" s="12030" t="n"/>
      <c r="U15" s="12030" t="n"/>
      <c r="V15" s="12030" t="n"/>
      <c r="W15" s="12030" t="n"/>
      <c r="X15" s="12030" t="n"/>
      <c r="Y15" s="12030" t="n"/>
      <c r="Z15" s="12030" t="n"/>
      <c r="AA15" s="12030" t="n"/>
      <c r="AB15" s="12030" t="n"/>
      <c r="AC15" s="12030" t="n"/>
      <c r="AD15" s="12030" t="n"/>
      <c r="AE15" s="12030" t="n"/>
      <c r="AF15" s="12030" t="n"/>
      <c r="AG15" s="12030" t="n"/>
      <c r="AH15" s="12030" t="n"/>
      <c r="AI15" s="12030" t="n"/>
      <c r="AJ15" s="12030" t="n"/>
      <c r="AK15" s="2013" t="n"/>
      <c r="AL15" s="344" t="n"/>
      <c r="AM15" s="344" t="n"/>
      <c r="AN15" s="7375" t="n"/>
      <c r="AO15" s="7375" t="n"/>
      <c r="AP15" s="7375" t="n"/>
      <c r="AZ15" s="2025" t="n"/>
      <c r="BA15" s="2025" t="n"/>
      <c r="BB15" s="2025" t="n"/>
      <c r="BC15" s="2025" t="n"/>
      <c r="BD15" s="2025" t="n"/>
      <c r="BE15" s="2025" t="n"/>
      <c r="BF15" s="2025" t="n"/>
      <c r="BG15" s="2025" t="n"/>
      <c r="BH15" s="2025" t="n"/>
      <c r="BI15" s="2025" t="n"/>
      <c r="BJ15" s="2025" t="n"/>
    </row>
    <row r="16" ht="15" customHeight="1" s="7635">
      <c r="A16" s="2013" t="n"/>
      <c r="B16" s="11602" t="n"/>
      <c r="C16" s="734" t="inlineStr">
        <is>
          <t xml:space="preserve">b </t>
        </is>
      </c>
      <c r="D16" s="344" t="inlineStr">
        <is>
          <t>Employer’s foreign address</t>
        </is>
      </c>
      <c r="E16" s="11602" t="n"/>
      <c r="F16" s="11602" t="n"/>
      <c r="G16" s="11602" t="n"/>
      <c r="H16" s="11602" t="n"/>
      <c r="I16" s="11602" t="n"/>
      <c r="J16" s="11602" t="n"/>
      <c r="K16" s="9877" t="n"/>
      <c r="L16" s="12030" t="n"/>
      <c r="M16" s="12030" t="n"/>
      <c r="N16" s="12030" t="n"/>
      <c r="O16" s="12030" t="n"/>
      <c r="P16" s="12030" t="n"/>
      <c r="Q16" s="12030" t="n"/>
      <c r="R16" s="12030" t="n"/>
      <c r="S16" s="12030" t="n"/>
      <c r="T16" s="12030" t="n"/>
      <c r="U16" s="12030" t="n"/>
      <c r="V16" s="12030" t="n"/>
      <c r="W16" s="12030" t="n"/>
      <c r="X16" s="12030" t="n"/>
      <c r="Y16" s="12030" t="n"/>
      <c r="Z16" s="12030" t="n"/>
      <c r="AA16" s="12030" t="n"/>
      <c r="AB16" s="12030" t="n"/>
      <c r="AC16" s="12030" t="n"/>
      <c r="AD16" s="12030" t="n"/>
      <c r="AE16" s="12030" t="n"/>
      <c r="AF16" s="12030" t="n"/>
      <c r="AG16" s="12030" t="n"/>
      <c r="AH16" s="12030" t="n"/>
      <c r="AI16" s="12030" t="n"/>
      <c r="AJ16" s="12030" t="n"/>
      <c r="AK16" s="2013" t="n"/>
      <c r="AL16" s="344" t="n"/>
      <c r="AM16" s="344" t="n"/>
      <c r="AN16" s="344" t="n"/>
      <c r="AO16" s="344" t="n"/>
      <c r="AP16" s="344" t="n"/>
    </row>
    <row r="17" ht="5.25" customHeight="1" s="7635" thickBot="1">
      <c r="A17" s="2013" t="n"/>
      <c r="B17" s="11602" t="n"/>
      <c r="C17" s="11602" t="n"/>
      <c r="D17" s="11602" t="n"/>
      <c r="E17" s="11602" t="n"/>
      <c r="F17" s="11602" t="n"/>
      <c r="G17" s="11602" t="n"/>
      <c r="H17" s="11602" t="n"/>
      <c r="I17" s="11602" t="n"/>
      <c r="J17" s="11602" t="n"/>
      <c r="K17" s="11602" t="n"/>
      <c r="L17" s="11602" t="n"/>
      <c r="M17" s="11602" t="n"/>
      <c r="N17" s="11602" t="n"/>
      <c r="O17" s="11602" t="n"/>
      <c r="P17" s="11602" t="n"/>
      <c r="Q17" s="11602" t="n"/>
      <c r="R17" s="11602" t="n"/>
      <c r="S17" s="11602" t="n"/>
      <c r="T17" s="11602" t="n"/>
      <c r="U17" s="11602" t="n"/>
      <c r="V17" s="11602" t="n"/>
      <c r="W17" s="11602" t="n"/>
      <c r="X17" s="11602" t="n"/>
      <c r="Y17" s="11602" t="n"/>
      <c r="Z17" s="11602" t="n"/>
      <c r="AA17" s="11602" t="n"/>
      <c r="AB17" s="11602" t="n"/>
      <c r="AC17" s="11602" t="n"/>
      <c r="AD17" s="11602" t="n"/>
      <c r="AE17" s="11602" t="n"/>
      <c r="AF17" s="11602" t="n"/>
      <c r="AG17" s="11602" t="n"/>
      <c r="AH17" s="11602" t="n"/>
      <c r="AI17" s="11602" t="n"/>
      <c r="AJ17" s="11602" t="n"/>
      <c r="AK17" s="2013" t="n"/>
      <c r="AL17" s="344" t="n"/>
      <c r="AM17" s="344" t="n"/>
      <c r="AN17" s="344" t="n"/>
      <c r="AO17" s="344" t="n"/>
      <c r="AP17" s="344" t="n"/>
      <c r="BL17" s="2027" t="n"/>
      <c r="BM17" s="2027" t="n"/>
      <c r="BO17" s="2027" t="n"/>
      <c r="BP17" s="2027" t="n"/>
      <c r="BQ17" s="2027" t="n"/>
      <c r="BR17" s="2027" t="n"/>
      <c r="BS17" s="2027" t="n"/>
      <c r="BT17" s="2027" t="n"/>
      <c r="BU17" s="2027" t="n"/>
      <c r="BV17" s="2027" t="n"/>
    </row>
    <row r="18" ht="13.5" customHeight="1" s="7635" thickBot="1">
      <c r="A18" s="2013" t="n"/>
      <c r="B18" s="11602" t="n"/>
      <c r="C18" s="2026" t="inlineStr">
        <is>
          <t>5</t>
        </is>
      </c>
      <c r="D18" s="9911" t="inlineStr">
        <is>
          <t>Employer is (check
any that apply):</t>
        </is>
      </c>
      <c r="I18" s="11602" t="n"/>
      <c r="J18" s="734" t="inlineStr">
        <is>
          <t xml:space="preserve">a </t>
        </is>
      </c>
      <c r="K18" s="277" t="n"/>
      <c r="L18" s="344" t="inlineStr">
        <is>
          <t xml:space="preserve"> A foreign entity</t>
        </is>
      </c>
      <c r="M18" s="11602" t="n"/>
      <c r="N18" s="11602" t="n"/>
      <c r="O18" s="11602" t="n"/>
      <c r="P18" s="11602" t="n"/>
      <c r="Q18" s="11602" t="n"/>
      <c r="R18" s="11602" t="n"/>
      <c r="S18" s="11602" t="n"/>
      <c r="T18" s="11602" t="n"/>
      <c r="U18" s="734" t="inlineStr">
        <is>
          <t xml:space="preserve">b </t>
        </is>
      </c>
      <c r="V18" s="277" t="n"/>
      <c r="W18" s="344" t="inlineStr">
        <is>
          <t xml:space="preserve"> A U.S. company</t>
        </is>
      </c>
      <c r="X18" s="11602" t="n"/>
      <c r="Y18" s="11602" t="n"/>
      <c r="Z18" s="11602" t="n"/>
      <c r="AA18" s="11602" t="n"/>
      <c r="AB18" s="11602" t="n"/>
      <c r="AC18" s="734" t="inlineStr">
        <is>
          <t xml:space="preserve">c </t>
        </is>
      </c>
      <c r="AD18" s="277" t="n"/>
      <c r="AE18" s="344" t="inlineStr">
        <is>
          <t xml:space="preserve"> Self</t>
        </is>
      </c>
      <c r="AF18" s="11602" t="n"/>
      <c r="AG18" s="11602" t="n"/>
      <c r="AH18" s="11602" t="n"/>
      <c r="AI18" s="11602" t="n"/>
      <c r="AJ18" s="11602" t="n"/>
      <c r="AK18" s="2013" t="n"/>
      <c r="AL18" s="344" t="n"/>
      <c r="AM18" s="344" t="n"/>
      <c r="AN18" s="344" t="n"/>
      <c r="AO18" s="344" t="n"/>
      <c r="AP18" s="344" t="n"/>
    </row>
    <row r="19" ht="6" customHeight="1" s="7635" thickBot="1">
      <c r="A19" s="2013" t="n"/>
      <c r="B19" s="11602" t="n"/>
      <c r="C19" s="11602" t="n"/>
      <c r="I19" s="11602" t="n"/>
      <c r="J19" s="11602" t="n"/>
      <c r="K19" s="2016" t="n"/>
      <c r="L19" s="11602" t="n"/>
      <c r="M19" s="11602" t="n"/>
      <c r="N19" s="11602" t="n"/>
      <c r="O19" s="11602" t="n"/>
      <c r="P19" s="11602" t="n"/>
      <c r="Q19" s="11602" t="n"/>
      <c r="R19" s="11602" t="n"/>
      <c r="S19" s="11602" t="n"/>
      <c r="T19" s="11602" t="n"/>
      <c r="U19" s="9886" t="n"/>
      <c r="V19" s="11602" t="n"/>
      <c r="W19" s="11602" t="n"/>
      <c r="X19" s="11602" t="n"/>
      <c r="Y19" s="11602" t="n"/>
      <c r="Z19" s="11602" t="n"/>
      <c r="AA19" s="11602" t="n"/>
      <c r="AB19" s="11602" t="n"/>
      <c r="AC19" s="11602" t="n"/>
      <c r="AD19" s="11602" t="n"/>
      <c r="AE19" s="11602" t="n"/>
      <c r="AF19" s="11602" t="n"/>
      <c r="AG19" s="11602" t="n"/>
      <c r="AH19" s="11602" t="n"/>
      <c r="AI19" s="11602" t="n"/>
      <c r="AJ19" s="11602" t="n"/>
      <c r="AK19" s="2013" t="n"/>
      <c r="AL19" s="344" t="n"/>
      <c r="AM19" s="344" t="n"/>
      <c r="AN19" s="344" t="n"/>
      <c r="AO19" s="344" t="n"/>
      <c r="AP19" s="344" t="n"/>
    </row>
    <row r="20" ht="16.5" customHeight="1" s="7635" thickBot="1">
      <c r="A20" s="2013" t="n"/>
      <c r="B20" s="11602" t="n"/>
      <c r="C20" s="11602" t="n"/>
      <c r="I20" s="11602" t="n"/>
      <c r="J20" s="734" t="inlineStr">
        <is>
          <t xml:space="preserve">d </t>
        </is>
      </c>
      <c r="K20" s="277" t="n"/>
      <c r="L20" s="344" t="inlineStr">
        <is>
          <t xml:space="preserve"> A foreign affiliate of a U.S. company</t>
        </is>
      </c>
      <c r="M20" s="11602" t="n"/>
      <c r="N20" s="11602" t="n"/>
      <c r="O20" s="11602" t="n"/>
      <c r="P20" s="11602" t="n"/>
      <c r="Q20" s="11602" t="n"/>
      <c r="R20" s="11602" t="n"/>
      <c r="S20" s="11602" t="n"/>
      <c r="T20" s="11602" t="n"/>
      <c r="U20" s="734" t="inlineStr">
        <is>
          <t xml:space="preserve">e </t>
        </is>
      </c>
      <c r="V20" s="277" t="n"/>
      <c r="W20" s="344" t="inlineStr">
        <is>
          <t xml:space="preserve"> Other (specify)</t>
        </is>
      </c>
      <c r="X20" s="11602" t="n"/>
      <c r="Y20" s="11602" t="n"/>
      <c r="Z20" s="11602" t="n"/>
      <c r="AA20" s="11602" t="n"/>
      <c r="AB20" s="9759" t="n"/>
      <c r="AC20" s="11730" t="n"/>
      <c r="AD20" s="11730" t="n"/>
      <c r="AE20" s="11730" t="n"/>
      <c r="AF20" s="11730" t="n"/>
      <c r="AG20" s="11730" t="n"/>
      <c r="AH20" s="11730" t="n"/>
      <c r="AI20" s="11730" t="n"/>
      <c r="AJ20" s="11730" t="n"/>
      <c r="AK20" s="2013" t="n"/>
    </row>
    <row r="21" ht="16.5" customHeight="1" s="7635" thickBot="1">
      <c r="A21" s="2013" t="n"/>
      <c r="B21" s="11602" t="n"/>
      <c r="C21" s="2026" t="inlineStr">
        <is>
          <t>6 a</t>
        </is>
      </c>
      <c r="D21" s="344" t="inlineStr">
        <is>
          <t>If you previously filed Form 2555 or Form 2555-EZ, enter the last year you filed the form.</t>
        </is>
      </c>
      <c r="E21" s="11602" t="n"/>
      <c r="F21" s="11602" t="n"/>
      <c r="G21" s="11602" t="n"/>
      <c r="H21" s="11602" t="n"/>
      <c r="I21" s="11602" t="n"/>
      <c r="J21" s="11602" t="n"/>
      <c r="K21" s="11602" t="n"/>
      <c r="L21" s="11602" t="n"/>
      <c r="M21" s="11602" t="n"/>
      <c r="N21" s="11602" t="n"/>
      <c r="O21" s="11602" t="n"/>
      <c r="P21" s="11602" t="n"/>
      <c r="Q21" s="11602" t="n"/>
      <c r="R21" s="11602" t="n"/>
      <c r="S21" s="11602" t="n"/>
      <c r="T21" s="11602" t="n"/>
      <c r="U21" s="11602" t="n"/>
      <c r="V21" s="11602" t="n"/>
      <c r="W21" s="11602" t="n"/>
      <c r="X21" s="11602" t="n"/>
      <c r="Y21" s="9902" t="n"/>
      <c r="Z21" s="11730" t="n"/>
      <c r="AA21" s="11730" t="n"/>
      <c r="AB21" s="11730" t="n"/>
      <c r="AC21" s="11730" t="n"/>
      <c r="AD21" s="11730" t="n"/>
      <c r="AE21" s="11730" t="n"/>
      <c r="AF21" s="11730" t="n"/>
      <c r="AG21" s="11730" t="n"/>
      <c r="AH21" s="11730" t="n"/>
      <c r="AI21" s="11730" t="n"/>
      <c r="AJ21" s="11730" t="n"/>
      <c r="AK21" s="2013" t="n"/>
      <c r="AN21" s="2028" t="n"/>
      <c r="AO21" s="2029" t="n"/>
      <c r="AZ21" s="2028" t="n"/>
      <c r="BA21" s="2029" t="n"/>
    </row>
    <row r="22" ht="15.75" customHeight="1" s="7635" thickBot="1">
      <c r="A22" s="2013" t="n"/>
      <c r="B22" s="11602" t="n"/>
      <c r="C22" s="734" t="inlineStr">
        <is>
          <t xml:space="preserve">b </t>
        </is>
      </c>
      <c r="D22" s="344" t="inlineStr">
        <is>
          <t>If you didn't previously file Form 2555 or 2555-EZ to claim either of the exclusions, check here</t>
        </is>
      </c>
      <c r="E22" s="11602" t="n"/>
      <c r="F22" s="11602" t="n"/>
      <c r="G22" s="11602" t="n"/>
      <c r="H22" s="11602" t="n"/>
      <c r="I22" s="11602" t="n"/>
      <c r="J22" s="11602" t="n"/>
      <c r="K22" s="11602" t="n"/>
      <c r="L22" s="11602" t="n"/>
      <c r="M22" s="11602" t="n"/>
      <c r="N22" s="11602" t="n"/>
      <c r="O22" s="11602" t="n"/>
      <c r="P22" s="11602" t="n"/>
      <c r="Q22" s="11602" t="n"/>
      <c r="R22" s="11602" t="n"/>
      <c r="S22" s="11602" t="n"/>
      <c r="T22" s="11602" t="n"/>
      <c r="U22" s="11602" t="n"/>
      <c r="V22" s="11602" t="n"/>
      <c r="W22" s="11602" t="n"/>
      <c r="X22" s="11602" t="n"/>
      <c r="Y22" s="11602" t="n"/>
      <c r="Z22" s="2030" t="n"/>
      <c r="AA22" s="277" t="n"/>
      <c r="AB22" s="344" t="inlineStr">
        <is>
          <t xml:space="preserve"> and go to line 7.</t>
        </is>
      </c>
      <c r="AC22" s="344" t="n"/>
      <c r="AD22" s="11602" t="n"/>
      <c r="AE22" s="11602" t="n"/>
      <c r="AF22" s="11602" t="n"/>
      <c r="AG22" s="11602" t="n"/>
      <c r="AH22" s="11602" t="n"/>
      <c r="AI22" s="11602" t="n"/>
      <c r="AJ22" s="11602" t="n"/>
      <c r="AK22" s="2013" t="n"/>
      <c r="AO22" s="2029" t="n"/>
      <c r="BA22" s="2029" t="n"/>
      <c r="BF22" s="2028" t="n"/>
    </row>
    <row r="23" ht="13.5" customHeight="1" s="7635" thickBot="1">
      <c r="A23" s="2013" t="n"/>
      <c r="B23" s="11602" t="n"/>
      <c r="C23" s="734" t="inlineStr">
        <is>
          <t xml:space="preserve">c </t>
        </is>
      </c>
      <c r="D23" s="11602" t="inlineStr">
        <is>
          <t>Have you ever revoked either of the exclusions?</t>
        </is>
      </c>
      <c r="E23" s="11602" t="n"/>
      <c r="F23" s="11602" t="n"/>
      <c r="G23" s="11602" t="n"/>
      <c r="H23" s="11602" t="n"/>
      <c r="I23" s="11602" t="n"/>
      <c r="J23" s="11602" t="n"/>
      <c r="K23" s="11602" t="n"/>
      <c r="L23" s="11602" t="n"/>
      <c r="M23" s="11602" t="n"/>
      <c r="N23" s="11602" t="n"/>
      <c r="O23" s="11602" t="n"/>
      <c r="P23" s="11602" t="n"/>
      <c r="Q23" s="11602" t="n"/>
      <c r="R23" s="11602" t="n"/>
      <c r="S23" s="11602" t="n"/>
      <c r="T23" s="11602" t="n"/>
      <c r="U23" s="11602" t="n"/>
      <c r="V23" s="11602" t="n"/>
      <c r="W23" s="11602" t="n"/>
      <c r="X23" s="11602" t="n"/>
      <c r="Y23" s="11602" t="n"/>
      <c r="Z23" s="11602" t="n"/>
      <c r="AA23" s="11602" t="n"/>
      <c r="AB23" s="11602" t="n"/>
      <c r="AC23" s="11602" t="n"/>
      <c r="AD23" s="2031" t="inlineStr">
        <is>
          <t xml:space="preserve">.   .   .   .   .   .   .   .   .   .   .   .   .   .   .   .   .   .   .   .   .   .   .   .   .   . </t>
        </is>
      </c>
      <c r="AE23" s="277" t="n"/>
      <c r="AF23" s="7886" t="inlineStr">
        <is>
          <t>Yes</t>
        </is>
      </c>
      <c r="AG23" s="11602" t="n"/>
      <c r="AH23" s="277" t="n"/>
      <c r="AI23" s="7886" t="inlineStr">
        <is>
          <t>No</t>
        </is>
      </c>
      <c r="AJ23" s="11602" t="n"/>
      <c r="AK23" s="2013" t="n"/>
      <c r="AO23" s="2029" t="n"/>
      <c r="BA23" s="2029" t="n"/>
      <c r="BF23" s="2028" t="n"/>
      <c r="BG23" s="433" t="n"/>
    </row>
    <row r="24" ht="12.75" customHeight="1" s="7635">
      <c r="A24" s="2013" t="n"/>
      <c r="B24" s="11602" t="n"/>
      <c r="C24" s="734" t="inlineStr">
        <is>
          <t xml:space="preserve">d </t>
        </is>
      </c>
      <c r="D24" s="344" t="inlineStr">
        <is>
          <t>If you answered “Yes,” enter the type of exclusion and the tax year for which the revocation was effective.</t>
        </is>
      </c>
      <c r="E24" s="11602" t="n"/>
      <c r="F24" s="11602" t="n"/>
      <c r="G24" s="11602" t="n"/>
      <c r="H24" s="11602" t="n"/>
      <c r="I24" s="11602" t="n"/>
      <c r="J24" s="11602" t="n"/>
      <c r="K24" s="11602" t="n"/>
      <c r="L24" s="11602" t="n"/>
      <c r="M24" s="11602" t="n"/>
      <c r="N24" s="11602" t="n"/>
      <c r="O24" s="11602" t="n"/>
      <c r="P24" s="11602" t="n"/>
      <c r="Q24" s="11602" t="n"/>
      <c r="R24" s="11602" t="n"/>
      <c r="S24" s="11602" t="n"/>
      <c r="T24" s="11602" t="n"/>
      <c r="U24" s="11602" t="n"/>
      <c r="V24" s="11602" t="n"/>
      <c r="W24" s="11602" t="n"/>
      <c r="X24" s="11602" t="n"/>
      <c r="Y24" s="11602" t="n"/>
      <c r="Z24" s="11602" t="n"/>
      <c r="AA24" s="11602" t="n"/>
      <c r="AB24" s="11602" t="n"/>
      <c r="AC24" s="9759" t="n"/>
      <c r="AD24" s="11730" t="n"/>
      <c r="AE24" s="11730" t="n"/>
      <c r="AF24" s="11730" t="n"/>
      <c r="AG24" s="11730" t="n"/>
      <c r="AH24" s="11730" t="n"/>
      <c r="AI24" s="11730" t="n"/>
      <c r="AJ24" s="11730" t="n"/>
      <c r="AK24" s="2013" t="n"/>
      <c r="AO24" s="2029" t="n"/>
      <c r="BA24" s="2029" t="n"/>
    </row>
    <row r="25" ht="15" customHeight="1" s="7635">
      <c r="A25" s="2013" t="n"/>
      <c r="B25" s="11602" t="n"/>
      <c r="C25" s="7861" t="inlineStr">
        <is>
          <t>7</t>
        </is>
      </c>
      <c r="D25" s="11602" t="inlineStr">
        <is>
          <t>Of what country are you a citizen/national?</t>
        </is>
      </c>
      <c r="E25" s="11602" t="n"/>
      <c r="F25" s="11602" t="n"/>
      <c r="G25" s="11602" t="n"/>
      <c r="H25" s="11602" t="n"/>
      <c r="I25" s="11602" t="n"/>
      <c r="J25" s="11602" t="n"/>
      <c r="K25" s="11602" t="n"/>
      <c r="L25" s="11602" t="n"/>
      <c r="M25" s="11602" t="n"/>
      <c r="N25" s="11602" t="n"/>
      <c r="O25" s="9759" t="n"/>
      <c r="P25" s="11730" t="n"/>
      <c r="Q25" s="11730" t="n"/>
      <c r="R25" s="11730" t="n"/>
      <c r="S25" s="11730" t="n"/>
      <c r="T25" s="11730" t="n"/>
      <c r="U25" s="11730" t="n"/>
      <c r="V25" s="11730" t="n"/>
      <c r="W25" s="11730" t="n"/>
      <c r="X25" s="11730" t="n"/>
      <c r="Y25" s="11730" t="n"/>
      <c r="Z25" s="11730" t="n"/>
      <c r="AA25" s="11730" t="n"/>
      <c r="AB25" s="11730" t="n"/>
      <c r="AC25" s="11730" t="n"/>
      <c r="AD25" s="11730" t="n"/>
      <c r="AE25" s="11730" t="n"/>
      <c r="AF25" s="11730" t="n"/>
      <c r="AG25" s="11730" t="n"/>
      <c r="AH25" s="11730" t="n"/>
      <c r="AI25" s="11730" t="n"/>
      <c r="AJ25" s="11730" t="n"/>
      <c r="AK25" s="2013" t="n"/>
      <c r="AN25" s="2028" t="n"/>
      <c r="AO25" s="2029" t="n"/>
      <c r="AZ25" s="2028" t="n"/>
      <c r="BA25" s="2029" t="n"/>
    </row>
    <row r="26" ht="15" customHeight="1" s="7635" thickBot="1">
      <c r="A26" s="2013" t="n"/>
      <c r="B26" s="11602" t="n"/>
      <c r="C26" s="2026" t="inlineStr">
        <is>
          <t>8 a</t>
        </is>
      </c>
      <c r="D26" s="11602" t="inlineStr">
        <is>
          <t>Did you maintain a separate foreign residence for your family because of adverse living conditions at your</t>
        </is>
      </c>
      <c r="E26" s="11602" t="n"/>
      <c r="F26" s="11602" t="n"/>
      <c r="G26" s="11602" t="n"/>
      <c r="H26" s="11602" t="n"/>
      <c r="I26" s="11602" t="n"/>
      <c r="J26" s="11602" t="n"/>
      <c r="K26" s="11602" t="n"/>
      <c r="L26" s="11602" t="n"/>
      <c r="M26" s="11602" t="n"/>
      <c r="N26" s="11602" t="n"/>
      <c r="O26" s="11602" t="n"/>
      <c r="P26" s="11602" t="n"/>
      <c r="Q26" s="11602" t="n"/>
      <c r="R26" s="11602" t="n"/>
      <c r="S26" s="11602" t="n"/>
      <c r="T26" s="11602" t="n"/>
      <c r="U26" s="11602" t="n"/>
      <c r="V26" s="11602" t="n"/>
      <c r="W26" s="11602" t="n"/>
      <c r="X26" s="11602" t="n"/>
      <c r="Y26" s="11602" t="n"/>
      <c r="Z26" s="11602" t="n"/>
      <c r="AA26" s="11602" t="n"/>
      <c r="AB26" s="11602" t="n"/>
      <c r="AC26" s="11602" t="n"/>
      <c r="AD26" s="11602" t="n"/>
      <c r="AE26" s="11602" t="n"/>
      <c r="AF26" s="11602" t="n"/>
      <c r="AG26" s="11602" t="n"/>
      <c r="AH26" s="11602" t="n"/>
      <c r="AI26" s="11602" t="n"/>
      <c r="AJ26" s="11602" t="n"/>
      <c r="AK26" s="2013" t="n"/>
      <c r="AM26" s="433" t="n"/>
      <c r="AO26" s="2029" t="n"/>
      <c r="BA26" s="2029" t="n"/>
    </row>
    <row r="27" ht="13.5" customHeight="1" s="7635" thickBot="1">
      <c r="A27" s="2013" t="n"/>
      <c r="B27" s="11602" t="n"/>
      <c r="C27" s="11602" t="n"/>
      <c r="D27" s="344" t="inlineStr">
        <is>
          <t>tax home? See Second foreign household in the instructions</t>
        </is>
      </c>
      <c r="E27" s="11602" t="n"/>
      <c r="F27" s="11602" t="n"/>
      <c r="G27" s="11602" t="n"/>
      <c r="H27" s="11602" t="n"/>
      <c r="I27" s="11602" t="n"/>
      <c r="J27" s="11602" t="n"/>
      <c r="K27" s="11602" t="n"/>
      <c r="L27" s="11602" t="n"/>
      <c r="M27" s="11602" t="n"/>
      <c r="N27" s="11602" t="n"/>
      <c r="O27" s="11602" t="n"/>
      <c r="P27" s="11602" t="n"/>
      <c r="Q27" s="11602" t="n"/>
      <c r="R27" s="11602" t="n"/>
      <c r="S27" s="11602" t="n"/>
      <c r="T27" s="11602" t="n"/>
      <c r="U27" s="11602" t="n"/>
      <c r="V27" s="11602" t="n"/>
      <c r="W27" s="11602" t="n"/>
      <c r="X27" s="11602" t="n"/>
      <c r="Y27" s="11602" t="n"/>
      <c r="Z27" s="11602" t="n"/>
      <c r="AA27" s="11602" t="n"/>
      <c r="AB27" s="11602" t="n"/>
      <c r="AC27" s="11602" t="n"/>
      <c r="AD27" s="2031" t="inlineStr">
        <is>
          <t xml:space="preserve">.   .   .   .   .   .   .   .   .   .   .   .   .   .   .   .   .   .   .   .   .   . </t>
        </is>
      </c>
      <c r="AE27" s="277" t="n"/>
      <c r="AF27" s="7886" t="inlineStr">
        <is>
          <t>Yes</t>
        </is>
      </c>
      <c r="AG27" s="11602" t="n"/>
      <c r="AH27" s="277" t="n"/>
      <c r="AI27" s="7886" t="inlineStr">
        <is>
          <t>No</t>
        </is>
      </c>
      <c r="AJ27" s="11602" t="n"/>
      <c r="AK27" s="2013" t="n"/>
      <c r="AO27" s="2029" t="n"/>
      <c r="BA27" s="2029" t="n"/>
    </row>
    <row r="28" ht="14.25" customHeight="1" s="7635">
      <c r="A28" s="2013" t="n"/>
      <c r="B28" s="11602" t="n"/>
      <c r="C28" s="734" t="inlineStr">
        <is>
          <t xml:space="preserve">b </t>
        </is>
      </c>
      <c r="D28" s="8650" t="inlineStr">
        <is>
          <t>If “Yes,” enter city and country of the separate foreign residence. Also, enter the number of days during your tax year that you</t>
        </is>
      </c>
      <c r="E28" s="11602" t="n"/>
      <c r="F28" s="11602" t="n"/>
      <c r="G28" s="11602" t="n"/>
      <c r="H28" s="11602" t="n"/>
      <c r="I28" s="11602" t="n"/>
      <c r="J28" s="11602" t="n"/>
      <c r="K28" s="11602" t="n"/>
      <c r="L28" s="11602" t="n"/>
      <c r="M28" s="11602" t="n"/>
      <c r="N28" s="11602" t="n"/>
      <c r="O28" s="11602" t="n"/>
      <c r="P28" s="11602" t="n"/>
      <c r="Q28" s="11602" t="n"/>
      <c r="R28" s="11602" t="n"/>
      <c r="S28" s="11602" t="n"/>
      <c r="T28" s="11602" t="n"/>
      <c r="U28" s="11602" t="n"/>
      <c r="V28" s="11602" t="n"/>
      <c r="W28" s="11602" t="n"/>
      <c r="X28" s="11602" t="n"/>
      <c r="Y28" s="11602" t="n"/>
      <c r="Z28" s="11602" t="n"/>
      <c r="AA28" s="11602" t="n"/>
      <c r="AB28" s="11602" t="n"/>
      <c r="AC28" s="11602" t="n"/>
      <c r="AD28" s="11602" t="n"/>
      <c r="AE28" s="11602" t="n"/>
      <c r="AF28" s="11602" t="n"/>
      <c r="AG28" s="11602" t="n"/>
      <c r="AH28" s="11602" t="n"/>
      <c r="AI28" s="11602" t="n"/>
      <c r="AJ28" s="11602" t="n"/>
      <c r="AK28" s="2013" t="n"/>
      <c r="AO28" s="2029" t="n"/>
      <c r="BA28" s="2029" t="n"/>
      <c r="BE28" s="2028" t="n"/>
      <c r="BF28" s="433" t="n"/>
    </row>
    <row r="29" ht="13.5" customFormat="1" customHeight="1" s="7970">
      <c r="A29" s="2013" t="n"/>
      <c r="B29" s="11602" t="n"/>
      <c r="C29" s="11602" t="n"/>
      <c r="D29" s="8650" t="inlineStr">
        <is>
          <t>maintained a second household at that address.</t>
        </is>
      </c>
      <c r="E29" s="11602" t="n"/>
      <c r="F29" s="11602" t="n"/>
      <c r="G29" s="11602" t="n"/>
      <c r="H29" s="11602" t="n"/>
      <c r="I29" s="11602" t="n"/>
      <c r="J29" s="11602" t="n"/>
      <c r="K29" s="11602" t="n"/>
      <c r="L29" s="11602" t="n"/>
      <c r="M29" s="11602" t="n"/>
      <c r="N29" s="11602" t="n"/>
      <c r="O29" s="11602" t="n"/>
      <c r="P29" s="11602" t="n"/>
      <c r="Q29" s="9767" t="n"/>
      <c r="R29" s="11730" t="n"/>
      <c r="S29" s="11730" t="n"/>
      <c r="T29" s="11730" t="n"/>
      <c r="U29" s="11730" t="n"/>
      <c r="V29" s="11730" t="n"/>
      <c r="W29" s="11730" t="n"/>
      <c r="X29" s="11730" t="n"/>
      <c r="Y29" s="11730" t="n"/>
      <c r="Z29" s="11730" t="n"/>
      <c r="AA29" s="11730" t="n"/>
      <c r="AB29" s="11730" t="n"/>
      <c r="AC29" s="11730" t="n"/>
      <c r="AD29" s="11730" t="n"/>
      <c r="AE29" s="11730" t="n"/>
      <c r="AF29" s="11730" t="n"/>
      <c r="AG29" s="11730" t="n"/>
      <c r="AH29" s="11730" t="n"/>
      <c r="AI29" s="11730" t="n"/>
      <c r="AJ29" s="11730" t="n"/>
      <c r="AK29" s="2013" t="n"/>
      <c r="AL29" s="2014" t="n"/>
      <c r="AM29" s="2014" t="n"/>
      <c r="AN29" s="2028" t="n"/>
      <c r="AO29" s="2029" t="n"/>
      <c r="AP29" s="2014" t="n"/>
      <c r="AQ29" s="658" t="n"/>
      <c r="AR29" s="658" t="n"/>
      <c r="AS29" s="658" t="n"/>
      <c r="AT29" s="658" t="n"/>
      <c r="AU29" s="658" t="n"/>
      <c r="AV29" s="658" t="n"/>
      <c r="AW29" s="658" t="n"/>
      <c r="AX29" s="658" t="n"/>
      <c r="AY29" s="658" t="n"/>
      <c r="AZ29" s="2028" t="n"/>
      <c r="BA29" s="2029" t="n"/>
      <c r="BB29" s="2014" t="n"/>
      <c r="BC29" s="2014" t="n"/>
      <c r="BD29" s="2014" t="n"/>
      <c r="BE29" s="2014" t="n"/>
      <c r="BF29" s="2014" t="n"/>
      <c r="BG29" s="2014" t="n"/>
      <c r="BH29" s="2014" t="n"/>
      <c r="BI29" s="2014" t="n"/>
      <c r="BJ29" s="2014" t="n"/>
      <c r="BK29" s="2014" t="n"/>
      <c r="BL29" s="2014" t="n"/>
      <c r="BM29" s="2014" t="n"/>
      <c r="BN29" s="2014" t="n"/>
      <c r="BO29" s="2014" t="n"/>
      <c r="BP29" s="2014" t="n"/>
      <c r="BQ29" s="2014" t="n"/>
      <c r="BR29" s="2014" t="n"/>
      <c r="BS29" s="2014" t="n"/>
      <c r="BT29" s="2014" t="n"/>
      <c r="BU29" s="2014" t="n"/>
      <c r="BV29" s="2014" t="n"/>
      <c r="BW29" s="2014" t="n"/>
    </row>
    <row r="30" ht="15" customFormat="1" customHeight="1" s="7970">
      <c r="A30" s="2013" t="n"/>
      <c r="B30" s="11602" t="n"/>
      <c r="C30" s="7861" t="inlineStr">
        <is>
          <t>9</t>
        </is>
      </c>
      <c r="D30" s="11602" t="inlineStr">
        <is>
          <t>List your tax home(s) during your tax year and date(s) established.</t>
        </is>
      </c>
      <c r="E30" s="11602" t="n"/>
      <c r="F30" s="11602" t="n"/>
      <c r="G30" s="11602" t="n"/>
      <c r="H30" s="11602" t="n"/>
      <c r="I30" s="11602" t="n"/>
      <c r="J30" s="11602" t="n"/>
      <c r="K30" s="11602" t="n"/>
      <c r="L30" s="11602" t="n"/>
      <c r="M30" s="11602" t="n"/>
      <c r="N30" s="11602" t="n"/>
      <c r="O30" s="11602" t="n"/>
      <c r="P30" s="11602" t="n"/>
      <c r="Q30" s="11602" t="n"/>
      <c r="R30" s="11602" t="n"/>
      <c r="S30" s="11602" t="n"/>
      <c r="T30" s="9877" t="n"/>
      <c r="U30" s="12030" t="n"/>
      <c r="V30" s="12030" t="n"/>
      <c r="W30" s="12030" t="n"/>
      <c r="X30" s="12030" t="n"/>
      <c r="Y30" s="12030" t="n"/>
      <c r="Z30" s="12030" t="n"/>
      <c r="AA30" s="12030" t="n"/>
      <c r="AB30" s="12030" t="n"/>
      <c r="AC30" s="12030" t="n"/>
      <c r="AD30" s="12030" t="n"/>
      <c r="AE30" s="12030" t="n"/>
      <c r="AF30" s="12030" t="n"/>
      <c r="AG30" s="12030" t="n"/>
      <c r="AH30" s="12030" t="n"/>
      <c r="AI30" s="12030" t="n"/>
      <c r="AJ30" s="12030" t="n"/>
      <c r="AK30" s="2013" t="n"/>
      <c r="AL30" s="2014" t="n"/>
      <c r="AM30" s="2014" t="n"/>
      <c r="AN30" s="2014" t="n"/>
      <c r="AO30" s="2029" t="n"/>
      <c r="AP30" s="2014" t="n"/>
      <c r="AQ30" s="658" t="n"/>
      <c r="AR30" s="658" t="n"/>
      <c r="AS30" s="658" t="n"/>
      <c r="AT30" s="658" t="n"/>
      <c r="AU30" s="658" t="n"/>
      <c r="AV30" s="658" t="n"/>
      <c r="AW30" s="658" t="n"/>
      <c r="AX30" s="658" t="n"/>
      <c r="AY30" s="658" t="n"/>
      <c r="AZ30" s="2014" t="n"/>
      <c r="BA30" s="2029" t="n"/>
      <c r="BB30" s="2014" t="n"/>
      <c r="BC30" s="2014" t="n"/>
      <c r="BD30" s="2014" t="n"/>
      <c r="BE30" s="2028" t="n"/>
      <c r="BF30" s="2028" t="n"/>
      <c r="BG30" s="2014" t="n"/>
      <c r="BH30" s="2014" t="n"/>
      <c r="BI30" s="2014" t="n"/>
      <c r="BJ30" s="2014" t="n"/>
      <c r="BK30" s="2014" t="n"/>
      <c r="BL30" s="2014" t="n"/>
      <c r="BM30" s="2014" t="n"/>
      <c r="BN30" s="2014" t="n"/>
      <c r="BO30" s="2014" t="n"/>
      <c r="BP30" s="2014" t="n"/>
      <c r="BQ30" s="2014" t="n"/>
      <c r="BR30" s="2014" t="n"/>
      <c r="BS30" s="2014" t="n"/>
      <c r="BT30" s="2014" t="n"/>
      <c r="BU30" s="2014" t="n"/>
      <c r="BV30" s="2014" t="n"/>
      <c r="BW30" s="2014" t="n"/>
    </row>
    <row r="31" customFormat="1" s="7970">
      <c r="A31" s="2013" t="n"/>
      <c r="B31" s="413" t="n"/>
      <c r="C31" s="413" t="n"/>
      <c r="D31" s="9860" t="n"/>
      <c r="E31" s="11717" t="n"/>
      <c r="F31" s="11717" t="n"/>
      <c r="G31" s="11717" t="n"/>
      <c r="H31" s="11717" t="n"/>
      <c r="I31" s="11717" t="n"/>
      <c r="J31" s="11717" t="n"/>
      <c r="K31" s="11717" t="n"/>
      <c r="L31" s="11717" t="n"/>
      <c r="M31" s="11717" t="n"/>
      <c r="N31" s="11717" t="n"/>
      <c r="O31" s="11717" t="n"/>
      <c r="P31" s="11717" t="n"/>
      <c r="Q31" s="11717" t="n"/>
      <c r="R31" s="11717" t="n"/>
      <c r="S31" s="11717" t="n"/>
      <c r="T31" s="11717" t="n"/>
      <c r="U31" s="11717" t="n"/>
      <c r="V31" s="11717" t="n"/>
      <c r="W31" s="11717" t="n"/>
      <c r="X31" s="11717" t="n"/>
      <c r="Y31" s="11717" t="n"/>
      <c r="Z31" s="11717" t="n"/>
      <c r="AA31" s="11717" t="n"/>
      <c r="AB31" s="11717" t="n"/>
      <c r="AC31" s="11717" t="n"/>
      <c r="AD31" s="11717" t="n"/>
      <c r="AE31" s="11717" t="n"/>
      <c r="AF31" s="11717" t="n"/>
      <c r="AG31" s="11717" t="n"/>
      <c r="AH31" s="11717" t="n"/>
      <c r="AI31" s="11717" t="n"/>
      <c r="AJ31" s="11717" t="n"/>
      <c r="AK31" s="2013" t="n"/>
      <c r="AL31" s="2014" t="n"/>
      <c r="AM31" s="12432" t="n"/>
      <c r="AN31" s="2014" t="n"/>
      <c r="AO31" s="2029" t="n"/>
      <c r="AP31" s="2014" t="n"/>
      <c r="AQ31" s="658" t="n"/>
      <c r="AR31" s="658" t="n"/>
      <c r="AS31" s="658" t="n"/>
      <c r="AT31" s="658" t="n"/>
      <c r="AU31" s="658" t="n"/>
      <c r="AV31" s="658" t="n"/>
      <c r="AW31" s="658" t="n"/>
      <c r="AX31" s="658" t="n"/>
      <c r="AY31" s="658" t="n"/>
      <c r="AZ31" s="2014" t="n"/>
      <c r="BA31" s="2029" t="n"/>
      <c r="BB31" s="2014" t="n"/>
      <c r="BC31" s="2014" t="n"/>
      <c r="BD31" s="2014" t="n"/>
      <c r="BE31" s="2028" t="n"/>
      <c r="BF31" s="433" t="n"/>
      <c r="BG31" s="2014" t="n"/>
      <c r="BH31" s="2014" t="n"/>
      <c r="BI31" s="2014" t="n"/>
      <c r="BJ31" s="2014" t="n"/>
      <c r="BK31" s="2014" t="n"/>
      <c r="BL31" s="2014" t="n"/>
      <c r="BM31" s="2014" t="n"/>
      <c r="BN31" s="2014" t="n"/>
      <c r="BO31" s="2014" t="n"/>
      <c r="BP31" s="2014" t="n"/>
      <c r="BQ31" s="2014" t="n"/>
      <c r="BR31" s="2014" t="n"/>
      <c r="BS31" s="2014" t="n"/>
      <c r="BT31" s="2014" t="n"/>
      <c r="BU31" s="2014" t="n"/>
      <c r="BV31" s="2014" t="n"/>
      <c r="BW31" s="2014" t="n"/>
    </row>
    <row r="32" ht="6" customFormat="1" customHeight="1" s="7970">
      <c r="A32" s="2013" t="n"/>
      <c r="B32" s="2033" t="n"/>
      <c r="C32" s="2033" t="n"/>
      <c r="D32" s="2033" t="n"/>
      <c r="E32" s="2033" t="n"/>
      <c r="F32" s="2033" t="n"/>
      <c r="G32" s="2033" t="n"/>
      <c r="H32" s="2033" t="n"/>
      <c r="I32" s="2033" t="n"/>
      <c r="J32" s="2033" t="n"/>
      <c r="K32" s="2033" t="n"/>
      <c r="L32" s="2033" t="n"/>
      <c r="M32" s="2033" t="n"/>
      <c r="N32" s="2033" t="n"/>
      <c r="O32" s="2033" t="n"/>
      <c r="P32" s="2033" t="n"/>
      <c r="Q32" s="2033" t="n"/>
      <c r="R32" s="2033" t="n"/>
      <c r="S32" s="2033" t="n"/>
      <c r="T32" s="2033" t="n"/>
      <c r="U32" s="2033" t="n"/>
      <c r="V32" s="2033" t="n"/>
      <c r="W32" s="2033" t="n"/>
      <c r="X32" s="2033" t="n"/>
      <c r="Y32" s="2033" t="n"/>
      <c r="Z32" s="2033" t="n"/>
      <c r="AA32" s="2033" t="n"/>
      <c r="AB32" s="2033" t="n"/>
      <c r="AC32" s="2033" t="n"/>
      <c r="AD32" s="2033" t="n"/>
      <c r="AE32" s="2033" t="n"/>
      <c r="AF32" s="2033" t="n"/>
      <c r="AG32" s="2033" t="n"/>
      <c r="AH32" s="2033" t="n"/>
      <c r="AI32" s="2033" t="n"/>
      <c r="AJ32" s="2033" t="n"/>
      <c r="AK32" s="2013" t="n"/>
      <c r="AL32" s="2014" t="n"/>
      <c r="AM32" s="2034" t="n"/>
      <c r="AN32" s="2014" t="n"/>
      <c r="AO32" s="2029" t="n"/>
      <c r="AP32" s="2014" t="n"/>
      <c r="AQ32" s="658" t="n"/>
      <c r="AR32" s="658" t="n"/>
      <c r="AS32" s="658" t="n"/>
      <c r="AT32" s="658" t="n"/>
      <c r="AU32" s="658" t="n"/>
      <c r="AV32" s="658" t="n"/>
      <c r="AW32" s="658" t="n"/>
      <c r="AX32" s="658" t="n"/>
      <c r="AY32" s="658" t="n"/>
      <c r="AZ32" s="2014" t="n"/>
      <c r="BA32" s="2029" t="n"/>
      <c r="BB32" s="2014" t="n"/>
      <c r="BC32" s="2014" t="n"/>
      <c r="BD32" s="2014" t="n"/>
      <c r="BE32" s="2014" t="n"/>
      <c r="BF32" s="2014" t="n"/>
      <c r="BG32" s="2014" t="n"/>
      <c r="BH32" s="2014" t="n"/>
      <c r="BI32" s="2014" t="n"/>
      <c r="BJ32" s="2014" t="n"/>
      <c r="BK32" s="2014" t="n"/>
      <c r="BL32" s="2014" t="n"/>
      <c r="BM32" s="2014" t="n"/>
      <c r="BN32" s="2014" t="n"/>
      <c r="BO32" s="2014" t="n"/>
      <c r="BP32" s="2014" t="n"/>
      <c r="BQ32" s="2014" t="n"/>
      <c r="BR32" s="2014" t="n"/>
      <c r="BS32" s="2014" t="n"/>
      <c r="BT32" s="2014" t="n"/>
      <c r="BU32" s="2014" t="n"/>
      <c r="BV32" s="2014" t="n"/>
      <c r="BW32" s="2014" t="n"/>
    </row>
    <row r="33" ht="15.75" customFormat="1" customHeight="1" s="7970">
      <c r="A33" s="2013" t="n"/>
      <c r="B33" s="8296" t="inlineStr">
        <is>
          <t>Next, complete either Part II or Part III. If an item doesn't apply, enter “N/A.” If you don't give</t>
        </is>
      </c>
      <c r="AK33" s="2013" t="n"/>
      <c r="AL33" s="2014" t="n"/>
      <c r="AM33" s="12432" t="n"/>
      <c r="AN33" s="2028" t="n"/>
      <c r="AO33" s="2029" t="n"/>
      <c r="AP33" s="2014" t="n"/>
      <c r="AQ33" s="658" t="n"/>
      <c r="AR33" s="658" t="n"/>
      <c r="AS33" s="658" t="n"/>
      <c r="AT33" s="658" t="n"/>
      <c r="AU33" s="658" t="n"/>
      <c r="AV33" s="658" t="n"/>
      <c r="AW33" s="658" t="n"/>
      <c r="AX33" s="658" t="n"/>
      <c r="AY33" s="658" t="n"/>
      <c r="AZ33" s="2028" t="n"/>
      <c r="BA33" s="2029" t="n"/>
      <c r="BB33" s="2014" t="n"/>
      <c r="BC33" s="2014" t="n"/>
      <c r="BD33" s="2014" t="n"/>
      <c r="BE33" s="2014" t="n"/>
      <c r="BF33" s="2014" t="n"/>
      <c r="BG33" s="2014" t="n"/>
      <c r="BH33" s="2014" t="n"/>
      <c r="BI33" s="2014" t="n"/>
      <c r="BJ33" s="2014" t="n"/>
      <c r="BK33" s="2014" t="n"/>
      <c r="BL33" s="2014" t="n"/>
      <c r="BM33" s="2014" t="n"/>
      <c r="BN33" s="2014" t="n"/>
      <c r="BO33" s="2014" t="n"/>
      <c r="BP33" s="2014" t="n"/>
      <c r="BQ33" s="2014" t="n"/>
      <c r="BR33" s="2014" t="n"/>
      <c r="BS33" s="2014" t="n"/>
      <c r="BT33" s="2014" t="n"/>
      <c r="BU33" s="2014" t="n"/>
      <c r="BV33" s="2014" t="n"/>
      <c r="BW33" s="2014" t="n"/>
    </row>
    <row r="34" ht="15.75" customFormat="1" customHeight="1" s="7970">
      <c r="A34" s="2013" t="n"/>
      <c r="B34" s="8296" t="inlineStr">
        <is>
          <t>the information asked for, any exclusion or deduction you claim may be disallowed.</t>
        </is>
      </c>
      <c r="AK34" s="2013" t="n"/>
      <c r="AL34" s="2014" t="n"/>
      <c r="AM34" s="12432" t="n"/>
      <c r="AN34" s="2028" t="n"/>
      <c r="AO34" s="2029" t="n"/>
      <c r="AP34" s="2014" t="n"/>
      <c r="AQ34" s="658" t="n"/>
      <c r="AR34" s="658" t="n"/>
      <c r="AS34" s="658" t="n"/>
      <c r="AT34" s="658" t="n"/>
      <c r="AU34" s="658" t="n"/>
      <c r="AV34" s="658" t="n"/>
      <c r="AW34" s="658" t="n"/>
      <c r="AX34" s="658" t="n"/>
      <c r="AY34" s="658" t="n"/>
      <c r="AZ34" s="2028" t="n"/>
      <c r="BA34" s="2029" t="n"/>
      <c r="BB34" s="2014" t="n"/>
      <c r="BC34" s="2014" t="n"/>
      <c r="BD34" s="2014" t="n"/>
      <c r="BE34" s="2014" t="n"/>
      <c r="BF34" s="2014" t="n"/>
      <c r="BG34" s="2014" t="n"/>
      <c r="BH34" s="2014" t="n"/>
      <c r="BI34" s="2014" t="n"/>
      <c r="BJ34" s="2014" t="n"/>
      <c r="BK34" s="2014" t="n"/>
      <c r="BL34" s="2014" t="n"/>
      <c r="BM34" s="2014" t="n"/>
      <c r="BN34" s="2014" t="n"/>
      <c r="BO34" s="2014" t="n"/>
      <c r="BP34" s="2014" t="n"/>
      <c r="BQ34" s="2014" t="n"/>
      <c r="BR34" s="2014" t="n"/>
      <c r="BS34" s="2014" t="n"/>
      <c r="BT34" s="2014" t="n"/>
      <c r="BU34" s="2014" t="n"/>
      <c r="BV34" s="2014" t="n"/>
      <c r="BW34" s="2014" t="n"/>
    </row>
    <row r="35" ht="6" customFormat="1" customHeight="1" s="7970">
      <c r="A35" s="2013" t="n"/>
      <c r="B35" s="11602" t="n"/>
      <c r="C35" s="11602" t="n"/>
      <c r="D35" s="11602" t="n"/>
      <c r="E35" s="11602" t="n"/>
      <c r="F35" s="11602" t="n"/>
      <c r="G35" s="11602" t="n"/>
      <c r="H35" s="11602" t="n"/>
      <c r="I35" s="11602" t="n"/>
      <c r="J35" s="11602" t="n"/>
      <c r="K35" s="11602" t="n"/>
      <c r="L35" s="11602" t="n"/>
      <c r="M35" s="11602" t="n"/>
      <c r="N35" s="11602" t="n"/>
      <c r="O35" s="11602" t="n"/>
      <c r="P35" s="11602" t="n"/>
      <c r="Q35" s="11602" t="n"/>
      <c r="R35" s="11602" t="n"/>
      <c r="S35" s="11602" t="n"/>
      <c r="T35" s="11602" t="n"/>
      <c r="U35" s="11602" t="n"/>
      <c r="V35" s="11602" t="n"/>
      <c r="W35" s="11602" t="n"/>
      <c r="X35" s="11602" t="n"/>
      <c r="Y35" s="11602" t="n"/>
      <c r="Z35" s="11602" t="n"/>
      <c r="AA35" s="11602" t="n"/>
      <c r="AB35" s="11602" t="n"/>
      <c r="AC35" s="11602" t="n"/>
      <c r="AD35" s="11602" t="n"/>
      <c r="AE35" s="11602" t="n"/>
      <c r="AF35" s="11602" t="n"/>
      <c r="AG35" s="11602" t="n"/>
      <c r="AH35" s="11602" t="n"/>
      <c r="AI35" s="11602" t="n"/>
      <c r="AJ35" s="11602" t="n"/>
      <c r="AK35" s="2013" t="n"/>
      <c r="AL35" s="2014" t="n"/>
      <c r="AM35" s="2014" t="n"/>
      <c r="AN35" s="2014" t="n"/>
      <c r="AO35" s="2035" t="n"/>
      <c r="AP35" s="2014" t="n"/>
      <c r="AQ35" s="658" t="n"/>
      <c r="AR35" s="658" t="n"/>
      <c r="AS35" s="658" t="n"/>
      <c r="AT35" s="658" t="n"/>
      <c r="AU35" s="658" t="n"/>
      <c r="AV35" s="658" t="n"/>
      <c r="AW35" s="658" t="n"/>
      <c r="AX35" s="658" t="n"/>
      <c r="AY35" s="658" t="n"/>
      <c r="AZ35" s="2014" t="n"/>
      <c r="BA35" s="2035" t="n"/>
      <c r="BB35" s="2014" t="n"/>
      <c r="BC35" s="2014" t="n"/>
      <c r="BD35" s="2014" t="n"/>
      <c r="BE35" s="2028" t="n"/>
      <c r="BF35" s="433" t="n"/>
      <c r="BG35" s="2014" t="n"/>
      <c r="BH35" s="2014" t="n"/>
      <c r="BI35" s="2014" t="n"/>
      <c r="BJ35" s="2014" t="n"/>
      <c r="BK35" s="2014" t="n"/>
      <c r="BL35" s="2014" t="n"/>
      <c r="BM35" s="2014" t="n"/>
      <c r="BN35" s="2014" t="n"/>
      <c r="BO35" s="2014" t="n"/>
      <c r="BP35" s="2014" t="n"/>
      <c r="BQ35" s="2014" t="n"/>
      <c r="BR35" s="2014" t="n"/>
      <c r="BS35" s="2014" t="n"/>
      <c r="BT35" s="2014" t="n"/>
      <c r="BU35" s="2014" t="n"/>
      <c r="BV35" s="2014" t="n"/>
      <c r="BW35" s="2014" t="n"/>
    </row>
    <row r="36" ht="5.25" customHeight="1" s="7635">
      <c r="A36" s="2013" t="n"/>
      <c r="B36" s="2036" t="n"/>
      <c r="C36" s="2036" t="n"/>
      <c r="D36" s="2036" t="n"/>
      <c r="E36" s="2036" t="n"/>
      <c r="F36" s="2036" t="n"/>
      <c r="G36" s="2036" t="n"/>
      <c r="H36" s="2036" t="n"/>
      <c r="I36" s="2036" t="n"/>
      <c r="J36" s="2036" t="n"/>
      <c r="K36" s="2036" t="n"/>
      <c r="L36" s="2036" t="n"/>
      <c r="M36" s="2036" t="n"/>
      <c r="N36" s="2036" t="n"/>
      <c r="O36" s="2036" t="n"/>
      <c r="P36" s="2036" t="n"/>
      <c r="Q36" s="2036" t="n"/>
      <c r="R36" s="2036" t="n"/>
      <c r="S36" s="2036" t="n"/>
      <c r="T36" s="2036" t="n"/>
      <c r="U36" s="2036" t="n"/>
      <c r="V36" s="2036" t="n"/>
      <c r="W36" s="2036" t="n"/>
      <c r="X36" s="2036" t="n"/>
      <c r="Y36" s="2036" t="n"/>
      <c r="Z36" s="2036" t="n"/>
      <c r="AA36" s="2036" t="n"/>
      <c r="AB36" s="2036" t="n"/>
      <c r="AC36" s="2036" t="n"/>
      <c r="AD36" s="2036" t="n"/>
      <c r="AE36" s="2036" t="n"/>
      <c r="AF36" s="2036" t="n"/>
      <c r="AG36" s="2036" t="n"/>
      <c r="AH36" s="2036" t="n"/>
      <c r="AI36" s="2036" t="n"/>
      <c r="AJ36" s="2036" t="n"/>
      <c r="AK36" s="2013" t="n"/>
    </row>
    <row r="37" ht="15" customHeight="1" s="7635">
      <c r="A37" s="2013" t="n"/>
      <c r="B37" s="9775" t="inlineStr">
        <is>
          <t>Part II</t>
        </is>
      </c>
      <c r="C37" s="8412" t="n"/>
      <c r="D37" s="2037" t="inlineStr">
        <is>
          <t>Taxpayers Qualifying Under Bona Fide Residence Test</t>
        </is>
      </c>
      <c r="E37" s="1990" t="n"/>
      <c r="F37" s="1990" t="n"/>
      <c r="G37" s="1990" t="n"/>
      <c r="H37" s="1990" t="n"/>
      <c r="I37" s="1990" t="n"/>
      <c r="J37" s="1990" t="n"/>
      <c r="K37" s="1990" t="n"/>
      <c r="L37" s="1990" t="n"/>
      <c r="M37" s="1990" t="n"/>
      <c r="N37" s="1990" t="n"/>
      <c r="O37" s="1990" t="n"/>
      <c r="P37" s="1990" t="n"/>
      <c r="Q37" s="1990" t="n"/>
      <c r="R37" s="1990" t="n"/>
      <c r="S37" s="1990" t="n"/>
      <c r="T37" s="1990" t="n"/>
      <c r="U37" s="1990" t="n"/>
      <c r="V37" s="1990" t="n"/>
      <c r="W37" s="1990" t="n"/>
      <c r="X37" s="1990" t="n"/>
      <c r="Y37" s="1990" t="n"/>
      <c r="Z37" s="1990" t="n"/>
      <c r="AA37" s="1990" t="n"/>
      <c r="AB37" s="1990" t="n"/>
      <c r="AC37" s="1990" t="n"/>
      <c r="AD37" s="1990" t="n"/>
      <c r="AE37" s="1990" t="n"/>
      <c r="AF37" s="1990" t="n"/>
      <c r="AG37" s="1990" t="n"/>
      <c r="AH37" s="1990" t="n"/>
      <c r="AI37" s="1990" t="n"/>
      <c r="AJ37" s="1990" t="n"/>
      <c r="AK37" s="2013" t="n"/>
    </row>
    <row r="38" ht="15.75" customHeight="1" s="7635">
      <c r="A38" s="2013" t="n"/>
      <c r="B38" s="1990" t="n"/>
      <c r="C38" s="1990" t="n"/>
      <c r="D38" s="1990" t="n"/>
      <c r="E38" s="9847" t="inlineStr">
        <is>
          <t>Note: Only U.S. citizens and resident aliens who are citizens or nationals of U.S. treaty countries can use this</t>
        </is>
      </c>
      <c r="AK38" s="2013" t="n"/>
    </row>
    <row r="39" ht="15.75" customHeight="1" s="7635">
      <c r="A39" s="2013" t="n"/>
      <c r="B39" s="1999" t="n"/>
      <c r="C39" s="1999" t="n"/>
      <c r="D39" s="1999" t="n"/>
      <c r="E39" s="10157" t="inlineStr">
        <is>
          <t>test. See instructions.</t>
        </is>
      </c>
      <c r="F39" s="10567" t="n"/>
      <c r="G39" s="10567" t="n"/>
      <c r="H39" s="10567" t="n"/>
      <c r="I39" s="10567" t="n"/>
      <c r="J39" s="10567" t="n"/>
      <c r="K39" s="10567" t="n"/>
      <c r="L39" s="10567" t="n"/>
      <c r="M39" s="10567" t="n"/>
      <c r="N39" s="10567" t="n"/>
      <c r="O39" s="10567" t="n"/>
      <c r="P39" s="10567" t="n"/>
      <c r="Q39" s="10567" t="n"/>
      <c r="R39" s="10567" t="n"/>
      <c r="S39" s="10567" t="n"/>
      <c r="T39" s="10567" t="n"/>
      <c r="U39" s="10567" t="n"/>
      <c r="V39" s="10567" t="n"/>
      <c r="W39" s="10567" t="n"/>
      <c r="X39" s="10567" t="n"/>
      <c r="Y39" s="10567" t="n"/>
      <c r="Z39" s="10567" t="n"/>
      <c r="AA39" s="10567" t="n"/>
      <c r="AB39" s="10567" t="n"/>
      <c r="AC39" s="10567" t="n"/>
      <c r="AD39" s="10567" t="n"/>
      <c r="AE39" s="10567" t="n"/>
      <c r="AF39" s="10567" t="n"/>
      <c r="AG39" s="10567" t="n"/>
      <c r="AH39" s="10567" t="n"/>
      <c r="AI39" s="10567" t="n"/>
      <c r="AJ39" s="10567" t="n"/>
      <c r="AK39" s="2013" t="n"/>
    </row>
    <row r="40" ht="13.5" customFormat="1" customHeight="1" s="7970">
      <c r="A40" s="2013" t="n"/>
      <c r="B40" s="11602" t="n"/>
      <c r="C40" s="7861" t="inlineStr">
        <is>
          <t>10</t>
        </is>
      </c>
      <c r="D40" s="344" t="inlineStr">
        <is>
          <t>Date bona fide residence began</t>
        </is>
      </c>
      <c r="E40" s="11602" t="n"/>
      <c r="F40" s="11602" t="n"/>
      <c r="G40" s="11602" t="n"/>
      <c r="H40" s="11602" t="n"/>
      <c r="I40" s="11602" t="n"/>
      <c r="J40" s="11602" t="n"/>
      <c r="K40" s="11602" t="n"/>
      <c r="L40" s="12433" t="n"/>
      <c r="M40" s="11730" t="n"/>
      <c r="N40" s="11730" t="n"/>
      <c r="O40" s="11730" t="n"/>
      <c r="P40" s="11730" t="n"/>
      <c r="Q40" s="11730" t="n"/>
      <c r="R40" s="11730" t="n"/>
      <c r="S40" s="11730" t="n"/>
      <c r="T40" s="11730" t="n"/>
      <c r="U40" s="344" t="inlineStr">
        <is>
          <t>, and ended</t>
        </is>
      </c>
      <c r="V40" s="11602" t="n"/>
      <c r="W40" s="11602" t="n"/>
      <c r="X40" s="11602" t="n"/>
      <c r="Y40" s="12433" t="n"/>
      <c r="Z40" s="11730" t="n"/>
      <c r="AA40" s="11730" t="n"/>
      <c r="AB40" s="11730" t="n"/>
      <c r="AC40" s="11730" t="n"/>
      <c r="AD40" s="11730" t="n"/>
      <c r="AE40" s="11730" t="n"/>
      <c r="AF40" s="11730" t="n"/>
      <c r="AG40" s="11730" t="n"/>
      <c r="AH40" s="11730" t="n"/>
      <c r="AI40" s="11730" t="n"/>
      <c r="AJ40" s="11730" t="n"/>
      <c r="AK40" s="2013" t="n"/>
      <c r="AL40" s="2014" t="n"/>
      <c r="AM40" s="2014" t="n"/>
      <c r="AN40" s="2014" t="n"/>
      <c r="AO40" s="2029" t="n"/>
      <c r="AP40" s="2014" t="n"/>
      <c r="AQ40" s="658" t="n"/>
      <c r="AR40" s="658" t="n"/>
      <c r="AS40" s="658" t="n"/>
      <c r="AT40" s="658" t="n"/>
      <c r="AU40" s="658" t="n"/>
      <c r="AV40" s="658" t="n"/>
      <c r="AW40" s="658" t="n"/>
      <c r="AX40" s="658" t="n"/>
      <c r="AY40" s="658" t="n"/>
      <c r="AZ40" s="2014" t="n"/>
      <c r="BA40" s="2029" t="n"/>
      <c r="BB40" s="2014" t="n"/>
      <c r="BC40" s="2014" t="n"/>
      <c r="BD40" s="2014" t="n"/>
      <c r="BE40" s="2014" t="n"/>
      <c r="BF40" s="2014" t="n"/>
      <c r="BG40" s="2014" t="n"/>
      <c r="BH40" s="2014" t="n"/>
      <c r="BI40" s="2014" t="n"/>
      <c r="BJ40" s="2014" t="n"/>
      <c r="BK40" s="2014" t="n"/>
      <c r="BL40" s="2014" t="n"/>
      <c r="BM40" s="2014" t="n"/>
      <c r="BN40" s="2014" t="n"/>
      <c r="BO40" s="2014" t="n"/>
      <c r="BP40" s="2014" t="n"/>
      <c r="BQ40" s="2014" t="n"/>
      <c r="BR40" s="2014" t="n"/>
      <c r="BS40" s="2014" t="n"/>
      <c r="BT40" s="2014" t="n"/>
      <c r="BU40" s="2014" t="n"/>
      <c r="BV40" s="2014" t="n"/>
      <c r="BW40" s="2014" t="n"/>
    </row>
    <row r="41" ht="5.25" customHeight="1" s="7635" thickBot="1">
      <c r="A41" s="2013" t="n"/>
      <c r="B41" s="11602" t="n"/>
      <c r="C41" s="11602" t="n"/>
      <c r="D41" s="11602" t="n"/>
      <c r="E41" s="11602" t="n"/>
      <c r="F41" s="11602" t="n"/>
      <c r="G41" s="11602" t="n"/>
      <c r="H41" s="11602" t="n"/>
      <c r="I41" s="11602" t="n"/>
      <c r="J41" s="11602" t="n"/>
      <c r="K41" s="11602" t="n"/>
      <c r="L41" s="11602" t="n"/>
      <c r="M41" s="11602" t="n"/>
      <c r="N41" s="11602" t="n"/>
      <c r="O41" s="11602" t="n"/>
      <c r="P41" s="11602" t="n"/>
      <c r="Q41" s="11602" t="n"/>
      <c r="R41" s="11602" t="n"/>
      <c r="S41" s="11602" t="n"/>
      <c r="T41" s="11602" t="n"/>
      <c r="U41" s="11602" t="n"/>
      <c r="V41" s="11602" t="n"/>
      <c r="W41" s="11602" t="n"/>
      <c r="X41" s="11602" t="n"/>
      <c r="Y41" s="11602" t="n"/>
      <c r="Z41" s="11602" t="n"/>
      <c r="AA41" s="11602" t="n"/>
      <c r="AB41" s="11602" t="n"/>
      <c r="AC41" s="11602" t="n"/>
      <c r="AD41" s="11602" t="n"/>
      <c r="AE41" s="11602" t="n"/>
      <c r="AF41" s="11602" t="n"/>
      <c r="AG41" s="11602" t="n"/>
      <c r="AH41" s="11602" t="n"/>
      <c r="AI41" s="11602" t="n"/>
      <c r="AJ41" s="11602" t="n"/>
      <c r="AK41" s="2013" t="n"/>
      <c r="BL41" s="2027" t="n"/>
      <c r="BM41" s="2027" t="n"/>
      <c r="BO41" s="2027" t="n"/>
      <c r="BP41" s="2027" t="n"/>
      <c r="BQ41" s="2027" t="n"/>
      <c r="BR41" s="2027" t="n"/>
      <c r="BS41" s="2027" t="n"/>
      <c r="BT41" s="2027" t="n"/>
      <c r="BU41" s="2027" t="n"/>
      <c r="BV41" s="2027" t="n"/>
    </row>
    <row r="42" ht="13.5" customFormat="1" customHeight="1" s="7970" thickBot="1">
      <c r="A42" s="2013" t="n"/>
      <c r="B42" s="11602" t="n"/>
      <c r="C42" s="7861" t="inlineStr">
        <is>
          <t>11</t>
        </is>
      </c>
      <c r="D42" s="344" t="inlineStr">
        <is>
          <t>Kind of living quarters in foreign country</t>
        </is>
      </c>
      <c r="E42" s="11602" t="n"/>
      <c r="F42" s="11602" t="n"/>
      <c r="G42" s="11602" t="n"/>
      <c r="H42" s="11602" t="n"/>
      <c r="I42" s="11602" t="n"/>
      <c r="J42" s="11602" t="n"/>
      <c r="K42" s="11602" t="n"/>
      <c r="L42" s="11602" t="n"/>
      <c r="M42" s="11602" t="n"/>
      <c r="N42" s="2039" t="inlineStr">
        <is>
          <t>a</t>
        </is>
      </c>
      <c r="O42" s="277" t="n"/>
      <c r="P42" s="344" t="inlineStr">
        <is>
          <t xml:space="preserve"> Purchased house</t>
        </is>
      </c>
      <c r="Q42" s="11602" t="n"/>
      <c r="R42" s="11602" t="n"/>
      <c r="S42" s="11602" t="n"/>
      <c r="T42" s="11602" t="n"/>
      <c r="U42" s="2039" t="inlineStr">
        <is>
          <t>b</t>
        </is>
      </c>
      <c r="V42" s="277" t="n"/>
      <c r="W42" s="344" t="inlineStr">
        <is>
          <t>Rented house or apartment</t>
        </is>
      </c>
      <c r="X42" s="11602" t="n"/>
      <c r="Y42" s="11602" t="n"/>
      <c r="Z42" s="11602" t="n"/>
      <c r="AA42" s="11602" t="n"/>
      <c r="AB42" s="11602" t="n"/>
      <c r="AC42" s="11602" t="n"/>
      <c r="AD42" s="2039" t="inlineStr">
        <is>
          <t>c</t>
        </is>
      </c>
      <c r="AE42" s="277" t="n"/>
      <c r="AF42" s="344" t="inlineStr">
        <is>
          <t>Rented room</t>
        </is>
      </c>
      <c r="AG42" s="11602" t="n"/>
      <c r="AH42" s="11602" t="n"/>
      <c r="AI42" s="11602" t="n"/>
      <c r="AJ42" s="11602" t="n"/>
      <c r="AK42" s="2013" t="n"/>
      <c r="AL42" s="2014" t="n"/>
      <c r="AM42" s="2014" t="n"/>
      <c r="AN42" s="2028" t="n"/>
      <c r="AO42" s="2029" t="n"/>
      <c r="AP42" s="2014" t="n"/>
      <c r="AQ42" s="658" t="n"/>
      <c r="AR42" s="658" t="n"/>
      <c r="AS42" s="658" t="n"/>
      <c r="AT42" s="658" t="n"/>
      <c r="AU42" s="658" t="n"/>
      <c r="AV42" s="658" t="n"/>
      <c r="AW42" s="658" t="n"/>
      <c r="AX42" s="658" t="n"/>
      <c r="AY42" s="658" t="n"/>
      <c r="AZ42" s="2028" t="n"/>
      <c r="BA42" s="2029" t="n"/>
      <c r="BB42" s="2014" t="n"/>
      <c r="BC42" s="2014" t="n"/>
      <c r="BD42" s="2014" t="n"/>
      <c r="BE42" s="2014" t="n"/>
      <c r="BF42" s="2028" t="n"/>
      <c r="BG42" s="2040" t="n"/>
      <c r="BH42" s="2014" t="n"/>
      <c r="BI42" s="2014" t="n"/>
      <c r="BJ42" s="2014" t="n"/>
      <c r="BK42" s="2014" t="n"/>
      <c r="BL42" s="2014" t="n"/>
      <c r="BM42" s="2014" t="n"/>
      <c r="BN42" s="2014" t="n"/>
      <c r="BO42" s="2014" t="n"/>
      <c r="BP42" s="2014" t="n"/>
      <c r="BQ42" s="2014" t="n"/>
      <c r="BR42" s="2014" t="n"/>
      <c r="BS42" s="2014" t="n"/>
      <c r="BT42" s="2014" t="n"/>
      <c r="BU42" s="2014" t="n"/>
      <c r="BV42" s="2014" t="n"/>
      <c r="BW42" s="2014" t="n"/>
    </row>
    <row r="43" ht="5.25" customFormat="1" customHeight="1" s="7970" thickBot="1">
      <c r="A43" s="2013" t="n"/>
      <c r="B43" s="11602" t="n"/>
      <c r="C43" s="11602" t="n"/>
      <c r="D43" s="11602" t="n"/>
      <c r="E43" s="11602" t="n"/>
      <c r="F43" s="11602" t="n"/>
      <c r="G43" s="11602" t="n"/>
      <c r="H43" s="11602" t="n"/>
      <c r="I43" s="11602" t="n"/>
      <c r="J43" s="11602" t="n"/>
      <c r="K43" s="11602" t="n"/>
      <c r="L43" s="11602" t="n"/>
      <c r="M43" s="11602" t="n"/>
      <c r="N43" s="11602" t="n"/>
      <c r="O43" s="11602" t="n"/>
      <c r="P43" s="11602" t="n"/>
      <c r="Q43" s="11602" t="n"/>
      <c r="R43" s="11602" t="n"/>
      <c r="S43" s="11602" t="n"/>
      <c r="T43" s="11602" t="n"/>
      <c r="U43" s="11602" t="n"/>
      <c r="V43" s="11602" t="n"/>
      <c r="W43" s="11602" t="n"/>
      <c r="X43" s="11602" t="n"/>
      <c r="Y43" s="11602" t="n"/>
      <c r="Z43" s="11602" t="n"/>
      <c r="AA43" s="11602" t="n"/>
      <c r="AB43" s="11602" t="n"/>
      <c r="AC43" s="11602" t="n"/>
      <c r="AD43" s="11602" t="n"/>
      <c r="AE43" s="11602" t="n"/>
      <c r="AF43" s="11602" t="n"/>
      <c r="AG43" s="11602" t="n"/>
      <c r="AH43" s="11602" t="n"/>
      <c r="AI43" s="11602" t="n"/>
      <c r="AJ43" s="11602" t="n"/>
      <c r="AK43" s="2013" t="n"/>
      <c r="AL43" s="2014" t="n"/>
      <c r="AM43" s="2014" t="n"/>
      <c r="AN43" s="2014" t="n"/>
      <c r="AO43" s="2029" t="n"/>
      <c r="AP43" s="2014" t="n"/>
      <c r="AQ43" s="658" t="n"/>
      <c r="AR43" s="658" t="n"/>
      <c r="AS43" s="658" t="n"/>
      <c r="AT43" s="658" t="n"/>
      <c r="AU43" s="658" t="n"/>
      <c r="AV43" s="658" t="n"/>
      <c r="AW43" s="658" t="n"/>
      <c r="AX43" s="658" t="n"/>
      <c r="AY43" s="658" t="n"/>
      <c r="AZ43" s="2014" t="n"/>
      <c r="BA43" s="2029" t="n"/>
      <c r="BB43" s="2014" t="n"/>
      <c r="BC43" s="2014" t="n"/>
      <c r="BD43" s="2014" t="n"/>
      <c r="BE43" s="2014" t="n"/>
      <c r="BF43" s="2014" t="n"/>
      <c r="BG43" s="2014" t="n"/>
      <c r="BH43" s="2014" t="n"/>
      <c r="BI43" s="2014" t="n"/>
      <c r="BJ43" s="2014" t="n"/>
      <c r="BK43" s="2014" t="n"/>
      <c r="BL43" s="2014" t="n"/>
      <c r="BM43" s="2014" t="n"/>
      <c r="BN43" s="2014" t="n"/>
      <c r="BO43" s="2014" t="n"/>
      <c r="BP43" s="2014" t="n"/>
      <c r="BQ43" s="2014" t="n"/>
      <c r="BR43" s="2014" t="n"/>
      <c r="BS43" s="2014" t="n"/>
      <c r="BT43" s="2014" t="n"/>
      <c r="BU43" s="2014" t="n"/>
      <c r="BV43" s="2014" t="n"/>
      <c r="BW43" s="2014" t="n"/>
    </row>
    <row r="44" ht="13.5" customFormat="1" customHeight="1" s="7970" thickBot="1">
      <c r="A44" s="2013" t="n"/>
      <c r="B44" s="11602" t="n"/>
      <c r="C44" s="11602" t="n"/>
      <c r="D44" s="11602" t="n"/>
      <c r="E44" s="11602" t="n"/>
      <c r="F44" s="11602" t="n"/>
      <c r="G44" s="11602" t="n"/>
      <c r="H44" s="11602" t="n"/>
      <c r="I44" s="11602" t="n"/>
      <c r="J44" s="11602" t="n"/>
      <c r="K44" s="11602" t="n"/>
      <c r="L44" s="11602" t="n"/>
      <c r="M44" s="11602" t="n"/>
      <c r="N44" s="2039" t="inlineStr">
        <is>
          <t>d</t>
        </is>
      </c>
      <c r="O44" s="277" t="n"/>
      <c r="P44" s="344" t="inlineStr">
        <is>
          <t xml:space="preserve"> Quarters furnished by employer</t>
        </is>
      </c>
      <c r="Q44" s="11602" t="n"/>
      <c r="R44" s="11602" t="n"/>
      <c r="S44" s="11602" t="n"/>
      <c r="T44" s="11602" t="n"/>
      <c r="U44" s="11602" t="n"/>
      <c r="V44" s="11602" t="n"/>
      <c r="W44" s="11602" t="n"/>
      <c r="X44" s="11602" t="n"/>
      <c r="Y44" s="11602" t="n"/>
      <c r="Z44" s="11602" t="n"/>
      <c r="AA44" s="11602" t="n"/>
      <c r="AB44" s="11602" t="n"/>
      <c r="AC44" s="11602" t="n"/>
      <c r="AD44" s="11602" t="n"/>
      <c r="AE44" s="11602" t="n"/>
      <c r="AF44" s="11602" t="n"/>
      <c r="AG44" s="11602" t="n"/>
      <c r="AH44" s="11602" t="n"/>
      <c r="AI44" s="11602" t="n"/>
      <c r="AJ44" s="11602" t="n"/>
      <c r="AK44" s="2013" t="n"/>
      <c r="AL44" s="2014" t="n"/>
      <c r="AM44" s="2014" t="n"/>
      <c r="AN44" s="2028" t="n"/>
      <c r="AO44" s="2029" t="n"/>
      <c r="AP44" s="2014" t="n"/>
      <c r="AQ44" s="658" t="n"/>
      <c r="AR44" s="658" t="n"/>
      <c r="AS44" s="658" t="n"/>
      <c r="AT44" s="658" t="n"/>
      <c r="AU44" s="658" t="n"/>
      <c r="AV44" s="658" t="n"/>
      <c r="AW44" s="658" t="n"/>
      <c r="AX44" s="658" t="n"/>
      <c r="AY44" s="658" t="n"/>
      <c r="AZ44" s="2028" t="n"/>
      <c r="BA44" s="2029" t="n"/>
      <c r="BB44" s="2014" t="n"/>
      <c r="BC44" s="2014" t="n"/>
      <c r="BD44" s="2014" t="n"/>
      <c r="BE44" s="2014" t="n"/>
      <c r="BF44" s="2028" t="n"/>
      <c r="BG44" s="2040" t="n"/>
      <c r="BH44" s="2014" t="n"/>
      <c r="BI44" s="434" t="n"/>
      <c r="BJ44" s="434" t="n"/>
      <c r="BK44" s="2014" t="n"/>
      <c r="BL44" s="2014" t="n"/>
      <c r="BM44" s="2014" t="n"/>
      <c r="BN44" s="2014" t="n"/>
      <c r="BO44" s="2014" t="n"/>
      <c r="BP44" s="2014" t="n"/>
      <c r="BQ44" s="2014" t="n"/>
      <c r="BR44" s="2014" t="n"/>
      <c r="BS44" s="2014" t="n"/>
      <c r="BT44" s="2014" t="n"/>
      <c r="BU44" s="2014" t="n"/>
      <c r="BV44" s="2014" t="n"/>
      <c r="BW44" s="2014" t="n"/>
    </row>
    <row r="45" ht="15.75" customFormat="1" customHeight="1" s="7970" thickBot="1">
      <c r="A45" s="2013" t="n"/>
      <c r="B45" s="11602" t="n"/>
      <c r="C45" s="734" t="inlineStr">
        <is>
          <t xml:space="preserve">12 a </t>
        </is>
      </c>
      <c r="D45" s="8650" t="inlineStr">
        <is>
          <t>Did any of your family live with you abroad during any part of the tax year?</t>
        </is>
      </c>
      <c r="E45" s="11602" t="n"/>
      <c r="F45" s="11602" t="n"/>
      <c r="G45" s="11602" t="n"/>
      <c r="H45" s="11602" t="n"/>
      <c r="I45" s="11602" t="n"/>
      <c r="J45" s="11602" t="n"/>
      <c r="K45" s="11602" t="n"/>
      <c r="L45" s="11602" t="n"/>
      <c r="M45" s="11602" t="n"/>
      <c r="N45" s="11602" t="n"/>
      <c r="O45" s="11602" t="n"/>
      <c r="P45" s="11602" t="n"/>
      <c r="Q45" s="11602" t="n"/>
      <c r="R45" s="11602" t="n"/>
      <c r="S45" s="11602" t="n"/>
      <c r="T45" s="11602" t="n"/>
      <c r="U45" s="11602" t="n"/>
      <c r="V45" s="11602" t="n"/>
      <c r="W45" s="11602" t="n"/>
      <c r="X45" s="11602" t="n"/>
      <c r="Y45" s="11602" t="n"/>
      <c r="Z45" s="11602" t="n"/>
      <c r="AA45" s="11602" t="n"/>
      <c r="AB45" s="11602" t="n"/>
      <c r="AC45" s="11602" t="n"/>
      <c r="AD45" s="2031" t="inlineStr">
        <is>
          <t xml:space="preserve">.   .   .   .   .   .   .   .   .   .   .   .   .   .   .   . </t>
        </is>
      </c>
      <c r="AE45" s="277" t="n"/>
      <c r="AF45" s="7886" t="inlineStr">
        <is>
          <t>Yes</t>
        </is>
      </c>
      <c r="AG45" s="11602" t="n"/>
      <c r="AH45" s="277" t="n"/>
      <c r="AI45" s="7886" t="inlineStr">
        <is>
          <t>No</t>
        </is>
      </c>
      <c r="AJ45" s="11602" t="n"/>
      <c r="AK45" s="2013" t="n"/>
      <c r="AL45" s="2014" t="n"/>
      <c r="AM45" s="2014" t="n"/>
      <c r="AN45" s="2014" t="n"/>
      <c r="AO45" s="2029" t="n"/>
      <c r="AP45" s="2014" t="n"/>
      <c r="AQ45" s="658" t="n"/>
      <c r="AR45" s="658" t="n"/>
      <c r="AS45" s="658" t="n"/>
      <c r="AT45" s="658" t="n"/>
      <c r="AU45" s="658" t="n"/>
      <c r="AV45" s="658" t="n"/>
      <c r="AW45" s="658" t="n"/>
      <c r="AX45" s="658" t="n"/>
      <c r="AY45" s="658" t="n"/>
      <c r="AZ45" s="2014" t="n"/>
      <c r="BA45" s="2029" t="n"/>
      <c r="BB45" s="2014" t="n"/>
      <c r="BC45" s="2014" t="n"/>
      <c r="BD45" s="2014" t="n"/>
      <c r="BE45" s="2014" t="n"/>
      <c r="BF45" s="2014" t="n"/>
      <c r="BG45" s="2014" t="n"/>
      <c r="BH45" s="2014" t="n"/>
      <c r="BI45" s="2014" t="n"/>
      <c r="BJ45" s="2014" t="n"/>
      <c r="BK45" s="2014" t="n"/>
      <c r="BL45" s="2014" t="n"/>
      <c r="BM45" s="2014" t="n"/>
      <c r="BN45" s="2014" t="n"/>
      <c r="BO45" s="2014" t="n"/>
      <c r="BP45" s="2014" t="n"/>
      <c r="BQ45" s="2014" t="n"/>
      <c r="BR45" s="2014" t="n"/>
      <c r="BS45" s="2014" t="n"/>
      <c r="BT45" s="2014" t="n"/>
      <c r="BU45" s="2014" t="n"/>
      <c r="BV45" s="2014" t="n"/>
      <c r="BW45" s="2014" t="n"/>
    </row>
    <row r="46" ht="12.75" customFormat="1" customHeight="1" s="7970">
      <c r="A46" s="2013" t="n"/>
      <c r="B46" s="11602" t="n"/>
      <c r="C46" s="734" t="inlineStr">
        <is>
          <t xml:space="preserve">b </t>
        </is>
      </c>
      <c r="D46" s="8650" t="inlineStr">
        <is>
          <t>If “Yes,” who and for what period?</t>
        </is>
      </c>
      <c r="E46" s="11602" t="n"/>
      <c r="F46" s="11602" t="n"/>
      <c r="G46" s="11602" t="n"/>
      <c r="H46" s="11602" t="n"/>
      <c r="I46" s="11602" t="n"/>
      <c r="J46" s="11602" t="n"/>
      <c r="K46" s="11602" t="n"/>
      <c r="L46" s="11602" t="n"/>
      <c r="M46" s="9759" t="n"/>
      <c r="N46" s="11730" t="n"/>
      <c r="O46" s="11730" t="n"/>
      <c r="P46" s="11730" t="n"/>
      <c r="Q46" s="11730" t="n"/>
      <c r="R46" s="11730" t="n"/>
      <c r="S46" s="11730" t="n"/>
      <c r="T46" s="11730" t="n"/>
      <c r="U46" s="11730" t="n"/>
      <c r="V46" s="11730" t="n"/>
      <c r="W46" s="11730" t="n"/>
      <c r="X46" s="11730" t="n"/>
      <c r="Y46" s="11730" t="n"/>
      <c r="Z46" s="11730" t="n"/>
      <c r="AA46" s="11730" t="n"/>
      <c r="AB46" s="11730" t="n"/>
      <c r="AC46" s="11730" t="n"/>
      <c r="AD46" s="11730" t="n"/>
      <c r="AE46" s="11730" t="n"/>
      <c r="AF46" s="11730" t="n"/>
      <c r="AG46" s="11730" t="n"/>
      <c r="AH46" s="11730" t="n"/>
      <c r="AI46" s="11730" t="n"/>
      <c r="AJ46" s="11730" t="n"/>
      <c r="AK46" s="2013" t="n"/>
      <c r="AL46" s="2014" t="n"/>
      <c r="AM46" s="2014" t="n"/>
      <c r="AN46" s="2041" t="n"/>
      <c r="AO46" s="2025" t="n"/>
      <c r="AP46" s="2025" t="n"/>
      <c r="AQ46" s="658" t="n"/>
      <c r="AR46" s="658" t="n"/>
      <c r="AS46" s="658" t="n"/>
      <c r="AT46" s="658" t="n"/>
      <c r="AU46" s="658" t="n"/>
      <c r="AV46" s="658" t="n"/>
      <c r="AW46" s="658" t="n"/>
      <c r="AX46" s="658" t="n"/>
      <c r="AY46" s="658" t="n"/>
      <c r="AZ46" s="2041" t="n"/>
      <c r="BA46" s="2025" t="n"/>
      <c r="BB46" s="2025" t="n"/>
      <c r="BC46" s="2025" t="n"/>
      <c r="BD46" s="2025" t="n"/>
      <c r="BE46" s="2025" t="n"/>
      <c r="BF46" s="2025" t="n"/>
      <c r="BG46" s="2025" t="n"/>
      <c r="BH46" s="2025" t="n"/>
      <c r="BI46" s="2025" t="n"/>
      <c r="BJ46" s="2025" t="n"/>
      <c r="BK46" s="2014" t="n"/>
      <c r="BL46" s="2014" t="n"/>
      <c r="BM46" s="2014" t="n"/>
      <c r="BN46" s="2014" t="n"/>
      <c r="BO46" s="2014" t="n"/>
      <c r="BP46" s="2014" t="n"/>
      <c r="BQ46" s="2014" t="n"/>
      <c r="BR46" s="2014" t="n"/>
      <c r="BS46" s="2014" t="n"/>
      <c r="BT46" s="2014" t="n"/>
      <c r="BU46" s="2014" t="n"/>
      <c r="BV46" s="2014" t="n"/>
      <c r="BW46" s="2014" t="n"/>
    </row>
    <row r="47" ht="5.25" customFormat="1" customHeight="1" s="7970">
      <c r="A47" s="2013" t="n"/>
      <c r="B47" s="11602" t="n"/>
      <c r="C47" s="11602" t="n"/>
      <c r="D47" s="11602" t="n"/>
      <c r="E47" s="11602" t="n"/>
      <c r="F47" s="11602" t="n"/>
      <c r="G47" s="11602" t="n"/>
      <c r="H47" s="11602" t="n"/>
      <c r="I47" s="11602" t="n"/>
      <c r="J47" s="11602" t="n"/>
      <c r="K47" s="11602" t="n"/>
      <c r="L47" s="11602" t="n"/>
      <c r="M47" s="11602" t="n"/>
      <c r="N47" s="11602" t="n"/>
      <c r="O47" s="11602" t="n"/>
      <c r="P47" s="11602" t="n"/>
      <c r="Q47" s="11602" t="n"/>
      <c r="R47" s="11602" t="n"/>
      <c r="S47" s="11602" t="n"/>
      <c r="T47" s="11602" t="n"/>
      <c r="U47" s="11602" t="n"/>
      <c r="V47" s="11602" t="n"/>
      <c r="W47" s="11602" t="n"/>
      <c r="X47" s="11602" t="n"/>
      <c r="Y47" s="11602" t="n"/>
      <c r="Z47" s="11602" t="n"/>
      <c r="AA47" s="11602" t="n"/>
      <c r="AB47" s="11602" t="n"/>
      <c r="AC47" s="11602" t="n"/>
      <c r="AD47" s="11602" t="n"/>
      <c r="AE47" s="11602" t="n"/>
      <c r="AF47" s="11602" t="n"/>
      <c r="AG47" s="11602" t="n"/>
      <c r="AH47" s="11602" t="n"/>
      <c r="AI47" s="11602" t="n"/>
      <c r="AJ47" s="11602" t="n"/>
      <c r="AK47" s="2013" t="n"/>
      <c r="AL47" s="2014" t="n"/>
      <c r="AM47" s="2014" t="n"/>
      <c r="AN47" s="2025" t="n"/>
      <c r="AO47" s="2025" t="n"/>
      <c r="AP47" s="2025" t="n"/>
      <c r="AQ47" s="658" t="n"/>
      <c r="AR47" s="658" t="n"/>
      <c r="AS47" s="658" t="n"/>
      <c r="AT47" s="658" t="n"/>
      <c r="AU47" s="658" t="n"/>
      <c r="AV47" s="658" t="n"/>
      <c r="AW47" s="658" t="n"/>
      <c r="AX47" s="658" t="n"/>
      <c r="AY47" s="658" t="n"/>
      <c r="AZ47" s="2025" t="n"/>
      <c r="BA47" s="2025" t="n"/>
      <c r="BB47" s="2025" t="n"/>
      <c r="BC47" s="2025" t="n"/>
      <c r="BD47" s="2025" t="n"/>
      <c r="BE47" s="2025" t="n"/>
      <c r="BF47" s="2025" t="n"/>
      <c r="BG47" s="2025" t="n"/>
      <c r="BH47" s="2025" t="n"/>
      <c r="BI47" s="2025" t="n"/>
      <c r="BJ47" s="2025" t="n"/>
      <c r="BK47" s="2014" t="n"/>
      <c r="BL47" s="2014" t="n"/>
      <c r="BM47" s="2014" t="n"/>
      <c r="BN47" s="2014" t="n"/>
      <c r="BO47" s="2014" t="n"/>
      <c r="BP47" s="2014" t="n"/>
      <c r="BQ47" s="2014" t="n"/>
      <c r="BR47" s="2014" t="n"/>
      <c r="BS47" s="2014" t="n"/>
      <c r="BT47" s="2014" t="n"/>
      <c r="BU47" s="2014" t="n"/>
      <c r="BV47" s="2014" t="n"/>
      <c r="BW47" s="2014" t="n"/>
    </row>
    <row r="48" ht="12.75" customFormat="1" customHeight="1" s="7970" thickBot="1">
      <c r="A48" s="2013" t="n"/>
      <c r="B48" s="11602" t="n"/>
      <c r="C48" s="734" t="inlineStr">
        <is>
          <t xml:space="preserve">13 a </t>
        </is>
      </c>
      <c r="D48" s="8650" t="inlineStr">
        <is>
          <t>Have you submitted a statement to the authorities of the foreign country where you claim bona fide</t>
        </is>
      </c>
      <c r="E48" s="11602" t="n"/>
      <c r="F48" s="11602" t="n"/>
      <c r="G48" s="11602" t="n"/>
      <c r="H48" s="11602" t="n"/>
      <c r="I48" s="11602" t="n"/>
      <c r="J48" s="11602" t="n"/>
      <c r="K48" s="11602" t="n"/>
      <c r="L48" s="11602" t="n"/>
      <c r="M48" s="11602" t="n"/>
      <c r="N48" s="11602" t="n"/>
      <c r="O48" s="11602" t="n"/>
      <c r="P48" s="11602" t="n"/>
      <c r="Q48" s="11602" t="n"/>
      <c r="R48" s="11602" t="n"/>
      <c r="S48" s="11602" t="n"/>
      <c r="T48" s="11602" t="n"/>
      <c r="U48" s="11602" t="n"/>
      <c r="V48" s="11602" t="n"/>
      <c r="W48" s="11602" t="n"/>
      <c r="X48" s="11602" t="n"/>
      <c r="Y48" s="11602" t="n"/>
      <c r="Z48" s="11602" t="n"/>
      <c r="AA48" s="11602" t="n"/>
      <c r="AB48" s="11602" t="n"/>
      <c r="AC48" s="11602" t="n"/>
      <c r="AD48" s="11602" t="n"/>
      <c r="AE48" s="11602" t="n"/>
      <c r="AF48" s="11602" t="n"/>
      <c r="AG48" s="11602" t="n"/>
      <c r="AH48" s="11602" t="n"/>
      <c r="AI48" s="11602" t="n"/>
      <c r="AJ48" s="11602" t="n"/>
      <c r="AK48" s="2013" t="n"/>
      <c r="AL48" s="2014" t="n"/>
      <c r="AM48" s="2042" t="n"/>
      <c r="AN48" s="2025" t="n"/>
      <c r="AO48" s="2025" t="n"/>
      <c r="AP48" s="2025" t="n"/>
      <c r="AQ48" s="658" t="n"/>
      <c r="AR48" s="658" t="n"/>
      <c r="AS48" s="658" t="n"/>
      <c r="AT48" s="658" t="n"/>
      <c r="AU48" s="658" t="n"/>
      <c r="AV48" s="658" t="n"/>
      <c r="AW48" s="658" t="n"/>
      <c r="AX48" s="658" t="n"/>
      <c r="AY48" s="658" t="n"/>
      <c r="AZ48" s="2025" t="n"/>
      <c r="BA48" s="2025" t="n"/>
      <c r="BB48" s="2025" t="n"/>
      <c r="BC48" s="2025" t="n"/>
      <c r="BD48" s="2025" t="n"/>
      <c r="BE48" s="2025" t="n"/>
      <c r="BF48" s="2025" t="n"/>
      <c r="BG48" s="2025" t="n"/>
      <c r="BH48" s="2025" t="n"/>
      <c r="BI48" s="2025" t="n"/>
      <c r="BJ48" s="2025" t="n"/>
      <c r="BK48" s="2014" t="n"/>
      <c r="BL48" s="2014" t="n"/>
      <c r="BM48" s="2014" t="n"/>
      <c r="BN48" s="2014" t="n"/>
      <c r="BO48" s="2014" t="n"/>
      <c r="BP48" s="2014" t="n"/>
      <c r="BQ48" s="2014" t="n"/>
      <c r="BR48" s="2014" t="n"/>
      <c r="BS48" s="2014" t="n"/>
      <c r="BT48" s="2014" t="n"/>
      <c r="BU48" s="2014" t="n"/>
      <c r="BV48" s="2014" t="n"/>
      <c r="BW48" s="2014" t="n"/>
    </row>
    <row r="49" ht="15" customHeight="1" s="7635" thickBot="1">
      <c r="A49" s="2013" t="n"/>
      <c r="B49" s="11602" t="n"/>
      <c r="C49" s="11602" t="n"/>
      <c r="D49" s="8650" t="inlineStr">
        <is>
          <t>residence that you aren't a resident of that country? See instructions</t>
        </is>
      </c>
      <c r="E49" s="11602" t="n"/>
      <c r="F49" s="11602" t="n"/>
      <c r="G49" s="11602" t="n"/>
      <c r="H49" s="11602" t="n"/>
      <c r="I49" s="11602" t="n"/>
      <c r="J49" s="11602" t="n"/>
      <c r="K49" s="11602" t="n"/>
      <c r="L49" s="11602" t="n"/>
      <c r="M49" s="11602" t="n"/>
      <c r="N49" s="11602" t="n"/>
      <c r="O49" s="11602" t="n"/>
      <c r="P49" s="11602" t="n"/>
      <c r="Q49" s="11602" t="n"/>
      <c r="R49" s="11602" t="n"/>
      <c r="S49" s="11602" t="n"/>
      <c r="T49" s="11602" t="n"/>
      <c r="U49" s="11602" t="n"/>
      <c r="V49" s="11602" t="n"/>
      <c r="W49" s="11602" t="n"/>
      <c r="X49" s="11602" t="n"/>
      <c r="Y49" s="11602" t="n"/>
      <c r="Z49" s="11602" t="n"/>
      <c r="AA49" s="11602" t="n"/>
      <c r="AB49" s="11602" t="n"/>
      <c r="AC49" s="11602" t="n"/>
      <c r="AD49" s="2031" t="inlineStr">
        <is>
          <t xml:space="preserve">.   .   .   .   .   .   .   .   .   .   .   .   .   .   .   . </t>
        </is>
      </c>
      <c r="AE49" s="277" t="n"/>
      <c r="AF49" s="7886" t="inlineStr">
        <is>
          <t>Yes</t>
        </is>
      </c>
      <c r="AG49" s="11602" t="n"/>
      <c r="AH49" s="277" t="n"/>
      <c r="AI49" s="7886" t="inlineStr">
        <is>
          <t>No</t>
        </is>
      </c>
      <c r="AJ49" s="11602" t="n"/>
      <c r="AK49" s="2013" t="n"/>
      <c r="AM49" s="2042" t="n"/>
      <c r="AN49" s="2025" t="n"/>
      <c r="AO49" s="2025" t="n"/>
      <c r="AP49" s="2025" t="n"/>
      <c r="AZ49" s="2025" t="n"/>
      <c r="BA49" s="2025" t="n"/>
      <c r="BB49" s="2025" t="n"/>
      <c r="BC49" s="2025" t="n"/>
      <c r="BD49" s="2025" t="n"/>
      <c r="BE49" s="2025" t="n"/>
      <c r="BF49" s="2025" t="n"/>
      <c r="BG49" s="2025" t="n"/>
      <c r="BH49" s="2025" t="n"/>
      <c r="BI49" s="2025" t="n"/>
      <c r="BJ49" s="2025" t="n"/>
    </row>
    <row r="50" ht="5.25" customHeight="1" s="7635" thickBot="1">
      <c r="A50" s="2013" t="n"/>
      <c r="B50" s="11602" t="n"/>
      <c r="C50" s="11602" t="n"/>
      <c r="D50" s="11602" t="n"/>
      <c r="E50" s="11602" t="n"/>
      <c r="F50" s="11602" t="n"/>
      <c r="G50" s="11602" t="n"/>
      <c r="H50" s="11602" t="n"/>
      <c r="I50" s="11602" t="n"/>
      <c r="J50" s="11602" t="n"/>
      <c r="K50" s="11602" t="n"/>
      <c r="L50" s="11602" t="n"/>
      <c r="M50" s="11602" t="n"/>
      <c r="N50" s="11602" t="n"/>
      <c r="O50" s="11602" t="n"/>
      <c r="P50" s="11602" t="n"/>
      <c r="Q50" s="11602" t="n"/>
      <c r="R50" s="11602" t="n"/>
      <c r="S50" s="11602" t="n"/>
      <c r="T50" s="11602" t="n"/>
      <c r="U50" s="11602" t="n"/>
      <c r="V50" s="11602" t="n"/>
      <c r="W50" s="11602" t="n"/>
      <c r="X50" s="11602" t="n"/>
      <c r="Y50" s="11602" t="n"/>
      <c r="Z50" s="11602" t="n"/>
      <c r="AA50" s="11602" t="n"/>
      <c r="AB50" s="11602" t="n"/>
      <c r="AC50" s="11602" t="n"/>
      <c r="AD50" s="11602" t="n"/>
      <c r="AE50" s="11602" t="n"/>
      <c r="AF50" s="11602" t="n"/>
      <c r="AG50" s="11602" t="n"/>
      <c r="AH50" s="11602" t="n"/>
      <c r="AI50" s="11602" t="n"/>
      <c r="AJ50" s="11602" t="n"/>
      <c r="AK50" s="2013" t="n"/>
      <c r="BL50" s="2027" t="n"/>
      <c r="BM50" s="2027" t="n"/>
      <c r="BO50" s="2027" t="n"/>
      <c r="BP50" s="2027" t="n"/>
      <c r="BQ50" s="2027" t="n"/>
      <c r="BR50" s="2027" t="n"/>
      <c r="BS50" s="2027" t="n"/>
      <c r="BT50" s="2027" t="n"/>
      <c r="BU50" s="2027" t="n"/>
      <c r="BV50" s="2027" t="n"/>
    </row>
    <row r="51" ht="13.5" customHeight="1" s="7635" thickBot="1">
      <c r="A51" s="2013" t="n"/>
      <c r="B51" s="11602" t="n"/>
      <c r="C51" s="734" t="inlineStr">
        <is>
          <t xml:space="preserve">b </t>
        </is>
      </c>
      <c r="D51" s="8650" t="inlineStr">
        <is>
          <t>Are you required to pay income tax to the country where you claim bona fide residence? See instructions</t>
        </is>
      </c>
      <c r="E51" s="11602" t="n"/>
      <c r="F51" s="11602" t="n"/>
      <c r="G51" s="11602" t="n"/>
      <c r="H51" s="11602" t="n"/>
      <c r="I51" s="11602" t="n"/>
      <c r="J51" s="11602" t="n"/>
      <c r="K51" s="11602" t="n"/>
      <c r="L51" s="11602" t="n"/>
      <c r="M51" s="11602" t="n"/>
      <c r="N51" s="11602" t="n"/>
      <c r="O51" s="11602" t="n"/>
      <c r="P51" s="11602" t="n"/>
      <c r="Q51" s="11602" t="n"/>
      <c r="R51" s="11602" t="n"/>
      <c r="S51" s="11602" t="n"/>
      <c r="T51" s="11602" t="n"/>
      <c r="U51" s="11602" t="n"/>
      <c r="V51" s="11602" t="n"/>
      <c r="W51" s="11602" t="n"/>
      <c r="X51" s="11602" t="n"/>
      <c r="Y51" s="11602" t="n"/>
      <c r="Z51" s="11602" t="n"/>
      <c r="AA51" s="11602" t="n"/>
      <c r="AB51" s="11602" t="n"/>
      <c r="AC51" s="11602" t="n"/>
      <c r="AD51" s="2031" t="inlineStr">
        <is>
          <t xml:space="preserve">.   .   . </t>
        </is>
      </c>
      <c r="AE51" s="277" t="n"/>
      <c r="AF51" s="7886" t="inlineStr">
        <is>
          <t>Yes</t>
        </is>
      </c>
      <c r="AG51" s="11602" t="n"/>
      <c r="AH51" s="277" t="n"/>
      <c r="AI51" s="7886" t="inlineStr">
        <is>
          <t>No</t>
        </is>
      </c>
      <c r="AJ51" s="11602" t="n"/>
      <c r="AK51" s="2013" t="n"/>
      <c r="AM51" s="12434" t="n"/>
      <c r="BL51" s="2027" t="n"/>
      <c r="BM51" s="2027" t="n"/>
      <c r="BO51" s="2027" t="n"/>
      <c r="BP51" s="2027" t="n"/>
      <c r="BQ51" s="2027" t="n"/>
      <c r="BR51" s="2027" t="n"/>
      <c r="BS51" s="2027" t="n"/>
      <c r="BT51" s="2027" t="n"/>
      <c r="BU51" s="2027" t="n"/>
      <c r="BV51" s="2027" t="n"/>
    </row>
    <row r="52" ht="16.5" customHeight="1" s="7635">
      <c r="A52" s="2013" t="n"/>
      <c r="B52" s="11602" t="n"/>
      <c r="C52" s="11602" t="n"/>
      <c r="D52" s="810" t="inlineStr">
        <is>
          <t>If you answered “Yes” to 13a and “No” to 13b, you don't qualify as a bona fide resident. Don't complete the rest of</t>
        </is>
      </c>
      <c r="E52" s="11602" t="n"/>
      <c r="F52" s="11602" t="n"/>
      <c r="G52" s="11602" t="n"/>
      <c r="H52" s="11602" t="n"/>
      <c r="I52" s="11602" t="n"/>
      <c r="J52" s="11602" t="n"/>
      <c r="K52" s="11602" t="n"/>
      <c r="L52" s="11602" t="n"/>
      <c r="M52" s="11602" t="n"/>
      <c r="N52" s="11602" t="n"/>
      <c r="O52" s="11602" t="n"/>
      <c r="P52" s="11602" t="n"/>
      <c r="Q52" s="11602" t="n"/>
      <c r="R52" s="11602" t="n"/>
      <c r="S52" s="11602" t="n"/>
      <c r="T52" s="11602" t="n"/>
      <c r="U52" s="11602" t="n"/>
      <c r="V52" s="11602" t="n"/>
      <c r="W52" s="11602" t="n"/>
      <c r="X52" s="11602" t="n"/>
      <c r="Y52" s="11602" t="n"/>
      <c r="Z52" s="11602" t="n"/>
      <c r="AA52" s="11602" t="n"/>
      <c r="AB52" s="11602" t="n"/>
      <c r="AC52" s="11602" t="n"/>
      <c r="AD52" s="11602" t="n"/>
      <c r="AE52" s="11602" t="n"/>
      <c r="AF52" s="11602" t="n"/>
      <c r="AG52" s="11602" t="n"/>
      <c r="AH52" s="11602" t="n"/>
      <c r="AI52" s="11602" t="n"/>
      <c r="AJ52" s="11602" t="n"/>
      <c r="AK52" s="2013" t="n"/>
      <c r="AM52" s="12434" t="n"/>
      <c r="BL52" s="2027" t="n"/>
      <c r="BM52" s="2027" t="n"/>
      <c r="BO52" s="2027" t="n"/>
      <c r="BP52" s="2027" t="n"/>
      <c r="BQ52" s="2027" t="n"/>
      <c r="BR52" s="2027" t="n"/>
      <c r="BS52" s="2027" t="n"/>
      <c r="BT52" s="2027" t="n"/>
      <c r="BU52" s="2027" t="n"/>
      <c r="BV52" s="2027" t="n"/>
    </row>
    <row r="53" ht="16.5" customHeight="1" s="7635">
      <c r="A53" s="2013" t="n"/>
      <c r="B53" s="11602" t="n"/>
      <c r="C53" s="11602" t="n"/>
      <c r="D53" s="2044" t="inlineStr">
        <is>
          <t>this part.</t>
        </is>
      </c>
      <c r="E53" s="11602" t="n"/>
      <c r="F53" s="11602" t="n"/>
      <c r="G53" s="11602" t="n"/>
      <c r="H53" s="11602" t="n"/>
      <c r="I53" s="11602" t="n"/>
      <c r="J53" s="11602" t="n"/>
      <c r="K53" s="11602" t="n"/>
      <c r="L53" s="11602" t="n"/>
      <c r="M53" s="11602" t="n"/>
      <c r="N53" s="11602" t="n"/>
      <c r="O53" s="11602" t="n"/>
      <c r="P53" s="11602" t="n"/>
      <c r="Q53" s="11602" t="n"/>
      <c r="R53" s="11602" t="n"/>
      <c r="S53" s="11602" t="n"/>
      <c r="T53" s="11602" t="n"/>
      <c r="U53" s="11602" t="n"/>
      <c r="V53" s="11602" t="n"/>
      <c r="W53" s="11602" t="n"/>
      <c r="X53" s="11602" t="n"/>
      <c r="Y53" s="11602" t="n"/>
      <c r="Z53" s="11602" t="n"/>
      <c r="AA53" s="11602" t="n"/>
      <c r="AB53" s="11602" t="n"/>
      <c r="AC53" s="11602" t="n"/>
      <c r="AD53" s="11602" t="n"/>
      <c r="AE53" s="11602" t="n"/>
      <c r="AF53" s="11602" t="n"/>
      <c r="AG53" s="11602" t="n"/>
      <c r="AH53" s="11602" t="n"/>
      <c r="AI53" s="11602" t="n"/>
      <c r="AJ53" s="11602" t="n"/>
      <c r="AK53" s="2013" t="n"/>
      <c r="AM53" s="12434" t="n"/>
      <c r="AO53" s="2045" t="n"/>
      <c r="AP53" s="2042" t="n"/>
      <c r="BL53" s="2027" t="n"/>
      <c r="BM53" s="2027" t="n"/>
      <c r="BO53" s="2027" t="n"/>
      <c r="BP53" s="2027" t="n"/>
      <c r="BQ53" s="2027" t="n"/>
      <c r="BR53" s="2027" t="n"/>
      <c r="BS53" s="2027" t="n"/>
      <c r="BT53" s="2027" t="n"/>
      <c r="BU53" s="2027" t="n"/>
      <c r="BV53" s="2027" t="n"/>
    </row>
    <row r="54" ht="16.5" customHeight="1" s="7635">
      <c r="A54" s="2013" t="n"/>
      <c r="B54" s="11602" t="n"/>
      <c r="C54" s="7861" t="inlineStr">
        <is>
          <t>14</t>
        </is>
      </c>
      <c r="D54" s="8650" t="inlineStr">
        <is>
          <t>If you were present in the United States or its possessions during the tax year, complete columns (a)–(d) below. Don't include</t>
        </is>
      </c>
      <c r="E54" s="11602" t="n"/>
      <c r="F54" s="11602" t="n"/>
      <c r="G54" s="11602" t="n"/>
      <c r="H54" s="11602" t="n"/>
      <c r="I54" s="11602" t="n"/>
      <c r="J54" s="11602" t="n"/>
      <c r="K54" s="11602" t="n"/>
      <c r="L54" s="11602" t="n"/>
      <c r="M54" s="11602" t="n"/>
      <c r="N54" s="11602" t="n"/>
      <c r="O54" s="11602" t="n"/>
      <c r="P54" s="11602" t="n"/>
      <c r="Q54" s="11602" t="n"/>
      <c r="R54" s="11602" t="n"/>
      <c r="S54" s="11602" t="n"/>
      <c r="T54" s="11602" t="n"/>
      <c r="U54" s="11602" t="n"/>
      <c r="V54" s="11602" t="n"/>
      <c r="W54" s="11602" t="n"/>
      <c r="X54" s="11602" t="n"/>
      <c r="Y54" s="11602" t="n"/>
      <c r="Z54" s="11602" t="n"/>
      <c r="AA54" s="11602" t="n"/>
      <c r="AB54" s="11602" t="n"/>
      <c r="AC54" s="11602" t="n"/>
      <c r="AD54" s="11602" t="n"/>
      <c r="AE54" s="11602" t="n"/>
      <c r="AF54" s="11602" t="n"/>
      <c r="AG54" s="11602" t="n"/>
      <c r="AH54" s="11602" t="n"/>
      <c r="AI54" s="11602" t="n"/>
      <c r="AJ54" s="11602" t="n"/>
      <c r="AK54" s="2013" t="n"/>
      <c r="AO54" s="2045" t="n"/>
      <c r="AP54" s="2042" t="n"/>
      <c r="BL54" s="2027" t="n"/>
      <c r="BM54" s="2027" t="n"/>
      <c r="BO54" s="2027" t="n"/>
      <c r="BP54" s="2027" t="n"/>
      <c r="BQ54" s="2027" t="n"/>
      <c r="BR54" s="2027" t="n"/>
      <c r="BS54" s="2027" t="n"/>
      <c r="BT54" s="2027" t="n"/>
      <c r="BU54" s="2027" t="n"/>
      <c r="BV54" s="2027" t="n"/>
    </row>
    <row r="55" ht="16.5" customHeight="1" s="7635">
      <c r="A55" s="2013" t="n"/>
      <c r="B55" s="11602" t="n"/>
      <c r="C55" s="11602" t="n"/>
      <c r="D55" s="2046" t="inlineStr">
        <is>
          <t>the income from column (d) in Part IV, but report it on Form 1040 or 1040-SR.</t>
        </is>
      </c>
      <c r="E55" s="11602" t="n"/>
      <c r="F55" s="11602" t="n"/>
      <c r="G55" s="11602" t="n"/>
      <c r="H55" s="11602" t="n"/>
      <c r="I55" s="11602" t="n"/>
      <c r="J55" s="11602" t="n"/>
      <c r="K55" s="11602" t="n"/>
      <c r="L55" s="11602" t="n"/>
      <c r="M55" s="11602" t="n"/>
      <c r="N55" s="11602" t="n"/>
      <c r="O55" s="11602" t="n"/>
      <c r="P55" s="11602" t="n"/>
      <c r="Q55" s="11602" t="n"/>
      <c r="R55" s="11602" t="n"/>
      <c r="S55" s="11602" t="n"/>
      <c r="T55" s="11602" t="n"/>
      <c r="U55" s="11602" t="n"/>
      <c r="V55" s="11602" t="n"/>
      <c r="W55" s="11602" t="n"/>
      <c r="X55" s="11602" t="n"/>
      <c r="Y55" s="11602" t="n"/>
      <c r="Z55" s="11602" t="n"/>
      <c r="AA55" s="11602" t="n"/>
      <c r="AB55" s="11602" t="n"/>
      <c r="AC55" s="11602" t="n"/>
      <c r="AD55" s="11602" t="n"/>
      <c r="AE55" s="11602" t="n"/>
      <c r="AF55" s="11602" t="n"/>
      <c r="AG55" s="11602" t="n"/>
      <c r="AH55" s="11602" t="n"/>
      <c r="AI55" s="11602" t="n"/>
      <c r="AJ55" s="11602" t="n"/>
      <c r="AK55" s="2013" t="n"/>
      <c r="AO55" s="2042" t="n"/>
      <c r="AP55" s="2047" t="n"/>
      <c r="BL55" s="2027" t="n"/>
      <c r="BM55" s="2027" t="n"/>
      <c r="BO55" s="2027" t="n"/>
      <c r="BP55" s="2027" t="n"/>
      <c r="BQ55" s="2027" t="n"/>
      <c r="BR55" s="2027" t="n"/>
      <c r="BS55" s="2027" t="n"/>
      <c r="BT55" s="2027" t="n"/>
      <c r="BU55" s="2027" t="n"/>
      <c r="BV55" s="2027" t="n"/>
    </row>
    <row r="56" ht="35.25" customHeight="1" s="7635" thickBot="1">
      <c r="A56" s="2013" t="n"/>
      <c r="B56" s="12435" t="inlineStr">
        <is>
          <t>(a) Date 
arrived in U.S.</t>
        </is>
      </c>
      <c r="C56" s="8412" t="n"/>
      <c r="D56" s="8412" t="n"/>
      <c r="E56" s="11734" t="n"/>
      <c r="F56" s="12435" t="inlineStr">
        <is>
          <t>(b) Date left
U.S.</t>
        </is>
      </c>
      <c r="G56" s="8412" t="n"/>
      <c r="H56" s="8412" t="n"/>
      <c r="I56" s="11734" t="n"/>
      <c r="J56" s="12435" t="inlineStr">
        <is>
          <t>(c) Number of
days in U.S. 
on business</t>
        </is>
      </c>
      <c r="K56" s="8412" t="n"/>
      <c r="L56" s="8412" t="n"/>
      <c r="M56" s="11734" t="n"/>
      <c r="N56" s="12436" t="inlineStr">
        <is>
          <t>(d) Income earned in 
U.S. on business 
(attach computation)</t>
        </is>
      </c>
      <c r="O56" s="8412" t="n"/>
      <c r="P56" s="8412" t="n"/>
      <c r="Q56" s="8412" t="n"/>
      <c r="R56" s="12130" t="n"/>
      <c r="S56" s="12437" t="inlineStr">
        <is>
          <t>(a) Date 
arrived in U.S.</t>
        </is>
      </c>
      <c r="T56" s="8412" t="n"/>
      <c r="U56" s="8412" t="n"/>
      <c r="V56" s="11734" t="n"/>
      <c r="W56" s="12435" t="inlineStr">
        <is>
          <t>(b) Date left
U.S.</t>
        </is>
      </c>
      <c r="X56" s="8412" t="n"/>
      <c r="Y56" s="8412" t="n"/>
      <c r="Z56" s="11734" t="n"/>
      <c r="AA56" s="12435" t="inlineStr">
        <is>
          <t>(c) Number of
days in U.S. 
on business</t>
        </is>
      </c>
      <c r="AB56" s="8412" t="n"/>
      <c r="AC56" s="8412" t="n"/>
      <c r="AD56" s="11734" t="n"/>
      <c r="AE56" s="9854" t="inlineStr">
        <is>
          <t>(d) Income earned in 
U.S. on business 
(attach computation)</t>
        </is>
      </c>
      <c r="AF56" s="8412" t="n"/>
      <c r="AG56" s="8412" t="n"/>
      <c r="AH56" s="8412" t="n"/>
      <c r="AI56" s="8412" t="n"/>
      <c r="AJ56" s="8412" t="n"/>
      <c r="AK56" s="2013" t="n"/>
      <c r="AM56" s="7914" t="inlineStr">
        <is>
          <t>Override</t>
        </is>
      </c>
      <c r="AO56" s="7914" t="inlineStr">
        <is>
          <t>Override</t>
        </is>
      </c>
      <c r="AP56" s="2048" t="n"/>
      <c r="BL56" s="2027" t="n"/>
      <c r="BM56" s="2027" t="n"/>
      <c r="BO56" s="2027" t="n"/>
      <c r="BP56" s="2027" t="n"/>
      <c r="BQ56" s="2027" t="n"/>
      <c r="BR56" s="2027" t="n"/>
      <c r="BS56" s="2027" t="n"/>
      <c r="BT56" s="2027" t="n"/>
      <c r="BU56" s="2027" t="n"/>
      <c r="BV56" s="2027" t="n"/>
    </row>
    <row r="57" ht="14.25" customHeight="1" s="7635" thickBot="1">
      <c r="A57" s="2013" t="n"/>
      <c r="B57" s="12438" t="n"/>
      <c r="C57" s="8007" t="n"/>
      <c r="D57" s="8007" t="n"/>
      <c r="E57" s="8007" t="n"/>
      <c r="F57" s="12439" t="n"/>
      <c r="G57" s="8007" t="n"/>
      <c r="H57" s="8007" t="n"/>
      <c r="I57" s="8008" t="n"/>
      <c r="J57" s="12440">
        <f>IF(AM57&lt;&gt;"",ROUND(AM57,0),IF(OR(B57="",F57=""),"",F57-B57))</f>
        <v/>
      </c>
      <c r="K57" s="8412" t="n"/>
      <c r="L57" s="8412" t="n"/>
      <c r="M57" s="11734" t="n"/>
      <c r="N57" s="12441" t="n"/>
      <c r="O57" s="8007" t="n"/>
      <c r="P57" s="8007" t="n"/>
      <c r="Q57" s="8007" t="n"/>
      <c r="R57" s="12128" t="n"/>
      <c r="S57" s="12442" t="n"/>
      <c r="T57" s="8007" t="n"/>
      <c r="U57" s="8007" t="n"/>
      <c r="V57" s="12128" t="n"/>
      <c r="W57" s="12439" t="n"/>
      <c r="X57" s="8007" t="n"/>
      <c r="Y57" s="8007" t="n"/>
      <c r="Z57" s="8008" t="n"/>
      <c r="AA57" s="12440">
        <f>IF(AO57&lt;&gt;"",ROUND(AO57,0),IF(OR(S57="",W57=""),"",W57-S57))</f>
        <v/>
      </c>
      <c r="AB57" s="8412" t="n"/>
      <c r="AC57" s="8412" t="n"/>
      <c r="AD57" s="11734" t="n"/>
      <c r="AE57" s="9826" t="n"/>
      <c r="AF57" s="8007" t="n"/>
      <c r="AG57" s="8007" t="n"/>
      <c r="AH57" s="8007" t="n"/>
      <c r="AI57" s="8007" t="n"/>
      <c r="AJ57" s="8007" t="n"/>
      <c r="AK57" s="2013" t="n"/>
      <c r="AM57" s="453" t="n"/>
      <c r="AO57" s="453" t="n"/>
      <c r="AP57" s="2048" t="n"/>
      <c r="BL57" s="2027" t="n"/>
      <c r="BM57" s="2027" t="n"/>
      <c r="BO57" s="2027" t="n"/>
      <c r="BP57" s="2027" t="n"/>
      <c r="BQ57" s="2027" t="n"/>
      <c r="BR57" s="2027" t="n"/>
      <c r="BS57" s="2027" t="n"/>
      <c r="BT57" s="2027" t="n"/>
      <c r="BU57" s="2027" t="n"/>
      <c r="BV57" s="2027" t="n"/>
    </row>
    <row r="58" ht="14.25" customHeight="1" s="7635" thickBot="1">
      <c r="A58" s="2013" t="n"/>
      <c r="B58" s="12438" t="n"/>
      <c r="C58" s="8007" t="n"/>
      <c r="D58" s="8007" t="n"/>
      <c r="E58" s="8007" t="n"/>
      <c r="F58" s="12439" t="n"/>
      <c r="G58" s="8007" t="n"/>
      <c r="H58" s="8007" t="n"/>
      <c r="I58" s="8008" t="n"/>
      <c r="J58" s="12440">
        <f>IF(AM58&lt;&gt;"",ROUND(AM58,0),IF(OR(B58="",F58=""),"",F58-B58))</f>
        <v/>
      </c>
      <c r="K58" s="8412" t="n"/>
      <c r="L58" s="8412" t="n"/>
      <c r="M58" s="11734" t="n"/>
      <c r="N58" s="12441" t="n"/>
      <c r="O58" s="8007" t="n"/>
      <c r="P58" s="8007" t="n"/>
      <c r="Q58" s="8007" t="n"/>
      <c r="R58" s="12128" t="n"/>
      <c r="S58" s="12442" t="n"/>
      <c r="T58" s="8007" t="n"/>
      <c r="U58" s="8007" t="n"/>
      <c r="V58" s="12128" t="n"/>
      <c r="W58" s="12439" t="n"/>
      <c r="X58" s="8007" t="n"/>
      <c r="Y58" s="8007" t="n"/>
      <c r="Z58" s="8008" t="n"/>
      <c r="AA58" s="12440">
        <f>IF(AO58&lt;&gt;"",ROUND(AO58,0),IF(OR(S58="",W58=""),"",W58-S58))</f>
        <v/>
      </c>
      <c r="AB58" s="8412" t="n"/>
      <c r="AC58" s="8412" t="n"/>
      <c r="AD58" s="11734" t="n"/>
      <c r="AE58" s="9826" t="n"/>
      <c r="AF58" s="8007" t="n"/>
      <c r="AG58" s="8007" t="n"/>
      <c r="AH58" s="8007" t="n"/>
      <c r="AI58" s="8007" t="n"/>
      <c r="AJ58" s="8007" t="n"/>
      <c r="AK58" s="2013" t="n"/>
      <c r="AM58" s="453" t="n"/>
      <c r="AO58" s="453" t="n"/>
      <c r="AP58" s="2048" t="n"/>
      <c r="BL58" s="2027" t="n"/>
      <c r="BM58" s="2027" t="n"/>
      <c r="BO58" s="2027" t="n"/>
      <c r="BP58" s="2027" t="n"/>
      <c r="BQ58" s="2027" t="n"/>
      <c r="BR58" s="2027" t="n"/>
      <c r="BS58" s="2027" t="n"/>
      <c r="BT58" s="2027" t="n"/>
      <c r="BU58" s="2027" t="n"/>
      <c r="BV58" s="2027" t="n"/>
    </row>
    <row r="59" ht="14.25" customHeight="1" s="7635" thickBot="1">
      <c r="A59" s="2013" t="n"/>
      <c r="B59" s="12438" t="n"/>
      <c r="C59" s="8007" t="n"/>
      <c r="D59" s="8007" t="n"/>
      <c r="E59" s="8007" t="n"/>
      <c r="F59" s="12439" t="n"/>
      <c r="G59" s="8007" t="n"/>
      <c r="H59" s="8007" t="n"/>
      <c r="I59" s="8008" t="n"/>
      <c r="J59" s="12440">
        <f>IF(AM59&lt;&gt;"",ROUND(AM59,0),IF(OR(B59="",F59=""),"",F59-B59))</f>
        <v/>
      </c>
      <c r="K59" s="8412" t="n"/>
      <c r="L59" s="8412" t="n"/>
      <c r="M59" s="11734" t="n"/>
      <c r="N59" s="12441" t="n"/>
      <c r="O59" s="8007" t="n"/>
      <c r="P59" s="8007" t="n"/>
      <c r="Q59" s="8007" t="n"/>
      <c r="R59" s="12128" t="n"/>
      <c r="S59" s="12442" t="n"/>
      <c r="T59" s="8007" t="n"/>
      <c r="U59" s="8007" t="n"/>
      <c r="V59" s="12128" t="n"/>
      <c r="W59" s="12439" t="n"/>
      <c r="X59" s="8007" t="n"/>
      <c r="Y59" s="8007" t="n"/>
      <c r="Z59" s="8008" t="n"/>
      <c r="AA59" s="12440">
        <f>IF(AO59&lt;&gt;"",ROUND(AO59,0),IF(OR(S59="",W59=""),"",W59-S59))</f>
        <v/>
      </c>
      <c r="AB59" s="8412" t="n"/>
      <c r="AC59" s="8412" t="n"/>
      <c r="AD59" s="11734" t="n"/>
      <c r="AE59" s="9826" t="n"/>
      <c r="AF59" s="8007" t="n"/>
      <c r="AG59" s="8007" t="n"/>
      <c r="AH59" s="8007" t="n"/>
      <c r="AI59" s="8007" t="n"/>
      <c r="AJ59" s="8007" t="n"/>
      <c r="AK59" s="2013" t="n"/>
      <c r="AM59" s="453" t="n"/>
      <c r="AO59" s="453" t="n"/>
      <c r="AP59" s="2048" t="n"/>
      <c r="BL59" s="2027" t="n"/>
      <c r="BM59" s="2027" t="n"/>
      <c r="BO59" s="2027" t="n"/>
      <c r="BP59" s="2027" t="n"/>
      <c r="BQ59" s="2027" t="n"/>
      <c r="BR59" s="2027" t="n"/>
      <c r="BS59" s="2027" t="n"/>
      <c r="BT59" s="2027" t="n"/>
      <c r="BU59" s="2027" t="n"/>
      <c r="BV59" s="2027" t="n"/>
    </row>
    <row r="60" ht="14.25" customHeight="1" s="7635" thickBot="1">
      <c r="A60" s="2013" t="n"/>
      <c r="B60" s="12438" t="n"/>
      <c r="C60" s="8007" t="n"/>
      <c r="D60" s="8007" t="n"/>
      <c r="E60" s="8007" t="n"/>
      <c r="F60" s="12439" t="n"/>
      <c r="G60" s="8007" t="n"/>
      <c r="H60" s="8007" t="n"/>
      <c r="I60" s="8008" t="n"/>
      <c r="J60" s="12440">
        <f>IF(AM60&lt;&gt;"",ROUND(AM60,0),IF(OR(B60="",F60=""),"",F60-B60))</f>
        <v/>
      </c>
      <c r="K60" s="8412" t="n"/>
      <c r="L60" s="8412" t="n"/>
      <c r="M60" s="11734" t="n"/>
      <c r="N60" s="12441" t="n"/>
      <c r="O60" s="8007" t="n"/>
      <c r="P60" s="8007" t="n"/>
      <c r="Q60" s="8007" t="n"/>
      <c r="R60" s="12128" t="n"/>
      <c r="S60" s="12442" t="n"/>
      <c r="T60" s="8007" t="n"/>
      <c r="U60" s="8007" t="n"/>
      <c r="V60" s="12128" t="n"/>
      <c r="W60" s="12439" t="n"/>
      <c r="X60" s="8007" t="n"/>
      <c r="Y60" s="8007" t="n"/>
      <c r="Z60" s="8008" t="n"/>
      <c r="AA60" s="12440">
        <f>IF(AO60&lt;&gt;"",ROUND(AO60,0),IF(OR(S60="",W60=""),"",W60-S60))</f>
        <v/>
      </c>
      <c r="AB60" s="8412" t="n"/>
      <c r="AC60" s="8412" t="n"/>
      <c r="AD60" s="11734" t="n"/>
      <c r="AE60" s="9826" t="n"/>
      <c r="AF60" s="8007" t="n"/>
      <c r="AG60" s="8007" t="n"/>
      <c r="AH60" s="8007" t="n"/>
      <c r="AI60" s="8007" t="n"/>
      <c r="AJ60" s="8007" t="n"/>
      <c r="AK60" s="2013" t="n"/>
      <c r="AM60" s="453" t="n"/>
      <c r="AO60" s="453" t="n"/>
      <c r="AP60" s="2048" t="n"/>
      <c r="BL60" s="2027" t="n"/>
      <c r="BM60" s="2027" t="n"/>
      <c r="BO60" s="2027" t="n"/>
      <c r="BP60" s="2027" t="n"/>
      <c r="BQ60" s="2027" t="n"/>
      <c r="BR60" s="2027" t="n"/>
      <c r="BS60" s="2027" t="n"/>
      <c r="BT60" s="2027" t="n"/>
      <c r="BU60" s="2027" t="n"/>
      <c r="BV60" s="2027" t="n"/>
    </row>
    <row r="61" ht="14.25" customHeight="1" s="7635">
      <c r="A61" s="2013" t="n"/>
      <c r="B61" s="11602" t="n"/>
      <c r="C61" s="734" t="inlineStr">
        <is>
          <t xml:space="preserve">15 a </t>
        </is>
      </c>
      <c r="D61" s="344" t="inlineStr">
        <is>
          <t>List any contractual terms or other conditions relating to the length of your employment abroad.</t>
        </is>
      </c>
      <c r="E61" s="11602" t="n"/>
      <c r="F61" s="11602" t="n"/>
      <c r="G61" s="11602" t="n"/>
      <c r="H61" s="11602" t="n"/>
      <c r="I61" s="11602" t="n"/>
      <c r="J61" s="11602" t="n"/>
      <c r="K61" s="11602" t="n"/>
      <c r="L61" s="11602" t="n"/>
      <c r="M61" s="11602" t="n"/>
      <c r="N61" s="11602" t="n"/>
      <c r="O61" s="11602" t="n"/>
      <c r="P61" s="11602" t="n"/>
      <c r="Q61" s="11602" t="n"/>
      <c r="R61" s="11602" t="n"/>
      <c r="S61" s="11602" t="n"/>
      <c r="T61" s="11602" t="n"/>
      <c r="U61" s="11602" t="n"/>
      <c r="V61" s="11602" t="n"/>
      <c r="W61" s="11602" t="n"/>
      <c r="X61" s="11602" t="n"/>
      <c r="Y61" s="11602" t="n"/>
      <c r="Z61" s="11602" t="n"/>
      <c r="AA61" s="9832" t="n"/>
      <c r="AB61" s="12431" t="n"/>
      <c r="AC61" s="12431" t="n"/>
      <c r="AD61" s="12431" t="n"/>
      <c r="AE61" s="12431" t="n"/>
      <c r="AF61" s="12431" t="n"/>
      <c r="AG61" s="12431" t="n"/>
      <c r="AH61" s="12431" t="n"/>
      <c r="AI61" s="12431" t="n"/>
      <c r="AJ61" s="12431" t="n"/>
      <c r="AK61" s="2013" t="n"/>
      <c r="AO61" s="2042" t="n"/>
      <c r="AP61" s="2048" t="n"/>
      <c r="BL61" s="2027" t="n"/>
      <c r="BM61" s="2027" t="n"/>
      <c r="BO61" s="2027" t="n"/>
      <c r="BP61" s="2027" t="n"/>
      <c r="BQ61" s="2027" t="n"/>
      <c r="BR61" s="2027" t="n"/>
      <c r="BS61" s="2027" t="n"/>
      <c r="BT61" s="2027" t="n"/>
      <c r="BU61" s="2027" t="n"/>
      <c r="BV61" s="2027" t="n"/>
    </row>
    <row r="62" ht="14.25" customHeight="1" s="7635">
      <c r="A62" s="2013" t="n"/>
      <c r="B62" s="11602" t="n"/>
      <c r="C62" s="11602" t="n"/>
      <c r="D62" s="9759" t="n"/>
      <c r="E62" s="11730" t="n"/>
      <c r="F62" s="11730" t="n"/>
      <c r="G62" s="11730" t="n"/>
      <c r="H62" s="11730" t="n"/>
      <c r="I62" s="11730" t="n"/>
      <c r="J62" s="11730" t="n"/>
      <c r="K62" s="11730" t="n"/>
      <c r="L62" s="11730" t="n"/>
      <c r="M62" s="11730" t="n"/>
      <c r="N62" s="11730" t="n"/>
      <c r="O62" s="11730" t="n"/>
      <c r="P62" s="11730" t="n"/>
      <c r="Q62" s="11730" t="n"/>
      <c r="R62" s="11730" t="n"/>
      <c r="S62" s="11730" t="n"/>
      <c r="T62" s="11730" t="n"/>
      <c r="U62" s="11730" t="n"/>
      <c r="V62" s="11730" t="n"/>
      <c r="W62" s="11730" t="n"/>
      <c r="X62" s="11730" t="n"/>
      <c r="Y62" s="11730" t="n"/>
      <c r="Z62" s="11730" t="n"/>
      <c r="AA62" s="11730" t="n"/>
      <c r="AB62" s="11730" t="n"/>
      <c r="AC62" s="11730" t="n"/>
      <c r="AD62" s="11730" t="n"/>
      <c r="AE62" s="11730" t="n"/>
      <c r="AF62" s="11730" t="n"/>
      <c r="AG62" s="11730" t="n"/>
      <c r="AH62" s="11730" t="n"/>
      <c r="AI62" s="11730" t="n"/>
      <c r="AJ62" s="11730" t="n"/>
      <c r="AK62" s="2013" t="n"/>
      <c r="AO62" s="2042" t="n"/>
      <c r="AP62" s="2048" t="n"/>
      <c r="BL62" s="2027" t="n"/>
      <c r="BM62" s="2027" t="n"/>
      <c r="BO62" s="2027" t="n"/>
      <c r="BP62" s="2027" t="n"/>
      <c r="BQ62" s="2027" t="n"/>
      <c r="BR62" s="2027" t="n"/>
      <c r="BS62" s="2027" t="n"/>
      <c r="BT62" s="2027" t="n"/>
      <c r="BU62" s="2027" t="n"/>
      <c r="BV62" s="2027" t="n"/>
    </row>
    <row r="63" ht="14.25" customHeight="1" s="7635">
      <c r="A63" s="2013" t="n"/>
      <c r="B63" s="11602" t="n"/>
      <c r="C63" s="734" t="inlineStr">
        <is>
          <t xml:space="preserve">b </t>
        </is>
      </c>
      <c r="D63" s="8650" t="inlineStr">
        <is>
          <t>Enter the type of visa under which you entered the foreign country.</t>
        </is>
      </c>
      <c r="E63" s="11602" t="n"/>
      <c r="F63" s="11602" t="n"/>
      <c r="G63" s="11602" t="n"/>
      <c r="H63" s="11602" t="n"/>
      <c r="I63" s="11602" t="n"/>
      <c r="J63" s="11602" t="n"/>
      <c r="K63" s="11602" t="n"/>
      <c r="L63" s="11602" t="n"/>
      <c r="M63" s="11602" t="n"/>
      <c r="N63" s="11602" t="n"/>
      <c r="O63" s="11602" t="n"/>
      <c r="P63" s="11602" t="n"/>
      <c r="Q63" s="11602" t="n"/>
      <c r="R63" s="11602" t="n"/>
      <c r="S63" s="11602" t="n"/>
      <c r="T63" s="11602" t="n"/>
      <c r="U63" s="9839" t="n"/>
      <c r="V63" s="12030" t="n"/>
      <c r="W63" s="12030" t="n"/>
      <c r="X63" s="12030" t="n"/>
      <c r="Y63" s="12030" t="n"/>
      <c r="Z63" s="12030" t="n"/>
      <c r="AA63" s="12030" t="n"/>
      <c r="AB63" s="12030" t="n"/>
      <c r="AC63" s="12030" t="n"/>
      <c r="AD63" s="12030" t="n"/>
      <c r="AE63" s="12030" t="n"/>
      <c r="AF63" s="12030" t="n"/>
      <c r="AG63" s="12030" t="n"/>
      <c r="AH63" s="12030" t="n"/>
      <c r="AI63" s="12030" t="n"/>
      <c r="AJ63" s="12030" t="n"/>
      <c r="AK63" s="2013" t="n"/>
      <c r="AO63" s="2042" t="n"/>
      <c r="AP63" s="2048" t="n"/>
      <c r="BL63" s="2027" t="n"/>
      <c r="BM63" s="2027" t="n"/>
      <c r="BO63" s="2027" t="n"/>
      <c r="BP63" s="2027" t="n"/>
      <c r="BQ63" s="2027" t="n"/>
      <c r="BR63" s="2027" t="n"/>
      <c r="BS63" s="2027" t="n"/>
      <c r="BT63" s="2027" t="n"/>
      <c r="BU63" s="2027" t="n"/>
      <c r="BV63" s="2027" t="n"/>
    </row>
    <row r="64" ht="5.25" customHeight="1" s="7635" thickBot="1">
      <c r="A64" s="2013" t="n"/>
      <c r="B64" s="11602" t="n"/>
      <c r="C64" s="11602" t="n"/>
      <c r="D64" s="11602" t="n"/>
      <c r="E64" s="11602" t="n"/>
      <c r="F64" s="11602" t="n"/>
      <c r="G64" s="11602" t="n"/>
      <c r="H64" s="11602" t="n"/>
      <c r="I64" s="11602" t="n"/>
      <c r="J64" s="11602" t="n"/>
      <c r="K64" s="11602" t="n"/>
      <c r="L64" s="11602" t="n"/>
      <c r="M64" s="11602" t="n"/>
      <c r="N64" s="11602" t="n"/>
      <c r="O64" s="11602" t="n"/>
      <c r="P64" s="11602" t="n"/>
      <c r="Q64" s="11602" t="n"/>
      <c r="R64" s="11602" t="n"/>
      <c r="S64" s="11602" t="n"/>
      <c r="T64" s="11602" t="n"/>
      <c r="U64" s="11602" t="n"/>
      <c r="V64" s="11602" t="n"/>
      <c r="W64" s="11602" t="n"/>
      <c r="X64" s="11602" t="n"/>
      <c r="Y64" s="11602" t="n"/>
      <c r="Z64" s="11602" t="n"/>
      <c r="AA64" s="11602" t="n"/>
      <c r="AB64" s="11602" t="n"/>
      <c r="AC64" s="11602" t="n"/>
      <c r="AD64" s="11602" t="n"/>
      <c r="AE64" s="11602" t="n"/>
      <c r="AF64" s="11602" t="n"/>
      <c r="AG64" s="11602" t="n"/>
      <c r="AH64" s="11602" t="n"/>
      <c r="AI64" s="11602" t="n"/>
      <c r="AJ64" s="11602" t="n"/>
      <c r="AK64" s="2013" t="n"/>
      <c r="BL64" s="2027" t="n"/>
      <c r="BM64" s="2027" t="n"/>
      <c r="BO64" s="2027" t="n"/>
      <c r="BP64" s="2027" t="n"/>
      <c r="BQ64" s="2027" t="n"/>
      <c r="BR64" s="2027" t="n"/>
      <c r="BS64" s="2027" t="n"/>
      <c r="BT64" s="2027" t="n"/>
      <c r="BU64" s="2027" t="n"/>
      <c r="BV64" s="2027" t="n"/>
    </row>
    <row r="65" ht="13.5" customHeight="1" s="7635" thickBot="1">
      <c r="A65" s="2013" t="n"/>
      <c r="B65" s="11602" t="n"/>
      <c r="C65" s="734" t="inlineStr">
        <is>
          <t xml:space="preserve">c </t>
        </is>
      </c>
      <c r="D65" s="8650" t="inlineStr">
        <is>
          <t>Did your visa limit the length of your stay or employment in a foreign country? If “Yes,” attach explanation</t>
        </is>
      </c>
      <c r="E65" s="11602" t="n"/>
      <c r="F65" s="11602" t="n"/>
      <c r="G65" s="11602" t="n"/>
      <c r="H65" s="11602" t="n"/>
      <c r="I65" s="11602" t="n"/>
      <c r="J65" s="11602" t="n"/>
      <c r="K65" s="11602" t="n"/>
      <c r="L65" s="11602" t="n"/>
      <c r="M65" s="11602" t="n"/>
      <c r="N65" s="11602" t="n"/>
      <c r="O65" s="11602" t="n"/>
      <c r="P65" s="11602" t="n"/>
      <c r="Q65" s="11602" t="n"/>
      <c r="R65" s="11602" t="n"/>
      <c r="S65" s="11602" t="n"/>
      <c r="T65" s="11602" t="n"/>
      <c r="U65" s="11602" t="n"/>
      <c r="V65" s="11602" t="n"/>
      <c r="W65" s="11602" t="n"/>
      <c r="X65" s="11602" t="n"/>
      <c r="Y65" s="11602" t="n"/>
      <c r="Z65" s="11602" t="n"/>
      <c r="AA65" s="11602" t="n"/>
      <c r="AB65" s="11602" t="n"/>
      <c r="AC65" s="11602" t="n"/>
      <c r="AD65" s="2031" t="inlineStr">
        <is>
          <t xml:space="preserve">.   . </t>
        </is>
      </c>
      <c r="AE65" s="277" t="n"/>
      <c r="AF65" s="344" t="inlineStr">
        <is>
          <t>Yes</t>
        </is>
      </c>
      <c r="AG65" s="11602" t="n"/>
      <c r="AH65" s="277" t="n"/>
      <c r="AI65" s="344" t="inlineStr">
        <is>
          <t>No</t>
        </is>
      </c>
      <c r="AJ65" s="11602" t="n"/>
      <c r="AK65" s="2013" t="n"/>
      <c r="AO65" s="2042" t="n"/>
      <c r="AP65" s="2048" t="n"/>
      <c r="BL65" s="2027" t="n"/>
      <c r="BM65" s="2027" t="n"/>
      <c r="BO65" s="2027" t="n"/>
      <c r="BP65" s="2027" t="n"/>
      <c r="BQ65" s="2027" t="n"/>
      <c r="BR65" s="2027" t="n"/>
      <c r="BS65" s="2027" t="n"/>
      <c r="BT65" s="2027" t="n"/>
      <c r="BU65" s="2027" t="n"/>
      <c r="BV65" s="2027" t="n"/>
    </row>
    <row r="66" ht="3.75" customHeight="1" s="7635" thickBot="1">
      <c r="A66" s="2013" t="n"/>
      <c r="B66" s="11602" t="n"/>
      <c r="C66" s="734" t="n"/>
      <c r="D66" s="11602" t="n"/>
      <c r="E66" s="11602" t="n"/>
      <c r="F66" s="11602" t="n"/>
      <c r="G66" s="11602" t="n"/>
      <c r="H66" s="11602" t="n"/>
      <c r="I66" s="11602" t="n"/>
      <c r="J66" s="11602" t="n"/>
      <c r="K66" s="11602" t="n"/>
      <c r="L66" s="11602" t="n"/>
      <c r="M66" s="11602" t="n"/>
      <c r="N66" s="11602" t="n"/>
      <c r="O66" s="11602" t="n"/>
      <c r="P66" s="11602" t="n"/>
      <c r="Q66" s="11602" t="n"/>
      <c r="R66" s="11602" t="n"/>
      <c r="S66" s="11602" t="n"/>
      <c r="T66" s="11602" t="n"/>
      <c r="U66" s="11602" t="n"/>
      <c r="V66" s="11602" t="n"/>
      <c r="W66" s="11602" t="n"/>
      <c r="X66" s="11602" t="n"/>
      <c r="Y66" s="11602" t="n"/>
      <c r="Z66" s="11602" t="n"/>
      <c r="AA66" s="11602" t="n"/>
      <c r="AB66" s="11602" t="n"/>
      <c r="AC66" s="11602" t="n"/>
      <c r="AD66" s="11602" t="n"/>
      <c r="AE66" s="435" t="n"/>
      <c r="AF66" s="344" t="n"/>
      <c r="AG66" s="11602" t="n"/>
      <c r="AH66" s="435" t="n"/>
      <c r="AI66" s="344" t="n"/>
      <c r="AJ66" s="11602" t="n"/>
      <c r="AK66" s="2013" t="n"/>
      <c r="AO66" s="2042" t="n"/>
      <c r="AP66" s="2048" t="n"/>
      <c r="BL66" s="2027" t="n"/>
      <c r="BM66" s="2027" t="n"/>
      <c r="BO66" s="2027" t="n"/>
      <c r="BP66" s="2027" t="n"/>
      <c r="BQ66" s="2027" t="n"/>
      <c r="BR66" s="2027" t="n"/>
      <c r="BS66" s="2027" t="n"/>
      <c r="BT66" s="2027" t="n"/>
      <c r="BU66" s="2027" t="n"/>
      <c r="BV66" s="2027" t="n"/>
    </row>
    <row r="67" ht="13.5" customHeight="1" s="7635" thickBot="1">
      <c r="A67" s="2013" t="n"/>
      <c r="B67" s="11602" t="n"/>
      <c r="C67" s="734" t="inlineStr">
        <is>
          <t>d</t>
        </is>
      </c>
      <c r="D67" s="8650" t="inlineStr">
        <is>
          <t>Did you maintain a home in the United States while living abroad?</t>
        </is>
      </c>
      <c r="E67" s="11602" t="n"/>
      <c r="F67" s="11602" t="n"/>
      <c r="G67" s="11602" t="n"/>
      <c r="H67" s="11602" t="n"/>
      <c r="I67" s="11602" t="n"/>
      <c r="J67" s="11602" t="n"/>
      <c r="K67" s="11602" t="n"/>
      <c r="L67" s="11602" t="n"/>
      <c r="M67" s="11602" t="n"/>
      <c r="N67" s="11602" t="n"/>
      <c r="O67" s="11602" t="n"/>
      <c r="P67" s="11602" t="n"/>
      <c r="Q67" s="11602" t="n"/>
      <c r="R67" s="11602" t="n"/>
      <c r="S67" s="11602" t="n"/>
      <c r="T67" s="11602" t="n"/>
      <c r="U67" s="11602" t="n"/>
      <c r="V67" s="11602" t="n"/>
      <c r="W67" s="11602" t="n"/>
      <c r="X67" s="11602" t="n"/>
      <c r="Y67" s="11602" t="n"/>
      <c r="Z67" s="11602" t="n"/>
      <c r="AA67" s="11602" t="n"/>
      <c r="AB67" s="11602" t="n"/>
      <c r="AC67" s="11602" t="n"/>
      <c r="AD67" s="2031" t="inlineStr">
        <is>
          <t xml:space="preserve">.   .   .   .   .   .   .   .   .   .   .   .   .   .   .   .   .   .   .   . </t>
        </is>
      </c>
      <c r="AE67" s="277" t="n"/>
      <c r="AF67" s="344" t="inlineStr">
        <is>
          <t>Yes</t>
        </is>
      </c>
      <c r="AG67" s="11602" t="n"/>
      <c r="AH67" s="277" t="n"/>
      <c r="AI67" s="344" t="inlineStr">
        <is>
          <t>No</t>
        </is>
      </c>
      <c r="AJ67" s="11602" t="n"/>
      <c r="AK67" s="2013" t="n"/>
      <c r="AO67" s="2027" t="n"/>
      <c r="AP67" s="2027" t="n"/>
      <c r="BL67" s="2027" t="n"/>
      <c r="BM67" s="2027" t="n"/>
      <c r="BO67" s="2027" t="n"/>
      <c r="BP67" s="2027" t="n"/>
      <c r="BQ67" s="2027" t="n"/>
      <c r="BR67" s="2027" t="n"/>
      <c r="BS67" s="2027" t="n"/>
      <c r="BT67" s="2027" t="n"/>
      <c r="BU67" s="2027" t="n"/>
      <c r="BV67" s="2027" t="n"/>
    </row>
    <row r="68" ht="14.25" customHeight="1" s="7635">
      <c r="A68" s="2013" t="n"/>
      <c r="B68" s="11602" t="n"/>
      <c r="C68" s="734" t="inlineStr">
        <is>
          <t>e</t>
        </is>
      </c>
      <c r="D68" s="8650" t="inlineStr">
        <is>
          <t>If “Yes,” enter address of your home, whether it was rented, the names of the occupants, and their relationship</t>
        </is>
      </c>
      <c r="E68" s="11602" t="n"/>
      <c r="F68" s="11602" t="n"/>
      <c r="G68" s="11602" t="n"/>
      <c r="H68" s="11602" t="n"/>
      <c r="I68" s="11602" t="n"/>
      <c r="J68" s="11602" t="n"/>
      <c r="K68" s="11602" t="n"/>
      <c r="L68" s="11602" t="n"/>
      <c r="M68" s="11602" t="n"/>
      <c r="N68" s="11602" t="n"/>
      <c r="O68" s="11602" t="n"/>
      <c r="P68" s="11602" t="n"/>
      <c r="Q68" s="11602" t="n"/>
      <c r="R68" s="11602" t="n"/>
      <c r="S68" s="11602" t="n"/>
      <c r="T68" s="11602" t="n"/>
      <c r="U68" s="11602" t="n"/>
      <c r="V68" s="11602" t="n"/>
      <c r="W68" s="11602" t="n"/>
      <c r="X68" s="11602" t="n"/>
      <c r="Y68" s="11602" t="n"/>
      <c r="Z68" s="11602" t="n"/>
      <c r="AA68" s="11602" t="n"/>
      <c r="AB68" s="11602" t="n"/>
      <c r="AC68" s="11602" t="n"/>
      <c r="AD68" s="11602" t="n"/>
      <c r="AE68" s="11602" t="n"/>
      <c r="AF68" s="11602" t="n"/>
      <c r="AG68" s="11602" t="n"/>
      <c r="AH68" s="11602" t="n"/>
      <c r="AI68" s="11602" t="n"/>
      <c r="AJ68" s="11602" t="n"/>
      <c r="AK68" s="2013" t="n"/>
      <c r="AO68" s="2027" t="n"/>
      <c r="AP68" s="2027" t="n"/>
      <c r="BL68" s="2027" t="n"/>
      <c r="BM68" s="2027" t="n"/>
      <c r="BO68" s="2027" t="n"/>
      <c r="BP68" s="2027" t="n"/>
      <c r="BQ68" s="2027" t="n"/>
      <c r="BR68" s="2027" t="n"/>
      <c r="BS68" s="2027" t="n"/>
      <c r="BT68" s="2027" t="n"/>
      <c r="BU68" s="2027" t="n"/>
      <c r="BV68" s="2027" t="n"/>
    </row>
    <row r="69" ht="14.25" customHeight="1" s="7635">
      <c r="A69" s="2013" t="n"/>
      <c r="B69" s="11602" t="n"/>
      <c r="C69" s="734" t="n"/>
      <c r="D69" s="8650" t="inlineStr">
        <is>
          <t>to you.</t>
        </is>
      </c>
      <c r="E69" s="11602" t="n"/>
      <c r="F69" s="11602" t="n"/>
      <c r="G69" s="9833" t="n"/>
      <c r="H69" s="11730" t="n"/>
      <c r="I69" s="11730" t="n"/>
      <c r="J69" s="11730" t="n"/>
      <c r="K69" s="11730" t="n"/>
      <c r="L69" s="11730" t="n"/>
      <c r="M69" s="11730" t="n"/>
      <c r="N69" s="11730" t="n"/>
      <c r="O69" s="11730" t="n"/>
      <c r="P69" s="11730" t="n"/>
      <c r="Q69" s="11730" t="n"/>
      <c r="R69" s="11730" t="n"/>
      <c r="S69" s="11730" t="n"/>
      <c r="T69" s="11730" t="n"/>
      <c r="U69" s="11730" t="n"/>
      <c r="V69" s="11730" t="n"/>
      <c r="W69" s="11730" t="n"/>
      <c r="X69" s="11730" t="n"/>
      <c r="Y69" s="11730" t="n"/>
      <c r="Z69" s="11730" t="n"/>
      <c r="AA69" s="11730" t="n"/>
      <c r="AB69" s="11730" t="n"/>
      <c r="AC69" s="11730" t="n"/>
      <c r="AD69" s="11730" t="n"/>
      <c r="AE69" s="11730" t="n"/>
      <c r="AF69" s="11730" t="n"/>
      <c r="AG69" s="11730" t="n"/>
      <c r="AH69" s="11730" t="n"/>
      <c r="AI69" s="11730" t="n"/>
      <c r="AJ69" s="11730" t="n"/>
      <c r="AK69" s="2013" t="n"/>
      <c r="AO69" s="2049" t="n"/>
      <c r="AP69" s="2049" t="n"/>
      <c r="BL69" s="2027" t="n"/>
      <c r="BM69" s="2027" t="n"/>
      <c r="BO69" s="2027" t="n"/>
      <c r="BP69" s="2027" t="n"/>
      <c r="BQ69" s="2027" t="n"/>
      <c r="BR69" s="2027" t="n"/>
      <c r="BS69" s="2027" t="n"/>
      <c r="BT69" s="2027" t="n"/>
      <c r="BU69" s="2027" t="n"/>
      <c r="BV69" s="2027" t="n"/>
    </row>
    <row r="70" ht="15" customHeight="1" s="7635">
      <c r="A70" s="2013" t="n"/>
      <c r="B70" s="11602" t="n"/>
      <c r="C70" s="11602" t="n"/>
      <c r="D70" s="9833" t="n"/>
      <c r="E70" s="11730" t="n"/>
      <c r="F70" s="11730" t="n"/>
      <c r="G70" s="11730" t="n"/>
      <c r="H70" s="11730" t="n"/>
      <c r="I70" s="11730" t="n"/>
      <c r="J70" s="11730" t="n"/>
      <c r="K70" s="11730" t="n"/>
      <c r="L70" s="11730" t="n"/>
      <c r="M70" s="11730" t="n"/>
      <c r="N70" s="11730" t="n"/>
      <c r="O70" s="11730" t="n"/>
      <c r="P70" s="11730" t="n"/>
      <c r="Q70" s="11730" t="n"/>
      <c r="R70" s="11730" t="n"/>
      <c r="S70" s="11730" t="n"/>
      <c r="T70" s="11730" t="n"/>
      <c r="U70" s="11730" t="n"/>
      <c r="V70" s="11730" t="n"/>
      <c r="W70" s="11730" t="n"/>
      <c r="X70" s="11730" t="n"/>
      <c r="Y70" s="11730" t="n"/>
      <c r="Z70" s="11730" t="n"/>
      <c r="AA70" s="11730" t="n"/>
      <c r="AB70" s="11730" t="n"/>
      <c r="AC70" s="11730" t="n"/>
      <c r="AD70" s="11730" t="n"/>
      <c r="AE70" s="11730" t="n"/>
      <c r="AF70" s="11730" t="n"/>
      <c r="AG70" s="11730" t="n"/>
      <c r="AH70" s="11730" t="n"/>
      <c r="AI70" s="11730" t="n"/>
      <c r="AJ70" s="11730" t="n"/>
      <c r="AK70" s="2013" t="n"/>
      <c r="AM70" s="433" t="n"/>
      <c r="AN70" s="433" t="n"/>
      <c r="AO70" s="2050" t="n"/>
      <c r="AP70" s="2051" t="n"/>
      <c r="BL70" s="2027" t="n"/>
      <c r="BM70" s="2027" t="n"/>
      <c r="BO70" s="2027" t="n"/>
      <c r="BP70" s="2027" t="n"/>
      <c r="BQ70" s="2027" t="n"/>
      <c r="BR70" s="2027" t="n"/>
      <c r="BS70" s="2027" t="n"/>
      <c r="BT70" s="2027" t="n"/>
      <c r="BU70" s="2027" t="n"/>
      <c r="BV70" s="2027" t="n"/>
    </row>
    <row r="71" ht="18.75" customHeight="1" s="7635">
      <c r="A71" s="2013" t="n"/>
      <c r="B71" s="226" t="inlineStr">
        <is>
          <t>For Paperwork Reduction Act Notice, see the Form 1040 instructions.</t>
        </is>
      </c>
      <c r="C71" s="11403" t="n"/>
      <c r="D71" s="11403" t="n"/>
      <c r="E71" s="11403" t="n"/>
      <c r="F71" s="11403" t="n"/>
      <c r="G71" s="11403" t="n"/>
      <c r="H71" s="11403" t="n"/>
      <c r="I71" s="11403" t="n"/>
      <c r="J71" s="11403" t="n"/>
      <c r="K71" s="11403" t="n"/>
      <c r="L71" s="11403" t="n"/>
      <c r="M71" s="11403" t="n"/>
      <c r="N71" s="11403" t="n"/>
      <c r="O71" s="11403" t="n"/>
      <c r="P71" s="11403" t="n"/>
      <c r="Q71" s="88" t="n"/>
      <c r="R71" s="88" t="n"/>
      <c r="S71" s="88" t="n"/>
      <c r="T71" s="88" t="n"/>
      <c r="U71" s="229" t="n"/>
      <c r="V71" s="88" t="n"/>
      <c r="W71" s="229" t="inlineStr">
        <is>
          <t>Cat. No. 11900P</t>
        </is>
      </c>
      <c r="X71" s="88" t="n"/>
      <c r="Y71" s="88" t="n"/>
      <c r="Z71" s="88" t="n"/>
      <c r="AA71" s="88" t="n"/>
      <c r="AB71" s="88" t="n"/>
      <c r="AC71" s="88" t="n"/>
      <c r="AD71" s="88" t="n"/>
      <c r="AE71" s="88" t="n"/>
      <c r="AF71" s="88" t="n"/>
      <c r="AG71" s="88" t="n"/>
      <c r="AH71" s="2052" t="inlineStr">
        <is>
          <t>Form 2555</t>
        </is>
      </c>
      <c r="AI71" s="88" t="n"/>
      <c r="AJ71" s="2052">
        <f>"("&amp;TaxYear&amp;")"</f>
        <v/>
      </c>
      <c r="AK71" s="2013" t="n"/>
      <c r="AM71" s="433" t="n"/>
      <c r="AN71" s="433" t="n"/>
      <c r="AO71" s="2050" t="n"/>
      <c r="AP71" s="2051" t="n"/>
      <c r="BL71" s="2027" t="n"/>
      <c r="BM71" s="2027" t="n"/>
      <c r="BO71" s="2027" t="n"/>
      <c r="BP71" s="2027" t="n"/>
      <c r="BQ71" s="2027" t="n"/>
      <c r="BR71" s="2027" t="n"/>
      <c r="BS71" s="2027" t="n"/>
      <c r="BT71" s="2027" t="n"/>
      <c r="BU71" s="2027" t="n"/>
      <c r="BV71" s="2027" t="n"/>
    </row>
    <row r="72" ht="18.75" customHeight="1" s="7635" thickBot="1">
      <c r="A72" s="2013" t="n"/>
      <c r="B72" s="721">
        <f>"Form 2555 ("&amp;TaxYear&amp;")"</f>
        <v/>
      </c>
      <c r="C72" s="721" t="n"/>
      <c r="D72" s="721" t="n"/>
      <c r="E72" s="721" t="n"/>
      <c r="F72" s="721" t="n"/>
      <c r="G72" s="721" t="n"/>
      <c r="H72" s="721" t="n"/>
      <c r="I72" s="721" t="n"/>
      <c r="J72" s="721" t="n"/>
      <c r="K72" s="721" t="n"/>
      <c r="L72" s="721" t="n"/>
      <c r="M72" s="721" t="n"/>
      <c r="N72" s="721" t="n"/>
      <c r="O72" s="721" t="n"/>
      <c r="P72" s="721" t="n"/>
      <c r="Q72" s="721" t="n"/>
      <c r="R72" s="721" t="n"/>
      <c r="S72" s="721" t="n"/>
      <c r="T72" s="721" t="n"/>
      <c r="U72" s="721" t="n"/>
      <c r="V72" s="721" t="n"/>
      <c r="W72" s="721" t="n"/>
      <c r="X72" s="721" t="n"/>
      <c r="Y72" s="721" t="n"/>
      <c r="Z72" s="721" t="n"/>
      <c r="AA72" s="721" t="n"/>
      <c r="AB72" s="721" t="n"/>
      <c r="AC72" s="721" t="n"/>
      <c r="AD72" s="721" t="n"/>
      <c r="AE72" s="721" t="n"/>
      <c r="AF72" s="721" t="n"/>
      <c r="AG72" s="721" t="n"/>
      <c r="AH72" s="721" t="n"/>
      <c r="AI72" s="2053" t="inlineStr">
        <is>
          <t>Page</t>
        </is>
      </c>
      <c r="AJ72" s="2054" t="n">
        <v>2</v>
      </c>
      <c r="AK72" s="2013" t="n"/>
      <c r="AO72" s="2050" t="n"/>
      <c r="AP72" s="2051" t="n"/>
      <c r="BL72" s="2027" t="n"/>
      <c r="BM72" s="2027" t="n"/>
      <c r="BO72" s="2027" t="n"/>
      <c r="BP72" s="2027" t="n"/>
      <c r="BQ72" s="2027" t="n"/>
      <c r="BR72" s="2027" t="n"/>
      <c r="BS72" s="2027" t="n"/>
      <c r="BT72" s="2027" t="n"/>
      <c r="BU72" s="2027" t="n"/>
      <c r="BV72" s="2027" t="n"/>
    </row>
    <row r="73" ht="5.25" customHeight="1" s="7635" thickTop="1">
      <c r="A73" s="2013" t="n"/>
      <c r="B73" s="2036" t="n"/>
      <c r="C73" s="2036" t="n"/>
      <c r="D73" s="2036" t="n"/>
      <c r="E73" s="2036" t="n"/>
      <c r="F73" s="2036" t="n"/>
      <c r="G73" s="2036" t="n"/>
      <c r="H73" s="2036" t="n"/>
      <c r="I73" s="2036" t="n"/>
      <c r="J73" s="2036" t="n"/>
      <c r="K73" s="2036" t="n"/>
      <c r="L73" s="2036" t="n"/>
      <c r="M73" s="2036" t="n"/>
      <c r="N73" s="2036" t="n"/>
      <c r="O73" s="2036" t="n"/>
      <c r="P73" s="2036" t="n"/>
      <c r="Q73" s="2036" t="n"/>
      <c r="R73" s="2036" t="n"/>
      <c r="S73" s="2036" t="n"/>
      <c r="T73" s="2036" t="n"/>
      <c r="U73" s="2036" t="n"/>
      <c r="V73" s="2036" t="n"/>
      <c r="W73" s="2036" t="n"/>
      <c r="X73" s="2036" t="n"/>
      <c r="Y73" s="2036" t="n"/>
      <c r="Z73" s="2036" t="n"/>
      <c r="AA73" s="2036" t="n"/>
      <c r="AB73" s="2036" t="n"/>
      <c r="AC73" s="2036" t="n"/>
      <c r="AD73" s="2036" t="n"/>
      <c r="AE73" s="2036" t="n"/>
      <c r="AF73" s="2036" t="n"/>
      <c r="AG73" s="2036" t="n"/>
      <c r="AH73" s="2036" t="n"/>
      <c r="AI73" s="2036" t="n"/>
      <c r="AJ73" s="2036" t="n"/>
      <c r="AK73" s="2013" t="n"/>
    </row>
    <row r="74" ht="15" customHeight="1" s="7635">
      <c r="A74" s="2013" t="n"/>
      <c r="B74" s="7938" t="inlineStr">
        <is>
          <t>Part III</t>
        </is>
      </c>
      <c r="C74" s="8412" t="n"/>
      <c r="D74" s="2055" t="inlineStr">
        <is>
          <t>Taxpayers Qualifying Under Physical Presence Test</t>
        </is>
      </c>
      <c r="E74" s="1990" t="n"/>
      <c r="F74" s="1990" t="n"/>
      <c r="G74" s="1990" t="n"/>
      <c r="H74" s="1990" t="n"/>
      <c r="I74" s="1990" t="n"/>
      <c r="J74" s="1990" t="n"/>
      <c r="K74" s="1990" t="n"/>
      <c r="L74" s="1990" t="n"/>
      <c r="M74" s="1990" t="n"/>
      <c r="N74" s="1990" t="n"/>
      <c r="O74" s="1990" t="n"/>
      <c r="P74" s="1990" t="n"/>
      <c r="Q74" s="1990" t="n"/>
      <c r="R74" s="1990" t="n"/>
      <c r="S74" s="1990" t="n"/>
      <c r="T74" s="1990" t="n"/>
      <c r="U74" s="1990" t="n"/>
      <c r="V74" s="1990" t="n"/>
      <c r="W74" s="1990" t="n"/>
      <c r="X74" s="1990" t="n"/>
      <c r="Y74" s="1990" t="n"/>
      <c r="Z74" s="1990" t="n"/>
      <c r="AA74" s="1990" t="n"/>
      <c r="AB74" s="1990" t="n"/>
      <c r="AC74" s="1990" t="n"/>
      <c r="AD74" s="1990" t="n"/>
      <c r="AE74" s="1990" t="n"/>
      <c r="AF74" s="1990" t="n"/>
      <c r="AG74" s="1990" t="n"/>
      <c r="AH74" s="1990" t="n"/>
      <c r="AI74" s="1990" t="n"/>
      <c r="AJ74" s="1990" t="n"/>
      <c r="AK74" s="2013" t="n"/>
    </row>
    <row r="75" ht="18.75" customHeight="1" s="7635">
      <c r="A75" s="2013" t="n"/>
      <c r="B75" s="1999" t="n"/>
      <c r="C75" s="1999" t="n"/>
      <c r="D75" s="2056" t="inlineStr">
        <is>
          <t>Note: U.S. citizens and all resident aliens can use this test. See instructions.</t>
        </is>
      </c>
      <c r="E75" s="1999" t="n"/>
      <c r="F75" s="1999" t="n"/>
      <c r="G75" s="1999" t="n"/>
      <c r="H75" s="1999" t="n"/>
      <c r="I75" s="1999" t="n"/>
      <c r="J75" s="1999" t="n"/>
      <c r="K75" s="1999" t="n"/>
      <c r="L75" s="1999" t="n"/>
      <c r="M75" s="1999" t="n"/>
      <c r="N75" s="1999" t="n"/>
      <c r="O75" s="1999" t="n"/>
      <c r="P75" s="1999" t="n"/>
      <c r="Q75" s="1999" t="n"/>
      <c r="R75" s="1999" t="n"/>
      <c r="S75" s="1999" t="n"/>
      <c r="T75" s="1999" t="n"/>
      <c r="U75" s="1999" t="n"/>
      <c r="V75" s="1999" t="n"/>
      <c r="W75" s="1999" t="n"/>
      <c r="X75" s="1999" t="n"/>
      <c r="Y75" s="1999" t="n"/>
      <c r="Z75" s="1999" t="n"/>
      <c r="AA75" s="1999" t="n"/>
      <c r="AB75" s="1999" t="n"/>
      <c r="AC75" s="1999" t="n"/>
      <c r="AD75" s="1999" t="n"/>
      <c r="AE75" s="1999" t="n"/>
      <c r="AF75" s="1999" t="n"/>
      <c r="AG75" s="1999" t="n"/>
      <c r="AH75" s="1999" t="n"/>
      <c r="AI75" s="1999" t="n"/>
      <c r="AJ75" s="1999" t="n"/>
      <c r="AK75" s="2013" t="n"/>
    </row>
    <row r="76" ht="12.75" customHeight="1" s="7635">
      <c r="A76" s="2013" t="n"/>
      <c r="B76" s="9835" t="inlineStr">
        <is>
          <t>16</t>
        </is>
      </c>
      <c r="C76" s="7839" t="n"/>
      <c r="D76" s="8650" t="inlineStr">
        <is>
          <t>The physical presence test is based on the 12-month period from</t>
        </is>
      </c>
      <c r="E76" s="11602" t="n"/>
      <c r="F76" s="11602" t="n"/>
      <c r="G76" s="11602" t="n"/>
      <c r="H76" s="11602" t="n"/>
      <c r="I76" s="11602" t="n"/>
      <c r="J76" s="11602" t="n"/>
      <c r="K76" s="11602" t="n"/>
      <c r="L76" s="11602" t="n"/>
      <c r="M76" s="11602" t="n"/>
      <c r="N76" s="11602" t="n"/>
      <c r="O76" s="11602" t="n"/>
      <c r="P76" s="11602" t="n"/>
      <c r="Q76" s="11602" t="n"/>
      <c r="R76" s="11602" t="n"/>
      <c r="S76" s="11602" t="n"/>
      <c r="T76" s="11602" t="n"/>
      <c r="U76" s="12443" t="n"/>
      <c r="V76" s="12431" t="n"/>
      <c r="W76" s="12431" t="n"/>
      <c r="X76" s="12431" t="n"/>
      <c r="Y76" s="12431" t="n"/>
      <c r="Z76" s="12431" t="n"/>
      <c r="AA76" s="11602" t="n"/>
      <c r="AB76" s="6996" t="inlineStr">
        <is>
          <t>through</t>
        </is>
      </c>
      <c r="AC76" s="11602" t="n"/>
      <c r="AD76" s="12443" t="n"/>
      <c r="AE76" s="12431" t="n"/>
      <c r="AF76" s="12431" t="n"/>
      <c r="AG76" s="12431" t="n"/>
      <c r="AH76" s="12431" t="n"/>
      <c r="AI76" s="12431" t="n"/>
      <c r="AJ76" s="12431" t="n"/>
      <c r="AK76" s="2013" t="n"/>
      <c r="AO76" s="2050" t="n"/>
      <c r="AP76" s="2051" t="n"/>
      <c r="BL76" s="2027" t="n"/>
      <c r="BM76" s="2027" t="n"/>
      <c r="BO76" s="2027" t="n"/>
      <c r="BP76" s="2027" t="n"/>
      <c r="BQ76" s="2027" t="n"/>
      <c r="BR76" s="2027" t="n"/>
      <c r="BS76" s="2027" t="n"/>
      <c r="BT76" s="2027" t="n"/>
      <c r="BU76" s="2027" t="n"/>
      <c r="BV76" s="2027" t="n"/>
    </row>
    <row r="77" ht="15" customHeight="1" s="7635">
      <c r="A77" s="2013" t="n"/>
      <c r="B77" s="9828" t="inlineStr">
        <is>
          <t>17</t>
        </is>
      </c>
      <c r="D77" s="8650" t="inlineStr">
        <is>
          <t>Enter your principal country of employment during your tax year.</t>
        </is>
      </c>
      <c r="E77" s="11602" t="n"/>
      <c r="F77" s="11602" t="n"/>
      <c r="G77" s="11602" t="n"/>
      <c r="H77" s="11602" t="n"/>
      <c r="I77" s="11602" t="n"/>
      <c r="J77" s="11602" t="n"/>
      <c r="K77" s="11602" t="n"/>
      <c r="L77" s="11602" t="n"/>
      <c r="M77" s="11602" t="n"/>
      <c r="N77" s="11602" t="n"/>
      <c r="O77" s="11602" t="n"/>
      <c r="P77" s="11602" t="n"/>
      <c r="Q77" s="11602" t="n"/>
      <c r="R77" s="11602" t="n"/>
      <c r="S77" s="11602" t="n"/>
      <c r="T77" s="9800" t="n"/>
      <c r="U77" s="11730" t="n"/>
      <c r="V77" s="11730" t="n"/>
      <c r="W77" s="11730" t="n"/>
      <c r="X77" s="11730" t="n"/>
      <c r="Y77" s="11730" t="n"/>
      <c r="Z77" s="11730" t="n"/>
      <c r="AA77" s="11730" t="n"/>
      <c r="AB77" s="11730" t="n"/>
      <c r="AC77" s="11730" t="n"/>
      <c r="AD77" s="11730" t="n"/>
      <c r="AE77" s="11730" t="n"/>
      <c r="AF77" s="11730" t="n"/>
      <c r="AG77" s="11730" t="n"/>
      <c r="AH77" s="11730" t="n"/>
      <c r="AI77" s="11730" t="n"/>
      <c r="AJ77" s="11730" t="n"/>
      <c r="AK77" s="2013" t="n"/>
      <c r="AM77" s="433" t="n"/>
      <c r="AN77" s="433" t="n"/>
      <c r="AO77" s="2050" t="n"/>
      <c r="AP77" s="2051" t="n"/>
      <c r="BL77" s="2027" t="n"/>
      <c r="BM77" s="2027" t="n"/>
      <c r="BO77" s="2027" t="n"/>
      <c r="BP77" s="2027" t="n"/>
      <c r="BQ77" s="2027" t="n"/>
      <c r="BR77" s="2027" t="n"/>
      <c r="BS77" s="2027" t="n"/>
      <c r="BT77" s="2027" t="n"/>
      <c r="BU77" s="2027" t="n"/>
      <c r="BV77" s="2027" t="n"/>
    </row>
    <row r="78" ht="18" customHeight="1" s="7635">
      <c r="A78" s="2013" t="n"/>
      <c r="B78" s="9828" t="inlineStr">
        <is>
          <t>18</t>
        </is>
      </c>
      <c r="D78" s="8650" t="inlineStr">
        <is>
          <t>If you traveled abroad during the 12-month period entered on line 16, complete columns (a)–(f) below. Exclude travel between</t>
        </is>
      </c>
      <c r="E78" s="11602" t="n"/>
      <c r="F78" s="11602" t="n"/>
      <c r="G78" s="11602" t="n"/>
      <c r="H78" s="11602" t="n"/>
      <c r="I78" s="11602" t="n"/>
      <c r="J78" s="11602" t="n"/>
      <c r="K78" s="11602" t="n"/>
      <c r="L78" s="11602" t="n"/>
      <c r="M78" s="11602" t="n"/>
      <c r="N78" s="11602" t="n"/>
      <c r="O78" s="11602" t="n"/>
      <c r="P78" s="11602" t="n"/>
      <c r="Q78" s="11602" t="n"/>
      <c r="R78" s="11602" t="n"/>
      <c r="S78" s="11602" t="n"/>
      <c r="T78" s="11602" t="n"/>
      <c r="U78" s="11602" t="n"/>
      <c r="V78" s="11602" t="n"/>
      <c r="W78" s="11602" t="n"/>
      <c r="X78" s="11602" t="n"/>
      <c r="Y78" s="11602" t="n"/>
      <c r="Z78" s="11602" t="n"/>
      <c r="AA78" s="11602" t="n"/>
      <c r="AB78" s="11602" t="n"/>
      <c r="AC78" s="11602" t="n"/>
      <c r="AD78" s="11602" t="n"/>
      <c r="AE78" s="11602" t="n"/>
      <c r="AF78" s="11602" t="n"/>
      <c r="AG78" s="11602" t="n"/>
      <c r="AH78" s="11602" t="n"/>
      <c r="AI78" s="11602" t="n"/>
      <c r="AJ78" s="11602" t="n"/>
      <c r="AK78" s="2013" t="n"/>
      <c r="AO78" s="2050" t="n"/>
      <c r="AP78" s="2057" t="n"/>
      <c r="BL78" s="2027" t="n"/>
      <c r="BM78" s="2027" t="n"/>
      <c r="BO78" s="2027" t="n"/>
      <c r="BP78" s="2027" t="n"/>
      <c r="BQ78" s="2027" t="n"/>
      <c r="BR78" s="2027" t="n"/>
      <c r="BS78" s="2027" t="n"/>
      <c r="BT78" s="2027" t="n"/>
      <c r="BU78" s="2027" t="n"/>
      <c r="BV78" s="2027" t="n"/>
    </row>
    <row r="79" ht="15.75" customHeight="1" s="7635">
      <c r="A79" s="2013" t="n"/>
      <c r="B79" s="11602" t="n"/>
      <c r="C79" s="11602" t="n"/>
      <c r="D79" s="8650" t="inlineStr">
        <is>
          <t>foreign countries that didn't involve travel on or over international waters, or in or over the United States, for 24 hours or more.</t>
        </is>
      </c>
      <c r="E79" s="11602" t="n"/>
      <c r="F79" s="11602" t="n"/>
      <c r="G79" s="11602" t="n"/>
      <c r="H79" s="11602" t="n"/>
      <c r="I79" s="11602" t="n"/>
      <c r="J79" s="11602" t="n"/>
      <c r="K79" s="11602" t="n"/>
      <c r="L79" s="11602" t="n"/>
      <c r="M79" s="11602" t="n"/>
      <c r="N79" s="11602" t="n"/>
      <c r="O79" s="11602" t="n"/>
      <c r="P79" s="11602" t="n"/>
      <c r="Q79" s="11602" t="n"/>
      <c r="R79" s="11602" t="n"/>
      <c r="S79" s="11602" t="n"/>
      <c r="T79" s="11602" t="n"/>
      <c r="U79" s="11602" t="n"/>
      <c r="V79" s="11602" t="n"/>
      <c r="W79" s="11602" t="n"/>
      <c r="X79" s="11602" t="n"/>
      <c r="Y79" s="11602" t="n"/>
      <c r="Z79" s="11602" t="n"/>
      <c r="AA79" s="11602" t="n"/>
      <c r="AB79" s="11602" t="n"/>
      <c r="AC79" s="11602" t="n"/>
      <c r="AD79" s="11602" t="n"/>
      <c r="AE79" s="11602" t="n"/>
      <c r="AF79" s="11602" t="n"/>
      <c r="AG79" s="11602" t="n"/>
      <c r="AH79" s="11602" t="n"/>
      <c r="AI79" s="11602" t="n"/>
      <c r="AJ79" s="11602" t="n"/>
      <c r="AK79" s="2013" t="n"/>
      <c r="AM79" s="433" t="n"/>
      <c r="AN79" s="433" t="n"/>
      <c r="AO79" s="2058" t="n"/>
      <c r="AP79" s="2059" t="n"/>
      <c r="BL79" s="2027" t="n"/>
      <c r="BM79" s="2027" t="n"/>
      <c r="BO79" s="2027" t="n"/>
      <c r="BP79" s="2027" t="n"/>
      <c r="BQ79" s="2027" t="n"/>
      <c r="BR79" s="2027" t="n"/>
      <c r="BS79" s="2027" t="n"/>
      <c r="BT79" s="2027" t="n"/>
      <c r="BU79" s="2027" t="n"/>
      <c r="BV79" s="2027" t="n"/>
    </row>
    <row r="80" ht="14.25" customHeight="1" s="7635">
      <c r="A80" s="2013" t="n"/>
      <c r="B80" s="11602" t="n"/>
      <c r="C80" s="11602" t="n"/>
      <c r="D80" s="8650" t="inlineStr">
        <is>
          <t>If you have no travel to report during the period, enter “Physically present in a foreign country or countries for the entire 12-</t>
        </is>
      </c>
      <c r="E80" s="11602" t="n"/>
      <c r="F80" s="11602" t="n"/>
      <c r="G80" s="11602" t="n"/>
      <c r="H80" s="11602" t="n"/>
      <c r="I80" s="11602" t="n"/>
      <c r="J80" s="11602" t="n"/>
      <c r="K80" s="11602" t="n"/>
      <c r="L80" s="11602" t="n"/>
      <c r="M80" s="11602" t="n"/>
      <c r="N80" s="11602" t="n"/>
      <c r="O80" s="11602" t="n"/>
      <c r="P80" s="11602" t="n"/>
      <c r="Q80" s="11602" t="n"/>
      <c r="R80" s="11602" t="n"/>
      <c r="S80" s="11602" t="n"/>
      <c r="T80" s="11602" t="n"/>
      <c r="U80" s="11602" t="n"/>
      <c r="V80" s="11602" t="n"/>
      <c r="W80" s="11602" t="n"/>
      <c r="X80" s="11602" t="n"/>
      <c r="Y80" s="11602" t="n"/>
      <c r="Z80" s="11602" t="n"/>
      <c r="AA80" s="11602" t="n"/>
      <c r="AB80" s="11602" t="n"/>
      <c r="AC80" s="11602" t="n"/>
      <c r="AD80" s="11602" t="n"/>
      <c r="AE80" s="11602" t="n"/>
      <c r="AF80" s="11602" t="n"/>
      <c r="AG80" s="11602" t="n"/>
      <c r="AH80" s="11602" t="n"/>
      <c r="AI80" s="11602" t="n"/>
      <c r="AJ80" s="11602" t="n"/>
      <c r="AK80" s="2013" t="n"/>
      <c r="AM80" s="433" t="n"/>
      <c r="AN80" s="433" t="n"/>
      <c r="AO80" s="2060" t="n"/>
      <c r="AP80" s="2061" t="n"/>
      <c r="BL80" s="2027" t="n"/>
      <c r="BM80" s="2027" t="n"/>
      <c r="BO80" s="2027" t="n"/>
      <c r="BP80" s="2027" t="n"/>
      <c r="BQ80" s="2027" t="n"/>
      <c r="BR80" s="2027" t="n"/>
      <c r="BS80" s="2027" t="n"/>
      <c r="BT80" s="2027" t="n"/>
      <c r="BU80" s="2027" t="n"/>
      <c r="BV80" s="2027" t="n"/>
    </row>
    <row r="81" ht="15" customHeight="1" s="7635">
      <c r="A81" s="2013" t="n"/>
      <c r="B81" s="11602" t="n"/>
      <c r="C81" s="11602" t="n"/>
      <c r="D81" s="8650" t="inlineStr">
        <is>
          <t>month period."  Don't include the income from column (f) below in Part IV, but report it on Form 1040 or 1040-SR.</t>
        </is>
      </c>
      <c r="E81" s="11602" t="n"/>
      <c r="F81" s="11602" t="n"/>
      <c r="G81" s="11602" t="n"/>
      <c r="H81" s="11602" t="n"/>
      <c r="I81" s="11602" t="n"/>
      <c r="J81" s="11602" t="n"/>
      <c r="K81" s="11602" t="n"/>
      <c r="L81" s="11602" t="n"/>
      <c r="M81" s="11602" t="n"/>
      <c r="N81" s="11602" t="n"/>
      <c r="O81" s="11602" t="n"/>
      <c r="P81" s="11602" t="n"/>
      <c r="Q81" s="11602" t="n"/>
      <c r="R81" s="11602" t="n"/>
      <c r="S81" s="11602" t="n"/>
      <c r="T81" s="11602" t="n"/>
      <c r="U81" s="11602" t="n"/>
      <c r="V81" s="11602" t="n"/>
      <c r="W81" s="11602" t="n"/>
      <c r="X81" s="11602" t="n"/>
      <c r="Y81" s="11602" t="n"/>
      <c r="Z81" s="11602" t="n"/>
      <c r="AA81" s="11602" t="n"/>
      <c r="AB81" s="11602" t="n"/>
      <c r="AC81" s="11602" t="n"/>
      <c r="AD81" s="11602" t="n"/>
      <c r="AE81" s="11602" t="n"/>
      <c r="AF81" s="11602" t="n"/>
      <c r="AG81" s="11602" t="n"/>
      <c r="AH81" s="11602" t="n"/>
      <c r="AI81" s="11602" t="n"/>
      <c r="AJ81" s="11602" t="n"/>
      <c r="AK81" s="2013" t="n"/>
      <c r="AL81" s="2042" t="n"/>
      <c r="AM81" s="2042" t="n"/>
      <c r="AN81" s="2042" t="n"/>
      <c r="AO81" s="2050" t="n"/>
      <c r="AP81" s="2027" t="n"/>
      <c r="BL81" s="2027" t="n"/>
      <c r="BM81" s="2027" t="n"/>
      <c r="BO81" s="2027" t="n"/>
      <c r="BP81" s="2027" t="n"/>
      <c r="BQ81" s="2027" t="n"/>
      <c r="BR81" s="2027" t="n"/>
      <c r="BS81" s="2027" t="n"/>
      <c r="BT81" s="2027" t="n"/>
      <c r="BU81" s="2027" t="n"/>
      <c r="BV81" s="2027" t="n"/>
    </row>
    <row r="82" ht="35.25" customHeight="1" s="7635" thickBot="1">
      <c r="A82" s="2013" t="n"/>
      <c r="B82" s="12437" t="inlineStr">
        <is>
          <t>(a) Name of country 
(including U.S.)</t>
        </is>
      </c>
      <c r="C82" s="8412" t="n"/>
      <c r="D82" s="8412" t="n"/>
      <c r="E82" s="8412" t="n"/>
      <c r="F82" s="8412" t="n"/>
      <c r="G82" s="8412" t="n"/>
      <c r="H82" s="8412" t="n"/>
      <c r="I82" s="8412" t="n"/>
      <c r="J82" s="8412" t="n"/>
      <c r="K82" s="8412" t="n"/>
      <c r="L82" s="8412" t="n"/>
      <c r="M82" s="11734" t="n"/>
      <c r="N82" s="11391" t="inlineStr">
        <is>
          <t>(b) Date arrived</t>
        </is>
      </c>
      <c r="O82" s="8412" t="n"/>
      <c r="P82" s="8412" t="n"/>
      <c r="Q82" s="8412" t="n"/>
      <c r="R82" s="11734" t="n"/>
      <c r="S82" s="11391" t="inlineStr">
        <is>
          <t>(c) Date left</t>
        </is>
      </c>
      <c r="T82" s="8412" t="n"/>
      <c r="U82" s="8412" t="n"/>
      <c r="V82" s="8412" t="n"/>
      <c r="W82" s="11734" t="n"/>
      <c r="X82" s="11391" t="inlineStr">
        <is>
          <t>(d) Full days 
present 
in country</t>
        </is>
      </c>
      <c r="Y82" s="8412" t="n"/>
      <c r="Z82" s="8412" t="n"/>
      <c r="AA82" s="11734" t="n"/>
      <c r="AB82" s="11391" t="inlineStr">
        <is>
          <t>(e) Number of 
days in U.S. 
on business</t>
        </is>
      </c>
      <c r="AC82" s="8412" t="n"/>
      <c r="AD82" s="8412" t="n"/>
      <c r="AE82" s="11734" t="n"/>
      <c r="AF82" s="9831" t="inlineStr">
        <is>
          <t>(f) Income earned in U.S. 
on business 
(attach computation)</t>
        </is>
      </c>
      <c r="AG82" s="8412" t="n"/>
      <c r="AH82" s="8412" t="n"/>
      <c r="AI82" s="8412" t="n"/>
      <c r="AJ82" s="8412" t="n"/>
      <c r="AK82" s="2013" t="n"/>
      <c r="AM82" s="7914" t="inlineStr">
        <is>
          <t>Override</t>
        </is>
      </c>
      <c r="AO82" s="2042" t="n"/>
      <c r="AP82" s="2048" t="n"/>
      <c r="BL82" s="2027" t="n"/>
      <c r="BM82" s="2027" t="n"/>
      <c r="BO82" s="2027" t="n"/>
      <c r="BP82" s="2027" t="n"/>
      <c r="BQ82" s="2027" t="n"/>
      <c r="BR82" s="2027" t="n"/>
      <c r="BS82" s="2027" t="n"/>
      <c r="BT82" s="2027" t="n"/>
      <c r="BU82" s="2027" t="n"/>
      <c r="BV82" s="2027" t="n"/>
    </row>
    <row r="83" ht="14.25" customHeight="1" s="7635" thickBot="1">
      <c r="A83" s="2013" t="n"/>
      <c r="B83" s="12444" t="n"/>
      <c r="C83" s="8007" t="n"/>
      <c r="D83" s="8007" t="n"/>
      <c r="E83" s="8007" t="n"/>
      <c r="F83" s="8007" t="n"/>
      <c r="G83" s="8007" t="n"/>
      <c r="H83" s="8007" t="n"/>
      <c r="I83" s="8007" t="n"/>
      <c r="J83" s="8007" t="n"/>
      <c r="K83" s="8007" t="n"/>
      <c r="L83" s="8007" t="n"/>
      <c r="M83" s="8008" t="n"/>
      <c r="N83" s="12439" t="n"/>
      <c r="O83" s="8007" t="n"/>
      <c r="P83" s="8007" t="n"/>
      <c r="Q83" s="8007" t="n"/>
      <c r="R83" s="8008" t="n"/>
      <c r="S83" s="12439" t="n"/>
      <c r="T83" s="8007" t="n"/>
      <c r="U83" s="8007" t="n"/>
      <c r="V83" s="8007" t="n"/>
      <c r="W83" s="8008" t="n"/>
      <c r="X83" s="12440">
        <f>IF(AM83&lt;&gt;"",ROUND(AM83,0),IF(OR(N83="",S83=""),"",S83-N83-2))</f>
        <v/>
      </c>
      <c r="Y83" s="8412" t="n"/>
      <c r="Z83" s="8412" t="n"/>
      <c r="AA83" s="11734" t="n"/>
      <c r="AB83" s="12445" t="n"/>
      <c r="AC83" s="8007" t="n"/>
      <c r="AD83" s="8007" t="n"/>
      <c r="AE83" s="8008" t="n"/>
      <c r="AF83" s="9826" t="n"/>
      <c r="AG83" s="8007" t="n"/>
      <c r="AH83" s="8007" t="n"/>
      <c r="AI83" s="8007" t="n"/>
      <c r="AJ83" s="8007" t="n"/>
      <c r="AK83" s="2013" t="n"/>
      <c r="AM83" s="453" t="n"/>
      <c r="AO83" s="2042" t="n"/>
      <c r="AP83" s="2048" t="n"/>
      <c r="BL83" s="2027" t="n"/>
      <c r="BM83" s="2027" t="n"/>
      <c r="BO83" s="2027" t="n"/>
      <c r="BP83" s="2027" t="n"/>
      <c r="BQ83" s="2027" t="n"/>
      <c r="BR83" s="2027" t="n"/>
      <c r="BS83" s="2027" t="n"/>
      <c r="BT83" s="2027" t="n"/>
      <c r="BU83" s="2027" t="n"/>
      <c r="BV83" s="2027" t="n"/>
    </row>
    <row r="84" ht="14.25" customHeight="1" s="7635" thickBot="1">
      <c r="A84" s="2013" t="n"/>
      <c r="B84" s="12444" t="n"/>
      <c r="C84" s="8007" t="n"/>
      <c r="D84" s="8007" t="n"/>
      <c r="E84" s="8007" t="n"/>
      <c r="F84" s="8007" t="n"/>
      <c r="G84" s="8007" t="n"/>
      <c r="H84" s="8007" t="n"/>
      <c r="I84" s="8007" t="n"/>
      <c r="J84" s="8007" t="n"/>
      <c r="K84" s="8007" t="n"/>
      <c r="L84" s="8007" t="n"/>
      <c r="M84" s="8008" t="n"/>
      <c r="N84" s="12439" t="n"/>
      <c r="O84" s="8007" t="n"/>
      <c r="P84" s="8007" t="n"/>
      <c r="Q84" s="8007" t="n"/>
      <c r="R84" s="8008" t="n"/>
      <c r="S84" s="12439" t="n"/>
      <c r="T84" s="8007" t="n"/>
      <c r="U84" s="8007" t="n"/>
      <c r="V84" s="8007" t="n"/>
      <c r="W84" s="8008" t="n"/>
      <c r="X84" s="12440">
        <f>IF(AM84&lt;&gt;"",ROUND(AM84,0),IF(OR(N84="",S84=""),"",S84-N84-2))</f>
        <v/>
      </c>
      <c r="Y84" s="8412" t="n"/>
      <c r="Z84" s="8412" t="n"/>
      <c r="AA84" s="11734" t="n"/>
      <c r="AB84" s="12445" t="n"/>
      <c r="AC84" s="8007" t="n"/>
      <c r="AD84" s="8007" t="n"/>
      <c r="AE84" s="8008" t="n"/>
      <c r="AF84" s="9826" t="n"/>
      <c r="AG84" s="8007" t="n"/>
      <c r="AH84" s="8007" t="n"/>
      <c r="AI84" s="8007" t="n"/>
      <c r="AJ84" s="8007" t="n"/>
      <c r="AK84" s="2013" t="n"/>
      <c r="AM84" s="453" t="n"/>
      <c r="AO84" s="2042" t="n"/>
      <c r="AP84" s="2048" t="n"/>
      <c r="BL84" s="2027" t="n"/>
      <c r="BM84" s="2027" t="n"/>
      <c r="BO84" s="2027" t="n"/>
      <c r="BP84" s="2027" t="n"/>
      <c r="BQ84" s="2027" t="n"/>
      <c r="BR84" s="2027" t="n"/>
      <c r="BS84" s="2027" t="n"/>
      <c r="BT84" s="2027" t="n"/>
      <c r="BU84" s="2027" t="n"/>
      <c r="BV84" s="2027" t="n"/>
    </row>
    <row r="85" ht="14.25" customHeight="1" s="7635" thickBot="1">
      <c r="A85" s="2013" t="n"/>
      <c r="B85" s="12444" t="n"/>
      <c r="C85" s="8007" t="n"/>
      <c r="D85" s="8007" t="n"/>
      <c r="E85" s="8007" t="n"/>
      <c r="F85" s="8007" t="n"/>
      <c r="G85" s="8007" t="n"/>
      <c r="H85" s="8007" t="n"/>
      <c r="I85" s="8007" t="n"/>
      <c r="J85" s="8007" t="n"/>
      <c r="K85" s="8007" t="n"/>
      <c r="L85" s="8007" t="n"/>
      <c r="M85" s="8008" t="n"/>
      <c r="N85" s="12439" t="n"/>
      <c r="O85" s="8007" t="n"/>
      <c r="P85" s="8007" t="n"/>
      <c r="Q85" s="8007" t="n"/>
      <c r="R85" s="8008" t="n"/>
      <c r="S85" s="12439" t="n"/>
      <c r="T85" s="8007" t="n"/>
      <c r="U85" s="8007" t="n"/>
      <c r="V85" s="8007" t="n"/>
      <c r="W85" s="8008" t="n"/>
      <c r="X85" s="12440">
        <f>IF(AM85&lt;&gt;"",ROUND(AM85,0),IF(OR(N85="",S85=""),"",S85-N85-2))</f>
        <v/>
      </c>
      <c r="Y85" s="8412" t="n"/>
      <c r="Z85" s="8412" t="n"/>
      <c r="AA85" s="11734" t="n"/>
      <c r="AB85" s="12445" t="n"/>
      <c r="AC85" s="8007" t="n"/>
      <c r="AD85" s="8007" t="n"/>
      <c r="AE85" s="8008" t="n"/>
      <c r="AF85" s="9826" t="n"/>
      <c r="AG85" s="8007" t="n"/>
      <c r="AH85" s="8007" t="n"/>
      <c r="AI85" s="8007" t="n"/>
      <c r="AJ85" s="8007" t="n"/>
      <c r="AK85" s="2013" t="n"/>
      <c r="AM85" s="453" t="n"/>
      <c r="AO85" s="2042" t="n"/>
      <c r="AP85" s="2048" t="n"/>
      <c r="BL85" s="2027" t="n"/>
      <c r="BM85" s="2027" t="n"/>
      <c r="BO85" s="2027" t="n"/>
      <c r="BP85" s="2027" t="n"/>
      <c r="BQ85" s="2027" t="n"/>
      <c r="BR85" s="2027" t="n"/>
      <c r="BS85" s="2027" t="n"/>
      <c r="BT85" s="2027" t="n"/>
      <c r="BU85" s="2027" t="n"/>
      <c r="BV85" s="2027" t="n"/>
    </row>
    <row r="86" ht="14.25" customHeight="1" s="7635" thickBot="1">
      <c r="A86" s="2013" t="n"/>
      <c r="B86" s="12444" t="n"/>
      <c r="C86" s="8007" t="n"/>
      <c r="D86" s="8007" t="n"/>
      <c r="E86" s="8007" t="n"/>
      <c r="F86" s="8007" t="n"/>
      <c r="G86" s="8007" t="n"/>
      <c r="H86" s="8007" t="n"/>
      <c r="I86" s="8007" t="n"/>
      <c r="J86" s="8007" t="n"/>
      <c r="K86" s="8007" t="n"/>
      <c r="L86" s="8007" t="n"/>
      <c r="M86" s="8008" t="n"/>
      <c r="N86" s="12439" t="n"/>
      <c r="O86" s="8007" t="n"/>
      <c r="P86" s="8007" t="n"/>
      <c r="Q86" s="8007" t="n"/>
      <c r="R86" s="8008" t="n"/>
      <c r="S86" s="12439" t="n"/>
      <c r="T86" s="8007" t="n"/>
      <c r="U86" s="8007" t="n"/>
      <c r="V86" s="8007" t="n"/>
      <c r="W86" s="8008" t="n"/>
      <c r="X86" s="12440">
        <f>IF(AM86&lt;&gt;"",ROUND(AM86,0),IF(OR(N86="",S86=""),"",S86-N86-2))</f>
        <v/>
      </c>
      <c r="Y86" s="8412" t="n"/>
      <c r="Z86" s="8412" t="n"/>
      <c r="AA86" s="11734" t="n"/>
      <c r="AB86" s="12445" t="n"/>
      <c r="AC86" s="8007" t="n"/>
      <c r="AD86" s="8007" t="n"/>
      <c r="AE86" s="8008" t="n"/>
      <c r="AF86" s="9826" t="n"/>
      <c r="AG86" s="8007" t="n"/>
      <c r="AH86" s="8007" t="n"/>
      <c r="AI86" s="8007" t="n"/>
      <c r="AJ86" s="8007" t="n"/>
      <c r="AK86" s="2013" t="n"/>
      <c r="AM86" s="453" t="n"/>
      <c r="AO86" s="2042" t="n"/>
      <c r="AP86" s="2048" t="n"/>
      <c r="BL86" s="2027" t="n"/>
      <c r="BM86" s="2027" t="n"/>
      <c r="BO86" s="2027" t="n"/>
      <c r="BP86" s="2027" t="n"/>
      <c r="BQ86" s="2027" t="n"/>
      <c r="BR86" s="2027" t="n"/>
      <c r="BS86" s="2027" t="n"/>
      <c r="BT86" s="2027" t="n"/>
      <c r="BU86" s="2027" t="n"/>
      <c r="BV86" s="2027" t="n"/>
    </row>
    <row r="87" ht="4.5" customHeight="1" s="7635">
      <c r="A87" s="2013" t="n"/>
      <c r="B87" s="7938" t="inlineStr">
        <is>
          <t>Part IV</t>
        </is>
      </c>
      <c r="C87" s="7839" t="n"/>
      <c r="D87" s="2036" t="n"/>
      <c r="E87" s="2036" t="n"/>
      <c r="F87" s="2036" t="n"/>
      <c r="G87" s="2036" t="n"/>
      <c r="H87" s="2036" t="n"/>
      <c r="I87" s="2036" t="n"/>
      <c r="J87" s="2036" t="n"/>
      <c r="K87" s="2036" t="n"/>
      <c r="L87" s="2036" t="n"/>
      <c r="M87" s="2036" t="n"/>
      <c r="N87" s="2036" t="n"/>
      <c r="O87" s="2036" t="n"/>
      <c r="P87" s="2036" t="n"/>
      <c r="Q87" s="2036" t="n"/>
      <c r="R87" s="2036" t="n"/>
      <c r="S87" s="2036" t="n"/>
      <c r="T87" s="2036" t="n"/>
      <c r="U87" s="2036" t="n"/>
      <c r="V87" s="2036" t="n"/>
      <c r="W87" s="2036" t="n"/>
      <c r="X87" s="2036" t="n"/>
      <c r="Y87" s="2036" t="n"/>
      <c r="Z87" s="2036" t="n"/>
      <c r="AA87" s="2036" t="n"/>
      <c r="AB87" s="2036" t="n"/>
      <c r="AC87" s="2036" t="n"/>
      <c r="AD87" s="2036" t="n"/>
      <c r="AE87" s="2036" t="n"/>
      <c r="AF87" s="2036" t="n"/>
      <c r="AG87" s="2036" t="n"/>
      <c r="AH87" s="2036" t="n"/>
      <c r="AI87" s="2036" t="n"/>
      <c r="AJ87" s="2036" t="n"/>
      <c r="AK87" s="2013" t="n"/>
    </row>
    <row r="88" ht="13.5" customHeight="1" s="7635">
      <c r="A88" s="2013" t="n"/>
      <c r="D88" s="2062" t="inlineStr">
        <is>
          <t>All Taxpayers</t>
        </is>
      </c>
      <c r="E88" s="1990" t="n"/>
      <c r="F88" s="1990" t="n"/>
      <c r="G88" s="1990" t="n"/>
      <c r="H88" s="1990" t="n"/>
      <c r="I88" s="1990" t="n"/>
      <c r="J88" s="1990" t="n"/>
      <c r="K88" s="1990" t="n"/>
      <c r="L88" s="1990" t="n"/>
      <c r="M88" s="1990" t="n"/>
      <c r="N88" s="1990" t="n"/>
      <c r="O88" s="1990" t="n"/>
      <c r="P88" s="1990" t="n"/>
      <c r="Q88" s="1990" t="n"/>
      <c r="R88" s="1990" t="n"/>
      <c r="S88" s="1990" t="n"/>
      <c r="T88" s="1990" t="n"/>
      <c r="U88" s="1990" t="n"/>
      <c r="V88" s="1990" t="n"/>
      <c r="W88" s="1990" t="n"/>
      <c r="X88" s="1990" t="n"/>
      <c r="Y88" s="1990" t="n"/>
      <c r="Z88" s="1990" t="n"/>
      <c r="AA88" s="1990" t="n"/>
      <c r="AB88" s="1990" t="n"/>
      <c r="AC88" s="1990" t="n"/>
      <c r="AD88" s="1990" t="n"/>
      <c r="AE88" s="1990" t="n"/>
      <c r="AF88" s="1990" t="n"/>
      <c r="AG88" s="1990" t="n"/>
      <c r="AH88" s="1990" t="n"/>
      <c r="AI88" s="1990" t="n"/>
      <c r="AJ88" s="1990" t="n"/>
      <c r="AK88" s="2013" t="n"/>
    </row>
    <row r="89" ht="4.5" customHeight="1" s="7635">
      <c r="A89" s="2013" t="n"/>
      <c r="B89" s="7637" t="n"/>
      <c r="C89" s="7637" t="n"/>
      <c r="D89" s="1999" t="n"/>
      <c r="E89" s="1999" t="n"/>
      <c r="F89" s="1999" t="n"/>
      <c r="G89" s="1999" t="n"/>
      <c r="H89" s="1999" t="n"/>
      <c r="I89" s="1999" t="n"/>
      <c r="J89" s="1999" t="n"/>
      <c r="K89" s="1999" t="n"/>
      <c r="L89" s="1999" t="n"/>
      <c r="M89" s="1999" t="n"/>
      <c r="N89" s="1999" t="n"/>
      <c r="O89" s="1999" t="n"/>
      <c r="P89" s="1999" t="n"/>
      <c r="Q89" s="1999" t="n"/>
      <c r="R89" s="1999" t="n"/>
      <c r="S89" s="1999" t="n"/>
      <c r="T89" s="1999" t="n"/>
      <c r="U89" s="1999" t="n"/>
      <c r="V89" s="1999" t="n"/>
      <c r="W89" s="1999" t="n"/>
      <c r="X89" s="1999" t="n"/>
      <c r="Y89" s="1999" t="n"/>
      <c r="Z89" s="1999" t="n"/>
      <c r="AA89" s="1999" t="n"/>
      <c r="AB89" s="1999" t="n"/>
      <c r="AC89" s="1999" t="n"/>
      <c r="AD89" s="1999" t="n"/>
      <c r="AE89" s="1999" t="n"/>
      <c r="AF89" s="1999" t="n"/>
      <c r="AG89" s="1999" t="n"/>
      <c r="AH89" s="1999" t="n"/>
      <c r="AI89" s="1999" t="n"/>
      <c r="AJ89" s="1999" t="n"/>
      <c r="AK89" s="2013" t="n"/>
    </row>
    <row r="90" ht="16.5" customHeight="1" s="7635">
      <c r="A90" s="2013" t="n"/>
      <c r="B90" s="7871" t="inlineStr">
        <is>
          <t>Note: Enter on lines 19 through 23 all income, including noncash income, you earned and actually or constructively received during</t>
        </is>
      </c>
      <c r="C90" s="11602" t="n"/>
      <c r="D90" s="11602" t="n"/>
      <c r="E90" s="11602" t="n"/>
      <c r="F90" s="11602" t="n"/>
      <c r="G90" s="11602" t="n"/>
      <c r="H90" s="11602" t="n"/>
      <c r="I90" s="11602" t="n"/>
      <c r="J90" s="11602" t="n"/>
      <c r="K90" s="11602" t="n"/>
      <c r="L90" s="11602" t="n"/>
      <c r="M90" s="11602" t="n"/>
      <c r="N90" s="11602" t="n"/>
      <c r="O90" s="11602" t="n"/>
      <c r="P90" s="11602" t="n"/>
      <c r="Q90" s="11602" t="n"/>
      <c r="R90" s="11602" t="n"/>
      <c r="S90" s="11602" t="n"/>
      <c r="T90" s="11602" t="n"/>
      <c r="U90" s="11602" t="n"/>
      <c r="V90" s="11602" t="n"/>
      <c r="W90" s="11602" t="n"/>
      <c r="X90" s="11602" t="n"/>
      <c r="Y90" s="11602" t="n"/>
      <c r="Z90" s="11602" t="n"/>
      <c r="AA90" s="11602" t="n"/>
      <c r="AB90" s="11602" t="n"/>
      <c r="AC90" s="11602" t="n"/>
      <c r="AD90" s="11602" t="n"/>
      <c r="AE90" s="11602" t="n"/>
      <c r="AF90" s="11602" t="n"/>
      <c r="AG90" s="11602" t="n"/>
      <c r="AH90" s="11602" t="n"/>
      <c r="AI90" s="11602" t="n"/>
      <c r="AJ90" s="11602" t="n"/>
      <c r="AK90" s="2013" t="n"/>
      <c r="AO90" s="2064" t="n"/>
      <c r="AP90" s="2065" t="n"/>
      <c r="BL90" s="2027" t="n"/>
      <c r="BM90" s="2027" t="n"/>
      <c r="BO90" s="2027" t="n"/>
      <c r="BP90" s="2027" t="n"/>
      <c r="BQ90" s="2027" t="n"/>
      <c r="BR90" s="2027" t="n"/>
      <c r="BS90" s="2027" t="n"/>
      <c r="BT90" s="2027" t="n"/>
      <c r="BU90" s="2027" t="n"/>
      <c r="BV90" s="2027" t="n"/>
    </row>
    <row r="91" ht="14.25" customHeight="1" s="7635">
      <c r="A91" s="2013" t="n"/>
      <c r="B91" s="7871">
        <f>"your "&amp;TaxYear&amp;" tax year for services you performed in a foreign country. If any of the foreign earned income received this tax year was"</f>
        <v/>
      </c>
      <c r="C91" s="11602" t="n"/>
      <c r="D91" s="11602" t="n"/>
      <c r="E91" s="11602" t="n"/>
      <c r="F91" s="11602" t="n"/>
      <c r="G91" s="11602" t="n"/>
      <c r="H91" s="11602" t="n"/>
      <c r="I91" s="11602" t="n"/>
      <c r="J91" s="11602" t="n"/>
      <c r="K91" s="11602" t="n"/>
      <c r="L91" s="11602" t="n"/>
      <c r="M91" s="11602" t="n"/>
      <c r="N91" s="11602" t="n"/>
      <c r="O91" s="11602" t="n"/>
      <c r="P91" s="11602" t="n"/>
      <c r="Q91" s="11602" t="n"/>
      <c r="R91" s="11602" t="n"/>
      <c r="S91" s="11602" t="n"/>
      <c r="T91" s="11602" t="n"/>
      <c r="U91" s="11602" t="n"/>
      <c r="V91" s="11602" t="n"/>
      <c r="W91" s="11602" t="n"/>
      <c r="X91" s="11602" t="n"/>
      <c r="Y91" s="11602" t="n"/>
      <c r="Z91" s="11602" t="n"/>
      <c r="AA91" s="11602" t="n"/>
      <c r="AB91" s="11602" t="n"/>
      <c r="AC91" s="11602" t="n"/>
      <c r="AD91" s="11602" t="n"/>
      <c r="AE91" s="11602" t="n"/>
      <c r="AF91" s="11602" t="n"/>
      <c r="AG91" s="11602" t="n"/>
      <c r="AH91" s="11602" t="n"/>
      <c r="AI91" s="11602" t="n"/>
      <c r="AJ91" s="11602" t="n"/>
      <c r="AK91" s="2013" t="n"/>
      <c r="AO91" s="2027" t="n"/>
      <c r="AP91" s="2066" t="n"/>
      <c r="BL91" s="2027" t="n"/>
      <c r="BM91" s="2027" t="n"/>
      <c r="BO91" s="2027" t="n"/>
      <c r="BP91" s="2027" t="n"/>
      <c r="BQ91" s="2027" t="n"/>
      <c r="BR91" s="2027" t="n"/>
      <c r="BS91" s="2027" t="n"/>
      <c r="BT91" s="2027" t="n"/>
      <c r="BU91" s="2027" t="n"/>
      <c r="BV91" s="2027" t="n"/>
    </row>
    <row r="92" ht="15" customHeight="1" s="7635">
      <c r="A92" s="2013" t="n"/>
      <c r="B92" s="7871" t="inlineStr">
        <is>
          <t>earned in a prior tax year, or will be earned in a later tax year (such as a bonus), see the instructions. Don't include income from line</t>
        </is>
      </c>
      <c r="C92" s="11602" t="n"/>
      <c r="D92" s="11602" t="n"/>
      <c r="E92" s="11602" t="n"/>
      <c r="F92" s="11602" t="n"/>
      <c r="G92" s="11602" t="n"/>
      <c r="H92" s="11602" t="n"/>
      <c r="I92" s="11602" t="n"/>
      <c r="J92" s="11602" t="n"/>
      <c r="K92" s="11602" t="n"/>
      <c r="L92" s="11602" t="n"/>
      <c r="M92" s="11602" t="n"/>
      <c r="N92" s="11602" t="n"/>
      <c r="O92" s="11602" t="n"/>
      <c r="P92" s="11602" t="n"/>
      <c r="Q92" s="11602" t="n"/>
      <c r="R92" s="11602" t="n"/>
      <c r="S92" s="11602" t="n"/>
      <c r="T92" s="11602" t="n"/>
      <c r="U92" s="11602" t="n"/>
      <c r="V92" s="11602" t="n"/>
      <c r="W92" s="11602" t="n"/>
      <c r="X92" s="11602" t="n"/>
      <c r="Y92" s="11602" t="n"/>
      <c r="Z92" s="11602" t="n"/>
      <c r="AA92" s="11602" t="n"/>
      <c r="AB92" s="11602" t="n"/>
      <c r="AC92" s="11602" t="n"/>
      <c r="AD92" s="11602" t="n"/>
      <c r="AE92" s="11602" t="n"/>
      <c r="AF92" s="11602" t="n"/>
      <c r="AG92" s="11602" t="n"/>
      <c r="AH92" s="11602" t="n"/>
      <c r="AI92" s="11602" t="n"/>
      <c r="AJ92" s="11602" t="n"/>
      <c r="AK92" s="2013" t="n"/>
      <c r="AO92" s="2027" t="n"/>
      <c r="AP92" s="2027" t="n"/>
      <c r="BL92" s="2027" t="n"/>
      <c r="BM92" s="2027" t="n"/>
      <c r="BO92" s="2027" t="n"/>
      <c r="BP92" s="2027" t="n"/>
      <c r="BQ92" s="2027" t="n"/>
      <c r="BR92" s="2027" t="n"/>
      <c r="BS92" s="2027" t="n"/>
      <c r="BT92" s="2027" t="n"/>
      <c r="BU92" s="2027" t="n"/>
      <c r="BV92" s="2027" t="n"/>
    </row>
    <row r="93" ht="12.75" customHeight="1" s="7635">
      <c r="A93" s="2013" t="n"/>
      <c r="B93" s="7871" t="inlineStr">
        <is>
          <t>14, column (d), or line 18, column (f). Report amounts in U.S. dollars, using the exchange rates in effect when you actually or</t>
        </is>
      </c>
      <c r="C93" s="11602" t="n"/>
      <c r="D93" s="11602" t="n"/>
      <c r="E93" s="11602" t="n"/>
      <c r="F93" s="11602" t="n"/>
      <c r="G93" s="11602" t="n"/>
      <c r="H93" s="11602" t="n"/>
      <c r="I93" s="11602" t="n"/>
      <c r="J93" s="11602" t="n"/>
      <c r="K93" s="11602" t="n"/>
      <c r="L93" s="11602" t="n"/>
      <c r="M93" s="11602" t="n"/>
      <c r="N93" s="11602" t="n"/>
      <c r="O93" s="11602" t="n"/>
      <c r="P93" s="11602" t="n"/>
      <c r="Q93" s="11602" t="n"/>
      <c r="R93" s="11602" t="n"/>
      <c r="S93" s="11602" t="n"/>
      <c r="T93" s="11602" t="n"/>
      <c r="U93" s="11602" t="n"/>
      <c r="V93" s="11602" t="n"/>
      <c r="W93" s="11602" t="n"/>
      <c r="X93" s="11602" t="n"/>
      <c r="Y93" s="11602" t="n"/>
      <c r="Z93" s="11602" t="n"/>
      <c r="AA93" s="11602" t="n"/>
      <c r="AB93" s="11602" t="n"/>
      <c r="AC93" s="11602" t="n"/>
      <c r="AD93" s="11602" t="n"/>
      <c r="AE93" s="11602" t="n"/>
      <c r="AF93" s="11602" t="n"/>
      <c r="AG93" s="11602" t="n"/>
      <c r="AH93" s="11602" t="n"/>
      <c r="AI93" s="11602" t="n"/>
      <c r="AJ93" s="11602" t="n"/>
      <c r="AK93" s="2013" t="n"/>
      <c r="AO93" s="2027" t="n"/>
      <c r="AP93" s="2027" t="n"/>
      <c r="BL93" s="2027" t="n"/>
      <c r="BM93" s="2027" t="n"/>
      <c r="BO93" s="2027" t="n"/>
      <c r="BP93" s="2027" t="n"/>
      <c r="BQ93" s="2027" t="n"/>
      <c r="BR93" s="2027" t="n"/>
      <c r="BS93" s="2027" t="n"/>
      <c r="BT93" s="2027" t="n"/>
      <c r="BU93" s="2027" t="n"/>
      <c r="BV93" s="2027" t="n"/>
    </row>
    <row r="94" ht="14.25" customHeight="1" s="7635">
      <c r="A94" s="2013" t="n"/>
      <c r="B94" s="7871" t="inlineStr">
        <is>
          <t>constructively received the income.</t>
        </is>
      </c>
      <c r="C94" s="11602" t="n"/>
      <c r="D94" s="11602" t="n"/>
      <c r="E94" s="11602" t="n"/>
      <c r="F94" s="11602" t="n"/>
      <c r="G94" s="11602" t="n"/>
      <c r="H94" s="11602" t="n"/>
      <c r="I94" s="11602" t="n"/>
      <c r="J94" s="11602" t="n"/>
      <c r="K94" s="11602" t="n"/>
      <c r="L94" s="11602" t="n"/>
      <c r="M94" s="11602" t="n"/>
      <c r="N94" s="11602" t="n"/>
      <c r="O94" s="11602" t="n"/>
      <c r="P94" s="11602" t="n"/>
      <c r="Q94" s="11602" t="n"/>
      <c r="R94" s="11602" t="n"/>
      <c r="S94" s="11602" t="n"/>
      <c r="T94" s="11602" t="n"/>
      <c r="U94" s="11602" t="n"/>
      <c r="V94" s="11602" t="n"/>
      <c r="W94" s="11602" t="n"/>
      <c r="X94" s="11602" t="n"/>
      <c r="Y94" s="11602" t="n"/>
      <c r="Z94" s="11602" t="n"/>
      <c r="AA94" s="11602" t="n"/>
      <c r="AB94" s="11602" t="n"/>
      <c r="AC94" s="11602" t="n"/>
      <c r="AD94" s="11602" t="n"/>
      <c r="AE94" s="11602" t="n"/>
      <c r="AF94" s="11602" t="n"/>
      <c r="AG94" s="11602" t="n"/>
      <c r="AH94" s="11602" t="n"/>
      <c r="AI94" s="11602" t="n"/>
      <c r="AJ94" s="11602" t="n"/>
      <c r="AK94" s="2013" t="n"/>
      <c r="AO94" s="2027" t="n"/>
      <c r="AP94" s="2027" t="n"/>
      <c r="BL94" s="2027" t="n"/>
      <c r="BM94" s="2027" t="n"/>
      <c r="BO94" s="2027" t="n"/>
      <c r="BP94" s="2027" t="n"/>
      <c r="BQ94" s="2027" t="n"/>
      <c r="BR94" s="2027" t="n"/>
      <c r="BS94" s="2027" t="n"/>
      <c r="BT94" s="2027" t="n"/>
      <c r="BU94" s="2027" t="n"/>
      <c r="BV94" s="2027" t="n"/>
    </row>
    <row r="95" ht="18" customHeight="1" s="7635">
      <c r="A95" s="2013" t="n"/>
      <c r="B95" s="11602" t="n"/>
      <c r="C95" s="810">
        <f>"If you are a cash basis taxpayer, report on Form 1040 or 1040-SR all income you received in "&amp;TaxYear&amp;", no matter when you"</f>
        <v/>
      </c>
      <c r="D95" s="810" t="n"/>
      <c r="E95" s="7886" t="n"/>
      <c r="F95" s="11602" t="n"/>
      <c r="G95" s="11602" t="n"/>
      <c r="H95" s="11602" t="n"/>
      <c r="I95" s="11602" t="n"/>
      <c r="J95" s="11602" t="n"/>
      <c r="K95" s="11602" t="n"/>
      <c r="L95" s="11602" t="n"/>
      <c r="M95" s="11602" t="n"/>
      <c r="N95" s="11602" t="n"/>
      <c r="O95" s="11602" t="n"/>
      <c r="P95" s="11602" t="n"/>
      <c r="Q95" s="11602" t="n"/>
      <c r="R95" s="11602" t="n"/>
      <c r="S95" s="11602" t="n"/>
      <c r="T95" s="11602" t="n"/>
      <c r="U95" s="11602" t="n"/>
      <c r="V95" s="11602" t="n"/>
      <c r="W95" s="11602" t="n"/>
      <c r="X95" s="11602" t="n"/>
      <c r="Y95" s="11602" t="n"/>
      <c r="Z95" s="11602" t="n"/>
      <c r="AA95" s="11602" t="n"/>
      <c r="AB95" s="11602" t="n"/>
      <c r="AC95" s="11602" t="n"/>
      <c r="AD95" s="11602" t="n"/>
      <c r="AE95" s="11602" t="n"/>
      <c r="AF95" s="11602" t="n"/>
      <c r="AG95" s="11602" t="n"/>
      <c r="AH95" s="11602" t="n"/>
      <c r="AI95" s="11602" t="n"/>
      <c r="AJ95" s="11602" t="n"/>
      <c r="AK95" s="2013" t="n"/>
      <c r="AO95" s="2027" t="n"/>
      <c r="AP95" s="2027" t="n"/>
      <c r="BL95" s="2027" t="n"/>
      <c r="BM95" s="2027" t="n"/>
      <c r="BO95" s="2027" t="n"/>
      <c r="BP95" s="2027" t="n"/>
      <c r="BQ95" s="2027" t="n"/>
      <c r="BR95" s="2027" t="n"/>
      <c r="BS95" s="2027" t="n"/>
      <c r="BT95" s="2027" t="n"/>
      <c r="BU95" s="2027" t="n"/>
      <c r="BV95" s="2027" t="n"/>
    </row>
    <row r="96" ht="18" customFormat="1" customHeight="1" s="138">
      <c r="A96" s="2067" t="n"/>
      <c r="B96" s="2068" t="n"/>
      <c r="C96" s="2069" t="inlineStr">
        <is>
          <t>performed the service.</t>
        </is>
      </c>
      <c r="D96" s="2069" t="n"/>
      <c r="E96" s="2070" t="n"/>
      <c r="F96" s="2068" t="n"/>
      <c r="G96" s="2068" t="n"/>
      <c r="H96" s="2068" t="n"/>
      <c r="I96" s="2068" t="n"/>
      <c r="J96" s="2068" t="n"/>
      <c r="K96" s="2068" t="n"/>
      <c r="L96" s="2068" t="n"/>
      <c r="M96" s="2068" t="n"/>
      <c r="N96" s="2068" t="n"/>
      <c r="O96" s="2068" t="n"/>
      <c r="P96" s="2068" t="n"/>
      <c r="Q96" s="2068" t="n"/>
      <c r="R96" s="2068" t="n"/>
      <c r="S96" s="2068" t="n"/>
      <c r="T96" s="2068" t="n"/>
      <c r="U96" s="2068" t="n"/>
      <c r="V96" s="2068" t="n"/>
      <c r="W96" s="2068" t="n"/>
      <c r="X96" s="2068" t="n"/>
      <c r="Y96" s="2068" t="n"/>
      <c r="Z96" s="2068" t="n"/>
      <c r="AA96" s="2068" t="n"/>
      <c r="AB96" s="2068" t="n"/>
      <c r="AC96" s="2068" t="n"/>
      <c r="AD96" s="2068" t="n"/>
      <c r="AE96" s="2068" t="n"/>
      <c r="AF96" s="2068" t="n"/>
      <c r="AG96" s="2068" t="n"/>
      <c r="AH96" s="2068" t="n"/>
      <c r="AI96" s="2068" t="n"/>
      <c r="AJ96" s="2068" t="n"/>
      <c r="AK96" s="2067" t="n"/>
      <c r="AL96" s="2071" t="n"/>
      <c r="AM96" s="2071" t="n"/>
      <c r="AN96" s="2071" t="n"/>
      <c r="AO96" s="2072" t="n"/>
      <c r="AP96" s="2072" t="n"/>
      <c r="AQ96" s="658" t="n"/>
      <c r="AR96" s="658" t="n"/>
      <c r="AS96" s="658" t="n"/>
      <c r="AT96" s="658" t="n"/>
      <c r="AU96" s="658" t="n"/>
      <c r="AV96" s="658" t="n"/>
      <c r="AW96" s="658" t="n"/>
      <c r="AX96" s="658" t="n"/>
      <c r="AY96" s="658" t="n"/>
      <c r="AZ96" s="2071" t="n"/>
      <c r="BA96" s="2071" t="n"/>
      <c r="BB96" s="2071" t="n"/>
      <c r="BC96" s="2071" t="n"/>
      <c r="BD96" s="2071" t="n"/>
      <c r="BE96" s="2071" t="n"/>
      <c r="BF96" s="2071" t="n"/>
      <c r="BG96" s="2071" t="n"/>
      <c r="BH96" s="2071" t="n"/>
      <c r="BI96" s="2071" t="n"/>
      <c r="BJ96" s="2071" t="n"/>
      <c r="BK96" s="2071" t="n"/>
      <c r="BL96" s="2072" t="n"/>
      <c r="BM96" s="2072" t="n"/>
      <c r="BN96" s="2071" t="n"/>
      <c r="BO96" s="2072" t="n"/>
      <c r="BP96" s="2072" t="n"/>
      <c r="BQ96" s="2072" t="n"/>
      <c r="BR96" s="2072" t="n"/>
      <c r="BS96" s="2072" t="n"/>
      <c r="BT96" s="2072" t="n"/>
      <c r="BU96" s="2072" t="n"/>
      <c r="BV96" s="2072" t="n"/>
      <c r="BW96" s="2071" t="n"/>
    </row>
    <row r="97" ht="28.5" customHeight="1" s="7635">
      <c r="A97" s="2013" t="n"/>
      <c r="B97" s="12446">
        <f>TaxYear&amp;" Foreign Earned Income"</f>
        <v/>
      </c>
      <c r="C97" s="8412" t="n"/>
      <c r="D97" s="8412" t="n"/>
      <c r="E97" s="8412" t="n"/>
      <c r="F97" s="8412" t="n"/>
      <c r="G97" s="8412" t="n"/>
      <c r="H97" s="8412" t="n"/>
      <c r="I97" s="8412" t="n"/>
      <c r="J97" s="8412" t="n"/>
      <c r="K97" s="8412" t="n"/>
      <c r="L97" s="8412" t="n"/>
      <c r="M97" s="8412" t="n"/>
      <c r="N97" s="8412" t="n"/>
      <c r="O97" s="8412" t="n"/>
      <c r="P97" s="8412" t="n"/>
      <c r="Q97" s="8412" t="n"/>
      <c r="R97" s="8412" t="n"/>
      <c r="S97" s="8412" t="n"/>
      <c r="T97" s="8412" t="n"/>
      <c r="U97" s="8412" t="n"/>
      <c r="V97" s="8412" t="n"/>
      <c r="W97" s="8412" t="n"/>
      <c r="X97" s="8412" t="n"/>
      <c r="Y97" s="8412" t="n"/>
      <c r="Z97" s="8412" t="n"/>
      <c r="AA97" s="8412" t="n"/>
      <c r="AB97" s="11734" t="n"/>
      <c r="AC97" s="9065" t="inlineStr">
        <is>
          <t>Amount 
(in U.S. dollars)</t>
        </is>
      </c>
      <c r="AD97" s="8412" t="n"/>
      <c r="AE97" s="8412" t="n"/>
      <c r="AF97" s="8412" t="n"/>
      <c r="AG97" s="8412" t="n"/>
      <c r="AH97" s="8412" t="n"/>
      <c r="AI97" s="8412" t="n"/>
      <c r="AJ97" s="8412" t="n"/>
      <c r="AK97" s="2013" t="n"/>
      <c r="AO97" s="2027" t="n"/>
      <c r="AP97" s="2027" t="n"/>
      <c r="BL97" s="2027" t="n"/>
      <c r="BM97" s="2027" t="n"/>
      <c r="BO97" s="2027" t="n"/>
      <c r="BP97" s="2027" t="n"/>
      <c r="BQ97" s="2027" t="n"/>
      <c r="BR97" s="2027" t="n"/>
      <c r="BS97" s="2027" t="n"/>
      <c r="BT97" s="2027" t="n"/>
      <c r="BU97" s="2027" t="n"/>
      <c r="BV97" s="2027" t="n"/>
    </row>
    <row r="98" ht="16.5" customHeight="1" s="7635">
      <c r="A98" s="2013" t="n"/>
      <c r="B98" s="11602" t="n"/>
      <c r="C98" s="734" t="inlineStr">
        <is>
          <t xml:space="preserve">19 </t>
        </is>
      </c>
      <c r="D98" s="8650" t="inlineStr">
        <is>
          <t>Total wages, salaries, bonuses, commissions, etc.</t>
        </is>
      </c>
      <c r="E98" s="11602" t="n"/>
      <c r="F98" s="11602" t="n"/>
      <c r="G98" s="11602" t="n"/>
      <c r="H98" s="11602" t="n"/>
      <c r="I98" s="11602" t="n"/>
      <c r="J98" s="11602" t="n"/>
      <c r="K98" s="11602" t="n"/>
      <c r="L98" s="11602" t="n"/>
      <c r="M98" s="11602" t="n"/>
      <c r="N98" s="11602" t="n"/>
      <c r="O98" s="11602" t="n"/>
      <c r="P98" s="11602" t="n"/>
      <c r="Q98" s="11602" t="n"/>
      <c r="R98" s="11602" t="n"/>
      <c r="S98" s="11602" t="n"/>
      <c r="T98" s="11602" t="n"/>
      <c r="U98" s="11602" t="n"/>
      <c r="V98" s="11602" t="n"/>
      <c r="W98" s="11602" t="n"/>
      <c r="X98" s="11602" t="n"/>
      <c r="Y98" s="11602" t="n"/>
      <c r="Z98" s="11602" t="n"/>
      <c r="AA98" s="11602" t="n"/>
      <c r="AB98" s="2031" t="inlineStr">
        <is>
          <t xml:space="preserve"> .   .   .   .   .   .   .   .   .   .   .   .   .   .   .   .   .   .   .   . </t>
        </is>
      </c>
      <c r="AC98" s="5382" t="inlineStr">
        <is>
          <t>19</t>
        </is>
      </c>
      <c r="AD98" s="10091" t="n"/>
      <c r="AE98" s="9813" t="n"/>
      <c r="AF98" s="11745" t="n"/>
      <c r="AG98" s="11745" t="n"/>
      <c r="AH98" s="11745" t="n"/>
      <c r="AI98" s="11745" t="n"/>
      <c r="AJ98" s="11745" t="n"/>
      <c r="AK98" s="2013" t="n"/>
      <c r="AO98" s="2027" t="n"/>
      <c r="AP98" s="2027" t="n"/>
      <c r="BL98" s="2027" t="n"/>
      <c r="BM98" s="2027" t="n"/>
      <c r="BO98" s="2027" t="n"/>
      <c r="BP98" s="2027" t="n"/>
      <c r="BQ98" s="2027" t="n"/>
      <c r="BR98" s="2027" t="n"/>
      <c r="BS98" s="2027" t="n"/>
      <c r="BT98" s="2027" t="n"/>
      <c r="BU98" s="2027" t="n"/>
      <c r="BV98" s="2027" t="n"/>
    </row>
    <row r="99" ht="13.5" customHeight="1" s="7635">
      <c r="A99" s="2013" t="n"/>
      <c r="B99" s="11602" t="n"/>
      <c r="C99" s="734" t="inlineStr">
        <is>
          <t xml:space="preserve">20 </t>
        </is>
      </c>
      <c r="D99" s="8650" t="inlineStr">
        <is>
          <t>Allowable share of income for personal services performed (see instructions):</t>
        </is>
      </c>
      <c r="E99" s="11602" t="n"/>
      <c r="F99" s="11602" t="n"/>
      <c r="G99" s="11602" t="n"/>
      <c r="H99" s="11602" t="n"/>
      <c r="I99" s="11602" t="n"/>
      <c r="J99" s="11602" t="n"/>
      <c r="K99" s="11602" t="n"/>
      <c r="L99" s="11602" t="n"/>
      <c r="M99" s="11602" t="n"/>
      <c r="N99" s="11602" t="n"/>
      <c r="O99" s="11602" t="n"/>
      <c r="P99" s="11602" t="n"/>
      <c r="Q99" s="11602" t="n"/>
      <c r="R99" s="11602" t="n"/>
      <c r="S99" s="11602" t="n"/>
      <c r="T99" s="11602" t="n"/>
      <c r="U99" s="11602" t="n"/>
      <c r="V99" s="11602" t="n"/>
      <c r="W99" s="11602" t="n"/>
      <c r="X99" s="11602" t="n"/>
      <c r="Y99" s="11602" t="n"/>
      <c r="Z99" s="11602" t="n"/>
      <c r="AA99" s="11602" t="n"/>
      <c r="AB99" s="11602" t="n"/>
      <c r="AC99" s="2898" t="n"/>
      <c r="AD99" s="10091" t="n"/>
      <c r="AE99" s="9766" t="n"/>
      <c r="AF99" s="7839" t="n"/>
      <c r="AG99" s="9766" t="n"/>
      <c r="AH99" s="7839" t="n"/>
      <c r="AI99" s="9766" t="n"/>
      <c r="AJ99" s="7839" t="n"/>
      <c r="AK99" s="2013" t="n"/>
      <c r="AO99" s="2027" t="n"/>
      <c r="AP99" s="2027" t="n"/>
      <c r="BL99" s="2027" t="n"/>
      <c r="BM99" s="2027" t="n"/>
    </row>
    <row r="100" ht="13.5" customHeight="1" s="7635">
      <c r="A100" s="2013" t="n"/>
      <c r="B100" s="11602" t="n"/>
      <c r="C100" s="734" t="inlineStr">
        <is>
          <t xml:space="preserve">a </t>
        </is>
      </c>
      <c r="D100" s="8650" t="inlineStr">
        <is>
          <t>In a business (including farming) or profession</t>
        </is>
      </c>
      <c r="E100" s="11602" t="n"/>
      <c r="F100" s="11602" t="n"/>
      <c r="G100" s="11602" t="n"/>
      <c r="H100" s="11602" t="n"/>
      <c r="I100" s="11602" t="n"/>
      <c r="J100" s="11602" t="n"/>
      <c r="K100" s="11602" t="n"/>
      <c r="L100" s="11602" t="n"/>
      <c r="M100" s="11602" t="n"/>
      <c r="N100" s="11602" t="n"/>
      <c r="O100" s="11602" t="n"/>
      <c r="P100" s="11602" t="n"/>
      <c r="Q100" s="11602" t="n"/>
      <c r="R100" s="11602" t="n"/>
      <c r="S100" s="11602" t="n"/>
      <c r="T100" s="11602" t="n"/>
      <c r="U100" s="11602" t="n"/>
      <c r="V100" s="11602" t="n"/>
      <c r="W100" s="11602" t="n"/>
      <c r="X100" s="11602" t="n"/>
      <c r="Y100" s="11602" t="n"/>
      <c r="Z100" s="11602" t="n"/>
      <c r="AA100" s="11602" t="n"/>
      <c r="AB100" s="2031" t="inlineStr">
        <is>
          <t xml:space="preserve">.   .   .   .   .   .   .   .   .   .   .   .   .   .   .   .   .   .   .   .   .   . </t>
        </is>
      </c>
      <c r="AC100" s="5372" t="inlineStr">
        <is>
          <t>20a</t>
        </is>
      </c>
      <c r="AD100" s="7638" t="n"/>
      <c r="AE100" s="9763" t="n"/>
      <c r="AF100" s="11717" t="n"/>
      <c r="AG100" s="11717" t="n"/>
      <c r="AH100" s="11717" t="n"/>
      <c r="AI100" s="11717" t="n"/>
      <c r="AJ100" s="11717" t="n"/>
      <c r="AK100" s="2013" t="n"/>
      <c r="AO100" s="2027" t="n"/>
      <c r="AP100" s="2027" t="n"/>
      <c r="BL100" s="2027" t="n"/>
      <c r="BM100" s="2027" t="n"/>
    </row>
    <row r="101" ht="13.5" customHeight="1" s="7635">
      <c r="A101" s="2013" t="n"/>
      <c r="B101" s="11602" t="n"/>
      <c r="C101" s="734" t="inlineStr">
        <is>
          <t xml:space="preserve">b </t>
        </is>
      </c>
      <c r="D101" s="8650" t="inlineStr">
        <is>
          <t>In a partnership. List partnership’s name and address and type of income.</t>
        </is>
      </c>
      <c r="E101" s="11602" t="n"/>
      <c r="F101" s="11602" t="n"/>
      <c r="G101" s="11602" t="n"/>
      <c r="H101" s="11602" t="n"/>
      <c r="I101" s="11602" t="n"/>
      <c r="J101" s="11602" t="n"/>
      <c r="K101" s="11602" t="n"/>
      <c r="L101" s="11602" t="n"/>
      <c r="M101" s="11602" t="n"/>
      <c r="N101" s="11602" t="n"/>
      <c r="O101" s="11602" t="n"/>
      <c r="P101" s="11602" t="n"/>
      <c r="Q101" s="11602" t="n"/>
      <c r="R101" s="11602" t="n"/>
      <c r="S101" s="11602" t="n"/>
      <c r="T101" s="11602" t="n"/>
      <c r="U101" s="11602" t="n"/>
      <c r="V101" s="9759" t="n"/>
      <c r="W101" s="11730" t="n"/>
      <c r="X101" s="11730" t="n"/>
      <c r="Y101" s="11730" t="n"/>
      <c r="Z101" s="11730" t="n"/>
      <c r="AA101" s="11730" t="n"/>
      <c r="AB101" s="11602" t="n"/>
      <c r="AC101" s="2898" t="n"/>
      <c r="AD101" s="10091" t="n"/>
      <c r="AE101" s="8998" t="n"/>
      <c r="AF101" s="7839" t="n"/>
      <c r="AG101" s="9766" t="n"/>
      <c r="AH101" s="7839" t="n"/>
      <c r="AI101" s="9766" t="n"/>
      <c r="AJ101" s="7839" t="n"/>
      <c r="AK101" s="2013" t="n"/>
      <c r="AO101" s="2027" t="n"/>
      <c r="AP101" s="2027" t="n"/>
      <c r="BL101" s="2027" t="n"/>
      <c r="BM101" s="2027" t="n"/>
    </row>
    <row r="102" ht="13.5" customHeight="1" s="7635">
      <c r="A102" s="2013" t="n"/>
      <c r="B102" s="11602" t="n"/>
      <c r="C102" s="734" t="n"/>
      <c r="D102" s="9759" t="n"/>
      <c r="E102" s="11730" t="n"/>
      <c r="F102" s="11730" t="n"/>
      <c r="G102" s="11730" t="n"/>
      <c r="H102" s="11730" t="n"/>
      <c r="I102" s="11730" t="n"/>
      <c r="J102" s="11730" t="n"/>
      <c r="K102" s="11730" t="n"/>
      <c r="L102" s="11730" t="n"/>
      <c r="M102" s="11730" t="n"/>
      <c r="N102" s="11730" t="n"/>
      <c r="O102" s="11730" t="n"/>
      <c r="P102" s="11730" t="n"/>
      <c r="Q102" s="11730" t="n"/>
      <c r="R102" s="11730" t="n"/>
      <c r="S102" s="11730" t="n"/>
      <c r="T102" s="11730" t="n"/>
      <c r="U102" s="11730" t="n"/>
      <c r="V102" s="11730" t="n"/>
      <c r="W102" s="11730" t="n"/>
      <c r="X102" s="11730" t="n"/>
      <c r="Y102" s="11730" t="n"/>
      <c r="Z102" s="11730" t="n"/>
      <c r="AA102" s="11730" t="n"/>
      <c r="AB102" s="11602" t="n"/>
      <c r="AC102" s="5372" t="inlineStr">
        <is>
          <t>20b</t>
        </is>
      </c>
      <c r="AD102" s="7638" t="n"/>
      <c r="AE102" s="9763" t="n"/>
      <c r="AF102" s="11717" t="n"/>
      <c r="AG102" s="11717" t="n"/>
      <c r="AH102" s="11717" t="n"/>
      <c r="AI102" s="11717" t="n"/>
      <c r="AJ102" s="11717" t="n"/>
      <c r="AK102" s="2013" t="n"/>
      <c r="AO102" s="2027" t="n"/>
      <c r="AP102" s="2027" t="n"/>
      <c r="BL102" s="2027" t="n"/>
      <c r="BM102" s="2027" t="n"/>
    </row>
    <row r="103" ht="13.5" customHeight="1" s="7635">
      <c r="A103" s="2013" t="n"/>
      <c r="B103" s="11602" t="n"/>
      <c r="C103" s="734" t="inlineStr">
        <is>
          <t xml:space="preserve">21 </t>
        </is>
      </c>
      <c r="D103" s="8650" t="inlineStr">
        <is>
          <t>Noncash income (market value of property or facilities furnished by employer—attach statement</t>
        </is>
      </c>
      <c r="E103" s="11602" t="n"/>
      <c r="F103" s="11602" t="n"/>
      <c r="G103" s="11602" t="n"/>
      <c r="H103" s="11602" t="n"/>
      <c r="I103" s="11602" t="n"/>
      <c r="J103" s="11602" t="n"/>
      <c r="K103" s="11602" t="n"/>
      <c r="L103" s="11602" t="n"/>
      <c r="M103" s="11602" t="n"/>
      <c r="N103" s="11602" t="n"/>
      <c r="O103" s="11602" t="n"/>
      <c r="P103" s="11602" t="n"/>
      <c r="Q103" s="11602" t="n"/>
      <c r="R103" s="11602" t="n"/>
      <c r="S103" s="11602" t="n"/>
      <c r="T103" s="11602" t="n"/>
      <c r="U103" s="11602" t="n"/>
      <c r="V103" s="11602" t="n"/>
      <c r="W103" s="11602" t="n"/>
      <c r="X103" s="11602" t="n"/>
      <c r="Y103" s="11602" t="n"/>
      <c r="Z103" s="11602" t="n"/>
      <c r="AA103" s="11602" t="n"/>
      <c r="AB103" s="11602" t="n"/>
      <c r="AC103" s="1946" t="n"/>
      <c r="AD103" s="10091" t="n"/>
      <c r="AE103" s="9766" t="n"/>
      <c r="AF103" s="7839" t="n"/>
      <c r="AG103" s="9766" t="n"/>
      <c r="AH103" s="7839" t="n"/>
      <c r="AI103" s="9766" t="n"/>
      <c r="AJ103" s="7839" t="n"/>
      <c r="AK103" s="2013" t="n"/>
      <c r="AO103" s="2027" t="n"/>
      <c r="AP103" s="2027" t="n"/>
      <c r="BL103" s="2027" t="n"/>
      <c r="BM103" s="2027" t="n"/>
    </row>
    <row r="104" ht="13.5" customHeight="1" s="7635">
      <c r="A104" s="2013" t="n"/>
      <c r="B104" s="11602" t="n"/>
      <c r="C104" s="11602" t="n"/>
      <c r="D104" s="8650" t="inlineStr">
        <is>
          <t>showing how it was determined):</t>
        </is>
      </c>
      <c r="E104" s="11602" t="n"/>
      <c r="F104" s="11602" t="n"/>
      <c r="G104" s="11602" t="n"/>
      <c r="H104" s="11602" t="n"/>
      <c r="I104" s="11602" t="n"/>
      <c r="J104" s="11602" t="n"/>
      <c r="K104" s="11602" t="n"/>
      <c r="L104" s="11602" t="n"/>
      <c r="M104" s="11602" t="n"/>
      <c r="N104" s="11602" t="n"/>
      <c r="O104" s="11602" t="n"/>
      <c r="P104" s="11602" t="n"/>
      <c r="Q104" s="11602" t="n"/>
      <c r="R104" s="11602" t="n"/>
      <c r="S104" s="11602" t="n"/>
      <c r="T104" s="11602" t="n"/>
      <c r="U104" s="11602" t="n"/>
      <c r="V104" s="11602" t="n"/>
      <c r="W104" s="11602" t="n"/>
      <c r="X104" s="11602" t="n"/>
      <c r="Y104" s="11602" t="n"/>
      <c r="Z104" s="11602" t="n"/>
      <c r="AA104" s="11602" t="n"/>
      <c r="AB104" s="11602" t="n"/>
      <c r="AC104" s="1947" t="n"/>
      <c r="AD104" s="7636" t="n"/>
      <c r="AE104" s="8977" t="n"/>
      <c r="AG104" s="7914" t="n"/>
      <c r="AI104" s="7914" t="n"/>
      <c r="AK104" s="2013" t="n"/>
      <c r="AO104" s="2027" t="n"/>
      <c r="AP104" s="2027" t="n"/>
      <c r="BL104" s="2027" t="n"/>
      <c r="BM104" s="2027" t="n"/>
    </row>
    <row r="105" ht="15.75" customHeight="1" s="7635">
      <c r="A105" s="2013" t="n"/>
      <c r="B105" s="11602" t="n"/>
      <c r="C105" s="734" t="inlineStr">
        <is>
          <t xml:space="preserve">a </t>
        </is>
      </c>
      <c r="D105" s="8650" t="inlineStr">
        <is>
          <t>Home (lodging)</t>
        </is>
      </c>
      <c r="E105" s="11602" t="n"/>
      <c r="F105" s="11602" t="n"/>
      <c r="G105" s="11602" t="n"/>
      <c r="H105" s="11602" t="n"/>
      <c r="I105" s="11602" t="n"/>
      <c r="J105" s="11602" t="n"/>
      <c r="K105" s="11602" t="n"/>
      <c r="L105" s="11602" t="n"/>
      <c r="M105" s="11602" t="n"/>
      <c r="N105" s="11602" t="n"/>
      <c r="O105" s="11602" t="n"/>
      <c r="P105" s="11602" t="n"/>
      <c r="Q105" s="11602" t="n"/>
      <c r="R105" s="11602" t="n"/>
      <c r="S105" s="11602" t="n"/>
      <c r="T105" s="11602" t="n"/>
      <c r="U105" s="11602" t="n"/>
      <c r="V105" s="11602" t="n"/>
      <c r="W105" s="11602" t="n"/>
      <c r="X105" s="11602" t="n"/>
      <c r="Y105" s="11602" t="n"/>
      <c r="Z105" s="11602" t="n"/>
      <c r="AA105" s="11602" t="n"/>
      <c r="AB105" s="2031" t="inlineStr">
        <is>
          <t xml:space="preserve">.   .   .   .   .   .   .   .   .   .   .   .   .   .   .   .   .   .   .   .   .   .   .   .   .   .   .   .   .   .   .   .   .   . </t>
        </is>
      </c>
      <c r="AC105" s="5372" t="inlineStr">
        <is>
          <t>21a</t>
        </is>
      </c>
      <c r="AD105" s="7638" t="n"/>
      <c r="AE105" s="9763" t="n"/>
      <c r="AF105" s="11717" t="n"/>
      <c r="AG105" s="11717" t="n"/>
      <c r="AH105" s="11717" t="n"/>
      <c r="AI105" s="11717" t="n"/>
      <c r="AJ105" s="11717" t="n"/>
      <c r="AK105" s="2013" t="n"/>
      <c r="AO105" s="2027" t="n"/>
      <c r="AP105" s="2027" t="n"/>
      <c r="BL105" s="2027" t="n"/>
      <c r="BM105" s="2027" t="n"/>
    </row>
    <row r="106" ht="13.5" customHeight="1" s="7635">
      <c r="A106" s="2013" t="n"/>
      <c r="B106" s="11602" t="n"/>
      <c r="C106" s="11602" t="n"/>
      <c r="D106" s="11602" t="n"/>
      <c r="E106" s="11602" t="n"/>
      <c r="F106" s="11602" t="n"/>
      <c r="G106" s="11602" t="n"/>
      <c r="H106" s="11602" t="n"/>
      <c r="I106" s="11602" t="n"/>
      <c r="J106" s="11602" t="n"/>
      <c r="K106" s="11602" t="n"/>
      <c r="L106" s="11602" t="n"/>
      <c r="M106" s="11602" t="n"/>
      <c r="N106" s="11602" t="n"/>
      <c r="O106" s="11602" t="n"/>
      <c r="P106" s="11602" t="n"/>
      <c r="Q106" s="11602" t="n"/>
      <c r="R106" s="11602" t="n"/>
      <c r="S106" s="11602" t="n"/>
      <c r="T106" s="11602" t="n"/>
      <c r="U106" s="11602" t="n"/>
      <c r="V106" s="11602" t="n"/>
      <c r="W106" s="11602" t="n"/>
      <c r="X106" s="11602" t="n"/>
      <c r="Y106" s="11602" t="n"/>
      <c r="Z106" s="11602" t="n"/>
      <c r="AA106" s="11602" t="n"/>
      <c r="AB106" s="11602" t="n"/>
      <c r="AC106" s="2898" t="n"/>
      <c r="AD106" s="10091" t="n"/>
      <c r="AE106" s="8998" t="n"/>
      <c r="AF106" s="7839" t="n"/>
      <c r="AG106" s="9766" t="n"/>
      <c r="AH106" s="7839" t="n"/>
      <c r="AI106" s="9766" t="n"/>
      <c r="AJ106" s="7839" t="n"/>
      <c r="AK106" s="2013" t="n"/>
      <c r="AO106" s="2027" t="n"/>
      <c r="AP106" s="2027" t="n"/>
      <c r="BL106" s="2027" t="n"/>
      <c r="BM106" s="2027" t="n"/>
    </row>
    <row r="107" ht="13.5" customHeight="1" s="7635">
      <c r="A107" s="2013" t="n"/>
      <c r="B107" s="11602" t="n"/>
      <c r="C107" s="734" t="inlineStr">
        <is>
          <t xml:space="preserve">b </t>
        </is>
      </c>
      <c r="D107" s="8650" t="inlineStr">
        <is>
          <t>Meals</t>
        </is>
      </c>
      <c r="E107" s="11602" t="n"/>
      <c r="F107" s="11602" t="n"/>
      <c r="G107" s="11602" t="n"/>
      <c r="H107" s="11602" t="n"/>
      <c r="I107" s="11602" t="n"/>
      <c r="J107" s="11602" t="n"/>
      <c r="K107" s="11602" t="n"/>
      <c r="L107" s="11602" t="n"/>
      <c r="M107" s="11602" t="n"/>
      <c r="N107" s="11602" t="n"/>
      <c r="O107" s="11602" t="n"/>
      <c r="P107" s="11602" t="n"/>
      <c r="Q107" s="11602" t="n"/>
      <c r="R107" s="11602" t="n"/>
      <c r="S107" s="11602" t="n"/>
      <c r="T107" s="11602" t="n"/>
      <c r="U107" s="11602" t="n"/>
      <c r="V107" s="11602" t="n"/>
      <c r="W107" s="11602" t="n"/>
      <c r="X107" s="11602" t="n"/>
      <c r="Y107" s="11602" t="n"/>
      <c r="Z107" s="11602" t="n"/>
      <c r="AA107" s="11602" t="n"/>
      <c r="AB107" s="2031" t="inlineStr">
        <is>
          <t xml:space="preserve">.   .   .   .   .   .   .   .   .   .   .   .   .   .   .   .   .   .   .   .   .   .   .   .   .   .   .   .   .   .   .   .   .   .   .   .   .   . </t>
        </is>
      </c>
      <c r="AC107" s="5372" t="inlineStr">
        <is>
          <t>21b</t>
        </is>
      </c>
      <c r="AD107" s="7638" t="n"/>
      <c r="AE107" s="9763" t="n"/>
      <c r="AF107" s="11717" t="n"/>
      <c r="AG107" s="11717" t="n"/>
      <c r="AH107" s="11717" t="n"/>
      <c r="AI107" s="11717" t="n"/>
      <c r="AJ107" s="11717" t="n"/>
      <c r="AK107" s="2013" t="n"/>
      <c r="AO107" s="2027" t="n"/>
      <c r="AP107" s="2027" t="n"/>
      <c r="BL107" s="2027" t="n"/>
      <c r="BM107" s="2027" t="n"/>
    </row>
    <row r="108" ht="13.5" customHeight="1" s="7635">
      <c r="A108" s="2013" t="n"/>
      <c r="B108" s="11602" t="n"/>
      <c r="C108" s="11602" t="n"/>
      <c r="D108" s="11602" t="n"/>
      <c r="E108" s="11602" t="n"/>
      <c r="F108" s="11602" t="n"/>
      <c r="G108" s="11602" t="n"/>
      <c r="H108" s="11602" t="n"/>
      <c r="I108" s="11602" t="n"/>
      <c r="J108" s="11602" t="n"/>
      <c r="K108" s="11602" t="n"/>
      <c r="L108" s="11602" t="n"/>
      <c r="M108" s="11602" t="n"/>
      <c r="N108" s="11602" t="n"/>
      <c r="O108" s="11602" t="n"/>
      <c r="P108" s="11602" t="n"/>
      <c r="Q108" s="11602" t="n"/>
      <c r="R108" s="11602" t="n"/>
      <c r="S108" s="11602" t="n"/>
      <c r="T108" s="11602" t="n"/>
      <c r="U108" s="11602" t="n"/>
      <c r="V108" s="11602" t="n"/>
      <c r="W108" s="11602" t="n"/>
      <c r="X108" s="11602" t="n"/>
      <c r="Y108" s="11602" t="n"/>
      <c r="Z108" s="11602" t="n"/>
      <c r="AA108" s="11602" t="n"/>
      <c r="AB108" s="11602" t="n"/>
      <c r="AC108" s="2898" t="n"/>
      <c r="AD108" s="10091" t="n"/>
      <c r="AE108" s="8998" t="n"/>
      <c r="AF108" s="7839" t="n"/>
      <c r="AG108" s="9766" t="n"/>
      <c r="AH108" s="7839" t="n"/>
      <c r="AI108" s="9766" t="n"/>
      <c r="AJ108" s="7839" t="n"/>
      <c r="AK108" s="2013" t="n"/>
      <c r="AO108" s="2027" t="n"/>
      <c r="AP108" s="2027" t="n"/>
      <c r="BL108" s="2027" t="n"/>
      <c r="BM108" s="2027" t="n"/>
    </row>
    <row r="109" ht="13.5" customHeight="1" s="7635">
      <c r="A109" s="2013" t="n"/>
      <c r="B109" s="11602" t="n"/>
      <c r="C109" s="734" t="inlineStr">
        <is>
          <t xml:space="preserve">c </t>
        </is>
      </c>
      <c r="D109" s="8650" t="inlineStr">
        <is>
          <t>Car</t>
        </is>
      </c>
      <c r="E109" s="11602" t="n"/>
      <c r="F109" s="11602" t="n"/>
      <c r="G109" s="11602" t="n"/>
      <c r="H109" s="11602" t="n"/>
      <c r="I109" s="11602" t="n"/>
      <c r="J109" s="11602" t="n"/>
      <c r="K109" s="11602" t="n"/>
      <c r="L109" s="11602" t="n"/>
      <c r="M109" s="11602" t="n"/>
      <c r="N109" s="11602" t="n"/>
      <c r="O109" s="11602" t="n"/>
      <c r="P109" s="11602" t="n"/>
      <c r="Q109" s="11602" t="n"/>
      <c r="R109" s="11602" t="n"/>
      <c r="S109" s="11602" t="n"/>
      <c r="T109" s="11602" t="n"/>
      <c r="U109" s="11602" t="n"/>
      <c r="V109" s="11602" t="n"/>
      <c r="W109" s="11602" t="n"/>
      <c r="X109" s="11602" t="n"/>
      <c r="Y109" s="11602" t="n"/>
      <c r="Z109" s="11602" t="n"/>
      <c r="AA109" s="11602" t="n"/>
      <c r="AB109" s="2031" t="inlineStr">
        <is>
          <t xml:space="preserve">.   .   .   .   .   .   .   .   .   .   .   .   .   .   .   .   .   .   .   .   .   .   .   .   .   .   .   .   .   .   .   .   .   .   .   .   .   .   .   . </t>
        </is>
      </c>
      <c r="AC109" s="5372" t="inlineStr">
        <is>
          <t>21c</t>
        </is>
      </c>
      <c r="AD109" s="7638" t="n"/>
      <c r="AE109" s="9763" t="n"/>
      <c r="AF109" s="11717" t="n"/>
      <c r="AG109" s="11717" t="n"/>
      <c r="AH109" s="11717" t="n"/>
      <c r="AI109" s="11717" t="n"/>
      <c r="AJ109" s="11717" t="n"/>
      <c r="AK109" s="2013" t="n"/>
      <c r="AO109" s="2027" t="n"/>
      <c r="AP109" s="2027" t="n"/>
      <c r="BL109" s="2027" t="n"/>
      <c r="BM109" s="2027" t="n"/>
    </row>
    <row r="110" ht="13.5" customHeight="1" s="7635">
      <c r="A110" s="2013" t="n"/>
      <c r="B110" s="11602" t="n"/>
      <c r="C110" s="734" t="inlineStr">
        <is>
          <t xml:space="preserve">d </t>
        </is>
      </c>
      <c r="D110" s="8650" t="inlineStr">
        <is>
          <t>Other property or facilities. List type and amount.</t>
        </is>
      </c>
      <c r="E110" s="11602" t="n"/>
      <c r="F110" s="11602" t="n"/>
      <c r="G110" s="11602" t="n"/>
      <c r="H110" s="11602" t="n"/>
      <c r="I110" s="11602" t="n"/>
      <c r="J110" s="11602" t="n"/>
      <c r="K110" s="11602" t="n"/>
      <c r="L110" s="11602" t="n"/>
      <c r="M110" s="11602" t="n"/>
      <c r="N110" s="11602" t="n"/>
      <c r="O110" s="11602" t="n"/>
      <c r="P110" s="11602" t="n"/>
      <c r="Q110" s="9800" t="n"/>
      <c r="R110" s="11730" t="n"/>
      <c r="S110" s="11730" t="n"/>
      <c r="T110" s="11730" t="n"/>
      <c r="U110" s="11730" t="n"/>
      <c r="V110" s="11730" t="n"/>
      <c r="W110" s="11730" t="n"/>
      <c r="X110" s="11730" t="n"/>
      <c r="Y110" s="11730" t="n"/>
      <c r="Z110" s="11730" t="n"/>
      <c r="AA110" s="11730" t="n"/>
      <c r="AB110" s="11602" t="n"/>
      <c r="AC110" s="2898" t="n"/>
      <c r="AD110" s="10091" t="n"/>
      <c r="AE110" s="8998" t="n"/>
      <c r="AF110" s="7839" t="n"/>
      <c r="AG110" s="9766" t="n"/>
      <c r="AH110" s="7839" t="n"/>
      <c r="AI110" s="9766" t="n"/>
      <c r="AJ110" s="7839" t="n"/>
      <c r="AK110" s="2013" t="n"/>
      <c r="AO110" s="2027" t="n"/>
      <c r="AP110" s="2027" t="n"/>
      <c r="BL110" s="2027" t="n"/>
      <c r="BM110" s="2027" t="n"/>
    </row>
    <row r="111" ht="13.5" customHeight="1" s="7635">
      <c r="A111" s="2013" t="n"/>
      <c r="B111" s="11602" t="n"/>
      <c r="C111" s="11602" t="n"/>
      <c r="D111" s="9759" t="n"/>
      <c r="E111" s="11730" t="n"/>
      <c r="F111" s="11730" t="n"/>
      <c r="G111" s="11730" t="n"/>
      <c r="H111" s="11730" t="n"/>
      <c r="I111" s="11730" t="n"/>
      <c r="J111" s="11730" t="n"/>
      <c r="K111" s="11730" t="n"/>
      <c r="L111" s="11730" t="n"/>
      <c r="M111" s="11730" t="n"/>
      <c r="N111" s="11730" t="n"/>
      <c r="O111" s="11730" t="n"/>
      <c r="P111" s="11730" t="n"/>
      <c r="Q111" s="11730" t="n"/>
      <c r="R111" s="11730" t="n"/>
      <c r="S111" s="11730" t="n"/>
      <c r="T111" s="11730" t="n"/>
      <c r="U111" s="11730" t="n"/>
      <c r="V111" s="11730" t="n"/>
      <c r="W111" s="11730" t="n"/>
      <c r="X111" s="11730" t="n"/>
      <c r="Y111" s="11730" t="n"/>
      <c r="Z111" s="11730" t="n"/>
      <c r="AA111" s="11730" t="n"/>
      <c r="AB111" s="11602" t="n"/>
      <c r="AC111" s="5372" t="inlineStr">
        <is>
          <t>21d</t>
        </is>
      </c>
      <c r="AD111" s="7638" t="n"/>
      <c r="AE111" s="9763" t="n"/>
      <c r="AF111" s="11717" t="n"/>
      <c r="AG111" s="11717" t="n"/>
      <c r="AH111" s="11717" t="n"/>
      <c r="AI111" s="11717" t="n"/>
      <c r="AJ111" s="11717" t="n"/>
      <c r="AK111" s="2013" t="n"/>
      <c r="AO111" s="2027" t="n"/>
      <c r="AP111" s="2027" t="n"/>
      <c r="BL111" s="2027" t="n"/>
      <c r="BM111" s="2027" t="n"/>
    </row>
    <row r="112" ht="13.5" customHeight="1" s="7635">
      <c r="A112" s="2013" t="n"/>
      <c r="B112" s="11602" t="n"/>
      <c r="C112" s="734" t="inlineStr">
        <is>
          <t xml:space="preserve">22 </t>
        </is>
      </c>
      <c r="D112" s="8650" t="inlineStr">
        <is>
          <t>Allowances, reimbursements, or expenses paid on your behalf for services you performed:</t>
        </is>
      </c>
      <c r="E112" s="11602" t="n"/>
      <c r="F112" s="11602" t="n"/>
      <c r="G112" s="11602" t="n"/>
      <c r="H112" s="11602" t="n"/>
      <c r="I112" s="11602" t="n"/>
      <c r="J112" s="11602" t="n"/>
      <c r="K112" s="11602" t="n"/>
      <c r="L112" s="11602" t="n"/>
      <c r="M112" s="11602" t="n"/>
      <c r="N112" s="11602" t="n"/>
      <c r="O112" s="11602" t="n"/>
      <c r="P112" s="11602" t="n"/>
      <c r="Q112" s="11602" t="n"/>
      <c r="R112" s="11602" t="n"/>
      <c r="S112" s="11602" t="n"/>
      <c r="T112" s="11602" t="n"/>
      <c r="U112" s="11602" t="n"/>
      <c r="V112" s="11602" t="n"/>
      <c r="W112" s="11602" t="n"/>
      <c r="X112" s="11602" t="n"/>
      <c r="Y112" s="11602" t="n"/>
      <c r="Z112" s="11602" t="n"/>
      <c r="AA112" s="11602" t="n"/>
      <c r="AB112" s="11602" t="n"/>
      <c r="AC112" s="2073" t="n"/>
      <c r="AD112" s="2074" t="n"/>
      <c r="AE112" s="11602" t="n"/>
      <c r="AF112" s="11602" t="n"/>
      <c r="AG112" s="11602" t="n"/>
      <c r="AH112" s="11602" t="n"/>
      <c r="AI112" s="11602" t="n"/>
      <c r="AJ112" s="11602" t="n"/>
      <c r="AK112" s="2013" t="n"/>
      <c r="AO112" s="2027" t="n"/>
      <c r="AP112" s="2027" t="n"/>
      <c r="BL112" s="2027" t="n"/>
      <c r="BM112" s="2027" t="n"/>
    </row>
    <row r="113" ht="13.5" customHeight="1" s="7635">
      <c r="A113" s="2013" t="n"/>
      <c r="B113" s="11602" t="n"/>
      <c r="C113" s="734" t="inlineStr">
        <is>
          <t xml:space="preserve">a </t>
        </is>
      </c>
      <c r="D113" s="8650" t="inlineStr">
        <is>
          <t>Cost of living and overseas differential</t>
        </is>
      </c>
      <c r="E113" s="11602" t="n"/>
      <c r="F113" s="11602" t="n"/>
      <c r="G113" s="11602" t="n"/>
      <c r="H113" s="11602" t="n"/>
      <c r="I113" s="11602" t="n"/>
      <c r="J113" s="11602" t="n"/>
      <c r="K113" s="11602" t="n"/>
      <c r="L113" s="11602" t="n"/>
      <c r="M113" s="11602" t="n"/>
      <c r="N113" s="11602" t="n"/>
      <c r="O113" s="11602" t="n"/>
      <c r="P113" s="11602" t="n"/>
      <c r="Q113" s="11602" t="n"/>
      <c r="R113" s="11602" t="n"/>
      <c r="S113" s="11602" t="n"/>
      <c r="T113" s="11602" t="n"/>
      <c r="U113" s="5372" t="inlineStr">
        <is>
          <t>22a</t>
        </is>
      </c>
      <c r="V113" s="7638" t="n"/>
      <c r="W113" s="9763" t="n"/>
      <c r="X113" s="11717" t="n"/>
      <c r="Y113" s="11717" t="n"/>
      <c r="Z113" s="11717" t="n"/>
      <c r="AA113" s="11717" t="n"/>
      <c r="AB113" s="11717" t="n"/>
      <c r="AC113" s="2073" t="n"/>
      <c r="AD113" s="2074" t="n"/>
      <c r="AE113" s="11602" t="n"/>
      <c r="AF113" s="11602" t="n"/>
      <c r="AG113" s="11602" t="n"/>
      <c r="AH113" s="11602" t="n"/>
      <c r="AI113" s="11602" t="n"/>
      <c r="AJ113" s="11602" t="n"/>
      <c r="AK113" s="2013" t="n"/>
      <c r="AO113" s="2027" t="n"/>
      <c r="AP113" s="2027" t="n"/>
      <c r="BL113" s="2027" t="n"/>
      <c r="BM113" s="2027" t="n"/>
    </row>
    <row r="114" ht="13.5" customHeight="1" s="7635">
      <c r="A114" s="2013" t="n"/>
      <c r="B114" s="11602" t="n"/>
      <c r="C114" s="734" t="inlineStr">
        <is>
          <t xml:space="preserve">b </t>
        </is>
      </c>
      <c r="D114" s="8650" t="inlineStr">
        <is>
          <t>Family</t>
        </is>
      </c>
      <c r="E114" s="11602" t="n"/>
      <c r="F114" s="11602" t="n"/>
      <c r="G114" s="11602" t="n"/>
      <c r="H114" s="11602" t="n"/>
      <c r="I114" s="11602" t="n"/>
      <c r="J114" s="11602" t="n"/>
      <c r="K114" s="11602" t="n"/>
      <c r="L114" s="11602" t="n"/>
      <c r="M114" s="11602" t="n"/>
      <c r="N114" s="11602" t="n"/>
      <c r="O114" s="11602" t="n"/>
      <c r="P114" s="11602" t="n"/>
      <c r="Q114" s="11602" t="n"/>
      <c r="R114" s="11602" t="n"/>
      <c r="S114" s="11602" t="n"/>
      <c r="T114" s="2031" t="inlineStr">
        <is>
          <t xml:space="preserve">.   .   .   .   .   .   .   .   .   .   .   .   .   .   .   .   .   .   .   .   .   .   .   .   . </t>
        </is>
      </c>
      <c r="U114" s="5372" t="inlineStr">
        <is>
          <t>22b</t>
        </is>
      </c>
      <c r="V114" s="7638" t="n"/>
      <c r="W114" s="9763" t="n"/>
      <c r="X114" s="11717" t="n"/>
      <c r="Y114" s="11717" t="n"/>
      <c r="Z114" s="11717" t="n"/>
      <c r="AA114" s="11717" t="n"/>
      <c r="AB114" s="11717" t="n"/>
      <c r="AC114" s="2073" t="n"/>
      <c r="AD114" s="2074" t="n"/>
      <c r="AE114" s="11602" t="n"/>
      <c r="AF114" s="11602" t="n"/>
      <c r="AG114" s="11602" t="n"/>
      <c r="AH114" s="11602" t="n"/>
      <c r="AI114" s="11602" t="n"/>
      <c r="AJ114" s="11602" t="n"/>
      <c r="AK114" s="2013" t="n"/>
      <c r="BL114" s="2027" t="n"/>
      <c r="BM114" s="2027" t="n"/>
    </row>
    <row r="115" ht="13.5" customHeight="1" s="7635">
      <c r="A115" s="2013" t="n"/>
      <c r="B115" s="11602" t="n"/>
      <c r="C115" s="734" t="inlineStr">
        <is>
          <t xml:space="preserve">c </t>
        </is>
      </c>
      <c r="D115" s="8650" t="inlineStr">
        <is>
          <t>Education</t>
        </is>
      </c>
      <c r="E115" s="11602" t="n"/>
      <c r="F115" s="11602" t="n"/>
      <c r="G115" s="11602" t="n"/>
      <c r="H115" s="11602" t="n"/>
      <c r="I115" s="11602" t="n"/>
      <c r="J115" s="11602" t="n"/>
      <c r="K115" s="11602" t="n"/>
      <c r="L115" s="11602" t="n"/>
      <c r="M115" s="11602" t="n"/>
      <c r="N115" s="11602" t="n"/>
      <c r="O115" s="11602" t="n"/>
      <c r="P115" s="11602" t="n"/>
      <c r="Q115" s="11602" t="n"/>
      <c r="R115" s="11602" t="n"/>
      <c r="S115" s="11602" t="n"/>
      <c r="T115" s="2031" t="inlineStr">
        <is>
          <t xml:space="preserve">.   .   .   .   .   .   .   .   .   .   .   .   .   .   .   .   .   .   .   .   .   .   .   . </t>
        </is>
      </c>
      <c r="U115" s="5372" t="inlineStr">
        <is>
          <t>22c</t>
        </is>
      </c>
      <c r="V115" s="7638" t="n"/>
      <c r="W115" s="9763" t="n"/>
      <c r="X115" s="11717" t="n"/>
      <c r="Y115" s="11717" t="n"/>
      <c r="Z115" s="11717" t="n"/>
      <c r="AA115" s="11717" t="n"/>
      <c r="AB115" s="11717" t="n"/>
      <c r="AC115" s="2073" t="n"/>
      <c r="AD115" s="2074" t="n"/>
      <c r="AE115" s="11602" t="n"/>
      <c r="AF115" s="11602" t="n"/>
      <c r="AG115" s="11602" t="n"/>
      <c r="AH115" s="11602" t="n"/>
      <c r="AI115" s="11602" t="n"/>
      <c r="AJ115" s="11602" t="n"/>
      <c r="AK115" s="2013" t="n"/>
      <c r="BL115" s="2027" t="n"/>
      <c r="BM115" s="2027" t="n"/>
    </row>
    <row r="116" ht="13.5" customHeight="1" s="7635">
      <c r="A116" s="2013" t="n"/>
      <c r="B116" s="11602" t="n"/>
      <c r="C116" s="734" t="inlineStr">
        <is>
          <t xml:space="preserve">d </t>
        </is>
      </c>
      <c r="D116" s="8650" t="inlineStr">
        <is>
          <t>Home leave</t>
        </is>
      </c>
      <c r="E116" s="11602" t="n"/>
      <c r="F116" s="11602" t="n"/>
      <c r="G116" s="11602" t="n"/>
      <c r="H116" s="11602" t="n"/>
      <c r="I116" s="11602" t="n"/>
      <c r="J116" s="11602" t="n"/>
      <c r="K116" s="11602" t="n"/>
      <c r="L116" s="11602" t="n"/>
      <c r="M116" s="11602" t="n"/>
      <c r="N116" s="11602" t="n"/>
      <c r="O116" s="11602" t="n"/>
      <c r="P116" s="11602" t="n"/>
      <c r="Q116" s="11602" t="n"/>
      <c r="R116" s="11602" t="n"/>
      <c r="S116" s="11602" t="n"/>
      <c r="T116" s="2031" t="inlineStr">
        <is>
          <t xml:space="preserve">.   .   .   .   .   .   .   .   .   .   .   .   .   .   .   .   .   .   .   .   .   .   . </t>
        </is>
      </c>
      <c r="U116" s="5372" t="inlineStr">
        <is>
          <t>22d</t>
        </is>
      </c>
      <c r="V116" s="7638" t="n"/>
      <c r="W116" s="9763" t="n"/>
      <c r="X116" s="11717" t="n"/>
      <c r="Y116" s="11717" t="n"/>
      <c r="Z116" s="11717" t="n"/>
      <c r="AA116" s="11717" t="n"/>
      <c r="AB116" s="11717" t="n"/>
      <c r="AC116" s="2073" t="n"/>
      <c r="AD116" s="2074" t="n"/>
      <c r="AE116" s="11602" t="n"/>
      <c r="AF116" s="11602" t="n"/>
      <c r="AG116" s="11602" t="n"/>
      <c r="AH116" s="11602" t="n"/>
      <c r="AI116" s="11602" t="n"/>
      <c r="AJ116" s="11602" t="n"/>
      <c r="AK116" s="2013" t="n"/>
      <c r="BL116" s="2027" t="n"/>
      <c r="BM116" s="2027" t="n"/>
    </row>
    <row r="117" ht="13.5" customHeight="1" s="7635">
      <c r="A117" s="2013" t="n"/>
      <c r="B117" s="11602" t="n"/>
      <c r="C117" s="734" t="inlineStr">
        <is>
          <t xml:space="preserve">e </t>
        </is>
      </c>
      <c r="D117" s="8650" t="inlineStr">
        <is>
          <t>Quarters</t>
        </is>
      </c>
      <c r="E117" s="11602" t="n"/>
      <c r="F117" s="11602" t="n"/>
      <c r="G117" s="11602" t="n"/>
      <c r="H117" s="11602" t="n"/>
      <c r="I117" s="11602" t="n"/>
      <c r="J117" s="11602" t="n"/>
      <c r="K117" s="11602" t="n"/>
      <c r="L117" s="11602" t="n"/>
      <c r="M117" s="11602" t="n"/>
      <c r="N117" s="11602" t="n"/>
      <c r="O117" s="11602" t="n"/>
      <c r="P117" s="11602" t="n"/>
      <c r="Q117" s="11602" t="n"/>
      <c r="R117" s="11602" t="n"/>
      <c r="S117" s="11602" t="n"/>
      <c r="T117" s="2031" t="inlineStr">
        <is>
          <t xml:space="preserve">.   .   .   .   .   .   .   .   .   .   .   .   .   .   .   .   .   .   .   .   .   .   .   . </t>
        </is>
      </c>
      <c r="U117" s="5372" t="inlineStr">
        <is>
          <t>22e</t>
        </is>
      </c>
      <c r="V117" s="7638" t="n"/>
      <c r="W117" s="9763" t="n"/>
      <c r="X117" s="11717" t="n"/>
      <c r="Y117" s="11717" t="n"/>
      <c r="Z117" s="11717" t="n"/>
      <c r="AA117" s="11717" t="n"/>
      <c r="AB117" s="11717" t="n"/>
      <c r="AC117" s="2073" t="n"/>
      <c r="AD117" s="2074" t="n"/>
      <c r="AE117" s="11602" t="n"/>
      <c r="AF117" s="11602" t="n"/>
      <c r="AG117" s="11602" t="n"/>
      <c r="AH117" s="11602" t="n"/>
      <c r="AI117" s="11602" t="n"/>
      <c r="AJ117" s="11602" t="n"/>
      <c r="AK117" s="2013" t="n"/>
      <c r="BL117" s="2027" t="n"/>
      <c r="BM117" s="2027" t="n"/>
    </row>
    <row r="118" ht="13.5" customHeight="1" s="7635">
      <c r="A118" s="2013" t="n"/>
      <c r="B118" s="11602" t="n"/>
      <c r="C118" s="734" t="inlineStr">
        <is>
          <t xml:space="preserve">f </t>
        </is>
      </c>
      <c r="D118" s="8650" t="inlineStr">
        <is>
          <t>For any other purpose. List type and amount.</t>
        </is>
      </c>
      <c r="E118" s="11602" t="n"/>
      <c r="F118" s="11602" t="n"/>
      <c r="G118" s="11602" t="n"/>
      <c r="H118" s="11602" t="n"/>
      <c r="I118" s="11602" t="n"/>
      <c r="J118" s="11602" t="n"/>
      <c r="K118" s="11602" t="n"/>
      <c r="L118" s="11602" t="n"/>
      <c r="M118" s="11602" t="n"/>
      <c r="N118" s="11602" t="n"/>
      <c r="O118" s="11602" t="n"/>
      <c r="P118" s="9901" t="n"/>
      <c r="Q118" s="11730" t="n"/>
      <c r="R118" s="11730" t="n"/>
      <c r="S118" s="11730" t="n"/>
      <c r="T118" s="11602" t="n"/>
      <c r="U118" s="5382" t="n"/>
      <c r="V118" s="10091" t="n"/>
      <c r="W118" s="8998" t="n"/>
      <c r="X118" s="7839" t="n"/>
      <c r="Y118" s="9766" t="n"/>
      <c r="Z118" s="7839" t="n"/>
      <c r="AA118" s="9768" t="n"/>
      <c r="AB118" s="10091" t="n"/>
      <c r="AC118" s="2073" t="n"/>
      <c r="AD118" s="2074" t="n"/>
      <c r="AE118" s="11602" t="n"/>
      <c r="AF118" s="11602" t="n"/>
      <c r="AG118" s="11602" t="n"/>
      <c r="AH118" s="11602" t="n"/>
      <c r="AI118" s="11602" t="n"/>
      <c r="AJ118" s="11602" t="n"/>
      <c r="AK118" s="2013" t="n"/>
      <c r="BL118" s="2027" t="n"/>
      <c r="BM118" s="2027" t="n"/>
    </row>
    <row r="119" ht="13.5" customHeight="1" s="7635">
      <c r="A119" s="2013" t="n"/>
      <c r="B119" s="11602" t="n"/>
      <c r="C119" s="11602" t="n"/>
      <c r="D119" s="9759" t="n"/>
      <c r="E119" s="11730" t="n"/>
      <c r="F119" s="11730" t="n"/>
      <c r="G119" s="11730" t="n"/>
      <c r="H119" s="11730" t="n"/>
      <c r="I119" s="11730" t="n"/>
      <c r="J119" s="11730" t="n"/>
      <c r="K119" s="11730" t="n"/>
      <c r="L119" s="11730" t="n"/>
      <c r="M119" s="11730" t="n"/>
      <c r="N119" s="11730" t="n"/>
      <c r="O119" s="11730" t="n"/>
      <c r="P119" s="11730" t="n"/>
      <c r="Q119" s="11730" t="n"/>
      <c r="R119" s="11730" t="n"/>
      <c r="S119" s="11730" t="n"/>
      <c r="T119" s="11602" t="n"/>
      <c r="U119" s="5372" t="inlineStr">
        <is>
          <t>22f</t>
        </is>
      </c>
      <c r="V119" s="7638" t="n"/>
      <c r="W119" s="12447" t="n"/>
      <c r="X119" s="11717" t="n"/>
      <c r="Y119" s="11717" t="n"/>
      <c r="Z119" s="11717" t="n"/>
      <c r="AA119" s="11717" t="n"/>
      <c r="AB119" s="11718" t="n"/>
      <c r="AC119" s="2073" t="n"/>
      <c r="AD119" s="2074" t="n"/>
      <c r="AE119" s="11602" t="n"/>
      <c r="AF119" s="11602" t="n"/>
      <c r="AG119" s="11602" t="n"/>
      <c r="AH119" s="11602" t="n"/>
      <c r="AI119" s="11602" t="n"/>
      <c r="AJ119" s="11602" t="n"/>
      <c r="AK119" s="2013" t="n"/>
      <c r="BL119" s="2027" t="n"/>
      <c r="BM119" s="2027" t="n"/>
    </row>
    <row r="120" ht="13.5" customHeight="1" s="7635">
      <c r="A120" s="2013" t="n"/>
      <c r="B120" s="11602" t="n"/>
      <c r="C120" s="11602" t="n"/>
      <c r="D120" s="11602" t="n"/>
      <c r="E120" s="11602" t="n"/>
      <c r="F120" s="11602" t="n"/>
      <c r="G120" s="11602" t="n"/>
      <c r="H120" s="11602" t="n"/>
      <c r="I120" s="11602" t="n"/>
      <c r="J120" s="11602" t="n"/>
      <c r="K120" s="11602" t="n"/>
      <c r="L120" s="11602" t="n"/>
      <c r="M120" s="11602" t="n"/>
      <c r="N120" s="11602" t="n"/>
      <c r="O120" s="11602" t="n"/>
      <c r="P120" s="11602" t="n"/>
      <c r="Q120" s="11602" t="n"/>
      <c r="R120" s="11602" t="n"/>
      <c r="S120" s="11602" t="n"/>
      <c r="T120" s="11602" t="n"/>
      <c r="U120" s="11602" t="n"/>
      <c r="V120" s="11602" t="n"/>
      <c r="W120" s="11602" t="n"/>
      <c r="X120" s="11602" t="n"/>
      <c r="Y120" s="11602" t="n"/>
      <c r="Z120" s="11602" t="n"/>
      <c r="AA120" s="11602" t="n"/>
      <c r="AB120" s="11602" t="n"/>
      <c r="AC120" s="2898" t="n"/>
      <c r="AD120" s="10091" t="n"/>
      <c r="AE120" s="8998" t="n"/>
      <c r="AF120" s="7839" t="n"/>
      <c r="AG120" s="9766" t="n"/>
      <c r="AH120" s="7839" t="n"/>
      <c r="AI120" s="9766" t="n"/>
      <c r="AJ120" s="7839" t="n"/>
      <c r="AK120" s="2013" t="n"/>
      <c r="BL120" s="2027" t="n"/>
      <c r="BM120" s="2027" t="n"/>
    </row>
    <row r="121" ht="15" customHeight="1" s="7635">
      <c r="A121" s="2013" t="n"/>
      <c r="B121" s="11602" t="n"/>
      <c r="C121" s="734" t="inlineStr">
        <is>
          <t xml:space="preserve">g </t>
        </is>
      </c>
      <c r="D121" s="8650" t="inlineStr">
        <is>
          <t>Add lines 22a through 22f</t>
        </is>
      </c>
      <c r="E121" s="11602" t="n"/>
      <c r="F121" s="11602" t="n"/>
      <c r="G121" s="11602" t="n"/>
      <c r="H121" s="11602" t="n"/>
      <c r="I121" s="11602" t="n"/>
      <c r="J121" s="11602" t="n"/>
      <c r="K121" s="11602" t="n"/>
      <c r="L121" s="11602" t="n"/>
      <c r="M121" s="11602" t="n"/>
      <c r="N121" s="11602" t="n"/>
      <c r="O121" s="11602" t="n"/>
      <c r="P121" s="11602" t="n"/>
      <c r="Q121" s="11602" t="n"/>
      <c r="R121" s="11602" t="n"/>
      <c r="S121" s="11602" t="n"/>
      <c r="T121" s="11602" t="n"/>
      <c r="U121" s="11602" t="n"/>
      <c r="V121" s="11602" t="n"/>
      <c r="W121" s="11602" t="n"/>
      <c r="X121" s="11602" t="n"/>
      <c r="Y121" s="11602" t="n"/>
      <c r="Z121" s="11602" t="n"/>
      <c r="AA121" s="11602" t="n"/>
      <c r="AB121" s="2031" t="inlineStr">
        <is>
          <t xml:space="preserve">.   .   .   .   .   .   .   .   .   .   .   .   .   .   .   .   .   .   .   .   .   .   .   .   .   .   .   .   .   . </t>
        </is>
      </c>
      <c r="AC121" s="5372" t="inlineStr">
        <is>
          <t>22g</t>
        </is>
      </c>
      <c r="AD121" s="7638" t="n"/>
      <c r="AE121" s="9758">
        <f>IF(ISERROR(SUM(W113:W119)),"",SUM(W113:W119))</f>
        <v/>
      </c>
      <c r="AF121" s="7637" t="n"/>
      <c r="AG121" s="7637" t="n"/>
      <c r="AH121" s="7637" t="n"/>
      <c r="AI121" s="7637" t="n"/>
      <c r="AJ121" s="7637" t="n"/>
      <c r="AK121" s="2013" t="n"/>
      <c r="BL121" s="2027" t="n"/>
      <c r="BM121" s="2027" t="n"/>
    </row>
    <row r="122" ht="15" customHeight="1" s="7635">
      <c r="A122" s="2013" t="n"/>
      <c r="B122" s="11602" t="n"/>
      <c r="C122" s="734" t="inlineStr">
        <is>
          <t xml:space="preserve">23 </t>
        </is>
      </c>
      <c r="D122" s="8650" t="inlineStr">
        <is>
          <t>Other foreign earned income. List type and amount.</t>
        </is>
      </c>
      <c r="E122" s="11602" t="n"/>
      <c r="F122" s="11602" t="n"/>
      <c r="G122" s="11602" t="n"/>
      <c r="H122" s="11602" t="n"/>
      <c r="I122" s="11602" t="n"/>
      <c r="J122" s="11602" t="n"/>
      <c r="K122" s="11602" t="n"/>
      <c r="L122" s="11602" t="n"/>
      <c r="M122" s="11602" t="n"/>
      <c r="N122" s="11602" t="n"/>
      <c r="O122" s="11602" t="n"/>
      <c r="P122" s="11602" t="n"/>
      <c r="Q122" s="9864" t="n"/>
      <c r="R122" s="9767" t="n"/>
      <c r="S122" s="11730" t="n"/>
      <c r="T122" s="11730" t="n"/>
      <c r="U122" s="11730" t="n"/>
      <c r="V122" s="11730" t="n"/>
      <c r="W122" s="11730" t="n"/>
      <c r="X122" s="11730" t="n"/>
      <c r="Y122" s="11730" t="n"/>
      <c r="Z122" s="11730" t="n"/>
      <c r="AA122" s="11730" t="n"/>
      <c r="AB122" s="11602" t="n"/>
      <c r="AC122" s="2898" t="n"/>
      <c r="AD122" s="10091" t="n"/>
      <c r="AE122" s="8998" t="n"/>
      <c r="AF122" s="7839" t="n"/>
      <c r="AG122" s="9766" t="n"/>
      <c r="AH122" s="7839" t="n"/>
      <c r="AI122" s="9766" t="n"/>
      <c r="AJ122" s="7839" t="n"/>
      <c r="AK122" s="2013" t="n"/>
      <c r="BL122" s="2027" t="n"/>
      <c r="BM122" s="2027" t="n"/>
    </row>
    <row r="123" ht="15" customHeight="1" s="7635">
      <c r="A123" s="2013" t="n"/>
      <c r="B123" s="11602" t="n"/>
      <c r="C123" s="11602" t="n"/>
      <c r="D123" s="9759" t="n"/>
      <c r="E123" s="11730" t="n"/>
      <c r="F123" s="11730" t="n"/>
      <c r="G123" s="11730" t="n"/>
      <c r="H123" s="11730" t="n"/>
      <c r="I123" s="11730" t="n"/>
      <c r="J123" s="11730" t="n"/>
      <c r="K123" s="11730" t="n"/>
      <c r="L123" s="11730" t="n"/>
      <c r="M123" s="11730" t="n"/>
      <c r="N123" s="11730" t="n"/>
      <c r="O123" s="11730" t="n"/>
      <c r="P123" s="11730" t="n"/>
      <c r="Q123" s="11730" t="n"/>
      <c r="R123" s="11730" t="n"/>
      <c r="S123" s="11730" t="n"/>
      <c r="T123" s="11730" t="n"/>
      <c r="U123" s="11730" t="n"/>
      <c r="V123" s="11730" t="n"/>
      <c r="W123" s="11730" t="n"/>
      <c r="X123" s="11730" t="n"/>
      <c r="Y123" s="11730" t="n"/>
      <c r="Z123" s="11730" t="n"/>
      <c r="AA123" s="11730" t="n"/>
      <c r="AB123" s="11602" t="n"/>
      <c r="AC123" s="5372" t="n">
        <v>23</v>
      </c>
      <c r="AD123" s="7638" t="n"/>
      <c r="AE123" s="9763" t="n"/>
      <c r="AF123" s="11717" t="n"/>
      <c r="AG123" s="11717" t="n"/>
      <c r="AH123" s="11717" t="n"/>
      <c r="AI123" s="11717" t="n"/>
      <c r="AJ123" s="11717" t="n"/>
      <c r="AK123" s="2013" t="n"/>
      <c r="BL123" s="2027" t="n"/>
      <c r="BM123" s="2027" t="n"/>
    </row>
    <row r="124" ht="15" customHeight="1" s="7635">
      <c r="A124" s="2013" t="n"/>
      <c r="B124" s="11602" t="n"/>
      <c r="C124" s="11602" t="n"/>
      <c r="D124" s="11602" t="n"/>
      <c r="E124" s="11602" t="n"/>
      <c r="F124" s="11602" t="n"/>
      <c r="G124" s="11602" t="n"/>
      <c r="H124" s="11602" t="n"/>
      <c r="I124" s="11602" t="n"/>
      <c r="J124" s="11602" t="n"/>
      <c r="K124" s="11602" t="n"/>
      <c r="L124" s="11602" t="n"/>
      <c r="M124" s="11602" t="n"/>
      <c r="N124" s="11602" t="n"/>
      <c r="O124" s="11602" t="n"/>
      <c r="P124" s="11602" t="n"/>
      <c r="Q124" s="11602" t="n"/>
      <c r="R124" s="11602" t="n"/>
      <c r="S124" s="11602" t="n"/>
      <c r="T124" s="11602" t="n"/>
      <c r="U124" s="11602" t="n"/>
      <c r="V124" s="11602" t="n"/>
      <c r="W124" s="11602" t="n"/>
      <c r="X124" s="11602" t="n"/>
      <c r="Y124" s="11602" t="n"/>
      <c r="Z124" s="11602" t="n"/>
      <c r="AA124" s="11602" t="n"/>
      <c r="AB124" s="11602" t="n"/>
      <c r="AC124" s="5382" t="n"/>
      <c r="AD124" s="10091" t="n"/>
      <c r="AE124" s="8998" t="n"/>
      <c r="AF124" s="7839" t="n"/>
      <c r="AG124" s="9766" t="n"/>
      <c r="AH124" s="7839" t="n"/>
      <c r="AI124" s="9766" t="n"/>
      <c r="AJ124" s="7839" t="n"/>
      <c r="AK124" s="2013" t="n"/>
      <c r="BL124" s="2027" t="n"/>
      <c r="BM124" s="2027" t="n"/>
    </row>
    <row r="125" ht="15" customHeight="1" s="7635">
      <c r="A125" s="2013" t="n"/>
      <c r="B125" s="11602" t="n"/>
      <c r="C125" s="734" t="inlineStr">
        <is>
          <t xml:space="preserve">24 </t>
        </is>
      </c>
      <c r="D125" s="8650" t="inlineStr">
        <is>
          <t>Add lines 19 through 21d, line 22g, and line 23</t>
        </is>
      </c>
      <c r="E125" s="11602" t="n"/>
      <c r="F125" s="11602" t="n"/>
      <c r="G125" s="11602" t="n"/>
      <c r="H125" s="11602" t="n"/>
      <c r="I125" s="11602" t="n"/>
      <c r="J125" s="11602" t="n"/>
      <c r="K125" s="11602" t="n"/>
      <c r="L125" s="11602" t="n"/>
      <c r="M125" s="11602" t="n"/>
      <c r="N125" s="11602" t="n"/>
      <c r="O125" s="11602" t="n"/>
      <c r="P125" s="11602" t="n"/>
      <c r="Q125" s="11602" t="n"/>
      <c r="R125" s="11602" t="n"/>
      <c r="S125" s="11602" t="n"/>
      <c r="T125" s="11602" t="n"/>
      <c r="U125" s="11602" t="n"/>
      <c r="V125" s="11602" t="n"/>
      <c r="W125" s="11602" t="n"/>
      <c r="X125" s="11602" t="n"/>
      <c r="Y125" s="11602" t="n"/>
      <c r="Z125" s="11602" t="n"/>
      <c r="AA125" s="11602" t="n"/>
      <c r="AB125" s="2031" t="inlineStr">
        <is>
          <t xml:space="preserve">.   .   .   .   .   .   .   .   .   .   .   .   .   .   .   .   .   .   .   .   .   .   .   . </t>
        </is>
      </c>
      <c r="AC125" s="5372" t="n">
        <v>24</v>
      </c>
      <c r="AD125" s="7638" t="n"/>
      <c r="AE125" s="9758">
        <f>IF(ISERROR(SUM(AE98,AE100,AE102,AE105,AE107,AE109,AE111,AE121,AE123)),"",SUM(AE98,AE100,AE102,AE105,AE107,AE109,AE111,AE121,AE123))</f>
        <v/>
      </c>
      <c r="AF125" s="7637" t="n"/>
      <c r="AG125" s="7637" t="n"/>
      <c r="AH125" s="7637" t="n"/>
      <c r="AI125" s="7637" t="n"/>
      <c r="AJ125" s="7637" t="n"/>
      <c r="AK125" s="2013" t="n"/>
      <c r="BL125" s="2027" t="n"/>
      <c r="BM125" s="2027" t="n"/>
    </row>
    <row r="126" ht="15" customHeight="1" s="7635">
      <c r="A126" s="2013" t="n"/>
      <c r="B126" s="11602" t="n"/>
      <c r="C126" s="11602" t="n"/>
      <c r="D126" s="11602" t="n"/>
      <c r="E126" s="11602" t="n"/>
      <c r="F126" s="11602" t="n"/>
      <c r="G126" s="11602" t="n"/>
      <c r="H126" s="11602" t="n"/>
      <c r="I126" s="11602" t="n"/>
      <c r="J126" s="11602" t="n"/>
      <c r="K126" s="11602" t="n"/>
      <c r="L126" s="11602" t="n"/>
      <c r="M126" s="11602" t="n"/>
      <c r="N126" s="11602" t="n"/>
      <c r="O126" s="11602" t="n"/>
      <c r="P126" s="11602" t="n"/>
      <c r="Q126" s="11602" t="n"/>
      <c r="R126" s="11602" t="n"/>
      <c r="S126" s="11602" t="n"/>
      <c r="T126" s="11602" t="n"/>
      <c r="U126" s="11602" t="n"/>
      <c r="V126" s="11602" t="n"/>
      <c r="W126" s="11602" t="n"/>
      <c r="X126" s="11602" t="n"/>
      <c r="Y126" s="11602" t="n"/>
      <c r="Z126" s="11602" t="n"/>
      <c r="AA126" s="11602" t="n"/>
      <c r="AB126" s="11602" t="n"/>
      <c r="AC126" s="5382" t="n"/>
      <c r="AD126" s="10091" t="n"/>
      <c r="AE126" s="8998" t="n"/>
      <c r="AF126" s="7839" t="n"/>
      <c r="AG126" s="9766" t="n"/>
      <c r="AH126" s="7839" t="n"/>
      <c r="AI126" s="9766" t="n"/>
      <c r="AJ126" s="7839" t="n"/>
      <c r="AK126" s="2013" t="n"/>
      <c r="BL126" s="2027" t="n"/>
      <c r="BM126" s="2027" t="n"/>
    </row>
    <row r="127" ht="15" customHeight="1" s="7635">
      <c r="A127" s="2013" t="n"/>
      <c r="B127" s="11602" t="n"/>
      <c r="C127" s="734" t="inlineStr">
        <is>
          <t xml:space="preserve">25 </t>
        </is>
      </c>
      <c r="D127" s="8650" t="inlineStr">
        <is>
          <t>Total amount of meals and lodging included on line 24 that is excludable (see instructions)</t>
        </is>
      </c>
      <c r="E127" s="11602" t="n"/>
      <c r="F127" s="11602" t="n"/>
      <c r="G127" s="11602" t="n"/>
      <c r="H127" s="11602" t="n"/>
      <c r="I127" s="11602" t="n"/>
      <c r="J127" s="11602" t="n"/>
      <c r="K127" s="11602" t="n"/>
      <c r="L127" s="11602" t="n"/>
      <c r="M127" s="11602" t="n"/>
      <c r="N127" s="11602" t="n"/>
      <c r="O127" s="11602" t="n"/>
      <c r="P127" s="11602" t="n"/>
      <c r="Q127" s="11602" t="n"/>
      <c r="R127" s="11602" t="n"/>
      <c r="S127" s="11602" t="n"/>
      <c r="T127" s="11602" t="n"/>
      <c r="U127" s="11602" t="n"/>
      <c r="V127" s="11602" t="n"/>
      <c r="W127" s="11602" t="n"/>
      <c r="X127" s="11602" t="n"/>
      <c r="Y127" s="11602" t="n"/>
      <c r="Z127" s="11602" t="n"/>
      <c r="AA127" s="11602" t="n"/>
      <c r="AB127" s="11602" t="n"/>
      <c r="AC127" s="5372" t="n">
        <v>25</v>
      </c>
      <c r="AD127" s="7638" t="n"/>
      <c r="AE127" s="9763" t="n"/>
      <c r="AF127" s="11717" t="n"/>
      <c r="AG127" s="11717" t="n"/>
      <c r="AH127" s="11717" t="n"/>
      <c r="AI127" s="11717" t="n"/>
      <c r="AJ127" s="11717" t="n"/>
      <c r="AK127" s="2013" t="n"/>
      <c r="BL127" s="2027" t="n"/>
      <c r="BM127" s="2027" t="n"/>
    </row>
    <row r="128" ht="15" customHeight="1" s="7635" thickBot="1">
      <c r="A128" s="2013" t="n"/>
      <c r="B128" s="11602" t="n"/>
      <c r="C128" s="734" t="inlineStr">
        <is>
          <t xml:space="preserve">26 </t>
        </is>
      </c>
      <c r="D128" s="8650" t="inlineStr">
        <is>
          <t>Subtract line 25 from line 24. Enter the result here and on line 27 on page 3.</t>
        </is>
      </c>
      <c r="E128" s="11602" t="n"/>
      <c r="F128" s="11602" t="n"/>
      <c r="G128" s="11602" t="n"/>
      <c r="H128" s="11602" t="n"/>
      <c r="I128" s="11602" t="n"/>
      <c r="J128" s="11602" t="n"/>
      <c r="K128" s="11602" t="n"/>
      <c r="L128" s="11602" t="n"/>
      <c r="M128" s="11602" t="n"/>
      <c r="N128" s="11602" t="n"/>
      <c r="O128" s="11602" t="n"/>
      <c r="P128" s="11602" t="n"/>
      <c r="Q128" s="11602" t="n"/>
      <c r="R128" s="11602" t="n"/>
      <c r="S128" s="11602" t="n"/>
      <c r="T128" s="11602" t="n"/>
      <c r="U128" s="7886" t="n"/>
      <c r="V128" s="7886" t="n"/>
      <c r="W128" s="810">
        <f>"This is your "&amp;TaxYear</f>
        <v/>
      </c>
      <c r="X128" s="11602" t="n"/>
      <c r="Y128" s="11602" t="n"/>
      <c r="Z128" s="11602" t="n"/>
      <c r="AA128" s="11602" t="n"/>
      <c r="AB128" s="11602" t="n"/>
      <c r="AC128" s="5382" t="n"/>
      <c r="AD128" s="10091" t="n"/>
      <c r="AE128" s="8998" t="n"/>
      <c r="AF128" s="7839" t="n"/>
      <c r="AG128" s="9766" t="n"/>
      <c r="AH128" s="7839" t="n"/>
      <c r="AI128" s="9766" t="n"/>
      <c r="AJ128" s="7839" t="n"/>
      <c r="AK128" s="2013" t="n"/>
      <c r="AM128" s="7914" t="inlineStr">
        <is>
          <t>Override</t>
        </is>
      </c>
      <c r="BL128" s="2027" t="n"/>
      <c r="BM128" s="2027" t="n"/>
    </row>
    <row r="129" ht="15" customHeight="1" s="7635" thickBot="1">
      <c r="A129" s="2013" t="n"/>
      <c r="B129" s="11602" t="n"/>
      <c r="C129" s="734" t="n"/>
      <c r="D129" s="810" t="inlineStr">
        <is>
          <t>foreign earned income.</t>
        </is>
      </c>
      <c r="E129" s="11602" t="n"/>
      <c r="F129" s="11602" t="n"/>
      <c r="G129" s="11602" t="n"/>
      <c r="H129" s="11602" t="n"/>
      <c r="I129" s="11602" t="n"/>
      <c r="J129" s="11602" t="n"/>
      <c r="K129" s="11602" t="n"/>
      <c r="L129" s="11602" t="n"/>
      <c r="M129" s="11602" t="n"/>
      <c r="N129" s="11602" t="n"/>
      <c r="O129" s="11602" t="n"/>
      <c r="P129" s="11602" t="n"/>
      <c r="Q129" s="11602" t="n"/>
      <c r="R129" s="11602" t="n"/>
      <c r="S129" s="11602" t="n"/>
      <c r="T129" s="11602" t="n"/>
      <c r="U129" s="11602" t="n"/>
      <c r="V129" s="11602" t="n"/>
      <c r="W129" s="11602" t="n"/>
      <c r="X129" s="11602" t="n"/>
      <c r="Y129" s="11602" t="n"/>
      <c r="Z129" s="11602" t="n"/>
      <c r="AA129" s="2075" t="inlineStr">
        <is>
          <t xml:space="preserve">.   .   .   .   .   .   .   .   .   .   .   .   .   .   .   .   .   .   .   .   .   .   .   .   .   .   .   .   . </t>
        </is>
      </c>
      <c r="AB129" s="2076" t="n"/>
      <c r="AC129" s="5890" t="n">
        <v>26</v>
      </c>
      <c r="AD129" s="7636" t="n"/>
      <c r="AE129" s="9758">
        <f>IF(AM129&lt;&gt;"",ROUND(AM129,0),ROUND(SUM(AE125,-AE127),0))</f>
        <v/>
      </c>
      <c r="AF129" s="7637" t="n"/>
      <c r="AG129" s="7637" t="n"/>
      <c r="AH129" s="7637" t="n"/>
      <c r="AI129" s="7637" t="n"/>
      <c r="AJ129" s="7637" t="n"/>
      <c r="AK129" s="2013" t="n"/>
      <c r="AM129" s="449" t="n"/>
      <c r="BL129" s="2027" t="n"/>
      <c r="BM129" s="2027" t="n"/>
    </row>
    <row r="130" ht="18.75" customHeight="1" s="7635" thickTop="1">
      <c r="A130" s="2013" t="n"/>
      <c r="B130" s="257" t="n"/>
      <c r="C130" s="257" t="n"/>
      <c r="D130" s="257" t="n"/>
      <c r="E130" s="257" t="n"/>
      <c r="F130" s="257" t="n"/>
      <c r="G130" s="257" t="n"/>
      <c r="H130" s="257" t="n"/>
      <c r="I130" s="257" t="n"/>
      <c r="J130" s="257" t="n"/>
      <c r="K130" s="257" t="n"/>
      <c r="L130" s="257" t="n"/>
      <c r="M130" s="257" t="n"/>
      <c r="N130" s="257" t="n"/>
      <c r="O130" s="257" t="n"/>
      <c r="P130" s="257" t="n"/>
      <c r="Q130" s="257" t="n"/>
      <c r="R130" s="257" t="n"/>
      <c r="S130" s="257" t="n"/>
      <c r="T130" s="257" t="n"/>
      <c r="U130" s="257" t="n"/>
      <c r="V130" s="257" t="n"/>
      <c r="W130" s="257" t="n"/>
      <c r="X130" s="257" t="n"/>
      <c r="Y130" s="257" t="n"/>
      <c r="Z130" s="257" t="n"/>
      <c r="AA130" s="257" t="n"/>
      <c r="AB130" s="257" t="n"/>
      <c r="AC130" s="257" t="n"/>
      <c r="AD130" s="257" t="n"/>
      <c r="AE130" s="257" t="n"/>
      <c r="AF130" s="257" t="n"/>
      <c r="AG130" s="257" t="n"/>
      <c r="AH130" s="2077" t="inlineStr">
        <is>
          <t>Form 2555</t>
        </is>
      </c>
      <c r="AI130" s="2078">
        <f>" ("&amp;TaxYear&amp;")"</f>
        <v/>
      </c>
      <c r="AJ130" s="2079" t="n"/>
      <c r="AK130" s="2013" t="n"/>
      <c r="AO130" s="2050" t="n"/>
      <c r="AP130" s="2051" t="n"/>
      <c r="BL130" s="2027" t="n"/>
      <c r="BM130" s="2027" t="n"/>
      <c r="BO130" s="2027" t="n"/>
      <c r="BP130" s="2027" t="n"/>
      <c r="BQ130" s="2027" t="n"/>
      <c r="BR130" s="2027" t="n"/>
      <c r="BS130" s="2027" t="n"/>
      <c r="BT130" s="2027" t="n"/>
      <c r="BU130" s="2027" t="n"/>
      <c r="BV130" s="2027" t="n"/>
    </row>
    <row r="131" ht="18.75" customHeight="1" s="7635" thickBot="1">
      <c r="A131" s="2013" t="n"/>
      <c r="B131" s="2080">
        <f>"Form 2555 ("&amp;TaxYear&amp;")"</f>
        <v/>
      </c>
      <c r="C131" s="721" t="n"/>
      <c r="D131" s="721" t="n"/>
      <c r="E131" s="721" t="n"/>
      <c r="F131" s="721" t="n"/>
      <c r="G131" s="721" t="n"/>
      <c r="H131" s="721" t="n"/>
      <c r="I131" s="721" t="n"/>
      <c r="J131" s="721" t="n"/>
      <c r="K131" s="721" t="n"/>
      <c r="L131" s="721" t="n"/>
      <c r="M131" s="721" t="n"/>
      <c r="N131" s="721" t="n"/>
      <c r="O131" s="721" t="n"/>
      <c r="P131" s="721" t="n"/>
      <c r="Q131" s="721" t="n"/>
      <c r="R131" s="721" t="n"/>
      <c r="S131" s="721" t="n"/>
      <c r="T131" s="721" t="n"/>
      <c r="U131" s="721" t="n"/>
      <c r="V131" s="721" t="n"/>
      <c r="W131" s="721" t="n"/>
      <c r="X131" s="721" t="n"/>
      <c r="Y131" s="721" t="n"/>
      <c r="Z131" s="721" t="n"/>
      <c r="AA131" s="721" t="n"/>
      <c r="AB131" s="721" t="n"/>
      <c r="AC131" s="721" t="n"/>
      <c r="AD131" s="721" t="n"/>
      <c r="AE131" s="721" t="n"/>
      <c r="AF131" s="721" t="n"/>
      <c r="AG131" s="721" t="n"/>
      <c r="AH131" s="721" t="n"/>
      <c r="AI131" s="2053" t="inlineStr">
        <is>
          <t>Page</t>
        </is>
      </c>
      <c r="AJ131" s="2054" t="n">
        <v>3</v>
      </c>
      <c r="AK131" s="2013" t="n"/>
      <c r="AO131" s="2050" t="n"/>
      <c r="AP131" s="2051" t="n"/>
      <c r="BL131" s="2027" t="n"/>
      <c r="BM131" s="2027" t="n"/>
      <c r="BO131" s="2027" t="n"/>
      <c r="BP131" s="2027" t="n"/>
      <c r="BQ131" s="2027" t="n"/>
      <c r="BR131" s="2027" t="n"/>
      <c r="BS131" s="2027" t="n"/>
      <c r="BT131" s="2027" t="n"/>
      <c r="BU131" s="2027" t="n"/>
      <c r="BV131" s="2027" t="n"/>
    </row>
    <row r="132" ht="20.25" customHeight="1" s="7635" thickTop="1">
      <c r="A132" s="2013" t="n"/>
      <c r="B132" s="9775" t="inlineStr">
        <is>
          <t>Part V</t>
        </is>
      </c>
      <c r="C132" s="8412" t="n"/>
      <c r="D132" s="2081" t="inlineStr">
        <is>
          <t>All Taxpayers</t>
        </is>
      </c>
      <c r="E132" s="2082" t="n"/>
      <c r="F132" s="2082" t="n"/>
      <c r="G132" s="2082" t="n"/>
      <c r="H132" s="2082" t="n"/>
      <c r="I132" s="2082" t="n"/>
      <c r="J132" s="2082" t="n"/>
      <c r="K132" s="2082" t="n"/>
      <c r="L132" s="2082" t="n"/>
      <c r="M132" s="2082" t="n"/>
      <c r="N132" s="2082" t="n"/>
      <c r="O132" s="2082" t="n"/>
      <c r="P132" s="2082" t="n"/>
      <c r="Q132" s="2082" t="n"/>
      <c r="R132" s="2082" t="n"/>
      <c r="S132" s="2082" t="n"/>
      <c r="T132" s="2082" t="n"/>
      <c r="U132" s="2082" t="n"/>
      <c r="V132" s="2082" t="n"/>
      <c r="W132" s="2082" t="n"/>
      <c r="X132" s="2082" t="n"/>
      <c r="Y132" s="2082" t="n"/>
      <c r="Z132" s="2082" t="n"/>
      <c r="AA132" s="2082" t="n"/>
      <c r="AB132" s="2082" t="n"/>
      <c r="AC132" s="2082" t="n"/>
      <c r="AD132" s="2082" t="n"/>
      <c r="AE132" s="2082" t="n"/>
      <c r="AF132" s="2082" t="n"/>
      <c r="AG132" s="2082" t="n"/>
      <c r="AH132" s="2082" t="n"/>
      <c r="AI132" s="2082" t="n"/>
      <c r="AJ132" s="2082" t="n"/>
      <c r="AK132" s="2013" t="n"/>
    </row>
    <row r="133" ht="15" customHeight="1" s="7635">
      <c r="A133" s="2013" t="n"/>
      <c r="B133" s="11602" t="n"/>
      <c r="C133" s="11602" t="n"/>
      <c r="D133" s="11602" t="n"/>
      <c r="E133" s="11602" t="n"/>
      <c r="F133" s="11602" t="n"/>
      <c r="G133" s="11602" t="n"/>
      <c r="H133" s="11602" t="n"/>
      <c r="I133" s="11602" t="n"/>
      <c r="J133" s="11602" t="n"/>
      <c r="K133" s="11602" t="n"/>
      <c r="L133" s="11602" t="n"/>
      <c r="M133" s="11602" t="n"/>
      <c r="N133" s="11602" t="n"/>
      <c r="O133" s="11602" t="n"/>
      <c r="P133" s="11602" t="n"/>
      <c r="Q133" s="11602" t="n"/>
      <c r="R133" s="11602" t="n"/>
      <c r="S133" s="11602" t="n"/>
      <c r="T133" s="11602" t="n"/>
      <c r="U133" s="11602" t="n"/>
      <c r="V133" s="11602" t="n"/>
      <c r="W133" s="11602" t="n"/>
      <c r="X133" s="11602" t="n"/>
      <c r="Y133" s="11602" t="n"/>
      <c r="Z133" s="11602" t="n"/>
      <c r="AA133" s="11602" t="n"/>
      <c r="AB133" s="11602" t="n"/>
      <c r="AC133" s="2921" t="n"/>
      <c r="AD133" s="7636" t="n"/>
      <c r="AE133" s="8977" t="n"/>
      <c r="AG133" s="7914" t="n"/>
      <c r="AI133" s="7914" t="n"/>
      <c r="AK133" s="2013" t="n"/>
      <c r="BL133" s="2027" t="n"/>
      <c r="BM133" s="2027" t="n"/>
    </row>
    <row r="134" ht="15" customHeight="1" s="7635">
      <c r="A134" s="2013" t="n"/>
      <c r="B134" s="11602" t="n"/>
      <c r="C134" s="734" t="inlineStr">
        <is>
          <t xml:space="preserve">27 </t>
        </is>
      </c>
      <c r="D134" s="8650" t="inlineStr">
        <is>
          <t>Enter the amount from line 26</t>
        </is>
      </c>
      <c r="E134" s="11602" t="n"/>
      <c r="F134" s="11602" t="n"/>
      <c r="G134" s="11602" t="n"/>
      <c r="H134" s="11602" t="n"/>
      <c r="I134" s="11602" t="n"/>
      <c r="J134" s="11602" t="n"/>
      <c r="K134" s="11602" t="n"/>
      <c r="L134" s="11602" t="n"/>
      <c r="M134" s="11602" t="n"/>
      <c r="N134" s="11602" t="n"/>
      <c r="O134" s="11602" t="n"/>
      <c r="P134" s="11602" t="n"/>
      <c r="Q134" s="11602" t="n"/>
      <c r="R134" s="11602" t="n"/>
      <c r="S134" s="11602" t="n"/>
      <c r="T134" s="11602" t="n"/>
      <c r="U134" s="11602" t="n"/>
      <c r="V134" s="11602" t="n"/>
      <c r="W134" s="11602" t="n"/>
      <c r="X134" s="11602" t="n"/>
      <c r="Y134" s="11602" t="n"/>
      <c r="Z134" s="11602" t="n"/>
      <c r="AA134" s="11602" t="n"/>
      <c r="AB134" s="2031" t="inlineStr">
        <is>
          <t xml:space="preserve">.   .   .   .   .   .   .   .   .   .   .   .   .   .   .   .   .   .   .   .   .   .   .   .   .   .   .   .   . </t>
        </is>
      </c>
      <c r="AC134" s="5372" t="n">
        <v>27</v>
      </c>
      <c r="AD134" s="7638" t="n"/>
      <c r="AE134" s="9758">
        <f>ForeignEarnedIncome1</f>
        <v/>
      </c>
      <c r="AF134" s="7637" t="n"/>
      <c r="AG134" s="7637" t="n"/>
      <c r="AH134" s="7637" t="n"/>
      <c r="AI134" s="7637" t="n"/>
      <c r="AJ134" s="7637" t="n"/>
      <c r="AK134" s="2013" t="n"/>
      <c r="AO134" s="2083">
        <f>IF(AE129="",0,AE129)</f>
        <v/>
      </c>
      <c r="BL134" s="2027" t="n"/>
      <c r="BM134" s="2027" t="n"/>
    </row>
    <row r="135" ht="16.5" customHeight="1" s="7635" thickBot="1">
      <c r="A135" s="2013" t="n"/>
      <c r="B135" s="11602" t="n"/>
      <c r="C135" s="11602" t="n"/>
      <c r="D135" s="1672" t="inlineStr">
        <is>
          <t>Are you claiming the housing exclusion or housing deduction?</t>
        </is>
      </c>
      <c r="E135" s="11602" t="n"/>
      <c r="F135" s="11602" t="n"/>
      <c r="G135" s="11602" t="n"/>
      <c r="H135" s="11602" t="n"/>
      <c r="I135" s="11602" t="n"/>
      <c r="J135" s="11602" t="n"/>
      <c r="K135" s="11602" t="n"/>
      <c r="L135" s="11602" t="n"/>
      <c r="M135" s="11602" t="n"/>
      <c r="N135" s="11602" t="n"/>
      <c r="O135" s="11602" t="n"/>
      <c r="P135" s="11602" t="n"/>
      <c r="Q135" s="11602" t="n"/>
      <c r="R135" s="11602" t="n"/>
      <c r="S135" s="11602" t="n"/>
      <c r="T135" s="11602" t="n"/>
      <c r="U135" s="11602" t="n"/>
      <c r="V135" s="11602" t="n"/>
      <c r="W135" s="11602" t="n"/>
      <c r="X135" s="11602" t="n"/>
      <c r="Y135" s="11602" t="n"/>
      <c r="Z135" s="11602" t="n"/>
      <c r="AA135" s="11602" t="n"/>
      <c r="AB135" s="11602" t="n"/>
      <c r="AC135" s="11602" t="n"/>
      <c r="AD135" s="11602" t="n"/>
      <c r="AE135" s="11602" t="n"/>
      <c r="AF135" s="11602" t="n"/>
      <c r="AG135" s="11602" t="n"/>
      <c r="AH135" s="11602" t="n"/>
      <c r="AI135" s="11602" t="n"/>
      <c r="AJ135" s="11602" t="n"/>
      <c r="AK135" s="2013" t="n"/>
      <c r="BL135" s="2027" t="n"/>
      <c r="BM135" s="2027" t="n"/>
    </row>
    <row r="136" ht="15" customHeight="1" s="7635" thickBot="1">
      <c r="A136" s="2013" t="n"/>
      <c r="B136" s="512" t="n"/>
      <c r="C136" s="11602" t="n"/>
      <c r="D136" s="277" t="n"/>
      <c r="E136" s="8650" t="inlineStr">
        <is>
          <t xml:space="preserve"> Yes.  Complete Part VI.</t>
        </is>
      </c>
      <c r="F136" s="11602" t="n"/>
      <c r="G136" s="11602" t="n"/>
      <c r="H136" s="11602" t="n"/>
      <c r="I136" s="11602" t="n"/>
      <c r="J136" s="11602" t="n"/>
      <c r="K136" s="794" t="n"/>
      <c r="L136" s="11602" t="n"/>
      <c r="M136" s="11602" t="n"/>
      <c r="N136" s="11602" t="n"/>
      <c r="O136" s="11602" t="n"/>
      <c r="P136" s="11602" t="n"/>
      <c r="Q136" s="11602" t="n"/>
      <c r="R136" s="11602" t="n"/>
      <c r="S136" s="11602" t="n"/>
      <c r="T136" s="11602" t="n"/>
      <c r="U136" s="11602" t="n"/>
      <c r="V136" s="11602" t="n"/>
      <c r="W136" s="11602" t="n"/>
      <c r="X136" s="11602" t="n"/>
      <c r="Y136" s="11602" t="n"/>
      <c r="Z136" s="11602" t="n"/>
      <c r="AA136" s="11602" t="n"/>
      <c r="AB136" s="11602" t="n"/>
      <c r="AC136" s="11602" t="n"/>
      <c r="AD136" s="11602" t="n"/>
      <c r="AE136" s="11602" t="n"/>
      <c r="AF136" s="11602" t="n"/>
      <c r="AG136" s="11602" t="n"/>
      <c r="AH136" s="11602" t="n"/>
      <c r="AI136" s="11602" t="n"/>
      <c r="AJ136" s="11602" t="n"/>
      <c r="AK136" s="2013" t="n"/>
      <c r="AM136" s="2084">
        <f>(D136&lt;&gt;"")</f>
        <v/>
      </c>
      <c r="BL136" s="2027" t="n"/>
      <c r="BM136" s="2027" t="n"/>
    </row>
    <row r="137" ht="4.5" customHeight="1" s="7635" thickBot="1">
      <c r="A137" s="2013" t="n"/>
      <c r="B137" s="11602" t="n"/>
      <c r="C137" s="11602" t="n"/>
      <c r="D137" s="11602" t="n"/>
      <c r="E137" s="11602" t="n"/>
      <c r="F137" s="11602" t="n"/>
      <c r="G137" s="11602" t="n"/>
      <c r="H137" s="11602" t="n"/>
      <c r="I137" s="11602" t="n"/>
      <c r="J137" s="11602" t="n"/>
      <c r="K137" s="11602" t="n"/>
      <c r="L137" s="11602" t="n"/>
      <c r="M137" s="11602" t="n"/>
      <c r="N137" s="11602" t="n"/>
      <c r="O137" s="11602" t="n"/>
      <c r="P137" s="11602" t="n"/>
      <c r="Q137" s="11602" t="n"/>
      <c r="R137" s="11602" t="n"/>
      <c r="S137" s="11602" t="n"/>
      <c r="T137" s="11602" t="n"/>
      <c r="U137" s="11602" t="n"/>
      <c r="V137" s="11602" t="n"/>
      <c r="W137" s="11602" t="n"/>
      <c r="X137" s="11602" t="n"/>
      <c r="Y137" s="11602" t="n"/>
      <c r="Z137" s="11602" t="n"/>
      <c r="AA137" s="11602" t="n"/>
      <c r="AB137" s="11602" t="n"/>
      <c r="AC137" s="11602" t="n"/>
      <c r="AD137" s="11602" t="n"/>
      <c r="AE137" s="11602" t="n"/>
      <c r="AF137" s="11602" t="n"/>
      <c r="AG137" s="11602" t="n"/>
      <c r="AH137" s="11602" t="n"/>
      <c r="AI137" s="11602" t="n"/>
      <c r="AJ137" s="11602" t="n"/>
      <c r="AK137" s="2013" t="n"/>
      <c r="BL137" s="2027" t="n"/>
      <c r="BM137" s="2027" t="n"/>
    </row>
    <row r="138" ht="15" customHeight="1" s="7635" thickBot="1">
      <c r="A138" s="2013" t="n"/>
      <c r="B138" s="512" t="n"/>
      <c r="C138" s="11602" t="n"/>
      <c r="D138" s="1987">
        <f>IF(D136="","X","")</f>
        <v/>
      </c>
      <c r="E138" s="8650" t="inlineStr">
        <is>
          <t xml:space="preserve"> No.   Go to Part VII.</t>
        </is>
      </c>
      <c r="F138" s="11602" t="n"/>
      <c r="G138" s="11602" t="n"/>
      <c r="H138" s="11602" t="n"/>
      <c r="I138" s="11602" t="n"/>
      <c r="J138" s="11602" t="n"/>
      <c r="K138" s="11602" t="n"/>
      <c r="L138" s="11602" t="n"/>
      <c r="M138" s="11602" t="n"/>
      <c r="N138" s="11602" t="n"/>
      <c r="O138" s="11602" t="n"/>
      <c r="P138" s="11602" t="n"/>
      <c r="Q138" s="11602" t="n"/>
      <c r="R138" s="11602" t="n"/>
      <c r="S138" s="11602" t="n"/>
      <c r="T138" s="11602" t="n"/>
      <c r="U138" s="11602" t="n"/>
      <c r="V138" s="11602" t="n"/>
      <c r="W138" s="11602" t="n"/>
      <c r="X138" s="11602" t="n"/>
      <c r="Y138" s="11602" t="n"/>
      <c r="Z138" s="11602" t="n"/>
      <c r="AA138" s="11602" t="n"/>
      <c r="AB138" s="11602" t="n"/>
      <c r="AC138" s="11602" t="n"/>
      <c r="AD138" s="11602" t="n"/>
      <c r="AE138" s="11602" t="n"/>
      <c r="AF138" s="11602" t="n"/>
      <c r="AG138" s="11602" t="n"/>
      <c r="AH138" s="11602" t="n"/>
      <c r="AI138" s="11602" t="n"/>
      <c r="AJ138" s="11602" t="n"/>
      <c r="AK138" s="2013" t="n"/>
      <c r="AM138" s="2084">
        <f>(D138&lt;&gt;"")</f>
        <v/>
      </c>
      <c r="BL138" s="2027" t="n"/>
      <c r="BM138" s="2027" t="n"/>
    </row>
    <row r="139" ht="6.75" customHeight="1" s="7635">
      <c r="A139" s="2013" t="n"/>
      <c r="B139" s="1999" t="n"/>
      <c r="C139" s="1999" t="n"/>
      <c r="D139" s="1999" t="n"/>
      <c r="E139" s="1999" t="n"/>
      <c r="F139" s="1999" t="n"/>
      <c r="G139" s="1999" t="n"/>
      <c r="H139" s="1999" t="n"/>
      <c r="I139" s="1999" t="n"/>
      <c r="J139" s="1999" t="n"/>
      <c r="K139" s="1999" t="n"/>
      <c r="L139" s="1999" t="n"/>
      <c r="M139" s="1999" t="n"/>
      <c r="N139" s="1999" t="n"/>
      <c r="O139" s="1999" t="n"/>
      <c r="P139" s="1999" t="n"/>
      <c r="Q139" s="1999" t="n"/>
      <c r="R139" s="1999" t="n"/>
      <c r="S139" s="1999" t="n"/>
      <c r="T139" s="1999" t="n"/>
      <c r="U139" s="1999" t="n"/>
      <c r="V139" s="1999" t="n"/>
      <c r="W139" s="1999" t="n"/>
      <c r="X139" s="1999" t="n"/>
      <c r="Y139" s="1999" t="n"/>
      <c r="Z139" s="1999" t="n"/>
      <c r="AA139" s="1999" t="n"/>
      <c r="AB139" s="1999" t="n"/>
      <c r="AC139" s="1999" t="n"/>
      <c r="AD139" s="1999" t="n"/>
      <c r="AE139" s="1999" t="n"/>
      <c r="AF139" s="1999" t="n"/>
      <c r="AG139" s="1999" t="n"/>
      <c r="AH139" s="1999" t="n"/>
      <c r="AI139" s="1999" t="n"/>
      <c r="AJ139" s="1999" t="n"/>
      <c r="AK139" s="2013" t="n"/>
    </row>
    <row r="140" ht="18.75" customHeight="1" s="7635">
      <c r="A140" s="2013" t="n"/>
      <c r="B140" s="9775" t="inlineStr">
        <is>
          <t>Part VI</t>
        </is>
      </c>
      <c r="C140" s="8412" t="n"/>
      <c r="D140" s="2085" t="inlineStr">
        <is>
          <t>Taxpayers Claiming the Housing Exclusion and/or Deduction</t>
        </is>
      </c>
      <c r="E140" s="2021" t="n"/>
      <c r="F140" s="2021" t="n"/>
      <c r="G140" s="2021" t="n"/>
      <c r="H140" s="2021" t="n"/>
      <c r="I140" s="2021" t="n"/>
      <c r="J140" s="2021" t="n"/>
      <c r="K140" s="2021" t="n"/>
      <c r="L140" s="2021" t="n"/>
      <c r="M140" s="2021" t="n"/>
      <c r="N140" s="2021" t="n"/>
      <c r="O140" s="2021" t="n"/>
      <c r="P140" s="2021" t="n"/>
      <c r="Q140" s="2021" t="n"/>
      <c r="R140" s="2021" t="n"/>
      <c r="S140" s="2021" t="n"/>
      <c r="T140" s="2021" t="n"/>
      <c r="U140" s="2021" t="n"/>
      <c r="V140" s="2021" t="n"/>
      <c r="W140" s="2021" t="n"/>
      <c r="X140" s="2021" t="n"/>
      <c r="Y140" s="2021" t="n"/>
      <c r="Z140" s="2021" t="n"/>
      <c r="AA140" s="2021" t="n"/>
      <c r="AB140" s="2021" t="n"/>
      <c r="AC140" s="2021" t="n"/>
      <c r="AD140" s="2021" t="n"/>
      <c r="AE140" s="2021" t="n"/>
      <c r="AF140" s="2021" t="n"/>
      <c r="AG140" s="2021" t="n"/>
      <c r="AH140" s="2021" t="n"/>
      <c r="AI140" s="2021" t="n"/>
      <c r="AJ140" s="2021" t="n"/>
      <c r="AK140" s="2013" t="n"/>
    </row>
    <row r="141" ht="15" customHeight="1" s="7635">
      <c r="A141" s="2013" t="n"/>
      <c r="B141" s="11602" t="n"/>
      <c r="C141" s="11602" t="n"/>
      <c r="D141" s="11602" t="n"/>
      <c r="E141" s="11602" t="n"/>
      <c r="F141" s="11602" t="n"/>
      <c r="G141" s="11602" t="n"/>
      <c r="H141" s="11602" t="n"/>
      <c r="I141" s="11602" t="n"/>
      <c r="J141" s="11602" t="n"/>
      <c r="K141" s="11602" t="n"/>
      <c r="L141" s="11602" t="n"/>
      <c r="M141" s="11602" t="n"/>
      <c r="N141" s="11602" t="n"/>
      <c r="O141" s="11602" t="n"/>
      <c r="P141" s="11602" t="n"/>
      <c r="Q141" s="11602" t="n"/>
      <c r="R141" s="11602" t="n"/>
      <c r="S141" s="11602" t="n"/>
      <c r="T141" s="11602" t="n"/>
      <c r="U141" s="11602" t="n"/>
      <c r="V141" s="11602" t="n"/>
      <c r="W141" s="11602" t="n"/>
      <c r="X141" s="11602" t="n"/>
      <c r="Y141" s="11602" t="n"/>
      <c r="Z141" s="11602" t="n"/>
      <c r="AA141" s="11602" t="n"/>
      <c r="AB141" s="11602" t="n"/>
      <c r="AC141" s="2921" t="n"/>
      <c r="AD141" s="7636" t="n"/>
      <c r="AE141" s="8977" t="n"/>
      <c r="AG141" s="7914" t="n"/>
      <c r="AI141" s="7914" t="n"/>
      <c r="AK141" s="2013" t="n"/>
      <c r="BL141" s="2027" t="n"/>
      <c r="BM141" s="2027" t="n"/>
    </row>
    <row r="142" ht="15" customHeight="1" s="7635">
      <c r="A142" s="2013" t="n"/>
      <c r="B142" s="11602" t="n"/>
      <c r="C142" s="734" t="inlineStr">
        <is>
          <t>28</t>
        </is>
      </c>
      <c r="D142" s="8650" t="inlineStr">
        <is>
          <t>Qualified housing expenses for the tax year (see instructions)</t>
        </is>
      </c>
      <c r="E142" s="11602" t="n"/>
      <c r="F142" s="11602" t="n"/>
      <c r="G142" s="11602" t="n"/>
      <c r="H142" s="11602" t="n"/>
      <c r="I142" s="11602" t="n"/>
      <c r="J142" s="11602" t="n"/>
      <c r="K142" s="11602" t="n"/>
      <c r="L142" s="11602" t="n"/>
      <c r="M142" s="11602" t="n"/>
      <c r="N142" s="11602" t="n"/>
      <c r="O142" s="11602" t="n"/>
      <c r="P142" s="11602" t="n"/>
      <c r="Q142" s="11602" t="n"/>
      <c r="R142" s="11602" t="n"/>
      <c r="S142" s="11602" t="n"/>
      <c r="T142" s="11602" t="n"/>
      <c r="U142" s="11602" t="n"/>
      <c r="V142" s="11602" t="n"/>
      <c r="W142" s="11602" t="n"/>
      <c r="X142" s="11602" t="n"/>
      <c r="Y142" s="11602" t="n"/>
      <c r="Z142" s="11602" t="n"/>
      <c r="AA142" s="11602" t="n"/>
      <c r="AB142" s="2031" t="inlineStr">
        <is>
          <t xml:space="preserve">.   .   .   .   .   .   .   .   .   .   .   .   .   .   .   .   .   . </t>
        </is>
      </c>
      <c r="AC142" s="5372" t="n">
        <v>28</v>
      </c>
      <c r="AD142" s="7638" t="n"/>
      <c r="AE142" s="9763" t="n"/>
      <c r="AF142" s="11717" t="n"/>
      <c r="AG142" s="11717" t="n"/>
      <c r="AH142" s="11717" t="n"/>
      <c r="AI142" s="11717" t="n"/>
      <c r="AJ142" s="11717" t="n"/>
      <c r="AK142" s="2013" t="n"/>
      <c r="BL142" s="2027" t="n"/>
      <c r="BM142" s="2027" t="n"/>
    </row>
    <row r="143" ht="15" customHeight="1" s="7635">
      <c r="A143" s="2013" t="n"/>
      <c r="B143" s="11602" t="n"/>
      <c r="C143" s="734" t="inlineStr">
        <is>
          <t xml:space="preserve">29 a </t>
        </is>
      </c>
      <c r="D143" s="8650" t="inlineStr">
        <is>
          <t>Enter location where housing expenses incurred (see instructions)</t>
        </is>
      </c>
      <c r="E143" s="11602" t="n"/>
      <c r="F143" s="11602" t="n"/>
      <c r="G143" s="11602" t="n"/>
      <c r="H143" s="11602" t="n"/>
      <c r="I143" s="11602" t="n"/>
      <c r="J143" s="11602" t="n"/>
      <c r="K143" s="11602" t="n"/>
      <c r="L143" s="11602" t="n"/>
      <c r="M143" s="11602" t="n"/>
      <c r="N143" s="11602" t="n"/>
      <c r="O143" s="11602" t="n"/>
      <c r="P143" s="11602" t="n"/>
      <c r="Q143" s="11602" t="n"/>
      <c r="R143" s="11602" t="n"/>
      <c r="S143" s="11602" t="n"/>
      <c r="T143" s="11602" t="n"/>
      <c r="U143" s="9800" t="n"/>
      <c r="V143" s="11730" t="n"/>
      <c r="W143" s="11730" t="n"/>
      <c r="X143" s="11730" t="n"/>
      <c r="Y143" s="11730" t="n"/>
      <c r="Z143" s="11730" t="n"/>
      <c r="AA143" s="11730" t="n"/>
      <c r="AB143" s="11602" t="n"/>
      <c r="AC143" s="12448" t="n"/>
      <c r="AD143" s="10091" t="n"/>
      <c r="AE143" s="8998" t="n"/>
      <c r="AF143" s="7839" t="n"/>
      <c r="AG143" s="9766" t="n"/>
      <c r="AH143" s="7839" t="n"/>
      <c r="AI143" s="9766" t="n"/>
      <c r="AJ143" s="7839" t="n"/>
      <c r="AK143" s="2013" t="n"/>
      <c r="BL143" s="2027" t="n"/>
      <c r="BM143" s="2027" t="n"/>
    </row>
    <row r="144" ht="15" customHeight="1" s="7635" thickBot="1">
      <c r="A144" s="2013" t="n"/>
      <c r="B144" s="11602" t="n"/>
      <c r="C144" s="734" t="inlineStr">
        <is>
          <t xml:space="preserve">b </t>
        </is>
      </c>
      <c r="D144" s="8650" t="inlineStr">
        <is>
          <t>Enter limit on housing expenses (see instructions)</t>
        </is>
      </c>
      <c r="E144" s="11602" t="n"/>
      <c r="F144" s="11602" t="n"/>
      <c r="G144" s="11602" t="n"/>
      <c r="H144" s="11602" t="n"/>
      <c r="I144" s="11602" t="n"/>
      <c r="J144" s="11602" t="n"/>
      <c r="K144" s="11602" t="n"/>
      <c r="L144" s="11602" t="n"/>
      <c r="M144" s="11602" t="n"/>
      <c r="N144" s="11602" t="n"/>
      <c r="O144" s="11602" t="n"/>
      <c r="P144" s="11602" t="n"/>
      <c r="Q144" s="11602" t="n"/>
      <c r="R144" s="11602" t="n"/>
      <c r="S144" s="11602" t="n"/>
      <c r="T144" s="11602" t="n"/>
      <c r="U144" s="11602" t="n"/>
      <c r="V144" s="11602" t="n"/>
      <c r="W144" s="11602" t="n"/>
      <c r="X144" s="11602" t="n"/>
      <c r="Y144" s="11602" t="n"/>
      <c r="Z144" s="11602" t="n"/>
      <c r="AA144" s="11602" t="n"/>
      <c r="AB144" s="2031" t="inlineStr">
        <is>
          <t xml:space="preserve">.   .   .   .   .   .   .   .   .   .   .   .   .   .   .   .   .   .   .   .   .   . </t>
        </is>
      </c>
      <c r="AC144" s="5372" t="inlineStr">
        <is>
          <t>29b</t>
        </is>
      </c>
      <c r="AD144" s="7638" t="n"/>
      <c r="AE144" s="9763" t="n"/>
      <c r="AF144" s="11717" t="n"/>
      <c r="AG144" s="11717" t="n"/>
      <c r="AH144" s="11717" t="n"/>
      <c r="AI144" s="11717" t="n"/>
      <c r="AJ144" s="11717" t="n"/>
      <c r="AK144" s="2013" t="n"/>
      <c r="AM144" s="7914" t="inlineStr">
        <is>
          <t>Override</t>
        </is>
      </c>
      <c r="BL144" s="2027" t="n"/>
      <c r="BM144" s="2027" t="n"/>
    </row>
    <row r="145" ht="15" customHeight="1" s="7635" thickBot="1">
      <c r="A145" s="2013" t="n"/>
      <c r="B145" s="11602" t="n"/>
      <c r="C145" s="734" t="inlineStr">
        <is>
          <t>30</t>
        </is>
      </c>
      <c r="D145" s="8650" t="inlineStr">
        <is>
          <t>Enter the smaller of line 28 or line 29b</t>
        </is>
      </c>
      <c r="E145" s="11602" t="n"/>
      <c r="F145" s="11602" t="n"/>
      <c r="G145" s="11602" t="n"/>
      <c r="H145" s="11602" t="n"/>
      <c r="I145" s="11602" t="n"/>
      <c r="J145" s="11602" t="n"/>
      <c r="K145" s="11602" t="n"/>
      <c r="L145" s="11602" t="n"/>
      <c r="M145" s="11602" t="n"/>
      <c r="N145" s="11602" t="n"/>
      <c r="O145" s="11602" t="n"/>
      <c r="P145" s="11602" t="n"/>
      <c r="Q145" s="11602" t="n"/>
      <c r="R145" s="11602" t="n"/>
      <c r="S145" s="11602" t="n"/>
      <c r="T145" s="11602" t="n"/>
      <c r="U145" s="11602" t="n"/>
      <c r="V145" s="11602" t="n"/>
      <c r="W145" s="11602" t="n"/>
      <c r="X145" s="11602" t="n"/>
      <c r="Y145" s="11602" t="n"/>
      <c r="Z145" s="11602" t="n"/>
      <c r="AA145" s="11602" t="n"/>
      <c r="AB145" s="2031" t="inlineStr">
        <is>
          <t xml:space="preserve">.   .   .   .   .   .   .   .   .   .   .   .   .   .   .   .   .   .   .   .   .   .   .   .   .   . </t>
        </is>
      </c>
      <c r="AC145" s="5372" t="n">
        <v>30</v>
      </c>
      <c r="AD145" s="7638" t="n"/>
      <c r="AE145" s="9758">
        <f>IF(AM145&lt;&gt;"",AM145,IF(AM138,"",IF(AE142&lt;&gt;"",MIN(AE144,AE142),0)))</f>
        <v/>
      </c>
      <c r="AF145" s="7637" t="n"/>
      <c r="AG145" s="7637" t="n"/>
      <c r="AH145" s="7637" t="n"/>
      <c r="AI145" s="7637" t="n"/>
      <c r="AJ145" s="7637" t="n"/>
      <c r="AK145" s="2013" t="n"/>
      <c r="AM145" s="449" t="n"/>
      <c r="BL145" s="2027" t="n"/>
      <c r="BM145" s="2027" t="n"/>
    </row>
    <row r="146" ht="15" customHeight="1" s="7635" thickBot="1">
      <c r="A146" s="2013" t="n"/>
      <c r="B146" s="11602" t="n"/>
      <c r="C146" s="734" t="inlineStr">
        <is>
          <t>31</t>
        </is>
      </c>
      <c r="D146" s="8650">
        <f>"Number of days in your qualifying period that fall within your "&amp;TaxYear</f>
        <v/>
      </c>
      <c r="E146" s="11602" t="n"/>
      <c r="F146" s="11602" t="n"/>
      <c r="G146" s="11602" t="n"/>
      <c r="H146" s="11602" t="n"/>
      <c r="I146" s="11602" t="n"/>
      <c r="J146" s="11602" t="n"/>
      <c r="K146" s="11602" t="n"/>
      <c r="L146" s="11602" t="n"/>
      <c r="M146" s="11602" t="n"/>
      <c r="N146" s="11602" t="n"/>
      <c r="O146" s="11602" t="n"/>
      <c r="P146" s="11602" t="n"/>
      <c r="Q146" s="11602" t="n"/>
      <c r="R146" s="11602" t="n"/>
      <c r="S146" s="11602" t="n"/>
      <c r="T146" s="11602" t="n"/>
      <c r="U146" s="2921" t="n"/>
      <c r="V146" s="7636" t="n"/>
      <c r="W146" s="7932" t="n"/>
      <c r="X146" s="6996" t="n"/>
      <c r="Y146" s="6996" t="n"/>
      <c r="Z146" s="6996" t="n"/>
      <c r="AA146" s="9774" t="n"/>
      <c r="AB146" s="7636" t="n"/>
      <c r="AC146" s="11602" t="n"/>
      <c r="AD146" s="11602" t="n"/>
      <c r="AE146" s="8981">
        <f>ROUND(AE147/DaysInTaxYear,2)</f>
        <v/>
      </c>
      <c r="AF146" s="7839" t="n"/>
      <c r="AG146" s="7839" t="n"/>
      <c r="AH146" s="7839" t="n"/>
      <c r="AI146" s="7839" t="n"/>
      <c r="AJ146" s="7839" t="n"/>
      <c r="AK146" s="2013" t="n"/>
      <c r="AO146" s="2014" t="inlineStr">
        <is>
          <t>Days in qualifying</t>
        </is>
      </c>
      <c r="BL146" s="2027" t="n"/>
      <c r="BM146" s="2027" t="n"/>
    </row>
    <row r="147" ht="15" customHeight="1" s="7635" thickBot="1">
      <c r="A147" s="2013" t="n"/>
      <c r="B147" s="11602" t="n"/>
      <c r="C147" s="11602" t="n"/>
      <c r="D147" s="8650" t="inlineStr">
        <is>
          <t>tax year (see instructions)</t>
        </is>
      </c>
      <c r="E147" s="11602" t="n"/>
      <c r="F147" s="11602" t="n"/>
      <c r="G147" s="11602" t="n"/>
      <c r="H147" s="11602" t="n"/>
      <c r="I147" s="11602" t="n"/>
      <c r="J147" s="11602" t="n"/>
      <c r="K147" s="11602" t="n"/>
      <c r="L147" s="11602" t="n"/>
      <c r="M147" s="11602" t="n"/>
      <c r="N147" s="11602" t="n"/>
      <c r="O147" s="11602" t="n"/>
      <c r="P147" s="11602" t="n"/>
      <c r="Q147" s="11602" t="n"/>
      <c r="R147" s="11602" t="n"/>
      <c r="S147" s="11602" t="n"/>
      <c r="T147" s="2031" t="inlineStr">
        <is>
          <t xml:space="preserve">.   .   .   .   .   .   .   .   .   .   .   .   .   .   .   .   . </t>
        </is>
      </c>
      <c r="U147" s="5372" t="n">
        <v>31</v>
      </c>
      <c r="V147" s="7638" t="n"/>
      <c r="W147" s="9796">
        <f>IF(AM147&lt;&gt;"",ROUND(AM147,0),IF(AM138,"",DaysInTaxYear))</f>
        <v/>
      </c>
      <c r="X147" s="7637" t="n"/>
      <c r="Y147" s="7637" t="n"/>
      <c r="Z147" s="7637" t="n"/>
      <c r="AA147" s="8990" t="inlineStr">
        <is>
          <t>days</t>
        </is>
      </c>
      <c r="AB147" s="7638" t="n"/>
      <c r="AC147" s="11602" t="n"/>
      <c r="AD147" s="11602" t="n"/>
      <c r="AE147" s="9798">
        <f>ROUND(0.16*FEI_Exclusion_Limit,0)</f>
        <v/>
      </c>
      <c r="AK147" s="2013" t="n"/>
      <c r="AL147" s="2086" t="n"/>
      <c r="AM147" s="1316" t="n"/>
      <c r="AN147" s="2086" t="inlineStr">
        <is>
          <t>&lt;</t>
        </is>
      </c>
      <c r="AO147" s="2014" t="inlineStr">
        <is>
          <t>period.</t>
        </is>
      </c>
      <c r="BL147" s="2027" t="n"/>
      <c r="BM147" s="2027" t="n"/>
    </row>
    <row r="148" ht="15" customHeight="1" s="7635" thickBot="1">
      <c r="A148" s="2013" t="n"/>
      <c r="B148" s="11602" t="n"/>
      <c r="C148" s="734" t="inlineStr">
        <is>
          <t>32</t>
        </is>
      </c>
      <c r="D148" s="8650">
        <f>"Multiply "&amp;TEXT(AE146,"$0.00")&amp;" by the number of days on line 31. If "&amp;TEXT(DaysInTaxYear,"0")&amp;" is entered on line 31, enter "&amp;TEXT(AE147,"$0,000")&amp;" here"</f>
        <v/>
      </c>
      <c r="E148" s="11602" t="n"/>
      <c r="F148" s="11602" t="n"/>
      <c r="G148" s="11602" t="n"/>
      <c r="H148" s="11602" t="n"/>
      <c r="I148" s="11602" t="n"/>
      <c r="J148" s="11602" t="n"/>
      <c r="K148" s="11602" t="n"/>
      <c r="L148" s="11602" t="n"/>
      <c r="M148" s="11602" t="n"/>
      <c r="N148" s="11602" t="n"/>
      <c r="O148" s="11602" t="n"/>
      <c r="P148" s="11602" t="n"/>
      <c r="Q148" s="11602" t="n"/>
      <c r="R148" s="11602" t="n"/>
      <c r="S148" s="11602" t="n"/>
      <c r="T148" s="11602" t="n"/>
      <c r="U148" s="11602" t="n"/>
      <c r="V148" s="11602" t="n"/>
      <c r="W148" s="11602" t="n"/>
      <c r="X148" s="11602" t="n"/>
      <c r="Y148" s="11602" t="n"/>
      <c r="Z148" s="11602" t="n"/>
      <c r="AA148" s="11602" t="n"/>
      <c r="AB148" s="11602" t="n"/>
      <c r="AC148" s="5372" t="n">
        <v>32</v>
      </c>
      <c r="AD148" s="7638" t="n"/>
      <c r="AE148" s="9758">
        <f>IF(AM148&lt;&gt;"",ROUND(AM148,0),IF(OR(AM138,AE142=""),"",IF(W147=DaysInTaxYear,AE147,W147*AE146)))</f>
        <v/>
      </c>
      <c r="AF148" s="7637" t="n"/>
      <c r="AG148" s="7637" t="n"/>
      <c r="AH148" s="7637" t="n"/>
      <c r="AI148" s="7637" t="n"/>
      <c r="AJ148" s="7637" t="n"/>
      <c r="AK148" s="2013" t="n"/>
      <c r="AL148" s="2086" t="n"/>
      <c r="AM148" s="449" t="n"/>
      <c r="BL148" s="2027" t="n"/>
      <c r="BM148" s="2027" t="n"/>
    </row>
    <row r="149" ht="15" customHeight="1" s="7635">
      <c r="A149" s="2013" t="n"/>
      <c r="B149" s="11602" t="n"/>
      <c r="C149" s="734" t="inlineStr">
        <is>
          <t>33</t>
        </is>
      </c>
      <c r="D149" s="8650" t="inlineStr">
        <is>
          <t xml:space="preserve">Subtract line 32 from line 30. </t>
        </is>
      </c>
      <c r="E149" s="11602" t="n"/>
      <c r="F149" s="11602" t="n"/>
      <c r="G149" s="11602" t="n"/>
      <c r="H149" s="11602" t="n"/>
      <c r="I149" s="11602" t="n"/>
      <c r="J149" s="11602" t="n"/>
      <c r="K149" s="344" t="n"/>
      <c r="L149" s="8650" t="inlineStr">
        <is>
          <t>If the result is zero or less, don't complete the rest of this part or</t>
        </is>
      </c>
      <c r="M149" s="11602" t="n"/>
      <c r="N149" s="11602" t="n"/>
      <c r="O149" s="11602" t="n"/>
      <c r="P149" s="11602" t="n"/>
      <c r="Q149" s="11602" t="n"/>
      <c r="R149" s="11602" t="n"/>
      <c r="S149" s="11602" t="n"/>
      <c r="T149" s="11602" t="n"/>
      <c r="U149" s="11602" t="n"/>
      <c r="V149" s="11602" t="n"/>
      <c r="W149" s="11602" t="n"/>
      <c r="X149" s="11602" t="n"/>
      <c r="Y149" s="11602" t="n"/>
      <c r="Z149" s="11602" t="n"/>
      <c r="AA149" s="11602" t="n"/>
      <c r="AB149" s="11602" t="n"/>
      <c r="AC149" s="2898" t="n"/>
      <c r="AD149" s="10091" t="n"/>
      <c r="AE149" s="8998" t="n"/>
      <c r="AF149" s="7839" t="n"/>
      <c r="AG149" s="9766" t="n"/>
      <c r="AH149" s="7839" t="n"/>
      <c r="AI149" s="9766" t="n"/>
      <c r="AJ149" s="7839" t="n"/>
      <c r="AK149" s="2013" t="n"/>
      <c r="BL149" s="2027" t="n"/>
      <c r="BM149" s="2027" t="n"/>
    </row>
    <row r="150" ht="15" customHeight="1" s="7635">
      <c r="A150" s="2013" t="n"/>
      <c r="B150" s="11602" t="n"/>
      <c r="C150" s="11602" t="n"/>
      <c r="D150" s="8650" t="inlineStr">
        <is>
          <t>any of Part IX</t>
        </is>
      </c>
      <c r="E150" s="11602" t="n"/>
      <c r="F150" s="11602" t="n"/>
      <c r="G150" s="11602" t="n"/>
      <c r="H150" s="11602" t="n"/>
      <c r="I150" s="11602" t="n"/>
      <c r="J150" s="11602" t="n"/>
      <c r="K150" s="11602" t="n"/>
      <c r="L150" s="11602" t="n"/>
      <c r="M150" s="11602" t="n"/>
      <c r="N150" s="11602" t="n"/>
      <c r="O150" s="11602" t="n"/>
      <c r="P150" s="11602" t="n"/>
      <c r="Q150" s="11602" t="n"/>
      <c r="R150" s="11602" t="n"/>
      <c r="S150" s="11602" t="n"/>
      <c r="T150" s="11602" t="n"/>
      <c r="U150" s="11602" t="n"/>
      <c r="V150" s="11602" t="n"/>
      <c r="W150" s="11602" t="n"/>
      <c r="X150" s="11602" t="n"/>
      <c r="Y150" s="11602" t="n"/>
      <c r="Z150" s="11602" t="n"/>
      <c r="AA150" s="11602" t="n"/>
      <c r="AB150" s="2031" t="inlineStr">
        <is>
          <t xml:space="preserve">.   .   .   .   .   .   .   .   .   .   .   .   .   .   .   .   .   .   .   .   .   .   .   .   .   .   .   .   .   .   .   .   .   .   . </t>
        </is>
      </c>
      <c r="AC150" s="5372" t="n">
        <v>33</v>
      </c>
      <c r="AD150" s="7638" t="n"/>
      <c r="AE150" s="9795">
        <f>IF(AM138,"",IF(AE148="",AE145,SUM(AE145,-AE148)))</f>
        <v/>
      </c>
      <c r="AF150" s="7637" t="n"/>
      <c r="AG150" s="7637" t="n"/>
      <c r="AH150" s="7637" t="n"/>
      <c r="AI150" s="7637" t="n"/>
      <c r="AJ150" s="7637" t="n"/>
      <c r="AK150" s="2013" t="n"/>
      <c r="AM150" s="2084">
        <f>AE150&lt;=0</f>
        <v/>
      </c>
      <c r="AO150" s="2083">
        <f>IF(AE150="",0,AE150)</f>
        <v/>
      </c>
      <c r="BL150" s="2027" t="n"/>
      <c r="BM150" s="2027" t="n"/>
    </row>
    <row r="151" ht="15" customHeight="1" s="7635">
      <c r="A151" s="2013" t="n"/>
      <c r="B151" s="11602" t="n"/>
      <c r="C151" s="734" t="inlineStr">
        <is>
          <t>34</t>
        </is>
      </c>
      <c r="D151" s="8650" t="inlineStr">
        <is>
          <t>Enter employer-provided amounts (see instructions)</t>
        </is>
      </c>
      <c r="E151" s="11602" t="n"/>
      <c r="F151" s="11602" t="n"/>
      <c r="G151" s="11602" t="n"/>
      <c r="H151" s="11602" t="n"/>
      <c r="I151" s="11602" t="n"/>
      <c r="J151" s="11602" t="n"/>
      <c r="K151" s="11602" t="n"/>
      <c r="L151" s="11602" t="n"/>
      <c r="M151" s="11602" t="n"/>
      <c r="N151" s="11602" t="n"/>
      <c r="O151" s="11602" t="n"/>
      <c r="P151" s="11602" t="n"/>
      <c r="Q151" s="11602" t="n"/>
      <c r="R151" s="11602" t="n"/>
      <c r="S151" s="11602" t="n"/>
      <c r="T151" s="11602" t="n"/>
      <c r="U151" s="5372" t="n">
        <v>34</v>
      </c>
      <c r="V151" s="7638" t="n"/>
      <c r="W151" s="9763" t="n"/>
      <c r="X151" s="11717" t="n"/>
      <c r="Y151" s="11717" t="n"/>
      <c r="Z151" s="11717" t="n"/>
      <c r="AA151" s="11717" t="n"/>
      <c r="AB151" s="11717" t="n"/>
      <c r="AC151" s="12448" t="n"/>
      <c r="AD151" s="10091" t="n"/>
      <c r="AE151" s="8998" t="n"/>
      <c r="AF151" s="7839" t="n"/>
      <c r="AG151" s="9766" t="n"/>
      <c r="AH151" s="7839" t="n"/>
      <c r="AI151" s="9766" t="n"/>
      <c r="AJ151" s="7839" t="n"/>
      <c r="AK151" s="2013" t="n"/>
      <c r="AM151" s="2087" t="n"/>
      <c r="BL151" s="2027" t="n"/>
      <c r="BM151" s="2027" t="n"/>
    </row>
    <row r="152" ht="15" customHeight="1" s="7635" thickBot="1">
      <c r="A152" s="2013" t="n"/>
      <c r="B152" s="11602" t="n"/>
      <c r="C152" s="734" t="inlineStr">
        <is>
          <t>35</t>
        </is>
      </c>
      <c r="D152" s="8650" t="inlineStr">
        <is>
          <t>Divide line 34 by line 27. Enter the result as a decimal (rounded to at least three places), but</t>
        </is>
      </c>
      <c r="E152" s="11602" t="n"/>
      <c r="F152" s="11602" t="n"/>
      <c r="G152" s="11602" t="n"/>
      <c r="H152" s="11602" t="n"/>
      <c r="I152" s="11602" t="n"/>
      <c r="J152" s="11602" t="n"/>
      <c r="K152" s="11602" t="n"/>
      <c r="L152" s="11602" t="n"/>
      <c r="M152" s="11602" t="n"/>
      <c r="N152" s="11602" t="n"/>
      <c r="O152" s="11602" t="n"/>
      <c r="P152" s="11602" t="n"/>
      <c r="Q152" s="11602" t="n"/>
      <c r="R152" s="11602" t="n"/>
      <c r="S152" s="11602" t="n"/>
      <c r="T152" s="11602" t="n"/>
      <c r="U152" s="11602" t="n"/>
      <c r="V152" s="11602" t="n"/>
      <c r="W152" s="11602" t="n"/>
      <c r="X152" s="11602" t="n"/>
      <c r="Y152" s="11602" t="n"/>
      <c r="Z152" s="11602" t="n"/>
      <c r="AA152" s="11602" t="n"/>
      <c r="AB152" s="11602" t="n"/>
      <c r="AC152" s="2921" t="n"/>
      <c r="AD152" s="7636" t="n"/>
      <c r="AE152" s="8977" t="n"/>
      <c r="AG152" s="7914" t="n"/>
      <c r="AI152" s="7914" t="n"/>
      <c r="AK152" s="2013" t="n"/>
      <c r="AM152" s="7914" t="inlineStr">
        <is>
          <t>Override</t>
        </is>
      </c>
      <c r="BL152" s="2027" t="n"/>
      <c r="BM152" s="2027" t="n"/>
    </row>
    <row r="153" ht="15" customHeight="1" s="7635" thickBot="1">
      <c r="A153" s="2013" t="n"/>
      <c r="B153" s="11602" t="n"/>
      <c r="C153" s="11602" t="n"/>
      <c r="D153" s="8650" t="inlineStr">
        <is>
          <t>don't enter more than “1.000”</t>
        </is>
      </c>
      <c r="E153" s="11602" t="n"/>
      <c r="F153" s="11602" t="n"/>
      <c r="G153" s="11602" t="n"/>
      <c r="H153" s="11602" t="n"/>
      <c r="I153" s="11602" t="n"/>
      <c r="J153" s="11602" t="n"/>
      <c r="K153" s="11602" t="n"/>
      <c r="L153" s="11602" t="n"/>
      <c r="M153" s="11602" t="n"/>
      <c r="N153" s="11602" t="n"/>
      <c r="O153" s="11602" t="n"/>
      <c r="P153" s="11602" t="n"/>
      <c r="Q153" s="11602" t="n"/>
      <c r="R153" s="11602" t="n"/>
      <c r="S153" s="11602" t="n"/>
      <c r="T153" s="11602" t="n"/>
      <c r="U153" s="11602" t="n"/>
      <c r="V153" s="11602" t="n"/>
      <c r="W153" s="11602" t="n"/>
      <c r="X153" s="11602" t="n"/>
      <c r="Y153" s="11602" t="n"/>
      <c r="Z153" s="11602" t="n"/>
      <c r="AA153" s="11602" t="n"/>
      <c r="AB153" s="2031" t="inlineStr">
        <is>
          <t xml:space="preserve">.   .   .   .   .   .   .   .   .   .   .   .   .   .   .   .   .   .   .   .   .   .   .   .   .   .   .   .   .   . </t>
        </is>
      </c>
      <c r="AC153" s="5372" t="n">
        <v>35</v>
      </c>
      <c r="AD153" s="7638" t="n"/>
      <c r="AE153" s="2088" t="n"/>
      <c r="AF153" s="2088" t="n"/>
      <c r="AG153" s="2089" t="inlineStr">
        <is>
          <t>X</t>
        </is>
      </c>
      <c r="AH153" s="12449">
        <f>IF(AM153&lt;&gt;"",ROUND(AM153,3),IF(OR(AM138,AM150),"",IF(ISERROR(W151/ForeignEarnedIncome1),"---",IF(ForeignEarnedIncome1&gt;0,ROUND(W151/ForeignEarnedIncome1,3),""))))</f>
        <v/>
      </c>
      <c r="AI153" s="7637" t="n"/>
      <c r="AJ153" s="7637" t="n"/>
      <c r="AK153" s="2013" t="n"/>
      <c r="AM153" s="439" t="n"/>
      <c r="BL153" s="2027" t="n"/>
      <c r="BM153" s="2027" t="n"/>
    </row>
    <row r="154" ht="15" customHeight="1" s="7635" thickBot="1">
      <c r="A154" s="2013" t="n"/>
      <c r="B154" s="11602" t="n"/>
      <c r="C154" s="734" t="inlineStr">
        <is>
          <t>36</t>
        </is>
      </c>
      <c r="D154" s="8650" t="inlineStr">
        <is>
          <t>Housing exclusion. Multiply line 33 by line 35. Enter the result but don't enter more than the</t>
        </is>
      </c>
      <c r="E154" s="11602" t="n"/>
      <c r="F154" s="11602" t="n"/>
      <c r="G154" s="11602" t="n"/>
      <c r="H154" s="11602" t="n"/>
      <c r="I154" s="11602" t="n"/>
      <c r="J154" s="11602" t="n"/>
      <c r="K154" s="11602" t="n"/>
      <c r="L154" s="11602" t="n"/>
      <c r="M154" s="11602" t="n"/>
      <c r="N154" s="11602" t="n"/>
      <c r="O154" s="11602" t="n"/>
      <c r="P154" s="11602" t="n"/>
      <c r="Q154" s="11602" t="n"/>
      <c r="R154" s="11602" t="n"/>
      <c r="S154" s="11602" t="n"/>
      <c r="T154" s="11602" t="n"/>
      <c r="U154" s="11602" t="n"/>
      <c r="V154" s="11602" t="n"/>
      <c r="W154" s="11602" t="n"/>
      <c r="X154" s="11602" t="n"/>
      <c r="Y154" s="11602" t="n"/>
      <c r="Z154" s="11602" t="n"/>
      <c r="AA154" s="11602" t="n"/>
      <c r="AB154" s="11602" t="n"/>
      <c r="AC154" s="2898" t="n"/>
      <c r="AD154" s="10091" t="n"/>
      <c r="AE154" s="8998" t="n"/>
      <c r="AF154" s="7839" t="n"/>
      <c r="AG154" s="9766" t="n"/>
      <c r="AH154" s="7839" t="n"/>
      <c r="AI154" s="9766" t="n"/>
      <c r="AJ154" s="7839" t="n"/>
      <c r="AK154" s="2013" t="n"/>
      <c r="BL154" s="2027" t="n"/>
      <c r="BM154" s="2027" t="n"/>
    </row>
    <row r="155" ht="15" customHeight="1" s="7635" thickBot="1">
      <c r="A155" s="2013" t="n"/>
      <c r="B155" s="11602" t="n"/>
      <c r="C155" s="11602" t="n"/>
      <c r="D155" s="8650" t="inlineStr">
        <is>
          <t>amount on line 34. Also, complete Part VIII</t>
        </is>
      </c>
      <c r="E155" s="11602" t="n"/>
      <c r="F155" s="11602" t="n"/>
      <c r="G155" s="11602" t="n"/>
      <c r="H155" s="11602" t="n"/>
      <c r="I155" s="11602" t="n"/>
      <c r="J155" s="11602" t="n"/>
      <c r="K155" s="11602" t="n"/>
      <c r="L155" s="11602" t="n"/>
      <c r="M155" s="11602" t="n"/>
      <c r="N155" s="11602" t="n"/>
      <c r="O155" s="11602" t="n"/>
      <c r="P155" s="11602" t="n"/>
      <c r="Q155" s="11602" t="n"/>
      <c r="R155" s="11602" t="n"/>
      <c r="S155" s="11602" t="n"/>
      <c r="T155" s="11602" t="n"/>
      <c r="U155" s="11602" t="n"/>
      <c r="V155" s="11602" t="n"/>
      <c r="W155" s="11602" t="n"/>
      <c r="X155" s="11602" t="n"/>
      <c r="Y155" s="11602" t="n"/>
      <c r="Z155" s="11602" t="n"/>
      <c r="AA155" s="11602" t="n"/>
      <c r="AB155" s="2031" t="inlineStr">
        <is>
          <t xml:space="preserve">.   .   .   .   .   .   .   .   .   .   .   .   .   .   .   .   .   .   .   .   .   .   .   .   . </t>
        </is>
      </c>
      <c r="AC155" s="5372" t="n">
        <v>36</v>
      </c>
      <c r="AD155" s="7638" t="n"/>
      <c r="AE155" s="9758">
        <f>IF(AM155&lt;&gt;"",ROUND(AM155,0),IF(OR(AM138,AM150),"",IF(ISERROR(W151/ForeignEarnedIncome1),"---",IF(W151="",0,MIN(W151,ROUND(AE150*AH153,0))))))</f>
        <v/>
      </c>
      <c r="AF155" s="7637" t="n"/>
      <c r="AG155" s="7637" t="n"/>
      <c r="AH155" s="7637" t="n"/>
      <c r="AI155" s="7637" t="n"/>
      <c r="AJ155" s="7637" t="n"/>
      <c r="AK155" s="2013" t="n"/>
      <c r="AM155" s="449" t="n"/>
      <c r="AO155" s="2083">
        <f>IF(OR(AE155="",AE155="---"),0,AE155)</f>
        <v/>
      </c>
      <c r="BL155" s="2027" t="n"/>
      <c r="BM155" s="2027" t="n"/>
    </row>
    <row r="156" ht="15" customHeight="1" s="7635">
      <c r="A156" s="2013" t="n"/>
      <c r="B156" s="11602" t="n"/>
      <c r="C156" s="11602" t="n"/>
      <c r="D156" s="8650" t="inlineStr">
        <is>
          <t>Note: The housing deduction is figured in Part IX. If you choose to claim the foreign earned income</t>
        </is>
      </c>
      <c r="E156" s="11602" t="n"/>
      <c r="F156" s="11602" t="n"/>
      <c r="G156" s="11602" t="n"/>
      <c r="H156" s="11602" t="n"/>
      <c r="I156" s="11602" t="n"/>
      <c r="J156" s="11602" t="n"/>
      <c r="K156" s="11602" t="n"/>
      <c r="L156" s="11602" t="n"/>
      <c r="M156" s="11602" t="n"/>
      <c r="N156" s="11602" t="n"/>
      <c r="O156" s="11602" t="n"/>
      <c r="P156" s="11602" t="n"/>
      <c r="Q156" s="11602" t="n"/>
      <c r="R156" s="11602" t="n"/>
      <c r="S156" s="11602" t="n"/>
      <c r="T156" s="11602" t="n"/>
      <c r="U156" s="11602" t="n"/>
      <c r="V156" s="11602" t="n"/>
      <c r="W156" s="11602" t="n"/>
      <c r="X156" s="11602" t="n"/>
      <c r="Y156" s="11602" t="n"/>
      <c r="Z156" s="11602" t="n"/>
      <c r="AA156" s="11602" t="n"/>
      <c r="AB156" s="11602" t="n"/>
      <c r="AC156" s="11602" t="n"/>
      <c r="AD156" s="11602" t="n"/>
      <c r="AE156" s="9788">
        <f>IF(OR(AE155="",AE155="---"),0,AE155)</f>
        <v/>
      </c>
      <c r="AF156" s="7839" t="n"/>
      <c r="AG156" s="7839" t="n"/>
      <c r="AH156" s="7839" t="n"/>
      <c r="AI156" s="7839" t="n"/>
      <c r="AJ156" s="7839" t="n"/>
      <c r="AK156" s="2013" t="n"/>
      <c r="BL156" s="2027" t="n"/>
      <c r="BM156" s="2027" t="n"/>
    </row>
    <row r="157" ht="15" customHeight="1" s="7635" thickBot="1">
      <c r="A157" s="2013" t="n"/>
      <c r="B157" s="11602" t="n"/>
      <c r="C157" s="11602" t="n"/>
      <c r="D157" s="8650" t="inlineStr">
        <is>
          <t>exclusion, complete Parts VII and VIII before Part IX.</t>
        </is>
      </c>
      <c r="E157" s="11602" t="n"/>
      <c r="F157" s="11602" t="n"/>
      <c r="G157" s="11602" t="n"/>
      <c r="H157" s="11602" t="n"/>
      <c r="I157" s="11602" t="n"/>
      <c r="J157" s="11602" t="n"/>
      <c r="K157" s="11602" t="n"/>
      <c r="L157" s="11602" t="n"/>
      <c r="M157" s="11602" t="n"/>
      <c r="N157" s="11602" t="n"/>
      <c r="O157" s="11602" t="n"/>
      <c r="P157" s="11602" t="n"/>
      <c r="Q157" s="11602" t="n"/>
      <c r="R157" s="11602" t="n"/>
      <c r="S157" s="11602" t="n"/>
      <c r="T157" s="11602" t="n"/>
      <c r="U157" s="11602" t="n"/>
      <c r="V157" s="11602" t="n"/>
      <c r="W157" s="11602" t="n"/>
      <c r="X157" s="11602" t="n"/>
      <c r="Y157" s="11602" t="n"/>
      <c r="Z157" s="11602" t="n"/>
      <c r="AA157" s="11602" t="n"/>
      <c r="AB157" s="11602" t="n"/>
      <c r="AC157" s="11602" t="n"/>
      <c r="AD157" s="11602" t="n"/>
      <c r="AE157" s="11602" t="n"/>
      <c r="AF157" s="11602" t="n"/>
      <c r="AG157" s="11602" t="n"/>
      <c r="AH157" s="11602" t="n"/>
      <c r="AI157" s="11602" t="n"/>
      <c r="AJ157" s="11602" t="n"/>
      <c r="AK157" s="2013" t="n"/>
      <c r="BL157" s="2027" t="n"/>
      <c r="BM157" s="2027" t="n"/>
    </row>
    <row r="158" ht="18.75" customHeight="1" s="7635" thickBot="1">
      <c r="A158" s="2013" t="n"/>
      <c r="B158" s="9775" t="inlineStr">
        <is>
          <t>Part VII</t>
        </is>
      </c>
      <c r="C158" s="8412" t="n"/>
      <c r="D158" s="2090" t="inlineStr">
        <is>
          <t>Taxpayers Claiming the Foreign Earned Income Exclusion</t>
        </is>
      </c>
      <c r="E158" s="2091" t="n"/>
      <c r="F158" s="2091" t="n"/>
      <c r="G158" s="2091" t="n"/>
      <c r="H158" s="2091" t="n"/>
      <c r="I158" s="2091" t="n"/>
      <c r="J158" s="2091" t="n"/>
      <c r="K158" s="2091" t="n"/>
      <c r="L158" s="2091" t="n"/>
      <c r="M158" s="2091" t="n"/>
      <c r="N158" s="2091" t="n"/>
      <c r="O158" s="2091" t="n"/>
      <c r="P158" s="2091" t="n"/>
      <c r="Q158" s="2091" t="n"/>
      <c r="R158" s="2091" t="n"/>
      <c r="S158" s="2091" t="n"/>
      <c r="T158" s="2091" t="n"/>
      <c r="U158" s="2091" t="n"/>
      <c r="V158" s="2091" t="n"/>
      <c r="W158" s="2091" t="n"/>
      <c r="X158" s="2091" t="n"/>
      <c r="Y158" s="2091" t="n"/>
      <c r="Z158" s="2091" t="n"/>
      <c r="AA158" s="2091" t="n"/>
      <c r="AB158" s="2091" t="n"/>
      <c r="AC158" s="2091" t="n"/>
      <c r="AD158" s="2091" t="n"/>
      <c r="AE158" s="9789" t="n"/>
      <c r="AF158" s="12097" t="n"/>
      <c r="AG158" s="12097" t="n"/>
      <c r="AH158" s="12097" t="n"/>
      <c r="AI158" s="12097" t="n"/>
      <c r="AJ158" s="12097" t="n"/>
      <c r="AK158" s="2013" t="n"/>
      <c r="AM158" s="7914" t="inlineStr">
        <is>
          <t>Override</t>
        </is>
      </c>
    </row>
    <row r="159" ht="15" customHeight="1" s="7635" thickBot="1">
      <c r="A159" s="2013" t="n"/>
      <c r="B159" s="11602" t="n"/>
      <c r="C159" s="734" t="inlineStr">
        <is>
          <t>37</t>
        </is>
      </c>
      <c r="D159" s="8650">
        <f>"Maximum foreign earned income exclusion."</f>
        <v/>
      </c>
      <c r="E159" s="11602" t="n"/>
      <c r="F159" s="11602" t="n"/>
      <c r="G159" s="11602" t="n"/>
      <c r="H159" s="11602" t="n"/>
      <c r="I159" s="11602" t="n"/>
      <c r="J159" s="11602" t="n"/>
      <c r="K159" s="11602" t="n"/>
      <c r="L159" s="11602" t="n"/>
      <c r="M159" s="11602" t="n"/>
      <c r="N159" s="11602" t="n"/>
      <c r="O159" s="11602" t="n"/>
      <c r="P159" s="8650">
        <f>"Enter "&amp;TEXT(FEI_Exclusion_Limit,"$0,000")</f>
        <v/>
      </c>
      <c r="Q159" s="11602" t="n"/>
      <c r="R159" s="11602" t="n"/>
      <c r="S159" s="11602" t="n"/>
      <c r="T159" s="11602" t="n"/>
      <c r="U159" s="11602" t="n"/>
      <c r="V159" s="11602" t="n"/>
      <c r="W159" s="11602" t="n"/>
      <c r="X159" s="11602" t="n"/>
      <c r="Y159" s="11602" t="n"/>
      <c r="Z159" s="11602" t="n"/>
      <c r="AA159" s="11602" t="n"/>
      <c r="AB159" s="2031" t="inlineStr">
        <is>
          <t xml:space="preserve">.   .   .   .   .   .   .   .   .   .   .   .   .   .   .   . </t>
        </is>
      </c>
      <c r="AC159" s="5372" t="n">
        <v>37</v>
      </c>
      <c r="AD159" s="7638" t="n"/>
      <c r="AE159" s="12450">
        <f>IF(AM159&lt;&gt;"",ROUND(AM159,0),AE160)</f>
        <v/>
      </c>
      <c r="AF159" s="7637" t="n"/>
      <c r="AG159" s="7637" t="n"/>
      <c r="AH159" s="7637" t="n"/>
      <c r="AI159" s="7637" t="n"/>
      <c r="AJ159" s="7637" t="n"/>
      <c r="AK159" s="2013" t="n"/>
      <c r="AM159" s="449" t="n"/>
      <c r="BL159" s="2027" t="n"/>
      <c r="BM159" s="2027" t="n"/>
    </row>
    <row r="160" ht="15" customHeight="1" s="7635" thickBot="1">
      <c r="A160" s="2013" t="n"/>
      <c r="B160" s="11602" t="n"/>
      <c r="C160" s="734" t="inlineStr">
        <is>
          <t>38</t>
        </is>
      </c>
      <c r="D160" s="2092" t="inlineStr">
        <is>
          <t>h</t>
        </is>
      </c>
      <c r="E160" s="8650" t="inlineStr">
        <is>
          <t>If you completed Part VI, enter the number from line 31.</t>
        </is>
      </c>
      <c r="F160" s="11602" t="n"/>
      <c r="G160" s="11602" t="n"/>
      <c r="H160" s="11602" t="n"/>
      <c r="I160" s="11602" t="n"/>
      <c r="J160" s="11602" t="n"/>
      <c r="K160" s="11602" t="n"/>
      <c r="L160" s="11602" t="n"/>
      <c r="M160" s="11602" t="n"/>
      <c r="N160" s="11602" t="n"/>
      <c r="O160" s="11602" t="n"/>
      <c r="P160" s="11602" t="n"/>
      <c r="Q160" s="11602" t="n"/>
      <c r="R160" s="11602" t="n"/>
      <c r="S160" s="11602" t="n"/>
      <c r="T160" s="11602" t="n"/>
      <c r="U160" s="11602" t="n"/>
      <c r="V160" s="11602" t="n"/>
      <c r="W160" s="6996" t="n"/>
      <c r="X160" s="6996" t="n"/>
      <c r="Y160" s="6996" t="n"/>
      <c r="Z160" s="6996" t="n"/>
      <c r="AA160" s="11602" t="n"/>
      <c r="AB160" s="2093" t="n"/>
      <c r="AC160" s="2094" t="n"/>
      <c r="AD160" s="2095" t="n"/>
      <c r="AE160" s="9792" t="n">
        <v>130000</v>
      </c>
      <c r="AF160" s="7839" t="n"/>
      <c r="AG160" s="7839" t="n"/>
      <c r="AH160" s="7839" t="n"/>
      <c r="AI160" s="7839" t="n"/>
      <c r="AJ160" s="7839" t="n"/>
      <c r="AK160" s="2013" t="n"/>
      <c r="AM160" s="7914" t="n"/>
      <c r="AO160" s="2084">
        <f>AND(AE155&lt;&gt;0,AE155&lt;&gt;"")</f>
        <v/>
      </c>
      <c r="BL160" s="2027" t="n"/>
      <c r="BM160" s="2027" t="n"/>
    </row>
    <row r="161" ht="15" customHeight="1" s="7635" thickBot="1">
      <c r="A161" s="2013" t="n"/>
      <c r="B161" s="11602" t="n"/>
      <c r="C161" s="11602" t="n"/>
      <c r="D161" s="2092" t="inlineStr">
        <is>
          <t>h</t>
        </is>
      </c>
      <c r="E161" s="8650" t="inlineStr">
        <is>
          <t>All others, enter the number of days in your qualifying period that</t>
        </is>
      </c>
      <c r="F161" s="11602" t="n"/>
      <c r="G161" s="11602" t="n"/>
      <c r="H161" s="11602" t="n"/>
      <c r="I161" s="11602" t="n"/>
      <c r="J161" s="11602" t="n"/>
      <c r="K161" s="11602" t="n"/>
      <c r="L161" s="11602" t="n"/>
      <c r="M161" s="11602" t="n"/>
      <c r="N161" s="11602" t="n"/>
      <c r="O161" s="11602" t="n"/>
      <c r="P161" s="11602" t="n"/>
      <c r="Q161" s="11602" t="n"/>
      <c r="R161" s="11602" t="n"/>
      <c r="S161" s="11602" t="n"/>
      <c r="T161" s="11602" t="n"/>
      <c r="U161" s="2096" t="n"/>
      <c r="V161" s="9761" t="n">
        <v>38</v>
      </c>
      <c r="W161" s="7637" t="n"/>
      <c r="X161" s="7565">
        <f>IF(AO160,W147,IF(AM161&lt;&gt;"",AM161,DaysInTaxYear))</f>
        <v/>
      </c>
      <c r="Y161" s="7637" t="n"/>
      <c r="Z161" s="7637" t="n"/>
      <c r="AA161" s="9794" t="inlineStr">
        <is>
          <t>days</t>
        </is>
      </c>
      <c r="AB161" s="7637" t="n"/>
      <c r="AC161" s="2073" t="n"/>
      <c r="AD161" s="2074" t="n"/>
      <c r="AE161" s="11602" t="n"/>
      <c r="AF161" s="11602" t="n"/>
      <c r="AG161" s="11602" t="n"/>
      <c r="AH161" s="11602" t="n"/>
      <c r="AI161" s="11602" t="n"/>
      <c r="AJ161" s="11602" t="n"/>
      <c r="AK161" s="2013" t="n"/>
      <c r="AM161" s="1316" t="n"/>
      <c r="AN161" s="2014" t="inlineStr">
        <is>
          <t>No. of days of your</t>
        </is>
      </c>
      <c r="BL161" s="2027" t="n"/>
      <c r="BM161" s="2027" t="n"/>
    </row>
    <row r="162" ht="15" customHeight="1" s="7635">
      <c r="A162" s="2013" t="n"/>
      <c r="B162" s="11602" t="n"/>
      <c r="C162" s="11602" t="n"/>
      <c r="D162" s="11602" t="n"/>
      <c r="E162" s="8650">
        <f>"fall within your "&amp;TaxYear&amp;" tax year (see the instructions for line 31)."</f>
        <v/>
      </c>
      <c r="F162" s="11602" t="n"/>
      <c r="G162" s="11602" t="n"/>
      <c r="H162" s="11602" t="n"/>
      <c r="I162" s="11602" t="n"/>
      <c r="J162" s="11602" t="n"/>
      <c r="K162" s="11602" t="n"/>
      <c r="L162" s="11602" t="n"/>
      <c r="M162" s="11602" t="n"/>
      <c r="N162" s="11602" t="n"/>
      <c r="O162" s="11602" t="n"/>
      <c r="P162" s="11602" t="n"/>
      <c r="Q162" s="11602" t="n"/>
      <c r="R162" s="11602" t="n"/>
      <c r="S162" s="11602" t="n"/>
      <c r="T162" s="11602" t="n"/>
      <c r="U162" s="11602" t="n"/>
      <c r="V162" s="11602" t="n"/>
      <c r="W162" s="11602" t="n"/>
      <c r="X162" s="11602" t="n"/>
      <c r="Y162" s="11602" t="n"/>
      <c r="Z162" s="11602" t="n"/>
      <c r="AA162" s="11602" t="n"/>
      <c r="AB162" s="11602" t="n"/>
      <c r="AC162" s="408" t="n"/>
      <c r="AD162" s="409" t="n"/>
      <c r="AE162" s="11602" t="n"/>
      <c r="AF162" s="11602" t="n"/>
      <c r="AG162" s="11602" t="n"/>
      <c r="AH162" s="11602" t="n"/>
      <c r="AI162" s="11602" t="n"/>
      <c r="AJ162" s="11602" t="n"/>
      <c r="AK162" s="2013" t="n"/>
      <c r="AL162" s="2014" t="inlineStr">
        <is>
          <t>qualifying period that fall within your</t>
        </is>
      </c>
      <c r="BL162" s="2027" t="n"/>
      <c r="BM162" s="2027" t="n"/>
    </row>
    <row r="163" ht="15" customHeight="1" s="7635" thickBot="1">
      <c r="A163" s="2013" t="n"/>
      <c r="B163" s="11602" t="n"/>
      <c r="C163" s="734" t="inlineStr">
        <is>
          <t>39</t>
        </is>
      </c>
      <c r="D163" s="2092" t="inlineStr">
        <is>
          <t>h</t>
        </is>
      </c>
      <c r="E163" s="8650">
        <f>"If line 38 and number of days in your "&amp;TaxYear&amp;" tax year (usually "&amp;TEXT(DaysInTaxYear,"0")&amp;") are the same, enter “1.000.”"</f>
        <v/>
      </c>
      <c r="F163" s="11602" t="n"/>
      <c r="G163" s="11602" t="n"/>
      <c r="H163" s="11602" t="n"/>
      <c r="I163" s="11602" t="n"/>
      <c r="J163" s="11602" t="n"/>
      <c r="K163" s="11602" t="n"/>
      <c r="L163" s="11602" t="n"/>
      <c r="M163" s="11602" t="n"/>
      <c r="N163" s="11602" t="n"/>
      <c r="O163" s="11602" t="n"/>
      <c r="P163" s="11602" t="n"/>
      <c r="Q163" s="11602" t="n"/>
      <c r="R163" s="11602" t="n"/>
      <c r="S163" s="11602" t="n"/>
      <c r="T163" s="11602" t="n"/>
      <c r="U163" s="11602" t="n"/>
      <c r="V163" s="11602" t="n"/>
      <c r="W163" s="11602" t="n"/>
      <c r="X163" s="11602" t="n"/>
      <c r="Y163" s="11602" t="n"/>
      <c r="Z163" s="11602" t="n"/>
      <c r="AA163" s="11602" t="n"/>
      <c r="AB163" s="11602" t="n"/>
      <c r="AC163" s="408" t="n"/>
      <c r="AD163" s="409" t="n"/>
      <c r="AE163" s="11602" t="n"/>
      <c r="AF163" s="11602" t="n"/>
      <c r="AG163" s="11602" t="n"/>
      <c r="AH163" s="11602" t="n"/>
      <c r="AI163" s="11602" t="n"/>
      <c r="AJ163" s="11602" t="n"/>
      <c r="AK163" s="2013" t="n"/>
      <c r="AL163" s="2014">
        <f>TaxYear&amp;" tax year."</f>
        <v/>
      </c>
      <c r="BL163" s="2027" t="n"/>
      <c r="BM163" s="2027" t="n"/>
    </row>
    <row r="164" ht="15" customHeight="1" s="7635" thickBot="1">
      <c r="A164" s="2013" t="n"/>
      <c r="B164" s="11602" t="n"/>
      <c r="C164" s="11602" t="n"/>
      <c r="D164" s="2092" t="inlineStr">
        <is>
          <t>h</t>
        </is>
      </c>
      <c r="E164" s="8650">
        <f>"Otherwise, divide line 38 by the number of days in your "&amp;TaxYear&amp;" tax year and enter the result as"</f>
        <v/>
      </c>
      <c r="F164" s="11602" t="n"/>
      <c r="G164" s="11602" t="n"/>
      <c r="H164" s="11602" t="n"/>
      <c r="I164" s="11602" t="n"/>
      <c r="J164" s="11602" t="n"/>
      <c r="K164" s="11602" t="n"/>
      <c r="L164" s="11602" t="n"/>
      <c r="M164" s="11602" t="n"/>
      <c r="N164" s="11602" t="n"/>
      <c r="O164" s="11602" t="n"/>
      <c r="P164" s="11602" t="n"/>
      <c r="Q164" s="11602" t="n"/>
      <c r="R164" s="11602" t="n"/>
      <c r="S164" s="11602" t="n"/>
      <c r="T164" s="11602" t="n"/>
      <c r="U164" s="11602" t="n"/>
      <c r="V164" s="11602" t="n"/>
      <c r="W164" s="11602" t="n"/>
      <c r="X164" s="11602" t="n"/>
      <c r="Y164" s="11602" t="n"/>
      <c r="Z164" s="11602" t="n"/>
      <c r="AA164" s="11602" t="n"/>
      <c r="AB164" s="11602" t="n"/>
      <c r="AC164" s="5372" t="n">
        <v>39</v>
      </c>
      <c r="AD164" s="7638" t="n"/>
      <c r="AE164" s="2088" t="n"/>
      <c r="AF164" s="2088" t="n"/>
      <c r="AG164" s="2089" t="inlineStr">
        <is>
          <t>X</t>
        </is>
      </c>
      <c r="AH164" s="12449">
        <f>IF(AND(AM161="",AM164=""),1,IF(ISERROR(X161/AM164),"",ROUND(X161/AM164,3)))</f>
        <v/>
      </c>
      <c r="AI164" s="7637" t="n"/>
      <c r="AJ164" s="7637" t="n"/>
      <c r="AK164" s="2013" t="n"/>
      <c r="AM164" s="1316">
        <f>DaysInTaxYear</f>
        <v/>
      </c>
      <c r="AN164" s="2014">
        <f>"No. of days in your "</f>
        <v/>
      </c>
      <c r="BL164" s="2027" t="n"/>
      <c r="BM164" s="2027" t="n"/>
    </row>
    <row r="165" ht="15" customHeight="1" s="7635">
      <c r="A165" s="2013" t="n"/>
      <c r="B165" s="11602" t="n"/>
      <c r="C165" s="11602" t="n"/>
      <c r="D165" s="11602" t="n"/>
      <c r="E165" s="8650" t="inlineStr">
        <is>
          <t>a decimal (rounded to at least three places).</t>
        </is>
      </c>
      <c r="F165" s="11602" t="n"/>
      <c r="G165" s="11602" t="n"/>
      <c r="H165" s="11602" t="n"/>
      <c r="I165" s="11602" t="n"/>
      <c r="J165" s="11602" t="n"/>
      <c r="K165" s="11602" t="n"/>
      <c r="L165" s="11602" t="n"/>
      <c r="M165" s="11602" t="n"/>
      <c r="N165" s="11602" t="n"/>
      <c r="O165" s="11602" t="n"/>
      <c r="P165" s="11602" t="n"/>
      <c r="Q165" s="11602" t="n"/>
      <c r="R165" s="11602" t="n"/>
      <c r="S165" s="11602" t="n"/>
      <c r="T165" s="11602" t="n"/>
      <c r="U165" s="11602" t="n"/>
      <c r="V165" s="11602" t="n"/>
      <c r="W165" s="11602" t="n"/>
      <c r="X165" s="11602" t="n"/>
      <c r="Y165" s="11602" t="n"/>
      <c r="Z165" s="11602" t="n"/>
      <c r="AA165" s="11602" t="n"/>
      <c r="AB165" s="11602" t="n"/>
      <c r="AC165" s="2898" t="n"/>
      <c r="AD165" s="10091" t="n"/>
      <c r="AE165" s="8998" t="n"/>
      <c r="AF165" s="7839" t="n"/>
      <c r="AG165" s="9766" t="n"/>
      <c r="AH165" s="7839" t="n"/>
      <c r="AI165" s="9766" t="n"/>
      <c r="AJ165" s="7839" t="n"/>
      <c r="AK165" s="2013" t="n"/>
      <c r="AN165" s="2014">
        <f>TaxYear&amp;" tax year."</f>
        <v/>
      </c>
      <c r="BL165" s="2027" t="n"/>
      <c r="BM165" s="2027" t="n"/>
    </row>
    <row r="166" ht="15" customHeight="1" s="7635">
      <c r="A166" s="2013" t="n"/>
      <c r="B166" s="11602" t="n"/>
      <c r="C166" s="734" t="inlineStr">
        <is>
          <t>40</t>
        </is>
      </c>
      <c r="D166" s="8650" t="inlineStr">
        <is>
          <t>Multiply line 37 by line 39</t>
        </is>
      </c>
      <c r="E166" s="11602" t="n"/>
      <c r="F166" s="11602" t="n"/>
      <c r="G166" s="11602" t="n"/>
      <c r="H166" s="11602" t="n"/>
      <c r="I166" s="11602" t="n"/>
      <c r="J166" s="11602" t="n"/>
      <c r="K166" s="11602" t="n"/>
      <c r="L166" s="11602" t="n"/>
      <c r="M166" s="11602" t="n"/>
      <c r="N166" s="11602" t="n"/>
      <c r="O166" s="11602" t="n"/>
      <c r="P166" s="11602" t="n"/>
      <c r="Q166" s="11602" t="n"/>
      <c r="R166" s="11602" t="n"/>
      <c r="S166" s="11602" t="n"/>
      <c r="T166" s="11602" t="n"/>
      <c r="U166" s="11602" t="n"/>
      <c r="V166" s="11602" t="n"/>
      <c r="W166" s="11602" t="n"/>
      <c r="X166" s="11602" t="n"/>
      <c r="Y166" s="11602" t="n"/>
      <c r="Z166" s="11602" t="n"/>
      <c r="AA166" s="11602" t="n"/>
      <c r="AB166" s="2031" t="inlineStr">
        <is>
          <t xml:space="preserve">.   .   .   .   .   .   .   .   .   .   .   .   .   .   .   .   .   .   .   .   .   .   .   .   .   .   .   .   .   .   . </t>
        </is>
      </c>
      <c r="AC166" s="5372" t="n">
        <v>40</v>
      </c>
      <c r="AD166" s="7638" t="n"/>
      <c r="AE166" s="9758">
        <f>IF(OR(ForeignEarnedIncome1=0,AH164=""),"",ROUND(AE159*AH164,0))</f>
        <v/>
      </c>
      <c r="AF166" s="7637" t="n"/>
      <c r="AG166" s="7637" t="n"/>
      <c r="AH166" s="7637" t="n"/>
      <c r="AI166" s="7637" t="n"/>
      <c r="AJ166" s="7637" t="n"/>
      <c r="AK166" s="2013" t="n"/>
      <c r="BL166" s="2027" t="n"/>
      <c r="BM166" s="2027" t="n"/>
    </row>
    <row r="167" ht="15" customHeight="1" s="7635" thickBot="1">
      <c r="A167" s="2013" t="n"/>
      <c r="B167" s="11602" t="n"/>
      <c r="C167" s="734" t="inlineStr">
        <is>
          <t>41</t>
        </is>
      </c>
      <c r="D167" s="8650" t="inlineStr">
        <is>
          <t>Subtract line 36 from line 27</t>
        </is>
      </c>
      <c r="E167" s="11602" t="n"/>
      <c r="F167" s="11602" t="n"/>
      <c r="G167" s="11602" t="n"/>
      <c r="H167" s="11602" t="n"/>
      <c r="I167" s="11602" t="n"/>
      <c r="J167" s="11602" t="n"/>
      <c r="K167" s="11602" t="n"/>
      <c r="L167" s="11602" t="n"/>
      <c r="M167" s="11602" t="n"/>
      <c r="N167" s="11602" t="n"/>
      <c r="O167" s="11602" t="n"/>
      <c r="P167" s="11602" t="n"/>
      <c r="Q167" s="11602" t="n"/>
      <c r="R167" s="11602" t="n"/>
      <c r="S167" s="11602" t="n"/>
      <c r="T167" s="11602" t="n"/>
      <c r="U167" s="11602" t="n"/>
      <c r="V167" s="11602" t="n"/>
      <c r="W167" s="11602" t="n"/>
      <c r="X167" s="11602" t="n"/>
      <c r="Y167" s="11602" t="n"/>
      <c r="Z167" s="11602" t="n"/>
      <c r="AA167" s="11602" t="n"/>
      <c r="AB167" s="2031" t="inlineStr">
        <is>
          <t xml:space="preserve">.   .   .   .   .   .   .   .   .   .   .   .   .   .   .   .   .   .   .   .   .   .   .   .   .   .   .   .   .   . </t>
        </is>
      </c>
      <c r="AC167" s="5372" t="n">
        <v>41</v>
      </c>
      <c r="AD167" s="7638" t="n"/>
      <c r="AE167" s="9758">
        <f>IF(OR(ForeignEarnedIncome1=0,AH164=""),"",SUM(ForeignEarnedIncome1,-AE156))</f>
        <v/>
      </c>
      <c r="AF167" s="7637" t="n"/>
      <c r="AG167" s="7637" t="n"/>
      <c r="AH167" s="7637" t="n"/>
      <c r="AI167" s="7637" t="n"/>
      <c r="AJ167" s="7637" t="n"/>
      <c r="AK167" s="2013" t="n"/>
      <c r="AM167" s="7914" t="inlineStr">
        <is>
          <t>Override</t>
        </is>
      </c>
      <c r="BL167" s="2027" t="n"/>
      <c r="BM167" s="2027" t="n"/>
    </row>
    <row r="168" ht="15" customHeight="1" s="7635" thickBot="1">
      <c r="A168" s="2013" t="n"/>
      <c r="B168" s="11602" t="n"/>
      <c r="C168" s="734" t="inlineStr">
        <is>
          <t>42</t>
        </is>
      </c>
      <c r="D168" s="8650" t="inlineStr">
        <is>
          <t>Foreign earned income exclusion. Enter the smaller of line 40 or line 41. Also, complete Part VIII</t>
        </is>
      </c>
      <c r="E168" s="11602" t="n"/>
      <c r="F168" s="11602" t="n"/>
      <c r="G168" s="11602" t="n"/>
      <c r="H168" s="11602" t="n"/>
      <c r="I168" s="11602" t="n"/>
      <c r="J168" s="11602" t="n"/>
      <c r="K168" s="11602" t="n"/>
      <c r="L168" s="11602" t="n"/>
      <c r="M168" s="11602" t="n"/>
      <c r="N168" s="11602" t="n"/>
      <c r="O168" s="11602" t="n"/>
      <c r="P168" s="11602" t="n"/>
      <c r="Q168" s="11602" t="n"/>
      <c r="R168" s="11602" t="n"/>
      <c r="S168" s="11602" t="n"/>
      <c r="T168" s="11602" t="n"/>
      <c r="U168" s="11602" t="n"/>
      <c r="V168" s="11602" t="n"/>
      <c r="W168" s="11602" t="n"/>
      <c r="X168" s="11602" t="n"/>
      <c r="Y168" s="11602" t="n"/>
      <c r="Z168" s="11602" t="n"/>
      <c r="AA168" s="11602" t="n"/>
      <c r="AB168" s="2031" t="inlineStr">
        <is>
          <t xml:space="preserve">. </t>
        </is>
      </c>
      <c r="AC168" s="5890" t="n">
        <v>42</v>
      </c>
      <c r="AD168" s="7636" t="n"/>
      <c r="AE168" s="9776">
        <f>IF(AM168&lt;&gt;"",ROUND(AM168,0),IF(AH164="","",IF(AE167="",0,MIN(AE166,AE167))))</f>
        <v/>
      </c>
      <c r="AK168" s="2013" t="n"/>
      <c r="AM168" s="440" t="n"/>
      <c r="BL168" s="2027" t="n"/>
      <c r="BM168" s="2027" t="n"/>
    </row>
    <row r="169" ht="21.75" customHeight="1" s="7635">
      <c r="A169" s="2013" t="n"/>
      <c r="B169" s="2097" t="inlineStr">
        <is>
          <t>Part VIII</t>
        </is>
      </c>
      <c r="C169" s="2098" t="n"/>
      <c r="D169" s="2090" t="inlineStr">
        <is>
          <t>Taxpayers Claiming the Housing Exclusion, Foreign Earned Income Exclusion, or Both</t>
        </is>
      </c>
      <c r="E169" s="2091" t="n"/>
      <c r="F169" s="2091" t="n"/>
      <c r="G169" s="2091" t="n"/>
      <c r="H169" s="2091" t="n"/>
      <c r="I169" s="2091" t="n"/>
      <c r="J169" s="2091" t="n"/>
      <c r="K169" s="2091" t="n"/>
      <c r="L169" s="2091" t="n"/>
      <c r="M169" s="2091" t="n"/>
      <c r="N169" s="2091" t="n"/>
      <c r="O169" s="2091" t="n"/>
      <c r="P169" s="2091" t="n"/>
      <c r="Q169" s="2091" t="n"/>
      <c r="R169" s="2091" t="n"/>
      <c r="S169" s="2091" t="n"/>
      <c r="T169" s="2091" t="n"/>
      <c r="U169" s="2091" t="n"/>
      <c r="V169" s="2091" t="n"/>
      <c r="W169" s="2091" t="n"/>
      <c r="X169" s="2091" t="n"/>
      <c r="Y169" s="2091" t="n"/>
      <c r="Z169" s="2091" t="n"/>
      <c r="AA169" s="2091" t="n"/>
      <c r="AB169" s="2091" t="n"/>
      <c r="AC169" s="2091" t="n"/>
      <c r="AD169" s="2091" t="n"/>
      <c r="AE169" s="2091" t="n"/>
      <c r="AF169" s="2091" t="n"/>
      <c r="AG169" s="2091" t="n"/>
      <c r="AH169" s="2091" t="n"/>
      <c r="AI169" s="2091" t="n"/>
      <c r="AJ169" s="2091" t="n"/>
      <c r="AK169" s="2013" t="n"/>
    </row>
    <row r="170" ht="15" customHeight="1" s="7635">
      <c r="A170" s="2013" t="n"/>
      <c r="B170" s="11602" t="n"/>
      <c r="C170" s="734" t="inlineStr">
        <is>
          <t>43</t>
        </is>
      </c>
      <c r="D170" s="8650" t="inlineStr">
        <is>
          <t>Add lines 36 and 42</t>
        </is>
      </c>
      <c r="E170" s="11602" t="n"/>
      <c r="F170" s="11602" t="n"/>
      <c r="G170" s="11602" t="n"/>
      <c r="H170" s="11602" t="n"/>
      <c r="I170" s="11602" t="n"/>
      <c r="J170" s="11602" t="n"/>
      <c r="K170" s="11602" t="n"/>
      <c r="L170" s="11602" t="n"/>
      <c r="M170" s="11602" t="n"/>
      <c r="N170" s="11602" t="n"/>
      <c r="O170" s="11602" t="n"/>
      <c r="P170" s="11602" t="n"/>
      <c r="Q170" s="11602" t="n"/>
      <c r="R170" s="11602" t="n"/>
      <c r="S170" s="11602" t="n"/>
      <c r="T170" s="11602" t="n"/>
      <c r="U170" s="11602" t="n"/>
      <c r="V170" s="11602" t="n"/>
      <c r="W170" s="11602" t="n"/>
      <c r="X170" s="11602" t="n"/>
      <c r="Y170" s="11602" t="n"/>
      <c r="Z170" s="11602" t="n"/>
      <c r="AA170" s="11602" t="n"/>
      <c r="AB170" s="2031" t="inlineStr">
        <is>
          <t xml:space="preserve">.   .   .   .   .   .   .   .   .   .   .   .   .   .   .   .   .   .   .   .   .   .   .   .   .   .   .   .   .   .   .   .   . </t>
        </is>
      </c>
      <c r="AC170" s="5372" t="n">
        <v>43</v>
      </c>
      <c r="AD170" s="7638" t="n"/>
      <c r="AE170" s="9758">
        <f>SUM(AO155,AE168)</f>
        <v/>
      </c>
      <c r="AF170" s="7637" t="n"/>
      <c r="AG170" s="7637" t="n"/>
      <c r="AH170" s="7637" t="n"/>
      <c r="AI170" s="7637" t="n"/>
      <c r="AJ170" s="7637" t="n"/>
      <c r="AK170" s="2013" t="n"/>
      <c r="AO170" s="2083">
        <f>IF(AE170="",0,AE170)</f>
        <v/>
      </c>
      <c r="BL170" s="2027" t="n"/>
      <c r="BM170" s="2027" t="n"/>
    </row>
    <row r="171" ht="15" customHeight="1" s="7635">
      <c r="A171" s="2013" t="n"/>
      <c r="B171" s="11602" t="n"/>
      <c r="C171" s="734" t="inlineStr">
        <is>
          <t>44</t>
        </is>
      </c>
      <c r="D171" s="8650" t="inlineStr">
        <is>
          <t>Deductions allowed in figuring your adjusted gross income (Form 1040 or 1040-SR, line 11) that</t>
        </is>
      </c>
      <c r="E171" s="11602" t="n"/>
      <c r="F171" s="11602" t="n"/>
      <c r="G171" s="11602" t="n"/>
      <c r="H171" s="11602" t="n"/>
      <c r="I171" s="11602" t="n"/>
      <c r="J171" s="11602" t="n"/>
      <c r="K171" s="11602" t="n"/>
      <c r="L171" s="11602" t="n"/>
      <c r="M171" s="11602" t="n"/>
      <c r="N171" s="11602" t="n"/>
      <c r="O171" s="11602" t="n"/>
      <c r="P171" s="11602" t="n"/>
      <c r="Q171" s="11602" t="n"/>
      <c r="R171" s="11602" t="n"/>
      <c r="S171" s="11602" t="n"/>
      <c r="T171" s="11602" t="n"/>
      <c r="U171" s="11602" t="n"/>
      <c r="V171" s="11602" t="n"/>
      <c r="W171" s="11602" t="n"/>
      <c r="X171" s="11602" t="n"/>
      <c r="Y171" s="11602" t="n"/>
      <c r="Z171" s="11602" t="n"/>
      <c r="AA171" s="11602" t="n"/>
      <c r="AB171" s="11602" t="n"/>
      <c r="AC171" s="2898" t="n"/>
      <c r="AD171" s="10091" t="n"/>
      <c r="AE171" s="8998" t="n"/>
      <c r="AF171" s="7839" t="n"/>
      <c r="AG171" s="9766" t="n"/>
      <c r="AH171" s="7839" t="n"/>
      <c r="AI171" s="9766" t="n"/>
      <c r="AJ171" s="7839" t="n"/>
      <c r="AK171" s="2013" t="n"/>
      <c r="AM171" s="9783">
        <f>IF(F2555_Line45_1&gt;FEI_Exclusion_Limit,"IMPORTANT NOTE: For "&amp;TaxYear&amp;", the FEI exclusion is limited to "&amp;TEXT(FEI_Exclusion_Limit,"$0,000")&amp;".","")</f>
        <v/>
      </c>
      <c r="BL171" s="2027" t="n"/>
      <c r="BM171" s="2027" t="n"/>
    </row>
    <row r="172" ht="15" customHeight="1" s="7635">
      <c r="A172" s="2013" t="n"/>
      <c r="B172" s="11602" t="n"/>
      <c r="C172" s="11602" t="n"/>
      <c r="D172" s="8650" t="inlineStr">
        <is>
          <t>are allocable to the excluded income. See instructions and attach computation</t>
        </is>
      </c>
      <c r="E172" s="11602" t="n"/>
      <c r="F172" s="11602" t="n"/>
      <c r="G172" s="11602" t="n"/>
      <c r="H172" s="11602" t="n"/>
      <c r="I172" s="11602" t="n"/>
      <c r="J172" s="11602" t="n"/>
      <c r="K172" s="11602" t="n"/>
      <c r="L172" s="11602" t="n"/>
      <c r="M172" s="11602" t="n"/>
      <c r="N172" s="11602" t="n"/>
      <c r="O172" s="11602" t="n"/>
      <c r="P172" s="11602" t="n"/>
      <c r="Q172" s="11602" t="n"/>
      <c r="R172" s="11602" t="n"/>
      <c r="S172" s="11602" t="n"/>
      <c r="T172" s="11602" t="n"/>
      <c r="U172" s="11602" t="n"/>
      <c r="V172" s="11602" t="n"/>
      <c r="W172" s="11602" t="n"/>
      <c r="X172" s="11602" t="n"/>
      <c r="Y172" s="11602" t="n"/>
      <c r="Z172" s="11602" t="n"/>
      <c r="AA172" s="11602" t="n"/>
      <c r="AB172" s="2031" t="inlineStr">
        <is>
          <t xml:space="preserve">.   .   .   .   .   .   .   .   . </t>
        </is>
      </c>
      <c r="AC172" s="5372" t="n">
        <v>44</v>
      </c>
      <c r="AD172" s="7638" t="n"/>
      <c r="AE172" s="9763" t="n"/>
      <c r="AF172" s="11717" t="n"/>
      <c r="AG172" s="11717" t="n"/>
      <c r="AH172" s="11717" t="n"/>
      <c r="AI172" s="11717" t="n"/>
      <c r="AJ172" s="11717" t="n"/>
      <c r="AK172" s="2013" t="n"/>
      <c r="BL172" s="2027" t="n"/>
      <c r="BM172" s="2027" t="n"/>
    </row>
    <row r="173" ht="15" customHeight="1" s="7635">
      <c r="A173" s="2013" t="n"/>
      <c r="B173" s="11602" t="n"/>
      <c r="C173" s="734" t="inlineStr">
        <is>
          <t>45</t>
        </is>
      </c>
      <c r="D173" s="8650" t="inlineStr">
        <is>
          <t>Subtract line 44 from line 43. Enter the result here and in parentheses on Schedule 1 (Form 1040),</t>
        </is>
      </c>
      <c r="E173" s="11602" t="n"/>
      <c r="F173" s="11602" t="n"/>
      <c r="G173" s="11602" t="n"/>
      <c r="H173" s="11602" t="n"/>
      <c r="I173" s="11602" t="n"/>
      <c r="J173" s="11602" t="n"/>
      <c r="K173" s="11602" t="n"/>
      <c r="L173" s="11602" t="n"/>
      <c r="M173" s="11602" t="n"/>
      <c r="N173" s="11602" t="n"/>
      <c r="O173" s="11602" t="n"/>
      <c r="P173" s="11602" t="n"/>
      <c r="Q173" s="11602" t="n"/>
      <c r="R173" s="11602" t="n"/>
      <c r="S173" s="11602" t="n"/>
      <c r="T173" s="11602" t="n"/>
      <c r="U173" s="11602" t="n"/>
      <c r="V173" s="11602" t="n"/>
      <c r="W173" s="11602" t="n"/>
      <c r="X173" s="11602" t="n"/>
      <c r="Y173" s="11602" t="n"/>
      <c r="Z173" s="11602" t="n"/>
      <c r="AA173" s="11602" t="n"/>
      <c r="AB173" s="11602" t="n"/>
      <c r="AC173" s="2898" t="n"/>
      <c r="AD173" s="10091" t="n"/>
      <c r="AE173" s="12451">
        <f>IF(AO4,$AE$170,0)</f>
        <v/>
      </c>
      <c r="AF173" s="7839" t="n"/>
      <c r="AG173" s="7839" t="n"/>
      <c r="AH173" s="7839" t="n"/>
      <c r="AI173" s="7839" t="n"/>
      <c r="AJ173" s="7839" t="n"/>
      <c r="AK173" s="2013" t="n"/>
      <c r="BL173" s="2027" t="n"/>
      <c r="BM173" s="2027" t="n"/>
    </row>
    <row r="174" ht="15" customHeight="1" s="7635" thickBot="1">
      <c r="A174" s="2013" t="n"/>
      <c r="B174" s="11602" t="n"/>
      <c r="C174" s="11602" t="n"/>
      <c r="D174" s="8650" t="inlineStr">
        <is>
          <t>line 8d. Complete the Foreign Earned Income Tax Worksheet in the Instructions for Form 1040 if</t>
        </is>
      </c>
      <c r="E174" s="11602" t="n"/>
      <c r="F174" s="11602" t="n"/>
      <c r="G174" s="11602" t="n"/>
      <c r="H174" s="11602" t="n"/>
      <c r="I174" s="11602" t="n"/>
      <c r="J174" s="11602" t="n"/>
      <c r="K174" s="11602" t="n"/>
      <c r="L174" s="11602" t="n"/>
      <c r="M174" s="11602" t="n"/>
      <c r="N174" s="11602" t="n"/>
      <c r="O174" s="11602" t="n"/>
      <c r="P174" s="11602" t="n"/>
      <c r="Q174" s="11602" t="n"/>
      <c r="R174" s="11602" t="n"/>
      <c r="S174" s="11602" t="n"/>
      <c r="T174" s="11602" t="n"/>
      <c r="U174" s="11602" t="n"/>
      <c r="V174" s="11602" t="n"/>
      <c r="W174" s="11602" t="n"/>
      <c r="X174" s="11602" t="n"/>
      <c r="Y174" s="11602" t="n"/>
      <c r="Z174" s="11602" t="n"/>
      <c r="AA174" s="11602" t="n"/>
      <c r="AB174" s="11602" t="n"/>
      <c r="AC174" s="2921" t="n"/>
      <c r="AD174" s="7636" t="n"/>
      <c r="AE174" s="12452">
        <f>IF(AND(NOT(AO4),AO5),$AE$170,0)</f>
        <v/>
      </c>
      <c r="AK174" s="2013" t="n"/>
      <c r="AM174" s="7914" t="inlineStr">
        <is>
          <t>Override</t>
        </is>
      </c>
      <c r="BL174" s="2027" t="n"/>
      <c r="BM174" s="2027" t="n"/>
    </row>
    <row r="175" ht="15" customHeight="1" s="7635" thickBot="1">
      <c r="A175" s="2013" t="n"/>
      <c r="B175" s="11602" t="n"/>
      <c r="C175" s="11602" t="n"/>
      <c r="D175" s="8650" t="inlineStr">
        <is>
          <t>you enter an amount on this line</t>
        </is>
      </c>
      <c r="E175" s="11602" t="n"/>
      <c r="F175" s="11602" t="n"/>
      <c r="G175" s="11602" t="n"/>
      <c r="H175" s="11602" t="n"/>
      <c r="I175" s="11602" t="n"/>
      <c r="J175" s="11602" t="n"/>
      <c r="K175" s="11602" t="n"/>
      <c r="L175" s="11602" t="n"/>
      <c r="M175" s="11602" t="n"/>
      <c r="N175" s="11602" t="n"/>
      <c r="O175" s="11602" t="n"/>
      <c r="P175" s="11602" t="n"/>
      <c r="Q175" s="11602" t="n"/>
      <c r="R175" s="11602" t="n"/>
      <c r="S175" s="11602" t="n"/>
      <c r="T175" s="11602" t="n"/>
      <c r="U175" s="11602" t="n"/>
      <c r="V175" s="11602" t="n"/>
      <c r="W175" s="11602" t="n"/>
      <c r="X175" s="11602" t="n"/>
      <c r="Y175" s="11602" t="n"/>
      <c r="Z175" s="11602" t="n"/>
      <c r="AA175" s="11602" t="n"/>
      <c r="AB175" s="2031" t="inlineStr">
        <is>
          <t xml:space="preserve">.   .   .   .   .   .   .   .   .   .   .   .   .   .   .   .   .   .   .   .   . </t>
        </is>
      </c>
      <c r="AC175" s="5372" t="n">
        <v>45</v>
      </c>
      <c r="AD175" s="7638" t="n"/>
      <c r="AE175" s="9758">
        <f>IF(AM175&lt;&gt;"",ROUND(AM175,0),IF(AE170=0,0,SUM(AE170,-AE172)))</f>
        <v/>
      </c>
      <c r="AF175" s="7637" t="n"/>
      <c r="AG175" s="7637" t="n"/>
      <c r="AH175" s="7637" t="n"/>
      <c r="AI175" s="7637" t="n"/>
      <c r="AJ175" s="7637" t="n"/>
      <c r="AK175" s="2013" t="n"/>
      <c r="AM175" s="449" t="n"/>
      <c r="AO175" s="2083">
        <f t="array" ref="AO175">IF(F2555_Line45_1="",0,F2555_Line45)</f>
        <v/>
      </c>
      <c r="BL175" s="2027" t="n"/>
      <c r="BM175" s="2027" t="n"/>
    </row>
    <row r="176" ht="7.5" customHeight="1" s="7635">
      <c r="A176" s="2013" t="n"/>
      <c r="B176" s="2036" t="n"/>
      <c r="C176" s="2036" t="n"/>
      <c r="D176" s="12453" t="inlineStr">
        <is>
          <t>Taxpayers Claiming the Housing Deduction—Complete this part only if (a) line 33 is more than line 36, and
(b) line 27 is more than line 43.</t>
        </is>
      </c>
      <c r="E176" s="7839" t="n"/>
      <c r="F176" s="7839" t="n"/>
      <c r="G176" s="7839" t="n"/>
      <c r="H176" s="7839" t="n"/>
      <c r="I176" s="7839" t="n"/>
      <c r="J176" s="7839" t="n"/>
      <c r="K176" s="7839" t="n"/>
      <c r="L176" s="7839" t="n"/>
      <c r="M176" s="7839" t="n"/>
      <c r="N176" s="7839" t="n"/>
      <c r="O176" s="7839" t="n"/>
      <c r="P176" s="7839" t="n"/>
      <c r="Q176" s="7839" t="n"/>
      <c r="R176" s="7839" t="n"/>
      <c r="S176" s="7839" t="n"/>
      <c r="T176" s="7839" t="n"/>
      <c r="U176" s="7839" t="n"/>
      <c r="V176" s="7839" t="n"/>
      <c r="W176" s="7839" t="n"/>
      <c r="X176" s="7839" t="n"/>
      <c r="Y176" s="7839" t="n"/>
      <c r="Z176" s="7839" t="n"/>
      <c r="AA176" s="7839" t="n"/>
      <c r="AB176" s="7839" t="n"/>
      <c r="AC176" s="7839" t="n"/>
      <c r="AD176" s="7839" t="n"/>
      <c r="AE176" s="7839" t="n"/>
      <c r="AF176" s="7839" t="n"/>
      <c r="AG176" s="7839" t="n"/>
      <c r="AH176" s="7839" t="n"/>
      <c r="AI176" s="7839" t="n"/>
      <c r="AJ176" s="7839" t="n"/>
      <c r="AK176" s="2013" t="n"/>
    </row>
    <row r="177" ht="15" customHeight="1" s="7635">
      <c r="A177" s="2013" t="n"/>
      <c r="B177" s="9775" t="inlineStr">
        <is>
          <t>Part IX</t>
        </is>
      </c>
      <c r="C177" s="8412" t="n"/>
      <c r="AK177" s="2013" t="n"/>
      <c r="AM177" s="2099">
        <f>AND(AO150&gt;AO155,ForeignEarnedIncome1&gt;AO170)</f>
        <v/>
      </c>
    </row>
    <row r="178" ht="7.5" customHeight="1" s="7635">
      <c r="A178" s="2013" t="n"/>
      <c r="B178" s="1999" t="n"/>
      <c r="C178" s="1999" t="n"/>
      <c r="D178" s="7637" t="n"/>
      <c r="E178" s="7637" t="n"/>
      <c r="F178" s="7637" t="n"/>
      <c r="G178" s="7637" t="n"/>
      <c r="H178" s="7637" t="n"/>
      <c r="I178" s="7637" t="n"/>
      <c r="J178" s="7637" t="n"/>
      <c r="K178" s="7637" t="n"/>
      <c r="L178" s="7637" t="n"/>
      <c r="M178" s="7637" t="n"/>
      <c r="N178" s="7637" t="n"/>
      <c r="O178" s="7637" t="n"/>
      <c r="P178" s="7637" t="n"/>
      <c r="Q178" s="7637" t="n"/>
      <c r="R178" s="7637" t="n"/>
      <c r="S178" s="7637" t="n"/>
      <c r="T178" s="7637" t="n"/>
      <c r="U178" s="7637" t="n"/>
      <c r="V178" s="7637" t="n"/>
      <c r="W178" s="7637" t="n"/>
      <c r="X178" s="7637" t="n"/>
      <c r="Y178" s="7637" t="n"/>
      <c r="Z178" s="7637" t="n"/>
      <c r="AA178" s="7637" t="n"/>
      <c r="AB178" s="7637" t="n"/>
      <c r="AC178" s="7637" t="n"/>
      <c r="AD178" s="7637" t="n"/>
      <c r="AE178" s="7637" t="n"/>
      <c r="AF178" s="7637" t="n"/>
      <c r="AG178" s="7637" t="n"/>
      <c r="AH178" s="7637" t="n"/>
      <c r="AI178" s="7637" t="n"/>
      <c r="AJ178" s="7637" t="n"/>
      <c r="AK178" s="2013" t="n"/>
    </row>
    <row r="179" ht="15" customHeight="1" s="7635">
      <c r="A179" s="2013" t="n"/>
      <c r="B179" s="11602" t="n"/>
      <c r="C179" s="734" t="inlineStr">
        <is>
          <t>46</t>
        </is>
      </c>
      <c r="D179" s="8650" t="inlineStr">
        <is>
          <t>Subtract line 36 from line 33</t>
        </is>
      </c>
      <c r="E179" s="11602" t="n"/>
      <c r="F179" s="11602" t="n"/>
      <c r="G179" s="11602" t="n"/>
      <c r="H179" s="11602" t="n"/>
      <c r="I179" s="11602" t="n"/>
      <c r="J179" s="11602" t="n"/>
      <c r="K179" s="11602" t="n"/>
      <c r="L179" s="11602" t="n"/>
      <c r="M179" s="11602" t="n"/>
      <c r="N179" s="11602" t="n"/>
      <c r="O179" s="11602" t="n"/>
      <c r="P179" s="11602" t="n"/>
      <c r="Q179" s="11602" t="n"/>
      <c r="R179" s="11602" t="n"/>
      <c r="S179" s="11602" t="n"/>
      <c r="T179" s="11602" t="n"/>
      <c r="U179" s="11602" t="n"/>
      <c r="V179" s="11602" t="n"/>
      <c r="W179" s="11602" t="n"/>
      <c r="X179" s="11602" t="n"/>
      <c r="Y179" s="11602" t="n"/>
      <c r="Z179" s="11602" t="n"/>
      <c r="AA179" s="11602" t="n"/>
      <c r="AB179" s="2031" t="inlineStr">
        <is>
          <t xml:space="preserve">.   .   .   .   .   .   .   .   .   .   .   .   .   .   .   .   .   .   .   .   .   .   .   .   .   .   .   .   . </t>
        </is>
      </c>
      <c r="AC179" s="5372" t="n">
        <v>46</v>
      </c>
      <c r="AD179" s="7638" t="n"/>
      <c r="AE179" s="9758">
        <f>IF(OR(AM150,NOT(AM177)),"",SUM(AO150,-AO155))</f>
        <v/>
      </c>
      <c r="AF179" s="7637" t="n"/>
      <c r="AG179" s="7637" t="n"/>
      <c r="AH179" s="7637" t="n"/>
      <c r="AI179" s="7637" t="n"/>
      <c r="AJ179" s="7637" t="n"/>
      <c r="AK179" s="2013" t="n"/>
      <c r="AM179" s="2014">
        <f>IF(F2555_Line45_1&gt;FEI_Exclusion_Limit,"For "&amp;TaxYear&amp;", the maximum","")</f>
        <v/>
      </c>
      <c r="BL179" s="2027" t="n"/>
      <c r="BM179" s="2027" t="n"/>
    </row>
    <row r="180" ht="15" customHeight="1" s="7635">
      <c r="A180" s="2013" t="n"/>
      <c r="B180" s="11602" t="n"/>
      <c r="C180" s="734" t="inlineStr">
        <is>
          <t>47</t>
        </is>
      </c>
      <c r="D180" s="8650" t="inlineStr">
        <is>
          <t>Subtract line 43 from line 27</t>
        </is>
      </c>
      <c r="E180" s="11602" t="n"/>
      <c r="F180" s="11602" t="n"/>
      <c r="G180" s="11602" t="n"/>
      <c r="H180" s="11602" t="n"/>
      <c r="I180" s="11602" t="n"/>
      <c r="J180" s="11602" t="n"/>
      <c r="K180" s="11602" t="n"/>
      <c r="L180" s="11602" t="n"/>
      <c r="M180" s="11602" t="n"/>
      <c r="N180" s="11602" t="n"/>
      <c r="O180" s="11602" t="n"/>
      <c r="P180" s="11602" t="n"/>
      <c r="Q180" s="11602" t="n"/>
      <c r="R180" s="11602" t="n"/>
      <c r="S180" s="11602" t="n"/>
      <c r="T180" s="11602" t="n"/>
      <c r="U180" s="11602" t="n"/>
      <c r="V180" s="11602" t="n"/>
      <c r="W180" s="11602" t="n"/>
      <c r="X180" s="11602" t="n"/>
      <c r="Y180" s="11602" t="n"/>
      <c r="Z180" s="11602" t="n"/>
      <c r="AA180" s="11602" t="n"/>
      <c r="AB180" s="2031" t="inlineStr">
        <is>
          <t xml:space="preserve">.   .   .   .   .   .   .   .   .   .   .   .   .   .   .   .   .   .   .   .   .   .   .   .   .   .   .   .   . </t>
        </is>
      </c>
      <c r="AC180" s="5372" t="n">
        <v>47</v>
      </c>
      <c r="AD180" s="7638" t="n"/>
      <c r="AE180" s="9758">
        <f>IF(OR(AM150,NOT(AM177)),"",SUM(ForeignEarnedIncome1,-AE170))</f>
        <v/>
      </c>
      <c r="AF180" s="7637" t="n"/>
      <c r="AG180" s="7637" t="n"/>
      <c r="AH180" s="7637" t="n"/>
      <c r="AI180" s="7637" t="n"/>
      <c r="AJ180" s="7637" t="n"/>
      <c r="AK180" s="2013" t="n"/>
      <c r="BL180" s="2027" t="n"/>
      <c r="BM180" s="2027" t="n"/>
    </row>
    <row r="181" ht="15" customHeight="1" s="7635">
      <c r="A181" s="2013" t="n"/>
      <c r="B181" s="11602" t="n"/>
      <c r="C181" s="734" t="inlineStr">
        <is>
          <t>48</t>
        </is>
      </c>
      <c r="D181" s="8650" t="inlineStr">
        <is>
          <t>Enter the smaller of line 46 or line 47</t>
        </is>
      </c>
      <c r="E181" s="11602" t="n"/>
      <c r="F181" s="11602" t="n"/>
      <c r="G181" s="11602" t="n"/>
      <c r="H181" s="11602" t="n"/>
      <c r="I181" s="11602" t="n"/>
      <c r="J181" s="11602" t="n"/>
      <c r="K181" s="11602" t="n"/>
      <c r="L181" s="11602" t="n"/>
      <c r="M181" s="11602" t="n"/>
      <c r="N181" s="11602" t="n"/>
      <c r="O181" s="11602" t="n"/>
      <c r="P181" s="11602" t="n"/>
      <c r="Q181" s="11602" t="n"/>
      <c r="R181" s="11602" t="n"/>
      <c r="S181" s="11602" t="n"/>
      <c r="T181" s="11602" t="n"/>
      <c r="U181" s="11602" t="n"/>
      <c r="V181" s="11602" t="n"/>
      <c r="W181" s="11602" t="n"/>
      <c r="X181" s="11602" t="n"/>
      <c r="Y181" s="11602" t="n"/>
      <c r="Z181" s="11602" t="n"/>
      <c r="AA181" s="11602" t="n"/>
      <c r="AB181" s="2031" t="inlineStr">
        <is>
          <t xml:space="preserve">.   .   .   .   .   .   .   .   .   .   .   .   .   .   .   .   .   .   .   .   .   .   .   .   .   . </t>
        </is>
      </c>
      <c r="AC181" s="5372" t="n">
        <v>48</v>
      </c>
      <c r="AD181" s="7638" t="n"/>
      <c r="AE181" s="9758">
        <f>IF(OR(AM150,NOT(AM177)),"",MIN(AE179,AE180))</f>
        <v/>
      </c>
      <c r="AF181" s="7637" t="n"/>
      <c r="AG181" s="7637" t="n"/>
      <c r="AH181" s="7637" t="n"/>
      <c r="AI181" s="7637" t="n"/>
      <c r="AJ181" s="7637" t="n"/>
      <c r="AK181" s="2013" t="n"/>
      <c r="BL181" s="2027" t="n"/>
      <c r="BM181" s="2027" t="n"/>
    </row>
    <row r="182" ht="15" customHeight="1" s="7635">
      <c r="A182" s="2013" t="n"/>
      <c r="B182" s="11602" t="n"/>
      <c r="C182" s="11602" t="n"/>
      <c r="D182" s="8650" t="inlineStr">
        <is>
          <t xml:space="preserve">Note:  If line 47 is more than line 48 and you couldn't  deduct </t>
        </is>
      </c>
      <c r="E182" s="11602" t="n"/>
      <c r="F182" s="9238" t="n"/>
      <c r="G182" s="11602" t="n"/>
      <c r="H182" s="11602" t="n"/>
      <c r="I182" s="11602" t="n"/>
      <c r="J182" s="11602" t="n"/>
      <c r="K182" s="11602" t="n"/>
      <c r="L182" s="11602" t="n"/>
      <c r="M182" s="11602" t="n"/>
      <c r="N182" s="11602" t="n"/>
      <c r="O182" s="11602" t="n"/>
      <c r="P182" s="11602" t="n"/>
      <c r="Q182" s="11602" t="n"/>
      <c r="R182" s="11602" t="n"/>
      <c r="S182" s="8650" t="n"/>
      <c r="T182" s="2100">
        <f>"all of your "&amp;TaxYear-1&amp;" housing deduction "</f>
        <v/>
      </c>
      <c r="U182" s="11602" t="n"/>
      <c r="V182" s="11602" t="n"/>
      <c r="W182" s="11602" t="n"/>
      <c r="X182" s="11602" t="n"/>
      <c r="Y182" s="11602" t="n"/>
      <c r="Z182" s="11602" t="n"/>
      <c r="AA182" s="11602" t="n"/>
      <c r="AB182" s="9892" t="n"/>
      <c r="AC182" s="12448" t="n"/>
      <c r="AD182" s="10091" t="n"/>
      <c r="AE182" s="8998" t="n"/>
      <c r="AF182" s="7839" t="n"/>
      <c r="AG182" s="9766" t="n"/>
      <c r="AH182" s="7839" t="n"/>
      <c r="AI182" s="9766" t="n"/>
      <c r="AJ182" s="7839" t="n"/>
      <c r="AK182" s="2013" t="n"/>
      <c r="BL182" s="2027" t="n"/>
      <c r="BM182" s="2027" t="n"/>
    </row>
    <row r="183" ht="15" customHeight="1" s="7635">
      <c r="A183" s="2013" t="n"/>
      <c r="B183" s="11602" t="n"/>
      <c r="C183" s="11602" t="n"/>
      <c r="D183" s="8650">
        <f>"because of the "&amp;TaxYear-1&amp;" limit, use the Housing Deduction Carryover Worksheet in the instructions to"</f>
        <v/>
      </c>
      <c r="E183" s="11602" t="n"/>
      <c r="F183" s="11602" t="n"/>
      <c r="G183" s="11602" t="n"/>
      <c r="H183" s="11602" t="n"/>
      <c r="I183" s="11602" t="n"/>
      <c r="J183" s="11602" t="n"/>
      <c r="K183" s="11602" t="n"/>
      <c r="L183" s="11602" t="n"/>
      <c r="M183" s="11602" t="n"/>
      <c r="N183" s="11602" t="n"/>
      <c r="O183" s="11602" t="n"/>
      <c r="P183" s="11602" t="n"/>
      <c r="Q183" s="11602" t="n"/>
      <c r="R183" s="11602" t="n"/>
      <c r="S183" s="11602" t="n"/>
      <c r="T183" s="11602" t="n"/>
      <c r="U183" s="11602" t="n"/>
      <c r="V183" s="11602" t="n"/>
      <c r="W183" s="11602" t="n"/>
      <c r="X183" s="11602" t="n"/>
      <c r="Y183" s="11602" t="n"/>
      <c r="Z183" s="11602" t="n"/>
      <c r="AA183" s="11602" t="n"/>
      <c r="AB183" s="11602" t="n"/>
      <c r="AC183" s="12454" t="n"/>
      <c r="AD183" s="7636" t="n"/>
      <c r="AE183" s="8977" t="n"/>
      <c r="AG183" s="7914" t="n"/>
      <c r="AI183" s="7914" t="n"/>
      <c r="AK183" s="2013" t="n"/>
      <c r="BL183" s="2027" t="n"/>
      <c r="BM183" s="2027" t="n"/>
    </row>
    <row r="184" ht="15" customHeight="1" s="7635">
      <c r="A184" s="2013" t="n"/>
      <c r="B184" s="11602" t="n"/>
      <c r="C184" s="11602" t="n"/>
      <c r="D184" s="8650" t="inlineStr">
        <is>
          <t>figure the amount to enter on line 49. Otherwise, go to line 50.</t>
        </is>
      </c>
      <c r="E184" s="11602" t="n"/>
      <c r="F184" s="11602" t="n"/>
      <c r="G184" s="11602" t="n"/>
      <c r="H184" s="11602" t="n"/>
      <c r="I184" s="11602" t="n"/>
      <c r="J184" s="11602" t="n"/>
      <c r="K184" s="11602" t="n"/>
      <c r="L184" s="11602" t="n"/>
      <c r="M184" s="11602" t="n"/>
      <c r="N184" s="11602" t="n"/>
      <c r="O184" s="11602" t="n"/>
      <c r="P184" s="11602" t="n"/>
      <c r="Q184" s="11602" t="n"/>
      <c r="R184" s="11602" t="n"/>
      <c r="S184" s="11602" t="n"/>
      <c r="T184" s="11602" t="n"/>
      <c r="U184" s="11602" t="n"/>
      <c r="V184" s="11602" t="n"/>
      <c r="W184" s="11602" t="n"/>
      <c r="X184" s="11602" t="n"/>
      <c r="Y184" s="11602" t="n"/>
      <c r="Z184" s="11602" t="n"/>
      <c r="AA184" s="11602" t="n"/>
      <c r="AB184" s="11602" t="n"/>
      <c r="AC184" s="12454" t="n"/>
      <c r="AD184" s="7636" t="n"/>
      <c r="AE184" s="8977" t="n"/>
      <c r="AG184" s="7914" t="n"/>
      <c r="AI184" s="7914" t="n"/>
      <c r="AK184" s="2013" t="n"/>
      <c r="BL184" s="2027" t="n"/>
      <c r="BM184" s="2027" t="n"/>
    </row>
    <row r="185" ht="15" customHeight="1" s="7635">
      <c r="A185" s="2013" t="n"/>
      <c r="B185" s="11602" t="n"/>
      <c r="C185" s="734" t="inlineStr">
        <is>
          <t>49</t>
        </is>
      </c>
      <c r="D185" s="8650">
        <f>"Housing deduction carryover from "&amp;TaxYear-1&amp;" (from the Housing Deduction Carryover Worksheet in"</f>
        <v/>
      </c>
      <c r="E185" s="11602" t="n"/>
      <c r="F185" s="11602" t="n"/>
      <c r="G185" s="11602" t="n"/>
      <c r="H185" s="11602" t="n"/>
      <c r="I185" s="11602" t="n"/>
      <c r="J185" s="11602" t="n"/>
      <c r="K185" s="11602" t="n"/>
      <c r="L185" s="11602" t="n"/>
      <c r="M185" s="11602" t="n"/>
      <c r="N185" s="11602" t="n"/>
      <c r="O185" s="11602" t="n"/>
      <c r="P185" s="11602" t="n"/>
      <c r="Q185" s="11602" t="n"/>
      <c r="R185" s="11602" t="n"/>
      <c r="S185" s="11602" t="n"/>
      <c r="T185" s="11602" t="n"/>
      <c r="U185" s="11602" t="n"/>
      <c r="V185" s="11602" t="n"/>
      <c r="W185" s="11602" t="n"/>
      <c r="X185" s="11602" t="n"/>
      <c r="Y185" s="11602" t="n"/>
      <c r="Z185" s="11602" t="n"/>
      <c r="AA185" s="11602" t="n"/>
      <c r="AB185" s="11602" t="n"/>
      <c r="AC185" s="12454" t="n"/>
      <c r="AD185" s="7636" t="n"/>
      <c r="AE185" s="8977" t="n"/>
      <c r="AG185" s="7914" t="n"/>
      <c r="AI185" s="7914" t="n"/>
      <c r="AK185" s="2013" t="n"/>
      <c r="BL185" s="2027" t="n"/>
      <c r="BM185" s="2027" t="n"/>
    </row>
    <row r="186" ht="15" customHeight="1" s="7635">
      <c r="A186" s="2013" t="n"/>
      <c r="B186" s="11602" t="n"/>
      <c r="C186" s="11602" t="n"/>
      <c r="D186" s="8650" t="inlineStr">
        <is>
          <t>the instructions)</t>
        </is>
      </c>
      <c r="E186" s="11602" t="n"/>
      <c r="F186" s="11602" t="n"/>
      <c r="G186" s="11602" t="n"/>
      <c r="H186" s="11602" t="n"/>
      <c r="I186" s="11602" t="n"/>
      <c r="J186" s="11602" t="n"/>
      <c r="K186" s="11602" t="n"/>
      <c r="L186" s="11602" t="n"/>
      <c r="M186" s="11602" t="n"/>
      <c r="N186" s="11602" t="n"/>
      <c r="O186" s="11602" t="n"/>
      <c r="P186" s="11602" t="n"/>
      <c r="Q186" s="11602" t="n"/>
      <c r="R186" s="11602" t="n"/>
      <c r="S186" s="11602" t="n"/>
      <c r="T186" s="11602" t="n"/>
      <c r="U186" s="11602" t="n"/>
      <c r="V186" s="11602" t="n"/>
      <c r="W186" s="11602" t="n"/>
      <c r="X186" s="11602" t="n"/>
      <c r="Y186" s="11602" t="n"/>
      <c r="Z186" s="11602" t="n"/>
      <c r="AA186" s="11602" t="n"/>
      <c r="AB186" s="2031" t="inlineStr">
        <is>
          <t xml:space="preserve">.   .   .   .   .   .   .   .   .   .   .   .   .   .   .   .   .   .   .   .   .   .   .   .   .   .   .   .   .   .   .   .   . </t>
        </is>
      </c>
      <c r="AC186" s="5372" t="n">
        <v>49</v>
      </c>
      <c r="AD186" s="7638" t="n"/>
      <c r="AE186" s="9763" t="n"/>
      <c r="AF186" s="11717" t="n"/>
      <c r="AG186" s="11717" t="n"/>
      <c r="AH186" s="11717" t="n"/>
      <c r="AI186" s="11717" t="n"/>
      <c r="AJ186" s="11717" t="n"/>
      <c r="AK186" s="2013" t="n"/>
      <c r="BL186" s="2027" t="n"/>
      <c r="BM186" s="2027" t="n"/>
    </row>
    <row r="187" ht="15" customHeight="1" s="7635">
      <c r="A187" s="2013" t="n"/>
      <c r="B187" s="11602" t="n"/>
      <c r="C187" s="734" t="inlineStr">
        <is>
          <t>50</t>
        </is>
      </c>
      <c r="D187" s="8650" t="inlineStr">
        <is>
          <t>Housing deduction.  Add lines 48 and 49. Enter the total here and on Schedule 1 (Form 1040),</t>
        </is>
      </c>
      <c r="E187" s="11602" t="n"/>
      <c r="F187" s="11602" t="n"/>
      <c r="G187" s="11602" t="n"/>
      <c r="H187" s="11602" t="n"/>
      <c r="I187" s="11602" t="n"/>
      <c r="J187" s="11602" t="n"/>
      <c r="K187" s="11602" t="n"/>
      <c r="L187" s="11602" t="n"/>
      <c r="M187" s="11602" t="n"/>
      <c r="N187" s="11602" t="n"/>
      <c r="O187" s="11602" t="n"/>
      <c r="P187" s="11602" t="n"/>
      <c r="Q187" s="11602" t="n"/>
      <c r="R187" s="11602" t="n"/>
      <c r="S187" s="11602" t="n"/>
      <c r="T187" s="11602" t="n"/>
      <c r="U187" s="11602" t="n"/>
      <c r="V187" s="11602" t="n"/>
      <c r="W187" s="11602" t="n"/>
      <c r="X187" s="11602" t="n"/>
      <c r="Y187" s="11602" t="n"/>
      <c r="Z187" s="11602" t="n"/>
      <c r="AA187" s="11602" t="n"/>
      <c r="AB187" s="11602" t="n"/>
      <c r="AC187" s="2898" t="n"/>
      <c r="AD187" s="10091" t="n"/>
      <c r="AE187" s="8998" t="n"/>
      <c r="AF187" s="7839" t="n"/>
      <c r="AG187" s="9766" t="n"/>
      <c r="AH187" s="7839" t="n"/>
      <c r="AI187" s="9766" t="n"/>
      <c r="AJ187" s="7839" t="n"/>
      <c r="AK187" s="2013" t="n"/>
      <c r="BL187" s="2027" t="n"/>
      <c r="BM187" s="2027" t="n"/>
    </row>
    <row r="188" ht="15" customHeight="1" s="7635" thickBot="1">
      <c r="A188" s="2013" t="n"/>
      <c r="B188" s="11602" t="n"/>
      <c r="C188" s="11602" t="n"/>
      <c r="D188" s="8650" t="inlineStr">
        <is>
          <t>line 24j. Complete the Foreign Earned Income Tax Worksheet in the Instructions for Forms 1040</t>
        </is>
      </c>
      <c r="E188" s="11602" t="n"/>
      <c r="F188" s="11602" t="n"/>
      <c r="G188" s="11602" t="n"/>
      <c r="H188" s="11602" t="n"/>
      <c r="I188" s="11602" t="n"/>
      <c r="J188" s="11602" t="n"/>
      <c r="K188" s="11602" t="n"/>
      <c r="L188" s="11602" t="n"/>
      <c r="M188" s="11602" t="n"/>
      <c r="N188" s="11602" t="n"/>
      <c r="O188" s="11602" t="n"/>
      <c r="P188" s="11602" t="n"/>
      <c r="Q188" s="11602" t="n"/>
      <c r="R188" s="11602" t="n"/>
      <c r="S188" s="11602" t="n"/>
      <c r="T188" s="11602" t="n"/>
      <c r="U188" s="11602" t="n"/>
      <c r="V188" s="11602" t="n"/>
      <c r="W188" s="11602" t="n"/>
      <c r="X188" s="11602" t="n"/>
      <c r="Y188" s="11602" t="n"/>
      <c r="Z188" s="11602" t="n"/>
      <c r="AA188" s="11602" t="n"/>
      <c r="AB188" s="11602" t="n"/>
      <c r="AC188" s="2921" t="n"/>
      <c r="AD188" s="7636" t="n"/>
      <c r="AE188" s="8977" t="n"/>
      <c r="AG188" s="7914" t="n"/>
      <c r="AI188" s="7914" t="n"/>
      <c r="AK188" s="2013" t="n"/>
      <c r="AM188" s="7914" t="inlineStr">
        <is>
          <t>Override</t>
        </is>
      </c>
      <c r="BL188" s="2027" t="n"/>
      <c r="BM188" s="2027" t="n"/>
    </row>
    <row r="189" ht="15" customHeight="1" s="7635" thickBot="1">
      <c r="A189" s="2013" t="n"/>
      <c r="B189" s="11602" t="n"/>
      <c r="C189" s="11602" t="n"/>
      <c r="D189" s="8650" t="inlineStr">
        <is>
          <t>and 1040-SR an amount on this line</t>
        </is>
      </c>
      <c r="E189" s="11602" t="n"/>
      <c r="F189" s="11602" t="n"/>
      <c r="G189" s="11602" t="n"/>
      <c r="H189" s="11602" t="n"/>
      <c r="I189" s="11602" t="n"/>
      <c r="J189" s="11602" t="n"/>
      <c r="K189" s="11602" t="n"/>
      <c r="L189" s="11602" t="n"/>
      <c r="M189" s="11602" t="n"/>
      <c r="N189" s="11602" t="n"/>
      <c r="O189" s="11602" t="n"/>
      <c r="P189" s="11602" t="n"/>
      <c r="Q189" s="11602" t="n"/>
      <c r="R189" s="11602" t="n"/>
      <c r="S189" s="11602" t="n"/>
      <c r="T189" s="11602" t="n"/>
      <c r="U189" s="11602" t="n"/>
      <c r="V189" s="11602" t="n"/>
      <c r="W189" s="11602" t="n"/>
      <c r="X189" s="11602" t="n"/>
      <c r="Y189" s="11602" t="n"/>
      <c r="Z189" s="11602" t="n"/>
      <c r="AA189" s="11602" t="n"/>
      <c r="AB189" s="2031" t="inlineStr">
        <is>
          <t xml:space="preserve">.   .   .   .   .   .   .   .   .   .   .   .   .   .   .   .   .   .   .   .   .   .   .   .   .   .   .   . </t>
        </is>
      </c>
      <c r="AC189" s="5372" t="n">
        <v>50</v>
      </c>
      <c r="AD189" s="7638" t="n"/>
      <c r="AE189" s="9758">
        <f>IF(AM189&lt;&gt;"",ROUND(AM189,0),IF(OR(AM150,NOT(AM177)),"",SUM(AE181,AE186)))</f>
        <v/>
      </c>
      <c r="AF189" s="7637" t="n"/>
      <c r="AG189" s="7637" t="n"/>
      <c r="AH189" s="7637" t="n"/>
      <c r="AI189" s="7637" t="n"/>
      <c r="AJ189" s="7637" t="n"/>
      <c r="AK189" s="2013" t="n"/>
      <c r="AM189" s="449" t="n"/>
      <c r="AO189" s="2084">
        <f>IF(AE189="",0,AE189)</f>
        <v/>
      </c>
      <c r="BL189" s="2027" t="n"/>
      <c r="BM189" s="2027" t="n"/>
    </row>
    <row r="190" ht="18.75" customHeight="1" s="7635" thickTop="1">
      <c r="A190" s="2013" t="n"/>
      <c r="B190" s="257" t="n"/>
      <c r="C190" s="257" t="n"/>
      <c r="D190" s="257" t="n"/>
      <c r="E190" s="257" t="n"/>
      <c r="F190" s="257" t="n"/>
      <c r="G190" s="257" t="n"/>
      <c r="H190" s="257" t="n"/>
      <c r="I190" s="257" t="n"/>
      <c r="J190" s="257" t="n"/>
      <c r="K190" s="257" t="n"/>
      <c r="L190" s="257" t="n"/>
      <c r="M190" s="257" t="n"/>
      <c r="N190" s="257" t="n"/>
      <c r="O190" s="257" t="n"/>
      <c r="P190" s="257" t="n"/>
      <c r="Q190" s="257" t="n"/>
      <c r="R190" s="257" t="n"/>
      <c r="S190" s="257" t="n"/>
      <c r="T190" s="257" t="n"/>
      <c r="U190" s="257" t="n"/>
      <c r="V190" s="257" t="n"/>
      <c r="W190" s="257" t="n"/>
      <c r="X190" s="257" t="n"/>
      <c r="Y190" s="257" t="n"/>
      <c r="Z190" s="257" t="n"/>
      <c r="AA190" s="257" t="n"/>
      <c r="AB190" s="257" t="n"/>
      <c r="AC190" s="257" t="n"/>
      <c r="AD190" s="257" t="n"/>
      <c r="AE190" s="257" t="n"/>
      <c r="AF190" s="257" t="n"/>
      <c r="AG190" s="257" t="n"/>
      <c r="AH190" s="2101" t="inlineStr">
        <is>
          <t xml:space="preserve">Form 2555 </t>
        </is>
      </c>
      <c r="AI190" s="2079" t="n"/>
      <c r="AJ190" s="2102">
        <f>"("&amp;TaxYear&amp;")"</f>
        <v/>
      </c>
      <c r="AK190" s="2013" t="n"/>
      <c r="AM190" s="2103">
        <f>OR(AO155&gt;0,AO344&gt;0,AND(ForeignIncExclusion1&lt;&gt;"",ForeignIncExclusion1&gt;0),AND(ForeignIncExclusion2&lt;&gt;"",ForeignIncExclusion2&gt;0),AND(F2555_Line45_1&lt;&gt;"",F2555_Line45_1&gt;0),AND(F2555_Line45_2&lt;&gt;"",F2555_Line45_2&gt;0),AND(F2555_Line45_1&lt;&gt;"",F2555_Line45_1&gt;0),AND(F2555_Line45_2&lt;&gt;"",F2555_Line45_2&gt;0))</f>
        <v/>
      </c>
      <c r="AO190" s="2050" t="n"/>
      <c r="AP190" s="2051" t="n"/>
      <c r="BL190" s="2027" t="n"/>
      <c r="BM190" s="2027" t="n"/>
      <c r="BO190" s="2027" t="n"/>
      <c r="BP190" s="2027" t="n"/>
      <c r="BQ190" s="2027" t="n"/>
      <c r="BR190" s="2027" t="n"/>
      <c r="BS190" s="2027" t="n"/>
      <c r="BT190" s="2027" t="n"/>
      <c r="BU190" s="2027" t="n"/>
      <c r="BV190" s="2027" t="n"/>
    </row>
    <row r="191" ht="18" customHeight="1" s="7635">
      <c r="A191" s="2013" t="n"/>
      <c r="B191" s="11602" t="n"/>
      <c r="C191" s="11602" t="n"/>
      <c r="D191" s="9882" t="inlineStr">
        <is>
          <t>2555</t>
        </is>
      </c>
      <c r="H191" s="379" t="n"/>
      <c r="I191" s="11993" t="inlineStr">
        <is>
          <t>Foreign Earned Income</t>
        </is>
      </c>
      <c r="AB191" s="1066" t="n"/>
      <c r="AC191" s="9884">
        <f>IF(AND('Table of Contents'!A46="D",AK191=""),"DRAFT","OMB No. 1545-0074")</f>
        <v/>
      </c>
      <c r="AD191" s="7637" t="n"/>
      <c r="AE191" s="7637" t="n"/>
      <c r="AF191" s="7637" t="n"/>
      <c r="AG191" s="7637" t="n"/>
      <c r="AH191" s="7637" t="n"/>
      <c r="AI191" s="7637" t="n"/>
      <c r="AJ191" s="7637" t="n"/>
      <c r="AK191" s="1796" t="n"/>
      <c r="AL191" s="344" t="n"/>
      <c r="AM191" s="344" t="n"/>
      <c r="AN191" s="344" t="n"/>
      <c r="AO191" s="344" t="n"/>
      <c r="AP191" s="344" t="n"/>
    </row>
    <row r="192" ht="24" customHeight="1" s="7635" thickBot="1">
      <c r="A192" s="2013" t="n"/>
      <c r="B192" s="9886" t="inlineStr">
        <is>
          <t>Form</t>
        </is>
      </c>
      <c r="H192" s="379" t="n"/>
      <c r="I192" s="11741" t="n"/>
      <c r="AB192" s="1066" t="n"/>
      <c r="AC192" s="9887">
        <f>TaxYear</f>
        <v/>
      </c>
      <c r="AD192" s="7839" t="n"/>
      <c r="AE192" s="7839" t="n"/>
      <c r="AF192" s="7839" t="n"/>
      <c r="AG192" s="7839" t="n"/>
      <c r="AH192" s="7839" t="n"/>
      <c r="AI192" s="7839" t="n"/>
      <c r="AJ192" s="7839" t="n"/>
      <c r="AK192" s="2013" t="n"/>
      <c r="AL192" s="344" t="inlineStr">
        <is>
          <t>This form is for:</t>
        </is>
      </c>
      <c r="AM192" s="344" t="n"/>
      <c r="AN192" s="344" t="n"/>
      <c r="AO192" s="344" t="n"/>
      <c r="AP192" s="344" t="n"/>
    </row>
    <row r="193" ht="13.5" customHeight="1" s="7635" thickBot="1">
      <c r="A193" s="2013" t="n"/>
      <c r="B193" s="11602" t="n"/>
      <c r="C193" s="11602" t="n"/>
      <c r="D193" s="11602" t="n"/>
      <c r="E193" s="11602" t="n"/>
      <c r="F193" s="11602" t="n"/>
      <c r="G193" s="11602" t="n"/>
      <c r="H193" s="379" t="n"/>
      <c r="I193" s="12426" t="n"/>
      <c r="AB193" s="1066" t="n"/>
      <c r="AC193" s="11741" t="n"/>
      <c r="AK193" s="2013" t="n"/>
      <c r="AL193" s="300" t="n"/>
      <c r="AM193" s="344" t="inlineStr">
        <is>
          <t>You</t>
        </is>
      </c>
      <c r="AN193" s="344" t="n"/>
      <c r="AO193" s="512">
        <f>AL193&lt;&gt;""</f>
        <v/>
      </c>
      <c r="AP193" s="344" t="n"/>
    </row>
    <row r="194" ht="14.25" customHeight="1" s="7635" thickBot="1">
      <c r="A194" s="2013" t="n"/>
      <c r="B194" s="11602" t="inlineStr">
        <is>
          <t>Department of the Treasury</t>
        </is>
      </c>
      <c r="C194" s="11602" t="n"/>
      <c r="D194" s="11602" t="n"/>
      <c r="E194" s="11602" t="n"/>
      <c r="F194" s="11602" t="n"/>
      <c r="G194" s="11602" t="n"/>
      <c r="H194" s="379" t="n"/>
      <c r="I194" s="12426" t="inlineStr">
        <is>
          <t>Attach to Form 1040 or 1040-SR.</t>
        </is>
      </c>
      <c r="AB194" s="1066" t="n"/>
      <c r="AC194" s="341" t="n"/>
      <c r="AD194" s="9892" t="inlineStr">
        <is>
          <t xml:space="preserve">   Attachment     </t>
        </is>
      </c>
      <c r="AH194" s="9895" t="n">
        <v>34</v>
      </c>
      <c r="AJ194" s="11602" t="n"/>
      <c r="AK194" s="2013" t="n"/>
      <c r="AL194" s="300" t="inlineStr">
        <is>
          <t>x</t>
        </is>
      </c>
      <c r="AM194" s="344" t="inlineStr">
        <is>
          <t>Your spouse</t>
        </is>
      </c>
      <c r="AN194" s="344" t="n"/>
      <c r="AO194" s="512">
        <f>AL194&lt;&gt;""</f>
        <v/>
      </c>
      <c r="AP194" s="344" t="n"/>
    </row>
    <row r="195" ht="13.5" customHeight="1" s="7635" thickBot="1">
      <c r="A195" s="2013" t="n"/>
      <c r="B195" s="380" t="inlineStr">
        <is>
          <t>Internal Revenue Service</t>
        </is>
      </c>
      <c r="C195" s="380" t="n"/>
      <c r="D195" s="380" t="n"/>
      <c r="E195" s="380" t="n"/>
      <c r="F195" s="380" t="n"/>
      <c r="G195" s="380" t="n"/>
      <c r="H195" s="381" t="n"/>
      <c r="I195" s="12455" t="inlineStr">
        <is>
          <t>Go to www.irs.gov/Form2555 for instructions and the latest information.</t>
        </is>
      </c>
      <c r="J195" s="8848" t="n"/>
      <c r="K195" s="8848" t="n"/>
      <c r="L195" s="8848" t="n"/>
      <c r="M195" s="8848" t="n"/>
      <c r="N195" s="8848" t="n"/>
      <c r="O195" s="8848" t="n"/>
      <c r="P195" s="8848" t="n"/>
      <c r="Q195" s="8848" t="n"/>
      <c r="R195" s="8848" t="n"/>
      <c r="S195" s="8848" t="n"/>
      <c r="T195" s="8848" t="n"/>
      <c r="U195" s="8848" t="n"/>
      <c r="V195" s="8848" t="n"/>
      <c r="W195" s="8848" t="n"/>
      <c r="X195" s="8848" t="n"/>
      <c r="Y195" s="8848" t="n"/>
      <c r="Z195" s="8848" t="n"/>
      <c r="AA195" s="8848" t="n"/>
      <c r="AB195" s="2627" t="n"/>
      <c r="AC195" s="1197" t="n"/>
      <c r="AD195" s="9899" t="inlineStr">
        <is>
          <t>Sequence No.</t>
        </is>
      </c>
      <c r="AE195" s="8848" t="n"/>
      <c r="AF195" s="8848" t="n"/>
      <c r="AG195" s="8848" t="n"/>
      <c r="AH195" s="8848" t="n"/>
      <c r="AI195" s="8848" t="n"/>
      <c r="AJ195" s="380" t="n"/>
      <c r="AK195" s="2013" t="n"/>
      <c r="AL195" s="344" t="n"/>
      <c r="AM195" s="344" t="n"/>
      <c r="AN195" s="344" t="n"/>
      <c r="AO195" s="344" t="n"/>
      <c r="AP195" s="344" t="n"/>
    </row>
    <row r="196" ht="16.5" customHeight="1" s="7635" thickBot="1">
      <c r="A196" s="2013" t="n"/>
      <c r="B196" s="2016" t="n"/>
      <c r="C196" s="2016" t="n"/>
      <c r="D196" s="2016" t="n"/>
      <c r="E196" s="2016" t="n"/>
      <c r="F196" s="2016" t="n"/>
      <c r="G196" s="2016" t="n"/>
      <c r="H196" s="2016" t="n"/>
      <c r="I196" s="2016" t="n"/>
      <c r="J196" s="2016" t="n"/>
      <c r="K196" s="2016" t="n"/>
      <c r="L196" s="2016" t="n"/>
      <c r="M196" s="2016" t="n"/>
      <c r="N196" s="2016" t="n"/>
      <c r="O196" s="2016" t="n"/>
      <c r="P196" s="2016" t="n"/>
      <c r="Q196" s="2104" t="inlineStr">
        <is>
          <t>For Use by U.S. Citizens and Resident Aliens Only</t>
        </is>
      </c>
      <c r="R196" s="2016" t="n"/>
      <c r="S196" s="2016" t="n"/>
      <c r="T196" s="2016" t="n"/>
      <c r="U196" s="2016" t="n"/>
      <c r="V196" s="2016" t="n"/>
      <c r="W196" s="2016" t="n"/>
      <c r="X196" s="2016" t="n"/>
      <c r="Y196" s="2016" t="n"/>
      <c r="Z196" s="2016" t="n"/>
      <c r="AA196" s="2016" t="n"/>
      <c r="AB196" s="2016" t="n"/>
      <c r="AC196" s="2016" t="n"/>
      <c r="AD196" s="2016" t="n"/>
      <c r="AE196" s="2016" t="n"/>
      <c r="AF196" s="2016" t="n"/>
      <c r="AG196" s="2016" t="n"/>
      <c r="AH196" s="2016" t="n"/>
      <c r="AI196" s="2016" t="n"/>
      <c r="AJ196" s="2016" t="n"/>
      <c r="AK196" s="2013" t="n"/>
      <c r="AL196" s="344" t="n"/>
      <c r="AM196" s="344" t="n"/>
      <c r="AN196" s="344" t="n"/>
      <c r="AO196" s="344" t="n"/>
      <c r="AP196" s="344" t="n"/>
    </row>
    <row r="197">
      <c r="A197" s="2013" t="n"/>
      <c r="B197" s="344" t="inlineStr">
        <is>
          <t>Name shown on Form 1040 or 1040-SR</t>
        </is>
      </c>
      <c r="C197" s="344" t="n"/>
      <c r="D197" s="344" t="n"/>
      <c r="E197" s="344" t="n"/>
      <c r="F197" s="344" t="n"/>
      <c r="G197" s="344" t="n"/>
      <c r="H197" s="344" t="n"/>
      <c r="I197" s="344" t="n"/>
      <c r="J197" s="344" t="n"/>
      <c r="K197" s="344" t="n"/>
      <c r="L197" s="344" t="n"/>
      <c r="M197" s="344" t="n"/>
      <c r="N197" s="344" t="n"/>
      <c r="O197" s="344" t="n"/>
      <c r="P197" s="344" t="n"/>
      <c r="Q197" s="344" t="n"/>
      <c r="R197" s="344" t="n"/>
      <c r="S197" s="344" t="n"/>
      <c r="T197" s="344" t="n"/>
      <c r="U197" s="344" t="n"/>
      <c r="V197" s="344" t="n"/>
      <c r="W197" s="344" t="n"/>
      <c r="X197" s="344" t="n"/>
      <c r="Y197" s="2018" t="inlineStr">
        <is>
          <t>Your social security number</t>
        </is>
      </c>
      <c r="Z197" s="11602" t="n"/>
      <c r="AA197" s="11602" t="n"/>
      <c r="AB197" s="11602" t="n"/>
      <c r="AC197" s="408" t="n"/>
      <c r="AD197" s="2019" t="n"/>
      <c r="AE197" s="2019" t="n"/>
      <c r="AF197" s="2019" t="n"/>
      <c r="AG197" s="2019" t="n"/>
      <c r="AH197" s="2019" t="n"/>
      <c r="AI197" s="2019" t="n"/>
      <c r="AJ197" s="2019" t="n"/>
      <c r="AK197" s="2013" t="n"/>
      <c r="AL197" s="344" t="n"/>
      <c r="AM197" s="344" t="n"/>
      <c r="AN197" s="344" t="n"/>
      <c r="AO197" s="344" t="n"/>
      <c r="AP197" s="344" t="n"/>
    </row>
    <row r="198" ht="13.5" customHeight="1" s="7635">
      <c r="A198" s="2013" t="n"/>
      <c r="B198" s="12428">
        <f>IF(AND(AL193&lt;&gt;"",AL194&lt;&gt;""),Names,IF(AL193&lt;&gt;"",NameYours,IF(AL194&lt;&gt;"",NameSpouse,Names)))</f>
        <v/>
      </c>
      <c r="X198" s="7636" t="n"/>
      <c r="Y198" s="12429">
        <f>IF(NoSSN,"",IF(AND(AL193="",AL194&lt;&gt;""),SS_Spouse,SS_Yours))</f>
        <v/>
      </c>
      <c r="AK198" s="2013" t="n"/>
      <c r="AL198" s="344" t="n"/>
      <c r="AM198" s="344" t="n"/>
      <c r="AN198" s="344" t="n"/>
      <c r="AO198" s="344" t="n"/>
      <c r="AP198" s="344" t="n"/>
    </row>
    <row r="199" ht="5.25" customHeight="1" s="7635">
      <c r="A199" s="2013" t="n"/>
      <c r="B199" s="7637" t="n"/>
      <c r="C199" s="7637" t="n"/>
      <c r="D199" s="7637" t="n"/>
      <c r="E199" s="7637" t="n"/>
      <c r="F199" s="7637" t="n"/>
      <c r="G199" s="7637" t="n"/>
      <c r="H199" s="7637" t="n"/>
      <c r="I199" s="7637" t="n"/>
      <c r="J199" s="7637" t="n"/>
      <c r="K199" s="7637" t="n"/>
      <c r="L199" s="7637" t="n"/>
      <c r="M199" s="7637" t="n"/>
      <c r="N199" s="7637" t="n"/>
      <c r="O199" s="7637" t="n"/>
      <c r="P199" s="7637" t="n"/>
      <c r="Q199" s="7637" t="n"/>
      <c r="R199" s="7637" t="n"/>
      <c r="S199" s="7637" t="n"/>
      <c r="T199" s="7637" t="n"/>
      <c r="U199" s="7637" t="n"/>
      <c r="V199" s="7637" t="n"/>
      <c r="W199" s="7637" t="n"/>
      <c r="X199" s="7638" t="n"/>
      <c r="Y199" s="3614" t="n"/>
      <c r="Z199" s="7637" t="n"/>
      <c r="AA199" s="7637" t="n"/>
      <c r="AB199" s="7637" t="n"/>
      <c r="AC199" s="7637" t="n"/>
      <c r="AD199" s="7637" t="n"/>
      <c r="AE199" s="7637" t="n"/>
      <c r="AF199" s="7637" t="n"/>
      <c r="AG199" s="7637" t="n"/>
      <c r="AH199" s="7637" t="n"/>
      <c r="AI199" s="7637" t="n"/>
      <c r="AJ199" s="7637" t="n"/>
      <c r="AK199" s="2013" t="n"/>
      <c r="AL199" s="344" t="n"/>
      <c r="AM199" s="344" t="n"/>
      <c r="AN199" s="344" t="n"/>
      <c r="AO199" s="344" t="n"/>
      <c r="AP199" s="344" t="n"/>
    </row>
    <row r="200" ht="18.75" customHeight="1" s="7635">
      <c r="A200" s="2013" t="n"/>
      <c r="B200" s="9775" t="inlineStr">
        <is>
          <t>Part I</t>
        </is>
      </c>
      <c r="C200" s="8412" t="n"/>
      <c r="D200" s="10884" t="inlineStr">
        <is>
          <t>General Information</t>
        </is>
      </c>
      <c r="E200" s="2021" t="n"/>
      <c r="F200" s="2021" t="n"/>
      <c r="G200" s="2021" t="n"/>
      <c r="H200" s="2021" t="n"/>
      <c r="I200" s="2021" t="n"/>
      <c r="J200" s="2021" t="n"/>
      <c r="K200" s="2021" t="n"/>
      <c r="L200" s="2021" t="n"/>
      <c r="M200" s="2021" t="n"/>
      <c r="N200" s="2021" t="n"/>
      <c r="O200" s="2021" t="n"/>
      <c r="P200" s="2021" t="n"/>
      <c r="Q200" s="2021" t="n"/>
      <c r="R200" s="2021" t="n"/>
      <c r="S200" s="2021" t="n"/>
      <c r="T200" s="2021" t="n"/>
      <c r="U200" s="2021" t="n"/>
      <c r="V200" s="2021" t="n"/>
      <c r="W200" s="2021" t="n"/>
      <c r="X200" s="2021" t="n"/>
      <c r="Y200" s="2021" t="n"/>
      <c r="Z200" s="2021" t="n"/>
      <c r="AA200" s="2021" t="n"/>
      <c r="AB200" s="2021" t="n"/>
      <c r="AC200" s="2021" t="n"/>
      <c r="AD200" s="2021" t="n"/>
      <c r="AE200" s="2021" t="n"/>
      <c r="AF200" s="2021" t="n"/>
      <c r="AG200" s="2021" t="n"/>
      <c r="AH200" s="2021" t="n"/>
      <c r="AI200" s="2021" t="n"/>
      <c r="AJ200" s="2021" t="n"/>
      <c r="AK200" s="2013" t="n"/>
      <c r="AL200" s="344" t="n"/>
      <c r="AM200" s="344" t="n"/>
      <c r="AN200" s="344" t="n"/>
      <c r="AO200" s="344" t="n"/>
      <c r="AP200" s="344" t="n"/>
    </row>
    <row r="201" ht="15" customHeight="1" s="7635">
      <c r="A201" s="2013" t="n"/>
      <c r="B201" s="11602" t="n"/>
      <c r="C201" s="7861" t="inlineStr">
        <is>
          <t>1</t>
        </is>
      </c>
      <c r="D201" s="344" t="inlineStr">
        <is>
          <t>Your foreign address (including country)</t>
        </is>
      </c>
      <c r="E201" s="11602" t="n"/>
      <c r="F201" s="11602" t="n"/>
      <c r="G201" s="11602" t="n"/>
      <c r="H201" s="11602" t="n"/>
      <c r="I201" s="11602" t="n"/>
      <c r="J201" s="11602" t="n"/>
      <c r="K201" s="11602" t="n"/>
      <c r="L201" s="11602" t="n"/>
      <c r="M201" s="11602" t="n"/>
      <c r="N201" s="11602" t="n"/>
      <c r="O201" s="11602" t="n"/>
      <c r="P201" s="11602" t="n"/>
      <c r="Q201" s="11602" t="n"/>
      <c r="R201" s="11602" t="n"/>
      <c r="S201" s="11602" t="n"/>
      <c r="T201" s="11602" t="n"/>
      <c r="U201" s="11602" t="n"/>
      <c r="V201" s="11602" t="n"/>
      <c r="W201" s="11602" t="n"/>
      <c r="X201" s="11602" t="n"/>
      <c r="Y201" s="2023" t="inlineStr">
        <is>
          <t>2</t>
        </is>
      </c>
      <c r="Z201" s="344" t="inlineStr">
        <is>
          <t>Your occupation</t>
        </is>
      </c>
      <c r="AA201" s="11602" t="n"/>
      <c r="AB201" s="11602" t="n"/>
      <c r="AC201" s="11602" t="n"/>
      <c r="AD201" s="11602" t="n"/>
      <c r="AE201" s="11602" t="n"/>
      <c r="AF201" s="11602" t="n"/>
      <c r="AG201" s="11602" t="n"/>
      <c r="AH201" s="11602" t="n"/>
      <c r="AI201" s="11602" t="n"/>
      <c r="AJ201" s="11602" t="n"/>
      <c r="AK201" s="2013" t="n"/>
      <c r="AL201" s="344" t="n"/>
      <c r="AM201" s="344" t="n"/>
      <c r="AN201" s="7375" t="n"/>
      <c r="AO201" s="7375" t="n"/>
      <c r="AP201" s="7375" t="n"/>
      <c r="AZ201" s="2025" t="n"/>
      <c r="BA201" s="2025" t="n"/>
      <c r="BB201" s="2025" t="n"/>
      <c r="BC201" s="2025" t="n"/>
      <c r="BD201" s="2025" t="n"/>
      <c r="BE201" s="2025" t="n"/>
      <c r="BF201" s="2025" t="n"/>
      <c r="BG201" s="2025" t="n"/>
      <c r="BH201" s="2025" t="n"/>
      <c r="BI201" s="2025" t="n"/>
      <c r="BJ201" s="2025" t="n"/>
    </row>
    <row r="202" ht="16.5" customHeight="1" s="7635">
      <c r="A202" s="2013" t="n"/>
      <c r="B202" s="12430" t="n"/>
      <c r="C202" s="11717" t="n"/>
      <c r="D202" s="11717" t="n"/>
      <c r="E202" s="11717" t="n"/>
      <c r="F202" s="11717" t="n"/>
      <c r="G202" s="11717" t="n"/>
      <c r="H202" s="11717" t="n"/>
      <c r="I202" s="11717" t="n"/>
      <c r="J202" s="11717" t="n"/>
      <c r="K202" s="11717" t="n"/>
      <c r="L202" s="11717" t="n"/>
      <c r="M202" s="11717" t="n"/>
      <c r="N202" s="11717" t="n"/>
      <c r="O202" s="11717" t="n"/>
      <c r="P202" s="11717" t="n"/>
      <c r="Q202" s="11717" t="n"/>
      <c r="R202" s="11717" t="n"/>
      <c r="S202" s="11717" t="n"/>
      <c r="T202" s="11717" t="n"/>
      <c r="U202" s="11717" t="n"/>
      <c r="V202" s="11717" t="n"/>
      <c r="W202" s="11717" t="n"/>
      <c r="X202" s="11718" t="n"/>
      <c r="Y202" s="9871" t="n"/>
      <c r="Z202" s="11717" t="n"/>
      <c r="AA202" s="11717" t="n"/>
      <c r="AB202" s="11717" t="n"/>
      <c r="AC202" s="11717" t="n"/>
      <c r="AD202" s="11717" t="n"/>
      <c r="AE202" s="11717" t="n"/>
      <c r="AF202" s="11717" t="n"/>
      <c r="AG202" s="11717" t="n"/>
      <c r="AH202" s="11717" t="n"/>
      <c r="AI202" s="11717" t="n"/>
      <c r="AJ202" s="11717" t="n"/>
      <c r="AK202" s="2013" t="n"/>
      <c r="AL202" s="344" t="n"/>
      <c r="AM202" s="344" t="n"/>
      <c r="AN202" s="7375" t="n"/>
      <c r="AO202" s="7375" t="n"/>
      <c r="AP202" s="7375" t="n"/>
      <c r="AZ202" s="2025" t="n"/>
      <c r="BA202" s="2025" t="n"/>
      <c r="BB202" s="2025" t="n"/>
      <c r="BC202" s="2025" t="n"/>
      <c r="BD202" s="2025" t="n"/>
      <c r="BE202" s="2025" t="n"/>
      <c r="BF202" s="2025" t="n"/>
      <c r="BG202" s="2025" t="n"/>
      <c r="BH202" s="2025" t="n"/>
      <c r="BI202" s="2025" t="n"/>
      <c r="BJ202" s="2025" t="n"/>
    </row>
    <row r="203" ht="15" customHeight="1" s="7635">
      <c r="A203" s="2013" t="n"/>
      <c r="B203" s="11602" t="n"/>
      <c r="C203" s="7861" t="inlineStr">
        <is>
          <t>3</t>
        </is>
      </c>
      <c r="D203" s="8650" t="inlineStr">
        <is>
          <t>Employer’s name</t>
        </is>
      </c>
      <c r="E203" s="8650" t="n"/>
      <c r="F203" s="8650" t="n"/>
      <c r="G203" s="8650" t="n"/>
      <c r="H203" s="8650" t="n"/>
      <c r="I203" s="9873" t="n"/>
      <c r="J203" s="12431" t="n"/>
      <c r="K203" s="12431" t="n"/>
      <c r="L203" s="12431" t="n"/>
      <c r="M203" s="12431" t="n"/>
      <c r="N203" s="12431" t="n"/>
      <c r="O203" s="12431" t="n"/>
      <c r="P203" s="12431" t="n"/>
      <c r="Q203" s="12431" t="n"/>
      <c r="R203" s="12431" t="n"/>
      <c r="S203" s="12431" t="n"/>
      <c r="T203" s="12431" t="n"/>
      <c r="U203" s="12431" t="n"/>
      <c r="V203" s="12431" t="n"/>
      <c r="W203" s="12431" t="n"/>
      <c r="X203" s="12431" t="n"/>
      <c r="Y203" s="12431" t="n"/>
      <c r="Z203" s="12431" t="n"/>
      <c r="AA203" s="12431" t="n"/>
      <c r="AB203" s="12431" t="n"/>
      <c r="AC203" s="12431" t="n"/>
      <c r="AD203" s="12431" t="n"/>
      <c r="AE203" s="12431" t="n"/>
      <c r="AF203" s="12431" t="n"/>
      <c r="AG203" s="12431" t="n"/>
      <c r="AH203" s="12431" t="n"/>
      <c r="AI203" s="12431" t="n"/>
      <c r="AJ203" s="12431" t="n"/>
      <c r="AK203" s="2013" t="n"/>
      <c r="AL203" s="344" t="n"/>
      <c r="AM203" s="344" t="n"/>
      <c r="AN203" s="7375" t="n"/>
      <c r="AO203" s="7375" t="n"/>
      <c r="AP203" s="7375" t="n"/>
      <c r="AZ203" s="2025" t="n"/>
      <c r="BA203" s="2025" t="n"/>
      <c r="BB203" s="2025" t="n"/>
      <c r="BC203" s="2025" t="n"/>
      <c r="BD203" s="2025" t="n"/>
      <c r="BE203" s="2025" t="n"/>
      <c r="BF203" s="2025" t="n"/>
      <c r="BG203" s="2025" t="n"/>
      <c r="BH203" s="2025" t="n"/>
      <c r="BI203" s="2025" t="n"/>
      <c r="BJ203" s="2025" t="n"/>
    </row>
    <row r="204" ht="15" customHeight="1" s="7635">
      <c r="A204" s="2013" t="n"/>
      <c r="B204" s="11602" t="n"/>
      <c r="C204" s="2026" t="inlineStr">
        <is>
          <t>4 a</t>
        </is>
      </c>
      <c r="D204" s="8650" t="inlineStr">
        <is>
          <t>Employer’s U.S. address</t>
        </is>
      </c>
      <c r="E204" s="8650" t="n"/>
      <c r="F204" s="8650" t="n"/>
      <c r="G204" s="8650" t="n"/>
      <c r="H204" s="8650" t="n"/>
      <c r="I204" s="11602" t="n"/>
      <c r="J204" s="11602" t="n"/>
      <c r="K204" s="9877" t="n"/>
      <c r="L204" s="12030" t="n"/>
      <c r="M204" s="12030" t="n"/>
      <c r="N204" s="12030" t="n"/>
      <c r="O204" s="12030" t="n"/>
      <c r="P204" s="12030" t="n"/>
      <c r="Q204" s="12030" t="n"/>
      <c r="R204" s="12030" t="n"/>
      <c r="S204" s="12030" t="n"/>
      <c r="T204" s="12030" t="n"/>
      <c r="U204" s="12030" t="n"/>
      <c r="V204" s="12030" t="n"/>
      <c r="W204" s="12030" t="n"/>
      <c r="X204" s="12030" t="n"/>
      <c r="Y204" s="12030" t="n"/>
      <c r="Z204" s="12030" t="n"/>
      <c r="AA204" s="12030" t="n"/>
      <c r="AB204" s="12030" t="n"/>
      <c r="AC204" s="12030" t="n"/>
      <c r="AD204" s="12030" t="n"/>
      <c r="AE204" s="12030" t="n"/>
      <c r="AF204" s="12030" t="n"/>
      <c r="AG204" s="12030" t="n"/>
      <c r="AH204" s="12030" t="n"/>
      <c r="AI204" s="12030" t="n"/>
      <c r="AJ204" s="12030" t="n"/>
      <c r="AK204" s="2013" t="n"/>
      <c r="AL204" s="344" t="n"/>
      <c r="AM204" s="344" t="n"/>
      <c r="AN204" s="7375" t="n"/>
      <c r="AO204" s="7375" t="n"/>
      <c r="AP204" s="7375" t="n"/>
      <c r="AZ204" s="2025" t="n"/>
      <c r="BA204" s="2025" t="n"/>
      <c r="BB204" s="2025" t="n"/>
      <c r="BC204" s="2025" t="n"/>
      <c r="BD204" s="2025" t="n"/>
      <c r="BE204" s="2025" t="n"/>
      <c r="BF204" s="2025" t="n"/>
      <c r="BG204" s="2025" t="n"/>
      <c r="BH204" s="2025" t="n"/>
      <c r="BI204" s="2025" t="n"/>
      <c r="BJ204" s="2025" t="n"/>
    </row>
    <row r="205" ht="15" customHeight="1" s="7635">
      <c r="A205" s="2013" t="n"/>
      <c r="B205" s="11602" t="n"/>
      <c r="C205" s="734" t="inlineStr">
        <is>
          <t xml:space="preserve">b </t>
        </is>
      </c>
      <c r="D205" s="8650" t="inlineStr">
        <is>
          <t>Employer’s foreign address</t>
        </is>
      </c>
      <c r="E205" s="8650" t="n"/>
      <c r="F205" s="8650" t="n"/>
      <c r="G205" s="8650" t="n"/>
      <c r="H205" s="8650" t="n"/>
      <c r="I205" s="11602" t="n"/>
      <c r="J205" s="11602" t="n"/>
      <c r="K205" s="9877" t="n"/>
      <c r="L205" s="12030" t="n"/>
      <c r="M205" s="12030" t="n"/>
      <c r="N205" s="12030" t="n"/>
      <c r="O205" s="12030" t="n"/>
      <c r="P205" s="12030" t="n"/>
      <c r="Q205" s="12030" t="n"/>
      <c r="R205" s="12030" t="n"/>
      <c r="S205" s="12030" t="n"/>
      <c r="T205" s="12030" t="n"/>
      <c r="U205" s="12030" t="n"/>
      <c r="V205" s="12030" t="n"/>
      <c r="W205" s="12030" t="n"/>
      <c r="X205" s="12030" t="n"/>
      <c r="Y205" s="12030" t="n"/>
      <c r="Z205" s="12030" t="n"/>
      <c r="AA205" s="12030" t="n"/>
      <c r="AB205" s="12030" t="n"/>
      <c r="AC205" s="12030" t="n"/>
      <c r="AD205" s="12030" t="n"/>
      <c r="AE205" s="12030" t="n"/>
      <c r="AF205" s="12030" t="n"/>
      <c r="AG205" s="12030" t="n"/>
      <c r="AH205" s="12030" t="n"/>
      <c r="AI205" s="12030" t="n"/>
      <c r="AJ205" s="12030" t="n"/>
      <c r="AK205" s="2013" t="n"/>
      <c r="AL205" s="344" t="n"/>
      <c r="AM205" s="344" t="n"/>
      <c r="AN205" s="344" t="n"/>
      <c r="AO205" s="344" t="n"/>
      <c r="AP205" s="344" t="n"/>
    </row>
    <row r="206" ht="5.25" customHeight="1" s="7635" thickBot="1">
      <c r="A206" s="2013" t="n"/>
      <c r="B206" s="11602" t="n"/>
      <c r="C206" s="11602" t="n"/>
      <c r="D206" s="8650" t="n"/>
      <c r="E206" s="8650" t="n"/>
      <c r="F206" s="8650" t="n"/>
      <c r="G206" s="8650" t="n"/>
      <c r="H206" s="8650" t="n"/>
      <c r="I206" s="11602" t="n"/>
      <c r="J206" s="11602" t="n"/>
      <c r="K206" s="11602" t="n"/>
      <c r="L206" s="11602" t="n"/>
      <c r="M206" s="11602" t="n"/>
      <c r="N206" s="11602" t="n"/>
      <c r="O206" s="11602" t="n"/>
      <c r="P206" s="11602" t="n"/>
      <c r="Q206" s="11602" t="n"/>
      <c r="R206" s="11602" t="n"/>
      <c r="S206" s="11602" t="n"/>
      <c r="T206" s="11602" t="n"/>
      <c r="U206" s="11602" t="n"/>
      <c r="V206" s="11602" t="n"/>
      <c r="W206" s="11602" t="n"/>
      <c r="X206" s="11602" t="n"/>
      <c r="Y206" s="11602" t="n"/>
      <c r="Z206" s="11602" t="n"/>
      <c r="AA206" s="11602" t="n"/>
      <c r="AB206" s="11602" t="n"/>
      <c r="AC206" s="11602" t="n"/>
      <c r="AD206" s="11602" t="n"/>
      <c r="AE206" s="11602" t="n"/>
      <c r="AF206" s="11602" t="n"/>
      <c r="AG206" s="11602" t="n"/>
      <c r="AH206" s="11602" t="n"/>
      <c r="AI206" s="11602" t="n"/>
      <c r="AJ206" s="11602" t="n"/>
      <c r="AK206" s="2013" t="n"/>
      <c r="AL206" s="344" t="n"/>
      <c r="AM206" s="344" t="n"/>
      <c r="AN206" s="344" t="n"/>
      <c r="AO206" s="344" t="n"/>
      <c r="AP206" s="344" t="n"/>
      <c r="BL206" s="2027" t="n"/>
      <c r="BM206" s="2027" t="n"/>
      <c r="BO206" s="2027" t="n"/>
      <c r="BP206" s="2027" t="n"/>
      <c r="BQ206" s="2027" t="n"/>
      <c r="BR206" s="2027" t="n"/>
      <c r="BS206" s="2027" t="n"/>
      <c r="BT206" s="2027" t="n"/>
      <c r="BU206" s="2027" t="n"/>
      <c r="BV206" s="2027" t="n"/>
    </row>
    <row r="207" ht="13.5" customHeight="1" s="7635" thickBot="1">
      <c r="A207" s="2013" t="n"/>
      <c r="B207" s="11602" t="n"/>
      <c r="C207" s="2026" t="inlineStr">
        <is>
          <t>5</t>
        </is>
      </c>
      <c r="D207" s="9879" t="inlineStr">
        <is>
          <t>Employer is (check
any that apply):</t>
        </is>
      </c>
      <c r="I207" s="11602" t="n"/>
      <c r="J207" s="734" t="inlineStr">
        <is>
          <t xml:space="preserve">a </t>
        </is>
      </c>
      <c r="K207" s="277" t="n"/>
      <c r="L207" s="344" t="inlineStr">
        <is>
          <t xml:space="preserve"> A foreign entity</t>
        </is>
      </c>
      <c r="M207" s="11602" t="n"/>
      <c r="N207" s="11602" t="n"/>
      <c r="O207" s="11602" t="n"/>
      <c r="P207" s="11602" t="n"/>
      <c r="Q207" s="11602" t="n"/>
      <c r="R207" s="11602" t="n"/>
      <c r="S207" s="11602" t="n"/>
      <c r="T207" s="11602" t="n"/>
      <c r="U207" s="734" t="inlineStr">
        <is>
          <t xml:space="preserve">b </t>
        </is>
      </c>
      <c r="V207" s="277" t="n"/>
      <c r="W207" s="344" t="inlineStr">
        <is>
          <t xml:space="preserve"> A U.S. company</t>
        </is>
      </c>
      <c r="X207" s="11602" t="n"/>
      <c r="Y207" s="11602" t="n"/>
      <c r="Z207" s="11602" t="n"/>
      <c r="AA207" s="11602" t="n"/>
      <c r="AB207" s="11602" t="n"/>
      <c r="AC207" s="734" t="inlineStr">
        <is>
          <t xml:space="preserve">c </t>
        </is>
      </c>
      <c r="AD207" s="277" t="n"/>
      <c r="AE207" s="344" t="inlineStr">
        <is>
          <t xml:space="preserve"> Self</t>
        </is>
      </c>
      <c r="AF207" s="11602" t="n"/>
      <c r="AG207" s="11602" t="n"/>
      <c r="AH207" s="11602" t="n"/>
      <c r="AI207" s="11602" t="n"/>
      <c r="AJ207" s="11602" t="n"/>
      <c r="AK207" s="2013" t="n"/>
      <c r="AL207" s="344" t="n"/>
      <c r="AM207" s="344" t="n"/>
      <c r="AN207" s="344" t="n"/>
      <c r="AO207" s="344" t="n"/>
      <c r="AP207" s="344" t="n"/>
    </row>
    <row r="208" ht="6" customHeight="1" s="7635" thickBot="1">
      <c r="A208" s="2013" t="n"/>
      <c r="B208" s="11602" t="n"/>
      <c r="C208" s="11602" t="n"/>
      <c r="I208" s="11602" t="n"/>
      <c r="J208" s="11602" t="n"/>
      <c r="K208" s="2016" t="n"/>
      <c r="L208" s="11602" t="n"/>
      <c r="M208" s="11602" t="n"/>
      <c r="N208" s="11602" t="n"/>
      <c r="O208" s="11602" t="n"/>
      <c r="P208" s="11602" t="n"/>
      <c r="Q208" s="11602" t="n"/>
      <c r="R208" s="11602" t="n"/>
      <c r="S208" s="11602" t="n"/>
      <c r="T208" s="11602" t="n"/>
      <c r="U208" s="9886" t="n"/>
      <c r="V208" s="11602" t="n"/>
      <c r="W208" s="11602" t="n"/>
      <c r="X208" s="11602" t="n"/>
      <c r="Y208" s="11602" t="n"/>
      <c r="Z208" s="11602" t="n"/>
      <c r="AA208" s="11602" t="n"/>
      <c r="AB208" s="11602" t="n"/>
      <c r="AC208" s="11602" t="n"/>
      <c r="AD208" s="11602" t="n"/>
      <c r="AE208" s="11602" t="n"/>
      <c r="AF208" s="11602" t="n"/>
      <c r="AG208" s="11602" t="n"/>
      <c r="AH208" s="11602" t="n"/>
      <c r="AI208" s="11602" t="n"/>
      <c r="AJ208" s="11602" t="n"/>
      <c r="AK208" s="2013" t="n"/>
      <c r="AL208" s="344" t="n"/>
      <c r="AM208" s="344" t="n"/>
      <c r="AN208" s="344" t="n"/>
      <c r="AO208" s="344" t="n"/>
      <c r="AP208" s="344" t="n"/>
    </row>
    <row r="209" ht="16.5" customHeight="1" s="7635" thickBot="1">
      <c r="A209" s="2013" t="n"/>
      <c r="B209" s="11602" t="n"/>
      <c r="C209" s="11602" t="n"/>
      <c r="I209" s="11602" t="n"/>
      <c r="J209" s="734" t="inlineStr">
        <is>
          <t xml:space="preserve">d </t>
        </is>
      </c>
      <c r="K209" s="277" t="n"/>
      <c r="L209" s="344" t="inlineStr">
        <is>
          <t xml:space="preserve"> A foreign affiliate of a U.S. company</t>
        </is>
      </c>
      <c r="M209" s="11602" t="n"/>
      <c r="N209" s="11602" t="n"/>
      <c r="O209" s="11602" t="n"/>
      <c r="P209" s="11602" t="n"/>
      <c r="Q209" s="11602" t="n"/>
      <c r="R209" s="11602" t="n"/>
      <c r="S209" s="11602" t="n"/>
      <c r="T209" s="11602" t="n"/>
      <c r="U209" s="734" t="inlineStr">
        <is>
          <t xml:space="preserve">e </t>
        </is>
      </c>
      <c r="V209" s="277" t="n"/>
      <c r="W209" s="344" t="inlineStr">
        <is>
          <t xml:space="preserve"> Other (specify)</t>
        </is>
      </c>
      <c r="X209" s="11602" t="n"/>
      <c r="Y209" s="11602" t="n"/>
      <c r="Z209" s="11602" t="n"/>
      <c r="AA209" s="11602" t="n"/>
      <c r="AB209" s="9759" t="n"/>
      <c r="AC209" s="11730" t="n"/>
      <c r="AD209" s="11730" t="n"/>
      <c r="AE209" s="11730" t="n"/>
      <c r="AF209" s="11730" t="n"/>
      <c r="AG209" s="11730" t="n"/>
      <c r="AH209" s="11730" t="n"/>
      <c r="AI209" s="11730" t="n"/>
      <c r="AJ209" s="11730" t="n"/>
      <c r="AK209" s="2013" t="n"/>
    </row>
    <row r="210" ht="16.5" customHeight="1" s="7635" thickBot="1">
      <c r="A210" s="2013" t="n"/>
      <c r="B210" s="11602" t="n"/>
      <c r="C210" s="2026" t="inlineStr">
        <is>
          <t>6 a</t>
        </is>
      </c>
      <c r="D210" s="8650" t="inlineStr">
        <is>
          <t>If you previously filed Form 2555 or Form 2555-EZ, enter the last year you filed the form.</t>
        </is>
      </c>
      <c r="E210" s="11602" t="n"/>
      <c r="F210" s="11602" t="n"/>
      <c r="G210" s="11602" t="n"/>
      <c r="H210" s="11602" t="n"/>
      <c r="I210" s="11602" t="n"/>
      <c r="J210" s="11602" t="n"/>
      <c r="K210" s="11602" t="n"/>
      <c r="L210" s="11602" t="n"/>
      <c r="M210" s="11602" t="n"/>
      <c r="N210" s="11602" t="n"/>
      <c r="O210" s="11602" t="n"/>
      <c r="P210" s="11602" t="n"/>
      <c r="Q210" s="11602" t="n"/>
      <c r="R210" s="11602" t="n"/>
      <c r="S210" s="11602" t="n"/>
      <c r="T210" s="11602" t="n"/>
      <c r="U210" s="11602" t="n"/>
      <c r="V210" s="11602" t="n"/>
      <c r="X210" s="11602" t="n"/>
      <c r="Z210" s="9881" t="n"/>
      <c r="AA210" s="194" t="n"/>
      <c r="AB210" s="194" t="n"/>
      <c r="AC210" s="194" t="n"/>
      <c r="AD210" s="194" t="n"/>
      <c r="AE210" s="194" t="n"/>
      <c r="AF210" s="194" t="n"/>
      <c r="AG210" s="194" t="n"/>
      <c r="AH210" s="194" t="n"/>
      <c r="AI210" s="194" t="n"/>
      <c r="AJ210" s="194" t="n"/>
      <c r="AK210" s="2013" t="n"/>
      <c r="AN210" s="2028" t="n"/>
      <c r="AO210" s="2029" t="n"/>
      <c r="AZ210" s="2028" t="n"/>
      <c r="BA210" s="2029" t="n"/>
    </row>
    <row r="211" ht="15.75" customHeight="1" s="7635" thickBot="1">
      <c r="A211" s="2013" t="n"/>
      <c r="B211" s="11602" t="n"/>
      <c r="C211" s="734" t="inlineStr">
        <is>
          <t xml:space="preserve">b </t>
        </is>
      </c>
      <c r="D211" s="8650" t="inlineStr">
        <is>
          <t>If you didn't previously file Form 2555 or 2555-EZ to claim either of the exclusions, check here</t>
        </is>
      </c>
      <c r="E211" s="11602" t="n"/>
      <c r="F211" s="11602" t="n"/>
      <c r="G211" s="11602" t="n"/>
      <c r="H211" s="11602" t="n"/>
      <c r="I211" s="11602" t="n"/>
      <c r="J211" s="11602" t="n"/>
      <c r="K211" s="11602" t="n"/>
      <c r="L211" s="11602" t="n"/>
      <c r="M211" s="11602" t="n"/>
      <c r="N211" s="11602" t="n"/>
      <c r="O211" s="11602" t="n"/>
      <c r="P211" s="11602" t="n"/>
      <c r="Q211" s="11602" t="n"/>
      <c r="R211" s="11602" t="n"/>
      <c r="S211" s="11602" t="n"/>
      <c r="T211" s="11602" t="n"/>
      <c r="U211" s="11602" t="n"/>
      <c r="V211" s="11602" t="n"/>
      <c r="W211" s="11602" t="n"/>
      <c r="X211" s="11602" t="n"/>
      <c r="Y211" s="11602" t="n"/>
      <c r="Z211" s="2030" t="n"/>
      <c r="AA211" s="277" t="n"/>
      <c r="AB211" s="344" t="inlineStr">
        <is>
          <t xml:space="preserve"> and go to line 7.</t>
        </is>
      </c>
      <c r="AC211" s="344" t="n"/>
      <c r="AD211" s="11602" t="n"/>
      <c r="AE211" s="11602" t="n"/>
      <c r="AF211" s="11602" t="n"/>
      <c r="AG211" s="11602" t="n"/>
      <c r="AH211" s="11602" t="n"/>
      <c r="AI211" s="11602" t="n"/>
      <c r="AJ211" s="11602" t="n"/>
      <c r="AK211" s="2013" t="n"/>
      <c r="AO211" s="2029" t="n"/>
      <c r="BA211" s="2029" t="n"/>
      <c r="BF211" s="2028" t="n"/>
    </row>
    <row r="212" ht="13.5" customHeight="1" s="7635" thickBot="1">
      <c r="A212" s="2013" t="n"/>
      <c r="B212" s="11602" t="n"/>
      <c r="C212" s="734" t="inlineStr">
        <is>
          <t xml:space="preserve">c </t>
        </is>
      </c>
      <c r="D212" s="8650" t="inlineStr">
        <is>
          <t>Have you ever revoked either of the exclusions?</t>
        </is>
      </c>
      <c r="E212" s="11602" t="n"/>
      <c r="F212" s="11602" t="n"/>
      <c r="G212" s="11602" t="n"/>
      <c r="H212" s="11602" t="n"/>
      <c r="I212" s="11602" t="n"/>
      <c r="J212" s="11602" t="n"/>
      <c r="K212" s="11602" t="n"/>
      <c r="L212" s="11602" t="n"/>
      <c r="M212" s="11602" t="n"/>
      <c r="N212" s="11602" t="n"/>
      <c r="O212" s="11602" t="n"/>
      <c r="P212" s="11602" t="n"/>
      <c r="Q212" s="11602" t="n"/>
      <c r="R212" s="11602" t="n"/>
      <c r="S212" s="11602" t="n"/>
      <c r="T212" s="11602" t="n"/>
      <c r="U212" s="11602" t="n"/>
      <c r="V212" s="11602" t="n"/>
      <c r="W212" s="11602" t="n"/>
      <c r="X212" s="11602" t="n"/>
      <c r="Y212" s="11602" t="n"/>
      <c r="Z212" s="11602" t="n"/>
      <c r="AA212" s="11602" t="n"/>
      <c r="AB212" s="11602" t="n"/>
      <c r="AC212" s="11602" t="n"/>
      <c r="AD212" s="2031" t="inlineStr">
        <is>
          <t xml:space="preserve">.   .   .   .   .   .   .   .   .   .   .   .   .   .   .   .   .   .   .   .   .   .   .   .   .   . </t>
        </is>
      </c>
      <c r="AE212" s="277" t="n"/>
      <c r="AF212" s="7886" t="inlineStr">
        <is>
          <t>Yes</t>
        </is>
      </c>
      <c r="AG212" s="11602" t="n"/>
      <c r="AH212" s="277" t="n"/>
      <c r="AI212" s="7886" t="inlineStr">
        <is>
          <t>No</t>
        </is>
      </c>
      <c r="AJ212" s="11602" t="n"/>
      <c r="AK212" s="2013" t="n"/>
      <c r="AO212" s="2029" t="n"/>
      <c r="BA212" s="2029" t="n"/>
      <c r="BF212" s="2028" t="n"/>
      <c r="BG212" s="433" t="n"/>
    </row>
    <row r="213" ht="12.75" customHeight="1" s="7635">
      <c r="A213" s="2013" t="n"/>
      <c r="B213" s="11602" t="n"/>
      <c r="C213" s="734" t="inlineStr">
        <is>
          <t xml:space="preserve">d </t>
        </is>
      </c>
      <c r="D213" s="8650" t="inlineStr">
        <is>
          <t>If you answered “Yes,” enter the type of exclusion and the tax year for which the revocation was effective.</t>
        </is>
      </c>
      <c r="E213" s="11602" t="n"/>
      <c r="F213" s="11602" t="n"/>
      <c r="G213" s="11602" t="n"/>
      <c r="H213" s="11602" t="n"/>
      <c r="I213" s="11602" t="n"/>
      <c r="J213" s="11602" t="n"/>
      <c r="K213" s="11602" t="n"/>
      <c r="L213" s="11602" t="n"/>
      <c r="M213" s="11602" t="n"/>
      <c r="N213" s="11602" t="n"/>
      <c r="O213" s="11602" t="n"/>
      <c r="P213" s="11602" t="n"/>
      <c r="Q213" s="11602" t="n"/>
      <c r="R213" s="11602" t="n"/>
      <c r="S213" s="11602" t="n"/>
      <c r="T213" s="11602" t="n"/>
      <c r="U213" s="11602" t="n"/>
      <c r="V213" s="11602" t="n"/>
      <c r="W213" s="11602" t="n"/>
      <c r="X213" s="11602" t="n"/>
      <c r="Y213" s="11602" t="n"/>
      <c r="Z213" s="11602" t="n"/>
      <c r="AA213" s="11602" t="n"/>
      <c r="AB213" s="11602" t="n"/>
      <c r="AC213" s="9759" t="n"/>
      <c r="AD213" s="11730" t="n"/>
      <c r="AE213" s="11730" t="n"/>
      <c r="AF213" s="11730" t="n"/>
      <c r="AG213" s="11730" t="n"/>
      <c r="AH213" s="11730" t="n"/>
      <c r="AI213" s="11730" t="n"/>
      <c r="AJ213" s="11730" t="n"/>
      <c r="AK213" s="2013" t="n"/>
      <c r="AO213" s="2029" t="n"/>
      <c r="BA213" s="2029" t="n"/>
    </row>
    <row r="214" ht="15" customHeight="1" s="7635">
      <c r="A214" s="2013" t="n"/>
      <c r="B214" s="11602" t="n"/>
      <c r="C214" s="7861" t="inlineStr">
        <is>
          <t>7</t>
        </is>
      </c>
      <c r="D214" s="8650" t="inlineStr">
        <is>
          <t>Of what country are you a citizen/national?</t>
        </is>
      </c>
      <c r="E214" s="11602" t="n"/>
      <c r="F214" s="11602" t="n"/>
      <c r="G214" s="11602" t="n"/>
      <c r="H214" s="11602" t="n"/>
      <c r="I214" s="11602" t="n"/>
      <c r="J214" s="11602" t="n"/>
      <c r="K214" s="11602" t="n"/>
      <c r="L214" s="11602" t="n"/>
      <c r="M214" s="11602" t="n"/>
      <c r="N214" s="11602" t="n"/>
      <c r="O214" s="9759" t="n"/>
      <c r="P214" s="11730" t="n"/>
      <c r="Q214" s="11730" t="n"/>
      <c r="R214" s="11730" t="n"/>
      <c r="S214" s="11730" t="n"/>
      <c r="T214" s="11730" t="n"/>
      <c r="U214" s="11730" t="n"/>
      <c r="V214" s="11730" t="n"/>
      <c r="W214" s="11730" t="n"/>
      <c r="X214" s="11730" t="n"/>
      <c r="Y214" s="11730" t="n"/>
      <c r="Z214" s="11730" t="n"/>
      <c r="AA214" s="11730" t="n"/>
      <c r="AB214" s="11730" t="n"/>
      <c r="AC214" s="11730" t="n"/>
      <c r="AD214" s="11730" t="n"/>
      <c r="AE214" s="11730" t="n"/>
      <c r="AF214" s="11730" t="n"/>
      <c r="AG214" s="11730" t="n"/>
      <c r="AH214" s="11730" t="n"/>
      <c r="AI214" s="11730" t="n"/>
      <c r="AJ214" s="11730" t="n"/>
      <c r="AK214" s="2013" t="n"/>
      <c r="AN214" s="2028" t="n"/>
      <c r="AO214" s="2029" t="n"/>
      <c r="AZ214" s="2028" t="n"/>
      <c r="BA214" s="2029" t="n"/>
    </row>
    <row r="215" ht="15" customHeight="1" s="7635" thickBot="1">
      <c r="A215" s="2013" t="n"/>
      <c r="B215" s="11602" t="n"/>
      <c r="C215" s="2026" t="inlineStr">
        <is>
          <t>8 a</t>
        </is>
      </c>
      <c r="D215" s="8650" t="inlineStr">
        <is>
          <t>Did you maintain a separate foreign residence for your family because of adverse living conditions at your</t>
        </is>
      </c>
      <c r="E215" s="11602" t="n"/>
      <c r="F215" s="11602" t="n"/>
      <c r="G215" s="11602" t="n"/>
      <c r="H215" s="11602" t="n"/>
      <c r="I215" s="11602" t="n"/>
      <c r="J215" s="11602" t="n"/>
      <c r="K215" s="11602" t="n"/>
      <c r="L215" s="11602" t="n"/>
      <c r="M215" s="11602" t="n"/>
      <c r="N215" s="11602" t="n"/>
      <c r="O215" s="11602" t="n"/>
      <c r="P215" s="11602" t="n"/>
      <c r="Q215" s="11602" t="n"/>
      <c r="R215" s="11602" t="n"/>
      <c r="S215" s="11602" t="n"/>
      <c r="T215" s="11602" t="n"/>
      <c r="U215" s="11602" t="n"/>
      <c r="V215" s="11602" t="n"/>
      <c r="W215" s="11602" t="n"/>
      <c r="X215" s="11602" t="n"/>
      <c r="Y215" s="11602" t="n"/>
      <c r="Z215" s="11602" t="n"/>
      <c r="AA215" s="11602" t="n"/>
      <c r="AB215" s="11602" t="n"/>
      <c r="AC215" s="11602" t="n"/>
      <c r="AD215" s="11602" t="n"/>
      <c r="AE215" s="11602" t="n"/>
      <c r="AF215" s="11602" t="n"/>
      <c r="AG215" s="11602" t="n"/>
      <c r="AH215" s="11602" t="n"/>
      <c r="AI215" s="11602" t="n"/>
      <c r="AJ215" s="11602" t="n"/>
      <c r="AK215" s="2013" t="n"/>
      <c r="AM215" s="433" t="n"/>
      <c r="AO215" s="2029" t="n"/>
      <c r="BA215" s="2029" t="n"/>
    </row>
    <row r="216" ht="13.5" customHeight="1" s="7635" thickBot="1">
      <c r="A216" s="2013" t="n"/>
      <c r="B216" s="11602" t="n"/>
      <c r="C216" s="11602" t="n"/>
      <c r="D216" s="8650" t="inlineStr">
        <is>
          <t>tax home? See Second foreign household in the instructions</t>
        </is>
      </c>
      <c r="E216" s="11602" t="n"/>
      <c r="F216" s="11602" t="n"/>
      <c r="G216" s="11602" t="n"/>
      <c r="H216" s="11602" t="n"/>
      <c r="I216" s="11602" t="n"/>
      <c r="J216" s="11602" t="n"/>
      <c r="K216" s="11602" t="n"/>
      <c r="L216" s="11602" t="n"/>
      <c r="M216" s="11602" t="n"/>
      <c r="N216" s="11602" t="n"/>
      <c r="O216" s="11602" t="n"/>
      <c r="P216" s="11602" t="n"/>
      <c r="Q216" s="11602" t="n"/>
      <c r="R216" s="11602" t="n"/>
      <c r="S216" s="11602" t="n"/>
      <c r="T216" s="11602" t="n"/>
      <c r="U216" s="11602" t="n"/>
      <c r="V216" s="11602" t="n"/>
      <c r="W216" s="11602" t="n"/>
      <c r="X216" s="11602" t="n"/>
      <c r="Y216" s="11602" t="n"/>
      <c r="Z216" s="11602" t="n"/>
      <c r="AA216" s="11602" t="n"/>
      <c r="AB216" s="11602" t="n"/>
      <c r="AC216" s="11602" t="n"/>
      <c r="AD216" s="2031" t="inlineStr">
        <is>
          <t xml:space="preserve">.   .   .   .   .   .   .   .   .   .   .   .   .   .   .   .   .   .   .   .   .   . </t>
        </is>
      </c>
      <c r="AE216" s="277" t="n"/>
      <c r="AF216" s="7886" t="inlineStr">
        <is>
          <t>Yes</t>
        </is>
      </c>
      <c r="AG216" s="11602" t="n"/>
      <c r="AH216" s="277" t="n"/>
      <c r="AI216" s="7886" t="inlineStr">
        <is>
          <t>No</t>
        </is>
      </c>
      <c r="AJ216" s="11602" t="n"/>
      <c r="AK216" s="2013" t="n"/>
      <c r="AO216" s="2029" t="n"/>
      <c r="BA216" s="2029" t="n"/>
    </row>
    <row r="217" ht="14.25" customHeight="1" s="7635">
      <c r="A217" s="2013" t="n"/>
      <c r="B217" s="11602" t="n"/>
      <c r="C217" s="734" t="inlineStr">
        <is>
          <t xml:space="preserve">b </t>
        </is>
      </c>
      <c r="D217" s="8650" t="inlineStr">
        <is>
          <t>If “Yes,” enter city and country of the separate foreign residence. Also, enter the number of days during your tax year that you</t>
        </is>
      </c>
      <c r="E217" s="11602" t="n"/>
      <c r="F217" s="11602" t="n"/>
      <c r="G217" s="11602" t="n"/>
      <c r="H217" s="11602" t="n"/>
      <c r="I217" s="11602" t="n"/>
      <c r="J217" s="11602" t="n"/>
      <c r="K217" s="11602" t="n"/>
      <c r="L217" s="11602" t="n"/>
      <c r="M217" s="11602" t="n"/>
      <c r="N217" s="11602" t="n"/>
      <c r="O217" s="11602" t="n"/>
      <c r="P217" s="11602" t="n"/>
      <c r="Q217" s="11602" t="n"/>
      <c r="R217" s="11602" t="n"/>
      <c r="S217" s="11602" t="n"/>
      <c r="T217" s="11602" t="n"/>
      <c r="U217" s="11602" t="n"/>
      <c r="V217" s="11602" t="n"/>
      <c r="W217" s="11602" t="n"/>
      <c r="X217" s="11602" t="n"/>
      <c r="Y217" s="11602" t="n"/>
      <c r="Z217" s="11602" t="n"/>
      <c r="AA217" s="11602" t="n"/>
      <c r="AB217" s="11602" t="n"/>
      <c r="AC217" s="11602" t="n"/>
      <c r="AD217" s="11602" t="n"/>
      <c r="AE217" s="11602" t="n"/>
      <c r="AF217" s="11602" t="n"/>
      <c r="AG217" s="11602" t="n"/>
      <c r="AH217" s="11602" t="n"/>
      <c r="AI217" s="11602" t="n"/>
      <c r="AJ217" s="11602" t="n"/>
      <c r="AK217" s="2013" t="n"/>
      <c r="AO217" s="2029" t="n"/>
      <c r="BA217" s="2029" t="n"/>
      <c r="BE217" s="2028" t="n"/>
      <c r="BF217" s="433" t="n"/>
    </row>
    <row r="218" ht="13.5" customFormat="1" customHeight="1" s="7970">
      <c r="A218" s="2013" t="n"/>
      <c r="B218" s="11602" t="n"/>
      <c r="C218" s="11602" t="n"/>
      <c r="D218" s="8650" t="inlineStr">
        <is>
          <t>maintained a second household at that address.</t>
        </is>
      </c>
      <c r="E218" s="11602" t="n"/>
      <c r="F218" s="11602" t="n"/>
      <c r="G218" s="11602" t="n"/>
      <c r="H218" s="11602" t="n"/>
      <c r="I218" s="11602" t="n"/>
      <c r="J218" s="11602" t="n"/>
      <c r="K218" s="11602" t="n"/>
      <c r="L218" s="11602" t="n"/>
      <c r="M218" s="11602" t="n"/>
      <c r="N218" s="11602" t="n"/>
      <c r="O218" s="11602" t="n"/>
      <c r="P218" s="9759" t="n"/>
      <c r="Q218" s="11730" t="n"/>
      <c r="R218" s="11730" t="n"/>
      <c r="S218" s="11730" t="n"/>
      <c r="T218" s="11730" t="n"/>
      <c r="U218" s="11730" t="n"/>
      <c r="V218" s="11730" t="n"/>
      <c r="W218" s="11730" t="n"/>
      <c r="X218" s="11730" t="n"/>
      <c r="Y218" s="11730" t="n"/>
      <c r="Z218" s="11730" t="n"/>
      <c r="AA218" s="11730" t="n"/>
      <c r="AB218" s="11730" t="n"/>
      <c r="AC218" s="11730" t="n"/>
      <c r="AD218" s="11730" t="n"/>
      <c r="AE218" s="11730" t="n"/>
      <c r="AF218" s="11730" t="n"/>
      <c r="AG218" s="11730" t="n"/>
      <c r="AH218" s="11730" t="n"/>
      <c r="AI218" s="11730" t="n"/>
      <c r="AJ218" s="11730" t="n"/>
      <c r="AK218" s="2013" t="n"/>
      <c r="AL218" s="2014" t="n"/>
      <c r="AM218" s="2014" t="n"/>
      <c r="AN218" s="2028" t="n"/>
      <c r="AO218" s="2029" t="n"/>
      <c r="AP218" s="2014" t="n"/>
      <c r="AQ218" s="658" t="n"/>
      <c r="AR218" s="658" t="n"/>
      <c r="AS218" s="658" t="n"/>
      <c r="AT218" s="658" t="n"/>
      <c r="AU218" s="658" t="n"/>
      <c r="AV218" s="658" t="n"/>
      <c r="AW218" s="658" t="n"/>
      <c r="AX218" s="658" t="n"/>
      <c r="AY218" s="658" t="n"/>
      <c r="AZ218" s="2028" t="n"/>
      <c r="BA218" s="2029" t="n"/>
      <c r="BB218" s="2014" t="n"/>
      <c r="BC218" s="2014" t="n"/>
      <c r="BD218" s="2014" t="n"/>
      <c r="BE218" s="2014" t="n"/>
      <c r="BF218" s="2014" t="n"/>
      <c r="BG218" s="2014" t="n"/>
      <c r="BH218" s="2014" t="n"/>
      <c r="BI218" s="2014" t="n"/>
      <c r="BJ218" s="2014" t="n"/>
      <c r="BK218" s="2014" t="n"/>
      <c r="BL218" s="2014" t="n"/>
      <c r="BM218" s="2014" t="n"/>
      <c r="BN218" s="2014" t="n"/>
      <c r="BO218" s="2014" t="n"/>
      <c r="BP218" s="2014" t="n"/>
      <c r="BQ218" s="2014" t="n"/>
      <c r="BR218" s="2014" t="n"/>
      <c r="BS218" s="2014" t="n"/>
      <c r="BT218" s="2014" t="n"/>
      <c r="BU218" s="2014" t="n"/>
      <c r="BV218" s="2014" t="n"/>
      <c r="BW218" s="2014" t="n"/>
    </row>
    <row r="219" ht="15" customFormat="1" customHeight="1" s="7970">
      <c r="A219" s="2013" t="n"/>
      <c r="B219" s="11602" t="n"/>
      <c r="C219" s="7861" t="inlineStr">
        <is>
          <t>9</t>
        </is>
      </c>
      <c r="D219" s="8650" t="inlineStr">
        <is>
          <t>List your tax home(s) during your tax year and date(s) established.</t>
        </is>
      </c>
      <c r="E219" s="11602" t="n"/>
      <c r="F219" s="11602" t="n"/>
      <c r="G219" s="11602" t="n"/>
      <c r="H219" s="11602" t="n"/>
      <c r="I219" s="11602" t="n"/>
      <c r="J219" s="11602" t="n"/>
      <c r="K219" s="11602" t="n"/>
      <c r="L219" s="11602" t="n"/>
      <c r="M219" s="11602" t="n"/>
      <c r="N219" s="11602" t="n"/>
      <c r="O219" s="11602" t="n"/>
      <c r="P219" s="11602" t="n"/>
      <c r="Q219" s="11602" t="n"/>
      <c r="R219" s="11602" t="n"/>
      <c r="S219" s="11602" t="n"/>
      <c r="T219" s="11602" t="n"/>
      <c r="U219" s="9839" t="n"/>
      <c r="V219" s="12030" t="n"/>
      <c r="W219" s="12030" t="n"/>
      <c r="X219" s="12030" t="n"/>
      <c r="Y219" s="12030" t="n"/>
      <c r="Z219" s="12030" t="n"/>
      <c r="AA219" s="12030" t="n"/>
      <c r="AB219" s="12030" t="n"/>
      <c r="AC219" s="12030" t="n"/>
      <c r="AD219" s="12030" t="n"/>
      <c r="AE219" s="12030" t="n"/>
      <c r="AF219" s="12030" t="n"/>
      <c r="AG219" s="12030" t="n"/>
      <c r="AH219" s="12030" t="n"/>
      <c r="AI219" s="12030" t="n"/>
      <c r="AJ219" s="12030" t="n"/>
      <c r="AK219" s="2013" t="n"/>
      <c r="AL219" s="2014" t="n"/>
      <c r="AM219" s="2014" t="n"/>
      <c r="AN219" s="2014" t="n"/>
      <c r="AO219" s="2029" t="n"/>
      <c r="AP219" s="2014" t="n"/>
      <c r="AQ219" s="658" t="n"/>
      <c r="AR219" s="658" t="n"/>
      <c r="AS219" s="658" t="n"/>
      <c r="AT219" s="658" t="n"/>
      <c r="AU219" s="658" t="n"/>
      <c r="AV219" s="658" t="n"/>
      <c r="AW219" s="658" t="n"/>
      <c r="AX219" s="658" t="n"/>
      <c r="AY219" s="658" t="n"/>
      <c r="AZ219" s="2014" t="n"/>
      <c r="BA219" s="2029" t="n"/>
      <c r="BB219" s="2014" t="n"/>
      <c r="BC219" s="2014" t="n"/>
      <c r="BD219" s="2014" t="n"/>
      <c r="BE219" s="2028" t="n"/>
      <c r="BF219" s="2028" t="n"/>
      <c r="BG219" s="2014" t="n"/>
      <c r="BH219" s="2014" t="n"/>
      <c r="BI219" s="2014" t="n"/>
      <c r="BJ219" s="2014" t="n"/>
      <c r="BK219" s="2014" t="n"/>
      <c r="BL219" s="2014" t="n"/>
      <c r="BM219" s="2014" t="n"/>
      <c r="BN219" s="2014" t="n"/>
      <c r="BO219" s="2014" t="n"/>
      <c r="BP219" s="2014" t="n"/>
      <c r="BQ219" s="2014" t="n"/>
      <c r="BR219" s="2014" t="n"/>
      <c r="BS219" s="2014" t="n"/>
      <c r="BT219" s="2014" t="n"/>
      <c r="BU219" s="2014" t="n"/>
      <c r="BV219" s="2014" t="n"/>
      <c r="BW219" s="2014" t="n"/>
    </row>
    <row r="220" customFormat="1" s="7970">
      <c r="A220" s="2013" t="n"/>
      <c r="B220" s="413" t="n"/>
      <c r="C220" s="413" t="n"/>
      <c r="D220" s="9860" t="n"/>
      <c r="E220" s="11717" t="n"/>
      <c r="F220" s="11717" t="n"/>
      <c r="G220" s="11717" t="n"/>
      <c r="H220" s="11717" t="n"/>
      <c r="I220" s="11717" t="n"/>
      <c r="J220" s="11717" t="n"/>
      <c r="K220" s="11717" t="n"/>
      <c r="L220" s="11717" t="n"/>
      <c r="M220" s="11717" t="n"/>
      <c r="N220" s="11717" t="n"/>
      <c r="O220" s="11717" t="n"/>
      <c r="P220" s="11717" t="n"/>
      <c r="Q220" s="11717" t="n"/>
      <c r="R220" s="11717" t="n"/>
      <c r="S220" s="11717" t="n"/>
      <c r="T220" s="11717" t="n"/>
      <c r="U220" s="11717" t="n"/>
      <c r="V220" s="11717" t="n"/>
      <c r="W220" s="11717" t="n"/>
      <c r="X220" s="11717" t="n"/>
      <c r="Y220" s="11717" t="n"/>
      <c r="Z220" s="11717" t="n"/>
      <c r="AA220" s="11717" t="n"/>
      <c r="AB220" s="11717" t="n"/>
      <c r="AC220" s="11717" t="n"/>
      <c r="AD220" s="11717" t="n"/>
      <c r="AE220" s="11717" t="n"/>
      <c r="AF220" s="11717" t="n"/>
      <c r="AG220" s="11717" t="n"/>
      <c r="AH220" s="11717" t="n"/>
      <c r="AI220" s="11717" t="n"/>
      <c r="AJ220" s="11717" t="n"/>
      <c r="AK220" s="2013" t="n"/>
      <c r="AL220" s="2014" t="n"/>
      <c r="AM220" s="12432" t="n"/>
      <c r="AN220" s="2014" t="n"/>
      <c r="AO220" s="2029" t="n"/>
      <c r="AP220" s="2014" t="n"/>
      <c r="AQ220" s="658" t="n"/>
      <c r="AR220" s="658" t="n"/>
      <c r="AS220" s="658" t="n"/>
      <c r="AT220" s="658" t="n"/>
      <c r="AU220" s="658" t="n"/>
      <c r="AV220" s="658" t="n"/>
      <c r="AW220" s="658" t="n"/>
      <c r="AX220" s="658" t="n"/>
      <c r="AY220" s="658" t="n"/>
      <c r="AZ220" s="2014" t="n"/>
      <c r="BA220" s="2029" t="n"/>
      <c r="BB220" s="2014" t="n"/>
      <c r="BC220" s="2014" t="n"/>
      <c r="BD220" s="2014" t="n"/>
      <c r="BE220" s="2028" t="n"/>
      <c r="BF220" s="433" t="n"/>
      <c r="BG220" s="2014" t="n"/>
      <c r="BH220" s="2014" t="n"/>
      <c r="BI220" s="2014" t="n"/>
      <c r="BJ220" s="2014" t="n"/>
      <c r="BK220" s="2014" t="n"/>
      <c r="BL220" s="2014" t="n"/>
      <c r="BM220" s="2014" t="n"/>
      <c r="BN220" s="2014" t="n"/>
      <c r="BO220" s="2014" t="n"/>
      <c r="BP220" s="2014" t="n"/>
      <c r="BQ220" s="2014" t="n"/>
      <c r="BR220" s="2014" t="n"/>
      <c r="BS220" s="2014" t="n"/>
      <c r="BT220" s="2014" t="n"/>
      <c r="BU220" s="2014" t="n"/>
      <c r="BV220" s="2014" t="n"/>
      <c r="BW220" s="2014" t="n"/>
    </row>
    <row r="221" ht="6" customFormat="1" customHeight="1" s="7970">
      <c r="A221" s="2013" t="n"/>
      <c r="B221" s="2033" t="n"/>
      <c r="C221" s="2033" t="n"/>
      <c r="D221" s="2033" t="n"/>
      <c r="E221" s="2033" t="n"/>
      <c r="F221" s="2033" t="n"/>
      <c r="G221" s="2033" t="n"/>
      <c r="H221" s="2033" t="n"/>
      <c r="I221" s="2033" t="n"/>
      <c r="J221" s="2033" t="n"/>
      <c r="K221" s="2033" t="n"/>
      <c r="L221" s="2033" t="n"/>
      <c r="M221" s="2033" t="n"/>
      <c r="N221" s="2033" t="n"/>
      <c r="O221" s="2033" t="n"/>
      <c r="P221" s="2033" t="n"/>
      <c r="Q221" s="2033" t="n"/>
      <c r="R221" s="2033" t="n"/>
      <c r="S221" s="2033" t="n"/>
      <c r="T221" s="2033" t="n"/>
      <c r="U221" s="2033" t="n"/>
      <c r="V221" s="2033" t="n"/>
      <c r="W221" s="2033" t="n"/>
      <c r="X221" s="2033" t="n"/>
      <c r="Y221" s="2033" t="n"/>
      <c r="Z221" s="2033" t="n"/>
      <c r="AA221" s="2033" t="n"/>
      <c r="AB221" s="2033" t="n"/>
      <c r="AC221" s="2033" t="n"/>
      <c r="AD221" s="2033" t="n"/>
      <c r="AE221" s="2033" t="n"/>
      <c r="AF221" s="2033" t="n"/>
      <c r="AG221" s="2033" t="n"/>
      <c r="AH221" s="2033" t="n"/>
      <c r="AI221" s="2033" t="n"/>
      <c r="AJ221" s="2033" t="n"/>
      <c r="AK221" s="2013" t="n"/>
      <c r="AL221" s="2014" t="n"/>
      <c r="AM221" s="2034" t="n"/>
      <c r="AN221" s="2014" t="n"/>
      <c r="AO221" s="2029" t="n"/>
      <c r="AP221" s="2014" t="n"/>
      <c r="AQ221" s="658" t="n"/>
      <c r="AR221" s="658" t="n"/>
      <c r="AS221" s="658" t="n"/>
      <c r="AT221" s="658" t="n"/>
      <c r="AU221" s="658" t="n"/>
      <c r="AV221" s="658" t="n"/>
      <c r="AW221" s="658" t="n"/>
      <c r="AX221" s="658" t="n"/>
      <c r="AY221" s="658" t="n"/>
      <c r="AZ221" s="2014" t="n"/>
      <c r="BA221" s="2029" t="n"/>
      <c r="BB221" s="2014" t="n"/>
      <c r="BC221" s="2014" t="n"/>
      <c r="BD221" s="2014" t="n"/>
      <c r="BE221" s="2014" t="n"/>
      <c r="BF221" s="2014" t="n"/>
      <c r="BG221" s="2014" t="n"/>
      <c r="BH221" s="2014" t="n"/>
      <c r="BI221" s="2014" t="n"/>
      <c r="BJ221" s="2014" t="n"/>
      <c r="BK221" s="2014" t="n"/>
      <c r="BL221" s="2014" t="n"/>
      <c r="BM221" s="2014" t="n"/>
      <c r="BN221" s="2014" t="n"/>
      <c r="BO221" s="2014" t="n"/>
      <c r="BP221" s="2014" t="n"/>
      <c r="BQ221" s="2014" t="n"/>
      <c r="BR221" s="2014" t="n"/>
      <c r="BS221" s="2014" t="n"/>
      <c r="BT221" s="2014" t="n"/>
      <c r="BU221" s="2014" t="n"/>
      <c r="BV221" s="2014" t="n"/>
      <c r="BW221" s="2014" t="n"/>
    </row>
    <row r="222" ht="15.75" customFormat="1" customHeight="1" s="7970">
      <c r="A222" s="2013" t="n"/>
      <c r="B222" s="8296" t="inlineStr">
        <is>
          <t>Next, complete either Part II or Part III. If an item doesn't apply, enter “N/A.” If you don't give</t>
        </is>
      </c>
      <c r="AK222" s="2013" t="n"/>
      <c r="AL222" s="2014" t="n"/>
      <c r="AM222" s="12432" t="n"/>
      <c r="AN222" s="2028" t="n"/>
      <c r="AO222" s="2029" t="n"/>
      <c r="AP222" s="2014" t="n"/>
      <c r="AQ222" s="658" t="n"/>
      <c r="AR222" s="658" t="n"/>
      <c r="AS222" s="658" t="n"/>
      <c r="AT222" s="658" t="n"/>
      <c r="AU222" s="658" t="n"/>
      <c r="AV222" s="658" t="n"/>
      <c r="AW222" s="658" t="n"/>
      <c r="AX222" s="658" t="n"/>
      <c r="AY222" s="658" t="n"/>
      <c r="AZ222" s="2028" t="n"/>
      <c r="BA222" s="2029" t="n"/>
      <c r="BB222" s="2014" t="n"/>
      <c r="BC222" s="2014" t="n"/>
      <c r="BD222" s="2014" t="n"/>
      <c r="BE222" s="2014" t="n"/>
      <c r="BF222" s="2014" t="n"/>
      <c r="BG222" s="2014" t="n"/>
      <c r="BH222" s="2014" t="n"/>
      <c r="BI222" s="2014" t="n"/>
      <c r="BJ222" s="2014" t="n"/>
      <c r="BK222" s="2014" t="n"/>
      <c r="BL222" s="2014" t="n"/>
      <c r="BM222" s="2014" t="n"/>
      <c r="BN222" s="2014" t="n"/>
      <c r="BO222" s="2014" t="n"/>
      <c r="BP222" s="2014" t="n"/>
      <c r="BQ222" s="2014" t="n"/>
      <c r="BR222" s="2014" t="n"/>
      <c r="BS222" s="2014" t="n"/>
      <c r="BT222" s="2014" t="n"/>
      <c r="BU222" s="2014" t="n"/>
      <c r="BV222" s="2014" t="n"/>
      <c r="BW222" s="2014" t="n"/>
    </row>
    <row r="223" ht="15.75" customFormat="1" customHeight="1" s="7970">
      <c r="A223" s="2013" t="n"/>
      <c r="B223" s="8296" t="inlineStr">
        <is>
          <t>the information asked for, any exclusion or deduction you claim may be disallowed.</t>
        </is>
      </c>
      <c r="AK223" s="2013" t="n"/>
      <c r="AL223" s="2014" t="n"/>
      <c r="AM223" s="12432" t="n"/>
      <c r="AN223" s="2028" t="n"/>
      <c r="AO223" s="2029" t="n"/>
      <c r="AP223" s="2014" t="n"/>
      <c r="AQ223" s="658" t="n"/>
      <c r="AR223" s="658" t="n"/>
      <c r="AS223" s="658" t="n"/>
      <c r="AT223" s="658" t="n"/>
      <c r="AU223" s="658" t="n"/>
      <c r="AV223" s="658" t="n"/>
      <c r="AW223" s="658" t="n"/>
      <c r="AX223" s="658" t="n"/>
      <c r="AY223" s="658" t="n"/>
      <c r="AZ223" s="2028" t="n"/>
      <c r="BA223" s="2029" t="n"/>
      <c r="BB223" s="2014" t="n"/>
      <c r="BC223" s="2014" t="n"/>
      <c r="BD223" s="2014" t="n"/>
      <c r="BE223" s="2014" t="n"/>
      <c r="BF223" s="2014" t="n"/>
      <c r="BG223" s="2014" t="n"/>
      <c r="BH223" s="2014" t="n"/>
      <c r="BI223" s="2014" t="n"/>
      <c r="BJ223" s="2014" t="n"/>
      <c r="BK223" s="2014" t="n"/>
      <c r="BL223" s="2014" t="n"/>
      <c r="BM223" s="2014" t="n"/>
      <c r="BN223" s="2014" t="n"/>
      <c r="BO223" s="2014" t="n"/>
      <c r="BP223" s="2014" t="n"/>
      <c r="BQ223" s="2014" t="n"/>
      <c r="BR223" s="2014" t="n"/>
      <c r="BS223" s="2014" t="n"/>
      <c r="BT223" s="2014" t="n"/>
      <c r="BU223" s="2014" t="n"/>
      <c r="BV223" s="2014" t="n"/>
      <c r="BW223" s="2014" t="n"/>
    </row>
    <row r="224" ht="6" customFormat="1" customHeight="1" s="7970">
      <c r="A224" s="2013" t="n"/>
      <c r="B224" s="11602" t="n"/>
      <c r="C224" s="11602" t="n"/>
      <c r="D224" s="11602" t="n"/>
      <c r="E224" s="11602" t="n"/>
      <c r="F224" s="11602" t="n"/>
      <c r="G224" s="11602" t="n"/>
      <c r="H224" s="11602" t="n"/>
      <c r="I224" s="11602" t="n"/>
      <c r="J224" s="11602" t="n"/>
      <c r="K224" s="11602" t="n"/>
      <c r="L224" s="11602" t="n"/>
      <c r="M224" s="11602" t="n"/>
      <c r="N224" s="11602" t="n"/>
      <c r="O224" s="11602" t="n"/>
      <c r="P224" s="11602" t="n"/>
      <c r="Q224" s="11602" t="n"/>
      <c r="R224" s="11602" t="n"/>
      <c r="S224" s="11602" t="n"/>
      <c r="T224" s="11602" t="n"/>
      <c r="U224" s="11602" t="n"/>
      <c r="V224" s="11602" t="n"/>
      <c r="W224" s="11602" t="n"/>
      <c r="X224" s="11602" t="n"/>
      <c r="Y224" s="11602" t="n"/>
      <c r="Z224" s="11602" t="n"/>
      <c r="AA224" s="11602" t="n"/>
      <c r="AB224" s="11602" t="n"/>
      <c r="AC224" s="11602" t="n"/>
      <c r="AD224" s="11602" t="n"/>
      <c r="AE224" s="11602" t="n"/>
      <c r="AF224" s="11602" t="n"/>
      <c r="AG224" s="11602" t="n"/>
      <c r="AH224" s="11602" t="n"/>
      <c r="AI224" s="11602" t="n"/>
      <c r="AJ224" s="11602" t="n"/>
      <c r="AK224" s="2013" t="n"/>
      <c r="AL224" s="2014" t="n"/>
      <c r="AM224" s="2014" t="n"/>
      <c r="AN224" s="2014" t="n"/>
      <c r="AO224" s="2035" t="n"/>
      <c r="AP224" s="2014" t="n"/>
      <c r="AQ224" s="658" t="n"/>
      <c r="AR224" s="658" t="n"/>
      <c r="AS224" s="658" t="n"/>
      <c r="AT224" s="658" t="n"/>
      <c r="AU224" s="658" t="n"/>
      <c r="AV224" s="658" t="n"/>
      <c r="AW224" s="658" t="n"/>
      <c r="AX224" s="658" t="n"/>
      <c r="AY224" s="658" t="n"/>
      <c r="AZ224" s="2014" t="n"/>
      <c r="BA224" s="2035" t="n"/>
      <c r="BB224" s="2014" t="n"/>
      <c r="BC224" s="2014" t="n"/>
      <c r="BD224" s="2014" t="n"/>
      <c r="BE224" s="2028" t="n"/>
      <c r="BF224" s="433" t="n"/>
      <c r="BG224" s="2014" t="n"/>
      <c r="BH224" s="2014" t="n"/>
      <c r="BI224" s="2014" t="n"/>
      <c r="BJ224" s="2014" t="n"/>
      <c r="BK224" s="2014" t="n"/>
      <c r="BL224" s="2014" t="n"/>
      <c r="BM224" s="2014" t="n"/>
      <c r="BN224" s="2014" t="n"/>
      <c r="BO224" s="2014" t="n"/>
      <c r="BP224" s="2014" t="n"/>
      <c r="BQ224" s="2014" t="n"/>
      <c r="BR224" s="2014" t="n"/>
      <c r="BS224" s="2014" t="n"/>
      <c r="BT224" s="2014" t="n"/>
      <c r="BU224" s="2014" t="n"/>
      <c r="BV224" s="2014" t="n"/>
      <c r="BW224" s="2014" t="n"/>
    </row>
    <row r="225" ht="5.25" customHeight="1" s="7635">
      <c r="A225" s="2013" t="n"/>
      <c r="B225" s="2036" t="n"/>
      <c r="C225" s="2036" t="n"/>
      <c r="D225" s="2036" t="n"/>
      <c r="E225" s="2036" t="n"/>
      <c r="F225" s="2036" t="n"/>
      <c r="G225" s="2036" t="n"/>
      <c r="H225" s="2036" t="n"/>
      <c r="I225" s="2036" t="n"/>
      <c r="J225" s="2036" t="n"/>
      <c r="K225" s="2036" t="n"/>
      <c r="L225" s="2036" t="n"/>
      <c r="M225" s="2036" t="n"/>
      <c r="N225" s="2036" t="n"/>
      <c r="O225" s="2036" t="n"/>
      <c r="P225" s="2036" t="n"/>
      <c r="Q225" s="2036" t="n"/>
      <c r="R225" s="2036" t="n"/>
      <c r="S225" s="2036" t="n"/>
      <c r="T225" s="2036" t="n"/>
      <c r="U225" s="2036" t="n"/>
      <c r="V225" s="2036" t="n"/>
      <c r="W225" s="2036" t="n"/>
      <c r="X225" s="2036" t="n"/>
      <c r="Y225" s="2036" t="n"/>
      <c r="Z225" s="2036" t="n"/>
      <c r="AA225" s="2036" t="n"/>
      <c r="AB225" s="2036" t="n"/>
      <c r="AC225" s="2036" t="n"/>
      <c r="AD225" s="2036" t="n"/>
      <c r="AE225" s="2036" t="n"/>
      <c r="AF225" s="2036" t="n"/>
      <c r="AG225" s="2036" t="n"/>
      <c r="AH225" s="2036" t="n"/>
      <c r="AI225" s="2036" t="n"/>
      <c r="AJ225" s="2036" t="n"/>
      <c r="AK225" s="2013" t="n"/>
    </row>
    <row r="226" ht="15" customHeight="1" s="7635">
      <c r="A226" s="2013" t="n"/>
      <c r="B226" s="9775" t="inlineStr">
        <is>
          <t>Part II</t>
        </is>
      </c>
      <c r="C226" s="8412" t="n"/>
      <c r="D226" s="2037" t="inlineStr">
        <is>
          <t>Taxpayers Qualifying Under Bona Fide Residence Test</t>
        </is>
      </c>
      <c r="E226" s="1990" t="n"/>
      <c r="F226" s="1990" t="n"/>
      <c r="G226" s="1990" t="n"/>
      <c r="H226" s="1990" t="n"/>
      <c r="I226" s="1990" t="n"/>
      <c r="J226" s="1990" t="n"/>
      <c r="K226" s="1990" t="n"/>
      <c r="L226" s="1990" t="n"/>
      <c r="M226" s="1990" t="n"/>
      <c r="N226" s="1990" t="n"/>
      <c r="O226" s="1990" t="n"/>
      <c r="P226" s="1990" t="n"/>
      <c r="Q226" s="1990" t="n"/>
      <c r="R226" s="1990" t="n"/>
      <c r="S226" s="1990" t="n"/>
      <c r="T226" s="1990" t="n"/>
      <c r="U226" s="1990" t="n"/>
      <c r="V226" s="1990" t="n"/>
      <c r="W226" s="1990" t="n"/>
      <c r="X226" s="1990" t="n"/>
      <c r="Y226" s="1990" t="n"/>
      <c r="Z226" s="1990" t="n"/>
      <c r="AA226" s="1990" t="n"/>
      <c r="AB226" s="1990" t="n"/>
      <c r="AC226" s="1990" t="n"/>
      <c r="AD226" s="1990" t="n"/>
      <c r="AE226" s="1990" t="n"/>
      <c r="AF226" s="1990" t="n"/>
      <c r="AG226" s="1990" t="n"/>
      <c r="AH226" s="1990" t="n"/>
      <c r="AI226" s="1990" t="n"/>
      <c r="AJ226" s="1990" t="n"/>
      <c r="AK226" s="2013" t="n"/>
    </row>
    <row r="227" ht="15.75" customHeight="1" s="7635">
      <c r="A227" s="2013" t="n"/>
      <c r="B227" s="1990" t="n"/>
      <c r="C227" s="1990" t="n"/>
      <c r="D227" s="1990" t="n"/>
      <c r="E227" s="9847" t="inlineStr">
        <is>
          <t>Note: Only U.S. citizens and resident aliens who are citizens or nationals of U.S. treaty countries can use this</t>
        </is>
      </c>
      <c r="AK227" s="2013" t="n"/>
    </row>
    <row r="228" ht="15.75" customHeight="1" s="7635">
      <c r="A228" s="2013" t="n"/>
      <c r="B228" s="1999" t="n"/>
      <c r="C228" s="1999" t="n"/>
      <c r="D228" s="1999" t="n"/>
      <c r="E228" s="10157" t="inlineStr">
        <is>
          <t>test. See instructions.</t>
        </is>
      </c>
      <c r="F228" s="10567" t="n"/>
      <c r="G228" s="10567" t="n"/>
      <c r="H228" s="10567" t="n"/>
      <c r="I228" s="10567" t="n"/>
      <c r="J228" s="10567" t="n"/>
      <c r="K228" s="10567" t="n"/>
      <c r="L228" s="10567" t="n"/>
      <c r="M228" s="10567" t="n"/>
      <c r="N228" s="10567" t="n"/>
      <c r="O228" s="10567" t="n"/>
      <c r="P228" s="10567" t="n"/>
      <c r="Q228" s="10567" t="n"/>
      <c r="R228" s="10567" t="n"/>
      <c r="S228" s="10567" t="n"/>
      <c r="T228" s="10567" t="n"/>
      <c r="U228" s="10567" t="n"/>
      <c r="V228" s="10567" t="n"/>
      <c r="W228" s="10567" t="n"/>
      <c r="X228" s="10567" t="n"/>
      <c r="Y228" s="10567" t="n"/>
      <c r="Z228" s="10567" t="n"/>
      <c r="AA228" s="10567" t="n"/>
      <c r="AB228" s="10567" t="n"/>
      <c r="AC228" s="10567" t="n"/>
      <c r="AD228" s="10567" t="n"/>
      <c r="AE228" s="10567" t="n"/>
      <c r="AF228" s="10567" t="n"/>
      <c r="AG228" s="10567" t="n"/>
      <c r="AH228" s="10567" t="n"/>
      <c r="AI228" s="10567" t="n"/>
      <c r="AJ228" s="10567" t="n"/>
      <c r="AK228" s="2013" t="n"/>
    </row>
    <row r="229" ht="13.5" customFormat="1" customHeight="1" s="7970">
      <c r="A229" s="2013" t="n"/>
      <c r="B229" s="11602" t="n"/>
      <c r="C229" s="7861" t="inlineStr">
        <is>
          <t>10</t>
        </is>
      </c>
      <c r="D229" s="8650" t="inlineStr">
        <is>
          <t>Date bona fide residence began</t>
        </is>
      </c>
      <c r="E229" s="11602" t="n"/>
      <c r="F229" s="11602" t="n"/>
      <c r="G229" s="11602" t="n"/>
      <c r="H229" s="11602" t="n"/>
      <c r="I229" s="11602" t="n"/>
      <c r="J229" s="11602" t="n"/>
      <c r="K229" s="11602" t="n"/>
      <c r="L229" s="11602" t="n"/>
      <c r="M229" s="12456" t="n"/>
      <c r="N229" s="12431" t="n"/>
      <c r="O229" s="12431" t="n"/>
      <c r="P229" s="12431" t="n"/>
      <c r="Q229" s="12431" t="n"/>
      <c r="R229" s="12431" t="n"/>
      <c r="S229" s="12431" t="n"/>
      <c r="T229" s="12431" t="n"/>
      <c r="U229" s="344" t="inlineStr">
        <is>
          <t>, and ended</t>
        </is>
      </c>
      <c r="V229" s="11602" t="n"/>
      <c r="W229" s="11602" t="n"/>
      <c r="X229" s="11602" t="n"/>
      <c r="Y229" s="12433" t="n"/>
      <c r="Z229" s="11730" t="n"/>
      <c r="AA229" s="11730" t="n"/>
      <c r="AB229" s="11730" t="n"/>
      <c r="AC229" s="11730" t="n"/>
      <c r="AD229" s="11730" t="n"/>
      <c r="AE229" s="11730" t="n"/>
      <c r="AF229" s="11730" t="n"/>
      <c r="AG229" s="11730" t="n"/>
      <c r="AH229" s="11730" t="n"/>
      <c r="AI229" s="11730" t="n"/>
      <c r="AJ229" s="11730" t="n"/>
      <c r="AK229" s="2013" t="n"/>
      <c r="AL229" s="2014" t="n"/>
      <c r="AM229" s="2014" t="n"/>
      <c r="AN229" s="2014" t="n"/>
      <c r="AO229" s="2029" t="n"/>
      <c r="AP229" s="2014" t="n"/>
      <c r="AQ229" s="658" t="n"/>
      <c r="AR229" s="658" t="n"/>
      <c r="AS229" s="658" t="n"/>
      <c r="AT229" s="658" t="n"/>
      <c r="AU229" s="658" t="n"/>
      <c r="AV229" s="658" t="n"/>
      <c r="AW229" s="658" t="n"/>
      <c r="AX229" s="658" t="n"/>
      <c r="AY229" s="658" t="n"/>
      <c r="AZ229" s="2014" t="n"/>
      <c r="BA229" s="2029" t="n"/>
      <c r="BB229" s="2014" t="n"/>
      <c r="BC229" s="2014" t="n"/>
      <c r="BD229" s="2014" t="n"/>
      <c r="BE229" s="2014" t="n"/>
      <c r="BF229" s="2014" t="n"/>
      <c r="BG229" s="2014" t="n"/>
      <c r="BH229" s="2014" t="n"/>
      <c r="BI229" s="2014" t="n"/>
      <c r="BJ229" s="2014" t="n"/>
      <c r="BK229" s="2014" t="n"/>
      <c r="BL229" s="2014" t="n"/>
      <c r="BM229" s="2014" t="n"/>
      <c r="BN229" s="2014" t="n"/>
      <c r="BO229" s="2014" t="n"/>
      <c r="BP229" s="2014" t="n"/>
      <c r="BQ229" s="2014" t="n"/>
      <c r="BR229" s="2014" t="n"/>
      <c r="BS229" s="2014" t="n"/>
      <c r="BT229" s="2014" t="n"/>
      <c r="BU229" s="2014" t="n"/>
      <c r="BV229" s="2014" t="n"/>
      <c r="BW229" s="2014" t="n"/>
    </row>
    <row r="230" ht="5.25" customHeight="1" s="7635" thickBot="1">
      <c r="A230" s="2013" t="n"/>
      <c r="B230" s="11602" t="n"/>
      <c r="C230" s="11602" t="n"/>
      <c r="D230" s="11602" t="n"/>
      <c r="E230" s="11602" t="n"/>
      <c r="F230" s="11602" t="n"/>
      <c r="G230" s="11602" t="n"/>
      <c r="H230" s="11602" t="n"/>
      <c r="I230" s="11602" t="n"/>
      <c r="J230" s="11602" t="n"/>
      <c r="K230" s="11602" t="n"/>
      <c r="L230" s="11602" t="n"/>
      <c r="M230" s="11602" t="n"/>
      <c r="N230" s="11602" t="n"/>
      <c r="O230" s="11602" t="n"/>
      <c r="P230" s="11602" t="n"/>
      <c r="Q230" s="11602" t="n"/>
      <c r="R230" s="11602" t="n"/>
      <c r="S230" s="11602" t="n"/>
      <c r="T230" s="11602" t="n"/>
      <c r="U230" s="11602" t="n"/>
      <c r="V230" s="11602" t="n"/>
      <c r="W230" s="11602" t="n"/>
      <c r="X230" s="11602" t="n"/>
      <c r="Y230" s="11602" t="n"/>
      <c r="Z230" s="11602" t="n"/>
      <c r="AA230" s="11602" t="n"/>
      <c r="AB230" s="11602" t="n"/>
      <c r="AC230" s="11602" t="n"/>
      <c r="AD230" s="11602" t="n"/>
      <c r="AE230" s="11602" t="n"/>
      <c r="AF230" s="11602" t="n"/>
      <c r="AG230" s="11602" t="n"/>
      <c r="AH230" s="11602" t="n"/>
      <c r="AI230" s="11602" t="n"/>
      <c r="AJ230" s="11602" t="n"/>
      <c r="AK230" s="2013" t="n"/>
      <c r="BL230" s="2027" t="n"/>
      <c r="BM230" s="2027" t="n"/>
      <c r="BO230" s="2027" t="n"/>
      <c r="BP230" s="2027" t="n"/>
      <c r="BQ230" s="2027" t="n"/>
      <c r="BR230" s="2027" t="n"/>
      <c r="BS230" s="2027" t="n"/>
      <c r="BT230" s="2027" t="n"/>
      <c r="BU230" s="2027" t="n"/>
      <c r="BV230" s="2027" t="n"/>
    </row>
    <row r="231" ht="13.5" customFormat="1" customHeight="1" s="7970" thickBot="1">
      <c r="A231" s="2013" t="n"/>
      <c r="B231" s="11602" t="n"/>
      <c r="C231" s="7861" t="inlineStr">
        <is>
          <t>11</t>
        </is>
      </c>
      <c r="D231" s="8650" t="inlineStr">
        <is>
          <t>Kind of living quarters in foreign country</t>
        </is>
      </c>
      <c r="E231" s="11602" t="n"/>
      <c r="F231" s="11602" t="n"/>
      <c r="G231" s="11602" t="n"/>
      <c r="H231" s="11602" t="n"/>
      <c r="I231" s="11602" t="n"/>
      <c r="J231" s="11602" t="n"/>
      <c r="K231" s="11602" t="n"/>
      <c r="L231" s="11602" t="n"/>
      <c r="M231" s="11602" t="n"/>
      <c r="N231" s="2039" t="inlineStr">
        <is>
          <t>a</t>
        </is>
      </c>
      <c r="O231" s="277" t="n"/>
      <c r="P231" s="344" t="inlineStr">
        <is>
          <t xml:space="preserve"> Purchased house</t>
        </is>
      </c>
      <c r="Q231" s="11602" t="n"/>
      <c r="R231" s="11602" t="n"/>
      <c r="S231" s="11602" t="n"/>
      <c r="T231" s="11602" t="n"/>
      <c r="U231" s="2039" t="inlineStr">
        <is>
          <t>b</t>
        </is>
      </c>
      <c r="V231" s="277" t="n"/>
      <c r="W231" s="344" t="inlineStr">
        <is>
          <t>Rented house or apartment</t>
        </is>
      </c>
      <c r="X231" s="11602" t="n"/>
      <c r="Y231" s="11602" t="n"/>
      <c r="Z231" s="11602" t="n"/>
      <c r="AA231" s="11602" t="n"/>
      <c r="AB231" s="11602" t="n"/>
      <c r="AC231" s="11602" t="n"/>
      <c r="AD231" s="2039" t="inlineStr">
        <is>
          <t>c</t>
        </is>
      </c>
      <c r="AE231" s="277" t="n"/>
      <c r="AF231" s="344" t="inlineStr">
        <is>
          <t>Rented room</t>
        </is>
      </c>
      <c r="AG231" s="11602" t="n"/>
      <c r="AH231" s="11602" t="n"/>
      <c r="AI231" s="11602" t="n"/>
      <c r="AJ231" s="11602" t="n"/>
      <c r="AK231" s="2013" t="n"/>
      <c r="AL231" s="2014" t="n"/>
      <c r="AM231" s="2014" t="n"/>
      <c r="AN231" s="2028" t="n"/>
      <c r="AO231" s="2029" t="n"/>
      <c r="AP231" s="2014" t="n"/>
      <c r="AQ231" s="658" t="n"/>
      <c r="AR231" s="658" t="n"/>
      <c r="AS231" s="658" t="n"/>
      <c r="AT231" s="658" t="n"/>
      <c r="AU231" s="658" t="n"/>
      <c r="AV231" s="658" t="n"/>
      <c r="AW231" s="658" t="n"/>
      <c r="AX231" s="658" t="n"/>
      <c r="AY231" s="658" t="n"/>
      <c r="AZ231" s="2028" t="n"/>
      <c r="BA231" s="2029" t="n"/>
      <c r="BB231" s="2014" t="n"/>
      <c r="BC231" s="2014" t="n"/>
      <c r="BD231" s="2014" t="n"/>
      <c r="BE231" s="2014" t="n"/>
      <c r="BF231" s="2028" t="n"/>
      <c r="BG231" s="2040" t="n"/>
      <c r="BH231" s="2014" t="n"/>
      <c r="BI231" s="2014" t="n"/>
      <c r="BJ231" s="2014" t="n"/>
      <c r="BK231" s="2014" t="n"/>
      <c r="BL231" s="2014" t="n"/>
      <c r="BM231" s="2014" t="n"/>
      <c r="BN231" s="2014" t="n"/>
      <c r="BO231" s="2014" t="n"/>
      <c r="BP231" s="2014" t="n"/>
      <c r="BQ231" s="2014" t="n"/>
      <c r="BR231" s="2014" t="n"/>
      <c r="BS231" s="2014" t="n"/>
      <c r="BT231" s="2014" t="n"/>
      <c r="BU231" s="2014" t="n"/>
      <c r="BV231" s="2014" t="n"/>
      <c r="BW231" s="2014" t="n"/>
    </row>
    <row r="232" ht="5.25" customFormat="1" customHeight="1" s="7970" thickBot="1">
      <c r="A232" s="2013" t="n"/>
      <c r="B232" s="11602" t="n"/>
      <c r="C232" s="11602" t="n"/>
      <c r="D232" s="11602" t="n"/>
      <c r="E232" s="11602" t="n"/>
      <c r="F232" s="11602" t="n"/>
      <c r="G232" s="11602" t="n"/>
      <c r="H232" s="11602" t="n"/>
      <c r="I232" s="11602" t="n"/>
      <c r="J232" s="11602" t="n"/>
      <c r="K232" s="11602" t="n"/>
      <c r="L232" s="11602" t="n"/>
      <c r="M232" s="11602" t="n"/>
      <c r="N232" s="11602" t="n"/>
      <c r="O232" s="11602" t="n"/>
      <c r="P232" s="11602" t="n"/>
      <c r="Q232" s="11602" t="n"/>
      <c r="R232" s="11602" t="n"/>
      <c r="S232" s="11602" t="n"/>
      <c r="T232" s="11602" t="n"/>
      <c r="U232" s="11602" t="n"/>
      <c r="V232" s="11602" t="n"/>
      <c r="W232" s="11602" t="n"/>
      <c r="X232" s="11602" t="n"/>
      <c r="Y232" s="11602" t="n"/>
      <c r="Z232" s="11602" t="n"/>
      <c r="AA232" s="11602" t="n"/>
      <c r="AB232" s="11602" t="n"/>
      <c r="AC232" s="11602" t="n"/>
      <c r="AD232" s="11602" t="n"/>
      <c r="AE232" s="11602" t="n"/>
      <c r="AF232" s="11602" t="n"/>
      <c r="AG232" s="11602" t="n"/>
      <c r="AH232" s="11602" t="n"/>
      <c r="AI232" s="11602" t="n"/>
      <c r="AJ232" s="11602" t="n"/>
      <c r="AK232" s="2013" t="n"/>
      <c r="AL232" s="2014" t="n"/>
      <c r="AM232" s="2014" t="n"/>
      <c r="AN232" s="2014" t="n"/>
      <c r="AO232" s="2029" t="n"/>
      <c r="AP232" s="2014" t="n"/>
      <c r="AQ232" s="658" t="n"/>
      <c r="AR232" s="658" t="n"/>
      <c r="AS232" s="658" t="n"/>
      <c r="AT232" s="658" t="n"/>
      <c r="AU232" s="658" t="n"/>
      <c r="AV232" s="658" t="n"/>
      <c r="AW232" s="658" t="n"/>
      <c r="AX232" s="658" t="n"/>
      <c r="AY232" s="658" t="n"/>
      <c r="AZ232" s="2014" t="n"/>
      <c r="BA232" s="2029" t="n"/>
      <c r="BB232" s="2014" t="n"/>
      <c r="BC232" s="2014" t="n"/>
      <c r="BD232" s="2014" t="n"/>
      <c r="BE232" s="2014" t="n"/>
      <c r="BF232" s="2014" t="n"/>
      <c r="BG232" s="2014" t="n"/>
      <c r="BH232" s="2014" t="n"/>
      <c r="BI232" s="2014" t="n"/>
      <c r="BJ232" s="2014" t="n"/>
      <c r="BK232" s="2014" t="n"/>
      <c r="BL232" s="2014" t="n"/>
      <c r="BM232" s="2014" t="n"/>
      <c r="BN232" s="2014" t="n"/>
      <c r="BO232" s="2014" t="n"/>
      <c r="BP232" s="2014" t="n"/>
      <c r="BQ232" s="2014" t="n"/>
      <c r="BR232" s="2014" t="n"/>
      <c r="BS232" s="2014" t="n"/>
      <c r="BT232" s="2014" t="n"/>
      <c r="BU232" s="2014" t="n"/>
      <c r="BV232" s="2014" t="n"/>
      <c r="BW232" s="2014" t="n"/>
    </row>
    <row r="233" ht="13.5" customFormat="1" customHeight="1" s="7970" thickBot="1">
      <c r="A233" s="2013" t="n"/>
      <c r="B233" s="11602" t="n"/>
      <c r="C233" s="11602" t="n"/>
      <c r="D233" s="11602" t="n"/>
      <c r="E233" s="11602" t="n"/>
      <c r="F233" s="11602" t="n"/>
      <c r="G233" s="11602" t="n"/>
      <c r="H233" s="11602" t="n"/>
      <c r="I233" s="11602" t="n"/>
      <c r="J233" s="11602" t="n"/>
      <c r="K233" s="11602" t="n"/>
      <c r="L233" s="11602" t="n"/>
      <c r="M233" s="11602" t="n"/>
      <c r="N233" s="2039" t="inlineStr">
        <is>
          <t>d</t>
        </is>
      </c>
      <c r="O233" s="277" t="n"/>
      <c r="P233" s="344" t="inlineStr">
        <is>
          <t xml:space="preserve"> Quarters furnished by employer</t>
        </is>
      </c>
      <c r="Q233" s="11602" t="n"/>
      <c r="R233" s="11602" t="n"/>
      <c r="S233" s="11602" t="n"/>
      <c r="T233" s="11602" t="n"/>
      <c r="U233" s="11602" t="n"/>
      <c r="V233" s="11602" t="n"/>
      <c r="W233" s="11602" t="n"/>
      <c r="X233" s="11602" t="n"/>
      <c r="Y233" s="11602" t="n"/>
      <c r="Z233" s="11602" t="n"/>
      <c r="AA233" s="11602" t="n"/>
      <c r="AB233" s="11602" t="n"/>
      <c r="AC233" s="11602" t="n"/>
      <c r="AD233" s="11602" t="n"/>
      <c r="AE233" s="11602" t="n"/>
      <c r="AF233" s="11602" t="n"/>
      <c r="AG233" s="11602" t="n"/>
      <c r="AH233" s="11602" t="n"/>
      <c r="AI233" s="11602" t="n"/>
      <c r="AJ233" s="11602" t="n"/>
      <c r="AK233" s="2013" t="n"/>
      <c r="AL233" s="2014" t="n"/>
      <c r="AM233" s="2014" t="n"/>
      <c r="AN233" s="2028" t="n"/>
      <c r="AO233" s="2029" t="n"/>
      <c r="AP233" s="2014" t="n"/>
      <c r="AQ233" s="658" t="n"/>
      <c r="AR233" s="658" t="n"/>
      <c r="AS233" s="658" t="n"/>
      <c r="AT233" s="658" t="n"/>
      <c r="AU233" s="658" t="n"/>
      <c r="AV233" s="658" t="n"/>
      <c r="AW233" s="658" t="n"/>
      <c r="AX233" s="658" t="n"/>
      <c r="AY233" s="658" t="n"/>
      <c r="AZ233" s="2028" t="n"/>
      <c r="BA233" s="2029" t="n"/>
      <c r="BB233" s="2014" t="n"/>
      <c r="BC233" s="2014" t="n"/>
      <c r="BD233" s="2014" t="n"/>
      <c r="BE233" s="2014" t="n"/>
      <c r="BF233" s="2028" t="n"/>
      <c r="BG233" s="2040" t="n"/>
      <c r="BH233" s="2014" t="n"/>
      <c r="BI233" s="434" t="n"/>
      <c r="BJ233" s="434" t="n"/>
      <c r="BK233" s="2014" t="n"/>
      <c r="BL233" s="2014" t="n"/>
      <c r="BM233" s="2014" t="n"/>
      <c r="BN233" s="2014" t="n"/>
      <c r="BO233" s="2014" t="n"/>
      <c r="BP233" s="2014" t="n"/>
      <c r="BQ233" s="2014" t="n"/>
      <c r="BR233" s="2014" t="n"/>
      <c r="BS233" s="2014" t="n"/>
      <c r="BT233" s="2014" t="n"/>
      <c r="BU233" s="2014" t="n"/>
      <c r="BV233" s="2014" t="n"/>
      <c r="BW233" s="2014" t="n"/>
    </row>
    <row r="234" ht="15.75" customFormat="1" customHeight="1" s="7970" thickBot="1">
      <c r="A234" s="2013" t="n"/>
      <c r="B234" s="11602" t="n"/>
      <c r="C234" s="734" t="inlineStr">
        <is>
          <t xml:space="preserve">12 a </t>
        </is>
      </c>
      <c r="D234" s="8650" t="inlineStr">
        <is>
          <t>Did any of your family live with you abroad during any part of the tax year?</t>
        </is>
      </c>
      <c r="E234" s="11602" t="n"/>
      <c r="F234" s="11602" t="n"/>
      <c r="G234" s="11602" t="n"/>
      <c r="H234" s="11602" t="n"/>
      <c r="I234" s="11602" t="n"/>
      <c r="J234" s="11602" t="n"/>
      <c r="K234" s="11602" t="n"/>
      <c r="L234" s="11602" t="n"/>
      <c r="M234" s="11602" t="n"/>
      <c r="N234" s="11602" t="n"/>
      <c r="O234" s="11602" t="n"/>
      <c r="P234" s="11602" t="n"/>
      <c r="Q234" s="11602" t="n"/>
      <c r="R234" s="11602" t="n"/>
      <c r="S234" s="11602" t="n"/>
      <c r="T234" s="11602" t="n"/>
      <c r="U234" s="11602" t="n"/>
      <c r="V234" s="11602" t="n"/>
      <c r="W234" s="11602" t="n"/>
      <c r="X234" s="11602" t="n"/>
      <c r="Y234" s="11602" t="n"/>
      <c r="Z234" s="11602" t="n"/>
      <c r="AA234" s="11602" t="n"/>
      <c r="AB234" s="11602" t="n"/>
      <c r="AC234" s="11602" t="n"/>
      <c r="AD234" s="2031" t="inlineStr">
        <is>
          <t xml:space="preserve">.   .   .   .   .   .   .   .   .   .   .   .   .   .   .   .   . </t>
        </is>
      </c>
      <c r="AE234" s="277" t="n"/>
      <c r="AF234" s="7886" t="inlineStr">
        <is>
          <t>Yes</t>
        </is>
      </c>
      <c r="AG234" s="11602" t="n"/>
      <c r="AH234" s="277" t="n"/>
      <c r="AI234" s="7886" t="inlineStr">
        <is>
          <t>No</t>
        </is>
      </c>
      <c r="AJ234" s="11602" t="n"/>
      <c r="AK234" s="2013" t="n"/>
      <c r="AL234" s="2014" t="n"/>
      <c r="AM234" s="2014" t="n"/>
      <c r="AN234" s="2014" t="n"/>
      <c r="AO234" s="2029" t="n"/>
      <c r="AP234" s="2014" t="n"/>
      <c r="AQ234" s="658" t="n"/>
      <c r="AR234" s="658" t="n"/>
      <c r="AS234" s="658" t="n"/>
      <c r="AT234" s="658" t="n"/>
      <c r="AU234" s="658" t="n"/>
      <c r="AV234" s="658" t="n"/>
      <c r="AW234" s="658" t="n"/>
      <c r="AX234" s="658" t="n"/>
      <c r="AY234" s="658" t="n"/>
      <c r="AZ234" s="2014" t="n"/>
      <c r="BA234" s="2029" t="n"/>
      <c r="BB234" s="2014" t="n"/>
      <c r="BC234" s="2014" t="n"/>
      <c r="BD234" s="2014" t="n"/>
      <c r="BE234" s="2014" t="n"/>
      <c r="BF234" s="2014" t="n"/>
      <c r="BG234" s="2014" t="n"/>
      <c r="BH234" s="2014" t="n"/>
      <c r="BI234" s="2014" t="n"/>
      <c r="BJ234" s="2014" t="n"/>
      <c r="BK234" s="2014" t="n"/>
      <c r="BL234" s="2014" t="n"/>
      <c r="BM234" s="2014" t="n"/>
      <c r="BN234" s="2014" t="n"/>
      <c r="BO234" s="2014" t="n"/>
      <c r="BP234" s="2014" t="n"/>
      <c r="BQ234" s="2014" t="n"/>
      <c r="BR234" s="2014" t="n"/>
      <c r="BS234" s="2014" t="n"/>
      <c r="BT234" s="2014" t="n"/>
      <c r="BU234" s="2014" t="n"/>
      <c r="BV234" s="2014" t="n"/>
      <c r="BW234" s="2014" t="n"/>
    </row>
    <row r="235" ht="12.75" customFormat="1" customHeight="1" s="7970">
      <c r="A235" s="2013" t="n"/>
      <c r="B235" s="11602" t="n"/>
      <c r="C235" s="734" t="inlineStr">
        <is>
          <t xml:space="preserve">b </t>
        </is>
      </c>
      <c r="D235" s="8650" t="inlineStr">
        <is>
          <t>If “Yes,” who and for what period?</t>
        </is>
      </c>
      <c r="E235" s="11602" t="n"/>
      <c r="F235" s="11602" t="n"/>
      <c r="G235" s="11602" t="n"/>
      <c r="H235" s="11602" t="n"/>
      <c r="I235" s="11602" t="n"/>
      <c r="J235" s="11602" t="n"/>
      <c r="K235" s="11602" t="n"/>
      <c r="L235" s="11602" t="n"/>
      <c r="M235" s="9759" t="n"/>
      <c r="N235" s="11730" t="n"/>
      <c r="O235" s="11730" t="n"/>
      <c r="P235" s="11730" t="n"/>
      <c r="Q235" s="11730" t="n"/>
      <c r="R235" s="11730" t="n"/>
      <c r="S235" s="11730" t="n"/>
      <c r="T235" s="11730" t="n"/>
      <c r="U235" s="11730" t="n"/>
      <c r="V235" s="11730" t="n"/>
      <c r="W235" s="11730" t="n"/>
      <c r="X235" s="11730" t="n"/>
      <c r="Y235" s="11730" t="n"/>
      <c r="Z235" s="11730" t="n"/>
      <c r="AA235" s="11730" t="n"/>
      <c r="AB235" s="11730" t="n"/>
      <c r="AC235" s="11730" t="n"/>
      <c r="AD235" s="11730" t="n"/>
      <c r="AE235" s="11730" t="n"/>
      <c r="AF235" s="11730" t="n"/>
      <c r="AG235" s="11730" t="n"/>
      <c r="AH235" s="11730" t="n"/>
      <c r="AI235" s="11730" t="n"/>
      <c r="AJ235" s="11730" t="n"/>
      <c r="AK235" s="2013" t="n"/>
      <c r="AL235" s="2014" t="n"/>
      <c r="AM235" s="2014" t="n"/>
      <c r="AN235" s="2041" t="n"/>
      <c r="AO235" s="2025" t="n"/>
      <c r="AP235" s="2025" t="n"/>
      <c r="AQ235" s="658" t="n"/>
      <c r="AR235" s="658" t="n"/>
      <c r="AS235" s="658" t="n"/>
      <c r="AT235" s="658" t="n"/>
      <c r="AU235" s="658" t="n"/>
      <c r="AV235" s="658" t="n"/>
      <c r="AW235" s="658" t="n"/>
      <c r="AX235" s="658" t="n"/>
      <c r="AY235" s="658" t="n"/>
      <c r="AZ235" s="2041" t="n"/>
      <c r="BA235" s="2025" t="n"/>
      <c r="BB235" s="2025" t="n"/>
      <c r="BC235" s="2025" t="n"/>
      <c r="BD235" s="2025" t="n"/>
      <c r="BE235" s="2025" t="n"/>
      <c r="BF235" s="2025" t="n"/>
      <c r="BG235" s="2025" t="n"/>
      <c r="BH235" s="2025" t="n"/>
      <c r="BI235" s="2025" t="n"/>
      <c r="BJ235" s="2025" t="n"/>
      <c r="BK235" s="2014" t="n"/>
      <c r="BL235" s="2014" t="n"/>
      <c r="BM235" s="2014" t="n"/>
      <c r="BN235" s="2014" t="n"/>
      <c r="BO235" s="2014" t="n"/>
      <c r="BP235" s="2014" t="n"/>
      <c r="BQ235" s="2014" t="n"/>
      <c r="BR235" s="2014" t="n"/>
      <c r="BS235" s="2014" t="n"/>
      <c r="BT235" s="2014" t="n"/>
      <c r="BU235" s="2014" t="n"/>
      <c r="BV235" s="2014" t="n"/>
      <c r="BW235" s="2014" t="n"/>
    </row>
    <row r="236" ht="5.25" customFormat="1" customHeight="1" s="7970">
      <c r="A236" s="2013" t="n"/>
      <c r="B236" s="11602" t="n"/>
      <c r="C236" s="11602" t="n"/>
      <c r="D236" s="11602" t="n"/>
      <c r="E236" s="11602" t="n"/>
      <c r="F236" s="11602" t="n"/>
      <c r="G236" s="11602" t="n"/>
      <c r="H236" s="11602" t="n"/>
      <c r="I236" s="11602" t="n"/>
      <c r="J236" s="11602" t="n"/>
      <c r="K236" s="11602" t="n"/>
      <c r="L236" s="11602" t="n"/>
      <c r="M236" s="11602" t="n"/>
      <c r="N236" s="11602" t="n"/>
      <c r="O236" s="11602" t="n"/>
      <c r="P236" s="11602" t="n"/>
      <c r="Q236" s="11602" t="n"/>
      <c r="R236" s="11602" t="n"/>
      <c r="S236" s="11602" t="n"/>
      <c r="T236" s="11602" t="n"/>
      <c r="U236" s="11602" t="n"/>
      <c r="V236" s="11602" t="n"/>
      <c r="W236" s="11602" t="n"/>
      <c r="X236" s="11602" t="n"/>
      <c r="Y236" s="11602" t="n"/>
      <c r="Z236" s="11602" t="n"/>
      <c r="AA236" s="11602" t="n"/>
      <c r="AB236" s="11602" t="n"/>
      <c r="AC236" s="11602" t="n"/>
      <c r="AD236" s="11602" t="n"/>
      <c r="AE236" s="11602" t="n"/>
      <c r="AF236" s="11602" t="n"/>
      <c r="AG236" s="11602" t="n"/>
      <c r="AH236" s="11602" t="n"/>
      <c r="AI236" s="11602" t="n"/>
      <c r="AJ236" s="11602" t="n"/>
      <c r="AK236" s="2013" t="n"/>
      <c r="AL236" s="2014" t="n"/>
      <c r="AM236" s="2014" t="n"/>
      <c r="AN236" s="2025" t="n"/>
      <c r="AO236" s="2025" t="n"/>
      <c r="AP236" s="2025" t="n"/>
      <c r="AQ236" s="658" t="n"/>
      <c r="AR236" s="658" t="n"/>
      <c r="AS236" s="658" t="n"/>
      <c r="AT236" s="658" t="n"/>
      <c r="AU236" s="658" t="n"/>
      <c r="AV236" s="658" t="n"/>
      <c r="AW236" s="658" t="n"/>
      <c r="AX236" s="658" t="n"/>
      <c r="AY236" s="658" t="n"/>
      <c r="AZ236" s="2025" t="n"/>
      <c r="BA236" s="2025" t="n"/>
      <c r="BB236" s="2025" t="n"/>
      <c r="BC236" s="2025" t="n"/>
      <c r="BD236" s="2025" t="n"/>
      <c r="BE236" s="2025" t="n"/>
      <c r="BF236" s="2025" t="n"/>
      <c r="BG236" s="2025" t="n"/>
      <c r="BH236" s="2025" t="n"/>
      <c r="BI236" s="2025" t="n"/>
      <c r="BJ236" s="2025" t="n"/>
      <c r="BK236" s="2014" t="n"/>
      <c r="BL236" s="2014" t="n"/>
      <c r="BM236" s="2014" t="n"/>
      <c r="BN236" s="2014" t="n"/>
      <c r="BO236" s="2014" t="n"/>
      <c r="BP236" s="2014" t="n"/>
      <c r="BQ236" s="2014" t="n"/>
      <c r="BR236" s="2014" t="n"/>
      <c r="BS236" s="2014" t="n"/>
      <c r="BT236" s="2014" t="n"/>
      <c r="BU236" s="2014" t="n"/>
      <c r="BV236" s="2014" t="n"/>
      <c r="BW236" s="2014" t="n"/>
    </row>
    <row r="237" ht="12.75" customFormat="1" customHeight="1" s="7970" thickBot="1">
      <c r="A237" s="2013" t="n"/>
      <c r="B237" s="11602" t="n"/>
      <c r="C237" s="734" t="inlineStr">
        <is>
          <t xml:space="preserve">13 a </t>
        </is>
      </c>
      <c r="D237" s="8650" t="inlineStr">
        <is>
          <t>Have you submitted a statement to the authorities of the foreign country where you claim bona fide</t>
        </is>
      </c>
      <c r="E237" s="11602" t="n"/>
      <c r="F237" s="11602" t="n"/>
      <c r="G237" s="11602" t="n"/>
      <c r="H237" s="11602" t="n"/>
      <c r="I237" s="11602" t="n"/>
      <c r="J237" s="11602" t="n"/>
      <c r="K237" s="11602" t="n"/>
      <c r="L237" s="11602" t="n"/>
      <c r="M237" s="11602" t="n"/>
      <c r="N237" s="11602" t="n"/>
      <c r="O237" s="11602" t="n"/>
      <c r="P237" s="11602" t="n"/>
      <c r="Q237" s="11602" t="n"/>
      <c r="R237" s="11602" t="n"/>
      <c r="S237" s="11602" t="n"/>
      <c r="T237" s="11602" t="n"/>
      <c r="U237" s="11602" t="n"/>
      <c r="V237" s="11602" t="n"/>
      <c r="W237" s="11602" t="n"/>
      <c r="X237" s="11602" t="n"/>
      <c r="Y237" s="11602" t="n"/>
      <c r="Z237" s="11602" t="n"/>
      <c r="AA237" s="11602" t="n"/>
      <c r="AB237" s="11602" t="n"/>
      <c r="AC237" s="11602" t="n"/>
      <c r="AD237" s="11602" t="n"/>
      <c r="AE237" s="11602" t="n"/>
      <c r="AF237" s="11602" t="n"/>
      <c r="AG237" s="11602" t="n"/>
      <c r="AH237" s="11602" t="n"/>
      <c r="AI237" s="11602" t="n"/>
      <c r="AJ237" s="11602" t="n"/>
      <c r="AK237" s="2013" t="n"/>
      <c r="AL237" s="2014" t="n"/>
      <c r="AM237" s="2042" t="n"/>
      <c r="AN237" s="2025" t="n"/>
      <c r="AO237" s="2025" t="n"/>
      <c r="AP237" s="2025" t="n"/>
      <c r="AQ237" s="658" t="n"/>
      <c r="AR237" s="658" t="n"/>
      <c r="AS237" s="658" t="n"/>
      <c r="AT237" s="658" t="n"/>
      <c r="AU237" s="658" t="n"/>
      <c r="AV237" s="658" t="n"/>
      <c r="AW237" s="658" t="n"/>
      <c r="AX237" s="658" t="n"/>
      <c r="AY237" s="658" t="n"/>
      <c r="AZ237" s="2025" t="n"/>
      <c r="BA237" s="2025" t="n"/>
      <c r="BB237" s="2025" t="n"/>
      <c r="BC237" s="2025" t="n"/>
      <c r="BD237" s="2025" t="n"/>
      <c r="BE237" s="2025" t="n"/>
      <c r="BF237" s="2025" t="n"/>
      <c r="BG237" s="2025" t="n"/>
      <c r="BH237" s="2025" t="n"/>
      <c r="BI237" s="2025" t="n"/>
      <c r="BJ237" s="2025" t="n"/>
      <c r="BK237" s="2014" t="n"/>
      <c r="BL237" s="2014" t="n"/>
      <c r="BM237" s="2014" t="n"/>
      <c r="BN237" s="2014" t="n"/>
      <c r="BO237" s="2014" t="n"/>
      <c r="BP237" s="2014" t="n"/>
      <c r="BQ237" s="2014" t="n"/>
      <c r="BR237" s="2014" t="n"/>
      <c r="BS237" s="2014" t="n"/>
      <c r="BT237" s="2014" t="n"/>
      <c r="BU237" s="2014" t="n"/>
      <c r="BV237" s="2014" t="n"/>
      <c r="BW237" s="2014" t="n"/>
    </row>
    <row r="238" ht="15" customHeight="1" s="7635" thickBot="1">
      <c r="A238" s="2013" t="n"/>
      <c r="B238" s="11602" t="n"/>
      <c r="C238" s="11602" t="n"/>
      <c r="D238" s="8650" t="inlineStr">
        <is>
          <t>residence that you aren't a resident of that country? See instructions</t>
        </is>
      </c>
      <c r="E238" s="11602" t="n"/>
      <c r="F238" s="11602" t="n"/>
      <c r="G238" s="11602" t="n"/>
      <c r="H238" s="11602" t="n"/>
      <c r="I238" s="11602" t="n"/>
      <c r="J238" s="11602" t="n"/>
      <c r="K238" s="11602" t="n"/>
      <c r="L238" s="11602" t="n"/>
      <c r="M238" s="11602" t="n"/>
      <c r="N238" s="11602" t="n"/>
      <c r="O238" s="11602" t="n"/>
      <c r="P238" s="11602" t="n"/>
      <c r="Q238" s="11602" t="n"/>
      <c r="R238" s="11602" t="n"/>
      <c r="S238" s="11602" t="n"/>
      <c r="T238" s="11602" t="n"/>
      <c r="U238" s="11602" t="n"/>
      <c r="V238" s="11602" t="n"/>
      <c r="W238" s="11602" t="n"/>
      <c r="X238" s="11602" t="n"/>
      <c r="Y238" s="11602" t="n"/>
      <c r="Z238" s="11602" t="n"/>
      <c r="AA238" s="11602" t="n"/>
      <c r="AB238" s="11602" t="n"/>
      <c r="AC238" s="11602" t="n"/>
      <c r="AD238" s="2031" t="inlineStr">
        <is>
          <t xml:space="preserve">.   .   .   .   .   .   .   .   .   .   .   .   .   .   .   .   .   . </t>
        </is>
      </c>
      <c r="AE238" s="277" t="n"/>
      <c r="AF238" s="7886" t="inlineStr">
        <is>
          <t>Yes</t>
        </is>
      </c>
      <c r="AG238" s="11602" t="n"/>
      <c r="AH238" s="277" t="n"/>
      <c r="AI238" s="7886" t="inlineStr">
        <is>
          <t>No</t>
        </is>
      </c>
      <c r="AJ238" s="11602" t="n"/>
      <c r="AK238" s="2013" t="n"/>
      <c r="AM238" s="2042" t="n"/>
      <c r="AN238" s="2025" t="n"/>
      <c r="AO238" s="2025" t="n"/>
      <c r="AP238" s="2025" t="n"/>
      <c r="AZ238" s="2025" t="n"/>
      <c r="BA238" s="2025" t="n"/>
      <c r="BB238" s="2025" t="n"/>
      <c r="BC238" s="2025" t="n"/>
      <c r="BD238" s="2025" t="n"/>
      <c r="BE238" s="2025" t="n"/>
      <c r="BF238" s="2025" t="n"/>
      <c r="BG238" s="2025" t="n"/>
      <c r="BH238" s="2025" t="n"/>
      <c r="BI238" s="2025" t="n"/>
      <c r="BJ238" s="2025" t="n"/>
    </row>
    <row r="239" ht="5.25" customHeight="1" s="7635" thickBot="1">
      <c r="A239" s="2013" t="n"/>
      <c r="B239" s="11602" t="n"/>
      <c r="C239" s="11602" t="n"/>
      <c r="D239" s="11602" t="n"/>
      <c r="E239" s="11602" t="n"/>
      <c r="F239" s="11602" t="n"/>
      <c r="G239" s="11602" t="n"/>
      <c r="H239" s="11602" t="n"/>
      <c r="I239" s="11602" t="n"/>
      <c r="J239" s="11602" t="n"/>
      <c r="K239" s="11602" t="n"/>
      <c r="L239" s="11602" t="n"/>
      <c r="M239" s="11602" t="n"/>
      <c r="N239" s="11602" t="n"/>
      <c r="O239" s="11602" t="n"/>
      <c r="P239" s="11602" t="n"/>
      <c r="Q239" s="11602" t="n"/>
      <c r="R239" s="11602" t="n"/>
      <c r="S239" s="11602" t="n"/>
      <c r="T239" s="11602" t="n"/>
      <c r="U239" s="11602" t="n"/>
      <c r="V239" s="11602" t="n"/>
      <c r="W239" s="11602" t="n"/>
      <c r="X239" s="11602" t="n"/>
      <c r="Y239" s="11602" t="n"/>
      <c r="Z239" s="11602" t="n"/>
      <c r="AA239" s="11602" t="n"/>
      <c r="AB239" s="11602" t="n"/>
      <c r="AC239" s="11602" t="n"/>
      <c r="AD239" s="11602" t="n"/>
      <c r="AE239" s="11602" t="n"/>
      <c r="AF239" s="11602" t="n"/>
      <c r="AG239" s="11602" t="n"/>
      <c r="AH239" s="11602" t="n"/>
      <c r="AI239" s="11602" t="n"/>
      <c r="AJ239" s="11602" t="n"/>
      <c r="AK239" s="2013" t="n"/>
      <c r="BL239" s="2027" t="n"/>
      <c r="BM239" s="2027" t="n"/>
      <c r="BO239" s="2027" t="n"/>
      <c r="BP239" s="2027" t="n"/>
      <c r="BQ239" s="2027" t="n"/>
      <c r="BR239" s="2027" t="n"/>
      <c r="BS239" s="2027" t="n"/>
      <c r="BT239" s="2027" t="n"/>
      <c r="BU239" s="2027" t="n"/>
      <c r="BV239" s="2027" t="n"/>
    </row>
    <row r="240" ht="13.5" customHeight="1" s="7635" thickBot="1">
      <c r="A240" s="2013" t="n"/>
      <c r="B240" s="11602" t="n"/>
      <c r="C240" s="734" t="inlineStr">
        <is>
          <t xml:space="preserve">b </t>
        </is>
      </c>
      <c r="D240" s="8650" t="inlineStr">
        <is>
          <t>Are you required to pay income tax to the country where you claim bona fide residence? See instructions</t>
        </is>
      </c>
      <c r="E240" s="11602" t="n"/>
      <c r="F240" s="11602" t="n"/>
      <c r="G240" s="11602" t="n"/>
      <c r="H240" s="11602" t="n"/>
      <c r="I240" s="11602" t="n"/>
      <c r="J240" s="11602" t="n"/>
      <c r="K240" s="11602" t="n"/>
      <c r="L240" s="11602" t="n"/>
      <c r="M240" s="11602" t="n"/>
      <c r="N240" s="11602" t="n"/>
      <c r="O240" s="11602" t="n"/>
      <c r="P240" s="11602" t="n"/>
      <c r="Q240" s="11602" t="n"/>
      <c r="R240" s="11602" t="n"/>
      <c r="S240" s="11602" t="n"/>
      <c r="T240" s="11602" t="n"/>
      <c r="U240" s="11602" t="n"/>
      <c r="V240" s="11602" t="n"/>
      <c r="W240" s="11602" t="n"/>
      <c r="X240" s="11602" t="n"/>
      <c r="Y240" s="11602" t="n"/>
      <c r="Z240" s="11602" t="n"/>
      <c r="AA240" s="11602" t="n"/>
      <c r="AB240" s="11602" t="n"/>
      <c r="AC240" s="11602" t="n"/>
      <c r="AD240" s="2031" t="inlineStr">
        <is>
          <t xml:space="preserve">.   .   . </t>
        </is>
      </c>
      <c r="AE240" s="277" t="n"/>
      <c r="AF240" s="7886" t="inlineStr">
        <is>
          <t>Yes</t>
        </is>
      </c>
      <c r="AG240" s="11602" t="n"/>
      <c r="AH240" s="277" t="n"/>
      <c r="AI240" s="7886" t="inlineStr">
        <is>
          <t>No</t>
        </is>
      </c>
      <c r="AJ240" s="11602" t="n"/>
      <c r="AK240" s="2013" t="n"/>
      <c r="AM240" s="12434" t="n"/>
      <c r="BL240" s="2027" t="n"/>
      <c r="BM240" s="2027" t="n"/>
      <c r="BO240" s="2027" t="n"/>
      <c r="BP240" s="2027" t="n"/>
      <c r="BQ240" s="2027" t="n"/>
      <c r="BR240" s="2027" t="n"/>
      <c r="BS240" s="2027" t="n"/>
      <c r="BT240" s="2027" t="n"/>
      <c r="BU240" s="2027" t="n"/>
      <c r="BV240" s="2027" t="n"/>
    </row>
    <row r="241" ht="16.5" customHeight="1" s="7635">
      <c r="A241" s="2013" t="n"/>
      <c r="B241" s="11602" t="n"/>
      <c r="C241" s="11602" t="n"/>
      <c r="D241" s="810" t="inlineStr">
        <is>
          <t>If you answered “Yes” to 13a and “No” to 13b, you don't qualify as a bona fide resident. Don't complete the rest of</t>
        </is>
      </c>
      <c r="E241" s="11602" t="n"/>
      <c r="F241" s="11602" t="n"/>
      <c r="G241" s="11602" t="n"/>
      <c r="H241" s="11602" t="n"/>
      <c r="I241" s="11602" t="n"/>
      <c r="J241" s="11602" t="n"/>
      <c r="K241" s="11602" t="n"/>
      <c r="L241" s="11602" t="n"/>
      <c r="M241" s="11602" t="n"/>
      <c r="N241" s="11602" t="n"/>
      <c r="O241" s="11602" t="n"/>
      <c r="P241" s="11602" t="n"/>
      <c r="Q241" s="11602" t="n"/>
      <c r="R241" s="11602" t="n"/>
      <c r="S241" s="11602" t="n"/>
      <c r="T241" s="11602" t="n"/>
      <c r="U241" s="11602" t="n"/>
      <c r="V241" s="11602" t="n"/>
      <c r="W241" s="11602" t="n"/>
      <c r="X241" s="11602" t="n"/>
      <c r="Y241" s="11602" t="n"/>
      <c r="Z241" s="11602" t="n"/>
      <c r="AA241" s="11602" t="n"/>
      <c r="AB241" s="11602" t="n"/>
      <c r="AC241" s="11602" t="n"/>
      <c r="AD241" s="11602" t="n"/>
      <c r="AE241" s="11602" t="n"/>
      <c r="AF241" s="11602" t="n"/>
      <c r="AG241" s="11602" t="n"/>
      <c r="AH241" s="11602" t="n"/>
      <c r="AI241" s="11602" t="n"/>
      <c r="AJ241" s="11602" t="n"/>
      <c r="AK241" s="2013" t="n"/>
      <c r="AM241" s="12434" t="n"/>
      <c r="BL241" s="2027" t="n"/>
      <c r="BM241" s="2027" t="n"/>
      <c r="BO241" s="2027" t="n"/>
      <c r="BP241" s="2027" t="n"/>
      <c r="BQ241" s="2027" t="n"/>
      <c r="BR241" s="2027" t="n"/>
      <c r="BS241" s="2027" t="n"/>
      <c r="BT241" s="2027" t="n"/>
      <c r="BU241" s="2027" t="n"/>
      <c r="BV241" s="2027" t="n"/>
    </row>
    <row r="242" ht="16.5" customHeight="1" s="7635">
      <c r="A242" s="2013" t="n"/>
      <c r="B242" s="11602" t="n"/>
      <c r="C242" s="11602" t="n"/>
      <c r="D242" s="2044" t="inlineStr">
        <is>
          <t>this part.</t>
        </is>
      </c>
      <c r="E242" s="11602" t="n"/>
      <c r="F242" s="11602" t="n"/>
      <c r="G242" s="11602" t="n"/>
      <c r="H242" s="11602" t="n"/>
      <c r="I242" s="11602" t="n"/>
      <c r="J242" s="11602" t="n"/>
      <c r="K242" s="11602" t="n"/>
      <c r="L242" s="11602" t="n"/>
      <c r="M242" s="11602" t="n"/>
      <c r="N242" s="11602" t="n"/>
      <c r="O242" s="11602" t="n"/>
      <c r="P242" s="11602" t="n"/>
      <c r="Q242" s="11602" t="n"/>
      <c r="R242" s="11602" t="n"/>
      <c r="S242" s="11602" t="n"/>
      <c r="T242" s="11602" t="n"/>
      <c r="U242" s="11602" t="n"/>
      <c r="V242" s="11602" t="n"/>
      <c r="W242" s="11602" t="n"/>
      <c r="X242" s="11602" t="n"/>
      <c r="Y242" s="11602" t="n"/>
      <c r="Z242" s="11602" t="n"/>
      <c r="AA242" s="11602" t="n"/>
      <c r="AB242" s="11602" t="n"/>
      <c r="AC242" s="11602" t="n"/>
      <c r="AD242" s="11602" t="n"/>
      <c r="AE242" s="11602" t="n"/>
      <c r="AF242" s="11602" t="n"/>
      <c r="AG242" s="11602" t="n"/>
      <c r="AH242" s="11602" t="n"/>
      <c r="AI242" s="11602" t="n"/>
      <c r="AJ242" s="11602" t="n"/>
      <c r="AK242" s="2013" t="n"/>
      <c r="AM242" s="12434" t="n"/>
      <c r="AO242" s="2045" t="n"/>
      <c r="AP242" s="2042" t="n"/>
      <c r="BL242" s="2027" t="n"/>
      <c r="BM242" s="2027" t="n"/>
      <c r="BO242" s="2027" t="n"/>
      <c r="BP242" s="2027" t="n"/>
      <c r="BQ242" s="2027" t="n"/>
      <c r="BR242" s="2027" t="n"/>
      <c r="BS242" s="2027" t="n"/>
      <c r="BT242" s="2027" t="n"/>
      <c r="BU242" s="2027" t="n"/>
      <c r="BV242" s="2027" t="n"/>
    </row>
    <row r="243" ht="16.5" customHeight="1" s="7635">
      <c r="A243" s="2013" t="n"/>
      <c r="B243" s="11602" t="n"/>
      <c r="C243" s="7861" t="inlineStr">
        <is>
          <t>14</t>
        </is>
      </c>
      <c r="D243" s="8650" t="inlineStr">
        <is>
          <t>If you were present in the United States or its possessions during the tax year, complete columns (a)–(d) below. Don't include</t>
        </is>
      </c>
      <c r="E243" s="11602" t="n"/>
      <c r="F243" s="11602" t="n"/>
      <c r="G243" s="11602" t="n"/>
      <c r="H243" s="11602" t="n"/>
      <c r="I243" s="11602" t="n"/>
      <c r="J243" s="11602" t="n"/>
      <c r="K243" s="11602" t="n"/>
      <c r="L243" s="11602" t="n"/>
      <c r="M243" s="11602" t="n"/>
      <c r="N243" s="11602" t="n"/>
      <c r="O243" s="11602" t="n"/>
      <c r="P243" s="11602" t="n"/>
      <c r="Q243" s="11602" t="n"/>
      <c r="R243" s="11602" t="n"/>
      <c r="S243" s="11602" t="n"/>
      <c r="T243" s="11602" t="n"/>
      <c r="U243" s="11602" t="n"/>
      <c r="V243" s="11602" t="n"/>
      <c r="W243" s="11602" t="n"/>
      <c r="X243" s="11602" t="n"/>
      <c r="Y243" s="11602" t="n"/>
      <c r="Z243" s="11602" t="n"/>
      <c r="AA243" s="11602" t="n"/>
      <c r="AB243" s="11602" t="n"/>
      <c r="AC243" s="11602" t="n"/>
      <c r="AD243" s="11602" t="n"/>
      <c r="AE243" s="11602" t="n"/>
      <c r="AF243" s="11602" t="n"/>
      <c r="AG243" s="11602" t="n"/>
      <c r="AH243" s="11602" t="n"/>
      <c r="AI243" s="11602" t="n"/>
      <c r="AJ243" s="11602" t="n"/>
      <c r="AK243" s="2013" t="n"/>
      <c r="AO243" s="2045" t="n"/>
      <c r="AP243" s="2042" t="n"/>
      <c r="BL243" s="2027" t="n"/>
      <c r="BM243" s="2027" t="n"/>
      <c r="BO243" s="2027" t="n"/>
      <c r="BP243" s="2027" t="n"/>
      <c r="BQ243" s="2027" t="n"/>
      <c r="BR243" s="2027" t="n"/>
      <c r="BS243" s="2027" t="n"/>
      <c r="BT243" s="2027" t="n"/>
      <c r="BU243" s="2027" t="n"/>
      <c r="BV243" s="2027" t="n"/>
    </row>
    <row r="244" ht="16.5" customHeight="1" s="7635">
      <c r="A244" s="2013" t="n"/>
      <c r="B244" s="11602" t="n"/>
      <c r="C244" s="11602" t="n"/>
      <c r="D244" s="2046" t="inlineStr">
        <is>
          <t>the income from column (d) in Part IV, but report it on Form 1040 or 1040-SR.</t>
        </is>
      </c>
      <c r="E244" s="11602" t="n"/>
      <c r="F244" s="11602" t="n"/>
      <c r="G244" s="11602" t="n"/>
      <c r="H244" s="11602" t="n"/>
      <c r="I244" s="11602" t="n"/>
      <c r="J244" s="11602" t="n"/>
      <c r="K244" s="11602" t="n"/>
      <c r="L244" s="11602" t="n"/>
      <c r="M244" s="11602" t="n"/>
      <c r="N244" s="11602" t="n"/>
      <c r="O244" s="11602" t="n"/>
      <c r="P244" s="11602" t="n"/>
      <c r="Q244" s="11602" t="n"/>
      <c r="R244" s="11602" t="n"/>
      <c r="S244" s="11602" t="n"/>
      <c r="T244" s="11602" t="n"/>
      <c r="U244" s="11602" t="n"/>
      <c r="V244" s="11602" t="n"/>
      <c r="W244" s="11602" t="n"/>
      <c r="X244" s="11602" t="n"/>
      <c r="Y244" s="11602" t="n"/>
      <c r="Z244" s="11602" t="n"/>
      <c r="AA244" s="11602" t="n"/>
      <c r="AB244" s="11602" t="n"/>
      <c r="AC244" s="11602" t="n"/>
      <c r="AD244" s="11602" t="n"/>
      <c r="AE244" s="11602" t="n"/>
      <c r="AF244" s="11602" t="n"/>
      <c r="AG244" s="11602" t="n"/>
      <c r="AH244" s="11602" t="n"/>
      <c r="AI244" s="11602" t="n"/>
      <c r="AJ244" s="11602" t="n"/>
      <c r="AK244" s="2013" t="n"/>
      <c r="AO244" s="2042" t="n"/>
      <c r="AP244" s="2047" t="n"/>
      <c r="BL244" s="2027" t="n"/>
      <c r="BM244" s="2027" t="n"/>
      <c r="BO244" s="2027" t="n"/>
      <c r="BP244" s="2027" t="n"/>
      <c r="BQ244" s="2027" t="n"/>
      <c r="BR244" s="2027" t="n"/>
      <c r="BS244" s="2027" t="n"/>
      <c r="BT244" s="2027" t="n"/>
      <c r="BU244" s="2027" t="n"/>
      <c r="BV244" s="2027" t="n"/>
    </row>
    <row r="245" ht="35.25" customHeight="1" s="7635" thickBot="1">
      <c r="A245" s="2013" t="n"/>
      <c r="B245" s="12435" t="inlineStr">
        <is>
          <t>(a) Date 
arrived in U.S.</t>
        </is>
      </c>
      <c r="C245" s="8412" t="n"/>
      <c r="D245" s="8412" t="n"/>
      <c r="E245" s="11734" t="n"/>
      <c r="F245" s="12435" t="inlineStr">
        <is>
          <t>(b) Date left
U.S.</t>
        </is>
      </c>
      <c r="G245" s="8412" t="n"/>
      <c r="H245" s="8412" t="n"/>
      <c r="I245" s="11734" t="n"/>
      <c r="J245" s="12435" t="inlineStr">
        <is>
          <t>(c) Number of
days in U.S. 
on business</t>
        </is>
      </c>
      <c r="K245" s="8412" t="n"/>
      <c r="L245" s="8412" t="n"/>
      <c r="M245" s="11734" t="n"/>
      <c r="N245" s="12436" t="inlineStr">
        <is>
          <t>(d) Income earned in 
U.S. on business 
(attach computation)</t>
        </is>
      </c>
      <c r="O245" s="8412" t="n"/>
      <c r="P245" s="8412" t="n"/>
      <c r="Q245" s="8412" t="n"/>
      <c r="R245" s="12130" t="n"/>
      <c r="S245" s="12437" t="inlineStr">
        <is>
          <t>(a) Date 
arrived in U.S.</t>
        </is>
      </c>
      <c r="T245" s="8412" t="n"/>
      <c r="U245" s="8412" t="n"/>
      <c r="V245" s="11734" t="n"/>
      <c r="W245" s="12435" t="inlineStr">
        <is>
          <t>(b) Date left
U.S.</t>
        </is>
      </c>
      <c r="X245" s="8412" t="n"/>
      <c r="Y245" s="8412" t="n"/>
      <c r="Z245" s="11734" t="n"/>
      <c r="AA245" s="12435" t="inlineStr">
        <is>
          <t>(c) Number of
days in U.S. 
on business</t>
        </is>
      </c>
      <c r="AB245" s="8412" t="n"/>
      <c r="AC245" s="8412" t="n"/>
      <c r="AD245" s="11734" t="n"/>
      <c r="AE245" s="9854" t="inlineStr">
        <is>
          <t>(d) Income earned in 
U.S. on business 
(attach computation)</t>
        </is>
      </c>
      <c r="AF245" s="8412" t="n"/>
      <c r="AG245" s="8412" t="n"/>
      <c r="AH245" s="8412" t="n"/>
      <c r="AI245" s="8412" t="n"/>
      <c r="AJ245" s="8412" t="n"/>
      <c r="AK245" s="2013" t="n"/>
      <c r="AM245" s="7914" t="inlineStr">
        <is>
          <t>Override</t>
        </is>
      </c>
      <c r="AO245" s="7914" t="inlineStr">
        <is>
          <t>Override</t>
        </is>
      </c>
      <c r="AP245" s="2048" t="n"/>
      <c r="BL245" s="2027" t="n"/>
      <c r="BM245" s="2027" t="n"/>
      <c r="BO245" s="2027" t="n"/>
      <c r="BP245" s="2027" t="n"/>
      <c r="BQ245" s="2027" t="n"/>
      <c r="BR245" s="2027" t="n"/>
      <c r="BS245" s="2027" t="n"/>
      <c r="BT245" s="2027" t="n"/>
      <c r="BU245" s="2027" t="n"/>
      <c r="BV245" s="2027" t="n"/>
    </row>
    <row r="246" ht="14.25" customHeight="1" s="7635" thickBot="1">
      <c r="A246" s="2013" t="n"/>
      <c r="B246" s="12438" t="n"/>
      <c r="C246" s="8007" t="n"/>
      <c r="D246" s="8007" t="n"/>
      <c r="E246" s="8007" t="n"/>
      <c r="F246" s="12439" t="n"/>
      <c r="G246" s="8007" t="n"/>
      <c r="H246" s="8007" t="n"/>
      <c r="I246" s="8008" t="n"/>
      <c r="J246" s="12440">
        <f>IF(AM246&lt;&gt;"",ROUND(AM246,0),IF(OR(B246="",F246=""),"",F246-B246))</f>
        <v/>
      </c>
      <c r="K246" s="8412" t="n"/>
      <c r="L246" s="8412" t="n"/>
      <c r="M246" s="11734" t="n"/>
      <c r="N246" s="12441" t="n"/>
      <c r="O246" s="8007" t="n"/>
      <c r="P246" s="8007" t="n"/>
      <c r="Q246" s="8007" t="n"/>
      <c r="R246" s="12128" t="n"/>
      <c r="S246" s="12442" t="n"/>
      <c r="T246" s="8007" t="n"/>
      <c r="U246" s="8007" t="n"/>
      <c r="V246" s="12128" t="n"/>
      <c r="W246" s="12439" t="n"/>
      <c r="X246" s="8007" t="n"/>
      <c r="Y246" s="8007" t="n"/>
      <c r="Z246" s="8008" t="n"/>
      <c r="AA246" s="12440">
        <f>IF(AO246&lt;&gt;"",ROUND(AO246,0),IF(OR(S246="",W246=""),"",W246-S246))</f>
        <v/>
      </c>
      <c r="AB246" s="8412" t="n"/>
      <c r="AC246" s="8412" t="n"/>
      <c r="AD246" s="11734" t="n"/>
      <c r="AE246" s="9826" t="n"/>
      <c r="AF246" s="8007" t="n"/>
      <c r="AG246" s="8007" t="n"/>
      <c r="AH246" s="8007" t="n"/>
      <c r="AI246" s="8007" t="n"/>
      <c r="AJ246" s="8007" t="n"/>
      <c r="AK246" s="2013" t="n"/>
      <c r="AM246" s="453" t="n"/>
      <c r="AO246" s="453" t="n"/>
      <c r="AP246" s="2048" t="n"/>
      <c r="BL246" s="2027" t="n"/>
      <c r="BM246" s="2027" t="n"/>
      <c r="BO246" s="2027" t="n"/>
      <c r="BP246" s="2027" t="n"/>
      <c r="BQ246" s="2027" t="n"/>
      <c r="BR246" s="2027" t="n"/>
      <c r="BS246" s="2027" t="n"/>
      <c r="BT246" s="2027" t="n"/>
      <c r="BU246" s="2027" t="n"/>
      <c r="BV246" s="2027" t="n"/>
    </row>
    <row r="247" ht="14.25" customHeight="1" s="7635" thickBot="1">
      <c r="A247" s="2013" t="n"/>
      <c r="B247" s="12438" t="n"/>
      <c r="C247" s="8007" t="n"/>
      <c r="D247" s="8007" t="n"/>
      <c r="E247" s="8007" t="n"/>
      <c r="F247" s="12439" t="n"/>
      <c r="G247" s="8007" t="n"/>
      <c r="H247" s="8007" t="n"/>
      <c r="I247" s="8008" t="n"/>
      <c r="J247" s="12440">
        <f>IF(AM247&lt;&gt;"",ROUND(AM247,0),IF(OR(B247="",F247=""),"",F247-B247))</f>
        <v/>
      </c>
      <c r="K247" s="8412" t="n"/>
      <c r="L247" s="8412" t="n"/>
      <c r="M247" s="11734" t="n"/>
      <c r="N247" s="12441" t="n"/>
      <c r="O247" s="8007" t="n"/>
      <c r="P247" s="8007" t="n"/>
      <c r="Q247" s="8007" t="n"/>
      <c r="R247" s="12128" t="n"/>
      <c r="S247" s="12442" t="n"/>
      <c r="T247" s="8007" t="n"/>
      <c r="U247" s="8007" t="n"/>
      <c r="V247" s="12128" t="n"/>
      <c r="W247" s="12439" t="n"/>
      <c r="X247" s="8007" t="n"/>
      <c r="Y247" s="8007" t="n"/>
      <c r="Z247" s="8008" t="n"/>
      <c r="AA247" s="12440">
        <f>IF(AO247&lt;&gt;"",ROUND(AO247,0),IF(OR(S247="",W247=""),"",W247-S247))</f>
        <v/>
      </c>
      <c r="AB247" s="8412" t="n"/>
      <c r="AC247" s="8412" t="n"/>
      <c r="AD247" s="11734" t="n"/>
      <c r="AE247" s="9826" t="n"/>
      <c r="AF247" s="8007" t="n"/>
      <c r="AG247" s="8007" t="n"/>
      <c r="AH247" s="8007" t="n"/>
      <c r="AI247" s="8007" t="n"/>
      <c r="AJ247" s="8007" t="n"/>
      <c r="AK247" s="2013" t="n"/>
      <c r="AM247" s="453" t="n"/>
      <c r="AO247" s="453" t="n"/>
      <c r="AP247" s="2048" t="n"/>
      <c r="BL247" s="2027" t="n"/>
      <c r="BM247" s="2027" t="n"/>
      <c r="BO247" s="2027" t="n"/>
      <c r="BP247" s="2027" t="n"/>
      <c r="BQ247" s="2027" t="n"/>
      <c r="BR247" s="2027" t="n"/>
      <c r="BS247" s="2027" t="n"/>
      <c r="BT247" s="2027" t="n"/>
      <c r="BU247" s="2027" t="n"/>
      <c r="BV247" s="2027" t="n"/>
    </row>
    <row r="248" ht="14.25" customHeight="1" s="7635" thickBot="1">
      <c r="A248" s="2013" t="n"/>
      <c r="B248" s="12438" t="n"/>
      <c r="C248" s="8007" t="n"/>
      <c r="D248" s="8007" t="n"/>
      <c r="E248" s="8007" t="n"/>
      <c r="F248" s="12439" t="n"/>
      <c r="G248" s="8007" t="n"/>
      <c r="H248" s="8007" t="n"/>
      <c r="I248" s="8008" t="n"/>
      <c r="J248" s="12440">
        <f>IF(AM248&lt;&gt;"",ROUND(AM248,0),IF(OR(B248="",F248=""),"",F248-B248))</f>
        <v/>
      </c>
      <c r="K248" s="8412" t="n"/>
      <c r="L248" s="8412" t="n"/>
      <c r="M248" s="11734" t="n"/>
      <c r="N248" s="12441" t="n"/>
      <c r="O248" s="8007" t="n"/>
      <c r="P248" s="8007" t="n"/>
      <c r="Q248" s="8007" t="n"/>
      <c r="R248" s="12128" t="n"/>
      <c r="S248" s="12442" t="n"/>
      <c r="T248" s="8007" t="n"/>
      <c r="U248" s="8007" t="n"/>
      <c r="V248" s="12128" t="n"/>
      <c r="W248" s="12439" t="n"/>
      <c r="X248" s="8007" t="n"/>
      <c r="Y248" s="8007" t="n"/>
      <c r="Z248" s="8008" t="n"/>
      <c r="AA248" s="12440">
        <f>IF(AO248&lt;&gt;"",ROUND(AO248,0),IF(OR(S248="",W248=""),"",W248-S248))</f>
        <v/>
      </c>
      <c r="AB248" s="8412" t="n"/>
      <c r="AC248" s="8412" t="n"/>
      <c r="AD248" s="11734" t="n"/>
      <c r="AE248" s="9826" t="n"/>
      <c r="AF248" s="8007" t="n"/>
      <c r="AG248" s="8007" t="n"/>
      <c r="AH248" s="8007" t="n"/>
      <c r="AI248" s="8007" t="n"/>
      <c r="AJ248" s="8007" t="n"/>
      <c r="AK248" s="2013" t="n"/>
      <c r="AM248" s="453" t="n"/>
      <c r="AO248" s="453" t="n"/>
      <c r="AP248" s="2048" t="n"/>
      <c r="BL248" s="2027" t="n"/>
      <c r="BM248" s="2027" t="n"/>
      <c r="BO248" s="2027" t="n"/>
      <c r="BP248" s="2027" t="n"/>
      <c r="BQ248" s="2027" t="n"/>
      <c r="BR248" s="2027" t="n"/>
      <c r="BS248" s="2027" t="n"/>
      <c r="BT248" s="2027" t="n"/>
      <c r="BU248" s="2027" t="n"/>
      <c r="BV248" s="2027" t="n"/>
    </row>
    <row r="249" ht="14.25" customHeight="1" s="7635" thickBot="1">
      <c r="A249" s="2013" t="n"/>
      <c r="B249" s="12438" t="n"/>
      <c r="C249" s="8007" t="n"/>
      <c r="D249" s="8007" t="n"/>
      <c r="E249" s="8007" t="n"/>
      <c r="F249" s="12439" t="n"/>
      <c r="G249" s="8007" t="n"/>
      <c r="H249" s="8007" t="n"/>
      <c r="I249" s="8008" t="n"/>
      <c r="J249" s="12440">
        <f>IF(AM249&lt;&gt;"",ROUND(AM249,0),IF(OR(B249="",F249=""),"",F249-B249))</f>
        <v/>
      </c>
      <c r="K249" s="8412" t="n"/>
      <c r="L249" s="8412" t="n"/>
      <c r="M249" s="11734" t="n"/>
      <c r="N249" s="12441" t="n"/>
      <c r="O249" s="8007" t="n"/>
      <c r="P249" s="8007" t="n"/>
      <c r="Q249" s="8007" t="n"/>
      <c r="R249" s="12128" t="n"/>
      <c r="S249" s="12442" t="n"/>
      <c r="T249" s="8007" t="n"/>
      <c r="U249" s="8007" t="n"/>
      <c r="V249" s="12128" t="n"/>
      <c r="W249" s="12439" t="n"/>
      <c r="X249" s="8007" t="n"/>
      <c r="Y249" s="8007" t="n"/>
      <c r="Z249" s="8008" t="n"/>
      <c r="AA249" s="12440">
        <f>IF(AO249&lt;&gt;"",ROUND(AO249,0),IF(OR(S249="",W249=""),"",W249-S249))</f>
        <v/>
      </c>
      <c r="AB249" s="8412" t="n"/>
      <c r="AC249" s="8412" t="n"/>
      <c r="AD249" s="11734" t="n"/>
      <c r="AE249" s="9826" t="n"/>
      <c r="AF249" s="8007" t="n"/>
      <c r="AG249" s="8007" t="n"/>
      <c r="AH249" s="8007" t="n"/>
      <c r="AI249" s="8007" t="n"/>
      <c r="AJ249" s="8007" t="n"/>
      <c r="AK249" s="2013" t="n"/>
      <c r="AM249" s="453" t="n"/>
      <c r="AO249" s="453" t="n"/>
      <c r="AP249" s="2048" t="n"/>
      <c r="BL249" s="2027" t="n"/>
      <c r="BM249" s="2027" t="n"/>
      <c r="BO249" s="2027" t="n"/>
      <c r="BP249" s="2027" t="n"/>
      <c r="BQ249" s="2027" t="n"/>
      <c r="BR249" s="2027" t="n"/>
      <c r="BS249" s="2027" t="n"/>
      <c r="BT249" s="2027" t="n"/>
      <c r="BU249" s="2027" t="n"/>
      <c r="BV249" s="2027" t="n"/>
    </row>
    <row r="250" ht="14.25" customHeight="1" s="7635">
      <c r="A250" s="2013" t="n"/>
      <c r="B250" s="11602" t="n"/>
      <c r="C250" s="734" t="inlineStr">
        <is>
          <t xml:space="preserve">15 a </t>
        </is>
      </c>
      <c r="D250" s="8650" t="inlineStr">
        <is>
          <t>List any contractual terms or other conditions relating to the length of your employment abroad.</t>
        </is>
      </c>
      <c r="E250" s="11602" t="n"/>
      <c r="F250" s="11602" t="n"/>
      <c r="G250" s="11602" t="n"/>
      <c r="H250" s="11602" t="n"/>
      <c r="I250" s="11602" t="n"/>
      <c r="J250" s="11602" t="n"/>
      <c r="K250" s="11602" t="n"/>
      <c r="L250" s="11602" t="n"/>
      <c r="M250" s="11602" t="n"/>
      <c r="N250" s="11602" t="n"/>
      <c r="O250" s="11602" t="n"/>
      <c r="P250" s="11602" t="n"/>
      <c r="Q250" s="11602" t="n"/>
      <c r="R250" s="11602" t="n"/>
      <c r="S250" s="11602" t="n"/>
      <c r="T250" s="11602" t="n"/>
      <c r="U250" s="11602" t="n"/>
      <c r="V250" s="11602" t="n"/>
      <c r="W250" s="11602" t="n"/>
      <c r="X250" s="11602" t="n"/>
      <c r="Y250" s="11602" t="n"/>
      <c r="Z250" s="11602" t="n"/>
      <c r="AA250" s="9832" t="n"/>
      <c r="AB250" s="12431" t="n"/>
      <c r="AC250" s="12431" t="n"/>
      <c r="AD250" s="12431" t="n"/>
      <c r="AE250" s="12431" t="n"/>
      <c r="AF250" s="12431" t="n"/>
      <c r="AG250" s="12431" t="n"/>
      <c r="AH250" s="12431" t="n"/>
      <c r="AI250" s="12431" t="n"/>
      <c r="AJ250" s="12431" t="n"/>
      <c r="AK250" s="2013" t="n"/>
      <c r="AO250" s="2042" t="n"/>
      <c r="AP250" s="2048" t="n"/>
      <c r="BL250" s="2027" t="n"/>
      <c r="BM250" s="2027" t="n"/>
      <c r="BO250" s="2027" t="n"/>
      <c r="BP250" s="2027" t="n"/>
      <c r="BQ250" s="2027" t="n"/>
      <c r="BR250" s="2027" t="n"/>
      <c r="BS250" s="2027" t="n"/>
      <c r="BT250" s="2027" t="n"/>
      <c r="BU250" s="2027" t="n"/>
      <c r="BV250" s="2027" t="n"/>
    </row>
    <row r="251" ht="14.25" customHeight="1" s="7635">
      <c r="A251" s="2013" t="n"/>
      <c r="B251" s="11602" t="n"/>
      <c r="C251" s="11602" t="n"/>
      <c r="D251" s="9759" t="n"/>
      <c r="E251" s="11730" t="n"/>
      <c r="F251" s="11730" t="n"/>
      <c r="G251" s="11730" t="n"/>
      <c r="H251" s="11730" t="n"/>
      <c r="I251" s="11730" t="n"/>
      <c r="J251" s="11730" t="n"/>
      <c r="K251" s="11730" t="n"/>
      <c r="L251" s="11730" t="n"/>
      <c r="M251" s="11730" t="n"/>
      <c r="N251" s="11730" t="n"/>
      <c r="O251" s="11730" t="n"/>
      <c r="P251" s="11730" t="n"/>
      <c r="Q251" s="11730" t="n"/>
      <c r="R251" s="11730" t="n"/>
      <c r="S251" s="11730" t="n"/>
      <c r="T251" s="11730" t="n"/>
      <c r="U251" s="11730" t="n"/>
      <c r="V251" s="11730" t="n"/>
      <c r="W251" s="11730" t="n"/>
      <c r="X251" s="11730" t="n"/>
      <c r="Y251" s="11730" t="n"/>
      <c r="Z251" s="11730" t="n"/>
      <c r="AA251" s="11730" t="n"/>
      <c r="AB251" s="11730" t="n"/>
      <c r="AC251" s="11730" t="n"/>
      <c r="AD251" s="11730" t="n"/>
      <c r="AE251" s="11730" t="n"/>
      <c r="AF251" s="11730" t="n"/>
      <c r="AG251" s="11730" t="n"/>
      <c r="AH251" s="11730" t="n"/>
      <c r="AI251" s="11730" t="n"/>
      <c r="AJ251" s="11730" t="n"/>
      <c r="AK251" s="2013" t="n"/>
      <c r="AO251" s="2042" t="n"/>
      <c r="AP251" s="2048" t="n"/>
      <c r="BL251" s="2027" t="n"/>
      <c r="BM251" s="2027" t="n"/>
      <c r="BO251" s="2027" t="n"/>
      <c r="BP251" s="2027" t="n"/>
      <c r="BQ251" s="2027" t="n"/>
      <c r="BR251" s="2027" t="n"/>
      <c r="BS251" s="2027" t="n"/>
      <c r="BT251" s="2027" t="n"/>
      <c r="BU251" s="2027" t="n"/>
      <c r="BV251" s="2027" t="n"/>
    </row>
    <row r="252" ht="14.25" customHeight="1" s="7635">
      <c r="A252" s="2013" t="n"/>
      <c r="B252" s="11602" t="n"/>
      <c r="C252" s="734" t="inlineStr">
        <is>
          <t xml:space="preserve">b </t>
        </is>
      </c>
      <c r="D252" s="8650" t="inlineStr">
        <is>
          <t>Enter the type of visa under which you entered the foreign country.</t>
        </is>
      </c>
      <c r="E252" s="11602" t="n"/>
      <c r="F252" s="11602" t="n"/>
      <c r="G252" s="11602" t="n"/>
      <c r="H252" s="11602" t="n"/>
      <c r="I252" s="11602" t="n"/>
      <c r="J252" s="11602" t="n"/>
      <c r="K252" s="11602" t="n"/>
      <c r="L252" s="11602" t="n"/>
      <c r="M252" s="11602" t="n"/>
      <c r="N252" s="11602" t="n"/>
      <c r="O252" s="11602" t="n"/>
      <c r="P252" s="11602" t="n"/>
      <c r="Q252" s="11602" t="n"/>
      <c r="R252" s="11602" t="n"/>
      <c r="S252" s="11602" t="n"/>
      <c r="T252" s="11602" t="n"/>
      <c r="U252" s="9839" t="n"/>
      <c r="V252" s="12030" t="n"/>
      <c r="W252" s="12030" t="n"/>
      <c r="X252" s="12030" t="n"/>
      <c r="Y252" s="12030" t="n"/>
      <c r="Z252" s="12030" t="n"/>
      <c r="AA252" s="12030" t="n"/>
      <c r="AB252" s="12030" t="n"/>
      <c r="AC252" s="12030" t="n"/>
      <c r="AD252" s="12030" t="n"/>
      <c r="AE252" s="12030" t="n"/>
      <c r="AF252" s="12030" t="n"/>
      <c r="AG252" s="12030" t="n"/>
      <c r="AH252" s="12030" t="n"/>
      <c r="AI252" s="12030" t="n"/>
      <c r="AJ252" s="12030" t="n"/>
      <c r="AK252" s="2013" t="n"/>
      <c r="AO252" s="2042" t="n"/>
      <c r="AP252" s="2048" t="n"/>
      <c r="BL252" s="2027" t="n"/>
      <c r="BM252" s="2027" t="n"/>
      <c r="BO252" s="2027" t="n"/>
      <c r="BP252" s="2027" t="n"/>
      <c r="BQ252" s="2027" t="n"/>
      <c r="BR252" s="2027" t="n"/>
      <c r="BS252" s="2027" t="n"/>
      <c r="BT252" s="2027" t="n"/>
      <c r="BU252" s="2027" t="n"/>
      <c r="BV252" s="2027" t="n"/>
    </row>
    <row r="253" ht="5.25" customHeight="1" s="7635" thickBot="1">
      <c r="A253" s="2013" t="n"/>
      <c r="B253" s="11602" t="n"/>
      <c r="C253" s="11602" t="n"/>
      <c r="D253" s="11602" t="n"/>
      <c r="E253" s="11602" t="n"/>
      <c r="F253" s="11602" t="n"/>
      <c r="G253" s="11602" t="n"/>
      <c r="H253" s="11602" t="n"/>
      <c r="I253" s="11602" t="n"/>
      <c r="J253" s="11602" t="n"/>
      <c r="K253" s="11602" t="n"/>
      <c r="L253" s="11602" t="n"/>
      <c r="M253" s="11602" t="n"/>
      <c r="N253" s="11602" t="n"/>
      <c r="O253" s="11602" t="n"/>
      <c r="P253" s="11602" t="n"/>
      <c r="Q253" s="11602" t="n"/>
      <c r="R253" s="11602" t="n"/>
      <c r="S253" s="11602" t="n"/>
      <c r="T253" s="11602" t="n"/>
      <c r="U253" s="11602" t="n"/>
      <c r="V253" s="11602" t="n"/>
      <c r="W253" s="11602" t="n"/>
      <c r="X253" s="11602" t="n"/>
      <c r="Y253" s="11602" t="n"/>
      <c r="Z253" s="11602" t="n"/>
      <c r="AA253" s="11602" t="n"/>
      <c r="AB253" s="11602" t="n"/>
      <c r="AC253" s="11602" t="n"/>
      <c r="AD253" s="11602" t="n"/>
      <c r="AE253" s="11602" t="n"/>
      <c r="AF253" s="11602" t="n"/>
      <c r="AG253" s="11602" t="n"/>
      <c r="AH253" s="11602" t="n"/>
      <c r="AI253" s="11602" t="n"/>
      <c r="AJ253" s="11602" t="n"/>
      <c r="AK253" s="2013" t="n"/>
      <c r="BL253" s="2027" t="n"/>
      <c r="BM253" s="2027" t="n"/>
      <c r="BO253" s="2027" t="n"/>
      <c r="BP253" s="2027" t="n"/>
      <c r="BQ253" s="2027" t="n"/>
      <c r="BR253" s="2027" t="n"/>
      <c r="BS253" s="2027" t="n"/>
      <c r="BT253" s="2027" t="n"/>
      <c r="BU253" s="2027" t="n"/>
      <c r="BV253" s="2027" t="n"/>
    </row>
    <row r="254" ht="13.5" customHeight="1" s="7635" thickBot="1">
      <c r="A254" s="2013" t="n"/>
      <c r="B254" s="11602" t="n"/>
      <c r="C254" s="734" t="inlineStr">
        <is>
          <t xml:space="preserve">c </t>
        </is>
      </c>
      <c r="D254" s="8650" t="inlineStr">
        <is>
          <t>Did your visa limit the length of your stay or employment in a foreign country? If “Yes,” attach explanation</t>
        </is>
      </c>
      <c r="E254" s="11602" t="n"/>
      <c r="F254" s="11602" t="n"/>
      <c r="G254" s="11602" t="n"/>
      <c r="H254" s="11602" t="n"/>
      <c r="I254" s="11602" t="n"/>
      <c r="J254" s="11602" t="n"/>
      <c r="K254" s="11602" t="n"/>
      <c r="L254" s="11602" t="n"/>
      <c r="M254" s="11602" t="n"/>
      <c r="N254" s="11602" t="n"/>
      <c r="O254" s="11602" t="n"/>
      <c r="P254" s="11602" t="n"/>
      <c r="Q254" s="11602" t="n"/>
      <c r="R254" s="11602" t="n"/>
      <c r="S254" s="11602" t="n"/>
      <c r="T254" s="11602" t="n"/>
      <c r="U254" s="11602" t="n"/>
      <c r="V254" s="11602" t="n"/>
      <c r="W254" s="11602" t="n"/>
      <c r="X254" s="11602" t="n"/>
      <c r="Y254" s="11602" t="n"/>
      <c r="Z254" s="11602" t="n"/>
      <c r="AA254" s="11602" t="n"/>
      <c r="AB254" s="11602" t="n"/>
      <c r="AC254" s="11602" t="n"/>
      <c r="AD254" s="2031" t="inlineStr">
        <is>
          <t xml:space="preserve">.   . </t>
        </is>
      </c>
      <c r="AE254" s="277" t="n"/>
      <c r="AF254" s="344" t="inlineStr">
        <is>
          <t>Yes</t>
        </is>
      </c>
      <c r="AG254" s="11602" t="n"/>
      <c r="AH254" s="277" t="n"/>
      <c r="AI254" s="344" t="inlineStr">
        <is>
          <t>No</t>
        </is>
      </c>
      <c r="AJ254" s="11602" t="n"/>
      <c r="AK254" s="2013" t="n"/>
      <c r="AO254" s="2042" t="n"/>
      <c r="AP254" s="2048" t="n"/>
      <c r="BL254" s="2027" t="n"/>
      <c r="BM254" s="2027" t="n"/>
      <c r="BO254" s="2027" t="n"/>
      <c r="BP254" s="2027" t="n"/>
      <c r="BQ254" s="2027" t="n"/>
      <c r="BR254" s="2027" t="n"/>
      <c r="BS254" s="2027" t="n"/>
      <c r="BT254" s="2027" t="n"/>
      <c r="BU254" s="2027" t="n"/>
      <c r="BV254" s="2027" t="n"/>
    </row>
    <row r="255" ht="3.75" customHeight="1" s="7635" thickBot="1">
      <c r="A255" s="2013" t="n"/>
      <c r="B255" s="11602" t="n"/>
      <c r="C255" s="734" t="n"/>
      <c r="D255" s="11602" t="n"/>
      <c r="E255" s="11602" t="n"/>
      <c r="F255" s="11602" t="n"/>
      <c r="G255" s="11602" t="n"/>
      <c r="H255" s="11602" t="n"/>
      <c r="I255" s="11602" t="n"/>
      <c r="J255" s="11602" t="n"/>
      <c r="K255" s="11602" t="n"/>
      <c r="L255" s="11602" t="n"/>
      <c r="M255" s="11602" t="n"/>
      <c r="N255" s="11602" t="n"/>
      <c r="O255" s="11602" t="n"/>
      <c r="P255" s="11602" t="n"/>
      <c r="Q255" s="11602" t="n"/>
      <c r="R255" s="11602" t="n"/>
      <c r="S255" s="11602" t="n"/>
      <c r="T255" s="11602" t="n"/>
      <c r="U255" s="11602" t="n"/>
      <c r="V255" s="11602" t="n"/>
      <c r="W255" s="11602" t="n"/>
      <c r="X255" s="11602" t="n"/>
      <c r="Y255" s="11602" t="n"/>
      <c r="Z255" s="11602" t="n"/>
      <c r="AA255" s="11602" t="n"/>
      <c r="AB255" s="11602" t="n"/>
      <c r="AC255" s="11602" t="n"/>
      <c r="AD255" s="11602" t="n"/>
      <c r="AE255" s="435" t="n"/>
      <c r="AF255" s="344" t="n"/>
      <c r="AG255" s="11602" t="n"/>
      <c r="AH255" s="435" t="n"/>
      <c r="AI255" s="344" t="n"/>
      <c r="AJ255" s="11602" t="n"/>
      <c r="AK255" s="2013" t="n"/>
      <c r="AO255" s="2042" t="n"/>
      <c r="AP255" s="2048" t="n"/>
      <c r="BL255" s="2027" t="n"/>
      <c r="BM255" s="2027" t="n"/>
      <c r="BO255" s="2027" t="n"/>
      <c r="BP255" s="2027" t="n"/>
      <c r="BQ255" s="2027" t="n"/>
      <c r="BR255" s="2027" t="n"/>
      <c r="BS255" s="2027" t="n"/>
      <c r="BT255" s="2027" t="n"/>
      <c r="BU255" s="2027" t="n"/>
      <c r="BV255" s="2027" t="n"/>
    </row>
    <row r="256" ht="13.5" customHeight="1" s="7635" thickBot="1">
      <c r="A256" s="2013" t="n"/>
      <c r="B256" s="11602" t="n"/>
      <c r="C256" s="734" t="inlineStr">
        <is>
          <t>d</t>
        </is>
      </c>
      <c r="D256" s="8650" t="inlineStr">
        <is>
          <t>Did you maintain a home in the United States while living abroad?</t>
        </is>
      </c>
      <c r="E256" s="11602" t="n"/>
      <c r="F256" s="11602" t="n"/>
      <c r="G256" s="11602" t="n"/>
      <c r="H256" s="11602" t="n"/>
      <c r="I256" s="11602" t="n"/>
      <c r="J256" s="11602" t="n"/>
      <c r="K256" s="11602" t="n"/>
      <c r="L256" s="11602" t="n"/>
      <c r="M256" s="11602" t="n"/>
      <c r="N256" s="11602" t="n"/>
      <c r="O256" s="11602" t="n"/>
      <c r="P256" s="11602" t="n"/>
      <c r="Q256" s="11602" t="n"/>
      <c r="R256" s="11602" t="n"/>
      <c r="S256" s="11602" t="n"/>
      <c r="T256" s="11602" t="n"/>
      <c r="U256" s="11602" t="n"/>
      <c r="V256" s="11602" t="n"/>
      <c r="W256" s="11602" t="n"/>
      <c r="X256" s="11602" t="n"/>
      <c r="Y256" s="11602" t="n"/>
      <c r="Z256" s="11602" t="n"/>
      <c r="AA256" s="11602" t="n"/>
      <c r="AB256" s="11602" t="n"/>
      <c r="AC256" s="11602" t="n"/>
      <c r="AD256" s="2031" t="inlineStr">
        <is>
          <t xml:space="preserve">.   .   .   .   .   .   .   .   .   .   .   .   .   .   .   .   .   .   .   . </t>
        </is>
      </c>
      <c r="AE256" s="277" t="n"/>
      <c r="AF256" s="344" t="inlineStr">
        <is>
          <t>Yes</t>
        </is>
      </c>
      <c r="AG256" s="11602" t="n"/>
      <c r="AH256" s="277" t="n"/>
      <c r="AI256" s="344" t="inlineStr">
        <is>
          <t>No</t>
        </is>
      </c>
      <c r="AJ256" s="11602" t="n"/>
      <c r="AK256" s="2013" t="n"/>
      <c r="AO256" s="2027" t="n"/>
      <c r="AP256" s="2027" t="n"/>
      <c r="BL256" s="2027" t="n"/>
      <c r="BM256" s="2027" t="n"/>
      <c r="BO256" s="2027" t="n"/>
      <c r="BP256" s="2027" t="n"/>
      <c r="BQ256" s="2027" t="n"/>
      <c r="BR256" s="2027" t="n"/>
      <c r="BS256" s="2027" t="n"/>
      <c r="BT256" s="2027" t="n"/>
      <c r="BU256" s="2027" t="n"/>
      <c r="BV256" s="2027" t="n"/>
    </row>
    <row r="257" ht="14.25" customHeight="1" s="7635">
      <c r="A257" s="2013" t="n"/>
      <c r="B257" s="11602" t="n"/>
      <c r="C257" s="734" t="inlineStr">
        <is>
          <t>e</t>
        </is>
      </c>
      <c r="D257" s="8650" t="inlineStr">
        <is>
          <t>If “Yes,” enter address of your home, whether it was rented, the names of the occupants, and their relationship</t>
        </is>
      </c>
      <c r="E257" s="11602" t="n"/>
      <c r="F257" s="11602" t="n"/>
      <c r="G257" s="11602" t="n"/>
      <c r="H257" s="11602" t="n"/>
      <c r="I257" s="11602" t="n"/>
      <c r="J257" s="11602" t="n"/>
      <c r="K257" s="11602" t="n"/>
      <c r="L257" s="11602" t="n"/>
      <c r="M257" s="11602" t="n"/>
      <c r="N257" s="11602" t="n"/>
      <c r="O257" s="11602" t="n"/>
      <c r="P257" s="11602" t="n"/>
      <c r="Q257" s="11602" t="n"/>
      <c r="R257" s="11602" t="n"/>
      <c r="S257" s="11602" t="n"/>
      <c r="T257" s="11602" t="n"/>
      <c r="U257" s="11602" t="n"/>
      <c r="V257" s="11602" t="n"/>
      <c r="W257" s="11602" t="n"/>
      <c r="X257" s="11602" t="n"/>
      <c r="Y257" s="11602" t="n"/>
      <c r="Z257" s="11602" t="n"/>
      <c r="AA257" s="11602" t="n"/>
      <c r="AB257" s="11602" t="n"/>
      <c r="AC257" s="11602" t="n"/>
      <c r="AD257" s="11602" t="n"/>
      <c r="AE257" s="11602" t="n"/>
      <c r="AF257" s="11602" t="n"/>
      <c r="AG257" s="11602" t="n"/>
      <c r="AH257" s="11602" t="n"/>
      <c r="AI257" s="11602" t="n"/>
      <c r="AJ257" s="11602" t="n"/>
      <c r="AK257" s="2013" t="n"/>
      <c r="AO257" s="2027" t="n"/>
      <c r="AP257" s="2027" t="n"/>
      <c r="BL257" s="2027" t="n"/>
      <c r="BM257" s="2027" t="n"/>
      <c r="BO257" s="2027" t="n"/>
      <c r="BP257" s="2027" t="n"/>
      <c r="BQ257" s="2027" t="n"/>
      <c r="BR257" s="2027" t="n"/>
      <c r="BS257" s="2027" t="n"/>
      <c r="BT257" s="2027" t="n"/>
      <c r="BU257" s="2027" t="n"/>
      <c r="BV257" s="2027" t="n"/>
    </row>
    <row r="258" ht="14.25" customHeight="1" s="7635">
      <c r="A258" s="2013" t="n"/>
      <c r="B258" s="11602" t="n"/>
      <c r="C258" s="734" t="n"/>
      <c r="D258" s="8650" t="inlineStr">
        <is>
          <t>to you.</t>
        </is>
      </c>
      <c r="E258" s="11602" t="n"/>
      <c r="F258" s="11602" t="n"/>
      <c r="G258" s="9833" t="n"/>
      <c r="H258" s="11730" t="n"/>
      <c r="I258" s="11730" t="n"/>
      <c r="J258" s="11730" t="n"/>
      <c r="K258" s="11730" t="n"/>
      <c r="L258" s="11730" t="n"/>
      <c r="M258" s="11730" t="n"/>
      <c r="N258" s="11730" t="n"/>
      <c r="O258" s="11730" t="n"/>
      <c r="P258" s="11730" t="n"/>
      <c r="Q258" s="11730" t="n"/>
      <c r="R258" s="11730" t="n"/>
      <c r="S258" s="11730" t="n"/>
      <c r="T258" s="11730" t="n"/>
      <c r="U258" s="11730" t="n"/>
      <c r="V258" s="11730" t="n"/>
      <c r="W258" s="11730" t="n"/>
      <c r="X258" s="11730" t="n"/>
      <c r="Y258" s="11730" t="n"/>
      <c r="Z258" s="11730" t="n"/>
      <c r="AA258" s="11730" t="n"/>
      <c r="AB258" s="11730" t="n"/>
      <c r="AC258" s="11730" t="n"/>
      <c r="AD258" s="11730" t="n"/>
      <c r="AE258" s="11730" t="n"/>
      <c r="AF258" s="11730" t="n"/>
      <c r="AG258" s="11730" t="n"/>
      <c r="AH258" s="11730" t="n"/>
      <c r="AI258" s="11730" t="n"/>
      <c r="AJ258" s="11730" t="n"/>
      <c r="AK258" s="2013" t="n"/>
      <c r="AO258" s="2049" t="n"/>
      <c r="AP258" s="2049" t="n"/>
      <c r="BL258" s="2027" t="n"/>
      <c r="BM258" s="2027" t="n"/>
      <c r="BO258" s="2027" t="n"/>
      <c r="BP258" s="2027" t="n"/>
      <c r="BQ258" s="2027" t="n"/>
      <c r="BR258" s="2027" t="n"/>
      <c r="BS258" s="2027" t="n"/>
      <c r="BT258" s="2027" t="n"/>
      <c r="BU258" s="2027" t="n"/>
      <c r="BV258" s="2027" t="n"/>
    </row>
    <row r="259" ht="15" customHeight="1" s="7635">
      <c r="A259" s="2013" t="n"/>
      <c r="B259" s="11602" t="n"/>
      <c r="C259" s="11602" t="n"/>
      <c r="D259" s="9833" t="n"/>
      <c r="E259" s="11730" t="n"/>
      <c r="F259" s="11730" t="n"/>
      <c r="G259" s="11730" t="n"/>
      <c r="H259" s="11730" t="n"/>
      <c r="I259" s="11730" t="n"/>
      <c r="J259" s="11730" t="n"/>
      <c r="K259" s="11730" t="n"/>
      <c r="L259" s="11730" t="n"/>
      <c r="M259" s="11730" t="n"/>
      <c r="N259" s="11730" t="n"/>
      <c r="O259" s="11730" t="n"/>
      <c r="P259" s="11730" t="n"/>
      <c r="Q259" s="11730" t="n"/>
      <c r="R259" s="11730" t="n"/>
      <c r="S259" s="11730" t="n"/>
      <c r="T259" s="11730" t="n"/>
      <c r="U259" s="11730" t="n"/>
      <c r="V259" s="11730" t="n"/>
      <c r="W259" s="11730" t="n"/>
      <c r="X259" s="11730" t="n"/>
      <c r="Y259" s="11730" t="n"/>
      <c r="Z259" s="11730" t="n"/>
      <c r="AA259" s="11730" t="n"/>
      <c r="AB259" s="11730" t="n"/>
      <c r="AC259" s="11730" t="n"/>
      <c r="AD259" s="11730" t="n"/>
      <c r="AE259" s="11730" t="n"/>
      <c r="AF259" s="11730" t="n"/>
      <c r="AG259" s="11730" t="n"/>
      <c r="AH259" s="11730" t="n"/>
      <c r="AI259" s="11730" t="n"/>
      <c r="AJ259" s="11730" t="n"/>
      <c r="AK259" s="2013" t="n"/>
      <c r="AM259" s="433" t="n"/>
      <c r="AN259" s="433" t="n"/>
      <c r="AO259" s="2050" t="n"/>
      <c r="AP259" s="2051" t="n"/>
      <c r="BL259" s="2027" t="n"/>
      <c r="BM259" s="2027" t="n"/>
      <c r="BO259" s="2027" t="n"/>
      <c r="BP259" s="2027" t="n"/>
      <c r="BQ259" s="2027" t="n"/>
      <c r="BR259" s="2027" t="n"/>
      <c r="BS259" s="2027" t="n"/>
      <c r="BT259" s="2027" t="n"/>
      <c r="BU259" s="2027" t="n"/>
      <c r="BV259" s="2027" t="n"/>
    </row>
    <row r="260" ht="18.75" customHeight="1" s="7635">
      <c r="A260" s="2013" t="n"/>
      <c r="B260" s="226" t="inlineStr">
        <is>
          <t>For Paperwork Reduction Act Notice, see the Form 1040 instructions.</t>
        </is>
      </c>
      <c r="C260" s="11403" t="n"/>
      <c r="D260" s="11403" t="n"/>
      <c r="E260" s="11403" t="n"/>
      <c r="F260" s="11403" t="n"/>
      <c r="G260" s="11403" t="n"/>
      <c r="H260" s="11403" t="n"/>
      <c r="I260" s="11403" t="n"/>
      <c r="J260" s="11403" t="n"/>
      <c r="K260" s="11403" t="n"/>
      <c r="L260" s="11403" t="n"/>
      <c r="M260" s="11403" t="n"/>
      <c r="N260" s="11403" t="n"/>
      <c r="O260" s="11403" t="n"/>
      <c r="P260" s="11403" t="n"/>
      <c r="Q260" s="88" t="n"/>
      <c r="R260" s="88" t="n"/>
      <c r="S260" s="88" t="n"/>
      <c r="T260" s="88" t="n"/>
      <c r="U260" s="229" t="n"/>
      <c r="V260" s="88" t="n"/>
      <c r="W260" s="229" t="inlineStr">
        <is>
          <t>Cat. No. 11900P</t>
        </is>
      </c>
      <c r="X260" s="88" t="n"/>
      <c r="Y260" s="88" t="n"/>
      <c r="Z260" s="88" t="n"/>
      <c r="AA260" s="88" t="n"/>
      <c r="AB260" s="88" t="n"/>
      <c r="AC260" s="88" t="n"/>
      <c r="AD260" s="88" t="n"/>
      <c r="AE260" s="88" t="n"/>
      <c r="AF260" s="88" t="n"/>
      <c r="AG260" s="88" t="n"/>
      <c r="AH260" s="2052" t="inlineStr">
        <is>
          <t>Form 2555</t>
        </is>
      </c>
      <c r="AI260" s="88" t="n"/>
      <c r="AJ260" s="2052">
        <f>"("&amp;TaxYear&amp;")"</f>
        <v/>
      </c>
      <c r="AK260" s="2013" t="n"/>
      <c r="AM260" s="433" t="n"/>
      <c r="AN260" s="433" t="n"/>
      <c r="AO260" s="2050" t="n"/>
      <c r="AP260" s="2051" t="n"/>
      <c r="BL260" s="2027" t="n"/>
      <c r="BM260" s="2027" t="n"/>
      <c r="BO260" s="2027" t="n"/>
      <c r="BP260" s="2027" t="n"/>
      <c r="BQ260" s="2027" t="n"/>
      <c r="BR260" s="2027" t="n"/>
      <c r="BS260" s="2027" t="n"/>
      <c r="BT260" s="2027" t="n"/>
      <c r="BU260" s="2027" t="n"/>
      <c r="BV260" s="2027" t="n"/>
    </row>
    <row r="261" ht="18.75" customHeight="1" s="7635" thickBot="1">
      <c r="A261" s="2013" t="n"/>
      <c r="B261" s="721">
        <f>"Form 2555 ("&amp;TaxYear&amp;")"</f>
        <v/>
      </c>
      <c r="C261" s="721" t="n"/>
      <c r="D261" s="721" t="n"/>
      <c r="E261" s="721" t="n"/>
      <c r="F261" s="721" t="n"/>
      <c r="G261" s="721" t="n"/>
      <c r="H261" s="721" t="n"/>
      <c r="I261" s="721" t="n"/>
      <c r="J261" s="721" t="n"/>
      <c r="K261" s="721" t="n"/>
      <c r="L261" s="721" t="n"/>
      <c r="M261" s="721" t="n"/>
      <c r="N261" s="721" t="n"/>
      <c r="O261" s="721" t="n"/>
      <c r="P261" s="721" t="n"/>
      <c r="Q261" s="721" t="n"/>
      <c r="R261" s="721" t="n"/>
      <c r="S261" s="721" t="n"/>
      <c r="T261" s="721" t="n"/>
      <c r="U261" s="721" t="n"/>
      <c r="V261" s="721" t="n"/>
      <c r="W261" s="721" t="n"/>
      <c r="X261" s="721" t="n"/>
      <c r="Y261" s="721" t="n"/>
      <c r="Z261" s="721" t="n"/>
      <c r="AA261" s="721" t="n"/>
      <c r="AB261" s="721" t="n"/>
      <c r="AC261" s="721" t="n"/>
      <c r="AD261" s="721" t="n"/>
      <c r="AE261" s="721" t="n"/>
      <c r="AF261" s="721" t="n"/>
      <c r="AG261" s="721" t="n"/>
      <c r="AH261" s="721" t="n"/>
      <c r="AI261" s="2053" t="inlineStr">
        <is>
          <t>Page</t>
        </is>
      </c>
      <c r="AJ261" s="2054" t="n">
        <v>2</v>
      </c>
      <c r="AK261" s="2013" t="n"/>
      <c r="AO261" s="2050" t="n"/>
      <c r="AP261" s="2051" t="n"/>
      <c r="BL261" s="2027" t="n"/>
      <c r="BM261" s="2027" t="n"/>
      <c r="BO261" s="2027" t="n"/>
      <c r="BP261" s="2027" t="n"/>
      <c r="BQ261" s="2027" t="n"/>
      <c r="BR261" s="2027" t="n"/>
      <c r="BS261" s="2027" t="n"/>
      <c r="BT261" s="2027" t="n"/>
      <c r="BU261" s="2027" t="n"/>
      <c r="BV261" s="2027" t="n"/>
    </row>
    <row r="262" ht="5.25" customHeight="1" s="7635" thickTop="1">
      <c r="A262" s="2013" t="n"/>
      <c r="B262" s="2036" t="n"/>
      <c r="C262" s="2036" t="n"/>
      <c r="D262" s="2036" t="n"/>
      <c r="E262" s="2036" t="n"/>
      <c r="F262" s="2036" t="n"/>
      <c r="G262" s="2036" t="n"/>
      <c r="H262" s="2036" t="n"/>
      <c r="I262" s="2036" t="n"/>
      <c r="J262" s="2036" t="n"/>
      <c r="K262" s="2036" t="n"/>
      <c r="L262" s="2036" t="n"/>
      <c r="M262" s="2036" t="n"/>
      <c r="N262" s="2036" t="n"/>
      <c r="O262" s="2036" t="n"/>
      <c r="P262" s="2036" t="n"/>
      <c r="Q262" s="2036" t="n"/>
      <c r="R262" s="2036" t="n"/>
      <c r="S262" s="2036" t="n"/>
      <c r="T262" s="2036" t="n"/>
      <c r="U262" s="2036" t="n"/>
      <c r="V262" s="2036" t="n"/>
      <c r="W262" s="2036" t="n"/>
      <c r="X262" s="2036" t="n"/>
      <c r="Y262" s="2036" t="n"/>
      <c r="Z262" s="2036" t="n"/>
      <c r="AA262" s="2036" t="n"/>
      <c r="AB262" s="2036" t="n"/>
      <c r="AC262" s="2036" t="n"/>
      <c r="AD262" s="2036" t="n"/>
      <c r="AE262" s="2036" t="n"/>
      <c r="AF262" s="2036" t="n"/>
      <c r="AG262" s="2036" t="n"/>
      <c r="AH262" s="2036" t="n"/>
      <c r="AI262" s="2036" t="n"/>
      <c r="AJ262" s="2036" t="n"/>
      <c r="AK262" s="2013" t="n"/>
    </row>
    <row r="263" ht="15" customHeight="1" s="7635">
      <c r="A263" s="2013" t="n"/>
      <c r="B263" s="7938" t="inlineStr">
        <is>
          <t>Part III</t>
        </is>
      </c>
      <c r="C263" s="8412" t="n"/>
      <c r="D263" s="2055" t="inlineStr">
        <is>
          <t>Taxpayers Qualifying Under Physical Presence Test</t>
        </is>
      </c>
      <c r="E263" s="1990" t="n"/>
      <c r="F263" s="1990" t="n"/>
      <c r="G263" s="1990" t="n"/>
      <c r="H263" s="1990" t="n"/>
      <c r="I263" s="1990" t="n"/>
      <c r="J263" s="1990" t="n"/>
      <c r="K263" s="1990" t="n"/>
      <c r="L263" s="1990" t="n"/>
      <c r="M263" s="1990" t="n"/>
      <c r="N263" s="1990" t="n"/>
      <c r="O263" s="1990" t="n"/>
      <c r="P263" s="1990" t="n"/>
      <c r="Q263" s="1990" t="n"/>
      <c r="R263" s="1990" t="n"/>
      <c r="S263" s="1990" t="n"/>
      <c r="T263" s="1990" t="n"/>
      <c r="U263" s="1990" t="n"/>
      <c r="V263" s="1990" t="n"/>
      <c r="W263" s="1990" t="n"/>
      <c r="X263" s="1990" t="n"/>
      <c r="Y263" s="1990" t="n"/>
      <c r="Z263" s="1990" t="n"/>
      <c r="AA263" s="1990" t="n"/>
      <c r="AB263" s="1990" t="n"/>
      <c r="AC263" s="1990" t="n"/>
      <c r="AD263" s="1990" t="n"/>
      <c r="AE263" s="1990" t="n"/>
      <c r="AF263" s="1990" t="n"/>
      <c r="AG263" s="1990" t="n"/>
      <c r="AH263" s="1990" t="n"/>
      <c r="AI263" s="1990" t="n"/>
      <c r="AJ263" s="1990" t="n"/>
      <c r="AK263" s="2013" t="n"/>
    </row>
    <row r="264" ht="18.75" customHeight="1" s="7635">
      <c r="A264" s="2013" t="n"/>
      <c r="B264" s="1999" t="n"/>
      <c r="C264" s="1999" t="n"/>
      <c r="D264" s="2056" t="inlineStr">
        <is>
          <t>Note: U.S. citizens and all resident aliens can use this test. See instructions.</t>
        </is>
      </c>
      <c r="E264" s="1999" t="n"/>
      <c r="F264" s="1999" t="n"/>
      <c r="G264" s="1999" t="n"/>
      <c r="H264" s="1999" t="n"/>
      <c r="I264" s="1999" t="n"/>
      <c r="J264" s="1999" t="n"/>
      <c r="K264" s="1999" t="n"/>
      <c r="L264" s="1999" t="n"/>
      <c r="M264" s="1999" t="n"/>
      <c r="N264" s="1999" t="n"/>
      <c r="O264" s="1999" t="n"/>
      <c r="P264" s="1999" t="n"/>
      <c r="Q264" s="1999" t="n"/>
      <c r="R264" s="1999" t="n"/>
      <c r="S264" s="1999" t="n"/>
      <c r="T264" s="1999" t="n"/>
      <c r="U264" s="1999" t="n"/>
      <c r="V264" s="1999" t="n"/>
      <c r="W264" s="1999" t="n"/>
      <c r="X264" s="1999" t="n"/>
      <c r="Y264" s="1999" t="n"/>
      <c r="Z264" s="1999" t="n"/>
      <c r="AA264" s="1999" t="n"/>
      <c r="AB264" s="1999" t="n"/>
      <c r="AC264" s="1999" t="n"/>
      <c r="AD264" s="1999" t="n"/>
      <c r="AE264" s="1999" t="n"/>
      <c r="AF264" s="1999" t="n"/>
      <c r="AG264" s="1999" t="n"/>
      <c r="AH264" s="1999" t="n"/>
      <c r="AI264" s="1999" t="n"/>
      <c r="AJ264" s="1999" t="n"/>
      <c r="AK264" s="2013" t="n"/>
    </row>
    <row r="265" ht="12.75" customHeight="1" s="7635">
      <c r="A265" s="2013" t="n"/>
      <c r="B265" s="9835" t="inlineStr">
        <is>
          <t>16</t>
        </is>
      </c>
      <c r="C265" s="7839" t="n"/>
      <c r="D265" s="8650" t="inlineStr">
        <is>
          <t>The physical presence test is based on the 12-month period from</t>
        </is>
      </c>
      <c r="E265" s="11602" t="n"/>
      <c r="F265" s="11602" t="n"/>
      <c r="G265" s="11602" t="n"/>
      <c r="H265" s="11602" t="n"/>
      <c r="I265" s="11602" t="n"/>
      <c r="J265" s="11602" t="n"/>
      <c r="K265" s="11602" t="n"/>
      <c r="L265" s="11602" t="n"/>
      <c r="M265" s="11602" t="n"/>
      <c r="N265" s="11602" t="n"/>
      <c r="O265" s="11602" t="n"/>
      <c r="P265" s="11602" t="n"/>
      <c r="Q265" s="11602" t="n"/>
      <c r="R265" s="11602" t="n"/>
      <c r="S265" s="11602" t="n"/>
      <c r="T265" s="11602" t="n"/>
      <c r="U265" s="12443" t="n"/>
      <c r="V265" s="12431" t="n"/>
      <c r="W265" s="12431" t="n"/>
      <c r="X265" s="12431" t="n"/>
      <c r="Y265" s="12431" t="n"/>
      <c r="Z265" s="12431" t="n"/>
      <c r="AA265" s="11602" t="n"/>
      <c r="AB265" s="6996" t="inlineStr">
        <is>
          <t>through</t>
        </is>
      </c>
      <c r="AC265" s="11602" t="n"/>
      <c r="AD265" s="12443" t="n"/>
      <c r="AE265" s="12431" t="n"/>
      <c r="AF265" s="12431" t="n"/>
      <c r="AG265" s="12431" t="n"/>
      <c r="AH265" s="12431" t="n"/>
      <c r="AI265" s="12431" t="n"/>
      <c r="AJ265" s="12431" t="n"/>
      <c r="AK265" s="2013" t="n"/>
      <c r="AO265" s="2050" t="n"/>
      <c r="AP265" s="2051" t="n"/>
      <c r="BL265" s="2027" t="n"/>
      <c r="BM265" s="2027" t="n"/>
      <c r="BO265" s="2027" t="n"/>
      <c r="BP265" s="2027" t="n"/>
      <c r="BQ265" s="2027" t="n"/>
      <c r="BR265" s="2027" t="n"/>
      <c r="BS265" s="2027" t="n"/>
      <c r="BT265" s="2027" t="n"/>
      <c r="BU265" s="2027" t="n"/>
      <c r="BV265" s="2027" t="n"/>
    </row>
    <row r="266" ht="15" customHeight="1" s="7635">
      <c r="A266" s="2013" t="n"/>
      <c r="B266" s="9828" t="inlineStr">
        <is>
          <t>17</t>
        </is>
      </c>
      <c r="D266" s="8650" t="inlineStr">
        <is>
          <t>Enter your principal country of employment during your tax year.</t>
        </is>
      </c>
      <c r="E266" s="11602" t="n"/>
      <c r="F266" s="11602" t="n"/>
      <c r="G266" s="11602" t="n"/>
      <c r="H266" s="11602" t="n"/>
      <c r="I266" s="11602" t="n"/>
      <c r="J266" s="11602" t="n"/>
      <c r="K266" s="11602" t="n"/>
      <c r="L266" s="11602" t="n"/>
      <c r="M266" s="11602" t="n"/>
      <c r="N266" s="11602" t="n"/>
      <c r="O266" s="11602" t="n"/>
      <c r="P266" s="11602" t="n"/>
      <c r="Q266" s="11602" t="n"/>
      <c r="R266" s="11602" t="n"/>
      <c r="S266" s="11602" t="n"/>
      <c r="T266" s="9800" t="n"/>
      <c r="U266" s="11730" t="n"/>
      <c r="V266" s="11730" t="n"/>
      <c r="W266" s="11730" t="n"/>
      <c r="X266" s="11730" t="n"/>
      <c r="Y266" s="11730" t="n"/>
      <c r="Z266" s="11730" t="n"/>
      <c r="AA266" s="11730" t="n"/>
      <c r="AB266" s="11730" t="n"/>
      <c r="AC266" s="11730" t="n"/>
      <c r="AD266" s="11730" t="n"/>
      <c r="AE266" s="11730" t="n"/>
      <c r="AF266" s="11730" t="n"/>
      <c r="AG266" s="11730" t="n"/>
      <c r="AH266" s="11730" t="n"/>
      <c r="AI266" s="11730" t="n"/>
      <c r="AJ266" s="11730" t="n"/>
      <c r="AK266" s="2013" t="n"/>
      <c r="AM266" s="433" t="n"/>
      <c r="AN266" s="433" t="n"/>
      <c r="AO266" s="2050" t="n"/>
      <c r="AP266" s="2051" t="n"/>
      <c r="BL266" s="2027" t="n"/>
      <c r="BM266" s="2027" t="n"/>
      <c r="BO266" s="2027" t="n"/>
      <c r="BP266" s="2027" t="n"/>
      <c r="BQ266" s="2027" t="n"/>
      <c r="BR266" s="2027" t="n"/>
      <c r="BS266" s="2027" t="n"/>
      <c r="BT266" s="2027" t="n"/>
      <c r="BU266" s="2027" t="n"/>
      <c r="BV266" s="2027" t="n"/>
    </row>
    <row r="267" ht="18" customHeight="1" s="7635">
      <c r="A267" s="2013" t="n"/>
      <c r="B267" s="9828" t="inlineStr">
        <is>
          <t>18</t>
        </is>
      </c>
      <c r="D267" s="8650" t="inlineStr">
        <is>
          <t>If you traveled abroad during the 12-month period entered on line 16, complete columns (a)–(f) below. Exclude travel between</t>
        </is>
      </c>
      <c r="E267" s="11602" t="n"/>
      <c r="F267" s="11602" t="n"/>
      <c r="G267" s="11602" t="n"/>
      <c r="H267" s="11602" t="n"/>
      <c r="I267" s="11602" t="n"/>
      <c r="J267" s="11602" t="n"/>
      <c r="K267" s="11602" t="n"/>
      <c r="L267" s="11602" t="n"/>
      <c r="M267" s="11602" t="n"/>
      <c r="N267" s="11602" t="n"/>
      <c r="O267" s="11602" t="n"/>
      <c r="P267" s="11602" t="n"/>
      <c r="Q267" s="11602" t="n"/>
      <c r="R267" s="11602" t="n"/>
      <c r="S267" s="11602" t="n"/>
      <c r="T267" s="11602" t="n"/>
      <c r="U267" s="11602" t="n"/>
      <c r="V267" s="11602" t="n"/>
      <c r="W267" s="11602" t="n"/>
      <c r="X267" s="11602" t="n"/>
      <c r="Y267" s="11602" t="n"/>
      <c r="Z267" s="11602" t="n"/>
      <c r="AA267" s="11602" t="n"/>
      <c r="AB267" s="11602" t="n"/>
      <c r="AC267" s="11602" t="n"/>
      <c r="AD267" s="11602" t="n"/>
      <c r="AE267" s="11602" t="n"/>
      <c r="AF267" s="11602" t="n"/>
      <c r="AG267" s="11602" t="n"/>
      <c r="AH267" s="11602" t="n"/>
      <c r="AI267" s="11602" t="n"/>
      <c r="AJ267" s="11602" t="n"/>
      <c r="AK267" s="2013" t="n"/>
      <c r="AO267" s="2050" t="n"/>
      <c r="AP267" s="2057" t="n"/>
      <c r="BL267" s="2027" t="n"/>
      <c r="BM267" s="2027" t="n"/>
      <c r="BO267" s="2027" t="n"/>
      <c r="BP267" s="2027" t="n"/>
      <c r="BQ267" s="2027" t="n"/>
      <c r="BR267" s="2027" t="n"/>
      <c r="BS267" s="2027" t="n"/>
      <c r="BT267" s="2027" t="n"/>
      <c r="BU267" s="2027" t="n"/>
      <c r="BV267" s="2027" t="n"/>
    </row>
    <row r="268" ht="15.75" customHeight="1" s="7635">
      <c r="A268" s="2013" t="n"/>
      <c r="B268" s="11602" t="n"/>
      <c r="C268" s="11602" t="n"/>
      <c r="D268" s="8650" t="inlineStr">
        <is>
          <t>foreign countries that didn't involve travel on or over international waters, or in or over the United States, for 24 hours or more.</t>
        </is>
      </c>
      <c r="E268" s="11602" t="n"/>
      <c r="F268" s="11602" t="n"/>
      <c r="G268" s="11602" t="n"/>
      <c r="H268" s="11602" t="n"/>
      <c r="I268" s="11602" t="n"/>
      <c r="J268" s="11602" t="n"/>
      <c r="K268" s="11602" t="n"/>
      <c r="L268" s="11602" t="n"/>
      <c r="M268" s="11602" t="n"/>
      <c r="N268" s="11602" t="n"/>
      <c r="O268" s="11602" t="n"/>
      <c r="P268" s="11602" t="n"/>
      <c r="Q268" s="11602" t="n"/>
      <c r="R268" s="11602" t="n"/>
      <c r="S268" s="11602" t="n"/>
      <c r="T268" s="11602" t="n"/>
      <c r="U268" s="11602" t="n"/>
      <c r="V268" s="11602" t="n"/>
      <c r="W268" s="11602" t="n"/>
      <c r="X268" s="11602" t="n"/>
      <c r="Y268" s="11602" t="n"/>
      <c r="Z268" s="11602" t="n"/>
      <c r="AA268" s="11602" t="n"/>
      <c r="AB268" s="11602" t="n"/>
      <c r="AC268" s="11602" t="n"/>
      <c r="AD268" s="11602" t="n"/>
      <c r="AE268" s="11602" t="n"/>
      <c r="AF268" s="11602" t="n"/>
      <c r="AG268" s="11602" t="n"/>
      <c r="AH268" s="11602" t="n"/>
      <c r="AI268" s="11602" t="n"/>
      <c r="AJ268" s="11602" t="n"/>
      <c r="AK268" s="2013" t="n"/>
      <c r="AM268" s="433" t="n"/>
      <c r="AN268" s="433" t="n"/>
      <c r="AO268" s="2058" t="n"/>
      <c r="AP268" s="2059" t="n"/>
      <c r="BL268" s="2027" t="n"/>
      <c r="BM268" s="2027" t="n"/>
      <c r="BO268" s="2027" t="n"/>
      <c r="BP268" s="2027" t="n"/>
      <c r="BQ268" s="2027" t="n"/>
      <c r="BR268" s="2027" t="n"/>
      <c r="BS268" s="2027" t="n"/>
      <c r="BT268" s="2027" t="n"/>
      <c r="BU268" s="2027" t="n"/>
      <c r="BV268" s="2027" t="n"/>
    </row>
    <row r="269" ht="14.25" customHeight="1" s="7635">
      <c r="A269" s="2013" t="n"/>
      <c r="B269" s="11602" t="n"/>
      <c r="C269" s="11602" t="n"/>
      <c r="D269" s="8650" t="inlineStr">
        <is>
          <t>If you have no travel to report during the period, enter “Physically present in a foreign country or countries for the entire 12-</t>
        </is>
      </c>
      <c r="E269" s="11602" t="n"/>
      <c r="F269" s="11602" t="n"/>
      <c r="G269" s="11602" t="n"/>
      <c r="H269" s="11602" t="n"/>
      <c r="I269" s="11602" t="n"/>
      <c r="J269" s="11602" t="n"/>
      <c r="K269" s="11602" t="n"/>
      <c r="L269" s="11602" t="n"/>
      <c r="M269" s="11602" t="n"/>
      <c r="N269" s="11602" t="n"/>
      <c r="O269" s="11602" t="n"/>
      <c r="P269" s="11602" t="n"/>
      <c r="Q269" s="11602" t="n"/>
      <c r="R269" s="11602" t="n"/>
      <c r="S269" s="11602" t="n"/>
      <c r="T269" s="11602" t="n"/>
      <c r="U269" s="11602" t="n"/>
      <c r="V269" s="11602" t="n"/>
      <c r="W269" s="11602" t="n"/>
      <c r="X269" s="11602" t="n"/>
      <c r="Y269" s="11602" t="n"/>
      <c r="Z269" s="11602" t="n"/>
      <c r="AA269" s="11602" t="n"/>
      <c r="AB269" s="11602" t="n"/>
      <c r="AC269" s="11602" t="n"/>
      <c r="AD269" s="11602" t="n"/>
      <c r="AE269" s="11602" t="n"/>
      <c r="AF269" s="11602" t="n"/>
      <c r="AG269" s="11602" t="n"/>
      <c r="AH269" s="11602" t="n"/>
      <c r="AI269" s="11602" t="n"/>
      <c r="AJ269" s="11602" t="n"/>
      <c r="AK269" s="2013" t="n"/>
      <c r="AM269" s="433" t="n"/>
      <c r="AN269" s="433" t="n"/>
      <c r="AO269" s="2060" t="n"/>
      <c r="AP269" s="2061" t="n"/>
      <c r="BL269" s="2027" t="n"/>
      <c r="BM269" s="2027" t="n"/>
      <c r="BO269" s="2027" t="n"/>
      <c r="BP269" s="2027" t="n"/>
      <c r="BQ269" s="2027" t="n"/>
      <c r="BR269" s="2027" t="n"/>
      <c r="BS269" s="2027" t="n"/>
      <c r="BT269" s="2027" t="n"/>
      <c r="BU269" s="2027" t="n"/>
      <c r="BV269" s="2027" t="n"/>
    </row>
    <row r="270" ht="15" customHeight="1" s="7635">
      <c r="A270" s="2013" t="n"/>
      <c r="B270" s="11602" t="n"/>
      <c r="C270" s="11602" t="n"/>
      <c r="D270" s="8650" t="inlineStr">
        <is>
          <t>month period."  Don't include the income from column (f) below in Part IV, but report it on Form 1040 or 1040-SR.</t>
        </is>
      </c>
      <c r="E270" s="11602" t="n"/>
      <c r="F270" s="11602" t="n"/>
      <c r="G270" s="11602" t="n"/>
      <c r="H270" s="11602" t="n"/>
      <c r="I270" s="11602" t="n"/>
      <c r="J270" s="11602" t="n"/>
      <c r="K270" s="11602" t="n"/>
      <c r="L270" s="11602" t="n"/>
      <c r="M270" s="11602" t="n"/>
      <c r="N270" s="11602" t="n"/>
      <c r="O270" s="11602" t="n"/>
      <c r="P270" s="11602" t="n"/>
      <c r="Q270" s="11602" t="n"/>
      <c r="R270" s="11602" t="n"/>
      <c r="S270" s="11602" t="n"/>
      <c r="T270" s="11602" t="n"/>
      <c r="U270" s="11602" t="n"/>
      <c r="V270" s="11602" t="n"/>
      <c r="W270" s="11602" t="n"/>
      <c r="X270" s="11602" t="n"/>
      <c r="Y270" s="11602" t="n"/>
      <c r="Z270" s="11602" t="n"/>
      <c r="AA270" s="11602" t="n"/>
      <c r="AB270" s="11602" t="n"/>
      <c r="AC270" s="11602" t="n"/>
      <c r="AD270" s="11602" t="n"/>
      <c r="AE270" s="11602" t="n"/>
      <c r="AF270" s="11602" t="n"/>
      <c r="AG270" s="11602" t="n"/>
      <c r="AH270" s="11602" t="n"/>
      <c r="AI270" s="11602" t="n"/>
      <c r="AJ270" s="11602" t="n"/>
      <c r="AK270" s="2013" t="n"/>
      <c r="AL270" s="2042" t="n"/>
      <c r="AM270" s="2042" t="n"/>
      <c r="AN270" s="2042" t="n"/>
      <c r="AO270" s="2050" t="n"/>
      <c r="AP270" s="2027" t="n"/>
      <c r="BL270" s="2027" t="n"/>
      <c r="BM270" s="2027" t="n"/>
      <c r="BO270" s="2027" t="n"/>
      <c r="BP270" s="2027" t="n"/>
      <c r="BQ270" s="2027" t="n"/>
      <c r="BR270" s="2027" t="n"/>
      <c r="BS270" s="2027" t="n"/>
      <c r="BT270" s="2027" t="n"/>
      <c r="BU270" s="2027" t="n"/>
      <c r="BV270" s="2027" t="n"/>
    </row>
    <row r="271" ht="35.25" customHeight="1" s="7635" thickBot="1">
      <c r="A271" s="2013" t="n"/>
      <c r="B271" s="12437" t="inlineStr">
        <is>
          <t>(a) Name of country 
(including U.S.)</t>
        </is>
      </c>
      <c r="C271" s="8412" t="n"/>
      <c r="D271" s="8412" t="n"/>
      <c r="E271" s="8412" t="n"/>
      <c r="F271" s="8412" t="n"/>
      <c r="G271" s="8412" t="n"/>
      <c r="H271" s="8412" t="n"/>
      <c r="I271" s="8412" t="n"/>
      <c r="J271" s="8412" t="n"/>
      <c r="K271" s="8412" t="n"/>
      <c r="L271" s="8412" t="n"/>
      <c r="M271" s="11734" t="n"/>
      <c r="N271" s="11391" t="inlineStr">
        <is>
          <t>(b) Date arrived</t>
        </is>
      </c>
      <c r="O271" s="8412" t="n"/>
      <c r="P271" s="8412" t="n"/>
      <c r="Q271" s="8412" t="n"/>
      <c r="R271" s="11734" t="n"/>
      <c r="S271" s="11391" t="inlineStr">
        <is>
          <t>(c) Date left</t>
        </is>
      </c>
      <c r="T271" s="8412" t="n"/>
      <c r="U271" s="8412" t="n"/>
      <c r="V271" s="8412" t="n"/>
      <c r="W271" s="11734" t="n"/>
      <c r="X271" s="11391" t="inlineStr">
        <is>
          <t>(d) Full days 
present 
in country</t>
        </is>
      </c>
      <c r="Y271" s="8412" t="n"/>
      <c r="Z271" s="8412" t="n"/>
      <c r="AA271" s="11734" t="n"/>
      <c r="AB271" s="11391" t="inlineStr">
        <is>
          <t>(e) Number of 
days in U.S. 
on business</t>
        </is>
      </c>
      <c r="AC271" s="8412" t="n"/>
      <c r="AD271" s="8412" t="n"/>
      <c r="AE271" s="11734" t="n"/>
      <c r="AF271" s="9831" t="inlineStr">
        <is>
          <t>(f) Income earned in U.S. 
on business 
(attach computation)</t>
        </is>
      </c>
      <c r="AG271" s="8412" t="n"/>
      <c r="AH271" s="8412" t="n"/>
      <c r="AI271" s="8412" t="n"/>
      <c r="AJ271" s="8412" t="n"/>
      <c r="AK271" s="2013" t="n"/>
      <c r="AM271" s="7914" t="inlineStr">
        <is>
          <t>Override</t>
        </is>
      </c>
      <c r="AO271" s="2042" t="n"/>
      <c r="AP271" s="2048" t="n"/>
      <c r="BL271" s="2027" t="n"/>
      <c r="BM271" s="2027" t="n"/>
      <c r="BO271" s="2027" t="n"/>
      <c r="BP271" s="2027" t="n"/>
      <c r="BQ271" s="2027" t="n"/>
      <c r="BR271" s="2027" t="n"/>
      <c r="BS271" s="2027" t="n"/>
      <c r="BT271" s="2027" t="n"/>
      <c r="BU271" s="2027" t="n"/>
      <c r="BV271" s="2027" t="n"/>
    </row>
    <row r="272" ht="14.25" customHeight="1" s="7635" thickBot="1">
      <c r="A272" s="2013" t="n"/>
      <c r="B272" s="12444" t="n"/>
      <c r="C272" s="8007" t="n"/>
      <c r="D272" s="8007" t="n"/>
      <c r="E272" s="8007" t="n"/>
      <c r="F272" s="8007" t="n"/>
      <c r="G272" s="8007" t="n"/>
      <c r="H272" s="8007" t="n"/>
      <c r="I272" s="8007" t="n"/>
      <c r="J272" s="8007" t="n"/>
      <c r="K272" s="8007" t="n"/>
      <c r="L272" s="8007" t="n"/>
      <c r="M272" s="8008" t="n"/>
      <c r="N272" s="12439" t="n"/>
      <c r="O272" s="8007" t="n"/>
      <c r="P272" s="8007" t="n"/>
      <c r="Q272" s="8007" t="n"/>
      <c r="R272" s="8008" t="n"/>
      <c r="S272" s="12439" t="n"/>
      <c r="T272" s="8007" t="n"/>
      <c r="U272" s="8007" t="n"/>
      <c r="V272" s="8007" t="n"/>
      <c r="W272" s="8008" t="n"/>
      <c r="X272" s="12440">
        <f>IF(AM272&lt;&gt;"",ROUND(AM272,0),IF(OR(N272="",S272=""),"",S272-N272-2))</f>
        <v/>
      </c>
      <c r="Y272" s="8412" t="n"/>
      <c r="Z272" s="8412" t="n"/>
      <c r="AA272" s="11734" t="n"/>
      <c r="AB272" s="12445" t="n"/>
      <c r="AC272" s="8007" t="n"/>
      <c r="AD272" s="8007" t="n"/>
      <c r="AE272" s="8008" t="n"/>
      <c r="AF272" s="9826" t="n"/>
      <c r="AG272" s="8007" t="n"/>
      <c r="AH272" s="8007" t="n"/>
      <c r="AI272" s="8007" t="n"/>
      <c r="AJ272" s="8007" t="n"/>
      <c r="AK272" s="2013" t="n"/>
      <c r="AM272" s="453" t="n"/>
      <c r="AO272" s="2042" t="n"/>
      <c r="AP272" s="2048" t="n"/>
      <c r="BL272" s="2027" t="n"/>
      <c r="BM272" s="2027" t="n"/>
      <c r="BO272" s="2027" t="n"/>
      <c r="BP272" s="2027" t="n"/>
      <c r="BQ272" s="2027" t="n"/>
      <c r="BR272" s="2027" t="n"/>
      <c r="BS272" s="2027" t="n"/>
      <c r="BT272" s="2027" t="n"/>
      <c r="BU272" s="2027" t="n"/>
      <c r="BV272" s="2027" t="n"/>
    </row>
    <row r="273" ht="14.25" customHeight="1" s="7635" thickBot="1">
      <c r="A273" s="2013" t="n"/>
      <c r="B273" s="12444" t="n"/>
      <c r="C273" s="8007" t="n"/>
      <c r="D273" s="8007" t="n"/>
      <c r="E273" s="8007" t="n"/>
      <c r="F273" s="8007" t="n"/>
      <c r="G273" s="8007" t="n"/>
      <c r="H273" s="8007" t="n"/>
      <c r="I273" s="8007" t="n"/>
      <c r="J273" s="8007" t="n"/>
      <c r="K273" s="8007" t="n"/>
      <c r="L273" s="8007" t="n"/>
      <c r="M273" s="8008" t="n"/>
      <c r="N273" s="12439" t="n"/>
      <c r="O273" s="8007" t="n"/>
      <c r="P273" s="8007" t="n"/>
      <c r="Q273" s="8007" t="n"/>
      <c r="R273" s="8008" t="n"/>
      <c r="S273" s="12439" t="n"/>
      <c r="T273" s="8007" t="n"/>
      <c r="U273" s="8007" t="n"/>
      <c r="V273" s="8007" t="n"/>
      <c r="W273" s="8008" t="n"/>
      <c r="X273" s="12440">
        <f>IF(AM273&lt;&gt;"",ROUND(AM273,0),IF(OR(N273="",S273=""),"",S273-N273-2))</f>
        <v/>
      </c>
      <c r="Y273" s="8412" t="n"/>
      <c r="Z273" s="8412" t="n"/>
      <c r="AA273" s="11734" t="n"/>
      <c r="AB273" s="12445" t="n"/>
      <c r="AC273" s="8007" t="n"/>
      <c r="AD273" s="8007" t="n"/>
      <c r="AE273" s="8008" t="n"/>
      <c r="AF273" s="9826" t="n"/>
      <c r="AG273" s="8007" t="n"/>
      <c r="AH273" s="8007" t="n"/>
      <c r="AI273" s="8007" t="n"/>
      <c r="AJ273" s="8007" t="n"/>
      <c r="AK273" s="2013" t="n"/>
      <c r="AM273" s="453" t="n"/>
      <c r="AO273" s="2042" t="n"/>
      <c r="AP273" s="2048" t="n"/>
      <c r="BL273" s="2027" t="n"/>
      <c r="BM273" s="2027" t="n"/>
      <c r="BO273" s="2027" t="n"/>
      <c r="BP273" s="2027" t="n"/>
      <c r="BQ273" s="2027" t="n"/>
      <c r="BR273" s="2027" t="n"/>
      <c r="BS273" s="2027" t="n"/>
      <c r="BT273" s="2027" t="n"/>
      <c r="BU273" s="2027" t="n"/>
      <c r="BV273" s="2027" t="n"/>
    </row>
    <row r="274" ht="14.25" customHeight="1" s="7635" thickBot="1">
      <c r="A274" s="2013" t="n"/>
      <c r="B274" s="12444" t="n"/>
      <c r="C274" s="8007" t="n"/>
      <c r="D274" s="8007" t="n"/>
      <c r="E274" s="8007" t="n"/>
      <c r="F274" s="8007" t="n"/>
      <c r="G274" s="8007" t="n"/>
      <c r="H274" s="8007" t="n"/>
      <c r="I274" s="8007" t="n"/>
      <c r="J274" s="8007" t="n"/>
      <c r="K274" s="8007" t="n"/>
      <c r="L274" s="8007" t="n"/>
      <c r="M274" s="8008" t="n"/>
      <c r="N274" s="12439" t="n"/>
      <c r="O274" s="8007" t="n"/>
      <c r="P274" s="8007" t="n"/>
      <c r="Q274" s="8007" t="n"/>
      <c r="R274" s="8008" t="n"/>
      <c r="S274" s="12439" t="n"/>
      <c r="T274" s="8007" t="n"/>
      <c r="U274" s="8007" t="n"/>
      <c r="V274" s="8007" t="n"/>
      <c r="W274" s="8008" t="n"/>
      <c r="X274" s="12440">
        <f>IF(AM274&lt;&gt;"",ROUND(AM274,0),IF(OR(N274="",S274=""),"",S274-N274-2))</f>
        <v/>
      </c>
      <c r="Y274" s="8412" t="n"/>
      <c r="Z274" s="8412" t="n"/>
      <c r="AA274" s="11734" t="n"/>
      <c r="AB274" s="12445" t="n"/>
      <c r="AC274" s="8007" t="n"/>
      <c r="AD274" s="8007" t="n"/>
      <c r="AE274" s="8008" t="n"/>
      <c r="AF274" s="9826" t="n"/>
      <c r="AG274" s="8007" t="n"/>
      <c r="AH274" s="8007" t="n"/>
      <c r="AI274" s="8007" t="n"/>
      <c r="AJ274" s="8007" t="n"/>
      <c r="AK274" s="2013" t="n"/>
      <c r="AM274" s="453" t="n"/>
      <c r="AO274" s="2042" t="n"/>
      <c r="AP274" s="2048" t="n"/>
      <c r="BL274" s="2027" t="n"/>
      <c r="BM274" s="2027" t="n"/>
      <c r="BO274" s="2027" t="n"/>
      <c r="BP274" s="2027" t="n"/>
      <c r="BQ274" s="2027" t="n"/>
      <c r="BR274" s="2027" t="n"/>
      <c r="BS274" s="2027" t="n"/>
      <c r="BT274" s="2027" t="n"/>
      <c r="BU274" s="2027" t="n"/>
      <c r="BV274" s="2027" t="n"/>
    </row>
    <row r="275" ht="14.25" customHeight="1" s="7635" thickBot="1">
      <c r="A275" s="2013" t="n"/>
      <c r="B275" s="12444" t="n"/>
      <c r="C275" s="8007" t="n"/>
      <c r="D275" s="8007" t="n"/>
      <c r="E275" s="8007" t="n"/>
      <c r="F275" s="8007" t="n"/>
      <c r="G275" s="8007" t="n"/>
      <c r="H275" s="8007" t="n"/>
      <c r="I275" s="8007" t="n"/>
      <c r="J275" s="8007" t="n"/>
      <c r="K275" s="8007" t="n"/>
      <c r="L275" s="8007" t="n"/>
      <c r="M275" s="8008" t="n"/>
      <c r="N275" s="12439" t="n"/>
      <c r="O275" s="8007" t="n"/>
      <c r="P275" s="8007" t="n"/>
      <c r="Q275" s="8007" t="n"/>
      <c r="R275" s="8008" t="n"/>
      <c r="S275" s="12439" t="n"/>
      <c r="T275" s="8007" t="n"/>
      <c r="U275" s="8007" t="n"/>
      <c r="V275" s="8007" t="n"/>
      <c r="W275" s="8008" t="n"/>
      <c r="X275" s="12440">
        <f>IF(AM275&lt;&gt;"",ROUND(AM275,0),IF(OR(N275="",S275=""),"",S275-N275-2))</f>
        <v/>
      </c>
      <c r="Y275" s="8412" t="n"/>
      <c r="Z275" s="8412" t="n"/>
      <c r="AA275" s="11734" t="n"/>
      <c r="AB275" s="12445" t="n"/>
      <c r="AC275" s="8007" t="n"/>
      <c r="AD275" s="8007" t="n"/>
      <c r="AE275" s="8008" t="n"/>
      <c r="AF275" s="9826" t="n"/>
      <c r="AG275" s="8007" t="n"/>
      <c r="AH275" s="8007" t="n"/>
      <c r="AI275" s="8007" t="n"/>
      <c r="AJ275" s="8007" t="n"/>
      <c r="AK275" s="2013" t="n"/>
      <c r="AM275" s="453" t="n"/>
      <c r="AO275" s="2042" t="n"/>
      <c r="AP275" s="2048" t="n"/>
      <c r="BL275" s="2027" t="n"/>
      <c r="BM275" s="2027" t="n"/>
      <c r="BO275" s="2027" t="n"/>
      <c r="BP275" s="2027" t="n"/>
      <c r="BQ275" s="2027" t="n"/>
      <c r="BR275" s="2027" t="n"/>
      <c r="BS275" s="2027" t="n"/>
      <c r="BT275" s="2027" t="n"/>
      <c r="BU275" s="2027" t="n"/>
      <c r="BV275" s="2027" t="n"/>
    </row>
    <row r="276" ht="4.5" customHeight="1" s="7635">
      <c r="A276" s="2013" t="n"/>
      <c r="B276" s="7938" t="inlineStr">
        <is>
          <t>Part IV</t>
        </is>
      </c>
      <c r="C276" s="7839" t="n"/>
      <c r="D276" s="2036" t="n"/>
      <c r="E276" s="2036" t="n"/>
      <c r="F276" s="2036" t="n"/>
      <c r="G276" s="2036" t="n"/>
      <c r="H276" s="2036" t="n"/>
      <c r="I276" s="2036" t="n"/>
      <c r="J276" s="2036" t="n"/>
      <c r="K276" s="2036" t="n"/>
      <c r="L276" s="2036" t="n"/>
      <c r="M276" s="2036" t="n"/>
      <c r="N276" s="2036" t="n"/>
      <c r="O276" s="2036" t="n"/>
      <c r="P276" s="2036" t="n"/>
      <c r="Q276" s="2036" t="n"/>
      <c r="R276" s="2036" t="n"/>
      <c r="S276" s="2036" t="n"/>
      <c r="T276" s="2036" t="n"/>
      <c r="U276" s="2036" t="n"/>
      <c r="V276" s="2036" t="n"/>
      <c r="W276" s="2036" t="n"/>
      <c r="X276" s="2036" t="n"/>
      <c r="Y276" s="2036" t="n"/>
      <c r="Z276" s="2036" t="n"/>
      <c r="AA276" s="2036" t="n"/>
      <c r="AB276" s="2036" t="n"/>
      <c r="AC276" s="2036" t="n"/>
      <c r="AD276" s="2036" t="n"/>
      <c r="AE276" s="2036" t="n"/>
      <c r="AF276" s="2036" t="n"/>
      <c r="AG276" s="2036" t="n"/>
      <c r="AH276" s="2036" t="n"/>
      <c r="AI276" s="2036" t="n"/>
      <c r="AJ276" s="2036" t="n"/>
      <c r="AK276" s="2013" t="n"/>
    </row>
    <row r="277" ht="13.5" customHeight="1" s="7635">
      <c r="A277" s="2013" t="n"/>
      <c r="D277" s="2062" t="inlineStr">
        <is>
          <t>All Taxpayers</t>
        </is>
      </c>
      <c r="E277" s="1990" t="n"/>
      <c r="F277" s="1990" t="n"/>
      <c r="G277" s="1990" t="n"/>
      <c r="H277" s="1990" t="n"/>
      <c r="I277" s="1990" t="n"/>
      <c r="J277" s="1990" t="n"/>
      <c r="K277" s="1990" t="n"/>
      <c r="L277" s="1990" t="n"/>
      <c r="M277" s="1990" t="n"/>
      <c r="N277" s="1990" t="n"/>
      <c r="O277" s="1990" t="n"/>
      <c r="P277" s="1990" t="n"/>
      <c r="Q277" s="1990" t="n"/>
      <c r="R277" s="1990" t="n"/>
      <c r="S277" s="1990" t="n"/>
      <c r="T277" s="1990" t="n"/>
      <c r="U277" s="1990" t="n"/>
      <c r="V277" s="1990" t="n"/>
      <c r="W277" s="1990" t="n"/>
      <c r="X277" s="1990" t="n"/>
      <c r="Y277" s="1990" t="n"/>
      <c r="Z277" s="1990" t="n"/>
      <c r="AA277" s="1990" t="n"/>
      <c r="AB277" s="1990" t="n"/>
      <c r="AC277" s="1990" t="n"/>
      <c r="AD277" s="1990" t="n"/>
      <c r="AE277" s="1990" t="n"/>
      <c r="AF277" s="1990" t="n"/>
      <c r="AG277" s="1990" t="n"/>
      <c r="AH277" s="1990" t="n"/>
      <c r="AI277" s="1990" t="n"/>
      <c r="AJ277" s="1990" t="n"/>
      <c r="AK277" s="2013" t="n"/>
    </row>
    <row r="278" ht="4.5" customHeight="1" s="7635">
      <c r="A278" s="2013" t="n"/>
      <c r="B278" s="7637" t="n"/>
      <c r="C278" s="7637" t="n"/>
      <c r="D278" s="1999" t="n"/>
      <c r="E278" s="1999" t="n"/>
      <c r="F278" s="1999" t="n"/>
      <c r="G278" s="1999" t="n"/>
      <c r="H278" s="1999" t="n"/>
      <c r="I278" s="1999" t="n"/>
      <c r="J278" s="1999" t="n"/>
      <c r="K278" s="1999" t="n"/>
      <c r="L278" s="1999" t="n"/>
      <c r="M278" s="1999" t="n"/>
      <c r="N278" s="1999" t="n"/>
      <c r="O278" s="1999" t="n"/>
      <c r="P278" s="1999" t="n"/>
      <c r="Q278" s="1999" t="n"/>
      <c r="R278" s="1999" t="n"/>
      <c r="S278" s="1999" t="n"/>
      <c r="T278" s="1999" t="n"/>
      <c r="U278" s="1999" t="n"/>
      <c r="V278" s="1999" t="n"/>
      <c r="W278" s="1999" t="n"/>
      <c r="X278" s="1999" t="n"/>
      <c r="Y278" s="1999" t="n"/>
      <c r="Z278" s="1999" t="n"/>
      <c r="AA278" s="1999" t="n"/>
      <c r="AB278" s="1999" t="n"/>
      <c r="AC278" s="1999" t="n"/>
      <c r="AD278" s="1999" t="n"/>
      <c r="AE278" s="1999" t="n"/>
      <c r="AF278" s="1999" t="n"/>
      <c r="AG278" s="1999" t="n"/>
      <c r="AH278" s="1999" t="n"/>
      <c r="AI278" s="1999" t="n"/>
      <c r="AJ278" s="1999" t="n"/>
      <c r="AK278" s="2013" t="n"/>
    </row>
    <row r="279" ht="16.5" customHeight="1" s="7635">
      <c r="A279" s="2013" t="n"/>
      <c r="B279" s="7871" t="inlineStr">
        <is>
          <t>Note: Enter on lines 19 through 23 all income, including noncash income, you earned and actually or constructively received during</t>
        </is>
      </c>
      <c r="C279" s="11602" t="n"/>
      <c r="D279" s="11602" t="n"/>
      <c r="E279" s="11602" t="n"/>
      <c r="F279" s="11602" t="n"/>
      <c r="G279" s="11602" t="n"/>
      <c r="H279" s="11602" t="n"/>
      <c r="I279" s="11602" t="n"/>
      <c r="J279" s="11602" t="n"/>
      <c r="K279" s="11602" t="n"/>
      <c r="L279" s="11602" t="n"/>
      <c r="M279" s="11602" t="n"/>
      <c r="N279" s="11602" t="n"/>
      <c r="O279" s="11602" t="n"/>
      <c r="P279" s="11602" t="n"/>
      <c r="Q279" s="11602" t="n"/>
      <c r="R279" s="11602" t="n"/>
      <c r="S279" s="11602" t="n"/>
      <c r="T279" s="11602" t="n"/>
      <c r="U279" s="11602" t="n"/>
      <c r="V279" s="11602" t="n"/>
      <c r="W279" s="11602" t="n"/>
      <c r="X279" s="11602" t="n"/>
      <c r="Y279" s="11602" t="n"/>
      <c r="Z279" s="11602" t="n"/>
      <c r="AA279" s="11602" t="n"/>
      <c r="AB279" s="11602" t="n"/>
      <c r="AC279" s="11602" t="n"/>
      <c r="AD279" s="11602" t="n"/>
      <c r="AE279" s="11602" t="n"/>
      <c r="AF279" s="11602" t="n"/>
      <c r="AG279" s="11602" t="n"/>
      <c r="AH279" s="11602" t="n"/>
      <c r="AI279" s="11602" t="n"/>
      <c r="AJ279" s="11602" t="n"/>
      <c r="AK279" s="2013" t="n"/>
      <c r="AO279" s="2064" t="n"/>
      <c r="AP279" s="2065" t="n"/>
      <c r="BL279" s="2027" t="n"/>
      <c r="BM279" s="2027" t="n"/>
      <c r="BO279" s="2027" t="n"/>
      <c r="BP279" s="2027" t="n"/>
      <c r="BQ279" s="2027" t="n"/>
      <c r="BR279" s="2027" t="n"/>
      <c r="BS279" s="2027" t="n"/>
      <c r="BT279" s="2027" t="n"/>
      <c r="BU279" s="2027" t="n"/>
      <c r="BV279" s="2027" t="n"/>
    </row>
    <row r="280" ht="14.25" customHeight="1" s="7635">
      <c r="A280" s="2013" t="n"/>
      <c r="B280" s="7871">
        <f>"your "&amp;TaxYear&amp;" tax year for services you performed in a foreign country. If any of the foreign earned income received this tax year was"</f>
        <v/>
      </c>
      <c r="C280" s="11602" t="n"/>
      <c r="D280" s="11602" t="n"/>
      <c r="E280" s="11602" t="n"/>
      <c r="F280" s="11602" t="n"/>
      <c r="G280" s="11602" t="n"/>
      <c r="H280" s="11602" t="n"/>
      <c r="I280" s="11602" t="n"/>
      <c r="J280" s="11602" t="n"/>
      <c r="K280" s="11602" t="n"/>
      <c r="L280" s="11602" t="n"/>
      <c r="M280" s="11602" t="n"/>
      <c r="N280" s="11602" t="n"/>
      <c r="O280" s="11602" t="n"/>
      <c r="P280" s="11602" t="n"/>
      <c r="Q280" s="11602" t="n"/>
      <c r="R280" s="11602" t="n"/>
      <c r="S280" s="11602" t="n"/>
      <c r="T280" s="11602" t="n"/>
      <c r="U280" s="11602" t="n"/>
      <c r="V280" s="11602" t="n"/>
      <c r="W280" s="11602" t="n"/>
      <c r="X280" s="11602" t="n"/>
      <c r="Y280" s="11602" t="n"/>
      <c r="Z280" s="11602" t="n"/>
      <c r="AA280" s="11602" t="n"/>
      <c r="AB280" s="11602" t="n"/>
      <c r="AC280" s="11602" t="n"/>
      <c r="AD280" s="11602" t="n"/>
      <c r="AE280" s="11602" t="n"/>
      <c r="AF280" s="11602" t="n"/>
      <c r="AG280" s="11602" t="n"/>
      <c r="AH280" s="11602" t="n"/>
      <c r="AI280" s="11602" t="n"/>
      <c r="AJ280" s="11602" t="n"/>
      <c r="AK280" s="2013" t="n"/>
      <c r="AO280" s="2027" t="n"/>
      <c r="AP280" s="2066" t="n"/>
      <c r="BL280" s="2027" t="n"/>
      <c r="BM280" s="2027" t="n"/>
      <c r="BO280" s="2027" t="n"/>
      <c r="BP280" s="2027" t="n"/>
      <c r="BQ280" s="2027" t="n"/>
      <c r="BR280" s="2027" t="n"/>
      <c r="BS280" s="2027" t="n"/>
      <c r="BT280" s="2027" t="n"/>
      <c r="BU280" s="2027" t="n"/>
      <c r="BV280" s="2027" t="n"/>
    </row>
    <row r="281" ht="15" customHeight="1" s="7635">
      <c r="A281" s="2013" t="n"/>
      <c r="B281" s="7871" t="inlineStr">
        <is>
          <t>earned in a prior tax year, or will be earned in a later tax year (such as a bonus), see the instructions. Don't include income from line</t>
        </is>
      </c>
      <c r="C281" s="11602" t="n"/>
      <c r="D281" s="11602" t="n"/>
      <c r="E281" s="11602" t="n"/>
      <c r="F281" s="11602" t="n"/>
      <c r="G281" s="11602" t="n"/>
      <c r="H281" s="11602" t="n"/>
      <c r="I281" s="11602" t="n"/>
      <c r="J281" s="11602" t="n"/>
      <c r="K281" s="11602" t="n"/>
      <c r="L281" s="11602" t="n"/>
      <c r="M281" s="11602" t="n"/>
      <c r="N281" s="11602" t="n"/>
      <c r="O281" s="11602" t="n"/>
      <c r="P281" s="11602" t="n"/>
      <c r="Q281" s="11602" t="n"/>
      <c r="R281" s="11602" t="n"/>
      <c r="S281" s="11602" t="n"/>
      <c r="T281" s="11602" t="n"/>
      <c r="U281" s="11602" t="n"/>
      <c r="V281" s="11602" t="n"/>
      <c r="W281" s="11602" t="n"/>
      <c r="X281" s="11602" t="n"/>
      <c r="Y281" s="11602" t="n"/>
      <c r="Z281" s="11602" t="n"/>
      <c r="AA281" s="11602" t="n"/>
      <c r="AB281" s="11602" t="n"/>
      <c r="AC281" s="11602" t="n"/>
      <c r="AD281" s="11602" t="n"/>
      <c r="AE281" s="11602" t="n"/>
      <c r="AF281" s="11602" t="n"/>
      <c r="AG281" s="11602" t="n"/>
      <c r="AH281" s="11602" t="n"/>
      <c r="AI281" s="11602" t="n"/>
      <c r="AJ281" s="11602" t="n"/>
      <c r="AK281" s="2013" t="n"/>
      <c r="AO281" s="2027" t="n"/>
      <c r="AP281" s="2027" t="n"/>
      <c r="BL281" s="2027" t="n"/>
      <c r="BM281" s="2027" t="n"/>
      <c r="BO281" s="2027" t="n"/>
      <c r="BP281" s="2027" t="n"/>
      <c r="BQ281" s="2027" t="n"/>
      <c r="BR281" s="2027" t="n"/>
      <c r="BS281" s="2027" t="n"/>
      <c r="BT281" s="2027" t="n"/>
      <c r="BU281" s="2027" t="n"/>
      <c r="BV281" s="2027" t="n"/>
    </row>
    <row r="282" ht="12.75" customHeight="1" s="7635">
      <c r="A282" s="2013" t="n"/>
      <c r="B282" s="7871" t="inlineStr">
        <is>
          <t>14, column (d), or line 18, column (f). Report amounts in U.S. dollars, using the exchange rates in effect when you actually or</t>
        </is>
      </c>
      <c r="C282" s="11602" t="n"/>
      <c r="D282" s="11602" t="n"/>
      <c r="E282" s="11602" t="n"/>
      <c r="F282" s="11602" t="n"/>
      <c r="G282" s="11602" t="n"/>
      <c r="H282" s="11602" t="n"/>
      <c r="I282" s="11602" t="n"/>
      <c r="J282" s="11602" t="n"/>
      <c r="K282" s="11602" t="n"/>
      <c r="L282" s="11602" t="n"/>
      <c r="M282" s="11602" t="n"/>
      <c r="N282" s="11602" t="n"/>
      <c r="O282" s="11602" t="n"/>
      <c r="P282" s="11602" t="n"/>
      <c r="Q282" s="11602" t="n"/>
      <c r="R282" s="11602" t="n"/>
      <c r="S282" s="11602" t="n"/>
      <c r="T282" s="11602" t="n"/>
      <c r="U282" s="11602" t="n"/>
      <c r="V282" s="11602" t="n"/>
      <c r="W282" s="11602" t="n"/>
      <c r="X282" s="11602" t="n"/>
      <c r="Y282" s="11602" t="n"/>
      <c r="Z282" s="11602" t="n"/>
      <c r="AA282" s="11602" t="n"/>
      <c r="AB282" s="11602" t="n"/>
      <c r="AC282" s="11602" t="n"/>
      <c r="AD282" s="11602" t="n"/>
      <c r="AE282" s="11602" t="n"/>
      <c r="AF282" s="11602" t="n"/>
      <c r="AG282" s="11602" t="n"/>
      <c r="AH282" s="11602" t="n"/>
      <c r="AI282" s="11602" t="n"/>
      <c r="AJ282" s="11602" t="n"/>
      <c r="AK282" s="2013" t="n"/>
      <c r="AO282" s="2027" t="n"/>
      <c r="AP282" s="2027" t="n"/>
      <c r="BL282" s="2027" t="n"/>
      <c r="BM282" s="2027" t="n"/>
      <c r="BO282" s="2027" t="n"/>
      <c r="BP282" s="2027" t="n"/>
      <c r="BQ282" s="2027" t="n"/>
      <c r="BR282" s="2027" t="n"/>
      <c r="BS282" s="2027" t="n"/>
      <c r="BT282" s="2027" t="n"/>
      <c r="BU282" s="2027" t="n"/>
      <c r="BV282" s="2027" t="n"/>
    </row>
    <row r="283" ht="14.25" customHeight="1" s="7635">
      <c r="A283" s="2013" t="n"/>
      <c r="B283" s="7871" t="inlineStr">
        <is>
          <t>constructively received the income.</t>
        </is>
      </c>
      <c r="C283" s="11602" t="n"/>
      <c r="D283" s="11602" t="n"/>
      <c r="E283" s="11602" t="n"/>
      <c r="F283" s="11602" t="n"/>
      <c r="G283" s="11602" t="n"/>
      <c r="H283" s="11602" t="n"/>
      <c r="I283" s="11602" t="n"/>
      <c r="J283" s="11602" t="n"/>
      <c r="K283" s="11602" t="n"/>
      <c r="L283" s="11602" t="n"/>
      <c r="M283" s="11602" t="n"/>
      <c r="N283" s="11602" t="n"/>
      <c r="O283" s="11602" t="n"/>
      <c r="P283" s="11602" t="n"/>
      <c r="Q283" s="11602" t="n"/>
      <c r="R283" s="11602" t="n"/>
      <c r="S283" s="11602" t="n"/>
      <c r="T283" s="11602" t="n"/>
      <c r="U283" s="11602" t="n"/>
      <c r="V283" s="11602" t="n"/>
      <c r="W283" s="11602" t="n"/>
      <c r="X283" s="11602" t="n"/>
      <c r="Y283" s="11602" t="n"/>
      <c r="Z283" s="11602" t="n"/>
      <c r="AA283" s="11602" t="n"/>
      <c r="AB283" s="11602" t="n"/>
      <c r="AC283" s="11602" t="n"/>
      <c r="AD283" s="11602" t="n"/>
      <c r="AE283" s="11602" t="n"/>
      <c r="AF283" s="11602" t="n"/>
      <c r="AG283" s="11602" t="n"/>
      <c r="AH283" s="11602" t="n"/>
      <c r="AI283" s="11602" t="n"/>
      <c r="AJ283" s="11602" t="n"/>
      <c r="AK283" s="2013" t="n"/>
      <c r="AO283" s="2027" t="n"/>
      <c r="AP283" s="2027" t="n"/>
      <c r="BL283" s="2027" t="n"/>
      <c r="BM283" s="2027" t="n"/>
      <c r="BO283" s="2027" t="n"/>
      <c r="BP283" s="2027" t="n"/>
      <c r="BQ283" s="2027" t="n"/>
      <c r="BR283" s="2027" t="n"/>
      <c r="BS283" s="2027" t="n"/>
      <c r="BT283" s="2027" t="n"/>
      <c r="BU283" s="2027" t="n"/>
      <c r="BV283" s="2027" t="n"/>
    </row>
    <row r="284" ht="18" customHeight="1" s="7635">
      <c r="A284" s="2013" t="n"/>
      <c r="B284" s="11602" t="n"/>
      <c r="C284" s="810">
        <f>"If you are a cash basis taxpayer, report on Form 1040 or 1040-SR all income you received in "&amp;TaxYear&amp;", no matter when you"</f>
        <v/>
      </c>
      <c r="D284" s="810" t="n"/>
      <c r="E284" s="7886" t="n"/>
      <c r="F284" s="11602" t="n"/>
      <c r="G284" s="11602" t="n"/>
      <c r="H284" s="11602" t="n"/>
      <c r="I284" s="11602" t="n"/>
      <c r="J284" s="11602" t="n"/>
      <c r="K284" s="11602" t="n"/>
      <c r="L284" s="11602" t="n"/>
      <c r="M284" s="11602" t="n"/>
      <c r="N284" s="11602" t="n"/>
      <c r="O284" s="11602" t="n"/>
      <c r="P284" s="11602" t="n"/>
      <c r="Q284" s="11602" t="n"/>
      <c r="R284" s="11602" t="n"/>
      <c r="S284" s="11602" t="n"/>
      <c r="T284" s="11602" t="n"/>
      <c r="U284" s="11602" t="n"/>
      <c r="V284" s="11602" t="n"/>
      <c r="W284" s="11602" t="n"/>
      <c r="X284" s="11602" t="n"/>
      <c r="Y284" s="11602" t="n"/>
      <c r="Z284" s="11602" t="n"/>
      <c r="AA284" s="11602" t="n"/>
      <c r="AB284" s="11602" t="n"/>
      <c r="AC284" s="11602" t="n"/>
      <c r="AD284" s="11602" t="n"/>
      <c r="AE284" s="11602" t="n"/>
      <c r="AF284" s="11602" t="n"/>
      <c r="AG284" s="11602" t="n"/>
      <c r="AH284" s="11602" t="n"/>
      <c r="AI284" s="11602" t="n"/>
      <c r="AJ284" s="11602" t="n"/>
      <c r="AK284" s="2013" t="n"/>
      <c r="AO284" s="2027" t="n"/>
      <c r="AP284" s="2027" t="n"/>
      <c r="BL284" s="2027" t="n"/>
      <c r="BM284" s="2027" t="n"/>
      <c r="BO284" s="2027" t="n"/>
      <c r="BP284" s="2027" t="n"/>
      <c r="BQ284" s="2027" t="n"/>
      <c r="BR284" s="2027" t="n"/>
      <c r="BS284" s="2027" t="n"/>
      <c r="BT284" s="2027" t="n"/>
      <c r="BU284" s="2027" t="n"/>
      <c r="BV284" s="2027" t="n"/>
    </row>
    <row r="285" ht="18" customFormat="1" customHeight="1" s="138">
      <c r="A285" s="2067" t="n"/>
      <c r="B285" s="2068" t="n"/>
      <c r="C285" s="2069" t="inlineStr">
        <is>
          <t>performed the service.</t>
        </is>
      </c>
      <c r="D285" s="2069" t="n"/>
      <c r="E285" s="2070" t="n"/>
      <c r="F285" s="2068" t="n"/>
      <c r="G285" s="2068" t="n"/>
      <c r="H285" s="2068" t="n"/>
      <c r="I285" s="2068" t="n"/>
      <c r="J285" s="2068" t="n"/>
      <c r="K285" s="2068" t="n"/>
      <c r="L285" s="2068" t="n"/>
      <c r="M285" s="2068" t="n"/>
      <c r="N285" s="2068" t="n"/>
      <c r="O285" s="2068" t="n"/>
      <c r="P285" s="2068" t="n"/>
      <c r="Q285" s="2068" t="n"/>
      <c r="R285" s="2068" t="n"/>
      <c r="S285" s="2068" t="n"/>
      <c r="T285" s="2068" t="n"/>
      <c r="U285" s="2068" t="n"/>
      <c r="V285" s="2068" t="n"/>
      <c r="W285" s="2068" t="n"/>
      <c r="X285" s="2068" t="n"/>
      <c r="Y285" s="2068" t="n"/>
      <c r="Z285" s="2068" t="n"/>
      <c r="AA285" s="2068" t="n"/>
      <c r="AB285" s="2068" t="n"/>
      <c r="AC285" s="2068" t="n"/>
      <c r="AD285" s="2068" t="n"/>
      <c r="AE285" s="2068" t="n"/>
      <c r="AF285" s="2068" t="n"/>
      <c r="AG285" s="2068" t="n"/>
      <c r="AH285" s="2068" t="n"/>
      <c r="AI285" s="2068" t="n"/>
      <c r="AJ285" s="2068" t="n"/>
      <c r="AK285" s="2067" t="n"/>
      <c r="AL285" s="2071" t="n"/>
      <c r="AM285" s="2071" t="n"/>
      <c r="AN285" s="2071" t="n"/>
      <c r="AO285" s="2072" t="n"/>
      <c r="AP285" s="2072" t="n"/>
      <c r="AQ285" s="658" t="n"/>
      <c r="AR285" s="658" t="n"/>
      <c r="AS285" s="658" t="n"/>
      <c r="AT285" s="658" t="n"/>
      <c r="AU285" s="658" t="n"/>
      <c r="AV285" s="658" t="n"/>
      <c r="AW285" s="658" t="n"/>
      <c r="AX285" s="658" t="n"/>
      <c r="AY285" s="658" t="n"/>
      <c r="AZ285" s="2071" t="n"/>
      <c r="BA285" s="2071" t="n"/>
      <c r="BB285" s="2071" t="n"/>
      <c r="BC285" s="2071" t="n"/>
      <c r="BD285" s="2071" t="n"/>
      <c r="BE285" s="2071" t="n"/>
      <c r="BF285" s="2071" t="n"/>
      <c r="BG285" s="2071" t="n"/>
      <c r="BH285" s="2071" t="n"/>
      <c r="BI285" s="2071" t="n"/>
      <c r="BJ285" s="2071" t="n"/>
      <c r="BK285" s="2071" t="n"/>
      <c r="BL285" s="2072" t="n"/>
      <c r="BM285" s="2072" t="n"/>
      <c r="BN285" s="2071" t="n"/>
      <c r="BO285" s="2072" t="n"/>
      <c r="BP285" s="2072" t="n"/>
      <c r="BQ285" s="2072" t="n"/>
      <c r="BR285" s="2072" t="n"/>
      <c r="BS285" s="2072" t="n"/>
      <c r="BT285" s="2072" t="n"/>
      <c r="BU285" s="2072" t="n"/>
      <c r="BV285" s="2072" t="n"/>
      <c r="BW285" s="2071" t="n"/>
    </row>
    <row r="286" ht="28.5" customHeight="1" s="7635">
      <c r="A286" s="2013" t="n"/>
      <c r="B286" s="12446">
        <f>TaxYear&amp;" Foreign Earned Income"</f>
        <v/>
      </c>
      <c r="C286" s="8412" t="n"/>
      <c r="D286" s="8412" t="n"/>
      <c r="E286" s="8412" t="n"/>
      <c r="F286" s="8412" t="n"/>
      <c r="G286" s="8412" t="n"/>
      <c r="H286" s="8412" t="n"/>
      <c r="I286" s="8412" t="n"/>
      <c r="J286" s="8412" t="n"/>
      <c r="K286" s="8412" t="n"/>
      <c r="L286" s="8412" t="n"/>
      <c r="M286" s="8412" t="n"/>
      <c r="N286" s="8412" t="n"/>
      <c r="O286" s="8412" t="n"/>
      <c r="P286" s="8412" t="n"/>
      <c r="Q286" s="8412" t="n"/>
      <c r="R286" s="8412" t="n"/>
      <c r="S286" s="8412" t="n"/>
      <c r="T286" s="8412" t="n"/>
      <c r="U286" s="8412" t="n"/>
      <c r="V286" s="8412" t="n"/>
      <c r="W286" s="8412" t="n"/>
      <c r="X286" s="8412" t="n"/>
      <c r="Y286" s="8412" t="n"/>
      <c r="Z286" s="8412" t="n"/>
      <c r="AA286" s="8412" t="n"/>
      <c r="AB286" s="11734" t="n"/>
      <c r="AC286" s="9065" t="inlineStr">
        <is>
          <t>Amount 
(in U.S. dollars)</t>
        </is>
      </c>
      <c r="AD286" s="8412" t="n"/>
      <c r="AE286" s="8412" t="n"/>
      <c r="AF286" s="8412" t="n"/>
      <c r="AG286" s="8412" t="n"/>
      <c r="AH286" s="8412" t="n"/>
      <c r="AI286" s="8412" t="n"/>
      <c r="AJ286" s="8412" t="n"/>
      <c r="AK286" s="2013" t="n"/>
      <c r="AO286" s="2027" t="n"/>
      <c r="AP286" s="2027" t="n"/>
      <c r="BL286" s="2027" t="n"/>
      <c r="BM286" s="2027" t="n"/>
      <c r="BO286" s="2027" t="n"/>
      <c r="BP286" s="2027" t="n"/>
      <c r="BQ286" s="2027" t="n"/>
      <c r="BR286" s="2027" t="n"/>
      <c r="BS286" s="2027" t="n"/>
      <c r="BT286" s="2027" t="n"/>
      <c r="BU286" s="2027" t="n"/>
      <c r="BV286" s="2027" t="n"/>
    </row>
    <row r="287" ht="16.5" customHeight="1" s="7635">
      <c r="A287" s="2013" t="n"/>
      <c r="B287" s="11602" t="n"/>
      <c r="C287" s="734" t="inlineStr">
        <is>
          <t xml:space="preserve">19 </t>
        </is>
      </c>
      <c r="D287" s="8650" t="inlineStr">
        <is>
          <t>Total wages, salaries, bonuses, commissions, etc.</t>
        </is>
      </c>
      <c r="E287" s="11602" t="n"/>
      <c r="F287" s="11602" t="n"/>
      <c r="G287" s="11602" t="n"/>
      <c r="H287" s="11602" t="n"/>
      <c r="I287" s="11602" t="n"/>
      <c r="J287" s="11602" t="n"/>
      <c r="K287" s="11602" t="n"/>
      <c r="L287" s="11602" t="n"/>
      <c r="M287" s="11602" t="n"/>
      <c r="N287" s="11602" t="n"/>
      <c r="O287" s="11602" t="n"/>
      <c r="P287" s="11602" t="n"/>
      <c r="Q287" s="11602" t="n"/>
      <c r="R287" s="11602" t="n"/>
      <c r="S287" s="11602" t="n"/>
      <c r="T287" s="11602" t="n"/>
      <c r="U287" s="11602" t="n"/>
      <c r="V287" s="11602" t="n"/>
      <c r="W287" s="11602" t="n"/>
      <c r="X287" s="11602" t="n"/>
      <c r="Y287" s="11602" t="n"/>
      <c r="Z287" s="11602" t="n"/>
      <c r="AA287" s="11602" t="n"/>
      <c r="AB287" s="2031" t="inlineStr">
        <is>
          <t xml:space="preserve"> .   .   .   .   .   .   .   .   .   .   .   .   .   .   .   .   .   .   .   . </t>
        </is>
      </c>
      <c r="AC287" s="5382" t="inlineStr">
        <is>
          <t>19</t>
        </is>
      </c>
      <c r="AD287" s="10091" t="n"/>
      <c r="AE287" s="9813" t="n"/>
      <c r="AF287" s="11745" t="n"/>
      <c r="AG287" s="11745" t="n"/>
      <c r="AH287" s="11745" t="n"/>
      <c r="AI287" s="11745" t="n"/>
      <c r="AJ287" s="11745" t="n"/>
      <c r="AK287" s="2013" t="n"/>
      <c r="AO287" s="2027" t="n"/>
      <c r="AP287" s="2027" t="n"/>
      <c r="BL287" s="2027" t="n"/>
      <c r="BM287" s="2027" t="n"/>
      <c r="BO287" s="2027" t="n"/>
      <c r="BP287" s="2027" t="n"/>
      <c r="BQ287" s="2027" t="n"/>
      <c r="BR287" s="2027" t="n"/>
      <c r="BS287" s="2027" t="n"/>
      <c r="BT287" s="2027" t="n"/>
      <c r="BU287" s="2027" t="n"/>
      <c r="BV287" s="2027" t="n"/>
    </row>
    <row r="288" ht="13.5" customHeight="1" s="7635">
      <c r="A288" s="2013" t="n"/>
      <c r="B288" s="11602" t="n"/>
      <c r="C288" s="734" t="inlineStr">
        <is>
          <t xml:space="preserve">20 </t>
        </is>
      </c>
      <c r="D288" s="8650" t="inlineStr">
        <is>
          <t>Allowable share of income for personal services performed (see instructions):</t>
        </is>
      </c>
      <c r="E288" s="11602" t="n"/>
      <c r="F288" s="11602" t="n"/>
      <c r="G288" s="11602" t="n"/>
      <c r="H288" s="11602" t="n"/>
      <c r="I288" s="11602" t="n"/>
      <c r="J288" s="11602" t="n"/>
      <c r="K288" s="11602" t="n"/>
      <c r="L288" s="11602" t="n"/>
      <c r="M288" s="11602" t="n"/>
      <c r="N288" s="11602" t="n"/>
      <c r="O288" s="11602" t="n"/>
      <c r="P288" s="11602" t="n"/>
      <c r="Q288" s="11602" t="n"/>
      <c r="R288" s="11602" t="n"/>
      <c r="S288" s="11602" t="n"/>
      <c r="T288" s="11602" t="n"/>
      <c r="U288" s="11602" t="n"/>
      <c r="V288" s="11602" t="n"/>
      <c r="W288" s="11602" t="n"/>
      <c r="X288" s="11602" t="n"/>
      <c r="Y288" s="11602" t="n"/>
      <c r="Z288" s="11602" t="n"/>
      <c r="AA288" s="11602" t="n"/>
      <c r="AB288" s="11602" t="n"/>
      <c r="AC288" s="2898" t="n"/>
      <c r="AD288" s="10091" t="n"/>
      <c r="AE288" s="9766" t="n"/>
      <c r="AF288" s="7839" t="n"/>
      <c r="AG288" s="9766" t="n"/>
      <c r="AH288" s="7839" t="n"/>
      <c r="AI288" s="9766" t="n"/>
      <c r="AJ288" s="7839" t="n"/>
      <c r="AK288" s="2013" t="n"/>
      <c r="AO288" s="2027" t="n"/>
      <c r="AP288" s="2027" t="n"/>
      <c r="BL288" s="2027" t="n"/>
      <c r="BM288" s="2027" t="n"/>
    </row>
    <row r="289" ht="13.5" customHeight="1" s="7635">
      <c r="A289" s="2013" t="n"/>
      <c r="B289" s="11602" t="n"/>
      <c r="C289" s="734" t="inlineStr">
        <is>
          <t xml:space="preserve">a </t>
        </is>
      </c>
      <c r="D289" s="8650" t="inlineStr">
        <is>
          <t>In a business (including farming) or profession</t>
        </is>
      </c>
      <c r="E289" s="11602" t="n"/>
      <c r="F289" s="11602" t="n"/>
      <c r="G289" s="11602" t="n"/>
      <c r="H289" s="11602" t="n"/>
      <c r="I289" s="11602" t="n"/>
      <c r="J289" s="11602" t="n"/>
      <c r="K289" s="11602" t="n"/>
      <c r="L289" s="11602" t="n"/>
      <c r="M289" s="11602" t="n"/>
      <c r="N289" s="11602" t="n"/>
      <c r="O289" s="11602" t="n"/>
      <c r="P289" s="11602" t="n"/>
      <c r="Q289" s="11602" t="n"/>
      <c r="R289" s="11602" t="n"/>
      <c r="S289" s="11602" t="n"/>
      <c r="T289" s="11602" t="n"/>
      <c r="U289" s="11602" t="n"/>
      <c r="V289" s="11602" t="n"/>
      <c r="W289" s="11602" t="n"/>
      <c r="X289" s="11602" t="n"/>
      <c r="Y289" s="11602" t="n"/>
      <c r="Z289" s="11602" t="n"/>
      <c r="AA289" s="11602" t="n"/>
      <c r="AB289" s="2031" t="inlineStr">
        <is>
          <t xml:space="preserve">.   .   .   .   .   .   .   .   .   .   .   .   .   .   .   .   .   .   .   .   .   . </t>
        </is>
      </c>
      <c r="AC289" s="5372" t="inlineStr">
        <is>
          <t>20a</t>
        </is>
      </c>
      <c r="AD289" s="7638" t="n"/>
      <c r="AE289" s="9763" t="n"/>
      <c r="AF289" s="11717" t="n"/>
      <c r="AG289" s="11717" t="n"/>
      <c r="AH289" s="11717" t="n"/>
      <c r="AI289" s="11717" t="n"/>
      <c r="AJ289" s="11717" t="n"/>
      <c r="AK289" s="2013" t="n"/>
      <c r="AO289" s="2027" t="n"/>
      <c r="AP289" s="2027" t="n"/>
      <c r="BL289" s="2027" t="n"/>
      <c r="BM289" s="2027" t="n"/>
    </row>
    <row r="290" ht="13.5" customHeight="1" s="7635">
      <c r="A290" s="2013" t="n"/>
      <c r="B290" s="11602" t="n"/>
      <c r="C290" s="734" t="inlineStr">
        <is>
          <t xml:space="preserve">b </t>
        </is>
      </c>
      <c r="D290" s="8650" t="inlineStr">
        <is>
          <t>In a partnership. List partnership’s name and address and type of income.</t>
        </is>
      </c>
      <c r="E290" s="11602" t="n"/>
      <c r="F290" s="11602" t="n"/>
      <c r="G290" s="11602" t="n"/>
      <c r="H290" s="11602" t="n"/>
      <c r="I290" s="11602" t="n"/>
      <c r="J290" s="11602" t="n"/>
      <c r="K290" s="11602" t="n"/>
      <c r="L290" s="11602" t="n"/>
      <c r="M290" s="11602" t="n"/>
      <c r="N290" s="11602" t="n"/>
      <c r="O290" s="11602" t="n"/>
      <c r="P290" s="11602" t="n"/>
      <c r="Q290" s="11602" t="n"/>
      <c r="R290" s="11602" t="n"/>
      <c r="S290" s="11602" t="n"/>
      <c r="T290" s="11602" t="n"/>
      <c r="U290" s="11602" t="n"/>
      <c r="V290" s="9759" t="n"/>
      <c r="W290" s="11730" t="n"/>
      <c r="X290" s="11730" t="n"/>
      <c r="Y290" s="11730" t="n"/>
      <c r="Z290" s="11730" t="n"/>
      <c r="AA290" s="11730" t="n"/>
      <c r="AB290" s="11602" t="n"/>
      <c r="AC290" s="2898" t="n"/>
      <c r="AD290" s="10091" t="n"/>
      <c r="AE290" s="8998" t="n"/>
      <c r="AF290" s="7839" t="n"/>
      <c r="AG290" s="9766" t="n"/>
      <c r="AH290" s="7839" t="n"/>
      <c r="AI290" s="9766" t="n"/>
      <c r="AJ290" s="7839" t="n"/>
      <c r="AK290" s="2013" t="n"/>
      <c r="AO290" s="2027" t="n"/>
      <c r="AP290" s="2027" t="n"/>
      <c r="BL290" s="2027" t="n"/>
      <c r="BM290" s="2027" t="n"/>
    </row>
    <row r="291" ht="13.5" customHeight="1" s="7635">
      <c r="A291" s="2013" t="n"/>
      <c r="B291" s="11602" t="n"/>
      <c r="C291" s="734" t="n"/>
      <c r="D291" s="9759" t="n"/>
      <c r="E291" s="11730" t="n"/>
      <c r="F291" s="11730" t="n"/>
      <c r="G291" s="11730" t="n"/>
      <c r="H291" s="11730" t="n"/>
      <c r="I291" s="11730" t="n"/>
      <c r="J291" s="11730" t="n"/>
      <c r="K291" s="11730" t="n"/>
      <c r="L291" s="11730" t="n"/>
      <c r="M291" s="11730" t="n"/>
      <c r="N291" s="11730" t="n"/>
      <c r="O291" s="11730" t="n"/>
      <c r="P291" s="11730" t="n"/>
      <c r="Q291" s="11730" t="n"/>
      <c r="R291" s="11730" t="n"/>
      <c r="S291" s="11730" t="n"/>
      <c r="T291" s="11730" t="n"/>
      <c r="U291" s="11730" t="n"/>
      <c r="V291" s="11730" t="n"/>
      <c r="W291" s="11730" t="n"/>
      <c r="X291" s="11730" t="n"/>
      <c r="Y291" s="11730" t="n"/>
      <c r="Z291" s="11730" t="n"/>
      <c r="AA291" s="11730" t="n"/>
      <c r="AB291" s="11602" t="n"/>
      <c r="AC291" s="5372" t="inlineStr">
        <is>
          <t>20b</t>
        </is>
      </c>
      <c r="AD291" s="7638" t="n"/>
      <c r="AE291" s="9763" t="n"/>
      <c r="AF291" s="11717" t="n"/>
      <c r="AG291" s="11717" t="n"/>
      <c r="AH291" s="11717" t="n"/>
      <c r="AI291" s="11717" t="n"/>
      <c r="AJ291" s="11717" t="n"/>
      <c r="AK291" s="2013" t="n"/>
      <c r="AO291" s="2027" t="n"/>
      <c r="AP291" s="2027" t="n"/>
      <c r="BL291" s="2027" t="n"/>
      <c r="BM291" s="2027" t="n"/>
    </row>
    <row r="292" ht="13.5" customHeight="1" s="7635">
      <c r="A292" s="2013" t="n"/>
      <c r="B292" s="11602" t="n"/>
      <c r="C292" s="734" t="inlineStr">
        <is>
          <t xml:space="preserve">21 </t>
        </is>
      </c>
      <c r="D292" s="8650" t="inlineStr">
        <is>
          <t>Noncash income (market value of property or facilities furnished by employer—attach statement</t>
        </is>
      </c>
      <c r="E292" s="11602" t="n"/>
      <c r="F292" s="11602" t="n"/>
      <c r="G292" s="11602" t="n"/>
      <c r="H292" s="11602" t="n"/>
      <c r="I292" s="11602" t="n"/>
      <c r="J292" s="11602" t="n"/>
      <c r="K292" s="11602" t="n"/>
      <c r="L292" s="11602" t="n"/>
      <c r="M292" s="11602" t="n"/>
      <c r="N292" s="11602" t="n"/>
      <c r="O292" s="11602" t="n"/>
      <c r="P292" s="11602" t="n"/>
      <c r="Q292" s="11602" t="n"/>
      <c r="R292" s="11602" t="n"/>
      <c r="S292" s="11602" t="n"/>
      <c r="T292" s="11602" t="n"/>
      <c r="U292" s="11602" t="n"/>
      <c r="V292" s="11602" t="n"/>
      <c r="W292" s="11602" t="n"/>
      <c r="X292" s="11602" t="n"/>
      <c r="Y292" s="11602" t="n"/>
      <c r="Z292" s="11602" t="n"/>
      <c r="AA292" s="11602" t="n"/>
      <c r="AB292" s="11602" t="n"/>
      <c r="AC292" s="1946" t="n"/>
      <c r="AD292" s="10091" t="n"/>
      <c r="AE292" s="9766" t="n"/>
      <c r="AF292" s="7839" t="n"/>
      <c r="AG292" s="9766" t="n"/>
      <c r="AH292" s="7839" t="n"/>
      <c r="AI292" s="9766" t="n"/>
      <c r="AJ292" s="7839" t="n"/>
      <c r="AK292" s="2013" t="n"/>
      <c r="AO292" s="2027" t="n"/>
      <c r="AP292" s="2027" t="n"/>
      <c r="BL292" s="2027" t="n"/>
      <c r="BM292" s="2027" t="n"/>
    </row>
    <row r="293" ht="13.5" customHeight="1" s="7635">
      <c r="A293" s="2013" t="n"/>
      <c r="B293" s="11602" t="n"/>
      <c r="C293" s="11602" t="n"/>
      <c r="D293" s="8650" t="inlineStr">
        <is>
          <t>showing how it was determined):</t>
        </is>
      </c>
      <c r="E293" s="11602" t="n"/>
      <c r="F293" s="11602" t="n"/>
      <c r="G293" s="11602" t="n"/>
      <c r="H293" s="11602" t="n"/>
      <c r="I293" s="11602" t="n"/>
      <c r="J293" s="11602" t="n"/>
      <c r="K293" s="11602" t="n"/>
      <c r="L293" s="11602" t="n"/>
      <c r="M293" s="11602" t="n"/>
      <c r="N293" s="11602" t="n"/>
      <c r="O293" s="11602" t="n"/>
      <c r="P293" s="11602" t="n"/>
      <c r="Q293" s="11602" t="n"/>
      <c r="R293" s="11602" t="n"/>
      <c r="S293" s="11602" t="n"/>
      <c r="T293" s="11602" t="n"/>
      <c r="U293" s="11602" t="n"/>
      <c r="V293" s="11602" t="n"/>
      <c r="W293" s="11602" t="n"/>
      <c r="X293" s="11602" t="n"/>
      <c r="Y293" s="11602" t="n"/>
      <c r="Z293" s="11602" t="n"/>
      <c r="AA293" s="11602" t="n"/>
      <c r="AB293" s="11602" t="n"/>
      <c r="AC293" s="1947" t="n"/>
      <c r="AD293" s="7636" t="n"/>
      <c r="AE293" s="8977" t="n"/>
      <c r="AG293" s="7914" t="n"/>
      <c r="AI293" s="7914" t="n"/>
      <c r="AK293" s="2013" t="n"/>
      <c r="AO293" s="2027" t="n"/>
      <c r="AP293" s="2027" t="n"/>
      <c r="BL293" s="2027" t="n"/>
      <c r="BM293" s="2027" t="n"/>
    </row>
    <row r="294" ht="13.5" customHeight="1" s="7635">
      <c r="A294" s="2013" t="n"/>
      <c r="B294" s="11602" t="n"/>
      <c r="C294" s="734" t="inlineStr">
        <is>
          <t xml:space="preserve">a </t>
        </is>
      </c>
      <c r="D294" s="8650" t="inlineStr">
        <is>
          <t>Home (lodging)</t>
        </is>
      </c>
      <c r="E294" s="11602" t="n"/>
      <c r="F294" s="11602" t="n"/>
      <c r="G294" s="11602" t="n"/>
      <c r="H294" s="11602" t="n"/>
      <c r="I294" s="11602" t="n"/>
      <c r="J294" s="11602" t="n"/>
      <c r="K294" s="11602" t="n"/>
      <c r="L294" s="11602" t="n"/>
      <c r="M294" s="11602" t="n"/>
      <c r="N294" s="11602" t="n"/>
      <c r="O294" s="11602" t="n"/>
      <c r="P294" s="11602" t="n"/>
      <c r="Q294" s="11602" t="n"/>
      <c r="R294" s="11602" t="n"/>
      <c r="S294" s="11602" t="n"/>
      <c r="T294" s="11602" t="n"/>
      <c r="U294" s="11602" t="n"/>
      <c r="V294" s="11602" t="n"/>
      <c r="W294" s="11602" t="n"/>
      <c r="X294" s="11602" t="n"/>
      <c r="Y294" s="11602" t="n"/>
      <c r="Z294" s="11602" t="n"/>
      <c r="AA294" s="11602" t="n"/>
      <c r="AB294" s="2031" t="inlineStr">
        <is>
          <t xml:space="preserve">.   .   .   .   .   .   .   .   .   .   .   .   .   .   .   .   .   .   .   .   .   .   .   .   .   .   .   .   .   .   .   .   .   . </t>
        </is>
      </c>
      <c r="AC294" s="5372" t="inlineStr">
        <is>
          <t>21a</t>
        </is>
      </c>
      <c r="AD294" s="7638" t="n"/>
      <c r="AE294" s="9763" t="n"/>
      <c r="AF294" s="11717" t="n"/>
      <c r="AG294" s="11717" t="n"/>
      <c r="AH294" s="11717" t="n"/>
      <c r="AI294" s="11717" t="n"/>
      <c r="AJ294" s="11717" t="n"/>
      <c r="AK294" s="2013" t="n"/>
      <c r="AO294" s="2027" t="n"/>
      <c r="AP294" s="2027" t="n"/>
      <c r="BL294" s="2027" t="n"/>
      <c r="BM294" s="2027" t="n"/>
    </row>
    <row r="295" ht="13.5" customHeight="1" s="7635">
      <c r="A295" s="2013" t="n"/>
      <c r="B295" s="11602" t="n"/>
      <c r="C295" s="11602" t="n"/>
      <c r="D295" s="11602" t="n"/>
      <c r="E295" s="11602" t="n"/>
      <c r="F295" s="11602" t="n"/>
      <c r="G295" s="11602" t="n"/>
      <c r="H295" s="11602" t="n"/>
      <c r="I295" s="11602" t="n"/>
      <c r="J295" s="11602" t="n"/>
      <c r="K295" s="11602" t="n"/>
      <c r="L295" s="11602" t="n"/>
      <c r="M295" s="11602" t="n"/>
      <c r="N295" s="11602" t="n"/>
      <c r="O295" s="11602" t="n"/>
      <c r="P295" s="11602" t="n"/>
      <c r="Q295" s="11602" t="n"/>
      <c r="R295" s="11602" t="n"/>
      <c r="S295" s="11602" t="n"/>
      <c r="T295" s="11602" t="n"/>
      <c r="U295" s="11602" t="n"/>
      <c r="V295" s="11602" t="n"/>
      <c r="W295" s="11602" t="n"/>
      <c r="X295" s="11602" t="n"/>
      <c r="Y295" s="11602" t="n"/>
      <c r="Z295" s="11602" t="n"/>
      <c r="AA295" s="11602" t="n"/>
      <c r="AB295" s="11602" t="n"/>
      <c r="AC295" s="2898" t="n"/>
      <c r="AD295" s="10091" t="n"/>
      <c r="AE295" s="8998" t="n"/>
      <c r="AF295" s="7839" t="n"/>
      <c r="AG295" s="9766" t="n"/>
      <c r="AH295" s="7839" t="n"/>
      <c r="AI295" s="9766" t="n"/>
      <c r="AJ295" s="7839" t="n"/>
      <c r="AK295" s="2013" t="n"/>
      <c r="AO295" s="2027" t="n"/>
      <c r="AP295" s="2027" t="n"/>
      <c r="BL295" s="2027" t="n"/>
      <c r="BM295" s="2027" t="n"/>
    </row>
    <row r="296" ht="13.5" customHeight="1" s="7635">
      <c r="A296" s="2013" t="n"/>
      <c r="B296" s="11602" t="n"/>
      <c r="C296" s="734" t="inlineStr">
        <is>
          <t xml:space="preserve">b </t>
        </is>
      </c>
      <c r="D296" s="8650" t="inlineStr">
        <is>
          <t>Meals</t>
        </is>
      </c>
      <c r="E296" s="11602" t="n"/>
      <c r="F296" s="11602" t="n"/>
      <c r="G296" s="11602" t="n"/>
      <c r="H296" s="11602" t="n"/>
      <c r="I296" s="11602" t="n"/>
      <c r="J296" s="11602" t="n"/>
      <c r="K296" s="11602" t="n"/>
      <c r="L296" s="11602" t="n"/>
      <c r="M296" s="11602" t="n"/>
      <c r="N296" s="11602" t="n"/>
      <c r="O296" s="11602" t="n"/>
      <c r="P296" s="11602" t="n"/>
      <c r="Q296" s="11602" t="n"/>
      <c r="R296" s="11602" t="n"/>
      <c r="S296" s="11602" t="n"/>
      <c r="T296" s="11602" t="n"/>
      <c r="U296" s="11602" t="n"/>
      <c r="V296" s="11602" t="n"/>
      <c r="W296" s="11602" t="n"/>
      <c r="X296" s="11602" t="n"/>
      <c r="Y296" s="11602" t="n"/>
      <c r="Z296" s="11602" t="n"/>
      <c r="AA296" s="11602" t="n"/>
      <c r="AB296" s="2031" t="inlineStr">
        <is>
          <t xml:space="preserve">.   .   .   .   .   .   .   .   .   .   .   .   .   .   .   .   .   .   .   .   .   .   .   .   .   .   .   .   .   .   .   .   .   .   .   .   .   . </t>
        </is>
      </c>
      <c r="AC296" s="5372" t="inlineStr">
        <is>
          <t>21b</t>
        </is>
      </c>
      <c r="AD296" s="7638" t="n"/>
      <c r="AE296" s="9763" t="n"/>
      <c r="AF296" s="11717" t="n"/>
      <c r="AG296" s="11717" t="n"/>
      <c r="AH296" s="11717" t="n"/>
      <c r="AI296" s="11717" t="n"/>
      <c r="AJ296" s="11717" t="n"/>
      <c r="AK296" s="2013" t="n"/>
      <c r="AO296" s="2027" t="n"/>
      <c r="AP296" s="2027" t="n"/>
      <c r="BL296" s="2027" t="n"/>
      <c r="BM296" s="2027" t="n"/>
    </row>
    <row r="297" ht="13.5" customHeight="1" s="7635">
      <c r="A297" s="2013" t="n"/>
      <c r="B297" s="11602" t="n"/>
      <c r="C297" s="11602" t="n"/>
      <c r="D297" s="11602" t="n"/>
      <c r="E297" s="11602" t="n"/>
      <c r="F297" s="11602" t="n"/>
      <c r="G297" s="11602" t="n"/>
      <c r="H297" s="11602" t="n"/>
      <c r="I297" s="11602" t="n"/>
      <c r="J297" s="11602" t="n"/>
      <c r="K297" s="11602" t="n"/>
      <c r="L297" s="11602" t="n"/>
      <c r="M297" s="11602" t="n"/>
      <c r="N297" s="11602" t="n"/>
      <c r="O297" s="11602" t="n"/>
      <c r="P297" s="11602" t="n"/>
      <c r="Q297" s="11602" t="n"/>
      <c r="R297" s="11602" t="n"/>
      <c r="S297" s="11602" t="n"/>
      <c r="T297" s="11602" t="n"/>
      <c r="U297" s="11602" t="n"/>
      <c r="V297" s="11602" t="n"/>
      <c r="W297" s="11602" t="n"/>
      <c r="X297" s="11602" t="n"/>
      <c r="Y297" s="11602" t="n"/>
      <c r="Z297" s="11602" t="n"/>
      <c r="AA297" s="11602" t="n"/>
      <c r="AB297" s="11602" t="n"/>
      <c r="AC297" s="2898" t="n"/>
      <c r="AD297" s="10091" t="n"/>
      <c r="AE297" s="8998" t="n"/>
      <c r="AF297" s="7839" t="n"/>
      <c r="AG297" s="9766" t="n"/>
      <c r="AH297" s="7839" t="n"/>
      <c r="AI297" s="9766" t="n"/>
      <c r="AJ297" s="7839" t="n"/>
      <c r="AK297" s="2013" t="n"/>
      <c r="AO297" s="2027" t="n"/>
      <c r="AP297" s="2027" t="n"/>
      <c r="BL297" s="2027" t="n"/>
      <c r="BM297" s="2027" t="n"/>
    </row>
    <row r="298" ht="13.5" customHeight="1" s="7635">
      <c r="A298" s="2013" t="n"/>
      <c r="B298" s="11602" t="n"/>
      <c r="C298" s="734" t="inlineStr">
        <is>
          <t xml:space="preserve">c </t>
        </is>
      </c>
      <c r="D298" s="8650" t="inlineStr">
        <is>
          <t>Car</t>
        </is>
      </c>
      <c r="E298" s="11602" t="n"/>
      <c r="F298" s="11602" t="n"/>
      <c r="G298" s="11602" t="n"/>
      <c r="H298" s="11602" t="n"/>
      <c r="I298" s="11602" t="n"/>
      <c r="J298" s="11602" t="n"/>
      <c r="K298" s="11602" t="n"/>
      <c r="L298" s="11602" t="n"/>
      <c r="M298" s="11602" t="n"/>
      <c r="N298" s="11602" t="n"/>
      <c r="O298" s="11602" t="n"/>
      <c r="P298" s="11602" t="n"/>
      <c r="Q298" s="11602" t="n"/>
      <c r="R298" s="11602" t="n"/>
      <c r="S298" s="11602" t="n"/>
      <c r="T298" s="11602" t="n"/>
      <c r="U298" s="11602" t="n"/>
      <c r="V298" s="11602" t="n"/>
      <c r="W298" s="11602" t="n"/>
      <c r="X298" s="11602" t="n"/>
      <c r="Y298" s="11602" t="n"/>
      <c r="Z298" s="11602" t="n"/>
      <c r="AA298" s="11602" t="n"/>
      <c r="AB298" s="2031" t="inlineStr">
        <is>
          <t xml:space="preserve">.   .   .   .   .   .   .   .   .   .   .   .   .   .   .   .   .   .   .   .   .   .   .   .   .   .   .   .   .   .   .   .   .   .   .   .   .   .   .   . </t>
        </is>
      </c>
      <c r="AC298" s="5372" t="inlineStr">
        <is>
          <t>21c</t>
        </is>
      </c>
      <c r="AD298" s="7638" t="n"/>
      <c r="AE298" s="9763" t="n"/>
      <c r="AF298" s="11717" t="n"/>
      <c r="AG298" s="11717" t="n"/>
      <c r="AH298" s="11717" t="n"/>
      <c r="AI298" s="11717" t="n"/>
      <c r="AJ298" s="11717" t="n"/>
      <c r="AK298" s="2013" t="n"/>
      <c r="AO298" s="2027" t="n"/>
      <c r="AP298" s="2027" t="n"/>
      <c r="BL298" s="2027" t="n"/>
      <c r="BM298" s="2027" t="n"/>
    </row>
    <row r="299" ht="13.5" customHeight="1" s="7635">
      <c r="A299" s="2013" t="n"/>
      <c r="B299" s="11602" t="n"/>
      <c r="C299" s="734" t="inlineStr">
        <is>
          <t xml:space="preserve">d </t>
        </is>
      </c>
      <c r="D299" s="344" t="inlineStr">
        <is>
          <t>Other property or facilities. List type and amount.</t>
        </is>
      </c>
      <c r="E299" s="11602" t="n"/>
      <c r="F299" s="11602" t="n"/>
      <c r="G299" s="11602" t="n"/>
      <c r="H299" s="11602" t="n"/>
      <c r="I299" s="11602" t="n"/>
      <c r="J299" s="11602" t="n"/>
      <c r="K299" s="11602" t="n"/>
      <c r="L299" s="11602" t="n"/>
      <c r="M299" s="11602" t="n"/>
      <c r="N299" s="11602" t="n"/>
      <c r="O299" s="11602" t="n"/>
      <c r="P299" s="9759" t="n"/>
      <c r="Q299" s="11730" t="n"/>
      <c r="R299" s="11730" t="n"/>
      <c r="S299" s="11730" t="n"/>
      <c r="T299" s="11730" t="n"/>
      <c r="U299" s="11730" t="n"/>
      <c r="V299" s="11730" t="n"/>
      <c r="W299" s="11730" t="n"/>
      <c r="X299" s="11730" t="n"/>
      <c r="Y299" s="11730" t="n"/>
      <c r="Z299" s="11730" t="n"/>
      <c r="AA299" s="11730" t="n"/>
      <c r="AB299" s="11602" t="n"/>
      <c r="AC299" s="2898" t="n"/>
      <c r="AD299" s="10091" t="n"/>
      <c r="AE299" s="8998" t="n"/>
      <c r="AF299" s="7839" t="n"/>
      <c r="AG299" s="9766" t="n"/>
      <c r="AH299" s="7839" t="n"/>
      <c r="AI299" s="9766" t="n"/>
      <c r="AJ299" s="7839" t="n"/>
      <c r="AK299" s="2013" t="n"/>
      <c r="AO299" s="2027" t="n"/>
      <c r="AP299" s="2027" t="n"/>
      <c r="BL299" s="2027" t="n"/>
      <c r="BM299" s="2027" t="n"/>
    </row>
    <row r="300" ht="13.5" customHeight="1" s="7635">
      <c r="A300" s="2013" t="n"/>
      <c r="B300" s="11602" t="n"/>
      <c r="C300" s="11602" t="n"/>
      <c r="D300" s="9759" t="n"/>
      <c r="E300" s="11730" t="n"/>
      <c r="F300" s="11730" t="n"/>
      <c r="G300" s="11730" t="n"/>
      <c r="H300" s="11730" t="n"/>
      <c r="I300" s="11730" t="n"/>
      <c r="J300" s="11730" t="n"/>
      <c r="K300" s="11730" t="n"/>
      <c r="L300" s="11730" t="n"/>
      <c r="M300" s="11730" t="n"/>
      <c r="N300" s="11730" t="n"/>
      <c r="O300" s="11730" t="n"/>
      <c r="P300" s="11730" t="n"/>
      <c r="Q300" s="11730" t="n"/>
      <c r="R300" s="11730" t="n"/>
      <c r="S300" s="11730" t="n"/>
      <c r="T300" s="11730" t="n"/>
      <c r="U300" s="11730" t="n"/>
      <c r="V300" s="11730" t="n"/>
      <c r="W300" s="11730" t="n"/>
      <c r="X300" s="11730" t="n"/>
      <c r="Y300" s="11730" t="n"/>
      <c r="Z300" s="11730" t="n"/>
      <c r="AA300" s="11730" t="n"/>
      <c r="AB300" s="11602" t="n"/>
      <c r="AC300" s="5372" t="inlineStr">
        <is>
          <t>21d</t>
        </is>
      </c>
      <c r="AD300" s="7638" t="n"/>
      <c r="AE300" s="9763" t="n"/>
      <c r="AF300" s="11717" t="n"/>
      <c r="AG300" s="11717" t="n"/>
      <c r="AH300" s="11717" t="n"/>
      <c r="AI300" s="11717" t="n"/>
      <c r="AJ300" s="11717" t="n"/>
      <c r="AK300" s="2013" t="n"/>
      <c r="AO300" s="2027" t="n"/>
      <c r="AP300" s="2027" t="n"/>
      <c r="BL300" s="2027" t="n"/>
      <c r="BM300" s="2027" t="n"/>
    </row>
    <row r="301" ht="13.5" customHeight="1" s="7635">
      <c r="A301" s="2013" t="n"/>
      <c r="B301" s="11602" t="n"/>
      <c r="C301" s="734" t="inlineStr">
        <is>
          <t xml:space="preserve">22 </t>
        </is>
      </c>
      <c r="D301" s="8650" t="inlineStr">
        <is>
          <t>Allowances, reimbursements, or expenses paid on your behalf for services you performed:</t>
        </is>
      </c>
      <c r="E301" s="11602" t="n"/>
      <c r="F301" s="11602" t="n"/>
      <c r="G301" s="11602" t="n"/>
      <c r="H301" s="11602" t="n"/>
      <c r="I301" s="11602" t="n"/>
      <c r="J301" s="11602" t="n"/>
      <c r="K301" s="11602" t="n"/>
      <c r="L301" s="11602" t="n"/>
      <c r="M301" s="11602" t="n"/>
      <c r="N301" s="11602" t="n"/>
      <c r="O301" s="11602" t="n"/>
      <c r="P301" s="11602" t="n"/>
      <c r="Q301" s="11602" t="n"/>
      <c r="R301" s="11602" t="n"/>
      <c r="S301" s="11602" t="n"/>
      <c r="T301" s="11602" t="n"/>
      <c r="U301" s="11602" t="n"/>
      <c r="V301" s="11602" t="n"/>
      <c r="W301" s="11602" t="n"/>
      <c r="X301" s="11602" t="n"/>
      <c r="Y301" s="11602" t="n"/>
      <c r="Z301" s="11602" t="n"/>
      <c r="AA301" s="11602" t="n"/>
      <c r="AB301" s="11602" t="n"/>
      <c r="AC301" s="2073" t="n"/>
      <c r="AD301" s="2074" t="n"/>
      <c r="AE301" s="11602" t="n"/>
      <c r="AF301" s="11602" t="n"/>
      <c r="AG301" s="11602" t="n"/>
      <c r="AH301" s="11602" t="n"/>
      <c r="AI301" s="11602" t="n"/>
      <c r="AJ301" s="11602" t="n"/>
      <c r="AK301" s="2013" t="n"/>
      <c r="AO301" s="2027" t="n"/>
      <c r="AP301" s="2027" t="n"/>
      <c r="BL301" s="2027" t="n"/>
      <c r="BM301" s="2027" t="n"/>
    </row>
    <row r="302" ht="13.5" customHeight="1" s="7635">
      <c r="A302" s="2013" t="n"/>
      <c r="B302" s="11602" t="n"/>
      <c r="C302" s="734" t="inlineStr">
        <is>
          <t xml:space="preserve">a </t>
        </is>
      </c>
      <c r="D302" s="8650" t="inlineStr">
        <is>
          <t>Cost of living and overseas differential</t>
        </is>
      </c>
      <c r="E302" s="11602" t="n"/>
      <c r="F302" s="11602" t="n"/>
      <c r="G302" s="11602" t="n"/>
      <c r="H302" s="11602" t="n"/>
      <c r="I302" s="11602" t="n"/>
      <c r="J302" s="11602" t="n"/>
      <c r="K302" s="11602" t="n"/>
      <c r="L302" s="11602" t="n"/>
      <c r="M302" s="11602" t="n"/>
      <c r="N302" s="11602" t="n"/>
      <c r="O302" s="11602" t="n"/>
      <c r="P302" s="11602" t="n"/>
      <c r="Q302" s="11602" t="n"/>
      <c r="R302" s="11602" t="n"/>
      <c r="S302" s="11602" t="n"/>
      <c r="T302" s="11602" t="n"/>
      <c r="U302" s="5372" t="inlineStr">
        <is>
          <t>22a</t>
        </is>
      </c>
      <c r="V302" s="7638" t="n"/>
      <c r="W302" s="9763" t="n"/>
      <c r="X302" s="11717" t="n"/>
      <c r="Y302" s="11717" t="n"/>
      <c r="Z302" s="11717" t="n"/>
      <c r="AA302" s="11717" t="n"/>
      <c r="AB302" s="11717" t="n"/>
      <c r="AC302" s="2073" t="n"/>
      <c r="AD302" s="2074" t="n"/>
      <c r="AE302" s="11602" t="n"/>
      <c r="AF302" s="11602" t="n"/>
      <c r="AG302" s="11602" t="n"/>
      <c r="AH302" s="11602" t="n"/>
      <c r="AI302" s="11602" t="n"/>
      <c r="AJ302" s="11602" t="n"/>
      <c r="AK302" s="2013" t="n"/>
      <c r="AO302" s="2027" t="n"/>
      <c r="AP302" s="2027" t="n"/>
      <c r="BL302" s="2027" t="n"/>
      <c r="BM302" s="2027" t="n"/>
    </row>
    <row r="303" ht="13.5" customHeight="1" s="7635">
      <c r="A303" s="2013" t="n"/>
      <c r="B303" s="11602" t="n"/>
      <c r="C303" s="734" t="inlineStr">
        <is>
          <t xml:space="preserve">b </t>
        </is>
      </c>
      <c r="D303" s="8650" t="inlineStr">
        <is>
          <t>Family</t>
        </is>
      </c>
      <c r="E303" s="11602" t="n"/>
      <c r="F303" s="11602" t="n"/>
      <c r="G303" s="11602" t="n"/>
      <c r="H303" s="11602" t="n"/>
      <c r="I303" s="11602" t="n"/>
      <c r="J303" s="11602" t="n"/>
      <c r="K303" s="11602" t="n"/>
      <c r="L303" s="11602" t="n"/>
      <c r="M303" s="11602" t="n"/>
      <c r="N303" s="11602" t="n"/>
      <c r="O303" s="11602" t="n"/>
      <c r="P303" s="11602" t="n"/>
      <c r="Q303" s="11602" t="n"/>
      <c r="R303" s="11602" t="n"/>
      <c r="S303" s="11602" t="n"/>
      <c r="T303" s="2031" t="inlineStr">
        <is>
          <t xml:space="preserve">.   .   .   .   .   .   .   .   .   .   .   .   .   .   .   .   .   .   .   .   .   .   .   .   . </t>
        </is>
      </c>
      <c r="U303" s="5372" t="inlineStr">
        <is>
          <t>22b</t>
        </is>
      </c>
      <c r="V303" s="7638" t="n"/>
      <c r="W303" s="9763" t="n"/>
      <c r="X303" s="11717" t="n"/>
      <c r="Y303" s="11717" t="n"/>
      <c r="Z303" s="11717" t="n"/>
      <c r="AA303" s="11717" t="n"/>
      <c r="AB303" s="11717" t="n"/>
      <c r="AC303" s="2073" t="n"/>
      <c r="AD303" s="2074" t="n"/>
      <c r="AE303" s="11602" t="n"/>
      <c r="AF303" s="11602" t="n"/>
      <c r="AG303" s="11602" t="n"/>
      <c r="AH303" s="11602" t="n"/>
      <c r="AI303" s="11602" t="n"/>
      <c r="AJ303" s="11602" t="n"/>
      <c r="AK303" s="2013" t="n"/>
      <c r="BL303" s="2027" t="n"/>
      <c r="BM303" s="2027" t="n"/>
    </row>
    <row r="304" ht="13.5" customHeight="1" s="7635">
      <c r="A304" s="2013" t="n"/>
      <c r="B304" s="11602" t="n"/>
      <c r="C304" s="734" t="inlineStr">
        <is>
          <t xml:space="preserve">c </t>
        </is>
      </c>
      <c r="D304" s="8650" t="inlineStr">
        <is>
          <t>Education</t>
        </is>
      </c>
      <c r="E304" s="11602" t="n"/>
      <c r="F304" s="11602" t="n"/>
      <c r="G304" s="11602" t="n"/>
      <c r="H304" s="11602" t="n"/>
      <c r="I304" s="11602" t="n"/>
      <c r="J304" s="11602" t="n"/>
      <c r="K304" s="11602" t="n"/>
      <c r="L304" s="11602" t="n"/>
      <c r="M304" s="11602" t="n"/>
      <c r="N304" s="11602" t="n"/>
      <c r="O304" s="11602" t="n"/>
      <c r="P304" s="11602" t="n"/>
      <c r="Q304" s="11602" t="n"/>
      <c r="R304" s="11602" t="n"/>
      <c r="S304" s="11602" t="n"/>
      <c r="T304" s="2031" t="inlineStr">
        <is>
          <t xml:space="preserve">.   .   .   .   .   .   .   .   .   .   .   .   .   .   .   .   .   .   .   .   .   .   .   . </t>
        </is>
      </c>
      <c r="U304" s="5372" t="inlineStr">
        <is>
          <t>22c</t>
        </is>
      </c>
      <c r="V304" s="7638" t="n"/>
      <c r="W304" s="9763" t="n"/>
      <c r="X304" s="11717" t="n"/>
      <c r="Y304" s="11717" t="n"/>
      <c r="Z304" s="11717" t="n"/>
      <c r="AA304" s="11717" t="n"/>
      <c r="AB304" s="11717" t="n"/>
      <c r="AC304" s="2073" t="n"/>
      <c r="AD304" s="2074" t="n"/>
      <c r="AE304" s="11602" t="n"/>
      <c r="AF304" s="11602" t="n"/>
      <c r="AG304" s="11602" t="n"/>
      <c r="AH304" s="11602" t="n"/>
      <c r="AI304" s="11602" t="n"/>
      <c r="AJ304" s="11602" t="n"/>
      <c r="AK304" s="2013" t="n"/>
      <c r="BL304" s="2027" t="n"/>
      <c r="BM304" s="2027" t="n"/>
    </row>
    <row r="305" ht="13.5" customHeight="1" s="7635">
      <c r="A305" s="2013" t="n"/>
      <c r="B305" s="11602" t="n"/>
      <c r="C305" s="734" t="inlineStr">
        <is>
          <t xml:space="preserve">d </t>
        </is>
      </c>
      <c r="D305" s="8650" t="inlineStr">
        <is>
          <t>Home leave</t>
        </is>
      </c>
      <c r="E305" s="11602" t="n"/>
      <c r="F305" s="11602" t="n"/>
      <c r="G305" s="11602" t="n"/>
      <c r="H305" s="11602" t="n"/>
      <c r="I305" s="11602" t="n"/>
      <c r="J305" s="11602" t="n"/>
      <c r="K305" s="11602" t="n"/>
      <c r="L305" s="11602" t="n"/>
      <c r="M305" s="11602" t="n"/>
      <c r="N305" s="11602" t="n"/>
      <c r="O305" s="11602" t="n"/>
      <c r="P305" s="11602" t="n"/>
      <c r="Q305" s="11602" t="n"/>
      <c r="R305" s="11602" t="n"/>
      <c r="S305" s="11602" t="n"/>
      <c r="T305" s="2031" t="inlineStr">
        <is>
          <t xml:space="preserve">.   .   .   .   .   .   .   .   .   .   .   .   .   .   .   .   .   .   .   .   .   .   . </t>
        </is>
      </c>
      <c r="U305" s="5372" t="inlineStr">
        <is>
          <t>22d</t>
        </is>
      </c>
      <c r="V305" s="7638" t="n"/>
      <c r="W305" s="9763" t="n"/>
      <c r="X305" s="11717" t="n"/>
      <c r="Y305" s="11717" t="n"/>
      <c r="Z305" s="11717" t="n"/>
      <c r="AA305" s="11717" t="n"/>
      <c r="AB305" s="11717" t="n"/>
      <c r="AC305" s="2073" t="n"/>
      <c r="AD305" s="2074" t="n"/>
      <c r="AE305" s="11602" t="n"/>
      <c r="AF305" s="11602" t="n"/>
      <c r="AG305" s="11602" t="n"/>
      <c r="AH305" s="11602" t="n"/>
      <c r="AI305" s="11602" t="n"/>
      <c r="AJ305" s="11602" t="n"/>
      <c r="AK305" s="2013" t="n"/>
      <c r="BL305" s="2027" t="n"/>
      <c r="BM305" s="2027" t="n"/>
    </row>
    <row r="306" ht="13.5" customHeight="1" s="7635">
      <c r="A306" s="2013" t="n"/>
      <c r="B306" s="11602" t="n"/>
      <c r="C306" s="734" t="inlineStr">
        <is>
          <t xml:space="preserve">e </t>
        </is>
      </c>
      <c r="D306" s="8650" t="inlineStr">
        <is>
          <t>Quarters</t>
        </is>
      </c>
      <c r="E306" s="11602" t="n"/>
      <c r="F306" s="11602" t="n"/>
      <c r="G306" s="11602" t="n"/>
      <c r="H306" s="11602" t="n"/>
      <c r="I306" s="11602" t="n"/>
      <c r="J306" s="11602" t="n"/>
      <c r="K306" s="11602" t="n"/>
      <c r="L306" s="11602" t="n"/>
      <c r="M306" s="11602" t="n"/>
      <c r="N306" s="11602" t="n"/>
      <c r="O306" s="11602" t="n"/>
      <c r="P306" s="11602" t="n"/>
      <c r="Q306" s="11602" t="n"/>
      <c r="R306" s="11602" t="n"/>
      <c r="S306" s="11602" t="n"/>
      <c r="T306" s="2031" t="inlineStr">
        <is>
          <t xml:space="preserve">.   .   .   .   .   .   .   .   .   .   .   .   .   .   .   .   .   .   .   .   .   .   .   . </t>
        </is>
      </c>
      <c r="U306" s="5372" t="inlineStr">
        <is>
          <t>22e</t>
        </is>
      </c>
      <c r="V306" s="7638" t="n"/>
      <c r="W306" s="9763" t="n"/>
      <c r="X306" s="11717" t="n"/>
      <c r="Y306" s="11717" t="n"/>
      <c r="Z306" s="11717" t="n"/>
      <c r="AA306" s="11717" t="n"/>
      <c r="AB306" s="11717" t="n"/>
      <c r="AC306" s="2073" t="n"/>
      <c r="AD306" s="2074" t="n"/>
      <c r="AE306" s="11602" t="n"/>
      <c r="AF306" s="11602" t="n"/>
      <c r="AG306" s="11602" t="n"/>
      <c r="AH306" s="11602" t="n"/>
      <c r="AI306" s="11602" t="n"/>
      <c r="AJ306" s="11602" t="n"/>
      <c r="AK306" s="2013" t="n"/>
      <c r="BL306" s="2027" t="n"/>
      <c r="BM306" s="2027" t="n"/>
    </row>
    <row r="307" ht="13.5" customHeight="1" s="7635">
      <c r="A307" s="2013" t="n"/>
      <c r="B307" s="11602" t="n"/>
      <c r="C307" s="734" t="inlineStr">
        <is>
          <t xml:space="preserve">f </t>
        </is>
      </c>
      <c r="D307" s="8650" t="inlineStr">
        <is>
          <t>For any other purpose. List type and amount.</t>
        </is>
      </c>
      <c r="E307" s="11602" t="n"/>
      <c r="F307" s="11602" t="n"/>
      <c r="G307" s="11602" t="n"/>
      <c r="H307" s="11602" t="n"/>
      <c r="I307" s="11602" t="n"/>
      <c r="J307" s="11602" t="n"/>
      <c r="K307" s="11602" t="n"/>
      <c r="L307" s="11602" t="n"/>
      <c r="M307" s="11602" t="n"/>
      <c r="N307" s="11602" t="n"/>
      <c r="O307" s="9759" t="n"/>
      <c r="P307" s="11730" t="n"/>
      <c r="Q307" s="11730" t="n"/>
      <c r="R307" s="11730" t="n"/>
      <c r="S307" s="11730" t="n"/>
      <c r="T307" s="11602" t="n"/>
      <c r="U307" s="5382" t="n"/>
      <c r="V307" s="10091" t="n"/>
      <c r="W307" s="8998" t="n"/>
      <c r="X307" s="7839" t="n"/>
      <c r="Y307" s="9766" t="n"/>
      <c r="Z307" s="7839" t="n"/>
      <c r="AA307" s="9768" t="n"/>
      <c r="AB307" s="10091" t="n"/>
      <c r="AC307" s="2073" t="n"/>
      <c r="AD307" s="2074" t="n"/>
      <c r="AE307" s="11602" t="n"/>
      <c r="AF307" s="11602" t="n"/>
      <c r="AG307" s="11602" t="n"/>
      <c r="AH307" s="11602" t="n"/>
      <c r="AI307" s="11602" t="n"/>
      <c r="AJ307" s="11602" t="n"/>
      <c r="AK307" s="2013" t="n"/>
      <c r="BL307" s="2027" t="n"/>
      <c r="BM307" s="2027" t="n"/>
    </row>
    <row r="308" ht="13.5" customHeight="1" s="7635">
      <c r="A308" s="2013" t="n"/>
      <c r="B308" s="11602" t="n"/>
      <c r="C308" s="11602" t="n"/>
      <c r="D308" s="9759" t="n"/>
      <c r="E308" s="11730" t="n"/>
      <c r="F308" s="11730" t="n"/>
      <c r="G308" s="11730" t="n"/>
      <c r="H308" s="11730" t="n"/>
      <c r="I308" s="11730" t="n"/>
      <c r="J308" s="11730" t="n"/>
      <c r="K308" s="11730" t="n"/>
      <c r="L308" s="11730" t="n"/>
      <c r="M308" s="11730" t="n"/>
      <c r="N308" s="11730" t="n"/>
      <c r="O308" s="11730" t="n"/>
      <c r="P308" s="11730" t="n"/>
      <c r="Q308" s="11730" t="n"/>
      <c r="R308" s="11730" t="n"/>
      <c r="S308" s="11730" t="n"/>
      <c r="T308" s="11602" t="n"/>
      <c r="U308" s="5372" t="inlineStr">
        <is>
          <t>22f</t>
        </is>
      </c>
      <c r="V308" s="7638" t="n"/>
      <c r="W308" s="12447" t="n"/>
      <c r="X308" s="11717" t="n"/>
      <c r="Y308" s="11717" t="n"/>
      <c r="Z308" s="11717" t="n"/>
      <c r="AA308" s="11717" t="n"/>
      <c r="AB308" s="11718" t="n"/>
      <c r="AC308" s="2073" t="n"/>
      <c r="AD308" s="2074" t="n"/>
      <c r="AE308" s="11602" t="n"/>
      <c r="AF308" s="11602" t="n"/>
      <c r="AG308" s="11602" t="n"/>
      <c r="AH308" s="11602" t="n"/>
      <c r="AI308" s="11602" t="n"/>
      <c r="AJ308" s="11602" t="n"/>
      <c r="AK308" s="2013" t="n"/>
      <c r="BL308" s="2027" t="n"/>
      <c r="BM308" s="2027" t="n"/>
    </row>
    <row r="309" ht="13.5" customHeight="1" s="7635">
      <c r="A309" s="2013" t="n"/>
      <c r="B309" s="11602" t="n"/>
      <c r="C309" s="11602" t="n"/>
      <c r="D309" s="11602" t="n"/>
      <c r="E309" s="11602" t="n"/>
      <c r="F309" s="11602" t="n"/>
      <c r="G309" s="11602" t="n"/>
      <c r="H309" s="11602" t="n"/>
      <c r="I309" s="11602" t="n"/>
      <c r="J309" s="11602" t="n"/>
      <c r="K309" s="11602" t="n"/>
      <c r="L309" s="11602" t="n"/>
      <c r="M309" s="11602" t="n"/>
      <c r="N309" s="11602" t="n"/>
      <c r="O309" s="11602" t="n"/>
      <c r="P309" s="11602" t="n"/>
      <c r="Q309" s="11602" t="n"/>
      <c r="R309" s="11602" t="n"/>
      <c r="S309" s="11602" t="n"/>
      <c r="T309" s="11602" t="n"/>
      <c r="U309" s="11602" t="n"/>
      <c r="V309" s="11602" t="n"/>
      <c r="W309" s="11602" t="n"/>
      <c r="X309" s="11602" t="n"/>
      <c r="Y309" s="11602" t="n"/>
      <c r="Z309" s="11602" t="n"/>
      <c r="AA309" s="11602" t="n"/>
      <c r="AB309" s="11602" t="n"/>
      <c r="AC309" s="2898" t="n"/>
      <c r="AD309" s="10091" t="n"/>
      <c r="AE309" s="8998" t="n"/>
      <c r="AF309" s="7839" t="n"/>
      <c r="AG309" s="9766" t="n"/>
      <c r="AH309" s="7839" t="n"/>
      <c r="AI309" s="9766" t="n"/>
      <c r="AJ309" s="7839" t="n"/>
      <c r="AK309" s="2013" t="n"/>
      <c r="BL309" s="2027" t="n"/>
      <c r="BM309" s="2027" t="n"/>
    </row>
    <row r="310" ht="15" customHeight="1" s="7635">
      <c r="A310" s="2013" t="n"/>
      <c r="B310" s="11602" t="n"/>
      <c r="C310" s="734" t="inlineStr">
        <is>
          <t xml:space="preserve">g </t>
        </is>
      </c>
      <c r="D310" s="8650" t="inlineStr">
        <is>
          <t>Add lines 22a through 22f</t>
        </is>
      </c>
      <c r="E310" s="11602" t="n"/>
      <c r="F310" s="11602" t="n"/>
      <c r="G310" s="11602" t="n"/>
      <c r="H310" s="11602" t="n"/>
      <c r="I310" s="11602" t="n"/>
      <c r="J310" s="11602" t="n"/>
      <c r="K310" s="11602" t="n"/>
      <c r="L310" s="11602" t="n"/>
      <c r="M310" s="11602" t="n"/>
      <c r="N310" s="11602" t="n"/>
      <c r="O310" s="11602" t="n"/>
      <c r="P310" s="11602" t="n"/>
      <c r="Q310" s="11602" t="n"/>
      <c r="R310" s="11602" t="n"/>
      <c r="S310" s="11602" t="n"/>
      <c r="T310" s="11602" t="n"/>
      <c r="U310" s="11602" t="n"/>
      <c r="V310" s="11602" t="n"/>
      <c r="W310" s="11602" t="n"/>
      <c r="X310" s="11602" t="n"/>
      <c r="Y310" s="11602" t="n"/>
      <c r="Z310" s="11602" t="n"/>
      <c r="AA310" s="11602" t="n"/>
      <c r="AB310" s="2031" t="inlineStr">
        <is>
          <t xml:space="preserve">.   .   .   .   .   .   .   .   .   .   .   .   .   .   .   .   .   .   .   .   .   .   .   .   .   .   .   .   .   . </t>
        </is>
      </c>
      <c r="AC310" s="5372" t="inlineStr">
        <is>
          <t>22g</t>
        </is>
      </c>
      <c r="AD310" s="7638" t="n"/>
      <c r="AE310" s="9758">
        <f>IF(ISERROR(SUM(W302:W308)),"",SUM(W302:W308))</f>
        <v/>
      </c>
      <c r="AF310" s="7637" t="n"/>
      <c r="AG310" s="7637" t="n"/>
      <c r="AH310" s="7637" t="n"/>
      <c r="AI310" s="7637" t="n"/>
      <c r="AJ310" s="7637" t="n"/>
      <c r="AK310" s="2013" t="n"/>
      <c r="BL310" s="2027" t="n"/>
      <c r="BM310" s="2027" t="n"/>
    </row>
    <row r="311" ht="15" customHeight="1" s="7635">
      <c r="A311" s="2013" t="n"/>
      <c r="B311" s="11602" t="n"/>
      <c r="C311" s="734" t="inlineStr">
        <is>
          <t xml:space="preserve">23 </t>
        </is>
      </c>
      <c r="D311" s="8650" t="inlineStr">
        <is>
          <t>Other foreign earned income. List type and amount.</t>
        </is>
      </c>
      <c r="E311" s="11602" t="n"/>
      <c r="F311" s="11602" t="n"/>
      <c r="G311" s="11602" t="n"/>
      <c r="H311" s="11602" t="n"/>
      <c r="I311" s="11602" t="n"/>
      <c r="J311" s="11602" t="n"/>
      <c r="K311" s="11602" t="n"/>
      <c r="L311" s="11602" t="n"/>
      <c r="M311" s="11602" t="n"/>
      <c r="N311" s="11602" t="n"/>
      <c r="O311" s="11602" t="n"/>
      <c r="P311" s="11602" t="n"/>
      <c r="Q311" s="9864" t="n"/>
      <c r="R311" s="9767" t="n"/>
      <c r="S311" s="11730" t="n"/>
      <c r="T311" s="11730" t="n"/>
      <c r="U311" s="11730" t="n"/>
      <c r="V311" s="11730" t="n"/>
      <c r="W311" s="11730" t="n"/>
      <c r="X311" s="11730" t="n"/>
      <c r="Y311" s="11730" t="n"/>
      <c r="Z311" s="11730" t="n"/>
      <c r="AA311" s="11730" t="n"/>
      <c r="AB311" s="11602" t="n"/>
      <c r="AC311" s="2898" t="n"/>
      <c r="AD311" s="10091" t="n"/>
      <c r="AE311" s="8998" t="n"/>
      <c r="AF311" s="7839" t="n"/>
      <c r="AG311" s="9766" t="n"/>
      <c r="AH311" s="7839" t="n"/>
      <c r="AI311" s="9766" t="n"/>
      <c r="AJ311" s="7839" t="n"/>
      <c r="AK311" s="2013" t="n"/>
      <c r="BL311" s="2027" t="n"/>
      <c r="BM311" s="2027" t="n"/>
    </row>
    <row r="312" ht="15" customHeight="1" s="7635">
      <c r="A312" s="2013" t="n"/>
      <c r="B312" s="11602" t="n"/>
      <c r="C312" s="11602" t="n"/>
      <c r="D312" s="9759" t="n"/>
      <c r="E312" s="11730" t="n"/>
      <c r="F312" s="11730" t="n"/>
      <c r="G312" s="11730" t="n"/>
      <c r="H312" s="11730" t="n"/>
      <c r="I312" s="11730" t="n"/>
      <c r="J312" s="11730" t="n"/>
      <c r="K312" s="11730" t="n"/>
      <c r="L312" s="11730" t="n"/>
      <c r="M312" s="11730" t="n"/>
      <c r="N312" s="11730" t="n"/>
      <c r="O312" s="11730" t="n"/>
      <c r="P312" s="11730" t="n"/>
      <c r="Q312" s="11730" t="n"/>
      <c r="R312" s="11730" t="n"/>
      <c r="S312" s="11730" t="n"/>
      <c r="T312" s="11730" t="n"/>
      <c r="U312" s="11730" t="n"/>
      <c r="V312" s="11730" t="n"/>
      <c r="W312" s="11730" t="n"/>
      <c r="X312" s="11730" t="n"/>
      <c r="Y312" s="11730" t="n"/>
      <c r="Z312" s="11730" t="n"/>
      <c r="AA312" s="11730" t="n"/>
      <c r="AB312" s="11602" t="n"/>
      <c r="AC312" s="5372" t="n">
        <v>23</v>
      </c>
      <c r="AD312" s="7638" t="n"/>
      <c r="AE312" s="9763" t="n"/>
      <c r="AF312" s="11717" t="n"/>
      <c r="AG312" s="11717" t="n"/>
      <c r="AH312" s="11717" t="n"/>
      <c r="AI312" s="11717" t="n"/>
      <c r="AJ312" s="11717" t="n"/>
      <c r="AK312" s="2013" t="n"/>
      <c r="BL312" s="2027" t="n"/>
      <c r="BM312" s="2027" t="n"/>
    </row>
    <row r="313" ht="15" customHeight="1" s="7635">
      <c r="A313" s="2013" t="n"/>
      <c r="B313" s="11602" t="n"/>
      <c r="C313" s="11602" t="n"/>
      <c r="D313" s="11602" t="n"/>
      <c r="E313" s="11602" t="n"/>
      <c r="F313" s="11602" t="n"/>
      <c r="G313" s="11602" t="n"/>
      <c r="H313" s="11602" t="n"/>
      <c r="I313" s="11602" t="n"/>
      <c r="J313" s="11602" t="n"/>
      <c r="K313" s="11602" t="n"/>
      <c r="L313" s="11602" t="n"/>
      <c r="M313" s="11602" t="n"/>
      <c r="N313" s="11602" t="n"/>
      <c r="O313" s="11602" t="n"/>
      <c r="P313" s="11602" t="n"/>
      <c r="Q313" s="11602" t="n"/>
      <c r="R313" s="11602" t="n"/>
      <c r="S313" s="11602" t="n"/>
      <c r="T313" s="11602" t="n"/>
      <c r="U313" s="11602" t="n"/>
      <c r="V313" s="11602" t="n"/>
      <c r="W313" s="11602" t="n"/>
      <c r="X313" s="11602" t="n"/>
      <c r="Y313" s="11602" t="n"/>
      <c r="Z313" s="11602" t="n"/>
      <c r="AA313" s="11602" t="n"/>
      <c r="AB313" s="11602" t="n"/>
      <c r="AC313" s="5382" t="n"/>
      <c r="AD313" s="10091" t="n"/>
      <c r="AE313" s="8998" t="n"/>
      <c r="AF313" s="7839" t="n"/>
      <c r="AG313" s="9766" t="n"/>
      <c r="AH313" s="7839" t="n"/>
      <c r="AI313" s="9766" t="n"/>
      <c r="AJ313" s="7839" t="n"/>
      <c r="AK313" s="2013" t="n"/>
      <c r="BL313" s="2027" t="n"/>
      <c r="BM313" s="2027" t="n"/>
    </row>
    <row r="314" ht="15" customHeight="1" s="7635">
      <c r="A314" s="2013" t="n"/>
      <c r="B314" s="11602" t="n"/>
      <c r="C314" s="734" t="inlineStr">
        <is>
          <t xml:space="preserve">24 </t>
        </is>
      </c>
      <c r="D314" s="8650" t="inlineStr">
        <is>
          <t>Add lines 19 through 21d, line 22g, and line 23</t>
        </is>
      </c>
      <c r="E314" s="11602" t="n"/>
      <c r="F314" s="11602" t="n"/>
      <c r="G314" s="11602" t="n"/>
      <c r="H314" s="11602" t="n"/>
      <c r="I314" s="11602" t="n"/>
      <c r="J314" s="11602" t="n"/>
      <c r="K314" s="11602" t="n"/>
      <c r="L314" s="11602" t="n"/>
      <c r="M314" s="11602" t="n"/>
      <c r="N314" s="11602" t="n"/>
      <c r="O314" s="11602" t="n"/>
      <c r="P314" s="11602" t="n"/>
      <c r="Q314" s="11602" t="n"/>
      <c r="R314" s="11602" t="n"/>
      <c r="S314" s="11602" t="n"/>
      <c r="T314" s="11602" t="n"/>
      <c r="U314" s="11602" t="n"/>
      <c r="V314" s="11602" t="n"/>
      <c r="W314" s="11602" t="n"/>
      <c r="X314" s="11602" t="n"/>
      <c r="Y314" s="11602" t="n"/>
      <c r="Z314" s="11602" t="n"/>
      <c r="AA314" s="11602" t="n"/>
      <c r="AB314" s="2031" t="inlineStr">
        <is>
          <t xml:space="preserve">.   .   .   .   .   .   .   .   .   .   .   .   .   .   .   .   .   .   .   .   .   .   .   . </t>
        </is>
      </c>
      <c r="AC314" s="5372" t="n">
        <v>24</v>
      </c>
      <c r="AD314" s="7638" t="n"/>
      <c r="AE314" s="9758">
        <f>IF(ISERROR(SUM(AE287,AE289,AE291,AE294,AE296,AE298,AE300,AE310,AE312)),"",SUM(AE287,AE289,AE291,AE294,AE296,AE298,AE300,AE310,AE312))</f>
        <v/>
      </c>
      <c r="AF314" s="7637" t="n"/>
      <c r="AG314" s="7637" t="n"/>
      <c r="AH314" s="7637" t="n"/>
      <c r="AI314" s="7637" t="n"/>
      <c r="AJ314" s="7637" t="n"/>
      <c r="AK314" s="2013" t="n"/>
      <c r="BL314" s="2027" t="n"/>
      <c r="BM314" s="2027" t="n"/>
    </row>
    <row r="315" ht="15" customHeight="1" s="7635">
      <c r="A315" s="2013" t="n"/>
      <c r="B315" s="11602" t="n"/>
      <c r="C315" s="11602" t="n"/>
      <c r="D315" s="11602" t="n"/>
      <c r="E315" s="11602" t="n"/>
      <c r="F315" s="11602" t="n"/>
      <c r="G315" s="11602" t="n"/>
      <c r="H315" s="11602" t="n"/>
      <c r="I315" s="11602" t="n"/>
      <c r="J315" s="11602" t="n"/>
      <c r="K315" s="11602" t="n"/>
      <c r="L315" s="11602" t="n"/>
      <c r="M315" s="11602" t="n"/>
      <c r="N315" s="11602" t="n"/>
      <c r="O315" s="11602" t="n"/>
      <c r="P315" s="11602" t="n"/>
      <c r="Q315" s="11602" t="n"/>
      <c r="R315" s="11602" t="n"/>
      <c r="S315" s="11602" t="n"/>
      <c r="T315" s="11602" t="n"/>
      <c r="U315" s="11602" t="n"/>
      <c r="V315" s="11602" t="n"/>
      <c r="W315" s="11602" t="n"/>
      <c r="X315" s="11602" t="n"/>
      <c r="Y315" s="11602" t="n"/>
      <c r="Z315" s="11602" t="n"/>
      <c r="AA315" s="11602" t="n"/>
      <c r="AB315" s="11602" t="n"/>
      <c r="AC315" s="5382" t="n"/>
      <c r="AD315" s="10091" t="n"/>
      <c r="AE315" s="8998" t="n"/>
      <c r="AF315" s="7839" t="n"/>
      <c r="AG315" s="9766" t="n"/>
      <c r="AH315" s="7839" t="n"/>
      <c r="AI315" s="9766" t="n"/>
      <c r="AJ315" s="7839" t="n"/>
      <c r="AK315" s="2013" t="n"/>
      <c r="BL315" s="2027" t="n"/>
      <c r="BM315" s="2027" t="n"/>
    </row>
    <row r="316" ht="15" customHeight="1" s="7635">
      <c r="A316" s="2013" t="n"/>
      <c r="B316" s="11602" t="n"/>
      <c r="C316" s="734" t="inlineStr">
        <is>
          <t xml:space="preserve">25 </t>
        </is>
      </c>
      <c r="D316" s="8650" t="inlineStr">
        <is>
          <t>Total amount of meals and lodging included on line 24 that is excludable (see instructions)</t>
        </is>
      </c>
      <c r="E316" s="11602" t="n"/>
      <c r="F316" s="11602" t="n"/>
      <c r="G316" s="11602" t="n"/>
      <c r="H316" s="11602" t="n"/>
      <c r="I316" s="11602" t="n"/>
      <c r="J316" s="11602" t="n"/>
      <c r="K316" s="11602" t="n"/>
      <c r="L316" s="11602" t="n"/>
      <c r="M316" s="11602" t="n"/>
      <c r="N316" s="11602" t="n"/>
      <c r="O316" s="11602" t="n"/>
      <c r="P316" s="11602" t="n"/>
      <c r="Q316" s="11602" t="n"/>
      <c r="R316" s="11602" t="n"/>
      <c r="S316" s="11602" t="n"/>
      <c r="T316" s="11602" t="n"/>
      <c r="U316" s="11602" t="n"/>
      <c r="V316" s="11602" t="n"/>
      <c r="W316" s="11602" t="n"/>
      <c r="X316" s="11602" t="n"/>
      <c r="Y316" s="11602" t="n"/>
      <c r="Z316" s="11602" t="n"/>
      <c r="AA316" s="11602" t="n"/>
      <c r="AB316" s="11602" t="n"/>
      <c r="AC316" s="5372" t="n">
        <v>25</v>
      </c>
      <c r="AD316" s="7638" t="n"/>
      <c r="AE316" s="9763" t="n"/>
      <c r="AF316" s="11717" t="n"/>
      <c r="AG316" s="11717" t="n"/>
      <c r="AH316" s="11717" t="n"/>
      <c r="AI316" s="11717" t="n"/>
      <c r="AJ316" s="11717" t="n"/>
      <c r="AK316" s="2013" t="n"/>
      <c r="BL316" s="2027" t="n"/>
      <c r="BM316" s="2027" t="n"/>
    </row>
    <row r="317" ht="15" customHeight="1" s="7635" thickBot="1">
      <c r="A317" s="2013" t="n"/>
      <c r="B317" s="11602" t="n"/>
      <c r="C317" s="734" t="inlineStr">
        <is>
          <t xml:space="preserve">26 </t>
        </is>
      </c>
      <c r="D317" s="8650" t="inlineStr">
        <is>
          <t>Subtract line 25 from line 24. Enter the result here and on line 27 on page 3.</t>
        </is>
      </c>
      <c r="E317" s="11602" t="n"/>
      <c r="F317" s="11602" t="n"/>
      <c r="G317" s="11602" t="n"/>
      <c r="H317" s="11602" t="n"/>
      <c r="I317" s="11602" t="n"/>
      <c r="J317" s="11602" t="n"/>
      <c r="K317" s="11602" t="n"/>
      <c r="L317" s="11602" t="n"/>
      <c r="M317" s="11602" t="n"/>
      <c r="N317" s="11602" t="n"/>
      <c r="O317" s="11602" t="n"/>
      <c r="P317" s="11602" t="n"/>
      <c r="Q317" s="11602" t="n"/>
      <c r="R317" s="11602" t="n"/>
      <c r="S317" s="11602" t="n"/>
      <c r="T317" s="11602" t="n"/>
      <c r="U317" s="7886" t="n"/>
      <c r="V317" s="7886" t="n"/>
      <c r="W317" s="810">
        <f>"This is your "&amp;TaxYear</f>
        <v/>
      </c>
      <c r="X317" s="11602" t="n"/>
      <c r="Y317" s="11602" t="n"/>
      <c r="Z317" s="11602" t="n"/>
      <c r="AA317" s="11602" t="n"/>
      <c r="AB317" s="11602" t="n"/>
      <c r="AC317" s="5382" t="n"/>
      <c r="AD317" s="10091" t="n"/>
      <c r="AE317" s="8998" t="n"/>
      <c r="AF317" s="7839" t="n"/>
      <c r="AG317" s="9766" t="n"/>
      <c r="AH317" s="7839" t="n"/>
      <c r="AI317" s="9766" t="n"/>
      <c r="AJ317" s="7839" t="n"/>
      <c r="AK317" s="2013" t="n"/>
      <c r="AM317" s="7914" t="inlineStr">
        <is>
          <t>Override</t>
        </is>
      </c>
      <c r="BL317" s="2027" t="n"/>
      <c r="BM317" s="2027" t="n"/>
    </row>
    <row r="318" ht="15" customHeight="1" s="7635" thickBot="1">
      <c r="A318" s="2013" t="n"/>
      <c r="B318" s="11602" t="n"/>
      <c r="C318" s="734" t="n"/>
      <c r="D318" s="810" t="inlineStr">
        <is>
          <t>foreign earned income.</t>
        </is>
      </c>
      <c r="E318" s="11602" t="n"/>
      <c r="F318" s="11602" t="n"/>
      <c r="G318" s="11602" t="n"/>
      <c r="H318" s="11602" t="n"/>
      <c r="I318" s="11602" t="n"/>
      <c r="J318" s="11602" t="n"/>
      <c r="K318" s="11602" t="n"/>
      <c r="L318" s="11602" t="n"/>
      <c r="M318" s="11602" t="n"/>
      <c r="N318" s="11602" t="n"/>
      <c r="O318" s="11602" t="n"/>
      <c r="P318" s="11602" t="n"/>
      <c r="Q318" s="11602" t="n"/>
      <c r="R318" s="11602" t="n"/>
      <c r="S318" s="11602" t="n"/>
      <c r="T318" s="11602" t="n"/>
      <c r="U318" s="11602" t="n"/>
      <c r="V318" s="11602" t="n"/>
      <c r="W318" s="11602" t="n"/>
      <c r="X318" s="11602" t="n"/>
      <c r="Y318" s="11602" t="n"/>
      <c r="Z318" s="11602" t="n"/>
      <c r="AA318" s="2075" t="inlineStr">
        <is>
          <t xml:space="preserve">.   .   .   .   .   .   .   .   .   .   .   .   .   .   .   .   .   .   .   .   .   .   .   .   .   .   .   .   . </t>
        </is>
      </c>
      <c r="AB318" s="2076" t="n"/>
      <c r="AC318" s="5890" t="n">
        <v>26</v>
      </c>
      <c r="AD318" s="7636" t="n"/>
      <c r="AE318" s="9758">
        <f>IF(AM318&lt;&gt;"",ROUND(AM318,0),ROUND(SUM(AE314,-AE316),0))</f>
        <v/>
      </c>
      <c r="AF318" s="7637" t="n"/>
      <c r="AG318" s="7637" t="n"/>
      <c r="AH318" s="7637" t="n"/>
      <c r="AI318" s="7637" t="n"/>
      <c r="AJ318" s="7637" t="n"/>
      <c r="AK318" s="2013" t="n"/>
      <c r="AM318" s="449" t="n"/>
      <c r="AO318" s="2087" t="n"/>
      <c r="BL318" s="2027" t="n"/>
      <c r="BM318" s="2027" t="n"/>
    </row>
    <row r="319" ht="18.75" customHeight="1" s="7635" thickTop="1">
      <c r="A319" s="2013" t="n"/>
      <c r="B319" s="257" t="n"/>
      <c r="C319" s="257" t="n"/>
      <c r="D319" s="257" t="n"/>
      <c r="E319" s="257" t="n"/>
      <c r="F319" s="257" t="n"/>
      <c r="G319" s="257" t="n"/>
      <c r="H319" s="257" t="n"/>
      <c r="I319" s="257" t="n"/>
      <c r="J319" s="257" t="n"/>
      <c r="K319" s="257" t="n"/>
      <c r="L319" s="257" t="n"/>
      <c r="M319" s="257" t="n"/>
      <c r="N319" s="257" t="n"/>
      <c r="O319" s="257" t="n"/>
      <c r="P319" s="257" t="n"/>
      <c r="Q319" s="257" t="n"/>
      <c r="R319" s="257" t="n"/>
      <c r="S319" s="257" t="n"/>
      <c r="T319" s="257" t="n"/>
      <c r="U319" s="257" t="n"/>
      <c r="V319" s="257" t="n"/>
      <c r="W319" s="257" t="n"/>
      <c r="X319" s="257" t="n"/>
      <c r="Y319" s="257" t="n"/>
      <c r="Z319" s="257" t="n"/>
      <c r="AA319" s="257" t="n"/>
      <c r="AB319" s="257" t="n"/>
      <c r="AC319" s="257" t="n"/>
      <c r="AD319" s="257" t="n"/>
      <c r="AE319" s="257" t="n"/>
      <c r="AF319" s="257" t="n"/>
      <c r="AG319" s="257" t="n"/>
      <c r="AH319" s="2077" t="inlineStr">
        <is>
          <t>Form 2555</t>
        </is>
      </c>
      <c r="AI319" s="2078">
        <f>" ("&amp;TaxYear&amp;")"</f>
        <v/>
      </c>
      <c r="AJ319" s="2079" t="n"/>
      <c r="AK319" s="2013" t="n"/>
      <c r="AO319" s="2050" t="n"/>
      <c r="AP319" s="2051" t="n"/>
      <c r="BL319" s="2027" t="n"/>
      <c r="BM319" s="2027" t="n"/>
      <c r="BO319" s="2027" t="n"/>
      <c r="BP319" s="2027" t="n"/>
      <c r="BQ319" s="2027" t="n"/>
      <c r="BR319" s="2027" t="n"/>
      <c r="BS319" s="2027" t="n"/>
      <c r="BT319" s="2027" t="n"/>
      <c r="BU319" s="2027" t="n"/>
      <c r="BV319" s="2027" t="n"/>
    </row>
    <row r="320" ht="18.75" customHeight="1" s="7635" thickBot="1">
      <c r="A320" s="2013" t="n"/>
      <c r="B320" s="2080">
        <f>"Form 2555 ("&amp;TaxYear&amp;")"</f>
        <v/>
      </c>
      <c r="C320" s="721" t="n"/>
      <c r="D320" s="721" t="n"/>
      <c r="E320" s="721" t="n"/>
      <c r="F320" s="721" t="n"/>
      <c r="G320" s="721" t="n"/>
      <c r="H320" s="721" t="n"/>
      <c r="I320" s="721" t="n"/>
      <c r="J320" s="721" t="n"/>
      <c r="K320" s="721" t="n"/>
      <c r="L320" s="721" t="n"/>
      <c r="M320" s="721" t="n"/>
      <c r="N320" s="721" t="n"/>
      <c r="O320" s="721" t="n"/>
      <c r="P320" s="721" t="n"/>
      <c r="Q320" s="721" t="n"/>
      <c r="R320" s="721" t="n"/>
      <c r="S320" s="721" t="n"/>
      <c r="T320" s="721" t="n"/>
      <c r="U320" s="721" t="n"/>
      <c r="V320" s="721" t="n"/>
      <c r="W320" s="721" t="n"/>
      <c r="X320" s="721" t="n"/>
      <c r="Y320" s="721" t="n"/>
      <c r="Z320" s="721" t="n"/>
      <c r="AA320" s="721" t="n"/>
      <c r="AB320" s="721" t="n"/>
      <c r="AC320" s="721" t="n"/>
      <c r="AD320" s="721" t="n"/>
      <c r="AE320" s="721" t="n"/>
      <c r="AF320" s="721" t="n"/>
      <c r="AG320" s="721" t="n"/>
      <c r="AH320" s="721" t="n"/>
      <c r="AI320" s="2053" t="inlineStr">
        <is>
          <t>Page</t>
        </is>
      </c>
      <c r="AJ320" s="2054" t="n">
        <v>3</v>
      </c>
      <c r="AK320" s="2013" t="n"/>
      <c r="AO320" s="2050" t="n"/>
      <c r="AP320" s="2051" t="n"/>
      <c r="BL320" s="2027" t="n"/>
      <c r="BM320" s="2027" t="n"/>
      <c r="BO320" s="2027" t="n"/>
      <c r="BP320" s="2027" t="n"/>
      <c r="BQ320" s="2027" t="n"/>
      <c r="BR320" s="2027" t="n"/>
      <c r="BS320" s="2027" t="n"/>
      <c r="BT320" s="2027" t="n"/>
      <c r="BU320" s="2027" t="n"/>
      <c r="BV320" s="2027" t="n"/>
    </row>
    <row r="321" ht="20.25" customHeight="1" s="7635" thickTop="1">
      <c r="A321" s="2013" t="n"/>
      <c r="B321" s="9775" t="inlineStr">
        <is>
          <t>Part V</t>
        </is>
      </c>
      <c r="C321" s="8412" t="n"/>
      <c r="D321" s="2081" t="inlineStr">
        <is>
          <t>All Taxpayers</t>
        </is>
      </c>
      <c r="E321" s="2082" t="n"/>
      <c r="F321" s="2082" t="n"/>
      <c r="G321" s="2082" t="n"/>
      <c r="H321" s="2082" t="n"/>
      <c r="I321" s="2082" t="n"/>
      <c r="J321" s="2082" t="n"/>
      <c r="K321" s="2082" t="n"/>
      <c r="L321" s="2082" t="n"/>
      <c r="M321" s="2082" t="n"/>
      <c r="N321" s="2082" t="n"/>
      <c r="O321" s="2082" t="n"/>
      <c r="P321" s="2082" t="n"/>
      <c r="Q321" s="2082" t="n"/>
      <c r="R321" s="2082" t="n"/>
      <c r="S321" s="2082" t="n"/>
      <c r="T321" s="2082" t="n"/>
      <c r="U321" s="2082" t="n"/>
      <c r="V321" s="2082" t="n"/>
      <c r="W321" s="2082" t="n"/>
      <c r="X321" s="2082" t="n"/>
      <c r="Y321" s="2082" t="n"/>
      <c r="Z321" s="2082" t="n"/>
      <c r="AA321" s="2082" t="n"/>
      <c r="AB321" s="2082" t="n"/>
      <c r="AC321" s="2082" t="n"/>
      <c r="AD321" s="2082" t="n"/>
      <c r="AE321" s="2082" t="n"/>
      <c r="AF321" s="2082" t="n"/>
      <c r="AG321" s="2082" t="n"/>
      <c r="AH321" s="2082" t="n"/>
      <c r="AI321" s="2082" t="n"/>
      <c r="AJ321" s="2082" t="n"/>
      <c r="AK321" s="2013" t="n"/>
    </row>
    <row r="322" ht="15" customHeight="1" s="7635">
      <c r="A322" s="2013" t="n"/>
      <c r="B322" s="11602" t="n"/>
      <c r="C322" s="11602" t="n"/>
      <c r="D322" s="11602" t="n"/>
      <c r="E322" s="11602" t="n"/>
      <c r="F322" s="11602" t="n"/>
      <c r="G322" s="11602" t="n"/>
      <c r="H322" s="11602" t="n"/>
      <c r="I322" s="11602" t="n"/>
      <c r="J322" s="11602" t="n"/>
      <c r="K322" s="11602" t="n"/>
      <c r="L322" s="11602" t="n"/>
      <c r="M322" s="11602" t="n"/>
      <c r="N322" s="11602" t="n"/>
      <c r="O322" s="11602" t="n"/>
      <c r="P322" s="11602" t="n"/>
      <c r="Q322" s="11602" t="n"/>
      <c r="R322" s="11602" t="n"/>
      <c r="S322" s="11602" t="n"/>
      <c r="T322" s="11602" t="n"/>
      <c r="U322" s="11602" t="n"/>
      <c r="V322" s="11602" t="n"/>
      <c r="W322" s="11602" t="n"/>
      <c r="X322" s="11602" t="n"/>
      <c r="Y322" s="11602" t="n"/>
      <c r="Z322" s="11602" t="n"/>
      <c r="AA322" s="11602" t="n"/>
      <c r="AB322" s="11602" t="n"/>
      <c r="AC322" s="2921" t="n"/>
      <c r="AD322" s="7636" t="n"/>
      <c r="AE322" s="8977" t="n"/>
      <c r="AG322" s="7914" t="n"/>
      <c r="AI322" s="7914" t="n"/>
      <c r="AK322" s="2013" t="n"/>
      <c r="BL322" s="2027" t="n"/>
      <c r="BM322" s="2027" t="n"/>
    </row>
    <row r="323" ht="15" customHeight="1" s="7635">
      <c r="A323" s="2013" t="n"/>
      <c r="B323" s="11602" t="n"/>
      <c r="C323" s="734" t="inlineStr">
        <is>
          <t xml:space="preserve">27 </t>
        </is>
      </c>
      <c r="D323" s="8650" t="inlineStr">
        <is>
          <t>Enter the amount from line 26</t>
        </is>
      </c>
      <c r="E323" s="11602" t="n"/>
      <c r="F323" s="11602" t="n"/>
      <c r="G323" s="11602" t="n"/>
      <c r="H323" s="11602" t="n"/>
      <c r="I323" s="11602" t="n"/>
      <c r="J323" s="11602" t="n"/>
      <c r="K323" s="11602" t="n"/>
      <c r="L323" s="11602" t="n"/>
      <c r="M323" s="11602" t="n"/>
      <c r="N323" s="11602" t="n"/>
      <c r="O323" s="11602" t="n"/>
      <c r="P323" s="11602" t="n"/>
      <c r="Q323" s="11602" t="n"/>
      <c r="R323" s="11602" t="n"/>
      <c r="S323" s="11602" t="n"/>
      <c r="T323" s="11602" t="n"/>
      <c r="U323" s="11602" t="n"/>
      <c r="V323" s="11602" t="n"/>
      <c r="W323" s="11602" t="n"/>
      <c r="X323" s="11602" t="n"/>
      <c r="Y323" s="11602" t="n"/>
      <c r="Z323" s="11602" t="n"/>
      <c r="AA323" s="11602" t="n"/>
      <c r="AB323" s="2031" t="inlineStr">
        <is>
          <t xml:space="preserve">.   .   .   .   .   .   .   .   .   .   .   .   .   .   .   .   .   .   .   .   .   .   .   .   .   .   .   .   . </t>
        </is>
      </c>
      <c r="AC323" s="5372" t="n">
        <v>27</v>
      </c>
      <c r="AD323" s="7638" t="n"/>
      <c r="AE323" s="9758">
        <f>ForeignEarnedIncome2</f>
        <v/>
      </c>
      <c r="AF323" s="7637" t="n"/>
      <c r="AG323" s="7637" t="n"/>
      <c r="AH323" s="7637" t="n"/>
      <c r="AI323" s="7637" t="n"/>
      <c r="AJ323" s="7637" t="n"/>
      <c r="AK323" s="2013" t="n"/>
      <c r="AO323" s="2083">
        <f>IF(AE318="",0,AE318)</f>
        <v/>
      </c>
      <c r="BL323" s="2027" t="n"/>
      <c r="BM323" s="2027" t="n"/>
    </row>
    <row r="324" ht="16.5" customHeight="1" s="7635" thickBot="1">
      <c r="A324" s="2013" t="n"/>
      <c r="B324" s="11602" t="n"/>
      <c r="C324" s="11602" t="n"/>
      <c r="D324" s="1672" t="inlineStr">
        <is>
          <t>Are you claiming the housing exclusion or housing deduction?</t>
        </is>
      </c>
      <c r="E324" s="11602" t="n"/>
      <c r="F324" s="11602" t="n"/>
      <c r="G324" s="11602" t="n"/>
      <c r="H324" s="11602" t="n"/>
      <c r="I324" s="11602" t="n"/>
      <c r="J324" s="11602" t="n"/>
      <c r="K324" s="11602" t="n"/>
      <c r="L324" s="11602" t="n"/>
      <c r="M324" s="11602" t="n"/>
      <c r="N324" s="11602" t="n"/>
      <c r="O324" s="11602" t="n"/>
      <c r="P324" s="11602" t="n"/>
      <c r="Q324" s="11602" t="n"/>
      <c r="R324" s="11602" t="n"/>
      <c r="S324" s="11602" t="n"/>
      <c r="T324" s="11602" t="n"/>
      <c r="U324" s="11602" t="n"/>
      <c r="V324" s="11602" t="n"/>
      <c r="W324" s="11602" t="n"/>
      <c r="X324" s="11602" t="n"/>
      <c r="Y324" s="11602" t="n"/>
      <c r="Z324" s="11602" t="n"/>
      <c r="AA324" s="11602" t="n"/>
      <c r="AB324" s="11602" t="n"/>
      <c r="AC324" s="11602" t="n"/>
      <c r="AD324" s="11602" t="n"/>
      <c r="AE324" s="11602" t="n"/>
      <c r="AF324" s="11602" t="n"/>
      <c r="AG324" s="11602" t="n"/>
      <c r="AH324" s="11602" t="n"/>
      <c r="AI324" s="11602" t="n"/>
      <c r="AJ324" s="11602" t="n"/>
      <c r="AK324" s="2013" t="n"/>
      <c r="AO324" s="2083">
        <f>SUM(ForeignEarnedIncome1,ForeignEarnedIncome2)</f>
        <v/>
      </c>
      <c r="BL324" s="2027" t="n"/>
      <c r="BM324" s="2027" t="n"/>
    </row>
    <row r="325" ht="15" customHeight="1" s="7635" thickBot="1">
      <c r="A325" s="2013" t="n"/>
      <c r="B325" s="512" t="n"/>
      <c r="C325" s="11602" t="n"/>
      <c r="D325" s="277" t="n"/>
      <c r="E325" s="8650" t="inlineStr">
        <is>
          <t xml:space="preserve"> Yes.  Complete Part VI.</t>
        </is>
      </c>
      <c r="F325" s="11602" t="n"/>
      <c r="G325" s="11602" t="n"/>
      <c r="H325" s="11602" t="n"/>
      <c r="I325" s="11602" t="n"/>
      <c r="J325" s="11602" t="n"/>
      <c r="K325" s="794" t="n"/>
      <c r="L325" s="11602" t="n"/>
      <c r="M325" s="11602" t="n"/>
      <c r="N325" s="11602" t="n"/>
      <c r="O325" s="11602" t="n"/>
      <c r="P325" s="11602" t="n"/>
      <c r="Q325" s="11602" t="n"/>
      <c r="R325" s="11602" t="n"/>
      <c r="S325" s="11602" t="n"/>
      <c r="T325" s="11602" t="n"/>
      <c r="U325" s="11602" t="n"/>
      <c r="V325" s="11602" t="n"/>
      <c r="W325" s="11602" t="n"/>
      <c r="X325" s="11602" t="n"/>
      <c r="Y325" s="11602" t="n"/>
      <c r="Z325" s="11602" t="n"/>
      <c r="AA325" s="11602" t="n"/>
      <c r="AB325" s="11602" t="n"/>
      <c r="AC325" s="11602" t="n"/>
      <c r="AD325" s="11602" t="n"/>
      <c r="AE325" s="11602" t="n"/>
      <c r="AF325" s="11602" t="n"/>
      <c r="AG325" s="11602" t="n"/>
      <c r="AH325" s="11602" t="n"/>
      <c r="AI325" s="11602" t="n"/>
      <c r="AJ325" s="11602" t="n"/>
      <c r="AK325" s="2013" t="n"/>
      <c r="AM325" s="2084">
        <f>(D325&lt;&gt;"")</f>
        <v/>
      </c>
      <c r="BL325" s="2027" t="n"/>
      <c r="BM325" s="2027" t="n"/>
    </row>
    <row r="326" ht="4.5" customHeight="1" s="7635" thickBot="1">
      <c r="A326" s="2013" t="n"/>
      <c r="B326" s="11602" t="n"/>
      <c r="C326" s="11602" t="n"/>
      <c r="D326" s="11602" t="n"/>
      <c r="E326" s="11602" t="n"/>
      <c r="F326" s="11602" t="n"/>
      <c r="G326" s="11602" t="n"/>
      <c r="H326" s="11602" t="n"/>
      <c r="I326" s="11602" t="n"/>
      <c r="J326" s="11602" t="n"/>
      <c r="K326" s="11602" t="n"/>
      <c r="L326" s="11602" t="n"/>
      <c r="M326" s="11602" t="n"/>
      <c r="N326" s="11602" t="n"/>
      <c r="O326" s="11602" t="n"/>
      <c r="P326" s="11602" t="n"/>
      <c r="Q326" s="11602" t="n"/>
      <c r="R326" s="11602" t="n"/>
      <c r="S326" s="11602" t="n"/>
      <c r="T326" s="11602" t="n"/>
      <c r="U326" s="11602" t="n"/>
      <c r="V326" s="11602" t="n"/>
      <c r="W326" s="11602" t="n"/>
      <c r="X326" s="11602" t="n"/>
      <c r="Y326" s="11602" t="n"/>
      <c r="Z326" s="11602" t="n"/>
      <c r="AA326" s="11602" t="n"/>
      <c r="AB326" s="11602" t="n"/>
      <c r="AC326" s="11602" t="n"/>
      <c r="AD326" s="11602" t="n"/>
      <c r="AE326" s="11602" t="n"/>
      <c r="AF326" s="11602" t="n"/>
      <c r="AG326" s="11602" t="n"/>
      <c r="AH326" s="11602" t="n"/>
      <c r="AI326" s="11602" t="n"/>
      <c r="AJ326" s="11602" t="n"/>
      <c r="AK326" s="2013" t="n"/>
      <c r="BL326" s="2027" t="n"/>
      <c r="BM326" s="2027" t="n"/>
    </row>
    <row r="327" ht="15" customHeight="1" s="7635" thickBot="1">
      <c r="A327" s="2013" t="n"/>
      <c r="B327" s="512" t="n"/>
      <c r="C327" s="11602" t="n"/>
      <c r="D327" s="1987">
        <f>IF(D325="","X","")</f>
        <v/>
      </c>
      <c r="E327" s="8650" t="inlineStr">
        <is>
          <t xml:space="preserve"> No.   Go to Part VII.</t>
        </is>
      </c>
      <c r="F327" s="11602" t="n"/>
      <c r="G327" s="11602" t="n"/>
      <c r="H327" s="11602" t="n"/>
      <c r="I327" s="11602" t="n"/>
      <c r="J327" s="11602" t="n"/>
      <c r="K327" s="11602" t="n"/>
      <c r="L327" s="11602" t="n"/>
      <c r="M327" s="11602" t="n"/>
      <c r="N327" s="11602" t="n"/>
      <c r="O327" s="11602" t="n"/>
      <c r="P327" s="11602" t="n"/>
      <c r="Q327" s="11602" t="n"/>
      <c r="R327" s="11602" t="n"/>
      <c r="S327" s="11602" t="n"/>
      <c r="T327" s="11602" t="n"/>
      <c r="U327" s="11602" t="n"/>
      <c r="V327" s="11602" t="n"/>
      <c r="W327" s="11602" t="n"/>
      <c r="X327" s="11602" t="n"/>
      <c r="Y327" s="11602" t="n"/>
      <c r="Z327" s="11602" t="n"/>
      <c r="AA327" s="11602" t="n"/>
      <c r="AB327" s="11602" t="n"/>
      <c r="AC327" s="11602" t="n"/>
      <c r="AD327" s="11602" t="n"/>
      <c r="AE327" s="11602" t="n"/>
      <c r="AF327" s="11602" t="n"/>
      <c r="AG327" s="11602" t="n"/>
      <c r="AH327" s="11602" t="n"/>
      <c r="AI327" s="11602" t="n"/>
      <c r="AJ327" s="11602" t="n"/>
      <c r="AK327" s="2013" t="n"/>
      <c r="AM327" s="2084">
        <f>(D327&lt;&gt;"")</f>
        <v/>
      </c>
      <c r="BL327" s="2027" t="n"/>
      <c r="BM327" s="2027" t="n"/>
    </row>
    <row r="328" ht="6.75" customHeight="1" s="7635">
      <c r="A328" s="2013" t="n"/>
      <c r="B328" s="1999" t="n"/>
      <c r="C328" s="1999" t="n"/>
      <c r="D328" s="1999" t="n"/>
      <c r="E328" s="1999" t="n"/>
      <c r="F328" s="1999" t="n"/>
      <c r="G328" s="1999" t="n"/>
      <c r="H328" s="1999" t="n"/>
      <c r="I328" s="1999" t="n"/>
      <c r="J328" s="1999" t="n"/>
      <c r="K328" s="1999" t="n"/>
      <c r="L328" s="1999" t="n"/>
      <c r="M328" s="1999" t="n"/>
      <c r="N328" s="1999" t="n"/>
      <c r="O328" s="1999" t="n"/>
      <c r="P328" s="1999" t="n"/>
      <c r="Q328" s="1999" t="n"/>
      <c r="R328" s="1999" t="n"/>
      <c r="S328" s="1999" t="n"/>
      <c r="T328" s="1999" t="n"/>
      <c r="U328" s="1999" t="n"/>
      <c r="V328" s="1999" t="n"/>
      <c r="W328" s="1999" t="n"/>
      <c r="X328" s="1999" t="n"/>
      <c r="Y328" s="1999" t="n"/>
      <c r="Z328" s="1999" t="n"/>
      <c r="AA328" s="1999" t="n"/>
      <c r="AB328" s="1999" t="n"/>
      <c r="AC328" s="1999" t="n"/>
      <c r="AD328" s="1999" t="n"/>
      <c r="AE328" s="1999" t="n"/>
      <c r="AF328" s="1999" t="n"/>
      <c r="AG328" s="1999" t="n"/>
      <c r="AH328" s="1999" t="n"/>
      <c r="AI328" s="1999" t="n"/>
      <c r="AJ328" s="1999" t="n"/>
      <c r="AK328" s="2013" t="n"/>
    </row>
    <row r="329" ht="18.75" customHeight="1" s="7635">
      <c r="A329" s="2013" t="n"/>
      <c r="B329" s="9775" t="inlineStr">
        <is>
          <t>Part VI</t>
        </is>
      </c>
      <c r="C329" s="8412" t="n"/>
      <c r="D329" s="2085" t="inlineStr">
        <is>
          <t>Taxpayers Claiming the Housing Exclusion and/or Deduction</t>
        </is>
      </c>
      <c r="E329" s="2021" t="n"/>
      <c r="F329" s="2021" t="n"/>
      <c r="G329" s="2021" t="n"/>
      <c r="H329" s="2021" t="n"/>
      <c r="I329" s="2021" t="n"/>
      <c r="J329" s="2021" t="n"/>
      <c r="K329" s="2021" t="n"/>
      <c r="L329" s="2021" t="n"/>
      <c r="M329" s="2021" t="n"/>
      <c r="N329" s="2021" t="n"/>
      <c r="O329" s="2021" t="n"/>
      <c r="P329" s="2021" t="n"/>
      <c r="Q329" s="2021" t="n"/>
      <c r="R329" s="2021" t="n"/>
      <c r="S329" s="2021" t="n"/>
      <c r="T329" s="2021" t="n"/>
      <c r="U329" s="2021" t="n"/>
      <c r="V329" s="2021" t="n"/>
      <c r="W329" s="2021" t="n"/>
      <c r="X329" s="2021" t="n"/>
      <c r="Y329" s="2021" t="n"/>
      <c r="Z329" s="2021" t="n"/>
      <c r="AA329" s="2021" t="n"/>
      <c r="AB329" s="2021" t="n"/>
      <c r="AC329" s="2021" t="n"/>
      <c r="AD329" s="2021" t="n"/>
      <c r="AE329" s="2021" t="n"/>
      <c r="AF329" s="2021" t="n"/>
      <c r="AG329" s="2021" t="n"/>
      <c r="AH329" s="2021" t="n"/>
      <c r="AI329" s="2021" t="n"/>
      <c r="AJ329" s="2021" t="n"/>
      <c r="AK329" s="2013" t="n"/>
    </row>
    <row r="330" ht="15" customHeight="1" s="7635">
      <c r="A330" s="2013" t="n"/>
      <c r="B330" s="11602" t="n"/>
      <c r="C330" s="11602" t="n"/>
      <c r="D330" s="11602" t="n"/>
      <c r="E330" s="11602" t="n"/>
      <c r="F330" s="11602" t="n"/>
      <c r="G330" s="11602" t="n"/>
      <c r="H330" s="11602" t="n"/>
      <c r="I330" s="11602" t="n"/>
      <c r="J330" s="11602" t="n"/>
      <c r="K330" s="11602" t="n"/>
      <c r="L330" s="11602" t="n"/>
      <c r="M330" s="11602" t="n"/>
      <c r="N330" s="11602" t="n"/>
      <c r="O330" s="11602" t="n"/>
      <c r="P330" s="11602" t="n"/>
      <c r="Q330" s="11602" t="n"/>
      <c r="R330" s="11602" t="n"/>
      <c r="S330" s="11602" t="n"/>
      <c r="T330" s="11602" t="n"/>
      <c r="U330" s="11602" t="n"/>
      <c r="V330" s="11602" t="n"/>
      <c r="W330" s="11602" t="n"/>
      <c r="X330" s="11602" t="n"/>
      <c r="Y330" s="11602" t="n"/>
      <c r="Z330" s="11602" t="n"/>
      <c r="AA330" s="11602" t="n"/>
      <c r="AB330" s="11602" t="n"/>
      <c r="AC330" s="2921" t="n"/>
      <c r="AD330" s="7636" t="n"/>
      <c r="AE330" s="8977" t="n"/>
      <c r="AG330" s="7914" t="n"/>
      <c r="AI330" s="7914" t="n"/>
      <c r="AK330" s="2013" t="n"/>
      <c r="BL330" s="2027" t="n"/>
      <c r="BM330" s="2027" t="n"/>
    </row>
    <row r="331" ht="15" customHeight="1" s="7635">
      <c r="A331" s="2013" t="n"/>
      <c r="B331" s="11602" t="n"/>
      <c r="C331" s="734" t="inlineStr">
        <is>
          <t>28</t>
        </is>
      </c>
      <c r="D331" s="8650" t="inlineStr">
        <is>
          <t>Qualified housing expenses for the tax year (see instructions)</t>
        </is>
      </c>
      <c r="E331" s="11602" t="n"/>
      <c r="F331" s="11602" t="n"/>
      <c r="G331" s="11602" t="n"/>
      <c r="H331" s="11602" t="n"/>
      <c r="I331" s="11602" t="n"/>
      <c r="J331" s="11602" t="n"/>
      <c r="K331" s="11602" t="n"/>
      <c r="L331" s="11602" t="n"/>
      <c r="M331" s="11602" t="n"/>
      <c r="N331" s="11602" t="n"/>
      <c r="O331" s="11602" t="n"/>
      <c r="P331" s="11602" t="n"/>
      <c r="Q331" s="11602" t="n"/>
      <c r="R331" s="11602" t="n"/>
      <c r="S331" s="11602" t="n"/>
      <c r="T331" s="11602" t="n"/>
      <c r="U331" s="11602" t="n"/>
      <c r="V331" s="11602" t="n"/>
      <c r="W331" s="11602" t="n"/>
      <c r="X331" s="11602" t="n"/>
      <c r="Y331" s="11602" t="n"/>
      <c r="Z331" s="11602" t="n"/>
      <c r="AA331" s="11602" t="n"/>
      <c r="AB331" s="2031" t="inlineStr">
        <is>
          <t xml:space="preserve">.   .   .   .   .   .   .   .   .   .   .   .   .   .   .   .   .   . </t>
        </is>
      </c>
      <c r="AC331" s="5372" t="n">
        <v>28</v>
      </c>
      <c r="AD331" s="7638" t="n"/>
      <c r="AE331" s="9763" t="n"/>
      <c r="AF331" s="11717" t="n"/>
      <c r="AG331" s="11717" t="n"/>
      <c r="AH331" s="11717" t="n"/>
      <c r="AI331" s="11717" t="n"/>
      <c r="AJ331" s="11717" t="n"/>
      <c r="AK331" s="2013" t="n"/>
      <c r="BL331" s="2027" t="n"/>
      <c r="BM331" s="2027" t="n"/>
    </row>
    <row r="332" ht="15" customHeight="1" s="7635">
      <c r="A332" s="2013" t="n"/>
      <c r="B332" s="11602" t="n"/>
      <c r="C332" s="734" t="inlineStr">
        <is>
          <t xml:space="preserve">29 a </t>
        </is>
      </c>
      <c r="D332" s="8650" t="inlineStr">
        <is>
          <t>Enter location where housing expenses incurred (see instructions)</t>
        </is>
      </c>
      <c r="E332" s="11602" t="n"/>
      <c r="F332" s="11602" t="n"/>
      <c r="G332" s="11602" t="n"/>
      <c r="H332" s="11602" t="n"/>
      <c r="I332" s="11602" t="n"/>
      <c r="J332" s="11602" t="n"/>
      <c r="K332" s="11602" t="n"/>
      <c r="L332" s="11602" t="n"/>
      <c r="M332" s="11602" t="n"/>
      <c r="N332" s="11602" t="n"/>
      <c r="O332" s="11602" t="n"/>
      <c r="P332" s="11602" t="n"/>
      <c r="Q332" s="11602" t="n"/>
      <c r="R332" s="11602" t="n"/>
      <c r="S332" s="11602" t="n"/>
      <c r="T332" s="11602" t="n"/>
      <c r="U332" s="9800" t="n"/>
      <c r="V332" s="11730" t="n"/>
      <c r="W332" s="11730" t="n"/>
      <c r="X332" s="11730" t="n"/>
      <c r="Y332" s="11730" t="n"/>
      <c r="Z332" s="11730" t="n"/>
      <c r="AA332" s="11730" t="n"/>
      <c r="AB332" s="11602" t="n"/>
      <c r="AC332" s="12448" t="n"/>
      <c r="AD332" s="10091" t="n"/>
      <c r="AE332" s="8998" t="n"/>
      <c r="AF332" s="7839" t="n"/>
      <c r="AG332" s="9766" t="n"/>
      <c r="AH332" s="7839" t="n"/>
      <c r="AI332" s="9766" t="n"/>
      <c r="AJ332" s="7839" t="n"/>
      <c r="AK332" s="2013" t="n"/>
      <c r="BL332" s="2027" t="n"/>
      <c r="BM332" s="2027" t="n"/>
    </row>
    <row r="333" ht="15" customHeight="1" s="7635" thickBot="1">
      <c r="A333" s="2013" t="n"/>
      <c r="B333" s="11602" t="n"/>
      <c r="C333" s="734" t="inlineStr">
        <is>
          <t xml:space="preserve">b </t>
        </is>
      </c>
      <c r="D333" s="8650" t="inlineStr">
        <is>
          <t>Enter limit on housing expenses (see instructions)</t>
        </is>
      </c>
      <c r="E333" s="11602" t="n"/>
      <c r="F333" s="11602" t="n"/>
      <c r="G333" s="11602" t="n"/>
      <c r="H333" s="11602" t="n"/>
      <c r="I333" s="11602" t="n"/>
      <c r="J333" s="11602" t="n"/>
      <c r="K333" s="11602" t="n"/>
      <c r="L333" s="11602" t="n"/>
      <c r="M333" s="11602" t="n"/>
      <c r="N333" s="11602" t="n"/>
      <c r="O333" s="11602" t="n"/>
      <c r="P333" s="11602" t="n"/>
      <c r="Q333" s="11602" t="n"/>
      <c r="R333" s="11602" t="n"/>
      <c r="S333" s="11602" t="n"/>
      <c r="T333" s="11602" t="n"/>
      <c r="U333" s="11602" t="n"/>
      <c r="V333" s="11602" t="n"/>
      <c r="W333" s="11602" t="n"/>
      <c r="X333" s="11602" t="n"/>
      <c r="Y333" s="11602" t="n"/>
      <c r="Z333" s="11602" t="n"/>
      <c r="AA333" s="11602" t="n"/>
      <c r="AB333" s="2031" t="inlineStr">
        <is>
          <t xml:space="preserve">.   .   .   .   .   .   .   .   .   .   .   .   .   .   .   .   .   .   .   .   .   . </t>
        </is>
      </c>
      <c r="AC333" s="5372" t="inlineStr">
        <is>
          <t>29b</t>
        </is>
      </c>
      <c r="AD333" s="7638" t="n"/>
      <c r="AE333" s="9763" t="n"/>
      <c r="AF333" s="11717" t="n"/>
      <c r="AG333" s="11717" t="n"/>
      <c r="AH333" s="11717" t="n"/>
      <c r="AI333" s="11717" t="n"/>
      <c r="AJ333" s="11717" t="n"/>
      <c r="AK333" s="2013" t="n"/>
      <c r="AM333" s="7914" t="inlineStr">
        <is>
          <t>Override</t>
        </is>
      </c>
      <c r="BL333" s="2027" t="n"/>
      <c r="BM333" s="2027" t="n"/>
    </row>
    <row r="334" ht="15" customHeight="1" s="7635" thickBot="1">
      <c r="A334" s="2013" t="n"/>
      <c r="B334" s="11602" t="n"/>
      <c r="C334" s="734" t="inlineStr">
        <is>
          <t>30</t>
        </is>
      </c>
      <c r="D334" s="8650" t="inlineStr">
        <is>
          <t>Enter the smaller of line 28 or line 29b</t>
        </is>
      </c>
      <c r="E334" s="11602" t="n"/>
      <c r="F334" s="11602" t="n"/>
      <c r="G334" s="11602" t="n"/>
      <c r="H334" s="11602" t="n"/>
      <c r="I334" s="11602" t="n"/>
      <c r="J334" s="11602" t="n"/>
      <c r="K334" s="11602" t="n"/>
      <c r="L334" s="11602" t="n"/>
      <c r="M334" s="11602" t="n"/>
      <c r="N334" s="11602" t="n"/>
      <c r="O334" s="11602" t="n"/>
      <c r="P334" s="11602" t="n"/>
      <c r="Q334" s="11602" t="n"/>
      <c r="R334" s="11602" t="n"/>
      <c r="S334" s="11602" t="n"/>
      <c r="T334" s="11602" t="n"/>
      <c r="U334" s="11602" t="n"/>
      <c r="V334" s="11602" t="n"/>
      <c r="W334" s="11602" t="n"/>
      <c r="X334" s="11602" t="n"/>
      <c r="Y334" s="11602" t="n"/>
      <c r="Z334" s="11602" t="n"/>
      <c r="AA334" s="11602" t="n"/>
      <c r="AB334" s="2031" t="inlineStr">
        <is>
          <t xml:space="preserve">.   .   .   .   .   .   .   .   .   .   .   .   .   .   .   .   .   .   .   .   .   .   .   .   .   . </t>
        </is>
      </c>
      <c r="AC334" s="5372" t="n">
        <v>30</v>
      </c>
      <c r="AD334" s="7638" t="n"/>
      <c r="AE334" s="9758">
        <f>IF(AM334&lt;&gt;"",AM334,IF(AM327,"",IF(AE331&lt;&gt;"",MIN(AE333,AE331),0)))</f>
        <v/>
      </c>
      <c r="AF334" s="7637" t="n"/>
      <c r="AG334" s="7637" t="n"/>
      <c r="AH334" s="7637" t="n"/>
      <c r="AI334" s="7637" t="n"/>
      <c r="AJ334" s="7637" t="n"/>
      <c r="AK334" s="2013" t="n"/>
      <c r="AM334" s="449" t="n"/>
      <c r="BL334" s="2027" t="n"/>
      <c r="BM334" s="2027" t="n"/>
    </row>
    <row r="335" ht="15" customHeight="1" s="7635" thickBot="1">
      <c r="A335" s="2013" t="n"/>
      <c r="B335" s="11602" t="n"/>
      <c r="C335" s="734" t="inlineStr">
        <is>
          <t>31</t>
        </is>
      </c>
      <c r="D335" s="8650">
        <f>"Number of days in your qualifying period that fall within your "&amp;TaxYear</f>
        <v/>
      </c>
      <c r="E335" s="11602" t="n"/>
      <c r="F335" s="11602" t="n"/>
      <c r="G335" s="11602" t="n"/>
      <c r="H335" s="11602" t="n"/>
      <c r="I335" s="11602" t="n"/>
      <c r="J335" s="11602" t="n"/>
      <c r="K335" s="11602" t="n"/>
      <c r="L335" s="11602" t="n"/>
      <c r="M335" s="11602" t="n"/>
      <c r="N335" s="11602" t="n"/>
      <c r="O335" s="11602" t="n"/>
      <c r="P335" s="11602" t="n"/>
      <c r="Q335" s="11602" t="n"/>
      <c r="R335" s="11602" t="n"/>
      <c r="S335" s="11602" t="n"/>
      <c r="T335" s="11602" t="n"/>
      <c r="U335" s="2921" t="n"/>
      <c r="V335" s="7636" t="n"/>
      <c r="W335" s="7932" t="n"/>
      <c r="X335" s="6996" t="n"/>
      <c r="Y335" s="6996" t="n"/>
      <c r="Z335" s="6996" t="n"/>
      <c r="AA335" s="9774" t="n"/>
      <c r="AB335" s="7636" t="n"/>
      <c r="AC335" s="11602" t="n"/>
      <c r="AD335" s="11602" t="n"/>
      <c r="AE335" s="8981">
        <f>ROUND(AE336/DaysInTaxYear,2)</f>
        <v/>
      </c>
      <c r="AF335" s="7839" t="n"/>
      <c r="AG335" s="7839" t="n"/>
      <c r="AH335" s="7839" t="n"/>
      <c r="AI335" s="7839" t="n"/>
      <c r="AJ335" s="7839" t="n"/>
      <c r="AK335" s="2013" t="n"/>
      <c r="AO335" s="2014" t="inlineStr">
        <is>
          <t>Days in qualifying</t>
        </is>
      </c>
      <c r="BL335" s="2027" t="n"/>
      <c r="BM335" s="2027" t="n"/>
    </row>
    <row r="336" ht="15" customHeight="1" s="7635" thickBot="1">
      <c r="A336" s="2013" t="n"/>
      <c r="B336" s="11602" t="n"/>
      <c r="C336" s="11602" t="n"/>
      <c r="D336" s="8650" t="inlineStr">
        <is>
          <t>tax year (see instructions)</t>
        </is>
      </c>
      <c r="E336" s="11602" t="n"/>
      <c r="F336" s="11602" t="n"/>
      <c r="G336" s="11602" t="n"/>
      <c r="H336" s="11602" t="n"/>
      <c r="I336" s="11602" t="n"/>
      <c r="J336" s="11602" t="n"/>
      <c r="K336" s="11602" t="n"/>
      <c r="L336" s="11602" t="n"/>
      <c r="M336" s="11602" t="n"/>
      <c r="N336" s="11602" t="n"/>
      <c r="O336" s="11602" t="n"/>
      <c r="P336" s="11602" t="n"/>
      <c r="Q336" s="11602" t="n"/>
      <c r="R336" s="11602" t="n"/>
      <c r="S336" s="11602" t="n"/>
      <c r="T336" s="2031" t="inlineStr">
        <is>
          <t xml:space="preserve">.   .   .   .   .   .   .   .   .   .   .   .   .   .   .   .   . </t>
        </is>
      </c>
      <c r="U336" s="5372" t="n">
        <v>31</v>
      </c>
      <c r="V336" s="7638" t="n"/>
      <c r="W336" s="9796">
        <f>IF(AM336&lt;&gt;"",ROUND(AM336,0),IF(AM327,"",DaysInTaxYear))</f>
        <v/>
      </c>
      <c r="X336" s="7637" t="n"/>
      <c r="Y336" s="7637" t="n"/>
      <c r="Z336" s="7637" t="n"/>
      <c r="AA336" s="8990" t="inlineStr">
        <is>
          <t>days</t>
        </is>
      </c>
      <c r="AB336" s="7638" t="n"/>
      <c r="AC336" s="11602" t="n"/>
      <c r="AD336" s="11602" t="n"/>
      <c r="AE336" s="9798">
        <f>ROUND(0.16*AE348,0)</f>
        <v/>
      </c>
      <c r="AK336" s="2013" t="n"/>
      <c r="AL336" s="2086" t="n"/>
      <c r="AM336" s="1316" t="n"/>
      <c r="AN336" s="2086" t="inlineStr">
        <is>
          <t>&lt;</t>
        </is>
      </c>
      <c r="AO336" s="2014" t="inlineStr">
        <is>
          <t>period.</t>
        </is>
      </c>
      <c r="BL336" s="2027" t="n"/>
      <c r="BM336" s="2027" t="n"/>
    </row>
    <row r="337" ht="15" customHeight="1" s="7635" thickBot="1">
      <c r="A337" s="2013" t="n"/>
      <c r="B337" s="11602" t="n"/>
      <c r="C337" s="734" t="inlineStr">
        <is>
          <t>32</t>
        </is>
      </c>
      <c r="D337" s="8650">
        <f>"Multiply "&amp;TEXT(AE335,"$0.00")&amp;" by the number of days on line 31. If "&amp;TEXT(DaysInTaxYear,"0")&amp;" is entered on line 31, enter "&amp;TEXT(AE336,"$0,000")&amp;" here"</f>
        <v/>
      </c>
      <c r="E337" s="11602" t="n"/>
      <c r="F337" s="11602" t="n"/>
      <c r="G337" s="11602" t="n"/>
      <c r="H337" s="11602" t="n"/>
      <c r="I337" s="11602" t="n"/>
      <c r="J337" s="11602" t="n"/>
      <c r="K337" s="11602" t="n"/>
      <c r="L337" s="11602" t="n"/>
      <c r="M337" s="11602" t="n"/>
      <c r="N337" s="11602" t="n"/>
      <c r="O337" s="11602" t="n"/>
      <c r="P337" s="11602" t="n"/>
      <c r="Q337" s="11602" t="n"/>
      <c r="R337" s="11602" t="n"/>
      <c r="S337" s="11602" t="n"/>
      <c r="T337" s="11602" t="n"/>
      <c r="U337" s="11602" t="n"/>
      <c r="V337" s="11602" t="n"/>
      <c r="W337" s="11602" t="n"/>
      <c r="X337" s="11602" t="n"/>
      <c r="Y337" s="11602" t="n"/>
      <c r="Z337" s="11602" t="n"/>
      <c r="AA337" s="11602" t="n"/>
      <c r="AB337" s="11602" t="n"/>
      <c r="AC337" s="5372" t="n">
        <v>32</v>
      </c>
      <c r="AD337" s="7638" t="n"/>
      <c r="AE337" s="9758">
        <f>IF(AM337&lt;&gt;"",ROUND(AM337,0),IF(OR(AM327,AE331=""),"",IF(W336=DaysInTaxYear,AE336,W336*AE335)))</f>
        <v/>
      </c>
      <c r="AF337" s="7637" t="n"/>
      <c r="AG337" s="7637" t="n"/>
      <c r="AH337" s="7637" t="n"/>
      <c r="AI337" s="7637" t="n"/>
      <c r="AJ337" s="7637" t="n"/>
      <c r="AK337" s="2013" t="n"/>
      <c r="AL337" s="2086" t="n"/>
      <c r="AM337" s="449" t="n"/>
      <c r="BL337" s="2027" t="n"/>
      <c r="BM337" s="2027" t="n"/>
    </row>
    <row r="338" ht="15" customHeight="1" s="7635">
      <c r="A338" s="2013" t="n"/>
      <c r="B338" s="11602" t="n"/>
      <c r="C338" s="734" t="inlineStr">
        <is>
          <t>33</t>
        </is>
      </c>
      <c r="D338" s="8650" t="inlineStr">
        <is>
          <t xml:space="preserve">Subtract line 32 from line 30. </t>
        </is>
      </c>
      <c r="E338" s="11602" t="n"/>
      <c r="F338" s="11602" t="n"/>
      <c r="G338" s="11602" t="n"/>
      <c r="H338" s="11602" t="n"/>
      <c r="I338" s="11602" t="n"/>
      <c r="J338" s="11602" t="n"/>
      <c r="K338" s="344" t="n"/>
      <c r="L338" s="8650" t="inlineStr">
        <is>
          <t>If the result is zero or less, don't complete the rest of this part or</t>
        </is>
      </c>
      <c r="M338" s="11602" t="n"/>
      <c r="N338" s="11602" t="n"/>
      <c r="O338" s="11602" t="n"/>
      <c r="P338" s="11602" t="n"/>
      <c r="Q338" s="11602" t="n"/>
      <c r="R338" s="11602" t="n"/>
      <c r="S338" s="11602" t="n"/>
      <c r="T338" s="11602" t="n"/>
      <c r="U338" s="11602" t="n"/>
      <c r="V338" s="11602" t="n"/>
      <c r="W338" s="11602" t="n"/>
      <c r="X338" s="11602" t="n"/>
      <c r="Y338" s="11602" t="n"/>
      <c r="Z338" s="11602" t="n"/>
      <c r="AA338" s="11602" t="n"/>
      <c r="AB338" s="11602" t="n"/>
      <c r="AC338" s="2898" t="n"/>
      <c r="AD338" s="10091" t="n"/>
      <c r="AE338" s="8998" t="n"/>
      <c r="AF338" s="7839" t="n"/>
      <c r="AG338" s="9766" t="n"/>
      <c r="AH338" s="7839" t="n"/>
      <c r="AI338" s="9766" t="n"/>
      <c r="AJ338" s="7839" t="n"/>
      <c r="AK338" s="2013" t="n"/>
      <c r="BL338" s="2027" t="n"/>
      <c r="BM338" s="2027" t="n"/>
    </row>
    <row r="339" ht="15" customHeight="1" s="7635">
      <c r="A339" s="2013" t="n"/>
      <c r="B339" s="11602" t="n"/>
      <c r="C339" s="11602" t="n"/>
      <c r="D339" s="8650" t="inlineStr">
        <is>
          <t>any of Part IX</t>
        </is>
      </c>
      <c r="E339" s="11602" t="n"/>
      <c r="F339" s="11602" t="n"/>
      <c r="G339" s="11602" t="n"/>
      <c r="H339" s="11602" t="n"/>
      <c r="I339" s="11602" t="n"/>
      <c r="J339" s="11602" t="n"/>
      <c r="K339" s="11602" t="n"/>
      <c r="L339" s="11602" t="n"/>
      <c r="M339" s="11602" t="n"/>
      <c r="N339" s="11602" t="n"/>
      <c r="O339" s="11602" t="n"/>
      <c r="P339" s="11602" t="n"/>
      <c r="Q339" s="11602" t="n"/>
      <c r="R339" s="11602" t="n"/>
      <c r="S339" s="11602" t="n"/>
      <c r="T339" s="11602" t="n"/>
      <c r="U339" s="11602" t="n"/>
      <c r="V339" s="11602" t="n"/>
      <c r="W339" s="11602" t="n"/>
      <c r="X339" s="11602" t="n"/>
      <c r="Y339" s="11602" t="n"/>
      <c r="Z339" s="11602" t="n"/>
      <c r="AA339" s="11602" t="n"/>
      <c r="AB339" s="2031" t="inlineStr">
        <is>
          <t xml:space="preserve">.   .   .   .   .   .   .   .   .   .   .   .   .   .   .   .   .   .   .   .   .   .   .   .   .   .   .   .   .   .   .   .   .   .   . </t>
        </is>
      </c>
      <c r="AC339" s="5372" t="n">
        <v>33</v>
      </c>
      <c r="AD339" s="7638" t="n"/>
      <c r="AE339" s="9795">
        <f>IF(AM327,"",IF(AE337="",AE334,SUM(AE334,-AE337)))</f>
        <v/>
      </c>
      <c r="AF339" s="7637" t="n"/>
      <c r="AG339" s="7637" t="n"/>
      <c r="AH339" s="7637" t="n"/>
      <c r="AI339" s="7637" t="n"/>
      <c r="AJ339" s="7637" t="n"/>
      <c r="AK339" s="2013" t="n"/>
      <c r="AM339" s="2084">
        <f>AE339&lt;=0</f>
        <v/>
      </c>
      <c r="AO339" s="2083">
        <f>IF(AE339="",0,AE339)</f>
        <v/>
      </c>
      <c r="BL339" s="2027" t="n"/>
      <c r="BM339" s="2027" t="n"/>
    </row>
    <row r="340" ht="15" customHeight="1" s="7635">
      <c r="A340" s="2013" t="n"/>
      <c r="B340" s="11602" t="n"/>
      <c r="C340" s="734" t="inlineStr">
        <is>
          <t>34</t>
        </is>
      </c>
      <c r="D340" s="8650" t="inlineStr">
        <is>
          <t>Enter employer-provided amounts (see instructions)</t>
        </is>
      </c>
      <c r="E340" s="11602" t="n"/>
      <c r="F340" s="11602" t="n"/>
      <c r="G340" s="11602" t="n"/>
      <c r="H340" s="11602" t="n"/>
      <c r="I340" s="11602" t="n"/>
      <c r="J340" s="11602" t="n"/>
      <c r="K340" s="11602" t="n"/>
      <c r="L340" s="11602" t="n"/>
      <c r="M340" s="11602" t="n"/>
      <c r="N340" s="11602" t="n"/>
      <c r="O340" s="11602" t="n"/>
      <c r="P340" s="11602" t="n"/>
      <c r="Q340" s="11602" t="n"/>
      <c r="R340" s="11602" t="n"/>
      <c r="S340" s="11602" t="n"/>
      <c r="T340" s="11602" t="n"/>
      <c r="U340" s="5372" t="n">
        <v>34</v>
      </c>
      <c r="V340" s="7638" t="n"/>
      <c r="W340" s="9763" t="n"/>
      <c r="X340" s="11717" t="n"/>
      <c r="Y340" s="11717" t="n"/>
      <c r="Z340" s="11717" t="n"/>
      <c r="AA340" s="11717" t="n"/>
      <c r="AB340" s="11717" t="n"/>
      <c r="AC340" s="12448" t="n"/>
      <c r="AD340" s="10091" t="n"/>
      <c r="AE340" s="8998" t="n"/>
      <c r="AF340" s="7839" t="n"/>
      <c r="AG340" s="9766" t="n"/>
      <c r="AH340" s="7839" t="n"/>
      <c r="AI340" s="9766" t="n"/>
      <c r="AJ340" s="7839" t="n"/>
      <c r="AK340" s="2013" t="n"/>
      <c r="AM340" s="2087" t="n"/>
      <c r="BL340" s="2027" t="n"/>
      <c r="BM340" s="2027" t="n"/>
    </row>
    <row r="341" ht="15" customHeight="1" s="7635" thickBot="1">
      <c r="A341" s="2013" t="n"/>
      <c r="B341" s="11602" t="n"/>
      <c r="C341" s="734" t="inlineStr">
        <is>
          <t>35</t>
        </is>
      </c>
      <c r="D341" s="8650" t="inlineStr">
        <is>
          <t>Divide line 34 by line 27. Enter the result as a decimal (rounded to at least three places), but</t>
        </is>
      </c>
      <c r="E341" s="11602" t="n"/>
      <c r="F341" s="11602" t="n"/>
      <c r="G341" s="11602" t="n"/>
      <c r="H341" s="11602" t="n"/>
      <c r="I341" s="11602" t="n"/>
      <c r="J341" s="11602" t="n"/>
      <c r="K341" s="11602" t="n"/>
      <c r="L341" s="11602" t="n"/>
      <c r="M341" s="11602" t="n"/>
      <c r="N341" s="11602" t="n"/>
      <c r="O341" s="11602" t="n"/>
      <c r="P341" s="11602" t="n"/>
      <c r="Q341" s="11602" t="n"/>
      <c r="R341" s="11602" t="n"/>
      <c r="S341" s="11602" t="n"/>
      <c r="T341" s="11602" t="n"/>
      <c r="U341" s="11602" t="n"/>
      <c r="V341" s="11602" t="n"/>
      <c r="W341" s="11602" t="n"/>
      <c r="X341" s="11602" t="n"/>
      <c r="Y341" s="11602" t="n"/>
      <c r="Z341" s="11602" t="n"/>
      <c r="AA341" s="11602" t="n"/>
      <c r="AB341" s="11602" t="n"/>
      <c r="AC341" s="2921" t="n"/>
      <c r="AD341" s="7636" t="n"/>
      <c r="AE341" s="8977" t="n"/>
      <c r="AG341" s="7914" t="n"/>
      <c r="AI341" s="7914" t="n"/>
      <c r="AK341" s="2013" t="n"/>
      <c r="AM341" s="7914" t="inlineStr">
        <is>
          <t>Override</t>
        </is>
      </c>
      <c r="BL341" s="2027" t="n"/>
      <c r="BM341" s="2027" t="n"/>
    </row>
    <row r="342" ht="15" customHeight="1" s="7635" thickBot="1">
      <c r="A342" s="2013" t="n"/>
      <c r="B342" s="11602" t="n"/>
      <c r="C342" s="11602" t="n"/>
      <c r="D342" s="8650" t="inlineStr">
        <is>
          <t>don't enter more than “1.000”</t>
        </is>
      </c>
      <c r="E342" s="11602" t="n"/>
      <c r="F342" s="11602" t="n"/>
      <c r="G342" s="11602" t="n"/>
      <c r="H342" s="11602" t="n"/>
      <c r="I342" s="11602" t="n"/>
      <c r="J342" s="11602" t="n"/>
      <c r="K342" s="11602" t="n"/>
      <c r="L342" s="11602" t="n"/>
      <c r="M342" s="11602" t="n"/>
      <c r="N342" s="11602" t="n"/>
      <c r="O342" s="11602" t="n"/>
      <c r="P342" s="11602" t="n"/>
      <c r="Q342" s="11602" t="n"/>
      <c r="R342" s="11602" t="n"/>
      <c r="S342" s="11602" t="n"/>
      <c r="T342" s="11602" t="n"/>
      <c r="U342" s="11602" t="n"/>
      <c r="V342" s="11602" t="n"/>
      <c r="W342" s="11602" t="n"/>
      <c r="X342" s="11602" t="n"/>
      <c r="Y342" s="11602" t="n"/>
      <c r="Z342" s="11602" t="n"/>
      <c r="AA342" s="11602" t="n"/>
      <c r="AB342" s="2031" t="inlineStr">
        <is>
          <t xml:space="preserve">.   .   .   .   .   .   .   .   .   .   .   .   .   .   .   .   .   .   .   .   .   .   .   .   .   .   .   .   .   . </t>
        </is>
      </c>
      <c r="AC342" s="5372" t="n">
        <v>35</v>
      </c>
      <c r="AD342" s="7638" t="n"/>
      <c r="AE342" s="2088" t="n"/>
      <c r="AF342" s="2088" t="n"/>
      <c r="AG342" s="2089" t="inlineStr">
        <is>
          <t>X</t>
        </is>
      </c>
      <c r="AH342" s="12449">
        <f>IF(AM342&lt;&gt;"",ROUND(AM342,3),IF(OR(AM327,AM339),"",IF(ISERROR(W340/ForeignEarnedIncome2),"---",IF(ForeignEarnedIncome2&gt;0,ROUND(W340/ForeignEarnedIncome2,3),""))))</f>
        <v/>
      </c>
      <c r="AI342" s="7637" t="n"/>
      <c r="AJ342" s="7637" t="n"/>
      <c r="AK342" s="2013" t="n"/>
      <c r="AM342" s="439" t="n"/>
      <c r="BL342" s="2027" t="n"/>
      <c r="BM342" s="2027" t="n"/>
    </row>
    <row r="343" ht="15" customHeight="1" s="7635" thickBot="1">
      <c r="A343" s="2013" t="n"/>
      <c r="B343" s="11602" t="n"/>
      <c r="C343" s="734" t="inlineStr">
        <is>
          <t>36</t>
        </is>
      </c>
      <c r="D343" s="8650" t="inlineStr">
        <is>
          <t>Housing exclusion. Multiply line 33 by line 35. Enter the result but don't enter more than the</t>
        </is>
      </c>
      <c r="E343" s="11602" t="n"/>
      <c r="F343" s="11602" t="n"/>
      <c r="G343" s="11602" t="n"/>
      <c r="H343" s="11602" t="n"/>
      <c r="I343" s="11602" t="n"/>
      <c r="J343" s="11602" t="n"/>
      <c r="K343" s="11602" t="n"/>
      <c r="L343" s="11602" t="n"/>
      <c r="M343" s="11602" t="n"/>
      <c r="N343" s="11602" t="n"/>
      <c r="O343" s="11602" t="n"/>
      <c r="P343" s="11602" t="n"/>
      <c r="Q343" s="11602" t="n"/>
      <c r="R343" s="11602" t="n"/>
      <c r="S343" s="11602" t="n"/>
      <c r="T343" s="11602" t="n"/>
      <c r="U343" s="11602" t="n"/>
      <c r="V343" s="11602" t="n"/>
      <c r="W343" s="11602" t="n"/>
      <c r="X343" s="11602" t="n"/>
      <c r="Y343" s="11602" t="n"/>
      <c r="Z343" s="11602" t="n"/>
      <c r="AA343" s="11602" t="n"/>
      <c r="AB343" s="11602" t="n"/>
      <c r="AC343" s="2898" t="n"/>
      <c r="AD343" s="10091" t="n"/>
      <c r="AE343" s="8998" t="n"/>
      <c r="AF343" s="7839" t="n"/>
      <c r="AG343" s="9766" t="n"/>
      <c r="AH343" s="7839" t="n"/>
      <c r="AI343" s="9766" t="n"/>
      <c r="AJ343" s="7839" t="n"/>
      <c r="AK343" s="2013" t="n"/>
      <c r="BL343" s="2027" t="n"/>
      <c r="BM343" s="2027" t="n"/>
    </row>
    <row r="344" ht="15" customHeight="1" s="7635" thickBot="1">
      <c r="A344" s="2013" t="n"/>
      <c r="B344" s="11602" t="n"/>
      <c r="C344" s="11602" t="n"/>
      <c r="D344" s="8650" t="inlineStr">
        <is>
          <t>amount on line 34. Also, complete Part VIII</t>
        </is>
      </c>
      <c r="E344" s="11602" t="n"/>
      <c r="F344" s="11602" t="n"/>
      <c r="G344" s="11602" t="n"/>
      <c r="H344" s="11602" t="n"/>
      <c r="I344" s="11602" t="n"/>
      <c r="J344" s="11602" t="n"/>
      <c r="K344" s="11602" t="n"/>
      <c r="L344" s="11602" t="n"/>
      <c r="M344" s="11602" t="n"/>
      <c r="N344" s="11602" t="n"/>
      <c r="O344" s="11602" t="n"/>
      <c r="P344" s="11602" t="n"/>
      <c r="Q344" s="11602" t="n"/>
      <c r="R344" s="11602" t="n"/>
      <c r="S344" s="11602" t="n"/>
      <c r="T344" s="11602" t="n"/>
      <c r="U344" s="11602" t="n"/>
      <c r="V344" s="11602" t="n"/>
      <c r="W344" s="11602" t="n"/>
      <c r="X344" s="11602" t="n"/>
      <c r="Y344" s="11602" t="n"/>
      <c r="Z344" s="11602" t="n"/>
      <c r="AA344" s="11602" t="n"/>
      <c r="AB344" s="2031" t="inlineStr">
        <is>
          <t xml:space="preserve">.   .   .   .   .   .   .   .   .   .   .   .   .   .   .   .   .   .   .   .   .   .   .   . </t>
        </is>
      </c>
      <c r="AC344" s="5372" t="n">
        <v>36</v>
      </c>
      <c r="AD344" s="7638" t="n"/>
      <c r="AE344" s="9758">
        <f>IF(AM344&lt;&gt;"",ROUND(AM344,0),IF(OR(AM327,AM339),"",IF(ISERROR(W340/ForeignEarnedIncome2),"---",IF(W340="",0,MIN(W340,ROUND(AE339*AH342,0))))))</f>
        <v/>
      </c>
      <c r="AF344" s="7637" t="n"/>
      <c r="AG344" s="7637" t="n"/>
      <c r="AH344" s="7637" t="n"/>
      <c r="AI344" s="7637" t="n"/>
      <c r="AJ344" s="7637" t="n"/>
      <c r="AK344" s="2013" t="n"/>
      <c r="AM344" s="449" t="n"/>
      <c r="AO344" s="2083">
        <f>IF(OR(AE344="",AE344="---"),0,AE344)</f>
        <v/>
      </c>
      <c r="BL344" s="2027" t="n"/>
      <c r="BM344" s="2027" t="n"/>
    </row>
    <row r="345" ht="15" customHeight="1" s="7635">
      <c r="A345" s="2013" t="n"/>
      <c r="B345" s="11602" t="n"/>
      <c r="C345" s="11602" t="n"/>
      <c r="D345" s="8650" t="inlineStr">
        <is>
          <t>Note: The housing deduction is figured in Part IX. If you choose to claim the foreign earned income</t>
        </is>
      </c>
      <c r="E345" s="11602" t="n"/>
      <c r="F345" s="11602" t="n"/>
      <c r="G345" s="11602" t="n"/>
      <c r="H345" s="11602" t="n"/>
      <c r="I345" s="11602" t="n"/>
      <c r="J345" s="11602" t="n"/>
      <c r="K345" s="11602" t="n"/>
      <c r="L345" s="11602" t="n"/>
      <c r="M345" s="11602" t="n"/>
      <c r="N345" s="11602" t="n"/>
      <c r="O345" s="11602" t="n"/>
      <c r="P345" s="11602" t="n"/>
      <c r="Q345" s="11602" t="n"/>
      <c r="R345" s="11602" t="n"/>
      <c r="S345" s="11602" t="n"/>
      <c r="T345" s="11602" t="n"/>
      <c r="U345" s="11602" t="n"/>
      <c r="V345" s="11602" t="n"/>
      <c r="W345" s="11602" t="n"/>
      <c r="X345" s="11602" t="n"/>
      <c r="Y345" s="11602" t="n"/>
      <c r="Z345" s="11602" t="n"/>
      <c r="AA345" s="11602" t="n"/>
      <c r="AB345" s="11602" t="n"/>
      <c r="AC345" s="11602" t="n"/>
      <c r="AD345" s="11602" t="n"/>
      <c r="AE345" s="9788">
        <f>IF(OR(AE344="",AE344="---"),0,AE344)</f>
        <v/>
      </c>
      <c r="AF345" s="7839" t="n"/>
      <c r="AG345" s="7839" t="n"/>
      <c r="AH345" s="7839" t="n"/>
      <c r="AI345" s="7839" t="n"/>
      <c r="AJ345" s="7839" t="n"/>
      <c r="AK345" s="2013" t="n"/>
      <c r="BL345" s="2027" t="n"/>
      <c r="BM345" s="2027" t="n"/>
    </row>
    <row r="346" ht="15" customHeight="1" s="7635" thickBot="1">
      <c r="A346" s="2013" t="n"/>
      <c r="B346" s="11602" t="n"/>
      <c r="C346" s="11602" t="n"/>
      <c r="D346" s="8650" t="inlineStr">
        <is>
          <t>exclusion, complete Parts VII and VIII before Part IX.</t>
        </is>
      </c>
      <c r="E346" s="11602" t="n"/>
      <c r="F346" s="11602" t="n"/>
      <c r="G346" s="11602" t="n"/>
      <c r="H346" s="11602" t="n"/>
      <c r="I346" s="11602" t="n"/>
      <c r="J346" s="11602" t="n"/>
      <c r="K346" s="11602" t="n"/>
      <c r="L346" s="11602" t="n"/>
      <c r="M346" s="11602" t="n"/>
      <c r="N346" s="11602" t="n"/>
      <c r="O346" s="11602" t="n"/>
      <c r="P346" s="11602" t="n"/>
      <c r="Q346" s="11602" t="n"/>
      <c r="R346" s="11602" t="n"/>
      <c r="S346" s="11602" t="n"/>
      <c r="T346" s="11602" t="n"/>
      <c r="U346" s="11602" t="n"/>
      <c r="V346" s="11602" t="n"/>
      <c r="W346" s="11602" t="n"/>
      <c r="X346" s="11602" t="n"/>
      <c r="Y346" s="11602" t="n"/>
      <c r="Z346" s="11602" t="n"/>
      <c r="AA346" s="11602" t="n"/>
      <c r="AB346" s="11602" t="n"/>
      <c r="AC346" s="11602" t="n"/>
      <c r="AD346" s="11602" t="n"/>
      <c r="AE346" s="11602" t="n"/>
      <c r="AF346" s="11602" t="n"/>
      <c r="AG346" s="11602" t="n"/>
      <c r="AH346" s="11602" t="n"/>
      <c r="AI346" s="11602" t="n"/>
      <c r="AJ346" s="11602" t="n"/>
      <c r="AK346" s="2013" t="n"/>
      <c r="BL346" s="2027" t="n"/>
      <c r="BM346" s="2027" t="n"/>
    </row>
    <row r="347" ht="18.75" customHeight="1" s="7635" thickBot="1">
      <c r="A347" s="2013" t="n"/>
      <c r="B347" s="9775" t="inlineStr">
        <is>
          <t>Part VII</t>
        </is>
      </c>
      <c r="C347" s="8412" t="n"/>
      <c r="D347" s="2090" t="inlineStr">
        <is>
          <t>Taxpayers Claiming the Foreign Earned Income Exclusion</t>
        </is>
      </c>
      <c r="E347" s="2091" t="n"/>
      <c r="F347" s="2091" t="n"/>
      <c r="G347" s="2091" t="n"/>
      <c r="H347" s="2091" t="n"/>
      <c r="I347" s="2091" t="n"/>
      <c r="J347" s="2091" t="n"/>
      <c r="K347" s="2091" t="n"/>
      <c r="L347" s="2091" t="n"/>
      <c r="M347" s="2091" t="n"/>
      <c r="N347" s="2091" t="n"/>
      <c r="O347" s="2091" t="n"/>
      <c r="P347" s="2091" t="n"/>
      <c r="Q347" s="2091" t="n"/>
      <c r="R347" s="2091" t="n"/>
      <c r="S347" s="2091" t="n"/>
      <c r="T347" s="2091" t="n"/>
      <c r="U347" s="2091" t="n"/>
      <c r="V347" s="2091" t="n"/>
      <c r="W347" s="2091" t="n"/>
      <c r="X347" s="2091" t="n"/>
      <c r="Y347" s="2091" t="n"/>
      <c r="Z347" s="2091" t="n"/>
      <c r="AA347" s="2091" t="n"/>
      <c r="AB347" s="2091" t="n"/>
      <c r="AC347" s="2091" t="n"/>
      <c r="AD347" s="2091" t="n"/>
      <c r="AE347" s="9789" t="n"/>
      <c r="AF347" s="12097" t="n"/>
      <c r="AG347" s="12097" t="n"/>
      <c r="AH347" s="12097" t="n"/>
      <c r="AI347" s="12097" t="n"/>
      <c r="AJ347" s="12097" t="n"/>
      <c r="AK347" s="2013" t="n"/>
      <c r="AM347" s="7914" t="inlineStr">
        <is>
          <t>Override</t>
        </is>
      </c>
    </row>
    <row r="348" ht="15" customHeight="1" s="7635" thickBot="1">
      <c r="A348" s="2013" t="n"/>
      <c r="B348" s="11602" t="n"/>
      <c r="C348" s="734" t="inlineStr">
        <is>
          <t>37</t>
        </is>
      </c>
      <c r="D348" s="8650">
        <f>"Maximum foreign earned income exclusion."</f>
        <v/>
      </c>
      <c r="E348" s="11602" t="n"/>
      <c r="F348" s="11602" t="n"/>
      <c r="G348" s="11602" t="n"/>
      <c r="H348" s="11602" t="n"/>
      <c r="I348" s="11602" t="n"/>
      <c r="J348" s="11602" t="n"/>
      <c r="K348" s="11602" t="n"/>
      <c r="L348" s="11602" t="n"/>
      <c r="M348" s="11602" t="n"/>
      <c r="N348" s="11602" t="n"/>
      <c r="O348" s="11602" t="n"/>
      <c r="P348" s="11602">
        <f>"Enter "&amp;TEXT(AE348,"$0,000")</f>
        <v/>
      </c>
      <c r="Q348" s="11602" t="n"/>
      <c r="R348" s="11602" t="n"/>
      <c r="S348" s="11602" t="n"/>
      <c r="T348" s="11602" t="n"/>
      <c r="U348" s="11602" t="n"/>
      <c r="V348" s="11602" t="n"/>
      <c r="W348" s="11602" t="n"/>
      <c r="X348" s="11602" t="n"/>
      <c r="Y348" s="11602" t="n"/>
      <c r="Z348" s="11602" t="n"/>
      <c r="AA348" s="11602" t="n"/>
      <c r="AB348" s="2031" t="inlineStr">
        <is>
          <t xml:space="preserve">.   .   .   .   .   .   .   .   .   .   .   .   .   .   .   .   . </t>
        </is>
      </c>
      <c r="AC348" s="5372" t="n">
        <v>37</v>
      </c>
      <c r="AD348" s="7638" t="n"/>
      <c r="AE348" s="12450">
        <f>IF(AM348&lt;&gt;"",ROUND(AM348,0),AE349)</f>
        <v/>
      </c>
      <c r="AF348" s="7637" t="n"/>
      <c r="AG348" s="7637" t="n"/>
      <c r="AH348" s="7637" t="n"/>
      <c r="AI348" s="7637" t="n"/>
      <c r="AJ348" s="7637" t="n"/>
      <c r="AK348" s="2013" t="n"/>
      <c r="AM348" s="449" t="n"/>
      <c r="BL348" s="2027" t="n"/>
      <c r="BM348" s="2027" t="n"/>
    </row>
    <row r="349" ht="15" customHeight="1" s="7635" thickBot="1">
      <c r="A349" s="2013" t="n"/>
      <c r="B349" s="11602" t="n"/>
      <c r="C349" s="734" t="inlineStr">
        <is>
          <t>38</t>
        </is>
      </c>
      <c r="D349" s="2092" t="inlineStr">
        <is>
          <t>h</t>
        </is>
      </c>
      <c r="E349" s="8650" t="inlineStr">
        <is>
          <t>If you completed Part VI, enter the number from line 31.</t>
        </is>
      </c>
      <c r="F349" s="11602" t="n"/>
      <c r="G349" s="11602" t="n"/>
      <c r="H349" s="11602" t="n"/>
      <c r="I349" s="11602" t="n"/>
      <c r="J349" s="11602" t="n"/>
      <c r="K349" s="11602" t="n"/>
      <c r="L349" s="11602" t="n"/>
      <c r="M349" s="11602" t="n"/>
      <c r="N349" s="11602" t="n"/>
      <c r="O349" s="11602" t="n"/>
      <c r="P349" s="11602" t="n"/>
      <c r="Q349" s="11602" t="n"/>
      <c r="R349" s="11602" t="n"/>
      <c r="S349" s="11602" t="n"/>
      <c r="T349" s="11602" t="n"/>
      <c r="U349" s="11602" t="n"/>
      <c r="V349" s="11602" t="n"/>
      <c r="W349" s="6996" t="n"/>
      <c r="X349" s="6996" t="n"/>
      <c r="Y349" s="6996" t="n"/>
      <c r="Z349" s="6996" t="n"/>
      <c r="AA349" s="11602" t="n"/>
      <c r="AB349" s="2093" t="n"/>
      <c r="AC349" s="2094" t="n"/>
      <c r="AD349" s="2095" t="n"/>
      <c r="AE349" s="9792">
        <f>AE160</f>
        <v/>
      </c>
      <c r="AF349" s="7839" t="n"/>
      <c r="AG349" s="7839" t="n"/>
      <c r="AH349" s="7839" t="n"/>
      <c r="AI349" s="7839" t="n"/>
      <c r="AJ349" s="7839" t="n"/>
      <c r="AK349" s="2013" t="n"/>
      <c r="AM349" s="7914" t="n"/>
      <c r="AO349" s="2084">
        <f>AND(AE344&lt;&gt;0,AE344&lt;&gt;"")</f>
        <v/>
      </c>
      <c r="BL349" s="2027" t="n"/>
      <c r="BM349" s="2027" t="n"/>
    </row>
    <row r="350" ht="15" customHeight="1" s="7635" thickBot="1">
      <c r="A350" s="2013" t="n"/>
      <c r="B350" s="11602" t="n"/>
      <c r="C350" s="11602" t="n"/>
      <c r="D350" s="2092" t="inlineStr">
        <is>
          <t>h</t>
        </is>
      </c>
      <c r="E350" s="8650" t="inlineStr">
        <is>
          <t>All others, enter the number of days in your qualifying period that</t>
        </is>
      </c>
      <c r="F350" s="11602" t="n"/>
      <c r="G350" s="11602" t="n"/>
      <c r="H350" s="11602" t="n"/>
      <c r="I350" s="11602" t="n"/>
      <c r="J350" s="11602" t="n"/>
      <c r="K350" s="11602" t="n"/>
      <c r="L350" s="11602" t="n"/>
      <c r="M350" s="11602" t="n"/>
      <c r="N350" s="11602" t="n"/>
      <c r="O350" s="11602" t="n"/>
      <c r="P350" s="11602" t="n"/>
      <c r="Q350" s="11602" t="n"/>
      <c r="R350" s="11602" t="n"/>
      <c r="S350" s="11602" t="n"/>
      <c r="T350" s="11602" t="n"/>
      <c r="U350" s="2096" t="n"/>
      <c r="V350" s="9761" t="n">
        <v>38</v>
      </c>
      <c r="W350" s="7637" t="n"/>
      <c r="X350" s="7565">
        <f>IF(AO349,W336,IF(AM350&lt;&gt;"",AM350,DaysInTaxYear))</f>
        <v/>
      </c>
      <c r="Y350" s="7637" t="n"/>
      <c r="Z350" s="7637" t="n"/>
      <c r="AA350" s="9794" t="inlineStr">
        <is>
          <t>days</t>
        </is>
      </c>
      <c r="AB350" s="7637" t="n"/>
      <c r="AC350" s="2073" t="n"/>
      <c r="AD350" s="2074" t="n"/>
      <c r="AE350" s="11602" t="n"/>
      <c r="AF350" s="11602" t="n"/>
      <c r="AG350" s="11602" t="n"/>
      <c r="AH350" s="11602" t="n"/>
      <c r="AI350" s="11602" t="n"/>
      <c r="AJ350" s="11602" t="n"/>
      <c r="AK350" s="2013" t="n"/>
      <c r="AM350" s="1316" t="n"/>
      <c r="AN350" s="2014" t="inlineStr">
        <is>
          <t>No. of days of your</t>
        </is>
      </c>
      <c r="BL350" s="2027" t="n"/>
      <c r="BM350" s="2027" t="n"/>
    </row>
    <row r="351" ht="15" customHeight="1" s="7635">
      <c r="A351" s="2013" t="n"/>
      <c r="B351" s="11602" t="n"/>
      <c r="C351" s="11602" t="n"/>
      <c r="D351" s="11602" t="n"/>
      <c r="E351" s="8650">
        <f>"fall within your "&amp;TaxYear&amp;" tax year (see the instructions for line 31)."</f>
        <v/>
      </c>
      <c r="F351" s="11602" t="n"/>
      <c r="G351" s="11602" t="n"/>
      <c r="H351" s="11602" t="n"/>
      <c r="I351" s="11602" t="n"/>
      <c r="J351" s="11602" t="n"/>
      <c r="K351" s="11602" t="n"/>
      <c r="L351" s="11602" t="n"/>
      <c r="M351" s="11602" t="n"/>
      <c r="N351" s="11602" t="n"/>
      <c r="O351" s="11602" t="n"/>
      <c r="P351" s="11602" t="n"/>
      <c r="Q351" s="11602" t="n"/>
      <c r="R351" s="11602" t="n"/>
      <c r="S351" s="11602" t="n"/>
      <c r="T351" s="11602" t="n"/>
      <c r="U351" s="11602" t="n"/>
      <c r="V351" s="11602" t="n"/>
      <c r="W351" s="11602" t="n"/>
      <c r="X351" s="11602" t="n"/>
      <c r="Y351" s="11602" t="n"/>
      <c r="Z351" s="11602" t="n"/>
      <c r="AA351" s="11602" t="n"/>
      <c r="AB351" s="11602" t="n"/>
      <c r="AC351" s="408" t="n"/>
      <c r="AD351" s="409" t="n"/>
      <c r="AE351" s="11602" t="n"/>
      <c r="AF351" s="11602" t="n"/>
      <c r="AG351" s="11602" t="n"/>
      <c r="AH351" s="11602" t="n"/>
      <c r="AI351" s="11602" t="n"/>
      <c r="AJ351" s="11602" t="n"/>
      <c r="AK351" s="2013" t="n"/>
      <c r="AL351" s="2014" t="inlineStr">
        <is>
          <t>qualifying period that fall within your</t>
        </is>
      </c>
      <c r="BL351" s="2027" t="n"/>
      <c r="BM351" s="2027" t="n"/>
    </row>
    <row r="352" ht="15" customHeight="1" s="7635" thickBot="1">
      <c r="A352" s="2013" t="n"/>
      <c r="B352" s="11602" t="n"/>
      <c r="C352" s="734" t="inlineStr">
        <is>
          <t>39</t>
        </is>
      </c>
      <c r="D352" s="2092" t="inlineStr">
        <is>
          <t>h</t>
        </is>
      </c>
      <c r="E352" s="8650">
        <f>"If line 38 and number of days in your "&amp;TaxYear&amp;" tax year (usually "&amp;TEXT(DaysInTaxYear,"0")&amp;") are the same, enter “1.000.”"</f>
        <v/>
      </c>
      <c r="F352" s="11602" t="n"/>
      <c r="G352" s="11602" t="n"/>
      <c r="H352" s="11602" t="n"/>
      <c r="I352" s="11602" t="n"/>
      <c r="J352" s="11602" t="n"/>
      <c r="K352" s="11602" t="n"/>
      <c r="L352" s="11602" t="n"/>
      <c r="M352" s="11602" t="n"/>
      <c r="N352" s="11602" t="n"/>
      <c r="O352" s="11602" t="n"/>
      <c r="P352" s="11602" t="n"/>
      <c r="Q352" s="11602" t="n"/>
      <c r="R352" s="11602" t="n"/>
      <c r="S352" s="11602" t="n"/>
      <c r="T352" s="11602" t="n"/>
      <c r="U352" s="11602" t="n"/>
      <c r="V352" s="11602" t="n"/>
      <c r="W352" s="11602" t="n"/>
      <c r="X352" s="11602" t="n"/>
      <c r="Y352" s="11602" t="n"/>
      <c r="Z352" s="11602" t="n"/>
      <c r="AA352" s="11602" t="n"/>
      <c r="AB352" s="11602" t="n"/>
      <c r="AC352" s="408" t="n"/>
      <c r="AD352" s="409" t="n"/>
      <c r="AE352" s="11602" t="n"/>
      <c r="AF352" s="11602" t="n"/>
      <c r="AG352" s="11602" t="n"/>
      <c r="AH352" s="11602" t="n"/>
      <c r="AI352" s="11602" t="n"/>
      <c r="AJ352" s="11602" t="n"/>
      <c r="AK352" s="2013" t="n"/>
      <c r="AL352" s="2014">
        <f>TaxYear&amp;" tax year."</f>
        <v/>
      </c>
      <c r="BL352" s="2027" t="n"/>
      <c r="BM352" s="2027" t="n"/>
    </row>
    <row r="353" ht="15" customHeight="1" s="7635" thickBot="1">
      <c r="A353" s="2013" t="n"/>
      <c r="B353" s="11602" t="n"/>
      <c r="C353" s="11602" t="n"/>
      <c r="D353" s="2092" t="inlineStr">
        <is>
          <t>h</t>
        </is>
      </c>
      <c r="E353" s="8650">
        <f>"Otherwise, divide line 38 by the number of days in your "&amp;TaxYear&amp;" tax year and enter the result as"</f>
        <v/>
      </c>
      <c r="F353" s="11602" t="n"/>
      <c r="G353" s="11602" t="n"/>
      <c r="H353" s="11602" t="n"/>
      <c r="I353" s="11602" t="n"/>
      <c r="J353" s="11602" t="n"/>
      <c r="K353" s="11602" t="n"/>
      <c r="L353" s="11602" t="n"/>
      <c r="M353" s="11602" t="n"/>
      <c r="N353" s="11602" t="n"/>
      <c r="O353" s="11602" t="n"/>
      <c r="P353" s="11602" t="n"/>
      <c r="Q353" s="11602" t="n"/>
      <c r="R353" s="11602" t="n"/>
      <c r="S353" s="11602" t="n"/>
      <c r="T353" s="11602" t="n"/>
      <c r="U353" s="11602" t="n"/>
      <c r="V353" s="11602" t="n"/>
      <c r="W353" s="11602" t="n"/>
      <c r="X353" s="11602" t="n"/>
      <c r="Y353" s="11602" t="n"/>
      <c r="Z353" s="11602" t="n"/>
      <c r="AA353" s="11602" t="n"/>
      <c r="AB353" s="11602" t="n"/>
      <c r="AC353" s="5372" t="n">
        <v>39</v>
      </c>
      <c r="AD353" s="7638" t="n"/>
      <c r="AE353" s="2088" t="n"/>
      <c r="AF353" s="2088" t="n"/>
      <c r="AG353" s="2089" t="inlineStr">
        <is>
          <t>X</t>
        </is>
      </c>
      <c r="AH353" s="12449">
        <f>IF(AND(AM350="",AM353=""),1,IF(ISERROR(X350/AM353),"",ROUND(X350/AM353,3)))</f>
        <v/>
      </c>
      <c r="AI353" s="7637" t="n"/>
      <c r="AJ353" s="7637" t="n"/>
      <c r="AK353" s="2013" t="n"/>
      <c r="AM353" s="1316">
        <f>DaysInTaxYear</f>
        <v/>
      </c>
      <c r="AN353" s="2014">
        <f>"No. of days in your "</f>
        <v/>
      </c>
      <c r="BL353" s="2027" t="n"/>
      <c r="BM353" s="2027" t="n"/>
    </row>
    <row r="354" ht="15" customHeight="1" s="7635">
      <c r="A354" s="2013" t="n"/>
      <c r="B354" s="11602" t="n"/>
      <c r="C354" s="11602" t="n"/>
      <c r="D354" s="11602" t="n"/>
      <c r="E354" s="2046" t="inlineStr">
        <is>
          <t>a decimal (rounded to at least three places).</t>
        </is>
      </c>
      <c r="F354" s="11602" t="n"/>
      <c r="G354" s="11602" t="n"/>
      <c r="H354" s="11602" t="n"/>
      <c r="I354" s="11602" t="n"/>
      <c r="J354" s="11602" t="n"/>
      <c r="K354" s="11602" t="n"/>
      <c r="L354" s="11602" t="n"/>
      <c r="M354" s="11602" t="n"/>
      <c r="N354" s="11602" t="n"/>
      <c r="O354" s="11602" t="n"/>
      <c r="P354" s="11602" t="n"/>
      <c r="Q354" s="11602" t="n"/>
      <c r="R354" s="11602" t="n"/>
      <c r="S354" s="11602" t="n"/>
      <c r="T354" s="11602" t="n"/>
      <c r="U354" s="11602" t="n"/>
      <c r="V354" s="11602" t="n"/>
      <c r="W354" s="11602" t="n"/>
      <c r="X354" s="11602" t="n"/>
      <c r="Y354" s="11602" t="n"/>
      <c r="Z354" s="11602" t="n"/>
      <c r="AA354" s="11602" t="n"/>
      <c r="AB354" s="11602" t="n"/>
      <c r="AC354" s="2898" t="n"/>
      <c r="AD354" s="10091" t="n"/>
      <c r="AE354" s="8998" t="n"/>
      <c r="AF354" s="7839" t="n"/>
      <c r="AG354" s="9766" t="n"/>
      <c r="AH354" s="7839" t="n"/>
      <c r="AI354" s="9766" t="n"/>
      <c r="AJ354" s="7839" t="n"/>
      <c r="AK354" s="2013" t="n"/>
      <c r="AN354" s="2014">
        <f>TaxYear&amp;" tax year."</f>
        <v/>
      </c>
      <c r="BL354" s="2027" t="n"/>
      <c r="BM354" s="2027" t="n"/>
    </row>
    <row r="355" ht="15" customHeight="1" s="7635">
      <c r="A355" s="2013" t="n"/>
      <c r="B355" s="11602" t="n"/>
      <c r="C355" s="734" t="inlineStr">
        <is>
          <t>40</t>
        </is>
      </c>
      <c r="D355" s="8650" t="inlineStr">
        <is>
          <t>Multiply line 37 by line 39</t>
        </is>
      </c>
      <c r="E355" s="11602" t="n"/>
      <c r="F355" s="11602" t="n"/>
      <c r="G355" s="11602" t="n"/>
      <c r="H355" s="11602" t="n"/>
      <c r="I355" s="11602" t="n"/>
      <c r="J355" s="11602" t="n"/>
      <c r="K355" s="11602" t="n"/>
      <c r="L355" s="11602" t="n"/>
      <c r="M355" s="11602" t="n"/>
      <c r="N355" s="11602" t="n"/>
      <c r="O355" s="11602" t="n"/>
      <c r="P355" s="11602" t="n"/>
      <c r="Q355" s="11602" t="n"/>
      <c r="R355" s="11602" t="n"/>
      <c r="S355" s="11602" t="n"/>
      <c r="T355" s="11602" t="n"/>
      <c r="U355" s="11602" t="n"/>
      <c r="V355" s="11602" t="n"/>
      <c r="W355" s="11602" t="n"/>
      <c r="X355" s="11602" t="n"/>
      <c r="Y355" s="11602" t="n"/>
      <c r="Z355" s="11602" t="n"/>
      <c r="AA355" s="11602" t="n"/>
      <c r="AB355" s="2031" t="inlineStr">
        <is>
          <t xml:space="preserve">.   .   .   .   .   .   .   .   .   .   .   .   .   .   .   .   .   .   .   .   .   .   .   .   .   .   .   .   .   .   . </t>
        </is>
      </c>
      <c r="AC355" s="5372" t="n">
        <v>40</v>
      </c>
      <c r="AD355" s="7638" t="n"/>
      <c r="AE355" s="9758">
        <f>IF(OR(ForeignEarnedIncome2=0,AH353=""),"",ROUND(AE348*AH353,0))</f>
        <v/>
      </c>
      <c r="AF355" s="7637" t="n"/>
      <c r="AG355" s="7637" t="n"/>
      <c r="AH355" s="7637" t="n"/>
      <c r="AI355" s="7637" t="n"/>
      <c r="AJ355" s="7637" t="n"/>
      <c r="AK355" s="2013" t="n"/>
      <c r="BL355" s="2027" t="n"/>
      <c r="BM355" s="2027" t="n"/>
    </row>
    <row r="356" ht="15" customHeight="1" s="7635" thickBot="1">
      <c r="A356" s="2013" t="n"/>
      <c r="B356" s="11602" t="n"/>
      <c r="C356" s="734" t="inlineStr">
        <is>
          <t>41</t>
        </is>
      </c>
      <c r="D356" s="8650" t="inlineStr">
        <is>
          <t>Subtract line 36 from line 27</t>
        </is>
      </c>
      <c r="E356" s="11602" t="n"/>
      <c r="F356" s="11602" t="n"/>
      <c r="G356" s="11602" t="n"/>
      <c r="H356" s="11602" t="n"/>
      <c r="I356" s="11602" t="n"/>
      <c r="J356" s="11602" t="n"/>
      <c r="K356" s="11602" t="n"/>
      <c r="L356" s="11602" t="n"/>
      <c r="M356" s="11602" t="n"/>
      <c r="N356" s="11602" t="n"/>
      <c r="O356" s="11602" t="n"/>
      <c r="P356" s="11602" t="n"/>
      <c r="Q356" s="11602" t="n"/>
      <c r="R356" s="11602" t="n"/>
      <c r="S356" s="11602" t="n"/>
      <c r="T356" s="11602" t="n"/>
      <c r="U356" s="11602" t="n"/>
      <c r="V356" s="11602" t="n"/>
      <c r="W356" s="11602" t="n"/>
      <c r="X356" s="11602" t="n"/>
      <c r="Y356" s="11602" t="n"/>
      <c r="Z356" s="11602" t="n"/>
      <c r="AA356" s="11602" t="n"/>
      <c r="AB356" s="2031" t="inlineStr">
        <is>
          <t xml:space="preserve">.   .   .   .   .   .   .   .   .   .   .   .   .   .   .   .   .   .   .   .   .   .   .   .   .   .   .   .   .   . </t>
        </is>
      </c>
      <c r="AC356" s="5372" t="n">
        <v>41</v>
      </c>
      <c r="AD356" s="7638" t="n"/>
      <c r="AE356" s="9758">
        <f>IF(OR(ForeignEarnedIncome2=0,AH353=""),"",SUM(ForeignEarnedIncome2,-AE345))</f>
        <v/>
      </c>
      <c r="AF356" s="7637" t="n"/>
      <c r="AG356" s="7637" t="n"/>
      <c r="AH356" s="7637" t="n"/>
      <c r="AI356" s="7637" t="n"/>
      <c r="AJ356" s="7637" t="n"/>
      <c r="AK356" s="2013" t="n"/>
      <c r="AM356" s="7914" t="inlineStr">
        <is>
          <t>Override</t>
        </is>
      </c>
      <c r="BL356" s="2027" t="n"/>
      <c r="BM356" s="2027" t="n"/>
    </row>
    <row r="357" ht="15" customHeight="1" s="7635" thickBot="1">
      <c r="A357" s="2013" t="n"/>
      <c r="B357" s="11602" t="n"/>
      <c r="C357" s="734" t="inlineStr">
        <is>
          <t>42</t>
        </is>
      </c>
      <c r="D357" s="344" t="inlineStr">
        <is>
          <t>Foreign earned income exclusion. Enter the smaller of line 40 or line 41. Also, complete Part VIII</t>
        </is>
      </c>
      <c r="E357" s="11602" t="n"/>
      <c r="F357" s="11602" t="n"/>
      <c r="G357" s="11602" t="n"/>
      <c r="H357" s="11602" t="n"/>
      <c r="I357" s="11602" t="n"/>
      <c r="J357" s="11602" t="n"/>
      <c r="K357" s="11602" t="n"/>
      <c r="L357" s="11602" t="n"/>
      <c r="M357" s="11602" t="n"/>
      <c r="N357" s="11602" t="n"/>
      <c r="O357" s="11602" t="n"/>
      <c r="P357" s="11602" t="n"/>
      <c r="Q357" s="11602" t="n"/>
      <c r="R357" s="11602" t="n"/>
      <c r="S357" s="11602" t="n"/>
      <c r="T357" s="11602" t="n"/>
      <c r="U357" s="11602" t="n"/>
      <c r="V357" s="11602" t="n"/>
      <c r="W357" s="11602" t="n"/>
      <c r="X357" s="11602" t="n"/>
      <c r="Y357" s="11602" t="n"/>
      <c r="Z357" s="11602" t="n"/>
      <c r="AA357" s="11602" t="n"/>
      <c r="AB357" s="2031" t="inlineStr">
        <is>
          <t xml:space="preserve"> .   .   . </t>
        </is>
      </c>
      <c r="AC357" s="5890" t="n">
        <v>42</v>
      </c>
      <c r="AD357" s="7636" t="n"/>
      <c r="AE357" s="9776">
        <f>IF(AM357&lt;&gt;"",ROUND(AM357,0),IF(AH353="","",IF(AE356="",0,MIN(AE355,AE356))))</f>
        <v/>
      </c>
      <c r="AK357" s="2013" t="n"/>
      <c r="AM357" s="440" t="n"/>
      <c r="BL357" s="2027" t="n"/>
      <c r="BM357" s="2027" t="n"/>
    </row>
    <row r="358" ht="21.75" customHeight="1" s="7635">
      <c r="A358" s="2013" t="n"/>
      <c r="B358" s="2097" t="inlineStr">
        <is>
          <t>Part VIII</t>
        </is>
      </c>
      <c r="C358" s="2098" t="n"/>
      <c r="D358" s="2090" t="inlineStr">
        <is>
          <t>Taxpayers Claiming the Housing Exclusion, Foreign Earned Income Exclusion, or Both</t>
        </is>
      </c>
      <c r="E358" s="2091" t="n"/>
      <c r="F358" s="2091" t="n"/>
      <c r="G358" s="2091" t="n"/>
      <c r="H358" s="2091" t="n"/>
      <c r="I358" s="2091" t="n"/>
      <c r="J358" s="2091" t="n"/>
      <c r="K358" s="2091" t="n"/>
      <c r="L358" s="2091" t="n"/>
      <c r="M358" s="2091" t="n"/>
      <c r="N358" s="2091" t="n"/>
      <c r="O358" s="2091" t="n"/>
      <c r="P358" s="2091" t="n"/>
      <c r="Q358" s="2091" t="n"/>
      <c r="R358" s="2091" t="n"/>
      <c r="S358" s="2091" t="n"/>
      <c r="T358" s="2091" t="n"/>
      <c r="U358" s="2091" t="n"/>
      <c r="V358" s="2091" t="n"/>
      <c r="W358" s="2091" t="n"/>
      <c r="X358" s="2091" t="n"/>
      <c r="Y358" s="2091" t="n"/>
      <c r="Z358" s="2091" t="n"/>
      <c r="AA358" s="2091" t="n"/>
      <c r="AB358" s="2091" t="n"/>
      <c r="AC358" s="2091" t="n"/>
      <c r="AD358" s="2091" t="n"/>
      <c r="AE358" s="2091" t="n"/>
      <c r="AF358" s="2091" t="n"/>
      <c r="AG358" s="2091" t="n"/>
      <c r="AH358" s="2091" t="n"/>
      <c r="AI358" s="2091" t="n"/>
      <c r="AJ358" s="2091" t="n"/>
      <c r="AK358" s="2013" t="n"/>
    </row>
    <row r="359" ht="15" customHeight="1" s="7635">
      <c r="A359" s="2013" t="n"/>
      <c r="B359" s="11602" t="n"/>
      <c r="C359" s="734" t="inlineStr">
        <is>
          <t>43</t>
        </is>
      </c>
      <c r="D359" s="8650" t="inlineStr">
        <is>
          <t>Add lines 36 and 42</t>
        </is>
      </c>
      <c r="E359" s="11602" t="n"/>
      <c r="F359" s="11602" t="n"/>
      <c r="G359" s="11602" t="n"/>
      <c r="H359" s="11602" t="n"/>
      <c r="I359" s="11602" t="n"/>
      <c r="J359" s="11602" t="n"/>
      <c r="K359" s="11602" t="n"/>
      <c r="L359" s="11602" t="n"/>
      <c r="M359" s="11602" t="n"/>
      <c r="N359" s="11602" t="n"/>
      <c r="O359" s="11602" t="n"/>
      <c r="P359" s="11602" t="n"/>
      <c r="Q359" s="11602" t="n"/>
      <c r="R359" s="11602" t="n"/>
      <c r="S359" s="11602" t="n"/>
      <c r="T359" s="11602" t="n"/>
      <c r="U359" s="11602" t="n"/>
      <c r="V359" s="11602" t="n"/>
      <c r="W359" s="11602" t="n"/>
      <c r="X359" s="11602" t="n"/>
      <c r="Y359" s="11602" t="n"/>
      <c r="Z359" s="11602" t="n"/>
      <c r="AA359" s="11602" t="n"/>
      <c r="AB359" s="2031" t="inlineStr">
        <is>
          <t xml:space="preserve">.   .   .   .   .   .   .   .   .   .   .   .   .   .   .   .   .   .   .   .   .   .   .   .   .   .   .   .   .   .   .   .   . </t>
        </is>
      </c>
      <c r="AC359" s="5372" t="n">
        <v>43</v>
      </c>
      <c r="AD359" s="7638" t="n"/>
      <c r="AE359" s="9758">
        <f>SUM(AO344,AE357)</f>
        <v/>
      </c>
      <c r="AF359" s="7637" t="n"/>
      <c r="AG359" s="7637" t="n"/>
      <c r="AH359" s="7637" t="n"/>
      <c r="AI359" s="7637" t="n"/>
      <c r="AJ359" s="7637" t="n"/>
      <c r="AK359" s="2013" t="n"/>
      <c r="AO359" s="2083">
        <f>IF(AE359="",0,AE359)</f>
        <v/>
      </c>
      <c r="BL359" s="2027" t="n"/>
      <c r="BM359" s="2027" t="n"/>
    </row>
    <row r="360" ht="15" customHeight="1" s="7635">
      <c r="A360" s="2013" t="n"/>
      <c r="B360" s="11602" t="n"/>
      <c r="C360" s="734" t="inlineStr">
        <is>
          <t>44</t>
        </is>
      </c>
      <c r="D360" s="8650" t="inlineStr">
        <is>
          <t>Deductions allowed in figuring your adjusted gross income (Form 1040 or 1040-SR, line 11) that</t>
        </is>
      </c>
      <c r="E360" s="11602" t="n"/>
      <c r="F360" s="11602" t="n"/>
      <c r="G360" s="11602" t="n"/>
      <c r="H360" s="11602" t="n"/>
      <c r="I360" s="11602" t="n"/>
      <c r="J360" s="11602" t="n"/>
      <c r="K360" s="11602" t="n"/>
      <c r="L360" s="11602" t="n"/>
      <c r="M360" s="11602" t="n"/>
      <c r="N360" s="11602" t="n"/>
      <c r="O360" s="11602" t="n"/>
      <c r="P360" s="11602" t="n"/>
      <c r="Q360" s="11602" t="n"/>
      <c r="R360" s="11602" t="n"/>
      <c r="S360" s="11602" t="n"/>
      <c r="T360" s="11602" t="n"/>
      <c r="U360" s="11602" t="n"/>
      <c r="V360" s="11602" t="n"/>
      <c r="W360" s="11602" t="n"/>
      <c r="X360" s="11602" t="n"/>
      <c r="Y360" s="11602" t="n"/>
      <c r="Z360" s="11602" t="n"/>
      <c r="AA360" s="11602" t="n"/>
      <c r="AB360" s="11602" t="n"/>
      <c r="AC360" s="2898" t="n"/>
      <c r="AD360" s="10091" t="n"/>
      <c r="AE360" s="8998" t="n"/>
      <c r="AF360" s="7839" t="n"/>
      <c r="AG360" s="9766" t="n"/>
      <c r="AH360" s="7839" t="n"/>
      <c r="AI360" s="9766" t="n"/>
      <c r="AJ360" s="7839" t="n"/>
      <c r="AK360" s="2013" t="n"/>
      <c r="AM360" s="9783">
        <f>IF(F2555_Line45_2&gt;FEI_Exclusion_Limit,"IMPORTANT NOTE: For "&amp;TaxYear&amp;", the FEI exclusion is limited to "&amp;TEXT(FEI_Exclusion_Limit,"$0,000")&amp;".","")</f>
        <v/>
      </c>
      <c r="BL360" s="2027" t="n"/>
      <c r="BM360" s="2027" t="n"/>
    </row>
    <row r="361" ht="15" customHeight="1" s="7635">
      <c r="A361" s="2013" t="n"/>
      <c r="B361" s="11602" t="n"/>
      <c r="C361" s="11602" t="n"/>
      <c r="D361" s="8650" t="inlineStr">
        <is>
          <t>are allocable to the excluded income. See instructions and attach computation</t>
        </is>
      </c>
      <c r="E361" s="11602" t="n"/>
      <c r="F361" s="11602" t="n"/>
      <c r="G361" s="11602" t="n"/>
      <c r="H361" s="11602" t="n"/>
      <c r="I361" s="11602" t="n"/>
      <c r="J361" s="11602" t="n"/>
      <c r="K361" s="11602" t="n"/>
      <c r="L361" s="11602" t="n"/>
      <c r="M361" s="11602" t="n"/>
      <c r="N361" s="11602" t="n"/>
      <c r="O361" s="11602" t="n"/>
      <c r="P361" s="11602" t="n"/>
      <c r="Q361" s="11602" t="n"/>
      <c r="R361" s="11602" t="n"/>
      <c r="S361" s="11602" t="n"/>
      <c r="T361" s="11602" t="n"/>
      <c r="U361" s="11602" t="n"/>
      <c r="V361" s="11602" t="n"/>
      <c r="W361" s="11602" t="n"/>
      <c r="X361" s="11602" t="n"/>
      <c r="Y361" s="11602" t="n"/>
      <c r="Z361" s="11602" t="n"/>
      <c r="AA361" s="11602" t="n"/>
      <c r="AB361" s="2031" t="inlineStr">
        <is>
          <t xml:space="preserve">.   .   .   .   .   .   .   .   . </t>
        </is>
      </c>
      <c r="AC361" s="5372" t="n">
        <v>44</v>
      </c>
      <c r="AD361" s="7638" t="n"/>
      <c r="AE361" s="9763" t="n"/>
      <c r="AF361" s="11717" t="n"/>
      <c r="AG361" s="11717" t="n"/>
      <c r="AH361" s="11717" t="n"/>
      <c r="AI361" s="11717" t="n"/>
      <c r="AJ361" s="11717" t="n"/>
      <c r="AK361" s="2013" t="n"/>
      <c r="BL361" s="2027" t="n"/>
      <c r="BM361" s="2027" t="n"/>
    </row>
    <row r="362" ht="15" customHeight="1" s="7635">
      <c r="A362" s="2013" t="n"/>
      <c r="B362" s="11602" t="n"/>
      <c r="C362" s="734" t="inlineStr">
        <is>
          <t>45</t>
        </is>
      </c>
      <c r="D362" s="8650" t="inlineStr">
        <is>
          <t>Subtract line 44 from line 43. Enter the result here and in parentheses on Schedule 1 (Form 1040),</t>
        </is>
      </c>
      <c r="E362" s="11602" t="n"/>
      <c r="F362" s="11602" t="n"/>
      <c r="G362" s="11602" t="n"/>
      <c r="H362" s="11602" t="n"/>
      <c r="I362" s="11602" t="n"/>
      <c r="J362" s="11602" t="n"/>
      <c r="K362" s="11602" t="n"/>
      <c r="L362" s="11602" t="n"/>
      <c r="M362" s="11602" t="n"/>
      <c r="N362" s="11602" t="n"/>
      <c r="O362" s="11602" t="n"/>
      <c r="P362" s="11602" t="n"/>
      <c r="Q362" s="11602" t="n"/>
      <c r="R362" s="11602" t="n"/>
      <c r="S362" s="11602" t="n"/>
      <c r="T362" s="11602" t="n"/>
      <c r="U362" s="11602" t="n"/>
      <c r="V362" s="11602" t="n"/>
      <c r="W362" s="11602" t="n"/>
      <c r="X362" s="11602" t="n"/>
      <c r="Y362" s="11602" t="n"/>
      <c r="Z362" s="11602" t="n"/>
      <c r="AA362" s="11602" t="n"/>
      <c r="AB362" s="11602" t="n"/>
      <c r="AC362" s="2898" t="n"/>
      <c r="AD362" s="10091" t="n"/>
      <c r="AE362" s="12451">
        <f>IF(AO193,$AE$170,0)</f>
        <v/>
      </c>
      <c r="AF362" s="7839" t="n"/>
      <c r="AG362" s="7839" t="n"/>
      <c r="AH362" s="7839" t="n"/>
      <c r="AI362" s="7839" t="n"/>
      <c r="AJ362" s="7839" t="n"/>
      <c r="AK362" s="2013" t="n"/>
      <c r="BL362" s="2027" t="n"/>
      <c r="BM362" s="2027" t="n"/>
    </row>
    <row r="363" ht="15" customHeight="1" s="7635" thickBot="1">
      <c r="A363" s="2013" t="n"/>
      <c r="B363" s="11602" t="n"/>
      <c r="C363" s="11602" t="n"/>
      <c r="D363" s="8650" t="inlineStr">
        <is>
          <t>line 8d. Complete the Foreign Earned Income Tax Worksheet in the Instructions for Form 1040 if</t>
        </is>
      </c>
      <c r="E363" s="11602" t="n"/>
      <c r="F363" s="11602" t="n"/>
      <c r="G363" s="11602" t="n"/>
      <c r="H363" s="11602" t="n"/>
      <c r="I363" s="11602" t="n"/>
      <c r="J363" s="11602" t="n"/>
      <c r="K363" s="11602" t="n"/>
      <c r="L363" s="11602" t="n"/>
      <c r="M363" s="11602" t="n"/>
      <c r="N363" s="11602" t="n"/>
      <c r="O363" s="11602" t="n"/>
      <c r="P363" s="11602" t="n"/>
      <c r="Q363" s="11602" t="n"/>
      <c r="R363" s="11602" t="n"/>
      <c r="S363" s="11602" t="n"/>
      <c r="T363" s="11602" t="n"/>
      <c r="U363" s="11602" t="n"/>
      <c r="V363" s="11602" t="n"/>
      <c r="W363" s="11602" t="n"/>
      <c r="X363" s="11602" t="n"/>
      <c r="Y363" s="11602" t="n"/>
      <c r="Z363" s="11602" t="n"/>
      <c r="AA363" s="11602" t="n"/>
      <c r="AB363" s="11602" t="n"/>
      <c r="AC363" s="2921" t="n"/>
      <c r="AD363" s="7636" t="n"/>
      <c r="AE363" s="12452">
        <f>IF(AND(NOT(AO193),AO194),$AE$170,0)</f>
        <v/>
      </c>
      <c r="AK363" s="2013" t="n"/>
      <c r="AM363" s="7914" t="inlineStr">
        <is>
          <t>Override</t>
        </is>
      </c>
      <c r="BL363" s="2027" t="n"/>
      <c r="BM363" s="2027" t="n"/>
    </row>
    <row r="364" ht="15" customHeight="1" s="7635" thickBot="1">
      <c r="A364" s="2013" t="n"/>
      <c r="B364" s="11602" t="n"/>
      <c r="C364" s="11602" t="n"/>
      <c r="D364" s="8650" t="inlineStr">
        <is>
          <t>you enter an amount on this line</t>
        </is>
      </c>
      <c r="E364" s="11602" t="n"/>
      <c r="F364" s="11602" t="n"/>
      <c r="G364" s="11602" t="n"/>
      <c r="H364" s="11602" t="n"/>
      <c r="I364" s="11602" t="n"/>
      <c r="J364" s="11602" t="n"/>
      <c r="K364" s="11602" t="n"/>
      <c r="L364" s="11602" t="n"/>
      <c r="M364" s="11602" t="n"/>
      <c r="N364" s="11602" t="n"/>
      <c r="O364" s="11602" t="n"/>
      <c r="P364" s="11602" t="n"/>
      <c r="Q364" s="11602" t="n"/>
      <c r="R364" s="11602" t="n"/>
      <c r="S364" s="11602" t="n"/>
      <c r="T364" s="11602" t="n"/>
      <c r="U364" s="11602" t="n"/>
      <c r="V364" s="11602" t="n"/>
      <c r="W364" s="11602" t="n"/>
      <c r="X364" s="11602" t="n"/>
      <c r="Y364" s="11602" t="n"/>
      <c r="Z364" s="11602" t="n"/>
      <c r="AA364" s="11602" t="n"/>
      <c r="AB364" s="2031" t="inlineStr">
        <is>
          <t xml:space="preserve">.   .   .   .   .   .   .   .   .   .   .   .   .   .   .   .   .   .   .   .   .   .   .   .   .   .   .   . </t>
        </is>
      </c>
      <c r="AC364" s="5372" t="n">
        <v>45</v>
      </c>
      <c r="AD364" s="7638" t="n"/>
      <c r="AE364" s="9758">
        <f>IF(AM364&lt;&gt;"",ROUND(AM364,0),IF(AE359=0,0,SUM(AE359,-AE361)))</f>
        <v/>
      </c>
      <c r="AF364" s="7637" t="n"/>
      <c r="AG364" s="7637" t="n"/>
      <c r="AH364" s="7637" t="n"/>
      <c r="AI364" s="7637" t="n"/>
      <c r="AJ364" s="7637" t="n"/>
      <c r="AK364" s="2013" t="n"/>
      <c r="AM364" s="449" t="n"/>
      <c r="AO364" s="2083">
        <f t="array" ref="AO364">IF(F2555_Line45_2="",0,F2555_Line45)</f>
        <v/>
      </c>
      <c r="BL364" s="2027" t="n"/>
      <c r="BM364" s="2027" t="n"/>
    </row>
    <row r="365" ht="7.5" customHeight="1" s="7635">
      <c r="A365" s="2013" t="n"/>
      <c r="B365" s="2036" t="n"/>
      <c r="C365" s="2036" t="n"/>
      <c r="D365" s="12453" t="inlineStr">
        <is>
          <t>Taxpayers Claiming the Housing Deduction—Complete this part only if (a) line 33 is more than line 36, and
(b) line 27 is more than line 43.</t>
        </is>
      </c>
      <c r="E365" s="7839" t="n"/>
      <c r="F365" s="7839" t="n"/>
      <c r="G365" s="7839" t="n"/>
      <c r="H365" s="7839" t="n"/>
      <c r="I365" s="7839" t="n"/>
      <c r="J365" s="7839" t="n"/>
      <c r="K365" s="7839" t="n"/>
      <c r="L365" s="7839" t="n"/>
      <c r="M365" s="7839" t="n"/>
      <c r="N365" s="7839" t="n"/>
      <c r="O365" s="7839" t="n"/>
      <c r="P365" s="7839" t="n"/>
      <c r="Q365" s="7839" t="n"/>
      <c r="R365" s="7839" t="n"/>
      <c r="S365" s="7839" t="n"/>
      <c r="T365" s="7839" t="n"/>
      <c r="U365" s="7839" t="n"/>
      <c r="V365" s="7839" t="n"/>
      <c r="W365" s="7839" t="n"/>
      <c r="X365" s="7839" t="n"/>
      <c r="Y365" s="7839" t="n"/>
      <c r="Z365" s="7839" t="n"/>
      <c r="AA365" s="7839" t="n"/>
      <c r="AB365" s="7839" t="n"/>
      <c r="AC365" s="7839" t="n"/>
      <c r="AD365" s="7839" t="n"/>
      <c r="AE365" s="7839" t="n"/>
      <c r="AF365" s="7839" t="n"/>
      <c r="AG365" s="7839" t="n"/>
      <c r="AH365" s="7839" t="n"/>
      <c r="AI365" s="7839" t="n"/>
      <c r="AJ365" s="7839" t="n"/>
      <c r="AK365" s="2013" t="n"/>
    </row>
    <row r="366" ht="15" customHeight="1" s="7635">
      <c r="A366" s="2013" t="n"/>
      <c r="B366" s="9775" t="inlineStr">
        <is>
          <t>Part IX</t>
        </is>
      </c>
      <c r="C366" s="8412" t="n"/>
      <c r="AK366" s="2013" t="n"/>
      <c r="AM366" s="2099">
        <f>AND(AO339&gt;AO344,ForeignEarnedIncome2&gt;AO359)</f>
        <v/>
      </c>
    </row>
    <row r="367" ht="7.5" customHeight="1" s="7635">
      <c r="A367" s="2013" t="n"/>
      <c r="B367" s="1999" t="n"/>
      <c r="C367" s="1999" t="n"/>
      <c r="D367" s="7637" t="n"/>
      <c r="E367" s="7637" t="n"/>
      <c r="F367" s="7637" t="n"/>
      <c r="G367" s="7637" t="n"/>
      <c r="H367" s="7637" t="n"/>
      <c r="I367" s="7637" t="n"/>
      <c r="J367" s="7637" t="n"/>
      <c r="K367" s="7637" t="n"/>
      <c r="L367" s="7637" t="n"/>
      <c r="M367" s="7637" t="n"/>
      <c r="N367" s="7637" t="n"/>
      <c r="O367" s="7637" t="n"/>
      <c r="P367" s="7637" t="n"/>
      <c r="Q367" s="7637" t="n"/>
      <c r="R367" s="7637" t="n"/>
      <c r="S367" s="7637" t="n"/>
      <c r="T367" s="7637" t="n"/>
      <c r="U367" s="7637" t="n"/>
      <c r="V367" s="7637" t="n"/>
      <c r="W367" s="7637" t="n"/>
      <c r="X367" s="7637" t="n"/>
      <c r="Y367" s="7637" t="n"/>
      <c r="Z367" s="7637" t="n"/>
      <c r="AA367" s="7637" t="n"/>
      <c r="AB367" s="7637" t="n"/>
      <c r="AC367" s="7637" t="n"/>
      <c r="AD367" s="7637" t="n"/>
      <c r="AE367" s="7637" t="n"/>
      <c r="AF367" s="7637" t="n"/>
      <c r="AG367" s="7637" t="n"/>
      <c r="AH367" s="7637" t="n"/>
      <c r="AI367" s="7637" t="n"/>
      <c r="AJ367" s="7637" t="n"/>
      <c r="AK367" s="2013" t="n"/>
    </row>
    <row r="368" ht="15" customHeight="1" s="7635">
      <c r="A368" s="2013" t="n"/>
      <c r="B368" s="11602" t="n"/>
      <c r="C368" s="734" t="inlineStr">
        <is>
          <t>46</t>
        </is>
      </c>
      <c r="D368" s="8650" t="inlineStr">
        <is>
          <t>Subtract line 36 from line 33</t>
        </is>
      </c>
      <c r="E368" s="11602" t="n"/>
      <c r="F368" s="11602" t="n"/>
      <c r="G368" s="11602" t="n"/>
      <c r="H368" s="11602" t="n"/>
      <c r="I368" s="11602" t="n"/>
      <c r="J368" s="11602" t="n"/>
      <c r="K368" s="11602" t="n"/>
      <c r="L368" s="11602" t="n"/>
      <c r="M368" s="11602" t="n"/>
      <c r="N368" s="11602" t="n"/>
      <c r="O368" s="11602" t="n"/>
      <c r="P368" s="11602" t="n"/>
      <c r="Q368" s="11602" t="n"/>
      <c r="R368" s="11602" t="n"/>
      <c r="S368" s="11602" t="n"/>
      <c r="T368" s="11602" t="n"/>
      <c r="U368" s="11602" t="n"/>
      <c r="V368" s="11602" t="n"/>
      <c r="W368" s="11602" t="n"/>
      <c r="X368" s="11602" t="n"/>
      <c r="Y368" s="11602" t="n"/>
      <c r="Z368" s="11602" t="n"/>
      <c r="AA368" s="11602" t="n"/>
      <c r="AB368" s="2031" t="inlineStr">
        <is>
          <t xml:space="preserve">.   .   .   .   .   .   .   .   .   .   .   .   .   .   .   .   .   .   .   .   .   .   .   .   .   .   .   .   .   .   .   .   . </t>
        </is>
      </c>
      <c r="AC368" s="5372" t="n">
        <v>46</v>
      </c>
      <c r="AD368" s="7638" t="n"/>
      <c r="AE368" s="9758">
        <f>IF(OR(AM339,NOT(AM366)),"",SUM(AO339,-AO344))</f>
        <v/>
      </c>
      <c r="AF368" s="7637" t="n"/>
      <c r="AG368" s="7637" t="n"/>
      <c r="AH368" s="7637" t="n"/>
      <c r="AI368" s="7637" t="n"/>
      <c r="AJ368" s="7637" t="n"/>
      <c r="AK368" s="2013" t="n"/>
      <c r="AM368" s="2014">
        <f>IF(F2555_Line45_2&gt;FEI_Exclusion_Limit,"For "&amp;TaxYear&amp;", the maximum","")</f>
        <v/>
      </c>
      <c r="BL368" s="2027" t="n"/>
      <c r="BM368" s="2027" t="n"/>
    </row>
    <row r="369" ht="15" customHeight="1" s="7635">
      <c r="A369" s="2013" t="n"/>
      <c r="B369" s="11602" t="n"/>
      <c r="C369" s="734" t="inlineStr">
        <is>
          <t>47</t>
        </is>
      </c>
      <c r="D369" s="8650" t="inlineStr">
        <is>
          <t>Subtract line 43 from line 27</t>
        </is>
      </c>
      <c r="E369" s="11602" t="n"/>
      <c r="F369" s="11602" t="n"/>
      <c r="G369" s="11602" t="n"/>
      <c r="H369" s="11602" t="n"/>
      <c r="I369" s="11602" t="n"/>
      <c r="J369" s="11602" t="n"/>
      <c r="K369" s="11602" t="n"/>
      <c r="L369" s="11602" t="n"/>
      <c r="M369" s="11602" t="n"/>
      <c r="N369" s="11602" t="n"/>
      <c r="O369" s="11602" t="n"/>
      <c r="P369" s="11602" t="n"/>
      <c r="Q369" s="11602" t="n"/>
      <c r="R369" s="11602" t="n"/>
      <c r="S369" s="11602" t="n"/>
      <c r="T369" s="11602" t="n"/>
      <c r="U369" s="11602" t="n"/>
      <c r="V369" s="11602" t="n"/>
      <c r="W369" s="11602" t="n"/>
      <c r="X369" s="11602" t="n"/>
      <c r="Y369" s="11602" t="n"/>
      <c r="Z369" s="11602" t="n"/>
      <c r="AA369" s="11602" t="n"/>
      <c r="AB369" s="2031" t="inlineStr">
        <is>
          <t xml:space="preserve">.   .   .   .   .   .   .   .   .   .   .   .   .   .   .   .   .   .   .   .   .   .   .   .   .   .   .   .   .   .   .   .   . </t>
        </is>
      </c>
      <c r="AC369" s="5372" t="n">
        <v>47</v>
      </c>
      <c r="AD369" s="7638" t="n"/>
      <c r="AE369" s="9758">
        <f>IF(OR(AM339,NOT(AM366)),"",SUM(ForeignEarnedIncome2,-AE359))</f>
        <v/>
      </c>
      <c r="AF369" s="7637" t="n"/>
      <c r="AG369" s="7637" t="n"/>
      <c r="AH369" s="7637" t="n"/>
      <c r="AI369" s="7637" t="n"/>
      <c r="AJ369" s="7637" t="n"/>
      <c r="AK369" s="2013" t="n"/>
      <c r="BL369" s="2027" t="n"/>
      <c r="BM369" s="2027" t="n"/>
    </row>
    <row r="370" ht="15" customHeight="1" s="7635">
      <c r="A370" s="2013" t="n"/>
      <c r="B370" s="11602" t="n"/>
      <c r="C370" s="734" t="inlineStr">
        <is>
          <t>48</t>
        </is>
      </c>
      <c r="D370" s="8650" t="inlineStr">
        <is>
          <t>Enter the smaller of line 46 or line 47</t>
        </is>
      </c>
      <c r="E370" s="11602" t="n"/>
      <c r="F370" s="11602" t="n"/>
      <c r="G370" s="11602" t="n"/>
      <c r="H370" s="11602" t="n"/>
      <c r="I370" s="11602" t="n"/>
      <c r="J370" s="11602" t="n"/>
      <c r="K370" s="11602" t="n"/>
      <c r="L370" s="11602" t="n"/>
      <c r="M370" s="11602" t="n"/>
      <c r="N370" s="11602" t="n"/>
      <c r="O370" s="11602" t="n"/>
      <c r="P370" s="11602" t="n"/>
      <c r="Q370" s="11602" t="n"/>
      <c r="R370" s="11602" t="n"/>
      <c r="S370" s="11602" t="n"/>
      <c r="T370" s="11602" t="n"/>
      <c r="U370" s="11602" t="n"/>
      <c r="V370" s="11602" t="n"/>
      <c r="W370" s="11602" t="n"/>
      <c r="X370" s="11602" t="n"/>
      <c r="Y370" s="11602" t="n"/>
      <c r="Z370" s="11602" t="n"/>
      <c r="AA370" s="11602" t="n"/>
      <c r="AB370" s="2031" t="inlineStr">
        <is>
          <t xml:space="preserve">.   .   .   .   .   .   .   .   .   .   .   .   .   .   .   .   .   .   .   .   .   .   .   .   .   .   .   . </t>
        </is>
      </c>
      <c r="AC370" s="5372" t="n">
        <v>48</v>
      </c>
      <c r="AD370" s="7638" t="n"/>
      <c r="AE370" s="9758">
        <f>IF(OR(AM339,NOT(AM366)),"",MIN(AE368,AE369))</f>
        <v/>
      </c>
      <c r="AF370" s="7637" t="n"/>
      <c r="AG370" s="7637" t="n"/>
      <c r="AH370" s="7637" t="n"/>
      <c r="AI370" s="7637" t="n"/>
      <c r="AJ370" s="7637" t="n"/>
      <c r="AK370" s="2013" t="n"/>
      <c r="BL370" s="2027" t="n"/>
      <c r="BM370" s="2027" t="n"/>
    </row>
    <row r="371" ht="15" customHeight="1" s="7635">
      <c r="A371" s="2013" t="n"/>
      <c r="B371" s="11602" t="n"/>
      <c r="C371" s="11602" t="n"/>
      <c r="D371" s="8650" t="inlineStr">
        <is>
          <t xml:space="preserve">Note:  If line 47 is more than line 48 and you couldn't  deduct </t>
        </is>
      </c>
      <c r="E371" s="11602" t="n"/>
      <c r="F371" s="9238" t="n"/>
      <c r="G371" s="11602" t="n"/>
      <c r="H371" s="11602" t="n"/>
      <c r="I371" s="11602" t="n"/>
      <c r="J371" s="11602" t="n"/>
      <c r="K371" s="11602" t="n"/>
      <c r="L371" s="11602" t="n"/>
      <c r="M371" s="11602" t="n"/>
      <c r="N371" s="11602" t="n"/>
      <c r="O371" s="11602" t="n"/>
      <c r="P371" s="11602" t="n"/>
      <c r="Q371" s="11602" t="n"/>
      <c r="R371" s="11602" t="n"/>
      <c r="S371" s="2100" t="n"/>
      <c r="T371" s="2100">
        <f>"all of your "&amp;TaxYear-1&amp;" housing deduction "</f>
        <v/>
      </c>
      <c r="U371" s="11602" t="n"/>
      <c r="V371" s="11602" t="n"/>
      <c r="W371" s="11602" t="n"/>
      <c r="X371" s="11602" t="n"/>
      <c r="Y371" s="11602" t="n"/>
      <c r="Z371" s="11602" t="n"/>
      <c r="AA371" s="11602" t="n"/>
      <c r="AB371" s="9892" t="n"/>
      <c r="AC371" s="12448" t="n"/>
      <c r="AD371" s="10091" t="n"/>
      <c r="AE371" s="8998" t="n"/>
      <c r="AF371" s="7839" t="n"/>
      <c r="AG371" s="9766" t="n"/>
      <c r="AH371" s="7839" t="n"/>
      <c r="AI371" s="9766" t="n"/>
      <c r="AJ371" s="7839" t="n"/>
      <c r="AK371" s="2013" t="n"/>
      <c r="BL371" s="2027" t="n"/>
      <c r="BM371" s="2027" t="n"/>
    </row>
    <row r="372" ht="15" customHeight="1" s="7635">
      <c r="A372" s="2013" t="n"/>
      <c r="B372" s="11602" t="n"/>
      <c r="C372" s="11602" t="n"/>
      <c r="D372" s="8650">
        <f>"because of the "&amp;TaxYear-1&amp;" limit, use the Housing Deduction Carryover Worksheet in the instructions to"</f>
        <v/>
      </c>
      <c r="E372" s="11602" t="n"/>
      <c r="F372" s="11602" t="n"/>
      <c r="G372" s="11602" t="n"/>
      <c r="H372" s="11602" t="n"/>
      <c r="I372" s="11602" t="n"/>
      <c r="J372" s="11602" t="n"/>
      <c r="K372" s="11602" t="n"/>
      <c r="L372" s="11602" t="n"/>
      <c r="M372" s="11602" t="n"/>
      <c r="N372" s="11602" t="n"/>
      <c r="O372" s="11602" t="n"/>
      <c r="P372" s="11602" t="n"/>
      <c r="Q372" s="11602" t="n"/>
      <c r="R372" s="11602" t="n"/>
      <c r="S372" s="11602" t="n"/>
      <c r="T372" s="11602" t="n"/>
      <c r="U372" s="11602" t="n"/>
      <c r="V372" s="11602" t="n"/>
      <c r="W372" s="11602" t="n"/>
      <c r="X372" s="11602" t="n"/>
      <c r="Y372" s="11602" t="n"/>
      <c r="Z372" s="11602" t="n"/>
      <c r="AA372" s="11602" t="n"/>
      <c r="AB372" s="11602" t="n"/>
      <c r="AC372" s="12454" t="n"/>
      <c r="AD372" s="7636" t="n"/>
      <c r="AE372" s="8977" t="n"/>
      <c r="AG372" s="7914" t="n"/>
      <c r="AI372" s="7914" t="n"/>
      <c r="AK372" s="2013" t="n"/>
      <c r="BL372" s="2027" t="n"/>
      <c r="BM372" s="2027" t="n"/>
    </row>
    <row r="373" ht="15" customHeight="1" s="7635">
      <c r="A373" s="2013" t="n"/>
      <c r="B373" s="11602" t="n"/>
      <c r="C373" s="11602" t="n"/>
      <c r="D373" s="8650" t="inlineStr">
        <is>
          <t>figure the amount to enter on line 49. Otherwise, go to line 50.</t>
        </is>
      </c>
      <c r="E373" s="11602" t="n"/>
      <c r="F373" s="11602" t="n"/>
      <c r="G373" s="11602" t="n"/>
      <c r="H373" s="11602" t="n"/>
      <c r="I373" s="11602" t="n"/>
      <c r="J373" s="11602" t="n"/>
      <c r="K373" s="11602" t="n"/>
      <c r="L373" s="11602" t="n"/>
      <c r="M373" s="11602" t="n"/>
      <c r="N373" s="11602" t="n"/>
      <c r="O373" s="11602" t="n"/>
      <c r="P373" s="11602" t="n"/>
      <c r="Q373" s="11602" t="n"/>
      <c r="R373" s="11602" t="n"/>
      <c r="S373" s="11602" t="n"/>
      <c r="T373" s="11602" t="n"/>
      <c r="U373" s="11602" t="n"/>
      <c r="V373" s="11602" t="n"/>
      <c r="W373" s="11602" t="n"/>
      <c r="X373" s="11602" t="n"/>
      <c r="Y373" s="11602" t="n"/>
      <c r="Z373" s="11602" t="n"/>
      <c r="AA373" s="11602" t="n"/>
      <c r="AB373" s="11602" t="n"/>
      <c r="AC373" s="12454" t="n"/>
      <c r="AD373" s="7636" t="n"/>
      <c r="AE373" s="8977" t="n"/>
      <c r="AG373" s="7914" t="n"/>
      <c r="AI373" s="7914" t="n"/>
      <c r="AK373" s="2013" t="n"/>
      <c r="BL373" s="2027" t="n"/>
      <c r="BM373" s="2027" t="n"/>
    </row>
    <row r="374" ht="15" customHeight="1" s="7635">
      <c r="A374" s="2013" t="n"/>
      <c r="B374" s="11602" t="n"/>
      <c r="C374" s="734" t="inlineStr">
        <is>
          <t>49</t>
        </is>
      </c>
      <c r="D374" s="8650">
        <f>"Housing deduction carryover from "&amp;TaxYear-1&amp;" (from the Housing Deduction Carryover Worksheet in"</f>
        <v/>
      </c>
      <c r="E374" s="11602" t="n"/>
      <c r="F374" s="11602" t="n"/>
      <c r="G374" s="11602" t="n"/>
      <c r="H374" s="11602" t="n"/>
      <c r="I374" s="11602" t="n"/>
      <c r="J374" s="11602" t="n"/>
      <c r="K374" s="11602" t="n"/>
      <c r="L374" s="11602" t="n"/>
      <c r="M374" s="11602" t="n"/>
      <c r="N374" s="11602" t="n"/>
      <c r="O374" s="11602" t="n"/>
      <c r="P374" s="11602" t="n"/>
      <c r="Q374" s="11602" t="n"/>
      <c r="R374" s="11602" t="n"/>
      <c r="S374" s="11602" t="n"/>
      <c r="T374" s="11602" t="n"/>
      <c r="U374" s="11602" t="n"/>
      <c r="V374" s="11602" t="n"/>
      <c r="W374" s="11602" t="n"/>
      <c r="X374" s="11602" t="n"/>
      <c r="Y374" s="11602" t="n"/>
      <c r="Z374" s="11602" t="n"/>
      <c r="AA374" s="11602" t="n"/>
      <c r="AB374" s="11602" t="n"/>
      <c r="AC374" s="12454" t="n"/>
      <c r="AD374" s="7636" t="n"/>
      <c r="AE374" s="8977" t="n"/>
      <c r="AG374" s="7914" t="n"/>
      <c r="AI374" s="7914" t="n"/>
      <c r="AK374" s="2013" t="n"/>
      <c r="BL374" s="2027" t="n"/>
      <c r="BM374" s="2027" t="n"/>
    </row>
    <row r="375" ht="15" customHeight="1" s="7635">
      <c r="A375" s="2013" t="n"/>
      <c r="B375" s="11602" t="n"/>
      <c r="C375" s="11602" t="n"/>
      <c r="D375" s="8650" t="inlineStr">
        <is>
          <t>the instructions)</t>
        </is>
      </c>
      <c r="E375" s="11602" t="n"/>
      <c r="F375" s="11602" t="n"/>
      <c r="G375" s="11602" t="n"/>
      <c r="H375" s="11602" t="n"/>
      <c r="I375" s="11602" t="n"/>
      <c r="J375" s="11602" t="n"/>
      <c r="K375" s="11602" t="n"/>
      <c r="L375" s="11602" t="n"/>
      <c r="M375" s="11602" t="n"/>
      <c r="N375" s="11602" t="n"/>
      <c r="O375" s="11602" t="n"/>
      <c r="P375" s="11602" t="n"/>
      <c r="Q375" s="11602" t="n"/>
      <c r="R375" s="11602" t="n"/>
      <c r="S375" s="11602" t="n"/>
      <c r="T375" s="11602" t="n"/>
      <c r="U375" s="11602" t="n"/>
      <c r="V375" s="11602" t="n"/>
      <c r="W375" s="11602" t="n"/>
      <c r="X375" s="11602" t="n"/>
      <c r="Y375" s="11602" t="n"/>
      <c r="Z375" s="11602" t="n"/>
      <c r="AA375" s="11602" t="n"/>
      <c r="AB375" s="2031" t="inlineStr">
        <is>
          <t xml:space="preserve">.   .   .   .   .   .   .   .   .   .   .   .   .   .   .   .   .   .   .   .   .   .   .   .   .   .   .   .   .   .   .   .   . </t>
        </is>
      </c>
      <c r="AC375" s="5372" t="n">
        <v>49</v>
      </c>
      <c r="AD375" s="7638" t="n"/>
      <c r="AE375" s="9763" t="n"/>
      <c r="AF375" s="11717" t="n"/>
      <c r="AG375" s="11717" t="n"/>
      <c r="AH375" s="11717" t="n"/>
      <c r="AI375" s="11717" t="n"/>
      <c r="AJ375" s="11717" t="n"/>
      <c r="AK375" s="2013" t="n"/>
      <c r="BL375" s="2027" t="n"/>
      <c r="BM375" s="2027" t="n"/>
    </row>
    <row r="376" ht="15" customHeight="1" s="7635">
      <c r="A376" s="2013" t="n"/>
      <c r="B376" s="11602" t="n"/>
      <c r="C376" s="734" t="inlineStr">
        <is>
          <t>50</t>
        </is>
      </c>
      <c r="D376" s="8650" t="inlineStr">
        <is>
          <t>Housing deduction.  Add lines 48 and 49. Enter the total here and on Schedule 1 (Form 1040),</t>
        </is>
      </c>
      <c r="E376" s="11602" t="n"/>
      <c r="F376" s="11602" t="n"/>
      <c r="G376" s="11602" t="n"/>
      <c r="H376" s="11602" t="n"/>
      <c r="I376" s="11602" t="n"/>
      <c r="J376" s="11602" t="n"/>
      <c r="K376" s="11602" t="n"/>
      <c r="L376" s="11602" t="n"/>
      <c r="M376" s="11602" t="n"/>
      <c r="N376" s="11602" t="n"/>
      <c r="O376" s="11602" t="n"/>
      <c r="P376" s="11602" t="n"/>
      <c r="Q376" s="11602" t="n"/>
      <c r="R376" s="11602" t="n"/>
      <c r="S376" s="11602" t="n"/>
      <c r="T376" s="11602" t="n"/>
      <c r="U376" s="11602" t="n"/>
      <c r="V376" s="11602" t="n"/>
      <c r="W376" s="11602" t="n"/>
      <c r="X376" s="11602" t="n"/>
      <c r="Y376" s="11602" t="n"/>
      <c r="Z376" s="11602" t="n"/>
      <c r="AA376" s="11602" t="n"/>
      <c r="AB376" s="11602" t="n"/>
      <c r="AC376" s="2898" t="n"/>
      <c r="AD376" s="10091" t="n"/>
      <c r="AE376" s="8998" t="n"/>
      <c r="AF376" s="7839" t="n"/>
      <c r="AG376" s="9766" t="n"/>
      <c r="AH376" s="7839" t="n"/>
      <c r="AI376" s="9766" t="n"/>
      <c r="AJ376" s="7839" t="n"/>
      <c r="AK376" s="2013" t="n"/>
      <c r="BL376" s="2027" t="n"/>
      <c r="BM376" s="2027" t="n"/>
    </row>
    <row r="377" ht="15" customHeight="1" s="7635" thickBot="1">
      <c r="A377" s="2013" t="n"/>
      <c r="B377" s="11602" t="n"/>
      <c r="C377" s="11602" t="n"/>
      <c r="D377" s="8650" t="inlineStr">
        <is>
          <t>line 24j. Complete the Foreign Earned Income Tax Worksheet in the Instructions for Forms 1040</t>
        </is>
      </c>
      <c r="E377" s="11602" t="n"/>
      <c r="F377" s="11602" t="n"/>
      <c r="G377" s="11602" t="n"/>
      <c r="H377" s="11602" t="n"/>
      <c r="I377" s="11602" t="n"/>
      <c r="J377" s="11602" t="n"/>
      <c r="K377" s="11602" t="n"/>
      <c r="L377" s="11602" t="n"/>
      <c r="M377" s="11602" t="n"/>
      <c r="N377" s="11602" t="n"/>
      <c r="O377" s="11602" t="n"/>
      <c r="P377" s="11602" t="n"/>
      <c r="Q377" s="11602" t="n"/>
      <c r="R377" s="11602" t="n"/>
      <c r="S377" s="11602" t="n"/>
      <c r="T377" s="11602" t="n"/>
      <c r="U377" s="11602" t="n"/>
      <c r="V377" s="11602" t="n"/>
      <c r="W377" s="11602" t="n"/>
      <c r="X377" s="11602" t="n"/>
      <c r="Y377" s="11602" t="n"/>
      <c r="Z377" s="11602" t="n"/>
      <c r="AA377" s="11602" t="n"/>
      <c r="AB377" s="11602" t="n"/>
      <c r="AC377" s="2921" t="n"/>
      <c r="AD377" s="7636" t="n"/>
      <c r="AE377" s="8977" t="n"/>
      <c r="AG377" s="7914" t="n"/>
      <c r="AI377" s="7914" t="n"/>
      <c r="AK377" s="2013" t="n"/>
      <c r="AM377" s="7914" t="inlineStr">
        <is>
          <t>Override</t>
        </is>
      </c>
      <c r="BL377" s="2027" t="n"/>
      <c r="BM377" s="2027" t="n"/>
    </row>
    <row r="378" ht="15" customHeight="1" s="7635" thickBot="1">
      <c r="A378" s="2013" t="n"/>
      <c r="B378" s="11602" t="n"/>
      <c r="C378" s="11602" t="n"/>
      <c r="D378" s="8650" t="inlineStr">
        <is>
          <t>and 1040-SR an amount on this line</t>
        </is>
      </c>
      <c r="E378" s="11602" t="n"/>
      <c r="F378" s="11602" t="n"/>
      <c r="G378" s="11602" t="n"/>
      <c r="H378" s="11602" t="n"/>
      <c r="I378" s="11602" t="n"/>
      <c r="J378" s="11602" t="n"/>
      <c r="K378" s="11602" t="n"/>
      <c r="L378" s="11602" t="n"/>
      <c r="M378" s="11602" t="n"/>
      <c r="N378" s="11602" t="n"/>
      <c r="O378" s="11602" t="n"/>
      <c r="P378" s="11602" t="n"/>
      <c r="Q378" s="11602" t="n"/>
      <c r="R378" s="11602" t="n"/>
      <c r="S378" s="11602" t="n"/>
      <c r="T378" s="11602" t="n"/>
      <c r="U378" s="11602" t="n"/>
      <c r="V378" s="11602" t="n"/>
      <c r="W378" s="11602" t="n"/>
      <c r="X378" s="11602" t="n"/>
      <c r="Y378" s="11602" t="n"/>
      <c r="Z378" s="11602" t="n"/>
      <c r="AA378" s="11602" t="n"/>
      <c r="AB378" s="2031" t="inlineStr">
        <is>
          <t xml:space="preserve">.   .   .   .   .   .   .   .   .   .   .   .   .   .   .   .   .   .   .   .   .   .   .   .   .   .   .   . </t>
        </is>
      </c>
      <c r="AC378" s="5372" t="n">
        <v>50</v>
      </c>
      <c r="AD378" s="7638" t="n"/>
      <c r="AE378" s="9758">
        <f>IF(AM378&lt;&gt;"",ROUND(AM378,0),IF(OR(AM339,NOT(AM366)),"",SUM(AE370,AE375)))</f>
        <v/>
      </c>
      <c r="AF378" s="7637" t="n"/>
      <c r="AG378" s="7637" t="n"/>
      <c r="AH378" s="7637" t="n"/>
      <c r="AI378" s="7637" t="n"/>
      <c r="AJ378" s="7637" t="n"/>
      <c r="AK378" s="2013" t="n"/>
      <c r="AM378" s="449" t="n"/>
      <c r="AO378" s="2084">
        <f>IF(AE378="",0,AE378)</f>
        <v/>
      </c>
      <c r="BL378" s="2027" t="n"/>
      <c r="BM378" s="2027" t="n"/>
    </row>
    <row r="379" ht="18.75" customHeight="1" s="7635" thickTop="1">
      <c r="A379" s="2013" t="n"/>
      <c r="B379" s="257" t="n"/>
      <c r="C379" s="257" t="n"/>
      <c r="D379" s="257" t="n"/>
      <c r="E379" s="257" t="n"/>
      <c r="F379" s="257" t="n"/>
      <c r="G379" s="257" t="n"/>
      <c r="H379" s="257" t="n"/>
      <c r="I379" s="257" t="n"/>
      <c r="J379" s="257" t="n"/>
      <c r="K379" s="257" t="n"/>
      <c r="L379" s="257" t="n"/>
      <c r="M379" s="257" t="n"/>
      <c r="N379" s="257" t="n"/>
      <c r="O379" s="257" t="n"/>
      <c r="P379" s="257" t="n"/>
      <c r="Q379" s="257" t="n"/>
      <c r="R379" s="257" t="n"/>
      <c r="S379" s="257" t="n"/>
      <c r="T379" s="257" t="n"/>
      <c r="U379" s="257" t="n"/>
      <c r="V379" s="257" t="n"/>
      <c r="W379" s="257" t="n"/>
      <c r="X379" s="257" t="n"/>
      <c r="Y379" s="257" t="n"/>
      <c r="Z379" s="257" t="n"/>
      <c r="AA379" s="257" t="n"/>
      <c r="AB379" s="257" t="n"/>
      <c r="AC379" s="257" t="n"/>
      <c r="AD379" s="257" t="n"/>
      <c r="AE379" s="257" t="n"/>
      <c r="AF379" s="257" t="n"/>
      <c r="AG379" s="257" t="n"/>
      <c r="AH379" s="2101" t="inlineStr">
        <is>
          <t xml:space="preserve">Form 2555 </t>
        </is>
      </c>
      <c r="AI379" s="2079" t="n"/>
      <c r="AJ379" s="2102">
        <f>"("&amp;TaxYear&amp;")"</f>
        <v/>
      </c>
      <c r="AK379" s="2013" t="n"/>
      <c r="AM379" s="2103" t="n"/>
      <c r="AO379" s="2050" t="n"/>
      <c r="AP379" s="2051" t="n"/>
      <c r="BL379" s="2027" t="n"/>
      <c r="BM379" s="2027" t="n"/>
      <c r="BO379" s="2027" t="n"/>
      <c r="BP379" s="2027" t="n"/>
      <c r="BQ379" s="2027" t="n"/>
      <c r="BR379" s="2027" t="n"/>
      <c r="BS379" s="2027" t="n"/>
      <c r="BT379" s="2027" t="n"/>
      <c r="BU379" s="2027" t="n"/>
      <c r="BV379" s="2027" t="n"/>
    </row>
    <row r="380">
      <c r="A380" s="2013" t="n"/>
      <c r="B380" s="2013" t="n"/>
      <c r="C380" s="2013" t="n"/>
      <c r="D380" s="2013" t="n"/>
      <c r="E380" s="2013" t="n"/>
      <c r="F380" s="2013" t="n"/>
      <c r="G380" s="2013" t="n"/>
      <c r="H380" s="2013" t="n"/>
      <c r="I380" s="2013" t="n"/>
      <c r="J380" s="2013" t="n"/>
      <c r="K380" s="2013" t="n"/>
      <c r="L380" s="2013" t="n"/>
      <c r="M380" s="2013" t="n"/>
      <c r="N380" s="2013" t="n"/>
      <c r="O380" s="2013" t="n"/>
      <c r="P380" s="2013" t="n"/>
      <c r="Q380" s="2013" t="n"/>
      <c r="R380" s="2013" t="n"/>
      <c r="S380" s="2013" t="n"/>
      <c r="T380" s="2013" t="n"/>
      <c r="U380" s="2013" t="n"/>
      <c r="V380" s="2013" t="n"/>
      <c r="W380" s="2013" t="n"/>
      <c r="X380" s="2013" t="n"/>
      <c r="Y380" s="2013" t="n"/>
      <c r="Z380" s="2013" t="n"/>
      <c r="AA380" s="2013" t="n"/>
      <c r="AB380" s="2013" t="n"/>
      <c r="AC380" s="2013" t="n"/>
      <c r="AD380" s="2013" t="n"/>
      <c r="AE380" s="2013" t="n"/>
      <c r="AF380" s="2013" t="n"/>
      <c r="AG380" s="2013" t="n"/>
      <c r="AH380" s="2013" t="n"/>
      <c r="AI380" s="2013" t="n"/>
      <c r="AJ380" s="2013" t="n"/>
      <c r="AK380" s="2013" t="n"/>
      <c r="BL380" s="2027" t="n"/>
      <c r="BM380" s="2027" t="n"/>
    </row>
    <row r="381">
      <c r="AL381" s="2084" t="n"/>
      <c r="AM381" s="2105" t="inlineStr">
        <is>
          <t>You</t>
        </is>
      </c>
      <c r="AN381" s="2084" t="n"/>
      <c r="AO381" s="2105" t="inlineStr">
        <is>
          <t>Spouse</t>
        </is>
      </c>
      <c r="AP381" s="2084" t="n"/>
      <c r="BL381" s="2027" t="n"/>
      <c r="BM381" s="2027" t="n"/>
    </row>
    <row r="382">
      <c r="AL382" s="2106" t="n"/>
      <c r="AM382" s="2084">
        <f>AO4</f>
        <v/>
      </c>
      <c r="AN382" s="2084" t="n"/>
      <c r="AO382" s="2084">
        <f>AND(NOT(AO4),AO5)</f>
        <v/>
      </c>
      <c r="AP382" s="2084" t="n"/>
      <c r="BL382" s="2027" t="n"/>
      <c r="BM382" s="2027" t="n"/>
    </row>
    <row r="383">
      <c r="AL383" s="2084" t="n"/>
      <c r="AM383" s="2084">
        <f>AO193</f>
        <v/>
      </c>
      <c r="AN383" s="2084" t="n"/>
      <c r="AO383" s="2084">
        <f>AND(NOT(AO193),AO194)</f>
        <v/>
      </c>
      <c r="AP383" s="2084" t="n"/>
      <c r="BL383" s="2027" t="n"/>
      <c r="BM383" s="2027" t="n"/>
    </row>
    <row r="384">
      <c r="AK384" s="5740" t="inlineStr">
        <is>
          <t>Line 42, Foreign Income Exclusion</t>
        </is>
      </c>
      <c r="AL384" s="5740" t="n"/>
      <c r="AM384" s="5741" t="inlineStr">
        <is>
          <t>You</t>
        </is>
      </c>
      <c r="AN384" s="5742" t="n"/>
      <c r="AO384" s="5741" t="inlineStr">
        <is>
          <t>Your Spouse</t>
        </is>
      </c>
      <c r="AP384" s="2084" t="n"/>
      <c r="BL384" s="2027" t="n"/>
      <c r="BM384" s="2027" t="n"/>
    </row>
    <row r="385">
      <c r="AK385" s="2556" t="inlineStr">
        <is>
          <t>Foreign Earned Income Exclusion 1</t>
        </is>
      </c>
      <c r="AL385" s="2106" t="inlineStr">
        <is>
          <t>42-1</t>
        </is>
      </c>
      <c r="AM385" s="5736">
        <f>IF($AM$382,ForeignIncExclusion1,0)</f>
        <v/>
      </c>
      <c r="AN385" s="2109" t="n"/>
      <c r="AO385" s="5736">
        <f>IF($AO$382,ForeignIncExclusion1,0)</f>
        <v/>
      </c>
      <c r="AP385" s="2084" t="n"/>
      <c r="BL385" s="2027" t="n"/>
      <c r="BM385" s="2027" t="n"/>
    </row>
    <row r="386">
      <c r="AK386" s="2556" t="inlineStr">
        <is>
          <t>Foreign Earned Income Exclusion 2</t>
        </is>
      </c>
      <c r="AL386" s="2106" t="inlineStr">
        <is>
          <t>42-2</t>
        </is>
      </c>
      <c r="AM386" s="5736">
        <f>IF($AM$383,ForeignIncExclusion2,0)</f>
        <v/>
      </c>
      <c r="AN386" s="2109" t="n"/>
      <c r="AO386" s="5736">
        <f>IF($AO$383,ForeignIncExclusion2,0)</f>
        <v/>
      </c>
      <c r="AP386" s="2084" t="n"/>
      <c r="BL386" s="2027" t="n"/>
      <c r="BM386" s="2027" t="n"/>
    </row>
    <row r="387" ht="13.5" customHeight="1" s="7635" thickBot="1">
      <c r="AK387" s="2556" t="inlineStr">
        <is>
          <t>Total Foreign Earned Income Exclusion (You and Spouse)</t>
        </is>
      </c>
      <c r="AL387" s="2106" t="inlineStr">
        <is>
          <t>42-Y</t>
        </is>
      </c>
      <c r="AM387" s="5736">
        <f>SUM(AM385,AM386)</f>
        <v/>
      </c>
      <c r="AN387" s="5737" t="inlineStr">
        <is>
          <t>42-S</t>
        </is>
      </c>
      <c r="AO387" s="5736">
        <f>SUM(AO385,AO386)</f>
        <v/>
      </c>
      <c r="AP387" s="2084" t="n"/>
      <c r="BL387" s="2027" t="n"/>
      <c r="BM387" s="2027" t="n"/>
    </row>
    <row r="388" ht="13.5" customHeight="1" s="7635" thickBot="1">
      <c r="AK388" s="2556" t="inlineStr">
        <is>
          <t>Total Foreign Earned Income Exclusion (Both)</t>
        </is>
      </c>
      <c r="AL388" s="2106" t="inlineStr">
        <is>
          <t>42-T</t>
        </is>
      </c>
      <c r="AM388" s="5739">
        <f>SUM(ForeignIncExclusionYou,ForeignIncExclusionSpouse)</f>
        <v/>
      </c>
      <c r="AN388" s="2109" t="n"/>
      <c r="AO388" s="2109" t="n"/>
      <c r="AP388" s="2084" t="n"/>
      <c r="BL388" s="2027" t="n"/>
      <c r="BM388" s="2027" t="n"/>
    </row>
    <row r="389">
      <c r="AL389" s="2106" t="n"/>
      <c r="AM389" s="2083" t="n"/>
      <c r="AN389" s="2084" t="n"/>
      <c r="AO389" s="2084" t="n"/>
      <c r="AP389" s="2084" t="n"/>
      <c r="BL389" s="2027" t="n"/>
      <c r="BM389" s="2027" t="n"/>
    </row>
    <row r="390">
      <c r="AK390" s="5740" t="inlineStr">
        <is>
          <t>Line 45, Housing Exclusion, Foreign Earned Income Exclusion, or Both</t>
        </is>
      </c>
      <c r="AL390" s="2107" t="inlineStr">
        <is>
          <t>Line 45</t>
        </is>
      </c>
      <c r="AM390" s="5741" t="inlineStr">
        <is>
          <t>You</t>
        </is>
      </c>
      <c r="AN390" s="5742" t="n"/>
      <c r="AO390" s="5741" t="inlineStr">
        <is>
          <t>Your Spouse</t>
        </is>
      </c>
      <c r="AP390" s="2084" t="n"/>
      <c r="BL390" s="2027" t="n"/>
      <c r="BM390" s="2027" t="n"/>
    </row>
    <row r="391">
      <c r="AK391" s="2556" t="inlineStr">
        <is>
          <t>Line 45_ 1</t>
        </is>
      </c>
      <c r="AL391" s="2106" t="inlineStr">
        <is>
          <t>45-1</t>
        </is>
      </c>
      <c r="AM391" s="5736">
        <f>IF($AM$382,F2555_Line45_1,0)</f>
        <v/>
      </c>
      <c r="AN391" s="2109" t="n"/>
      <c r="AO391" s="5736">
        <f>IF($AO$382,F2555_Line45_1,0)</f>
        <v/>
      </c>
      <c r="AP391" s="2084" t="n"/>
      <c r="BL391" s="2027" t="n"/>
      <c r="BM391" s="2027" t="n"/>
    </row>
    <row r="392">
      <c r="AJ392" s="8043" t="n"/>
      <c r="AK392" s="2556" t="inlineStr">
        <is>
          <t>Line 45_ 1</t>
        </is>
      </c>
      <c r="AL392" s="2106" t="inlineStr">
        <is>
          <t>45-2</t>
        </is>
      </c>
      <c r="AM392" s="5736">
        <f>IF($AM$383,F2555_Line45_2,0)</f>
        <v/>
      </c>
      <c r="AN392" s="2109" t="n"/>
      <c r="AO392" s="5736">
        <f>IF($AO$383,F2555_Line45_2,0)</f>
        <v/>
      </c>
      <c r="AP392" s="2084" t="n"/>
      <c r="BL392" s="2027" t="n"/>
      <c r="BM392" s="2027" t="n"/>
    </row>
    <row r="393" ht="13.5" customHeight="1" s="7635" thickBot="1">
      <c r="AK393" s="2556" t="inlineStr">
        <is>
          <t>Line 45 (You and Spouse)</t>
        </is>
      </c>
      <c r="AL393" s="2106" t="inlineStr">
        <is>
          <t>45-Y</t>
        </is>
      </c>
      <c r="AM393" s="5736">
        <f>SUM(AM391,AM392)</f>
        <v/>
      </c>
      <c r="AN393" s="5737" t="inlineStr">
        <is>
          <t>45-S</t>
        </is>
      </c>
      <c r="AO393" s="5736">
        <f>SUM(AO391,AO392)</f>
        <v/>
      </c>
      <c r="AP393" s="2084" t="n"/>
      <c r="BL393" s="2027" t="n"/>
      <c r="BM393" s="2027" t="n"/>
    </row>
    <row r="394" ht="13.5" customHeight="1" s="7635" thickBot="1">
      <c r="AK394" s="2556" t="inlineStr">
        <is>
          <t>Total Line 45 (Both)</t>
        </is>
      </c>
      <c r="AL394" s="2106" t="inlineStr">
        <is>
          <t>45-T</t>
        </is>
      </c>
      <c r="AM394" s="5739">
        <f>SUM(F2555_Line45_You,F2555_Line45_Spouse)</f>
        <v/>
      </c>
      <c r="AN394" s="2109" t="n"/>
      <c r="AO394" s="2109" t="n"/>
      <c r="AP394" s="2084" t="n"/>
      <c r="BL394" s="2027" t="n"/>
      <c r="BM394" s="2027" t="n"/>
    </row>
    <row r="395">
      <c r="AL395" s="2106" t="n"/>
      <c r="AM395" s="2083" t="n"/>
      <c r="AN395" s="2084" t="n"/>
      <c r="AO395" s="2084" t="n"/>
      <c r="AP395" s="2084" t="n"/>
      <c r="BL395" s="2027" t="n"/>
      <c r="BM395" s="2027" t="n"/>
    </row>
    <row r="396">
      <c r="AK396" s="5740" t="inlineStr">
        <is>
          <t>Line 50, Housing Deduction</t>
        </is>
      </c>
      <c r="AL396" s="2107" t="inlineStr">
        <is>
          <t>Line 50, Foreign Housing Deduction</t>
        </is>
      </c>
      <c r="AM396" s="5741" t="inlineStr">
        <is>
          <t>You</t>
        </is>
      </c>
      <c r="AN396" s="5742" t="n"/>
      <c r="AO396" s="5741" t="inlineStr">
        <is>
          <t>Your Spouse</t>
        </is>
      </c>
      <c r="AP396" s="2084" t="n"/>
      <c r="BL396" s="2027" t="n"/>
      <c r="BM396" s="2027" t="n"/>
    </row>
    <row r="397">
      <c r="AK397" s="2556" t="inlineStr">
        <is>
          <t>Foreign Housing Deduction 1</t>
        </is>
      </c>
      <c r="AL397" s="2106" t="inlineStr">
        <is>
          <t>50-1</t>
        </is>
      </c>
      <c r="AM397" s="5736">
        <f>IF($AM$382,ForeignHousingDeduction1,0)</f>
        <v/>
      </c>
      <c r="AN397" s="2109" t="n"/>
      <c r="AO397" s="5736">
        <f>IF($AO$382,ForeignHousingDeduction1,0)</f>
        <v/>
      </c>
      <c r="AP397" s="2084" t="n"/>
      <c r="BL397" s="2027" t="n"/>
      <c r="BM397" s="2027" t="n"/>
    </row>
    <row r="398">
      <c r="AK398" s="2556" t="inlineStr">
        <is>
          <t>Foreign Housing Deduction 2</t>
        </is>
      </c>
      <c r="AL398" s="2106" t="inlineStr">
        <is>
          <t>50-2</t>
        </is>
      </c>
      <c r="AM398" s="5736">
        <f>IF($AM$383,ForeignHousingDeduction2,0)</f>
        <v/>
      </c>
      <c r="AN398" s="2109" t="n"/>
      <c r="AO398" s="5736">
        <f>IF($AO$383,ForeignHousingDeduction2,0)</f>
        <v/>
      </c>
      <c r="AP398" s="2084" t="n"/>
      <c r="BL398" s="2027" t="n"/>
      <c r="BM398" s="2027" t="n"/>
    </row>
    <row r="399">
      <c r="AK399" s="2556" t="inlineStr">
        <is>
          <t>Total Foreign Housing Deduction (You and Spouse)</t>
        </is>
      </c>
      <c r="AL399" s="2106" t="inlineStr">
        <is>
          <t>50-Y</t>
        </is>
      </c>
      <c r="AM399" s="5736">
        <f>SUM(AM397,AM398)</f>
        <v/>
      </c>
      <c r="AN399" s="5737" t="inlineStr">
        <is>
          <t>50-S</t>
        </is>
      </c>
      <c r="AO399" s="5736">
        <f>SUM(AO397,AO398)</f>
        <v/>
      </c>
      <c r="AP399" s="2084" t="n"/>
      <c r="BL399" s="2027" t="n"/>
      <c r="BM399" s="2027" t="n"/>
    </row>
    <row r="400">
      <c r="AK400" s="2556" t="inlineStr">
        <is>
          <t>Total Foreign Housing Deduction (Both)</t>
        </is>
      </c>
      <c r="AL400" s="2106" t="inlineStr">
        <is>
          <t>50-T</t>
        </is>
      </c>
      <c r="AM400" s="6237">
        <f>SUM(ForeignHousingDeductionYou,ForeignHousingDeductionSpouse)</f>
        <v/>
      </c>
      <c r="AN400" s="2084" t="n"/>
      <c r="AO400" s="2084" t="n"/>
      <c r="AP400" s="2084" t="n"/>
      <c r="BL400" s="2027" t="n"/>
      <c r="BM400" s="2027" t="n"/>
    </row>
    <row r="401">
      <c r="AL401" s="2084" t="n"/>
      <c r="AM401" s="2084">
        <f>ForeignHousingDeductionTotal&gt;0</f>
        <v/>
      </c>
      <c r="AN401" s="2084" t="n"/>
      <c r="AO401" s="2084" t="n"/>
      <c r="AP401" s="2084" t="n"/>
      <c r="BL401" s="2027" t="n"/>
      <c r="BM401" s="2027" t="n"/>
    </row>
    <row r="402">
      <c r="AL402" s="2084" t="n"/>
      <c r="AM402" s="2084" t="n"/>
      <c r="AN402" s="2084" t="n"/>
      <c r="AO402" s="2084" t="n"/>
      <c r="AP402" s="2084" t="n"/>
      <c r="BL402" s="2027" t="n"/>
      <c r="BM402" s="2027" t="n"/>
    </row>
    <row r="403">
      <c r="AL403" s="2084" t="n"/>
      <c r="AM403" s="5738" t="inlineStr">
        <is>
          <t>Foreign Income Exclusion</t>
        </is>
      </c>
      <c r="AN403" s="2108" t="inlineStr">
        <is>
          <t>ForeignIncExclusionTotal</t>
        </is>
      </c>
      <c r="AO403" s="2109">
        <f>OR(AND(ForeignIncExclusion1&lt;&gt;0,ForeignIncExclusion1&lt;&gt;""),AND(ForeignIncExclusion2&lt;&gt;0,ForeignIncExclusion2&lt;&gt;""))</f>
        <v/>
      </c>
      <c r="AP403" s="2084" t="n"/>
      <c r="BL403" s="2027" t="n"/>
      <c r="BM403" s="2027" t="n"/>
    </row>
    <row r="404">
      <c r="AL404" s="2084" t="n"/>
      <c r="AM404" s="5738" t="inlineStr">
        <is>
          <t>Housing Exclusion, Foreign Earned Income Exclusion, or Both</t>
        </is>
      </c>
      <c r="AN404" s="2108" t="inlineStr">
        <is>
          <t>FEI_HousingExclusion</t>
        </is>
      </c>
      <c r="AO404" s="2109">
        <f>OR(AND(F2555_Line45_1&lt;&gt;"",F2555_Line45_1&gt;0),AND(F2555_Line45_2&lt;&gt;"",F2555_Line45_2&gt;0))</f>
        <v/>
      </c>
      <c r="AP404" s="2084" t="n"/>
      <c r="BL404" s="2027" t="n"/>
      <c r="BM404" s="2027" t="n"/>
    </row>
    <row r="405">
      <c r="AL405" s="2084" t="n"/>
      <c r="AM405" s="5738" t="inlineStr">
        <is>
          <t>Housing Deduction</t>
        </is>
      </c>
      <c r="AN405" s="2108" t="inlineStr">
        <is>
          <t>FEI_HousingDeduction</t>
        </is>
      </c>
      <c r="AO405" s="2109">
        <f>OR(AND(FEI_HousingDeduction1&lt;&gt;"",FEI_HousingDeduction1&lt;&gt;0),AND(FEI_HousingDeduction2&lt;&gt;"",FEI_HousingDeduction2&lt;&gt;0))</f>
        <v/>
      </c>
      <c r="AP405" s="2084" t="n"/>
      <c r="BL405" s="2027" t="n"/>
      <c r="BM405" s="2027" t="n"/>
    </row>
    <row r="406">
      <c r="AL406" s="2084" t="n"/>
      <c r="AM406" s="2084" t="n"/>
      <c r="AN406" s="2108" t="inlineStr">
        <is>
          <t>FEI_Tax_WS_Required</t>
        </is>
      </c>
      <c r="AO406" s="2109">
        <f>OR(AO403,FEI_HousingExclusion,FEI_HousingDeduction)</f>
        <v/>
      </c>
      <c r="AP406" s="2084" t="n"/>
      <c r="BL406" s="2027" t="n"/>
      <c r="BM406" s="2027" t="n"/>
    </row>
    <row r="407">
      <c r="AL407" s="2109" t="n"/>
      <c r="AM407" s="2109" t="n"/>
      <c r="AN407" s="2109" t="n"/>
      <c r="AO407" s="2109" t="n"/>
      <c r="AP407" s="2109" t="n"/>
      <c r="BL407" s="2027" t="n"/>
      <c r="BM407" s="2027" t="n"/>
    </row>
    <row r="408">
      <c r="AL408" s="2109" t="n"/>
      <c r="AM408" s="2109" t="n"/>
      <c r="AN408" s="2109" t="n"/>
      <c r="AO408" s="2109" t="n"/>
      <c r="AP408" s="2109" t="n"/>
      <c r="BL408" s="2027" t="n"/>
      <c r="BM408" s="2027" t="n"/>
    </row>
    <row r="409">
      <c r="AL409" s="2109" t="n"/>
      <c r="AM409" s="2109" t="n"/>
      <c r="AN409" s="2109" t="n"/>
      <c r="AO409" s="2109" t="n"/>
      <c r="AP409" s="2109" t="n"/>
      <c r="BL409" s="2027" t="n"/>
      <c r="BM409" s="2027" t="n"/>
    </row>
    <row r="410">
      <c r="BL410" s="2027" t="n"/>
      <c r="BM410" s="2027" t="n"/>
    </row>
    <row r="411">
      <c r="BL411" s="2027" t="n"/>
      <c r="BM411" s="2027" t="n"/>
    </row>
    <row r="412">
      <c r="BL412" s="2027" t="n"/>
      <c r="BM412" s="2027" t="n"/>
    </row>
    <row r="413">
      <c r="BL413" s="2027" t="n"/>
      <c r="BM413" s="2027" t="n"/>
    </row>
    <row r="414">
      <c r="BL414" s="2027" t="n"/>
      <c r="BM414" s="2027" t="n"/>
    </row>
    <row r="415">
      <c r="BL415" s="2027" t="n"/>
      <c r="BM415" s="2027" t="n"/>
    </row>
    <row r="416">
      <c r="BL416" s="2027" t="n"/>
      <c r="BM416" s="2027" t="n"/>
    </row>
    <row r="417">
      <c r="BL417" s="2027" t="n"/>
      <c r="BM417" s="2027" t="n"/>
    </row>
    <row r="418">
      <c r="BL418" s="2027" t="n"/>
      <c r="BM418" s="2027" t="n"/>
    </row>
    <row r="419">
      <c r="BL419" s="2027" t="n"/>
      <c r="BM419" s="2027" t="n"/>
    </row>
    <row r="420">
      <c r="BL420" s="2027" t="n"/>
      <c r="BM420" s="2027" t="n"/>
    </row>
    <row r="421">
      <c r="BL421" s="2027" t="n"/>
      <c r="BM421" s="2027" t="n"/>
    </row>
    <row r="422">
      <c r="BL422" s="2027" t="n"/>
      <c r="BM422" s="2027" t="n"/>
    </row>
    <row r="423">
      <c r="BM423" s="2027" t="n"/>
    </row>
    <row r="424">
      <c r="BM424" s="2027" t="n"/>
    </row>
  </sheetData>
  <sheetProtection selectLockedCells="0" selectUnlockedCells="0" algorithmName="SHA-512" sheet="1" objects="0" insertRows="1" insertHyperlinks="1" autoFilter="1" scenarios="0" formatColumns="0" deleteColumns="1" insertColumns="1" pivotTables="1" deleteRows="1" formatCells="0" saltValue="+SmTe7HgapDLVVK3CdqHbA==" formatRows="0" sort="1" spinCount="100000" hashValue="FDNSRQjjIdEs4rWvf+v9Sb6o9005l0vMhLl4Iz+O5oQ/6zjlu/KYOhC3eDChSKAUjeswvuLf6Ds1GuZMuEpEaw=="/>
  <mergeCells count="687">
    <mergeCell ref="AC153:AD153"/>
    <mergeCell ref="AA246:AD246"/>
    <mergeCell ref="T30:AJ30"/>
    <mergeCell ref="AC125:AD125"/>
    <mergeCell ref="AE160:AJ160"/>
    <mergeCell ref="AA161:AB161"/>
    <mergeCell ref="AC296:AD296"/>
    <mergeCell ref="D2:G3"/>
    <mergeCell ref="AA248:AD248"/>
    <mergeCell ref="AC348:AD348"/>
    <mergeCell ref="AC288:AD288"/>
    <mergeCell ref="Y40:AJ40"/>
    <mergeCell ref="AC323:AD323"/>
    <mergeCell ref="AE107:AJ107"/>
    <mergeCell ref="AC298:AD298"/>
    <mergeCell ref="AC154:AD154"/>
    <mergeCell ref="AF275:AJ275"/>
    <mergeCell ref="AE341:AF341"/>
    <mergeCell ref="AG341:AH341"/>
    <mergeCell ref="AC213:AJ213"/>
    <mergeCell ref="I195:AB195"/>
    <mergeCell ref="B84:M84"/>
    <mergeCell ref="AE120:AF120"/>
    <mergeCell ref="AG120:AH120"/>
    <mergeCell ref="L40:T40"/>
    <mergeCell ref="AI101:AJ101"/>
    <mergeCell ref="AF83:AJ83"/>
    <mergeCell ref="B78:C78"/>
    <mergeCell ref="J60:M60"/>
    <mergeCell ref="AI374:AJ374"/>
    <mergeCell ref="AB271:AE271"/>
    <mergeCell ref="U146:V146"/>
    <mergeCell ref="AE359:AJ359"/>
    <mergeCell ref="AF85:AJ85"/>
    <mergeCell ref="U304:V304"/>
    <mergeCell ref="P299:AA299"/>
    <mergeCell ref="AI311:AJ311"/>
    <mergeCell ref="B34:AJ34"/>
    <mergeCell ref="I5:AB5"/>
    <mergeCell ref="AE125:AJ125"/>
    <mergeCell ref="AB273:AE273"/>
    <mergeCell ref="AG171:AH171"/>
    <mergeCell ref="F247:I247"/>
    <mergeCell ref="AE56:AJ56"/>
    <mergeCell ref="AE298:AJ298"/>
    <mergeCell ref="AE105:AJ105"/>
    <mergeCell ref="AM171:AO173"/>
    <mergeCell ref="AE347:AJ347"/>
    <mergeCell ref="O214:AJ214"/>
    <mergeCell ref="B200:C200"/>
    <mergeCell ref="F56:I56"/>
    <mergeCell ref="F249:I249"/>
    <mergeCell ref="N275:R275"/>
    <mergeCell ref="AE291:AJ291"/>
    <mergeCell ref="AE156:AJ156"/>
    <mergeCell ref="R311:AA311"/>
    <mergeCell ref="W118:X118"/>
    <mergeCell ref="Y118:Z118"/>
    <mergeCell ref="J58:M58"/>
    <mergeCell ref="N56:R56"/>
    <mergeCell ref="F57:I57"/>
    <mergeCell ref="AG108:AH108"/>
    <mergeCell ref="AI108:AJ108"/>
    <mergeCell ref="M46:AJ46"/>
    <mergeCell ref="AC368:AD368"/>
    <mergeCell ref="U305:V305"/>
    <mergeCell ref="AC362:AD362"/>
    <mergeCell ref="AA249:AD249"/>
    <mergeCell ref="X82:AA82"/>
    <mergeCell ref="T266:AJ266"/>
    <mergeCell ref="AC299:AD299"/>
    <mergeCell ref="AE296:AJ296"/>
    <mergeCell ref="AE128:AF128"/>
    <mergeCell ref="AA335:AB335"/>
    <mergeCell ref="AC364:AD364"/>
    <mergeCell ref="AC164:AD164"/>
    <mergeCell ref="AG184:AH184"/>
    <mergeCell ref="W307:X307"/>
    <mergeCell ref="N59:R59"/>
    <mergeCell ref="AI184:AJ184"/>
    <mergeCell ref="AC291:AD291"/>
    <mergeCell ref="AG293:AH293"/>
    <mergeCell ref="AI171:AJ171"/>
    <mergeCell ref="B97:AB97"/>
    <mergeCell ref="AA57:AD57"/>
    <mergeCell ref="X83:AA83"/>
    <mergeCell ref="S245:V245"/>
    <mergeCell ref="AF84:AJ84"/>
    <mergeCell ref="AC172:AD172"/>
    <mergeCell ref="X85:AA85"/>
    <mergeCell ref="AF86:AJ86"/>
    <mergeCell ref="N271:R271"/>
    <mergeCell ref="B366:C366"/>
    <mergeCell ref="AC317:AD317"/>
    <mergeCell ref="AC111:AD111"/>
    <mergeCell ref="AE362:AJ362"/>
    <mergeCell ref="AE349:AJ349"/>
    <mergeCell ref="AE57:AJ57"/>
    <mergeCell ref="U151:V151"/>
    <mergeCell ref="AE155:AJ155"/>
    <mergeCell ref="AC175:AD175"/>
    <mergeCell ref="AE364:AJ364"/>
    <mergeCell ref="X272:AA272"/>
    <mergeCell ref="AC294:AD294"/>
    <mergeCell ref="AC150:AD150"/>
    <mergeCell ref="U252:AJ252"/>
    <mergeCell ref="AE363:AJ363"/>
    <mergeCell ref="AC106:AD106"/>
    <mergeCell ref="AE344:AJ344"/>
    <mergeCell ref="AC152:AD152"/>
    <mergeCell ref="AA245:AD245"/>
    <mergeCell ref="AE103:AF103"/>
    <mergeCell ref="AE152:AF152"/>
    <mergeCell ref="AG103:AH103"/>
    <mergeCell ref="AE172:AJ172"/>
    <mergeCell ref="AI330:AJ330"/>
    <mergeCell ref="AG332:AH332"/>
    <mergeCell ref="AC370:AD370"/>
    <mergeCell ref="AI332:AJ332"/>
    <mergeCell ref="D365:AJ367"/>
    <mergeCell ref="I203:AJ203"/>
    <mergeCell ref="AC297:AD297"/>
    <mergeCell ref="B76:C76"/>
    <mergeCell ref="AE246:AJ246"/>
    <mergeCell ref="D308:S308"/>
    <mergeCell ref="U307:V307"/>
    <mergeCell ref="AD195:AG195"/>
    <mergeCell ref="AE248:AJ248"/>
    <mergeCell ref="B321:C321"/>
    <mergeCell ref="AC292:AD292"/>
    <mergeCell ref="AE292:AF292"/>
    <mergeCell ref="K205:AJ205"/>
    <mergeCell ref="AE312:AJ312"/>
    <mergeCell ref="B263:C263"/>
    <mergeCell ref="X84:AA84"/>
    <mergeCell ref="AC101:AD101"/>
    <mergeCell ref="AG187:AH187"/>
    <mergeCell ref="AI187:AJ187"/>
    <mergeCell ref="AE339:AJ339"/>
    <mergeCell ref="AE314:AJ314"/>
    <mergeCell ref="AE170:AJ170"/>
    <mergeCell ref="N273:R273"/>
    <mergeCell ref="AE289:AJ289"/>
    <mergeCell ref="X86:AA86"/>
    <mergeCell ref="AE165:AF165"/>
    <mergeCell ref="AC97:AJ97"/>
    <mergeCell ref="Y229:AJ229"/>
    <mergeCell ref="AI343:AJ343"/>
    <mergeCell ref="AE147:AJ147"/>
    <mergeCell ref="AC318:AD318"/>
    <mergeCell ref="O307:S307"/>
    <mergeCell ref="AC133:AD133"/>
    <mergeCell ref="AI295:AJ295"/>
    <mergeCell ref="AC127:AD127"/>
    <mergeCell ref="AE129:AJ129"/>
    <mergeCell ref="AE376:AF376"/>
    <mergeCell ref="AF272:AJ272"/>
    <mergeCell ref="AG376:AH376"/>
    <mergeCell ref="AC99:AD99"/>
    <mergeCell ref="AE124:AF124"/>
    <mergeCell ref="AE360:AF360"/>
    <mergeCell ref="AE58:AJ58"/>
    <mergeCell ref="X275:AA275"/>
    <mergeCell ref="AE294:AJ294"/>
    <mergeCell ref="AC128:AD128"/>
    <mergeCell ref="AG188:AH188"/>
    <mergeCell ref="AE173:AJ173"/>
    <mergeCell ref="AI182:AJ182"/>
    <mergeCell ref="AE287:AJ287"/>
    <mergeCell ref="B77:C77"/>
    <mergeCell ref="AG183:AH183"/>
    <mergeCell ref="AE318:AJ318"/>
    <mergeCell ref="AI183:AJ183"/>
    <mergeCell ref="W249:Z249"/>
    <mergeCell ref="AC313:AD313"/>
    <mergeCell ref="AE373:AF373"/>
    <mergeCell ref="AD5:AG5"/>
    <mergeCell ref="AA146:AB146"/>
    <mergeCell ref="AC315:AD315"/>
    <mergeCell ref="AE371:AF371"/>
    <mergeCell ref="AA58:AD58"/>
    <mergeCell ref="AE142:AJ142"/>
    <mergeCell ref="U265:Z265"/>
    <mergeCell ref="S58:V58"/>
    <mergeCell ref="AC333:AD333"/>
    <mergeCell ref="AG371:AH371"/>
    <mergeCell ref="AC181:AD181"/>
    <mergeCell ref="Z210:AJ210"/>
    <mergeCell ref="AE378:AJ378"/>
    <mergeCell ref="U115:V115"/>
    <mergeCell ref="AC102:AD102"/>
    <mergeCell ref="AC173:AD173"/>
    <mergeCell ref="AA60:AD60"/>
    <mergeCell ref="N60:R60"/>
    <mergeCell ref="AE144:AJ144"/>
    <mergeCell ref="AH194:AI195"/>
    <mergeCell ref="B87:C89"/>
    <mergeCell ref="AD6:AG6"/>
    <mergeCell ref="AC310:AD310"/>
    <mergeCell ref="B266:C266"/>
    <mergeCell ref="S275:W275"/>
    <mergeCell ref="AE361:AJ361"/>
    <mergeCell ref="AE372:AF372"/>
    <mergeCell ref="AG372:AH372"/>
    <mergeCell ref="U332:AA332"/>
    <mergeCell ref="O25:AJ25"/>
    <mergeCell ref="D31:AJ31"/>
    <mergeCell ref="B246:E246"/>
    <mergeCell ref="AG290:AH290"/>
    <mergeCell ref="AI290:AJ290"/>
    <mergeCell ref="AG354:AH354"/>
    <mergeCell ref="AI354:AJ354"/>
    <mergeCell ref="W113:AB113"/>
    <mergeCell ref="AC186:AD186"/>
    <mergeCell ref="AE333:AJ333"/>
    <mergeCell ref="U63:AJ63"/>
    <mergeCell ref="W115:AB115"/>
    <mergeCell ref="AC24:AJ24"/>
    <mergeCell ref="S59:V59"/>
    <mergeCell ref="N58:R58"/>
    <mergeCell ref="AE245:AJ245"/>
    <mergeCell ref="AE310:AJ310"/>
    <mergeCell ref="W246:Z246"/>
    <mergeCell ref="V350:W350"/>
    <mergeCell ref="B37:C37"/>
    <mergeCell ref="AI185:AJ185"/>
    <mergeCell ref="AE168:AJ168"/>
    <mergeCell ref="W248:Z248"/>
    <mergeCell ref="AG122:AH122"/>
    <mergeCell ref="V101:AA101"/>
    <mergeCell ref="AI122:AJ122"/>
    <mergeCell ref="K204:AJ204"/>
    <mergeCell ref="D123:AA123"/>
    <mergeCell ref="I2:AB3"/>
    <mergeCell ref="W247:Z247"/>
    <mergeCell ref="AI341:AJ341"/>
    <mergeCell ref="AC105:AD105"/>
    <mergeCell ref="AC341:AD341"/>
    <mergeCell ref="W56:Z56"/>
    <mergeCell ref="AC120:AD120"/>
    <mergeCell ref="I193:AB193"/>
    <mergeCell ref="AC316:AD316"/>
    <mergeCell ref="AC110:AD110"/>
    <mergeCell ref="AE323:AJ323"/>
    <mergeCell ref="AE101:AF101"/>
    <mergeCell ref="AD76:AJ76"/>
    <mergeCell ref="AI293:AJ293"/>
    <mergeCell ref="X161:Z161"/>
    <mergeCell ref="N86:R86"/>
    <mergeCell ref="AE309:AF309"/>
    <mergeCell ref="AC174:AD174"/>
    <mergeCell ref="AC149:AD149"/>
    <mergeCell ref="AE374:AF374"/>
    <mergeCell ref="AG309:AH309"/>
    <mergeCell ref="X271:AA271"/>
    <mergeCell ref="R122:AA122"/>
    <mergeCell ref="AG374:AH374"/>
    <mergeCell ref="AC124:AD124"/>
    <mergeCell ref="AE181:AJ181"/>
    <mergeCell ref="AC189:AD189"/>
    <mergeCell ref="AC360:AD360"/>
    <mergeCell ref="AE311:AF311"/>
    <mergeCell ref="B202:X202"/>
    <mergeCell ref="AG311:AH311"/>
    <mergeCell ref="D312:AA312"/>
    <mergeCell ref="X273:AA273"/>
    <mergeCell ref="D70:AJ70"/>
    <mergeCell ref="AC126:AD126"/>
    <mergeCell ref="G69:AJ69"/>
    <mergeCell ref="AA61:AJ61"/>
    <mergeCell ref="AF271:AJ271"/>
    <mergeCell ref="S82:W82"/>
    <mergeCell ref="AI133:AJ133"/>
    <mergeCell ref="AE377:AF377"/>
    <mergeCell ref="B56:E56"/>
    <mergeCell ref="D119:S119"/>
    <mergeCell ref="AC100:AD100"/>
    <mergeCell ref="AD265:AJ265"/>
    <mergeCell ref="AA336:AB336"/>
    <mergeCell ref="AI110:AJ110"/>
    <mergeCell ref="AE334:AJ334"/>
    <mergeCell ref="AC142:AD142"/>
    <mergeCell ref="AC373:AD373"/>
    <mergeCell ref="W116:AB116"/>
    <mergeCell ref="AC129:AD129"/>
    <mergeCell ref="AC286:AJ286"/>
    <mergeCell ref="AE100:AJ100"/>
    <mergeCell ref="B57:E57"/>
    <mergeCell ref="AC108:AD108"/>
    <mergeCell ref="AB20:AJ20"/>
    <mergeCell ref="AE108:AF108"/>
    <mergeCell ref="AE336:AJ336"/>
    <mergeCell ref="AA250:AJ250"/>
    <mergeCell ref="AC331:AD331"/>
    <mergeCell ref="D18:H20"/>
    <mergeCell ref="AG322:AH322"/>
    <mergeCell ref="AI322:AJ322"/>
    <mergeCell ref="AC2:AJ2"/>
    <mergeCell ref="AE102:AJ102"/>
    <mergeCell ref="AI309:AJ309"/>
    <mergeCell ref="AA59:AD59"/>
    <mergeCell ref="AI288:AJ288"/>
    <mergeCell ref="AG299:AH299"/>
    <mergeCell ref="AC355:AD355"/>
    <mergeCell ref="AC155:AD155"/>
    <mergeCell ref="AC293:AD293"/>
    <mergeCell ref="AE184:AF184"/>
    <mergeCell ref="AI317:AJ317"/>
    <mergeCell ref="AC342:AD342"/>
    <mergeCell ref="W305:AB305"/>
    <mergeCell ref="W57:Z57"/>
    <mergeCell ref="AC121:AD121"/>
    <mergeCell ref="V161:W161"/>
    <mergeCell ref="AC357:AD357"/>
    <mergeCell ref="AC151:AD151"/>
    <mergeCell ref="AC344:AD344"/>
    <mergeCell ref="AE188:AF188"/>
    <mergeCell ref="AE126:AF126"/>
    <mergeCell ref="AH153:AJ153"/>
    <mergeCell ref="AB274:AE274"/>
    <mergeCell ref="AE331:AJ331"/>
    <mergeCell ref="AC165:AD165"/>
    <mergeCell ref="B13:X13"/>
    <mergeCell ref="AG141:AH141"/>
    <mergeCell ref="U117:V117"/>
    <mergeCell ref="AI141:AJ141"/>
    <mergeCell ref="AF273:AJ273"/>
    <mergeCell ref="AG377:AH377"/>
    <mergeCell ref="AI377:AJ377"/>
    <mergeCell ref="D191:G192"/>
    <mergeCell ref="B74:C74"/>
    <mergeCell ref="S83:W83"/>
    <mergeCell ref="AI143:AJ143"/>
    <mergeCell ref="N245:R245"/>
    <mergeCell ref="AI297:AJ297"/>
    <mergeCell ref="I4:AB4"/>
    <mergeCell ref="V290:AA290"/>
    <mergeCell ref="AG185:AH185"/>
    <mergeCell ref="S85:W85"/>
    <mergeCell ref="AC337:AD337"/>
    <mergeCell ref="AE121:AJ121"/>
    <mergeCell ref="AI299:AJ299"/>
    <mergeCell ref="D300:AA300"/>
    <mergeCell ref="AC312:AD312"/>
    <mergeCell ref="AE357:AJ357"/>
    <mergeCell ref="U119:V119"/>
    <mergeCell ref="J56:M56"/>
    <mergeCell ref="Y198:AJ199"/>
    <mergeCell ref="AI376:AJ376"/>
    <mergeCell ref="AC134:AD134"/>
    <mergeCell ref="K16:AJ16"/>
    <mergeCell ref="AE330:AF330"/>
    <mergeCell ref="AE123:AJ123"/>
    <mergeCell ref="AE179:AJ179"/>
    <mergeCell ref="AE150:AJ150"/>
    <mergeCell ref="AC170:AD170"/>
    <mergeCell ref="AG330:AH330"/>
    <mergeCell ref="AC339:AD339"/>
    <mergeCell ref="AE337:AJ337"/>
    <mergeCell ref="AC145:AD145"/>
    <mergeCell ref="F245:I245"/>
    <mergeCell ref="AC332:AD332"/>
    <mergeCell ref="S272:W272"/>
    <mergeCell ref="AE332:AF332"/>
    <mergeCell ref="W117:AB117"/>
    <mergeCell ref="AA147:AB147"/>
    <mergeCell ref="Y13:AJ13"/>
    <mergeCell ref="AG154:AH154"/>
    <mergeCell ref="D259:AJ259"/>
    <mergeCell ref="S274:W274"/>
    <mergeCell ref="AI154:AJ154"/>
    <mergeCell ref="J59:M59"/>
    <mergeCell ref="B248:E248"/>
    <mergeCell ref="AG106:AH106"/>
    <mergeCell ref="AG373:AH373"/>
    <mergeCell ref="AI106:AJ106"/>
    <mergeCell ref="AI373:AJ373"/>
    <mergeCell ref="Y307:Z307"/>
    <mergeCell ref="AA307:AB307"/>
    <mergeCell ref="AE355:AJ355"/>
    <mergeCell ref="AE134:AJ134"/>
    <mergeCell ref="W308:AB308"/>
    <mergeCell ref="B249:E249"/>
    <mergeCell ref="AE109:AJ109"/>
    <mergeCell ref="AC300:AD300"/>
    <mergeCell ref="U303:V303"/>
    <mergeCell ref="AI151:AJ151"/>
    <mergeCell ref="AC287:AD287"/>
    <mergeCell ref="AE343:AF343"/>
    <mergeCell ref="AG343:AH343"/>
    <mergeCell ref="W114:AB114"/>
    <mergeCell ref="AE111:AJ111"/>
    <mergeCell ref="D207:H209"/>
    <mergeCell ref="U76:Z76"/>
    <mergeCell ref="B3:C3"/>
    <mergeCell ref="AE98:AJ98"/>
    <mergeCell ref="F58:I58"/>
    <mergeCell ref="AG182:AH182"/>
    <mergeCell ref="AC289:AD289"/>
    <mergeCell ref="B140:C140"/>
    <mergeCell ref="AE295:AF295"/>
    <mergeCell ref="B82:M82"/>
    <mergeCell ref="AG295:AH295"/>
    <mergeCell ref="F60:I60"/>
    <mergeCell ref="B276:C278"/>
    <mergeCell ref="AC376:AD376"/>
    <mergeCell ref="AI338:AJ338"/>
    <mergeCell ref="B11:C11"/>
    <mergeCell ref="S86:W86"/>
    <mergeCell ref="AC363:AD363"/>
    <mergeCell ref="AF274:AJ274"/>
    <mergeCell ref="AI313:AJ313"/>
    <mergeCell ref="AI104:AJ104"/>
    <mergeCell ref="AE60:AJ60"/>
    <mergeCell ref="AG340:AH340"/>
    <mergeCell ref="AC107:AD107"/>
    <mergeCell ref="AC378:AD378"/>
    <mergeCell ref="AI340:AJ340"/>
    <mergeCell ref="I194:AB194"/>
    <mergeCell ref="B83:M83"/>
    <mergeCell ref="U308:V308"/>
    <mergeCell ref="J57:M57"/>
    <mergeCell ref="AC353:AD353"/>
    <mergeCell ref="AI315:AJ315"/>
    <mergeCell ref="AC184:AD184"/>
    <mergeCell ref="U147:V147"/>
    <mergeCell ref="AC171:AD171"/>
    <mergeCell ref="AE300:AJ300"/>
    <mergeCell ref="B247:E247"/>
    <mergeCell ref="B85:M85"/>
    <mergeCell ref="AH342:AJ342"/>
    <mergeCell ref="B158:C158"/>
    <mergeCell ref="AH5:AI6"/>
    <mergeCell ref="B329:C329"/>
    <mergeCell ref="AC354:AD354"/>
    <mergeCell ref="AC3:AJ4"/>
    <mergeCell ref="AC148:AD148"/>
    <mergeCell ref="AE345:AJ345"/>
    <mergeCell ref="AE59:AJ59"/>
    <mergeCell ref="U143:AA143"/>
    <mergeCell ref="B272:M272"/>
    <mergeCell ref="J246:M246"/>
    <mergeCell ref="W58:Z58"/>
    <mergeCell ref="AB209:AJ209"/>
    <mergeCell ref="AE143:AF143"/>
    <mergeCell ref="T77:AJ77"/>
    <mergeCell ref="AG143:AH143"/>
    <mergeCell ref="AG99:AH99"/>
    <mergeCell ref="M229:T229"/>
    <mergeCell ref="I14:AJ14"/>
    <mergeCell ref="AI99:AJ99"/>
    <mergeCell ref="J248:M248"/>
    <mergeCell ref="B274:M274"/>
    <mergeCell ref="W60:Z60"/>
    <mergeCell ref="AC179:AD179"/>
    <mergeCell ref="AC166:AD166"/>
    <mergeCell ref="AC192:AJ193"/>
    <mergeCell ref="U306:V306"/>
    <mergeCell ref="W303:AB303"/>
    <mergeCell ref="AE348:AJ348"/>
    <mergeCell ref="AE148:AJ148"/>
    <mergeCell ref="AC168:AD168"/>
    <mergeCell ref="AC290:AD290"/>
    <mergeCell ref="AE290:AF290"/>
    <mergeCell ref="AE335:AJ335"/>
    <mergeCell ref="S247:V247"/>
    <mergeCell ref="AE166:AJ166"/>
    <mergeCell ref="AC1:AJ1"/>
    <mergeCell ref="AE354:AF354"/>
    <mergeCell ref="AE288:AF288"/>
    <mergeCell ref="AG288:AH288"/>
    <mergeCell ref="W304:AB304"/>
    <mergeCell ref="AC98:AD98"/>
    <mergeCell ref="D176:AJ178"/>
    <mergeCell ref="U113:V113"/>
    <mergeCell ref="AI120:AJ120"/>
    <mergeCell ref="Y202:AJ202"/>
    <mergeCell ref="AC123:AD123"/>
    <mergeCell ref="AB82:AE82"/>
    <mergeCell ref="B33:AJ33"/>
    <mergeCell ref="B86:M86"/>
    <mergeCell ref="AC187:AD187"/>
    <mergeCell ref="AE187:AF187"/>
    <mergeCell ref="W306:AB306"/>
    <mergeCell ref="AA247:AD247"/>
    <mergeCell ref="W147:Z147"/>
    <mergeCell ref="P118:S118"/>
    <mergeCell ref="B198:X199"/>
    <mergeCell ref="S56:V56"/>
    <mergeCell ref="M235:AJ235"/>
    <mergeCell ref="AE127:AJ127"/>
    <mergeCell ref="J247:M247"/>
    <mergeCell ref="AC372:AD372"/>
    <mergeCell ref="U302:V302"/>
    <mergeCell ref="Y9:AJ10"/>
    <mergeCell ref="AC334:AD334"/>
    <mergeCell ref="AE293:AF293"/>
    <mergeCell ref="B267:C267"/>
    <mergeCell ref="B275:M275"/>
    <mergeCell ref="U116:V116"/>
    <mergeCell ref="J249:M249"/>
    <mergeCell ref="AC309:AD309"/>
    <mergeCell ref="AC103:AD103"/>
    <mergeCell ref="AC374:AD374"/>
    <mergeCell ref="AE316:AJ316"/>
    <mergeCell ref="AA118:AB118"/>
    <mergeCell ref="AC180:AD180"/>
    <mergeCell ref="AE151:AF151"/>
    <mergeCell ref="AC311:AD311"/>
    <mergeCell ref="U118:V118"/>
    <mergeCell ref="AC167:AD167"/>
    <mergeCell ref="AE174:AJ174"/>
    <mergeCell ref="AC182:AD182"/>
    <mergeCell ref="AC375:AD375"/>
    <mergeCell ref="AE182:AF182"/>
    <mergeCell ref="AE133:AF133"/>
    <mergeCell ref="AC369:AD369"/>
    <mergeCell ref="AG133:AH133"/>
    <mergeCell ref="B245:E245"/>
    <mergeCell ref="AE189:AJ189"/>
    <mergeCell ref="S271:W271"/>
    <mergeCell ref="AD194:AG194"/>
    <mergeCell ref="AG128:AH128"/>
    <mergeCell ref="S273:W273"/>
    <mergeCell ref="AI128:AJ128"/>
    <mergeCell ref="G258:AJ258"/>
    <mergeCell ref="B9:X10"/>
    <mergeCell ref="P218:AJ218"/>
    <mergeCell ref="AB83:AE83"/>
    <mergeCell ref="AC322:AD322"/>
    <mergeCell ref="AE322:AF322"/>
    <mergeCell ref="W245:Z245"/>
    <mergeCell ref="AE167:AJ167"/>
    <mergeCell ref="E38:AJ38"/>
    <mergeCell ref="AE158:AJ158"/>
    <mergeCell ref="D220:AJ220"/>
    <mergeCell ref="AB85:AE85"/>
    <mergeCell ref="AE375:AJ375"/>
    <mergeCell ref="AE369:AJ369"/>
    <mergeCell ref="AE356:AJ356"/>
    <mergeCell ref="F59:I59"/>
    <mergeCell ref="U335:V335"/>
    <mergeCell ref="AE368:AJ368"/>
    <mergeCell ref="AE317:AF317"/>
    <mergeCell ref="D251:AJ251"/>
    <mergeCell ref="U219:AJ219"/>
    <mergeCell ref="AG317:AH317"/>
    <mergeCell ref="S57:V57"/>
    <mergeCell ref="B177:C177"/>
    <mergeCell ref="B286:AB286"/>
    <mergeCell ref="AE370:AJ370"/>
    <mergeCell ref="AC191:AJ191"/>
    <mergeCell ref="AB272:AE272"/>
    <mergeCell ref="W336:Z336"/>
    <mergeCell ref="AG110:AH110"/>
    <mergeCell ref="AA350:AB350"/>
    <mergeCell ref="D111:AA111"/>
    <mergeCell ref="X274:AA274"/>
    <mergeCell ref="W302:AB302"/>
    <mergeCell ref="AC144:AD144"/>
    <mergeCell ref="AI103:AJ103"/>
    <mergeCell ref="I6:AB6"/>
    <mergeCell ref="AC183:AD183"/>
    <mergeCell ref="S246:V246"/>
    <mergeCell ref="AE297:AF297"/>
    <mergeCell ref="AE146:AJ146"/>
    <mergeCell ref="AG297:AH297"/>
    <mergeCell ref="U340:V340"/>
    <mergeCell ref="AC185:AD185"/>
    <mergeCell ref="AE185:AF185"/>
    <mergeCell ref="B132:C132"/>
    <mergeCell ref="S248:V248"/>
    <mergeCell ref="AE299:AF299"/>
    <mergeCell ref="AC122:AD122"/>
    <mergeCell ref="W151:AB151"/>
    <mergeCell ref="N82:R82"/>
    <mergeCell ref="AC314:AD314"/>
    <mergeCell ref="N57:R57"/>
    <mergeCell ref="AG292:AH292"/>
    <mergeCell ref="AC330:AD330"/>
    <mergeCell ref="AI292:AJ292"/>
    <mergeCell ref="B271:M271"/>
    <mergeCell ref="J245:M245"/>
    <mergeCell ref="AB84:AE84"/>
    <mergeCell ref="Q110:AA110"/>
    <mergeCell ref="AC188:AD188"/>
    <mergeCell ref="B265:C265"/>
    <mergeCell ref="AE159:AJ159"/>
    <mergeCell ref="U114:V114"/>
    <mergeCell ref="B273:M273"/>
    <mergeCell ref="AB86:AE86"/>
    <mergeCell ref="AE154:AF154"/>
    <mergeCell ref="AC361:AD361"/>
    <mergeCell ref="AE145:AJ145"/>
    <mergeCell ref="B222:AJ222"/>
    <mergeCell ref="AC104:AD104"/>
    <mergeCell ref="AC340:AD340"/>
    <mergeCell ref="W340:AB340"/>
    <mergeCell ref="AE247:AJ247"/>
    <mergeCell ref="AA56:AD56"/>
    <mergeCell ref="AE183:AF183"/>
    <mergeCell ref="N246:R246"/>
    <mergeCell ref="AE106:AF106"/>
    <mergeCell ref="K15:AJ15"/>
    <mergeCell ref="AE249:AJ249"/>
    <mergeCell ref="AE149:AF149"/>
    <mergeCell ref="B347:C347"/>
    <mergeCell ref="AG149:AH149"/>
    <mergeCell ref="AC356:AD356"/>
    <mergeCell ref="AI149:AJ149"/>
    <mergeCell ref="AG124:AH124"/>
    <mergeCell ref="N248:R248"/>
    <mergeCell ref="S60:V60"/>
    <mergeCell ref="AI124:AJ124"/>
    <mergeCell ref="AG360:AH360"/>
    <mergeCell ref="U336:V336"/>
    <mergeCell ref="AI360:AJ360"/>
    <mergeCell ref="AE122:AF122"/>
    <mergeCell ref="AG151:AH151"/>
    <mergeCell ref="I191:AB192"/>
    <mergeCell ref="AM360:AO362"/>
    <mergeCell ref="Q29:AJ29"/>
    <mergeCell ref="AB275:AE275"/>
    <mergeCell ref="AG126:AH126"/>
    <mergeCell ref="AI188:AJ188"/>
    <mergeCell ref="AC343:AD343"/>
    <mergeCell ref="D62:AJ62"/>
    <mergeCell ref="AI126:AJ126"/>
    <mergeCell ref="B58:E58"/>
    <mergeCell ref="AC109:AD109"/>
    <mergeCell ref="AH164:AJ164"/>
    <mergeCell ref="W119:AB119"/>
    <mergeCell ref="S84:W84"/>
    <mergeCell ref="X350:Z350"/>
    <mergeCell ref="B60:E60"/>
    <mergeCell ref="AC338:AD338"/>
    <mergeCell ref="AE338:AF338"/>
    <mergeCell ref="AG338:AH338"/>
    <mergeCell ref="AE313:AF313"/>
    <mergeCell ref="AG313:AH313"/>
    <mergeCell ref="S249:V249"/>
    <mergeCell ref="AE104:AF104"/>
    <mergeCell ref="AG104:AH104"/>
    <mergeCell ref="AE340:AF340"/>
    <mergeCell ref="N83:R83"/>
    <mergeCell ref="E227:AJ227"/>
    <mergeCell ref="AE315:AF315"/>
    <mergeCell ref="AE171:AF171"/>
    <mergeCell ref="Y21:AJ21"/>
    <mergeCell ref="AG315:AH315"/>
    <mergeCell ref="AI371:AJ371"/>
    <mergeCell ref="AE180:AJ180"/>
    <mergeCell ref="AC371:AD371"/>
    <mergeCell ref="AF82:AJ82"/>
    <mergeCell ref="N85:R85"/>
    <mergeCell ref="AH353:AJ353"/>
    <mergeCell ref="AE110:AF110"/>
    <mergeCell ref="AI372:AJ372"/>
    <mergeCell ref="AE175:AJ175"/>
    <mergeCell ref="B223:AJ223"/>
    <mergeCell ref="B59:E59"/>
    <mergeCell ref="D102:AA102"/>
    <mergeCell ref="AC141:AD141"/>
    <mergeCell ref="AE141:AF141"/>
    <mergeCell ref="AE186:AJ186"/>
    <mergeCell ref="AC377:AD377"/>
    <mergeCell ref="F246:I246"/>
    <mergeCell ref="N272:R272"/>
    <mergeCell ref="N247:R247"/>
    <mergeCell ref="AC143:AD143"/>
    <mergeCell ref="AG101:AH101"/>
    <mergeCell ref="B226:C226"/>
    <mergeCell ref="AE99:AF99"/>
    <mergeCell ref="F248:I248"/>
    <mergeCell ref="N274:R274"/>
    <mergeCell ref="N84:R84"/>
    <mergeCell ref="N249:R249"/>
    <mergeCell ref="B192:C192"/>
    <mergeCell ref="AG165:AH165"/>
    <mergeCell ref="AI165:AJ165"/>
    <mergeCell ref="AG152:AH152"/>
    <mergeCell ref="AI152:AJ152"/>
    <mergeCell ref="AC295:AD295"/>
    <mergeCell ref="W59:Z59"/>
    <mergeCell ref="D291:AA291"/>
    <mergeCell ref="AC359:AD359"/>
    <mergeCell ref="AC159:AD159"/>
  </mergeCells>
  <conditionalFormatting sqref="B13">
    <cfRule type="expression" priority="311" dxfId="6">
      <formula>IF(NoColor,1,0)</formula>
    </cfRule>
  </conditionalFormatting>
  <conditionalFormatting sqref="B57:B60 F57:F60 N57:N60">
    <cfRule type="expression" priority="286" dxfId="6">
      <formula>IF(NoColor,1,0)</formula>
    </cfRule>
  </conditionalFormatting>
  <conditionalFormatting sqref="B83:B86">
    <cfRule type="expression" priority="249" dxfId="6">
      <formula>IF(NoColor,1,0)</formula>
    </cfRule>
  </conditionalFormatting>
  <conditionalFormatting sqref="B202">
    <cfRule type="expression" priority="132" dxfId="6">
      <formula>IF(NoColor,1,0)</formula>
    </cfRule>
  </conditionalFormatting>
  <conditionalFormatting sqref="B246:B249 F246:F249 N246:N249">
    <cfRule type="expression" priority="108" dxfId="6">
      <formula>IF(NoColor,1,0)</formula>
    </cfRule>
  </conditionalFormatting>
  <conditionalFormatting sqref="B272:B275">
    <cfRule type="expression" priority="93" dxfId="6">
      <formula>IF(NoColor,1,0)</formula>
    </cfRule>
  </conditionalFormatting>
  <conditionalFormatting sqref="B9:X10">
    <cfRule type="expression" priority="296" dxfId="6">
      <formula>IF(NoColor,1,0)</formula>
    </cfRule>
  </conditionalFormatting>
  <conditionalFormatting sqref="B198:X199">
    <cfRule type="expression" priority="118" dxfId="6">
      <formula>IF(NoColor,1,0)</formula>
    </cfRule>
  </conditionalFormatting>
  <conditionalFormatting sqref="D31">
    <cfRule type="expression" priority="301" dxfId="6">
      <formula>IF(NoColor,1,0)</formula>
    </cfRule>
  </conditionalFormatting>
  <conditionalFormatting sqref="D52:D53">
    <cfRule type="expression" priority="215" dxfId="244">
      <formula>IF(AND($AE$49&lt;&gt;"",$AH$51&lt;&gt;""),1,0)</formula>
    </cfRule>
  </conditionalFormatting>
  <conditionalFormatting sqref="D62">
    <cfRule type="expression" priority="275" dxfId="6">
      <formula>IF(NoColor,1,0)</formula>
    </cfRule>
  </conditionalFormatting>
  <conditionalFormatting sqref="D70">
    <cfRule type="expression" priority="216" dxfId="6">
      <formula>IF(NoColor,1,0)</formula>
    </cfRule>
  </conditionalFormatting>
  <conditionalFormatting sqref="D102">
    <cfRule type="expression" priority="227" dxfId="6">
      <formula>IF(NoColor,1,0)</formula>
    </cfRule>
  </conditionalFormatting>
  <conditionalFormatting sqref="D111">
    <cfRule type="expression" priority="225" dxfId="6">
      <formula>IF(NoColor,1,0)</formula>
    </cfRule>
  </conditionalFormatting>
  <conditionalFormatting sqref="D119">
    <cfRule type="expression" priority="222" dxfId="6">
      <formula>IF(NoColor,1,0)</formula>
    </cfRule>
  </conditionalFormatting>
  <conditionalFormatting sqref="D123">
    <cfRule type="expression" priority="220" dxfId="6">
      <formula>IF(NoColor,1,0)</formula>
    </cfRule>
  </conditionalFormatting>
  <conditionalFormatting sqref="D136">
    <cfRule type="expression" priority="151" dxfId="6">
      <formula>IF(NoColor,1,0)</formula>
    </cfRule>
  </conditionalFormatting>
  <conditionalFormatting sqref="D138">
    <cfRule type="expression" priority="150" dxfId="6">
      <formula>IF(NoColor,1,0)</formula>
    </cfRule>
  </conditionalFormatting>
  <conditionalFormatting sqref="D220">
    <cfRule type="expression" priority="122" dxfId="6">
      <formula>IF(NoColor,1,0)</formula>
    </cfRule>
  </conditionalFormatting>
  <conditionalFormatting sqref="D241:D242">
    <cfRule type="expression" priority="72" dxfId="244">
      <formula>IF(AND($AE$49&lt;&gt;"",$AH$51&lt;&gt;""),1,0)</formula>
    </cfRule>
  </conditionalFormatting>
  <conditionalFormatting sqref="D251">
    <cfRule type="expression" priority="104" dxfId="6">
      <formula>IF(NoColor,1,0)</formula>
    </cfRule>
  </conditionalFormatting>
  <conditionalFormatting sqref="D259">
    <cfRule type="expression" priority="73" dxfId="6">
      <formula>IF(NoColor,1,0)</formula>
    </cfRule>
  </conditionalFormatting>
  <conditionalFormatting sqref="D291">
    <cfRule type="expression" priority="81" dxfId="6">
      <formula>IF(NoColor,1,0)</formula>
    </cfRule>
  </conditionalFormatting>
  <conditionalFormatting sqref="D300">
    <cfRule type="expression" priority="79" dxfId="6">
      <formula>IF(NoColor,1,0)</formula>
    </cfRule>
  </conditionalFormatting>
  <conditionalFormatting sqref="D308">
    <cfRule type="expression" priority="76" dxfId="6">
      <formula>IF(NoColor,1,0)</formula>
    </cfRule>
  </conditionalFormatting>
  <conditionalFormatting sqref="D312">
    <cfRule type="expression" priority="75" dxfId="6">
      <formula>IF(NoColor,1,0)</formula>
    </cfRule>
  </conditionalFormatting>
  <conditionalFormatting sqref="D325">
    <cfRule type="expression" priority="12" dxfId="6">
      <formula>IF(NoColor,1,0)</formula>
    </cfRule>
  </conditionalFormatting>
  <conditionalFormatting sqref="D327">
    <cfRule type="expression" priority="11" dxfId="6">
      <formula>IF(NoColor,1,0)</formula>
    </cfRule>
  </conditionalFormatting>
  <conditionalFormatting sqref="G69">
    <cfRule type="expression" priority="273" dxfId="6">
      <formula>IF(NoColor,1,0)</formula>
    </cfRule>
  </conditionalFormatting>
  <conditionalFormatting sqref="G258">
    <cfRule type="expression" priority="102" dxfId="6">
      <formula>IF(NoColor,1,0)</formula>
    </cfRule>
  </conditionalFormatting>
  <conditionalFormatting sqref="I14">
    <cfRule type="expression" priority="310" dxfId="6">
      <formula>IF(NoColor,1,0)</formula>
    </cfRule>
  </conditionalFormatting>
  <conditionalFormatting sqref="I203">
    <cfRule type="expression" priority="131" dxfId="6">
      <formula>IF(NoColor,1,0)</formula>
    </cfRule>
  </conditionalFormatting>
  <conditionalFormatting sqref="J57:J60">
    <cfRule type="expression" priority="295" dxfId="6">
      <formula>IF(NoColor,1,0)</formula>
    </cfRule>
  </conditionalFormatting>
  <conditionalFormatting sqref="J246:J249">
    <cfRule type="expression" priority="117" dxfId="6">
      <formula>IF(NoColor,1,0)</formula>
    </cfRule>
  </conditionalFormatting>
  <conditionalFormatting sqref="K15:K16">
    <cfRule type="expression" priority="308" dxfId="6">
      <formula>IF(NoColor,1,0)</formula>
    </cfRule>
  </conditionalFormatting>
  <conditionalFormatting sqref="K18">
    <cfRule type="expression" priority="175" dxfId="6">
      <formula>IF(NoColor,1,0)</formula>
    </cfRule>
  </conditionalFormatting>
  <conditionalFormatting sqref="K20">
    <cfRule type="expression" priority="172" dxfId="6">
      <formula>IF(NoColor,1,0)</formula>
    </cfRule>
  </conditionalFormatting>
  <conditionalFormatting sqref="K204:K205">
    <cfRule type="expression" priority="129" dxfId="6">
      <formula>IF(NoColor,1,0)</formula>
    </cfRule>
  </conditionalFormatting>
  <conditionalFormatting sqref="K207">
    <cfRule type="expression" priority="35" dxfId="6">
      <formula>IF(NoColor,1,0)</formula>
    </cfRule>
  </conditionalFormatting>
  <conditionalFormatting sqref="K209">
    <cfRule type="expression" priority="32" dxfId="6">
      <formula>IF(NoColor,1,0)</formula>
    </cfRule>
  </conditionalFormatting>
  <conditionalFormatting sqref="L40">
    <cfRule type="expression" priority="300" dxfId="6">
      <formula>IF(NoColor,1,0)</formula>
    </cfRule>
  </conditionalFormatting>
  <conditionalFormatting sqref="M46">
    <cfRule type="expression" priority="297" dxfId="6">
      <formula>IF(NoColor,1,0)</formula>
    </cfRule>
  </conditionalFormatting>
  <conditionalFormatting sqref="M229">
    <cfRule type="expression" priority="121" dxfId="6">
      <formula>IF(NoColor,1,0)</formula>
    </cfRule>
  </conditionalFormatting>
  <conditionalFormatting sqref="M235">
    <cfRule type="expression" priority="119" dxfId="6">
      <formula>IF(NoColor,1,0)</formula>
    </cfRule>
  </conditionalFormatting>
  <conditionalFormatting sqref="N83:N86">
    <cfRule type="expression" priority="239" dxfId="6">
      <formula>IF(NoColor,1,0)</formula>
    </cfRule>
  </conditionalFormatting>
  <conditionalFormatting sqref="N272:N275">
    <cfRule type="expression" priority="89" dxfId="6">
      <formula>IF(NoColor,1,0)</formula>
    </cfRule>
  </conditionalFormatting>
  <conditionalFormatting sqref="O25">
    <cfRule type="expression" priority="304" dxfId="6">
      <formula>IF(NoColor,1,0)</formula>
    </cfRule>
  </conditionalFormatting>
  <conditionalFormatting sqref="O42">
    <cfRule type="expression" priority="165" dxfId="6">
      <formula>IF(NoColor,1,0)</formula>
    </cfRule>
  </conditionalFormatting>
  <conditionalFormatting sqref="O44">
    <cfRule type="expression" priority="162" dxfId="6">
      <formula>IF(NoColor,1,0)</formula>
    </cfRule>
  </conditionalFormatting>
  <conditionalFormatting sqref="O159">
    <cfRule type="expression" priority="146" dxfId="158">
      <formula>AND(NOT(NoColor),$AE$159&lt;&gt;$AE$160)</formula>
    </cfRule>
  </conditionalFormatting>
  <conditionalFormatting sqref="O214">
    <cfRule type="expression" priority="125" dxfId="6">
      <formula>IF(NoColor,1,0)</formula>
    </cfRule>
  </conditionalFormatting>
  <conditionalFormatting sqref="O231">
    <cfRule type="expression" priority="26" dxfId="6">
      <formula>IF(NoColor,1,0)</formula>
    </cfRule>
  </conditionalFormatting>
  <conditionalFormatting sqref="O233">
    <cfRule type="expression" priority="23" dxfId="6">
      <formula>IF(NoColor,1,0)</formula>
    </cfRule>
  </conditionalFormatting>
  <conditionalFormatting sqref="O307">
    <cfRule type="expression" priority="77" dxfId="6">
      <formula>IF(NoColor,1,0)</formula>
    </cfRule>
  </conditionalFormatting>
  <conditionalFormatting sqref="O348">
    <cfRule type="expression" priority="8" dxfId="158">
      <formula>AND(NOT(NoColor),$AE$159&lt;&gt;$AE$160)</formula>
    </cfRule>
  </conditionalFormatting>
  <conditionalFormatting sqref="P118">
    <cfRule type="expression" priority="223" dxfId="6">
      <formula>IF(NoColor,1,0)</formula>
    </cfRule>
  </conditionalFormatting>
  <conditionalFormatting sqref="P218">
    <cfRule type="expression" priority="124" dxfId="6">
      <formula>IF(NoColor,1,0)</formula>
    </cfRule>
  </conditionalFormatting>
  <conditionalFormatting sqref="P299">
    <cfRule type="expression" priority="78" dxfId="6">
      <formula>IF(NoColor,1,0)</formula>
    </cfRule>
  </conditionalFormatting>
  <conditionalFormatting sqref="Q29">
    <cfRule type="expression" priority="303" dxfId="6">
      <formula>IF(NoColor,1,0)</formula>
    </cfRule>
  </conditionalFormatting>
  <conditionalFormatting sqref="Q110">
    <cfRule type="expression" priority="224" dxfId="6">
      <formula>IF(NoColor,1,0)</formula>
    </cfRule>
  </conditionalFormatting>
  <conditionalFormatting sqref="R122">
    <cfRule type="expression" priority="141" dxfId="6">
      <formula>IF(NoColor,1,0)</formula>
    </cfRule>
  </conditionalFormatting>
  <conditionalFormatting sqref="R311">
    <cfRule type="expression" priority="5" dxfId="6">
      <formula>IF(NoColor,1,0)</formula>
    </cfRule>
  </conditionalFormatting>
  <conditionalFormatting sqref="S57:S60 W57:W60">
    <cfRule type="expression" priority="285" dxfId="6">
      <formula>IF(NoColor,1,0)</formula>
    </cfRule>
  </conditionalFormatting>
  <conditionalFormatting sqref="S83:S86">
    <cfRule type="expression" priority="237" dxfId="6">
      <formula>IF(NoColor,1,0)</formula>
    </cfRule>
  </conditionalFormatting>
  <conditionalFormatting sqref="S246:S249 W246:W249">
    <cfRule type="expression" priority="107" dxfId="6">
      <formula>IF(NoColor,1,0)</formula>
    </cfRule>
  </conditionalFormatting>
  <conditionalFormatting sqref="S272:S275">
    <cfRule type="expression" priority="87" dxfId="6">
      <formula>IF(NoColor,1,0)</formula>
    </cfRule>
  </conditionalFormatting>
  <conditionalFormatting sqref="T30">
    <cfRule type="expression" priority="302" dxfId="6">
      <formula>IF(NoColor,1,0)</formula>
    </cfRule>
  </conditionalFormatting>
  <conditionalFormatting sqref="T77">
    <cfRule type="expression" priority="267" dxfId="6">
      <formula>IF(NoColor,1,0)</formula>
    </cfRule>
  </conditionalFormatting>
  <conditionalFormatting sqref="T266">
    <cfRule type="expression" priority="101" dxfId="6">
      <formula>IF(NoColor,1,0)</formula>
    </cfRule>
  </conditionalFormatting>
  <conditionalFormatting sqref="U63">
    <cfRule type="expression" priority="274" dxfId="6">
      <formula>IF(NoColor,1,0)</formula>
    </cfRule>
  </conditionalFormatting>
  <conditionalFormatting sqref="U76">
    <cfRule type="expression" priority="230" dxfId="6">
      <formula>IF(NoColor,1,0)</formula>
    </cfRule>
  </conditionalFormatting>
  <conditionalFormatting sqref="U143">
    <cfRule type="expression" priority="217" dxfId="6">
      <formula>IF(NoColor,1,0)</formula>
    </cfRule>
  </conditionalFormatting>
  <conditionalFormatting sqref="U219">
    <cfRule type="expression" priority="123" dxfId="6">
      <formula>IF(NoColor,1,0)</formula>
    </cfRule>
  </conditionalFormatting>
  <conditionalFormatting sqref="U252">
    <cfRule type="expression" priority="103" dxfId="6">
      <formula>IF(NoColor,1,0)</formula>
    </cfRule>
  </conditionalFormatting>
  <conditionalFormatting sqref="U265">
    <cfRule type="expression" priority="83" dxfId="6">
      <formula>IF(NoColor,1,0)</formula>
    </cfRule>
  </conditionalFormatting>
  <conditionalFormatting sqref="U332">
    <cfRule type="expression" priority="74" dxfId="6">
      <formula>IF(NoColor,1,0)</formula>
    </cfRule>
  </conditionalFormatting>
  <conditionalFormatting sqref="V18">
    <cfRule type="expression" priority="174" dxfId="6">
      <formula>IF(NoColor,1,0)</formula>
    </cfRule>
  </conditionalFormatting>
  <conditionalFormatting sqref="V20">
    <cfRule type="expression" priority="171" dxfId="6">
      <formula>IF(NoColor,1,0)</formula>
    </cfRule>
  </conditionalFormatting>
  <conditionalFormatting sqref="V42">
    <cfRule type="expression" priority="164" dxfId="6">
      <formula>IF(NoColor,1,0)</formula>
    </cfRule>
  </conditionalFormatting>
  <conditionalFormatting sqref="V101">
    <cfRule type="expression" priority="226" dxfId="6">
      <formula>IF(NoColor,1,0)</formula>
    </cfRule>
  </conditionalFormatting>
  <conditionalFormatting sqref="V207">
    <cfRule type="expression" priority="34" dxfId="6">
      <formula>IF(NoColor,1,0)</formula>
    </cfRule>
  </conditionalFormatting>
  <conditionalFormatting sqref="V209">
    <cfRule type="expression" priority="31" dxfId="6">
      <formula>IF(NoColor,1,0)</formula>
    </cfRule>
  </conditionalFormatting>
  <conditionalFormatting sqref="V231">
    <cfRule type="expression" priority="25" dxfId="6">
      <formula>IF(NoColor,1,0)</formula>
    </cfRule>
  </conditionalFormatting>
  <conditionalFormatting sqref="V290">
    <cfRule type="expression" priority="80" dxfId="6">
      <formula>IF(NoColor,1,0)</formula>
    </cfRule>
  </conditionalFormatting>
  <conditionalFormatting sqref="W147:Z147">
    <cfRule type="expression" priority="148" dxfId="6">
      <formula>IF(NoColor,1,0)</formula>
    </cfRule>
  </conditionalFormatting>
  <conditionalFormatting sqref="W336:Z336">
    <cfRule type="expression" priority="10" dxfId="6">
      <formula>IF(NoColor,1,0)</formula>
    </cfRule>
  </conditionalFormatting>
  <conditionalFormatting sqref="W113:AB117">
    <cfRule type="expression" priority="214" dxfId="6">
      <formula>IF(NoColor,1,0)</formula>
    </cfRule>
  </conditionalFormatting>
  <conditionalFormatting sqref="W119:AB119">
    <cfRule type="expression" priority="213" dxfId="6">
      <formula>IF(NoColor,1,0)</formula>
    </cfRule>
  </conditionalFormatting>
  <conditionalFormatting sqref="W151:AB151">
    <cfRule type="expression" priority="192" dxfId="6">
      <formula>IF(NoColor,1,0)</formula>
    </cfRule>
  </conditionalFormatting>
  <conditionalFormatting sqref="W302:AB306">
    <cfRule type="expression" priority="71" dxfId="6">
      <formula>IF(NoColor,1,0)</formula>
    </cfRule>
  </conditionalFormatting>
  <conditionalFormatting sqref="W308:AB308">
    <cfRule type="expression" priority="70" dxfId="6">
      <formula>IF(NoColor,1,0)</formula>
    </cfRule>
  </conditionalFormatting>
  <conditionalFormatting sqref="W340:AB340">
    <cfRule type="expression" priority="51" dxfId="6">
      <formula>IF(NoColor,1,0)</formula>
    </cfRule>
  </conditionalFormatting>
  <conditionalFormatting sqref="X83:X86">
    <cfRule type="expression" priority="244" dxfId="6">
      <formula>IF(NoColor,1,0)</formula>
    </cfRule>
  </conditionalFormatting>
  <conditionalFormatting sqref="X161">
    <cfRule type="expression" priority="147" dxfId="6">
      <formula>IF(NoColor,1,0)</formula>
    </cfRule>
  </conditionalFormatting>
  <conditionalFormatting sqref="X272:X275">
    <cfRule type="expression" priority="91" dxfId="6">
      <formula>IF(NoColor,1,0)</formula>
    </cfRule>
  </conditionalFormatting>
  <conditionalFormatting sqref="X350">
    <cfRule type="expression" priority="9" dxfId="6">
      <formula>IF(NoColor,1,0)</formula>
    </cfRule>
  </conditionalFormatting>
  <conditionalFormatting sqref="Y9">
    <cfRule type="expression" priority="321" dxfId="6">
      <formula>IF(NoColor,1,0)</formula>
    </cfRule>
  </conditionalFormatting>
  <conditionalFormatting sqref="Y13">
    <cfRule type="expression" priority="421" dxfId="6">
      <formula>IF(NoColor,1,0)</formula>
    </cfRule>
  </conditionalFormatting>
  <conditionalFormatting sqref="Y21">
    <cfRule type="expression" priority="306" dxfId="6">
      <formula>IF(NoColor,1,0)</formula>
    </cfRule>
  </conditionalFormatting>
  <conditionalFormatting sqref="Y40">
    <cfRule type="expression" priority="298" dxfId="6">
      <formula>IF(NoColor,1,0)</formula>
    </cfRule>
  </conditionalFormatting>
  <conditionalFormatting sqref="Y198">
    <cfRule type="expression" priority="133" dxfId="6">
      <formula>IF(NoColor,1,0)</formula>
    </cfRule>
  </conditionalFormatting>
  <conditionalFormatting sqref="Y202">
    <cfRule type="expression" priority="140" dxfId="6">
      <formula>IF(NoColor,1,0)</formula>
    </cfRule>
  </conditionalFormatting>
  <conditionalFormatting sqref="Y229">
    <cfRule type="expression" priority="120" dxfId="6">
      <formula>IF(NoColor,1,0)</formula>
    </cfRule>
  </conditionalFormatting>
  <conditionalFormatting sqref="Z210">
    <cfRule type="expression" priority="127" dxfId="6">
      <formula>IF(NoColor,1,0)</formula>
    </cfRule>
  </conditionalFormatting>
  <conditionalFormatting sqref="AA22">
    <cfRule type="expression" priority="142" dxfId="6">
      <formula>IF(NoColor,1,0)</formula>
    </cfRule>
  </conditionalFormatting>
  <conditionalFormatting sqref="AA57:AA61">
    <cfRule type="expression" priority="145" dxfId="6">
      <formula>IF(NoColor,1,0)</formula>
    </cfRule>
  </conditionalFormatting>
  <conditionalFormatting sqref="AA211">
    <cfRule type="expression" priority="6" dxfId="6">
      <formula>IF(NoColor,1,0)</formula>
    </cfRule>
  </conditionalFormatting>
  <conditionalFormatting sqref="AA246:AA250">
    <cfRule type="expression" priority="7" dxfId="6">
      <formula>IF(NoColor,1,0)</formula>
    </cfRule>
  </conditionalFormatting>
  <conditionalFormatting sqref="AB20">
    <cfRule type="expression" priority="307" dxfId="6">
      <formula>IF(NoColor,1,0)</formula>
    </cfRule>
  </conditionalFormatting>
  <conditionalFormatting sqref="AB83:AB86">
    <cfRule type="expression" priority="246" dxfId="6">
      <formula>IF(NoColor,1,0)</formula>
    </cfRule>
  </conditionalFormatting>
  <conditionalFormatting sqref="AB209">
    <cfRule type="expression" priority="128" dxfId="6">
      <formula>IF(NoColor,1,0)</formula>
    </cfRule>
  </conditionalFormatting>
  <conditionalFormatting sqref="AB272:AB275">
    <cfRule type="expression" priority="92" dxfId="6">
      <formula>IF(NoColor,1,0)</formula>
    </cfRule>
  </conditionalFormatting>
  <conditionalFormatting sqref="AC24">
    <cfRule type="expression" priority="305" dxfId="6">
      <formula>IF(NoColor,1,0)</formula>
    </cfRule>
  </conditionalFormatting>
  <conditionalFormatting sqref="AC213">
    <cfRule type="expression" priority="126" dxfId="6">
      <formula>IF(NoColor,1,0)</formula>
    </cfRule>
  </conditionalFormatting>
  <conditionalFormatting sqref="AD18">
    <cfRule type="expression" priority="173" dxfId="6">
      <formula>IF(NoColor,1,0)</formula>
    </cfRule>
  </conditionalFormatting>
  <conditionalFormatting sqref="AD76">
    <cfRule type="expression" priority="229" dxfId="6">
      <formula>IF(NoColor,1,0)</formula>
    </cfRule>
  </conditionalFormatting>
  <conditionalFormatting sqref="AD207">
    <cfRule type="expression" priority="33" dxfId="6">
      <formula>IF(NoColor,1,0)</formula>
    </cfRule>
  </conditionalFormatting>
  <conditionalFormatting sqref="AD265">
    <cfRule type="expression" priority="82" dxfId="6">
      <formula>IF(NoColor,1,0)</formula>
    </cfRule>
  </conditionalFormatting>
  <conditionalFormatting sqref="AE23">
    <cfRule type="expression" priority="169" dxfId="6">
      <formula>IF(NoColor,1,0)</formula>
    </cfRule>
  </conditionalFormatting>
  <conditionalFormatting sqref="AE27">
    <cfRule type="expression" priority="167" dxfId="6">
      <formula>IF(NoColor,1,0)</formula>
    </cfRule>
  </conditionalFormatting>
  <conditionalFormatting sqref="AE42">
    <cfRule type="expression" priority="163" dxfId="6">
      <formula>IF(NoColor,1,0)</formula>
    </cfRule>
  </conditionalFormatting>
  <conditionalFormatting sqref="AE45">
    <cfRule type="expression" priority="161" dxfId="6">
      <formula>IF(NoColor,1,0)</formula>
    </cfRule>
  </conditionalFormatting>
  <conditionalFormatting sqref="AE49">
    <cfRule type="expression" priority="159" dxfId="6">
      <formula>IF(NoColor,1,0)</formula>
    </cfRule>
  </conditionalFormatting>
  <conditionalFormatting sqref="AE51">
    <cfRule type="expression" priority="157" dxfId="6">
      <formula>IF(NoColor,1,0)</formula>
    </cfRule>
  </conditionalFormatting>
  <conditionalFormatting sqref="AE57:AE60">
    <cfRule type="expression" priority="284" dxfId="6">
      <formula>IF(NoColor,1,0)</formula>
    </cfRule>
  </conditionalFormatting>
  <conditionalFormatting sqref="AE65">
    <cfRule type="expression" priority="155" dxfId="6">
      <formula>IF(NoColor,1,0)</formula>
    </cfRule>
  </conditionalFormatting>
  <conditionalFormatting sqref="AE67">
    <cfRule type="expression" priority="153" dxfId="6">
      <formula>IF(NoColor,1,0)</formula>
    </cfRule>
  </conditionalFormatting>
  <conditionalFormatting sqref="AE212">
    <cfRule type="expression" priority="30" dxfId="6">
      <formula>IF(NoColor,1,0)</formula>
    </cfRule>
  </conditionalFormatting>
  <conditionalFormatting sqref="AE216">
    <cfRule type="expression" priority="28" dxfId="6">
      <formula>IF(NoColor,1,0)</formula>
    </cfRule>
  </conditionalFormatting>
  <conditionalFormatting sqref="AE231">
    <cfRule type="expression" priority="24" dxfId="6">
      <formula>IF(NoColor,1,0)</formula>
    </cfRule>
  </conditionalFormatting>
  <conditionalFormatting sqref="AE234">
    <cfRule type="expression" priority="22" dxfId="6">
      <formula>IF(NoColor,1,0)</formula>
    </cfRule>
  </conditionalFormatting>
  <conditionalFormatting sqref="AE238">
    <cfRule type="expression" priority="20" dxfId="6">
      <formula>IF(NoColor,1,0)</formula>
    </cfRule>
  </conditionalFormatting>
  <conditionalFormatting sqref="AE240">
    <cfRule type="expression" priority="18" dxfId="6">
      <formula>IF(NoColor,1,0)</formula>
    </cfRule>
  </conditionalFormatting>
  <conditionalFormatting sqref="AE246:AE249">
    <cfRule type="expression" priority="106" dxfId="6">
      <formula>IF(NoColor,1,0)</formula>
    </cfRule>
  </conditionalFormatting>
  <conditionalFormatting sqref="AE254">
    <cfRule type="expression" priority="16" dxfId="6">
      <formula>IF(NoColor,1,0)</formula>
    </cfRule>
  </conditionalFormatting>
  <conditionalFormatting sqref="AE256">
    <cfRule type="expression" priority="14" dxfId="6">
      <formula>IF(NoColor,1,0)</formula>
    </cfRule>
  </conditionalFormatting>
  <conditionalFormatting sqref="AE98:AJ98">
    <cfRule type="expression" priority="212" dxfId="6">
      <formula>IF(NoColor,1,0)</formula>
    </cfRule>
  </conditionalFormatting>
  <conditionalFormatting sqref="AE100:AJ100">
    <cfRule type="expression" priority="211" dxfId="6">
      <formula>IF(NoColor,1,0)</formula>
    </cfRule>
  </conditionalFormatting>
  <conditionalFormatting sqref="AE102:AJ102">
    <cfRule type="expression" priority="210" dxfId="6">
      <formula>IF(NoColor,1,0)</formula>
    </cfRule>
  </conditionalFormatting>
  <conditionalFormatting sqref="AE105:AJ105">
    <cfRule type="expression" priority="209" dxfId="6">
      <formula>IF(NoColor,1,0)</formula>
    </cfRule>
  </conditionalFormatting>
  <conditionalFormatting sqref="AE107:AJ107">
    <cfRule type="expression" priority="208" dxfId="6">
      <formula>IF(NoColor,1,0)</formula>
    </cfRule>
  </conditionalFormatting>
  <conditionalFormatting sqref="AE109:AJ109">
    <cfRule type="expression" priority="207" dxfId="6">
      <formula>IF(NoColor,1,0)</formula>
    </cfRule>
  </conditionalFormatting>
  <conditionalFormatting sqref="AE111:AJ111">
    <cfRule type="expression" priority="206" dxfId="6">
      <formula>IF(NoColor,1,0)</formula>
    </cfRule>
  </conditionalFormatting>
  <conditionalFormatting sqref="AE121:AJ121">
    <cfRule type="expression" priority="205" dxfId="6">
      <formula>IF(NoColor,1,0)</formula>
    </cfRule>
  </conditionalFormatting>
  <conditionalFormatting sqref="AE123:AJ123">
    <cfRule type="expression" priority="204" dxfId="6">
      <formula>IF(NoColor,1,0)</formula>
    </cfRule>
  </conditionalFormatting>
  <conditionalFormatting sqref="AE125:AJ125">
    <cfRule type="expression" priority="203" dxfId="6">
      <formula>IF(NoColor,1,0)</formula>
    </cfRule>
  </conditionalFormatting>
  <conditionalFormatting sqref="AE127:AJ127">
    <cfRule type="expression" priority="202" dxfId="6">
      <formula>IF(NoColor,1,0)</formula>
    </cfRule>
  </conditionalFormatting>
  <conditionalFormatting sqref="AE129:AJ129">
    <cfRule type="expression" priority="201" dxfId="6">
      <formula>IF(NoColor,1,0)</formula>
    </cfRule>
  </conditionalFormatting>
  <conditionalFormatting sqref="AE134:AJ134">
    <cfRule type="expression" priority="197" dxfId="6">
      <formula>IF(NoColor,1,0)</formula>
    </cfRule>
  </conditionalFormatting>
  <conditionalFormatting sqref="AE142:AJ142">
    <cfRule type="expression" priority="199" dxfId="6">
      <formula>IF(NoColor,1,0)</formula>
    </cfRule>
  </conditionalFormatting>
  <conditionalFormatting sqref="AE144:AJ145">
    <cfRule type="expression" priority="196" dxfId="6">
      <formula>IF(NoColor,1,0)</formula>
    </cfRule>
  </conditionalFormatting>
  <conditionalFormatting sqref="AE148:AJ148">
    <cfRule type="expression" priority="194" dxfId="6">
      <formula>IF(NoColor,1,0)</formula>
    </cfRule>
  </conditionalFormatting>
  <conditionalFormatting sqref="AE150:AJ150">
    <cfRule type="expression" priority="193" dxfId="6">
      <formula>IF(NoColor,1,0)</formula>
    </cfRule>
  </conditionalFormatting>
  <conditionalFormatting sqref="AE155:AJ155">
    <cfRule type="expression" priority="190" dxfId="6">
      <formula>IF(NoColor,1,0)</formula>
    </cfRule>
  </conditionalFormatting>
  <conditionalFormatting sqref="AE159:AJ159">
    <cfRule type="expression" priority="189" dxfId="6">
      <formula>IF(NoColor,1,0)</formula>
    </cfRule>
  </conditionalFormatting>
  <conditionalFormatting sqref="AE166:AJ168">
    <cfRule type="expression" priority="184" dxfId="6">
      <formula>IF(NoColor,1,0)</formula>
    </cfRule>
  </conditionalFormatting>
  <conditionalFormatting sqref="AE170:AJ170">
    <cfRule type="expression" priority="183" dxfId="6">
      <formula>IF(NoColor,1,0)</formula>
    </cfRule>
  </conditionalFormatting>
  <conditionalFormatting sqref="AE172:AJ172">
    <cfRule type="expression" priority="182" dxfId="6">
      <formula>IF(NoColor,1,0)</formula>
    </cfRule>
  </conditionalFormatting>
  <conditionalFormatting sqref="AE175:AJ175">
    <cfRule type="expression" priority="181" dxfId="6">
      <formula>IF(NoColor,1,0)</formula>
    </cfRule>
  </conditionalFormatting>
  <conditionalFormatting sqref="AE179:AJ181">
    <cfRule type="expression" priority="178" dxfId="6">
      <formula>IF(NoColor,1,0)</formula>
    </cfRule>
  </conditionalFormatting>
  <conditionalFormatting sqref="AE186:AJ186">
    <cfRule type="expression" priority="177" dxfId="6">
      <formula>IF(NoColor,1,0)</formula>
    </cfRule>
  </conditionalFormatting>
  <conditionalFormatting sqref="AE189:AJ189">
    <cfRule type="expression" priority="176" dxfId="6">
      <formula>IF(NoColor,1,0)</formula>
    </cfRule>
  </conditionalFormatting>
  <conditionalFormatting sqref="AE287:AJ287">
    <cfRule type="expression" priority="69" dxfId="6">
      <formula>IF(NoColor,1,0)</formula>
    </cfRule>
  </conditionalFormatting>
  <conditionalFormatting sqref="AE289:AJ289">
    <cfRule type="expression" priority="68" dxfId="6">
      <formula>IF(NoColor,1,0)</formula>
    </cfRule>
  </conditionalFormatting>
  <conditionalFormatting sqref="AE291:AJ291">
    <cfRule type="expression" priority="67" dxfId="6">
      <formula>IF(NoColor,1,0)</formula>
    </cfRule>
  </conditionalFormatting>
  <conditionalFormatting sqref="AE294:AJ294">
    <cfRule type="expression" priority="66" dxfId="6">
      <formula>IF(NoColor,1,0)</formula>
    </cfRule>
  </conditionalFormatting>
  <conditionalFormatting sqref="AE296:AJ296">
    <cfRule type="expression" priority="65" dxfId="6">
      <formula>IF(NoColor,1,0)</formula>
    </cfRule>
  </conditionalFormatting>
  <conditionalFormatting sqref="AE298:AJ298">
    <cfRule type="expression" priority="64" dxfId="6">
      <formula>IF(NoColor,1,0)</formula>
    </cfRule>
  </conditionalFormatting>
  <conditionalFormatting sqref="AE300:AJ300">
    <cfRule type="expression" priority="63" dxfId="6">
      <formula>IF(NoColor,1,0)</formula>
    </cfRule>
  </conditionalFormatting>
  <conditionalFormatting sqref="AE310:AJ310">
    <cfRule type="expression" priority="62" dxfId="6">
      <formula>IF(NoColor,1,0)</formula>
    </cfRule>
  </conditionalFormatting>
  <conditionalFormatting sqref="AE312:AJ312">
    <cfRule type="expression" priority="61" dxfId="6">
      <formula>IF(NoColor,1,0)</formula>
    </cfRule>
  </conditionalFormatting>
  <conditionalFormatting sqref="AE314:AJ314">
    <cfRule type="expression" priority="60" dxfId="6">
      <formula>IF(NoColor,1,0)</formula>
    </cfRule>
  </conditionalFormatting>
  <conditionalFormatting sqref="AE316:AJ316">
    <cfRule type="expression" priority="59" dxfId="6">
      <formula>IF(NoColor,1,0)</formula>
    </cfRule>
  </conditionalFormatting>
  <conditionalFormatting sqref="AE318:AJ318">
    <cfRule type="expression" priority="58" dxfId="6">
      <formula>IF(NoColor,1,0)</formula>
    </cfRule>
  </conditionalFormatting>
  <conditionalFormatting sqref="AE323:AJ323">
    <cfRule type="expression" priority="55" dxfId="6">
      <formula>IF(NoColor,1,0)</formula>
    </cfRule>
  </conditionalFormatting>
  <conditionalFormatting sqref="AE331:AJ331">
    <cfRule type="expression" priority="57" dxfId="6">
      <formula>IF(NoColor,1,0)</formula>
    </cfRule>
  </conditionalFormatting>
  <conditionalFormatting sqref="AE333:AJ334">
    <cfRule type="expression" priority="54" dxfId="6">
      <formula>IF(NoColor,1,0)</formula>
    </cfRule>
  </conditionalFormatting>
  <conditionalFormatting sqref="AE337:AJ337">
    <cfRule type="expression" priority="53" dxfId="6">
      <formula>IF(NoColor,1,0)</formula>
    </cfRule>
  </conditionalFormatting>
  <conditionalFormatting sqref="AE339:AJ339">
    <cfRule type="expression" priority="52" dxfId="6">
      <formula>IF(NoColor,1,0)</formula>
    </cfRule>
  </conditionalFormatting>
  <conditionalFormatting sqref="AE344:AJ344">
    <cfRule type="expression" priority="49" dxfId="6">
      <formula>IF(NoColor,1,0)</formula>
    </cfRule>
  </conditionalFormatting>
  <conditionalFormatting sqref="AE348:AJ348">
    <cfRule type="expression" priority="48" dxfId="6">
      <formula>IF(NoColor,1,0)</formula>
    </cfRule>
  </conditionalFormatting>
  <conditionalFormatting sqref="AE355:AJ357">
    <cfRule type="expression" priority="44" dxfId="6">
      <formula>IF(NoColor,1,0)</formula>
    </cfRule>
  </conditionalFormatting>
  <conditionalFormatting sqref="AE359:AJ359">
    <cfRule type="expression" priority="43" dxfId="6">
      <formula>IF(NoColor,1,0)</formula>
    </cfRule>
  </conditionalFormatting>
  <conditionalFormatting sqref="AE361:AJ361">
    <cfRule type="expression" priority="42" dxfId="6">
      <formula>IF(NoColor,1,0)</formula>
    </cfRule>
  </conditionalFormatting>
  <conditionalFormatting sqref="AE364:AJ364">
    <cfRule type="expression" priority="41" dxfId="6">
      <formula>IF(NoColor,1,0)</formula>
    </cfRule>
  </conditionalFormatting>
  <conditionalFormatting sqref="AE368:AJ370">
    <cfRule type="expression" priority="38" dxfId="6">
      <formula>IF(NoColor,1,0)</formula>
    </cfRule>
  </conditionalFormatting>
  <conditionalFormatting sqref="AE375:AJ375">
    <cfRule type="expression" priority="37" dxfId="6">
      <formula>IF(NoColor,1,0)</formula>
    </cfRule>
  </conditionalFormatting>
  <conditionalFormatting sqref="AE378:AJ378">
    <cfRule type="expression" priority="36" dxfId="6">
      <formula>IF(NoColor,1,0)</formula>
    </cfRule>
  </conditionalFormatting>
  <conditionalFormatting sqref="AF83:AF86">
    <cfRule type="expression" priority="231" dxfId="6">
      <formula>IF(NoColor,1,0)</formula>
    </cfRule>
  </conditionalFormatting>
  <conditionalFormatting sqref="AF272:AF275">
    <cfRule type="expression" priority="84" dxfId="6">
      <formula>IF(NoColor,1,0)</formula>
    </cfRule>
  </conditionalFormatting>
  <conditionalFormatting sqref="AH23">
    <cfRule type="expression" priority="168" dxfId="6">
      <formula>IF(NoColor,1,0)</formula>
    </cfRule>
  </conditionalFormatting>
  <conditionalFormatting sqref="AH27">
    <cfRule type="expression" priority="166" dxfId="6">
      <formula>IF(NoColor,1,0)</formula>
    </cfRule>
  </conditionalFormatting>
  <conditionalFormatting sqref="AH45">
    <cfRule type="expression" priority="160" dxfId="6">
      <formula>IF(NoColor,1,0)</formula>
    </cfRule>
  </conditionalFormatting>
  <conditionalFormatting sqref="AH49">
    <cfRule type="expression" priority="158" dxfId="6">
      <formula>IF(NoColor,1,0)</formula>
    </cfRule>
  </conditionalFormatting>
  <conditionalFormatting sqref="AH51">
    <cfRule type="expression" priority="156" dxfId="6">
      <formula>IF(NoColor,1,0)</formula>
    </cfRule>
  </conditionalFormatting>
  <conditionalFormatting sqref="AH65">
    <cfRule type="expression" priority="154" dxfId="6">
      <formula>IF(NoColor,1,0)</formula>
    </cfRule>
  </conditionalFormatting>
  <conditionalFormatting sqref="AH67">
    <cfRule type="expression" priority="152" dxfId="6">
      <formula>IF(NoColor,1,0)</formula>
    </cfRule>
  </conditionalFormatting>
  <conditionalFormatting sqref="AH212">
    <cfRule type="expression" priority="29" dxfId="6">
      <formula>IF(NoColor,1,0)</formula>
    </cfRule>
  </conditionalFormatting>
  <conditionalFormatting sqref="AH216">
    <cfRule type="expression" priority="27" dxfId="6">
      <formula>IF(NoColor,1,0)</formula>
    </cfRule>
  </conditionalFormatting>
  <conditionalFormatting sqref="AH234">
    <cfRule type="expression" priority="21" dxfId="6">
      <formula>IF(NoColor,1,0)</formula>
    </cfRule>
  </conditionalFormatting>
  <conditionalFormatting sqref="AH238">
    <cfRule type="expression" priority="19" dxfId="6">
      <formula>IF(NoColor,1,0)</formula>
    </cfRule>
  </conditionalFormatting>
  <conditionalFormatting sqref="AH240">
    <cfRule type="expression" priority="17" dxfId="6">
      <formula>IF(NoColor,1,0)</formula>
    </cfRule>
  </conditionalFormatting>
  <conditionalFormatting sqref="AH254">
    <cfRule type="expression" priority="15" dxfId="6">
      <formula>IF(NoColor,1,0)</formula>
    </cfRule>
  </conditionalFormatting>
  <conditionalFormatting sqref="AH256">
    <cfRule type="expression" priority="13" dxfId="6">
      <formula>IF(NoColor,1,0)</formula>
    </cfRule>
  </conditionalFormatting>
  <conditionalFormatting sqref="AH153:AJ153">
    <cfRule type="expression" priority="191" dxfId="6">
      <formula>IF(NoColor,1,0)</formula>
    </cfRule>
  </conditionalFormatting>
  <conditionalFormatting sqref="AH164:AJ164">
    <cfRule type="expression" priority="188" dxfId="6">
      <formula>IF(NoColor,1,0)</formula>
    </cfRule>
  </conditionalFormatting>
  <conditionalFormatting sqref="AH342:AJ342">
    <cfRule type="expression" priority="50" dxfId="6">
      <formula>IF(NoColor,1,0)</formula>
    </cfRule>
  </conditionalFormatting>
  <conditionalFormatting sqref="AH353:AJ353">
    <cfRule type="expression" priority="47" dxfId="6">
      <formula>IF(NoColor,1,0)</formula>
    </cfRule>
  </conditionalFormatting>
  <conditionalFormatting sqref="BF28">
    <cfRule type="expression" priority="335" dxfId="6">
      <formula>IF(NoColor,1,0)</formula>
    </cfRule>
  </conditionalFormatting>
  <conditionalFormatting sqref="BF31">
    <cfRule type="expression" priority="334" dxfId="6">
      <formula>IF(NoColor,1,0)</formula>
    </cfRule>
  </conditionalFormatting>
  <conditionalFormatting sqref="BF35">
    <cfRule type="expression" priority="333" dxfId="6">
      <formula>IF(NoColor,1,0)</formula>
    </cfRule>
  </conditionalFormatting>
  <conditionalFormatting sqref="BF217">
    <cfRule type="expression" priority="136" dxfId="6">
      <formula>IF(NoColor,1,0)</formula>
    </cfRule>
  </conditionalFormatting>
  <conditionalFormatting sqref="BF220">
    <cfRule type="expression" priority="135" dxfId="6">
      <formula>IF(NoColor,1,0)</formula>
    </cfRule>
  </conditionalFormatting>
  <conditionalFormatting sqref="BF224">
    <cfRule type="expression" priority="134" dxfId="6">
      <formula>IF(NoColor,1,0)</formula>
    </cfRule>
  </conditionalFormatting>
  <conditionalFormatting sqref="BG23">
    <cfRule type="expression" priority="337" dxfId="6">
      <formula>IF(NoColor,1,0)</formula>
    </cfRule>
  </conditionalFormatting>
  <conditionalFormatting sqref="BG42">
    <cfRule type="expression" priority="338" dxfId="6">
      <formula>IF(NoColor,1,0)</formula>
    </cfRule>
  </conditionalFormatting>
  <conditionalFormatting sqref="BG44">
    <cfRule type="expression" priority="343" dxfId="6">
      <formula>IF(NoColor,1,0)</formula>
    </cfRule>
  </conditionalFormatting>
  <conditionalFormatting sqref="BG212">
    <cfRule type="expression" priority="137" dxfId="6">
      <formula>IF(NoColor,1,0)</formula>
    </cfRule>
  </conditionalFormatting>
  <conditionalFormatting sqref="BG231">
    <cfRule type="expression" priority="138" dxfId="6">
      <formula>IF(NoColor,1,0)</formula>
    </cfRule>
  </conditionalFormatting>
  <conditionalFormatting sqref="BG233">
    <cfRule type="expression" priority="139" dxfId="6">
      <formula>IF(NoColor,1,0)</formula>
    </cfRule>
  </conditionalFormatting>
  <pageMargins left="0.75" right="0.25" top="0.36" bottom="0.29" header="0.36" footer="0.21"/>
  <pageSetup orientation="portrait" scale="71" fitToHeight="0"/>
  <rowBreaks count="2" manualBreakCount="2">
    <brk id="71" min="1" max="35" man="1"/>
    <brk id="130" min="1" max="35" man="1"/>
  </rowBreaks>
</worksheet>
</file>

<file path=xl/worksheets/sheet42.xml><?xml version="1.0" encoding="utf-8"?>
<worksheet xmlns="http://schemas.openxmlformats.org/spreadsheetml/2006/main">
  <sheetPr>
    <outlinePr summaryBelow="1" summaryRight="1"/>
    <pageSetUpPr fitToPage="1"/>
  </sheetPr>
  <dimension ref="A1:AZ87"/>
  <sheetViews>
    <sheetView zoomScaleNormal="100" zoomScaleSheetLayoutView="100" workbookViewId="0">
      <selection activeCell="A1" sqref="A1"/>
    </sheetView>
  </sheetViews>
  <sheetFormatPr baseColWidth="8" defaultColWidth="9.140625" defaultRowHeight="15"/>
  <cols>
    <col width="2.7109375" customWidth="1" style="7635" min="1" max="1"/>
    <col width="5.140625" customWidth="1" style="8648" min="2" max="2"/>
    <col width="3.28515625" customWidth="1" style="7635" min="3" max="3"/>
    <col width="5.140625" customWidth="1" style="7635" min="4" max="4"/>
    <col width="3.85546875" customWidth="1" style="7635" min="5" max="8"/>
    <col width="4" customWidth="1" style="7635" min="9" max="9"/>
    <col width="5.42578125" customWidth="1" style="7635" min="10" max="10"/>
    <col width="4" customWidth="1" style="7635" min="11" max="15"/>
    <col width="3.85546875" customWidth="1" style="7635" min="16" max="17"/>
    <col width="3.140625" customWidth="1" style="7635" min="18" max="18"/>
    <col width="3.5703125" customWidth="1" style="7635" min="19" max="19"/>
    <col width="6.42578125" customWidth="1" style="7635" min="20" max="20"/>
    <col width="3.5703125" customWidth="1" style="7635" min="21" max="21"/>
    <col width="5.7109375" customWidth="1" style="7635" min="22" max="22"/>
    <col width="4.7109375" customWidth="1" style="7635" min="23" max="24"/>
    <col width="3.85546875" customWidth="1" style="7635" min="25" max="27"/>
    <col width="5.7109375" customWidth="1" style="7635" min="28" max="28"/>
    <col width="3.42578125" customWidth="1" style="7635" min="29" max="29"/>
    <col width="5.5703125" customWidth="1" style="1405" min="30" max="30"/>
    <col width="4" customWidth="1" style="7635" min="31" max="31"/>
    <col width="3.85546875" customWidth="1" style="7635" min="32" max="32"/>
    <col width="6.5703125" customWidth="1" style="7635" min="33" max="33"/>
    <col width="3.140625" customWidth="1" style="7635" min="34" max="34"/>
    <col width="4" customWidth="1" style="7635" min="35" max="35"/>
    <col width="2.7109375" customWidth="1" style="7635" min="36" max="36"/>
    <col width="2.85546875" customWidth="1" style="7635" min="38" max="38"/>
    <col width="14.42578125" customWidth="1" style="7635" min="39" max="39"/>
    <col hidden="1" width="13.7109375" customWidth="1" style="1224" min="40" max="40"/>
    <col width="4.140625" customWidth="1" style="7635" min="41" max="41"/>
    <col width="10.7109375" customWidth="1" style="658" min="42" max="50"/>
    <col width="4.140625" customWidth="1" style="658" min="51" max="51"/>
  </cols>
  <sheetData>
    <row r="1" ht="23.25" customFormat="1" customHeight="1" s="81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326" t="n"/>
      <c r="AE1" s="2013" t="n"/>
      <c r="AF1" s="2013" t="n"/>
      <c r="AG1" s="2013" t="n"/>
      <c r="AH1" s="2013" t="n"/>
      <c r="AI1" s="2013" t="n"/>
      <c r="AJ1" s="2013" t="n"/>
      <c r="AK1" s="2013" t="n"/>
      <c r="AL1" s="11602" t="n"/>
      <c r="AM1" s="11602" t="n"/>
      <c r="AN1" s="724" t="n"/>
      <c r="AP1" s="658" t="n"/>
      <c r="AQ1" s="658" t="n"/>
      <c r="AR1" s="658" t="n"/>
      <c r="AS1" s="658" t="n"/>
      <c r="AT1" s="658" t="n"/>
      <c r="AU1" s="658" t="n"/>
      <c r="AV1" s="658" t="n"/>
      <c r="AW1" s="658" t="n"/>
      <c r="AX1" s="658" t="n"/>
      <c r="AY1" s="658" t="n"/>
    </row>
    <row r="2" ht="24" customFormat="1" customHeight="1" s="815">
      <c r="A2" s="2013" t="n"/>
      <c r="B2" s="9935">
        <f>IF('Table of Contents'!A48="D","DRAFT","")</f>
        <v/>
      </c>
      <c r="D2" s="9936" t="n">
        <v>4137</v>
      </c>
      <c r="H2" s="379" t="n"/>
      <c r="I2" s="12457" t="inlineStr">
        <is>
          <t>Social Security and  Medicare Tax 
on Unreported Tip Income</t>
        </is>
      </c>
      <c r="AB2" s="1066" t="n"/>
      <c r="AC2" s="9942">
        <f>IF('Table of Contents'!A48="D","DRAFT","OMB No. 1545-0074")</f>
        <v/>
      </c>
      <c r="AD2" s="7637" t="n"/>
      <c r="AE2" s="7637" t="n"/>
      <c r="AF2" s="7637" t="n"/>
      <c r="AG2" s="7637" t="n"/>
      <c r="AH2" s="7637" t="n"/>
      <c r="AI2" s="7637" t="n"/>
      <c r="AJ2" s="7637" t="n"/>
      <c r="AK2" s="2013" t="n"/>
      <c r="AL2" s="11602" t="n"/>
      <c r="AM2" s="11602" t="n"/>
      <c r="AN2" s="724" t="n"/>
      <c r="AP2" s="658" t="n"/>
      <c r="AQ2" s="658" t="n"/>
      <c r="AR2" s="658" t="n"/>
      <c r="AS2" s="658" t="n"/>
      <c r="AT2" s="658" t="n"/>
      <c r="AU2" s="658" t="n"/>
      <c r="AV2" s="658" t="n"/>
      <c r="AW2" s="658" t="n"/>
      <c r="AX2" s="658" t="n"/>
      <c r="AY2" s="658" t="n"/>
    </row>
    <row r="3" ht="24" customFormat="1" customHeight="1" s="815">
      <c r="A3" s="2013" t="n"/>
      <c r="B3" s="9886" t="inlineStr">
        <is>
          <t>Form</t>
        </is>
      </c>
      <c r="H3" s="379" t="n"/>
      <c r="I3" s="11741" t="n"/>
      <c r="AB3" s="1066" t="n"/>
      <c r="AC3" s="9887">
        <f>TaxYear</f>
        <v/>
      </c>
      <c r="AD3" s="7839" t="n"/>
      <c r="AE3" s="7839" t="n"/>
      <c r="AF3" s="7839" t="n"/>
      <c r="AG3" s="7839" t="n"/>
      <c r="AH3" s="7839" t="n"/>
      <c r="AI3" s="7839" t="n"/>
      <c r="AJ3" s="7839" t="n"/>
      <c r="AK3" s="2013" t="n"/>
      <c r="AL3" s="344" t="inlineStr">
        <is>
          <t>This form is for:</t>
        </is>
      </c>
      <c r="AM3" s="344" t="n"/>
      <c r="AN3" s="724" t="n"/>
      <c r="AP3" s="658" t="n"/>
      <c r="AQ3" s="658" t="n"/>
      <c r="AR3" s="658" t="n"/>
      <c r="AS3" s="658" t="n"/>
      <c r="AT3" s="658" t="n"/>
      <c r="AU3" s="658" t="n"/>
      <c r="AV3" s="658" t="n"/>
      <c r="AW3" s="658" t="n"/>
      <c r="AX3" s="658" t="n"/>
      <c r="AY3" s="658" t="n"/>
    </row>
    <row r="4" ht="6.75" customFormat="1" customHeight="1" s="815" thickBot="1">
      <c r="A4" s="2013" t="n"/>
      <c r="B4" s="344" t="n"/>
      <c r="C4" s="11602" t="n"/>
      <c r="D4" s="11602" t="n"/>
      <c r="E4" s="11602" t="n"/>
      <c r="F4" s="11602" t="n"/>
      <c r="G4" s="11602" t="n"/>
      <c r="H4" s="379" t="n"/>
      <c r="I4" s="11930" t="inlineStr">
        <is>
          <t>Attach to your tax return</t>
        </is>
      </c>
      <c r="AB4" s="1066" t="n"/>
      <c r="AC4" s="11741" t="n"/>
      <c r="AK4" s="2013" t="n"/>
      <c r="AL4" s="11602" t="n"/>
      <c r="AM4" s="11602" t="n"/>
      <c r="AN4" s="724" t="n"/>
      <c r="AP4" s="658" t="n"/>
      <c r="AQ4" s="658" t="n"/>
      <c r="AR4" s="658" t="n"/>
      <c r="AS4" s="658" t="n"/>
      <c r="AT4" s="658" t="n"/>
      <c r="AU4" s="658" t="n"/>
      <c r="AV4" s="658" t="n"/>
      <c r="AW4" s="658" t="n"/>
      <c r="AX4" s="658" t="n"/>
      <c r="AY4" s="658" t="n"/>
    </row>
    <row r="5" ht="16.5" customFormat="1" customHeight="1" s="815" thickBot="1">
      <c r="A5" s="2013" t="n"/>
      <c r="B5" s="344" t="inlineStr">
        <is>
          <t>Department of the Treasury</t>
        </is>
      </c>
      <c r="C5" s="11602" t="n"/>
      <c r="D5" s="11602" t="n"/>
      <c r="E5" s="11602" t="n"/>
      <c r="F5" s="11602" t="n"/>
      <c r="G5" s="11602" t="n"/>
      <c r="H5" s="379" t="n"/>
      <c r="I5" s="11741" t="n"/>
      <c r="AB5" s="1066" t="n"/>
      <c r="AC5" s="341" t="n"/>
      <c r="AD5" s="9237" t="inlineStr">
        <is>
          <t xml:space="preserve">   Attachment</t>
        </is>
      </c>
      <c r="AH5" s="9918" t="n">
        <v>24</v>
      </c>
      <c r="AJ5" s="11602" t="n"/>
      <c r="AK5" s="2013" t="n"/>
      <c r="AL5" s="6647" t="inlineStr">
        <is>
          <t>X</t>
        </is>
      </c>
      <c r="AM5" s="344" t="inlineStr">
        <is>
          <t>You</t>
        </is>
      </c>
      <c r="AN5" s="724" t="n"/>
      <c r="AP5" s="658" t="n"/>
      <c r="AQ5" s="658" t="n"/>
      <c r="AR5" s="658" t="n"/>
      <c r="AS5" s="658" t="n"/>
      <c r="AT5" s="658" t="n"/>
      <c r="AU5" s="658" t="n"/>
      <c r="AV5" s="658" t="n"/>
      <c r="AW5" s="658" t="n"/>
      <c r="AX5" s="658" t="n"/>
      <c r="AY5" s="658" t="n"/>
    </row>
    <row r="6" ht="15.75" customFormat="1" customHeight="1" s="815" thickBot="1">
      <c r="A6" s="2013" t="n"/>
      <c r="B6" s="498" t="inlineStr">
        <is>
          <t>Internal Revenue Service</t>
        </is>
      </c>
      <c r="C6" s="380" t="n"/>
      <c r="D6" s="380" t="n"/>
      <c r="E6" s="380" t="n"/>
      <c r="F6" s="380" t="n"/>
      <c r="G6" s="380" t="n"/>
      <c r="H6" s="381" t="n"/>
      <c r="I6" s="12458" t="inlineStr">
        <is>
          <t>Go to www.irs.gov/Form4137 for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21" t="inlineStr">
        <is>
          <t xml:space="preserve">Sequence No.  </t>
        </is>
      </c>
      <c r="AE6" s="8848" t="n"/>
      <c r="AF6" s="8848" t="n"/>
      <c r="AG6" s="8848" t="n"/>
      <c r="AH6" s="8848" t="n"/>
      <c r="AI6" s="8848" t="n"/>
      <c r="AJ6" s="380" t="n"/>
      <c r="AK6" s="2013" t="n"/>
      <c r="AL6" s="6647" t="n"/>
      <c r="AM6" s="344" t="inlineStr">
        <is>
          <t>Your spouse</t>
        </is>
      </c>
      <c r="AN6" s="724" t="n"/>
      <c r="AP6" s="658" t="n"/>
      <c r="AQ6" s="658" t="n"/>
      <c r="AR6" s="658" t="n"/>
      <c r="AS6" s="658" t="n"/>
      <c r="AT6" s="658" t="n"/>
      <c r="AU6" s="658" t="n"/>
      <c r="AV6" s="658" t="n"/>
      <c r="AW6" s="658" t="n"/>
      <c r="AX6" s="658" t="n"/>
      <c r="AY6" s="658" t="n"/>
    </row>
    <row r="7" customFormat="1" s="815">
      <c r="A7" s="2013" t="n"/>
      <c r="B7" s="9924" t="inlineStr">
        <is>
          <t xml:space="preserve">Name of person who received tips. If married, complete a separate Form 4137 for each spouse with unreported tips. </t>
        </is>
      </c>
      <c r="C7" s="2506" t="n"/>
      <c r="D7" s="2506" t="n"/>
      <c r="E7" s="2506" t="n"/>
      <c r="F7" s="2506" t="n"/>
      <c r="G7" s="2506" t="n"/>
      <c r="H7" s="2506" t="n"/>
      <c r="I7" s="2506" t="n"/>
      <c r="J7" s="2506" t="n"/>
      <c r="K7" s="2506" t="n"/>
      <c r="L7" s="2506" t="n"/>
      <c r="M7" s="2506" t="n"/>
      <c r="N7" s="2506" t="n"/>
      <c r="O7" s="2506" t="n"/>
      <c r="P7" s="2506" t="n"/>
      <c r="Q7" s="2506" t="n"/>
      <c r="R7" s="2506" t="n"/>
      <c r="S7" s="2506" t="n"/>
      <c r="T7" s="2506" t="n"/>
      <c r="U7" s="2506" t="n"/>
      <c r="V7" s="2506" t="n"/>
      <c r="W7" s="2506" t="n"/>
      <c r="X7" s="2506" t="n"/>
      <c r="Y7" s="2506" t="n"/>
      <c r="Z7" s="2506" t="n"/>
      <c r="AA7" s="11716" t="n"/>
      <c r="AB7" s="6623" t="inlineStr">
        <is>
          <t xml:space="preserve"> Social security number</t>
        </is>
      </c>
      <c r="AC7" s="377" t="n"/>
      <c r="AD7" s="6632" t="n"/>
      <c r="AE7" s="2289" t="n"/>
      <c r="AF7" s="2289" t="n"/>
      <c r="AG7" s="2289" t="n"/>
      <c r="AH7" s="2289" t="n"/>
      <c r="AI7" s="2289" t="n"/>
      <c r="AJ7" s="2289" t="n"/>
      <c r="AK7" s="2013" t="n"/>
      <c r="AL7" s="2741">
        <f>IF(AND(AL5="",AL6=""),"Choose one.",IF(AND(AL5&lt;&gt;"",AL6&lt;&gt;""),"Chose ONLY one.",""))</f>
        <v/>
      </c>
      <c r="AM7" s="11602" t="n"/>
      <c r="AN7" s="724" t="n"/>
      <c r="AP7" s="658" t="n"/>
      <c r="AQ7" s="658" t="n"/>
      <c r="AR7" s="658" t="n"/>
      <c r="AS7" s="658" t="n"/>
      <c r="AT7" s="658" t="n"/>
      <c r="AU7" s="658" t="n"/>
      <c r="AV7" s="658" t="n"/>
      <c r="AW7" s="658" t="n"/>
      <c r="AX7" s="658" t="n"/>
      <c r="AY7" s="658" t="n"/>
    </row>
    <row r="8" ht="18" customFormat="1" customHeight="1" s="815">
      <c r="A8" s="2013" t="n"/>
      <c r="B8" s="9926">
        <f>IF(AND(AL5&lt;&gt;"",AL6&lt;&gt;""),"",IF(AL5&lt;&gt;"",NameYours,IF(AL6&lt;&gt;"",NameSpouse,"")))</f>
        <v/>
      </c>
      <c r="C8" s="7637" t="n"/>
      <c r="D8" s="7637" t="n"/>
      <c r="E8" s="7637" t="n"/>
      <c r="F8" s="7637" t="n"/>
      <c r="G8" s="7637" t="n"/>
      <c r="H8" s="7637" t="n"/>
      <c r="I8" s="7637" t="n"/>
      <c r="J8" s="7637" t="n"/>
      <c r="K8" s="7637" t="n"/>
      <c r="L8" s="7637" t="n"/>
      <c r="M8" s="7637" t="n"/>
      <c r="N8" s="7637" t="n"/>
      <c r="O8" s="7637" t="n"/>
      <c r="P8" s="7637" t="n"/>
      <c r="Q8" s="7637" t="n"/>
      <c r="R8" s="7637" t="n"/>
      <c r="S8" s="7637" t="n"/>
      <c r="T8" s="7637" t="n"/>
      <c r="U8" s="7637" t="n"/>
      <c r="V8" s="7637" t="n"/>
      <c r="W8" s="7637" t="n"/>
      <c r="X8" s="7637" t="n"/>
      <c r="Y8" s="7637" t="n"/>
      <c r="Z8" s="7637" t="n"/>
      <c r="AA8" s="7638" t="n"/>
      <c r="AB8" s="11933">
        <f>IF(AND(AL5&lt;&gt;"",AL6&lt;&gt;""),"",IF(AL5&lt;&gt;"",SS_Yours,IF(AL6&lt;&gt;"",SS_Spouse,"")))</f>
        <v/>
      </c>
      <c r="AC8" s="7637" t="n"/>
      <c r="AD8" s="7637" t="n"/>
      <c r="AE8" s="7637" t="n"/>
      <c r="AF8" s="7637" t="n"/>
      <c r="AG8" s="7637" t="n"/>
      <c r="AH8" s="7637" t="n"/>
      <c r="AI8" s="7637" t="n"/>
      <c r="AJ8" s="7637" t="n"/>
      <c r="AK8" s="2013" t="n"/>
      <c r="AL8" s="11602" t="n"/>
      <c r="AM8" s="11602" t="n"/>
      <c r="AN8" s="724" t="n"/>
      <c r="AP8" s="658" t="n"/>
      <c r="AQ8" s="658" t="n"/>
      <c r="AR8" s="658" t="n"/>
      <c r="AS8" s="658" t="n"/>
      <c r="AT8" s="658" t="n"/>
      <c r="AU8" s="658" t="n"/>
      <c r="AV8" s="658" t="n"/>
      <c r="AW8" s="658" t="n"/>
      <c r="AX8" s="658" t="n"/>
      <c r="AY8" s="658" t="n"/>
    </row>
    <row r="9" ht="15.75" customFormat="1" customHeight="1" s="1115">
      <c r="A9" s="2290" t="n"/>
      <c r="B9" s="6655" t="n"/>
      <c r="C9" s="12459" t="inlineStr">
        <is>
          <t xml:space="preserve">
(a) Name of employer to whom you were required to 
but didn’t report all your tips (see instructions) </t>
        </is>
      </c>
      <c r="D9" s="7839" t="n"/>
      <c r="E9" s="7839" t="n"/>
      <c r="F9" s="7839" t="n"/>
      <c r="G9" s="7839" t="n"/>
      <c r="H9" s="7839" t="n"/>
      <c r="I9" s="7839" t="n"/>
      <c r="J9" s="7839" t="n"/>
      <c r="K9" s="7839" t="n"/>
      <c r="L9" s="7839" t="n"/>
      <c r="M9" s="7839" t="n"/>
      <c r="N9" s="7839" t="n"/>
      <c r="O9" s="7839" t="n"/>
      <c r="P9" s="7839" t="n"/>
      <c r="Q9" s="7839" t="n"/>
      <c r="R9" s="7839" t="n"/>
      <c r="S9" s="10091" t="n"/>
      <c r="T9" s="12460" t="inlineStr">
        <is>
          <t>(b) Employer's
identification
number
(see instructions)</t>
        </is>
      </c>
      <c r="U9" s="7839" t="n"/>
      <c r="V9" s="7839" t="n"/>
      <c r="W9" s="7839" t="n"/>
      <c r="X9" s="12461" t="inlineStr">
        <is>
          <t>(c) Total cash and 
charge tips you received 
(including unreported tips) 
(see instructions)</t>
        </is>
      </c>
      <c r="Y9" s="7839" t="n"/>
      <c r="Z9" s="7839" t="n"/>
      <c r="AA9" s="7839" t="n"/>
      <c r="AB9" s="7839" t="n"/>
      <c r="AC9" s="10091" t="n"/>
      <c r="AD9" s="12462" t="inlineStr">
        <is>
          <t>(d) Total cash and 
charge tips you reported 
to your employer</t>
        </is>
      </c>
      <c r="AE9" s="7839" t="n"/>
      <c r="AF9" s="7839" t="n"/>
      <c r="AG9" s="7839" t="n"/>
      <c r="AH9" s="7839" t="n"/>
      <c r="AI9" s="7839" t="n"/>
      <c r="AJ9" s="7839" t="n"/>
      <c r="AK9" s="2290" t="n"/>
      <c r="AL9" s="11602" t="n"/>
      <c r="AM9" s="11602" t="n"/>
      <c r="AN9" s="724" t="n"/>
      <c r="AP9" s="658" t="n"/>
      <c r="AQ9" s="658" t="n"/>
      <c r="AR9" s="658" t="n"/>
      <c r="AS9" s="658" t="n"/>
      <c r="AT9" s="658" t="n"/>
      <c r="AU9" s="658" t="n"/>
      <c r="AV9" s="658" t="n"/>
      <c r="AW9" s="658" t="n"/>
      <c r="AX9" s="658" t="n"/>
      <c r="AY9" s="658" t="n"/>
      <c r="AZ9" s="2293" t="n"/>
    </row>
    <row r="10" ht="15.75" customFormat="1" customHeight="1" s="1115">
      <c r="A10" s="2290" t="n"/>
      <c r="B10" s="9988" t="n">
        <v>1</v>
      </c>
      <c r="S10" s="7636" t="n"/>
      <c r="T10" s="4772" t="n"/>
      <c r="X10" s="4772" t="n"/>
      <c r="AC10" s="7636" t="n"/>
      <c r="AD10" s="4772" t="n"/>
      <c r="AK10" s="2290" t="n"/>
      <c r="AL10" s="11602" t="n"/>
      <c r="AM10" s="11602" t="n"/>
      <c r="AN10" s="724" t="n"/>
      <c r="AP10" s="658" t="n"/>
      <c r="AQ10" s="658" t="n"/>
      <c r="AR10" s="658" t="n"/>
      <c r="AS10" s="658" t="n"/>
      <c r="AT10" s="658" t="n"/>
      <c r="AU10" s="658" t="n"/>
      <c r="AV10" s="658" t="n"/>
      <c r="AW10" s="658" t="n"/>
      <c r="AX10" s="658" t="n"/>
      <c r="AY10" s="658" t="n"/>
      <c r="AZ10" s="2293" t="n"/>
    </row>
    <row r="11" ht="15.75" customFormat="1" customHeight="1" s="1115">
      <c r="A11" s="2290" t="n"/>
      <c r="B11" s="1672" t="n"/>
      <c r="S11" s="7636" t="n"/>
      <c r="T11" s="4772" t="n"/>
      <c r="X11" s="4772" t="n"/>
      <c r="AC11" s="7636" t="n"/>
      <c r="AD11" s="4772" t="n"/>
      <c r="AK11" s="2290" t="n"/>
      <c r="AL11" s="11602" t="n"/>
      <c r="AM11" s="11602" t="n"/>
      <c r="AN11" s="724" t="n"/>
      <c r="AP11" s="658" t="n"/>
      <c r="AQ11" s="658" t="n"/>
      <c r="AR11" s="658" t="n"/>
      <c r="AS11" s="658" t="n"/>
      <c r="AT11" s="658" t="n"/>
      <c r="AU11" s="658" t="n"/>
      <c r="AV11" s="658" t="n"/>
      <c r="AW11" s="658" t="n"/>
      <c r="AX11" s="658" t="n"/>
      <c r="AY11" s="658" t="n"/>
      <c r="AZ11" s="2293" t="n"/>
    </row>
    <row r="12" ht="15.75" customFormat="1" customHeight="1" s="1115">
      <c r="A12" s="2290" t="n"/>
      <c r="B12" s="1672" t="n"/>
      <c r="S12" s="7636" t="n"/>
      <c r="T12" s="4772" t="n"/>
      <c r="X12" s="4772" t="n"/>
      <c r="AC12" s="7636" t="n"/>
      <c r="AD12" s="4772" t="n"/>
      <c r="AK12" s="2290" t="n"/>
      <c r="AL12" s="11602" t="n"/>
      <c r="AM12" s="11602" t="n"/>
      <c r="AN12" s="724" t="n"/>
      <c r="AP12" s="658" t="n"/>
      <c r="AQ12" s="658" t="n"/>
      <c r="AR12" s="658" t="n"/>
      <c r="AS12" s="658" t="n"/>
      <c r="AT12" s="658" t="n"/>
      <c r="AU12" s="658" t="n"/>
      <c r="AV12" s="658" t="n"/>
      <c r="AW12" s="658" t="n"/>
      <c r="AX12" s="658" t="n"/>
      <c r="AY12" s="658" t="n"/>
      <c r="AZ12" s="2293" t="n"/>
    </row>
    <row r="13" ht="21" customFormat="1" customHeight="1" s="1115">
      <c r="A13" s="2290" t="n"/>
      <c r="B13" s="4487" t="n"/>
      <c r="C13" s="7637" t="n"/>
      <c r="D13" s="7637" t="n"/>
      <c r="E13" s="7637" t="n"/>
      <c r="F13" s="7637" t="n"/>
      <c r="G13" s="7637" t="n"/>
      <c r="H13" s="7637" t="n"/>
      <c r="I13" s="7637" t="n"/>
      <c r="J13" s="7637" t="n"/>
      <c r="K13" s="7637" t="n"/>
      <c r="L13" s="7637" t="n"/>
      <c r="M13" s="7637" t="n"/>
      <c r="N13" s="7637" t="n"/>
      <c r="O13" s="7637" t="n"/>
      <c r="P13" s="7637" t="n"/>
      <c r="Q13" s="7637" t="n"/>
      <c r="R13" s="7637" t="n"/>
      <c r="S13" s="7638" t="n"/>
      <c r="T13" s="3614" t="n"/>
      <c r="U13" s="7637" t="n"/>
      <c r="V13" s="7637" t="n"/>
      <c r="W13" s="7637" t="n"/>
      <c r="X13" s="3614" t="n"/>
      <c r="Y13" s="7637" t="n"/>
      <c r="Z13" s="7637" t="n"/>
      <c r="AA13" s="7637" t="n"/>
      <c r="AB13" s="7637" t="n"/>
      <c r="AC13" s="7638" t="n"/>
      <c r="AD13" s="3614" t="n"/>
      <c r="AE13" s="7637" t="n"/>
      <c r="AF13" s="7637" t="n"/>
      <c r="AG13" s="7637" t="n"/>
      <c r="AH13" s="7637" t="n"/>
      <c r="AI13" s="7637" t="n"/>
      <c r="AJ13" s="7637" t="n"/>
      <c r="AK13" s="2290" t="n"/>
      <c r="AL13" s="11602" t="n"/>
      <c r="AM13" s="11602" t="n"/>
      <c r="AN13" s="724" t="n"/>
      <c r="AP13" s="658" t="n"/>
      <c r="AQ13" s="658" t="n"/>
      <c r="AR13" s="658" t="n"/>
      <c r="AS13" s="658" t="n"/>
      <c r="AT13" s="658" t="n"/>
      <c r="AU13" s="658" t="n"/>
      <c r="AV13" s="658" t="n"/>
      <c r="AW13" s="658" t="n"/>
      <c r="AX13" s="658" t="n"/>
      <c r="AY13" s="658" t="n"/>
      <c r="AZ13" s="2293" t="n"/>
    </row>
    <row r="14" ht="15.75" customFormat="1" customHeight="1" s="1115">
      <c r="A14" s="2290" t="n"/>
      <c r="B14" s="12463" t="inlineStr">
        <is>
          <t>A</t>
        </is>
      </c>
      <c r="C14" s="12464" t="n"/>
      <c r="D14" s="11745" t="n"/>
      <c r="E14" s="11745" t="n"/>
      <c r="F14" s="11745" t="n"/>
      <c r="G14" s="11745" t="n"/>
      <c r="H14" s="11745" t="n"/>
      <c r="I14" s="11745" t="n"/>
      <c r="J14" s="11745" t="n"/>
      <c r="K14" s="11745" t="n"/>
      <c r="L14" s="11745" t="n"/>
      <c r="M14" s="11745" t="n"/>
      <c r="N14" s="11745" t="n"/>
      <c r="O14" s="11745" t="n"/>
      <c r="P14" s="11745" t="n"/>
      <c r="Q14" s="11745" t="n"/>
      <c r="R14" s="11745" t="n"/>
      <c r="S14" s="11948" t="n"/>
      <c r="T14" s="6653" t="n"/>
      <c r="U14" s="6654" t="n"/>
      <c r="V14" s="2291" t="n"/>
      <c r="W14" s="2291" t="n"/>
      <c r="X14" s="6628" t="n"/>
      <c r="Y14" s="6654" t="n"/>
      <c r="Z14" s="6654" t="n"/>
      <c r="AA14" s="6654" t="n"/>
      <c r="AB14" s="6654" t="n"/>
      <c r="AC14" s="6654" t="n"/>
      <c r="AD14" s="9915">
        <f>AD15&gt;X15</f>
        <v/>
      </c>
      <c r="AE14" s="7839" t="n"/>
      <c r="AF14" s="7839" t="n"/>
      <c r="AG14" s="7839" t="n"/>
      <c r="AH14" s="7839" t="n"/>
      <c r="AI14" s="7839" t="n"/>
      <c r="AJ14" s="7839" t="n"/>
      <c r="AK14" s="2290" t="n"/>
      <c r="AL14" s="9912">
        <f>IF(OR(AD14,AD16,AD18,AD20,AD22),"Error:"&amp;CHAR(10)&amp;"Total cash and charge tips received CANNOT be less than or equal to the total cash and charge tips reported.","")</f>
        <v/>
      </c>
      <c r="AN14" s="724" t="n"/>
      <c r="AP14" s="658" t="n"/>
      <c r="AQ14" s="658" t="n"/>
      <c r="AR14" s="658" t="n"/>
      <c r="AS14" s="658" t="n"/>
      <c r="AT14" s="658" t="n"/>
      <c r="AU14" s="658" t="n"/>
      <c r="AV14" s="658" t="n"/>
      <c r="AW14" s="658" t="n"/>
      <c r="AX14" s="658" t="n"/>
      <c r="AY14" s="658" t="n"/>
      <c r="AZ14" s="2293" t="n"/>
    </row>
    <row r="15" ht="18" customFormat="1" customHeight="1" s="1115">
      <c r="A15" s="2290" t="n"/>
      <c r="B15" s="11717" t="n"/>
      <c r="C15" s="11717" t="n"/>
      <c r="D15" s="11717" t="n"/>
      <c r="E15" s="11717" t="n"/>
      <c r="F15" s="11717" t="n"/>
      <c r="G15" s="11717" t="n"/>
      <c r="H15" s="11717" t="n"/>
      <c r="I15" s="11717" t="n"/>
      <c r="J15" s="11717" t="n"/>
      <c r="K15" s="11717" t="n"/>
      <c r="L15" s="11717" t="n"/>
      <c r="M15" s="11717" t="n"/>
      <c r="N15" s="11717" t="n"/>
      <c r="O15" s="11717" t="n"/>
      <c r="P15" s="11717" t="n"/>
      <c r="Q15" s="11717" t="n"/>
      <c r="R15" s="11717" t="n"/>
      <c r="S15" s="11718" t="n"/>
      <c r="T15" s="12465" t="n"/>
      <c r="U15" s="11717" t="n"/>
      <c r="V15" s="11717" t="n"/>
      <c r="W15" s="11718" t="n"/>
      <c r="X15" s="12466" t="n"/>
      <c r="Y15" s="11717" t="n"/>
      <c r="Z15" s="11717" t="n"/>
      <c r="AA15" s="11717" t="n"/>
      <c r="AB15" s="11717" t="n"/>
      <c r="AC15" s="11718" t="n"/>
      <c r="AD15" s="9964" t="n"/>
      <c r="AE15" s="11717" t="n"/>
      <c r="AF15" s="11717" t="n"/>
      <c r="AG15" s="11717" t="n"/>
      <c r="AH15" s="11717" t="n"/>
      <c r="AI15" s="11717" t="n"/>
      <c r="AJ15" s="11717" t="n"/>
      <c r="AK15" s="2290" t="n"/>
      <c r="AN15" s="724">
        <f>AND(X15="",AD15="")</f>
        <v/>
      </c>
      <c r="AP15" s="658" t="n"/>
      <c r="AQ15" s="658" t="n"/>
      <c r="AR15" s="658" t="n"/>
      <c r="AS15" s="658" t="n"/>
      <c r="AT15" s="658" t="n"/>
      <c r="AU15" s="658" t="n"/>
      <c r="AV15" s="658" t="n"/>
      <c r="AW15" s="658" t="n"/>
      <c r="AX15" s="658" t="n"/>
      <c r="AY15" s="658" t="n"/>
      <c r="AZ15" s="2293" t="n"/>
    </row>
    <row r="16" ht="15.75" customFormat="1" customHeight="1" s="1115">
      <c r="A16" s="2290" t="n"/>
      <c r="B16" s="12463" t="inlineStr">
        <is>
          <t>B</t>
        </is>
      </c>
      <c r="C16" s="10032" t="n"/>
      <c r="D16" s="11745" t="n"/>
      <c r="E16" s="11745" t="n"/>
      <c r="F16" s="11745" t="n"/>
      <c r="G16" s="11745" t="n"/>
      <c r="H16" s="11745" t="n"/>
      <c r="I16" s="11745" t="n"/>
      <c r="J16" s="11745" t="n"/>
      <c r="K16" s="11745" t="n"/>
      <c r="L16" s="11745" t="n"/>
      <c r="M16" s="11745" t="n"/>
      <c r="N16" s="11745" t="n"/>
      <c r="O16" s="11745" t="n"/>
      <c r="P16" s="11745" t="n"/>
      <c r="Q16" s="11745" t="n"/>
      <c r="R16" s="11745" t="n"/>
      <c r="S16" s="11948" t="n"/>
      <c r="T16" s="6653" t="n"/>
      <c r="U16" s="6654" t="n"/>
      <c r="V16" s="2291" t="n"/>
      <c r="W16" s="2291" t="n"/>
      <c r="X16" s="6628" t="n"/>
      <c r="Y16" s="6654" t="n"/>
      <c r="Z16" s="6654" t="n"/>
      <c r="AA16" s="6654" t="n"/>
      <c r="AB16" s="6654" t="n"/>
      <c r="AC16" s="6654" t="n"/>
      <c r="AD16" s="9915">
        <f>AD17&gt;X17</f>
        <v/>
      </c>
      <c r="AE16" s="7839" t="n"/>
      <c r="AF16" s="7839" t="n"/>
      <c r="AG16" s="7839" t="n"/>
      <c r="AH16" s="7839" t="n"/>
      <c r="AI16" s="7839" t="n"/>
      <c r="AJ16" s="7839" t="n"/>
      <c r="AK16" s="2290" t="n"/>
      <c r="AN16" s="724" t="n"/>
      <c r="AP16" s="658" t="n"/>
      <c r="AQ16" s="658" t="n"/>
      <c r="AR16" s="658" t="n"/>
      <c r="AS16" s="658" t="n"/>
      <c r="AT16" s="658" t="n"/>
      <c r="AU16" s="658" t="n"/>
      <c r="AV16" s="658" t="n"/>
      <c r="AW16" s="658" t="n"/>
      <c r="AX16" s="658" t="n"/>
      <c r="AY16" s="658" t="n"/>
      <c r="AZ16" s="2293" t="n"/>
    </row>
    <row r="17" ht="18" customFormat="1" customHeight="1" s="1115">
      <c r="A17" s="2290" t="n"/>
      <c r="B17" s="11717" t="n"/>
      <c r="C17" s="11717" t="n"/>
      <c r="D17" s="11717" t="n"/>
      <c r="E17" s="11717" t="n"/>
      <c r="F17" s="11717" t="n"/>
      <c r="G17" s="11717" t="n"/>
      <c r="H17" s="11717" t="n"/>
      <c r="I17" s="11717" t="n"/>
      <c r="J17" s="11717" t="n"/>
      <c r="K17" s="11717" t="n"/>
      <c r="L17" s="11717" t="n"/>
      <c r="M17" s="11717" t="n"/>
      <c r="N17" s="11717" t="n"/>
      <c r="O17" s="11717" t="n"/>
      <c r="P17" s="11717" t="n"/>
      <c r="Q17" s="11717" t="n"/>
      <c r="R17" s="11717" t="n"/>
      <c r="S17" s="11718" t="n"/>
      <c r="T17" s="12465" t="n"/>
      <c r="U17" s="11717" t="n"/>
      <c r="V17" s="11717" t="n"/>
      <c r="W17" s="11718" t="n"/>
      <c r="X17" s="12466" t="n"/>
      <c r="Y17" s="11717" t="n"/>
      <c r="Z17" s="11717" t="n"/>
      <c r="AA17" s="11717" t="n"/>
      <c r="AB17" s="11717" t="n"/>
      <c r="AC17" s="11718" t="n"/>
      <c r="AD17" s="9964" t="n"/>
      <c r="AE17" s="11717" t="n"/>
      <c r="AF17" s="11717" t="n"/>
      <c r="AG17" s="11717" t="n"/>
      <c r="AH17" s="11717" t="n"/>
      <c r="AI17" s="11717" t="n"/>
      <c r="AJ17" s="11717" t="n"/>
      <c r="AK17" s="2290" t="n"/>
      <c r="AN17" s="724">
        <f>AND(X17="",AD17="")</f>
        <v/>
      </c>
      <c r="AP17" s="658" t="n"/>
      <c r="AQ17" s="658" t="n"/>
      <c r="AR17" s="658" t="n"/>
      <c r="AS17" s="658" t="n"/>
      <c r="AT17" s="658" t="n"/>
      <c r="AU17" s="658" t="n"/>
      <c r="AV17" s="658" t="n"/>
      <c r="AW17" s="658" t="n"/>
      <c r="AX17" s="658" t="n"/>
      <c r="AY17" s="658" t="n"/>
      <c r="AZ17" s="2293" t="n"/>
    </row>
    <row r="18" ht="15.75" customFormat="1" customHeight="1" s="1115">
      <c r="A18" s="2290" t="n"/>
      <c r="B18" s="12463" t="inlineStr">
        <is>
          <t>C</t>
        </is>
      </c>
      <c r="C18" s="10032" t="n"/>
      <c r="D18" s="11745" t="n"/>
      <c r="E18" s="11745" t="n"/>
      <c r="F18" s="11745" t="n"/>
      <c r="G18" s="11745" t="n"/>
      <c r="H18" s="11745" t="n"/>
      <c r="I18" s="11745" t="n"/>
      <c r="J18" s="11745" t="n"/>
      <c r="K18" s="11745" t="n"/>
      <c r="L18" s="11745" t="n"/>
      <c r="M18" s="11745" t="n"/>
      <c r="N18" s="11745" t="n"/>
      <c r="O18" s="11745" t="n"/>
      <c r="P18" s="11745" t="n"/>
      <c r="Q18" s="11745" t="n"/>
      <c r="R18" s="11745" t="n"/>
      <c r="S18" s="11948" t="n"/>
      <c r="T18" s="6653" t="n"/>
      <c r="U18" s="6654" t="n"/>
      <c r="V18" s="2291" t="n"/>
      <c r="W18" s="2291" t="n"/>
      <c r="X18" s="6628" t="n"/>
      <c r="Y18" s="6654" t="n"/>
      <c r="Z18" s="6654" t="n"/>
      <c r="AA18" s="6654" t="n"/>
      <c r="AB18" s="6654" t="n"/>
      <c r="AC18" s="6654" t="n"/>
      <c r="AD18" s="9915">
        <f>AD19&gt;X19</f>
        <v/>
      </c>
      <c r="AE18" s="7839" t="n"/>
      <c r="AF18" s="7839" t="n"/>
      <c r="AG18" s="7839" t="n"/>
      <c r="AH18" s="7839" t="n"/>
      <c r="AI18" s="7839" t="n"/>
      <c r="AJ18" s="7839" t="n"/>
      <c r="AK18" s="2290" t="n"/>
      <c r="AN18" s="724" t="n"/>
      <c r="AP18" s="658" t="n"/>
      <c r="AQ18" s="658" t="n"/>
      <c r="AR18" s="658" t="n"/>
      <c r="AS18" s="658" t="n"/>
      <c r="AT18" s="658" t="n"/>
      <c r="AU18" s="658" t="n"/>
      <c r="AV18" s="658" t="n"/>
      <c r="AW18" s="658" t="n"/>
      <c r="AX18" s="658" t="n"/>
      <c r="AY18" s="658" t="n"/>
      <c r="AZ18" s="2293" t="n"/>
    </row>
    <row r="19" ht="18" customFormat="1" customHeight="1" s="1115">
      <c r="A19" s="2290" t="n"/>
      <c r="B19" s="11717" t="n"/>
      <c r="C19" s="11717" t="n"/>
      <c r="D19" s="11717" t="n"/>
      <c r="E19" s="11717" t="n"/>
      <c r="F19" s="11717" t="n"/>
      <c r="G19" s="11717" t="n"/>
      <c r="H19" s="11717" t="n"/>
      <c r="I19" s="11717" t="n"/>
      <c r="J19" s="11717" t="n"/>
      <c r="K19" s="11717" t="n"/>
      <c r="L19" s="11717" t="n"/>
      <c r="M19" s="11717" t="n"/>
      <c r="N19" s="11717" t="n"/>
      <c r="O19" s="11717" t="n"/>
      <c r="P19" s="11717" t="n"/>
      <c r="Q19" s="11717" t="n"/>
      <c r="R19" s="11717" t="n"/>
      <c r="S19" s="11718" t="n"/>
      <c r="T19" s="12465" t="n"/>
      <c r="U19" s="11717" t="n"/>
      <c r="V19" s="11717" t="n"/>
      <c r="W19" s="11718" t="n"/>
      <c r="X19" s="12466" t="n"/>
      <c r="Y19" s="11717" t="n"/>
      <c r="Z19" s="11717" t="n"/>
      <c r="AA19" s="11717" t="n"/>
      <c r="AB19" s="11717" t="n"/>
      <c r="AC19" s="11718" t="n"/>
      <c r="AD19" s="9964" t="n"/>
      <c r="AE19" s="11717" t="n"/>
      <c r="AF19" s="11717" t="n"/>
      <c r="AG19" s="11717" t="n"/>
      <c r="AH19" s="11717" t="n"/>
      <c r="AI19" s="11717" t="n"/>
      <c r="AJ19" s="11717" t="n"/>
      <c r="AK19" s="2290" t="n"/>
      <c r="AN19" s="724">
        <f>AND(X19="",AD19="")</f>
        <v/>
      </c>
      <c r="AP19" s="658" t="n"/>
      <c r="AQ19" s="658" t="n"/>
      <c r="AR19" s="658" t="n"/>
      <c r="AS19" s="658" t="n"/>
      <c r="AT19" s="658" t="n"/>
      <c r="AU19" s="658" t="n"/>
      <c r="AV19" s="658" t="n"/>
      <c r="AW19" s="658" t="n"/>
      <c r="AX19" s="658" t="n"/>
      <c r="AY19" s="658" t="n"/>
      <c r="AZ19" s="2293" t="n"/>
    </row>
    <row r="20" ht="15.75" customFormat="1" customHeight="1" s="1115">
      <c r="A20" s="2290" t="n"/>
      <c r="B20" s="12463" t="inlineStr">
        <is>
          <t>D</t>
        </is>
      </c>
      <c r="C20" s="10032" t="n"/>
      <c r="D20" s="11745" t="n"/>
      <c r="E20" s="11745" t="n"/>
      <c r="F20" s="11745" t="n"/>
      <c r="G20" s="11745" t="n"/>
      <c r="H20" s="11745" t="n"/>
      <c r="I20" s="11745" t="n"/>
      <c r="J20" s="11745" t="n"/>
      <c r="K20" s="11745" t="n"/>
      <c r="L20" s="11745" t="n"/>
      <c r="M20" s="11745" t="n"/>
      <c r="N20" s="11745" t="n"/>
      <c r="O20" s="11745" t="n"/>
      <c r="P20" s="11745" t="n"/>
      <c r="Q20" s="11745" t="n"/>
      <c r="R20" s="11745" t="n"/>
      <c r="S20" s="11948" t="n"/>
      <c r="T20" s="6653" t="n"/>
      <c r="U20" s="6654" t="n"/>
      <c r="V20" s="2291" t="n"/>
      <c r="W20" s="2291" t="n"/>
      <c r="X20" s="6628" t="n"/>
      <c r="Y20" s="6654" t="n"/>
      <c r="Z20" s="6654" t="n"/>
      <c r="AA20" s="6654" t="n"/>
      <c r="AB20" s="6654" t="n"/>
      <c r="AC20" s="6654" t="n"/>
      <c r="AD20" s="9915">
        <f>AD21&gt;X21</f>
        <v/>
      </c>
      <c r="AE20" s="7839" t="n"/>
      <c r="AF20" s="7839" t="n"/>
      <c r="AG20" s="7839" t="n"/>
      <c r="AH20" s="7839" t="n"/>
      <c r="AI20" s="7839" t="n"/>
      <c r="AJ20" s="7839" t="n"/>
      <c r="AK20" s="2290" t="n"/>
      <c r="AN20" s="724" t="n"/>
      <c r="AP20" s="658" t="n"/>
      <c r="AQ20" s="658" t="n"/>
      <c r="AR20" s="658" t="n"/>
      <c r="AS20" s="658" t="n"/>
      <c r="AT20" s="658" t="n"/>
      <c r="AU20" s="658" t="n"/>
      <c r="AV20" s="658" t="n"/>
      <c r="AW20" s="658" t="n"/>
      <c r="AX20" s="658" t="n"/>
      <c r="AY20" s="658" t="n"/>
      <c r="AZ20" s="2293" t="n"/>
    </row>
    <row r="21" ht="18" customFormat="1" customHeight="1" s="1115">
      <c r="A21" s="2290" t="n"/>
      <c r="B21" s="11717" t="n"/>
      <c r="C21" s="11717" t="n"/>
      <c r="D21" s="11717" t="n"/>
      <c r="E21" s="11717" t="n"/>
      <c r="F21" s="11717" t="n"/>
      <c r="G21" s="11717" t="n"/>
      <c r="H21" s="11717" t="n"/>
      <c r="I21" s="11717" t="n"/>
      <c r="J21" s="11717" t="n"/>
      <c r="K21" s="11717" t="n"/>
      <c r="L21" s="11717" t="n"/>
      <c r="M21" s="11717" t="n"/>
      <c r="N21" s="11717" t="n"/>
      <c r="O21" s="11717" t="n"/>
      <c r="P21" s="11717" t="n"/>
      <c r="Q21" s="11717" t="n"/>
      <c r="R21" s="11717" t="n"/>
      <c r="S21" s="11718" t="n"/>
      <c r="T21" s="12465" t="n"/>
      <c r="U21" s="11717" t="n"/>
      <c r="V21" s="11717" t="n"/>
      <c r="W21" s="11718" t="n"/>
      <c r="X21" s="12466" t="n"/>
      <c r="Y21" s="11717" t="n"/>
      <c r="Z21" s="11717" t="n"/>
      <c r="AA21" s="11717" t="n"/>
      <c r="AB21" s="11717" t="n"/>
      <c r="AC21" s="11718" t="n"/>
      <c r="AD21" s="9964" t="n"/>
      <c r="AE21" s="11717" t="n"/>
      <c r="AF21" s="11717" t="n"/>
      <c r="AG21" s="11717" t="n"/>
      <c r="AH21" s="11717" t="n"/>
      <c r="AI21" s="11717" t="n"/>
      <c r="AJ21" s="11717" t="n"/>
      <c r="AK21" s="2290" t="n"/>
      <c r="AN21" s="724">
        <f>AND(X21="",AD21="")</f>
        <v/>
      </c>
      <c r="AP21" s="658" t="n"/>
      <c r="AQ21" s="658" t="n"/>
      <c r="AR21" s="658" t="n"/>
      <c r="AS21" s="658" t="n"/>
      <c r="AT21" s="658" t="n"/>
      <c r="AU21" s="658" t="n"/>
      <c r="AV21" s="658" t="n"/>
      <c r="AW21" s="658" t="n"/>
      <c r="AX21" s="658" t="n"/>
      <c r="AY21" s="658" t="n"/>
      <c r="AZ21" s="2293" t="n"/>
    </row>
    <row r="22" ht="15.75" customFormat="1" customHeight="1" s="1115">
      <c r="A22" s="2290" t="n"/>
      <c r="B22" s="12463" t="inlineStr">
        <is>
          <t>E</t>
        </is>
      </c>
      <c r="C22" s="10032" t="n"/>
      <c r="D22" s="11745" t="n"/>
      <c r="E22" s="11745" t="n"/>
      <c r="F22" s="11745" t="n"/>
      <c r="G22" s="11745" t="n"/>
      <c r="H22" s="11745" t="n"/>
      <c r="I22" s="11745" t="n"/>
      <c r="J22" s="11745" t="n"/>
      <c r="K22" s="11745" t="n"/>
      <c r="L22" s="11745" t="n"/>
      <c r="M22" s="11745" t="n"/>
      <c r="N22" s="11745" t="n"/>
      <c r="O22" s="11745" t="n"/>
      <c r="P22" s="11745" t="n"/>
      <c r="Q22" s="11745" t="n"/>
      <c r="R22" s="11745" t="n"/>
      <c r="S22" s="11948" t="n"/>
      <c r="T22" s="6653" t="n"/>
      <c r="U22" s="6654" t="n"/>
      <c r="V22" s="2291" t="n"/>
      <c r="W22" s="2291" t="n"/>
      <c r="X22" s="6628" t="n"/>
      <c r="Y22" s="6654" t="n"/>
      <c r="Z22" s="6654" t="n"/>
      <c r="AA22" s="6654" t="n"/>
      <c r="AB22" s="6654" t="n"/>
      <c r="AC22" s="6654" t="n"/>
      <c r="AD22" s="9915">
        <f>AD23&gt;X23</f>
        <v/>
      </c>
      <c r="AE22" s="7839" t="n"/>
      <c r="AF22" s="7839" t="n"/>
      <c r="AG22" s="7839" t="n"/>
      <c r="AH22" s="7839" t="n"/>
      <c r="AI22" s="7839" t="n"/>
      <c r="AJ22" s="7839" t="n"/>
      <c r="AK22" s="2290" t="n"/>
      <c r="AN22" s="724" t="n"/>
      <c r="AP22" s="658" t="n"/>
      <c r="AQ22" s="658" t="n"/>
      <c r="AR22" s="658" t="n"/>
      <c r="AS22" s="658" t="n"/>
      <c r="AT22" s="658" t="n"/>
      <c r="AU22" s="658" t="n"/>
      <c r="AV22" s="658" t="n"/>
      <c r="AW22" s="658" t="n"/>
      <c r="AX22" s="658" t="n"/>
      <c r="AY22" s="658" t="n"/>
      <c r="AZ22" s="2293" t="n"/>
    </row>
    <row r="23" ht="18" customFormat="1" customHeight="1" s="1115">
      <c r="A23" s="2290" t="n"/>
      <c r="B23" s="11717" t="n"/>
      <c r="C23" s="11717" t="n"/>
      <c r="D23" s="11717" t="n"/>
      <c r="E23" s="11717" t="n"/>
      <c r="F23" s="11717" t="n"/>
      <c r="G23" s="11717" t="n"/>
      <c r="H23" s="11717" t="n"/>
      <c r="I23" s="11717" t="n"/>
      <c r="J23" s="11717" t="n"/>
      <c r="K23" s="11717" t="n"/>
      <c r="L23" s="11717" t="n"/>
      <c r="M23" s="11717" t="n"/>
      <c r="N23" s="11717" t="n"/>
      <c r="O23" s="11717" t="n"/>
      <c r="P23" s="11717" t="n"/>
      <c r="Q23" s="11717" t="n"/>
      <c r="R23" s="11717" t="n"/>
      <c r="S23" s="11718" t="n"/>
      <c r="T23" s="12465" t="n"/>
      <c r="U23" s="11717" t="n"/>
      <c r="V23" s="11717" t="n"/>
      <c r="W23" s="11718" t="n"/>
      <c r="X23" s="12466" t="n"/>
      <c r="Y23" s="11717" t="n"/>
      <c r="Z23" s="11717" t="n"/>
      <c r="AA23" s="11717" t="n"/>
      <c r="AB23" s="11717" t="n"/>
      <c r="AC23" s="11718" t="n"/>
      <c r="AD23" s="9964" t="n"/>
      <c r="AE23" s="11717" t="n"/>
      <c r="AF23" s="11717" t="n"/>
      <c r="AG23" s="11717" t="n"/>
      <c r="AH23" s="11717" t="n"/>
      <c r="AI23" s="11717" t="n"/>
      <c r="AJ23" s="11717" t="n"/>
      <c r="AK23" s="2290" t="n"/>
      <c r="AN23" s="724">
        <f>AND(X23="",AD23="")</f>
        <v/>
      </c>
      <c r="AP23" s="658" t="n"/>
      <c r="AQ23" s="658" t="n"/>
      <c r="AR23" s="658" t="n"/>
      <c r="AS23" s="658" t="n"/>
      <c r="AT23" s="658" t="n"/>
      <c r="AU23" s="658" t="n"/>
      <c r="AV23" s="658" t="n"/>
      <c r="AW23" s="658" t="n"/>
      <c r="AX23" s="658" t="n"/>
      <c r="AY23" s="658" t="n"/>
      <c r="AZ23" s="2293" t="n"/>
    </row>
    <row r="24" ht="15.75" customFormat="1" customHeight="1" s="1115">
      <c r="A24" s="2290" t="n"/>
      <c r="B24" s="9988" t="n">
        <v>2</v>
      </c>
      <c r="C24" s="7772" t="inlineStr">
        <is>
          <t>Total cash and charge tips you received</t>
        </is>
      </c>
      <c r="D24" s="6627" t="n"/>
      <c r="E24" s="4904" t="n"/>
      <c r="F24" s="6626" t="n"/>
      <c r="G24" s="7772" t="n"/>
      <c r="H24" s="4904" t="n"/>
      <c r="I24" s="4904" t="n"/>
      <c r="J24" s="4904" t="n"/>
      <c r="K24" s="4904" t="n"/>
      <c r="L24" s="4904" t="n"/>
      <c r="M24" s="5995">
        <f>"in "&amp;TaxYear&amp;". Add the amounts from line 1,"</f>
        <v/>
      </c>
      <c r="N24" s="4904" t="n"/>
      <c r="O24" s="4904" t="n"/>
      <c r="P24" s="4904" t="n"/>
      <c r="Q24" s="4904" t="n"/>
      <c r="R24" s="4904" t="n"/>
      <c r="S24" s="4904" t="n"/>
      <c r="T24" s="4904" t="n"/>
      <c r="U24" s="4904" t="n"/>
      <c r="V24" s="4904" t="n"/>
      <c r="W24" s="4904" t="n"/>
      <c r="X24" s="6631" t="n"/>
      <c r="Y24" s="6628" t="n"/>
      <c r="Z24" s="2291" t="n"/>
      <c r="AA24" s="2291" t="n"/>
      <c r="AB24" s="2291" t="n"/>
      <c r="AC24" s="2291" t="n"/>
      <c r="AD24" s="6635" t="n"/>
      <c r="AE24" s="9984" t="n"/>
      <c r="AF24" s="7839" t="n"/>
      <c r="AG24" s="7839" t="n"/>
      <c r="AH24" s="7839" t="n"/>
      <c r="AI24" s="7839" t="n"/>
      <c r="AJ24" s="7839" t="n"/>
      <c r="AK24" s="2290" t="n"/>
      <c r="AL24" s="11602" t="n"/>
      <c r="AM24" s="11602" t="n"/>
      <c r="AN24" s="724" t="n"/>
      <c r="AP24" s="658" t="n"/>
      <c r="AQ24" s="658" t="n"/>
      <c r="AR24" s="658" t="n"/>
      <c r="AS24" s="658" t="n"/>
      <c r="AT24" s="658" t="n"/>
      <c r="AU24" s="658" t="n"/>
      <c r="AV24" s="658" t="n"/>
      <c r="AW24" s="658" t="n"/>
      <c r="AX24" s="658" t="n"/>
      <c r="AY24" s="658" t="n"/>
      <c r="AZ24" s="2293" t="n"/>
    </row>
    <row r="25" ht="18.75" customFormat="1" customHeight="1" s="1115">
      <c r="A25" s="2290" t="n"/>
      <c r="B25" s="4904" t="n"/>
      <c r="C25" s="7772" t="inlineStr">
        <is>
          <t>column (c)</t>
        </is>
      </c>
      <c r="D25" s="6627" t="n"/>
      <c r="E25" s="4904" t="n"/>
      <c r="F25" s="6626" t="n"/>
      <c r="G25" s="7772" t="n"/>
      <c r="H25" s="4904" t="n"/>
      <c r="I25" s="4904" t="n"/>
      <c r="J25" s="4904" t="n"/>
      <c r="K25" s="4904" t="n"/>
      <c r="L25" s="4904" t="n"/>
      <c r="M25" s="4904" t="n"/>
      <c r="N25" s="4904" t="n"/>
      <c r="O25" s="4904" t="n"/>
      <c r="P25" s="4904" t="n"/>
      <c r="Q25" s="4904" t="n"/>
      <c r="R25" s="4904" t="n"/>
      <c r="S25" s="4904" t="n"/>
      <c r="T25" s="4904" t="n"/>
      <c r="U25" s="4904" t="n"/>
      <c r="V25" s="4904" t="n"/>
      <c r="W25" s="6651" t="inlineStr">
        <is>
          <t xml:space="preserve"> .   .   .   .   .   .   .   .   .    .   .   .   .   .   .   .   .   .   .   .   .   .   .   .   . </t>
        </is>
      </c>
      <c r="X25" s="6633" t="n">
        <v>2</v>
      </c>
      <c r="Y25" s="12467">
        <f>IF(AN25,"",SUM(X15,X17,X19,X21,X23))</f>
        <v/>
      </c>
      <c r="Z25" s="7637" t="n"/>
      <c r="AA25" s="7637" t="n"/>
      <c r="AB25" s="7637" t="n"/>
      <c r="AC25" s="7638" t="n"/>
      <c r="AD25" s="6637" t="n"/>
      <c r="AE25" s="4524" t="n"/>
      <c r="AF25" s="4524" t="n"/>
      <c r="AG25" s="4524" t="n"/>
      <c r="AH25" s="4524" t="n"/>
      <c r="AI25" s="4521" t="n"/>
      <c r="AJ25" s="4521" t="n"/>
      <c r="AK25" s="2290" t="n"/>
      <c r="AL25" s="11602" t="n"/>
      <c r="AM25" s="6642" t="n"/>
      <c r="AN25" s="724">
        <f>AND(AN15,AN17,AN19,AN21,AN23,AM25="")</f>
        <v/>
      </c>
      <c r="AP25" s="658" t="n"/>
      <c r="AQ25" s="658" t="n"/>
      <c r="AR25" s="658" t="n"/>
      <c r="AS25" s="658" t="n"/>
      <c r="AT25" s="658" t="n"/>
      <c r="AU25" s="658" t="n"/>
      <c r="AV25" s="658" t="n"/>
      <c r="AW25" s="658" t="n"/>
      <c r="AX25" s="658" t="n"/>
      <c r="AY25" s="658" t="n"/>
      <c r="AZ25" s="2293" t="n"/>
    </row>
    <row r="26" ht="15.75" customFormat="1" customHeight="1" s="1115">
      <c r="A26" s="2290" t="n"/>
      <c r="B26" s="9988" t="n">
        <v>3</v>
      </c>
      <c r="C26" s="7772" t="inlineStr">
        <is>
          <t>Total cash and charge tips you reported to your employer(s)</t>
        </is>
      </c>
      <c r="D26" s="7772" t="n"/>
      <c r="E26" s="4904" t="n"/>
      <c r="F26" s="6626" t="n"/>
      <c r="G26" s="7772" t="n"/>
      <c r="H26" s="4904" t="n"/>
      <c r="I26" s="4904" t="n"/>
      <c r="J26" s="4904" t="n"/>
      <c r="K26" s="4904" t="n"/>
      <c r="L26" s="4904" t="n"/>
      <c r="M26" s="4904" t="n"/>
      <c r="N26" s="4904" t="n"/>
      <c r="O26" s="4904" t="n"/>
      <c r="P26" s="4904" t="n"/>
      <c r="Q26" s="4904" t="n"/>
      <c r="R26" s="4904">
        <f>"in "&amp;TaxYear&amp;". Add the amounts from line 1,"</f>
        <v/>
      </c>
      <c r="S26" s="4904" t="n"/>
      <c r="T26" s="4904" t="n"/>
      <c r="U26" s="4904" t="n"/>
      <c r="V26" s="4904" t="n"/>
      <c r="W26" s="4904" t="n"/>
      <c r="X26" s="4524" t="n"/>
      <c r="Y26" s="4524" t="n"/>
      <c r="Z26" s="4524" t="n"/>
      <c r="AA26" s="4524" t="n"/>
      <c r="AB26" s="4524" t="n"/>
      <c r="AC26" s="4524" t="n"/>
      <c r="AD26" s="6637" t="n"/>
      <c r="AE26" s="4524" t="n"/>
      <c r="AF26" s="4524" t="n"/>
      <c r="AG26" s="4524" t="n"/>
      <c r="AH26" s="4524" t="n"/>
      <c r="AI26" s="4521" t="n"/>
      <c r="AJ26" s="4521" t="n"/>
      <c r="AK26" s="2290" t="n"/>
      <c r="AL26" s="11602" t="n"/>
      <c r="AM26" s="11602" t="n"/>
      <c r="AN26" s="724" t="n"/>
      <c r="AP26" s="658" t="n"/>
      <c r="AQ26" s="658" t="n"/>
      <c r="AR26" s="658" t="n"/>
      <c r="AS26" s="658" t="n"/>
      <c r="AT26" s="658" t="n"/>
      <c r="AU26" s="658" t="n"/>
      <c r="AV26" s="658" t="n"/>
      <c r="AW26" s="658" t="n"/>
      <c r="AX26" s="658" t="n"/>
      <c r="AY26" s="658" t="n"/>
      <c r="AZ26" s="2293" t="n"/>
    </row>
    <row r="27" ht="20.25" customFormat="1" customHeight="1" s="1115">
      <c r="A27" s="2290" t="n"/>
      <c r="B27" s="9988" t="n"/>
      <c r="C27" s="7772" t="inlineStr">
        <is>
          <t>column (d)</t>
        </is>
      </c>
      <c r="D27" s="7772" t="n"/>
      <c r="E27" s="4904" t="n"/>
      <c r="F27" s="6626" t="n"/>
      <c r="G27" s="7772" t="n"/>
      <c r="H27" s="4904" t="n"/>
      <c r="I27" s="4904" t="n"/>
      <c r="J27" s="4904" t="n"/>
      <c r="K27" s="4904" t="n"/>
      <c r="L27" s="4904" t="n"/>
      <c r="M27" s="4904" t="n"/>
      <c r="N27" s="4904" t="n"/>
      <c r="O27" s="4904" t="n"/>
      <c r="P27" s="4904" t="n"/>
      <c r="Q27" s="4904" t="n"/>
      <c r="R27" s="4904" t="n"/>
      <c r="S27" s="4904" t="n"/>
      <c r="T27" s="4904" t="n"/>
      <c r="U27" s="4904" t="n"/>
      <c r="V27" s="4904" t="n"/>
      <c r="W27" s="4904" t="n"/>
      <c r="X27" s="4524" t="n"/>
      <c r="Y27" s="4524" t="n"/>
      <c r="Z27" s="4524" t="n"/>
      <c r="AA27" s="4524" t="n"/>
      <c r="AB27" s="4524" t="n"/>
      <c r="AC27" s="6651" t="inlineStr">
        <is>
          <t xml:space="preserve">.   .   .   .   .   .   .   .   .   .   .   .   .   .   .   .    .   .   .   .   .   .   .   .   .   .   .   .   .   .   .   . </t>
        </is>
      </c>
      <c r="AD27" s="6633" t="n">
        <v>3</v>
      </c>
      <c r="AE27" s="9969">
        <f>IF($AN$27,"",SUM(AD15,AD17,AD19,AD21,AD23))</f>
        <v/>
      </c>
      <c r="AF27" s="7637" t="n"/>
      <c r="AG27" s="7637" t="n"/>
      <c r="AH27" s="7637" t="n"/>
      <c r="AI27" s="7637" t="n"/>
      <c r="AJ27" s="7637" t="n"/>
      <c r="AK27" s="2290" t="n"/>
      <c r="AL27" s="11602" t="n"/>
      <c r="AM27" s="6642" t="n"/>
      <c r="AN27" s="724">
        <f>AND(AN25,AM27="")</f>
        <v/>
      </c>
      <c r="AP27" s="658" t="n"/>
      <c r="AQ27" s="658" t="n"/>
      <c r="AR27" s="658" t="n"/>
      <c r="AS27" s="658" t="n"/>
      <c r="AT27" s="658" t="n"/>
      <c r="AU27" s="658" t="n"/>
      <c r="AV27" s="658" t="n"/>
      <c r="AW27" s="658" t="n"/>
      <c r="AX27" s="658" t="n"/>
      <c r="AY27" s="658" t="n"/>
      <c r="AZ27" s="2293" t="n"/>
    </row>
    <row r="28" ht="15.75" customFormat="1" customHeight="1" s="1115">
      <c r="A28" s="2290" t="n"/>
      <c r="B28" s="9988" t="n">
        <v>4</v>
      </c>
      <c r="C28" s="1405" t="inlineStr">
        <is>
          <t>Subtract line 3 from line 2. Include as income on Form 1040, 1040-SR, or 1040-NR, line 1c. (See</t>
        </is>
      </c>
      <c r="D28" s="7772" t="n"/>
      <c r="E28" s="4904" t="n"/>
      <c r="F28" s="6626" t="n"/>
      <c r="G28" s="7772" t="n"/>
      <c r="H28" s="4904" t="n"/>
      <c r="I28" s="4904" t="n"/>
      <c r="J28" s="4904" t="n"/>
      <c r="K28" s="4904" t="n"/>
      <c r="L28" s="4904" t="n"/>
      <c r="M28" s="4904" t="n"/>
      <c r="N28" s="4904" t="n"/>
      <c r="O28" s="4904" t="n"/>
      <c r="P28" s="4904" t="n"/>
      <c r="Q28" s="4904" t="n"/>
      <c r="R28" s="4904" t="n"/>
      <c r="S28" s="4904" t="n"/>
      <c r="T28" s="4904" t="n"/>
      <c r="U28" s="4904" t="n"/>
      <c r="V28" s="4904" t="n"/>
      <c r="W28" s="4904" t="n"/>
      <c r="X28" s="4524" t="n"/>
      <c r="Y28" s="4524" t="n"/>
      <c r="Z28" s="4524" t="n"/>
      <c r="AA28" s="4524" t="n"/>
      <c r="AB28" s="4524" t="n"/>
      <c r="AC28" s="4524" t="n"/>
      <c r="AD28" s="6656" t="n"/>
      <c r="AE28" s="6657" t="n"/>
      <c r="AF28" s="6657" t="n"/>
      <c r="AG28" s="6657" t="n"/>
      <c r="AH28" s="6657" t="n"/>
      <c r="AI28" s="6657" t="n"/>
      <c r="AJ28" s="6657" t="n"/>
      <c r="AK28" s="2290" t="n"/>
      <c r="AL28" s="11602" t="n"/>
      <c r="AM28" s="11602" t="n"/>
      <c r="AN28" s="724" t="n"/>
      <c r="AP28" s="658" t="n"/>
      <c r="AQ28" s="658" t="n"/>
      <c r="AR28" s="658" t="n"/>
      <c r="AS28" s="658" t="n"/>
      <c r="AT28" s="658" t="n"/>
      <c r="AU28" s="658" t="n"/>
      <c r="AV28" s="658" t="n"/>
      <c r="AW28" s="658" t="n"/>
      <c r="AX28" s="658" t="n"/>
      <c r="AY28" s="658" t="n"/>
      <c r="AZ28" s="2293" t="n"/>
    </row>
    <row r="29" ht="18" customFormat="1" customHeight="1" s="1115">
      <c r="A29" s="2290" t="n"/>
      <c r="B29" s="9988" t="n"/>
      <c r="C29" s="1405" t="inlineStr">
        <is>
          <t>Allocated tips in the instructions.)</t>
        </is>
      </c>
      <c r="D29" s="7772" t="n"/>
      <c r="E29" s="4904" t="n"/>
      <c r="F29" s="6626" t="n"/>
      <c r="G29" s="7772" t="n"/>
      <c r="H29" s="4904" t="n"/>
      <c r="I29" s="4904" t="n"/>
      <c r="J29" s="4904" t="n"/>
      <c r="K29" s="4904" t="n"/>
      <c r="L29" s="4904" t="n"/>
      <c r="M29" s="4904" t="n"/>
      <c r="N29" s="4904" t="n"/>
      <c r="O29" s="4904" t="n"/>
      <c r="P29" s="4904" t="n"/>
      <c r="Q29" s="4904" t="n"/>
      <c r="R29" s="4904" t="n"/>
      <c r="S29" s="4904" t="n"/>
      <c r="T29" s="4904" t="n"/>
      <c r="U29" s="4904" t="n"/>
      <c r="V29" s="4904" t="n"/>
      <c r="W29" s="4904" t="n"/>
      <c r="X29" s="4524" t="n"/>
      <c r="Y29" s="4524" t="n"/>
      <c r="Z29" s="4524" t="n"/>
      <c r="AA29" s="4524" t="n"/>
      <c r="AB29" s="4524" t="n"/>
      <c r="AC29" s="6651" t="inlineStr">
        <is>
          <t xml:space="preserve">.   .   .   .   .   .   .   .   .    .   .   .   .   .   .   .   .   .   .   .   .   .   .   .   . </t>
        </is>
      </c>
      <c r="AD29" s="6633" t="n">
        <v>4</v>
      </c>
      <c r="AE29" s="9969">
        <f>IF($AN$27,"",SUM(Y25,-AE27))</f>
        <v/>
      </c>
      <c r="AF29" s="7637" t="n"/>
      <c r="AG29" s="7637" t="n"/>
      <c r="AH29" s="7637" t="n"/>
      <c r="AI29" s="7637" t="n"/>
      <c r="AJ29" s="7637" t="n"/>
      <c r="AK29" s="2290" t="n"/>
      <c r="AL29" s="11602" t="n"/>
      <c r="AM29" s="11602" t="n"/>
      <c r="AN29" s="724" t="n"/>
      <c r="AP29" s="658" t="n"/>
      <c r="AQ29" s="658" t="n"/>
      <c r="AR29" s="658" t="n"/>
      <c r="AS29" s="658" t="n"/>
      <c r="AT29" s="658" t="n"/>
      <c r="AU29" s="658" t="n"/>
      <c r="AV29" s="658" t="n"/>
      <c r="AW29" s="658" t="n"/>
      <c r="AX29" s="658" t="n"/>
      <c r="AY29" s="658" t="n"/>
      <c r="AZ29" s="2293" t="n"/>
    </row>
    <row r="30" ht="16.5" customFormat="1" customHeight="1" s="1115">
      <c r="A30" s="2290" t="n"/>
      <c r="B30" s="9988" t="n">
        <v>5</v>
      </c>
      <c r="C30" s="7772" t="inlineStr">
        <is>
          <t xml:space="preserve">Cash and charge tips you received but didn’t report to your employer because the total was less than </t>
        </is>
      </c>
      <c r="D30" s="7772" t="n"/>
      <c r="E30" s="4904" t="n"/>
      <c r="F30" s="6626" t="n"/>
      <c r="G30" s="7772" t="n"/>
      <c r="H30" s="4904" t="n"/>
      <c r="I30" s="4904" t="n"/>
      <c r="J30" s="4904" t="n"/>
      <c r="K30" s="4904" t="n"/>
      <c r="L30" s="4904" t="n"/>
      <c r="M30" s="4904" t="n"/>
      <c r="N30" s="4904" t="n"/>
      <c r="O30" s="4904" t="n"/>
      <c r="P30" s="4904" t="n"/>
      <c r="Q30" s="4904" t="n"/>
      <c r="R30" s="4904" t="n"/>
      <c r="S30" s="4904" t="n"/>
      <c r="T30" s="4904" t="n"/>
      <c r="U30" s="4904" t="n"/>
      <c r="V30" s="4904" t="n"/>
      <c r="W30" s="4904" t="n"/>
      <c r="X30" s="4524" t="n"/>
      <c r="Y30" s="4524" t="n"/>
      <c r="Z30" s="4524" t="n"/>
      <c r="AA30" s="4524" t="n"/>
      <c r="AB30" s="4524" t="n"/>
      <c r="AC30" s="4524" t="n"/>
      <c r="AD30" s="6656" t="n"/>
      <c r="AE30" s="6657" t="n"/>
      <c r="AF30" s="6657" t="n"/>
      <c r="AG30" s="6657" t="n"/>
      <c r="AH30" s="6657" t="n"/>
      <c r="AI30" s="9917" t="n">
        <v>20</v>
      </c>
      <c r="AJ30" s="7839" t="n"/>
      <c r="AK30" s="2290" t="n"/>
      <c r="AL30" s="11602" t="n"/>
      <c r="AM30" s="11602" t="n"/>
      <c r="AN30" s="724" t="n"/>
      <c r="AP30" s="658" t="n"/>
      <c r="AQ30" s="658" t="n"/>
      <c r="AR30" s="658" t="n"/>
      <c r="AS30" s="658" t="n"/>
      <c r="AT30" s="658" t="n"/>
      <c r="AU30" s="658" t="n"/>
      <c r="AV30" s="658" t="n"/>
      <c r="AW30" s="658" t="n"/>
      <c r="AX30" s="658" t="n"/>
      <c r="AY30" s="658" t="n"/>
      <c r="AZ30" s="2293" t="n"/>
    </row>
    <row r="31" ht="15.75" customFormat="1" customHeight="1" s="1115">
      <c r="A31" s="2290" t="n"/>
      <c r="B31" s="9988" t="n"/>
      <c r="C31" s="1405">
        <f>TEXT(AI30,"$0")&amp;" in a calendar month (see instructions)"</f>
        <v/>
      </c>
      <c r="D31" s="7772" t="n"/>
      <c r="E31" s="4904" t="n"/>
      <c r="F31" s="6626" t="n"/>
      <c r="G31" s="7772" t="n"/>
      <c r="H31" s="4904" t="n"/>
      <c r="I31" s="4904" t="n"/>
      <c r="J31" s="4904" t="n"/>
      <c r="K31" s="4904" t="n"/>
      <c r="L31" s="4904" t="n"/>
      <c r="M31" s="4904" t="n"/>
      <c r="N31" s="4904" t="n"/>
      <c r="O31" s="4904" t="n"/>
      <c r="P31" s="4904" t="n"/>
      <c r="Q31" s="4904" t="n"/>
      <c r="R31" s="4904" t="n"/>
      <c r="S31" s="4904" t="n"/>
      <c r="T31" s="4904" t="n"/>
      <c r="U31" s="4904" t="n"/>
      <c r="V31" s="4904" t="n"/>
      <c r="W31" s="4904" t="n"/>
      <c r="X31" s="4524" t="n"/>
      <c r="Y31" s="4524" t="n"/>
      <c r="Z31" s="4524" t="n"/>
      <c r="AA31" s="4524" t="n"/>
      <c r="AB31" s="4524" t="n"/>
      <c r="AC31" s="6651" t="inlineStr">
        <is>
          <t xml:space="preserve"> .   .   .   .   .   .    .   .   .   .   .   .   .   .   .   .   .   .   .   .   .   . </t>
        </is>
      </c>
      <c r="AD31" s="6633" t="n">
        <v>5</v>
      </c>
      <c r="AE31" s="9964" t="n"/>
      <c r="AF31" s="11717" t="n"/>
      <c r="AG31" s="11717" t="n"/>
      <c r="AH31" s="11717" t="n"/>
      <c r="AI31" s="11717" t="n"/>
      <c r="AJ31" s="11717" t="n"/>
      <c r="AK31" s="2290" t="n"/>
      <c r="AL31" s="11602" t="n"/>
      <c r="AM31" s="9914">
        <f>IF(AE31&gt;12*AI30,"&lt;&lt;&lt;"&amp;CHAR(10)&amp;"Line 5 should not be more than "&amp;TEXT(12*AI30,"$0")&amp;".","")</f>
        <v/>
      </c>
      <c r="AN31" s="724" t="n"/>
      <c r="AP31" s="658" t="n"/>
      <c r="AQ31" s="658" t="n"/>
      <c r="AR31" s="658" t="n"/>
      <c r="AS31" s="658" t="n"/>
      <c r="AT31" s="658" t="n"/>
      <c r="AU31" s="658" t="n"/>
      <c r="AV31" s="658" t="n"/>
      <c r="AW31" s="658" t="n"/>
      <c r="AX31" s="658" t="n"/>
      <c r="AY31" s="658" t="n"/>
      <c r="AZ31" s="2293" t="n"/>
    </row>
    <row r="32" ht="15.75" customFormat="1" customHeight="1" s="1115">
      <c r="A32" s="2290" t="n"/>
      <c r="B32" s="9988" t="n">
        <v>6</v>
      </c>
      <c r="C32" s="7772" t="inlineStr">
        <is>
          <t>Unreported tips subject to Medicare tax. Subtract line 5 from line 4 .</t>
        </is>
      </c>
      <c r="D32" s="7772" t="n"/>
      <c r="E32" s="4904" t="n"/>
      <c r="F32" s="6626" t="n"/>
      <c r="G32" s="7772" t="n"/>
      <c r="H32" s="4904" t="n"/>
      <c r="I32" s="4904" t="n"/>
      <c r="J32" s="4904" t="n"/>
      <c r="K32" s="4904" t="n"/>
      <c r="L32" s="4904" t="n"/>
      <c r="M32" s="4904" t="n"/>
      <c r="N32" s="4904" t="n"/>
      <c r="O32" s="4904" t="n"/>
      <c r="P32" s="4904" t="n"/>
      <c r="Q32" s="4904" t="n"/>
      <c r="R32" s="4904" t="n"/>
      <c r="S32" s="4904" t="n"/>
      <c r="T32" s="4904" t="n"/>
      <c r="U32" s="4904" t="n"/>
      <c r="V32" s="4904" t="n"/>
      <c r="W32" s="4904" t="n"/>
      <c r="X32" s="4524" t="n"/>
      <c r="Y32" s="4524" t="n"/>
      <c r="Z32" s="4524" t="n"/>
      <c r="AA32" s="4524" t="n"/>
      <c r="AB32" s="4524" t="n"/>
      <c r="AC32" s="6651" t="inlineStr">
        <is>
          <t xml:space="preserve">.   .   .   .   .   .   .   .   .   .   .   .   .   . </t>
        </is>
      </c>
      <c r="AD32" s="6633" t="n">
        <v>6</v>
      </c>
      <c r="AE32" s="9969">
        <f>IF(AN27,"",SUM(AE29,-AE31))</f>
        <v/>
      </c>
      <c r="AF32" s="7637" t="n"/>
      <c r="AG32" s="7637" t="n"/>
      <c r="AH32" s="7637" t="n"/>
      <c r="AI32" s="7637" t="n"/>
      <c r="AJ32" s="7637" t="n"/>
      <c r="AK32" s="2290" t="n"/>
      <c r="AL32" s="11602" t="n"/>
      <c r="AN32" s="724" t="n"/>
      <c r="AP32" s="658" t="n"/>
      <c r="AQ32" s="658" t="n"/>
      <c r="AR32" s="658" t="n"/>
      <c r="AS32" s="658" t="n"/>
      <c r="AT32" s="658" t="n"/>
      <c r="AU32" s="658" t="n"/>
      <c r="AV32" s="658" t="n"/>
      <c r="AW32" s="658" t="n"/>
      <c r="AX32" s="658" t="n"/>
      <c r="AY32" s="658" t="n"/>
      <c r="AZ32" s="2293" t="n"/>
    </row>
    <row r="33" ht="15.75" customFormat="1" customHeight="1" s="1115">
      <c r="A33" s="2290" t="n"/>
      <c r="B33" s="9988" t="n">
        <v>7</v>
      </c>
      <c r="C33" s="1405" t="inlineStr">
        <is>
          <t>Maximum amount of wages (including tips) subject to social security tax</t>
        </is>
      </c>
      <c r="D33" s="7772" t="n"/>
      <c r="E33" s="4904" t="n"/>
      <c r="F33" s="6626" t="n"/>
      <c r="G33" s="7772" t="n"/>
      <c r="H33" s="4904" t="n"/>
      <c r="I33" s="4904" t="n"/>
      <c r="J33" s="4904" t="n"/>
      <c r="K33" s="4904" t="n"/>
      <c r="L33" s="4904" t="n"/>
      <c r="M33" s="4904" t="n"/>
      <c r="N33" s="4904" t="n"/>
      <c r="O33" s="4904" t="n"/>
      <c r="P33" s="4904" t="n"/>
      <c r="Q33" s="4904" t="n"/>
      <c r="R33" s="4904" t="n"/>
      <c r="S33" s="4904" t="n"/>
      <c r="T33" s="4904" t="n"/>
      <c r="U33" s="4904" t="n"/>
      <c r="V33" s="4904" t="n"/>
      <c r="W33" s="6651" t="inlineStr">
        <is>
          <t xml:space="preserve">.   .   .   .   . </t>
        </is>
      </c>
      <c r="X33" s="6634" t="n">
        <v>7</v>
      </c>
      <c r="Y33" s="12468">
        <f>MaxSSTaxEarnings</f>
        <v/>
      </c>
      <c r="Z33" s="8412" t="n"/>
      <c r="AA33" s="8412" t="n"/>
      <c r="AB33" s="8412" t="n"/>
      <c r="AC33" s="11734" t="n"/>
      <c r="AD33" s="6656" t="n"/>
      <c r="AE33" s="4524" t="n"/>
      <c r="AF33" s="4524" t="n"/>
      <c r="AG33" s="4524" t="n"/>
      <c r="AH33" s="4524" t="n"/>
      <c r="AI33" s="4521" t="n"/>
      <c r="AJ33" s="4521" t="n"/>
      <c r="AK33" s="2290" t="n"/>
      <c r="AL33" s="11602" t="n"/>
      <c r="AN33" s="724" t="n"/>
      <c r="AP33" s="658" t="n"/>
      <c r="AQ33" s="658" t="n"/>
      <c r="AR33" s="658" t="n"/>
      <c r="AS33" s="658" t="n"/>
      <c r="AT33" s="658" t="n"/>
      <c r="AU33" s="658" t="n"/>
      <c r="AV33" s="658" t="n"/>
      <c r="AW33" s="658" t="n"/>
      <c r="AX33" s="658" t="n"/>
      <c r="AY33" s="658" t="n"/>
      <c r="AZ33" s="2293" t="n"/>
    </row>
    <row r="34" ht="15.75" customFormat="1" customHeight="1" s="1115">
      <c r="A34" s="2290" t="n"/>
      <c r="B34" s="9988" t="n">
        <v>8</v>
      </c>
      <c r="C34" s="7772" t="inlineStr">
        <is>
          <t xml:space="preserve">Total social security wages and social security tips (total of your Form(s) W-2, </t>
        </is>
      </c>
      <c r="D34" s="7772" t="n"/>
      <c r="E34" s="4904" t="n"/>
      <c r="F34" s="6626" t="n"/>
      <c r="G34" s="7772" t="n"/>
      <c r="H34" s="4904" t="n"/>
      <c r="I34" s="4904" t="n"/>
      <c r="J34" s="4904" t="n"/>
      <c r="K34" s="4904" t="n"/>
      <c r="L34" s="4904" t="n"/>
      <c r="M34" s="4904" t="n"/>
      <c r="N34" s="4904" t="n"/>
      <c r="O34" s="4904" t="n"/>
      <c r="P34" s="4904" t="n"/>
      <c r="Q34" s="4904" t="n"/>
      <c r="R34" s="4904" t="n"/>
      <c r="S34" s="4904" t="n"/>
      <c r="T34" s="4904" t="n"/>
      <c r="U34" s="4904" t="n"/>
      <c r="V34" s="4904" t="n"/>
      <c r="W34" s="4904" t="n"/>
      <c r="X34" s="6630" t="n"/>
      <c r="Y34" s="12469">
        <f>SUM(SocSecWages_You,SocSecTips_You)</f>
        <v/>
      </c>
      <c r="Z34" s="7839" t="n"/>
      <c r="AA34" s="7839" t="n"/>
      <c r="AB34" s="7839" t="n"/>
      <c r="AC34" s="10091" t="n"/>
      <c r="AD34" s="6636" t="n"/>
      <c r="AE34" s="4524" t="n"/>
      <c r="AF34" s="4524" t="n"/>
      <c r="AG34" s="4524" t="n"/>
      <c r="AH34" s="4524" t="n"/>
      <c r="AI34" s="4521" t="n"/>
      <c r="AJ34" s="4521" t="n"/>
      <c r="AK34" s="2290" t="n"/>
      <c r="AL34" s="11602" t="n"/>
      <c r="AN34" s="724" t="n"/>
      <c r="AP34" s="658" t="n"/>
      <c r="AQ34" s="658" t="n"/>
      <c r="AR34" s="658" t="n"/>
      <c r="AS34" s="658" t="n"/>
      <c r="AT34" s="658" t="n"/>
      <c r="AU34" s="658" t="n"/>
      <c r="AV34" s="658" t="n"/>
      <c r="AW34" s="658" t="n"/>
      <c r="AX34" s="658" t="n"/>
      <c r="AY34" s="658" t="n"/>
      <c r="AZ34" s="2293" t="n"/>
    </row>
    <row r="35" ht="15.75" customFormat="1" customHeight="1" s="1115">
      <c r="A35" s="2290" t="n"/>
      <c r="B35" s="9988" t="n"/>
      <c r="C35" s="7772">
        <f>"boxes 3 and 7) and railroad retirement (RRTA) compensation (subject to "&amp;TEXT(SSTaxRate,"0.0%")</f>
        <v/>
      </c>
      <c r="D35" s="7772" t="n"/>
      <c r="E35" s="4904" t="n"/>
      <c r="F35" s="6626" t="n"/>
      <c r="G35" s="7772" t="n"/>
      <c r="H35" s="4904" t="n"/>
      <c r="I35" s="4904" t="n"/>
      <c r="J35" s="4904" t="n"/>
      <c r="K35" s="4904" t="n"/>
      <c r="L35" s="4904" t="n"/>
      <c r="M35" s="4904" t="n"/>
      <c r="N35" s="4904" t="n"/>
      <c r="O35" s="4904" t="n"/>
      <c r="P35" s="4904" t="n"/>
      <c r="Q35" s="4904" t="n"/>
      <c r="R35" s="4904" t="n"/>
      <c r="S35" s="4904" t="n"/>
      <c r="T35" s="4904" t="n"/>
      <c r="U35" s="4904" t="n"/>
      <c r="V35" s="4904" t="n"/>
      <c r="W35" s="4904" t="n"/>
      <c r="X35" s="6631" t="n"/>
      <c r="Y35" s="12470" t="n"/>
      <c r="AC35" s="7636" t="n"/>
      <c r="AD35" s="6636" t="n"/>
      <c r="AE35" s="4524" t="n"/>
      <c r="AF35" s="4524" t="n"/>
      <c r="AG35" s="4524" t="n"/>
      <c r="AH35" s="4524" t="n"/>
      <c r="AI35" s="4521" t="n"/>
      <c r="AJ35" s="4521" t="n"/>
      <c r="AK35" s="2290" t="n"/>
      <c r="AL35" s="11602" t="n"/>
      <c r="AM35" s="404" t="n"/>
      <c r="AN35" s="724" t="n"/>
      <c r="AP35" s="658" t="n"/>
      <c r="AQ35" s="658" t="n"/>
      <c r="AR35" s="658" t="n"/>
      <c r="AS35" s="658" t="n"/>
      <c r="AT35" s="658" t="n"/>
      <c r="AU35" s="658" t="n"/>
      <c r="AV35" s="658" t="n"/>
      <c r="AW35" s="658" t="n"/>
      <c r="AX35" s="658" t="n"/>
      <c r="AY35" s="658" t="n"/>
      <c r="AZ35" s="2293" t="n"/>
    </row>
    <row r="36" ht="15.75" customFormat="1" customHeight="1" s="1115">
      <c r="A36" s="2290" t="n"/>
      <c r="B36" s="9988" t="n"/>
      <c r="C36" s="7772" t="inlineStr">
        <is>
          <t xml:space="preserve">rate) (see instructions) </t>
        </is>
      </c>
      <c r="D36" s="7772" t="n"/>
      <c r="E36" s="4904" t="n"/>
      <c r="F36" s="6626" t="n"/>
      <c r="G36" s="7772" t="n"/>
      <c r="H36" s="4904" t="n"/>
      <c r="I36" s="4904" t="n"/>
      <c r="J36" s="4904" t="n"/>
      <c r="K36" s="4904" t="n"/>
      <c r="L36" s="4904" t="n"/>
      <c r="M36" s="4904" t="n"/>
      <c r="N36" s="4904" t="n"/>
      <c r="O36" s="4904" t="n"/>
      <c r="P36" s="4904" t="n"/>
      <c r="Q36" s="4904" t="n"/>
      <c r="R36" s="4904" t="n"/>
      <c r="S36" s="4904" t="n"/>
      <c r="T36" s="4904" t="n"/>
      <c r="U36" s="4904" t="n"/>
      <c r="V36" s="4904" t="n"/>
      <c r="W36" s="6625" t="inlineStr">
        <is>
          <t xml:space="preserve">.   .   .   .   .   .   .   .   .   .   .   .   .   .   .   .   .   .   .   . </t>
        </is>
      </c>
      <c r="X36" s="6633" t="n">
        <v>8</v>
      </c>
      <c r="Y36" s="12471">
        <f>IF(AN27,"",SUM(SocSecWages_You,SocSecTips_You))</f>
        <v/>
      </c>
      <c r="Z36" s="7637" t="n"/>
      <c r="AA36" s="7637" t="n"/>
      <c r="AB36" s="7637" t="n"/>
      <c r="AC36" s="7638" t="n"/>
      <c r="AD36" s="6637" t="n"/>
      <c r="AE36" s="4524" t="n"/>
      <c r="AF36" s="4524" t="n"/>
      <c r="AG36" s="4524" t="n"/>
      <c r="AH36" s="4524" t="n"/>
      <c r="AI36" s="4521" t="n"/>
      <c r="AJ36" s="4521" t="n"/>
      <c r="AK36" s="2290" t="n"/>
      <c r="AL36" s="11602" t="n"/>
      <c r="AM36" s="11602" t="n"/>
      <c r="AN36" s="724" t="n"/>
      <c r="AP36" s="658" t="n"/>
      <c r="AQ36" s="658" t="n"/>
      <c r="AR36" s="658" t="n"/>
      <c r="AS36" s="658" t="n"/>
      <c r="AT36" s="658" t="n"/>
      <c r="AU36" s="658" t="n"/>
      <c r="AV36" s="658" t="n"/>
      <c r="AW36" s="658" t="n"/>
      <c r="AX36" s="658" t="n"/>
      <c r="AY36" s="658" t="n"/>
      <c r="AZ36" s="2293" t="n"/>
    </row>
    <row r="37" ht="15.75" customFormat="1" customHeight="1" s="1115">
      <c r="A37" s="2290" t="n"/>
      <c r="B37" s="9988" t="n">
        <v>9</v>
      </c>
      <c r="C37" s="7772" t="inlineStr">
        <is>
          <t>Subtract line 8 from line 7. If line 8 is more than line 7, enter -0-</t>
        </is>
      </c>
      <c r="D37" s="7772" t="n"/>
      <c r="E37" s="4904" t="n"/>
      <c r="F37" s="6626" t="n"/>
      <c r="G37" s="7772" t="n"/>
      <c r="H37" s="4904" t="n"/>
      <c r="I37" s="4904" t="n"/>
      <c r="J37" s="4904" t="n"/>
      <c r="K37" s="4904" t="n"/>
      <c r="L37" s="4904" t="n"/>
      <c r="M37" s="4904" t="n"/>
      <c r="N37" s="4904" t="n"/>
      <c r="O37" s="4904" t="n"/>
      <c r="P37" s="4904" t="n"/>
      <c r="Q37" s="4904" t="n"/>
      <c r="R37" s="4904" t="n"/>
      <c r="S37" s="4904" t="n"/>
      <c r="T37" s="4904" t="n"/>
      <c r="U37" s="4904" t="n"/>
      <c r="V37" s="4904" t="n"/>
      <c r="W37" s="4904" t="n"/>
      <c r="X37" s="4524" t="n"/>
      <c r="Y37" s="4524" t="n"/>
      <c r="Z37" s="6652" t="n"/>
      <c r="AA37" s="6652" t="n"/>
      <c r="AB37" s="6652" t="n"/>
      <c r="AC37" s="6651" t="inlineStr">
        <is>
          <t xml:space="preserve"> .   .   .   .   .   .   .   .   .   .   .   .   .   .   .   . </t>
        </is>
      </c>
      <c r="AD37" s="6633" t="n">
        <v>9</v>
      </c>
      <c r="AE37" s="9969">
        <f>IF(AN27,"",MAX(0,SUM(Y33,-Y36)))</f>
        <v/>
      </c>
      <c r="AF37" s="7637" t="n"/>
      <c r="AG37" s="7637" t="n"/>
      <c r="AH37" s="7637" t="n"/>
      <c r="AI37" s="7637" t="n"/>
      <c r="AJ37" s="7637" t="n"/>
      <c r="AK37" s="2290" t="n"/>
      <c r="AL37" s="11602" t="n"/>
      <c r="AM37" s="512">
        <f>Y36&gt;Z26</f>
        <v/>
      </c>
      <c r="AN37" s="724" t="n"/>
      <c r="AP37" s="658" t="n"/>
      <c r="AQ37" s="658" t="n"/>
      <c r="AR37" s="658" t="n"/>
      <c r="AS37" s="658" t="n"/>
      <c r="AT37" s="658" t="n"/>
      <c r="AU37" s="658" t="n"/>
      <c r="AV37" s="658" t="n"/>
      <c r="AW37" s="658" t="n"/>
      <c r="AX37" s="658" t="n"/>
      <c r="AY37" s="658" t="n"/>
      <c r="AZ37" s="2293" t="n"/>
    </row>
    <row r="38" ht="15.75" customFormat="1" customHeight="1" s="1115">
      <c r="A38" s="2290" t="n"/>
      <c r="B38" s="9988" t="n">
        <v>10</v>
      </c>
      <c r="C38" s="7772" t="inlineStr">
        <is>
          <t>Unreported tips subject to social security tax. Enter the smaller of line 6 or line 9. If you received tips</t>
        </is>
      </c>
      <c r="D38" s="7772" t="n"/>
      <c r="E38" s="4904" t="n"/>
      <c r="F38" s="6626" t="n"/>
      <c r="G38" s="7772" t="n"/>
      <c r="H38" s="4904" t="n"/>
      <c r="I38" s="4904" t="n"/>
      <c r="J38" s="4904" t="n"/>
      <c r="K38" s="4904" t="n"/>
      <c r="L38" s="4904" t="n"/>
      <c r="M38" s="4904" t="n"/>
      <c r="N38" s="4904" t="n"/>
      <c r="O38" s="4904" t="n"/>
      <c r="P38" s="4904" t="n"/>
      <c r="Q38" s="4904" t="n"/>
      <c r="R38" s="4904" t="n"/>
      <c r="S38" s="4904" t="n"/>
      <c r="T38" s="4904" t="n"/>
      <c r="U38" s="4904" t="n"/>
      <c r="V38" s="4904" t="n"/>
      <c r="W38" s="4904" t="n"/>
      <c r="X38" s="4524" t="n"/>
      <c r="Y38" s="4524" t="n"/>
      <c r="Z38" s="4524" t="n"/>
      <c r="AA38" s="4524" t="n"/>
      <c r="AB38" s="4524" t="n"/>
      <c r="AC38" s="4524" t="n"/>
      <c r="AD38" s="6656" t="n"/>
      <c r="AE38" s="6657" t="n"/>
      <c r="AF38" s="6657" t="n"/>
      <c r="AG38" s="6657" t="n"/>
      <c r="AH38" s="6657" t="n"/>
      <c r="AI38" s="6657" t="n"/>
      <c r="AJ38" s="6657" t="n"/>
      <c r="AK38" s="2290" t="n"/>
      <c r="AL38" s="11602" t="n"/>
      <c r="AM38" s="11602" t="n"/>
      <c r="AN38" s="724" t="n"/>
      <c r="AP38" s="658" t="n"/>
      <c r="AQ38" s="658" t="n"/>
      <c r="AR38" s="658" t="n"/>
      <c r="AS38" s="658" t="n"/>
      <c r="AT38" s="658" t="n"/>
      <c r="AU38" s="658" t="n"/>
      <c r="AV38" s="658" t="n"/>
      <c r="AW38" s="658" t="n"/>
      <c r="AX38" s="658" t="n"/>
      <c r="AY38" s="658" t="n"/>
      <c r="AZ38" s="2293" t="n"/>
    </row>
    <row r="39" ht="15.75" customFormat="1" customHeight="1" s="1115">
      <c r="A39" s="2290" t="n"/>
      <c r="B39" s="9988" t="n"/>
      <c r="C39" s="7772" t="inlineStr">
        <is>
          <t>as a federal, state, or local government employee, see instructions</t>
        </is>
      </c>
      <c r="D39" s="7772" t="n"/>
      <c r="E39" s="4904" t="n"/>
      <c r="F39" s="6626" t="n"/>
      <c r="G39" s="7772" t="n"/>
      <c r="H39" s="4904" t="n"/>
      <c r="I39" s="4904" t="n"/>
      <c r="J39" s="4904" t="n"/>
      <c r="K39" s="4904" t="n"/>
      <c r="L39" s="4904" t="n"/>
      <c r="M39" s="4904" t="n"/>
      <c r="N39" s="4904" t="n"/>
      <c r="O39" s="4904" t="n"/>
      <c r="P39" s="4904" t="n"/>
      <c r="Q39" s="4904" t="n"/>
      <c r="R39" s="4904" t="n"/>
      <c r="S39" s="4904" t="n"/>
      <c r="T39" s="4904" t="n"/>
      <c r="U39" s="4904" t="n"/>
      <c r="V39" s="4904" t="n"/>
      <c r="W39" s="4904" t="n"/>
      <c r="X39" s="4524" t="n"/>
      <c r="Y39" s="4524" t="n"/>
      <c r="Z39" s="4524" t="n"/>
      <c r="AA39" s="4524" t="n"/>
      <c r="AB39" s="4524" t="n"/>
      <c r="AC39" s="6651" t="inlineStr">
        <is>
          <t xml:space="preserve"> .   .   .   .   .   .   .   .   .   .   .   .   .   .   .   . </t>
        </is>
      </c>
      <c r="AD39" s="6633" t="n">
        <v>10</v>
      </c>
      <c r="AE39" s="9969">
        <f>IF(AN27,"",MIN(AE32,AE37))</f>
        <v/>
      </c>
      <c r="AF39" s="7637" t="n"/>
      <c r="AG39" s="7637" t="n"/>
      <c r="AH39" s="7637" t="n"/>
      <c r="AI39" s="7637" t="n"/>
      <c r="AJ39" s="7637" t="n"/>
      <c r="AK39" s="2290" t="n"/>
      <c r="AL39" s="11602" t="n"/>
      <c r="AM39" s="11602" t="n"/>
      <c r="AN39" s="724" t="n"/>
      <c r="AP39" s="658" t="n"/>
      <c r="AQ39" s="658" t="n"/>
      <c r="AR39" s="658" t="n"/>
      <c r="AS39" s="658" t="n"/>
      <c r="AT39" s="658" t="n"/>
      <c r="AU39" s="658" t="n"/>
      <c r="AV39" s="658" t="n"/>
      <c r="AW39" s="658" t="n"/>
      <c r="AX39" s="658" t="n"/>
      <c r="AY39" s="658" t="n"/>
      <c r="AZ39" s="2293" t="n"/>
    </row>
    <row r="40" ht="15.75" customFormat="1" customHeight="1" s="1115">
      <c r="A40" s="2290" t="n"/>
      <c r="B40" s="9988" t="n">
        <v>11</v>
      </c>
      <c r="C40" s="7772">
        <f>"Multiply line 10 by "&amp;TEXT(SSTaxRate,"0.000")&amp;" (social security tax rate)"</f>
        <v/>
      </c>
      <c r="D40" s="7772" t="n"/>
      <c r="E40" s="4904" t="n"/>
      <c r="F40" s="6626" t="n"/>
      <c r="G40" s="7772" t="n"/>
      <c r="H40" s="4524" t="n"/>
      <c r="I40" s="4524" t="n"/>
      <c r="J40" s="4524" t="n"/>
      <c r="K40" s="4524" t="n"/>
      <c r="L40" s="6629" t="n"/>
      <c r="M40" s="4524" t="n"/>
      <c r="N40" s="4524" t="n"/>
      <c r="O40" s="4524" t="n"/>
      <c r="P40" s="4524" t="n"/>
      <c r="Q40" s="4524" t="n"/>
      <c r="R40" s="4524" t="n"/>
      <c r="S40" s="4524" t="n"/>
      <c r="T40" s="4524" t="n"/>
      <c r="U40" s="4524" t="n"/>
      <c r="V40" s="4524" t="n"/>
      <c r="W40" s="4524" t="n"/>
      <c r="X40" s="4524" t="n"/>
      <c r="Y40" s="4524" t="n"/>
      <c r="Z40" s="4524" t="n"/>
      <c r="AA40" s="4524" t="n"/>
      <c r="AB40" s="4524" t="n"/>
      <c r="AC40" s="6651" t="inlineStr">
        <is>
          <t xml:space="preserve"> .   .   .   .   .   .   .   .   .   .   .   .   .   .   .   .   .   .   .   .   .   . </t>
        </is>
      </c>
      <c r="AD40" s="6633" t="n">
        <v>11</v>
      </c>
      <c r="AE40" s="9969">
        <f>IF(AN27,"",ROUND(AE39*SSTaxRate,0))</f>
        <v/>
      </c>
      <c r="AF40" s="7637" t="n"/>
      <c r="AG40" s="7637" t="n"/>
      <c r="AH40" s="7637" t="n"/>
      <c r="AI40" s="7637" t="n"/>
      <c r="AJ40" s="7637" t="n"/>
      <c r="AK40" s="2290" t="n"/>
      <c r="AL40" s="11602" t="n"/>
      <c r="AM40" s="11602" t="n"/>
      <c r="AN40" s="724" t="n"/>
      <c r="AP40" s="658" t="n"/>
      <c r="AQ40" s="658" t="n"/>
      <c r="AR40" s="658" t="n"/>
      <c r="AS40" s="658" t="n"/>
      <c r="AT40" s="658" t="n"/>
      <c r="AU40" s="658" t="n"/>
      <c r="AV40" s="658" t="n"/>
      <c r="AW40" s="658" t="n"/>
      <c r="AX40" s="658" t="n"/>
      <c r="AY40" s="658" t="n"/>
      <c r="AZ40" s="2293" t="n"/>
    </row>
    <row r="41" ht="15.75" customFormat="1" customHeight="1" s="1115">
      <c r="A41" s="2290" t="n"/>
      <c r="B41" s="9988" t="n">
        <v>12</v>
      </c>
      <c r="C41" s="7772">
        <f>"Multiply line 6 by "&amp;TEXT(MedicareTaxRate,"0.0000")&amp;" (Medicare tax rate)"</f>
        <v/>
      </c>
      <c r="D41" s="7772" t="n"/>
      <c r="E41" s="4904" t="n"/>
      <c r="F41" s="6626" t="n"/>
      <c r="G41" s="7772" t="n"/>
      <c r="H41" s="4524" t="n"/>
      <c r="I41" s="4524" t="n"/>
      <c r="J41" s="4524" t="n"/>
      <c r="K41" s="4524" t="n"/>
      <c r="L41" s="4524" t="n"/>
      <c r="M41" s="4524" t="n"/>
      <c r="N41" s="4524" t="n"/>
      <c r="O41" s="4524" t="n"/>
      <c r="P41" s="4524" t="n"/>
      <c r="Q41" s="4524" t="n"/>
      <c r="R41" s="4524" t="n"/>
      <c r="S41" s="4524" t="n"/>
      <c r="T41" s="4524" t="n"/>
      <c r="U41" s="4524" t="n"/>
      <c r="V41" s="4524" t="n"/>
      <c r="W41" s="4524" t="n"/>
      <c r="X41" s="4524" t="n"/>
      <c r="Y41" s="4524" t="n"/>
      <c r="Z41" s="4524" t="n"/>
      <c r="AA41" s="4524" t="n"/>
      <c r="AB41" s="4524" t="n"/>
      <c r="AC41" s="6651" t="inlineStr">
        <is>
          <t xml:space="preserve">  .   .   .   .   .   .   .   .   .   .   .   .   .   .   .   .   .   .   .   .   .   .   .   . </t>
        </is>
      </c>
      <c r="AD41" s="6633" t="n">
        <v>12</v>
      </c>
      <c r="AE41" s="9969">
        <f>IF(AN27,"",ROUND(AE32*MedicareTaxRate,0))</f>
        <v/>
      </c>
      <c r="AF41" s="7637" t="n"/>
      <c r="AG41" s="7637" t="n"/>
      <c r="AH41" s="7637" t="n"/>
      <c r="AI41" s="7637" t="n"/>
      <c r="AJ41" s="7637" t="n"/>
      <c r="AK41" s="2290" t="n"/>
      <c r="AL41" s="11602" t="n"/>
      <c r="AM41" s="11602" t="n"/>
      <c r="AN41" s="724" t="n"/>
      <c r="AP41" s="658" t="n"/>
      <c r="AQ41" s="658" t="n"/>
      <c r="AR41" s="658" t="n"/>
      <c r="AS41" s="658" t="n"/>
      <c r="AT41" s="658" t="n"/>
      <c r="AU41" s="658" t="n"/>
      <c r="AV41" s="658" t="n"/>
      <c r="AW41" s="658" t="n"/>
      <c r="AX41" s="658" t="n"/>
      <c r="AY41" s="658" t="n"/>
      <c r="AZ41" s="2293" t="n"/>
    </row>
    <row r="42" ht="15.75" customFormat="1" customHeight="1" s="1115">
      <c r="A42" s="2290" t="n"/>
      <c r="B42" s="9988" t="n">
        <v>13</v>
      </c>
      <c r="C42" s="7772" t="inlineStr">
        <is>
          <t>Add lines 11 and 12. Include as tax on Schedule 2 (Form 1040), line 5, or Form 1040-SS, Part I, line</t>
        </is>
      </c>
      <c r="D42" s="7772" t="n"/>
      <c r="E42" s="4904" t="n"/>
      <c r="F42" s="6626" t="n"/>
      <c r="G42" s="7772" t="n"/>
      <c r="H42" s="4524" t="n"/>
      <c r="I42" s="4524" t="n"/>
      <c r="J42" s="4524" t="n"/>
      <c r="K42" s="4524" t="n"/>
      <c r="L42" s="4524" t="n"/>
      <c r="M42" s="4524" t="n"/>
      <c r="N42" s="4524" t="n"/>
      <c r="O42" s="4524" t="n"/>
      <c r="P42" s="4524" t="n"/>
      <c r="Q42" s="4524" t="n"/>
      <c r="R42" s="4524" t="n"/>
      <c r="S42" s="4524" t="n"/>
      <c r="T42" s="4524" t="n"/>
      <c r="U42" s="4524" t="n"/>
      <c r="V42" s="4524" t="n"/>
      <c r="W42" s="4524" t="n"/>
      <c r="X42" s="4524" t="n"/>
      <c r="Y42" s="4524" t="n"/>
      <c r="Z42" s="4524" t="n"/>
      <c r="AA42" s="4524" t="n"/>
      <c r="AB42" s="4524" t="n"/>
      <c r="AC42" s="4524" t="n"/>
      <c r="AD42" s="6643" t="n"/>
      <c r="AE42" s="6645" t="n"/>
      <c r="AF42" s="6645" t="n"/>
      <c r="AG42" s="6645" t="n"/>
      <c r="AH42" s="6645" t="n"/>
      <c r="AI42" s="6646" t="n"/>
      <c r="AJ42" s="6646" t="n"/>
      <c r="AK42" s="2290" t="n"/>
      <c r="AL42" s="11602" t="n"/>
      <c r="AM42" s="11602" t="n"/>
      <c r="AN42" s="724" t="n"/>
      <c r="AP42" s="658" t="n"/>
      <c r="AQ42" s="658" t="n"/>
      <c r="AR42" s="658" t="n"/>
      <c r="AS42" s="658" t="n"/>
      <c r="AT42" s="658" t="n"/>
      <c r="AU42" s="658" t="n"/>
      <c r="AV42" s="658" t="n"/>
      <c r="AW42" s="658" t="n"/>
      <c r="AX42" s="658" t="n"/>
      <c r="AY42" s="658" t="n"/>
      <c r="AZ42" s="2293" t="n"/>
    </row>
    <row r="43" ht="15.75" customFormat="1" customHeight="1" s="1115" thickBot="1">
      <c r="A43" s="2290" t="n"/>
      <c r="B43" s="4817" t="n"/>
      <c r="C43" s="5003" t="inlineStr">
        <is>
          <t>6a. (See instructions there.)</t>
        </is>
      </c>
      <c r="D43" s="5003" t="n"/>
      <c r="E43" s="6638" t="n"/>
      <c r="F43" s="6639" t="n"/>
      <c r="G43" s="5003" t="n"/>
      <c r="H43" s="6640" t="n"/>
      <c r="I43" s="6640" t="n"/>
      <c r="J43" s="6640" t="n"/>
      <c r="K43" s="6640" t="n"/>
      <c r="L43" s="6640" t="n"/>
      <c r="M43" s="6640" t="n"/>
      <c r="N43" s="6640" t="n"/>
      <c r="O43" s="6640" t="n"/>
      <c r="P43" s="6640" t="n"/>
      <c r="Q43" s="6640" t="n"/>
      <c r="R43" s="6640" t="n"/>
      <c r="S43" s="6640" t="n"/>
      <c r="T43" s="6640" t="n"/>
      <c r="U43" s="6640" t="n"/>
      <c r="V43" s="6640" t="n"/>
      <c r="W43" s="6640" t="n"/>
      <c r="X43" s="6640" t="n"/>
      <c r="Y43" s="6640" t="n"/>
      <c r="Z43" s="6640" t="n"/>
      <c r="AA43" s="6640" t="n"/>
      <c r="AB43" s="6640" t="n"/>
      <c r="AC43" s="6651" t="inlineStr">
        <is>
          <t xml:space="preserve">  .   .   .   .   .   .   .   .   .   .   .   .   .   .   .   .   .   .   .   .   .   .   .   .   .   .   .   .   .   . </t>
        </is>
      </c>
      <c r="AD43" s="6644" t="n">
        <v>13</v>
      </c>
      <c r="AE43" s="9986">
        <f>IF(AM43&lt;&gt;"",ROUND(AM43,0),IF(AN27,"",SUM(AE40,AE41)))</f>
        <v/>
      </c>
      <c r="AF43" s="8848" t="n"/>
      <c r="AG43" s="8848" t="n"/>
      <c r="AH43" s="8848" t="n"/>
      <c r="AI43" s="8848" t="n"/>
      <c r="AJ43" s="8848" t="n"/>
      <c r="AK43" s="2290" t="n"/>
      <c r="AL43" s="11602" t="n"/>
      <c r="AM43" s="6642" t="n"/>
      <c r="AN43" s="724" t="n"/>
      <c r="AP43" s="658" t="n"/>
      <c r="AQ43" s="658" t="n"/>
      <c r="AR43" s="658" t="n"/>
      <c r="AS43" s="658" t="n"/>
      <c r="AT43" s="658" t="n"/>
      <c r="AU43" s="658" t="n"/>
      <c r="AV43" s="658" t="n"/>
      <c r="AW43" s="658" t="n"/>
      <c r="AX43" s="658" t="n"/>
      <c r="AY43" s="658" t="n"/>
      <c r="AZ43" s="2293" t="n"/>
    </row>
    <row r="44" ht="15.75" customFormat="1" customHeight="1" s="1115">
      <c r="A44" s="2290" t="n"/>
      <c r="B44" s="7372" t="inlineStr">
        <is>
          <t>For Paperwork Reduction Act Notice, see your tax return instructions.</t>
        </is>
      </c>
      <c r="C44" s="7772" t="n"/>
      <c r="D44" s="7772" t="n"/>
      <c r="E44" s="4904" t="n"/>
      <c r="F44" s="6626" t="n"/>
      <c r="G44" s="7772" t="n"/>
      <c r="H44" s="4524" t="n"/>
      <c r="I44" s="4524" t="n"/>
      <c r="J44" s="4524" t="n"/>
      <c r="K44" s="4524" t="n"/>
      <c r="L44" s="4524" t="n"/>
      <c r="M44" s="4524" t="n"/>
      <c r="N44" s="4524" t="n"/>
      <c r="O44" s="4524" t="n"/>
      <c r="P44" s="4524" t="n"/>
      <c r="Q44" s="4524" t="n"/>
      <c r="R44" s="4524" t="n"/>
      <c r="S44" s="4524" t="n"/>
      <c r="T44" s="4524" t="n"/>
      <c r="U44" s="4524" t="n"/>
      <c r="V44" s="1672" t="inlineStr">
        <is>
          <t>Cat. No. 12626C</t>
        </is>
      </c>
      <c r="W44" s="4524" t="n"/>
      <c r="X44" s="4524" t="n"/>
      <c r="Y44" s="4524" t="n"/>
      <c r="Z44" s="4524" t="n"/>
      <c r="AA44" s="4524" t="n"/>
      <c r="AB44" s="4524" t="n"/>
      <c r="AC44" s="4901" t="n"/>
      <c r="AD44" s="6641" t="inlineStr">
        <is>
          <t>Form 4137</t>
        </is>
      </c>
      <c r="AE44" s="9237">
        <f>"("&amp;TaxYear&amp;")"</f>
        <v/>
      </c>
      <c r="AG44" s="4524" t="n"/>
      <c r="AH44" s="4524" t="n"/>
      <c r="AI44" s="4521" t="n"/>
      <c r="AJ44" s="1061" t="inlineStr">
        <is>
          <t>Created 3/27/25</t>
        </is>
      </c>
      <c r="AK44" s="2290" t="n"/>
      <c r="AL44" s="11602" t="n"/>
      <c r="AM44" s="11602" t="n"/>
      <c r="AN44" s="724" t="n"/>
      <c r="AP44" s="658" t="n"/>
      <c r="AQ44" s="658" t="n"/>
      <c r="AR44" s="658" t="n"/>
      <c r="AS44" s="658" t="n"/>
      <c r="AT44" s="658" t="n"/>
      <c r="AU44" s="658" t="n"/>
      <c r="AV44" s="658" t="n"/>
      <c r="AW44" s="658" t="n"/>
      <c r="AX44" s="658" t="n"/>
      <c r="AY44" s="658" t="n"/>
      <c r="AZ44" s="2293" t="n"/>
    </row>
    <row r="45" ht="24" customFormat="1" customHeight="1" s="815">
      <c r="A45" s="2013" t="n"/>
      <c r="B45" s="9935">
        <f>IF('Table of Contents'!A91="D","DRAFT","")</f>
        <v/>
      </c>
      <c r="D45" s="9936" t="n">
        <v>4137</v>
      </c>
      <c r="H45" s="379" t="n"/>
      <c r="I45" s="12457" t="inlineStr">
        <is>
          <t>Social Security and  Medicare Tax 
on Unreported Tip Income</t>
        </is>
      </c>
      <c r="AB45" s="1066" t="n"/>
      <c r="AC45" s="9942">
        <f>IF('Table of Contents'!A91="D","DRAFT","OMB No. 1545-0074")</f>
        <v/>
      </c>
      <c r="AD45" s="7637" t="n"/>
      <c r="AE45" s="7637" t="n"/>
      <c r="AF45" s="7637" t="n"/>
      <c r="AG45" s="7637" t="n"/>
      <c r="AH45" s="7637" t="n"/>
      <c r="AI45" s="7637" t="n"/>
      <c r="AJ45" s="7637" t="n"/>
      <c r="AK45" s="2013" t="n"/>
      <c r="AL45" s="11602" t="n"/>
      <c r="AM45" s="11602" t="n"/>
      <c r="AN45" s="724" t="n"/>
      <c r="AP45" s="658" t="n"/>
      <c r="AQ45" s="658" t="n"/>
      <c r="AR45" s="658" t="n"/>
      <c r="AS45" s="658" t="n"/>
      <c r="AT45" s="658" t="n"/>
      <c r="AU45" s="658" t="n"/>
      <c r="AV45" s="658" t="n"/>
      <c r="AW45" s="658" t="n"/>
      <c r="AX45" s="658" t="n"/>
      <c r="AY45" s="658" t="n"/>
    </row>
    <row r="46" ht="24" customFormat="1" customHeight="1" s="815">
      <c r="A46" s="2013" t="n"/>
      <c r="B46" s="9886" t="inlineStr">
        <is>
          <t>Form</t>
        </is>
      </c>
      <c r="H46" s="379" t="n"/>
      <c r="I46" s="11741" t="n"/>
      <c r="AB46" s="1066" t="n"/>
      <c r="AC46" s="9887">
        <f>TaxYear</f>
        <v/>
      </c>
      <c r="AD46" s="7839" t="n"/>
      <c r="AE46" s="7839" t="n"/>
      <c r="AF46" s="7839" t="n"/>
      <c r="AG46" s="7839" t="n"/>
      <c r="AH46" s="7839" t="n"/>
      <c r="AI46" s="7839" t="n"/>
      <c r="AJ46" s="7839" t="n"/>
      <c r="AK46" s="2013" t="n"/>
      <c r="AL46" s="344" t="inlineStr">
        <is>
          <t>This form is for:</t>
        </is>
      </c>
      <c r="AM46" s="344" t="n"/>
      <c r="AN46" s="724" t="n"/>
      <c r="AP46" s="658" t="n"/>
      <c r="AQ46" s="658" t="n"/>
      <c r="AR46" s="658" t="n"/>
      <c r="AS46" s="658" t="n"/>
      <c r="AT46" s="658" t="n"/>
      <c r="AU46" s="658" t="n"/>
      <c r="AV46" s="658" t="n"/>
      <c r="AW46" s="658" t="n"/>
      <c r="AX46" s="658" t="n"/>
      <c r="AY46" s="658" t="n"/>
    </row>
    <row r="47" ht="6.75" customFormat="1" customHeight="1" s="815" thickBot="1">
      <c r="A47" s="2013" t="n"/>
      <c r="B47" s="344" t="n"/>
      <c r="C47" s="11602" t="n"/>
      <c r="D47" s="11602" t="n"/>
      <c r="E47" s="11602" t="n"/>
      <c r="F47" s="11602" t="n"/>
      <c r="G47" s="11602" t="n"/>
      <c r="H47" s="379" t="n"/>
      <c r="I47" s="11930" t="inlineStr">
        <is>
          <t>Attach to your tax return</t>
        </is>
      </c>
      <c r="AB47" s="1066" t="n"/>
      <c r="AC47" s="11741" t="n"/>
      <c r="AK47" s="2013" t="n"/>
      <c r="AL47" s="11602" t="n"/>
      <c r="AM47" s="11602" t="n"/>
      <c r="AN47" s="724" t="n"/>
      <c r="AP47" s="658" t="n"/>
      <c r="AQ47" s="658" t="n"/>
      <c r="AR47" s="658" t="n"/>
      <c r="AS47" s="658" t="n"/>
      <c r="AT47" s="658" t="n"/>
      <c r="AU47" s="658" t="n"/>
      <c r="AV47" s="658" t="n"/>
      <c r="AW47" s="658" t="n"/>
      <c r="AX47" s="658" t="n"/>
      <c r="AY47" s="658" t="n"/>
    </row>
    <row r="48" ht="16.5" customFormat="1" customHeight="1" s="815" thickBot="1">
      <c r="A48" s="2013" t="n"/>
      <c r="B48" s="344" t="inlineStr">
        <is>
          <t>Department of the Treasury</t>
        </is>
      </c>
      <c r="C48" s="11602" t="n"/>
      <c r="D48" s="11602" t="n"/>
      <c r="E48" s="11602" t="n"/>
      <c r="F48" s="11602" t="n"/>
      <c r="G48" s="11602" t="n"/>
      <c r="H48" s="379" t="n"/>
      <c r="I48" s="11741" t="n"/>
      <c r="AB48" s="1066" t="n"/>
      <c r="AC48" s="341" t="n"/>
      <c r="AD48" s="9237" t="inlineStr">
        <is>
          <t xml:space="preserve">   Attachment</t>
        </is>
      </c>
      <c r="AH48" s="9918" t="n">
        <v>24</v>
      </c>
      <c r="AJ48" s="11602" t="n"/>
      <c r="AK48" s="2013" t="n"/>
      <c r="AL48" s="6647" t="n"/>
      <c r="AM48" s="344" t="inlineStr">
        <is>
          <t>You</t>
        </is>
      </c>
      <c r="AN48" s="724" t="n"/>
      <c r="AP48" s="658" t="n"/>
      <c r="AQ48" s="658" t="n"/>
      <c r="AR48" s="658" t="n"/>
      <c r="AS48" s="658" t="n"/>
      <c r="AT48" s="658" t="n"/>
      <c r="AU48" s="658" t="n"/>
      <c r="AV48" s="658" t="n"/>
      <c r="AW48" s="658" t="n"/>
      <c r="AX48" s="658" t="n"/>
      <c r="AY48" s="658" t="n"/>
    </row>
    <row r="49" ht="15.75" customFormat="1" customHeight="1" s="815" thickBot="1">
      <c r="A49" s="2013" t="n"/>
      <c r="B49" s="498" t="inlineStr">
        <is>
          <t>Internal Revenue Service</t>
        </is>
      </c>
      <c r="C49" s="380" t="n"/>
      <c r="D49" s="380" t="n"/>
      <c r="E49" s="380" t="n"/>
      <c r="F49" s="380" t="n"/>
      <c r="G49" s="380" t="n"/>
      <c r="H49" s="381" t="n"/>
      <c r="I49" s="12458" t="inlineStr">
        <is>
          <t>Go to www.irs.gov/Form4137 for the latest information.</t>
        </is>
      </c>
      <c r="J49" s="8848" t="n"/>
      <c r="K49" s="8848" t="n"/>
      <c r="L49" s="8848" t="n"/>
      <c r="M49" s="8848" t="n"/>
      <c r="N49" s="8848" t="n"/>
      <c r="O49" s="8848" t="n"/>
      <c r="P49" s="8848" t="n"/>
      <c r="Q49" s="8848" t="n"/>
      <c r="R49" s="8848" t="n"/>
      <c r="S49" s="8848" t="n"/>
      <c r="T49" s="8848" t="n"/>
      <c r="U49" s="8848" t="n"/>
      <c r="V49" s="8848" t="n"/>
      <c r="W49" s="8848" t="n"/>
      <c r="X49" s="8848" t="n"/>
      <c r="Y49" s="8848" t="n"/>
      <c r="Z49" s="8848" t="n"/>
      <c r="AA49" s="8848" t="n"/>
      <c r="AB49" s="2627" t="n"/>
      <c r="AC49" s="1197" t="n"/>
      <c r="AD49" s="9921" t="inlineStr">
        <is>
          <t xml:space="preserve">Sequence No.  </t>
        </is>
      </c>
      <c r="AE49" s="8848" t="n"/>
      <c r="AF49" s="8848" t="n"/>
      <c r="AG49" s="8848" t="n"/>
      <c r="AH49" s="8848" t="n"/>
      <c r="AI49" s="8848" t="n"/>
      <c r="AJ49" s="380" t="n"/>
      <c r="AK49" s="2013" t="n"/>
      <c r="AL49" s="6647" t="inlineStr">
        <is>
          <t>X</t>
        </is>
      </c>
      <c r="AM49" s="344" t="inlineStr">
        <is>
          <t>Your spouse</t>
        </is>
      </c>
      <c r="AN49" s="724" t="n"/>
      <c r="AP49" s="658" t="n"/>
      <c r="AQ49" s="658" t="n"/>
      <c r="AR49" s="658" t="n"/>
      <c r="AS49" s="658" t="n"/>
      <c r="AT49" s="658" t="n"/>
      <c r="AU49" s="658" t="n"/>
      <c r="AV49" s="658" t="n"/>
      <c r="AW49" s="658" t="n"/>
      <c r="AX49" s="658" t="n"/>
      <c r="AY49" s="658" t="n"/>
    </row>
    <row r="50" customFormat="1" s="815">
      <c r="A50" s="2013" t="n"/>
      <c r="B50" s="9924" t="inlineStr">
        <is>
          <t xml:space="preserve">Name of person who received tips. If married, complete a separate Form 4137 for each spouse with unreported tips. </t>
        </is>
      </c>
      <c r="C50" s="2506" t="n"/>
      <c r="D50" s="2506" t="n"/>
      <c r="E50" s="2506" t="n"/>
      <c r="F50" s="2506" t="n"/>
      <c r="G50" s="2506" t="n"/>
      <c r="H50" s="2506" t="n"/>
      <c r="I50" s="2506" t="n"/>
      <c r="J50" s="2506" t="n"/>
      <c r="K50" s="2506" t="n"/>
      <c r="L50" s="2506" t="n"/>
      <c r="M50" s="2506" t="n"/>
      <c r="N50" s="2506" t="n"/>
      <c r="O50" s="2506" t="n"/>
      <c r="P50" s="2506" t="n"/>
      <c r="Q50" s="2506" t="n"/>
      <c r="R50" s="2506" t="n"/>
      <c r="S50" s="2506" t="n"/>
      <c r="T50" s="2506" t="n"/>
      <c r="U50" s="2506" t="n"/>
      <c r="V50" s="2506" t="n"/>
      <c r="W50" s="2506" t="n"/>
      <c r="X50" s="2506" t="n"/>
      <c r="Y50" s="2506" t="n"/>
      <c r="Z50" s="2506" t="n"/>
      <c r="AA50" s="11716" t="n"/>
      <c r="AB50" s="6623" t="inlineStr">
        <is>
          <t xml:space="preserve"> Social security number</t>
        </is>
      </c>
      <c r="AC50" s="377" t="n"/>
      <c r="AD50" s="6632" t="n"/>
      <c r="AE50" s="2289" t="n"/>
      <c r="AF50" s="2289" t="n"/>
      <c r="AG50" s="2289" t="n"/>
      <c r="AH50" s="2289" t="n"/>
      <c r="AI50" s="2289" t="n"/>
      <c r="AJ50" s="2289" t="n"/>
      <c r="AK50" s="2013" t="n"/>
      <c r="AL50" s="2741">
        <f>IF(AND(AL48="",AL49=""),"Choose one.",IF(AND(AL48&lt;&gt;"",AL49&lt;&gt;""),"Chose ONLY one.",""))</f>
        <v/>
      </c>
      <c r="AM50" s="11602" t="n"/>
      <c r="AN50" s="724" t="n"/>
      <c r="AP50" s="658" t="n"/>
      <c r="AQ50" s="658" t="n"/>
      <c r="AR50" s="658" t="n"/>
      <c r="AS50" s="658" t="n"/>
      <c r="AT50" s="658" t="n"/>
      <c r="AU50" s="658" t="n"/>
      <c r="AV50" s="658" t="n"/>
      <c r="AW50" s="658" t="n"/>
      <c r="AX50" s="658" t="n"/>
      <c r="AY50" s="658" t="n"/>
    </row>
    <row r="51" ht="18" customFormat="1" customHeight="1" s="815">
      <c r="A51" s="2013" t="n"/>
      <c r="B51" s="9926">
        <f>IF(AND(AL48&lt;&gt;"",AL49&lt;&gt;""),"",IF(AL48&lt;&gt;"",NameYours,IF(AL49&lt;&gt;"",NameSpouse,"")))</f>
        <v/>
      </c>
      <c r="C51" s="7637" t="n"/>
      <c r="D51" s="7637" t="n"/>
      <c r="E51" s="7637" t="n"/>
      <c r="F51" s="7637" t="n"/>
      <c r="G51" s="7637" t="n"/>
      <c r="H51" s="7637" t="n"/>
      <c r="I51" s="7637" t="n"/>
      <c r="J51" s="7637" t="n"/>
      <c r="K51" s="7637" t="n"/>
      <c r="L51" s="7637" t="n"/>
      <c r="M51" s="7637" t="n"/>
      <c r="N51" s="7637" t="n"/>
      <c r="O51" s="7637" t="n"/>
      <c r="P51" s="7637" t="n"/>
      <c r="Q51" s="7637" t="n"/>
      <c r="R51" s="7637" t="n"/>
      <c r="S51" s="7637" t="n"/>
      <c r="T51" s="7637" t="n"/>
      <c r="U51" s="7637" t="n"/>
      <c r="V51" s="7637" t="n"/>
      <c r="W51" s="7637" t="n"/>
      <c r="X51" s="7637" t="n"/>
      <c r="Y51" s="7637" t="n"/>
      <c r="Z51" s="7637" t="n"/>
      <c r="AA51" s="7638" t="n"/>
      <c r="AB51" s="11933">
        <f>IF(AND(AL48&lt;&gt;"",AL49&lt;&gt;""),"",IF(AL48&lt;&gt;"",SS_Yours,IF(AL49&lt;&gt;"",SS_Spouse,"")))</f>
        <v/>
      </c>
      <c r="AC51" s="7637" t="n"/>
      <c r="AD51" s="7637" t="n"/>
      <c r="AE51" s="7637" t="n"/>
      <c r="AF51" s="7637" t="n"/>
      <c r="AG51" s="7637" t="n"/>
      <c r="AH51" s="7637" t="n"/>
      <c r="AI51" s="7637" t="n"/>
      <c r="AJ51" s="7637" t="n"/>
      <c r="AK51" s="2013" t="n"/>
      <c r="AL51" s="11602" t="n"/>
      <c r="AM51" s="11602" t="n"/>
      <c r="AN51" s="724" t="n"/>
      <c r="AP51" s="658" t="n"/>
      <c r="AQ51" s="658" t="n"/>
      <c r="AR51" s="658" t="n"/>
      <c r="AS51" s="658" t="n"/>
      <c r="AT51" s="658" t="n"/>
      <c r="AU51" s="658" t="n"/>
      <c r="AV51" s="658" t="n"/>
      <c r="AW51" s="658" t="n"/>
      <c r="AX51" s="658" t="n"/>
      <c r="AY51" s="658" t="n"/>
    </row>
    <row r="52" ht="15.75" customFormat="1" customHeight="1" s="1115">
      <c r="A52" s="2290" t="n"/>
      <c r="B52" s="6655" t="n"/>
      <c r="C52" s="12459" t="inlineStr">
        <is>
          <t xml:space="preserve">
(a) Name of employer to whom you were required to 
but didn’t report all your tips (see instructions) </t>
        </is>
      </c>
      <c r="D52" s="7839" t="n"/>
      <c r="E52" s="7839" t="n"/>
      <c r="F52" s="7839" t="n"/>
      <c r="G52" s="7839" t="n"/>
      <c r="H52" s="7839" t="n"/>
      <c r="I52" s="7839" t="n"/>
      <c r="J52" s="7839" t="n"/>
      <c r="K52" s="7839" t="n"/>
      <c r="L52" s="7839" t="n"/>
      <c r="M52" s="7839" t="n"/>
      <c r="N52" s="7839" t="n"/>
      <c r="O52" s="7839" t="n"/>
      <c r="P52" s="7839" t="n"/>
      <c r="Q52" s="7839" t="n"/>
      <c r="R52" s="7839" t="n"/>
      <c r="S52" s="10091" t="n"/>
      <c r="T52" s="12460" t="inlineStr">
        <is>
          <t>(b) Employer's
identification
number
(see instructions)</t>
        </is>
      </c>
      <c r="U52" s="7839" t="n"/>
      <c r="V52" s="7839" t="n"/>
      <c r="W52" s="7839" t="n"/>
      <c r="X52" s="12461" t="inlineStr">
        <is>
          <t>(c) Total cash and 
charge tips you received 
(including unreported tips) 
(see instructions)</t>
        </is>
      </c>
      <c r="Y52" s="7839" t="n"/>
      <c r="Z52" s="7839" t="n"/>
      <c r="AA52" s="7839" t="n"/>
      <c r="AB52" s="7839" t="n"/>
      <c r="AC52" s="10091" t="n"/>
      <c r="AD52" s="12462" t="inlineStr">
        <is>
          <t>(d) Total cash and 
charge tips you reported 
to your employer</t>
        </is>
      </c>
      <c r="AE52" s="7839" t="n"/>
      <c r="AF52" s="7839" t="n"/>
      <c r="AG52" s="7839" t="n"/>
      <c r="AH52" s="7839" t="n"/>
      <c r="AI52" s="7839" t="n"/>
      <c r="AJ52" s="7839" t="n"/>
      <c r="AK52" s="2290" t="n"/>
      <c r="AL52" s="11602" t="n"/>
      <c r="AM52" s="11602" t="n"/>
      <c r="AN52" s="724" t="n"/>
      <c r="AP52" s="658" t="n"/>
      <c r="AQ52" s="658" t="n"/>
      <c r="AR52" s="658" t="n"/>
      <c r="AS52" s="658" t="n"/>
      <c r="AT52" s="658" t="n"/>
      <c r="AU52" s="658" t="n"/>
      <c r="AV52" s="658" t="n"/>
      <c r="AW52" s="658" t="n"/>
      <c r="AX52" s="658" t="n"/>
      <c r="AY52" s="658" t="n"/>
      <c r="AZ52" s="2293" t="n"/>
    </row>
    <row r="53" ht="15.75" customFormat="1" customHeight="1" s="1115">
      <c r="A53" s="2290" t="n"/>
      <c r="B53" s="9988" t="n">
        <v>1</v>
      </c>
      <c r="S53" s="7636" t="n"/>
      <c r="T53" s="4772" t="n"/>
      <c r="X53" s="4772" t="n"/>
      <c r="AC53" s="7636" t="n"/>
      <c r="AD53" s="4772" t="n"/>
      <c r="AK53" s="2290" t="n"/>
      <c r="AL53" s="11602" t="n"/>
      <c r="AM53" s="11602" t="n"/>
      <c r="AN53" s="724" t="n"/>
      <c r="AP53" s="658" t="n"/>
      <c r="AQ53" s="658" t="n"/>
      <c r="AR53" s="658" t="n"/>
      <c r="AS53" s="658" t="n"/>
      <c r="AT53" s="658" t="n"/>
      <c r="AU53" s="658" t="n"/>
      <c r="AV53" s="658" t="n"/>
      <c r="AW53" s="658" t="n"/>
      <c r="AX53" s="658" t="n"/>
      <c r="AY53" s="658" t="n"/>
      <c r="AZ53" s="2293" t="n"/>
    </row>
    <row r="54" ht="15.75" customFormat="1" customHeight="1" s="1115">
      <c r="A54" s="2290" t="n"/>
      <c r="B54" s="1672" t="n"/>
      <c r="S54" s="7636" t="n"/>
      <c r="T54" s="4772" t="n"/>
      <c r="X54" s="4772" t="n"/>
      <c r="AC54" s="7636" t="n"/>
      <c r="AD54" s="4772" t="n"/>
      <c r="AK54" s="2290" t="n"/>
      <c r="AL54" s="11602" t="n"/>
      <c r="AM54" s="11602" t="n"/>
      <c r="AN54" s="724" t="n"/>
      <c r="AP54" s="658" t="n"/>
      <c r="AQ54" s="658" t="n"/>
      <c r="AR54" s="658" t="n"/>
      <c r="AS54" s="658" t="n"/>
      <c r="AT54" s="658" t="n"/>
      <c r="AU54" s="658" t="n"/>
      <c r="AV54" s="658" t="n"/>
      <c r="AW54" s="658" t="n"/>
      <c r="AX54" s="658" t="n"/>
      <c r="AY54" s="658" t="n"/>
      <c r="AZ54" s="2293" t="n"/>
    </row>
    <row r="55" ht="15.75" customFormat="1" customHeight="1" s="1115">
      <c r="A55" s="2290" t="n"/>
      <c r="B55" s="1672" t="n"/>
      <c r="S55" s="7636" t="n"/>
      <c r="T55" s="4772" t="n"/>
      <c r="X55" s="4772" t="n"/>
      <c r="AC55" s="7636" t="n"/>
      <c r="AD55" s="4772" t="n"/>
      <c r="AK55" s="2290" t="n"/>
      <c r="AL55" s="11602" t="n"/>
      <c r="AM55" s="11602" t="n"/>
      <c r="AN55" s="724" t="n"/>
      <c r="AP55" s="658" t="n"/>
      <c r="AQ55" s="658" t="n"/>
      <c r="AR55" s="658" t="n"/>
      <c r="AS55" s="658" t="n"/>
      <c r="AT55" s="658" t="n"/>
      <c r="AU55" s="658" t="n"/>
      <c r="AV55" s="658" t="n"/>
      <c r="AW55" s="658" t="n"/>
      <c r="AX55" s="658" t="n"/>
      <c r="AY55" s="658" t="n"/>
      <c r="AZ55" s="2293" t="n"/>
    </row>
    <row r="56" ht="21" customFormat="1" customHeight="1" s="1115">
      <c r="A56" s="2290" t="n"/>
      <c r="B56" s="4487" t="n"/>
      <c r="C56" s="7637" t="n"/>
      <c r="D56" s="7637" t="n"/>
      <c r="E56" s="7637" t="n"/>
      <c r="F56" s="7637" t="n"/>
      <c r="G56" s="7637" t="n"/>
      <c r="H56" s="7637" t="n"/>
      <c r="I56" s="7637" t="n"/>
      <c r="J56" s="7637" t="n"/>
      <c r="K56" s="7637" t="n"/>
      <c r="L56" s="7637" t="n"/>
      <c r="M56" s="7637" t="n"/>
      <c r="N56" s="7637" t="n"/>
      <c r="O56" s="7637" t="n"/>
      <c r="P56" s="7637" t="n"/>
      <c r="Q56" s="7637" t="n"/>
      <c r="R56" s="7637" t="n"/>
      <c r="S56" s="7638" t="n"/>
      <c r="T56" s="3614" t="n"/>
      <c r="U56" s="7637" t="n"/>
      <c r="V56" s="7637" t="n"/>
      <c r="W56" s="7637" t="n"/>
      <c r="X56" s="3614" t="n"/>
      <c r="Y56" s="7637" t="n"/>
      <c r="Z56" s="7637" t="n"/>
      <c r="AA56" s="7637" t="n"/>
      <c r="AB56" s="7637" t="n"/>
      <c r="AC56" s="7638" t="n"/>
      <c r="AD56" s="3614" t="n"/>
      <c r="AE56" s="7637" t="n"/>
      <c r="AF56" s="7637" t="n"/>
      <c r="AG56" s="7637" t="n"/>
      <c r="AH56" s="7637" t="n"/>
      <c r="AI56" s="7637" t="n"/>
      <c r="AJ56" s="7637" t="n"/>
      <c r="AK56" s="2290" t="n"/>
      <c r="AL56" s="11602" t="n"/>
      <c r="AM56" s="11602" t="n"/>
      <c r="AN56" s="724" t="n"/>
      <c r="AP56" s="658" t="n"/>
      <c r="AQ56" s="658" t="n"/>
      <c r="AR56" s="658" t="n"/>
      <c r="AS56" s="658" t="n"/>
      <c r="AT56" s="658" t="n"/>
      <c r="AU56" s="658" t="n"/>
      <c r="AV56" s="658" t="n"/>
      <c r="AW56" s="658" t="n"/>
      <c r="AX56" s="658" t="n"/>
      <c r="AY56" s="658" t="n"/>
      <c r="AZ56" s="2293" t="n"/>
    </row>
    <row r="57" ht="15.75" customFormat="1" customHeight="1" s="1115">
      <c r="A57" s="2290" t="n"/>
      <c r="B57" s="12463" t="inlineStr">
        <is>
          <t>A</t>
        </is>
      </c>
      <c r="C57" s="12464" t="n"/>
      <c r="D57" s="11745" t="n"/>
      <c r="E57" s="11745" t="n"/>
      <c r="F57" s="11745" t="n"/>
      <c r="G57" s="11745" t="n"/>
      <c r="H57" s="11745" t="n"/>
      <c r="I57" s="11745" t="n"/>
      <c r="J57" s="11745" t="n"/>
      <c r="K57" s="11745" t="n"/>
      <c r="L57" s="11745" t="n"/>
      <c r="M57" s="11745" t="n"/>
      <c r="N57" s="11745" t="n"/>
      <c r="O57" s="11745" t="n"/>
      <c r="P57" s="11745" t="n"/>
      <c r="Q57" s="11745" t="n"/>
      <c r="R57" s="11745" t="n"/>
      <c r="S57" s="11948" t="n"/>
      <c r="T57" s="6653" t="n"/>
      <c r="U57" s="6654" t="n"/>
      <c r="V57" s="2291" t="n"/>
      <c r="W57" s="2291" t="n"/>
      <c r="X57" s="6628" t="n"/>
      <c r="Y57" s="6654" t="n"/>
      <c r="Z57" s="6654" t="n"/>
      <c r="AA57" s="6654" t="n"/>
      <c r="AB57" s="6654" t="n"/>
      <c r="AC57" s="6654" t="n"/>
      <c r="AD57" s="9915">
        <f>AD58&gt;X58</f>
        <v/>
      </c>
      <c r="AE57" s="7839" t="n"/>
      <c r="AF57" s="7839" t="n"/>
      <c r="AG57" s="7839" t="n"/>
      <c r="AH57" s="7839" t="n"/>
      <c r="AI57" s="7839" t="n"/>
      <c r="AJ57" s="7839" t="n"/>
      <c r="AK57" s="2290" t="n"/>
      <c r="AL57" s="9912">
        <f>IF(OR(AD57,AD59,AD61,AD63,AD65),"Error:"&amp;CHAR(10)&amp;"Total cash and charge tips received CANNOT be less than or equal to the total cash and charge tips reported.","")</f>
        <v/>
      </c>
      <c r="AN57" s="724" t="n"/>
      <c r="AP57" s="658" t="n"/>
      <c r="AQ57" s="658" t="n"/>
      <c r="AR57" s="658" t="n"/>
      <c r="AS57" s="658" t="n"/>
      <c r="AT57" s="658" t="n"/>
      <c r="AU57" s="658" t="n"/>
      <c r="AV57" s="658" t="n"/>
      <c r="AW57" s="658" t="n"/>
      <c r="AX57" s="658" t="n"/>
      <c r="AY57" s="658" t="n"/>
      <c r="AZ57" s="2293" t="n"/>
    </row>
    <row r="58" ht="18" customFormat="1" customHeight="1" s="1115">
      <c r="A58" s="2290" t="n"/>
      <c r="B58" s="11717" t="n"/>
      <c r="C58" s="11717" t="n"/>
      <c r="D58" s="11717" t="n"/>
      <c r="E58" s="11717" t="n"/>
      <c r="F58" s="11717" t="n"/>
      <c r="G58" s="11717" t="n"/>
      <c r="H58" s="11717" t="n"/>
      <c r="I58" s="11717" t="n"/>
      <c r="J58" s="11717" t="n"/>
      <c r="K58" s="11717" t="n"/>
      <c r="L58" s="11717" t="n"/>
      <c r="M58" s="11717" t="n"/>
      <c r="N58" s="11717" t="n"/>
      <c r="O58" s="11717" t="n"/>
      <c r="P58" s="11717" t="n"/>
      <c r="Q58" s="11717" t="n"/>
      <c r="R58" s="11717" t="n"/>
      <c r="S58" s="11718" t="n"/>
      <c r="T58" s="12465" t="n"/>
      <c r="U58" s="11717" t="n"/>
      <c r="V58" s="11717" t="n"/>
      <c r="W58" s="11718" t="n"/>
      <c r="X58" s="12466" t="n"/>
      <c r="Y58" s="11717" t="n"/>
      <c r="Z58" s="11717" t="n"/>
      <c r="AA58" s="11717" t="n"/>
      <c r="AB58" s="11717" t="n"/>
      <c r="AC58" s="11718" t="n"/>
      <c r="AD58" s="9964" t="n"/>
      <c r="AE58" s="11717" t="n"/>
      <c r="AF58" s="11717" t="n"/>
      <c r="AG58" s="11717" t="n"/>
      <c r="AH58" s="11717" t="n"/>
      <c r="AI58" s="11717" t="n"/>
      <c r="AJ58" s="11717" t="n"/>
      <c r="AK58" s="2290" t="n"/>
      <c r="AN58" s="724">
        <f>AND(X58="",AD58="")</f>
        <v/>
      </c>
      <c r="AP58" s="658" t="n"/>
      <c r="AQ58" s="658" t="n"/>
      <c r="AR58" s="658" t="n"/>
      <c r="AS58" s="658" t="n"/>
      <c r="AT58" s="658" t="n"/>
      <c r="AU58" s="658" t="n"/>
      <c r="AV58" s="658" t="n"/>
      <c r="AW58" s="658" t="n"/>
      <c r="AX58" s="658" t="n"/>
      <c r="AY58" s="658" t="n"/>
      <c r="AZ58" s="2293" t="n"/>
    </row>
    <row r="59" ht="15.75" customFormat="1" customHeight="1" s="1115">
      <c r="A59" s="2290" t="n"/>
      <c r="B59" s="12463" t="inlineStr">
        <is>
          <t>B</t>
        </is>
      </c>
      <c r="C59" s="10032">
        <f>IF(N59,'W-2s'!D45,"")</f>
        <v/>
      </c>
      <c r="D59" s="11745" t="n"/>
      <c r="E59" s="11745" t="n"/>
      <c r="F59" s="11745" t="n"/>
      <c r="G59" s="11745" t="n"/>
      <c r="H59" s="11745" t="n"/>
      <c r="I59" s="11745" t="n"/>
      <c r="J59" s="11745" t="n"/>
      <c r="K59" s="11745" t="n"/>
      <c r="L59" s="11745" t="n"/>
      <c r="M59" s="11745" t="n"/>
      <c r="N59" s="11745" t="n"/>
      <c r="O59" s="11745" t="n"/>
      <c r="P59" s="11745" t="n"/>
      <c r="Q59" s="11745" t="n"/>
      <c r="R59" s="11745" t="n"/>
      <c r="S59" s="11948" t="n"/>
      <c r="T59" s="6653" t="n"/>
      <c r="U59" s="6654" t="n"/>
      <c r="V59" s="2291" t="n"/>
      <c r="W59" s="2291" t="n"/>
      <c r="X59" s="6628" t="n"/>
      <c r="Y59" s="6654" t="n"/>
      <c r="Z59" s="6654" t="n"/>
      <c r="AA59" s="6654" t="n"/>
      <c r="AB59" s="6654" t="n"/>
      <c r="AC59" s="6654" t="n"/>
      <c r="AD59" s="9915">
        <f>AD60&gt;X60</f>
        <v/>
      </c>
      <c r="AE59" s="7839" t="n"/>
      <c r="AF59" s="7839" t="n"/>
      <c r="AG59" s="7839" t="n"/>
      <c r="AH59" s="7839" t="n"/>
      <c r="AI59" s="7839" t="n"/>
      <c r="AJ59" s="7839" t="n"/>
      <c r="AK59" s="2290" t="n"/>
      <c r="AN59" s="724" t="n"/>
      <c r="AP59" s="658" t="n"/>
      <c r="AQ59" s="658" t="n"/>
      <c r="AR59" s="658" t="n"/>
      <c r="AS59" s="658" t="n"/>
      <c r="AT59" s="658" t="n"/>
      <c r="AU59" s="658" t="n"/>
      <c r="AV59" s="658" t="n"/>
      <c r="AW59" s="658" t="n"/>
      <c r="AX59" s="658" t="n"/>
      <c r="AY59" s="658" t="n"/>
      <c r="AZ59" s="2293" t="n"/>
    </row>
    <row r="60" ht="18" customFormat="1" customHeight="1" s="1115">
      <c r="A60" s="2290" t="n"/>
      <c r="B60" s="11717" t="n"/>
      <c r="C60" s="11717" t="n"/>
      <c r="D60" s="11717" t="n"/>
      <c r="E60" s="11717" t="n"/>
      <c r="F60" s="11717" t="n"/>
      <c r="G60" s="11717" t="n"/>
      <c r="H60" s="11717" t="n"/>
      <c r="I60" s="11717" t="n"/>
      <c r="J60" s="11717" t="n"/>
      <c r="K60" s="11717" t="n"/>
      <c r="L60" s="11717" t="n"/>
      <c r="M60" s="11717" t="n"/>
      <c r="N60" s="11717" t="n"/>
      <c r="O60" s="11717" t="n"/>
      <c r="P60" s="11717" t="n"/>
      <c r="Q60" s="11717" t="n"/>
      <c r="R60" s="11717" t="n"/>
      <c r="S60" s="11718" t="n"/>
      <c r="T60" s="12465" t="n"/>
      <c r="U60" s="11717" t="n"/>
      <c r="V60" s="11717" t="n"/>
      <c r="W60" s="11718" t="n"/>
      <c r="X60" s="12466" t="n"/>
      <c r="Y60" s="11717" t="n"/>
      <c r="Z60" s="11717" t="n"/>
      <c r="AA60" s="11717" t="n"/>
      <c r="AB60" s="11717" t="n"/>
      <c r="AC60" s="11718" t="n"/>
      <c r="AD60" s="9964" t="n"/>
      <c r="AE60" s="11717" t="n"/>
      <c r="AF60" s="11717" t="n"/>
      <c r="AG60" s="11717" t="n"/>
      <c r="AH60" s="11717" t="n"/>
      <c r="AI60" s="11717" t="n"/>
      <c r="AJ60" s="11717" t="n"/>
      <c r="AK60" s="2290" t="n"/>
      <c r="AN60" s="724">
        <f>AND(X60="",AD60="")</f>
        <v/>
      </c>
      <c r="AP60" s="658" t="n"/>
      <c r="AQ60" s="658" t="n"/>
      <c r="AR60" s="658" t="n"/>
      <c r="AS60" s="658" t="n"/>
      <c r="AT60" s="658" t="n"/>
      <c r="AU60" s="658" t="n"/>
      <c r="AV60" s="658" t="n"/>
      <c r="AW60" s="658" t="n"/>
      <c r="AX60" s="658" t="n"/>
      <c r="AY60" s="658" t="n"/>
      <c r="AZ60" s="2293" t="n"/>
    </row>
    <row r="61" ht="15.75" customFormat="1" customHeight="1" s="1115">
      <c r="A61" s="2290" t="n"/>
      <c r="B61" s="12463" t="inlineStr">
        <is>
          <t>C</t>
        </is>
      </c>
      <c r="C61" s="10032">
        <f>IF(N61,'W-2s'!D47,"")</f>
        <v/>
      </c>
      <c r="D61" s="11745" t="n"/>
      <c r="E61" s="11745" t="n"/>
      <c r="F61" s="11745" t="n"/>
      <c r="G61" s="11745" t="n"/>
      <c r="H61" s="11745" t="n"/>
      <c r="I61" s="11745" t="n"/>
      <c r="J61" s="11745" t="n"/>
      <c r="K61" s="11745" t="n"/>
      <c r="L61" s="11745" t="n"/>
      <c r="M61" s="11745" t="n"/>
      <c r="N61" s="11745" t="n"/>
      <c r="O61" s="11745" t="n"/>
      <c r="P61" s="11745" t="n"/>
      <c r="Q61" s="11745" t="n"/>
      <c r="R61" s="11745" t="n"/>
      <c r="S61" s="11948" t="n"/>
      <c r="T61" s="6653" t="n"/>
      <c r="U61" s="6654" t="n"/>
      <c r="V61" s="2291" t="n"/>
      <c r="W61" s="2291" t="n"/>
      <c r="X61" s="6628" t="n"/>
      <c r="Y61" s="6654" t="n"/>
      <c r="Z61" s="6654" t="n"/>
      <c r="AA61" s="6654" t="n"/>
      <c r="AB61" s="6654" t="n"/>
      <c r="AC61" s="6654" t="n"/>
      <c r="AD61" s="9915">
        <f>AD62&gt;X62</f>
        <v/>
      </c>
      <c r="AE61" s="7839" t="n"/>
      <c r="AF61" s="7839" t="n"/>
      <c r="AG61" s="7839" t="n"/>
      <c r="AH61" s="7839" t="n"/>
      <c r="AI61" s="7839" t="n"/>
      <c r="AJ61" s="7839" t="n"/>
      <c r="AK61" s="2290" t="n"/>
      <c r="AN61" s="724" t="n"/>
      <c r="AP61" s="658" t="n"/>
      <c r="AQ61" s="658" t="n"/>
      <c r="AR61" s="658" t="n"/>
      <c r="AS61" s="658" t="n"/>
      <c r="AT61" s="658" t="n"/>
      <c r="AU61" s="658" t="n"/>
      <c r="AV61" s="658" t="n"/>
      <c r="AW61" s="658" t="n"/>
      <c r="AX61" s="658" t="n"/>
      <c r="AY61" s="658" t="n"/>
      <c r="AZ61" s="2293" t="n"/>
    </row>
    <row r="62" ht="18" customFormat="1" customHeight="1" s="1115">
      <c r="A62" s="2290" t="n"/>
      <c r="B62" s="11717" t="n"/>
      <c r="C62" s="11717" t="n"/>
      <c r="D62" s="11717" t="n"/>
      <c r="E62" s="11717" t="n"/>
      <c r="F62" s="11717" t="n"/>
      <c r="G62" s="11717" t="n"/>
      <c r="H62" s="11717" t="n"/>
      <c r="I62" s="11717" t="n"/>
      <c r="J62" s="11717" t="n"/>
      <c r="K62" s="11717" t="n"/>
      <c r="L62" s="11717" t="n"/>
      <c r="M62" s="11717" t="n"/>
      <c r="N62" s="11717" t="n"/>
      <c r="O62" s="11717" t="n"/>
      <c r="P62" s="11717" t="n"/>
      <c r="Q62" s="11717" t="n"/>
      <c r="R62" s="11717" t="n"/>
      <c r="S62" s="11718" t="n"/>
      <c r="T62" s="12465" t="n"/>
      <c r="U62" s="11717" t="n"/>
      <c r="V62" s="11717" t="n"/>
      <c r="W62" s="11718" t="n"/>
      <c r="X62" s="12466" t="n"/>
      <c r="Y62" s="11717" t="n"/>
      <c r="Z62" s="11717" t="n"/>
      <c r="AA62" s="11717" t="n"/>
      <c r="AB62" s="11717" t="n"/>
      <c r="AC62" s="11718" t="n"/>
      <c r="AD62" s="9964" t="n"/>
      <c r="AE62" s="11717" t="n"/>
      <c r="AF62" s="11717" t="n"/>
      <c r="AG62" s="11717" t="n"/>
      <c r="AH62" s="11717" t="n"/>
      <c r="AI62" s="11717" t="n"/>
      <c r="AJ62" s="11717" t="n"/>
      <c r="AK62" s="2290" t="n"/>
      <c r="AN62" s="724">
        <f>AND(X62="",AD62="")</f>
        <v/>
      </c>
      <c r="AP62" s="658" t="n"/>
      <c r="AQ62" s="658" t="n"/>
      <c r="AR62" s="658" t="n"/>
      <c r="AS62" s="658" t="n"/>
      <c r="AT62" s="658" t="n"/>
      <c r="AU62" s="658" t="n"/>
      <c r="AV62" s="658" t="n"/>
      <c r="AW62" s="658" t="n"/>
      <c r="AX62" s="658" t="n"/>
      <c r="AY62" s="658" t="n"/>
      <c r="AZ62" s="2293" t="n"/>
    </row>
    <row r="63" ht="15.75" customFormat="1" customHeight="1" s="1115">
      <c r="A63" s="2290" t="n"/>
      <c r="B63" s="12463" t="inlineStr">
        <is>
          <t>D</t>
        </is>
      </c>
      <c r="C63" s="10032">
        <f>IF(N63,'W-2s'!D49,"")</f>
        <v/>
      </c>
      <c r="D63" s="11745" t="n"/>
      <c r="E63" s="11745" t="n"/>
      <c r="F63" s="11745" t="n"/>
      <c r="G63" s="11745" t="n"/>
      <c r="H63" s="11745" t="n"/>
      <c r="I63" s="11745" t="n"/>
      <c r="J63" s="11745" t="n"/>
      <c r="K63" s="11745" t="n"/>
      <c r="L63" s="11745" t="n"/>
      <c r="M63" s="11745" t="n"/>
      <c r="N63" s="11745" t="n"/>
      <c r="O63" s="11745" t="n"/>
      <c r="P63" s="11745" t="n"/>
      <c r="Q63" s="11745" t="n"/>
      <c r="R63" s="11745" t="n"/>
      <c r="S63" s="11948" t="n"/>
      <c r="T63" s="6653" t="n"/>
      <c r="U63" s="6654" t="n"/>
      <c r="V63" s="2291" t="n"/>
      <c r="W63" s="2291" t="n"/>
      <c r="X63" s="6628" t="n"/>
      <c r="Y63" s="6654" t="n"/>
      <c r="Z63" s="6654" t="n"/>
      <c r="AA63" s="6654" t="n"/>
      <c r="AB63" s="6654" t="n"/>
      <c r="AC63" s="6654" t="n"/>
      <c r="AD63" s="9915">
        <f>AD64&gt;X64</f>
        <v/>
      </c>
      <c r="AE63" s="7839" t="n"/>
      <c r="AF63" s="7839" t="n"/>
      <c r="AG63" s="7839" t="n"/>
      <c r="AH63" s="7839" t="n"/>
      <c r="AI63" s="7839" t="n"/>
      <c r="AJ63" s="7839" t="n"/>
      <c r="AK63" s="2290" t="n"/>
      <c r="AN63" s="724" t="n"/>
      <c r="AP63" s="658" t="n"/>
      <c r="AQ63" s="658" t="n"/>
      <c r="AR63" s="658" t="n"/>
      <c r="AS63" s="658" t="n"/>
      <c r="AT63" s="658" t="n"/>
      <c r="AU63" s="658" t="n"/>
      <c r="AV63" s="658" t="n"/>
      <c r="AW63" s="658" t="n"/>
      <c r="AX63" s="658" t="n"/>
      <c r="AY63" s="658" t="n"/>
      <c r="AZ63" s="2293" t="n"/>
    </row>
    <row r="64" ht="18" customFormat="1" customHeight="1" s="1115">
      <c r="A64" s="2290" t="n"/>
      <c r="B64" s="11717" t="n"/>
      <c r="C64" s="11717" t="n"/>
      <c r="D64" s="11717" t="n"/>
      <c r="E64" s="11717" t="n"/>
      <c r="F64" s="11717" t="n"/>
      <c r="G64" s="11717" t="n"/>
      <c r="H64" s="11717" t="n"/>
      <c r="I64" s="11717" t="n"/>
      <c r="J64" s="11717" t="n"/>
      <c r="K64" s="11717" t="n"/>
      <c r="L64" s="11717" t="n"/>
      <c r="M64" s="11717" t="n"/>
      <c r="N64" s="11717" t="n"/>
      <c r="O64" s="11717" t="n"/>
      <c r="P64" s="11717" t="n"/>
      <c r="Q64" s="11717" t="n"/>
      <c r="R64" s="11717" t="n"/>
      <c r="S64" s="11718" t="n"/>
      <c r="T64" s="12465" t="n"/>
      <c r="U64" s="11717" t="n"/>
      <c r="V64" s="11717" t="n"/>
      <c r="W64" s="11718" t="n"/>
      <c r="X64" s="12466" t="n"/>
      <c r="Y64" s="11717" t="n"/>
      <c r="Z64" s="11717" t="n"/>
      <c r="AA64" s="11717" t="n"/>
      <c r="AB64" s="11717" t="n"/>
      <c r="AC64" s="11718" t="n"/>
      <c r="AD64" s="9964" t="n"/>
      <c r="AE64" s="11717" t="n"/>
      <c r="AF64" s="11717" t="n"/>
      <c r="AG64" s="11717" t="n"/>
      <c r="AH64" s="11717" t="n"/>
      <c r="AI64" s="11717" t="n"/>
      <c r="AJ64" s="11717" t="n"/>
      <c r="AK64" s="2290" t="n"/>
      <c r="AN64" s="724">
        <f>AND(X64="",AD64="")</f>
        <v/>
      </c>
      <c r="AP64" s="658" t="n"/>
      <c r="AQ64" s="658" t="n"/>
      <c r="AR64" s="658" t="n"/>
      <c r="AS64" s="658" t="n"/>
      <c r="AT64" s="658" t="n"/>
      <c r="AU64" s="658" t="n"/>
      <c r="AV64" s="658" t="n"/>
      <c r="AW64" s="658" t="n"/>
      <c r="AX64" s="658" t="n"/>
      <c r="AY64" s="658" t="n"/>
      <c r="AZ64" s="2293" t="n"/>
    </row>
    <row r="65" ht="15.75" customFormat="1" customHeight="1" s="1115">
      <c r="A65" s="2290" t="n"/>
      <c r="B65" s="12463" t="inlineStr">
        <is>
          <t>E</t>
        </is>
      </c>
      <c r="C65" s="10032">
        <f>IF(N65,'W-2s'!D51,"")</f>
        <v/>
      </c>
      <c r="D65" s="11745" t="n"/>
      <c r="E65" s="11745" t="n"/>
      <c r="F65" s="11745" t="n"/>
      <c r="G65" s="11745" t="n"/>
      <c r="H65" s="11745" t="n"/>
      <c r="I65" s="11745" t="n"/>
      <c r="J65" s="11745" t="n"/>
      <c r="K65" s="11745" t="n"/>
      <c r="L65" s="11745" t="n"/>
      <c r="M65" s="11745" t="n"/>
      <c r="N65" s="11745" t="n"/>
      <c r="O65" s="11745" t="n"/>
      <c r="P65" s="11745" t="n"/>
      <c r="Q65" s="11745" t="n"/>
      <c r="R65" s="11745" t="n"/>
      <c r="S65" s="11948" t="n"/>
      <c r="T65" s="6653" t="n"/>
      <c r="U65" s="6654" t="n"/>
      <c r="V65" s="2291" t="n"/>
      <c r="W65" s="2291" t="n"/>
      <c r="X65" s="6628" t="n"/>
      <c r="Y65" s="6654" t="n"/>
      <c r="Z65" s="6654" t="n"/>
      <c r="AA65" s="6654" t="n"/>
      <c r="AB65" s="6654" t="n"/>
      <c r="AC65" s="6654" t="n"/>
      <c r="AD65" s="9915">
        <f>AD66&gt;X66</f>
        <v/>
      </c>
      <c r="AE65" s="7839" t="n"/>
      <c r="AF65" s="7839" t="n"/>
      <c r="AG65" s="7839" t="n"/>
      <c r="AH65" s="7839" t="n"/>
      <c r="AI65" s="7839" t="n"/>
      <c r="AJ65" s="7839" t="n"/>
      <c r="AK65" s="2290" t="n"/>
      <c r="AN65" s="724" t="n"/>
      <c r="AP65" s="658" t="n"/>
      <c r="AQ65" s="658" t="n"/>
      <c r="AR65" s="658" t="n"/>
      <c r="AS65" s="658" t="n"/>
      <c r="AT65" s="658" t="n"/>
      <c r="AU65" s="658" t="n"/>
      <c r="AV65" s="658" t="n"/>
      <c r="AW65" s="658" t="n"/>
      <c r="AX65" s="658" t="n"/>
      <c r="AY65" s="658" t="n"/>
      <c r="AZ65" s="2293" t="n"/>
    </row>
    <row r="66" ht="18" customFormat="1" customHeight="1" s="1115">
      <c r="A66" s="2290" t="n"/>
      <c r="B66" s="11717" t="n"/>
      <c r="C66" s="11717" t="n"/>
      <c r="D66" s="11717" t="n"/>
      <c r="E66" s="11717" t="n"/>
      <c r="F66" s="11717" t="n"/>
      <c r="G66" s="11717" t="n"/>
      <c r="H66" s="11717" t="n"/>
      <c r="I66" s="11717" t="n"/>
      <c r="J66" s="11717" t="n"/>
      <c r="K66" s="11717" t="n"/>
      <c r="L66" s="11717" t="n"/>
      <c r="M66" s="11717" t="n"/>
      <c r="N66" s="11717" t="n"/>
      <c r="O66" s="11717" t="n"/>
      <c r="P66" s="11717" t="n"/>
      <c r="Q66" s="11717" t="n"/>
      <c r="R66" s="11717" t="n"/>
      <c r="S66" s="11718" t="n"/>
      <c r="T66" s="12465" t="n"/>
      <c r="U66" s="11717" t="n"/>
      <c r="V66" s="11717" t="n"/>
      <c r="W66" s="11718" t="n"/>
      <c r="X66" s="12466" t="n"/>
      <c r="Y66" s="11717" t="n"/>
      <c r="Z66" s="11717" t="n"/>
      <c r="AA66" s="11717" t="n"/>
      <c r="AB66" s="11717" t="n"/>
      <c r="AC66" s="11718" t="n"/>
      <c r="AD66" s="9964" t="n"/>
      <c r="AE66" s="11717" t="n"/>
      <c r="AF66" s="11717" t="n"/>
      <c r="AG66" s="11717" t="n"/>
      <c r="AH66" s="11717" t="n"/>
      <c r="AI66" s="11717" t="n"/>
      <c r="AJ66" s="11717" t="n"/>
      <c r="AK66" s="2290" t="n"/>
      <c r="AN66" s="724">
        <f>AND(X66="",AD66="")</f>
        <v/>
      </c>
      <c r="AP66" s="658" t="n"/>
      <c r="AQ66" s="658" t="n"/>
      <c r="AR66" s="658" t="n"/>
      <c r="AS66" s="658" t="n"/>
      <c r="AT66" s="658" t="n"/>
      <c r="AU66" s="658" t="n"/>
      <c r="AV66" s="658" t="n"/>
      <c r="AW66" s="658" t="n"/>
      <c r="AX66" s="658" t="n"/>
      <c r="AY66" s="658" t="n"/>
      <c r="AZ66" s="2293" t="n"/>
    </row>
    <row r="67" ht="15.75" customFormat="1" customHeight="1" s="1115">
      <c r="A67" s="2290" t="n"/>
      <c r="B67" s="9988" t="n">
        <v>2</v>
      </c>
      <c r="C67" s="7772" t="inlineStr">
        <is>
          <t>Total cash and charge tips you received</t>
        </is>
      </c>
      <c r="D67" s="6624" t="n"/>
      <c r="E67" s="4904" t="n"/>
      <c r="F67" s="6626" t="n"/>
      <c r="G67" s="7772" t="n"/>
      <c r="H67" s="4524" t="n"/>
      <c r="I67" s="4524" t="n"/>
      <c r="J67" s="4524" t="n"/>
      <c r="K67" s="4524" t="n"/>
      <c r="L67" s="4524" t="n"/>
      <c r="M67" s="5995">
        <f>"in "&amp;TaxYear&amp;". Add the amounts from line 1,"</f>
        <v/>
      </c>
      <c r="N67" s="4524" t="n"/>
      <c r="O67" s="4524" t="n"/>
      <c r="P67" s="4524" t="n"/>
      <c r="Q67" s="4524" t="n"/>
      <c r="R67" s="4524" t="n"/>
      <c r="S67" s="4524" t="n"/>
      <c r="T67" s="4524" t="n"/>
      <c r="U67" s="4524" t="n"/>
      <c r="V67" s="4524" t="n"/>
      <c r="W67" s="4524" t="n"/>
      <c r="X67" s="6631" t="n"/>
      <c r="Y67" s="6628" t="n"/>
      <c r="Z67" s="2291" t="n"/>
      <c r="AA67" s="2291" t="n"/>
      <c r="AB67" s="2291" t="n"/>
      <c r="AC67" s="2291" t="n"/>
      <c r="AD67" s="6635" t="n"/>
      <c r="AE67" s="9984" t="n"/>
      <c r="AF67" s="7839" t="n"/>
      <c r="AG67" s="7839" t="n"/>
      <c r="AH67" s="7839" t="n"/>
      <c r="AI67" s="7839" t="n"/>
      <c r="AJ67" s="7839" t="n"/>
      <c r="AK67" s="2290" t="n"/>
      <c r="AL67" s="11602" t="n"/>
      <c r="AM67" s="11602" t="n"/>
      <c r="AN67" s="724" t="n"/>
      <c r="AP67" s="658" t="n"/>
      <c r="AQ67" s="658" t="n"/>
      <c r="AR67" s="658" t="n"/>
      <c r="AS67" s="658" t="n"/>
      <c r="AT67" s="658" t="n"/>
      <c r="AU67" s="658" t="n"/>
      <c r="AV67" s="658" t="n"/>
      <c r="AW67" s="658" t="n"/>
      <c r="AX67" s="658" t="n"/>
      <c r="AY67" s="658" t="n"/>
      <c r="AZ67" s="2293" t="n"/>
    </row>
    <row r="68" ht="18.75" customFormat="1" customHeight="1" s="1115">
      <c r="A68" s="2290" t="n"/>
      <c r="B68" s="4904" t="n"/>
      <c r="C68" s="7772" t="inlineStr">
        <is>
          <t>column (c)</t>
        </is>
      </c>
      <c r="D68" s="6624" t="n"/>
      <c r="E68" s="4904" t="n"/>
      <c r="F68" s="6626" t="n"/>
      <c r="G68" s="7772" t="n"/>
      <c r="H68" s="4524" t="n"/>
      <c r="I68" s="4524" t="n"/>
      <c r="J68" s="4524" t="n"/>
      <c r="K68" s="4524" t="n"/>
      <c r="L68" s="4524" t="n"/>
      <c r="M68" s="4524" t="n"/>
      <c r="N68" s="4524" t="n"/>
      <c r="O68" s="4524" t="n"/>
      <c r="P68" s="4524" t="n"/>
      <c r="Q68" s="4524" t="n"/>
      <c r="R68" s="4524" t="n"/>
      <c r="S68" s="4524" t="n"/>
      <c r="T68" s="4524" t="n"/>
      <c r="U68" s="4524" t="n"/>
      <c r="V68" s="4524" t="n"/>
      <c r="W68" s="6651" t="inlineStr">
        <is>
          <t xml:space="preserve"> .   .   .   .   .   .   .   .   .    .   .   .   .   .   .   .   .   .   .   .   .   .   .   .   . </t>
        </is>
      </c>
      <c r="X68" s="6633" t="n">
        <v>2</v>
      </c>
      <c r="Y68" s="12467">
        <f>IF(AN68,"",SUM(X58,X60,X62,X64,X66))</f>
        <v/>
      </c>
      <c r="Z68" s="7637" t="n"/>
      <c r="AA68" s="7637" t="n"/>
      <c r="AB68" s="7637" t="n"/>
      <c r="AC68" s="7638" t="n"/>
      <c r="AD68" s="6637" t="n"/>
      <c r="AE68" s="4524" t="n"/>
      <c r="AF68" s="4524" t="n"/>
      <c r="AG68" s="4524" t="n"/>
      <c r="AH68" s="4524" t="n"/>
      <c r="AI68" s="4521" t="n"/>
      <c r="AJ68" s="4521" t="n"/>
      <c r="AK68" s="2290" t="n"/>
      <c r="AL68" s="11602" t="n"/>
      <c r="AM68" s="6642" t="n"/>
      <c r="AN68" s="724">
        <f>AND(AN58,AN60,AN62,AN64,AN66,AM68="")</f>
        <v/>
      </c>
      <c r="AP68" s="658" t="n"/>
      <c r="AQ68" s="658" t="n"/>
      <c r="AR68" s="658" t="n"/>
      <c r="AS68" s="658" t="n"/>
      <c r="AT68" s="658" t="n"/>
      <c r="AU68" s="658" t="n"/>
      <c r="AV68" s="658" t="n"/>
      <c r="AW68" s="658" t="n"/>
      <c r="AX68" s="658" t="n"/>
      <c r="AY68" s="658" t="n"/>
      <c r="AZ68" s="2293" t="n"/>
    </row>
    <row r="69" ht="15.75" customFormat="1" customHeight="1" s="1115">
      <c r="A69" s="2290" t="n"/>
      <c r="B69" s="9988" t="n">
        <v>3</v>
      </c>
      <c r="C69" s="7772" t="inlineStr">
        <is>
          <t>Total cash and charge tips you reported to your employer(s)</t>
        </is>
      </c>
      <c r="D69" s="7772" t="n"/>
      <c r="E69" s="4904" t="n"/>
      <c r="F69" s="6626" t="n"/>
      <c r="G69" s="7772" t="n"/>
      <c r="H69" s="4904" t="n"/>
      <c r="I69" s="4904" t="n"/>
      <c r="J69" s="4904" t="n"/>
      <c r="K69" s="4904" t="n"/>
      <c r="L69" s="4904" t="n"/>
      <c r="M69" s="4904" t="n"/>
      <c r="N69" s="4904" t="n"/>
      <c r="O69" s="4904" t="n"/>
      <c r="P69" s="4904" t="n"/>
      <c r="Q69" s="4904" t="n"/>
      <c r="R69" s="4904">
        <f>"in "&amp;TaxYear&amp;". Add the amounts from line 1,"</f>
        <v/>
      </c>
      <c r="S69" s="4904" t="n"/>
      <c r="T69" s="4904" t="n"/>
      <c r="U69" s="4904" t="n"/>
      <c r="V69" s="4904" t="n"/>
      <c r="W69" s="4904" t="n"/>
      <c r="X69" s="4524" t="n"/>
      <c r="Y69" s="4524" t="n"/>
      <c r="Z69" s="4524" t="n"/>
      <c r="AA69" s="4524" t="n"/>
      <c r="AB69" s="4524" t="n"/>
      <c r="AC69" s="4524" t="n"/>
      <c r="AD69" s="6637" t="n"/>
      <c r="AE69" s="4524" t="n"/>
      <c r="AF69" s="4524" t="n"/>
      <c r="AG69" s="4524" t="n"/>
      <c r="AH69" s="4524" t="n"/>
      <c r="AI69" s="4521" t="n"/>
      <c r="AJ69" s="4521" t="n"/>
      <c r="AK69" s="2290" t="n"/>
      <c r="AL69" s="11602" t="n"/>
      <c r="AM69" s="11602" t="n"/>
      <c r="AN69" s="724" t="n"/>
      <c r="AP69" s="658" t="n"/>
      <c r="AQ69" s="658" t="n"/>
      <c r="AR69" s="658" t="n"/>
      <c r="AS69" s="658" t="n"/>
      <c r="AT69" s="658" t="n"/>
      <c r="AU69" s="658" t="n"/>
      <c r="AV69" s="658" t="n"/>
      <c r="AW69" s="658" t="n"/>
      <c r="AX69" s="658" t="n"/>
      <c r="AY69" s="658" t="n"/>
      <c r="AZ69" s="2293" t="n"/>
    </row>
    <row r="70" ht="20.25" customFormat="1" customHeight="1" s="1115">
      <c r="A70" s="2290" t="n"/>
      <c r="B70" s="9988" t="n"/>
      <c r="C70" s="7772" t="inlineStr">
        <is>
          <t>column (d)</t>
        </is>
      </c>
      <c r="D70" s="7772" t="n"/>
      <c r="E70" s="4904" t="n"/>
      <c r="F70" s="6626" t="n"/>
      <c r="G70" s="7772" t="n"/>
      <c r="H70" s="4524" t="n"/>
      <c r="I70" s="4524" t="n"/>
      <c r="J70" s="4524" t="n"/>
      <c r="K70" s="4524" t="n"/>
      <c r="L70" s="4524" t="n"/>
      <c r="M70" s="4524" t="n"/>
      <c r="N70" s="4524" t="n"/>
      <c r="O70" s="4524" t="n"/>
      <c r="P70" s="4524" t="n"/>
      <c r="Q70" s="4524" t="n"/>
      <c r="R70" s="4524" t="n"/>
      <c r="S70" s="4524" t="n"/>
      <c r="T70" s="4524" t="n"/>
      <c r="U70" s="4524" t="n"/>
      <c r="V70" s="4524" t="n"/>
      <c r="W70" s="4524" t="n"/>
      <c r="X70" s="4524" t="n"/>
      <c r="Y70" s="4524" t="n"/>
      <c r="Z70" s="4524" t="n"/>
      <c r="AA70" s="4524" t="n"/>
      <c r="AB70" s="4524" t="n"/>
      <c r="AC70" s="6651" t="inlineStr">
        <is>
          <t xml:space="preserve">.   .   .   .   .   .   .   .   .   .   .   .   .   .   .   .    .   .   .   .   .   .   .   .   .   .   .   .   .   .   .   . </t>
        </is>
      </c>
      <c r="AD70" s="6633" t="n">
        <v>3</v>
      </c>
      <c r="AE70" s="9969">
        <f>IF(AN70,"",SUM(AD58,AD60,AD62,AD64,AD66))</f>
        <v/>
      </c>
      <c r="AF70" s="7637" t="n"/>
      <c r="AG70" s="7637" t="n"/>
      <c r="AH70" s="7637" t="n"/>
      <c r="AI70" s="7637" t="n"/>
      <c r="AJ70" s="7637" t="n"/>
      <c r="AK70" s="2290" t="n"/>
      <c r="AL70" s="11602" t="n"/>
      <c r="AM70" s="6642" t="n"/>
      <c r="AN70" s="724">
        <f>AND(AN68,AM70="")</f>
        <v/>
      </c>
      <c r="AP70" s="658" t="n"/>
      <c r="AQ70" s="658" t="n"/>
      <c r="AR70" s="658" t="n"/>
      <c r="AS70" s="658" t="n"/>
      <c r="AT70" s="658" t="n"/>
      <c r="AU70" s="658" t="n"/>
      <c r="AV70" s="658" t="n"/>
      <c r="AW70" s="658" t="n"/>
      <c r="AX70" s="658" t="n"/>
      <c r="AY70" s="658" t="n"/>
      <c r="AZ70" s="2293" t="n"/>
    </row>
    <row r="71" ht="15.75" customFormat="1" customHeight="1" s="1115">
      <c r="A71" s="2290" t="n"/>
      <c r="B71" s="9988" t="n">
        <v>4</v>
      </c>
      <c r="C71" s="1405" t="inlineStr">
        <is>
          <t>Subtract line 3 from line 2. Include as income on Form 1040, 1040-SR, or 1040-NR, line 1c. (See</t>
        </is>
      </c>
      <c r="D71" s="7772" t="n"/>
      <c r="E71" s="4904" t="n"/>
      <c r="F71" s="6626" t="n"/>
      <c r="G71" s="7772" t="n"/>
      <c r="H71" s="4524" t="n"/>
      <c r="I71" s="4524" t="n"/>
      <c r="J71" s="4524" t="n"/>
      <c r="K71" s="4524" t="n"/>
      <c r="L71" s="4524" t="n"/>
      <c r="M71" s="4524" t="n"/>
      <c r="N71" s="4524" t="n"/>
      <c r="O71" s="4524" t="n"/>
      <c r="P71" s="4524" t="n"/>
      <c r="Q71" s="4524" t="n"/>
      <c r="R71" s="4524" t="n"/>
      <c r="S71" s="4524" t="n"/>
      <c r="T71" s="4524" t="n"/>
      <c r="U71" s="4524" t="n"/>
      <c r="V71" s="4524" t="n"/>
      <c r="W71" s="4524" t="n"/>
      <c r="X71" s="4524" t="n"/>
      <c r="Y71" s="4524" t="n"/>
      <c r="Z71" s="4524" t="n"/>
      <c r="AA71" s="4524" t="n"/>
      <c r="AB71" s="4524" t="n"/>
      <c r="AC71" s="4524" t="n"/>
      <c r="AD71" s="6656" t="n"/>
      <c r="AE71" s="6657" t="n"/>
      <c r="AF71" s="6657" t="n"/>
      <c r="AG71" s="6657" t="n"/>
      <c r="AH71" s="6657" t="n"/>
      <c r="AI71" s="6657" t="n"/>
      <c r="AJ71" s="6657" t="n"/>
      <c r="AK71" s="2290" t="n"/>
      <c r="AL71" s="11602" t="n"/>
      <c r="AM71" s="11602" t="n"/>
      <c r="AN71" s="724" t="n"/>
      <c r="AP71" s="658" t="n"/>
      <c r="AQ71" s="658" t="n"/>
      <c r="AR71" s="658" t="n"/>
      <c r="AS71" s="658" t="n"/>
      <c r="AT71" s="658" t="n"/>
      <c r="AU71" s="658" t="n"/>
      <c r="AV71" s="658" t="n"/>
      <c r="AW71" s="658" t="n"/>
      <c r="AX71" s="658" t="n"/>
      <c r="AY71" s="658" t="n"/>
      <c r="AZ71" s="2293" t="n"/>
    </row>
    <row r="72" ht="18" customFormat="1" customHeight="1" s="1115">
      <c r="A72" s="2290" t="n"/>
      <c r="B72" s="9988" t="n"/>
      <c r="C72" s="1405" t="inlineStr">
        <is>
          <t>Allocated tips in the instructions.)</t>
        </is>
      </c>
      <c r="D72" s="7772" t="n"/>
      <c r="E72" s="4904" t="n"/>
      <c r="F72" s="6626" t="n"/>
      <c r="G72" s="7772" t="n"/>
      <c r="H72" s="4524" t="n"/>
      <c r="I72" s="4524" t="n"/>
      <c r="J72" s="4524" t="n"/>
      <c r="K72" s="4524" t="n"/>
      <c r="L72" s="4524" t="n"/>
      <c r="M72" s="4524" t="n"/>
      <c r="N72" s="4524" t="n"/>
      <c r="O72" s="4524" t="n"/>
      <c r="P72" s="4524" t="n"/>
      <c r="Q72" s="4524" t="n"/>
      <c r="R72" s="4524" t="n"/>
      <c r="S72" s="4524" t="n"/>
      <c r="T72" s="4524" t="n"/>
      <c r="U72" s="4524" t="n"/>
      <c r="V72" s="4524" t="n"/>
      <c r="W72" s="4524" t="n"/>
      <c r="X72" s="4524" t="n"/>
      <c r="Y72" s="4524" t="n"/>
      <c r="Z72" s="4524" t="n"/>
      <c r="AA72" s="4524" t="n"/>
      <c r="AB72" s="4524" t="n"/>
      <c r="AC72" s="6651" t="inlineStr">
        <is>
          <t xml:space="preserve">.   .   .   .   .   .   .   .   .    .   .   .   .   .   .   .   .   .   .   .   .   .   .   .   . </t>
        </is>
      </c>
      <c r="AD72" s="6633" t="n">
        <v>4</v>
      </c>
      <c r="AE72" s="9969">
        <f>IF(AN70,"",SUM(Y68,-AE70))</f>
        <v/>
      </c>
      <c r="AF72" s="7637" t="n"/>
      <c r="AG72" s="7637" t="n"/>
      <c r="AH72" s="7637" t="n"/>
      <c r="AI72" s="7637" t="n"/>
      <c r="AJ72" s="7637" t="n"/>
      <c r="AK72" s="2290" t="n"/>
      <c r="AL72" s="11602" t="n"/>
      <c r="AM72" s="11602" t="n"/>
      <c r="AN72" s="724" t="n"/>
      <c r="AP72" s="658" t="n"/>
      <c r="AQ72" s="658" t="n"/>
      <c r="AR72" s="658" t="n"/>
      <c r="AS72" s="658" t="n"/>
      <c r="AT72" s="658" t="n"/>
      <c r="AU72" s="658" t="n"/>
      <c r="AV72" s="658" t="n"/>
      <c r="AW72" s="658" t="n"/>
      <c r="AX72" s="658" t="n"/>
      <c r="AY72" s="658" t="n"/>
      <c r="AZ72" s="2293" t="n"/>
    </row>
    <row r="73" ht="16.5" customFormat="1" customHeight="1" s="1115">
      <c r="A73" s="2290" t="n"/>
      <c r="B73" s="9988" t="n">
        <v>5</v>
      </c>
      <c r="C73" s="7772" t="inlineStr">
        <is>
          <t xml:space="preserve">Cash and charge tips you received but didn’t report to your employer because the total was less than </t>
        </is>
      </c>
      <c r="D73" s="7772" t="n"/>
      <c r="E73" s="4904" t="n"/>
      <c r="F73" s="6626" t="n"/>
      <c r="G73" s="7772" t="n"/>
      <c r="H73" s="4524" t="n"/>
      <c r="I73" s="4524" t="n"/>
      <c r="J73" s="4524" t="n"/>
      <c r="K73" s="4524" t="n"/>
      <c r="L73" s="4524" t="n"/>
      <c r="M73" s="4524" t="n"/>
      <c r="N73" s="4524" t="n"/>
      <c r="O73" s="4524" t="n"/>
      <c r="P73" s="4524" t="n"/>
      <c r="Q73" s="4524" t="n"/>
      <c r="R73" s="4524" t="n"/>
      <c r="S73" s="4524" t="n"/>
      <c r="T73" s="4524" t="n"/>
      <c r="U73" s="4524" t="n"/>
      <c r="V73" s="4524" t="n"/>
      <c r="W73" s="4524" t="n"/>
      <c r="X73" s="4524" t="n"/>
      <c r="Y73" s="4524" t="n"/>
      <c r="Z73" s="4524" t="n"/>
      <c r="AA73" s="4524" t="n"/>
      <c r="AB73" s="4524" t="n"/>
      <c r="AC73" s="4524" t="n"/>
      <c r="AD73" s="6656" t="n"/>
      <c r="AE73" s="6657" t="n"/>
      <c r="AF73" s="6657" t="n"/>
      <c r="AG73" s="6657" t="n"/>
      <c r="AH73" s="6657" t="n"/>
      <c r="AI73" s="9913">
        <f>AI30</f>
        <v/>
      </c>
      <c r="AJ73" s="7839" t="n"/>
      <c r="AK73" s="2290" t="n"/>
      <c r="AL73" s="11602" t="n"/>
      <c r="AM73" s="11602" t="n"/>
      <c r="AN73" s="724" t="n"/>
      <c r="AP73" s="658" t="n"/>
      <c r="AQ73" s="658" t="n"/>
      <c r="AR73" s="658" t="n"/>
      <c r="AS73" s="658" t="n"/>
      <c r="AT73" s="658" t="n"/>
      <c r="AU73" s="658" t="n"/>
      <c r="AV73" s="658" t="n"/>
      <c r="AW73" s="658" t="n"/>
      <c r="AX73" s="658" t="n"/>
      <c r="AY73" s="658" t="n"/>
      <c r="AZ73" s="2293" t="n"/>
    </row>
    <row r="74" ht="15.75" customFormat="1" customHeight="1" s="1115">
      <c r="A74" s="2290" t="n"/>
      <c r="B74" s="9988" t="n"/>
      <c r="C74" s="1405">
        <f>TEXT(AI73,"$0")&amp;" in a calendar month (see instructions)"</f>
        <v/>
      </c>
      <c r="D74" s="7772" t="n"/>
      <c r="E74" s="4904" t="n"/>
      <c r="F74" s="6626" t="n"/>
      <c r="G74" s="7772" t="n"/>
      <c r="H74" s="4524" t="n"/>
      <c r="I74" s="4524" t="n"/>
      <c r="J74" s="4524" t="n"/>
      <c r="K74" s="4524" t="n"/>
      <c r="L74" s="4524" t="n"/>
      <c r="M74" s="4524" t="n"/>
      <c r="N74" s="4524" t="n"/>
      <c r="O74" s="4524" t="n"/>
      <c r="P74" s="4524" t="n"/>
      <c r="Q74" s="4524" t="n"/>
      <c r="R74" s="4524" t="n"/>
      <c r="S74" s="4524" t="n"/>
      <c r="T74" s="4524" t="n"/>
      <c r="U74" s="4524" t="n"/>
      <c r="V74" s="4524" t="n"/>
      <c r="W74" s="4524" t="n"/>
      <c r="X74" s="4524" t="n"/>
      <c r="Y74" s="4524" t="n"/>
      <c r="Z74" s="4524" t="n"/>
      <c r="AA74" s="4524" t="n"/>
      <c r="AB74" s="4524" t="n"/>
      <c r="AC74" s="6651" t="inlineStr">
        <is>
          <t xml:space="preserve"> .   .   .   .   .   .    .   .   .   .   .   .   .   .   .   .   .   .   .   .   .   . </t>
        </is>
      </c>
      <c r="AD74" s="6633" t="n">
        <v>5</v>
      </c>
      <c r="AE74" s="9964" t="n"/>
      <c r="AF74" s="11717" t="n"/>
      <c r="AG74" s="11717" t="n"/>
      <c r="AH74" s="11717" t="n"/>
      <c r="AI74" s="11717" t="n"/>
      <c r="AJ74" s="11717" t="n"/>
      <c r="AK74" s="2290" t="n"/>
      <c r="AL74" s="11602" t="n"/>
      <c r="AM74" s="9914">
        <f>IF(AE74&gt;12*AI73,"&lt;&lt;&lt;"&amp;CHAR(10)&amp;"Line 5 should not be more than "&amp;TEXT(12*AI73,"$0")&amp;".","")</f>
        <v/>
      </c>
      <c r="AN74" s="724" t="n"/>
      <c r="AP74" s="658" t="n"/>
      <c r="AQ74" s="658" t="n"/>
      <c r="AR74" s="658" t="n"/>
      <c r="AS74" s="658" t="n"/>
      <c r="AT74" s="658" t="n"/>
      <c r="AU74" s="658" t="n"/>
      <c r="AV74" s="658" t="n"/>
      <c r="AW74" s="658" t="n"/>
      <c r="AX74" s="658" t="n"/>
      <c r="AY74" s="658" t="n"/>
      <c r="AZ74" s="2293" t="n"/>
    </row>
    <row r="75" ht="15.75" customFormat="1" customHeight="1" s="1115">
      <c r="A75" s="2290" t="n"/>
      <c r="B75" s="9988" t="n">
        <v>6</v>
      </c>
      <c r="C75" s="7772" t="inlineStr">
        <is>
          <t>Unreported tips subject to Medicare tax. Subtract line 5 from line 4 .</t>
        </is>
      </c>
      <c r="D75" s="7772" t="n"/>
      <c r="E75" s="4904" t="n"/>
      <c r="F75" s="6626" t="n"/>
      <c r="G75" s="7772" t="n"/>
      <c r="H75" s="4524" t="n"/>
      <c r="I75" s="4524" t="n"/>
      <c r="J75" s="4524" t="n"/>
      <c r="K75" s="4524" t="n"/>
      <c r="L75" s="4524" t="n"/>
      <c r="M75" s="4524" t="n"/>
      <c r="N75" s="4524" t="n"/>
      <c r="O75" s="4524" t="n"/>
      <c r="P75" s="4524" t="n"/>
      <c r="Q75" s="4524" t="n"/>
      <c r="R75" s="4524" t="n"/>
      <c r="S75" s="4524" t="n"/>
      <c r="T75" s="4524" t="n"/>
      <c r="U75" s="4524" t="n"/>
      <c r="V75" s="4524" t="n"/>
      <c r="W75" s="4524" t="n"/>
      <c r="X75" s="4524" t="n"/>
      <c r="Y75" s="4524" t="n"/>
      <c r="Z75" s="4524" t="n"/>
      <c r="AA75" s="4524" t="n"/>
      <c r="AB75" s="4524" t="n"/>
      <c r="AC75" s="6651" t="inlineStr">
        <is>
          <t xml:space="preserve">.   .   .   .   .   .   .   .   .   .   .   .   .   . </t>
        </is>
      </c>
      <c r="AD75" s="6633" t="n">
        <v>6</v>
      </c>
      <c r="AE75" s="9969">
        <f>IF(AN70,"",SUM(AE72,-AE74))</f>
        <v/>
      </c>
      <c r="AF75" s="7637" t="n"/>
      <c r="AG75" s="7637" t="n"/>
      <c r="AH75" s="7637" t="n"/>
      <c r="AI75" s="7637" t="n"/>
      <c r="AJ75" s="7637" t="n"/>
      <c r="AK75" s="2290" t="n"/>
      <c r="AL75" s="11602" t="n"/>
      <c r="AN75" s="724" t="n"/>
      <c r="AP75" s="658" t="n"/>
      <c r="AQ75" s="658" t="n"/>
      <c r="AR75" s="658" t="n"/>
      <c r="AS75" s="658" t="n"/>
      <c r="AT75" s="658" t="n"/>
      <c r="AU75" s="658" t="n"/>
      <c r="AV75" s="658" t="n"/>
      <c r="AW75" s="658" t="n"/>
      <c r="AX75" s="658" t="n"/>
      <c r="AY75" s="658" t="n"/>
      <c r="AZ75" s="2293" t="n"/>
    </row>
    <row r="76" ht="15.75" customFormat="1" customHeight="1" s="1115">
      <c r="A76" s="2290" t="n"/>
      <c r="B76" s="9988" t="n">
        <v>7</v>
      </c>
      <c r="C76" s="1405" t="inlineStr">
        <is>
          <t>Maximum amount of wages (including tips) subject to social security tax</t>
        </is>
      </c>
      <c r="D76" s="7772" t="n"/>
      <c r="E76" s="4904" t="n"/>
      <c r="F76" s="6626" t="n"/>
      <c r="G76" s="7772" t="n"/>
      <c r="H76" s="4524" t="n"/>
      <c r="I76" s="4524" t="n"/>
      <c r="J76" s="4524" t="n"/>
      <c r="K76" s="4524" t="n"/>
      <c r="L76" s="4524" t="n"/>
      <c r="M76" s="4524" t="n"/>
      <c r="N76" s="4524" t="n"/>
      <c r="O76" s="4524" t="n"/>
      <c r="P76" s="4524" t="n"/>
      <c r="Q76" s="4524" t="n"/>
      <c r="R76" s="4524" t="n"/>
      <c r="S76" s="4524" t="n"/>
      <c r="T76" s="4524" t="n"/>
      <c r="U76" s="4524" t="n"/>
      <c r="V76" s="4524" t="n"/>
      <c r="W76" s="6651" t="inlineStr">
        <is>
          <t xml:space="preserve">.   .   .   .   . </t>
        </is>
      </c>
      <c r="X76" s="6634" t="n">
        <v>7</v>
      </c>
      <c r="Y76" s="12468">
        <f>MaxSSTaxEarnings</f>
        <v/>
      </c>
      <c r="Z76" s="8412" t="n"/>
      <c r="AA76" s="8412" t="n"/>
      <c r="AB76" s="8412" t="n"/>
      <c r="AC76" s="11734" t="n"/>
      <c r="AD76" s="6656" t="n"/>
      <c r="AE76" s="4524" t="n"/>
      <c r="AF76" s="4524" t="n"/>
      <c r="AG76" s="4524" t="n"/>
      <c r="AH76" s="4524" t="n"/>
      <c r="AI76" s="4521" t="n"/>
      <c r="AJ76" s="4521" t="n"/>
      <c r="AK76" s="2290" t="n"/>
      <c r="AL76" s="11602" t="n"/>
      <c r="AN76" s="724" t="n"/>
      <c r="AP76" s="658" t="n"/>
      <c r="AQ76" s="658" t="n"/>
      <c r="AR76" s="658" t="n"/>
      <c r="AS76" s="658" t="n"/>
      <c r="AT76" s="658" t="n"/>
      <c r="AU76" s="658" t="n"/>
      <c r="AV76" s="658" t="n"/>
      <c r="AW76" s="658" t="n"/>
      <c r="AX76" s="658" t="n"/>
      <c r="AY76" s="658" t="n"/>
      <c r="AZ76" s="2293" t="n"/>
    </row>
    <row r="77" ht="15.75" customFormat="1" customHeight="1" s="1115">
      <c r="A77" s="2290" t="n"/>
      <c r="B77" s="9988" t="n">
        <v>8</v>
      </c>
      <c r="C77" s="7772" t="inlineStr">
        <is>
          <t xml:space="preserve">Total social security wages and social security tips (total of your Form(s) W-2, </t>
        </is>
      </c>
      <c r="D77" s="7772" t="n"/>
      <c r="E77" s="4904" t="n"/>
      <c r="F77" s="6626" t="n"/>
      <c r="G77" s="7772" t="n"/>
      <c r="H77" s="4524" t="n"/>
      <c r="I77" s="4524" t="n"/>
      <c r="J77" s="4524" t="n"/>
      <c r="K77" s="4524" t="n"/>
      <c r="L77" s="4524" t="n"/>
      <c r="M77" s="4524" t="n"/>
      <c r="N77" s="4524" t="n"/>
      <c r="O77" s="4524" t="n"/>
      <c r="P77" s="4524" t="n"/>
      <c r="Q77" s="4524" t="n"/>
      <c r="R77" s="4524" t="n"/>
      <c r="S77" s="4524" t="n"/>
      <c r="T77" s="4524" t="n"/>
      <c r="U77" s="4524" t="n"/>
      <c r="V77" s="4524" t="n"/>
      <c r="W77" s="4524" t="n"/>
      <c r="X77" s="6630" t="n"/>
      <c r="Y77" s="12469">
        <f>SUM(SocSecWages_You,SocSecTips_You)</f>
        <v/>
      </c>
      <c r="Z77" s="7839" t="n"/>
      <c r="AA77" s="7839" t="n"/>
      <c r="AB77" s="7839" t="n"/>
      <c r="AC77" s="10091" t="n"/>
      <c r="AD77" s="6636" t="n"/>
      <c r="AE77" s="4524" t="n"/>
      <c r="AF77" s="4524" t="n"/>
      <c r="AG77" s="4524" t="n"/>
      <c r="AH77" s="4524" t="n"/>
      <c r="AI77" s="4521" t="n"/>
      <c r="AJ77" s="4521" t="n"/>
      <c r="AK77" s="2290" t="n"/>
      <c r="AL77" s="11602" t="n"/>
      <c r="AN77" s="724" t="n"/>
      <c r="AP77" s="658" t="n"/>
      <c r="AQ77" s="658" t="n"/>
      <c r="AR77" s="658" t="n"/>
      <c r="AS77" s="658" t="n"/>
      <c r="AT77" s="658" t="n"/>
      <c r="AU77" s="658" t="n"/>
      <c r="AV77" s="658" t="n"/>
      <c r="AW77" s="658" t="n"/>
      <c r="AX77" s="658" t="n"/>
      <c r="AY77" s="658" t="n"/>
      <c r="AZ77" s="2293" t="n"/>
    </row>
    <row r="78" ht="15.75" customFormat="1" customHeight="1" s="1115">
      <c r="A78" s="2290" t="n"/>
      <c r="B78" s="9988" t="n"/>
      <c r="C78" s="7772">
        <f>"boxes 3 and 7) and railroad retirement (RRTA) compensation (subject to "&amp;TEXT(SSTaxRate,"0.0%")</f>
        <v/>
      </c>
      <c r="D78" s="7772" t="n"/>
      <c r="E78" s="4904" t="n"/>
      <c r="F78" s="6626" t="n"/>
      <c r="G78" s="7772" t="n"/>
      <c r="H78" s="4524" t="n"/>
      <c r="I78" s="4524" t="n"/>
      <c r="J78" s="4524" t="n"/>
      <c r="K78" s="4524" t="n"/>
      <c r="L78" s="4524" t="n"/>
      <c r="M78" s="4524" t="n"/>
      <c r="N78" s="4524" t="n"/>
      <c r="O78" s="4524" t="n"/>
      <c r="P78" s="4524" t="n"/>
      <c r="Q78" s="4524" t="n"/>
      <c r="R78" s="4524" t="n"/>
      <c r="S78" s="4524" t="n"/>
      <c r="T78" s="4524" t="n"/>
      <c r="U78" s="4524" t="n"/>
      <c r="V78" s="4524" t="n"/>
      <c r="W78" s="4524" t="n"/>
      <c r="X78" s="6631" t="n"/>
      <c r="Y78" s="12470" t="n"/>
      <c r="AC78" s="7636" t="n"/>
      <c r="AD78" s="6636" t="n"/>
      <c r="AE78" s="4524" t="n"/>
      <c r="AF78" s="4524" t="n"/>
      <c r="AG78" s="4524" t="n"/>
      <c r="AH78" s="4524" t="n"/>
      <c r="AI78" s="4521" t="n"/>
      <c r="AJ78" s="4521" t="n"/>
      <c r="AK78" s="2290" t="n"/>
      <c r="AL78" s="11602" t="n"/>
      <c r="AM78" s="11602" t="n"/>
      <c r="AN78" s="724" t="n"/>
      <c r="AP78" s="658" t="n"/>
      <c r="AQ78" s="658" t="n"/>
      <c r="AR78" s="658" t="n"/>
      <c r="AS78" s="658" t="n"/>
      <c r="AT78" s="658" t="n"/>
      <c r="AU78" s="658" t="n"/>
      <c r="AV78" s="658" t="n"/>
      <c r="AW78" s="658" t="n"/>
      <c r="AX78" s="658" t="n"/>
      <c r="AY78" s="658" t="n"/>
      <c r="AZ78" s="2293" t="n"/>
    </row>
    <row r="79" ht="15.75" customFormat="1" customHeight="1" s="1115">
      <c r="A79" s="2290" t="n"/>
      <c r="B79" s="9988" t="n"/>
      <c r="C79" s="7772" t="inlineStr">
        <is>
          <t xml:space="preserve">rate) (see instructions) </t>
        </is>
      </c>
      <c r="D79" s="7772" t="n"/>
      <c r="E79" s="4904" t="n"/>
      <c r="F79" s="6626" t="n"/>
      <c r="G79" s="7772" t="n"/>
      <c r="H79" s="4524" t="n"/>
      <c r="I79" s="4524" t="n"/>
      <c r="J79" s="4524" t="n"/>
      <c r="K79" s="4524" t="n"/>
      <c r="L79" s="4524" t="n"/>
      <c r="M79" s="4524" t="n"/>
      <c r="N79" s="4524" t="n"/>
      <c r="O79" s="4524" t="n"/>
      <c r="P79" s="4524" t="n"/>
      <c r="Q79" s="4524" t="n"/>
      <c r="R79" s="4524" t="n"/>
      <c r="S79" s="4524" t="n"/>
      <c r="T79" s="4524" t="n"/>
      <c r="U79" s="4524" t="n"/>
      <c r="V79" s="4524" t="n"/>
      <c r="W79" s="6651" t="inlineStr">
        <is>
          <t xml:space="preserve">.   .   .   .   .   .   .   .   .   .   .   .   .   .   .   .   .   .   .   . </t>
        </is>
      </c>
      <c r="X79" s="6633" t="n">
        <v>8</v>
      </c>
      <c r="Y79" s="12471">
        <f>IF(AN70,"",SUM(SocSecWages_You,SocSecTips_You))</f>
        <v/>
      </c>
      <c r="Z79" s="7637" t="n"/>
      <c r="AA79" s="7637" t="n"/>
      <c r="AB79" s="7637" t="n"/>
      <c r="AC79" s="7638" t="n"/>
      <c r="AD79" s="6637" t="n"/>
      <c r="AE79" s="4524" t="n"/>
      <c r="AF79" s="4524" t="n"/>
      <c r="AG79" s="4524" t="n"/>
      <c r="AH79" s="4524" t="n"/>
      <c r="AI79" s="4521" t="n"/>
      <c r="AJ79" s="4521" t="n"/>
      <c r="AK79" s="2290" t="n"/>
      <c r="AL79" s="11602" t="n"/>
      <c r="AM79" s="11602" t="n"/>
      <c r="AN79" s="724" t="n"/>
      <c r="AP79" s="658" t="n"/>
      <c r="AQ79" s="658" t="n"/>
      <c r="AR79" s="658" t="n"/>
      <c r="AS79" s="658" t="n"/>
      <c r="AT79" s="658" t="n"/>
      <c r="AU79" s="658" t="n"/>
      <c r="AV79" s="658" t="n"/>
      <c r="AW79" s="658" t="n"/>
      <c r="AX79" s="658" t="n"/>
      <c r="AY79" s="658" t="n"/>
      <c r="AZ79" s="2293" t="n"/>
    </row>
    <row r="80" ht="15.75" customFormat="1" customHeight="1" s="1115">
      <c r="A80" s="2290" t="n"/>
      <c r="B80" s="9988" t="n">
        <v>9</v>
      </c>
      <c r="C80" s="7772" t="inlineStr">
        <is>
          <t>Subtract line 8 from line 7. If line 8 is more than line 7, enter -0-</t>
        </is>
      </c>
      <c r="D80" s="7772" t="n"/>
      <c r="E80" s="4904" t="n"/>
      <c r="F80" s="6626" t="n"/>
      <c r="G80" s="7772" t="n"/>
      <c r="H80" s="4524" t="n"/>
      <c r="I80" s="4524" t="n"/>
      <c r="J80" s="4524" t="n"/>
      <c r="K80" s="4524" t="n"/>
      <c r="L80" s="4524" t="n"/>
      <c r="M80" s="4524" t="n"/>
      <c r="N80" s="4524" t="n"/>
      <c r="O80" s="4524" t="n"/>
      <c r="P80" s="4524" t="n"/>
      <c r="Q80" s="4524" t="n"/>
      <c r="R80" s="4524" t="n"/>
      <c r="S80" s="4524" t="n"/>
      <c r="T80" s="4524" t="n"/>
      <c r="U80" s="4524" t="n"/>
      <c r="V80" s="4524" t="n"/>
      <c r="W80" s="4524" t="n"/>
      <c r="X80" s="4524" t="n"/>
      <c r="Y80" s="4524" t="n"/>
      <c r="Z80" s="6652" t="n"/>
      <c r="AA80" s="6652" t="n"/>
      <c r="AB80" s="6652" t="n"/>
      <c r="AC80" s="6651" t="inlineStr">
        <is>
          <t xml:space="preserve"> .   .   .   .   .   .   .   .   .   .   .   .   .   .   .   . </t>
        </is>
      </c>
      <c r="AD80" s="6633" t="n">
        <v>9</v>
      </c>
      <c r="AE80" s="9969">
        <f>IF(AN70,"",MAX(0,SUM(Y76,-Y79)))</f>
        <v/>
      </c>
      <c r="AF80" s="7637" t="n"/>
      <c r="AG80" s="7637" t="n"/>
      <c r="AH80" s="7637" t="n"/>
      <c r="AI80" s="7637" t="n"/>
      <c r="AJ80" s="7637" t="n"/>
      <c r="AK80" s="2290" t="n"/>
      <c r="AL80" s="11602" t="n"/>
      <c r="AM80" s="512">
        <f>Y79&gt;Z69</f>
        <v/>
      </c>
      <c r="AN80" s="724" t="n"/>
      <c r="AP80" s="658" t="n"/>
      <c r="AQ80" s="658" t="n"/>
      <c r="AR80" s="658" t="n"/>
      <c r="AS80" s="658" t="n"/>
      <c r="AT80" s="658" t="n"/>
      <c r="AU80" s="658" t="n"/>
      <c r="AV80" s="658" t="n"/>
      <c r="AW80" s="658" t="n"/>
      <c r="AX80" s="658" t="n"/>
      <c r="AY80" s="658" t="n"/>
      <c r="AZ80" s="2293" t="n"/>
    </row>
    <row r="81" ht="15.75" customFormat="1" customHeight="1" s="1115">
      <c r="A81" s="2290" t="n"/>
      <c r="B81" s="9988" t="n">
        <v>10</v>
      </c>
      <c r="C81" s="7772" t="inlineStr">
        <is>
          <t>Unreported tips subject to social security tax. Enter the smaller of line 6 or line 9. If you received tips</t>
        </is>
      </c>
      <c r="D81" s="7772" t="n"/>
      <c r="E81" s="4904" t="n"/>
      <c r="F81" s="6626" t="n"/>
      <c r="G81" s="7772" t="n"/>
      <c r="H81" s="4524" t="n"/>
      <c r="I81" s="4524" t="n"/>
      <c r="J81" s="4524" t="n"/>
      <c r="K81" s="4524" t="n"/>
      <c r="L81" s="4524" t="n"/>
      <c r="M81" s="4524" t="n"/>
      <c r="N81" s="4524" t="n"/>
      <c r="O81" s="4524" t="n"/>
      <c r="P81" s="4524" t="n"/>
      <c r="Q81" s="4524" t="n"/>
      <c r="R81" s="4524" t="n"/>
      <c r="S81" s="4524" t="n"/>
      <c r="T81" s="4524" t="n"/>
      <c r="U81" s="4524" t="n"/>
      <c r="V81" s="4524" t="n"/>
      <c r="W81" s="4524" t="n"/>
      <c r="X81" s="4524" t="n"/>
      <c r="Y81" s="4524" t="n"/>
      <c r="Z81" s="4524" t="n"/>
      <c r="AA81" s="4524" t="n"/>
      <c r="AB81" s="4524" t="n"/>
      <c r="AC81" s="4524" t="n"/>
      <c r="AD81" s="6656" t="n"/>
      <c r="AE81" s="6657" t="n"/>
      <c r="AF81" s="6657" t="n"/>
      <c r="AG81" s="6657" t="n"/>
      <c r="AH81" s="6657" t="n"/>
      <c r="AI81" s="6657" t="n"/>
      <c r="AJ81" s="6657" t="n"/>
      <c r="AK81" s="2290" t="n"/>
      <c r="AL81" s="11602" t="n"/>
      <c r="AM81" s="11602" t="n"/>
      <c r="AN81" s="724" t="n"/>
      <c r="AP81" s="658" t="n"/>
      <c r="AQ81" s="658" t="n"/>
      <c r="AR81" s="658" t="n"/>
      <c r="AS81" s="658" t="n"/>
      <c r="AT81" s="658" t="n"/>
      <c r="AU81" s="658" t="n"/>
      <c r="AV81" s="658" t="n"/>
      <c r="AW81" s="658" t="n"/>
      <c r="AX81" s="658" t="n"/>
      <c r="AY81" s="658" t="n"/>
      <c r="AZ81" s="2293" t="n"/>
    </row>
    <row r="82" ht="15.75" customFormat="1" customHeight="1" s="1115">
      <c r="A82" s="2290" t="n"/>
      <c r="B82" s="9988" t="n"/>
      <c r="C82" s="7772" t="inlineStr">
        <is>
          <t>as a federal, state, or local government employee, see instructions</t>
        </is>
      </c>
      <c r="D82" s="7772" t="n"/>
      <c r="E82" s="4904" t="n"/>
      <c r="F82" s="6626" t="n"/>
      <c r="G82" s="7772" t="n"/>
      <c r="H82" s="4524" t="n"/>
      <c r="I82" s="4524" t="n"/>
      <c r="J82" s="4524" t="n"/>
      <c r="K82" s="4524" t="n"/>
      <c r="L82" s="4524" t="n"/>
      <c r="M82" s="4524" t="n"/>
      <c r="N82" s="4524" t="n"/>
      <c r="O82" s="4524" t="n"/>
      <c r="P82" s="4524" t="n"/>
      <c r="Q82" s="4524" t="n"/>
      <c r="R82" s="4524" t="n"/>
      <c r="S82" s="4524" t="n"/>
      <c r="T82" s="4524" t="n"/>
      <c r="U82" s="4524" t="n"/>
      <c r="V82" s="4524" t="n"/>
      <c r="W82" s="4524" t="n"/>
      <c r="X82" s="4524" t="n"/>
      <c r="Y82" s="4524" t="n"/>
      <c r="Z82" s="4524" t="n"/>
      <c r="AA82" s="4524" t="n"/>
      <c r="AB82" s="4524" t="n"/>
      <c r="AC82" s="6651" t="inlineStr">
        <is>
          <t xml:space="preserve"> .   .   .   .   .   .   .   .   .   .   .   .   .   .   .   . </t>
        </is>
      </c>
      <c r="AD82" s="6633" t="n">
        <v>10</v>
      </c>
      <c r="AE82" s="9969">
        <f>IF(AN70,"",MIN(AE75,AE80))</f>
        <v/>
      </c>
      <c r="AF82" s="7637" t="n"/>
      <c r="AG82" s="7637" t="n"/>
      <c r="AH82" s="7637" t="n"/>
      <c r="AI82" s="7637" t="n"/>
      <c r="AJ82" s="7637" t="n"/>
      <c r="AK82" s="2290" t="n"/>
      <c r="AL82" s="11602" t="n"/>
      <c r="AM82" s="11602" t="n"/>
      <c r="AN82" s="724" t="n"/>
      <c r="AP82" s="658" t="n"/>
      <c r="AQ82" s="658" t="n"/>
      <c r="AR82" s="658" t="n"/>
      <c r="AS82" s="658" t="n"/>
      <c r="AT82" s="658" t="n"/>
      <c r="AU82" s="658" t="n"/>
      <c r="AV82" s="658" t="n"/>
      <c r="AW82" s="658" t="n"/>
      <c r="AX82" s="658" t="n"/>
      <c r="AY82" s="658" t="n"/>
      <c r="AZ82" s="2293" t="n"/>
    </row>
    <row r="83" ht="15.75" customFormat="1" customHeight="1" s="1115">
      <c r="A83" s="2290" t="n"/>
      <c r="B83" s="9988" t="n">
        <v>11</v>
      </c>
      <c r="C83" s="7772">
        <f>"Multiply line 10 by "&amp;TEXT(SSTaxRate,"0.000")&amp;" (social security tax rate)"</f>
        <v/>
      </c>
      <c r="D83" s="7772" t="n"/>
      <c r="E83" s="4904" t="n"/>
      <c r="F83" s="6626" t="n"/>
      <c r="G83" s="7772" t="n"/>
      <c r="H83" s="4524" t="n"/>
      <c r="I83" s="4524" t="n"/>
      <c r="J83" s="4524" t="n"/>
      <c r="K83" s="4524" t="n"/>
      <c r="L83" s="6629" t="n"/>
      <c r="M83" s="4524" t="n"/>
      <c r="N83" s="4524" t="n"/>
      <c r="O83" s="4524" t="n"/>
      <c r="P83" s="4524" t="n"/>
      <c r="Q83" s="4524" t="n"/>
      <c r="R83" s="4524" t="n"/>
      <c r="S83" s="4524" t="n"/>
      <c r="T83" s="4524" t="n"/>
      <c r="U83" s="4524" t="n"/>
      <c r="V83" s="4524" t="n"/>
      <c r="W83" s="4524" t="n"/>
      <c r="X83" s="4524" t="n"/>
      <c r="Y83" s="4524" t="n"/>
      <c r="Z83" s="4524" t="n"/>
      <c r="AA83" s="4524" t="n"/>
      <c r="AB83" s="4524" t="n"/>
      <c r="AC83" s="6651" t="inlineStr">
        <is>
          <t xml:space="preserve"> .   .   .   .   .   .   .   .   .   .   .   .   .   .   .   .   .   .   .   .   .   . </t>
        </is>
      </c>
      <c r="AD83" s="6633" t="n">
        <v>11</v>
      </c>
      <c r="AE83" s="9969">
        <f>IF(AN70,"",ROUND(AE82*SSTaxRate,0))</f>
        <v/>
      </c>
      <c r="AF83" s="7637" t="n"/>
      <c r="AG83" s="7637" t="n"/>
      <c r="AH83" s="7637" t="n"/>
      <c r="AI83" s="7637" t="n"/>
      <c r="AJ83" s="7637" t="n"/>
      <c r="AK83" s="2290" t="n"/>
      <c r="AL83" s="11602" t="n"/>
      <c r="AM83" s="11602" t="n"/>
      <c r="AN83" s="724" t="n"/>
      <c r="AP83" s="658" t="n"/>
      <c r="AQ83" s="658" t="n"/>
      <c r="AR83" s="658" t="n"/>
      <c r="AS83" s="658" t="n"/>
      <c r="AT83" s="658" t="n"/>
      <c r="AU83" s="658" t="n"/>
      <c r="AV83" s="658" t="n"/>
      <c r="AW83" s="658" t="n"/>
      <c r="AX83" s="658" t="n"/>
      <c r="AY83" s="658" t="n"/>
      <c r="AZ83" s="2293" t="n"/>
    </row>
    <row r="84" ht="15.75" customFormat="1" customHeight="1" s="1115">
      <c r="A84" s="2290" t="n"/>
      <c r="B84" s="9988" t="n">
        <v>12</v>
      </c>
      <c r="C84" s="7772">
        <f>"Multiply line 6 by "&amp;TEXT(MedicareTaxRate,"0.0000")&amp;" (Medicare tax rate)"</f>
        <v/>
      </c>
      <c r="D84" s="7772" t="n"/>
      <c r="E84" s="4904" t="n"/>
      <c r="F84" s="6626" t="n"/>
      <c r="G84" s="7772" t="n"/>
      <c r="H84" s="4524" t="n"/>
      <c r="I84" s="4524" t="n"/>
      <c r="J84" s="4524" t="n"/>
      <c r="K84" s="4524" t="n"/>
      <c r="L84" s="4524" t="n"/>
      <c r="M84" s="4524" t="n"/>
      <c r="N84" s="4524" t="n"/>
      <c r="O84" s="4524" t="n"/>
      <c r="P84" s="4524" t="n"/>
      <c r="Q84" s="4524" t="n"/>
      <c r="R84" s="4524" t="n"/>
      <c r="S84" s="4524" t="n"/>
      <c r="T84" s="4524" t="n"/>
      <c r="U84" s="4524" t="n"/>
      <c r="V84" s="4524" t="n"/>
      <c r="W84" s="4524" t="n"/>
      <c r="X84" s="4524" t="n"/>
      <c r="Y84" s="4524" t="n"/>
      <c r="Z84" s="4524" t="n"/>
      <c r="AA84" s="4524" t="n"/>
      <c r="AB84" s="4524" t="n"/>
      <c r="AC84" s="6651" t="inlineStr">
        <is>
          <t xml:space="preserve">  .   .   .   .   .   .   .   .   .   .   .   .   .   .   .   .   .   .   .   .   .   .   .   . </t>
        </is>
      </c>
      <c r="AD84" s="6633" t="n">
        <v>12</v>
      </c>
      <c r="AE84" s="9969">
        <f>IF(AN70,"",ROUND(AE75*MedicareTaxRate,0))</f>
        <v/>
      </c>
      <c r="AF84" s="7637" t="n"/>
      <c r="AG84" s="7637" t="n"/>
      <c r="AH84" s="7637" t="n"/>
      <c r="AI84" s="7637" t="n"/>
      <c r="AJ84" s="7637" t="n"/>
      <c r="AK84" s="2290" t="n"/>
      <c r="AL84" s="11602" t="n"/>
      <c r="AM84" s="11602" t="n"/>
      <c r="AN84" s="724" t="n"/>
      <c r="AP84" s="658" t="n"/>
      <c r="AQ84" s="658" t="n"/>
      <c r="AR84" s="658" t="n"/>
      <c r="AS84" s="658" t="n"/>
      <c r="AT84" s="658" t="n"/>
      <c r="AU84" s="658" t="n"/>
      <c r="AV84" s="658" t="n"/>
      <c r="AW84" s="658" t="n"/>
      <c r="AX84" s="658" t="n"/>
      <c r="AY84" s="658" t="n"/>
      <c r="AZ84" s="2293" t="n"/>
    </row>
    <row r="85" ht="15.75" customFormat="1" customHeight="1" s="1115">
      <c r="A85" s="2290" t="n"/>
      <c r="B85" s="9988" t="n">
        <v>13</v>
      </c>
      <c r="C85" s="7772" t="inlineStr">
        <is>
          <t>Add lines 11 and 12. Include as tax on Schedule 2 (Form 1040), line 5, or Form 1040-SS, Part I, line</t>
        </is>
      </c>
      <c r="D85" s="7772" t="n"/>
      <c r="E85" s="4904" t="n"/>
      <c r="F85" s="6626" t="n"/>
      <c r="G85" s="7772" t="n"/>
      <c r="H85" s="4524" t="n"/>
      <c r="I85" s="4524" t="n"/>
      <c r="J85" s="4524" t="n"/>
      <c r="K85" s="4524" t="n"/>
      <c r="L85" s="4524" t="n"/>
      <c r="M85" s="4524" t="n"/>
      <c r="N85" s="4524" t="n"/>
      <c r="O85" s="4524" t="n"/>
      <c r="P85" s="4524" t="n"/>
      <c r="Q85" s="4524" t="n"/>
      <c r="R85" s="4524" t="n"/>
      <c r="S85" s="4524" t="n"/>
      <c r="T85" s="4524" t="n"/>
      <c r="U85" s="4524" t="n"/>
      <c r="V85" s="4524" t="n"/>
      <c r="W85" s="4524" t="n"/>
      <c r="X85" s="4524" t="n"/>
      <c r="Y85" s="4524" t="n"/>
      <c r="Z85" s="4524" t="n"/>
      <c r="AA85" s="4524" t="n"/>
      <c r="AB85" s="4524" t="n"/>
      <c r="AC85" s="4524" t="n"/>
      <c r="AD85" s="6643" t="n"/>
      <c r="AE85" s="6645" t="n"/>
      <c r="AF85" s="6645" t="n"/>
      <c r="AG85" s="6645" t="n"/>
      <c r="AH85" s="6645" t="n"/>
      <c r="AI85" s="6646" t="n"/>
      <c r="AJ85" s="6646" t="n"/>
      <c r="AK85" s="2290" t="n"/>
      <c r="AL85" s="11602" t="n"/>
      <c r="AM85" s="11602" t="n"/>
      <c r="AN85" s="724" t="n"/>
      <c r="AP85" s="658" t="n"/>
      <c r="AQ85" s="658" t="n"/>
      <c r="AR85" s="658" t="n"/>
      <c r="AS85" s="658" t="n"/>
      <c r="AT85" s="658" t="n"/>
      <c r="AU85" s="658" t="n"/>
      <c r="AV85" s="658" t="n"/>
      <c r="AW85" s="658" t="n"/>
      <c r="AX85" s="658" t="n"/>
      <c r="AY85" s="658" t="n"/>
      <c r="AZ85" s="2293" t="n"/>
    </row>
    <row r="86" ht="15.75" customFormat="1" customHeight="1" s="1115" thickBot="1">
      <c r="A86" s="2290" t="n"/>
      <c r="B86" s="4817" t="n"/>
      <c r="C86" s="5003" t="inlineStr">
        <is>
          <t>6a. (See instructions there.)</t>
        </is>
      </c>
      <c r="D86" s="5003" t="n"/>
      <c r="E86" s="6638" t="n"/>
      <c r="F86" s="6639" t="n"/>
      <c r="G86" s="5003" t="n"/>
      <c r="H86" s="6640" t="n"/>
      <c r="I86" s="6640" t="n"/>
      <c r="J86" s="6640" t="n"/>
      <c r="K86" s="6640" t="n"/>
      <c r="L86" s="6640" t="n"/>
      <c r="M86" s="6640" t="n"/>
      <c r="N86" s="6640" t="n"/>
      <c r="O86" s="6640" t="n"/>
      <c r="P86" s="6640" t="n"/>
      <c r="Q86" s="6640" t="n"/>
      <c r="R86" s="6640" t="n"/>
      <c r="S86" s="6640" t="n"/>
      <c r="T86" s="6640" t="n"/>
      <c r="U86" s="6640" t="n"/>
      <c r="V86" s="6640" t="n"/>
      <c r="W86" s="6640" t="n"/>
      <c r="X86" s="6640" t="n"/>
      <c r="Y86" s="6640" t="n"/>
      <c r="Z86" s="6640" t="n"/>
      <c r="AA86" s="6640" t="n"/>
      <c r="AB86" s="6640" t="n"/>
      <c r="AC86" s="6651" t="inlineStr">
        <is>
          <t xml:space="preserve">  .   .   .   .   .   .   .   .   .   .   .   .   .   .   .   .   .   .   .   .   .   .   .   .   .   .   .   .   .   . </t>
        </is>
      </c>
      <c r="AD86" s="6644" t="n">
        <v>13</v>
      </c>
      <c r="AE86" s="9986">
        <f>IF(AM86&lt;&gt;"",ROUND(AM86,0),IF(AN70,"",SUM(AE83,AE84)))</f>
        <v/>
      </c>
      <c r="AF86" s="8848" t="n"/>
      <c r="AG86" s="8848" t="n"/>
      <c r="AH86" s="8848" t="n"/>
      <c r="AI86" s="8848" t="n"/>
      <c r="AJ86" s="8848" t="n"/>
      <c r="AK86" s="2290" t="n"/>
      <c r="AL86" s="11602" t="n"/>
      <c r="AM86" s="6642" t="n"/>
      <c r="AN86" s="724" t="n"/>
      <c r="AP86" s="658" t="n"/>
      <c r="AQ86" s="658" t="n"/>
      <c r="AR86" s="658" t="n"/>
      <c r="AS86" s="658" t="n"/>
      <c r="AT86" s="658" t="n"/>
      <c r="AU86" s="658" t="n"/>
      <c r="AV86" s="658" t="n"/>
      <c r="AW86" s="658" t="n"/>
      <c r="AX86" s="658" t="n"/>
      <c r="AY86" s="658" t="n"/>
      <c r="AZ86" s="2293" t="n"/>
    </row>
    <row r="87" ht="15.75" customFormat="1" customHeight="1" s="1115">
      <c r="A87" s="2290" t="n"/>
      <c r="B87" s="7372" t="inlineStr">
        <is>
          <t>For Paperwork Reduction Act Notice, see your tax return instructions.</t>
        </is>
      </c>
      <c r="C87" s="7772" t="n"/>
      <c r="D87" s="7772" t="n"/>
      <c r="E87" s="4904" t="n"/>
      <c r="F87" s="6626" t="n"/>
      <c r="G87" s="7772" t="n"/>
      <c r="H87" s="4524" t="n"/>
      <c r="I87" s="4524" t="n"/>
      <c r="J87" s="4524" t="n"/>
      <c r="K87" s="4524" t="n"/>
      <c r="L87" s="4524" t="n"/>
      <c r="M87" s="4524" t="n"/>
      <c r="N87" s="4524" t="n"/>
      <c r="O87" s="4524" t="n"/>
      <c r="P87" s="4524" t="n"/>
      <c r="Q87" s="4524" t="n"/>
      <c r="R87" s="4524" t="n"/>
      <c r="S87" s="4524" t="n"/>
      <c r="T87" s="4524" t="n"/>
      <c r="U87" s="4524" t="n"/>
      <c r="V87" s="1672" t="inlineStr">
        <is>
          <t>Cat. No. 12626C</t>
        </is>
      </c>
      <c r="W87" s="4524" t="n"/>
      <c r="X87" s="4524" t="n"/>
      <c r="Y87" s="4524" t="n"/>
      <c r="Z87" s="4524" t="n"/>
      <c r="AA87" s="4524" t="n"/>
      <c r="AB87" s="4524" t="n"/>
      <c r="AC87" s="4901" t="n"/>
      <c r="AD87" s="6641" t="inlineStr">
        <is>
          <t>Form 4137</t>
        </is>
      </c>
      <c r="AE87" s="9237">
        <f>"("&amp;TaxYear&amp;")"</f>
        <v/>
      </c>
      <c r="AG87" s="4524" t="n"/>
      <c r="AH87" s="4524" t="n"/>
      <c r="AI87" s="4521" t="n"/>
      <c r="AJ87" s="1061" t="inlineStr">
        <is>
          <t>Created 3/27/25</t>
        </is>
      </c>
      <c r="AK87" s="2290" t="n"/>
      <c r="AL87" s="11602" t="n"/>
      <c r="AM87" s="6649">
        <f>SUM(F4137_Line13_You,F4137_Line13_Spouse)</f>
        <v/>
      </c>
      <c r="AN87" s="724" t="n"/>
      <c r="AP87" s="658" t="n"/>
      <c r="AQ87" s="658" t="n"/>
      <c r="AR87" s="658" t="n"/>
      <c r="AS87" s="658" t="n"/>
      <c r="AT87" s="658" t="n"/>
      <c r="AU87" s="658" t="n"/>
      <c r="AV87" s="658" t="n"/>
      <c r="AW87" s="658" t="n"/>
      <c r="AX87" s="658" t="n"/>
      <c r="AY87" s="658" t="n"/>
      <c r="AZ87" s="2293" t="n"/>
    </row>
  </sheetData>
  <sheetProtection selectLockedCells="0" selectUnlockedCells="0" algorithmName="SHA-512" sheet="1" objects="0" insertRows="1" insertHyperlinks="1" autoFilter="1" scenarios="0" formatColumns="0" deleteColumns="1" insertColumns="1" pivotTables="1" deleteRows="1" formatCells="0" saltValue="MoOKaGj6R9wPtIYx3LfjAw==" formatRows="0" sort="1" spinCount="100000" hashValue="Hj570oWKAKEbXmtg37NfpFkxF5xxIH8c4xGjBOeEE1ya487yLAD6wBB7XnhsxYZQtfaqTeV1Q7DAPfYbnwpYbg=="/>
  <mergeCells count="134">
    <mergeCell ref="T60:W60"/>
    <mergeCell ref="X62:AC62"/>
    <mergeCell ref="B61:B62"/>
    <mergeCell ref="D2:G3"/>
    <mergeCell ref="AE39:AJ39"/>
    <mergeCell ref="AD16:AJ16"/>
    <mergeCell ref="B7:AA7"/>
    <mergeCell ref="B14:B15"/>
    <mergeCell ref="X64:AC64"/>
    <mergeCell ref="C57:S58"/>
    <mergeCell ref="AE29:AJ29"/>
    <mergeCell ref="AD58:AJ58"/>
    <mergeCell ref="AD18:AJ18"/>
    <mergeCell ref="AE84:AJ84"/>
    <mergeCell ref="AD64:AJ64"/>
    <mergeCell ref="Y79:AC79"/>
    <mergeCell ref="AD5:AG5"/>
    <mergeCell ref="B8:AA8"/>
    <mergeCell ref="AE86:AJ86"/>
    <mergeCell ref="AD63:AJ63"/>
    <mergeCell ref="AE80:AJ80"/>
    <mergeCell ref="AM74:AM77"/>
    <mergeCell ref="AE70:AJ70"/>
    <mergeCell ref="C14:S15"/>
    <mergeCell ref="T62:W62"/>
    <mergeCell ref="B63:B64"/>
    <mergeCell ref="AD6:AG6"/>
    <mergeCell ref="C9:S13"/>
    <mergeCell ref="AE32:AJ32"/>
    <mergeCell ref="AB51:AJ51"/>
    <mergeCell ref="AE72:AJ72"/>
    <mergeCell ref="C52:S56"/>
    <mergeCell ref="AE41:AJ41"/>
    <mergeCell ref="T64:W64"/>
    <mergeCell ref="X66:AC66"/>
    <mergeCell ref="T21:W21"/>
    <mergeCell ref="Y76:AC76"/>
    <mergeCell ref="X52:AC56"/>
    <mergeCell ref="AE43:AJ43"/>
    <mergeCell ref="T9:W13"/>
    <mergeCell ref="T23:W23"/>
    <mergeCell ref="AD61:AJ61"/>
    <mergeCell ref="B3:C3"/>
    <mergeCell ref="I47:AB48"/>
    <mergeCell ref="AD22:AJ22"/>
    <mergeCell ref="I6:AB6"/>
    <mergeCell ref="Y68:AC68"/>
    <mergeCell ref="AE82:AJ82"/>
    <mergeCell ref="X15:AC15"/>
    <mergeCell ref="B2:C2"/>
    <mergeCell ref="AD62:AJ62"/>
    <mergeCell ref="AC46:AJ47"/>
    <mergeCell ref="AE74:AJ74"/>
    <mergeCell ref="AE83:AJ83"/>
    <mergeCell ref="Y78:AC78"/>
    <mergeCell ref="AE87:AF87"/>
    <mergeCell ref="AD9:AJ13"/>
    <mergeCell ref="AL14:AM23"/>
    <mergeCell ref="C18:S19"/>
    <mergeCell ref="AH5:AI6"/>
    <mergeCell ref="AD19:AJ19"/>
    <mergeCell ref="I2:AB3"/>
    <mergeCell ref="AC3:AJ4"/>
    <mergeCell ref="AD65:AJ65"/>
    <mergeCell ref="AE31:AJ31"/>
    <mergeCell ref="X17:AC17"/>
    <mergeCell ref="B16:B17"/>
    <mergeCell ref="C59:S60"/>
    <mergeCell ref="T66:W66"/>
    <mergeCell ref="X19:AC19"/>
    <mergeCell ref="B50:AA50"/>
    <mergeCell ref="B18:B19"/>
    <mergeCell ref="C65:S66"/>
    <mergeCell ref="AC45:AJ45"/>
    <mergeCell ref="AD66:AJ66"/>
    <mergeCell ref="D45:G46"/>
    <mergeCell ref="B57:B58"/>
    <mergeCell ref="AI30:AJ30"/>
    <mergeCell ref="Y35:AC35"/>
    <mergeCell ref="AD21:AJ21"/>
    <mergeCell ref="I4:AB5"/>
    <mergeCell ref="T15:W15"/>
    <mergeCell ref="AD52:AJ56"/>
    <mergeCell ref="AD20:AJ20"/>
    <mergeCell ref="AD14:AJ14"/>
    <mergeCell ref="AD23:AJ23"/>
    <mergeCell ref="Y25:AC25"/>
    <mergeCell ref="T58:W58"/>
    <mergeCell ref="AE27:AJ27"/>
    <mergeCell ref="AM31:AM34"/>
    <mergeCell ref="B20:B21"/>
    <mergeCell ref="AD15:AJ15"/>
    <mergeCell ref="B22:B23"/>
    <mergeCell ref="B45:C45"/>
    <mergeCell ref="AE75:AJ75"/>
    <mergeCell ref="C20:S21"/>
    <mergeCell ref="AC2:AJ2"/>
    <mergeCell ref="AD57:AJ57"/>
    <mergeCell ref="B51:AA51"/>
    <mergeCell ref="AI73:AJ73"/>
    <mergeCell ref="T17:W17"/>
    <mergeCell ref="C22:S23"/>
    <mergeCell ref="AE67:AJ67"/>
    <mergeCell ref="B46:C46"/>
    <mergeCell ref="T19:W19"/>
    <mergeCell ref="I49:AB49"/>
    <mergeCell ref="AL57:AM66"/>
    <mergeCell ref="AH48:AI49"/>
    <mergeCell ref="C61:S62"/>
    <mergeCell ref="X58:AC58"/>
    <mergeCell ref="T52:W56"/>
    <mergeCell ref="AD17:AJ17"/>
    <mergeCell ref="AB8:AJ8"/>
    <mergeCell ref="AD48:AG48"/>
    <mergeCell ref="AE40:AJ40"/>
    <mergeCell ref="X60:AC60"/>
    <mergeCell ref="AE37:AJ37"/>
    <mergeCell ref="AE24:AJ24"/>
    <mergeCell ref="AE44:AF44"/>
    <mergeCell ref="B65:B66"/>
    <mergeCell ref="Y34:AC34"/>
    <mergeCell ref="AD59:AJ59"/>
    <mergeCell ref="AD60:AJ60"/>
    <mergeCell ref="Y36:AC36"/>
    <mergeCell ref="X21:AC21"/>
    <mergeCell ref="I45:AB46"/>
    <mergeCell ref="Y77:AC77"/>
    <mergeCell ref="X9:AC13"/>
    <mergeCell ref="Y33:AC33"/>
    <mergeCell ref="X23:AC23"/>
    <mergeCell ref="C63:S64"/>
    <mergeCell ref="C16:S17"/>
    <mergeCell ref="B59:B60"/>
    <mergeCell ref="AD49:AG49"/>
  </mergeCells>
  <conditionalFormatting sqref="B8 T15 T17 T19 T21 T23 Y33 Y36 AB8:AJ8 AE27:AJ29 AE30:AI30 AE31:AJ32">
    <cfRule type="expression" priority="94" dxfId="6">
      <formula>NoColor</formula>
    </cfRule>
  </conditionalFormatting>
  <conditionalFormatting sqref="B10">
    <cfRule type="expression" priority="32" dxfId="14">
      <formula>IF(AND(File_Marr_Sep&lt;&gt;"",#REF!=""),1,0)</formula>
    </cfRule>
  </conditionalFormatting>
  <conditionalFormatting sqref="B51 T58 T60 T62 T64 T66 Y76 Y79 AB51:AJ51 AE70:AJ72 AE73:AI73 AE74:AJ75">
    <cfRule type="expression" priority="26" dxfId="6">
      <formula>NoColor</formula>
    </cfRule>
  </conditionalFormatting>
  <conditionalFormatting sqref="B53">
    <cfRule type="expression" priority="7" dxfId="14">
      <formula>IF(AND(File_Marr_Sep&lt;&gt;"",#REF!=""),1,0)</formula>
    </cfRule>
  </conditionalFormatting>
  <conditionalFormatting sqref="B14:C14">
    <cfRule type="expression" priority="89" dxfId="6">
      <formula>NoColor</formula>
    </cfRule>
  </conditionalFormatting>
  <conditionalFormatting sqref="B16:C16 V16">
    <cfRule type="expression" priority="44" dxfId="14">
      <formula>IF(AND(File_Marr_Sep&lt;&gt;"",#REF!=""),1,0)</formula>
    </cfRule>
  </conditionalFormatting>
  <conditionalFormatting sqref="B16:C16">
    <cfRule type="expression" priority="43" dxfId="6">
      <formula>NoColor</formula>
    </cfRule>
  </conditionalFormatting>
  <conditionalFormatting sqref="B18:C18 V18">
    <cfRule type="expression" priority="42" dxfId="14">
      <formula>IF(AND(File_Marr_Sep&lt;&gt;"",#REF!=""),1,0)</formula>
    </cfRule>
  </conditionalFormatting>
  <conditionalFormatting sqref="B18:C18">
    <cfRule type="expression" priority="41" dxfId="6">
      <formula>NoColor</formula>
    </cfRule>
  </conditionalFormatting>
  <conditionalFormatting sqref="B20:C20 V20">
    <cfRule type="expression" priority="40" dxfId="14">
      <formula>IF(AND(File_Marr_Sep&lt;&gt;"",#REF!=""),1,0)</formula>
    </cfRule>
  </conditionalFormatting>
  <conditionalFormatting sqref="B20:C20">
    <cfRule type="expression" priority="39" dxfId="6">
      <formula>NoColor</formula>
    </cfRule>
  </conditionalFormatting>
  <conditionalFormatting sqref="B22:C22 V22">
    <cfRule type="expression" priority="38" dxfId="14">
      <formula>IF(AND(File_Marr_Sep&lt;&gt;"",#REF!=""),1,0)</formula>
    </cfRule>
  </conditionalFormatting>
  <conditionalFormatting sqref="B22:C22">
    <cfRule type="expression" priority="37" dxfId="6">
      <formula>NoColor</formula>
    </cfRule>
  </conditionalFormatting>
  <conditionalFormatting sqref="B57:C57">
    <cfRule type="expression" priority="21" dxfId="6">
      <formula>NoColor</formula>
    </cfRule>
  </conditionalFormatting>
  <conditionalFormatting sqref="B59:C59 V59">
    <cfRule type="expression" priority="19" dxfId="14">
      <formula>IF(AND(File_Marr_Sep&lt;&gt;"",#REF!=""),1,0)</formula>
    </cfRule>
  </conditionalFormatting>
  <conditionalFormatting sqref="B59:C59">
    <cfRule type="expression" priority="18" dxfId="6">
      <formula>NoColor</formula>
    </cfRule>
  </conditionalFormatting>
  <conditionalFormatting sqref="B61:C61 V61">
    <cfRule type="expression" priority="17" dxfId="14">
      <formula>IF(AND(File_Marr_Sep&lt;&gt;"",#REF!=""),1,0)</formula>
    </cfRule>
  </conditionalFormatting>
  <conditionalFormatting sqref="B61:C61">
    <cfRule type="expression" priority="16" dxfId="6">
      <formula>NoColor</formula>
    </cfRule>
  </conditionalFormatting>
  <conditionalFormatting sqref="B63:C63 V63">
    <cfRule type="expression" priority="15" dxfId="14">
      <formula>IF(AND(File_Marr_Sep&lt;&gt;"",#REF!=""),1,0)</formula>
    </cfRule>
  </conditionalFormatting>
  <conditionalFormatting sqref="B63:C63">
    <cfRule type="expression" priority="14" dxfId="6">
      <formula>NoColor</formula>
    </cfRule>
  </conditionalFormatting>
  <conditionalFormatting sqref="B65:C65 V65">
    <cfRule type="expression" priority="13" dxfId="14">
      <formula>IF(AND(File_Marr_Sep&lt;&gt;"",#REF!=""),1,0)</formula>
    </cfRule>
  </conditionalFormatting>
  <conditionalFormatting sqref="B65:C65">
    <cfRule type="expression" priority="12" dxfId="6">
      <formula>NoColor</formula>
    </cfRule>
  </conditionalFormatting>
  <conditionalFormatting sqref="X16:Y16">
    <cfRule type="expression" priority="36" dxfId="14">
      <formula>IF(AND(File_Marr_Sep&lt;&gt;"",#REF!=""),1,0)</formula>
    </cfRule>
  </conditionalFormatting>
  <conditionalFormatting sqref="X18:Y18">
    <cfRule type="expression" priority="35" dxfId="14">
      <formula>IF(AND(File_Marr_Sep&lt;&gt;"",#REF!=""),1,0)</formula>
    </cfRule>
  </conditionalFormatting>
  <conditionalFormatting sqref="X20:Y20">
    <cfRule type="expression" priority="34" dxfId="14">
      <formula>IF(AND(File_Marr_Sep&lt;&gt;"",#REF!=""),1,0)</formula>
    </cfRule>
  </conditionalFormatting>
  <conditionalFormatting sqref="X22:Y22">
    <cfRule type="expression" priority="33" dxfId="14">
      <formula>IF(AND(File_Marr_Sep&lt;&gt;"",#REF!=""),1,0)</formula>
    </cfRule>
  </conditionalFormatting>
  <conditionalFormatting sqref="X59:Y59">
    <cfRule type="expression" priority="11" dxfId="14">
      <formula>IF(AND(File_Marr_Sep&lt;&gt;"",#REF!=""),1,0)</formula>
    </cfRule>
  </conditionalFormatting>
  <conditionalFormatting sqref="X61:Y61">
    <cfRule type="expression" priority="10" dxfId="14">
      <formula>IF(AND(File_Marr_Sep&lt;&gt;"",#REF!=""),1,0)</formula>
    </cfRule>
  </conditionalFormatting>
  <conditionalFormatting sqref="X63:Y63">
    <cfRule type="expression" priority="9" dxfId="14">
      <formula>IF(AND(File_Marr_Sep&lt;&gt;"",#REF!=""),1,0)</formula>
    </cfRule>
  </conditionalFormatting>
  <conditionalFormatting sqref="X65:Y65">
    <cfRule type="expression" priority="8" dxfId="14">
      <formula>IF(AND(File_Marr_Sep&lt;&gt;"",#REF!=""),1,0)</formula>
    </cfRule>
  </conditionalFormatting>
  <conditionalFormatting sqref="X59:AC59 X61:AC61 X62:AJ62 X63:AC63 X64:AJ64 X65:AC65">
    <cfRule type="expression" priority="5" dxfId="6">
      <formula>NoColor</formula>
    </cfRule>
  </conditionalFormatting>
  <conditionalFormatting sqref="X15:AJ15 X16:AC16 X17:AJ17 X18:AC18 X19:AJ19 X20:AC20 X21:AJ21 X22:AC22 X23:AJ23">
    <cfRule type="expression" priority="28" dxfId="6">
      <formula>NoColor</formula>
    </cfRule>
  </conditionalFormatting>
  <conditionalFormatting sqref="X58:AJ58">
    <cfRule type="expression" priority="3" dxfId="6">
      <formula>NoColor</formula>
    </cfRule>
  </conditionalFormatting>
  <conditionalFormatting sqref="X60:AJ60">
    <cfRule type="expression" priority="2" dxfId="6">
      <formula>NoColor</formula>
    </cfRule>
  </conditionalFormatting>
  <conditionalFormatting sqref="X66:AJ66">
    <cfRule type="expression" priority="1" dxfId="6">
      <formula>NoColor</formula>
    </cfRule>
  </conditionalFormatting>
  <conditionalFormatting sqref="Y25:AC25">
    <cfRule type="expression" priority="27" dxfId="6">
      <formula>NoColor</formula>
    </cfRule>
  </conditionalFormatting>
  <conditionalFormatting sqref="Y68:AC68">
    <cfRule type="expression" priority="4" dxfId="6">
      <formula>NoColor</formula>
    </cfRule>
  </conditionalFormatting>
  <conditionalFormatting sqref="AB8:AJ8">
    <cfRule type="expression" priority="91" dxfId="20">
      <formula>NoSSN</formula>
    </cfRule>
    <cfRule type="expression" priority="92" dxfId="46">
      <formula>NoSSN</formula>
    </cfRule>
    <cfRule type="expression" priority="93" dxfId="20">
      <formula>AND(NoColor,NoSSN)</formula>
    </cfRule>
  </conditionalFormatting>
  <conditionalFormatting sqref="AB51:AJ51">
    <cfRule type="expression" priority="25" dxfId="20">
      <formula>AND(NoColor,NoSSN)</formula>
    </cfRule>
    <cfRule type="expression" priority="24" dxfId="46">
      <formula>NoSSN</formula>
    </cfRule>
    <cfRule type="expression" priority="23" dxfId="20">
      <formula>NoSSN</formula>
    </cfRule>
  </conditionalFormatting>
  <conditionalFormatting sqref="AE37:AJ43">
    <cfRule type="expression" priority="29" dxfId="6">
      <formula>NoColor</formula>
    </cfRule>
  </conditionalFormatting>
  <conditionalFormatting sqref="AE80:AJ86">
    <cfRule type="expression" priority="6" dxfId="6">
      <formula>NoColor</formula>
    </cfRule>
  </conditionalFormatting>
  <pageMargins left="0.75" right="0.25" top="0.36" bottom="0.29" header="0.36" footer="0.21"/>
  <pageSetup orientation="portrait" scale="65" fitToHeight="0"/>
</worksheet>
</file>

<file path=xl/worksheets/sheet43.xml><?xml version="1.0" encoding="utf-8"?>
<worksheet xmlns="http://schemas.openxmlformats.org/spreadsheetml/2006/main">
  <sheetPr>
    <outlinePr summaryBelow="1" summaryRight="1"/>
    <pageSetUpPr fitToPage="1"/>
  </sheetPr>
  <dimension ref="A1:BK168"/>
  <sheetViews>
    <sheetView zoomScaleNormal="100" zoomScaleSheetLayoutView="100" workbookViewId="0">
      <selection activeCell="A1" sqref="A1"/>
    </sheetView>
  </sheetViews>
  <sheetFormatPr baseColWidth="8" defaultColWidth="9.140625" defaultRowHeight="12.75"/>
  <cols>
    <col width="2.7109375" customWidth="1" style="7635" min="1" max="1"/>
    <col width="5.140625" customWidth="1" style="7635" min="2" max="2"/>
    <col width="3.28515625" customWidth="1" style="7635" min="3" max="3"/>
    <col width="5.140625" customWidth="1" style="7635" min="4" max="4"/>
    <col width="3.85546875" customWidth="1" style="7635" min="5" max="8"/>
    <col width="4" customWidth="1" style="7635" min="9" max="15"/>
    <col width="3.85546875" customWidth="1" style="7635" min="16" max="17"/>
    <col width="3.140625" customWidth="1" style="7635" min="18" max="18"/>
    <col width="3.5703125" customWidth="1" style="7635" min="19" max="19"/>
    <col width="6.42578125" customWidth="1" style="7635" min="20" max="20"/>
    <col width="3.5703125" customWidth="1" style="7635" min="21" max="21"/>
    <col width="5.7109375" customWidth="1" style="7635" min="22" max="22"/>
    <col width="4.7109375" customWidth="1" style="7635" min="23" max="24"/>
    <col width="3.85546875" customWidth="1" style="7635" min="25" max="27"/>
    <col width="4" customWidth="1" style="7635" min="28" max="28"/>
    <col width="4.7109375" customWidth="1" style="7635" min="29" max="29"/>
    <col width="4" customWidth="1" style="7635" min="30" max="31"/>
    <col width="3.85546875" customWidth="1" style="7635" min="32" max="32"/>
    <col width="6.5703125" customWidth="1" style="7635" min="33" max="33"/>
    <col width="3.140625" customWidth="1" style="7635" min="34" max="34"/>
    <col width="4" customWidth="1" style="7635" min="35" max="35"/>
    <col width="2.7109375" customWidth="1" style="7635" min="36" max="36"/>
    <col width="2.85546875" customWidth="1" style="7635" min="38" max="38"/>
    <col width="14.42578125" customWidth="1" style="7635" min="39" max="39"/>
    <col width="3.28515625" customWidth="1" style="7635" min="40" max="40"/>
    <col width="25.7109375" customWidth="1" style="7635" min="41" max="41"/>
    <col width="13.140625" customWidth="1" style="7635" min="42" max="42"/>
    <col width="11.5703125" customWidth="1" style="7635" min="43" max="43"/>
    <col width="10.7109375" customWidth="1" style="7635" min="44" max="44"/>
    <col width="12" customWidth="1" style="7635" min="45" max="45"/>
    <col width="11.5703125" customWidth="1" style="7635" min="46" max="46"/>
    <col width="11.42578125" customWidth="1" style="7635" min="47" max="47"/>
    <col width="10.85546875" customWidth="1" style="7453" min="48" max="48"/>
    <col width="10.5703125" customWidth="1" style="7453" min="49" max="49"/>
    <col width="9.140625" customWidth="1" style="12472" min="50" max="50"/>
    <col width="12" customWidth="1" style="7635" min="51" max="51"/>
    <col width="4.140625" customWidth="1" style="7635" min="52" max="52"/>
    <col width="10.7109375" customWidth="1" style="658" min="53" max="61"/>
    <col width="4.140625" customWidth="1" style="658" min="62" max="62"/>
  </cols>
  <sheetData>
    <row r="1" ht="12" customFormat="1" customHeight="1" s="81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602" t="n"/>
      <c r="AM1" s="11602" t="n"/>
      <c r="AN1" s="11602" t="n"/>
      <c r="AV1" s="950" t="n"/>
      <c r="AW1" s="950" t="n"/>
      <c r="AX1" s="12473" t="n"/>
      <c r="BA1" s="658" t="n"/>
      <c r="BB1" s="658" t="n"/>
      <c r="BC1" s="658" t="n"/>
      <c r="BD1" s="658" t="n"/>
      <c r="BE1" s="658" t="n"/>
      <c r="BF1" s="658" t="n"/>
      <c r="BG1" s="658" t="n"/>
      <c r="BH1" s="658" t="n"/>
      <c r="BI1" s="658" t="n"/>
      <c r="BJ1" s="658" t="n"/>
    </row>
    <row r="2" ht="24" customFormat="1" customHeight="1" s="815">
      <c r="A2" s="2013" t="n"/>
      <c r="B2" s="9935">
        <f>IF('Table of Contents'!A48="D","DRAFT","")</f>
        <v/>
      </c>
      <c r="D2" s="9936" t="inlineStr">
        <is>
          <t>4562</t>
        </is>
      </c>
      <c r="H2" s="379" t="n"/>
      <c r="I2" s="12474" t="inlineStr">
        <is>
          <t>Depreciation and Amortization
(Including Information on Listed Property)</t>
        </is>
      </c>
      <c r="AB2" s="1066" t="n"/>
      <c r="AC2" s="9942">
        <f>IF('Table of Contents'!A48="D","DRAFT","OMB No. 1545-0172")</f>
        <v/>
      </c>
      <c r="AD2" s="7637" t="n"/>
      <c r="AE2" s="7637" t="n"/>
      <c r="AF2" s="7637" t="n"/>
      <c r="AG2" s="7637" t="n"/>
      <c r="AH2" s="7637" t="n"/>
      <c r="AI2" s="7637" t="n"/>
      <c r="AJ2" s="7637" t="n"/>
      <c r="AK2" s="2013" t="n"/>
      <c r="AL2" s="11602" t="n"/>
      <c r="AM2" s="11602" t="n"/>
      <c r="AN2" s="11602" t="n"/>
      <c r="AV2" s="950" t="n"/>
      <c r="AW2" s="950" t="n"/>
      <c r="AX2" s="12473" t="n"/>
      <c r="BA2" s="658" t="n"/>
      <c r="BB2" s="658" t="n"/>
      <c r="BC2" s="658" t="n"/>
      <c r="BD2" s="658" t="n"/>
      <c r="BE2" s="658" t="n"/>
      <c r="BF2" s="658" t="n"/>
      <c r="BG2" s="658" t="n"/>
      <c r="BH2" s="658" t="n"/>
      <c r="BI2" s="658" t="n"/>
      <c r="BJ2" s="658" t="n"/>
    </row>
    <row r="3" ht="24" customFormat="1" customHeight="1" s="815">
      <c r="A3" s="2013" t="n"/>
      <c r="B3" s="9886" t="inlineStr">
        <is>
          <t>Form</t>
        </is>
      </c>
      <c r="H3" s="379" t="n"/>
      <c r="I3" s="11741" t="n"/>
      <c r="AB3" s="1066" t="n"/>
      <c r="AC3" s="9887">
        <f>TaxYear</f>
        <v/>
      </c>
      <c r="AD3" s="7839" t="n"/>
      <c r="AE3" s="7839" t="n"/>
      <c r="AF3" s="7839" t="n"/>
      <c r="AG3" s="7839" t="n"/>
      <c r="AH3" s="7839" t="n"/>
      <c r="AI3" s="7839" t="n"/>
      <c r="AJ3" s="7839" t="n"/>
      <c r="AK3" s="2013" t="n"/>
      <c r="AL3" s="11602" t="n"/>
      <c r="AM3" s="11602" t="n"/>
      <c r="AN3" s="11602" t="n"/>
      <c r="AO3" s="4858" t="inlineStr">
        <is>
          <t>Depreciation Worksheet (Keep for your records.)</t>
        </is>
      </c>
      <c r="AP3" s="1233" t="n"/>
      <c r="AQ3" s="1233" t="n"/>
      <c r="AR3" s="1233" t="n"/>
      <c r="AS3" s="1233" t="n"/>
      <c r="AT3" s="1233" t="n"/>
      <c r="AU3" s="1233" t="n"/>
      <c r="AV3" s="4954" t="n"/>
      <c r="AW3" s="4954" t="n"/>
      <c r="AX3" s="12475" t="n"/>
      <c r="AY3" s="1233" t="n"/>
      <c r="BA3" s="658" t="n"/>
      <c r="BB3" s="658" t="n"/>
      <c r="BC3" s="658" t="n"/>
      <c r="BD3" s="658" t="n"/>
      <c r="BE3" s="658" t="n"/>
      <c r="BF3" s="658" t="n"/>
      <c r="BG3" s="658" t="n"/>
      <c r="BH3" s="658" t="n"/>
      <c r="BI3" s="658" t="n"/>
      <c r="BJ3" s="658" t="n"/>
    </row>
    <row r="4" ht="6.75" customFormat="1" customHeight="1" s="815" thickBot="1">
      <c r="A4" s="2013" t="n"/>
      <c r="B4" s="11602" t="n"/>
      <c r="C4" s="11602" t="n"/>
      <c r="D4" s="11602" t="n"/>
      <c r="E4" s="11602" t="n"/>
      <c r="F4" s="11602" t="n"/>
      <c r="G4" s="11602" t="n"/>
      <c r="H4" s="379" t="n"/>
      <c r="I4" s="11930" t="inlineStr">
        <is>
          <t>Attach to your tax return.</t>
        </is>
      </c>
      <c r="AB4" s="1066" t="n"/>
      <c r="AC4" s="11741" t="n"/>
      <c r="AK4" s="2013" t="n"/>
      <c r="AL4" s="11602" t="n"/>
      <c r="AM4" s="11602" t="n"/>
      <c r="AN4" s="11602" t="n"/>
      <c r="AO4" s="11602" t="n"/>
      <c r="AP4" s="946" t="n"/>
      <c r="AQ4" s="946" t="n"/>
      <c r="AR4" s="946" t="n"/>
      <c r="AS4" s="946" t="n"/>
      <c r="AT4" s="946" t="n"/>
      <c r="AU4" s="946" t="n"/>
      <c r="AV4" s="4955" t="n"/>
      <c r="AW4" s="4955" t="n"/>
      <c r="AX4" s="12476" t="n"/>
      <c r="AY4" s="946" t="n"/>
      <c r="BA4" s="658" t="n"/>
      <c r="BB4" s="658" t="n"/>
      <c r="BC4" s="658" t="n"/>
      <c r="BD4" s="658" t="n"/>
      <c r="BE4" s="658" t="n"/>
      <c r="BF4" s="658" t="n"/>
      <c r="BG4" s="658" t="n"/>
      <c r="BH4" s="658" t="n"/>
      <c r="BI4" s="658" t="n"/>
      <c r="BJ4" s="658" t="n"/>
    </row>
    <row r="5" ht="10.5" customFormat="1" customHeight="1" s="815">
      <c r="A5" s="2013" t="n"/>
      <c r="B5" s="11602" t="inlineStr">
        <is>
          <t>Department of the Treasury</t>
        </is>
      </c>
      <c r="C5" s="11602" t="n"/>
      <c r="D5" s="11602" t="n"/>
      <c r="E5" s="11602" t="n"/>
      <c r="F5" s="11602" t="n"/>
      <c r="G5" s="11602" t="n"/>
      <c r="H5" s="379" t="n"/>
      <c r="I5" s="11741" t="n"/>
      <c r="AB5" s="1066" t="n"/>
      <c r="AC5" s="341" t="n"/>
      <c r="AD5" s="9237" t="inlineStr">
        <is>
          <t xml:space="preserve">   Attachment</t>
        </is>
      </c>
      <c r="AH5" s="9918" t="n">
        <v>179</v>
      </c>
      <c r="AJ5" s="11602" t="n"/>
      <c r="AK5" s="2013" t="n"/>
      <c r="AL5" s="11602" t="n"/>
      <c r="AM5" s="11602" t="n"/>
      <c r="AN5" s="11602" t="n"/>
      <c r="AO5" s="12477" t="inlineStr">
        <is>
          <t>Description of Property</t>
        </is>
      </c>
      <c r="AP5" s="12478" t="inlineStr">
        <is>
          <t>Date Placed in Service</t>
        </is>
      </c>
      <c r="AQ5" s="12478" t="inlineStr">
        <is>
          <t>Cost or Other Basis</t>
        </is>
      </c>
      <c r="AR5" s="12478" t="inlineStr">
        <is>
          <t>Business/ Investment Use %</t>
        </is>
      </c>
      <c r="AS5" s="12479" t="inlineStr">
        <is>
          <t>Section 179 Special Allowance, and Other Basis Reductions</t>
        </is>
      </c>
      <c r="AT5" s="12478" t="inlineStr">
        <is>
          <t>Depreciation Prior Years</t>
        </is>
      </c>
      <c r="AU5" s="12478" t="inlineStr">
        <is>
          <t>Basis for Depreciation</t>
        </is>
      </c>
      <c r="AV5" s="12478" t="inlineStr">
        <is>
          <t>Method/ Convention</t>
        </is>
      </c>
      <c r="AW5" s="12478" t="inlineStr">
        <is>
          <t>Recovery Period</t>
        </is>
      </c>
      <c r="AX5" s="12480" t="inlineStr">
        <is>
          <t>Rate or Table
%</t>
        </is>
      </c>
      <c r="AY5" s="12481" t="inlineStr">
        <is>
          <t>Depreciation Deduction</t>
        </is>
      </c>
      <c r="BA5" s="658" t="n"/>
      <c r="BB5" s="658" t="n"/>
      <c r="BC5" s="658" t="n"/>
      <c r="BD5" s="658" t="n"/>
      <c r="BE5" s="658" t="n"/>
      <c r="BF5" s="658" t="n"/>
      <c r="BG5" s="658" t="n"/>
      <c r="BH5" s="658" t="n"/>
      <c r="BI5" s="658" t="n"/>
      <c r="BJ5" s="658" t="n"/>
    </row>
    <row r="6" ht="15.75" customFormat="1" customHeight="1" s="815" thickBot="1">
      <c r="A6" s="2013" t="n"/>
      <c r="B6" s="498" t="inlineStr">
        <is>
          <t>Internal Revenue Service</t>
        </is>
      </c>
      <c r="C6" s="380" t="n"/>
      <c r="D6" s="380" t="n"/>
      <c r="E6" s="380" t="n"/>
      <c r="F6" s="380" t="n"/>
      <c r="G6" s="380" t="n"/>
      <c r="H6" s="381" t="n"/>
      <c r="I6" s="12458" t="inlineStr">
        <is>
          <t>Go to www.irs.gov/Form4562 for instructions and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21" t="inlineStr">
        <is>
          <t xml:space="preserve">Sequence No.  </t>
        </is>
      </c>
      <c r="AE6" s="8848" t="n"/>
      <c r="AF6" s="8848" t="n"/>
      <c r="AG6" s="8848" t="n"/>
      <c r="AH6" s="8848" t="n"/>
      <c r="AI6" s="8848" t="n"/>
      <c r="AJ6" s="380" t="n"/>
      <c r="AK6" s="2013" t="n"/>
      <c r="AL6" s="11602" t="n"/>
      <c r="AM6" s="11602" t="n"/>
      <c r="AN6" s="11602" t="n"/>
      <c r="AO6" s="7636" t="n"/>
      <c r="AP6" s="11747" t="n"/>
      <c r="AQ6" s="11747" t="n"/>
      <c r="AR6" s="11747" t="n"/>
      <c r="AS6" s="11747" t="n"/>
      <c r="AT6" s="11747" t="n"/>
      <c r="AU6" s="11747" t="n"/>
      <c r="AV6" s="11747" t="n"/>
      <c r="AW6" s="11747" t="n"/>
      <c r="AX6" s="11747" t="n"/>
      <c r="AY6" s="4772" t="n"/>
      <c r="BA6" s="658" t="n"/>
      <c r="BB6" s="658" t="n"/>
      <c r="BC6" s="658" t="n"/>
      <c r="BD6" s="658" t="n"/>
      <c r="BE6" s="658" t="n"/>
      <c r="BF6" s="658" t="n"/>
      <c r="BG6" s="658" t="n"/>
      <c r="BH6" s="658" t="n"/>
      <c r="BI6" s="658" t="n"/>
      <c r="BJ6" s="658" t="n"/>
    </row>
    <row r="7" customFormat="1" s="815">
      <c r="A7" s="2013" t="n"/>
      <c r="B7" s="339" t="inlineStr">
        <is>
          <t>Name shown on your return</t>
        </is>
      </c>
      <c r="C7" s="339" t="n"/>
      <c r="D7" s="339" t="n"/>
      <c r="E7" s="339" t="n"/>
      <c r="F7" s="339" t="n"/>
      <c r="G7" s="339" t="n"/>
      <c r="H7" s="339" t="n"/>
      <c r="I7" s="339" t="n"/>
      <c r="J7" s="339" t="n"/>
      <c r="K7" s="339" t="n"/>
      <c r="L7" s="339" t="n"/>
      <c r="M7" s="339" t="n"/>
      <c r="N7" s="339" t="n"/>
      <c r="O7" s="4859" t="n"/>
      <c r="P7" s="4860" t="inlineStr">
        <is>
          <t xml:space="preserve"> Business or activity to which this form relates</t>
        </is>
      </c>
      <c r="Q7" s="339" t="n"/>
      <c r="R7" s="339" t="n"/>
      <c r="S7" s="339" t="n"/>
      <c r="T7" s="339" t="n"/>
      <c r="U7" s="339" t="n"/>
      <c r="V7" s="339" t="n"/>
      <c r="W7" s="339" t="n"/>
      <c r="X7" s="339" t="n"/>
      <c r="Y7" s="377" t="n"/>
      <c r="Z7" s="377" t="n"/>
      <c r="AA7" s="377" t="n"/>
      <c r="AB7" s="4861" t="inlineStr">
        <is>
          <t xml:space="preserve"> Identifying number</t>
        </is>
      </c>
      <c r="AC7" s="377" t="n"/>
      <c r="AD7" s="2289" t="n"/>
      <c r="AE7" s="2289" t="n"/>
      <c r="AF7" s="2289" t="n"/>
      <c r="AG7" s="2289" t="n"/>
      <c r="AH7" s="2289" t="n"/>
      <c r="AI7" s="2289" t="n"/>
      <c r="AJ7" s="2289" t="n"/>
      <c r="AK7" s="2013" t="n"/>
      <c r="AL7" s="11602" t="n"/>
      <c r="AM7" s="11602" t="n"/>
      <c r="AN7" s="11602" t="n"/>
      <c r="AO7" s="7636" t="n"/>
      <c r="AP7" s="11747" t="n"/>
      <c r="AQ7" s="11747" t="n"/>
      <c r="AR7" s="11747" t="n"/>
      <c r="AS7" s="11747" t="n"/>
      <c r="AT7" s="11747" t="n"/>
      <c r="AU7" s="11747" t="n"/>
      <c r="AV7" s="11747" t="n"/>
      <c r="AW7" s="11747" t="n"/>
      <c r="AX7" s="11747" t="n"/>
      <c r="AY7" s="4772" t="n"/>
      <c r="BA7" s="658" t="n"/>
      <c r="BB7" s="658" t="n"/>
      <c r="BC7" s="658" t="n"/>
      <c r="BD7" s="658" t="n"/>
      <c r="BE7" s="658" t="n"/>
      <c r="BF7" s="658" t="n"/>
      <c r="BG7" s="658" t="n"/>
      <c r="BH7" s="658" t="n"/>
      <c r="BI7" s="658" t="n"/>
      <c r="BJ7" s="658" t="n"/>
    </row>
    <row r="8" ht="17.25" customFormat="1" customHeight="1" s="815">
      <c r="A8" s="2013" t="n"/>
      <c r="B8" s="10195">
        <f>Names</f>
        <v/>
      </c>
      <c r="C8" s="7637" t="n"/>
      <c r="D8" s="7637" t="n"/>
      <c r="E8" s="7637" t="n"/>
      <c r="F8" s="7637" t="n"/>
      <c r="G8" s="7637" t="n"/>
      <c r="H8" s="7637" t="n"/>
      <c r="I8" s="7637" t="n"/>
      <c r="J8" s="7637" t="n"/>
      <c r="K8" s="7637" t="n"/>
      <c r="L8" s="7637" t="n"/>
      <c r="M8" s="7637" t="n"/>
      <c r="N8" s="7637" t="n"/>
      <c r="O8" s="7638" t="n"/>
      <c r="P8" s="12482" t="n"/>
      <c r="Q8" s="11717" t="n"/>
      <c r="R8" s="11717" t="n"/>
      <c r="S8" s="11717" t="n"/>
      <c r="T8" s="11717" t="n"/>
      <c r="U8" s="11717" t="n"/>
      <c r="V8" s="11717" t="n"/>
      <c r="W8" s="11717" t="n"/>
      <c r="X8" s="11717" t="n"/>
      <c r="Y8" s="11717" t="n"/>
      <c r="Z8" s="11717" t="n"/>
      <c r="AA8" s="11718" t="n"/>
      <c r="AB8" s="10199" t="n"/>
      <c r="AC8" s="11717" t="n"/>
      <c r="AD8" s="11717" t="n"/>
      <c r="AE8" s="11717" t="n"/>
      <c r="AF8" s="11717" t="n"/>
      <c r="AG8" s="11717" t="n"/>
      <c r="AH8" s="11717" t="n"/>
      <c r="AI8" s="11717" t="n"/>
      <c r="AJ8" s="11717" t="n"/>
      <c r="AK8" s="2013" t="n"/>
      <c r="AL8" s="11602" t="n"/>
      <c r="AM8" s="11602" t="n"/>
      <c r="AN8" s="11602" t="n"/>
      <c r="AO8" s="7636" t="n"/>
      <c r="AP8" s="11747" t="n"/>
      <c r="AQ8" s="11747" t="n"/>
      <c r="AR8" s="11747" t="n"/>
      <c r="AS8" s="11747" t="n"/>
      <c r="AT8" s="11747" t="n"/>
      <c r="AU8" s="11747" t="n"/>
      <c r="AV8" s="11747" t="n"/>
      <c r="AW8" s="11747" t="n"/>
      <c r="AX8" s="11747" t="n"/>
      <c r="AY8" s="4772" t="n"/>
      <c r="BA8" s="658" t="n"/>
      <c r="BB8" s="658" t="n"/>
      <c r="BC8" s="658" t="n"/>
      <c r="BD8" s="658" t="n"/>
      <c r="BE8" s="658" t="n"/>
      <c r="BF8" s="658" t="n"/>
      <c r="BG8" s="658" t="n"/>
      <c r="BH8" s="658" t="n"/>
      <c r="BI8" s="658" t="n"/>
      <c r="BJ8" s="658" t="n"/>
    </row>
    <row r="9" ht="15.75" customFormat="1" customHeight="1" s="1115">
      <c r="A9" s="2290" t="n"/>
      <c r="B9" s="7639" t="inlineStr">
        <is>
          <t>Part I</t>
        </is>
      </c>
      <c r="C9" s="7839" t="n"/>
      <c r="D9" s="4862" t="n"/>
      <c r="E9" s="2377" t="inlineStr">
        <is>
          <t>Election To Expense Certain Property Under Section 179</t>
        </is>
      </c>
      <c r="F9" s="2291" t="n"/>
      <c r="G9" s="2291" t="n"/>
      <c r="H9" s="2291" t="n"/>
      <c r="I9" s="2291" t="n"/>
      <c r="J9" s="2291" t="n"/>
      <c r="K9" s="2291" t="n"/>
      <c r="L9" s="2291" t="n"/>
      <c r="M9" s="2291" t="n"/>
      <c r="N9" s="2291" t="n"/>
      <c r="O9" s="2291" t="n"/>
      <c r="P9" s="2291" t="n"/>
      <c r="Q9" s="2291" t="n"/>
      <c r="R9" s="2291" t="n"/>
      <c r="S9" s="2291" t="n"/>
      <c r="T9" s="2291" t="n"/>
      <c r="U9" s="2291" t="n"/>
      <c r="V9" s="2291" t="n"/>
      <c r="W9" s="2291" t="n"/>
      <c r="X9" s="2291" t="n"/>
      <c r="Y9" s="2291" t="n"/>
      <c r="Z9" s="2291" t="n"/>
      <c r="AA9" s="2291" t="n"/>
      <c r="AB9" s="2291" t="n"/>
      <c r="AC9" s="2291" t="n"/>
      <c r="AD9" s="2291" t="n"/>
      <c r="AE9" s="2291" t="n"/>
      <c r="AF9" s="2291" t="n"/>
      <c r="AG9" s="2291" t="n"/>
      <c r="AH9" s="2291" t="n"/>
      <c r="AI9" s="2292" t="n"/>
      <c r="AJ9" s="2292" t="n"/>
      <c r="AK9" s="2290" t="n"/>
      <c r="AL9" s="11602" t="n"/>
      <c r="AM9" s="11602" t="n"/>
      <c r="AN9" s="11602" t="n"/>
      <c r="AO9" s="7638" t="n"/>
      <c r="AP9" s="11934" t="n"/>
      <c r="AQ9" s="11934" t="n"/>
      <c r="AR9" s="11934" t="n"/>
      <c r="AS9" s="11934" t="n"/>
      <c r="AT9" s="11934" t="n"/>
      <c r="AU9" s="11934" t="n"/>
      <c r="AV9" s="11934" t="n"/>
      <c r="AW9" s="11934" t="n"/>
      <c r="AX9" s="11934" t="n"/>
      <c r="AY9" s="3614" t="n"/>
      <c r="BA9" s="658" t="n"/>
      <c r="BB9" s="658" t="n"/>
      <c r="BC9" s="658" t="n"/>
      <c r="BD9" s="658" t="n"/>
      <c r="BE9" s="658" t="n"/>
      <c r="BF9" s="658" t="n"/>
      <c r="BG9" s="658" t="n"/>
      <c r="BH9" s="658" t="n"/>
      <c r="BI9" s="658" t="n"/>
      <c r="BJ9" s="658" t="n"/>
      <c r="BK9" s="2293" t="n"/>
    </row>
    <row r="10" ht="15.75" customFormat="1" customHeight="1" s="1115">
      <c r="A10" s="2290" t="n"/>
      <c r="B10" s="2294" t="n"/>
      <c r="C10" s="2294" t="n"/>
      <c r="D10" s="2295" t="n"/>
      <c r="E10" s="2296" t="inlineStr">
        <is>
          <t>Note: If you have any listed property, complete Part V before you complete Part I.</t>
        </is>
      </c>
      <c r="F10" s="2294" t="n"/>
      <c r="G10" s="2294" t="n"/>
      <c r="H10" s="2294" t="n"/>
      <c r="I10" s="2294" t="n"/>
      <c r="J10" s="2294" t="n"/>
      <c r="K10" s="2294" t="n"/>
      <c r="L10" s="2294" t="n"/>
      <c r="M10" s="2294" t="n"/>
      <c r="N10" s="2294" t="n"/>
      <c r="O10" s="2294" t="n"/>
      <c r="P10" s="2294" t="n"/>
      <c r="Q10" s="2294" t="n"/>
      <c r="R10" s="2294" t="n"/>
      <c r="S10" s="2294" t="n"/>
      <c r="T10" s="2294" t="n"/>
      <c r="U10" s="2294" t="n"/>
      <c r="V10" s="2294" t="n"/>
      <c r="W10" s="2294" t="n"/>
      <c r="X10" s="2294" t="n"/>
      <c r="Y10" s="2294" t="n"/>
      <c r="Z10" s="2294" t="n"/>
      <c r="AA10" s="2294" t="n"/>
      <c r="AB10" s="2294" t="n"/>
      <c r="AC10" s="2294" t="n"/>
      <c r="AD10" s="2294" t="n"/>
      <c r="AE10" s="2294" t="n"/>
      <c r="AF10" s="2294" t="n"/>
      <c r="AG10" s="2294" t="n"/>
      <c r="AH10" s="2294" t="n"/>
      <c r="AI10" s="2297" t="n"/>
      <c r="AJ10" s="2297" t="n"/>
      <c r="AK10" s="2290" t="n"/>
      <c r="AL10" s="11602" t="n"/>
      <c r="AM10" s="11602" t="n"/>
      <c r="AN10" s="11602" t="n"/>
      <c r="AO10" s="1234" t="n"/>
      <c r="AP10" s="12483" t="n"/>
      <c r="AQ10" s="1235" t="n"/>
      <c r="AR10" s="12484" t="n"/>
      <c r="AS10" s="1235" t="n"/>
      <c r="AT10" s="1235" t="n"/>
      <c r="AU10" s="1235" t="n"/>
      <c r="AV10" s="4956" t="n"/>
      <c r="AW10" s="4956" t="n"/>
      <c r="AX10" s="12484" t="n"/>
      <c r="AY10" s="1236" t="n"/>
      <c r="BA10" s="658" t="n"/>
      <c r="BB10" s="658" t="n"/>
      <c r="BC10" s="658" t="n"/>
      <c r="BD10" s="658" t="n"/>
      <c r="BE10" s="658" t="n"/>
      <c r="BF10" s="658" t="n"/>
      <c r="BG10" s="658" t="n"/>
      <c r="BH10" s="658" t="n"/>
      <c r="BI10" s="658" t="n"/>
      <c r="BJ10" s="658" t="n"/>
      <c r="BK10" s="2293" t="n"/>
    </row>
    <row r="11" ht="15.75" customFormat="1" customHeight="1" s="815">
      <c r="A11" s="2013" t="n"/>
      <c r="B11" s="9988" t="n">
        <v>1</v>
      </c>
      <c r="C11" s="9847" t="inlineStr">
        <is>
          <t>Maximum amount (see instructions)</t>
        </is>
      </c>
      <c r="D11" s="9847" t="n"/>
      <c r="E11" s="344" t="n"/>
      <c r="F11" s="344" t="n"/>
      <c r="G11" s="344" t="n"/>
      <c r="H11" s="344" t="n"/>
      <c r="I11" s="344" t="n"/>
      <c r="J11" s="344" t="n"/>
      <c r="K11" s="344" t="n"/>
      <c r="L11" s="344" t="n"/>
      <c r="M11" s="344" t="n"/>
      <c r="N11" s="344" t="n"/>
      <c r="O11" s="344" t="n"/>
      <c r="P11" s="344" t="n"/>
      <c r="Q11" s="344" t="n"/>
      <c r="R11" s="344" t="n"/>
      <c r="S11" s="344" t="n"/>
      <c r="T11" s="344" t="n"/>
      <c r="U11" s="344" t="n"/>
      <c r="V11" s="344" t="n"/>
      <c r="W11" s="344" t="n"/>
      <c r="X11" s="344" t="n"/>
      <c r="Y11" s="344" t="n"/>
      <c r="Z11" s="344" t="n"/>
      <c r="AA11" s="1401" t="inlineStr">
        <is>
          <t xml:space="preserve">.   .   .   .   .   .   .   .   .   .   .   .   .   .   .   .   .   .   .   .   .   .   .   .   .   .   .   .  </t>
        </is>
      </c>
      <c r="AB11" s="4452" t="n">
        <v>1</v>
      </c>
      <c r="AC11" s="10091" t="n"/>
      <c r="AD11" s="7575" t="n"/>
      <c r="AE11" s="8007" t="n"/>
      <c r="AF11" s="8007" t="n"/>
      <c r="AG11" s="8007" t="n"/>
      <c r="AH11" s="8007" t="n"/>
      <c r="AI11" s="8007" t="n"/>
      <c r="AJ11" s="8007" t="n"/>
      <c r="AK11" s="2013" t="n"/>
      <c r="AL11" s="11602" t="n"/>
      <c r="AM11" s="11602" t="n"/>
      <c r="AN11" s="11602" t="n"/>
      <c r="AO11" s="1234" t="n"/>
      <c r="AP11" s="12483" t="n"/>
      <c r="AQ11" s="1235" t="n"/>
      <c r="AR11" s="12484" t="n"/>
      <c r="AS11" s="1235" t="n"/>
      <c r="AT11" s="1235" t="n"/>
      <c r="AU11" s="1235" t="n"/>
      <c r="AV11" s="4956" t="n"/>
      <c r="AW11" s="4956" t="n"/>
      <c r="AX11" s="12484" t="n"/>
      <c r="AY11" s="1236" t="n"/>
      <c r="BA11" s="658" t="n"/>
      <c r="BB11" s="658" t="n"/>
      <c r="BC11" s="658" t="n"/>
      <c r="BD11" s="658" t="n"/>
      <c r="BE11" s="658" t="n"/>
      <c r="BF11" s="658" t="n"/>
      <c r="BG11" s="658" t="n"/>
      <c r="BH11" s="658" t="n"/>
      <c r="BI11" s="658" t="n"/>
      <c r="BJ11" s="658" t="n"/>
    </row>
    <row r="12" ht="15.75" customFormat="1" customHeight="1" s="815">
      <c r="A12" s="2013" t="n"/>
      <c r="B12" s="9988" t="n">
        <v>2</v>
      </c>
      <c r="C12" s="7865" t="inlineStr">
        <is>
          <t>Total cost of section 179 property placed in service (see instructions)</t>
        </is>
      </c>
      <c r="D12" s="344" t="n"/>
      <c r="E12" s="344" t="n"/>
      <c r="F12" s="344" t="n"/>
      <c r="G12" s="344" t="n"/>
      <c r="H12" s="344" t="n"/>
      <c r="I12" s="344" t="n"/>
      <c r="J12" s="344" t="n"/>
      <c r="K12" s="344" t="n"/>
      <c r="L12" s="344" t="n"/>
      <c r="M12" s="344" t="n"/>
      <c r="N12" s="344" t="n"/>
      <c r="O12" s="344" t="n"/>
      <c r="P12" s="344" t="n"/>
      <c r="Q12" s="344" t="n"/>
      <c r="R12" s="344" t="n"/>
      <c r="S12" s="344" t="n"/>
      <c r="T12" s="344" t="n"/>
      <c r="U12" s="344" t="n"/>
      <c r="V12" s="344" t="n"/>
      <c r="W12" s="344" t="n"/>
      <c r="X12" s="344" t="n"/>
      <c r="Y12" s="344" t="n"/>
      <c r="Z12" s="344" t="n"/>
      <c r="AA12" s="1401" t="inlineStr">
        <is>
          <t xml:space="preserve">.   .   .   .   .   .   .   .   .   .   .   .   .  </t>
        </is>
      </c>
      <c r="AB12" s="4452" t="n">
        <v>2</v>
      </c>
      <c r="AC12" s="10091" t="n"/>
      <c r="AD12" s="7575" t="n"/>
      <c r="AE12" s="8007" t="n"/>
      <c r="AF12" s="8007" t="n"/>
      <c r="AG12" s="8007" t="n"/>
      <c r="AH12" s="8007" t="n"/>
      <c r="AI12" s="8007" t="n"/>
      <c r="AJ12" s="8007" t="n"/>
      <c r="AK12" s="2013" t="n"/>
      <c r="AL12" s="11602" t="n"/>
      <c r="AM12" s="11602" t="n"/>
      <c r="AN12" s="11602" t="n"/>
      <c r="AO12" s="1234" t="n"/>
      <c r="AP12" s="12483" t="n"/>
      <c r="AQ12" s="1235" t="n"/>
      <c r="AR12" s="12484" t="n"/>
      <c r="AS12" s="1235" t="n"/>
      <c r="AT12" s="1235" t="n"/>
      <c r="AU12" s="1235" t="n"/>
      <c r="AV12" s="4956" t="n"/>
      <c r="AW12" s="4956" t="n"/>
      <c r="AX12" s="12484" t="n"/>
      <c r="AY12" s="1236" t="n"/>
      <c r="BA12" s="658" t="n"/>
      <c r="BB12" s="658" t="n"/>
      <c r="BC12" s="658" t="n"/>
      <c r="BD12" s="658" t="n"/>
      <c r="BE12" s="658" t="n"/>
      <c r="BF12" s="658" t="n"/>
      <c r="BG12" s="658" t="n"/>
      <c r="BH12" s="658" t="n"/>
      <c r="BI12" s="658" t="n"/>
      <c r="BJ12" s="658" t="n"/>
    </row>
    <row r="13" ht="15.75" customFormat="1" customHeight="1" s="815">
      <c r="A13" s="2013" t="n"/>
      <c r="B13" s="9988" t="n">
        <v>3</v>
      </c>
      <c r="C13" s="2299" t="inlineStr">
        <is>
          <t>Threshold cost of section 179 property before reduction in limitation (see instructions)</t>
        </is>
      </c>
      <c r="D13" s="8650" t="n"/>
      <c r="E13" s="344" t="n"/>
      <c r="F13" s="344" t="n"/>
      <c r="G13" s="344" t="n"/>
      <c r="H13" s="344" t="n"/>
      <c r="I13" s="344" t="n"/>
      <c r="J13" s="344" t="n"/>
      <c r="K13" s="344" t="n"/>
      <c r="L13" s="344" t="n"/>
      <c r="M13" s="344" t="n"/>
      <c r="N13" s="344" t="n"/>
      <c r="O13" s="344" t="n"/>
      <c r="P13" s="344" t="n"/>
      <c r="Q13" s="344" t="n"/>
      <c r="R13" s="344" t="n"/>
      <c r="S13" s="344" t="n"/>
      <c r="T13" s="344" t="n"/>
      <c r="U13" s="344" t="n"/>
      <c r="V13" s="344" t="n"/>
      <c r="W13" s="344" t="n"/>
      <c r="X13" s="344" t="n"/>
      <c r="Y13" s="344" t="n"/>
      <c r="Z13" s="344" t="n"/>
      <c r="AA13" s="1401" t="inlineStr">
        <is>
          <t xml:space="preserve">.   .   .   .   .   .  </t>
        </is>
      </c>
      <c r="AB13" s="4452" t="n">
        <v>3</v>
      </c>
      <c r="AC13" s="10091" t="n"/>
      <c r="AD13" s="7575" t="n"/>
      <c r="AE13" s="8007" t="n"/>
      <c r="AF13" s="8007" t="n"/>
      <c r="AG13" s="8007" t="n"/>
      <c r="AH13" s="8007" t="n"/>
      <c r="AI13" s="8007" t="n"/>
      <c r="AJ13" s="8007" t="n"/>
      <c r="AK13" s="2013" t="n"/>
      <c r="AL13" s="11602" t="n"/>
      <c r="AM13" s="11602" t="n"/>
      <c r="AN13" s="11602" t="n"/>
      <c r="AO13" s="1234" t="n"/>
      <c r="AP13" s="12483" t="n"/>
      <c r="AQ13" s="1235" t="n"/>
      <c r="AR13" s="12484" t="n"/>
      <c r="AS13" s="1235" t="n"/>
      <c r="AT13" s="1235" t="n"/>
      <c r="AU13" s="1235" t="n"/>
      <c r="AV13" s="4956" t="n"/>
      <c r="AW13" s="4956" t="n"/>
      <c r="AX13" s="12484" t="n"/>
      <c r="AY13" s="1236" t="n"/>
      <c r="BA13" s="658" t="n"/>
      <c r="BB13" s="658" t="n"/>
      <c r="BC13" s="658" t="n"/>
      <c r="BD13" s="658" t="n"/>
      <c r="BE13" s="658" t="n"/>
      <c r="BF13" s="658" t="n"/>
      <c r="BG13" s="658" t="n"/>
      <c r="BH13" s="658" t="n"/>
      <c r="BI13" s="658" t="n"/>
      <c r="BJ13" s="658" t="n"/>
    </row>
    <row r="14" ht="15.75" customFormat="1" customHeight="1" s="815">
      <c r="A14" s="2013" t="n"/>
      <c r="B14" s="9988" t="n">
        <v>4</v>
      </c>
      <c r="C14" s="2299" t="inlineStr">
        <is>
          <t>Reduction in limitation. Subtract line 3 from line 2. If zero or less, enter -0-</t>
        </is>
      </c>
      <c r="D14" s="8650" t="n"/>
      <c r="E14" s="344" t="n"/>
      <c r="F14" s="344" t="n"/>
      <c r="G14" s="344" t="n"/>
      <c r="H14" s="344" t="n"/>
      <c r="I14" s="344" t="n"/>
      <c r="J14" s="344" t="n"/>
      <c r="K14" s="344" t="n"/>
      <c r="L14" s="344" t="n"/>
      <c r="M14" s="344" t="n"/>
      <c r="N14" s="344" t="n"/>
      <c r="O14" s="344" t="n"/>
      <c r="P14" s="344" t="n"/>
      <c r="Q14" s="344" t="n"/>
      <c r="R14" s="344" t="n"/>
      <c r="S14" s="2300" t="n"/>
      <c r="T14" s="344" t="n"/>
      <c r="U14" s="344" t="n"/>
      <c r="V14" s="344" t="n"/>
      <c r="W14" s="9750" t="n"/>
      <c r="X14" s="1205" t="n"/>
      <c r="Y14" s="1205" t="n"/>
      <c r="Z14" s="1205" t="n"/>
      <c r="AA14" s="1401" t="inlineStr">
        <is>
          <t xml:space="preserve">.   .   .   .   .   .   .   .   .   .  </t>
        </is>
      </c>
      <c r="AB14" s="4452" t="n">
        <v>4</v>
      </c>
      <c r="AC14" s="10091" t="n"/>
      <c r="AD14" s="7631">
        <f>IF(AND(AD12="",AD13=""),"",MAX(0,SUM(AD12,-AD13)))</f>
        <v/>
      </c>
      <c r="AE14" s="8412" t="n"/>
      <c r="AF14" s="8412" t="n"/>
      <c r="AG14" s="8412" t="n"/>
      <c r="AH14" s="8412" t="n"/>
      <c r="AI14" s="8412" t="n"/>
      <c r="AJ14" s="8412" t="n"/>
      <c r="AK14" s="2013" t="n"/>
      <c r="AL14" s="11602" t="n"/>
      <c r="AM14" s="226" t="inlineStr">
        <is>
          <t>Manual</t>
        </is>
      </c>
      <c r="AN14" s="11602" t="n"/>
      <c r="AO14" s="1234" t="n"/>
      <c r="AP14" s="12483" t="n"/>
      <c r="AQ14" s="1235" t="n"/>
      <c r="AR14" s="12484" t="n"/>
      <c r="AS14" s="1235" t="n"/>
      <c r="AT14" s="1235" t="n"/>
      <c r="AU14" s="1235" t="n"/>
      <c r="AV14" s="4956" t="n"/>
      <c r="AW14" s="4956" t="n"/>
      <c r="AX14" s="12484" t="n"/>
      <c r="AY14" s="1236" t="n"/>
      <c r="BA14" s="658" t="n"/>
      <c r="BB14" s="658" t="n"/>
      <c r="BC14" s="658" t="n"/>
      <c r="BD14" s="658" t="n"/>
      <c r="BE14" s="658" t="n"/>
      <c r="BF14" s="658" t="n"/>
      <c r="BG14" s="658" t="n"/>
      <c r="BH14" s="658" t="n"/>
      <c r="BI14" s="658" t="n"/>
      <c r="BJ14" s="658" t="n"/>
    </row>
    <row r="15" ht="15.75" customFormat="1" customHeight="1" s="815" thickBot="1">
      <c r="A15" s="2013" t="n"/>
      <c r="B15" s="9988" t="n">
        <v>5</v>
      </c>
      <c r="C15" s="2299" t="inlineStr">
        <is>
          <t>Dollar limitation for tax year. Subtract line 4 from line 1. If zero or less, enter -0-. If married filing</t>
        </is>
      </c>
      <c r="D15" s="8650" t="n"/>
      <c r="E15" s="344" t="n"/>
      <c r="F15" s="344" t="n"/>
      <c r="G15" s="344" t="n"/>
      <c r="H15" s="344" t="n"/>
      <c r="I15" s="344" t="n"/>
      <c r="J15" s="344" t="n"/>
      <c r="K15" s="1061" t="n"/>
      <c r="L15" s="2300" t="n"/>
      <c r="M15" s="2301" t="n"/>
      <c r="N15" s="1061" t="n"/>
      <c r="O15" s="1061" t="n"/>
      <c r="P15" s="1061" t="n"/>
      <c r="Q15" s="1061" t="n"/>
      <c r="R15" s="1061" t="n"/>
      <c r="S15" s="344" t="n"/>
      <c r="T15" s="344" t="n"/>
      <c r="U15" s="344" t="n"/>
      <c r="V15" s="1061" t="n"/>
      <c r="W15" s="9750" t="n"/>
      <c r="X15" s="2302" t="n"/>
      <c r="Y15" s="8747" t="n"/>
      <c r="Z15" s="8747" t="n"/>
      <c r="AA15" s="8747" t="n"/>
      <c r="AB15" s="4452" t="n"/>
      <c r="AC15" s="10091" t="n"/>
      <c r="AD15" s="566" t="n"/>
      <c r="AE15" s="1205" t="n"/>
      <c r="AF15" s="1205" t="n"/>
      <c r="AG15" s="1205" t="n"/>
      <c r="AH15" s="1205" t="n"/>
      <c r="AI15" s="1205" t="n"/>
      <c r="AJ15" s="1205" t="n"/>
      <c r="AK15" s="2013" t="n"/>
      <c r="AL15" s="11602" t="n"/>
      <c r="AM15" s="226" t="inlineStr">
        <is>
          <t>Override ê</t>
        </is>
      </c>
      <c r="AN15" s="11602" t="n"/>
      <c r="AO15" s="1234" t="n"/>
      <c r="AP15" s="12483" t="n"/>
      <c r="AQ15" s="1235" t="n"/>
      <c r="AR15" s="12484" t="n"/>
      <c r="AS15" s="1235" t="n"/>
      <c r="AT15" s="1235" t="n"/>
      <c r="AU15" s="1235" t="n"/>
      <c r="AV15" s="4956" t="n"/>
      <c r="AW15" s="4956" t="n"/>
      <c r="AX15" s="12484" t="n"/>
      <c r="AY15" s="1236" t="n"/>
      <c r="BA15" s="658" t="n"/>
      <c r="BB15" s="658" t="n"/>
      <c r="BC15" s="658" t="n"/>
      <c r="BD15" s="658" t="n"/>
      <c r="BE15" s="658" t="n"/>
      <c r="BF15" s="658" t="n"/>
      <c r="BG15" s="658" t="n"/>
      <c r="BH15" s="658" t="n"/>
      <c r="BI15" s="658" t="n"/>
      <c r="BJ15" s="658" t="n"/>
    </row>
    <row r="16" ht="15.75" customFormat="1" customHeight="1" s="815" thickBot="1">
      <c r="A16" s="2013" t="n"/>
      <c r="B16" s="8595" t="n"/>
      <c r="C16" s="6023" t="inlineStr">
        <is>
          <t>separately, see instructions</t>
        </is>
      </c>
      <c r="D16" s="1996" t="n"/>
      <c r="E16" s="569" t="n"/>
      <c r="F16" s="569" t="n"/>
      <c r="G16" s="569" t="n"/>
      <c r="H16" s="569" t="n"/>
      <c r="I16" s="569" t="n"/>
      <c r="J16" s="569" t="n"/>
      <c r="K16" s="569" t="n"/>
      <c r="L16" s="569" t="n"/>
      <c r="M16" s="569" t="n"/>
      <c r="N16" s="569" t="n"/>
      <c r="O16" s="569" t="n"/>
      <c r="P16" s="569" t="n"/>
      <c r="Q16" s="569" t="n"/>
      <c r="R16" s="569" t="n"/>
      <c r="S16" s="569" t="n"/>
      <c r="T16" s="569" t="n"/>
      <c r="U16" s="569" t="n"/>
      <c r="V16" s="569" t="n"/>
      <c r="W16" s="2304" t="n"/>
      <c r="X16" s="569" t="n"/>
      <c r="Y16" s="569" t="n"/>
      <c r="Z16" s="569" t="n"/>
      <c r="AA16" s="1401" t="inlineStr">
        <is>
          <t xml:space="preserve">.   .   .   .   .   .   .   .   .   .   .   .   .   .   .   .   .   .   .   .   .   .   .   .   .   .   .   .   .   .   .  </t>
        </is>
      </c>
      <c r="AB16" s="8389" t="n">
        <v>5</v>
      </c>
      <c r="AC16" s="7638" t="n"/>
      <c r="AD16" s="7773">
        <f>IF(AM16&lt;&gt;"",ROUND(AM16,0),IF(AND(AD11="",AD12="",AD13=""),"",IF(AND(AD12="",AD13=""),AD11,MAX(0,SUM(AD11,-AD14)))))</f>
        <v/>
      </c>
      <c r="AE16" s="7637" t="n"/>
      <c r="AF16" s="7637" t="n"/>
      <c r="AG16" s="7637" t="n"/>
      <c r="AH16" s="7637" t="n"/>
      <c r="AI16" s="7637" t="n"/>
      <c r="AJ16" s="7637" t="n"/>
      <c r="AK16" s="2013" t="n"/>
      <c r="AL16" s="11602" t="n"/>
      <c r="AM16" s="1237" t="n"/>
      <c r="AN16" s="11602" t="n"/>
      <c r="AO16" s="1234" t="n"/>
      <c r="AP16" s="12483" t="n"/>
      <c r="AQ16" s="1235" t="n"/>
      <c r="AR16" s="12484" t="n"/>
      <c r="AS16" s="1235" t="n"/>
      <c r="AT16" s="1235" t="n"/>
      <c r="AU16" s="1235" t="n"/>
      <c r="AV16" s="4956" t="n"/>
      <c r="AW16" s="4956" t="n"/>
      <c r="AX16" s="12484" t="n"/>
      <c r="AY16" s="1236" t="n"/>
      <c r="BA16" s="658" t="n"/>
      <c r="BB16" s="658" t="n"/>
      <c r="BC16" s="658" t="n"/>
      <c r="BD16" s="658" t="n"/>
      <c r="BE16" s="658" t="n"/>
      <c r="BF16" s="658" t="n"/>
      <c r="BG16" s="658" t="n"/>
      <c r="BH16" s="658" t="n"/>
      <c r="BI16" s="658" t="n"/>
      <c r="BJ16" s="658" t="n"/>
    </row>
    <row r="17" ht="15.75" customFormat="1" customHeight="1" s="815">
      <c r="A17" s="2013" t="n"/>
      <c r="B17" s="4864" t="n">
        <v>6</v>
      </c>
      <c r="C17" s="12485" t="inlineStr">
        <is>
          <t>(a) Description of property</t>
        </is>
      </c>
      <c r="D17" s="8412" t="n"/>
      <c r="E17" s="8412" t="n"/>
      <c r="F17" s="8412" t="n"/>
      <c r="G17" s="8412" t="n"/>
      <c r="H17" s="8412" t="n"/>
      <c r="I17" s="8412" t="n"/>
      <c r="J17" s="8412" t="n"/>
      <c r="K17" s="8412" t="n"/>
      <c r="L17" s="8412" t="n"/>
      <c r="M17" s="8412" t="n"/>
      <c r="N17" s="8412" t="n"/>
      <c r="O17" s="11734" t="n"/>
      <c r="P17" s="12486" t="inlineStr">
        <is>
          <t>(b) Cost (business use only)</t>
        </is>
      </c>
      <c r="Q17" s="8412" t="n"/>
      <c r="R17" s="8412" t="n"/>
      <c r="S17" s="8412" t="n"/>
      <c r="T17" s="8412" t="n"/>
      <c r="U17" s="11734" t="n"/>
      <c r="V17" s="12487" t="inlineStr">
        <is>
          <t>(c) Elected cost</t>
        </is>
      </c>
      <c r="W17" s="8412" t="n"/>
      <c r="X17" s="8412" t="n"/>
      <c r="Y17" s="8412" t="n"/>
      <c r="Z17" s="8412" t="n"/>
      <c r="AA17" s="8412" t="n"/>
      <c r="AB17" s="8412" t="n"/>
      <c r="AC17" s="11734" t="n"/>
      <c r="AD17" s="4168" t="n"/>
      <c r="AE17" s="4168" t="n"/>
      <c r="AF17" s="4168" t="n"/>
      <c r="AG17" s="4168" t="n"/>
      <c r="AH17" s="4168" t="n"/>
      <c r="AI17" s="4168" t="n"/>
      <c r="AJ17" s="4168" t="n"/>
      <c r="AK17" s="2013" t="n"/>
      <c r="AL17" s="11602" t="n"/>
      <c r="AM17" s="11602" t="n"/>
      <c r="AN17" s="11602" t="n"/>
      <c r="AO17" s="1234" t="n"/>
      <c r="AP17" s="12483" t="n"/>
      <c r="AQ17" s="1235" t="n"/>
      <c r="AR17" s="12484" t="n"/>
      <c r="AS17" s="1235" t="n"/>
      <c r="AT17" s="1235" t="n"/>
      <c r="AU17" s="1235" t="n"/>
      <c r="AV17" s="4956" t="n"/>
      <c r="AW17" s="4956" t="n"/>
      <c r="AX17" s="12484" t="n"/>
      <c r="AY17" s="1236" t="n"/>
      <c r="BA17" s="658" t="n"/>
      <c r="BB17" s="658" t="n"/>
      <c r="BC17" s="658" t="n"/>
      <c r="BD17" s="658" t="n"/>
      <c r="BE17" s="658" t="n"/>
      <c r="BF17" s="658" t="n"/>
      <c r="BG17" s="658" t="n"/>
      <c r="BH17" s="658" t="n"/>
      <c r="BI17" s="658" t="n"/>
      <c r="BJ17" s="658" t="n"/>
    </row>
    <row r="18" ht="15.75" customFormat="1" customHeight="1" s="815">
      <c r="A18" s="2013" t="n"/>
      <c r="B18" s="8397" t="n"/>
      <c r="C18" s="8007" t="n"/>
      <c r="D18" s="8007" t="n"/>
      <c r="E18" s="8007" t="n"/>
      <c r="F18" s="8007" t="n"/>
      <c r="G18" s="8007" t="n"/>
      <c r="H18" s="8007" t="n"/>
      <c r="I18" s="8007" t="n"/>
      <c r="J18" s="8007" t="n"/>
      <c r="K18" s="8007" t="n"/>
      <c r="L18" s="8007" t="n"/>
      <c r="M18" s="8007" t="n"/>
      <c r="N18" s="8007" t="n"/>
      <c r="O18" s="8008" t="n"/>
      <c r="P18" s="10172" t="n"/>
      <c r="Q18" s="8007" t="n"/>
      <c r="R18" s="8007" t="n"/>
      <c r="S18" s="8007" t="n"/>
      <c r="T18" s="8007" t="n"/>
      <c r="U18" s="8008" t="n"/>
      <c r="V18" s="12488" t="n"/>
      <c r="W18" s="8007" t="n"/>
      <c r="X18" s="8007" t="n"/>
      <c r="Y18" s="8007" t="n"/>
      <c r="Z18" s="8007" t="n"/>
      <c r="AA18" s="8007" t="n"/>
      <c r="AB18" s="8007" t="n"/>
      <c r="AC18" s="8008" t="n"/>
      <c r="AD18" s="4168" t="n"/>
      <c r="AE18" s="4168" t="n"/>
      <c r="AF18" s="4168" t="n"/>
      <c r="AG18" s="4168" t="n"/>
      <c r="AH18" s="4168" t="n"/>
      <c r="AI18" s="4168" t="n"/>
      <c r="AJ18" s="4168" t="n"/>
      <c r="AK18" s="2013" t="n"/>
      <c r="AL18" s="11602" t="n"/>
      <c r="AM18" s="226" t="inlineStr">
        <is>
          <t>Manual</t>
        </is>
      </c>
      <c r="AN18" s="11602" t="n"/>
      <c r="AO18" s="1234" t="n"/>
      <c r="AP18" s="12483" t="n"/>
      <c r="AQ18" s="1235" t="n"/>
      <c r="AR18" s="12484" t="n"/>
      <c r="AS18" s="1235" t="n"/>
      <c r="AT18" s="1235" t="n"/>
      <c r="AU18" s="1235" t="n"/>
      <c r="AV18" s="4956" t="n"/>
      <c r="AW18" s="4956" t="n"/>
      <c r="AX18" s="12484" t="n"/>
      <c r="AY18" s="1236" t="n"/>
      <c r="BA18" s="658" t="n"/>
      <c r="BB18" s="658" t="n"/>
      <c r="BC18" s="658" t="n"/>
      <c r="BD18" s="658" t="n"/>
      <c r="BE18" s="658" t="n"/>
      <c r="BF18" s="658" t="n"/>
      <c r="BG18" s="658" t="n"/>
      <c r="BH18" s="658" t="n"/>
      <c r="BI18" s="658" t="n"/>
      <c r="BJ18" s="658" t="n"/>
    </row>
    <row r="19" ht="15.75" customFormat="1" customHeight="1" s="815" thickBot="1">
      <c r="A19" s="2013" t="n"/>
      <c r="B19" s="8397" t="n"/>
      <c r="C19" s="8007" t="n"/>
      <c r="D19" s="8007" t="n"/>
      <c r="E19" s="8007" t="n"/>
      <c r="F19" s="8007" t="n"/>
      <c r="G19" s="8007" t="n"/>
      <c r="H19" s="8007" t="n"/>
      <c r="I19" s="8007" t="n"/>
      <c r="J19" s="8007" t="n"/>
      <c r="K19" s="8007" t="n"/>
      <c r="L19" s="8007" t="n"/>
      <c r="M19" s="8007" t="n"/>
      <c r="N19" s="8007" t="n"/>
      <c r="O19" s="8008" t="n"/>
      <c r="P19" s="10172" t="n"/>
      <c r="Q19" s="8007" t="n"/>
      <c r="R19" s="8007" t="n"/>
      <c r="S19" s="8007" t="n"/>
      <c r="T19" s="8007" t="n"/>
      <c r="U19" s="8008" t="n"/>
      <c r="V19" s="12488" t="n"/>
      <c r="W19" s="8007" t="n"/>
      <c r="X19" s="8007" t="n"/>
      <c r="Y19" s="8007" t="n"/>
      <c r="Z19" s="8007" t="n"/>
      <c r="AA19" s="8007" t="n"/>
      <c r="AB19" s="8007" t="n"/>
      <c r="AC19" s="8008" t="n"/>
      <c r="AD19" s="4168" t="n"/>
      <c r="AE19" s="4865" t="n"/>
      <c r="AF19" s="4865" t="n"/>
      <c r="AG19" s="4865" t="n"/>
      <c r="AH19" s="4865" t="n"/>
      <c r="AI19" s="4865" t="n"/>
      <c r="AJ19" s="4865" t="n"/>
      <c r="AK19" s="2013" t="n"/>
      <c r="AL19" s="11602" t="n"/>
      <c r="AM19" s="226" t="inlineStr">
        <is>
          <t>Override ê</t>
        </is>
      </c>
      <c r="AN19" s="11602" t="n"/>
      <c r="AO19" s="1234" t="n"/>
      <c r="AP19" s="12483" t="n"/>
      <c r="AQ19" s="1235" t="n"/>
      <c r="AR19" s="12484" t="n"/>
      <c r="AS19" s="1235" t="n"/>
      <c r="AT19" s="1235" t="n"/>
      <c r="AU19" s="1235" t="n"/>
      <c r="AV19" s="4956" t="n"/>
      <c r="AW19" s="4956" t="n"/>
      <c r="AX19" s="12484" t="n"/>
      <c r="AY19" s="1236" t="n"/>
      <c r="BA19" s="658" t="n"/>
      <c r="BB19" s="658" t="n"/>
      <c r="BC19" s="658" t="n"/>
      <c r="BD19" s="658" t="n"/>
      <c r="BE19" s="658" t="n"/>
      <c r="BF19" s="658" t="n"/>
      <c r="BG19" s="658" t="n"/>
      <c r="BH19" s="658" t="n"/>
      <c r="BI19" s="658" t="n"/>
      <c r="BJ19" s="658" t="n"/>
    </row>
    <row r="20" ht="15.75" customFormat="1" customHeight="1" s="815" thickBot="1">
      <c r="A20" s="2013" t="n"/>
      <c r="B20" s="9988" t="n">
        <v>7</v>
      </c>
      <c r="C20" s="2299" t="inlineStr">
        <is>
          <t>Listed property. Enter the amount from line 29</t>
        </is>
      </c>
      <c r="D20" s="344" t="n"/>
      <c r="E20" s="344" t="n"/>
      <c r="F20" s="344" t="n"/>
      <c r="G20" s="344" t="n"/>
      <c r="H20" s="344" t="n"/>
      <c r="I20" s="344" t="n"/>
      <c r="J20" s="344" t="n"/>
      <c r="K20" s="344" t="n"/>
      <c r="L20" s="344" t="n"/>
      <c r="M20" s="344" t="n"/>
      <c r="N20" s="344" t="n"/>
      <c r="O20" s="344" t="n"/>
      <c r="P20" s="344" t="n"/>
      <c r="Q20" s="344" t="n"/>
      <c r="R20" s="344" t="n"/>
      <c r="S20" s="344" t="n"/>
      <c r="T20" s="1401" t="inlineStr">
        <is>
          <t xml:space="preserve">.   .   .   .   .   .   .   .   .   .  </t>
        </is>
      </c>
      <c r="U20" s="10008" t="n">
        <v>7</v>
      </c>
      <c r="V20" s="11966">
        <f>IF(AM20&lt;&gt;"",ROUND(AM20,0),AF93)</f>
        <v/>
      </c>
      <c r="W20" s="8412" t="n"/>
      <c r="X20" s="8412" t="n"/>
      <c r="Y20" s="8412" t="n"/>
      <c r="Z20" s="8412" t="n"/>
      <c r="AA20" s="8412" t="n"/>
      <c r="AB20" s="8412" t="n"/>
      <c r="AC20" s="11734" t="n"/>
      <c r="AD20" s="4167" t="n"/>
      <c r="AE20" s="4865" t="n"/>
      <c r="AF20" s="4865" t="n"/>
      <c r="AG20" s="4865" t="n"/>
      <c r="AH20" s="4865" t="n"/>
      <c r="AI20" s="4865" t="n"/>
      <c r="AJ20" s="4865" t="n"/>
      <c r="AK20" s="2013" t="n"/>
      <c r="AL20" s="11602" t="n"/>
      <c r="AM20" s="1237" t="n"/>
      <c r="AN20" s="11602" t="n"/>
      <c r="AO20" s="1234" t="n"/>
      <c r="AP20" s="12483" t="n"/>
      <c r="AQ20" s="1235" t="n"/>
      <c r="AR20" s="12484" t="n"/>
      <c r="AS20" s="1235" t="n"/>
      <c r="AT20" s="1235" t="n"/>
      <c r="AU20" s="1235" t="n"/>
      <c r="AV20" s="4956" t="n"/>
      <c r="AW20" s="4956" t="n"/>
      <c r="AX20" s="12484" t="n"/>
      <c r="AY20" s="1236" t="n"/>
      <c r="BA20" s="658" t="n"/>
      <c r="BB20" s="658" t="n"/>
      <c r="BC20" s="658" t="n"/>
      <c r="BD20" s="658" t="n"/>
      <c r="BE20" s="658" t="n"/>
      <c r="BF20" s="658" t="n"/>
      <c r="BG20" s="658" t="n"/>
      <c r="BH20" s="658" t="n"/>
      <c r="BI20" s="658" t="n"/>
      <c r="BJ20" s="658" t="n"/>
    </row>
    <row r="21" ht="15.75" customFormat="1" customHeight="1" s="815">
      <c r="A21" s="2013" t="n"/>
      <c r="B21" s="9988" t="n">
        <v>8</v>
      </c>
      <c r="C21" s="2299" t="inlineStr">
        <is>
          <t>Total elected cost of section 179 property. Add amounts in column (c), lines 6 and 7</t>
        </is>
      </c>
      <c r="D21" s="8650" t="n"/>
      <c r="E21" s="344" t="n"/>
      <c r="F21" s="344" t="n"/>
      <c r="G21" s="344" t="n"/>
      <c r="H21" s="344" t="n"/>
      <c r="I21" s="344" t="n"/>
      <c r="J21" s="344" t="n"/>
      <c r="K21" s="344" t="n"/>
      <c r="L21" s="344" t="n"/>
      <c r="M21" s="344" t="n"/>
      <c r="N21" s="344" t="n"/>
      <c r="O21" s="344" t="n"/>
      <c r="P21" s="344" t="n"/>
      <c r="Q21" s="344" t="n"/>
      <c r="R21" s="344" t="n"/>
      <c r="S21" s="2300" t="n"/>
      <c r="T21" s="344" t="n"/>
      <c r="U21" s="344" t="n"/>
      <c r="V21" s="344" t="n"/>
      <c r="W21" s="9750" t="n"/>
      <c r="X21" s="1205" t="n"/>
      <c r="Y21" s="1205" t="n"/>
      <c r="Z21" s="1205" t="n"/>
      <c r="AA21" s="1401" t="inlineStr">
        <is>
          <t xml:space="preserve">.   .   .   .   .   .  </t>
        </is>
      </c>
      <c r="AB21" s="10008" t="n">
        <v>8</v>
      </c>
      <c r="AC21" s="11734" t="n"/>
      <c r="AD21" s="7773">
        <f>SUM(ROUND(V18,0),ROUND(V19,0),V20)</f>
        <v/>
      </c>
      <c r="AE21" s="7637" t="n"/>
      <c r="AF21" s="7637" t="n"/>
      <c r="AG21" s="7637" t="n"/>
      <c r="AH21" s="7637" t="n"/>
      <c r="AI21" s="7637" t="n"/>
      <c r="AJ21" s="7637" t="n"/>
      <c r="AK21" s="2013" t="n"/>
      <c r="AL21" s="11602" t="n"/>
      <c r="AM21" s="11602" t="n"/>
      <c r="AN21" s="11602" t="n"/>
      <c r="AO21" s="1234" t="n"/>
      <c r="AP21" s="12483" t="n"/>
      <c r="AQ21" s="1235" t="n"/>
      <c r="AR21" s="12484" t="n"/>
      <c r="AS21" s="1235" t="n"/>
      <c r="AT21" s="1235" t="n"/>
      <c r="AU21" s="1235" t="n"/>
      <c r="AV21" s="4956" t="n"/>
      <c r="AW21" s="4956" t="n"/>
      <c r="AX21" s="12484" t="n"/>
      <c r="AY21" s="1236" t="n"/>
      <c r="BA21" s="658" t="n"/>
      <c r="BB21" s="658" t="n"/>
      <c r="BC21" s="658" t="n"/>
      <c r="BD21" s="658" t="n"/>
      <c r="BE21" s="658" t="n"/>
      <c r="BF21" s="658" t="n"/>
      <c r="BG21" s="658" t="n"/>
      <c r="BH21" s="658" t="n"/>
      <c r="BI21" s="658" t="n"/>
      <c r="BJ21" s="658" t="n"/>
    </row>
    <row r="22" ht="15.75" customFormat="1" customHeight="1" s="815">
      <c r="A22" s="2013" t="n"/>
      <c r="B22" s="9988" t="n">
        <v>9</v>
      </c>
      <c r="C22" s="2299" t="inlineStr">
        <is>
          <t>Tentative deduction. Enter the smaller of line 5 or line 8</t>
        </is>
      </c>
      <c r="D22" s="8650" t="n"/>
      <c r="E22" s="344" t="n"/>
      <c r="F22" s="344" t="n"/>
      <c r="G22" s="344" t="n"/>
      <c r="H22" s="344" t="n"/>
      <c r="I22" s="344" t="n"/>
      <c r="J22" s="344" t="n"/>
      <c r="K22" s="344" t="n"/>
      <c r="L22" s="344" t="n"/>
      <c r="M22" s="344" t="n"/>
      <c r="N22" s="344" t="n"/>
      <c r="O22" s="344" t="n"/>
      <c r="P22" s="344" t="n"/>
      <c r="Q22" s="344" t="n"/>
      <c r="R22" s="344" t="n"/>
      <c r="S22" s="2300" t="n"/>
      <c r="T22" s="344" t="n"/>
      <c r="U22" s="344" t="n"/>
      <c r="V22" s="344" t="n"/>
      <c r="W22" s="9750" t="n"/>
      <c r="X22" s="1205" t="n"/>
      <c r="Y22" s="1205" t="n"/>
      <c r="Z22" s="1205" t="n"/>
      <c r="AA22" s="1401" t="inlineStr">
        <is>
          <t xml:space="preserve">.   .   .   .   .   .   .   .   .   .   .   .   .   .   .   .   .   .   .   .  </t>
        </is>
      </c>
      <c r="AB22" s="10008" t="n">
        <v>9</v>
      </c>
      <c r="AC22" s="11734" t="n"/>
      <c r="AD22" s="10109">
        <f>MIN(AD16,AD21)</f>
        <v/>
      </c>
      <c r="AE22" s="8412" t="n"/>
      <c r="AF22" s="8412" t="n"/>
      <c r="AG22" s="8412" t="n"/>
      <c r="AH22" s="8412" t="n"/>
      <c r="AI22" s="8412" t="n"/>
      <c r="AJ22" s="11734" t="n"/>
      <c r="AK22" s="2013" t="n"/>
      <c r="AL22" s="11602" t="n"/>
      <c r="AM22" s="11602" t="n"/>
      <c r="AN22" s="11602" t="n"/>
      <c r="AO22" s="1234" t="n"/>
      <c r="AP22" s="12483" t="n"/>
      <c r="AQ22" s="1235" t="n"/>
      <c r="AR22" s="12484" t="n"/>
      <c r="AS22" s="1235" t="n"/>
      <c r="AT22" s="1235" t="n"/>
      <c r="AU22" s="1235" t="n"/>
      <c r="AV22" s="4956" t="n"/>
      <c r="AW22" s="4956" t="n"/>
      <c r="AX22" s="12484" t="n"/>
      <c r="AY22" s="1236" t="n"/>
      <c r="BA22" s="658" t="n"/>
      <c r="BB22" s="658" t="n"/>
      <c r="BC22" s="658" t="n"/>
      <c r="BD22" s="658" t="n"/>
      <c r="BE22" s="658" t="n"/>
      <c r="BF22" s="658" t="n"/>
      <c r="BG22" s="658" t="n"/>
      <c r="BH22" s="658" t="n"/>
      <c r="BI22" s="658" t="n"/>
      <c r="BJ22" s="658" t="n"/>
    </row>
    <row r="23" ht="15.75" customFormat="1" customHeight="1" s="815" thickBot="1">
      <c r="A23" s="2013" t="n"/>
      <c r="B23" s="9988" t="n">
        <v>10</v>
      </c>
      <c r="C23" s="2299">
        <f>"Carryover of disallowed deduction from line 13 of your "&amp;TaxYear-1&amp;" Form 4562"</f>
        <v/>
      </c>
      <c r="D23" s="8650" t="n"/>
      <c r="E23" s="344" t="n"/>
      <c r="F23" s="344" t="n"/>
      <c r="G23" s="344" t="n"/>
      <c r="H23" s="344" t="n"/>
      <c r="I23" s="344" t="n"/>
      <c r="J23" s="344" t="n"/>
      <c r="K23" s="344" t="n"/>
      <c r="L23" s="344" t="n"/>
      <c r="M23" s="344" t="n"/>
      <c r="N23" s="344" t="n"/>
      <c r="O23" s="344" t="n"/>
      <c r="P23" s="344" t="n"/>
      <c r="Q23" s="344" t="n"/>
      <c r="R23" s="344" t="n"/>
      <c r="S23" s="2300" t="n"/>
      <c r="T23" s="344" t="n"/>
      <c r="U23" s="344" t="n"/>
      <c r="V23" s="344" t="n"/>
      <c r="W23" s="9750" t="n"/>
      <c r="X23" s="1205" t="n"/>
      <c r="Y23" s="1205" t="n"/>
      <c r="Z23" s="1205" t="n"/>
      <c r="AA23" s="1401" t="inlineStr">
        <is>
          <t xml:space="preserve">.   .   .   .   .   .   .   .   .   .   .   .  </t>
        </is>
      </c>
      <c r="AB23" s="10008" t="n">
        <v>10</v>
      </c>
      <c r="AC23" s="11734" t="n"/>
      <c r="AD23" s="10172" t="n"/>
      <c r="AE23" s="8007" t="n"/>
      <c r="AF23" s="8007" t="n"/>
      <c r="AG23" s="8007" t="n"/>
      <c r="AH23" s="8007" t="n"/>
      <c r="AI23" s="8007" t="n"/>
      <c r="AJ23" s="8008" t="n"/>
      <c r="AK23" s="2013" t="n"/>
      <c r="AL23" s="11602" t="n"/>
      <c r="AM23" s="7914" t="inlineStr">
        <is>
          <t>Business Income</t>
        </is>
      </c>
      <c r="AN23" s="11602" t="n"/>
      <c r="AO23" s="1234" t="n"/>
      <c r="AP23" s="12483" t="n"/>
      <c r="AQ23" s="1235" t="n"/>
      <c r="AR23" s="12484" t="n"/>
      <c r="AS23" s="1235" t="n"/>
      <c r="AT23" s="1235" t="n"/>
      <c r="AU23" s="1235" t="n"/>
      <c r="AV23" s="4956" t="n"/>
      <c r="AW23" s="4956" t="n"/>
      <c r="AX23" s="12484" t="n"/>
      <c r="AY23" s="1236" t="n"/>
      <c r="BA23" s="658" t="n"/>
      <c r="BB23" s="658" t="n"/>
      <c r="BC23" s="658" t="n"/>
      <c r="BD23" s="658" t="n"/>
      <c r="BE23" s="658" t="n"/>
      <c r="BF23" s="658" t="n"/>
      <c r="BG23" s="658" t="n"/>
      <c r="BH23" s="658" t="n"/>
      <c r="BI23" s="658" t="n"/>
      <c r="BJ23" s="658" t="n"/>
    </row>
    <row r="24" ht="15.75" customFormat="1" customHeight="1" s="815" thickBot="1">
      <c r="A24" s="2013" t="n"/>
      <c r="B24" s="8439" t="n">
        <v>11</v>
      </c>
      <c r="C24" s="2100" t="inlineStr">
        <is>
          <t>Business income limitation. Enter the smaller of business income (not less than zero) or line 5. See instructions</t>
        </is>
      </c>
      <c r="D24" s="873" t="n"/>
      <c r="E24" s="8650" t="n"/>
      <c r="F24" s="344" t="n"/>
      <c r="G24" s="344" t="n"/>
      <c r="H24" s="344" t="n"/>
      <c r="I24" s="344" t="n"/>
      <c r="J24" s="344" t="n"/>
      <c r="K24" s="344" t="n"/>
      <c r="L24" s="344" t="n"/>
      <c r="M24" s="344" t="n"/>
      <c r="N24" s="344" t="n"/>
      <c r="O24" s="344" t="n"/>
      <c r="P24" s="344" t="n"/>
      <c r="Q24" s="344" t="n"/>
      <c r="R24" s="344" t="n"/>
      <c r="S24" s="344" t="n"/>
      <c r="T24" s="344" t="n"/>
      <c r="U24" s="344" t="n"/>
      <c r="V24" s="344" t="n"/>
      <c r="W24" s="1061" t="n"/>
      <c r="X24" s="344" t="n"/>
      <c r="Y24" s="344" t="n"/>
      <c r="Z24" s="344" t="n"/>
      <c r="AA24" s="344" t="n"/>
      <c r="AB24" s="10008" t="n">
        <v>11</v>
      </c>
      <c r="AC24" s="11734" t="n"/>
      <c r="AD24" s="10109">
        <f>MIN(MAX(0,ROUND(AM24,0)),AD16)</f>
        <v/>
      </c>
      <c r="AE24" s="8412" t="n"/>
      <c r="AF24" s="8412" t="n"/>
      <c r="AG24" s="8412" t="n"/>
      <c r="AH24" s="8412" t="n"/>
      <c r="AI24" s="8412" t="n"/>
      <c r="AJ24" s="11734" t="n"/>
      <c r="AK24" s="2013" t="n"/>
      <c r="AL24" s="11602" t="n"/>
      <c r="AM24" s="1237" t="n"/>
      <c r="AN24" s="11602" t="n"/>
      <c r="AO24" s="1234" t="n"/>
      <c r="AP24" s="12483" t="n"/>
      <c r="AQ24" s="1235" t="n"/>
      <c r="AR24" s="12484" t="n"/>
      <c r="AS24" s="1235" t="n"/>
      <c r="AT24" s="1235" t="n"/>
      <c r="AU24" s="1235" t="n"/>
      <c r="AV24" s="4956" t="n"/>
      <c r="AW24" s="4956" t="n"/>
      <c r="AX24" s="12484" t="n"/>
      <c r="AY24" s="1236" t="n"/>
      <c r="BA24" s="658" t="n"/>
      <c r="BB24" s="658" t="n"/>
      <c r="BC24" s="658" t="n"/>
      <c r="BD24" s="658" t="n"/>
      <c r="BE24" s="658" t="n"/>
      <c r="BF24" s="658" t="n"/>
      <c r="BG24" s="658" t="n"/>
      <c r="BH24" s="658" t="n"/>
      <c r="BI24" s="658" t="n"/>
      <c r="BJ24" s="658" t="n"/>
    </row>
    <row r="25" ht="15.75" customFormat="1" customHeight="1" s="815" thickBot="1">
      <c r="A25" s="2013" t="n"/>
      <c r="B25" s="9988" t="n">
        <v>12</v>
      </c>
      <c r="C25" s="7865" t="inlineStr">
        <is>
          <t>Section 179 expense deduction. Add lines 9 and 10, but don’t enter more than line 11</t>
        </is>
      </c>
      <c r="D25" s="873" t="n"/>
      <c r="E25" s="8650" t="n"/>
      <c r="F25" s="344" t="n"/>
      <c r="G25" s="344" t="n"/>
      <c r="H25" s="344" t="n"/>
      <c r="I25" s="344" t="n"/>
      <c r="J25" s="344" t="n"/>
      <c r="K25" s="344" t="n"/>
      <c r="L25" s="344" t="n"/>
      <c r="M25" s="344" t="n"/>
      <c r="N25" s="344" t="n"/>
      <c r="O25" s="344" t="n"/>
      <c r="P25" s="344" t="n"/>
      <c r="Q25" s="344" t="n"/>
      <c r="R25" s="344" t="n"/>
      <c r="S25" s="344" t="n"/>
      <c r="T25" s="344" t="n"/>
      <c r="U25" s="344" t="n"/>
      <c r="V25" s="344" t="n"/>
      <c r="W25" s="344" t="n"/>
      <c r="X25" s="344" t="n"/>
      <c r="Y25" s="344" t="n"/>
      <c r="Z25" s="344" t="n"/>
      <c r="AA25" s="1401" t="inlineStr">
        <is>
          <t xml:space="preserve">.   .   .   .   .  </t>
        </is>
      </c>
      <c r="AB25" s="10008" t="n">
        <v>12</v>
      </c>
      <c r="AC25" s="11734" t="n"/>
      <c r="AD25" s="10109">
        <f>MIN(SUM(AD22,ROUND(AD23,0)),AD24)</f>
        <v/>
      </c>
      <c r="AE25" s="8412" t="n"/>
      <c r="AF25" s="8412" t="n"/>
      <c r="AG25" s="8412" t="n"/>
      <c r="AH25" s="8412" t="n"/>
      <c r="AI25" s="8412" t="n"/>
      <c r="AJ25" s="11734" t="n"/>
      <c r="AK25" s="2013" t="n"/>
      <c r="AL25" s="11602" t="n"/>
      <c r="AM25" s="4866" t="inlineStr">
        <is>
          <t>Override ê</t>
        </is>
      </c>
      <c r="AN25" s="11602" t="n"/>
      <c r="AO25" s="1234" t="n"/>
      <c r="AP25" s="12483" t="n"/>
      <c r="AQ25" s="1235" t="n"/>
      <c r="AR25" s="12484" t="n"/>
      <c r="AS25" s="1235" t="n"/>
      <c r="AT25" s="1235" t="n"/>
      <c r="AU25" s="1235" t="n"/>
      <c r="AV25" s="4956" t="n"/>
      <c r="AW25" s="4956" t="n"/>
      <c r="AX25" s="12484" t="n"/>
      <c r="AY25" s="1236" t="n"/>
      <c r="BA25" s="658" t="n"/>
      <c r="BB25" s="658" t="n"/>
      <c r="BC25" s="658" t="n"/>
      <c r="BD25" s="658" t="n"/>
      <c r="BE25" s="658" t="n"/>
      <c r="BF25" s="658" t="n"/>
      <c r="BG25" s="658" t="n"/>
      <c r="BH25" s="658" t="n"/>
      <c r="BI25" s="658" t="n"/>
      <c r="BJ25" s="658" t="n"/>
    </row>
    <row r="26" ht="15.75" customFormat="1" customHeight="1" s="815" thickBot="1">
      <c r="A26" s="2013" t="n"/>
      <c r="B26" s="9988" t="n">
        <v>13</v>
      </c>
      <c r="C26" s="7865">
        <f>"Carryover of disallowed deduction to "&amp;TaxYear+1&amp;". Add lines 9 and 10, less line 12"</f>
        <v/>
      </c>
      <c r="D26" s="8650" t="n"/>
      <c r="E26" s="8650" t="n"/>
      <c r="F26" s="344" t="n"/>
      <c r="G26" s="344" t="n"/>
      <c r="H26" s="344" t="n"/>
      <c r="I26" s="344" t="n"/>
      <c r="J26" s="344" t="n"/>
      <c r="K26" s="344" t="n"/>
      <c r="L26" s="344" t="n"/>
      <c r="M26" s="344" t="n"/>
      <c r="N26" s="344" t="n"/>
      <c r="O26" s="344" t="n"/>
      <c r="P26" s="344" t="n"/>
      <c r="Q26" s="344" t="n"/>
      <c r="R26" s="344" t="n"/>
      <c r="S26" s="344" t="n"/>
      <c r="T26" s="344" t="n"/>
      <c r="U26" s="344" t="n"/>
      <c r="V26" s="4452" t="n">
        <v>13</v>
      </c>
      <c r="W26" s="12489">
        <f>IF(AM26&lt;&gt;"",ROUND(AM26,0),SUM(AD22,ROUND(AD23,0),-AD25))</f>
        <v/>
      </c>
      <c r="X26" s="7839" t="n"/>
      <c r="Y26" s="7839" t="n"/>
      <c r="Z26" s="7839" t="n"/>
      <c r="AA26" s="7839" t="n"/>
      <c r="AB26" s="7839" t="n"/>
      <c r="AC26" s="10091" t="n"/>
      <c r="AD26" s="4867" t="n"/>
      <c r="AE26" s="4868" t="n"/>
      <c r="AF26" s="4868" t="n"/>
      <c r="AG26" s="4868" t="n"/>
      <c r="AH26" s="4868" t="n"/>
      <c r="AI26" s="4868" t="n"/>
      <c r="AJ26" s="4868" t="n"/>
      <c r="AK26" s="2013" t="n"/>
      <c r="AL26" s="11602" t="n"/>
      <c r="AM26" s="1237" t="n"/>
      <c r="AN26" s="11602" t="n"/>
      <c r="AO26" s="1234" t="n"/>
      <c r="AP26" s="12483" t="n"/>
      <c r="AQ26" s="1235" t="n"/>
      <c r="AR26" s="12484" t="n"/>
      <c r="AS26" s="1235" t="n"/>
      <c r="AT26" s="1235" t="n"/>
      <c r="AU26" s="1235" t="n"/>
      <c r="AV26" s="4956" t="n"/>
      <c r="AW26" s="4956" t="n"/>
      <c r="AX26" s="12484" t="n"/>
      <c r="AY26" s="1236" t="n"/>
      <c r="BA26" s="658" t="n"/>
      <c r="BB26" s="658" t="n"/>
      <c r="BC26" s="658" t="n"/>
      <c r="BD26" s="658" t="n"/>
      <c r="BE26" s="658" t="n"/>
      <c r="BF26" s="658" t="n"/>
      <c r="BG26" s="658" t="n"/>
      <c r="BH26" s="658" t="n"/>
      <c r="BI26" s="658" t="n"/>
      <c r="BJ26" s="658" t="n"/>
    </row>
    <row r="27" ht="15.75" customFormat="1" customHeight="1" s="815">
      <c r="A27" s="2013" t="n"/>
      <c r="B27" s="4446" t="inlineStr">
        <is>
          <t>Note:  Don’t use Part II or Part III below for listed property. Instead, use Part V.</t>
        </is>
      </c>
      <c r="C27" s="4869" t="n"/>
      <c r="D27" s="3901" t="n"/>
      <c r="E27" s="4154" t="n"/>
      <c r="F27" s="4154" t="n"/>
      <c r="G27" s="4154" t="n"/>
      <c r="H27" s="4154" t="n"/>
      <c r="I27" s="4154" t="n"/>
      <c r="J27" s="4154" t="n"/>
      <c r="K27" s="4154" t="n"/>
      <c r="L27" s="4154" t="n"/>
      <c r="M27" s="4154" t="n"/>
      <c r="N27" s="4154" t="n"/>
      <c r="O27" s="4154" t="n"/>
      <c r="P27" s="4154" t="n"/>
      <c r="Q27" s="4154" t="n"/>
      <c r="R27" s="4154" t="n"/>
      <c r="S27" s="4154" t="n"/>
      <c r="T27" s="4154" t="n"/>
      <c r="U27" s="4154" t="n"/>
      <c r="V27" s="4154" t="n"/>
      <c r="W27" s="4154" t="n"/>
      <c r="X27" s="4154" t="n"/>
      <c r="Y27" s="4154" t="n"/>
      <c r="Z27" s="4154" t="n"/>
      <c r="AA27" s="4154" t="n"/>
      <c r="AB27" s="4154" t="n"/>
      <c r="AC27" s="4154" t="n"/>
      <c r="AD27" s="4154" t="n"/>
      <c r="AE27" s="4154" t="n"/>
      <c r="AF27" s="4154" t="n"/>
      <c r="AG27" s="4154" t="n"/>
      <c r="AH27" s="4154" t="n"/>
      <c r="AI27" s="4154" t="n"/>
      <c r="AJ27" s="4154" t="n"/>
      <c r="AK27" s="2013" t="n"/>
      <c r="AL27" s="11602" t="n"/>
      <c r="AM27" s="11602" t="n"/>
      <c r="AN27" s="11602" t="n"/>
      <c r="AO27" s="1234" t="n"/>
      <c r="AP27" s="12483" t="n"/>
      <c r="AQ27" s="1235" t="n"/>
      <c r="AR27" s="12484" t="n"/>
      <c r="AS27" s="1235" t="n"/>
      <c r="AT27" s="1235" t="n"/>
      <c r="AU27" s="1235" t="n"/>
      <c r="AV27" s="4956" t="n"/>
      <c r="AW27" s="4956" t="n"/>
      <c r="AX27" s="12484" t="n"/>
      <c r="AY27" s="1236" t="n"/>
      <c r="BA27" s="658" t="n"/>
      <c r="BB27" s="658" t="n"/>
      <c r="BC27" s="658" t="n"/>
      <c r="BD27" s="658" t="n"/>
      <c r="BE27" s="658" t="n"/>
      <c r="BF27" s="658" t="n"/>
      <c r="BG27" s="658" t="n"/>
      <c r="BH27" s="658" t="n"/>
      <c r="BI27" s="658" t="n"/>
      <c r="BJ27" s="658" t="n"/>
    </row>
    <row r="28" ht="15.75" customFormat="1" customHeight="1" s="1115">
      <c r="A28" s="2290" t="n"/>
      <c r="B28" s="9775" t="inlineStr">
        <is>
          <t>Part II</t>
        </is>
      </c>
      <c r="C28" s="8412" t="n"/>
      <c r="D28" s="4870" t="inlineStr">
        <is>
          <t>Special Depreciation Allowance and Other Depreciation (Don’t include listed property. See instructions.)</t>
        </is>
      </c>
      <c r="E28" s="4871" t="n"/>
      <c r="F28" s="4872" t="n"/>
      <c r="G28" s="4872" t="n"/>
      <c r="H28" s="4872" t="n"/>
      <c r="I28" s="4872" t="n"/>
      <c r="J28" s="4872" t="n"/>
      <c r="K28" s="4872" t="n"/>
      <c r="L28" s="4872" t="n"/>
      <c r="M28" s="4872" t="n"/>
      <c r="N28" s="4872" t="n"/>
      <c r="O28" s="4872" t="n"/>
      <c r="P28" s="4872" t="n"/>
      <c r="Q28" s="4872" t="n"/>
      <c r="R28" s="4872" t="n"/>
      <c r="S28" s="4872" t="n"/>
      <c r="T28" s="4872" t="n"/>
      <c r="U28" s="4872" t="n"/>
      <c r="V28" s="4872" t="n"/>
      <c r="W28" s="4872" t="n"/>
      <c r="X28" s="4872" t="n"/>
      <c r="Y28" s="4872" t="n"/>
      <c r="Z28" s="4872" t="n"/>
      <c r="AA28" s="4872" t="n"/>
      <c r="AB28" s="4872" t="n"/>
      <c r="AC28" s="4872" t="n"/>
      <c r="AD28" s="4872" t="n"/>
      <c r="AE28" s="4872" t="n"/>
      <c r="AF28" s="4872" t="n"/>
      <c r="AG28" s="4872" t="n"/>
      <c r="AH28" s="4872" t="n"/>
      <c r="AI28" s="4873" t="n"/>
      <c r="AJ28" s="4873" t="n"/>
      <c r="AK28" s="2290" t="n"/>
      <c r="AL28" s="11602" t="n"/>
      <c r="AM28" s="11602" t="n"/>
      <c r="AN28" s="11602" t="n"/>
      <c r="AO28" s="1234" t="n"/>
      <c r="AP28" s="12483" t="n"/>
      <c r="AQ28" s="1235" t="n"/>
      <c r="AR28" s="12484" t="n"/>
      <c r="AS28" s="1235" t="n"/>
      <c r="AT28" s="1235" t="n"/>
      <c r="AU28" s="1235" t="n"/>
      <c r="AV28" s="4956" t="n"/>
      <c r="AW28" s="4956" t="n"/>
      <c r="AX28" s="12484" t="n"/>
      <c r="AY28" s="1236" t="n"/>
      <c r="BA28" s="658" t="n"/>
      <c r="BB28" s="658" t="n"/>
      <c r="BC28" s="658" t="n"/>
      <c r="BD28" s="658" t="n"/>
      <c r="BE28" s="658" t="n"/>
      <c r="BF28" s="658" t="n"/>
      <c r="BG28" s="658" t="n"/>
      <c r="BH28" s="658" t="n"/>
      <c r="BI28" s="658" t="n"/>
      <c r="BJ28" s="658" t="n"/>
      <c r="BK28" s="2293" t="n"/>
    </row>
    <row r="29" ht="15.75" customFormat="1" customHeight="1" s="815">
      <c r="A29" s="2013" t="n"/>
      <c r="B29" s="9988" t="n">
        <v>14</v>
      </c>
      <c r="C29" s="2299" t="inlineStr">
        <is>
          <t>Special depreciation allowance for qualified property (other than listed property) placed in service</t>
        </is>
      </c>
      <c r="D29" s="8650" t="n"/>
      <c r="E29" s="344" t="n"/>
      <c r="F29" s="344" t="n"/>
      <c r="G29" s="344" t="n"/>
      <c r="H29" s="344" t="n"/>
      <c r="I29" s="344" t="n"/>
      <c r="J29" s="344" t="n"/>
      <c r="K29" s="1061" t="n"/>
      <c r="L29" s="2300" t="n"/>
      <c r="M29" s="2301" t="n"/>
      <c r="N29" s="1061" t="n"/>
      <c r="O29" s="1061" t="n"/>
      <c r="P29" s="1061" t="n"/>
      <c r="Q29" s="1061" t="n"/>
      <c r="R29" s="1061" t="n"/>
      <c r="S29" s="344" t="n"/>
      <c r="T29" s="344" t="n"/>
      <c r="U29" s="344" t="n"/>
      <c r="V29" s="1061" t="n"/>
      <c r="W29" s="9750" t="n"/>
      <c r="X29" s="2302" t="n"/>
      <c r="Y29" s="8747" t="n"/>
      <c r="Z29" s="8747" t="n"/>
      <c r="AA29" s="8747" t="n"/>
      <c r="AB29" s="4452" t="n"/>
      <c r="AC29" s="10091" t="n"/>
      <c r="AD29" s="566" t="n"/>
      <c r="AE29" s="1205" t="n"/>
      <c r="AF29" s="1205" t="n"/>
      <c r="AG29" s="1205" t="n"/>
      <c r="AH29" s="1205" t="n"/>
      <c r="AI29" s="1205" t="n"/>
      <c r="AJ29" s="1205" t="n"/>
      <c r="AK29" s="2013" t="n"/>
      <c r="AL29" s="11602" t="n"/>
      <c r="AM29" s="226" t="n"/>
      <c r="AN29" s="11602" t="n"/>
      <c r="AO29" s="1234" t="n"/>
      <c r="AP29" s="12483" t="n"/>
      <c r="AQ29" s="1235" t="n"/>
      <c r="AR29" s="12484" t="n"/>
      <c r="AS29" s="1235" t="n"/>
      <c r="AT29" s="1235" t="n"/>
      <c r="AU29" s="1235" t="n"/>
      <c r="AV29" s="4956" t="n"/>
      <c r="AW29" s="4956" t="n"/>
      <c r="AX29" s="12484" t="n"/>
      <c r="AY29" s="1236" t="n"/>
      <c r="BA29" s="658" t="n"/>
      <c r="BB29" s="658" t="n"/>
      <c r="BC29" s="658" t="n"/>
      <c r="BD29" s="658" t="n"/>
      <c r="BE29" s="658" t="n"/>
      <c r="BF29" s="658" t="n"/>
      <c r="BG29" s="658" t="n"/>
      <c r="BH29" s="658" t="n"/>
      <c r="BI29" s="658" t="n"/>
      <c r="BJ29" s="658" t="n"/>
    </row>
    <row r="30" ht="15.75" customFormat="1" customHeight="1" s="815">
      <c r="A30" s="2013" t="n"/>
      <c r="B30" s="8439" t="n"/>
      <c r="C30" s="2299" t="inlineStr">
        <is>
          <t>during the tax year. See instructions</t>
        </is>
      </c>
      <c r="D30" s="8650" t="n"/>
      <c r="E30" s="344" t="n"/>
      <c r="F30" s="344" t="n"/>
      <c r="G30" s="344" t="n"/>
      <c r="H30" s="344" t="n"/>
      <c r="I30" s="344" t="n"/>
      <c r="J30" s="344" t="n"/>
      <c r="K30" s="344" t="n"/>
      <c r="L30" s="344" t="n"/>
      <c r="M30" s="344" t="n"/>
      <c r="N30" s="344" t="n"/>
      <c r="O30" s="344" t="n"/>
      <c r="P30" s="344" t="n"/>
      <c r="Q30" s="344" t="n"/>
      <c r="R30" s="344" t="n"/>
      <c r="S30" s="344" t="n"/>
      <c r="T30" s="344" t="n"/>
      <c r="U30" s="344" t="n"/>
      <c r="V30" s="344" t="n"/>
      <c r="W30" s="9750" t="n"/>
      <c r="X30" s="344" t="n"/>
      <c r="Y30" s="344" t="n"/>
      <c r="Z30" s="344" t="n"/>
      <c r="AA30" s="1401" t="inlineStr">
        <is>
          <t xml:space="preserve">.   .   .   .   .   .   .   .   .   .   .   .   .   .   .   .   .   .   .   .   .   .   .   .   .   .   .  </t>
        </is>
      </c>
      <c r="AB30" s="8389" t="n">
        <v>14</v>
      </c>
      <c r="AC30" s="7638" t="n"/>
      <c r="AD30" s="7574" t="n"/>
      <c r="AE30" s="11717" t="n"/>
      <c r="AF30" s="11717" t="n"/>
      <c r="AG30" s="11717" t="n"/>
      <c r="AH30" s="11717" t="n"/>
      <c r="AI30" s="11717" t="n"/>
      <c r="AJ30" s="11717" t="n"/>
      <c r="AK30" s="2013" t="n"/>
      <c r="AL30" s="11602" t="n"/>
      <c r="AM30" s="2305">
        <f>ROUND(AD30,0)</f>
        <v/>
      </c>
      <c r="AN30" s="11602" t="n"/>
      <c r="AO30" s="1234" t="n"/>
      <c r="AP30" s="12483" t="n"/>
      <c r="AQ30" s="1235" t="n"/>
      <c r="AR30" s="12484" t="n"/>
      <c r="AS30" s="1235" t="n"/>
      <c r="AT30" s="1235" t="n"/>
      <c r="AU30" s="1235" t="n"/>
      <c r="AV30" s="4956" t="n"/>
      <c r="AW30" s="4956" t="n"/>
      <c r="AX30" s="12484" t="n"/>
      <c r="AY30" s="1236" t="n"/>
      <c r="BA30" s="658" t="n"/>
      <c r="BB30" s="658" t="n"/>
      <c r="BC30" s="658" t="n"/>
      <c r="BD30" s="658" t="n"/>
      <c r="BE30" s="658" t="n"/>
      <c r="BF30" s="658" t="n"/>
      <c r="BG30" s="658" t="n"/>
      <c r="BH30" s="658" t="n"/>
      <c r="BI30" s="658" t="n"/>
      <c r="BJ30" s="658" t="n"/>
    </row>
    <row r="31" ht="15.75" customFormat="1" customHeight="1" s="815">
      <c r="A31" s="2013" t="n"/>
      <c r="B31" s="9988" t="n">
        <v>15</v>
      </c>
      <c r="C31" s="2299" t="inlineStr">
        <is>
          <t>Property subject to section 168(f)(1) election</t>
        </is>
      </c>
      <c r="D31" s="8650" t="n"/>
      <c r="E31" s="344" t="n"/>
      <c r="F31" s="344" t="n"/>
      <c r="G31" s="344" t="n"/>
      <c r="H31" s="344" t="n"/>
      <c r="I31" s="344" t="n"/>
      <c r="J31" s="344" t="n"/>
      <c r="K31" s="344" t="n"/>
      <c r="L31" s="344" t="n"/>
      <c r="M31" s="344" t="n"/>
      <c r="N31" s="344" t="n"/>
      <c r="O31" s="344" t="n"/>
      <c r="P31" s="344" t="n"/>
      <c r="Q31" s="344" t="n"/>
      <c r="R31" s="344" t="n"/>
      <c r="S31" s="2300" t="n"/>
      <c r="T31" s="344" t="n"/>
      <c r="U31" s="344" t="n"/>
      <c r="V31" s="344" t="n"/>
      <c r="W31" s="9750" t="n"/>
      <c r="X31" s="1205" t="n"/>
      <c r="Y31" s="1205" t="n"/>
      <c r="Z31" s="1205" t="n"/>
      <c r="AA31" s="1401" t="inlineStr">
        <is>
          <t xml:space="preserve">.   .   .   .   .   .   .   .   .   .   .   .   .   .   .   .   .   .   .   .   .   .   .  </t>
        </is>
      </c>
      <c r="AB31" s="10008" t="n">
        <v>15</v>
      </c>
      <c r="AC31" s="11734" t="n"/>
      <c r="AD31" s="10172" t="n"/>
      <c r="AE31" s="8007" t="n"/>
      <c r="AF31" s="8007" t="n"/>
      <c r="AG31" s="8007" t="n"/>
      <c r="AH31" s="8007" t="n"/>
      <c r="AI31" s="8007" t="n"/>
      <c r="AJ31" s="8008" t="n"/>
      <c r="AK31" s="2013" t="n"/>
      <c r="AL31" s="11602" t="n"/>
      <c r="AM31" s="2305">
        <f>ROUND(AD31,0)</f>
        <v/>
      </c>
      <c r="AN31" s="11602" t="n"/>
      <c r="AO31" s="1234" t="n"/>
      <c r="AP31" s="12483" t="n"/>
      <c r="AQ31" s="1235" t="n"/>
      <c r="AR31" s="12484" t="n"/>
      <c r="AS31" s="1235" t="n"/>
      <c r="AT31" s="1235" t="n"/>
      <c r="AU31" s="1235" t="n"/>
      <c r="AV31" s="4956" t="n"/>
      <c r="AW31" s="4956" t="n"/>
      <c r="AX31" s="12484" t="n"/>
      <c r="AY31" s="1236" t="n"/>
      <c r="BA31" s="658" t="n"/>
      <c r="BB31" s="658" t="n"/>
      <c r="BC31" s="658" t="n"/>
      <c r="BD31" s="658" t="n"/>
      <c r="BE31" s="658" t="n"/>
      <c r="BF31" s="658" t="n"/>
      <c r="BG31" s="658" t="n"/>
      <c r="BH31" s="658" t="n"/>
      <c r="BI31" s="658" t="n"/>
      <c r="BJ31" s="658" t="n"/>
    </row>
    <row r="32" ht="15.75" customFormat="1" customHeight="1" s="815">
      <c r="A32" s="2013" t="n"/>
      <c r="B32" s="9988" t="n">
        <v>16</v>
      </c>
      <c r="C32" s="2299" t="inlineStr">
        <is>
          <t>Other depreciation (including ACRS)</t>
        </is>
      </c>
      <c r="D32" s="9847" t="n"/>
      <c r="E32" s="344" t="n"/>
      <c r="F32" s="344" t="n"/>
      <c r="G32" s="344" t="n"/>
      <c r="H32" s="344" t="n"/>
      <c r="I32" s="344" t="n"/>
      <c r="J32" s="344" t="n"/>
      <c r="K32" s="344" t="n"/>
      <c r="L32" s="344" t="n"/>
      <c r="M32" s="344" t="n"/>
      <c r="N32" s="344" t="n"/>
      <c r="O32" s="344" t="n"/>
      <c r="P32" s="344" t="n"/>
      <c r="Q32" s="344" t="n"/>
      <c r="R32" s="344" t="n"/>
      <c r="S32" s="344" t="n"/>
      <c r="T32" s="344" t="n"/>
      <c r="U32" s="344" t="n"/>
      <c r="V32" s="344" t="n"/>
      <c r="W32" s="344" t="n"/>
      <c r="X32" s="344" t="n"/>
      <c r="Y32" s="344" t="n"/>
      <c r="Z32" s="344" t="n"/>
      <c r="AA32" s="1401" t="inlineStr">
        <is>
          <t xml:space="preserve">.   .   .   .   .   .   .   .   .   .   .   .   .   .   .   .   .   .   .   .   .   .   .   .   .   .   .  </t>
        </is>
      </c>
      <c r="AB32" s="10008" t="n">
        <v>16</v>
      </c>
      <c r="AC32" s="11734" t="n"/>
      <c r="AD32" s="10172" t="n"/>
      <c r="AE32" s="8007" t="n"/>
      <c r="AF32" s="8007" t="n"/>
      <c r="AG32" s="8007" t="n"/>
      <c r="AH32" s="8007" t="n"/>
      <c r="AI32" s="8007" t="n"/>
      <c r="AJ32" s="8008" t="n"/>
      <c r="AK32" s="2013" t="n"/>
      <c r="AL32" s="11602" t="n"/>
      <c r="AM32" s="2305">
        <f>ROUND(AD32,0)</f>
        <v/>
      </c>
      <c r="AN32" s="11602" t="n"/>
      <c r="AO32" s="1234" t="n"/>
      <c r="AP32" s="12483" t="n"/>
      <c r="AQ32" s="1235" t="n"/>
      <c r="AR32" s="12484" t="n"/>
      <c r="AS32" s="1235" t="n"/>
      <c r="AT32" s="1235" t="n"/>
      <c r="AU32" s="1235" t="n"/>
      <c r="AV32" s="4956" t="n"/>
      <c r="AW32" s="4956" t="n"/>
      <c r="AX32" s="12484" t="n"/>
      <c r="AY32" s="1236" t="n"/>
      <c r="BA32" s="658" t="n"/>
      <c r="BB32" s="658" t="n"/>
      <c r="BC32" s="658" t="n"/>
      <c r="BD32" s="658" t="n"/>
      <c r="BE32" s="658" t="n"/>
      <c r="BF32" s="658" t="n"/>
      <c r="BG32" s="658" t="n"/>
      <c r="BH32" s="658" t="n"/>
      <c r="BI32" s="658" t="n"/>
      <c r="BJ32" s="658" t="n"/>
    </row>
    <row r="33" ht="15.75" customFormat="1" customHeight="1" s="1115">
      <c r="A33" s="2290" t="n"/>
      <c r="B33" s="9775" t="inlineStr">
        <is>
          <t>Part III</t>
        </is>
      </c>
      <c r="C33" s="8412" t="n"/>
      <c r="D33" s="4870" t="inlineStr">
        <is>
          <t>MACRS Depreciation (Don’t include listed property. See instructions.)</t>
        </is>
      </c>
      <c r="E33" s="4871" t="n"/>
      <c r="F33" s="4872" t="n"/>
      <c r="G33" s="4872" t="n"/>
      <c r="H33" s="4872" t="n"/>
      <c r="I33" s="4872" t="n"/>
      <c r="J33" s="4872" t="n"/>
      <c r="K33" s="4872" t="n"/>
      <c r="L33" s="4872" t="n"/>
      <c r="M33" s="4872" t="n"/>
      <c r="N33" s="4872" t="n"/>
      <c r="O33" s="4872" t="n"/>
      <c r="P33" s="4872" t="n"/>
      <c r="Q33" s="4872" t="n"/>
      <c r="R33" s="4872" t="n"/>
      <c r="S33" s="4872" t="n"/>
      <c r="T33" s="4872" t="n"/>
      <c r="U33" s="4872" t="n"/>
      <c r="V33" s="4872" t="n"/>
      <c r="W33" s="4872" t="n"/>
      <c r="X33" s="4872" t="n"/>
      <c r="Y33" s="4872" t="n"/>
      <c r="Z33" s="4872" t="n"/>
      <c r="AA33" s="4872" t="n"/>
      <c r="AB33" s="4872" t="n"/>
      <c r="AC33" s="4872" t="n"/>
      <c r="AD33" s="4872" t="n"/>
      <c r="AE33" s="4872" t="n"/>
      <c r="AF33" s="4872" t="n"/>
      <c r="AG33" s="4872" t="n"/>
      <c r="AH33" s="4872" t="n"/>
      <c r="AI33" s="4873" t="n"/>
      <c r="AJ33" s="4873" t="n"/>
      <c r="AK33" s="2290" t="n"/>
      <c r="AL33" s="11602" t="n"/>
      <c r="AM33" s="512" t="n"/>
      <c r="AN33" s="11602" t="n"/>
      <c r="AO33" s="1234" t="n"/>
      <c r="AP33" s="12483" t="n"/>
      <c r="AQ33" s="1235" t="n"/>
      <c r="AR33" s="12484" t="n"/>
      <c r="AS33" s="1235" t="n"/>
      <c r="AT33" s="1235" t="n"/>
      <c r="AU33" s="1235" t="n"/>
      <c r="AV33" s="4956" t="n"/>
      <c r="AW33" s="4956" t="n"/>
      <c r="AX33" s="12484" t="n"/>
      <c r="AY33" s="1236" t="n"/>
      <c r="BA33" s="658" t="n"/>
      <c r="BB33" s="658" t="n"/>
      <c r="BC33" s="658" t="n"/>
      <c r="BD33" s="658" t="n"/>
      <c r="BE33" s="658" t="n"/>
      <c r="BF33" s="658" t="n"/>
      <c r="BG33" s="658" t="n"/>
      <c r="BH33" s="658" t="n"/>
      <c r="BI33" s="658" t="n"/>
      <c r="BJ33" s="658" t="n"/>
      <c r="BK33" s="2293" t="n"/>
    </row>
    <row r="34" ht="15.75" customFormat="1" customHeight="1" s="1115">
      <c r="A34" s="2290" t="n"/>
      <c r="B34" s="4874" t="inlineStr">
        <is>
          <t>Section A</t>
        </is>
      </c>
      <c r="C34" s="4875" t="n"/>
      <c r="D34" s="4876" t="n"/>
      <c r="E34" s="4877" t="n"/>
      <c r="F34" s="4878" t="n"/>
      <c r="G34" s="4878" t="n"/>
      <c r="H34" s="4878" t="n"/>
      <c r="I34" s="4878" t="n"/>
      <c r="J34" s="4878" t="n"/>
      <c r="K34" s="4878" t="n"/>
      <c r="L34" s="4878" t="n"/>
      <c r="M34" s="4878" t="n"/>
      <c r="N34" s="4878" t="n"/>
      <c r="O34" s="4878" t="n"/>
      <c r="P34" s="4878" t="n"/>
      <c r="Q34" s="4878" t="n"/>
      <c r="R34" s="4878" t="n"/>
      <c r="S34" s="4878" t="n"/>
      <c r="T34" s="4878" t="n"/>
      <c r="U34" s="4878" t="n"/>
      <c r="V34" s="4878" t="n"/>
      <c r="W34" s="4878" t="n"/>
      <c r="X34" s="4878" t="n"/>
      <c r="Y34" s="4878" t="n"/>
      <c r="Z34" s="4878" t="n"/>
      <c r="AA34" s="4878" t="n"/>
      <c r="AB34" s="4878" t="n"/>
      <c r="AC34" s="4878" t="n"/>
      <c r="AD34" s="4878" t="n"/>
      <c r="AE34" s="4878" t="n"/>
      <c r="AF34" s="4878" t="n"/>
      <c r="AG34" s="4878" t="n"/>
      <c r="AH34" s="4878" t="n"/>
      <c r="AI34" s="4879" t="n"/>
      <c r="AJ34" s="4879" t="n"/>
      <c r="AK34" s="2290" t="n"/>
      <c r="AL34" s="11602" t="n"/>
      <c r="AM34" s="512" t="n"/>
      <c r="AN34" s="11602" t="n"/>
      <c r="AO34" s="1234" t="n"/>
      <c r="AP34" s="12483" t="n"/>
      <c r="AQ34" s="1235" t="n"/>
      <c r="AR34" s="12484" t="n"/>
      <c r="AS34" s="1235" t="n"/>
      <c r="AT34" s="1235" t="n"/>
      <c r="AU34" s="1235" t="n"/>
      <c r="AV34" s="4956" t="n"/>
      <c r="AW34" s="4956" t="n"/>
      <c r="AX34" s="12484" t="n"/>
      <c r="AY34" s="1236" t="n"/>
      <c r="BA34" s="658" t="n"/>
      <c r="BB34" s="658" t="n"/>
      <c r="BC34" s="658" t="n"/>
      <c r="BD34" s="658" t="n"/>
      <c r="BE34" s="658" t="n"/>
      <c r="BF34" s="658" t="n"/>
      <c r="BG34" s="658" t="n"/>
      <c r="BH34" s="658" t="n"/>
      <c r="BI34" s="658" t="n"/>
      <c r="BJ34" s="658" t="n"/>
      <c r="BK34" s="2293" t="n"/>
    </row>
    <row r="35" ht="15.75" customFormat="1" customHeight="1" s="815">
      <c r="A35" s="2013" t="n"/>
      <c r="B35" s="9988" t="n">
        <v>17</v>
      </c>
      <c r="C35" s="2299">
        <f>"MACRS deductions for assets placed in service in tax years beginning before "&amp;TaxYear</f>
        <v/>
      </c>
      <c r="D35" s="8650" t="n"/>
      <c r="E35" s="344" t="n"/>
      <c r="F35" s="344" t="n"/>
      <c r="G35" s="344" t="n"/>
      <c r="H35" s="344" t="n"/>
      <c r="I35" s="344" t="n"/>
      <c r="J35" s="344" t="n"/>
      <c r="K35" s="344" t="n"/>
      <c r="L35" s="344" t="n"/>
      <c r="M35" s="344" t="n"/>
      <c r="N35" s="344" t="n"/>
      <c r="O35" s="344" t="n"/>
      <c r="P35" s="344" t="n"/>
      <c r="Q35" s="344" t="n"/>
      <c r="R35" s="344" t="n"/>
      <c r="S35" s="2300" t="n"/>
      <c r="T35" s="344" t="n"/>
      <c r="U35" s="344" t="n"/>
      <c r="V35" s="344" t="n"/>
      <c r="W35" s="9750" t="n"/>
      <c r="X35" s="1205" t="n"/>
      <c r="Y35" s="1205" t="n"/>
      <c r="Z35" s="1205" t="n"/>
      <c r="AA35" s="1205" t="n"/>
      <c r="AB35" s="10008" t="n">
        <v>17</v>
      </c>
      <c r="AC35" s="11734" t="n"/>
      <c r="AD35" s="10172" t="n"/>
      <c r="AE35" s="8007" t="n"/>
      <c r="AF35" s="8007" t="n"/>
      <c r="AG35" s="8007" t="n"/>
      <c r="AH35" s="8007" t="n"/>
      <c r="AI35" s="8007" t="n"/>
      <c r="AJ35" s="8008" t="n"/>
      <c r="AK35" s="2013" t="n"/>
      <c r="AL35" s="11602" t="n"/>
      <c r="AM35" s="2305">
        <f>ROUND(AD35,0)</f>
        <v/>
      </c>
      <c r="AN35" s="11602" t="n"/>
      <c r="AO35" s="1234" t="n"/>
      <c r="AP35" s="12483" t="n"/>
      <c r="AQ35" s="1235" t="n"/>
      <c r="AR35" s="12484" t="n"/>
      <c r="AS35" s="1235" t="n"/>
      <c r="AT35" s="1235" t="n"/>
      <c r="AU35" s="1235" t="n"/>
      <c r="AV35" s="4956" t="n"/>
      <c r="AW35" s="4956" t="n"/>
      <c r="AX35" s="12484" t="n"/>
      <c r="AY35" s="1236" t="n"/>
      <c r="BA35" s="658" t="n"/>
      <c r="BB35" s="658" t="n"/>
      <c r="BC35" s="658" t="n"/>
      <c r="BD35" s="658" t="n"/>
      <c r="BE35" s="658" t="n"/>
      <c r="BF35" s="658" t="n"/>
      <c r="BG35" s="658" t="n"/>
      <c r="BH35" s="658" t="n"/>
      <c r="BI35" s="658" t="n"/>
      <c r="BJ35" s="658" t="n"/>
    </row>
    <row r="36" ht="17.25" customFormat="1" customHeight="1" s="815">
      <c r="A36" s="2013" t="n"/>
      <c r="B36" s="9988" t="n">
        <v>18</v>
      </c>
      <c r="C36" s="2381" t="inlineStr">
        <is>
          <t>If you are electing to group any assets placed in service during the tax year into one or more general</t>
        </is>
      </c>
      <c r="D36" s="344" t="n"/>
      <c r="E36" s="344" t="n"/>
      <c r="F36" s="344" t="n"/>
      <c r="G36" s="344" t="n"/>
      <c r="H36" s="344" t="n"/>
      <c r="I36" s="344" t="n"/>
      <c r="J36" s="344" t="n"/>
      <c r="K36" s="344" t="n"/>
      <c r="L36" s="344" t="n"/>
      <c r="M36" s="344" t="n"/>
      <c r="N36" s="344" t="n"/>
      <c r="O36" s="344" t="n"/>
      <c r="P36" s="344" t="n"/>
      <c r="Q36" s="344" t="n"/>
      <c r="R36" s="344" t="n"/>
      <c r="S36" s="344" t="n"/>
      <c r="T36" s="344" t="n"/>
      <c r="U36" s="344" t="n"/>
      <c r="V36" s="344" t="n"/>
      <c r="W36" s="344" t="n"/>
      <c r="X36" s="344" t="n"/>
      <c r="Y36" s="344" t="n"/>
      <c r="Z36" s="344" t="n"/>
      <c r="AA36" s="344" t="n"/>
      <c r="AB36" s="4867" t="n"/>
      <c r="AC36" s="4880" t="n"/>
      <c r="AD36" s="4880" t="n"/>
      <c r="AE36" s="4868" t="n"/>
      <c r="AF36" s="4868" t="n"/>
      <c r="AG36" s="4868" t="n"/>
      <c r="AH36" s="4868" t="n"/>
      <c r="AI36" s="4868" t="n"/>
      <c r="AJ36" s="4868" t="n"/>
      <c r="AK36" s="2013" t="n"/>
      <c r="AL36" s="11602" t="n"/>
      <c r="AM36" s="990">
        <f>SUM(AM30:AM35)</f>
        <v/>
      </c>
      <c r="AN36" s="11602" t="n"/>
      <c r="AO36" s="1234" t="n"/>
      <c r="AP36" s="12483" t="n"/>
      <c r="AQ36" s="1235" t="n"/>
      <c r="AR36" s="12484" t="n"/>
      <c r="AS36" s="1235" t="n"/>
      <c r="AT36" s="1235" t="n"/>
      <c r="AU36" s="1235" t="n"/>
      <c r="AV36" s="4956" t="n"/>
      <c r="AW36" s="4956" t="n"/>
      <c r="AX36" s="12484" t="n"/>
      <c r="AY36" s="1236" t="n"/>
      <c r="BA36" s="658" t="n"/>
      <c r="BB36" s="658" t="n"/>
      <c r="BC36" s="658" t="n"/>
      <c r="BD36" s="658" t="n"/>
      <c r="BE36" s="658" t="n"/>
      <c r="BF36" s="658" t="n"/>
      <c r="BG36" s="658" t="n"/>
      <c r="BH36" s="658" t="n"/>
      <c r="BI36" s="658" t="n"/>
      <c r="BJ36" s="658" t="n"/>
    </row>
    <row r="37" ht="13.5" customFormat="1" customHeight="1" s="815">
      <c r="A37" s="2013" t="n"/>
      <c r="B37" s="8439" t="n"/>
      <c r="C37" s="2299" t="inlineStr">
        <is>
          <t>asset accounts, check here</t>
        </is>
      </c>
      <c r="D37" s="8650" t="n"/>
      <c r="E37" s="8650" t="n"/>
      <c r="F37" s="344" t="n"/>
      <c r="G37" s="344" t="n"/>
      <c r="H37" s="344" t="n"/>
      <c r="I37" s="344" t="n"/>
      <c r="J37" s="344" t="n"/>
      <c r="K37" s="344" t="n"/>
      <c r="L37" s="344" t="n"/>
      <c r="M37" s="344" t="n"/>
      <c r="N37" s="344" t="n"/>
      <c r="O37" s="344" t="n"/>
      <c r="P37" s="344" t="n"/>
      <c r="Q37" s="344" t="n"/>
      <c r="R37" s="344" t="n"/>
      <c r="S37" s="344" t="n"/>
      <c r="T37" s="344" t="n"/>
      <c r="U37" s="344" t="n"/>
      <c r="V37" s="344" t="n"/>
      <c r="W37" s="9750" t="n"/>
      <c r="X37" s="344" t="n"/>
      <c r="Y37" s="1401" t="inlineStr">
        <is>
          <t xml:space="preserve">.   .   .   .   .   .   .   .   .   .   .   .   .   .   .   .   .   .   .   .   .   .   .   .   .   .   .  </t>
        </is>
      </c>
      <c r="Z37" s="1238" t="n"/>
      <c r="AA37" s="3797" t="n"/>
      <c r="AB37" s="4167" t="n"/>
      <c r="AC37" s="4168" t="n"/>
      <c r="AD37" s="4168" t="n"/>
      <c r="AE37" s="4865" t="n"/>
      <c r="AF37" s="4865" t="n"/>
      <c r="AG37" s="4865" t="n"/>
      <c r="AH37" s="4865" t="n"/>
      <c r="AI37" s="4865" t="n"/>
      <c r="AJ37" s="4865" t="n"/>
      <c r="AK37" s="2013" t="n"/>
      <c r="AL37" s="11602" t="n"/>
      <c r="AM37" s="512" t="n"/>
      <c r="AN37" s="11602" t="n"/>
      <c r="AO37" s="1234" t="n"/>
      <c r="AP37" s="12483" t="n"/>
      <c r="AQ37" s="1235" t="n"/>
      <c r="AR37" s="12484" t="n"/>
      <c r="AS37" s="1235" t="n"/>
      <c r="AT37" s="1235" t="n"/>
      <c r="AU37" s="1235" t="n"/>
      <c r="AV37" s="4956" t="n"/>
      <c r="AW37" s="4956" t="n"/>
      <c r="AX37" s="12484" t="n"/>
      <c r="AY37" s="1236" t="n"/>
      <c r="BA37" s="658" t="n"/>
      <c r="BB37" s="658" t="n"/>
      <c r="BC37" s="658" t="n"/>
      <c r="BD37" s="658" t="n"/>
      <c r="BE37" s="658" t="n"/>
      <c r="BF37" s="658" t="n"/>
      <c r="BG37" s="658" t="n"/>
      <c r="BH37" s="658" t="n"/>
      <c r="BI37" s="658" t="n"/>
      <c r="BJ37" s="658" t="n"/>
    </row>
    <row r="38" ht="5.25" customFormat="1" customHeight="1" s="815">
      <c r="A38" s="2013" t="n"/>
      <c r="B38" s="8595" t="n"/>
      <c r="C38" s="4881" t="n"/>
      <c r="D38" s="1996" t="n"/>
      <c r="E38" s="1996" t="n"/>
      <c r="F38" s="569" t="n"/>
      <c r="G38" s="569" t="n"/>
      <c r="H38" s="569" t="n"/>
      <c r="I38" s="569" t="n"/>
      <c r="J38" s="569" t="n"/>
      <c r="K38" s="569" t="n"/>
      <c r="L38" s="569" t="n"/>
      <c r="M38" s="569" t="n"/>
      <c r="N38" s="569" t="n"/>
      <c r="O38" s="569" t="n"/>
      <c r="P38" s="569" t="n"/>
      <c r="Q38" s="569" t="n"/>
      <c r="R38" s="569" t="n"/>
      <c r="S38" s="569" t="n"/>
      <c r="T38" s="569" t="n"/>
      <c r="U38" s="569" t="n"/>
      <c r="V38" s="569" t="n"/>
      <c r="W38" s="2304" t="n"/>
      <c r="X38" s="569" t="n"/>
      <c r="Y38" s="569" t="n"/>
      <c r="Z38" s="10928" t="n"/>
      <c r="AA38" s="4882" t="n"/>
      <c r="AB38" s="4207" t="n"/>
      <c r="AC38" s="4208" t="n"/>
      <c r="AD38" s="4208" t="n"/>
      <c r="AE38" s="4883" t="n"/>
      <c r="AF38" s="4883" t="n"/>
      <c r="AG38" s="4883" t="n"/>
      <c r="AH38" s="4883" t="n"/>
      <c r="AI38" s="4883" t="n"/>
      <c r="AJ38" s="4883" t="n"/>
      <c r="AK38" s="2013" t="n"/>
      <c r="AL38" s="11602" t="n"/>
      <c r="AM38" s="512" t="n"/>
      <c r="AN38" s="11602" t="n"/>
      <c r="AP38" s="12490" t="n"/>
      <c r="AR38" s="12473" t="n"/>
      <c r="AV38" s="950" t="n"/>
      <c r="AW38" s="950" t="n"/>
      <c r="AX38" s="12473" t="n"/>
      <c r="BA38" s="658" t="n"/>
      <c r="BB38" s="658" t="n"/>
      <c r="BC38" s="658" t="n"/>
      <c r="BD38" s="658" t="n"/>
      <c r="BE38" s="658" t="n"/>
      <c r="BF38" s="658" t="n"/>
      <c r="BG38" s="658" t="n"/>
      <c r="BH38" s="658" t="n"/>
      <c r="BI38" s="658" t="n"/>
      <c r="BJ38" s="658" t="n"/>
    </row>
    <row r="39" ht="15.75" customFormat="1" customHeight="1" s="1115">
      <c r="A39" s="2290" t="n"/>
      <c r="B39" s="4877">
        <f>"Section B—Assets Placed in Service During "&amp;TaxYear&amp;" Tax Year Using the General Depreciation System"</f>
        <v/>
      </c>
      <c r="C39" s="4875" t="n"/>
      <c r="D39" s="4876" t="n"/>
      <c r="E39" s="4877" t="n"/>
      <c r="F39" s="4878" t="n"/>
      <c r="G39" s="4878" t="n"/>
      <c r="H39" s="4878" t="n"/>
      <c r="I39" s="4878" t="n"/>
      <c r="J39" s="4878" t="n"/>
      <c r="K39" s="4878" t="n"/>
      <c r="L39" s="4878" t="n"/>
      <c r="M39" s="4878" t="n"/>
      <c r="N39" s="4878" t="n"/>
      <c r="O39" s="4878" t="n"/>
      <c r="P39" s="4878" t="n"/>
      <c r="Q39" s="4878" t="n"/>
      <c r="R39" s="4878" t="n"/>
      <c r="S39" s="4878" t="n"/>
      <c r="T39" s="4878" t="n"/>
      <c r="U39" s="4878" t="n"/>
      <c r="V39" s="4878" t="n"/>
      <c r="W39" s="4878" t="n"/>
      <c r="X39" s="4878" t="n"/>
      <c r="Y39" s="4878" t="n"/>
      <c r="Z39" s="4878" t="n"/>
      <c r="AA39" s="4878" t="n"/>
      <c r="AB39" s="4878" t="n"/>
      <c r="AC39" s="4878" t="n"/>
      <c r="AD39" s="4878" t="n"/>
      <c r="AE39" s="4878" t="n"/>
      <c r="AF39" s="4878" t="n"/>
      <c r="AG39" s="4878" t="n"/>
      <c r="AH39" s="4878" t="n"/>
      <c r="AI39" s="4879" t="n"/>
      <c r="AJ39" s="4879" t="n"/>
      <c r="AK39" s="2290" t="n"/>
      <c r="AL39" s="11602" t="n"/>
      <c r="AM39" s="512" t="n"/>
      <c r="AN39" s="11602" t="n"/>
      <c r="AO39" s="1234" t="n"/>
      <c r="AP39" s="12483" t="n"/>
      <c r="AQ39" s="1235" t="n"/>
      <c r="AR39" s="12484" t="n"/>
      <c r="AS39" s="1235" t="n"/>
      <c r="AT39" s="1235" t="n"/>
      <c r="AU39" s="1235" t="n"/>
      <c r="AV39" s="4956" t="n"/>
      <c r="AW39" s="4956" t="n"/>
      <c r="AX39" s="12484" t="n"/>
      <c r="AY39" s="1236" t="n"/>
      <c r="BA39" s="658" t="n"/>
      <c r="BB39" s="658" t="n"/>
      <c r="BC39" s="658" t="n"/>
      <c r="BD39" s="658" t="n"/>
      <c r="BE39" s="658" t="n"/>
      <c r="BF39" s="658" t="n"/>
      <c r="BG39" s="658" t="n"/>
      <c r="BH39" s="658" t="n"/>
      <c r="BI39" s="658" t="n"/>
      <c r="BJ39" s="658" t="n"/>
      <c r="BK39" s="2293" t="n"/>
    </row>
    <row r="40" ht="42" customFormat="1" customHeight="1" s="815">
      <c r="A40" s="2013" t="n"/>
      <c r="B40" s="10177" t="inlineStr">
        <is>
          <t>(a) Classification of property</t>
        </is>
      </c>
      <c r="C40" s="8412" t="n"/>
      <c r="D40" s="8412" t="n"/>
      <c r="E40" s="8412" t="n"/>
      <c r="F40" s="8412" t="n"/>
      <c r="G40" s="11734" t="n"/>
      <c r="H40" s="11976" t="inlineStr">
        <is>
          <t>(b) Month and year placed in 
service</t>
        </is>
      </c>
      <c r="I40" s="8412" t="n"/>
      <c r="J40" s="8412" t="n"/>
      <c r="K40" s="8412" t="n"/>
      <c r="L40" s="11734" t="n"/>
      <c r="M40" s="12126" t="inlineStr">
        <is>
          <t>(c) Basis for depreciation (business/investment use only—see instructions)</t>
        </is>
      </c>
      <c r="N40" s="8412" t="n"/>
      <c r="O40" s="8412" t="n"/>
      <c r="P40" s="8412" t="n"/>
      <c r="Q40" s="8412" t="n"/>
      <c r="R40" s="11734" t="n"/>
      <c r="S40" s="12491" t="inlineStr">
        <is>
          <t>(d) Recovery period</t>
        </is>
      </c>
      <c r="T40" s="8412" t="n"/>
      <c r="U40" s="11734" t="n"/>
      <c r="V40" s="11976" t="inlineStr">
        <is>
          <t>(e) Convention</t>
        </is>
      </c>
      <c r="W40" s="8412" t="n"/>
      <c r="X40" s="11734" t="n"/>
      <c r="Y40" s="10177" t="inlineStr">
        <is>
          <t>(f) Method</t>
        </is>
      </c>
      <c r="Z40" s="8412" t="n"/>
      <c r="AA40" s="8412" t="n"/>
      <c r="AB40" s="8412" t="n"/>
      <c r="AC40" s="11734" t="n"/>
      <c r="AD40" s="10173" t="inlineStr">
        <is>
          <t>(g) Depreciation deduction</t>
        </is>
      </c>
      <c r="AE40" s="8412" t="n"/>
      <c r="AF40" s="8412" t="n"/>
      <c r="AG40" s="8412" t="n"/>
      <c r="AH40" s="8412" t="n"/>
      <c r="AI40" s="8412" t="n"/>
      <c r="AJ40" s="8412" t="n"/>
      <c r="AK40" s="2013" t="n"/>
      <c r="AL40" s="11602" t="n"/>
      <c r="AM40" s="512" t="n"/>
      <c r="AN40" s="11602" t="n"/>
      <c r="AV40" s="950" t="n"/>
      <c r="AW40" s="950" t="n"/>
      <c r="AX40" s="12473" t="n"/>
      <c r="BA40" s="658" t="n"/>
      <c r="BB40" s="658" t="n"/>
      <c r="BC40" s="658" t="n"/>
      <c r="BD40" s="658" t="n"/>
      <c r="BE40" s="658" t="n"/>
      <c r="BF40" s="658" t="n"/>
      <c r="BG40" s="658" t="n"/>
      <c r="BH40" s="658" t="n"/>
      <c r="BI40" s="658" t="n"/>
      <c r="BJ40" s="658" t="n"/>
    </row>
    <row r="41" ht="16.5" customFormat="1" customHeight="1" s="1239">
      <c r="A41" s="2306" t="n"/>
      <c r="B41" s="4203" t="inlineStr">
        <is>
          <t>19a</t>
        </is>
      </c>
      <c r="C41" s="10168" t="inlineStr">
        <is>
          <t>3-year property</t>
        </is>
      </c>
      <c r="D41" s="8412" t="n"/>
      <c r="E41" s="8412" t="n"/>
      <c r="F41" s="8412" t="n"/>
      <c r="G41" s="11734" t="n"/>
      <c r="H41" s="12492" t="n"/>
      <c r="I41" s="8412" t="n"/>
      <c r="J41" s="8412" t="n"/>
      <c r="K41" s="8412" t="n"/>
      <c r="L41" s="11734" t="n"/>
      <c r="M41" s="12493" t="n"/>
      <c r="N41" s="8007" t="n"/>
      <c r="O41" s="8007" t="n"/>
      <c r="P41" s="8007" t="n"/>
      <c r="Q41" s="8007" t="n"/>
      <c r="R41" s="8008" t="n"/>
      <c r="S41" s="12494" t="n"/>
      <c r="T41" s="8007" t="n"/>
      <c r="U41" s="8008" t="n"/>
      <c r="V41" s="12495" t="n"/>
      <c r="W41" s="8007" t="n"/>
      <c r="X41" s="8008" t="n"/>
      <c r="Y41" s="12496" t="n"/>
      <c r="Z41" s="8007" t="n"/>
      <c r="AA41" s="8007" t="n"/>
      <c r="AB41" s="8007" t="n"/>
      <c r="AC41" s="8008" t="n"/>
      <c r="AD41" s="7574" t="n"/>
      <c r="AE41" s="11717" t="n"/>
      <c r="AF41" s="11717" t="n"/>
      <c r="AG41" s="11717" t="n"/>
      <c r="AH41" s="11717" t="n"/>
      <c r="AI41" s="11717" t="n"/>
      <c r="AJ41" s="11717" t="n"/>
      <c r="AK41" s="2306" t="n"/>
      <c r="AL41" s="411" t="n"/>
      <c r="AM41" s="2305">
        <f>ROUND(AD41,0)</f>
        <v/>
      </c>
      <c r="AN41" s="411" t="n"/>
      <c r="AO41" s="4884" t="n"/>
      <c r="AV41" s="4957" t="n"/>
      <c r="AW41" s="4957" t="n"/>
      <c r="AX41" s="12497" t="n"/>
      <c r="BA41" s="665" t="n"/>
      <c r="BB41" s="665" t="n"/>
      <c r="BC41" s="665" t="n"/>
      <c r="BD41" s="665" t="n"/>
      <c r="BE41" s="665" t="n"/>
      <c r="BF41" s="665" t="n"/>
      <c r="BG41" s="665" t="n"/>
      <c r="BH41" s="665" t="n"/>
      <c r="BI41" s="665" t="n"/>
      <c r="BJ41" s="665" t="n"/>
      <c r="BK41" s="9864" t="n"/>
    </row>
    <row r="42" ht="16.5" customFormat="1" customHeight="1" s="1239">
      <c r="A42" s="2306" t="n"/>
      <c r="B42" s="4885" t="inlineStr">
        <is>
          <t xml:space="preserve">   b </t>
        </is>
      </c>
      <c r="C42" s="10168" t="inlineStr">
        <is>
          <t>5-year property</t>
        </is>
      </c>
      <c r="D42" s="8412" t="n"/>
      <c r="E42" s="8412" t="n"/>
      <c r="F42" s="8412" t="n"/>
      <c r="G42" s="11734" t="n"/>
      <c r="H42" s="12492" t="n"/>
      <c r="I42" s="8412" t="n"/>
      <c r="J42" s="8412" t="n"/>
      <c r="K42" s="8412" t="n"/>
      <c r="L42" s="11734" t="n"/>
      <c r="M42" s="12493" t="n"/>
      <c r="N42" s="8007" t="n"/>
      <c r="O42" s="8007" t="n"/>
      <c r="P42" s="8007" t="n"/>
      <c r="Q42" s="8007" t="n"/>
      <c r="R42" s="8008" t="n"/>
      <c r="S42" s="12494" t="n"/>
      <c r="T42" s="8007" t="n"/>
      <c r="U42" s="8008" t="n"/>
      <c r="V42" s="12495" t="n"/>
      <c r="W42" s="8007" t="n"/>
      <c r="X42" s="8008" t="n"/>
      <c r="Y42" s="12496" t="n"/>
      <c r="Z42" s="8007" t="n"/>
      <c r="AA42" s="8007" t="n"/>
      <c r="AB42" s="8007" t="n"/>
      <c r="AC42" s="8008" t="n"/>
      <c r="AD42" s="7574" t="n"/>
      <c r="AE42" s="11717" t="n"/>
      <c r="AF42" s="11717" t="n"/>
      <c r="AG42" s="11717" t="n"/>
      <c r="AH42" s="11717" t="n"/>
      <c r="AI42" s="11717" t="n"/>
      <c r="AJ42" s="11717" t="n"/>
      <c r="AK42" s="2306" t="n"/>
      <c r="AL42" s="411" t="n"/>
      <c r="AM42" s="2305">
        <f>ROUND(AD42,0)</f>
        <v/>
      </c>
      <c r="AN42" s="411" t="n"/>
      <c r="AO42" s="4884" t="n"/>
      <c r="AV42" s="4957" t="n"/>
      <c r="AW42" s="4957" t="n"/>
      <c r="AX42" s="12497" t="n"/>
      <c r="BA42" s="665" t="n"/>
      <c r="BB42" s="665" t="n"/>
      <c r="BC42" s="665" t="n"/>
      <c r="BD42" s="665" t="n"/>
      <c r="BE42" s="665" t="n"/>
      <c r="BF42" s="665" t="n"/>
      <c r="BG42" s="665" t="n"/>
      <c r="BH42" s="665" t="n"/>
      <c r="BI42" s="665" t="n"/>
      <c r="BJ42" s="665" t="n"/>
      <c r="BK42" s="9864" t="n"/>
    </row>
    <row r="43" ht="16.5" customFormat="1" customHeight="1" s="1239">
      <c r="A43" s="2306" t="n"/>
      <c r="B43" s="4885" t="inlineStr">
        <is>
          <t xml:space="preserve">   c  </t>
        </is>
      </c>
      <c r="C43" s="10168" t="inlineStr">
        <is>
          <t>7-year property</t>
        </is>
      </c>
      <c r="D43" s="8412" t="n"/>
      <c r="E43" s="8412" t="n"/>
      <c r="F43" s="8412" t="n"/>
      <c r="G43" s="11734" t="n"/>
      <c r="H43" s="12492" t="n"/>
      <c r="I43" s="8412" t="n"/>
      <c r="J43" s="8412" t="n"/>
      <c r="K43" s="8412" t="n"/>
      <c r="L43" s="11734" t="n"/>
      <c r="M43" s="12493" t="n"/>
      <c r="N43" s="8007" t="n"/>
      <c r="O43" s="8007" t="n"/>
      <c r="P43" s="8007" t="n"/>
      <c r="Q43" s="8007" t="n"/>
      <c r="R43" s="8008" t="n"/>
      <c r="S43" s="12494" t="n"/>
      <c r="T43" s="8007" t="n"/>
      <c r="U43" s="8008" t="n"/>
      <c r="V43" s="12495" t="n"/>
      <c r="W43" s="8007" t="n"/>
      <c r="X43" s="8008" t="n"/>
      <c r="Y43" s="12496" t="n"/>
      <c r="Z43" s="8007" t="n"/>
      <c r="AA43" s="8007" t="n"/>
      <c r="AB43" s="8007" t="n"/>
      <c r="AC43" s="8008" t="n"/>
      <c r="AD43" s="7574" t="n"/>
      <c r="AE43" s="11717" t="n"/>
      <c r="AF43" s="11717" t="n"/>
      <c r="AG43" s="11717" t="n"/>
      <c r="AH43" s="11717" t="n"/>
      <c r="AI43" s="11717" t="n"/>
      <c r="AJ43" s="11717" t="n"/>
      <c r="AK43" s="2306" t="n"/>
      <c r="AL43" s="411" t="n"/>
      <c r="AM43" s="2305">
        <f>ROUND(AD43,0)</f>
        <v/>
      </c>
      <c r="AN43" s="411" t="n"/>
      <c r="AO43" s="4884" t="n"/>
      <c r="AV43" s="4957" t="n"/>
      <c r="AW43" s="4957" t="n"/>
      <c r="AX43" s="12497" t="n"/>
      <c r="BA43" s="665" t="n"/>
      <c r="BB43" s="665" t="n"/>
      <c r="BC43" s="665" t="n"/>
      <c r="BD43" s="665" t="n"/>
      <c r="BE43" s="665" t="n"/>
      <c r="BF43" s="665" t="n"/>
      <c r="BG43" s="665" t="n"/>
      <c r="BH43" s="665" t="n"/>
      <c r="BI43" s="665" t="n"/>
      <c r="BJ43" s="665" t="n"/>
      <c r="BK43" s="9864" t="n"/>
    </row>
    <row r="44" ht="16.5" customFormat="1" customHeight="1" s="1239">
      <c r="A44" s="2306" t="n"/>
      <c r="B44" s="4885" t="inlineStr">
        <is>
          <t xml:space="preserve">   d  </t>
        </is>
      </c>
      <c r="C44" s="10168" t="inlineStr">
        <is>
          <t>10-year property</t>
        </is>
      </c>
      <c r="D44" s="8412" t="n"/>
      <c r="E44" s="8412" t="n"/>
      <c r="F44" s="8412" t="n"/>
      <c r="G44" s="11734" t="n"/>
      <c r="H44" s="12492" t="n"/>
      <c r="I44" s="8412" t="n"/>
      <c r="J44" s="8412" t="n"/>
      <c r="K44" s="8412" t="n"/>
      <c r="L44" s="11734" t="n"/>
      <c r="M44" s="12493" t="n"/>
      <c r="N44" s="8007" t="n"/>
      <c r="O44" s="8007" t="n"/>
      <c r="P44" s="8007" t="n"/>
      <c r="Q44" s="8007" t="n"/>
      <c r="R44" s="8008" t="n"/>
      <c r="S44" s="12494" t="n"/>
      <c r="T44" s="8007" t="n"/>
      <c r="U44" s="8008" t="n"/>
      <c r="V44" s="12495" t="n"/>
      <c r="W44" s="8007" t="n"/>
      <c r="X44" s="8008" t="n"/>
      <c r="Y44" s="12496" t="n"/>
      <c r="Z44" s="8007" t="n"/>
      <c r="AA44" s="8007" t="n"/>
      <c r="AB44" s="8007" t="n"/>
      <c r="AC44" s="8008" t="n"/>
      <c r="AD44" s="7574" t="n"/>
      <c r="AE44" s="11717" t="n"/>
      <c r="AF44" s="11717" t="n"/>
      <c r="AG44" s="11717" t="n"/>
      <c r="AH44" s="11717" t="n"/>
      <c r="AI44" s="11717" t="n"/>
      <c r="AJ44" s="11717" t="n"/>
      <c r="AK44" s="2306" t="n"/>
      <c r="AL44" s="411" t="n"/>
      <c r="AM44" s="2305">
        <f>ROUND(AD44,0)</f>
        <v/>
      </c>
      <c r="AN44" s="411" t="n"/>
      <c r="AO44" s="9864" t="n"/>
      <c r="AV44" s="4957" t="n"/>
      <c r="AW44" s="4957" t="n"/>
      <c r="AX44" s="12497" t="n"/>
      <c r="BA44" s="665" t="n"/>
      <c r="BB44" s="665" t="n"/>
      <c r="BC44" s="665" t="n"/>
      <c r="BD44" s="665" t="n"/>
      <c r="BE44" s="665" t="n"/>
      <c r="BF44" s="665" t="n"/>
      <c r="BG44" s="665" t="n"/>
      <c r="BH44" s="665" t="n"/>
      <c r="BI44" s="665" t="n"/>
      <c r="BJ44" s="665" t="n"/>
      <c r="BK44" s="9864" t="n"/>
    </row>
    <row r="45" ht="16.5" customFormat="1" customHeight="1" s="1239">
      <c r="A45" s="2306" t="n"/>
      <c r="B45" s="4885" t="inlineStr">
        <is>
          <t xml:space="preserve">   e  </t>
        </is>
      </c>
      <c r="C45" s="10168" t="inlineStr">
        <is>
          <t>15-year property</t>
        </is>
      </c>
      <c r="D45" s="8412" t="n"/>
      <c r="E45" s="8412" t="n"/>
      <c r="F45" s="8412" t="n"/>
      <c r="G45" s="11734" t="n"/>
      <c r="H45" s="12492" t="n"/>
      <c r="I45" s="8412" t="n"/>
      <c r="J45" s="8412" t="n"/>
      <c r="K45" s="8412" t="n"/>
      <c r="L45" s="11734" t="n"/>
      <c r="M45" s="12493" t="n"/>
      <c r="N45" s="8007" t="n"/>
      <c r="O45" s="8007" t="n"/>
      <c r="P45" s="8007" t="n"/>
      <c r="Q45" s="8007" t="n"/>
      <c r="R45" s="8008" t="n"/>
      <c r="S45" s="12494" t="n"/>
      <c r="T45" s="8007" t="n"/>
      <c r="U45" s="8008" t="n"/>
      <c r="V45" s="12495" t="n"/>
      <c r="W45" s="8007" t="n"/>
      <c r="X45" s="8008" t="n"/>
      <c r="Y45" s="12496" t="n"/>
      <c r="Z45" s="8007" t="n"/>
      <c r="AA45" s="8007" t="n"/>
      <c r="AB45" s="8007" t="n"/>
      <c r="AC45" s="8008" t="n"/>
      <c r="AD45" s="7574" t="n"/>
      <c r="AE45" s="11717" t="n"/>
      <c r="AF45" s="11717" t="n"/>
      <c r="AG45" s="11717" t="n"/>
      <c r="AH45" s="11717" t="n"/>
      <c r="AI45" s="11717" t="n"/>
      <c r="AJ45" s="11717" t="n"/>
      <c r="AK45" s="2306" t="n"/>
      <c r="AL45" s="411" t="n"/>
      <c r="AM45" s="2305">
        <f>ROUND(AD45,0)</f>
        <v/>
      </c>
      <c r="AN45" s="411" t="n"/>
      <c r="AO45" s="9864" t="n"/>
      <c r="AV45" s="4957" t="n"/>
      <c r="AW45" s="4957" t="n"/>
      <c r="AX45" s="12497" t="n"/>
      <c r="BA45" s="665" t="n"/>
      <c r="BB45" s="665" t="n"/>
      <c r="BC45" s="665" t="n"/>
      <c r="BD45" s="665" t="n"/>
      <c r="BE45" s="665" t="n"/>
      <c r="BF45" s="665" t="n"/>
      <c r="BG45" s="665" t="n"/>
      <c r="BH45" s="665" t="n"/>
      <c r="BI45" s="665" t="n"/>
      <c r="BJ45" s="665" t="n"/>
      <c r="BK45" s="9864" t="n"/>
    </row>
    <row r="46" ht="16.5" customFormat="1" customHeight="1" s="1239">
      <c r="A46" s="2306" t="n"/>
      <c r="B46" s="4885" t="inlineStr">
        <is>
          <t xml:space="preserve">   f  </t>
        </is>
      </c>
      <c r="C46" s="10168" t="inlineStr">
        <is>
          <t>20-year property</t>
        </is>
      </c>
      <c r="D46" s="8412" t="n"/>
      <c r="E46" s="8412" t="n"/>
      <c r="F46" s="8412" t="n"/>
      <c r="G46" s="11734" t="n"/>
      <c r="H46" s="12492" t="n"/>
      <c r="I46" s="8412" t="n"/>
      <c r="J46" s="8412" t="n"/>
      <c r="K46" s="8412" t="n"/>
      <c r="L46" s="11734" t="n"/>
      <c r="M46" s="12493" t="n"/>
      <c r="N46" s="8007" t="n"/>
      <c r="O46" s="8007" t="n"/>
      <c r="P46" s="8007" t="n"/>
      <c r="Q46" s="8007" t="n"/>
      <c r="R46" s="8008" t="n"/>
      <c r="S46" s="12494" t="n"/>
      <c r="T46" s="8007" t="n"/>
      <c r="U46" s="8008" t="n"/>
      <c r="V46" s="12495" t="n"/>
      <c r="W46" s="8007" t="n"/>
      <c r="X46" s="8008" t="n"/>
      <c r="Y46" s="12496" t="n"/>
      <c r="Z46" s="8007" t="n"/>
      <c r="AA46" s="8007" t="n"/>
      <c r="AB46" s="8007" t="n"/>
      <c r="AC46" s="8008" t="n"/>
      <c r="AD46" s="7574" t="n"/>
      <c r="AE46" s="11717" t="n"/>
      <c r="AF46" s="11717" t="n"/>
      <c r="AG46" s="11717" t="n"/>
      <c r="AH46" s="11717" t="n"/>
      <c r="AI46" s="11717" t="n"/>
      <c r="AJ46" s="11717" t="n"/>
      <c r="AK46" s="2306" t="n"/>
      <c r="AL46" s="411" t="n"/>
      <c r="AM46" s="2305">
        <f>ROUND(AD46,0)</f>
        <v/>
      </c>
      <c r="AN46" s="411" t="n"/>
      <c r="AO46" s="9864" t="n"/>
      <c r="AV46" s="4957" t="n"/>
      <c r="AW46" s="4957" t="n"/>
      <c r="AX46" s="12497" t="n"/>
      <c r="BA46" s="665" t="n"/>
      <c r="BB46" s="665" t="n"/>
      <c r="BC46" s="665" t="n"/>
      <c r="BD46" s="665" t="n"/>
      <c r="BE46" s="665" t="n"/>
      <c r="BF46" s="665" t="n"/>
      <c r="BG46" s="665" t="n"/>
      <c r="BH46" s="665" t="n"/>
      <c r="BI46" s="665" t="n"/>
      <c r="BJ46" s="665" t="n"/>
      <c r="BK46" s="9864" t="n"/>
    </row>
    <row r="47" ht="16.5" customFormat="1" customHeight="1" s="1239">
      <c r="A47" s="2306" t="n"/>
      <c r="B47" s="4885" t="inlineStr">
        <is>
          <t xml:space="preserve">   g  </t>
        </is>
      </c>
      <c r="C47" s="10168" t="inlineStr">
        <is>
          <t>25-year property</t>
        </is>
      </c>
      <c r="D47" s="8412" t="n"/>
      <c r="E47" s="8412" t="n"/>
      <c r="F47" s="8412" t="n"/>
      <c r="G47" s="11734" t="n"/>
      <c r="H47" s="12492" t="n"/>
      <c r="I47" s="8412" t="n"/>
      <c r="J47" s="8412" t="n"/>
      <c r="K47" s="8412" t="n"/>
      <c r="L47" s="11734" t="n"/>
      <c r="M47" s="12493" t="n"/>
      <c r="N47" s="8007" t="n"/>
      <c r="O47" s="8007" t="n"/>
      <c r="P47" s="8007" t="n"/>
      <c r="Q47" s="8007" t="n"/>
      <c r="R47" s="8008" t="n"/>
      <c r="S47" s="12498" t="inlineStr">
        <is>
          <t>25 yrs.</t>
        </is>
      </c>
      <c r="T47" s="8412" t="n"/>
      <c r="U47" s="11734" t="n"/>
      <c r="V47" s="12495" t="n"/>
      <c r="W47" s="8007" t="n"/>
      <c r="X47" s="8008" t="n"/>
      <c r="Y47" s="12499" t="inlineStr">
        <is>
          <t>S/L</t>
        </is>
      </c>
      <c r="Z47" s="8412" t="n"/>
      <c r="AA47" s="8412" t="n"/>
      <c r="AB47" s="8412" t="n"/>
      <c r="AC47" s="11734" t="n"/>
      <c r="AD47" s="7574" t="n"/>
      <c r="AE47" s="11717" t="n"/>
      <c r="AF47" s="11717" t="n"/>
      <c r="AG47" s="11717" t="n"/>
      <c r="AH47" s="11717" t="n"/>
      <c r="AI47" s="11717" t="n"/>
      <c r="AJ47" s="11717" t="n"/>
      <c r="AK47" s="2306" t="n"/>
      <c r="AL47" s="411" t="n"/>
      <c r="AM47" s="2305">
        <f>ROUND(AD47,0)</f>
        <v/>
      </c>
      <c r="AN47" s="411" t="n"/>
      <c r="AO47" s="9864" t="n"/>
      <c r="AV47" s="4957" t="n"/>
      <c r="AW47" s="4957" t="n"/>
      <c r="AX47" s="12497" t="n"/>
      <c r="BA47" s="665" t="n"/>
      <c r="BB47" s="665" t="n"/>
      <c r="BC47" s="665" t="n"/>
      <c r="BD47" s="665" t="n"/>
      <c r="BE47" s="665" t="n"/>
      <c r="BF47" s="665" t="n"/>
      <c r="BG47" s="665" t="n"/>
      <c r="BH47" s="665" t="n"/>
      <c r="BI47" s="665" t="n"/>
      <c r="BJ47" s="665" t="n"/>
      <c r="BK47" s="9864" t="n"/>
    </row>
    <row r="48" ht="16.5" customFormat="1" customHeight="1" s="1239">
      <c r="A48" s="2306" t="n"/>
      <c r="B48" s="10083" t="inlineStr">
        <is>
          <t xml:space="preserve">  h</t>
        </is>
      </c>
      <c r="C48" s="10168" t="inlineStr">
        <is>
          <t>50-year property</t>
        </is>
      </c>
      <c r="D48" s="8412" t="n"/>
      <c r="E48" s="8412" t="n"/>
      <c r="F48" s="8412" t="n"/>
      <c r="G48" s="11734" t="n"/>
      <c r="H48" s="12492" t="n"/>
      <c r="I48" s="8412" t="n"/>
      <c r="J48" s="8412" t="n"/>
      <c r="K48" s="8412" t="n"/>
      <c r="L48" s="11734" t="n"/>
      <c r="M48" s="12493" t="n"/>
      <c r="N48" s="8007" t="n"/>
      <c r="O48" s="8007" t="n"/>
      <c r="P48" s="8007" t="n"/>
      <c r="Q48" s="8007" t="n"/>
      <c r="R48" s="8008" t="n"/>
      <c r="S48" s="12498" t="inlineStr">
        <is>
          <t>50 yrs.</t>
        </is>
      </c>
      <c r="T48" s="8412" t="n"/>
      <c r="U48" s="11734" t="n"/>
      <c r="V48" s="12495" t="n"/>
      <c r="W48" s="8007" t="n"/>
      <c r="X48" s="8008" t="n"/>
      <c r="Y48" s="12499" t="inlineStr">
        <is>
          <t>S/L</t>
        </is>
      </c>
      <c r="Z48" s="8412" t="n"/>
      <c r="AA48" s="8412" t="n"/>
      <c r="AB48" s="8412" t="n"/>
      <c r="AC48" s="11734" t="n"/>
      <c r="AD48" s="7574" t="n"/>
      <c r="AE48" s="11717" t="n"/>
      <c r="AF48" s="11717" t="n"/>
      <c r="AG48" s="11717" t="n"/>
      <c r="AH48" s="11717" t="n"/>
      <c r="AI48" s="11717" t="n"/>
      <c r="AJ48" s="11717" t="n"/>
      <c r="AK48" s="2306" t="n"/>
      <c r="AL48" s="411" t="n"/>
      <c r="AM48" s="2305">
        <f>ROUND(AD48,0)</f>
        <v/>
      </c>
      <c r="AN48" s="411" t="n"/>
      <c r="AO48" s="9864" t="n"/>
      <c r="AV48" s="4957" t="n"/>
      <c r="AW48" s="4957" t="n"/>
      <c r="AX48" s="12497" t="n"/>
      <c r="BA48" s="665" t="n"/>
      <c r="BB48" s="665" t="n"/>
      <c r="BC48" s="665" t="n"/>
      <c r="BD48" s="665" t="n"/>
      <c r="BE48" s="665" t="n"/>
      <c r="BF48" s="665" t="n"/>
      <c r="BG48" s="665" t="n"/>
      <c r="BH48" s="665" t="n"/>
      <c r="BI48" s="665" t="n"/>
      <c r="BJ48" s="665" t="n"/>
      <c r="BK48" s="9864" t="n"/>
    </row>
    <row r="49" ht="16.5" customFormat="1" customHeight="1" s="1239">
      <c r="A49" s="2306" t="n"/>
      <c r="B49" s="10083" t="inlineStr">
        <is>
          <t xml:space="preserve">   i  </t>
        </is>
      </c>
      <c r="C49" s="10163" t="inlineStr">
        <is>
          <t>Residential rental</t>
        </is>
      </c>
      <c r="D49" s="7839" t="n"/>
      <c r="E49" s="7839" t="n"/>
      <c r="F49" s="7839" t="n"/>
      <c r="G49" s="10091" t="n"/>
      <c r="H49" s="12500" t="n"/>
      <c r="I49" s="8007" t="n"/>
      <c r="J49" s="8007" t="n"/>
      <c r="K49" s="8007" t="n"/>
      <c r="L49" s="8008" t="n"/>
      <c r="M49" s="12493" t="n"/>
      <c r="N49" s="8007" t="n"/>
      <c r="O49" s="8007" t="n"/>
      <c r="P49" s="8007" t="n"/>
      <c r="Q49" s="8007" t="n"/>
      <c r="R49" s="8008" t="n"/>
      <c r="S49" s="12498" t="inlineStr">
        <is>
          <t>27.5 yrs.</t>
        </is>
      </c>
      <c r="T49" s="8412" t="n"/>
      <c r="U49" s="11734" t="n"/>
      <c r="V49" s="12499" t="inlineStr">
        <is>
          <t>MM</t>
        </is>
      </c>
      <c r="W49" s="8412" t="n"/>
      <c r="X49" s="11734" t="n"/>
      <c r="Y49" s="12499" t="inlineStr">
        <is>
          <t>S/L</t>
        </is>
      </c>
      <c r="Z49" s="8412" t="n"/>
      <c r="AA49" s="8412" t="n"/>
      <c r="AB49" s="8412" t="n"/>
      <c r="AC49" s="11734" t="n"/>
      <c r="AD49" s="7574" t="n"/>
      <c r="AE49" s="11717" t="n"/>
      <c r="AF49" s="11717" t="n"/>
      <c r="AG49" s="11717" t="n"/>
      <c r="AH49" s="11717" t="n"/>
      <c r="AI49" s="11717" t="n"/>
      <c r="AJ49" s="11717" t="n"/>
      <c r="AK49" s="2306" t="n"/>
      <c r="AL49" s="411" t="n"/>
      <c r="AM49" s="2305">
        <f>ROUND(AD49,0)</f>
        <v/>
      </c>
      <c r="AN49" s="411" t="n"/>
      <c r="AO49" s="9864" t="n"/>
      <c r="AV49" s="4957" t="n"/>
      <c r="AW49" s="4957" t="n"/>
      <c r="AX49" s="12497" t="n"/>
      <c r="BA49" s="665" t="n"/>
      <c r="BB49" s="665" t="n"/>
      <c r="BC49" s="665" t="n"/>
      <c r="BD49" s="665" t="n"/>
      <c r="BE49" s="665" t="n"/>
      <c r="BF49" s="665" t="n"/>
      <c r="BG49" s="665" t="n"/>
      <c r="BH49" s="665" t="n"/>
      <c r="BI49" s="665" t="n"/>
      <c r="BJ49" s="665" t="n"/>
      <c r="BK49" s="9864" t="n"/>
    </row>
    <row r="50" ht="16.5" customFormat="1" customHeight="1" s="1239">
      <c r="A50" s="2306" t="n"/>
      <c r="B50" s="8561" t="n"/>
      <c r="C50" s="10158" t="inlineStr">
        <is>
          <t>property</t>
        </is>
      </c>
      <c r="D50" s="7637" t="n"/>
      <c r="E50" s="7637" t="n"/>
      <c r="F50" s="7637" t="n"/>
      <c r="G50" s="7638" t="n"/>
      <c r="H50" s="12500" t="n"/>
      <c r="I50" s="8007" t="n"/>
      <c r="J50" s="8007" t="n"/>
      <c r="K50" s="8007" t="n"/>
      <c r="L50" s="8008" t="n"/>
      <c r="M50" s="12493" t="n"/>
      <c r="N50" s="8007" t="n"/>
      <c r="O50" s="8007" t="n"/>
      <c r="P50" s="8007" t="n"/>
      <c r="Q50" s="8007" t="n"/>
      <c r="R50" s="8008" t="n"/>
      <c r="S50" s="12498" t="inlineStr">
        <is>
          <t>27.5 yrs.</t>
        </is>
      </c>
      <c r="T50" s="8412" t="n"/>
      <c r="U50" s="11734" t="n"/>
      <c r="V50" s="12499" t="inlineStr">
        <is>
          <t>MM</t>
        </is>
      </c>
      <c r="W50" s="8412" t="n"/>
      <c r="X50" s="11734" t="n"/>
      <c r="Y50" s="12499" t="inlineStr">
        <is>
          <t>S/L</t>
        </is>
      </c>
      <c r="Z50" s="8412" t="n"/>
      <c r="AA50" s="8412" t="n"/>
      <c r="AB50" s="8412" t="n"/>
      <c r="AC50" s="11734" t="n"/>
      <c r="AD50" s="7574" t="n"/>
      <c r="AE50" s="11717" t="n"/>
      <c r="AF50" s="11717" t="n"/>
      <c r="AG50" s="11717" t="n"/>
      <c r="AH50" s="11717" t="n"/>
      <c r="AI50" s="11717" t="n"/>
      <c r="AJ50" s="11717" t="n"/>
      <c r="AK50" s="2306" t="n"/>
      <c r="AL50" s="411" t="n"/>
      <c r="AM50" s="2305">
        <f>ROUND(AD50,0)</f>
        <v/>
      </c>
      <c r="AN50" s="411" t="n"/>
      <c r="AO50" s="9864" t="n"/>
      <c r="AV50" s="4957" t="n"/>
      <c r="AW50" s="4957" t="n"/>
      <c r="AX50" s="12497" t="n"/>
      <c r="BA50" s="665" t="n"/>
      <c r="BB50" s="665" t="n"/>
      <c r="BC50" s="665" t="n"/>
      <c r="BD50" s="665" t="n"/>
      <c r="BE50" s="665" t="n"/>
      <c r="BF50" s="665" t="n"/>
      <c r="BG50" s="665" t="n"/>
      <c r="BH50" s="665" t="n"/>
      <c r="BI50" s="665" t="n"/>
      <c r="BJ50" s="665" t="n"/>
      <c r="BK50" s="9864" t="n"/>
    </row>
    <row r="51" ht="16.5" customFormat="1" customHeight="1" s="1239">
      <c r="A51" s="2306" t="n"/>
      <c r="B51" s="10083" t="inlineStr">
        <is>
          <t xml:space="preserve">   j  </t>
        </is>
      </c>
      <c r="C51" s="10163" t="inlineStr">
        <is>
          <t>Nonresidential real</t>
        </is>
      </c>
      <c r="D51" s="7839" t="n"/>
      <c r="E51" s="7839" t="n"/>
      <c r="F51" s="7839" t="n"/>
      <c r="G51" s="10091" t="n"/>
      <c r="H51" s="12500" t="n"/>
      <c r="I51" s="8007" t="n"/>
      <c r="J51" s="8007" t="n"/>
      <c r="K51" s="8007" t="n"/>
      <c r="L51" s="8008" t="n"/>
      <c r="M51" s="12493" t="n"/>
      <c r="N51" s="8007" t="n"/>
      <c r="O51" s="8007" t="n"/>
      <c r="P51" s="8007" t="n"/>
      <c r="Q51" s="8007" t="n"/>
      <c r="R51" s="8008" t="n"/>
      <c r="S51" s="12498" t="inlineStr">
        <is>
          <t>39 yrs.</t>
        </is>
      </c>
      <c r="T51" s="8412" t="n"/>
      <c r="U51" s="11734" t="n"/>
      <c r="V51" s="12499" t="inlineStr">
        <is>
          <t>MM</t>
        </is>
      </c>
      <c r="W51" s="8412" t="n"/>
      <c r="X51" s="11734" t="n"/>
      <c r="Y51" s="12499" t="inlineStr">
        <is>
          <t>S/L</t>
        </is>
      </c>
      <c r="Z51" s="8412" t="n"/>
      <c r="AA51" s="8412" t="n"/>
      <c r="AB51" s="8412" t="n"/>
      <c r="AC51" s="11734" t="n"/>
      <c r="AD51" s="7574" t="n"/>
      <c r="AE51" s="11717" t="n"/>
      <c r="AF51" s="11717" t="n"/>
      <c r="AG51" s="11717" t="n"/>
      <c r="AH51" s="11717" t="n"/>
      <c r="AI51" s="11717" t="n"/>
      <c r="AJ51" s="11717" t="n"/>
      <c r="AK51" s="2306" t="n"/>
      <c r="AL51" s="411" t="n"/>
      <c r="AM51" s="2305">
        <f>ROUND(AD51,0)</f>
        <v/>
      </c>
      <c r="AN51" s="411" t="n"/>
      <c r="AO51" s="9864" t="n"/>
      <c r="AV51" s="4957" t="n"/>
      <c r="AW51" s="4957" t="n"/>
      <c r="AX51" s="12497" t="n"/>
      <c r="BA51" s="665" t="n"/>
      <c r="BB51" s="665" t="n"/>
      <c r="BC51" s="665" t="n"/>
      <c r="BD51" s="665" t="n"/>
      <c r="BE51" s="665" t="n"/>
      <c r="BF51" s="665" t="n"/>
      <c r="BG51" s="665" t="n"/>
      <c r="BH51" s="665" t="n"/>
      <c r="BI51" s="665" t="n"/>
      <c r="BJ51" s="665" t="n"/>
      <c r="BK51" s="9864" t="n"/>
    </row>
    <row r="52" ht="16.5" customFormat="1" customHeight="1" s="1239">
      <c r="A52" s="2306" t="n"/>
      <c r="B52" s="10567" t="n"/>
      <c r="C52" s="10158" t="inlineStr">
        <is>
          <t>property</t>
        </is>
      </c>
      <c r="D52" s="7637" t="n"/>
      <c r="E52" s="7637" t="n"/>
      <c r="F52" s="7637" t="n"/>
      <c r="G52" s="7638" t="n"/>
      <c r="H52" s="12500" t="n"/>
      <c r="I52" s="8007" t="n"/>
      <c r="J52" s="8007" t="n"/>
      <c r="K52" s="8007" t="n"/>
      <c r="L52" s="8008" t="n"/>
      <c r="M52" s="12493" t="n"/>
      <c r="N52" s="8007" t="n"/>
      <c r="O52" s="8007" t="n"/>
      <c r="P52" s="8007" t="n"/>
      <c r="Q52" s="8007" t="n"/>
      <c r="R52" s="8008" t="n"/>
      <c r="S52" s="12494" t="n"/>
      <c r="T52" s="8007" t="n"/>
      <c r="U52" s="8008" t="n"/>
      <c r="V52" s="12499" t="inlineStr">
        <is>
          <t>MM</t>
        </is>
      </c>
      <c r="W52" s="8412" t="n"/>
      <c r="X52" s="11734" t="n"/>
      <c r="Y52" s="12499" t="inlineStr">
        <is>
          <t>S/L</t>
        </is>
      </c>
      <c r="Z52" s="8412" t="n"/>
      <c r="AA52" s="8412" t="n"/>
      <c r="AB52" s="8412" t="n"/>
      <c r="AC52" s="11734" t="n"/>
      <c r="AD52" s="7574" t="n"/>
      <c r="AE52" s="11717" t="n"/>
      <c r="AF52" s="11717" t="n"/>
      <c r="AG52" s="11717" t="n"/>
      <c r="AH52" s="11717" t="n"/>
      <c r="AI52" s="11717" t="n"/>
      <c r="AJ52" s="11717" t="n"/>
      <c r="AK52" s="2306" t="n"/>
      <c r="AL52" s="411" t="n"/>
      <c r="AM52" s="2305">
        <f>ROUND(AD52,0)</f>
        <v/>
      </c>
      <c r="AN52" s="411" t="n"/>
      <c r="AO52" s="9864" t="n"/>
      <c r="AV52" s="4957" t="n"/>
      <c r="AW52" s="4957" t="n"/>
      <c r="AX52" s="12497" t="n"/>
      <c r="BA52" s="665" t="n"/>
      <c r="BB52" s="665" t="n"/>
      <c r="BC52" s="665" t="n"/>
      <c r="BD52" s="665" t="n"/>
      <c r="BE52" s="665" t="n"/>
      <c r="BF52" s="665" t="n"/>
      <c r="BG52" s="665" t="n"/>
      <c r="BH52" s="665" t="n"/>
      <c r="BI52" s="665" t="n"/>
      <c r="BJ52" s="665" t="n"/>
      <c r="BK52" s="9864" t="n"/>
    </row>
    <row r="53" ht="16.5" customFormat="1" customHeight="1" s="1115">
      <c r="A53" s="2290" t="n"/>
      <c r="B53" s="4877">
        <f>"Section C—Assets Placed in Service During "&amp;TaxYear&amp;" Tax Year Using the Alternative Depreciation System"</f>
        <v/>
      </c>
      <c r="C53" s="4875" t="n"/>
      <c r="D53" s="4876" t="n"/>
      <c r="E53" s="4877" t="n"/>
      <c r="F53" s="4878" t="n"/>
      <c r="G53" s="4878" t="n"/>
      <c r="H53" s="4878" t="n"/>
      <c r="I53" s="4878" t="n"/>
      <c r="J53" s="4878" t="n"/>
      <c r="K53" s="4878" t="n"/>
      <c r="L53" s="4878" t="n"/>
      <c r="M53" s="4878" t="n"/>
      <c r="N53" s="4878" t="n"/>
      <c r="O53" s="4878" t="n"/>
      <c r="P53" s="4878" t="n"/>
      <c r="Q53" s="4878" t="n"/>
      <c r="R53" s="4878" t="n"/>
      <c r="S53" s="4887" t="n"/>
      <c r="T53" s="4887" t="n"/>
      <c r="U53" s="4887" t="n"/>
      <c r="V53" s="4887" t="n"/>
      <c r="W53" s="4887" t="n"/>
      <c r="X53" s="4887" t="n"/>
      <c r="Y53" s="4887" t="n"/>
      <c r="Z53" s="4887" t="n"/>
      <c r="AA53" s="4887" t="n"/>
      <c r="AB53" s="4887" t="n"/>
      <c r="AC53" s="4887" t="n"/>
      <c r="AD53" s="4878" t="n"/>
      <c r="AE53" s="4878" t="n"/>
      <c r="AF53" s="4878" t="n"/>
      <c r="AG53" s="4878" t="n"/>
      <c r="AH53" s="4878" t="n"/>
      <c r="AI53" s="4879" t="n"/>
      <c r="AJ53" s="4879" t="n"/>
      <c r="AK53" s="2290" t="n"/>
      <c r="AL53" s="11602" t="n"/>
      <c r="AM53" s="2305">
        <f>ROUND(AD54,0)</f>
        <v/>
      </c>
      <c r="AN53" s="11602" t="n"/>
      <c r="AO53" s="2293" t="n"/>
      <c r="AV53" s="4958" t="n"/>
      <c r="AW53" s="4958" t="n"/>
      <c r="AX53" s="12501" t="n"/>
      <c r="BA53" s="658" t="n"/>
      <c r="BB53" s="658" t="n"/>
      <c r="BC53" s="658" t="n"/>
      <c r="BD53" s="658" t="n"/>
      <c r="BE53" s="658" t="n"/>
      <c r="BF53" s="658" t="n"/>
      <c r="BG53" s="658" t="n"/>
      <c r="BH53" s="658" t="n"/>
      <c r="BI53" s="658" t="n"/>
      <c r="BJ53" s="658" t="n"/>
      <c r="BK53" s="2293" t="n"/>
    </row>
    <row r="54" ht="16.5" customFormat="1" customHeight="1" s="1239">
      <c r="A54" s="2306" t="n"/>
      <c r="B54" s="4888" t="inlineStr">
        <is>
          <t>20a</t>
        </is>
      </c>
      <c r="C54" s="10143" t="inlineStr">
        <is>
          <t>Class life</t>
        </is>
      </c>
      <c r="D54" s="8412" t="n"/>
      <c r="E54" s="8412" t="n"/>
      <c r="F54" s="8412" t="n"/>
      <c r="G54" s="11734" t="n"/>
      <c r="H54" s="12492" t="n"/>
      <c r="I54" s="8412" t="n"/>
      <c r="J54" s="8412" t="n"/>
      <c r="K54" s="8412" t="n"/>
      <c r="L54" s="11734" t="n"/>
      <c r="M54" s="12493" t="n"/>
      <c r="N54" s="8007" t="n"/>
      <c r="O54" s="8007" t="n"/>
      <c r="P54" s="8007" t="n"/>
      <c r="Q54" s="8007" t="n"/>
      <c r="R54" s="8008" t="n"/>
      <c r="S54" s="12494" t="n"/>
      <c r="T54" s="8007" t="n"/>
      <c r="U54" s="8008" t="n"/>
      <c r="V54" s="12495" t="n"/>
      <c r="W54" s="8007" t="n"/>
      <c r="X54" s="8008" t="n"/>
      <c r="Y54" s="12499" t="inlineStr">
        <is>
          <t>S/L</t>
        </is>
      </c>
      <c r="Z54" s="8412" t="n"/>
      <c r="AA54" s="8412" t="n"/>
      <c r="AB54" s="8412" t="n"/>
      <c r="AC54" s="11734" t="n"/>
      <c r="AD54" s="7574" t="n"/>
      <c r="AE54" s="11717" t="n"/>
      <c r="AF54" s="11717" t="n"/>
      <c r="AG54" s="11717" t="n"/>
      <c r="AH54" s="11717" t="n"/>
      <c r="AI54" s="11717" t="n"/>
      <c r="AJ54" s="11717" t="n"/>
      <c r="AK54" s="2306" t="n"/>
      <c r="AL54" s="411" t="n"/>
      <c r="AM54" s="2305">
        <f>ROUND(AD55,0)</f>
        <v/>
      </c>
      <c r="AN54" s="411" t="n"/>
      <c r="AO54" s="9864" t="n"/>
      <c r="AV54" s="4957" t="n"/>
      <c r="AW54" s="4957" t="n"/>
      <c r="AX54" s="12497" t="n"/>
      <c r="BA54" s="665" t="n"/>
      <c r="BB54" s="665" t="n"/>
      <c r="BC54" s="665" t="n"/>
      <c r="BD54" s="665" t="n"/>
      <c r="BE54" s="665" t="n"/>
      <c r="BF54" s="665" t="n"/>
      <c r="BG54" s="665" t="n"/>
      <c r="BH54" s="665" t="n"/>
      <c r="BI54" s="665" t="n"/>
      <c r="BJ54" s="665" t="n"/>
      <c r="BK54" s="9864" t="n"/>
    </row>
    <row r="55" ht="16.5" customFormat="1" customHeight="1" s="1239">
      <c r="A55" s="2306" t="n"/>
      <c r="B55" s="4885" t="inlineStr">
        <is>
          <t xml:space="preserve">   b </t>
        </is>
      </c>
      <c r="C55" s="10143" t="inlineStr">
        <is>
          <t>12-year</t>
        </is>
      </c>
      <c r="D55" s="8412" t="n"/>
      <c r="E55" s="8412" t="n"/>
      <c r="F55" s="8412" t="n"/>
      <c r="G55" s="11734" t="n"/>
      <c r="H55" s="12492" t="n"/>
      <c r="I55" s="8412" t="n"/>
      <c r="J55" s="8412" t="n"/>
      <c r="K55" s="8412" t="n"/>
      <c r="L55" s="11734" t="n"/>
      <c r="M55" s="12493" t="n"/>
      <c r="N55" s="8007" t="n"/>
      <c r="O55" s="8007" t="n"/>
      <c r="P55" s="8007" t="n"/>
      <c r="Q55" s="8007" t="n"/>
      <c r="R55" s="8008" t="n"/>
      <c r="S55" s="10146" t="inlineStr">
        <is>
          <t>12 yrs.</t>
        </is>
      </c>
      <c r="T55" s="8412" t="n"/>
      <c r="U55" s="8412" t="n"/>
      <c r="V55" s="12495" t="n"/>
      <c r="W55" s="8007" t="n"/>
      <c r="X55" s="8008" t="n"/>
      <c r="Y55" s="12499" t="inlineStr">
        <is>
          <t>S/L</t>
        </is>
      </c>
      <c r="Z55" s="8412" t="n"/>
      <c r="AA55" s="8412" t="n"/>
      <c r="AB55" s="8412" t="n"/>
      <c r="AC55" s="11734" t="n"/>
      <c r="AD55" s="7574" t="n"/>
      <c r="AE55" s="11717" t="n"/>
      <c r="AF55" s="11717" t="n"/>
      <c r="AG55" s="11717" t="n"/>
      <c r="AH55" s="11717" t="n"/>
      <c r="AI55" s="11717" t="n"/>
      <c r="AJ55" s="11717" t="n"/>
      <c r="AK55" s="2306" t="n"/>
      <c r="AL55" s="411" t="n"/>
      <c r="AM55" s="2305">
        <f>ROUND(AD56,0)</f>
        <v/>
      </c>
      <c r="AN55" s="411" t="n"/>
      <c r="AO55" s="9864" t="n"/>
      <c r="AV55" s="4957" t="n"/>
      <c r="AW55" s="4957" t="n"/>
      <c r="AX55" s="12497" t="n"/>
      <c r="BA55" s="665" t="n"/>
      <c r="BB55" s="665" t="n"/>
      <c r="BC55" s="665" t="n"/>
      <c r="BD55" s="665" t="n"/>
      <c r="BE55" s="665" t="n"/>
      <c r="BF55" s="665" t="n"/>
      <c r="BG55" s="665" t="n"/>
      <c r="BH55" s="665" t="n"/>
      <c r="BI55" s="665" t="n"/>
      <c r="BJ55" s="665" t="n"/>
      <c r="BK55" s="9864" t="n"/>
    </row>
    <row r="56" ht="16.5" customFormat="1" customHeight="1" s="1239">
      <c r="A56" s="2306" t="n"/>
      <c r="B56" s="10565" t="inlineStr">
        <is>
          <t xml:space="preserve">   c  </t>
        </is>
      </c>
      <c r="C56" s="10128" t="inlineStr">
        <is>
          <t>30-year</t>
        </is>
      </c>
      <c r="D56" s="7839" t="n"/>
      <c r="E56" s="7839" t="n"/>
      <c r="F56" s="7839" t="n"/>
      <c r="G56" s="10091" t="n"/>
      <c r="H56" s="12502" t="n"/>
      <c r="I56" s="11745" t="n"/>
      <c r="J56" s="11745" t="n"/>
      <c r="K56" s="11745" t="n"/>
      <c r="L56" s="11948" t="n"/>
      <c r="M56" s="12503" t="n"/>
      <c r="N56" s="11745" t="n"/>
      <c r="O56" s="11745" t="n"/>
      <c r="P56" s="11745" t="n"/>
      <c r="Q56" s="11745" t="n"/>
      <c r="R56" s="11948" t="n"/>
      <c r="S56" s="10135" t="inlineStr">
        <is>
          <t>30 yrs.</t>
        </is>
      </c>
      <c r="T56" s="7839" t="n"/>
      <c r="U56" s="7839" t="n"/>
      <c r="V56" s="12504" t="inlineStr">
        <is>
          <t>MM</t>
        </is>
      </c>
      <c r="W56" s="7839" t="n"/>
      <c r="X56" s="10091" t="n"/>
      <c r="Y56" s="12504" t="inlineStr">
        <is>
          <t>S/L</t>
        </is>
      </c>
      <c r="Z56" s="7839" t="n"/>
      <c r="AA56" s="7839" t="n"/>
      <c r="AB56" s="7839" t="n"/>
      <c r="AC56" s="10091" t="n"/>
      <c r="AD56" s="10140" t="n"/>
      <c r="AE56" s="194" t="n"/>
      <c r="AF56" s="194" t="n"/>
      <c r="AG56" s="194" t="n"/>
      <c r="AH56" s="194" t="n"/>
      <c r="AI56" s="194" t="n"/>
      <c r="AJ56" s="194" t="n"/>
      <c r="AK56" s="2306" t="n"/>
      <c r="AL56" s="411" t="n"/>
      <c r="AM56" s="2305">
        <f>ROUND(AD58,0)</f>
        <v/>
      </c>
      <c r="AN56" s="411" t="n"/>
      <c r="AO56" s="9864" t="n"/>
      <c r="AV56" s="4957" t="n"/>
      <c r="AW56" s="4957" t="n"/>
      <c r="AX56" s="12497" t="n"/>
      <c r="BA56" s="665" t="n"/>
      <c r="BB56" s="665" t="n"/>
      <c r="BC56" s="665" t="n"/>
      <c r="BD56" s="665" t="n"/>
      <c r="BE56" s="665" t="n"/>
      <c r="BF56" s="665" t="n"/>
      <c r="BG56" s="665" t="n"/>
      <c r="BH56" s="665" t="n"/>
      <c r="BI56" s="665" t="n"/>
      <c r="BJ56" s="665" t="n"/>
      <c r="BK56" s="9864" t="n"/>
    </row>
    <row r="57" ht="16.5" customFormat="1" customHeight="1" s="1239">
      <c r="A57" s="2306" t="n"/>
      <c r="B57" s="4885" t="inlineStr">
        <is>
          <t xml:space="preserve">   d  </t>
        </is>
      </c>
      <c r="C57" s="10143" t="inlineStr">
        <is>
          <t>40-year</t>
        </is>
      </c>
      <c r="D57" s="8412" t="n"/>
      <c r="E57" s="8412" t="n"/>
      <c r="F57" s="8412" t="n"/>
      <c r="G57" s="11734" t="n"/>
      <c r="H57" s="12500" t="n"/>
      <c r="I57" s="8007" t="n"/>
      <c r="J57" s="8007" t="n"/>
      <c r="K57" s="8007" t="n"/>
      <c r="L57" s="8008" t="n"/>
      <c r="M57" s="12493" t="n"/>
      <c r="N57" s="8007" t="n"/>
      <c r="O57" s="8007" t="n"/>
      <c r="P57" s="8007" t="n"/>
      <c r="Q57" s="8007" t="n"/>
      <c r="R57" s="8008" t="n"/>
      <c r="S57" s="12505" t="inlineStr">
        <is>
          <t>40 yrs.</t>
        </is>
      </c>
      <c r="T57" s="8412" t="n"/>
      <c r="U57" s="11734" t="n"/>
      <c r="V57" s="12499" t="inlineStr">
        <is>
          <t>MM</t>
        </is>
      </c>
      <c r="W57" s="8412" t="n"/>
      <c r="X57" s="11734" t="n"/>
      <c r="Y57" s="12499" t="inlineStr">
        <is>
          <t>S/L</t>
        </is>
      </c>
      <c r="Z57" s="8412" t="n"/>
      <c r="AA57" s="8412" t="n"/>
      <c r="AB57" s="8412" t="n"/>
      <c r="AC57" s="11734" t="n"/>
      <c r="AD57" s="7575" t="n"/>
      <c r="AE57" s="8007" t="n"/>
      <c r="AF57" s="8007" t="n"/>
      <c r="AG57" s="8007" t="n"/>
      <c r="AH57" s="8007" t="n"/>
      <c r="AI57" s="8007" t="n"/>
      <c r="AJ57" s="8007" t="n"/>
      <c r="AK57" s="2306" t="n"/>
      <c r="AL57" s="411" t="n"/>
      <c r="AM57" s="226" t="inlineStr">
        <is>
          <t>Manual</t>
        </is>
      </c>
      <c r="AN57" s="411" t="n"/>
      <c r="AO57" s="9864" t="n"/>
      <c r="AV57" s="4957" t="n"/>
      <c r="AW57" s="4957" t="n"/>
      <c r="AX57" s="12497" t="n"/>
      <c r="BA57" s="665" t="n"/>
      <c r="BB57" s="665" t="n"/>
      <c r="BC57" s="665" t="n"/>
      <c r="BD57" s="665" t="n"/>
      <c r="BE57" s="665" t="n"/>
      <c r="BF57" s="665" t="n"/>
      <c r="BG57" s="665" t="n"/>
      <c r="BH57" s="665" t="n"/>
      <c r="BI57" s="665" t="n"/>
      <c r="BJ57" s="665" t="n"/>
      <c r="BK57" s="9864" t="n"/>
    </row>
    <row r="58" ht="16.5" customFormat="1" customHeight="1" s="1239" thickBot="1">
      <c r="A58" s="2306" t="n"/>
      <c r="B58" s="4889" t="inlineStr">
        <is>
          <t xml:space="preserve">   e  </t>
        </is>
      </c>
      <c r="C58" s="10114" t="inlineStr">
        <is>
          <t>50-year</t>
        </is>
      </c>
      <c r="D58" s="11811" t="n"/>
      <c r="E58" s="11811" t="n"/>
      <c r="F58" s="11811" t="n"/>
      <c r="G58" s="12143" t="n"/>
      <c r="H58" s="12506" t="n"/>
      <c r="I58" s="11809" t="n"/>
      <c r="J58" s="11809" t="n"/>
      <c r="K58" s="11809" t="n"/>
      <c r="L58" s="11810" t="n"/>
      <c r="M58" s="12507" t="n"/>
      <c r="N58" s="11809" t="n"/>
      <c r="O58" s="11809" t="n"/>
      <c r="P58" s="11809" t="n"/>
      <c r="Q58" s="11809" t="n"/>
      <c r="R58" s="11810" t="n"/>
      <c r="S58" s="12508" t="inlineStr">
        <is>
          <t>50 yrs.</t>
        </is>
      </c>
      <c r="T58" s="11811" t="n"/>
      <c r="U58" s="12143" t="n"/>
      <c r="V58" s="12509" t="inlineStr">
        <is>
          <t>MM</t>
        </is>
      </c>
      <c r="W58" s="11811" t="n"/>
      <c r="X58" s="12143" t="n"/>
      <c r="Y58" s="12509" t="inlineStr">
        <is>
          <t>S/L</t>
        </is>
      </c>
      <c r="Z58" s="11811" t="n"/>
      <c r="AA58" s="11811" t="n"/>
      <c r="AB58" s="11811" t="n"/>
      <c r="AC58" s="12143" t="n"/>
      <c r="AD58" s="10107" t="n"/>
      <c r="AE58" s="11809" t="n"/>
      <c r="AF58" s="11809" t="n"/>
      <c r="AG58" s="11809" t="n"/>
      <c r="AH58" s="11809" t="n"/>
      <c r="AI58" s="11809" t="n"/>
      <c r="AJ58" s="11809" t="n"/>
      <c r="AK58" s="2306" t="n"/>
      <c r="AL58" s="411" t="n"/>
      <c r="AM58" s="226" t="inlineStr">
        <is>
          <t>Manual</t>
        </is>
      </c>
      <c r="AN58" s="411" t="n"/>
      <c r="AO58" s="9864" t="n"/>
      <c r="AV58" s="4957" t="n"/>
      <c r="AW58" s="4957" t="n"/>
      <c r="AX58" s="12497" t="n"/>
      <c r="BA58" s="665" t="n"/>
      <c r="BB58" s="665" t="n"/>
      <c r="BC58" s="665" t="n"/>
      <c r="BD58" s="665" t="n"/>
      <c r="BE58" s="665" t="n"/>
      <c r="BF58" s="665" t="n"/>
      <c r="BG58" s="665" t="n"/>
      <c r="BH58" s="665" t="n"/>
      <c r="BI58" s="665" t="n"/>
      <c r="BJ58" s="665" t="n"/>
      <c r="BK58" s="9864" t="n"/>
    </row>
    <row r="59" ht="15.75" customFormat="1" customHeight="1" s="815">
      <c r="A59" s="2013" t="n"/>
      <c r="B59" s="4898" t="inlineStr">
        <is>
          <t>For Paperwork Reduction Act Notice, see separate instructions.</t>
        </is>
      </c>
      <c r="C59" s="11403" t="n"/>
      <c r="D59" s="11403" t="n"/>
      <c r="E59" s="11403" t="n"/>
      <c r="F59" s="11403" t="n"/>
      <c r="G59" s="11403" t="n"/>
      <c r="H59" s="11403" t="n"/>
      <c r="I59" s="11403" t="n"/>
      <c r="J59" s="11403" t="n"/>
      <c r="K59" s="11403" t="n"/>
      <c r="L59" s="11403" t="n"/>
      <c r="M59" s="11403" t="n"/>
      <c r="N59" s="11403" t="n"/>
      <c r="O59" s="11403" t="n"/>
      <c r="P59" s="11403" t="n"/>
      <c r="Q59" s="11403" t="n"/>
      <c r="R59" s="11403" t="n"/>
      <c r="S59" s="11403" t="n"/>
      <c r="T59" s="11403" t="n"/>
      <c r="U59" s="8922" t="inlineStr">
        <is>
          <t>Cat. No. 12906N</t>
        </is>
      </c>
      <c r="V59" s="11403" t="n"/>
      <c r="W59" s="3931" t="n"/>
      <c r="X59" s="11403" t="n"/>
      <c r="Y59" s="11403" t="n"/>
      <c r="Z59" s="11403" t="n"/>
      <c r="AA59" s="11403" t="n"/>
      <c r="AB59" s="11403" t="n"/>
      <c r="AC59" s="2052" t="n"/>
      <c r="AD59" s="2052" t="inlineStr">
        <is>
          <t>Form 4562</t>
        </is>
      </c>
      <c r="AE59" s="2052" t="n"/>
      <c r="AF59" s="2052">
        <f>"("&amp;TaxYear&amp;")"</f>
        <v/>
      </c>
      <c r="AG59" s="2052" t="n"/>
      <c r="AH59" s="2052" t="n"/>
      <c r="AI59" s="11403" t="n"/>
      <c r="AJ59" s="2052" t="inlineStr">
        <is>
          <t>Created 10/9/25</t>
        </is>
      </c>
      <c r="AK59" s="2013" t="n"/>
      <c r="AL59" s="11602" t="n"/>
      <c r="AM59" s="11602" t="n"/>
      <c r="AN59" s="11602" t="n"/>
      <c r="AV59" s="950" t="n"/>
      <c r="AW59" s="950" t="n"/>
      <c r="AX59" s="12473" t="n"/>
      <c r="BA59" s="658" t="n"/>
      <c r="BB59" s="658" t="n"/>
      <c r="BC59" s="658" t="n"/>
      <c r="BD59" s="658" t="n"/>
      <c r="BE59" s="658" t="n"/>
      <c r="BF59" s="658" t="n"/>
      <c r="BG59" s="658" t="n"/>
      <c r="BH59" s="658" t="n"/>
      <c r="BI59" s="658" t="n"/>
      <c r="BJ59" s="658" t="n"/>
    </row>
    <row r="60" ht="15.75" customFormat="1" customHeight="1" s="815" thickBot="1">
      <c r="A60" s="2013" t="n"/>
      <c r="B60" s="4899">
        <f>"Form 4562 ("&amp;TaxYear&amp;")"</f>
        <v/>
      </c>
      <c r="C60" s="498" t="n"/>
      <c r="D60" s="2307" t="n"/>
      <c r="E60" s="498" t="n"/>
      <c r="F60" s="498" t="n"/>
      <c r="G60" s="498" t="n"/>
      <c r="H60" s="498" t="n"/>
      <c r="I60" s="498" t="n"/>
      <c r="J60" s="498" t="n"/>
      <c r="K60" s="498" t="n"/>
      <c r="L60" s="498" t="n"/>
      <c r="M60" s="498" t="n"/>
      <c r="N60" s="2308" t="n"/>
      <c r="O60" s="498" t="n"/>
      <c r="P60" s="498" t="n"/>
      <c r="Q60" s="498" t="n"/>
      <c r="R60" s="498" t="n"/>
      <c r="S60" s="498" t="n"/>
      <c r="T60" s="2308" t="n"/>
      <c r="U60" s="2307" t="n"/>
      <c r="V60" s="498" t="n"/>
      <c r="W60" s="498" t="n"/>
      <c r="X60" s="498" t="n"/>
      <c r="Y60" s="498" t="n"/>
      <c r="Z60" s="498" t="n"/>
      <c r="AA60" s="498" t="n"/>
      <c r="AB60" s="2308" t="n"/>
      <c r="AC60" s="498" t="n"/>
      <c r="AD60" s="498" t="n"/>
      <c r="AE60" s="498" t="n"/>
      <c r="AF60" s="498" t="n"/>
      <c r="AG60" s="498" t="n"/>
      <c r="AH60" s="498" t="n"/>
      <c r="AI60" s="498" t="n"/>
      <c r="AJ60" s="2309" t="inlineStr">
        <is>
          <t xml:space="preserve">Page 2  </t>
        </is>
      </c>
      <c r="AK60" s="2013" t="n"/>
      <c r="AL60" s="11602" t="n"/>
      <c r="AM60" s="11602" t="n"/>
      <c r="AN60" s="11602" t="n"/>
      <c r="AV60" s="950" t="n"/>
      <c r="AW60" s="950" t="n"/>
      <c r="AX60" s="12473" t="n"/>
      <c r="BA60" s="658" t="n"/>
      <c r="BB60" s="658" t="n"/>
      <c r="BC60" s="658" t="n"/>
      <c r="BD60" s="658" t="n"/>
      <c r="BE60" s="658" t="n"/>
      <c r="BF60" s="658" t="n"/>
      <c r="BG60" s="658" t="n"/>
      <c r="BH60" s="658" t="n"/>
      <c r="BI60" s="658" t="n"/>
      <c r="BJ60" s="658" t="n"/>
    </row>
    <row r="61" ht="15.75" customFormat="1" customHeight="1" s="1115" thickBot="1">
      <c r="A61" s="2290" t="n"/>
      <c r="B61" s="9775" t="inlineStr">
        <is>
          <t>Part IV</t>
        </is>
      </c>
      <c r="C61" s="8412" t="n"/>
      <c r="D61" s="4870" t="inlineStr">
        <is>
          <t>Summary (See instructions.)</t>
        </is>
      </c>
      <c r="E61" s="4871" t="n"/>
      <c r="F61" s="4872" t="n"/>
      <c r="G61" s="4872" t="n"/>
      <c r="H61" s="2294" t="n"/>
      <c r="I61" s="2294" t="n"/>
      <c r="J61" s="2294" t="n"/>
      <c r="K61" s="2294" t="n"/>
      <c r="L61" s="2294" t="n"/>
      <c r="M61" s="4872" t="n"/>
      <c r="N61" s="4872" t="n"/>
      <c r="O61" s="4872" t="n"/>
      <c r="P61" s="4872" t="n"/>
      <c r="Q61" s="4872" t="n"/>
      <c r="R61" s="4872" t="n"/>
      <c r="S61" s="2294" t="n"/>
      <c r="T61" s="2294" t="n"/>
      <c r="U61" s="2294" t="n"/>
      <c r="V61" s="2294" t="n"/>
      <c r="W61" s="2294" t="n"/>
      <c r="X61" s="2294" t="n"/>
      <c r="Y61" s="2294" t="n"/>
      <c r="Z61" s="2294" t="n"/>
      <c r="AA61" s="2294" t="n"/>
      <c r="AB61" s="2294" t="n"/>
      <c r="AC61" s="2294" t="n"/>
      <c r="AD61" s="2294" t="n"/>
      <c r="AE61" s="2294" t="n"/>
      <c r="AF61" s="2294" t="n"/>
      <c r="AG61" s="2294" t="n"/>
      <c r="AH61" s="2294" t="n"/>
      <c r="AI61" s="2297" t="n"/>
      <c r="AJ61" s="2297" t="n"/>
      <c r="AK61" s="2290" t="n"/>
      <c r="AL61" s="11602" t="n"/>
      <c r="AM61" s="226" t="inlineStr">
        <is>
          <t>Override ê</t>
        </is>
      </c>
      <c r="AN61" s="11602" t="n"/>
      <c r="AO61" s="2293" t="n"/>
      <c r="AV61" s="4958" t="n"/>
      <c r="AW61" s="4958" t="n"/>
      <c r="AX61" s="12501" t="n"/>
      <c r="BA61" s="658" t="n"/>
      <c r="BB61" s="658" t="n"/>
      <c r="BC61" s="658" t="n"/>
      <c r="BD61" s="658" t="n"/>
      <c r="BE61" s="658" t="n"/>
      <c r="BF61" s="658" t="n"/>
      <c r="BG61" s="658" t="n"/>
      <c r="BH61" s="658" t="n"/>
      <c r="BI61" s="658" t="n"/>
      <c r="BJ61" s="658" t="n"/>
      <c r="BK61" s="2293" t="n"/>
    </row>
    <row r="62" ht="15.75" customFormat="1" customHeight="1" s="815" thickBot="1">
      <c r="A62" s="2013" t="n"/>
      <c r="B62" s="8439" t="n">
        <v>21</v>
      </c>
      <c r="C62" s="2100" t="inlineStr">
        <is>
          <t>Listed property. Enter amount from line 28</t>
        </is>
      </c>
      <c r="D62" s="873" t="n"/>
      <c r="E62" s="8650" t="n"/>
      <c r="F62" s="344" t="n"/>
      <c r="G62" s="344" t="n"/>
      <c r="H62" s="344" t="n"/>
      <c r="I62" s="344" t="n"/>
      <c r="J62" s="344" t="n"/>
      <c r="K62" s="344" t="n"/>
      <c r="L62" s="344" t="n"/>
      <c r="M62" s="344" t="n"/>
      <c r="N62" s="344" t="n"/>
      <c r="O62" s="344" t="n"/>
      <c r="P62" s="344" t="n"/>
      <c r="Q62" s="344" t="n"/>
      <c r="R62" s="344" t="n"/>
      <c r="S62" s="344" t="n"/>
      <c r="T62" s="344" t="n"/>
      <c r="U62" s="344" t="n"/>
      <c r="V62" s="344" t="n"/>
      <c r="W62" s="1061" t="n"/>
      <c r="X62" s="344" t="n"/>
      <c r="Y62" s="344" t="n"/>
      <c r="Z62" s="344" t="n"/>
      <c r="AA62" s="1401" t="inlineStr">
        <is>
          <t xml:space="preserve">.   .   .   .   .   .   .   .   .   .   .   .   .   .   .   .   .   .   .   .   .   .   .   .   .   .   .  </t>
        </is>
      </c>
      <c r="AB62" s="10008" t="n">
        <v>21</v>
      </c>
      <c r="AC62" s="11734" t="n"/>
      <c r="AD62" s="10109">
        <f>IF(AM62&lt;&gt;"",ROUND(AM62,0),AA92)</f>
        <v/>
      </c>
      <c r="AE62" s="8412" t="n"/>
      <c r="AF62" s="8412" t="n"/>
      <c r="AG62" s="8412" t="n"/>
      <c r="AH62" s="8412" t="n"/>
      <c r="AI62" s="8412" t="n"/>
      <c r="AJ62" s="11734" t="n"/>
      <c r="AK62" s="2013" t="n"/>
      <c r="AL62" s="11602" t="n"/>
      <c r="AM62" s="1237" t="n"/>
      <c r="AN62" s="11602" t="n"/>
      <c r="AV62" s="950" t="n"/>
      <c r="AW62" s="950" t="n"/>
      <c r="AX62" s="12473" t="n"/>
      <c r="BA62" s="658" t="n"/>
      <c r="BB62" s="658" t="n"/>
      <c r="BC62" s="658" t="n"/>
      <c r="BD62" s="658" t="n"/>
      <c r="BE62" s="658" t="n"/>
      <c r="BF62" s="658" t="n"/>
      <c r="BG62" s="658" t="n"/>
      <c r="BH62" s="658" t="n"/>
      <c r="BI62" s="658" t="n"/>
      <c r="BJ62" s="658" t="n"/>
    </row>
    <row r="63" ht="15.75" customFormat="1" customHeight="1" s="815" thickBot="1">
      <c r="A63" s="2013" t="n"/>
      <c r="B63" s="9988" t="n">
        <v>22</v>
      </c>
      <c r="C63" s="2299" t="inlineStr">
        <is>
          <t>Total. Add amounts from line 12, lines 14 through 17, lines 19 and 20 in column (g), and line 21. Enter</t>
        </is>
      </c>
      <c r="D63" s="8650" t="n"/>
      <c r="E63" s="344" t="n"/>
      <c r="F63" s="344" t="n"/>
      <c r="G63" s="344" t="n"/>
      <c r="H63" s="344" t="n"/>
      <c r="I63" s="344" t="n"/>
      <c r="J63" s="344" t="n"/>
      <c r="K63" s="1061" t="n"/>
      <c r="L63" s="2300" t="n"/>
      <c r="M63" s="2301" t="n"/>
      <c r="N63" s="1061" t="n"/>
      <c r="O63" s="1061" t="n"/>
      <c r="P63" s="1061" t="n"/>
      <c r="Q63" s="1061" t="n"/>
      <c r="R63" s="1061" t="n"/>
      <c r="S63" s="344" t="n"/>
      <c r="T63" s="344" t="n"/>
      <c r="U63" s="344" t="n"/>
      <c r="V63" s="1061" t="n"/>
      <c r="W63" s="9750" t="n"/>
      <c r="X63" s="2302" t="n"/>
      <c r="Y63" s="8747" t="n"/>
      <c r="Z63" s="8747" t="n"/>
      <c r="AA63" s="8747" t="n"/>
      <c r="AB63" s="4452" t="n"/>
      <c r="AC63" s="10091" t="n"/>
      <c r="AD63" s="566" t="n"/>
      <c r="AE63" s="1205" t="n"/>
      <c r="AF63" s="1205" t="n"/>
      <c r="AG63" s="1205" t="n"/>
      <c r="AH63" s="1205" t="n"/>
      <c r="AI63" s="1205" t="n"/>
      <c r="AJ63" s="1205" t="n"/>
      <c r="AK63" s="2013" t="n"/>
      <c r="AL63" s="11602" t="n"/>
      <c r="AM63" s="2713">
        <f>SUM(AM41:AM56)</f>
        <v/>
      </c>
      <c r="AN63" s="11602" t="n"/>
      <c r="AV63" s="950" t="n"/>
      <c r="AW63" s="950" t="n"/>
      <c r="AX63" s="12473" t="n"/>
      <c r="BA63" s="658" t="n"/>
      <c r="BB63" s="658" t="n"/>
      <c r="BC63" s="658" t="n"/>
      <c r="BD63" s="658" t="n"/>
      <c r="BE63" s="658" t="n"/>
      <c r="BF63" s="658" t="n"/>
      <c r="BG63" s="658" t="n"/>
      <c r="BH63" s="658" t="n"/>
      <c r="BI63" s="658" t="n"/>
      <c r="BJ63" s="658" t="n"/>
    </row>
    <row r="64" ht="15.75" customFormat="1" customHeight="1" s="815" thickBot="1">
      <c r="A64" s="2013" t="n"/>
      <c r="B64" s="8439" t="n"/>
      <c r="C64" s="4890" t="inlineStr">
        <is>
          <t>here and on the appropriate lines of your return. Partnerships and S corporations—see instructions .</t>
        </is>
      </c>
      <c r="D64" s="8650" t="n"/>
      <c r="E64" s="344" t="n"/>
      <c r="F64" s="344" t="n"/>
      <c r="G64" s="344" t="n"/>
      <c r="H64" s="344" t="n"/>
      <c r="I64" s="344" t="n"/>
      <c r="J64" s="344" t="n"/>
      <c r="K64" s="344" t="n"/>
      <c r="L64" s="344" t="n"/>
      <c r="M64" s="344" t="n"/>
      <c r="N64" s="344" t="n"/>
      <c r="O64" s="344" t="n"/>
      <c r="P64" s="344" t="n"/>
      <c r="Q64" s="344" t="n"/>
      <c r="R64" s="344" t="n"/>
      <c r="S64" s="344" t="n"/>
      <c r="T64" s="344" t="n"/>
      <c r="U64" s="344" t="n"/>
      <c r="V64" s="344" t="n"/>
      <c r="W64" s="9750" t="n"/>
      <c r="X64" s="344" t="n"/>
      <c r="Y64" s="344" t="n"/>
      <c r="Z64" s="344" t="n"/>
      <c r="AA64" s="1401" t="inlineStr">
        <is>
          <t xml:space="preserve">.   .   .   .  </t>
        </is>
      </c>
      <c r="AB64" s="8389" t="n">
        <v>22</v>
      </c>
      <c r="AC64" s="7638" t="n"/>
      <c r="AD64" s="10112">
        <f>IF(AM64&lt;&gt;"",ROUND(AM64,0),SUM(AD25,AM36,AM63,AD62))</f>
        <v/>
      </c>
      <c r="AE64" s="7637" t="n"/>
      <c r="AF64" s="7637" t="n"/>
      <c r="AG64" s="7637" t="n"/>
      <c r="AH64" s="7637" t="n"/>
      <c r="AI64" s="7637" t="n"/>
      <c r="AJ64" s="7638" t="n"/>
      <c r="AK64" s="2013" t="n"/>
      <c r="AL64" s="11602" t="n"/>
      <c r="AM64" s="1237" t="n"/>
      <c r="AN64" s="11602" t="n"/>
      <c r="AV64" s="950" t="n"/>
      <c r="AW64" s="950" t="n"/>
      <c r="AX64" s="12473" t="n"/>
      <c r="BA64" s="658" t="n"/>
      <c r="BB64" s="658" t="n"/>
      <c r="BC64" s="658" t="n"/>
      <c r="BD64" s="658" t="n"/>
      <c r="BE64" s="658" t="n"/>
      <c r="BF64" s="658" t="n"/>
      <c r="BG64" s="658" t="n"/>
      <c r="BH64" s="658" t="n"/>
      <c r="BI64" s="658" t="n"/>
      <c r="BJ64" s="658" t="n"/>
    </row>
    <row r="65" ht="15.75" customFormat="1" customHeight="1" s="815">
      <c r="A65" s="2013" t="n"/>
      <c r="B65" s="9988" t="inlineStr">
        <is>
          <t>23a</t>
        </is>
      </c>
      <c r="C65" s="2100" t="inlineStr">
        <is>
          <t>For assets shown in Part III that are placed in service during the current tax year,</t>
        </is>
      </c>
      <c r="D65" s="8650" t="n"/>
      <c r="E65" s="8650" t="n"/>
      <c r="F65" s="344" t="n"/>
      <c r="G65" s="344" t="n"/>
      <c r="H65" s="344" t="n"/>
      <c r="I65" s="344" t="n"/>
      <c r="J65" s="344" t="n"/>
      <c r="K65" s="344" t="n"/>
      <c r="L65" s="344" t="n"/>
      <c r="M65" s="344" t="n"/>
      <c r="N65" s="344" t="n"/>
      <c r="O65" s="344" t="n"/>
      <c r="P65" s="344" t="n"/>
      <c r="Q65" s="344" t="n"/>
      <c r="R65" s="344" t="n"/>
      <c r="S65" s="344" t="n"/>
      <c r="T65" s="344" t="n"/>
      <c r="U65" s="344" t="n"/>
      <c r="V65" s="4452" t="n"/>
      <c r="W65" s="4452" t="n"/>
      <c r="X65" s="7839" t="n"/>
      <c r="Y65" s="7839" t="n"/>
      <c r="Z65" s="7839" t="n"/>
      <c r="AA65" s="10091" t="n"/>
      <c r="AB65" s="4867" t="n"/>
      <c r="AC65" s="4880" t="n"/>
      <c r="AD65" s="4880" t="n"/>
      <c r="AE65" s="4868" t="n"/>
      <c r="AF65" s="4868" t="n"/>
      <c r="AG65" s="4868" t="n"/>
      <c r="AH65" s="4868" t="n"/>
      <c r="AI65" s="4868" t="n"/>
      <c r="AJ65" s="4868" t="n"/>
      <c r="AK65" s="2013" t="n"/>
      <c r="AL65" s="11602" t="n"/>
      <c r="AM65" s="11602" t="n"/>
      <c r="AN65" s="11602" t="n"/>
      <c r="AV65" s="950" t="n"/>
      <c r="AW65" s="950" t="n"/>
      <c r="AX65" s="12473" t="n"/>
      <c r="BA65" s="658" t="n"/>
      <c r="BB65" s="658" t="n"/>
      <c r="BC65" s="658" t="n"/>
      <c r="BD65" s="658" t="n"/>
      <c r="BE65" s="658" t="n"/>
      <c r="BF65" s="658" t="n"/>
      <c r="BG65" s="658" t="n"/>
      <c r="BH65" s="658" t="n"/>
      <c r="BI65" s="658" t="n"/>
      <c r="BJ65" s="658" t="n"/>
    </row>
    <row r="66" ht="15.75" customFormat="1" customHeight="1" s="815">
      <c r="A66" s="2013" t="n"/>
      <c r="B66" s="9988" t="n"/>
      <c r="C66" s="2100" t="inlineStr">
        <is>
          <t>and have costs capitalized under section 263A, enter the amount of the basis</t>
        </is>
      </c>
      <c r="D66" s="8650" t="n"/>
      <c r="E66" s="8650" t="n"/>
      <c r="F66" s="344" t="n"/>
      <c r="G66" s="344" t="n"/>
      <c r="H66" s="344" t="n"/>
      <c r="I66" s="344" t="n"/>
      <c r="J66" s="344" t="n"/>
      <c r="K66" s="344" t="n"/>
      <c r="L66" s="344" t="n"/>
      <c r="M66" s="344" t="n"/>
      <c r="N66" s="344" t="n"/>
      <c r="O66" s="344" t="n"/>
      <c r="P66" s="344" t="n"/>
      <c r="Q66" s="344" t="n"/>
      <c r="R66" s="344" t="n"/>
      <c r="S66" s="344" t="n"/>
      <c r="T66" s="344" t="n"/>
      <c r="U66" s="344" t="n"/>
      <c r="V66" s="7612" t="n"/>
      <c r="W66" s="10103" t="n"/>
      <c r="X66" s="8439" t="n"/>
      <c r="Y66" s="8439" t="n"/>
      <c r="Z66" s="8439" t="n"/>
      <c r="AA66" s="10104" t="n"/>
      <c r="AB66" s="4167" t="n"/>
      <c r="AC66" s="4168" t="n"/>
      <c r="AD66" s="4168" t="n"/>
      <c r="AE66" s="4865" t="n"/>
      <c r="AF66" s="4865" t="n"/>
      <c r="AG66" s="4865" t="n"/>
      <c r="AH66" s="4865" t="n"/>
      <c r="AI66" s="4865" t="n"/>
      <c r="AJ66" s="4865" t="n"/>
      <c r="AK66" s="2013" t="n"/>
      <c r="AL66" s="11602" t="n"/>
      <c r="AM66" s="11602" t="n"/>
      <c r="AN66" s="11602" t="n"/>
      <c r="AV66" s="950" t="n"/>
      <c r="AW66" s="950" t="n"/>
      <c r="AX66" s="12473" t="n"/>
      <c r="BA66" s="658" t="n"/>
      <c r="BB66" s="658" t="n"/>
      <c r="BC66" s="658" t="n"/>
      <c r="BD66" s="658" t="n"/>
      <c r="BE66" s="658" t="n"/>
      <c r="BF66" s="658" t="n"/>
      <c r="BG66" s="658" t="n"/>
      <c r="BH66" s="658" t="n"/>
      <c r="BI66" s="658" t="n"/>
      <c r="BJ66" s="658" t="n"/>
    </row>
    <row r="67" ht="15.75" customFormat="1" customHeight="1" s="815">
      <c r="A67" s="2013" t="n"/>
      <c r="B67" s="6505" t="n"/>
      <c r="C67" s="2100" t="inlineStr">
        <is>
          <t>attributable to interest costs capitalized under section 263A(f)</t>
        </is>
      </c>
      <c r="D67" s="2324" t="n"/>
      <c r="E67" s="2324" t="n"/>
      <c r="F67" s="2324" t="n"/>
      <c r="G67" s="2324" t="n"/>
      <c r="H67" s="2324" t="n"/>
      <c r="I67" s="2324" t="n"/>
      <c r="J67" s="2324" t="n"/>
      <c r="K67" s="2324" t="n"/>
      <c r="L67" s="2324" t="n"/>
      <c r="M67" s="2324" t="n"/>
      <c r="N67" s="2324" t="n"/>
      <c r="O67" s="2324" t="n"/>
      <c r="P67" s="2324" t="n"/>
      <c r="Q67" s="2324" t="n"/>
      <c r="R67" s="2324" t="n"/>
      <c r="S67" s="2324" t="n"/>
      <c r="T67" s="2324" t="n"/>
      <c r="U67" s="1321" t="inlineStr">
        <is>
          <t xml:space="preserve">.   .   .   .   .   .   .  </t>
        </is>
      </c>
      <c r="V67" s="8389" t="inlineStr">
        <is>
          <t>23a</t>
        </is>
      </c>
      <c r="W67" s="11201" t="n"/>
      <c r="X67" s="11717" t="n"/>
      <c r="Y67" s="11717" t="n"/>
      <c r="Z67" s="11717" t="n"/>
      <c r="AA67" s="11718" t="n"/>
      <c r="AB67" s="4167" t="n"/>
      <c r="AC67" s="4168" t="n"/>
      <c r="AD67" s="4168" t="n"/>
      <c r="AE67" s="4865" t="n"/>
      <c r="AF67" s="4865" t="n"/>
      <c r="AG67" s="4865" t="n"/>
      <c r="AH67" s="4865" t="n"/>
      <c r="AI67" s="4865" t="n"/>
      <c r="AJ67" s="4865" t="n"/>
      <c r="AK67" s="2013" t="n"/>
      <c r="AL67" s="11602" t="n"/>
      <c r="AM67" s="11602" t="n"/>
      <c r="AN67" s="11602" t="n"/>
      <c r="AV67" s="950" t="n"/>
      <c r="AW67" s="950" t="n"/>
      <c r="AX67" s="12473" t="n"/>
      <c r="BA67" s="658" t="n"/>
      <c r="BB67" s="658" t="n"/>
      <c r="BC67" s="658" t="n"/>
      <c r="BD67" s="658" t="n"/>
      <c r="BE67" s="658" t="n"/>
      <c r="BF67" s="658" t="n"/>
      <c r="BG67" s="658" t="n"/>
      <c r="BH67" s="658" t="n"/>
      <c r="BI67" s="658" t="n"/>
      <c r="BJ67" s="658" t="n"/>
    </row>
    <row r="68" ht="15.75" customFormat="1" customHeight="1" s="815">
      <c r="A68" s="2013" t="n"/>
      <c r="B68" s="9988" t="inlineStr">
        <is>
          <t>b</t>
        </is>
      </c>
      <c r="C68" s="9237" t="inlineStr">
        <is>
          <t>For assets shown in Part III that are placed in service during the current tax year, and have</t>
        </is>
      </c>
      <c r="D68" s="8650" t="n"/>
      <c r="E68" s="8650" t="n"/>
      <c r="F68" s="344" t="n"/>
      <c r="G68" s="344" t="n"/>
      <c r="H68" s="344" t="n"/>
      <c r="I68" s="344" t="n"/>
      <c r="J68" s="344" t="n"/>
      <c r="K68" s="344" t="n"/>
      <c r="L68" s="344" t="n"/>
      <c r="M68" s="344" t="n"/>
      <c r="N68" s="344" t="n"/>
      <c r="O68" s="344" t="n"/>
      <c r="P68" s="344" t="n"/>
      <c r="Q68" s="344" t="n"/>
      <c r="R68" s="344" t="n"/>
      <c r="S68" s="344" t="n"/>
      <c r="T68" s="344" t="n"/>
      <c r="U68" s="344" t="n"/>
      <c r="V68" s="7612" t="n"/>
      <c r="W68" s="7612" t="n"/>
      <c r="AA68" s="7636" t="n"/>
      <c r="AB68" s="4167" t="n"/>
      <c r="AC68" s="4168" t="n"/>
      <c r="AD68" s="4168" t="n"/>
      <c r="AE68" s="4865" t="n"/>
      <c r="AF68" s="4865" t="n"/>
      <c r="AG68" s="4865" t="n"/>
      <c r="AH68" s="4865" t="n"/>
      <c r="AI68" s="4865" t="n"/>
      <c r="AJ68" s="4865" t="n"/>
      <c r="AK68" s="2013" t="n"/>
      <c r="AL68" s="11602" t="n"/>
      <c r="AM68" s="11602" t="n"/>
      <c r="AN68" s="11602" t="n"/>
      <c r="AV68" s="950" t="n"/>
      <c r="AW68" s="950" t="n"/>
      <c r="AX68" s="12473" t="n"/>
      <c r="BA68" s="658" t="n"/>
      <c r="BB68" s="658" t="n"/>
      <c r="BC68" s="658" t="n"/>
      <c r="BD68" s="658" t="n"/>
      <c r="BE68" s="658" t="n"/>
      <c r="BF68" s="658" t="n"/>
      <c r="BG68" s="658" t="n"/>
      <c r="BH68" s="658" t="n"/>
      <c r="BI68" s="658" t="n"/>
      <c r="BJ68" s="658" t="n"/>
    </row>
    <row r="69" ht="15.75" customFormat="1" customHeight="1" s="815">
      <c r="A69" s="2013" t="n"/>
      <c r="B69" s="9988" t="n"/>
      <c r="C69" s="9237" t="inlineStr">
        <is>
          <t>costs capitalized under section 263A, enter the amount of the basis attributable to costs</t>
        </is>
      </c>
      <c r="D69" s="8650" t="n"/>
      <c r="E69" s="8650" t="n"/>
      <c r="F69" s="344" t="n"/>
      <c r="G69" s="344" t="n"/>
      <c r="H69" s="344" t="n"/>
      <c r="I69" s="344" t="n"/>
      <c r="J69" s="344" t="n"/>
      <c r="K69" s="344" t="n"/>
      <c r="L69" s="344" t="n"/>
      <c r="M69" s="344" t="n"/>
      <c r="N69" s="344" t="n"/>
      <c r="O69" s="344" t="n"/>
      <c r="P69" s="344" t="n"/>
      <c r="Q69" s="344" t="n"/>
      <c r="R69" s="344" t="n"/>
      <c r="S69" s="344" t="n"/>
      <c r="T69" s="344" t="n"/>
      <c r="U69" s="344" t="n"/>
      <c r="V69" s="7612" t="n"/>
      <c r="W69" s="10103" t="n"/>
      <c r="X69" s="8439" t="n"/>
      <c r="Y69" s="8439" t="n"/>
      <c r="Z69" s="8439" t="n"/>
      <c r="AA69" s="10104" t="n"/>
      <c r="AB69" s="4167" t="n"/>
      <c r="AC69" s="4168" t="n"/>
      <c r="AD69" s="4168" t="n"/>
      <c r="AE69" s="4865" t="n"/>
      <c r="AF69" s="4865" t="n"/>
      <c r="AG69" s="4865" t="n"/>
      <c r="AH69" s="4865" t="n"/>
      <c r="AI69" s="4865" t="n"/>
      <c r="AJ69" s="4865" t="n"/>
      <c r="AK69" s="2013" t="n"/>
      <c r="AL69" s="11602" t="n"/>
      <c r="AM69" s="11602" t="n"/>
      <c r="AN69" s="11602" t="n"/>
      <c r="AV69" s="950" t="n"/>
      <c r="AW69" s="950" t="n"/>
      <c r="AX69" s="12473" t="n"/>
      <c r="BA69" s="658" t="n"/>
      <c r="BB69" s="658" t="n"/>
      <c r="BC69" s="658" t="n"/>
      <c r="BD69" s="658" t="n"/>
      <c r="BE69" s="658" t="n"/>
      <c r="BF69" s="658" t="n"/>
      <c r="BG69" s="658" t="n"/>
      <c r="BH69" s="658" t="n"/>
      <c r="BI69" s="658" t="n"/>
      <c r="BJ69" s="658" t="n"/>
    </row>
    <row r="70" ht="15.75" customFormat="1" customHeight="1" s="815" thickBot="1">
      <c r="A70" s="2013" t="n"/>
      <c r="B70" s="4892" t="n"/>
      <c r="C70" s="6506" t="inlineStr">
        <is>
          <t>capitalized under section 263A other than interest costs capitalized under section 263A(f)</t>
        </is>
      </c>
      <c r="D70" s="4893" t="n"/>
      <c r="E70" s="4893" t="n"/>
      <c r="F70" s="4893" t="n"/>
      <c r="G70" s="4893" t="n"/>
      <c r="H70" s="4893" t="n"/>
      <c r="I70" s="4893" t="n"/>
      <c r="J70" s="4893" t="n"/>
      <c r="K70" s="4893" t="n"/>
      <c r="L70" s="4893" t="n"/>
      <c r="M70" s="4893" t="n"/>
      <c r="N70" s="4893" t="n"/>
      <c r="O70" s="4893" t="n"/>
      <c r="P70" s="4893" t="n"/>
      <c r="Q70" s="4893" t="n"/>
      <c r="R70" s="4893" t="n"/>
      <c r="S70" s="4893" t="n"/>
      <c r="T70" s="4893" t="n"/>
      <c r="U70" s="2220" t="inlineStr">
        <is>
          <t xml:space="preserve"> .  </t>
        </is>
      </c>
      <c r="V70" s="7613" t="inlineStr">
        <is>
          <t>23b</t>
        </is>
      </c>
      <c r="W70" s="12510" t="n"/>
      <c r="X70" s="11795" t="n"/>
      <c r="Y70" s="11795" t="n"/>
      <c r="Z70" s="11795" t="n"/>
      <c r="AA70" s="12145" t="n"/>
      <c r="AB70" s="4895" t="n"/>
      <c r="AC70" s="4896" t="n"/>
      <c r="AD70" s="4896" t="n"/>
      <c r="AE70" s="4897" t="n"/>
      <c r="AF70" s="4897" t="n"/>
      <c r="AG70" s="4897" t="n"/>
      <c r="AH70" s="4897" t="n"/>
      <c r="AI70" s="4897" t="n"/>
      <c r="AJ70" s="4897" t="n"/>
      <c r="AK70" s="2013" t="n"/>
      <c r="AL70" s="11602" t="n"/>
      <c r="AM70" s="11602" t="n"/>
      <c r="AN70" s="11602" t="n"/>
      <c r="AV70" s="950" t="n"/>
      <c r="AW70" s="950" t="n"/>
      <c r="AX70" s="12473" t="n"/>
      <c r="BA70" s="658" t="n"/>
      <c r="BB70" s="658" t="n"/>
      <c r="BC70" s="658" t="n"/>
      <c r="BD70" s="658" t="n"/>
      <c r="BE70" s="658" t="n"/>
      <c r="BF70" s="658" t="n"/>
      <c r="BG70" s="658" t="n"/>
      <c r="BH70" s="658" t="n"/>
      <c r="BI70" s="658" t="n"/>
      <c r="BJ70" s="658" t="n"/>
    </row>
    <row r="71" ht="15.75" customFormat="1" customHeight="1" s="1115">
      <c r="A71" s="2290" t="n"/>
      <c r="B71" s="7639" t="inlineStr">
        <is>
          <t>Part V</t>
        </is>
      </c>
      <c r="C71" s="7839" t="n"/>
      <c r="D71" s="4900" t="n"/>
      <c r="E71" s="4901" t="inlineStr">
        <is>
          <t>Listed Property</t>
        </is>
      </c>
      <c r="F71" s="2310" t="n"/>
      <c r="G71" s="2310" t="n"/>
      <c r="H71" s="2310" t="n"/>
      <c r="I71" s="2310" t="n"/>
      <c r="J71" s="2310" t="inlineStr">
        <is>
          <t xml:space="preserve">(Include automobiles, certain other vehicles, certain aircraft, and property used for </t>
        </is>
      </c>
      <c r="K71" s="2310" t="n"/>
      <c r="L71" s="2310" t="n"/>
      <c r="M71" s="2310" t="n"/>
      <c r="N71" s="2310" t="n"/>
      <c r="O71" s="2310" t="n"/>
      <c r="P71" s="2310" t="n"/>
      <c r="Q71" s="2310" t="n"/>
      <c r="R71" s="2310" t="n"/>
      <c r="S71" s="2310" t="n"/>
      <c r="T71" s="2310" t="n"/>
      <c r="U71" s="2310" t="n"/>
      <c r="V71" s="2310" t="n"/>
      <c r="W71" s="2310" t="n"/>
      <c r="X71" s="2310" t="n"/>
      <c r="Y71" s="2310" t="n"/>
      <c r="Z71" s="2310" t="n"/>
      <c r="AA71" s="2310" t="n"/>
      <c r="AB71" s="2310" t="n"/>
      <c r="AC71" s="2310" t="n"/>
      <c r="AD71" s="2310" t="n"/>
      <c r="AE71" s="2310" t="n"/>
      <c r="AF71" s="2310" t="n"/>
      <c r="AG71" s="2310" t="n"/>
      <c r="AH71" s="2310" t="n"/>
      <c r="AI71" s="565" t="n"/>
      <c r="AJ71" s="565" t="n"/>
      <c r="AK71" s="2290" t="n"/>
      <c r="AL71" s="11602" t="n"/>
      <c r="AM71" s="11602" t="n"/>
      <c r="AN71" s="11602" t="n"/>
      <c r="AO71" s="2293" t="n"/>
      <c r="AV71" s="4958" t="n"/>
      <c r="AW71" s="4958" t="n"/>
      <c r="AX71" s="12501" t="n"/>
      <c r="BA71" s="658" t="n"/>
      <c r="BB71" s="658" t="n"/>
      <c r="BC71" s="658" t="n"/>
      <c r="BD71" s="658" t="n"/>
      <c r="BE71" s="658" t="n"/>
      <c r="BF71" s="658" t="n"/>
      <c r="BG71" s="658" t="n"/>
      <c r="BH71" s="658" t="n"/>
      <c r="BI71" s="658" t="n"/>
      <c r="BJ71" s="658" t="n"/>
      <c r="BK71" s="2293" t="n"/>
    </row>
    <row r="72" ht="15.75" customFormat="1" customHeight="1" s="815">
      <c r="A72" s="2013" t="n"/>
      <c r="B72" s="4902" t="n"/>
      <c r="C72" s="344" t="n"/>
      <c r="D72" s="4903" t="n"/>
      <c r="E72" s="4904" t="inlineStr">
        <is>
          <t>entertainment, recreation, or amusement.)</t>
        </is>
      </c>
      <c r="F72" s="4903" t="n"/>
      <c r="G72" s="4903" t="n"/>
      <c r="H72" s="4903" t="n"/>
      <c r="I72" s="4903" t="n"/>
      <c r="J72" s="4903" t="n"/>
      <c r="K72" s="4903" t="n"/>
      <c r="L72" s="4903" t="n"/>
      <c r="M72" s="4903" t="n"/>
      <c r="N72" s="4903" t="n"/>
      <c r="O72" s="4903" t="n"/>
      <c r="P72" s="4903" t="n"/>
      <c r="Q72" s="4903" t="n"/>
      <c r="R72" s="4903" t="n"/>
      <c r="S72" s="4903" t="n"/>
      <c r="T72" s="12511" t="n"/>
      <c r="U72" s="12512" t="n"/>
      <c r="V72" s="12512" t="n"/>
      <c r="W72" s="12512" t="n"/>
      <c r="X72" s="12512" t="n"/>
      <c r="Y72" s="12512" t="n"/>
      <c r="Z72" s="12512" t="n"/>
      <c r="AA72" s="12512" t="n"/>
      <c r="AB72" s="12512" t="n"/>
      <c r="AC72" s="12512" t="n"/>
      <c r="AD72" s="12512" t="n"/>
      <c r="AE72" s="12512" t="n"/>
      <c r="AF72" s="12512" t="n"/>
      <c r="AG72" s="12512" t="n"/>
      <c r="AH72" s="12512" t="n"/>
      <c r="AI72" s="12512" t="n"/>
      <c r="AJ72" s="12512" t="n"/>
      <c r="AK72" s="2013" t="n"/>
      <c r="AL72" s="11602" t="n"/>
      <c r="AM72" s="11602" t="n"/>
      <c r="AN72" s="11602" t="n"/>
      <c r="AV72" s="950" t="n"/>
      <c r="AW72" s="950" t="n"/>
      <c r="AX72" s="12473" t="n"/>
      <c r="BA72" s="658" t="n"/>
      <c r="BB72" s="658" t="n"/>
      <c r="BC72" s="658" t="n"/>
      <c r="BD72" s="658" t="n"/>
      <c r="BE72" s="658" t="n"/>
      <c r="BF72" s="658" t="n"/>
      <c r="BG72" s="658" t="n"/>
      <c r="BH72" s="658" t="n"/>
      <c r="BI72" s="658" t="n"/>
      <c r="BJ72" s="658" t="n"/>
    </row>
    <row r="73" ht="15.75" customFormat="1" customHeight="1" s="815">
      <c r="A73" s="2013" t="n"/>
      <c r="B73" s="4902" t="n"/>
      <c r="C73" s="344" t="n"/>
      <c r="D73" s="8650" t="n"/>
      <c r="E73" s="7772" t="inlineStr">
        <is>
          <t>Note:</t>
        </is>
      </c>
      <c r="F73" s="344" t="n"/>
      <c r="G73" s="7772" t="inlineStr">
        <is>
          <t xml:space="preserve">For any vehicle for which you are using the standard mileage rate or deducting lease expense, complete only 24a, </t>
        </is>
      </c>
      <c r="H73" s="344" t="n"/>
      <c r="I73" s="344" t="n"/>
      <c r="J73" s="344" t="n"/>
      <c r="K73" s="344" t="n"/>
      <c r="L73" s="344" t="n"/>
      <c r="M73" s="344" t="n"/>
      <c r="N73" s="344" t="n"/>
      <c r="O73" s="344" t="n"/>
      <c r="P73" s="344" t="n"/>
      <c r="Q73" s="344" t="n"/>
      <c r="R73" s="344" t="n"/>
      <c r="S73" s="344" t="n"/>
      <c r="T73" s="344" t="n"/>
      <c r="U73" s="344" t="n"/>
      <c r="V73" s="344" t="n"/>
      <c r="W73" s="344" t="n"/>
      <c r="X73" s="344" t="n"/>
      <c r="Y73" s="344" t="n"/>
      <c r="Z73" s="344" t="n"/>
      <c r="AA73" s="344" t="n"/>
      <c r="AB73" s="344" t="n"/>
      <c r="AC73" s="344" t="n"/>
      <c r="AD73" s="344" t="n"/>
      <c r="AE73" s="344" t="n"/>
      <c r="AF73" s="344" t="n"/>
      <c r="AG73" s="344" t="n"/>
      <c r="AH73" s="344" t="n"/>
      <c r="AI73" s="344" t="n"/>
      <c r="AJ73" s="344" t="n"/>
      <c r="AK73" s="2013" t="n"/>
      <c r="AL73" s="11602" t="n"/>
      <c r="AM73" s="11602" t="n"/>
      <c r="AN73" s="11602" t="n"/>
      <c r="AV73" s="950" t="n"/>
      <c r="AW73" s="950" t="n"/>
      <c r="AX73" s="12473" t="n"/>
      <c r="BA73" s="658" t="n"/>
      <c r="BB73" s="658" t="n"/>
      <c r="BC73" s="658" t="n"/>
      <c r="BD73" s="658" t="n"/>
      <c r="BE73" s="658" t="n"/>
      <c r="BF73" s="658" t="n"/>
      <c r="BG73" s="658" t="n"/>
      <c r="BH73" s="658" t="n"/>
      <c r="BI73" s="658" t="n"/>
      <c r="BJ73" s="658" t="n"/>
    </row>
    <row r="74" ht="15.75" customFormat="1" customHeight="1" s="815">
      <c r="A74" s="2013" t="n"/>
      <c r="B74" s="4902" t="n"/>
      <c r="C74" s="344" t="n"/>
      <c r="D74" s="11641" t="n"/>
      <c r="E74" s="2311" t="inlineStr">
        <is>
          <t>24b, columns (a) through (c) of Section A, all of Section B, and Section C if applicable.</t>
        </is>
      </c>
      <c r="F74" s="344" t="n"/>
      <c r="G74" s="344" t="n"/>
      <c r="H74" s="344" t="n"/>
      <c r="I74" s="344" t="n"/>
      <c r="J74" s="344" t="n"/>
      <c r="K74" s="344" t="n"/>
      <c r="L74" s="344" t="n"/>
      <c r="M74" s="344" t="n"/>
      <c r="N74" s="11641" t="n"/>
      <c r="O74" s="344" t="n"/>
      <c r="P74" s="344" t="n"/>
      <c r="Q74" s="344" t="n"/>
      <c r="R74" s="344" t="n"/>
      <c r="S74" s="344" t="n"/>
      <c r="T74" s="11641" t="n"/>
      <c r="U74" s="11641" t="n"/>
      <c r="V74" s="344" t="n"/>
      <c r="W74" s="344" t="n"/>
      <c r="X74" s="344" t="n"/>
      <c r="Y74" s="344" t="n"/>
      <c r="Z74" s="344" t="n"/>
      <c r="AA74" s="344" t="n"/>
      <c r="AB74" s="11641" t="n"/>
      <c r="AC74" s="344" t="n"/>
      <c r="AD74" s="344" t="n"/>
      <c r="AE74" s="344" t="n"/>
      <c r="AF74" s="344" t="n"/>
      <c r="AG74" s="344" t="n"/>
      <c r="AH74" s="344" t="n"/>
      <c r="AI74" s="344" t="n"/>
      <c r="AJ74" s="344" t="n"/>
      <c r="AK74" s="2013" t="n"/>
      <c r="AL74" s="11602" t="n"/>
      <c r="AM74" s="11602" t="n"/>
      <c r="AN74" s="11602" t="n"/>
      <c r="AV74" s="950" t="n"/>
      <c r="AW74" s="950" t="n"/>
      <c r="AX74" s="12473" t="n"/>
      <c r="BA74" s="658" t="n"/>
      <c r="BB74" s="658" t="n"/>
      <c r="BC74" s="658" t="n"/>
      <c r="BD74" s="658" t="n"/>
      <c r="BE74" s="658" t="n"/>
      <c r="BF74" s="658" t="n"/>
      <c r="BG74" s="658" t="n"/>
      <c r="BH74" s="658" t="n"/>
      <c r="BI74" s="658" t="n"/>
      <c r="BJ74" s="658" t="n"/>
    </row>
    <row r="75" ht="15.75" customFormat="1" customHeight="1" s="1115">
      <c r="A75" s="2290" t="n"/>
      <c r="B75" s="4877" t="inlineStr">
        <is>
          <t>Section A—Depreciation and Other Information (Caution: See the instructions for limits for passenger automobiles.)</t>
        </is>
      </c>
      <c r="C75" s="4875" t="n"/>
      <c r="D75" s="4876" t="n"/>
      <c r="E75" s="4877" t="n"/>
      <c r="F75" s="4878" t="n"/>
      <c r="G75" s="4878" t="n"/>
      <c r="H75" s="4878" t="n"/>
      <c r="I75" s="4878" t="n"/>
      <c r="J75" s="4878" t="n"/>
      <c r="K75" s="4878" t="n"/>
      <c r="L75" s="4878" t="n"/>
      <c r="M75" s="4878" t="n"/>
      <c r="N75" s="4878" t="n"/>
      <c r="O75" s="4878" t="n"/>
      <c r="P75" s="4878" t="n"/>
      <c r="Q75" s="4878" t="n"/>
      <c r="R75" s="4878" t="n"/>
      <c r="S75" s="4887" t="n"/>
      <c r="T75" s="4887" t="n"/>
      <c r="U75" s="4887" t="n"/>
      <c r="V75" s="4887" t="n"/>
      <c r="W75" s="4887" t="n"/>
      <c r="X75" s="4887" t="n"/>
      <c r="Y75" s="4887" t="n"/>
      <c r="Z75" s="4887" t="n"/>
      <c r="AA75" s="4887" t="n"/>
      <c r="AB75" s="4887" t="n"/>
      <c r="AC75" s="4887" t="n"/>
      <c r="AD75" s="4878" t="n"/>
      <c r="AE75" s="4878" t="n"/>
      <c r="AF75" s="4878" t="n"/>
      <c r="AG75" s="4878" t="n"/>
      <c r="AH75" s="4878" t="n"/>
      <c r="AI75" s="4879" t="n"/>
      <c r="AJ75" s="4879" t="n"/>
      <c r="AK75" s="2290" t="n"/>
      <c r="AL75" s="11602" t="n"/>
      <c r="AM75" s="11602" t="n"/>
      <c r="AN75" s="11602" t="n"/>
      <c r="AO75" s="2293" t="n"/>
      <c r="AV75" s="4958" t="n"/>
      <c r="AW75" s="4958" t="n"/>
      <c r="AX75" s="12501" t="n"/>
      <c r="BA75" s="658" t="n"/>
      <c r="BB75" s="658" t="n"/>
      <c r="BC75" s="658" t="n"/>
      <c r="BD75" s="658" t="n"/>
      <c r="BE75" s="658" t="n"/>
      <c r="BF75" s="658" t="n"/>
      <c r="BG75" s="658" t="n"/>
      <c r="BH75" s="658" t="n"/>
      <c r="BI75" s="658" t="n"/>
      <c r="BJ75" s="658" t="n"/>
      <c r="BK75" s="2293" t="n"/>
    </row>
    <row r="76" ht="4.5" customFormat="1" customHeight="1" s="1115">
      <c r="A76" s="2290" t="n"/>
      <c r="B76" s="4907" t="n"/>
      <c r="C76" s="4908" t="n"/>
      <c r="D76" s="4909" t="n"/>
      <c r="E76" s="4907" t="n"/>
      <c r="F76" s="4910" t="n"/>
      <c r="G76" s="4910" t="n"/>
      <c r="H76" s="4910" t="n"/>
      <c r="I76" s="4910" t="n"/>
      <c r="J76" s="4910" t="n"/>
      <c r="K76" s="4910" t="n"/>
      <c r="L76" s="4910" t="n"/>
      <c r="M76" s="4910" t="n"/>
      <c r="N76" s="4910" t="n"/>
      <c r="O76" s="4910" t="n"/>
      <c r="P76" s="4910" t="n"/>
      <c r="Q76" s="4910" t="n"/>
      <c r="R76" s="4911" t="n"/>
      <c r="S76" s="4912" t="n"/>
      <c r="T76" s="4913" t="n"/>
      <c r="U76" s="4912" t="n"/>
      <c r="V76" s="4913" t="n"/>
      <c r="W76" s="4913" t="n"/>
      <c r="X76" s="4913" t="n"/>
      <c r="Y76" s="4913" t="n"/>
      <c r="Z76" s="4912" t="n"/>
      <c r="AA76" s="4912" t="n"/>
      <c r="AB76" s="4912" t="n"/>
      <c r="AC76" s="4912" t="n"/>
      <c r="AD76" s="4910" t="n"/>
      <c r="AE76" s="4911" t="n"/>
      <c r="AF76" s="4910" t="n"/>
      <c r="AG76" s="4911" t="n"/>
      <c r="AH76" s="4910" t="n"/>
      <c r="AI76" s="4914" t="n"/>
      <c r="AJ76" s="4915" t="n"/>
      <c r="AK76" s="2290" t="n"/>
      <c r="AL76" s="11602" t="n"/>
      <c r="AM76" s="11602" t="n"/>
      <c r="AN76" s="11602" t="n"/>
      <c r="AO76" s="2293" t="n"/>
      <c r="AV76" s="4958" t="n"/>
      <c r="AW76" s="4958" t="n"/>
      <c r="AX76" s="12501" t="n"/>
      <c r="BA76" s="658" t="n"/>
      <c r="BB76" s="658" t="n"/>
      <c r="BC76" s="658" t="n"/>
      <c r="BD76" s="658" t="n"/>
      <c r="BE76" s="658" t="n"/>
      <c r="BF76" s="658" t="n"/>
      <c r="BG76" s="658" t="n"/>
      <c r="BH76" s="658" t="n"/>
      <c r="BI76" s="658" t="n"/>
      <c r="BJ76" s="658" t="n"/>
      <c r="BK76" s="2293" t="n"/>
    </row>
    <row r="77" ht="12" customFormat="1" customHeight="1" s="1239">
      <c r="A77" s="2306" t="n"/>
      <c r="B77" s="342" t="inlineStr">
        <is>
          <t>24a</t>
        </is>
      </c>
      <c r="C77" s="516" t="inlineStr">
        <is>
          <t>Do you have evidence to support the business/investment use claimed?</t>
        </is>
      </c>
      <c r="D77" s="4916" t="n"/>
      <c r="E77" s="1672" t="n"/>
      <c r="F77" s="516" t="n"/>
      <c r="G77" s="516" t="n"/>
      <c r="H77" s="516" t="n"/>
      <c r="I77" s="516" t="n"/>
      <c r="J77" s="516" t="n"/>
      <c r="K77" s="516" t="n"/>
      <c r="L77" s="516" t="n"/>
      <c r="M77" s="516" t="n"/>
      <c r="N77" s="516" t="n"/>
      <c r="O77" s="516" t="n"/>
      <c r="P77" s="516" t="n"/>
      <c r="Q77" s="516" t="n"/>
      <c r="R77" s="516" t="n"/>
      <c r="S77" s="342" t="n"/>
      <c r="T77" s="516" t="n"/>
      <c r="U77" s="516" t="n"/>
      <c r="V77" s="516" t="n"/>
      <c r="W77" s="516" t="n"/>
      <c r="X77" s="342" t="n"/>
      <c r="Y77" s="516" t="n"/>
      <c r="Z77" s="516" t="n"/>
      <c r="AA77" s="1672" t="n"/>
      <c r="AB77" s="384" t="n"/>
      <c r="AC77" s="6508" t="inlineStr">
        <is>
          <t>Yes</t>
        </is>
      </c>
      <c r="AD77" s="342" t="n"/>
      <c r="AE77" s="4917" t="n"/>
      <c r="AF77" s="384" t="n"/>
      <c r="AG77" s="2026" t="inlineStr">
        <is>
          <t>No</t>
        </is>
      </c>
      <c r="AH77" s="1672" t="n"/>
      <c r="AI77" s="516" t="n"/>
      <c r="AJ77" s="516" t="n"/>
      <c r="AK77" s="2306" t="n"/>
      <c r="AL77" s="411" t="n"/>
      <c r="AM77" s="411" t="n"/>
      <c r="AN77" s="411" t="n"/>
      <c r="AO77" s="9864" t="n"/>
      <c r="AV77" s="4957" t="n"/>
      <c r="AW77" s="4957" t="n"/>
      <c r="AX77" s="12497" t="n"/>
      <c r="BA77" s="665" t="n"/>
      <c r="BB77" s="665" t="n"/>
      <c r="BC77" s="665" t="n"/>
      <c r="BD77" s="665" t="n"/>
      <c r="BE77" s="665" t="n"/>
      <c r="BF77" s="665" t="n"/>
      <c r="BG77" s="665" t="n"/>
      <c r="BH77" s="665" t="n"/>
      <c r="BI77" s="665" t="n"/>
      <c r="BJ77" s="665" t="n"/>
      <c r="BK77" s="9864" t="n"/>
    </row>
    <row r="78" ht="12" customFormat="1" customHeight="1" s="1239">
      <c r="A78" s="2306" t="n"/>
      <c r="B78" s="342" t="inlineStr">
        <is>
          <t>b</t>
        </is>
      </c>
      <c r="C78" s="516" t="inlineStr">
        <is>
          <t>If “Yes,” is the evidence written?</t>
        </is>
      </c>
      <c r="D78" s="4916" t="n"/>
      <c r="E78" s="1672" t="n"/>
      <c r="F78" s="516" t="n"/>
      <c r="G78" s="516" t="n"/>
      <c r="H78" s="516" t="n"/>
      <c r="I78" s="516" t="n"/>
      <c r="J78" s="516" t="n"/>
      <c r="K78" s="516" t="n"/>
      <c r="L78" s="516" t="n"/>
      <c r="M78" s="516" t="n"/>
      <c r="N78" s="516" t="n"/>
      <c r="O78" s="516" t="n"/>
      <c r="P78" s="516" t="n"/>
      <c r="Q78" s="516" t="n"/>
      <c r="R78" s="516" t="n"/>
      <c r="S78" s="342" t="n"/>
      <c r="T78" s="516" t="n"/>
      <c r="U78" s="516" t="n"/>
      <c r="V78" s="516" t="n"/>
      <c r="W78" s="516" t="n"/>
      <c r="X78" s="342" t="n"/>
      <c r="Y78" s="516" t="n"/>
      <c r="Z78" s="516" t="n"/>
      <c r="AA78" s="1672" t="n"/>
      <c r="AB78" s="384" t="n"/>
      <c r="AC78" s="6508" t="inlineStr">
        <is>
          <t>Yes</t>
        </is>
      </c>
      <c r="AD78" s="342" t="n"/>
      <c r="AE78" s="4917" t="n"/>
      <c r="AF78" s="384" t="n"/>
      <c r="AG78" s="2026" t="inlineStr">
        <is>
          <t>No</t>
        </is>
      </c>
      <c r="AH78" s="1672" t="n"/>
      <c r="AI78" s="516" t="n"/>
      <c r="AJ78" s="516" t="n"/>
      <c r="AK78" s="2306" t="n"/>
      <c r="AL78" s="411" t="n"/>
      <c r="AM78" s="411" t="n"/>
      <c r="AN78" s="411" t="n"/>
      <c r="AO78" s="9864" t="n"/>
      <c r="AV78" s="4957" t="n"/>
      <c r="AW78" s="4957" t="n"/>
      <c r="AX78" s="12497" t="n"/>
      <c r="BA78" s="665" t="n"/>
      <c r="BB78" s="665" t="n"/>
      <c r="BC78" s="665" t="n"/>
      <c r="BD78" s="665" t="n"/>
      <c r="BE78" s="665" t="n"/>
      <c r="BF78" s="665" t="n"/>
      <c r="BG78" s="665" t="n"/>
      <c r="BH78" s="665" t="n"/>
      <c r="BI78" s="665" t="n"/>
      <c r="BJ78" s="665" t="n"/>
      <c r="BK78" s="9864" t="n"/>
    </row>
    <row r="79" ht="12" customFormat="1" customHeight="1" s="1239">
      <c r="A79" s="2306" t="n"/>
      <c r="B79" s="342" t="inlineStr">
        <is>
          <t>c</t>
        </is>
      </c>
      <c r="C79" s="516" t="inlineStr">
        <is>
          <t>Do you own, lease, or charter an aircraft? Check all that apply. See instructions</t>
        </is>
      </c>
      <c r="D79" s="4916" t="n"/>
      <c r="E79" s="1672" t="n"/>
      <c r="F79" s="516" t="n"/>
      <c r="G79" s="516" t="n"/>
      <c r="H79" s="516" t="n"/>
      <c r="I79" s="516" t="n"/>
      <c r="J79" s="516" t="n"/>
      <c r="K79" s="516" t="n"/>
      <c r="L79" s="516" t="n"/>
      <c r="M79" s="516" t="n"/>
      <c r="N79" s="516" t="n"/>
      <c r="O79" s="516" t="n"/>
      <c r="P79" s="516" t="n"/>
      <c r="Q79" s="516" t="n"/>
      <c r="R79" s="516" t="n"/>
      <c r="S79" s="342" t="n"/>
      <c r="T79" s="516" t="n"/>
      <c r="U79" s="516" t="n"/>
      <c r="V79" s="516" t="n"/>
      <c r="W79" s="384" t="n"/>
      <c r="X79" s="6507" t="inlineStr">
        <is>
          <t>Own</t>
        </is>
      </c>
      <c r="Y79" s="516" t="n"/>
      <c r="Z79" s="516" t="n"/>
      <c r="AA79" s="1672" t="n"/>
      <c r="AB79" s="384" t="n"/>
      <c r="AC79" s="6508" t="inlineStr">
        <is>
          <t>Lease</t>
        </is>
      </c>
      <c r="AD79" s="342" t="n"/>
      <c r="AE79" s="4917" t="n"/>
      <c r="AF79" s="384" t="n"/>
      <c r="AG79" s="2026" t="inlineStr">
        <is>
          <t>Charter</t>
        </is>
      </c>
      <c r="AH79" s="1672" t="n"/>
      <c r="AI79" s="516" t="n"/>
      <c r="AJ79" s="516" t="n"/>
      <c r="AK79" s="2306" t="n"/>
      <c r="AL79" s="411" t="n"/>
      <c r="AM79" s="411" t="n"/>
      <c r="AN79" s="411" t="n"/>
      <c r="AO79" s="9864" t="n"/>
      <c r="AV79" s="4957" t="n"/>
      <c r="AW79" s="4957" t="n"/>
      <c r="AX79" s="12497" t="n"/>
      <c r="BA79" s="665" t="n"/>
      <c r="BB79" s="665" t="n"/>
      <c r="BC79" s="665" t="n"/>
      <c r="BD79" s="665" t="n"/>
      <c r="BE79" s="665" t="n"/>
      <c r="BF79" s="665" t="n"/>
      <c r="BG79" s="665" t="n"/>
      <c r="BH79" s="665" t="n"/>
      <c r="BI79" s="665" t="n"/>
      <c r="BJ79" s="665" t="n"/>
      <c r="BK79" s="9864" t="n"/>
    </row>
    <row r="80" ht="4.5" customFormat="1" customHeight="1" s="815">
      <c r="A80" s="2013" t="n"/>
      <c r="B80" s="11248" t="n"/>
      <c r="C80" s="569" t="n"/>
      <c r="D80" s="569" t="n"/>
      <c r="E80" s="1996" t="n"/>
      <c r="F80" s="569" t="n"/>
      <c r="G80" s="569" t="n"/>
      <c r="H80" s="569" t="n"/>
      <c r="I80" s="569" t="n"/>
      <c r="J80" s="569" t="n"/>
      <c r="K80" s="569" t="n"/>
      <c r="L80" s="569" t="n"/>
      <c r="M80" s="569" t="n"/>
      <c r="N80" s="569" t="n"/>
      <c r="O80" s="569" t="n"/>
      <c r="P80" s="569" t="n"/>
      <c r="Q80" s="569" t="n"/>
      <c r="R80" s="569" t="n"/>
      <c r="S80" s="569" t="n"/>
      <c r="T80" s="569" t="n"/>
      <c r="U80" s="569" t="n"/>
      <c r="V80" s="4918" t="n"/>
      <c r="W80" s="569" t="n"/>
      <c r="X80" s="569" t="n"/>
      <c r="Y80" s="569" t="n"/>
      <c r="Z80" s="569" t="n"/>
      <c r="AA80" s="569" t="n"/>
      <c r="AB80" s="569" t="n"/>
      <c r="AC80" s="569" t="n"/>
      <c r="AD80" s="569" t="n"/>
      <c r="AE80" s="569" t="n"/>
      <c r="AF80" s="569" t="n"/>
      <c r="AG80" s="569" t="n"/>
      <c r="AH80" s="569" t="n"/>
      <c r="AI80" s="569" t="n"/>
      <c r="AJ80" s="569" t="n"/>
      <c r="AK80" s="2013" t="n"/>
      <c r="AL80" s="11602" t="n"/>
      <c r="AM80" s="11602" t="n"/>
      <c r="AN80" s="11602" t="n"/>
      <c r="AV80" s="950" t="n"/>
      <c r="AW80" s="950" t="n"/>
      <c r="AX80" s="12473" t="n"/>
      <c r="BA80" s="658" t="n"/>
      <c r="BB80" s="658" t="n"/>
      <c r="BC80" s="658" t="n"/>
      <c r="BD80" s="658" t="n"/>
      <c r="BE80" s="658" t="n"/>
      <c r="BF80" s="658" t="n"/>
      <c r="BG80" s="658" t="n"/>
      <c r="BH80" s="658" t="n"/>
      <c r="BI80" s="658" t="n"/>
      <c r="BJ80" s="658" t="n"/>
    </row>
    <row r="81" ht="52.5" customFormat="1" customHeight="1" s="815">
      <c r="A81" s="2013" t="n"/>
      <c r="B81" s="12124" t="inlineStr">
        <is>
          <t>(a)
Type of property (list
vehicles first)</t>
        </is>
      </c>
      <c r="C81" s="8412" t="n"/>
      <c r="D81" s="8412" t="n"/>
      <c r="E81" s="11734" t="n"/>
      <c r="F81" s="12513" t="inlineStr">
        <is>
          <t>(b)
Date placed
in service</t>
        </is>
      </c>
      <c r="G81" s="8412" t="n"/>
      <c r="H81" s="11734" t="n"/>
      <c r="I81" s="11391" t="inlineStr">
        <is>
          <t>(c)
Business/
investment use
percentage</t>
        </is>
      </c>
      <c r="J81" s="8412" t="n"/>
      <c r="K81" s="11734" t="n"/>
      <c r="L81" s="12491" t="inlineStr">
        <is>
          <t>(d)
Cost or other basis</t>
        </is>
      </c>
      <c r="M81" s="8412" t="n"/>
      <c r="N81" s="8412" t="n"/>
      <c r="O81" s="11734" t="n"/>
      <c r="P81" s="12513" t="inlineStr">
        <is>
          <t>(e)
Basis for depreciation
(business/investment
use only)</t>
        </is>
      </c>
      <c r="Q81" s="8412" t="n"/>
      <c r="R81" s="8412" t="n"/>
      <c r="S81" s="8412" t="n"/>
      <c r="T81" s="11734" t="n"/>
      <c r="U81" s="12491" t="inlineStr">
        <is>
          <t>(f)
Recovery
period</t>
        </is>
      </c>
      <c r="V81" s="8412" t="n"/>
      <c r="W81" s="11734" t="n"/>
      <c r="X81" s="11976" t="inlineStr">
        <is>
          <t>(g)
Method/
Convention</t>
        </is>
      </c>
      <c r="Y81" s="8412" t="n"/>
      <c r="Z81" s="11734" t="n"/>
      <c r="AA81" s="10079" t="inlineStr">
        <is>
          <t>(h)
Depreciation 
deduction</t>
        </is>
      </c>
      <c r="AB81" s="8412" t="n"/>
      <c r="AC81" s="8412" t="n"/>
      <c r="AD81" s="8412" t="n"/>
      <c r="AE81" s="8412" t="n"/>
      <c r="AF81" s="10079" t="inlineStr">
        <is>
          <t>(i)
Elected Section 179 
cost</t>
        </is>
      </c>
      <c r="AG81" s="8412" t="n"/>
      <c r="AH81" s="8412" t="n"/>
      <c r="AI81" s="8412" t="n"/>
      <c r="AJ81" s="8412" t="n"/>
      <c r="AK81" s="2013" t="n"/>
      <c r="AL81" s="11602" t="n"/>
      <c r="AM81" s="11602" t="n"/>
      <c r="AN81" s="11602" t="n"/>
      <c r="AV81" s="950" t="n"/>
      <c r="AW81" s="950" t="n"/>
      <c r="AX81" s="12473" t="n"/>
      <c r="BA81" s="658" t="n"/>
      <c r="BB81" s="658" t="n"/>
      <c r="BC81" s="658" t="n"/>
      <c r="BD81" s="658" t="n"/>
      <c r="BE81" s="658" t="n"/>
      <c r="BF81" s="658" t="n"/>
      <c r="BG81" s="658" t="n"/>
      <c r="BH81" s="658" t="n"/>
      <c r="BI81" s="658" t="n"/>
      <c r="BJ81" s="658" t="n"/>
    </row>
    <row r="82" ht="15.75" customFormat="1" customHeight="1" s="815">
      <c r="A82" s="2013" t="n"/>
      <c r="B82" s="9988" t="n">
        <v>25</v>
      </c>
      <c r="C82" s="7865" t="inlineStr">
        <is>
          <t>Special depreciation allowance for qualified listed property placed in service during</t>
        </is>
      </c>
      <c r="D82" s="8650" t="n"/>
      <c r="E82" s="8650" t="n"/>
      <c r="F82" s="344" t="n"/>
      <c r="G82" s="344" t="n"/>
      <c r="H82" s="344" t="n"/>
      <c r="I82" s="344" t="n"/>
      <c r="J82" s="344" t="n"/>
      <c r="K82" s="344" t="n"/>
      <c r="L82" s="344" t="n"/>
      <c r="M82" s="344" t="n"/>
      <c r="N82" s="344" t="n"/>
      <c r="O82" s="344" t="n"/>
      <c r="P82" s="344" t="n"/>
      <c r="Q82" s="344" t="n"/>
      <c r="R82" s="344" t="n"/>
      <c r="S82" s="344" t="n"/>
      <c r="T82" s="565" t="n"/>
      <c r="U82" s="565" t="n"/>
      <c r="V82" s="8577" t="n"/>
      <c r="W82" s="8577" t="n"/>
      <c r="X82" s="10097" t="n"/>
      <c r="Y82" s="10090" t="n"/>
      <c r="Z82" s="8577" t="n"/>
      <c r="AA82" s="4452" t="n"/>
      <c r="AB82" s="7839" t="n"/>
      <c r="AC82" s="7839" t="n"/>
      <c r="AD82" s="7839" t="n"/>
      <c r="AE82" s="10091" t="n"/>
      <c r="AF82" s="4919" t="n"/>
      <c r="AG82" s="4868" t="n"/>
      <c r="AH82" s="4868" t="n"/>
      <c r="AI82" s="4868" t="n"/>
      <c r="AJ82" s="4868" t="n"/>
      <c r="AK82" s="2013" t="n"/>
      <c r="AL82" s="11602" t="n"/>
      <c r="AM82" s="11602" t="n"/>
      <c r="AN82" s="11602" t="n"/>
      <c r="AV82" s="950" t="n"/>
      <c r="AW82" s="950" t="n"/>
      <c r="AX82" s="12473" t="n"/>
      <c r="BA82" s="658" t="n"/>
      <c r="BB82" s="658" t="n"/>
      <c r="BC82" s="658" t="n"/>
      <c r="BD82" s="658" t="n"/>
      <c r="BE82" s="658" t="n"/>
      <c r="BF82" s="658" t="n"/>
      <c r="BG82" s="658" t="n"/>
      <c r="BH82" s="658" t="n"/>
      <c r="BI82" s="658" t="n"/>
      <c r="BJ82" s="658" t="n"/>
    </row>
    <row r="83" ht="15.75" customFormat="1" customHeight="1" s="815" thickBot="1">
      <c r="A83" s="2013" t="n"/>
      <c r="B83" s="4817" t="n"/>
      <c r="C83" s="4920" t="inlineStr">
        <is>
          <t>the tax year and used more than 50% in a qualified business use. See instructions</t>
        </is>
      </c>
      <c r="D83" s="4893" t="n"/>
      <c r="E83" s="4893" t="n"/>
      <c r="F83" s="4893" t="n"/>
      <c r="G83" s="4893" t="n"/>
      <c r="H83" s="4893" t="n"/>
      <c r="I83" s="4893" t="n"/>
      <c r="J83" s="4893" t="n"/>
      <c r="K83" s="4893" t="n"/>
      <c r="L83" s="4893" t="n"/>
      <c r="M83" s="4893" t="n"/>
      <c r="N83" s="4893" t="n"/>
      <c r="O83" s="4893" t="n"/>
      <c r="P83" s="4893" t="n"/>
      <c r="Q83" s="4893" t="n"/>
      <c r="R83" s="4893" t="n"/>
      <c r="S83" s="4893" t="n"/>
      <c r="T83" s="4893" t="n"/>
      <c r="U83" s="4893" t="n"/>
      <c r="V83" s="4921" t="n"/>
      <c r="W83" s="4921" t="n"/>
      <c r="X83" s="4922" t="inlineStr">
        <is>
          <t xml:space="preserve">.   .   .  </t>
        </is>
      </c>
      <c r="Y83" s="7613" t="n">
        <v>25</v>
      </c>
      <c r="Z83" s="12121" t="n"/>
      <c r="AA83" s="12510" t="n"/>
      <c r="AB83" s="11795" t="n"/>
      <c r="AC83" s="11795" t="n"/>
      <c r="AD83" s="11795" t="n"/>
      <c r="AE83" s="12145" t="n"/>
      <c r="AF83" s="4923" t="n"/>
      <c r="AG83" s="4897" t="n"/>
      <c r="AH83" s="4897" t="n"/>
      <c r="AI83" s="4897" t="n"/>
      <c r="AJ83" s="4897" t="n"/>
      <c r="AK83" s="2013" t="n"/>
      <c r="AL83" s="11602" t="n"/>
      <c r="AM83" s="11602" t="n"/>
      <c r="AN83" s="11602" t="n"/>
      <c r="AV83" s="950" t="n"/>
      <c r="AW83" s="950" t="n"/>
      <c r="AX83" s="12473" t="n"/>
      <c r="BA83" s="658" t="n"/>
      <c r="BB83" s="658" t="n"/>
      <c r="BC83" s="658" t="n"/>
      <c r="BD83" s="658" t="n"/>
      <c r="BE83" s="658" t="n"/>
      <c r="BF83" s="658" t="n"/>
      <c r="BG83" s="658" t="n"/>
      <c r="BH83" s="658" t="n"/>
      <c r="BI83" s="658" t="n"/>
      <c r="BJ83" s="658" t="n"/>
    </row>
    <row r="84" ht="15.75" customFormat="1" customHeight="1" s="1115">
      <c r="A84" s="2290" t="n"/>
      <c r="B84" s="4924" t="n">
        <v>26</v>
      </c>
      <c r="C84" s="4925" t="inlineStr">
        <is>
          <t>Property used more than 50% in a qualified business use:</t>
        </is>
      </c>
      <c r="D84" s="4876" t="n"/>
      <c r="E84" s="4877" t="n"/>
      <c r="F84" s="4878" t="n"/>
      <c r="G84" s="4878" t="n"/>
      <c r="H84" s="4878" t="n"/>
      <c r="I84" s="4878" t="n"/>
      <c r="J84" s="4878" t="n"/>
      <c r="K84" s="4878" t="n"/>
      <c r="L84" s="4878" t="n"/>
      <c r="M84" s="4878" t="n"/>
      <c r="N84" s="4878" t="n"/>
      <c r="O84" s="4878" t="n"/>
      <c r="P84" s="4878" t="n"/>
      <c r="Q84" s="4878" t="n"/>
      <c r="R84" s="4878" t="n"/>
      <c r="S84" s="4878" t="n"/>
      <c r="T84" s="4878" t="n"/>
      <c r="U84" s="4878" t="n"/>
      <c r="V84" s="4878" t="n"/>
      <c r="W84" s="4878" t="n"/>
      <c r="X84" s="4878" t="n"/>
      <c r="Y84" s="4878" t="n"/>
      <c r="Z84" s="4878" t="n"/>
      <c r="AA84" s="4878" t="n"/>
      <c r="AB84" s="4878" t="n"/>
      <c r="AC84" s="4878" t="n"/>
      <c r="AD84" s="4878" t="n"/>
      <c r="AE84" s="4878" t="n"/>
      <c r="AF84" s="4878" t="n"/>
      <c r="AG84" s="4878" t="n"/>
      <c r="AH84" s="4878" t="n"/>
      <c r="AI84" s="4879" t="n"/>
      <c r="AJ84" s="4879" t="n"/>
      <c r="AK84" s="2290" t="n"/>
      <c r="AL84" s="11602" t="n"/>
      <c r="AM84" s="11602" t="n"/>
      <c r="AN84" s="11602" t="n"/>
      <c r="AO84" s="2293" t="n"/>
      <c r="AV84" s="4958" t="n"/>
      <c r="AW84" s="4958" t="n"/>
      <c r="AX84" s="12501" t="n"/>
      <c r="BA84" s="658" t="n"/>
      <c r="BB84" s="658" t="n"/>
      <c r="BC84" s="658" t="n"/>
      <c r="BD84" s="658" t="n"/>
      <c r="BE84" s="658" t="n"/>
      <c r="BF84" s="658" t="n"/>
      <c r="BG84" s="658" t="n"/>
      <c r="BH84" s="658" t="n"/>
      <c r="BI84" s="658" t="n"/>
      <c r="BJ84" s="658" t="n"/>
      <c r="BK84" s="2293" t="n"/>
    </row>
    <row r="85" ht="18.75" customFormat="1" customHeight="1" s="815">
      <c r="A85" s="2013" t="n"/>
      <c r="B85" s="10029" t="n"/>
      <c r="C85" s="8007" t="n"/>
      <c r="D85" s="8007" t="n"/>
      <c r="E85" s="8008" t="n"/>
      <c r="F85" s="12514" t="n"/>
      <c r="G85" s="8007" t="n"/>
      <c r="H85" s="8008" t="n"/>
      <c r="I85" s="10086" t="n"/>
      <c r="J85" s="8007" t="n"/>
      <c r="K85" s="4926" t="inlineStr">
        <is>
          <t>%</t>
        </is>
      </c>
      <c r="L85" s="12515" t="n"/>
      <c r="M85" s="8007" t="n"/>
      <c r="N85" s="8007" t="n"/>
      <c r="O85" s="8008" t="n"/>
      <c r="P85" s="12515" t="n"/>
      <c r="Q85" s="8007" t="n"/>
      <c r="R85" s="8007" t="n"/>
      <c r="S85" s="8007" t="n"/>
      <c r="T85" s="8008" t="n"/>
      <c r="U85" s="12516" t="n"/>
      <c r="V85" s="8007" t="n"/>
      <c r="W85" s="8008" t="n"/>
      <c r="X85" s="12516" t="n"/>
      <c r="Y85" s="8007" t="n"/>
      <c r="Z85" s="8008" t="n"/>
      <c r="AA85" s="12515" t="n"/>
      <c r="AB85" s="8007" t="n"/>
      <c r="AC85" s="8007" t="n"/>
      <c r="AD85" s="8007" t="n"/>
      <c r="AE85" s="8008" t="n"/>
      <c r="AF85" s="10010" t="n"/>
      <c r="AG85" s="8007" t="n"/>
      <c r="AH85" s="8007" t="n"/>
      <c r="AI85" s="8007" t="n"/>
      <c r="AJ85" s="8007" t="n"/>
      <c r="AK85" s="2013" t="n"/>
      <c r="AL85" s="11602" t="n"/>
      <c r="AM85" s="11602" t="n"/>
      <c r="AN85" s="11602" t="n"/>
      <c r="AV85" s="950" t="n"/>
      <c r="AW85" s="950" t="n"/>
      <c r="AX85" s="12473" t="n"/>
      <c r="BA85" s="658" t="n"/>
      <c r="BB85" s="658" t="n"/>
      <c r="BC85" s="658" t="n"/>
      <c r="BD85" s="658" t="n"/>
      <c r="BE85" s="658" t="n"/>
      <c r="BF85" s="658" t="n"/>
      <c r="BG85" s="658" t="n"/>
      <c r="BH85" s="658" t="n"/>
      <c r="BI85" s="658" t="n"/>
      <c r="BJ85" s="658" t="n"/>
    </row>
    <row r="86" ht="18.75" customFormat="1" customHeight="1" s="815">
      <c r="A86" s="2013" t="n"/>
      <c r="B86" s="10029" t="n"/>
      <c r="C86" s="8007" t="n"/>
      <c r="D86" s="8007" t="n"/>
      <c r="E86" s="8008" t="n"/>
      <c r="F86" s="12514" t="n"/>
      <c r="G86" s="8007" t="n"/>
      <c r="H86" s="8008" t="n"/>
      <c r="I86" s="10086" t="n"/>
      <c r="J86" s="8007" t="n"/>
      <c r="K86" s="4926" t="inlineStr">
        <is>
          <t>%</t>
        </is>
      </c>
      <c r="L86" s="12515" t="n"/>
      <c r="M86" s="8007" t="n"/>
      <c r="N86" s="8007" t="n"/>
      <c r="O86" s="8008" t="n"/>
      <c r="P86" s="12515" t="n"/>
      <c r="Q86" s="8007" t="n"/>
      <c r="R86" s="8007" t="n"/>
      <c r="S86" s="8007" t="n"/>
      <c r="T86" s="8008" t="n"/>
      <c r="U86" s="12516" t="n"/>
      <c r="V86" s="8007" t="n"/>
      <c r="W86" s="8008" t="n"/>
      <c r="X86" s="12516" t="n"/>
      <c r="Y86" s="8007" t="n"/>
      <c r="Z86" s="8008" t="n"/>
      <c r="AA86" s="12515" t="n"/>
      <c r="AB86" s="8007" t="n"/>
      <c r="AC86" s="8007" t="n"/>
      <c r="AD86" s="8007" t="n"/>
      <c r="AE86" s="8008" t="n"/>
      <c r="AF86" s="10010" t="n"/>
      <c r="AG86" s="8007" t="n"/>
      <c r="AH86" s="8007" t="n"/>
      <c r="AI86" s="8007" t="n"/>
      <c r="AJ86" s="8007" t="n"/>
      <c r="AK86" s="2013" t="n"/>
      <c r="AL86" s="11602" t="n"/>
      <c r="AM86" s="11602" t="n"/>
      <c r="AN86" s="11602" t="n"/>
      <c r="AV86" s="950" t="n"/>
      <c r="AW86" s="950" t="n"/>
      <c r="AX86" s="12473" t="n"/>
      <c r="BA86" s="658" t="n"/>
      <c r="BB86" s="658" t="n"/>
      <c r="BC86" s="658" t="n"/>
      <c r="BD86" s="658" t="n"/>
      <c r="BE86" s="658" t="n"/>
      <c r="BF86" s="658" t="n"/>
      <c r="BG86" s="658" t="n"/>
      <c r="BH86" s="658" t="n"/>
      <c r="BI86" s="658" t="n"/>
      <c r="BJ86" s="658" t="n"/>
    </row>
    <row r="87" ht="18.75" customFormat="1" customHeight="1" s="815">
      <c r="A87" s="2013" t="n"/>
      <c r="B87" s="10029" t="n"/>
      <c r="C87" s="8007" t="n"/>
      <c r="D87" s="8007" t="n"/>
      <c r="E87" s="8008" t="n"/>
      <c r="F87" s="12514" t="n"/>
      <c r="G87" s="8007" t="n"/>
      <c r="H87" s="8008" t="n"/>
      <c r="I87" s="10086" t="n"/>
      <c r="J87" s="8007" t="n"/>
      <c r="K87" s="4926" t="inlineStr">
        <is>
          <t>%</t>
        </is>
      </c>
      <c r="L87" s="12515" t="n"/>
      <c r="M87" s="8007" t="n"/>
      <c r="N87" s="8007" t="n"/>
      <c r="O87" s="8008" t="n"/>
      <c r="P87" s="12515" t="n"/>
      <c r="Q87" s="8007" t="n"/>
      <c r="R87" s="8007" t="n"/>
      <c r="S87" s="8007" t="n"/>
      <c r="T87" s="8008" t="n"/>
      <c r="U87" s="12516" t="n"/>
      <c r="V87" s="8007" t="n"/>
      <c r="W87" s="8008" t="n"/>
      <c r="X87" s="12516" t="n"/>
      <c r="Y87" s="8007" t="n"/>
      <c r="Z87" s="8008" t="n"/>
      <c r="AA87" s="12515" t="n"/>
      <c r="AB87" s="8007" t="n"/>
      <c r="AC87" s="8007" t="n"/>
      <c r="AD87" s="8007" t="n"/>
      <c r="AE87" s="8008" t="n"/>
      <c r="AF87" s="10010" t="n"/>
      <c r="AG87" s="8007" t="n"/>
      <c r="AH87" s="8007" t="n"/>
      <c r="AI87" s="8007" t="n"/>
      <c r="AJ87" s="8007" t="n"/>
      <c r="AK87" s="2013" t="n"/>
      <c r="AL87" s="11602" t="n"/>
      <c r="AM87" s="11602" t="n"/>
      <c r="AN87" s="11602" t="n"/>
      <c r="AV87" s="950" t="n"/>
      <c r="AW87" s="950" t="n"/>
      <c r="AX87" s="12473" t="n"/>
      <c r="BA87" s="658" t="n"/>
      <c r="BB87" s="658" t="n"/>
      <c r="BC87" s="658" t="n"/>
      <c r="BD87" s="658" t="n"/>
      <c r="BE87" s="658" t="n"/>
      <c r="BF87" s="658" t="n"/>
      <c r="BG87" s="658" t="n"/>
      <c r="BH87" s="658" t="n"/>
      <c r="BI87" s="658" t="n"/>
      <c r="BJ87" s="658" t="n"/>
    </row>
    <row r="88" ht="15.75" customFormat="1" customHeight="1" s="1115">
      <c r="A88" s="2290" t="n"/>
      <c r="B88" s="4924" t="n">
        <v>27</v>
      </c>
      <c r="C88" s="4925" t="inlineStr">
        <is>
          <t>Property used 50% or less in a qualified business use :</t>
        </is>
      </c>
      <c r="D88" s="4876" t="n"/>
      <c r="E88" s="4877" t="n"/>
      <c r="F88" s="4878" t="n"/>
      <c r="G88" s="4878" t="n"/>
      <c r="H88" s="4878" t="n"/>
      <c r="I88" s="4878" t="n"/>
      <c r="J88" s="4878" t="n"/>
      <c r="K88" s="4878" t="n"/>
      <c r="L88" s="4878" t="n"/>
      <c r="M88" s="4878" t="n"/>
      <c r="N88" s="4878" t="n"/>
      <c r="O88" s="4878" t="n"/>
      <c r="P88" s="4878" t="n"/>
      <c r="Q88" s="4878" t="n"/>
      <c r="R88" s="4878" t="n"/>
      <c r="S88" s="4878" t="n"/>
      <c r="T88" s="4878" t="n"/>
      <c r="U88" s="4878" t="n"/>
      <c r="V88" s="4878" t="n"/>
      <c r="W88" s="4878" t="n"/>
      <c r="X88" s="4878" t="n"/>
      <c r="Y88" s="4878" t="n"/>
      <c r="Z88" s="4878" t="n"/>
      <c r="AA88" s="4878" t="n"/>
      <c r="AB88" s="4878" t="n"/>
      <c r="AC88" s="4878" t="n"/>
      <c r="AD88" s="4878" t="n"/>
      <c r="AE88" s="4878" t="n"/>
      <c r="AF88" s="4878" t="n"/>
      <c r="AG88" s="4878" t="n"/>
      <c r="AH88" s="4878" t="n"/>
      <c r="AI88" s="4879" t="n"/>
      <c r="AJ88" s="4879" t="n"/>
      <c r="AK88" s="2290" t="n"/>
      <c r="AL88" s="11602" t="n"/>
      <c r="AM88" s="11602" t="n"/>
      <c r="AN88" s="11602" t="n"/>
      <c r="AO88" s="2293" t="n"/>
      <c r="AV88" s="4958" t="n"/>
      <c r="AW88" s="4958" t="n"/>
      <c r="AX88" s="12501" t="n"/>
      <c r="BA88" s="658" t="n"/>
      <c r="BB88" s="658" t="n"/>
      <c r="BC88" s="658" t="n"/>
      <c r="BD88" s="658" t="n"/>
      <c r="BE88" s="658" t="n"/>
      <c r="BF88" s="658" t="n"/>
      <c r="BG88" s="658" t="n"/>
      <c r="BH88" s="658" t="n"/>
      <c r="BI88" s="658" t="n"/>
      <c r="BJ88" s="658" t="n"/>
      <c r="BK88" s="2293" t="n"/>
    </row>
    <row r="89" ht="18.75" customFormat="1" customHeight="1" s="815">
      <c r="A89" s="2013" t="n"/>
      <c r="B89" s="10029" t="n"/>
      <c r="C89" s="8007" t="n"/>
      <c r="D89" s="8007" t="n"/>
      <c r="E89" s="8008" t="n"/>
      <c r="F89" s="12514" t="n"/>
      <c r="G89" s="8007" t="n"/>
      <c r="H89" s="8008" t="n"/>
      <c r="I89" s="10086" t="n"/>
      <c r="J89" s="8007" t="n"/>
      <c r="K89" s="4926" t="inlineStr">
        <is>
          <t>%</t>
        </is>
      </c>
      <c r="L89" s="12515" t="n"/>
      <c r="M89" s="8007" t="n"/>
      <c r="N89" s="8007" t="n"/>
      <c r="O89" s="8008" t="n"/>
      <c r="P89" s="12515" t="n"/>
      <c r="Q89" s="8007" t="n"/>
      <c r="R89" s="8007" t="n"/>
      <c r="S89" s="8007" t="n"/>
      <c r="T89" s="8008" t="n"/>
      <c r="U89" s="12516" t="n"/>
      <c r="V89" s="8007" t="n"/>
      <c r="W89" s="8008" t="n"/>
      <c r="X89" s="4927" t="inlineStr">
        <is>
          <t>S/L -</t>
        </is>
      </c>
      <c r="Y89" s="12517" t="n"/>
      <c r="Z89" s="8008" t="n"/>
      <c r="AA89" s="12515" t="n"/>
      <c r="AB89" s="8007" t="n"/>
      <c r="AC89" s="8007" t="n"/>
      <c r="AD89" s="8007" t="n"/>
      <c r="AE89" s="8008" t="n"/>
      <c r="AF89" s="4919" t="n"/>
      <c r="AG89" s="4868" t="n"/>
      <c r="AH89" s="4868" t="n"/>
      <c r="AI89" s="4868" t="n"/>
      <c r="AJ89" s="4868" t="n"/>
      <c r="AK89" s="2013" t="n"/>
      <c r="AL89" s="11602" t="n"/>
      <c r="AM89" s="11602" t="n"/>
      <c r="AN89" s="11602" t="n"/>
      <c r="AV89" s="950" t="n"/>
      <c r="AW89" s="950" t="n"/>
      <c r="AX89" s="12473" t="n"/>
      <c r="BA89" s="658" t="n"/>
      <c r="BB89" s="658" t="n"/>
      <c r="BC89" s="658" t="n"/>
      <c r="BD89" s="658" t="n"/>
      <c r="BE89" s="658" t="n"/>
      <c r="BF89" s="658" t="n"/>
      <c r="BG89" s="658" t="n"/>
      <c r="BH89" s="658" t="n"/>
      <c r="BI89" s="658" t="n"/>
      <c r="BJ89" s="658" t="n"/>
    </row>
    <row r="90" ht="18.75" customFormat="1" customHeight="1" s="815">
      <c r="A90" s="2013" t="n"/>
      <c r="B90" s="10029" t="n"/>
      <c r="C90" s="8007" t="n"/>
      <c r="D90" s="8007" t="n"/>
      <c r="E90" s="8008" t="n"/>
      <c r="F90" s="12514" t="n"/>
      <c r="G90" s="8007" t="n"/>
      <c r="H90" s="8008" t="n"/>
      <c r="I90" s="10086" t="n"/>
      <c r="J90" s="8007" t="n"/>
      <c r="K90" s="4926" t="inlineStr">
        <is>
          <t>%</t>
        </is>
      </c>
      <c r="L90" s="12515" t="n"/>
      <c r="M90" s="8007" t="n"/>
      <c r="N90" s="8007" t="n"/>
      <c r="O90" s="8008" t="n"/>
      <c r="P90" s="12515" t="n"/>
      <c r="Q90" s="8007" t="n"/>
      <c r="R90" s="8007" t="n"/>
      <c r="S90" s="8007" t="n"/>
      <c r="T90" s="8008" t="n"/>
      <c r="U90" s="12516" t="n"/>
      <c r="V90" s="8007" t="n"/>
      <c r="W90" s="8008" t="n"/>
      <c r="X90" s="4927" t="inlineStr">
        <is>
          <t>S/L -</t>
        </is>
      </c>
      <c r="Y90" s="12517" t="n"/>
      <c r="Z90" s="8008" t="n"/>
      <c r="AA90" s="12515" t="n"/>
      <c r="AB90" s="8007" t="n"/>
      <c r="AC90" s="8007" t="n"/>
      <c r="AD90" s="8007" t="n"/>
      <c r="AE90" s="8008" t="n"/>
      <c r="AF90" s="4928" t="n"/>
      <c r="AG90" s="4865" t="n"/>
      <c r="AH90" s="4865" t="n"/>
      <c r="AI90" s="4865" t="n"/>
      <c r="AJ90" s="4865" t="n"/>
      <c r="AK90" s="2013" t="n"/>
      <c r="AL90" s="11602" t="n"/>
      <c r="AM90" s="226" t="inlineStr">
        <is>
          <t>Manual</t>
        </is>
      </c>
      <c r="AN90" s="11602" t="n"/>
      <c r="AV90" s="950" t="n"/>
      <c r="AW90" s="950" t="n"/>
      <c r="AX90" s="12473" t="n"/>
      <c r="BA90" s="658" t="n"/>
      <c r="BB90" s="658" t="n"/>
      <c r="BC90" s="658" t="n"/>
      <c r="BD90" s="658" t="n"/>
      <c r="BE90" s="658" t="n"/>
      <c r="BF90" s="658" t="n"/>
      <c r="BG90" s="658" t="n"/>
      <c r="BH90" s="658" t="n"/>
      <c r="BI90" s="658" t="n"/>
      <c r="BJ90" s="658" t="n"/>
    </row>
    <row r="91" ht="18.75" customFormat="1" customHeight="1" s="815" thickBot="1">
      <c r="A91" s="2013" t="n"/>
      <c r="B91" s="10029" t="n"/>
      <c r="C91" s="8007" t="n"/>
      <c r="D91" s="8007" t="n"/>
      <c r="E91" s="8008" t="n"/>
      <c r="F91" s="12514" t="n"/>
      <c r="G91" s="8007" t="n"/>
      <c r="H91" s="8008" t="n"/>
      <c r="I91" s="10086" t="n"/>
      <c r="J91" s="8007" t="n"/>
      <c r="K91" s="4926" t="inlineStr">
        <is>
          <t>%</t>
        </is>
      </c>
      <c r="L91" s="12515" t="n"/>
      <c r="M91" s="8007" t="n"/>
      <c r="N91" s="8007" t="n"/>
      <c r="O91" s="8008" t="n"/>
      <c r="P91" s="12515" t="n"/>
      <c r="Q91" s="8007" t="n"/>
      <c r="R91" s="8007" t="n"/>
      <c r="S91" s="8007" t="n"/>
      <c r="T91" s="8008" t="n"/>
      <c r="U91" s="12516" t="n"/>
      <c r="V91" s="8007" t="n"/>
      <c r="W91" s="8008" t="n"/>
      <c r="X91" s="4927" t="inlineStr">
        <is>
          <t>S/L -</t>
        </is>
      </c>
      <c r="Y91" s="12517" t="n"/>
      <c r="Z91" s="8008" t="n"/>
      <c r="AA91" s="12515" t="n"/>
      <c r="AB91" s="8007" t="n"/>
      <c r="AC91" s="8007" t="n"/>
      <c r="AD91" s="8007" t="n"/>
      <c r="AE91" s="8008" t="n"/>
      <c r="AF91" s="4928" t="n"/>
      <c r="AG91" s="4865" t="n"/>
      <c r="AH91" s="4865" t="n"/>
      <c r="AI91" s="4865" t="n"/>
      <c r="AJ91" s="4865" t="n"/>
      <c r="AK91" s="2013" t="n"/>
      <c r="AL91" s="11602" t="n"/>
      <c r="AM91" s="226" t="inlineStr">
        <is>
          <t>Override ê</t>
        </is>
      </c>
      <c r="AN91" s="11602" t="n"/>
      <c r="AV91" s="950" t="n"/>
      <c r="AW91" s="950" t="n"/>
      <c r="AX91" s="12473" t="n"/>
      <c r="BA91" s="658" t="n"/>
      <c r="BB91" s="658" t="n"/>
      <c r="BC91" s="658" t="n"/>
      <c r="BD91" s="658" t="n"/>
      <c r="BE91" s="658" t="n"/>
      <c r="BF91" s="658" t="n"/>
      <c r="BG91" s="658" t="n"/>
      <c r="BH91" s="658" t="n"/>
      <c r="BI91" s="658" t="n"/>
      <c r="BJ91" s="658" t="n"/>
    </row>
    <row r="92" ht="15.75" customFormat="1" customHeight="1" s="815" thickBot="1">
      <c r="A92" s="2013" t="n"/>
      <c r="B92" s="10711" t="n">
        <v>28</v>
      </c>
      <c r="C92" s="4796" t="inlineStr">
        <is>
          <t>Add amounts in column (h), lines 25 through 27. Enter here and on line 21, page 1</t>
        </is>
      </c>
      <c r="D92" s="4929" t="n"/>
      <c r="E92" s="4929" t="n"/>
      <c r="F92" s="4929" t="n"/>
      <c r="G92" s="4929" t="n"/>
      <c r="H92" s="4929" t="n"/>
      <c r="I92" s="4929" t="n"/>
      <c r="J92" s="4929" t="n"/>
      <c r="K92" s="4929" t="n"/>
      <c r="L92" s="4929" t="n"/>
      <c r="M92" s="4929" t="n"/>
      <c r="N92" s="4929" t="n"/>
      <c r="O92" s="4929" t="n"/>
      <c r="P92" s="4929" t="n"/>
      <c r="Q92" s="4929" t="n"/>
      <c r="R92" s="4929" t="n"/>
      <c r="S92" s="4929" t="n"/>
      <c r="T92" s="4929" t="n"/>
      <c r="U92" s="4929" t="n"/>
      <c r="V92" s="8577" t="n"/>
      <c r="W92" s="8577" t="n"/>
      <c r="X92" s="1401" t="inlineStr">
        <is>
          <t xml:space="preserve">.   .  </t>
        </is>
      </c>
      <c r="Y92" s="10008" t="n">
        <v>28</v>
      </c>
      <c r="Z92" s="11734" t="n"/>
      <c r="AA92" s="11966">
        <f>IF(AM92&lt;&gt;"",ROUND(AM92,0),SUM(ROUND(AA83,0),ROUND(AA85,0),ROUND(AA86,0),ROUND(AA87,0),ROUND(AA89,0),ROUND(AA90,0),ROUND(AA91,0)))</f>
        <v/>
      </c>
      <c r="AB92" s="8412" t="n"/>
      <c r="AC92" s="8412" t="n"/>
      <c r="AD92" s="8412" t="n"/>
      <c r="AE92" s="11734" t="n"/>
      <c r="AF92" s="4930" t="n"/>
      <c r="AG92" s="4883" t="n"/>
      <c r="AH92" s="4883" t="n"/>
      <c r="AI92" s="4883" t="n"/>
      <c r="AJ92" s="4883" t="n"/>
      <c r="AK92" s="2013" t="n"/>
      <c r="AL92" s="11602" t="n"/>
      <c r="AM92" s="1237" t="n"/>
      <c r="AN92" s="11602" t="n"/>
      <c r="AV92" s="950" t="n"/>
      <c r="AW92" s="950" t="n"/>
      <c r="AX92" s="12473" t="n"/>
      <c r="BA92" s="658" t="n"/>
      <c r="BB92" s="658" t="n"/>
      <c r="BC92" s="658" t="n"/>
      <c r="BD92" s="658" t="n"/>
      <c r="BE92" s="658" t="n"/>
      <c r="BF92" s="658" t="n"/>
      <c r="BG92" s="658" t="n"/>
      <c r="BH92" s="658" t="n"/>
      <c r="BI92" s="658" t="n"/>
      <c r="BJ92" s="658" t="n"/>
    </row>
    <row r="93" ht="15.75" customFormat="1" customHeight="1" s="815" thickBot="1">
      <c r="A93" s="2013" t="n"/>
      <c r="B93" s="4888" t="n">
        <v>29</v>
      </c>
      <c r="C93" s="4931" t="inlineStr">
        <is>
          <t>Add amounts in column (i), line 26. Enter here and on line 7, page 1</t>
        </is>
      </c>
      <c r="D93" s="4932" t="n"/>
      <c r="E93" s="4932" t="n"/>
      <c r="F93" s="4932" t="n"/>
      <c r="G93" s="4932" t="n"/>
      <c r="H93" s="4932" t="n"/>
      <c r="I93" s="4932" t="n"/>
      <c r="J93" s="4932" t="n"/>
      <c r="K93" s="4932" t="n"/>
      <c r="L93" s="4932" t="n"/>
      <c r="M93" s="4932" t="n"/>
      <c r="N93" s="4932" t="n"/>
      <c r="O93" s="4932" t="n"/>
      <c r="P93" s="4932" t="n"/>
      <c r="Q93" s="4932" t="n"/>
      <c r="R93" s="4932" t="n"/>
      <c r="S93" s="4932" t="n"/>
      <c r="T93" s="4932" t="n"/>
      <c r="U93" s="4932" t="n"/>
      <c r="V93" s="8575" t="n"/>
      <c r="W93" s="8575" t="n"/>
      <c r="X93" s="8575" t="n"/>
      <c r="Y93" s="8575" t="n"/>
      <c r="Z93" s="8575" t="n"/>
      <c r="AA93" s="8590" t="n"/>
      <c r="AB93" s="8575" t="n"/>
      <c r="AC93" s="8590" t="inlineStr">
        <is>
          <t xml:space="preserve">.   .   .   .   .   .   .   .   .   .   .   .   .   .   .   .   .   .   .   .   .   .   .   .   .   .   .   .   .   .   .   .  </t>
        </is>
      </c>
      <c r="AD93" s="10008" t="n">
        <v>29</v>
      </c>
      <c r="AE93" s="11734" t="n"/>
      <c r="AF93" s="7767">
        <f>IF(AM93&lt;&gt;"",ROUND(AM92,0),SUM(ROUND(AF85,0),ROUND(AF86,0),ROUND(AF87,0)))</f>
        <v/>
      </c>
      <c r="AG93" s="8412" t="n"/>
      <c r="AH93" s="8412" t="n"/>
      <c r="AI93" s="8412" t="n"/>
      <c r="AJ93" s="8412" t="n"/>
      <c r="AK93" s="2013" t="n"/>
      <c r="AL93" s="11602" t="n"/>
      <c r="AM93" s="1237" t="n"/>
      <c r="AN93" s="11602" t="n"/>
      <c r="AV93" s="950" t="n"/>
      <c r="AW93" s="950" t="n"/>
      <c r="AX93" s="12473" t="n"/>
      <c r="BA93" s="658" t="n"/>
      <c r="BB93" s="658" t="n"/>
      <c r="BC93" s="658" t="n"/>
      <c r="BD93" s="658" t="n"/>
      <c r="BE93" s="658" t="n"/>
      <c r="BF93" s="658" t="n"/>
      <c r="BG93" s="658" t="n"/>
      <c r="BH93" s="658" t="n"/>
      <c r="BI93" s="658" t="n"/>
      <c r="BJ93" s="658" t="n"/>
    </row>
    <row r="94" ht="15.75" customFormat="1" customHeight="1" s="815">
      <c r="A94" s="2013" t="n"/>
      <c r="B94" s="4858" t="inlineStr">
        <is>
          <t>Section B—Information on Use of Vehicles</t>
        </is>
      </c>
      <c r="C94" s="4933" t="n"/>
      <c r="D94" s="4933" t="n"/>
      <c r="E94" s="4934" t="n"/>
      <c r="F94" s="4933" t="n"/>
      <c r="G94" s="4933" t="n"/>
      <c r="H94" s="4933" t="n"/>
      <c r="I94" s="4933" t="n"/>
      <c r="J94" s="4933" t="n"/>
      <c r="K94" s="4933" t="n"/>
      <c r="L94" s="4933" t="n"/>
      <c r="M94" s="4933" t="n"/>
      <c r="N94" s="4933" t="n"/>
      <c r="O94" s="4933" t="n"/>
      <c r="P94" s="4933" t="n"/>
      <c r="Q94" s="4933" t="n"/>
      <c r="R94" s="4933" t="n"/>
      <c r="S94" s="4933" t="n"/>
      <c r="T94" s="4933" t="n"/>
      <c r="U94" s="4933" t="n"/>
      <c r="V94" s="4933" t="n"/>
      <c r="W94" s="4933" t="n"/>
      <c r="X94" s="4933" t="n"/>
      <c r="Y94" s="4933" t="n"/>
      <c r="Z94" s="4933" t="n"/>
      <c r="AA94" s="4933" t="n"/>
      <c r="AB94" s="4933" t="n"/>
      <c r="AC94" s="4933" t="n"/>
      <c r="AD94" s="4933" t="n"/>
      <c r="AE94" s="4933" t="n"/>
      <c r="AF94" s="4933" t="n"/>
      <c r="AG94" s="4933" t="n"/>
      <c r="AH94" s="4933" t="n"/>
      <c r="AI94" s="4933" t="n"/>
      <c r="AJ94" s="4933" t="n"/>
      <c r="AK94" s="2013" t="n"/>
      <c r="AL94" s="11602" t="n"/>
      <c r="AM94" s="11602" t="n"/>
      <c r="AN94" s="11602" t="n"/>
      <c r="AV94" s="950" t="n"/>
      <c r="AW94" s="950" t="n"/>
      <c r="AX94" s="12473" t="n"/>
      <c r="BA94" s="658" t="n"/>
      <c r="BB94" s="658" t="n"/>
      <c r="BC94" s="658" t="n"/>
      <c r="BD94" s="658" t="n"/>
      <c r="BE94" s="658" t="n"/>
      <c r="BF94" s="658" t="n"/>
      <c r="BG94" s="658" t="n"/>
      <c r="BH94" s="658" t="n"/>
      <c r="BI94" s="658" t="n"/>
      <c r="BJ94" s="658" t="n"/>
    </row>
    <row r="95" ht="15.75" customFormat="1" customHeight="1" s="815">
      <c r="A95" s="2013" t="n"/>
      <c r="B95" s="2299" t="inlineStr">
        <is>
          <t>Complete this section for vehicles used by a sole proprietor, partner, or other “more than 5% owner,” or related person. If you provided vehicles</t>
        </is>
      </c>
      <c r="C95" s="344" t="n"/>
      <c r="D95" s="344" t="n"/>
      <c r="E95" s="8650" t="n"/>
      <c r="F95" s="344" t="n"/>
      <c r="G95" s="344" t="n"/>
      <c r="H95" s="344" t="n"/>
      <c r="I95" s="344" t="n"/>
      <c r="J95" s="344" t="n"/>
      <c r="K95" s="344" t="n"/>
      <c r="L95" s="344" t="n"/>
      <c r="M95" s="344" t="n"/>
      <c r="N95" s="344" t="n"/>
      <c r="O95" s="344" t="n"/>
      <c r="P95" s="344" t="n"/>
      <c r="Q95" s="344" t="n"/>
      <c r="R95" s="344" t="n"/>
      <c r="S95" s="344" t="n"/>
      <c r="T95" s="344" t="n"/>
      <c r="U95" s="344" t="n"/>
      <c r="V95" s="344" t="n"/>
      <c r="W95" s="344" t="n"/>
      <c r="X95" s="344" t="n"/>
      <c r="Y95" s="344" t="n"/>
      <c r="Z95" s="344" t="n"/>
      <c r="AA95" s="344" t="n"/>
      <c r="AB95" s="344" t="n"/>
      <c r="AC95" s="344" t="n"/>
      <c r="AD95" s="344" t="n"/>
      <c r="AE95" s="344" t="n"/>
      <c r="AF95" s="344" t="n"/>
      <c r="AG95" s="344" t="n"/>
      <c r="AH95" s="344" t="n"/>
      <c r="AI95" s="344" t="n"/>
      <c r="AJ95" s="344" t="n"/>
      <c r="AK95" s="2013" t="n"/>
      <c r="AL95" s="11602" t="n"/>
      <c r="AM95" s="11602" t="n"/>
      <c r="AN95" s="11602" t="n"/>
      <c r="AV95" s="950" t="n"/>
      <c r="AW95" s="950" t="n"/>
      <c r="AX95" s="12473" t="n"/>
      <c r="BA95" s="658" t="n"/>
      <c r="BB95" s="658" t="n"/>
      <c r="BC95" s="658" t="n"/>
      <c r="BD95" s="658" t="n"/>
      <c r="BE95" s="658" t="n"/>
      <c r="BF95" s="658" t="n"/>
      <c r="BG95" s="658" t="n"/>
      <c r="BH95" s="658" t="n"/>
      <c r="BI95" s="658" t="n"/>
      <c r="BJ95" s="658" t="n"/>
    </row>
    <row r="96" ht="15.75" customFormat="1" customHeight="1" s="815">
      <c r="A96" s="2013" t="n"/>
      <c r="B96" s="4918" t="inlineStr">
        <is>
          <t>to you're employees, first answer the questions in Section C to see if you meet an exception to completing this section for those vehicles.</t>
        </is>
      </c>
      <c r="C96" s="569" t="n"/>
      <c r="D96" s="569" t="n"/>
      <c r="E96" s="4487" t="n"/>
      <c r="F96" s="569" t="n"/>
      <c r="G96" s="569" t="n"/>
      <c r="H96" s="569" t="n"/>
      <c r="I96" s="569" t="n"/>
      <c r="J96" s="569" t="n"/>
      <c r="K96" s="569" t="n"/>
      <c r="L96" s="569" t="n"/>
      <c r="M96" s="569" t="n"/>
      <c r="N96" s="569" t="n"/>
      <c r="O96" s="569" t="n"/>
      <c r="P96" s="569" t="n"/>
      <c r="Q96" s="569" t="n"/>
      <c r="R96" s="569" t="n"/>
      <c r="S96" s="569" t="n"/>
      <c r="T96" s="7824" t="n"/>
      <c r="U96" s="569" t="n"/>
      <c r="V96" s="569" t="n"/>
      <c r="W96" s="569" t="n"/>
      <c r="X96" s="569" t="n"/>
      <c r="Y96" s="569" t="n"/>
      <c r="Z96" s="569" t="n"/>
      <c r="AA96" s="569" t="n"/>
      <c r="AB96" s="569" t="n"/>
      <c r="AC96" s="7824" t="n"/>
      <c r="AD96" s="569" t="n"/>
      <c r="AE96" s="569" t="n"/>
      <c r="AF96" s="569" t="n"/>
      <c r="AG96" s="569" t="n"/>
      <c r="AH96" s="569" t="n"/>
      <c r="AI96" s="569" t="n"/>
      <c r="AJ96" s="569" t="n"/>
      <c r="AK96" s="2013" t="n"/>
      <c r="AL96" s="11602" t="n"/>
      <c r="AM96" s="11602" t="n"/>
      <c r="AN96" s="11602" t="n"/>
      <c r="AV96" s="950" t="n"/>
      <c r="AW96" s="950" t="n"/>
      <c r="AX96" s="12473" t="n"/>
      <c r="BA96" s="658" t="n"/>
      <c r="BB96" s="658" t="n"/>
      <c r="BC96" s="658" t="n"/>
      <c r="BD96" s="658" t="n"/>
      <c r="BE96" s="658" t="n"/>
      <c r="BF96" s="658" t="n"/>
      <c r="BG96" s="658" t="n"/>
      <c r="BH96" s="658" t="n"/>
      <c r="BI96" s="658" t="n"/>
      <c r="BJ96" s="658" t="n"/>
    </row>
    <row r="97" ht="48" customFormat="1" customHeight="1" s="1116">
      <c r="A97" s="2067" t="n"/>
      <c r="B97" s="10083" t="inlineStr">
        <is>
          <t xml:space="preserve">
30</t>
        </is>
      </c>
      <c r="C97" s="5161" t="inlineStr">
        <is>
          <t>Total business/investment miles driven during
the year (don’t include commuting miles)</t>
        </is>
      </c>
      <c r="D97" s="7839" t="n"/>
      <c r="E97" s="7839" t="n"/>
      <c r="F97" s="7839" t="n"/>
      <c r="G97" s="7839" t="n"/>
      <c r="H97" s="7839" t="n"/>
      <c r="I97" s="7839" t="n"/>
      <c r="J97" s="7839" t="n"/>
      <c r="K97" s="7839" t="n"/>
      <c r="L97" s="10091" t="n"/>
      <c r="M97" s="11976" t="inlineStr">
        <is>
          <t>(a)
Vehicle 1</t>
        </is>
      </c>
      <c r="N97" s="8412" t="n"/>
      <c r="O97" s="8412" t="n"/>
      <c r="P97" s="11734" t="n"/>
      <c r="Q97" s="11976" t="inlineStr">
        <is>
          <t>(b)
Vehicle 2</t>
        </is>
      </c>
      <c r="R97" s="8412" t="n"/>
      <c r="S97" s="8412" t="n"/>
      <c r="T97" s="11734" t="n"/>
      <c r="U97" s="11976" t="inlineStr">
        <is>
          <t>(c)
Vehicle 3</t>
        </is>
      </c>
      <c r="V97" s="8412" t="n"/>
      <c r="W97" s="8412" t="n"/>
      <c r="X97" s="11734" t="n"/>
      <c r="Y97" s="11976" t="inlineStr">
        <is>
          <t>(d)
Vehicle 4</t>
        </is>
      </c>
      <c r="Z97" s="8412" t="n"/>
      <c r="AA97" s="8412" t="n"/>
      <c r="AB97" s="11734" t="n"/>
      <c r="AC97" s="11976" t="inlineStr">
        <is>
          <t>(e)
Vehicle 5</t>
        </is>
      </c>
      <c r="AD97" s="8412" t="n"/>
      <c r="AE97" s="8412" t="n"/>
      <c r="AF97" s="11734" t="n"/>
      <c r="AG97" s="10079" t="inlineStr">
        <is>
          <t>(f)
Vehicle 6</t>
        </is>
      </c>
      <c r="AH97" s="8412" t="n"/>
      <c r="AI97" s="8412" t="n"/>
      <c r="AJ97" s="8412" t="n"/>
      <c r="AK97" s="2067" t="n"/>
      <c r="AL97" s="11602" t="n"/>
      <c r="AM97" s="11602" t="n"/>
      <c r="AN97" s="11602" t="n"/>
      <c r="AO97" s="138" t="n"/>
      <c r="AV97" s="4959" t="n"/>
      <c r="AW97" s="4959" t="n"/>
      <c r="AX97" s="12518" t="n"/>
      <c r="BA97" s="658" t="n"/>
      <c r="BB97" s="658" t="n"/>
      <c r="BC97" s="658" t="n"/>
      <c r="BD97" s="658" t="n"/>
      <c r="BE97" s="658" t="n"/>
      <c r="BF97" s="658" t="n"/>
      <c r="BG97" s="658" t="n"/>
      <c r="BH97" s="658" t="n"/>
      <c r="BI97" s="658" t="n"/>
      <c r="BJ97" s="658" t="n"/>
      <c r="BK97" s="138" t="n"/>
    </row>
    <row r="98" ht="15.75" customFormat="1" customHeight="1" s="1116">
      <c r="A98" s="2067" t="n"/>
      <c r="L98" s="7636" t="n"/>
      <c r="M98" s="12519" t="n"/>
      <c r="N98" s="8007" t="n"/>
      <c r="O98" s="8007" t="n"/>
      <c r="P98" s="8008" t="n"/>
      <c r="Q98" s="12519" t="n"/>
      <c r="R98" s="8007" t="n"/>
      <c r="S98" s="8007" t="n"/>
      <c r="T98" s="8008" t="n"/>
      <c r="U98" s="12519" t="n"/>
      <c r="V98" s="8007" t="n"/>
      <c r="W98" s="8007" t="n"/>
      <c r="X98" s="8008" t="n"/>
      <c r="Y98" s="12519" t="n"/>
      <c r="Z98" s="8007" t="n"/>
      <c r="AA98" s="8007" t="n"/>
      <c r="AB98" s="8008" t="n"/>
      <c r="AC98" s="12519" t="n"/>
      <c r="AD98" s="8007" t="n"/>
      <c r="AE98" s="8007" t="n"/>
      <c r="AF98" s="8008" t="n"/>
      <c r="AG98" s="8472" t="n"/>
      <c r="AH98" s="8007" t="n"/>
      <c r="AI98" s="8007" t="n"/>
      <c r="AJ98" s="8007" t="n"/>
      <c r="AK98" s="2067" t="n"/>
      <c r="AL98" s="11602" t="n"/>
      <c r="AM98" s="11602" t="n"/>
      <c r="AN98" s="11602" t="n"/>
      <c r="AO98" s="138" t="n"/>
      <c r="AV98" s="4959" t="n"/>
      <c r="AW98" s="4959" t="n"/>
      <c r="AX98" s="12518" t="n"/>
      <c r="BA98" s="658" t="n"/>
      <c r="BB98" s="658" t="n"/>
      <c r="BC98" s="658" t="n"/>
      <c r="BD98" s="658" t="n"/>
      <c r="BE98" s="658" t="n"/>
      <c r="BF98" s="658" t="n"/>
      <c r="BG98" s="658" t="n"/>
      <c r="BH98" s="658" t="n"/>
      <c r="BI98" s="658" t="n"/>
      <c r="BJ98" s="658" t="n"/>
      <c r="BK98" s="138" t="n"/>
    </row>
    <row r="99" ht="15.75" customFormat="1" customHeight="1" s="1116">
      <c r="A99" s="2067" t="n"/>
      <c r="B99" s="4936" t="n">
        <v>31</v>
      </c>
      <c r="C99" s="344" t="inlineStr">
        <is>
          <t>Total commuting miles driven during the year</t>
        </is>
      </c>
      <c r="D99" s="979" t="n"/>
      <c r="E99" s="2046" t="n"/>
      <c r="F99" s="979" t="n"/>
      <c r="G99" s="979" t="n"/>
      <c r="H99" s="979" t="n"/>
      <c r="I99" s="979" t="n"/>
      <c r="J99" s="979" t="n"/>
      <c r="K99" s="979" t="n"/>
      <c r="L99" s="979" t="n"/>
      <c r="M99" s="12519" t="n"/>
      <c r="N99" s="8007" t="n"/>
      <c r="O99" s="8007" t="n"/>
      <c r="P99" s="8008" t="n"/>
      <c r="Q99" s="12519" t="n"/>
      <c r="R99" s="8007" t="n"/>
      <c r="S99" s="8007" t="n"/>
      <c r="T99" s="8008" t="n"/>
      <c r="U99" s="12519" t="n"/>
      <c r="V99" s="8007" t="n"/>
      <c r="W99" s="8007" t="n"/>
      <c r="X99" s="8008" t="n"/>
      <c r="Y99" s="12519" t="n"/>
      <c r="Z99" s="8007" t="n"/>
      <c r="AA99" s="8007" t="n"/>
      <c r="AB99" s="8008" t="n"/>
      <c r="AC99" s="12519" t="n"/>
      <c r="AD99" s="8007" t="n"/>
      <c r="AE99" s="8007" t="n"/>
      <c r="AF99" s="8008" t="n"/>
      <c r="AG99" s="8472" t="n"/>
      <c r="AH99" s="8007" t="n"/>
      <c r="AI99" s="8007" t="n"/>
      <c r="AJ99" s="8007" t="n"/>
      <c r="AK99" s="2067" t="n"/>
      <c r="AL99" s="11602" t="n"/>
      <c r="AM99" s="11602" t="n"/>
      <c r="AN99" s="11602" t="n"/>
      <c r="AO99" s="138" t="n"/>
      <c r="AV99" s="4959" t="n"/>
      <c r="AW99" s="4959" t="n"/>
      <c r="AX99" s="12518" t="n"/>
      <c r="BA99" s="658" t="n"/>
      <c r="BB99" s="658" t="n"/>
      <c r="BC99" s="658" t="n"/>
      <c r="BD99" s="658" t="n"/>
      <c r="BE99" s="658" t="n"/>
      <c r="BF99" s="658" t="n"/>
      <c r="BG99" s="658" t="n"/>
      <c r="BH99" s="658" t="n"/>
      <c r="BI99" s="658" t="n"/>
      <c r="BJ99" s="658" t="n"/>
      <c r="BK99" s="138" t="n"/>
    </row>
    <row r="100" ht="15.75" customFormat="1" customHeight="1" s="815">
      <c r="A100" s="2013" t="n"/>
      <c r="B100" s="4936" t="n">
        <v>32</v>
      </c>
      <c r="C100" s="344" t="inlineStr">
        <is>
          <t>Total other personal (noncommuting)</t>
        </is>
      </c>
      <c r="D100" s="344" t="n"/>
      <c r="E100" s="8650" t="n"/>
      <c r="F100" s="344" t="n"/>
      <c r="G100" s="344" t="n"/>
      <c r="H100" s="344" t="n"/>
      <c r="I100" s="344" t="n"/>
      <c r="J100" s="344" t="n"/>
      <c r="K100" s="344" t="n"/>
      <c r="L100" s="344" t="n"/>
      <c r="M100" s="3541" t="n"/>
      <c r="N100" s="565" t="n"/>
      <c r="O100" s="565" t="n"/>
      <c r="P100" s="3542" t="n"/>
      <c r="Q100" s="3541" t="n"/>
      <c r="R100" s="565" t="n"/>
      <c r="S100" s="565" t="n"/>
      <c r="T100" s="3542" t="n"/>
      <c r="U100" s="3541" t="n"/>
      <c r="V100" s="565" t="n"/>
      <c r="W100" s="565" t="n"/>
      <c r="X100" s="3542" t="n"/>
      <c r="Y100" s="3541" t="n"/>
      <c r="Z100" s="565" t="n"/>
      <c r="AA100" s="565" t="n"/>
      <c r="AB100" s="3542" t="n"/>
      <c r="AC100" s="3541" t="n"/>
      <c r="AD100" s="565" t="n"/>
      <c r="AE100" s="565" t="n"/>
      <c r="AF100" s="3542" t="n"/>
      <c r="AG100" s="3541" t="n"/>
      <c r="AH100" s="565" t="n"/>
      <c r="AI100" s="565" t="n"/>
      <c r="AJ100" s="565" t="n"/>
      <c r="AK100" s="2013" t="n"/>
      <c r="AL100" s="11602" t="n"/>
      <c r="AM100" s="11602" t="n"/>
      <c r="AN100" s="11602" t="n"/>
      <c r="AV100" s="950" t="n"/>
      <c r="AW100" s="950" t="n"/>
      <c r="AX100" s="12473" t="n"/>
      <c r="BA100" s="658" t="n"/>
      <c r="BB100" s="658" t="n"/>
      <c r="BC100" s="658" t="n"/>
      <c r="BD100" s="658" t="n"/>
      <c r="BE100" s="658" t="n"/>
      <c r="BF100" s="658" t="n"/>
      <c r="BG100" s="658" t="n"/>
      <c r="BH100" s="658" t="n"/>
      <c r="BI100" s="658" t="n"/>
      <c r="BJ100" s="658" t="n"/>
    </row>
    <row r="101" ht="15.75" customFormat="1" customHeight="1" s="815" thickBot="1">
      <c r="A101" s="2013" t="n"/>
      <c r="B101" s="11216" t="n"/>
      <c r="C101" s="344" t="inlineStr">
        <is>
          <t>miles driven</t>
        </is>
      </c>
      <c r="D101" s="344" t="n"/>
      <c r="E101" s="1672" t="n"/>
      <c r="F101" s="344" t="n"/>
      <c r="G101" s="344" t="n"/>
      <c r="H101" s="344" t="n"/>
      <c r="I101" s="344" t="n"/>
      <c r="J101" s="344" t="n"/>
      <c r="K101" s="344" t="n"/>
      <c r="L101" s="344" t="n"/>
      <c r="M101" s="12520" t="n"/>
      <c r="N101" s="194" t="n"/>
      <c r="O101" s="194" t="n"/>
      <c r="P101" s="11726" t="n"/>
      <c r="Q101" s="12520" t="n"/>
      <c r="R101" s="194" t="n"/>
      <c r="S101" s="194" t="n"/>
      <c r="T101" s="11726" t="n"/>
      <c r="U101" s="12520" t="n"/>
      <c r="V101" s="194" t="n"/>
      <c r="W101" s="194" t="n"/>
      <c r="X101" s="11726" t="n"/>
      <c r="Y101" s="12520" t="n"/>
      <c r="Z101" s="194" t="n"/>
      <c r="AA101" s="194" t="n"/>
      <c r="AB101" s="11726" t="n"/>
      <c r="AC101" s="12520" t="n"/>
      <c r="AD101" s="194" t="n"/>
      <c r="AE101" s="194" t="n"/>
      <c r="AF101" s="11726" t="n"/>
      <c r="AG101" s="10075" t="n"/>
      <c r="AH101" s="194" t="n"/>
      <c r="AI101" s="194" t="n"/>
      <c r="AJ101" s="194" t="n"/>
      <c r="AK101" s="2013" t="n"/>
      <c r="AL101" s="11602" t="n"/>
      <c r="AM101" s="11602" t="n"/>
      <c r="AN101" s="11602" t="n"/>
      <c r="AV101" s="950" t="n"/>
      <c r="AW101" s="950" t="n"/>
      <c r="AX101" s="12473" t="n"/>
      <c r="BA101" s="658" t="n"/>
      <c r="BB101" s="658" t="n"/>
      <c r="BC101" s="658" t="n"/>
      <c r="BD101" s="658" t="n"/>
      <c r="BE101" s="658" t="n"/>
      <c r="BF101" s="658" t="n"/>
      <c r="BG101" s="658" t="n"/>
      <c r="BH101" s="658" t="n"/>
      <c r="BI101" s="658" t="n"/>
      <c r="BJ101" s="658" t="n"/>
    </row>
    <row r="102" ht="15.75" customFormat="1" customHeight="1" s="815">
      <c r="A102" s="2013" t="n"/>
      <c r="B102" s="4936" t="n">
        <v>33</v>
      </c>
      <c r="C102" s="344" t="inlineStr">
        <is>
          <t>Total miles driven during the year. Add</t>
        </is>
      </c>
      <c r="D102" s="344" t="n"/>
      <c r="E102" s="8650" t="n"/>
      <c r="F102" s="344" t="n"/>
      <c r="G102" s="344" t="n"/>
      <c r="H102" s="344" t="n"/>
      <c r="I102" s="344" t="n"/>
      <c r="J102" s="344" t="n"/>
      <c r="K102" s="344" t="n"/>
      <c r="L102" s="344" t="n"/>
      <c r="M102" s="4860" t="n"/>
      <c r="N102" s="339" t="n"/>
      <c r="O102" s="339" t="n"/>
      <c r="P102" s="4859" t="n"/>
      <c r="Q102" s="4860" t="n"/>
      <c r="R102" s="339" t="n"/>
      <c r="S102" s="339" t="n"/>
      <c r="T102" s="4859" t="n"/>
      <c r="U102" s="4860" t="n"/>
      <c r="V102" s="339" t="n"/>
      <c r="W102" s="339" t="n"/>
      <c r="X102" s="4859" t="n"/>
      <c r="Y102" s="4860" t="n"/>
      <c r="Z102" s="339" t="n"/>
      <c r="AA102" s="339" t="n"/>
      <c r="AB102" s="4859" t="n"/>
      <c r="AC102" s="4860" t="n"/>
      <c r="AD102" s="339" t="n"/>
      <c r="AE102" s="339" t="n"/>
      <c r="AF102" s="4859" t="n"/>
      <c r="AG102" s="4860" t="n"/>
      <c r="AH102" s="339" t="n"/>
      <c r="AI102" s="339" t="n"/>
      <c r="AJ102" s="339" t="n"/>
      <c r="AK102" s="2013" t="n"/>
      <c r="AL102" s="11602" t="n"/>
      <c r="AM102" s="11602" t="n"/>
      <c r="AN102" s="11602" t="n"/>
      <c r="AV102" s="950" t="n"/>
      <c r="AW102" s="950" t="n"/>
      <c r="AX102" s="12473" t="n"/>
      <c r="BA102" s="658" t="n"/>
      <c r="BB102" s="658" t="n"/>
      <c r="BC102" s="658" t="n"/>
      <c r="BD102" s="658" t="n"/>
      <c r="BE102" s="658" t="n"/>
      <c r="BF102" s="658" t="n"/>
      <c r="BG102" s="658" t="n"/>
      <c r="BH102" s="658" t="n"/>
      <c r="BI102" s="658" t="n"/>
      <c r="BJ102" s="658" t="n"/>
    </row>
    <row r="103" ht="15.75" customFormat="1" customHeight="1" s="815" thickBot="1">
      <c r="A103" s="2013" t="n"/>
      <c r="B103" s="11216" t="n"/>
      <c r="C103" s="344" t="inlineStr">
        <is>
          <t>lines 30 through 32</t>
        </is>
      </c>
      <c r="D103" s="344" t="n"/>
      <c r="E103" s="1672" t="n"/>
      <c r="F103" s="344" t="n"/>
      <c r="G103" s="344" t="n"/>
      <c r="H103" s="344" t="n"/>
      <c r="I103" s="344" t="n"/>
      <c r="J103" s="344" t="n"/>
      <c r="K103" s="344" t="n"/>
      <c r="L103" s="344" t="n"/>
      <c r="M103" s="12521">
        <f>IF(OR(M98&lt;&gt;"",M99&lt;&gt;"",M101&lt;&gt;""),SUM(ROUND(M98,0),ROUND(M99,0),ROUND(M101,0)),"")</f>
        <v/>
      </c>
      <c r="P103" s="7636" t="n"/>
      <c r="Q103" s="12521">
        <f>IF(OR(Q98&lt;&gt;"",Q99&lt;&gt;"",Q101&lt;&gt;""),SUM(ROUND(Q98,0),ROUND(Q99,0),ROUND(Q101,0)),"")</f>
        <v/>
      </c>
      <c r="T103" s="7636" t="n"/>
      <c r="U103" s="12521">
        <f>IF(OR(U98&lt;&gt;"",U99&lt;&gt;"",U101&lt;&gt;""),SUM(ROUND(U98,0),ROUND(U99,0),ROUND(U101,0)),"")</f>
        <v/>
      </c>
      <c r="X103" s="7636" t="n"/>
      <c r="Y103" s="12521">
        <f>IF(OR(Y98&lt;&gt;"",Y99&lt;&gt;"",Y101&lt;&gt;""),SUM(ROUND(Y98,0),ROUND(Y99,0),ROUND(Y101,0)),"")</f>
        <v/>
      </c>
      <c r="AB103" s="7636" t="n"/>
      <c r="AC103" s="12521">
        <f>IF(OR(AC98&lt;&gt;"",AC99&lt;&gt;"",AC101&lt;&gt;""),SUM(ROUND(AC98,0),ROUND(AC99,0),ROUND(AC101,0)),"")</f>
        <v/>
      </c>
      <c r="AF103" s="7636" t="n"/>
      <c r="AG103" s="10072">
        <f>IF(OR(AG98&lt;&gt;"",AG99&lt;&gt;"",AG101&lt;&gt;""),SUM(ROUND(AG98,0),ROUND(AG99,0),ROUND(AG101,0)),"")</f>
        <v/>
      </c>
      <c r="AK103" s="2013" t="n"/>
      <c r="AL103" s="11602" t="n"/>
      <c r="AM103" s="11602" t="n"/>
      <c r="AN103" s="11602" t="n"/>
      <c r="AV103" s="950" t="n"/>
      <c r="AW103" s="950" t="n"/>
      <c r="AX103" s="12473" t="n"/>
      <c r="BA103" s="658" t="n"/>
      <c r="BB103" s="658" t="n"/>
      <c r="BC103" s="658" t="n"/>
      <c r="BD103" s="658" t="n"/>
      <c r="BE103" s="658" t="n"/>
      <c r="BF103" s="658" t="n"/>
      <c r="BG103" s="658" t="n"/>
      <c r="BH103" s="658" t="n"/>
      <c r="BI103" s="658" t="n"/>
      <c r="BJ103" s="658" t="n"/>
    </row>
    <row r="104" ht="12.75" customFormat="1" customHeight="1" s="815">
      <c r="A104" s="2013" t="n"/>
      <c r="B104" s="9988" t="n">
        <v>34</v>
      </c>
      <c r="C104" s="7895" t="inlineStr">
        <is>
          <t>Was the vehicle available for personal use during off-duty hours?</t>
        </is>
      </c>
      <c r="M104" s="12522" t="inlineStr">
        <is>
          <t>Yes</t>
        </is>
      </c>
      <c r="N104" s="12523" t="n"/>
      <c r="O104" s="12524" t="inlineStr">
        <is>
          <t>No</t>
        </is>
      </c>
      <c r="P104" s="12525" t="n"/>
      <c r="Q104" s="12522" t="inlineStr">
        <is>
          <t>Yes</t>
        </is>
      </c>
      <c r="R104" s="12523" t="n"/>
      <c r="S104" s="12524" t="inlineStr">
        <is>
          <t>No</t>
        </is>
      </c>
      <c r="T104" s="12525" t="n"/>
      <c r="U104" s="12522" t="inlineStr">
        <is>
          <t>Yes</t>
        </is>
      </c>
      <c r="V104" s="12523" t="n"/>
      <c r="W104" s="12524" t="inlineStr">
        <is>
          <t>No</t>
        </is>
      </c>
      <c r="X104" s="12525" t="n"/>
      <c r="Y104" s="12522" t="inlineStr">
        <is>
          <t>Yes</t>
        </is>
      </c>
      <c r="Z104" s="12523" t="n"/>
      <c r="AA104" s="12524" t="inlineStr">
        <is>
          <t>No</t>
        </is>
      </c>
      <c r="AB104" s="12525" t="n"/>
      <c r="AC104" s="12522" t="inlineStr">
        <is>
          <t>Yes</t>
        </is>
      </c>
      <c r="AD104" s="12523" t="n"/>
      <c r="AE104" s="12524" t="inlineStr">
        <is>
          <t>No</t>
        </is>
      </c>
      <c r="AF104" s="12525" t="n"/>
      <c r="AG104" s="12522" t="inlineStr">
        <is>
          <t>Yes</t>
        </is>
      </c>
      <c r="AH104" s="12523" t="n"/>
      <c r="AI104" s="10069" t="inlineStr">
        <is>
          <t>No</t>
        </is>
      </c>
      <c r="AJ104" s="12097" t="n"/>
      <c r="AK104" s="2013" t="n"/>
      <c r="AL104" s="11602" t="n"/>
      <c r="AM104" s="11602" t="n"/>
      <c r="AN104" s="11602" t="n"/>
      <c r="AV104" s="950" t="n"/>
      <c r="AW104" s="950" t="n"/>
      <c r="AX104" s="12473" t="n"/>
      <c r="BA104" s="658" t="n"/>
      <c r="BB104" s="658" t="n"/>
      <c r="BC104" s="658" t="n"/>
      <c r="BD104" s="658" t="n"/>
      <c r="BE104" s="658" t="n"/>
      <c r="BF104" s="658" t="n"/>
      <c r="BG104" s="658" t="n"/>
      <c r="BH104" s="658" t="n"/>
      <c r="BI104" s="658" t="n"/>
      <c r="BJ104" s="658" t="n"/>
    </row>
    <row r="105" ht="21.75" customFormat="1" customHeight="1" s="815">
      <c r="A105" s="2013" t="n"/>
      <c r="M105" s="12526" t="n"/>
      <c r="N105" s="8008" t="n"/>
      <c r="O105" s="12527" t="n"/>
      <c r="P105" s="12128" t="n"/>
      <c r="Q105" s="12526" t="n"/>
      <c r="R105" s="8008" t="n"/>
      <c r="S105" s="12527" t="n"/>
      <c r="T105" s="12128" t="n"/>
      <c r="U105" s="12526" t="n"/>
      <c r="V105" s="8008" t="n"/>
      <c r="W105" s="12527" t="n"/>
      <c r="X105" s="12128" t="n"/>
      <c r="Y105" s="12526" t="n"/>
      <c r="Z105" s="8008" t="n"/>
      <c r="AA105" s="12527" t="n"/>
      <c r="AB105" s="12128" t="n"/>
      <c r="AC105" s="12526" t="n"/>
      <c r="AD105" s="8008" t="n"/>
      <c r="AE105" s="12527" t="n"/>
      <c r="AF105" s="12128" t="n"/>
      <c r="AG105" s="12526" t="n"/>
      <c r="AH105" s="8008" t="n"/>
      <c r="AI105" s="10061" t="n"/>
      <c r="AJ105" s="8007" t="n"/>
      <c r="AK105" s="2013" t="n"/>
      <c r="AL105" s="11602" t="n"/>
      <c r="AM105" s="11602" t="n"/>
      <c r="AN105" s="11602" t="n"/>
      <c r="AV105" s="950" t="n"/>
      <c r="AW105" s="950" t="n"/>
      <c r="AX105" s="12473" t="n"/>
      <c r="BA105" s="658" t="n"/>
      <c r="BB105" s="658" t="n"/>
      <c r="BC105" s="658" t="n"/>
      <c r="BD105" s="658" t="n"/>
      <c r="BE105" s="658" t="n"/>
      <c r="BF105" s="658" t="n"/>
      <c r="BG105" s="658" t="n"/>
      <c r="BH105" s="658" t="n"/>
      <c r="BI105" s="658" t="n"/>
      <c r="BJ105" s="658" t="n"/>
    </row>
    <row r="106" ht="30" customFormat="1" customHeight="1" s="815">
      <c r="A106" s="2013" t="n"/>
      <c r="B106" s="4936" t="n">
        <v>35</v>
      </c>
      <c r="C106" s="9911" t="inlineStr">
        <is>
          <t>Was the vehicle used primarily by a more than 5% owner or related person?</t>
        </is>
      </c>
      <c r="M106" s="12526" t="n"/>
      <c r="N106" s="8008" t="n"/>
      <c r="O106" s="12527" t="n"/>
      <c r="P106" s="12128" t="n"/>
      <c r="Q106" s="12526" t="n"/>
      <c r="R106" s="8008" t="n"/>
      <c r="S106" s="12527" t="n"/>
      <c r="T106" s="12128" t="n"/>
      <c r="U106" s="12526" t="n"/>
      <c r="V106" s="8008" t="n"/>
      <c r="W106" s="12527" t="n"/>
      <c r="X106" s="12128" t="n"/>
      <c r="Y106" s="12526" t="n"/>
      <c r="Z106" s="8008" t="n"/>
      <c r="AA106" s="12527" t="n"/>
      <c r="AB106" s="12128" t="n"/>
      <c r="AC106" s="12526" t="n"/>
      <c r="AD106" s="8008" t="n"/>
      <c r="AE106" s="12527" t="n"/>
      <c r="AF106" s="12128" t="n"/>
      <c r="AG106" s="12526" t="n"/>
      <c r="AH106" s="8008" t="n"/>
      <c r="AI106" s="10061" t="n"/>
      <c r="AJ106" s="8007" t="n"/>
      <c r="AK106" s="2013" t="n"/>
      <c r="AL106" s="11602" t="n"/>
      <c r="AM106" s="11602" t="n"/>
      <c r="AN106" s="11602" t="n"/>
      <c r="AV106" s="950" t="n"/>
      <c r="AW106" s="950" t="n"/>
      <c r="AX106" s="12473" t="n"/>
      <c r="BA106" s="658" t="n"/>
      <c r="BB106" s="658" t="n"/>
      <c r="BC106" s="658" t="n"/>
      <c r="BD106" s="658" t="n"/>
      <c r="BE106" s="658" t="n"/>
      <c r="BF106" s="658" t="n"/>
      <c r="BG106" s="658" t="n"/>
      <c r="BH106" s="658" t="n"/>
      <c r="BI106" s="658" t="n"/>
      <c r="BJ106" s="658" t="n"/>
    </row>
    <row r="107" ht="21.75" customFormat="1" customHeight="1" s="815" thickBot="1">
      <c r="A107" s="2013" t="n"/>
      <c r="B107" s="4817" t="n">
        <v>36</v>
      </c>
      <c r="C107" s="6509" t="inlineStr">
        <is>
          <t>Is another vehicle available for personal use?</t>
        </is>
      </c>
      <c r="D107" s="6509" t="n"/>
      <c r="E107" s="4830" t="n"/>
      <c r="F107" s="498" t="n"/>
      <c r="G107" s="498" t="n"/>
      <c r="H107" s="498" t="n"/>
      <c r="I107" s="498" t="n"/>
      <c r="J107" s="498" t="n"/>
      <c r="K107" s="498" t="n"/>
      <c r="L107" s="498" t="n"/>
      <c r="M107" s="12528" t="n"/>
      <c r="N107" s="11810" t="n"/>
      <c r="O107" s="12529" t="n"/>
      <c r="P107" s="12530" t="n"/>
      <c r="Q107" s="12528" t="n"/>
      <c r="R107" s="11810" t="n"/>
      <c r="S107" s="12529" t="n"/>
      <c r="T107" s="12530" t="n"/>
      <c r="U107" s="12528" t="n"/>
      <c r="V107" s="11810" t="n"/>
      <c r="W107" s="12529" t="n"/>
      <c r="X107" s="12530" t="n"/>
      <c r="Y107" s="12528" t="n"/>
      <c r="Z107" s="11810" t="n"/>
      <c r="AA107" s="12529" t="n"/>
      <c r="AB107" s="12530" t="n"/>
      <c r="AC107" s="12528" t="n"/>
      <c r="AD107" s="11810" t="n"/>
      <c r="AE107" s="12529" t="n"/>
      <c r="AF107" s="12530" t="n"/>
      <c r="AG107" s="12528" t="n"/>
      <c r="AH107" s="11810" t="n"/>
      <c r="AI107" s="10055" t="n"/>
      <c r="AJ107" s="11809" t="n"/>
      <c r="AK107" s="2013" t="n"/>
      <c r="AL107" s="11602" t="n"/>
      <c r="AM107" s="11602" t="n"/>
      <c r="AN107" s="11602" t="n"/>
      <c r="AV107" s="950" t="n"/>
      <c r="AW107" s="950" t="n"/>
      <c r="AX107" s="12473" t="n"/>
      <c r="BA107" s="658" t="n"/>
      <c r="BB107" s="658" t="n"/>
      <c r="BC107" s="658" t="n"/>
      <c r="BD107" s="658" t="n"/>
      <c r="BE107" s="658" t="n"/>
      <c r="BF107" s="658" t="n"/>
      <c r="BG107" s="658" t="n"/>
      <c r="BH107" s="658" t="n"/>
      <c r="BI107" s="658" t="n"/>
      <c r="BJ107" s="658" t="n"/>
    </row>
    <row r="108" ht="18" customFormat="1" customHeight="1" s="815">
      <c r="A108" s="2013" t="n"/>
      <c r="B108" s="4898" t="n"/>
      <c r="C108" s="11403" t="n"/>
      <c r="D108" s="11403" t="n"/>
      <c r="E108" s="11403" t="n"/>
      <c r="F108" s="11403" t="n"/>
      <c r="G108" s="11403" t="n"/>
      <c r="H108" s="11403" t="n"/>
      <c r="I108" s="11403" t="n"/>
      <c r="J108" s="11403" t="n"/>
      <c r="K108" s="11403" t="n"/>
      <c r="L108" s="11403" t="n"/>
      <c r="M108" s="11403" t="n"/>
      <c r="N108" s="11403" t="n"/>
      <c r="O108" s="11403" t="n"/>
      <c r="P108" s="11403" t="n"/>
      <c r="Q108" s="11403" t="n"/>
      <c r="R108" s="11403" t="n"/>
      <c r="S108" s="11403" t="n"/>
      <c r="T108" s="11403" t="n"/>
      <c r="U108" s="8922" t="n"/>
      <c r="V108" s="11403" t="n"/>
      <c r="W108" s="3931" t="n"/>
      <c r="X108" s="11403" t="n"/>
      <c r="Y108" s="11403" t="n"/>
      <c r="Z108" s="11403" t="n"/>
      <c r="AA108" s="11403" t="n"/>
      <c r="AB108" s="11403" t="n"/>
      <c r="AC108" s="2052" t="n"/>
      <c r="AD108" s="11403" t="n"/>
      <c r="AE108" s="11403" t="n"/>
      <c r="AF108" s="11403" t="n"/>
      <c r="AG108" s="11403" t="n"/>
      <c r="AH108" s="2052" t="inlineStr">
        <is>
          <t>Form 4562</t>
        </is>
      </c>
      <c r="AI108" s="11403" t="n"/>
      <c r="AJ108" s="2052">
        <f>"("&amp;TaxYear&amp;")"</f>
        <v/>
      </c>
      <c r="AK108" s="2013" t="n"/>
      <c r="AL108" s="11602" t="n"/>
      <c r="AM108" s="11602" t="n"/>
      <c r="AN108" s="11602" t="n"/>
      <c r="AV108" s="950" t="n"/>
      <c r="AW108" s="950" t="n"/>
      <c r="AX108" s="12473" t="n"/>
      <c r="BA108" s="658" t="n"/>
      <c r="BB108" s="658" t="n"/>
      <c r="BC108" s="658" t="n"/>
      <c r="BD108" s="658" t="n"/>
      <c r="BE108" s="658" t="n"/>
      <c r="BF108" s="658" t="n"/>
      <c r="BG108" s="658" t="n"/>
      <c r="BH108" s="658" t="n"/>
      <c r="BI108" s="658" t="n"/>
      <c r="BJ108" s="658" t="n"/>
    </row>
    <row r="109" ht="15.75" customFormat="1" customHeight="1" s="815" thickBot="1">
      <c r="A109" s="2013" t="n"/>
      <c r="B109" s="4899">
        <f>"Form 4562 ("&amp;TaxYear&amp;")"</f>
        <v/>
      </c>
      <c r="C109" s="498" t="n"/>
      <c r="D109" s="2307" t="n"/>
      <c r="E109" s="498" t="n"/>
      <c r="F109" s="498" t="n"/>
      <c r="G109" s="498" t="n"/>
      <c r="H109" s="498" t="n"/>
      <c r="I109" s="498" t="n"/>
      <c r="J109" s="498" t="n"/>
      <c r="K109" s="498" t="n"/>
      <c r="L109" s="498" t="n"/>
      <c r="M109" s="498" t="n"/>
      <c r="N109" s="2308" t="n"/>
      <c r="O109" s="498" t="n"/>
      <c r="P109" s="498" t="n"/>
      <c r="Q109" s="498" t="n"/>
      <c r="R109" s="498" t="n"/>
      <c r="S109" s="498" t="n"/>
      <c r="T109" s="2308" t="n"/>
      <c r="U109" s="2307" t="n"/>
      <c r="V109" s="498" t="n"/>
      <c r="W109" s="498" t="n"/>
      <c r="X109" s="498" t="n"/>
      <c r="Y109" s="498" t="n"/>
      <c r="Z109" s="498" t="n"/>
      <c r="AA109" s="498" t="n"/>
      <c r="AB109" s="2308" t="n"/>
      <c r="AC109" s="498" t="n"/>
      <c r="AD109" s="498" t="n"/>
      <c r="AE109" s="498" t="n"/>
      <c r="AF109" s="498" t="n"/>
      <c r="AG109" s="498" t="n"/>
      <c r="AH109" s="498" t="n"/>
      <c r="AI109" s="498" t="n"/>
      <c r="AJ109" s="2309" t="inlineStr">
        <is>
          <t xml:space="preserve">Page 3 </t>
        </is>
      </c>
      <c r="AK109" s="2013" t="n"/>
      <c r="AL109" s="11602" t="n"/>
      <c r="AM109" s="11602" t="n"/>
      <c r="AN109" s="11602" t="n"/>
      <c r="AV109" s="950" t="n"/>
      <c r="AW109" s="950" t="n"/>
      <c r="AX109" s="12473" t="n"/>
      <c r="BA109" s="658" t="n"/>
      <c r="BB109" s="658" t="n"/>
      <c r="BC109" s="658" t="n"/>
      <c r="BD109" s="658" t="n"/>
      <c r="BE109" s="658" t="n"/>
      <c r="BF109" s="658" t="n"/>
      <c r="BG109" s="658" t="n"/>
      <c r="BH109" s="658" t="n"/>
      <c r="BI109" s="658" t="n"/>
      <c r="BJ109" s="658" t="n"/>
    </row>
    <row r="110" ht="15.75" customFormat="1" customHeight="1" s="1115">
      <c r="A110" s="2290" t="n"/>
      <c r="B110" s="10206" t="inlineStr">
        <is>
          <t>Part V</t>
        </is>
      </c>
      <c r="C110" s="2506" t="n"/>
      <c r="D110" s="6024" t="n"/>
      <c r="E110" s="4901" t="inlineStr">
        <is>
          <t>Listed Property</t>
        </is>
      </c>
      <c r="F110" s="6025" t="n"/>
      <c r="G110" s="6025" t="n"/>
      <c r="H110" s="6025" t="n"/>
      <c r="I110" s="6025" t="n"/>
      <c r="J110" s="6025" t="inlineStr">
        <is>
          <t xml:space="preserve">(Include automobiles, certain other vehicles, certain aircraft, and property used for </t>
        </is>
      </c>
      <c r="K110" s="6025" t="n"/>
      <c r="L110" s="6025" t="n"/>
      <c r="M110" s="6025" t="n"/>
      <c r="N110" s="6025" t="n"/>
      <c r="O110" s="6025" t="n"/>
      <c r="P110" s="6025" t="n"/>
      <c r="Q110" s="6025" t="n"/>
      <c r="R110" s="6025" t="n"/>
      <c r="S110" s="6025" t="n"/>
      <c r="T110" s="6025" t="n"/>
      <c r="U110" s="6025" t="n"/>
      <c r="V110" s="6025" t="n"/>
      <c r="W110" s="6025" t="n"/>
      <c r="X110" s="6025" t="n"/>
      <c r="Y110" s="6025" t="n"/>
      <c r="Z110" s="6025" t="n"/>
      <c r="AA110" s="6025" t="n"/>
      <c r="AB110" s="6025" t="n"/>
      <c r="AC110" s="6025" t="n"/>
      <c r="AD110" s="6025" t="n"/>
      <c r="AE110" s="6025" t="n"/>
      <c r="AF110" s="6025" t="n"/>
      <c r="AG110" s="6025" t="n"/>
      <c r="AH110" s="6025" t="n"/>
      <c r="AI110" s="339" t="n"/>
      <c r="AJ110" s="339" t="n"/>
      <c r="AK110" s="2290" t="n"/>
      <c r="AL110" s="11602" t="n"/>
      <c r="AM110" s="11602" t="n"/>
      <c r="AN110" s="11602" t="n"/>
      <c r="AO110" s="2293" t="n"/>
      <c r="AV110" s="4958" t="n"/>
      <c r="AW110" s="4958" t="n"/>
      <c r="AX110" s="12501" t="n"/>
      <c r="BA110" s="658" t="n"/>
      <c r="BB110" s="658" t="n"/>
      <c r="BC110" s="658" t="n"/>
      <c r="BD110" s="658" t="n"/>
      <c r="BE110" s="658" t="n"/>
      <c r="BF110" s="658" t="n"/>
      <c r="BG110" s="658" t="n"/>
      <c r="BH110" s="658" t="n"/>
      <c r="BI110" s="658" t="n"/>
      <c r="BJ110" s="658" t="n"/>
      <c r="BK110" s="2293" t="n"/>
    </row>
    <row r="111" ht="15.75" customFormat="1" customHeight="1" s="815">
      <c r="A111" s="2013" t="n"/>
      <c r="B111" s="6513" t="n"/>
      <c r="C111" s="569" t="n"/>
      <c r="D111" s="6514" t="n"/>
      <c r="E111" s="2296" t="inlineStr">
        <is>
          <t>entertainment, recreation, or amusement.) (continued)</t>
        </is>
      </c>
      <c r="F111" s="6514" t="n"/>
      <c r="G111" s="6514" t="n"/>
      <c r="H111" s="6514" t="n"/>
      <c r="I111" s="6514" t="n"/>
      <c r="J111" s="6514" t="n"/>
      <c r="K111" s="6514" t="n"/>
      <c r="L111" s="6514" t="n"/>
      <c r="M111" s="6514" t="n"/>
      <c r="N111" s="6514" t="n"/>
      <c r="O111" s="6514" t="n"/>
      <c r="P111" s="6514" t="n"/>
      <c r="Q111" s="6514" t="n"/>
      <c r="R111" s="6514" t="n"/>
      <c r="S111" s="6514" t="n"/>
      <c r="T111" s="12531" t="n"/>
      <c r="U111" s="12532" t="n"/>
      <c r="V111" s="12532" t="n"/>
      <c r="W111" s="12532" t="n"/>
      <c r="X111" s="12532" t="n"/>
      <c r="Y111" s="12532" t="n"/>
      <c r="Z111" s="12532" t="n"/>
      <c r="AA111" s="12532" t="n"/>
      <c r="AB111" s="12532" t="n"/>
      <c r="AC111" s="12532" t="n"/>
      <c r="AD111" s="12532" t="n"/>
      <c r="AE111" s="12532" t="n"/>
      <c r="AF111" s="12532" t="n"/>
      <c r="AG111" s="12532" t="n"/>
      <c r="AH111" s="12532" t="n"/>
      <c r="AI111" s="12532" t="n"/>
      <c r="AJ111" s="12532" t="n"/>
      <c r="AK111" s="2013" t="n"/>
      <c r="AL111" s="11602" t="n"/>
      <c r="AM111" s="11602" t="n"/>
      <c r="AN111" s="11602" t="n"/>
      <c r="AV111" s="950" t="n"/>
      <c r="AW111" s="950" t="n"/>
      <c r="AX111" s="12473" t="n"/>
      <c r="BA111" s="658" t="n"/>
      <c r="BB111" s="658" t="n"/>
      <c r="BC111" s="658" t="n"/>
      <c r="BD111" s="658" t="n"/>
      <c r="BE111" s="658" t="n"/>
      <c r="BF111" s="658" t="n"/>
      <c r="BG111" s="658" t="n"/>
      <c r="BH111" s="658" t="n"/>
      <c r="BI111" s="658" t="n"/>
      <c r="BJ111" s="658" t="n"/>
    </row>
    <row r="112" ht="30.75" customFormat="1" customHeight="1" s="4957">
      <c r="A112" s="2306" t="n"/>
      <c r="B112" s="9988" t="n"/>
      <c r="C112" s="873" t="n"/>
      <c r="D112" s="873" t="n"/>
      <c r="E112" s="6510" t="n"/>
      <c r="F112" s="873" t="n"/>
      <c r="G112" s="873" t="n"/>
      <c r="H112" s="873" t="n"/>
      <c r="I112" s="873" t="n"/>
      <c r="J112" s="873" t="n"/>
      <c r="K112" s="873" t="n"/>
      <c r="L112" s="873" t="n"/>
      <c r="M112" s="873" t="n"/>
      <c r="N112" s="873" t="n"/>
      <c r="O112" s="873" t="n"/>
      <c r="P112" s="9988" t="n"/>
      <c r="Q112" s="9988" t="n"/>
      <c r="R112" s="9988" t="inlineStr">
        <is>
          <t>Section C—Questions for Employers Who Provide Vehicles for Use by Their Employees</t>
        </is>
      </c>
      <c r="S112" s="873" t="n"/>
      <c r="T112" s="873" t="n"/>
      <c r="U112" s="873" t="n"/>
      <c r="V112" s="873" t="n"/>
      <c r="W112" s="873" t="n"/>
      <c r="X112" s="873" t="n"/>
      <c r="Y112" s="873" t="n"/>
      <c r="Z112" s="873" t="n"/>
      <c r="AA112" s="873" t="n"/>
      <c r="AB112" s="873" t="n"/>
      <c r="AC112" s="873" t="n"/>
      <c r="AD112" s="873" t="n"/>
      <c r="AE112" s="873" t="n"/>
      <c r="AF112" s="873" t="n"/>
      <c r="AG112" s="873" t="n"/>
      <c r="AH112" s="873" t="n"/>
      <c r="AI112" s="873" t="n"/>
      <c r="AJ112" s="873" t="n"/>
      <c r="AK112" s="2306" t="n"/>
      <c r="AL112" s="7762" t="n"/>
      <c r="AM112" s="7762" t="n"/>
      <c r="AN112" s="7762" t="n"/>
      <c r="AO112" s="7623" t="n"/>
      <c r="AX112" s="12533" t="n"/>
      <c r="BA112" s="6512" t="n"/>
      <c r="BB112" s="6512" t="n"/>
      <c r="BC112" s="6512" t="n"/>
      <c r="BD112" s="6512" t="n"/>
      <c r="BE112" s="6512" t="n"/>
      <c r="BF112" s="6512" t="n"/>
      <c r="BG112" s="6512" t="n"/>
      <c r="BH112" s="6512" t="n"/>
      <c r="BI112" s="6512" t="n"/>
      <c r="BJ112" s="6512" t="n"/>
      <c r="BK112" s="7623" t="n"/>
    </row>
    <row r="113" ht="15.75" customFormat="1" customHeight="1" s="1116">
      <c r="A113" s="2067" t="n"/>
      <c r="B113" s="2313" t="inlineStr">
        <is>
          <t>Answer these questions to determine if you meet an exception to completing Section B for vehicles used by employees who aren’t</t>
        </is>
      </c>
      <c r="C113" s="979" t="n"/>
      <c r="D113" s="979" t="n"/>
      <c r="E113" s="2046" t="n"/>
      <c r="F113" s="979" t="n"/>
      <c r="G113" s="979" t="n"/>
      <c r="H113" s="979" t="n"/>
      <c r="I113" s="979" t="n"/>
      <c r="J113" s="979" t="n"/>
      <c r="K113" s="979" t="n"/>
      <c r="L113" s="979" t="n"/>
      <c r="M113" s="979" t="n"/>
      <c r="N113" s="979" t="n"/>
      <c r="O113" s="979" t="n"/>
      <c r="P113" s="979" t="n"/>
      <c r="Q113" s="979" t="n"/>
      <c r="R113" s="979" t="n"/>
      <c r="S113" s="979" t="n"/>
      <c r="T113" s="979" t="n"/>
      <c r="U113" s="979" t="n"/>
      <c r="V113" s="979" t="n"/>
      <c r="W113" s="979" t="n"/>
      <c r="X113" s="979" t="n"/>
      <c r="Y113" s="979" t="n"/>
      <c r="Z113" s="979" t="n"/>
      <c r="AA113" s="979" t="n"/>
      <c r="AB113" s="979" t="n"/>
      <c r="AC113" s="979" t="n"/>
      <c r="AD113" s="979" t="n"/>
      <c r="AE113" s="979" t="n"/>
      <c r="AF113" s="979" t="n"/>
      <c r="AG113" s="979" t="n"/>
      <c r="AH113" s="979" t="n"/>
      <c r="AI113" s="979" t="n"/>
      <c r="AJ113" s="979" t="n"/>
      <c r="AK113" s="2067" t="n"/>
      <c r="AL113" s="11602" t="n"/>
      <c r="AM113" s="11602" t="n"/>
      <c r="AN113" s="11602" t="n"/>
      <c r="AO113" s="138" t="n"/>
      <c r="AV113" s="4959" t="n"/>
      <c r="AW113" s="4959" t="n"/>
      <c r="AX113" s="12518" t="n"/>
      <c r="BA113" s="658" t="n"/>
      <c r="BB113" s="658" t="n"/>
      <c r="BC113" s="658" t="n"/>
      <c r="BD113" s="658" t="n"/>
      <c r="BE113" s="658" t="n"/>
      <c r="BF113" s="658" t="n"/>
      <c r="BG113" s="658" t="n"/>
      <c r="BH113" s="658" t="n"/>
      <c r="BI113" s="658" t="n"/>
      <c r="BJ113" s="658" t="n"/>
      <c r="BK113" s="138" t="n"/>
    </row>
    <row r="114" ht="15.75" customFormat="1" customHeight="1" s="815">
      <c r="A114" s="2013" t="n"/>
      <c r="B114" s="4840" t="inlineStr">
        <is>
          <t>more than 5% owners or related persons. See instructions.</t>
        </is>
      </c>
      <c r="C114" s="4937" t="n"/>
      <c r="D114" s="4937" t="n"/>
      <c r="E114" s="4937" t="n"/>
      <c r="F114" s="4937" t="n"/>
      <c r="G114" s="4937" t="n"/>
      <c r="H114" s="4937" t="n"/>
      <c r="I114" s="4937" t="n"/>
      <c r="J114" s="4937" t="n"/>
      <c r="K114" s="4937" t="n"/>
      <c r="L114" s="4937" t="n"/>
      <c r="M114" s="4937" t="n"/>
      <c r="N114" s="4937" t="n"/>
      <c r="O114" s="4937" t="n"/>
      <c r="P114" s="4937" t="n"/>
      <c r="Q114" s="4937" t="n"/>
      <c r="R114" s="4937" t="n"/>
      <c r="S114" s="4937" t="n"/>
      <c r="T114" s="4937" t="n"/>
      <c r="U114" s="4937" t="n"/>
      <c r="V114" s="4937" t="n"/>
      <c r="W114" s="4937" t="n"/>
      <c r="X114" s="4937" t="n"/>
      <c r="Y114" s="4937" t="n"/>
      <c r="Z114" s="4937" t="n"/>
      <c r="AA114" s="4937" t="n"/>
      <c r="AB114" s="4937" t="n"/>
      <c r="AC114" s="4937" t="n"/>
      <c r="AD114" s="4937" t="n"/>
      <c r="AE114" s="4937" t="n"/>
      <c r="AF114" s="4937" t="n"/>
      <c r="AG114" s="4937" t="n"/>
      <c r="AH114" s="4937" t="n"/>
      <c r="AI114" s="4937" t="n"/>
      <c r="AJ114" s="4937" t="n"/>
      <c r="AK114" s="2013" t="n"/>
      <c r="AL114" s="11602" t="n"/>
      <c r="AM114" s="11602" t="n"/>
      <c r="AN114" s="11602" t="n"/>
      <c r="AV114" s="950" t="n"/>
      <c r="AW114" s="950" t="n"/>
      <c r="AX114" s="12473" t="n"/>
      <c r="BA114" s="658" t="n"/>
      <c r="BB114" s="658" t="n"/>
      <c r="BC114" s="658" t="n"/>
      <c r="BD114" s="658" t="n"/>
      <c r="BE114" s="658" t="n"/>
      <c r="BF114" s="658" t="n"/>
      <c r="BG114" s="658" t="n"/>
      <c r="BH114" s="658" t="n"/>
      <c r="BI114" s="658" t="n"/>
      <c r="BJ114" s="658" t="n"/>
    </row>
    <row r="115" ht="15.75" customFormat="1" customHeight="1" s="1115">
      <c r="A115" s="2290" t="n"/>
      <c r="B115" s="9988" t="n">
        <v>37</v>
      </c>
      <c r="C115" s="2311" t="inlineStr">
        <is>
          <t>Do you maintain a written policy statement that prohibits all personal use of vehicles, including commuting, by</t>
        </is>
      </c>
      <c r="D115" s="2311" t="n"/>
      <c r="E115" s="4938" t="n"/>
      <c r="F115" s="2311" t="n"/>
      <c r="G115" s="2311" t="n"/>
      <c r="H115" s="2311" t="n"/>
      <c r="I115" s="2311" t="n"/>
      <c r="J115" s="2311" t="n"/>
      <c r="K115" s="2311" t="n"/>
      <c r="L115" s="2311" t="n"/>
      <c r="M115" s="2311" t="n"/>
      <c r="N115" s="2311" t="n"/>
      <c r="O115" s="2311" t="n"/>
      <c r="P115" s="2311" t="n"/>
      <c r="Q115" s="2311" t="n"/>
      <c r="R115" s="2311" t="n"/>
      <c r="S115" s="2311" t="n"/>
      <c r="T115" s="2311" t="n"/>
      <c r="U115" s="2311" t="n"/>
      <c r="V115" s="2311" t="n"/>
      <c r="W115" s="2311" t="n"/>
      <c r="X115" s="2311" t="n"/>
      <c r="Y115" s="2311" t="n"/>
      <c r="Z115" s="2311" t="n"/>
      <c r="AA115" s="2311" t="n"/>
      <c r="AB115" s="2311" t="n"/>
      <c r="AC115" s="2311" t="n"/>
      <c r="AD115" s="2311" t="n"/>
      <c r="AE115" s="2311" t="n"/>
      <c r="AF115" s="2311" t="n"/>
      <c r="AG115" s="8568" t="inlineStr">
        <is>
          <t>Yes</t>
        </is>
      </c>
      <c r="AH115" s="8412" t="n"/>
      <c r="AI115" s="8568" t="inlineStr">
        <is>
          <t>No</t>
        </is>
      </c>
      <c r="AJ115" s="8412" t="n"/>
      <c r="AK115" s="2290" t="n"/>
      <c r="AL115" s="11602" t="n"/>
      <c r="AM115" s="11602" t="n"/>
      <c r="AN115" s="11602" t="n"/>
      <c r="AO115" s="2293" t="n"/>
      <c r="AV115" s="4958" t="n"/>
      <c r="AW115" s="4958" t="n"/>
      <c r="AX115" s="12501" t="n"/>
      <c r="BA115" s="658" t="n"/>
      <c r="BB115" s="658" t="n"/>
      <c r="BC115" s="658" t="n"/>
      <c r="BD115" s="658" t="n"/>
      <c r="BE115" s="658" t="n"/>
      <c r="BF115" s="658" t="n"/>
      <c r="BG115" s="658" t="n"/>
      <c r="BH115" s="658" t="n"/>
      <c r="BI115" s="658" t="n"/>
      <c r="BJ115" s="658" t="n"/>
      <c r="BK115" s="2293" t="n"/>
    </row>
    <row r="116" ht="15.75" customFormat="1" customHeight="1" s="1115">
      <c r="A116" s="2290" t="n"/>
      <c r="B116" s="10615" t="n"/>
      <c r="C116" s="2311" t="inlineStr">
        <is>
          <t>your employees?</t>
        </is>
      </c>
      <c r="D116" s="2311" t="n"/>
      <c r="E116" s="4939" t="n"/>
      <c r="F116" s="2311" t="n"/>
      <c r="G116" s="2311" t="n"/>
      <c r="H116" s="2311" t="n"/>
      <c r="I116" s="2311" t="n"/>
      <c r="J116" s="2311" t="n"/>
      <c r="K116" s="2311" t="n"/>
      <c r="L116" s="2311" t="n"/>
      <c r="M116" s="2311" t="n"/>
      <c r="N116" s="2311" t="n"/>
      <c r="O116" s="2311" t="n"/>
      <c r="P116" s="2311" t="n"/>
      <c r="Q116" s="2311" t="n"/>
      <c r="R116" s="2311" t="n"/>
      <c r="S116" s="2311" t="n"/>
      <c r="T116" s="2311" t="n"/>
      <c r="U116" s="2311" t="n"/>
      <c r="V116" s="2311" t="n"/>
      <c r="W116" s="2311" t="n"/>
      <c r="X116" s="2311" t="n"/>
      <c r="Y116" s="2311" t="n"/>
      <c r="Z116" s="2311" t="n"/>
      <c r="AA116" s="2311" t="n"/>
      <c r="AB116" s="2311" t="n"/>
      <c r="AC116" s="2311" t="n"/>
      <c r="AD116" s="2311" t="n"/>
      <c r="AE116" s="2311" t="n"/>
      <c r="AF116" s="1401" t="inlineStr">
        <is>
          <t xml:space="preserve">.   .   .   .   .   .   .   .   .   .   .   .   .   .   .   .   .   .   .   .   .   .   .   .   .   .   .   .   .   .   .   .   .   .   .   .   .   .   .   .   .   .   .   .   .  </t>
        </is>
      </c>
      <c r="AG116" s="10027" t="n"/>
      <c r="AH116" s="8007" t="n"/>
      <c r="AI116" s="10027" t="n"/>
      <c r="AJ116" s="8007" t="n"/>
      <c r="AK116" s="2290" t="n"/>
      <c r="AL116" s="11602" t="n"/>
      <c r="AM116" s="11602" t="n"/>
      <c r="AN116" s="11602" t="n"/>
      <c r="AO116" s="2293" t="n"/>
      <c r="AV116" s="4958" t="n"/>
      <c r="AW116" s="4958" t="n"/>
      <c r="AX116" s="12501" t="n"/>
      <c r="BA116" s="658" t="n"/>
      <c r="BB116" s="658" t="n"/>
      <c r="BC116" s="658" t="n"/>
      <c r="BD116" s="658" t="n"/>
      <c r="BE116" s="658" t="n"/>
      <c r="BF116" s="658" t="n"/>
      <c r="BG116" s="658" t="n"/>
      <c r="BH116" s="658" t="n"/>
      <c r="BI116" s="658" t="n"/>
      <c r="BJ116" s="658" t="n"/>
      <c r="BK116" s="2293" t="n"/>
    </row>
    <row r="117" ht="15.75" customFormat="1" customHeight="1" s="815">
      <c r="A117" s="2013" t="n"/>
      <c r="B117" s="9988" t="n">
        <v>38</v>
      </c>
      <c r="C117" s="2311" t="inlineStr">
        <is>
          <t>Do you maintain a written policy statement that prohibits personal use of vehicles, except commuting, by your</t>
        </is>
      </c>
      <c r="D117" s="2311" t="n"/>
      <c r="E117" s="2311" t="n"/>
      <c r="F117" s="2311" t="n"/>
      <c r="G117" s="2311" t="n"/>
      <c r="H117" s="2311" t="n"/>
      <c r="I117" s="2311" t="n"/>
      <c r="J117" s="2311" t="n"/>
      <c r="K117" s="2311" t="n"/>
      <c r="L117" s="2311" t="n"/>
      <c r="M117" s="2311" t="n"/>
      <c r="N117" s="2311" t="n"/>
      <c r="O117" s="2311" t="n"/>
      <c r="P117" s="2311" t="n"/>
      <c r="Q117" s="2311" t="n"/>
      <c r="R117" s="2311" t="n"/>
      <c r="S117" s="2311" t="n"/>
      <c r="T117" s="2311" t="n"/>
      <c r="U117" s="2311" t="n"/>
      <c r="V117" s="2311" t="n"/>
      <c r="W117" s="2311" t="n"/>
      <c r="X117" s="2311" t="n"/>
      <c r="Y117" s="2311" t="n"/>
      <c r="Z117" s="2311" t="n"/>
      <c r="AA117" s="2311" t="n"/>
      <c r="AB117" s="2311" t="n"/>
      <c r="AC117" s="2311" t="n"/>
      <c r="AD117" s="2311" t="n"/>
      <c r="AE117" s="2311" t="n"/>
      <c r="AF117" s="2311" t="n"/>
      <c r="AG117" s="12516" t="n"/>
      <c r="AH117" s="11948" t="n"/>
      <c r="AI117" s="12516" t="n"/>
      <c r="AJ117" s="11948" t="n"/>
      <c r="AK117" s="2013" t="n"/>
      <c r="AL117" s="11602" t="n"/>
      <c r="AM117" s="11602" t="n"/>
      <c r="AN117" s="11602" t="n"/>
      <c r="AV117" s="950" t="n"/>
      <c r="AW117" s="950" t="n"/>
      <c r="AX117" s="12473" t="n"/>
      <c r="BA117" s="658" t="n"/>
      <c r="BB117" s="658" t="n"/>
      <c r="BC117" s="658" t="n"/>
      <c r="BD117" s="658" t="n"/>
      <c r="BE117" s="658" t="n"/>
      <c r="BF117" s="658" t="n"/>
      <c r="BG117" s="658" t="n"/>
      <c r="BH117" s="658" t="n"/>
      <c r="BI117" s="658" t="n"/>
      <c r="BJ117" s="658" t="n"/>
    </row>
    <row r="118" ht="15.75" customFormat="1" customHeight="1" s="815">
      <c r="A118" s="2013" t="n"/>
      <c r="B118" s="4902" t="n"/>
      <c r="C118" s="2311" t="inlineStr">
        <is>
          <t>employees? See the instructions for vehicles used by corporate officers, directors, or 1% or more owners</t>
        </is>
      </c>
      <c r="D118" s="344" t="n"/>
      <c r="E118" s="344" t="n"/>
      <c r="F118" s="344" t="n"/>
      <c r="G118" s="344" t="n"/>
      <c r="H118" s="344" t="n"/>
      <c r="I118" s="344" t="n"/>
      <c r="J118" s="344" t="n"/>
      <c r="K118" s="344" t="n"/>
      <c r="L118" s="344" t="n"/>
      <c r="M118" s="344" t="n"/>
      <c r="N118" s="344" t="n"/>
      <c r="O118" s="344" t="n"/>
      <c r="P118" s="344" t="n"/>
      <c r="Q118" s="344" t="n"/>
      <c r="R118" s="344" t="n"/>
      <c r="S118" s="344" t="n"/>
      <c r="T118" s="344" t="n"/>
      <c r="U118" s="344" t="n"/>
      <c r="V118" s="344" t="n"/>
      <c r="W118" s="344" t="n"/>
      <c r="X118" s="344" t="n"/>
      <c r="Y118" s="344" t="n"/>
      <c r="Z118" s="344" t="n"/>
      <c r="AA118" s="344" t="n"/>
      <c r="AB118" s="7957" t="n"/>
      <c r="AC118" s="7957" t="n"/>
      <c r="AD118" s="344" t="n"/>
      <c r="AE118" s="344" t="n"/>
      <c r="AF118" s="344" t="n"/>
      <c r="AG118" s="11728" t="n"/>
      <c r="AH118" s="11718" t="n"/>
      <c r="AI118" s="11728" t="n"/>
      <c r="AJ118" s="11718" t="n"/>
      <c r="AK118" s="2013" t="n"/>
      <c r="AL118" s="11602" t="n"/>
      <c r="AM118" s="11602" t="n"/>
      <c r="AN118" s="11602" t="n"/>
      <c r="AV118" s="950" t="n"/>
      <c r="AW118" s="950" t="n"/>
      <c r="AX118" s="12473" t="n"/>
      <c r="BA118" s="658" t="n"/>
      <c r="BB118" s="658" t="n"/>
      <c r="BC118" s="658" t="n"/>
      <c r="BD118" s="658" t="n"/>
      <c r="BE118" s="658" t="n"/>
      <c r="BF118" s="658" t="n"/>
      <c r="BG118" s="658" t="n"/>
      <c r="BH118" s="658" t="n"/>
      <c r="BI118" s="658" t="n"/>
      <c r="BJ118" s="658" t="n"/>
    </row>
    <row r="119" ht="15.75" customFormat="1" customHeight="1" s="815">
      <c r="A119" s="2013" t="n"/>
      <c r="B119" s="9988" t="n">
        <v>39</v>
      </c>
      <c r="C119" s="2311" t="inlineStr">
        <is>
          <t>Do you treat all use of vehicles by employees as personal use?</t>
        </is>
      </c>
      <c r="D119" s="8650" t="n"/>
      <c r="E119" s="8650" t="n"/>
      <c r="F119" s="344" t="n"/>
      <c r="G119" s="344" t="n"/>
      <c r="H119" s="344" t="n"/>
      <c r="I119" s="344" t="n"/>
      <c r="J119" s="344" t="n"/>
      <c r="K119" s="344" t="n"/>
      <c r="L119" s="344" t="n"/>
      <c r="M119" s="344" t="n"/>
      <c r="N119" s="344" t="n"/>
      <c r="O119" s="344" t="n"/>
      <c r="P119" s="344" t="n"/>
      <c r="Q119" s="344" t="n"/>
      <c r="R119" s="4940" t="n"/>
      <c r="S119" s="344" t="n"/>
      <c r="T119" s="344" t="n"/>
      <c r="U119" s="344" t="n"/>
      <c r="V119" s="344" t="n"/>
      <c r="W119" s="344" t="n"/>
      <c r="X119" s="344" t="n"/>
      <c r="Y119" s="344" t="n"/>
      <c r="Z119" s="3902" t="n"/>
      <c r="AA119" s="3902" t="n"/>
      <c r="AB119" s="344" t="n"/>
      <c r="AC119" s="344" t="n"/>
      <c r="AD119" s="9750" t="n"/>
      <c r="AE119" s="2302" t="n"/>
      <c r="AF119" s="1401" t="inlineStr">
        <is>
          <t xml:space="preserve">.   .   .   .   .   .   .   .   .   .   .   .   .   .   .   .   .   .   .   .   .   .   .   .   .   .  </t>
        </is>
      </c>
      <c r="AG119" s="10027" t="n"/>
      <c r="AH119" s="8007" t="n"/>
      <c r="AI119" s="10027" t="n"/>
      <c r="AJ119" s="8007" t="n"/>
      <c r="AK119" s="2013" t="n"/>
      <c r="AL119" s="11602" t="n"/>
      <c r="AM119" s="11602" t="n"/>
      <c r="AN119" s="11602" t="n"/>
      <c r="AV119" s="950" t="n"/>
      <c r="AW119" s="950" t="n"/>
      <c r="AX119" s="12473" t="n"/>
      <c r="BA119" s="658" t="n"/>
      <c r="BB119" s="658" t="n"/>
      <c r="BC119" s="658" t="n"/>
      <c r="BD119" s="658" t="n"/>
      <c r="BE119" s="658" t="n"/>
      <c r="BF119" s="658" t="n"/>
      <c r="BG119" s="658" t="n"/>
      <c r="BH119" s="658" t="n"/>
      <c r="BI119" s="658" t="n"/>
      <c r="BJ119" s="658" t="n"/>
    </row>
    <row r="120" ht="15.75" customFormat="1" customHeight="1" s="815">
      <c r="A120" s="2013" t="n"/>
      <c r="B120" s="9988" t="n">
        <v>40</v>
      </c>
      <c r="C120" s="2311" t="inlineStr">
        <is>
          <t>Do you provide more than five vehicles to your employees, obtain information from your employees about the</t>
        </is>
      </c>
      <c r="D120" s="8650" t="n"/>
      <c r="E120" s="344" t="n"/>
      <c r="F120" s="344" t="n"/>
      <c r="G120" s="344" t="n"/>
      <c r="H120" s="344" t="n"/>
      <c r="I120" s="344" t="n"/>
      <c r="J120" s="344" t="n"/>
      <c r="K120" s="344" t="n"/>
      <c r="L120" s="344" t="n"/>
      <c r="M120" s="344" t="n"/>
      <c r="N120" s="344" t="n"/>
      <c r="O120" s="344" t="n"/>
      <c r="P120" s="344" t="n"/>
      <c r="Q120" s="344" t="n"/>
      <c r="R120" s="344" t="n"/>
      <c r="S120" s="344" t="n"/>
      <c r="T120" s="344" t="n"/>
      <c r="U120" s="344" t="n"/>
      <c r="V120" s="344" t="n"/>
      <c r="W120" s="344" t="n"/>
      <c r="X120" s="344" t="n"/>
      <c r="Y120" s="344" t="n"/>
      <c r="Z120" s="3902" t="n"/>
      <c r="AA120" s="3902" t="n"/>
      <c r="AB120" s="344" t="n"/>
      <c r="AC120" s="1061" t="n"/>
      <c r="AD120" s="9750" t="n"/>
      <c r="AE120" s="2302" t="n"/>
      <c r="AF120" s="4941" t="n"/>
      <c r="AG120" s="12516" t="n"/>
      <c r="AH120" s="11948" t="n"/>
      <c r="AI120" s="12516" t="n"/>
      <c r="AJ120" s="11948" t="n"/>
      <c r="AK120" s="2013" t="n"/>
      <c r="AL120" s="11602" t="n"/>
      <c r="AM120" s="11602" t="n"/>
      <c r="AN120" s="11602" t="n"/>
      <c r="AV120" s="950" t="n"/>
      <c r="AW120" s="950" t="n"/>
      <c r="AX120" s="12473" t="n"/>
      <c r="BA120" s="658" t="n"/>
      <c r="BB120" s="658" t="n"/>
      <c r="BC120" s="658" t="n"/>
      <c r="BD120" s="658" t="n"/>
      <c r="BE120" s="658" t="n"/>
      <c r="BF120" s="658" t="n"/>
      <c r="BG120" s="658" t="n"/>
      <c r="BH120" s="658" t="n"/>
      <c r="BI120" s="658" t="n"/>
      <c r="BJ120" s="658" t="n"/>
    </row>
    <row r="121" ht="15.75" customFormat="1" customHeight="1" s="815">
      <c r="A121" s="2013" t="n"/>
      <c r="B121" s="4902" t="n"/>
      <c r="C121" s="2311" t="inlineStr">
        <is>
          <t>use of the vehicles, and retain the information received?</t>
        </is>
      </c>
      <c r="D121" s="8650" t="n"/>
      <c r="E121" s="8650" t="n"/>
      <c r="F121" s="8650" t="n"/>
      <c r="G121" s="344" t="n"/>
      <c r="H121" s="344" t="n"/>
      <c r="I121" s="344" t="n"/>
      <c r="J121" s="344" t="n"/>
      <c r="K121" s="344" t="n"/>
      <c r="L121" s="344" t="n"/>
      <c r="M121" s="344" t="n"/>
      <c r="N121" s="344" t="n"/>
      <c r="O121" s="344" t="n"/>
      <c r="P121" s="344" t="n"/>
      <c r="Q121" s="344" t="n"/>
      <c r="R121" s="344" t="n"/>
      <c r="S121" s="344" t="n"/>
      <c r="T121" s="344" t="n"/>
      <c r="U121" s="344" t="n"/>
      <c r="V121" s="344" t="n"/>
      <c r="W121" s="344" t="n"/>
      <c r="X121" s="344" t="n"/>
      <c r="Y121" s="344" t="n"/>
      <c r="Z121" s="344" t="n"/>
      <c r="AA121" s="344" t="n"/>
      <c r="AB121" s="344" t="n"/>
      <c r="AC121" s="1061" t="n"/>
      <c r="AD121" s="9750" t="n"/>
      <c r="AE121" s="2302" t="n"/>
      <c r="AF121" s="1401" t="inlineStr">
        <is>
          <t xml:space="preserve">.   .   .   .   .   .   .   .   .   .   .   .   .   .   .   .   .   .   .   .   .   .   .   .   .   .   .   .   .  </t>
        </is>
      </c>
      <c r="AG121" s="11728" t="n"/>
      <c r="AH121" s="11718" t="n"/>
      <c r="AI121" s="11728" t="n"/>
      <c r="AJ121" s="11718" t="n"/>
      <c r="AK121" s="2013" t="n"/>
      <c r="AL121" s="11602" t="n"/>
      <c r="AM121" s="11602" t="n"/>
      <c r="AN121" s="11602" t="n"/>
      <c r="AV121" s="950" t="n"/>
      <c r="AW121" s="950" t="n"/>
      <c r="AX121" s="12473" t="n"/>
      <c r="BA121" s="658" t="n"/>
      <c r="BB121" s="658" t="n"/>
      <c r="BC121" s="658" t="n"/>
      <c r="BD121" s="658" t="n"/>
      <c r="BE121" s="658" t="n"/>
      <c r="BF121" s="658" t="n"/>
      <c r="BG121" s="658" t="n"/>
      <c r="BH121" s="658" t="n"/>
      <c r="BI121" s="658" t="n"/>
      <c r="BJ121" s="658" t="n"/>
    </row>
    <row r="122" ht="15.75" customFormat="1" customHeight="1" s="815">
      <c r="A122" s="2013" t="n"/>
      <c r="B122" s="9988" t="n">
        <v>41</v>
      </c>
      <c r="C122" s="2311" t="inlineStr">
        <is>
          <t>Do you meet the requirements concerning qualified automobile demonstration use? See instructions</t>
        </is>
      </c>
      <c r="D122" s="8650" t="n"/>
      <c r="E122" s="8650" t="n"/>
      <c r="F122" s="8650" t="n"/>
      <c r="G122" s="344" t="n"/>
      <c r="H122" s="344" t="n"/>
      <c r="I122" s="344" t="n"/>
      <c r="J122" s="344" t="n"/>
      <c r="K122" s="344" t="n"/>
      <c r="L122" s="344" t="n"/>
      <c r="M122" s="344" t="n"/>
      <c r="N122" s="344" t="n"/>
      <c r="O122" s="344" t="n"/>
      <c r="P122" s="344" t="n"/>
      <c r="Q122" s="344" t="n"/>
      <c r="R122" s="344" t="n"/>
      <c r="S122" s="344" t="n"/>
      <c r="T122" s="344" t="n"/>
      <c r="U122" s="344" t="n"/>
      <c r="V122" s="344" t="n"/>
      <c r="W122" s="344" t="n"/>
      <c r="X122" s="344" t="n"/>
      <c r="Y122" s="344" t="n"/>
      <c r="Z122" s="344" t="n"/>
      <c r="AA122" s="344" t="n"/>
      <c r="AB122" s="7957" t="n"/>
      <c r="AC122" s="7957" t="n"/>
      <c r="AD122" s="344" t="n"/>
      <c r="AE122" s="344" t="n"/>
      <c r="AF122" s="1401" t="inlineStr">
        <is>
          <t xml:space="preserve">.   .   .   .   .   .   .   .   .  </t>
        </is>
      </c>
      <c r="AG122" s="10027" t="n"/>
      <c r="AH122" s="8007" t="n"/>
      <c r="AI122" s="10027" t="n"/>
      <c r="AJ122" s="8007" t="n"/>
      <c r="AK122" s="2013" t="n"/>
      <c r="AL122" s="11602" t="n"/>
      <c r="AM122" s="11602" t="n"/>
      <c r="AN122" s="11602" t="n"/>
      <c r="AV122" s="950" t="n"/>
      <c r="AW122" s="950" t="n"/>
      <c r="AX122" s="12473" t="n"/>
      <c r="BA122" s="658" t="n"/>
      <c r="BB122" s="658" t="n"/>
      <c r="BC122" s="658" t="n"/>
      <c r="BD122" s="658" t="n"/>
      <c r="BE122" s="658" t="n"/>
      <c r="BF122" s="658" t="n"/>
      <c r="BG122" s="658" t="n"/>
      <c r="BH122" s="658" t="n"/>
      <c r="BI122" s="658" t="n"/>
      <c r="BJ122" s="658" t="n"/>
    </row>
    <row r="123" ht="15.75" customFormat="1" customHeight="1" s="815" thickBot="1">
      <c r="A123" s="2013" t="n"/>
      <c r="B123" s="4504" t="n"/>
      <c r="C123" s="4942" t="inlineStr">
        <is>
          <t>Note: If your answer to 37, 38, 39, 40, or 41 is “Yes,” don’t complete Section B for the covered vehicles.</t>
        </is>
      </c>
      <c r="D123" s="2015" t="n"/>
      <c r="E123" s="2015" t="n"/>
      <c r="F123" s="2015" t="n"/>
      <c r="G123" s="498" t="n"/>
      <c r="H123" s="498" t="n"/>
      <c r="I123" s="498" t="n"/>
      <c r="J123" s="498" t="n"/>
      <c r="K123" s="498" t="n"/>
      <c r="L123" s="498" t="n"/>
      <c r="M123" s="498" t="n"/>
      <c r="N123" s="498" t="n"/>
      <c r="O123" s="498" t="n"/>
      <c r="P123" s="498" t="n"/>
      <c r="Q123" s="498" t="n"/>
      <c r="R123" s="498" t="n"/>
      <c r="S123" s="498" t="n"/>
      <c r="T123" s="498" t="n"/>
      <c r="U123" s="498" t="n"/>
      <c r="V123" s="498" t="n"/>
      <c r="W123" s="498" t="n"/>
      <c r="X123" s="498" t="n"/>
      <c r="Y123" s="498" t="n"/>
      <c r="Z123" s="498" t="n"/>
      <c r="AA123" s="498" t="n"/>
      <c r="AB123" s="498" t="n"/>
      <c r="AC123" s="4188" t="n"/>
      <c r="AD123" s="4943" t="n"/>
      <c r="AE123" s="4944" t="n"/>
      <c r="AF123" s="4945" t="n"/>
      <c r="AG123" s="4923" t="n"/>
      <c r="AH123" s="4897" t="n"/>
      <c r="AI123" s="4897" t="n"/>
      <c r="AJ123" s="4897" t="n"/>
      <c r="AK123" s="2013" t="n"/>
      <c r="AL123" s="11602" t="n"/>
      <c r="AM123" s="11602" t="n"/>
      <c r="AN123" s="11602" t="n"/>
      <c r="AV123" s="950" t="n"/>
      <c r="AW123" s="950" t="n"/>
      <c r="AX123" s="12473" t="n"/>
      <c r="BA123" s="658" t="n"/>
      <c r="BB123" s="658" t="n"/>
      <c r="BC123" s="658" t="n"/>
      <c r="BD123" s="658" t="n"/>
      <c r="BE123" s="658" t="n"/>
      <c r="BF123" s="658" t="n"/>
      <c r="BG123" s="658" t="n"/>
      <c r="BH123" s="658" t="n"/>
      <c r="BI123" s="658" t="n"/>
      <c r="BJ123" s="658" t="n"/>
    </row>
    <row r="124" ht="15.75" customFormat="1" customHeight="1" s="1115">
      <c r="A124" s="2290" t="n"/>
      <c r="B124" s="9775" t="inlineStr">
        <is>
          <t>Part VI</t>
        </is>
      </c>
      <c r="C124" s="8412" t="n"/>
      <c r="D124" s="4946" t="inlineStr">
        <is>
          <t>Amortization</t>
        </is>
      </c>
      <c r="E124" s="4871" t="n"/>
      <c r="F124" s="4872" t="n"/>
      <c r="G124" s="4872" t="n"/>
      <c r="H124" s="4872" t="n"/>
      <c r="I124" s="4872" t="n"/>
      <c r="J124" s="4872" t="n"/>
      <c r="K124" s="4872" t="n"/>
      <c r="L124" s="4872" t="n"/>
      <c r="M124" s="4872" t="n"/>
      <c r="N124" s="4872" t="n"/>
      <c r="O124" s="4872" t="n"/>
      <c r="P124" s="4872" t="n"/>
      <c r="Q124" s="4872" t="n"/>
      <c r="R124" s="4872" t="n"/>
      <c r="S124" s="2294" t="n"/>
      <c r="T124" s="2294" t="n"/>
      <c r="U124" s="2294" t="n"/>
      <c r="V124" s="2294" t="n"/>
      <c r="W124" s="2294" t="n"/>
      <c r="X124" s="2294" t="n"/>
      <c r="Y124" s="2294" t="n"/>
      <c r="Z124" s="2294" t="n"/>
      <c r="AA124" s="2294" t="n"/>
      <c r="AB124" s="2294" t="n"/>
      <c r="AC124" s="2294" t="n"/>
      <c r="AD124" s="2294" t="n"/>
      <c r="AE124" s="2294" t="n"/>
      <c r="AF124" s="2294" t="n"/>
      <c r="AG124" s="2294" t="n"/>
      <c r="AH124" s="2294" t="n"/>
      <c r="AI124" s="2297" t="n"/>
      <c r="AJ124" s="2297" t="n"/>
      <c r="AK124" s="2290" t="n"/>
      <c r="AL124" s="11602" t="n"/>
      <c r="AM124" s="11602" t="n"/>
      <c r="AN124" s="11602" t="n"/>
      <c r="AO124" s="2293" t="n"/>
      <c r="AV124" s="4958" t="n"/>
      <c r="AW124" s="4958" t="n"/>
      <c r="AX124" s="12501" t="n"/>
      <c r="BA124" s="658" t="n"/>
      <c r="BB124" s="658" t="n"/>
      <c r="BC124" s="658" t="n"/>
      <c r="BD124" s="658" t="n"/>
      <c r="BE124" s="658" t="n"/>
      <c r="BF124" s="658" t="n"/>
      <c r="BG124" s="658" t="n"/>
      <c r="BH124" s="658" t="n"/>
      <c r="BI124" s="658" t="n"/>
      <c r="BJ124" s="658" t="n"/>
      <c r="BK124" s="2293" t="n"/>
    </row>
    <row r="125" ht="58.5" customFormat="1" customHeight="1" s="815">
      <c r="A125" s="2013" t="n"/>
      <c r="B125" s="12534" t="inlineStr">
        <is>
          <t>(a)
Description of costs</t>
        </is>
      </c>
      <c r="C125" s="8412" t="n"/>
      <c r="D125" s="8412" t="n"/>
      <c r="E125" s="8412" t="n"/>
      <c r="F125" s="8412" t="n"/>
      <c r="G125" s="8412" t="n"/>
      <c r="H125" s="8412" t="n"/>
      <c r="I125" s="11734" t="n"/>
      <c r="J125" s="12535" t="inlineStr">
        <is>
          <t>(b)
Date amortization
begins</t>
        </is>
      </c>
      <c r="K125" s="8412" t="n"/>
      <c r="L125" s="8412" t="n"/>
      <c r="M125" s="8412" t="n"/>
      <c r="N125" s="8412" t="n"/>
      <c r="O125" s="11734" t="n"/>
      <c r="P125" s="12535" t="inlineStr">
        <is>
          <t>(c)
Amortizable amount</t>
        </is>
      </c>
      <c r="Q125" s="8412" t="n"/>
      <c r="R125" s="8412" t="n"/>
      <c r="S125" s="8412" t="n"/>
      <c r="T125" s="8412" t="n"/>
      <c r="U125" s="11734" t="n"/>
      <c r="V125" s="12535" t="inlineStr">
        <is>
          <t>(d)
Code section</t>
        </is>
      </c>
      <c r="W125" s="8412" t="n"/>
      <c r="X125" s="8412" t="n"/>
      <c r="Y125" s="11734" t="n"/>
      <c r="Z125" s="12536" t="inlineStr">
        <is>
          <t>(e)
Amortization
period or
percentage</t>
        </is>
      </c>
      <c r="AA125" s="8412" t="n"/>
      <c r="AB125" s="8412" t="n"/>
      <c r="AC125" s="11734" t="n"/>
      <c r="AD125" s="10039" t="inlineStr">
        <is>
          <t>(f)
Amortization for this year</t>
        </is>
      </c>
      <c r="AE125" s="8412" t="n"/>
      <c r="AF125" s="8412" t="n"/>
      <c r="AG125" s="8412" t="n"/>
      <c r="AH125" s="8412" t="n"/>
      <c r="AI125" s="8412" t="n"/>
      <c r="AJ125" s="8412" t="n"/>
      <c r="AK125" s="2013" t="n"/>
      <c r="AL125" s="11602" t="n"/>
      <c r="AM125" s="11602" t="n"/>
      <c r="AN125" s="11602" t="n"/>
      <c r="AV125" s="950" t="n"/>
      <c r="AW125" s="950" t="n"/>
      <c r="AX125" s="12473" t="n"/>
      <c r="BA125" s="658" t="n"/>
      <c r="BB125" s="658" t="n"/>
      <c r="BC125" s="658" t="n"/>
      <c r="BD125" s="658" t="n"/>
      <c r="BE125" s="658" t="n"/>
      <c r="BF125" s="658" t="n"/>
      <c r="BG125" s="658" t="n"/>
      <c r="BH125" s="658" t="n"/>
      <c r="BI125" s="658" t="n"/>
      <c r="BJ125" s="658" t="n"/>
    </row>
    <row r="126" ht="15.75" customFormat="1" customHeight="1" s="1115">
      <c r="A126" s="2290" t="n"/>
      <c r="B126" s="4924" t="n">
        <v>42</v>
      </c>
      <c r="C126" s="4947">
        <f>"Amortization of costs that begins during your "&amp;TaxYear&amp;" tax year (see instructions):"</f>
        <v/>
      </c>
      <c r="D126" s="4876" t="n"/>
      <c r="E126" s="4877" t="n"/>
      <c r="F126" s="4878" t="n"/>
      <c r="G126" s="4878" t="n"/>
      <c r="H126" s="4878" t="n"/>
      <c r="I126" s="4878" t="n"/>
      <c r="J126" s="4878" t="n"/>
      <c r="K126" s="4878" t="n"/>
      <c r="L126" s="4878" t="n"/>
      <c r="M126" s="4878" t="n"/>
      <c r="N126" s="4878" t="n"/>
      <c r="O126" s="4878" t="n"/>
      <c r="P126" s="4878" t="n"/>
      <c r="Q126" s="4878" t="n"/>
      <c r="R126" s="4878" t="n"/>
      <c r="S126" s="4878" t="n"/>
      <c r="T126" s="4878" t="n"/>
      <c r="U126" s="4878" t="n"/>
      <c r="V126" s="4878" t="n"/>
      <c r="W126" s="4878" t="n"/>
      <c r="X126" s="4878" t="n"/>
      <c r="Y126" s="4878" t="n"/>
      <c r="Z126" s="4878" t="n"/>
      <c r="AA126" s="4878" t="n"/>
      <c r="AB126" s="4878" t="n"/>
      <c r="AC126" s="4878" t="n"/>
      <c r="AD126" s="4878" t="n"/>
      <c r="AE126" s="4878" t="n"/>
      <c r="AF126" s="4878" t="n"/>
      <c r="AG126" s="4878" t="n"/>
      <c r="AH126" s="4878" t="n"/>
      <c r="AI126" s="4879" t="n"/>
      <c r="AJ126" s="4879" t="n"/>
      <c r="AK126" s="2290" t="n"/>
      <c r="AL126" s="11602" t="n"/>
      <c r="AM126" s="11602" t="n"/>
      <c r="AN126" s="11602" t="n"/>
      <c r="AO126" s="2293" t="n"/>
      <c r="AV126" s="4958" t="n"/>
      <c r="AW126" s="4958" t="n"/>
      <c r="AX126" s="12501" t="n"/>
      <c r="BA126" s="658" t="n"/>
      <c r="BB126" s="658" t="n"/>
      <c r="BC126" s="658" t="n"/>
      <c r="BD126" s="658" t="n"/>
      <c r="BE126" s="658" t="n"/>
      <c r="BF126" s="658" t="n"/>
      <c r="BG126" s="658" t="n"/>
      <c r="BH126" s="658" t="n"/>
      <c r="BI126" s="658" t="n"/>
      <c r="BJ126" s="658" t="n"/>
      <c r="BK126" s="2293" t="n"/>
    </row>
    <row r="127" ht="17.25" customFormat="1" customHeight="1" s="815">
      <c r="A127" s="2013" t="n"/>
      <c r="B127" s="12537" t="n"/>
      <c r="C127" s="8007" t="n"/>
      <c r="D127" s="8007" t="n"/>
      <c r="E127" s="8007" t="n"/>
      <c r="F127" s="8007" t="n"/>
      <c r="G127" s="8007" t="n"/>
      <c r="H127" s="8007" t="n"/>
      <c r="I127" s="8008" t="n"/>
      <c r="J127" s="12538" t="n"/>
      <c r="K127" s="8007" t="n"/>
      <c r="L127" s="8007" t="n"/>
      <c r="M127" s="8007" t="n"/>
      <c r="N127" s="8007" t="n"/>
      <c r="O127" s="8008" t="n"/>
      <c r="P127" s="12515" t="n"/>
      <c r="Q127" s="8007" t="n"/>
      <c r="R127" s="8007" t="n"/>
      <c r="S127" s="8007" t="n"/>
      <c r="T127" s="8007" t="n"/>
      <c r="U127" s="8008" t="n"/>
      <c r="V127" s="12516" t="n"/>
      <c r="W127" s="8007" t="n"/>
      <c r="X127" s="8007" t="n"/>
      <c r="Y127" s="8008" t="n"/>
      <c r="Z127" s="12539" t="n"/>
      <c r="AA127" s="8007" t="n"/>
      <c r="AB127" s="8007" t="n"/>
      <c r="AC127" s="8008" t="n"/>
      <c r="AD127" s="10010" t="n"/>
      <c r="AE127" s="8007" t="n"/>
      <c r="AF127" s="8007" t="n"/>
      <c r="AG127" s="8007" t="n"/>
      <c r="AH127" s="8007" t="n"/>
      <c r="AI127" s="8007" t="n"/>
      <c r="AJ127" s="8007" t="n"/>
      <c r="AK127" s="2013" t="n"/>
      <c r="AL127" s="11602" t="n"/>
      <c r="AM127" s="11602" t="n"/>
      <c r="AN127" s="11602" t="n"/>
      <c r="AV127" s="950" t="n"/>
      <c r="AW127" s="950" t="n"/>
      <c r="AX127" s="12473" t="n"/>
      <c r="BA127" s="658" t="n"/>
      <c r="BB127" s="658" t="n"/>
      <c r="BC127" s="658" t="n"/>
      <c r="BD127" s="658" t="n"/>
      <c r="BE127" s="658" t="n"/>
      <c r="BF127" s="658" t="n"/>
      <c r="BG127" s="658" t="n"/>
      <c r="BH127" s="658" t="n"/>
      <c r="BI127" s="658" t="n"/>
      <c r="BJ127" s="658" t="n"/>
    </row>
    <row r="128" ht="17.25" customFormat="1" customHeight="1" s="815">
      <c r="A128" s="2013" t="n"/>
      <c r="B128" s="12537" t="n"/>
      <c r="C128" s="8007" t="n"/>
      <c r="D128" s="8007" t="n"/>
      <c r="E128" s="8007" t="n"/>
      <c r="F128" s="8007" t="n"/>
      <c r="G128" s="8007" t="n"/>
      <c r="H128" s="8007" t="n"/>
      <c r="I128" s="8008" t="n"/>
      <c r="J128" s="12538" t="n"/>
      <c r="K128" s="8007" t="n"/>
      <c r="L128" s="8007" t="n"/>
      <c r="M128" s="8007" t="n"/>
      <c r="N128" s="8007" t="n"/>
      <c r="O128" s="8008" t="n"/>
      <c r="P128" s="12515" t="n"/>
      <c r="Q128" s="8007" t="n"/>
      <c r="R128" s="8007" t="n"/>
      <c r="S128" s="8007" t="n"/>
      <c r="T128" s="8007" t="n"/>
      <c r="U128" s="8008" t="n"/>
      <c r="V128" s="12516" t="n"/>
      <c r="W128" s="8007" t="n"/>
      <c r="X128" s="8007" t="n"/>
      <c r="Y128" s="8008" t="n"/>
      <c r="Z128" s="12540" t="n"/>
      <c r="AA128" s="8007" t="n"/>
      <c r="AB128" s="8007" t="n"/>
      <c r="AC128" s="8008" t="n"/>
      <c r="AD128" s="10010" t="n"/>
      <c r="AE128" s="8007" t="n"/>
      <c r="AF128" s="8007" t="n"/>
      <c r="AG128" s="8007" t="n"/>
      <c r="AH128" s="8007" t="n"/>
      <c r="AI128" s="8007" t="n"/>
      <c r="AJ128" s="8007" t="n"/>
      <c r="AK128" s="2013" t="n"/>
      <c r="AL128" s="11602" t="n"/>
      <c r="AM128" s="11602" t="n"/>
      <c r="AN128" s="11602" t="n"/>
      <c r="AV128" s="950" t="n"/>
      <c r="AW128" s="950" t="n"/>
      <c r="AX128" s="12473" t="n"/>
      <c r="BA128" s="658" t="n"/>
      <c r="BB128" s="658" t="n"/>
      <c r="BC128" s="658" t="n"/>
      <c r="BD128" s="658" t="n"/>
      <c r="BE128" s="658" t="n"/>
      <c r="BF128" s="658" t="n"/>
      <c r="BG128" s="658" t="n"/>
      <c r="BH128" s="658" t="n"/>
      <c r="BI128" s="658" t="n"/>
      <c r="BJ128" s="658" t="n"/>
    </row>
    <row r="129" ht="17.25" customFormat="1" customHeight="1" s="815" thickBot="1">
      <c r="A129" s="2013" t="n"/>
      <c r="B129" s="2917" t="n">
        <v>43</v>
      </c>
      <c r="C129" s="4948">
        <f>"Amortization of costs that began before your "&amp;TaxYear&amp;" tax year"</f>
        <v/>
      </c>
      <c r="D129" s="8650" t="n"/>
      <c r="E129" s="8650" t="n"/>
      <c r="F129" s="8650" t="n"/>
      <c r="G129" s="344" t="n"/>
      <c r="H129" s="344" t="n"/>
      <c r="I129" s="344" t="n"/>
      <c r="J129" s="344" t="n"/>
      <c r="K129" s="344" t="n"/>
      <c r="L129" s="344" t="n"/>
      <c r="M129" s="344" t="n"/>
      <c r="N129" s="344" t="n"/>
      <c r="O129" s="344" t="n"/>
      <c r="P129" s="344" t="n"/>
      <c r="Q129" s="344" t="n"/>
      <c r="R129" s="344" t="n"/>
      <c r="S129" s="344" t="n"/>
      <c r="T129" s="344" t="n"/>
      <c r="U129" s="344" t="n"/>
      <c r="V129" s="344" t="n"/>
      <c r="W129" s="344" t="n"/>
      <c r="X129" s="344" t="n"/>
      <c r="Y129" s="344" t="n"/>
      <c r="Z129" s="344" t="n"/>
      <c r="AA129" s="1401" t="inlineStr">
        <is>
          <t xml:space="preserve">.   .   .   .   .   .   .   .   .   .   .   .   .   .   .   .   .  </t>
        </is>
      </c>
      <c r="AB129" s="10008" t="n">
        <v>43</v>
      </c>
      <c r="AC129" s="11734" t="n"/>
      <c r="AD129" s="10010" t="n"/>
      <c r="AE129" s="8007" t="n"/>
      <c r="AF129" s="8007" t="n"/>
      <c r="AG129" s="8007" t="n"/>
      <c r="AH129" s="8007" t="n"/>
      <c r="AI129" s="8007" t="n"/>
      <c r="AJ129" s="8007" t="n"/>
      <c r="AK129" s="2013" t="n"/>
      <c r="AL129" s="11602" t="n"/>
      <c r="AM129" s="11602" t="n"/>
      <c r="AN129" s="11602" t="n"/>
      <c r="AV129" s="950" t="n"/>
      <c r="AW129" s="950" t="n"/>
      <c r="AX129" s="12473" t="n"/>
      <c r="BA129" s="658" t="n"/>
      <c r="BB129" s="658" t="n"/>
      <c r="BC129" s="658" t="n"/>
      <c r="BD129" s="658" t="n"/>
      <c r="BE129" s="658" t="n"/>
      <c r="BF129" s="658" t="n"/>
      <c r="BG129" s="658" t="n"/>
      <c r="BH129" s="658" t="n"/>
      <c r="BI129" s="658" t="n"/>
      <c r="BJ129" s="658" t="n"/>
    </row>
    <row r="130" ht="17.25" customFormat="1" customHeight="1" s="815" thickBot="1">
      <c r="A130" s="2013" t="n"/>
      <c r="B130" s="5714" t="n">
        <v>44</v>
      </c>
      <c r="C130" s="5710" t="inlineStr">
        <is>
          <t>Total. Add amounts in column (f). See the instructions for where to report</t>
        </is>
      </c>
      <c r="D130" s="5715" t="n"/>
      <c r="E130" s="5715" t="n"/>
      <c r="F130" s="5715" t="n"/>
      <c r="G130" s="2080" t="n"/>
      <c r="H130" s="2080" t="n"/>
      <c r="I130" s="2080" t="n"/>
      <c r="J130" s="2080" t="n"/>
      <c r="K130" s="2080" t="n"/>
      <c r="L130" s="2080" t="n"/>
      <c r="M130" s="2080" t="n"/>
      <c r="N130" s="2080" t="n"/>
      <c r="O130" s="2080" t="n"/>
      <c r="P130" s="2080" t="n"/>
      <c r="Q130" s="2080" t="n"/>
      <c r="R130" s="2080" t="n"/>
      <c r="S130" s="2080" t="n"/>
      <c r="T130" s="2080" t="n"/>
      <c r="U130" s="2080" t="n"/>
      <c r="V130" s="2080" t="n"/>
      <c r="W130" s="2080" t="n"/>
      <c r="X130" s="2080" t="n"/>
      <c r="Y130" s="2080" t="n"/>
      <c r="Z130" s="2080" t="n"/>
      <c r="AA130" s="4462" t="inlineStr">
        <is>
          <t xml:space="preserve">.   .   .   .   .   .   .   .   .   .   .   .  </t>
        </is>
      </c>
      <c r="AB130" s="10012" t="n">
        <v>44</v>
      </c>
      <c r="AC130" s="12541" t="n"/>
      <c r="AD130" s="10014">
        <f>IF(AM130&lt;&gt;"",ROUND(AM130,0),SUM(ROUND(AD127,0),ROUND(AD128,0),ROUND(AD129,0)))</f>
        <v/>
      </c>
      <c r="AE130" s="11822" t="n"/>
      <c r="AF130" s="11822" t="n"/>
      <c r="AG130" s="11822" t="n"/>
      <c r="AH130" s="11822" t="n"/>
      <c r="AI130" s="11822" t="n"/>
      <c r="AJ130" s="11822" t="n"/>
      <c r="AK130" s="2013" t="n"/>
      <c r="AL130" s="11602" t="n"/>
      <c r="AM130" s="1241" t="n"/>
      <c r="AN130" s="11602" t="n"/>
      <c r="AV130" s="950" t="n"/>
      <c r="AW130" s="950" t="n"/>
      <c r="AX130" s="12473" t="n"/>
      <c r="BA130" s="658" t="n"/>
      <c r="BB130" s="658" t="n"/>
      <c r="BC130" s="658" t="n"/>
      <c r="BD130" s="658" t="n"/>
      <c r="BE130" s="658" t="n"/>
      <c r="BF130" s="658" t="n"/>
      <c r="BG130" s="658" t="n"/>
      <c r="BH130" s="658" t="n"/>
      <c r="BI130" s="658" t="n"/>
      <c r="BJ130" s="658" t="n"/>
    </row>
    <row r="131" ht="18.75" customFormat="1" customHeight="1" s="815" thickTop="1">
      <c r="A131" s="2013" t="n"/>
      <c r="B131" s="4949" t="n"/>
      <c r="C131" s="11403" t="n"/>
      <c r="D131" s="11403" t="n"/>
      <c r="E131" s="11403" t="n"/>
      <c r="F131" s="11403" t="n"/>
      <c r="G131" s="11403" t="n"/>
      <c r="H131" s="11403" t="n"/>
      <c r="I131" s="11403" t="n"/>
      <c r="J131" s="11403" t="n"/>
      <c r="K131" s="11403" t="n"/>
      <c r="L131" s="11403" t="n"/>
      <c r="M131" s="11403" t="n"/>
      <c r="N131" s="11403" t="n"/>
      <c r="O131" s="11403" t="n"/>
      <c r="P131" s="11403" t="n"/>
      <c r="Q131" s="11403" t="n"/>
      <c r="R131" s="11403" t="n"/>
      <c r="S131" s="11403" t="n"/>
      <c r="T131" s="11403" t="n"/>
      <c r="U131" s="3931" t="n"/>
      <c r="V131" s="11403" t="n"/>
      <c r="W131" s="3931" t="n"/>
      <c r="X131" s="11403" t="n"/>
      <c r="Y131" s="11403" t="n"/>
      <c r="Z131" s="11403" t="n"/>
      <c r="AA131" s="11403" t="n"/>
      <c r="AB131" s="11403" t="n"/>
      <c r="AC131" s="11403" t="n"/>
      <c r="AD131" s="11403" t="n"/>
      <c r="AE131" s="11403" t="n"/>
      <c r="AF131" s="11403" t="n"/>
      <c r="AG131" s="11403" t="n"/>
      <c r="AH131" s="2052" t="inlineStr">
        <is>
          <t>Form 4562</t>
        </is>
      </c>
      <c r="AI131" s="11403" t="n"/>
      <c r="AJ131" s="2052">
        <f>"("&amp;TaxYear&amp;")"</f>
        <v/>
      </c>
      <c r="AK131" s="2013" t="n"/>
      <c r="AL131" s="11602" t="n"/>
      <c r="AM131" s="11602" t="n"/>
      <c r="AN131" s="11602" t="n"/>
      <c r="AV131" s="950" t="n"/>
      <c r="AW131" s="950" t="n"/>
      <c r="AX131" s="12473" t="n"/>
      <c r="BA131" s="658" t="n"/>
      <c r="BB131" s="658" t="n"/>
      <c r="BC131" s="658" t="n"/>
      <c r="BD131" s="658" t="n"/>
      <c r="BE131" s="658" t="n"/>
      <c r="BF131" s="658" t="n"/>
      <c r="BG131" s="658" t="n"/>
      <c r="BH131" s="658" t="n"/>
      <c r="BI131" s="658" t="n"/>
      <c r="BJ131" s="658" t="n"/>
    </row>
    <row r="132" ht="6" customHeight="1" s="7635">
      <c r="A132" s="2013" t="n"/>
      <c r="B132" s="2013" t="n"/>
      <c r="C132" s="2013" t="n"/>
      <c r="D132" s="2013" t="n"/>
      <c r="E132" s="2013" t="n"/>
      <c r="F132" s="2013" t="n"/>
      <c r="G132" s="2013" t="n"/>
      <c r="H132" s="2013" t="n"/>
      <c r="I132" s="2013" t="n"/>
      <c r="J132" s="2013" t="n"/>
      <c r="K132" s="2013" t="n"/>
      <c r="L132" s="2013" t="n"/>
      <c r="M132" s="2013" t="n"/>
      <c r="N132" s="2013" t="n"/>
      <c r="O132" s="2013" t="n"/>
      <c r="P132" s="2013" t="n"/>
      <c r="Q132" s="2013" t="n"/>
      <c r="R132" s="2013" t="n"/>
      <c r="S132" s="2013" t="n"/>
      <c r="T132" s="2013" t="n"/>
      <c r="U132" s="2013" t="n"/>
      <c r="V132" s="2013" t="n"/>
      <c r="W132" s="2013" t="n"/>
      <c r="X132" s="2013" t="n"/>
      <c r="Y132" s="2013" t="n"/>
      <c r="Z132" s="2013" t="n"/>
      <c r="AA132" s="2013" t="n"/>
      <c r="AB132" s="2013" t="n"/>
      <c r="AC132" s="2013" t="n"/>
      <c r="AD132" s="2013" t="n"/>
      <c r="AE132" s="2013" t="n"/>
      <c r="AF132" s="2013" t="n"/>
      <c r="AG132" s="2013" t="n"/>
      <c r="AH132" s="2013" t="n"/>
      <c r="AI132" s="2013" t="n"/>
      <c r="AJ132" s="2013" t="n"/>
      <c r="AK132" s="2013" t="n"/>
      <c r="AL132" s="11602" t="n"/>
      <c r="AM132" s="11602" t="n"/>
      <c r="AN132" s="11602" t="n"/>
    </row>
    <row r="133" ht="15" customHeight="1" s="7635">
      <c r="B133" s="4950" t="inlineStr">
        <is>
          <t>Depreciation Worksheet (Keep for your records.)</t>
        </is>
      </c>
      <c r="C133" s="4033" t="n"/>
      <c r="D133" s="4033" t="n"/>
      <c r="E133" s="4033" t="n"/>
      <c r="F133" s="4033" t="n"/>
      <c r="G133" s="4033" t="n"/>
      <c r="H133" s="4033" t="n"/>
      <c r="I133" s="4033" t="n"/>
      <c r="J133" s="4033" t="n"/>
      <c r="K133" s="4033" t="n"/>
      <c r="L133" s="4033" t="n"/>
      <c r="M133" s="4033" t="n"/>
      <c r="N133" s="4033" t="n"/>
      <c r="O133" s="4033" t="n"/>
      <c r="P133" s="4033" t="n"/>
      <c r="Q133" s="4033" t="n"/>
      <c r="R133" s="4033" t="n"/>
      <c r="S133" s="4033" t="n"/>
      <c r="T133" s="4033" t="n"/>
      <c r="U133" s="4033" t="n"/>
      <c r="V133" s="4033" t="n"/>
      <c r="W133" s="4033" t="n"/>
      <c r="X133" s="4033" t="n"/>
      <c r="Y133" s="4033" t="n"/>
      <c r="Z133" s="4033" t="n"/>
      <c r="AA133" s="4033" t="n"/>
      <c r="AB133" s="4033" t="n"/>
      <c r="AC133" s="4033" t="n"/>
      <c r="AD133" s="4033" t="n"/>
      <c r="AE133" s="4033" t="n"/>
      <c r="AF133" s="4033" t="n"/>
      <c r="AG133" s="4033" t="n"/>
      <c r="AH133" s="4033" t="n"/>
      <c r="AI133" s="4033" t="n"/>
      <c r="AJ133" s="4033" t="n"/>
    </row>
    <row r="134" ht="7.5" customHeight="1" s="7635">
      <c r="B134" s="11602" t="n"/>
      <c r="C134" s="11602" t="n"/>
      <c r="D134" s="11602" t="n"/>
      <c r="E134" s="11602" t="n"/>
      <c r="F134" s="413" t="n"/>
      <c r="G134" s="413" t="n"/>
      <c r="H134" s="413" t="n"/>
      <c r="I134" s="413" t="n"/>
      <c r="J134" s="413" t="n"/>
      <c r="K134" s="413" t="n"/>
      <c r="L134" s="413" t="n"/>
      <c r="M134" s="413" t="n"/>
      <c r="N134" s="413" t="n"/>
      <c r="O134" s="413" t="n"/>
      <c r="P134" s="413" t="n"/>
      <c r="Q134" s="413" t="n"/>
      <c r="R134" s="413" t="n"/>
      <c r="S134" s="413" t="n"/>
      <c r="T134" s="413" t="n"/>
      <c r="U134" s="413" t="n"/>
      <c r="V134" s="413" t="n"/>
      <c r="W134" s="413" t="n"/>
      <c r="X134" s="413" t="n"/>
      <c r="Y134" s="413" t="n"/>
      <c r="Z134" s="413" t="n"/>
      <c r="AA134" s="413" t="n"/>
      <c r="AB134" s="413" t="n"/>
      <c r="AC134" s="413" t="n"/>
      <c r="AD134" s="413" t="n"/>
      <c r="AE134" s="413" t="n"/>
      <c r="AF134" s="413" t="n"/>
      <c r="AG134" s="413" t="n"/>
      <c r="AH134" s="413" t="n"/>
      <c r="AI134" s="413" t="n"/>
      <c r="AJ134" s="413" t="n"/>
    </row>
    <row r="135" ht="22.5" customHeight="1" s="7635">
      <c r="B135" s="12542" t="inlineStr">
        <is>
          <t>Description of property</t>
        </is>
      </c>
      <c r="C135" s="7839" t="n"/>
      <c r="D135" s="7839" t="n"/>
      <c r="E135" s="7839" t="n"/>
      <c r="F135" s="7839" t="n"/>
      <c r="G135" s="7839" t="n"/>
      <c r="H135" s="7839" t="n"/>
      <c r="I135" s="10091" t="n"/>
      <c r="J135" s="11391" t="inlineStr">
        <is>
          <t>Date
Placed in Service</t>
        </is>
      </c>
      <c r="K135" s="7839" t="n"/>
      <c r="L135" s="10091" t="n"/>
      <c r="M135" s="11391" t="inlineStr">
        <is>
          <t>Cost or
Other
Basis</t>
        </is>
      </c>
      <c r="N135" s="7839" t="n"/>
      <c r="O135" s="10091" t="n"/>
      <c r="P135" s="11391" t="inlineStr">
        <is>
          <t>Business/
Investment
Use %</t>
        </is>
      </c>
      <c r="Q135" s="7839" t="n"/>
      <c r="R135" s="10091" t="n"/>
      <c r="S135" s="11391" t="inlineStr">
        <is>
          <t>Section 179
Special
Allowance,
and Other
Basis
Reductions</t>
        </is>
      </c>
      <c r="T135" s="7839" t="n"/>
      <c r="U135" s="10091" t="n"/>
      <c r="V135" s="11391" t="inlineStr">
        <is>
          <t>Depreciation Prior Years</t>
        </is>
      </c>
      <c r="W135" s="7839" t="n"/>
      <c r="X135" s="10091" t="n"/>
      <c r="Y135" s="11391" t="inlineStr">
        <is>
          <t>Method/
Convention</t>
        </is>
      </c>
      <c r="Z135" s="7839" t="n"/>
      <c r="AA135" s="10091" t="n"/>
      <c r="AB135" s="11391" t="inlineStr">
        <is>
          <t>Recovery
Period</t>
        </is>
      </c>
      <c r="AC135" s="10091" t="n"/>
      <c r="AD135" s="11391" t="inlineStr">
        <is>
          <t>Rate or 
Table %</t>
        </is>
      </c>
      <c r="AE135" s="7839" t="n"/>
      <c r="AF135" s="10091" t="n"/>
      <c r="AG135" s="11391" t="inlineStr">
        <is>
          <t>Depreciation
Deduction</t>
        </is>
      </c>
      <c r="AH135" s="7839" t="n"/>
      <c r="AI135" s="7839" t="n"/>
      <c r="AJ135" s="10091" t="n"/>
    </row>
    <row r="136" ht="22.5" customHeight="1" s="7635">
      <c r="B136" s="4772" t="n"/>
      <c r="I136" s="7636" t="n"/>
      <c r="J136" s="4772" t="n"/>
      <c r="L136" s="7636" t="n"/>
      <c r="M136" s="4772" t="n"/>
      <c r="O136" s="7636" t="n"/>
      <c r="P136" s="4772" t="n"/>
      <c r="R136" s="7636" t="n"/>
      <c r="S136" s="4772" t="n"/>
      <c r="U136" s="7636" t="n"/>
      <c r="V136" s="4772" t="n"/>
      <c r="X136" s="7636" t="n"/>
      <c r="Y136" s="4772" t="n"/>
      <c r="AA136" s="7636" t="n"/>
      <c r="AB136" s="4772" t="n"/>
      <c r="AC136" s="7636" t="n"/>
      <c r="AD136" s="4772" t="n"/>
      <c r="AF136" s="7636" t="n"/>
      <c r="AG136" s="4772" t="n"/>
      <c r="AJ136" s="7636" t="n"/>
    </row>
    <row r="137" ht="22.5" customHeight="1" s="7635">
      <c r="B137" s="3614" t="n"/>
      <c r="C137" s="7637" t="n"/>
      <c r="D137" s="7637" t="n"/>
      <c r="E137" s="7637" t="n"/>
      <c r="F137" s="7637" t="n"/>
      <c r="G137" s="7637" t="n"/>
      <c r="H137" s="7637" t="n"/>
      <c r="I137" s="7638" t="n"/>
      <c r="J137" s="3614" t="n"/>
      <c r="K137" s="7637" t="n"/>
      <c r="L137" s="7638" t="n"/>
      <c r="M137" s="3614" t="n"/>
      <c r="N137" s="7637" t="n"/>
      <c r="O137" s="7638" t="n"/>
      <c r="P137" s="3614" t="n"/>
      <c r="Q137" s="7637" t="n"/>
      <c r="R137" s="7638" t="n"/>
      <c r="S137" s="3614" t="n"/>
      <c r="T137" s="7637" t="n"/>
      <c r="U137" s="7638" t="n"/>
      <c r="V137" s="3614" t="n"/>
      <c r="W137" s="7637" t="n"/>
      <c r="X137" s="7638" t="n"/>
      <c r="Y137" s="3614" t="n"/>
      <c r="Z137" s="7637" t="n"/>
      <c r="AA137" s="7638" t="n"/>
      <c r="AB137" s="3614" t="n"/>
      <c r="AC137" s="7638" t="n"/>
      <c r="AD137" s="3614" t="n"/>
      <c r="AE137" s="7637" t="n"/>
      <c r="AF137" s="7638" t="n"/>
      <c r="AG137" s="3614" t="n"/>
      <c r="AH137" s="7637" t="n"/>
      <c r="AI137" s="7637" t="n"/>
      <c r="AJ137" s="7638" t="n"/>
    </row>
    <row r="138" ht="15" customFormat="1" customHeight="1" s="7779">
      <c r="B138" s="12543" t="n"/>
      <c r="C138" s="8007" t="n"/>
      <c r="D138" s="8007" t="n"/>
      <c r="E138" s="8007" t="n"/>
      <c r="F138" s="8007" t="n"/>
      <c r="G138" s="8007" t="n"/>
      <c r="H138" s="8007" t="n"/>
      <c r="I138" s="8008" t="n"/>
      <c r="J138" s="12544" t="n"/>
      <c r="K138" s="8007" t="n"/>
      <c r="L138" s="8008" t="n"/>
      <c r="M138" s="12545" t="n"/>
      <c r="N138" s="8007" t="n"/>
      <c r="O138" s="8008" t="n"/>
      <c r="P138" s="12546" t="n"/>
      <c r="Q138" s="8007" t="n"/>
      <c r="R138" s="8008" t="n"/>
      <c r="S138" s="12545" t="n"/>
      <c r="T138" s="8007" t="n"/>
      <c r="U138" s="8008" t="n"/>
      <c r="V138" s="12545" t="n"/>
      <c r="W138" s="8007" t="n"/>
      <c r="X138" s="8008" t="n"/>
      <c r="Y138" s="12547" t="n"/>
      <c r="Z138" s="8007" t="n"/>
      <c r="AA138" s="8008" t="n"/>
      <c r="AB138" s="12548" t="n"/>
      <c r="AC138" s="8008" t="n"/>
      <c r="AD138" s="12546" t="n"/>
      <c r="AE138" s="8007" t="n"/>
      <c r="AF138" s="8008" t="n"/>
      <c r="AG138" s="12549" t="n"/>
      <c r="AH138" s="8007" t="n"/>
      <c r="AI138" s="8007" t="n"/>
      <c r="AJ138" s="8008" t="n"/>
      <c r="AV138" s="3161" t="n"/>
      <c r="AW138" s="3161" t="n"/>
      <c r="AX138" s="12550" t="n"/>
      <c r="BA138" s="1242" t="n"/>
      <c r="BB138" s="1242" t="n"/>
      <c r="BC138" s="1242" t="n"/>
      <c r="BD138" s="1242" t="n"/>
      <c r="BE138" s="1242" t="n"/>
      <c r="BF138" s="1242" t="n"/>
      <c r="BG138" s="1242" t="n"/>
      <c r="BH138" s="1242" t="n"/>
      <c r="BI138" s="1242" t="n"/>
      <c r="BJ138" s="1242" t="n"/>
    </row>
    <row r="139" ht="15" customFormat="1" customHeight="1" s="7779">
      <c r="B139" s="12543" t="n"/>
      <c r="C139" s="8007" t="n"/>
      <c r="D139" s="8007" t="n"/>
      <c r="E139" s="8007" t="n"/>
      <c r="F139" s="8007" t="n"/>
      <c r="G139" s="8007" t="n"/>
      <c r="H139" s="8007" t="n"/>
      <c r="I139" s="8008" t="n"/>
      <c r="J139" s="12544" t="n"/>
      <c r="K139" s="8007" t="n"/>
      <c r="L139" s="8008" t="n"/>
      <c r="M139" s="12545" t="n"/>
      <c r="N139" s="8007" t="n"/>
      <c r="O139" s="8008" t="n"/>
      <c r="P139" s="12546" t="n"/>
      <c r="Q139" s="8007" t="n"/>
      <c r="R139" s="8008" t="n"/>
      <c r="S139" s="12545" t="n"/>
      <c r="T139" s="8007" t="n"/>
      <c r="U139" s="8008" t="n"/>
      <c r="V139" s="12545" t="n"/>
      <c r="W139" s="8007" t="n"/>
      <c r="X139" s="8008" t="n"/>
      <c r="Y139" s="12547" t="n"/>
      <c r="Z139" s="8007" t="n"/>
      <c r="AA139" s="8008" t="n"/>
      <c r="AB139" s="12548" t="n"/>
      <c r="AC139" s="8008" t="n"/>
      <c r="AD139" s="12546" t="n"/>
      <c r="AE139" s="8007" t="n"/>
      <c r="AF139" s="8008" t="n"/>
      <c r="AG139" s="12549" t="n"/>
      <c r="AH139" s="8007" t="n"/>
      <c r="AI139" s="8007" t="n"/>
      <c r="AJ139" s="8008" t="n"/>
      <c r="AV139" s="3161" t="n"/>
      <c r="AW139" s="3161" t="n"/>
      <c r="AX139" s="12550" t="n"/>
      <c r="BA139" s="1242" t="n"/>
      <c r="BB139" s="1242" t="n"/>
      <c r="BC139" s="1242" t="n"/>
      <c r="BD139" s="1242" t="n"/>
      <c r="BE139" s="1242" t="n"/>
      <c r="BF139" s="1242" t="n"/>
      <c r="BG139" s="1242" t="n"/>
      <c r="BH139" s="1242" t="n"/>
      <c r="BI139" s="1242" t="n"/>
      <c r="BJ139" s="1242" t="n"/>
    </row>
    <row r="140" ht="15" customFormat="1" customHeight="1" s="7779">
      <c r="B140" s="12543" t="n"/>
      <c r="C140" s="8007" t="n"/>
      <c r="D140" s="8007" t="n"/>
      <c r="E140" s="8007" t="n"/>
      <c r="F140" s="8007" t="n"/>
      <c r="G140" s="8007" t="n"/>
      <c r="H140" s="8007" t="n"/>
      <c r="I140" s="8008" t="n"/>
      <c r="J140" s="12544" t="n"/>
      <c r="K140" s="8007" t="n"/>
      <c r="L140" s="8008" t="n"/>
      <c r="M140" s="12545" t="n"/>
      <c r="N140" s="8007" t="n"/>
      <c r="O140" s="8008" t="n"/>
      <c r="P140" s="12546" t="n"/>
      <c r="Q140" s="8007" t="n"/>
      <c r="R140" s="8008" t="n"/>
      <c r="S140" s="12545" t="n"/>
      <c r="T140" s="8007" t="n"/>
      <c r="U140" s="8008" t="n"/>
      <c r="V140" s="12545" t="n"/>
      <c r="W140" s="8007" t="n"/>
      <c r="X140" s="8008" t="n"/>
      <c r="Y140" s="12547" t="n"/>
      <c r="Z140" s="8007" t="n"/>
      <c r="AA140" s="8008" t="n"/>
      <c r="AB140" s="12548" t="n"/>
      <c r="AC140" s="8008" t="n"/>
      <c r="AD140" s="12546" t="n"/>
      <c r="AE140" s="8007" t="n"/>
      <c r="AF140" s="8008" t="n"/>
      <c r="AG140" s="12549" t="n"/>
      <c r="AH140" s="8007" t="n"/>
      <c r="AI140" s="8007" t="n"/>
      <c r="AJ140" s="8008" t="n"/>
      <c r="AV140" s="3161" t="n"/>
      <c r="AW140" s="3161" t="n"/>
      <c r="AX140" s="12550" t="n"/>
      <c r="BA140" s="1242" t="n"/>
      <c r="BB140" s="1242" t="n"/>
      <c r="BC140" s="1242" t="n"/>
      <c r="BD140" s="1242" t="n"/>
      <c r="BE140" s="1242" t="n"/>
      <c r="BF140" s="1242" t="n"/>
      <c r="BG140" s="1242" t="n"/>
      <c r="BH140" s="1242" t="n"/>
      <c r="BI140" s="1242" t="n"/>
      <c r="BJ140" s="1242" t="n"/>
    </row>
    <row r="141" ht="15" customFormat="1" customHeight="1" s="7779">
      <c r="B141" s="12543" t="n"/>
      <c r="C141" s="8007" t="n"/>
      <c r="D141" s="8007" t="n"/>
      <c r="E141" s="8007" t="n"/>
      <c r="F141" s="8007" t="n"/>
      <c r="G141" s="8007" t="n"/>
      <c r="H141" s="8007" t="n"/>
      <c r="I141" s="8008" t="n"/>
      <c r="J141" s="12544" t="n"/>
      <c r="K141" s="8007" t="n"/>
      <c r="L141" s="8008" t="n"/>
      <c r="M141" s="12545" t="n"/>
      <c r="N141" s="8007" t="n"/>
      <c r="O141" s="8008" t="n"/>
      <c r="P141" s="12546" t="n"/>
      <c r="Q141" s="8007" t="n"/>
      <c r="R141" s="8008" t="n"/>
      <c r="S141" s="12545" t="n"/>
      <c r="T141" s="8007" t="n"/>
      <c r="U141" s="8008" t="n"/>
      <c r="V141" s="12545" t="n"/>
      <c r="W141" s="8007" t="n"/>
      <c r="X141" s="8008" t="n"/>
      <c r="Y141" s="12547" t="n"/>
      <c r="Z141" s="8007" t="n"/>
      <c r="AA141" s="8008" t="n"/>
      <c r="AB141" s="12548" t="n"/>
      <c r="AC141" s="8008" t="n"/>
      <c r="AD141" s="12546" t="n"/>
      <c r="AE141" s="8007" t="n"/>
      <c r="AF141" s="8008" t="n"/>
      <c r="AG141" s="12549" t="n"/>
      <c r="AH141" s="8007" t="n"/>
      <c r="AI141" s="8007" t="n"/>
      <c r="AJ141" s="8008" t="n"/>
      <c r="AV141" s="3161" t="n"/>
      <c r="AW141" s="3161" t="n"/>
      <c r="AX141" s="12550" t="n"/>
      <c r="BA141" s="1242" t="n"/>
      <c r="BB141" s="1242" t="n"/>
      <c r="BC141" s="1242" t="n"/>
      <c r="BD141" s="1242" t="n"/>
      <c r="BE141" s="1242" t="n"/>
      <c r="BF141" s="1242" t="n"/>
      <c r="BG141" s="1242" t="n"/>
      <c r="BH141" s="1242" t="n"/>
      <c r="BI141" s="1242" t="n"/>
      <c r="BJ141" s="1242" t="n"/>
    </row>
    <row r="142" ht="15" customFormat="1" customHeight="1" s="7779">
      <c r="B142" s="12543" t="n"/>
      <c r="C142" s="8007" t="n"/>
      <c r="D142" s="8007" t="n"/>
      <c r="E142" s="8007" t="n"/>
      <c r="F142" s="8007" t="n"/>
      <c r="G142" s="8007" t="n"/>
      <c r="H142" s="8007" t="n"/>
      <c r="I142" s="8008" t="n"/>
      <c r="J142" s="12544" t="n"/>
      <c r="K142" s="8007" t="n"/>
      <c r="L142" s="8008" t="n"/>
      <c r="M142" s="12545" t="n"/>
      <c r="N142" s="8007" t="n"/>
      <c r="O142" s="8008" t="n"/>
      <c r="P142" s="12546" t="n"/>
      <c r="Q142" s="8007" t="n"/>
      <c r="R142" s="8008" t="n"/>
      <c r="S142" s="12545" t="n"/>
      <c r="T142" s="8007" t="n"/>
      <c r="U142" s="8008" t="n"/>
      <c r="V142" s="12545" t="n"/>
      <c r="W142" s="8007" t="n"/>
      <c r="X142" s="8008" t="n"/>
      <c r="Y142" s="12547" t="n"/>
      <c r="Z142" s="8007" t="n"/>
      <c r="AA142" s="8008" t="n"/>
      <c r="AB142" s="12548" t="n"/>
      <c r="AC142" s="8008" t="n"/>
      <c r="AD142" s="12546" t="n"/>
      <c r="AE142" s="8007" t="n"/>
      <c r="AF142" s="8008" t="n"/>
      <c r="AG142" s="12549" t="n"/>
      <c r="AH142" s="8007" t="n"/>
      <c r="AI142" s="8007" t="n"/>
      <c r="AJ142" s="8008" t="n"/>
      <c r="AV142" s="3161" t="n"/>
      <c r="AW142" s="3161" t="n"/>
      <c r="AX142" s="12550" t="n"/>
      <c r="BA142" s="1242" t="n"/>
      <c r="BB142" s="1242" t="n"/>
      <c r="BC142" s="1242" t="n"/>
      <c r="BD142" s="1242" t="n"/>
      <c r="BE142" s="1242" t="n"/>
      <c r="BF142" s="1242" t="n"/>
      <c r="BG142" s="1242" t="n"/>
      <c r="BH142" s="1242" t="n"/>
      <c r="BI142" s="1242" t="n"/>
      <c r="BJ142" s="1242" t="n"/>
    </row>
    <row r="143" ht="15" customFormat="1" customHeight="1" s="7779">
      <c r="B143" s="12543" t="n"/>
      <c r="C143" s="8007" t="n"/>
      <c r="D143" s="8007" t="n"/>
      <c r="E143" s="8007" t="n"/>
      <c r="F143" s="8007" t="n"/>
      <c r="G143" s="8007" t="n"/>
      <c r="H143" s="8007" t="n"/>
      <c r="I143" s="8008" t="n"/>
      <c r="J143" s="12544" t="n"/>
      <c r="K143" s="8007" t="n"/>
      <c r="L143" s="8008" t="n"/>
      <c r="M143" s="12545" t="n"/>
      <c r="N143" s="8007" t="n"/>
      <c r="O143" s="8008" t="n"/>
      <c r="P143" s="12546" t="n"/>
      <c r="Q143" s="8007" t="n"/>
      <c r="R143" s="8008" t="n"/>
      <c r="S143" s="12545" t="n"/>
      <c r="T143" s="8007" t="n"/>
      <c r="U143" s="8008" t="n"/>
      <c r="V143" s="12545" t="n"/>
      <c r="W143" s="8007" t="n"/>
      <c r="X143" s="8008" t="n"/>
      <c r="Y143" s="12547" t="n"/>
      <c r="Z143" s="8007" t="n"/>
      <c r="AA143" s="8008" t="n"/>
      <c r="AB143" s="12548" t="n"/>
      <c r="AC143" s="8008" t="n"/>
      <c r="AD143" s="12546" t="n"/>
      <c r="AE143" s="8007" t="n"/>
      <c r="AF143" s="8008" t="n"/>
      <c r="AG143" s="12549" t="n"/>
      <c r="AH143" s="8007" t="n"/>
      <c r="AI143" s="8007" t="n"/>
      <c r="AJ143" s="8008" t="n"/>
      <c r="AV143" s="3161" t="n"/>
      <c r="AW143" s="3161" t="n"/>
      <c r="AX143" s="12550" t="n"/>
      <c r="BA143" s="1242" t="n"/>
      <c r="BB143" s="1242" t="n"/>
      <c r="BC143" s="1242" t="n"/>
      <c r="BD143" s="1242" t="n"/>
      <c r="BE143" s="1242" t="n"/>
      <c r="BF143" s="1242" t="n"/>
      <c r="BG143" s="1242" t="n"/>
      <c r="BH143" s="1242" t="n"/>
      <c r="BI143" s="1242" t="n"/>
      <c r="BJ143" s="1242" t="n"/>
    </row>
    <row r="144" ht="15" customFormat="1" customHeight="1" s="7779">
      <c r="B144" s="12543" t="n"/>
      <c r="C144" s="8007" t="n"/>
      <c r="D144" s="8007" t="n"/>
      <c r="E144" s="8007" t="n"/>
      <c r="F144" s="8007" t="n"/>
      <c r="G144" s="8007" t="n"/>
      <c r="H144" s="8007" t="n"/>
      <c r="I144" s="8008" t="n"/>
      <c r="J144" s="12544" t="n"/>
      <c r="K144" s="8007" t="n"/>
      <c r="L144" s="8008" t="n"/>
      <c r="M144" s="12545" t="n"/>
      <c r="N144" s="8007" t="n"/>
      <c r="O144" s="8008" t="n"/>
      <c r="P144" s="12546" t="n"/>
      <c r="Q144" s="8007" t="n"/>
      <c r="R144" s="8008" t="n"/>
      <c r="S144" s="12545" t="n"/>
      <c r="T144" s="8007" t="n"/>
      <c r="U144" s="8008" t="n"/>
      <c r="V144" s="12545" t="n"/>
      <c r="W144" s="8007" t="n"/>
      <c r="X144" s="8008" t="n"/>
      <c r="Y144" s="12547" t="n"/>
      <c r="Z144" s="8007" t="n"/>
      <c r="AA144" s="8008" t="n"/>
      <c r="AB144" s="12548" t="n"/>
      <c r="AC144" s="8008" t="n"/>
      <c r="AD144" s="12546" t="n"/>
      <c r="AE144" s="8007" t="n"/>
      <c r="AF144" s="8008" t="n"/>
      <c r="AG144" s="12549" t="n"/>
      <c r="AH144" s="8007" t="n"/>
      <c r="AI144" s="8007" t="n"/>
      <c r="AJ144" s="8008" t="n"/>
      <c r="AV144" s="3161" t="n"/>
      <c r="AW144" s="3161" t="n"/>
      <c r="AX144" s="12550" t="n"/>
      <c r="BA144" s="1242" t="n"/>
      <c r="BB144" s="1242" t="n"/>
      <c r="BC144" s="1242" t="n"/>
      <c r="BD144" s="1242" t="n"/>
      <c r="BE144" s="1242" t="n"/>
      <c r="BF144" s="1242" t="n"/>
      <c r="BG144" s="1242" t="n"/>
      <c r="BH144" s="1242" t="n"/>
      <c r="BI144" s="1242" t="n"/>
      <c r="BJ144" s="1242" t="n"/>
    </row>
    <row r="145" ht="15" customFormat="1" customHeight="1" s="7779">
      <c r="B145" s="12543" t="n"/>
      <c r="C145" s="8007" t="n"/>
      <c r="D145" s="8007" t="n"/>
      <c r="E145" s="8007" t="n"/>
      <c r="F145" s="8007" t="n"/>
      <c r="G145" s="8007" t="n"/>
      <c r="H145" s="8007" t="n"/>
      <c r="I145" s="8008" t="n"/>
      <c r="J145" s="12544" t="n"/>
      <c r="K145" s="8007" t="n"/>
      <c r="L145" s="8008" t="n"/>
      <c r="M145" s="12545" t="n"/>
      <c r="N145" s="8007" t="n"/>
      <c r="O145" s="8008" t="n"/>
      <c r="P145" s="12546" t="n"/>
      <c r="Q145" s="8007" t="n"/>
      <c r="R145" s="8008" t="n"/>
      <c r="S145" s="12545" t="n"/>
      <c r="T145" s="8007" t="n"/>
      <c r="U145" s="8008" t="n"/>
      <c r="V145" s="12545" t="n"/>
      <c r="W145" s="8007" t="n"/>
      <c r="X145" s="8008" t="n"/>
      <c r="Y145" s="12547" t="n"/>
      <c r="Z145" s="8007" t="n"/>
      <c r="AA145" s="8008" t="n"/>
      <c r="AB145" s="12548" t="n"/>
      <c r="AC145" s="8008" t="n"/>
      <c r="AD145" s="12546" t="n"/>
      <c r="AE145" s="8007" t="n"/>
      <c r="AF145" s="8008" t="n"/>
      <c r="AG145" s="12549" t="n"/>
      <c r="AH145" s="8007" t="n"/>
      <c r="AI145" s="8007" t="n"/>
      <c r="AJ145" s="8008" t="n"/>
      <c r="AV145" s="3161" t="n"/>
      <c r="AW145" s="3161" t="n"/>
      <c r="AX145" s="12550" t="n"/>
      <c r="BA145" s="1242" t="n"/>
      <c r="BB145" s="1242" t="n"/>
      <c r="BC145" s="1242" t="n"/>
      <c r="BD145" s="1242" t="n"/>
      <c r="BE145" s="1242" t="n"/>
      <c r="BF145" s="1242" t="n"/>
      <c r="BG145" s="1242" t="n"/>
      <c r="BH145" s="1242" t="n"/>
      <c r="BI145" s="1242" t="n"/>
      <c r="BJ145" s="1242" t="n"/>
    </row>
    <row r="146" ht="15" customFormat="1" customHeight="1" s="7779">
      <c r="B146" s="12543" t="n"/>
      <c r="C146" s="8007" t="n"/>
      <c r="D146" s="8007" t="n"/>
      <c r="E146" s="8007" t="n"/>
      <c r="F146" s="8007" t="n"/>
      <c r="G146" s="8007" t="n"/>
      <c r="H146" s="8007" t="n"/>
      <c r="I146" s="8008" t="n"/>
      <c r="J146" s="12544" t="n"/>
      <c r="K146" s="8007" t="n"/>
      <c r="L146" s="8008" t="n"/>
      <c r="M146" s="12545" t="n"/>
      <c r="N146" s="8007" t="n"/>
      <c r="O146" s="8008" t="n"/>
      <c r="P146" s="12546" t="n"/>
      <c r="Q146" s="8007" t="n"/>
      <c r="R146" s="8008" t="n"/>
      <c r="S146" s="12545" t="n"/>
      <c r="T146" s="8007" t="n"/>
      <c r="U146" s="8008" t="n"/>
      <c r="V146" s="12545" t="n"/>
      <c r="W146" s="8007" t="n"/>
      <c r="X146" s="8008" t="n"/>
      <c r="Y146" s="12547" t="n"/>
      <c r="Z146" s="8007" t="n"/>
      <c r="AA146" s="8008" t="n"/>
      <c r="AB146" s="12548" t="n"/>
      <c r="AC146" s="8008" t="n"/>
      <c r="AD146" s="12546" t="n"/>
      <c r="AE146" s="8007" t="n"/>
      <c r="AF146" s="8008" t="n"/>
      <c r="AG146" s="12549" t="n"/>
      <c r="AH146" s="8007" t="n"/>
      <c r="AI146" s="8007" t="n"/>
      <c r="AJ146" s="8008" t="n"/>
      <c r="AV146" s="3161" t="n"/>
      <c r="AW146" s="3161" t="n"/>
      <c r="AX146" s="12550" t="n"/>
      <c r="BA146" s="1242" t="n"/>
      <c r="BB146" s="1242" t="n"/>
      <c r="BC146" s="1242" t="n"/>
      <c r="BD146" s="1242" t="n"/>
      <c r="BE146" s="1242" t="n"/>
      <c r="BF146" s="1242" t="n"/>
      <c r="BG146" s="1242" t="n"/>
      <c r="BH146" s="1242" t="n"/>
      <c r="BI146" s="1242" t="n"/>
      <c r="BJ146" s="1242" t="n"/>
    </row>
    <row r="147" ht="15" customFormat="1" customHeight="1" s="7779">
      <c r="B147" s="12543" t="n"/>
      <c r="C147" s="8007" t="n"/>
      <c r="D147" s="8007" t="n"/>
      <c r="E147" s="8007" t="n"/>
      <c r="F147" s="8007" t="n"/>
      <c r="G147" s="8007" t="n"/>
      <c r="H147" s="8007" t="n"/>
      <c r="I147" s="8008" t="n"/>
      <c r="J147" s="12544" t="n"/>
      <c r="K147" s="8007" t="n"/>
      <c r="L147" s="8008" t="n"/>
      <c r="M147" s="12545" t="n"/>
      <c r="N147" s="8007" t="n"/>
      <c r="O147" s="8008" t="n"/>
      <c r="P147" s="12546" t="n"/>
      <c r="Q147" s="8007" t="n"/>
      <c r="R147" s="8008" t="n"/>
      <c r="S147" s="12545" t="n"/>
      <c r="T147" s="8007" t="n"/>
      <c r="U147" s="8008" t="n"/>
      <c r="V147" s="12545" t="n"/>
      <c r="W147" s="8007" t="n"/>
      <c r="X147" s="8008" t="n"/>
      <c r="Y147" s="12547" t="n"/>
      <c r="Z147" s="8007" t="n"/>
      <c r="AA147" s="8008" t="n"/>
      <c r="AB147" s="12548" t="n"/>
      <c r="AC147" s="8008" t="n"/>
      <c r="AD147" s="12546" t="n"/>
      <c r="AE147" s="8007" t="n"/>
      <c r="AF147" s="8008" t="n"/>
      <c r="AG147" s="12549" t="n"/>
      <c r="AH147" s="8007" t="n"/>
      <c r="AI147" s="8007" t="n"/>
      <c r="AJ147" s="8008" t="n"/>
      <c r="AV147" s="3161" t="n"/>
      <c r="AW147" s="3161" t="n"/>
      <c r="AX147" s="12550" t="n"/>
      <c r="BA147" s="1242" t="n"/>
      <c r="BB147" s="1242" t="n"/>
      <c r="BC147" s="1242" t="n"/>
      <c r="BD147" s="1242" t="n"/>
      <c r="BE147" s="1242" t="n"/>
      <c r="BF147" s="1242" t="n"/>
      <c r="BG147" s="1242" t="n"/>
      <c r="BH147" s="1242" t="n"/>
      <c r="BI147" s="1242" t="n"/>
      <c r="BJ147" s="1242" t="n"/>
    </row>
    <row r="148" ht="15" customFormat="1" customHeight="1" s="7779">
      <c r="B148" s="12543" t="n"/>
      <c r="C148" s="8007" t="n"/>
      <c r="D148" s="8007" t="n"/>
      <c r="E148" s="8007" t="n"/>
      <c r="F148" s="8007" t="n"/>
      <c r="G148" s="8007" t="n"/>
      <c r="H148" s="8007" t="n"/>
      <c r="I148" s="8008" t="n"/>
      <c r="J148" s="12544" t="n"/>
      <c r="K148" s="8007" t="n"/>
      <c r="L148" s="8008" t="n"/>
      <c r="M148" s="12545" t="n"/>
      <c r="N148" s="8007" t="n"/>
      <c r="O148" s="8008" t="n"/>
      <c r="P148" s="12546" t="n"/>
      <c r="Q148" s="8007" t="n"/>
      <c r="R148" s="8008" t="n"/>
      <c r="S148" s="12545" t="n"/>
      <c r="T148" s="8007" t="n"/>
      <c r="U148" s="8008" t="n"/>
      <c r="V148" s="12545" t="n"/>
      <c r="W148" s="8007" t="n"/>
      <c r="X148" s="8008" t="n"/>
      <c r="Y148" s="12547" t="n"/>
      <c r="Z148" s="8007" t="n"/>
      <c r="AA148" s="8008" t="n"/>
      <c r="AB148" s="12548" t="n"/>
      <c r="AC148" s="8008" t="n"/>
      <c r="AD148" s="12546" t="n"/>
      <c r="AE148" s="8007" t="n"/>
      <c r="AF148" s="8008" t="n"/>
      <c r="AG148" s="12549" t="n"/>
      <c r="AH148" s="8007" t="n"/>
      <c r="AI148" s="8007" t="n"/>
      <c r="AJ148" s="8008" t="n"/>
      <c r="AV148" s="3161" t="n"/>
      <c r="AW148" s="3161" t="n"/>
      <c r="AX148" s="12550" t="n"/>
      <c r="BA148" s="1242" t="n"/>
      <c r="BB148" s="1242" t="n"/>
      <c r="BC148" s="1242" t="n"/>
      <c r="BD148" s="1242" t="n"/>
      <c r="BE148" s="1242" t="n"/>
      <c r="BF148" s="1242" t="n"/>
      <c r="BG148" s="1242" t="n"/>
      <c r="BH148" s="1242" t="n"/>
      <c r="BI148" s="1242" t="n"/>
      <c r="BJ148" s="1242" t="n"/>
    </row>
    <row r="149" ht="15" customFormat="1" customHeight="1" s="7779">
      <c r="B149" s="12543" t="n"/>
      <c r="C149" s="8007" t="n"/>
      <c r="D149" s="8007" t="n"/>
      <c r="E149" s="8007" t="n"/>
      <c r="F149" s="8007" t="n"/>
      <c r="G149" s="8007" t="n"/>
      <c r="H149" s="8007" t="n"/>
      <c r="I149" s="8008" t="n"/>
      <c r="J149" s="12544" t="n"/>
      <c r="K149" s="8007" t="n"/>
      <c r="L149" s="8008" t="n"/>
      <c r="M149" s="12545" t="n"/>
      <c r="N149" s="8007" t="n"/>
      <c r="O149" s="8008" t="n"/>
      <c r="P149" s="12546" t="n"/>
      <c r="Q149" s="8007" t="n"/>
      <c r="R149" s="8008" t="n"/>
      <c r="S149" s="12545" t="n"/>
      <c r="T149" s="8007" t="n"/>
      <c r="U149" s="8008" t="n"/>
      <c r="V149" s="12545" t="n"/>
      <c r="W149" s="8007" t="n"/>
      <c r="X149" s="8008" t="n"/>
      <c r="Y149" s="12547" t="n"/>
      <c r="Z149" s="8007" t="n"/>
      <c r="AA149" s="8008" t="n"/>
      <c r="AB149" s="12548" t="n"/>
      <c r="AC149" s="8008" t="n"/>
      <c r="AD149" s="12546" t="n"/>
      <c r="AE149" s="8007" t="n"/>
      <c r="AF149" s="8008" t="n"/>
      <c r="AG149" s="12549" t="n"/>
      <c r="AH149" s="8007" t="n"/>
      <c r="AI149" s="8007" t="n"/>
      <c r="AJ149" s="8008" t="n"/>
      <c r="AV149" s="3161" t="n"/>
      <c r="AW149" s="3161" t="n"/>
      <c r="AX149" s="12550" t="n"/>
      <c r="BA149" s="1242" t="n"/>
      <c r="BB149" s="1242" t="n"/>
      <c r="BC149" s="1242" t="n"/>
      <c r="BD149" s="1242" t="n"/>
      <c r="BE149" s="1242" t="n"/>
      <c r="BF149" s="1242" t="n"/>
      <c r="BG149" s="1242" t="n"/>
      <c r="BH149" s="1242" t="n"/>
      <c r="BI149" s="1242" t="n"/>
      <c r="BJ149" s="1242" t="n"/>
    </row>
    <row r="150" ht="15" customFormat="1" customHeight="1" s="7779">
      <c r="B150" s="12543" t="n"/>
      <c r="C150" s="8007" t="n"/>
      <c r="D150" s="8007" t="n"/>
      <c r="E150" s="8007" t="n"/>
      <c r="F150" s="8007" t="n"/>
      <c r="G150" s="8007" t="n"/>
      <c r="H150" s="8007" t="n"/>
      <c r="I150" s="8008" t="n"/>
      <c r="J150" s="12544" t="n"/>
      <c r="K150" s="8007" t="n"/>
      <c r="L150" s="8008" t="n"/>
      <c r="M150" s="12545" t="n"/>
      <c r="N150" s="8007" t="n"/>
      <c r="O150" s="8008" t="n"/>
      <c r="P150" s="12546" t="n"/>
      <c r="Q150" s="8007" t="n"/>
      <c r="R150" s="8008" t="n"/>
      <c r="S150" s="12545" t="n"/>
      <c r="T150" s="8007" t="n"/>
      <c r="U150" s="8008" t="n"/>
      <c r="V150" s="12545" t="n"/>
      <c r="W150" s="8007" t="n"/>
      <c r="X150" s="8008" t="n"/>
      <c r="Y150" s="12547" t="n"/>
      <c r="Z150" s="8007" t="n"/>
      <c r="AA150" s="8008" t="n"/>
      <c r="AB150" s="12548" t="n"/>
      <c r="AC150" s="8008" t="n"/>
      <c r="AD150" s="12546" t="n"/>
      <c r="AE150" s="8007" t="n"/>
      <c r="AF150" s="8008" t="n"/>
      <c r="AG150" s="12549" t="n"/>
      <c r="AH150" s="8007" t="n"/>
      <c r="AI150" s="8007" t="n"/>
      <c r="AJ150" s="8008" t="n"/>
      <c r="AV150" s="3161" t="n"/>
      <c r="AW150" s="3161" t="n"/>
      <c r="AX150" s="12550" t="n"/>
      <c r="BA150" s="1242" t="n"/>
      <c r="BB150" s="1242" t="n"/>
      <c r="BC150" s="1242" t="n"/>
      <c r="BD150" s="1242" t="n"/>
      <c r="BE150" s="1242" t="n"/>
      <c r="BF150" s="1242" t="n"/>
      <c r="BG150" s="1242" t="n"/>
      <c r="BH150" s="1242" t="n"/>
      <c r="BI150" s="1242" t="n"/>
      <c r="BJ150" s="1242" t="n"/>
    </row>
    <row r="151" ht="15" customFormat="1" customHeight="1" s="7779">
      <c r="B151" s="12543" t="n"/>
      <c r="C151" s="8007" t="n"/>
      <c r="D151" s="8007" t="n"/>
      <c r="E151" s="8007" t="n"/>
      <c r="F151" s="8007" t="n"/>
      <c r="G151" s="8007" t="n"/>
      <c r="H151" s="8007" t="n"/>
      <c r="I151" s="8008" t="n"/>
      <c r="J151" s="12544" t="n"/>
      <c r="K151" s="8007" t="n"/>
      <c r="L151" s="8008" t="n"/>
      <c r="M151" s="12545" t="n"/>
      <c r="N151" s="8007" t="n"/>
      <c r="O151" s="8008" t="n"/>
      <c r="P151" s="12546" t="n"/>
      <c r="Q151" s="8007" t="n"/>
      <c r="R151" s="8008" t="n"/>
      <c r="S151" s="12545" t="n"/>
      <c r="T151" s="8007" t="n"/>
      <c r="U151" s="8008" t="n"/>
      <c r="V151" s="12545" t="n"/>
      <c r="W151" s="8007" t="n"/>
      <c r="X151" s="8008" t="n"/>
      <c r="Y151" s="12547" t="n"/>
      <c r="Z151" s="8007" t="n"/>
      <c r="AA151" s="8008" t="n"/>
      <c r="AB151" s="12548" t="n"/>
      <c r="AC151" s="8008" t="n"/>
      <c r="AD151" s="12546" t="n"/>
      <c r="AE151" s="8007" t="n"/>
      <c r="AF151" s="8008" t="n"/>
      <c r="AG151" s="12549" t="n"/>
      <c r="AH151" s="8007" t="n"/>
      <c r="AI151" s="8007" t="n"/>
      <c r="AJ151" s="8008" t="n"/>
      <c r="AV151" s="3161" t="n"/>
      <c r="AW151" s="3161" t="n"/>
      <c r="AX151" s="12550" t="n"/>
      <c r="BA151" s="1242" t="n"/>
      <c r="BB151" s="1242" t="n"/>
      <c r="BC151" s="1242" t="n"/>
      <c r="BD151" s="1242" t="n"/>
      <c r="BE151" s="1242" t="n"/>
      <c r="BF151" s="1242" t="n"/>
      <c r="BG151" s="1242" t="n"/>
      <c r="BH151" s="1242" t="n"/>
      <c r="BI151" s="1242" t="n"/>
      <c r="BJ151" s="1242" t="n"/>
    </row>
    <row r="152" ht="15" customFormat="1" customHeight="1" s="7779">
      <c r="B152" s="12543" t="n"/>
      <c r="C152" s="8007" t="n"/>
      <c r="D152" s="8007" t="n"/>
      <c r="E152" s="8007" t="n"/>
      <c r="F152" s="8007" t="n"/>
      <c r="G152" s="8007" t="n"/>
      <c r="H152" s="8007" t="n"/>
      <c r="I152" s="8008" t="n"/>
      <c r="J152" s="12544" t="n"/>
      <c r="K152" s="8007" t="n"/>
      <c r="L152" s="8008" t="n"/>
      <c r="M152" s="12545" t="n"/>
      <c r="N152" s="8007" t="n"/>
      <c r="O152" s="8008" t="n"/>
      <c r="P152" s="12546" t="n"/>
      <c r="Q152" s="8007" t="n"/>
      <c r="R152" s="8008" t="n"/>
      <c r="S152" s="12545" t="n"/>
      <c r="T152" s="8007" t="n"/>
      <c r="U152" s="8008" t="n"/>
      <c r="V152" s="12545" t="n"/>
      <c r="W152" s="8007" t="n"/>
      <c r="X152" s="8008" t="n"/>
      <c r="Y152" s="12547" t="n"/>
      <c r="Z152" s="8007" t="n"/>
      <c r="AA152" s="8008" t="n"/>
      <c r="AB152" s="12548" t="n"/>
      <c r="AC152" s="8008" t="n"/>
      <c r="AD152" s="12546" t="n"/>
      <c r="AE152" s="8007" t="n"/>
      <c r="AF152" s="8008" t="n"/>
      <c r="AG152" s="12549" t="n"/>
      <c r="AH152" s="8007" t="n"/>
      <c r="AI152" s="8007" t="n"/>
      <c r="AJ152" s="8008" t="n"/>
      <c r="AV152" s="3161" t="n"/>
      <c r="AW152" s="3161" t="n"/>
      <c r="AX152" s="12550" t="n"/>
      <c r="BA152" s="1242" t="n"/>
      <c r="BB152" s="1242" t="n"/>
      <c r="BC152" s="1242" t="n"/>
      <c r="BD152" s="1242" t="n"/>
      <c r="BE152" s="1242" t="n"/>
      <c r="BF152" s="1242" t="n"/>
      <c r="BG152" s="1242" t="n"/>
      <c r="BH152" s="1242" t="n"/>
      <c r="BI152" s="1242" t="n"/>
      <c r="BJ152" s="1242" t="n"/>
    </row>
    <row r="153" ht="15" customFormat="1" customHeight="1" s="7779">
      <c r="B153" s="12543" t="n"/>
      <c r="C153" s="8007" t="n"/>
      <c r="D153" s="8007" t="n"/>
      <c r="E153" s="8007" t="n"/>
      <c r="F153" s="8007" t="n"/>
      <c r="G153" s="8007" t="n"/>
      <c r="H153" s="8007" t="n"/>
      <c r="I153" s="8008" t="n"/>
      <c r="J153" s="12544" t="n"/>
      <c r="K153" s="8007" t="n"/>
      <c r="L153" s="8008" t="n"/>
      <c r="M153" s="12545" t="n"/>
      <c r="N153" s="8007" t="n"/>
      <c r="O153" s="8008" t="n"/>
      <c r="P153" s="12546" t="n"/>
      <c r="Q153" s="8007" t="n"/>
      <c r="R153" s="8008" t="n"/>
      <c r="S153" s="12545" t="n"/>
      <c r="T153" s="8007" t="n"/>
      <c r="U153" s="8008" t="n"/>
      <c r="V153" s="12545" t="n"/>
      <c r="W153" s="8007" t="n"/>
      <c r="X153" s="8008" t="n"/>
      <c r="Y153" s="12547" t="n"/>
      <c r="Z153" s="8007" t="n"/>
      <c r="AA153" s="8008" t="n"/>
      <c r="AB153" s="12548" t="n"/>
      <c r="AC153" s="8008" t="n"/>
      <c r="AD153" s="12546" t="n"/>
      <c r="AE153" s="8007" t="n"/>
      <c r="AF153" s="8008" t="n"/>
      <c r="AG153" s="12549" t="n"/>
      <c r="AH153" s="8007" t="n"/>
      <c r="AI153" s="8007" t="n"/>
      <c r="AJ153" s="8008" t="n"/>
      <c r="AV153" s="3161" t="n"/>
      <c r="AW153" s="3161" t="n"/>
      <c r="AX153" s="12550" t="n"/>
      <c r="BA153" s="1242" t="n"/>
      <c r="BB153" s="1242" t="n"/>
      <c r="BC153" s="1242" t="n"/>
      <c r="BD153" s="1242" t="n"/>
      <c r="BE153" s="1242" t="n"/>
      <c r="BF153" s="1242" t="n"/>
      <c r="BG153" s="1242" t="n"/>
      <c r="BH153" s="1242" t="n"/>
      <c r="BI153" s="1242" t="n"/>
      <c r="BJ153" s="1242" t="n"/>
    </row>
    <row r="154" ht="15" customFormat="1" customHeight="1" s="7779">
      <c r="B154" s="12543" t="n"/>
      <c r="C154" s="8007" t="n"/>
      <c r="D154" s="8007" t="n"/>
      <c r="E154" s="8007" t="n"/>
      <c r="F154" s="8007" t="n"/>
      <c r="G154" s="8007" t="n"/>
      <c r="H154" s="8007" t="n"/>
      <c r="I154" s="8008" t="n"/>
      <c r="J154" s="12544" t="n"/>
      <c r="K154" s="8007" t="n"/>
      <c r="L154" s="8008" t="n"/>
      <c r="M154" s="12545" t="n"/>
      <c r="N154" s="8007" t="n"/>
      <c r="O154" s="8008" t="n"/>
      <c r="P154" s="12546" t="n"/>
      <c r="Q154" s="8007" t="n"/>
      <c r="R154" s="8008" t="n"/>
      <c r="S154" s="12545" t="n"/>
      <c r="T154" s="8007" t="n"/>
      <c r="U154" s="8008" t="n"/>
      <c r="V154" s="12545" t="n"/>
      <c r="W154" s="8007" t="n"/>
      <c r="X154" s="8008" t="n"/>
      <c r="Y154" s="12547" t="n"/>
      <c r="Z154" s="8007" t="n"/>
      <c r="AA154" s="8008" t="n"/>
      <c r="AB154" s="12548" t="n"/>
      <c r="AC154" s="8008" t="n"/>
      <c r="AD154" s="12546" t="n"/>
      <c r="AE154" s="8007" t="n"/>
      <c r="AF154" s="8008" t="n"/>
      <c r="AG154" s="12549" t="n"/>
      <c r="AH154" s="8007" t="n"/>
      <c r="AI154" s="8007" t="n"/>
      <c r="AJ154" s="8008" t="n"/>
      <c r="AV154" s="3161" t="n"/>
      <c r="AW154" s="3161" t="n"/>
      <c r="AX154" s="12550" t="n"/>
      <c r="BA154" s="1242" t="n"/>
      <c r="BB154" s="1242" t="n"/>
      <c r="BC154" s="1242" t="n"/>
      <c r="BD154" s="1242" t="n"/>
      <c r="BE154" s="1242" t="n"/>
      <c r="BF154" s="1242" t="n"/>
      <c r="BG154" s="1242" t="n"/>
      <c r="BH154" s="1242" t="n"/>
      <c r="BI154" s="1242" t="n"/>
      <c r="BJ154" s="1242" t="n"/>
    </row>
    <row r="155" ht="15" customFormat="1" customHeight="1" s="7779">
      <c r="B155" s="12543" t="n"/>
      <c r="C155" s="8007" t="n"/>
      <c r="D155" s="8007" t="n"/>
      <c r="E155" s="8007" t="n"/>
      <c r="F155" s="8007" t="n"/>
      <c r="G155" s="8007" t="n"/>
      <c r="H155" s="8007" t="n"/>
      <c r="I155" s="8008" t="n"/>
      <c r="J155" s="12544" t="n"/>
      <c r="K155" s="8007" t="n"/>
      <c r="L155" s="8008" t="n"/>
      <c r="M155" s="12545" t="n"/>
      <c r="N155" s="8007" t="n"/>
      <c r="O155" s="8008" t="n"/>
      <c r="P155" s="12546" t="n"/>
      <c r="Q155" s="8007" t="n"/>
      <c r="R155" s="8008" t="n"/>
      <c r="S155" s="12545" t="n"/>
      <c r="T155" s="8007" t="n"/>
      <c r="U155" s="8008" t="n"/>
      <c r="V155" s="12545" t="n"/>
      <c r="W155" s="8007" t="n"/>
      <c r="X155" s="8008" t="n"/>
      <c r="Y155" s="12547" t="n"/>
      <c r="Z155" s="8007" t="n"/>
      <c r="AA155" s="8008" t="n"/>
      <c r="AB155" s="12548" t="n"/>
      <c r="AC155" s="8008" t="n"/>
      <c r="AD155" s="12546" t="n"/>
      <c r="AE155" s="8007" t="n"/>
      <c r="AF155" s="8008" t="n"/>
      <c r="AG155" s="12549" t="n"/>
      <c r="AH155" s="8007" t="n"/>
      <c r="AI155" s="8007" t="n"/>
      <c r="AJ155" s="8008" t="n"/>
      <c r="AV155" s="3161" t="n"/>
      <c r="AW155" s="3161" t="n"/>
      <c r="AX155" s="12550" t="n"/>
      <c r="BA155" s="1242" t="n"/>
      <c r="BB155" s="1242" t="n"/>
      <c r="BC155" s="1242" t="n"/>
      <c r="BD155" s="1242" t="n"/>
      <c r="BE155" s="1242" t="n"/>
      <c r="BF155" s="1242" t="n"/>
      <c r="BG155" s="1242" t="n"/>
      <c r="BH155" s="1242" t="n"/>
      <c r="BI155" s="1242" t="n"/>
      <c r="BJ155" s="1242" t="n"/>
    </row>
    <row r="156" ht="15" customFormat="1" customHeight="1" s="7779">
      <c r="B156" s="12543" t="n"/>
      <c r="C156" s="8007" t="n"/>
      <c r="D156" s="8007" t="n"/>
      <c r="E156" s="8007" t="n"/>
      <c r="F156" s="8007" t="n"/>
      <c r="G156" s="8007" t="n"/>
      <c r="H156" s="8007" t="n"/>
      <c r="I156" s="8008" t="n"/>
      <c r="J156" s="12544" t="n"/>
      <c r="K156" s="8007" t="n"/>
      <c r="L156" s="8008" t="n"/>
      <c r="M156" s="12545" t="n"/>
      <c r="N156" s="8007" t="n"/>
      <c r="O156" s="8008" t="n"/>
      <c r="P156" s="12546" t="n"/>
      <c r="Q156" s="8007" t="n"/>
      <c r="R156" s="8008" t="n"/>
      <c r="S156" s="12545" t="n"/>
      <c r="T156" s="8007" t="n"/>
      <c r="U156" s="8008" t="n"/>
      <c r="V156" s="12545" t="n"/>
      <c r="W156" s="8007" t="n"/>
      <c r="X156" s="8008" t="n"/>
      <c r="Y156" s="12547" t="n"/>
      <c r="Z156" s="8007" t="n"/>
      <c r="AA156" s="8008" t="n"/>
      <c r="AB156" s="12548" t="n"/>
      <c r="AC156" s="8008" t="n"/>
      <c r="AD156" s="12546" t="n"/>
      <c r="AE156" s="8007" t="n"/>
      <c r="AF156" s="8008" t="n"/>
      <c r="AG156" s="12549" t="n"/>
      <c r="AH156" s="8007" t="n"/>
      <c r="AI156" s="8007" t="n"/>
      <c r="AJ156" s="8008" t="n"/>
      <c r="AV156" s="3161" t="n"/>
      <c r="AW156" s="3161" t="n"/>
      <c r="AX156" s="12550" t="n"/>
      <c r="BA156" s="1242" t="n"/>
      <c r="BB156" s="1242" t="n"/>
      <c r="BC156" s="1242" t="n"/>
      <c r="BD156" s="1242" t="n"/>
      <c r="BE156" s="1242" t="n"/>
      <c r="BF156" s="1242" t="n"/>
      <c r="BG156" s="1242" t="n"/>
      <c r="BH156" s="1242" t="n"/>
      <c r="BI156" s="1242" t="n"/>
      <c r="BJ156" s="1242" t="n"/>
    </row>
    <row r="157" ht="15" customFormat="1" customHeight="1" s="7779">
      <c r="B157" s="12543" t="n"/>
      <c r="C157" s="8007" t="n"/>
      <c r="D157" s="8007" t="n"/>
      <c r="E157" s="8007" t="n"/>
      <c r="F157" s="8007" t="n"/>
      <c r="G157" s="8007" t="n"/>
      <c r="H157" s="8007" t="n"/>
      <c r="I157" s="8008" t="n"/>
      <c r="J157" s="12544" t="n"/>
      <c r="K157" s="8007" t="n"/>
      <c r="L157" s="8008" t="n"/>
      <c r="M157" s="12545" t="n"/>
      <c r="N157" s="8007" t="n"/>
      <c r="O157" s="8008" t="n"/>
      <c r="P157" s="12546" t="n"/>
      <c r="Q157" s="8007" t="n"/>
      <c r="R157" s="8008" t="n"/>
      <c r="S157" s="12545" t="n"/>
      <c r="T157" s="8007" t="n"/>
      <c r="U157" s="8008" t="n"/>
      <c r="V157" s="12545" t="n"/>
      <c r="W157" s="8007" t="n"/>
      <c r="X157" s="8008" t="n"/>
      <c r="Y157" s="12547" t="n"/>
      <c r="Z157" s="8007" t="n"/>
      <c r="AA157" s="8008" t="n"/>
      <c r="AB157" s="12548" t="n"/>
      <c r="AC157" s="8008" t="n"/>
      <c r="AD157" s="12546" t="n"/>
      <c r="AE157" s="8007" t="n"/>
      <c r="AF157" s="8008" t="n"/>
      <c r="AG157" s="12549" t="n"/>
      <c r="AH157" s="8007" t="n"/>
      <c r="AI157" s="8007" t="n"/>
      <c r="AJ157" s="8008" t="n"/>
      <c r="AV157" s="3161" t="n"/>
      <c r="AW157" s="3161" t="n"/>
      <c r="AX157" s="12550" t="n"/>
      <c r="BA157" s="1242" t="n"/>
      <c r="BB157" s="1242" t="n"/>
      <c r="BC157" s="1242" t="n"/>
      <c r="BD157" s="1242" t="n"/>
      <c r="BE157" s="1242" t="n"/>
      <c r="BF157" s="1242" t="n"/>
      <c r="BG157" s="1242" t="n"/>
      <c r="BH157" s="1242" t="n"/>
      <c r="BI157" s="1242" t="n"/>
      <c r="BJ157" s="1242" t="n"/>
    </row>
    <row r="158" ht="15" customFormat="1" customHeight="1" s="7779">
      <c r="B158" s="12543" t="n"/>
      <c r="C158" s="8007" t="n"/>
      <c r="D158" s="8007" t="n"/>
      <c r="E158" s="8007" t="n"/>
      <c r="F158" s="8007" t="n"/>
      <c r="G158" s="8007" t="n"/>
      <c r="H158" s="8007" t="n"/>
      <c r="I158" s="8008" t="n"/>
      <c r="J158" s="12544" t="n"/>
      <c r="K158" s="8007" t="n"/>
      <c r="L158" s="8008" t="n"/>
      <c r="M158" s="12545" t="n"/>
      <c r="N158" s="8007" t="n"/>
      <c r="O158" s="8008" t="n"/>
      <c r="P158" s="12546" t="n"/>
      <c r="Q158" s="8007" t="n"/>
      <c r="R158" s="8008" t="n"/>
      <c r="S158" s="12545" t="n"/>
      <c r="T158" s="8007" t="n"/>
      <c r="U158" s="8008" t="n"/>
      <c r="V158" s="12545" t="n"/>
      <c r="W158" s="8007" t="n"/>
      <c r="X158" s="8008" t="n"/>
      <c r="Y158" s="12547" t="n"/>
      <c r="Z158" s="8007" t="n"/>
      <c r="AA158" s="8008" t="n"/>
      <c r="AB158" s="12548" t="n"/>
      <c r="AC158" s="8008" t="n"/>
      <c r="AD158" s="12546" t="n"/>
      <c r="AE158" s="8007" t="n"/>
      <c r="AF158" s="8008" t="n"/>
      <c r="AG158" s="12549" t="n"/>
      <c r="AH158" s="8007" t="n"/>
      <c r="AI158" s="8007" t="n"/>
      <c r="AJ158" s="8008" t="n"/>
      <c r="AV158" s="3161" t="n"/>
      <c r="AW158" s="3161" t="n"/>
      <c r="AX158" s="12550" t="n"/>
      <c r="BA158" s="1242" t="n"/>
      <c r="BB158" s="1242" t="n"/>
      <c r="BC158" s="1242" t="n"/>
      <c r="BD158" s="1242" t="n"/>
      <c r="BE158" s="1242" t="n"/>
      <c r="BF158" s="1242" t="n"/>
      <c r="BG158" s="1242" t="n"/>
      <c r="BH158" s="1242" t="n"/>
      <c r="BI158" s="1242" t="n"/>
      <c r="BJ158" s="1242" t="n"/>
    </row>
    <row r="159" ht="15" customFormat="1" customHeight="1" s="7779">
      <c r="B159" s="12543" t="n"/>
      <c r="C159" s="8007" t="n"/>
      <c r="D159" s="8007" t="n"/>
      <c r="E159" s="8007" t="n"/>
      <c r="F159" s="8007" t="n"/>
      <c r="G159" s="8007" t="n"/>
      <c r="H159" s="8007" t="n"/>
      <c r="I159" s="8008" t="n"/>
      <c r="J159" s="12544" t="n"/>
      <c r="K159" s="8007" t="n"/>
      <c r="L159" s="8008" t="n"/>
      <c r="M159" s="12545" t="n"/>
      <c r="N159" s="8007" t="n"/>
      <c r="O159" s="8008" t="n"/>
      <c r="P159" s="12546" t="n"/>
      <c r="Q159" s="8007" t="n"/>
      <c r="R159" s="8008" t="n"/>
      <c r="S159" s="12545" t="n"/>
      <c r="T159" s="8007" t="n"/>
      <c r="U159" s="8008" t="n"/>
      <c r="V159" s="12545" t="n"/>
      <c r="W159" s="8007" t="n"/>
      <c r="X159" s="8008" t="n"/>
      <c r="Y159" s="12547" t="n"/>
      <c r="Z159" s="8007" t="n"/>
      <c r="AA159" s="8008" t="n"/>
      <c r="AB159" s="12548" t="n"/>
      <c r="AC159" s="8008" t="n"/>
      <c r="AD159" s="12546" t="n"/>
      <c r="AE159" s="8007" t="n"/>
      <c r="AF159" s="8008" t="n"/>
      <c r="AG159" s="12549" t="n"/>
      <c r="AH159" s="8007" t="n"/>
      <c r="AI159" s="8007" t="n"/>
      <c r="AJ159" s="8008" t="n"/>
      <c r="AV159" s="3161" t="n"/>
      <c r="AW159" s="3161" t="n"/>
      <c r="AX159" s="12550" t="n"/>
      <c r="BA159" s="1242" t="n"/>
      <c r="BB159" s="1242" t="n"/>
      <c r="BC159" s="1242" t="n"/>
      <c r="BD159" s="1242" t="n"/>
      <c r="BE159" s="1242" t="n"/>
      <c r="BF159" s="1242" t="n"/>
      <c r="BG159" s="1242" t="n"/>
      <c r="BH159" s="1242" t="n"/>
      <c r="BI159" s="1242" t="n"/>
      <c r="BJ159" s="1242" t="n"/>
    </row>
    <row r="160" ht="15" customFormat="1" customHeight="1" s="7779">
      <c r="B160" s="12543" t="n"/>
      <c r="C160" s="8007" t="n"/>
      <c r="D160" s="8007" t="n"/>
      <c r="E160" s="8007" t="n"/>
      <c r="F160" s="8007" t="n"/>
      <c r="G160" s="8007" t="n"/>
      <c r="H160" s="8007" t="n"/>
      <c r="I160" s="8008" t="n"/>
      <c r="J160" s="12544" t="n"/>
      <c r="K160" s="8007" t="n"/>
      <c r="L160" s="8008" t="n"/>
      <c r="M160" s="12545" t="n"/>
      <c r="N160" s="8007" t="n"/>
      <c r="O160" s="8008" t="n"/>
      <c r="P160" s="12546" t="n"/>
      <c r="Q160" s="8007" t="n"/>
      <c r="R160" s="8008" t="n"/>
      <c r="S160" s="12545" t="n"/>
      <c r="T160" s="8007" t="n"/>
      <c r="U160" s="8008" t="n"/>
      <c r="V160" s="12545" t="n"/>
      <c r="W160" s="8007" t="n"/>
      <c r="X160" s="8008" t="n"/>
      <c r="Y160" s="12547" t="n"/>
      <c r="Z160" s="8007" t="n"/>
      <c r="AA160" s="8008" t="n"/>
      <c r="AB160" s="12548" t="n"/>
      <c r="AC160" s="8008" t="n"/>
      <c r="AD160" s="12546" t="n"/>
      <c r="AE160" s="8007" t="n"/>
      <c r="AF160" s="8008" t="n"/>
      <c r="AG160" s="12549" t="n"/>
      <c r="AH160" s="8007" t="n"/>
      <c r="AI160" s="8007" t="n"/>
      <c r="AJ160" s="8008" t="n"/>
      <c r="AV160" s="3161" t="n"/>
      <c r="AW160" s="3161" t="n"/>
      <c r="AX160" s="12550" t="n"/>
      <c r="BA160" s="1242" t="n"/>
      <c r="BB160" s="1242" t="n"/>
      <c r="BC160" s="1242" t="n"/>
      <c r="BD160" s="1242" t="n"/>
      <c r="BE160" s="1242" t="n"/>
      <c r="BF160" s="1242" t="n"/>
      <c r="BG160" s="1242" t="n"/>
      <c r="BH160" s="1242" t="n"/>
      <c r="BI160" s="1242" t="n"/>
      <c r="BJ160" s="1242" t="n"/>
    </row>
    <row r="161" ht="15" customFormat="1" customHeight="1" s="7779">
      <c r="B161" s="12543" t="n"/>
      <c r="C161" s="8007" t="n"/>
      <c r="D161" s="8007" t="n"/>
      <c r="E161" s="8007" t="n"/>
      <c r="F161" s="8007" t="n"/>
      <c r="G161" s="8007" t="n"/>
      <c r="H161" s="8007" t="n"/>
      <c r="I161" s="8008" t="n"/>
      <c r="J161" s="12544" t="n"/>
      <c r="K161" s="8007" t="n"/>
      <c r="L161" s="8008" t="n"/>
      <c r="M161" s="12545" t="n"/>
      <c r="N161" s="8007" t="n"/>
      <c r="O161" s="8008" t="n"/>
      <c r="P161" s="12546" t="n"/>
      <c r="Q161" s="8007" t="n"/>
      <c r="R161" s="8008" t="n"/>
      <c r="S161" s="12545" t="n"/>
      <c r="T161" s="8007" t="n"/>
      <c r="U161" s="8008" t="n"/>
      <c r="V161" s="12545" t="n"/>
      <c r="W161" s="8007" t="n"/>
      <c r="X161" s="8008" t="n"/>
      <c r="Y161" s="12547" t="n"/>
      <c r="Z161" s="8007" t="n"/>
      <c r="AA161" s="8008" t="n"/>
      <c r="AB161" s="12548" t="n"/>
      <c r="AC161" s="8008" t="n"/>
      <c r="AD161" s="12546" t="n"/>
      <c r="AE161" s="8007" t="n"/>
      <c r="AF161" s="8008" t="n"/>
      <c r="AG161" s="12549" t="n"/>
      <c r="AH161" s="8007" t="n"/>
      <c r="AI161" s="8007" t="n"/>
      <c r="AJ161" s="8008" t="n"/>
      <c r="AV161" s="3161" t="n"/>
      <c r="AW161" s="3161" t="n"/>
      <c r="AX161" s="12550" t="n"/>
      <c r="BA161" s="1242" t="n"/>
      <c r="BB161" s="1242" t="n"/>
      <c r="BC161" s="1242" t="n"/>
      <c r="BD161" s="1242" t="n"/>
      <c r="BE161" s="1242" t="n"/>
      <c r="BF161" s="1242" t="n"/>
      <c r="BG161" s="1242" t="n"/>
      <c r="BH161" s="1242" t="n"/>
      <c r="BI161" s="1242" t="n"/>
      <c r="BJ161" s="1242" t="n"/>
    </row>
    <row r="162" ht="15" customFormat="1" customHeight="1" s="7779">
      <c r="B162" s="12543" t="n"/>
      <c r="C162" s="8007" t="n"/>
      <c r="D162" s="8007" t="n"/>
      <c r="E162" s="8007" t="n"/>
      <c r="F162" s="8007" t="n"/>
      <c r="G162" s="8007" t="n"/>
      <c r="H162" s="8007" t="n"/>
      <c r="I162" s="8008" t="n"/>
      <c r="J162" s="12544" t="n"/>
      <c r="K162" s="8007" t="n"/>
      <c r="L162" s="8008" t="n"/>
      <c r="M162" s="12545" t="n"/>
      <c r="N162" s="8007" t="n"/>
      <c r="O162" s="8008" t="n"/>
      <c r="P162" s="12546" t="n"/>
      <c r="Q162" s="8007" t="n"/>
      <c r="R162" s="8008" t="n"/>
      <c r="S162" s="12545" t="n"/>
      <c r="T162" s="8007" t="n"/>
      <c r="U162" s="8008" t="n"/>
      <c r="V162" s="12545" t="n"/>
      <c r="W162" s="8007" t="n"/>
      <c r="X162" s="8008" t="n"/>
      <c r="Y162" s="12547" t="n"/>
      <c r="Z162" s="8007" t="n"/>
      <c r="AA162" s="8008" t="n"/>
      <c r="AB162" s="12548" t="n"/>
      <c r="AC162" s="8008" t="n"/>
      <c r="AD162" s="12546" t="n"/>
      <c r="AE162" s="8007" t="n"/>
      <c r="AF162" s="8008" t="n"/>
      <c r="AG162" s="12549" t="n"/>
      <c r="AH162" s="8007" t="n"/>
      <c r="AI162" s="8007" t="n"/>
      <c r="AJ162" s="8008" t="n"/>
      <c r="AV162" s="3161" t="n"/>
      <c r="AW162" s="3161" t="n"/>
      <c r="AX162" s="12550" t="n"/>
      <c r="BA162" s="1242" t="n"/>
      <c r="BB162" s="1242" t="n"/>
      <c r="BC162" s="1242" t="n"/>
      <c r="BD162" s="1242" t="n"/>
      <c r="BE162" s="1242" t="n"/>
      <c r="BF162" s="1242" t="n"/>
      <c r="BG162" s="1242" t="n"/>
      <c r="BH162" s="1242" t="n"/>
      <c r="BI162" s="1242" t="n"/>
      <c r="BJ162" s="1242" t="n"/>
    </row>
    <row r="163" ht="15" customFormat="1" customHeight="1" s="7779">
      <c r="B163" s="12543" t="n"/>
      <c r="C163" s="8007" t="n"/>
      <c r="D163" s="8007" t="n"/>
      <c r="E163" s="8007" t="n"/>
      <c r="F163" s="8007" t="n"/>
      <c r="G163" s="8007" t="n"/>
      <c r="H163" s="8007" t="n"/>
      <c r="I163" s="8008" t="n"/>
      <c r="J163" s="12544" t="n"/>
      <c r="K163" s="8007" t="n"/>
      <c r="L163" s="8008" t="n"/>
      <c r="M163" s="12545" t="n"/>
      <c r="N163" s="8007" t="n"/>
      <c r="O163" s="8008" t="n"/>
      <c r="P163" s="12546" t="n"/>
      <c r="Q163" s="8007" t="n"/>
      <c r="R163" s="8008" t="n"/>
      <c r="S163" s="12545" t="n"/>
      <c r="T163" s="8007" t="n"/>
      <c r="U163" s="8008" t="n"/>
      <c r="V163" s="12545" t="n"/>
      <c r="W163" s="8007" t="n"/>
      <c r="X163" s="8008" t="n"/>
      <c r="Y163" s="12547" t="n"/>
      <c r="Z163" s="8007" t="n"/>
      <c r="AA163" s="8008" t="n"/>
      <c r="AB163" s="12548" t="n"/>
      <c r="AC163" s="8008" t="n"/>
      <c r="AD163" s="12546" t="n"/>
      <c r="AE163" s="8007" t="n"/>
      <c r="AF163" s="8008" t="n"/>
      <c r="AG163" s="12549" t="n"/>
      <c r="AH163" s="8007" t="n"/>
      <c r="AI163" s="8007" t="n"/>
      <c r="AJ163" s="8008" t="n"/>
      <c r="AV163" s="3161" t="n"/>
      <c r="AW163" s="3161" t="n"/>
      <c r="AX163" s="12550" t="n"/>
      <c r="BA163" s="1242" t="n"/>
      <c r="BB163" s="1242" t="n"/>
      <c r="BC163" s="1242" t="n"/>
      <c r="BD163" s="1242" t="n"/>
      <c r="BE163" s="1242" t="n"/>
      <c r="BF163" s="1242" t="n"/>
      <c r="BG163" s="1242" t="n"/>
      <c r="BH163" s="1242" t="n"/>
      <c r="BI163" s="1242" t="n"/>
      <c r="BJ163" s="1242" t="n"/>
    </row>
    <row r="164" ht="15" customFormat="1" customHeight="1" s="7779">
      <c r="B164" s="12543" t="n"/>
      <c r="C164" s="8007" t="n"/>
      <c r="D164" s="8007" t="n"/>
      <c r="E164" s="8007" t="n"/>
      <c r="F164" s="8007" t="n"/>
      <c r="G164" s="8007" t="n"/>
      <c r="H164" s="8007" t="n"/>
      <c r="I164" s="8008" t="n"/>
      <c r="J164" s="12544" t="n"/>
      <c r="K164" s="8007" t="n"/>
      <c r="L164" s="8008" t="n"/>
      <c r="M164" s="12545" t="n"/>
      <c r="N164" s="8007" t="n"/>
      <c r="O164" s="8008" t="n"/>
      <c r="P164" s="12546" t="n"/>
      <c r="Q164" s="8007" t="n"/>
      <c r="R164" s="8008" t="n"/>
      <c r="S164" s="12545" t="n"/>
      <c r="T164" s="8007" t="n"/>
      <c r="U164" s="8008" t="n"/>
      <c r="V164" s="12545" t="n"/>
      <c r="W164" s="8007" t="n"/>
      <c r="X164" s="8008" t="n"/>
      <c r="Y164" s="12547" t="n"/>
      <c r="Z164" s="8007" t="n"/>
      <c r="AA164" s="8008" t="n"/>
      <c r="AB164" s="12548" t="n"/>
      <c r="AC164" s="8008" t="n"/>
      <c r="AD164" s="12546" t="n"/>
      <c r="AE164" s="8007" t="n"/>
      <c r="AF164" s="8008" t="n"/>
      <c r="AG164" s="12549" t="n"/>
      <c r="AH164" s="8007" t="n"/>
      <c r="AI164" s="8007" t="n"/>
      <c r="AJ164" s="8008" t="n"/>
      <c r="AV164" s="3161" t="n"/>
      <c r="AW164" s="3161" t="n"/>
      <c r="AX164" s="12550" t="n"/>
      <c r="BA164" s="1242" t="n"/>
      <c r="BB164" s="1242" t="n"/>
      <c r="BC164" s="1242" t="n"/>
      <c r="BD164" s="1242" t="n"/>
      <c r="BE164" s="1242" t="n"/>
      <c r="BF164" s="1242" t="n"/>
      <c r="BG164" s="1242" t="n"/>
      <c r="BH164" s="1242" t="n"/>
      <c r="BI164" s="1242" t="n"/>
      <c r="BJ164" s="1242" t="n"/>
    </row>
    <row r="165" ht="15" customFormat="1" customHeight="1" s="7779">
      <c r="B165" s="12543" t="n"/>
      <c r="C165" s="8007" t="n"/>
      <c r="D165" s="8007" t="n"/>
      <c r="E165" s="8007" t="n"/>
      <c r="F165" s="8007" t="n"/>
      <c r="G165" s="8007" t="n"/>
      <c r="H165" s="8007" t="n"/>
      <c r="I165" s="8008" t="n"/>
      <c r="J165" s="12544" t="n"/>
      <c r="K165" s="8007" t="n"/>
      <c r="L165" s="8008" t="n"/>
      <c r="M165" s="12545" t="n"/>
      <c r="N165" s="8007" t="n"/>
      <c r="O165" s="8008" t="n"/>
      <c r="P165" s="12546" t="n"/>
      <c r="Q165" s="8007" t="n"/>
      <c r="R165" s="8008" t="n"/>
      <c r="S165" s="12545" t="n"/>
      <c r="T165" s="8007" t="n"/>
      <c r="U165" s="8008" t="n"/>
      <c r="V165" s="12545" t="n"/>
      <c r="W165" s="8007" t="n"/>
      <c r="X165" s="8008" t="n"/>
      <c r="Y165" s="12547" t="n"/>
      <c r="Z165" s="8007" t="n"/>
      <c r="AA165" s="8008" t="n"/>
      <c r="AB165" s="12548" t="n"/>
      <c r="AC165" s="8008" t="n"/>
      <c r="AD165" s="12546" t="n"/>
      <c r="AE165" s="8007" t="n"/>
      <c r="AF165" s="8008" t="n"/>
      <c r="AG165" s="12549" t="n"/>
      <c r="AH165" s="8007" t="n"/>
      <c r="AI165" s="8007" t="n"/>
      <c r="AJ165" s="8008" t="n"/>
      <c r="AV165" s="3161" t="n"/>
      <c r="AW165" s="3161" t="n"/>
      <c r="AX165" s="12550" t="n"/>
      <c r="BA165" s="1242" t="n"/>
      <c r="BB165" s="1242" t="n"/>
      <c r="BC165" s="1242" t="n"/>
      <c r="BD165" s="1242" t="n"/>
      <c r="BE165" s="1242" t="n"/>
      <c r="BF165" s="1242" t="n"/>
      <c r="BG165" s="1242" t="n"/>
      <c r="BH165" s="1242" t="n"/>
      <c r="BI165" s="1242" t="n"/>
      <c r="BJ165" s="1242" t="n"/>
    </row>
    <row r="166" ht="15" customFormat="1" customHeight="1" s="7779">
      <c r="B166" s="12543" t="n"/>
      <c r="C166" s="8007" t="n"/>
      <c r="D166" s="8007" t="n"/>
      <c r="E166" s="8007" t="n"/>
      <c r="F166" s="8007" t="n"/>
      <c r="G166" s="8007" t="n"/>
      <c r="H166" s="8007" t="n"/>
      <c r="I166" s="8008" t="n"/>
      <c r="J166" s="12544" t="n"/>
      <c r="K166" s="8007" t="n"/>
      <c r="L166" s="8008" t="n"/>
      <c r="M166" s="12545" t="n"/>
      <c r="N166" s="8007" t="n"/>
      <c r="O166" s="8008" t="n"/>
      <c r="P166" s="12546" t="n"/>
      <c r="Q166" s="8007" t="n"/>
      <c r="R166" s="8008" t="n"/>
      <c r="S166" s="12545" t="n"/>
      <c r="T166" s="8007" t="n"/>
      <c r="U166" s="8008" t="n"/>
      <c r="V166" s="12545" t="n"/>
      <c r="W166" s="8007" t="n"/>
      <c r="X166" s="8008" t="n"/>
      <c r="Y166" s="12547" t="n"/>
      <c r="Z166" s="8007" t="n"/>
      <c r="AA166" s="8008" t="n"/>
      <c r="AB166" s="12548" t="n"/>
      <c r="AC166" s="8008" t="n"/>
      <c r="AD166" s="12546" t="n"/>
      <c r="AE166" s="8007" t="n"/>
      <c r="AF166" s="8008" t="n"/>
      <c r="AG166" s="12549" t="n"/>
      <c r="AH166" s="8007" t="n"/>
      <c r="AI166" s="8007" t="n"/>
      <c r="AJ166" s="8008" t="n"/>
      <c r="AV166" s="3161" t="n"/>
      <c r="AW166" s="3161" t="n"/>
      <c r="AX166" s="12550" t="n"/>
      <c r="BA166" s="1242" t="n"/>
      <c r="BB166" s="1242" t="n"/>
      <c r="BC166" s="1242" t="n"/>
      <c r="BD166" s="1242" t="n"/>
      <c r="BE166" s="1242" t="n"/>
      <c r="BF166" s="1242" t="n"/>
      <c r="BG166" s="1242" t="n"/>
      <c r="BH166" s="1242" t="n"/>
      <c r="BI166" s="1242" t="n"/>
      <c r="BJ166" s="1242" t="n"/>
    </row>
    <row r="167" ht="15" customFormat="1" customHeight="1" s="7779">
      <c r="B167" s="12543" t="n"/>
      <c r="C167" s="8007" t="n"/>
      <c r="D167" s="8007" t="n"/>
      <c r="E167" s="8007" t="n"/>
      <c r="F167" s="8007" t="n"/>
      <c r="G167" s="8007" t="n"/>
      <c r="H167" s="8007" t="n"/>
      <c r="I167" s="8008" t="n"/>
      <c r="J167" s="12544" t="n"/>
      <c r="K167" s="8007" t="n"/>
      <c r="L167" s="8008" t="n"/>
      <c r="M167" s="12545" t="n"/>
      <c r="N167" s="8007" t="n"/>
      <c r="O167" s="8008" t="n"/>
      <c r="P167" s="12546" t="n"/>
      <c r="Q167" s="8007" t="n"/>
      <c r="R167" s="8008" t="n"/>
      <c r="S167" s="12545" t="n"/>
      <c r="T167" s="8007" t="n"/>
      <c r="U167" s="8008" t="n"/>
      <c r="V167" s="12545" t="n"/>
      <c r="W167" s="8007" t="n"/>
      <c r="X167" s="8008" t="n"/>
      <c r="Y167" s="12547" t="n"/>
      <c r="Z167" s="8007" t="n"/>
      <c r="AA167" s="8008" t="n"/>
      <c r="AB167" s="12548" t="n"/>
      <c r="AC167" s="8008" t="n"/>
      <c r="AD167" s="12546" t="n"/>
      <c r="AE167" s="8007" t="n"/>
      <c r="AF167" s="8008" t="n"/>
      <c r="AG167" s="12549" t="n"/>
      <c r="AH167" s="8007" t="n"/>
      <c r="AI167" s="8007" t="n"/>
      <c r="AJ167" s="8008" t="n"/>
      <c r="AV167" s="3161" t="n"/>
      <c r="AW167" s="3161" t="n"/>
      <c r="AX167" s="12550" t="n"/>
      <c r="BA167" s="1242" t="n"/>
      <c r="BB167" s="1242" t="n"/>
      <c r="BC167" s="1242" t="n"/>
      <c r="BD167" s="1242" t="n"/>
      <c r="BE167" s="1242" t="n"/>
      <c r="BF167" s="1242" t="n"/>
      <c r="BG167" s="1242" t="n"/>
      <c r="BH167" s="1242" t="n"/>
      <c r="BI167" s="1242" t="n"/>
      <c r="BJ167" s="1242" t="n"/>
    </row>
    <row r="168" ht="15" customFormat="1" customHeight="1" s="7779">
      <c r="B168" s="12543" t="n"/>
      <c r="C168" s="8007" t="n"/>
      <c r="D168" s="8007" t="n"/>
      <c r="E168" s="8007" t="n"/>
      <c r="F168" s="8007" t="n"/>
      <c r="G168" s="8007" t="n"/>
      <c r="H168" s="8007" t="n"/>
      <c r="I168" s="8008" t="n"/>
      <c r="J168" s="12544" t="n"/>
      <c r="K168" s="8007" t="n"/>
      <c r="L168" s="8008" t="n"/>
      <c r="M168" s="12545" t="n"/>
      <c r="N168" s="8007" t="n"/>
      <c r="O168" s="8008" t="n"/>
      <c r="P168" s="12546" t="n"/>
      <c r="Q168" s="8007" t="n"/>
      <c r="R168" s="8008" t="n"/>
      <c r="S168" s="12545" t="n"/>
      <c r="T168" s="8007" t="n"/>
      <c r="U168" s="8008" t="n"/>
      <c r="V168" s="12545" t="n"/>
      <c r="W168" s="8007" t="n"/>
      <c r="X168" s="8008" t="n"/>
      <c r="Y168" s="12547" t="n"/>
      <c r="Z168" s="8007" t="n"/>
      <c r="AA168" s="8008" t="n"/>
      <c r="AB168" s="12548" t="n"/>
      <c r="AC168" s="8008" t="n"/>
      <c r="AD168" s="12546" t="n"/>
      <c r="AE168" s="8007" t="n"/>
      <c r="AF168" s="8008" t="n"/>
      <c r="AG168" s="12549" t="n"/>
      <c r="AH168" s="8007" t="n"/>
      <c r="AI168" s="8007" t="n"/>
      <c r="AJ168" s="8008" t="n"/>
      <c r="AV168" s="3161" t="n"/>
      <c r="AW168" s="3161" t="n"/>
      <c r="AX168" s="12550" t="n"/>
      <c r="BA168" s="1242" t="n"/>
      <c r="BB168" s="1242" t="n"/>
      <c r="BC168" s="1242" t="n"/>
      <c r="BD168" s="1242" t="n"/>
      <c r="BE168" s="1242" t="n"/>
      <c r="BF168" s="1242" t="n"/>
      <c r="BG168" s="1242" t="n"/>
      <c r="BH168" s="1242" t="n"/>
      <c r="BI168" s="1242" t="n"/>
      <c r="BJ168" s="1242" t="n"/>
    </row>
  </sheetData>
  <sheetProtection selectLockedCells="0" selectUnlockedCells="0" algorithmName="SHA-512" sheet="1" objects="0" insertRows="1" insertHyperlinks="1" autoFilter="1" scenarios="0" formatColumns="0" deleteColumns="1" insertColumns="1" pivotTables="1" deleteRows="1" formatCells="0" saltValue="AcOiPgiVUHQTAg3vrLTnSw==" formatRows="0" sort="1" spinCount="100000" hashValue="HarQJU6byxtZ4ZzdoYTIid9iR2zgCz/xblY8NgwcmZheG/4v6XSWGQyNqh9Cn8EwxIXLI+N/Vz+G49Q/zYv1YA=="/>
  <mergeCells count="712">
    <mergeCell ref="B144:I144"/>
    <mergeCell ref="J151:L151"/>
    <mergeCell ref="C58:G58"/>
    <mergeCell ref="L90:O90"/>
    <mergeCell ref="AO5:AO9"/>
    <mergeCell ref="D2:G3"/>
    <mergeCell ref="V166:X166"/>
    <mergeCell ref="AD163:AF163"/>
    <mergeCell ref="Q101:T101"/>
    <mergeCell ref="B18:O18"/>
    <mergeCell ref="Y54:AC54"/>
    <mergeCell ref="AE105:AF105"/>
    <mergeCell ref="AG105:AH105"/>
    <mergeCell ref="P141:R141"/>
    <mergeCell ref="S142:U142"/>
    <mergeCell ref="M145:O145"/>
    <mergeCell ref="V168:X168"/>
    <mergeCell ref="L91:O91"/>
    <mergeCell ref="P18:U18"/>
    <mergeCell ref="AG107:AH107"/>
    <mergeCell ref="P143:R143"/>
    <mergeCell ref="J142:L142"/>
    <mergeCell ref="M147:O147"/>
    <mergeCell ref="AG159:AJ159"/>
    <mergeCell ref="P86:T86"/>
    <mergeCell ref="AD35:AJ35"/>
    <mergeCell ref="J150:L150"/>
    <mergeCell ref="AD165:AF165"/>
    <mergeCell ref="AC101:AF101"/>
    <mergeCell ref="J144:L144"/>
    <mergeCell ref="AF85:AJ85"/>
    <mergeCell ref="AD152:AF152"/>
    <mergeCell ref="S156:U156"/>
    <mergeCell ref="AG154:AJ154"/>
    <mergeCell ref="B139:I139"/>
    <mergeCell ref="S155:U155"/>
    <mergeCell ref="P159:R159"/>
    <mergeCell ref="AD30:AJ30"/>
    <mergeCell ref="AD166:AF166"/>
    <mergeCell ref="B87:E87"/>
    <mergeCell ref="P135:R137"/>
    <mergeCell ref="AG156:AJ156"/>
    <mergeCell ref="Y157:AA157"/>
    <mergeCell ref="Q99:T99"/>
    <mergeCell ref="B97:B98"/>
    <mergeCell ref="V18:AC18"/>
    <mergeCell ref="X87:Z87"/>
    <mergeCell ref="P161:R161"/>
    <mergeCell ref="AQ5:AQ9"/>
    <mergeCell ref="V17:AC17"/>
    <mergeCell ref="AB164:AC164"/>
    <mergeCell ref="P154:R154"/>
    <mergeCell ref="B150:I150"/>
    <mergeCell ref="M158:O158"/>
    <mergeCell ref="AB35:AC35"/>
    <mergeCell ref="AD125:AJ125"/>
    <mergeCell ref="Z128:AC128"/>
    <mergeCell ref="M103:P103"/>
    <mergeCell ref="B2:C2"/>
    <mergeCell ref="P156:R156"/>
    <mergeCell ref="P81:T81"/>
    <mergeCell ref="B152:I152"/>
    <mergeCell ref="M160:O160"/>
    <mergeCell ref="AD62:AJ62"/>
    <mergeCell ref="AD56:AJ56"/>
    <mergeCell ref="AD127:AJ127"/>
    <mergeCell ref="AI120:AJ121"/>
    <mergeCell ref="AB130:AC130"/>
    <mergeCell ref="M105:N105"/>
    <mergeCell ref="S150:U150"/>
    <mergeCell ref="C51:G51"/>
    <mergeCell ref="AP5:AP9"/>
    <mergeCell ref="S144:U144"/>
    <mergeCell ref="B19:O19"/>
    <mergeCell ref="V55:X55"/>
    <mergeCell ref="U81:W81"/>
    <mergeCell ref="W70:AA70"/>
    <mergeCell ref="Y57:AC57"/>
    <mergeCell ref="S145:U145"/>
    <mergeCell ref="M148:O148"/>
    <mergeCell ref="Q104:R104"/>
    <mergeCell ref="AB62:AC62"/>
    <mergeCell ref="AD49:AJ49"/>
    <mergeCell ref="B163:I163"/>
    <mergeCell ref="B138:I138"/>
    <mergeCell ref="AG162:AJ162"/>
    <mergeCell ref="V44:X44"/>
    <mergeCell ref="Y138:AA138"/>
    <mergeCell ref="AF86:AJ86"/>
    <mergeCell ref="Q106:R106"/>
    <mergeCell ref="AB64:AC64"/>
    <mergeCell ref="V142:X142"/>
    <mergeCell ref="B165:I165"/>
    <mergeCell ref="B140:I140"/>
    <mergeCell ref="B89:E89"/>
    <mergeCell ref="AD50:AJ50"/>
    <mergeCell ref="W65:AA65"/>
    <mergeCell ref="J147:L147"/>
    <mergeCell ref="AD168:AF168"/>
    <mergeCell ref="V45:X45"/>
    <mergeCell ref="AB16:AC16"/>
    <mergeCell ref="V19:AC19"/>
    <mergeCell ref="AD52:AJ52"/>
    <mergeCell ref="B40:G40"/>
    <mergeCell ref="S163:U163"/>
    <mergeCell ref="AD135:AF137"/>
    <mergeCell ref="P162:R162"/>
    <mergeCell ref="M166:O166"/>
    <mergeCell ref="AG143:AJ143"/>
    <mergeCell ref="AC106:AD106"/>
    <mergeCell ref="I87:J87"/>
    <mergeCell ref="V139:X139"/>
    <mergeCell ref="M159:O159"/>
    <mergeCell ref="P164:R164"/>
    <mergeCell ref="AG116:AH116"/>
    <mergeCell ref="J163:L163"/>
    <mergeCell ref="AB11:AC11"/>
    <mergeCell ref="B28:C28"/>
    <mergeCell ref="S44:U44"/>
    <mergeCell ref="M135:O137"/>
    <mergeCell ref="AD146:AF146"/>
    <mergeCell ref="M167:O167"/>
    <mergeCell ref="Y45:AC45"/>
    <mergeCell ref="M161:O161"/>
    <mergeCell ref="B158:I158"/>
    <mergeCell ref="J165:L165"/>
    <mergeCell ref="AD128:AJ128"/>
    <mergeCell ref="V42:X42"/>
    <mergeCell ref="AC97:AF97"/>
    <mergeCell ref="S104:T104"/>
    <mergeCell ref="B160:I160"/>
    <mergeCell ref="AD57:AJ57"/>
    <mergeCell ref="AA92:AE92"/>
    <mergeCell ref="S106:T106"/>
    <mergeCell ref="J166:L166"/>
    <mergeCell ref="Y42:AC42"/>
    <mergeCell ref="B153:I153"/>
    <mergeCell ref="AA105:AB105"/>
    <mergeCell ref="AC98:AF98"/>
    <mergeCell ref="S105:T105"/>
    <mergeCell ref="S160:U160"/>
    <mergeCell ref="H55:L55"/>
    <mergeCell ref="S49:U49"/>
    <mergeCell ref="B85:E85"/>
    <mergeCell ref="Y58:AC58"/>
    <mergeCell ref="AA87:AE87"/>
    <mergeCell ref="P150:R150"/>
    <mergeCell ref="X85:Z85"/>
    <mergeCell ref="C54:G54"/>
    <mergeCell ref="Y140:AA140"/>
    <mergeCell ref="C41:G41"/>
    <mergeCell ref="AB8:AJ8"/>
    <mergeCell ref="AV5:AV9"/>
    <mergeCell ref="AX5:AX9"/>
    <mergeCell ref="P152:R152"/>
    <mergeCell ref="B148:I148"/>
    <mergeCell ref="H52:L52"/>
    <mergeCell ref="C56:G56"/>
    <mergeCell ref="C43:G43"/>
    <mergeCell ref="M155:O155"/>
    <mergeCell ref="V47:X47"/>
    <mergeCell ref="L87:O87"/>
    <mergeCell ref="Y141:AA141"/>
    <mergeCell ref="V145:X145"/>
    <mergeCell ref="W26:AC26"/>
    <mergeCell ref="B143:I143"/>
    <mergeCell ref="L89:O89"/>
    <mergeCell ref="Y143:AA143"/>
    <mergeCell ref="V147:X147"/>
    <mergeCell ref="M52:R52"/>
    <mergeCell ref="V48:X48"/>
    <mergeCell ref="S52:U52"/>
    <mergeCell ref="J127:O127"/>
    <mergeCell ref="AB146:AC146"/>
    <mergeCell ref="AC103:AF103"/>
    <mergeCell ref="V140:X140"/>
    <mergeCell ref="U103:X103"/>
    <mergeCell ref="S166:U166"/>
    <mergeCell ref="AW5:AW9"/>
    <mergeCell ref="H43:L43"/>
    <mergeCell ref="AD164:AF164"/>
    <mergeCell ref="F85:H85"/>
    <mergeCell ref="AG119:AH119"/>
    <mergeCell ref="B159:I159"/>
    <mergeCell ref="AI119:AJ119"/>
    <mergeCell ref="Y159:AA159"/>
    <mergeCell ref="B135:I137"/>
    <mergeCell ref="Y153:AA153"/>
    <mergeCell ref="Y89:Z89"/>
    <mergeCell ref="U105:V105"/>
    <mergeCell ref="B167:I167"/>
    <mergeCell ref="M164:O164"/>
    <mergeCell ref="B161:I161"/>
    <mergeCell ref="J168:L168"/>
    <mergeCell ref="B91:E91"/>
    <mergeCell ref="AD58:AJ58"/>
    <mergeCell ref="C44:G44"/>
    <mergeCell ref="S107:T107"/>
    <mergeCell ref="U107:V107"/>
    <mergeCell ref="Y154:AA154"/>
    <mergeCell ref="M57:R57"/>
    <mergeCell ref="S157:U157"/>
    <mergeCell ref="V158:X158"/>
    <mergeCell ref="AD5:AG5"/>
    <mergeCell ref="B162:I162"/>
    <mergeCell ref="AG164:AJ164"/>
    <mergeCell ref="S50:U50"/>
    <mergeCell ref="B86:E86"/>
    <mergeCell ref="V160:X160"/>
    <mergeCell ref="X86:Z86"/>
    <mergeCell ref="AB13:AC13"/>
    <mergeCell ref="AD6:AG6"/>
    <mergeCell ref="AD142:AF142"/>
    <mergeCell ref="C57:G57"/>
    <mergeCell ref="AG146:AJ146"/>
    <mergeCell ref="C42:G42"/>
    <mergeCell ref="I86:J86"/>
    <mergeCell ref="C106:L106"/>
    <mergeCell ref="V125:Y125"/>
    <mergeCell ref="Y149:AA149"/>
    <mergeCell ref="F91:H91"/>
    <mergeCell ref="V148:X148"/>
    <mergeCell ref="AD139:AF139"/>
    <mergeCell ref="S152:U152"/>
    <mergeCell ref="H40:L40"/>
    <mergeCell ref="P125:U125"/>
    <mergeCell ref="V54:X54"/>
    <mergeCell ref="J128:O128"/>
    <mergeCell ref="AB25:AC25"/>
    <mergeCell ref="M45:R45"/>
    <mergeCell ref="V41:X41"/>
    <mergeCell ref="H51:L51"/>
    <mergeCell ref="M42:R42"/>
    <mergeCell ref="V146:X146"/>
    <mergeCell ref="AD48:AJ48"/>
    <mergeCell ref="P146:R146"/>
    <mergeCell ref="J149:L149"/>
    <mergeCell ref="AB22:AC22"/>
    <mergeCell ref="S55:U55"/>
    <mergeCell ref="AB155:AC155"/>
    <mergeCell ref="AB149:AC149"/>
    <mergeCell ref="M47:R47"/>
    <mergeCell ref="S147:U147"/>
    <mergeCell ref="Q97:T97"/>
    <mergeCell ref="Y90:Z90"/>
    <mergeCell ref="AB151:AC151"/>
    <mergeCell ref="I81:K81"/>
    <mergeCell ref="AG122:AH122"/>
    <mergeCell ref="AI122:AJ122"/>
    <mergeCell ref="Y162:AA162"/>
    <mergeCell ref="AA89:AE89"/>
    <mergeCell ref="I2:AB3"/>
    <mergeCell ref="AI105:AJ105"/>
    <mergeCell ref="M44:R44"/>
    <mergeCell ref="AC105:AD105"/>
    <mergeCell ref="B164:I164"/>
    <mergeCell ref="V159:X159"/>
    <mergeCell ref="Y164:AA164"/>
    <mergeCell ref="S58:U58"/>
    <mergeCell ref="AI107:AJ107"/>
    <mergeCell ref="V135:X137"/>
    <mergeCell ref="L85:O85"/>
    <mergeCell ref="F86:H86"/>
    <mergeCell ref="Y99:AB99"/>
    <mergeCell ref="M138:O138"/>
    <mergeCell ref="V161:X161"/>
    <mergeCell ref="AB15:AC15"/>
    <mergeCell ref="AY5:AY9"/>
    <mergeCell ref="C17:O17"/>
    <mergeCell ref="Y101:AB101"/>
    <mergeCell ref="M140:O140"/>
    <mergeCell ref="B71:C71"/>
    <mergeCell ref="F81:H81"/>
    <mergeCell ref="Y155:AA155"/>
    <mergeCell ref="AD145:AF145"/>
    <mergeCell ref="H46:L46"/>
    <mergeCell ref="Y44:AC44"/>
    <mergeCell ref="C50:G50"/>
    <mergeCell ref="AD21:AJ21"/>
    <mergeCell ref="S141:U141"/>
    <mergeCell ref="J139:L139"/>
    <mergeCell ref="J125:O125"/>
    <mergeCell ref="AB145:AC145"/>
    <mergeCell ref="AD147:AF147"/>
    <mergeCell ref="AD23:AJ23"/>
    <mergeCell ref="J138:L138"/>
    <mergeCell ref="AG149:AJ149"/>
    <mergeCell ref="Y150:AA150"/>
    <mergeCell ref="M50:R50"/>
    <mergeCell ref="V43:X43"/>
    <mergeCell ref="Q103:T103"/>
    <mergeCell ref="Y165:AA165"/>
    <mergeCell ref="B127:I127"/>
    <mergeCell ref="AB157:AC157"/>
    <mergeCell ref="AG151:AJ151"/>
    <mergeCell ref="Y152:AA152"/>
    <mergeCell ref="AD148:AF148"/>
    <mergeCell ref="S46:U46"/>
    <mergeCell ref="M55:R55"/>
    <mergeCell ref="B124:C124"/>
    <mergeCell ref="P128:U128"/>
    <mergeCell ref="M48:R48"/>
    <mergeCell ref="AC2:AJ2"/>
    <mergeCell ref="S48:U48"/>
    <mergeCell ref="AG120:AH121"/>
    <mergeCell ref="P149:R149"/>
    <mergeCell ref="M153:O153"/>
    <mergeCell ref="J152:L152"/>
    <mergeCell ref="Q98:T98"/>
    <mergeCell ref="Y91:Z91"/>
    <mergeCell ref="AB30:AC30"/>
    <mergeCell ref="AB152:AC152"/>
    <mergeCell ref="Y47:AC47"/>
    <mergeCell ref="V151:X151"/>
    <mergeCell ref="P151:R151"/>
    <mergeCell ref="Y106:Z106"/>
    <mergeCell ref="AB29:AC29"/>
    <mergeCell ref="AA90:AE90"/>
    <mergeCell ref="V167:X167"/>
    <mergeCell ref="C104:L105"/>
    <mergeCell ref="AD158:AF158"/>
    <mergeCell ref="P17:U17"/>
    <mergeCell ref="AD160:AF160"/>
    <mergeCell ref="AD42:AJ42"/>
    <mergeCell ref="L86:O86"/>
    <mergeCell ref="P19:U19"/>
    <mergeCell ref="AG115:AH115"/>
    <mergeCell ref="AD159:AF159"/>
    <mergeCell ref="S139:U139"/>
    <mergeCell ref="Y163:AA163"/>
    <mergeCell ref="V162:X162"/>
    <mergeCell ref="Y50:AC50"/>
    <mergeCell ref="AG99:AJ99"/>
    <mergeCell ref="S138:U138"/>
    <mergeCell ref="M141:O141"/>
    <mergeCell ref="P142:R142"/>
    <mergeCell ref="J145:L145"/>
    <mergeCell ref="V164:X164"/>
    <mergeCell ref="S168:U168"/>
    <mergeCell ref="S51:U51"/>
    <mergeCell ref="AG139:AJ139"/>
    <mergeCell ref="Y52:AC52"/>
    <mergeCell ref="S140:U140"/>
    <mergeCell ref="S167:U167"/>
    <mergeCell ref="M143:O143"/>
    <mergeCell ref="P144:R144"/>
    <mergeCell ref="AG155:AJ155"/>
    <mergeCell ref="AA83:AE83"/>
    <mergeCell ref="P87:T87"/>
    <mergeCell ref="AD31:AJ31"/>
    <mergeCell ref="Y104:Z104"/>
    <mergeCell ref="AA104:AB104"/>
    <mergeCell ref="J140:L140"/>
    <mergeCell ref="AG157:AJ157"/>
    <mergeCell ref="AF81:AJ81"/>
    <mergeCell ref="AA85:AE85"/>
    <mergeCell ref="S165:U165"/>
    <mergeCell ref="P89:T89"/>
    <mergeCell ref="AG101:AJ101"/>
    <mergeCell ref="AG150:AJ150"/>
    <mergeCell ref="AA106:AB106"/>
    <mergeCell ref="V155:X155"/>
    <mergeCell ref="AB148:AC148"/>
    <mergeCell ref="AD32:AJ32"/>
    <mergeCell ref="P155:R155"/>
    <mergeCell ref="I89:J89"/>
    <mergeCell ref="AG165:AJ165"/>
    <mergeCell ref="AG152:AJ152"/>
    <mergeCell ref="V157:X157"/>
    <mergeCell ref="P157:R157"/>
    <mergeCell ref="U87:W87"/>
    <mergeCell ref="Y168:AA168"/>
    <mergeCell ref="Y97:AB97"/>
    <mergeCell ref="B61:C61"/>
    <mergeCell ref="M154:O154"/>
    <mergeCell ref="U89:W89"/>
    <mergeCell ref="J158:L158"/>
    <mergeCell ref="AB31:AC31"/>
    <mergeCell ref="AB158:AC158"/>
    <mergeCell ref="S162:U162"/>
    <mergeCell ref="P165:R165"/>
    <mergeCell ref="Y40:AC40"/>
    <mergeCell ref="M156:O156"/>
    <mergeCell ref="J160:L160"/>
    <mergeCell ref="Y105:Z105"/>
    <mergeCell ref="AB166:AC166"/>
    <mergeCell ref="AD44:AJ44"/>
    <mergeCell ref="J159:L159"/>
    <mergeCell ref="AG106:AH106"/>
    <mergeCell ref="B146:I146"/>
    <mergeCell ref="J153:L153"/>
    <mergeCell ref="AI106:AJ106"/>
    <mergeCell ref="AD167:AF167"/>
    <mergeCell ref="J135:L137"/>
    <mergeCell ref="AD161:AF161"/>
    <mergeCell ref="M99:P99"/>
    <mergeCell ref="V127:Y127"/>
    <mergeCell ref="B104:B105"/>
    <mergeCell ref="H48:L48"/>
    <mergeCell ref="S42:U42"/>
    <mergeCell ref="AD45:AJ45"/>
    <mergeCell ref="AT5:AT9"/>
    <mergeCell ref="M54:R54"/>
    <mergeCell ref="V128:Y128"/>
    <mergeCell ref="AA82:AE82"/>
    <mergeCell ref="B3:C3"/>
    <mergeCell ref="AD22:AJ22"/>
    <mergeCell ref="P145:R145"/>
    <mergeCell ref="W68:AA68"/>
    <mergeCell ref="B141:I141"/>
    <mergeCell ref="J148:L148"/>
    <mergeCell ref="AB63:AC63"/>
    <mergeCell ref="Y55:AC55"/>
    <mergeCell ref="P160:R160"/>
    <mergeCell ref="P147:R147"/>
    <mergeCell ref="AA86:AE86"/>
    <mergeCell ref="V20:AC20"/>
    <mergeCell ref="V138:X138"/>
    <mergeCell ref="AD47:AJ47"/>
    <mergeCell ref="P90:T90"/>
    <mergeCell ref="S158:U158"/>
    <mergeCell ref="Y103:AB103"/>
    <mergeCell ref="AI104:AJ104"/>
    <mergeCell ref="AA107:AB107"/>
    <mergeCell ref="AC107:AD107"/>
    <mergeCell ref="J143:L143"/>
    <mergeCell ref="AB12:AC12"/>
    <mergeCell ref="AD155:AF155"/>
    <mergeCell ref="P91:T91"/>
    <mergeCell ref="S159:U159"/>
    <mergeCell ref="Y46:AC46"/>
    <mergeCell ref="S153:U153"/>
    <mergeCell ref="P163:R163"/>
    <mergeCell ref="M162:O162"/>
    <mergeCell ref="S135:U137"/>
    <mergeCell ref="Y98:AB98"/>
    <mergeCell ref="AH5:AI6"/>
    <mergeCell ref="Q105:R105"/>
    <mergeCell ref="AD157:AF157"/>
    <mergeCell ref="S161:U161"/>
    <mergeCell ref="AC3:AJ4"/>
    <mergeCell ref="Y48:AC48"/>
    <mergeCell ref="U90:W90"/>
    <mergeCell ref="AG97:AJ97"/>
    <mergeCell ref="Y146:AA146"/>
    <mergeCell ref="Q107:R107"/>
    <mergeCell ref="AG135:AJ137"/>
    <mergeCell ref="Y41:AC41"/>
    <mergeCell ref="M157:O157"/>
    <mergeCell ref="P158:R158"/>
    <mergeCell ref="B154:I154"/>
    <mergeCell ref="J161:L161"/>
    <mergeCell ref="J167:L167"/>
    <mergeCell ref="AB167:AC167"/>
    <mergeCell ref="C49:G49"/>
    <mergeCell ref="Y56:AC56"/>
    <mergeCell ref="M101:P101"/>
    <mergeCell ref="Y43:AC43"/>
    <mergeCell ref="B156:I156"/>
    <mergeCell ref="V40:X40"/>
    <mergeCell ref="B155:I155"/>
    <mergeCell ref="J162:L162"/>
    <mergeCell ref="B149:I149"/>
    <mergeCell ref="V51:X51"/>
    <mergeCell ref="V153:X153"/>
    <mergeCell ref="AB129:AC129"/>
    <mergeCell ref="AD55:AJ55"/>
    <mergeCell ref="J164:L164"/>
    <mergeCell ref="B151:I151"/>
    <mergeCell ref="C55:G55"/>
    <mergeCell ref="S45:U45"/>
    <mergeCell ref="B81:E81"/>
    <mergeCell ref="AG117:AH118"/>
    <mergeCell ref="X81:Z81"/>
    <mergeCell ref="AI117:AJ118"/>
    <mergeCell ref="M150:O150"/>
    <mergeCell ref="U85:W85"/>
    <mergeCell ref="M104:N104"/>
    <mergeCell ref="O104:P104"/>
    <mergeCell ref="AS5:AS9"/>
    <mergeCell ref="S149:U149"/>
    <mergeCell ref="P148:R148"/>
    <mergeCell ref="M152:O152"/>
    <mergeCell ref="C52:G52"/>
    <mergeCell ref="M106:N106"/>
    <mergeCell ref="V141:X141"/>
    <mergeCell ref="Y142:AA142"/>
    <mergeCell ref="J146:L146"/>
    <mergeCell ref="AG103:AJ103"/>
    <mergeCell ref="J157:L157"/>
    <mergeCell ref="AD54:AJ54"/>
    <mergeCell ref="V143:X143"/>
    <mergeCell ref="AD41:AJ41"/>
    <mergeCell ref="M97:P97"/>
    <mergeCell ref="AG167:AJ167"/>
    <mergeCell ref="AB142:AC142"/>
    <mergeCell ref="M40:R40"/>
    <mergeCell ref="S40:U40"/>
    <mergeCell ref="U91:W91"/>
    <mergeCell ref="AD43:AJ43"/>
    <mergeCell ref="P166:R166"/>
    <mergeCell ref="AG98:AJ98"/>
    <mergeCell ref="AR5:AR9"/>
    <mergeCell ref="Y83:Z83"/>
    <mergeCell ref="AB144:AC144"/>
    <mergeCell ref="Y51:AC51"/>
    <mergeCell ref="M163:O163"/>
    <mergeCell ref="P168:R168"/>
    <mergeCell ref="AD130:AJ130"/>
    <mergeCell ref="M41:R41"/>
    <mergeCell ref="U99:X99"/>
    <mergeCell ref="B157:I157"/>
    <mergeCell ref="M165:O165"/>
    <mergeCell ref="AU5:AU9"/>
    <mergeCell ref="Y151:AA151"/>
    <mergeCell ref="U101:X101"/>
    <mergeCell ref="P127:U127"/>
    <mergeCell ref="V56:X56"/>
    <mergeCell ref="AI115:AJ115"/>
    <mergeCell ref="V154:X154"/>
    <mergeCell ref="AD25:AJ25"/>
    <mergeCell ref="S47:U47"/>
    <mergeCell ref="V156:X156"/>
    <mergeCell ref="O106:P106"/>
    <mergeCell ref="U86:W86"/>
    <mergeCell ref="AD138:AF138"/>
    <mergeCell ref="O105:P105"/>
    <mergeCell ref="AB139:AC139"/>
    <mergeCell ref="B125:I125"/>
    <mergeCell ref="H54:L54"/>
    <mergeCell ref="AB138:AC138"/>
    <mergeCell ref="AC99:AF99"/>
    <mergeCell ref="AD140:AF140"/>
    <mergeCell ref="Y144:AA144"/>
    <mergeCell ref="H41:L41"/>
    <mergeCell ref="C45:G45"/>
    <mergeCell ref="M107:N107"/>
    <mergeCell ref="AD16:AJ16"/>
    <mergeCell ref="O107:P107"/>
    <mergeCell ref="M168:O168"/>
    <mergeCell ref="V49:X49"/>
    <mergeCell ref="AG142:AJ142"/>
    <mergeCell ref="M46:R46"/>
    <mergeCell ref="H56:L56"/>
    <mergeCell ref="C47:G47"/>
    <mergeCell ref="B145:I145"/>
    <mergeCell ref="AB150:AC150"/>
    <mergeCell ref="H49:L49"/>
    <mergeCell ref="AD141:AF141"/>
    <mergeCell ref="AF93:AJ93"/>
    <mergeCell ref="AD64:AJ64"/>
    <mergeCell ref="Y139:AA139"/>
    <mergeCell ref="AG144:AJ144"/>
    <mergeCell ref="Y145:AA145"/>
    <mergeCell ref="V149:X149"/>
    <mergeCell ref="S148:U148"/>
    <mergeCell ref="AD51:AJ51"/>
    <mergeCell ref="M98:P98"/>
    <mergeCell ref="V50:X50"/>
    <mergeCell ref="AB21:AC21"/>
    <mergeCell ref="S54:U54"/>
    <mergeCell ref="B147:I147"/>
    <mergeCell ref="S41:U41"/>
    <mergeCell ref="U106:V106"/>
    <mergeCell ref="P167:R167"/>
    <mergeCell ref="M146:O146"/>
    <mergeCell ref="AG148:AJ148"/>
    <mergeCell ref="M56:R56"/>
    <mergeCell ref="AB23:AC23"/>
    <mergeCell ref="S56:U56"/>
    <mergeCell ref="M43:R43"/>
    <mergeCell ref="S143:U143"/>
    <mergeCell ref="F87:H87"/>
    <mergeCell ref="S43:U43"/>
    <mergeCell ref="V144:X144"/>
    <mergeCell ref="AB160:AC160"/>
    <mergeCell ref="B33:C33"/>
    <mergeCell ref="AB147:AC147"/>
    <mergeCell ref="F89:H89"/>
    <mergeCell ref="AD11:AJ11"/>
    <mergeCell ref="AD153:AF153"/>
    <mergeCell ref="AI116:AJ116"/>
    <mergeCell ref="I6:AB6"/>
    <mergeCell ref="L81:O81"/>
    <mergeCell ref="H44:L44"/>
    <mergeCell ref="C97:L98"/>
    <mergeCell ref="H58:L58"/>
    <mergeCell ref="Y158:AA158"/>
    <mergeCell ref="AB163:AC163"/>
    <mergeCell ref="U104:V104"/>
    <mergeCell ref="W104:X104"/>
    <mergeCell ref="AB165:AC165"/>
    <mergeCell ref="B90:E90"/>
    <mergeCell ref="AB140:AC140"/>
    <mergeCell ref="AD24:AJ24"/>
    <mergeCell ref="W106:X106"/>
    <mergeCell ref="V57:X57"/>
    <mergeCell ref="C46:G46"/>
    <mergeCell ref="W105:X105"/>
    <mergeCell ref="B128:I128"/>
    <mergeCell ref="H57:L57"/>
    <mergeCell ref="AB141:AC141"/>
    <mergeCell ref="AD143:AF143"/>
    <mergeCell ref="Y147:AA147"/>
    <mergeCell ref="C48:G48"/>
    <mergeCell ref="U97:X97"/>
    <mergeCell ref="V58:X58"/>
    <mergeCell ref="V52:X52"/>
    <mergeCell ref="AG145:AJ145"/>
    <mergeCell ref="V150:X150"/>
    <mergeCell ref="H42:L42"/>
    <mergeCell ref="AG160:AJ160"/>
    <mergeCell ref="AG147:AJ147"/>
    <mergeCell ref="AD129:AJ129"/>
    <mergeCell ref="M51:R51"/>
    <mergeCell ref="Y148:AA148"/>
    <mergeCell ref="V152:X152"/>
    <mergeCell ref="AC104:AD104"/>
    <mergeCell ref="AA91:AE91"/>
    <mergeCell ref="AB168:AC168"/>
    <mergeCell ref="AB24:AC24"/>
    <mergeCell ref="S57:U57"/>
    <mergeCell ref="P8:AA8"/>
    <mergeCell ref="AE106:AF106"/>
    <mergeCell ref="M149:O149"/>
    <mergeCell ref="AB32:AC32"/>
    <mergeCell ref="AB159:AC159"/>
    <mergeCell ref="Y92:Z92"/>
    <mergeCell ref="AB153:AC153"/>
    <mergeCell ref="F90:H90"/>
    <mergeCell ref="AB135:AC137"/>
    <mergeCell ref="S151:U151"/>
    <mergeCell ref="M151:O151"/>
    <mergeCell ref="AD12:AJ12"/>
    <mergeCell ref="AG163:AJ163"/>
    <mergeCell ref="AF87:AJ87"/>
    <mergeCell ref="AD154:AF154"/>
    <mergeCell ref="I4:AB5"/>
    <mergeCell ref="AG138:AJ138"/>
    <mergeCell ref="B166:I166"/>
    <mergeCell ref="AD14:AJ14"/>
    <mergeCell ref="AB154:AC154"/>
    <mergeCell ref="B8:O8"/>
    <mergeCell ref="AD156:AF156"/>
    <mergeCell ref="Y160:AA160"/>
    <mergeCell ref="AD162:AF162"/>
    <mergeCell ref="Y166:AA166"/>
    <mergeCell ref="H45:L45"/>
    <mergeCell ref="AG140:AJ140"/>
    <mergeCell ref="AD13:AJ13"/>
    <mergeCell ref="AG158:AJ158"/>
    <mergeCell ref="B168:I168"/>
    <mergeCell ref="V163:X163"/>
    <mergeCell ref="P139:R139"/>
    <mergeCell ref="B9:C9"/>
    <mergeCell ref="Y135:AA137"/>
    <mergeCell ref="H47:L47"/>
    <mergeCell ref="P138:R138"/>
    <mergeCell ref="J141:L141"/>
    <mergeCell ref="M142:O142"/>
    <mergeCell ref="Y161:AA161"/>
    <mergeCell ref="V165:X165"/>
    <mergeCell ref="S164:U164"/>
    <mergeCell ref="M49:R49"/>
    <mergeCell ref="AE104:AF104"/>
    <mergeCell ref="W107:X107"/>
    <mergeCell ref="AG104:AH104"/>
    <mergeCell ref="Y107:Z107"/>
    <mergeCell ref="P140:R140"/>
    <mergeCell ref="M144:O144"/>
    <mergeCell ref="AB143:AC143"/>
    <mergeCell ref="I90:J90"/>
    <mergeCell ref="AA81:AE81"/>
    <mergeCell ref="AB14:AC14"/>
    <mergeCell ref="AD149:AF149"/>
    <mergeCell ref="H50:L50"/>
    <mergeCell ref="P85:T85"/>
    <mergeCell ref="U98:X98"/>
    <mergeCell ref="AG168:AJ168"/>
    <mergeCell ref="M139:O139"/>
    <mergeCell ref="I91:J91"/>
    <mergeCell ref="AD151:AF151"/>
    <mergeCell ref="I85:J85"/>
    <mergeCell ref="S146:U146"/>
    <mergeCell ref="AG161:AJ161"/>
    <mergeCell ref="AG153:AJ153"/>
    <mergeCell ref="AD150:AF150"/>
    <mergeCell ref="AD144:AF144"/>
    <mergeCell ref="S154:U154"/>
    <mergeCell ref="V46:X46"/>
    <mergeCell ref="AB161:AC161"/>
    <mergeCell ref="Y156:AA156"/>
    <mergeCell ref="AE107:AF107"/>
    <mergeCell ref="J154:L154"/>
    <mergeCell ref="M58:R58"/>
    <mergeCell ref="Z125:AC125"/>
    <mergeCell ref="Y49:AC49"/>
    <mergeCell ref="P153:R153"/>
    <mergeCell ref="J156:L156"/>
    <mergeCell ref="AB162:AC162"/>
    <mergeCell ref="AB156:AC156"/>
    <mergeCell ref="AD46:AJ46"/>
    <mergeCell ref="Z127:AC127"/>
    <mergeCell ref="AD40:AJ40"/>
    <mergeCell ref="J155:L155"/>
    <mergeCell ref="B142:I142"/>
    <mergeCell ref="W67:AA67"/>
    <mergeCell ref="Y167:AA167"/>
    <mergeCell ref="AG166:AJ166"/>
    <mergeCell ref="B110:C110"/>
    <mergeCell ref="AD93:AE93"/>
    <mergeCell ref="AG141:AJ141"/>
  </mergeCells>
  <conditionalFormatting sqref="B9 B10:C10 B28 B33:B34 B39 B53 B61 B71 B75:B76 B84 B88 B124 B126 E9:AH10">
    <cfRule type="expression" priority="146" dxfId="14">
      <formula>IF(AND(File_Marr_Sep&lt;&gt;"",$AI$9=""),1,0)</formula>
    </cfRule>
  </conditionalFormatting>
  <conditionalFormatting sqref="B110">
    <cfRule type="expression" priority="12" dxfId="14">
      <formula>IF(AND(File_Marr_Sep&lt;&gt;"",$AI$9=""),1,0)</formula>
    </cfRule>
  </conditionalFormatting>
  <conditionalFormatting sqref="B115:D116 B117:AF117 B119:B120 B122">
    <cfRule type="expression" priority="100" dxfId="14">
      <formula>$AM$115</formula>
    </cfRule>
  </conditionalFormatting>
  <conditionalFormatting sqref="B85:J87">
    <cfRule type="expression" priority="53" dxfId="6">
      <formula>NoColor</formula>
    </cfRule>
  </conditionalFormatting>
  <conditionalFormatting sqref="B89:J91">
    <cfRule type="expression" priority="50" dxfId="6">
      <formula>NoColor</formula>
    </cfRule>
  </conditionalFormatting>
  <conditionalFormatting sqref="B18:AC19">
    <cfRule type="expression" priority="77" dxfId="6">
      <formula>NoColor</formula>
    </cfRule>
  </conditionalFormatting>
  <conditionalFormatting sqref="B8:AJ8">
    <cfRule type="expression" priority="82" dxfId="6">
      <formula>NoColor</formula>
    </cfRule>
  </conditionalFormatting>
  <conditionalFormatting sqref="B127:AJ128">
    <cfRule type="expression" priority="40" dxfId="6">
      <formula>NoColor</formula>
    </cfRule>
  </conditionalFormatting>
  <conditionalFormatting sqref="C119:C123">
    <cfRule type="expression" priority="102" dxfId="14">
      <formula>$AM$115</formula>
    </cfRule>
  </conditionalFormatting>
  <conditionalFormatting sqref="C126">
    <cfRule type="expression" priority="85" dxfId="14">
      <formula>$AM$115</formula>
    </cfRule>
  </conditionalFormatting>
  <conditionalFormatting sqref="C129:C130">
    <cfRule type="expression" priority="83" dxfId="14">
      <formula>$AM$115</formula>
    </cfRule>
  </conditionalFormatting>
  <conditionalFormatting sqref="C114:AJ114">
    <cfRule type="expression" priority="133" dxfId="14">
      <formula>$AM$115</formula>
    </cfRule>
  </conditionalFormatting>
  <conditionalFormatting sqref="E72">
    <cfRule type="expression" priority="111" dxfId="14">
      <formula>IF(AND(File_Marr_Sep&lt;&gt;"",$AI$9=""),1,0)</formula>
    </cfRule>
  </conditionalFormatting>
  <conditionalFormatting sqref="E74">
    <cfRule type="expression" priority="110" dxfId="14">
      <formula>IF(AND(File_Marr_Sep&lt;&gt;"",$AI$9=""),1,0)</formula>
    </cfRule>
  </conditionalFormatting>
  <conditionalFormatting sqref="E111">
    <cfRule type="expression" priority="7" dxfId="14">
      <formula>IF(AND(File_Marr_Sep&lt;&gt;"",$AI$9=""),1,0)</formula>
    </cfRule>
  </conditionalFormatting>
  <conditionalFormatting sqref="E115:E116">
    <cfRule type="expression" priority="129" dxfId="14">
      <formula>AM115</formula>
    </cfRule>
  </conditionalFormatting>
  <conditionalFormatting sqref="E28:AH28">
    <cfRule type="expression" priority="126" dxfId="14">
      <formula>IF(AND(File_Marr_Sep&lt;&gt;"",$AI$9=""),1,0)</formula>
    </cfRule>
  </conditionalFormatting>
  <conditionalFormatting sqref="E33:AH34">
    <cfRule type="expression" priority="120" dxfId="14">
      <formula>IF(AND(File_Marr_Sep&lt;&gt;"",$AI$9=""),1,0)</formula>
    </cfRule>
  </conditionalFormatting>
  <conditionalFormatting sqref="E39:AH39">
    <cfRule type="expression" priority="119" dxfId="14">
      <formula>IF(AND(File_Marr_Sep&lt;&gt;"",$AI$9=""),1,0)</formula>
    </cfRule>
  </conditionalFormatting>
  <conditionalFormatting sqref="E53:AH53">
    <cfRule type="expression" priority="118" dxfId="14">
      <formula>IF(AND(File_Marr_Sep&lt;&gt;"",$AI$9=""),1,0)</formula>
    </cfRule>
  </conditionalFormatting>
  <conditionalFormatting sqref="E61:AH61">
    <cfRule type="expression" priority="117" dxfId="14">
      <formula>IF(AND(File_Marr_Sep&lt;&gt;"",$AI$9=""),1,0)</formula>
    </cfRule>
  </conditionalFormatting>
  <conditionalFormatting sqref="E71:AH71">
    <cfRule type="expression" priority="112" dxfId="14">
      <formula>IF(AND(File_Marr_Sep&lt;&gt;"",$AI$9=""),1,0)</formula>
    </cfRule>
  </conditionalFormatting>
  <conditionalFormatting sqref="E75:AH76">
    <cfRule type="expression" priority="109" dxfId="14">
      <formula>IF(AND(File_Marr_Sep&lt;&gt;"",$AI$9=""),1,0)</formula>
    </cfRule>
  </conditionalFormatting>
  <conditionalFormatting sqref="E84:AH84">
    <cfRule type="expression" priority="108" dxfId="14">
      <formula>IF(AND(File_Marr_Sep&lt;&gt;"",$AI$9=""),1,0)</formula>
    </cfRule>
  </conditionalFormatting>
  <conditionalFormatting sqref="E88:AH88">
    <cfRule type="expression" priority="107" dxfId="14">
      <formula>IF(AND(File_Marr_Sep&lt;&gt;"",$AI$9=""),1,0)</formula>
    </cfRule>
  </conditionalFormatting>
  <conditionalFormatting sqref="E110:AH110">
    <cfRule type="expression" priority="8" dxfId="14">
      <formula>IF(AND(File_Marr_Sep&lt;&gt;"",$AI$9=""),1,0)</formula>
    </cfRule>
  </conditionalFormatting>
  <conditionalFormatting sqref="E124:AH124">
    <cfRule type="expression" priority="87" dxfId="14">
      <formula>IF(AND(File_Marr_Sep&lt;&gt;"",$AI$9=""),1,0)</formula>
    </cfRule>
  </conditionalFormatting>
  <conditionalFormatting sqref="E126:AH126">
    <cfRule type="expression" priority="86" dxfId="14">
      <formula>IF(AND(File_Marr_Sep&lt;&gt;"",$AI$9=""),1,0)</formula>
    </cfRule>
  </conditionalFormatting>
  <conditionalFormatting sqref="F116:AE116">
    <cfRule type="expression" priority="99" dxfId="14">
      <formula>$AM$115</formula>
    </cfRule>
  </conditionalFormatting>
  <conditionalFormatting sqref="F115:AG115">
    <cfRule type="expression" priority="98" dxfId="14">
      <formula>$AM$115</formula>
    </cfRule>
  </conditionalFormatting>
  <conditionalFormatting sqref="H56:L60">
    <cfRule type="expression" priority="62" dxfId="6">
      <formula>NoColor</formula>
    </cfRule>
  </conditionalFormatting>
  <conditionalFormatting sqref="H49:R52">
    <cfRule type="expression" priority="70" dxfId="6">
      <formula>NoColor</formula>
    </cfRule>
  </conditionalFormatting>
  <conditionalFormatting sqref="H108:R109">
    <cfRule type="expression" priority="4" dxfId="6">
      <formula>NoColor</formula>
    </cfRule>
  </conditionalFormatting>
  <conditionalFormatting sqref="L89:W91">
    <cfRule type="expression" priority="49" dxfId="6">
      <formula>NoColor</formula>
    </cfRule>
  </conditionalFormatting>
  <conditionalFormatting sqref="L85:AJ87">
    <cfRule type="expression" priority="52" dxfId="6">
      <formula>NoColor</formula>
    </cfRule>
  </conditionalFormatting>
  <conditionalFormatting sqref="M105:P107">
    <cfRule type="expression" priority="24" dxfId="0">
      <formula>AND($M105&lt;&gt;"",$O105&lt;&gt;"")</formula>
    </cfRule>
  </conditionalFormatting>
  <conditionalFormatting sqref="M15:R15">
    <cfRule type="expression" priority="147" dxfId="6">
      <formula>IF(NoColor,1,0)</formula>
    </cfRule>
  </conditionalFormatting>
  <conditionalFormatting sqref="M29:R29">
    <cfRule type="expression" priority="124" dxfId="6">
      <formula>IF(NoColor,1,0)</formula>
    </cfRule>
  </conditionalFormatting>
  <conditionalFormatting sqref="M47:R48">
    <cfRule type="expression" priority="68" dxfId="6">
      <formula>NoColor</formula>
    </cfRule>
  </conditionalFormatting>
  <conditionalFormatting sqref="M55:R60">
    <cfRule type="expression" priority="63" dxfId="6">
      <formula>NoColor</formula>
    </cfRule>
  </conditionalFormatting>
  <conditionalFormatting sqref="M63:R63">
    <cfRule type="expression" priority="115" dxfId="6">
      <formula>IF(NoColor,1,0)</formula>
    </cfRule>
  </conditionalFormatting>
  <conditionalFormatting sqref="M54:X54">
    <cfRule type="expression" priority="65" dxfId="6">
      <formula>NoColor</formula>
    </cfRule>
  </conditionalFormatting>
  <conditionalFormatting sqref="M41:AJ46">
    <cfRule type="expression" priority="71" dxfId="6">
      <formula>NoColor</formula>
    </cfRule>
  </conditionalFormatting>
  <conditionalFormatting sqref="M98:AJ99">
    <cfRule type="expression" priority="45" dxfId="6">
      <formula>NoColor</formula>
    </cfRule>
  </conditionalFormatting>
  <conditionalFormatting sqref="M101:AJ103">
    <cfRule type="expression" priority="43" dxfId="6">
      <formula>NoColor</formula>
    </cfRule>
  </conditionalFormatting>
  <conditionalFormatting sqref="M105:AJ107">
    <cfRule type="expression" priority="42" dxfId="6">
      <formula>NoColor</formula>
    </cfRule>
  </conditionalFormatting>
  <conditionalFormatting sqref="Q105:T107">
    <cfRule type="expression" priority="23" dxfId="0">
      <formula>AND($Q105&lt;&gt;"",$S105&lt;&gt;"")</formula>
    </cfRule>
  </conditionalFormatting>
  <conditionalFormatting sqref="R119">
    <cfRule type="expression" priority="134" dxfId="158">
      <formula>AND($AH$118,$AB$118)</formula>
    </cfRule>
  </conditionalFormatting>
  <conditionalFormatting sqref="S52:U52">
    <cfRule type="expression" priority="66" dxfId="6">
      <formula>NoColor</formula>
    </cfRule>
  </conditionalFormatting>
  <conditionalFormatting sqref="T96">
    <cfRule type="expression" priority="132" dxfId="6">
      <formula>NoColor</formula>
    </cfRule>
  </conditionalFormatting>
  <conditionalFormatting sqref="T72:U72">
    <cfRule type="expression" priority="142" dxfId="46">
      <formula>AND(NOT(NoColor),NoSSN)</formula>
    </cfRule>
    <cfRule type="expression" priority="141" dxfId="6">
      <formula>IF(NoColor,1,0)</formula>
    </cfRule>
  </conditionalFormatting>
  <conditionalFormatting sqref="T111:U111">
    <cfRule type="expression" priority="10" dxfId="6">
      <formula>IF(NoColor,1,0)</formula>
    </cfRule>
    <cfRule type="expression" priority="11" dxfId="46">
      <formula>AND(NOT(NoColor),NoSSN)</formula>
    </cfRule>
  </conditionalFormatting>
  <conditionalFormatting sqref="U105:X107">
    <cfRule type="expression" priority="22" dxfId="0">
      <formula>AND($U105&lt;&gt;"",$W105&lt;&gt;"")</formula>
    </cfRule>
  </conditionalFormatting>
  <conditionalFormatting sqref="U72:AJ72">
    <cfRule type="expression" priority="130" dxfId="20">
      <formula>AND(NoColor,NoSSN)</formula>
    </cfRule>
  </conditionalFormatting>
  <conditionalFormatting sqref="U111:AJ111">
    <cfRule type="expression" priority="9" dxfId="20">
      <formula>AND(NoColor,NoSSN)</formula>
    </cfRule>
  </conditionalFormatting>
  <conditionalFormatting sqref="V47:X48">
    <cfRule type="expression" priority="67" dxfId="6">
      <formula>NoColor</formula>
    </cfRule>
  </conditionalFormatting>
  <conditionalFormatting sqref="V55:X55">
    <cfRule type="expression" priority="61" dxfId="6">
      <formula>NoColor</formula>
    </cfRule>
  </conditionalFormatting>
  <conditionalFormatting sqref="V20:AC20">
    <cfRule type="expression" priority="76" dxfId="6">
      <formula>NoColor</formula>
    </cfRule>
  </conditionalFormatting>
  <conditionalFormatting sqref="W79">
    <cfRule type="expression" priority="2" dxfId="6">
      <formula>NoColor</formula>
    </cfRule>
  </conditionalFormatting>
  <conditionalFormatting sqref="W67:AA67 W70:AA70">
    <cfRule type="expression" priority="58" dxfId="6">
      <formula>NoColor</formula>
    </cfRule>
  </conditionalFormatting>
  <conditionalFormatting sqref="W26:AC26">
    <cfRule type="expression" priority="74" dxfId="6">
      <formula>NoColor</formula>
    </cfRule>
  </conditionalFormatting>
  <conditionalFormatting sqref="X15:AA15">
    <cfRule type="expression" priority="144" dxfId="6">
      <formula>IF(NoColor,1,0)</formula>
    </cfRule>
  </conditionalFormatting>
  <conditionalFormatting sqref="X29:AA29">
    <cfRule type="expression" priority="122" dxfId="6">
      <formula>IF(NoColor,1,0)</formula>
    </cfRule>
  </conditionalFormatting>
  <conditionalFormatting sqref="X63:AA63">
    <cfRule type="expression" priority="113" dxfId="6">
      <formula>IF(NoColor,1,0)</formula>
    </cfRule>
  </conditionalFormatting>
  <conditionalFormatting sqref="Y105:AB107">
    <cfRule type="expression" priority="21" dxfId="0">
      <formula>AND($Y105&lt;&gt;"",$AA105&lt;&gt;"")</formula>
    </cfRule>
  </conditionalFormatting>
  <conditionalFormatting sqref="Y89:AE91">
    <cfRule type="expression" priority="48" dxfId="6">
      <formula>NoColor</formula>
    </cfRule>
  </conditionalFormatting>
  <conditionalFormatting sqref="AA83:AE83">
    <cfRule type="expression" priority="51" dxfId="6">
      <formula>NoColor</formula>
    </cfRule>
  </conditionalFormatting>
  <conditionalFormatting sqref="AA92:AE92">
    <cfRule type="expression" priority="47" dxfId="6">
      <formula>NoColor</formula>
    </cfRule>
  </conditionalFormatting>
  <conditionalFormatting sqref="AB77:AB79">
    <cfRule type="expression" priority="57" dxfId="6">
      <formula>NoColor</formula>
    </cfRule>
  </conditionalFormatting>
  <conditionalFormatting sqref="AB8:AJ8">
    <cfRule type="expression" priority="38" dxfId="20">
      <formula>NoSSN</formula>
    </cfRule>
    <cfRule type="expression" priority="80" dxfId="46">
      <formula>NoSSN</formula>
    </cfRule>
    <cfRule type="expression" priority="81" dxfId="20">
      <formula>AND(NoColor,NoSSN)</formula>
    </cfRule>
  </conditionalFormatting>
  <conditionalFormatting sqref="AC96">
    <cfRule type="expression" priority="131" dxfId="6">
      <formula>NoColor</formula>
    </cfRule>
  </conditionalFormatting>
  <conditionalFormatting sqref="AC108">
    <cfRule type="expression" priority="3" dxfId="6">
      <formula>NoColor</formula>
    </cfRule>
  </conditionalFormatting>
  <conditionalFormatting sqref="AC105:AF107">
    <cfRule type="expression" priority="20" dxfId="0">
      <formula>AND($AC105&lt;&gt;"",$AE105&lt;&gt;"")</formula>
    </cfRule>
  </conditionalFormatting>
  <conditionalFormatting sqref="AC59:AJ59">
    <cfRule type="expression" priority="1" dxfId="6">
      <formula>NoColor</formula>
    </cfRule>
  </conditionalFormatting>
  <conditionalFormatting sqref="AD11:AJ14">
    <cfRule type="expression" priority="79" dxfId="6">
      <formula>NoColor</formula>
    </cfRule>
  </conditionalFormatting>
  <conditionalFormatting sqref="AD16:AJ16">
    <cfRule type="expression" priority="78" dxfId="6">
      <formula>NoColor</formula>
    </cfRule>
  </conditionalFormatting>
  <conditionalFormatting sqref="AD21:AJ25">
    <cfRule type="expression" priority="75" dxfId="6">
      <formula>NoColor</formula>
    </cfRule>
  </conditionalFormatting>
  <conditionalFormatting sqref="AD30:AJ32">
    <cfRule type="expression" priority="73" dxfId="6">
      <formula>NoColor</formula>
    </cfRule>
  </conditionalFormatting>
  <conditionalFormatting sqref="AD35:AJ35">
    <cfRule type="expression" priority="72" dxfId="6">
      <formula>NoColor</formula>
    </cfRule>
  </conditionalFormatting>
  <conditionalFormatting sqref="AD47:AJ52">
    <cfRule type="expression" priority="69" dxfId="6">
      <formula>NoColor</formula>
    </cfRule>
  </conditionalFormatting>
  <conditionalFormatting sqref="AD54:AJ58 AD60:AJ60">
    <cfRule type="expression" priority="64" dxfId="6">
      <formula>NoColor</formula>
    </cfRule>
  </conditionalFormatting>
  <conditionalFormatting sqref="AD62:AJ62">
    <cfRule type="expression" priority="60" dxfId="6">
      <formula>NoColor</formula>
    </cfRule>
  </conditionalFormatting>
  <conditionalFormatting sqref="AD64:AJ64">
    <cfRule type="expression" priority="59" dxfId="6">
      <formula>NoColor</formula>
    </cfRule>
  </conditionalFormatting>
  <conditionalFormatting sqref="AD109:AJ109">
    <cfRule type="expression" priority="6" dxfId="6">
      <formula>NoColor</formula>
    </cfRule>
  </conditionalFormatting>
  <conditionalFormatting sqref="AD129:AJ130">
    <cfRule type="expression" priority="39" dxfId="6">
      <formula>NoColor</formula>
    </cfRule>
  </conditionalFormatting>
  <conditionalFormatting sqref="AE119:AE121">
    <cfRule type="expression" priority="135" dxfId="6">
      <formula>IF(NoColor,1,0)</formula>
    </cfRule>
  </conditionalFormatting>
  <conditionalFormatting sqref="AE120:AF120">
    <cfRule type="expression" priority="137" dxfId="6">
      <formula>IF(NoColor,1,0)</formula>
    </cfRule>
  </conditionalFormatting>
  <conditionalFormatting sqref="AE123:AF123">
    <cfRule type="expression" priority="127" dxfId="6">
      <formula>IF(NoColor,1,0)</formula>
    </cfRule>
  </conditionalFormatting>
  <conditionalFormatting sqref="AF77:AF79">
    <cfRule type="expression" priority="56" dxfId="6">
      <formula>NoColor</formula>
    </cfRule>
  </conditionalFormatting>
  <conditionalFormatting sqref="AF93:AJ93">
    <cfRule type="expression" priority="46" dxfId="6">
      <formula>NoColor</formula>
    </cfRule>
  </conditionalFormatting>
  <conditionalFormatting sqref="AG117 AG119:AH119 AG120 AG122:AH122">
    <cfRule type="expression" priority="17" dxfId="0">
      <formula>AND($AG117&lt;&gt;"",$AI117&lt;&gt;"")</formula>
    </cfRule>
  </conditionalFormatting>
  <conditionalFormatting sqref="AG119:AG120">
    <cfRule type="expression" priority="94" dxfId="14">
      <formula>$AM$115</formula>
    </cfRule>
  </conditionalFormatting>
  <conditionalFormatting sqref="AG122">
    <cfRule type="expression" priority="92" dxfId="14">
      <formula>$AM$115</formula>
    </cfRule>
  </conditionalFormatting>
  <conditionalFormatting sqref="AG105:AJ107">
    <cfRule type="expression" priority="19" dxfId="0">
      <formula>AND($AG105&lt;&gt;"",$AI105&lt;&gt;"")</formula>
    </cfRule>
  </conditionalFormatting>
  <conditionalFormatting sqref="AG116:AJ116 AG117 AG119:AJ119 AG120 AG122:AJ122 AI117:AJ118 AI120:AJ121">
    <cfRule type="expression" priority="41" dxfId="6">
      <formula>NoColor</formula>
    </cfRule>
  </conditionalFormatting>
  <conditionalFormatting sqref="AG116:AJ116">
    <cfRule type="expression" priority="18" dxfId="0">
      <formula>AND($AG116&lt;&gt;"",$AI116&lt;&gt;"")</formula>
    </cfRule>
  </conditionalFormatting>
  <conditionalFormatting sqref="AG119:AJ119">
    <cfRule type="expression" priority="15" dxfId="0">
      <formula>AND($AG$119&lt;&gt;"",$AI$119&lt;&gt;"")</formula>
    </cfRule>
  </conditionalFormatting>
  <conditionalFormatting sqref="AG120:AJ121">
    <cfRule type="expression" priority="14" dxfId="0">
      <formula>AND($AG120&lt;&gt;"",$AI$120&lt;&gt;"")</formula>
    </cfRule>
  </conditionalFormatting>
  <conditionalFormatting sqref="AG122:AJ122">
    <cfRule type="expression" priority="13" dxfId="0">
      <formula>AND($AG122&lt;&gt;"",$AI$122&lt;&gt;"")</formula>
    </cfRule>
  </conditionalFormatting>
  <conditionalFormatting sqref="AI115:AI116">
    <cfRule type="expression" priority="91" dxfId="14">
      <formula>$AM$115</formula>
    </cfRule>
  </conditionalFormatting>
  <conditionalFormatting sqref="AI119:AI120">
    <cfRule type="expression" priority="95" dxfId="14">
      <formula>$AM$115</formula>
    </cfRule>
  </conditionalFormatting>
  <conditionalFormatting sqref="AI122">
    <cfRule type="expression" priority="93" dxfId="14">
      <formula>$AM$115</formula>
    </cfRule>
  </conditionalFormatting>
  <conditionalFormatting sqref="AI117:AJ118">
    <cfRule type="expression" priority="16" dxfId="0">
      <formula>AND($AG117&lt;&gt;"",$AI117&lt;&gt;"")</formula>
    </cfRule>
  </conditionalFormatting>
  <pageMargins left="0.75" right="0.25" top="0.36" bottom="0.29" header="0.36" footer="0.21"/>
  <pageSetup orientation="portrait" scale="67" fitToHeight="0"/>
  <rowBreaks count="2" manualBreakCount="2">
    <brk id="59" min="1" max="35" man="1"/>
    <brk id="108" min="0" max="16383" man="1"/>
  </rowBreaks>
</worksheet>
</file>

<file path=xl/worksheets/sheet44.xml><?xml version="1.0" encoding="utf-8"?>
<worksheet xmlns="http://schemas.openxmlformats.org/spreadsheetml/2006/main">
  <sheetPr>
    <outlinePr summaryBelow="1" summaryRight="1"/>
    <pageSetUpPr fitToPage="1"/>
  </sheetPr>
  <dimension ref="A1:AZ323"/>
  <sheetViews>
    <sheetView zoomScaleNormal="100" zoomScaleSheetLayoutView="100" workbookViewId="0">
      <selection activeCell="A1" sqref="A1"/>
    </sheetView>
  </sheetViews>
  <sheetFormatPr baseColWidth="8" defaultColWidth="9.140625" defaultRowHeight="15.75"/>
  <cols>
    <col width="2.7109375" customWidth="1" style="7635" min="1" max="1"/>
    <col width="6.140625" customWidth="1" style="7635" min="2" max="2"/>
    <col width="4.42578125" customWidth="1" style="7635" min="3" max="19"/>
    <col width="3.5703125" customWidth="1" style="7635" min="20" max="20"/>
    <col width="5.140625" customWidth="1" style="7635" min="21" max="21"/>
    <col width="6.42578125" customWidth="1" style="7635" min="22" max="22"/>
    <col width="8.7109375" customWidth="1" style="7635" min="23" max="23"/>
    <col width="4.7109375" customWidth="1" style="7635" min="24" max="24"/>
    <col width="3.85546875" customWidth="1" style="7635" min="25" max="27"/>
    <col width="2.85546875" customWidth="1" style="7635" min="28" max="29"/>
    <col width="2.140625" customWidth="1" style="7635" min="30" max="30"/>
    <col width="4" customWidth="1" style="7635" min="31" max="31"/>
    <col width="3.85546875" customWidth="1" style="7635" min="32" max="32"/>
    <col width="3.7109375" customWidth="1" style="7635" min="33" max="34"/>
    <col width="3.85546875" customWidth="1" style="7635" min="35" max="35"/>
    <col width="2.7109375" customWidth="1" style="7635" min="36" max="36"/>
    <col width="4.7109375" customWidth="1" style="7635" min="37" max="37"/>
    <col width="2.85546875" customWidth="1" style="7635" min="38" max="38"/>
    <col width="14.42578125" customWidth="1" style="7635" min="39" max="39"/>
    <col width="18.42578125" customWidth="1" style="7834" min="40" max="40"/>
    <col hidden="1" width="10.5703125" customWidth="1" style="6605" min="41" max="41"/>
    <col width="10.7109375" customWidth="1" style="658" min="42" max="50"/>
    <col width="4.140625" customWidth="1" style="658" min="51" max="51"/>
  </cols>
  <sheetData>
    <row r="1" ht="24.75" customFormat="1" customHeight="1" s="81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8946">
        <f>IF('Table of Contents'!A49="D","DRAFT","")</f>
        <v/>
      </c>
      <c r="AK1" s="2013" t="n"/>
      <c r="AL1" s="11602" t="n"/>
      <c r="AM1" s="11602" t="n"/>
      <c r="AN1" s="2362" t="n"/>
      <c r="AO1" s="6603" t="n"/>
      <c r="AP1" s="658" t="n"/>
      <c r="AQ1" s="658" t="n"/>
      <c r="AR1" s="658" t="n"/>
      <c r="AS1" s="658" t="n"/>
      <c r="AT1" s="658" t="n"/>
      <c r="AU1" s="658" t="n"/>
      <c r="AV1" s="658" t="n"/>
      <c r="AW1" s="658" t="n"/>
      <c r="AX1" s="658" t="n"/>
      <c r="AY1" s="658" t="n"/>
    </row>
    <row r="2" ht="24" customFormat="1" customHeight="1" s="815">
      <c r="A2" s="2013" t="n"/>
      <c r="B2" s="9935">
        <f>IF('Table of Contents'!A48="D","DRAFT","")</f>
        <v/>
      </c>
      <c r="D2" s="9936" t="inlineStr">
        <is>
          <t>5695</t>
        </is>
      </c>
      <c r="H2" s="379" t="n"/>
      <c r="I2" s="12551" t="inlineStr">
        <is>
          <t>Residential Energy Credits</t>
        </is>
      </c>
      <c r="AB2" s="1066" t="n"/>
      <c r="AC2" s="9942">
        <f>IF(AND('Table of Contents'!A49="D",AK2=""),"DRAFT","OMB No. 1545-0074")</f>
        <v/>
      </c>
      <c r="AD2" s="7637" t="n"/>
      <c r="AE2" s="7637" t="n"/>
      <c r="AF2" s="7637" t="n"/>
      <c r="AG2" s="7637" t="n"/>
      <c r="AH2" s="7637" t="n"/>
      <c r="AI2" s="7637" t="n"/>
      <c r="AJ2" s="7637" t="n"/>
      <c r="AK2" s="1796" t="n"/>
      <c r="AL2" s="11602" t="n"/>
      <c r="AM2" s="11602" t="n"/>
      <c r="AN2" s="2362" t="n"/>
      <c r="AO2" s="6603" t="n"/>
      <c r="AP2" s="658" t="n"/>
      <c r="AQ2" s="658" t="n"/>
      <c r="AR2" s="658" t="n"/>
      <c r="AS2" s="658" t="n"/>
      <c r="AT2" s="658" t="n"/>
      <c r="AU2" s="658" t="n"/>
      <c r="AV2" s="658" t="n"/>
      <c r="AW2" s="658" t="n"/>
      <c r="AX2" s="658" t="n"/>
      <c r="AY2" s="658" t="n"/>
    </row>
    <row r="3" ht="24" customFormat="1" customHeight="1" s="815">
      <c r="A3" s="2013" t="n"/>
      <c r="B3" s="9892" t="inlineStr">
        <is>
          <t>Form</t>
        </is>
      </c>
      <c r="H3" s="379" t="n"/>
      <c r="I3" s="11741" t="n"/>
      <c r="AB3" s="1066" t="n"/>
      <c r="AC3" s="9887">
        <f>TaxYear</f>
        <v/>
      </c>
      <c r="AD3" s="7839" t="n"/>
      <c r="AE3" s="7839" t="n"/>
      <c r="AF3" s="7839" t="n"/>
      <c r="AG3" s="7839" t="n"/>
      <c r="AH3" s="7839" t="n"/>
      <c r="AI3" s="7839" t="n"/>
      <c r="AJ3" s="7839" t="n"/>
      <c r="AK3" s="2013" t="n"/>
      <c r="AL3" s="11602" t="n"/>
      <c r="AM3" s="11602" t="n"/>
      <c r="AN3" s="2362" t="n"/>
      <c r="AO3" s="6603" t="n"/>
      <c r="AP3" s="658" t="n"/>
      <c r="AQ3" s="658" t="n"/>
      <c r="AR3" s="658" t="n"/>
      <c r="AS3" s="658" t="n"/>
      <c r="AT3" s="658" t="n"/>
      <c r="AU3" s="658" t="n"/>
      <c r="AV3" s="658" t="n"/>
      <c r="AW3" s="658" t="n"/>
      <c r="AX3" s="658" t="n"/>
      <c r="AY3" s="658" t="n"/>
    </row>
    <row r="4" ht="6.75" customFormat="1" customHeight="1" s="815">
      <c r="A4" s="2013" t="n"/>
      <c r="B4" s="11602" t="n"/>
      <c r="C4" s="11602" t="n"/>
      <c r="D4" s="11602" t="n"/>
      <c r="E4" s="11602" t="n"/>
      <c r="F4" s="11602" t="n"/>
      <c r="G4" s="11602" t="n"/>
      <c r="H4" s="379" t="n"/>
      <c r="I4" s="11953" t="inlineStr">
        <is>
          <t>Attach to Form 1040, 1040-SR, or 1040-NR.</t>
        </is>
      </c>
      <c r="AB4" s="1066" t="n"/>
      <c r="AC4" s="11741" t="n"/>
      <c r="AK4" s="2013" t="n"/>
      <c r="AL4" s="11602" t="n"/>
      <c r="AM4" s="11602" t="n"/>
      <c r="AN4" s="2362" t="n"/>
      <c r="AO4" s="6603" t="n"/>
      <c r="AP4" s="658" t="n"/>
      <c r="AQ4" s="658" t="n"/>
      <c r="AR4" s="658" t="n"/>
      <c r="AS4" s="658" t="n"/>
      <c r="AT4" s="658" t="n"/>
      <c r="AU4" s="658" t="n"/>
      <c r="AV4" s="658" t="n"/>
      <c r="AW4" s="658" t="n"/>
      <c r="AX4" s="658" t="n"/>
      <c r="AY4" s="658" t="n"/>
    </row>
    <row r="5" ht="10.5" customFormat="1" customHeight="1" s="815">
      <c r="A5" s="2013" t="n"/>
      <c r="B5" s="11602" t="inlineStr">
        <is>
          <t>Department of the Treasury</t>
        </is>
      </c>
      <c r="C5" s="11602" t="n"/>
      <c r="D5" s="11602" t="n"/>
      <c r="E5" s="11602" t="n"/>
      <c r="F5" s="11602" t="n"/>
      <c r="G5" s="11602" t="n"/>
      <c r="H5" s="379" t="n"/>
      <c r="I5" s="11741" t="n"/>
      <c r="AB5" s="1066" t="n"/>
      <c r="AC5" s="341" t="n"/>
      <c r="AD5" s="9237" t="inlineStr">
        <is>
          <t xml:space="preserve">   Attachment</t>
        </is>
      </c>
      <c r="AH5" s="10277" t="n">
        <v>75</v>
      </c>
      <c r="AJ5" s="11602" t="n"/>
      <c r="AK5" s="2013" t="n"/>
      <c r="AL5" s="11602" t="n"/>
      <c r="AM5" s="11602" t="n"/>
      <c r="AN5" s="2362" t="n"/>
      <c r="AO5" s="6603" t="n"/>
      <c r="AP5" s="658" t="n"/>
      <c r="AQ5" s="658" t="n"/>
      <c r="AR5" s="658" t="n"/>
      <c r="AS5" s="658" t="n"/>
      <c r="AT5" s="658" t="n"/>
      <c r="AU5" s="658" t="n"/>
      <c r="AV5" s="658" t="n"/>
      <c r="AW5" s="658" t="n"/>
      <c r="AX5" s="658" t="n"/>
      <c r="AY5" s="658" t="n"/>
    </row>
    <row r="6" ht="15.75" customFormat="1" customHeight="1" s="815" thickBot="1">
      <c r="A6" s="2013" t="n"/>
      <c r="B6" s="498" t="inlineStr">
        <is>
          <t>Internal Revenue Service</t>
        </is>
      </c>
      <c r="C6" s="380" t="n"/>
      <c r="D6" s="380" t="n"/>
      <c r="E6" s="380" t="n"/>
      <c r="F6" s="380" t="n"/>
      <c r="G6" s="380" t="n"/>
      <c r="H6" s="381" t="n"/>
      <c r="I6" s="12552" t="inlineStr">
        <is>
          <t>Go to www.irs.gov/Form5695 for instructions and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21" t="inlineStr">
        <is>
          <t xml:space="preserve">Sequence No.  </t>
        </is>
      </c>
      <c r="AE6" s="8848" t="n"/>
      <c r="AF6" s="8848" t="n"/>
      <c r="AG6" s="8848" t="n"/>
      <c r="AH6" s="8848" t="n"/>
      <c r="AI6" s="8848" t="n"/>
      <c r="AJ6" s="380" t="n"/>
      <c r="AK6" s="2013" t="n"/>
      <c r="AL6" s="11602" t="n"/>
      <c r="AM6" s="11602" t="n"/>
      <c r="AN6" s="2362" t="n"/>
      <c r="AO6" s="6603" t="n"/>
      <c r="AP6" s="658" t="n"/>
      <c r="AQ6" s="658" t="n"/>
      <c r="AR6" s="658" t="n"/>
      <c r="AS6" s="658" t="n"/>
      <c r="AT6" s="658" t="n"/>
      <c r="AU6" s="658" t="n"/>
      <c r="AV6" s="658" t="n"/>
      <c r="AW6" s="658" t="n"/>
      <c r="AX6" s="658" t="n"/>
      <c r="AY6" s="658" t="n"/>
    </row>
    <row r="7" ht="17.25" customFormat="1" customHeight="1" s="815">
      <c r="A7" s="2013" t="n"/>
      <c r="B7" s="1995" t="inlineStr">
        <is>
          <t>Name(s) shown on return</t>
        </is>
      </c>
      <c r="C7" s="339" t="n"/>
      <c r="D7" s="339" t="n"/>
      <c r="E7" s="339" t="n"/>
      <c r="F7" s="339" t="n"/>
      <c r="G7" s="339" t="n"/>
      <c r="H7" s="339" t="n"/>
      <c r="I7" s="339" t="n"/>
      <c r="J7" s="339" t="n"/>
      <c r="K7" s="339" t="n"/>
      <c r="L7" s="339" t="n"/>
      <c r="M7" s="339" t="n"/>
      <c r="N7" s="339" t="n"/>
      <c r="O7" s="339" t="n"/>
      <c r="P7" s="339" t="n"/>
      <c r="Q7" s="339" t="n"/>
      <c r="R7" s="339" t="n"/>
      <c r="S7" s="339" t="n"/>
      <c r="T7" s="339" t="n"/>
      <c r="U7" s="339" t="n"/>
      <c r="V7" s="339" t="n"/>
      <c r="W7" s="339" t="n"/>
      <c r="X7" s="339" t="n"/>
      <c r="Y7" s="377" t="n"/>
      <c r="Z7" s="377" t="n"/>
      <c r="AA7" s="377" t="n"/>
      <c r="AB7" s="2314" t="inlineStr">
        <is>
          <t>Your social security number</t>
        </is>
      </c>
      <c r="AC7" s="377" t="n"/>
      <c r="AD7" s="2289" t="n"/>
      <c r="AE7" s="2289" t="n"/>
      <c r="AF7" s="2289" t="n"/>
      <c r="AG7" s="2289" t="n"/>
      <c r="AH7" s="2289" t="n"/>
      <c r="AI7" s="2289" t="n"/>
      <c r="AJ7" s="2289" t="n"/>
      <c r="AK7" s="2013" t="n"/>
      <c r="AL7" s="11602" t="n"/>
      <c r="AM7" s="11602" t="n"/>
      <c r="AN7" s="2362" t="n"/>
      <c r="AO7" s="6603" t="n"/>
      <c r="AP7" s="658" t="n"/>
      <c r="AQ7" s="658" t="n"/>
      <c r="AR7" s="658" t="n"/>
      <c r="AS7" s="658" t="n"/>
      <c r="AT7" s="658" t="n"/>
      <c r="AU7" s="658" t="n"/>
      <c r="AV7" s="658" t="n"/>
      <c r="AW7" s="658" t="n"/>
      <c r="AX7" s="658" t="n"/>
      <c r="AY7" s="658" t="n"/>
    </row>
    <row r="8" ht="21" customFormat="1" customHeight="1" s="815">
      <c r="A8" s="2013" t="n"/>
      <c r="B8" s="7909">
        <f>Names</f>
        <v/>
      </c>
      <c r="C8" s="7637" t="n"/>
      <c r="D8" s="7637" t="n"/>
      <c r="E8" s="7637" t="n"/>
      <c r="F8" s="7637" t="n"/>
      <c r="G8" s="7637" t="n"/>
      <c r="H8" s="7637" t="n"/>
      <c r="I8" s="7637" t="n"/>
      <c r="J8" s="7637" t="n"/>
      <c r="K8" s="7637" t="n"/>
      <c r="L8" s="7637" t="n"/>
      <c r="M8" s="7637" t="n"/>
      <c r="N8" s="7637" t="n"/>
      <c r="O8" s="7637" t="n"/>
      <c r="P8" s="7637" t="n"/>
      <c r="Q8" s="7637" t="n"/>
      <c r="R8" s="7637" t="n"/>
      <c r="S8" s="7637" t="n"/>
      <c r="T8" s="7637" t="n"/>
      <c r="U8" s="7637" t="n"/>
      <c r="V8" s="7637" t="n"/>
      <c r="W8" s="7637" t="n"/>
      <c r="X8" s="7637" t="n"/>
      <c r="Y8" s="7637" t="n"/>
      <c r="Z8" s="7637" t="n"/>
      <c r="AA8" s="7638" t="n"/>
      <c r="AB8" s="12553">
        <f>IF(NoSSN,"",SS_Yours)</f>
        <v/>
      </c>
      <c r="AC8" s="7637" t="n"/>
      <c r="AD8" s="7637" t="n"/>
      <c r="AE8" s="7637" t="n"/>
      <c r="AF8" s="7637" t="n"/>
      <c r="AG8" s="7637" t="n"/>
      <c r="AH8" s="7637" t="n"/>
      <c r="AI8" s="7637" t="n"/>
      <c r="AJ8" s="7637" t="n"/>
      <c r="AK8" s="2013" t="n"/>
      <c r="AL8" s="11602" t="n"/>
      <c r="AM8" s="11602" t="n"/>
      <c r="AN8" s="2362" t="n"/>
      <c r="AO8" s="6603" t="n"/>
      <c r="AP8" s="658" t="n"/>
      <c r="AQ8" s="658" t="n"/>
      <c r="AR8" s="658" t="n"/>
      <c r="AS8" s="658" t="n"/>
      <c r="AT8" s="658" t="n"/>
      <c r="AU8" s="658" t="n"/>
      <c r="AV8" s="658" t="n"/>
      <c r="AW8" s="658" t="n"/>
      <c r="AX8" s="658" t="n"/>
      <c r="AY8" s="658" t="n"/>
    </row>
    <row r="9" ht="6" customFormat="1" customHeight="1" s="1115">
      <c r="A9" s="2290" t="n"/>
      <c r="B9" s="2291" t="n"/>
      <c r="C9" s="2291" t="n"/>
      <c r="D9" s="2317" t="n"/>
      <c r="E9" s="2310" t="n"/>
      <c r="F9" s="2291" t="n"/>
      <c r="G9" s="2291" t="n"/>
      <c r="H9" s="2291" t="n"/>
      <c r="I9" s="2291" t="n"/>
      <c r="J9" s="2291" t="n"/>
      <c r="K9" s="2291" t="n"/>
      <c r="L9" s="2291" t="n"/>
      <c r="M9" s="2291" t="n"/>
      <c r="N9" s="2291" t="n"/>
      <c r="O9" s="2291" t="n"/>
      <c r="P9" s="2291" t="n"/>
      <c r="Q9" s="2291" t="n"/>
      <c r="R9" s="2291" t="n"/>
      <c r="S9" s="2291" t="n"/>
      <c r="T9" s="2291" t="n"/>
      <c r="U9" s="2291" t="n"/>
      <c r="V9" s="2291" t="n"/>
      <c r="W9" s="2291" t="n"/>
      <c r="X9" s="2291" t="n"/>
      <c r="Y9" s="2291" t="n"/>
      <c r="Z9" s="2291" t="n"/>
      <c r="AA9" s="2291" t="n"/>
      <c r="AB9" s="2291" t="n"/>
      <c r="AC9" s="2291" t="n"/>
      <c r="AD9" s="2291" t="n"/>
      <c r="AE9" s="2291" t="n"/>
      <c r="AF9" s="2291" t="n"/>
      <c r="AG9" s="2291" t="n"/>
      <c r="AH9" s="2291" t="n"/>
      <c r="AI9" s="2292" t="n"/>
      <c r="AJ9" s="2292" t="n"/>
      <c r="AK9" s="2290" t="n"/>
      <c r="AL9" s="11602" t="n"/>
      <c r="AM9" s="11602" t="n"/>
      <c r="AN9" s="2363" t="n"/>
      <c r="AO9" s="6604" t="n"/>
      <c r="AP9" s="658" t="n"/>
      <c r="AQ9" s="658" t="n"/>
      <c r="AR9" s="658" t="n"/>
      <c r="AS9" s="658" t="n"/>
      <c r="AT9" s="658" t="n"/>
      <c r="AU9" s="658" t="n"/>
      <c r="AV9" s="658" t="n"/>
      <c r="AW9" s="658" t="n"/>
      <c r="AX9" s="658" t="n"/>
      <c r="AY9" s="658" t="n"/>
      <c r="AZ9" s="2293" t="n"/>
    </row>
    <row r="10" ht="19.5" customFormat="1" customHeight="1" s="2321">
      <c r="A10" s="2318" t="n"/>
      <c r="B10" s="7597" t="inlineStr">
        <is>
          <t>Part I</t>
        </is>
      </c>
      <c r="D10" s="2315" t="n"/>
      <c r="E10" s="2323" t="inlineStr">
        <is>
          <t>Residential Clean Energy Credit</t>
        </is>
      </c>
      <c r="F10" s="2319" t="n"/>
      <c r="G10" s="2319" t="n"/>
      <c r="H10" s="2319" t="n"/>
      <c r="I10" s="2319" t="n"/>
      <c r="J10" s="2319" t="n"/>
      <c r="K10" s="2319" t="n"/>
      <c r="L10" s="2319" t="n"/>
      <c r="M10" s="2319" t="n"/>
      <c r="N10" s="2319" t="n"/>
      <c r="O10" s="2319" t="n"/>
      <c r="P10" s="2319" t="n"/>
      <c r="Q10" s="2325" t="inlineStr">
        <is>
          <t>(See instructions before completing this part.)</t>
        </is>
      </c>
      <c r="R10" s="2319" t="n"/>
      <c r="S10" s="2319" t="n"/>
      <c r="T10" s="2319" t="n"/>
      <c r="U10" s="2319" t="n"/>
      <c r="V10" s="2319" t="n"/>
      <c r="W10" s="2319" t="n"/>
      <c r="X10" s="2319" t="n"/>
      <c r="Y10" s="2319" t="n"/>
      <c r="Z10" s="2319" t="n"/>
      <c r="AA10" s="2319" t="n"/>
      <c r="AB10" s="2319" t="n"/>
      <c r="AC10" s="2319" t="n"/>
      <c r="AD10" s="2319" t="n"/>
      <c r="AE10" s="2319" t="n"/>
      <c r="AF10" s="2319" t="n"/>
      <c r="AG10" s="2319" t="n"/>
      <c r="AH10" s="2319" t="n"/>
      <c r="AI10" s="2320" t="n"/>
      <c r="AJ10" s="2320" t="n"/>
      <c r="AK10" s="2318" t="n"/>
      <c r="AL10" s="7772" t="n"/>
      <c r="AM10" s="7772" t="n"/>
      <c r="AN10" s="2364" t="n"/>
      <c r="AO10" s="6604" t="n"/>
      <c r="AP10" s="668" t="n"/>
      <c r="AQ10" s="668" t="n"/>
      <c r="AR10" s="668" t="n"/>
      <c r="AS10" s="668" t="n"/>
      <c r="AT10" s="668" t="n"/>
      <c r="AU10" s="668" t="n"/>
      <c r="AV10" s="668" t="n"/>
      <c r="AW10" s="668" t="n"/>
      <c r="AX10" s="668" t="n"/>
      <c r="AY10" s="668" t="n"/>
      <c r="AZ10" s="2322" t="n"/>
    </row>
    <row r="11" ht="6.75" customFormat="1" customHeight="1" s="1115">
      <c r="A11" s="2290" t="n"/>
      <c r="B11" s="2294" t="n"/>
      <c r="C11" s="2294" t="n"/>
      <c r="D11" s="2295" t="n"/>
      <c r="E11" s="2296" t="n"/>
      <c r="F11" s="2294" t="n"/>
      <c r="G11" s="2294" t="n"/>
      <c r="H11" s="2294" t="n"/>
      <c r="I11" s="2294" t="n"/>
      <c r="J11" s="2294" t="n"/>
      <c r="K11" s="2294" t="n"/>
      <c r="L11" s="2294" t="n"/>
      <c r="M11" s="2294" t="n"/>
      <c r="N11" s="2294" t="n"/>
      <c r="O11" s="2294" t="n"/>
      <c r="P11" s="2294" t="n"/>
      <c r="Q11" s="2294" t="n"/>
      <c r="R11" s="2294" t="n"/>
      <c r="S11" s="2294" t="n"/>
      <c r="T11" s="2294" t="n"/>
      <c r="U11" s="2294" t="n"/>
      <c r="V11" s="2294" t="n"/>
      <c r="W11" s="2294" t="n"/>
      <c r="X11" s="2294" t="n"/>
      <c r="Y11" s="2294" t="n"/>
      <c r="Z11" s="2294" t="n"/>
      <c r="AA11" s="2294" t="n"/>
      <c r="AB11" s="2294" t="n"/>
      <c r="AC11" s="2294" t="n"/>
      <c r="AD11" s="2294" t="n"/>
      <c r="AE11" s="2294" t="n"/>
      <c r="AF11" s="2294" t="n"/>
      <c r="AG11" s="2294" t="n"/>
      <c r="AH11" s="2294" t="n"/>
      <c r="AI11" s="2297" t="n"/>
      <c r="AJ11" s="2297" t="n"/>
      <c r="AK11" s="2290" t="n"/>
      <c r="AL11" s="11602" t="n"/>
      <c r="AM11" s="11602" t="n"/>
      <c r="AN11" s="2363" t="n"/>
      <c r="AO11" s="6604" t="n"/>
      <c r="AP11" s="658" t="n"/>
      <c r="AQ11" s="658" t="n"/>
      <c r="AR11" s="658" t="n"/>
      <c r="AS11" s="658" t="n"/>
      <c r="AT11" s="658" t="n"/>
      <c r="AU11" s="658" t="n"/>
      <c r="AV11" s="658" t="n"/>
      <c r="AW11" s="658" t="n"/>
      <c r="AX11" s="658" t="n"/>
      <c r="AY11" s="658" t="n"/>
      <c r="AZ11" s="2293" t="n"/>
    </row>
    <row r="12" ht="7.5" customFormat="1" customHeight="1" s="1115">
      <c r="A12" s="2290" t="n"/>
      <c r="B12" s="2291" t="n"/>
      <c r="C12" s="2291" t="n"/>
      <c r="D12" s="2317" t="n"/>
      <c r="E12" s="2310" t="n"/>
      <c r="F12" s="2291" t="n"/>
      <c r="G12" s="2291" t="n"/>
      <c r="H12" s="2291" t="n"/>
      <c r="I12" s="2291" t="n"/>
      <c r="J12" s="2291" t="n"/>
      <c r="K12" s="2291" t="n"/>
      <c r="L12" s="2291" t="n"/>
      <c r="M12" s="2291" t="n"/>
      <c r="N12" s="2291" t="n"/>
      <c r="O12" s="2291" t="n"/>
      <c r="P12" s="2291" t="n"/>
      <c r="Q12" s="2291" t="n"/>
      <c r="R12" s="2291" t="n"/>
      <c r="S12" s="2291" t="n"/>
      <c r="T12" s="2291" t="n"/>
      <c r="U12" s="2291" t="n"/>
      <c r="V12" s="2291" t="n"/>
      <c r="W12" s="2291" t="n"/>
      <c r="X12" s="2291" t="n"/>
      <c r="Y12" s="2291" t="n"/>
      <c r="Z12" s="2291" t="n"/>
      <c r="AA12" s="2291" t="n"/>
      <c r="AB12" s="2291" t="n"/>
      <c r="AC12" s="2291" t="n"/>
      <c r="AD12" s="2291" t="n"/>
      <c r="AE12" s="2291" t="n"/>
      <c r="AF12" s="2291" t="n"/>
      <c r="AG12" s="2291" t="n"/>
      <c r="AH12" s="2291" t="n"/>
      <c r="AI12" s="2292" t="n"/>
      <c r="AJ12" s="2292" t="n"/>
      <c r="AK12" s="2290" t="n"/>
      <c r="AL12" s="11602" t="n"/>
      <c r="AM12" s="11602" t="n"/>
      <c r="AN12" s="2363" t="n"/>
      <c r="AO12" s="6604" t="n"/>
      <c r="AP12" s="658" t="n"/>
      <c r="AQ12" s="658" t="n"/>
      <c r="AR12" s="658" t="n"/>
      <c r="AS12" s="658" t="n"/>
      <c r="AT12" s="658" t="n"/>
      <c r="AU12" s="658" t="n"/>
      <c r="AV12" s="658" t="n"/>
      <c r="AW12" s="658" t="n"/>
      <c r="AX12" s="658" t="n"/>
      <c r="AY12" s="658" t="n"/>
      <c r="AZ12" s="2293" t="n"/>
    </row>
    <row r="13" ht="18" customFormat="1" customHeight="1" s="2321">
      <c r="A13" s="2318" t="n"/>
      <c r="B13" s="2329" t="inlineStr">
        <is>
          <t>Note:</t>
        </is>
      </c>
      <c r="C13" s="2320" t="n"/>
      <c r="D13" s="2033" t="inlineStr">
        <is>
          <t>Skip  lines 1 through 11  if you only have a credit carryforward from</t>
        </is>
      </c>
      <c r="E13" s="2320" t="n"/>
      <c r="F13" s="2320" t="n"/>
      <c r="G13" s="2320" t="n"/>
      <c r="H13" s="2320" t="n"/>
      <c r="I13" s="2320" t="n"/>
      <c r="J13" s="2320" t="n"/>
      <c r="K13" s="2320" t="n"/>
      <c r="L13" s="2320" t="n"/>
      <c r="M13" s="2320" t="n"/>
      <c r="N13" s="2320" t="n"/>
      <c r="O13" s="2320" t="n"/>
      <c r="P13" s="2320" t="n"/>
      <c r="Q13" s="2320" t="n"/>
      <c r="R13" s="2320" t="n"/>
      <c r="S13" s="2320" t="n"/>
      <c r="T13" s="2320" t="n"/>
      <c r="U13" s="2320" t="n"/>
      <c r="V13" s="2320" t="n"/>
      <c r="W13" s="1988" t="n"/>
      <c r="X13" s="2328">
        <f>""&amp;TaxYear-1&amp;"."</f>
        <v/>
      </c>
      <c r="Y13" s="1988" t="n"/>
      <c r="Z13" s="2328" t="n"/>
      <c r="AA13" s="2320" t="n"/>
      <c r="AB13" s="2320" t="n"/>
      <c r="AC13" s="2320" t="n"/>
      <c r="AD13" s="2320" t="n"/>
      <c r="AE13" s="2328" t="n"/>
      <c r="AF13" s="2320" t="n"/>
      <c r="AG13" s="2328" t="n"/>
      <c r="AH13" s="2320" t="n"/>
      <c r="AI13" s="2320" t="n"/>
      <c r="AJ13" s="2320" t="n"/>
      <c r="AK13" s="2318" t="n"/>
      <c r="AL13" s="7772" t="n"/>
      <c r="AM13" s="7772" t="n"/>
      <c r="AN13" s="2364" t="n"/>
      <c r="AO13" s="6604" t="n"/>
      <c r="AP13" s="668" t="n"/>
      <c r="AQ13" s="668" t="n"/>
      <c r="AR13" s="668" t="n"/>
      <c r="AS13" s="668" t="n"/>
      <c r="AT13" s="668" t="n"/>
      <c r="AU13" s="668" t="n"/>
      <c r="AV13" s="668" t="n"/>
      <c r="AW13" s="668" t="n"/>
      <c r="AX13" s="668" t="n"/>
      <c r="AY13" s="668" t="n"/>
      <c r="AZ13" s="2322" t="n"/>
    </row>
    <row r="14" ht="8.25" customFormat="1" customHeight="1" s="2321">
      <c r="A14" s="2318" t="n"/>
      <c r="B14" s="2325" t="n"/>
      <c r="C14" s="2319" t="n"/>
      <c r="D14" s="2319" t="n"/>
      <c r="E14" s="2319" t="n"/>
      <c r="F14" s="2319" t="n"/>
      <c r="G14" s="2319" t="n"/>
      <c r="H14" s="2319" t="n"/>
      <c r="I14" s="2319" t="n"/>
      <c r="J14" s="2319" t="n"/>
      <c r="K14" s="2319" t="n"/>
      <c r="L14" s="2319" t="n"/>
      <c r="M14" s="2319" t="n"/>
      <c r="N14" s="2319" t="n"/>
      <c r="O14" s="2319" t="n"/>
      <c r="P14" s="2319" t="n"/>
      <c r="Q14" s="2319" t="n"/>
      <c r="R14" s="2319" t="n"/>
      <c r="S14" s="2319" t="n"/>
      <c r="T14" s="2319" t="n"/>
      <c r="U14" s="2319" t="n"/>
      <c r="V14" s="2319" t="n"/>
      <c r="W14" s="2319" t="n"/>
      <c r="X14" s="2319" t="n"/>
      <c r="Y14" s="2319" t="n"/>
      <c r="Z14" s="2319" t="n"/>
      <c r="AA14" s="2319" t="n"/>
      <c r="AB14" s="2319" t="n"/>
      <c r="AC14" s="2319" t="n"/>
      <c r="AD14" s="2319" t="n"/>
      <c r="AE14" s="2319" t="n"/>
      <c r="AF14" s="2319" t="n"/>
      <c r="AG14" s="2319" t="n"/>
      <c r="AH14" s="2319" t="n"/>
      <c r="AI14" s="2320" t="n"/>
      <c r="AJ14" s="2320" t="n"/>
      <c r="AK14" s="2318" t="n"/>
      <c r="AL14" s="7772" t="n"/>
      <c r="AM14" s="7772" t="n"/>
      <c r="AN14" s="2364" t="n"/>
      <c r="AO14" s="6604" t="n"/>
      <c r="AP14" s="668" t="n"/>
      <c r="AQ14" s="668" t="n"/>
      <c r="AR14" s="668" t="n"/>
      <c r="AS14" s="668" t="n"/>
      <c r="AT14" s="668" t="n"/>
      <c r="AU14" s="668" t="n"/>
      <c r="AV14" s="668" t="n"/>
      <c r="AW14" s="668" t="n"/>
      <c r="AX14" s="668" t="n"/>
      <c r="AY14" s="668" t="n"/>
      <c r="AZ14" s="2322" t="n"/>
    </row>
    <row r="15" ht="15" customFormat="1" customHeight="1" s="2321">
      <c r="A15" s="2318" t="n"/>
      <c r="B15" s="2311" t="inlineStr">
        <is>
          <t>Enter the complete address of the home where you installed the property and/or technology associated with lines 1 through 4 and 5b.</t>
        </is>
      </c>
      <c r="C15" s="2319" t="n"/>
      <c r="D15" s="2319" t="n"/>
      <c r="E15" s="2319" t="n"/>
      <c r="F15" s="2319" t="n"/>
      <c r="G15" s="2319" t="n"/>
      <c r="H15" s="2319" t="n"/>
      <c r="I15" s="2319" t="n"/>
      <c r="J15" s="2319" t="n"/>
      <c r="K15" s="2319" t="n"/>
      <c r="L15" s="2319" t="n"/>
      <c r="M15" s="2319" t="n"/>
      <c r="N15" s="2319" t="n"/>
      <c r="O15" s="2319" t="n"/>
      <c r="P15" s="2319" t="n"/>
      <c r="Q15" s="2319" t="n"/>
      <c r="R15" s="2319" t="n"/>
      <c r="S15" s="2319" t="n"/>
      <c r="T15" s="2319" t="n"/>
      <c r="U15" s="2319" t="n"/>
      <c r="V15" s="2319" t="n"/>
      <c r="W15" s="2319" t="n"/>
      <c r="X15" s="2319" t="n"/>
      <c r="Y15" s="2319" t="n"/>
      <c r="Z15" s="2319" t="n"/>
      <c r="AA15" s="2319" t="n"/>
      <c r="AB15" s="2319" t="n"/>
      <c r="AC15" s="2319" t="n"/>
      <c r="AD15" s="2319" t="n"/>
      <c r="AE15" s="2319" t="n"/>
      <c r="AF15" s="2319" t="n"/>
      <c r="AG15" s="2319" t="n"/>
      <c r="AH15" s="2319" t="n"/>
      <c r="AI15" s="2320" t="n"/>
      <c r="AJ15" s="2320" t="n"/>
      <c r="AK15" s="2318" t="n"/>
      <c r="AL15" s="7772" t="n"/>
      <c r="AM15" s="7772" t="n"/>
      <c r="AN15" s="2364" t="n"/>
      <c r="AO15" s="6604" t="n"/>
      <c r="AP15" s="668" t="n"/>
      <c r="AQ15" s="668" t="n"/>
      <c r="AR15" s="668" t="n"/>
      <c r="AS15" s="668" t="n"/>
      <c r="AT15" s="668" t="n"/>
      <c r="AU15" s="668" t="n"/>
      <c r="AV15" s="668" t="n"/>
      <c r="AW15" s="668" t="n"/>
      <c r="AX15" s="668" t="n"/>
      <c r="AY15" s="668" t="n"/>
      <c r="AZ15" s="2322" t="n"/>
    </row>
    <row r="16" ht="15" customFormat="1" customHeight="1" s="2321">
      <c r="A16" s="2318" t="n"/>
      <c r="B16" s="2311" t="inlineStr">
        <is>
          <t>For more than one home, see instructions.</t>
        </is>
      </c>
      <c r="C16" s="2319" t="n"/>
      <c r="D16" s="2319" t="n"/>
      <c r="E16" s="2319" t="n"/>
      <c r="F16" s="2319" t="n"/>
      <c r="G16" s="2319" t="n"/>
      <c r="H16" s="2319" t="n"/>
      <c r="I16" s="2319" t="n"/>
      <c r="J16" s="2319" t="n"/>
      <c r="K16" s="2319" t="n"/>
      <c r="L16" s="2319" t="n"/>
      <c r="M16" s="2319" t="n"/>
      <c r="N16" s="2319" t="n"/>
      <c r="O16" s="2319" t="n"/>
      <c r="P16" s="2319" t="n"/>
      <c r="Q16" s="2319" t="n"/>
      <c r="R16" s="2319" t="n"/>
      <c r="S16" s="2319" t="n"/>
      <c r="T16" s="2319" t="n"/>
      <c r="U16" s="2319" t="n"/>
      <c r="V16" s="2319" t="n"/>
      <c r="W16" s="2319" t="n"/>
      <c r="X16" s="2319" t="n"/>
      <c r="Y16" s="2319" t="n"/>
      <c r="Z16" s="2319" t="n"/>
      <c r="AA16" s="2319" t="n"/>
      <c r="AB16" s="2319" t="n"/>
      <c r="AC16" s="2319" t="n"/>
      <c r="AD16" s="2319" t="n"/>
      <c r="AE16" s="2319" t="n"/>
      <c r="AF16" s="2319" t="n"/>
      <c r="AG16" s="2319" t="n"/>
      <c r="AH16" s="2319" t="n"/>
      <c r="AI16" s="2320" t="n"/>
      <c r="AJ16" s="2320" t="n"/>
      <c r="AK16" s="2318" t="n"/>
      <c r="AL16" s="7772" t="n"/>
      <c r="AM16" s="7772" t="n"/>
      <c r="AN16" s="2364" t="n"/>
      <c r="AO16" s="6604" t="n"/>
      <c r="AP16" s="668" t="n"/>
      <c r="AQ16" s="668" t="n"/>
      <c r="AR16" s="668" t="n"/>
      <c r="AS16" s="668" t="n"/>
      <c r="AT16" s="668" t="n"/>
      <c r="AU16" s="668" t="n"/>
      <c r="AV16" s="668" t="n"/>
      <c r="AW16" s="668" t="n"/>
      <c r="AX16" s="668" t="n"/>
      <c r="AY16" s="668" t="n"/>
      <c r="AZ16" s="2322" t="n"/>
    </row>
    <row r="17" ht="8.25" customFormat="1" customHeight="1" s="2321">
      <c r="A17" s="2318" t="n"/>
      <c r="B17" s="2311" t="n"/>
      <c r="C17" s="2319" t="n"/>
      <c r="D17" s="2319" t="n"/>
      <c r="E17" s="2319" t="n"/>
      <c r="F17" s="2319" t="n"/>
      <c r="G17" s="2319" t="n"/>
      <c r="H17" s="2319" t="n"/>
      <c r="I17" s="2319" t="n"/>
      <c r="J17" s="2319" t="n"/>
      <c r="K17" s="2319" t="n"/>
      <c r="L17" s="2319" t="n"/>
      <c r="M17" s="2319" t="n"/>
      <c r="N17" s="2319" t="n"/>
      <c r="O17" s="2319" t="n"/>
      <c r="P17" s="2319" t="n"/>
      <c r="Q17" s="2319" t="n"/>
      <c r="R17" s="2319" t="n"/>
      <c r="S17" s="2319" t="n"/>
      <c r="T17" s="2319" t="n"/>
      <c r="U17" s="2319" t="n"/>
      <c r="V17" s="2319" t="n"/>
      <c r="W17" s="2319" t="n"/>
      <c r="X17" s="2319" t="n"/>
      <c r="Y17" s="2319" t="n"/>
      <c r="Z17" s="2319" t="n"/>
      <c r="AA17" s="2319" t="n"/>
      <c r="AB17" s="2319" t="n"/>
      <c r="AC17" s="2319" t="n"/>
      <c r="AD17" s="2319" t="n"/>
      <c r="AE17" s="2319" t="n"/>
      <c r="AF17" s="2319" t="n"/>
      <c r="AG17" s="2319" t="n"/>
      <c r="AH17" s="2319" t="n"/>
      <c r="AI17" s="2320" t="n"/>
      <c r="AJ17" s="2320" t="n"/>
      <c r="AK17" s="2318" t="n"/>
      <c r="AL17" s="7772" t="n"/>
      <c r="AM17" s="7772" t="n"/>
      <c r="AN17" s="2364" t="n"/>
      <c r="AO17" s="6604" t="n"/>
      <c r="AP17" s="668" t="n"/>
      <c r="AQ17" s="668" t="n"/>
      <c r="AR17" s="668" t="n"/>
      <c r="AS17" s="668" t="n"/>
      <c r="AT17" s="668" t="n"/>
      <c r="AU17" s="668" t="n"/>
      <c r="AV17" s="668" t="n"/>
      <c r="AW17" s="668" t="n"/>
      <c r="AX17" s="668" t="n"/>
      <c r="AY17" s="668" t="n"/>
      <c r="AZ17" s="2322" t="n"/>
    </row>
    <row r="18" ht="21" customFormat="1" customHeight="1" s="2327">
      <c r="A18" s="2326" t="n"/>
      <c r="B18" s="10253" t="n"/>
      <c r="C18" s="11717" t="n"/>
      <c r="D18" s="11717" t="n"/>
      <c r="E18" s="11717" t="n"/>
      <c r="F18" s="11717" t="n"/>
      <c r="G18" s="11717" t="n"/>
      <c r="H18" s="11717" t="n"/>
      <c r="I18" s="11717" t="n"/>
      <c r="J18" s="11717" t="n"/>
      <c r="K18" s="11717" t="n"/>
      <c r="L18" s="11717" t="n"/>
      <c r="M18" s="11717" t="n"/>
      <c r="N18" s="11717" t="n"/>
      <c r="O18" s="11717" t="n"/>
      <c r="P18" s="2311" t="n"/>
      <c r="Q18" s="10256" t="n"/>
      <c r="R18" s="11717" t="n"/>
      <c r="S18" s="11717" t="n"/>
      <c r="T18" s="2311" t="n"/>
      <c r="U18" s="10256" t="n"/>
      <c r="V18" s="11717" t="n"/>
      <c r="W18" s="11717" t="n"/>
      <c r="X18" s="11717" t="n"/>
      <c r="Y18" s="11717" t="n"/>
      <c r="Z18" s="11717" t="n"/>
      <c r="AA18" s="11717" t="n"/>
      <c r="AB18" s="2311" t="n"/>
      <c r="AC18" s="10256" t="n"/>
      <c r="AD18" s="11717" t="n"/>
      <c r="AE18" s="11717" t="n"/>
      <c r="AF18" s="2311" t="n"/>
      <c r="AG18" s="12554" t="n"/>
      <c r="AH18" s="11717" t="n"/>
      <c r="AI18" s="11717" t="n"/>
      <c r="AJ18" s="7772" t="n"/>
      <c r="AK18" s="2326" t="n"/>
      <c r="AL18" s="7772" t="n"/>
      <c r="AM18" s="7772" t="n"/>
      <c r="AN18" s="2365" t="n"/>
      <c r="AO18" s="6603" t="n"/>
      <c r="AP18" s="668" t="n"/>
      <c r="AQ18" s="668" t="n"/>
      <c r="AR18" s="668" t="n"/>
      <c r="AS18" s="668" t="n"/>
      <c r="AT18" s="668" t="n"/>
      <c r="AU18" s="668" t="n"/>
      <c r="AV18" s="668" t="n"/>
      <c r="AW18" s="668" t="n"/>
      <c r="AX18" s="668" t="n"/>
      <c r="AY18" s="668" t="n"/>
      <c r="AZ18" s="1405" t="n"/>
    </row>
    <row r="19" ht="14.25" customFormat="1" customHeight="1" s="2321">
      <c r="A19" s="2318" t="n"/>
      <c r="B19" s="1672" t="inlineStr">
        <is>
          <t>Number and street</t>
        </is>
      </c>
      <c r="C19" s="2319" t="n"/>
      <c r="D19" s="2319" t="n"/>
      <c r="E19" s="2319" t="n"/>
      <c r="F19" s="2319" t="n"/>
      <c r="G19" s="2319" t="n"/>
      <c r="H19" s="2319" t="n"/>
      <c r="I19" s="2319" t="n"/>
      <c r="J19" s="2319" t="n"/>
      <c r="K19" s="2319" t="n"/>
      <c r="L19" s="2319" t="n"/>
      <c r="M19" s="2319" t="n"/>
      <c r="N19" s="2319" t="n"/>
      <c r="O19" s="2319" t="n"/>
      <c r="P19" s="2319" t="n"/>
      <c r="Q19" s="1672" t="inlineStr">
        <is>
          <t>Unit no.</t>
        </is>
      </c>
      <c r="R19" s="2319" t="n"/>
      <c r="S19" s="2319" t="n"/>
      <c r="T19" s="2319" t="n"/>
      <c r="U19" s="1672" t="inlineStr">
        <is>
          <t>City or town</t>
        </is>
      </c>
      <c r="V19" s="2319" t="n"/>
      <c r="W19" s="2319" t="n"/>
      <c r="X19" s="2319" t="n"/>
      <c r="Y19" s="2319" t="n"/>
      <c r="Z19" s="2319" t="n"/>
      <c r="AA19" s="2319" t="n"/>
      <c r="AB19" s="1672" t="n"/>
      <c r="AC19" s="1672" t="inlineStr">
        <is>
          <t>State</t>
        </is>
      </c>
      <c r="AD19" s="2319" t="n"/>
      <c r="AE19" s="2319" t="n"/>
      <c r="AF19" s="1672" t="n"/>
      <c r="AG19" s="1672" t="inlineStr">
        <is>
          <t>ZIP code</t>
        </is>
      </c>
      <c r="AH19" s="2319" t="n"/>
      <c r="AI19" s="2320" t="n"/>
      <c r="AJ19" s="2320" t="n"/>
      <c r="AK19" s="2318" t="n"/>
      <c r="AL19" s="7772" t="n"/>
      <c r="AM19" s="7772" t="n"/>
      <c r="AN19" s="2364" t="n"/>
      <c r="AO19" s="6604" t="n"/>
      <c r="AP19" s="668" t="n"/>
      <c r="AQ19" s="668" t="n"/>
      <c r="AR19" s="668" t="n"/>
      <c r="AS19" s="668" t="n"/>
      <c r="AT19" s="668" t="n"/>
      <c r="AU19" s="668" t="n"/>
      <c r="AV19" s="668" t="n"/>
      <c r="AW19" s="668" t="n"/>
      <c r="AX19" s="668" t="n"/>
      <c r="AY19" s="668" t="n"/>
      <c r="AZ19" s="2322" t="n"/>
    </row>
    <row r="20" ht="3" customFormat="1" customHeight="1" s="1115">
      <c r="A20" s="2290" t="n"/>
      <c r="B20" s="2294" t="n"/>
      <c r="C20" s="2294" t="n"/>
      <c r="D20" s="2295" t="n"/>
      <c r="E20" s="2296" t="n"/>
      <c r="F20" s="2294" t="n"/>
      <c r="G20" s="2294" t="n"/>
      <c r="H20" s="2294" t="n"/>
      <c r="I20" s="2294" t="n"/>
      <c r="J20" s="2294" t="n"/>
      <c r="K20" s="2294" t="n"/>
      <c r="L20" s="2294" t="n"/>
      <c r="M20" s="2294" t="n"/>
      <c r="N20" s="2294" t="n"/>
      <c r="O20" s="2294" t="n"/>
      <c r="P20" s="2294" t="n"/>
      <c r="Q20" s="2294" t="n"/>
      <c r="R20" s="2294" t="n"/>
      <c r="S20" s="2294" t="n"/>
      <c r="T20" s="2294" t="n"/>
      <c r="U20" s="2294" t="n"/>
      <c r="V20" s="2294" t="n"/>
      <c r="W20" s="2294" t="n"/>
      <c r="X20" s="2294" t="n"/>
      <c r="Y20" s="2294" t="n"/>
      <c r="Z20" s="2294" t="n"/>
      <c r="AA20" s="2294" t="n"/>
      <c r="AB20" s="2294" t="n"/>
      <c r="AC20" s="2294" t="n"/>
      <c r="AD20" s="2294" t="n"/>
      <c r="AE20" s="2294" t="n"/>
      <c r="AF20" s="2294" t="n"/>
      <c r="AG20" s="2294" t="n"/>
      <c r="AH20" s="2294" t="n"/>
      <c r="AI20" s="2297" t="n"/>
      <c r="AJ20" s="2297" t="n"/>
      <c r="AK20" s="2290" t="n"/>
      <c r="AL20" s="11602" t="n"/>
      <c r="AM20" s="11602" t="n"/>
      <c r="AN20" s="2363" t="n"/>
      <c r="AO20" s="6604" t="n"/>
      <c r="AP20" s="658" t="n"/>
      <c r="AQ20" s="658" t="n"/>
      <c r="AR20" s="658" t="n"/>
      <c r="AS20" s="658" t="n"/>
      <c r="AT20" s="658" t="n"/>
      <c r="AU20" s="658" t="n"/>
      <c r="AV20" s="658" t="n"/>
      <c r="AW20" s="658" t="n"/>
      <c r="AX20" s="658" t="n"/>
      <c r="AY20" s="658" t="n"/>
      <c r="AZ20" s="2293" t="n"/>
    </row>
    <row r="21" ht="15.75" customFormat="1" customHeight="1" s="815">
      <c r="A21" s="2013" t="n"/>
      <c r="B21" s="11191" t="n"/>
      <c r="C21" s="9847" t="n"/>
      <c r="D21" s="9847" t="n"/>
      <c r="E21" s="344" t="n"/>
      <c r="F21" s="344" t="n"/>
      <c r="G21" s="344" t="n"/>
      <c r="H21" s="344" t="n"/>
      <c r="I21" s="344" t="n"/>
      <c r="J21" s="344" t="n"/>
      <c r="K21" s="344" t="n"/>
      <c r="L21" s="344" t="n"/>
      <c r="M21" s="344" t="n"/>
      <c r="N21" s="344" t="n"/>
      <c r="O21" s="344" t="n"/>
      <c r="P21" s="344" t="n"/>
      <c r="Q21" s="344" t="n"/>
      <c r="R21" s="344" t="n"/>
      <c r="S21" s="344" t="n"/>
      <c r="T21" s="344" t="n"/>
      <c r="U21" s="344" t="n"/>
      <c r="V21" s="344" t="n"/>
      <c r="W21" s="344" t="n"/>
      <c r="X21" s="344" t="n"/>
      <c r="Y21" s="344" t="n"/>
      <c r="Z21" s="344" t="n"/>
      <c r="AA21" s="1401" t="n"/>
      <c r="AB21" s="10245" t="n"/>
      <c r="AC21" s="7839" t="n"/>
      <c r="AD21" s="7878" t="n"/>
      <c r="AE21" s="7929" t="n"/>
      <c r="AF21" s="7929" t="n"/>
      <c r="AG21" s="7929" t="n"/>
      <c r="AH21" s="7929" t="n"/>
      <c r="AI21" s="7929" t="n"/>
      <c r="AJ21" s="7929" t="n"/>
      <c r="AK21" s="2013" t="n"/>
      <c r="AL21" s="11602" t="n"/>
      <c r="AM21" s="11602" t="n"/>
      <c r="AN21" s="2362" t="n"/>
      <c r="AO21" s="6603" t="n"/>
      <c r="AP21" s="658" t="n"/>
      <c r="AQ21" s="658" t="n"/>
      <c r="AR21" s="658" t="n"/>
      <c r="AS21" s="658" t="n"/>
      <c r="AT21" s="658" t="n"/>
      <c r="AU21" s="658" t="n"/>
      <c r="AV21" s="658" t="n"/>
      <c r="AW21" s="658" t="n"/>
      <c r="AX21" s="658" t="n"/>
      <c r="AY21" s="658" t="n"/>
    </row>
    <row r="22" ht="21" customFormat="1" customHeight="1" s="815">
      <c r="A22" s="2013" t="n"/>
      <c r="B22" s="11191" t="n">
        <v>1</v>
      </c>
      <c r="C22" s="2379" t="inlineStr">
        <is>
          <t>Qualified solar electric property costs</t>
        </is>
      </c>
      <c r="D22" s="344" t="n"/>
      <c r="E22" s="344" t="n"/>
      <c r="F22" s="344" t="n"/>
      <c r="G22" s="344" t="n"/>
      <c r="H22" s="344" t="n"/>
      <c r="I22" s="344" t="n"/>
      <c r="J22" s="344" t="n"/>
      <c r="K22" s="344" t="n"/>
      <c r="L22" s="344" t="n"/>
      <c r="M22" s="344" t="n"/>
      <c r="N22" s="344" t="n"/>
      <c r="O22" s="344" t="n"/>
      <c r="P22" s="344" t="n"/>
      <c r="Q22" s="344" t="n"/>
      <c r="R22" s="344" t="n"/>
      <c r="S22" s="344" t="n"/>
      <c r="T22" s="344" t="n"/>
      <c r="U22" s="344" t="n"/>
      <c r="V22" s="344" t="n"/>
      <c r="W22" s="344" t="n"/>
      <c r="X22" s="344" t="n"/>
      <c r="Y22" s="344" t="n"/>
      <c r="Z22" s="344" t="n"/>
      <c r="AA22" s="1401" t="inlineStr">
        <is>
          <t xml:space="preserve">.   .   .   .   .   .   .   .   .   .   .   .   .   .   .   .   .   .   .   .   .   .   .   .   .   .  </t>
        </is>
      </c>
      <c r="AB22" s="12555" t="n">
        <v>1</v>
      </c>
      <c r="AC22" s="7636" t="n"/>
      <c r="AD22" s="10259" t="n"/>
      <c r="AE22" s="11717" t="n"/>
      <c r="AF22" s="11717" t="n"/>
      <c r="AG22" s="11717" t="n"/>
      <c r="AH22" s="11717" t="n"/>
      <c r="AI22" s="11717" t="n"/>
      <c r="AJ22" s="11717" t="n"/>
      <c r="AK22" s="2013" t="n"/>
      <c r="AL22" s="11602" t="n"/>
      <c r="AM22" s="11602" t="n"/>
      <c r="AN22" s="989">
        <f>ROUND(AD22,0)</f>
        <v/>
      </c>
      <c r="AO22" s="6603">
        <f>AD22=""</f>
        <v/>
      </c>
      <c r="AP22" s="658" t="n"/>
      <c r="AQ22" s="658" t="n"/>
      <c r="AR22" s="658" t="n"/>
      <c r="AS22" s="658" t="n"/>
      <c r="AT22" s="658" t="n"/>
      <c r="AU22" s="658" t="n"/>
      <c r="AV22" s="658" t="n"/>
      <c r="AW22" s="658" t="n"/>
      <c r="AX22" s="658" t="n"/>
      <c r="AY22" s="658" t="n"/>
    </row>
    <row r="23" ht="8.25" customFormat="1" customHeight="1" s="815">
      <c r="A23" s="2013" t="n"/>
      <c r="B23" s="11191" t="n"/>
      <c r="C23" s="9847" t="n"/>
      <c r="D23" s="9847" t="n"/>
      <c r="E23" s="344" t="n"/>
      <c r="F23" s="344" t="n"/>
      <c r="G23" s="344" t="n"/>
      <c r="H23" s="344" t="n"/>
      <c r="I23" s="344" t="n"/>
      <c r="J23" s="344" t="n"/>
      <c r="K23" s="344" t="n"/>
      <c r="L23" s="344" t="n"/>
      <c r="M23" s="344" t="n"/>
      <c r="N23" s="344" t="n"/>
      <c r="O23" s="344" t="n"/>
      <c r="P23" s="344" t="n"/>
      <c r="Q23" s="344" t="n"/>
      <c r="R23" s="344" t="n"/>
      <c r="S23" s="344" t="n"/>
      <c r="T23" s="344" t="n"/>
      <c r="U23" s="344" t="n"/>
      <c r="V23" s="344" t="n"/>
      <c r="W23" s="344" t="n"/>
      <c r="X23" s="344" t="n"/>
      <c r="Y23" s="344" t="n"/>
      <c r="Z23" s="344" t="n"/>
      <c r="AA23" s="1401" t="n"/>
      <c r="AB23" s="10245" t="n"/>
      <c r="AC23" s="7839" t="n"/>
      <c r="AD23" s="7878" t="n"/>
      <c r="AE23" s="7929" t="n"/>
      <c r="AF23" s="7929" t="n"/>
      <c r="AG23" s="7929" t="n"/>
      <c r="AH23" s="7929" t="n"/>
      <c r="AI23" s="7929" t="n"/>
      <c r="AJ23" s="7929" t="n"/>
      <c r="AK23" s="2013" t="n"/>
      <c r="AL23" s="11602" t="n"/>
      <c r="AM23" s="11602" t="n"/>
      <c r="AN23" s="2362" t="n"/>
      <c r="AO23" s="6603" t="n"/>
      <c r="AP23" s="658" t="n"/>
      <c r="AQ23" s="658" t="n"/>
      <c r="AR23" s="658" t="n"/>
      <c r="AS23" s="658" t="n"/>
      <c r="AT23" s="658" t="n"/>
      <c r="AU23" s="658" t="n"/>
      <c r="AV23" s="658" t="n"/>
      <c r="AW23" s="658" t="n"/>
      <c r="AX23" s="658" t="n"/>
      <c r="AY23" s="658" t="n"/>
    </row>
    <row r="24" ht="21" customFormat="1" customHeight="1" s="815">
      <c r="A24" s="2013" t="n"/>
      <c r="B24" s="11191" t="n">
        <v>2</v>
      </c>
      <c r="C24" s="2379" t="inlineStr">
        <is>
          <t>Qualified solar water heating property costs</t>
        </is>
      </c>
      <c r="D24" s="344" t="n"/>
      <c r="E24" s="344" t="n"/>
      <c r="F24" s="344" t="n"/>
      <c r="G24" s="344" t="n"/>
      <c r="H24" s="344" t="n"/>
      <c r="I24" s="344" t="n"/>
      <c r="J24" s="344" t="n"/>
      <c r="K24" s="344" t="n"/>
      <c r="L24" s="344" t="n"/>
      <c r="M24" s="344" t="n"/>
      <c r="N24" s="344" t="n"/>
      <c r="O24" s="344" t="n"/>
      <c r="P24" s="344" t="n"/>
      <c r="Q24" s="344" t="n"/>
      <c r="R24" s="344" t="n"/>
      <c r="S24" s="344" t="n"/>
      <c r="T24" s="344" t="n"/>
      <c r="U24" s="344" t="n"/>
      <c r="V24" s="344" t="n"/>
      <c r="W24" s="344" t="n"/>
      <c r="X24" s="344" t="n"/>
      <c r="Y24" s="344" t="n"/>
      <c r="Z24" s="344" t="n"/>
      <c r="AA24" s="1401" t="inlineStr">
        <is>
          <t xml:space="preserve">.   .   .   .   .   .   .   .   .   .   .   .   .   .   .   .   .   .   .   .   .   .   .  </t>
        </is>
      </c>
      <c r="AB24" s="12555" t="n">
        <v>2</v>
      </c>
      <c r="AC24" s="7636" t="n"/>
      <c r="AD24" s="10259" t="n"/>
      <c r="AE24" s="11717" t="n"/>
      <c r="AF24" s="11717" t="n"/>
      <c r="AG24" s="11717" t="n"/>
      <c r="AH24" s="11717" t="n"/>
      <c r="AI24" s="11717" t="n"/>
      <c r="AJ24" s="11717" t="n"/>
      <c r="AK24" s="2013" t="n"/>
      <c r="AL24" s="11602" t="n"/>
      <c r="AM24" s="11602" t="n"/>
      <c r="AN24" s="989">
        <f>ROUND(AD24,0)</f>
        <v/>
      </c>
      <c r="AO24" s="6603">
        <f>AD24=""</f>
        <v/>
      </c>
      <c r="AP24" s="658" t="n"/>
      <c r="AQ24" s="658" t="n"/>
      <c r="AR24" s="658" t="n"/>
      <c r="AS24" s="658" t="n"/>
      <c r="AT24" s="658" t="n"/>
      <c r="AU24" s="658" t="n"/>
      <c r="AV24" s="658" t="n"/>
      <c r="AW24" s="658" t="n"/>
      <c r="AX24" s="658" t="n"/>
      <c r="AY24" s="658" t="n"/>
    </row>
    <row r="25" ht="8.25" customFormat="1" customHeight="1" s="815">
      <c r="A25" s="2013" t="n"/>
      <c r="B25" s="11191" t="n"/>
      <c r="C25" s="9847" t="n"/>
      <c r="D25" s="9847" t="n"/>
      <c r="E25" s="344" t="n"/>
      <c r="F25" s="344" t="n"/>
      <c r="G25" s="344" t="n"/>
      <c r="H25" s="344" t="n"/>
      <c r="I25" s="344" t="n"/>
      <c r="J25" s="344" t="n"/>
      <c r="K25" s="344" t="n"/>
      <c r="L25" s="344" t="n"/>
      <c r="M25" s="344" t="n"/>
      <c r="N25" s="344" t="n"/>
      <c r="O25" s="344" t="n"/>
      <c r="P25" s="344" t="n"/>
      <c r="Q25" s="344" t="n"/>
      <c r="R25" s="344" t="n"/>
      <c r="S25" s="344" t="n"/>
      <c r="T25" s="344" t="n"/>
      <c r="U25" s="344" t="n"/>
      <c r="V25" s="344" t="n"/>
      <c r="W25" s="344" t="n"/>
      <c r="X25" s="344" t="n"/>
      <c r="Y25" s="344" t="n"/>
      <c r="Z25" s="344" t="n"/>
      <c r="AA25" s="1401" t="n"/>
      <c r="AB25" s="10245" t="n"/>
      <c r="AC25" s="7839" t="n"/>
      <c r="AD25" s="7878" t="n"/>
      <c r="AE25" s="7929" t="n"/>
      <c r="AF25" s="7929" t="n"/>
      <c r="AG25" s="7929" t="n"/>
      <c r="AH25" s="7929" t="n"/>
      <c r="AI25" s="7929" t="n"/>
      <c r="AJ25" s="7929" t="n"/>
      <c r="AK25" s="2013" t="n"/>
      <c r="AL25" s="11602" t="n"/>
      <c r="AM25" s="11602" t="n"/>
      <c r="AN25" s="2362" t="n"/>
      <c r="AO25" s="6603" t="n"/>
      <c r="AP25" s="658" t="n"/>
      <c r="AQ25" s="658" t="n"/>
      <c r="AR25" s="658" t="n"/>
      <c r="AS25" s="658" t="n"/>
      <c r="AT25" s="658" t="n"/>
      <c r="AU25" s="658" t="n"/>
      <c r="AV25" s="658" t="n"/>
      <c r="AW25" s="658" t="n"/>
      <c r="AX25" s="658" t="n"/>
      <c r="AY25" s="658" t="n"/>
    </row>
    <row r="26" ht="21" customFormat="1" customHeight="1" s="815">
      <c r="A26" s="2013" t="n"/>
      <c r="B26" s="11191" t="n">
        <v>3</v>
      </c>
      <c r="C26" s="2379" t="inlineStr">
        <is>
          <t>Qualified small wind energy property costs</t>
        </is>
      </c>
      <c r="D26" s="344" t="n"/>
      <c r="E26" s="344" t="n"/>
      <c r="F26" s="344" t="n"/>
      <c r="G26" s="344" t="n"/>
      <c r="H26" s="344" t="n"/>
      <c r="I26" s="344" t="n"/>
      <c r="J26" s="344" t="n"/>
      <c r="K26" s="344" t="n"/>
      <c r="L26" s="344" t="n"/>
      <c r="M26" s="344" t="n"/>
      <c r="N26" s="344" t="n"/>
      <c r="O26" s="344" t="n"/>
      <c r="P26" s="344" t="n"/>
      <c r="Q26" s="344" t="n"/>
      <c r="R26" s="344" t="n"/>
      <c r="S26" s="344" t="n"/>
      <c r="T26" s="344" t="n"/>
      <c r="U26" s="344" t="n"/>
      <c r="V26" s="344" t="n"/>
      <c r="W26" s="344" t="n"/>
      <c r="X26" s="344" t="n"/>
      <c r="Y26" s="344" t="n"/>
      <c r="Z26" s="344" t="n"/>
      <c r="AA26" s="1401" t="inlineStr">
        <is>
          <t xml:space="preserve">.   .   .   .   .   .   .   .   .   .   .   .   .   .   .   .   .   .   .   .   .   .   .   .  </t>
        </is>
      </c>
      <c r="AB26" s="12555" t="n">
        <v>3</v>
      </c>
      <c r="AC26" s="7636" t="n"/>
      <c r="AD26" s="10259" t="n"/>
      <c r="AE26" s="11717" t="n"/>
      <c r="AF26" s="11717" t="n"/>
      <c r="AG26" s="11717" t="n"/>
      <c r="AH26" s="11717" t="n"/>
      <c r="AI26" s="11717" t="n"/>
      <c r="AJ26" s="11717" t="n"/>
      <c r="AK26" s="2013" t="n"/>
      <c r="AL26" s="11602" t="n"/>
      <c r="AM26" s="11602" t="n"/>
      <c r="AN26" s="989">
        <f>ROUND(AD26,0)</f>
        <v/>
      </c>
      <c r="AO26" s="6603">
        <f>AD26=""</f>
        <v/>
      </c>
      <c r="AP26" s="658" t="n"/>
      <c r="AQ26" s="658" t="n"/>
      <c r="AR26" s="658" t="n"/>
      <c r="AS26" s="658" t="n"/>
      <c r="AT26" s="658" t="n"/>
      <c r="AU26" s="658" t="n"/>
      <c r="AV26" s="658" t="n"/>
      <c r="AW26" s="658" t="n"/>
      <c r="AX26" s="658" t="n"/>
      <c r="AY26" s="658" t="n"/>
    </row>
    <row r="27" ht="8.25" customFormat="1" customHeight="1" s="815">
      <c r="A27" s="2013" t="n"/>
      <c r="B27" s="11191" t="n"/>
      <c r="C27" s="9847" t="n"/>
      <c r="D27" s="9847" t="n"/>
      <c r="E27" s="344" t="n"/>
      <c r="F27" s="344" t="n"/>
      <c r="G27" s="344" t="n"/>
      <c r="H27" s="344" t="n"/>
      <c r="I27" s="344" t="n"/>
      <c r="J27" s="344" t="n"/>
      <c r="K27" s="344" t="n"/>
      <c r="L27" s="344" t="n"/>
      <c r="M27" s="344" t="n"/>
      <c r="N27" s="344" t="n"/>
      <c r="O27" s="344" t="n"/>
      <c r="P27" s="344" t="n"/>
      <c r="Q27" s="344" t="n"/>
      <c r="R27" s="344" t="n"/>
      <c r="S27" s="344" t="n"/>
      <c r="T27" s="344" t="n"/>
      <c r="U27" s="344" t="n"/>
      <c r="V27" s="344" t="n"/>
      <c r="W27" s="344" t="n"/>
      <c r="X27" s="344" t="n"/>
      <c r="Y27" s="344" t="n"/>
      <c r="Z27" s="344" t="n"/>
      <c r="AA27" s="1401" t="n"/>
      <c r="AB27" s="10245" t="n"/>
      <c r="AC27" s="7839" t="n"/>
      <c r="AD27" s="7878" t="n"/>
      <c r="AE27" s="7929" t="n"/>
      <c r="AF27" s="7929" t="n"/>
      <c r="AG27" s="7929" t="n"/>
      <c r="AH27" s="7929" t="n"/>
      <c r="AI27" s="7929" t="n"/>
      <c r="AJ27" s="7929" t="n"/>
      <c r="AK27" s="2013" t="n"/>
      <c r="AL27" s="11602" t="n"/>
      <c r="AM27" s="11602" t="n"/>
      <c r="AN27" s="2362" t="n"/>
      <c r="AO27" s="6603" t="n"/>
      <c r="AP27" s="658" t="n"/>
      <c r="AQ27" s="658" t="n"/>
      <c r="AR27" s="658" t="n"/>
      <c r="AS27" s="658" t="n"/>
      <c r="AT27" s="658" t="n"/>
      <c r="AU27" s="658" t="n"/>
      <c r="AV27" s="658" t="n"/>
      <c r="AW27" s="658" t="n"/>
      <c r="AX27" s="658" t="n"/>
      <c r="AY27" s="658" t="n"/>
    </row>
    <row r="28" ht="21" customFormat="1" customHeight="1" s="815">
      <c r="A28" s="2013" t="n"/>
      <c r="B28" s="11191" t="n">
        <v>4</v>
      </c>
      <c r="C28" s="2379" t="inlineStr">
        <is>
          <t>Qualified geothermal heat pump property costs</t>
        </is>
      </c>
      <c r="D28" s="344" t="n"/>
      <c r="E28" s="344" t="n"/>
      <c r="F28" s="344" t="n"/>
      <c r="G28" s="344" t="n"/>
      <c r="H28" s="344" t="n"/>
      <c r="I28" s="344" t="n"/>
      <c r="J28" s="344" t="n"/>
      <c r="K28" s="344" t="n"/>
      <c r="L28" s="344" t="n"/>
      <c r="M28" s="344" t="n"/>
      <c r="N28" s="344" t="n"/>
      <c r="O28" s="344" t="n"/>
      <c r="P28" s="344" t="n"/>
      <c r="Q28" s="344" t="n"/>
      <c r="R28" s="344" t="n"/>
      <c r="S28" s="344" t="n"/>
      <c r="T28" s="344" t="n"/>
      <c r="U28" s="344" t="n"/>
      <c r="V28" s="344" t="n"/>
      <c r="W28" s="344" t="n"/>
      <c r="X28" s="344" t="n"/>
      <c r="Y28" s="344" t="n"/>
      <c r="Z28" s="344" t="n"/>
      <c r="AA28" s="1401" t="inlineStr">
        <is>
          <t xml:space="preserve">.   .   .   .   .   .   .   .   .   .   .   .   .   .   .   .   .   .   .   .   .   .  </t>
        </is>
      </c>
      <c r="AB28" s="12555" t="n">
        <v>4</v>
      </c>
      <c r="AC28" s="7636" t="n"/>
      <c r="AD28" s="10252" t="n"/>
      <c r="AE28" s="11717" t="n"/>
      <c r="AF28" s="11717" t="n"/>
      <c r="AG28" s="11717" t="n"/>
      <c r="AH28" s="11717" t="n"/>
      <c r="AI28" s="11717" t="n"/>
      <c r="AJ28" s="11717" t="n"/>
      <c r="AK28" s="2013" t="n"/>
      <c r="AL28" s="11602" t="n"/>
      <c r="AM28" s="11602" t="n"/>
      <c r="AN28" s="989">
        <f>ROUND(AD28,0)</f>
        <v/>
      </c>
      <c r="AO28" s="6603">
        <f>AD28=""</f>
        <v/>
      </c>
      <c r="AP28" s="658" t="n"/>
      <c r="AQ28" s="658" t="n"/>
      <c r="AR28" s="658" t="n"/>
      <c r="AS28" s="658" t="n"/>
      <c r="AT28" s="658" t="n"/>
      <c r="AU28" s="658" t="n"/>
      <c r="AV28" s="658" t="n"/>
      <c r="AW28" s="658" t="n"/>
      <c r="AX28" s="658" t="n"/>
      <c r="AY28" s="658" t="n"/>
    </row>
    <row r="29" ht="8.25" customFormat="1" customHeight="1" s="815">
      <c r="A29" s="2013" t="n"/>
      <c r="B29" s="11191" t="n"/>
      <c r="C29" s="9847" t="n"/>
      <c r="D29" s="9847" t="n"/>
      <c r="E29" s="344" t="n"/>
      <c r="F29" s="344" t="n"/>
      <c r="G29" s="344" t="n"/>
      <c r="H29" s="344" t="n"/>
      <c r="I29" s="344" t="n"/>
      <c r="J29" s="344" t="n"/>
      <c r="K29" s="344" t="n"/>
      <c r="L29" s="344" t="n"/>
      <c r="M29" s="344" t="n"/>
      <c r="N29" s="344" t="n"/>
      <c r="O29" s="344" t="n"/>
      <c r="P29" s="344" t="n"/>
      <c r="Q29" s="344" t="n"/>
      <c r="R29" s="344" t="n"/>
      <c r="S29" s="344" t="n"/>
      <c r="T29" s="344" t="n"/>
      <c r="U29" s="344" t="n"/>
      <c r="V29" s="344" t="n"/>
      <c r="W29" s="344" t="n"/>
      <c r="X29" s="344" t="n"/>
      <c r="Y29" s="344" t="n"/>
      <c r="Z29" s="344" t="n"/>
      <c r="AA29" s="1401" t="n"/>
      <c r="AB29" s="12556" t="n"/>
      <c r="AC29" s="10091" t="n"/>
      <c r="AD29" s="2333" t="n"/>
      <c r="AE29" s="2334" t="n"/>
      <c r="AF29" s="2334" t="n"/>
      <c r="AG29" s="2334" t="n"/>
      <c r="AH29" s="2334" t="n"/>
      <c r="AI29" s="2334" t="n"/>
      <c r="AJ29" s="2334" t="n"/>
      <c r="AK29" s="2013" t="n"/>
      <c r="AL29" s="11602" t="n"/>
      <c r="AM29" s="11602" t="n"/>
      <c r="AN29" s="2362" t="n"/>
      <c r="AO29" s="6603" t="n"/>
      <c r="AP29" s="658" t="n"/>
      <c r="AQ29" s="658" t="n"/>
      <c r="AR29" s="658" t="n"/>
      <c r="AS29" s="658" t="n"/>
      <c r="AT29" s="658" t="n"/>
      <c r="AU29" s="658" t="n"/>
      <c r="AV29" s="658" t="n"/>
      <c r="AW29" s="658" t="n"/>
      <c r="AX29" s="658" t="n"/>
      <c r="AY29" s="658" t="n"/>
    </row>
    <row r="30" ht="15.75" customFormat="1" customHeight="1" s="815">
      <c r="A30" s="2013" t="n"/>
      <c r="B30" s="11191" t="inlineStr">
        <is>
          <t>5a</t>
        </is>
      </c>
      <c r="C30" s="9847" t="inlineStr">
        <is>
          <t>Qualified battery storage technology. Does the qualified battery storage technology have a capacity of</t>
        </is>
      </c>
      <c r="D30" s="9847" t="n"/>
      <c r="E30" s="344" t="n"/>
      <c r="F30" s="344" t="n"/>
      <c r="G30" s="344" t="n"/>
      <c r="H30" s="344" t="n"/>
      <c r="I30" s="344" t="n"/>
      <c r="J30" s="344" t="n"/>
      <c r="K30" s="344" t="n"/>
      <c r="L30" s="344" t="n"/>
      <c r="M30" s="344" t="n"/>
      <c r="N30" s="344" t="n"/>
      <c r="O30" s="344" t="n"/>
      <c r="P30" s="344" t="n"/>
      <c r="Q30" s="344" t="n"/>
      <c r="R30" s="344" t="n"/>
      <c r="S30" s="344" t="n"/>
      <c r="T30" s="344" t="n"/>
      <c r="U30" s="344" t="n"/>
      <c r="V30" s="344" t="n"/>
      <c r="W30" s="344" t="n"/>
      <c r="X30" s="344" t="n"/>
      <c r="Y30" s="344" t="n"/>
      <c r="Z30" s="344" t="n"/>
      <c r="AA30" s="1401" t="n"/>
      <c r="AB30" s="12555" t="n"/>
      <c r="AC30" s="7636" t="n"/>
      <c r="AD30" s="2332" t="n"/>
      <c r="AE30" s="1664" t="n"/>
      <c r="AF30" s="1664" t="n"/>
      <c r="AG30" s="1664" t="n"/>
      <c r="AH30" s="1664" t="n"/>
      <c r="AI30" s="1664" t="n"/>
      <c r="AJ30" s="1664" t="n"/>
      <c r="AK30" s="2013" t="n"/>
      <c r="AL30" s="11602" t="n"/>
      <c r="AM30" s="11602" t="n"/>
      <c r="AN30" s="2362" t="n"/>
      <c r="AO30" s="6603">
        <f>AND(AO22,AO24,AO26,AO28)</f>
        <v/>
      </c>
      <c r="AP30" s="658" t="n"/>
      <c r="AQ30" s="658" t="n"/>
      <c r="AR30" s="658" t="n"/>
      <c r="AS30" s="658" t="n"/>
      <c r="AT30" s="658" t="n"/>
      <c r="AU30" s="658" t="n"/>
      <c r="AV30" s="658" t="n"/>
      <c r="AW30" s="658" t="n"/>
      <c r="AX30" s="658" t="n"/>
      <c r="AY30" s="658" t="n"/>
    </row>
    <row r="31" ht="15.75" customFormat="1" customHeight="1" s="815">
      <c r="A31" s="2013" t="n"/>
      <c r="B31" s="11191" t="n"/>
      <c r="C31" s="9847" t="inlineStr">
        <is>
          <t>at least 3 kilowatt hours? (See instructions.)</t>
        </is>
      </c>
      <c r="D31" s="9847" t="n"/>
      <c r="E31" s="344" t="n"/>
      <c r="F31" s="344" t="n"/>
      <c r="G31" s="344" t="n"/>
      <c r="H31" s="344" t="n"/>
      <c r="I31" s="344" t="n"/>
      <c r="J31" s="344" t="n"/>
      <c r="K31" s="344" t="n"/>
      <c r="L31" s="344" t="n"/>
      <c r="M31" s="344" t="n"/>
      <c r="N31" s="344" t="n"/>
      <c r="O31" s="344" t="n"/>
      <c r="P31" s="344" t="n"/>
      <c r="Q31" s="344" t="n"/>
      <c r="R31" s="344" t="n"/>
      <c r="S31" s="344" t="n"/>
      <c r="T31" s="344" t="n"/>
      <c r="U31" s="344" t="n"/>
      <c r="V31" s="344" t="n"/>
      <c r="W31" s="344" t="n"/>
      <c r="X31" s="344" t="n"/>
      <c r="Y31" s="344" t="n"/>
      <c r="Z31" s="344" t="n"/>
      <c r="AA31" s="1401" t="n"/>
      <c r="AB31" s="12555" t="n"/>
      <c r="AC31" s="7636" t="n"/>
      <c r="AD31" s="2332" t="n"/>
      <c r="AE31" s="1664" t="n"/>
      <c r="AF31" s="1664" t="n"/>
      <c r="AG31" s="1664" t="n"/>
      <c r="AH31" s="1664" t="n"/>
      <c r="AI31" s="1664" t="n"/>
      <c r="AJ31" s="1664" t="n"/>
      <c r="AK31" s="2013" t="n"/>
      <c r="AL31" s="11602" t="n"/>
      <c r="AM31" s="11602" t="n"/>
      <c r="AN31" s="2362" t="n"/>
      <c r="AO31" s="6603" t="n"/>
      <c r="AP31" s="658" t="n"/>
      <c r="AQ31" s="658" t="n"/>
      <c r="AR31" s="658" t="n"/>
      <c r="AS31" s="658" t="n"/>
      <c r="AT31" s="658" t="n"/>
      <c r="AU31" s="658" t="n"/>
      <c r="AV31" s="658" t="n"/>
      <c r="AW31" s="658" t="n"/>
      <c r="AX31" s="658" t="n"/>
      <c r="AY31" s="658" t="n"/>
    </row>
    <row r="32" ht="21" customFormat="1" customHeight="1" s="815">
      <c r="A32" s="2013" t="n"/>
      <c r="B32" s="11191" t="n"/>
      <c r="C32" s="7865" t="inlineStr">
        <is>
          <t>If you checked the “No” box, you cannot claim a credit for qualified battery storage technology</t>
        </is>
      </c>
      <c r="D32" s="344" t="n"/>
      <c r="E32" s="344" t="n"/>
      <c r="F32" s="344" t="n"/>
      <c r="G32" s="344" t="n"/>
      <c r="H32" s="344" t="n"/>
      <c r="I32" s="344" t="n"/>
      <c r="J32" s="344" t="n"/>
      <c r="K32" s="344" t="n"/>
      <c r="L32" s="344" t="n"/>
      <c r="M32" s="344" t="n"/>
      <c r="N32" s="344" t="n"/>
      <c r="O32" s="344" t="n"/>
      <c r="P32" s="344" t="n"/>
      <c r="Q32" s="344" t="n"/>
      <c r="R32" s="344" t="n"/>
      <c r="S32" s="344" t="n"/>
      <c r="T32" s="344" t="n"/>
      <c r="U32" s="344" t="n"/>
      <c r="V32" s="344" t="n"/>
      <c r="W32" s="344" t="n"/>
      <c r="X32" s="344" t="n"/>
      <c r="Y32" s="344" t="n"/>
      <c r="Z32" s="344" t="n"/>
      <c r="AA32" s="1401" t="inlineStr">
        <is>
          <t xml:space="preserve">.   .   .   .  </t>
        </is>
      </c>
      <c r="AB32" s="12555" t="inlineStr">
        <is>
          <t>5a</t>
        </is>
      </c>
      <c r="AC32" s="7636" t="n"/>
      <c r="AD32" s="2332" t="n"/>
      <c r="AE32" s="2335" t="n"/>
      <c r="AF32" s="1664" t="inlineStr">
        <is>
          <t>Yes</t>
        </is>
      </c>
      <c r="AG32" s="1664" t="n"/>
      <c r="AH32" s="2336">
        <f>IF(AND(AE32="",AK32=""),"X","")</f>
        <v/>
      </c>
      <c r="AI32" s="1664" t="inlineStr">
        <is>
          <t>No</t>
        </is>
      </c>
      <c r="AJ32" s="1664" t="n"/>
      <c r="AK32" s="2337" t="inlineStr">
        <is>
          <t>X</t>
        </is>
      </c>
      <c r="AL32" s="2338" t="inlineStr">
        <is>
          <t>Uncheck 'No' box.</t>
        </is>
      </c>
      <c r="AM32" s="11602" t="n"/>
      <c r="AN32" s="2362" t="n"/>
      <c r="AO32" s="6603" t="n"/>
      <c r="AP32" s="658" t="n"/>
      <c r="AQ32" s="658" t="n"/>
      <c r="AR32" s="658" t="n"/>
      <c r="AS32" s="658" t="n"/>
      <c r="AT32" s="658" t="n"/>
      <c r="AU32" s="658" t="n"/>
      <c r="AV32" s="658" t="n"/>
      <c r="AW32" s="658" t="n"/>
      <c r="AX32" s="658" t="n"/>
      <c r="AY32" s="658" t="n"/>
    </row>
    <row r="33" ht="5.25" customFormat="1" customHeight="1" s="815">
      <c r="A33" s="2013" t="n"/>
      <c r="B33" s="11191" t="n"/>
      <c r="C33" s="7865" t="n"/>
      <c r="D33" s="344" t="n"/>
      <c r="E33" s="344" t="n"/>
      <c r="F33" s="344" t="n"/>
      <c r="G33" s="344" t="n"/>
      <c r="H33" s="344" t="n"/>
      <c r="I33" s="344" t="n"/>
      <c r="J33" s="344" t="n"/>
      <c r="K33" s="344" t="n"/>
      <c r="L33" s="344" t="n"/>
      <c r="M33" s="344" t="n"/>
      <c r="N33" s="344" t="n"/>
      <c r="O33" s="344" t="n"/>
      <c r="P33" s="344" t="n"/>
      <c r="Q33" s="344" t="n"/>
      <c r="R33" s="344" t="n"/>
      <c r="S33" s="344" t="n"/>
      <c r="T33" s="344" t="n"/>
      <c r="U33" s="344" t="n"/>
      <c r="V33" s="344" t="n"/>
      <c r="W33" s="344" t="n"/>
      <c r="X33" s="344" t="n"/>
      <c r="Y33" s="344" t="n"/>
      <c r="Z33" s="344" t="n"/>
      <c r="AA33" s="1401" t="n"/>
      <c r="AB33" s="12555" t="n"/>
      <c r="AC33" s="7636" t="n"/>
      <c r="AD33" s="2330" t="n"/>
      <c r="AE33" s="2331" t="n"/>
      <c r="AF33" s="2331" t="n"/>
      <c r="AG33" s="2331" t="n"/>
      <c r="AH33" s="2331" t="n"/>
      <c r="AI33" s="2331" t="n"/>
      <c r="AJ33" s="2331" t="n"/>
      <c r="AK33" s="2013" t="n"/>
      <c r="AL33" s="11602" t="n"/>
      <c r="AM33" s="11602" t="n"/>
      <c r="AN33" s="2362" t="n"/>
      <c r="AO33" s="6603" t="n"/>
      <c r="AP33" s="658" t="n"/>
      <c r="AQ33" s="658" t="n"/>
      <c r="AR33" s="658" t="n"/>
      <c r="AS33" s="658" t="n"/>
      <c r="AT33" s="658" t="n"/>
      <c r="AU33" s="658" t="n"/>
      <c r="AV33" s="658" t="n"/>
      <c r="AW33" s="658" t="n"/>
      <c r="AX33" s="658" t="n"/>
      <c r="AY33" s="658" t="n"/>
    </row>
    <row r="34" ht="21" customFormat="1" customHeight="1" s="815">
      <c r="A34" s="2013" t="n"/>
      <c r="B34" s="11191" t="inlineStr">
        <is>
          <t>b</t>
        </is>
      </c>
      <c r="C34" s="2380" t="inlineStr">
        <is>
          <t>If you checked the “Yes” box, enter the qualified battery technology costs</t>
        </is>
      </c>
      <c r="D34" s="8650" t="n"/>
      <c r="E34" s="344" t="n"/>
      <c r="F34" s="344" t="n"/>
      <c r="G34" s="344" t="n"/>
      <c r="H34" s="344" t="n"/>
      <c r="I34" s="344" t="n"/>
      <c r="J34" s="344" t="n"/>
      <c r="K34" s="344" t="n"/>
      <c r="L34" s="344" t="n"/>
      <c r="M34" s="344" t="n"/>
      <c r="N34" s="344" t="n"/>
      <c r="O34" s="344" t="n"/>
      <c r="P34" s="344" t="n"/>
      <c r="Q34" s="344" t="n"/>
      <c r="R34" s="344" t="n"/>
      <c r="S34" s="344" t="n"/>
      <c r="T34" s="344" t="n"/>
      <c r="U34" s="344" t="n"/>
      <c r="V34" s="344" t="n"/>
      <c r="W34" s="344" t="n"/>
      <c r="X34" s="344" t="n"/>
      <c r="Y34" s="344" t="n"/>
      <c r="Z34" s="344" t="n"/>
      <c r="AA34" s="1401" t="inlineStr">
        <is>
          <t xml:space="preserve">.   .   .   .   .   .   .   .   .  </t>
        </is>
      </c>
      <c r="AB34" s="12556" t="inlineStr">
        <is>
          <t>5b</t>
        </is>
      </c>
      <c r="AC34" s="10091" t="n"/>
      <c r="AD34" s="10252" t="n"/>
      <c r="AE34" s="11717" t="n"/>
      <c r="AF34" s="11717" t="n"/>
      <c r="AG34" s="11717" t="n"/>
      <c r="AH34" s="11717" t="n"/>
      <c r="AI34" s="11717" t="n"/>
      <c r="AJ34" s="11717" t="n"/>
      <c r="AK34" s="2013" t="n"/>
      <c r="AL34" s="11602" t="n"/>
      <c r="AM34" s="10288" t="inlineStr">
        <is>
          <t>Manual
Override ê</t>
        </is>
      </c>
      <c r="AN34" s="989">
        <f>ROUND(AD34,0)</f>
        <v/>
      </c>
      <c r="AO34" s="6603">
        <f>AD34=""</f>
        <v/>
      </c>
      <c r="AP34" s="658" t="n"/>
      <c r="AQ34" s="658" t="n"/>
      <c r="AR34" s="658" t="n"/>
      <c r="AS34" s="658" t="n"/>
      <c r="AT34" s="658" t="n"/>
      <c r="AU34" s="658" t="n"/>
      <c r="AV34" s="658" t="n"/>
      <c r="AW34" s="658" t="n"/>
      <c r="AX34" s="658" t="n"/>
      <c r="AY34" s="658" t="n"/>
    </row>
    <row r="35" ht="8.25" customFormat="1" customHeight="1" s="815" thickBot="1">
      <c r="A35" s="2013" t="n"/>
      <c r="B35" s="11191" t="n"/>
      <c r="C35" s="9847" t="n"/>
      <c r="D35" s="9847" t="n"/>
      <c r="E35" s="344" t="n"/>
      <c r="F35" s="344" t="n"/>
      <c r="G35" s="344" t="n"/>
      <c r="H35" s="344" t="n"/>
      <c r="I35" s="344" t="n"/>
      <c r="J35" s="344" t="n"/>
      <c r="K35" s="344" t="n"/>
      <c r="L35" s="344" t="n"/>
      <c r="M35" s="344" t="n"/>
      <c r="N35" s="344" t="n"/>
      <c r="O35" s="344" t="n"/>
      <c r="P35" s="344" t="n"/>
      <c r="Q35" s="344" t="n"/>
      <c r="R35" s="344" t="n"/>
      <c r="S35" s="344" t="n"/>
      <c r="T35" s="344" t="n"/>
      <c r="U35" s="344" t="n"/>
      <c r="V35" s="344" t="n"/>
      <c r="W35" s="344" t="n"/>
      <c r="X35" s="344" t="n"/>
      <c r="Y35" s="344" t="n"/>
      <c r="Z35" s="344" t="n"/>
      <c r="AA35" s="1401" t="n"/>
      <c r="AB35" s="10245" t="n"/>
      <c r="AC35" s="7839" t="n"/>
      <c r="AD35" s="7878" t="n"/>
      <c r="AE35" s="7929" t="n"/>
      <c r="AF35" s="7929" t="n"/>
      <c r="AG35" s="7929" t="n"/>
      <c r="AH35" s="7929" t="n"/>
      <c r="AI35" s="7929" t="n"/>
      <c r="AJ35" s="7929" t="n"/>
      <c r="AK35" s="2013" t="n"/>
      <c r="AL35" s="11602" t="n"/>
      <c r="AM35" s="8848" t="n"/>
      <c r="AN35" s="2362" t="n"/>
      <c r="AO35" s="6603" t="n"/>
      <c r="AP35" s="658" t="n"/>
      <c r="AQ35" s="658" t="n"/>
      <c r="AR35" s="658" t="n"/>
      <c r="AS35" s="658" t="n"/>
      <c r="AT35" s="658" t="n"/>
      <c r="AU35" s="658" t="n"/>
      <c r="AV35" s="658" t="n"/>
      <c r="AW35" s="658" t="n"/>
      <c r="AX35" s="658" t="n"/>
      <c r="AY35" s="658" t="n"/>
    </row>
    <row r="36" ht="21" customFormat="1" customHeight="1" s="815" thickBot="1">
      <c r="A36" s="2013" t="n"/>
      <c r="B36" s="11191" t="inlineStr">
        <is>
          <t>6a</t>
        </is>
      </c>
      <c r="C36" s="2379" t="inlineStr">
        <is>
          <t>Add lines 1 through 5b</t>
        </is>
      </c>
      <c r="D36" s="344" t="n"/>
      <c r="E36" s="344" t="n"/>
      <c r="F36" s="344" t="n"/>
      <c r="G36" s="344" t="n"/>
      <c r="H36" s="344" t="n"/>
      <c r="I36" s="344" t="n"/>
      <c r="J36" s="344" t="n"/>
      <c r="K36" s="344" t="n"/>
      <c r="L36" s="344" t="n"/>
      <c r="M36" s="344" t="n"/>
      <c r="N36" s="344" t="n"/>
      <c r="O36" s="344" t="n"/>
      <c r="P36" s="344" t="n"/>
      <c r="Q36" s="344" t="n"/>
      <c r="R36" s="344" t="n"/>
      <c r="S36" s="344" t="n"/>
      <c r="T36" s="344" t="n"/>
      <c r="U36" s="344" t="n"/>
      <c r="V36" s="344" t="n"/>
      <c r="W36" s="344" t="n"/>
      <c r="X36" s="344" t="n"/>
      <c r="Y36" s="344" t="n"/>
      <c r="Z36" s="344" t="n"/>
      <c r="AA36" s="1401" t="inlineStr">
        <is>
          <t xml:space="preserve">.   .   .   .   .   .   .   .   .   .   .   .   .   .   .   .   .   .   .   .   .   .   .   .   .   .   .   .   .   .   .  </t>
        </is>
      </c>
      <c r="AB36" s="12555" t="inlineStr">
        <is>
          <t>6a</t>
        </is>
      </c>
      <c r="AC36" s="7636" t="n"/>
      <c r="AD36" s="10249">
        <f>IF(AM36&lt;&gt;"",ROUND(AM36,0),IF(AO36,"",SUM(AN22,AN24,AN26,AN28,AN34)))</f>
        <v/>
      </c>
      <c r="AE36" s="7637" t="n"/>
      <c r="AF36" s="7637" t="n"/>
      <c r="AG36" s="7637" t="n"/>
      <c r="AH36" s="7637" t="n"/>
      <c r="AI36" s="7637" t="n"/>
      <c r="AJ36" s="7637" t="n"/>
      <c r="AK36" s="2013" t="n"/>
      <c r="AL36" s="11602" t="n"/>
      <c r="AM36" s="2361" t="n"/>
      <c r="AN36" s="2362" t="n"/>
      <c r="AO36" s="6603">
        <f>AND(AO30,AO34)</f>
        <v/>
      </c>
      <c r="AP36" s="658" t="n"/>
      <c r="AQ36" s="658" t="n"/>
      <c r="AR36" s="658" t="n"/>
      <c r="AS36" s="658" t="n"/>
      <c r="AT36" s="658" t="n"/>
      <c r="AU36" s="658" t="n"/>
      <c r="AV36" s="658" t="n"/>
      <c r="AW36" s="658" t="n"/>
      <c r="AX36" s="658" t="n"/>
      <c r="AY36" s="658" t="n"/>
    </row>
    <row r="37" ht="8.25" customFormat="1" customHeight="1" s="815" thickBot="1">
      <c r="A37" s="2013" t="n"/>
      <c r="B37" s="11191" t="n"/>
      <c r="C37" s="9847" t="n"/>
      <c r="D37" s="9847" t="n"/>
      <c r="E37" s="344" t="n"/>
      <c r="F37" s="344" t="n"/>
      <c r="G37" s="344" t="n"/>
      <c r="H37" s="344" t="n"/>
      <c r="I37" s="344" t="n"/>
      <c r="J37" s="344" t="n"/>
      <c r="K37" s="344" t="n"/>
      <c r="L37" s="344" t="n"/>
      <c r="M37" s="344" t="n"/>
      <c r="N37" s="344" t="n"/>
      <c r="O37" s="344" t="n"/>
      <c r="P37" s="344" t="n"/>
      <c r="Q37" s="344" t="n"/>
      <c r="R37" s="344" t="n"/>
      <c r="S37" s="344" t="n"/>
      <c r="T37" s="344" t="n"/>
      <c r="U37" s="344" t="n"/>
      <c r="V37" s="344" t="n"/>
      <c r="W37" s="344" t="n"/>
      <c r="X37" s="344" t="n"/>
      <c r="Y37" s="344" t="n"/>
      <c r="Z37" s="344" t="n"/>
      <c r="AA37" s="1401" t="n"/>
      <c r="AB37" s="10245" t="n"/>
      <c r="AC37" s="7839" t="n"/>
      <c r="AD37" s="10250" t="n">
        <v>0.3</v>
      </c>
      <c r="AE37" s="194" t="n"/>
      <c r="AF37" s="194" t="n"/>
      <c r="AG37" s="194" t="n"/>
      <c r="AH37" s="194" t="n"/>
      <c r="AI37" s="194" t="n"/>
      <c r="AJ37" s="194" t="n"/>
      <c r="AK37" s="2013" t="n"/>
      <c r="AL37" s="11602" t="n"/>
      <c r="AM37" s="11602" t="n"/>
      <c r="AN37" s="2362" t="n"/>
      <c r="AO37" s="6603" t="n"/>
      <c r="AP37" s="658" t="n"/>
      <c r="AQ37" s="658" t="n"/>
      <c r="AR37" s="658" t="n"/>
      <c r="AS37" s="658" t="n"/>
      <c r="AT37" s="658" t="n"/>
      <c r="AU37" s="658" t="n"/>
      <c r="AV37" s="658" t="n"/>
      <c r="AW37" s="658" t="n"/>
      <c r="AX37" s="658" t="n"/>
      <c r="AY37" s="658" t="n"/>
    </row>
    <row r="38" ht="21" customFormat="1" customHeight="1" s="815" thickBot="1">
      <c r="A38" s="2013" t="n"/>
      <c r="B38" s="11191" t="inlineStr">
        <is>
          <t>b</t>
        </is>
      </c>
      <c r="C38" s="2379">
        <f>"Multiply line 6a by "&amp;TEXT(AD37,"0%")&amp;", ("&amp;TEXT(AD37,"0.00")&amp;")"</f>
        <v/>
      </c>
      <c r="D38" s="344" t="n"/>
      <c r="E38" s="344" t="n"/>
      <c r="F38" s="344" t="n"/>
      <c r="G38" s="344" t="n"/>
      <c r="H38" s="344" t="n"/>
      <c r="I38" s="344" t="n"/>
      <c r="J38" s="344" t="n"/>
      <c r="K38" s="344" t="n"/>
      <c r="L38" s="344" t="n"/>
      <c r="M38" s="344" t="n"/>
      <c r="N38" s="344" t="n"/>
      <c r="O38" s="344" t="n"/>
      <c r="P38" s="344" t="n"/>
      <c r="Q38" s="344" t="n"/>
      <c r="R38" s="344" t="n"/>
      <c r="S38" s="344" t="n"/>
      <c r="T38" s="344" t="n"/>
      <c r="U38" s="344" t="n"/>
      <c r="V38" s="344" t="n"/>
      <c r="W38" s="344" t="n"/>
      <c r="X38" s="344" t="n"/>
      <c r="Y38" s="344" t="n"/>
      <c r="Z38" s="344" t="n"/>
      <c r="AA38" s="1401" t="inlineStr">
        <is>
          <t xml:space="preserve">.   .   .   .   .   .   .   .   .   .   .   .   .   .   .   .   .   .   .   .   .   .   .   .   .   .   .   .   .   .  </t>
        </is>
      </c>
      <c r="AB38" s="12557" t="inlineStr">
        <is>
          <t>6b</t>
        </is>
      </c>
      <c r="AC38" s="7638" t="n"/>
      <c r="AD38" s="10249">
        <f>IF(AM38&lt;&gt;"",ROUND(AM38,0),IF(AO36,"",ROUND(AD36*AD37,0)))</f>
        <v/>
      </c>
      <c r="AE38" s="7637" t="n"/>
      <c r="AF38" s="7637" t="n"/>
      <c r="AG38" s="7637" t="n"/>
      <c r="AH38" s="7637" t="n"/>
      <c r="AI38" s="7637" t="n"/>
      <c r="AJ38" s="7637" t="n"/>
      <c r="AK38" s="2013" t="n"/>
      <c r="AL38" s="11602" t="n"/>
      <c r="AM38" s="2361" t="n"/>
      <c r="AN38" s="2362" t="n"/>
      <c r="AO38" s="6603" t="n"/>
      <c r="AP38" s="658" t="n"/>
      <c r="AQ38" s="658" t="n"/>
      <c r="AR38" s="658" t="n"/>
      <c r="AS38" s="658" t="n"/>
      <c r="AT38" s="658" t="n"/>
      <c r="AU38" s="658" t="n"/>
      <c r="AV38" s="658" t="n"/>
      <c r="AW38" s="658" t="n"/>
      <c r="AX38" s="658" t="n"/>
      <c r="AY38" s="658" t="n"/>
    </row>
    <row r="39" ht="26.25" customFormat="1" customHeight="1" s="815">
      <c r="A39" s="2013" t="n"/>
      <c r="B39" s="8296" t="inlineStr">
        <is>
          <t>7a</t>
        </is>
      </c>
      <c r="C39" s="2379" t="inlineStr">
        <is>
          <t>Qualified fuel cell property. Was qualified fuel cell property installed on, or in connection</t>
        </is>
      </c>
      <c r="D39" s="7865" t="n"/>
      <c r="E39" s="344" t="n"/>
      <c r="F39" s="344" t="n"/>
      <c r="G39" s="344" t="n"/>
      <c r="H39" s="344" t="n"/>
      <c r="I39" s="344" t="n"/>
      <c r="J39" s="344" t="n"/>
      <c r="K39" s="344" t="n"/>
      <c r="L39" s="344" t="n"/>
      <c r="M39" s="344" t="n"/>
      <c r="N39" s="344" t="n"/>
      <c r="O39" s="344" t="n"/>
      <c r="P39" s="344" t="n"/>
      <c r="Q39" s="344" t="n"/>
      <c r="R39" s="344" t="n"/>
      <c r="S39" s="344" t="n"/>
      <c r="T39" s="344" t="n"/>
      <c r="U39" s="344" t="n"/>
      <c r="V39" s="344" t="n"/>
      <c r="W39" s="344" t="n"/>
      <c r="X39" s="344" t="n"/>
      <c r="Y39" s="344" t="n"/>
      <c r="Z39" s="344" t="n"/>
      <c r="AA39" s="1401" t="n"/>
      <c r="AB39" s="12555" t="n"/>
      <c r="AC39" s="7636" t="n"/>
      <c r="AD39" s="2332" t="n"/>
      <c r="AE39" s="1664" t="n"/>
      <c r="AF39" s="1664" t="n"/>
      <c r="AG39" s="1664" t="n"/>
      <c r="AH39" s="1664" t="n"/>
      <c r="AI39" s="1664" t="n"/>
      <c r="AJ39" s="1664" t="n"/>
      <c r="AK39" s="2013" t="n"/>
      <c r="AL39" s="11602" t="n"/>
      <c r="AM39" s="11602" t="n"/>
      <c r="AN39" s="2362" t="n"/>
      <c r="AO39" s="6603" t="n"/>
      <c r="AP39" s="658" t="n"/>
      <c r="AQ39" s="658" t="n"/>
      <c r="AR39" s="658" t="n"/>
      <c r="AS39" s="658" t="n"/>
      <c r="AT39" s="658" t="n"/>
      <c r="AU39" s="658" t="n"/>
      <c r="AV39" s="658" t="n"/>
      <c r="AW39" s="658" t="n"/>
      <c r="AX39" s="658" t="n"/>
      <c r="AY39" s="658" t="n"/>
    </row>
    <row r="40" ht="21" customFormat="1" customHeight="1" s="815">
      <c r="A40" s="2013" t="n"/>
      <c r="B40" s="11191" t="n"/>
      <c r="C40" s="9847" t="inlineStr">
        <is>
          <t>with, your main home located in the United States? (See instructions.)</t>
        </is>
      </c>
      <c r="D40" s="9847" t="n"/>
      <c r="E40" s="344" t="n"/>
      <c r="F40" s="344" t="n"/>
      <c r="G40" s="344" t="n"/>
      <c r="H40" s="344" t="n"/>
      <c r="I40" s="344" t="n"/>
      <c r="J40" s="344" t="n"/>
      <c r="K40" s="344" t="n"/>
      <c r="L40" s="344" t="n"/>
      <c r="M40" s="344" t="n"/>
      <c r="N40" s="344" t="n"/>
      <c r="O40" s="344" t="n"/>
      <c r="P40" s="344" t="n"/>
      <c r="Q40" s="344" t="n"/>
      <c r="R40" s="344" t="n"/>
      <c r="S40" s="344" t="n"/>
      <c r="T40" s="344" t="n"/>
      <c r="U40" s="344" t="n"/>
      <c r="V40" s="344" t="n"/>
      <c r="W40" s="344" t="n"/>
      <c r="X40" s="344" t="n"/>
      <c r="Y40" s="344" t="n"/>
      <c r="Z40" s="344" t="n"/>
      <c r="AA40" s="1401" t="inlineStr">
        <is>
          <t xml:space="preserve">.   .   .   .   .   .   .   .   .   .   .   .  </t>
        </is>
      </c>
      <c r="AB40" s="12555" t="inlineStr">
        <is>
          <t>7a</t>
        </is>
      </c>
      <c r="AC40" s="7636" t="n"/>
      <c r="AD40" s="2332" t="n"/>
      <c r="AE40" s="2335" t="n"/>
      <c r="AF40" s="1664" t="inlineStr">
        <is>
          <t>Yes</t>
        </is>
      </c>
      <c r="AG40" s="1664" t="n"/>
      <c r="AH40" s="2336">
        <f>IF(AND(AE40="",AK40=""),"X","")</f>
        <v/>
      </c>
      <c r="AI40" s="1664" t="inlineStr">
        <is>
          <t>No</t>
        </is>
      </c>
      <c r="AJ40" s="1664" t="n"/>
      <c r="AK40" s="2337" t="inlineStr">
        <is>
          <t>X</t>
        </is>
      </c>
      <c r="AL40" s="2338" t="inlineStr">
        <is>
          <t>Uncheck 'No' box.</t>
        </is>
      </c>
      <c r="AM40" s="11602" t="n"/>
      <c r="AN40" s="2362" t="n"/>
      <c r="AO40" s="6603" t="n"/>
      <c r="AP40" s="658" t="n"/>
      <c r="AQ40" s="658" t="n"/>
      <c r="AR40" s="658" t="n"/>
      <c r="AS40" s="658" t="n"/>
      <c r="AT40" s="658" t="n"/>
      <c r="AU40" s="658" t="n"/>
      <c r="AV40" s="658" t="n"/>
      <c r="AW40" s="658" t="n"/>
      <c r="AX40" s="658" t="n"/>
      <c r="AY40" s="658" t="n"/>
    </row>
    <row r="41" ht="5.25" customFormat="1" customHeight="1" s="815">
      <c r="A41" s="2013" t="n"/>
      <c r="B41" s="11191" t="n"/>
      <c r="C41" s="7865" t="n"/>
      <c r="D41" s="344" t="n"/>
      <c r="E41" s="344" t="n"/>
      <c r="F41" s="344" t="n"/>
      <c r="G41" s="344" t="n"/>
      <c r="H41" s="344" t="n"/>
      <c r="I41" s="344" t="n"/>
      <c r="J41" s="344" t="n"/>
      <c r="K41" s="344" t="n"/>
      <c r="L41" s="344" t="n"/>
      <c r="M41" s="344" t="n"/>
      <c r="N41" s="344" t="n"/>
      <c r="O41" s="344" t="n"/>
      <c r="P41" s="344" t="n"/>
      <c r="Q41" s="344" t="n"/>
      <c r="R41" s="344" t="n"/>
      <c r="S41" s="344" t="n"/>
      <c r="T41" s="344" t="n"/>
      <c r="U41" s="344" t="n"/>
      <c r="V41" s="344" t="n"/>
      <c r="W41" s="344" t="n"/>
      <c r="X41" s="344" t="n"/>
      <c r="Y41" s="344" t="n"/>
      <c r="Z41" s="344" t="n"/>
      <c r="AA41" s="1401" t="n"/>
      <c r="AB41" s="12555" t="n"/>
      <c r="AC41" s="7636" t="n"/>
      <c r="AD41" s="2330" t="n"/>
      <c r="AE41" s="2331" t="n"/>
      <c r="AF41" s="2331" t="n"/>
      <c r="AG41" s="2331" t="n"/>
      <c r="AH41" s="2331" t="n"/>
      <c r="AI41" s="2331" t="n"/>
      <c r="AJ41" s="2331" t="n"/>
      <c r="AK41" s="2013" t="n"/>
      <c r="AL41" s="11602" t="n"/>
      <c r="AM41" s="11602" t="n"/>
      <c r="AN41" s="2362" t="n"/>
      <c r="AO41" s="6603" t="n"/>
      <c r="AP41" s="658" t="n"/>
      <c r="AQ41" s="658" t="n"/>
      <c r="AR41" s="658" t="n"/>
      <c r="AS41" s="658" t="n"/>
      <c r="AT41" s="658" t="n"/>
      <c r="AU41" s="658" t="n"/>
      <c r="AV41" s="658" t="n"/>
      <c r="AW41" s="658" t="n"/>
      <c r="AX41" s="658" t="n"/>
      <c r="AY41" s="658" t="n"/>
    </row>
    <row r="42" ht="15.75" customFormat="1" customHeight="1" s="815">
      <c r="A42" s="2013" t="n"/>
      <c r="B42" s="11191" t="n"/>
      <c r="C42" s="2380" t="inlineStr">
        <is>
          <t>If you checked the “No” box, you cannot claim a credit for qualified fuel cell property.</t>
        </is>
      </c>
      <c r="D42" s="8650" t="n"/>
      <c r="E42" s="344" t="n"/>
      <c r="F42" s="344" t="n"/>
      <c r="G42" s="344" t="n"/>
      <c r="H42" s="344" t="n"/>
      <c r="I42" s="344" t="n"/>
      <c r="J42" s="344" t="n"/>
      <c r="K42" s="344" t="n"/>
      <c r="L42" s="344" t="n"/>
      <c r="M42" s="344" t="n"/>
      <c r="N42" s="344" t="n"/>
      <c r="O42" s="344" t="n"/>
      <c r="P42" s="344" t="n"/>
      <c r="Q42" s="344" t="n"/>
      <c r="R42" s="344" t="n"/>
      <c r="S42" s="2300" t="n"/>
      <c r="T42" s="344" t="n"/>
      <c r="U42" s="344" t="n"/>
      <c r="V42" s="344" t="n"/>
      <c r="W42" s="9750" t="n"/>
      <c r="X42" s="1205" t="n"/>
      <c r="Y42" s="1205" t="n"/>
      <c r="Z42" s="1205" t="n"/>
      <c r="AA42" s="1401" t="n"/>
      <c r="AB42" s="12558" t="n"/>
      <c r="AC42" s="10091" t="n"/>
      <c r="AD42" s="7878" t="n"/>
      <c r="AE42" s="11745" t="n"/>
      <c r="AF42" s="11745" t="n"/>
      <c r="AG42" s="11745" t="n"/>
      <c r="AH42" s="11745" t="n"/>
      <c r="AI42" s="11745" t="n"/>
      <c r="AJ42" s="11745" t="n"/>
      <c r="AK42" s="2013" t="n"/>
      <c r="AL42" s="11602" t="n"/>
      <c r="AM42" s="2367">
        <f>AE40=""</f>
        <v/>
      </c>
      <c r="AN42" s="2362" t="n"/>
      <c r="AO42" s="6603" t="n"/>
      <c r="AP42" s="658" t="n"/>
      <c r="AQ42" s="658" t="n"/>
      <c r="AR42" s="658" t="n"/>
      <c r="AS42" s="658" t="n"/>
      <c r="AT42" s="658" t="n"/>
      <c r="AU42" s="658" t="n"/>
      <c r="AV42" s="658" t="n"/>
      <c r="AW42" s="658" t="n"/>
      <c r="AX42" s="658" t="n"/>
      <c r="AY42" s="658" t="n"/>
    </row>
    <row r="43" ht="15.75" customFormat="1" customHeight="1" s="815">
      <c r="A43" s="2013" t="n"/>
      <c r="B43" s="11191" t="n"/>
      <c r="C43" s="2380" t="inlineStr">
        <is>
          <t>Skip lines 7b through 11</t>
        </is>
      </c>
      <c r="D43" s="8650" t="n"/>
      <c r="E43" s="344" t="n"/>
      <c r="F43" s="344" t="n"/>
      <c r="G43" s="344" t="n"/>
      <c r="H43" s="344" t="n"/>
      <c r="I43" s="344" t="n"/>
      <c r="J43" s="344" t="n"/>
      <c r="K43" s="344" t="n"/>
      <c r="L43" s="344" t="n"/>
      <c r="M43" s="344" t="n"/>
      <c r="N43" s="344" t="n"/>
      <c r="O43" s="344" t="n"/>
      <c r="P43" s="344" t="n"/>
      <c r="Q43" s="344" t="n"/>
      <c r="R43" s="344" t="n"/>
      <c r="S43" s="2300" t="n"/>
      <c r="T43" s="344" t="n"/>
      <c r="U43" s="344" t="n"/>
      <c r="V43" s="344" t="n"/>
      <c r="W43" s="9750" t="n"/>
      <c r="X43" s="1205" t="n"/>
      <c r="Y43" s="1205" t="n"/>
      <c r="Z43" s="1205" t="n"/>
      <c r="AA43" s="1401" t="n"/>
      <c r="AB43" s="2339" t="n"/>
      <c r="AC43" s="2340" t="n"/>
      <c r="AD43" s="1803" t="n"/>
      <c r="AE43" s="1806" t="n"/>
      <c r="AF43" s="1806" t="n"/>
      <c r="AG43" s="1806" t="n"/>
      <c r="AH43" s="1806" t="n"/>
      <c r="AI43" s="1806" t="n"/>
      <c r="AJ43" s="1806" t="n"/>
      <c r="AK43" s="2013" t="n"/>
      <c r="AL43" s="2374">
        <f>IF(AND(NOT(AO36),AM42),"Skip lines 7b through 11.","")</f>
        <v/>
      </c>
      <c r="AM43" s="2374" t="n"/>
      <c r="AN43" s="2362" t="n"/>
      <c r="AO43" s="6603" t="n"/>
      <c r="AP43" s="658" t="n"/>
      <c r="AQ43" s="658" t="n"/>
      <c r="AR43" s="658" t="n"/>
      <c r="AS43" s="658" t="n"/>
      <c r="AT43" s="658" t="n"/>
      <c r="AU43" s="658" t="n"/>
      <c r="AV43" s="658" t="n"/>
      <c r="AW43" s="658" t="n"/>
      <c r="AX43" s="658" t="n"/>
      <c r="AY43" s="658" t="n"/>
    </row>
    <row r="44" ht="24" customFormat="1" customHeight="1" s="815">
      <c r="A44" s="2013" t="n"/>
      <c r="B44" s="8296" t="inlineStr">
        <is>
          <t>b</t>
        </is>
      </c>
      <c r="C44" s="2380" t="inlineStr">
        <is>
          <t>Enter the complete address of the main home where you installed the fuel cell property.</t>
        </is>
      </c>
      <c r="D44" s="8650" t="n"/>
      <c r="E44" s="344" t="n"/>
      <c r="F44" s="344" t="n"/>
      <c r="G44" s="344" t="n"/>
      <c r="H44" s="344" t="n"/>
      <c r="I44" s="344" t="n"/>
      <c r="J44" s="344" t="n"/>
      <c r="K44" s="344" t="n"/>
      <c r="L44" s="344" t="n"/>
      <c r="M44" s="344" t="n"/>
      <c r="N44" s="344" t="n"/>
      <c r="O44" s="344" t="n"/>
      <c r="P44" s="344" t="n"/>
      <c r="Q44" s="344" t="n"/>
      <c r="R44" s="344" t="n"/>
      <c r="S44" s="2300" t="n"/>
      <c r="T44" s="344" t="n"/>
      <c r="U44" s="344" t="n"/>
      <c r="V44" s="344" t="n"/>
      <c r="W44" s="9750" t="n"/>
      <c r="X44" s="1205" t="n"/>
      <c r="Y44" s="1205" t="n"/>
      <c r="Z44" s="1205" t="n"/>
      <c r="AA44" s="1401" t="n"/>
      <c r="AB44" s="2339" t="n"/>
      <c r="AC44" s="2340" t="n"/>
      <c r="AD44" s="1803" t="n"/>
      <c r="AE44" s="1806" t="n"/>
      <c r="AF44" s="1806" t="n"/>
      <c r="AG44" s="1806" t="n"/>
      <c r="AH44" s="1806" t="n"/>
      <c r="AI44" s="1806" t="n"/>
      <c r="AJ44" s="1806" t="n"/>
      <c r="AK44" s="2013" t="n"/>
      <c r="AL44" s="11602" t="n"/>
      <c r="AM44" s="226" t="n"/>
      <c r="AN44" s="2362" t="n"/>
      <c r="AO44" s="6603" t="n"/>
      <c r="AP44" s="658" t="n"/>
      <c r="AQ44" s="658" t="n"/>
      <c r="AR44" s="658" t="n"/>
      <c r="AS44" s="658" t="n"/>
      <c r="AT44" s="658" t="n"/>
      <c r="AU44" s="658" t="n"/>
      <c r="AV44" s="658" t="n"/>
      <c r="AW44" s="658" t="n"/>
      <c r="AX44" s="658" t="n"/>
      <c r="AY44" s="658" t="n"/>
    </row>
    <row r="45" ht="9" customFormat="1" customHeight="1" s="815">
      <c r="A45" s="2013" t="n"/>
      <c r="B45" s="11191" t="n"/>
      <c r="C45" s="2299" t="n"/>
      <c r="D45" s="8650" t="n"/>
      <c r="E45" s="344" t="n"/>
      <c r="F45" s="344" t="n"/>
      <c r="G45" s="344" t="n"/>
      <c r="H45" s="344" t="n"/>
      <c r="I45" s="344" t="n"/>
      <c r="J45" s="344" t="n"/>
      <c r="K45" s="344" t="n"/>
      <c r="L45" s="344" t="n"/>
      <c r="M45" s="344" t="n"/>
      <c r="N45" s="344" t="n"/>
      <c r="O45" s="344" t="n"/>
      <c r="P45" s="344" t="n"/>
      <c r="Q45" s="344" t="n"/>
      <c r="R45" s="344" t="n"/>
      <c r="S45" s="2300" t="n"/>
      <c r="T45" s="344" t="n"/>
      <c r="U45" s="344" t="n"/>
      <c r="V45" s="344" t="n"/>
      <c r="W45" s="9750" t="n"/>
      <c r="X45" s="1205" t="n"/>
      <c r="Y45" s="1205" t="n"/>
      <c r="Z45" s="1205" t="n"/>
      <c r="AA45" s="1401" t="n"/>
      <c r="AB45" s="2339" t="n"/>
      <c r="AC45" s="2340" t="n"/>
      <c r="AD45" s="1803" t="n"/>
      <c r="AE45" s="1806" t="n"/>
      <c r="AF45" s="1806" t="n"/>
      <c r="AG45" s="1806" t="n"/>
      <c r="AH45" s="1806" t="n"/>
      <c r="AI45" s="1806" t="n"/>
      <c r="AJ45" s="1806" t="n"/>
      <c r="AK45" s="2013" t="n"/>
      <c r="AL45" s="11602" t="n"/>
      <c r="AM45" s="226" t="n"/>
      <c r="AN45" s="2362" t="n"/>
      <c r="AO45" s="6603" t="n"/>
      <c r="AP45" s="658" t="n"/>
      <c r="AQ45" s="658" t="n"/>
      <c r="AR45" s="658" t="n"/>
      <c r="AS45" s="658" t="n"/>
      <c r="AT45" s="658" t="n"/>
      <c r="AU45" s="658" t="n"/>
      <c r="AV45" s="658" t="n"/>
      <c r="AW45" s="658" t="n"/>
      <c r="AX45" s="658" t="n"/>
      <c r="AY45" s="658" t="n"/>
    </row>
    <row r="46" ht="21.75" customFormat="1" customHeight="1" s="815">
      <c r="A46" s="2013" t="n"/>
      <c r="B46" s="2316" t="n"/>
      <c r="C46" s="10234" t="n"/>
      <c r="D46" s="11717" t="n"/>
      <c r="E46" s="11717" t="n"/>
      <c r="F46" s="11717" t="n"/>
      <c r="G46" s="11717" t="n"/>
      <c r="H46" s="11717" t="n"/>
      <c r="I46" s="11717" t="n"/>
      <c r="J46" s="11717" t="n"/>
      <c r="K46" s="11717" t="n"/>
      <c r="L46" s="11717" t="n"/>
      <c r="M46" s="11717" t="n"/>
      <c r="N46" s="2378" t="n"/>
      <c r="O46" s="11717" t="n"/>
      <c r="P46" s="12559" t="n"/>
      <c r="Q46" s="12560" t="n"/>
      <c r="R46" s="11717" t="n"/>
      <c r="S46" s="11717" t="n"/>
      <c r="T46" s="11717" t="n"/>
      <c r="U46" s="11717" t="n"/>
      <c r="V46" s="12559" t="n"/>
      <c r="W46" s="2378" t="n"/>
      <c r="X46" s="12561" t="n"/>
      <c r="Y46" s="11717" t="n"/>
      <c r="Z46" s="11717" t="n"/>
      <c r="AA46" s="11718" t="n"/>
      <c r="AB46" s="2342" t="n"/>
      <c r="AC46" s="2340" t="n"/>
      <c r="AD46" s="2316" t="n"/>
      <c r="AE46" s="2316" t="n"/>
      <c r="AF46" s="2316" t="n"/>
      <c r="AG46" s="2316" t="n"/>
      <c r="AH46" s="2316" t="n"/>
      <c r="AI46" s="2316" t="n"/>
      <c r="AJ46" s="2316" t="n"/>
      <c r="AK46" s="2013" t="n"/>
      <c r="AL46" s="11602" t="n"/>
      <c r="AM46" s="512" t="n"/>
      <c r="AN46" s="2362" t="n"/>
      <c r="AO46" s="6603" t="n"/>
      <c r="AP46" s="658" t="n"/>
      <c r="AQ46" s="658" t="n"/>
      <c r="AR46" s="658" t="n"/>
      <c r="AS46" s="658" t="n"/>
      <c r="AT46" s="658" t="n"/>
      <c r="AU46" s="658" t="n"/>
      <c r="AV46" s="658" t="n"/>
      <c r="AW46" s="658" t="n"/>
      <c r="AX46" s="658" t="n"/>
      <c r="AY46" s="658" t="n"/>
    </row>
    <row r="47" ht="18" customFormat="1" customHeight="1" s="815">
      <c r="A47" s="2013" t="n"/>
      <c r="B47" s="2316" t="n"/>
      <c r="C47" s="1672" t="inlineStr">
        <is>
          <t>Number and street</t>
        </is>
      </c>
      <c r="D47" s="2377" t="n"/>
      <c r="E47" s="2377" t="n"/>
      <c r="F47" s="2377" t="n"/>
      <c r="G47" s="2377" t="n"/>
      <c r="H47" s="2377" t="n"/>
      <c r="I47" s="2377" t="n"/>
      <c r="J47" s="2377" t="n"/>
      <c r="K47" s="2377" t="n"/>
      <c r="L47" s="2377" t="n"/>
      <c r="M47" s="2377" t="n"/>
      <c r="N47" s="1672" t="inlineStr">
        <is>
          <t>Unit no.</t>
        </is>
      </c>
      <c r="O47" s="2377" t="n"/>
      <c r="P47" s="2377" t="n"/>
      <c r="Q47" s="1672" t="inlineStr">
        <is>
          <t>City or town</t>
        </is>
      </c>
      <c r="R47" s="2377" t="n"/>
      <c r="S47" s="2377" t="n"/>
      <c r="T47" s="2377" t="n"/>
      <c r="U47" s="2377" t="n"/>
      <c r="V47" s="2377" t="n"/>
      <c r="W47" s="1672" t="inlineStr">
        <is>
          <t>State</t>
        </is>
      </c>
      <c r="X47" s="1672" t="inlineStr">
        <is>
          <t>ZIP code</t>
        </is>
      </c>
      <c r="Y47" s="2377" t="n"/>
      <c r="Z47" s="2377" t="n"/>
      <c r="AA47" s="2377" t="n"/>
      <c r="AB47" s="2339" t="n"/>
      <c r="AC47" s="2340" t="n"/>
      <c r="AD47" s="2316" t="n"/>
      <c r="AE47" s="2316" t="n"/>
      <c r="AF47" s="2316" t="n"/>
      <c r="AG47" s="2316" t="n"/>
      <c r="AH47" s="2316" t="n"/>
      <c r="AI47" s="2316" t="n"/>
      <c r="AJ47" s="2316" t="n"/>
      <c r="AK47" s="2013" t="n"/>
      <c r="AL47" s="11602" t="n"/>
      <c r="AM47" s="512" t="n"/>
      <c r="AN47" s="2362" t="n"/>
      <c r="AO47" s="6603" t="n"/>
      <c r="AP47" s="658" t="n"/>
      <c r="AQ47" s="658" t="n"/>
      <c r="AR47" s="658" t="n"/>
      <c r="AS47" s="658" t="n"/>
      <c r="AT47" s="658" t="n"/>
      <c r="AU47" s="658" t="n"/>
      <c r="AV47" s="658" t="n"/>
      <c r="AW47" s="658" t="n"/>
      <c r="AX47" s="658" t="n"/>
      <c r="AY47" s="658" t="n"/>
    </row>
    <row r="48" ht="6.75" customFormat="1" customHeight="1" s="815">
      <c r="A48" s="2013" t="n"/>
      <c r="B48" s="11191" t="n"/>
      <c r="C48" s="2299" t="n"/>
      <c r="D48" s="8650" t="n"/>
      <c r="E48" s="344" t="n"/>
      <c r="F48" s="344" t="n"/>
      <c r="G48" s="344" t="n"/>
      <c r="H48" s="344" t="n"/>
      <c r="I48" s="344" t="n"/>
      <c r="J48" s="344" t="n"/>
      <c r="K48" s="1061" t="n"/>
      <c r="L48" s="2300" t="n"/>
      <c r="M48" s="2301" t="n"/>
      <c r="N48" s="1061" t="n"/>
      <c r="O48" s="1061" t="n"/>
      <c r="P48" s="1061" t="n"/>
      <c r="Q48" s="1061" t="n"/>
      <c r="R48" s="1061" t="n"/>
      <c r="S48" s="344" t="n"/>
      <c r="T48" s="344" t="n"/>
      <c r="U48" s="344" t="n"/>
      <c r="V48" s="344" t="n"/>
      <c r="W48" s="9750" t="n"/>
      <c r="X48" s="1205" t="n"/>
      <c r="Y48" s="1205" t="n"/>
      <c r="Z48" s="1205" t="n"/>
      <c r="AA48" s="1401" t="n"/>
      <c r="AB48" s="2339" t="n"/>
      <c r="AC48" s="2340" t="n"/>
      <c r="AD48" s="1803" t="n"/>
      <c r="AE48" s="1806" t="n"/>
      <c r="AF48" s="1806" t="n"/>
      <c r="AG48" s="1806" t="n"/>
      <c r="AH48" s="1806" t="n"/>
      <c r="AI48" s="1806" t="n"/>
      <c r="AJ48" s="1806" t="n"/>
      <c r="AK48" s="2013" t="n"/>
      <c r="AL48" s="11602" t="n"/>
      <c r="AM48" s="7772" t="n"/>
      <c r="AN48" s="2362" t="n"/>
      <c r="AO48" s="6603" t="n"/>
      <c r="AP48" s="658" t="n"/>
      <c r="AQ48" s="658" t="n"/>
      <c r="AR48" s="658" t="n"/>
      <c r="AS48" s="658" t="n"/>
      <c r="AT48" s="658" t="n"/>
      <c r="AU48" s="658" t="n"/>
      <c r="AV48" s="658" t="n"/>
      <c r="AW48" s="658" t="n"/>
      <c r="AX48" s="658" t="n"/>
      <c r="AY48" s="658" t="n"/>
    </row>
    <row r="49" ht="15.75" customFormat="1" customHeight="1" s="815">
      <c r="A49" s="2013" t="n"/>
      <c r="B49" s="8296" t="inlineStr">
        <is>
          <t>c</t>
        </is>
      </c>
      <c r="C49" s="2299" t="inlineStr">
        <is>
          <t>If the special rule for joint occupants applies, check here</t>
        </is>
      </c>
      <c r="D49" s="8650" t="n"/>
      <c r="E49" s="344" t="n"/>
      <c r="F49" s="344" t="n"/>
      <c r="G49" s="344" t="n"/>
      <c r="H49" s="344" t="n"/>
      <c r="I49" s="344" t="n"/>
      <c r="J49" s="344" t="n"/>
      <c r="K49" s="344" t="n"/>
      <c r="L49" s="344" t="n"/>
      <c r="M49" s="344" t="n"/>
      <c r="N49" s="344" t="n"/>
      <c r="O49" s="344" t="n"/>
      <c r="P49" s="344" t="n"/>
      <c r="Q49" s="384" t="n"/>
      <c r="R49" s="2299" t="inlineStr">
        <is>
          <t xml:space="preserve"> and attach a statement. (See instructions.)</t>
        </is>
      </c>
      <c r="S49" s="344" t="n"/>
      <c r="T49" s="344" t="n"/>
      <c r="U49" s="344" t="n"/>
      <c r="V49" s="344" t="n"/>
      <c r="W49" s="9750" t="n"/>
      <c r="X49" s="1205" t="n"/>
      <c r="Y49" s="1205" t="n"/>
      <c r="Z49" s="1205" t="n"/>
      <c r="AA49" s="1401" t="n"/>
      <c r="AB49" s="2339" t="n"/>
      <c r="AC49" s="2340" t="n"/>
      <c r="AD49" s="1803" t="n"/>
      <c r="AE49" s="1806" t="n"/>
      <c r="AF49" s="1806" t="n"/>
      <c r="AG49" s="1806" t="n"/>
      <c r="AH49" s="1806" t="n"/>
      <c r="AI49" s="1806" t="n"/>
      <c r="AJ49" s="1806" t="n"/>
      <c r="AK49" s="2013" t="n"/>
      <c r="AL49" s="11602" t="n"/>
      <c r="AM49" s="7772" t="n"/>
      <c r="AN49" s="2362" t="n"/>
      <c r="AO49" s="6603" t="n"/>
      <c r="AP49" s="658" t="n"/>
      <c r="AQ49" s="658" t="n"/>
      <c r="AR49" s="658" t="n"/>
      <c r="AS49" s="658" t="n"/>
      <c r="AT49" s="658" t="n"/>
      <c r="AU49" s="658" t="n"/>
      <c r="AV49" s="658" t="n"/>
      <c r="AW49" s="658" t="n"/>
      <c r="AX49" s="658" t="n"/>
      <c r="AY49" s="658" t="n"/>
    </row>
    <row r="50" ht="8.25" customFormat="1" customHeight="1" s="815">
      <c r="A50" s="2013" t="n"/>
      <c r="B50" s="11191" t="n"/>
      <c r="C50" s="2299" t="n"/>
      <c r="D50" s="8650" t="n"/>
      <c r="E50" s="344" t="n"/>
      <c r="F50" s="344" t="n"/>
      <c r="G50" s="344" t="n"/>
      <c r="H50" s="344" t="n"/>
      <c r="I50" s="344" t="n"/>
      <c r="J50" s="344" t="n"/>
      <c r="K50" s="1061" t="n"/>
      <c r="L50" s="2300" t="n"/>
      <c r="M50" s="2301" t="n"/>
      <c r="N50" s="1061" t="n"/>
      <c r="O50" s="1061" t="n"/>
      <c r="P50" s="1061" t="n"/>
      <c r="Q50" s="1061" t="n"/>
      <c r="R50" s="1061" t="n"/>
      <c r="S50" s="344" t="n"/>
      <c r="T50" s="344" t="n"/>
      <c r="U50" s="344" t="n"/>
      <c r="V50" s="2349" t="n"/>
      <c r="W50" s="9750" t="n"/>
      <c r="X50" s="1205" t="n"/>
      <c r="Y50" s="1205" t="n"/>
      <c r="Z50" s="1205" t="n"/>
      <c r="AA50" s="1401" t="n"/>
      <c r="AB50" s="2339" t="n"/>
      <c r="AC50" s="2340" t="n"/>
      <c r="AD50" s="1803" t="n"/>
      <c r="AE50" s="1806" t="n"/>
      <c r="AF50" s="1806" t="n"/>
      <c r="AG50" s="1806" t="n"/>
      <c r="AH50" s="1806" t="n"/>
      <c r="AI50" s="1806" t="n"/>
      <c r="AJ50" s="1806" t="n"/>
      <c r="AK50" s="2013" t="n"/>
      <c r="AL50" s="11602" t="n"/>
      <c r="AM50" s="226" t="n"/>
      <c r="AN50" s="2362" t="n"/>
      <c r="AO50" s="6603" t="n"/>
      <c r="AP50" s="658" t="n"/>
      <c r="AQ50" s="658" t="n"/>
      <c r="AR50" s="658" t="n"/>
      <c r="AS50" s="658" t="n"/>
      <c r="AT50" s="658" t="n"/>
      <c r="AU50" s="658" t="n"/>
      <c r="AV50" s="658" t="n"/>
      <c r="AW50" s="658" t="n"/>
      <c r="AX50" s="658" t="n"/>
      <c r="AY50" s="658" t="n"/>
    </row>
    <row r="51" ht="21" customFormat="1" customHeight="1" s="815">
      <c r="A51" s="2013" t="n"/>
      <c r="B51" s="11191" t="n">
        <v>8</v>
      </c>
      <c r="C51" s="2380" t="inlineStr">
        <is>
          <t>Qualified fuel cell property costs</t>
        </is>
      </c>
      <c r="D51" s="8650" t="n"/>
      <c r="E51" s="344" t="n"/>
      <c r="F51" s="344" t="n"/>
      <c r="G51" s="344" t="n"/>
      <c r="H51" s="344" t="n"/>
      <c r="I51" s="344" t="n"/>
      <c r="J51" s="344" t="n"/>
      <c r="K51" s="1061" t="n"/>
      <c r="L51" s="2300" t="n"/>
      <c r="M51" s="2301" t="n"/>
      <c r="N51" s="1061" t="n"/>
      <c r="O51" s="1061" t="n"/>
      <c r="P51" s="1061" t="n"/>
      <c r="Q51" s="1061" t="n"/>
      <c r="R51" s="1061" t="n"/>
      <c r="S51" s="344" t="n"/>
      <c r="T51" s="344" t="n"/>
      <c r="U51" s="1401" t="inlineStr">
        <is>
          <t xml:space="preserve">.   .   .   .   .   .   .   .   .   .   .   .   .   .   .   .   .  </t>
        </is>
      </c>
      <c r="V51" s="2350" t="n">
        <v>8</v>
      </c>
      <c r="W51" s="10220" t="n"/>
      <c r="X51" s="11717" t="n"/>
      <c r="Y51" s="11717" t="n"/>
      <c r="Z51" s="11717" t="n"/>
      <c r="AA51" s="11718" t="n"/>
      <c r="AB51" s="2339" t="n"/>
      <c r="AC51" s="2340" t="n"/>
      <c r="AD51" s="1803" t="n"/>
      <c r="AE51" s="1806" t="n"/>
      <c r="AF51" s="1806" t="n"/>
      <c r="AG51" s="1806" t="n"/>
      <c r="AH51" s="1806" t="n"/>
      <c r="AI51" s="1806" t="n"/>
      <c r="AJ51" s="1806" t="n"/>
      <c r="AK51" s="2013" t="n"/>
      <c r="AL51" s="11602" t="n"/>
      <c r="AM51" s="10288" t="inlineStr">
        <is>
          <t>Manual
Override ê</t>
        </is>
      </c>
      <c r="AN51" s="2362" t="n"/>
      <c r="AO51" s="6603">
        <f>W51=""</f>
        <v/>
      </c>
      <c r="AP51" s="658" t="n"/>
      <c r="AQ51" s="658" t="n"/>
      <c r="AR51" s="658" t="n"/>
      <c r="AS51" s="658" t="n"/>
      <c r="AT51" s="658" t="n"/>
      <c r="AU51" s="658" t="n"/>
      <c r="AV51" s="658" t="n"/>
      <c r="AW51" s="658" t="n"/>
      <c r="AX51" s="658" t="n"/>
      <c r="AY51" s="658" t="n"/>
    </row>
    <row r="52" ht="8.25" customFormat="1" customHeight="1" s="815" thickBot="1">
      <c r="A52" s="2013" t="n"/>
      <c r="B52" s="11191" t="n"/>
      <c r="C52" s="2299" t="n"/>
      <c r="D52" s="8650" t="n"/>
      <c r="E52" s="344" t="n"/>
      <c r="F52" s="344" t="n"/>
      <c r="G52" s="344" t="n"/>
      <c r="H52" s="344" t="n"/>
      <c r="I52" s="344" t="n"/>
      <c r="J52" s="344" t="n"/>
      <c r="K52" s="1061" t="n"/>
      <c r="L52" s="2300" t="n"/>
      <c r="M52" s="2301" t="n"/>
      <c r="N52" s="1061" t="n"/>
      <c r="O52" s="1061" t="n"/>
      <c r="P52" s="1061" t="n"/>
      <c r="Q52" s="1061" t="n"/>
      <c r="R52" s="1061" t="n"/>
      <c r="S52" s="344" t="n"/>
      <c r="T52" s="344" t="n"/>
      <c r="U52" s="344" t="n"/>
      <c r="V52" s="2349" t="n"/>
      <c r="W52" s="9750" t="n"/>
      <c r="X52" s="1205" t="n"/>
      <c r="Y52" s="1205" t="n"/>
      <c r="Z52" s="1205" t="n"/>
      <c r="AA52" s="1401" t="n"/>
      <c r="AB52" s="2339" t="n"/>
      <c r="AC52" s="2340" t="n"/>
      <c r="AD52" s="1803" t="n"/>
      <c r="AE52" s="1806" t="n"/>
      <c r="AF52" s="1806" t="n"/>
      <c r="AG52" s="1806" t="n"/>
      <c r="AH52" s="1806" t="n"/>
      <c r="AI52" s="1806" t="n"/>
      <c r="AJ52" s="1806" t="n"/>
      <c r="AK52" s="2013" t="n"/>
      <c r="AL52" s="11602" t="n"/>
      <c r="AM52" s="8848" t="n"/>
      <c r="AN52" s="2362" t="n"/>
      <c r="AO52" s="6603" t="n"/>
      <c r="AP52" s="658" t="n"/>
      <c r="AQ52" s="658" t="n"/>
      <c r="AR52" s="658" t="n"/>
      <c r="AS52" s="658" t="n"/>
      <c r="AT52" s="658" t="n"/>
      <c r="AU52" s="658" t="n"/>
      <c r="AV52" s="658" t="n"/>
      <c r="AW52" s="658" t="n"/>
      <c r="AX52" s="658" t="n"/>
      <c r="AY52" s="658" t="n"/>
    </row>
    <row r="53" ht="21" customFormat="1" customHeight="1" s="815" thickBot="1">
      <c r="A53" s="2013" t="n"/>
      <c r="B53" s="11191" t="n">
        <v>9</v>
      </c>
      <c r="C53" s="2380">
        <f>"Multiply line 8 by "&amp;TEXT(AD53,"0%")&amp;" ("&amp;TEXT(AD53,"0.00")&amp;")"</f>
        <v/>
      </c>
      <c r="D53" s="8650" t="n"/>
      <c r="E53" s="344" t="n"/>
      <c r="F53" s="344" t="n"/>
      <c r="G53" s="344" t="n"/>
      <c r="H53" s="344" t="n"/>
      <c r="I53" s="344" t="n"/>
      <c r="J53" s="344" t="n"/>
      <c r="K53" s="1061" t="n"/>
      <c r="L53" s="2300" t="n"/>
      <c r="M53" s="2301" t="n"/>
      <c r="N53" s="1061" t="n"/>
      <c r="O53" s="1061" t="n"/>
      <c r="P53" s="1061" t="n"/>
      <c r="Q53" s="1061" t="n"/>
      <c r="R53" s="1061" t="n"/>
      <c r="S53" s="344" t="n"/>
      <c r="T53" s="344" t="n"/>
      <c r="U53" s="1401" t="inlineStr">
        <is>
          <t xml:space="preserve">.   .   .   .   .   .   .   .   .   .   .   .   .   .   .   .   .  </t>
        </is>
      </c>
      <c r="V53" s="2350" t="n">
        <v>9</v>
      </c>
      <c r="W53" s="10222">
        <f>IF(AM53&lt;&gt;"",ROUND(AM53,0),IF(OR(AM42,AO51),"",ROUND(0.3*W51,0)))</f>
        <v/>
      </c>
      <c r="X53" s="7637" t="n"/>
      <c r="Y53" s="7637" t="n"/>
      <c r="Z53" s="7637" t="n"/>
      <c r="AA53" s="7638" t="n"/>
      <c r="AB53" s="2339" t="n"/>
      <c r="AC53" s="2340" t="n"/>
      <c r="AD53" s="10250" t="n">
        <v>0.3</v>
      </c>
      <c r="AE53" s="194" t="n"/>
      <c r="AF53" s="194" t="n"/>
      <c r="AG53" s="194" t="n"/>
      <c r="AH53" s="194" t="n"/>
      <c r="AI53" s="194" t="n"/>
      <c r="AJ53" s="194" t="n"/>
      <c r="AK53" s="2013" t="n"/>
      <c r="AL53" s="11602" t="n"/>
      <c r="AM53" s="2361" t="n"/>
      <c r="AN53" s="2362" t="n"/>
      <c r="AO53" s="6603" t="n"/>
      <c r="AP53" s="658" t="n"/>
      <c r="AQ53" s="658" t="n"/>
      <c r="AR53" s="658" t="n"/>
      <c r="AS53" s="658" t="n"/>
      <c r="AT53" s="658" t="n"/>
      <c r="AU53" s="658" t="n"/>
      <c r="AV53" s="658" t="n"/>
      <c r="AW53" s="658" t="n"/>
      <c r="AX53" s="658" t="n"/>
      <c r="AY53" s="658" t="n"/>
    </row>
    <row r="54" ht="8.25" customFormat="1" customHeight="1" s="815" thickBot="1">
      <c r="A54" s="2013" t="n"/>
      <c r="B54" s="11191" t="n"/>
      <c r="C54" s="2299" t="n"/>
      <c r="D54" s="8650" t="n"/>
      <c r="E54" s="344" t="n"/>
      <c r="F54" s="344" t="n"/>
      <c r="G54" s="344" t="n"/>
      <c r="H54" s="344" t="n"/>
      <c r="I54" s="344" t="n"/>
      <c r="J54" s="344" t="n"/>
      <c r="K54" s="1061" t="n"/>
      <c r="L54" s="2300" t="n"/>
      <c r="M54" s="2301" t="n"/>
      <c r="N54" s="1061" t="n"/>
      <c r="O54" s="1061" t="n"/>
      <c r="P54" s="1061" t="n"/>
      <c r="Q54" s="1061" t="n"/>
      <c r="R54" s="1061" t="n"/>
      <c r="S54" s="344" t="n"/>
      <c r="T54" s="344" t="n"/>
      <c r="U54" s="344" t="n"/>
      <c r="V54" s="2349" t="n"/>
      <c r="W54" s="9750" t="n"/>
      <c r="X54" s="1205" t="n"/>
      <c r="Y54" s="1205" t="n"/>
      <c r="Z54" s="1205" t="n"/>
      <c r="AA54" s="1401" t="n"/>
      <c r="AB54" s="2339" t="n"/>
      <c r="AC54" s="2340" t="n"/>
      <c r="AD54" s="1327" t="n"/>
      <c r="AE54" s="1328" t="n"/>
      <c r="AF54" s="1328" t="n"/>
      <c r="AG54" s="1328" t="n"/>
      <c r="AH54" s="1328" t="n"/>
      <c r="AI54" s="1328" t="n"/>
      <c r="AJ54" s="1328" t="n"/>
      <c r="AK54" s="2013" t="n"/>
      <c r="AL54" s="11602" t="n"/>
      <c r="AM54" s="226" t="n"/>
      <c r="AN54" s="2362" t="n"/>
      <c r="AO54" s="6603" t="n"/>
      <c r="AP54" s="658" t="n"/>
      <c r="AQ54" s="658" t="n"/>
      <c r="AR54" s="658" t="n"/>
      <c r="AS54" s="658" t="n"/>
      <c r="AT54" s="658" t="n"/>
      <c r="AU54" s="658" t="n"/>
      <c r="AV54" s="658" t="n"/>
      <c r="AW54" s="658" t="n"/>
      <c r="AX54" s="658" t="n"/>
      <c r="AY54" s="658" t="n"/>
    </row>
    <row r="55" ht="21" customFormat="1" customHeight="1" s="815" thickBot="1">
      <c r="A55" s="2013" t="n"/>
      <c r="B55" s="11191" t="n">
        <v>10</v>
      </c>
      <c r="C55" s="2380" t="inlineStr">
        <is>
          <t>Kilowatt capacity of property on line 8 above</t>
        </is>
      </c>
      <c r="D55" s="8650" t="n"/>
      <c r="E55" s="344" t="n"/>
      <c r="F55" s="344" t="n"/>
      <c r="G55" s="344" t="n"/>
      <c r="H55" s="344" t="n"/>
      <c r="I55" s="344" t="n"/>
      <c r="J55" s="344" t="n"/>
      <c r="K55" s="1061" t="n"/>
      <c r="L55" s="2300" t="n"/>
      <c r="M55" s="2301" t="n"/>
      <c r="N55" s="1061" t="n"/>
      <c r="O55" s="1061" t="n"/>
      <c r="P55" s="10253" t="n"/>
      <c r="Q55" s="11717" t="n"/>
      <c r="R55" s="11717" t="n"/>
      <c r="S55" s="2341">
        <f>" x  "&amp;TEXT(AD55,"$0,000")</f>
        <v/>
      </c>
      <c r="T55" s="344" t="n"/>
      <c r="U55" s="1401" t="n"/>
      <c r="V55" s="2350" t="n">
        <v>10</v>
      </c>
      <c r="W55" s="10222">
        <f>IF(AM55&lt;&gt;"",ROUND(AM55,0),IF(OR(P55="",AM42),"",ROUND(P55*AD55,0)))</f>
        <v/>
      </c>
      <c r="X55" s="7637" t="n"/>
      <c r="Y55" s="7637" t="n"/>
      <c r="Z55" s="7637" t="n"/>
      <c r="AA55" s="7638" t="n"/>
      <c r="AB55" s="2339" t="n"/>
      <c r="AC55" s="2340" t="n"/>
      <c r="AD55" s="10268" t="n">
        <v>1000</v>
      </c>
      <c r="AE55" s="194" t="n"/>
      <c r="AF55" s="194" t="n"/>
      <c r="AG55" s="194" t="n"/>
      <c r="AH55" s="194" t="n"/>
      <c r="AI55" s="194" t="n"/>
      <c r="AJ55" s="194" t="n"/>
      <c r="AK55" s="2013" t="n"/>
      <c r="AL55" s="11602" t="n"/>
      <c r="AM55" s="2361" t="n"/>
      <c r="AN55" s="2362" t="n"/>
      <c r="AO55" s="6603" t="n"/>
      <c r="AP55" s="658" t="n"/>
      <c r="AQ55" s="658" t="n"/>
      <c r="AR55" s="658" t="n"/>
      <c r="AS55" s="658" t="n"/>
      <c r="AT55" s="658" t="n"/>
      <c r="AU55" s="658" t="n"/>
      <c r="AV55" s="658" t="n"/>
      <c r="AW55" s="658" t="n"/>
      <c r="AX55" s="658" t="n"/>
      <c r="AY55" s="658" t="n"/>
    </row>
    <row r="56" ht="15.75" customFormat="1" customHeight="1" s="815" thickBot="1">
      <c r="A56" s="2013" t="n"/>
      <c r="B56" s="11191" t="n"/>
      <c r="C56" s="9847" t="n"/>
      <c r="D56" s="9847" t="n"/>
      <c r="E56" s="344" t="n"/>
      <c r="F56" s="344" t="n"/>
      <c r="G56" s="344" t="n"/>
      <c r="H56" s="344" t="n"/>
      <c r="I56" s="344" t="n"/>
      <c r="J56" s="344" t="n"/>
      <c r="K56" s="344" t="n"/>
      <c r="L56" s="344" t="n"/>
      <c r="M56" s="344" t="n"/>
      <c r="N56" s="344" t="n"/>
      <c r="O56" s="344" t="n"/>
      <c r="P56" s="344" t="n"/>
      <c r="Q56" s="344" t="n"/>
      <c r="R56" s="344" t="n"/>
      <c r="S56" s="344" t="n"/>
      <c r="T56" s="344" t="n"/>
      <c r="U56" s="344" t="n"/>
      <c r="V56" s="344" t="n"/>
      <c r="W56" s="344" t="n"/>
      <c r="X56" s="344" t="n"/>
      <c r="Y56" s="344" t="n"/>
      <c r="Z56" s="344" t="n"/>
      <c r="AA56" s="1401" t="n"/>
      <c r="AB56" s="10245" t="n"/>
      <c r="AC56" s="7839" t="n"/>
      <c r="AD56" s="7878" t="n"/>
      <c r="AE56" s="7929" t="n"/>
      <c r="AF56" s="7929" t="n"/>
      <c r="AG56" s="7929" t="n"/>
      <c r="AH56" s="7929" t="n"/>
      <c r="AI56" s="7929" t="n"/>
      <c r="AJ56" s="7929" t="n"/>
      <c r="AK56" s="2013" t="n"/>
      <c r="AL56" s="11602" t="n"/>
      <c r="AM56" s="11602" t="n"/>
      <c r="AN56" s="2362" t="n"/>
      <c r="AO56" s="6603" t="n"/>
      <c r="AP56" s="658" t="n"/>
      <c r="AQ56" s="658" t="n"/>
      <c r="AR56" s="658" t="n"/>
      <c r="AS56" s="658" t="n"/>
      <c r="AT56" s="658" t="n"/>
      <c r="AU56" s="658" t="n"/>
      <c r="AV56" s="658" t="n"/>
      <c r="AW56" s="658" t="n"/>
      <c r="AX56" s="658" t="n"/>
      <c r="AY56" s="658" t="n"/>
    </row>
    <row r="57" ht="21" customFormat="1" customHeight="1" s="815" thickBot="1">
      <c r="A57" s="2013" t="n"/>
      <c r="B57" s="11191" t="n">
        <v>11</v>
      </c>
      <c r="C57" s="2379" t="inlineStr">
        <is>
          <t>Enter the smaller of line 9 or line 10</t>
        </is>
      </c>
      <c r="D57" s="344" t="n"/>
      <c r="E57" s="344" t="n"/>
      <c r="F57" s="344" t="n"/>
      <c r="G57" s="344" t="n"/>
      <c r="H57" s="344" t="n"/>
      <c r="I57" s="344" t="n"/>
      <c r="J57" s="344" t="n"/>
      <c r="K57" s="344" t="n"/>
      <c r="L57" s="344" t="n"/>
      <c r="M57" s="344" t="n"/>
      <c r="N57" s="344" t="n"/>
      <c r="O57" s="344" t="n"/>
      <c r="P57" s="344" t="n"/>
      <c r="Q57" s="344" t="n"/>
      <c r="R57" s="344" t="n"/>
      <c r="S57" s="344" t="n"/>
      <c r="T57" s="344" t="n"/>
      <c r="U57" s="344" t="n"/>
      <c r="V57" s="344" t="n"/>
      <c r="W57" s="344" t="n"/>
      <c r="X57" s="344" t="n"/>
      <c r="Y57" s="344" t="n"/>
      <c r="Z57" s="344" t="n"/>
      <c r="AA57" s="1401" t="inlineStr">
        <is>
          <t xml:space="preserve">.   .   .   .   .   .   .   .   .   .   .   .   .   .   .   .   .   .   .   .   .   .   .   .   .   .   .   .   .   .  </t>
        </is>
      </c>
      <c r="AB57" s="12557" t="n">
        <v>11</v>
      </c>
      <c r="AC57" s="7638" t="n"/>
      <c r="AD57" s="10249">
        <f>IF(AM57&lt;&gt;"",ROUND(AM57,0),IF(AM42,"",IF(OR(W53="",W55=""),0,MIN(W53,W55))))</f>
        <v/>
      </c>
      <c r="AE57" s="7637" t="n"/>
      <c r="AF57" s="7637" t="n"/>
      <c r="AG57" s="7637" t="n"/>
      <c r="AH57" s="7637" t="n"/>
      <c r="AI57" s="7637" t="n"/>
      <c r="AJ57" s="7637" t="n"/>
      <c r="AK57" s="2013" t="n"/>
      <c r="AL57" s="11602" t="n"/>
      <c r="AM57" s="2361" t="n"/>
      <c r="AN57" s="2362" t="n"/>
      <c r="AO57" s="6603" t="n"/>
      <c r="AP57" s="658" t="n"/>
      <c r="AQ57" s="658" t="n"/>
      <c r="AR57" s="658" t="n"/>
      <c r="AS57" s="658" t="n"/>
      <c r="AT57" s="658" t="n"/>
      <c r="AU57" s="658" t="n"/>
      <c r="AV57" s="658" t="n"/>
      <c r="AW57" s="658" t="n"/>
      <c r="AX57" s="658" t="n"/>
      <c r="AY57" s="658" t="n"/>
    </row>
    <row r="58" ht="8.25" customFormat="1" customHeight="1" s="815">
      <c r="A58" s="2013" t="n"/>
      <c r="B58" s="11191" t="n"/>
      <c r="C58" s="9847" t="n"/>
      <c r="D58" s="9847" t="n"/>
      <c r="E58" s="344" t="n"/>
      <c r="F58" s="344" t="n"/>
      <c r="G58" s="344" t="n"/>
      <c r="H58" s="344" t="n"/>
      <c r="I58" s="344" t="n"/>
      <c r="J58" s="344" t="n"/>
      <c r="K58" s="344" t="n"/>
      <c r="L58" s="344" t="n"/>
      <c r="M58" s="344" t="n"/>
      <c r="N58" s="344" t="n"/>
      <c r="O58" s="344" t="n"/>
      <c r="P58" s="344" t="n"/>
      <c r="Q58" s="344" t="n"/>
      <c r="R58" s="344" t="n"/>
      <c r="S58" s="344" t="n"/>
      <c r="T58" s="344" t="n"/>
      <c r="U58" s="344" t="n"/>
      <c r="V58" s="344" t="n"/>
      <c r="W58" s="344" t="n"/>
      <c r="X58" s="344" t="n"/>
      <c r="Y58" s="344" t="n"/>
      <c r="Z58" s="344" t="n"/>
      <c r="AA58" s="1401" t="n"/>
      <c r="AB58" s="10245" t="n"/>
      <c r="AC58" s="7839" t="n"/>
      <c r="AD58" s="7878" t="n"/>
      <c r="AE58" s="7929" t="n"/>
      <c r="AF58" s="7929" t="n"/>
      <c r="AG58" s="7929" t="n"/>
      <c r="AH58" s="7929" t="n"/>
      <c r="AI58" s="7929" t="n"/>
      <c r="AJ58" s="7929" t="n"/>
      <c r="AK58" s="2013" t="n"/>
      <c r="AL58" s="11602" t="n"/>
      <c r="AM58" s="11602" t="n"/>
      <c r="AN58" s="2362" t="n"/>
      <c r="AO58" s="6603" t="n"/>
      <c r="AP58" s="658" t="n"/>
      <c r="AQ58" s="658" t="n"/>
      <c r="AR58" s="658" t="n"/>
      <c r="AS58" s="658" t="n"/>
      <c r="AT58" s="658" t="n"/>
      <c r="AU58" s="658" t="n"/>
      <c r="AV58" s="658" t="n"/>
      <c r="AW58" s="658" t="n"/>
      <c r="AX58" s="658" t="n"/>
      <c r="AY58" s="658" t="n"/>
    </row>
    <row r="59" ht="21" customFormat="1" customHeight="1" s="815">
      <c r="A59" s="2013" t="n"/>
      <c r="B59" s="11191" t="n">
        <v>12</v>
      </c>
      <c r="C59" s="7865">
        <f>"Credit carryforward from "&amp;TaxYear-1&amp;". Enter the amount, if any, from your "&amp;TaxYear-1&amp;" Form 5695, line 16"</f>
        <v/>
      </c>
      <c r="D59" s="344" t="n"/>
      <c r="E59" s="344" t="n"/>
      <c r="F59" s="344" t="n"/>
      <c r="G59" s="344" t="n"/>
      <c r="H59" s="344" t="n"/>
      <c r="I59" s="344" t="n"/>
      <c r="J59" s="344" t="n"/>
      <c r="K59" s="344" t="n"/>
      <c r="L59" s="344" t="n"/>
      <c r="M59" s="344" t="n"/>
      <c r="N59" s="344" t="n"/>
      <c r="O59" s="344" t="n"/>
      <c r="P59" s="344" t="n"/>
      <c r="Q59" s="344" t="n"/>
      <c r="R59" s="344" t="n"/>
      <c r="S59" s="344" t="n"/>
      <c r="T59" s="344" t="n"/>
      <c r="U59" s="344" t="n"/>
      <c r="V59" s="344" t="n"/>
      <c r="W59" s="344" t="n"/>
      <c r="X59" s="344" t="n"/>
      <c r="Y59" s="344" t="n"/>
      <c r="Z59" s="344" t="n"/>
      <c r="AA59" s="1401" t="inlineStr">
        <is>
          <t xml:space="preserve">.   .   .   .   .   .  </t>
        </is>
      </c>
      <c r="AB59" s="12557" t="n">
        <v>12</v>
      </c>
      <c r="AC59" s="7638" t="n"/>
      <c r="AD59" s="10252" t="n"/>
      <c r="AE59" s="11717" t="n"/>
      <c r="AF59" s="11717" t="n"/>
      <c r="AG59" s="11717" t="n"/>
      <c r="AH59" s="11717" t="n"/>
      <c r="AI59" s="11717" t="n"/>
      <c r="AJ59" s="11717" t="n"/>
      <c r="AK59" s="2013" t="n"/>
      <c r="AL59" s="11602" t="n"/>
      <c r="AM59" s="11602" t="n"/>
      <c r="AN59" s="2362" t="n"/>
      <c r="AO59" s="6603">
        <f>AD59=""</f>
        <v/>
      </c>
      <c r="AP59" s="658" t="n"/>
      <c r="AQ59" s="658" t="n"/>
      <c r="AR59" s="658" t="n"/>
      <c r="AS59" s="658" t="n"/>
      <c r="AT59" s="658" t="n"/>
      <c r="AU59" s="658" t="n"/>
      <c r="AV59" s="658" t="n"/>
      <c r="AW59" s="658" t="n"/>
      <c r="AX59" s="658" t="n"/>
      <c r="AY59" s="658" t="n"/>
    </row>
    <row r="60" ht="8.25" customFormat="1" customHeight="1" s="815" thickBot="1">
      <c r="A60" s="2013" t="n"/>
      <c r="B60" s="11191" t="n"/>
      <c r="C60" s="9847" t="n"/>
      <c r="D60" s="9847" t="n"/>
      <c r="E60" s="344" t="n"/>
      <c r="F60" s="344" t="n"/>
      <c r="G60" s="344" t="n"/>
      <c r="H60" s="344" t="n"/>
      <c r="I60" s="344" t="n"/>
      <c r="J60" s="344" t="n"/>
      <c r="K60" s="344" t="n"/>
      <c r="L60" s="344" t="n"/>
      <c r="M60" s="344" t="n"/>
      <c r="N60" s="344" t="n"/>
      <c r="O60" s="344" t="n"/>
      <c r="P60" s="344" t="n"/>
      <c r="Q60" s="344" t="n"/>
      <c r="R60" s="344" t="n"/>
      <c r="S60" s="344" t="n"/>
      <c r="T60" s="344" t="n"/>
      <c r="U60" s="344" t="n"/>
      <c r="V60" s="344" t="n"/>
      <c r="W60" s="344" t="n"/>
      <c r="X60" s="344" t="n"/>
      <c r="Y60" s="344" t="n"/>
      <c r="Z60" s="344" t="n"/>
      <c r="AA60" s="1401" t="n"/>
      <c r="AB60" s="10245" t="n"/>
      <c r="AC60" s="7839" t="n"/>
      <c r="AD60" s="7878" t="n"/>
      <c r="AE60" s="7929" t="n"/>
      <c r="AF60" s="7929" t="n"/>
      <c r="AG60" s="7929" t="n"/>
      <c r="AH60" s="7929" t="n"/>
      <c r="AI60" s="7929" t="n"/>
      <c r="AJ60" s="7929" t="n"/>
      <c r="AK60" s="2013" t="n"/>
      <c r="AL60" s="11602" t="n"/>
      <c r="AM60" s="11602" t="n"/>
      <c r="AN60" s="2362" t="n"/>
      <c r="AO60" s="6603" t="n"/>
      <c r="AP60" s="658" t="n"/>
      <c r="AQ60" s="658" t="n"/>
      <c r="AR60" s="658" t="n"/>
      <c r="AS60" s="658" t="n"/>
      <c r="AT60" s="658" t="n"/>
      <c r="AU60" s="658" t="n"/>
      <c r="AV60" s="658" t="n"/>
      <c r="AW60" s="658" t="n"/>
      <c r="AX60" s="658" t="n"/>
      <c r="AY60" s="658" t="n"/>
    </row>
    <row r="61" ht="21" customFormat="1" customHeight="1" s="815" thickBot="1">
      <c r="A61" s="2013" t="n"/>
      <c r="B61" s="11191" t="n">
        <v>13</v>
      </c>
      <c r="C61" s="2379" t="inlineStr">
        <is>
          <t>Add lines 6b, 11, and 12</t>
        </is>
      </c>
      <c r="D61" s="344" t="n"/>
      <c r="E61" s="344" t="n"/>
      <c r="F61" s="344" t="n"/>
      <c r="G61" s="344" t="n"/>
      <c r="H61" s="344" t="n"/>
      <c r="I61" s="344" t="n"/>
      <c r="J61" s="344" t="n"/>
      <c r="K61" s="344" t="n"/>
      <c r="L61" s="344" t="n"/>
      <c r="M61" s="344" t="n"/>
      <c r="N61" s="344" t="n"/>
      <c r="O61" s="344" t="n"/>
      <c r="P61" s="344" t="n"/>
      <c r="Q61" s="344" t="n"/>
      <c r="R61" s="344" t="n"/>
      <c r="S61" s="344" t="n"/>
      <c r="T61" s="344" t="n"/>
      <c r="U61" s="344" t="n"/>
      <c r="V61" s="344" t="n"/>
      <c r="W61" s="344" t="n"/>
      <c r="X61" s="344" t="n"/>
      <c r="Y61" s="344" t="n"/>
      <c r="Z61" s="344" t="n"/>
      <c r="AA61" s="1401" t="inlineStr">
        <is>
          <t xml:space="preserve">.   .   .   .   .   .   .   .   .   .   .   .   .   .   .   .   .   .   .   .   .   .   .   .   .   .   .   .   .   .  </t>
        </is>
      </c>
      <c r="AB61" s="12557" t="n">
        <v>13</v>
      </c>
      <c r="AC61" s="7638" t="n"/>
      <c r="AD61" s="10249">
        <f>IF(AM61&lt;&gt;"",ROUND(AM61,0),IF(AO61,"",SUM(AD38,AD57,AD59)))</f>
        <v/>
      </c>
      <c r="AE61" s="7637" t="n"/>
      <c r="AF61" s="7637" t="n"/>
      <c r="AG61" s="7637" t="n"/>
      <c r="AH61" s="7637" t="n"/>
      <c r="AI61" s="7637" t="n"/>
      <c r="AJ61" s="7637" t="n"/>
      <c r="AK61" s="2013" t="n"/>
      <c r="AL61" s="11602" t="n"/>
      <c r="AM61" s="2361" t="n"/>
      <c r="AN61" s="2362" t="n"/>
      <c r="AO61" s="6603">
        <f>AND(AO36,AO51,AO59)</f>
        <v/>
      </c>
      <c r="AP61" s="658" t="n"/>
      <c r="AQ61" s="658" t="n"/>
      <c r="AR61" s="658" t="n"/>
      <c r="AS61" s="658" t="n"/>
      <c r="AT61" s="658" t="n"/>
      <c r="AU61" s="658" t="n"/>
      <c r="AV61" s="658" t="n"/>
      <c r="AW61" s="658" t="n"/>
      <c r="AX61" s="658" t="n"/>
      <c r="AY61" s="658" t="n"/>
    </row>
    <row r="62" ht="25.5" customFormat="1" customHeight="1" s="815" thickBot="1">
      <c r="A62" s="2013" t="n"/>
      <c r="B62" s="8296" t="n">
        <v>14</v>
      </c>
      <c r="C62" s="7865" t="inlineStr">
        <is>
          <t>Limitation based on tax liability. Enter the amount from the Residential Clean Energy Credit Limit</t>
        </is>
      </c>
      <c r="D62" s="7865" t="n"/>
      <c r="E62" s="344" t="n"/>
      <c r="F62" s="344" t="n"/>
      <c r="G62" s="344" t="n"/>
      <c r="H62" s="344" t="n"/>
      <c r="I62" s="344" t="n"/>
      <c r="J62" s="344" t="n"/>
      <c r="K62" s="344" t="n"/>
      <c r="L62" s="344" t="n"/>
      <c r="M62" s="344" t="n"/>
      <c r="N62" s="344" t="n"/>
      <c r="O62" s="344" t="n"/>
      <c r="P62" s="344" t="n"/>
      <c r="Q62" s="344" t="n"/>
      <c r="R62" s="344" t="n"/>
      <c r="S62" s="344" t="n"/>
      <c r="T62" s="344" t="n"/>
      <c r="U62" s="344" t="n"/>
      <c r="V62" s="344" t="n"/>
      <c r="W62" s="344" t="n"/>
      <c r="X62" s="344" t="n"/>
      <c r="Y62" s="344" t="n"/>
      <c r="Z62" s="344" t="n"/>
      <c r="AA62" s="1401" t="n"/>
      <c r="AB62" s="10245" t="n"/>
      <c r="AC62" s="7839" t="n"/>
      <c r="AD62" s="7878" t="n"/>
      <c r="AE62" s="7929" t="n"/>
      <c r="AF62" s="7929" t="n"/>
      <c r="AG62" s="7929" t="n"/>
      <c r="AH62" s="7929" t="n"/>
      <c r="AI62" s="7929" t="n"/>
      <c r="AJ62" s="7929" t="n"/>
      <c r="AK62" s="2013" t="n"/>
      <c r="AL62" s="11602" t="n"/>
      <c r="AM62" s="11602" t="n"/>
      <c r="AN62" s="2362" t="n"/>
      <c r="AO62" s="6603" t="n"/>
      <c r="AP62" s="658" t="n"/>
      <c r="AQ62" s="658" t="n"/>
      <c r="AR62" s="658" t="n"/>
      <c r="AS62" s="658" t="n"/>
      <c r="AT62" s="658" t="n"/>
      <c r="AU62" s="658" t="n"/>
      <c r="AV62" s="658" t="n"/>
      <c r="AW62" s="658" t="n"/>
      <c r="AX62" s="658" t="n"/>
      <c r="AY62" s="658" t="n"/>
    </row>
    <row r="63" ht="21" customFormat="1" customHeight="1" s="815" thickBot="1">
      <c r="A63" s="2013" t="n"/>
      <c r="B63" s="11191" t="n"/>
      <c r="C63" s="7865" t="inlineStr">
        <is>
          <t>Worksheet. (See instructions.)</t>
        </is>
      </c>
      <c r="D63" s="344" t="n"/>
      <c r="E63" s="344" t="n"/>
      <c r="F63" s="344" t="n"/>
      <c r="G63" s="344" t="n"/>
      <c r="H63" s="344" t="n"/>
      <c r="I63" s="344" t="n"/>
      <c r="J63" s="344" t="n"/>
      <c r="K63" s="344" t="n"/>
      <c r="L63" s="344" t="n"/>
      <c r="M63" s="344" t="n"/>
      <c r="N63" s="344" t="n"/>
      <c r="O63" s="344" t="n"/>
      <c r="P63" s="344" t="n"/>
      <c r="Q63" s="344" t="n"/>
      <c r="R63" s="344" t="n"/>
      <c r="S63" s="344" t="n"/>
      <c r="T63" s="344" t="n"/>
      <c r="U63" s="344" t="n"/>
      <c r="V63" s="344" t="n"/>
      <c r="W63" s="344" t="n"/>
      <c r="X63" s="344" t="n"/>
      <c r="Y63" s="344" t="n"/>
      <c r="Z63" s="344" t="n"/>
      <c r="AA63" s="1401" t="inlineStr">
        <is>
          <t xml:space="preserve">.   .   .   .   .   .   .   .   .   .   .   .   .   .   .   .   .   .   .   .   .   .   .   .   .   .   .   .   .   .  </t>
        </is>
      </c>
      <c r="AB63" s="12557" t="n">
        <v>14</v>
      </c>
      <c r="AC63" s="7638" t="n"/>
      <c r="AD63" s="10249">
        <f>IF(AM63&lt;&gt;"",ROUND(AM63,0),IF(AO61,"",IF(RCE_CL_WKST&lt;=0,0,RCE_CL_WKST)))</f>
        <v/>
      </c>
      <c r="AE63" s="7637" t="n"/>
      <c r="AF63" s="7637" t="n"/>
      <c r="AG63" s="7637" t="n"/>
      <c r="AH63" s="7637" t="n"/>
      <c r="AI63" s="7637" t="n"/>
      <c r="AJ63" s="7637" t="n"/>
      <c r="AK63" s="2013" t="n"/>
      <c r="AL63" s="11602" t="n"/>
      <c r="AM63" s="2361" t="n"/>
      <c r="AN63" s="2362" t="n"/>
      <c r="AO63" s="6603" t="n"/>
      <c r="AP63" s="658" t="n"/>
      <c r="AQ63" s="658" t="n"/>
      <c r="AR63" s="658" t="n"/>
      <c r="AS63" s="658" t="n"/>
      <c r="AT63" s="658" t="n"/>
      <c r="AU63" s="658" t="n"/>
      <c r="AV63" s="658" t="n"/>
      <c r="AW63" s="658" t="n"/>
      <c r="AX63" s="658" t="n"/>
      <c r="AY63" s="658" t="n"/>
    </row>
    <row r="64" ht="25.5" customFormat="1" customHeight="1" s="815" thickBot="1">
      <c r="A64" s="2013" t="n"/>
      <c r="B64" s="8296" t="n">
        <v>15</v>
      </c>
      <c r="C64" s="7865" t="inlineStr">
        <is>
          <t>Residential clean energy credit. Enter the smaller of line 13 or line 14. Also include this amount on</t>
        </is>
      </c>
      <c r="D64" s="7865" t="n"/>
      <c r="E64" s="344" t="n"/>
      <c r="F64" s="344" t="n"/>
      <c r="G64" s="344" t="n"/>
      <c r="H64" s="344" t="n"/>
      <c r="I64" s="344" t="n"/>
      <c r="J64" s="344" t="n"/>
      <c r="K64" s="344" t="n"/>
      <c r="L64" s="344" t="n"/>
      <c r="M64" s="344" t="n"/>
      <c r="N64" s="344" t="n"/>
      <c r="O64" s="344" t="n"/>
      <c r="P64" s="344" t="n"/>
      <c r="Q64" s="344" t="n"/>
      <c r="R64" s="344" t="n"/>
      <c r="S64" s="344" t="n"/>
      <c r="T64" s="344" t="n"/>
      <c r="U64" s="344" t="n"/>
      <c r="V64" s="344" t="n"/>
      <c r="W64" s="344" t="n"/>
      <c r="X64" s="344" t="n"/>
      <c r="Y64" s="344" t="n"/>
      <c r="Z64" s="344" t="n"/>
      <c r="AA64" s="1401" t="n"/>
      <c r="AB64" s="10245" t="n"/>
      <c r="AC64" s="7839" t="n"/>
      <c r="AD64" s="7878" t="n"/>
      <c r="AE64" s="7929" t="n"/>
      <c r="AF64" s="7929" t="n"/>
      <c r="AG64" s="7929" t="n"/>
      <c r="AH64" s="7929" t="n"/>
      <c r="AI64" s="7929" t="n"/>
      <c r="AJ64" s="7929" t="n"/>
      <c r="AK64" s="2013" t="n"/>
      <c r="AL64" s="11602" t="n"/>
      <c r="AM64" s="11602" t="n"/>
      <c r="AN64" s="2362" t="n"/>
      <c r="AO64" s="6603" t="n"/>
      <c r="AP64" s="658" t="n"/>
      <c r="AQ64" s="658" t="n"/>
      <c r="AR64" s="658" t="n"/>
      <c r="AS64" s="658" t="n"/>
      <c r="AT64" s="658" t="n"/>
      <c r="AU64" s="658" t="n"/>
      <c r="AV64" s="658" t="n"/>
      <c r="AW64" s="658" t="n"/>
      <c r="AX64" s="658" t="n"/>
      <c r="AY64" s="658" t="n"/>
    </row>
    <row r="65" ht="21" customFormat="1" customHeight="1" s="815" thickBot="1">
      <c r="A65" s="2013" t="n"/>
      <c r="B65" s="11191" t="n"/>
      <c r="C65" s="7865" t="inlineStr">
        <is>
          <t>Schedule 3 (Form 1040), line 5a</t>
        </is>
      </c>
      <c r="D65" s="344" t="n"/>
      <c r="E65" s="344" t="n"/>
      <c r="F65" s="344" t="n"/>
      <c r="G65" s="344" t="n"/>
      <c r="H65" s="344" t="n"/>
      <c r="I65" s="344" t="n"/>
      <c r="J65" s="344" t="n"/>
      <c r="K65" s="344" t="n"/>
      <c r="L65" s="344" t="n"/>
      <c r="M65" s="344" t="n"/>
      <c r="N65" s="344" t="n"/>
      <c r="O65" s="344" t="n"/>
      <c r="P65" s="344" t="n"/>
      <c r="Q65" s="344" t="n"/>
      <c r="R65" s="344" t="n"/>
      <c r="S65" s="344" t="n"/>
      <c r="T65" s="344" t="n"/>
      <c r="U65" s="344" t="n"/>
      <c r="V65" s="344" t="n"/>
      <c r="W65" s="344" t="n"/>
      <c r="X65" s="344" t="n"/>
      <c r="Y65" s="344" t="n"/>
      <c r="Z65" s="344" t="n"/>
      <c r="AA65" s="1401" t="inlineStr">
        <is>
          <t xml:space="preserve">.   .   .   .   .   .   .   .   .   .   .   .   .   .   .   .   .   .   .   .   .   .   .   .   .   .   .   .   .   .  </t>
        </is>
      </c>
      <c r="AB65" s="12557" t="n">
        <v>15</v>
      </c>
      <c r="AC65" s="7638" t="n"/>
      <c r="AD65" s="10249">
        <f>IF(AM65&lt;&gt;"",ROUND(AM65,0),IF(AO61,"",IF(RCE_CL_WKST&lt;=0,0,MIN(AD61,AD63))))</f>
        <v/>
      </c>
      <c r="AE65" s="7637" t="n"/>
      <c r="AF65" s="7637" t="n"/>
      <c r="AG65" s="7637" t="n"/>
      <c r="AH65" s="7637" t="n"/>
      <c r="AI65" s="7637" t="n"/>
      <c r="AJ65" s="7637" t="n"/>
      <c r="AK65" s="2013" t="n"/>
      <c r="AL65" s="11602" t="n"/>
      <c r="AM65" s="2361" t="n"/>
      <c r="AN65" s="2362" t="n"/>
      <c r="AO65" s="6603" t="n"/>
      <c r="AP65" s="658" t="n"/>
      <c r="AQ65" s="658" t="n"/>
      <c r="AR65" s="658" t="n"/>
      <c r="AS65" s="658" t="n"/>
      <c r="AT65" s="658" t="n"/>
      <c r="AU65" s="658" t="n"/>
      <c r="AV65" s="658" t="n"/>
      <c r="AW65" s="658" t="n"/>
      <c r="AX65" s="658" t="n"/>
      <c r="AY65" s="658" t="n"/>
    </row>
    <row r="66" ht="22.5" customFormat="1" customHeight="1" s="815" thickBot="1">
      <c r="A66" s="2013" t="n"/>
      <c r="B66" s="8296" t="n">
        <v>16</v>
      </c>
      <c r="C66" s="2299">
        <f>"Credit carryforward to "&amp;TaxYear+1&amp;". If line 15 is less than line 13, subtract line 15"</f>
        <v/>
      </c>
      <c r="D66" s="8650" t="n"/>
      <c r="E66" s="344" t="n"/>
      <c r="F66" s="344" t="n"/>
      <c r="G66" s="344" t="n"/>
      <c r="H66" s="344" t="n"/>
      <c r="I66" s="344" t="n"/>
      <c r="J66" s="344" t="n"/>
      <c r="K66" s="1061" t="n"/>
      <c r="L66" s="2300" t="n"/>
      <c r="M66" s="2301" t="n"/>
      <c r="N66" s="1061" t="n"/>
      <c r="O66" s="1061" t="n"/>
      <c r="P66" s="1061" t="n"/>
      <c r="Q66" s="1061" t="n"/>
      <c r="R66" s="1061" t="n"/>
      <c r="S66" s="344" t="n"/>
      <c r="T66" s="344" t="n"/>
      <c r="U66" s="344" t="n"/>
      <c r="V66" s="2349" t="n"/>
      <c r="W66" s="9750" t="n"/>
      <c r="X66" s="1205" t="n"/>
      <c r="Y66" s="1205" t="n"/>
      <c r="Z66" s="1205" t="n"/>
      <c r="AA66" s="1401" t="n"/>
      <c r="AB66" s="2339" t="n"/>
      <c r="AC66" s="2340" t="n"/>
      <c r="AD66" s="1803" t="n"/>
      <c r="AE66" s="1806" t="n"/>
      <c r="AF66" s="1806" t="n"/>
      <c r="AG66" s="1806" t="n"/>
      <c r="AH66" s="1806" t="n"/>
      <c r="AI66" s="1806" t="n"/>
      <c r="AJ66" s="1806" t="n"/>
      <c r="AK66" s="2013" t="n"/>
      <c r="AL66" s="11602" t="n"/>
      <c r="AM66" s="226" t="n"/>
      <c r="AN66" s="2362" t="n"/>
      <c r="AO66" s="6603" t="n"/>
      <c r="AP66" s="658" t="n"/>
      <c r="AQ66" s="658" t="n"/>
      <c r="AR66" s="658" t="n"/>
      <c r="AS66" s="658" t="n"/>
      <c r="AT66" s="658" t="n"/>
      <c r="AU66" s="658" t="n"/>
      <c r="AV66" s="658" t="n"/>
      <c r="AW66" s="658" t="n"/>
      <c r="AX66" s="658" t="n"/>
      <c r="AY66" s="658" t="n"/>
    </row>
    <row r="67" ht="21" customFormat="1" customHeight="1" s="815" thickBot="1">
      <c r="A67" s="2013" t="n"/>
      <c r="B67" s="2348" t="n"/>
      <c r="C67" s="2381" t="inlineStr">
        <is>
          <t>from line 13</t>
        </is>
      </c>
      <c r="D67" s="8650" t="n"/>
      <c r="E67" s="344" t="n"/>
      <c r="F67" s="344" t="n"/>
      <c r="G67" s="344" t="n"/>
      <c r="H67" s="344" t="n"/>
      <c r="I67" s="344" t="n"/>
      <c r="J67" s="344" t="n"/>
      <c r="K67" s="1061" t="n"/>
      <c r="L67" s="2300" t="n"/>
      <c r="M67" s="2301" t="n"/>
      <c r="N67" s="1061" t="n"/>
      <c r="O67" s="1061" t="n"/>
      <c r="P67" s="1061" t="n"/>
      <c r="Q67" s="1061" t="n"/>
      <c r="R67" s="1061" t="n"/>
      <c r="S67" s="344" t="n"/>
      <c r="T67" s="344" t="n"/>
      <c r="U67" s="1401" t="inlineStr">
        <is>
          <t xml:space="preserve">.   .   .   .   .   .   .   .   .   .   .   .   .   .   .   .   .   .   .   .   .   .   .   .  </t>
        </is>
      </c>
      <c r="V67" s="2351" t="n">
        <v>16</v>
      </c>
      <c r="W67" s="10244">
        <f>IF(AM67&lt;&gt;"",ROUND(AM67,0),IF(AD65&lt;AD61,SUM(AD61,-AD65),""))</f>
        <v/>
      </c>
      <c r="AA67" s="7636" t="n"/>
      <c r="AB67" s="2339" t="n"/>
      <c r="AC67" s="2340" t="n"/>
      <c r="AD67" s="1803" t="n"/>
      <c r="AE67" s="1806" t="n"/>
      <c r="AF67" s="1806" t="n"/>
      <c r="AG67" s="1806" t="n"/>
      <c r="AH67" s="1806" t="n"/>
      <c r="AI67" s="1806" t="n"/>
      <c r="AJ67" s="1806" t="n"/>
      <c r="AK67" s="2013" t="n"/>
      <c r="AL67" s="11602" t="n"/>
      <c r="AM67" s="2361" t="n"/>
      <c r="AN67" s="2362" t="n"/>
      <c r="AO67" s="6603" t="n"/>
      <c r="AP67" s="658" t="n"/>
      <c r="AQ67" s="658" t="n"/>
      <c r="AR67" s="658" t="n"/>
      <c r="AS67" s="658" t="n"/>
      <c r="AT67" s="658" t="n"/>
      <c r="AU67" s="658" t="n"/>
      <c r="AV67" s="658" t="n"/>
      <c r="AW67" s="658" t="n"/>
      <c r="AX67" s="658" t="n"/>
      <c r="AY67" s="658" t="n"/>
    </row>
    <row r="68" ht="21.75" customFormat="1" customHeight="1" s="815">
      <c r="A68" s="2013" t="n"/>
      <c r="B68" s="2343" t="inlineStr">
        <is>
          <t>For Paperwork Reduction Act Notice, see separate instructions.</t>
        </is>
      </c>
      <c r="C68" s="2344" t="n"/>
      <c r="D68" s="2344" t="n"/>
      <c r="E68" s="2344" t="n"/>
      <c r="F68" s="2344" t="n"/>
      <c r="G68" s="2344" t="n"/>
      <c r="H68" s="2344" t="n"/>
      <c r="I68" s="2344" t="n"/>
      <c r="J68" s="2344" t="n"/>
      <c r="K68" s="2344" t="n"/>
      <c r="L68" s="2344" t="n"/>
      <c r="M68" s="2344" t="n"/>
      <c r="N68" s="2344" t="n"/>
      <c r="O68" s="2344" t="n"/>
      <c r="P68" s="2344" t="n"/>
      <c r="Q68" s="2344" t="n"/>
      <c r="R68" s="2344" t="n"/>
      <c r="S68" s="2344" t="n"/>
      <c r="T68" s="2344" t="n"/>
      <c r="U68" s="2344" t="inlineStr">
        <is>
          <t>Cat. No. 13540P</t>
        </is>
      </c>
      <c r="V68" s="2344" t="n"/>
      <c r="W68" s="1916" t="n"/>
      <c r="X68" s="2344" t="n"/>
      <c r="Y68" s="2344" t="n"/>
      <c r="Z68" s="2344" t="n"/>
      <c r="AA68" s="2344" t="n"/>
      <c r="AB68" s="2344" t="n"/>
      <c r="AC68" s="2344" t="n"/>
      <c r="AD68" s="2344" t="n"/>
      <c r="AE68" s="2344" t="n"/>
      <c r="AF68" s="2344" t="n"/>
      <c r="AG68" s="2344" t="n"/>
      <c r="AH68" s="2345" t="inlineStr">
        <is>
          <t>Form  5695</t>
        </is>
      </c>
      <c r="AI68" s="2344" t="n"/>
      <c r="AJ68" s="2346">
        <f>"("&amp;TaxYear&amp;")"</f>
        <v/>
      </c>
      <c r="AK68" s="2013" t="n"/>
      <c r="AL68" s="11602" t="n"/>
      <c r="AM68" s="11602" t="n"/>
      <c r="AN68" s="2362" t="n"/>
      <c r="AO68" s="6603" t="n"/>
      <c r="AP68" s="658" t="n"/>
      <c r="AQ68" s="658" t="n"/>
      <c r="AR68" s="658" t="n"/>
      <c r="AS68" s="658" t="n"/>
      <c r="AT68" s="658" t="n"/>
      <c r="AU68" s="658" t="n"/>
      <c r="AV68" s="658" t="n"/>
      <c r="AW68" s="658" t="n"/>
      <c r="AX68" s="658" t="n"/>
      <c r="AY68" s="658" t="n"/>
    </row>
    <row r="69" ht="18.75" customFormat="1" customHeight="1" s="815" thickBot="1">
      <c r="A69" s="2013" t="n"/>
      <c r="B69" s="2352">
        <f>"Form 5695 ("&amp;TaxYear&amp;")"</f>
        <v/>
      </c>
      <c r="C69" s="498" t="n"/>
      <c r="D69" s="2307" t="n"/>
      <c r="E69" s="498" t="n"/>
      <c r="F69" s="498" t="n"/>
      <c r="G69" s="498" t="n"/>
      <c r="H69" s="498" t="n"/>
      <c r="I69" s="498" t="n"/>
      <c r="J69" s="498" t="n"/>
      <c r="K69" s="498" t="n"/>
      <c r="L69" s="498" t="n"/>
      <c r="M69" s="498" t="n"/>
      <c r="N69" s="2308" t="n"/>
      <c r="O69" s="498" t="n"/>
      <c r="P69" s="498" t="n"/>
      <c r="Q69" s="498" t="n"/>
      <c r="R69" s="498" t="n"/>
      <c r="S69" s="498" t="n"/>
      <c r="T69" s="2308" t="n"/>
      <c r="U69" s="2307" t="n"/>
      <c r="V69" s="498" t="n"/>
      <c r="W69" s="498" t="n"/>
      <c r="X69" s="498" t="n"/>
      <c r="Y69" s="498" t="n"/>
      <c r="Z69" s="498" t="n"/>
      <c r="AA69" s="498" t="n"/>
      <c r="AB69" s="2308" t="n"/>
      <c r="AC69" s="498" t="n"/>
      <c r="AD69" s="498" t="n"/>
      <c r="AE69" s="498" t="n"/>
      <c r="AF69" s="498" t="n"/>
      <c r="AG69" s="498" t="n"/>
      <c r="AH69" s="498" t="n"/>
      <c r="AI69" s="498" t="n"/>
      <c r="AJ69" s="2309" t="inlineStr">
        <is>
          <t>Page 2</t>
        </is>
      </c>
      <c r="AK69" s="2013" t="n"/>
      <c r="AL69" s="11602" t="n"/>
      <c r="AM69" s="11602" t="n"/>
      <c r="AN69" s="2362" t="n"/>
      <c r="AO69" s="6603" t="n"/>
      <c r="AP69" s="658" t="n"/>
      <c r="AQ69" s="658" t="n"/>
      <c r="AR69" s="658" t="n"/>
      <c r="AS69" s="658" t="n"/>
      <c r="AT69" s="658" t="n"/>
      <c r="AU69" s="658" t="n"/>
      <c r="AV69" s="658" t="n"/>
      <c r="AW69" s="658" t="n"/>
      <c r="AX69" s="658" t="n"/>
      <c r="AY69" s="658" t="n"/>
    </row>
    <row r="70" ht="6" customFormat="1" customHeight="1" s="1115">
      <c r="A70" s="2290" t="n"/>
      <c r="B70" s="2291" t="n"/>
      <c r="C70" s="2291" t="n"/>
      <c r="D70" s="2317" t="n"/>
      <c r="E70" s="2310" t="n"/>
      <c r="F70" s="2291" t="n"/>
      <c r="G70" s="2291" t="n"/>
      <c r="H70" s="2291" t="n"/>
      <c r="I70" s="2291" t="n"/>
      <c r="J70" s="2291" t="n"/>
      <c r="K70" s="2291" t="n"/>
      <c r="L70" s="2291" t="n"/>
      <c r="M70" s="2291" t="n"/>
      <c r="N70" s="2291" t="n"/>
      <c r="O70" s="2291" t="n"/>
      <c r="P70" s="2291" t="n"/>
      <c r="Q70" s="2291" t="n"/>
      <c r="R70" s="2291" t="n"/>
      <c r="S70" s="2291" t="n"/>
      <c r="T70" s="2291" t="n"/>
      <c r="U70" s="2291" t="n"/>
      <c r="V70" s="2291" t="n"/>
      <c r="W70" s="2291" t="n"/>
      <c r="X70" s="2291" t="n"/>
      <c r="Y70" s="2291" t="n"/>
      <c r="Z70" s="2291" t="n"/>
      <c r="AA70" s="2291" t="n"/>
      <c r="AB70" s="2291" t="n"/>
      <c r="AC70" s="2291" t="n"/>
      <c r="AD70" s="2291" t="n"/>
      <c r="AE70" s="2291" t="n"/>
      <c r="AF70" s="2291" t="n"/>
      <c r="AG70" s="2291" t="n"/>
      <c r="AH70" s="2291" t="n"/>
      <c r="AI70" s="2292" t="n"/>
      <c r="AJ70" s="2292" t="n"/>
      <c r="AK70" s="2290" t="n"/>
      <c r="AL70" s="11602" t="n"/>
      <c r="AM70" s="11602" t="n"/>
      <c r="AN70" s="2363" t="n"/>
      <c r="AO70" s="6604" t="n"/>
      <c r="AP70" s="658" t="n"/>
      <c r="AQ70" s="658" t="n"/>
      <c r="AR70" s="658" t="n"/>
      <c r="AS70" s="658" t="n"/>
      <c r="AT70" s="658" t="n"/>
      <c r="AU70" s="658" t="n"/>
      <c r="AV70" s="658" t="n"/>
      <c r="AW70" s="658" t="n"/>
      <c r="AX70" s="658" t="n"/>
      <c r="AY70" s="658" t="n"/>
      <c r="AZ70" s="2293" t="n"/>
    </row>
    <row r="71" ht="23.25" customFormat="1" customHeight="1" s="2321">
      <c r="A71" s="2318" t="n"/>
      <c r="B71" s="7597" t="inlineStr">
        <is>
          <t>Part II</t>
        </is>
      </c>
      <c r="D71" s="2315" t="n"/>
      <c r="E71" s="2323" t="inlineStr">
        <is>
          <t>Energy Efficient Home Improvement Credit</t>
        </is>
      </c>
      <c r="F71" s="2319" t="n"/>
      <c r="G71" s="2319" t="n"/>
      <c r="H71" s="2319" t="n"/>
      <c r="I71" s="2319" t="n"/>
      <c r="J71" s="2319" t="n"/>
      <c r="K71" s="2319" t="n"/>
      <c r="L71" s="2319" t="n"/>
      <c r="M71" s="2319" t="n"/>
      <c r="N71" s="2319" t="n"/>
      <c r="O71" s="2319" t="n"/>
      <c r="P71" s="2319" t="n"/>
      <c r="Q71" s="2324" t="n"/>
      <c r="R71" s="2319" t="n"/>
      <c r="S71" s="2319" t="n"/>
      <c r="T71" s="2319" t="n"/>
      <c r="U71" s="2319" t="n"/>
      <c r="V71" s="2319" t="n"/>
      <c r="W71" s="2319" t="n"/>
      <c r="X71" s="2319" t="n"/>
      <c r="Y71" s="2319" t="n"/>
      <c r="Z71" s="2319" t="n"/>
      <c r="AA71" s="2319" t="n"/>
      <c r="AB71" s="2319" t="n"/>
      <c r="AC71" s="2319" t="n"/>
      <c r="AD71" s="2319" t="n"/>
      <c r="AE71" s="2319" t="n"/>
      <c r="AF71" s="2319" t="n"/>
      <c r="AG71" s="2319" t="n"/>
      <c r="AH71" s="2319" t="n"/>
      <c r="AI71" s="2320" t="n"/>
      <c r="AJ71" s="2320" t="n"/>
      <c r="AK71" s="2318" t="n"/>
      <c r="AL71" s="7772" t="n"/>
      <c r="AM71" s="7772" t="n"/>
      <c r="AN71" s="2364" t="n"/>
      <c r="AO71" s="6604" t="n"/>
      <c r="AP71" s="668" t="n"/>
      <c r="AQ71" s="668" t="n"/>
      <c r="AR71" s="668" t="n"/>
      <c r="AS71" s="668" t="n"/>
      <c r="AT71" s="668" t="n"/>
      <c r="AU71" s="668" t="n"/>
      <c r="AV71" s="668" t="n"/>
      <c r="AW71" s="668" t="n"/>
      <c r="AX71" s="668" t="n"/>
      <c r="AY71" s="668" t="n"/>
      <c r="AZ71" s="2322" t="n"/>
    </row>
    <row r="72" ht="6.75" customFormat="1" customHeight="1" s="1115">
      <c r="A72" s="2290" t="n"/>
      <c r="B72" s="2294" t="n"/>
      <c r="C72" s="2294" t="n"/>
      <c r="D72" s="2295" t="n"/>
      <c r="E72" s="2296" t="n"/>
      <c r="F72" s="2294" t="n"/>
      <c r="G72" s="2294" t="n"/>
      <c r="H72" s="2294" t="n"/>
      <c r="I72" s="2294" t="n"/>
      <c r="J72" s="2294" t="n"/>
      <c r="K72" s="2294" t="n"/>
      <c r="L72" s="2294" t="n"/>
      <c r="M72" s="2294" t="n"/>
      <c r="N72" s="2294" t="n"/>
      <c r="O72" s="2294" t="n"/>
      <c r="P72" s="2294" t="n"/>
      <c r="Q72" s="2294" t="n"/>
      <c r="R72" s="2294" t="n"/>
      <c r="S72" s="2294" t="n"/>
      <c r="T72" s="2294" t="n"/>
      <c r="U72" s="2294" t="n"/>
      <c r="V72" s="2294" t="n"/>
      <c r="W72" s="2294" t="n"/>
      <c r="X72" s="2294" t="n"/>
      <c r="Y72" s="2294" t="n"/>
      <c r="Z72" s="2294" t="n"/>
      <c r="AA72" s="2294" t="n"/>
      <c r="AB72" s="2294" t="n"/>
      <c r="AC72" s="2294" t="n"/>
      <c r="AD72" s="2294" t="n"/>
      <c r="AE72" s="2294" t="n"/>
      <c r="AF72" s="2294" t="n"/>
      <c r="AG72" s="2294" t="n"/>
      <c r="AH72" s="2294" t="n"/>
      <c r="AI72" s="2297" t="n"/>
      <c r="AJ72" s="2297" t="n"/>
      <c r="AK72" s="2290" t="n"/>
      <c r="AL72" s="11602" t="n"/>
      <c r="AM72" s="11602" t="n"/>
      <c r="AN72" s="2363" t="n"/>
      <c r="AO72" s="6604" t="n"/>
      <c r="AP72" s="658" t="n"/>
      <c r="AQ72" s="658" t="n"/>
      <c r="AR72" s="658" t="n"/>
      <c r="AS72" s="658" t="n"/>
      <c r="AT72" s="658" t="n"/>
      <c r="AU72" s="658" t="n"/>
      <c r="AV72" s="658" t="n"/>
      <c r="AW72" s="658" t="n"/>
      <c r="AX72" s="658" t="n"/>
      <c r="AY72" s="658" t="n"/>
      <c r="AZ72" s="2293" t="n"/>
    </row>
    <row r="73" ht="9.75" customFormat="1" customHeight="1" s="815">
      <c r="A73" s="2013" t="n"/>
      <c r="B73" s="9988" t="n"/>
      <c r="C73" s="2299" t="n"/>
      <c r="D73" s="8650" t="n"/>
      <c r="E73" s="344" t="n"/>
      <c r="F73" s="344" t="n"/>
      <c r="G73" s="344" t="n"/>
      <c r="H73" s="344" t="n"/>
      <c r="I73" s="344" t="n"/>
      <c r="J73" s="344" t="n"/>
      <c r="K73" s="1061" t="n"/>
      <c r="L73" s="2300" t="n"/>
      <c r="M73" s="2301" t="n"/>
      <c r="N73" s="1061" t="n"/>
      <c r="O73" s="1061" t="n"/>
      <c r="P73" s="1061" t="n"/>
      <c r="Q73" s="1061" t="n"/>
      <c r="R73" s="1061" t="n"/>
      <c r="S73" s="344" t="n"/>
      <c r="T73" s="344" t="n"/>
      <c r="U73" s="344" t="n"/>
      <c r="V73" s="1061" t="n"/>
      <c r="W73" s="9750" t="n"/>
      <c r="X73" s="2302" t="n"/>
      <c r="Y73" s="344" t="n"/>
      <c r="Z73" s="344" t="n"/>
      <c r="AA73" s="344" t="n"/>
      <c r="AB73" s="344" t="n"/>
      <c r="AC73" s="344" t="n"/>
      <c r="AD73" s="344" t="n"/>
      <c r="AE73" s="344" t="n"/>
      <c r="AF73" s="344" t="n"/>
      <c r="AG73" s="344" t="n"/>
      <c r="AH73" s="344" t="n"/>
      <c r="AI73" s="344" t="n"/>
      <c r="AJ73" s="344" t="n"/>
      <c r="AK73" s="2013" t="n"/>
      <c r="AL73" s="11602" t="n"/>
      <c r="AM73" s="226" t="n"/>
      <c r="AN73" s="2362" t="n"/>
      <c r="AO73" s="6603" t="n"/>
      <c r="AP73" s="658" t="n"/>
      <c r="AQ73" s="658" t="n"/>
      <c r="AR73" s="658" t="n"/>
      <c r="AS73" s="658" t="n"/>
      <c r="AT73" s="658" t="n"/>
      <c r="AU73" s="658" t="n"/>
      <c r="AV73" s="658" t="n"/>
      <c r="AW73" s="658" t="n"/>
      <c r="AX73" s="658" t="n"/>
      <c r="AY73" s="658" t="n"/>
    </row>
    <row r="74" ht="15.75" customFormat="1" customHeight="1" s="815">
      <c r="A74" s="2013" t="n"/>
      <c r="B74" s="1213" t="inlineStr">
        <is>
          <t>Section A -- Qualified Energy Efficiency Improvements</t>
        </is>
      </c>
      <c r="C74" s="2299" t="n"/>
      <c r="D74" s="8650" t="n"/>
      <c r="E74" s="344" t="n"/>
      <c r="F74" s="344" t="n"/>
      <c r="G74" s="344" t="n"/>
      <c r="H74" s="344" t="n"/>
      <c r="I74" s="344" t="n"/>
      <c r="J74" s="344" t="n"/>
      <c r="K74" s="1061" t="n"/>
      <c r="L74" s="2300" t="n"/>
      <c r="M74" s="2301" t="n"/>
      <c r="N74" s="1061" t="n"/>
      <c r="O74" s="1061" t="n"/>
      <c r="P74" s="1061" t="n"/>
      <c r="Q74" s="1061" t="n"/>
      <c r="R74" s="1061" t="n"/>
      <c r="S74" s="344" t="n"/>
      <c r="T74" s="344" t="n"/>
      <c r="U74" s="344" t="n"/>
      <c r="V74" s="1061" t="n"/>
      <c r="W74" s="9750" t="n"/>
      <c r="X74" s="2302" t="n"/>
      <c r="Y74" s="344" t="n"/>
      <c r="Z74" s="344" t="n"/>
      <c r="AA74" s="344" t="n"/>
      <c r="AB74" s="344" t="n"/>
      <c r="AC74" s="344" t="n"/>
      <c r="AD74" s="344" t="n"/>
      <c r="AE74" s="344" t="n"/>
      <c r="AF74" s="344" t="n"/>
      <c r="AG74" s="344" t="n"/>
      <c r="AH74" s="344" t="n"/>
      <c r="AI74" s="344" t="n"/>
      <c r="AJ74" s="344" t="n"/>
      <c r="AK74" s="2013" t="n"/>
      <c r="AL74" s="11602" t="n"/>
      <c r="AM74" s="226" t="n"/>
      <c r="AN74" s="2362" t="n"/>
      <c r="AO74" s="6603" t="n"/>
      <c r="AP74" s="658" t="n"/>
      <c r="AQ74" s="658" t="n"/>
      <c r="AR74" s="658" t="n"/>
      <c r="AS74" s="658" t="n"/>
      <c r="AT74" s="658" t="n"/>
      <c r="AU74" s="658" t="n"/>
      <c r="AV74" s="658" t="n"/>
      <c r="AW74" s="658" t="n"/>
      <c r="AX74" s="658" t="n"/>
      <c r="AY74" s="658" t="n"/>
    </row>
    <row r="75" ht="8.25" customFormat="1" customHeight="1" s="815">
      <c r="A75" s="2013" t="n"/>
      <c r="B75" s="8595" t="n"/>
      <c r="C75" s="2303" t="n"/>
      <c r="D75" s="1996" t="n"/>
      <c r="E75" s="569" t="n"/>
      <c r="F75" s="569" t="n"/>
      <c r="G75" s="569" t="n"/>
      <c r="H75" s="569" t="n"/>
      <c r="I75" s="569" t="n"/>
      <c r="J75" s="569" t="n"/>
      <c r="K75" s="569" t="n"/>
      <c r="L75" s="569" t="n"/>
      <c r="M75" s="569" t="n"/>
      <c r="N75" s="569" t="n"/>
      <c r="O75" s="569" t="n"/>
      <c r="P75" s="569" t="n"/>
      <c r="Q75" s="569" t="n"/>
      <c r="R75" s="569" t="n"/>
      <c r="S75" s="569" t="n"/>
      <c r="T75" s="569" t="n"/>
      <c r="U75" s="569" t="n"/>
      <c r="V75" s="569" t="n"/>
      <c r="W75" s="2304" t="n"/>
      <c r="X75" s="569" t="n"/>
      <c r="Y75" s="569" t="n"/>
      <c r="Z75" s="569" t="n"/>
      <c r="AA75" s="569" t="n"/>
      <c r="AB75" s="569" t="n"/>
      <c r="AC75" s="569" t="n"/>
      <c r="AD75" s="569" t="n"/>
      <c r="AE75" s="569" t="n"/>
      <c r="AF75" s="569" t="n"/>
      <c r="AG75" s="569" t="n"/>
      <c r="AH75" s="569" t="n"/>
      <c r="AI75" s="569" t="n"/>
      <c r="AJ75" s="569" t="n"/>
      <c r="AK75" s="2013" t="n"/>
      <c r="AL75" s="11602" t="n"/>
      <c r="AM75" s="226" t="n"/>
      <c r="AN75" s="2362" t="n"/>
      <c r="AO75" s="6603" t="n"/>
      <c r="AP75" s="658" t="n"/>
      <c r="AQ75" s="658" t="n"/>
      <c r="AR75" s="658" t="n"/>
      <c r="AS75" s="658" t="n"/>
      <c r="AT75" s="658" t="n"/>
      <c r="AU75" s="658" t="n"/>
      <c r="AV75" s="658" t="n"/>
      <c r="AW75" s="658" t="n"/>
      <c r="AX75" s="658" t="n"/>
      <c r="AY75" s="658" t="n"/>
    </row>
    <row r="76" ht="21" customFormat="1" customHeight="1" s="815">
      <c r="A76" s="2013" t="n"/>
      <c r="B76" s="8296" t="inlineStr">
        <is>
          <t>17a</t>
        </is>
      </c>
      <c r="C76" s="7865" t="inlineStr">
        <is>
          <t>Are the qualified energy efficiency improvements installed in or on your main home located in the</t>
        </is>
      </c>
      <c r="D76" s="7865" t="n"/>
      <c r="E76" s="344" t="n"/>
      <c r="F76" s="344" t="n"/>
      <c r="G76" s="344" t="n"/>
      <c r="H76" s="344" t="n"/>
      <c r="I76" s="344" t="n"/>
      <c r="J76" s="344" t="n"/>
      <c r="K76" s="344" t="n"/>
      <c r="L76" s="344" t="n"/>
      <c r="M76" s="344" t="n"/>
      <c r="N76" s="344" t="n"/>
      <c r="O76" s="344" t="n"/>
      <c r="P76" s="344" t="n"/>
      <c r="Q76" s="344" t="n"/>
      <c r="R76" s="344" t="n"/>
      <c r="S76" s="344" t="n"/>
      <c r="T76" s="344" t="n"/>
      <c r="U76" s="344" t="n"/>
      <c r="V76" s="344" t="n"/>
      <c r="W76" s="344" t="n"/>
      <c r="X76" s="344" t="n"/>
      <c r="Y76" s="344" t="n"/>
      <c r="Z76" s="344" t="n"/>
      <c r="AA76" s="1401" t="n"/>
      <c r="AB76" s="12555" t="n"/>
      <c r="AC76" s="7636" t="n"/>
      <c r="AD76" s="2332" t="n"/>
      <c r="AE76" s="1664" t="n"/>
      <c r="AF76" s="1664" t="n"/>
      <c r="AG76" s="1664" t="n"/>
      <c r="AH76" s="1664" t="n"/>
      <c r="AI76" s="1664" t="n"/>
      <c r="AJ76" s="1664" t="n"/>
      <c r="AK76" s="2013" t="n"/>
      <c r="AL76" s="11602" t="n"/>
      <c r="AM76" s="11602" t="n"/>
      <c r="AN76" s="2362" t="n"/>
      <c r="AO76" s="6603" t="n"/>
      <c r="AP76" s="658" t="n"/>
      <c r="AQ76" s="658" t="n"/>
      <c r="AR76" s="658" t="n"/>
      <c r="AS76" s="658" t="n"/>
      <c r="AT76" s="658" t="n"/>
      <c r="AU76" s="658" t="n"/>
      <c r="AV76" s="658" t="n"/>
      <c r="AW76" s="658" t="n"/>
      <c r="AX76" s="658" t="n"/>
      <c r="AY76" s="658" t="n"/>
    </row>
    <row r="77" ht="18" customFormat="1" customHeight="1" s="815">
      <c r="A77" s="2013" t="n"/>
      <c r="B77" s="11191" t="n"/>
      <c r="C77" s="9847" t="inlineStr">
        <is>
          <t>United States? (See instructions.)</t>
        </is>
      </c>
      <c r="D77" s="9847" t="n"/>
      <c r="E77" s="344" t="n"/>
      <c r="F77" s="344" t="n"/>
      <c r="G77" s="344" t="n"/>
      <c r="H77" s="344" t="n"/>
      <c r="I77" s="344" t="n"/>
      <c r="J77" s="344" t="n"/>
      <c r="K77" s="344" t="n"/>
      <c r="L77" s="344" t="n"/>
      <c r="M77" s="344" t="n"/>
      <c r="N77" s="344" t="n"/>
      <c r="O77" s="344" t="n"/>
      <c r="P77" s="344" t="n"/>
      <c r="Q77" s="344" t="n"/>
      <c r="R77" s="344" t="n"/>
      <c r="S77" s="344" t="n"/>
      <c r="T77" s="344" t="n"/>
      <c r="U77" s="344" t="n"/>
      <c r="V77" s="344" t="n"/>
      <c r="W77" s="344" t="n"/>
      <c r="X77" s="344" t="n"/>
      <c r="Y77" s="344" t="n"/>
      <c r="Z77" s="344" t="n"/>
      <c r="AA77" s="1401" t="inlineStr">
        <is>
          <t xml:space="preserve">.   .   .   .   .   .   .   .   .   .   .   .  </t>
        </is>
      </c>
      <c r="AB77" s="12555" t="inlineStr">
        <is>
          <t>17a</t>
        </is>
      </c>
      <c r="AC77" s="7636" t="n"/>
      <c r="AD77" s="2332" t="n"/>
      <c r="AE77" s="2335" t="n"/>
      <c r="AF77" s="1664" t="inlineStr">
        <is>
          <t>Yes</t>
        </is>
      </c>
      <c r="AG77" s="1664" t="n"/>
      <c r="AH77" s="2336">
        <f>IF(AND(AE77="",AK77=""),"X","")</f>
        <v/>
      </c>
      <c r="AI77" s="1664" t="inlineStr">
        <is>
          <t>No</t>
        </is>
      </c>
      <c r="AJ77" s="1664" t="n"/>
      <c r="AK77" s="2337" t="inlineStr">
        <is>
          <t>X</t>
        </is>
      </c>
      <c r="AL77" s="2338" t="inlineStr">
        <is>
          <t>Uncheck 'No' box.</t>
        </is>
      </c>
      <c r="AM77" s="11602" t="n"/>
      <c r="AN77" s="2362" t="n"/>
      <c r="AO77" s="6603">
        <f>AH77&lt;&gt;""</f>
        <v/>
      </c>
      <c r="AP77" s="658" t="n"/>
      <c r="AQ77" s="658" t="n"/>
      <c r="AR77" s="658" t="n"/>
      <c r="AS77" s="658" t="n"/>
      <c r="AT77" s="658" t="n"/>
      <c r="AU77" s="658" t="n"/>
      <c r="AV77" s="658" t="n"/>
      <c r="AW77" s="658" t="n"/>
      <c r="AX77" s="658" t="n"/>
      <c r="AY77" s="658" t="n"/>
    </row>
    <row r="78" ht="5.25" customFormat="1" customHeight="1" s="815">
      <c r="A78" s="2013" t="n"/>
      <c r="B78" s="11191" t="n"/>
      <c r="C78" s="7865" t="n"/>
      <c r="D78" s="344" t="n"/>
      <c r="E78" s="344" t="n"/>
      <c r="F78" s="344" t="n"/>
      <c r="G78" s="344" t="n"/>
      <c r="H78" s="344" t="n"/>
      <c r="I78" s="344" t="n"/>
      <c r="J78" s="344" t="n"/>
      <c r="K78" s="344" t="n"/>
      <c r="L78" s="344" t="n"/>
      <c r="M78" s="344" t="n"/>
      <c r="N78" s="344" t="n"/>
      <c r="O78" s="344" t="n"/>
      <c r="P78" s="344" t="n"/>
      <c r="Q78" s="344" t="n"/>
      <c r="R78" s="344" t="n"/>
      <c r="S78" s="344" t="n"/>
      <c r="T78" s="344" t="n"/>
      <c r="U78" s="344" t="n"/>
      <c r="V78" s="344" t="n"/>
      <c r="W78" s="344" t="n"/>
      <c r="X78" s="344" t="n"/>
      <c r="Y78" s="344" t="n"/>
      <c r="Z78" s="344" t="n"/>
      <c r="AA78" s="1401" t="n"/>
      <c r="AB78" s="12557" t="n"/>
      <c r="AC78" s="7638" t="n"/>
      <c r="AD78" s="2330" t="n"/>
      <c r="AE78" s="2331" t="n"/>
      <c r="AF78" s="2331" t="n"/>
      <c r="AG78" s="2331" t="n"/>
      <c r="AH78" s="2331" t="n"/>
      <c r="AI78" s="2331" t="n"/>
      <c r="AJ78" s="2331" t="n"/>
      <c r="AK78" s="2013" t="n"/>
      <c r="AL78" s="11602" t="n"/>
      <c r="AM78" s="11602" t="n"/>
      <c r="AN78" s="2362" t="n"/>
      <c r="AO78" s="6603" t="n"/>
      <c r="AP78" s="658" t="n"/>
      <c r="AQ78" s="658" t="n"/>
      <c r="AR78" s="658" t="n"/>
      <c r="AS78" s="658" t="n"/>
      <c r="AT78" s="658" t="n"/>
      <c r="AU78" s="658" t="n"/>
      <c r="AV78" s="658" t="n"/>
      <c r="AW78" s="658" t="n"/>
      <c r="AX78" s="658" t="n"/>
      <c r="AY78" s="658" t="n"/>
    </row>
    <row r="79" ht="5.25" customFormat="1" customHeight="1" s="815">
      <c r="A79" s="2013" t="n"/>
      <c r="B79" s="11191" t="n"/>
      <c r="C79" s="7865" t="n"/>
      <c r="D79" s="344" t="n"/>
      <c r="E79" s="344" t="n"/>
      <c r="F79" s="344" t="n"/>
      <c r="G79" s="344" t="n"/>
      <c r="H79" s="344" t="n"/>
      <c r="I79" s="344" t="n"/>
      <c r="J79" s="344" t="n"/>
      <c r="K79" s="344" t="n"/>
      <c r="L79" s="344" t="n"/>
      <c r="M79" s="344" t="n"/>
      <c r="N79" s="344" t="n"/>
      <c r="O79" s="344" t="n"/>
      <c r="P79" s="344" t="n"/>
      <c r="Q79" s="344" t="n"/>
      <c r="R79" s="344" t="n"/>
      <c r="S79" s="344" t="n"/>
      <c r="T79" s="344" t="n"/>
      <c r="U79" s="344" t="n"/>
      <c r="V79" s="344" t="n"/>
      <c r="W79" s="344" t="n"/>
      <c r="X79" s="344" t="n"/>
      <c r="Y79" s="344" t="n"/>
      <c r="Z79" s="344" t="n"/>
      <c r="AA79" s="1401" t="n"/>
      <c r="AB79" s="12555" t="n"/>
      <c r="AC79" s="7636" t="n"/>
      <c r="AD79" s="2333" t="n"/>
      <c r="AE79" s="2334" t="n"/>
      <c r="AF79" s="2334" t="n"/>
      <c r="AG79" s="2334" t="n"/>
      <c r="AH79" s="2334" t="n"/>
      <c r="AI79" s="2334" t="n"/>
      <c r="AJ79" s="2334" t="n"/>
      <c r="AK79" s="2013" t="n"/>
      <c r="AL79" s="11602" t="n"/>
      <c r="AM79" s="11602" t="n"/>
      <c r="AN79" s="2362" t="n"/>
      <c r="AO79" s="6603" t="n"/>
      <c r="AP79" s="658" t="n"/>
      <c r="AQ79" s="658" t="n"/>
      <c r="AR79" s="658" t="n"/>
      <c r="AS79" s="658" t="n"/>
      <c r="AT79" s="658" t="n"/>
      <c r="AU79" s="658" t="n"/>
      <c r="AV79" s="658" t="n"/>
      <c r="AW79" s="658" t="n"/>
      <c r="AX79" s="658" t="n"/>
      <c r="AY79" s="658" t="n"/>
    </row>
    <row r="80" ht="18" customFormat="1" customHeight="1" s="815">
      <c r="A80" s="2013" t="n"/>
      <c r="B80" s="2328" t="inlineStr">
        <is>
          <t>b</t>
        </is>
      </c>
      <c r="C80" s="9847" t="inlineStr">
        <is>
          <t>Are you the original user of the qualified energy efficiency improvements?</t>
        </is>
      </c>
      <c r="D80" s="9847" t="n"/>
      <c r="E80" s="344" t="n"/>
      <c r="F80" s="344" t="n"/>
      <c r="G80" s="344" t="n"/>
      <c r="H80" s="344" t="n"/>
      <c r="I80" s="344" t="n"/>
      <c r="J80" s="344" t="n"/>
      <c r="K80" s="344" t="n"/>
      <c r="L80" s="344" t="n"/>
      <c r="M80" s="344" t="n"/>
      <c r="N80" s="344" t="n"/>
      <c r="O80" s="344" t="n"/>
      <c r="P80" s="344" t="n"/>
      <c r="Q80" s="344" t="n"/>
      <c r="R80" s="344" t="n"/>
      <c r="S80" s="344" t="n"/>
      <c r="T80" s="344" t="n"/>
      <c r="U80" s="344" t="n"/>
      <c r="V80" s="344" t="n"/>
      <c r="W80" s="344" t="n"/>
      <c r="X80" s="344" t="n"/>
      <c r="Y80" s="344" t="n"/>
      <c r="Z80" s="344" t="n"/>
      <c r="AA80" s="1401" t="inlineStr">
        <is>
          <t xml:space="preserve">.   .   .   .   .   .   .   .   .   .   .   .  </t>
        </is>
      </c>
      <c r="AB80" s="12555" t="n"/>
      <c r="AC80" s="7636" t="n"/>
      <c r="AD80" s="2332" t="n"/>
      <c r="AE80" s="2335" t="n"/>
      <c r="AF80" s="1664" t="inlineStr">
        <is>
          <t>Yes</t>
        </is>
      </c>
      <c r="AG80" s="1664" t="n"/>
      <c r="AH80" s="2336">
        <f>IF(AND(AE80="",AK80=""),"X","")</f>
        <v/>
      </c>
      <c r="AI80" s="1664" t="inlineStr">
        <is>
          <t>No</t>
        </is>
      </c>
      <c r="AJ80" s="1664" t="n"/>
      <c r="AK80" s="2337" t="inlineStr">
        <is>
          <t>X</t>
        </is>
      </c>
      <c r="AL80" s="2338" t="inlineStr">
        <is>
          <t>Uncheck 'No' box.</t>
        </is>
      </c>
      <c r="AM80" s="11602" t="n"/>
      <c r="AN80" s="2362" t="n"/>
      <c r="AO80" s="6603">
        <f>AH80&lt;&gt;""</f>
        <v/>
      </c>
      <c r="AP80" s="658" t="n"/>
      <c r="AQ80" s="658" t="n"/>
      <c r="AR80" s="658" t="n"/>
      <c r="AS80" s="658" t="n"/>
      <c r="AT80" s="658" t="n"/>
      <c r="AU80" s="658" t="n"/>
      <c r="AV80" s="658" t="n"/>
      <c r="AW80" s="658" t="n"/>
      <c r="AX80" s="658" t="n"/>
      <c r="AY80" s="658" t="n"/>
    </row>
    <row r="81" ht="5.25" customFormat="1" customHeight="1" s="815">
      <c r="A81" s="2013" t="n"/>
      <c r="B81" s="11191" t="n"/>
      <c r="C81" s="7865" t="n"/>
      <c r="D81" s="344" t="n"/>
      <c r="E81" s="344" t="n"/>
      <c r="F81" s="344" t="n"/>
      <c r="G81" s="344" t="n"/>
      <c r="H81" s="344" t="n"/>
      <c r="I81" s="344" t="n"/>
      <c r="J81" s="344" t="n"/>
      <c r="K81" s="344" t="n"/>
      <c r="L81" s="344" t="n"/>
      <c r="M81" s="344" t="n"/>
      <c r="N81" s="344" t="n"/>
      <c r="O81" s="344" t="n"/>
      <c r="P81" s="344" t="n"/>
      <c r="Q81" s="344" t="n"/>
      <c r="R81" s="344" t="n"/>
      <c r="S81" s="344" t="n"/>
      <c r="T81" s="344" t="n"/>
      <c r="U81" s="344" t="n"/>
      <c r="V81" s="344" t="n"/>
      <c r="W81" s="344" t="n"/>
      <c r="X81" s="344" t="n"/>
      <c r="Y81" s="344" t="n"/>
      <c r="Z81" s="344" t="n"/>
      <c r="AA81" s="1401" t="n"/>
      <c r="AB81" s="12555" t="n"/>
      <c r="AC81" s="7636" t="n"/>
      <c r="AD81" s="2330" t="n"/>
      <c r="AE81" s="2331" t="n"/>
      <c r="AF81" s="2331" t="n"/>
      <c r="AG81" s="2331" t="n"/>
      <c r="AH81" s="2331" t="n"/>
      <c r="AI81" s="2331" t="n"/>
      <c r="AJ81" s="2331" t="n"/>
      <c r="AK81" s="2013" t="n"/>
      <c r="AL81" s="11602" t="n"/>
      <c r="AM81" s="11602" t="n"/>
      <c r="AN81" s="2362" t="n"/>
      <c r="AO81" s="6603" t="n"/>
      <c r="AP81" s="658" t="n"/>
      <c r="AQ81" s="658" t="n"/>
      <c r="AR81" s="658" t="n"/>
      <c r="AS81" s="658" t="n"/>
      <c r="AT81" s="658" t="n"/>
      <c r="AU81" s="658" t="n"/>
      <c r="AV81" s="658" t="n"/>
      <c r="AW81" s="658" t="n"/>
      <c r="AX81" s="658" t="n"/>
      <c r="AY81" s="658" t="n"/>
    </row>
    <row r="82" ht="15" customFormat="1" customHeight="1" s="815">
      <c r="A82" s="2013" t="n"/>
      <c r="B82" s="2353" t="inlineStr">
        <is>
          <t>c</t>
        </is>
      </c>
      <c r="C82" s="9847" t="inlineStr">
        <is>
          <t>Are the components reasonably expected to remain in use for at least 5 years?</t>
        </is>
      </c>
      <c r="D82" s="9847" t="n"/>
      <c r="E82" s="344" t="n"/>
      <c r="F82" s="344" t="n"/>
      <c r="G82" s="344" t="n"/>
      <c r="H82" s="344" t="n"/>
      <c r="I82" s="344" t="n"/>
      <c r="J82" s="344" t="n"/>
      <c r="K82" s="344" t="n"/>
      <c r="L82" s="344" t="n"/>
      <c r="M82" s="344" t="n"/>
      <c r="N82" s="344" t="n"/>
      <c r="O82" s="344" t="n"/>
      <c r="P82" s="344" t="n"/>
      <c r="Q82" s="344" t="n"/>
      <c r="R82" s="344" t="n"/>
      <c r="S82" s="344" t="n"/>
      <c r="T82" s="344" t="n"/>
      <c r="U82" s="344" t="n"/>
      <c r="V82" s="344" t="n"/>
      <c r="W82" s="344" t="n"/>
      <c r="X82" s="344" t="n"/>
      <c r="Y82" s="344" t="n"/>
      <c r="Z82" s="344" t="n"/>
      <c r="AA82" s="1401" t="n"/>
      <c r="AB82" s="12555" t="n"/>
      <c r="AC82" s="7636" t="n"/>
      <c r="AD82" s="2332" t="n"/>
      <c r="AE82" s="1664" t="n"/>
      <c r="AF82" s="1664" t="n"/>
      <c r="AG82" s="1664" t="n"/>
      <c r="AH82" s="1664" t="n"/>
      <c r="AI82" s="1664" t="n"/>
      <c r="AJ82" s="1664" t="n"/>
      <c r="AK82" s="2013" t="n"/>
      <c r="AL82" s="11602" t="n"/>
      <c r="AM82" s="11602" t="n"/>
      <c r="AN82" s="2362" t="n"/>
      <c r="AO82" s="6603" t="n"/>
      <c r="AP82" s="658" t="n"/>
      <c r="AQ82" s="658" t="n"/>
      <c r="AR82" s="658" t="n"/>
      <c r="AS82" s="658" t="n"/>
      <c r="AT82" s="658" t="n"/>
      <c r="AU82" s="658" t="n"/>
      <c r="AV82" s="658" t="n"/>
      <c r="AW82" s="658" t="n"/>
      <c r="AX82" s="658" t="n"/>
      <c r="AY82" s="658" t="n"/>
    </row>
    <row r="83" ht="15" customFormat="1" customHeight="1" s="815">
      <c r="A83" s="2013" t="n"/>
      <c r="B83" s="11191" t="n"/>
      <c r="C83" s="9847" t="inlineStr">
        <is>
          <t>If you checked the “No” box for line 17a, 17b, or 17c, you cannot claim the energy efficient home</t>
        </is>
      </c>
      <c r="D83" s="9847" t="n"/>
      <c r="E83" s="344" t="n"/>
      <c r="F83" s="344" t="n"/>
      <c r="G83" s="344" t="n"/>
      <c r="H83" s="344" t="n"/>
      <c r="I83" s="344" t="n"/>
      <c r="J83" s="344" t="n"/>
      <c r="K83" s="344" t="n"/>
      <c r="L83" s="344" t="n"/>
      <c r="M83" s="344" t="n"/>
      <c r="N83" s="344" t="n"/>
      <c r="O83" s="344" t="n"/>
      <c r="P83" s="344" t="n"/>
      <c r="Q83" s="344" t="n"/>
      <c r="R83" s="344" t="n"/>
      <c r="S83" s="344" t="n"/>
      <c r="T83" s="344" t="n"/>
      <c r="U83" s="344" t="n"/>
      <c r="V83" s="344" t="n"/>
      <c r="W83" s="344" t="n"/>
      <c r="X83" s="344" t="n"/>
      <c r="Y83" s="344" t="n"/>
      <c r="Z83" s="344" t="n"/>
      <c r="AA83" s="1401" t="n"/>
      <c r="AB83" s="12555" t="n"/>
      <c r="AC83" s="7636" t="n"/>
      <c r="AD83" s="2332" t="n"/>
      <c r="AE83" s="1664" t="n"/>
      <c r="AF83" s="1664" t="n"/>
      <c r="AG83" s="1664" t="n"/>
      <c r="AH83" s="1664" t="n"/>
      <c r="AI83" s="1664" t="n"/>
      <c r="AJ83" s="1664" t="n"/>
      <c r="AK83" s="2013" t="n"/>
      <c r="AL83" s="11602" t="n"/>
      <c r="AM83" s="11602" t="n"/>
      <c r="AN83" s="2362" t="n"/>
      <c r="AO83" s="6603" t="n"/>
      <c r="AP83" s="658" t="n"/>
      <c r="AQ83" s="658" t="n"/>
      <c r="AR83" s="658" t="n"/>
      <c r="AS83" s="658" t="n"/>
      <c r="AT83" s="658" t="n"/>
      <c r="AU83" s="658" t="n"/>
      <c r="AV83" s="658" t="n"/>
      <c r="AW83" s="658" t="n"/>
      <c r="AX83" s="658" t="n"/>
      <c r="AY83" s="658" t="n"/>
    </row>
    <row r="84" ht="18" customFormat="1" customHeight="1" s="815">
      <c r="A84" s="2013" t="n"/>
      <c r="B84" s="11191" t="n"/>
      <c r="C84" s="9847" t="inlineStr">
        <is>
          <t>improvement credit. Do not complete Part II, Section A.</t>
        </is>
      </c>
      <c r="D84" s="344" t="n"/>
      <c r="E84" s="344" t="n"/>
      <c r="F84" s="344" t="n"/>
      <c r="G84" s="344" t="n"/>
      <c r="H84" s="344" t="n"/>
      <c r="I84" s="2313" t="n"/>
      <c r="J84" s="344" t="n"/>
      <c r="K84" s="344" t="n"/>
      <c r="L84" s="344" t="n"/>
      <c r="M84" s="344" t="n"/>
      <c r="N84" s="344" t="n"/>
      <c r="O84" s="344" t="n"/>
      <c r="P84" s="344" t="n"/>
      <c r="Q84" s="344" t="n"/>
      <c r="R84" s="344" t="n"/>
      <c r="S84" s="344" t="n"/>
      <c r="T84" s="344" t="n"/>
      <c r="U84" s="344" t="n"/>
      <c r="V84" s="344" t="n"/>
      <c r="W84" s="344" t="n"/>
      <c r="X84" s="344" t="n"/>
      <c r="Y84" s="344" t="n"/>
      <c r="Z84" s="344" t="n"/>
      <c r="AA84" s="1401" t="inlineStr">
        <is>
          <t xml:space="preserve">.   .   .   .   .   .   .   .   .   .   .   .   .   .   .   .   .   .   .   .   .   .  </t>
        </is>
      </c>
      <c r="AB84" s="12555" t="inlineStr">
        <is>
          <t>17c</t>
        </is>
      </c>
      <c r="AC84" s="7636" t="n"/>
      <c r="AD84" s="2332" t="n"/>
      <c r="AE84" s="2335" t="n"/>
      <c r="AF84" s="1664" t="inlineStr">
        <is>
          <t>Yes</t>
        </is>
      </c>
      <c r="AG84" s="1664" t="n"/>
      <c r="AH84" s="2336">
        <f>IF(AND(AE84="",AK84=""),"X","")</f>
        <v/>
      </c>
      <c r="AI84" s="1664" t="inlineStr">
        <is>
          <t>No</t>
        </is>
      </c>
      <c r="AJ84" s="1664" t="n"/>
      <c r="AK84" s="2337" t="inlineStr">
        <is>
          <t>X</t>
        </is>
      </c>
      <c r="AL84" s="2338" t="inlineStr">
        <is>
          <t>Uncheck 'No' box.</t>
        </is>
      </c>
      <c r="AM84" s="11602" t="n"/>
      <c r="AN84" s="2362" t="n"/>
      <c r="AO84" s="6603">
        <f>AH84&lt;&gt;""</f>
        <v/>
      </c>
      <c r="AP84" s="658" t="n"/>
      <c r="AQ84" s="658" t="n"/>
      <c r="AR84" s="658" t="n"/>
      <c r="AS84" s="658" t="n"/>
      <c r="AT84" s="658" t="n"/>
      <c r="AU84" s="658" t="n"/>
      <c r="AV84" s="658" t="n"/>
      <c r="AW84" s="658" t="n"/>
      <c r="AX84" s="658" t="n"/>
      <c r="AY84" s="658" t="n"/>
    </row>
    <row r="85" ht="5.25" customFormat="1" customHeight="1" s="815">
      <c r="A85" s="2013" t="n"/>
      <c r="B85" s="11191" t="n"/>
      <c r="C85" s="7865" t="n"/>
      <c r="D85" s="344" t="n"/>
      <c r="E85" s="344" t="n"/>
      <c r="F85" s="344" t="n"/>
      <c r="G85" s="344" t="n"/>
      <c r="H85" s="344" t="n"/>
      <c r="I85" s="344" t="n"/>
      <c r="J85" s="344" t="n"/>
      <c r="K85" s="344" t="n"/>
      <c r="L85" s="344" t="n"/>
      <c r="M85" s="344" t="n"/>
      <c r="N85" s="344" t="n"/>
      <c r="O85" s="344" t="n"/>
      <c r="P85" s="344" t="n"/>
      <c r="Q85" s="344" t="n"/>
      <c r="R85" s="344" t="n"/>
      <c r="S85" s="344" t="n"/>
      <c r="T85" s="344" t="n"/>
      <c r="U85" s="344" t="n"/>
      <c r="V85" s="344" t="n"/>
      <c r="W85" s="344" t="n"/>
      <c r="X85" s="344" t="n"/>
      <c r="Y85" s="344" t="n"/>
      <c r="Z85" s="344" t="n"/>
      <c r="AA85" s="1401" t="n"/>
      <c r="AB85" s="12555" t="n"/>
      <c r="AC85" s="7636" t="n"/>
      <c r="AD85" s="2330" t="n"/>
      <c r="AE85" s="2331" t="n"/>
      <c r="AF85" s="2331" t="n"/>
      <c r="AG85" s="2331" t="n"/>
      <c r="AH85" s="2331" t="n"/>
      <c r="AI85" s="2331" t="n"/>
      <c r="AJ85" s="2331" t="n"/>
      <c r="AK85" s="2013" t="n"/>
      <c r="AL85" s="11602" t="n"/>
      <c r="AM85" s="11602" t="n"/>
      <c r="AN85" s="2362" t="n"/>
      <c r="AO85" s="6603" t="n"/>
      <c r="AP85" s="658" t="n"/>
      <c r="AQ85" s="658" t="n"/>
      <c r="AR85" s="658" t="n"/>
      <c r="AS85" s="658" t="n"/>
      <c r="AT85" s="658" t="n"/>
      <c r="AU85" s="658" t="n"/>
      <c r="AV85" s="658" t="n"/>
      <c r="AW85" s="658" t="n"/>
      <c r="AX85" s="658" t="n"/>
      <c r="AY85" s="658" t="n"/>
    </row>
    <row r="86" ht="15.75" customFormat="1" customHeight="1" s="815">
      <c r="A86" s="2013" t="n"/>
      <c r="B86" s="2353" t="inlineStr">
        <is>
          <t>d</t>
        </is>
      </c>
      <c r="C86" s="2299" t="inlineStr">
        <is>
          <t>Enter the complete address of the main home where you made the qualifying improvements.</t>
        </is>
      </c>
      <c r="D86" s="8650" t="n"/>
      <c r="E86" s="344" t="n"/>
      <c r="F86" s="344" t="n"/>
      <c r="G86" s="344" t="n"/>
      <c r="H86" s="344" t="n"/>
      <c r="I86" s="344" t="n"/>
      <c r="J86" s="344" t="n"/>
      <c r="K86" s="344" t="n"/>
      <c r="L86" s="344" t="n"/>
      <c r="M86" s="344" t="n"/>
      <c r="N86" s="344" t="n"/>
      <c r="O86" s="344" t="n"/>
      <c r="P86" s="344" t="n"/>
      <c r="Q86" s="344" t="n"/>
      <c r="R86" s="344" t="n"/>
      <c r="S86" s="2300" t="n"/>
      <c r="T86" s="344" t="n"/>
      <c r="U86" s="344" t="n"/>
      <c r="V86" s="344" t="n"/>
      <c r="W86" s="9750" t="n"/>
      <c r="X86" s="1205" t="n"/>
      <c r="Y86" s="1205" t="n"/>
      <c r="Z86" s="1205" t="n"/>
      <c r="AA86" s="1401" t="n"/>
      <c r="AB86" s="2339" t="n"/>
      <c r="AC86" s="2340" t="n"/>
      <c r="AD86" s="1803" t="n"/>
      <c r="AE86" s="1806" t="n"/>
      <c r="AF86" s="1806" t="n"/>
      <c r="AG86" s="1806" t="n"/>
      <c r="AH86" s="1806" t="n"/>
      <c r="AI86" s="1806" t="n"/>
      <c r="AJ86" s="1806" t="n"/>
      <c r="AK86" s="2013" t="n"/>
      <c r="AL86" s="11602" t="n"/>
      <c r="AM86" s="226" t="n"/>
      <c r="AN86" s="2362" t="n"/>
      <c r="AO86" s="6603">
        <f>OR(AO77,AO80,AO84)</f>
        <v/>
      </c>
      <c r="AP86" s="658" t="n"/>
      <c r="AQ86" s="658" t="n"/>
      <c r="AR86" s="658" t="n"/>
      <c r="AS86" s="658" t="n"/>
      <c r="AT86" s="658" t="n"/>
      <c r="AU86" s="658" t="n"/>
      <c r="AV86" s="658" t="n"/>
      <c r="AW86" s="658" t="n"/>
      <c r="AX86" s="658" t="n"/>
      <c r="AY86" s="658" t="n"/>
    </row>
    <row r="87" ht="15.75" customFormat="1" customHeight="1" s="815">
      <c r="A87" s="2013" t="n"/>
      <c r="B87" s="11191" t="n"/>
      <c r="C87" s="2299" t="inlineStr">
        <is>
          <t>Caution: You can only have one main home at a time. (See instructions.)</t>
        </is>
      </c>
      <c r="D87" s="8650" t="n"/>
      <c r="E87" s="344" t="n"/>
      <c r="F87" s="344" t="n"/>
      <c r="G87" s="344" t="n"/>
      <c r="H87" s="344" t="n"/>
      <c r="I87" s="344" t="n"/>
      <c r="J87" s="344" t="n"/>
      <c r="K87" s="344" t="n"/>
      <c r="L87" s="344" t="n"/>
      <c r="M87" s="344" t="n"/>
      <c r="N87" s="344" t="n"/>
      <c r="O87" s="344" t="n"/>
      <c r="P87" s="344" t="n"/>
      <c r="Q87" s="344" t="n"/>
      <c r="R87" s="344" t="n"/>
      <c r="S87" s="2300" t="n"/>
      <c r="T87" s="344" t="n"/>
      <c r="U87" s="344" t="n"/>
      <c r="V87" s="344" t="n"/>
      <c r="W87" s="9750" t="n"/>
      <c r="X87" s="1205" t="n"/>
      <c r="Y87" s="1205" t="n"/>
      <c r="Z87" s="1205" t="n"/>
      <c r="AA87" s="1401" t="n"/>
      <c r="AB87" s="2339" t="n"/>
      <c r="AC87" s="2340" t="n"/>
      <c r="AD87" s="1803" t="n"/>
      <c r="AE87" s="1806" t="n"/>
      <c r="AF87" s="1806" t="n"/>
      <c r="AG87" s="1806" t="n"/>
      <c r="AH87" s="1806" t="n"/>
      <c r="AI87" s="1806" t="n"/>
      <c r="AJ87" s="1806" t="n"/>
      <c r="AK87" s="2013" t="n"/>
      <c r="AL87" s="11602" t="n"/>
      <c r="AM87" s="226" t="n"/>
      <c r="AN87" s="2362" t="n"/>
      <c r="AO87" s="6603" t="n"/>
      <c r="AP87" s="658" t="n"/>
      <c r="AQ87" s="658" t="n"/>
      <c r="AR87" s="658" t="n"/>
      <c r="AS87" s="658" t="n"/>
      <c r="AT87" s="658" t="n"/>
      <c r="AU87" s="658" t="n"/>
      <c r="AV87" s="658" t="n"/>
      <c r="AW87" s="658" t="n"/>
      <c r="AX87" s="658" t="n"/>
      <c r="AY87" s="658" t="n"/>
    </row>
    <row r="88" ht="9" customFormat="1" customHeight="1" s="815">
      <c r="A88" s="2013" t="n"/>
      <c r="B88" s="11191" t="n"/>
      <c r="C88" s="2299" t="n"/>
      <c r="D88" s="8650" t="n"/>
      <c r="E88" s="344" t="n"/>
      <c r="F88" s="344" t="n"/>
      <c r="G88" s="344" t="n"/>
      <c r="H88" s="344" t="n"/>
      <c r="I88" s="344" t="n"/>
      <c r="J88" s="344" t="n"/>
      <c r="K88" s="344" t="n"/>
      <c r="L88" s="344" t="n"/>
      <c r="M88" s="344" t="n"/>
      <c r="N88" s="344" t="n"/>
      <c r="O88" s="344" t="n"/>
      <c r="P88" s="344" t="n"/>
      <c r="Q88" s="344" t="n"/>
      <c r="R88" s="344" t="n"/>
      <c r="S88" s="2300" t="n"/>
      <c r="T88" s="344" t="n"/>
      <c r="U88" s="344" t="n"/>
      <c r="V88" s="344" t="n"/>
      <c r="W88" s="9750" t="n"/>
      <c r="X88" s="1205" t="n"/>
      <c r="Y88" s="1205" t="n"/>
      <c r="Z88" s="1205" t="n"/>
      <c r="AA88" s="1401" t="n"/>
      <c r="AB88" s="2339" t="n"/>
      <c r="AC88" s="2340" t="n"/>
      <c r="AD88" s="1803" t="n"/>
      <c r="AE88" s="1806" t="n"/>
      <c r="AF88" s="1806" t="n"/>
      <c r="AG88" s="1806" t="n"/>
      <c r="AH88" s="1806" t="n"/>
      <c r="AI88" s="1806" t="n"/>
      <c r="AJ88" s="1806" t="n"/>
      <c r="AK88" s="2013" t="n"/>
      <c r="AL88" s="11602" t="n"/>
      <c r="AM88" s="226" t="n"/>
      <c r="AN88" s="2362" t="n"/>
      <c r="AO88" s="6603" t="n"/>
      <c r="AP88" s="658" t="n"/>
      <c r="AQ88" s="658" t="n"/>
      <c r="AR88" s="658" t="n"/>
      <c r="AS88" s="658" t="n"/>
      <c r="AT88" s="658" t="n"/>
      <c r="AU88" s="658" t="n"/>
      <c r="AV88" s="658" t="n"/>
      <c r="AW88" s="658" t="n"/>
      <c r="AX88" s="658" t="n"/>
      <c r="AY88" s="658" t="n"/>
    </row>
    <row r="89" ht="21.75" customFormat="1" customHeight="1" s="815">
      <c r="A89" s="2013" t="n"/>
      <c r="B89" s="2316" t="n"/>
      <c r="C89" s="10234" t="n"/>
      <c r="D89" s="11717" t="n"/>
      <c r="E89" s="11717" t="n"/>
      <c r="F89" s="11717" t="n"/>
      <c r="G89" s="11717" t="n"/>
      <c r="H89" s="11717" t="n"/>
      <c r="I89" s="11717" t="n"/>
      <c r="J89" s="11717" t="n"/>
      <c r="K89" s="11717" t="n"/>
      <c r="L89" s="11717" t="n"/>
      <c r="M89" s="11717" t="n"/>
      <c r="N89" s="2378" t="n"/>
      <c r="O89" s="11717" t="n"/>
      <c r="P89" s="12559" t="n"/>
      <c r="Q89" s="12560" t="n"/>
      <c r="R89" s="11717" t="n"/>
      <c r="S89" s="11717" t="n"/>
      <c r="T89" s="11717" t="n"/>
      <c r="U89" s="11717" t="n"/>
      <c r="V89" s="12559" t="n"/>
      <c r="W89" s="2378" t="n"/>
      <c r="X89" s="12561" t="n"/>
      <c r="Y89" s="11717" t="n"/>
      <c r="Z89" s="11717" t="n"/>
      <c r="AA89" s="11718" t="n"/>
      <c r="AB89" s="2342" t="n"/>
      <c r="AC89" s="2340" t="n"/>
      <c r="AD89" s="2316" t="n"/>
      <c r="AE89" s="2316" t="n"/>
      <c r="AF89" s="2316" t="n"/>
      <c r="AG89" s="2316" t="n"/>
      <c r="AH89" s="2316" t="n"/>
      <c r="AI89" s="2316" t="n"/>
      <c r="AJ89" s="2316" t="n"/>
      <c r="AK89" s="2013" t="n"/>
      <c r="AL89" s="11602" t="n"/>
      <c r="AM89" s="512" t="n"/>
      <c r="AN89" s="2362" t="n"/>
      <c r="AO89" s="6603" t="n"/>
      <c r="AP89" s="658" t="n"/>
      <c r="AQ89" s="658" t="n"/>
      <c r="AR89" s="658" t="n"/>
      <c r="AS89" s="658" t="n"/>
      <c r="AT89" s="658" t="n"/>
      <c r="AU89" s="658" t="n"/>
      <c r="AV89" s="658" t="n"/>
      <c r="AW89" s="658" t="n"/>
      <c r="AX89" s="658" t="n"/>
      <c r="AY89" s="658" t="n"/>
    </row>
    <row r="90" ht="18" customFormat="1" customHeight="1" s="815">
      <c r="A90" s="2013" t="n"/>
      <c r="B90" s="2316" t="n"/>
      <c r="C90" s="1672" t="inlineStr">
        <is>
          <t>Number and street</t>
        </is>
      </c>
      <c r="D90" s="2377" t="n"/>
      <c r="E90" s="2377" t="n"/>
      <c r="F90" s="2377" t="n"/>
      <c r="G90" s="2377" t="n"/>
      <c r="H90" s="2377" t="n"/>
      <c r="I90" s="2377" t="n"/>
      <c r="J90" s="2377" t="n"/>
      <c r="K90" s="2377" t="n"/>
      <c r="L90" s="2377" t="n"/>
      <c r="M90" s="2377" t="n"/>
      <c r="N90" s="1672" t="inlineStr">
        <is>
          <t>Unit no.</t>
        </is>
      </c>
      <c r="O90" s="2377" t="n"/>
      <c r="P90" s="2377" t="n"/>
      <c r="Q90" s="1672" t="inlineStr">
        <is>
          <t>City or town</t>
        </is>
      </c>
      <c r="R90" s="2377" t="n"/>
      <c r="S90" s="2377" t="n"/>
      <c r="T90" s="2377" t="n"/>
      <c r="U90" s="2377" t="n"/>
      <c r="V90" s="2377" t="n"/>
      <c r="W90" s="1672" t="inlineStr">
        <is>
          <t>State</t>
        </is>
      </c>
      <c r="X90" s="1672" t="inlineStr">
        <is>
          <t>ZIP code</t>
        </is>
      </c>
      <c r="Y90" s="2377" t="n"/>
      <c r="Z90" s="2377" t="n"/>
      <c r="AA90" s="2377" t="n"/>
      <c r="AB90" s="2339" t="n"/>
      <c r="AC90" s="2340" t="n"/>
      <c r="AD90" s="2316" t="n"/>
      <c r="AE90" s="2316" t="n"/>
      <c r="AF90" s="2316" t="n"/>
      <c r="AG90" s="2316" t="n"/>
      <c r="AH90" s="2316" t="n"/>
      <c r="AI90" s="2316" t="n"/>
      <c r="AJ90" s="2316" t="n"/>
      <c r="AK90" s="2013" t="n"/>
      <c r="AL90" s="11602" t="n"/>
      <c r="AM90" s="512" t="n"/>
      <c r="AN90" s="2362" t="n"/>
      <c r="AO90" s="6603" t="n"/>
      <c r="AP90" s="658" t="n"/>
      <c r="AQ90" s="658" t="n"/>
      <c r="AR90" s="658" t="n"/>
      <c r="AS90" s="658" t="n"/>
      <c r="AT90" s="658" t="n"/>
      <c r="AU90" s="658" t="n"/>
      <c r="AV90" s="658" t="n"/>
      <c r="AW90" s="658" t="n"/>
      <c r="AX90" s="658" t="n"/>
      <c r="AY90" s="658" t="n"/>
    </row>
    <row r="91" ht="15.75" customFormat="1" customHeight="1" s="815">
      <c r="A91" s="2013" t="n"/>
      <c r="B91" s="2328" t="inlineStr">
        <is>
          <t>e</t>
        </is>
      </c>
      <c r="C91" s="9847" t="inlineStr">
        <is>
          <t>Were any of these improvements related to the construction of this main home?</t>
        </is>
      </c>
      <c r="D91" s="9847" t="n"/>
      <c r="E91" s="344" t="n"/>
      <c r="F91" s="344" t="n"/>
      <c r="G91" s="344" t="n"/>
      <c r="H91" s="344" t="n"/>
      <c r="I91" s="344" t="n"/>
      <c r="J91" s="344" t="n"/>
      <c r="K91" s="344" t="n"/>
      <c r="L91" s="344" t="n"/>
      <c r="M91" s="344" t="n"/>
      <c r="N91" s="344" t="n"/>
      <c r="O91" s="344" t="n"/>
      <c r="P91" s="344" t="n"/>
      <c r="Q91" s="344" t="n"/>
      <c r="R91" s="344" t="n"/>
      <c r="S91" s="344" t="n"/>
      <c r="T91" s="344" t="n"/>
      <c r="U91" s="344" t="n"/>
      <c r="V91" s="344" t="n"/>
      <c r="W91" s="344" t="n"/>
      <c r="X91" s="344" t="n"/>
      <c r="Y91" s="344" t="n"/>
      <c r="Z91" s="344" t="n"/>
      <c r="AA91" s="1401" t="inlineStr">
        <is>
          <t xml:space="preserve">.   .   .   .   .   .   .   .   .   .   .   .  </t>
        </is>
      </c>
      <c r="AB91" s="12555" t="inlineStr">
        <is>
          <t>17e</t>
        </is>
      </c>
      <c r="AC91" s="7636" t="n"/>
      <c r="AD91" s="2332" t="n"/>
      <c r="AE91" s="2335" t="n"/>
      <c r="AF91" s="1664" t="inlineStr">
        <is>
          <t>Yes</t>
        </is>
      </c>
      <c r="AG91" s="1664" t="n"/>
      <c r="AH91" s="2336">
        <f>IF(AND(AE91="",AK91=""),"X","")</f>
        <v/>
      </c>
      <c r="AI91" s="1664" t="inlineStr">
        <is>
          <t>No</t>
        </is>
      </c>
      <c r="AJ91" s="1664" t="n"/>
      <c r="AK91" s="2337" t="inlineStr">
        <is>
          <t>X</t>
        </is>
      </c>
      <c r="AL91" s="2338" t="inlineStr">
        <is>
          <t>Uncheck 'No' box.</t>
        </is>
      </c>
      <c r="AM91" s="11602" t="n"/>
      <c r="AN91" s="2362" t="n"/>
      <c r="AO91" s="6603">
        <f>AND(AE91="",AH91="")</f>
        <v/>
      </c>
      <c r="AP91" s="658" t="n"/>
      <c r="AQ91" s="658" t="n"/>
      <c r="AR91" s="658" t="n"/>
      <c r="AS91" s="658" t="n"/>
      <c r="AT91" s="658" t="n"/>
      <c r="AU91" s="658" t="n"/>
      <c r="AV91" s="658" t="n"/>
      <c r="AW91" s="658" t="n"/>
      <c r="AX91" s="658" t="n"/>
      <c r="AY91" s="658" t="n"/>
    </row>
    <row r="92" ht="5.25" customFormat="1" customHeight="1" s="815">
      <c r="A92" s="2013" t="n"/>
      <c r="B92" s="11191" t="n"/>
      <c r="C92" s="7865" t="n"/>
      <c r="D92" s="344" t="n"/>
      <c r="E92" s="344" t="n"/>
      <c r="F92" s="344" t="n"/>
      <c r="G92" s="344" t="n"/>
      <c r="H92" s="344" t="n"/>
      <c r="I92" s="344" t="n"/>
      <c r="J92" s="344" t="n"/>
      <c r="K92" s="344" t="n"/>
      <c r="L92" s="344" t="n"/>
      <c r="M92" s="344" t="n"/>
      <c r="N92" s="344" t="n"/>
      <c r="O92" s="344" t="n"/>
      <c r="P92" s="344" t="n"/>
      <c r="Q92" s="344" t="n"/>
      <c r="R92" s="344" t="n"/>
      <c r="S92" s="344" t="n"/>
      <c r="T92" s="344" t="n"/>
      <c r="U92" s="344" t="n"/>
      <c r="V92" s="344" t="n"/>
      <c r="W92" s="344" t="n"/>
      <c r="X92" s="344" t="n"/>
      <c r="Y92" s="344" t="n"/>
      <c r="Z92" s="344" t="n"/>
      <c r="AA92" s="1401" t="n"/>
      <c r="AB92" s="12555" t="n"/>
      <c r="AC92" s="7636" t="n"/>
      <c r="AD92" s="2330" t="n"/>
      <c r="AE92" s="2331" t="n"/>
      <c r="AF92" s="2331" t="n"/>
      <c r="AG92" s="2331" t="n"/>
      <c r="AH92" s="2331" t="n"/>
      <c r="AI92" s="2331" t="n"/>
      <c r="AJ92" s="2331" t="n"/>
      <c r="AK92" s="2013" t="n"/>
      <c r="AL92" s="11602" t="n"/>
      <c r="AM92" s="11602" t="n"/>
      <c r="AN92" s="2362" t="n"/>
      <c r="AO92" s="6603" t="n"/>
      <c r="AP92" s="658" t="n"/>
      <c r="AQ92" s="658" t="n"/>
      <c r="AR92" s="658" t="n"/>
      <c r="AS92" s="658" t="n"/>
      <c r="AT92" s="658" t="n"/>
      <c r="AU92" s="658" t="n"/>
      <c r="AV92" s="658" t="n"/>
      <c r="AW92" s="658" t="n"/>
      <c r="AX92" s="658" t="n"/>
      <c r="AY92" s="658" t="n"/>
    </row>
    <row r="93" ht="15.75" customFormat="1" customHeight="1" s="815">
      <c r="A93" s="2013" t="n"/>
      <c r="B93" s="11191" t="n"/>
      <c r="C93" s="2299" t="inlineStr">
        <is>
          <t>If you checked the “Yes” box, you can only claim the energy efficient home improvement credit for</t>
        </is>
      </c>
      <c r="D93" s="8650" t="n"/>
      <c r="E93" s="344" t="n"/>
      <c r="F93" s="344" t="n"/>
      <c r="G93" s="344" t="n"/>
      <c r="H93" s="344" t="n"/>
      <c r="I93" s="344" t="n"/>
      <c r="J93" s="344" t="n"/>
      <c r="K93" s="344" t="n"/>
      <c r="L93" s="344" t="n"/>
      <c r="M93" s="344" t="n"/>
      <c r="N93" s="344" t="n"/>
      <c r="O93" s="344" t="n"/>
      <c r="P93" s="344" t="n"/>
      <c r="Q93" s="344" t="n"/>
      <c r="R93" s="344" t="n"/>
      <c r="S93" s="2300" t="n"/>
      <c r="T93" s="344" t="n"/>
      <c r="U93" s="344" t="n"/>
      <c r="V93" s="344" t="n"/>
      <c r="W93" s="9750" t="n"/>
      <c r="X93" s="1205" t="n"/>
      <c r="Y93" s="1205" t="n"/>
      <c r="Z93" s="1205" t="n"/>
      <c r="AA93" s="1401" t="n"/>
      <c r="AB93" s="2339" t="n"/>
      <c r="AC93" s="2340" t="n"/>
      <c r="AD93" s="1803" t="n"/>
      <c r="AE93" s="1806" t="n"/>
      <c r="AF93" s="1806" t="n"/>
      <c r="AG93" s="1806" t="n"/>
      <c r="AH93" s="1806" t="n"/>
      <c r="AI93" s="1806" t="n"/>
      <c r="AJ93" s="1806" t="n"/>
      <c r="AK93" s="2013" t="n"/>
      <c r="AL93" s="11602" t="n"/>
      <c r="AM93" s="226" t="n"/>
      <c r="AN93" s="2362" t="n"/>
      <c r="AO93" s="6603" t="n"/>
      <c r="AP93" s="658" t="n"/>
      <c r="AQ93" s="658" t="n"/>
      <c r="AR93" s="658" t="n"/>
      <c r="AS93" s="658" t="n"/>
      <c r="AT93" s="658" t="n"/>
      <c r="AU93" s="658" t="n"/>
      <c r="AV93" s="658" t="n"/>
      <c r="AW93" s="658" t="n"/>
      <c r="AX93" s="658" t="n"/>
      <c r="AY93" s="658" t="n"/>
    </row>
    <row r="94" ht="15.75" customFormat="1" customHeight="1" s="815">
      <c r="A94" s="2013" t="n"/>
      <c r="B94" s="514" t="n"/>
      <c r="C94" s="7772" t="inlineStr">
        <is>
          <t>qualifying improvements that were not related to the construction of the home. Do not include expenses</t>
        </is>
      </c>
      <c r="D94" s="514" t="n"/>
      <c r="E94" s="514" t="n"/>
      <c r="F94" s="514" t="n"/>
      <c r="G94" s="514" t="n"/>
      <c r="H94" s="514" t="n"/>
      <c r="I94" s="514" t="n"/>
      <c r="J94" s="514" t="n"/>
      <c r="K94" s="514" t="n"/>
      <c r="L94" s="514" t="n"/>
      <c r="M94" s="514" t="n"/>
      <c r="N94" s="514" t="n"/>
      <c r="O94" s="514" t="n"/>
      <c r="P94" s="514" t="n"/>
      <c r="Q94" s="514" t="n"/>
      <c r="R94" s="514" t="n"/>
      <c r="S94" s="514" t="n"/>
      <c r="T94" s="514" t="n"/>
      <c r="U94" s="514" t="n"/>
      <c r="V94" s="514" t="n"/>
      <c r="W94" s="514" t="n"/>
      <c r="X94" s="514" t="n"/>
      <c r="Y94" s="514" t="n"/>
      <c r="Z94" s="514" t="n"/>
      <c r="AA94" s="514" t="n"/>
      <c r="AB94" s="2339" t="n"/>
      <c r="AC94" s="2340" t="n"/>
      <c r="AD94" s="514" t="n"/>
      <c r="AE94" s="514" t="n"/>
      <c r="AF94" s="514" t="n"/>
      <c r="AG94" s="514" t="n"/>
      <c r="AH94" s="514" t="n"/>
      <c r="AI94" s="514" t="n"/>
      <c r="AJ94" s="514" t="n"/>
      <c r="AK94" s="2013" t="n"/>
      <c r="AL94" s="11602" t="n"/>
      <c r="AM94" s="226" t="n"/>
      <c r="AN94" s="2362" t="n"/>
      <c r="AO94" s="6603" t="n"/>
      <c r="AP94" s="658" t="n"/>
      <c r="AQ94" s="658" t="n"/>
      <c r="AR94" s="658" t="n"/>
      <c r="AS94" s="658" t="n"/>
      <c r="AT94" s="658" t="n"/>
      <c r="AU94" s="658" t="n"/>
      <c r="AV94" s="658" t="n"/>
      <c r="AW94" s="658" t="n"/>
      <c r="AX94" s="658" t="n"/>
      <c r="AY94" s="658" t="n"/>
    </row>
    <row r="95" ht="15.75" customFormat="1" customHeight="1" s="815">
      <c r="A95" s="2013" t="n"/>
      <c r="B95" s="514" t="n"/>
      <c r="C95" s="7772" t="inlineStr">
        <is>
          <t>related to the construction of your main home, even if the improvements were made after you moved</t>
        </is>
      </c>
      <c r="D95" s="514" t="n"/>
      <c r="E95" s="514" t="n"/>
      <c r="F95" s="514" t="n"/>
      <c r="G95" s="514" t="n"/>
      <c r="H95" s="514" t="n"/>
      <c r="I95" s="514" t="n"/>
      <c r="J95" s="514" t="n"/>
      <c r="K95" s="514" t="n"/>
      <c r="L95" s="514" t="n"/>
      <c r="M95" s="514" t="n"/>
      <c r="N95" s="514" t="n"/>
      <c r="O95" s="514" t="n"/>
      <c r="P95" s="514" t="n"/>
      <c r="Q95" s="514" t="n"/>
      <c r="R95" s="514" t="n"/>
      <c r="S95" s="514" t="n"/>
      <c r="T95" s="514" t="n"/>
      <c r="U95" s="514" t="n"/>
      <c r="V95" s="514" t="n"/>
      <c r="W95" s="514" t="n"/>
      <c r="X95" s="514" t="n"/>
      <c r="Y95" s="514" t="n"/>
      <c r="Z95" s="514" t="n"/>
      <c r="AA95" s="514" t="n"/>
      <c r="AB95" s="2339" t="n"/>
      <c r="AC95" s="2340" t="n"/>
      <c r="AD95" s="514" t="n"/>
      <c r="AE95" s="514" t="n"/>
      <c r="AF95" s="514" t="n"/>
      <c r="AG95" s="514" t="n"/>
      <c r="AH95" s="514" t="n"/>
      <c r="AI95" s="514" t="n"/>
      <c r="AJ95" s="514" t="n"/>
      <c r="AK95" s="2013" t="n"/>
      <c r="AL95" s="11602" t="n"/>
      <c r="AM95" s="226" t="n"/>
      <c r="AN95" s="2362" t="n"/>
      <c r="AO95" s="6603" t="n"/>
      <c r="AP95" s="658" t="n"/>
      <c r="AQ95" s="658" t="n"/>
      <c r="AR95" s="658" t="n"/>
      <c r="AS95" s="658" t="n"/>
      <c r="AT95" s="658" t="n"/>
      <c r="AU95" s="658" t="n"/>
      <c r="AV95" s="658" t="n"/>
      <c r="AW95" s="658" t="n"/>
      <c r="AX95" s="658" t="n"/>
      <c r="AY95" s="658" t="n"/>
    </row>
    <row r="96" ht="15.75" customFormat="1" customHeight="1" s="815">
      <c r="A96" s="2013" t="n"/>
      <c r="B96" s="514" t="n"/>
      <c r="C96" s="7772" t="inlineStr">
        <is>
          <t>into the home.</t>
        </is>
      </c>
      <c r="D96" s="514" t="n"/>
      <c r="E96" s="514" t="n"/>
      <c r="F96" s="514" t="n"/>
      <c r="G96" s="514" t="n"/>
      <c r="H96" s="514" t="n"/>
      <c r="I96" s="514" t="n"/>
      <c r="J96" s="514" t="n"/>
      <c r="K96" s="514" t="n"/>
      <c r="L96" s="514" t="n"/>
      <c r="M96" s="514" t="n"/>
      <c r="N96" s="514" t="n"/>
      <c r="O96" s="514" t="n"/>
      <c r="P96" s="514" t="n"/>
      <c r="Q96" s="514" t="n"/>
      <c r="R96" s="514" t="n"/>
      <c r="S96" s="514" t="n"/>
      <c r="T96" s="514" t="n"/>
      <c r="U96" s="514" t="n"/>
      <c r="V96" s="514" t="n"/>
      <c r="W96" s="514" t="n"/>
      <c r="X96" s="514" t="n"/>
      <c r="Y96" s="514" t="n"/>
      <c r="Z96" s="514" t="n"/>
      <c r="AA96" s="514" t="n"/>
      <c r="AB96" s="2339" t="n"/>
      <c r="AC96" s="2340" t="n"/>
      <c r="AD96" s="514" t="n"/>
      <c r="AE96" s="514" t="n"/>
      <c r="AF96" s="514" t="n"/>
      <c r="AG96" s="514" t="n"/>
      <c r="AH96" s="514" t="n"/>
      <c r="AI96" s="514" t="n"/>
      <c r="AJ96" s="514" t="n"/>
      <c r="AK96" s="2013" t="n"/>
      <c r="AL96" s="11602" t="n"/>
      <c r="AM96" s="226" t="n"/>
      <c r="AN96" s="2362" t="n"/>
      <c r="AO96" s="6603" t="n"/>
      <c r="AP96" s="658" t="n"/>
      <c r="AQ96" s="658" t="n"/>
      <c r="AR96" s="658" t="n"/>
      <c r="AS96" s="658" t="n"/>
      <c r="AT96" s="658" t="n"/>
      <c r="AU96" s="658" t="n"/>
      <c r="AV96" s="658" t="n"/>
      <c r="AW96" s="658" t="n"/>
      <c r="AX96" s="658" t="n"/>
      <c r="AY96" s="658" t="n"/>
    </row>
    <row r="97" ht="21" customFormat="1" customHeight="1" s="815">
      <c r="A97" s="2013" t="n"/>
      <c r="B97" s="11191" t="n">
        <v>18</v>
      </c>
      <c r="C97" s="2381" t="inlineStr">
        <is>
          <t>Insulation or air sealing material or system</t>
        </is>
      </c>
      <c r="D97" s="8650" t="n"/>
      <c r="E97" s="344" t="n"/>
      <c r="F97" s="344" t="n"/>
      <c r="G97" s="344" t="n"/>
      <c r="H97" s="344" t="n"/>
      <c r="I97" s="344" t="n"/>
      <c r="J97" s="344" t="n"/>
      <c r="K97" s="1061" t="n"/>
      <c r="L97" s="2300" t="n"/>
      <c r="M97" s="2301" t="n"/>
      <c r="N97" s="1061" t="n"/>
      <c r="O97" s="1061" t="n"/>
      <c r="P97" s="1061" t="n"/>
      <c r="Q97" s="1061" t="n"/>
      <c r="R97" s="1061" t="n"/>
      <c r="S97" s="344" t="n"/>
      <c r="T97" s="344" t="n"/>
      <c r="U97" s="1401" t="inlineStr">
        <is>
          <t xml:space="preserve">.   .   .   .   .   .   .   .   .   .   .   .   .   .   .  </t>
        </is>
      </c>
      <c r="V97" s="2349" t="n"/>
      <c r="W97" s="9750" t="n"/>
      <c r="X97" s="1205" t="n"/>
      <c r="Y97" s="1205" t="n"/>
      <c r="Z97" s="1205" t="n"/>
      <c r="AA97" s="1401" t="n"/>
      <c r="AB97" s="2339" t="n"/>
      <c r="AC97" s="2340" t="n"/>
      <c r="AD97" s="1803" t="n"/>
      <c r="AE97" s="1806" t="n"/>
      <c r="AF97" s="1806" t="n"/>
      <c r="AG97" s="1806" t="n"/>
      <c r="AH97" s="1806" t="n"/>
      <c r="AI97" s="1806" t="n"/>
      <c r="AJ97" s="1806" t="n"/>
      <c r="AK97" s="2013" t="n"/>
      <c r="AL97" s="11602" t="n"/>
      <c r="AM97" s="226" t="n"/>
      <c r="AN97" s="2362" t="n"/>
      <c r="AO97" s="6603" t="n"/>
      <c r="AP97" s="658" t="n"/>
      <c r="AQ97" s="658" t="n"/>
      <c r="AR97" s="658" t="n"/>
      <c r="AS97" s="658" t="n"/>
      <c r="AT97" s="658" t="n"/>
      <c r="AU97" s="658" t="n"/>
      <c r="AV97" s="658" t="n"/>
      <c r="AW97" s="658" t="n"/>
      <c r="AX97" s="658" t="n"/>
      <c r="AY97" s="658" t="n"/>
    </row>
    <row r="98" ht="14.25" customFormat="1" customHeight="1" s="815">
      <c r="A98" s="2013" t="n"/>
      <c r="B98" s="2328" t="inlineStr">
        <is>
          <t>a</t>
        </is>
      </c>
      <c r="C98" s="2381" t="inlineStr">
        <is>
          <t>Enter the cost of insulation material or system (include air sealing material or</t>
        </is>
      </c>
      <c r="D98" s="8650" t="n"/>
      <c r="E98" s="344" t="n"/>
      <c r="F98" s="344" t="n"/>
      <c r="G98" s="344" t="n"/>
      <c r="H98" s="344" t="n"/>
      <c r="I98" s="344" t="n"/>
      <c r="J98" s="344" t="n"/>
      <c r="K98" s="1061" t="n"/>
      <c r="L98" s="2300" t="n"/>
      <c r="M98" s="2301" t="n"/>
      <c r="N98" s="1061" t="n"/>
      <c r="O98" s="1061" t="n"/>
      <c r="P98" s="1061" t="n"/>
      <c r="Q98" s="1061" t="n"/>
      <c r="R98" s="1061" t="n"/>
      <c r="S98" s="344" t="n"/>
      <c r="T98" s="344" t="n"/>
      <c r="U98" s="344" t="n"/>
      <c r="V98" s="2349" t="n"/>
      <c r="W98" s="9750" t="n"/>
      <c r="X98" s="1205" t="n"/>
      <c r="Y98" s="1205" t="n"/>
      <c r="Z98" s="1205" t="n"/>
      <c r="AA98" s="1401" t="n"/>
      <c r="AB98" s="2339" t="n"/>
      <c r="AC98" s="2340" t="n"/>
      <c r="AD98" s="1803" t="n"/>
      <c r="AE98" s="1806" t="n"/>
      <c r="AF98" s="1806" t="n"/>
      <c r="AG98" s="1806" t="n"/>
      <c r="AH98" s="1806" t="n"/>
      <c r="AI98" s="1806" t="n"/>
      <c r="AJ98" s="1806" t="n"/>
      <c r="AK98" s="2013" t="n"/>
      <c r="AL98" s="11602" t="n"/>
      <c r="AM98" s="226" t="n"/>
      <c r="AN98" s="2362" t="n"/>
      <c r="AO98" s="6603" t="n"/>
      <c r="AP98" s="658" t="n"/>
      <c r="AQ98" s="658" t="n"/>
      <c r="AR98" s="658" t="n"/>
      <c r="AS98" s="658" t="n"/>
      <c r="AT98" s="658" t="n"/>
      <c r="AU98" s="658" t="n"/>
      <c r="AV98" s="658" t="n"/>
      <c r="AW98" s="658" t="n"/>
      <c r="AX98" s="658" t="n"/>
      <c r="AY98" s="658" t="n"/>
    </row>
    <row r="99" ht="14.25" customFormat="1" customHeight="1" s="815">
      <c r="A99" s="2013" t="n"/>
      <c r="B99" s="11191" t="n"/>
      <c r="C99" s="2381" t="inlineStr">
        <is>
          <t>system) specifically and primarily designed to reduce heat loss or gain of your</t>
        </is>
      </c>
      <c r="D99" s="8650" t="n"/>
      <c r="E99" s="344" t="n"/>
      <c r="F99" s="344" t="n"/>
      <c r="G99" s="344" t="n"/>
      <c r="H99" s="344" t="n"/>
      <c r="I99" s="344" t="n"/>
      <c r="J99" s="344" t="n"/>
      <c r="K99" s="1061" t="n"/>
      <c r="L99" s="2300" t="n"/>
      <c r="M99" s="2301" t="n"/>
      <c r="N99" s="1061" t="n"/>
      <c r="O99" s="1061" t="n"/>
      <c r="P99" s="1061" t="n"/>
      <c r="Q99" s="1061" t="n"/>
      <c r="R99" s="1061" t="n"/>
      <c r="S99" s="344" t="n"/>
      <c r="T99" s="344" t="n"/>
      <c r="U99" s="344" t="n"/>
      <c r="V99" s="2349" t="n"/>
      <c r="W99" s="9750" t="n"/>
      <c r="X99" s="1205" t="n"/>
      <c r="Y99" s="1205" t="n"/>
      <c r="Z99" s="1205" t="n"/>
      <c r="AA99" s="1401" t="n"/>
      <c r="AB99" s="2339" t="n"/>
      <c r="AC99" s="2340" t="n"/>
      <c r="AD99" s="1803" t="n"/>
      <c r="AE99" s="1806" t="n"/>
      <c r="AF99" s="1806" t="n"/>
      <c r="AG99" s="1806" t="n"/>
      <c r="AH99" s="1806" t="n"/>
      <c r="AI99" s="1806" t="n"/>
      <c r="AJ99" s="1806" t="n"/>
      <c r="AK99" s="2013" t="n"/>
      <c r="AL99" s="11602" t="n"/>
      <c r="AM99" s="226" t="inlineStr">
        <is>
          <t>Manual</t>
        </is>
      </c>
      <c r="AN99" s="2362" t="n"/>
      <c r="AO99" s="6603" t="n"/>
      <c r="AP99" s="658" t="n"/>
      <c r="AQ99" s="658" t="n"/>
      <c r="AR99" s="658" t="n"/>
      <c r="AS99" s="658" t="n"/>
      <c r="AT99" s="658" t="n"/>
      <c r="AU99" s="658" t="n"/>
      <c r="AV99" s="658" t="n"/>
      <c r="AW99" s="658" t="n"/>
      <c r="AX99" s="658" t="n"/>
      <c r="AY99" s="658" t="n"/>
    </row>
    <row r="100" ht="18" customFormat="1" customHeight="1" s="815" thickBot="1">
      <c r="A100" s="2013" t="n"/>
      <c r="B100" s="11191" t="n"/>
      <c r="C100" s="2381" t="inlineStr">
        <is>
          <t>home that meets the criteria established by the IECC. (See instructions.)</t>
        </is>
      </c>
      <c r="D100" s="8650" t="n"/>
      <c r="E100" s="344" t="n"/>
      <c r="F100" s="344" t="n"/>
      <c r="G100" s="344" t="n"/>
      <c r="H100" s="344" t="n"/>
      <c r="I100" s="344" t="n"/>
      <c r="J100" s="344" t="n"/>
      <c r="K100" s="1061" t="n"/>
      <c r="L100" s="2300" t="n"/>
      <c r="M100" s="2301" t="n"/>
      <c r="N100" s="1061" t="n"/>
      <c r="O100" s="1061" t="n"/>
      <c r="P100" s="1061" t="n"/>
      <c r="Q100" s="1061" t="n"/>
      <c r="R100" s="1061" t="n"/>
      <c r="S100" s="344" t="n"/>
      <c r="T100" s="344" t="n"/>
      <c r="U100" s="344" t="n"/>
      <c r="V100" s="2350" t="inlineStr">
        <is>
          <t>18a</t>
        </is>
      </c>
      <c r="W100" s="10220" t="n"/>
      <c r="X100" s="11717" t="n"/>
      <c r="Y100" s="11717" t="n"/>
      <c r="Z100" s="11717" t="n"/>
      <c r="AA100" s="11718" t="n"/>
      <c r="AB100" s="2339" t="n"/>
      <c r="AC100" s="2340" t="n"/>
      <c r="AD100" s="10250" t="n">
        <v>0.3</v>
      </c>
      <c r="AE100" s="194" t="n"/>
      <c r="AF100" s="194" t="n"/>
      <c r="AG100" s="10265" t="n">
        <v>1200</v>
      </c>
      <c r="AH100" s="194" t="n"/>
      <c r="AI100" s="194" t="n"/>
      <c r="AJ100" s="194" t="n"/>
      <c r="AK100" s="2013" t="n"/>
      <c r="AL100" s="11602" t="n"/>
      <c r="AM100" s="226" t="inlineStr">
        <is>
          <t>Override ê</t>
        </is>
      </c>
      <c r="AN100" s="2362" t="n"/>
      <c r="AO100" s="6603">
        <f>W100=""</f>
        <v/>
      </c>
      <c r="AP100" s="658" t="n"/>
      <c r="AQ100" s="658" t="n"/>
      <c r="AR100" s="658" t="n"/>
      <c r="AS100" s="658" t="n"/>
      <c r="AT100" s="658" t="n"/>
      <c r="AU100" s="658" t="n"/>
      <c r="AV100" s="658" t="n"/>
      <c r="AW100" s="658" t="n"/>
      <c r="AX100" s="658" t="n"/>
      <c r="AY100" s="658" t="n"/>
    </row>
    <row r="101" ht="21" customFormat="1" customHeight="1" s="815" thickBot="1">
      <c r="A101" s="2013" t="n"/>
      <c r="B101" s="2328" t="inlineStr">
        <is>
          <t>b</t>
        </is>
      </c>
      <c r="C101" s="9847">
        <f>"Multiply line 18a by "&amp;TEXT($AD$100,"0%")&amp;" ("&amp;TEXT($AD$100,"0.00")&amp;"). Enter the results."</f>
        <v/>
      </c>
      <c r="D101" s="9847" t="n"/>
      <c r="E101" s="344" t="n"/>
      <c r="F101" s="344" t="n"/>
      <c r="G101" s="344" t="n"/>
      <c r="H101" s="344" t="n"/>
      <c r="I101" s="344" t="n"/>
      <c r="J101" s="344" t="n"/>
      <c r="K101" s="344" t="n"/>
      <c r="L101" s="344" t="n"/>
      <c r="M101" s="344" t="n"/>
      <c r="N101" s="344" t="n"/>
      <c r="O101" s="344" t="n"/>
      <c r="P101" s="344" t="n"/>
      <c r="Q101" s="344" t="n"/>
      <c r="R101" s="344" t="n"/>
      <c r="S101" s="6429" t="inlineStr">
        <is>
          <t>Do not enter more than</t>
        </is>
      </c>
      <c r="T101" s="9847">
        <f>TEXT(AG100,"$0,000")</f>
        <v/>
      </c>
      <c r="U101" s="2311" t="n"/>
      <c r="V101" s="344" t="n"/>
      <c r="W101" s="344" t="n"/>
      <c r="X101" s="344" t="n"/>
      <c r="Y101" s="344" t="n"/>
      <c r="Z101" s="344" t="n"/>
      <c r="AA101" s="1401" t="inlineStr">
        <is>
          <t xml:space="preserve">.   .   .   .   .   .   .   .   .   .   .   .  </t>
        </is>
      </c>
      <c r="AB101" s="12555" t="inlineStr">
        <is>
          <t>18b</t>
        </is>
      </c>
      <c r="AC101" s="7636" t="n"/>
      <c r="AD101" s="10249">
        <f>IF(AM101&lt;&gt;"",ROUND(AM101,0),IF(AO100,"",MIN(AG100,ROUND($W$100*AD100,0))))</f>
        <v/>
      </c>
      <c r="AE101" s="7637" t="n"/>
      <c r="AF101" s="7637" t="n"/>
      <c r="AG101" s="7637" t="n"/>
      <c r="AH101" s="7637" t="n"/>
      <c r="AI101" s="7637" t="n"/>
      <c r="AJ101" s="7637" t="n"/>
      <c r="AK101" s="2013" t="n"/>
      <c r="AL101" s="11602" t="n"/>
      <c r="AM101" s="2361" t="n"/>
      <c r="AN101" s="2362" t="n"/>
      <c r="AO101" s="6603">
        <f>AD101=""</f>
        <v/>
      </c>
      <c r="AP101" s="658" t="n"/>
      <c r="AQ101" s="658" t="n"/>
      <c r="AR101" s="658" t="n"/>
      <c r="AS101" s="658" t="n"/>
      <c r="AT101" s="658" t="n"/>
      <c r="AU101" s="658" t="n"/>
      <c r="AV101" s="658" t="n"/>
      <c r="AW101" s="658" t="n"/>
      <c r="AX101" s="658" t="n"/>
      <c r="AY101" s="658" t="n"/>
    </row>
    <row r="102" ht="21" customFormat="1" customHeight="1" s="815">
      <c r="A102" s="2013" t="n"/>
      <c r="B102" s="11191" t="n">
        <v>19</v>
      </c>
      <c r="C102" s="2299" t="inlineStr">
        <is>
          <t>Exterior doors that meet the applicable Energy Star requirements</t>
        </is>
      </c>
      <c r="D102" s="8650" t="n"/>
      <c r="E102" s="344" t="n"/>
      <c r="F102" s="344" t="n"/>
      <c r="G102" s="344" t="n"/>
      <c r="H102" s="344" t="n"/>
      <c r="I102" s="344" t="n"/>
      <c r="J102" s="344" t="n"/>
      <c r="K102" s="1061" t="n"/>
      <c r="L102" s="2300" t="n"/>
      <c r="M102" s="2301" t="n"/>
      <c r="N102" s="1061" t="n"/>
      <c r="O102" s="1061" t="n"/>
      <c r="P102" s="1061" t="n"/>
      <c r="Q102" s="1061" t="n"/>
      <c r="R102" s="1061" t="n"/>
      <c r="S102" s="344" t="n"/>
      <c r="T102" s="344" t="n"/>
      <c r="U102" s="1401" t="inlineStr">
        <is>
          <t xml:space="preserve">.   .   .   .   .  </t>
        </is>
      </c>
      <c r="V102" s="2349" t="n"/>
      <c r="W102" s="9750" t="n"/>
      <c r="X102" s="1205" t="n"/>
      <c r="Y102" s="1205" t="n"/>
      <c r="Z102" s="1205" t="n"/>
      <c r="AA102" s="1401" t="n"/>
      <c r="AB102" s="2339" t="n"/>
      <c r="AC102" s="2340" t="n"/>
      <c r="AD102" s="1803" t="n"/>
      <c r="AE102" s="1806" t="n"/>
      <c r="AF102" s="1806" t="n"/>
      <c r="AG102" s="1806" t="n"/>
      <c r="AH102" s="1806" t="n"/>
      <c r="AI102" s="1806" t="n"/>
      <c r="AJ102" s="1806" t="n"/>
      <c r="AK102" s="2013" t="n"/>
      <c r="AL102" s="11602" t="n"/>
      <c r="AM102" s="226" t="n"/>
      <c r="AN102" s="2362" t="n"/>
      <c r="AO102" s="6603">
        <f>AM101&gt;AG100</f>
        <v/>
      </c>
      <c r="AP102" s="658" t="n"/>
      <c r="AQ102" s="658" t="n"/>
      <c r="AR102" s="658" t="n"/>
      <c r="AS102" s="658" t="n"/>
      <c r="AT102" s="658" t="n"/>
      <c r="AU102" s="658" t="n"/>
      <c r="AV102" s="658" t="n"/>
      <c r="AW102" s="658" t="n"/>
      <c r="AX102" s="658" t="n"/>
      <c r="AY102" s="658" t="n"/>
    </row>
    <row r="103" ht="21.75" customFormat="1" customHeight="1" s="815">
      <c r="A103" s="2013" t="n"/>
      <c r="B103" s="2353" t="inlineStr">
        <is>
          <t>a</t>
        </is>
      </c>
      <c r="C103" s="2299" t="inlineStr">
        <is>
          <t>Enter the cost of the most expensive door you bought</t>
        </is>
      </c>
      <c r="D103" s="8650" t="n"/>
      <c r="E103" s="344" t="n"/>
      <c r="F103" s="344" t="n"/>
      <c r="G103" s="344" t="n"/>
      <c r="H103" s="344" t="n"/>
      <c r="I103" s="344" t="n"/>
      <c r="J103" s="344" t="n"/>
      <c r="K103" s="1061" t="n"/>
      <c r="L103" s="2300" t="n"/>
      <c r="M103" s="2301" t="n"/>
      <c r="N103" s="1061" t="n"/>
      <c r="O103" s="1061" t="n"/>
      <c r="P103" s="1061" t="n"/>
      <c r="Q103" s="1061" t="n"/>
      <c r="R103" s="1061" t="n"/>
      <c r="S103" s="344" t="n"/>
      <c r="T103" s="344" t="n"/>
      <c r="U103" s="1401" t="inlineStr">
        <is>
          <t xml:space="preserve">.   .   .   .   .   .   .   .   .  </t>
        </is>
      </c>
      <c r="V103" s="2350" t="inlineStr">
        <is>
          <t>19a</t>
        </is>
      </c>
      <c r="W103" s="10220" t="n"/>
      <c r="X103" s="11717" t="n"/>
      <c r="Y103" s="11717" t="n"/>
      <c r="Z103" s="11717" t="n"/>
      <c r="AA103" s="11718" t="n"/>
      <c r="AB103" s="2339" t="n"/>
      <c r="AC103" s="2340" t="n"/>
      <c r="AD103" s="1803" t="n"/>
      <c r="AE103" s="1806" t="n"/>
      <c r="AF103" s="1806" t="n"/>
      <c r="AG103" s="1806" t="n"/>
      <c r="AH103" s="1806" t="n"/>
      <c r="AI103" s="1806" t="n"/>
      <c r="AJ103" s="1806" t="n"/>
      <c r="AK103" s="2013" t="n"/>
      <c r="AL103" s="11602" t="n"/>
      <c r="AM103" s="226" t="n"/>
      <c r="AN103" s="2362" t="n"/>
      <c r="AO103" s="6603">
        <f>W103=""</f>
        <v/>
      </c>
      <c r="AP103" s="658" t="n"/>
      <c r="AQ103" s="658" t="n"/>
      <c r="AR103" s="658" t="n"/>
      <c r="AS103" s="658" t="n"/>
      <c r="AT103" s="658" t="n"/>
      <c r="AU103" s="658" t="n"/>
      <c r="AV103" s="658" t="n"/>
      <c r="AW103" s="658" t="n"/>
      <c r="AX103" s="658" t="n"/>
      <c r="AY103" s="658" t="n"/>
    </row>
    <row r="104" ht="21.75" customFormat="1" customHeight="1" s="815">
      <c r="A104" s="2013" t="n"/>
      <c r="B104" s="2353" t="inlineStr">
        <is>
          <t>b</t>
        </is>
      </c>
      <c r="C104" s="2299" t="inlineStr">
        <is>
          <t>Enter the Qualified Manufacturer Identification Number of the door.</t>
        </is>
      </c>
      <c r="D104" s="8650" t="n"/>
      <c r="E104" s="344" t="n"/>
      <c r="F104" s="344" t="n"/>
      <c r="G104" s="344" t="n"/>
      <c r="H104" s="344" t="n"/>
      <c r="I104" s="344" t="n"/>
      <c r="J104" s="344" t="n"/>
      <c r="K104" s="1061" t="n"/>
      <c r="L104" s="2300" t="n"/>
      <c r="M104" s="2301" t="n"/>
      <c r="N104" s="1061" t="n"/>
      <c r="O104" s="1061" t="n"/>
      <c r="P104" s="1061" t="n"/>
      <c r="Q104" s="1061" t="n"/>
      <c r="R104" s="1061" t="n"/>
      <c r="S104" s="344" t="n"/>
      <c r="T104" s="344" t="n"/>
      <c r="U104" s="344" t="n"/>
      <c r="V104" s="6404" t="n"/>
      <c r="W104" s="6405" t="n"/>
      <c r="X104" s="6406" t="n"/>
      <c r="Y104" s="6406" t="n"/>
      <c r="Z104" s="6406" t="n"/>
      <c r="AA104" s="6407" t="n"/>
      <c r="AB104" s="2339" t="n"/>
      <c r="AC104" s="2340" t="n"/>
      <c r="AD104" s="1803" t="n"/>
      <c r="AE104" s="1806" t="n"/>
      <c r="AF104" s="1806" t="n"/>
      <c r="AG104" s="1806" t="n"/>
      <c r="AH104" s="1806" t="n"/>
      <c r="AI104" s="1806" t="n"/>
      <c r="AJ104" s="1806" t="n"/>
      <c r="AK104" s="2013" t="n"/>
      <c r="AL104" s="11602" t="n"/>
      <c r="AM104" s="226" t="n"/>
      <c r="AN104" s="2362" t="n"/>
      <c r="AO104" s="6603" t="n"/>
      <c r="AP104" s="658" t="n"/>
      <c r="AQ104" s="658" t="n"/>
      <c r="AR104" s="658" t="n"/>
      <c r="AS104" s="658" t="n"/>
      <c r="AT104" s="658" t="n"/>
      <c r="AU104" s="658" t="n"/>
      <c r="AV104" s="658" t="n"/>
      <c r="AW104" s="658" t="n"/>
      <c r="AX104" s="658" t="n"/>
      <c r="AY104" s="658" t="n"/>
    </row>
    <row r="105" ht="21.75" customFormat="1" customHeight="1" s="815" thickBot="1">
      <c r="A105" s="2013" t="n"/>
      <c r="B105" s="2353" t="n"/>
      <c r="C105" s="6413" t="n"/>
      <c r="D105" s="6414" t="n"/>
      <c r="E105" s="6414" t="n"/>
      <c r="F105" s="6414" t="n"/>
      <c r="G105" s="6445" t="n"/>
      <c r="H105" s="6445" t="n"/>
      <c r="I105" s="6445" t="n"/>
      <c r="J105" s="6445" t="n"/>
      <c r="K105" s="6445" t="n"/>
      <c r="L105" s="6446" t="n"/>
      <c r="M105" s="6447" t="n"/>
      <c r="N105" s="6445" t="n"/>
      <c r="O105" s="6445" t="n"/>
      <c r="P105" s="6445" t="n"/>
      <c r="Q105" s="6445" t="n"/>
      <c r="R105" s="6445" t="n"/>
      <c r="S105" s="6445" t="n"/>
      <c r="T105" s="344" t="n"/>
      <c r="U105" s="344" t="n"/>
      <c r="V105" s="2351" t="n"/>
      <c r="W105" s="6408" t="n"/>
      <c r="X105" s="6409" t="n"/>
      <c r="Y105" s="6409" t="n"/>
      <c r="Z105" s="6409" t="n"/>
      <c r="AA105" s="6410" t="n"/>
      <c r="AB105" s="2339" t="n"/>
      <c r="AC105" s="2340" t="n"/>
      <c r="AD105" s="1803" t="n"/>
      <c r="AE105" s="1806" t="n"/>
      <c r="AF105" s="1806" t="n"/>
      <c r="AG105" s="1806" t="n"/>
      <c r="AH105" s="1806" t="n"/>
      <c r="AI105" s="1806" t="n"/>
      <c r="AJ105" s="1806" t="n"/>
      <c r="AK105" s="2013" t="n"/>
      <c r="AL105" s="11602" t="n"/>
      <c r="AM105" s="226" t="n"/>
      <c r="AN105" s="2362" t="n"/>
      <c r="AO105" s="6603" t="n"/>
      <c r="AP105" s="658" t="n"/>
      <c r="AQ105" s="658" t="n"/>
      <c r="AR105" s="658" t="n"/>
      <c r="AS105" s="658" t="n"/>
      <c r="AT105" s="658" t="n"/>
      <c r="AU105" s="658" t="n"/>
      <c r="AV105" s="658" t="n"/>
      <c r="AW105" s="658" t="n"/>
      <c r="AX105" s="658" t="n"/>
      <c r="AY105" s="658" t="n"/>
    </row>
    <row r="106" ht="21.75" customFormat="1" customHeight="1" s="815" thickBot="1">
      <c r="A106" s="2013" t="n"/>
      <c r="B106" s="2353" t="inlineStr">
        <is>
          <t>c</t>
        </is>
      </c>
      <c r="C106" s="2299">
        <f>"Multiply line 19a by "&amp;TEXT($AD$100,"0%")&amp;" ("&amp;TEXT($AD$100,"0.00")&amp;")."</f>
        <v/>
      </c>
      <c r="D106" s="8650" t="n"/>
      <c r="E106" s="344" t="n"/>
      <c r="F106" s="344" t="n"/>
      <c r="G106" s="344" t="n"/>
      <c r="H106" s="344" t="n"/>
      <c r="I106" s="344" t="n"/>
      <c r="J106" s="7865" t="n"/>
      <c r="K106" s="7865" t="n"/>
      <c r="L106" s="2300" t="n"/>
      <c r="M106" s="2301" t="n"/>
      <c r="N106" s="4998" t="n"/>
      <c r="O106" s="4998" t="inlineStr">
        <is>
          <t>Do not enter more than</t>
        </is>
      </c>
      <c r="P106" s="7865">
        <f>TEXT(AD106,"$0")</f>
        <v/>
      </c>
      <c r="Q106" s="7865" t="n"/>
      <c r="R106" s="1061" t="n"/>
      <c r="S106" s="344" t="n"/>
      <c r="T106" s="344" t="n"/>
      <c r="U106" s="1401" t="inlineStr">
        <is>
          <t xml:space="preserve">.   .   .   .   .  </t>
        </is>
      </c>
      <c r="V106" s="2350" t="inlineStr">
        <is>
          <t>19c</t>
        </is>
      </c>
      <c r="W106" s="10222">
        <f>IF(AM106&lt;&gt;"",ROUND(AM106,0),IF($AO$103,"",MIN(AD106,ROUND(W103*$AD$100,0))))</f>
        <v/>
      </c>
      <c r="X106" s="7637" t="n"/>
      <c r="Y106" s="7637" t="n"/>
      <c r="Z106" s="7637" t="n"/>
      <c r="AA106" s="7638" t="n"/>
      <c r="AB106" s="2339" t="n"/>
      <c r="AC106" s="2340" t="n"/>
      <c r="AD106" s="10268" t="n">
        <v>250</v>
      </c>
      <c r="AE106" s="194" t="n"/>
      <c r="AF106" s="194" t="n"/>
      <c r="AG106" s="194" t="n"/>
      <c r="AH106" s="194" t="n"/>
      <c r="AI106" s="194" t="n"/>
      <c r="AJ106" s="194" t="n"/>
      <c r="AK106" s="2013" t="n"/>
      <c r="AL106" s="11602" t="n"/>
      <c r="AM106" s="2361" t="n"/>
      <c r="AN106" s="2362" t="n"/>
      <c r="AO106" s="6603" t="n"/>
      <c r="AP106" s="658" t="n"/>
      <c r="AQ106" s="658" t="n"/>
      <c r="AR106" s="658" t="n"/>
      <c r="AS106" s="658" t="n"/>
      <c r="AT106" s="658" t="n"/>
      <c r="AU106" s="658" t="n"/>
      <c r="AV106" s="658" t="n"/>
      <c r="AW106" s="658" t="n"/>
      <c r="AX106" s="658" t="n"/>
      <c r="AY106" s="658" t="n"/>
    </row>
    <row r="107" ht="21.75" customFormat="1" customHeight="1" s="815" thickBot="1">
      <c r="A107" s="2013" t="n"/>
      <c r="B107" s="2353" t="inlineStr">
        <is>
          <t>d</t>
        </is>
      </c>
      <c r="C107" s="2299" t="inlineStr">
        <is>
          <t>Enter the Qualified Manufacturer Identification Number(s) and cost(s) of the</t>
        </is>
      </c>
      <c r="D107" s="8650" t="n"/>
      <c r="E107" s="344" t="n"/>
      <c r="F107" s="344" t="n"/>
      <c r="G107" s="344" t="n"/>
      <c r="H107" s="344" t="n"/>
      <c r="I107" s="344" t="n"/>
      <c r="J107" s="344" t="n"/>
      <c r="K107" s="1061" t="n"/>
      <c r="L107" s="2300" t="n"/>
      <c r="M107" s="2301" t="n"/>
      <c r="N107" s="1061" t="n"/>
      <c r="O107" s="1061" t="n"/>
      <c r="P107" s="1061" t="n"/>
      <c r="Q107" s="1061" t="n"/>
      <c r="R107" s="1061" t="n"/>
      <c r="S107" s="344" t="n"/>
      <c r="T107" s="344" t="n"/>
      <c r="U107" s="344" t="n"/>
      <c r="V107" s="2351" t="n"/>
      <c r="W107" s="6408" t="n"/>
      <c r="X107" s="6409" t="n"/>
      <c r="Y107" s="6409" t="n"/>
      <c r="Z107" s="6409" t="n"/>
      <c r="AA107" s="6410" t="n"/>
      <c r="AB107" s="2339" t="n"/>
      <c r="AC107" s="2340" t="n"/>
      <c r="AD107" s="1803" t="n"/>
      <c r="AE107" s="1806" t="n"/>
      <c r="AF107" s="1806" t="n"/>
      <c r="AG107" s="1806" t="n"/>
      <c r="AH107" s="1806" t="n"/>
      <c r="AI107" s="1806" t="n"/>
      <c r="AJ107" s="1806" t="n"/>
      <c r="AK107" s="2013" t="n"/>
      <c r="AL107" s="11602" t="n"/>
      <c r="AM107" s="226" t="n"/>
      <c r="AN107" s="2362" t="n"/>
      <c r="AO107" s="6603" t="n"/>
      <c r="AP107" s="658" t="n"/>
      <c r="AQ107" s="658" t="n"/>
      <c r="AR107" s="658" t="n"/>
      <c r="AS107" s="658" t="n"/>
      <c r="AT107" s="658" t="n"/>
      <c r="AU107" s="658" t="n"/>
      <c r="AV107" s="658" t="n"/>
      <c r="AW107" s="658" t="n"/>
      <c r="AX107" s="658" t="n"/>
      <c r="AY107" s="658" t="n"/>
    </row>
    <row r="108" ht="18.75" customFormat="1" customHeight="1" s="815" thickBot="1">
      <c r="A108" s="2013" t="n"/>
      <c r="B108" s="2353" t="n"/>
      <c r="C108" s="2381" t="inlineStr">
        <is>
          <t>two next most expensive door(s)</t>
        </is>
      </c>
      <c r="D108" s="8650" t="n"/>
      <c r="E108" s="344" t="n"/>
      <c r="F108" s="344" t="n"/>
      <c r="G108" s="344" t="n"/>
      <c r="H108" s="344" t="n"/>
      <c r="I108" s="344" t="n"/>
      <c r="J108" s="344" t="n"/>
      <c r="K108" s="1061" t="n"/>
      <c r="L108" s="2300" t="n"/>
      <c r="M108" s="2301" t="n"/>
      <c r="N108" s="1061" t="n"/>
      <c r="O108" s="1061" t="n"/>
      <c r="P108" s="1061" t="n"/>
      <c r="Q108" s="1061" t="n"/>
      <c r="R108" s="1061" t="n"/>
      <c r="S108" s="344" t="n"/>
      <c r="T108" s="344" t="n"/>
      <c r="U108" s="1401" t="inlineStr">
        <is>
          <t xml:space="preserve">.   .   .   .   .   .   .   .   .   .   .   .   .   .   .   .   .   .   .   .  </t>
        </is>
      </c>
      <c r="V108" s="2350" t="inlineStr">
        <is>
          <t>19d</t>
        </is>
      </c>
      <c r="W108" s="10222">
        <f>IF(AM108&lt;&gt;"",ROUND(AM108,0),IF(AND($AO$103,$AO$108),"",SUM(ROUND(V110,0),ROUND(V112,0))))</f>
        <v/>
      </c>
      <c r="X108" s="7637" t="n"/>
      <c r="Y108" s="7637" t="n"/>
      <c r="Z108" s="7637" t="n"/>
      <c r="AA108" s="7638" t="n"/>
      <c r="AB108" s="2339" t="n"/>
      <c r="AC108" s="2340" t="n"/>
      <c r="AD108" s="1803" t="n"/>
      <c r="AE108" s="1806" t="n"/>
      <c r="AF108" s="1806" t="n"/>
      <c r="AG108" s="1806" t="n"/>
      <c r="AH108" s="1806" t="n"/>
      <c r="AI108" s="1806" t="n"/>
      <c r="AJ108" s="1806" t="n"/>
      <c r="AK108" s="2013" t="n"/>
      <c r="AL108" s="11602" t="n"/>
      <c r="AM108" s="2361" t="n"/>
      <c r="AN108" s="2362" t="n"/>
      <c r="AO108" s="6603">
        <f>AND(V110="",V112="")</f>
        <v/>
      </c>
      <c r="AP108" s="658" t="n"/>
      <c r="AQ108" s="658" t="n"/>
      <c r="AR108" s="658" t="n"/>
      <c r="AS108" s="658" t="n"/>
      <c r="AT108" s="658" t="n"/>
      <c r="AU108" s="658" t="n"/>
      <c r="AV108" s="658" t="n"/>
      <c r="AW108" s="658" t="n"/>
      <c r="AX108" s="658" t="n"/>
      <c r="AY108" s="658" t="n"/>
    </row>
    <row r="109" ht="9" customFormat="1" customHeight="1" s="815">
      <c r="A109" s="2013" t="n"/>
      <c r="B109" s="2353" t="n"/>
      <c r="C109" s="2353" t="n"/>
      <c r="D109" s="2353" t="n"/>
      <c r="E109" s="2353" t="n"/>
      <c r="F109" s="2353" t="n"/>
      <c r="G109" s="2353" t="n"/>
      <c r="H109" s="2353" t="n"/>
      <c r="I109" s="2353" t="n"/>
      <c r="J109" s="2353" t="n"/>
      <c r="K109" s="2353" t="n"/>
      <c r="L109" s="2353" t="n"/>
      <c r="M109" s="2353" t="n"/>
      <c r="N109" s="2353" t="n"/>
      <c r="O109" s="2353" t="n"/>
      <c r="P109" s="2353" t="n"/>
      <c r="Q109" s="2353" t="n"/>
      <c r="R109" s="2353" t="n"/>
      <c r="S109" s="2353" t="n"/>
      <c r="T109" s="2353" t="n"/>
      <c r="U109" s="2353" t="n"/>
      <c r="V109" s="2353" t="n"/>
      <c r="W109" s="2353" t="n"/>
      <c r="X109" s="2353" t="n"/>
      <c r="Y109" s="2353" t="n"/>
      <c r="Z109" s="2353" t="n"/>
      <c r="AA109" s="2353" t="n"/>
      <c r="AB109" s="2339" t="n"/>
      <c r="AC109" s="2340" t="n"/>
      <c r="AD109" s="1803" t="n"/>
      <c r="AE109" s="1806" t="n"/>
      <c r="AF109" s="1806" t="n"/>
      <c r="AG109" s="1806" t="n"/>
      <c r="AH109" s="1806" t="n"/>
      <c r="AI109" s="1806" t="n"/>
      <c r="AJ109" s="1806" t="n"/>
      <c r="AK109" s="2013" t="n"/>
      <c r="AL109" s="11602" t="n"/>
      <c r="AM109" s="226" t="n"/>
      <c r="AN109" s="2362" t="n"/>
      <c r="AO109" s="6603" t="n"/>
      <c r="AP109" s="658" t="n"/>
      <c r="AQ109" s="658" t="n"/>
      <c r="AR109" s="658" t="n"/>
      <c r="AS109" s="658" t="n"/>
      <c r="AT109" s="658" t="n"/>
      <c r="AU109" s="658" t="n"/>
      <c r="AV109" s="658" t="n"/>
      <c r="AW109" s="658" t="n"/>
      <c r="AX109" s="658" t="n"/>
      <c r="AY109" s="658" t="n"/>
    </row>
    <row r="110" ht="21.75" customFormat="1" customHeight="1" s="815">
      <c r="A110" s="2013" t="n"/>
      <c r="B110" s="6415" t="inlineStr">
        <is>
          <t xml:space="preserve">(i) </t>
        </is>
      </c>
      <c r="C110" s="6413" t="n"/>
      <c r="D110" s="6414" t="n"/>
      <c r="E110" s="6414" t="n"/>
      <c r="F110" s="6414" t="n"/>
      <c r="G110" s="6445" t="n"/>
      <c r="H110" s="6445" t="n"/>
      <c r="I110" s="6445" t="n"/>
      <c r="J110" s="6445" t="n"/>
      <c r="K110" s="6445" t="n"/>
      <c r="L110" s="6446" t="n"/>
      <c r="M110" s="6447" t="n"/>
      <c r="N110" s="6445" t="n"/>
      <c r="O110" s="6445" t="n"/>
      <c r="P110" s="6445" t="n"/>
      <c r="Q110" s="6445" t="n"/>
      <c r="R110" s="6445" t="n"/>
      <c r="S110" s="6445" t="n"/>
      <c r="T110" s="344" t="n"/>
      <c r="U110" s="2371" t="inlineStr">
        <is>
          <t>$</t>
        </is>
      </c>
      <c r="V110" s="10240" t="n"/>
      <c r="W110" s="11717" t="n"/>
      <c r="X110" s="6409" t="n"/>
      <c r="Y110" s="6409" t="n"/>
      <c r="Z110" s="6409" t="n"/>
      <c r="AA110" s="6410" t="n"/>
      <c r="AB110" s="2339" t="n"/>
      <c r="AC110" s="2340" t="n"/>
      <c r="AD110" s="1803" t="n"/>
      <c r="AE110" s="1806" t="n"/>
      <c r="AF110" s="1806" t="n"/>
      <c r="AG110" s="1806" t="n"/>
      <c r="AH110" s="1806" t="n"/>
      <c r="AI110" s="1806" t="n"/>
      <c r="AJ110" s="1806" t="n"/>
      <c r="AK110" s="2013" t="n"/>
      <c r="AL110" s="11602" t="n"/>
      <c r="AM110" s="226" t="n"/>
      <c r="AN110" s="2362" t="n"/>
      <c r="AO110" s="6603" t="n"/>
      <c r="AP110" s="658" t="n"/>
      <c r="AQ110" s="658" t="n"/>
      <c r="AR110" s="658" t="n"/>
      <c r="AS110" s="658" t="n"/>
      <c r="AT110" s="658" t="n"/>
      <c r="AU110" s="658" t="n"/>
      <c r="AV110" s="658" t="n"/>
      <c r="AW110" s="658" t="n"/>
      <c r="AX110" s="658" t="n"/>
      <c r="AY110" s="658" t="n"/>
    </row>
    <row r="111" ht="9.75" customFormat="1" customHeight="1" s="815">
      <c r="A111" s="2013" t="n"/>
      <c r="B111" s="2353" t="n"/>
      <c r="C111" s="6411" t="n"/>
      <c r="D111" s="11343" t="n"/>
      <c r="E111" s="11343" t="n"/>
      <c r="F111" s="11343" t="n"/>
      <c r="G111" s="11343" t="n"/>
      <c r="H111" s="11343" t="n"/>
      <c r="I111" s="11343" t="n"/>
      <c r="J111" s="11343" t="n"/>
      <c r="K111" s="11343" t="n"/>
      <c r="L111" s="11343" t="n"/>
      <c r="M111" s="11343" t="n"/>
      <c r="N111" s="11343" t="n"/>
      <c r="O111" s="11343" t="n"/>
      <c r="P111" s="11343" t="n"/>
      <c r="Q111" s="11343" t="n"/>
      <c r="R111" s="11343" t="n"/>
      <c r="S111" s="11343" t="n"/>
      <c r="T111" s="344" t="n"/>
      <c r="U111" s="344" t="n"/>
      <c r="V111" s="11191" t="n"/>
      <c r="W111" s="6409" t="n"/>
      <c r="X111" s="6409" t="n"/>
      <c r="Y111" s="6409" t="n"/>
      <c r="Z111" s="6409" t="n"/>
      <c r="AA111" s="6410" t="n"/>
      <c r="AB111" s="2339" t="n"/>
      <c r="AC111" s="2340" t="n"/>
      <c r="AD111" s="1803" t="n"/>
      <c r="AE111" s="1806" t="n"/>
      <c r="AF111" s="1806" t="n"/>
      <c r="AG111" s="1806" t="n"/>
      <c r="AH111" s="1806" t="n"/>
      <c r="AI111" s="1806" t="n"/>
      <c r="AJ111" s="1806" t="n"/>
      <c r="AK111" s="2013" t="n"/>
      <c r="AL111" s="11602" t="n"/>
      <c r="AM111" s="226" t="n"/>
      <c r="AN111" s="2362" t="n"/>
      <c r="AO111" s="6603" t="n"/>
      <c r="AP111" s="658" t="n"/>
      <c r="AQ111" s="658" t="n"/>
      <c r="AR111" s="658" t="n"/>
      <c r="AS111" s="658" t="n"/>
      <c r="AT111" s="658" t="n"/>
      <c r="AU111" s="658" t="n"/>
      <c r="AV111" s="658" t="n"/>
      <c r="AW111" s="658" t="n"/>
      <c r="AX111" s="658" t="n"/>
      <c r="AY111" s="658" t="n"/>
    </row>
    <row r="112" ht="21.75" customFormat="1" customHeight="1" s="815">
      <c r="A112" s="2013" t="n"/>
      <c r="B112" s="6415" t="inlineStr">
        <is>
          <t xml:space="preserve">(ii) </t>
        </is>
      </c>
      <c r="C112" s="6413" t="n"/>
      <c r="D112" s="6414" t="n"/>
      <c r="E112" s="6414" t="n"/>
      <c r="F112" s="6414" t="n"/>
      <c r="G112" s="6445" t="n"/>
      <c r="H112" s="6445" t="n"/>
      <c r="I112" s="6445" t="n"/>
      <c r="J112" s="6445" t="n"/>
      <c r="K112" s="6445" t="n"/>
      <c r="L112" s="6446" t="n"/>
      <c r="M112" s="6447" t="n"/>
      <c r="N112" s="6445" t="n"/>
      <c r="O112" s="6445" t="n"/>
      <c r="P112" s="6445" t="n"/>
      <c r="Q112" s="6445" t="n"/>
      <c r="R112" s="6445" t="n"/>
      <c r="S112" s="6445" t="n"/>
      <c r="T112" s="344" t="n"/>
      <c r="U112" s="2371" t="inlineStr">
        <is>
          <t>$</t>
        </is>
      </c>
      <c r="V112" s="10240" t="n"/>
      <c r="W112" s="11717" t="n"/>
      <c r="X112" s="6409" t="n"/>
      <c r="Y112" s="6409" t="n"/>
      <c r="Z112" s="6409" t="n"/>
      <c r="AA112" s="6410" t="n"/>
      <c r="AB112" s="2339" t="n"/>
      <c r="AC112" s="2340" t="n"/>
      <c r="AD112" s="1803" t="n"/>
      <c r="AE112" s="1806" t="n"/>
      <c r="AF112" s="1806" t="n"/>
      <c r="AG112" s="1806" t="n"/>
      <c r="AH112" s="1806" t="n"/>
      <c r="AI112" s="1806" t="n"/>
      <c r="AJ112" s="1806" t="n"/>
      <c r="AK112" s="2013" t="n"/>
      <c r="AL112" s="11602" t="n"/>
      <c r="AM112" s="226" t="n"/>
      <c r="AN112" s="2362" t="n"/>
      <c r="AO112" s="6603" t="n"/>
      <c r="AP112" s="658" t="n"/>
      <c r="AQ112" s="658" t="n"/>
      <c r="AR112" s="658" t="n"/>
      <c r="AS112" s="658" t="n"/>
      <c r="AT112" s="658" t="n"/>
      <c r="AU112" s="658" t="n"/>
      <c r="AV112" s="658" t="n"/>
      <c r="AW112" s="658" t="n"/>
      <c r="AX112" s="658" t="n"/>
      <c r="AY112" s="658" t="n"/>
    </row>
    <row r="113" ht="9" customFormat="1" customHeight="1" s="815" thickBot="1">
      <c r="A113" s="2013" t="n"/>
      <c r="B113" s="2353" t="n"/>
      <c r="C113" s="6411" t="n"/>
      <c r="D113" s="6411" t="n"/>
      <c r="E113" s="6411" t="n"/>
      <c r="F113" s="6411" t="n"/>
      <c r="G113" s="6411" t="n"/>
      <c r="H113" s="6411" t="n"/>
      <c r="I113" s="6411" t="n"/>
      <c r="J113" s="6411" t="n"/>
      <c r="K113" s="6411" t="n"/>
      <c r="L113" s="6411" t="n"/>
      <c r="M113" s="6411" t="n"/>
      <c r="N113" s="6411" t="n"/>
      <c r="O113" s="6411" t="n"/>
      <c r="P113" s="6411" t="n"/>
      <c r="Q113" s="6411" t="n"/>
      <c r="R113" s="6411" t="n"/>
      <c r="S113" s="6411" t="n"/>
      <c r="T113" s="6411" t="n"/>
      <c r="U113" s="6411" t="n"/>
      <c r="V113" s="6411" t="n"/>
      <c r="W113" s="6411" t="n"/>
      <c r="X113" s="6411" t="n"/>
      <c r="Y113" s="6409" t="n"/>
      <c r="Z113" s="6409" t="n"/>
      <c r="AA113" s="6410" t="n"/>
      <c r="AB113" s="2339" t="n"/>
      <c r="AC113" s="2340" t="n"/>
      <c r="AD113" s="1803" t="n"/>
      <c r="AE113" s="1806" t="n"/>
      <c r="AF113" s="1806" t="n"/>
      <c r="AG113" s="1806" t="n"/>
      <c r="AH113" s="1806" t="n"/>
      <c r="AI113" s="1806" t="n"/>
      <c r="AJ113" s="1806" t="n"/>
      <c r="AK113" s="2013" t="n"/>
      <c r="AL113" s="11602" t="n"/>
      <c r="AM113" s="226" t="n"/>
      <c r="AN113" s="2362" t="n"/>
      <c r="AO113" s="6603" t="n"/>
      <c r="AP113" s="658" t="n"/>
      <c r="AQ113" s="658" t="n"/>
      <c r="AR113" s="658" t="n"/>
      <c r="AS113" s="658" t="n"/>
      <c r="AT113" s="658" t="n"/>
      <c r="AU113" s="658" t="n"/>
      <c r="AV113" s="658" t="n"/>
      <c r="AW113" s="658" t="n"/>
      <c r="AX113" s="658" t="n"/>
      <c r="AY113" s="658" t="n"/>
    </row>
    <row r="114" ht="21" customFormat="1" customHeight="1" s="815" thickBot="1">
      <c r="A114" s="2013" t="n"/>
      <c r="B114" s="2353" t="inlineStr">
        <is>
          <t>e</t>
        </is>
      </c>
      <c r="C114" s="2299" t="inlineStr">
        <is>
          <t>Enter the cost of all other qualifying exterior doors. If none, enter -0-</t>
        </is>
      </c>
      <c r="D114" s="8650" t="n"/>
      <c r="E114" s="344" t="n"/>
      <c r="F114" s="344" t="n"/>
      <c r="G114" s="344" t="n"/>
      <c r="H114" s="344" t="n"/>
      <c r="I114" s="344" t="n"/>
      <c r="J114" s="344" t="n"/>
      <c r="K114" s="1061" t="n"/>
      <c r="L114" s="2300" t="n"/>
      <c r="M114" s="2301" t="n"/>
      <c r="N114" s="1061" t="n"/>
      <c r="O114" s="1061" t="n"/>
      <c r="P114" s="1061" t="n"/>
      <c r="Q114" s="1061" t="n"/>
      <c r="R114" s="1061" t="n"/>
      <c r="S114" s="344" t="n"/>
      <c r="T114" s="344" t="n"/>
      <c r="U114" s="1401" t="inlineStr">
        <is>
          <t xml:space="preserve">.   .   .   .   .  </t>
        </is>
      </c>
      <c r="V114" s="2350" t="inlineStr">
        <is>
          <t>19e</t>
        </is>
      </c>
      <c r="W114" s="10222">
        <f>IF($AO$103,"",IF(AM114="",0,ROUND(AM114,0)))</f>
        <v/>
      </c>
      <c r="X114" s="7637" t="n"/>
      <c r="Y114" s="7637" t="n"/>
      <c r="Z114" s="7637" t="n"/>
      <c r="AA114" s="7638" t="n"/>
      <c r="AB114" s="2339" t="n"/>
      <c r="AC114" s="2340" t="n"/>
      <c r="AD114" s="1803" t="n"/>
      <c r="AE114" s="1806" t="n"/>
      <c r="AF114" s="1806" t="n"/>
      <c r="AG114" s="1806" t="n"/>
      <c r="AH114" s="1806" t="n"/>
      <c r="AI114" s="1806" t="n"/>
      <c r="AJ114" s="1806" t="n"/>
      <c r="AK114" s="2013" t="n"/>
      <c r="AL114" s="11602" t="n"/>
      <c r="AM114" s="2361" t="n"/>
      <c r="AN114" s="2362" t="n"/>
      <c r="AO114" s="6603">
        <f>W114=""</f>
        <v/>
      </c>
      <c r="AP114" s="658" t="n"/>
      <c r="AQ114" s="658" t="n"/>
      <c r="AR114" s="658" t="n"/>
      <c r="AS114" s="658" t="n"/>
      <c r="AT114" s="658" t="n"/>
      <c r="AU114" s="658" t="n"/>
      <c r="AV114" s="658" t="n"/>
      <c r="AW114" s="658" t="n"/>
      <c r="AX114" s="658" t="n"/>
      <c r="AY114" s="658" t="n"/>
    </row>
    <row r="115" ht="21.75" customFormat="1" customHeight="1" s="815">
      <c r="A115" s="2013" t="n"/>
      <c r="B115" s="2353" t="inlineStr">
        <is>
          <t>f</t>
        </is>
      </c>
      <c r="C115" s="7772" t="inlineStr">
        <is>
          <t>Add lines 19d and 19e</t>
        </is>
      </c>
      <c r="D115" s="514" t="n"/>
      <c r="E115" s="514" t="n"/>
      <c r="F115" s="514" t="n"/>
      <c r="G115" s="514" t="n"/>
      <c r="H115" s="514" t="n"/>
      <c r="I115" s="514" t="n"/>
      <c r="J115" s="514" t="n"/>
      <c r="K115" s="514" t="n"/>
      <c r="L115" s="514" t="n"/>
      <c r="M115" s="514" t="n"/>
      <c r="N115" s="514" t="n"/>
      <c r="O115" s="514" t="n"/>
      <c r="P115" s="514" t="n"/>
      <c r="Q115" s="514" t="n"/>
      <c r="R115" s="514" t="n"/>
      <c r="S115" s="514" t="n"/>
      <c r="T115" s="514" t="n"/>
      <c r="U115" s="1401" t="inlineStr">
        <is>
          <t xml:space="preserve">.   .   .   .   .   .   .   .   .   .   .   .   .   .   .   .   .   .   .   .   .   .  </t>
        </is>
      </c>
      <c r="V115" s="2350" t="inlineStr">
        <is>
          <t>19f</t>
        </is>
      </c>
      <c r="W115" s="10222">
        <f>IF(AND($AO$103,$AO$114),"",SUM(W108,W114))</f>
        <v/>
      </c>
      <c r="X115" s="7637" t="n"/>
      <c r="Y115" s="7637" t="n"/>
      <c r="Z115" s="7637" t="n"/>
      <c r="AA115" s="7638" t="n"/>
      <c r="AB115" s="2339" t="n"/>
      <c r="AC115" s="2340" t="n"/>
      <c r="AD115" s="10266" t="n"/>
      <c r="AE115" s="194" t="n"/>
      <c r="AF115" s="194" t="n"/>
      <c r="AG115" s="194" t="n"/>
      <c r="AH115" s="194" t="n"/>
      <c r="AI115" s="194" t="n"/>
      <c r="AJ115" s="194" t="n"/>
      <c r="AK115" s="2013" t="n"/>
      <c r="AL115" s="11602" t="n"/>
      <c r="AM115" s="226" t="n"/>
      <c r="AN115" s="2362" t="n"/>
      <c r="AO115" s="6603" t="n"/>
      <c r="AP115" s="658" t="n"/>
      <c r="AQ115" s="658" t="n"/>
      <c r="AR115" s="658" t="n"/>
      <c r="AS115" s="658" t="n"/>
      <c r="AT115" s="658" t="n"/>
      <c r="AU115" s="658" t="n"/>
      <c r="AV115" s="658" t="n"/>
      <c r="AW115" s="658" t="n"/>
      <c r="AX115" s="658" t="n"/>
      <c r="AY115" s="658" t="n"/>
    </row>
    <row r="116" ht="21.75" customFormat="1" customHeight="1" s="815" thickBot="1">
      <c r="A116" s="2013" t="n"/>
      <c r="B116" s="2353" t="inlineStr">
        <is>
          <t>g</t>
        </is>
      </c>
      <c r="C116" s="7772">
        <f>"Multiply line 19f by "&amp;TEXT($AD$100,"0%")&amp;" ("&amp;TEXT($AD$100,"0.00")&amp;")"</f>
        <v/>
      </c>
      <c r="D116" s="514" t="n"/>
      <c r="E116" s="514" t="n"/>
      <c r="F116" s="514" t="n"/>
      <c r="G116" s="514" t="n"/>
      <c r="H116" s="514" t="n"/>
      <c r="I116" s="514" t="n"/>
      <c r="J116" s="514" t="n"/>
      <c r="K116" s="514" t="n"/>
      <c r="L116" s="514" t="n"/>
      <c r="M116" s="514" t="n"/>
      <c r="N116" s="514" t="n"/>
      <c r="O116" s="514" t="n"/>
      <c r="P116" s="514" t="n"/>
      <c r="Q116" s="514" t="n"/>
      <c r="R116" s="514" t="n"/>
      <c r="S116" s="514" t="n"/>
      <c r="T116" s="514" t="n"/>
      <c r="U116" s="1401" t="inlineStr">
        <is>
          <t xml:space="preserve">.   .   .   .   .   .   .   .   .   .   .   .   .   .   .   .   .   .   .  </t>
        </is>
      </c>
      <c r="V116" s="2350" t="inlineStr">
        <is>
          <t>19g</t>
        </is>
      </c>
      <c r="W116" s="10222">
        <f>IF(AND($AO$103,$AO$114),"",ROUND(W115*$AD$100,0))</f>
        <v/>
      </c>
      <c r="X116" s="7637" t="n"/>
      <c r="Y116" s="7637" t="n"/>
      <c r="Z116" s="7637" t="n"/>
      <c r="AA116" s="7638" t="n"/>
      <c r="AB116" s="2339" t="n"/>
      <c r="AC116" s="2340" t="n"/>
      <c r="AD116" s="10268" t="n">
        <v>500</v>
      </c>
      <c r="AE116" s="194" t="n"/>
      <c r="AF116" s="194" t="n"/>
      <c r="AG116" s="194" t="n"/>
      <c r="AH116" s="194" t="n"/>
      <c r="AI116" s="194" t="n"/>
      <c r="AJ116" s="194" t="n"/>
      <c r="AK116" s="2013" t="n"/>
      <c r="AL116" s="11602" t="n"/>
      <c r="AM116" s="226" t="n"/>
      <c r="AN116" s="2362" t="n"/>
      <c r="AO116" s="6603" t="n"/>
      <c r="AP116" s="658" t="n"/>
      <c r="AQ116" s="658" t="n"/>
      <c r="AR116" s="658" t="n"/>
      <c r="AS116" s="658" t="n"/>
      <c r="AT116" s="658" t="n"/>
      <c r="AU116" s="658" t="n"/>
      <c r="AV116" s="658" t="n"/>
      <c r="AW116" s="658" t="n"/>
      <c r="AX116" s="658" t="n"/>
      <c r="AY116" s="658" t="n"/>
    </row>
    <row r="117" ht="21" customFormat="1" customHeight="1" s="815" thickBot="1">
      <c r="A117" s="2013" t="n"/>
      <c r="B117" s="2328" t="inlineStr">
        <is>
          <t>h</t>
        </is>
      </c>
      <c r="C117" s="2299" t="inlineStr">
        <is>
          <t>Add lines 19c and 19g.</t>
        </is>
      </c>
      <c r="D117" s="9847" t="n"/>
      <c r="E117" s="344" t="n"/>
      <c r="F117" s="344" t="n"/>
      <c r="G117" s="344" t="n"/>
      <c r="H117" s="344" t="n"/>
      <c r="I117" s="344" t="n"/>
      <c r="J117" s="344" t="n"/>
      <c r="K117" s="344" t="n"/>
      <c r="L117" s="344" t="n"/>
      <c r="M117" s="4998" t="n"/>
      <c r="N117" s="6430" t="inlineStr">
        <is>
          <t xml:space="preserve">Do not enter more than </t>
        </is>
      </c>
      <c r="O117" s="2299">
        <f>TEXT(AD116,"$0")</f>
        <v/>
      </c>
      <c r="P117" s="344" t="n"/>
      <c r="Q117" s="344" t="n"/>
      <c r="R117" s="344" t="n"/>
      <c r="S117" s="344" t="n"/>
      <c r="T117" s="344" t="n"/>
      <c r="U117" s="344" t="n"/>
      <c r="V117" s="344" t="n"/>
      <c r="W117" s="344" t="n"/>
      <c r="X117" s="344" t="n"/>
      <c r="Y117" s="344" t="n"/>
      <c r="Z117" s="344" t="n"/>
      <c r="AA117" s="1401" t="inlineStr">
        <is>
          <t xml:space="preserve"> .   .   .   .   .   .   .   .   .   .   .   .   .   .   .   .   .   .   .   .   .   .  </t>
        </is>
      </c>
      <c r="AB117" s="12557" t="inlineStr">
        <is>
          <t>19h</t>
        </is>
      </c>
      <c r="AC117" s="7638" t="n"/>
      <c r="AD117" s="10249">
        <f>IF(AM117&lt;&gt;"",ROUND(AM117,0),IF(AND($AO$103,$AO$114),"",MIN(AD116,SUM(W106,W116))))</f>
        <v/>
      </c>
      <c r="AE117" s="7637" t="n"/>
      <c r="AF117" s="7637" t="n"/>
      <c r="AG117" s="7637" t="n"/>
      <c r="AH117" s="7637" t="n"/>
      <c r="AI117" s="7637" t="n"/>
      <c r="AJ117" s="7637" t="n"/>
      <c r="AK117" s="2013" t="n"/>
      <c r="AL117" s="11602" t="n"/>
      <c r="AM117" s="2361" t="n"/>
      <c r="AN117" s="2362" t="n"/>
      <c r="AO117" s="6603">
        <f>AD117=""</f>
        <v/>
      </c>
      <c r="AP117" s="658" t="n"/>
      <c r="AQ117" s="658" t="n"/>
      <c r="AR117" s="658" t="n"/>
      <c r="AS117" s="658" t="n"/>
      <c r="AT117" s="658" t="n"/>
      <c r="AU117" s="658" t="n"/>
      <c r="AV117" s="658" t="n"/>
      <c r="AW117" s="658" t="n"/>
      <c r="AX117" s="658" t="n"/>
      <c r="AY117" s="658" t="n"/>
    </row>
    <row r="118" ht="21" customFormat="1" customHeight="1" s="815">
      <c r="A118" s="2013" t="n"/>
      <c r="B118" s="11191" t="n">
        <v>20</v>
      </c>
      <c r="C118" s="2299" t="inlineStr">
        <is>
          <t>Windows and skylights that meet the Energy Star certification requirements.</t>
        </is>
      </c>
      <c r="D118" s="8650" t="n"/>
      <c r="E118" s="344" t="n"/>
      <c r="F118" s="344" t="n"/>
      <c r="G118" s="344" t="n"/>
      <c r="H118" s="344" t="n"/>
      <c r="I118" s="344" t="n"/>
      <c r="J118" s="344" t="n"/>
      <c r="K118" s="1061" t="n"/>
      <c r="L118" s="2300" t="n"/>
      <c r="M118" s="2301" t="n"/>
      <c r="N118" s="1061" t="n"/>
      <c r="O118" s="1061" t="n"/>
      <c r="P118" s="1061" t="n"/>
      <c r="Q118" s="1061" t="n"/>
      <c r="R118" s="1061" t="n"/>
      <c r="S118" s="344" t="n"/>
      <c r="T118" s="344" t="n"/>
      <c r="U118" s="9750" t="n"/>
      <c r="V118" s="9750" t="n"/>
      <c r="W118" s="9750" t="n"/>
      <c r="X118" s="1205" t="n"/>
      <c r="Y118" s="1205" t="n"/>
      <c r="Z118" s="1205" t="n"/>
      <c r="AA118" s="1401" t="n"/>
      <c r="AB118" s="2339" t="n"/>
      <c r="AC118" s="2340" t="n"/>
      <c r="AD118" s="1803" t="n"/>
      <c r="AE118" s="1806" t="n"/>
      <c r="AF118" s="1806" t="n"/>
      <c r="AG118" s="1806" t="n"/>
      <c r="AH118" s="1806" t="n"/>
      <c r="AI118" s="1806" t="n"/>
      <c r="AJ118" s="1806" t="n"/>
      <c r="AK118" s="2013" t="n"/>
      <c r="AL118" s="11602" t="n"/>
      <c r="AM118" s="226" t="n"/>
      <c r="AN118" s="2362" t="n"/>
      <c r="AO118" s="6603">
        <f>AM117&gt;AD116</f>
        <v/>
      </c>
      <c r="AP118" s="658" t="n"/>
      <c r="AQ118" s="658" t="n"/>
      <c r="AR118" s="658" t="n"/>
      <c r="AS118" s="658" t="n"/>
      <c r="AT118" s="658" t="n"/>
      <c r="AU118" s="658" t="n"/>
      <c r="AV118" s="658" t="n"/>
      <c r="AW118" s="658" t="n"/>
      <c r="AX118" s="658" t="n"/>
      <c r="AY118" s="658" t="n"/>
    </row>
    <row r="119" ht="21.75" customFormat="1" customHeight="1" s="815" thickBot="1">
      <c r="A119" s="2013" t="n"/>
      <c r="B119" s="2353" t="inlineStr">
        <is>
          <t>a</t>
        </is>
      </c>
      <c r="C119" s="2299" t="inlineStr">
        <is>
          <t>Enter the Qualified Manufacturer Identification Number(s) and cost(s) of the</t>
        </is>
      </c>
      <c r="D119" s="8650" t="n"/>
      <c r="E119" s="344" t="n"/>
      <c r="F119" s="344" t="n"/>
      <c r="G119" s="344" t="n"/>
      <c r="H119" s="344" t="n"/>
      <c r="I119" s="344" t="n"/>
      <c r="J119" s="344" t="n"/>
      <c r="K119" s="1061" t="n"/>
      <c r="L119" s="2300" t="n"/>
      <c r="M119" s="2301" t="n"/>
      <c r="N119" s="1061" t="n"/>
      <c r="O119" s="1061" t="n"/>
      <c r="P119" s="1061" t="n"/>
      <c r="Q119" s="1061" t="n"/>
      <c r="R119" s="1061" t="n"/>
      <c r="S119" s="344" t="n"/>
      <c r="T119" s="344" t="n"/>
      <c r="U119" s="6409" t="n"/>
      <c r="V119" s="6409" t="n"/>
      <c r="W119" s="6409" t="n"/>
      <c r="X119" s="6409" t="n"/>
      <c r="Y119" s="6409" t="n"/>
      <c r="Z119" s="6409" t="n"/>
      <c r="AA119" s="6410" t="n"/>
      <c r="AB119" s="2339" t="n"/>
      <c r="AC119" s="2340" t="n"/>
      <c r="AD119" s="1803" t="n"/>
      <c r="AE119" s="1806" t="n"/>
      <c r="AF119" s="1806" t="n"/>
      <c r="AG119" s="1806" t="n"/>
      <c r="AH119" s="1806" t="n"/>
      <c r="AI119" s="1806" t="n"/>
      <c r="AJ119" s="1806" t="n"/>
      <c r="AK119" s="2013" t="n"/>
      <c r="AL119" s="11602" t="n"/>
      <c r="AM119" s="226" t="n"/>
      <c r="AN119" s="2362" t="n"/>
      <c r="AO119" s="6603" t="n"/>
      <c r="AP119" s="658" t="n"/>
      <c r="AQ119" s="658" t="n"/>
      <c r="AR119" s="658" t="n"/>
      <c r="AS119" s="658" t="n"/>
      <c r="AT119" s="658" t="n"/>
      <c r="AU119" s="658" t="n"/>
      <c r="AV119" s="658" t="n"/>
      <c r="AW119" s="658" t="n"/>
      <c r="AX119" s="658" t="n"/>
      <c r="AY119" s="658" t="n"/>
    </row>
    <row r="120" ht="18.75" customFormat="1" customHeight="1" s="815" thickBot="1">
      <c r="A120" s="2013" t="n"/>
      <c r="B120" s="2353" t="n"/>
      <c r="C120" s="2381" t="inlineStr">
        <is>
          <t>four most expensive window(s)/skylight(s)</t>
        </is>
      </c>
      <c r="D120" s="8650" t="n"/>
      <c r="E120" s="344" t="n"/>
      <c r="F120" s="344" t="n"/>
      <c r="G120" s="344" t="n"/>
      <c r="H120" s="344" t="n"/>
      <c r="I120" s="344" t="n"/>
      <c r="J120" s="344" t="n"/>
      <c r="K120" s="1061" t="n"/>
      <c r="L120" s="2300" t="n"/>
      <c r="M120" s="2301" t="n"/>
      <c r="N120" s="1061" t="n"/>
      <c r="O120" s="1061" t="n"/>
      <c r="P120" s="1061" t="n"/>
      <c r="Q120" s="1061" t="n"/>
      <c r="R120" s="1061" t="n"/>
      <c r="S120" s="344" t="n"/>
      <c r="T120" s="344" t="n"/>
      <c r="U120" s="1401" t="inlineStr">
        <is>
          <t xml:space="preserve">.   .   .   .   .   .   .   .   .   .   .   .   .   .   .  </t>
        </is>
      </c>
      <c r="V120" s="2350" t="inlineStr">
        <is>
          <t>20a</t>
        </is>
      </c>
      <c r="W120" s="10222">
        <f>IF(AM120&lt;&gt;"",ROUND(AM120,0),IF($AO$120,"",SUM(ROUND(V122,0),ROUND(V124,0),ROUND(V126,0),ROUND(V128,0))))</f>
        <v/>
      </c>
      <c r="X120" s="7637" t="n"/>
      <c r="Y120" s="7637" t="n"/>
      <c r="Z120" s="7637" t="n"/>
      <c r="AA120" s="7638" t="n"/>
      <c r="AB120" s="2339" t="n"/>
      <c r="AC120" s="2340" t="n"/>
      <c r="AD120" s="1803" t="n"/>
      <c r="AE120" s="1806" t="n"/>
      <c r="AF120" s="1806" t="n"/>
      <c r="AG120" s="1806" t="n"/>
      <c r="AH120" s="1806" t="n"/>
      <c r="AI120" s="1806" t="n"/>
      <c r="AJ120" s="1806" t="n"/>
      <c r="AK120" s="2013" t="n"/>
      <c r="AL120" s="11602" t="n"/>
      <c r="AM120" s="2361" t="n"/>
      <c r="AN120" s="2362" t="n"/>
      <c r="AO120" s="6603">
        <f>AND(V122="",V124="",V126="",V128="")</f>
        <v/>
      </c>
      <c r="AP120" s="658" t="n"/>
      <c r="AQ120" s="658" t="n"/>
      <c r="AR120" s="658" t="n"/>
      <c r="AS120" s="658" t="n"/>
      <c r="AT120" s="658" t="n"/>
      <c r="AU120" s="658" t="n"/>
      <c r="AV120" s="658" t="n"/>
      <c r="AW120" s="658" t="n"/>
      <c r="AX120" s="658" t="n"/>
      <c r="AY120" s="658" t="n"/>
    </row>
    <row r="121" ht="9" customFormat="1" customHeight="1" s="815">
      <c r="A121" s="2013" t="n"/>
      <c r="B121" s="2353" t="n"/>
      <c r="C121" s="2353" t="n"/>
      <c r="D121" s="2353" t="n"/>
      <c r="E121" s="2353" t="n"/>
      <c r="F121" s="2353" t="n"/>
      <c r="G121" s="2353" t="n"/>
      <c r="H121" s="2353" t="n"/>
      <c r="I121" s="2353" t="n"/>
      <c r="J121" s="2353" t="n"/>
      <c r="K121" s="2353" t="n"/>
      <c r="L121" s="2353" t="n"/>
      <c r="M121" s="2353" t="n"/>
      <c r="N121" s="2353" t="n"/>
      <c r="O121" s="2353" t="n"/>
      <c r="P121" s="2353" t="n"/>
      <c r="Q121" s="2353" t="n"/>
      <c r="R121" s="2353" t="n"/>
      <c r="S121" s="2353" t="n"/>
      <c r="T121" s="2353" t="n"/>
      <c r="U121" s="2353" t="n"/>
      <c r="V121" s="2353" t="n"/>
      <c r="W121" s="2353" t="n"/>
      <c r="X121" s="2353" t="n"/>
      <c r="Y121" s="2353" t="n"/>
      <c r="Z121" s="2353" t="n"/>
      <c r="AA121" s="2353" t="n"/>
      <c r="AB121" s="2339" t="n"/>
      <c r="AC121" s="2340" t="n"/>
      <c r="AD121" s="1803" t="n"/>
      <c r="AE121" s="1806" t="n"/>
      <c r="AF121" s="1806" t="n"/>
      <c r="AG121" s="1806" t="n"/>
      <c r="AH121" s="1806" t="n"/>
      <c r="AI121" s="1806" t="n"/>
      <c r="AJ121" s="1806" t="n"/>
      <c r="AK121" s="2013" t="n"/>
      <c r="AL121" s="11602" t="n"/>
      <c r="AM121" s="226" t="n"/>
      <c r="AN121" s="2362" t="n"/>
      <c r="AO121" s="6603" t="n"/>
      <c r="AP121" s="658" t="n"/>
      <c r="AQ121" s="658" t="n"/>
      <c r="AR121" s="658" t="n"/>
      <c r="AS121" s="658" t="n"/>
      <c r="AT121" s="658" t="n"/>
      <c r="AU121" s="658" t="n"/>
      <c r="AV121" s="658" t="n"/>
      <c r="AW121" s="658" t="n"/>
      <c r="AX121" s="658" t="n"/>
      <c r="AY121" s="658" t="n"/>
    </row>
    <row r="122" ht="21.75" customFormat="1" customHeight="1" s="815">
      <c r="A122" s="2013" t="n"/>
      <c r="B122" s="6415" t="inlineStr">
        <is>
          <t xml:space="preserve">(i) </t>
        </is>
      </c>
      <c r="C122" s="6413" t="n"/>
      <c r="D122" s="6414" t="n"/>
      <c r="E122" s="6414" t="n"/>
      <c r="F122" s="6414" t="n"/>
      <c r="G122" s="6445" t="n"/>
      <c r="H122" s="6445" t="n"/>
      <c r="I122" s="6445" t="n"/>
      <c r="J122" s="6445" t="n"/>
      <c r="K122" s="6445" t="n"/>
      <c r="L122" s="6446" t="n"/>
      <c r="M122" s="6447" t="n"/>
      <c r="N122" s="6445" t="n"/>
      <c r="O122" s="6445" t="n"/>
      <c r="P122" s="6445" t="n"/>
      <c r="Q122" s="6445" t="n"/>
      <c r="R122" s="6445" t="n"/>
      <c r="S122" s="6445" t="n"/>
      <c r="T122" s="344" t="n"/>
      <c r="U122" s="2371" t="inlineStr">
        <is>
          <t>$</t>
        </is>
      </c>
      <c r="V122" s="10240" t="n"/>
      <c r="W122" s="11717" t="n"/>
      <c r="X122" s="6409" t="n"/>
      <c r="Y122" s="6409" t="n"/>
      <c r="Z122" s="6409" t="n"/>
      <c r="AA122" s="6410" t="n"/>
      <c r="AB122" s="2339" t="n"/>
      <c r="AC122" s="2340" t="n"/>
      <c r="AD122" s="1803" t="n"/>
      <c r="AE122" s="1806" t="n"/>
      <c r="AF122" s="1806" t="n"/>
      <c r="AG122" s="1806" t="n"/>
      <c r="AH122" s="1806" t="n"/>
      <c r="AI122" s="1806" t="n"/>
      <c r="AJ122" s="1806" t="n"/>
      <c r="AK122" s="2013" t="n"/>
      <c r="AL122" s="11602" t="n"/>
      <c r="AM122" s="226" t="n"/>
      <c r="AN122" s="2362" t="n"/>
      <c r="AO122" s="6603" t="n"/>
      <c r="AP122" s="658" t="n"/>
      <c r="AQ122" s="658" t="n"/>
      <c r="AR122" s="658" t="n"/>
      <c r="AS122" s="658" t="n"/>
      <c r="AT122" s="658" t="n"/>
      <c r="AU122" s="658" t="n"/>
      <c r="AV122" s="658" t="n"/>
      <c r="AW122" s="658" t="n"/>
      <c r="AX122" s="658" t="n"/>
      <c r="AY122" s="658" t="n"/>
    </row>
    <row r="123" ht="9.75" customFormat="1" customHeight="1" s="815">
      <c r="A123" s="2013" t="n"/>
      <c r="B123" s="2353" t="n"/>
      <c r="C123" s="6411" t="n"/>
      <c r="D123" s="11343" t="n"/>
      <c r="E123" s="11343" t="n"/>
      <c r="F123" s="11343" t="n"/>
      <c r="G123" s="11343" t="n"/>
      <c r="H123" s="11343" t="n"/>
      <c r="I123" s="11343" t="n"/>
      <c r="J123" s="11343" t="n"/>
      <c r="K123" s="11343" t="n"/>
      <c r="L123" s="11343" t="n"/>
      <c r="M123" s="11343" t="n"/>
      <c r="N123" s="11343" t="n"/>
      <c r="O123" s="11343" t="n"/>
      <c r="P123" s="11343" t="n"/>
      <c r="Q123" s="11343" t="n"/>
      <c r="R123" s="11343" t="n"/>
      <c r="S123" s="11343" t="n"/>
      <c r="T123" s="344" t="n"/>
      <c r="U123" s="344" t="n"/>
      <c r="V123" s="11191" t="n"/>
      <c r="W123" s="6409" t="n"/>
      <c r="X123" s="6409" t="n"/>
      <c r="Y123" s="6409" t="n"/>
      <c r="Z123" s="6409" t="n"/>
      <c r="AA123" s="6410" t="n"/>
      <c r="AB123" s="2339" t="n"/>
      <c r="AC123" s="2340" t="n"/>
      <c r="AD123" s="1803" t="n"/>
      <c r="AE123" s="1806" t="n"/>
      <c r="AF123" s="1806" t="n"/>
      <c r="AG123" s="1806" t="n"/>
      <c r="AH123" s="1806" t="n"/>
      <c r="AI123" s="1806" t="n"/>
      <c r="AJ123" s="1806" t="n"/>
      <c r="AK123" s="2013" t="n"/>
      <c r="AL123" s="11602" t="n"/>
      <c r="AM123" s="226" t="n"/>
      <c r="AN123" s="2362" t="n"/>
      <c r="AO123" s="6603" t="n"/>
      <c r="AP123" s="658" t="n"/>
      <c r="AQ123" s="658" t="n"/>
      <c r="AR123" s="658" t="n"/>
      <c r="AS123" s="658" t="n"/>
      <c r="AT123" s="658" t="n"/>
      <c r="AU123" s="658" t="n"/>
      <c r="AV123" s="658" t="n"/>
      <c r="AW123" s="658" t="n"/>
      <c r="AX123" s="658" t="n"/>
      <c r="AY123" s="658" t="n"/>
    </row>
    <row r="124" ht="21.75" customFormat="1" customHeight="1" s="815">
      <c r="A124" s="2013" t="n"/>
      <c r="B124" s="6415" t="inlineStr">
        <is>
          <t xml:space="preserve">(ii) </t>
        </is>
      </c>
      <c r="C124" s="6413" t="n"/>
      <c r="D124" s="6414" t="n"/>
      <c r="E124" s="6414" t="n"/>
      <c r="F124" s="6414" t="n"/>
      <c r="G124" s="6445" t="n"/>
      <c r="H124" s="6445" t="n"/>
      <c r="I124" s="6445" t="n"/>
      <c r="J124" s="6445" t="n"/>
      <c r="K124" s="6445" t="n"/>
      <c r="L124" s="6446" t="n"/>
      <c r="M124" s="6447" t="n"/>
      <c r="N124" s="6445" t="n"/>
      <c r="O124" s="6445" t="n"/>
      <c r="P124" s="6445" t="n"/>
      <c r="Q124" s="6445" t="n"/>
      <c r="R124" s="6445" t="n"/>
      <c r="S124" s="6445" t="n"/>
      <c r="T124" s="344" t="n"/>
      <c r="U124" s="2371" t="inlineStr">
        <is>
          <t>$</t>
        </is>
      </c>
      <c r="V124" s="10240" t="n"/>
      <c r="W124" s="11717" t="n"/>
      <c r="X124" s="6409" t="n"/>
      <c r="Y124" s="6409" t="n"/>
      <c r="Z124" s="6409" t="n"/>
      <c r="AA124" s="6410" t="n"/>
      <c r="AB124" s="2339" t="n"/>
      <c r="AC124" s="2340" t="n"/>
      <c r="AD124" s="1803" t="n"/>
      <c r="AE124" s="1806" t="n"/>
      <c r="AF124" s="1806" t="n"/>
      <c r="AG124" s="1806" t="n"/>
      <c r="AH124" s="1806" t="n"/>
      <c r="AI124" s="1806" t="n"/>
      <c r="AJ124" s="1806" t="n"/>
      <c r="AK124" s="2013" t="n"/>
      <c r="AL124" s="11602" t="n"/>
      <c r="AM124" s="226" t="n"/>
      <c r="AN124" s="2362" t="n"/>
      <c r="AO124" s="6603" t="n"/>
      <c r="AP124" s="658" t="n"/>
      <c r="AQ124" s="658" t="n"/>
      <c r="AR124" s="658" t="n"/>
      <c r="AS124" s="658" t="n"/>
      <c r="AT124" s="658" t="n"/>
      <c r="AU124" s="658" t="n"/>
      <c r="AV124" s="658" t="n"/>
      <c r="AW124" s="658" t="n"/>
      <c r="AX124" s="658" t="n"/>
      <c r="AY124" s="658" t="n"/>
    </row>
    <row r="125" ht="9" customFormat="1" customHeight="1" s="815">
      <c r="A125" s="2013" t="n"/>
      <c r="B125" s="2353" t="n"/>
      <c r="C125" s="2353" t="n"/>
      <c r="D125" s="2353" t="n"/>
      <c r="E125" s="2353" t="n"/>
      <c r="F125" s="2353" t="n"/>
      <c r="G125" s="2353" t="n"/>
      <c r="H125" s="2353" t="n"/>
      <c r="I125" s="2353" t="n"/>
      <c r="J125" s="2353" t="n"/>
      <c r="K125" s="2353" t="n"/>
      <c r="L125" s="2353" t="n"/>
      <c r="M125" s="2353" t="n"/>
      <c r="N125" s="2353" t="n"/>
      <c r="O125" s="2353" t="n"/>
      <c r="P125" s="2353" t="n"/>
      <c r="Q125" s="2353" t="n"/>
      <c r="R125" s="2353" t="n"/>
      <c r="S125" s="2353" t="n"/>
      <c r="T125" s="2353" t="n"/>
      <c r="U125" s="2353" t="n"/>
      <c r="V125" s="2353" t="n"/>
      <c r="W125" s="2353" t="n"/>
      <c r="X125" s="2353" t="n"/>
      <c r="Y125" s="2353" t="n"/>
      <c r="Z125" s="2353" t="n"/>
      <c r="AA125" s="2353" t="n"/>
      <c r="AB125" s="2339" t="n"/>
      <c r="AC125" s="2340" t="n"/>
      <c r="AD125" s="1803" t="n"/>
      <c r="AE125" s="1806" t="n"/>
      <c r="AF125" s="1806" t="n"/>
      <c r="AG125" s="1806" t="n"/>
      <c r="AH125" s="1806" t="n"/>
      <c r="AI125" s="1806" t="n"/>
      <c r="AJ125" s="1806" t="n"/>
      <c r="AK125" s="2013" t="n"/>
      <c r="AL125" s="11602" t="n"/>
      <c r="AM125" s="226" t="n"/>
      <c r="AN125" s="2362" t="n"/>
      <c r="AO125" s="6603" t="n"/>
      <c r="AP125" s="658" t="n"/>
      <c r="AQ125" s="658" t="n"/>
      <c r="AR125" s="658" t="n"/>
      <c r="AS125" s="658" t="n"/>
      <c r="AT125" s="658" t="n"/>
      <c r="AU125" s="658" t="n"/>
      <c r="AV125" s="658" t="n"/>
      <c r="AW125" s="658" t="n"/>
      <c r="AX125" s="658" t="n"/>
      <c r="AY125" s="658" t="n"/>
    </row>
    <row r="126" ht="21.75" customFormat="1" customHeight="1" s="815">
      <c r="A126" s="2013" t="n"/>
      <c r="B126" s="6415" t="inlineStr">
        <is>
          <t xml:space="preserve">(iii) </t>
        </is>
      </c>
      <c r="C126" s="6413" t="n"/>
      <c r="D126" s="6414" t="n"/>
      <c r="E126" s="6414" t="n"/>
      <c r="F126" s="6414" t="n"/>
      <c r="G126" s="6445" t="n"/>
      <c r="H126" s="6445" t="n"/>
      <c r="I126" s="6445" t="n"/>
      <c r="J126" s="6445" t="n"/>
      <c r="K126" s="6445" t="n"/>
      <c r="L126" s="6446" t="n"/>
      <c r="M126" s="6447" t="n"/>
      <c r="N126" s="6445" t="n"/>
      <c r="O126" s="6445" t="n"/>
      <c r="P126" s="6445" t="n"/>
      <c r="Q126" s="6445" t="n"/>
      <c r="R126" s="6445" t="n"/>
      <c r="S126" s="6445" t="n"/>
      <c r="T126" s="344" t="n"/>
      <c r="U126" s="2371" t="inlineStr">
        <is>
          <t>$</t>
        </is>
      </c>
      <c r="V126" s="10240" t="n"/>
      <c r="W126" s="11717" t="n"/>
      <c r="X126" s="6409" t="n"/>
      <c r="Y126" s="6409" t="n"/>
      <c r="Z126" s="6409" t="n"/>
      <c r="AA126" s="6410" t="n"/>
      <c r="AB126" s="2339" t="n"/>
      <c r="AC126" s="2340" t="n"/>
      <c r="AD126" s="1803" t="n"/>
      <c r="AE126" s="1806" t="n"/>
      <c r="AF126" s="1806" t="n"/>
      <c r="AG126" s="1806" t="n"/>
      <c r="AH126" s="1806" t="n"/>
      <c r="AI126" s="1806" t="n"/>
      <c r="AJ126" s="1806" t="n"/>
      <c r="AK126" s="2013" t="n"/>
      <c r="AL126" s="11602" t="n"/>
      <c r="AM126" s="226" t="n"/>
      <c r="AN126" s="2362" t="n"/>
      <c r="AO126" s="6603" t="n"/>
      <c r="AP126" s="658" t="n"/>
      <c r="AQ126" s="658" t="n"/>
      <c r="AR126" s="658" t="n"/>
      <c r="AS126" s="658" t="n"/>
      <c r="AT126" s="658" t="n"/>
      <c r="AU126" s="658" t="n"/>
      <c r="AV126" s="658" t="n"/>
      <c r="AW126" s="658" t="n"/>
      <c r="AX126" s="658" t="n"/>
      <c r="AY126" s="658" t="n"/>
    </row>
    <row r="127" ht="9.75" customFormat="1" customHeight="1" s="815">
      <c r="A127" s="2013" t="n"/>
      <c r="B127" s="2353" t="n"/>
      <c r="C127" s="6411" t="n"/>
      <c r="D127" s="11343" t="n"/>
      <c r="E127" s="11343" t="n"/>
      <c r="F127" s="11343" t="n"/>
      <c r="G127" s="11343" t="n"/>
      <c r="H127" s="11343" t="n"/>
      <c r="I127" s="11343" t="n"/>
      <c r="J127" s="11343" t="n"/>
      <c r="K127" s="11343" t="n"/>
      <c r="L127" s="11343" t="n"/>
      <c r="M127" s="11343" t="n"/>
      <c r="N127" s="11343" t="n"/>
      <c r="O127" s="11343" t="n"/>
      <c r="P127" s="11343" t="n"/>
      <c r="Q127" s="11343" t="n"/>
      <c r="R127" s="11343" t="n"/>
      <c r="S127" s="11343" t="n"/>
      <c r="T127" s="344" t="n"/>
      <c r="U127" s="344" t="n"/>
      <c r="V127" s="11191" t="n"/>
      <c r="W127" s="6409" t="n"/>
      <c r="X127" s="6409" t="n"/>
      <c r="Y127" s="6409" t="n"/>
      <c r="Z127" s="6409" t="n"/>
      <c r="AA127" s="6410" t="n"/>
      <c r="AB127" s="2339" t="n"/>
      <c r="AC127" s="2340" t="n"/>
      <c r="AD127" s="1803" t="n"/>
      <c r="AE127" s="1806" t="n"/>
      <c r="AF127" s="1806" t="n"/>
      <c r="AG127" s="1806" t="n"/>
      <c r="AH127" s="1806" t="n"/>
      <c r="AI127" s="1806" t="n"/>
      <c r="AJ127" s="1806" t="n"/>
      <c r="AK127" s="2013" t="n"/>
      <c r="AL127" s="11602" t="n"/>
      <c r="AM127" s="226" t="n"/>
      <c r="AN127" s="2362" t="n"/>
      <c r="AO127" s="6603" t="n"/>
      <c r="AP127" s="658" t="n"/>
      <c r="AQ127" s="658" t="n"/>
      <c r="AR127" s="658" t="n"/>
      <c r="AS127" s="658" t="n"/>
      <c r="AT127" s="658" t="n"/>
      <c r="AU127" s="658" t="n"/>
      <c r="AV127" s="658" t="n"/>
      <c r="AW127" s="658" t="n"/>
      <c r="AX127" s="658" t="n"/>
      <c r="AY127" s="658" t="n"/>
    </row>
    <row r="128" ht="21.75" customFormat="1" customHeight="1" s="815">
      <c r="A128" s="2013" t="n"/>
      <c r="B128" s="6415" t="inlineStr">
        <is>
          <t xml:space="preserve">(iv) </t>
        </is>
      </c>
      <c r="C128" s="6413" t="n"/>
      <c r="D128" s="6414" t="n"/>
      <c r="E128" s="6414" t="n"/>
      <c r="F128" s="6414" t="n"/>
      <c r="G128" s="6445" t="n"/>
      <c r="H128" s="6445" t="n"/>
      <c r="I128" s="6445" t="n"/>
      <c r="J128" s="6445" t="n"/>
      <c r="K128" s="6445" t="n"/>
      <c r="L128" s="6446" t="n"/>
      <c r="M128" s="6447" t="n"/>
      <c r="N128" s="6445" t="n"/>
      <c r="O128" s="6445" t="n"/>
      <c r="P128" s="6445" t="n"/>
      <c r="Q128" s="6445" t="n"/>
      <c r="R128" s="6445" t="n"/>
      <c r="S128" s="6445" t="n"/>
      <c r="T128" s="344" t="n"/>
      <c r="U128" s="2371" t="inlineStr">
        <is>
          <t>$</t>
        </is>
      </c>
      <c r="V128" s="10240" t="n"/>
      <c r="W128" s="11717" t="n"/>
      <c r="X128" s="6409" t="n"/>
      <c r="Y128" s="6409" t="n"/>
      <c r="Z128" s="6409" t="n"/>
      <c r="AA128" s="6410" t="n"/>
      <c r="AB128" s="2339" t="n"/>
      <c r="AC128" s="2340" t="n"/>
      <c r="AD128" s="1803" t="n"/>
      <c r="AE128" s="1806" t="n"/>
      <c r="AF128" s="1806" t="n"/>
      <c r="AG128" s="1806" t="n"/>
      <c r="AH128" s="1806" t="n"/>
      <c r="AI128" s="1806" t="n"/>
      <c r="AJ128" s="1806" t="n"/>
      <c r="AK128" s="2013" t="n"/>
      <c r="AL128" s="11602" t="n"/>
      <c r="AM128" s="226" t="n"/>
      <c r="AN128" s="2362" t="n"/>
      <c r="AO128" s="6603" t="n"/>
      <c r="AP128" s="658" t="n"/>
      <c r="AQ128" s="658" t="n"/>
      <c r="AR128" s="658" t="n"/>
      <c r="AS128" s="658" t="n"/>
      <c r="AT128" s="658" t="n"/>
      <c r="AU128" s="658" t="n"/>
      <c r="AV128" s="658" t="n"/>
      <c r="AW128" s="658" t="n"/>
      <c r="AX128" s="658" t="n"/>
      <c r="AY128" s="658" t="n"/>
    </row>
    <row r="129" ht="9" customFormat="1" customHeight="1" s="815">
      <c r="A129" s="2013" t="n"/>
      <c r="B129" s="2353" t="n"/>
      <c r="C129" s="6411" t="n"/>
      <c r="D129" s="6411" t="n"/>
      <c r="E129" s="6411" t="n"/>
      <c r="F129" s="6411" t="n"/>
      <c r="G129" s="6411" t="n"/>
      <c r="H129" s="6411" t="n"/>
      <c r="I129" s="6411" t="n"/>
      <c r="J129" s="6411" t="n"/>
      <c r="K129" s="6411" t="n"/>
      <c r="L129" s="6411" t="n"/>
      <c r="M129" s="6411" t="n"/>
      <c r="N129" s="6411" t="n"/>
      <c r="O129" s="6411" t="n"/>
      <c r="P129" s="6411" t="n"/>
      <c r="Q129" s="6411" t="n"/>
      <c r="R129" s="6411" t="n"/>
      <c r="S129" s="6411" t="n"/>
      <c r="T129" s="6411" t="n"/>
      <c r="U129" s="6411" t="n"/>
      <c r="V129" s="6411" t="n"/>
      <c r="W129" s="6411" t="n"/>
      <c r="X129" s="6411" t="n"/>
      <c r="Y129" s="6409" t="n"/>
      <c r="Z129" s="6409" t="n"/>
      <c r="AA129" s="6410" t="n"/>
      <c r="AB129" s="2339" t="n"/>
      <c r="AC129" s="2340" t="n"/>
      <c r="AD129" s="1803" t="n"/>
      <c r="AE129" s="1806" t="n"/>
      <c r="AF129" s="1806" t="n"/>
      <c r="AG129" s="1806" t="n"/>
      <c r="AH129" s="1806" t="n"/>
      <c r="AI129" s="1806" t="n"/>
      <c r="AJ129" s="1806" t="n"/>
      <c r="AK129" s="2013" t="n"/>
      <c r="AL129" s="11602" t="n"/>
      <c r="AM129" s="226" t="n"/>
      <c r="AN129" s="2362" t="n"/>
      <c r="AO129" s="6603" t="n"/>
      <c r="AP129" s="658" t="n"/>
      <c r="AQ129" s="658" t="n"/>
      <c r="AR129" s="658" t="n"/>
      <c r="AS129" s="658" t="n"/>
      <c r="AT129" s="658" t="n"/>
      <c r="AU129" s="658" t="n"/>
      <c r="AV129" s="658" t="n"/>
      <c r="AW129" s="658" t="n"/>
      <c r="AX129" s="658" t="n"/>
      <c r="AY129" s="658" t="n"/>
    </row>
    <row r="130" ht="18" customFormat="1" customHeight="1" s="815" thickBot="1">
      <c r="A130" s="2013" t="n"/>
      <c r="B130" s="2353" t="inlineStr">
        <is>
          <t>b</t>
        </is>
      </c>
      <c r="C130" s="2299" t="inlineStr">
        <is>
          <t>Enter the cost of all other exterior windows and skylights. If none, enter -0-</t>
        </is>
      </c>
      <c r="D130" s="6411" t="n"/>
      <c r="E130" s="6411" t="n"/>
      <c r="F130" s="6411" t="n"/>
      <c r="G130" s="6411" t="n"/>
      <c r="H130" s="6411" t="n"/>
      <c r="I130" s="6411" t="n"/>
      <c r="J130" s="6411" t="n"/>
      <c r="K130" s="6411" t="n"/>
      <c r="L130" s="6411" t="n"/>
      <c r="M130" s="6411" t="n"/>
      <c r="N130" s="6411" t="n"/>
      <c r="O130" s="6411" t="n"/>
      <c r="P130" s="6411" t="n"/>
      <c r="Q130" s="6411" t="n"/>
      <c r="R130" s="6411" t="n"/>
      <c r="S130" s="6411" t="n"/>
      <c r="T130" s="6411" t="n"/>
      <c r="U130" s="6411" t="n"/>
      <c r="V130" s="6411" t="n"/>
      <c r="W130" s="6411" t="n"/>
      <c r="X130" s="6411" t="n"/>
      <c r="Y130" s="6409" t="n"/>
      <c r="Z130" s="6409" t="n"/>
      <c r="AA130" s="6410" t="n"/>
      <c r="AB130" s="2339" t="n"/>
      <c r="AC130" s="2340" t="n"/>
      <c r="AD130" s="1803" t="n"/>
      <c r="AE130" s="1806" t="n"/>
      <c r="AF130" s="1806" t="n"/>
      <c r="AG130" s="1806" t="n"/>
      <c r="AH130" s="1806" t="n"/>
      <c r="AI130" s="1806" t="n"/>
      <c r="AJ130" s="1806" t="n"/>
      <c r="AK130" s="2013" t="n"/>
      <c r="AL130" s="11602" t="n"/>
      <c r="AM130" s="226" t="n"/>
      <c r="AN130" s="2362" t="n"/>
      <c r="AO130" s="6603" t="n"/>
      <c r="AP130" s="658" t="n"/>
      <c r="AQ130" s="658" t="n"/>
      <c r="AR130" s="658" t="n"/>
      <c r="AS130" s="658" t="n"/>
      <c r="AT130" s="658" t="n"/>
      <c r="AU130" s="658" t="n"/>
      <c r="AV130" s="658" t="n"/>
      <c r="AW130" s="658" t="n"/>
      <c r="AX130" s="658" t="n"/>
      <c r="AY130" s="658" t="n"/>
    </row>
    <row r="131" ht="18.75" customFormat="1" customHeight="1" s="815" thickBot="1">
      <c r="A131" s="2013" t="n"/>
      <c r="B131" s="2353" t="n"/>
      <c r="C131" s="2299" t="inlineStr">
        <is>
          <t>(See instructions.)</t>
        </is>
      </c>
      <c r="D131" s="8650" t="n"/>
      <c r="E131" s="344" t="n"/>
      <c r="F131" s="344" t="n"/>
      <c r="G131" s="344" t="n"/>
      <c r="H131" s="344" t="n"/>
      <c r="I131" s="344" t="n"/>
      <c r="J131" s="344" t="n"/>
      <c r="K131" s="1061" t="n"/>
      <c r="L131" s="2300" t="n"/>
      <c r="M131" s="2301" t="n"/>
      <c r="N131" s="1061" t="n"/>
      <c r="O131" s="1061" t="n"/>
      <c r="P131" s="1061" t="n"/>
      <c r="Q131" s="1061" t="n"/>
      <c r="R131" s="1061" t="n"/>
      <c r="S131" s="344" t="n"/>
      <c r="T131" s="344" t="n"/>
      <c r="U131" s="1401" t="inlineStr">
        <is>
          <t xml:space="preserve"> .   .   .   .   .   .   .   .   .   .   .   .   .   .   .   .   .   .   .   .   .   .   .   .  </t>
        </is>
      </c>
      <c r="V131" s="2350" t="inlineStr">
        <is>
          <t>20b</t>
        </is>
      </c>
      <c r="W131" s="10222">
        <f>IF(AM131&lt;&gt;"",ROUND(AM131,0),IF($AO$120,"",0))</f>
        <v/>
      </c>
      <c r="X131" s="7637" t="n"/>
      <c r="Y131" s="7637" t="n"/>
      <c r="Z131" s="7637" t="n"/>
      <c r="AA131" s="7638" t="n"/>
      <c r="AB131" s="2339" t="n"/>
      <c r="AC131" s="2340" t="n"/>
      <c r="AD131" s="1803" t="n"/>
      <c r="AE131" s="1806" t="n"/>
      <c r="AF131" s="1806" t="n"/>
      <c r="AG131" s="1806" t="n"/>
      <c r="AH131" s="1806" t="n"/>
      <c r="AI131" s="1806" t="n"/>
      <c r="AJ131" s="1806" t="n"/>
      <c r="AK131" s="2013" t="n"/>
      <c r="AL131" s="11602" t="n"/>
      <c r="AM131" s="2361" t="n"/>
      <c r="AN131" s="2362" t="n"/>
      <c r="AO131" s="6603">
        <f>W131=""</f>
        <v/>
      </c>
      <c r="AP131" s="658" t="n"/>
      <c r="AQ131" s="658" t="n"/>
      <c r="AR131" s="658" t="n"/>
      <c r="AS131" s="658" t="n"/>
      <c r="AT131" s="658" t="n"/>
      <c r="AU131" s="658" t="n"/>
      <c r="AV131" s="658" t="n"/>
      <c r="AW131" s="658" t="n"/>
      <c r="AX131" s="658" t="n"/>
      <c r="AY131" s="658" t="n"/>
    </row>
    <row r="132" ht="18" customFormat="1" customHeight="1" s="815" thickBot="1">
      <c r="A132" s="2013" t="n"/>
      <c r="B132" s="2353" t="inlineStr">
        <is>
          <t>c</t>
        </is>
      </c>
      <c r="C132" s="2299" t="inlineStr">
        <is>
          <t>Add lines 20a and 20b</t>
        </is>
      </c>
      <c r="D132" s="8650" t="n"/>
      <c r="E132" s="344" t="n"/>
      <c r="F132" s="344" t="n"/>
      <c r="G132" s="344" t="n"/>
      <c r="H132" s="344" t="n"/>
      <c r="I132" s="344" t="n"/>
      <c r="J132" s="344" t="n"/>
      <c r="K132" s="1061" t="n"/>
      <c r="L132" s="2300" t="n"/>
      <c r="M132" s="2301" t="n"/>
      <c r="N132" s="1061" t="n"/>
      <c r="O132" s="1061" t="n"/>
      <c r="P132" s="1061" t="n"/>
      <c r="Q132" s="1061" t="n"/>
      <c r="R132" s="1061" t="n"/>
      <c r="S132" s="344" t="n"/>
      <c r="T132" s="344" t="n"/>
      <c r="U132" s="1401" t="inlineStr">
        <is>
          <t xml:space="preserve"> .   .   .   .   .   .   .   .   .   .   .   .   .   .   .   .   .   .   .   .   .   .   .   .  </t>
        </is>
      </c>
      <c r="V132" s="2350" t="inlineStr">
        <is>
          <t>20c</t>
        </is>
      </c>
      <c r="W132" s="10222">
        <f>IF(AND($AO$120,$AO$131),"",SUM(W120,W131))</f>
        <v/>
      </c>
      <c r="X132" s="7637" t="n"/>
      <c r="Y132" s="7637" t="n"/>
      <c r="Z132" s="7637" t="n"/>
      <c r="AA132" s="7638" t="n"/>
      <c r="AB132" s="2339" t="n"/>
      <c r="AC132" s="2340" t="n"/>
      <c r="AD132" s="10268" t="n">
        <v>600</v>
      </c>
      <c r="AE132" s="194" t="n"/>
      <c r="AF132" s="194" t="n"/>
      <c r="AG132" s="194" t="n"/>
      <c r="AH132" s="194" t="n"/>
      <c r="AI132" s="194" t="n"/>
      <c r="AJ132" s="194" t="n"/>
      <c r="AK132" s="2013" t="n"/>
      <c r="AL132" s="11602" t="n"/>
      <c r="AM132" s="226" t="n"/>
      <c r="AN132" s="2362" t="n"/>
      <c r="AO132" s="6603" t="n"/>
      <c r="AP132" s="658" t="n"/>
      <c r="AQ132" s="658" t="n"/>
      <c r="AR132" s="658" t="n"/>
      <c r="AS132" s="658" t="n"/>
      <c r="AT132" s="658" t="n"/>
      <c r="AU132" s="658" t="n"/>
      <c r="AV132" s="658" t="n"/>
      <c r="AW132" s="658" t="n"/>
      <c r="AX132" s="658" t="n"/>
      <c r="AY132" s="658" t="n"/>
    </row>
    <row r="133" ht="18.75" customFormat="1" customHeight="1" s="815" thickBot="1">
      <c r="A133" s="2013" t="n"/>
      <c r="B133" s="6417" t="inlineStr">
        <is>
          <t>d</t>
        </is>
      </c>
      <c r="C133" s="4920">
        <f>"Multiply line 20c by "&amp;TEXT($AD$100,"0%")&amp;" ("&amp;TEXT($AD$100,"0.00")&amp;").  Enter results."</f>
        <v/>
      </c>
      <c r="D133" s="6418" t="n"/>
      <c r="E133" s="498" t="n"/>
      <c r="F133" s="498" t="n"/>
      <c r="G133" s="498" t="n"/>
      <c r="H133" s="498" t="n"/>
      <c r="I133" s="498" t="n"/>
      <c r="J133" s="498" t="n"/>
      <c r="K133" s="498" t="n"/>
      <c r="L133" s="498" t="n"/>
      <c r="M133" s="498" t="n"/>
      <c r="N133" s="5003" t="n"/>
      <c r="O133" s="498" t="n"/>
      <c r="P133" s="498" t="n"/>
      <c r="Q133" s="498" t="n"/>
      <c r="R133" s="498" t="n"/>
      <c r="S133" s="6431" t="inlineStr">
        <is>
          <t xml:space="preserve">Do  not  enter  more  than </t>
        </is>
      </c>
      <c r="T133" s="5003">
        <f>TEXT($AD$132,"$0")</f>
        <v/>
      </c>
      <c r="U133" s="498" t="n"/>
      <c r="V133" s="498" t="n"/>
      <c r="W133" s="498" t="n"/>
      <c r="X133" s="498" t="n"/>
      <c r="Y133" s="498" t="n"/>
      <c r="Z133" s="498" t="n"/>
      <c r="AA133" s="10735" t="inlineStr">
        <is>
          <t xml:space="preserve">.   .   .   .   .   .   .   .   .   .   .   .  </t>
        </is>
      </c>
      <c r="AB133" s="12562" t="inlineStr">
        <is>
          <t>20d</t>
        </is>
      </c>
      <c r="AC133" s="12121" t="n"/>
      <c r="AD133" s="10269">
        <f>IF(AM133&lt;&gt;"",ROUND(AM133,0),IF(W132="","",MIN(AD132,ROUND(W132*AD100,0))))</f>
        <v/>
      </c>
      <c r="AE133" s="8848" t="n"/>
      <c r="AF133" s="8848" t="n"/>
      <c r="AG133" s="8848" t="n"/>
      <c r="AH133" s="8848" t="n"/>
      <c r="AI133" s="8848" t="n"/>
      <c r="AJ133" s="8848" t="n"/>
      <c r="AK133" s="2013" t="n"/>
      <c r="AL133" s="11602" t="n"/>
      <c r="AM133" s="2361" t="n"/>
      <c r="AN133" s="2362" t="n"/>
      <c r="AO133" s="6603">
        <f>AD133=""</f>
        <v/>
      </c>
      <c r="AP133" s="658" t="n"/>
      <c r="AQ133" s="658" t="n"/>
      <c r="AR133" s="658" t="n"/>
      <c r="AS133" s="658" t="n"/>
      <c r="AT133" s="658" t="n"/>
      <c r="AU133" s="658" t="n"/>
      <c r="AV133" s="658" t="n"/>
      <c r="AW133" s="658" t="n"/>
      <c r="AX133" s="658" t="n"/>
      <c r="AY133" s="658" t="n"/>
    </row>
    <row r="134" ht="18" customFormat="1" customHeight="1" s="815">
      <c r="A134" s="2013" t="n"/>
      <c r="B134" s="2343" t="n"/>
      <c r="C134" s="2344" t="n"/>
      <c r="D134" s="2344" t="n"/>
      <c r="E134" s="2344" t="n"/>
      <c r="F134" s="2344" t="n"/>
      <c r="G134" s="2344" t="n"/>
      <c r="H134" s="2344" t="n"/>
      <c r="I134" s="2344" t="n"/>
      <c r="J134" s="2344" t="n"/>
      <c r="K134" s="2344" t="n"/>
      <c r="L134" s="2344" t="n"/>
      <c r="M134" s="2344" t="n"/>
      <c r="N134" s="2344" t="n"/>
      <c r="O134" s="2344" t="n"/>
      <c r="P134" s="2344" t="n"/>
      <c r="Q134" s="2344" t="n"/>
      <c r="R134" s="2344" t="n"/>
      <c r="S134" s="2344" t="n"/>
      <c r="T134" s="2344" t="n"/>
      <c r="U134" s="2344" t="n"/>
      <c r="V134" s="2344" t="n"/>
      <c r="W134" s="1916" t="n"/>
      <c r="X134" s="2344" t="n"/>
      <c r="Y134" s="2344" t="n"/>
      <c r="Z134" s="2344" t="n"/>
      <c r="AA134" s="2344" t="n"/>
      <c r="AB134" s="2344" t="n"/>
      <c r="AC134" s="2344" t="n"/>
      <c r="AD134" s="2344" t="n"/>
      <c r="AE134" s="2344" t="n"/>
      <c r="AF134" s="2344" t="n"/>
      <c r="AG134" s="2345" t="inlineStr">
        <is>
          <t>Form  5695</t>
        </is>
      </c>
      <c r="AH134" s="2345" t="n"/>
      <c r="AI134" s="2346">
        <f>"("&amp;TaxYear&amp;")"</f>
        <v/>
      </c>
      <c r="AJ134" s="2346" t="n"/>
      <c r="AK134" s="2013" t="n"/>
      <c r="AL134" s="11602" t="n"/>
      <c r="AM134" s="11602" t="n"/>
      <c r="AN134" s="2362" t="n"/>
      <c r="AO134" s="6603">
        <f>AM133&gt;AD132</f>
        <v/>
      </c>
      <c r="AP134" s="658" t="n"/>
      <c r="AQ134" s="658" t="n"/>
      <c r="AR134" s="658" t="n"/>
      <c r="AS134" s="658" t="n"/>
      <c r="AT134" s="658" t="n"/>
      <c r="AU134" s="658" t="n"/>
      <c r="AV134" s="658" t="n"/>
      <c r="AW134" s="658" t="n"/>
      <c r="AX134" s="658" t="n"/>
      <c r="AY134" s="658" t="n"/>
    </row>
    <row r="135" ht="18.75" customFormat="1" customHeight="1" s="815" thickBot="1">
      <c r="A135" s="2013" t="n"/>
      <c r="B135" s="2352">
        <f>"Form 5695 ("&amp;TaxYear&amp;")"</f>
        <v/>
      </c>
      <c r="C135" s="498" t="n"/>
      <c r="D135" s="2307" t="n"/>
      <c r="E135" s="498" t="n"/>
      <c r="F135" s="498" t="n"/>
      <c r="G135" s="498" t="n"/>
      <c r="H135" s="498" t="n"/>
      <c r="I135" s="498" t="n"/>
      <c r="J135" s="498" t="n"/>
      <c r="K135" s="498" t="n"/>
      <c r="L135" s="498" t="n"/>
      <c r="M135" s="498" t="n"/>
      <c r="N135" s="2308" t="n"/>
      <c r="O135" s="498" t="n"/>
      <c r="P135" s="498" t="n"/>
      <c r="Q135" s="498" t="n"/>
      <c r="R135" s="498" t="n"/>
      <c r="S135" s="498" t="n"/>
      <c r="T135" s="2308" t="n"/>
      <c r="U135" s="2307" t="n"/>
      <c r="V135" s="498" t="n"/>
      <c r="W135" s="498" t="n"/>
      <c r="X135" s="498" t="n"/>
      <c r="Y135" s="498" t="n"/>
      <c r="Z135" s="498" t="n"/>
      <c r="AA135" s="498" t="n"/>
      <c r="AB135" s="2308" t="n"/>
      <c r="AC135" s="498" t="n"/>
      <c r="AD135" s="498" t="n"/>
      <c r="AE135" s="498" t="n"/>
      <c r="AF135" s="498" t="n"/>
      <c r="AG135" s="498" t="n"/>
      <c r="AH135" s="498" t="n"/>
      <c r="AI135" s="498" t="n"/>
      <c r="AJ135" s="2309" t="inlineStr">
        <is>
          <t>Page 3</t>
        </is>
      </c>
      <c r="AK135" s="2013" t="n"/>
      <c r="AL135" s="11602" t="n"/>
      <c r="AM135" s="11602" t="n"/>
      <c r="AN135" s="2362" t="n"/>
      <c r="AO135" s="6603" t="n"/>
      <c r="AP135" s="658" t="n"/>
      <c r="AQ135" s="658" t="n"/>
      <c r="AR135" s="658" t="n"/>
      <c r="AS135" s="658" t="n"/>
      <c r="AT135" s="658" t="n"/>
      <c r="AU135" s="658" t="n"/>
      <c r="AV135" s="658" t="n"/>
      <c r="AW135" s="658" t="n"/>
      <c r="AX135" s="658" t="n"/>
      <c r="AY135" s="658" t="n"/>
    </row>
    <row r="136" ht="22.5" customFormat="1" customHeight="1" s="815">
      <c r="A136" s="2013" t="n"/>
      <c r="B136" s="6419" t="inlineStr">
        <is>
          <t>Section B -- Residential Energy Property Expenditures</t>
        </is>
      </c>
      <c r="C136" s="6420" t="n"/>
      <c r="D136" s="6421" t="n"/>
      <c r="E136" s="6422" t="n"/>
      <c r="F136" s="6422" t="n"/>
      <c r="G136" s="6422" t="n"/>
      <c r="H136" s="6422" t="n"/>
      <c r="I136" s="6422" t="n"/>
      <c r="J136" s="6422" t="n"/>
      <c r="K136" s="6423" t="n"/>
      <c r="L136" s="6424" t="n"/>
      <c r="M136" s="6425" t="n"/>
      <c r="N136" s="6423" t="n"/>
      <c r="O136" s="6423" t="n"/>
      <c r="P136" s="6423" t="n"/>
      <c r="Q136" s="6423" t="n"/>
      <c r="R136" s="6423" t="n"/>
      <c r="S136" s="6422" t="n"/>
      <c r="T136" s="6422" t="n"/>
      <c r="U136" s="6422" t="n"/>
      <c r="V136" s="6423" t="n"/>
      <c r="W136" s="6426" t="n"/>
      <c r="X136" s="6427" t="n"/>
      <c r="Y136" s="6422" t="n"/>
      <c r="Z136" s="6422" t="n"/>
      <c r="AA136" s="6422" t="n"/>
      <c r="AB136" s="6422" t="n"/>
      <c r="AC136" s="6422" t="n"/>
      <c r="AD136" s="6422" t="n"/>
      <c r="AE136" s="6422" t="n"/>
      <c r="AF136" s="6422" t="n"/>
      <c r="AG136" s="6422" t="n"/>
      <c r="AH136" s="6422" t="n"/>
      <c r="AI136" s="6422" t="n"/>
      <c r="AJ136" s="6422" t="n"/>
      <c r="AK136" s="2013" t="n"/>
      <c r="AL136" s="11602" t="n"/>
      <c r="AM136" s="226" t="n"/>
      <c r="AN136" s="2362" t="n"/>
      <c r="AO136" s="6603">
        <f>AND(AO86,NOT(AND(AO91,AO100,AO101,AO103,AO114,AO117,AO131,AO133)))</f>
        <v/>
      </c>
      <c r="AP136" s="658" t="n"/>
      <c r="AQ136" s="658" t="n"/>
      <c r="AR136" s="658" t="n"/>
      <c r="AS136" s="658" t="n"/>
      <c r="AT136" s="658" t="n"/>
      <c r="AU136" s="658" t="n"/>
      <c r="AV136" s="658" t="n"/>
      <c r="AW136" s="658" t="n"/>
      <c r="AX136" s="658" t="n"/>
      <c r="AY136" s="658" t="n"/>
    </row>
    <row r="137" ht="18" customFormat="1" customHeight="1" s="815">
      <c r="A137" s="2013" t="n"/>
      <c r="B137" s="8296" t="inlineStr">
        <is>
          <t>21a</t>
        </is>
      </c>
      <c r="C137" s="7865" t="inlineStr">
        <is>
          <t>Did you incur costs for qualified energy property installed on or in connection with a home located in</t>
        </is>
      </c>
      <c r="D137" s="7865" t="n"/>
      <c r="E137" s="344" t="n"/>
      <c r="F137" s="344" t="n"/>
      <c r="G137" s="344" t="n"/>
      <c r="H137" s="344" t="n"/>
      <c r="I137" s="344" t="n"/>
      <c r="J137" s="344" t="n"/>
      <c r="K137" s="344" t="n"/>
      <c r="L137" s="344" t="n"/>
      <c r="M137" s="344" t="n"/>
      <c r="N137" s="344" t="n"/>
      <c r="O137" s="344" t="n"/>
      <c r="P137" s="344" t="n"/>
      <c r="Q137" s="344" t="n"/>
      <c r="R137" s="344" t="n"/>
      <c r="S137" s="344" t="n"/>
      <c r="T137" s="344" t="n"/>
      <c r="U137" s="344" t="n"/>
      <c r="V137" s="344" t="n"/>
      <c r="W137" s="344" t="n"/>
      <c r="X137" s="344" t="n"/>
      <c r="Y137" s="344" t="n"/>
      <c r="Z137" s="344" t="n"/>
      <c r="AA137" s="1401" t="n"/>
      <c r="AB137" s="12555" t="n"/>
      <c r="AC137" s="7636" t="n"/>
      <c r="AD137" s="2332" t="n"/>
      <c r="AE137" s="1664" t="n"/>
      <c r="AF137" s="1664" t="n"/>
      <c r="AG137" s="1664" t="n"/>
      <c r="AH137" s="1664" t="n"/>
      <c r="AI137" s="1664" t="n"/>
      <c r="AJ137" s="1664" t="n"/>
      <c r="AK137" s="2013" t="n"/>
      <c r="AL137" s="11602" t="n"/>
      <c r="AM137" s="11602" t="n"/>
      <c r="AN137" s="2362" t="n"/>
      <c r="AO137" s="6603" t="n"/>
      <c r="AP137" s="658" t="n"/>
      <c r="AQ137" s="658" t="n"/>
      <c r="AR137" s="658" t="n"/>
      <c r="AS137" s="658" t="n"/>
      <c r="AT137" s="658" t="n"/>
      <c r="AU137" s="658" t="n"/>
      <c r="AV137" s="658" t="n"/>
      <c r="AW137" s="658" t="n"/>
      <c r="AX137" s="658" t="n"/>
      <c r="AY137" s="658" t="n"/>
    </row>
    <row r="138" ht="21" customFormat="1" customHeight="1" s="815">
      <c r="A138" s="2013" t="n"/>
      <c r="B138" s="11191" t="n"/>
      <c r="C138" s="9847" t="inlineStr">
        <is>
          <t>the United States that you use as a residence?</t>
        </is>
      </c>
      <c r="D138" s="9847" t="n"/>
      <c r="E138" s="344" t="n"/>
      <c r="F138" s="344" t="n"/>
      <c r="G138" s="344" t="n"/>
      <c r="H138" s="344" t="n"/>
      <c r="I138" s="344" t="n"/>
      <c r="J138" s="344" t="n"/>
      <c r="K138" s="344" t="n"/>
      <c r="L138" s="344" t="n"/>
      <c r="M138" s="344" t="n"/>
      <c r="N138" s="344" t="n"/>
      <c r="O138" s="344" t="n"/>
      <c r="P138" s="344" t="n"/>
      <c r="Q138" s="344" t="n"/>
      <c r="R138" s="344" t="n"/>
      <c r="S138" s="344" t="n"/>
      <c r="T138" s="344" t="n"/>
      <c r="U138" s="344" t="n"/>
      <c r="V138" s="344" t="n"/>
      <c r="W138" s="344" t="n"/>
      <c r="X138" s="344" t="n"/>
      <c r="Y138" s="344" t="n"/>
      <c r="Z138" s="344" t="n"/>
      <c r="AA138" s="1401" t="inlineStr">
        <is>
          <t xml:space="preserve">.   .   .   .   .   .   .   .   .   .   .   .  </t>
        </is>
      </c>
      <c r="AB138" s="12555" t="inlineStr">
        <is>
          <t>21a</t>
        </is>
      </c>
      <c r="AC138" s="7636" t="n"/>
      <c r="AD138" s="2332" t="n"/>
      <c r="AE138" s="2335" t="n"/>
      <c r="AF138" s="1664" t="inlineStr">
        <is>
          <t>Yes</t>
        </is>
      </c>
      <c r="AG138" s="1664" t="n"/>
      <c r="AH138" s="2336">
        <f>IF(AND(AE138="",AK138=""),"X","")</f>
        <v/>
      </c>
      <c r="AI138" s="1664" t="inlineStr">
        <is>
          <t>No</t>
        </is>
      </c>
      <c r="AJ138" s="1664" t="n"/>
      <c r="AK138" s="2337" t="inlineStr">
        <is>
          <t>X</t>
        </is>
      </c>
      <c r="AL138" s="2338" t="inlineStr">
        <is>
          <t>Uncheck 'No' box.</t>
        </is>
      </c>
      <c r="AM138" s="11602" t="n"/>
      <c r="AN138" s="2362" t="n"/>
      <c r="AO138" s="6603">
        <f>AE138&lt;&gt;""</f>
        <v/>
      </c>
      <c r="AP138" s="658" t="n"/>
      <c r="AQ138" s="658" t="n"/>
      <c r="AR138" s="658" t="n"/>
      <c r="AS138" s="658" t="n"/>
      <c r="AT138" s="658" t="n"/>
      <c r="AU138" s="658" t="n"/>
      <c r="AV138" s="658" t="n"/>
      <c r="AW138" s="658" t="n"/>
      <c r="AX138" s="658" t="n"/>
      <c r="AY138" s="658" t="n"/>
    </row>
    <row r="139" ht="5.25" customFormat="1" customHeight="1" s="815">
      <c r="A139" s="2013" t="n"/>
      <c r="B139" s="11191" t="n"/>
      <c r="C139" s="7865" t="n"/>
      <c r="D139" s="344" t="n"/>
      <c r="E139" s="344" t="n"/>
      <c r="F139" s="344" t="n"/>
      <c r="G139" s="344" t="n"/>
      <c r="H139" s="344" t="n"/>
      <c r="I139" s="344" t="n"/>
      <c r="J139" s="344" t="n"/>
      <c r="K139" s="344" t="n"/>
      <c r="L139" s="344" t="n"/>
      <c r="M139" s="344" t="n"/>
      <c r="N139" s="344" t="n"/>
      <c r="O139" s="344" t="n"/>
      <c r="P139" s="344" t="n"/>
      <c r="Q139" s="344" t="n"/>
      <c r="R139" s="344" t="n"/>
      <c r="S139" s="344" t="n"/>
      <c r="T139" s="344" t="n"/>
      <c r="U139" s="344" t="n"/>
      <c r="V139" s="344" t="n"/>
      <c r="W139" s="344" t="n"/>
      <c r="X139" s="344" t="n"/>
      <c r="Y139" s="344" t="n"/>
      <c r="Z139" s="344" t="n"/>
      <c r="AA139" s="1401" t="n"/>
      <c r="AB139" s="12557" t="n"/>
      <c r="AC139" s="7638" t="n"/>
      <c r="AD139" s="2330" t="n"/>
      <c r="AE139" s="2331" t="n"/>
      <c r="AF139" s="2331" t="n"/>
      <c r="AG139" s="2331" t="n"/>
      <c r="AH139" s="2331" t="n"/>
      <c r="AI139" s="2331" t="n"/>
      <c r="AJ139" s="2331" t="n"/>
      <c r="AK139" s="2013" t="n"/>
      <c r="AL139" s="11602" t="n"/>
      <c r="AM139" s="11602" t="n"/>
      <c r="AN139" s="2362" t="n"/>
      <c r="AO139" s="6603" t="n"/>
      <c r="AP139" s="658" t="n"/>
      <c r="AQ139" s="658" t="n"/>
      <c r="AR139" s="658" t="n"/>
      <c r="AS139" s="658" t="n"/>
      <c r="AT139" s="658" t="n"/>
      <c r="AU139" s="658" t="n"/>
      <c r="AV139" s="658" t="n"/>
      <c r="AW139" s="658" t="n"/>
      <c r="AX139" s="658" t="n"/>
      <c r="AY139" s="658" t="n"/>
    </row>
    <row r="140" ht="5.25" customFormat="1" customHeight="1" s="815">
      <c r="A140" s="2013" t="n"/>
      <c r="B140" s="11191" t="n"/>
      <c r="C140" s="7865" t="n"/>
      <c r="D140" s="344" t="n"/>
      <c r="E140" s="344" t="n"/>
      <c r="F140" s="344" t="n"/>
      <c r="G140" s="344" t="n"/>
      <c r="H140" s="344" t="n"/>
      <c r="I140" s="344" t="n"/>
      <c r="J140" s="344" t="n"/>
      <c r="K140" s="344" t="n"/>
      <c r="L140" s="344" t="n"/>
      <c r="M140" s="344" t="n"/>
      <c r="N140" s="344" t="n"/>
      <c r="O140" s="344" t="n"/>
      <c r="P140" s="344" t="n"/>
      <c r="Q140" s="344" t="n"/>
      <c r="R140" s="344" t="n"/>
      <c r="S140" s="344" t="n"/>
      <c r="T140" s="344" t="n"/>
      <c r="U140" s="344" t="n"/>
      <c r="V140" s="344" t="n"/>
      <c r="W140" s="344" t="n"/>
      <c r="X140" s="344" t="n"/>
      <c r="Y140" s="344" t="n"/>
      <c r="Z140" s="344" t="n"/>
      <c r="AA140" s="1401" t="n"/>
      <c r="AB140" s="12555" t="n"/>
      <c r="AC140" s="7636" t="n"/>
      <c r="AD140" s="2333" t="n"/>
      <c r="AE140" s="2334" t="n"/>
      <c r="AF140" s="2334" t="n"/>
      <c r="AG140" s="2334" t="n"/>
      <c r="AH140" s="2334" t="n"/>
      <c r="AI140" s="2334" t="n"/>
      <c r="AJ140" s="2334" t="n"/>
      <c r="AK140" s="2013" t="n"/>
      <c r="AL140" s="11602" t="n"/>
      <c r="AM140" s="11602" t="n"/>
      <c r="AN140" s="2362" t="n"/>
      <c r="AO140" s="6603" t="n"/>
      <c r="AP140" s="658" t="n"/>
      <c r="AQ140" s="658" t="n"/>
      <c r="AR140" s="658" t="n"/>
      <c r="AS140" s="658" t="n"/>
      <c r="AT140" s="658" t="n"/>
      <c r="AU140" s="658" t="n"/>
      <c r="AV140" s="658" t="n"/>
      <c r="AW140" s="658" t="n"/>
      <c r="AX140" s="658" t="n"/>
      <c r="AY140" s="658" t="n"/>
    </row>
    <row r="141" ht="21" customFormat="1" customHeight="1" s="815">
      <c r="A141" s="2013" t="n"/>
      <c r="B141" s="2353" t="inlineStr">
        <is>
          <t>b</t>
        </is>
      </c>
      <c r="C141" s="9847" t="inlineStr">
        <is>
          <t>Was the qualified energy property originally placed into service by you?</t>
        </is>
      </c>
      <c r="D141" s="9847" t="n"/>
      <c r="E141" s="344" t="n"/>
      <c r="F141" s="344" t="n"/>
      <c r="G141" s="344" t="n"/>
      <c r="H141" s="344" t="n"/>
      <c r="I141" s="344" t="n"/>
      <c r="J141" s="344" t="n"/>
      <c r="K141" s="344" t="n"/>
      <c r="L141" s="344" t="n"/>
      <c r="M141" s="344" t="n"/>
      <c r="N141" s="344" t="n"/>
      <c r="O141" s="344" t="n"/>
      <c r="P141" s="344" t="n"/>
      <c r="Q141" s="344" t="n"/>
      <c r="R141" s="344" t="n"/>
      <c r="S141" s="344" t="n"/>
      <c r="T141" s="344" t="n"/>
      <c r="U141" s="344" t="n"/>
      <c r="V141" s="344" t="n"/>
      <c r="W141" s="344" t="n"/>
      <c r="X141" s="344" t="n"/>
      <c r="Y141" s="344" t="n"/>
      <c r="Z141" s="344" t="n"/>
      <c r="AA141" s="1401" t="inlineStr">
        <is>
          <t xml:space="preserve">.   .   .   .   .   .   .   .   .   .   .   .  </t>
        </is>
      </c>
      <c r="AB141" s="12555" t="inlineStr">
        <is>
          <t>21b</t>
        </is>
      </c>
      <c r="AC141" s="7636" t="n"/>
      <c r="AD141" s="2332" t="n"/>
      <c r="AE141" s="2335" t="n"/>
      <c r="AF141" s="1664" t="inlineStr">
        <is>
          <t>Yes</t>
        </is>
      </c>
      <c r="AG141" s="1664" t="n"/>
      <c r="AH141" s="2336">
        <f>IF(AND(AE141="",AK141=""),"X","")</f>
        <v/>
      </c>
      <c r="AI141" s="1664" t="inlineStr">
        <is>
          <t>No</t>
        </is>
      </c>
      <c r="AJ141" s="1664" t="n"/>
      <c r="AK141" s="2337" t="inlineStr">
        <is>
          <t>X</t>
        </is>
      </c>
      <c r="AL141" s="2338" t="inlineStr">
        <is>
          <t>Uncheck 'No' box.</t>
        </is>
      </c>
      <c r="AM141" s="11602" t="n"/>
      <c r="AN141" s="2362" t="n"/>
      <c r="AO141" s="6603">
        <f>AE141&lt;&gt;""</f>
        <v/>
      </c>
      <c r="AP141" s="658" t="n"/>
      <c r="AQ141" s="658" t="n"/>
      <c r="AR141" s="658" t="n"/>
      <c r="AS141" s="658" t="n"/>
      <c r="AT141" s="658" t="n"/>
      <c r="AU141" s="658" t="n"/>
      <c r="AV141" s="658" t="n"/>
      <c r="AW141" s="658" t="n"/>
      <c r="AX141" s="658" t="n"/>
      <c r="AY141" s="658" t="n"/>
    </row>
    <row r="142" ht="5.25" customFormat="1" customHeight="1" s="815">
      <c r="A142" s="2013" t="n"/>
      <c r="B142" s="11191" t="n"/>
      <c r="C142" s="7865" t="n"/>
      <c r="D142" s="344" t="n"/>
      <c r="E142" s="344" t="n"/>
      <c r="F142" s="344" t="n"/>
      <c r="G142" s="344" t="n"/>
      <c r="H142" s="344" t="n"/>
      <c r="I142" s="344" t="n"/>
      <c r="J142" s="344" t="n"/>
      <c r="K142" s="344" t="n"/>
      <c r="L142" s="344" t="n"/>
      <c r="M142" s="344" t="n"/>
      <c r="N142" s="344" t="n"/>
      <c r="O142" s="344" t="n"/>
      <c r="P142" s="344" t="n"/>
      <c r="Q142" s="344" t="n"/>
      <c r="R142" s="344" t="n"/>
      <c r="S142" s="344" t="n"/>
      <c r="T142" s="344" t="n"/>
      <c r="U142" s="344" t="n"/>
      <c r="V142" s="344" t="n"/>
      <c r="W142" s="344" t="n"/>
      <c r="X142" s="344" t="n"/>
      <c r="Y142" s="344" t="n"/>
      <c r="Z142" s="344" t="n"/>
      <c r="AA142" s="1401" t="n"/>
      <c r="AB142" s="12555" t="n"/>
      <c r="AC142" s="7636" t="n"/>
      <c r="AD142" s="2330" t="n"/>
      <c r="AE142" s="2331" t="n"/>
      <c r="AF142" s="2331" t="n"/>
      <c r="AG142" s="2331" t="n"/>
      <c r="AH142" s="2331" t="n"/>
      <c r="AI142" s="2331" t="n"/>
      <c r="AJ142" s="2331" t="n"/>
      <c r="AK142" s="2013" t="n"/>
      <c r="AL142" s="11602" t="n"/>
      <c r="AM142" s="11602" t="n"/>
      <c r="AN142" s="2362" t="n"/>
      <c r="AO142" s="6603" t="n"/>
      <c r="AP142" s="658" t="n"/>
      <c r="AQ142" s="658" t="n"/>
      <c r="AR142" s="658" t="n"/>
      <c r="AS142" s="658" t="n"/>
      <c r="AT142" s="658" t="n"/>
      <c r="AU142" s="658" t="n"/>
      <c r="AV142" s="658" t="n"/>
      <c r="AW142" s="658" t="n"/>
      <c r="AX142" s="658" t="n"/>
      <c r="AY142" s="658" t="n"/>
    </row>
    <row r="143" ht="15.75" customFormat="1" customHeight="1" s="815">
      <c r="A143" s="2013" t="n"/>
      <c r="B143" s="8296" t="n"/>
      <c r="C143" s="5998" t="inlineStr">
        <is>
          <t>If you checked the “No” box for line 21a or 21b, you cannot claim the credit for your residential</t>
        </is>
      </c>
      <c r="D143" s="7865" t="n"/>
      <c r="E143" s="344" t="n"/>
      <c r="F143" s="344" t="n"/>
      <c r="G143" s="344" t="n"/>
      <c r="H143" s="344" t="n"/>
      <c r="I143" s="344" t="n"/>
      <c r="J143" s="344" t="n"/>
      <c r="K143" s="344" t="n"/>
      <c r="L143" s="344" t="n"/>
      <c r="M143" s="344" t="n"/>
      <c r="N143" s="344" t="n"/>
      <c r="O143" s="344" t="n"/>
      <c r="P143" s="344" t="n"/>
      <c r="Q143" s="344" t="n"/>
      <c r="R143" s="344" t="n"/>
      <c r="S143" s="344" t="n"/>
      <c r="T143" s="344" t="n"/>
      <c r="U143" s="344" t="n"/>
      <c r="V143" s="344" t="n"/>
      <c r="W143" s="344" t="n"/>
      <c r="X143" s="344" t="n"/>
      <c r="Y143" s="344" t="n"/>
      <c r="Z143" s="344" t="n"/>
      <c r="AA143" s="1401" t="n"/>
      <c r="AB143" s="2339" t="n"/>
      <c r="AC143" s="2340" t="n"/>
      <c r="AD143" s="2332" t="n"/>
      <c r="AE143" s="1664" t="n"/>
      <c r="AF143" s="1664" t="n"/>
      <c r="AG143" s="1664" t="n"/>
      <c r="AH143" s="1664" t="n"/>
      <c r="AI143" s="1664" t="n"/>
      <c r="AJ143" s="1664" t="n"/>
      <c r="AK143" s="2013" t="n"/>
      <c r="AL143" s="11602" t="n"/>
      <c r="AM143" s="11602" t="n"/>
      <c r="AN143" s="2362" t="n"/>
      <c r="AO143" s="6603">
        <f>AND(AO138,AO141)</f>
        <v/>
      </c>
      <c r="AP143" s="664" t="n"/>
      <c r="AQ143" s="658" t="n"/>
      <c r="AR143" s="658" t="n"/>
      <c r="AS143" s="658" t="n"/>
      <c r="AT143" s="658" t="n"/>
      <c r="AU143" s="658" t="n"/>
      <c r="AV143" s="658" t="n"/>
      <c r="AW143" s="658" t="n"/>
      <c r="AX143" s="658" t="n"/>
      <c r="AY143" s="658" t="n"/>
    </row>
    <row r="144" ht="15.75" customFormat="1" customHeight="1" s="815">
      <c r="A144" s="2013" t="n"/>
      <c r="B144" s="514" t="n"/>
      <c r="C144" s="5998" t="inlineStr">
        <is>
          <t>energy property costs. Skip lines 22 through 25 and line 29. Go to line 26.</t>
        </is>
      </c>
      <c r="D144" s="514" t="n"/>
      <c r="E144" s="514" t="n"/>
      <c r="F144" s="514" t="n"/>
      <c r="G144" s="514" t="n"/>
      <c r="H144" s="514" t="n"/>
      <c r="I144" s="514" t="n"/>
      <c r="J144" s="514" t="n"/>
      <c r="K144" s="514" t="n"/>
      <c r="L144" s="514" t="n"/>
      <c r="M144" s="514" t="n"/>
      <c r="N144" s="514" t="n"/>
      <c r="O144" s="514" t="n"/>
      <c r="P144" s="514" t="n"/>
      <c r="Q144" s="514" t="n"/>
      <c r="R144" s="514" t="n"/>
      <c r="S144" s="514" t="n"/>
      <c r="T144" s="514" t="n"/>
      <c r="U144" s="514" t="n"/>
      <c r="V144" s="514" t="n"/>
      <c r="W144" s="514" t="n"/>
      <c r="X144" s="514" t="n"/>
      <c r="Y144" s="514" t="n"/>
      <c r="Z144" s="514" t="n"/>
      <c r="AA144" s="514" t="n"/>
      <c r="AB144" s="2339" t="n"/>
      <c r="AC144" s="2340" t="n"/>
      <c r="AD144" s="514" t="n"/>
      <c r="AE144" s="514" t="n"/>
      <c r="AF144" s="514" t="n"/>
      <c r="AG144" s="514" t="n"/>
      <c r="AH144" s="514" t="n"/>
      <c r="AI144" s="514" t="n"/>
      <c r="AJ144" s="514" t="n"/>
      <c r="AK144" s="2013" t="n"/>
      <c r="AL144" s="4850">
        <f>IF(NOT(AO143),"Skip lines 22 through 25, and line 29.","")</f>
        <v/>
      </c>
      <c r="AM144" s="2305" t="n"/>
      <c r="AN144" s="2362" t="n"/>
      <c r="AO144" s="6603" t="n"/>
      <c r="AP144" s="658" t="n"/>
      <c r="AQ144" s="658" t="n"/>
      <c r="AR144" s="658" t="n"/>
      <c r="AS144" s="658" t="n"/>
      <c r="AT144" s="658" t="n"/>
      <c r="AU144" s="658" t="n"/>
      <c r="AV144" s="658" t="n"/>
      <c r="AW144" s="658" t="n"/>
      <c r="AX144" s="658" t="n"/>
      <c r="AY144" s="658" t="n"/>
    </row>
    <row r="145" ht="21" customFormat="1" customHeight="1" s="815">
      <c r="A145" s="2013" t="n"/>
      <c r="B145" s="2353" t="inlineStr">
        <is>
          <t>c</t>
        </is>
      </c>
      <c r="C145" s="2311" t="inlineStr">
        <is>
          <t>Enter the complete address of each home where you installed qualified energy property.</t>
        </is>
      </c>
      <c r="D145" s="514" t="n"/>
      <c r="E145" s="514" t="n"/>
      <c r="F145" s="514" t="n"/>
      <c r="G145" s="514" t="n"/>
      <c r="H145" s="514" t="n"/>
      <c r="I145" s="514" t="n"/>
      <c r="J145" s="514" t="n"/>
      <c r="K145" s="514" t="n"/>
      <c r="L145" s="514" t="n"/>
      <c r="M145" s="514" t="n"/>
      <c r="N145" s="514" t="n"/>
      <c r="O145" s="514" t="n"/>
      <c r="P145" s="514" t="n"/>
      <c r="Q145" s="514" t="n"/>
      <c r="R145" s="514" t="n"/>
      <c r="S145" s="514" t="n"/>
      <c r="T145" s="514" t="n"/>
      <c r="U145" s="514" t="n"/>
      <c r="V145" s="514" t="n"/>
      <c r="W145" s="514" t="n"/>
      <c r="X145" s="514" t="n"/>
      <c r="Y145" s="514" t="n"/>
      <c r="Z145" s="514" t="n"/>
      <c r="AA145" s="514" t="n"/>
      <c r="AB145" s="2339" t="n"/>
      <c r="AC145" s="2340" t="n"/>
      <c r="AD145" s="514" t="n"/>
      <c r="AE145" s="514" t="n"/>
      <c r="AF145" s="514" t="n"/>
      <c r="AG145" s="514" t="n"/>
      <c r="AH145" s="514" t="n"/>
      <c r="AI145" s="514" t="n"/>
      <c r="AJ145" s="514" t="n"/>
      <c r="AK145" s="2013" t="n"/>
      <c r="AL145" s="4851">
        <f>IF(NOT(AO143),"Go to line 26.","")</f>
        <v/>
      </c>
      <c r="AM145" s="226" t="n"/>
      <c r="AN145" s="2362" t="n"/>
      <c r="AO145" s="6603" t="n"/>
      <c r="AP145" s="658" t="n"/>
      <c r="AQ145" s="658" t="n"/>
      <c r="AR145" s="658" t="n"/>
      <c r="AS145" s="658" t="n"/>
      <c r="AT145" s="658" t="n"/>
      <c r="AU145" s="658" t="n"/>
      <c r="AV145" s="658" t="n"/>
      <c r="AW145" s="658" t="n"/>
      <c r="AX145" s="658" t="n"/>
      <c r="AY145" s="658" t="n"/>
    </row>
    <row r="146" ht="21" customFormat="1" customHeight="1" s="815">
      <c r="A146" s="2013" t="n"/>
      <c r="B146" s="2316" t="n"/>
      <c r="C146" s="12563" t="inlineStr">
        <is>
          <t>Number and street</t>
        </is>
      </c>
      <c r="D146" s="7839" t="n"/>
      <c r="E146" s="7839" t="n"/>
      <c r="F146" s="7839" t="n"/>
      <c r="G146" s="7839" t="n"/>
      <c r="H146" s="7839" t="n"/>
      <c r="I146" s="7839" t="n"/>
      <c r="J146" s="7839" t="n"/>
      <c r="K146" s="7839" t="n"/>
      <c r="L146" s="7839" t="n"/>
      <c r="M146" s="10091" t="n"/>
      <c r="N146" s="12564" t="inlineStr">
        <is>
          <t>Unit No.</t>
        </is>
      </c>
      <c r="O146" s="7839" t="n"/>
      <c r="P146" s="10091" t="n"/>
      <c r="Q146" s="12564" t="inlineStr">
        <is>
          <t>City or town</t>
        </is>
      </c>
      <c r="R146" s="7839" t="n"/>
      <c r="S146" s="7839" t="n"/>
      <c r="T146" s="7839" t="n"/>
      <c r="U146" s="7839" t="n"/>
      <c r="V146" s="10091" t="n"/>
      <c r="W146" s="12564" t="inlineStr">
        <is>
          <t>State</t>
        </is>
      </c>
      <c r="X146" s="12564" t="inlineStr">
        <is>
          <t>ZIP Code</t>
        </is>
      </c>
      <c r="Y146" s="7839" t="n"/>
      <c r="Z146" s="7839" t="n"/>
      <c r="AA146" s="10091" t="n"/>
      <c r="AB146" s="2342" t="n"/>
      <c r="AC146" s="2340" t="n"/>
      <c r="AD146" s="2316" t="n"/>
      <c r="AE146" s="2316" t="n"/>
      <c r="AF146" s="2316" t="n"/>
      <c r="AG146" s="2316" t="n"/>
      <c r="AH146" s="2316" t="n"/>
      <c r="AI146" s="2316" t="n"/>
      <c r="AJ146" s="2316" t="n"/>
      <c r="AK146" s="2013" t="n"/>
      <c r="AL146" s="11602" t="n"/>
      <c r="AM146" s="512" t="n"/>
      <c r="AN146" s="2362" t="n"/>
      <c r="AO146" s="6603" t="n"/>
      <c r="AP146" s="658" t="n"/>
      <c r="AQ146" s="658" t="n"/>
      <c r="AR146" s="658" t="n"/>
      <c r="AS146" s="658" t="n"/>
      <c r="AT146" s="658" t="n"/>
      <c r="AU146" s="658" t="n"/>
      <c r="AV146" s="658" t="n"/>
      <c r="AW146" s="658" t="n"/>
      <c r="AX146" s="658" t="n"/>
      <c r="AY146" s="658" t="n"/>
    </row>
    <row r="147" ht="21" customFormat="1" customHeight="1" s="1115">
      <c r="A147" s="2290" t="n"/>
      <c r="B147" s="2316" t="n"/>
      <c r="C147" s="7637" t="n"/>
      <c r="D147" s="7637" t="n"/>
      <c r="E147" s="7637" t="n"/>
      <c r="F147" s="7637" t="n"/>
      <c r="G147" s="7637" t="n"/>
      <c r="H147" s="7637" t="n"/>
      <c r="I147" s="7637" t="n"/>
      <c r="J147" s="7637" t="n"/>
      <c r="K147" s="7637" t="n"/>
      <c r="L147" s="7637" t="n"/>
      <c r="M147" s="7638" t="n"/>
      <c r="N147" s="3614" t="n"/>
      <c r="O147" s="7637" t="n"/>
      <c r="P147" s="7638" t="n"/>
      <c r="Q147" s="3614" t="n"/>
      <c r="R147" s="7637" t="n"/>
      <c r="S147" s="7637" t="n"/>
      <c r="T147" s="7637" t="n"/>
      <c r="U147" s="7637" t="n"/>
      <c r="V147" s="7638" t="n"/>
      <c r="W147" s="11934" t="n"/>
      <c r="X147" s="3614" t="n"/>
      <c r="Y147" s="7637" t="n"/>
      <c r="Z147" s="7637" t="n"/>
      <c r="AA147" s="7638" t="n"/>
      <c r="AB147" s="2342" t="n"/>
      <c r="AC147" s="2340" t="n"/>
      <c r="AD147" s="2316" t="n"/>
      <c r="AE147" s="2316" t="n"/>
      <c r="AF147" s="2316" t="n"/>
      <c r="AG147" s="2316" t="n"/>
      <c r="AH147" s="2316" t="n"/>
      <c r="AI147" s="2316" t="n"/>
      <c r="AJ147" s="2316" t="n"/>
      <c r="AK147" s="2290" t="n"/>
      <c r="AL147" s="11602" t="n"/>
      <c r="AM147" s="512" t="n"/>
      <c r="AN147" s="2363" t="n"/>
      <c r="AO147" s="6604" t="n"/>
      <c r="AP147" s="658" t="n"/>
      <c r="AQ147" s="658" t="n"/>
      <c r="AR147" s="658" t="n"/>
      <c r="AS147" s="658" t="n"/>
      <c r="AT147" s="658" t="n"/>
      <c r="AU147" s="658" t="n"/>
      <c r="AV147" s="658" t="n"/>
      <c r="AW147" s="658" t="n"/>
      <c r="AX147" s="658" t="n"/>
      <c r="AY147" s="658" t="n"/>
      <c r="AZ147" s="2293" t="n"/>
    </row>
    <row r="148" ht="18" customFormat="1" customHeight="1" s="815">
      <c r="A148" s="2013" t="n"/>
      <c r="B148" s="2316" t="n"/>
      <c r="C148" s="10217" t="n"/>
      <c r="D148" s="8007" t="n"/>
      <c r="E148" s="8007" t="n"/>
      <c r="F148" s="8007" t="n"/>
      <c r="G148" s="8007" t="n"/>
      <c r="H148" s="8007" t="n"/>
      <c r="I148" s="8007" t="n"/>
      <c r="J148" s="8007" t="n"/>
      <c r="K148" s="8007" t="n"/>
      <c r="L148" s="8007" t="n"/>
      <c r="M148" s="8008" t="n"/>
      <c r="N148" s="2355" t="n"/>
      <c r="O148" s="8007" t="n"/>
      <c r="P148" s="8008" t="n"/>
      <c r="Q148" s="12565" t="n"/>
      <c r="R148" s="8007" t="n"/>
      <c r="S148" s="8007" t="n"/>
      <c r="T148" s="8007" t="n"/>
      <c r="U148" s="8007" t="n"/>
      <c r="V148" s="8008" t="n"/>
      <c r="W148" s="2355" t="n"/>
      <c r="X148" s="12566" t="n"/>
      <c r="Y148" s="8007" t="n"/>
      <c r="Z148" s="8007" t="n"/>
      <c r="AA148" s="8008" t="n"/>
      <c r="AB148" s="2342" t="n"/>
      <c r="AC148" s="2340" t="n"/>
      <c r="AD148" s="2316" t="n"/>
      <c r="AE148" s="2316" t="n"/>
      <c r="AF148" s="2316" t="n"/>
      <c r="AG148" s="2316" t="n"/>
      <c r="AH148" s="2316" t="n"/>
      <c r="AI148" s="2316" t="n"/>
      <c r="AJ148" s="2316" t="n"/>
      <c r="AK148" s="2013" t="n"/>
      <c r="AL148" s="11602" t="n"/>
      <c r="AM148" s="512" t="n"/>
      <c r="AN148" s="2362" t="n"/>
      <c r="AO148" s="6603">
        <f>AND(C148="",N148="",Q148="",W148="",X148="")</f>
        <v/>
      </c>
      <c r="AP148" s="2382" t="n"/>
      <c r="AQ148" s="658" t="n"/>
      <c r="AR148" s="658" t="n"/>
      <c r="AS148" s="658" t="n"/>
      <c r="AT148" s="658" t="n"/>
      <c r="AU148" s="658" t="n"/>
      <c r="AV148" s="658" t="n"/>
      <c r="AW148" s="658" t="n"/>
      <c r="AX148" s="658" t="n"/>
      <c r="AY148" s="658" t="n"/>
    </row>
    <row r="149" ht="18" customFormat="1" customHeight="1" s="1239">
      <c r="A149" s="2306" t="n"/>
      <c r="B149" s="2316" t="n"/>
      <c r="C149" s="10217" t="n"/>
      <c r="D149" s="8007" t="n"/>
      <c r="E149" s="8007" t="n"/>
      <c r="F149" s="8007" t="n"/>
      <c r="G149" s="8007" t="n"/>
      <c r="H149" s="8007" t="n"/>
      <c r="I149" s="8007" t="n"/>
      <c r="J149" s="8007" t="n"/>
      <c r="K149" s="8007" t="n"/>
      <c r="L149" s="8007" t="n"/>
      <c r="M149" s="8008" t="n"/>
      <c r="N149" s="2355" t="n"/>
      <c r="O149" s="8007" t="n"/>
      <c r="P149" s="8008" t="n"/>
      <c r="Q149" s="12565" t="n"/>
      <c r="R149" s="8007" t="n"/>
      <c r="S149" s="8007" t="n"/>
      <c r="T149" s="8007" t="n"/>
      <c r="U149" s="8007" t="n"/>
      <c r="V149" s="8008" t="n"/>
      <c r="W149" s="2355" t="n"/>
      <c r="X149" s="12566" t="n"/>
      <c r="Y149" s="8007" t="n"/>
      <c r="Z149" s="8007" t="n"/>
      <c r="AA149" s="8008" t="n"/>
      <c r="AB149" s="2342" t="n"/>
      <c r="AC149" s="2340" t="n"/>
      <c r="AD149" s="2316" t="n"/>
      <c r="AE149" s="2316" t="n"/>
      <c r="AF149" s="2316" t="n"/>
      <c r="AG149" s="2316" t="n"/>
      <c r="AH149" s="2316" t="n"/>
      <c r="AI149" s="2316" t="n"/>
      <c r="AJ149" s="2316" t="n"/>
      <c r="AK149" s="2306" t="n"/>
      <c r="AL149" s="411" t="n"/>
      <c r="AM149" s="2305" t="n"/>
      <c r="AN149" s="2366" t="n"/>
      <c r="AO149" s="6603">
        <f>AND(C149="",N149="",Q149="",W149="",X149="")</f>
        <v/>
      </c>
      <c r="AP149" s="665" t="n"/>
      <c r="AQ149" s="665" t="n"/>
      <c r="AR149" s="665" t="n"/>
      <c r="AS149" s="665" t="n"/>
      <c r="AT149" s="665" t="n"/>
      <c r="AU149" s="665" t="n"/>
      <c r="AV149" s="665" t="n"/>
      <c r="AW149" s="665" t="n"/>
      <c r="AX149" s="665" t="n"/>
      <c r="AY149" s="665" t="n"/>
      <c r="AZ149" s="9864" t="n"/>
    </row>
    <row r="150" ht="18" customFormat="1" customHeight="1" s="1239">
      <c r="A150" s="2306" t="n"/>
      <c r="B150" s="2316" t="n"/>
      <c r="C150" s="10217" t="n"/>
      <c r="D150" s="8007" t="n"/>
      <c r="E150" s="8007" t="n"/>
      <c r="F150" s="8007" t="n"/>
      <c r="G150" s="8007" t="n"/>
      <c r="H150" s="8007" t="n"/>
      <c r="I150" s="8007" t="n"/>
      <c r="J150" s="8007" t="n"/>
      <c r="K150" s="8007" t="n"/>
      <c r="L150" s="8007" t="n"/>
      <c r="M150" s="8008" t="n"/>
      <c r="N150" s="2355" t="n"/>
      <c r="O150" s="8007" t="n"/>
      <c r="P150" s="8008" t="n"/>
      <c r="Q150" s="12565" t="n"/>
      <c r="R150" s="8007" t="n"/>
      <c r="S150" s="8007" t="n"/>
      <c r="T150" s="8007" t="n"/>
      <c r="U150" s="8007" t="n"/>
      <c r="V150" s="8008" t="n"/>
      <c r="W150" s="2355" t="n"/>
      <c r="X150" s="12566" t="n"/>
      <c r="Y150" s="8007" t="n"/>
      <c r="Z150" s="8007" t="n"/>
      <c r="AA150" s="8008" t="n"/>
      <c r="AB150" s="2342" t="n"/>
      <c r="AC150" s="2340" t="n"/>
      <c r="AD150" s="2316" t="n"/>
      <c r="AE150" s="2316" t="n"/>
      <c r="AF150" s="2316" t="n"/>
      <c r="AG150" s="2316" t="n"/>
      <c r="AH150" s="2316" t="n"/>
      <c r="AI150" s="2316" t="n"/>
      <c r="AJ150" s="2316" t="n"/>
      <c r="AK150" s="2306" t="n"/>
      <c r="AL150" s="411" t="n"/>
      <c r="AM150" s="2305" t="n"/>
      <c r="AN150" s="2366" t="n"/>
      <c r="AO150" s="6603">
        <f>AND(C150="",N150="",Q150="",W150="",X150="")</f>
        <v/>
      </c>
      <c r="AP150" s="665" t="n"/>
      <c r="AQ150" s="665" t="n"/>
      <c r="AR150" s="665" t="n"/>
      <c r="AS150" s="665" t="n"/>
      <c r="AT150" s="665" t="n"/>
      <c r="AU150" s="665" t="n"/>
      <c r="AV150" s="665" t="n"/>
      <c r="AW150" s="665" t="n"/>
      <c r="AX150" s="665" t="n"/>
      <c r="AY150" s="665" t="n"/>
      <c r="AZ150" s="9864" t="n"/>
    </row>
    <row r="151" ht="18" customFormat="1" customHeight="1" s="1239">
      <c r="A151" s="2306" t="n"/>
      <c r="B151" s="2316" t="n"/>
      <c r="C151" s="10217" t="n"/>
      <c r="D151" s="8007" t="n"/>
      <c r="E151" s="8007" t="n"/>
      <c r="F151" s="8007" t="n"/>
      <c r="G151" s="8007" t="n"/>
      <c r="H151" s="8007" t="n"/>
      <c r="I151" s="8007" t="n"/>
      <c r="J151" s="8007" t="n"/>
      <c r="K151" s="8007" t="n"/>
      <c r="L151" s="8007" t="n"/>
      <c r="M151" s="8008" t="n"/>
      <c r="N151" s="2355" t="n"/>
      <c r="O151" s="8007" t="n"/>
      <c r="P151" s="8008" t="n"/>
      <c r="Q151" s="12565" t="n"/>
      <c r="R151" s="8007" t="n"/>
      <c r="S151" s="8007" t="n"/>
      <c r="T151" s="8007" t="n"/>
      <c r="U151" s="8007" t="n"/>
      <c r="V151" s="8008" t="n"/>
      <c r="W151" s="2355" t="n"/>
      <c r="X151" s="12566" t="n"/>
      <c r="Y151" s="8007" t="n"/>
      <c r="Z151" s="8007" t="n"/>
      <c r="AA151" s="8008" t="n"/>
      <c r="AB151" s="2342" t="n"/>
      <c r="AC151" s="2340" t="n"/>
      <c r="AD151" s="2316" t="n"/>
      <c r="AE151" s="2316" t="n"/>
      <c r="AF151" s="2316" t="n"/>
      <c r="AG151" s="2316" t="n"/>
      <c r="AH151" s="2316" t="n"/>
      <c r="AI151" s="2316" t="n"/>
      <c r="AJ151" s="2316" t="n"/>
      <c r="AK151" s="2306" t="n"/>
      <c r="AL151" s="411" t="n"/>
      <c r="AM151" s="2305" t="n"/>
      <c r="AN151" s="2366" t="n"/>
      <c r="AO151" s="6603">
        <f>AND(C151="",N151="",Q151="",W151="",X151="")</f>
        <v/>
      </c>
      <c r="AP151" s="665" t="n"/>
      <c r="AQ151" s="665" t="n"/>
      <c r="AR151" s="665" t="n"/>
      <c r="AS151" s="665" t="n"/>
      <c r="AT151" s="665" t="n"/>
      <c r="AU151" s="665" t="n"/>
      <c r="AV151" s="665" t="n"/>
      <c r="AW151" s="665" t="n"/>
      <c r="AX151" s="665" t="n"/>
      <c r="AY151" s="665" t="n"/>
      <c r="AZ151" s="9864" t="n"/>
    </row>
    <row r="152" ht="11.25" customFormat="1" customHeight="1" s="1239">
      <c r="A152" s="2306" t="n"/>
      <c r="B152" s="2316" t="n"/>
      <c r="C152" s="2316" t="n"/>
      <c r="D152" s="2316" t="n"/>
      <c r="E152" s="2316" t="n"/>
      <c r="F152" s="2316" t="n"/>
      <c r="G152" s="2316" t="n"/>
      <c r="H152" s="2316" t="n"/>
      <c r="I152" s="2316" t="n"/>
      <c r="J152" s="2316" t="n"/>
      <c r="K152" s="2316" t="n"/>
      <c r="L152" s="2316" t="n"/>
      <c r="M152" s="2316" t="n"/>
      <c r="N152" s="2316" t="n"/>
      <c r="O152" s="2316" t="n"/>
      <c r="P152" s="2316" t="n"/>
      <c r="Q152" s="2316" t="n"/>
      <c r="R152" s="2316" t="n"/>
      <c r="S152" s="2316" t="n"/>
      <c r="T152" s="2316" t="n"/>
      <c r="U152" s="2316" t="n"/>
      <c r="V152" s="2349" t="n"/>
      <c r="W152" s="2316" t="n"/>
      <c r="X152" s="2316" t="n"/>
      <c r="Y152" s="2316" t="n"/>
      <c r="Z152" s="2316" t="n"/>
      <c r="AA152" s="2316" t="n"/>
      <c r="AB152" s="2339" t="n"/>
      <c r="AC152" s="2340" t="n"/>
      <c r="AD152" s="2316" t="n"/>
      <c r="AE152" s="2316" t="n"/>
      <c r="AF152" s="2316" t="n"/>
      <c r="AG152" s="2316" t="n"/>
      <c r="AH152" s="2316" t="n"/>
      <c r="AI152" s="2316" t="n"/>
      <c r="AJ152" s="2316" t="n"/>
      <c r="AK152" s="2306" t="n"/>
      <c r="AL152" s="411" t="n"/>
      <c r="AM152" s="2305" t="n"/>
      <c r="AN152" s="2366" t="n"/>
      <c r="AO152" s="6603">
        <f>AND(C152="",N152="",Q152="",W152="",X152="")</f>
        <v/>
      </c>
      <c r="AP152" s="665" t="n"/>
      <c r="AQ152" s="665" t="n"/>
      <c r="AR152" s="665" t="n"/>
      <c r="AS152" s="665" t="n"/>
      <c r="AT152" s="665" t="n"/>
      <c r="AU152" s="665" t="n"/>
      <c r="AV152" s="665" t="n"/>
      <c r="AW152" s="665" t="n"/>
      <c r="AX152" s="665" t="n"/>
      <c r="AY152" s="665" t="n"/>
      <c r="AZ152" s="9864" t="n"/>
    </row>
    <row r="153" ht="16.5" customFormat="1" customHeight="1" s="815">
      <c r="A153" s="2013" t="n"/>
      <c r="B153" s="11191" t="n">
        <v>22</v>
      </c>
      <c r="C153" s="6428" t="inlineStr">
        <is>
          <t>Residential energy property costs (include labor costs for onsite</t>
        </is>
      </c>
      <c r="D153" s="8650" t="n"/>
      <c r="E153" s="344" t="n"/>
      <c r="F153" s="344" t="n"/>
      <c r="G153" s="344" t="n"/>
      <c r="H153" s="344" t="n"/>
      <c r="I153" s="344" t="n"/>
      <c r="J153" s="344" t="n"/>
      <c r="K153" s="1061" t="n"/>
      <c r="L153" s="2300" t="n"/>
      <c r="M153" s="2301" t="n"/>
      <c r="N153" s="1061" t="n"/>
      <c r="O153" s="1061" t="n"/>
      <c r="P153" s="1061" t="n"/>
      <c r="Q153" s="1061" t="n"/>
      <c r="R153" s="1061" t="n"/>
      <c r="S153" s="344" t="n"/>
      <c r="T153" s="344" t="n"/>
      <c r="U153" s="1401" t="n"/>
      <c r="V153" s="2349" t="n"/>
      <c r="W153" s="9750" t="n"/>
      <c r="X153" s="1205" t="n"/>
      <c r="Y153" s="1205" t="n"/>
      <c r="Z153" s="1205" t="n"/>
      <c r="AA153" s="1401" t="n"/>
      <c r="AB153" s="2339" t="n"/>
      <c r="AC153" s="2340" t="n"/>
      <c r="AD153" s="1803" t="n"/>
      <c r="AE153" s="1806" t="n"/>
      <c r="AF153" s="1806" t="n"/>
      <c r="AG153" s="1806" t="n"/>
      <c r="AH153" s="1806" t="n"/>
      <c r="AI153" s="1806" t="n"/>
      <c r="AJ153" s="1806" t="n"/>
      <c r="AK153" s="2013" t="n"/>
      <c r="AL153" s="11602" t="n"/>
      <c r="AM153" s="226" t="n"/>
      <c r="AN153" s="2362" t="n"/>
      <c r="AO153" s="6603" t="n"/>
      <c r="AP153" s="658" t="n"/>
      <c r="AQ153" s="658" t="n"/>
      <c r="AR153" s="658" t="n"/>
      <c r="AS153" s="658" t="n"/>
      <c r="AT153" s="658" t="n"/>
      <c r="AU153" s="658" t="n"/>
      <c r="AV153" s="658" t="n"/>
      <c r="AW153" s="658" t="n"/>
      <c r="AX153" s="658" t="n"/>
      <c r="AY153" s="658" t="n"/>
    </row>
    <row r="154" ht="16.5" customFormat="1" customHeight="1" s="815">
      <c r="A154" s="2013" t="n"/>
      <c r="B154" s="2353" t="n"/>
      <c r="C154" s="6428" t="inlineStr">
        <is>
          <t>preparation, assembly, and original installation). (See instructions.)</t>
        </is>
      </c>
      <c r="D154" s="8650" t="n"/>
      <c r="E154" s="344" t="n"/>
      <c r="F154" s="344" t="n"/>
      <c r="G154" s="344" t="n"/>
      <c r="H154" s="344" t="n"/>
      <c r="I154" s="344" t="n"/>
      <c r="J154" s="344" t="n"/>
      <c r="K154" s="1061" t="n"/>
      <c r="L154" s="2300" t="n"/>
      <c r="M154" s="2301" t="n"/>
      <c r="N154" s="1061" t="n"/>
      <c r="O154" s="1061" t="n"/>
      <c r="P154" s="1061" t="n"/>
      <c r="Q154" s="1061" t="n"/>
      <c r="R154" s="1061" t="n"/>
      <c r="S154" s="344" t="n"/>
      <c r="T154" s="344" t="n"/>
      <c r="U154" s="344" t="n"/>
      <c r="V154" s="2349" t="n"/>
      <c r="W154" s="9750" t="n"/>
      <c r="X154" s="1205" t="n"/>
      <c r="Y154" s="1205" t="n"/>
      <c r="Z154" s="1205" t="n"/>
      <c r="AA154" s="1401" t="n"/>
      <c r="AB154" s="2339" t="n"/>
      <c r="AC154" s="2340" t="n"/>
      <c r="AD154" s="1803" t="n"/>
      <c r="AE154" s="1806" t="n"/>
      <c r="AF154" s="1806" t="n"/>
      <c r="AG154" s="1806" t="n"/>
      <c r="AH154" s="1806" t="n"/>
      <c r="AI154" s="1806" t="n"/>
      <c r="AJ154" s="1806" t="n"/>
      <c r="AK154" s="2013" t="n"/>
      <c r="AL154" s="11602" t="n"/>
      <c r="AM154" s="226" t="inlineStr">
        <is>
          <t>Manual</t>
        </is>
      </c>
      <c r="AN154" s="2362" t="n"/>
      <c r="AO154" s="6603" t="n"/>
      <c r="AP154" s="658" t="n"/>
      <c r="AQ154" s="658" t="n"/>
      <c r="AR154" s="658" t="n"/>
      <c r="AS154" s="658" t="n"/>
      <c r="AT154" s="658" t="n"/>
      <c r="AU154" s="658" t="n"/>
      <c r="AV154" s="658" t="n"/>
      <c r="AW154" s="658" t="n"/>
      <c r="AX154" s="658" t="n"/>
      <c r="AY154" s="658" t="n"/>
    </row>
    <row r="155" ht="21.75" customFormat="1" customHeight="1" s="815">
      <c r="A155" s="2013" t="n"/>
      <c r="B155" s="2353" t="inlineStr">
        <is>
          <t>a</t>
        </is>
      </c>
      <c r="C155" s="2299" t="inlineStr">
        <is>
          <t>Enter the Qualified Manufacturer Identification Number and cost of the most</t>
        </is>
      </c>
      <c r="D155" s="8650" t="n"/>
      <c r="E155" s="344" t="n"/>
      <c r="F155" s="344" t="n"/>
      <c r="G155" s="344" t="n"/>
      <c r="H155" s="344" t="n"/>
      <c r="I155" s="344" t="n"/>
      <c r="J155" s="344" t="n"/>
      <c r="K155" s="1061" t="n"/>
      <c r="L155" s="2300" t="n"/>
      <c r="M155" s="2301" t="n"/>
      <c r="N155" s="1061" t="n"/>
      <c r="O155" s="1061" t="n"/>
      <c r="P155" s="1061" t="n"/>
      <c r="Q155" s="1061" t="n"/>
      <c r="R155" s="1061" t="n"/>
      <c r="S155" s="344" t="n"/>
      <c r="T155" s="344" t="n"/>
      <c r="U155" s="344" t="n"/>
      <c r="V155" s="2351" t="n"/>
      <c r="W155" s="6408" t="n"/>
      <c r="X155" s="6409" t="n"/>
      <c r="Y155" s="6409" t="n"/>
      <c r="Z155" s="6409" t="n"/>
      <c r="AA155" s="6410" t="n"/>
      <c r="AB155" s="2339" t="n"/>
      <c r="AC155" s="2340" t="n"/>
      <c r="AD155" s="1803" t="n"/>
      <c r="AE155" s="1806" t="n"/>
      <c r="AF155" s="1806" t="n"/>
      <c r="AG155" s="1806" t="n"/>
      <c r="AH155" s="1806" t="n"/>
      <c r="AI155" s="1806" t="n"/>
      <c r="AJ155" s="1806" t="n"/>
      <c r="AK155" s="2013" t="n"/>
      <c r="AL155" s="11602" t="n"/>
      <c r="AM155" s="5425" t="inlineStr">
        <is>
          <t>Override ê</t>
        </is>
      </c>
      <c r="AN155" s="2362" t="n"/>
      <c r="AO155" s="6603" t="n"/>
      <c r="AP155" s="658" t="n"/>
      <c r="AQ155" s="658" t="n"/>
      <c r="AR155" s="658" t="n"/>
      <c r="AS155" s="658" t="n"/>
      <c r="AT155" s="658" t="n"/>
      <c r="AU155" s="658" t="n"/>
      <c r="AV155" s="658" t="n"/>
      <c r="AW155" s="658" t="n"/>
      <c r="AX155" s="658" t="n"/>
      <c r="AY155" s="658" t="n"/>
    </row>
    <row r="156" ht="18" customFormat="1" customHeight="1" s="815">
      <c r="A156" s="2013" t="n"/>
      <c r="B156" s="2353" t="n"/>
      <c r="C156" s="2381" t="inlineStr">
        <is>
          <t>expensive central air conditioner</t>
        </is>
      </c>
      <c r="D156" s="8650" t="n"/>
      <c r="E156" s="344" t="n"/>
      <c r="F156" s="344" t="n"/>
      <c r="G156" s="344" t="n"/>
      <c r="H156" s="344" t="n"/>
      <c r="I156" s="344" t="n"/>
      <c r="J156" s="344" t="n"/>
      <c r="K156" s="1061" t="n"/>
      <c r="L156" s="2300" t="n"/>
      <c r="M156" s="2301" t="n"/>
      <c r="N156" s="1061" t="n"/>
      <c r="O156" s="1061" t="n"/>
      <c r="P156" s="1061" t="n"/>
      <c r="Q156" s="1061" t="n"/>
      <c r="R156" s="1061" t="n"/>
      <c r="S156" s="344" t="n"/>
      <c r="T156" s="344" t="n"/>
      <c r="U156" s="1401" t="inlineStr">
        <is>
          <t xml:space="preserve">.   .   .   .   .   .   .   .   .   .   .   .   .   .   .   .   .   .   .   .  </t>
        </is>
      </c>
      <c r="V156" s="2350" t="inlineStr">
        <is>
          <t>22a</t>
        </is>
      </c>
      <c r="W156" s="10220" t="n"/>
      <c r="X156" s="11717" t="n"/>
      <c r="Y156" s="11717" t="n"/>
      <c r="Z156" s="11717" t="n"/>
      <c r="AA156" s="11718" t="n"/>
      <c r="AB156" s="2339" t="n"/>
      <c r="AC156" s="2340" t="n"/>
      <c r="AD156" s="1803" t="n"/>
      <c r="AE156" s="1806" t="n"/>
      <c r="AF156" s="1806" t="n"/>
      <c r="AG156" s="1806" t="n"/>
      <c r="AH156" s="1806" t="n"/>
      <c r="AI156" s="1806" t="n"/>
      <c r="AJ156" s="1806" t="n"/>
      <c r="AK156" s="2013" t="n"/>
      <c r="AL156" s="11602" t="n"/>
      <c r="AM156" s="226" t="n"/>
      <c r="AN156" s="2362" t="n"/>
      <c r="AO156" s="6603">
        <f>AND(W156="",AM160="")</f>
        <v/>
      </c>
      <c r="AP156" s="658" t="n"/>
      <c r="AQ156" s="658" t="n"/>
      <c r="AR156" s="658" t="n"/>
      <c r="AS156" s="658" t="n"/>
      <c r="AT156" s="658" t="n"/>
      <c r="AU156" s="658" t="n"/>
      <c r="AV156" s="658" t="n"/>
      <c r="AW156" s="658" t="n"/>
      <c r="AX156" s="658" t="n"/>
      <c r="AY156" s="658" t="n"/>
    </row>
    <row r="157" ht="9" customFormat="1" customHeight="1" s="815">
      <c r="A157" s="2013" t="n"/>
      <c r="B157" s="2353" t="n"/>
      <c r="C157" s="2353" t="n"/>
      <c r="D157" s="2353" t="n"/>
      <c r="E157" s="2353" t="n"/>
      <c r="F157" s="2353" t="n"/>
      <c r="G157" s="2353" t="n"/>
      <c r="H157" s="2353" t="n"/>
      <c r="I157" s="2353" t="n"/>
      <c r="J157" s="2353" t="n"/>
      <c r="K157" s="2353" t="n"/>
      <c r="L157" s="2353" t="n"/>
      <c r="M157" s="2353" t="n"/>
      <c r="N157" s="2353" t="n"/>
      <c r="O157" s="2353" t="n"/>
      <c r="P157" s="2353" t="n"/>
      <c r="Q157" s="2353" t="n"/>
      <c r="R157" s="2353" t="n"/>
      <c r="S157" s="2353" t="n"/>
      <c r="T157" s="2353" t="n"/>
      <c r="U157" s="2353" t="n"/>
      <c r="V157" s="6432" t="n"/>
      <c r="W157" s="2353" t="n"/>
      <c r="X157" s="2353" t="n"/>
      <c r="Y157" s="2353" t="n"/>
      <c r="Z157" s="2353" t="n"/>
      <c r="AA157" s="2353" t="n"/>
      <c r="AB157" s="2339" t="n"/>
      <c r="AC157" s="2340" t="n"/>
      <c r="AD157" s="1803" t="n"/>
      <c r="AE157" s="1806" t="n"/>
      <c r="AF157" s="1806" t="n"/>
      <c r="AG157" s="1806" t="n"/>
      <c r="AH157" s="1806" t="n"/>
      <c r="AI157" s="1806" t="n"/>
      <c r="AJ157" s="1806" t="n"/>
      <c r="AK157" s="2013" t="n"/>
      <c r="AL157" s="11602" t="n"/>
      <c r="AM157" s="226" t="n"/>
      <c r="AN157" s="2362" t="n"/>
      <c r="AO157" s="6603" t="n"/>
      <c r="AP157" s="658" t="n"/>
      <c r="AQ157" s="658" t="n"/>
      <c r="AR157" s="658" t="n"/>
      <c r="AS157" s="658" t="n"/>
      <c r="AT157" s="658" t="n"/>
      <c r="AU157" s="658" t="n"/>
      <c r="AV157" s="658" t="n"/>
      <c r="AW157" s="658" t="n"/>
      <c r="AX157" s="658" t="n"/>
      <c r="AY157" s="658" t="n"/>
    </row>
    <row r="158" ht="21.75" customFormat="1" customHeight="1" s="815">
      <c r="A158" s="2013" t="n"/>
      <c r="B158" s="6415" t="n"/>
      <c r="C158" s="6413" t="n"/>
      <c r="D158" s="6414" t="n"/>
      <c r="E158" s="6414" t="n"/>
      <c r="F158" s="6414" t="n"/>
      <c r="G158" s="6445" t="n"/>
      <c r="H158" s="6445" t="n"/>
      <c r="I158" s="6445" t="n"/>
      <c r="J158" s="6445" t="n"/>
      <c r="K158" s="6445" t="n"/>
      <c r="L158" s="6446" t="n"/>
      <c r="M158" s="6447" t="n"/>
      <c r="N158" s="6445" t="n"/>
      <c r="O158" s="6445" t="n"/>
      <c r="P158" s="6445" t="n"/>
      <c r="Q158" s="6445" t="n"/>
      <c r="R158" s="6445" t="n"/>
      <c r="S158" s="6445" t="n"/>
      <c r="T158" s="344" t="n"/>
      <c r="U158" s="6409" t="n"/>
      <c r="V158" s="6433" t="n"/>
      <c r="W158" s="6409" t="n"/>
      <c r="X158" s="6409" t="n"/>
      <c r="Y158" s="6409" t="n"/>
      <c r="Z158" s="6409" t="n"/>
      <c r="AA158" s="6410" t="n"/>
      <c r="AB158" s="2339" t="n"/>
      <c r="AC158" s="2340" t="n"/>
      <c r="AD158" s="1803" t="n"/>
      <c r="AE158" s="1806" t="n"/>
      <c r="AF158" s="1806" t="n"/>
      <c r="AG158" s="1806" t="n"/>
      <c r="AH158" s="1806" t="n"/>
      <c r="AI158" s="1806" t="n"/>
      <c r="AJ158" s="1806" t="n"/>
      <c r="AK158" s="2013" t="n"/>
      <c r="AL158" s="11602" t="n"/>
      <c r="AM158" s="226" t="n"/>
      <c r="AN158" s="2362" t="n"/>
      <c r="AO158" s="6603" t="n"/>
      <c r="AP158" s="658" t="n"/>
      <c r="AQ158" s="658" t="n"/>
      <c r="AR158" s="658" t="n"/>
      <c r="AS158" s="658" t="n"/>
      <c r="AT158" s="658" t="n"/>
      <c r="AU158" s="658" t="n"/>
      <c r="AV158" s="658" t="n"/>
      <c r="AW158" s="658" t="n"/>
      <c r="AX158" s="658" t="n"/>
      <c r="AY158" s="658" t="n"/>
    </row>
    <row r="159" ht="6" customFormat="1" customHeight="1" s="815" thickBot="1">
      <c r="A159" s="2013" t="n"/>
      <c r="B159" s="6415" t="n"/>
      <c r="C159" s="6416" t="n"/>
      <c r="D159" s="6416" t="n"/>
      <c r="E159" s="6416" t="n"/>
      <c r="F159" s="6416" t="n"/>
      <c r="G159" s="6416" t="n"/>
      <c r="H159" s="6416" t="n"/>
      <c r="I159" s="6416" t="n"/>
      <c r="J159" s="6416" t="n"/>
      <c r="K159" s="6416" t="n"/>
      <c r="L159" s="6416" t="n"/>
      <c r="M159" s="6416" t="n"/>
      <c r="N159" s="6416" t="n"/>
      <c r="O159" s="6416" t="n"/>
      <c r="P159" s="6416" t="n"/>
      <c r="Q159" s="6416" t="n"/>
      <c r="R159" s="6416" t="n"/>
      <c r="S159" s="6416" t="n"/>
      <c r="T159" s="6416" t="n"/>
      <c r="U159" s="6416" t="n"/>
      <c r="V159" s="6434" t="n"/>
      <c r="W159" s="6416" t="n"/>
      <c r="X159" s="6416" t="n"/>
      <c r="Y159" s="6416" t="n"/>
      <c r="Z159" s="6416" t="n"/>
      <c r="AA159" s="6410" t="n"/>
      <c r="AB159" s="2339" t="n"/>
      <c r="AC159" s="2340" t="n"/>
      <c r="AD159" s="1803" t="n"/>
      <c r="AE159" s="1806" t="n"/>
      <c r="AF159" s="1806" t="n"/>
      <c r="AG159" s="1806" t="n"/>
      <c r="AH159" s="1806" t="n"/>
      <c r="AI159" s="1806" t="n"/>
      <c r="AJ159" s="1806" t="n"/>
      <c r="AK159" s="2013" t="n"/>
      <c r="AL159" s="11602" t="n"/>
      <c r="AM159" s="226" t="n"/>
      <c r="AN159" s="2362" t="n"/>
      <c r="AO159" s="6603" t="n"/>
      <c r="AP159" s="658" t="n"/>
      <c r="AQ159" s="658" t="n"/>
      <c r="AR159" s="658" t="n"/>
      <c r="AS159" s="658" t="n"/>
      <c r="AT159" s="658" t="n"/>
      <c r="AU159" s="658" t="n"/>
      <c r="AV159" s="658" t="n"/>
      <c r="AW159" s="658" t="n"/>
      <c r="AX159" s="658" t="n"/>
      <c r="AY159" s="658" t="n"/>
    </row>
    <row r="160" ht="21" customFormat="1" customHeight="1" s="815" thickBot="1">
      <c r="A160" s="2013" t="n"/>
      <c r="B160" s="2353" t="inlineStr">
        <is>
          <t>b</t>
        </is>
      </c>
      <c r="C160" s="2299" t="inlineStr">
        <is>
          <t>Enter the cost of all other central air conditioners. If none, enter -0-</t>
        </is>
      </c>
      <c r="D160" s="8650" t="n"/>
      <c r="E160" s="344" t="n"/>
      <c r="F160" s="344" t="n"/>
      <c r="G160" s="344" t="n"/>
      <c r="H160" s="344" t="n"/>
      <c r="I160" s="344" t="n"/>
      <c r="J160" s="344" t="n"/>
      <c r="K160" s="1061" t="n"/>
      <c r="L160" s="2300" t="n"/>
      <c r="M160" s="2301" t="n"/>
      <c r="N160" s="1061" t="n"/>
      <c r="O160" s="1061" t="n"/>
      <c r="P160" s="1061" t="n"/>
      <c r="Q160" s="1061" t="n"/>
      <c r="R160" s="1061" t="n"/>
      <c r="S160" s="344" t="n"/>
      <c r="T160" s="344" t="n"/>
      <c r="U160" s="1401" t="inlineStr">
        <is>
          <t xml:space="preserve"> .   .   .   .   .   .  </t>
        </is>
      </c>
      <c r="V160" s="2350" t="inlineStr">
        <is>
          <t>22b</t>
        </is>
      </c>
      <c r="W160" s="10222">
        <f>IF($AO$156,"",IF(AM160="",0,ROUND(AM160,0)))</f>
        <v/>
      </c>
      <c r="X160" s="7637" t="n"/>
      <c r="Y160" s="7637" t="n"/>
      <c r="Z160" s="7637" t="n"/>
      <c r="AA160" s="7638" t="n"/>
      <c r="AB160" s="2339" t="n"/>
      <c r="AC160" s="2340" t="n"/>
      <c r="AD160" s="10266" t="n"/>
      <c r="AE160" s="194" t="n"/>
      <c r="AF160" s="194" t="n"/>
      <c r="AG160" s="194" t="n"/>
      <c r="AH160" s="194" t="n"/>
      <c r="AI160" s="194" t="n"/>
      <c r="AJ160" s="194" t="n"/>
      <c r="AK160" s="2013" t="n"/>
      <c r="AL160" s="11602" t="n"/>
      <c r="AM160" s="2361" t="n"/>
      <c r="AN160" s="2362" t="n"/>
      <c r="AO160" s="6603">
        <f>W160=""</f>
        <v/>
      </c>
      <c r="AP160" s="658" t="n"/>
      <c r="AQ160" s="658" t="n"/>
      <c r="AR160" s="658" t="n"/>
      <c r="AS160" s="658" t="n"/>
      <c r="AT160" s="658" t="n"/>
      <c r="AU160" s="658" t="n"/>
      <c r="AV160" s="658" t="n"/>
      <c r="AW160" s="658" t="n"/>
      <c r="AX160" s="658" t="n"/>
      <c r="AY160" s="658" t="n"/>
    </row>
    <row r="161" ht="21.75" customFormat="1" customHeight="1" s="815" thickBot="1">
      <c r="A161" s="2013" t="n"/>
      <c r="B161" s="2353" t="inlineStr">
        <is>
          <t>c</t>
        </is>
      </c>
      <c r="C161" s="7772" t="inlineStr">
        <is>
          <t>Add lines 22a and 22b</t>
        </is>
      </c>
      <c r="D161" s="514" t="n"/>
      <c r="E161" s="514" t="n"/>
      <c r="F161" s="514" t="n"/>
      <c r="G161" s="514" t="n"/>
      <c r="H161" s="514" t="n"/>
      <c r="I161" s="514" t="n"/>
      <c r="J161" s="514" t="n"/>
      <c r="K161" s="514" t="n"/>
      <c r="L161" s="514" t="n"/>
      <c r="M161" s="514" t="n"/>
      <c r="N161" s="514" t="n"/>
      <c r="O161" s="514" t="n"/>
      <c r="P161" s="514" t="n"/>
      <c r="Q161" s="514" t="n"/>
      <c r="R161" s="514" t="n"/>
      <c r="S161" s="514" t="n"/>
      <c r="T161" s="514" t="n"/>
      <c r="U161" s="1401" t="inlineStr">
        <is>
          <t xml:space="preserve">.   .   .   .   .   .   .   .   .   .   .   .   .   .   .   .   .   .   .   .   .   .  </t>
        </is>
      </c>
      <c r="V161" s="2350" t="inlineStr">
        <is>
          <t>22c</t>
        </is>
      </c>
      <c r="W161" s="10222">
        <f>IF(AND($AO$156,$AO$160),"",SUM(ROUND(W156,0),W160))</f>
        <v/>
      </c>
      <c r="X161" s="7637" t="n"/>
      <c r="Y161" s="7637" t="n"/>
      <c r="Z161" s="7637" t="n"/>
      <c r="AA161" s="7638" t="n"/>
      <c r="AB161" s="2339" t="n"/>
      <c r="AC161" s="2340" t="n"/>
      <c r="AD161" s="10250" t="n">
        <v>0.3</v>
      </c>
      <c r="AE161" s="194" t="n"/>
      <c r="AF161" s="194" t="n"/>
      <c r="AG161" s="10265" t="n">
        <v>600</v>
      </c>
      <c r="AH161" s="194" t="n"/>
      <c r="AI161" s="194" t="n"/>
      <c r="AJ161" s="194" t="n"/>
      <c r="AK161" s="2013" t="n"/>
      <c r="AL161" s="11602" t="n"/>
      <c r="AM161" s="226" t="n"/>
      <c r="AN161" s="2362" t="n"/>
      <c r="AO161" s="6603" t="n"/>
      <c r="AP161" s="658" t="n"/>
      <c r="AQ161" s="658" t="n"/>
      <c r="AR161" s="658" t="n"/>
      <c r="AS161" s="658" t="n"/>
      <c r="AT161" s="658" t="n"/>
      <c r="AU161" s="658" t="n"/>
      <c r="AV161" s="658" t="n"/>
      <c r="AW161" s="658" t="n"/>
      <c r="AX161" s="658" t="n"/>
      <c r="AY161" s="658" t="n"/>
    </row>
    <row r="162" ht="21" customFormat="1" customHeight="1" s="815" thickBot="1">
      <c r="A162" s="2013" t="n"/>
      <c r="B162" s="2328" t="inlineStr">
        <is>
          <t>d</t>
        </is>
      </c>
      <c r="C162" s="2299">
        <f>"Multiply line 22c by "&amp;TEXT($AD$100,"0%")&amp;" ("&amp;TEXT($AD$100,"0.00")&amp;").  Enter the results."</f>
        <v/>
      </c>
      <c r="D162" s="8650" t="n"/>
      <c r="E162" s="344" t="n"/>
      <c r="F162" s="344" t="n"/>
      <c r="G162" s="344" t="n"/>
      <c r="H162" s="344" t="n"/>
      <c r="I162" s="344" t="n"/>
      <c r="J162" s="344" t="n"/>
      <c r="K162" s="344" t="n"/>
      <c r="L162" s="344" t="n"/>
      <c r="M162" s="344" t="n"/>
      <c r="N162" s="7865" t="n"/>
      <c r="O162" s="7865" t="n"/>
      <c r="P162" s="2300" t="n"/>
      <c r="Q162" s="2301" t="n"/>
      <c r="R162" s="4998" t="n"/>
      <c r="S162" s="4998" t="inlineStr">
        <is>
          <t xml:space="preserve">Do not enter more than </t>
        </is>
      </c>
      <c r="T162" s="7865">
        <f>TEXT($AD$132,"$0")</f>
        <v/>
      </c>
      <c r="U162" s="344" t="n"/>
      <c r="V162" s="344" t="n"/>
      <c r="W162" s="344" t="n"/>
      <c r="X162" s="344" t="n"/>
      <c r="Y162" s="344" t="n"/>
      <c r="Z162" s="344" t="n"/>
      <c r="AA162" s="1401" t="inlineStr">
        <is>
          <t xml:space="preserve">.   .   .   .   .   .   .   .   .   .   .   .  </t>
        </is>
      </c>
      <c r="AB162" s="12555" t="inlineStr">
        <is>
          <t>22d</t>
        </is>
      </c>
      <c r="AC162" s="7636" t="n"/>
      <c r="AD162" s="10249">
        <f>IF(AM162&lt;&gt;"",ROUND(AM162,0),IF(AND(AO156,AO160),"",MIN(ROUND(W161*$AD$161,0),$AG$161)))</f>
        <v/>
      </c>
      <c r="AE162" s="7637" t="n"/>
      <c r="AF162" s="7637" t="n"/>
      <c r="AG162" s="7637" t="n"/>
      <c r="AH162" s="7637" t="n"/>
      <c r="AI162" s="7637" t="n"/>
      <c r="AJ162" s="7637" t="n"/>
      <c r="AK162" s="2013" t="n"/>
      <c r="AL162" s="11602" t="n"/>
      <c r="AM162" s="2361" t="n"/>
      <c r="AN162" s="2362" t="n"/>
      <c r="AO162" s="6603">
        <f>AD162=""</f>
        <v/>
      </c>
      <c r="AP162" s="658" t="n"/>
      <c r="AQ162" s="658" t="n"/>
      <c r="AR162" s="658" t="n"/>
      <c r="AS162" s="658" t="n"/>
      <c r="AT162" s="658" t="n"/>
      <c r="AU162" s="658" t="n"/>
      <c r="AV162" s="658" t="n"/>
      <c r="AW162" s="658" t="n"/>
      <c r="AX162" s="658" t="n"/>
      <c r="AY162" s="658" t="n"/>
    </row>
    <row r="163" ht="21" customFormat="1" customHeight="1" s="815">
      <c r="A163" s="2013" t="n"/>
      <c r="B163" s="2353" t="inlineStr">
        <is>
          <t>23a</t>
        </is>
      </c>
      <c r="C163" s="2299" t="inlineStr">
        <is>
          <t>Enter the Qualified Manufacturer Identification Number(s) and cost(s) of the two</t>
        </is>
      </c>
      <c r="D163" s="8650" t="n"/>
      <c r="E163" s="344" t="n"/>
      <c r="F163" s="344" t="n"/>
      <c r="G163" s="344" t="n"/>
      <c r="H163" s="344" t="n"/>
      <c r="I163" s="344" t="n"/>
      <c r="J163" s="344" t="n"/>
      <c r="K163" s="1061" t="n"/>
      <c r="L163" s="2300" t="n"/>
      <c r="M163" s="2301" t="n"/>
      <c r="N163" s="1061" t="n"/>
      <c r="O163" s="1061" t="n"/>
      <c r="P163" s="1061" t="n"/>
      <c r="Q163" s="1061" t="n"/>
      <c r="R163" s="1061" t="n"/>
      <c r="S163" s="344" t="n"/>
      <c r="T163" s="344" t="n"/>
      <c r="U163" s="1401" t="n"/>
      <c r="V163" s="2351" t="n"/>
      <c r="W163" s="6416" t="n"/>
      <c r="X163" s="6416" t="n"/>
      <c r="Y163" s="6416" t="n"/>
      <c r="Z163" s="6416" t="n"/>
      <c r="AA163" s="6410" t="n"/>
      <c r="AB163" s="2339" t="n"/>
      <c r="AC163" s="2340" t="n"/>
      <c r="AD163" s="1803" t="n"/>
      <c r="AE163" s="1806" t="n"/>
      <c r="AF163" s="1806" t="n"/>
      <c r="AG163" s="1806" t="n"/>
      <c r="AH163" s="1806" t="n"/>
      <c r="AI163" s="1806" t="n"/>
      <c r="AJ163" s="1806" t="n"/>
      <c r="AK163" s="2013" t="n"/>
      <c r="AL163" s="11602" t="n"/>
      <c r="AM163" s="226" t="n"/>
      <c r="AN163" s="2362" t="n"/>
      <c r="AO163" s="6603">
        <f>W163=""</f>
        <v/>
      </c>
      <c r="AP163" s="658" t="n"/>
      <c r="AQ163" s="658" t="n"/>
      <c r="AR163" s="658" t="n"/>
      <c r="AS163" s="658" t="n"/>
      <c r="AT163" s="658" t="n"/>
      <c r="AU163" s="658" t="n"/>
      <c r="AV163" s="658" t="n"/>
      <c r="AW163" s="658" t="n"/>
      <c r="AX163" s="658" t="n"/>
      <c r="AY163" s="658" t="n"/>
    </row>
    <row r="164" ht="21" customFormat="1" customHeight="1" s="815">
      <c r="A164" s="2013" t="n"/>
      <c r="B164" s="2353" t="n"/>
      <c r="C164" s="2299" t="inlineStr">
        <is>
          <t>most expensive natural gas, propane, or oil water heater(s). If none, enter -0- .</t>
        </is>
      </c>
      <c r="D164" s="8650" t="n"/>
      <c r="E164" s="344" t="n"/>
      <c r="F164" s="344" t="n"/>
      <c r="G164" s="344" t="n"/>
      <c r="H164" s="344" t="n"/>
      <c r="I164" s="344" t="n"/>
      <c r="J164" s="344" t="n"/>
      <c r="K164" s="1061" t="n"/>
      <c r="L164" s="2300" t="n"/>
      <c r="M164" s="2301" t="n"/>
      <c r="N164" s="1061" t="n"/>
      <c r="O164" s="1061" t="n"/>
      <c r="P164" s="1061" t="n"/>
      <c r="Q164" s="1061" t="n"/>
      <c r="R164" s="1061" t="n"/>
      <c r="S164" s="344" t="n"/>
      <c r="T164" s="344" t="n"/>
      <c r="U164" s="1401" t="n"/>
      <c r="V164" s="2350" t="inlineStr">
        <is>
          <t>23a</t>
        </is>
      </c>
      <c r="W164" s="10222">
        <f>IF(AM164&lt;&gt;"",ROUND(AM164,0),IF(AO164,"",SUM(ROUND(V166,0),ROUND(V168,0))))</f>
        <v/>
      </c>
      <c r="X164" s="7637" t="n"/>
      <c r="Y164" s="7637" t="n"/>
      <c r="Z164" s="7637" t="n"/>
      <c r="AA164" s="7638" t="n"/>
      <c r="AB164" s="2339" t="n"/>
      <c r="AC164" s="2340" t="n"/>
      <c r="AD164" s="1803" t="n"/>
      <c r="AE164" s="1806" t="n"/>
      <c r="AF164" s="1806" t="n"/>
      <c r="AG164" s="1806" t="n"/>
      <c r="AH164" s="1806" t="n"/>
      <c r="AI164" s="1806" t="n"/>
      <c r="AJ164" s="1806" t="n"/>
      <c r="AK164" s="2013" t="n"/>
      <c r="AL164" s="11602" t="n"/>
      <c r="AM164" s="226" t="n"/>
      <c r="AN164" s="2362" t="n"/>
      <c r="AO164" s="6603">
        <f>AND(V166="",V168="")</f>
        <v/>
      </c>
      <c r="AP164" s="658" t="n"/>
      <c r="AQ164" s="658" t="n"/>
      <c r="AR164" s="658" t="n"/>
      <c r="AS164" s="658" t="n"/>
      <c r="AT164" s="658" t="n"/>
      <c r="AU164" s="658" t="n"/>
      <c r="AV164" s="658" t="n"/>
      <c r="AW164" s="658" t="n"/>
      <c r="AX164" s="658" t="n"/>
      <c r="AY164" s="658" t="n"/>
    </row>
    <row r="165" ht="9" customFormat="1" customHeight="1" s="815">
      <c r="A165" s="2013" t="n"/>
      <c r="B165" s="2353" t="n"/>
      <c r="C165" s="2353" t="n"/>
      <c r="D165" s="2353" t="n"/>
      <c r="E165" s="2353" t="n"/>
      <c r="F165" s="2353" t="n"/>
      <c r="G165" s="2353" t="n"/>
      <c r="H165" s="2353" t="n"/>
      <c r="I165" s="2353" t="n"/>
      <c r="J165" s="2353" t="n"/>
      <c r="K165" s="2353" t="n"/>
      <c r="L165" s="2353" t="n"/>
      <c r="M165" s="2353" t="n"/>
      <c r="N165" s="2353" t="n"/>
      <c r="O165" s="2353" t="n"/>
      <c r="P165" s="2353" t="n"/>
      <c r="Q165" s="2353" t="n"/>
      <c r="R165" s="2353" t="n"/>
      <c r="S165" s="2353" t="n"/>
      <c r="T165" s="2353" t="n"/>
      <c r="U165" s="2353" t="n"/>
      <c r="V165" s="2353" t="n"/>
      <c r="W165" s="2353" t="n"/>
      <c r="X165" s="2353" t="n"/>
      <c r="Y165" s="2353" t="n"/>
      <c r="Z165" s="2353" t="n"/>
      <c r="AA165" s="2353" t="n"/>
      <c r="AB165" s="2339" t="n"/>
      <c r="AC165" s="2340" t="n"/>
      <c r="AD165" s="1803" t="n"/>
      <c r="AE165" s="1806" t="n"/>
      <c r="AF165" s="1806" t="n"/>
      <c r="AG165" s="1806" t="n"/>
      <c r="AH165" s="1806" t="n"/>
      <c r="AI165" s="1806" t="n"/>
      <c r="AJ165" s="1806" t="n"/>
      <c r="AK165" s="2013" t="n"/>
      <c r="AL165" s="11602" t="n"/>
      <c r="AM165" s="226" t="n"/>
      <c r="AN165" s="2362" t="n"/>
      <c r="AO165" s="6603" t="n"/>
      <c r="AP165" s="658" t="n"/>
      <c r="AQ165" s="658" t="n"/>
      <c r="AR165" s="658" t="n"/>
      <c r="AS165" s="658" t="n"/>
      <c r="AT165" s="658" t="n"/>
      <c r="AU165" s="658" t="n"/>
      <c r="AV165" s="658" t="n"/>
      <c r="AW165" s="658" t="n"/>
      <c r="AX165" s="658" t="n"/>
      <c r="AY165" s="658" t="n"/>
    </row>
    <row r="166" ht="21.75" customFormat="1" customHeight="1" s="815">
      <c r="A166" s="2013" t="n"/>
      <c r="B166" s="6415" t="inlineStr">
        <is>
          <t xml:space="preserve">(i) </t>
        </is>
      </c>
      <c r="C166" s="6413" t="n"/>
      <c r="D166" s="6414" t="n"/>
      <c r="E166" s="6414" t="n"/>
      <c r="F166" s="6414" t="n"/>
      <c r="G166" s="6445" t="n"/>
      <c r="H166" s="6445" t="n"/>
      <c r="I166" s="6445" t="n"/>
      <c r="J166" s="6445" t="n"/>
      <c r="K166" s="6445" t="n"/>
      <c r="L166" s="6446" t="n"/>
      <c r="M166" s="6447" t="n"/>
      <c r="N166" s="6445" t="n"/>
      <c r="O166" s="6445" t="n"/>
      <c r="P166" s="6445" t="n"/>
      <c r="Q166" s="6445" t="n"/>
      <c r="R166" s="6445" t="n"/>
      <c r="S166" s="6445" t="n"/>
      <c r="T166" s="344" t="n"/>
      <c r="U166" s="2371" t="inlineStr">
        <is>
          <t>$</t>
        </is>
      </c>
      <c r="V166" s="10240" t="n"/>
      <c r="W166" s="11717" t="n"/>
      <c r="X166" s="6409" t="n"/>
      <c r="Y166" s="6409" t="n"/>
      <c r="Z166" s="6409" t="n"/>
      <c r="AA166" s="6410" t="n"/>
      <c r="AB166" s="2339" t="n"/>
      <c r="AC166" s="2340" t="n"/>
      <c r="AD166" s="1803" t="n"/>
      <c r="AE166" s="1806" t="n"/>
      <c r="AF166" s="1806" t="n"/>
      <c r="AG166" s="1806" t="n"/>
      <c r="AH166" s="1806" t="n"/>
      <c r="AI166" s="1806" t="n"/>
      <c r="AJ166" s="1806" t="n"/>
      <c r="AK166" s="2013" t="n"/>
      <c r="AL166" s="11602" t="n"/>
      <c r="AM166" s="226" t="n"/>
      <c r="AN166" s="2362" t="n"/>
      <c r="AO166" s="6603">
        <f>(AM162&gt;AD132)</f>
        <v/>
      </c>
      <c r="AP166" s="658" t="n"/>
      <c r="AQ166" s="658" t="n"/>
      <c r="AR166" s="658" t="n"/>
      <c r="AS166" s="658" t="n"/>
      <c r="AT166" s="658" t="n"/>
      <c r="AU166" s="658" t="n"/>
      <c r="AV166" s="658" t="n"/>
      <c r="AW166" s="658" t="n"/>
      <c r="AX166" s="658" t="n"/>
      <c r="AY166" s="658" t="n"/>
    </row>
    <row r="167" ht="6" customFormat="1" customHeight="1" s="815">
      <c r="A167" s="2013" t="n"/>
      <c r="B167" s="6415" t="n"/>
      <c r="C167" s="6416" t="n"/>
      <c r="D167" s="6416" t="n"/>
      <c r="E167" s="6416" t="n"/>
      <c r="F167" s="6416" t="n"/>
      <c r="G167" s="6416" t="n"/>
      <c r="H167" s="6416" t="n"/>
      <c r="I167" s="6416" t="n"/>
      <c r="J167" s="6416" t="n"/>
      <c r="K167" s="6416" t="n"/>
      <c r="L167" s="6416" t="n"/>
      <c r="M167" s="6416" t="n"/>
      <c r="N167" s="6416" t="n"/>
      <c r="O167" s="6416" t="n"/>
      <c r="P167" s="6416" t="n"/>
      <c r="Q167" s="6416" t="n"/>
      <c r="R167" s="6416" t="n"/>
      <c r="S167" s="6416" t="n"/>
      <c r="T167" s="6416" t="n"/>
      <c r="U167" s="6416" t="n"/>
      <c r="V167" s="6416" t="n"/>
      <c r="W167" s="6416" t="n"/>
      <c r="X167" s="6416" t="n"/>
      <c r="Y167" s="6416" t="n"/>
      <c r="Z167" s="6416" t="n"/>
      <c r="AA167" s="6410" t="n"/>
      <c r="AB167" s="2339" t="n"/>
      <c r="AC167" s="2340" t="n"/>
      <c r="AD167" s="1803" t="n"/>
      <c r="AE167" s="1806" t="n"/>
      <c r="AF167" s="1806" t="n"/>
      <c r="AG167" s="1806" t="n"/>
      <c r="AH167" s="1806" t="n"/>
      <c r="AI167" s="1806" t="n"/>
      <c r="AJ167" s="1806" t="n"/>
      <c r="AK167" s="2013" t="n"/>
      <c r="AL167" s="11602" t="n"/>
      <c r="AM167" s="226" t="n"/>
      <c r="AN167" s="2362" t="n"/>
      <c r="AO167" s="6603" t="n"/>
      <c r="AP167" s="658" t="n"/>
      <c r="AQ167" s="658" t="n"/>
      <c r="AR167" s="658" t="n"/>
      <c r="AS167" s="658" t="n"/>
      <c r="AT167" s="658" t="n"/>
      <c r="AU167" s="658" t="n"/>
      <c r="AV167" s="658" t="n"/>
      <c r="AW167" s="658" t="n"/>
      <c r="AX167" s="658" t="n"/>
      <c r="AY167" s="658" t="n"/>
    </row>
    <row r="168" ht="21.75" customFormat="1" customHeight="1" s="815">
      <c r="A168" s="2013" t="n"/>
      <c r="B168" s="6415" t="inlineStr">
        <is>
          <t xml:space="preserve">(ii) </t>
        </is>
      </c>
      <c r="C168" s="6413" t="n"/>
      <c r="D168" s="6414" t="n"/>
      <c r="E168" s="6414" t="n"/>
      <c r="F168" s="6414" t="n"/>
      <c r="G168" s="6445" t="n"/>
      <c r="H168" s="6445" t="n"/>
      <c r="I168" s="6445" t="n"/>
      <c r="J168" s="6445" t="n"/>
      <c r="K168" s="6445" t="n"/>
      <c r="L168" s="6446" t="n"/>
      <c r="M168" s="6447" t="n"/>
      <c r="N168" s="6445" t="n"/>
      <c r="O168" s="6445" t="n"/>
      <c r="P168" s="6445" t="n"/>
      <c r="Q168" s="6445" t="n"/>
      <c r="R168" s="6445" t="n"/>
      <c r="S168" s="6445" t="n"/>
      <c r="T168" s="344" t="n"/>
      <c r="U168" s="2371" t="inlineStr">
        <is>
          <t>$</t>
        </is>
      </c>
      <c r="V168" s="10240" t="n"/>
      <c r="W168" s="11717" t="n"/>
      <c r="X168" s="6409" t="n"/>
      <c r="Y168" s="6409" t="n"/>
      <c r="Z168" s="6409" t="n"/>
      <c r="AA168" s="6410" t="n"/>
      <c r="AB168" s="2339" t="n"/>
      <c r="AC168" s="2340" t="n"/>
      <c r="AD168" s="1803" t="n"/>
      <c r="AE168" s="1806" t="n"/>
      <c r="AF168" s="1806" t="n"/>
      <c r="AG168" s="1806" t="n"/>
      <c r="AH168" s="1806" t="n"/>
      <c r="AI168" s="1806" t="n"/>
      <c r="AJ168" s="1806" t="n"/>
      <c r="AK168" s="2013" t="n"/>
      <c r="AL168" s="11602" t="n"/>
      <c r="AM168" s="226" t="n"/>
      <c r="AN168" s="2362" t="n"/>
      <c r="AO168" s="6603" t="n"/>
      <c r="AP168" s="658" t="n"/>
      <c r="AQ168" s="658" t="n"/>
      <c r="AR168" s="658" t="n"/>
      <c r="AS168" s="658" t="n"/>
      <c r="AT168" s="658" t="n"/>
      <c r="AU168" s="658" t="n"/>
      <c r="AV168" s="658" t="n"/>
      <c r="AW168" s="658" t="n"/>
      <c r="AX168" s="658" t="n"/>
      <c r="AY168" s="658" t="n"/>
    </row>
    <row r="169" ht="6" customFormat="1" customHeight="1" s="815">
      <c r="A169" s="2013" t="n"/>
      <c r="B169" s="6415" t="n"/>
      <c r="C169" s="6416" t="n"/>
      <c r="D169" s="6416" t="n"/>
      <c r="E169" s="6416" t="n"/>
      <c r="F169" s="6416" t="n"/>
      <c r="G169" s="6416" t="n"/>
      <c r="H169" s="6416" t="n"/>
      <c r="I169" s="6416" t="n"/>
      <c r="J169" s="6416" t="n"/>
      <c r="K169" s="6416" t="n"/>
      <c r="L169" s="6416" t="n"/>
      <c r="M169" s="6416" t="n"/>
      <c r="N169" s="6416" t="n"/>
      <c r="O169" s="6416" t="n"/>
      <c r="P169" s="6416" t="n"/>
      <c r="Q169" s="6416" t="n"/>
      <c r="R169" s="6416" t="n"/>
      <c r="S169" s="6416" t="n"/>
      <c r="T169" s="6416" t="n"/>
      <c r="U169" s="6416" t="n"/>
      <c r="V169" s="6416" t="n"/>
      <c r="W169" s="6416" t="n"/>
      <c r="X169" s="6416" t="n"/>
      <c r="Y169" s="6416" t="n"/>
      <c r="Z169" s="6416" t="n"/>
      <c r="AA169" s="6410" t="n"/>
      <c r="AB169" s="2339" t="n"/>
      <c r="AC169" s="2340" t="n"/>
      <c r="AD169" s="1803" t="n"/>
      <c r="AE169" s="1806" t="n"/>
      <c r="AF169" s="1806" t="n"/>
      <c r="AG169" s="1806" t="n"/>
      <c r="AH169" s="1806" t="n"/>
      <c r="AI169" s="1806" t="n"/>
      <c r="AJ169" s="1806" t="n"/>
      <c r="AK169" s="2013" t="n"/>
      <c r="AL169" s="11602" t="n"/>
      <c r="AM169" s="226" t="n"/>
      <c r="AN169" s="2362" t="n"/>
      <c r="AO169" s="6603" t="n"/>
      <c r="AP169" s="658" t="n"/>
      <c r="AQ169" s="658" t="n"/>
      <c r="AR169" s="658" t="n"/>
      <c r="AS169" s="658" t="n"/>
      <c r="AT169" s="658" t="n"/>
      <c r="AU169" s="658" t="n"/>
      <c r="AV169" s="658" t="n"/>
      <c r="AW169" s="658" t="n"/>
      <c r="AX169" s="658" t="n"/>
      <c r="AY169" s="658" t="n"/>
    </row>
    <row r="170" ht="18.75" customFormat="1" customHeight="1" s="815" thickBot="1">
      <c r="A170" s="2013" t="n"/>
      <c r="B170" s="2353" t="inlineStr">
        <is>
          <t>b</t>
        </is>
      </c>
      <c r="C170" s="2299" t="inlineStr">
        <is>
          <t>Enter the cost of all other natural gas, propane, or oil water heaters. If none,</t>
        </is>
      </c>
      <c r="D170" s="6416" t="n"/>
      <c r="E170" s="6416" t="n"/>
      <c r="F170" s="6416" t="n"/>
      <c r="G170" s="6416" t="n"/>
      <c r="H170" s="6416" t="n"/>
      <c r="I170" s="6416" t="n"/>
      <c r="J170" s="6416" t="n"/>
      <c r="K170" s="6416" t="n"/>
      <c r="L170" s="6416" t="n"/>
      <c r="M170" s="6416" t="n"/>
      <c r="N170" s="6416" t="n"/>
      <c r="O170" s="6416" t="n"/>
      <c r="P170" s="6416" t="n"/>
      <c r="Q170" s="6416" t="n"/>
      <c r="R170" s="6416" t="n"/>
      <c r="S170" s="6416" t="n"/>
      <c r="T170" s="6416" t="n"/>
      <c r="U170" s="6416" t="n"/>
      <c r="V170" s="2349" t="n"/>
      <c r="W170" s="6416" t="n"/>
      <c r="X170" s="6416" t="n"/>
      <c r="Y170" s="6416" t="n"/>
      <c r="Z170" s="6416" t="n"/>
      <c r="AA170" s="6410" t="n"/>
      <c r="AB170" s="2339" t="n"/>
      <c r="AC170" s="2340" t="n"/>
      <c r="AD170" s="1803" t="n"/>
      <c r="AE170" s="1806" t="n"/>
      <c r="AF170" s="1806" t="n"/>
      <c r="AG170" s="1806" t="n"/>
      <c r="AH170" s="1806" t="n"/>
      <c r="AI170" s="1806" t="n"/>
      <c r="AJ170" s="1806" t="n"/>
      <c r="AK170" s="2013" t="n"/>
      <c r="AL170" s="11602" t="n"/>
      <c r="AM170" s="226" t="n"/>
      <c r="AN170" s="2362" t="n"/>
      <c r="AO170" s="6603" t="n"/>
      <c r="AP170" s="658" t="n"/>
      <c r="AQ170" s="658" t="n"/>
      <c r="AR170" s="658" t="n"/>
      <c r="AS170" s="658" t="n"/>
      <c r="AT170" s="658" t="n"/>
      <c r="AU170" s="658" t="n"/>
      <c r="AV170" s="658" t="n"/>
      <c r="AW170" s="658" t="n"/>
      <c r="AX170" s="658" t="n"/>
      <c r="AY170" s="658" t="n"/>
    </row>
    <row r="171" ht="21" customFormat="1" customHeight="1" s="815" thickBot="1">
      <c r="A171" s="2013" t="n"/>
      <c r="B171" s="2353" t="n"/>
      <c r="C171" s="2299" t="inlineStr">
        <is>
          <t>enter -0-</t>
        </is>
      </c>
      <c r="D171" s="8650" t="n"/>
      <c r="E171" s="344" t="n"/>
      <c r="F171" s="344" t="n"/>
      <c r="G171" s="344" t="n"/>
      <c r="H171" s="344" t="n"/>
      <c r="I171" s="344" t="n"/>
      <c r="J171" s="344" t="n"/>
      <c r="K171" s="1061" t="n"/>
      <c r="L171" s="2300" t="n"/>
      <c r="M171" s="2301" t="n"/>
      <c r="N171" s="1061" t="n"/>
      <c r="O171" s="1061" t="n"/>
      <c r="P171" s="1061" t="n"/>
      <c r="Q171" s="1061" t="n"/>
      <c r="R171" s="1061" t="n"/>
      <c r="S171" s="344" t="n"/>
      <c r="T171" s="344" t="n"/>
      <c r="U171" s="1401" t="inlineStr">
        <is>
          <t xml:space="preserve">.   .   .   .   .   .   .   .   .   .   .   .   .   .   .   .   .   .   .   .   .   .   .   .   .   .   .   .   .   .  </t>
        </is>
      </c>
      <c r="V171" s="2350" t="inlineStr">
        <is>
          <t>23b</t>
        </is>
      </c>
      <c r="W171" s="10222">
        <f>IF(AND(AO164,AO171),"",IF(AM171="",0,ROUND(AM171,0)))</f>
        <v/>
      </c>
      <c r="X171" s="7637" t="n"/>
      <c r="Y171" s="7637" t="n"/>
      <c r="Z171" s="7637" t="n"/>
      <c r="AA171" s="7638" t="n"/>
      <c r="AB171" s="2339" t="n"/>
      <c r="AC171" s="2340" t="n"/>
      <c r="AD171" s="10250" t="n">
        <v>0.3</v>
      </c>
      <c r="AE171" s="194" t="n"/>
      <c r="AF171" s="194" t="n"/>
      <c r="AG171" s="10265" t="n">
        <v>600</v>
      </c>
      <c r="AH171" s="194" t="n"/>
      <c r="AI171" s="194" t="n"/>
      <c r="AJ171" s="194" t="n"/>
      <c r="AK171" s="2013" t="n"/>
      <c r="AL171" s="11602" t="n"/>
      <c r="AM171" s="2361" t="n"/>
      <c r="AN171" s="2362" t="n"/>
      <c r="AO171" s="6603">
        <f>AM171=""</f>
        <v/>
      </c>
      <c r="AP171" s="658" t="n"/>
      <c r="AQ171" s="658" t="n"/>
      <c r="AR171" s="658" t="n"/>
      <c r="AS171" s="658" t="n"/>
      <c r="AT171" s="658" t="n"/>
      <c r="AU171" s="658" t="n"/>
      <c r="AV171" s="658" t="n"/>
      <c r="AW171" s="658" t="n"/>
      <c r="AX171" s="658" t="n"/>
      <c r="AY171" s="658" t="n"/>
    </row>
    <row r="172" ht="21.75" customFormat="1" customHeight="1" s="815" thickBot="1">
      <c r="A172" s="2013" t="n"/>
      <c r="B172" s="2353" t="inlineStr">
        <is>
          <t>c</t>
        </is>
      </c>
      <c r="C172" s="7772" t="inlineStr">
        <is>
          <t>Add lines 23a and 23b</t>
        </is>
      </c>
      <c r="D172" s="514" t="n"/>
      <c r="E172" s="514" t="n"/>
      <c r="F172" s="514" t="n"/>
      <c r="G172" s="514" t="n"/>
      <c r="H172" s="514" t="n"/>
      <c r="I172" s="514" t="n"/>
      <c r="J172" s="514" t="n"/>
      <c r="K172" s="514" t="n"/>
      <c r="L172" s="514" t="n"/>
      <c r="M172" s="514" t="n"/>
      <c r="N172" s="514" t="n"/>
      <c r="O172" s="514" t="n"/>
      <c r="P172" s="514" t="n"/>
      <c r="Q172" s="514" t="n"/>
      <c r="R172" s="514" t="n"/>
      <c r="S172" s="514" t="n"/>
      <c r="T172" s="514" t="n"/>
      <c r="U172" s="1401" t="inlineStr">
        <is>
          <t xml:space="preserve">.   .   .   .   .   .   .   .   .   .   .   .   .   .   .   .   .   .   .   .   .   .  </t>
        </is>
      </c>
      <c r="V172" s="2350" t="inlineStr">
        <is>
          <t>23c</t>
        </is>
      </c>
      <c r="W172" s="10222">
        <f>IF(AND(AO164,AO171),"",SUM(W164,W171))</f>
        <v/>
      </c>
      <c r="X172" s="7637" t="n"/>
      <c r="Y172" s="7637" t="n"/>
      <c r="Z172" s="7637" t="n"/>
      <c r="AA172" s="7638" t="n"/>
      <c r="AB172" s="2339" t="n"/>
      <c r="AC172" s="2340" t="n"/>
      <c r="AD172" s="10266" t="n"/>
      <c r="AE172" s="194" t="n"/>
      <c r="AF172" s="194" t="n"/>
      <c r="AG172" s="194" t="n"/>
      <c r="AH172" s="194" t="n"/>
      <c r="AI172" s="194" t="n"/>
      <c r="AJ172" s="194" t="n"/>
      <c r="AK172" s="2013" t="n"/>
      <c r="AL172" s="11602" t="n"/>
      <c r="AM172" s="226" t="n"/>
      <c r="AN172" s="2362" t="n"/>
      <c r="AO172" s="6603" t="n"/>
      <c r="AP172" s="658" t="n"/>
      <c r="AQ172" s="658" t="n"/>
      <c r="AR172" s="658" t="n"/>
      <c r="AS172" s="658" t="n"/>
      <c r="AT172" s="658" t="n"/>
      <c r="AU172" s="658" t="n"/>
      <c r="AV172" s="658" t="n"/>
      <c r="AW172" s="658" t="n"/>
      <c r="AX172" s="658" t="n"/>
      <c r="AY172" s="658" t="n"/>
    </row>
    <row r="173" ht="21" customFormat="1" customHeight="1" s="815" thickBot="1">
      <c r="A173" s="2013" t="n"/>
      <c r="B173" s="2328" t="inlineStr">
        <is>
          <t>d</t>
        </is>
      </c>
      <c r="C173" s="9847">
        <f>"Multiply line 23c by "&amp;TEXT($AD$161,"0%")&amp;" ("&amp;TEXT($AD$161,"0.00")&amp;"). Enter the results."</f>
        <v/>
      </c>
      <c r="D173" s="9847" t="n"/>
      <c r="E173" s="344" t="n"/>
      <c r="F173" s="344" t="n"/>
      <c r="G173" s="344" t="n"/>
      <c r="H173" s="344" t="n"/>
      <c r="I173" s="344" t="n"/>
      <c r="J173" s="344" t="n"/>
      <c r="K173" s="344" t="n"/>
      <c r="L173" s="344" t="n"/>
      <c r="M173" s="344" t="n"/>
      <c r="N173" s="344" t="n"/>
      <c r="O173" s="7772" t="n"/>
      <c r="P173" s="344" t="n"/>
      <c r="Q173" s="344" t="n"/>
      <c r="R173" s="344" t="n"/>
      <c r="S173" s="344" t="n"/>
      <c r="T173" s="6429" t="inlineStr">
        <is>
          <t xml:space="preserve">Do not enter more than </t>
        </is>
      </c>
      <c r="U173" s="2311">
        <f>TEXT($AG$161,"$0")</f>
        <v/>
      </c>
      <c r="V173" s="344" t="n"/>
      <c r="W173" s="344" t="n"/>
      <c r="X173" s="344" t="n"/>
      <c r="Y173" s="344" t="n"/>
      <c r="Z173" s="344" t="n"/>
      <c r="AA173" s="1401" t="inlineStr">
        <is>
          <t xml:space="preserve">.   .   .   .   .   .   .   .   .   .   .   .   .  </t>
        </is>
      </c>
      <c r="AB173" s="12555" t="inlineStr">
        <is>
          <t>23d</t>
        </is>
      </c>
      <c r="AC173" s="7636" t="n"/>
      <c r="AD173" s="10249">
        <f>IF(AM173&lt;&gt;"",ROUND(AM173,0),IF(AND(AO164,AO171),"",MIN(ROUND(W172*$AD$161,0),$AG$161)))</f>
        <v/>
      </c>
      <c r="AE173" s="7637" t="n"/>
      <c r="AF173" s="7637" t="n"/>
      <c r="AG173" s="7637" t="n"/>
      <c r="AH173" s="7637" t="n"/>
      <c r="AI173" s="7637" t="n"/>
      <c r="AJ173" s="7637" t="n"/>
      <c r="AK173" s="2013" t="n"/>
      <c r="AL173" s="11602" t="n"/>
      <c r="AM173" s="2361" t="n"/>
      <c r="AN173" s="2362" t="n"/>
      <c r="AO173" s="6603">
        <f>AD173=""</f>
        <v/>
      </c>
      <c r="AP173" s="658" t="n"/>
      <c r="AQ173" s="658" t="n"/>
      <c r="AR173" s="658" t="n"/>
      <c r="AS173" s="658" t="n"/>
      <c r="AT173" s="658" t="n"/>
      <c r="AU173" s="658" t="n"/>
      <c r="AV173" s="658" t="n"/>
      <c r="AW173" s="658" t="n"/>
      <c r="AX173" s="658" t="n"/>
      <c r="AY173" s="658" t="n"/>
    </row>
    <row r="174" ht="16.5" customFormat="1" customHeight="1" s="815">
      <c r="A174" s="2013" t="n"/>
      <c r="B174" s="11191" t="n"/>
      <c r="C174" s="2299" t="inlineStr">
        <is>
          <t>Enter the Qualified Manufacturer Identification Number and cost of the most</t>
        </is>
      </c>
      <c r="D174" s="8650" t="n"/>
      <c r="E174" s="344" t="n"/>
      <c r="F174" s="344" t="n"/>
      <c r="G174" s="344" t="n"/>
      <c r="H174" s="344" t="n"/>
      <c r="I174" s="344" t="n"/>
      <c r="J174" s="344" t="n"/>
      <c r="K174" s="1061" t="n"/>
      <c r="L174" s="2300" t="n"/>
      <c r="M174" s="2301" t="n"/>
      <c r="N174" s="1061" t="n"/>
      <c r="O174" s="1061" t="n"/>
      <c r="P174" s="1061" t="n"/>
      <c r="Q174" s="1061" t="n"/>
      <c r="R174" s="1061" t="n"/>
      <c r="S174" s="344" t="n"/>
      <c r="T174" s="344" t="n"/>
      <c r="U174" s="1401" t="n"/>
      <c r="V174" s="2349" t="n"/>
      <c r="W174" s="9750" t="n"/>
      <c r="X174" s="1205" t="n"/>
      <c r="Y174" s="1205" t="n"/>
      <c r="Z174" s="1205" t="n"/>
      <c r="AA174" s="1401" t="n"/>
      <c r="AB174" s="2339" t="n"/>
      <c r="AC174" s="2340" t="n"/>
      <c r="AD174" s="1803" t="n"/>
      <c r="AE174" s="1806" t="n"/>
      <c r="AF174" s="1806" t="n"/>
      <c r="AG174" s="1806" t="n"/>
      <c r="AH174" s="1806" t="n"/>
      <c r="AI174" s="1806" t="n"/>
      <c r="AJ174" s="1806" t="n"/>
      <c r="AK174" s="2013" t="n"/>
      <c r="AL174" s="11602" t="n"/>
      <c r="AM174" s="226" t="n"/>
      <c r="AN174" s="2362" t="n"/>
      <c r="AO174" s="6603">
        <f>AM173&gt;$AG$161</f>
        <v/>
      </c>
      <c r="AP174" s="658" t="n"/>
      <c r="AQ174" s="658" t="n"/>
      <c r="AR174" s="658" t="n"/>
      <c r="AS174" s="658" t="n"/>
      <c r="AT174" s="658" t="n"/>
      <c r="AU174" s="658" t="n"/>
      <c r="AV174" s="658" t="n"/>
      <c r="AW174" s="658" t="n"/>
      <c r="AX174" s="658" t="n"/>
      <c r="AY174" s="658" t="n"/>
    </row>
    <row r="175" ht="16.5" customFormat="1" customHeight="1" s="815">
      <c r="A175" s="2013" t="n"/>
      <c r="B175" s="2353" t="n"/>
      <c r="C175" s="2299" t="inlineStr">
        <is>
          <t>assembly, and original installation). (See instructions.)</t>
        </is>
      </c>
      <c r="D175" s="8650" t="n"/>
      <c r="E175" s="344" t="n"/>
      <c r="F175" s="344" t="n"/>
      <c r="G175" s="344" t="n"/>
      <c r="H175" s="344" t="n"/>
      <c r="I175" s="344" t="n"/>
      <c r="J175" s="344" t="n"/>
      <c r="K175" s="1061" t="n"/>
      <c r="L175" s="2300" t="n"/>
      <c r="M175" s="2301" t="n"/>
      <c r="N175" s="1061" t="n"/>
      <c r="O175" s="1061" t="n"/>
      <c r="P175" s="1061" t="n"/>
      <c r="Q175" s="1061" t="n"/>
      <c r="R175" s="1061" t="n"/>
      <c r="S175" s="344" t="n"/>
      <c r="T175" s="344" t="n"/>
      <c r="U175" s="344" t="n"/>
      <c r="V175" s="2349" t="n"/>
      <c r="W175" s="9750" t="n"/>
      <c r="X175" s="1205" t="n"/>
      <c r="Y175" s="1205" t="n"/>
      <c r="Z175" s="1205" t="n"/>
      <c r="AA175" s="1401" t="n"/>
      <c r="AB175" s="2339" t="n"/>
      <c r="AC175" s="2340" t="n"/>
      <c r="AD175" s="1803" t="n"/>
      <c r="AE175" s="1806" t="n"/>
      <c r="AF175" s="1806" t="n"/>
      <c r="AG175" s="1806" t="n"/>
      <c r="AH175" s="1806" t="n"/>
      <c r="AI175" s="1806" t="n"/>
      <c r="AJ175" s="1806" t="n"/>
      <c r="AK175" s="2013" t="n"/>
      <c r="AL175" s="11602" t="n"/>
      <c r="AM175" s="226" t="n"/>
      <c r="AN175" s="2362" t="n"/>
      <c r="AO175" s="6603" t="n"/>
      <c r="AP175" s="658" t="n"/>
      <c r="AQ175" s="658" t="n"/>
      <c r="AR175" s="658" t="n"/>
      <c r="AS175" s="658" t="n"/>
      <c r="AT175" s="658" t="n"/>
      <c r="AU175" s="658" t="n"/>
      <c r="AV175" s="658" t="n"/>
      <c r="AW175" s="658" t="n"/>
      <c r="AX175" s="658" t="n"/>
      <c r="AY175" s="658" t="n"/>
    </row>
    <row r="176" ht="21.75" customFormat="1" customHeight="1" s="815">
      <c r="A176" s="2013" t="n"/>
      <c r="B176" s="11191" t="inlineStr">
        <is>
          <t>24a</t>
        </is>
      </c>
      <c r="C176" s="2299" t="inlineStr">
        <is>
          <t>Enter the Qualified Manufacturer Identification Number and cost of the most</t>
        </is>
      </c>
      <c r="D176" s="8650" t="n"/>
      <c r="E176" s="344" t="n"/>
      <c r="F176" s="344" t="n"/>
      <c r="G176" s="344" t="n"/>
      <c r="H176" s="344" t="n"/>
      <c r="I176" s="344" t="n"/>
      <c r="J176" s="344" t="n"/>
      <c r="K176" s="1061" t="n"/>
      <c r="L176" s="2300" t="n"/>
      <c r="M176" s="2301" t="n"/>
      <c r="N176" s="1061" t="n"/>
      <c r="O176" s="1061" t="n"/>
      <c r="P176" s="1061" t="n"/>
      <c r="Q176" s="1061" t="n"/>
      <c r="R176" s="1061" t="n"/>
      <c r="S176" s="344" t="n"/>
      <c r="T176" s="344" t="n"/>
      <c r="U176" s="344" t="n"/>
      <c r="V176" s="2351" t="n"/>
      <c r="W176" s="6408" t="n"/>
      <c r="X176" s="6409" t="n"/>
      <c r="Y176" s="6409" t="n"/>
      <c r="Z176" s="6409" t="n"/>
      <c r="AA176" s="6410" t="n"/>
      <c r="AB176" s="2339" t="n"/>
      <c r="AC176" s="2340" t="n"/>
      <c r="AD176" s="1803" t="n"/>
      <c r="AE176" s="1806" t="n"/>
      <c r="AF176" s="1806" t="n"/>
      <c r="AG176" s="1806" t="n"/>
      <c r="AH176" s="1806" t="n"/>
      <c r="AI176" s="1806" t="n"/>
      <c r="AJ176" s="1806" t="n"/>
      <c r="AK176" s="2013" t="n"/>
      <c r="AL176" s="11602" t="n"/>
      <c r="AM176" s="5425" t="n"/>
      <c r="AN176" s="2362" t="n"/>
      <c r="AO176" s="6603" t="n"/>
      <c r="AP176" s="658" t="n"/>
      <c r="AQ176" s="658" t="n"/>
      <c r="AR176" s="658" t="n"/>
      <c r="AS176" s="658" t="n"/>
      <c r="AT176" s="658" t="n"/>
      <c r="AU176" s="658" t="n"/>
      <c r="AV176" s="658" t="n"/>
      <c r="AW176" s="658" t="n"/>
      <c r="AX176" s="658" t="n"/>
      <c r="AY176" s="658" t="n"/>
    </row>
    <row r="177" ht="18" customFormat="1" customHeight="1" s="815">
      <c r="A177" s="2013" t="n"/>
      <c r="B177" s="2353" t="n"/>
      <c r="C177" s="2381" t="inlineStr">
        <is>
          <t>expensive natural gas, propane, or oil furnace or hot water boiler</t>
        </is>
      </c>
      <c r="D177" s="8650" t="n"/>
      <c r="E177" s="344" t="n"/>
      <c r="F177" s="344" t="n"/>
      <c r="G177" s="344" t="n"/>
      <c r="H177" s="344" t="n"/>
      <c r="I177" s="344" t="n"/>
      <c r="J177" s="344" t="n"/>
      <c r="K177" s="1061" t="n"/>
      <c r="L177" s="2300" t="n"/>
      <c r="M177" s="2301" t="n"/>
      <c r="N177" s="1061" t="n"/>
      <c r="O177" s="1061" t="n"/>
      <c r="P177" s="1061" t="n"/>
      <c r="Q177" s="1061" t="n"/>
      <c r="R177" s="1061" t="n"/>
      <c r="S177" s="344" t="n"/>
      <c r="T177" s="344" t="n"/>
      <c r="U177" s="1401" t="inlineStr">
        <is>
          <t xml:space="preserve">.   .   .   .   .  </t>
        </is>
      </c>
      <c r="V177" s="2350" t="inlineStr">
        <is>
          <t>24a</t>
        </is>
      </c>
      <c r="W177" s="10220" t="n"/>
      <c r="X177" s="11717" t="n"/>
      <c r="Y177" s="11717" t="n"/>
      <c r="Z177" s="11717" t="n"/>
      <c r="AA177" s="11718" t="n"/>
      <c r="AB177" s="2339" t="n"/>
      <c r="AC177" s="2340" t="n"/>
      <c r="AD177" s="1803" t="n"/>
      <c r="AE177" s="1806" t="n"/>
      <c r="AF177" s="1806" t="n"/>
      <c r="AG177" s="1806" t="n"/>
      <c r="AH177" s="1806" t="n"/>
      <c r="AI177" s="1806" t="n"/>
      <c r="AJ177" s="1806" t="n"/>
      <c r="AK177" s="2013" t="n"/>
      <c r="AL177" s="11602" t="n"/>
      <c r="AM177" s="226" t="n"/>
      <c r="AN177" s="2362" t="n"/>
      <c r="AO177" s="6603">
        <f>AND(W177="",AM182="")</f>
        <v/>
      </c>
      <c r="AP177" s="658" t="n"/>
      <c r="AQ177" s="658" t="n"/>
      <c r="AR177" s="658" t="n"/>
      <c r="AS177" s="658" t="n"/>
      <c r="AT177" s="658" t="n"/>
      <c r="AU177" s="658" t="n"/>
      <c r="AV177" s="658" t="n"/>
      <c r="AW177" s="658" t="n"/>
      <c r="AX177" s="658" t="n"/>
      <c r="AY177" s="658" t="n"/>
    </row>
    <row r="178" ht="9" customFormat="1" customHeight="1" s="815">
      <c r="A178" s="2013" t="n"/>
      <c r="B178" s="2353" t="n"/>
      <c r="C178" s="2353" t="n"/>
      <c r="D178" s="2353" t="n"/>
      <c r="E178" s="2353" t="n"/>
      <c r="F178" s="2353" t="n"/>
      <c r="G178" s="2353" t="n"/>
      <c r="H178" s="2353" t="n"/>
      <c r="I178" s="2353" t="n"/>
      <c r="J178" s="2353" t="n"/>
      <c r="K178" s="2353" t="n"/>
      <c r="L178" s="2353" t="n"/>
      <c r="M178" s="2353" t="n"/>
      <c r="N178" s="2353" t="n"/>
      <c r="O178" s="2353" t="n"/>
      <c r="P178" s="2353" t="n"/>
      <c r="Q178" s="2353" t="n"/>
      <c r="R178" s="2353" t="n"/>
      <c r="S178" s="2353" t="n"/>
      <c r="T178" s="2353" t="n"/>
      <c r="U178" s="2353" t="n"/>
      <c r="V178" s="2353" t="n"/>
      <c r="W178" s="2353" t="n"/>
      <c r="X178" s="2353" t="n"/>
      <c r="Y178" s="2353" t="n"/>
      <c r="Z178" s="2353" t="n"/>
      <c r="AA178" s="2353" t="n"/>
      <c r="AB178" s="2339" t="n"/>
      <c r="AC178" s="2340" t="n"/>
      <c r="AD178" s="1803" t="n"/>
      <c r="AE178" s="1806" t="n"/>
      <c r="AF178" s="1806" t="n"/>
      <c r="AG178" s="1806" t="n"/>
      <c r="AH178" s="1806" t="n"/>
      <c r="AI178" s="1806" t="n"/>
      <c r="AJ178" s="1806" t="n"/>
      <c r="AK178" s="2013" t="n"/>
      <c r="AL178" s="11602" t="n"/>
      <c r="AM178" s="226" t="n"/>
      <c r="AN178" s="2362" t="n"/>
      <c r="AO178" s="6603" t="n"/>
      <c r="AP178" s="658" t="n"/>
      <c r="AQ178" s="658" t="n"/>
      <c r="AR178" s="658" t="n"/>
      <c r="AS178" s="658" t="n"/>
      <c r="AT178" s="658" t="n"/>
      <c r="AU178" s="658" t="n"/>
      <c r="AV178" s="658" t="n"/>
      <c r="AW178" s="658" t="n"/>
      <c r="AX178" s="658" t="n"/>
      <c r="AY178" s="658" t="n"/>
    </row>
    <row r="179" ht="21.75" customFormat="1" customHeight="1" s="815">
      <c r="A179" s="2013" t="n"/>
      <c r="B179" s="6415" t="n"/>
      <c r="C179" s="6413" t="n"/>
      <c r="D179" s="6414" t="n"/>
      <c r="E179" s="6414" t="n"/>
      <c r="F179" s="6414" t="n"/>
      <c r="G179" s="6445" t="n"/>
      <c r="H179" s="6445" t="n"/>
      <c r="I179" s="6445" t="n"/>
      <c r="J179" s="6445" t="n"/>
      <c r="K179" s="6445" t="n"/>
      <c r="L179" s="6446" t="n"/>
      <c r="M179" s="6447" t="n"/>
      <c r="N179" s="6445" t="n"/>
      <c r="O179" s="6445" t="n"/>
      <c r="P179" s="6445" t="n"/>
      <c r="Q179" s="6445" t="n"/>
      <c r="R179" s="6445" t="n"/>
      <c r="S179" s="6445" t="n"/>
      <c r="T179" s="344" t="n"/>
      <c r="U179" s="6409" t="n"/>
      <c r="V179" s="6409" t="n"/>
      <c r="W179" s="6409" t="n"/>
      <c r="X179" s="6409" t="n"/>
      <c r="Y179" s="6409" t="n"/>
      <c r="Z179" s="6409" t="n"/>
      <c r="AA179" s="6410" t="n"/>
      <c r="AB179" s="2339" t="n"/>
      <c r="AC179" s="2340" t="n"/>
      <c r="AD179" s="1803" t="n"/>
      <c r="AE179" s="1806" t="n"/>
      <c r="AF179" s="1806" t="n"/>
      <c r="AG179" s="1806" t="n"/>
      <c r="AH179" s="1806" t="n"/>
      <c r="AI179" s="1806" t="n"/>
      <c r="AJ179" s="1806" t="n"/>
      <c r="AK179" s="2013" t="n"/>
      <c r="AL179" s="11602" t="n"/>
      <c r="AM179" s="10288" t="inlineStr">
        <is>
          <t>Manual
Override ê</t>
        </is>
      </c>
      <c r="AN179" s="2362" t="n"/>
      <c r="AO179" s="6603" t="n"/>
      <c r="AP179" s="658" t="n"/>
      <c r="AQ179" s="658" t="n"/>
      <c r="AR179" s="658" t="n"/>
      <c r="AS179" s="658" t="n"/>
      <c r="AT179" s="658" t="n"/>
      <c r="AU179" s="658" t="n"/>
      <c r="AV179" s="658" t="n"/>
      <c r="AW179" s="658" t="n"/>
      <c r="AX179" s="658" t="n"/>
      <c r="AY179" s="658" t="n"/>
    </row>
    <row r="180" ht="6" customFormat="1" customHeight="1" s="815">
      <c r="A180" s="2013" t="n"/>
      <c r="B180" s="6415" t="n"/>
      <c r="C180" s="6416" t="n"/>
      <c r="D180" s="6416" t="n"/>
      <c r="E180" s="6416" t="n"/>
      <c r="F180" s="6416" t="n"/>
      <c r="G180" s="6416" t="n"/>
      <c r="H180" s="6416" t="n"/>
      <c r="I180" s="6416" t="n"/>
      <c r="J180" s="6416" t="n"/>
      <c r="K180" s="6416" t="n"/>
      <c r="L180" s="6416" t="n"/>
      <c r="M180" s="6416" t="n"/>
      <c r="N180" s="6416" t="n"/>
      <c r="O180" s="6416" t="n"/>
      <c r="P180" s="6416" t="n"/>
      <c r="Q180" s="6416" t="n"/>
      <c r="R180" s="6416" t="n"/>
      <c r="S180" s="6416" t="n"/>
      <c r="T180" s="6416" t="n"/>
      <c r="U180" s="6416" t="n"/>
      <c r="V180" s="6416" t="n"/>
      <c r="W180" s="6416" t="n"/>
      <c r="X180" s="6416" t="n"/>
      <c r="Y180" s="6416" t="n"/>
      <c r="Z180" s="6416" t="n"/>
      <c r="AA180" s="6410" t="n"/>
      <c r="AB180" s="2339" t="n"/>
      <c r="AC180" s="2340" t="n"/>
      <c r="AD180" s="1803" t="n"/>
      <c r="AE180" s="1806" t="n"/>
      <c r="AF180" s="1806" t="n"/>
      <c r="AG180" s="1806" t="n"/>
      <c r="AH180" s="1806" t="n"/>
      <c r="AI180" s="1806" t="n"/>
      <c r="AJ180" s="1806" t="n"/>
      <c r="AK180" s="2013" t="n"/>
      <c r="AL180" s="11602" t="n"/>
      <c r="AN180" s="2362" t="n"/>
      <c r="AO180" s="6603" t="n"/>
      <c r="AP180" s="658" t="n"/>
      <c r="AQ180" s="658" t="n"/>
      <c r="AR180" s="658" t="n"/>
      <c r="AS180" s="658" t="n"/>
      <c r="AT180" s="658" t="n"/>
      <c r="AU180" s="658" t="n"/>
      <c r="AV180" s="658" t="n"/>
      <c r="AW180" s="658" t="n"/>
      <c r="AX180" s="658" t="n"/>
      <c r="AY180" s="658" t="n"/>
    </row>
    <row r="181" ht="17.25" customFormat="1" customHeight="1" s="815" thickBot="1">
      <c r="A181" s="2013" t="n"/>
      <c r="B181" s="2353" t="inlineStr">
        <is>
          <t>b</t>
        </is>
      </c>
      <c r="C181" s="2299" t="inlineStr">
        <is>
          <t>Enter the cost of all other natural gas, propane, or oil furnace or hot water</t>
        </is>
      </c>
      <c r="D181" s="6416" t="n"/>
      <c r="E181" s="6416" t="n"/>
      <c r="F181" s="6416" t="n"/>
      <c r="G181" s="6416" t="n"/>
      <c r="H181" s="6416" t="n"/>
      <c r="I181" s="6416" t="n"/>
      <c r="J181" s="6416" t="n"/>
      <c r="K181" s="6416" t="n"/>
      <c r="L181" s="6416" t="n"/>
      <c r="M181" s="6416" t="n"/>
      <c r="N181" s="6416" t="n"/>
      <c r="O181" s="6416" t="n"/>
      <c r="P181" s="6416" t="n"/>
      <c r="Q181" s="6416" t="n"/>
      <c r="R181" s="6416" t="n"/>
      <c r="S181" s="6416" t="n"/>
      <c r="T181" s="6416" t="n"/>
      <c r="U181" s="6416" t="n"/>
      <c r="V181" s="6416" t="n"/>
      <c r="W181" s="6416" t="n"/>
      <c r="X181" s="6416" t="n"/>
      <c r="Y181" s="6416" t="n"/>
      <c r="Z181" s="6416" t="n"/>
      <c r="AA181" s="6410" t="n"/>
      <c r="AB181" s="2339" t="n"/>
      <c r="AC181" s="2340" t="n"/>
      <c r="AD181" s="1803" t="n"/>
      <c r="AE181" s="1806" t="n"/>
      <c r="AF181" s="1806" t="n"/>
      <c r="AG181" s="1806" t="n"/>
      <c r="AH181" s="1806" t="n"/>
      <c r="AI181" s="1806" t="n"/>
      <c r="AJ181" s="1806" t="n"/>
      <c r="AK181" s="2013" t="n"/>
      <c r="AL181" s="11602" t="n"/>
      <c r="AM181" s="8848" t="n"/>
      <c r="AN181" s="2362" t="n"/>
      <c r="AO181" s="6603" t="n"/>
      <c r="AP181" s="658" t="n"/>
      <c r="AQ181" s="658" t="n"/>
      <c r="AR181" s="658" t="n"/>
      <c r="AS181" s="658" t="n"/>
      <c r="AT181" s="658" t="n"/>
      <c r="AU181" s="658" t="n"/>
      <c r="AV181" s="658" t="n"/>
      <c r="AW181" s="658" t="n"/>
      <c r="AX181" s="658" t="n"/>
      <c r="AY181" s="658" t="n"/>
    </row>
    <row r="182" ht="21" customFormat="1" customHeight="1" s="815" thickBot="1">
      <c r="A182" s="2013" t="n"/>
      <c r="B182" s="2353" t="n"/>
      <c r="C182" s="2381" t="inlineStr">
        <is>
          <t>boilers. If none, enter -0-</t>
        </is>
      </c>
      <c r="D182" s="8650" t="n"/>
      <c r="E182" s="344" t="n"/>
      <c r="F182" s="344" t="n"/>
      <c r="G182" s="344" t="n"/>
      <c r="H182" s="344" t="n"/>
      <c r="I182" s="344" t="n"/>
      <c r="J182" s="344" t="n"/>
      <c r="K182" s="1061" t="n"/>
      <c r="L182" s="2300" t="n"/>
      <c r="M182" s="2301" t="n"/>
      <c r="N182" s="1061" t="n"/>
      <c r="O182" s="1061" t="n"/>
      <c r="P182" s="1061" t="n"/>
      <c r="Q182" s="1061" t="n"/>
      <c r="R182" s="1061" t="n"/>
      <c r="S182" s="344" t="n"/>
      <c r="T182" s="344" t="n"/>
      <c r="U182" s="1401" t="inlineStr">
        <is>
          <t xml:space="preserve">.   .   .   .   .   .   .   .   .   .   .   .   .   .   .   .   .   .   .   .   .   .  </t>
        </is>
      </c>
      <c r="V182" s="2350" t="inlineStr">
        <is>
          <t>24b</t>
        </is>
      </c>
      <c r="W182" s="10222">
        <f>IF(AND(AO177,AO182),"",IF(AM182="",0,ROUND(AM182,0)))</f>
        <v/>
      </c>
      <c r="X182" s="7637" t="n"/>
      <c r="Y182" s="7637" t="n"/>
      <c r="Z182" s="7637" t="n"/>
      <c r="AA182" s="7638" t="n"/>
      <c r="AB182" s="2339" t="n"/>
      <c r="AC182" s="2340" t="n"/>
      <c r="AD182" s="10250" t="n">
        <v>0.3</v>
      </c>
      <c r="AE182" s="194" t="n"/>
      <c r="AF182" s="194" t="n"/>
      <c r="AG182" s="10265" t="n">
        <v>600</v>
      </c>
      <c r="AH182" s="194" t="n"/>
      <c r="AI182" s="194" t="n"/>
      <c r="AJ182" s="194" t="n"/>
      <c r="AK182" s="2013" t="n"/>
      <c r="AL182" s="11602" t="n"/>
      <c r="AM182" s="2361" t="n"/>
      <c r="AN182" s="2362" t="n"/>
      <c r="AO182" s="6603">
        <f>AM182=""</f>
        <v/>
      </c>
      <c r="AP182" s="658" t="n"/>
      <c r="AQ182" s="658" t="n"/>
      <c r="AR182" s="658" t="n"/>
      <c r="AS182" s="658" t="n"/>
      <c r="AT182" s="658" t="n"/>
      <c r="AU182" s="658" t="n"/>
      <c r="AV182" s="658" t="n"/>
      <c r="AW182" s="658" t="n"/>
      <c r="AX182" s="658" t="n"/>
      <c r="AY182" s="658" t="n"/>
    </row>
    <row r="183" ht="21.75" customFormat="1" customHeight="1" s="815" thickBot="1">
      <c r="A183" s="2013" t="n"/>
      <c r="B183" s="2353" t="inlineStr">
        <is>
          <t>c</t>
        </is>
      </c>
      <c r="C183" s="7772" t="inlineStr">
        <is>
          <t>Add lines 24a and 24b</t>
        </is>
      </c>
      <c r="D183" s="514" t="n"/>
      <c r="E183" s="514" t="n"/>
      <c r="F183" s="514" t="n"/>
      <c r="G183" s="514" t="n"/>
      <c r="H183" s="514" t="n"/>
      <c r="I183" s="514" t="n"/>
      <c r="J183" s="514" t="n"/>
      <c r="K183" s="514" t="n"/>
      <c r="L183" s="514" t="n"/>
      <c r="M183" s="514" t="n"/>
      <c r="N183" s="514" t="n"/>
      <c r="O183" s="514" t="n"/>
      <c r="P183" s="514" t="n"/>
      <c r="Q183" s="514" t="n"/>
      <c r="R183" s="514" t="n"/>
      <c r="S183" s="514" t="n"/>
      <c r="T183" s="514" t="n"/>
      <c r="U183" s="1401" t="inlineStr">
        <is>
          <t xml:space="preserve">.   .   .   .   .   .   .   .   .   .   .   .   .   .   .   .   .   .   .   .   .   .  </t>
        </is>
      </c>
      <c r="V183" s="2350" t="inlineStr">
        <is>
          <t>24c</t>
        </is>
      </c>
      <c r="W183" s="10222">
        <f>IF(AND(AO177,AO182),"",SUM(ROUND(W177,0),W182))</f>
        <v/>
      </c>
      <c r="X183" s="7637" t="n"/>
      <c r="Y183" s="7637" t="n"/>
      <c r="Z183" s="7637" t="n"/>
      <c r="AA183" s="7638" t="n"/>
      <c r="AB183" s="2339" t="n"/>
      <c r="AC183" s="2340" t="n"/>
      <c r="AD183" s="10266" t="n"/>
      <c r="AE183" s="194" t="n"/>
      <c r="AF183" s="194" t="n"/>
      <c r="AG183" s="194" t="n"/>
      <c r="AH183" s="194" t="n"/>
      <c r="AI183" s="194" t="n"/>
      <c r="AJ183" s="194" t="n"/>
      <c r="AK183" s="2013" t="n"/>
      <c r="AL183" s="11602" t="n"/>
      <c r="AM183" s="226" t="n"/>
      <c r="AN183" s="2362" t="n"/>
      <c r="AO183" s="6603" t="n"/>
      <c r="AP183" s="658" t="n"/>
      <c r="AQ183" s="658" t="n"/>
      <c r="AR183" s="658" t="n"/>
      <c r="AS183" s="658" t="n"/>
      <c r="AT183" s="658" t="n"/>
      <c r="AU183" s="658" t="n"/>
      <c r="AV183" s="658" t="n"/>
      <c r="AW183" s="658" t="n"/>
      <c r="AX183" s="658" t="n"/>
      <c r="AY183" s="658" t="n"/>
    </row>
    <row r="184" ht="21" customFormat="1" customHeight="1" s="815" thickBot="1">
      <c r="A184" s="2013" t="n"/>
      <c r="B184" s="2328" t="inlineStr">
        <is>
          <t>d</t>
        </is>
      </c>
      <c r="C184" s="2299">
        <f>"Multiply line 24c by "&amp;TEXT($AD$100,"0%")&amp;" ("&amp;TEXT($AD$100,"0.00")&amp;").  Enter the results."</f>
        <v/>
      </c>
      <c r="D184" s="8650" t="n"/>
      <c r="E184" s="344" t="n"/>
      <c r="F184" s="344" t="n"/>
      <c r="G184" s="344" t="n"/>
      <c r="H184" s="344" t="n"/>
      <c r="I184" s="344" t="n"/>
      <c r="J184" s="344" t="n"/>
      <c r="K184" s="344" t="n"/>
      <c r="L184" s="344" t="n"/>
      <c r="M184" s="344" t="n"/>
      <c r="N184" s="7865" t="n"/>
      <c r="O184" s="7865" t="n"/>
      <c r="P184" s="2300" t="n"/>
      <c r="Q184" s="2301" t="n"/>
      <c r="R184" s="4998" t="n"/>
      <c r="S184" s="4998" t="n"/>
      <c r="T184" s="4998" t="inlineStr">
        <is>
          <t xml:space="preserve">Do not enter more than </t>
        </is>
      </c>
      <c r="U184" s="7865">
        <f>TEXT($AG$161,"$0")</f>
        <v/>
      </c>
      <c r="V184" s="344" t="n"/>
      <c r="W184" s="344" t="n"/>
      <c r="X184" s="344" t="n"/>
      <c r="Y184" s="344" t="n"/>
      <c r="Z184" s="344" t="n"/>
      <c r="AA184" s="1401" t="inlineStr">
        <is>
          <t xml:space="preserve">.   .   .   .   .   .   .   .   .   .   .   .  </t>
        </is>
      </c>
      <c r="AB184" s="12555" t="inlineStr">
        <is>
          <t>24d</t>
        </is>
      </c>
      <c r="AC184" s="7636" t="n"/>
      <c r="AD184" s="10249">
        <f>IF(AM184&lt;&gt;"",ROUND(AM184,0),IF(AND(AO177,AO182),"",MIN(ROUND(W183*$AD$161,0),$AG$161)))</f>
        <v/>
      </c>
      <c r="AE184" s="7637" t="n"/>
      <c r="AF184" s="7637" t="n"/>
      <c r="AG184" s="7637" t="n"/>
      <c r="AH184" s="7637" t="n"/>
      <c r="AI184" s="7637" t="n"/>
      <c r="AJ184" s="7637" t="n"/>
      <c r="AK184" s="2013" t="n"/>
      <c r="AL184" s="11602" t="n"/>
      <c r="AM184" s="2361" t="n"/>
      <c r="AN184" s="2362" t="n"/>
      <c r="AO184" s="6603">
        <f>AD184=""</f>
        <v/>
      </c>
      <c r="AP184" s="658" t="n"/>
      <c r="AQ184" s="658" t="n"/>
      <c r="AR184" s="658" t="n"/>
      <c r="AS184" s="658" t="n"/>
      <c r="AT184" s="658" t="n"/>
      <c r="AU184" s="658" t="n"/>
      <c r="AV184" s="658" t="n"/>
      <c r="AW184" s="658" t="n"/>
      <c r="AX184" s="658" t="n"/>
      <c r="AY184" s="658" t="n"/>
    </row>
    <row r="185" ht="21" customFormat="1" customHeight="1" s="815">
      <c r="A185" s="2013" t="n"/>
      <c r="B185" s="11191" t="inlineStr">
        <is>
          <t>25a</t>
        </is>
      </c>
      <c r="C185" s="2299" t="inlineStr">
        <is>
          <t>Did you install improvements or replacements of panelboards, subpanelboards, branch circuits, or</t>
        </is>
      </c>
      <c r="D185" s="8650" t="n"/>
      <c r="E185" s="344" t="n"/>
      <c r="F185" s="344" t="n"/>
      <c r="G185" s="344" t="n"/>
      <c r="H185" s="344" t="n"/>
      <c r="I185" s="344" t="n"/>
      <c r="J185" s="344" t="n"/>
      <c r="K185" s="1061" t="n"/>
      <c r="L185" s="2300" t="n"/>
      <c r="M185" s="2301" t="n"/>
      <c r="N185" s="1061" t="n"/>
      <c r="O185" s="1061" t="n"/>
      <c r="P185" s="1061" t="n"/>
      <c r="Q185" s="1061" t="n"/>
      <c r="R185" s="1061" t="n"/>
      <c r="S185" s="344" t="n"/>
      <c r="T185" s="344" t="n"/>
      <c r="U185" s="344" t="n"/>
      <c r="V185" s="344" t="n"/>
      <c r="W185" s="9750" t="n"/>
      <c r="X185" s="1205" t="n"/>
      <c r="Y185" s="1205" t="n"/>
      <c r="Z185" s="1205" t="n"/>
      <c r="AA185" s="1401" t="n"/>
      <c r="AB185" s="2339" t="n"/>
      <c r="AC185" s="2340" t="n"/>
      <c r="AD185" s="1803" t="n"/>
      <c r="AE185" s="1806" t="n"/>
      <c r="AF185" s="1806" t="n"/>
      <c r="AG185" s="1806" t="n"/>
      <c r="AH185" s="1806" t="n"/>
      <c r="AI185" s="1806" t="n"/>
      <c r="AJ185" s="1806" t="n"/>
      <c r="AK185" s="2013" t="n"/>
      <c r="AL185" s="11602" t="n"/>
      <c r="AM185" s="226" t="n"/>
      <c r="AN185" s="2362" t="n"/>
      <c r="AO185" s="6603">
        <f>AM184&gt;$AG$161</f>
        <v/>
      </c>
      <c r="AP185" s="658" t="n"/>
      <c r="AQ185" s="658" t="n"/>
      <c r="AR185" s="658" t="n"/>
      <c r="AS185" s="658" t="n"/>
      <c r="AT185" s="658" t="n"/>
      <c r="AU185" s="658" t="n"/>
      <c r="AV185" s="658" t="n"/>
      <c r="AW185" s="658" t="n"/>
      <c r="AX185" s="658" t="n"/>
      <c r="AY185" s="658" t="n"/>
    </row>
    <row r="186" ht="18" customFormat="1" customHeight="1" s="815">
      <c r="A186" s="2013" t="n"/>
      <c r="B186" s="11191" t="n"/>
      <c r="C186" s="2299" t="inlineStr">
        <is>
          <t>feeders (enabling property) to enable the installation and use of a separate qualified energy efficient</t>
        </is>
      </c>
      <c r="D186" s="8650" t="n"/>
      <c r="E186" s="344" t="n"/>
      <c r="F186" s="344" t="n"/>
      <c r="G186" s="344" t="n"/>
      <c r="H186" s="344" t="n"/>
      <c r="I186" s="344" t="n"/>
      <c r="J186" s="344" t="n"/>
      <c r="K186" s="1061" t="n"/>
      <c r="L186" s="2300" t="n"/>
      <c r="M186" s="2301" t="n"/>
      <c r="N186" s="1061" t="n"/>
      <c r="O186" s="1061" t="n"/>
      <c r="P186" s="1061" t="n"/>
      <c r="Q186" s="1061" t="n"/>
      <c r="R186" s="1061" t="n"/>
      <c r="S186" s="344" t="n"/>
      <c r="T186" s="344" t="n"/>
      <c r="U186" s="344" t="n"/>
      <c r="V186" s="344" t="n"/>
      <c r="W186" s="9750" t="n"/>
      <c r="X186" s="1205" t="n"/>
      <c r="Y186" s="1205" t="n"/>
      <c r="Z186" s="1205" t="n"/>
      <c r="AA186" s="1401" t="n"/>
      <c r="AB186" s="2339" t="n"/>
      <c r="AC186" s="2340" t="n"/>
      <c r="AD186" s="1803" t="n"/>
      <c r="AE186" s="1806" t="n"/>
      <c r="AF186" s="1806" t="n"/>
      <c r="AG186" s="1806" t="n"/>
      <c r="AH186" s="1806" t="n"/>
      <c r="AI186" s="1806" t="n"/>
      <c r="AJ186" s="1806" t="n"/>
      <c r="AK186" s="2013" t="n"/>
      <c r="AL186" s="11602" t="n"/>
      <c r="AM186" s="226" t="n"/>
      <c r="AN186" s="2362" t="n"/>
      <c r="AO186" s="6603" t="n"/>
      <c r="AP186" s="658" t="n"/>
      <c r="AQ186" s="658" t="n"/>
      <c r="AR186" s="658" t="n"/>
      <c r="AS186" s="658" t="n"/>
      <c r="AT186" s="658" t="n"/>
      <c r="AU186" s="658" t="n"/>
      <c r="AV186" s="658" t="n"/>
      <c r="AW186" s="658" t="n"/>
      <c r="AX186" s="658" t="n"/>
      <c r="AY186" s="658" t="n"/>
    </row>
    <row r="187" ht="18" customFormat="1" customHeight="1" s="815">
      <c r="A187" s="2013" t="n"/>
      <c r="B187" s="11191" t="n"/>
      <c r="C187" s="2299" t="inlineStr">
        <is>
          <t>improvement or qualified energy property (enabled property), and were both the enabling property</t>
        </is>
      </c>
      <c r="D187" s="8650" t="n"/>
      <c r="E187" s="344" t="n"/>
      <c r="F187" s="344" t="n"/>
      <c r="G187" s="344" t="n"/>
      <c r="H187" s="344" t="n"/>
      <c r="I187" s="344" t="n"/>
      <c r="J187" s="344" t="n"/>
      <c r="K187" s="1061" t="n"/>
      <c r="L187" s="2300" t="n"/>
      <c r="M187" s="2301" t="n"/>
      <c r="N187" s="1061" t="n"/>
      <c r="O187" s="1061" t="n"/>
      <c r="P187" s="1061" t="n"/>
      <c r="Q187" s="1061" t="n"/>
      <c r="R187" s="1061" t="n"/>
      <c r="S187" s="344" t="n"/>
      <c r="T187" s="344" t="n"/>
      <c r="U187" s="344" t="n"/>
      <c r="V187" s="344" t="n"/>
      <c r="W187" s="9750" t="n"/>
      <c r="X187" s="1205" t="n"/>
      <c r="Y187" s="1205" t="n"/>
      <c r="Z187" s="1205" t="n"/>
      <c r="AA187" s="1401" t="n"/>
      <c r="AB187" s="2339" t="n"/>
      <c r="AC187" s="2340" t="n"/>
      <c r="AD187" s="1803" t="n"/>
      <c r="AE187" s="1806" t="n"/>
      <c r="AF187" s="1806" t="n"/>
      <c r="AG187" s="1806" t="n"/>
      <c r="AH187" s="1806" t="n"/>
      <c r="AI187" s="1806" t="n"/>
      <c r="AJ187" s="1806" t="n"/>
      <c r="AK187" s="2013" t="n"/>
      <c r="AL187" s="11602" t="n"/>
      <c r="AM187" s="226" t="n"/>
      <c r="AN187" s="2362" t="n"/>
      <c r="AO187" s="6603" t="n"/>
      <c r="AP187" s="658" t="n"/>
      <c r="AQ187" s="658" t="n"/>
      <c r="AR187" s="658" t="n"/>
      <c r="AS187" s="658" t="n"/>
      <c r="AT187" s="658" t="n"/>
      <c r="AU187" s="658" t="n"/>
      <c r="AV187" s="658" t="n"/>
      <c r="AW187" s="658" t="n"/>
      <c r="AX187" s="658" t="n"/>
      <c r="AY187" s="658" t="n"/>
    </row>
    <row r="188" ht="18" customFormat="1" customHeight="1" s="815">
      <c r="A188" s="2013" t="n"/>
      <c r="B188" s="11191" t="n"/>
      <c r="C188" s="2299">
        <f>"and the enabled property installed in "&amp;TaxYear&amp;"? (See instructions if some of the property was installed in"</f>
        <v/>
      </c>
      <c r="D188" s="8650" t="n"/>
      <c r="E188" s="344" t="n"/>
      <c r="F188" s="344" t="n"/>
      <c r="G188" s="344" t="n"/>
      <c r="H188" s="344" t="n"/>
      <c r="I188" s="344" t="n"/>
      <c r="J188" s="344" t="n"/>
      <c r="K188" s="1061" t="n"/>
      <c r="L188" s="2300" t="n"/>
      <c r="M188" s="2301" t="n"/>
      <c r="N188" s="1061" t="n"/>
      <c r="O188" s="1061" t="n"/>
      <c r="P188" s="1061" t="n"/>
      <c r="Q188" s="1061" t="n"/>
      <c r="R188" s="1061" t="n"/>
      <c r="S188" s="344" t="n"/>
      <c r="T188" s="344" t="n"/>
      <c r="U188" s="344" t="n"/>
      <c r="V188" s="344" t="n"/>
      <c r="W188" s="9750" t="n"/>
      <c r="X188" s="1205" t="n"/>
      <c r="Y188" s="1205" t="n"/>
      <c r="Z188" s="1205" t="n"/>
      <c r="AA188" s="1401" t="n"/>
      <c r="AB188" s="2339" t="n"/>
      <c r="AC188" s="2340" t="n"/>
      <c r="AD188" s="1803" t="n"/>
      <c r="AE188" s="1806" t="n"/>
      <c r="AF188" s="1806" t="n"/>
      <c r="AG188" s="1806" t="n"/>
      <c r="AH188" s="1806" t="n"/>
      <c r="AI188" s="1806" t="n"/>
      <c r="AJ188" s="1806" t="n"/>
      <c r="AK188" s="2013" t="n"/>
      <c r="AL188" s="11602" t="n"/>
      <c r="AM188" s="226" t="n"/>
      <c r="AN188" s="2362" t="n"/>
      <c r="AO188" s="6603" t="n"/>
      <c r="AP188" s="658" t="n"/>
      <c r="AQ188" s="658" t="n"/>
      <c r="AR188" s="658" t="n"/>
      <c r="AS188" s="658" t="n"/>
      <c r="AT188" s="658" t="n"/>
      <c r="AU188" s="658" t="n"/>
      <c r="AV188" s="658" t="n"/>
      <c r="AW188" s="658" t="n"/>
      <c r="AX188" s="658" t="n"/>
      <c r="AY188" s="658" t="n"/>
    </row>
    <row r="189" ht="18" customFormat="1" customHeight="1" s="815">
      <c r="A189" s="2013" t="n"/>
      <c r="B189" s="11191" t="n"/>
      <c r="C189" s="2299">
        <f>TaxYear-1&amp;".)"</f>
        <v/>
      </c>
      <c r="D189" s="8650" t="n"/>
      <c r="E189" s="344" t="n"/>
      <c r="F189" s="344" t="n"/>
      <c r="G189" s="344" t="n"/>
      <c r="H189" s="344" t="n"/>
      <c r="I189" s="344" t="n"/>
      <c r="J189" s="344" t="n"/>
      <c r="K189" s="1061" t="n"/>
      <c r="L189" s="2300" t="n"/>
      <c r="M189" s="2301" t="n"/>
      <c r="N189" s="1061" t="n"/>
      <c r="O189" s="1061" t="n"/>
      <c r="P189" s="1061" t="n"/>
      <c r="Q189" s="1061" t="n"/>
      <c r="R189" s="1061" t="n"/>
      <c r="S189" s="344" t="n"/>
      <c r="T189" s="344" t="n"/>
      <c r="U189" s="344" t="n"/>
      <c r="V189" s="344" t="n"/>
      <c r="W189" s="9750" t="n"/>
      <c r="X189" s="1205" t="n"/>
      <c r="Y189" s="1205" t="n"/>
      <c r="Z189" s="1205" t="n"/>
      <c r="AA189" s="1401" t="n"/>
      <c r="AB189" s="12555" t="inlineStr">
        <is>
          <t>25a</t>
        </is>
      </c>
      <c r="AC189" s="7636" t="n"/>
      <c r="AD189" s="2332" t="n"/>
      <c r="AE189" s="2335" t="n"/>
      <c r="AF189" s="1664" t="inlineStr">
        <is>
          <t>Yes</t>
        </is>
      </c>
      <c r="AG189" s="1664" t="n"/>
      <c r="AH189" s="2336">
        <f>IF(AND(AE189="",AK189=""),"X","")</f>
        <v/>
      </c>
      <c r="AI189" s="1664" t="inlineStr">
        <is>
          <t>No</t>
        </is>
      </c>
      <c r="AJ189" s="1664" t="n"/>
      <c r="AK189" s="2337" t="inlineStr">
        <is>
          <t>X</t>
        </is>
      </c>
      <c r="AL189" s="2338" t="inlineStr">
        <is>
          <t>Uncheck 'No' box.</t>
        </is>
      </c>
      <c r="AM189" s="11602" t="n"/>
      <c r="AN189" s="2362" t="n"/>
      <c r="AO189" s="6603" t="n"/>
      <c r="AP189" s="658" t="n"/>
      <c r="AQ189" s="658" t="n"/>
      <c r="AR189" s="658" t="n"/>
      <c r="AS189" s="658" t="n"/>
      <c r="AT189" s="658" t="n"/>
      <c r="AU189" s="658" t="n"/>
      <c r="AV189" s="658" t="n"/>
      <c r="AW189" s="658" t="n"/>
      <c r="AX189" s="658" t="n"/>
      <c r="AY189" s="658" t="n"/>
    </row>
    <row r="190" ht="18" customFormat="1" customHeight="1" s="815">
      <c r="A190" s="2013" t="n"/>
      <c r="B190" s="2353" t="n"/>
      <c r="C190" s="2299" t="inlineStr">
        <is>
          <t>If you checked the “No” box, you cannot claim the credit for enabling property. Skip lines 25b through</t>
        </is>
      </c>
      <c r="D190" s="8650" t="n"/>
      <c r="E190" s="344" t="n"/>
      <c r="F190" s="344" t="n"/>
      <c r="G190" s="344" t="n"/>
      <c r="H190" s="344" t="n"/>
      <c r="I190" s="344" t="n"/>
      <c r="J190" s="344" t="n"/>
      <c r="K190" s="1061" t="n"/>
      <c r="L190" s="2300" t="n"/>
      <c r="M190" s="2301" t="n"/>
      <c r="N190" s="1061" t="n"/>
      <c r="O190" s="1061" t="n"/>
      <c r="P190" s="1061" t="n"/>
      <c r="Q190" s="1061" t="n"/>
      <c r="R190" s="1061" t="n"/>
      <c r="S190" s="344" t="n"/>
      <c r="T190" s="344" t="n"/>
      <c r="U190" s="344" t="n"/>
      <c r="V190" s="344" t="n"/>
      <c r="W190" s="9750" t="n"/>
      <c r="X190" s="1205" t="n"/>
      <c r="Y190" s="1205" t="n"/>
      <c r="Z190" s="1205" t="n"/>
      <c r="AA190" s="1401" t="n"/>
      <c r="AB190" s="2339" t="n"/>
      <c r="AC190" s="2340" t="n"/>
      <c r="AD190" s="1803" t="n"/>
      <c r="AE190" s="1806" t="n"/>
      <c r="AF190" s="1806" t="n"/>
      <c r="AG190" s="1806" t="n"/>
      <c r="AH190" s="1806" t="n"/>
      <c r="AI190" s="1806" t="n"/>
      <c r="AJ190" s="1806" t="n"/>
      <c r="AK190" s="2013" t="n"/>
      <c r="AL190" s="11602" t="n"/>
      <c r="AM190" s="226" t="n"/>
      <c r="AN190" s="2362" t="n"/>
      <c r="AO190" s="6603" t="n"/>
      <c r="AP190" s="658" t="n"/>
      <c r="AQ190" s="658" t="n"/>
      <c r="AR190" s="658" t="n"/>
      <c r="AS190" s="658" t="n"/>
      <c r="AT190" s="658" t="n"/>
      <c r="AU190" s="658" t="n"/>
      <c r="AV190" s="658" t="n"/>
      <c r="AW190" s="658" t="n"/>
      <c r="AX190" s="658" t="n"/>
      <c r="AY190" s="658" t="n"/>
    </row>
    <row r="191" ht="18" customFormat="1" customHeight="1" s="815">
      <c r="A191" s="2013" t="n"/>
      <c r="B191" s="2353" t="n"/>
      <c r="C191" s="2299" t="inlineStr">
        <is>
          <t>25e. Go to line 26. (See instructions.)</t>
        </is>
      </c>
      <c r="D191" s="8650" t="n"/>
      <c r="E191" s="344" t="n"/>
      <c r="F191" s="344" t="n"/>
      <c r="G191" s="344" t="n"/>
      <c r="H191" s="344" t="n"/>
      <c r="I191" s="344" t="n"/>
      <c r="J191" s="344" t="n"/>
      <c r="K191" s="1061" t="n"/>
      <c r="L191" s="2300" t="n"/>
      <c r="M191" s="2301" t="n"/>
      <c r="N191" s="1061" t="n"/>
      <c r="O191" s="1061" t="n"/>
      <c r="P191" s="1061" t="n"/>
      <c r="Q191" s="1061" t="n"/>
      <c r="R191" s="1061" t="n"/>
      <c r="S191" s="344" t="n"/>
      <c r="T191" s="344" t="n"/>
      <c r="U191" s="344" t="n"/>
      <c r="V191" s="344" t="n"/>
      <c r="W191" s="9750" t="n"/>
      <c r="X191" s="1205" t="n"/>
      <c r="Y191" s="1205" t="n"/>
      <c r="Z191" s="1205" t="n"/>
      <c r="AA191" s="1401" t="n"/>
      <c r="AB191" s="2339" t="n"/>
      <c r="AC191" s="2340" t="n"/>
      <c r="AD191" s="1803" t="n"/>
      <c r="AE191" s="1806" t="n"/>
      <c r="AF191" s="1806" t="n"/>
      <c r="AG191" s="1806" t="n"/>
      <c r="AH191" s="1806" t="n"/>
      <c r="AI191" s="1806" t="n"/>
      <c r="AJ191" s="1806" t="n"/>
      <c r="AK191" s="2013" t="n"/>
      <c r="AL191" s="11602" t="n"/>
      <c r="AM191" s="226" t="n"/>
      <c r="AN191" s="2362" t="n"/>
      <c r="AO191" s="6603" t="n"/>
      <c r="AP191" s="658" t="n"/>
      <c r="AQ191" s="658" t="n"/>
      <c r="AR191" s="658" t="n"/>
      <c r="AS191" s="658" t="n"/>
      <c r="AT191" s="658" t="n"/>
      <c r="AU191" s="658" t="n"/>
      <c r="AV191" s="658" t="n"/>
      <c r="AW191" s="658" t="n"/>
      <c r="AX191" s="658" t="n"/>
      <c r="AY191" s="658" t="n"/>
    </row>
    <row r="192" ht="18" customFormat="1" customHeight="1" s="815">
      <c r="A192" s="2013" t="n"/>
      <c r="B192" s="2353" t="inlineStr">
        <is>
          <t>b</t>
        </is>
      </c>
      <c r="C192" s="2299" t="inlineStr">
        <is>
          <t>If you checked the “Yes” box for line 25a, enter the code for the type(s) of enabled property. (See</t>
        </is>
      </c>
      <c r="D192" s="8650" t="n"/>
      <c r="E192" s="344" t="n"/>
      <c r="F192" s="344" t="n"/>
      <c r="G192" s="344" t="n"/>
      <c r="H192" s="344" t="n"/>
      <c r="I192" s="344" t="n"/>
      <c r="J192" s="344" t="n"/>
      <c r="K192" s="1061" t="n"/>
      <c r="L192" s="2300" t="n"/>
      <c r="M192" s="2301" t="n"/>
      <c r="N192" s="1061" t="n"/>
      <c r="O192" s="1061" t="n"/>
      <c r="P192" s="1061" t="n"/>
      <c r="Q192" s="1061" t="n"/>
      <c r="R192" s="1061" t="n"/>
      <c r="S192" s="344" t="n"/>
      <c r="T192" s="344" t="n"/>
      <c r="U192" s="344" t="n"/>
      <c r="V192" s="344" t="n"/>
      <c r="W192" s="9750" t="n"/>
      <c r="X192" s="1205" t="n"/>
      <c r="Y192" s="1205" t="n"/>
      <c r="Z192" s="1205" t="n"/>
      <c r="AA192" s="1401" t="n"/>
      <c r="AB192" s="2339" t="n"/>
      <c r="AC192" s="2340" t="n"/>
      <c r="AD192" s="1803" t="n"/>
      <c r="AE192" s="1806" t="n"/>
      <c r="AF192" s="1806" t="n"/>
      <c r="AG192" s="1806" t="n"/>
      <c r="AH192" s="1806" t="n"/>
      <c r="AI192" s="1806" t="n"/>
      <c r="AJ192" s="1806" t="n"/>
      <c r="AK192" s="2013" t="n"/>
      <c r="AL192" s="11602" t="n"/>
      <c r="AM192" s="226" t="n"/>
      <c r="AN192" s="2362" t="n"/>
      <c r="AO192" s="6603" t="n"/>
      <c r="AP192" s="658" t="n"/>
      <c r="AQ192" s="658" t="n"/>
      <c r="AR192" s="658" t="n"/>
      <c r="AS192" s="658" t="n"/>
      <c r="AT192" s="658" t="n"/>
      <c r="AU192" s="658" t="n"/>
      <c r="AV192" s="658" t="n"/>
      <c r="AW192" s="658" t="n"/>
      <c r="AX192" s="658" t="n"/>
      <c r="AY192" s="658" t="n"/>
    </row>
    <row r="193" ht="18" customFormat="1" customHeight="1" s="815">
      <c r="A193" s="2013" t="n"/>
      <c r="B193" s="2353" t="n"/>
      <c r="C193" s="2299" t="inlineStr">
        <is>
          <t>instructions.)</t>
        </is>
      </c>
      <c r="D193" s="8650" t="n"/>
      <c r="E193" s="344" t="n"/>
      <c r="F193" s="344" t="n"/>
      <c r="G193" s="10253" t="n"/>
      <c r="H193" s="11717" t="n"/>
      <c r="I193" s="344" t="n"/>
      <c r="J193" s="10253" t="n"/>
      <c r="K193" s="11717" t="n"/>
      <c r="L193" s="2300" t="n"/>
      <c r="M193" s="10253" t="n"/>
      <c r="N193" s="11717" t="n"/>
      <c r="O193" s="1061" t="n"/>
      <c r="P193" s="10253" t="n"/>
      <c r="Q193" s="11717" t="n"/>
      <c r="R193" s="1061" t="n"/>
      <c r="S193" s="10253" t="n"/>
      <c r="T193" s="11717" t="n"/>
      <c r="U193" s="344" t="n"/>
      <c r="V193" s="10253" t="n"/>
      <c r="W193" s="11717" t="n"/>
      <c r="X193" s="10253" t="n"/>
      <c r="Y193" s="11717" t="n"/>
      <c r="Z193" s="1205" t="n"/>
      <c r="AA193" s="1401" t="n"/>
      <c r="AB193" s="2339" t="n"/>
      <c r="AC193" s="2340" t="n"/>
      <c r="AD193" s="1803" t="n"/>
      <c r="AE193" s="1806" t="n"/>
      <c r="AF193" s="1806" t="n"/>
      <c r="AG193" s="1806" t="n"/>
      <c r="AH193" s="1806" t="n"/>
      <c r="AI193" s="1806" t="n"/>
      <c r="AJ193" s="1806" t="n"/>
      <c r="AK193" s="2013" t="n"/>
      <c r="AL193" s="11602" t="n"/>
      <c r="AM193" s="226" t="n"/>
      <c r="AN193" s="2362" t="n"/>
      <c r="AO193" s="6603" t="n"/>
      <c r="AP193" s="658" t="n"/>
      <c r="AQ193" s="658" t="n"/>
      <c r="AR193" s="658" t="n"/>
      <c r="AS193" s="658" t="n"/>
      <c r="AT193" s="658" t="n"/>
      <c r="AU193" s="658" t="n"/>
      <c r="AV193" s="658" t="n"/>
      <c r="AW193" s="658" t="n"/>
      <c r="AX193" s="658" t="n"/>
      <c r="AY193" s="658" t="n"/>
    </row>
    <row r="194" ht="7.5" customFormat="1" customHeight="1" s="815">
      <c r="A194" s="2013" t="n"/>
      <c r="B194" s="2353" t="n"/>
      <c r="C194" s="2299" t="n"/>
      <c r="D194" s="8650" t="n"/>
      <c r="E194" s="344" t="n"/>
      <c r="F194" s="344" t="n"/>
      <c r="G194" s="344" t="n"/>
      <c r="H194" s="344" t="n"/>
      <c r="I194" s="344" t="n"/>
      <c r="J194" s="344" t="n"/>
      <c r="K194" s="344" t="n"/>
      <c r="L194" s="344" t="n"/>
      <c r="M194" s="344" t="n"/>
      <c r="N194" s="344" t="n"/>
      <c r="O194" s="344" t="n"/>
      <c r="P194" s="344" t="n"/>
      <c r="Q194" s="344" t="n"/>
      <c r="R194" s="344" t="n"/>
      <c r="S194" s="344" t="n"/>
      <c r="T194" s="344" t="n"/>
      <c r="U194" s="344" t="n"/>
      <c r="V194" s="344" t="n"/>
      <c r="W194" s="344" t="n"/>
      <c r="X194" s="344" t="n"/>
      <c r="Y194" s="1205" t="n"/>
      <c r="Z194" s="1205" t="n"/>
      <c r="AA194" s="1401" t="n"/>
      <c r="AB194" s="2339" t="n"/>
      <c r="AC194" s="2340" t="n"/>
      <c r="AD194" s="1803" t="n"/>
      <c r="AE194" s="1806" t="n"/>
      <c r="AF194" s="1806" t="n"/>
      <c r="AG194" s="1806" t="n"/>
      <c r="AH194" s="1806" t="n"/>
      <c r="AI194" s="1806" t="n"/>
      <c r="AJ194" s="1806" t="n"/>
      <c r="AK194" s="2013" t="n"/>
      <c r="AL194" s="11602" t="n"/>
      <c r="AM194" s="226" t="n"/>
      <c r="AN194" s="2362" t="n"/>
      <c r="AO194" s="6603" t="n"/>
      <c r="AP194" s="658" t="n"/>
      <c r="AQ194" s="658" t="n"/>
      <c r="AR194" s="658" t="n"/>
      <c r="AS194" s="658" t="n"/>
      <c r="AT194" s="658" t="n"/>
      <c r="AU194" s="658" t="n"/>
      <c r="AV194" s="658" t="n"/>
      <c r="AW194" s="658" t="n"/>
      <c r="AX194" s="658" t="n"/>
      <c r="AY194" s="658" t="n"/>
    </row>
    <row r="195" ht="18" customFormat="1" customHeight="1" s="815">
      <c r="A195" s="2013" t="n"/>
      <c r="B195" s="2353" t="inlineStr">
        <is>
          <t>c</t>
        </is>
      </c>
      <c r="C195" s="2299" t="inlineStr">
        <is>
          <t>Enter the cost of improvements or replacement of enabling property</t>
        </is>
      </c>
      <c r="D195" s="8650" t="n"/>
      <c r="E195" s="344" t="n"/>
      <c r="F195" s="344" t="n"/>
      <c r="G195" s="344" t="n"/>
      <c r="H195" s="344" t="n"/>
      <c r="I195" s="344" t="n"/>
      <c r="J195" s="344" t="n"/>
      <c r="K195" s="1061" t="n"/>
      <c r="L195" s="2300" t="n"/>
      <c r="M195" s="2301" t="n"/>
      <c r="N195" s="1061" t="n"/>
      <c r="O195" s="1061" t="n"/>
      <c r="P195" s="1061" t="n"/>
      <c r="Q195" s="1061" t="n"/>
      <c r="R195" s="1061" t="n"/>
      <c r="S195" s="344" t="n"/>
      <c r="T195" s="344" t="n"/>
      <c r="U195" s="1401" t="inlineStr">
        <is>
          <t xml:space="preserve">.   .   .   .   .  </t>
        </is>
      </c>
      <c r="V195" s="2350" t="inlineStr">
        <is>
          <t>25c</t>
        </is>
      </c>
      <c r="W195" s="10220" t="n"/>
      <c r="X195" s="11717" t="n"/>
      <c r="Y195" s="11717" t="n"/>
      <c r="Z195" s="11717" t="n"/>
      <c r="AA195" s="11718" t="n"/>
      <c r="AB195" s="2339" t="n"/>
      <c r="AC195" s="2340" t="n"/>
      <c r="AD195" s="1803" t="n"/>
      <c r="AE195" s="1806" t="n"/>
      <c r="AF195" s="1806" t="n"/>
      <c r="AG195" s="1806" t="n"/>
      <c r="AH195" s="1806" t="n"/>
      <c r="AI195" s="1806" t="n"/>
      <c r="AJ195" s="1806" t="n"/>
      <c r="AK195" s="2013" t="n"/>
      <c r="AL195" s="11602" t="n"/>
      <c r="AM195" s="226" t="n"/>
      <c r="AN195" s="2362" t="n"/>
      <c r="AO195" s="6603">
        <f>W195=""</f>
        <v/>
      </c>
      <c r="AP195" s="658" t="n"/>
      <c r="AQ195" s="658" t="n"/>
      <c r="AR195" s="658" t="n"/>
      <c r="AS195" s="658" t="n"/>
      <c r="AT195" s="658" t="n"/>
      <c r="AU195" s="658" t="n"/>
      <c r="AV195" s="658" t="n"/>
      <c r="AW195" s="658" t="n"/>
      <c r="AX195" s="658" t="n"/>
      <c r="AY195" s="658" t="n"/>
    </row>
    <row r="196" ht="18" customFormat="1" customHeight="1" s="815">
      <c r="A196" s="2013" t="n"/>
      <c r="B196" s="2353" t="inlineStr">
        <is>
          <t>d</t>
        </is>
      </c>
      <c r="C196" s="2299" t="inlineStr">
        <is>
          <t>Enter the Qualified Manufacturer Identification Number(s) of the enabling property.</t>
        </is>
      </c>
      <c r="D196" s="8650" t="n"/>
      <c r="E196" s="344" t="n"/>
      <c r="F196" s="344" t="n"/>
      <c r="G196" s="344" t="n"/>
      <c r="H196" s="344" t="n"/>
      <c r="I196" s="344" t="n"/>
      <c r="J196" s="344" t="n"/>
      <c r="K196" s="1061" t="n"/>
      <c r="L196" s="2300" t="n"/>
      <c r="M196" s="2301" t="n"/>
      <c r="N196" s="1061" t="n"/>
      <c r="O196" s="1061" t="n"/>
      <c r="P196" s="1061" t="n"/>
      <c r="Q196" s="1061" t="n"/>
      <c r="R196" s="1061" t="n"/>
      <c r="S196" s="344" t="n"/>
      <c r="T196" s="344" t="n"/>
      <c r="U196" s="344" t="n"/>
      <c r="V196" s="344" t="n"/>
      <c r="W196" s="9750" t="n"/>
      <c r="X196" s="1205" t="n"/>
      <c r="Y196" s="1205" t="n"/>
      <c r="Z196" s="1205" t="n"/>
      <c r="AA196" s="1401" t="n"/>
      <c r="AB196" s="2339" t="n"/>
      <c r="AC196" s="2340" t="n"/>
      <c r="AD196" s="1803" t="n"/>
      <c r="AE196" s="1806" t="n"/>
      <c r="AF196" s="1806" t="n"/>
      <c r="AG196" s="1806" t="n"/>
      <c r="AH196" s="1806" t="n"/>
      <c r="AI196" s="1806" t="n"/>
      <c r="AJ196" s="1806" t="n"/>
      <c r="AK196" s="2013" t="n"/>
      <c r="AL196" s="11602" t="n"/>
      <c r="AM196" s="226" t="n"/>
      <c r="AN196" s="2362" t="n"/>
      <c r="AO196" s="6603" t="n"/>
      <c r="AP196" s="658" t="n"/>
      <c r="AQ196" s="658" t="n"/>
      <c r="AR196" s="658" t="n"/>
      <c r="AS196" s="658" t="n"/>
      <c r="AT196" s="658" t="n"/>
      <c r="AU196" s="658" t="n"/>
      <c r="AV196" s="658" t="n"/>
      <c r="AW196" s="658" t="n"/>
      <c r="AX196" s="658" t="n"/>
      <c r="AY196" s="658" t="n"/>
    </row>
    <row r="197" ht="6.75" customFormat="1" customHeight="1" s="815">
      <c r="A197" s="2013" t="n"/>
      <c r="B197" s="2353" t="n"/>
      <c r="C197" s="2299" t="n"/>
      <c r="D197" s="8650" t="n"/>
      <c r="E197" s="344" t="n"/>
      <c r="F197" s="344" t="n"/>
      <c r="G197" s="344" t="n"/>
      <c r="H197" s="344" t="n"/>
      <c r="I197" s="344" t="n"/>
      <c r="J197" s="344" t="n"/>
      <c r="K197" s="1061" t="n"/>
      <c r="L197" s="2300" t="n"/>
      <c r="M197" s="2301" t="n"/>
      <c r="N197" s="1061" t="n"/>
      <c r="O197" s="1061" t="n"/>
      <c r="P197" s="1061" t="n"/>
      <c r="Q197" s="1061" t="n"/>
      <c r="R197" s="1061" t="n"/>
      <c r="S197" s="344" t="n"/>
      <c r="T197" s="344" t="n"/>
      <c r="U197" s="344" t="n"/>
      <c r="V197" s="344" t="n"/>
      <c r="W197" s="9750" t="n"/>
      <c r="X197" s="1205" t="n"/>
      <c r="Y197" s="1205" t="n"/>
      <c r="Z197" s="1205" t="n"/>
      <c r="AA197" s="1401" t="n"/>
      <c r="AB197" s="2339" t="n"/>
      <c r="AC197" s="2340" t="n"/>
      <c r="AD197" s="1803" t="n"/>
      <c r="AE197" s="1806" t="n"/>
      <c r="AF197" s="1806" t="n"/>
      <c r="AG197" s="1806" t="n"/>
      <c r="AH197" s="1806" t="n"/>
      <c r="AI197" s="1806" t="n"/>
      <c r="AJ197" s="1806" t="n"/>
      <c r="AK197" s="2013" t="n"/>
      <c r="AL197" s="11602" t="n"/>
      <c r="AM197" s="226" t="n"/>
      <c r="AN197" s="2362" t="n"/>
      <c r="AO197" s="6603" t="n"/>
      <c r="AP197" s="658" t="n"/>
      <c r="AQ197" s="658" t="n"/>
      <c r="AR197" s="658" t="n"/>
      <c r="AS197" s="658" t="n"/>
      <c r="AT197" s="658" t="n"/>
      <c r="AU197" s="658" t="n"/>
      <c r="AV197" s="658" t="n"/>
      <c r="AW197" s="658" t="n"/>
      <c r="AX197" s="658" t="n"/>
      <c r="AY197" s="658" t="n"/>
    </row>
    <row r="198" ht="21" customFormat="1" customHeight="1" s="815">
      <c r="A198" s="2013" t="n"/>
      <c r="B198" s="6415" t="inlineStr">
        <is>
          <t xml:space="preserve">(i) </t>
        </is>
      </c>
      <c r="C198" s="6413" t="n"/>
      <c r="D198" s="6414" t="n"/>
      <c r="E198" s="6414" t="n"/>
      <c r="F198" s="6414" t="n"/>
      <c r="G198" s="344" t="n"/>
      <c r="H198" s="344" t="n"/>
      <c r="I198" s="344" t="n"/>
      <c r="J198" s="344" t="n"/>
      <c r="K198" s="1061" t="n"/>
      <c r="L198" s="2300" t="n"/>
      <c r="M198" s="2301" t="n"/>
      <c r="N198" s="1061" t="n"/>
      <c r="O198" s="1061" t="n"/>
      <c r="P198" s="1061" t="n"/>
      <c r="Q198" s="1061" t="n"/>
      <c r="R198" s="1061" t="n"/>
      <c r="S198" s="344" t="n"/>
      <c r="T198" s="344" t="n"/>
      <c r="U198" s="344" t="n"/>
      <c r="V198" s="344" t="n"/>
      <c r="W198" s="9750" t="n"/>
      <c r="X198" s="1205" t="n"/>
      <c r="Y198" s="1205" t="n"/>
      <c r="Z198" s="1205" t="n"/>
      <c r="AA198" s="1401" t="n"/>
      <c r="AB198" s="2339" t="n"/>
      <c r="AC198" s="2340" t="n"/>
      <c r="AD198" s="1803" t="n"/>
      <c r="AE198" s="1806" t="n"/>
      <c r="AF198" s="1806" t="n"/>
      <c r="AG198" s="1806" t="n"/>
      <c r="AH198" s="1806" t="n"/>
      <c r="AI198" s="1806" t="n"/>
      <c r="AJ198" s="1806" t="n"/>
      <c r="AK198" s="2013" t="n"/>
      <c r="AL198" s="11602" t="n"/>
      <c r="AM198" s="226" t="n"/>
      <c r="AN198" s="2362" t="n"/>
      <c r="AO198" s="6603" t="n"/>
      <c r="AP198" s="658" t="n"/>
      <c r="AQ198" s="658" t="n"/>
      <c r="AR198" s="658" t="n"/>
      <c r="AS198" s="658" t="n"/>
      <c r="AT198" s="658" t="n"/>
      <c r="AU198" s="658" t="n"/>
      <c r="AV198" s="658" t="n"/>
      <c r="AW198" s="658" t="n"/>
      <c r="AX198" s="658" t="n"/>
      <c r="AY198" s="658" t="n"/>
    </row>
    <row r="199" ht="14.25" customFormat="1" customHeight="1" s="815">
      <c r="A199" s="2013" t="n"/>
      <c r="B199" s="6415" t="n"/>
      <c r="C199" s="6416" t="n"/>
      <c r="D199" s="6416" t="n"/>
      <c r="E199" s="6416" t="n"/>
      <c r="F199" s="6416" t="n"/>
      <c r="G199" s="344" t="n"/>
      <c r="H199" s="344" t="n"/>
      <c r="I199" s="344" t="n"/>
      <c r="J199" s="344" t="n"/>
      <c r="K199" s="1061" t="n"/>
      <c r="L199" s="2300" t="n"/>
      <c r="M199" s="2301" t="n"/>
      <c r="N199" s="1061" t="n"/>
      <c r="O199" s="1061" t="n"/>
      <c r="P199" s="1061" t="n"/>
      <c r="Q199" s="1061" t="n"/>
      <c r="R199" s="1061" t="n"/>
      <c r="S199" s="344" t="n"/>
      <c r="T199" s="344" t="n"/>
      <c r="U199" s="344" t="n"/>
      <c r="V199" s="344" t="n"/>
      <c r="W199" s="344" t="n"/>
      <c r="X199" s="344" t="n"/>
      <c r="Y199" s="344" t="n"/>
      <c r="Z199" s="344" t="n"/>
      <c r="AA199" s="344" t="n"/>
      <c r="AB199" s="2339" t="n"/>
      <c r="AC199" s="2340" t="n"/>
      <c r="AD199" s="1803" t="n"/>
      <c r="AE199" s="1806" t="n"/>
      <c r="AF199" s="1806" t="n"/>
      <c r="AG199" s="1806" t="n"/>
      <c r="AH199" s="1806" t="n"/>
      <c r="AI199" s="1806" t="n"/>
      <c r="AJ199" s="1806" t="n"/>
      <c r="AK199" s="2013" t="n"/>
      <c r="AL199" s="11602" t="n"/>
      <c r="AM199" s="10288" t="inlineStr">
        <is>
          <t>Manual
Override ê</t>
        </is>
      </c>
      <c r="AN199" s="2362" t="n"/>
      <c r="AO199" s="6603" t="n"/>
      <c r="AP199" s="658" t="n"/>
      <c r="AQ199" s="658" t="n"/>
      <c r="AR199" s="658" t="n"/>
      <c r="AS199" s="658" t="n"/>
      <c r="AT199" s="658" t="n"/>
      <c r="AU199" s="658" t="n"/>
      <c r="AV199" s="658" t="n"/>
      <c r="AW199" s="658" t="n"/>
      <c r="AX199" s="658" t="n"/>
      <c r="AY199" s="658" t="n"/>
    </row>
    <row r="200" ht="21" customFormat="1" customHeight="1" s="815" thickBot="1">
      <c r="A200" s="2013" t="n"/>
      <c r="B200" s="6415" t="inlineStr">
        <is>
          <t xml:space="preserve">(ii) </t>
        </is>
      </c>
      <c r="C200" s="6413" t="n"/>
      <c r="D200" s="6414" t="n"/>
      <c r="E200" s="6414" t="n"/>
      <c r="F200" s="6414" t="n"/>
      <c r="G200" s="344" t="n"/>
      <c r="H200" s="344" t="n"/>
      <c r="I200" s="344" t="n"/>
      <c r="J200" s="344" t="n"/>
      <c r="K200" s="1061" t="n"/>
      <c r="L200" s="2300" t="n"/>
      <c r="M200" s="2301" t="n"/>
      <c r="N200" s="1061" t="n"/>
      <c r="O200" s="1061" t="n"/>
      <c r="P200" s="1061" t="n"/>
      <c r="Q200" s="1061" t="n"/>
      <c r="R200" s="1061" t="n"/>
      <c r="S200" s="344" t="n"/>
      <c r="T200" s="344" t="n"/>
      <c r="U200" s="344" t="n"/>
      <c r="V200" s="344" t="n"/>
      <c r="W200" s="344" t="n"/>
      <c r="X200" s="344" t="n"/>
      <c r="Y200" s="344" t="n"/>
      <c r="Z200" s="344" t="n"/>
      <c r="AA200" s="344" t="n"/>
      <c r="AB200" s="2339" t="n"/>
      <c r="AC200" s="2340" t="n"/>
      <c r="AD200" s="1803" t="n"/>
      <c r="AE200" s="1806" t="n"/>
      <c r="AF200" s="1806" t="n"/>
      <c r="AG200" s="1806" t="n"/>
      <c r="AH200" s="1806" t="n"/>
      <c r="AI200" s="1806" t="n"/>
      <c r="AJ200" s="1806" t="n"/>
      <c r="AK200" s="2013" t="n"/>
      <c r="AL200" s="11602" t="n"/>
      <c r="AM200" s="8848" t="n"/>
      <c r="AN200" s="2362" t="n"/>
      <c r="AO200" s="6603" t="n"/>
      <c r="AP200" s="658" t="n"/>
      <c r="AQ200" s="658" t="n"/>
      <c r="AR200" s="658" t="n"/>
      <c r="AS200" s="658" t="n"/>
      <c r="AT200" s="658" t="n"/>
      <c r="AU200" s="658" t="n"/>
      <c r="AV200" s="658" t="n"/>
      <c r="AW200" s="658" t="n"/>
      <c r="AX200" s="658" t="n"/>
      <c r="AY200" s="658" t="n"/>
    </row>
    <row r="201" ht="24" customFormat="1" customHeight="1" s="815" thickBot="1">
      <c r="A201" s="2013" t="n"/>
      <c r="B201" s="2328" t="inlineStr">
        <is>
          <t>e</t>
        </is>
      </c>
      <c r="C201" s="7865">
        <f>"Multiply line 25a by "&amp;TEXT($AD$161,"0%")&amp;" ("&amp;TEXT($AD$161,"0.00")&amp;"). Enter the results."</f>
        <v/>
      </c>
      <c r="D201" s="344" t="n"/>
      <c r="E201" s="344" t="n"/>
      <c r="F201" s="344" t="n"/>
      <c r="G201" s="344" t="n"/>
      <c r="H201" s="344" t="n"/>
      <c r="I201" s="344" t="n"/>
      <c r="J201" s="344" t="n"/>
      <c r="K201" s="344" t="n"/>
      <c r="L201" s="344" t="n"/>
      <c r="M201" s="344" t="n"/>
      <c r="N201" s="344" t="n"/>
      <c r="O201" s="5995" t="n"/>
      <c r="P201" s="344" t="n"/>
      <c r="Q201" s="344" t="n"/>
      <c r="R201" s="344" t="n"/>
      <c r="S201" s="6435" t="n"/>
      <c r="T201" s="6435" t="n"/>
      <c r="U201" s="6435" t="inlineStr">
        <is>
          <t xml:space="preserve">Do not enter more than </t>
        </is>
      </c>
      <c r="V201" s="7865">
        <f>"  "&amp;TEXT($AG$161,"$0")</f>
        <v/>
      </c>
      <c r="W201" s="344" t="n"/>
      <c r="X201" s="344" t="n"/>
      <c r="Y201" s="344" t="n"/>
      <c r="Z201" s="344" t="n"/>
      <c r="AA201" s="1401" t="inlineStr">
        <is>
          <t xml:space="preserve">.   .   .   .   .   .   .   .   .   .  </t>
        </is>
      </c>
      <c r="AB201" s="12557" t="inlineStr">
        <is>
          <t>25e</t>
        </is>
      </c>
      <c r="AC201" s="7638" t="n"/>
      <c r="AD201" s="10249">
        <f>IF(AM201&lt;&gt;"",ROUND(AM201,0),IF(AO195,"",MIN(ROUND(W195*$AD$161,0),$AG$161)))</f>
        <v/>
      </c>
      <c r="AE201" s="7637" t="n"/>
      <c r="AF201" s="7637" t="n"/>
      <c r="AG201" s="7637" t="n"/>
      <c r="AH201" s="7637" t="n"/>
      <c r="AI201" s="7637" t="n"/>
      <c r="AJ201" s="7637" t="n"/>
      <c r="AK201" s="2013" t="n"/>
      <c r="AL201" s="11602" t="n"/>
      <c r="AM201" s="2361" t="n"/>
      <c r="AN201" s="2384">
        <f>AM201&gt;$AG$161</f>
        <v/>
      </c>
      <c r="AO201" s="6603">
        <f>AD201=""</f>
        <v/>
      </c>
      <c r="AP201" s="658" t="n"/>
      <c r="AQ201" s="658" t="n"/>
      <c r="AR201" s="658" t="n"/>
      <c r="AS201" s="658" t="n"/>
      <c r="AT201" s="658" t="n"/>
      <c r="AU201" s="658" t="n"/>
      <c r="AV201" s="658" t="n"/>
      <c r="AW201" s="658" t="n"/>
      <c r="AX201" s="658" t="n"/>
      <c r="AY201" s="658" t="n"/>
    </row>
    <row r="202" ht="18" customFormat="1" customHeight="1" s="815">
      <c r="A202" s="2013" t="n"/>
      <c r="B202" s="2343" t="n"/>
      <c r="C202" s="2344" t="n"/>
      <c r="D202" s="2344" t="n"/>
      <c r="E202" s="2344" t="n"/>
      <c r="F202" s="2344" t="n"/>
      <c r="G202" s="2344" t="n"/>
      <c r="H202" s="2344" t="n"/>
      <c r="I202" s="2344" t="n"/>
      <c r="J202" s="2344" t="n"/>
      <c r="K202" s="2344" t="n"/>
      <c r="L202" s="2344" t="n"/>
      <c r="M202" s="2344" t="n"/>
      <c r="N202" s="2344" t="n"/>
      <c r="O202" s="2344" t="n"/>
      <c r="P202" s="2344" t="n"/>
      <c r="Q202" s="2344" t="n"/>
      <c r="R202" s="2344" t="n"/>
      <c r="S202" s="2344" t="n"/>
      <c r="T202" s="2344" t="n"/>
      <c r="U202" s="2344" t="n"/>
      <c r="V202" s="2344" t="n"/>
      <c r="W202" s="1916" t="n"/>
      <c r="X202" s="2344" t="n"/>
      <c r="Y202" s="2344" t="n"/>
      <c r="Z202" s="2344" t="n"/>
      <c r="AA202" s="2344" t="n"/>
      <c r="AB202" s="2344" t="n"/>
      <c r="AC202" s="2344" t="n"/>
      <c r="AD202" s="2344" t="n"/>
      <c r="AE202" s="2344" t="n"/>
      <c r="AF202" s="2344" t="n"/>
      <c r="AG202" s="2345" t="inlineStr">
        <is>
          <t>Form  5695</t>
        </is>
      </c>
      <c r="AH202" s="2345" t="n"/>
      <c r="AI202" s="2346">
        <f>"("&amp;TaxYear&amp;")"</f>
        <v/>
      </c>
      <c r="AJ202" s="2346" t="n"/>
      <c r="AK202" s="2013" t="n"/>
      <c r="AL202" s="11602" t="n"/>
      <c r="AM202" s="11602" t="n"/>
      <c r="AN202" s="2362" t="n"/>
      <c r="AO202" s="6603">
        <f>AM201&gt;$AG$161</f>
        <v/>
      </c>
      <c r="AP202" s="658" t="n"/>
      <c r="AQ202" s="658" t="n"/>
      <c r="AR202" s="658" t="n"/>
      <c r="AS202" s="658" t="n"/>
      <c r="AT202" s="658" t="n"/>
      <c r="AU202" s="658" t="n"/>
      <c r="AV202" s="658" t="n"/>
      <c r="AW202" s="658" t="n"/>
      <c r="AX202" s="658" t="n"/>
      <c r="AY202" s="658" t="n"/>
    </row>
    <row r="203" ht="18.75" customFormat="1" customHeight="1" s="815" thickBot="1">
      <c r="A203" s="2013" t="n"/>
      <c r="B203" s="2352">
        <f>"Form 5695 ("&amp;TaxYear&amp;")"</f>
        <v/>
      </c>
      <c r="C203" s="498" t="n"/>
      <c r="D203" s="2307" t="n"/>
      <c r="E203" s="498" t="n"/>
      <c r="F203" s="498" t="n"/>
      <c r="G203" s="498" t="n"/>
      <c r="H203" s="498" t="n"/>
      <c r="I203" s="498" t="n"/>
      <c r="J203" s="498" t="n"/>
      <c r="K203" s="498" t="n"/>
      <c r="L203" s="498" t="n"/>
      <c r="M203" s="498" t="n"/>
      <c r="N203" s="2308" t="n"/>
      <c r="O203" s="498" t="n"/>
      <c r="P203" s="498" t="n"/>
      <c r="Q203" s="498" t="n"/>
      <c r="R203" s="498" t="n"/>
      <c r="S203" s="498" t="n"/>
      <c r="T203" s="2308" t="n"/>
      <c r="U203" s="2307" t="n"/>
      <c r="V203" s="498" t="n"/>
      <c r="W203" s="498" t="n"/>
      <c r="X203" s="498" t="n"/>
      <c r="Y203" s="498" t="n"/>
      <c r="Z203" s="498" t="n"/>
      <c r="AA203" s="498" t="n"/>
      <c r="AB203" s="2308" t="n"/>
      <c r="AC203" s="498" t="n"/>
      <c r="AD203" s="498" t="n"/>
      <c r="AE203" s="498" t="n"/>
      <c r="AF203" s="498" t="n"/>
      <c r="AG203" s="498" t="n"/>
      <c r="AH203" s="498" t="n"/>
      <c r="AI203" s="498" t="n"/>
      <c r="AJ203" s="2309" t="inlineStr">
        <is>
          <t>Page 4</t>
        </is>
      </c>
      <c r="AK203" s="2013" t="n"/>
      <c r="AL203" s="11602" t="n"/>
      <c r="AM203" s="11602" t="n"/>
      <c r="AN203" s="2362" t="n"/>
      <c r="AO203" s="6603" t="n"/>
      <c r="AP203" s="658" t="n"/>
      <c r="AQ203" s="658" t="n"/>
      <c r="AR203" s="658" t="n"/>
      <c r="AS203" s="658" t="n"/>
      <c r="AT203" s="658" t="n"/>
      <c r="AU203" s="658" t="n"/>
      <c r="AV203" s="658" t="n"/>
      <c r="AW203" s="658" t="n"/>
      <c r="AX203" s="658" t="n"/>
      <c r="AY203" s="658" t="n"/>
    </row>
    <row r="204" ht="22.5" customFormat="1" customHeight="1" s="815">
      <c r="A204" s="2013" t="n"/>
      <c r="B204" s="6419" t="inlineStr">
        <is>
          <t>Section B -- Residential Energy Property Expenditures   (continued)</t>
        </is>
      </c>
      <c r="C204" s="6420" t="n"/>
      <c r="D204" s="6421" t="n"/>
      <c r="E204" s="6422" t="n"/>
      <c r="F204" s="6422" t="n"/>
      <c r="G204" s="6422" t="n"/>
      <c r="H204" s="6422" t="n"/>
      <c r="I204" s="6422" t="n"/>
      <c r="J204" s="6422" t="n"/>
      <c r="K204" s="6423" t="n"/>
      <c r="L204" s="6424" t="n"/>
      <c r="M204" s="6425" t="n"/>
      <c r="N204" s="6423" t="n"/>
      <c r="O204" s="6423" t="n"/>
      <c r="P204" s="6423" t="n"/>
      <c r="Q204" s="6423" t="n"/>
      <c r="R204" s="6423" t="n"/>
      <c r="S204" s="6422" t="n"/>
      <c r="T204" s="6422" t="n"/>
      <c r="U204" s="6422" t="n"/>
      <c r="V204" s="6423" t="n"/>
      <c r="W204" s="6426" t="n"/>
      <c r="X204" s="6427" t="n"/>
      <c r="Y204" s="6422" t="n"/>
      <c r="Z204" s="6422" t="n"/>
      <c r="AA204" s="6422" t="n"/>
      <c r="AB204" s="6422" t="n"/>
      <c r="AC204" s="6422" t="n"/>
      <c r="AD204" s="6422" t="n"/>
      <c r="AE204" s="6422" t="n"/>
      <c r="AF204" s="6422" t="n"/>
      <c r="AG204" s="6422" t="n"/>
      <c r="AH204" s="6422" t="n"/>
      <c r="AI204" s="6422" t="n"/>
      <c r="AJ204" s="6422" t="n"/>
      <c r="AK204" s="2013" t="n"/>
      <c r="AL204" s="11602" t="n"/>
      <c r="AM204" s="226" t="n"/>
      <c r="AN204" s="2362" t="n"/>
      <c r="AO204" s="6603">
        <f>AND(AO139,NOT(AND(AO144,AO153,AO154,AO156,AO167,AO171,AO185,AN201)))</f>
        <v/>
      </c>
      <c r="AP204" s="658" t="n"/>
      <c r="AQ204" s="658" t="n"/>
      <c r="AR204" s="658" t="n"/>
      <c r="AS204" s="658" t="n"/>
      <c r="AT204" s="658" t="n"/>
      <c r="AU204" s="658" t="n"/>
      <c r="AV204" s="658" t="n"/>
      <c r="AW204" s="658" t="n"/>
      <c r="AX204" s="658" t="n"/>
      <c r="AY204" s="658" t="n"/>
    </row>
    <row r="205" ht="21" customFormat="1" customHeight="1" s="815">
      <c r="A205" s="2013" t="n"/>
      <c r="B205" s="11191" t="n">
        <v>26</v>
      </c>
      <c r="C205" s="2299" t="inlineStr">
        <is>
          <t>Home energy audits.</t>
        </is>
      </c>
      <c r="D205" s="8650" t="n"/>
      <c r="E205" s="344" t="n"/>
      <c r="F205" s="344" t="n"/>
      <c r="G205" s="344" t="n"/>
      <c r="H205" s="344" t="n"/>
      <c r="I205" s="344" t="n"/>
      <c r="J205" s="344" t="n"/>
      <c r="K205" s="1061" t="n"/>
      <c r="L205" s="2300" t="n"/>
      <c r="M205" s="2301" t="n"/>
      <c r="N205" s="1061" t="n"/>
      <c r="O205" s="1061" t="n"/>
      <c r="P205" s="1061" t="n"/>
      <c r="Q205" s="1061" t="n"/>
      <c r="R205" s="1061" t="n"/>
      <c r="S205" s="344" t="n"/>
      <c r="T205" s="344" t="n"/>
      <c r="U205" s="1401" t="n"/>
      <c r="V205" s="2033" t="n"/>
      <c r="W205" s="9750" t="n"/>
      <c r="X205" s="1205" t="n"/>
      <c r="Y205" s="1205" t="n"/>
      <c r="Z205" s="1205" t="n"/>
      <c r="AA205" s="1401" t="n"/>
      <c r="AB205" s="2339" t="n"/>
      <c r="AC205" s="2340" t="n"/>
      <c r="AD205" s="1803" t="n"/>
      <c r="AE205" s="1806" t="n"/>
      <c r="AF205" s="1806" t="n"/>
      <c r="AG205" s="1806" t="n"/>
      <c r="AH205" s="1806" t="n"/>
      <c r="AI205" s="1806" t="n"/>
      <c r="AJ205" s="1806" t="n"/>
      <c r="AK205" s="2013" t="n"/>
      <c r="AL205" s="11602" t="n"/>
      <c r="AM205" s="226" t="n"/>
      <c r="AN205" s="2362" t="n"/>
      <c r="AO205" s="6603" t="n"/>
      <c r="AP205" s="658" t="n"/>
      <c r="AQ205" s="658" t="n"/>
      <c r="AR205" s="658" t="n"/>
      <c r="AS205" s="658" t="n"/>
      <c r="AT205" s="658" t="n"/>
      <c r="AU205" s="658" t="n"/>
      <c r="AV205" s="658" t="n"/>
      <c r="AW205" s="658" t="n"/>
      <c r="AX205" s="658" t="n"/>
      <c r="AY205" s="658" t="n"/>
    </row>
    <row r="206" ht="21" customFormat="1" customHeight="1" s="815">
      <c r="A206" s="2013" t="n"/>
      <c r="B206" s="2353" t="inlineStr">
        <is>
          <t>a</t>
        </is>
      </c>
      <c r="C206" s="6428" t="inlineStr">
        <is>
          <t>Did you incur costs for a home energy audit that included an inspection of your main home located in</t>
        </is>
      </c>
      <c r="D206" s="8650" t="n"/>
      <c r="E206" s="344" t="n"/>
      <c r="F206" s="344" t="n"/>
      <c r="G206" s="344" t="n"/>
      <c r="H206" s="344" t="n"/>
      <c r="I206" s="344" t="n"/>
      <c r="J206" s="344" t="n"/>
      <c r="K206" s="1061" t="n"/>
      <c r="L206" s="2300" t="n"/>
      <c r="M206" s="2301" t="n"/>
      <c r="N206" s="1061" t="n"/>
      <c r="O206" s="1061" t="n"/>
      <c r="P206" s="1061" t="n"/>
      <c r="Q206" s="1061" t="n"/>
      <c r="R206" s="1061" t="n"/>
      <c r="S206" s="344" t="n"/>
      <c r="T206" s="344" t="n"/>
      <c r="U206" s="344" t="n"/>
      <c r="V206" s="344" t="n"/>
      <c r="W206" s="344" t="n"/>
      <c r="X206" s="344" t="n"/>
      <c r="Y206" s="1205" t="n"/>
      <c r="Z206" s="1205" t="n"/>
      <c r="AA206" s="1401" t="n"/>
      <c r="AB206" s="2339" t="n"/>
      <c r="AC206" s="2340" t="n"/>
      <c r="AD206" s="2332" t="n"/>
      <c r="AE206" s="1664" t="n"/>
      <c r="AF206" s="1664" t="n"/>
      <c r="AG206" s="1664" t="n"/>
      <c r="AH206" s="1664" t="n"/>
      <c r="AI206" s="1664" t="n"/>
      <c r="AJ206" s="1664" t="n"/>
      <c r="AK206" s="2013" t="n"/>
      <c r="AL206" s="11602" t="n"/>
      <c r="AM206" s="11602" t="n"/>
      <c r="AN206" s="2362" t="inlineStr">
        <is>
          <t>a</t>
        </is>
      </c>
      <c r="AO206" s="6603" t="n"/>
      <c r="AP206" s="658" t="n"/>
      <c r="AQ206" s="658" t="n"/>
      <c r="AR206" s="658" t="n"/>
      <c r="AS206" s="658" t="n"/>
      <c r="AT206" s="658" t="n"/>
      <c r="AU206" s="658" t="n"/>
      <c r="AV206" s="658" t="n"/>
      <c r="AW206" s="658" t="n"/>
      <c r="AX206" s="658" t="n"/>
      <c r="AY206" s="658" t="n"/>
    </row>
    <row r="207" ht="21" customFormat="1" customHeight="1" s="815">
      <c r="A207" s="2013" t="n"/>
      <c r="B207" s="2353" t="n"/>
      <c r="C207" s="6428" t="inlineStr">
        <is>
          <t>the United States and a written report prepared by a certified home energy auditor? (See instructions.)</t>
        </is>
      </c>
      <c r="D207" s="8650" t="n"/>
      <c r="E207" s="344" t="n"/>
      <c r="F207" s="344" t="n"/>
      <c r="G207" s="344" t="n"/>
      <c r="H207" s="344" t="n"/>
      <c r="I207" s="344" t="n"/>
      <c r="J207" s="344" t="n"/>
      <c r="K207" s="1061" t="n"/>
      <c r="L207" s="2300" t="n"/>
      <c r="M207" s="2301" t="n"/>
      <c r="N207" s="1061" t="n"/>
      <c r="O207" s="1061" t="n"/>
      <c r="P207" s="1061" t="n"/>
      <c r="Q207" s="1061" t="n"/>
      <c r="R207" s="1061" t="n"/>
      <c r="S207" s="344" t="n"/>
      <c r="T207" s="344" t="n"/>
      <c r="U207" s="344" t="n"/>
      <c r="V207" s="2033" t="n"/>
      <c r="W207" s="9750" t="n"/>
      <c r="X207" s="1205" t="n"/>
      <c r="Y207" s="1205" t="n"/>
      <c r="Z207" s="1205" t="n"/>
      <c r="AA207" s="1401" t="n"/>
      <c r="AB207" s="2339" t="n"/>
      <c r="AC207" s="2340" t="n"/>
      <c r="AD207" s="2332" t="n"/>
      <c r="AE207" s="1664" t="n"/>
      <c r="AF207" s="1664" t="n"/>
      <c r="AG207" s="1664" t="n"/>
      <c r="AH207" s="1664" t="n"/>
      <c r="AI207" s="1664" t="n"/>
      <c r="AJ207" s="1664" t="n"/>
      <c r="AK207" s="2013" t="n"/>
      <c r="AL207" s="11602" t="n"/>
      <c r="AM207" s="11602" t="n"/>
      <c r="AN207" s="2362" t="n"/>
      <c r="AO207" s="6603" t="n"/>
      <c r="AP207" s="658" t="n"/>
      <c r="AQ207" s="658" t="n"/>
      <c r="AR207" s="658" t="n"/>
      <c r="AS207" s="658" t="n"/>
      <c r="AT207" s="658" t="n"/>
      <c r="AU207" s="658" t="n"/>
      <c r="AV207" s="658" t="n"/>
      <c r="AW207" s="658" t="n"/>
      <c r="AX207" s="658" t="n"/>
      <c r="AY207" s="658" t="n"/>
    </row>
    <row r="208" ht="21" customFormat="1" customHeight="1" s="815">
      <c r="A208" s="2013" t="n"/>
      <c r="B208" s="11191" t="n"/>
      <c r="C208" s="6428" t="inlineStr">
        <is>
          <t>If you checked the “No” box, you cannot claim the home energy audit credit. Stop. Go to line 27.</t>
        </is>
      </c>
      <c r="D208" s="8650" t="n"/>
      <c r="E208" s="344" t="n"/>
      <c r="F208" s="344" t="n"/>
      <c r="G208" s="344" t="n"/>
      <c r="H208" s="344" t="n"/>
      <c r="I208" s="344" t="n"/>
      <c r="J208" s="344" t="n"/>
      <c r="K208" s="1061" t="n"/>
      <c r="L208" s="2300" t="n"/>
      <c r="M208" s="2301" t="n"/>
      <c r="N208" s="1061" t="n"/>
      <c r="O208" s="1061" t="n"/>
      <c r="P208" s="1061" t="n"/>
      <c r="Q208" s="1061" t="n"/>
      <c r="R208" s="1061" t="n"/>
      <c r="S208" s="344" t="n"/>
      <c r="T208" s="344" t="n"/>
      <c r="U208" s="344" t="n"/>
      <c r="V208" s="2033" t="n"/>
      <c r="W208" s="9750" t="n"/>
      <c r="X208" s="1205" t="n"/>
      <c r="Y208" s="1205" t="n"/>
      <c r="Z208" s="1205" t="n"/>
      <c r="AA208" s="1657" t="n"/>
      <c r="AB208" s="12555" t="inlineStr">
        <is>
          <t>26a</t>
        </is>
      </c>
      <c r="AC208" s="7636" t="n"/>
      <c r="AD208" s="2332" t="n"/>
      <c r="AE208" s="2335" t="n"/>
      <c r="AF208" s="1664" t="inlineStr">
        <is>
          <t>Yes</t>
        </is>
      </c>
      <c r="AG208" s="1664" t="n"/>
      <c r="AH208" s="2336">
        <f>IF(AND(AE208="",AK208=""),"X","")</f>
        <v/>
      </c>
      <c r="AI208" s="1664" t="inlineStr">
        <is>
          <t>No</t>
        </is>
      </c>
      <c r="AJ208" s="1664" t="n"/>
      <c r="AK208" s="2337" t="inlineStr">
        <is>
          <t>X</t>
        </is>
      </c>
      <c r="AL208" s="2338" t="inlineStr">
        <is>
          <t>Uncheck 'No' box.</t>
        </is>
      </c>
      <c r="AM208" s="11602" t="n"/>
      <c r="AN208" s="2362" t="n"/>
      <c r="AO208" s="6603" t="n"/>
      <c r="AP208" s="658" t="n"/>
      <c r="AQ208" s="658" t="n"/>
      <c r="AR208" s="658" t="n"/>
      <c r="AS208" s="658" t="n"/>
      <c r="AT208" s="658" t="n"/>
      <c r="AU208" s="658" t="n"/>
      <c r="AV208" s="658" t="n"/>
      <c r="AW208" s="658" t="n"/>
      <c r="AX208" s="658" t="n"/>
      <c r="AY208" s="658" t="n"/>
    </row>
    <row r="209" ht="6.75" customFormat="1" customHeight="1" s="815">
      <c r="A209" s="2013" t="n"/>
      <c r="B209" s="11191" t="n"/>
      <c r="C209" s="2299" t="n"/>
      <c r="D209" s="8650" t="n"/>
      <c r="E209" s="344" t="n"/>
      <c r="F209" s="344" t="n"/>
      <c r="G209" s="344" t="n"/>
      <c r="H209" s="344" t="n"/>
      <c r="I209" s="344" t="n"/>
      <c r="J209" s="344" t="n"/>
      <c r="K209" s="1061" t="n"/>
      <c r="L209" s="2300" t="n"/>
      <c r="M209" s="2301" t="n"/>
      <c r="N209" s="1061" t="n"/>
      <c r="O209" s="1061" t="n"/>
      <c r="P209" s="1061" t="n"/>
      <c r="Q209" s="1061" t="n"/>
      <c r="R209" s="1061" t="n"/>
      <c r="S209" s="344" t="n"/>
      <c r="T209" s="344" t="n"/>
      <c r="U209" s="344" t="n"/>
      <c r="V209" s="11191" t="n"/>
      <c r="W209" s="2356" t="n"/>
      <c r="X209" s="2356" t="n"/>
      <c r="Y209" s="2356" t="n"/>
      <c r="Z209" s="2356" t="n"/>
      <c r="AA209" s="2357" t="n"/>
      <c r="AB209" s="2358" t="n"/>
      <c r="AC209" s="2359" t="n"/>
      <c r="AD209" s="2330" t="n"/>
      <c r="AE209" s="2331" t="n"/>
      <c r="AF209" s="2331" t="n"/>
      <c r="AG209" s="2331" t="n"/>
      <c r="AH209" s="2331" t="n"/>
      <c r="AI209" s="2331" t="n"/>
      <c r="AJ209" s="2331" t="n"/>
      <c r="AK209" s="2013" t="n"/>
      <c r="AL209" s="11602" t="n"/>
      <c r="AM209" s="11602" t="n"/>
      <c r="AN209" s="2362" t="n"/>
      <c r="AO209" s="6603" t="n"/>
      <c r="AP209" s="658" t="n"/>
      <c r="AQ209" s="658" t="n"/>
      <c r="AR209" s="658" t="n"/>
      <c r="AS209" s="658" t="n"/>
      <c r="AT209" s="658" t="n"/>
      <c r="AU209" s="658" t="n"/>
      <c r="AV209" s="658" t="n"/>
      <c r="AW209" s="658" t="n"/>
      <c r="AX209" s="658" t="n"/>
      <c r="AY209" s="658" t="n"/>
    </row>
    <row r="210" ht="18.75" customFormat="1" customHeight="1" s="815" thickBot="1">
      <c r="A210" s="2013" t="n"/>
      <c r="B210" s="2353" t="inlineStr">
        <is>
          <t>b</t>
        </is>
      </c>
      <c r="C210" s="2381" t="inlineStr">
        <is>
          <t>Enter the cost of the home energy audits</t>
        </is>
      </c>
      <c r="D210" s="8650" t="n"/>
      <c r="E210" s="344" t="n"/>
      <c r="F210" s="344" t="n"/>
      <c r="G210" s="344" t="n"/>
      <c r="H210" s="344" t="n"/>
      <c r="I210" s="344" t="n"/>
      <c r="J210" s="344" t="n"/>
      <c r="K210" s="1061" t="n"/>
      <c r="L210" s="2300" t="n"/>
      <c r="M210" s="2301" t="n"/>
      <c r="N210" s="1061" t="n"/>
      <c r="O210" s="1061" t="n"/>
      <c r="P210" s="1061" t="n"/>
      <c r="Q210" s="1061" t="n"/>
      <c r="R210" s="1061" t="n"/>
      <c r="S210" s="344" t="n"/>
      <c r="T210" s="344" t="n"/>
      <c r="U210" s="1401" t="n"/>
      <c r="V210" s="2350" t="inlineStr">
        <is>
          <t>26b</t>
        </is>
      </c>
      <c r="W210" s="10220" t="n"/>
      <c r="X210" s="11717" t="n"/>
      <c r="Y210" s="11717" t="n"/>
      <c r="Z210" s="11717" t="n"/>
      <c r="AA210" s="11718" t="n"/>
      <c r="AB210" s="2339" t="n"/>
      <c r="AC210" s="2340" t="n"/>
      <c r="AD210" s="10283">
        <f>IF(AND(AE208="",W210&lt;&gt;""),"Check 'Yes'.","")</f>
        <v/>
      </c>
      <c r="AE210" s="11745" t="n"/>
      <c r="AF210" s="11745" t="n"/>
      <c r="AG210" s="11745" t="n"/>
      <c r="AH210" s="11745" t="n"/>
      <c r="AI210" s="11745" t="n"/>
      <c r="AJ210" s="11745" t="n"/>
      <c r="AK210" s="2013" t="n"/>
      <c r="AL210" s="11602" t="n"/>
      <c r="AM210" s="226" t="inlineStr">
        <is>
          <t>Override ê</t>
        </is>
      </c>
      <c r="AN210" s="2362" t="n"/>
      <c r="AO210" s="6603">
        <f>W210=""</f>
        <v/>
      </c>
      <c r="AP210" s="658" t="n"/>
      <c r="AQ210" s="658" t="n"/>
      <c r="AR210" s="658" t="n"/>
      <c r="AS210" s="658" t="n"/>
      <c r="AT210" s="658" t="n"/>
      <c r="AU210" s="658" t="n"/>
      <c r="AV210" s="658" t="n"/>
      <c r="AW210" s="658" t="n"/>
      <c r="AX210" s="658" t="n"/>
      <c r="AY210" s="658" t="n"/>
    </row>
    <row r="211" ht="21" customFormat="1" customHeight="1" s="815" thickBot="1">
      <c r="A211" s="2013" t="n"/>
      <c r="B211" s="2353" t="inlineStr">
        <is>
          <t>c</t>
        </is>
      </c>
      <c r="C211" s="7865">
        <f>"Multiply line 26b by "&amp;TEXT($AD$161,"0%")&amp;" ("&amp;TEXT($AD$161,"0.00")&amp;"). Enter the results. "</f>
        <v/>
      </c>
      <c r="D211" s="344" t="n"/>
      <c r="E211" s="344" t="n"/>
      <c r="F211" s="344" t="n"/>
      <c r="G211" s="344" t="n"/>
      <c r="H211" s="344" t="n"/>
      <c r="I211" s="344" t="n"/>
      <c r="J211" s="344" t="n"/>
      <c r="K211" s="344" t="n"/>
      <c r="L211" s="344" t="n"/>
      <c r="M211" s="344" t="n"/>
      <c r="N211" s="7772" t="n"/>
      <c r="O211" s="344" t="n"/>
      <c r="P211" s="344" t="n"/>
      <c r="Q211" s="344" t="n"/>
      <c r="R211" s="344" t="n"/>
      <c r="S211" s="4998" t="n"/>
      <c r="T211" s="4998" t="inlineStr">
        <is>
          <t xml:space="preserve">Do not enter more than </t>
        </is>
      </c>
      <c r="U211" s="7865">
        <f>TEXT($AN$211,"$0")</f>
        <v/>
      </c>
      <c r="V211" s="344" t="n"/>
      <c r="W211" s="344" t="n"/>
      <c r="X211" s="344" t="n"/>
      <c r="Y211" s="344" t="n"/>
      <c r="Z211" s="344" t="n"/>
      <c r="AA211" s="1401" t="n"/>
      <c r="AB211" s="12557" t="inlineStr">
        <is>
          <t>26c</t>
        </is>
      </c>
      <c r="AC211" s="7638" t="n"/>
      <c r="AD211" s="10249">
        <f>IF(AM211&lt;&gt;"",ROUND(AM211,"0"),IF(W210="","",MIN(ROUND(W210*$AD$161,0),$AN$211)))</f>
        <v/>
      </c>
      <c r="AE211" s="7637" t="n"/>
      <c r="AF211" s="7637" t="n"/>
      <c r="AG211" s="7637" t="n"/>
      <c r="AH211" s="7637" t="n"/>
      <c r="AI211" s="7637" t="n"/>
      <c r="AJ211" s="7637" t="n"/>
      <c r="AK211" s="2013" t="n"/>
      <c r="AL211" s="11602" t="n"/>
      <c r="AM211" s="2361" t="n"/>
      <c r="AN211" s="6444" t="n">
        <v>150</v>
      </c>
      <c r="AO211" s="6603">
        <f>AD211=""</f>
        <v/>
      </c>
      <c r="AP211" s="658" t="n"/>
      <c r="AQ211" s="658" t="n"/>
      <c r="AR211" s="658" t="n"/>
      <c r="AS211" s="658" t="n"/>
      <c r="AT211" s="658" t="n"/>
      <c r="AU211" s="658" t="n"/>
      <c r="AV211" s="658" t="n"/>
      <c r="AW211" s="658" t="n"/>
      <c r="AX211" s="658" t="n"/>
      <c r="AY211" s="658" t="n"/>
    </row>
    <row r="212" ht="21" customFormat="1" customHeight="1" s="815" thickBot="1">
      <c r="A212" s="2013" t="n"/>
      <c r="B212" s="11191" t="n">
        <v>27</v>
      </c>
      <c r="C212" s="2299" t="inlineStr">
        <is>
          <t>Add lines 18b, 19h, 20d, 22d, 23d, 24d, 25e, and 26c</t>
        </is>
      </c>
      <c r="D212" s="8650" t="n"/>
      <c r="E212" s="344" t="n"/>
      <c r="F212" s="344" t="n"/>
      <c r="G212" s="344" t="n"/>
      <c r="H212" s="344" t="n"/>
      <c r="I212" s="344" t="n"/>
      <c r="J212" s="344" t="n"/>
      <c r="K212" s="1061" t="n"/>
      <c r="L212" s="2300" t="n"/>
      <c r="M212" s="2301" t="n"/>
      <c r="N212" s="1061" t="n"/>
      <c r="O212" s="1061" t="n"/>
      <c r="P212" s="1061" t="n"/>
      <c r="Q212" s="1061" t="n"/>
      <c r="R212" s="1061" t="n"/>
      <c r="S212" s="344" t="n"/>
      <c r="T212" s="344" t="n"/>
      <c r="U212" s="1401" t="inlineStr">
        <is>
          <t xml:space="preserve">.   .   .   .   .   .   .   .   .   .   .  </t>
        </is>
      </c>
      <c r="V212" s="2350" t="n">
        <v>27</v>
      </c>
      <c r="W212" s="10222">
        <f>IF(AM212&lt;&gt;"",ROUND(AM212,0),IF(AO212,"",SUM(AD101,AD117,AD133,AD162,AD173,AD184,AD201,AD211)))</f>
        <v/>
      </c>
      <c r="X212" s="7637" t="n"/>
      <c r="Y212" s="7637" t="n"/>
      <c r="Z212" s="7637" t="n"/>
      <c r="AA212" s="7638" t="n"/>
      <c r="AB212" s="2339" t="n"/>
      <c r="AC212" s="2340" t="n"/>
      <c r="AD212" s="10281" t="n">
        <v>1200</v>
      </c>
      <c r="AE212" s="11745" t="n"/>
      <c r="AF212" s="11745" t="n"/>
      <c r="AG212" s="11745" t="n"/>
      <c r="AH212" s="11745" t="n"/>
      <c r="AI212" s="11745" t="n"/>
      <c r="AJ212" s="11745" t="n"/>
      <c r="AK212" s="2013" t="n"/>
      <c r="AL212" s="11602" t="n"/>
      <c r="AM212" s="2361" t="n"/>
      <c r="AN212" s="2362">
        <f>AM211&gt;AN211</f>
        <v/>
      </c>
      <c r="AO212" s="6603">
        <f>AND(AO101,AO117,AO133,AO162,AO173,AO184,AO201,AO211)</f>
        <v/>
      </c>
      <c r="AP212" s="658" t="n"/>
      <c r="AQ212" s="658" t="n"/>
      <c r="AR212" s="658" t="n"/>
      <c r="AS212" s="658" t="n"/>
      <c r="AT212" s="658" t="n"/>
      <c r="AU212" s="658" t="n"/>
      <c r="AV212" s="658" t="n"/>
      <c r="AW212" s="658" t="n"/>
      <c r="AX212" s="658" t="n"/>
      <c r="AY212" s="658" t="n"/>
    </row>
    <row r="213" ht="21" customFormat="1" customHeight="1" s="815" thickBot="1">
      <c r="A213" s="2013" t="n"/>
      <c r="B213" s="11191" t="n">
        <v>28</v>
      </c>
      <c r="C213" s="7865">
        <f>"Enter the smaller of line 27 or "&amp;TEXT(AD212,"$0,000")</f>
        <v/>
      </c>
      <c r="D213" s="344" t="n"/>
      <c r="E213" s="344" t="n"/>
      <c r="F213" s="344" t="n"/>
      <c r="G213" s="344" t="n"/>
      <c r="H213" s="344" t="n"/>
      <c r="I213" s="344" t="n"/>
      <c r="J213" s="344" t="n"/>
      <c r="K213" s="344" t="n"/>
      <c r="L213" s="344" t="n"/>
      <c r="M213" s="344" t="n"/>
      <c r="N213" s="344" t="n"/>
      <c r="O213" s="344" t="n"/>
      <c r="P213" s="344" t="n"/>
      <c r="Q213" s="344" t="n"/>
      <c r="R213" s="344" t="n"/>
      <c r="S213" s="344" t="n"/>
      <c r="T213" s="344" t="n"/>
      <c r="U213" s="344" t="n"/>
      <c r="V213" s="344" t="n"/>
      <c r="W213" s="344" t="n"/>
      <c r="X213" s="344" t="n"/>
      <c r="Y213" s="344" t="n"/>
      <c r="Z213" s="344" t="n"/>
      <c r="AA213" s="1401" t="inlineStr">
        <is>
          <t xml:space="preserve">.   .   .   .   .   .   .   .   .   .   .   .   .   .   .   .   .   .   .   .   .   .   .   .   .   .   .   .   .   .   .  </t>
        </is>
      </c>
      <c r="AB213" s="12557" t="n">
        <v>28</v>
      </c>
      <c r="AC213" s="7638" t="n"/>
      <c r="AD213" s="10249">
        <f>IF(AM213&lt;&gt;"",ROUND(AM213,0),IF(AO212,"",MIN(W212,$AD$212)))</f>
        <v/>
      </c>
      <c r="AE213" s="7637" t="n"/>
      <c r="AF213" s="7637" t="n"/>
      <c r="AG213" s="7637" t="n"/>
      <c r="AH213" s="7637" t="n"/>
      <c r="AI213" s="7637" t="n"/>
      <c r="AJ213" s="7637" t="n"/>
      <c r="AK213" s="2013" t="n"/>
      <c r="AL213" s="11602" t="n"/>
      <c r="AM213" s="2361" t="n"/>
      <c r="AN213" s="2362" t="n"/>
      <c r="AO213" s="6603">
        <f>AD213=""</f>
        <v/>
      </c>
      <c r="AP213" s="658" t="n"/>
      <c r="AQ213" s="658" t="n"/>
      <c r="AR213" s="658" t="n"/>
      <c r="AS213" s="658" t="n"/>
      <c r="AT213" s="658" t="n"/>
      <c r="AU213" s="658" t="n"/>
      <c r="AV213" s="658" t="n"/>
      <c r="AW213" s="658" t="n"/>
      <c r="AX213" s="658" t="n"/>
      <c r="AY213" s="658" t="n"/>
    </row>
    <row r="214" ht="21" customFormat="1" customHeight="1" s="815">
      <c r="A214" s="2013" t="n"/>
      <c r="B214" s="11191" t="n">
        <v>29</v>
      </c>
      <c r="C214" s="2299" t="inlineStr">
        <is>
          <t>Heat pumps and heat pump water heaters; biomass stoves and biomass boilers.</t>
        </is>
      </c>
      <c r="D214" s="8650" t="n"/>
      <c r="E214" s="344" t="n"/>
      <c r="F214" s="344" t="n"/>
      <c r="G214" s="344" t="n"/>
      <c r="H214" s="344" t="n"/>
      <c r="I214" s="344" t="n"/>
      <c r="J214" s="344" t="n"/>
      <c r="K214" s="1061" t="n"/>
      <c r="L214" s="2300" t="n"/>
      <c r="M214" s="2301" t="n"/>
      <c r="N214" s="1061" t="n"/>
      <c r="O214" s="1061" t="n"/>
      <c r="P214" s="1061" t="n"/>
      <c r="Q214" s="1061" t="n"/>
      <c r="R214" s="1061" t="n"/>
      <c r="S214" s="344" t="n"/>
      <c r="T214" s="344" t="n"/>
      <c r="U214" s="1401" t="n"/>
      <c r="V214" s="2349" t="n"/>
      <c r="W214" s="9750" t="n"/>
      <c r="X214" s="1205" t="n"/>
      <c r="Y214" s="1205" t="n"/>
      <c r="Z214" s="1205" t="n"/>
      <c r="AA214" s="1401" t="n"/>
      <c r="AB214" s="2339" t="n"/>
      <c r="AC214" s="2340" t="n"/>
      <c r="AD214" s="1803" t="n"/>
      <c r="AE214" s="1806" t="n"/>
      <c r="AF214" s="1806" t="n"/>
      <c r="AG214" s="1806" t="n"/>
      <c r="AH214" s="1806" t="n"/>
      <c r="AI214" s="1806" t="n"/>
      <c r="AJ214" s="1806" t="n"/>
      <c r="AK214" s="2013" t="n"/>
      <c r="AL214" s="4850">
        <f>IF(NOT(AO143),"Skip line 29.","")</f>
        <v/>
      </c>
      <c r="AM214" s="226" t="n"/>
      <c r="AN214" s="2362" t="n"/>
      <c r="AO214" s="6603" t="n"/>
      <c r="AP214" s="658" t="n"/>
      <c r="AQ214" s="658" t="n"/>
      <c r="AR214" s="658" t="n"/>
      <c r="AS214" s="658" t="n"/>
      <c r="AT214" s="658" t="n"/>
      <c r="AU214" s="658" t="n"/>
      <c r="AV214" s="658" t="n"/>
      <c r="AW214" s="658" t="n"/>
      <c r="AX214" s="658" t="n"/>
      <c r="AY214" s="658" t="n"/>
    </row>
    <row r="215" ht="21.75" customFormat="1" customHeight="1" s="815">
      <c r="A215" s="2013" t="n"/>
      <c r="B215" s="2353" t="inlineStr">
        <is>
          <t>a</t>
        </is>
      </c>
      <c r="C215" s="2299" t="inlineStr">
        <is>
          <t>Enter the Qualified Manufacturer Identification Number and cost of the most</t>
        </is>
      </c>
      <c r="D215" s="8650" t="n"/>
      <c r="E215" s="344" t="n"/>
      <c r="F215" s="344" t="n"/>
      <c r="G215" s="344" t="n"/>
      <c r="H215" s="344" t="n"/>
      <c r="I215" s="344" t="n"/>
      <c r="J215" s="344" t="n"/>
      <c r="K215" s="1061" t="n"/>
      <c r="L215" s="2300" t="n"/>
      <c r="M215" s="2301" t="n"/>
      <c r="N215" s="1061" t="n"/>
      <c r="O215" s="1061" t="n"/>
      <c r="P215" s="1061" t="n"/>
      <c r="Q215" s="1061" t="n"/>
      <c r="R215" s="1061" t="n"/>
      <c r="S215" s="344" t="n"/>
      <c r="T215" s="344" t="n"/>
      <c r="U215" s="344" t="n"/>
      <c r="V215" s="2351" t="n"/>
      <c r="W215" s="6408" t="n"/>
      <c r="X215" s="6409" t="n"/>
      <c r="Y215" s="6409" t="n"/>
      <c r="Z215" s="6409" t="n"/>
      <c r="AA215" s="6410" t="n"/>
      <c r="AB215" s="2339" t="n"/>
      <c r="AC215" s="2340" t="n"/>
      <c r="AD215" s="1803" t="n"/>
      <c r="AE215" s="1806" t="n"/>
      <c r="AF215" s="1806" t="n"/>
      <c r="AG215" s="1806" t="n"/>
      <c r="AH215" s="1806" t="n"/>
      <c r="AI215" s="1806" t="n"/>
      <c r="AJ215" s="1806" t="n"/>
      <c r="AK215" s="2013" t="n"/>
      <c r="AL215" s="11602" t="n"/>
      <c r="AM215" s="5425" t="inlineStr">
        <is>
          <t>Override ê</t>
        </is>
      </c>
      <c r="AN215" s="2362" t="n"/>
      <c r="AO215" s="6603" t="n"/>
      <c r="AP215" s="658" t="n"/>
      <c r="AQ215" s="658" t="n"/>
      <c r="AR215" s="658" t="n"/>
      <c r="AS215" s="658" t="n"/>
      <c r="AT215" s="658" t="n"/>
      <c r="AU215" s="658" t="n"/>
      <c r="AV215" s="658" t="n"/>
      <c r="AW215" s="658" t="n"/>
      <c r="AX215" s="658" t="n"/>
      <c r="AY215" s="658" t="n"/>
    </row>
    <row r="216" ht="18" customFormat="1" customHeight="1" s="815">
      <c r="A216" s="2013" t="n"/>
      <c r="B216" s="2353" t="n"/>
      <c r="C216" s="2381" t="inlineStr">
        <is>
          <t>expensive electric or natural gas heat pump</t>
        </is>
      </c>
      <c r="D216" s="8650" t="n"/>
      <c r="E216" s="344" t="n"/>
      <c r="F216" s="344" t="n"/>
      <c r="G216" s="344" t="n"/>
      <c r="H216" s="344" t="n"/>
      <c r="I216" s="344" t="n"/>
      <c r="J216" s="344" t="n"/>
      <c r="K216" s="1061" t="n"/>
      <c r="L216" s="2300" t="n"/>
      <c r="M216" s="2301" t="n"/>
      <c r="N216" s="1061" t="n"/>
      <c r="O216" s="1061" t="n"/>
      <c r="P216" s="1061" t="n"/>
      <c r="Q216" s="1061" t="n"/>
      <c r="R216" s="1061" t="n"/>
      <c r="S216" s="344" t="n"/>
      <c r="T216" s="344" t="n"/>
      <c r="U216" s="1401" t="inlineStr">
        <is>
          <t xml:space="preserve">.   .   .   .   .   .   .   .   .   .   .   .   .   .   .   .  </t>
        </is>
      </c>
      <c r="V216" s="2350" t="inlineStr">
        <is>
          <t>29a</t>
        </is>
      </c>
      <c r="W216" s="10220" t="n"/>
      <c r="X216" s="11717" t="n"/>
      <c r="Y216" s="11717" t="n"/>
      <c r="Z216" s="11717" t="n"/>
      <c r="AA216" s="11718" t="n"/>
      <c r="AB216" s="2339" t="n"/>
      <c r="AC216" s="2340" t="n"/>
      <c r="AD216" s="1803" t="n"/>
      <c r="AE216" s="1806" t="n"/>
      <c r="AF216" s="1806" t="n"/>
      <c r="AG216" s="1806" t="n"/>
      <c r="AH216" s="1806" t="n"/>
      <c r="AI216" s="1806" t="n"/>
      <c r="AJ216" s="1806" t="n"/>
      <c r="AK216" s="2013" t="n"/>
      <c r="AL216" s="11602" t="n"/>
      <c r="AM216" s="226" t="n"/>
      <c r="AN216" s="2362" t="n"/>
      <c r="AO216" s="6603">
        <f>W216=""</f>
        <v/>
      </c>
      <c r="AP216" s="658" t="n"/>
      <c r="AQ216" s="658" t="n"/>
      <c r="AR216" s="658" t="n"/>
      <c r="AS216" s="658" t="n"/>
      <c r="AT216" s="658" t="n"/>
      <c r="AU216" s="658" t="n"/>
      <c r="AV216" s="658" t="n"/>
      <c r="AW216" s="658" t="n"/>
      <c r="AX216" s="658" t="n"/>
      <c r="AY216" s="658" t="n"/>
    </row>
    <row r="217" ht="9" customFormat="1" customHeight="1" s="815">
      <c r="A217" s="2013" t="n"/>
      <c r="B217" s="2353" t="n"/>
      <c r="C217" s="2353" t="n"/>
      <c r="D217" s="2353" t="n"/>
      <c r="E217" s="2353" t="n"/>
      <c r="F217" s="2353" t="n"/>
      <c r="G217" s="2353" t="n"/>
      <c r="H217" s="2353" t="n"/>
      <c r="I217" s="2353" t="n"/>
      <c r="J217" s="2353" t="n"/>
      <c r="K217" s="2353" t="n"/>
      <c r="L217" s="2353" t="n"/>
      <c r="M217" s="2353" t="n"/>
      <c r="N217" s="2353" t="n"/>
      <c r="O217" s="2353" t="n"/>
      <c r="P217" s="2353" t="n"/>
      <c r="Q217" s="2353" t="n"/>
      <c r="R217" s="2353" t="n"/>
      <c r="S217" s="2353" t="n"/>
      <c r="T217" s="2353" t="n"/>
      <c r="U217" s="2353" t="n"/>
      <c r="V217" s="2351" t="n"/>
      <c r="W217" s="2353" t="n"/>
      <c r="X217" s="2353" t="n"/>
      <c r="Y217" s="2353" t="n"/>
      <c r="Z217" s="2353" t="n"/>
      <c r="AA217" s="2353" t="n"/>
      <c r="AB217" s="2339" t="n"/>
      <c r="AC217" s="2340" t="n"/>
      <c r="AD217" s="1803" t="n"/>
      <c r="AE217" s="1806" t="n"/>
      <c r="AF217" s="1806" t="n"/>
      <c r="AG217" s="1806" t="n"/>
      <c r="AH217" s="1806" t="n"/>
      <c r="AI217" s="1806" t="n"/>
      <c r="AJ217" s="1806" t="n"/>
      <c r="AK217" s="2013" t="n"/>
      <c r="AL217" s="11602" t="n"/>
      <c r="AM217" s="226" t="n"/>
      <c r="AN217" s="2362" t="n"/>
      <c r="AO217" s="6603" t="n"/>
      <c r="AP217" s="658" t="n"/>
      <c r="AQ217" s="658" t="n"/>
      <c r="AR217" s="658" t="n"/>
      <c r="AS217" s="658" t="n"/>
      <c r="AT217" s="658" t="n"/>
      <c r="AU217" s="658" t="n"/>
      <c r="AV217" s="658" t="n"/>
      <c r="AW217" s="658" t="n"/>
      <c r="AX217" s="658" t="n"/>
      <c r="AY217" s="658" t="n"/>
    </row>
    <row r="218" ht="21.75" customFormat="1" customHeight="1" s="815">
      <c r="A218" s="2013" t="n"/>
      <c r="B218" s="6415" t="n"/>
      <c r="C218" s="6413" t="n"/>
      <c r="D218" s="6414" t="n"/>
      <c r="E218" s="6414" t="n"/>
      <c r="F218" s="6414" t="n"/>
      <c r="G218" s="6445" t="n"/>
      <c r="H218" s="6445" t="n"/>
      <c r="I218" s="6445" t="n"/>
      <c r="J218" s="6445" t="n"/>
      <c r="K218" s="6445" t="n"/>
      <c r="L218" s="6446" t="n"/>
      <c r="M218" s="6447" t="n"/>
      <c r="N218" s="6445" t="n"/>
      <c r="O218" s="6445" t="n"/>
      <c r="P218" s="6445" t="n"/>
      <c r="Q218" s="6445" t="n"/>
      <c r="R218" s="6445" t="n"/>
      <c r="S218" s="6445" t="n"/>
      <c r="T218" s="344" t="n"/>
      <c r="U218" s="6409" t="n"/>
      <c r="V218" s="2351" t="n"/>
      <c r="W218" s="6409" t="n"/>
      <c r="X218" s="6409" t="n"/>
      <c r="Y218" s="6409" t="n"/>
      <c r="Z218" s="6409" t="n"/>
      <c r="AA218" s="6410" t="n"/>
      <c r="AB218" s="2339" t="n"/>
      <c r="AC218" s="2340" t="n"/>
      <c r="AD218" s="1803" t="n"/>
      <c r="AE218" s="1806" t="n"/>
      <c r="AF218" s="1806" t="n"/>
      <c r="AG218" s="1806" t="n"/>
      <c r="AH218" s="1806" t="n"/>
      <c r="AI218" s="1806" t="n"/>
      <c r="AJ218" s="1806" t="n"/>
      <c r="AK218" s="2013" t="n"/>
      <c r="AL218" s="11602" t="n"/>
      <c r="AM218" s="226" t="n"/>
      <c r="AN218" s="2362" t="n"/>
      <c r="AO218" s="6603" t="n"/>
      <c r="AP218" s="658" t="n"/>
      <c r="AQ218" s="658" t="n"/>
      <c r="AR218" s="658" t="n"/>
      <c r="AS218" s="658" t="n"/>
      <c r="AT218" s="658" t="n"/>
      <c r="AU218" s="658" t="n"/>
      <c r="AV218" s="658" t="n"/>
      <c r="AW218" s="658" t="n"/>
      <c r="AX218" s="658" t="n"/>
      <c r="AY218" s="658" t="n"/>
    </row>
    <row r="219" ht="6" customFormat="1" customHeight="1" s="815" thickBot="1">
      <c r="A219" s="2013" t="n"/>
      <c r="B219" s="6415" t="n"/>
      <c r="C219" s="6416" t="n"/>
      <c r="D219" s="6416" t="n"/>
      <c r="E219" s="6416" t="n"/>
      <c r="F219" s="6416" t="n"/>
      <c r="G219" s="6416" t="n"/>
      <c r="H219" s="6416" t="n"/>
      <c r="I219" s="6416" t="n"/>
      <c r="J219" s="6416" t="n"/>
      <c r="K219" s="6416" t="n"/>
      <c r="L219" s="6416" t="n"/>
      <c r="M219" s="6416" t="n"/>
      <c r="N219" s="6416" t="n"/>
      <c r="O219" s="6416" t="n"/>
      <c r="P219" s="6416" t="n"/>
      <c r="Q219" s="6416" t="n"/>
      <c r="R219" s="6416" t="n"/>
      <c r="S219" s="6416" t="n"/>
      <c r="T219" s="6416" t="n"/>
      <c r="U219" s="6416" t="n"/>
      <c r="V219" s="2351" t="n"/>
      <c r="W219" s="6416" t="n"/>
      <c r="X219" s="6416" t="n"/>
      <c r="Y219" s="6416" t="n"/>
      <c r="Z219" s="6416" t="n"/>
      <c r="AA219" s="6410" t="n"/>
      <c r="AB219" s="2339" t="n"/>
      <c r="AC219" s="2340" t="n"/>
      <c r="AD219" s="1803" t="n"/>
      <c r="AE219" s="1806" t="n"/>
      <c r="AF219" s="1806" t="n"/>
      <c r="AG219" s="1806" t="n"/>
      <c r="AH219" s="1806" t="n"/>
      <c r="AI219" s="1806" t="n"/>
      <c r="AJ219" s="1806" t="n"/>
      <c r="AK219" s="2013" t="n"/>
      <c r="AL219" s="11602" t="n"/>
      <c r="AM219" s="226" t="n"/>
      <c r="AN219" s="2362" t="n"/>
      <c r="AO219" s="6603" t="n"/>
      <c r="AP219" s="658" t="n"/>
      <c r="AQ219" s="658" t="n"/>
      <c r="AR219" s="658" t="n"/>
      <c r="AS219" s="658" t="n"/>
      <c r="AT219" s="658" t="n"/>
      <c r="AU219" s="658" t="n"/>
      <c r="AV219" s="658" t="n"/>
      <c r="AW219" s="658" t="n"/>
      <c r="AX219" s="658" t="n"/>
      <c r="AY219" s="658" t="n"/>
    </row>
    <row r="220" ht="21" customFormat="1" customHeight="1" s="815" thickBot="1">
      <c r="A220" s="2013" t="n"/>
      <c r="B220" s="2353" t="inlineStr">
        <is>
          <t>b</t>
        </is>
      </c>
      <c r="C220" s="2299" t="inlineStr">
        <is>
          <t>Enter the cost of all other electric or natural gas heat pumps. If none, enter -0-</t>
        </is>
      </c>
      <c r="D220" s="8650" t="n"/>
      <c r="E220" s="344" t="n"/>
      <c r="F220" s="344" t="n"/>
      <c r="G220" s="344" t="n"/>
      <c r="H220" s="344" t="n"/>
      <c r="I220" s="344" t="n"/>
      <c r="J220" s="344" t="n"/>
      <c r="K220" s="1061" t="n"/>
      <c r="L220" s="2300" t="n"/>
      <c r="M220" s="2301" t="n"/>
      <c r="N220" s="1061" t="n"/>
      <c r="O220" s="1061" t="n"/>
      <c r="P220" s="1061" t="n"/>
      <c r="Q220" s="1061" t="n"/>
      <c r="R220" s="1061" t="n"/>
      <c r="S220" s="344" t="n"/>
      <c r="T220" s="344" t="n"/>
      <c r="U220" s="1401" t="inlineStr">
        <is>
          <t xml:space="preserve">.   .  </t>
        </is>
      </c>
      <c r="V220" s="2350" t="inlineStr">
        <is>
          <t>29b</t>
        </is>
      </c>
      <c r="W220" s="10222">
        <f>IF(AND(AO216,AO220),"",IF(AM220="",0,ROUND(AM220,0)))</f>
        <v/>
      </c>
      <c r="X220" s="7637" t="n"/>
      <c r="Y220" s="7637" t="n"/>
      <c r="Z220" s="7637" t="n"/>
      <c r="AA220" s="7638" t="n"/>
      <c r="AB220" s="2339" t="n"/>
      <c r="AC220" s="2340" t="n"/>
      <c r="AD220" s="10250" t="n">
        <v>0.3</v>
      </c>
      <c r="AE220" s="194" t="n"/>
      <c r="AF220" s="194" t="n"/>
      <c r="AG220" s="10265" t="n">
        <v>600</v>
      </c>
      <c r="AH220" s="194" t="n"/>
      <c r="AI220" s="194" t="n"/>
      <c r="AJ220" s="194" t="n"/>
      <c r="AK220" s="2013" t="n"/>
      <c r="AL220" s="11602" t="n"/>
      <c r="AM220" s="2361" t="n"/>
      <c r="AN220" s="2362" t="n"/>
      <c r="AO220" s="6603">
        <f>AM220=""</f>
        <v/>
      </c>
      <c r="AP220" s="658" t="n"/>
      <c r="AQ220" s="658" t="n"/>
      <c r="AR220" s="658" t="n"/>
      <c r="AS220" s="658" t="n"/>
      <c r="AT220" s="658" t="n"/>
      <c r="AU220" s="658" t="n"/>
      <c r="AV220" s="658" t="n"/>
      <c r="AW220" s="658" t="n"/>
      <c r="AX220" s="658" t="n"/>
      <c r="AY220" s="658" t="n"/>
    </row>
    <row r="221" ht="21.75" customFormat="1" customHeight="1" s="815">
      <c r="A221" s="2013" t="n"/>
      <c r="B221" s="6415" t="inlineStr">
        <is>
          <t>c</t>
        </is>
      </c>
      <c r="C221" s="2299" t="inlineStr">
        <is>
          <t>Enter the Qualified Manufacturer Identification Number and cost of the most</t>
        </is>
      </c>
      <c r="D221" s="8650" t="n"/>
      <c r="E221" s="344" t="n"/>
      <c r="F221" s="344" t="n"/>
      <c r="G221" s="344" t="n"/>
      <c r="H221" s="344" t="n"/>
      <c r="I221" s="344" t="n"/>
      <c r="J221" s="344" t="n"/>
      <c r="K221" s="1061" t="n"/>
      <c r="L221" s="2300" t="n"/>
      <c r="M221" s="2301" t="n"/>
      <c r="N221" s="1061" t="n"/>
      <c r="O221" s="1061" t="n"/>
      <c r="P221" s="1061" t="n"/>
      <c r="Q221" s="1061" t="n"/>
      <c r="R221" s="1061" t="n"/>
      <c r="S221" s="344" t="n"/>
      <c r="T221" s="344" t="n"/>
      <c r="U221" s="344" t="n"/>
      <c r="V221" s="2351" t="n"/>
      <c r="W221" s="6408" t="n"/>
      <c r="X221" s="6409" t="n"/>
      <c r="Y221" s="6409" t="n"/>
      <c r="Z221" s="6409" t="n"/>
      <c r="AA221" s="6410" t="n"/>
      <c r="AB221" s="2339" t="n"/>
      <c r="AC221" s="2340" t="n"/>
      <c r="AD221" s="1803" t="n"/>
      <c r="AE221" s="1806" t="n"/>
      <c r="AF221" s="1806" t="n"/>
      <c r="AG221" s="1806" t="n"/>
      <c r="AH221" s="1806" t="n"/>
      <c r="AI221" s="1806" t="n"/>
      <c r="AJ221" s="1806" t="n"/>
      <c r="AK221" s="2013" t="n"/>
      <c r="AL221" s="11602" t="n"/>
      <c r="AM221" s="5425" t="inlineStr">
        <is>
          <t>Override ê</t>
        </is>
      </c>
      <c r="AN221" s="2362" t="n"/>
      <c r="AO221" s="6603" t="n"/>
      <c r="AP221" s="658" t="n"/>
      <c r="AQ221" s="658" t="n"/>
      <c r="AR221" s="658" t="n"/>
      <c r="AS221" s="658" t="n"/>
      <c r="AT221" s="658" t="n"/>
      <c r="AU221" s="658" t="n"/>
      <c r="AV221" s="658" t="n"/>
      <c r="AW221" s="658" t="n"/>
      <c r="AX221" s="658" t="n"/>
      <c r="AY221" s="658" t="n"/>
    </row>
    <row r="222" ht="18" customFormat="1" customHeight="1" s="815">
      <c r="A222" s="2013" t="n"/>
      <c r="B222" s="2353" t="n"/>
      <c r="C222" s="2381" t="inlineStr">
        <is>
          <t>expensive electric or natural gas heat pump water heater</t>
        </is>
      </c>
      <c r="D222" s="8650" t="n"/>
      <c r="E222" s="344" t="n"/>
      <c r="F222" s="344" t="n"/>
      <c r="G222" s="344" t="n"/>
      <c r="H222" s="344" t="n"/>
      <c r="I222" s="344" t="n"/>
      <c r="J222" s="344" t="n"/>
      <c r="K222" s="1061" t="n"/>
      <c r="L222" s="2300" t="n"/>
      <c r="M222" s="2301" t="n"/>
      <c r="N222" s="1061" t="n"/>
      <c r="O222" s="1061" t="n"/>
      <c r="P222" s="1061" t="n"/>
      <c r="Q222" s="1061" t="n"/>
      <c r="R222" s="1061" t="n"/>
      <c r="S222" s="344" t="n"/>
      <c r="T222" s="344" t="n"/>
      <c r="U222" s="1401" t="inlineStr">
        <is>
          <t xml:space="preserve">.   .   .   .   .   .   .   .   .  </t>
        </is>
      </c>
      <c r="V222" s="2350" t="inlineStr">
        <is>
          <t>29c</t>
        </is>
      </c>
      <c r="W222" s="10220" t="n"/>
      <c r="X222" s="11717" t="n"/>
      <c r="Y222" s="11717" t="n"/>
      <c r="Z222" s="11717" t="n"/>
      <c r="AA222" s="11718" t="n"/>
      <c r="AB222" s="2339" t="n"/>
      <c r="AC222" s="2340" t="n"/>
      <c r="AD222" s="1803" t="n"/>
      <c r="AE222" s="1806" t="n"/>
      <c r="AF222" s="1806" t="n"/>
      <c r="AG222" s="1806" t="n"/>
      <c r="AH222" s="1806" t="n"/>
      <c r="AI222" s="1806" t="n"/>
      <c r="AJ222" s="1806" t="n"/>
      <c r="AK222" s="2013" t="n"/>
      <c r="AL222" s="11602" t="n"/>
      <c r="AM222" s="226" t="n"/>
      <c r="AN222" s="2362" t="n"/>
      <c r="AO222" s="6603">
        <f>W222=""</f>
        <v/>
      </c>
      <c r="AP222" s="658" t="n"/>
      <c r="AQ222" s="658" t="n"/>
      <c r="AR222" s="658" t="n"/>
      <c r="AS222" s="658" t="n"/>
      <c r="AT222" s="658" t="n"/>
      <c r="AU222" s="658" t="n"/>
      <c r="AV222" s="658" t="n"/>
      <c r="AW222" s="658" t="n"/>
      <c r="AX222" s="658" t="n"/>
      <c r="AY222" s="658" t="n"/>
    </row>
    <row r="223" ht="9" customFormat="1" customHeight="1" s="815">
      <c r="A223" s="2013" t="n"/>
      <c r="B223" s="2353" t="n"/>
      <c r="C223" s="2353" t="n"/>
      <c r="D223" s="2353" t="n"/>
      <c r="E223" s="2353" t="n"/>
      <c r="F223" s="2353" t="n"/>
      <c r="G223" s="2353" t="n"/>
      <c r="H223" s="2353" t="n"/>
      <c r="I223" s="2353" t="n"/>
      <c r="J223" s="2353" t="n"/>
      <c r="K223" s="2353" t="n"/>
      <c r="L223" s="2353" t="n"/>
      <c r="M223" s="2353" t="n"/>
      <c r="N223" s="2353" t="n"/>
      <c r="O223" s="2353" t="n"/>
      <c r="P223" s="2353" t="n"/>
      <c r="Q223" s="2353" t="n"/>
      <c r="R223" s="2353" t="n"/>
      <c r="S223" s="2353" t="n"/>
      <c r="T223" s="2353" t="n"/>
      <c r="U223" s="2353" t="n"/>
      <c r="V223" s="6432" t="n"/>
      <c r="W223" s="2353" t="n"/>
      <c r="X223" s="2353" t="n"/>
      <c r="Y223" s="2353" t="n"/>
      <c r="Z223" s="2353" t="n"/>
      <c r="AA223" s="2353" t="n"/>
      <c r="AB223" s="2339" t="n"/>
      <c r="AC223" s="2340" t="n"/>
      <c r="AD223" s="1803" t="n"/>
      <c r="AE223" s="1806" t="n"/>
      <c r="AF223" s="1806" t="n"/>
      <c r="AG223" s="1806" t="n"/>
      <c r="AH223" s="1806" t="n"/>
      <c r="AI223" s="1806" t="n"/>
      <c r="AJ223" s="1806" t="n"/>
      <c r="AK223" s="2013" t="n"/>
      <c r="AL223" s="11602" t="n"/>
      <c r="AM223" s="226" t="n"/>
      <c r="AN223" s="2362" t="n"/>
      <c r="AO223" s="6603" t="n"/>
      <c r="AP223" s="658" t="n"/>
      <c r="AQ223" s="658" t="n"/>
      <c r="AR223" s="658" t="n"/>
      <c r="AS223" s="658" t="n"/>
      <c r="AT223" s="658" t="n"/>
      <c r="AU223" s="658" t="n"/>
      <c r="AV223" s="658" t="n"/>
      <c r="AW223" s="658" t="n"/>
      <c r="AX223" s="658" t="n"/>
      <c r="AY223" s="658" t="n"/>
    </row>
    <row r="224" ht="21.75" customFormat="1" customHeight="1" s="815">
      <c r="A224" s="2013" t="n"/>
      <c r="B224" s="6415" t="n"/>
      <c r="C224" s="6413" t="n"/>
      <c r="D224" s="6414" t="n"/>
      <c r="E224" s="6414" t="n"/>
      <c r="F224" s="6414" t="n"/>
      <c r="G224" s="6445" t="n"/>
      <c r="H224" s="6445" t="n"/>
      <c r="I224" s="6445" t="n"/>
      <c r="J224" s="6445" t="n"/>
      <c r="K224" s="6445" t="n"/>
      <c r="L224" s="6446" t="n"/>
      <c r="M224" s="6447" t="n"/>
      <c r="N224" s="6445" t="n"/>
      <c r="O224" s="6445" t="n"/>
      <c r="P224" s="6445" t="n"/>
      <c r="Q224" s="6445" t="n"/>
      <c r="R224" s="6445" t="n"/>
      <c r="S224" s="6445" t="n"/>
      <c r="T224" s="344" t="n"/>
      <c r="U224" s="6409" t="n"/>
      <c r="V224" s="6433" t="n"/>
      <c r="W224" s="6409" t="n"/>
      <c r="X224" s="6409" t="n"/>
      <c r="Y224" s="6409" t="n"/>
      <c r="Z224" s="6409" t="n"/>
      <c r="AA224" s="6410" t="n"/>
      <c r="AB224" s="2339" t="n"/>
      <c r="AC224" s="2340" t="n"/>
      <c r="AD224" s="1803" t="n"/>
      <c r="AE224" s="1806" t="n"/>
      <c r="AF224" s="1806" t="n"/>
      <c r="AG224" s="1806" t="n"/>
      <c r="AH224" s="1806" t="n"/>
      <c r="AI224" s="1806" t="n"/>
      <c r="AJ224" s="1806" t="n"/>
      <c r="AK224" s="2013" t="n"/>
      <c r="AL224" s="11602" t="n"/>
      <c r="AM224" s="226" t="n"/>
      <c r="AN224" s="2362" t="n"/>
      <c r="AO224" s="6603" t="n"/>
      <c r="AP224" s="658" t="n"/>
      <c r="AQ224" s="658" t="n"/>
      <c r="AR224" s="658" t="n"/>
      <c r="AS224" s="658" t="n"/>
      <c r="AT224" s="658" t="n"/>
      <c r="AU224" s="658" t="n"/>
      <c r="AV224" s="658" t="n"/>
      <c r="AW224" s="658" t="n"/>
      <c r="AX224" s="658" t="n"/>
      <c r="AY224" s="658" t="n"/>
    </row>
    <row r="225" ht="6" customFormat="1" customHeight="1" s="815">
      <c r="A225" s="2013" t="n"/>
      <c r="B225" s="6415" t="n"/>
      <c r="C225" s="6416" t="n"/>
      <c r="D225" s="6416" t="n"/>
      <c r="E225" s="6416" t="n"/>
      <c r="F225" s="6416" t="n"/>
      <c r="G225" s="6416" t="n"/>
      <c r="H225" s="6416" t="n"/>
      <c r="I225" s="6416" t="n"/>
      <c r="J225" s="6416" t="n"/>
      <c r="K225" s="6416" t="n"/>
      <c r="L225" s="6416" t="n"/>
      <c r="M225" s="6416" t="n"/>
      <c r="N225" s="6416" t="n"/>
      <c r="O225" s="6416" t="n"/>
      <c r="P225" s="6416" t="n"/>
      <c r="Q225" s="6416" t="n"/>
      <c r="R225" s="6416" t="n"/>
      <c r="S225" s="6416" t="n"/>
      <c r="T225" s="6416" t="n"/>
      <c r="U225" s="6416" t="n"/>
      <c r="V225" s="6434" t="n"/>
      <c r="W225" s="6416" t="n"/>
      <c r="X225" s="6416" t="n"/>
      <c r="Y225" s="6416" t="n"/>
      <c r="Z225" s="6416" t="n"/>
      <c r="AA225" s="6410" t="n"/>
      <c r="AB225" s="2339" t="n"/>
      <c r="AC225" s="2340" t="n"/>
      <c r="AD225" s="1803" t="n"/>
      <c r="AE225" s="1806" t="n"/>
      <c r="AF225" s="1806" t="n"/>
      <c r="AG225" s="1806" t="n"/>
      <c r="AH225" s="1806" t="n"/>
      <c r="AI225" s="1806" t="n"/>
      <c r="AJ225" s="1806" t="n"/>
      <c r="AK225" s="2013" t="n"/>
      <c r="AL225" s="11602" t="n"/>
      <c r="AM225" s="226" t="n"/>
      <c r="AN225" s="2362" t="n"/>
      <c r="AO225" s="6603" t="n"/>
      <c r="AP225" s="658" t="n"/>
      <c r="AQ225" s="658" t="n"/>
      <c r="AR225" s="658" t="n"/>
      <c r="AS225" s="658" t="n"/>
      <c r="AT225" s="658" t="n"/>
      <c r="AU225" s="658" t="n"/>
      <c r="AV225" s="658" t="n"/>
      <c r="AW225" s="658" t="n"/>
      <c r="AX225" s="658" t="n"/>
      <c r="AY225" s="658" t="n"/>
    </row>
    <row r="226" ht="18.75" customFormat="1" customHeight="1" s="815" thickBot="1">
      <c r="A226" s="2013" t="n"/>
      <c r="B226" s="6415" t="inlineStr">
        <is>
          <t>d</t>
        </is>
      </c>
      <c r="C226" s="2299" t="inlineStr">
        <is>
          <t>Enter the cost of all other electric or natural gas heat pump water heaters.</t>
        </is>
      </c>
      <c r="D226" s="6416" t="n"/>
      <c r="E226" s="6416" t="n"/>
      <c r="F226" s="6416" t="n"/>
      <c r="G226" s="6416" t="n"/>
      <c r="H226" s="6416" t="n"/>
      <c r="I226" s="6416" t="n"/>
      <c r="J226" s="6416" t="n"/>
      <c r="K226" s="6416" t="n"/>
      <c r="L226" s="6416" t="n"/>
      <c r="M226" s="6416" t="n"/>
      <c r="N226" s="6416" t="n"/>
      <c r="O226" s="6416" t="n"/>
      <c r="P226" s="6416" t="n"/>
      <c r="Q226" s="6416" t="n"/>
      <c r="R226" s="6416" t="n"/>
      <c r="S226" s="6416" t="n"/>
      <c r="T226" s="6416" t="n"/>
      <c r="U226" s="6416" t="n"/>
      <c r="V226" s="6434" t="n"/>
      <c r="W226" s="6416" t="n"/>
      <c r="X226" s="6416" t="n"/>
      <c r="Y226" s="6416" t="n"/>
      <c r="Z226" s="6416" t="n"/>
      <c r="AA226" s="6410" t="n"/>
      <c r="AB226" s="2339" t="n"/>
      <c r="AC226" s="2340" t="n"/>
      <c r="AD226" s="1803" t="n"/>
      <c r="AE226" s="1806" t="n"/>
      <c r="AF226" s="1806" t="n"/>
      <c r="AG226" s="1806" t="n"/>
      <c r="AH226" s="1806" t="n"/>
      <c r="AI226" s="1806" t="n"/>
      <c r="AJ226" s="1806" t="n"/>
      <c r="AK226" s="2013" t="n"/>
      <c r="AL226" s="11602" t="n"/>
      <c r="AM226" s="226" t="n"/>
      <c r="AN226" s="2362" t="n"/>
      <c r="AO226" s="6603" t="n"/>
      <c r="AP226" s="658" t="n"/>
      <c r="AQ226" s="658" t="n"/>
      <c r="AR226" s="658" t="n"/>
      <c r="AS226" s="658" t="n"/>
      <c r="AT226" s="658" t="n"/>
      <c r="AU226" s="658" t="n"/>
      <c r="AV226" s="658" t="n"/>
      <c r="AW226" s="658" t="n"/>
      <c r="AX226" s="658" t="n"/>
      <c r="AY226" s="658" t="n"/>
    </row>
    <row r="227" ht="21" customFormat="1" customHeight="1" s="815" thickBot="1">
      <c r="A227" s="2013" t="n"/>
      <c r="B227" s="6415" t="n"/>
      <c r="C227" s="2299" t="inlineStr">
        <is>
          <t>If none, enter -0-</t>
        </is>
      </c>
      <c r="D227" s="8650" t="n"/>
      <c r="E227" s="344" t="n"/>
      <c r="F227" s="344" t="n"/>
      <c r="G227" s="344" t="n"/>
      <c r="H227" s="344" t="n"/>
      <c r="I227" s="344" t="n"/>
      <c r="J227" s="344" t="n"/>
      <c r="K227" s="1061" t="n"/>
      <c r="L227" s="2300" t="n"/>
      <c r="M227" s="2301" t="n"/>
      <c r="N227" s="1061" t="n"/>
      <c r="O227" s="1061" t="n"/>
      <c r="P227" s="1061" t="n"/>
      <c r="Q227" s="1061" t="n"/>
      <c r="R227" s="1061" t="n"/>
      <c r="S227" s="344" t="n"/>
      <c r="T227" s="344" t="n"/>
      <c r="U227" s="1401" t="inlineStr">
        <is>
          <t xml:space="preserve">.   .   .   .   .   .   .   .   .   .   .   .   .   .   .   .   .   .   .   .   .   .   .   .   .   .  </t>
        </is>
      </c>
      <c r="V227" s="2350" t="inlineStr">
        <is>
          <t>29d</t>
        </is>
      </c>
      <c r="W227" s="10222">
        <f>IF(AO222,"",IF(AM227="",0,ROUND(AM227,0)))</f>
        <v/>
      </c>
      <c r="X227" s="7637" t="n"/>
      <c r="Y227" s="7637" t="n"/>
      <c r="Z227" s="7637" t="n"/>
      <c r="AA227" s="7638" t="n"/>
      <c r="AB227" s="2339" t="n"/>
      <c r="AC227" s="2340" t="n"/>
      <c r="AD227" s="10266" t="n"/>
      <c r="AE227" s="194" t="n"/>
      <c r="AF227" s="194" t="n"/>
      <c r="AG227" s="194" t="n"/>
      <c r="AH227" s="194" t="n"/>
      <c r="AI227" s="194" t="n"/>
      <c r="AJ227" s="194" t="n"/>
      <c r="AK227" s="2013" t="n"/>
      <c r="AL227" s="11602" t="n"/>
      <c r="AM227" s="2361" t="n"/>
      <c r="AN227" s="2362" t="n"/>
      <c r="AO227" s="6603">
        <f>AM227=""</f>
        <v/>
      </c>
      <c r="AP227" s="658" t="n"/>
      <c r="AQ227" s="658" t="n"/>
      <c r="AR227" s="658" t="n"/>
      <c r="AS227" s="658" t="n"/>
      <c r="AT227" s="658" t="n"/>
      <c r="AU227" s="658" t="n"/>
      <c r="AV227" s="658" t="n"/>
      <c r="AW227" s="658" t="n"/>
      <c r="AX227" s="658" t="n"/>
      <c r="AY227" s="658" t="n"/>
    </row>
    <row r="228" ht="21.75" customFormat="1" customHeight="1" s="815">
      <c r="A228" s="2013" t="n"/>
      <c r="B228" s="2353" t="inlineStr">
        <is>
          <t>e</t>
        </is>
      </c>
      <c r="C228" s="2299" t="inlineStr">
        <is>
          <t>Enter the Qualified Manufacturer Identification Number and cost of the most</t>
        </is>
      </c>
      <c r="D228" s="8650" t="n"/>
      <c r="E228" s="344" t="n"/>
      <c r="F228" s="344" t="n"/>
      <c r="G228" s="344" t="n"/>
      <c r="H228" s="344" t="n"/>
      <c r="I228" s="344" t="n"/>
      <c r="J228" s="344" t="n"/>
      <c r="K228" s="1061" t="n"/>
      <c r="L228" s="2300" t="n"/>
      <c r="M228" s="2301" t="n"/>
      <c r="N228" s="1061" t="n"/>
      <c r="O228" s="1061" t="n"/>
      <c r="P228" s="1061" t="n"/>
      <c r="Q228" s="1061" t="n"/>
      <c r="R228" s="1061" t="n"/>
      <c r="S228" s="344" t="n"/>
      <c r="T228" s="344" t="n"/>
      <c r="U228" s="344" t="n"/>
      <c r="V228" s="2351" t="n"/>
      <c r="W228" s="6408" t="n"/>
      <c r="X228" s="6409" t="n"/>
      <c r="Y228" s="6409" t="n"/>
      <c r="Z228" s="6409" t="n"/>
      <c r="AA228" s="6410" t="n"/>
      <c r="AB228" s="2339" t="n"/>
      <c r="AC228" s="2340" t="n"/>
      <c r="AD228" s="1803" t="n"/>
      <c r="AE228" s="1806" t="n"/>
      <c r="AF228" s="1806" t="n"/>
      <c r="AG228" s="1806" t="n"/>
      <c r="AH228" s="1806" t="n"/>
      <c r="AI228" s="1806" t="n"/>
      <c r="AJ228" s="1806" t="n"/>
      <c r="AK228" s="2013" t="n"/>
      <c r="AL228" s="11602" t="n"/>
      <c r="AM228" s="5425" t="inlineStr">
        <is>
          <t>Override ê</t>
        </is>
      </c>
      <c r="AN228" s="2362" t="n"/>
      <c r="AO228" s="6603" t="n"/>
      <c r="AP228" s="658" t="n"/>
      <c r="AQ228" s="658" t="n"/>
      <c r="AR228" s="658" t="n"/>
      <c r="AS228" s="658" t="n"/>
      <c r="AT228" s="658" t="n"/>
      <c r="AU228" s="658" t="n"/>
      <c r="AV228" s="658" t="n"/>
      <c r="AW228" s="658" t="n"/>
      <c r="AX228" s="658" t="n"/>
      <c r="AY228" s="658" t="n"/>
    </row>
    <row r="229" ht="18" customFormat="1" customHeight="1" s="815">
      <c r="A229" s="2013" t="n"/>
      <c r="B229" s="2353" t="n"/>
      <c r="C229" s="2381" t="inlineStr">
        <is>
          <t>expensive biomass stove or boiler</t>
        </is>
      </c>
      <c r="D229" s="8650" t="n"/>
      <c r="E229" s="344" t="n"/>
      <c r="F229" s="344" t="n"/>
      <c r="G229" s="344" t="n"/>
      <c r="H229" s="344" t="n"/>
      <c r="I229" s="344" t="n"/>
      <c r="J229" s="344" t="n"/>
      <c r="K229" s="1061" t="n"/>
      <c r="L229" s="2300" t="n"/>
      <c r="M229" s="2301" t="n"/>
      <c r="N229" s="1061" t="n"/>
      <c r="O229" s="1061" t="n"/>
      <c r="P229" s="1061" t="n"/>
      <c r="Q229" s="1061" t="n"/>
      <c r="R229" s="1061" t="n"/>
      <c r="S229" s="344" t="n"/>
      <c r="T229" s="344" t="n"/>
      <c r="U229" s="1401" t="inlineStr">
        <is>
          <t xml:space="preserve">.   .   .   .   .   .   .   .   .   .   .   .   .   .   .   .   .   .   .  </t>
        </is>
      </c>
      <c r="V229" s="2350" t="inlineStr">
        <is>
          <t>29e</t>
        </is>
      </c>
      <c r="W229" s="10220" t="n"/>
      <c r="X229" s="11717" t="n"/>
      <c r="Y229" s="11717" t="n"/>
      <c r="Z229" s="11717" t="n"/>
      <c r="AA229" s="11718" t="n"/>
      <c r="AB229" s="2339" t="n"/>
      <c r="AC229" s="2340" t="n"/>
      <c r="AD229" s="1803" t="n"/>
      <c r="AE229" s="1806" t="n"/>
      <c r="AF229" s="1806" t="n"/>
      <c r="AG229" s="1806" t="n"/>
      <c r="AH229" s="1806" t="n"/>
      <c r="AI229" s="1806" t="n"/>
      <c r="AJ229" s="1806" t="n"/>
      <c r="AK229" s="2013" t="n"/>
      <c r="AL229" s="11602" t="n"/>
      <c r="AM229" s="226" t="n"/>
      <c r="AN229" s="2362" t="n"/>
      <c r="AO229" s="6603">
        <f>W229=""</f>
        <v/>
      </c>
      <c r="AP229" s="658" t="n"/>
      <c r="AQ229" s="658" t="n"/>
      <c r="AR229" s="658" t="n"/>
      <c r="AS229" s="658" t="n"/>
      <c r="AT229" s="658" t="n"/>
      <c r="AU229" s="658" t="n"/>
      <c r="AV229" s="658" t="n"/>
      <c r="AW229" s="658" t="n"/>
      <c r="AX229" s="658" t="n"/>
      <c r="AY229" s="658" t="n"/>
    </row>
    <row r="230" ht="9" customFormat="1" customHeight="1" s="815">
      <c r="A230" s="2013" t="n"/>
      <c r="B230" s="2353" t="n"/>
      <c r="C230" s="2353" t="n"/>
      <c r="D230" s="2353" t="n"/>
      <c r="E230" s="2353" t="n"/>
      <c r="F230" s="2353" t="n"/>
      <c r="G230" s="2353" t="n"/>
      <c r="H230" s="2353" t="n"/>
      <c r="I230" s="2353" t="n"/>
      <c r="J230" s="2353" t="n"/>
      <c r="K230" s="2353" t="n"/>
      <c r="L230" s="2353" t="n"/>
      <c r="M230" s="2353" t="n"/>
      <c r="N230" s="2353" t="n"/>
      <c r="O230" s="2353" t="n"/>
      <c r="P230" s="2353" t="n"/>
      <c r="Q230" s="2353" t="n"/>
      <c r="R230" s="2353" t="n"/>
      <c r="S230" s="2353" t="n"/>
      <c r="T230" s="2353" t="n"/>
      <c r="U230" s="2353" t="n"/>
      <c r="V230" s="2353" t="n"/>
      <c r="W230" s="2353" t="n"/>
      <c r="X230" s="2353" t="n"/>
      <c r="Y230" s="2353" t="n"/>
      <c r="Z230" s="2353" t="n"/>
      <c r="AA230" s="2353" t="n"/>
      <c r="AB230" s="2339" t="n"/>
      <c r="AC230" s="2340" t="n"/>
      <c r="AD230" s="1803" t="n"/>
      <c r="AE230" s="1806" t="n"/>
      <c r="AF230" s="1806" t="n"/>
      <c r="AG230" s="1806" t="n"/>
      <c r="AH230" s="1806" t="n"/>
      <c r="AI230" s="1806" t="n"/>
      <c r="AJ230" s="1806" t="n"/>
      <c r="AK230" s="2013" t="n"/>
      <c r="AL230" s="11602" t="n"/>
      <c r="AM230" s="226" t="n"/>
      <c r="AN230" s="2362" t="n"/>
      <c r="AO230" s="6603" t="n"/>
      <c r="AP230" s="658" t="n"/>
      <c r="AQ230" s="658" t="n"/>
      <c r="AR230" s="658" t="n"/>
      <c r="AS230" s="658" t="n"/>
      <c r="AT230" s="658" t="n"/>
      <c r="AU230" s="658" t="n"/>
      <c r="AV230" s="658" t="n"/>
      <c r="AW230" s="658" t="n"/>
      <c r="AX230" s="658" t="n"/>
      <c r="AY230" s="658" t="n"/>
    </row>
    <row r="231" ht="21.75" customFormat="1" customHeight="1" s="815">
      <c r="A231" s="2013" t="n"/>
      <c r="B231" s="6415" t="n"/>
      <c r="C231" s="6413" t="n"/>
      <c r="D231" s="6414" t="n"/>
      <c r="E231" s="6414" t="n"/>
      <c r="F231" s="6414" t="n"/>
      <c r="G231" s="6445" t="n"/>
      <c r="H231" s="6445" t="n"/>
      <c r="I231" s="6445" t="n"/>
      <c r="J231" s="6445" t="n"/>
      <c r="K231" s="6445" t="n"/>
      <c r="L231" s="6446" t="n"/>
      <c r="M231" s="6447" t="n"/>
      <c r="N231" s="6445" t="n"/>
      <c r="O231" s="6445" t="n"/>
      <c r="P231" s="6445" t="n"/>
      <c r="Q231" s="6445" t="n"/>
      <c r="R231" s="6445" t="n"/>
      <c r="S231" s="6445" t="n"/>
      <c r="T231" s="344" t="n"/>
      <c r="U231" s="6409" t="n"/>
      <c r="V231" s="6409" t="n"/>
      <c r="W231" s="6409" t="n"/>
      <c r="X231" s="6409" t="n"/>
      <c r="Y231" s="6409" t="n"/>
      <c r="Z231" s="6409" t="n"/>
      <c r="AA231" s="6410" t="n"/>
      <c r="AB231" s="2339" t="n"/>
      <c r="AC231" s="2340" t="n"/>
      <c r="AD231" s="1803" t="n"/>
      <c r="AE231" s="1806" t="n"/>
      <c r="AF231" s="1806" t="n"/>
      <c r="AG231" s="1806" t="n"/>
      <c r="AH231" s="1806" t="n"/>
      <c r="AI231" s="1806" t="n"/>
      <c r="AJ231" s="1806" t="n"/>
      <c r="AK231" s="2013" t="n"/>
      <c r="AL231" s="11602" t="n"/>
      <c r="AM231" s="226" t="n"/>
      <c r="AN231" s="2362" t="n"/>
      <c r="AO231" s="6603" t="n"/>
      <c r="AP231" s="658" t="n"/>
      <c r="AQ231" s="658" t="n"/>
      <c r="AR231" s="658" t="n"/>
      <c r="AS231" s="658" t="n"/>
      <c r="AT231" s="658" t="n"/>
      <c r="AU231" s="658" t="n"/>
      <c r="AV231" s="658" t="n"/>
      <c r="AW231" s="658" t="n"/>
      <c r="AX231" s="658" t="n"/>
      <c r="AY231" s="658" t="n"/>
    </row>
    <row r="232" ht="6" customFormat="1" customHeight="1" s="815" thickBot="1">
      <c r="A232" s="2013" t="n"/>
      <c r="B232" s="6415" t="n"/>
      <c r="C232" s="6416" t="n"/>
      <c r="D232" s="6416" t="n"/>
      <c r="E232" s="6416" t="n"/>
      <c r="F232" s="6416" t="n"/>
      <c r="G232" s="6416" t="n"/>
      <c r="H232" s="6416" t="n"/>
      <c r="I232" s="6416" t="n"/>
      <c r="J232" s="6416" t="n"/>
      <c r="K232" s="6416" t="n"/>
      <c r="L232" s="6416" t="n"/>
      <c r="M232" s="6416" t="n"/>
      <c r="N232" s="6416" t="n"/>
      <c r="O232" s="6416" t="n"/>
      <c r="P232" s="6416" t="n"/>
      <c r="Q232" s="6416" t="n"/>
      <c r="R232" s="6416" t="n"/>
      <c r="S232" s="6416" t="n"/>
      <c r="T232" s="6416" t="n"/>
      <c r="U232" s="6416" t="n"/>
      <c r="V232" s="6416" t="n"/>
      <c r="W232" s="6416" t="n"/>
      <c r="X232" s="6416" t="n"/>
      <c r="Y232" s="6416" t="n"/>
      <c r="Z232" s="6416" t="n"/>
      <c r="AA232" s="6410" t="n"/>
      <c r="AB232" s="2339" t="n"/>
      <c r="AC232" s="2340" t="n"/>
      <c r="AD232" s="1803" t="n"/>
      <c r="AE232" s="1806" t="n"/>
      <c r="AF232" s="1806" t="n"/>
      <c r="AG232" s="1806" t="n"/>
      <c r="AH232" s="1806" t="n"/>
      <c r="AI232" s="1806" t="n"/>
      <c r="AJ232" s="1806" t="n"/>
      <c r="AK232" s="2013" t="n"/>
      <c r="AL232" s="11602" t="n"/>
      <c r="AM232" s="226" t="n"/>
      <c r="AN232" s="2362" t="n"/>
      <c r="AO232" s="6603" t="n"/>
      <c r="AP232" s="658" t="n"/>
      <c r="AQ232" s="658" t="n"/>
      <c r="AR232" s="658" t="n"/>
      <c r="AS232" s="658" t="n"/>
      <c r="AT232" s="658" t="n"/>
      <c r="AU232" s="658" t="n"/>
      <c r="AV232" s="658" t="n"/>
      <c r="AW232" s="658" t="n"/>
      <c r="AX232" s="658" t="n"/>
      <c r="AY232" s="658" t="n"/>
    </row>
    <row r="233" ht="21" customFormat="1" customHeight="1" s="815" thickBot="1">
      <c r="A233" s="2013" t="n"/>
      <c r="B233" s="6415" t="inlineStr">
        <is>
          <t>f</t>
        </is>
      </c>
      <c r="C233" s="2299" t="inlineStr">
        <is>
          <t>Enter the cost of all other biomass stoves &amp; biomass boilers. If none, enter -0-</t>
        </is>
      </c>
      <c r="D233" s="8650" t="n"/>
      <c r="E233" s="344" t="n"/>
      <c r="F233" s="344" t="n"/>
      <c r="G233" s="344" t="n"/>
      <c r="H233" s="344" t="n"/>
      <c r="I233" s="344" t="n"/>
      <c r="J233" s="344" t="n"/>
      <c r="K233" s="1061" t="n"/>
      <c r="L233" s="2300" t="n"/>
      <c r="M233" s="2301" t="n"/>
      <c r="N233" s="1061" t="n"/>
      <c r="O233" s="1061" t="n"/>
      <c r="P233" s="1061" t="n"/>
      <c r="Q233" s="1061" t="n"/>
      <c r="R233" s="1061" t="n"/>
      <c r="S233" s="344" t="n"/>
      <c r="T233" s="344" t="n"/>
      <c r="U233" s="1401" t="n"/>
      <c r="V233" s="2350" t="inlineStr">
        <is>
          <t>29f</t>
        </is>
      </c>
      <c r="W233" s="10222">
        <f>IF(AND(AO229,AO233),"",IF(AM233="",0,ROUND(AM233,0)))</f>
        <v/>
      </c>
      <c r="X233" s="7637" t="n"/>
      <c r="Y233" s="7637" t="n"/>
      <c r="Z233" s="7637" t="n"/>
      <c r="AA233" s="7638" t="n"/>
      <c r="AB233" s="2339" t="n"/>
      <c r="AC233" s="2340" t="n"/>
      <c r="AD233" s="10266" t="n"/>
      <c r="AE233" s="194" t="n"/>
      <c r="AF233" s="194" t="n"/>
      <c r="AG233" s="194" t="n"/>
      <c r="AH233" s="194" t="n"/>
      <c r="AI233" s="194" t="n"/>
      <c r="AJ233" s="194" t="n"/>
      <c r="AK233" s="2013" t="n"/>
      <c r="AL233" s="11602" t="n"/>
      <c r="AM233" s="2361" t="n"/>
      <c r="AN233" s="2362" t="n"/>
      <c r="AO233" s="6603">
        <f>AM233=""</f>
        <v/>
      </c>
      <c r="AP233" s="658" t="n"/>
      <c r="AQ233" s="658" t="n"/>
      <c r="AR233" s="658" t="n"/>
      <c r="AS233" s="658" t="n"/>
      <c r="AT233" s="658" t="n"/>
      <c r="AU233" s="658" t="n"/>
      <c r="AV233" s="658" t="n"/>
      <c r="AW233" s="658" t="n"/>
      <c r="AX233" s="658" t="n"/>
      <c r="AY233" s="658" t="n"/>
    </row>
    <row r="234" ht="21" customFormat="1" customHeight="1" s="815" thickBot="1">
      <c r="A234" s="2013" t="n"/>
      <c r="B234" s="6415" t="inlineStr">
        <is>
          <t>g</t>
        </is>
      </c>
      <c r="C234" s="2299" t="inlineStr">
        <is>
          <t>Add lines 29a through 29f</t>
        </is>
      </c>
      <c r="D234" s="8650" t="n"/>
      <c r="E234" s="344" t="n"/>
      <c r="F234" s="344" t="n"/>
      <c r="G234" s="344" t="n"/>
      <c r="H234" s="344" t="n"/>
      <c r="I234" s="344" t="n"/>
      <c r="J234" s="344" t="n"/>
      <c r="K234" s="1061" t="n"/>
      <c r="L234" s="2300" t="n"/>
      <c r="M234" s="2301" t="n"/>
      <c r="N234" s="1061" t="n"/>
      <c r="O234" s="1061" t="n"/>
      <c r="P234" s="1061" t="n"/>
      <c r="Q234" s="1061" t="n"/>
      <c r="R234" s="1061" t="n"/>
      <c r="S234" s="344" t="n"/>
      <c r="T234" s="344" t="n"/>
      <c r="U234" s="1401" t="inlineStr">
        <is>
          <t xml:space="preserve">.   .   .   .   .   .   .   .   .   .   .   .   .   .   .   .   .   .   .   .   .  </t>
        </is>
      </c>
      <c r="V234" s="2350" t="inlineStr">
        <is>
          <t>29g</t>
        </is>
      </c>
      <c r="W234" s="10222">
        <f>IF(AM234&lt;&gt;"",ROUND(AM234,0),IF(AO234,"",SUM(ROUND(W216,0),W220,ROUND(W222,0),W227,ROUND(W229,0),W233)))</f>
        <v/>
      </c>
      <c r="X234" s="7637" t="n"/>
      <c r="Y234" s="7637" t="n"/>
      <c r="Z234" s="7637" t="n"/>
      <c r="AA234" s="7638" t="n"/>
      <c r="AB234" s="2339" t="n"/>
      <c r="AC234" s="2340" t="n"/>
      <c r="AD234" s="10268" t="n">
        <v>2000</v>
      </c>
      <c r="AE234" s="194" t="n"/>
      <c r="AF234" s="194" t="n"/>
      <c r="AG234" s="194" t="n"/>
      <c r="AH234" s="194" t="n"/>
      <c r="AI234" s="194" t="n"/>
      <c r="AJ234" s="194" t="n"/>
      <c r="AK234" s="2013" t="n"/>
      <c r="AL234" s="11602" t="n"/>
      <c r="AM234" s="2361" t="n"/>
      <c r="AN234" s="2362" t="n"/>
      <c r="AO234" s="6603">
        <f>AND(AO216,AO220,AO222,AO227,AO229,AO233)</f>
        <v/>
      </c>
      <c r="AP234" s="658" t="n"/>
      <c r="AQ234" s="658" t="n"/>
      <c r="AR234" s="658" t="n"/>
      <c r="AS234" s="658" t="n"/>
      <c r="AT234" s="658" t="n"/>
      <c r="AU234" s="658" t="n"/>
      <c r="AV234" s="658" t="n"/>
      <c r="AW234" s="658" t="n"/>
      <c r="AX234" s="658" t="n"/>
      <c r="AY234" s="658" t="n"/>
    </row>
    <row r="235" ht="21" customFormat="1" customHeight="1" s="815" thickBot="1">
      <c r="A235" s="2013" t="n"/>
      <c r="B235" s="2353" t="inlineStr">
        <is>
          <t>h</t>
        </is>
      </c>
      <c r="C235" s="7865">
        <f>"Multiply line 29g by "&amp;TEXT($AD$161,"0%")&amp;" ("&amp;TEXT($AD$161,"0.00")&amp;"). Enter the results. "</f>
        <v/>
      </c>
      <c r="D235" s="344" t="n"/>
      <c r="E235" s="344" t="n"/>
      <c r="F235" s="344" t="n"/>
      <c r="G235" s="344" t="n"/>
      <c r="H235" s="344" t="n"/>
      <c r="I235" s="344" t="n"/>
      <c r="J235" s="344" t="n"/>
      <c r="K235" s="344" t="n"/>
      <c r="L235" s="344" t="n"/>
      <c r="M235" s="344" t="n"/>
      <c r="N235" s="7772" t="n"/>
      <c r="O235" s="344" t="n"/>
      <c r="P235" s="344" t="n"/>
      <c r="Q235" s="344" t="n"/>
      <c r="R235" s="344" t="n"/>
      <c r="S235" s="4998" t="n"/>
      <c r="T235" s="4998" t="inlineStr">
        <is>
          <t xml:space="preserve">Do not enter more than </t>
        </is>
      </c>
      <c r="U235" s="7865">
        <f>TEXT($AD$234,"$0,000")</f>
        <v/>
      </c>
      <c r="V235" s="344" t="n"/>
      <c r="W235" s="344" t="n"/>
      <c r="X235" s="344" t="n"/>
      <c r="Y235" s="344" t="n"/>
      <c r="Z235" s="344" t="n"/>
      <c r="AA235" s="1401" t="inlineStr">
        <is>
          <t xml:space="preserve">.   .   .   .   .   .   .   .   .   .   .   .  </t>
        </is>
      </c>
      <c r="AB235" s="12557" t="inlineStr">
        <is>
          <t>29h</t>
        </is>
      </c>
      <c r="AC235" s="7638" t="n"/>
      <c r="AD235" s="10249">
        <f>IF(AM235&lt;&gt;"",ROUND(AM235,"0"),IF(AO234,"",MIN(ROUND(W234*$AD$161,0),$AD$234)))</f>
        <v/>
      </c>
      <c r="AE235" s="7637" t="n"/>
      <c r="AF235" s="7637" t="n"/>
      <c r="AG235" s="7637" t="n"/>
      <c r="AH235" s="7637" t="n"/>
      <c r="AI235" s="7637" t="n"/>
      <c r="AJ235" s="7637" t="n"/>
      <c r="AK235" s="2013" t="n"/>
      <c r="AL235" s="11602" t="n"/>
      <c r="AM235" s="2361" t="n"/>
      <c r="AN235" s="2362" t="n"/>
      <c r="AO235" s="6603">
        <f>AND(AO234,AM235="")</f>
        <v/>
      </c>
      <c r="AP235" s="658" t="n"/>
      <c r="AQ235" s="658" t="n"/>
      <c r="AR235" s="658" t="n"/>
      <c r="AS235" s="658" t="n"/>
      <c r="AT235" s="658" t="n"/>
      <c r="AU235" s="658" t="n"/>
      <c r="AV235" s="658" t="n"/>
      <c r="AW235" s="658" t="n"/>
      <c r="AX235" s="658" t="n"/>
      <c r="AY235" s="658" t="n"/>
    </row>
    <row r="236" ht="24" customFormat="1" customHeight="1" s="815" thickBot="1">
      <c r="A236" s="2013" t="n"/>
      <c r="B236" s="11191" t="n">
        <v>30</v>
      </c>
      <c r="C236" s="9847" t="inlineStr">
        <is>
          <t>Add lines 28 and 29h</t>
        </is>
      </c>
      <c r="D236" s="9847" t="n"/>
      <c r="E236" s="344" t="n"/>
      <c r="F236" s="344" t="n"/>
      <c r="G236" s="344" t="n"/>
      <c r="H236" s="344" t="n"/>
      <c r="I236" s="344" t="n"/>
      <c r="J236" s="344" t="n"/>
      <c r="K236" s="344" t="n"/>
      <c r="L236" s="344" t="n"/>
      <c r="M236" s="344" t="n"/>
      <c r="N236" s="344" t="n"/>
      <c r="O236" s="344" t="n"/>
      <c r="P236" s="344" t="n"/>
      <c r="Q236" s="344" t="n"/>
      <c r="R236" s="344" t="n"/>
      <c r="S236" s="344" t="n"/>
      <c r="T236" s="344" t="n"/>
      <c r="U236" s="344" t="n"/>
      <c r="V236" s="344" t="n"/>
      <c r="W236" s="344" t="n"/>
      <c r="X236" s="344" t="n"/>
      <c r="Y236" s="344" t="n"/>
      <c r="Z236" s="344" t="n"/>
      <c r="AA236" s="1401" t="inlineStr">
        <is>
          <t xml:space="preserve">.   .   .   .   .   .   .   .   .   .   .   .   .   .   .   .   .   .   .   .   .   .   .   .   .   .   .   .   .   .   .   .   .   .   .   .   .   .   .   .  </t>
        </is>
      </c>
      <c r="AB236" s="12555" t="n">
        <v>30</v>
      </c>
      <c r="AC236" s="7636" t="n"/>
      <c r="AD236" s="10249">
        <f>IF(AM236&lt;&gt;"",ROUND(AM236,0),IF(AO236,"",SUM(AD213,AD235)))</f>
        <v/>
      </c>
      <c r="AE236" s="7637" t="n"/>
      <c r="AF236" s="7637" t="n"/>
      <c r="AG236" s="7637" t="n"/>
      <c r="AH236" s="7637" t="n"/>
      <c r="AI236" s="7637" t="n"/>
      <c r="AJ236" s="7637" t="n"/>
      <c r="AK236" s="2013" t="n"/>
      <c r="AL236" s="11602" t="n"/>
      <c r="AM236" s="2361" t="n"/>
      <c r="AN236" s="2362" t="n"/>
      <c r="AO236" s="6603">
        <f>AND(AO213,AO235)</f>
        <v/>
      </c>
      <c r="AP236" s="658" t="n"/>
      <c r="AQ236" s="658" t="n"/>
      <c r="AR236" s="658" t="n"/>
      <c r="AS236" s="658" t="n"/>
      <c r="AT236" s="658" t="n"/>
      <c r="AU236" s="658" t="n"/>
      <c r="AV236" s="658" t="n"/>
      <c r="AW236" s="658" t="n"/>
      <c r="AX236" s="658" t="n"/>
      <c r="AY236" s="658" t="n"/>
    </row>
    <row r="237" ht="17.25" customFormat="1" customHeight="1" s="815" thickBot="1">
      <c r="A237" s="2013" t="n"/>
      <c r="B237" s="8296" t="n">
        <v>31</v>
      </c>
      <c r="C237" s="5998" t="inlineStr">
        <is>
          <t>Limitation based on tax liability. Enter the amount from the Residential Clean Energy Credit Limit</t>
        </is>
      </c>
      <c r="D237" s="7865" t="n"/>
      <c r="E237" s="344" t="n"/>
      <c r="F237" s="344" t="n"/>
      <c r="G237" s="344" t="n"/>
      <c r="H237" s="344" t="n"/>
      <c r="I237" s="344" t="n"/>
      <c r="J237" s="344" t="n"/>
      <c r="K237" s="344" t="n"/>
      <c r="L237" s="344" t="n"/>
      <c r="M237" s="344" t="n"/>
      <c r="N237" s="344" t="n"/>
      <c r="O237" s="344" t="n"/>
      <c r="P237" s="344" t="n"/>
      <c r="Q237" s="344" t="n"/>
      <c r="R237" s="344" t="n"/>
      <c r="S237" s="344" t="n"/>
      <c r="T237" s="344" t="n"/>
      <c r="U237" s="344" t="n"/>
      <c r="V237" s="344" t="n"/>
      <c r="W237" s="344" t="n"/>
      <c r="X237" s="344" t="n"/>
      <c r="Y237" s="344" t="n"/>
      <c r="Z237" s="344" t="n"/>
      <c r="AA237" s="1401" t="n"/>
      <c r="AB237" s="10245" t="n"/>
      <c r="AC237" s="7839" t="n"/>
      <c r="AD237" s="7878" t="n"/>
      <c r="AE237" s="7929" t="n"/>
      <c r="AF237" s="7929" t="n"/>
      <c r="AG237" s="7929" t="n"/>
      <c r="AH237" s="7929" t="n"/>
      <c r="AI237" s="7929" t="n"/>
      <c r="AJ237" s="7929" t="n"/>
      <c r="AK237" s="2013" t="n"/>
      <c r="AL237" s="11602" t="n"/>
      <c r="AM237" s="11602" t="n"/>
      <c r="AN237" s="2362" t="n"/>
      <c r="AO237" s="6603" t="n"/>
      <c r="AP237" s="658" t="n"/>
      <c r="AQ237" s="658" t="n"/>
      <c r="AR237" s="658" t="n"/>
      <c r="AS237" s="658" t="n"/>
      <c r="AT237" s="658" t="n"/>
      <c r="AU237" s="658" t="n"/>
      <c r="AV237" s="658" t="n"/>
      <c r="AW237" s="658" t="n"/>
      <c r="AX237" s="658" t="n"/>
      <c r="AY237" s="658" t="n"/>
    </row>
    <row r="238" ht="21" customFormat="1" customHeight="1" s="815" thickBot="1">
      <c r="A238" s="2013" t="n"/>
      <c r="B238" s="11191" t="n"/>
      <c r="C238" s="6436" t="inlineStr">
        <is>
          <t>Worksheet. (See instructions.)</t>
        </is>
      </c>
      <c r="D238" s="344" t="n"/>
      <c r="E238" s="344" t="n"/>
      <c r="F238" s="344" t="n"/>
      <c r="G238" s="344" t="n"/>
      <c r="H238" s="344" t="n"/>
      <c r="I238" s="344" t="n"/>
      <c r="J238" s="344" t="n"/>
      <c r="K238" s="344" t="n"/>
      <c r="L238" s="344" t="n"/>
      <c r="M238" s="344" t="n"/>
      <c r="N238" s="344" t="n"/>
      <c r="O238" s="344" t="n"/>
      <c r="P238" s="344" t="n"/>
      <c r="Q238" s="344" t="n"/>
      <c r="R238" s="344" t="n"/>
      <c r="S238" s="344" t="n"/>
      <c r="T238" s="344" t="n"/>
      <c r="U238" s="344" t="n"/>
      <c r="V238" s="344" t="n"/>
      <c r="W238" s="344" t="n"/>
      <c r="X238" s="344" t="n"/>
      <c r="Y238" s="344" t="n"/>
      <c r="Z238" s="344" t="n"/>
      <c r="AA238" s="1401" t="inlineStr">
        <is>
          <t xml:space="preserve">.   .   .   .   .   .   .   .   .   .   .   .   .   .   .   .   .   .   .   .   .   .   .   .   .   .   .   .   .   .   .  </t>
        </is>
      </c>
      <c r="AB238" s="12557" t="n">
        <v>31</v>
      </c>
      <c r="AC238" s="7638" t="n"/>
      <c r="AD238" s="10249">
        <f>IF(AM238&lt;&gt;"",ROUND(AM238,0),IF(AO238,"",IF(AND(NOT(AO318),EEHI_CL_WKST&lt;=0),0,EEHI_CL_WKST)))</f>
        <v/>
      </c>
      <c r="AE238" s="7637" t="n"/>
      <c r="AF238" s="7637" t="n"/>
      <c r="AG238" s="7637" t="n"/>
      <c r="AH238" s="7637" t="n"/>
      <c r="AI238" s="7637" t="n"/>
      <c r="AJ238" s="7637" t="n"/>
      <c r="AK238" s="2013" t="n"/>
      <c r="AL238" s="11602" t="n"/>
      <c r="AM238" s="2361" t="n"/>
      <c r="AN238" s="2362" t="n"/>
      <c r="AO238" s="6603">
        <f>AO236</f>
        <v/>
      </c>
      <c r="AP238" s="658" t="n"/>
      <c r="AQ238" s="658" t="n"/>
      <c r="AR238" s="658" t="n"/>
      <c r="AS238" s="658" t="n"/>
      <c r="AT238" s="658" t="n"/>
      <c r="AU238" s="658" t="n"/>
      <c r="AV238" s="658" t="n"/>
      <c r="AW238" s="658" t="n"/>
      <c r="AX238" s="658" t="n"/>
      <c r="AY238" s="658" t="n"/>
    </row>
    <row r="239" ht="17.25" customFormat="1" customHeight="1" s="815" thickBot="1">
      <c r="A239" s="2013" t="n"/>
      <c r="B239" s="8296" t="n">
        <v>32</v>
      </c>
      <c r="C239" s="7865" t="inlineStr">
        <is>
          <t>Energy efficient home improvement credit. Enter the smaller of line 30 or line 31. Also include this</t>
        </is>
      </c>
      <c r="D239" s="7865" t="n"/>
      <c r="E239" s="344" t="n"/>
      <c r="F239" s="344" t="n"/>
      <c r="G239" s="344" t="n"/>
      <c r="H239" s="344" t="n"/>
      <c r="I239" s="344" t="n"/>
      <c r="J239" s="344" t="n"/>
      <c r="K239" s="344" t="n"/>
      <c r="L239" s="344" t="n"/>
      <c r="M239" s="344" t="n"/>
      <c r="N239" s="344" t="n"/>
      <c r="O239" s="344" t="n"/>
      <c r="P239" s="344" t="n"/>
      <c r="Q239" s="344" t="n"/>
      <c r="R239" s="344" t="n"/>
      <c r="S239" s="344" t="n"/>
      <c r="T239" s="344" t="n"/>
      <c r="U239" s="344" t="n"/>
      <c r="V239" s="344" t="n"/>
      <c r="W239" s="344" t="n"/>
      <c r="X239" s="344" t="n"/>
      <c r="Y239" s="344" t="n"/>
      <c r="Z239" s="344" t="n"/>
      <c r="AA239" s="1401" t="n"/>
      <c r="AB239" s="10245" t="n"/>
      <c r="AC239" s="7839" t="n"/>
      <c r="AD239" s="7878" t="n"/>
      <c r="AE239" s="7929" t="n"/>
      <c r="AF239" s="7929" t="n"/>
      <c r="AG239" s="7929" t="n"/>
      <c r="AH239" s="7929" t="n"/>
      <c r="AI239" s="7929" t="n"/>
      <c r="AJ239" s="7929" t="n"/>
      <c r="AK239" s="2013" t="n"/>
      <c r="AL239" s="11602" t="n"/>
      <c r="AM239" s="11602" t="n"/>
      <c r="AN239" s="2362" t="n"/>
      <c r="AO239" s="6603" t="n"/>
      <c r="AP239" s="658" t="n"/>
      <c r="AQ239" s="658" t="n"/>
      <c r="AR239" s="658" t="n"/>
      <c r="AS239" s="658" t="n"/>
      <c r="AT239" s="658" t="n"/>
      <c r="AU239" s="658" t="n"/>
      <c r="AV239" s="658" t="n"/>
      <c r="AW239" s="658" t="n"/>
      <c r="AX239" s="658" t="n"/>
      <c r="AY239" s="658" t="n"/>
    </row>
    <row r="240" ht="18.75" customFormat="1" customHeight="1" s="815" thickBot="1">
      <c r="A240" s="2013" t="n"/>
      <c r="B240" s="11191" t="n"/>
      <c r="C240" s="7865" t="inlineStr">
        <is>
          <t>amount on Schedule 3 (Form 1040), line 5b</t>
        </is>
      </c>
      <c r="D240" s="344" t="n"/>
      <c r="E240" s="344" t="n"/>
      <c r="F240" s="344" t="n"/>
      <c r="G240" s="344" t="n"/>
      <c r="H240" s="344" t="n"/>
      <c r="I240" s="344" t="n"/>
      <c r="J240" s="344" t="n"/>
      <c r="K240" s="344" t="n"/>
      <c r="L240" s="344" t="n"/>
      <c r="M240" s="344" t="n"/>
      <c r="N240" s="344" t="n"/>
      <c r="O240" s="344" t="n"/>
      <c r="P240" s="344" t="n"/>
      <c r="Q240" s="344" t="n"/>
      <c r="R240" s="344" t="n"/>
      <c r="S240" s="344" t="n"/>
      <c r="T240" s="344" t="n"/>
      <c r="U240" s="344" t="n"/>
      <c r="V240" s="344" t="n"/>
      <c r="W240" s="344" t="n"/>
      <c r="X240" s="344" t="n"/>
      <c r="Y240" s="344" t="n"/>
      <c r="Z240" s="344" t="n"/>
      <c r="AA240" s="1401" t="inlineStr">
        <is>
          <t xml:space="preserve">.   .   .   .   .   .   .   .   .   .   .   .   .   .   .   .   .   .   .   .   .   .   .   .   .   .  </t>
        </is>
      </c>
      <c r="AB240" s="12557" t="n">
        <v>32</v>
      </c>
      <c r="AC240" s="7638" t="n"/>
      <c r="AD240" s="10249">
        <f>IF(AM240&lt;&gt;"",ROUND(AM240,0),IF(AND(AO212,AO218,AO219,AO236,AO238),"",IF(OR(AO236,AO238),0,IF(AND(NOT(AO321),EEHI_CL_WKST&lt;0),0,MIN(AD236,AD238)))))</f>
        <v/>
      </c>
      <c r="AE240" s="7637" t="n"/>
      <c r="AF240" s="7637" t="n"/>
      <c r="AG240" s="7637" t="n"/>
      <c r="AH240" s="7637" t="n"/>
      <c r="AI240" s="7637" t="n"/>
      <c r="AJ240" s="7637" t="n"/>
      <c r="AK240" s="2013" t="n"/>
      <c r="AL240" s="11602" t="n"/>
      <c r="AM240" s="2361" t="n"/>
      <c r="AN240" s="2362" t="n"/>
      <c r="AO240" s="6603">
        <f>AO236</f>
        <v/>
      </c>
      <c r="AP240" s="658" t="n"/>
      <c r="AQ240" s="658" t="n"/>
      <c r="AR240" s="658" t="n"/>
      <c r="AS240" s="658" t="n"/>
      <c r="AT240" s="658" t="n"/>
      <c r="AU240" s="658" t="n"/>
      <c r="AV240" s="658" t="n"/>
      <c r="AW240" s="658" t="n"/>
      <c r="AX240" s="658" t="n"/>
      <c r="AY240" s="658" t="n"/>
    </row>
    <row r="241" ht="18" customFormat="1" customHeight="1" s="815">
      <c r="A241" s="2013" t="n"/>
      <c r="B241" s="2353" t="inlineStr">
        <is>
          <t>a</t>
        </is>
      </c>
      <c r="C241" s="7865" t="inlineStr">
        <is>
          <t>If the special rule for joint occupants applies, check here</t>
        </is>
      </c>
      <c r="D241" s="344" t="n"/>
      <c r="E241" s="344" t="n"/>
      <c r="F241" s="344" t="n"/>
      <c r="G241" s="344" t="n"/>
      <c r="H241" s="344" t="n"/>
      <c r="I241" s="344" t="n"/>
      <c r="J241" s="344" t="n"/>
      <c r="K241" s="344" t="n"/>
      <c r="L241" s="344" t="n"/>
      <c r="M241" s="344" t="n"/>
      <c r="N241" s="344" t="n"/>
      <c r="O241" s="344" t="n"/>
      <c r="P241" s="344" t="n"/>
      <c r="Q241" s="2360" t="n"/>
      <c r="R241" s="7865" t="inlineStr">
        <is>
          <t xml:space="preserve"> and attach a statement. (See instructions.)</t>
        </is>
      </c>
      <c r="S241" s="344" t="n"/>
      <c r="T241" s="344" t="n"/>
      <c r="U241" s="344" t="n"/>
      <c r="V241" s="344" t="n"/>
      <c r="W241" s="344" t="n"/>
      <c r="X241" s="344" t="n"/>
      <c r="Y241" s="344" t="n"/>
      <c r="Z241" s="344" t="n"/>
      <c r="AA241" s="1401" t="n"/>
      <c r="AB241" s="6438" t="n"/>
      <c r="AC241" s="6439" t="n"/>
      <c r="AD241" s="7929" t="n"/>
      <c r="AE241" s="7929" t="n"/>
      <c r="AF241" s="7929" t="n"/>
      <c r="AG241" s="7929" t="n"/>
      <c r="AH241" s="7929" t="n"/>
      <c r="AI241" s="7929" t="n"/>
      <c r="AJ241" s="7929" t="n"/>
      <c r="AK241" s="2013" t="n"/>
      <c r="AL241" s="11602" t="n"/>
      <c r="AM241" s="11602" t="n"/>
      <c r="AN241" s="2362" t="n"/>
      <c r="AO241" s="6603" t="n"/>
      <c r="AP241" s="658" t="n"/>
      <c r="AQ241" s="658" t="n"/>
      <c r="AR241" s="658" t="n"/>
      <c r="AS241" s="658" t="n"/>
      <c r="AT241" s="658" t="n"/>
      <c r="AU241" s="658" t="n"/>
      <c r="AV241" s="658" t="n"/>
      <c r="AW241" s="658" t="n"/>
      <c r="AX241" s="658" t="n"/>
      <c r="AY241" s="658" t="n"/>
    </row>
    <row r="242" ht="18.75" customFormat="1" customHeight="1" s="815">
      <c r="A242" s="2013" t="n"/>
      <c r="B242" s="2353" t="inlineStr">
        <is>
          <t>b</t>
        </is>
      </c>
      <c r="C242" s="2299" t="inlineStr">
        <is>
          <t>If you live in a condominium or cooperative and have a fractional share of the qualified energy efficiency</t>
        </is>
      </c>
      <c r="D242" s="8650" t="n"/>
      <c r="E242" s="344" t="n"/>
      <c r="F242" s="344" t="n"/>
      <c r="G242" s="344" t="n"/>
      <c r="H242" s="344" t="n"/>
      <c r="I242" s="344" t="n"/>
      <c r="J242" s="344" t="n"/>
      <c r="K242" s="1061" t="n"/>
      <c r="L242" s="2300" t="n"/>
      <c r="M242" s="2301" t="n"/>
      <c r="N242" s="1061" t="n"/>
      <c r="O242" s="1061" t="n"/>
      <c r="P242" s="1061" t="n"/>
      <c r="Q242" s="1061" t="n"/>
      <c r="R242" s="1061" t="n"/>
      <c r="S242" s="344" t="n"/>
      <c r="T242" s="344" t="n"/>
      <c r="U242" s="344" t="n"/>
      <c r="V242" s="11191" t="n"/>
      <c r="W242" s="2356" t="n"/>
      <c r="X242" s="2356" t="n"/>
      <c r="Y242" s="2356" t="n"/>
      <c r="Z242" s="2356" t="n"/>
      <c r="AA242" s="2356" t="n"/>
      <c r="AB242" s="6440" t="n"/>
      <c r="AC242" s="6441" t="n"/>
      <c r="AD242" s="1806" t="n"/>
      <c r="AE242" s="1806" t="n"/>
      <c r="AF242" s="1806" t="n"/>
      <c r="AG242" s="1806" t="n"/>
      <c r="AH242" s="1806" t="n"/>
      <c r="AI242" s="1806" t="n"/>
      <c r="AJ242" s="1806" t="n"/>
      <c r="AK242" s="2013" t="n"/>
      <c r="AL242" s="11602" t="n"/>
      <c r="AM242" s="11602" t="n"/>
      <c r="AN242" s="2362" t="n"/>
      <c r="AO242" s="6603" t="n"/>
      <c r="AP242" s="658" t="n"/>
      <c r="AQ242" s="658" t="n"/>
      <c r="AR242" s="658" t="n"/>
      <c r="AS242" s="658" t="n"/>
      <c r="AT242" s="658" t="n"/>
      <c r="AU242" s="658" t="n"/>
      <c r="AV242" s="658" t="n"/>
      <c r="AW242" s="658" t="n"/>
      <c r="AX242" s="658" t="n"/>
      <c r="AY242" s="658" t="n"/>
    </row>
    <row r="243" ht="18.75" customFormat="1" customHeight="1" s="815">
      <c r="A243" s="2013" t="n"/>
      <c r="B243" s="11191" t="n"/>
      <c r="C243" s="2299" t="inlineStr">
        <is>
          <t>improvements or residential energy property expenditures, check here</t>
        </is>
      </c>
      <c r="D243" s="8650" t="n"/>
      <c r="E243" s="344" t="n"/>
      <c r="F243" s="344" t="n"/>
      <c r="G243" s="344" t="n"/>
      <c r="H243" s="344" t="n"/>
      <c r="I243" s="344" t="n"/>
      <c r="J243" s="344" t="n"/>
      <c r="K243" s="1061" t="n"/>
      <c r="L243" s="2300" t="n"/>
      <c r="M243" s="2301" t="n"/>
      <c r="N243" s="1061" t="n"/>
      <c r="O243" s="2356" t="n"/>
      <c r="P243" s="1061" t="n"/>
      <c r="Q243" s="1061" t="n"/>
      <c r="R243" s="1061" t="n"/>
      <c r="S243" s="1061" t="n"/>
      <c r="T243" s="2360" t="n"/>
      <c r="U243" s="7772" t="inlineStr">
        <is>
          <t>. (See instructions.)</t>
        </is>
      </c>
      <c r="V243" s="344" t="n"/>
      <c r="W243" s="11191" t="n"/>
      <c r="X243" s="2356" t="n"/>
      <c r="Y243" s="2356" t="n"/>
      <c r="Z243" s="2356" t="n"/>
      <c r="AA243" s="2356" t="n"/>
      <c r="AB243" s="6440" t="n"/>
      <c r="AC243" s="6441" t="n"/>
      <c r="AD243" s="1806" t="n"/>
      <c r="AE243" s="1806" t="n"/>
      <c r="AF243" s="1806" t="n"/>
      <c r="AG243" s="1806" t="n"/>
      <c r="AH243" s="1806" t="n"/>
      <c r="AI243" s="1806" t="n"/>
      <c r="AJ243" s="1806" t="n"/>
      <c r="AK243" s="2013" t="n"/>
      <c r="AL243" s="11602" t="n"/>
      <c r="AM243" s="11602" t="n"/>
      <c r="AN243" s="2362" t="n"/>
      <c r="AO243" s="6603" t="n"/>
      <c r="AP243" s="658" t="n"/>
      <c r="AQ243" s="658" t="n"/>
      <c r="AR243" s="658" t="n"/>
      <c r="AS243" s="658" t="n"/>
      <c r="AT243" s="658" t="n"/>
      <c r="AU243" s="658" t="n"/>
      <c r="AV243" s="658" t="n"/>
      <c r="AW243" s="658" t="n"/>
      <c r="AX243" s="658" t="n"/>
      <c r="AY243" s="658" t="n"/>
    </row>
    <row r="244" ht="6.75" customFormat="1" customHeight="1" s="815" thickBot="1">
      <c r="A244" s="2013" t="n"/>
      <c r="B244" s="11191" t="n"/>
      <c r="C244" s="2299" t="n"/>
      <c r="D244" s="8650" t="n"/>
      <c r="E244" s="344" t="n"/>
      <c r="F244" s="344" t="n"/>
      <c r="G244" s="344" t="n"/>
      <c r="H244" s="344" t="n"/>
      <c r="I244" s="344" t="n"/>
      <c r="J244" s="344" t="n"/>
      <c r="K244" s="1061" t="n"/>
      <c r="L244" s="2300" t="n"/>
      <c r="M244" s="2301" t="n"/>
      <c r="N244" s="1061" t="n"/>
      <c r="O244" s="1061" t="n"/>
      <c r="P244" s="1061" t="n"/>
      <c r="Q244" s="1061" t="n"/>
      <c r="R244" s="1061" t="n"/>
      <c r="S244" s="344" t="n"/>
      <c r="T244" s="344" t="n"/>
      <c r="U244" s="344" t="n"/>
      <c r="V244" s="11191" t="n"/>
      <c r="W244" s="2356" t="n"/>
      <c r="X244" s="2356" t="n"/>
      <c r="Y244" s="2356" t="n"/>
      <c r="Z244" s="2356" t="n"/>
      <c r="AA244" s="2356" t="n"/>
      <c r="AB244" s="6442" t="n"/>
      <c r="AC244" s="6443" t="n"/>
      <c r="AD244" s="6437" t="n"/>
      <c r="AE244" s="6437" t="n"/>
      <c r="AF244" s="6437" t="n"/>
      <c r="AG244" s="6437" t="n"/>
      <c r="AH244" s="6437" t="n"/>
      <c r="AI244" s="6437" t="n"/>
      <c r="AJ244" s="6437" t="n"/>
      <c r="AK244" s="2013" t="n"/>
      <c r="AL244" s="11602" t="n"/>
      <c r="AM244" s="11602" t="n"/>
      <c r="AN244" s="2362" t="n"/>
      <c r="AO244" s="6603" t="n"/>
      <c r="AP244" s="658" t="n"/>
      <c r="AQ244" s="658" t="n"/>
      <c r="AR244" s="658" t="n"/>
      <c r="AS244" s="658" t="n"/>
      <c r="AT244" s="658" t="n"/>
      <c r="AU244" s="658" t="n"/>
      <c r="AV244" s="658" t="n"/>
      <c r="AW244" s="658" t="n"/>
      <c r="AX244" s="658" t="n"/>
      <c r="AY244" s="658" t="n"/>
    </row>
    <row r="245" ht="18" customFormat="1" customHeight="1" s="815">
      <c r="A245" s="2013" t="n"/>
      <c r="B245" s="2343" t="n"/>
      <c r="C245" s="2344" t="n"/>
      <c r="D245" s="2344" t="n"/>
      <c r="E245" s="2344" t="n"/>
      <c r="F245" s="2344" t="n"/>
      <c r="G245" s="2344" t="n"/>
      <c r="H245" s="2344" t="n"/>
      <c r="I245" s="2344" t="n"/>
      <c r="J245" s="2344" t="n"/>
      <c r="K245" s="2344" t="n"/>
      <c r="L245" s="2344" t="n"/>
      <c r="M245" s="2344" t="n"/>
      <c r="N245" s="2344" t="n"/>
      <c r="O245" s="2344" t="n"/>
      <c r="P245" s="2344" t="n"/>
      <c r="Q245" s="2344" t="n"/>
      <c r="R245" s="2344" t="n"/>
      <c r="S245" s="2344" t="n"/>
      <c r="T245" s="2344" t="n"/>
      <c r="U245" s="2344" t="n"/>
      <c r="V245" s="2344" t="n"/>
      <c r="W245" s="1916" t="n"/>
      <c r="X245" s="2344" t="n"/>
      <c r="Y245" s="2344" t="n"/>
      <c r="Z245" s="2344" t="n"/>
      <c r="AA245" s="2344" t="n"/>
      <c r="AB245" s="2344" t="n"/>
      <c r="AC245" s="2344" t="n"/>
      <c r="AD245" s="2344" t="n"/>
      <c r="AE245" s="2344" t="n"/>
      <c r="AF245" s="2344" t="n"/>
      <c r="AG245" s="2344" t="n"/>
      <c r="AH245" s="2345" t="inlineStr">
        <is>
          <t>Form  5695</t>
        </is>
      </c>
      <c r="AI245" s="2344" t="n"/>
      <c r="AJ245" s="2346">
        <f>"("&amp;TaxYear&amp;")"</f>
        <v/>
      </c>
      <c r="AK245" s="2013" t="n"/>
      <c r="AL245" s="11602" t="n"/>
      <c r="AM245" s="11602" t="n"/>
      <c r="AN245" s="2362" t="n"/>
      <c r="AO245" s="6603" t="n"/>
      <c r="AP245" s="658" t="n"/>
      <c r="AQ245" s="658" t="n"/>
      <c r="AR245" s="658" t="n"/>
      <c r="AS245" s="658" t="n"/>
      <c r="AT245" s="658" t="n"/>
      <c r="AU245" s="658" t="n"/>
      <c r="AV245" s="658" t="n"/>
      <c r="AW245" s="658" t="n"/>
      <c r="AX245" s="658" t="n"/>
      <c r="AY245" s="658" t="n"/>
    </row>
    <row r="246">
      <c r="A246" s="2368" t="n"/>
      <c r="B246" s="11602" t="n"/>
      <c r="C246" s="11602" t="n"/>
      <c r="D246" s="11602" t="n"/>
      <c r="E246" s="11602" t="n"/>
      <c r="F246" s="11602" t="n"/>
      <c r="G246" s="11602" t="n"/>
      <c r="H246" s="11602" t="n"/>
      <c r="I246" s="11602" t="n"/>
      <c r="J246" s="11602" t="n"/>
      <c r="K246" s="11602" t="n"/>
      <c r="L246" s="11602" t="n"/>
      <c r="M246" s="11602" t="n"/>
      <c r="N246" s="11602" t="n"/>
      <c r="O246" s="11602" t="n"/>
      <c r="P246" s="11602" t="n"/>
      <c r="Q246" s="11602" t="n"/>
      <c r="R246" s="11602" t="n"/>
      <c r="S246" s="11602" t="n"/>
      <c r="T246" s="11602" t="n"/>
      <c r="U246" s="11602" t="n"/>
      <c r="V246" s="11602" t="n"/>
      <c r="W246" s="11602" t="n"/>
      <c r="X246" s="11602" t="n"/>
      <c r="Y246" s="11602" t="n"/>
      <c r="Z246" s="11602" t="n"/>
      <c r="AA246" s="11602" t="n"/>
      <c r="AB246" s="11602" t="n"/>
      <c r="AC246" s="11602" t="n"/>
      <c r="AD246" s="11602" t="n"/>
      <c r="AE246" s="11602" t="n"/>
      <c r="AF246" s="11602" t="n"/>
      <c r="AG246" s="11602" t="n"/>
      <c r="AH246" s="11602" t="n"/>
      <c r="AI246" s="11602" t="n"/>
      <c r="AJ246" s="11602" t="n"/>
      <c r="AK246" s="2368" t="n"/>
      <c r="AL246" s="11602" t="n"/>
      <c r="AM246" s="11602" t="n"/>
    </row>
    <row r="247" ht="20.25" customHeight="1" s="7635">
      <c r="A247" s="2368" t="n"/>
      <c r="B247" s="11602" t="n"/>
      <c r="C247" s="2370" t="inlineStr">
        <is>
          <t>Residential Clean Energy Credit Limit Worksheet—Line 14</t>
        </is>
      </c>
      <c r="D247" s="11602" t="n"/>
      <c r="E247" s="11602" t="n"/>
      <c r="F247" s="11602" t="n"/>
      <c r="G247" s="11602" t="n"/>
      <c r="H247" s="11602" t="n"/>
      <c r="I247" s="11602" t="n"/>
      <c r="J247" s="11602" t="n"/>
      <c r="K247" s="11602" t="n"/>
      <c r="L247" s="11602" t="n"/>
      <c r="M247" s="11602" t="n"/>
      <c r="N247" s="11602" t="n"/>
      <c r="O247" s="11602" t="n"/>
      <c r="P247" s="11602" t="n"/>
      <c r="Q247" s="11602" t="n"/>
      <c r="R247" s="11602" t="n"/>
      <c r="S247" s="11602" t="n"/>
      <c r="T247" s="11602" t="n"/>
      <c r="U247" s="11602" t="n"/>
      <c r="V247" s="11602" t="n"/>
      <c r="W247" s="11602" t="n"/>
      <c r="X247" s="11602" t="n"/>
      <c r="Y247" s="11602" t="n"/>
      <c r="Z247" s="11602" t="n"/>
      <c r="AA247" s="11602" t="n"/>
      <c r="AB247" s="11602" t="n"/>
      <c r="AC247" s="11602" t="n"/>
      <c r="AD247" s="11602" t="n"/>
      <c r="AE247" s="11602" t="n"/>
      <c r="AF247" s="11602" t="n"/>
      <c r="AG247" s="11602" t="n"/>
      <c r="AH247" s="11602" t="n"/>
      <c r="AI247" s="11602" t="n"/>
      <c r="AJ247" s="11602" t="n"/>
      <c r="AK247" s="2368" t="n"/>
      <c r="AL247" s="11602" t="n"/>
      <c r="AM247" s="226" t="inlineStr">
        <is>
          <t>Manual</t>
        </is>
      </c>
    </row>
    <row r="248" ht="16.5" customHeight="1" s="7635" thickBot="1">
      <c r="A248" s="2368" t="n"/>
      <c r="B248" s="11602" t="n"/>
      <c r="C248" s="11602" t="n"/>
      <c r="D248" s="11602" t="n"/>
      <c r="E248" s="11602" t="n"/>
      <c r="F248" s="11602" t="n"/>
      <c r="G248" s="11602" t="n"/>
      <c r="H248" s="11602" t="n"/>
      <c r="I248" s="11602" t="n"/>
      <c r="J248" s="11602" t="n"/>
      <c r="K248" s="11602" t="n"/>
      <c r="L248" s="11602" t="n"/>
      <c r="M248" s="11602" t="n"/>
      <c r="N248" s="11602" t="n"/>
      <c r="O248" s="11602" t="n"/>
      <c r="P248" s="11602" t="n"/>
      <c r="Q248" s="11602" t="n"/>
      <c r="R248" s="11602" t="n"/>
      <c r="S248" s="11602" t="n"/>
      <c r="T248" s="11602" t="n"/>
      <c r="U248" s="11602" t="n"/>
      <c r="V248" s="11602" t="n"/>
      <c r="W248" s="11602" t="n"/>
      <c r="X248" s="11602" t="n"/>
      <c r="Y248" s="11602" t="n"/>
      <c r="Z248" s="11602" t="n"/>
      <c r="AA248" s="11602" t="n"/>
      <c r="AB248" s="11602" t="n"/>
      <c r="AC248" s="11602" t="n"/>
      <c r="AD248" s="11602" t="n"/>
      <c r="AE248" s="11602" t="n"/>
      <c r="AF248" s="11602" t="n"/>
      <c r="AG248" s="11602" t="n"/>
      <c r="AH248" s="11602" t="n"/>
      <c r="AI248" s="11602" t="n"/>
      <c r="AJ248" s="11602" t="n"/>
      <c r="AK248" s="2368" t="n"/>
      <c r="AL248" s="11602" t="n"/>
      <c r="AM248" s="226" t="inlineStr">
        <is>
          <t>Override ê</t>
        </is>
      </c>
    </row>
    <row r="249" ht="18.75" customHeight="1" s="7635" thickBot="1">
      <c r="A249" s="2368" t="n"/>
      <c r="B249" s="11602" t="n"/>
      <c r="C249" s="2369" t="n">
        <v>1</v>
      </c>
      <c r="D249" s="7772" t="inlineStr">
        <is>
          <t>Enter the amount from Form 1040, 1040-SR, or 1040-NR, line 18  (Tax)</t>
        </is>
      </c>
      <c r="E249" s="11602" t="n"/>
      <c r="F249" s="11602" t="n"/>
      <c r="G249" s="11602" t="n"/>
      <c r="H249" s="11602" t="n"/>
      <c r="I249" s="11602" t="n"/>
      <c r="J249" s="11602" t="n"/>
      <c r="K249" s="11602" t="n"/>
      <c r="L249" s="11602" t="n"/>
      <c r="M249" s="11602" t="n"/>
      <c r="N249" s="11602" t="n"/>
      <c r="O249" s="11602" t="n"/>
      <c r="P249" s="11602" t="n"/>
      <c r="Q249" s="11602" t="n"/>
      <c r="R249" s="11602" t="n"/>
      <c r="S249" s="11602" t="n"/>
      <c r="T249" s="11602" t="n"/>
      <c r="U249" s="11602" t="n"/>
      <c r="V249" s="11602" t="n"/>
      <c r="W249" s="11602" t="n"/>
      <c r="X249" s="11602" t="n"/>
      <c r="Y249" s="11602" t="n"/>
      <c r="Z249" s="11602" t="n"/>
      <c r="AA249" s="11602" t="n"/>
      <c r="AB249" s="10255" t="n">
        <v>1</v>
      </c>
      <c r="AD249" s="11602" t="n"/>
      <c r="AE249" s="10254">
        <f>IF(AM249&lt;&gt;"",ROUND(AM249,0),IF(AND(AO36,NOT(AO249)),"",Tax))</f>
        <v/>
      </c>
      <c r="AF249" s="7637" t="n"/>
      <c r="AG249" s="7637" t="n"/>
      <c r="AH249" s="7637" t="n"/>
      <c r="AI249" s="7637" t="n"/>
      <c r="AJ249" s="11602" t="n"/>
      <c r="AK249" s="2368" t="n"/>
      <c r="AL249" s="11602" t="n"/>
      <c r="AM249" s="2361" t="n"/>
      <c r="AO249" s="6605">
        <f>OR(NOT(AO36),NOT(AO51),NOT(AO59))</f>
        <v/>
      </c>
    </row>
    <row r="250">
      <c r="A250" s="2368" t="n"/>
      <c r="B250" s="11602" t="n"/>
      <c r="C250" s="11602" t="n"/>
      <c r="D250" s="11602" t="n"/>
      <c r="E250" s="11602" t="n"/>
      <c r="F250" s="11602" t="n"/>
      <c r="G250" s="11602" t="n"/>
      <c r="H250" s="11602" t="n"/>
      <c r="I250" s="11602" t="n"/>
      <c r="J250" s="11602" t="n"/>
      <c r="K250" s="11602" t="n"/>
      <c r="L250" s="11602" t="n"/>
      <c r="M250" s="11602" t="n"/>
      <c r="N250" s="11602" t="n"/>
      <c r="O250" s="11602" t="n"/>
      <c r="P250" s="11602" t="n"/>
      <c r="Q250" s="11602" t="n"/>
      <c r="R250" s="11602" t="n"/>
      <c r="S250" s="11602" t="n"/>
      <c r="T250" s="11602" t="n"/>
      <c r="U250" s="11602" t="n"/>
      <c r="V250" s="11602" t="n"/>
      <c r="W250" s="11602" t="n"/>
      <c r="X250" s="11602" t="n"/>
      <c r="Y250" s="11602" t="n"/>
      <c r="Z250" s="11602" t="n"/>
      <c r="AA250" s="11602" t="n"/>
      <c r="AB250" s="11602" t="n"/>
      <c r="AC250" s="11602" t="n"/>
      <c r="AD250" s="11602" t="n"/>
      <c r="AE250" s="11602" t="n"/>
      <c r="AF250" s="11602" t="n"/>
      <c r="AG250" s="11602" t="n"/>
      <c r="AH250" s="11602" t="n"/>
      <c r="AI250" s="11602" t="n"/>
      <c r="AJ250" s="11602" t="n"/>
      <c r="AK250" s="2368" t="n"/>
      <c r="AL250" s="11602" t="n"/>
      <c r="AM250" s="11602" t="n"/>
    </row>
    <row r="251">
      <c r="A251" s="2368" t="n"/>
      <c r="B251" s="11602" t="n"/>
      <c r="C251" s="2369" t="n">
        <v>2</v>
      </c>
      <c r="D251" s="7772">
        <f>"Enter the total of the following credit(s)/adjustment(s) if you are taking the credit(s)/adjustment(s) on"</f>
        <v/>
      </c>
      <c r="E251" s="11602" t="n"/>
      <c r="F251" s="11602" t="n"/>
      <c r="G251" s="11602" t="n"/>
      <c r="H251" s="11602" t="n"/>
      <c r="I251" s="11602" t="n"/>
      <c r="J251" s="11602" t="n"/>
      <c r="K251" s="11602" t="n"/>
      <c r="L251" s="11602" t="n"/>
      <c r="M251" s="11602" t="n"/>
      <c r="N251" s="11602" t="n"/>
      <c r="O251" s="11602" t="n"/>
      <c r="P251" s="11602" t="n"/>
      <c r="Q251" s="11602" t="n"/>
      <c r="R251" s="11602" t="n"/>
      <c r="S251" s="11602" t="n"/>
      <c r="T251" s="11602" t="n"/>
      <c r="U251" s="11602" t="n"/>
      <c r="V251" s="11602" t="n"/>
      <c r="W251" s="11602" t="n"/>
      <c r="X251" s="11602" t="n"/>
      <c r="Y251" s="11602" t="n"/>
      <c r="Z251" s="11602" t="n"/>
      <c r="AA251" s="11602" t="n"/>
      <c r="AB251" s="2383" t="n"/>
      <c r="AC251" s="2383" t="n"/>
      <c r="AD251" s="2383" t="n"/>
      <c r="AE251" s="2383" t="n"/>
      <c r="AF251" s="2383" t="n"/>
      <c r="AG251" s="2383" t="n"/>
      <c r="AH251" s="2383" t="n"/>
      <c r="AI251" s="2383" t="n"/>
      <c r="AJ251" s="11602" t="n"/>
      <c r="AK251" s="2368" t="n"/>
      <c r="AL251" s="11602" t="n"/>
      <c r="AM251" s="11602" t="n"/>
    </row>
    <row r="252" ht="12.75" customHeight="1" s="7635">
      <c r="A252" s="2368" t="n"/>
      <c r="B252" s="11602" t="n"/>
      <c r="C252" s="11602" t="n"/>
      <c r="D252" s="7772">
        <f>"your "&amp;TaxYear&amp;" income tax return:"</f>
        <v/>
      </c>
      <c r="E252" s="11602" t="n"/>
      <c r="F252" s="11602" t="n"/>
      <c r="G252" s="11602" t="n"/>
      <c r="H252" s="11602" t="n"/>
      <c r="I252" s="11602" t="n"/>
      <c r="J252" s="11602" t="n"/>
      <c r="K252" s="11602" t="n"/>
      <c r="L252" s="11602" t="n"/>
      <c r="M252" s="11602" t="n"/>
      <c r="N252" s="11602" t="n"/>
      <c r="O252" s="11602" t="n"/>
      <c r="P252" s="11602" t="n"/>
      <c r="Q252" s="11602" t="n"/>
      <c r="R252" s="11602" t="n"/>
      <c r="S252" s="11602" t="n"/>
      <c r="T252" s="11602" t="n"/>
      <c r="U252" s="11602" t="n"/>
      <c r="V252" s="11602" t="n"/>
      <c r="W252" s="11602" t="n"/>
      <c r="X252" s="11602" t="n"/>
      <c r="Y252" s="11602" t="n"/>
      <c r="Z252" s="11602" t="n"/>
      <c r="AA252" s="11602" t="n"/>
      <c r="AB252" s="11602" t="n"/>
      <c r="AC252" s="11602" t="n"/>
      <c r="AD252" s="11602" t="n"/>
      <c r="AE252" s="11602" t="n"/>
      <c r="AF252" s="11602" t="n"/>
      <c r="AG252" s="11602" t="n"/>
      <c r="AH252" s="11602" t="n"/>
      <c r="AI252" s="11602" t="n"/>
      <c r="AJ252" s="11602" t="n"/>
      <c r="AK252" s="2368" t="n"/>
      <c r="AL252" s="11602" t="n"/>
      <c r="AM252" s="226" t="inlineStr">
        <is>
          <t>Manual</t>
        </is>
      </c>
    </row>
    <row r="253">
      <c r="A253" s="2368" t="n"/>
      <c r="B253" s="11602" t="n"/>
      <c r="C253" s="11602" t="n"/>
      <c r="D253" s="11602" t="n"/>
      <c r="E253" s="11602" t="n"/>
      <c r="F253" s="11602" t="n"/>
      <c r="G253" s="11602" t="n"/>
      <c r="H253" s="11602" t="n"/>
      <c r="I253" s="11602" t="n"/>
      <c r="J253" s="11602" t="n"/>
      <c r="K253" s="11602" t="n"/>
      <c r="L253" s="11602" t="n"/>
      <c r="M253" s="11602" t="n"/>
      <c r="N253" s="11602" t="n"/>
      <c r="O253" s="11602" t="n"/>
      <c r="P253" s="11602" t="n"/>
      <c r="Q253" s="11602" t="n"/>
      <c r="R253" s="11602" t="n"/>
      <c r="S253" s="11602" t="n"/>
      <c r="T253" s="11602" t="n"/>
      <c r="U253" s="11602" t="n"/>
      <c r="V253" s="11602" t="n"/>
      <c r="W253" s="11602" t="n"/>
      <c r="X253" s="11602" t="n"/>
      <c r="Y253" s="11602" t="n"/>
      <c r="Z253" s="11602" t="n"/>
      <c r="AA253" s="11602" t="n"/>
      <c r="AB253" s="11602" t="n"/>
      <c r="AC253" s="11602" t="n"/>
      <c r="AD253" s="11602" t="n"/>
      <c r="AE253" s="11602" t="n"/>
      <c r="AF253" s="11602" t="n"/>
      <c r="AG253" s="11602" t="n"/>
      <c r="AH253" s="11602" t="n"/>
      <c r="AI253" s="11602" t="n"/>
      <c r="AJ253" s="11602" t="n"/>
      <c r="AK253" s="2368" t="n"/>
      <c r="AL253" s="11602" t="n"/>
      <c r="AM253" s="226" t="inlineStr">
        <is>
          <t>Override ê</t>
        </is>
      </c>
    </row>
    <row r="254" ht="18.75" customHeight="1" s="7635" thickBot="1">
      <c r="A254" s="2368" t="n"/>
      <c r="B254" s="11602" t="n"/>
      <c r="C254" s="2371" t="inlineStr">
        <is>
          <t>+</t>
        </is>
      </c>
      <c r="D254" s="7772" t="inlineStr">
        <is>
          <t>Amount on Schedule 3 (Form 1040), line 6l.</t>
        </is>
      </c>
      <c r="E254" s="11602" t="n"/>
      <c r="F254" s="11602" t="n"/>
      <c r="G254" s="11602" t="n"/>
      <c r="H254" s="11602" t="n"/>
      <c r="I254" s="11602" t="n"/>
      <c r="J254" s="11602" t="n"/>
      <c r="K254" s="11602" t="n"/>
      <c r="L254" s="11602" t="n"/>
      <c r="M254" s="11602" t="n"/>
      <c r="N254" s="11602" t="n"/>
      <c r="O254" s="11602" t="n"/>
      <c r="P254" s="11602" t="n"/>
      <c r="Q254" s="11602" t="n"/>
      <c r="R254" s="11602" t="n"/>
      <c r="S254" s="11602" t="n"/>
      <c r="T254" s="11602" t="n"/>
      <c r="U254" s="11602" t="n"/>
      <c r="V254" s="11602" t="n"/>
      <c r="W254" s="11602" t="n"/>
      <c r="X254" s="11602" t="n"/>
      <c r="Y254" s="11602" t="n"/>
      <c r="Z254" s="11602" t="n"/>
      <c r="AA254" s="11602" t="n"/>
      <c r="AB254" s="11602" t="n"/>
      <c r="AC254" s="11602" t="n"/>
      <c r="AD254" s="11602" t="n"/>
      <c r="AE254" s="11602" t="n"/>
      <c r="AF254" s="11602" t="n"/>
      <c r="AG254" s="11602" t="n"/>
      <c r="AH254" s="11602" t="n"/>
      <c r="AI254" s="11602" t="n"/>
      <c r="AJ254" s="11602" t="n"/>
      <c r="AK254" s="2368" t="n"/>
      <c r="AL254" s="11602" t="n"/>
      <c r="AM254" s="226" t="n"/>
    </row>
    <row r="255" ht="18.75" customHeight="1" s="7635" thickBot="1">
      <c r="A255" s="2368" t="n"/>
      <c r="B255" s="11602" t="n"/>
      <c r="C255" s="2371" t="n"/>
      <c r="D255" s="7772" t="inlineStr">
        <is>
          <t>(Amount on Form 8978, Partner's Additional Reporting Year Tax, line 14.)</t>
        </is>
      </c>
      <c r="E255" s="11602" t="n"/>
      <c r="F255" s="11602" t="n"/>
      <c r="G255" s="11602" t="n"/>
      <c r="H255" s="11602" t="n"/>
      <c r="I255" s="11602" t="n"/>
      <c r="J255" s="11602" t="n"/>
      <c r="K255" s="11602" t="n"/>
      <c r="L255" s="11602" t="n"/>
      <c r="M255" s="11602" t="n"/>
      <c r="N255" s="11602" t="n"/>
      <c r="O255" s="11602" t="n"/>
      <c r="P255" s="11602" t="n"/>
      <c r="Q255" s="11602" t="n"/>
      <c r="R255" s="11602" t="n"/>
      <c r="S255" s="11602" t="n"/>
      <c r="T255" s="11602" t="n"/>
      <c r="U255" s="11602" t="n"/>
      <c r="V255" s="11602" t="n"/>
      <c r="W255" s="11602" t="n"/>
      <c r="X255" s="11602" t="n"/>
      <c r="Y255" s="11602" t="n"/>
      <c r="Z255" s="11602" t="n"/>
      <c r="AA255" s="11602" t="n"/>
      <c r="AB255" s="11602" t="n"/>
      <c r="AC255" s="11602" t="n"/>
      <c r="AD255" s="11602" t="n"/>
      <c r="AE255" s="10254">
        <f>IF(AM255&lt;&gt;"",ROUND(AM255,0),IF(OR(F8978_Credit="",F8978_Credit=0),"",F8978_Credit))</f>
        <v/>
      </c>
      <c r="AF255" s="7637" t="n"/>
      <c r="AG255" s="7637" t="n"/>
      <c r="AH255" s="7637" t="n"/>
      <c r="AI255" s="7637" t="n"/>
      <c r="AJ255" s="11602" t="n"/>
      <c r="AK255" s="2368" t="n"/>
      <c r="AL255" s="11602" t="n"/>
      <c r="AM255" s="2361" t="n"/>
    </row>
    <row r="256" ht="16.5" customHeight="1" s="7635" thickBot="1">
      <c r="A256" s="2368" t="n"/>
      <c r="B256" s="11602" t="n"/>
      <c r="C256" s="11602" t="n"/>
      <c r="D256" s="7772" t="n"/>
      <c r="E256" s="11602" t="n"/>
      <c r="F256" s="11602" t="n"/>
      <c r="G256" s="11602" t="n"/>
      <c r="H256" s="11602" t="n"/>
      <c r="I256" s="11602" t="n"/>
      <c r="J256" s="11602" t="n"/>
      <c r="K256" s="11602" t="n"/>
      <c r="L256" s="11602" t="n"/>
      <c r="M256" s="11602" t="n"/>
      <c r="N256" s="11602" t="n"/>
      <c r="O256" s="11602" t="n"/>
      <c r="P256" s="11602" t="n"/>
      <c r="Q256" s="11602" t="n"/>
      <c r="R256" s="11602" t="n"/>
      <c r="S256" s="11602" t="n"/>
      <c r="T256" s="11602" t="n"/>
      <c r="U256" s="11602" t="n"/>
      <c r="V256" s="11602" t="n"/>
      <c r="W256" s="11602" t="n"/>
      <c r="X256" s="11602" t="n"/>
      <c r="Y256" s="11602" t="n"/>
      <c r="Z256" s="11602" t="n"/>
      <c r="AA256" s="11602" t="n"/>
      <c r="AB256" s="11602" t="n"/>
      <c r="AC256" s="11602" t="n"/>
      <c r="AD256" s="11602" t="n"/>
      <c r="AE256" s="2373" t="n"/>
      <c r="AF256" s="2373" t="n"/>
      <c r="AG256" s="2373" t="n"/>
      <c r="AH256" s="2373" t="n"/>
      <c r="AI256" s="2373" t="n"/>
      <c r="AJ256" s="11602" t="n"/>
      <c r="AK256" s="2368" t="n"/>
      <c r="AL256" s="11602" t="n"/>
      <c r="AM256" s="11602" t="n"/>
    </row>
    <row r="257" ht="18.75" customHeight="1" s="7635" thickBot="1">
      <c r="A257" s="2368" t="n"/>
      <c r="B257" s="11602" t="n"/>
      <c r="C257" s="2371" t="inlineStr">
        <is>
          <t>+</t>
        </is>
      </c>
      <c r="D257" s="7772" t="inlineStr">
        <is>
          <t>Foreign Tax Credit, Schedule 3 (Form 1040), line 1</t>
        </is>
      </c>
      <c r="E257" s="11602" t="n"/>
      <c r="F257" s="11602" t="n"/>
      <c r="G257" s="11602" t="n"/>
      <c r="H257" s="11602" t="n"/>
      <c r="I257" s="11602" t="n"/>
      <c r="J257" s="11602" t="n"/>
      <c r="K257" s="11602" t="n"/>
      <c r="L257" s="11602" t="n"/>
      <c r="M257" s="11602" t="n"/>
      <c r="N257" s="11602" t="n"/>
      <c r="O257" s="11602" t="n"/>
      <c r="P257" s="11602" t="n"/>
      <c r="Q257" s="11602" t="n"/>
      <c r="R257" s="11602" t="n"/>
      <c r="S257" s="11602" t="n"/>
      <c r="T257" s="11602" t="n"/>
      <c r="U257" s="11602" t="n"/>
      <c r="V257" s="11602" t="n"/>
      <c r="W257" s="11602" t="n"/>
      <c r="X257" s="11602" t="n"/>
      <c r="Y257" s="11602" t="n"/>
      <c r="Z257" s="11602" t="n"/>
      <c r="AA257" s="11602" t="n"/>
      <c r="AB257" s="11602" t="n"/>
      <c r="AC257" s="11602" t="n"/>
      <c r="AD257" s="11602" t="n"/>
      <c r="AE257" s="10254">
        <f>IF(AM257&lt;&gt;"",ROUND(AM257,0),IF(OR(Foreign_Tax_Credit="",Foreign_Tax_Credit=0),"",Foreign_Tax_Credit))</f>
        <v/>
      </c>
      <c r="AF257" s="7637" t="n"/>
      <c r="AG257" s="7637" t="n"/>
      <c r="AH257" s="7637" t="n"/>
      <c r="AI257" s="7637" t="n"/>
      <c r="AJ257" s="11602" t="n"/>
      <c r="AK257" s="2368" t="n"/>
      <c r="AL257" s="11602" t="n"/>
      <c r="AM257" s="2361" t="n"/>
    </row>
    <row r="258" s="7635" thickBot="1">
      <c r="A258" s="2368" t="n"/>
      <c r="B258" s="11602" t="n"/>
      <c r="C258" s="11602" t="n"/>
      <c r="D258" s="7772" t="n"/>
      <c r="E258" s="11602" t="n"/>
      <c r="F258" s="11602" t="n"/>
      <c r="G258" s="11602" t="n"/>
      <c r="H258" s="11602" t="n"/>
      <c r="I258" s="11602" t="n"/>
      <c r="J258" s="11602" t="n"/>
      <c r="K258" s="11602" t="n"/>
      <c r="L258" s="11602" t="n"/>
      <c r="M258" s="11602" t="n"/>
      <c r="N258" s="11602" t="n"/>
      <c r="O258" s="11602" t="n"/>
      <c r="P258" s="11602" t="n"/>
      <c r="Q258" s="11602" t="n"/>
      <c r="R258" s="11602" t="n"/>
      <c r="S258" s="11602" t="n"/>
      <c r="T258" s="11602" t="n"/>
      <c r="U258" s="11602" t="n"/>
      <c r="V258" s="11602" t="n"/>
      <c r="W258" s="11602" t="n"/>
      <c r="X258" s="11602" t="n"/>
      <c r="Y258" s="11602" t="n"/>
      <c r="Z258" s="11602" t="n"/>
      <c r="AA258" s="11602" t="n"/>
      <c r="AB258" s="11602" t="n"/>
      <c r="AC258" s="11602" t="n"/>
      <c r="AD258" s="11602" t="n"/>
      <c r="AE258" s="2373" t="n"/>
      <c r="AF258" s="2373" t="n"/>
      <c r="AG258" s="2373" t="n"/>
      <c r="AH258" s="2373" t="n"/>
      <c r="AI258" s="2373" t="n"/>
      <c r="AJ258" s="11602" t="n"/>
      <c r="AK258" s="2368" t="n"/>
      <c r="AL258" s="11602" t="n"/>
      <c r="AM258" s="11602" t="n"/>
    </row>
    <row r="259" ht="18.75" customHeight="1" s="7635" thickBot="1">
      <c r="A259" s="2368" t="n"/>
      <c r="B259" s="11602" t="n"/>
      <c r="C259" s="2371" t="inlineStr">
        <is>
          <t>+</t>
        </is>
      </c>
      <c r="D259" s="7772" t="inlineStr">
        <is>
          <t>Credit for Child and Dependent Care Expenses, Schedule 3 (Form 1040), line 2  (Care Expenses)</t>
        </is>
      </c>
      <c r="E259" s="11602" t="n"/>
      <c r="F259" s="11602" t="n"/>
      <c r="G259" s="11602" t="n"/>
      <c r="H259" s="11602" t="n"/>
      <c r="I259" s="11602" t="n"/>
      <c r="J259" s="11602" t="n"/>
      <c r="K259" s="11602" t="n"/>
      <c r="L259" s="11602" t="n"/>
      <c r="M259" s="11602" t="n"/>
      <c r="N259" s="11602" t="n"/>
      <c r="O259" s="11602" t="n"/>
      <c r="P259" s="11602" t="n"/>
      <c r="Q259" s="11602" t="n"/>
      <c r="R259" s="11602" t="n"/>
      <c r="S259" s="11602" t="n"/>
      <c r="T259" s="11602" t="n"/>
      <c r="U259" s="11602" t="n"/>
      <c r="V259" s="11602" t="n"/>
      <c r="W259" s="11602" t="n"/>
      <c r="X259" s="11602" t="n"/>
      <c r="Y259" s="11602" t="n"/>
      <c r="Z259" s="11602" t="n"/>
      <c r="AA259" s="11602" t="n"/>
      <c r="AB259" s="11602" t="n"/>
      <c r="AC259" s="11602" t="n"/>
      <c r="AD259" s="11602" t="n"/>
      <c r="AE259" s="10254">
        <f>IF(AM259&lt;&gt;"",ROUND(AM259,0),IF(OR(Care_Expenses="",Care_Expenses=0),"",Care_Expenses))</f>
        <v/>
      </c>
      <c r="AF259" s="7637" t="n"/>
      <c r="AG259" s="7637" t="n"/>
      <c r="AH259" s="7637" t="n"/>
      <c r="AI259" s="7637" t="n"/>
      <c r="AJ259" s="11602" t="n"/>
      <c r="AK259" s="2368" t="n"/>
      <c r="AL259" s="11602" t="n"/>
      <c r="AM259" s="2361" t="n"/>
    </row>
    <row r="260" s="7635" thickBot="1">
      <c r="A260" s="2368" t="n"/>
      <c r="B260" s="11602" t="n"/>
      <c r="C260" s="11602" t="n"/>
      <c r="D260" s="7772" t="n"/>
      <c r="E260" s="11602" t="n"/>
      <c r="F260" s="11602" t="n"/>
      <c r="G260" s="11602" t="n"/>
      <c r="H260" s="11602" t="n"/>
      <c r="I260" s="11602" t="n"/>
      <c r="J260" s="11602" t="n"/>
      <c r="K260" s="11602" t="n"/>
      <c r="L260" s="11602" t="n"/>
      <c r="M260" s="11602" t="n"/>
      <c r="N260" s="11602" t="n"/>
      <c r="O260" s="11602" t="n"/>
      <c r="P260" s="11602" t="n"/>
      <c r="Q260" s="11602" t="n"/>
      <c r="R260" s="11602" t="n"/>
      <c r="S260" s="11602" t="n"/>
      <c r="T260" s="11602" t="n"/>
      <c r="U260" s="11602" t="n"/>
      <c r="V260" s="11602" t="n"/>
      <c r="W260" s="11602" t="n"/>
      <c r="X260" s="11602" t="n"/>
      <c r="Y260" s="11602" t="n"/>
      <c r="Z260" s="11602" t="n"/>
      <c r="AA260" s="11602" t="n"/>
      <c r="AB260" s="11602" t="n"/>
      <c r="AC260" s="11602" t="n"/>
      <c r="AD260" s="11602" t="n"/>
      <c r="AE260" s="2373" t="n"/>
      <c r="AF260" s="2373" t="n"/>
      <c r="AG260" s="2373" t="n"/>
      <c r="AH260" s="2373" t="n"/>
      <c r="AI260" s="2373" t="n"/>
      <c r="AJ260" s="11602" t="n"/>
      <c r="AK260" s="2368" t="n"/>
      <c r="AL260" s="11602" t="n"/>
      <c r="AM260" s="11602" t="n"/>
    </row>
    <row r="261" ht="18.75" customHeight="1" s="7635" thickBot="1">
      <c r="A261" s="2368" t="n"/>
      <c r="B261" s="11602" t="n"/>
      <c r="C261" s="2371" t="inlineStr">
        <is>
          <t>+</t>
        </is>
      </c>
      <c r="D261" s="7772" t="inlineStr">
        <is>
          <t>Credit for the Elderly or the Disabled, Schedule 3 (Form 1040), line 6d</t>
        </is>
      </c>
      <c r="E261" s="11602" t="n"/>
      <c r="F261" s="11602" t="n"/>
      <c r="G261" s="11602" t="n"/>
      <c r="H261" s="11602" t="n"/>
      <c r="I261" s="11602" t="n"/>
      <c r="J261" s="11602" t="n"/>
      <c r="K261" s="11602" t="n"/>
      <c r="L261" s="11602" t="n"/>
      <c r="M261" s="11602" t="n"/>
      <c r="N261" s="11602" t="n"/>
      <c r="O261" s="11602" t="n"/>
      <c r="P261" s="11602" t="n"/>
      <c r="Q261" s="11602" t="n"/>
      <c r="R261" s="11602" t="n"/>
      <c r="S261" s="11602" t="n"/>
      <c r="T261" s="11602" t="n"/>
      <c r="U261" s="11602" t="n"/>
      <c r="V261" s="11602" t="n"/>
      <c r="W261" s="11602" t="n"/>
      <c r="X261" s="11602" t="n"/>
      <c r="Y261" s="11602" t="n"/>
      <c r="Z261" s="11602" t="n"/>
      <c r="AA261" s="11602" t="n"/>
      <c r="AB261" s="11602" t="n"/>
      <c r="AC261" s="11602" t="n"/>
      <c r="AD261" s="11602" t="n"/>
      <c r="AE261" s="10254">
        <f>IF(AM261&lt;&gt;"",ROUND(AM261,0),IF(OR(Sch3_Line6d="",Sch3_Line6d=0),"",Sch3_Line6d))</f>
        <v/>
      </c>
      <c r="AF261" s="7637" t="n"/>
      <c r="AG261" s="7637" t="n"/>
      <c r="AH261" s="7637" t="n"/>
      <c r="AI261" s="7637" t="n"/>
      <c r="AJ261" s="11602" t="n"/>
      <c r="AK261" s="2368" t="n"/>
      <c r="AL261" s="11602" t="n"/>
      <c r="AM261" s="2361" t="n"/>
    </row>
    <row r="262" s="7635" thickBot="1">
      <c r="A262" s="2368" t="n"/>
      <c r="B262" s="11602" t="n"/>
      <c r="C262" s="11602" t="n"/>
      <c r="D262" s="7772" t="n"/>
      <c r="E262" s="11602" t="n"/>
      <c r="F262" s="11602" t="n"/>
      <c r="G262" s="11602" t="n"/>
      <c r="H262" s="11602" t="n"/>
      <c r="I262" s="11602" t="n"/>
      <c r="J262" s="11602" t="n"/>
      <c r="K262" s="11602" t="n"/>
      <c r="L262" s="11602" t="n"/>
      <c r="M262" s="11602" t="n"/>
      <c r="N262" s="11602" t="n"/>
      <c r="O262" s="11602" t="n"/>
      <c r="P262" s="11602" t="n"/>
      <c r="Q262" s="11602" t="n"/>
      <c r="R262" s="11602" t="n"/>
      <c r="S262" s="11602" t="n"/>
      <c r="T262" s="11602" t="n"/>
      <c r="U262" s="11602" t="n"/>
      <c r="V262" s="11602" t="n"/>
      <c r="W262" s="11602" t="n"/>
      <c r="X262" s="11602" t="n"/>
      <c r="Y262" s="11602" t="n"/>
      <c r="Z262" s="11602" t="n"/>
      <c r="AA262" s="11602" t="n"/>
      <c r="AB262" s="11602" t="n"/>
      <c r="AC262" s="11602" t="n"/>
      <c r="AD262" s="11602" t="n"/>
      <c r="AE262" s="2373" t="n"/>
      <c r="AF262" s="2373" t="n"/>
      <c r="AG262" s="2373" t="n"/>
      <c r="AH262" s="2373" t="n"/>
      <c r="AI262" s="2373" t="n"/>
      <c r="AJ262" s="11602" t="n"/>
      <c r="AK262" s="2368" t="n"/>
      <c r="AL262" s="11602" t="n"/>
      <c r="AM262" s="11602" t="n"/>
    </row>
    <row r="263" ht="18.75" customHeight="1" s="7635" thickBot="1">
      <c r="A263" s="2368" t="n"/>
      <c r="B263" s="11602" t="n"/>
      <c r="C263" s="2371" t="inlineStr">
        <is>
          <t>+</t>
        </is>
      </c>
      <c r="D263" s="7772" t="inlineStr">
        <is>
          <t>Nonrefundable Education Credits, Schedule 3 (Form 1040), line 3</t>
        </is>
      </c>
      <c r="E263" s="11602" t="n"/>
      <c r="F263" s="11602" t="n"/>
      <c r="G263" s="11602" t="n"/>
      <c r="H263" s="11602" t="n"/>
      <c r="I263" s="11602" t="n"/>
      <c r="J263" s="11602" t="n"/>
      <c r="K263" s="11602" t="n"/>
      <c r="L263" s="11602" t="n"/>
      <c r="M263" s="11602" t="n"/>
      <c r="N263" s="11602" t="n"/>
      <c r="O263" s="11602" t="n"/>
      <c r="P263" s="11602" t="n"/>
      <c r="Q263" s="11602" t="n"/>
      <c r="R263" s="11602" t="n"/>
      <c r="S263" s="11602" t="n"/>
      <c r="T263" s="11602" t="n"/>
      <c r="U263" s="11602" t="n"/>
      <c r="V263" s="11602" t="n"/>
      <c r="W263" s="11602" t="n"/>
      <c r="X263" s="11602" t="n"/>
      <c r="Y263" s="11602" t="n"/>
      <c r="Z263" s="11602" t="n"/>
      <c r="AA263" s="11602" t="n"/>
      <c r="AB263" s="11602" t="n"/>
      <c r="AC263" s="11602" t="n"/>
      <c r="AD263" s="11602" t="n"/>
      <c r="AE263" s="10254">
        <f>IF(AM263&lt;&gt;"",ROUND(AM263,0),IF(OR(Education="",Education=0),"",Education))</f>
        <v/>
      </c>
      <c r="AF263" s="7637" t="n"/>
      <c r="AG263" s="7637" t="n"/>
      <c r="AH263" s="7637" t="n"/>
      <c r="AI263" s="7637" t="n"/>
      <c r="AJ263" s="11602" t="n"/>
      <c r="AK263" s="2368" t="n"/>
      <c r="AL263" s="11602" t="n"/>
      <c r="AM263" s="2361" t="n"/>
    </row>
    <row r="264" s="7635" thickBot="1">
      <c r="A264" s="2368" t="n"/>
      <c r="B264" s="11602" t="n"/>
      <c r="C264" s="11602" t="n"/>
      <c r="D264" s="7772" t="n"/>
      <c r="E264" s="11602" t="n"/>
      <c r="F264" s="11602" t="n"/>
      <c r="G264" s="11602" t="n"/>
      <c r="H264" s="11602" t="n"/>
      <c r="I264" s="11602" t="n"/>
      <c r="J264" s="11602" t="n"/>
      <c r="K264" s="11602" t="n"/>
      <c r="L264" s="11602" t="n"/>
      <c r="M264" s="11602" t="n"/>
      <c r="N264" s="11602" t="n"/>
      <c r="O264" s="11602" t="n"/>
      <c r="P264" s="11602" t="n"/>
      <c r="Q264" s="11602" t="n"/>
      <c r="R264" s="11602" t="n"/>
      <c r="S264" s="11602" t="n"/>
      <c r="T264" s="11602" t="n"/>
      <c r="U264" s="11602" t="n"/>
      <c r="V264" s="11602" t="n"/>
      <c r="W264" s="11602" t="n"/>
      <c r="X264" s="11602" t="n"/>
      <c r="Y264" s="11602" t="n"/>
      <c r="Z264" s="11602" t="n"/>
      <c r="AA264" s="11602" t="n"/>
      <c r="AB264" s="11602" t="n"/>
      <c r="AC264" s="11602" t="n"/>
      <c r="AD264" s="11602" t="n"/>
      <c r="AE264" s="2373" t="n"/>
      <c r="AF264" s="2373" t="n"/>
      <c r="AG264" s="2373" t="n"/>
      <c r="AH264" s="2373" t="n"/>
      <c r="AI264" s="2373" t="n"/>
      <c r="AJ264" s="11602" t="n"/>
      <c r="AK264" s="2368" t="n"/>
      <c r="AL264" s="11602" t="n"/>
      <c r="AM264" s="11602" t="n"/>
    </row>
    <row r="265" ht="18.75" customHeight="1" s="7635" thickBot="1">
      <c r="A265" s="2368" t="n"/>
      <c r="B265" s="11602" t="n"/>
      <c r="C265" s="2371" t="inlineStr">
        <is>
          <t>+</t>
        </is>
      </c>
      <c r="D265" s="7772" t="inlineStr">
        <is>
          <t>Retirement Savings Contributions Credit, Schedule 3 (Form 1040), line 4</t>
        </is>
      </c>
      <c r="E265" s="11602" t="n"/>
      <c r="F265" s="11602" t="n"/>
      <c r="G265" s="11602" t="n"/>
      <c r="H265" s="11602" t="n"/>
      <c r="I265" s="11602" t="n"/>
      <c r="J265" s="11602" t="n"/>
      <c r="K265" s="11602" t="n"/>
      <c r="L265" s="11602" t="n"/>
      <c r="M265" s="11602" t="n"/>
      <c r="N265" s="11602" t="n"/>
      <c r="O265" s="11602" t="n"/>
      <c r="P265" s="11602" t="n"/>
      <c r="Q265" s="11602" t="n"/>
      <c r="R265" s="11602" t="n"/>
      <c r="S265" s="11602" t="n"/>
      <c r="T265" s="11602" t="n"/>
      <c r="U265" s="11602" t="n"/>
      <c r="V265" s="11602" t="n"/>
      <c r="W265" s="11602" t="n"/>
      <c r="X265" s="11602" t="n"/>
      <c r="Y265" s="11602" t="n"/>
      <c r="Z265" s="11602" t="n"/>
      <c r="AA265" s="11602" t="n"/>
      <c r="AB265" s="11602" t="n"/>
      <c r="AC265" s="11602" t="n"/>
      <c r="AD265" s="11602" t="n"/>
      <c r="AE265" s="10254">
        <f>IF(AM265&lt;&gt;"",ROUND(AM265,0),IF(OR(Retirement_Savings="",Retirement_Savings=0),"",Retirement_Savings))</f>
        <v/>
      </c>
      <c r="AF265" s="7637" t="n"/>
      <c r="AG265" s="7637" t="n"/>
      <c r="AH265" s="7637" t="n"/>
      <c r="AI265" s="7637" t="n"/>
      <c r="AJ265" s="11602" t="n"/>
      <c r="AK265" s="2368" t="n"/>
      <c r="AL265" s="11602" t="n"/>
      <c r="AM265" s="2361" t="n"/>
    </row>
    <row r="266" s="7635" thickBot="1">
      <c r="A266" s="2368" t="n"/>
      <c r="B266" s="11602" t="n"/>
      <c r="C266" s="11602" t="n"/>
      <c r="D266" s="7772" t="n"/>
      <c r="E266" s="11602" t="n"/>
      <c r="F266" s="11602" t="n"/>
      <c r="G266" s="11602" t="n"/>
      <c r="H266" s="11602" t="n"/>
      <c r="I266" s="11602" t="n"/>
      <c r="J266" s="11602" t="n"/>
      <c r="K266" s="11602" t="n"/>
      <c r="L266" s="11602" t="n"/>
      <c r="M266" s="11602" t="n"/>
      <c r="N266" s="11602" t="n"/>
      <c r="O266" s="11602" t="n"/>
      <c r="P266" s="11602" t="n"/>
      <c r="Q266" s="11602" t="n"/>
      <c r="R266" s="11602" t="n"/>
      <c r="S266" s="11602" t="n"/>
      <c r="T266" s="11602" t="n"/>
      <c r="U266" s="11602" t="n"/>
      <c r="V266" s="11602" t="n"/>
      <c r="W266" s="11602" t="n"/>
      <c r="X266" s="11602" t="n"/>
      <c r="Y266" s="11602" t="n"/>
      <c r="Z266" s="11602" t="n"/>
      <c r="AA266" s="11602" t="n"/>
      <c r="AB266" s="11602" t="n"/>
      <c r="AC266" s="11602" t="n"/>
      <c r="AD266" s="11602" t="n"/>
      <c r="AE266" s="2373" t="n"/>
      <c r="AF266" s="2373" t="n"/>
      <c r="AG266" s="2373" t="n"/>
      <c r="AH266" s="2373" t="n"/>
      <c r="AI266" s="2373" t="n"/>
      <c r="AJ266" s="11602" t="n"/>
      <c r="AK266" s="2368" t="n"/>
      <c r="AL266" s="11602" t="n"/>
      <c r="AM266" s="11602" t="n"/>
    </row>
    <row r="267" ht="18.75" customHeight="1" s="7635" thickBot="1">
      <c r="A267" s="2368" t="n"/>
      <c r="B267" s="11602" t="n"/>
      <c r="C267" s="2371" t="inlineStr">
        <is>
          <t>+</t>
        </is>
      </c>
      <c r="D267" s="7772" t="inlineStr">
        <is>
          <t>Energy efficient home improvement credit, Form 5695, line 32*</t>
        </is>
      </c>
      <c r="E267" s="11602" t="n"/>
      <c r="F267" s="11602" t="n"/>
      <c r="G267" s="11602" t="n"/>
      <c r="H267" s="11602" t="n"/>
      <c r="I267" s="11602" t="n"/>
      <c r="J267" s="11602" t="n"/>
      <c r="K267" s="11602" t="n"/>
      <c r="L267" s="11602" t="n"/>
      <c r="M267" s="11602" t="n"/>
      <c r="N267" s="11602" t="n"/>
      <c r="O267" s="11602" t="n"/>
      <c r="P267" s="11602" t="n"/>
      <c r="Q267" s="11602" t="n"/>
      <c r="R267" s="11602" t="n"/>
      <c r="S267" s="11602" t="n"/>
      <c r="T267" s="11602" t="n"/>
      <c r="U267" s="11602" t="n"/>
      <c r="V267" s="11602" t="n"/>
      <c r="W267" s="11602" t="n"/>
      <c r="X267" s="11602" t="n"/>
      <c r="Y267" s="11602" t="n"/>
      <c r="Z267" s="11602" t="n"/>
      <c r="AA267" s="11602" t="n"/>
      <c r="AB267" s="11602" t="n"/>
      <c r="AC267" s="11602" t="n"/>
      <c r="AD267" s="11602" t="n"/>
      <c r="AE267" s="10254">
        <f>IF(AM267&lt;&gt;"",ROUND(AM267,0),IF(OR(AD240="",AD240=0),"",AD240))</f>
        <v/>
      </c>
      <c r="AF267" s="7637" t="n"/>
      <c r="AG267" s="7637" t="n"/>
      <c r="AH267" s="7637" t="n"/>
      <c r="AI267" s="7637" t="n"/>
      <c r="AJ267" s="11602" t="n"/>
      <c r="AK267" s="2368" t="n"/>
      <c r="AL267" s="11602" t="n"/>
      <c r="AM267" s="2361" t="n"/>
    </row>
    <row r="268" s="7635" thickBot="1">
      <c r="A268" s="2368" t="n"/>
      <c r="B268" s="11602" t="n"/>
      <c r="C268" s="11602" t="n"/>
      <c r="D268" s="7772" t="n"/>
      <c r="E268" s="11602" t="n"/>
      <c r="F268" s="11602" t="n"/>
      <c r="G268" s="11602" t="n"/>
      <c r="H268" s="11602" t="n"/>
      <c r="I268" s="11602" t="n"/>
      <c r="J268" s="11602" t="n"/>
      <c r="K268" s="11602" t="n"/>
      <c r="L268" s="11602" t="n"/>
      <c r="M268" s="11602" t="n"/>
      <c r="N268" s="11602" t="n"/>
      <c r="O268" s="11602" t="n"/>
      <c r="P268" s="11602" t="n"/>
      <c r="Q268" s="11602" t="n"/>
      <c r="R268" s="11602" t="n"/>
      <c r="S268" s="11602" t="n"/>
      <c r="T268" s="11602" t="n"/>
      <c r="U268" s="11602" t="n"/>
      <c r="V268" s="11602" t="n"/>
      <c r="W268" s="11602" t="n"/>
      <c r="X268" s="11602" t="n"/>
      <c r="Y268" s="11602" t="n"/>
      <c r="Z268" s="11602" t="n"/>
      <c r="AA268" s="11602" t="n"/>
      <c r="AB268" s="11602" t="n"/>
      <c r="AC268" s="11602" t="n"/>
      <c r="AD268" s="11602" t="n"/>
      <c r="AE268" s="2373" t="n"/>
      <c r="AF268" s="2373" t="n"/>
      <c r="AG268" s="2373" t="n"/>
      <c r="AH268" s="2373" t="n"/>
      <c r="AI268" s="2373" t="n"/>
      <c r="AJ268" s="11602" t="n"/>
      <c r="AK268" s="2368" t="n"/>
      <c r="AL268" s="11602" t="n"/>
      <c r="AM268" s="11602" t="n"/>
    </row>
    <row r="269" ht="18.75" customHeight="1" s="7635" thickBot="1">
      <c r="A269" s="2368" t="n"/>
      <c r="B269" s="11602" t="n"/>
      <c r="C269" s="2371" t="inlineStr">
        <is>
          <t>+</t>
        </is>
      </c>
      <c r="D269" s="7772" t="inlineStr">
        <is>
          <t>Credit for previously owned clean vehicles, Schedule 3 (Form 1040), line 6m</t>
        </is>
      </c>
      <c r="E269" s="11602" t="n"/>
      <c r="F269" s="11602" t="n"/>
      <c r="G269" s="11602" t="n"/>
      <c r="H269" s="11602" t="n"/>
      <c r="I269" s="11602" t="n"/>
      <c r="J269" s="11602" t="n"/>
      <c r="K269" s="11602" t="n"/>
      <c r="L269" s="11602" t="n"/>
      <c r="M269" s="11602" t="n"/>
      <c r="N269" s="11602" t="n"/>
      <c r="O269" s="11602" t="n"/>
      <c r="P269" s="11602" t="n"/>
      <c r="Q269" s="11602" t="n"/>
      <c r="R269" s="11602" t="n"/>
      <c r="S269" s="11602" t="n"/>
      <c r="T269" s="11602" t="n"/>
      <c r="U269" s="11602" t="n"/>
      <c r="V269" s="11602" t="n"/>
      <c r="W269" s="11602" t="n"/>
      <c r="X269" s="11602" t="n"/>
      <c r="Y269" s="11602" t="n"/>
      <c r="Z269" s="11602" t="n"/>
      <c r="AA269" s="11602" t="n"/>
      <c r="AB269" s="11602" t="n"/>
      <c r="AC269" s="11602" t="n"/>
      <c r="AD269" s="11602" t="n"/>
      <c r="AE269" s="10254">
        <f>IF(AM269&lt;&gt;"",ROUND(AM269,0),IF(OR(Sch3_Line6m="",Sch3_Line6m=0),"",Sch3_Line6m))</f>
        <v/>
      </c>
      <c r="AF269" s="7637" t="n"/>
      <c r="AG269" s="7637" t="n"/>
      <c r="AH269" s="7637" t="n"/>
      <c r="AI269" s="7637" t="n"/>
      <c r="AJ269" s="11602" t="n"/>
      <c r="AK269" s="2368" t="n"/>
      <c r="AL269" s="11602" t="n"/>
      <c r="AM269" s="2361" t="n"/>
    </row>
    <row r="270" s="7635" thickBot="1">
      <c r="A270" s="2368" t="n"/>
      <c r="B270" s="11602" t="n"/>
      <c r="C270" s="11602" t="n"/>
      <c r="D270" s="7772" t="n"/>
      <c r="E270" s="11602" t="n"/>
      <c r="F270" s="11602" t="n"/>
      <c r="G270" s="11602" t="n"/>
      <c r="H270" s="11602" t="n"/>
      <c r="I270" s="11602" t="n"/>
      <c r="J270" s="11602" t="n"/>
      <c r="K270" s="11602" t="n"/>
      <c r="L270" s="11602" t="n"/>
      <c r="M270" s="11602" t="n"/>
      <c r="N270" s="11602" t="n"/>
      <c r="O270" s="11602" t="n"/>
      <c r="P270" s="11602" t="n"/>
      <c r="Q270" s="11602" t="n"/>
      <c r="R270" s="11602" t="n"/>
      <c r="S270" s="11602" t="n"/>
      <c r="T270" s="11602" t="n"/>
      <c r="U270" s="11602" t="n"/>
      <c r="V270" s="11602" t="n"/>
      <c r="W270" s="11602" t="n"/>
      <c r="X270" s="11602" t="n"/>
      <c r="Y270" s="11602" t="n"/>
      <c r="Z270" s="11602" t="n"/>
      <c r="AA270" s="11602" t="n"/>
      <c r="AB270" s="11602" t="n"/>
      <c r="AC270" s="11602" t="n"/>
      <c r="AD270" s="11602" t="n"/>
      <c r="AE270" s="2373" t="n"/>
      <c r="AF270" s="2373" t="n"/>
      <c r="AG270" s="2373" t="n"/>
      <c r="AH270" s="2373" t="n"/>
      <c r="AI270" s="2373" t="n"/>
      <c r="AJ270" s="11602" t="n"/>
      <c r="AK270" s="2368" t="n"/>
      <c r="AL270" s="11602" t="n"/>
      <c r="AM270" s="11602" t="n"/>
    </row>
    <row r="271" ht="18.75" customHeight="1" s="7635" thickBot="1">
      <c r="A271" s="2368" t="n"/>
      <c r="B271" s="11602" t="n"/>
      <c r="C271" s="2371" t="inlineStr">
        <is>
          <t>+</t>
        </is>
      </c>
      <c r="D271" s="7772" t="inlineStr">
        <is>
          <t>Clean Vehicle Credit, Schedule 3 (Form 1040), line 6f</t>
        </is>
      </c>
      <c r="E271" s="11602" t="n"/>
      <c r="F271" s="11602" t="n"/>
      <c r="G271" s="11602" t="n"/>
      <c r="H271" s="11602" t="n"/>
      <c r="I271" s="11602" t="n"/>
      <c r="J271" s="11602" t="n"/>
      <c r="K271" s="11602" t="n"/>
      <c r="L271" s="11602" t="n"/>
      <c r="M271" s="11602" t="n"/>
      <c r="N271" s="11602" t="n"/>
      <c r="O271" s="11602" t="n"/>
      <c r="P271" s="11602" t="n"/>
      <c r="Q271" s="11602" t="n"/>
      <c r="R271" s="11602" t="n"/>
      <c r="S271" s="11602" t="n"/>
      <c r="T271" s="11602" t="n"/>
      <c r="U271" s="11602" t="n"/>
      <c r="V271" s="11602" t="n"/>
      <c r="W271" s="11602" t="n"/>
      <c r="X271" s="11602" t="n"/>
      <c r="Y271" s="11602" t="n"/>
      <c r="Z271" s="11602" t="n"/>
      <c r="AA271" s="11602" t="n"/>
      <c r="AB271" s="11602" t="n"/>
      <c r="AC271" s="11602" t="n"/>
      <c r="AD271" s="11602" t="n"/>
      <c r="AE271" s="10254">
        <f>IF(AM271&lt;&gt;"",ROUND(AM271,0),IF(OR(Sch3_Line6f="",Sch3_Line6f=0),"",Sch3_Line6f))</f>
        <v/>
      </c>
      <c r="AF271" s="7637" t="n"/>
      <c r="AG271" s="7637" t="n"/>
      <c r="AH271" s="7637" t="n"/>
      <c r="AI271" s="7637" t="n"/>
      <c r="AJ271" s="11602" t="n"/>
      <c r="AK271" s="2368" t="n"/>
      <c r="AL271" s="11602" t="n"/>
      <c r="AM271" s="2361" t="n"/>
    </row>
    <row r="272" s="7635" thickBot="1">
      <c r="A272" s="2368" t="n"/>
      <c r="B272" s="11602" t="n"/>
      <c r="C272" s="11602" t="n"/>
      <c r="D272" s="7772" t="n"/>
      <c r="E272" s="11602" t="n"/>
      <c r="F272" s="11602" t="n"/>
      <c r="G272" s="11602" t="n"/>
      <c r="H272" s="11602" t="n"/>
      <c r="I272" s="11602" t="n"/>
      <c r="J272" s="11602" t="n"/>
      <c r="K272" s="11602" t="n"/>
      <c r="L272" s="11602" t="n"/>
      <c r="M272" s="11602" t="n"/>
      <c r="N272" s="11602" t="n"/>
      <c r="O272" s="11602" t="n"/>
      <c r="P272" s="11602" t="n"/>
      <c r="Q272" s="11602" t="n"/>
      <c r="R272" s="11602" t="n"/>
      <c r="S272" s="11602" t="n"/>
      <c r="T272" s="11602" t="n"/>
      <c r="U272" s="11602" t="n"/>
      <c r="V272" s="11602" t="n"/>
      <c r="W272" s="11602" t="n"/>
      <c r="X272" s="11602" t="n"/>
      <c r="Y272" s="11602" t="n"/>
      <c r="Z272" s="11602" t="n"/>
      <c r="AA272" s="11602" t="n"/>
      <c r="AB272" s="11602" t="n"/>
      <c r="AC272" s="11602" t="n"/>
      <c r="AD272" s="11602" t="n"/>
      <c r="AE272" s="2373" t="n"/>
      <c r="AF272" s="2373" t="n"/>
      <c r="AG272" s="2373" t="n"/>
      <c r="AH272" s="2373" t="n"/>
      <c r="AI272" s="2373" t="n"/>
      <c r="AJ272" s="11602" t="n"/>
      <c r="AK272" s="2368" t="n"/>
      <c r="AL272" s="11602" t="n"/>
      <c r="AM272" s="11602" t="n"/>
    </row>
    <row r="273" ht="18.75" customHeight="1" s="7635" thickBot="1">
      <c r="A273" s="2368" t="n"/>
      <c r="B273" s="11602" t="n"/>
      <c r="C273" s="2371" t="inlineStr">
        <is>
          <t>+</t>
        </is>
      </c>
      <c r="D273" s="7772" t="inlineStr">
        <is>
          <t>Child tax credit or credit for other dependents, Form 1040, 1040-SR, or 1040-NR, line 19*</t>
        </is>
      </c>
      <c r="E273" s="11602" t="n"/>
      <c r="F273" s="11602" t="n"/>
      <c r="G273" s="11602" t="n"/>
      <c r="H273" s="11602" t="n"/>
      <c r="I273" s="11602" t="n"/>
      <c r="J273" s="11602" t="n"/>
      <c r="K273" s="11602" t="n"/>
      <c r="L273" s="11602" t="n"/>
      <c r="M273" s="11602" t="n"/>
      <c r="N273" s="11602" t="n"/>
      <c r="O273" s="11602" t="n"/>
      <c r="P273" s="11602" t="n"/>
      <c r="Q273" s="11602" t="n"/>
      <c r="R273" s="11602" t="n"/>
      <c r="S273" s="11602" t="n"/>
      <c r="T273" s="11602" t="n"/>
      <c r="U273" s="11602" t="n"/>
      <c r="V273" s="11602" t="n"/>
      <c r="W273" s="11602" t="n"/>
      <c r="X273" s="11602" t="n"/>
      <c r="Y273" s="11602" t="n"/>
      <c r="Z273" s="11602" t="n"/>
      <c r="AA273" s="11602" t="n"/>
      <c r="AB273" s="11602" t="n"/>
      <c r="AC273" s="11602" t="n"/>
      <c r="AD273" s="11602" t="n"/>
      <c r="AE273" s="10254">
        <f>IF(AM273&lt;&gt;"",ROUND(AM273,0),IF('8812'!C107,'8812'!AK208,IF(OR(ChildDepend_TaxCredit="",ChildDepend_TaxCredit=0),"",ChildDepend_TaxCredit)))</f>
        <v/>
      </c>
      <c r="AF273" s="7637" t="n"/>
      <c r="AG273" s="7637" t="n"/>
      <c r="AH273" s="7637" t="n"/>
      <c r="AI273" s="7637" t="n"/>
      <c r="AJ273" s="11602" t="n"/>
      <c r="AK273" s="2368" t="n"/>
      <c r="AL273" s="11602" t="n"/>
      <c r="AM273" s="2361" t="n"/>
    </row>
    <row r="274" s="7635" thickBot="1">
      <c r="A274" s="2368" t="n"/>
      <c r="B274" s="11602" t="n"/>
      <c r="C274" s="11602" t="n"/>
      <c r="D274" s="7772" t="n"/>
      <c r="E274" s="11602" t="n"/>
      <c r="F274" s="11602" t="n"/>
      <c r="G274" s="11602" t="n"/>
      <c r="H274" s="11602" t="n"/>
      <c r="I274" s="11602" t="n"/>
      <c r="J274" s="11602" t="n"/>
      <c r="K274" s="11602" t="n"/>
      <c r="L274" s="11602" t="n"/>
      <c r="M274" s="11602" t="n"/>
      <c r="N274" s="11602" t="n"/>
      <c r="O274" s="11602" t="n"/>
      <c r="P274" s="11602" t="n"/>
      <c r="Q274" s="11602" t="n"/>
      <c r="R274" s="11602" t="n"/>
      <c r="S274" s="11602" t="n"/>
      <c r="T274" s="11602" t="n"/>
      <c r="U274" s="11602" t="n"/>
      <c r="V274" s="11602" t="n"/>
      <c r="W274" s="4852">
        <f>IF('8812'!C107,"See note below.","")</f>
        <v/>
      </c>
      <c r="X274" s="11602" t="n"/>
      <c r="Y274" s="11602" t="n"/>
      <c r="Z274" s="11602" t="n"/>
      <c r="AA274" s="11602" t="n"/>
      <c r="AB274" s="11602" t="n"/>
      <c r="AC274" s="11602" t="n"/>
      <c r="AD274" s="11602" t="n"/>
      <c r="AE274" s="2373" t="n"/>
      <c r="AF274" s="2373" t="n"/>
      <c r="AG274" s="2373" t="n"/>
      <c r="AH274" s="2373" t="n"/>
      <c r="AI274" s="2373" t="n"/>
      <c r="AJ274" s="11602" t="n"/>
      <c r="AK274" s="2368" t="n"/>
      <c r="AL274" s="11602" t="n"/>
      <c r="AM274" s="11602" t="n"/>
    </row>
    <row r="275" ht="18.75" customHeight="1" s="7635" thickBot="1">
      <c r="A275" s="2368" t="n"/>
      <c r="B275" s="11602" t="n"/>
      <c r="C275" s="2371" t="inlineStr">
        <is>
          <t>+</t>
        </is>
      </c>
      <c r="D275" s="7772" t="inlineStr">
        <is>
          <t>Mortgage Interest Credit, Schedule 3 (Form 1040), line 6g</t>
        </is>
      </c>
      <c r="E275" s="11602" t="n"/>
      <c r="F275" s="11602" t="n"/>
      <c r="G275" s="11602" t="n"/>
      <c r="H275" s="11602" t="n"/>
      <c r="I275" s="11602" t="n"/>
      <c r="J275" s="11602" t="n"/>
      <c r="K275" s="11602" t="n"/>
      <c r="L275" s="11602" t="n"/>
      <c r="M275" s="11602" t="n"/>
      <c r="N275" s="11602" t="n"/>
      <c r="O275" s="11602" t="n"/>
      <c r="P275" s="11602" t="n"/>
      <c r="Q275" s="11602" t="n"/>
      <c r="R275" s="11602" t="n"/>
      <c r="S275" s="11602" t="n"/>
      <c r="T275" s="11602" t="n"/>
      <c r="U275" s="11602" t="n"/>
      <c r="V275" s="11602" t="n"/>
      <c r="W275" s="11602" t="n"/>
      <c r="X275" s="11602" t="n"/>
      <c r="Y275" s="11602" t="n"/>
      <c r="Z275" s="11602" t="n"/>
      <c r="AA275" s="11602" t="n"/>
      <c r="AB275" s="11602" t="n"/>
      <c r="AC275" s="11602" t="n"/>
      <c r="AD275" s="11602" t="n"/>
      <c r="AE275" s="10254">
        <f>IF(AM275&lt;&gt;"",ROUND(AM275,0),IF(OR(Sch3_Line6g="",Sch3_Line6g=0),"",Sch3_Line6g))</f>
        <v/>
      </c>
      <c r="AF275" s="7637" t="n"/>
      <c r="AG275" s="7637" t="n"/>
      <c r="AH275" s="7637" t="n"/>
      <c r="AI275" s="7637" t="n"/>
      <c r="AJ275" s="11602" t="n"/>
      <c r="AK275" s="2368" t="n"/>
      <c r="AL275" s="11602" t="n"/>
      <c r="AM275" s="2361" t="n"/>
    </row>
    <row r="276" s="7635" thickBot="1">
      <c r="A276" s="2368" t="n"/>
      <c r="B276" s="11602" t="n"/>
      <c r="C276" s="11602" t="n"/>
      <c r="D276" s="7772" t="n"/>
      <c r="E276" s="11602" t="n"/>
      <c r="F276" s="11602" t="n"/>
      <c r="G276" s="11602" t="n"/>
      <c r="H276" s="11602" t="n"/>
      <c r="I276" s="11602" t="n"/>
      <c r="J276" s="11602" t="n"/>
      <c r="K276" s="11602" t="n"/>
      <c r="L276" s="11602" t="n"/>
      <c r="M276" s="11602" t="n"/>
      <c r="N276" s="11602" t="n"/>
      <c r="O276" s="11602" t="n"/>
      <c r="P276" s="11602" t="n"/>
      <c r="Q276" s="11602" t="n"/>
      <c r="R276" s="11602" t="n"/>
      <c r="S276" s="11602" t="n"/>
      <c r="T276" s="11602" t="n"/>
      <c r="U276" s="11602" t="n"/>
      <c r="V276" s="11602" t="n"/>
      <c r="W276" s="11602" t="n"/>
      <c r="X276" s="11602" t="n"/>
      <c r="Y276" s="11602" t="n"/>
      <c r="Z276" s="11602" t="n"/>
      <c r="AA276" s="11602" t="n"/>
      <c r="AB276" s="11602" t="n"/>
      <c r="AC276" s="11602" t="n"/>
      <c r="AD276" s="11602" t="n"/>
      <c r="AE276" s="2373" t="n"/>
      <c r="AF276" s="2373" t="n"/>
      <c r="AG276" s="2373" t="n"/>
      <c r="AH276" s="2373" t="n"/>
      <c r="AI276" s="2373" t="n"/>
      <c r="AJ276" s="11602" t="n"/>
      <c r="AK276" s="2368" t="n"/>
      <c r="AL276" s="11602" t="n"/>
      <c r="AM276" s="11602" t="n"/>
    </row>
    <row r="277" ht="18.75" customHeight="1" s="7635" thickBot="1">
      <c r="A277" s="2368" t="n"/>
      <c r="B277" s="11602" t="n"/>
      <c r="C277" s="2371" t="inlineStr">
        <is>
          <t>+</t>
        </is>
      </c>
      <c r="D277" s="7772" t="inlineStr">
        <is>
          <t>Adoption Credit, Schedule 3 (Form 1040), line 6c</t>
        </is>
      </c>
      <c r="E277" s="11602" t="n"/>
      <c r="F277" s="11602" t="n"/>
      <c r="G277" s="11602" t="n"/>
      <c r="H277" s="11602" t="n"/>
      <c r="I277" s="11602" t="n"/>
      <c r="J277" s="11602" t="n"/>
      <c r="K277" s="11602" t="n"/>
      <c r="L277" s="11602" t="n"/>
      <c r="M277" s="11602" t="n"/>
      <c r="N277" s="11602" t="n"/>
      <c r="O277" s="11602" t="n"/>
      <c r="P277" s="11602" t="n"/>
      <c r="Q277" s="11602" t="n"/>
      <c r="R277" s="11602" t="n"/>
      <c r="S277" s="11602" t="n"/>
      <c r="T277" s="11602" t="n"/>
      <c r="U277" s="11602" t="n"/>
      <c r="V277" s="11602" t="n"/>
      <c r="W277" s="11602" t="n"/>
      <c r="X277" s="11602" t="n"/>
      <c r="Y277" s="11602" t="n"/>
      <c r="Z277" s="11602" t="n"/>
      <c r="AA277" s="11602" t="n"/>
      <c r="AB277" s="11602" t="n"/>
      <c r="AC277" s="11602" t="n"/>
      <c r="AD277" s="11602" t="n"/>
      <c r="AE277" s="10254">
        <f>IF(AM277&lt;&gt;"",ROUND(AM277,0),IF(OR(AdoptCredit="",AdoptCredit=0),"",AdoptCredit))</f>
        <v/>
      </c>
      <c r="AF277" s="7637" t="n"/>
      <c r="AG277" s="7637" t="n"/>
      <c r="AH277" s="7637" t="n"/>
      <c r="AI277" s="7637" t="n"/>
      <c r="AJ277" s="11602" t="n"/>
      <c r="AK277" s="2368" t="n"/>
      <c r="AL277" s="11602" t="n"/>
      <c r="AM277" s="2361" t="n"/>
    </row>
    <row r="278" s="7635" thickBot="1">
      <c r="A278" s="2368" t="n"/>
      <c r="B278" s="11602" t="n"/>
      <c r="C278" s="11602" t="n"/>
      <c r="D278" s="7772" t="n"/>
      <c r="E278" s="11602" t="n"/>
      <c r="F278" s="11602" t="n"/>
      <c r="G278" s="11602" t="n"/>
      <c r="H278" s="11602" t="n"/>
      <c r="I278" s="11602" t="n"/>
      <c r="J278" s="11602" t="n"/>
      <c r="K278" s="11602" t="n"/>
      <c r="L278" s="11602" t="n"/>
      <c r="M278" s="11602" t="n"/>
      <c r="N278" s="11602" t="n"/>
      <c r="O278" s="11602" t="n"/>
      <c r="P278" s="11602" t="n"/>
      <c r="Q278" s="11602" t="n"/>
      <c r="R278" s="11602" t="n"/>
      <c r="S278" s="11602" t="n"/>
      <c r="T278" s="11602" t="n"/>
      <c r="U278" s="11602" t="n"/>
      <c r="V278" s="11602" t="n"/>
      <c r="W278" s="11602" t="n"/>
      <c r="X278" s="11602" t="n"/>
      <c r="Y278" s="11602" t="n"/>
      <c r="Z278" s="11602" t="n"/>
      <c r="AA278" s="11602" t="n"/>
      <c r="AB278" s="11602" t="n"/>
      <c r="AC278" s="11602" t="n"/>
      <c r="AD278" s="11602" t="n"/>
      <c r="AE278" s="2373" t="n"/>
      <c r="AF278" s="2373" t="n"/>
      <c r="AG278" s="2373" t="n"/>
      <c r="AH278" s="2373" t="n"/>
      <c r="AI278" s="2373" t="n"/>
      <c r="AJ278" s="11602" t="n"/>
      <c r="AK278" s="2368" t="n"/>
      <c r="AL278" s="11602" t="n"/>
      <c r="AM278" s="11602" t="n"/>
    </row>
    <row r="279" ht="18.75" customHeight="1" s="7635" thickBot="1">
      <c r="A279" s="2368" t="n"/>
      <c r="B279" s="11602" t="n"/>
      <c r="C279" s="2371" t="inlineStr">
        <is>
          <t>+</t>
        </is>
      </c>
      <c r="D279" s="7772" t="inlineStr">
        <is>
          <t>Carryforward of the District of Columbia First-Time Homebuyer Credit, Schedule 3 (Form 1040), line 6h</t>
        </is>
      </c>
      <c r="E279" s="11602" t="n"/>
      <c r="F279" s="11602" t="n"/>
      <c r="G279" s="11602" t="n"/>
      <c r="H279" s="11602" t="n"/>
      <c r="I279" s="11602" t="n"/>
      <c r="J279" s="11602" t="n"/>
      <c r="K279" s="11602" t="n"/>
      <c r="L279" s="11602" t="n"/>
      <c r="M279" s="11602" t="n"/>
      <c r="N279" s="11602" t="n"/>
      <c r="O279" s="11602" t="n"/>
      <c r="P279" s="11602" t="n"/>
      <c r="Q279" s="11602" t="n"/>
      <c r="R279" s="11602" t="n"/>
      <c r="S279" s="11602" t="n"/>
      <c r="T279" s="11602" t="n"/>
      <c r="U279" s="11602" t="n"/>
      <c r="V279" s="11602" t="n"/>
      <c r="W279" s="11602" t="n"/>
      <c r="X279" s="11602" t="n"/>
      <c r="Y279" s="11602" t="n"/>
      <c r="Z279" s="11602" t="n"/>
      <c r="AA279" s="11602" t="n"/>
      <c r="AB279" s="11602" t="n"/>
      <c r="AC279" s="11602" t="n"/>
      <c r="AD279" s="11602" t="n"/>
      <c r="AE279" s="10254">
        <f>IF(AM279&lt;&gt;"",ROUND(AM279,0),IF(OR(Sch3_Line6h="",Sch3_Line6h=0),"",Sch3_Line6h))</f>
        <v/>
      </c>
      <c r="AF279" s="7637" t="n"/>
      <c r="AG279" s="7637" t="n"/>
      <c r="AH279" s="7637" t="n"/>
      <c r="AI279" s="7637" t="n"/>
      <c r="AJ279" s="11602" t="n"/>
      <c r="AK279" s="2368" t="n"/>
      <c r="AL279" s="11602" t="n"/>
      <c r="AM279" s="2361" t="n"/>
    </row>
    <row r="280" ht="12.75" customHeight="1" s="7635">
      <c r="A280" s="2368" t="n"/>
      <c r="B280" s="11602" t="n"/>
      <c r="C280" s="11602" t="n"/>
      <c r="D280" s="11602" t="n"/>
      <c r="E280" s="11602" t="n"/>
      <c r="F280" s="11602" t="n"/>
      <c r="G280" s="11602" t="n"/>
      <c r="H280" s="11602" t="n"/>
      <c r="I280" s="11602" t="n"/>
      <c r="J280" s="11602" t="n"/>
      <c r="K280" s="11602" t="n"/>
      <c r="L280" s="11602" t="n"/>
      <c r="M280" s="11602" t="n"/>
      <c r="N280" s="11602" t="n"/>
      <c r="O280" s="11602" t="n"/>
      <c r="P280" s="11602" t="n"/>
      <c r="Q280" s="11602" t="n"/>
      <c r="R280" s="11602" t="n"/>
      <c r="S280" s="11602" t="n"/>
      <c r="T280" s="11602" t="n"/>
      <c r="U280" s="11602" t="n"/>
      <c r="V280" s="11602" t="n"/>
      <c r="W280" s="11602" t="n"/>
      <c r="X280" s="11602" t="n"/>
      <c r="Y280" s="11602" t="n"/>
      <c r="Z280" s="11602" t="n"/>
      <c r="AA280" s="11602" t="n"/>
      <c r="AB280" s="11602" t="n"/>
      <c r="AC280" s="11602" t="n"/>
      <c r="AD280" s="11602" t="n"/>
      <c r="AE280" s="11602" t="n"/>
      <c r="AF280" s="11602" t="n"/>
      <c r="AG280" s="11602" t="n"/>
      <c r="AH280" s="11602" t="n"/>
      <c r="AI280" s="11602" t="n"/>
      <c r="AJ280" s="11602" t="n"/>
      <c r="AK280" s="2368" t="n"/>
      <c r="AL280" s="11602" t="n"/>
      <c r="AM280" s="11602" t="n"/>
    </row>
    <row r="281" ht="15" customHeight="1" s="7635">
      <c r="A281" s="2368" t="n"/>
      <c r="B281" s="11602" t="n"/>
      <c r="C281" s="2372" t="inlineStr">
        <is>
          <t>Note.</t>
        </is>
      </c>
      <c r="D281" s="11602" t="n"/>
      <c r="E281" s="2320" t="inlineStr">
        <is>
          <t>Enter the total of the preceding credit(s)/adjustment(s), only if allowed and taken on</t>
        </is>
      </c>
      <c r="F281" s="11602" t="n"/>
      <c r="G281" s="11602" t="n"/>
      <c r="H281" s="11602" t="n"/>
      <c r="I281" s="11602" t="n"/>
      <c r="J281" s="11602" t="n"/>
      <c r="K281" s="11602" t="n"/>
      <c r="L281" s="11602" t="n"/>
      <c r="M281" s="11602" t="n"/>
      <c r="N281" s="11602" t="n"/>
      <c r="O281" s="11602" t="n"/>
      <c r="P281" s="11602" t="n"/>
      <c r="Q281" s="11602" t="n"/>
      <c r="R281" s="11602" t="n"/>
      <c r="S281" s="11602" t="n"/>
      <c r="T281" s="11602" t="n"/>
      <c r="U281" s="11602" t="n"/>
      <c r="V281" s="11602" t="n"/>
      <c r="W281" s="11602" t="n"/>
      <c r="X281" s="11602" t="n"/>
      <c r="Y281" s="11602" t="n"/>
      <c r="Z281" s="11602" t="n"/>
      <c r="AA281" s="11602" t="n"/>
      <c r="AB281" s="11602" t="n"/>
      <c r="AC281" s="11602" t="n"/>
      <c r="AD281" s="11602" t="n"/>
      <c r="AE281" s="11602" t="n"/>
      <c r="AF281" s="11602" t="n"/>
      <c r="AG281" s="11602" t="n"/>
      <c r="AH281" s="11602" t="n"/>
      <c r="AI281" s="11602" t="n"/>
      <c r="AJ281" s="11602" t="n"/>
      <c r="AK281" s="2368" t="n"/>
      <c r="AL281" s="11602" t="n"/>
      <c r="AM281" s="11602" t="n"/>
    </row>
    <row r="282" ht="15" customHeight="1" s="7635">
      <c r="A282" s="2368" t="n"/>
      <c r="B282" s="11602" t="n"/>
      <c r="C282" s="344" t="n"/>
      <c r="D282" s="11602" t="n"/>
      <c r="E282" s="2320">
        <f>"your "&amp;TaxYear&amp;" income tax return."</f>
        <v/>
      </c>
      <c r="F282" s="11602" t="n"/>
      <c r="G282" s="11602" t="n"/>
      <c r="H282" s="11602" t="n"/>
      <c r="I282" s="11602" t="n"/>
      <c r="J282" s="11602" t="n"/>
      <c r="K282" s="11602" t="n"/>
      <c r="L282" s="11602" t="n"/>
      <c r="M282" s="11602" t="n"/>
      <c r="N282" s="11602" t="n"/>
      <c r="O282" s="11602" t="n"/>
      <c r="P282" s="11602" t="n"/>
      <c r="Q282" s="11602" t="n"/>
      <c r="R282" s="11602" t="n"/>
      <c r="S282" s="11602" t="n"/>
      <c r="T282" s="11602" t="n"/>
      <c r="U282" s="11602" t="n"/>
      <c r="V282" s="11602" t="n"/>
      <c r="W282" s="11602" t="n"/>
      <c r="X282" s="11602" t="n"/>
      <c r="Y282" s="11602" t="n"/>
      <c r="Z282" s="11602" t="n"/>
      <c r="AA282" s="11602" t="n"/>
      <c r="AB282" s="11602" t="n"/>
      <c r="AC282" s="11602" t="n"/>
      <c r="AD282" s="11602" t="n"/>
      <c r="AE282" s="11602" t="n"/>
      <c r="AF282" s="11602" t="n"/>
      <c r="AG282" s="11602" t="n"/>
      <c r="AH282" s="11602" t="n"/>
      <c r="AI282" s="11602" t="n"/>
      <c r="AJ282" s="11602" t="n"/>
      <c r="AK282" s="2368" t="n"/>
      <c r="AL282" s="11602" t="n"/>
      <c r="AM282" s="11602" t="n"/>
    </row>
    <row r="283" ht="12.75" customHeight="1" s="7635">
      <c r="A283" s="2368" t="n"/>
      <c r="B283" s="11602" t="n"/>
      <c r="C283" s="11602" t="n"/>
      <c r="D283" s="11602" t="n"/>
      <c r="E283" s="11602" t="n"/>
      <c r="F283" s="11602" t="n"/>
      <c r="G283" s="11602" t="n"/>
      <c r="H283" s="11602" t="n"/>
      <c r="I283" s="11602" t="n"/>
      <c r="J283" s="11602" t="n"/>
      <c r="K283" s="11602" t="n"/>
      <c r="L283" s="11602" t="n"/>
      <c r="M283" s="11602" t="n"/>
      <c r="N283" s="11602" t="n"/>
      <c r="O283" s="11602" t="n"/>
      <c r="P283" s="11602" t="n"/>
      <c r="Q283" s="11602" t="n"/>
      <c r="R283" s="11602" t="n"/>
      <c r="S283" s="11602" t="n"/>
      <c r="T283" s="11602" t="n"/>
      <c r="U283" s="11602" t="n"/>
      <c r="V283" s="11602" t="n"/>
      <c r="W283" s="11602" t="n"/>
      <c r="X283" s="11602" t="n"/>
      <c r="Y283" s="11602" t="n"/>
      <c r="Z283" s="11602" t="n"/>
      <c r="AA283" s="11602" t="n"/>
      <c r="AB283" s="11602" t="n"/>
      <c r="AC283" s="11602" t="n"/>
      <c r="AD283" s="11602" t="n"/>
      <c r="AE283" s="11602" t="n"/>
      <c r="AF283" s="11602" t="n"/>
      <c r="AG283" s="11602" t="n"/>
      <c r="AH283" s="11602" t="n"/>
      <c r="AI283" s="11602" t="n"/>
      <c r="AJ283" s="11602" t="n"/>
      <c r="AK283" s="2368" t="n"/>
      <c r="AL283" s="11602" t="n"/>
      <c r="AM283" s="226" t="inlineStr">
        <is>
          <t>Manual</t>
        </is>
      </c>
    </row>
    <row r="284" s="7635" thickBot="1">
      <c r="A284" s="2368" t="n"/>
      <c r="B284" s="11602" t="n"/>
      <c r="C284" s="11602" t="n"/>
      <c r="D284" s="11602" t="n"/>
      <c r="E284" s="2320" t="inlineStr">
        <is>
          <t>Not all credits/adjustments are available for all years nor for all filers.</t>
        </is>
      </c>
      <c r="F284" s="11602" t="n"/>
      <c r="G284" s="11602" t="n"/>
      <c r="H284" s="11602" t="n"/>
      <c r="I284" s="11602" t="n"/>
      <c r="J284" s="11602" t="n"/>
      <c r="K284" s="11602" t="n"/>
      <c r="L284" s="11602" t="n"/>
      <c r="M284" s="11602" t="n"/>
      <c r="N284" s="11602" t="n"/>
      <c r="O284" s="11602" t="n"/>
      <c r="P284" s="11602" t="n"/>
      <c r="Q284" s="11602" t="n"/>
      <c r="R284" s="11602" t="n"/>
      <c r="S284" s="11602" t="n"/>
      <c r="T284" s="11602" t="n"/>
      <c r="U284" s="11602" t="n"/>
      <c r="V284" s="11602" t="n"/>
      <c r="W284" s="11602" t="n"/>
      <c r="X284" s="11602" t="n"/>
      <c r="Y284" s="11602" t="n"/>
      <c r="Z284" s="11602" t="n"/>
      <c r="AA284" s="11602" t="n"/>
      <c r="AB284" s="11602" t="n"/>
      <c r="AC284" s="11602" t="n"/>
      <c r="AD284" s="11602" t="n"/>
      <c r="AE284" s="11602" t="n"/>
      <c r="AF284" s="11602" t="n"/>
      <c r="AG284" s="11602" t="n"/>
      <c r="AH284" s="11602" t="n"/>
      <c r="AI284" s="11602" t="n"/>
      <c r="AJ284" s="11602" t="n"/>
      <c r="AK284" s="2368" t="n"/>
      <c r="AL284" s="11602" t="n"/>
      <c r="AM284" s="226" t="inlineStr">
        <is>
          <t>Override ê</t>
        </is>
      </c>
    </row>
    <row r="285" ht="18.75" customHeight="1" s="7635" thickBot="1">
      <c r="A285" s="2368" t="n"/>
      <c r="B285" s="11602" t="n"/>
      <c r="C285" s="11602" t="n"/>
      <c r="D285" s="11602" t="n"/>
      <c r="E285" s="2320">
        <f>"See the instructions for your "&amp;TaxYear&amp;" income tax return."</f>
        <v/>
      </c>
      <c r="F285" s="11602" t="n"/>
      <c r="G285" s="11602" t="n"/>
      <c r="H285" s="11602" t="n"/>
      <c r="I285" s="11602" t="n"/>
      <c r="J285" s="11602" t="n"/>
      <c r="K285" s="11602" t="n"/>
      <c r="L285" s="11602" t="n"/>
      <c r="M285" s="11602" t="n"/>
      <c r="N285" s="11602" t="n"/>
      <c r="O285" s="11602" t="n"/>
      <c r="P285" s="11602" t="n"/>
      <c r="Q285" s="11602" t="n"/>
      <c r="R285" s="11602" t="n"/>
      <c r="S285" s="11602" t="n"/>
      <c r="T285" s="11602" t="n"/>
      <c r="U285" s="11602" t="n"/>
      <c r="V285" s="11602" t="n"/>
      <c r="W285" s="11602" t="n"/>
      <c r="X285" s="11602" t="n"/>
      <c r="Y285" s="11602" t="n"/>
      <c r="Z285" s="11602" t="n"/>
      <c r="AA285" s="11602" t="n"/>
      <c r="AB285" s="10255" t="n">
        <v>2</v>
      </c>
      <c r="AD285" s="11602" t="n"/>
      <c r="AE285" s="10254">
        <f>IF(AM285&lt;&gt;"",ROUND(AM285,0),IF(AND(AO36,NOT(AO249)),"",SUM(AE255,AE257,AE259,AE261,AE263,AE265,AE267,AE269,AE271,AE273,AE275,AE277,AE279)))</f>
        <v/>
      </c>
      <c r="AF285" s="7637" t="n"/>
      <c r="AG285" s="7637" t="n"/>
      <c r="AH285" s="7637" t="n"/>
      <c r="AI285" s="7637" t="n"/>
      <c r="AJ285" s="11602" t="n"/>
      <c r="AK285" s="2368" t="n"/>
      <c r="AL285" s="11602" t="n"/>
      <c r="AM285" s="2361" t="n"/>
    </row>
    <row r="286" ht="12.75" customHeight="1" s="7635">
      <c r="A286" s="2368" t="n"/>
      <c r="B286" s="11602" t="n"/>
      <c r="C286" s="11602" t="n"/>
      <c r="D286" s="11602" t="n"/>
      <c r="E286" s="11602" t="n"/>
      <c r="F286" s="11602" t="n"/>
      <c r="G286" s="11602" t="n"/>
      <c r="H286" s="11602" t="n"/>
      <c r="I286" s="11602" t="n"/>
      <c r="J286" s="11602" t="n"/>
      <c r="K286" s="11602" t="n"/>
      <c r="L286" s="11602" t="n"/>
      <c r="M286" s="11602" t="n"/>
      <c r="N286" s="11602" t="n"/>
      <c r="O286" s="11602" t="n"/>
      <c r="P286" s="11602" t="n"/>
      <c r="Q286" s="11602" t="n"/>
      <c r="R286" s="11602" t="n"/>
      <c r="S286" s="11602" t="n"/>
      <c r="T286" s="11602" t="n"/>
      <c r="U286" s="11602" t="n"/>
      <c r="V286" s="11602" t="n"/>
      <c r="W286" s="11602" t="n"/>
      <c r="X286" s="11602" t="n"/>
      <c r="Y286" s="11602" t="n"/>
      <c r="Z286" s="11602" t="n"/>
      <c r="AA286" s="11602" t="n"/>
      <c r="AB286" s="11602" t="n"/>
      <c r="AC286" s="11602" t="n"/>
      <c r="AD286" s="11602" t="n"/>
      <c r="AE286" s="11602" t="n"/>
      <c r="AF286" s="11602" t="n"/>
      <c r="AG286" s="11602" t="n"/>
      <c r="AH286" s="11602" t="n"/>
      <c r="AI286" s="11602" t="n"/>
      <c r="AJ286" s="11602" t="n"/>
      <c r="AK286" s="2368" t="n"/>
      <c r="AL286" s="11602" t="n"/>
      <c r="AM286" s="11602" t="n"/>
    </row>
    <row r="287" ht="16.5" customHeight="1" s="7635" thickBot="1">
      <c r="A287" s="2368" t="n"/>
      <c r="B287" s="11602" t="n"/>
      <c r="C287" s="2369" t="n">
        <v>3</v>
      </c>
      <c r="D287" s="7772" t="inlineStr">
        <is>
          <t>Subtract line 2 from line 1. Also enter this amount on Form 5695, line 14.</t>
        </is>
      </c>
      <c r="E287" s="11602" t="n"/>
      <c r="F287" s="11602" t="n"/>
      <c r="G287" s="11602" t="n"/>
      <c r="H287" s="11602" t="n"/>
      <c r="I287" s="11602" t="n"/>
      <c r="J287" s="11602" t="n"/>
      <c r="K287" s="11602" t="n"/>
      <c r="L287" s="11602" t="n"/>
      <c r="M287" s="11602" t="n"/>
      <c r="N287" s="11602" t="n"/>
      <c r="O287" s="11602" t="n"/>
      <c r="P287" s="11602" t="n"/>
      <c r="Q287" s="11602" t="n"/>
      <c r="R287" s="11602" t="n"/>
      <c r="S287" s="11602" t="n"/>
      <c r="T287" s="11602" t="n"/>
      <c r="U287" s="11602" t="n"/>
      <c r="V287" s="11602" t="n"/>
      <c r="W287" s="11602" t="n"/>
      <c r="X287" s="11602" t="n"/>
      <c r="Y287" s="11602" t="n"/>
      <c r="Z287" s="11602" t="n"/>
      <c r="AA287" s="11602" t="n"/>
      <c r="AB287" s="11602" t="n"/>
      <c r="AC287" s="11602" t="n"/>
      <c r="AD287" s="11602" t="n"/>
      <c r="AE287" s="11602" t="n"/>
      <c r="AF287" s="11602" t="n"/>
      <c r="AG287" s="11602" t="n"/>
      <c r="AH287" s="11602" t="n"/>
      <c r="AI287" s="11602" t="n"/>
      <c r="AJ287" s="11602" t="n"/>
      <c r="AK287" s="2368" t="n"/>
      <c r="AL287" s="11602" t="n"/>
      <c r="AM287" s="11602" t="n"/>
    </row>
    <row r="288" ht="18.75" customHeight="1" s="7635" thickBot="1">
      <c r="A288" s="2368" t="n"/>
      <c r="B288" s="11602" t="n"/>
      <c r="C288" s="11602" t="n"/>
      <c r="D288" s="7772" t="inlineStr">
        <is>
          <t>If zero or less, enter -0- on Form 5695, lines 14 and 15</t>
        </is>
      </c>
      <c r="E288" s="11602" t="n"/>
      <c r="F288" s="11602" t="n"/>
      <c r="G288" s="11602" t="n"/>
      <c r="H288" s="11602" t="n"/>
      <c r="I288" s="11602" t="n"/>
      <c r="J288" s="11602" t="n"/>
      <c r="K288" s="11602" t="n"/>
      <c r="L288" s="11602" t="n"/>
      <c r="M288" s="11602" t="n"/>
      <c r="N288" s="11602" t="n"/>
      <c r="O288" s="11602" t="n"/>
      <c r="P288" s="11602" t="n"/>
      <c r="Q288" s="11602" t="n"/>
      <c r="R288" s="11602" t="n"/>
      <c r="S288" s="11602" t="n"/>
      <c r="T288" s="11602" t="n"/>
      <c r="U288" s="11602" t="n"/>
      <c r="V288" s="11602" t="n"/>
      <c r="W288" s="6996" t="n"/>
      <c r="Z288" s="11602" t="n"/>
      <c r="AA288" s="11602" t="n"/>
      <c r="AB288" s="10255" t="n">
        <v>3</v>
      </c>
      <c r="AD288" s="11602" t="n"/>
      <c r="AE288" s="10254">
        <f>IF(AM288&lt;&gt;"",ROUND(AM288,0),IF(AND(AO36,NOT(AO249)),"",SUM(AE249,-AE285)))</f>
        <v/>
      </c>
      <c r="AF288" s="7637" t="n"/>
      <c r="AG288" s="7637" t="n"/>
      <c r="AH288" s="7637" t="n"/>
      <c r="AI288" s="7637" t="n"/>
      <c r="AJ288" s="11602" t="n"/>
      <c r="AK288" s="2368" t="n"/>
      <c r="AL288" s="11602" t="n"/>
      <c r="AM288" s="2361" t="n"/>
    </row>
    <row r="289" ht="12.75" customHeight="1" s="7635">
      <c r="A289" s="2368" t="n"/>
      <c r="B289" s="11602" t="n"/>
      <c r="C289" s="11602" t="n"/>
      <c r="D289" s="11602" t="n"/>
      <c r="E289" s="11602" t="n"/>
      <c r="F289" s="11602" t="n"/>
      <c r="G289" s="11602" t="n"/>
      <c r="H289" s="11602" t="n"/>
      <c r="I289" s="11602" t="n"/>
      <c r="J289" s="11602" t="n"/>
      <c r="K289" s="11602" t="n"/>
      <c r="L289" s="11602" t="n"/>
      <c r="M289" s="11602" t="n"/>
      <c r="N289" s="11602" t="n"/>
      <c r="O289" s="11602" t="n"/>
      <c r="P289" s="11602" t="n"/>
      <c r="Q289" s="11602" t="n"/>
      <c r="R289" s="11602" t="n"/>
      <c r="S289" s="11602" t="n"/>
      <c r="T289" s="11602" t="n"/>
      <c r="U289" s="11602" t="n"/>
      <c r="V289" s="11602" t="n"/>
      <c r="W289" s="11602" t="n"/>
      <c r="X289" s="11602" t="n"/>
      <c r="Y289" s="11602" t="n"/>
      <c r="Z289" s="11602" t="n"/>
      <c r="AA289" s="11602" t="n"/>
      <c r="AB289" s="11602" t="n"/>
      <c r="AC289" s="11602" t="n"/>
      <c r="AD289" s="11602" t="n"/>
      <c r="AE289" s="11602" t="n"/>
      <c r="AF289" s="11602" t="n"/>
      <c r="AG289" s="11602" t="n"/>
      <c r="AH289" s="11602" t="n"/>
      <c r="AI289" s="11602" t="n"/>
      <c r="AJ289" s="11602" t="n"/>
      <c r="AK289" s="2368" t="n"/>
      <c r="AL289" s="11602" t="n"/>
      <c r="AM289" s="11602" t="n"/>
    </row>
    <row r="290" ht="15" customHeight="1" s="7635">
      <c r="A290" s="2368" t="n"/>
      <c r="B290" s="11602" t="n"/>
      <c r="C290" s="11602" t="n"/>
      <c r="D290" s="2320" t="inlineStr">
        <is>
          <t>*Include the amount in the instructions for Schedule 8812 (Form 1040), Credit Limit Worksheet B, line 14, instead of the amount</t>
        </is>
      </c>
      <c r="E290" s="11602" t="n"/>
      <c r="F290" s="11602" t="n"/>
      <c r="G290" s="11602" t="n"/>
      <c r="H290" s="11602" t="n"/>
      <c r="I290" s="11602" t="n"/>
      <c r="J290" s="11602" t="n"/>
      <c r="K290" s="11602" t="n"/>
      <c r="L290" s="11602" t="n"/>
      <c r="M290" s="11602" t="n"/>
      <c r="N290" s="11602" t="n"/>
      <c r="O290" s="11602" t="n"/>
      <c r="P290" s="11602" t="n"/>
      <c r="Q290" s="11602" t="n"/>
      <c r="R290" s="11602" t="n"/>
      <c r="S290" s="11602" t="n"/>
      <c r="T290" s="11602" t="n"/>
      <c r="U290" s="11602" t="n"/>
      <c r="V290" s="11602" t="n"/>
      <c r="W290" s="11602" t="n"/>
      <c r="X290" s="11602" t="n"/>
      <c r="Y290" s="11602" t="n"/>
      <c r="Z290" s="11602" t="n"/>
      <c r="AA290" s="11602" t="n"/>
      <c r="AB290" s="11602" t="n"/>
      <c r="AC290" s="11602" t="n"/>
      <c r="AD290" s="11602" t="n"/>
      <c r="AE290" s="11602" t="n"/>
      <c r="AF290" s="11602" t="n"/>
      <c r="AG290" s="11602" t="n"/>
      <c r="AH290" s="11602" t="n"/>
      <c r="AI290" s="11602" t="n"/>
      <c r="AJ290" s="11602" t="n"/>
      <c r="AK290" s="2368" t="n"/>
      <c r="AL290" s="11602" t="n"/>
      <c r="AM290" s="11602" t="n"/>
    </row>
    <row r="291" ht="15" customHeight="1" s="7635">
      <c r="A291" s="2368" t="n"/>
      <c r="B291" s="11602" t="n"/>
      <c r="C291" s="11602" t="n"/>
      <c r="D291" s="2320" t="inlineStr">
        <is>
          <t>from Form 1040, 1040-SR, or 1040-NR, line 19, if the instructions for Schedule 8812 (Form 1040) direct you to complete Credit</t>
        </is>
      </c>
      <c r="E291" s="11602" t="n"/>
      <c r="F291" s="11602" t="n"/>
      <c r="G291" s="11602" t="n"/>
      <c r="H291" s="11602" t="n"/>
      <c r="I291" s="11602" t="n"/>
      <c r="J291" s="11602" t="n"/>
      <c r="K291" s="11602" t="n"/>
      <c r="L291" s="11602" t="n"/>
      <c r="M291" s="11602" t="n"/>
      <c r="N291" s="11602" t="n"/>
      <c r="O291" s="11602" t="n"/>
      <c r="P291" s="11602" t="n"/>
      <c r="Q291" s="11602" t="n"/>
      <c r="R291" s="11602" t="n"/>
      <c r="S291" s="11602" t="n"/>
      <c r="T291" s="11602" t="n"/>
      <c r="U291" s="11602" t="n"/>
      <c r="V291" s="11602" t="n"/>
      <c r="W291" s="11602" t="n"/>
      <c r="X291" s="11602" t="n"/>
      <c r="Y291" s="11602" t="n"/>
      <c r="Z291" s="11602" t="n"/>
      <c r="AA291" s="11602" t="n"/>
      <c r="AB291" s="11602" t="n"/>
      <c r="AC291" s="11602" t="n"/>
      <c r="AD291" s="11602" t="n"/>
      <c r="AE291" s="11602" t="n"/>
      <c r="AF291" s="11602" t="n"/>
      <c r="AG291" s="11602" t="n"/>
      <c r="AH291" s="11602" t="n"/>
      <c r="AI291" s="11602" t="n"/>
      <c r="AJ291" s="11602" t="n"/>
      <c r="AK291" s="2368" t="n"/>
      <c r="AL291" s="11602" t="n"/>
      <c r="AM291" s="11602" t="n"/>
    </row>
    <row r="292" ht="15" customHeight="1" s="7635">
      <c r="A292" s="2368" t="n"/>
      <c r="B292" s="11602" t="n"/>
      <c r="C292" s="11602" t="n"/>
      <c r="D292" s="2320" t="inlineStr">
        <is>
          <t>Limit Worksheet B.</t>
        </is>
      </c>
      <c r="E292" s="11602" t="n"/>
      <c r="F292" s="11602" t="n"/>
      <c r="G292" s="11602" t="n"/>
      <c r="H292" s="11602" t="n"/>
      <c r="I292" s="11602" t="n"/>
      <c r="J292" s="11602" t="n"/>
      <c r="K292" s="11602" t="n"/>
      <c r="L292" s="11602" t="n"/>
      <c r="M292" s="11602" t="n"/>
      <c r="N292" s="11602" t="n"/>
      <c r="O292" s="11602" t="n"/>
      <c r="P292" s="11602" t="n"/>
      <c r="Q292" s="11602" t="n"/>
      <c r="R292" s="11602" t="n"/>
      <c r="S292" s="11602" t="n"/>
      <c r="T292" s="11602" t="n"/>
      <c r="U292" s="11602" t="n"/>
      <c r="V292" s="11602" t="n"/>
      <c r="W292" s="11602" t="n"/>
      <c r="X292" s="11602" t="n"/>
      <c r="Y292" s="11602" t="n"/>
      <c r="Z292" s="11602" t="n"/>
      <c r="AA292" s="11602" t="n"/>
      <c r="AB292" s="11602" t="n"/>
      <c r="AC292" s="11602" t="n"/>
      <c r="AD292" s="11602" t="n"/>
      <c r="AE292" s="11602" t="n"/>
      <c r="AF292" s="11602" t="n"/>
      <c r="AG292" s="11602" t="n"/>
      <c r="AH292" s="11602" t="n"/>
      <c r="AI292" s="11602" t="n"/>
      <c r="AJ292" s="11602" t="n"/>
      <c r="AK292" s="2368" t="n"/>
      <c r="AL292" s="11602" t="n"/>
      <c r="AM292" s="11602" t="n"/>
    </row>
    <row r="293" ht="12.75" customHeight="1" s="7635">
      <c r="A293" s="2368" t="n"/>
      <c r="B293" s="11602" t="n"/>
      <c r="C293" s="11602" t="n"/>
      <c r="D293" s="11602" t="n"/>
      <c r="E293" s="11602" t="n"/>
      <c r="F293" s="11602" t="n"/>
      <c r="G293" s="11602" t="n"/>
      <c r="H293" s="11602" t="n"/>
      <c r="I293" s="11602" t="n"/>
      <c r="J293" s="11602" t="n"/>
      <c r="K293" s="11602" t="n"/>
      <c r="L293" s="11602" t="n"/>
      <c r="M293" s="11602" t="n"/>
      <c r="N293" s="11602" t="n"/>
      <c r="O293" s="11602" t="n"/>
      <c r="P293" s="11602" t="n"/>
      <c r="Q293" s="11602" t="n"/>
      <c r="R293" s="11602" t="n"/>
      <c r="S293" s="11602" t="n"/>
      <c r="T293" s="11602" t="n"/>
      <c r="U293" s="11602" t="n"/>
      <c r="V293" s="11602" t="n"/>
      <c r="W293" s="11602" t="n"/>
      <c r="X293" s="11602" t="n"/>
      <c r="Y293" s="11602" t="n"/>
      <c r="Z293" s="11602" t="n"/>
      <c r="AA293" s="11602" t="n"/>
      <c r="AB293" s="11602" t="n"/>
      <c r="AC293" s="11602" t="n"/>
      <c r="AD293" s="11602" t="n"/>
      <c r="AE293" s="11602" t="n"/>
      <c r="AF293" s="11602" t="n"/>
      <c r="AG293" s="11602" t="n"/>
      <c r="AH293" s="11602" t="n"/>
      <c r="AI293" s="11602" t="n"/>
      <c r="AJ293" s="11602" t="n"/>
      <c r="AK293" s="2368" t="n"/>
      <c r="AL293" s="11602" t="n"/>
      <c r="AM293" s="11602" t="n"/>
    </row>
    <row r="294" ht="39" customHeight="1" s="7635">
      <c r="A294" s="2368" t="n"/>
      <c r="B294" s="2375" t="n"/>
      <c r="C294" s="2376" t="inlineStr">
        <is>
          <t>Energy Efficient Home Improvement Credit Limit Worksheet—Line 31</t>
        </is>
      </c>
      <c r="D294" s="2375" t="n"/>
      <c r="E294" s="2375" t="n"/>
      <c r="F294" s="2375" t="n"/>
      <c r="G294" s="2375" t="n"/>
      <c r="H294" s="2375" t="n"/>
      <c r="I294" s="2375" t="n"/>
      <c r="J294" s="2375" t="n"/>
      <c r="K294" s="2375" t="n"/>
      <c r="L294" s="2375" t="n"/>
      <c r="M294" s="2375" t="n"/>
      <c r="N294" s="2375" t="n"/>
      <c r="O294" s="2375" t="n"/>
      <c r="P294" s="2375" t="n"/>
      <c r="Q294" s="2375" t="n"/>
      <c r="R294" s="2375" t="n"/>
      <c r="S294" s="2375" t="n"/>
      <c r="T294" s="2375" t="n"/>
      <c r="U294" s="2375" t="n"/>
      <c r="V294" s="2375" t="n"/>
      <c r="W294" s="2375" t="n"/>
      <c r="X294" s="2375" t="n"/>
      <c r="Y294" s="2375" t="n"/>
      <c r="Z294" s="2375" t="n"/>
      <c r="AA294" s="2375" t="n"/>
      <c r="AB294" s="2375" t="n"/>
      <c r="AC294" s="2375" t="n"/>
      <c r="AD294" s="2375" t="n"/>
      <c r="AE294" s="2375" t="n"/>
      <c r="AF294" s="2375" t="n"/>
      <c r="AG294" s="2375" t="n"/>
      <c r="AH294" s="2375" t="n"/>
      <c r="AI294" s="2375" t="n"/>
      <c r="AJ294" s="2375" t="n"/>
      <c r="AK294" s="2368" t="n"/>
      <c r="AL294" s="11602" t="n"/>
      <c r="AM294" s="226" t="inlineStr">
        <is>
          <t>Manual</t>
        </is>
      </c>
    </row>
    <row r="295" ht="13.5" customHeight="1" s="7635" thickBot="1">
      <c r="A295" s="2368" t="n"/>
      <c r="B295" s="11602" t="n"/>
      <c r="C295" s="11602" t="n"/>
      <c r="D295" s="11602" t="n"/>
      <c r="E295" s="11602" t="n"/>
      <c r="F295" s="11602" t="n"/>
      <c r="G295" s="11602" t="n"/>
      <c r="H295" s="11602" t="n"/>
      <c r="I295" s="11602" t="n"/>
      <c r="J295" s="11602" t="n"/>
      <c r="K295" s="11602" t="n"/>
      <c r="L295" s="11602" t="n"/>
      <c r="M295" s="11602" t="n"/>
      <c r="N295" s="11602" t="n"/>
      <c r="O295" s="11602" t="n"/>
      <c r="P295" s="11602" t="n"/>
      <c r="Q295" s="11602" t="n"/>
      <c r="R295" s="11602" t="n"/>
      <c r="S295" s="11602" t="n"/>
      <c r="T295" s="11602" t="n"/>
      <c r="U295" s="11602" t="n"/>
      <c r="V295" s="11602" t="n"/>
      <c r="W295" s="11602" t="n"/>
      <c r="X295" s="11602" t="n"/>
      <c r="Y295" s="11602" t="n"/>
      <c r="Z295" s="11602" t="n"/>
      <c r="AA295" s="11602" t="n"/>
      <c r="AB295" s="11602" t="n"/>
      <c r="AC295" s="11602" t="n"/>
      <c r="AD295" s="11602" t="n"/>
      <c r="AE295" s="11602" t="n"/>
      <c r="AF295" s="11602" t="n"/>
      <c r="AG295" s="11602" t="n"/>
      <c r="AH295" s="11602" t="n"/>
      <c r="AI295" s="11602" t="n"/>
      <c r="AJ295" s="11602" t="n"/>
      <c r="AK295" s="2368" t="n"/>
      <c r="AL295" s="11602" t="n"/>
      <c r="AM295" s="226" t="inlineStr">
        <is>
          <t>Override ê</t>
        </is>
      </c>
    </row>
    <row r="296" ht="18.75" customHeight="1" s="7635" thickBot="1">
      <c r="A296" s="2368" t="n"/>
      <c r="B296" s="11602" t="n"/>
      <c r="C296" s="2369" t="n">
        <v>1</v>
      </c>
      <c r="D296" s="7772" t="inlineStr">
        <is>
          <t>Enter the amount from Form 1040, 1040-SR, or 1040-NR, line 18  (Tax)</t>
        </is>
      </c>
      <c r="E296" s="11602" t="n"/>
      <c r="F296" s="11602" t="n"/>
      <c r="G296" s="11602" t="n"/>
      <c r="H296" s="11602" t="n"/>
      <c r="I296" s="11602" t="n"/>
      <c r="J296" s="11602" t="n"/>
      <c r="K296" s="11602" t="n"/>
      <c r="L296" s="11602" t="n"/>
      <c r="M296" s="11602" t="n"/>
      <c r="N296" s="11602" t="n"/>
      <c r="O296" s="11602" t="n"/>
      <c r="P296" s="11602" t="n"/>
      <c r="Q296" s="11602" t="n"/>
      <c r="R296" s="11602" t="n"/>
      <c r="S296" s="11602" t="n"/>
      <c r="T296" s="11602" t="n"/>
      <c r="U296" s="11602" t="n"/>
      <c r="V296" s="11602" t="n"/>
      <c r="W296" s="11602" t="n"/>
      <c r="X296" s="11602" t="n"/>
      <c r="Y296" s="11602" t="n"/>
      <c r="Z296" s="11602" t="n"/>
      <c r="AA296" s="11602" t="n"/>
      <c r="AB296" s="10255" t="n">
        <v>1</v>
      </c>
      <c r="AD296" s="11602" t="n"/>
      <c r="AE296" s="10254">
        <f>IF(AM296&lt;&gt;"",ROUND(AM296,0),IF(AO236,"",Tax))</f>
        <v/>
      </c>
      <c r="AF296" s="7637" t="n"/>
      <c r="AG296" s="7637" t="n"/>
      <c r="AH296" s="7637" t="n"/>
      <c r="AI296" s="7637" t="n"/>
      <c r="AJ296" s="11602" t="n"/>
      <c r="AK296" s="2368" t="n"/>
      <c r="AL296" s="11602" t="n"/>
      <c r="AM296" s="2361" t="n"/>
    </row>
    <row r="297" ht="12.75" customHeight="1" s="7635">
      <c r="A297" s="2368" t="n"/>
      <c r="B297" s="11602" t="n"/>
      <c r="C297" s="11602" t="n"/>
      <c r="D297" s="11602" t="n"/>
      <c r="E297" s="11602" t="n"/>
      <c r="F297" s="11602" t="n"/>
      <c r="G297" s="11602" t="n"/>
      <c r="H297" s="11602" t="n"/>
      <c r="I297" s="11602" t="n"/>
      <c r="J297" s="11602" t="n"/>
      <c r="K297" s="11602" t="n"/>
      <c r="L297" s="11602" t="n"/>
      <c r="M297" s="11602" t="n"/>
      <c r="N297" s="11602" t="n"/>
      <c r="O297" s="11602" t="n"/>
      <c r="P297" s="11602" t="n"/>
      <c r="Q297" s="11602" t="n"/>
      <c r="R297" s="11602" t="n"/>
      <c r="S297" s="11602" t="n"/>
      <c r="T297" s="11602" t="n"/>
      <c r="U297" s="11602" t="n"/>
      <c r="V297" s="11602" t="n"/>
      <c r="W297" s="11602" t="n"/>
      <c r="X297" s="11602" t="n"/>
      <c r="Y297" s="11602" t="n"/>
      <c r="Z297" s="11602" t="n"/>
      <c r="AA297" s="11602" t="n"/>
      <c r="AB297" s="11602" t="n"/>
      <c r="AC297" s="11602" t="n"/>
      <c r="AD297" s="11602" t="n"/>
      <c r="AE297" s="11602" t="n"/>
      <c r="AF297" s="11602" t="n"/>
      <c r="AG297" s="11602" t="n"/>
      <c r="AH297" s="11602" t="n"/>
      <c r="AI297" s="11602" t="n"/>
      <c r="AJ297" s="11602" t="n"/>
      <c r="AK297" s="2368" t="n"/>
      <c r="AL297" s="11602" t="n"/>
      <c r="AM297" s="11602" t="n"/>
    </row>
    <row r="298">
      <c r="A298" s="2368" t="n"/>
      <c r="B298" s="11602" t="n"/>
      <c r="C298" s="2369" t="n">
        <v>2</v>
      </c>
      <c r="D298" s="7772">
        <f>"Enter the total of the following credit(s)/adjustment(s) if you are taking the credit(s)/adjustment(s) on"</f>
        <v/>
      </c>
      <c r="E298" s="11602" t="n"/>
      <c r="F298" s="11602" t="n"/>
      <c r="G298" s="11602" t="n"/>
      <c r="H298" s="11602" t="n"/>
      <c r="I298" s="11602" t="n"/>
      <c r="J298" s="11602" t="n"/>
      <c r="K298" s="11602" t="n"/>
      <c r="L298" s="11602" t="n"/>
      <c r="M298" s="11602" t="n"/>
      <c r="N298" s="11602" t="n"/>
      <c r="O298" s="11602" t="n"/>
      <c r="P298" s="11602" t="n"/>
      <c r="Q298" s="11602" t="n"/>
      <c r="R298" s="11602" t="n"/>
      <c r="S298" s="11602" t="n"/>
      <c r="T298" s="11602" t="n"/>
      <c r="U298" s="11602" t="n"/>
      <c r="V298" s="11602" t="n"/>
      <c r="W298" s="11602" t="n"/>
      <c r="X298" s="11602" t="n"/>
      <c r="Y298" s="11602" t="n"/>
      <c r="Z298" s="11602" t="n"/>
      <c r="AA298" s="11602" t="n"/>
      <c r="AB298" s="2383" t="n"/>
      <c r="AC298" s="2383" t="n"/>
      <c r="AD298" s="2383" t="n"/>
      <c r="AE298" s="2383" t="n"/>
      <c r="AF298" s="2383" t="n"/>
      <c r="AG298" s="2383" t="n"/>
      <c r="AH298" s="2383" t="n"/>
      <c r="AI298" s="2383" t="n"/>
      <c r="AJ298" s="11602" t="n"/>
      <c r="AK298" s="2368" t="n"/>
      <c r="AL298" s="11602" t="n"/>
      <c r="AM298" s="11602" t="n"/>
    </row>
    <row r="299" ht="12.75" customHeight="1" s="7635">
      <c r="A299" s="2368" t="n"/>
      <c r="B299" s="11602" t="n"/>
      <c r="C299" s="11602" t="n"/>
      <c r="D299" s="7772">
        <f>"your "&amp;TaxYear&amp;" income tax return:"</f>
        <v/>
      </c>
      <c r="E299" s="11602" t="n"/>
      <c r="F299" s="11602" t="n"/>
      <c r="G299" s="11602" t="n"/>
      <c r="H299" s="11602" t="n"/>
      <c r="I299" s="11602" t="n"/>
      <c r="J299" s="11602" t="n"/>
      <c r="K299" s="11602" t="n"/>
      <c r="L299" s="11602" t="n"/>
      <c r="M299" s="11602" t="n"/>
      <c r="N299" s="11602" t="n"/>
      <c r="O299" s="11602" t="n"/>
      <c r="P299" s="11602" t="n"/>
      <c r="Q299" s="11602" t="n"/>
      <c r="R299" s="11602" t="n"/>
      <c r="S299" s="11602" t="n"/>
      <c r="T299" s="11602" t="n"/>
      <c r="U299" s="11602" t="n"/>
      <c r="V299" s="11602" t="n"/>
      <c r="W299" s="11602" t="n"/>
      <c r="X299" s="11602" t="n"/>
      <c r="Y299" s="11602" t="n"/>
      <c r="Z299" s="11602" t="n"/>
      <c r="AA299" s="11602" t="n"/>
      <c r="AB299" s="11602" t="n"/>
      <c r="AC299" s="11602" t="n"/>
      <c r="AD299" s="11602" t="n"/>
      <c r="AE299" s="11602" t="n"/>
      <c r="AF299" s="11602" t="n"/>
      <c r="AG299" s="11602" t="n"/>
      <c r="AH299" s="11602" t="n"/>
      <c r="AI299" s="11602" t="n"/>
      <c r="AJ299" s="11602" t="n"/>
      <c r="AK299" s="2368" t="n"/>
      <c r="AL299" s="11602" t="n"/>
      <c r="AM299" s="226" t="n"/>
    </row>
    <row r="300" ht="12.75" customHeight="1" s="7635">
      <c r="A300" s="2368" t="n"/>
      <c r="B300" s="11602" t="n"/>
      <c r="C300" s="11602" t="n"/>
      <c r="D300" s="11602" t="n"/>
      <c r="E300" s="11602" t="n"/>
      <c r="F300" s="11602" t="n"/>
      <c r="G300" s="11602" t="n"/>
      <c r="H300" s="11602" t="n"/>
      <c r="I300" s="11602" t="n"/>
      <c r="J300" s="11602" t="n"/>
      <c r="K300" s="11602" t="n"/>
      <c r="L300" s="11602" t="n"/>
      <c r="M300" s="11602" t="n"/>
      <c r="N300" s="11602" t="n"/>
      <c r="O300" s="11602" t="n"/>
      <c r="P300" s="11602" t="n"/>
      <c r="Q300" s="11602" t="n"/>
      <c r="R300" s="11602" t="n"/>
      <c r="S300" s="11602" t="n"/>
      <c r="T300" s="11602" t="n"/>
      <c r="U300" s="11602" t="n"/>
      <c r="V300" s="11602" t="n"/>
      <c r="W300" s="11602" t="n"/>
      <c r="X300" s="11602" t="n"/>
      <c r="Y300" s="11602" t="n"/>
      <c r="Z300" s="11602" t="n"/>
      <c r="AA300" s="11602" t="n"/>
      <c r="AB300" s="11602" t="n"/>
      <c r="AC300" s="11602" t="n"/>
      <c r="AD300" s="11602" t="n"/>
      <c r="AE300" s="11602" t="n"/>
      <c r="AF300" s="11602" t="n"/>
      <c r="AG300" s="11602" t="n"/>
      <c r="AH300" s="11602" t="n"/>
      <c r="AI300" s="11602" t="n"/>
      <c r="AJ300" s="11602" t="n"/>
      <c r="AK300" s="2368" t="n"/>
      <c r="AL300" s="11602" t="n"/>
      <c r="AM300" s="226" t="n"/>
    </row>
    <row r="301" ht="18.75" customHeight="1" s="7635" thickBot="1">
      <c r="A301" s="2368" t="n"/>
      <c r="B301" s="11602" t="n"/>
      <c r="C301" s="2371" t="inlineStr">
        <is>
          <t>+</t>
        </is>
      </c>
      <c r="D301" s="7772" t="inlineStr">
        <is>
          <t>Amount on Schedule 3 (Form 1040), line 6l.</t>
        </is>
      </c>
      <c r="E301" s="11602" t="n"/>
      <c r="F301" s="11602" t="n"/>
      <c r="G301" s="11602" t="n"/>
      <c r="H301" s="11602" t="n"/>
      <c r="I301" s="11602" t="n"/>
      <c r="J301" s="11602" t="n"/>
      <c r="K301" s="11602" t="n"/>
      <c r="L301" s="11602" t="n"/>
      <c r="M301" s="11602" t="n"/>
      <c r="N301" s="11602" t="n"/>
      <c r="O301" s="11602" t="n"/>
      <c r="P301" s="11602" t="n"/>
      <c r="Q301" s="11602" t="n"/>
      <c r="R301" s="11602" t="n"/>
      <c r="S301" s="11602" t="n"/>
      <c r="T301" s="11602" t="n"/>
      <c r="U301" s="11602" t="n"/>
      <c r="V301" s="11602" t="n"/>
      <c r="W301" s="11602" t="n"/>
      <c r="X301" s="11602" t="n"/>
      <c r="Y301" s="11602" t="n"/>
      <c r="Z301" s="11602" t="n"/>
      <c r="AA301" s="11602" t="n"/>
      <c r="AB301" s="11602" t="n"/>
      <c r="AC301" s="11602" t="n"/>
      <c r="AD301" s="11602" t="n"/>
      <c r="AE301" s="11602" t="n"/>
      <c r="AF301" s="11602" t="n"/>
      <c r="AG301" s="11602" t="n"/>
      <c r="AH301" s="11602" t="n"/>
      <c r="AI301" s="11602" t="n"/>
      <c r="AJ301" s="11602" t="n"/>
      <c r="AK301" s="2368" t="n"/>
      <c r="AL301" s="11602" t="n"/>
      <c r="AM301" s="226" t="n"/>
    </row>
    <row r="302" ht="18.75" customHeight="1" s="7635" thickBot="1">
      <c r="A302" s="2368" t="n"/>
      <c r="B302" s="11602" t="n"/>
      <c r="C302" s="2371" t="n"/>
      <c r="D302" s="7772" t="inlineStr">
        <is>
          <t>(Amount on Form 8978, Partner's Additional Reporting Year Tax, line 14.)</t>
        </is>
      </c>
      <c r="E302" s="11602" t="n"/>
      <c r="F302" s="11602" t="n"/>
      <c r="G302" s="11602" t="n"/>
      <c r="H302" s="11602" t="n"/>
      <c r="I302" s="11602" t="n"/>
      <c r="J302" s="11602" t="n"/>
      <c r="K302" s="11602" t="n"/>
      <c r="L302" s="11602" t="n"/>
      <c r="M302" s="11602" t="n"/>
      <c r="N302" s="11602" t="n"/>
      <c r="O302" s="11602" t="n"/>
      <c r="P302" s="11602" t="n"/>
      <c r="Q302" s="11602" t="n"/>
      <c r="R302" s="11602" t="n"/>
      <c r="S302" s="11602" t="n"/>
      <c r="T302" s="11602" t="n"/>
      <c r="U302" s="11602" t="n"/>
      <c r="V302" s="11602" t="n"/>
      <c r="W302" s="11602" t="n"/>
      <c r="X302" s="11602" t="n"/>
      <c r="Y302" s="11602" t="n"/>
      <c r="Z302" s="11602" t="n"/>
      <c r="AA302" s="11602" t="n"/>
      <c r="AB302" s="11602" t="n"/>
      <c r="AC302" s="11602" t="n"/>
      <c r="AD302" s="11602" t="n"/>
      <c r="AE302" s="10254">
        <f>IF(AM302&lt;&gt;"",ROUND(AM302,0),IF(OR(F8978_Credit="",F8978_Credit=0),"",F8978_Credit))</f>
        <v/>
      </c>
      <c r="AF302" s="7637" t="n"/>
      <c r="AG302" s="7637" t="n"/>
      <c r="AH302" s="7637" t="n"/>
      <c r="AI302" s="7637" t="n"/>
      <c r="AJ302" s="11602" t="n"/>
      <c r="AK302" s="2368" t="n"/>
      <c r="AL302" s="11602" t="n"/>
      <c r="AM302" s="2361" t="n"/>
    </row>
    <row r="303" s="7635" thickBot="1">
      <c r="A303" s="2368" t="n"/>
      <c r="B303" s="11602" t="n"/>
      <c r="C303" s="11602" t="n"/>
      <c r="D303" s="7772" t="n"/>
      <c r="E303" s="11602" t="n"/>
      <c r="F303" s="11602" t="n"/>
      <c r="G303" s="11602" t="n"/>
      <c r="H303" s="11602" t="n"/>
      <c r="I303" s="11602" t="n"/>
      <c r="J303" s="11602" t="n"/>
      <c r="K303" s="11602" t="n"/>
      <c r="L303" s="11602" t="n"/>
      <c r="M303" s="11602" t="n"/>
      <c r="N303" s="11602" t="n"/>
      <c r="O303" s="11602" t="n"/>
      <c r="P303" s="11602" t="n"/>
      <c r="Q303" s="11602" t="n"/>
      <c r="R303" s="11602" t="n"/>
      <c r="S303" s="11602" t="n"/>
      <c r="T303" s="11602" t="n"/>
      <c r="U303" s="11602" t="n"/>
      <c r="V303" s="11602" t="n"/>
      <c r="W303" s="11602" t="n"/>
      <c r="X303" s="11602" t="n"/>
      <c r="Y303" s="11602" t="n"/>
      <c r="Z303" s="11602" t="n"/>
      <c r="AA303" s="11602" t="n"/>
      <c r="AB303" s="11602" t="n"/>
      <c r="AC303" s="11602" t="n"/>
      <c r="AD303" s="11602" t="n"/>
      <c r="AE303" s="2373" t="n"/>
      <c r="AF303" s="2373" t="n"/>
      <c r="AG303" s="2373" t="n"/>
      <c r="AH303" s="2373" t="n"/>
      <c r="AI303" s="2373" t="n"/>
      <c r="AJ303" s="11602" t="n"/>
      <c r="AK303" s="2368" t="n"/>
      <c r="AL303" s="11602" t="n"/>
      <c r="AM303" s="11602" t="n"/>
    </row>
    <row r="304" ht="18.75" customHeight="1" s="7635" thickBot="1">
      <c r="A304" s="2368" t="n"/>
      <c r="B304" s="11602" t="n"/>
      <c r="C304" s="2371" t="inlineStr">
        <is>
          <t>+</t>
        </is>
      </c>
      <c r="D304" s="7772" t="inlineStr">
        <is>
          <t>Foreign Tax Credit, Schedule 3 (Form 1040), line 1</t>
        </is>
      </c>
      <c r="E304" s="11602" t="n"/>
      <c r="F304" s="11602" t="n"/>
      <c r="G304" s="11602" t="n"/>
      <c r="H304" s="11602" t="n"/>
      <c r="I304" s="11602" t="n"/>
      <c r="J304" s="11602" t="n"/>
      <c r="K304" s="11602" t="n"/>
      <c r="L304" s="11602" t="n"/>
      <c r="M304" s="11602" t="n"/>
      <c r="N304" s="11602" t="n"/>
      <c r="O304" s="11602" t="n"/>
      <c r="P304" s="11602" t="n"/>
      <c r="Q304" s="11602" t="n"/>
      <c r="R304" s="11602" t="n"/>
      <c r="S304" s="11602" t="n"/>
      <c r="T304" s="11602" t="n"/>
      <c r="U304" s="11602" t="n"/>
      <c r="V304" s="11602" t="n"/>
      <c r="W304" s="11602" t="n"/>
      <c r="X304" s="11602" t="n"/>
      <c r="Y304" s="11602" t="n"/>
      <c r="Z304" s="11602" t="n"/>
      <c r="AA304" s="11602" t="n"/>
      <c r="AB304" s="11602" t="n"/>
      <c r="AC304" s="11602" t="n"/>
      <c r="AD304" s="11602" t="n"/>
      <c r="AE304" s="10254">
        <f>IF(AM304&lt;&gt;"",ROUND(AM304,0),IF(OR(Foreign_Tax_Credit="",Foreign_Tax_Credit=0),"",Foreign_Tax_Credit))</f>
        <v/>
      </c>
      <c r="AF304" s="7637" t="n"/>
      <c r="AG304" s="7637" t="n"/>
      <c r="AH304" s="7637" t="n"/>
      <c r="AI304" s="7637" t="n"/>
      <c r="AJ304" s="11602" t="n"/>
      <c r="AK304" s="2368" t="n"/>
      <c r="AL304" s="11602" t="n"/>
      <c r="AM304" s="2361" t="n"/>
    </row>
    <row r="305" s="7635" thickBot="1">
      <c r="A305" s="2368" t="n"/>
      <c r="B305" s="11602" t="n"/>
      <c r="C305" s="11602" t="n"/>
      <c r="D305" s="7772" t="n"/>
      <c r="E305" s="11602" t="n"/>
      <c r="F305" s="11602" t="n"/>
      <c r="G305" s="11602" t="n"/>
      <c r="H305" s="11602" t="n"/>
      <c r="I305" s="11602" t="n"/>
      <c r="J305" s="11602" t="n"/>
      <c r="K305" s="11602" t="n"/>
      <c r="L305" s="11602" t="n"/>
      <c r="M305" s="11602" t="n"/>
      <c r="N305" s="11602" t="n"/>
      <c r="O305" s="11602" t="n"/>
      <c r="P305" s="11602" t="n"/>
      <c r="Q305" s="11602" t="n"/>
      <c r="R305" s="11602" t="n"/>
      <c r="S305" s="11602" t="n"/>
      <c r="T305" s="11602" t="n"/>
      <c r="U305" s="11602" t="n"/>
      <c r="V305" s="11602" t="n"/>
      <c r="W305" s="11602" t="n"/>
      <c r="X305" s="11602" t="n"/>
      <c r="Y305" s="11602" t="n"/>
      <c r="Z305" s="11602" t="n"/>
      <c r="AA305" s="11602" t="n"/>
      <c r="AB305" s="11602" t="n"/>
      <c r="AC305" s="11602" t="n"/>
      <c r="AD305" s="11602" t="n"/>
      <c r="AE305" s="2373" t="n"/>
      <c r="AF305" s="2373" t="n"/>
      <c r="AG305" s="2373" t="n"/>
      <c r="AH305" s="2373" t="n"/>
      <c r="AI305" s="2373" t="n"/>
      <c r="AJ305" s="11602" t="n"/>
      <c r="AK305" s="2368" t="n"/>
      <c r="AL305" s="11602" t="n"/>
      <c r="AM305" s="11602" t="n"/>
    </row>
    <row r="306" ht="18.75" customHeight="1" s="7635" thickBot="1">
      <c r="A306" s="2368" t="n"/>
      <c r="B306" s="11602" t="n"/>
      <c r="C306" s="2371" t="inlineStr">
        <is>
          <t>+</t>
        </is>
      </c>
      <c r="D306" s="7772" t="inlineStr">
        <is>
          <t>Credit for Child and Dependent Care Expenses, Schedule 3 (Form 1040), line 2  (Care Expenses)</t>
        </is>
      </c>
      <c r="E306" s="11602" t="n"/>
      <c r="F306" s="11602" t="n"/>
      <c r="G306" s="11602" t="n"/>
      <c r="H306" s="11602" t="n"/>
      <c r="I306" s="11602" t="n"/>
      <c r="J306" s="11602" t="n"/>
      <c r="K306" s="11602" t="n"/>
      <c r="L306" s="11602" t="n"/>
      <c r="M306" s="11602" t="n"/>
      <c r="N306" s="11602" t="n"/>
      <c r="O306" s="11602" t="n"/>
      <c r="P306" s="11602" t="n"/>
      <c r="Q306" s="11602" t="n"/>
      <c r="R306" s="11602" t="n"/>
      <c r="S306" s="11602" t="n"/>
      <c r="T306" s="11602" t="n"/>
      <c r="U306" s="11602" t="n"/>
      <c r="V306" s="11602" t="n"/>
      <c r="W306" s="11602" t="n"/>
      <c r="X306" s="11602" t="n"/>
      <c r="Y306" s="11602" t="n"/>
      <c r="Z306" s="11602" t="n"/>
      <c r="AA306" s="11602" t="n"/>
      <c r="AB306" s="11602" t="n"/>
      <c r="AC306" s="11602" t="n"/>
      <c r="AD306" s="11602" t="n"/>
      <c r="AE306" s="10254">
        <f>IF(AM306&lt;&gt;"",ROUND(AM306,0),IF(OR(Care_Expenses="",Care_Expenses=0),"",Care_Expenses))</f>
        <v/>
      </c>
      <c r="AF306" s="7637" t="n"/>
      <c r="AG306" s="7637" t="n"/>
      <c r="AH306" s="7637" t="n"/>
      <c r="AI306" s="7637" t="n"/>
      <c r="AJ306" s="11602" t="n"/>
      <c r="AK306" s="2368" t="n"/>
      <c r="AL306" s="11602" t="n"/>
      <c r="AM306" s="2361" t="n"/>
    </row>
    <row r="307" ht="16.5" customHeight="1" s="7635" thickBot="1">
      <c r="A307" s="2368" t="n"/>
      <c r="B307" s="11602" t="n"/>
      <c r="C307" s="11602" t="n"/>
      <c r="D307" s="7772" t="n"/>
      <c r="E307" s="11602" t="n"/>
      <c r="F307" s="11602" t="n"/>
      <c r="G307" s="11602" t="n"/>
      <c r="H307" s="11602" t="n"/>
      <c r="I307" s="11602" t="n"/>
      <c r="J307" s="11602" t="n"/>
      <c r="K307" s="11602" t="n"/>
      <c r="L307" s="11602" t="n"/>
      <c r="M307" s="11602" t="n"/>
      <c r="N307" s="11602" t="n"/>
      <c r="O307" s="11602" t="n"/>
      <c r="P307" s="11602" t="n"/>
      <c r="Q307" s="11602" t="n"/>
      <c r="R307" s="11602" t="n"/>
      <c r="S307" s="11602" t="n"/>
      <c r="T307" s="11602" t="n"/>
      <c r="U307" s="11602" t="n"/>
      <c r="V307" s="11602" t="n"/>
      <c r="W307" s="11602" t="n"/>
      <c r="X307" s="11602" t="n"/>
      <c r="Y307" s="11602" t="n"/>
      <c r="Z307" s="11602" t="n"/>
      <c r="AA307" s="11602" t="n"/>
      <c r="AB307" s="11602" t="n"/>
      <c r="AC307" s="11602" t="n"/>
      <c r="AD307" s="11602" t="n"/>
      <c r="AE307" s="2373" t="n"/>
      <c r="AF307" s="2373" t="n"/>
      <c r="AG307" s="2373" t="n"/>
      <c r="AH307" s="2373" t="n"/>
      <c r="AI307" s="2373" t="n"/>
      <c r="AJ307" s="11602" t="n"/>
      <c r="AK307" s="2368" t="n"/>
      <c r="AL307" s="11602" t="n"/>
      <c r="AM307" s="11602" t="n"/>
    </row>
    <row r="308" ht="18.75" customHeight="1" s="7635" thickBot="1">
      <c r="A308" s="2368" t="n"/>
      <c r="B308" s="11602" t="n"/>
      <c r="C308" s="2371" t="inlineStr">
        <is>
          <t>+</t>
        </is>
      </c>
      <c r="D308" s="7772" t="inlineStr">
        <is>
          <t>Credit for the Elderly or the Disabled, Schedule 3 (Form 1040), line 6d</t>
        </is>
      </c>
      <c r="E308" s="11602" t="n"/>
      <c r="F308" s="11602" t="n"/>
      <c r="G308" s="11602" t="n"/>
      <c r="H308" s="11602" t="n"/>
      <c r="I308" s="11602" t="n"/>
      <c r="J308" s="11602" t="n"/>
      <c r="K308" s="11602" t="n"/>
      <c r="L308" s="11602" t="n"/>
      <c r="M308" s="11602" t="n"/>
      <c r="N308" s="11602" t="n"/>
      <c r="O308" s="11602" t="n"/>
      <c r="P308" s="11602" t="n"/>
      <c r="Q308" s="11602" t="n"/>
      <c r="R308" s="11602" t="n"/>
      <c r="S308" s="11602" t="n"/>
      <c r="T308" s="11602" t="n"/>
      <c r="U308" s="11602" t="n"/>
      <c r="V308" s="11602" t="n"/>
      <c r="W308" s="11602" t="n"/>
      <c r="X308" s="11602" t="n"/>
      <c r="Y308" s="11602" t="n"/>
      <c r="Z308" s="11602" t="n"/>
      <c r="AA308" s="11602" t="n"/>
      <c r="AB308" s="11602" t="n"/>
      <c r="AC308" s="11602" t="n"/>
      <c r="AD308" s="11602" t="n"/>
      <c r="AE308" s="10254">
        <f>IF(AM308&lt;&gt;"",ROUND(AM308,0),IF(OR(Sch3_Line6d="",Sch3_Line6d=0),"",Sch3_Line6d))</f>
        <v/>
      </c>
      <c r="AF308" s="7637" t="n"/>
      <c r="AG308" s="7637" t="n"/>
      <c r="AH308" s="7637" t="n"/>
      <c r="AI308" s="7637" t="n"/>
      <c r="AJ308" s="11602" t="n"/>
      <c r="AK308" s="2368" t="n"/>
      <c r="AL308" s="11602" t="n"/>
      <c r="AM308" s="2361" t="n"/>
    </row>
    <row r="309" ht="16.5" customHeight="1" s="7635" thickBot="1">
      <c r="A309" s="2368" t="n"/>
      <c r="B309" s="11602" t="n"/>
      <c r="C309" s="11602" t="n"/>
      <c r="D309" s="7772" t="n"/>
      <c r="E309" s="11602" t="n"/>
      <c r="F309" s="11602" t="n"/>
      <c r="G309" s="11602" t="n"/>
      <c r="H309" s="11602" t="n"/>
      <c r="I309" s="11602" t="n"/>
      <c r="J309" s="11602" t="n"/>
      <c r="K309" s="11602" t="n"/>
      <c r="L309" s="11602" t="n"/>
      <c r="M309" s="11602" t="n"/>
      <c r="N309" s="11602" t="n"/>
      <c r="O309" s="11602" t="n"/>
      <c r="P309" s="11602" t="n"/>
      <c r="Q309" s="11602" t="n"/>
      <c r="R309" s="11602" t="n"/>
      <c r="S309" s="11602" t="n"/>
      <c r="T309" s="11602" t="n"/>
      <c r="U309" s="11602" t="n"/>
      <c r="V309" s="11602" t="n"/>
      <c r="W309" s="11602" t="n"/>
      <c r="X309" s="11602" t="n"/>
      <c r="Y309" s="11602" t="n"/>
      <c r="Z309" s="11602" t="n"/>
      <c r="AA309" s="11602" t="n"/>
      <c r="AB309" s="11602" t="n"/>
      <c r="AC309" s="11602" t="n"/>
      <c r="AD309" s="11602" t="n"/>
      <c r="AE309" s="2373" t="n"/>
      <c r="AF309" s="2373" t="n"/>
      <c r="AG309" s="2373" t="n"/>
      <c r="AH309" s="2373" t="n"/>
      <c r="AI309" s="2373" t="n"/>
      <c r="AJ309" s="11602" t="n"/>
      <c r="AK309" s="2368" t="n"/>
      <c r="AL309" s="11602" t="n"/>
      <c r="AM309" s="11602" t="n"/>
    </row>
    <row r="310" ht="18.75" customHeight="1" s="7635" thickBot="1">
      <c r="A310" s="2368" t="n"/>
      <c r="B310" s="11602" t="n"/>
      <c r="C310" s="2371" t="inlineStr">
        <is>
          <t>+</t>
        </is>
      </c>
      <c r="D310" s="7772" t="inlineStr">
        <is>
          <t>Nonrefundable Education Credits, Schedule 3 (Form 1040), line 3</t>
        </is>
      </c>
      <c r="E310" s="11602" t="n"/>
      <c r="F310" s="11602" t="n"/>
      <c r="G310" s="11602" t="n"/>
      <c r="H310" s="11602" t="n"/>
      <c r="I310" s="11602" t="n"/>
      <c r="J310" s="11602" t="n"/>
      <c r="K310" s="11602" t="n"/>
      <c r="L310" s="11602" t="n"/>
      <c r="M310" s="11602" t="n"/>
      <c r="N310" s="11602" t="n"/>
      <c r="O310" s="11602" t="n"/>
      <c r="P310" s="11602" t="n"/>
      <c r="Q310" s="11602" t="n"/>
      <c r="R310" s="11602" t="n"/>
      <c r="S310" s="11602" t="n"/>
      <c r="T310" s="11602" t="n"/>
      <c r="U310" s="11602" t="n"/>
      <c r="V310" s="11602" t="n"/>
      <c r="W310" s="11602" t="n"/>
      <c r="X310" s="11602" t="n"/>
      <c r="Y310" s="11602" t="n"/>
      <c r="Z310" s="11602" t="n"/>
      <c r="AA310" s="11602" t="n"/>
      <c r="AB310" s="11602" t="n"/>
      <c r="AC310" s="11602" t="n"/>
      <c r="AD310" s="11602" t="n"/>
      <c r="AE310" s="10254">
        <f>IF(AM310&lt;&gt;"",ROUND(AM310,0),IF(OR(Education="",Education=0),"",Education))</f>
        <v/>
      </c>
      <c r="AF310" s="7637" t="n"/>
      <c r="AG310" s="7637" t="n"/>
      <c r="AH310" s="7637" t="n"/>
      <c r="AI310" s="7637" t="n"/>
      <c r="AJ310" s="11602" t="n"/>
      <c r="AK310" s="2368" t="n"/>
      <c r="AL310" s="11602" t="n"/>
      <c r="AM310" s="2361" t="n"/>
    </row>
    <row r="311" ht="16.5" customHeight="1" s="7635" thickBot="1">
      <c r="A311" s="2368" t="n"/>
      <c r="B311" s="11602" t="n"/>
      <c r="C311" s="11602" t="n"/>
      <c r="D311" s="7772" t="n"/>
      <c r="E311" s="11602" t="n"/>
      <c r="F311" s="11602" t="n"/>
      <c r="G311" s="11602" t="n"/>
      <c r="H311" s="11602" t="n"/>
      <c r="I311" s="11602" t="n"/>
      <c r="J311" s="11602" t="n"/>
      <c r="K311" s="11602" t="n"/>
      <c r="L311" s="11602" t="n"/>
      <c r="M311" s="11602" t="n"/>
      <c r="N311" s="11602" t="n"/>
      <c r="O311" s="11602" t="n"/>
      <c r="P311" s="11602" t="n"/>
      <c r="Q311" s="11602" t="n"/>
      <c r="R311" s="11602" t="n"/>
      <c r="S311" s="11602" t="n"/>
      <c r="T311" s="11602" t="n"/>
      <c r="U311" s="11602" t="n"/>
      <c r="V311" s="11602" t="n"/>
      <c r="W311" s="11602" t="n"/>
      <c r="X311" s="11602" t="n"/>
      <c r="Y311" s="11602" t="n"/>
      <c r="Z311" s="11602" t="n"/>
      <c r="AA311" s="11602" t="n"/>
      <c r="AB311" s="11602" t="n"/>
      <c r="AC311" s="11602" t="n"/>
      <c r="AD311" s="11602" t="n"/>
      <c r="AE311" s="2373" t="n"/>
      <c r="AF311" s="2373" t="n"/>
      <c r="AG311" s="2373" t="n"/>
      <c r="AH311" s="2373" t="n"/>
      <c r="AI311" s="2373" t="n"/>
      <c r="AJ311" s="11602" t="n"/>
      <c r="AK311" s="2368" t="n"/>
      <c r="AL311" s="11602" t="n"/>
      <c r="AM311" s="11602" t="n"/>
    </row>
    <row r="312" ht="18.75" customHeight="1" s="7635" thickBot="1">
      <c r="A312" s="2368" t="n"/>
      <c r="B312" s="11602" t="n"/>
      <c r="C312" s="2371" t="inlineStr">
        <is>
          <t>+</t>
        </is>
      </c>
      <c r="D312" s="7772" t="inlineStr">
        <is>
          <t>Retirement Savings Contributions Credit, Schedule 3 (Form 1040), line 4</t>
        </is>
      </c>
      <c r="E312" s="11602" t="n"/>
      <c r="F312" s="11602" t="n"/>
      <c r="G312" s="11602" t="n"/>
      <c r="H312" s="11602" t="n"/>
      <c r="I312" s="11602" t="n"/>
      <c r="J312" s="11602" t="n"/>
      <c r="K312" s="11602" t="n"/>
      <c r="L312" s="11602" t="n"/>
      <c r="M312" s="11602" t="n"/>
      <c r="N312" s="11602" t="n"/>
      <c r="O312" s="11602" t="n"/>
      <c r="P312" s="11602" t="n"/>
      <c r="Q312" s="11602" t="n"/>
      <c r="R312" s="11602" t="n"/>
      <c r="S312" s="11602" t="n"/>
      <c r="T312" s="11602" t="n"/>
      <c r="U312" s="11602" t="n"/>
      <c r="V312" s="11602" t="n"/>
      <c r="W312" s="11602" t="n"/>
      <c r="X312" s="11602" t="n"/>
      <c r="Y312" s="11602" t="n"/>
      <c r="Z312" s="11602" t="n"/>
      <c r="AA312" s="11602" t="n"/>
      <c r="AB312" s="11602" t="n"/>
      <c r="AC312" s="11602" t="n"/>
      <c r="AD312" s="11602" t="n"/>
      <c r="AE312" s="10254">
        <f>IF(AM312&lt;&gt;"",ROUND(AM312,0),IF(OR(Retirement_Savings="",Retirement_Savings=0),"",Retirement_Savings))</f>
        <v/>
      </c>
      <c r="AF312" s="7637" t="n"/>
      <c r="AG312" s="7637" t="n"/>
      <c r="AH312" s="7637" t="n"/>
      <c r="AI312" s="7637" t="n"/>
      <c r="AJ312" s="11602" t="n"/>
      <c r="AK312" s="2368" t="n"/>
      <c r="AL312" s="11602" t="n"/>
      <c r="AM312" s="2361" t="n"/>
    </row>
    <row r="313">
      <c r="A313" s="2368" t="n"/>
      <c r="B313" s="11602" t="n"/>
      <c r="C313" s="11602" t="n"/>
      <c r="D313" s="7772" t="n"/>
      <c r="E313" s="11602" t="n"/>
      <c r="F313" s="11602" t="n"/>
      <c r="G313" s="11602" t="n"/>
      <c r="H313" s="11602" t="n"/>
      <c r="I313" s="11602" t="n"/>
      <c r="J313" s="11602" t="n"/>
      <c r="K313" s="11602" t="n"/>
      <c r="L313" s="11602" t="n"/>
      <c r="M313" s="11602" t="n"/>
      <c r="N313" s="11602" t="n"/>
      <c r="O313" s="11602" t="n"/>
      <c r="P313" s="11602" t="n"/>
      <c r="Q313" s="11602" t="n"/>
      <c r="R313" s="11602" t="n"/>
      <c r="S313" s="11602" t="n"/>
      <c r="T313" s="11602" t="n"/>
      <c r="U313" s="11602" t="n"/>
      <c r="V313" s="11602" t="n"/>
      <c r="W313" s="11602" t="n"/>
      <c r="X313" s="11602" t="n"/>
      <c r="Y313" s="11602" t="n"/>
      <c r="Z313" s="11602" t="n"/>
      <c r="AA313" s="11602" t="n"/>
      <c r="AB313" s="11602" t="n"/>
      <c r="AC313" s="11602" t="n"/>
      <c r="AD313" s="11602" t="n"/>
      <c r="AE313" s="2373" t="n"/>
      <c r="AF313" s="2373" t="n"/>
      <c r="AG313" s="2373" t="n"/>
      <c r="AH313" s="2373" t="n"/>
      <c r="AI313" s="2373" t="n"/>
      <c r="AJ313" s="11602" t="n"/>
      <c r="AK313" s="2368" t="n"/>
      <c r="AL313" s="11602" t="n"/>
      <c r="AM313" s="11602" t="n"/>
    </row>
    <row r="314">
      <c r="A314" s="2368" t="n"/>
      <c r="B314" s="11602" t="n"/>
      <c r="C314" s="2372" t="inlineStr">
        <is>
          <t>Note.</t>
        </is>
      </c>
      <c r="D314" s="11602" t="n"/>
      <c r="E314" s="2320" t="inlineStr">
        <is>
          <t>Enter the total of the preceding credit(s)/adjustment(s), only if allowed and taken on</t>
        </is>
      </c>
      <c r="F314" s="11602" t="n"/>
      <c r="G314" s="11602" t="n"/>
      <c r="H314" s="11602" t="n"/>
      <c r="I314" s="11602" t="n"/>
      <c r="J314" s="11602" t="n"/>
      <c r="K314" s="11602" t="n"/>
      <c r="L314" s="11602" t="n"/>
      <c r="M314" s="11602" t="n"/>
      <c r="N314" s="11602" t="n"/>
      <c r="O314" s="11602" t="n"/>
      <c r="P314" s="11602" t="n"/>
      <c r="Q314" s="11602" t="n"/>
      <c r="R314" s="11602" t="n"/>
      <c r="S314" s="11602" t="n"/>
      <c r="T314" s="11602" t="n"/>
      <c r="U314" s="11602" t="n"/>
      <c r="V314" s="11602" t="n"/>
      <c r="W314" s="11602" t="n"/>
      <c r="X314" s="11602" t="n"/>
      <c r="Y314" s="11602" t="n"/>
      <c r="Z314" s="11602" t="n"/>
      <c r="AA314" s="11602" t="n"/>
      <c r="AB314" s="11602" t="n"/>
      <c r="AC314" s="11602" t="n"/>
      <c r="AD314" s="11602" t="n"/>
      <c r="AE314" s="11602" t="n"/>
      <c r="AF314" s="11602" t="n"/>
      <c r="AG314" s="11602" t="n"/>
      <c r="AH314" s="11602" t="n"/>
      <c r="AI314" s="11602" t="n"/>
      <c r="AJ314" s="11602" t="n"/>
      <c r="AK314" s="2368" t="n"/>
      <c r="AL314" s="11602" t="n"/>
      <c r="AM314" s="11602" t="n"/>
    </row>
    <row r="315">
      <c r="A315" s="2368" t="n"/>
      <c r="B315" s="11602" t="n"/>
      <c r="C315" s="344" t="n"/>
      <c r="D315" s="11602" t="n"/>
      <c r="E315" s="2320">
        <f>"your "&amp;TaxYear&amp;" income tax return."</f>
        <v/>
      </c>
      <c r="F315" s="11602" t="n"/>
      <c r="G315" s="11602" t="n"/>
      <c r="H315" s="11602" t="n"/>
      <c r="I315" s="11602" t="n"/>
      <c r="J315" s="11602" t="n"/>
      <c r="K315" s="11602" t="n"/>
      <c r="L315" s="11602" t="n"/>
      <c r="M315" s="11602" t="n"/>
      <c r="N315" s="11602" t="n"/>
      <c r="O315" s="11602" t="n"/>
      <c r="P315" s="11602" t="n"/>
      <c r="Q315" s="11602" t="n"/>
      <c r="R315" s="11602" t="n"/>
      <c r="S315" s="11602" t="n"/>
      <c r="T315" s="11602" t="n"/>
      <c r="U315" s="11602" t="n"/>
      <c r="V315" s="11602" t="n"/>
      <c r="W315" s="11602" t="n"/>
      <c r="X315" s="11602" t="n"/>
      <c r="Y315" s="11602" t="n"/>
      <c r="Z315" s="11602" t="n"/>
      <c r="AA315" s="11602" t="n"/>
      <c r="AB315" s="11602" t="n"/>
      <c r="AC315" s="11602" t="n"/>
      <c r="AD315" s="11602" t="n"/>
      <c r="AE315" s="11602" t="n"/>
      <c r="AF315" s="11602" t="n"/>
      <c r="AG315" s="11602" t="n"/>
      <c r="AH315" s="11602" t="n"/>
      <c r="AI315" s="11602" t="n"/>
      <c r="AJ315" s="11602" t="n"/>
      <c r="AK315" s="2368" t="n"/>
      <c r="AL315" s="11602" t="n"/>
      <c r="AM315" s="11602" t="n"/>
    </row>
    <row r="316">
      <c r="A316" s="2368" t="n"/>
      <c r="B316" s="11602" t="n"/>
      <c r="C316" s="11602" t="n"/>
      <c r="D316" s="11602" t="n"/>
      <c r="E316" s="11602" t="n"/>
      <c r="F316" s="11602" t="n"/>
      <c r="G316" s="11602" t="n"/>
      <c r="H316" s="11602" t="n"/>
      <c r="I316" s="11602" t="n"/>
      <c r="J316" s="11602" t="n"/>
      <c r="K316" s="11602" t="n"/>
      <c r="L316" s="11602" t="n"/>
      <c r="M316" s="11602" t="n"/>
      <c r="N316" s="11602" t="n"/>
      <c r="O316" s="11602" t="n"/>
      <c r="P316" s="11602" t="n"/>
      <c r="Q316" s="11602" t="n"/>
      <c r="R316" s="11602" t="n"/>
      <c r="S316" s="11602" t="n"/>
      <c r="T316" s="11602" t="n"/>
      <c r="U316" s="11602" t="n"/>
      <c r="V316" s="11602" t="n"/>
      <c r="W316" s="11602" t="n"/>
      <c r="X316" s="11602" t="n"/>
      <c r="Y316" s="11602" t="n"/>
      <c r="Z316" s="11602" t="n"/>
      <c r="AA316" s="11602" t="n"/>
      <c r="AB316" s="11602" t="n"/>
      <c r="AC316" s="11602" t="n"/>
      <c r="AD316" s="11602" t="n"/>
      <c r="AE316" s="11602" t="n"/>
      <c r="AF316" s="11602" t="n"/>
      <c r="AG316" s="11602" t="n"/>
      <c r="AH316" s="11602" t="n"/>
      <c r="AI316" s="11602" t="n"/>
      <c r="AJ316" s="11602" t="n"/>
      <c r="AK316" s="2368" t="n"/>
      <c r="AL316" s="11602" t="n"/>
      <c r="AM316" s="226" t="n"/>
    </row>
    <row r="317" ht="16.5" customHeight="1" s="7635" thickBot="1">
      <c r="A317" s="2368" t="n"/>
      <c r="B317" s="11602" t="n"/>
      <c r="C317" s="11602" t="n"/>
      <c r="D317" s="11602" t="n"/>
      <c r="E317" s="2320" t="inlineStr">
        <is>
          <t>Not all credits/adjustments are available for all years nor for all filers.</t>
        </is>
      </c>
      <c r="F317" s="11602" t="n"/>
      <c r="G317" s="11602" t="n"/>
      <c r="H317" s="11602" t="n"/>
      <c r="I317" s="11602" t="n"/>
      <c r="J317" s="11602" t="n"/>
      <c r="K317" s="11602" t="n"/>
      <c r="L317" s="11602" t="n"/>
      <c r="M317" s="11602" t="n"/>
      <c r="N317" s="11602" t="n"/>
      <c r="O317" s="11602" t="n"/>
      <c r="P317" s="11602" t="n"/>
      <c r="Q317" s="11602" t="n"/>
      <c r="R317" s="11602" t="n"/>
      <c r="S317" s="11602" t="n"/>
      <c r="T317" s="11602" t="n"/>
      <c r="U317" s="11602" t="n"/>
      <c r="V317" s="11602" t="n"/>
      <c r="W317" s="11602" t="n"/>
      <c r="X317" s="11602" t="n"/>
      <c r="Y317" s="11602" t="n"/>
      <c r="Z317" s="11602" t="n"/>
      <c r="AA317" s="11602" t="n"/>
      <c r="AB317" s="11602" t="n"/>
      <c r="AC317" s="11602" t="n"/>
      <c r="AD317" s="11602" t="n"/>
      <c r="AE317" s="11602" t="n"/>
      <c r="AF317" s="11602" t="n"/>
      <c r="AG317" s="11602" t="n"/>
      <c r="AH317" s="11602" t="n"/>
      <c r="AI317" s="11602" t="n"/>
      <c r="AJ317" s="11602" t="n"/>
      <c r="AK317" s="2368" t="n"/>
      <c r="AL317" s="11602" t="n"/>
      <c r="AM317" s="226" t="n"/>
    </row>
    <row r="318" ht="18.75" customHeight="1" s="7635" thickBot="1">
      <c r="A318" s="2368" t="n"/>
      <c r="B318" s="11602" t="n"/>
      <c r="C318" s="11602" t="n"/>
      <c r="D318" s="11602" t="n"/>
      <c r="E318" s="2320">
        <f>"See the instructions for your "&amp;TaxYear&amp;" income tax return."</f>
        <v/>
      </c>
      <c r="F318" s="11602" t="n"/>
      <c r="G318" s="11602" t="n"/>
      <c r="H318" s="11602" t="n"/>
      <c r="I318" s="11602" t="n"/>
      <c r="J318" s="11602" t="n"/>
      <c r="K318" s="11602" t="n"/>
      <c r="L318" s="11602" t="n"/>
      <c r="M318" s="11602" t="n"/>
      <c r="N318" s="11602" t="n"/>
      <c r="O318" s="11602" t="n"/>
      <c r="P318" s="11602" t="n"/>
      <c r="Q318" s="11602" t="n"/>
      <c r="R318" s="11602" t="n"/>
      <c r="S318" s="11602" t="n"/>
      <c r="T318" s="11602" t="n"/>
      <c r="U318" s="11602" t="n"/>
      <c r="V318" s="11602" t="n"/>
      <c r="W318" s="11602" t="n"/>
      <c r="X318" s="11602" t="n"/>
      <c r="Y318" s="11602" t="n"/>
      <c r="Z318" s="11602" t="n"/>
      <c r="AA318" s="11602" t="n"/>
      <c r="AB318" s="10255" t="n">
        <v>2</v>
      </c>
      <c r="AD318" s="11602" t="n"/>
      <c r="AE318" s="10254">
        <f>IF(AM318&lt;&gt;"",ROUND(AM318,0),IF(AO236,"",SUM(AE302,AE304,AE306,AE308,AE310,AE312)))</f>
        <v/>
      </c>
      <c r="AF318" s="7637" t="n"/>
      <c r="AG318" s="7637" t="n"/>
      <c r="AH318" s="7637" t="n"/>
      <c r="AI318" s="7637" t="n"/>
      <c r="AJ318" s="11602" t="n"/>
      <c r="AK318" s="2368" t="n"/>
      <c r="AL318" s="11602" t="n"/>
      <c r="AM318" s="2361" t="n"/>
      <c r="AO318" s="6606">
        <f>AE318=""</f>
        <v/>
      </c>
    </row>
    <row r="319">
      <c r="A319" s="2368" t="n"/>
      <c r="B319" s="11602" t="n"/>
      <c r="C319" s="11602" t="n"/>
      <c r="D319" s="11602" t="n"/>
      <c r="E319" s="11602" t="n"/>
      <c r="F319" s="11602" t="n"/>
      <c r="G319" s="11602" t="n"/>
      <c r="H319" s="11602" t="n"/>
      <c r="I319" s="11602" t="n"/>
      <c r="J319" s="11602" t="n"/>
      <c r="K319" s="11602" t="n"/>
      <c r="L319" s="11602" t="n"/>
      <c r="M319" s="11602" t="n"/>
      <c r="N319" s="11602" t="n"/>
      <c r="O319" s="11602" t="n"/>
      <c r="P319" s="11602" t="n"/>
      <c r="Q319" s="11602" t="n"/>
      <c r="R319" s="11602" t="n"/>
      <c r="S319" s="11602" t="n"/>
      <c r="T319" s="11602" t="n"/>
      <c r="U319" s="11602" t="n"/>
      <c r="V319" s="11602" t="n"/>
      <c r="W319" s="11602" t="n"/>
      <c r="X319" s="11602" t="n"/>
      <c r="Y319" s="11602" t="n"/>
      <c r="Z319" s="11602" t="n"/>
      <c r="AA319" s="11602" t="n"/>
      <c r="AB319" s="11602" t="n"/>
      <c r="AC319" s="11602" t="n"/>
      <c r="AD319" s="11602" t="n"/>
      <c r="AE319" s="11602" t="n"/>
      <c r="AF319" s="11602" t="n"/>
      <c r="AG319" s="11602" t="n"/>
      <c r="AH319" s="11602" t="n"/>
      <c r="AI319" s="11602" t="n"/>
      <c r="AJ319" s="11602" t="n"/>
      <c r="AK319" s="2368" t="n"/>
      <c r="AL319" s="11602" t="n"/>
      <c r="AM319" s="11602" t="n"/>
    </row>
    <row r="320" ht="16.5" customHeight="1" s="7635" thickBot="1">
      <c r="A320" s="2368" t="n"/>
      <c r="B320" s="11602" t="n"/>
      <c r="C320" s="2369" t="n">
        <v>3</v>
      </c>
      <c r="D320" s="7772" t="inlineStr">
        <is>
          <t>Subtract line 2 from line 1. Also enter this amount on Form 5695, line 31.</t>
        </is>
      </c>
      <c r="E320" s="11602" t="n"/>
      <c r="F320" s="11602" t="n"/>
      <c r="G320" s="11602" t="n"/>
      <c r="H320" s="11602" t="n"/>
      <c r="I320" s="11602" t="n"/>
      <c r="J320" s="11602" t="n"/>
      <c r="K320" s="11602" t="n"/>
      <c r="L320" s="11602" t="n"/>
      <c r="M320" s="11602" t="n"/>
      <c r="N320" s="11602" t="n"/>
      <c r="O320" s="11602" t="n"/>
      <c r="P320" s="11602" t="n"/>
      <c r="Q320" s="11602" t="n"/>
      <c r="R320" s="11602" t="n"/>
      <c r="S320" s="11602" t="n"/>
      <c r="T320" s="11602" t="n"/>
      <c r="U320" s="11602" t="n"/>
      <c r="V320" s="11602" t="n"/>
      <c r="W320" s="11602" t="n"/>
      <c r="X320" s="11602" t="n"/>
      <c r="Y320" s="11602" t="n"/>
      <c r="Z320" s="11602" t="n"/>
      <c r="AA320" s="11602" t="n"/>
      <c r="AB320" s="11602" t="n"/>
      <c r="AC320" s="11602" t="n"/>
      <c r="AD320" s="11602" t="n"/>
      <c r="AE320" s="11602" t="n"/>
      <c r="AF320" s="11602" t="n"/>
      <c r="AG320" s="11602" t="n"/>
      <c r="AH320" s="11602" t="n"/>
      <c r="AI320" s="11602" t="n"/>
      <c r="AJ320" s="11602" t="n"/>
      <c r="AK320" s="2368" t="n"/>
      <c r="AL320" s="11602" t="n"/>
      <c r="AM320" s="11602" t="n"/>
    </row>
    <row r="321" ht="18.75" customHeight="1" s="7635" thickBot="1">
      <c r="A321" s="2368" t="n"/>
      <c r="B321" s="11602" t="n"/>
      <c r="C321" s="11602" t="n"/>
      <c r="D321" s="7772" t="inlineStr">
        <is>
          <t>If zero or less, enter -0- on Form 5695, lines 31 and 32</t>
        </is>
      </c>
      <c r="E321" s="11602" t="n"/>
      <c r="F321" s="11602" t="n"/>
      <c r="G321" s="11602" t="n"/>
      <c r="H321" s="11602" t="n"/>
      <c r="I321" s="11602" t="n"/>
      <c r="J321" s="11602" t="n"/>
      <c r="K321" s="11602" t="n"/>
      <c r="L321" s="11602" t="n"/>
      <c r="M321" s="11602" t="n"/>
      <c r="N321" s="11602" t="n"/>
      <c r="O321" s="11602" t="n"/>
      <c r="P321" s="11602" t="n"/>
      <c r="Q321" s="11602" t="n"/>
      <c r="R321" s="11602" t="n"/>
      <c r="S321" s="11602" t="n"/>
      <c r="T321" s="11602" t="n"/>
      <c r="U321" s="11602" t="n"/>
      <c r="V321" s="11602" t="n"/>
      <c r="W321" s="6996" t="n"/>
      <c r="Z321" s="11602" t="n"/>
      <c r="AA321" s="11602" t="n"/>
      <c r="AB321" s="10255" t="n">
        <v>3</v>
      </c>
      <c r="AD321" s="11602" t="n"/>
      <c r="AE321" s="10254">
        <f>IF(AM321&lt;&gt;"",ROUND(AM321,0),IF(AO236,"",SUM(AE296,-AE318)))</f>
        <v/>
      </c>
      <c r="AF321" s="7637" t="n"/>
      <c r="AG321" s="7637" t="n"/>
      <c r="AH321" s="7637" t="n"/>
      <c r="AI321" s="7637" t="n"/>
      <c r="AJ321" s="11602" t="n"/>
      <c r="AK321" s="2368" t="n"/>
      <c r="AL321" s="11602" t="n"/>
      <c r="AM321" s="2361" t="n"/>
      <c r="AO321" s="6605">
        <f>EEHI_CL_WKST=""</f>
        <v/>
      </c>
    </row>
    <row r="322" ht="12.75" customHeight="1" s="7635">
      <c r="A322" s="2368" t="n"/>
      <c r="B322" s="11602" t="n"/>
      <c r="C322" s="11602" t="n"/>
      <c r="D322" s="11602" t="n"/>
      <c r="E322" s="11602" t="n"/>
      <c r="F322" s="11602" t="n"/>
      <c r="G322" s="11602" t="n"/>
      <c r="H322" s="11602" t="n"/>
      <c r="I322" s="11602" t="n"/>
      <c r="J322" s="11602" t="n"/>
      <c r="K322" s="11602" t="n"/>
      <c r="L322" s="11602" t="n"/>
      <c r="M322" s="11602" t="n"/>
      <c r="N322" s="11602" t="n"/>
      <c r="O322" s="11602" t="n"/>
      <c r="P322" s="11602" t="n"/>
      <c r="Q322" s="11602" t="n"/>
      <c r="R322" s="11602" t="n"/>
      <c r="S322" s="11602" t="n"/>
      <c r="T322" s="11602" t="n"/>
      <c r="U322" s="11602" t="n"/>
      <c r="V322" s="11602" t="n"/>
      <c r="W322" s="11602" t="n"/>
      <c r="X322" s="11602" t="n"/>
      <c r="Y322" s="11602" t="n"/>
      <c r="Z322" s="11602" t="n"/>
      <c r="AA322" s="11602" t="n"/>
      <c r="AB322" s="11602" t="n"/>
      <c r="AC322" s="11602" t="n"/>
      <c r="AD322" s="11602" t="n"/>
      <c r="AE322" s="11602" t="n"/>
      <c r="AF322" s="11602" t="n"/>
      <c r="AG322" s="11602" t="n"/>
      <c r="AH322" s="11602" t="n"/>
      <c r="AI322" s="11602" t="n"/>
      <c r="AJ322" s="11602" t="n"/>
      <c r="AK322" s="2368" t="n"/>
      <c r="AL322" s="11602" t="n"/>
      <c r="AM322" s="11602" t="n"/>
    </row>
    <row r="323" ht="12.75" customHeight="1" s="7635">
      <c r="A323" s="2368" t="n"/>
      <c r="B323" s="2368" t="n"/>
      <c r="C323" s="2368" t="n"/>
      <c r="D323" s="2368" t="n"/>
      <c r="E323" s="2368" t="n"/>
      <c r="F323" s="2368" t="n"/>
      <c r="G323" s="2368" t="n"/>
      <c r="H323" s="2368" t="n"/>
      <c r="I323" s="2368" t="n"/>
      <c r="J323" s="2368" t="n"/>
      <c r="K323" s="2368" t="n"/>
      <c r="L323" s="2368" t="n"/>
      <c r="M323" s="2368" t="n"/>
      <c r="N323" s="2368" t="n"/>
      <c r="O323" s="2368" t="n"/>
      <c r="P323" s="2368" t="n"/>
      <c r="Q323" s="2368" t="n"/>
      <c r="R323" s="2368" t="n"/>
      <c r="S323" s="2368" t="n"/>
      <c r="T323" s="2368" t="n"/>
      <c r="U323" s="2368" t="n"/>
      <c r="V323" s="2368" t="n"/>
      <c r="W323" s="2368" t="n"/>
      <c r="X323" s="2368" t="n"/>
      <c r="Y323" s="2368" t="n"/>
      <c r="Z323" s="2368" t="n"/>
      <c r="AA323" s="2368" t="n"/>
      <c r="AB323" s="2368" t="n"/>
      <c r="AC323" s="2368" t="n"/>
      <c r="AD323" s="2368" t="n"/>
      <c r="AE323" s="2368" t="n"/>
      <c r="AF323" s="2368" t="n"/>
      <c r="AG323" s="2368" t="n"/>
      <c r="AH323" s="2368" t="n"/>
      <c r="AI323" s="2368" t="n"/>
      <c r="AJ323" s="2368" t="n"/>
      <c r="AK323" s="2368" t="n"/>
    </row>
  </sheetData>
  <sheetProtection selectLockedCells="0" selectUnlockedCells="0" algorithmName="SHA-512" sheet="1" objects="1" insertRows="1" insertHyperlinks="1" autoFilter="1" scenarios="1" formatColumns="0" deleteColumns="1" insertColumns="1" pivotTables="1" deleteRows="1" formatCells="0" saltValue="nZZqMVykR1bBZp9kQVVznw==" formatRows="0" sort="1" spinCount="100000" hashValue="qwAtFgOipOSNEPd5tpKGx/KDS4maLVyZV+2UuTLVJTA82x/tmGnWoefN1m4Jy9B9mMiTJ9TPFv9XTLnXsC6HSg=="/>
  <mergeCells count="254">
    <mergeCell ref="AB201:AC201"/>
    <mergeCell ref="W116:AA116"/>
    <mergeCell ref="AB83:AC83"/>
    <mergeCell ref="AB139:AC139"/>
    <mergeCell ref="AE271:AI271"/>
    <mergeCell ref="Q150:V150"/>
    <mergeCell ref="AD26:AJ26"/>
    <mergeCell ref="AB58:AC58"/>
    <mergeCell ref="AD210:AJ210"/>
    <mergeCell ref="W321:Y321"/>
    <mergeCell ref="AB138:AC138"/>
    <mergeCell ref="AB76:AC76"/>
    <mergeCell ref="D2:G3"/>
    <mergeCell ref="N148:P148"/>
    <mergeCell ref="C89:M89"/>
    <mergeCell ref="AB85:AC85"/>
    <mergeCell ref="AE255:AI255"/>
    <mergeCell ref="AE273:AI273"/>
    <mergeCell ref="AB60:AC60"/>
    <mergeCell ref="B18:O18"/>
    <mergeCell ref="W55:AA55"/>
    <mergeCell ref="W182:AA182"/>
    <mergeCell ref="AE263:AI263"/>
    <mergeCell ref="Q146:V147"/>
    <mergeCell ref="AB59:AC59"/>
    <mergeCell ref="AB31:AC31"/>
    <mergeCell ref="X146:AA147"/>
    <mergeCell ref="N149:P149"/>
    <mergeCell ref="AE312:AI312"/>
    <mergeCell ref="AD5:AG5"/>
    <mergeCell ref="AD173:AJ173"/>
    <mergeCell ref="W106:AA106"/>
    <mergeCell ref="AB21:AC21"/>
    <mergeCell ref="B8:AA8"/>
    <mergeCell ref="AB61:AC61"/>
    <mergeCell ref="AG220:AJ220"/>
    <mergeCell ref="AB39:AC39"/>
    <mergeCell ref="AD63:AJ63"/>
    <mergeCell ref="X150:AA150"/>
    <mergeCell ref="AE249:AI249"/>
    <mergeCell ref="S193:T193"/>
    <mergeCell ref="W161:AA161"/>
    <mergeCell ref="J193:K193"/>
    <mergeCell ref="AB23:AC23"/>
    <mergeCell ref="AB38:AC38"/>
    <mergeCell ref="P55:R55"/>
    <mergeCell ref="AD34:AJ34"/>
    <mergeCell ref="AD172:AJ172"/>
    <mergeCell ref="AD212:AJ212"/>
    <mergeCell ref="AD161:AF161"/>
    <mergeCell ref="AD28:AJ28"/>
    <mergeCell ref="V128:W128"/>
    <mergeCell ref="AD6:AG6"/>
    <mergeCell ref="W210:AA210"/>
    <mergeCell ref="AE285:AI285"/>
    <mergeCell ref="AB249:AC249"/>
    <mergeCell ref="AB78:AC78"/>
    <mergeCell ref="C149:M149"/>
    <mergeCell ref="AD227:AJ227"/>
    <mergeCell ref="W195:AA195"/>
    <mergeCell ref="AE261:AI261"/>
    <mergeCell ref="AD36:AJ36"/>
    <mergeCell ref="AM179:AM181"/>
    <mergeCell ref="AE275:AI275"/>
    <mergeCell ref="AC18:AE18"/>
    <mergeCell ref="AE269:AI269"/>
    <mergeCell ref="AD101:AJ101"/>
    <mergeCell ref="G193:H193"/>
    <mergeCell ref="AD133:AJ133"/>
    <mergeCell ref="AB285:AC285"/>
    <mergeCell ref="X89:AA89"/>
    <mergeCell ref="AD213:AJ213"/>
    <mergeCell ref="AM199:AM200"/>
    <mergeCell ref="W53:AA53"/>
    <mergeCell ref="AE277:AI277"/>
    <mergeCell ref="AB65:AC65"/>
    <mergeCell ref="U18:AA18"/>
    <mergeCell ref="AD61:AJ61"/>
    <mergeCell ref="W234:AA234"/>
    <mergeCell ref="B3:C3"/>
    <mergeCell ref="W212:AA212"/>
    <mergeCell ref="W172:AA172"/>
    <mergeCell ref="AD22:AJ22"/>
    <mergeCell ref="I6:AB6"/>
    <mergeCell ref="M193:N193"/>
    <mergeCell ref="W108:AA108"/>
    <mergeCell ref="AB63:AC63"/>
    <mergeCell ref="AD238:AJ238"/>
    <mergeCell ref="AB41:AC41"/>
    <mergeCell ref="W171:AA171"/>
    <mergeCell ref="W227:AA227"/>
    <mergeCell ref="AE302:AI302"/>
    <mergeCell ref="AG171:AJ171"/>
    <mergeCell ref="AB35:AC35"/>
    <mergeCell ref="B2:C2"/>
    <mergeCell ref="AD235:AJ235"/>
    <mergeCell ref="AB91:AC91"/>
    <mergeCell ref="AB25:AC25"/>
    <mergeCell ref="X148:AA148"/>
    <mergeCell ref="AG100:AJ100"/>
    <mergeCell ref="AG182:AJ182"/>
    <mergeCell ref="AB84:AC84"/>
    <mergeCell ref="AB140:AC140"/>
    <mergeCell ref="AB22:AC22"/>
    <mergeCell ref="AB36:AC36"/>
    <mergeCell ref="AD100:AF100"/>
    <mergeCell ref="AB189:AC189"/>
    <mergeCell ref="AD38:AJ38"/>
    <mergeCell ref="AD171:AF171"/>
    <mergeCell ref="V110:W110"/>
    <mergeCell ref="V166:W166"/>
    <mergeCell ref="AB238:AC238"/>
    <mergeCell ref="AD24:AJ24"/>
    <mergeCell ref="AB77:AC77"/>
    <mergeCell ref="C148:M148"/>
    <mergeCell ref="AE318:AI318"/>
    <mergeCell ref="AB240:AC240"/>
    <mergeCell ref="X149:AA149"/>
    <mergeCell ref="AE279:AI279"/>
    <mergeCell ref="V168:W168"/>
    <mergeCell ref="AE288:AI288"/>
    <mergeCell ref="AB141:AC141"/>
    <mergeCell ref="AB101:AC101"/>
    <mergeCell ref="AH5:AI6"/>
    <mergeCell ref="I2:AB3"/>
    <mergeCell ref="X151:AA151"/>
    <mergeCell ref="AC3:AJ4"/>
    <mergeCell ref="C146:M147"/>
    <mergeCell ref="AB296:AC296"/>
    <mergeCell ref="AD65:AJ65"/>
    <mergeCell ref="AE304:AI304"/>
    <mergeCell ref="V193:W193"/>
    <mergeCell ref="AE257:AI257"/>
    <mergeCell ref="Q18:S18"/>
    <mergeCell ref="X193:Y193"/>
    <mergeCell ref="W120:AA120"/>
    <mergeCell ref="AB288:AC288"/>
    <mergeCell ref="N150:P150"/>
    <mergeCell ref="AB235:AC235"/>
    <mergeCell ref="AB62:AC62"/>
    <mergeCell ref="AD182:AF182"/>
    <mergeCell ref="AE306:AI306"/>
    <mergeCell ref="W146:W147"/>
    <mergeCell ref="AB117:AC117"/>
    <mergeCell ref="AD116:AJ116"/>
    <mergeCell ref="AB24:AC24"/>
    <mergeCell ref="AB64:AC64"/>
    <mergeCell ref="C151:M151"/>
    <mergeCell ref="W177:AA177"/>
    <mergeCell ref="AD53:AJ53"/>
    <mergeCell ref="W164:AA164"/>
    <mergeCell ref="AB79:AC79"/>
    <mergeCell ref="AB321:AC321"/>
    <mergeCell ref="AB32:AC32"/>
    <mergeCell ref="B71:C71"/>
    <mergeCell ref="AD234:AJ234"/>
    <mergeCell ref="AB26:AC26"/>
    <mergeCell ref="AD115:AJ115"/>
    <mergeCell ref="X46:AA46"/>
    <mergeCell ref="AB40:AC40"/>
    <mergeCell ref="AB211:AC211"/>
    <mergeCell ref="AE267:AI267"/>
    <mergeCell ref="AD37:AJ37"/>
    <mergeCell ref="AM34:AM35"/>
    <mergeCell ref="AD55:AJ55"/>
    <mergeCell ref="AB81:AC81"/>
    <mergeCell ref="I4:AB5"/>
    <mergeCell ref="AD236:AJ236"/>
    <mergeCell ref="AB27:AC27"/>
    <mergeCell ref="AE259:AI259"/>
    <mergeCell ref="W131:AA131"/>
    <mergeCell ref="W100:AA100"/>
    <mergeCell ref="AB237:AC237"/>
    <mergeCell ref="W115:AA115"/>
    <mergeCell ref="AB82:AC82"/>
    <mergeCell ref="AC1:AJ1"/>
    <mergeCell ref="AD220:AF220"/>
    <mergeCell ref="Q149:V149"/>
    <mergeCell ref="AB57:AC57"/>
    <mergeCell ref="AD233:AJ233"/>
    <mergeCell ref="Q151:V151"/>
    <mergeCell ref="AB34:AC34"/>
    <mergeCell ref="V124:W124"/>
    <mergeCell ref="AB28:AC28"/>
    <mergeCell ref="AD183:AJ183"/>
    <mergeCell ref="AB239:AC239"/>
    <mergeCell ref="W229:AA229"/>
    <mergeCell ref="AM51:AM52"/>
    <mergeCell ref="AB37:AC37"/>
    <mergeCell ref="AC2:AJ2"/>
    <mergeCell ref="W216:AA216"/>
    <mergeCell ref="W103:AA103"/>
    <mergeCell ref="AD57:AJ57"/>
    <mergeCell ref="AE296:AI296"/>
    <mergeCell ref="AE265:AI265"/>
    <mergeCell ref="AB236:AC236"/>
    <mergeCell ref="AB92:AC92"/>
    <mergeCell ref="V126:W126"/>
    <mergeCell ref="AB30:AC30"/>
    <mergeCell ref="W160:AA160"/>
    <mergeCell ref="N46:P46"/>
    <mergeCell ref="N146:P147"/>
    <mergeCell ref="N151:P151"/>
    <mergeCell ref="V122:W122"/>
    <mergeCell ref="AB133:AC133"/>
    <mergeCell ref="AB173:AC173"/>
    <mergeCell ref="AB318:AC318"/>
    <mergeCell ref="AB142:AC142"/>
    <mergeCell ref="AB29:AC29"/>
    <mergeCell ref="AB213:AC213"/>
    <mergeCell ref="AB80:AC80"/>
    <mergeCell ref="AE321:AI321"/>
    <mergeCell ref="AD184:AJ184"/>
    <mergeCell ref="P193:Q193"/>
    <mergeCell ref="AD162:AJ162"/>
    <mergeCell ref="V112:W112"/>
    <mergeCell ref="W233:AA233"/>
    <mergeCell ref="W183:AA183"/>
    <mergeCell ref="AD106:AJ106"/>
    <mergeCell ref="Q46:V46"/>
    <mergeCell ref="AD211:AJ211"/>
    <mergeCell ref="AG161:AJ161"/>
    <mergeCell ref="W51:AA51"/>
    <mergeCell ref="AD42:AJ42"/>
    <mergeCell ref="Q89:V89"/>
    <mergeCell ref="AG18:AI18"/>
    <mergeCell ref="W114:AA114"/>
    <mergeCell ref="AB8:AJ8"/>
    <mergeCell ref="AD201:AJ201"/>
    <mergeCell ref="AB208:AC208"/>
    <mergeCell ref="AD117:AJ117"/>
    <mergeCell ref="W288:Y288"/>
    <mergeCell ref="Q148:V148"/>
    <mergeCell ref="AD240:AJ240"/>
    <mergeCell ref="AB56:AC56"/>
    <mergeCell ref="AD132:AJ132"/>
    <mergeCell ref="N89:P89"/>
    <mergeCell ref="W156:AA156"/>
    <mergeCell ref="AD59:AJ59"/>
    <mergeCell ref="B10:C10"/>
    <mergeCell ref="C46:M46"/>
    <mergeCell ref="AE308:AI308"/>
    <mergeCell ref="W220:AA220"/>
    <mergeCell ref="C150:M150"/>
    <mergeCell ref="AB184:AC184"/>
    <mergeCell ref="AB162:AC162"/>
    <mergeCell ref="AE310:AI310"/>
    <mergeCell ref="AB137:AC137"/>
    <mergeCell ref="W222:AA222"/>
    <mergeCell ref="W67:AA67"/>
    <mergeCell ref="AB33:AC33"/>
    <mergeCell ref="W132:AA132"/>
    <mergeCell ref="AB42:AC42"/>
    <mergeCell ref="AD160:AJ160"/>
  </mergeCells>
  <conditionalFormatting sqref="B8 AB8:AJ8 AD48:AJ52 AD137:AJ143">
    <cfRule type="expression" priority="360" dxfId="6">
      <formula>NoColor</formula>
    </cfRule>
  </conditionalFormatting>
  <conditionalFormatting sqref="B10 B13:AH17 B18 B19:AH19 B20:C20 E20:AH20 P18:Q18 T18:U18 AB18 AF18">
    <cfRule type="expression" priority="401" dxfId="14">
      <formula>IF(AND(File_Marr_Sep&lt;&gt;"",$AI$10=""),1,0)</formula>
    </cfRule>
  </conditionalFormatting>
  <conditionalFormatting sqref="B71 B72:C72">
    <cfRule type="expression" priority="283" dxfId="14">
      <formula>IF(AND(File_Marr_Sep&lt;&gt;"",$AI$10=""),1,0)</formula>
    </cfRule>
  </conditionalFormatting>
  <conditionalFormatting sqref="B9:C9">
    <cfRule type="expression" priority="302" dxfId="14">
      <formula>IF(AND(File_Marr_Sep&lt;&gt;"",$AI$10=""),1,0)</formula>
    </cfRule>
  </conditionalFormatting>
  <conditionalFormatting sqref="B70:C70 E70:AH72">
    <cfRule type="expression" priority="282" dxfId="14">
      <formula>IF(AND(File_Marr_Sep&lt;&gt;"",$AI$10=""),1,0)</formula>
    </cfRule>
  </conditionalFormatting>
  <conditionalFormatting sqref="B18:O18">
    <cfRule type="expression" priority="300" dxfId="6">
      <formula>NoColor</formula>
    </cfRule>
  </conditionalFormatting>
  <conditionalFormatting sqref="C32">
    <cfRule type="expression" priority="182" dxfId="0">
      <formula>AND($AH$32&lt;&gt;"",$AD$34&lt;&gt;"")</formula>
    </cfRule>
  </conditionalFormatting>
  <conditionalFormatting sqref="C42:C43">
    <cfRule type="expression" priority="125" dxfId="40">
      <formula>AND($AH$40&lt;&gt;"",NOT(NoColor),OR($W$51&lt;&gt;"",$P$55&lt;&gt;""))</formula>
    </cfRule>
  </conditionalFormatting>
  <conditionalFormatting sqref="C47">
    <cfRule type="expression" priority="171" dxfId="14">
      <formula>IF(AND(File_Marr_Sep&lt;&gt;"",$AI$10=""),1,0)</formula>
    </cfRule>
  </conditionalFormatting>
  <conditionalFormatting sqref="C83:C84">
    <cfRule type="expression" priority="167" dxfId="40">
      <formula>$AO$136</formula>
    </cfRule>
  </conditionalFormatting>
  <conditionalFormatting sqref="C90">
    <cfRule type="expression" priority="177" dxfId="14">
      <formula>IF(AND(File_Marr_Sep&lt;&gt;"",$AI$10=""),1,0)</formula>
    </cfRule>
  </conditionalFormatting>
  <conditionalFormatting sqref="C143:C144">
    <cfRule type="expression" priority="6908" dxfId="40">
      <formula>#REF!</formula>
    </cfRule>
  </conditionalFormatting>
  <conditionalFormatting sqref="C46:AA46">
    <cfRule type="expression" priority="172" dxfId="6">
      <formula>NoColor</formula>
    </cfRule>
  </conditionalFormatting>
  <conditionalFormatting sqref="C89:AA89">
    <cfRule type="expression" priority="178" dxfId="6">
      <formula>NoColor</formula>
    </cfRule>
  </conditionalFormatting>
  <conditionalFormatting sqref="C148:AA151">
    <cfRule type="expression" priority="229" dxfId="6">
      <formula>NoColor</formula>
    </cfRule>
  </conditionalFormatting>
  <conditionalFormatting sqref="D288">
    <cfRule type="expression" priority="183" dxfId="40">
      <formula>AND(NOT(NoColor),RCE_CL_WKST&lt;=0)</formula>
    </cfRule>
  </conditionalFormatting>
  <conditionalFormatting sqref="D321">
    <cfRule type="expression" priority="180" dxfId="40">
      <formula>AND(NOT(NoColor),EEHI_CL_WKST&lt;=0)</formula>
    </cfRule>
  </conditionalFormatting>
  <conditionalFormatting sqref="B11:C12 E9:AH12">
    <cfRule type="expression" priority="301" dxfId="14">
      <formula>IF(AND(File_Marr_Sep&lt;&gt;"",$AI$10=""),1,0)</formula>
    </cfRule>
  </conditionalFormatting>
  <conditionalFormatting sqref="G193:H193">
    <cfRule type="expression" priority="7" dxfId="6">
      <formula>NoColor</formula>
    </cfRule>
  </conditionalFormatting>
  <conditionalFormatting sqref="J193:K193">
    <cfRule type="expression" priority="6" dxfId="6">
      <formula>NoColor</formula>
    </cfRule>
  </conditionalFormatting>
  <conditionalFormatting sqref="M193:N193">
    <cfRule type="expression" priority="5" dxfId="6">
      <formula>NoColor</formula>
    </cfRule>
  </conditionalFormatting>
  <conditionalFormatting sqref="M117:O117">
    <cfRule type="expression" priority="72" dxfId="40">
      <formula>$AO$118</formula>
    </cfRule>
  </conditionalFormatting>
  <conditionalFormatting sqref="M48:R48 M102:R105 M106 M107:R108 M136:R136 M195:R200 M242:R242 M243:S243 M244:R244 P106:R106 X136">
    <cfRule type="expression" priority="286" dxfId="6">
      <formula>IF(NoColor,1,0)</formula>
    </cfRule>
  </conditionalFormatting>
  <conditionalFormatting sqref="M50:R54 M55:P55 M73:R74">
    <cfRule type="expression" priority="402" dxfId="6">
      <formula>IF(NoColor,1,0)</formula>
    </cfRule>
  </conditionalFormatting>
  <conditionalFormatting sqref="M66:R67">
    <cfRule type="expression" priority="284" dxfId="6">
      <formula>IF(NoColor,1,0)</formula>
    </cfRule>
  </conditionalFormatting>
  <conditionalFormatting sqref="M97:R100">
    <cfRule type="expression" priority="259" dxfId="6">
      <formula>IF(NoColor,1,0)</formula>
    </cfRule>
  </conditionalFormatting>
  <conditionalFormatting sqref="M110:R110">
    <cfRule type="expression" priority="31" dxfId="6">
      <formula>IF(NoColor,1,0)</formula>
    </cfRule>
  </conditionalFormatting>
  <conditionalFormatting sqref="M112:R112">
    <cfRule type="expression" priority="30" dxfId="6">
      <formula>IF(NoColor,1,0)</formula>
    </cfRule>
  </conditionalFormatting>
  <conditionalFormatting sqref="M114:R114">
    <cfRule type="expression" priority="249" dxfId="6">
      <formula>IF(NoColor,1,0)</formula>
    </cfRule>
  </conditionalFormatting>
  <conditionalFormatting sqref="M118:R120">
    <cfRule type="expression" priority="121" dxfId="6">
      <formula>IF(NoColor,1,0)</formula>
    </cfRule>
  </conditionalFormatting>
  <conditionalFormatting sqref="M122:R122">
    <cfRule type="expression" priority="29" dxfId="6">
      <formula>IF(NoColor,1,0)</formula>
    </cfRule>
  </conditionalFormatting>
  <conditionalFormatting sqref="M124:R124">
    <cfRule type="expression" priority="28" dxfId="6">
      <formula>IF(NoColor,1,0)</formula>
    </cfRule>
  </conditionalFormatting>
  <conditionalFormatting sqref="M126:R126">
    <cfRule type="expression" priority="27" dxfId="6">
      <formula>IF(NoColor,1,0)</formula>
    </cfRule>
  </conditionalFormatting>
  <conditionalFormatting sqref="M128:R128">
    <cfRule type="expression" priority="26" dxfId="6">
      <formula>IF(NoColor,1,0)</formula>
    </cfRule>
  </conditionalFormatting>
  <conditionalFormatting sqref="M131:R132">
    <cfRule type="expression" priority="115" dxfId="6">
      <formula>IF(NoColor,1,0)</formula>
    </cfRule>
  </conditionalFormatting>
  <conditionalFormatting sqref="M153:R156">
    <cfRule type="expression" priority="108" dxfId="6">
      <formula>IF(NoColor,1,0)</formula>
    </cfRule>
  </conditionalFormatting>
  <conditionalFormatting sqref="M158:R158">
    <cfRule type="expression" priority="25" dxfId="6">
      <formula>IF(NoColor,1,0)</formula>
    </cfRule>
  </conditionalFormatting>
  <conditionalFormatting sqref="M160:R160">
    <cfRule type="expression" priority="226" dxfId="6">
      <formula>IF(NoColor,1,0)</formula>
    </cfRule>
  </conditionalFormatting>
  <conditionalFormatting sqref="M163:R164">
    <cfRule type="expression" priority="223" dxfId="6">
      <formula>IF(NoColor,1,0)</formula>
    </cfRule>
  </conditionalFormatting>
  <conditionalFormatting sqref="M166:R166">
    <cfRule type="expression" priority="24" dxfId="6">
      <formula>IF(NoColor,1,0)</formula>
    </cfRule>
  </conditionalFormatting>
  <conditionalFormatting sqref="M168:R168">
    <cfRule type="expression" priority="23" dxfId="6">
      <formula>IF(NoColor,1,0)</formula>
    </cfRule>
  </conditionalFormatting>
  <conditionalFormatting sqref="M171:R171">
    <cfRule type="expression" priority="93" dxfId="6">
      <formula>IF(NoColor,1,0)</formula>
    </cfRule>
  </conditionalFormatting>
  <conditionalFormatting sqref="M174:R177">
    <cfRule type="expression" priority="83" dxfId="6">
      <formula>IF(NoColor,1,0)</formula>
    </cfRule>
  </conditionalFormatting>
  <conditionalFormatting sqref="M179:R179">
    <cfRule type="expression" priority="22" dxfId="6">
      <formula>IF(NoColor,1,0)</formula>
    </cfRule>
  </conditionalFormatting>
  <conditionalFormatting sqref="M182:R182">
    <cfRule type="expression" priority="85" dxfId="6">
      <formula>IF(NoColor,1,0)</formula>
    </cfRule>
  </conditionalFormatting>
  <conditionalFormatting sqref="M185:R192 O193 R193">
    <cfRule type="expression" priority="217" dxfId="6">
      <formula>IF(NoColor,1,0)</formula>
    </cfRule>
  </conditionalFormatting>
  <conditionalFormatting sqref="M212:R212">
    <cfRule type="expression" priority="205" dxfId="6">
      <formula>IF(NoColor,1,0)</formula>
    </cfRule>
  </conditionalFormatting>
  <conditionalFormatting sqref="M214:R216">
    <cfRule type="expression" priority="57" dxfId="6">
      <formula>IF(NoColor,1,0)</formula>
    </cfRule>
  </conditionalFormatting>
  <conditionalFormatting sqref="M218:R218">
    <cfRule type="expression" priority="21" dxfId="6">
      <formula>IF(NoColor,1,0)</formula>
    </cfRule>
  </conditionalFormatting>
  <conditionalFormatting sqref="M220:R222">
    <cfRule type="expression" priority="46" dxfId="6">
      <formula>IF(NoColor,1,0)</formula>
    </cfRule>
  </conditionalFormatting>
  <conditionalFormatting sqref="M224:R224">
    <cfRule type="expression" priority="20" dxfId="6">
      <formula>IF(NoColor,1,0)</formula>
    </cfRule>
  </conditionalFormatting>
  <conditionalFormatting sqref="M227:R229">
    <cfRule type="expression" priority="43" dxfId="6">
      <formula>IF(NoColor,1,0)</formula>
    </cfRule>
  </conditionalFormatting>
  <conditionalFormatting sqref="M231:R231">
    <cfRule type="expression" priority="19" dxfId="6">
      <formula>IF(NoColor,1,0)</formula>
    </cfRule>
  </conditionalFormatting>
  <conditionalFormatting sqref="M233:R234">
    <cfRule type="expression" priority="38" dxfId="6">
      <formula>IF(NoColor,1,0)</formula>
    </cfRule>
  </conditionalFormatting>
  <conditionalFormatting sqref="N47">
    <cfRule type="expression" priority="170" dxfId="14">
      <formula>IF(AND(File_Marr_Sep&lt;&gt;"",$AI$10=""),1,0)</formula>
    </cfRule>
  </conditionalFormatting>
  <conditionalFormatting sqref="N90">
    <cfRule type="expression" priority="176" dxfId="14">
      <formula>IF(AND(File_Marr_Sep&lt;&gt;"",$AI$10=""),1,0)</formula>
    </cfRule>
  </conditionalFormatting>
  <conditionalFormatting sqref="P193:Q193">
    <cfRule type="expression" priority="4" dxfId="6">
      <formula>NoColor</formula>
    </cfRule>
  </conditionalFormatting>
  <conditionalFormatting sqref="Q47">
    <cfRule type="expression" priority="169" dxfId="14">
      <formula>IF(AND(File_Marr_Sep&lt;&gt;"",$AI$10=""),1,0)</formula>
    </cfRule>
  </conditionalFormatting>
  <conditionalFormatting sqref="Q49">
    <cfRule type="expression" priority="16" dxfId="6">
      <formula>NoColor</formula>
    </cfRule>
  </conditionalFormatting>
  <conditionalFormatting sqref="Q90">
    <cfRule type="expression" priority="175" dxfId="14">
      <formula>IF(AND(File_Marr_Sep&lt;&gt;"",$AI$10=""),1,0)</formula>
    </cfRule>
  </conditionalFormatting>
  <conditionalFormatting sqref="Q162 T162">
    <cfRule type="expression" priority="100" dxfId="6">
      <formula>IF(NoColor,1,0)</formula>
    </cfRule>
  </conditionalFormatting>
  <conditionalFormatting sqref="Q184 T184:U184">
    <cfRule type="expression" priority="75" dxfId="6">
      <formula>IF(NoColor,1,0)</formula>
    </cfRule>
  </conditionalFormatting>
  <conditionalFormatting sqref="Q241">
    <cfRule type="expression" priority="184" dxfId="6">
      <formula>NoColor</formula>
    </cfRule>
  </conditionalFormatting>
  <conditionalFormatting sqref="Q18:S18">
    <cfRule type="expression" priority="299" dxfId="6">
      <formula>NoColor</formula>
    </cfRule>
  </conditionalFormatting>
  <conditionalFormatting sqref="S133">
    <cfRule type="expression" priority="69" dxfId="40">
      <formula>$AO$134</formula>
    </cfRule>
  </conditionalFormatting>
  <conditionalFormatting sqref="S101:T101">
    <cfRule type="expression" priority="73" dxfId="40">
      <formula>$AO$102</formula>
    </cfRule>
  </conditionalFormatting>
  <conditionalFormatting sqref="S162:T162">
    <cfRule type="expression" priority="67" dxfId="40">
      <formula>$AO$166</formula>
    </cfRule>
  </conditionalFormatting>
  <conditionalFormatting sqref="S193:T193">
    <cfRule type="expression" priority="3" dxfId="6">
      <formula>NoColor</formula>
    </cfRule>
  </conditionalFormatting>
  <conditionalFormatting sqref="S184:U184">
    <cfRule type="expression" priority="65" dxfId="40">
      <formula>$AO$185</formula>
    </cfRule>
  </conditionalFormatting>
  <conditionalFormatting sqref="S211:U211">
    <cfRule type="expression" priority="6948" dxfId="40">
      <formula>$AN$212</formula>
    </cfRule>
  </conditionalFormatting>
  <conditionalFormatting sqref="S235:U235">
    <cfRule type="expression" priority="7072" dxfId="40">
      <formula>$AO$237</formula>
    </cfRule>
  </conditionalFormatting>
  <conditionalFormatting sqref="S201:V201">
    <cfRule type="expression" priority="59" dxfId="40">
      <formula>$AO$202</formula>
    </cfRule>
  </conditionalFormatting>
  <conditionalFormatting sqref="T133">
    <cfRule type="expression" priority="68" dxfId="40">
      <formula>AO134</formula>
    </cfRule>
  </conditionalFormatting>
  <conditionalFormatting sqref="T243">
    <cfRule type="expression" priority="32" dxfId="6">
      <formula>NoColor</formula>
    </cfRule>
  </conditionalFormatting>
  <conditionalFormatting sqref="T173:U173">
    <cfRule type="expression" priority="66" dxfId="40">
      <formula>$AO$174</formula>
    </cfRule>
  </conditionalFormatting>
  <conditionalFormatting sqref="T201:V201">
    <cfRule type="expression" priority="60" dxfId="6">
      <formula>NoColor</formula>
    </cfRule>
  </conditionalFormatting>
  <conditionalFormatting sqref="U133">
    <cfRule type="expression" priority="70" dxfId="40">
      <formula>$AO$133</formula>
    </cfRule>
  </conditionalFormatting>
  <conditionalFormatting sqref="U218 U224:AA224 W218:AA218 AA219 AA225:AA226">
    <cfRule type="expression" priority="55" dxfId="6">
      <formula>NoColor</formula>
    </cfRule>
  </conditionalFormatting>
  <conditionalFormatting sqref="U18:AA18">
    <cfRule type="expression" priority="298" dxfId="6">
      <formula>NoColor</formula>
    </cfRule>
  </conditionalFormatting>
  <conditionalFormatting sqref="U119:AA119 W123:AA123 W127:AA127 Y129:AA130">
    <cfRule type="expression" priority="120" dxfId="6">
      <formula>NoColor</formula>
    </cfRule>
  </conditionalFormatting>
  <conditionalFormatting sqref="U158:AA158 AA159">
    <cfRule type="expression" priority="106" dxfId="6">
      <formula>NoColor</formula>
    </cfRule>
  </conditionalFormatting>
  <conditionalFormatting sqref="U179:AA179 AA180:AA181">
    <cfRule type="expression" priority="81" dxfId="6">
      <formula>NoColor</formula>
    </cfRule>
  </conditionalFormatting>
  <conditionalFormatting sqref="U231:AA231 AA232">
    <cfRule type="expression" priority="41" dxfId="6">
      <formula>NoColor</formula>
    </cfRule>
  </conditionalFormatting>
  <conditionalFormatting sqref="V193:Y193">
    <cfRule type="expression" priority="1" dxfId="6">
      <formula>NoColor</formula>
    </cfRule>
  </conditionalFormatting>
  <conditionalFormatting sqref="V110:AA110">
    <cfRule type="expression" priority="15" dxfId="6">
      <formula>NoColor</formula>
    </cfRule>
  </conditionalFormatting>
  <conditionalFormatting sqref="V112:AA112">
    <cfRule type="expression" priority="14" dxfId="6">
      <formula>NoColor</formula>
    </cfRule>
  </conditionalFormatting>
  <conditionalFormatting sqref="V122:AA122">
    <cfRule type="expression" priority="13" dxfId="6">
      <formula>NoColor</formula>
    </cfRule>
  </conditionalFormatting>
  <conditionalFormatting sqref="V124:AA124">
    <cfRule type="expression" priority="12" dxfId="6">
      <formula>NoColor</formula>
    </cfRule>
  </conditionalFormatting>
  <conditionalFormatting sqref="V126:AA126">
    <cfRule type="expression" priority="11" dxfId="6">
      <formula>NoColor</formula>
    </cfRule>
  </conditionalFormatting>
  <conditionalFormatting sqref="V128:AA128">
    <cfRule type="expression" priority="10" dxfId="6">
      <formula>NoColor</formula>
    </cfRule>
  </conditionalFormatting>
  <conditionalFormatting sqref="V166:AA166">
    <cfRule type="expression" priority="9" dxfId="6">
      <formula>NoColor</formula>
    </cfRule>
  </conditionalFormatting>
  <conditionalFormatting sqref="V168:AA168">
    <cfRule type="expression" priority="8" dxfId="6">
      <formula>NoColor</formula>
    </cfRule>
  </conditionalFormatting>
  <conditionalFormatting sqref="W51:AA51">
    <cfRule type="expression" priority="161" dxfId="6">
      <formula>NoColor</formula>
    </cfRule>
  </conditionalFormatting>
  <conditionalFormatting sqref="W53:AA53">
    <cfRule type="expression" priority="160" dxfId="6">
      <formula>NoColor</formula>
    </cfRule>
  </conditionalFormatting>
  <conditionalFormatting sqref="W55:AA55">
    <cfRule type="expression" priority="159" dxfId="6">
      <formula>NoColor</formula>
    </cfRule>
  </conditionalFormatting>
  <conditionalFormatting sqref="W67:AA67">
    <cfRule type="expression" priority="153" dxfId="6">
      <formula>NoColor</formula>
    </cfRule>
  </conditionalFormatting>
  <conditionalFormatting sqref="O243 W100:AA100 W242:AA242 W244:AA244 X243:AA243">
    <cfRule type="expression" priority="228" dxfId="918">
      <formula>NoColor</formula>
    </cfRule>
  </conditionalFormatting>
  <conditionalFormatting sqref="W103:AA108 W111:AA111 W114:AA116 Y113:AA113">
    <cfRule type="expression" priority="227" dxfId="6">
      <formula>NoColor</formula>
    </cfRule>
  </conditionalFormatting>
  <conditionalFormatting sqref="W120:AA120">
    <cfRule type="expression" priority="111" dxfId="6">
      <formula>NoColor</formula>
    </cfRule>
  </conditionalFormatting>
  <conditionalFormatting sqref="W131:AA132">
    <cfRule type="expression" priority="109" dxfId="6">
      <formula>NoColor</formula>
    </cfRule>
  </conditionalFormatting>
  <conditionalFormatting sqref="W155:AA156">
    <cfRule type="expression" priority="101" dxfId="6">
      <formula>NoColor</formula>
    </cfRule>
  </conditionalFormatting>
  <conditionalFormatting sqref="W160:AA161">
    <cfRule type="expression" priority="102" dxfId="6">
      <formula>NoColor</formula>
    </cfRule>
  </conditionalFormatting>
  <conditionalFormatting sqref="W164:AA164">
    <cfRule type="expression" priority="87" dxfId="6">
      <formula>NoColor</formula>
    </cfRule>
  </conditionalFormatting>
  <conditionalFormatting sqref="W171:AA172">
    <cfRule type="expression" priority="89" dxfId="6">
      <formula>NoColor</formula>
    </cfRule>
  </conditionalFormatting>
  <conditionalFormatting sqref="W176:AA177">
    <cfRule type="expression" priority="76" dxfId="6">
      <formula>NoColor</formula>
    </cfRule>
  </conditionalFormatting>
  <conditionalFormatting sqref="W182:AA183">
    <cfRule type="expression" priority="77" dxfId="6">
      <formula>NoColor</formula>
    </cfRule>
  </conditionalFormatting>
  <conditionalFormatting sqref="W195:AA195">
    <cfRule type="expression" priority="17" dxfId="6">
      <formula>NoColor</formula>
    </cfRule>
  </conditionalFormatting>
  <conditionalFormatting sqref="W209:AA209">
    <cfRule type="expression" priority="212" dxfId="918">
      <formula>NoColor</formula>
    </cfRule>
  </conditionalFormatting>
  <conditionalFormatting sqref="W210:AA210">
    <cfRule type="expression" priority="141" dxfId="6">
      <formula>NoColor</formula>
    </cfRule>
  </conditionalFormatting>
  <conditionalFormatting sqref="W212:AA212">
    <cfRule type="expression" priority="130" dxfId="6">
      <formula>NoColor</formula>
    </cfRule>
  </conditionalFormatting>
  <conditionalFormatting sqref="W215:AA216">
    <cfRule type="expression" priority="53" dxfId="6">
      <formula>NoColor</formula>
    </cfRule>
  </conditionalFormatting>
  <conditionalFormatting sqref="W220:AA222">
    <cfRule type="expression" priority="44" dxfId="6">
      <formula>NoColor</formula>
    </cfRule>
  </conditionalFormatting>
  <conditionalFormatting sqref="W227:AA229">
    <cfRule type="expression" priority="39" dxfId="6">
      <formula>NoColor</formula>
    </cfRule>
  </conditionalFormatting>
  <conditionalFormatting sqref="W233:AA234">
    <cfRule type="expression" priority="36" dxfId="6">
      <formula>NoColor</formula>
    </cfRule>
  </conditionalFormatting>
  <conditionalFormatting sqref="X47">
    <cfRule type="expression" priority="168" dxfId="14">
      <formula>IF(AND(File_Marr_Sep&lt;&gt;"",$AI$10=""),1,0)</formula>
    </cfRule>
  </conditionalFormatting>
  <conditionalFormatting sqref="X73:X74">
    <cfRule type="expression" priority="293" dxfId="6">
      <formula>IF(NoColor,1,0)</formula>
    </cfRule>
  </conditionalFormatting>
  <conditionalFormatting sqref="X90">
    <cfRule type="expression" priority="174" dxfId="14">
      <formula>IF(AND(File_Marr_Sep&lt;&gt;"",$AI$10=""),1,0)</formula>
    </cfRule>
  </conditionalFormatting>
  <conditionalFormatting sqref="M204:R210 X204">
    <cfRule type="expression" priority="74" dxfId="6">
      <formula>IF(NoColor,1,0)</formula>
    </cfRule>
  </conditionalFormatting>
  <conditionalFormatting sqref="AA163">
    <cfRule type="expression" priority="88" dxfId="6">
      <formula>NoColor</formula>
    </cfRule>
  </conditionalFormatting>
  <conditionalFormatting sqref="AA167">
    <cfRule type="expression" priority="98" dxfId="6">
      <formula>NoColor</formula>
    </cfRule>
  </conditionalFormatting>
  <conditionalFormatting sqref="AA169:AA170">
    <cfRule type="expression" priority="95" dxfId="6">
      <formula>NoColor</formula>
    </cfRule>
  </conditionalFormatting>
  <conditionalFormatting sqref="AB8:AJ8">
    <cfRule type="expression" priority="317" dxfId="20">
      <formula>NoSSN</formula>
    </cfRule>
    <cfRule type="expression" priority="358" dxfId="46">
      <formula>NoSSN</formula>
    </cfRule>
    <cfRule type="expression" priority="359" dxfId="20">
      <formula>AND(NoColor,NoSSN)</formula>
    </cfRule>
  </conditionalFormatting>
  <conditionalFormatting sqref="AC18:AE18">
    <cfRule type="expression" priority="297" dxfId="6">
      <formula>NoColor</formula>
    </cfRule>
  </conditionalFormatting>
  <conditionalFormatting sqref="AD37 AD53 AD54:AJ54 AD55">
    <cfRule type="expression" priority="331" dxfId="6">
      <formula>NoColor</formula>
    </cfRule>
  </conditionalFormatting>
  <conditionalFormatting sqref="AD160:AD161">
    <cfRule type="expression" priority="104" dxfId="6">
      <formula>NoColor</formula>
    </cfRule>
  </conditionalFormatting>
  <conditionalFormatting sqref="AD171:AD172">
    <cfRule type="expression" priority="91" dxfId="6">
      <formula>NoColor</formula>
    </cfRule>
  </conditionalFormatting>
  <conditionalFormatting sqref="AD182:AD183">
    <cfRule type="expression" priority="79" dxfId="6">
      <formula>NoColor</formula>
    </cfRule>
  </conditionalFormatting>
  <conditionalFormatting sqref="AD210">
    <cfRule type="expression" priority="207" dxfId="6">
      <formula>NoColor</formula>
    </cfRule>
  </conditionalFormatting>
  <conditionalFormatting sqref="AD212">
    <cfRule type="expression" priority="204" dxfId="6">
      <formula>NoColor</formula>
    </cfRule>
  </conditionalFormatting>
  <conditionalFormatting sqref="AD220 AG220">
    <cfRule type="expression" priority="45" dxfId="6">
      <formula>NoColor</formula>
    </cfRule>
  </conditionalFormatting>
  <conditionalFormatting sqref="AD227">
    <cfRule type="expression" priority="51" dxfId="6">
      <formula>NoColor</formula>
    </cfRule>
  </conditionalFormatting>
  <conditionalFormatting sqref="AD233:AD234">
    <cfRule type="expression" priority="37" dxfId="6">
      <formula>NoColor</formula>
    </cfRule>
  </conditionalFormatting>
  <conditionalFormatting sqref="AD241">
    <cfRule type="expression" priority="131" dxfId="6">
      <formula>NoColor</formula>
    </cfRule>
  </conditionalFormatting>
  <conditionalFormatting sqref="AD21:AJ36">
    <cfRule type="expression" priority="163" dxfId="6">
      <formula>NoColor</formula>
    </cfRule>
  </conditionalFormatting>
  <conditionalFormatting sqref="AD38:AJ45">
    <cfRule type="expression" priority="162" dxfId="6">
      <formula>NoColor</formula>
    </cfRule>
  </conditionalFormatting>
  <conditionalFormatting sqref="AD56:AJ67">
    <cfRule type="expression" priority="154" dxfId="6">
      <formula>NoColor</formula>
    </cfRule>
  </conditionalFormatting>
  <conditionalFormatting sqref="AD76:AJ88">
    <cfRule type="expression" priority="275" dxfId="6">
      <formula>NoColor</formula>
    </cfRule>
  </conditionalFormatting>
  <conditionalFormatting sqref="AD91:AJ93">
    <cfRule type="expression" priority="266" dxfId="6">
      <formula>NoColor</formula>
    </cfRule>
  </conditionalFormatting>
  <conditionalFormatting sqref="AD97:AJ99 AD100 AD106 AD115:AD116 AD132 AG100">
    <cfRule type="expression" priority="238" dxfId="6">
      <formula>NoColor</formula>
    </cfRule>
  </conditionalFormatting>
  <conditionalFormatting sqref="AD101:AJ105">
    <cfRule type="expression" priority="152" dxfId="6">
      <formula>NoColor</formula>
    </cfRule>
  </conditionalFormatting>
  <conditionalFormatting sqref="AD107:AJ114">
    <cfRule type="expression" priority="123" dxfId="6">
      <formula>NoColor</formula>
    </cfRule>
  </conditionalFormatting>
  <conditionalFormatting sqref="AD117:AJ133">
    <cfRule type="expression" priority="119" dxfId="6">
      <formula>NoColor</formula>
    </cfRule>
  </conditionalFormatting>
  <conditionalFormatting sqref="AD153:AJ159">
    <cfRule type="expression" priority="105" dxfId="6">
      <formula>NoColor</formula>
    </cfRule>
  </conditionalFormatting>
  <conditionalFormatting sqref="AD162:AJ170">
    <cfRule type="expression" priority="94" dxfId="6">
      <formula>NoColor</formula>
    </cfRule>
  </conditionalFormatting>
  <conditionalFormatting sqref="AD173:AJ181">
    <cfRule type="expression" priority="80" dxfId="6">
      <formula>NoColor</formula>
    </cfRule>
  </conditionalFormatting>
  <conditionalFormatting sqref="AD184:AJ201">
    <cfRule type="expression" priority="18" dxfId="6">
      <formula>NoColor</formula>
    </cfRule>
  </conditionalFormatting>
  <conditionalFormatting sqref="AD205:AJ209">
    <cfRule type="expression" priority="137" dxfId="6">
      <formula>NoColor</formula>
    </cfRule>
  </conditionalFormatting>
  <conditionalFormatting sqref="AD211:AJ211">
    <cfRule type="expression" priority="136" dxfId="6">
      <formula>NoColor</formula>
    </cfRule>
  </conditionalFormatting>
  <conditionalFormatting sqref="AD213:AJ219 AD221:AJ226">
    <cfRule type="expression" priority="54" dxfId="6">
      <formula>NoColor</formula>
    </cfRule>
  </conditionalFormatting>
  <conditionalFormatting sqref="AD228:AJ232">
    <cfRule type="expression" priority="40" dxfId="6">
      <formula>NoColor</formula>
    </cfRule>
  </conditionalFormatting>
  <conditionalFormatting sqref="AD235:AJ240">
    <cfRule type="expression" priority="35" dxfId="6">
      <formula>NoColor</formula>
    </cfRule>
  </conditionalFormatting>
  <conditionalFormatting sqref="AE249:AI288">
    <cfRule type="expression" priority="128" dxfId="6">
      <formula>NoColor</formula>
    </cfRule>
  </conditionalFormatting>
  <conditionalFormatting sqref="AE296:AI321">
    <cfRule type="expression" priority="127" dxfId="6">
      <formula>NoColor</formula>
    </cfRule>
  </conditionalFormatting>
  <conditionalFormatting sqref="AG161">
    <cfRule type="expression" priority="225" dxfId="6">
      <formula>NoColor</formula>
    </cfRule>
  </conditionalFormatting>
  <conditionalFormatting sqref="AG171">
    <cfRule type="expression" priority="92" dxfId="6">
      <formula>NoColor</formula>
    </cfRule>
  </conditionalFormatting>
  <conditionalFormatting sqref="AG182">
    <cfRule type="expression" priority="84" dxfId="6">
      <formula>NoColor</formula>
    </cfRule>
  </conditionalFormatting>
  <conditionalFormatting sqref="AG18:AI18">
    <cfRule type="expression" priority="296" dxfId="6">
      <formula>NoColor</formula>
    </cfRule>
  </conditionalFormatting>
  <conditionalFormatting sqref="AL43:AM43">
    <cfRule type="expression" priority="179" dxfId="40">
      <formula>OR($W$51&lt;&gt;"",$P$55&lt;&gt;"")</formula>
    </cfRule>
  </conditionalFormatting>
  <pageMargins left="0.75" right="0.25" top="0.3" bottom="0.29" header="0.36" footer="0.21"/>
  <pageSetup orientation="portrait" scale="65" fitToHeight="0"/>
  <rowBreaks count="5" manualBreakCount="5">
    <brk id="68" min="1" max="35" man="1"/>
    <brk id="134" min="1" max="35" man="1"/>
    <brk id="202" min="1" max="35" man="1"/>
    <brk id="245" min="0" max="16383" man="1"/>
    <brk id="293" min="0" max="16383" man="1"/>
  </rowBreaks>
</worksheet>
</file>

<file path=xl/worksheets/sheet45.xml><?xml version="1.0" encoding="utf-8"?>
<worksheet xmlns="http://schemas.openxmlformats.org/spreadsheetml/2006/main">
  <sheetPr codeName="Sheet13">
    <outlinePr summaryBelow="1" summaryRight="1"/>
    <pageSetUpPr fitToPage="1"/>
  </sheetPr>
  <dimension ref="A1:AJ272"/>
  <sheetViews>
    <sheetView zoomScaleNormal="100" zoomScaleSheetLayoutView="100" workbookViewId="0">
      <selection activeCell="A1" sqref="A1"/>
    </sheetView>
  </sheetViews>
  <sheetFormatPr baseColWidth="8" defaultRowHeight="12.75"/>
  <cols>
    <col width="2.42578125" customWidth="1" style="7635" min="1" max="1"/>
    <col width="7.85546875" customWidth="1" style="7635" min="2" max="2"/>
    <col width="3.140625" customWidth="1" style="7635" min="3" max="3"/>
    <col width="10.7109375" customWidth="1" style="7635" min="4" max="4"/>
    <col width="8.7109375" customWidth="1" style="7635" min="5" max="5"/>
    <col width="21.42578125" customWidth="1" style="7635" min="6" max="6"/>
    <col width="14.85546875" customWidth="1" style="7635" min="7" max="7"/>
    <col width="6.85546875" customWidth="1" style="7635" min="8" max="8"/>
    <col width="8.85546875" customWidth="1" style="7635" min="9" max="9"/>
    <col width="4.140625" customWidth="1" style="7635" min="10" max="10"/>
    <col width="13.42578125" customWidth="1" style="7635" min="11" max="11"/>
    <col width="3.7109375" customWidth="1" style="7635" min="12" max="12"/>
    <col width="14.140625" customWidth="1" style="7635" min="13" max="13"/>
    <col width="2.5703125" customWidth="1" style="7635" min="14" max="14"/>
    <col width="3.42578125" customWidth="1" style="314" min="15" max="15"/>
    <col width="30.140625" customWidth="1" style="7635" min="16" max="16"/>
    <col width="3.5703125" customWidth="1" style="7635" min="17" max="17"/>
    <col width="12.5703125" customWidth="1" style="1224" min="18" max="18"/>
    <col width="2.85546875" customWidth="1" style="80" min="19" max="19"/>
    <col width="2.7109375" customWidth="1" style="80" min="20" max="20"/>
    <col width="2.7109375" customWidth="1" style="7453" min="21" max="21"/>
    <col width="6" customWidth="1" style="7635" min="22" max="22"/>
    <col width="17.42578125" customWidth="1" style="7635" min="23" max="23"/>
    <col width="31.140625" customWidth="1" style="7635" min="24" max="24"/>
    <col width="6.28515625" customWidth="1" style="7635" min="25" max="25"/>
    <col width="3.42578125" customWidth="1" style="7635" min="26" max="26"/>
    <col width="14.5703125" customWidth="1" style="7635" min="27" max="27"/>
    <col width="5.140625" customWidth="1" style="7635" min="28" max="28"/>
    <col width="12.28515625" customWidth="1" style="7635" min="29" max="29"/>
    <col width="4" customWidth="1" style="7635" min="30" max="30"/>
    <col width="9.42578125" customWidth="1" style="7635" min="31" max="31"/>
    <col width="9.140625" customWidth="1" style="80" min="32" max="32"/>
    <col width="2.140625" customWidth="1" style="7635" min="33" max="33"/>
    <col width="9.7109375" customWidth="1" style="382" min="34" max="34"/>
    <col width="3.85546875" customWidth="1" style="7635" min="35" max="35"/>
    <col width="10.7109375" customWidth="1" style="658" min="36" max="46"/>
  </cols>
  <sheetData>
    <row r="1" ht="17.25" customHeight="1" s="7635" thickBot="1">
      <c r="A1" s="2945" t="n"/>
      <c r="B1" s="210" t="n"/>
      <c r="C1" s="210" t="n"/>
      <c r="D1" s="210" t="n"/>
      <c r="E1" s="210" t="n"/>
      <c r="F1" s="210" t="n"/>
      <c r="G1" s="210" t="n"/>
      <c r="H1" s="210" t="n"/>
      <c r="I1" s="210" t="n"/>
      <c r="J1" s="210" t="n"/>
      <c r="K1" s="210" t="n"/>
      <c r="L1" s="211" t="n"/>
      <c r="M1" s="139" t="n"/>
      <c r="N1" s="139" t="n"/>
      <c r="P1" s="7834">
        <f>OR(O2&lt;&gt;"",AND(U35="X",OR(U54="X",U65="X")))</f>
        <v/>
      </c>
      <c r="S1" s="8648" t="n"/>
      <c r="T1" s="8648" t="n"/>
      <c r="AF1" s="8648" t="n"/>
      <c r="AJ1" s="657" t="inlineStr">
        <is>
          <t>Notes</t>
        </is>
      </c>
    </row>
    <row r="2" ht="16.5" customHeight="1" s="7635" thickBot="1">
      <c r="A2" s="2945" t="n"/>
      <c r="B2" s="3536" t="n"/>
      <c r="C2" s="211" t="n"/>
      <c r="D2" s="2946" t="n"/>
      <c r="E2" s="210" t="n"/>
      <c r="F2" s="210" t="n"/>
      <c r="G2" s="211" t="n"/>
      <c r="H2" s="210" t="n"/>
      <c r="I2" s="210" t="n"/>
      <c r="J2" s="210" t="n"/>
      <c r="K2" s="211" t="n"/>
      <c r="L2" s="2947" t="inlineStr">
        <is>
          <t xml:space="preserve">Does Form 6251 need to be completed?    →  </t>
        </is>
      </c>
      <c r="M2" s="1340">
        <f>IF(O2&lt;&gt;"","Override 'Yes'.",IF(P1,"Yes","No"))</f>
        <v/>
      </c>
      <c r="N2" s="139" t="n"/>
      <c r="O2" s="435" t="n"/>
      <c r="P2">
        <f>IF(AND(O2="",NOT(P1)),"Check this box to use form anyway.",IF(O2&lt;&gt;"","Boxed checked to use form.",""))</f>
        <v/>
      </c>
      <c r="Q2" s="635" t="n"/>
      <c r="S2" s="8648" t="n"/>
      <c r="T2" s="8648" t="n"/>
      <c r="AF2" s="8648" t="n"/>
    </row>
    <row r="3" ht="9" customHeight="1" s="7635">
      <c r="A3" s="2948" t="n"/>
      <c r="B3" s="206" t="n"/>
      <c r="C3" s="139" t="n"/>
      <c r="D3" s="139" t="n"/>
      <c r="E3" s="139" t="n"/>
      <c r="F3" s="139" t="n"/>
      <c r="G3" s="200" t="n"/>
      <c r="H3" s="139" t="n"/>
      <c r="I3" s="139" t="n"/>
      <c r="J3" s="139" t="n"/>
      <c r="K3" s="139" t="n"/>
      <c r="L3" s="139" t="n"/>
      <c r="M3" s="139" t="n"/>
      <c r="N3" s="139" t="n"/>
      <c r="O3" s="728" t="n"/>
      <c r="S3" s="8648" t="n"/>
      <c r="T3" s="8648" t="n"/>
      <c r="AF3" s="8648" t="n"/>
    </row>
    <row r="4" ht="16.5" customHeight="1" s="7635" thickBot="1">
      <c r="A4" s="139" t="n"/>
      <c r="B4" s="2677" t="n"/>
      <c r="C4" s="88" t="n"/>
      <c r="D4" s="90" t="n"/>
      <c r="E4" s="2868" t="n"/>
      <c r="F4" s="88" t="n"/>
      <c r="G4" s="5721">
        <f>IF(AND('Table of Contents'!A50="D",O4=""),"DRAFT FORM","")</f>
        <v/>
      </c>
      <c r="H4" s="88" t="n"/>
      <c r="I4" s="88" t="n"/>
      <c r="J4" s="88" t="n"/>
      <c r="K4" s="2910" t="n"/>
      <c r="L4" s="10325" t="inlineStr">
        <is>
          <t xml:space="preserve">  OMB No. 1545-0074</t>
        </is>
      </c>
      <c r="M4" s="7637" t="n"/>
      <c r="N4" s="139" t="n"/>
      <c r="O4" s="5722" t="n"/>
      <c r="P4">
        <f>IF('Table of Contents'!A50="D","Check to hide 'DRAFT FORM'.","")</f>
        <v/>
      </c>
      <c r="S4" s="8648" t="n"/>
      <c r="T4" s="8648" t="n"/>
      <c r="AF4" s="8648" t="n"/>
    </row>
    <row r="5" ht="20.25" customHeight="1" s="7635">
      <c r="A5" s="139" t="n"/>
      <c r="B5" s="10292" t="inlineStr">
        <is>
          <t>Form</t>
        </is>
      </c>
      <c r="C5" s="12567" t="n">
        <v>6251</v>
      </c>
      <c r="D5" s="1066" t="n"/>
      <c r="E5" s="11329" t="inlineStr">
        <is>
          <t>Alternative Minimum Tax—Individuals</t>
        </is>
      </c>
      <c r="K5" s="1066" t="n"/>
      <c r="L5" s="8214">
        <f>TaxYear</f>
        <v/>
      </c>
      <c r="M5" s="7839" t="n"/>
      <c r="N5" s="2746" t="n"/>
      <c r="O5" s="2763" t="n"/>
      <c r="P5" s="226" t="inlineStr">
        <is>
          <t>Manual</t>
        </is>
      </c>
      <c r="Q5" s="11403" t="n"/>
      <c r="R5" s="6535" t="n"/>
      <c r="S5" s="2949" t="inlineStr">
        <is>
          <t>Worksheet To See if You Should Fill in Form 6251—Schedule 2, Line 2</t>
        </is>
      </c>
      <c r="T5" s="2950" t="n"/>
      <c r="U5" s="2951" t="n"/>
      <c r="V5" s="2952" t="n"/>
      <c r="W5" s="2952" t="n"/>
      <c r="X5" s="2953" t="n"/>
      <c r="Y5" s="2953" t="n"/>
      <c r="Z5" s="2953" t="n"/>
      <c r="AA5" s="2953" t="n"/>
      <c r="AB5" s="2953" t="n"/>
      <c r="AC5" s="2953" t="n"/>
      <c r="AD5" s="2953" t="n"/>
      <c r="AE5" s="2953" t="n"/>
      <c r="AF5" s="2954" t="n"/>
    </row>
    <row r="6" ht="14.25" customHeight="1" s="7635">
      <c r="A6" s="139" t="n"/>
      <c r="D6" s="1066" t="n"/>
      <c r="E6" s="12568" t="n"/>
      <c r="K6" s="1066" t="n"/>
      <c r="L6" s="11741" t="n"/>
      <c r="N6" s="2749" t="n"/>
      <c r="O6" s="2763" t="n"/>
      <c r="P6" s="226" t="inlineStr">
        <is>
          <t>Override ê</t>
        </is>
      </c>
      <c r="Q6" s="8922" t="n"/>
      <c r="R6" s="6536" t="n"/>
      <c r="S6" s="2955" t="n"/>
      <c r="T6" s="10297" t="n"/>
      <c r="U6" s="2957" t="inlineStr">
        <is>
          <t>Before you begin:</t>
        </is>
      </c>
      <c r="V6" s="1022" t="n"/>
      <c r="W6" s="2957" t="n"/>
      <c r="X6" s="10297" t="inlineStr">
        <is>
          <t>Be sure you have read the Exception in the instructions for this line to see if you must fill in</t>
        </is>
      </c>
      <c r="Y6" s="1022" t="n"/>
      <c r="Z6" s="1022" t="n"/>
      <c r="AA6" s="1022" t="n"/>
      <c r="AB6" s="1022" t="n"/>
      <c r="AC6" s="1022" t="n"/>
      <c r="AD6" s="1022" t="n"/>
      <c r="AE6" s="1022" t="n"/>
      <c r="AF6" s="2958" t="n"/>
    </row>
    <row r="7" ht="12.75" customHeight="1" s="7635">
      <c r="A7" s="139" t="n"/>
      <c r="B7" s="12569" t="inlineStr">
        <is>
          <t>Department of the Treasury Internal Revenue Service</t>
        </is>
      </c>
      <c r="D7" s="1066" t="n"/>
      <c r="E7" s="12086" t="inlineStr">
        <is>
          <t>Attach to Form 1040, 1040-SR, or Form 1040-NR.</t>
        </is>
      </c>
      <c r="K7" s="1066" t="n"/>
      <c r="L7" s="10331" t="inlineStr">
        <is>
          <t>Attachment</t>
        </is>
      </c>
      <c r="N7" s="2746" t="n"/>
      <c r="O7" s="2763" t="n"/>
      <c r="P7" s="2733" t="n"/>
      <c r="Q7" s="8922" t="n"/>
      <c r="R7" s="6537" t="n"/>
      <c r="S7" s="2959" t="n"/>
      <c r="T7" s="2960" t="n"/>
      <c r="U7" s="2961" t="n"/>
      <c r="V7" s="2962" t="n"/>
      <c r="W7" s="2963" t="n"/>
      <c r="X7" s="2964" t="inlineStr">
        <is>
          <t>Form 6251 instead of using this worksheet.</t>
        </is>
      </c>
      <c r="Y7" s="2962" t="n"/>
      <c r="Z7" s="2962" t="n"/>
      <c r="AA7" s="2962" t="n"/>
      <c r="AB7" s="2962" t="n"/>
      <c r="AC7" s="2962" t="n"/>
      <c r="AD7" s="2962" t="n"/>
      <c r="AE7" s="2962" t="n"/>
      <c r="AF7" s="2965" t="n"/>
    </row>
    <row r="8" ht="12.75" customHeight="1" s="7635" thickBot="1">
      <c r="A8" s="139" t="n"/>
      <c r="B8" s="8848" t="n"/>
      <c r="C8" s="8848" t="n"/>
      <c r="D8" s="2627" t="n"/>
      <c r="E8" s="12570" t="inlineStr">
        <is>
          <t>Go to www.irs.gov/Form6251 for instructions and the latest information.</t>
        </is>
      </c>
      <c r="F8" s="8848" t="n"/>
      <c r="G8" s="8848" t="n"/>
      <c r="H8" s="8848" t="n"/>
      <c r="I8" s="8848" t="n"/>
      <c r="J8" s="8848" t="n"/>
      <c r="K8" s="2627" t="n"/>
      <c r="L8" s="10323" t="inlineStr">
        <is>
          <t>Sequence No. 32</t>
        </is>
      </c>
      <c r="M8" s="8848" t="n"/>
      <c r="N8" s="2749" t="n"/>
      <c r="O8" s="2763" t="n"/>
      <c r="P8" s="7830" t="inlineStr">
        <is>
          <t>Your deduction is being</t>
        </is>
      </c>
      <c r="Q8" s="11403" t="n"/>
      <c r="R8" s="6537" t="n"/>
      <c r="S8" s="2967" t="n"/>
      <c r="T8" s="10297" t="n"/>
      <c r="U8" s="2968" t="n"/>
      <c r="V8" s="1022" t="n"/>
      <c r="W8" s="2969" t="n"/>
      <c r="X8" s="2970" t="n"/>
      <c r="Y8" s="1022" t="n"/>
      <c r="Z8" s="1022" t="n"/>
      <c r="AA8" s="1022" t="n"/>
      <c r="AB8" s="1022" t="n"/>
      <c r="AC8" s="1022" t="n"/>
      <c r="AD8" s="1022" t="n"/>
      <c r="AE8" s="1022" t="n"/>
      <c r="AF8" s="2958" t="n"/>
    </row>
    <row r="9" ht="11.25" customHeight="1" s="7635">
      <c r="A9" s="139" t="n"/>
      <c r="B9" s="2753" t="inlineStr">
        <is>
          <t>Name(s) shown on Form 1040, 1040-SR, or 1040-NR</t>
        </is>
      </c>
      <c r="C9" s="2754" t="n"/>
      <c r="D9" s="2754" t="n"/>
      <c r="E9" s="2755" t="n"/>
      <c r="F9" s="2756" t="n"/>
      <c r="G9" s="2753" t="n"/>
      <c r="H9" s="2756" t="n"/>
      <c r="I9" s="2756" t="n"/>
      <c r="J9" s="2756" t="n"/>
      <c r="K9" s="10343" t="inlineStr">
        <is>
          <t>Your social security number</t>
        </is>
      </c>
      <c r="N9" s="2746" t="n"/>
      <c r="O9" s="2763" t="n"/>
      <c r="P9" s="7830" t="inlineStr">
        <is>
          <t>calculated using:</t>
        </is>
      </c>
      <c r="Q9" s="11403" t="n"/>
      <c r="R9" s="6538" t="n"/>
      <c r="S9" s="2971" t="n"/>
      <c r="T9" s="2972" t="n"/>
      <c r="U9" s="2973" t="inlineStr">
        <is>
          <t>1.</t>
        </is>
      </c>
      <c r="V9" s="2974" t="inlineStr">
        <is>
          <t>Are you filing Schedule A?</t>
        </is>
      </c>
      <c r="W9" s="2972" t="n"/>
      <c r="X9" s="2972" t="n"/>
      <c r="Y9" s="2972" t="n"/>
      <c r="Z9" s="2972" t="n"/>
      <c r="AA9" s="2972" t="n"/>
      <c r="AB9" s="2972" t="n"/>
      <c r="AC9" s="2972" t="n"/>
      <c r="AD9" s="2972" t="n"/>
      <c r="AE9" s="1022" t="n"/>
      <c r="AF9" s="2958" t="n"/>
    </row>
    <row r="10" ht="14.25" customHeight="1" s="7635" thickBot="1">
      <c r="A10" s="139" t="n"/>
      <c r="B10" s="12571">
        <f>Names</f>
        <v/>
      </c>
      <c r="C10" s="7637" t="n"/>
      <c r="D10" s="7637" t="n"/>
      <c r="E10" s="7637" t="n"/>
      <c r="F10" s="7637" t="n"/>
      <c r="G10" s="7637" t="n"/>
      <c r="H10" s="7637" t="n"/>
      <c r="I10" s="7637" t="n"/>
      <c r="J10" s="7638" t="n"/>
      <c r="K10" s="12025">
        <f>IF(NoSSN,"",SS_Yours)</f>
        <v/>
      </c>
      <c r="L10" s="7637" t="n"/>
      <c r="M10" s="7637" t="n"/>
      <c r="N10" s="2749" t="n"/>
      <c r="O10" s="2763" t="n"/>
      <c r="P10" s="2975">
        <f>Deduction</f>
        <v/>
      </c>
      <c r="Q10" s="11403" t="n"/>
      <c r="R10" s="6538" t="n"/>
      <c r="S10" s="2971" t="n"/>
      <c r="T10" s="2972" t="n"/>
      <c r="U10" s="2972" t="n"/>
      <c r="V10" s="2976" t="n"/>
      <c r="W10" s="2972" t="n"/>
      <c r="X10" s="2972" t="n"/>
      <c r="Y10" s="2972" t="n"/>
      <c r="Z10" s="2972" t="n"/>
      <c r="AA10" s="2972" t="n"/>
      <c r="AB10" s="2972" t="n"/>
      <c r="AC10" s="2972" t="n"/>
      <c r="AD10" s="2972" t="n"/>
      <c r="AE10" s="2977" t="n"/>
      <c r="AF10" s="2958" t="n"/>
    </row>
    <row r="11" ht="16.5" customHeight="1" s="7635" thickBot="1">
      <c r="A11" s="139" t="n"/>
      <c r="B11" s="2978" t="inlineStr">
        <is>
          <t xml:space="preserve">Part I </t>
        </is>
      </c>
      <c r="C11" s="10329" t="inlineStr">
        <is>
          <t xml:space="preserve">  Alternative Minimum Taxable Income    (See instructions for how to complete each line.)</t>
        </is>
      </c>
      <c r="D11" s="8412" t="n"/>
      <c r="E11" s="8412" t="n"/>
      <c r="F11" s="8412" t="n"/>
      <c r="G11" s="8412" t="n"/>
      <c r="H11" s="8412" t="n"/>
      <c r="I11" s="8412" t="n"/>
      <c r="J11" s="8412" t="n"/>
      <c r="K11" s="8412" t="n"/>
      <c r="L11" s="8412" t="n"/>
      <c r="M11" s="8412" t="n"/>
      <c r="N11" s="2762" t="n"/>
      <c r="O11" s="2763" t="n"/>
      <c r="P11" s="2013" t="n"/>
      <c r="Q11" s="11403" t="n"/>
      <c r="R11" s="2979" t="n">
        <v>20000</v>
      </c>
      <c r="S11" s="2971" t="n"/>
      <c r="T11" s="2972" t="n"/>
      <c r="U11" s="2980">
        <f>IF(SchA_Filed,"","X")</f>
        <v/>
      </c>
      <c r="V11" s="2981" t="inlineStr">
        <is>
          <t>No.</t>
        </is>
      </c>
      <c r="W11" s="2982" t="inlineStr">
        <is>
          <t>Skip lines 1 and 2; subtract Form 1040 or 1040-SR, line 13, or Form 1040-NR, line 13a, from Form</t>
        </is>
      </c>
      <c r="X11" s="2972" t="n"/>
      <c r="Y11" s="2972" t="n"/>
      <c r="Z11" s="2972" t="n"/>
      <c r="AA11" s="2972" t="n"/>
      <c r="AB11" s="2972" t="n"/>
      <c r="AC11" s="2983">
        <f>IF(U11="X","Go to Line 4.","")</f>
        <v/>
      </c>
      <c r="AD11" s="2972" t="n"/>
      <c r="AE11" s="2977" t="n"/>
      <c r="AF11" s="2958" t="n"/>
    </row>
    <row r="12" ht="12" customHeight="1" s="7635">
      <c r="A12" s="139" t="n"/>
      <c r="B12" s="2994" t="inlineStr">
        <is>
          <t>1   a</t>
        </is>
      </c>
      <c r="C12" s="3019" t="inlineStr">
        <is>
          <t>Subtract Schedule 1-A (Form 1040), line 37, from Form 1040, 1040-SR, or</t>
        </is>
      </c>
      <c r="D12" s="2770" t="n"/>
      <c r="E12" s="11262" t="n"/>
      <c r="F12" s="11262" t="n"/>
      <c r="G12" s="2771" t="n"/>
      <c r="H12" s="2771" t="n"/>
      <c r="I12" s="2771" t="n"/>
      <c r="J12" s="6517" t="n"/>
      <c r="K12" s="9619">
        <f>IF(TotalDeductions="",0,TotalDeductions)</f>
        <v/>
      </c>
      <c r="L12" s="3026" t="n"/>
      <c r="M12" s="8173">
        <f>IF(DeductionForSeniors="",0,DeductionForSeniors)</f>
        <v/>
      </c>
      <c r="N12" s="2783" t="n"/>
      <c r="O12" s="2987" t="n"/>
      <c r="P12" s="2785" t="n"/>
      <c r="Q12" s="8885" t="n"/>
      <c r="R12" s="7834" t="n"/>
      <c r="S12" s="2971" t="n"/>
      <c r="T12" s="2972" t="n"/>
      <c r="U12" s="2972" t="n"/>
      <c r="V12" s="2976" t="n"/>
      <c r="W12" s="2982" t="inlineStr">
        <is>
          <t>1040, 1040-SR, or 1040-NR, line 11, and enter the result on line 3 and go to line 4.</t>
        </is>
      </c>
      <c r="X12" s="2972" t="n"/>
      <c r="Y12" s="2972" t="n"/>
      <c r="Z12" s="2972" t="n"/>
      <c r="AA12" s="2972" t="n"/>
      <c r="AB12" s="2972" t="n"/>
      <c r="AC12" s="2972" t="n"/>
      <c r="AD12" s="2972" t="n"/>
      <c r="AE12" s="1022" t="n"/>
      <c r="AF12" s="2958" t="n"/>
    </row>
    <row r="13" ht="15" customHeight="1" s="7635">
      <c r="A13" s="139" t="n"/>
      <c r="B13" s="8374" t="n"/>
      <c r="C13" s="3019" t="inlineStr">
        <is>
          <t>1040-NR, line 14</t>
        </is>
      </c>
      <c r="D13" s="2770" t="n"/>
      <c r="E13" s="11262" t="n"/>
      <c r="F13" s="11262" t="n"/>
      <c r="G13" s="2771" t="n"/>
      <c r="H13" s="2771" t="n"/>
      <c r="I13" s="2075">
        <f>IF(AND($M$22&lt;&gt;"",$M$22&gt;0),"(Enter Line 2f as a negative amount.)",".   .   .   .   .   .   .   .   .   .   .   .   .   .   .   .   .   .   .   .   .   . ")</f>
        <v/>
      </c>
      <c r="J13" s="2773" t="inlineStr">
        <is>
          <t>1a</t>
        </is>
      </c>
      <c r="K13" s="2774">
        <f>IF(N13&lt;&gt;"",ROUND(N13,0),IF(NOT(F6251_Needed),"",SUM(K12,-M12)))</f>
        <v/>
      </c>
      <c r="L13" s="3030" t="n"/>
      <c r="M13" s="2989" t="n"/>
      <c r="N13" s="2783" t="n"/>
      <c r="O13" s="2990" t="n"/>
      <c r="P13" s="800" t="n"/>
      <c r="Q13" s="8885" t="n"/>
      <c r="R13" s="854" t="n"/>
      <c r="S13" s="2971" t="n"/>
      <c r="T13" s="2972" t="n"/>
      <c r="U13" s="2972" t="n"/>
      <c r="V13" s="2976" t="n"/>
      <c r="W13" s="2982" t="n"/>
      <c r="X13" s="2972" t="n"/>
      <c r="Y13" s="2972" t="n"/>
      <c r="Z13" s="2972" t="n"/>
      <c r="AA13" s="2972" t="n"/>
      <c r="AB13" s="2972" t="n"/>
      <c r="AC13" s="2972" t="n"/>
      <c r="AD13" s="2972" t="n"/>
      <c r="AE13" s="1022" t="n"/>
      <c r="AF13" s="2958" t="n"/>
    </row>
    <row r="14" ht="15" customHeight="1" s="7635" thickBot="1">
      <c r="A14" s="139" t="n"/>
      <c r="B14" s="8374" t="inlineStr">
        <is>
          <t>b</t>
        </is>
      </c>
      <c r="C14" s="3019" t="inlineStr">
        <is>
          <t>Subtract line 1a from Form 1040, 1040-SR, or 1040-NR, line 11b (if less than zero, enter as a negative</t>
        </is>
      </c>
      <c r="D14" s="2770" t="n"/>
      <c r="E14" s="11262" t="n"/>
      <c r="F14" s="11262" t="n"/>
      <c r="G14" s="2771" t="n"/>
      <c r="H14" s="2771" t="n"/>
      <c r="I14" s="2075" t="n"/>
      <c r="J14" s="2075" t="n"/>
      <c r="K14" s="2075" t="n"/>
      <c r="L14" s="3030" t="n"/>
      <c r="M14" s="2989">
        <f>Adj_Gross_Inc_Pg2</f>
        <v/>
      </c>
      <c r="N14" s="2783" t="n"/>
      <c r="O14" s="2990" t="n"/>
      <c r="P14" s="800" t="n"/>
      <c r="Q14" s="8885" t="n"/>
      <c r="R14" s="854" t="n"/>
      <c r="S14" s="2971" t="n"/>
      <c r="T14" s="2972" t="n"/>
      <c r="U14" s="2972" t="n"/>
      <c r="V14" s="2976" t="n"/>
      <c r="W14" s="2982" t="n"/>
      <c r="X14" s="2972" t="n"/>
      <c r="Y14" s="2972" t="n"/>
      <c r="Z14" s="2972" t="n"/>
      <c r="AA14" s="2972" t="n"/>
      <c r="AB14" s="2972" t="n"/>
      <c r="AC14" s="2972" t="n"/>
      <c r="AD14" s="2972" t="n"/>
      <c r="AE14" s="1022" t="n"/>
      <c r="AF14" s="2958" t="n"/>
    </row>
    <row r="15" ht="15" customHeight="1" s="7635" thickBot="1">
      <c r="A15" s="139" t="n"/>
      <c r="B15" s="8374" t="n"/>
      <c r="C15" s="3214" t="inlineStr">
        <is>
          <t>amount)</t>
        </is>
      </c>
      <c r="D15" s="2770" t="n"/>
      <c r="E15" s="6519" t="n"/>
      <c r="F15" s="6519" t="n"/>
      <c r="G15" s="2771" t="n"/>
      <c r="H15" s="2771" t="n"/>
      <c r="I15" s="2771" t="n"/>
      <c r="J15" s="2771" t="n"/>
      <c r="K15" s="2031" t="inlineStr">
        <is>
          <t xml:space="preserve">.   .   .   .   .   .   .   .   .   .   .   .   .   .   .   .   . </t>
        </is>
      </c>
      <c r="L15" s="2773" t="inlineStr">
        <is>
          <t>1b</t>
        </is>
      </c>
      <c r="M15" s="2774">
        <f>IF(P15&lt;&gt;"",ROUND(P15,0),IF(OR(NOT(F6251_Needed),K13=""),"",SUM(M14,-K13)))</f>
        <v/>
      </c>
      <c r="N15" s="2783" t="n"/>
      <c r="O15" s="2990" t="n"/>
      <c r="P15" s="6518" t="n"/>
      <c r="Q15" s="8833" t="n"/>
      <c r="R15" s="2979">
        <f>IF(ISERROR(ROUND(M15,0)),0,ROUND(M15,0))</f>
        <v/>
      </c>
      <c r="S15" s="2971" t="n"/>
      <c r="T15" s="2972" t="n"/>
      <c r="U15" s="2980">
        <f>IF(SchA_Filed,"X","")</f>
        <v/>
      </c>
      <c r="V15" s="2981" t="inlineStr">
        <is>
          <t>Yes.</t>
        </is>
      </c>
      <c r="W15" s="2982" t="inlineStr">
        <is>
          <t>Enter the amount from Form 1040, 1040-SR, or 1040-NR, line 15</t>
        </is>
      </c>
      <c r="X15" s="2972" t="n"/>
      <c r="Y15" s="2972" t="n"/>
      <c r="Z15" s="2972" t="n"/>
      <c r="AA15" s="2992" t="inlineStr">
        <is>
          <t xml:space="preserve">.   .   .   .   .   .   .   .   .   .   .   .  </t>
        </is>
      </c>
      <c r="AB15" s="2993" t="inlineStr">
        <is>
          <t>1.</t>
        </is>
      </c>
      <c r="AC15" s="8177">
        <f>IF(U15="X",Taxable_Inc,"")</f>
        <v/>
      </c>
      <c r="AD15" s="2972" t="n"/>
      <c r="AE15" s="1022" t="n"/>
      <c r="AF15" s="2958" t="n"/>
    </row>
    <row r="16" ht="15" customHeight="1" s="7635">
      <c r="A16" s="139" t="n"/>
      <c r="B16" s="2994" t="inlineStr">
        <is>
          <t>2   a</t>
        </is>
      </c>
      <c r="C16" s="2769" t="inlineStr">
        <is>
          <t>If filing Schedule A (Form 1040), enter the taxes from Schedule A, line 7; otherwise, enter the amount from</t>
        </is>
      </c>
      <c r="D16" s="2995" t="n"/>
      <c r="E16" s="11262" t="n"/>
      <c r="F16" s="11262" t="n"/>
      <c r="G16" s="2771" t="n"/>
      <c r="H16" s="2771" t="n"/>
      <c r="I16" s="2771" t="n"/>
      <c r="J16" s="2771" t="n"/>
      <c r="K16" s="2031" t="n"/>
      <c r="L16" s="8679" t="n"/>
      <c r="M16" s="2792" t="n"/>
      <c r="N16" s="2775" t="n"/>
      <c r="O16" s="2990" t="n"/>
      <c r="P16" s="2997" t="n">
        <v>920350</v>
      </c>
      <c r="Q16" s="8833" t="n"/>
      <c r="R16" s="2979">
        <f>SUM(P16,ROUND(P22*SUM(P19,-P16),0))</f>
        <v/>
      </c>
      <c r="S16" s="2971" t="n"/>
      <c r="T16" s="2972" t="n"/>
      <c r="U16" s="2972" t="n"/>
      <c r="V16" s="2976" t="n"/>
      <c r="W16" s="2972" t="n"/>
      <c r="X16" s="2972" t="n"/>
      <c r="Y16" s="2972" t="n"/>
      <c r="Z16" s="2972" t="n"/>
      <c r="AA16" s="2972" t="n"/>
      <c r="AB16" s="2972" t="n"/>
      <c r="AC16" s="2972" t="n"/>
      <c r="AD16" s="2972" t="n"/>
      <c r="AE16" s="2972" t="n"/>
      <c r="AF16" s="2998" t="n"/>
    </row>
    <row r="17" ht="15" customHeight="1" s="7635">
      <c r="A17" s="139" t="n"/>
      <c r="B17" s="8374" t="n"/>
      <c r="C17" s="2769" t="inlineStr">
        <is>
          <t>Form 1040 or 1040-SR, line 12e</t>
        </is>
      </c>
      <c r="D17" s="2769" t="n"/>
      <c r="E17" s="11262" t="n"/>
      <c r="F17" s="11262" t="n"/>
      <c r="G17" s="2771" t="n"/>
      <c r="H17" s="2771" t="n"/>
      <c r="I17" s="2771" t="n"/>
      <c r="J17" s="2771" t="n"/>
      <c r="K17" s="2031" t="inlineStr">
        <is>
          <t xml:space="preserve">.   .   .   .   .   .   .   .   .   .   .   .   .   .   .   .   .   .   .   .   .   .   .   .   .   .   .   . </t>
        </is>
      </c>
      <c r="L17" s="2773" t="inlineStr">
        <is>
          <t>2a</t>
        </is>
      </c>
      <c r="M17" s="2774">
        <f>IF(NOT(P1),"",IF(P17&lt;&gt;"",ROUND(P17,0),IF(ItemizedDeduct,SALT_Limited,Deductions)))</f>
        <v/>
      </c>
      <c r="N17" s="2775" t="n"/>
      <c r="O17" s="2990" t="n"/>
      <c r="P17" s="118" t="n"/>
      <c r="Q17" s="8833" t="n"/>
      <c r="R17" s="2979">
        <f>IF(ISERROR(ROUND(M17,0)),0,ROUND(M17,0))</f>
        <v/>
      </c>
      <c r="S17" s="2999" t="n"/>
      <c r="T17" s="2972" t="n"/>
      <c r="U17" s="3000" t="inlineStr">
        <is>
          <t>2.</t>
        </is>
      </c>
      <c r="V17" s="2982" t="inlineStr">
        <is>
          <t>Enter the amount from Schedule A, line 7</t>
        </is>
      </c>
      <c r="W17" s="2972" t="n"/>
      <c r="X17" s="2972" t="n"/>
      <c r="Y17" s="2972" t="n"/>
      <c r="Z17" s="2972" t="n"/>
      <c r="AA17" s="2992" t="inlineStr">
        <is>
          <t xml:space="preserve">.   .   .   .   .   .   .   .   .   .   .   .   .   .   .   .   .   .   .   .   .   .   .   .   .   .  </t>
        </is>
      </c>
      <c r="AB17" s="2993" t="inlineStr">
        <is>
          <t>2.</t>
        </is>
      </c>
      <c r="AC17" s="8177">
        <f>IF(U15="X",SALT_Limited,"")</f>
        <v/>
      </c>
      <c r="AD17" s="2972" t="n"/>
      <c r="AE17" s="2972" t="n"/>
      <c r="AF17" s="2998" t="n"/>
    </row>
    <row r="18" ht="15" customHeight="1" s="7635">
      <c r="A18" s="139" t="n"/>
      <c r="B18" s="8374" t="inlineStr">
        <is>
          <t>b</t>
        </is>
      </c>
      <c r="C18" s="2769" t="inlineStr">
        <is>
          <t>Tax refund from Schedule 1 (Form 1040), line 1 or line 8z</t>
        </is>
      </c>
      <c r="D18" s="2769" t="n"/>
      <c r="E18" s="11262" t="n"/>
      <c r="F18" s="11262" t="n"/>
      <c r="G18" s="3001" t="n"/>
      <c r="H18" s="10321">
        <f>IF(AND($M$18&lt;&gt;"",$M$18&gt;0),"(Line 2b must be a negative amount.)",".   .   .   .   .   .   .   .   .   .   .   .   .   .   .   .   .   . ")</f>
        <v/>
      </c>
      <c r="I18" s="194" t="n"/>
      <c r="J18" s="194" t="n"/>
      <c r="K18" s="11726" t="n"/>
      <c r="L18" s="2773">
        <f>"2"&amp;B18</f>
        <v/>
      </c>
      <c r="M18" s="2774">
        <f>IF(NOT(P1),"",IF(P18&lt;&gt;"",ROUND(P18,0),IF(Sch1_Line1="",0,SUM(-Sch1_Line1,-AA21))))</f>
        <v/>
      </c>
      <c r="N18" s="2775" t="n"/>
      <c r="O18" s="2990" t="n"/>
      <c r="P18" s="118" t="n"/>
      <c r="Q18" s="8833" t="n"/>
      <c r="R18" s="2979">
        <f>IF(ISERROR(ROUND(M18,0)),0,ROUND(M18,0))</f>
        <v/>
      </c>
      <c r="S18" s="2971" t="n"/>
      <c r="T18" s="2972" t="n"/>
      <c r="U18" s="2972" t="n"/>
      <c r="V18" s="2976" t="n"/>
      <c r="W18" s="2972" t="n"/>
      <c r="X18" s="2972" t="n"/>
      <c r="Y18" s="2972" t="n"/>
      <c r="Z18" s="2972" t="n"/>
      <c r="AA18" s="2972" t="n"/>
      <c r="AB18" s="2972" t="n"/>
      <c r="AC18" s="2972" t="n"/>
      <c r="AD18" s="2972" t="n"/>
      <c r="AE18" s="6539" t="n"/>
      <c r="AF18" s="2998" t="n"/>
    </row>
    <row r="19" ht="15" customHeight="1" s="7635">
      <c r="A19" s="139" t="n"/>
      <c r="B19" s="8374" t="inlineStr">
        <is>
          <t>c</t>
        </is>
      </c>
      <c r="C19" s="2769" t="inlineStr">
        <is>
          <t>Investment interest expense (difference between regular tax and AMT)</t>
        </is>
      </c>
      <c r="D19" s="2769" t="n"/>
      <c r="E19" s="11262" t="n"/>
      <c r="F19" s="11262" t="n"/>
      <c r="G19" s="2771" t="n"/>
      <c r="H19" s="2771" t="n"/>
      <c r="I19" s="2771" t="n"/>
      <c r="J19" s="2771" t="n"/>
      <c r="K19" s="2031" t="inlineStr">
        <is>
          <t xml:space="preserve">.   .   .   .   .   .   .   .   .   .   .   .   . </t>
        </is>
      </c>
      <c r="L19" s="2773">
        <f>"2"&amp;B19</f>
        <v/>
      </c>
      <c r="M19" s="335" t="n"/>
      <c r="N19" s="2775" t="n"/>
      <c r="O19" s="2990" t="n"/>
      <c r="P19" s="6520" t="n">
        <v>900350</v>
      </c>
      <c r="Q19" s="8833" t="n"/>
      <c r="R19" s="2979">
        <f>ROUND(M19,0)</f>
        <v/>
      </c>
      <c r="S19" s="2971" t="n"/>
      <c r="T19" s="2972" t="n"/>
      <c r="U19" s="3000" t="inlineStr">
        <is>
          <t>3.</t>
        </is>
      </c>
      <c r="V19" s="2982" t="inlineStr">
        <is>
          <t>Add lines 1 and 2</t>
        </is>
      </c>
      <c r="W19" s="2972" t="n"/>
      <c r="X19" s="2972" t="n"/>
      <c r="Y19" s="2972" t="n"/>
      <c r="Z19" s="2972" t="n"/>
      <c r="AA19" s="2992" t="inlineStr">
        <is>
          <t xml:space="preserve">.   .   .   .   .   .   .   .   .   .   .   .   .   .   .   .   .   .   .   .   .   .   .   .   .   .   .   .   .   .   .   .   .   .   .   .  </t>
        </is>
      </c>
      <c r="AB19" s="2993" t="inlineStr">
        <is>
          <t>3.</t>
        </is>
      </c>
      <c r="AC19" s="8177">
        <f>IF(U11="X",SUM(Adj_Gross_Inc,-AE19),IF(U15="X",SUM(AC15,AC17),""))</f>
        <v/>
      </c>
      <c r="AD19" s="2972" t="n"/>
      <c r="AE19" s="6540">
        <f>IF(QBID_1040="",0,QBID_1040)</f>
        <v/>
      </c>
      <c r="AF19" s="2998" t="n"/>
    </row>
    <row r="20" ht="15" customHeight="1" s="7635">
      <c r="A20" s="139" t="n"/>
      <c r="B20" s="8374" t="inlineStr">
        <is>
          <t>d</t>
        </is>
      </c>
      <c r="C20" s="2769" t="inlineStr">
        <is>
          <t>Depletion (difference between regular tax and AMT)</t>
        </is>
      </c>
      <c r="D20" s="2769" t="n"/>
      <c r="E20" s="11262" t="n"/>
      <c r="F20" s="11262" t="n"/>
      <c r="G20" s="2771" t="n"/>
      <c r="H20" s="2771" t="n"/>
      <c r="I20" s="2771" t="n"/>
      <c r="J20" s="2771" t="n"/>
      <c r="K20" s="2031" t="inlineStr">
        <is>
          <t xml:space="preserve">.   .   .   .   .   .   .   .   .   .   .   .   .   .   .   .   .   .   . </t>
        </is>
      </c>
      <c r="L20" s="2773">
        <f>"2"&amp;B20</f>
        <v/>
      </c>
      <c r="M20" s="335" t="n"/>
      <c r="N20" s="2775" t="n"/>
      <c r="O20" s="2990" t="n"/>
      <c r="P20" s="6520" t="n">
        <v>1174350</v>
      </c>
      <c r="Q20" s="8833" t="n"/>
      <c r="R20" s="2979">
        <f>ROUND(M20,0)</f>
        <v/>
      </c>
      <c r="S20" s="2971" t="n"/>
      <c r="T20" s="2972" t="n"/>
      <c r="U20" s="2972" t="n"/>
      <c r="V20" s="2976" t="n"/>
      <c r="W20" s="2972" t="n"/>
      <c r="X20" s="2972" t="n"/>
      <c r="Y20" s="2972" t="n"/>
      <c r="Z20" s="2972" t="n"/>
      <c r="AA20" s="2972" t="n"/>
      <c r="AB20" s="2972" t="n"/>
      <c r="AC20" s="2972" t="n"/>
      <c r="AD20" s="2972" t="n"/>
      <c r="AE20" s="2972" t="n"/>
      <c r="AF20" s="2998" t="n"/>
    </row>
    <row r="21" ht="15" customHeight="1" s="7635">
      <c r="A21" s="139" t="n"/>
      <c r="B21" s="8374" t="inlineStr">
        <is>
          <t>e</t>
        </is>
      </c>
      <c r="C21" s="2769" t="inlineStr">
        <is>
          <t>Net operating loss deduction from Schedule 1 (Form 1040), line 8a.</t>
        </is>
      </c>
      <c r="D21" s="2769" t="n"/>
      <c r="E21" s="11262" t="n"/>
      <c r="F21" s="11262" t="n"/>
      <c r="G21" s="3002" t="n"/>
      <c r="H21" s="3003" t="inlineStr">
        <is>
          <t>Enter as positive amount.</t>
        </is>
      </c>
      <c r="I21" s="3004" t="n"/>
      <c r="J21" s="3005" t="n"/>
      <c r="K21" s="3005" t="n"/>
      <c r="L21" s="2773">
        <f>"2"&amp;B21</f>
        <v/>
      </c>
      <c r="M21" s="335" t="n"/>
      <c r="N21" s="2775" t="n"/>
      <c r="O21" s="2990" t="n"/>
      <c r="P21" s="2997">
        <f>I45</f>
        <v/>
      </c>
      <c r="Q21" s="8833" t="n"/>
      <c r="R21" s="2979">
        <f>ROUND(M21,0)</f>
        <v/>
      </c>
      <c r="S21" s="2971" t="n"/>
      <c r="T21" s="2972" t="n"/>
      <c r="U21" s="3000" t="inlineStr">
        <is>
          <t>4.</t>
        </is>
      </c>
      <c r="V21" s="2982" t="inlineStr">
        <is>
          <t>Enter any tax refund from Schedule 1, lines 1 and 8z</t>
        </is>
      </c>
      <c r="W21" s="2972" t="n"/>
      <c r="X21" s="2972" t="n"/>
      <c r="Y21" s="2972" t="n"/>
      <c r="Z21" s="3006" t="inlineStr">
        <is>
          <t xml:space="preserve">.   .   .   .   .   .   .   .   .   .   .   .   .   </t>
        </is>
      </c>
      <c r="AA21" s="8797" t="n"/>
      <c r="AB21" s="2993" t="inlineStr">
        <is>
          <t>4.</t>
        </is>
      </c>
      <c r="AC21" s="8177">
        <f>SUM(Sch1_Line1,AA21)</f>
        <v/>
      </c>
      <c r="AD21" s="2972" t="n"/>
      <c r="AE21" s="2972" t="n"/>
      <c r="AF21" s="2998" t="n"/>
    </row>
    <row r="22" ht="15" customHeight="1" s="7635">
      <c r="A22" s="139" t="n"/>
      <c r="B22" s="8374" t="inlineStr">
        <is>
          <t>f</t>
        </is>
      </c>
      <c r="C22" s="2769" t="inlineStr">
        <is>
          <t>Alternative tax net operating loss deduction</t>
        </is>
      </c>
      <c r="D22" s="2769" t="n"/>
      <c r="E22" s="11262" t="n"/>
      <c r="F22" s="11262" t="n"/>
      <c r="G22" s="3007" t="n"/>
      <c r="H22" s="2771" t="n"/>
      <c r="I22" s="2771" t="n"/>
      <c r="J22" s="2771" t="n"/>
      <c r="K22" s="2075">
        <f>IF(AND($M$22&lt;&gt;"",$M$22&gt;0),"(Enter Line 2f as a negative amount.)",".   .   .   .   .   .   .   .   .   .   .   .   .   .   .   .   .   .   .   .   .   . ")</f>
        <v/>
      </c>
      <c r="L22" s="2773">
        <f>"2"&amp;B22</f>
        <v/>
      </c>
      <c r="M22" s="335" t="n"/>
      <c r="N22" s="2775" t="n"/>
      <c r="O22" s="2990" t="n"/>
      <c r="P22" s="2510" t="n">
        <v>0.25</v>
      </c>
      <c r="Q22" s="8833" t="n"/>
      <c r="R22" s="2979">
        <f>ROUND(M22,0)</f>
        <v/>
      </c>
      <c r="S22" s="2971" t="n"/>
      <c r="T22" s="2972" t="n"/>
      <c r="U22" s="2972" t="n"/>
      <c r="V22" s="2976" t="n"/>
      <c r="W22" s="2972" t="n"/>
      <c r="X22" s="2972" t="n"/>
      <c r="Y22" s="2972" t="n"/>
      <c r="Z22" s="2972" t="n"/>
      <c r="AA22" s="3008" t="inlineStr">
        <is>
          <t>Portion of Line 8z attributed to tax refund  ↑</t>
        </is>
      </c>
      <c r="AB22" s="2972" t="n"/>
      <c r="AC22" s="2972" t="n"/>
      <c r="AD22" s="2972" t="n"/>
      <c r="AE22" s="2972" t="n"/>
      <c r="AF22" s="2998" t="n"/>
    </row>
    <row r="23" ht="15" customHeight="1" s="7635">
      <c r="A23" s="139" t="n"/>
      <c r="B23" s="8374" t="inlineStr">
        <is>
          <t>g</t>
        </is>
      </c>
      <c r="C23" s="2769" t="inlineStr">
        <is>
          <t>Interest from specified private activity bonds exempt from the regular tax</t>
        </is>
      </c>
      <c r="D23" s="2769" t="n"/>
      <c r="E23" s="11262" t="n"/>
      <c r="F23" s="11262" t="n"/>
      <c r="G23" s="2771" t="n"/>
      <c r="H23" s="2771" t="n"/>
      <c r="I23" s="2771" t="n"/>
      <c r="J23" s="2771" t="n"/>
      <c r="K23" s="2031" t="inlineStr">
        <is>
          <t xml:space="preserve">.   .   .   .   .   .   .   .   .   .   .   . </t>
        </is>
      </c>
      <c r="L23" s="2773">
        <f>"2"&amp;B23</f>
        <v/>
      </c>
      <c r="M23" s="2816">
        <f>IF(P23&lt;&gt;"",ROUND(P23,0),IF(NOT(F6251_Needed),"",SUM(F1099INT_SPABI,F1099DIV_SPABI)))</f>
        <v/>
      </c>
      <c r="N23" s="2775" t="n"/>
      <c r="O23" s="2990" t="n"/>
      <c r="P23" s="118" t="n"/>
      <c r="Q23" s="8833" t="n"/>
      <c r="R23" s="2979">
        <f>IF(ISERROR(ROUND(M23,0)),0,ROUND(M23,0))</f>
        <v/>
      </c>
      <c r="S23" s="2971" t="n"/>
      <c r="T23" s="2972" t="n"/>
      <c r="U23" s="2972" t="n"/>
      <c r="V23" s="2976" t="n"/>
      <c r="W23" s="2972" t="n"/>
      <c r="X23" s="2972" t="n"/>
      <c r="Y23" s="2972" t="n"/>
      <c r="Z23" s="2972" t="n"/>
      <c r="AA23" s="3009" t="inlineStr">
        <is>
          <t>(This is used here and Form 6251, Line 2b.)</t>
        </is>
      </c>
      <c r="AB23" s="2972" t="n"/>
      <c r="AC23" s="2972" t="n"/>
      <c r="AD23" s="2972" t="n"/>
      <c r="AE23" s="2972" t="n"/>
      <c r="AF23" s="2998" t="n"/>
    </row>
    <row r="24" ht="15" customHeight="1" s="7635">
      <c r="A24" s="139" t="n"/>
      <c r="B24" s="8374" t="inlineStr">
        <is>
          <t>h</t>
        </is>
      </c>
      <c r="C24" s="2769" t="inlineStr">
        <is>
          <t>Qualified small business stock, see instructions</t>
        </is>
      </c>
      <c r="D24" s="2769" t="n"/>
      <c r="E24" s="11262" t="n"/>
      <c r="F24" s="11262" t="n"/>
      <c r="G24" s="2771" t="n"/>
      <c r="H24" s="2771" t="n"/>
      <c r="I24" s="2771" t="n"/>
      <c r="J24" s="2771" t="n"/>
      <c r="K24" s="2031" t="inlineStr">
        <is>
          <t xml:space="preserve">.   .   .   .   .   .   .   .   .   .   .   .   .   .   .   .   .   .   .   .   . </t>
        </is>
      </c>
      <c r="L24" s="2773">
        <f>"2"&amp;B24</f>
        <v/>
      </c>
      <c r="M24" s="335" t="n"/>
      <c r="N24" s="2775" t="n"/>
      <c r="O24" s="2990" t="n"/>
      <c r="P24" s="3010" t="n"/>
      <c r="Q24" s="8833" t="n"/>
      <c r="R24" s="2979">
        <f>ROUND(M24,0)</f>
        <v/>
      </c>
      <c r="S24" s="2971" t="n"/>
      <c r="T24" s="2972" t="n"/>
      <c r="U24" s="3000" t="inlineStr">
        <is>
          <t>5.</t>
        </is>
      </c>
      <c r="V24" s="2982" t="inlineStr">
        <is>
          <t>Subtract line 4 from line 3</t>
        </is>
      </c>
      <c r="W24" s="2972" t="n"/>
      <c r="X24" s="2972" t="n"/>
      <c r="Y24" s="2972" t="n"/>
      <c r="Z24" s="2972" t="n"/>
      <c r="AA24" s="2992" t="inlineStr">
        <is>
          <t xml:space="preserve">.   .   .   .   .   .   .   .   .   .   .   .   .   .   .   .   .   .   .   .   .   .   .   .   .   .   .   .   .   .   .   .   .   .   .   .  </t>
        </is>
      </c>
      <c r="AB24" s="2993" t="inlineStr">
        <is>
          <t>5.</t>
        </is>
      </c>
      <c r="AC24" s="8177">
        <f>SUM(AC19,-AC21)</f>
        <v/>
      </c>
      <c r="AD24" s="2972" t="n"/>
      <c r="AE24" s="2972" t="n"/>
      <c r="AF24" s="2998" t="n"/>
    </row>
    <row r="25" ht="15" customHeight="1" s="7635">
      <c r="A25" s="139" t="n"/>
      <c r="B25" s="8374" t="inlineStr">
        <is>
          <t>i</t>
        </is>
      </c>
      <c r="C25" s="2769" t="inlineStr">
        <is>
          <t>Exercise of incentive stock options (excess of AMT income over regular tax income)</t>
        </is>
      </c>
      <c r="D25" s="2769" t="n"/>
      <c r="E25" s="11262" t="n"/>
      <c r="F25" s="11262" t="n"/>
      <c r="G25" s="2771" t="n"/>
      <c r="H25" s="2771" t="n"/>
      <c r="I25" s="2771" t="n"/>
      <c r="J25" s="2771" t="n"/>
      <c r="K25" s="2031" t="inlineStr">
        <is>
          <t xml:space="preserve">.   .   .   .   .   .   .   .   . </t>
        </is>
      </c>
      <c r="L25" s="2773">
        <f>"2"&amp;B25</f>
        <v/>
      </c>
      <c r="M25" s="335" t="n"/>
      <c r="N25" s="2775" t="n"/>
      <c r="O25" s="2990" t="n"/>
      <c r="P25" s="3011" t="inlineStr">
        <is>
          <t>Line 4 —  Alternative Minimum</t>
        </is>
      </c>
      <c r="Q25" s="8833" t="n"/>
      <c r="R25" s="2979">
        <f>ROUND(M25,0)</f>
        <v/>
      </c>
      <c r="S25" s="2971" t="n"/>
      <c r="T25" s="2972" t="n"/>
      <c r="U25" s="2972" t="n"/>
      <c r="V25" s="2976" t="n"/>
      <c r="W25" s="2972" t="n"/>
      <c r="X25" s="2972" t="n"/>
      <c r="Y25" s="2972" t="n"/>
      <c r="Z25" s="2972" t="n"/>
      <c r="AA25" s="2972" t="n"/>
      <c r="AB25" s="2972" t="n"/>
      <c r="AC25" s="2972" t="n"/>
      <c r="AD25" s="2972" t="n"/>
      <c r="AE25" s="2972" t="n"/>
      <c r="AF25" s="2998" t="n"/>
    </row>
    <row r="26" ht="15" customHeight="1" s="7635">
      <c r="A26" s="139" t="n"/>
      <c r="B26" s="8374" t="inlineStr">
        <is>
          <t>j</t>
        </is>
      </c>
      <c r="C26" s="2769" t="inlineStr">
        <is>
          <t>Estates and trusts (amount from Schedule K-1 (Form 1041), box 12, code A)</t>
        </is>
      </c>
      <c r="D26" s="2769" t="n"/>
      <c r="E26" s="11262" t="n"/>
      <c r="F26" s="11262" t="n"/>
      <c r="G26" s="2771" t="n"/>
      <c r="H26" s="2771" t="n"/>
      <c r="I26" s="2771" t="n"/>
      <c r="J26" s="2771" t="n"/>
      <c r="K26" s="2031" t="inlineStr">
        <is>
          <t xml:space="preserve">.   .   .   .   .   .   .   .   .   . </t>
        </is>
      </c>
      <c r="L26" s="2773">
        <f>"2"&amp;B26</f>
        <v/>
      </c>
      <c r="M26" s="335" t="n"/>
      <c r="N26" s="2775" t="n"/>
      <c r="O26" s="2990" t="n"/>
      <c r="P26" s="3011" t="inlineStr">
        <is>
          <t>Taxable Income</t>
        </is>
      </c>
      <c r="Q26" s="8833" t="n"/>
      <c r="R26" s="2979">
        <f>ROUND(M26,0)</f>
        <v/>
      </c>
      <c r="S26" s="2971" t="n"/>
      <c r="T26" s="2972" t="n"/>
      <c r="U26" s="3000" t="inlineStr">
        <is>
          <t>6.</t>
        </is>
      </c>
      <c r="V26" s="2982" t="inlineStr">
        <is>
          <t>Enter the amount shown below for your filing status</t>
        </is>
      </c>
      <c r="W26" s="2972" t="n"/>
      <c r="X26" s="2972" t="n"/>
      <c r="Y26" s="2972" t="n"/>
      <c r="Z26" s="2972" t="n"/>
      <c r="AA26" s="2972" t="n"/>
      <c r="AB26" s="2972" t="n"/>
      <c r="AC26" s="2972" t="n"/>
      <c r="AD26" s="2972" t="n"/>
      <c r="AE26" s="2972" t="n"/>
      <c r="AF26" s="2998" t="n"/>
    </row>
    <row r="27" ht="15" customHeight="1" s="7635">
      <c r="A27" s="139" t="n"/>
      <c r="B27" s="8374" t="inlineStr">
        <is>
          <t>k</t>
        </is>
      </c>
      <c r="C27" s="2769" t="inlineStr">
        <is>
          <t>Disposition of property (difference between AMT and regular tax gain or loss)</t>
        </is>
      </c>
      <c r="D27" s="2769" t="n"/>
      <c r="E27" s="11262" t="n"/>
      <c r="F27" s="11262" t="n"/>
      <c r="G27" s="2771" t="n"/>
      <c r="H27" s="2771" t="n"/>
      <c r="I27" s="2771" t="n"/>
      <c r="J27" s="2771" t="n"/>
      <c r="K27" s="2031" t="inlineStr">
        <is>
          <t xml:space="preserve">.   .   .   .   .   .   .   .   .   .   . </t>
        </is>
      </c>
      <c r="L27" s="2773">
        <f>"2"&amp;B27</f>
        <v/>
      </c>
      <c r="M27" s="335" t="n"/>
      <c r="N27" s="2775" t="n"/>
      <c r="O27" s="2990" t="n"/>
      <c r="P27" s="3011" t="inlineStr">
        <is>
          <t>If your filing status is married filing</t>
        </is>
      </c>
      <c r="Q27" s="8833" t="n"/>
      <c r="R27" s="2979">
        <f>ROUND(M27,0)</f>
        <v/>
      </c>
      <c r="S27" s="2971" t="n"/>
      <c r="T27" s="2972" t="n"/>
      <c r="U27" s="2976" t="inlineStr">
        <is>
          <t xml:space="preserve"> l</t>
        </is>
      </c>
      <c r="V27" s="2982">
        <f>"Single or head of household -- "&amp;TEXT(I43,"$0,000")</f>
        <v/>
      </c>
      <c r="W27" s="2972" t="n"/>
      <c r="X27" s="2972" t="n"/>
      <c r="Y27" s="2972" t="n"/>
      <c r="Z27" s="2972" t="n"/>
      <c r="AA27" s="2992" t="inlineStr">
        <is>
          <t xml:space="preserve">.   .   .   .   .   .   .  </t>
        </is>
      </c>
      <c r="AB27" s="2993" t="inlineStr">
        <is>
          <t>6.</t>
        </is>
      </c>
      <c r="AC27" s="8177">
        <f>IF(OR(File_Single&lt;&gt;"",File_Head&lt;&gt;""),I43,IF(OR(File_Marr_Joint&lt;&gt;"",File_Qual_Widow&lt;&gt;""),I44,IF(File_Marr_Sep&lt;&gt;"",I45,"Filing status?")))</f>
        <v/>
      </c>
      <c r="AD27" s="2972" t="n"/>
      <c r="AE27" s="2972" t="n"/>
      <c r="AF27" s="2998" t="n"/>
      <c r="AH27" s="3012" t="n"/>
    </row>
    <row r="28" ht="15" customHeight="1" s="7635">
      <c r="A28" s="139" t="n"/>
      <c r="B28" s="8374" t="inlineStr">
        <is>
          <t>l</t>
        </is>
      </c>
      <c r="C28" s="2769" t="inlineStr">
        <is>
          <t>Depreciation on assets placed in service after 1986 (difference between regular tax and AMT)</t>
        </is>
      </c>
      <c r="D28" s="2769" t="n"/>
      <c r="E28" s="11262" t="n"/>
      <c r="F28" s="11262" t="n"/>
      <c r="G28" s="2771" t="n"/>
      <c r="H28" s="2771" t="n"/>
      <c r="I28" s="2771" t="n"/>
      <c r="J28" s="2771" t="n"/>
      <c r="K28" s="2031" t="inlineStr">
        <is>
          <t xml:space="preserve">.   .   .   .   .   . </t>
        </is>
      </c>
      <c r="L28" s="2773">
        <f>"2"&amp;B28</f>
        <v/>
      </c>
      <c r="M28" s="335" t="n"/>
      <c r="N28" s="2775" t="n"/>
      <c r="O28" s="2990" t="n"/>
      <c r="P28" s="3011" t="inlineStr">
        <is>
          <t>separately and line 4 is more than</t>
        </is>
      </c>
      <c r="Q28" s="8833" t="n"/>
      <c r="R28" s="2979">
        <f>ROUND(M28,0)</f>
        <v/>
      </c>
      <c r="S28" s="2971" t="n"/>
      <c r="T28" s="2972" t="n"/>
      <c r="U28" s="2976" t="inlineStr">
        <is>
          <t xml:space="preserve"> l</t>
        </is>
      </c>
      <c r="V28" s="2982">
        <f>"Married filing jointly or qualifying widow(er) -- "&amp;TEXT(I44,"$0,000")</f>
        <v/>
      </c>
      <c r="W28" s="2972" t="n"/>
      <c r="X28" s="2972" t="n"/>
      <c r="Y28" s="2972" t="n"/>
      <c r="Z28" s="2972" t="n"/>
      <c r="AA28" s="3013" t="n"/>
      <c r="AB28" s="2972" t="n"/>
      <c r="AC28" s="2972" t="n"/>
      <c r="AD28" s="2972" t="n"/>
      <c r="AE28" s="2972" t="n"/>
      <c r="AF28" s="2998" t="n"/>
    </row>
    <row r="29" ht="15" customHeight="1" s="7635">
      <c r="A29" s="139" t="n"/>
      <c r="B29" s="8374" t="inlineStr">
        <is>
          <t>m</t>
        </is>
      </c>
      <c r="C29" s="2769" t="inlineStr">
        <is>
          <t xml:space="preserve">Passive activities (difference between AMT and regular tax income or loss) </t>
        </is>
      </c>
      <c r="D29" s="2769" t="n"/>
      <c r="E29" s="11262" t="n"/>
      <c r="F29" s="11262" t="n"/>
      <c r="G29" s="2771" t="n"/>
      <c r="H29" s="2771" t="n"/>
      <c r="I29" s="2771" t="n"/>
      <c r="J29" s="2771" t="n"/>
      <c r="K29" s="2031" t="inlineStr">
        <is>
          <t xml:space="preserve">.   .   .   .   .   .   .   .   .   .   . </t>
        </is>
      </c>
      <c r="L29" s="2773">
        <f>"2"&amp;B29</f>
        <v/>
      </c>
      <c r="M29" s="335" t="n"/>
      <c r="N29" s="2775" t="n"/>
      <c r="O29" s="2990" t="n"/>
      <c r="P29" s="3011">
        <f>TEXT(P19,"$0,000")&amp;", you must include an"</f>
        <v/>
      </c>
      <c r="Q29" s="8833" t="n"/>
      <c r="R29" s="2979">
        <f>ROUND(M29,0)</f>
        <v/>
      </c>
      <c r="S29" s="2971" t="n"/>
      <c r="T29" s="2972" t="n"/>
      <c r="U29" s="2976" t="inlineStr">
        <is>
          <t xml:space="preserve"> l</t>
        </is>
      </c>
      <c r="V29" s="2982">
        <f>"Married filing separately -- "&amp;TEXT(I45,"$0,000")</f>
        <v/>
      </c>
      <c r="W29" s="2972" t="n"/>
      <c r="X29" s="2972" t="n"/>
      <c r="Y29" s="2972" t="n"/>
      <c r="Z29" s="2972" t="n"/>
      <c r="AA29" s="3013" t="n"/>
      <c r="AB29" s="2972" t="n"/>
      <c r="AC29" s="2972" t="n"/>
      <c r="AD29" s="2972" t="n"/>
      <c r="AE29" s="2972" t="n"/>
      <c r="AF29" s="2998" t="n"/>
    </row>
    <row r="30" ht="15" customHeight="1" s="7635">
      <c r="A30" s="139" t="n"/>
      <c r="B30" s="8374" t="inlineStr">
        <is>
          <t>n</t>
        </is>
      </c>
      <c r="C30" s="2769" t="inlineStr">
        <is>
          <t xml:space="preserve">Loss limitations (difference between AMT and regular tax income or loss) </t>
        </is>
      </c>
      <c r="D30" s="2769" t="n"/>
      <c r="E30" s="11262" t="n"/>
      <c r="F30" s="11262" t="n"/>
      <c r="G30" s="2771" t="n"/>
      <c r="H30" s="2771" t="n"/>
      <c r="I30" s="2771" t="n"/>
      <c r="J30" s="2771" t="n"/>
      <c r="K30" s="2031" t="inlineStr">
        <is>
          <t xml:space="preserve">.   .   .   .   .   .   .   .   .   .   .   . </t>
        </is>
      </c>
      <c r="L30" s="2773">
        <f>"2"&amp;B30</f>
        <v/>
      </c>
      <c r="M30" s="335" t="n"/>
      <c r="N30" s="2775" t="n"/>
      <c r="O30" s="2990" t="n"/>
      <c r="P30" s="3011" t="inlineStr">
        <is>
          <t>additional amount on line 4. If line 4 is</t>
        </is>
      </c>
      <c r="Q30" s="8833" t="n"/>
      <c r="R30" s="2979">
        <f>ROUND(M30,0)</f>
        <v/>
      </c>
      <c r="S30" s="2971" t="n"/>
      <c r="T30" s="2972" t="n"/>
      <c r="U30" s="2972" t="n"/>
      <c r="V30" s="2976" t="n"/>
      <c r="W30" s="2972" t="n"/>
      <c r="X30" s="2972" t="n"/>
      <c r="Y30" s="2972" t="n"/>
      <c r="Z30" s="2972" t="n"/>
      <c r="AA30" s="2972" t="n"/>
      <c r="AB30" s="2972" t="n"/>
      <c r="AC30" s="2972" t="n"/>
      <c r="AD30" s="2972" t="n"/>
      <c r="AE30" s="2972" t="n"/>
      <c r="AF30" s="2998" t="n"/>
    </row>
    <row r="31" ht="15" customHeight="1" s="7635">
      <c r="A31" s="139" t="n"/>
      <c r="B31" s="8374" t="inlineStr">
        <is>
          <t>o</t>
        </is>
      </c>
      <c r="C31" s="2769" t="inlineStr">
        <is>
          <t xml:space="preserve">Circulation costs (difference between regular tax and AMT) </t>
        </is>
      </c>
      <c r="D31" s="2769" t="n"/>
      <c r="E31" s="11262" t="n"/>
      <c r="F31" s="11262" t="n"/>
      <c r="G31" s="2771" t="n"/>
      <c r="H31" s="2771" t="n"/>
      <c r="I31" s="2771" t="n"/>
      <c r="J31" s="2771" t="n"/>
      <c r="K31" s="2031" t="inlineStr">
        <is>
          <t xml:space="preserve">.   .   .   .   .   .   .   .   .   .   .   .   .   .   .   .   . </t>
        </is>
      </c>
      <c r="L31" s="2773">
        <f>"2"&amp;B31</f>
        <v/>
      </c>
      <c r="M31" s="335" t="n"/>
      <c r="N31" s="2775" t="n"/>
      <c r="O31" s="2990" t="n"/>
      <c r="P31" s="3011">
        <f>TEXT(P20,"$0,000")&amp;" or more, include an additional"</f>
        <v/>
      </c>
      <c r="Q31" s="8833" t="n"/>
      <c r="R31" s="2979">
        <f>ROUND(M31,0)</f>
        <v/>
      </c>
      <c r="S31" s="2971" t="n"/>
      <c r="T31" s="2972" t="n"/>
      <c r="U31" s="3000" t="inlineStr">
        <is>
          <t>7.</t>
        </is>
      </c>
      <c r="V31" s="2982" t="inlineStr">
        <is>
          <t>Is the amount on line 5 more than the amount on line 6?</t>
        </is>
      </c>
      <c r="W31" s="2972" t="n"/>
      <c r="X31" s="2972" t="n"/>
      <c r="Y31" s="2972" t="n"/>
      <c r="Z31" s="2972" t="n"/>
      <c r="AA31" s="2972" t="n"/>
      <c r="AB31" s="2972" t="n"/>
      <c r="AC31" s="2972" t="n"/>
      <c r="AD31" s="2972" t="n"/>
      <c r="AE31" s="2972" t="n"/>
      <c r="AF31" s="2998" t="n"/>
    </row>
    <row r="32" ht="15" customHeight="1" s="7635" thickBot="1">
      <c r="A32" s="139" t="n"/>
      <c r="B32" s="8374" t="inlineStr">
        <is>
          <t>p</t>
        </is>
      </c>
      <c r="C32" s="2769" t="inlineStr">
        <is>
          <t>Long-term contracts (difference between AMT and regular tax income)</t>
        </is>
      </c>
      <c r="D32" s="2769" t="n"/>
      <c r="E32" s="11262" t="n"/>
      <c r="F32" s="11262" t="n"/>
      <c r="G32" s="2771" t="n"/>
      <c r="H32" s="2771" t="n"/>
      <c r="I32" s="2771" t="n"/>
      <c r="J32" s="2771" t="n"/>
      <c r="K32" s="2031" t="inlineStr">
        <is>
          <t xml:space="preserve">.   .   .   .   .   .   .   .   .   .   .   .   . </t>
        </is>
      </c>
      <c r="L32" s="2773">
        <f>"2"&amp;B32</f>
        <v/>
      </c>
      <c r="M32" s="335" t="n"/>
      <c r="N32" s="2775" t="n"/>
      <c r="O32" s="2990" t="n"/>
      <c r="P32" s="3011">
        <f>TEXT(P21,"$0,000")&amp;". Otherwise, include "&amp;TEXT(P22,"0%")&amp;" of the"</f>
        <v/>
      </c>
      <c r="Q32" s="8833" t="n"/>
      <c r="R32" s="2979">
        <f>ROUND(M32,0)</f>
        <v/>
      </c>
      <c r="S32" s="2971" t="n"/>
      <c r="T32" s="2972" t="n"/>
      <c r="U32" s="2972" t="n"/>
      <c r="V32" s="2976" t="n"/>
      <c r="W32" s="2972" t="n"/>
      <c r="X32" s="2972" t="n"/>
      <c r="Y32" s="2972" t="n"/>
      <c r="Z32" s="2972" t="n"/>
      <c r="AA32" s="2972" t="n"/>
      <c r="AB32" s="2972" t="n"/>
      <c r="AC32" s="2972" t="n"/>
      <c r="AD32" s="2972" t="n"/>
      <c r="AE32" s="2972" t="n"/>
      <c r="AF32" s="2998" t="n"/>
    </row>
    <row r="33" ht="15" customHeight="1" s="7635" thickBot="1">
      <c r="A33" s="139" t="n"/>
      <c r="B33" s="8374" t="inlineStr">
        <is>
          <t>q</t>
        </is>
      </c>
      <c r="C33" s="2769" t="inlineStr">
        <is>
          <t>Mining costs (difference between regular tax and AMT)</t>
        </is>
      </c>
      <c r="D33" s="2769" t="n"/>
      <c r="E33" s="11262" t="n"/>
      <c r="F33" s="11262" t="n"/>
      <c r="G33" s="2771" t="n"/>
      <c r="H33" s="2771" t="n"/>
      <c r="I33" s="2771" t="n"/>
      <c r="J33" s="2771" t="n"/>
      <c r="K33" s="2031" t="inlineStr">
        <is>
          <t xml:space="preserve">.   .   .   .   .   .   .   .   .   .   .   .   .   .   .   .   .   . </t>
        </is>
      </c>
      <c r="L33" s="2773">
        <f>"2"&amp;B33</f>
        <v/>
      </c>
      <c r="M33" s="335" t="n"/>
      <c r="N33" s="2775" t="n"/>
      <c r="O33" s="2990" t="n"/>
      <c r="P33" s="3011" t="inlineStr">
        <is>
          <t>excess of the amount on line 28 over</t>
        </is>
      </c>
      <c r="Q33" s="8833" t="n"/>
      <c r="R33" s="2979">
        <f>ROUND(M33,0)</f>
        <v/>
      </c>
      <c r="S33" s="2971" t="n"/>
      <c r="T33" s="2972" t="n"/>
      <c r="U33" s="2980">
        <f>IF(AC24&gt;AC27,"","X")</f>
        <v/>
      </c>
      <c r="V33" s="2981" t="inlineStr">
        <is>
          <t>No.</t>
        </is>
      </c>
      <c r="W33" s="2982" t="inlineStr">
        <is>
          <t>STOP  Don’t complete the rest of this worksheet. You don’t owe alternative minimum</t>
        </is>
      </c>
      <c r="X33" s="2972" t="n"/>
      <c r="Y33" s="2972" t="n"/>
      <c r="Z33" s="2972" t="n"/>
      <c r="AA33" s="2972" t="n"/>
      <c r="AB33" s="2972" t="n"/>
      <c r="AC33" s="2972" t="n"/>
      <c r="AD33" s="2972" t="n"/>
      <c r="AE33" s="2972" t="n"/>
      <c r="AF33" s="2998" t="n"/>
    </row>
    <row r="34" ht="15" customHeight="1" s="7635" thickBot="1">
      <c r="A34" s="139" t="n"/>
      <c r="B34" s="8374" t="inlineStr">
        <is>
          <t>r</t>
        </is>
      </c>
      <c r="C34" s="2769" t="inlineStr">
        <is>
          <t>Research and experimental costs (difference between regular tax and AMT)</t>
        </is>
      </c>
      <c r="D34" s="2769" t="n"/>
      <c r="E34" s="11262" t="n"/>
      <c r="F34" s="11262" t="n"/>
      <c r="G34" s="2771" t="n"/>
      <c r="H34" s="2771" t="n"/>
      <c r="I34" s="2771" t="n"/>
      <c r="J34" s="2771" t="n"/>
      <c r="K34" s="2031" t="inlineStr">
        <is>
          <t xml:space="preserve">.   .   .   .   .   .   .   .   .   .   . </t>
        </is>
      </c>
      <c r="L34" s="2773">
        <f>"2"&amp;B34</f>
        <v/>
      </c>
      <c r="M34" s="335" t="n"/>
      <c r="N34" s="2775" t="n"/>
      <c r="O34" s="2990" t="n"/>
      <c r="P34" s="3011">
        <f>TEXT(P19,"$0,000")&amp;". For example, if the amount"</f>
        <v/>
      </c>
      <c r="Q34" s="8833" t="n"/>
      <c r="R34" s="2979">
        <f>ROUND(M34,0)</f>
        <v/>
      </c>
      <c r="S34" s="2971" t="n"/>
      <c r="T34" s="2972" t="n"/>
      <c r="U34" s="3014" t="n"/>
      <c r="V34" s="2982" t="n"/>
      <c r="W34" s="3015" t="inlineStr">
        <is>
          <t>tax and don’t need to fill out Form 6251. Leave Schedule 2, line 1 blank.</t>
        </is>
      </c>
      <c r="X34" s="2972" t="n"/>
      <c r="Y34" s="2972" t="n"/>
      <c r="Z34" s="2972" t="n"/>
      <c r="AA34" s="2972" t="n"/>
      <c r="AB34" s="2972" t="n"/>
      <c r="AC34" s="2972" t="n"/>
      <c r="AD34" s="2972" t="n"/>
      <c r="AE34" s="2972" t="n"/>
      <c r="AF34" s="2998" t="n"/>
    </row>
    <row r="35" ht="15" customHeight="1" s="7635" thickBot="1">
      <c r="A35" s="139" t="n"/>
      <c r="B35" s="8374" t="inlineStr">
        <is>
          <t>s</t>
        </is>
      </c>
      <c r="C35" s="2769" t="inlineStr">
        <is>
          <t>Income from certain installment sales before January 1, 1987</t>
        </is>
      </c>
      <c r="D35" s="2769" t="n"/>
      <c r="E35" s="11262" t="n"/>
      <c r="F35" s="11262" t="n"/>
      <c r="G35" s="2771" t="n"/>
      <c r="H35" s="2771" t="n"/>
      <c r="I35" s="2075" t="n"/>
      <c r="J35" s="2771" t="n"/>
      <c r="K35" s="2075">
        <f>IF($M$35&gt;0,"(Enter as negative amount)",".   .   .   .   .   .   .   .   .   .   .   .   .   .   .   . ")</f>
        <v/>
      </c>
      <c r="L35" s="2773">
        <f>"2"&amp;B35</f>
        <v/>
      </c>
      <c r="M35" s="335" t="n"/>
      <c r="N35" s="2775" t="n"/>
      <c r="O35" s="2990" t="n"/>
      <c r="P35" s="3011">
        <f>"on line 4 is "&amp;TEXT(P16,"$0,000")&amp;", enter "&amp;TEXT(R16,"$0,000")</f>
        <v/>
      </c>
      <c r="Q35" s="8833" t="n"/>
      <c r="R35" s="2979">
        <f>ROUND(M35,0)</f>
        <v/>
      </c>
      <c r="S35" s="2971" t="n"/>
      <c r="T35" s="2972" t="n"/>
      <c r="U35" s="2980">
        <f>IF(AC24&gt;AC27,"X","")</f>
        <v/>
      </c>
      <c r="V35" s="2981" t="inlineStr">
        <is>
          <t>Yes.</t>
        </is>
      </c>
      <c r="W35" s="2982" t="inlineStr">
        <is>
          <t>Subtract line 6 from line 5</t>
        </is>
      </c>
      <c r="X35" s="2972" t="n"/>
      <c r="Y35" s="2972" t="n"/>
      <c r="Z35" s="2972" t="n"/>
      <c r="AA35" s="2992" t="inlineStr">
        <is>
          <t xml:space="preserve">.   .   .   .   .   .   .   .   .   .   .   .   .   .   .   .   .   .   .   .   .   .   .   .   .   .   .   .   .   .   .  </t>
        </is>
      </c>
      <c r="AB35" s="2993" t="inlineStr">
        <is>
          <t>7.</t>
        </is>
      </c>
      <c r="AC35" s="8177">
        <f>IF(U33="X","",SUM(AC24,-AC27))</f>
        <v/>
      </c>
      <c r="AD35" s="2972" t="n"/>
      <c r="AE35" s="2972" t="n"/>
      <c r="AF35" s="2998" t="n"/>
    </row>
    <row r="36" ht="15" customHeight="1" s="7635">
      <c r="A36" s="139" t="n"/>
      <c r="B36" s="8374" t="inlineStr">
        <is>
          <t>t</t>
        </is>
      </c>
      <c r="C36" s="2769" t="inlineStr">
        <is>
          <t>Intangible drilling costs preference</t>
        </is>
      </c>
      <c r="D36" s="2769" t="n"/>
      <c r="E36" s="11262" t="n"/>
      <c r="F36" s="11262" t="n"/>
      <c r="G36" s="2771" t="n"/>
      <c r="H36" s="2771" t="n"/>
      <c r="I36" s="2771" t="n"/>
      <c r="J36" s="2771" t="n"/>
      <c r="K36" s="2031" t="inlineStr">
        <is>
          <t xml:space="preserve">.   .   .   .   .   .   .   .   .   .   .   .   .   .   .   .   .   .   .   .   .   .   .   .   .   . </t>
        </is>
      </c>
      <c r="L36" s="2773">
        <f>"2"&amp;B36</f>
        <v/>
      </c>
      <c r="M36" s="335" t="n"/>
      <c r="N36" s="2775" t="n"/>
      <c r="O36" s="2990" t="n"/>
      <c r="P36" s="3011">
        <f>"instead—the additional "&amp;TEXT(SUM(P16,-R16),"$0,000")&amp;" is "&amp;TEXT(P22,"0%")</f>
        <v/>
      </c>
      <c r="Q36" s="8833" t="n"/>
      <c r="R36" s="2979">
        <f>ROUND(M36,0)</f>
        <v/>
      </c>
      <c r="S36" s="2971" t="n"/>
      <c r="T36" s="2972" t="n"/>
      <c r="U36" s="2972" t="n"/>
      <c r="V36" s="2976" t="n"/>
      <c r="W36" s="2972" t="n"/>
      <c r="X36" s="2972" t="n"/>
      <c r="Y36" s="2972" t="n"/>
      <c r="Z36" s="2972" t="n"/>
      <c r="AA36" s="2972" t="n"/>
      <c r="AB36" s="2972" t="n"/>
      <c r="AC36" s="2972" t="n"/>
      <c r="AD36" s="2972" t="n"/>
      <c r="AE36" s="2972" t="n"/>
      <c r="AF36" s="2998" t="n"/>
    </row>
    <row r="37" ht="15" customHeight="1" s="7635">
      <c r="A37" s="139" t="n"/>
      <c r="B37" s="2984" t="n">
        <v>3</v>
      </c>
      <c r="C37" s="2769" t="inlineStr">
        <is>
          <t>Other adjustments, including income-based related adjustments</t>
        </is>
      </c>
      <c r="D37" s="2769" t="n"/>
      <c r="E37" s="11262" t="n"/>
      <c r="F37" s="11262" t="n"/>
      <c r="G37" s="2771" t="n"/>
      <c r="H37" s="2771" t="n"/>
      <c r="I37" s="2771" t="n"/>
      <c r="J37" s="2771" t="n"/>
      <c r="K37" s="2031" t="inlineStr">
        <is>
          <t xml:space="preserve">.   .   .   .   .   .   .   .   .   .   .   .   .   .   . </t>
        </is>
      </c>
      <c r="L37" s="2773">
        <f>B37</f>
        <v/>
      </c>
      <c r="M37" s="335" t="n"/>
      <c r="N37" s="2775" t="n"/>
      <c r="O37" s="2990" t="n"/>
      <c r="P37" s="3011">
        <f>"of "&amp;TEXT(SUM(P16,-P19),"$0,000")&amp;" ("&amp;TEXT(P16,"$0,000")&amp;" minus "&amp;TEXT(P19,"$0,000")&amp;")."</f>
        <v/>
      </c>
      <c r="Q37" s="8833" t="n"/>
      <c r="R37" s="2979">
        <f>ROUND(M37,0)</f>
        <v/>
      </c>
      <c r="S37" s="2971" t="n"/>
      <c r="T37" s="2972" t="n"/>
      <c r="U37" s="3000" t="inlineStr">
        <is>
          <t>8.</t>
        </is>
      </c>
      <c r="V37" s="2982" t="inlineStr">
        <is>
          <t>Enter the amount shown below for your filing status.</t>
        </is>
      </c>
      <c r="W37" s="2972" t="n"/>
      <c r="X37" s="2972" t="n"/>
      <c r="Y37" s="2972" t="n"/>
      <c r="Z37" s="2972" t="n"/>
      <c r="AA37" s="2972" t="n"/>
      <c r="AB37" s="2972" t="n"/>
      <c r="AC37" s="2972" t="n"/>
      <c r="AD37" s="2972" t="n"/>
      <c r="AE37" s="2972" t="n"/>
      <c r="AF37" s="2998" t="n"/>
    </row>
    <row r="38" ht="15" customHeight="1" s="7635">
      <c r="A38" s="139" t="n"/>
      <c r="B38" s="2984">
        <f>B37+1</f>
        <v/>
      </c>
      <c r="C38" s="2826" t="inlineStr">
        <is>
          <t>Alternative minimum taxable income. Combine lines 1b through 3. (If married filing separately and line 4</t>
        </is>
      </c>
      <c r="D38" s="2995" t="n"/>
      <c r="E38" s="11262" t="n"/>
      <c r="F38" s="11262" t="n"/>
      <c r="G38" s="2771" t="n"/>
      <c r="H38" s="2771" t="n"/>
      <c r="I38" s="2771" t="n"/>
      <c r="J38" s="2771" t="n"/>
      <c r="K38" s="3016" t="n"/>
      <c r="L38" s="2805" t="n"/>
      <c r="M38" s="8173">
        <f>SUM(R15,R17:R37)</f>
        <v/>
      </c>
      <c r="N38" s="2783" t="n"/>
      <c r="O38" s="2990" t="n"/>
      <c r="P38" s="12572">
        <f>IF(File_Marr_Sep="","",IF(NOT(R39),0,IF(M38&gt;P20,P21,ROUND(P22*(SUM(M38,-P19)),0))))</f>
        <v/>
      </c>
      <c r="Q38" s="10319">
        <f>IF(R39,"&lt;&lt;&lt;  Amount added","")</f>
        <v/>
      </c>
      <c r="R38" s="1066" t="n"/>
      <c r="S38" s="2971" t="n"/>
      <c r="T38" s="2972" t="n"/>
      <c r="U38" s="2976" t="inlineStr">
        <is>
          <t xml:space="preserve"> l</t>
        </is>
      </c>
      <c r="V38" s="2982">
        <f>"Single or head of household -- "&amp;TEXT(G43,"$0,000")</f>
        <v/>
      </c>
      <c r="W38" s="2972" t="n"/>
      <c r="X38" s="2972" t="n"/>
      <c r="Y38" s="2972" t="n"/>
      <c r="Z38" s="2972" t="n"/>
      <c r="AA38" s="3013" t="n"/>
      <c r="AB38" s="2972" t="n"/>
      <c r="AC38" s="2972" t="n"/>
      <c r="AD38" s="2972" t="n"/>
      <c r="AE38" s="2972" t="n"/>
      <c r="AF38" s="2998" t="n"/>
    </row>
    <row r="39" ht="15" customHeight="1" s="7635">
      <c r="A39" s="139" t="n"/>
      <c r="B39" s="8374" t="n"/>
      <c r="C39" s="3019">
        <f>"is more than "&amp;TEXT(P19,"$0,000")&amp;", see instructions.)"</f>
        <v/>
      </c>
      <c r="D39" s="2769" t="n"/>
      <c r="E39" s="11262" t="n"/>
      <c r="F39" s="11262" t="n"/>
      <c r="G39" s="2771" t="n"/>
      <c r="H39" s="2771" t="n"/>
      <c r="I39" s="2771" t="n"/>
      <c r="J39" s="2771" t="n"/>
      <c r="K39" s="2031" t="inlineStr">
        <is>
          <t xml:space="preserve">.   .   .   .   .   .   .   .   .   .   .   .   .   .   .   .   .   .   .   .   .   . </t>
        </is>
      </c>
      <c r="L39" s="2805">
        <f>B38</f>
        <v/>
      </c>
      <c r="M39" s="2774">
        <f>IF(P39&lt;&gt;"",ROUND(P39,0),IF(NOT(F6251_Needed),"",SUM(M38,P38)))</f>
        <v/>
      </c>
      <c r="N39" s="2783" t="n"/>
      <c r="O39" s="2990" t="n"/>
      <c r="P39" s="118" t="n"/>
      <c r="Q39" s="8833" t="n"/>
      <c r="R39" s="3020">
        <f>AND(File_Marr_Sep&lt;&gt;"",M38&gt;P19)</f>
        <v/>
      </c>
      <c r="S39" s="2971" t="n"/>
      <c r="T39" s="2972" t="n"/>
      <c r="U39" s="2976" t="inlineStr">
        <is>
          <t xml:space="preserve"> l</t>
        </is>
      </c>
      <c r="V39" s="2982">
        <f>"Married filing jointly or qualifying widow(er) -- "&amp;TEXT(G44,"$0,000")</f>
        <v/>
      </c>
      <c r="W39" s="2972" t="n"/>
      <c r="X39" s="2972" t="n"/>
      <c r="Y39" s="2972" t="n"/>
      <c r="Z39" s="2972" t="n"/>
      <c r="AA39" s="3021" t="inlineStr">
        <is>
          <t xml:space="preserve">.   .   .   .   .   .   .   .  </t>
        </is>
      </c>
      <c r="AB39" s="2993" t="inlineStr">
        <is>
          <t>8.</t>
        </is>
      </c>
      <c r="AC39" s="8177">
        <f>IF(U33="X","",IF(OR(File_Single&lt;&gt;"",File_Head&lt;&gt;""),G43,IF(OR(File_Marr_Joint&lt;&gt;"",File_Qual_Widow&lt;&gt;""),G44,IF(File_Marr_Sep&lt;&gt;"",G45,"Filing status?"))))</f>
        <v/>
      </c>
      <c r="AD39" s="2972" t="n"/>
      <c r="AE39" s="2972" t="n"/>
      <c r="AF39" s="2998" t="n"/>
    </row>
    <row r="40" ht="15" customHeight="1" s="7635">
      <c r="A40" s="139" t="n"/>
      <c r="B40" s="3022" t="inlineStr">
        <is>
          <t>Part II</t>
        </is>
      </c>
      <c r="C40" s="10341" t="inlineStr">
        <is>
          <t xml:space="preserve">     Alternative Minimum Tax (AMT)</t>
        </is>
      </c>
      <c r="D40" s="8412" t="n"/>
      <c r="E40" s="8412" t="n"/>
      <c r="F40" s="8412" t="n"/>
      <c r="G40" s="8412" t="n"/>
      <c r="H40" s="8412" t="n"/>
      <c r="I40" s="8412" t="n"/>
      <c r="J40" s="8412" t="n"/>
      <c r="K40" s="8412" t="n"/>
      <c r="L40" s="8412" t="n"/>
      <c r="M40" s="8412" t="n"/>
      <c r="N40" s="2794" t="n"/>
      <c r="O40" s="3023" t="n"/>
      <c r="P40" s="3024" t="n"/>
      <c r="Q40" s="6543" t="n"/>
      <c r="R40" s="3025" t="n"/>
      <c r="S40" s="2971" t="n"/>
      <c r="T40" s="2972" t="n"/>
      <c r="U40" s="2976" t="inlineStr">
        <is>
          <t xml:space="preserve"> l</t>
        </is>
      </c>
      <c r="V40" s="2982">
        <f>"Married filing separately -- "&amp;TEXT(G45,"$0,000")</f>
        <v/>
      </c>
      <c r="W40" s="2972" t="n"/>
      <c r="X40" s="2972" t="n"/>
      <c r="Y40" s="2972" t="n"/>
      <c r="Z40" s="2972" t="n"/>
      <c r="AA40" s="3013" t="n"/>
      <c r="AB40" s="2972" t="n"/>
      <c r="AC40" s="2972" t="n"/>
      <c r="AD40" s="2972" t="n"/>
      <c r="AE40" s="2972" t="n"/>
      <c r="AF40" s="2998" t="n"/>
    </row>
    <row r="41" ht="15" customHeight="1" s="7635">
      <c r="A41" s="139" t="n"/>
      <c r="B41" s="2984">
        <f>B38+1</f>
        <v/>
      </c>
      <c r="C41" s="2769" t="inlineStr">
        <is>
          <t>Exemption.</t>
        </is>
      </c>
      <c r="D41" s="2769" t="n"/>
      <c r="E41" s="11262" t="n"/>
      <c r="F41" s="11262" t="n"/>
      <c r="G41" s="2771" t="n"/>
      <c r="H41" s="2771" t="n"/>
      <c r="I41" s="2771" t="n"/>
      <c r="J41" s="2771" t="n"/>
      <c r="K41" s="2031" t="n"/>
      <c r="L41" s="3026" t="n"/>
      <c r="M41" s="3027" t="n"/>
      <c r="N41" s="3028" t="n"/>
      <c r="O41" s="2990" t="n"/>
      <c r="P41" s="3024" t="n"/>
      <c r="Q41" s="3258" t="n"/>
      <c r="R41" s="3025" t="n"/>
      <c r="S41" s="2971" t="n"/>
      <c r="T41" s="2972" t="n"/>
      <c r="U41" s="2972" t="n"/>
      <c r="V41" s="2976" t="n"/>
      <c r="W41" s="2972" t="n"/>
      <c r="X41" s="2972" t="n"/>
      <c r="Y41" s="2972" t="n"/>
      <c r="Z41" s="2972" t="n"/>
      <c r="AA41" s="3013" t="n"/>
      <c r="AB41" s="2972" t="n"/>
      <c r="AC41" s="2972" t="n"/>
      <c r="AD41" s="2972" t="n"/>
      <c r="AE41" s="2972" t="n"/>
      <c r="AF41" s="2998" t="n"/>
    </row>
    <row r="42" ht="15" customHeight="1" s="7635">
      <c r="A42" s="139" t="n"/>
      <c r="B42" s="8374" t="n"/>
      <c r="C42" s="2826" t="inlineStr">
        <is>
          <t>IF your filing status is . . .</t>
        </is>
      </c>
      <c r="D42" s="2769" t="n"/>
      <c r="E42" s="11262" t="n"/>
      <c r="F42" s="11262" t="n"/>
      <c r="G42" s="3029" t="inlineStr">
        <is>
          <t>AND line 4 is not over . . .</t>
        </is>
      </c>
      <c r="H42" s="2771" t="n"/>
      <c r="I42" s="3029" t="inlineStr">
        <is>
          <t>THEN enter on line 5 . . .</t>
        </is>
      </c>
      <c r="J42" s="2771" t="n"/>
      <c r="K42" s="2031" t="n"/>
      <c r="L42" s="3030" t="n"/>
      <c r="M42" s="3027" t="inlineStr">
        <is>
          <t>`</t>
        </is>
      </c>
      <c r="N42" s="3028" t="n"/>
      <c r="O42" s="2990" t="n"/>
      <c r="P42" s="3024" t="n"/>
      <c r="Q42" s="2703" t="n"/>
      <c r="R42" s="3031" t="n"/>
      <c r="S42" s="2971" t="n"/>
      <c r="T42" s="2972" t="n"/>
      <c r="U42" s="3000" t="inlineStr">
        <is>
          <t>9.</t>
        </is>
      </c>
      <c r="V42" s="2982" t="inlineStr">
        <is>
          <t xml:space="preserve"> Is the amount on line 5 more than the amount on line 8?</t>
        </is>
      </c>
      <c r="W42" s="2972" t="n"/>
      <c r="X42" s="2972" t="n"/>
      <c r="Y42" s="2972" t="n"/>
      <c r="Z42" s="2972" t="n"/>
      <c r="AA42" s="2972" t="n"/>
      <c r="AB42" s="2972" t="n"/>
      <c r="AC42" s="2972" t="n"/>
      <c r="AD42" s="2972" t="n"/>
      <c r="AE42" s="2972" t="n"/>
      <c r="AF42" s="2998" t="n"/>
    </row>
    <row r="43" ht="15" customHeight="1" s="7635" thickBot="1">
      <c r="A43" s="139" t="n"/>
      <c r="B43" s="8374" t="n"/>
      <c r="C43" s="2769" t="inlineStr">
        <is>
          <t>Single or head of household</t>
        </is>
      </c>
      <c r="D43" s="2769" t="n"/>
      <c r="E43" s="11262" t="n"/>
      <c r="F43" s="11262" t="n"/>
      <c r="G43" s="12573" t="n">
        <v>626350</v>
      </c>
      <c r="H43" s="2075">
        <f>".   .   .   .   ."</f>
        <v/>
      </c>
      <c r="I43" s="12574" t="n">
        <v>88100</v>
      </c>
      <c r="J43" s="2771" t="n"/>
      <c r="K43" s="2031" t="n"/>
      <c r="L43" s="3030" t="n"/>
      <c r="M43" s="3027" t="n"/>
      <c r="N43" s="3028" t="n"/>
      <c r="O43" s="2990" t="n"/>
      <c r="P43" s="3024" t="n"/>
      <c r="Q43" s="3258" t="n"/>
      <c r="R43" s="3025" t="n"/>
      <c r="S43" s="2971" t="n"/>
      <c r="T43" s="2972" t="n"/>
      <c r="U43" s="2972" t="n"/>
      <c r="V43" s="2976" t="n"/>
      <c r="W43" s="2972" t="n"/>
      <c r="X43" s="2972" t="n"/>
      <c r="Y43" s="2972" t="n"/>
      <c r="Z43" s="2972" t="n"/>
      <c r="AA43" s="2972" t="n"/>
      <c r="AB43" s="2972" t="n"/>
      <c r="AC43" s="2972" t="n"/>
      <c r="AD43" s="2972" t="n"/>
      <c r="AE43" s="2972" t="n"/>
      <c r="AF43" s="2998" t="n"/>
    </row>
    <row r="44" ht="12" customHeight="1" s="7635" thickBot="1">
      <c r="A44" s="139" t="n"/>
      <c r="B44" s="8374" t="n"/>
      <c r="C44" s="2769" t="inlineStr">
        <is>
          <t>Married filing jointly or qualifying widow(er)</t>
        </is>
      </c>
      <c r="D44" s="2769" t="n"/>
      <c r="E44" s="11262" t="n"/>
      <c r="F44" s="11262" t="n"/>
      <c r="G44" s="3034" t="n">
        <v>1252700</v>
      </c>
      <c r="H44" s="2075">
        <f>".   .   .   .   ."</f>
        <v/>
      </c>
      <c r="I44" s="3035" t="n">
        <v>137000</v>
      </c>
      <c r="J44" s="2771" t="n"/>
      <c r="K44" s="2031" t="n"/>
      <c r="L44" s="3030" t="n"/>
      <c r="M44" s="3027" t="n"/>
      <c r="N44" s="3028" t="n"/>
      <c r="O44" s="2990" t="n"/>
      <c r="P44" s="962" t="n"/>
      <c r="Q44" s="3258" t="n"/>
      <c r="R44" s="3025" t="n"/>
      <c r="S44" s="2971" t="n"/>
      <c r="T44" s="2972" t="n"/>
      <c r="U44" s="2980">
        <f>IF(U33="X","",IF(AC24&gt;AC39,"","X"))</f>
        <v/>
      </c>
      <c r="V44" s="2981" t="inlineStr">
        <is>
          <t>No.</t>
        </is>
      </c>
      <c r="W44" s="2982" t="inlineStr">
        <is>
          <t>Enter -0-. Skip line 10. Enter on line 11 the amount from line 7, and go to line 12.</t>
        </is>
      </c>
      <c r="X44" s="2972" t="n"/>
      <c r="Y44" s="2972" t="n"/>
      <c r="Z44" s="2972" t="n"/>
      <c r="AA44" s="2972" t="n"/>
      <c r="AB44" s="2972" t="n"/>
      <c r="AC44" s="2983">
        <f>IF(U44="X","Go to Line 12.","")</f>
        <v/>
      </c>
      <c r="AD44" s="2972" t="n"/>
      <c r="AE44" s="2972" t="n"/>
      <c r="AF44" s="2998" t="n"/>
    </row>
    <row r="45" ht="13.5" customHeight="1" s="7635" thickBot="1">
      <c r="A45" s="139" t="n"/>
      <c r="B45" s="8374" t="n"/>
      <c r="C45" s="2769" t="inlineStr">
        <is>
          <t>Married filing separately</t>
        </is>
      </c>
      <c r="D45" s="2769" t="n"/>
      <c r="E45" s="11262" t="n"/>
      <c r="F45" s="2826" t="inlineStr">
        <is>
          <t>.   .   .   .   .   .   .   .   .   .   .   .</t>
        </is>
      </c>
      <c r="G45" s="3034">
        <f>G43</f>
        <v/>
      </c>
      <c r="H45" s="2075">
        <f>".   .   .   .   ."</f>
        <v/>
      </c>
      <c r="I45" s="3035" t="n">
        <v>68500</v>
      </c>
      <c r="J45" s="2771" t="n"/>
      <c r="K45" s="2031" t="n"/>
      <c r="L45" s="3030" t="n"/>
      <c r="M45" s="3027" t="n"/>
      <c r="N45" s="3028" t="n"/>
      <c r="O45" s="3036" t="n"/>
      <c r="P45" s="3037">
        <f>IF(NOT(P1),"",IF(NOT(AMTExemptionFlag),"You AMT exemption is zero.","Go to Line 6."))</f>
        <v/>
      </c>
      <c r="Q45" s="3258" t="n"/>
      <c r="R45" s="382" t="n"/>
      <c r="S45" s="2971" t="n"/>
      <c r="T45" s="2972" t="n"/>
      <c r="U45" s="2972" t="n"/>
      <c r="V45" s="2976" t="n"/>
      <c r="W45" s="2972" t="n"/>
      <c r="X45" s="2972" t="n"/>
      <c r="Y45" s="2972" t="n"/>
      <c r="Z45" s="2972" t="n"/>
      <c r="AA45" s="2972" t="n"/>
      <c r="AB45" s="2972" t="n"/>
      <c r="AC45" s="2972" t="n"/>
      <c r="AD45" s="2972" t="n"/>
      <c r="AE45" s="2972" t="n"/>
      <c r="AF45" s="2998" t="n"/>
    </row>
    <row r="46" ht="13.5" customHeight="1" s="7635" thickBot="1">
      <c r="A46" s="139" t="n"/>
      <c r="B46" s="8374" t="n"/>
      <c r="C46" s="2769" t="inlineStr">
        <is>
          <t>If line 4 is over the amount shown above for your filing status, see instructions.</t>
        </is>
      </c>
      <c r="D46" s="2769" t="n"/>
      <c r="E46" s="11262" t="n"/>
      <c r="F46" s="11262" t="n"/>
      <c r="G46" s="2771" t="n"/>
      <c r="H46" s="2771" t="n"/>
      <c r="I46" s="2771" t="n"/>
      <c r="J46" s="2771" t="n"/>
      <c r="K46" s="3038" t="inlineStr">
        <is>
          <t xml:space="preserve">.   .   .   . </t>
        </is>
      </c>
      <c r="L46" s="3039">
        <f>B41</f>
        <v/>
      </c>
      <c r="M46" s="2774">
        <f>IF(P46&lt;&gt;"",ROUND(P46,0),IF(OR(NumFileStatusBoxes=0,NOT(AMTExemptionFlag)),"",IF(AND(OR(File_Single&lt;&gt;"",File_Head&lt;&gt;""),AltMinTaxInc&lt;=G43),I43,IF(AND(OR(File_Marr_Joint&lt;&gt;"",File_Qual_Widow&lt;&gt;""),AltMinTaxInc&lt;=G44),I44,IF(AND(File_Marr_Sep&lt;&gt;"",AltMinTaxInc&lt;=G45),I45,IF(AC94="",0,AC94))))))</f>
        <v/>
      </c>
      <c r="N46" s="3028" t="n"/>
      <c r="O46" s="2990" t="n"/>
      <c r="P46" s="118" t="n"/>
      <c r="Q46" s="3258" t="n"/>
      <c r="R46" s="3040">
        <f>IF(M46&lt;&gt;"",MAX(0,SUM(AltMinTaxInc,-M46)),AltMinTaxInc)</f>
        <v/>
      </c>
      <c r="S46" s="2971" t="n"/>
      <c r="T46" s="2972" t="n"/>
      <c r="U46" s="2980">
        <f>IF(U33="X","",IF(AC24&gt;AC39,"X",""))</f>
        <v/>
      </c>
      <c r="V46" s="2981" t="inlineStr">
        <is>
          <t>Yes.</t>
        </is>
      </c>
      <c r="W46" s="2982" t="inlineStr">
        <is>
          <t>Subtract line 8 from line 5</t>
        </is>
      </c>
      <c r="X46" s="2972" t="n"/>
      <c r="Y46" s="2972" t="n"/>
      <c r="Z46" s="2972" t="n"/>
      <c r="AA46" s="2992" t="inlineStr">
        <is>
          <t xml:space="preserve">.   .   .   .   .   .   .   .   .   .   .   .   .   .   .   .   .   .   .   .   .   .   .   .   .   .   .   .   .   .  </t>
        </is>
      </c>
      <c r="AB46" s="2993" t="inlineStr">
        <is>
          <t>9.</t>
        </is>
      </c>
      <c r="AC46" s="8177">
        <f>IF(OR(U33="X",U44="X"),"",SUM(AC24,-AC39))</f>
        <v/>
      </c>
      <c r="AD46" s="2972" t="n"/>
      <c r="AE46" s="2972" t="n"/>
      <c r="AF46" s="2998" t="n"/>
    </row>
    <row r="47" ht="13.5" customHeight="1" s="7635">
      <c r="A47" s="139" t="n"/>
      <c r="B47" s="2984">
        <f>B41+1</f>
        <v/>
      </c>
      <c r="C47" s="2769" t="inlineStr">
        <is>
          <t>Subtract line 5 from line 4. If more than zero, go to line 7. If zero or less, enter -0- here and on lines 7, 9, and</t>
        </is>
      </c>
      <c r="D47" s="2769" t="n"/>
      <c r="E47" s="11262" t="n"/>
      <c r="F47" s="11262" t="n"/>
      <c r="G47" s="2771" t="n"/>
      <c r="H47" s="2771" t="n"/>
      <c r="I47" s="2771" t="n"/>
      <c r="J47" s="2771" t="n"/>
      <c r="K47" s="3041" t="n"/>
      <c r="L47" s="8374" t="n"/>
      <c r="M47" s="3027" t="n"/>
      <c r="N47" s="2775" t="n"/>
      <c r="O47" s="2990" t="n"/>
      <c r="P47" s="3037">
        <f>IF(NOT(P1),"",IF(R47,"Go to Line 10.","Go to Line 7."))</f>
        <v/>
      </c>
      <c r="Q47" s="8833" t="n"/>
      <c r="R47" s="3040">
        <f>R46&lt;=0</f>
        <v/>
      </c>
      <c r="S47" s="2971" t="n"/>
      <c r="T47" s="2972" t="n"/>
      <c r="U47" s="2972" t="n"/>
      <c r="V47" s="2976" t="n"/>
      <c r="W47" s="2972" t="n"/>
      <c r="X47" s="2972" t="n"/>
      <c r="Y47" s="2972" t="n"/>
      <c r="Z47" s="2972" t="n"/>
      <c r="AA47" s="2972" t="n"/>
      <c r="AB47" s="2972" t="n"/>
      <c r="AC47" s="2972" t="n"/>
      <c r="AD47" s="2972" t="n"/>
      <c r="AE47" s="2972" t="n"/>
      <c r="AF47" s="2998" t="n"/>
    </row>
    <row r="48" ht="13.5" customHeight="1" s="7635">
      <c r="A48" s="139" t="n"/>
      <c r="B48" s="8374" t="n"/>
      <c r="C48" s="2769" t="inlineStr">
        <is>
          <t>11 and go to line 10</t>
        </is>
      </c>
      <c r="D48" s="2769" t="n"/>
      <c r="E48" s="11262" t="n"/>
      <c r="F48" s="11262" t="n"/>
      <c r="G48" s="2771" t="n"/>
      <c r="H48" s="2771" t="n"/>
      <c r="I48" s="2771" t="n"/>
      <c r="J48" s="2771" t="n"/>
      <c r="K48" s="2031" t="inlineStr">
        <is>
          <t xml:space="preserve">.   .   .   .   .   .   .   .   .   .   .   .   .   .   .   .   .   .   .   .   .   .   .   .   .   .   .   .   . </t>
        </is>
      </c>
      <c r="L48" s="2802">
        <f>B47</f>
        <v/>
      </c>
      <c r="M48" s="2774">
        <f>IF(P48&lt;&gt;"",ROUND(P48,0),IF(OR(NumFileStatusBoxes=0,R47),"",IF(NOT(AMTExemptionFlag),AltMinTaxInc,R46)))</f>
        <v/>
      </c>
      <c r="N48" s="2775" t="n"/>
      <c r="O48" s="3036" t="n"/>
      <c r="P48" s="118" t="n"/>
      <c r="Q48" s="8833" t="n"/>
      <c r="R48" s="2385" t="n"/>
      <c r="S48" s="2971" t="n"/>
      <c r="T48" s="2972" t="n"/>
      <c r="U48" s="3000" t="inlineStr">
        <is>
          <t>10.</t>
        </is>
      </c>
      <c r="V48" s="2982">
        <f>" Multiply line 9 by "&amp;TEXT(AH54,"0%")&amp;" ("&amp;TEXT(AH54,".00")&amp;") and enter the smaller of the result or line 6"</f>
        <v/>
      </c>
      <c r="W48" s="2972" t="n"/>
      <c r="X48" s="2972" t="n"/>
      <c r="Y48" s="2972" t="n"/>
      <c r="Z48" s="2972" t="n"/>
      <c r="AA48" s="2992" t="inlineStr">
        <is>
          <t xml:space="preserve">.   .   .   .   .   .   .   .   .   .   .   .   .   .  </t>
        </is>
      </c>
      <c r="AB48" s="2993" t="inlineStr">
        <is>
          <t>10.</t>
        </is>
      </c>
      <c r="AC48" s="8177">
        <f>IF(OR(U44="X",U33="X"),"",MIN(ROUND(AH54*AC46,0),AC27))</f>
        <v/>
      </c>
      <c r="AD48" s="2972" t="n"/>
      <c r="AE48" s="2972" t="n"/>
      <c r="AF48" s="2998" t="n"/>
    </row>
    <row r="49" ht="13.5" customHeight="1" s="7635">
      <c r="A49" s="139" t="n"/>
      <c r="B49" s="2984">
        <f>B47+1</f>
        <v/>
      </c>
      <c r="C49" s="3042" t="inlineStr">
        <is>
          <t>l</t>
        </is>
      </c>
      <c r="D49" s="2769" t="inlineStr">
        <is>
          <t>If you are filing Form 2555, see instructions for the amount to enter.</t>
        </is>
      </c>
      <c r="E49" s="11262" t="n"/>
      <c r="F49" s="11262" t="n"/>
      <c r="G49" s="2771" t="n"/>
      <c r="H49" s="2771" t="n"/>
      <c r="I49" s="2771" t="n"/>
      <c r="J49" s="2771" t="n"/>
      <c r="K49" s="3043" t="n"/>
      <c r="L49" s="3026" t="n"/>
      <c r="M49" s="3044" t="n"/>
      <c r="N49" s="3028" t="n"/>
      <c r="O49" s="2990" t="n"/>
      <c r="P49" s="8175">
        <f>IF(AND(P1,Form2555_Used),"Form 2555 is used.","")</f>
        <v/>
      </c>
      <c r="Q49" s="3258" t="n"/>
      <c r="R49" s="854">
        <f>Form2555_Used</f>
        <v/>
      </c>
      <c r="S49" s="2971" t="n"/>
      <c r="T49" s="2972" t="n"/>
      <c r="U49" s="2972" t="n"/>
      <c r="V49" s="2976" t="n"/>
      <c r="W49" s="2972" t="n"/>
      <c r="X49" s="2972" t="n"/>
      <c r="Y49" s="2972" t="n"/>
      <c r="Z49" s="2972" t="n"/>
      <c r="AA49" s="2972" t="n"/>
      <c r="AB49" s="2972" t="n"/>
      <c r="AC49" s="2972" t="n"/>
      <c r="AD49" s="2972" t="n"/>
      <c r="AE49" s="3046" t="n"/>
      <c r="AF49" s="2998" t="n"/>
      <c r="AH49" s="2887" t="n"/>
    </row>
    <row r="50" ht="13.5" customHeight="1" s="7635">
      <c r="A50" s="139" t="n"/>
      <c r="B50" s="8374" t="n"/>
      <c r="C50" s="3042" t="inlineStr">
        <is>
          <t>l</t>
        </is>
      </c>
      <c r="D50" s="2769" t="inlineStr">
        <is>
          <t>If you reported capital gain distributions directly on Form 1040 or 1040-SR, line 7; you reported</t>
        </is>
      </c>
      <c r="E50" s="11262" t="n"/>
      <c r="F50" s="11262" t="n"/>
      <c r="G50" s="2771" t="n"/>
      <c r="H50" s="2771" t="n"/>
      <c r="I50" s="2771" t="n"/>
      <c r="J50" s="2771" t="n"/>
      <c r="K50" s="3043" t="n"/>
      <c r="L50" s="3030" t="n"/>
      <c r="M50" s="3047" t="n"/>
      <c r="N50" s="3028" t="n"/>
      <c r="O50" s="2990" t="n"/>
      <c r="P50" s="8175" t="n"/>
      <c r="Q50" s="3258" t="n"/>
      <c r="R50" s="6545">
        <f>AND(SchD_NotReqd,CapitalGains&lt;&gt;"",CapitalGains&gt;0)</f>
        <v/>
      </c>
      <c r="S50" s="2971" t="n"/>
      <c r="T50" s="2972" t="n"/>
      <c r="U50" s="3000" t="inlineStr">
        <is>
          <t>11.</t>
        </is>
      </c>
      <c r="V50" s="2982" t="inlineStr">
        <is>
          <t xml:space="preserve"> Add lines 7 and 10</t>
        </is>
      </c>
      <c r="W50" s="2972" t="n"/>
      <c r="X50" s="2972" t="n"/>
      <c r="Y50" s="2972" t="n"/>
      <c r="Z50" s="2972" t="n"/>
      <c r="AA50" s="2992" t="inlineStr">
        <is>
          <t xml:space="preserve">.   .   .   .   .   .   .   .   .   .   .   .   .   .   .   .   .   .   .   .   .   .   .   .   .   .   .   .   .   .   .   .   .   .   .   .   .  </t>
        </is>
      </c>
      <c r="AB50" s="2993" t="inlineStr">
        <is>
          <t>11.</t>
        </is>
      </c>
      <c r="AC50" s="8177">
        <f>IF(U33="X","",IF(U44="X",AC35,SUM(AC35,AC48)))</f>
        <v/>
      </c>
      <c r="AD50" s="2972" t="n"/>
      <c r="AE50" s="3048" t="n"/>
      <c r="AF50" s="2998" t="n"/>
      <c r="AH50" s="3049" t="n"/>
    </row>
    <row r="51" ht="15" customHeight="1" s="7635">
      <c r="A51" s="139" t="n"/>
      <c r="B51" s="8374" t="n"/>
      <c r="C51" s="2770" t="n"/>
      <c r="D51" s="2769" t="inlineStr">
        <is>
          <t>qualified dividends on Form 1040 or 1040-SR, line 3a; or you had a gain on both lines 15 and</t>
        </is>
      </c>
      <c r="E51" s="11262" t="n"/>
      <c r="F51" s="11262" t="n"/>
      <c r="G51" s="2771" t="n"/>
      <c r="H51" s="2771" t="n"/>
      <c r="I51" s="3029" t="n"/>
      <c r="J51" s="3029" t="n"/>
      <c r="K51" s="3050" t="n"/>
      <c r="L51" s="3051" t="n"/>
      <c r="M51" s="3047" t="n"/>
      <c r="N51" s="2783" t="n"/>
      <c r="O51" s="2990" t="n"/>
      <c r="P51" s="962" t="n"/>
      <c r="Q51" s="3258" t="n"/>
      <c r="R51" s="6545">
        <f>AND(Qualified_Dividends&lt;&gt;"",Qualified_Dividends&gt;0)</f>
        <v/>
      </c>
      <c r="S51" s="2971" t="n"/>
      <c r="T51" s="2972" t="n"/>
      <c r="U51" s="2972" t="n"/>
      <c r="V51" s="2976" t="n"/>
      <c r="W51" s="2972" t="n"/>
      <c r="X51" s="2972" t="n"/>
      <c r="Y51" s="2972" t="n"/>
      <c r="Z51" s="2972" t="n"/>
      <c r="AA51" s="2972" t="n"/>
      <c r="AB51" s="2972" t="n"/>
      <c r="AC51" s="2972" t="n"/>
      <c r="AD51" s="2972" t="n"/>
      <c r="AE51" s="2977" t="n"/>
      <c r="AF51" s="2998" t="n"/>
      <c r="AH51" s="3052" t="n"/>
    </row>
    <row r="52" ht="13.5" customHeight="1" s="7635">
      <c r="A52" s="139" t="n"/>
      <c r="B52" s="8374" t="n"/>
      <c r="C52" s="2770" t="n"/>
      <c r="D52" s="2769" t="inlineStr">
        <is>
          <t>16 of Schedule D (Form 1040) (as refigured for the AMT, if necessary), complete Part III on the</t>
        </is>
      </c>
      <c r="E52" s="11262" t="n"/>
      <c r="F52" s="11262" t="n"/>
      <c r="G52" s="2771" t="n"/>
      <c r="H52" s="2771" t="n"/>
      <c r="I52" s="3029" t="n"/>
      <c r="J52" s="3029" t="n"/>
      <c r="K52" s="3050" t="n"/>
      <c r="L52" s="3051" t="n"/>
      <c r="M52" s="3047" t="n"/>
      <c r="N52" s="2783" t="n"/>
      <c r="O52" s="2990" t="n"/>
      <c r="P52" s="962" t="n"/>
      <c r="Q52" s="3258" t="n"/>
      <c r="R52" s="6545">
        <f>AND(SchDLine15&lt;&gt;"",SchDLine15&gt;0,SchDLine16&lt;&gt;"",SchDLine16&gt;0)</f>
        <v/>
      </c>
      <c r="S52" s="2971" t="n"/>
      <c r="T52" s="2972" t="n"/>
      <c r="U52" s="3000" t="inlineStr">
        <is>
          <t>12.</t>
        </is>
      </c>
      <c r="V52" s="2982">
        <f>" Is the amount on line 11 more than "&amp;TEXT(R60,"$0,000")&amp;" ("&amp;TEXT(R61,"$0,000")&amp;" if married filing separately)?"</f>
        <v/>
      </c>
      <c r="W52" s="2972" t="n"/>
      <c r="X52" s="2972" t="n"/>
      <c r="Y52" s="2972" t="n"/>
      <c r="Z52" s="2972" t="n"/>
      <c r="AA52" s="2972" t="n"/>
      <c r="AB52" s="2972" t="n"/>
      <c r="AC52" s="2972" t="n"/>
      <c r="AD52" s="2972" t="n"/>
      <c r="AE52" s="2977" t="n"/>
      <c r="AF52" s="2998" t="n"/>
      <c r="AH52" s="382">
        <f>IF(File_Marr_Sep&lt;&gt;"",R61,R60)</f>
        <v/>
      </c>
    </row>
    <row r="53" ht="13.5" customHeight="1" s="7635" thickBot="1">
      <c r="A53" s="139" t="n"/>
      <c r="B53" s="8374" t="n"/>
      <c r="C53" s="2770" t="n"/>
      <c r="D53" s="2769" t="inlineStr">
        <is>
          <t>back and enter the amount from line 40 here.</t>
        </is>
      </c>
      <c r="E53" s="11262" t="n"/>
      <c r="F53" s="11262" t="n"/>
      <c r="G53" s="2771" t="n"/>
      <c r="H53" s="2771" t="n"/>
      <c r="I53" s="3029" t="n"/>
      <c r="J53" s="3029" t="n"/>
      <c r="K53" s="2031" t="inlineStr">
        <is>
          <t xml:space="preserve">.   . </t>
        </is>
      </c>
      <c r="L53" s="3039">
        <f>B49</f>
        <v/>
      </c>
      <c r="M53" s="2774">
        <f>IF(P53&lt;&gt;"",ROUND(P53,0),IF(NOT(P1),"",IF(R47,0,IF(Form2555_Used,AC122,IF(F6251_PIII,M126,IF(M48&lt;=R63,M48*R68,SUM((M48*R69),-R67)))))))</f>
        <v/>
      </c>
      <c r="N53" s="2783" t="n"/>
      <c r="O53" s="2990" t="n"/>
      <c r="P53" s="118" t="n"/>
      <c r="Q53" s="3258" t="n"/>
      <c r="R53" s="854">
        <f>OR(R50,R51,R52)</f>
        <v/>
      </c>
      <c r="S53" s="2971" t="n"/>
      <c r="T53" s="2972" t="n"/>
      <c r="U53" s="2972" t="n"/>
      <c r="V53" s="2976" t="n"/>
      <c r="W53" s="2972" t="n"/>
      <c r="X53" s="2972" t="n"/>
      <c r="Y53" s="2972" t="n"/>
      <c r="Z53" s="2972" t="n"/>
      <c r="AA53" s="2972" t="n"/>
      <c r="AB53" s="2972" t="n"/>
      <c r="AC53" s="2972" t="n"/>
      <c r="AD53" s="2972" t="n"/>
      <c r="AE53" s="3048" t="n"/>
      <c r="AF53" s="2998" t="n"/>
    </row>
    <row r="54" ht="13.5" customHeight="1" s="7635" thickBot="1">
      <c r="A54" s="139" t="n"/>
      <c r="B54" s="8374" t="n"/>
      <c r="C54" s="11262" t="inlineStr">
        <is>
          <t xml:space="preserve"> l</t>
        </is>
      </c>
      <c r="D54" s="2826" t="inlineStr">
        <is>
          <t>All others:</t>
        </is>
      </c>
      <c r="E54" s="2769">
        <f>"If line "&amp;L48&amp;" is "&amp;TEXT(R60,"$0,000")&amp;" or less ("&amp;TEXT(R61,"$0,000")&amp;" or less if married filing separately), multiply"</f>
        <v/>
      </c>
      <c r="F54" s="11262" t="n"/>
      <c r="G54" s="2771" t="n"/>
      <c r="H54" s="2771" t="n"/>
      <c r="I54" s="2771" t="n"/>
      <c r="J54" s="2771" t="n"/>
      <c r="K54" s="3043" t="n"/>
      <c r="L54" s="3051" t="n"/>
      <c r="M54" s="3053" t="n"/>
      <c r="N54" s="3028" t="n"/>
      <c r="O54" s="497" t="n"/>
      <c r="P54" s="2510" t="n"/>
      <c r="Q54" s="3258" t="n"/>
      <c r="R54" s="854">
        <f>AND(F6251_Needed,OR(Q70&lt;&gt;"",R53))</f>
        <v/>
      </c>
      <c r="S54" s="2971" t="n"/>
      <c r="T54" s="2972" t="n"/>
      <c r="U54" s="2980">
        <f>IF(U33="X","",IF(AC50&gt;AH52,"X",""))</f>
        <v/>
      </c>
      <c r="V54" s="2981" t="inlineStr">
        <is>
          <t>Yes.</t>
        </is>
      </c>
      <c r="W54" s="2982" t="inlineStr">
        <is>
          <t>STOP  Fill in Form 6251 to see if you owe the alternative minimum tax.</t>
        </is>
      </c>
      <c r="X54" s="2972" t="n"/>
      <c r="Y54" s="2972" t="n"/>
      <c r="Z54" s="2972" t="n"/>
      <c r="AA54" s="2972" t="n"/>
      <c r="AB54" s="2972" t="n"/>
      <c r="AC54" s="2972" t="n"/>
      <c r="AD54" s="2972" t="n"/>
      <c r="AE54" s="3048" t="n"/>
      <c r="AF54" s="2998" t="n"/>
      <c r="AH54" s="382" t="n">
        <v>0.25</v>
      </c>
    </row>
    <row r="55" ht="12" customHeight="1" s="7635" thickBot="1">
      <c r="A55" s="139" t="n"/>
      <c r="B55" s="8374" t="n"/>
      <c r="C55" s="3054" t="n"/>
      <c r="D55" s="3019">
        <f>"line "&amp;L48&amp;" by "&amp;TEXT(R68,"0%")&amp;" ("&amp;TEXT(R68,"0.00")&amp;"). Otherwise, multiply line "&amp;L48&amp;" by "&amp;TEXT(R69,"0%")&amp;" ("&amp;TEXT(R69,"0.00")&amp;") and subtract "&amp;TEXT(R65,"$0,000")&amp;" ("&amp;TEXT(R66,"$0,000")&amp;" if"</f>
        <v/>
      </c>
      <c r="E55" s="11262" t="n"/>
      <c r="F55" s="11262" t="n"/>
      <c r="G55" s="2771" t="n"/>
      <c r="H55" s="2771" t="n"/>
      <c r="I55" s="3029" t="n"/>
      <c r="J55" s="3029" t="n"/>
      <c r="K55" s="3050" t="n"/>
      <c r="L55" s="3051" t="n"/>
      <c r="M55" s="6542" t="n"/>
      <c r="N55" s="2783" t="n"/>
      <c r="O55" s="2990" t="n"/>
      <c r="P55" s="2510" t="n"/>
      <c r="Q55" s="3258" t="n"/>
      <c r="R55" s="6546" t="n"/>
      <c r="S55" s="2971" t="n"/>
      <c r="T55" s="2972" t="n"/>
      <c r="U55" s="2972" t="n"/>
      <c r="V55" s="2982" t="n"/>
      <c r="W55" s="3014" t="n"/>
      <c r="X55" s="2972" t="n"/>
      <c r="Y55" s="2972" t="n"/>
      <c r="Z55" s="2972" t="n"/>
      <c r="AA55" s="2972" t="n"/>
      <c r="AB55" s="2972" t="n"/>
      <c r="AC55" s="2972" t="n"/>
      <c r="AD55" s="2972" t="n"/>
      <c r="AE55" s="3048" t="n"/>
      <c r="AF55" s="2998" t="n"/>
    </row>
    <row r="56" ht="12.75" customHeight="1" s="7635" thickBot="1">
      <c r="A56" s="139" t="n"/>
      <c r="B56" s="8374" t="n"/>
      <c r="C56" s="3054" t="n"/>
      <c r="D56" s="3019" t="inlineStr">
        <is>
          <t>married filing separately) from the result.</t>
        </is>
      </c>
      <c r="E56" s="11262" t="n"/>
      <c r="F56" s="11262" t="n"/>
      <c r="G56" s="2771" t="n"/>
      <c r="H56" s="2771" t="n"/>
      <c r="I56" s="3029" t="n"/>
      <c r="J56" s="3029" t="n"/>
      <c r="K56" s="3050" t="n"/>
      <c r="L56" s="3051" t="n"/>
      <c r="M56" s="3053" t="n"/>
      <c r="N56" s="2783" t="n"/>
      <c r="O56" s="2990" t="n"/>
      <c r="P56" s="2510" t="n"/>
      <c r="Q56" s="3258" t="n"/>
      <c r="R56" s="8288" t="n"/>
      <c r="S56" s="2971" t="n"/>
      <c r="T56" s="2972" t="n"/>
      <c r="U56" s="2980">
        <f>IF(U33="X","",IF(AC50&gt;AH52,"","X"))</f>
        <v/>
      </c>
      <c r="V56" s="2981" t="inlineStr">
        <is>
          <t>No.</t>
        </is>
      </c>
      <c r="W56" s="2982">
        <f>"Multiply line 11 by "&amp;TEXT(AH61,"0%")&amp;" ("&amp;TEXT(AH61,".00")&amp;")"</f>
        <v/>
      </c>
      <c r="X56" s="2972" t="n"/>
      <c r="Y56" s="2972" t="n"/>
      <c r="Z56" s="2972" t="n"/>
      <c r="AA56" s="2992" t="inlineStr">
        <is>
          <t xml:space="preserve">.   .   .   .   .   .   .   .   .   .   .   .   .   .   .   .   .   .   .   .   .   .   .   .   .   .   .   .   .   .  </t>
        </is>
      </c>
      <c r="AB56" s="2993" t="inlineStr">
        <is>
          <t>12.</t>
        </is>
      </c>
      <c r="AC56" s="8177">
        <f>IF(OR(U54="X",U33="X"),"",ROUND(AC50*AH61,0))</f>
        <v/>
      </c>
      <c r="AD56" s="2972" t="n"/>
      <c r="AE56" s="3048" t="n"/>
      <c r="AF56" s="2998" t="n"/>
    </row>
    <row r="57">
      <c r="A57" s="139" t="n"/>
      <c r="B57" s="2984">
        <f>B49+1</f>
        <v/>
      </c>
      <c r="C57" s="2769" t="inlineStr">
        <is>
          <t>Alternative minimum tax foreign tax credit (see instructions)</t>
        </is>
      </c>
      <c r="D57" s="2769" t="n"/>
      <c r="E57" s="11262" t="n"/>
      <c r="F57" s="11262" t="n"/>
      <c r="G57" s="2771" t="n"/>
      <c r="H57" s="2771" t="n"/>
      <c r="I57" s="2771" t="n"/>
      <c r="J57" s="2771" t="n"/>
      <c r="K57" s="2031" t="inlineStr">
        <is>
          <t xml:space="preserve">.   .   .   .   .   .   .   .   .   .   .   .   .   .   .   .   . </t>
        </is>
      </c>
      <c r="L57" s="3039">
        <f>B57</f>
        <v/>
      </c>
      <c r="M57" s="2816">
        <f>IF(P57&lt;&gt;"",ROUND(P57,0),IF(NOT(P1),"",Foreign_Tax_Credit))</f>
        <v/>
      </c>
      <c r="N57" s="2775" t="n"/>
      <c r="O57" s="2990" t="n"/>
      <c r="P57" s="118" t="n"/>
      <c r="Q57" s="8833" t="n"/>
      <c r="R57" s="6546" t="n"/>
      <c r="S57" s="2971" t="n"/>
      <c r="T57" s="2972" t="n"/>
      <c r="U57" s="2972" t="n"/>
      <c r="V57" s="2976" t="n"/>
      <c r="W57" s="2972" t="n"/>
      <c r="X57" s="2972" t="n"/>
      <c r="Y57" s="2972" t="n"/>
      <c r="Z57" s="2972" t="n"/>
      <c r="AA57" s="2972" t="n"/>
      <c r="AB57" s="2972" t="n"/>
      <c r="AC57" s="2972" t="n"/>
      <c r="AD57" s="2972" t="n"/>
      <c r="AE57" s="2972" t="n"/>
      <c r="AF57" s="2998" t="n"/>
      <c r="AH57" s="3055" t="inlineStr">
        <is>
          <t>Manual</t>
        </is>
      </c>
    </row>
    <row r="58" ht="13.5" customHeight="1" s="7635" thickBot="1">
      <c r="A58" s="139" t="n"/>
      <c r="B58" s="2984">
        <f>B57+1</f>
        <v/>
      </c>
      <c r="C58" s="2769">
        <f>"Tentative minimum tax. Subtract line "&amp;L57&amp;" from line "&amp;L53</f>
        <v/>
      </c>
      <c r="D58" s="2769" t="n"/>
      <c r="E58" s="11262" t="n"/>
      <c r="F58" s="11262" t="n"/>
      <c r="G58" s="2771" t="n"/>
      <c r="H58" s="2771" t="n"/>
      <c r="I58" s="2771" t="n"/>
      <c r="J58" s="2771" t="n"/>
      <c r="K58" s="2031" t="inlineStr">
        <is>
          <t xml:space="preserve">.   .   .   .   .   .   .   .   .   .   .   .   .   .   .   .   .   .   .   . </t>
        </is>
      </c>
      <c r="L58" s="3056">
        <f>B58</f>
        <v/>
      </c>
      <c r="M58" s="2774">
        <f>IF(P58&lt;&gt;"",ROUND(P58,0),IF(NumFileStatusBoxes=0,"",IF(R47,"",IF(M57="",M53,SUM(M53,-M57)))))</f>
        <v/>
      </c>
      <c r="N58" s="2775" t="n"/>
      <c r="O58" s="3057" t="n"/>
      <c r="P58" s="118" t="n"/>
      <c r="Q58" s="8833" t="n"/>
      <c r="R58" s="6546" t="n"/>
      <c r="S58" s="2971" t="n"/>
      <c r="T58" s="2972" t="n"/>
      <c r="U58" s="3000" t="inlineStr">
        <is>
          <t>13.</t>
        </is>
      </c>
      <c r="V58" s="2982" t="inlineStr">
        <is>
          <t>Add Form 1040, 1040-SR, or 1040-NR, line 16 (minus any tax from Form 4972), and Schedule 2, line 2.</t>
        </is>
      </c>
      <c r="W58" s="2972" t="n"/>
      <c r="X58" s="2972" t="n"/>
      <c r="Y58" s="2972" t="n"/>
      <c r="Z58" s="2972" t="n"/>
      <c r="AA58" s="2972" t="n"/>
      <c r="AB58" s="2972" t="n"/>
      <c r="AC58" s="2972" t="n"/>
      <c r="AD58" s="2972" t="n"/>
      <c r="AE58" s="2972" t="n"/>
      <c r="AF58" s="2998" t="n"/>
      <c r="AH58" s="3055" t="inlineStr">
        <is>
          <t>Override</t>
        </is>
      </c>
    </row>
    <row r="59" ht="15" customHeight="1" s="7635" thickBot="1">
      <c r="A59" s="139" t="n"/>
      <c r="B59" s="2984">
        <f>B58+1</f>
        <v/>
      </c>
      <c r="C59" s="2769" t="inlineStr">
        <is>
          <t>Add Form 1040 or 1040-SR, line 16 (minus any tax from Form 4972), and Schedule 2 (Form 1040), line 1z.</t>
        </is>
      </c>
      <c r="D59" s="2770" t="n"/>
      <c r="E59" s="11262" t="n"/>
      <c r="F59" s="11262" t="n"/>
      <c r="G59" s="2771" t="n"/>
      <c r="H59" s="2771" t="n"/>
      <c r="I59" s="2771" t="n"/>
      <c r="J59" s="2771" t="n"/>
      <c r="K59" s="3058" t="n"/>
      <c r="L59" s="3051" t="n"/>
      <c r="M59" s="2989">
        <f>IF(Tax_SubTotal="",0,Tax_SubTotal)</f>
        <v/>
      </c>
      <c r="N59" s="2775" t="n"/>
      <c r="O59" s="3059" t="n"/>
      <c r="P59" s="3060" t="inlineStr">
        <is>
          <t>Form 4972 here ¯</t>
        </is>
      </c>
      <c r="Q59" s="8833" t="n"/>
      <c r="R59" s="6546" t="n"/>
      <c r="S59" s="2971" t="n"/>
      <c r="T59" s="2972" t="n"/>
      <c r="U59" s="3014" t="n"/>
      <c r="V59" s="2982" t="inlineStr">
        <is>
          <t>(If you used Schedule J to figure your tax on the entry space on Form 1040, 1040-SR, or 1040-NR, line 16, refigure that tax</t>
        </is>
      </c>
      <c r="W59" s="2972" t="n"/>
      <c r="X59" s="2972" t="n"/>
      <c r="Y59" s="2972" t="n"/>
      <c r="Z59" s="2972" t="n"/>
      <c r="AA59" s="2972" t="n"/>
      <c r="AB59" s="2972" t="n"/>
      <c r="AC59" s="2972" t="n"/>
      <c r="AD59" s="2972" t="n"/>
      <c r="AE59" s="3048" t="n"/>
      <c r="AF59" s="2998" t="n"/>
      <c r="AH59" s="845" t="n"/>
    </row>
    <row r="60" ht="13.5" customHeight="1" s="7635" thickBot="1">
      <c r="A60" s="139" t="n"/>
      <c r="B60" s="2984" t="n"/>
      <c r="C60" s="2769" t="inlineStr">
        <is>
          <t>Subtract from the result Schedule 3 (Form 1040), line 1 and any negative amount reported on Form 8978,</t>
        </is>
      </c>
      <c r="D60" s="2770" t="n"/>
      <c r="E60" s="11262" t="n"/>
      <c r="F60" s="11262" t="n"/>
      <c r="G60" s="2771" t="n"/>
      <c r="H60" s="2771" t="n"/>
      <c r="I60" s="2771" t="n"/>
      <c r="J60" s="2771" t="n"/>
      <c r="K60" s="3061" t="n"/>
      <c r="L60" s="3030" t="n"/>
      <c r="M60" s="2989">
        <f>IF(P60="",0,ROUND(P60,0))</f>
        <v/>
      </c>
      <c r="N60" s="2775" t="n"/>
      <c r="O60" s="3059" t="n"/>
      <c r="P60" s="355" t="n"/>
      <c r="Q60" s="8833" t="n"/>
      <c r="R60" s="3025" t="n">
        <v>239100</v>
      </c>
      <c r="S60" s="2971" t="n"/>
      <c r="T60" s="2972" t="n"/>
      <c r="U60" s="3014" t="n"/>
      <c r="V60" s="2982" t="inlineStr">
        <is>
          <t xml:space="preserve"> without using Schedule J before including it in this calculation)</t>
        </is>
      </c>
      <c r="W60" s="2972" t="n"/>
      <c r="X60" s="2972" t="n"/>
      <c r="Y60" s="2972" t="n"/>
      <c r="Z60" s="2992" t="inlineStr">
        <is>
          <t xml:space="preserve">.   .   .   .   .   .   .   .   .   .   .  </t>
        </is>
      </c>
      <c r="AA60" s="8797" t="n"/>
      <c r="AB60" s="2993" t="inlineStr">
        <is>
          <t>13.</t>
        </is>
      </c>
      <c r="AC60" s="1339">
        <f>IF(AH59&lt;&gt;"",ROUND(AH59,0),IF(OR(U54="X",U33="X"),"",IF(AA60="",SUM(Tax_SubTotal,PTC_ExcessAdv),SUM(Tax_SubTotal,PTC_ExcessAdv,-AA60))))</f>
        <v/>
      </c>
      <c r="AD60" s="2972" t="n"/>
      <c r="AE60" s="3062">
        <f>IF(OR(U54="X",U33="X"),"",IF(AA60="",SUM(Tax,PTC_ExcessAdv),SUM(Tax,PTC_ExcessAdv,-AA60)))</f>
        <v/>
      </c>
      <c r="AF60" s="2998" t="n"/>
    </row>
    <row r="61">
      <c r="A61" s="139" t="n"/>
      <c r="B61" s="2984" t="n"/>
      <c r="C61" s="3019" t="inlineStr">
        <is>
          <t xml:space="preserve">line 14 (treated as a positive number). If zero or less, enter -0-. If you used Schedule J to figure your tax on </t>
        </is>
      </c>
      <c r="D61" s="2770" t="n"/>
      <c r="E61" s="11262" t="n"/>
      <c r="F61" s="11262" t="n"/>
      <c r="G61" s="2771" t="n"/>
      <c r="H61" s="2771" t="n"/>
      <c r="I61" s="2771" t="n"/>
      <c r="J61" s="2771" t="n"/>
      <c r="K61" s="2031" t="n"/>
      <c r="L61" s="2802" t="n"/>
      <c r="M61" s="2989">
        <f>IF(Sch2_Line1z="",0,Sch2_Line1z)</f>
        <v/>
      </c>
      <c r="N61" s="2775" t="n"/>
      <c r="O61" s="3036" t="n"/>
      <c r="P61" s="3060" t="inlineStr">
        <is>
          <t>Form 8978, line 14 (negative) ¯</t>
        </is>
      </c>
      <c r="Q61" s="8833" t="n"/>
      <c r="R61" s="3025" t="n">
        <v>119550</v>
      </c>
      <c r="S61" s="2971" t="n"/>
      <c r="T61" s="2972" t="n"/>
      <c r="U61" s="2972" t="n"/>
      <c r="V61" s="2976" t="n"/>
      <c r="W61" s="2972" t="n"/>
      <c r="X61" s="2972" t="n"/>
      <c r="Y61" s="2972" t="n"/>
      <c r="Z61" s="2972" t="n"/>
      <c r="AA61" s="3063" t="inlineStr">
        <is>
          <t>Tax from Form 4972  ↑</t>
        </is>
      </c>
      <c r="AB61" s="2972" t="n"/>
      <c r="AC61" s="3063" t="n"/>
      <c r="AD61" s="2972" t="n"/>
      <c r="AE61" s="3048" t="n"/>
      <c r="AF61" s="2998" t="n"/>
      <c r="AH61" s="382" t="n">
        <v>0.26</v>
      </c>
    </row>
    <row r="62" ht="13.5" customHeight="1" s="7635" thickBot="1">
      <c r="A62" s="139" t="n"/>
      <c r="B62" s="2984" t="n"/>
      <c r="C62" s="2769" t="inlineStr">
        <is>
          <t>Form 1040 or 1040-SR, line 16, refigure that tax without using Schedule J before completing this line. See</t>
        </is>
      </c>
      <c r="D62" s="2770" t="n"/>
      <c r="E62" s="11262" t="n"/>
      <c r="F62" s="11262" t="n"/>
      <c r="G62" s="2771" t="n"/>
      <c r="H62" s="2771" t="n"/>
      <c r="I62" s="2771" t="n"/>
      <c r="J62" s="2771" t="n"/>
      <c r="K62" s="2031" t="n"/>
      <c r="L62" s="2802" t="n"/>
      <c r="M62" s="2989">
        <f>IF(Foreign_Tax_Credit="",0,Foreign_Tax_Credit)</f>
        <v/>
      </c>
      <c r="N62" s="2775" t="n"/>
      <c r="O62" s="3036" t="n"/>
      <c r="P62" s="355" t="n"/>
      <c r="Q62" s="8833" t="n"/>
      <c r="R62" s="3025" t="n"/>
      <c r="S62" s="3064" t="n"/>
      <c r="T62" s="2972" t="n"/>
      <c r="U62" s="2982" t="n"/>
      <c r="V62" s="2976" t="n"/>
      <c r="W62" s="2972" t="n"/>
      <c r="X62" s="2972" t="n"/>
      <c r="Y62" s="2972" t="n"/>
      <c r="Z62" s="2972" t="n"/>
      <c r="AA62" s="2972" t="n"/>
      <c r="AB62" s="2972" t="n"/>
      <c r="AC62" s="2972" t="n"/>
      <c r="AD62" s="2972" t="n"/>
      <c r="AE62" s="3048" t="n"/>
      <c r="AF62" s="2998" t="n"/>
    </row>
    <row r="63">
      <c r="A63" s="139" t="n"/>
      <c r="B63" s="2984" t="n"/>
      <c r="C63" s="2769" t="inlineStr">
        <is>
          <t>instructions</t>
        </is>
      </c>
      <c r="D63" s="2770" t="n"/>
      <c r="E63" s="11262" t="n"/>
      <c r="F63" s="11262" t="n"/>
      <c r="G63" s="2771" t="n"/>
      <c r="H63" s="2771" t="n"/>
      <c r="I63" s="2771" t="n"/>
      <c r="J63" s="2771" t="n"/>
      <c r="K63" s="2031" t="inlineStr">
        <is>
          <t xml:space="preserve"> .   .   .   .   .   .   .   .   .   .   .   .   .   .   .   .   .   .   .   .   .   .   .   .   .   .   .   .   .   .   .   .   .   .   . </t>
        </is>
      </c>
      <c r="L63" s="3039">
        <f>B59</f>
        <v/>
      </c>
      <c r="M63" s="2774">
        <f>IF(P63&lt;&gt;"",ROUND(P63,0),IF(OR(NOT(P1),NumFileStatusBoxes=0),"",MAX(0,SUM(SUM(M59,-M60,M61),-SUM(M62,-ROUND(P62,0))))))</f>
        <v/>
      </c>
      <c r="N63" s="2775" t="n"/>
      <c r="O63" s="3036" t="n"/>
      <c r="P63" s="118" t="n"/>
      <c r="Q63" s="8833" t="n"/>
      <c r="R63" s="3025">
        <f>IF(File_Marr_Sep&lt;&gt;"",R61,R60)</f>
        <v/>
      </c>
      <c r="S63" s="3064" t="n"/>
      <c r="T63" s="2972" t="n"/>
      <c r="U63" s="2982" t="inlineStr">
        <is>
          <t>Next. Is the amount on line 12 more than the amount on line 13?</t>
        </is>
      </c>
      <c r="V63" s="2976" t="n"/>
      <c r="W63" s="2972" t="n"/>
      <c r="X63" s="2972" t="n"/>
      <c r="Y63" s="2972" t="n"/>
      <c r="Z63" s="2972" t="n"/>
      <c r="AA63" s="2972" t="n"/>
      <c r="AB63" s="2972" t="n"/>
      <c r="AC63" s="2972" t="n"/>
      <c r="AD63" s="2972" t="n"/>
      <c r="AE63" s="3048" t="n"/>
      <c r="AF63" s="2998" t="n"/>
      <c r="AH63" s="7834" t="n"/>
    </row>
    <row r="64" ht="15" customHeight="1" s="7635" thickBot="1">
      <c r="A64" s="139" t="n"/>
      <c r="B64" s="2984" t="n">
        <v>11</v>
      </c>
      <c r="C64" s="2769" t="inlineStr">
        <is>
          <t>AMT. Subtract line 10 from line 9. If zero or less, enter -0-. Enter here and on Schedule 2 (1040), line 2</t>
        </is>
      </c>
      <c r="D64" s="2769" t="n"/>
      <c r="E64" s="3065" t="n"/>
      <c r="F64" s="3065" t="n"/>
      <c r="G64" s="3065" t="n"/>
      <c r="H64" s="3065" t="n"/>
      <c r="I64" s="3065" t="n"/>
      <c r="J64" s="3065" t="n"/>
      <c r="K64" s="2031" t="n"/>
      <c r="L64" s="3066" t="inlineStr">
        <is>
          <t>11</t>
        </is>
      </c>
      <c r="M64" s="3067">
        <f>IF(P64&lt;&gt;"",ROUND(P64,0),IF(OR(NOT(P1),NumFileStatusBoxes=0),"",IF(OR(R47,M48=0),0,MAX(0,SUM(M58,-M63)))))</f>
        <v/>
      </c>
      <c r="N64" s="2783" t="n"/>
      <c r="O64" s="3036" t="n"/>
      <c r="P64" s="118" t="n"/>
      <c r="Q64" s="6544" t="n"/>
      <c r="R64" s="3025">
        <f>IF(M64="",0,M64)</f>
        <v/>
      </c>
      <c r="S64" s="3064" t="n"/>
      <c r="T64" s="2972" t="n"/>
      <c r="U64" s="2972" t="n"/>
      <c r="V64" s="2976" t="n"/>
      <c r="W64" s="2972" t="n"/>
      <c r="X64" s="2972" t="n"/>
      <c r="Y64" s="2972" t="n"/>
      <c r="Z64" s="2972" t="n"/>
      <c r="AA64" s="2972" t="n"/>
      <c r="AB64" s="2972" t="n"/>
      <c r="AC64" s="2972" t="n"/>
      <c r="AD64" s="2972" t="n"/>
      <c r="AE64" s="3048" t="n"/>
      <c r="AF64" s="2998" t="n"/>
      <c r="AH64" s="7834" t="n"/>
    </row>
    <row r="65" ht="15" customHeight="1" s="7635" thickBot="1">
      <c r="A65" s="139" t="n"/>
      <c r="B65" s="2827" t="inlineStr">
        <is>
          <t>For Paperwork Reduction Act Notice, see your tax return instructions.</t>
        </is>
      </c>
      <c r="C65" s="2828" t="n"/>
      <c r="D65" s="2828" t="n"/>
      <c r="E65" s="2828" t="n"/>
      <c r="F65" s="2828" t="n"/>
      <c r="G65" s="2829" t="n"/>
      <c r="H65" s="2830" t="inlineStr">
        <is>
          <t>Cat. No. 13600G</t>
        </is>
      </c>
      <c r="I65" s="2506" t="n"/>
      <c r="J65" s="6523" t="inlineStr">
        <is>
          <t>Form 6251</t>
        </is>
      </c>
      <c r="K65" s="6522" t="n"/>
      <c r="L65" s="3068" t="n"/>
      <c r="M65" s="6521">
        <f>"("&amp;TaxYear&amp;")  Created 9/17/25"</f>
        <v/>
      </c>
      <c r="N65" s="3069" t="n"/>
      <c r="O65" s="2990" t="n"/>
      <c r="P65" s="962" t="n"/>
      <c r="Q65" s="3258" t="n"/>
      <c r="R65" s="3025">
        <f>0.02*R60</f>
        <v/>
      </c>
      <c r="S65" s="3064" t="n"/>
      <c r="T65" s="2972" t="n"/>
      <c r="U65" s="2980">
        <f>IF(OR(U54="X",U33="X"),"",IF(AC56&gt;AC60,"X",""))</f>
        <v/>
      </c>
      <c r="V65" s="2981" t="inlineStr">
        <is>
          <t>Yes.</t>
        </is>
      </c>
      <c r="W65" s="2982" t="inlineStr">
        <is>
          <t>Fill in Form 6251 to see if you owe the alternative minimum tax.</t>
        </is>
      </c>
      <c r="X65" s="2972" t="n"/>
      <c r="Y65" s="2972" t="n"/>
      <c r="Z65" s="2972" t="n"/>
      <c r="AA65" s="2972" t="n"/>
      <c r="AB65" s="2972" t="n"/>
      <c r="AC65" s="2972" t="n"/>
      <c r="AD65" s="2972" t="n"/>
      <c r="AE65" s="3070" t="n"/>
      <c r="AF65" s="2998" t="n"/>
      <c r="AH65" s="7834" t="n"/>
    </row>
    <row r="66" ht="13.5" customHeight="1" s="7635" thickBot="1">
      <c r="A66" s="139" t="n"/>
      <c r="B66" s="2754" t="n"/>
      <c r="C66" s="3071" t="n"/>
      <c r="D66" s="3071" t="n"/>
      <c r="E66" s="3071" t="n"/>
      <c r="F66" s="3071" t="n"/>
      <c r="G66" s="3072" t="n"/>
      <c r="H66" s="3073" t="n"/>
      <c r="I66" s="3072" t="n"/>
      <c r="J66" s="3072" t="n"/>
      <c r="K66" s="3072" t="n"/>
      <c r="L66" s="3004" t="n"/>
      <c r="M66" s="3074" t="n"/>
      <c r="N66" s="3069" t="n"/>
      <c r="O66" s="3075" t="n"/>
      <c r="P66" s="962" t="n"/>
      <c r="Q66" s="3258" t="n"/>
      <c r="R66" s="3025">
        <f>0.02*R61</f>
        <v/>
      </c>
      <c r="S66" s="3064" t="n"/>
      <c r="T66" s="2972" t="n"/>
      <c r="U66" s="2972" t="n"/>
      <c r="V66" s="2976" t="n"/>
      <c r="W66" s="2972" t="n"/>
      <c r="X66" s="2972" t="n"/>
      <c r="Y66" s="2972" t="n"/>
      <c r="Z66" s="2972" t="n"/>
      <c r="AA66" s="2972" t="n"/>
      <c r="AB66" s="2972" t="n"/>
      <c r="AC66" s="2972" t="n"/>
      <c r="AD66" s="2972" t="n"/>
      <c r="AE66" s="3070" t="n"/>
      <c r="AF66" s="2998" t="n"/>
      <c r="AH66" s="7834" t="n"/>
    </row>
    <row r="67" ht="14.25" customHeight="1" s="7635" thickBot="1">
      <c r="A67" s="139" t="n"/>
      <c r="B67" s="3076">
        <f>"Form 6251  ("&amp;TaxYear&amp;")"</f>
        <v/>
      </c>
      <c r="C67" s="3077" t="n"/>
      <c r="D67" s="3077" t="n"/>
      <c r="E67" s="3077" t="n"/>
      <c r="F67" s="3077" t="n"/>
      <c r="G67" s="3078" t="n"/>
      <c r="H67" s="3078" t="n"/>
      <c r="I67" s="3078" t="n"/>
      <c r="J67" s="3078" t="n"/>
      <c r="K67" s="3079" t="n"/>
      <c r="L67" s="3080" t="n"/>
      <c r="M67" s="3081" t="inlineStr">
        <is>
          <t>Page   2</t>
        </is>
      </c>
      <c r="N67" s="3082" t="n"/>
      <c r="O67" s="2987" t="n"/>
      <c r="P67" s="962" t="n"/>
      <c r="Q67" s="3258" t="n"/>
      <c r="R67" s="3025">
        <f>IF(File_Marr_Sep&lt;&gt;"",R66,R65)</f>
        <v/>
      </c>
      <c r="S67" s="3064" t="n"/>
      <c r="T67" s="3083" t="n"/>
      <c r="U67" s="2980">
        <f>IF(OR(U54="X",U33="X"),"",IF(AC56&gt;AC60,"","X"))</f>
        <v/>
      </c>
      <c r="V67" s="2981" t="inlineStr">
        <is>
          <t>No.</t>
        </is>
      </c>
      <c r="W67" s="2982" t="inlineStr">
        <is>
          <t>You don’t owe alternative minimum tax and don’t need to fill out Form 6251. Leave Schedule 2, line 2, blank.</t>
        </is>
      </c>
      <c r="X67" s="2972" t="n"/>
      <c r="Y67" s="2972" t="n"/>
      <c r="Z67" s="2972" t="n"/>
      <c r="AA67" s="2972" t="n"/>
      <c r="AB67" s="2972" t="n"/>
      <c r="AC67" s="2972" t="n"/>
      <c r="AD67" s="2972" t="n"/>
      <c r="AE67" s="3070" t="n"/>
      <c r="AF67" s="2998" t="n"/>
      <c r="AH67" s="7834" t="n"/>
    </row>
    <row r="68" ht="8.25" customHeight="1" s="7635" thickBot="1">
      <c r="A68" s="139" t="n"/>
      <c r="B68" s="3084" t="n"/>
      <c r="C68" s="2828" t="n"/>
      <c r="D68" s="2828" t="n"/>
      <c r="E68" s="2828" t="n"/>
      <c r="F68" s="2828" t="n"/>
      <c r="G68" s="2829" t="n"/>
      <c r="H68" s="2829" t="n"/>
      <c r="I68" s="2829" t="n"/>
      <c r="J68" s="2829" t="n"/>
      <c r="K68" s="3085" t="n"/>
      <c r="L68" s="3086" t="n"/>
      <c r="M68" s="2832" t="n"/>
      <c r="N68" s="3082" t="n"/>
      <c r="O68" s="2990" t="n"/>
      <c r="P68" s="962" t="n"/>
      <c r="Q68" s="3258" t="n"/>
      <c r="R68" s="3087" t="n">
        <v>0.26</v>
      </c>
      <c r="S68" s="3088" t="n"/>
      <c r="T68" s="3089" t="n"/>
      <c r="U68" s="3090" t="n"/>
      <c r="V68" s="3091" t="n"/>
      <c r="W68" s="3092" t="n"/>
      <c r="X68" s="3092" t="n"/>
      <c r="Y68" s="3092" t="n"/>
      <c r="Z68" s="3092" t="n"/>
      <c r="AA68" s="3092" t="n"/>
      <c r="AB68" s="3092" t="n"/>
      <c r="AC68" s="3092" t="n"/>
      <c r="AD68" s="3092" t="n"/>
      <c r="AE68" s="3093" t="n"/>
      <c r="AF68" s="3094" t="n"/>
    </row>
    <row r="69" ht="18.75" customHeight="1" s="7635" thickBot="1">
      <c r="A69" s="139" t="n"/>
      <c r="B69" s="3095" t="inlineStr">
        <is>
          <t>Part III</t>
        </is>
      </c>
      <c r="C69" s="3096" t="inlineStr">
        <is>
          <t xml:space="preserve">  Tax Computation Using Maximum Capital Gains Rates</t>
        </is>
      </c>
      <c r="D69" s="3097" t="n"/>
      <c r="E69" s="8651" t="n"/>
      <c r="F69" s="8651" t="n"/>
      <c r="G69" s="3099" t="n"/>
      <c r="H69" s="3099" t="n"/>
      <c r="I69" s="3099" t="n"/>
      <c r="J69" s="3099" t="n"/>
      <c r="K69" s="3099" t="n"/>
      <c r="L69" s="3099" t="n"/>
      <c r="M69" s="3100" t="n"/>
      <c r="N69" s="3101" t="n"/>
      <c r="O69" s="2990" t="n"/>
      <c r="P69" s="1562">
        <f>IF(NOT(F6251_Needed),"",IF(F6251_PIII,"Part III is used","Part III is NOT used."))</f>
        <v/>
      </c>
      <c r="Q69" s="6544" t="n"/>
      <c r="R69" s="3087" t="n">
        <v>0.28</v>
      </c>
      <c r="S69" s="3102" t="n"/>
      <c r="T69" s="3103" t="n"/>
      <c r="U69" s="3104" t="n"/>
      <c r="V69" s="3105" t="n"/>
      <c r="W69" s="688" t="n"/>
      <c r="X69" s="688" t="n"/>
      <c r="Y69" s="688" t="n"/>
      <c r="Z69" s="688" t="n"/>
      <c r="AA69" s="688" t="n"/>
      <c r="AB69" s="688" t="n"/>
      <c r="AC69" s="688" t="n"/>
      <c r="AD69" s="688" t="n"/>
      <c r="AE69" s="3106" t="n"/>
      <c r="AF69" s="3106" t="n"/>
    </row>
    <row r="70" ht="12.75" customHeight="1" s="7635" thickBot="1">
      <c r="A70" s="139" t="n"/>
      <c r="B70" s="3107" t="n"/>
      <c r="C70" s="3108" t="n"/>
      <c r="D70" s="3109" t="inlineStr">
        <is>
          <t>Complete Part III only if you are required to do so by line 7 or by the Foreign Earned Income Tax Worksheet in the instructions.</t>
        </is>
      </c>
      <c r="E70" s="3110" t="n"/>
      <c r="F70" s="3110" t="n"/>
      <c r="G70" s="3111" t="n"/>
      <c r="H70" s="3111" t="n"/>
      <c r="I70" s="3111" t="n"/>
      <c r="J70" s="3111" t="n"/>
      <c r="K70" s="3111" t="n"/>
      <c r="L70" s="3111" t="n"/>
      <c r="M70" s="3112" t="n"/>
      <c r="N70" s="3101" t="n"/>
      <c r="O70" s="2990" t="n"/>
      <c r="P70" s="3113">
        <f>IF(OR(NOT(F6251_Needed),F6251_PIII),"",IF(F6251_PIII,"OVERRIDE","Place 'X' to override --&gt;"))</f>
        <v/>
      </c>
      <c r="Q70" s="327" t="n"/>
      <c r="R70" s="5062" t="n"/>
      <c r="S70" s="3102" t="n"/>
      <c r="T70" s="3103" t="n"/>
      <c r="U70" s="3104" t="n"/>
      <c r="V70" s="3105" t="n"/>
      <c r="W70" s="688" t="n"/>
      <c r="X70" s="688" t="n"/>
      <c r="Y70" s="688" t="n"/>
      <c r="Z70" s="688" t="n"/>
      <c r="AA70" s="688" t="n"/>
      <c r="AB70" s="688" t="n"/>
      <c r="AC70" s="688" t="n"/>
      <c r="AD70" s="688" t="n"/>
      <c r="AE70" s="3106" t="n"/>
      <c r="AF70" s="3533" t="n"/>
    </row>
    <row r="71" ht="12.75" customHeight="1" s="7635" thickBot="1">
      <c r="A71" s="139" t="n"/>
      <c r="B71" s="4566" t="inlineStr">
        <is>
          <t>12</t>
        </is>
      </c>
      <c r="C71" s="2769">
        <f>"Enter the amount from Form 6251, line "&amp;L48&amp;". If you are filing Form 2555, enter the amount from line 3 of the"</f>
        <v/>
      </c>
      <c r="D71" s="3114" t="n"/>
      <c r="E71" s="11262" t="n"/>
      <c r="F71" s="11262" t="n"/>
      <c r="G71" s="2771" t="n"/>
      <c r="H71" s="2771" t="n"/>
      <c r="I71" s="3029" t="n"/>
      <c r="J71" s="3029" t="n"/>
      <c r="K71" s="3050" t="n"/>
      <c r="L71" s="3115" t="n"/>
      <c r="M71" s="3116" t="n"/>
      <c r="N71" s="2783" t="n"/>
      <c r="O71" s="2990" t="n"/>
      <c r="P71" s="3117" t="n"/>
      <c r="Q71" s="229" t="n"/>
      <c r="R71" s="3534" t="n"/>
      <c r="S71" s="3102" t="n"/>
      <c r="T71" s="3103" t="n"/>
      <c r="U71" s="3104" t="n"/>
      <c r="V71" s="3118" t="n"/>
      <c r="W71" s="3119" t="n"/>
      <c r="X71" s="3119" t="n"/>
      <c r="Y71" s="3119" t="n"/>
      <c r="Z71" s="3119" t="n"/>
      <c r="AA71" s="3119" t="n"/>
      <c r="AB71" s="3119" t="n"/>
      <c r="AC71" s="699" t="inlineStr">
        <is>
          <t>https://www.irs.gov/pub/irs-pdf/i6251.pdf</t>
        </is>
      </c>
      <c r="AD71" s="3119" t="n"/>
      <c r="AE71" s="3106" t="n"/>
      <c r="AF71" s="3533" t="n"/>
    </row>
    <row r="72" ht="12.75" customHeight="1" s="7635">
      <c r="A72" s="139" t="n"/>
      <c r="B72" s="2984" t="n"/>
      <c r="C72" s="2769" t="inlineStr">
        <is>
          <t>worksheet in the instructions for line 7</t>
        </is>
      </c>
      <c r="D72" s="2769" t="n"/>
      <c r="E72" s="11262" t="n"/>
      <c r="F72" s="11262" t="n"/>
      <c r="G72" s="2771" t="n"/>
      <c r="H72" s="2771" t="n"/>
      <c r="I72" s="2771" t="n"/>
      <c r="J72" s="2771" t="n"/>
      <c r="K72" s="2031" t="inlineStr">
        <is>
          <t xml:space="preserve">.   .   .   .   .   .   .   .   .   .   .   .   .   .   .   .   .   .   .   .   .   .   .   .   . </t>
        </is>
      </c>
      <c r="L72" s="3039">
        <f>B71</f>
        <v/>
      </c>
      <c r="M72" s="2774">
        <f>IF(P72&lt;&gt;"",P72,IF(AND(Form2555_Used,R53),AC108,IF(AND(F6251_PIII,M48=""),0,IF(F6251_PIII,M48,""))))</f>
        <v/>
      </c>
      <c r="N72" s="2775" t="n"/>
      <c r="O72" s="2990" t="n"/>
      <c r="P72" s="118" t="n"/>
      <c r="Q72" s="229" t="n"/>
      <c r="R72" s="3534" t="n"/>
      <c r="S72" s="3102" t="n"/>
      <c r="T72" s="3103" t="n"/>
      <c r="U72" s="3104" t="n"/>
      <c r="V72" s="12575" t="inlineStr">
        <is>
          <t>Exemption Worksheet—
Line 5</t>
        </is>
      </c>
      <c r="W72" s="2506" t="n"/>
      <c r="X72" s="12576" t="n"/>
      <c r="Y72" s="12284" t="n"/>
      <c r="Z72" s="12284" t="n"/>
      <c r="AA72" s="3120" t="n"/>
      <c r="AB72" s="3120" t="n"/>
      <c r="AC72" s="3120" t="n"/>
      <c r="AD72" s="3121" t="n"/>
      <c r="AE72" s="3106" t="n"/>
      <c r="AF72" s="3533" t="n"/>
    </row>
    <row r="73" ht="15" customHeight="1" s="7635">
      <c r="A73" s="139" t="n"/>
      <c r="B73" s="2984">
        <f>B71+1</f>
        <v/>
      </c>
      <c r="C73" s="2769" t="inlineStr">
        <is>
          <t>Enter the amount from line 4 of the Qualified Dividends and Capital Gain Tax Worksheet in the Instructions</t>
        </is>
      </c>
      <c r="D73" s="2769" t="n"/>
      <c r="E73" s="11262" t="n"/>
      <c r="F73" s="11262" t="n"/>
      <c r="G73" s="2771" t="n"/>
      <c r="H73" s="8374" t="n"/>
      <c r="I73" s="8374" t="n"/>
      <c r="J73" s="2771" t="n"/>
      <c r="K73" s="2031" t="n"/>
      <c r="L73" s="3122" t="n"/>
      <c r="M73" s="2791" t="n"/>
      <c r="N73" s="2775" t="n"/>
      <c r="O73" s="2990" t="n"/>
      <c r="P73" s="962" t="n"/>
      <c r="Q73" s="229" t="n"/>
      <c r="R73" s="5059" t="n"/>
      <c r="S73" s="3102" t="n"/>
      <c r="T73" s="3103" t="n"/>
      <c r="U73" s="3104" t="n"/>
      <c r="V73" s="11741" t="n"/>
      <c r="X73" s="194" t="n"/>
      <c r="Y73" s="194" t="n"/>
      <c r="Z73" s="194" t="n"/>
      <c r="AA73" s="10309" t="n"/>
      <c r="AB73" s="10309" t="n"/>
      <c r="AC73" s="10309" t="n"/>
      <c r="AD73" s="10310" t="n"/>
      <c r="AE73" s="3106" t="n"/>
      <c r="AF73" s="3106" t="n"/>
    </row>
    <row r="74" ht="15" customHeight="1" s="7635" thickBot="1">
      <c r="A74" s="139" t="n"/>
      <c r="B74" s="2984" t="n"/>
      <c r="C74" s="3019" t="inlineStr">
        <is>
          <t>for Forms 1040 or the amount from line 13 of the Schedule D Tax Worksheet in the Instructions for Schedule</t>
        </is>
      </c>
      <c r="D74" s="2769" t="n"/>
      <c r="E74" s="11262" t="n"/>
      <c r="F74" s="11262" t="n"/>
      <c r="G74" s="2771" t="n"/>
      <c r="H74" s="8374" t="n"/>
      <c r="I74" s="8374" t="n"/>
      <c r="J74" s="2771" t="n"/>
      <c r="K74" s="2031" t="n"/>
      <c r="L74" s="2781" t="n"/>
      <c r="M74" s="2791" t="n"/>
      <c r="N74" s="2775" t="n"/>
      <c r="O74" s="2990" t="n"/>
      <c r="P74" s="962" t="n"/>
      <c r="Q74" s="229" t="n"/>
      <c r="R74" s="3534" t="n"/>
      <c r="S74" s="3102" t="n"/>
      <c r="T74" s="3103" t="n"/>
      <c r="U74" s="3104" t="n"/>
      <c r="V74" s="11743" t="n"/>
      <c r="W74" s="8848" t="n"/>
      <c r="X74" s="11795" t="n"/>
      <c r="Y74" s="11795" t="n"/>
      <c r="Z74" s="11795" t="n"/>
      <c r="AA74" s="3125" t="inlineStr">
        <is>
          <t xml:space="preserve">     Keep for Your Records                </t>
        </is>
      </c>
      <c r="AB74" s="3125" t="n"/>
      <c r="AC74" s="3125" t="n"/>
      <c r="AD74" s="3126" t="n"/>
      <c r="AE74" s="3106" t="n"/>
      <c r="AF74" s="3106" t="n"/>
      <c r="AH74" s="688" t="n"/>
    </row>
    <row r="75" ht="15" customHeight="1" s="7635">
      <c r="A75" s="139" t="n"/>
      <c r="B75" s="2984" t="n"/>
      <c r="C75" s="3019" t="inlineStr">
        <is>
          <t>D (Form 1040), whichever applies (as refigured for the AMT, if necessary). See instructions. If you are filing</t>
        </is>
      </c>
      <c r="D75" s="2769" t="n"/>
      <c r="E75" s="11262" t="n"/>
      <c r="F75" s="11262" t="n"/>
      <c r="G75" s="2771" t="n"/>
      <c r="H75" s="8374" t="n"/>
      <c r="I75" s="8374" t="n"/>
      <c r="J75" s="2771" t="n"/>
      <c r="K75" s="2031" t="n"/>
      <c r="L75" s="2781" t="n"/>
      <c r="M75" s="2791" t="n"/>
      <c r="N75" s="2775" t="n"/>
      <c r="O75" s="497" t="n"/>
      <c r="P75" s="2551">
        <f>IF(Form2555_Used,"&lt;&lt; Hide highlighting.","")</f>
        <v/>
      </c>
      <c r="Q75" s="229" t="n"/>
      <c r="R75" s="5059" t="n"/>
      <c r="S75" s="3102" t="n"/>
      <c r="T75" s="3103" t="n"/>
      <c r="U75" s="3104" t="n"/>
      <c r="V75" s="3127" t="inlineStr">
        <is>
          <t>Note.</t>
        </is>
      </c>
      <c r="W75" s="3128">
        <f>"If Form 6251, line 4, is equal to or more than: "&amp;TEXT($AH$76,"$0,000")&amp;" if single or head of household; "</f>
        <v/>
      </c>
      <c r="X75" s="3128" t="n"/>
      <c r="Y75" s="3128" t="n"/>
      <c r="Z75" s="3128" t="n"/>
      <c r="AA75" s="3128" t="n"/>
      <c r="AB75" s="3128" t="n"/>
      <c r="AC75" s="3128" t="n"/>
      <c r="AD75" s="3129" t="n"/>
      <c r="AE75" s="3106" t="n"/>
      <c r="AF75" s="6524" t="n"/>
      <c r="AG75" s="6525" t="n"/>
      <c r="AH75" s="6526" t="n">
        <v>2025</v>
      </c>
      <c r="AI75" s="6525" t="n"/>
    </row>
    <row r="76" ht="15" customHeight="1" s="7635">
      <c r="A76" s="139" t="n"/>
      <c r="B76" s="2984" t="n"/>
      <c r="C76" s="2769" t="inlineStr">
        <is>
          <t>Form 2555, see instructions for the amount to enter</t>
        </is>
      </c>
      <c r="D76" s="2769" t="n"/>
      <c r="E76" s="2769" t="n"/>
      <c r="F76" s="11262" t="n"/>
      <c r="G76" s="2771" t="n"/>
      <c r="H76" s="8374" t="n"/>
      <c r="I76" s="2075" t="n"/>
      <c r="J76" s="2771" t="n"/>
      <c r="K76" s="2031" t="inlineStr">
        <is>
          <t xml:space="preserve">.   .   .   .   .   .   .   .   . </t>
        </is>
      </c>
      <c r="L76" s="3039">
        <f>B73</f>
        <v/>
      </c>
      <c r="M76" s="2774">
        <f>IF(P76&lt;&gt;"",ROUND(P76,0),IF(NOT(F6251_PIII),"",IF(AND(SchDTW_Used,NOT(CGTW)),'Sch. D WS'!R88,IF(CGTW,'Line 16 (QDCG Tax)'!J40,0))))</f>
        <v/>
      </c>
      <c r="N76" s="2775" t="n"/>
      <c r="O76" s="2990" t="n"/>
      <c r="P76" s="118" t="n"/>
      <c r="Q76" s="229" t="n"/>
      <c r="R76" s="3534" t="n"/>
      <c r="S76" s="3102" t="n"/>
      <c r="T76" s="3103" t="n"/>
      <c r="U76" s="3104" t="n"/>
      <c r="V76" s="12577">
        <f>"  "&amp;TEXT($AH$77,"$0,000")&amp;" if married filing jointly or qualifying surviving spouse; or "&amp;TEXT($AH$78,"$0,000")&amp;" if married filing separately;"</f>
        <v/>
      </c>
      <c r="AD76" s="1066" t="n"/>
      <c r="AE76" s="3106" t="n"/>
      <c r="AF76" s="6527" t="inlineStr">
        <is>
          <t>Single or HOH</t>
        </is>
      </c>
      <c r="AG76" s="6525" t="n"/>
      <c r="AH76" s="6528" t="n">
        <v>978750</v>
      </c>
      <c r="AI76" s="6525" t="n"/>
    </row>
    <row r="77" ht="15" customHeight="1" s="7635">
      <c r="A77" s="139" t="n"/>
      <c r="B77" s="2984">
        <f>B73+1</f>
        <v/>
      </c>
      <c r="C77" s="2769" t="inlineStr">
        <is>
          <t>Enter the amount from Schedule D (Form 1040), line 19  (as refigured for the AMT, if necessary). See</t>
        </is>
      </c>
      <c r="D77" s="2769" t="n"/>
      <c r="E77" s="11262" t="n"/>
      <c r="F77" s="11262" t="n"/>
      <c r="G77" s="2771" t="n"/>
      <c r="H77" s="8374" t="n"/>
      <c r="I77" s="8374" t="n"/>
      <c r="J77" s="2771" t="n"/>
      <c r="K77" s="2031" t="n"/>
      <c r="L77" s="2781" t="n"/>
      <c r="M77" s="2791" t="n"/>
      <c r="N77" s="2775" t="n"/>
      <c r="O77" s="2990" t="n"/>
      <c r="P77" s="962" t="n"/>
      <c r="Q77" s="229" t="n"/>
      <c r="R77" s="5059" t="n"/>
      <c r="S77" s="3102" t="n"/>
      <c r="T77" s="3103" t="n"/>
      <c r="U77" s="3104" t="n"/>
      <c r="V77" s="12577" t="inlineStr">
        <is>
          <t xml:space="preserve">  your exemption is zero. Don't complete this worksheet; instead, enter the amount from Form 6251,</t>
        </is>
      </c>
      <c r="AD77" s="1066" t="n"/>
      <c r="AE77" s="3106" t="n"/>
      <c r="AF77" s="6527" t="inlineStr">
        <is>
          <t>MFJ or QSS</t>
        </is>
      </c>
      <c r="AG77" s="6525" t="n"/>
      <c r="AH77" s="6528" t="n">
        <v>1800700</v>
      </c>
      <c r="AI77" s="6525" t="n"/>
    </row>
    <row r="78" ht="15" customHeight="1" s="7635" thickBot="1">
      <c r="A78" s="139" t="n"/>
      <c r="B78" s="2984" t="n"/>
      <c r="C78" s="2769" t="inlineStr">
        <is>
          <t>instructions. If you are filing Form 2555, see instructions for the amount to enter</t>
        </is>
      </c>
      <c r="D78" s="2769" t="n"/>
      <c r="E78" s="11262" t="n"/>
      <c r="F78" s="11262" t="n"/>
      <c r="G78" s="2771" t="n"/>
      <c r="H78" s="8374" t="n"/>
      <c r="I78" s="8374" t="n"/>
      <c r="J78" s="2771" t="n"/>
      <c r="K78" s="2031" t="inlineStr">
        <is>
          <t xml:space="preserve">.   .   .   .   .   .   .   .   .   .   .   . </t>
        </is>
      </c>
      <c r="L78" s="3039">
        <f>B77</f>
        <v/>
      </c>
      <c r="M78" s="2774">
        <f>IF(P78&lt;&gt;"",P78,IF(NOT(F6251_PIII),"",IF(SchDLine19&lt;&gt;"",SchDLine19,0)))</f>
        <v/>
      </c>
      <c r="N78" s="2775" t="n"/>
      <c r="O78" s="2990" t="n"/>
      <c r="P78" s="118" t="n"/>
      <c r="Q78" s="229" t="n"/>
      <c r="R78" s="5061" t="n"/>
      <c r="S78" s="3102" t="n"/>
      <c r="T78" s="3103" t="n"/>
      <c r="U78" s="3104" t="n"/>
      <c r="V78" s="12578" t="inlineStr">
        <is>
          <t xml:space="preserve">  line 4, on line 6 and go to line 7.</t>
        </is>
      </c>
      <c r="AD78" s="1066" t="n"/>
      <c r="AE78" s="3106" t="n"/>
      <c r="AF78" s="6527" t="inlineStr">
        <is>
          <t>MFS</t>
        </is>
      </c>
      <c r="AG78" s="6525" t="n"/>
      <c r="AH78" s="6528" t="n">
        <v>900350</v>
      </c>
      <c r="AI78" s="6525" t="n"/>
    </row>
    <row r="79" ht="15" customHeight="1" s="7635">
      <c r="A79" s="139" t="n"/>
      <c r="B79" s="2984">
        <f>B77+1</f>
        <v/>
      </c>
      <c r="C79" s="2769" t="inlineStr">
        <is>
          <t>If you did not complete a Schedule D Tax Worksheet for the regular tax or the AMT, enter the amount from</t>
        </is>
      </c>
      <c r="D79" s="2769" t="n"/>
      <c r="E79" s="11262" t="n"/>
      <c r="F79" s="11262" t="n"/>
      <c r="G79" s="2771" t="n"/>
      <c r="H79" s="8374" t="n"/>
      <c r="I79" s="8374" t="n"/>
      <c r="J79" s="2771" t="n"/>
      <c r="K79" s="2031" t="n"/>
      <c r="L79" s="2781" t="n"/>
      <c r="M79" s="2791" t="n"/>
      <c r="N79" s="2775" t="n"/>
      <c r="O79" s="2990" t="n"/>
      <c r="P79" s="962" t="n"/>
      <c r="Q79" s="229" t="n"/>
      <c r="R79" s="5061" t="n"/>
      <c r="S79" s="3102" t="n"/>
      <c r="T79" s="3103" t="n"/>
      <c r="U79" s="3104" t="n"/>
      <c r="V79" s="12579">
        <f>IF(AND(P1,NOT(AMTExemptionFlag)),"Your AMT Exemption is zero.  See NOTE above.","")</f>
        <v/>
      </c>
      <c r="W79" s="2506" t="n"/>
      <c r="X79" s="2506" t="n"/>
      <c r="Y79" s="2506" t="n"/>
      <c r="Z79" s="2506" t="n"/>
      <c r="AA79" s="2506" t="n"/>
      <c r="AB79" s="2506" t="n"/>
      <c r="AC79" s="2506" t="n"/>
      <c r="AD79" s="2614" t="n"/>
      <c r="AE79" s="3106" t="n"/>
      <c r="AF79" s="6524" t="n"/>
      <c r="AG79" s="6525" t="n"/>
      <c r="AH79" s="6524" t="n"/>
      <c r="AI79" s="6525" t="n"/>
    </row>
    <row r="80" ht="15" customHeight="1" s="7635">
      <c r="A80" s="139" t="n"/>
      <c r="B80" s="2984" t="n"/>
      <c r="C80" s="2769" t="inlineStr">
        <is>
          <t>line 13. Otherwise, add lines 13 and 14, and enter the smaller of that result or the amount from line 10 of</t>
        </is>
      </c>
      <c r="D80" s="2769" t="n"/>
      <c r="E80" s="11262" t="n"/>
      <c r="F80" s="11262" t="n"/>
      <c r="G80" s="2771" t="n"/>
      <c r="H80" s="8374" t="n"/>
      <c r="I80" s="8374" t="n"/>
      <c r="J80" s="2771" t="n"/>
      <c r="K80" s="2031" t="n"/>
      <c r="L80" s="2781" t="n"/>
      <c r="M80" s="2791" t="n"/>
      <c r="N80" s="2775" t="n"/>
      <c r="O80" s="2990" t="n"/>
      <c r="P80" s="962" t="n"/>
      <c r="Q80" s="229" t="n"/>
      <c r="R80" s="5061" t="n"/>
      <c r="S80" s="3102" t="n"/>
      <c r="T80" s="3103" t="n"/>
      <c r="U80" s="3104" t="n"/>
      <c r="V80" s="3130" t="n">
        <v>1</v>
      </c>
      <c r="W80" s="10296">
        <f>"Enter: "&amp;TEXT(I43,"$0,000")&amp;" if single or head of household; "&amp;TEXT(I44,"$0,000")&amp;" if married"</f>
        <v/>
      </c>
      <c r="X80" s="3048" t="n"/>
      <c r="Y80" s="3048" t="n"/>
      <c r="Z80" s="3132" t="n"/>
      <c r="AA80" s="3133" t="n"/>
      <c r="AB80" s="3134" t="n"/>
      <c r="AC80" s="3135" t="n"/>
      <c r="AD80" s="3136" t="n"/>
      <c r="AE80" s="3106" t="n"/>
      <c r="AF80" s="3106" t="n"/>
      <c r="AH80" s="382">
        <f>OR(AND(OR(File_Single&lt;&gt;"",File_Head&lt;&gt;""),AltMinTaxInc&lt;$AH$76),AND(OR(File_Marr_Joint&lt;&gt;"",File_Qual_Widow&lt;&gt;""),AltMinTaxInc&lt;$AH$77),AND(File_Marr_Sep&lt;&gt;"",AltMinTaxInc&lt;$AH$78))</f>
        <v/>
      </c>
    </row>
    <row r="81" ht="15" customHeight="1" s="7635">
      <c r="A81" s="139" t="n"/>
      <c r="B81" s="2984" t="n"/>
      <c r="C81" s="2769" t="inlineStr">
        <is>
          <t>the Schedule D Tax Worksheet (as refigured for the AMT, if necessary). If you are filing Form 2555, see</t>
        </is>
      </c>
      <c r="D81" s="2769" t="n"/>
      <c r="E81" s="11262" t="n"/>
      <c r="F81" s="11262" t="n"/>
      <c r="G81" s="2771" t="n"/>
      <c r="H81" s="8374" t="n"/>
      <c r="I81" s="8374" t="n"/>
      <c r="J81" s="2771" t="n"/>
      <c r="K81" s="2031" t="n"/>
      <c r="L81" s="2781" t="n"/>
      <c r="M81" s="2791" t="n"/>
      <c r="N81" s="2775" t="n"/>
      <c r="O81" s="2990" t="n"/>
      <c r="P81" s="962" t="n"/>
      <c r="Q81" s="229" t="n"/>
      <c r="R81" s="5061" t="n"/>
      <c r="S81" s="3102" t="n"/>
      <c r="T81" s="3103" t="n"/>
      <c r="U81" s="3104" t="n"/>
      <c r="V81" s="3137" t="n"/>
      <c r="W81" s="10296">
        <f>"filing jointly or qualifying surviving spouse; "&amp;TEXT(I45,"$0,000")&amp;" if married filing"</f>
        <v/>
      </c>
      <c r="X81" s="3048" t="n"/>
      <c r="Y81" s="3048" t="n"/>
      <c r="Z81" s="3132" t="n"/>
      <c r="AA81" s="3133" t="n"/>
      <c r="AB81" s="3133" t="n"/>
      <c r="AC81" s="3133" t="n"/>
      <c r="AD81" s="3136" t="n"/>
      <c r="AE81" s="3106" t="n"/>
      <c r="AF81" s="3106" t="n"/>
      <c r="AH81" s="1224" t="n"/>
    </row>
    <row r="82" ht="15" customHeight="1" s="7635">
      <c r="A82" s="139" t="n"/>
      <c r="B82" s="2984" t="n"/>
      <c r="C82" s="2769" t="inlineStr">
        <is>
          <t>instructions for the amount to enter</t>
        </is>
      </c>
      <c r="D82" s="2769" t="n"/>
      <c r="E82" s="11262" t="n"/>
      <c r="F82" s="11262" t="n"/>
      <c r="G82" s="2771" t="n"/>
      <c r="H82" s="8374" t="n"/>
      <c r="I82" s="8374" t="n"/>
      <c r="J82" s="2771" t="n"/>
      <c r="K82" s="2031" t="inlineStr">
        <is>
          <t xml:space="preserve">.   .   .   .   .   .   .   .   .   .   .   .   .   .   .   .   .   .   .   .   .   .   .   .   .   .   . </t>
        </is>
      </c>
      <c r="L82" s="3039">
        <f>B79</f>
        <v/>
      </c>
      <c r="M82" s="2774">
        <f>IF(P82&lt;&gt;"",P82,IF(NOT(F6251_PIII),"",IF(NOT(SchDTW_Used),M76,MIN(SUM(M76,M78),'Sch. D WS'!L85))))</f>
        <v/>
      </c>
      <c r="N82" s="2775" t="n"/>
      <c r="O82" s="2990" t="n"/>
      <c r="P82" s="118" t="n"/>
      <c r="Q82" s="229" t="n"/>
      <c r="R82" s="5061" t="n"/>
      <c r="S82" s="3102" t="n"/>
      <c r="T82" s="3103" t="n"/>
      <c r="U82" s="3104" t="n"/>
      <c r="V82" s="3137" t="n"/>
      <c r="W82" s="10296" t="inlineStr">
        <is>
          <t>separately</t>
        </is>
      </c>
      <c r="X82" s="3048" t="n"/>
      <c r="Y82" s="3048" t="n"/>
      <c r="Z82" s="3132" t="n"/>
      <c r="AA82" s="3138" t="inlineStr">
        <is>
          <t xml:space="preserve"> .   .   .   .   .   .   .   .   .   .   .   .   .   .   .   .   .   .   .   .   .   .   .   .   .   .   .   .   .   .   .   .   .   .   .   .   .   .   .   .   .   . </t>
        </is>
      </c>
      <c r="AB82" s="3139">
        <f>V80</f>
        <v/>
      </c>
      <c r="AC82" s="3140">
        <f>IF(NOT(AMTExemptionFlag),"",IF(OR(File_Single&lt;&gt;"",File_Head&lt;&gt;""),I43,IF(OR(File_Marr_Joint&lt;&gt;"",File_Qual_Widow&lt;&gt;""),I44,IF(File_Marr_Sep&lt;&gt;"",I45,""))))</f>
        <v/>
      </c>
      <c r="AD82" s="3136" t="n"/>
      <c r="AE82" s="3106" t="n"/>
      <c r="AF82" s="3106" t="n"/>
      <c r="AH82" s="1224" t="n"/>
    </row>
    <row r="83" ht="15" customHeight="1" s="7635">
      <c r="A83" s="139" t="n"/>
      <c r="B83" s="2984">
        <f>B79+1</f>
        <v/>
      </c>
      <c r="C83" s="2769" t="inlineStr">
        <is>
          <t>Enter the smaller of line 12 or line 15</t>
        </is>
      </c>
      <c r="D83" s="2769" t="n"/>
      <c r="E83" s="11262" t="n"/>
      <c r="F83" s="11262" t="n"/>
      <c r="G83" s="2771" t="n"/>
      <c r="H83" s="2771" t="n"/>
      <c r="I83" s="2771" t="n"/>
      <c r="J83" s="2771" t="n"/>
      <c r="K83" s="2031" t="inlineStr">
        <is>
          <t xml:space="preserve">.   .   .   .   .   .   .   .   .   .   .   .   .   .   .   .   .   .   .   .   .   .   .   .   .   . </t>
        </is>
      </c>
      <c r="L83" s="3039">
        <f>B83</f>
        <v/>
      </c>
      <c r="M83" s="2774">
        <f>IF(NOT(F6251_PIII),"",MIN(M72,M82))</f>
        <v/>
      </c>
      <c r="N83" s="2775" t="n"/>
      <c r="O83" s="2990" t="n"/>
      <c r="P83" s="962" t="n"/>
      <c r="Q83" s="8885" t="n"/>
      <c r="R83" s="5061" t="n"/>
      <c r="S83" s="3102" t="n"/>
      <c r="T83" s="3103" t="n"/>
      <c r="U83" s="3104" t="n"/>
      <c r="V83" s="3130" t="n">
        <v>2</v>
      </c>
      <c r="W83" s="10297" t="inlineStr">
        <is>
          <t>Enter your alternative minimum taxable income</t>
        </is>
      </c>
      <c r="X83" s="3048" t="n"/>
      <c r="Y83" s="3048" t="n"/>
      <c r="Z83" s="3134" t="n"/>
      <c r="AA83" s="3133" t="n"/>
      <c r="AB83" s="3134" t="n"/>
      <c r="AC83" s="3135" t="n"/>
      <c r="AD83" s="3136" t="n"/>
      <c r="AE83" s="3106" t="n"/>
      <c r="AF83" s="3106" t="n"/>
      <c r="AH83" s="1224" t="n"/>
    </row>
    <row r="84" ht="15" customHeight="1" s="7635">
      <c r="A84" s="139" t="n"/>
      <c r="B84" s="2984">
        <f>B83+1</f>
        <v/>
      </c>
      <c r="C84" s="2769">
        <f>"Subtract line "&amp;L83&amp;" from line "&amp;L72</f>
        <v/>
      </c>
      <c r="D84" s="2769" t="n"/>
      <c r="E84" s="11262" t="n"/>
      <c r="F84" s="11262" t="n"/>
      <c r="G84" s="2771" t="n"/>
      <c r="H84" s="2771" t="n"/>
      <c r="I84" s="2771" t="n"/>
      <c r="J84" s="2771" t="n"/>
      <c r="K84" s="2031" t="inlineStr">
        <is>
          <t xml:space="preserve">.   .   .   .   .   .   .   .   .   .   .   .   .   .   .   .   .   .   .   .   .   .   .   .   .   .   .   .   . </t>
        </is>
      </c>
      <c r="L84" s="3039">
        <f>B84</f>
        <v/>
      </c>
      <c r="M84" s="2774">
        <f>IF(P84&lt;&gt;"",P84,IF(NOT(F6251_PIII),"",SUM(M72,-M83)))</f>
        <v/>
      </c>
      <c r="N84" s="2775" t="n"/>
      <c r="O84" s="2990" t="n"/>
      <c r="P84" s="118" t="n"/>
      <c r="Q84" s="8885" t="n"/>
      <c r="R84" s="5061" t="n"/>
      <c r="S84" s="3102" t="n"/>
      <c r="T84" s="3103" t="n"/>
      <c r="U84" s="3104" t="n"/>
      <c r="V84" s="3141" t="n"/>
      <c r="W84" s="2970" t="inlineStr">
        <is>
          <t>(AMTI) from Form 6251, line 4</t>
        </is>
      </c>
      <c r="X84" s="3142" t="n"/>
      <c r="Y84" s="3143" t="inlineStr">
        <is>
          <t xml:space="preserve">.   .   .   .   .   .   .   .   .   .   .   .   .  </t>
        </is>
      </c>
      <c r="Z84" s="3144">
        <f>V83</f>
        <v/>
      </c>
      <c r="AA84" s="3140">
        <f>IF(NOT(AMTExemptionFlag),"",AltMinTaxInc)</f>
        <v/>
      </c>
      <c r="AB84" s="3143" t="n"/>
      <c r="AC84" s="3145" t="n"/>
      <c r="AD84" s="3146" t="n"/>
      <c r="AE84" s="3106" t="n"/>
      <c r="AF84" s="3106" t="n"/>
      <c r="AH84" s="1224" t="n"/>
    </row>
    <row r="85" ht="15" customHeight="1" s="7635">
      <c r="A85" s="139" t="n"/>
      <c r="B85" s="2984">
        <f>B84+1</f>
        <v/>
      </c>
      <c r="C85" s="2769">
        <f>"If  line "&amp;L84&amp;" is "&amp;TEXT(R60,"$0,000")&amp;" or  less  ("&amp;TEXT(R61,"$0,000")&amp;" or less if married filing separately),"</f>
        <v/>
      </c>
      <c r="D85" s="2770" t="n"/>
      <c r="E85" s="11262" t="n"/>
      <c r="F85" s="11262" t="n"/>
      <c r="G85" s="2771" t="n"/>
      <c r="H85" s="3002" t="n"/>
      <c r="I85" s="3003">
        <f>"multiply line "&amp;L84&amp;" by "&amp;TEXT(R68,"0%")&amp;" ("&amp;TEXT(R68,"0.00")&amp;")."</f>
        <v/>
      </c>
      <c r="J85" s="2771" t="n"/>
      <c r="K85" s="8374" t="n"/>
      <c r="L85" s="2802" t="n"/>
      <c r="M85" s="2986" t="n"/>
      <c r="N85" s="2783" t="n"/>
      <c r="O85" s="2990" t="n"/>
      <c r="P85" s="962" t="n"/>
      <c r="Q85" s="8885" t="n"/>
      <c r="R85" s="5061" t="n"/>
      <c r="S85" s="3102" t="n"/>
      <c r="T85" s="3103" t="n"/>
      <c r="U85" s="3104" t="n"/>
      <c r="V85" s="3147" t="n"/>
      <c r="W85" s="3148" t="n"/>
      <c r="X85" s="3048" t="n"/>
      <c r="Y85" s="3048" t="n"/>
      <c r="Z85" s="3149" t="n"/>
      <c r="AA85" s="3135" t="n"/>
      <c r="AB85" s="3150" t="n"/>
      <c r="AC85" s="3135" t="n"/>
      <c r="AD85" s="3136" t="n"/>
      <c r="AE85" s="3106" t="n"/>
      <c r="AF85" s="3106" t="n"/>
      <c r="AH85" s="1224" t="n"/>
    </row>
    <row r="86" ht="15" customHeight="1" s="7635">
      <c r="A86" s="139" t="n"/>
      <c r="B86" s="2984" t="n"/>
      <c r="C86" s="3019">
        <f>"Otherwise, multiply line "&amp;L84&amp;" by "&amp;TEXT(R69,"0%")&amp;" ("&amp;TEXT(R69,"0.00")&amp;") and subtract "&amp;TEXT(R65,"$0,000")&amp;" ("&amp;TEXT(R66,"$0,000")&amp;" if married filing separate) from result"</f>
        <v/>
      </c>
      <c r="D86" s="2770" t="n"/>
      <c r="E86" s="11262" t="n"/>
      <c r="F86" s="11262" t="n"/>
      <c r="G86" s="2771" t="n"/>
      <c r="H86" s="2771" t="n"/>
      <c r="I86" s="2771" t="n"/>
      <c r="J86" s="2771" t="n"/>
      <c r="K86" s="3151" t="n"/>
      <c r="L86" s="3039">
        <f>B85</f>
        <v/>
      </c>
      <c r="M86" s="2774">
        <f>IF(P86&lt;&gt;"",P86,IF(NOT(F6251_PIII),"",IF(M84&lt;=R63,ROUND(M84*R68,0),ROUND((M84*R69)-R67,0))))</f>
        <v/>
      </c>
      <c r="N86" s="2783" t="n"/>
      <c r="O86" s="2990" t="n"/>
      <c r="P86" s="118" t="n"/>
      <c r="Q86" s="8885" t="n"/>
      <c r="R86" s="5061" t="n"/>
      <c r="S86" s="3102" t="n"/>
      <c r="T86" s="3103" t="n"/>
      <c r="U86" s="3104" t="n"/>
      <c r="V86" s="3130" t="n">
        <v>3</v>
      </c>
      <c r="W86" s="10296">
        <f>"Enter: "&amp;TEXT(G43,"$0,000")&amp;" if single or head of household;"</f>
        <v/>
      </c>
      <c r="X86" s="3048" t="n"/>
      <c r="Y86" s="3048" t="n"/>
      <c r="Z86" s="3134" t="n"/>
      <c r="AA86" s="3133" t="n"/>
      <c r="AB86" s="3134" t="n"/>
      <c r="AC86" s="3135" t="n"/>
      <c r="AD86" s="3136" t="n"/>
      <c r="AE86" s="3106" t="n"/>
      <c r="AF86" s="3106" t="n"/>
      <c r="AH86" s="5061" t="n"/>
    </row>
    <row r="87" ht="15" customHeight="1" s="7635">
      <c r="A87" s="139" t="n"/>
      <c r="B87" s="2984">
        <f>B85+1</f>
        <v/>
      </c>
      <c r="C87" s="2769" t="inlineStr">
        <is>
          <t>Enter:</t>
        </is>
      </c>
      <c r="D87" s="2770" t="n"/>
      <c r="E87" s="11262" t="n"/>
      <c r="F87" s="11262" t="n"/>
      <c r="G87" s="2771" t="n"/>
      <c r="H87" s="2771" t="n"/>
      <c r="I87" s="2771" t="n"/>
      <c r="J87" s="2771" t="n"/>
      <c r="K87" s="2031" t="n"/>
      <c r="L87" s="3122" t="n"/>
      <c r="M87" s="2792" t="n"/>
      <c r="N87" s="2783" t="n"/>
      <c r="O87" s="2990" t="n"/>
      <c r="P87" s="962" t="n"/>
      <c r="Q87" s="8885" t="n"/>
      <c r="R87" s="5061" t="n"/>
      <c r="S87" s="3102" t="n"/>
      <c r="T87" s="3103" t="n"/>
      <c r="U87" s="3104" t="n"/>
      <c r="V87" s="3152" t="n"/>
      <c r="W87" s="10296">
        <f>TEXT(G44,"$0,000")&amp;" if married filing jointly or surviving spouse; "</f>
        <v/>
      </c>
      <c r="X87" s="3048" t="n"/>
      <c r="Y87" s="3048" t="n"/>
      <c r="Z87" s="3134" t="n"/>
      <c r="AA87" s="3133" t="n"/>
      <c r="AB87" s="3134" t="n"/>
      <c r="AC87" s="3135" t="n"/>
      <c r="AD87" s="3136" t="n"/>
      <c r="AE87" s="3106" t="n"/>
      <c r="AF87" s="3106" t="n"/>
      <c r="AH87" s="5061" t="n"/>
    </row>
    <row r="88" ht="13.5" customHeight="1" s="7635">
      <c r="A88" s="139" t="n"/>
      <c r="B88" s="2984" t="n"/>
      <c r="C88" s="3153" t="inlineStr">
        <is>
          <t>l</t>
        </is>
      </c>
      <c r="D88" s="2769">
        <f>TEXT(R88,"$0,000")&amp;" if married filing jointly or qualifying spouse,"</f>
        <v/>
      </c>
      <c r="E88" s="11262" t="n"/>
      <c r="F88" s="11262" t="n"/>
      <c r="G88" s="2771" t="n"/>
      <c r="H88" s="2771" t="n"/>
      <c r="I88" s="2771" t="n"/>
      <c r="J88" s="2771" t="n"/>
      <c r="K88" s="2031" t="n"/>
      <c r="L88" s="2781" t="n"/>
      <c r="M88" s="2792" t="n"/>
      <c r="N88" s="2783" t="n"/>
      <c r="O88" s="2990" t="n"/>
      <c r="P88" s="962" t="n"/>
      <c r="Q88" s="8885" t="n"/>
      <c r="R88" s="5368" t="n">
        <v>96700</v>
      </c>
      <c r="S88" s="7779" t="n"/>
      <c r="T88" s="3103" t="n"/>
      <c r="U88" s="688" t="n"/>
      <c r="V88" s="3154" t="n"/>
      <c r="W88" s="2970">
        <f>TEXT(G45,"$0,000")&amp;" if married filing separately"</f>
        <v/>
      </c>
      <c r="X88" s="3142" t="n"/>
      <c r="Y88" s="3143" t="inlineStr">
        <is>
          <t xml:space="preserve">.   .   .   .   .   .   .   .   .   .   </t>
        </is>
      </c>
      <c r="Z88" s="3144">
        <f>V86</f>
        <v/>
      </c>
      <c r="AA88" s="3140">
        <f>IF(NOT(AMTExemptionFlag),"",IF(OR(File_Single&lt;&gt;"",File_Head&lt;&gt;""),G43,IF(OR(File_Marr_Joint&lt;&gt;"",File_Qual_Widow&lt;&gt;""),G44,IF(File_Marr_Sep&lt;&gt;"",G45,""))))</f>
        <v/>
      </c>
      <c r="AB88" s="3155" t="n"/>
      <c r="AC88" s="3145" t="n"/>
      <c r="AD88" s="3146" t="n"/>
      <c r="AE88" s="3106" t="n"/>
      <c r="AF88" s="3106" t="n"/>
      <c r="AH88" s="5061" t="n"/>
    </row>
    <row r="89" ht="14.25" customHeight="1" s="7635">
      <c r="A89" s="139" t="n"/>
      <c r="B89" s="2984" t="n"/>
      <c r="C89" s="3153" t="inlineStr">
        <is>
          <t>l</t>
        </is>
      </c>
      <c r="D89" s="2769">
        <f>TEXT(R89,"$0,000")&amp;" if single or married filing separately, or"</f>
        <v/>
      </c>
      <c r="E89" s="11262" t="n"/>
      <c r="F89" s="11262" t="n"/>
      <c r="G89" s="2771" t="n"/>
      <c r="H89" s="2771" t="n"/>
      <c r="I89" s="8374" t="n"/>
      <c r="J89" s="2771" t="n"/>
      <c r="K89" s="2031" t="inlineStr">
        <is>
          <t xml:space="preserve">.   .   .   .   .   .   .   .   .   .   .   . </t>
        </is>
      </c>
      <c r="L89" s="3039">
        <f>B87</f>
        <v/>
      </c>
      <c r="M89" s="2774">
        <f>IF(NOT(F6251_PIII),"",IF(OR(File_Marr_Joint&lt;&gt;"",File_Qual_Widow&lt;&gt;""),R88,IF(OR(File_Single&lt;&gt;"",File_Marr_Sep&lt;&gt;""),R89,IF(File_Head&lt;&gt;"",R90,"Filing Status?"))))</f>
        <v/>
      </c>
      <c r="N89" s="2783" t="n"/>
      <c r="O89" s="2990" t="n"/>
      <c r="P89" s="962" t="n"/>
      <c r="Q89" s="8885" t="n"/>
      <c r="R89" s="5368" t="n">
        <v>48350</v>
      </c>
      <c r="S89" s="9123" t="n"/>
      <c r="T89" s="3102" t="n"/>
      <c r="U89" s="688" t="n"/>
      <c r="V89" s="3130" t="n">
        <v>4</v>
      </c>
      <c r="W89" s="10297" t="inlineStr">
        <is>
          <t>Subtract line 3 from line 2. If zero or less,</t>
        </is>
      </c>
      <c r="X89" s="3048" t="n"/>
      <c r="Y89" s="3048" t="n"/>
      <c r="Z89" s="3134" t="n"/>
      <c r="AA89" s="3133" t="n"/>
      <c r="AB89" s="3134" t="n"/>
      <c r="AC89" s="3135" t="n"/>
      <c r="AD89" s="3136" t="n"/>
      <c r="AE89" s="3106" t="n"/>
      <c r="AF89" s="3106" t="n"/>
      <c r="AH89" s="1305">
        <f>IF(OR(File_Single&lt;&gt;"",File_Head&lt;&gt;""),AH76,IF(File_Marr_Joint&lt;&gt;"",AH77,IF(File_Marr_Sep&lt;&gt;"",AH78,"Filing status?")))</f>
        <v/>
      </c>
    </row>
    <row r="90">
      <c r="A90" s="139" t="n"/>
      <c r="B90" s="2984" t="n"/>
      <c r="C90" s="3153" t="inlineStr">
        <is>
          <t>l</t>
        </is>
      </c>
      <c r="D90" s="2769">
        <f>TEXT(R90,"$0,000")&amp;" if head of household."</f>
        <v/>
      </c>
      <c r="E90" s="11262" t="n"/>
      <c r="F90" s="11262" t="n"/>
      <c r="G90" s="2771" t="n"/>
      <c r="H90" s="2771" t="n"/>
      <c r="I90" s="2771" t="n"/>
      <c r="J90" s="2771" t="n"/>
      <c r="K90" s="2031" t="n"/>
      <c r="L90" s="3156" t="n"/>
      <c r="M90" s="2989" t="n"/>
      <c r="N90" s="2783" t="n"/>
      <c r="O90" s="2990" t="n"/>
      <c r="P90" s="962" t="n"/>
      <c r="Q90" s="229" t="n"/>
      <c r="R90" s="5368" t="n">
        <v>64750</v>
      </c>
      <c r="S90" s="9123" t="n"/>
      <c r="T90" s="3157" t="n"/>
      <c r="U90" s="11286" t="n"/>
      <c r="V90" s="3147" t="n"/>
      <c r="W90" s="10296" t="inlineStr">
        <is>
          <t xml:space="preserve">enter -0- </t>
        </is>
      </c>
      <c r="X90" s="3048" t="n"/>
      <c r="Y90" s="3150" t="inlineStr">
        <is>
          <t xml:space="preserve">.   .   .   .   .   .   .   .   .   .   .   .   .   .   .   .   .   .   .   .   .   .   .   .   .   .   .   .   .   .   .   .   .   .   .   .   .   .   .   .   .   . </t>
        </is>
      </c>
      <c r="Z90" s="3149">
        <f>V89</f>
        <v/>
      </c>
      <c r="AA90" s="3140">
        <f>IF(OR(NOT(AMTExemptionFlag),AA88=""),"",IF(AA84-AA88&lt;=0,0,AA84-AA88))</f>
        <v/>
      </c>
      <c r="AB90" s="3150" t="n"/>
      <c r="AC90" s="3135" t="n"/>
      <c r="AD90" s="3136" t="n"/>
      <c r="AE90" s="3106" t="n"/>
      <c r="AF90" s="3106" t="n"/>
      <c r="AH90" s="7828">
        <f>AND(P1,AltMinTaxInc&gt;=AH89)</f>
        <v/>
      </c>
    </row>
    <row r="91" ht="12.75" customHeight="1" s="7635">
      <c r="A91" s="139" t="n"/>
      <c r="B91" s="2984">
        <f>B87+1</f>
        <v/>
      </c>
      <c r="C91" s="2769" t="inlineStr">
        <is>
          <t>Enter the amount from line 5 of the Qualified Dividends and Capital Gain Tax Worksheet or the amount from</t>
        </is>
      </c>
      <c r="D91" s="2769" t="n"/>
      <c r="E91" s="11262" t="n"/>
      <c r="F91" s="11262" t="n"/>
      <c r="G91" s="2771" t="n"/>
      <c r="H91" s="8374" t="n"/>
      <c r="I91" s="8374" t="n"/>
      <c r="J91" s="2771" t="n"/>
      <c r="K91" s="2031" t="n"/>
      <c r="L91" s="3156" t="n"/>
      <c r="M91" s="3159" t="n"/>
      <c r="N91" s="2775" t="n"/>
      <c r="O91" s="2990" t="n"/>
      <c r="P91" s="962" t="n"/>
      <c r="Q91" s="229" t="n"/>
      <c r="R91" s="3160">
        <f>OR(SchDTW_Used,CGTW)</f>
        <v/>
      </c>
      <c r="S91" s="688" t="n"/>
      <c r="T91" s="7779" t="n"/>
      <c r="U91" s="3161" t="n"/>
      <c r="V91" s="3130" t="n">
        <v>5</v>
      </c>
      <c r="W91" s="10297">
        <f>"Multiply line 4 by "&amp;TEXT(AF107,"0%")&amp;" ("&amp;TEXT(AF107,"0.00")&amp;")"</f>
        <v/>
      </c>
      <c r="X91" s="10297" t="n"/>
      <c r="Y91" s="10297" t="n"/>
      <c r="Z91" s="3132" t="n"/>
      <c r="AA91" s="3138" t="inlineStr">
        <is>
          <t xml:space="preserve">.   .   .   .   .   .   .   .   .   .   .   .   .   .   .   .   .   .   .   . </t>
        </is>
      </c>
      <c r="AB91" s="3139">
        <f>V91</f>
        <v/>
      </c>
      <c r="AC91" s="3140">
        <f>IF(OR(NOT(AMTExemptionFlag),AA88=""),"",ROUND(AF107*AA90,0))</f>
        <v/>
      </c>
      <c r="AD91" s="3136" t="n"/>
      <c r="AE91" s="3106" t="n"/>
      <c r="AF91" s="3106" t="n"/>
    </row>
    <row r="92" ht="14.25" customHeight="1" s="7635">
      <c r="A92" s="139" t="n"/>
      <c r="B92" s="2984" t="n"/>
      <c r="C92" s="3019" t="inlineStr">
        <is>
          <t>line 14 of the Schedule D Tax Worksheet, whichever applies (as figured for the regular tax). If you did not</t>
        </is>
      </c>
      <c r="D92" s="2769" t="n"/>
      <c r="E92" s="11262" t="n"/>
      <c r="F92" s="11262" t="n"/>
      <c r="G92" s="2771" t="n"/>
      <c r="H92" s="8374" t="n"/>
      <c r="I92" s="8374" t="n"/>
      <c r="J92" s="2771" t="n"/>
      <c r="K92" s="2031" t="n"/>
      <c r="L92" s="3156" t="n"/>
      <c r="M92" s="3159" t="n"/>
      <c r="N92" s="2775" t="n"/>
      <c r="O92" s="2990" t="n"/>
      <c r="P92" s="3162">
        <f>IF(AND(P1,OR(P94&lt;&gt;"",$R$92,F6251_PIII)),"Line "&amp;L94&amp;" Source:","")</f>
        <v/>
      </c>
      <c r="Q92" s="229" t="n"/>
      <c r="R92" s="3160">
        <f>AND(Form2555_Used,NOT(R91))</f>
        <v/>
      </c>
      <c r="S92" s="688" t="n"/>
      <c r="T92" s="7779" t="n"/>
      <c r="U92" s="3161" t="n"/>
      <c r="V92" s="3130" t="n">
        <v>6</v>
      </c>
      <c r="W92" s="10297" t="inlineStr">
        <is>
          <t>Subtract line 5 from line 1. If zero or less, enter -0-.</t>
        </is>
      </c>
      <c r="X92" s="10297" t="n"/>
      <c r="Y92" s="10297" t="n"/>
      <c r="Z92" s="10297" t="n"/>
      <c r="AA92" s="3163" t="n"/>
      <c r="AB92" s="3134" t="n"/>
      <c r="AC92" s="3164" t="n"/>
      <c r="AD92" s="3136" t="n"/>
      <c r="AE92" s="3106" t="n"/>
      <c r="AF92" s="3106" t="n"/>
    </row>
    <row r="93" ht="14.25" customHeight="1" s="7635">
      <c r="A93" s="139" t="n"/>
      <c r="B93" s="2984" t="n"/>
      <c r="C93" s="3019" t="inlineStr">
        <is>
          <t>complete either worksheet for the regular tax, enter the amount from Form 1040 or 1040-SR, line 15; if</t>
        </is>
      </c>
      <c r="D93" s="2769" t="n"/>
      <c r="E93" s="11262" t="n"/>
      <c r="F93" s="11262" t="n"/>
      <c r="G93" s="2771" t="n"/>
      <c r="H93" s="8374" t="n"/>
      <c r="I93" s="8374" t="n"/>
      <c r="J93" s="2771" t="n"/>
      <c r="K93" s="2031" t="n"/>
      <c r="L93" s="3156" t="n"/>
      <c r="M93" s="2791" t="n"/>
      <c r="N93" s="2775" t="n"/>
      <c r="O93" s="2990" t="n"/>
      <c r="P93" s="3162">
        <f>IF(NOT(P1),"",IF(P94&lt;&gt;"","Manual override",IF($R$92,"Foreign Income Tax Workseet",IF(NOT(F6251_PIII),"",IF(SchDTW_Used,"Sch. D Tax WS",IF(CGTW,"Sch. D WS",IF(Taxable_Inc&gt;0,"Form 1040, line "&amp;TaxLine_1040)))))))</f>
        <v/>
      </c>
      <c r="Q93" s="229" t="n"/>
      <c r="R93" s="1201" t="n"/>
      <c r="S93" s="9123" t="n"/>
      <c r="T93" s="9123" t="n"/>
      <c r="U93" s="688" t="n"/>
      <c r="V93" s="3165" t="n"/>
      <c r="W93" s="10296" t="inlineStr">
        <is>
          <t>Also, enter this amount on Form 6251, line 5, and</t>
        </is>
      </c>
      <c r="X93" s="10297" t="n"/>
      <c r="Y93" s="10297" t="n"/>
      <c r="Z93" s="10297" t="n"/>
      <c r="AA93" s="3163" t="n"/>
      <c r="AB93" s="3134" t="n"/>
      <c r="AC93" s="3166" t="n"/>
      <c r="AD93" s="3136" t="n"/>
      <c r="AE93" s="3106" t="n"/>
      <c r="AF93" s="3106" t="n"/>
    </row>
    <row r="94" ht="14.25" customHeight="1" s="7635">
      <c r="A94" s="139" t="n"/>
      <c r="B94" s="2984" t="n"/>
      <c r="C94" s="3019" t="inlineStr">
        <is>
          <t>zero or less, enter -0-. If you are filing Form 2555, see instructions for the amount to enter</t>
        </is>
      </c>
      <c r="D94" s="2769" t="n"/>
      <c r="E94" s="11262" t="n"/>
      <c r="F94" s="2769" t="n"/>
      <c r="G94" s="2771" t="n"/>
      <c r="H94" s="8374" t="n"/>
      <c r="I94" s="2075" t="n"/>
      <c r="J94" s="2771" t="n"/>
      <c r="K94" s="2031" t="inlineStr">
        <is>
          <t xml:space="preserve">.   .   .   .   .   . </t>
        </is>
      </c>
      <c r="L94" s="3039">
        <f>B91</f>
        <v/>
      </c>
      <c r="M94" s="2774">
        <f>IF(P94&lt;&gt;"",ROUND(P94,0),IF($R$92,$AC$122,IF(OR(NOT(P1),NOT(F6251_PIII)),"",IF(SchDTW_Used,'Sch. D WS'!R89,IF(CGTW,CGTW_Line5,IF(Taxable_Inc&gt;0,Taxable_Inc,0))))))</f>
        <v/>
      </c>
      <c r="N94" s="2775" t="n"/>
      <c r="O94" s="2990" t="n"/>
      <c r="P94" s="118" t="n"/>
      <c r="Q94" s="229" t="n"/>
      <c r="R94" s="1201" t="n"/>
      <c r="S94" s="9123" t="n"/>
      <c r="T94" s="9123" t="n"/>
      <c r="U94" s="688" t="n"/>
      <c r="V94" s="3152" t="n"/>
      <c r="W94" s="10296" t="inlineStr">
        <is>
          <t>go to Form 6251, line 6 .   .   .   .   .   .   .   .   .   .   .   .   .   .   .   .   .   .   .   .   .   .   .   .   .   .   .   .   .   .   .   .   .   .   .   .   .   .</t>
        </is>
      </c>
      <c r="AB94" s="3139">
        <f>V92</f>
        <v/>
      </c>
      <c r="AC94" s="3140">
        <f>IF(OR(NOT(AMTExemptionFlag),AA88=""),"",MAX(0,AC82-AC91))</f>
        <v/>
      </c>
      <c r="AD94" s="3136" t="n"/>
      <c r="AE94" s="3106" t="n"/>
      <c r="AF94" s="3106" t="n"/>
    </row>
    <row r="95" ht="14.25" customHeight="1" s="7635" thickBot="1">
      <c r="A95" s="139" t="n"/>
      <c r="B95" s="2984">
        <f>B91+1</f>
        <v/>
      </c>
      <c r="C95" s="2769" t="inlineStr">
        <is>
          <t>Subtract line 20 from line 19. If zero or less, enter -0-</t>
        </is>
      </c>
      <c r="D95" s="2769" t="n"/>
      <c r="E95" s="11262" t="n"/>
      <c r="F95" s="11262" t="n"/>
      <c r="G95" s="2771" t="n"/>
      <c r="H95" s="8374" t="n"/>
      <c r="I95" s="8374" t="n"/>
      <c r="J95" s="2771" t="n"/>
      <c r="K95" s="2031" t="inlineStr">
        <is>
          <t xml:space="preserve">.   .   .   .   .   .   .   .   .   .   .   .   .   .   .   .   .   .   .   .   . </t>
        </is>
      </c>
      <c r="L95" s="3039">
        <f>B95</f>
        <v/>
      </c>
      <c r="M95" s="2774">
        <f>IF(NOT(F6251_PIII),"",IF(ISERROR(SUM(M89,-M94)),M89,IF(SUM(M89,-M94)&lt;0,0,SUM(M89,-M94))))</f>
        <v/>
      </c>
      <c r="N95" s="2775" t="n"/>
      <c r="O95" s="2990" t="n"/>
      <c r="P95" s="962" t="n"/>
      <c r="Q95" s="229" t="n"/>
      <c r="R95" s="1201" t="n"/>
      <c r="S95" s="9123" t="n"/>
      <c r="T95" s="688" t="n"/>
      <c r="U95" s="688" t="n"/>
      <c r="V95" s="3167" t="n"/>
      <c r="W95" s="3168" t="n"/>
      <c r="X95" s="3169" t="n"/>
      <c r="Y95" s="3169" t="n"/>
      <c r="Z95" s="3170" t="n"/>
      <c r="AA95" s="3171" t="n"/>
      <c r="AB95" s="3172" t="n"/>
      <c r="AC95" s="3173" t="n"/>
      <c r="AD95" s="3174" t="n"/>
      <c r="AE95" s="3106" t="n"/>
      <c r="AF95" s="3106" t="n"/>
    </row>
    <row r="96" ht="14.25" customHeight="1" s="7635" thickBot="1">
      <c r="A96" s="139" t="n"/>
      <c r="B96" s="2984">
        <f>B95+1</f>
        <v/>
      </c>
      <c r="C96" s="2769" t="inlineStr">
        <is>
          <t>Enter the smaller of line 12 or line 13</t>
        </is>
      </c>
      <c r="D96" s="2769" t="n"/>
      <c r="E96" s="11262" t="n"/>
      <c r="F96" s="11262" t="n"/>
      <c r="G96" s="2771" t="n"/>
      <c r="H96" s="8374" t="n"/>
      <c r="I96" s="8374" t="n"/>
      <c r="J96" s="2771" t="n"/>
      <c r="K96" s="2031" t="inlineStr">
        <is>
          <t xml:space="preserve">.   .   .   .   .   .   .   .   .   .   .   .   .   .   .   .   .   .   .   .   .   .   .   .   .   .   . </t>
        </is>
      </c>
      <c r="L96" s="3039">
        <f>B96</f>
        <v/>
      </c>
      <c r="M96" s="2774">
        <f>IF(NOT(F6251_PIII),"",MIN(M72,M76))</f>
        <v/>
      </c>
      <c r="N96" s="2775" t="n"/>
      <c r="O96" s="2990" t="n"/>
      <c r="P96" s="2733" t="n"/>
      <c r="Q96" s="229" t="n"/>
      <c r="R96" s="1201" t="n"/>
      <c r="S96" s="9123" t="n"/>
      <c r="T96" s="9123" t="n"/>
      <c r="U96" s="688" t="n"/>
      <c r="V96" s="3105" t="n"/>
      <c r="W96" s="688" t="n"/>
      <c r="X96" s="688" t="n"/>
      <c r="Y96" s="688" t="n"/>
      <c r="Z96" s="688" t="n"/>
      <c r="AA96" s="688" t="n"/>
      <c r="AB96" s="688" t="n"/>
      <c r="AC96" s="688" t="n"/>
      <c r="AD96" s="688" t="n"/>
      <c r="AE96" s="3106" t="n"/>
      <c r="AF96" s="3106" t="n"/>
    </row>
    <row r="97" ht="14.25" customHeight="1" s="7635">
      <c r="A97" s="139" t="n"/>
      <c r="B97" s="2984">
        <f>B96+1</f>
        <v/>
      </c>
      <c r="C97" s="2769" t="inlineStr">
        <is>
          <t>Enter the smaller of line 21 or line 22. This amount is taxed at 0%</t>
        </is>
      </c>
      <c r="D97" s="2769" t="n"/>
      <c r="E97" s="11262" t="n"/>
      <c r="F97" s="11262" t="n"/>
      <c r="G97" s="2771" t="n"/>
      <c r="H97" s="8374" t="n"/>
      <c r="I97" s="8374" t="n"/>
      <c r="J97" s="2771" t="n"/>
      <c r="K97" s="2031" t="inlineStr">
        <is>
          <t xml:space="preserve">.   .   .   .   .   .   .   .   .   .   .   .   .   .   .   . </t>
        </is>
      </c>
      <c r="L97" s="3039">
        <f>B97</f>
        <v/>
      </c>
      <c r="M97" s="2774">
        <f>IF(NOT(F6251_PIII),"",MIN(M95,M96))</f>
        <v/>
      </c>
      <c r="N97" s="2775" t="n"/>
      <c r="O97" s="2990" t="n"/>
      <c r="P97" s="2733" t="n"/>
      <c r="Q97" s="229" t="n"/>
      <c r="R97" s="1201" t="n"/>
      <c r="S97" s="9123" t="n"/>
      <c r="T97" s="9123" t="n"/>
      <c r="U97" s="688" t="n"/>
      <c r="V97" s="3175" t="n"/>
      <c r="W97" s="3176" t="n"/>
      <c r="X97" s="10322" t="n"/>
      <c r="Y97" s="2506" t="n"/>
      <c r="Z97" s="2506" t="n"/>
      <c r="AA97" s="3120" t="n"/>
      <c r="AB97" s="3120" t="n"/>
      <c r="AC97" s="3120" t="n"/>
      <c r="AD97" s="3121" t="n"/>
      <c r="AF97" s="3106" t="n"/>
    </row>
    <row r="98" ht="14.25" customHeight="1" s="7635">
      <c r="A98" s="139" t="n"/>
      <c r="B98" s="2984">
        <f>B97+1</f>
        <v/>
      </c>
      <c r="C98" s="2769" t="inlineStr">
        <is>
          <t>Subtract line 23 from line 22</t>
        </is>
      </c>
      <c r="D98" s="2769" t="n"/>
      <c r="E98" s="11262" t="n"/>
      <c r="F98" s="11262" t="n"/>
      <c r="G98" s="2771" t="n"/>
      <c r="H98" s="8374" t="n"/>
      <c r="I98" s="8374" t="n"/>
      <c r="J98" s="2771" t="n"/>
      <c r="K98" s="2031" t="inlineStr">
        <is>
          <t xml:space="preserve">.   .   .   .   .   .   .   .   .   .   .   .   .   .   .   .   .   .   .   .   .   .   .   .   .   .   .   .   .   .   .   . </t>
        </is>
      </c>
      <c r="L98" s="3039">
        <f>B98</f>
        <v/>
      </c>
      <c r="M98" s="3177">
        <f>IF(NOT(F6251_PIII),"",SUM(M96,-M97))</f>
        <v/>
      </c>
      <c r="N98" s="2775" t="n"/>
      <c r="O98" s="2990" t="n"/>
      <c r="P98" s="2733" t="n"/>
      <c r="Q98" s="229" t="n"/>
      <c r="R98" s="1201" t="n"/>
      <c r="S98" s="9123" t="n"/>
      <c r="T98" s="9123" t="n"/>
      <c r="U98" s="688" t="n"/>
      <c r="V98" s="3178" t="inlineStr">
        <is>
          <t>Foreign Earned Income Tax Worksheet—Line 7</t>
        </is>
      </c>
      <c r="W98" s="3179" t="n"/>
      <c r="X98" s="3179" t="n"/>
      <c r="Y98" s="10309" t="n"/>
      <c r="Z98" s="10309" t="n"/>
      <c r="AA98" s="10309" t="n"/>
      <c r="AB98" s="10309" t="n"/>
      <c r="AC98" s="10309" t="n"/>
      <c r="AD98" s="10310" t="n"/>
      <c r="AF98" s="3106" t="n"/>
    </row>
    <row r="99" ht="14.25" customHeight="1" s="7635" thickBot="1">
      <c r="A99" s="139" t="n"/>
      <c r="B99" s="2984">
        <f>B98+1</f>
        <v/>
      </c>
      <c r="C99" s="2769" t="inlineStr">
        <is>
          <t>Enter:</t>
        </is>
      </c>
      <c r="D99" s="2769" t="n"/>
      <c r="E99" s="11262" t="n"/>
      <c r="F99" s="11262" t="n"/>
      <c r="G99" s="2771" t="n"/>
      <c r="H99" s="8374" t="n"/>
      <c r="I99" s="8374" t="n"/>
      <c r="J99" s="2771" t="n"/>
      <c r="K99" s="2031" t="n"/>
      <c r="L99" s="2781" t="n"/>
      <c r="M99" s="2792" t="n"/>
      <c r="N99" s="2775" t="n"/>
      <c r="O99" s="2990" t="n"/>
      <c r="P99" s="2733" t="n"/>
      <c r="Q99" s="229" t="n"/>
      <c r="R99" s="3535" t="n"/>
      <c r="S99" s="9123" t="n"/>
      <c r="T99" s="9123" t="n"/>
      <c r="U99" s="688" t="n"/>
      <c r="V99" s="3180" t="n"/>
      <c r="W99" s="3181" t="n"/>
      <c r="X99" s="3181" t="n"/>
      <c r="Y99" s="3125" t="n"/>
      <c r="Z99" s="3125" t="n"/>
      <c r="AA99" s="3125" t="n"/>
      <c r="AB99" s="3182" t="inlineStr">
        <is>
          <t>Keep for Your Records</t>
        </is>
      </c>
      <c r="AC99" s="3182" t="n"/>
      <c r="AD99" s="3126" t="n"/>
      <c r="AF99" s="3106" t="n"/>
    </row>
    <row r="100" ht="14.25" customHeight="1" s="7635">
      <c r="A100" s="139" t="n"/>
      <c r="B100" s="2984" t="n"/>
      <c r="C100" s="3183" t="inlineStr">
        <is>
          <t>l</t>
        </is>
      </c>
      <c r="D100" s="2769">
        <f>TEXT(R100,"$0,000")&amp;" if single,"</f>
        <v/>
      </c>
      <c r="E100" s="11262" t="n"/>
      <c r="F100" s="11262" t="n"/>
      <c r="G100" s="2771" t="n"/>
      <c r="H100" s="2771" t="n"/>
      <c r="I100" s="2771" t="n"/>
      <c r="J100" s="2771" t="n"/>
      <c r="K100" s="2031" t="n"/>
      <c r="L100" s="2781" t="n"/>
      <c r="M100" s="2792" t="n"/>
      <c r="N100" s="2783" t="n"/>
      <c r="O100" s="2990" t="n"/>
      <c r="P100" s="962" t="n"/>
      <c r="Q100" s="8885" t="n"/>
      <c r="R100" s="5368" t="n">
        <v>533400</v>
      </c>
      <c r="S100" s="9123" t="n"/>
      <c r="T100" s="9123" t="n"/>
      <c r="U100" s="688" t="n"/>
      <c r="V100" s="3184" t="inlineStr">
        <is>
          <t xml:space="preserve">  Before you begin:</t>
        </is>
      </c>
      <c r="W100" s="3185" t="n"/>
      <c r="X100" s="2950" t="inlineStr">
        <is>
          <t>If Form 6251, line 6, is zero, don't complete this worksheet.</t>
        </is>
      </c>
      <c r="Y100" s="3185" t="n"/>
      <c r="Z100" s="3185" t="n"/>
      <c r="AA100" s="3185" t="n"/>
      <c r="AB100" s="3185" t="n"/>
      <c r="AC100" s="3186">
        <f>OR(M48=0,M48="")</f>
        <v/>
      </c>
      <c r="AD100" s="3187" t="n"/>
      <c r="AF100" s="3106" t="n"/>
    </row>
    <row r="101" ht="14.25" customHeight="1" s="7635">
      <c r="A101" s="139" t="n"/>
      <c r="B101" s="2984" t="n"/>
      <c r="C101" s="3183" t="inlineStr">
        <is>
          <t>l</t>
        </is>
      </c>
      <c r="D101" s="2769">
        <f>TEXT(R101,"$0,000")&amp;" if married filing separately"</f>
        <v/>
      </c>
      <c r="E101" s="11262" t="n"/>
      <c r="F101" s="11262" t="n"/>
      <c r="G101" s="2771" t="n"/>
      <c r="H101" s="2771" t="n"/>
      <c r="I101" s="2771" t="n"/>
      <c r="J101" s="2771" t="n"/>
      <c r="K101" s="2031" t="n"/>
      <c r="L101" s="2781" t="n"/>
      <c r="M101" s="2792" t="n"/>
      <c r="N101" s="2783" t="n"/>
      <c r="O101" s="2990" t="n"/>
      <c r="P101" s="962" t="n"/>
      <c r="Q101" s="8885" t="n"/>
      <c r="R101" s="5368" t="n">
        <v>300000</v>
      </c>
      <c r="S101" s="9123" t="n"/>
      <c r="T101" s="9123" t="n"/>
      <c r="U101" s="688" t="n"/>
      <c r="V101" s="3188" t="n"/>
      <c r="W101" s="3189" t="n"/>
      <c r="X101" s="3189" t="n"/>
      <c r="Y101" s="3189" t="n"/>
      <c r="Z101" s="3189" t="n"/>
      <c r="AA101" s="3189" t="n"/>
      <c r="AB101" s="3189" t="n"/>
      <c r="AC101" s="4967">
        <f>OR(AC100,NOT(F6251_Needed))</f>
        <v/>
      </c>
      <c r="AD101" s="3190" t="n"/>
      <c r="AF101" s="3106" t="n"/>
    </row>
    <row r="102" ht="14.25" customHeight="1" s="7635">
      <c r="A102" s="139" t="n"/>
      <c r="B102" s="2984" t="n"/>
      <c r="C102" s="3183" t="inlineStr">
        <is>
          <t>l</t>
        </is>
      </c>
      <c r="D102" s="2769">
        <f>TEXT(R102,"$0,000")&amp;" if married filing jointly or qualifying spouse"</f>
        <v/>
      </c>
      <c r="E102" s="11262" t="n"/>
      <c r="F102" s="11262" t="n"/>
      <c r="G102" s="2771" t="n"/>
      <c r="H102" s="2771" t="n"/>
      <c r="I102" s="8374" t="n"/>
      <c r="J102" s="2771" t="n"/>
      <c r="K102" s="2031" t="inlineStr">
        <is>
          <t xml:space="preserve">.   .   .   .   .   .   .   .   .   .   .   .   .   . </t>
        </is>
      </c>
      <c r="L102" s="3039">
        <f>B99</f>
        <v/>
      </c>
      <c r="M102" s="2774">
        <f>IF(P102&lt;&gt;"",P102,IF(NOT(F6251_PIII),"",IF(File_Single&lt;&gt;"",R100,IF(File_Marr_Sep&lt;&gt;"",R101,IF(OR(File_Marr_Joint&lt;&gt;"",File_Qual_Widow&lt;&gt;""),R102,IF(File_Head&lt;&gt;"",R103,"Filing Status?"))))))</f>
        <v/>
      </c>
      <c r="N102" s="2783" t="n"/>
      <c r="O102" s="2990" t="n"/>
      <c r="P102" s="118" t="n"/>
      <c r="Q102" s="8885" t="n"/>
      <c r="R102" s="5368" t="n">
        <v>600050</v>
      </c>
      <c r="S102" s="9123" t="n"/>
      <c r="T102" s="9123" t="n"/>
      <c r="U102" s="688" t="n"/>
      <c r="V102" s="3191">
        <f>"1."</f>
        <v/>
      </c>
      <c r="W102" s="3192" t="inlineStr">
        <is>
          <t>Enter the amount from Form 6251, line 6</t>
        </is>
      </c>
      <c r="X102" s="3048" t="n"/>
      <c r="Y102" s="3048" t="n"/>
      <c r="Z102" s="3048" t="n"/>
      <c r="AA102" s="3138" t="inlineStr">
        <is>
          <t xml:space="preserve">.   .   .   .   .   .   .   .   .   .   .   .   .   .   .   .   .   .   .   .   . </t>
        </is>
      </c>
      <c r="AB102" s="3063">
        <f>"1."</f>
        <v/>
      </c>
      <c r="AC102" s="3193">
        <f>IF(AC101,"",M48)</f>
        <v/>
      </c>
      <c r="AD102" s="3194" t="n"/>
      <c r="AF102" s="3106" t="n"/>
    </row>
    <row r="103" ht="14.25" customHeight="1" s="7635">
      <c r="A103" s="139" t="n"/>
      <c r="B103" s="2984" t="n"/>
      <c r="C103" s="3183" t="inlineStr">
        <is>
          <t>l</t>
        </is>
      </c>
      <c r="D103" s="2769">
        <f>TEXT(R103,"$0,000")&amp;" if head of household"</f>
        <v/>
      </c>
      <c r="E103" s="11262" t="n"/>
      <c r="F103" s="11262" t="n"/>
      <c r="G103" s="2771" t="n"/>
      <c r="H103" s="2771" t="n"/>
      <c r="I103" s="2771" t="n"/>
      <c r="J103" s="2771" t="n"/>
      <c r="K103" s="2031" t="n"/>
      <c r="L103" s="3156" t="n"/>
      <c r="M103" s="2792" t="n"/>
      <c r="N103" s="2783" t="n"/>
      <c r="O103" s="2990" t="n"/>
      <c r="P103" s="962" t="n"/>
      <c r="Q103" s="229" t="n"/>
      <c r="R103" s="5368" t="n">
        <v>566700</v>
      </c>
      <c r="S103" s="9123" t="n"/>
      <c r="T103" s="9123" t="n"/>
      <c r="U103" s="688" t="n"/>
      <c r="V103" s="3191">
        <f>"2a."</f>
        <v/>
      </c>
      <c r="W103" s="3192" t="inlineStr">
        <is>
          <t>Enter the amount from your (and your spouse's if filing jointly) Form 2555,</t>
        </is>
      </c>
      <c r="X103" s="3048" t="n"/>
      <c r="Y103" s="3048" t="n"/>
      <c r="Z103" s="3048" t="n"/>
      <c r="AA103" s="3048" t="n"/>
      <c r="AB103" s="3048" t="n"/>
      <c r="AC103" s="3048" t="n"/>
      <c r="AD103" s="3194" t="n"/>
      <c r="AF103" s="3106" t="n"/>
    </row>
    <row r="104" ht="14.25" customHeight="1" s="7635">
      <c r="A104" s="139" t="n"/>
      <c r="B104" s="2984">
        <f>B99+1</f>
        <v/>
      </c>
      <c r="C104" s="2769" t="inlineStr">
        <is>
          <t>Enter the amount from line 21</t>
        </is>
      </c>
      <c r="D104" s="2769" t="n"/>
      <c r="E104" s="11262" t="n"/>
      <c r="F104" s="11262" t="n"/>
      <c r="G104" s="2771" t="n"/>
      <c r="H104" s="8374" t="n"/>
      <c r="I104" s="8374" t="n"/>
      <c r="J104" s="2771" t="n"/>
      <c r="K104" s="2031" t="inlineStr">
        <is>
          <t xml:space="preserve">  .   .   .   .   .   .   .   .   .   .   .   .   .   .   .   .   .   .   .   .   .   .   .   .   .   .   .   .   . </t>
        </is>
      </c>
      <c r="L104" s="3039">
        <f>B104</f>
        <v/>
      </c>
      <c r="M104" s="2774">
        <f>IF(NOT(F6251_PIII),"",M95)</f>
        <v/>
      </c>
      <c r="N104" s="2775" t="n"/>
      <c r="O104" s="2990" t="n"/>
      <c r="P104" s="2733" t="n"/>
      <c r="Q104" s="229" t="n"/>
      <c r="R104" s="5061" t="n"/>
      <c r="S104" s="9123" t="n"/>
      <c r="T104" s="9123" t="n"/>
      <c r="U104" s="688" t="n"/>
      <c r="V104" s="3191" t="n"/>
      <c r="W104" s="3192" t="inlineStr">
        <is>
          <t>lines 45 and 50</t>
        </is>
      </c>
      <c r="X104" s="3048" t="n"/>
      <c r="Y104" s="3138" t="inlineStr">
        <is>
          <t xml:space="preserve">.   .   .   .   .   .   .   .   .   .   .   .   . </t>
        </is>
      </c>
      <c r="Z104" s="3063">
        <f>"2a."</f>
        <v/>
      </c>
      <c r="AA104" s="11076">
        <f>IF(AC101,"",SUM(F2555_Line45_Total,ForeignHousingDeductionTotal))</f>
        <v/>
      </c>
      <c r="AB104" s="3048" t="n"/>
      <c r="AC104" s="3048" t="n"/>
      <c r="AD104" s="3194" t="n"/>
      <c r="AF104" s="3106" t="n"/>
    </row>
    <row r="105" ht="14.25" customHeight="1" s="7635">
      <c r="A105" s="139" t="n"/>
      <c r="B105" s="2984" t="n">
        <v>27</v>
      </c>
      <c r="C105" s="2769" t="inlineStr">
        <is>
          <t>Enter the amount from line 5 of the Qualified Dividends &amp; Capital Gain Tax Worksheet or the amount from</t>
        </is>
      </c>
      <c r="D105" s="2769" t="n"/>
      <c r="E105" s="11262" t="n"/>
      <c r="F105" s="11262" t="n"/>
      <c r="G105" s="2771" t="n"/>
      <c r="H105" s="8374" t="n"/>
      <c r="I105" s="8374" t="n"/>
      <c r="J105" s="8374" t="n"/>
      <c r="K105" s="8374" t="n"/>
      <c r="L105" s="3195" t="n"/>
      <c r="M105" s="3196" t="n"/>
      <c r="N105" s="2775" t="n"/>
      <c r="O105" s="2990" t="n"/>
      <c r="P105" s="2733" t="n"/>
      <c r="Q105" s="229" t="n"/>
      <c r="R105" s="5061" t="n"/>
      <c r="S105" s="688" t="n"/>
      <c r="T105" s="9123" t="n"/>
      <c r="U105" s="688" t="n"/>
      <c r="V105" s="3191" t="inlineStr">
        <is>
          <t>b.</t>
        </is>
      </c>
      <c r="W105" s="3192" t="inlineStr">
        <is>
          <t>Enter the total amount of any itemized deductions or exclusions you</t>
        </is>
      </c>
      <c r="X105" s="3048" t="n"/>
      <c r="Y105" s="3048" t="n"/>
      <c r="Z105" s="3048" t="n"/>
      <c r="AA105" s="3048" t="n"/>
      <c r="AB105" s="3048" t="n"/>
      <c r="AC105" s="3048" t="n"/>
      <c r="AD105" s="3194" t="n"/>
      <c r="AF105" s="3106" t="n"/>
    </row>
    <row r="106" ht="14.25" customHeight="1" s="7635">
      <c r="A106" s="139" t="n"/>
      <c r="B106" s="2984" t="n"/>
      <c r="C106" s="2769" t="inlineStr">
        <is>
          <t>line 21 of the Schedule D Tax Worksheet, whichever applies (as figured for the regular tax). If you did not</t>
        </is>
      </c>
      <c r="D106" s="2769" t="n"/>
      <c r="E106" s="11262" t="n"/>
      <c r="F106" s="11262" t="n"/>
      <c r="G106" s="2771" t="n"/>
      <c r="H106" s="8374" t="n"/>
      <c r="I106" s="8374" t="n"/>
      <c r="J106" s="8374" t="n"/>
      <c r="K106" s="8374" t="n"/>
      <c r="L106" s="3195" t="n"/>
      <c r="M106" s="3196" t="n"/>
      <c r="N106" s="2775" t="n"/>
      <c r="O106" s="2990" t="n"/>
      <c r="P106" s="2733" t="n"/>
      <c r="Q106" s="229" t="n"/>
      <c r="R106" s="5061" t="n"/>
      <c r="S106" s="688" t="n"/>
      <c r="T106" s="9123" t="n"/>
      <c r="U106" s="688" t="n"/>
      <c r="V106" s="3191" t="n"/>
      <c r="W106" s="3192" t="inlineStr">
        <is>
          <t>couldn't claim because they are related to excluded income</t>
        </is>
      </c>
      <c r="X106" s="3048" t="n"/>
      <c r="Y106" s="3138" t="inlineStr">
        <is>
          <t xml:space="preserve">.   .   .   .   .   .   . </t>
        </is>
      </c>
      <c r="Z106" s="3063">
        <f>"2b."</f>
        <v/>
      </c>
      <c r="AA106" s="450" t="n"/>
      <c r="AB106" s="3048" t="n"/>
      <c r="AC106" s="3048" t="n"/>
      <c r="AD106" s="3194" t="n"/>
      <c r="AF106" s="3106" t="n"/>
    </row>
    <row r="107" ht="14.25" customHeight="1" s="7635">
      <c r="A107" s="139" t="n"/>
      <c r="B107" s="2984" t="n"/>
      <c r="C107" s="2769" t="inlineStr">
        <is>
          <t>complete either worksheet for the regular tax, enter the amount from Form 1040 or 1040-SR, line 15; if</t>
        </is>
      </c>
      <c r="D107" s="2769" t="n"/>
      <c r="E107" s="11262" t="n"/>
      <c r="F107" s="11262" t="n"/>
      <c r="G107" s="2771" t="n"/>
      <c r="H107" s="8374" t="n"/>
      <c r="I107" s="8374" t="n"/>
      <c r="J107" s="8374" t="n"/>
      <c r="K107" s="8374" t="n"/>
      <c r="L107" s="3195" t="n"/>
      <c r="M107" s="3196" t="n"/>
      <c r="N107" s="2775" t="n"/>
      <c r="O107" s="2990" t="n"/>
      <c r="P107" s="2733" t="n"/>
      <c r="Q107" s="229" t="n"/>
      <c r="R107" s="5061" t="n"/>
      <c r="S107" s="214" t="n"/>
      <c r="T107" s="9123" t="n"/>
      <c r="U107" s="688" t="n"/>
      <c r="V107" s="3191" t="inlineStr">
        <is>
          <t>c.</t>
        </is>
      </c>
      <c r="W107" s="3192" t="inlineStr">
        <is>
          <t>Subtract line 2b from line 2a. If zero or less, enter -0-</t>
        </is>
      </c>
      <c r="X107" s="3048" t="n"/>
      <c r="Y107" s="3048" t="n"/>
      <c r="Z107" s="3048" t="n"/>
      <c r="AA107" s="3138" t="inlineStr">
        <is>
          <t xml:space="preserve">.   .   .   .   .   .   .   .   .   .   .   .   .   .   .   .   . </t>
        </is>
      </c>
      <c r="AB107" s="3063">
        <f>"2c."</f>
        <v/>
      </c>
      <c r="AC107" s="11076">
        <f>IF(AC101,"",SUM(AA104,-AA106))</f>
        <v/>
      </c>
      <c r="AD107" s="3194" t="n"/>
      <c r="AF107" s="382" t="n">
        <v>0.25</v>
      </c>
    </row>
    <row r="108" ht="14.25" customHeight="1" s="7635">
      <c r="A108" s="139" t="n"/>
      <c r="B108" s="2984" t="n"/>
      <c r="C108" s="2769" t="inlineStr">
        <is>
          <t>amount from Form 1040, line 11b; if zero or less, enter -0-. If you are filing Form 2555,</t>
        </is>
      </c>
      <c r="D108" s="2769" t="n"/>
      <c r="E108" s="11262" t="n"/>
      <c r="F108" s="11262" t="n"/>
      <c r="G108" s="2771" t="n"/>
      <c r="H108" s="8374" t="n"/>
      <c r="I108" s="8374" t="n"/>
      <c r="J108" s="8374" t="n"/>
      <c r="K108" s="8374" t="n"/>
      <c r="L108" s="3195" t="n"/>
      <c r="M108" s="3196" t="n"/>
      <c r="N108" s="2775" t="n"/>
      <c r="O108" s="2990" t="n"/>
      <c r="P108" s="2733" t="n"/>
      <c r="Q108" s="229" t="n"/>
      <c r="R108" s="5061" t="n"/>
      <c r="S108" s="214" t="n"/>
      <c r="T108" s="9123" t="n"/>
      <c r="U108" s="688" t="n"/>
      <c r="V108" s="3191">
        <f>"3."</f>
        <v/>
      </c>
      <c r="W108" s="3192" t="inlineStr">
        <is>
          <t>Add lines 1 and 2c</t>
        </is>
      </c>
      <c r="X108" s="3048" t="n"/>
      <c r="Y108" s="3048" t="n"/>
      <c r="Z108" s="3048" t="n"/>
      <c r="AA108" s="3138" t="inlineStr">
        <is>
          <t xml:space="preserve">.   .   .   .   .   .   .   .   .   .   .   .   .   .   .   .   .   .   .   .   .   .   .   .   .   .   .   . </t>
        </is>
      </c>
      <c r="AB108" s="3063">
        <f>"3."</f>
        <v/>
      </c>
      <c r="AC108" s="3193">
        <f>IF(AC101,"",SUM(AC102,AC107))</f>
        <v/>
      </c>
      <c r="AD108" s="3194" t="n"/>
    </row>
    <row r="109" ht="14.25" customHeight="1" s="7635">
      <c r="A109" s="139" t="n"/>
      <c r="B109" s="2984" t="n"/>
      <c r="C109" s="2769" t="inlineStr">
        <is>
          <t>zero or less, enter -0-.</t>
        </is>
      </c>
      <c r="D109" s="2769" t="n"/>
      <c r="E109" s="11262" t="n"/>
      <c r="F109" s="2769" t="inlineStr">
        <is>
          <t>If you are filing Form 2555, see instructions for the amount to enter</t>
        </is>
      </c>
      <c r="G109" s="2771" t="n"/>
      <c r="H109" s="8374" t="n"/>
      <c r="I109" s="3197" t="n"/>
      <c r="J109" s="3197" t="n"/>
      <c r="K109" s="2031" t="inlineStr">
        <is>
          <t xml:space="preserve">.   .   .   .   .   . </t>
        </is>
      </c>
      <c r="L109" s="3039">
        <f>B105</f>
        <v/>
      </c>
      <c r="M109" s="2774">
        <f>IF(P109&lt;&gt;"",ROUND(P109,0),IF(OR(NOT(P1),NOT(F6251_PIII)),"",IF(R92,M94,IF(SchDTW_Used,SchDTW_Line21,IF(CGTW,CGTW_Line5,IF(Taxable_Inc&gt;0,Taxable_Inc,0))))))</f>
        <v/>
      </c>
      <c r="N109" s="2783" t="n"/>
      <c r="O109" s="2987">
        <f>IF(NOT(F6251_PIII),FALSE,IF(M72=M110,TRUE,FALSE))</f>
        <v/>
      </c>
      <c r="P109" s="118" t="n"/>
      <c r="Q109" s="229" t="n"/>
      <c r="R109" s="5061" t="n"/>
      <c r="S109" s="214" t="n"/>
      <c r="T109" s="9123" t="n"/>
      <c r="U109" s="688" t="n"/>
      <c r="V109" s="3191">
        <f>"4."</f>
        <v/>
      </c>
      <c r="W109" s="3198" t="inlineStr">
        <is>
          <t>Tax on the amount on line 3.</t>
        </is>
      </c>
      <c r="X109" s="3048" t="n"/>
      <c r="Y109" s="3048" t="n"/>
      <c r="Z109" s="3048" t="n"/>
      <c r="AA109" s="3048" t="n"/>
      <c r="AB109" s="3048" t="n"/>
      <c r="AC109" s="3203" t="n"/>
      <c r="AD109" s="3194" t="n"/>
    </row>
    <row r="110" ht="13.5" customHeight="1" s="7635">
      <c r="A110" s="139" t="n"/>
      <c r="B110" s="2984">
        <f>B105+1</f>
        <v/>
      </c>
      <c r="C110" s="2769" t="inlineStr">
        <is>
          <t>Add line 26 and line 27</t>
        </is>
      </c>
      <c r="D110" s="2769" t="n"/>
      <c r="E110" s="11262" t="n"/>
      <c r="F110" s="11262" t="n"/>
      <c r="G110" s="2771" t="n"/>
      <c r="H110" s="8374" t="n"/>
      <c r="I110" s="8374" t="n"/>
      <c r="J110" s="3197" t="n"/>
      <c r="K110" s="2031" t="inlineStr">
        <is>
          <t xml:space="preserve">.   .   .   .   .   .   .   .   .   .   .   .   .   .   .   .   .   .   .   .   .   .   .   .   .   .   .   .   .   .   . </t>
        </is>
      </c>
      <c r="L110" s="3039" t="n">
        <v>28</v>
      </c>
      <c r="M110" s="2774">
        <f>IF(OR(NOT(P1),NOT(F6251_PIII)),"",SUM(M104,M109))</f>
        <v/>
      </c>
      <c r="N110" s="2775" t="n"/>
      <c r="O110" s="2987" t="n">
        <v>0.15</v>
      </c>
      <c r="P110" s="962" t="n"/>
      <c r="Q110" s="229" t="n"/>
      <c r="R110" s="5061" t="n"/>
      <c r="S110" s="214" t="n"/>
      <c r="T110" s="9123" t="n"/>
      <c r="U110" s="688" t="n"/>
      <c r="V110" s="3199" t="inlineStr">
        <is>
          <t>l</t>
        </is>
      </c>
      <c r="W110" s="3048" t="inlineStr">
        <is>
          <t>If you reported capital gain distributions directly on Form 1040 or 1040-SR, line 7a; or you reported</t>
        </is>
      </c>
      <c r="X110" s="3048" t="n"/>
      <c r="Y110" s="3048" t="n"/>
      <c r="Z110" s="3048" t="n"/>
      <c r="AA110" s="3048" t="n"/>
      <c r="AB110" s="3048" t="n"/>
      <c r="AC110" s="3203" t="n"/>
      <c r="AD110" s="3194" t="n"/>
      <c r="AE110" s="688" t="n"/>
      <c r="AF110" s="8648" t="n"/>
    </row>
    <row r="111" ht="12.75" customHeight="1" s="7635">
      <c r="A111" s="139" t="n"/>
      <c r="B111" s="2984">
        <f>B110+1</f>
        <v/>
      </c>
      <c r="C111" s="2769" t="inlineStr">
        <is>
          <t>Subtract line 28 from line 25. If zero or less, enter -0-</t>
        </is>
      </c>
      <c r="D111" s="2769" t="n"/>
      <c r="E111" s="11262" t="n"/>
      <c r="F111" s="11262" t="n"/>
      <c r="G111" s="2771" t="n"/>
      <c r="H111" s="8374" t="n"/>
      <c r="I111" s="8374" t="n"/>
      <c r="J111" s="3197" t="n"/>
      <c r="K111" s="8374" t="inlineStr">
        <is>
          <t xml:space="preserve">.   .   .   .   .   .   .   .   .   .   .   .   .   .   .   .   .   .   .   . </t>
        </is>
      </c>
      <c r="L111" s="3039">
        <f>B111</f>
        <v/>
      </c>
      <c r="M111" s="2774">
        <f>IF(NOT(F6251_PIII),"",IF(M110="",M102,IF(SUM(M102,-M110)&lt;0,0,SUM(M102,-M110))))</f>
        <v/>
      </c>
      <c r="N111" s="2775" t="n"/>
      <c r="O111" s="2987">
        <f>IF(NOT(F6251_PIII),FALSE,IF(OR(M78=0,M78=""),TRUE,FALSE))</f>
        <v/>
      </c>
      <c r="P111" s="2733" t="n"/>
      <c r="Q111" s="229" t="n"/>
      <c r="R111" s="5061" t="n"/>
      <c r="S111" s="214" t="n"/>
      <c r="T111" s="9123" t="n"/>
      <c r="U111" s="688" t="n"/>
      <c r="V111" s="3191" t="n"/>
      <c r="W111" s="2976" t="inlineStr">
        <is>
          <t>qualified dividends on Form 1040, line 3a; or you had a gain on both lines 15 and 16 of Schedule D</t>
        </is>
      </c>
      <c r="X111" s="3048" t="n"/>
      <c r="Y111" s="3048" t="n"/>
      <c r="Z111" s="3048" t="n"/>
      <c r="AA111" s="3048" t="n"/>
      <c r="AB111" s="3048" t="n"/>
      <c r="AC111" s="3203" t="n"/>
      <c r="AD111" s="3194" t="n"/>
      <c r="AE111" s="9123" t="n"/>
      <c r="AF111" s="8648" t="n"/>
    </row>
    <row r="112" ht="14.25" customHeight="1" s="7635">
      <c r="A112" s="139" t="n"/>
      <c r="B112" s="2984">
        <f>B111+1</f>
        <v/>
      </c>
      <c r="C112" s="2769" t="inlineStr">
        <is>
          <t>Enter the smaller of line 24 or line 29</t>
        </is>
      </c>
      <c r="D112" s="2769" t="n"/>
      <c r="E112" s="11262" t="n"/>
      <c r="F112" s="11262" t="n"/>
      <c r="G112" s="2771" t="n"/>
      <c r="H112" s="8374" t="n"/>
      <c r="I112" s="3200" t="n"/>
      <c r="J112" s="3197" t="n"/>
      <c r="K112" s="8374" t="inlineStr">
        <is>
          <t xml:space="preserve">.   .   .   .   .   .   .   .   .   .   .   .   .   .   .   .   .   .   .   .   .   .   .   .   .   .   . </t>
        </is>
      </c>
      <c r="L112" s="3039">
        <f>B112</f>
        <v/>
      </c>
      <c r="M112" s="2774">
        <f>IF(P112&lt;&gt;"",P112,IF(NOT(F6251_PIII),"",MIN(M98,M111)))</f>
        <v/>
      </c>
      <c r="N112" s="2783" t="n"/>
      <c r="O112" s="2990" t="n"/>
      <c r="P112" s="118" t="n"/>
      <c r="Q112" s="229" t="n"/>
      <c r="R112" s="5061" t="n"/>
      <c r="S112" s="214" t="n"/>
      <c r="T112" s="688" t="n"/>
      <c r="U112" s="688" t="n"/>
      <c r="V112" s="3191" t="n"/>
      <c r="W112" s="2976" t="inlineStr">
        <is>
          <t>(Form 1040)(as refigured for the AMT, if necessary), enter the amount from line 3 of this worksheet</t>
        </is>
      </c>
      <c r="X112" s="3048" t="n"/>
      <c r="Y112" s="3048" t="n"/>
      <c r="Z112" s="3048" t="n"/>
      <c r="AA112" s="3048" t="n"/>
      <c r="AB112" s="3048" t="n"/>
      <c r="AC112" s="3203" t="n"/>
      <c r="AD112" s="3194" t="n"/>
      <c r="AE112" s="3106" t="n"/>
      <c r="AF112" s="8648" t="n"/>
    </row>
    <row r="113" ht="12" customHeight="1" s="7635">
      <c r="A113" s="139" t="n"/>
      <c r="B113" s="2984">
        <f>B112+1</f>
        <v/>
      </c>
      <c r="C113" s="2769">
        <f>"Multiply line 30 by "&amp;TEXT(O110,"0%")&amp;" ("&amp;TEXT(O110,"0.00")&amp;")"</f>
        <v/>
      </c>
      <c r="D113" s="2769" t="n"/>
      <c r="E113" s="11262" t="n"/>
      <c r="F113" s="11262" t="n"/>
      <c r="G113" s="2771" t="n"/>
      <c r="H113" s="8374" t="n"/>
      <c r="I113" s="3197" t="n"/>
      <c r="J113" s="3197" t="n"/>
      <c r="K113" s="2031" t="inlineStr">
        <is>
          <t xml:space="preserve">.   .   .   .   .   .   .   .   .   .   .   .   .   .   .   .   .   .   .   .   .   .   .   .   .   .   .   .   .   . </t>
        </is>
      </c>
      <c r="L113" s="3039">
        <f>B113</f>
        <v/>
      </c>
      <c r="M113" s="2774">
        <f>IF(P113&lt;&gt;"",P113,IF(NOT(F6251_PIII),"",ROUND(O110*M112,0)))</f>
        <v/>
      </c>
      <c r="N113" s="2783" t="n"/>
      <c r="O113" s="2990" t="n"/>
      <c r="P113" s="118" t="n"/>
      <c r="Q113" s="229" t="n"/>
      <c r="R113" s="5061" t="n"/>
      <c r="S113" s="214" t="n"/>
      <c r="T113" s="214" t="n"/>
      <c r="U113" s="688" t="n"/>
      <c r="V113" s="3191" t="n"/>
      <c r="W113" s="2976" t="inlineStr">
        <is>
          <t>on Form 6251, line 12. Complete the rest of Part III of Form 6251. However, before completing Part III, see</t>
        </is>
      </c>
      <c r="X113" s="3048" t="n"/>
      <c r="Y113" s="3048" t="n"/>
      <c r="Z113" s="3048" t="n"/>
      <c r="AA113" s="3048" t="n"/>
      <c r="AB113" s="3048" t="n"/>
      <c r="AC113" s="3203" t="n"/>
      <c r="AD113" s="3194" t="n"/>
      <c r="AE113" s="3106" t="n"/>
      <c r="AF113" s="8648" t="n"/>
    </row>
    <row r="114" ht="14.25" customHeight="1" s="7635">
      <c r="A114" s="139" t="n"/>
      <c r="B114" s="2984">
        <f>B113+1</f>
        <v/>
      </c>
      <c r="C114" s="2769" t="inlineStr">
        <is>
          <t>Add lines 23 and 30</t>
        </is>
      </c>
      <c r="D114" s="2769" t="n"/>
      <c r="E114" s="11262" t="n"/>
      <c r="F114" s="11262" t="n"/>
      <c r="G114" s="2771" t="n"/>
      <c r="H114" s="8374" t="n"/>
      <c r="I114" s="8374" t="n"/>
      <c r="J114" s="8374" t="n"/>
      <c r="K114" s="8374" t="inlineStr">
        <is>
          <t>.   .   .   .   .   .   .   .   .   .   .   .   .   .   .   .   .   .   .   .   .   .   .   .   .   .   .   .   .   .   .   .   .   .</t>
        </is>
      </c>
      <c r="L114" s="3039">
        <f>B114</f>
        <v/>
      </c>
      <c r="M114" s="2774">
        <f>IF(NOT(F6251_PIII),"",SUM(M97,M112))</f>
        <v/>
      </c>
      <c r="N114" s="2775" t="n"/>
      <c r="O114" s="3201" t="n"/>
      <c r="P114" s="962" t="n"/>
      <c r="Q114" s="229" t="n"/>
      <c r="R114" s="5061" t="n"/>
      <c r="S114" s="214" t="n"/>
      <c r="T114" s="214" t="n"/>
      <c r="U114" s="688" t="n"/>
      <c r="V114" s="3191" t="n"/>
      <c r="W114" s="2976" t="inlineStr">
        <is>
          <t>Form 2555, later, to see if you must complete Part III with certain modifications. Then enter</t>
        </is>
      </c>
      <c r="X114" s="3048" t="n"/>
      <c r="Y114" s="3048" t="n"/>
      <c r="Z114" s="3048" t="n"/>
      <c r="AA114" s="3048" t="n"/>
      <c r="AB114" s="3063">
        <f>"4."</f>
        <v/>
      </c>
      <c r="AC114" s="3193">
        <f>IF(AC101,"",IF(R53,M126,IF(File_Marr_Sep&lt;&gt;"",AE115,AE114)))</f>
        <v/>
      </c>
      <c r="AD114" s="3194" t="n"/>
      <c r="AE114" s="382">
        <f>IF(AC100,"---",IF(AC108&lt;=R60,ROUND((AC108*R68),0),SUM(ROUND((AC108*R69),0),-R65)))</f>
        <v/>
      </c>
    </row>
    <row r="115" ht="14.25" customHeight="1" s="7635">
      <c r="A115" s="139" t="n"/>
      <c r="B115" s="2984" t="n"/>
      <c r="C115" s="2826" t="inlineStr">
        <is>
          <t>If lines 32 and 12 are same, skip lines 33 through 37 and go to line 38. Otherwise, go to line 33.</t>
        </is>
      </c>
      <c r="D115" s="2769" t="n"/>
      <c r="E115" s="11262" t="n"/>
      <c r="F115" s="11262" t="n"/>
      <c r="G115" s="2771" t="n"/>
      <c r="H115" s="3007" t="n"/>
      <c r="I115" s="2771" t="n"/>
      <c r="J115" s="3197" t="n"/>
      <c r="K115" s="2772" t="n"/>
      <c r="L115" s="3030" t="n"/>
      <c r="M115" s="3116" t="n"/>
      <c r="N115" s="2783" t="n"/>
      <c r="O115" s="2987">
        <f>IF(NOT(F6251_PIII),FALSE,IF(M72=M114,TRUE,FALSE))</f>
        <v/>
      </c>
      <c r="P115" s="3202">
        <f>IF(NOT(F6251_PIII),"",IF(O115,"Go to line 38.","Go to line 33."))</f>
        <v/>
      </c>
      <c r="Q115" s="229" t="n"/>
      <c r="R115" s="5061" t="n"/>
      <c r="S115" s="214" t="n"/>
      <c r="T115" s="214" t="n"/>
      <c r="U115" s="688" t="n"/>
      <c r="V115" s="3191" t="n"/>
      <c r="W115" s="2976" t="inlineStr">
        <is>
          <t>the amount from Form 6251, line 40, here.</t>
        </is>
      </c>
      <c r="X115" s="3048" t="n"/>
      <c r="Y115" s="3048" t="n"/>
      <c r="Z115" s="3048" t="n"/>
      <c r="AA115" s="3048" t="n"/>
      <c r="AB115" s="3048" t="n"/>
      <c r="AC115" s="3203" t="n"/>
      <c r="AD115" s="3194" t="n"/>
      <c r="AE115" s="382">
        <f>IF(AC100,"---",IF(AC108&lt;=R61,ROUND((AC108*R68),0),SUM(ROUND((AC108*R69),0),-R66)))</f>
        <v/>
      </c>
    </row>
    <row r="116" ht="14.25" customHeight="1" s="7635">
      <c r="A116" s="139" t="n"/>
      <c r="B116" s="2984">
        <f>B114+1</f>
        <v/>
      </c>
      <c r="C116" s="2769" t="inlineStr">
        <is>
          <t>Subtract line 32 from line 22</t>
        </is>
      </c>
      <c r="D116" s="2769" t="n"/>
      <c r="E116" s="11262" t="n"/>
      <c r="F116" s="11262" t="n"/>
      <c r="G116" s="2771" t="n"/>
      <c r="H116" s="8374" t="n"/>
      <c r="I116" s="8374" t="n"/>
      <c r="J116" s="8374" t="n"/>
      <c r="K116" s="8374" t="inlineStr">
        <is>
          <t>.   .   .   .   .   .   .   .   .   .   .   .   .   .   .   .   .   .   .   .   .   .   .   .   .   .   .   .   .   .</t>
        </is>
      </c>
      <c r="L116" s="3039">
        <f>B116</f>
        <v/>
      </c>
      <c r="M116" s="2774">
        <f>IF(NOT(F6251_PIII),"",IF(O115,"",SUM(M96,-M114)))</f>
        <v/>
      </c>
      <c r="N116" s="2775" t="n"/>
      <c r="O116" s="3204" t="n">
        <v>0.2</v>
      </c>
      <c r="P116" s="962" t="n"/>
      <c r="Q116" s="229" t="n"/>
      <c r="R116" s="5061" t="n"/>
      <c r="S116" s="214" t="n"/>
      <c r="T116" s="214" t="n"/>
      <c r="U116" s="688" t="n"/>
      <c r="V116" s="3199" t="inlineStr">
        <is>
          <t>l</t>
        </is>
      </c>
      <c r="W116" s="3048">
        <f>"All others: If line 3 is "&amp;TEXT(R60,"$0,000")&amp;" or less ("&amp;TEXT(R61,"$0,000")&amp;" or less if married filing separately), multiply line 3 by"</f>
        <v/>
      </c>
      <c r="X116" s="3048" t="n"/>
      <c r="Y116" s="3048" t="n"/>
      <c r="Z116" s="3048" t="n"/>
      <c r="AA116" s="3048" t="n"/>
      <c r="AB116" s="3048" t="n"/>
      <c r="AC116" s="3203" t="n"/>
      <c r="AD116" s="3194" t="n"/>
      <c r="AE116" s="382" t="n"/>
    </row>
    <row r="117" ht="14.25" customHeight="1" s="7635">
      <c r="A117" s="139" t="n"/>
      <c r="B117" s="2984">
        <f>B116+1</f>
        <v/>
      </c>
      <c r="C117" s="2769">
        <f>"Multiply line 33 by "&amp;TEXT(O116,"0%")&amp;" ("&amp;TEXT(O116,"0.00")&amp;")"</f>
        <v/>
      </c>
      <c r="D117" s="2769" t="n"/>
      <c r="E117" s="11262" t="n"/>
      <c r="F117" s="11262" t="n"/>
      <c r="G117" s="2771" t="n"/>
      <c r="H117" s="2771" t="n"/>
      <c r="I117" s="2771" t="n"/>
      <c r="J117" s="2771" t="n"/>
      <c r="K117" s="2031" t="inlineStr">
        <is>
          <t xml:space="preserve">.   .   .   .   .   .   .   .   .   .   .   .   .   .   .   .   .   .   .   .   .   .   .   .   .   .   .   .   .  </t>
        </is>
      </c>
      <c r="L117" s="3039">
        <f>B117</f>
        <v/>
      </c>
      <c r="M117" s="2774">
        <f>IF(P117&lt;&gt;"",P117,IF(OR(NOT(F6251_PIII),O115),"",ROUND(M116*O116,0)))</f>
        <v/>
      </c>
      <c r="N117" s="2775" t="n"/>
      <c r="O117" s="3205" t="n"/>
      <c r="P117" s="118" t="n"/>
      <c r="Q117" s="229" t="n"/>
      <c r="R117" s="5060" t="n"/>
      <c r="S117" s="214" t="n"/>
      <c r="T117" s="214" t="n"/>
      <c r="U117" s="688" t="n"/>
      <c r="V117" s="3191" t="n"/>
      <c r="W117" s="2976">
        <f>TEXT(R68,"0%")&amp;" ("&amp;TEXT(R68,"0.00")&amp;"). Otherwise, multiply line 3 by "&amp;TEXT(R69,"0%")&amp;" ("&amp;TEXT(R69,"0.00")&amp;") and subtract "&amp;TEXT(R65,"$0,000")&amp;" ("&amp;TEXT(R66,"$0,000")&amp;" if married filing"</f>
        <v/>
      </c>
      <c r="X117" s="3048" t="n"/>
      <c r="Y117" s="3048" t="n"/>
      <c r="Z117" s="3048" t="n"/>
      <c r="AA117" s="3048" t="n"/>
      <c r="AB117" s="3048" t="n"/>
      <c r="AC117" s="3206" t="n"/>
      <c r="AD117" s="3194" t="n"/>
      <c r="AE117" s="382" t="n"/>
    </row>
    <row r="118" ht="14.25" customHeight="1" s="7635">
      <c r="A118" s="139" t="n"/>
      <c r="B118" s="2984" t="n"/>
      <c r="C118" s="2826" t="inlineStr">
        <is>
          <t>If line 14 is zero or blank, skip lines 35 through 37 and go to line 38. Otherwise, go to line 35.</t>
        </is>
      </c>
      <c r="D118" s="2769" t="n"/>
      <c r="E118" s="11262" t="n"/>
      <c r="F118" s="11262" t="n"/>
      <c r="G118" s="2771" t="n"/>
      <c r="H118" s="3007" t="n"/>
      <c r="I118" s="2771" t="n"/>
      <c r="J118" s="3197" t="n"/>
      <c r="K118" s="2772" t="n"/>
      <c r="L118" s="3030" t="n"/>
      <c r="M118" s="3116" t="n"/>
      <c r="N118" s="2783" t="n"/>
      <c r="O118" s="2987">
        <f>IF(NOT(F6251_PIII),FALSE,IF(OR(M78=0,M78=""),TRUE,FALSE))</f>
        <v/>
      </c>
      <c r="P118" s="3202">
        <f>IF(NOT(F6251_PIII),"",IF(O115,"",IF(O118,"Go to line 38.","Go to line 35.")))</f>
        <v/>
      </c>
      <c r="Q118" s="229" t="n"/>
      <c r="R118" s="5060" t="n"/>
      <c r="S118" s="9123" t="n"/>
      <c r="T118" s="214" t="n"/>
      <c r="U118" s="688" t="n"/>
      <c r="V118" s="3191" t="n"/>
      <c r="W118" s="2976" t="inlineStr">
        <is>
          <t>separately) from the result.</t>
        </is>
      </c>
      <c r="X118" s="3048" t="n"/>
      <c r="Y118" s="3048" t="n"/>
      <c r="Z118" s="3048" t="n"/>
      <c r="AA118" s="3048" t="n"/>
      <c r="AB118" s="3048" t="n"/>
      <c r="AC118" s="3206" t="n"/>
      <c r="AD118" s="3194" t="n"/>
      <c r="AE118" s="382" t="n"/>
    </row>
    <row r="119" ht="15" customHeight="1" s="7635">
      <c r="A119" s="139" t="n"/>
      <c r="B119" s="2984">
        <f>B117+1</f>
        <v/>
      </c>
      <c r="C119" s="2769" t="inlineStr">
        <is>
          <t>Add lines 17, 32, and 33</t>
        </is>
      </c>
      <c r="D119" s="2769" t="n"/>
      <c r="E119" s="11262" t="n"/>
      <c r="F119" s="11262" t="n"/>
      <c r="G119" s="2771" t="n"/>
      <c r="H119" s="2771" t="n"/>
      <c r="I119" s="2771" t="n"/>
      <c r="J119" s="2771" t="n"/>
      <c r="K119" s="2031" t="inlineStr">
        <is>
          <t xml:space="preserve">   .   .   .   .   .   .   .   .   .   .   .   .   .   .   .   .   .   .   .   .   .   .   .   .   .   .   .   .   .   .   . </t>
        </is>
      </c>
      <c r="L119" s="3056">
        <f>B119</f>
        <v/>
      </c>
      <c r="M119" s="2774">
        <f>IF(P119&lt;&gt;"",P119,IF(OR(NOT(F6251_PIII),O115,O118),"",SUM(M84,M114,M116)))</f>
        <v/>
      </c>
      <c r="N119" s="2775" t="n"/>
      <c r="O119" s="3207" t="n"/>
      <c r="P119" s="118" t="n"/>
      <c r="Q119" s="229" t="n"/>
      <c r="R119" s="5060" t="n"/>
      <c r="S119" s="9123" t="n"/>
      <c r="T119" s="214" t="n"/>
      <c r="U119" s="688" t="n"/>
      <c r="V119" s="3191">
        <f>"5."</f>
        <v/>
      </c>
      <c r="W119" s="2981">
        <f>"Tax on amount on line 2c."</f>
        <v/>
      </c>
      <c r="X119" s="3048" t="n"/>
      <c r="Y119" s="3048" t="n"/>
      <c r="Z119" s="3048" t="n"/>
      <c r="AA119" s="3063" t="n"/>
      <c r="AB119" s="3063">
        <f>"If line 2c is "&amp;TEXT($R$60,"$0,000")&amp;" or less ("&amp;TEXT($R$61,"$0,000")&amp;" or less if married filing separately),    "</f>
        <v/>
      </c>
      <c r="AC119" s="3203" t="n"/>
      <c r="AD119" s="3194" t="n"/>
      <c r="AE119" s="382" t="n"/>
    </row>
    <row r="120" ht="15.75" customHeight="1" s="7635">
      <c r="A120" s="139" t="n"/>
      <c r="B120" s="2984">
        <f>B119+1</f>
        <v/>
      </c>
      <c r="C120" s="2769" t="inlineStr">
        <is>
          <t>Subtract line 35 from line 12</t>
        </is>
      </c>
      <c r="D120" s="2769" t="n"/>
      <c r="E120" s="11262" t="n"/>
      <c r="F120" s="11262" t="n"/>
      <c r="G120" s="2771" t="n"/>
      <c r="H120" s="8374" t="n"/>
      <c r="I120" s="8374" t="n"/>
      <c r="J120" s="2771" t="n"/>
      <c r="K120" s="2031" t="inlineStr">
        <is>
          <t xml:space="preserve">.   .   .   .   .   .   .   .   .   .   .   .   .   .   .   .   .   .   .   .   .   .   .   .   .   .   .   .   .   . </t>
        </is>
      </c>
      <c r="L120" s="3039">
        <f>B120</f>
        <v/>
      </c>
      <c r="M120" s="3177">
        <f>IF(OR(NOT(F6251_PIII),O115,O118),"",SUM(M72,-M119))</f>
        <v/>
      </c>
      <c r="N120" s="2775" t="n"/>
      <c r="O120" s="2990" t="n"/>
      <c r="P120" s="2733" t="n"/>
      <c r="Q120" s="229" t="n"/>
      <c r="R120" s="5060" t="n"/>
      <c r="S120" s="3102" t="n"/>
      <c r="T120" s="3103" t="n"/>
      <c r="U120" s="3104" t="n"/>
      <c r="V120" s="3191" t="n"/>
      <c r="W120" s="2976">
        <f>"multiply line 2c by "&amp;TEXT(R68,"0%")&amp;" ("&amp;TEXT(R68,"0.00")&amp;"). Otherwise, multiply line 2c by "&amp;TEXT(R69,"0%")&amp;" ("&amp;TEXT(R69,"0.00")&amp;") and subtract "&amp;TEXT(R65,"$0,000")&amp;" ("&amp;TEXT(R66,"$0,000")&amp;" if"</f>
        <v/>
      </c>
      <c r="X120" s="3048" t="n"/>
      <c r="Y120" s="3048" t="n"/>
      <c r="Z120" s="3048" t="n"/>
      <c r="AA120" s="3048" t="n"/>
      <c r="AB120" s="3048" t="n"/>
      <c r="AC120" s="3203" t="n"/>
      <c r="AD120" s="3194" t="n"/>
      <c r="AE120" s="382" t="n"/>
    </row>
    <row r="121" ht="15.75" customHeight="1" s="7635">
      <c r="A121" s="139" t="n"/>
      <c r="B121" s="2984">
        <f>B120+1</f>
        <v/>
      </c>
      <c r="C121" s="2769">
        <f>"Multiply line 36 by "&amp;TEXT(O121,"0%")&amp;" ("&amp;TEXT(O121,"0.00")&amp;")"</f>
        <v/>
      </c>
      <c r="D121" s="2769" t="n"/>
      <c r="E121" s="11262" t="n"/>
      <c r="F121" s="11262" t="n"/>
      <c r="G121" s="2771" t="n"/>
      <c r="H121" s="2771" t="n"/>
      <c r="I121" s="2771" t="n"/>
      <c r="J121" s="2771" t="n"/>
      <c r="K121" s="2031" t="inlineStr">
        <is>
          <t xml:space="preserve">.   .   .   .   .   .   .   .   .   .   .   .   .   .   .   .   .   .   .   .   .   .   .   .   .   .   .   .   .   . </t>
        </is>
      </c>
      <c r="L121" s="3039">
        <f>B121</f>
        <v/>
      </c>
      <c r="M121" s="2774">
        <f>IF(P119&lt;&gt;"",P119,IF(OR(NOT(F6251_PIII),O115,O118),"",M120*O121))</f>
        <v/>
      </c>
      <c r="N121" s="2775" t="n"/>
      <c r="O121" s="3204" t="n">
        <v>0.25</v>
      </c>
      <c r="P121" s="118" t="n"/>
      <c r="Q121" s="229" t="n"/>
      <c r="R121" s="5060" t="n"/>
      <c r="S121" s="3102" t="n"/>
      <c r="T121" s="3103" t="n"/>
      <c r="U121" s="3104" t="n"/>
      <c r="V121" s="3191" t="n"/>
      <c r="W121" s="2976" t="inlineStr">
        <is>
          <t>married filing separately) from the result</t>
        </is>
      </c>
      <c r="X121" s="3048" t="n"/>
      <c r="Y121" s="3048" t="n"/>
      <c r="Z121" s="3048" t="n"/>
      <c r="AA121" s="3138" t="inlineStr">
        <is>
          <t xml:space="preserve">.   .   .   .   .   .   .   .   .   .   .   .   .   .   .   .   .   .   .   .   .   . </t>
        </is>
      </c>
      <c r="AB121" s="3063">
        <f>"5."</f>
        <v/>
      </c>
      <c r="AC121" s="3193">
        <f>IF(AC101,"",IF(File_Marr_Sep&lt;&gt;"",AE122,AE121))</f>
        <v/>
      </c>
      <c r="AD121" s="3194" t="n"/>
      <c r="AE121" s="382">
        <f>IF(AC100,"---",IF(AC107&lt;=R60,ROUND((AC107*R68),0),SUM(ROUND((AC107*R69),0),-R65)))</f>
        <v/>
      </c>
    </row>
    <row r="122" ht="15" customHeight="1" s="7635">
      <c r="A122" s="139" t="n"/>
      <c r="B122" s="2984">
        <f>B121+1</f>
        <v/>
      </c>
      <c r="C122" s="2769" t="inlineStr">
        <is>
          <t>Add lines 18, 31, 34, and 37</t>
        </is>
      </c>
      <c r="D122" s="2769" t="n"/>
      <c r="E122" s="11262" t="n"/>
      <c r="F122" s="11262" t="n"/>
      <c r="G122" s="2771" t="n"/>
      <c r="H122" s="2771" t="n"/>
      <c r="I122" s="2771" t="n"/>
      <c r="J122" s="2771" t="n"/>
      <c r="K122" s="2031" t="inlineStr">
        <is>
          <t xml:space="preserve">.   .   .   .   .   .   .   .   .   .   .   .   .   .   .   .   .   .   .   .   .   .   .   .   .   .   .   .   . </t>
        </is>
      </c>
      <c r="L122" s="3056">
        <f>B122</f>
        <v/>
      </c>
      <c r="M122" s="2774">
        <f>IF(P122&lt;&gt;"",P122,IF(NOT(F6251_PIII),"",SUM(M86,M113,M117,M121)))</f>
        <v/>
      </c>
      <c r="N122" s="2775" t="n"/>
      <c r="O122" s="3207" t="n"/>
      <c r="P122" s="118" t="n"/>
      <c r="Q122" s="229" t="n"/>
      <c r="R122" s="5061" t="n"/>
      <c r="S122" s="3102" t="n"/>
      <c r="T122" s="3103" t="n"/>
      <c r="U122" s="3104" t="n"/>
      <c r="V122" s="3191">
        <f>"6."</f>
        <v/>
      </c>
      <c r="W122" s="2976" t="inlineStr">
        <is>
          <t>Subtract line 5 from line 4. Enter the result here and on Form 6251, line 7</t>
        </is>
      </c>
      <c r="X122" s="3048" t="n"/>
      <c r="Y122" s="3048" t="n"/>
      <c r="Z122" s="3048" t="n"/>
      <c r="AA122" s="3138" t="inlineStr">
        <is>
          <t xml:space="preserve">.   .   .   .   .   .   .   .   .   . </t>
        </is>
      </c>
      <c r="AB122" s="3063">
        <f>"6."</f>
        <v/>
      </c>
      <c r="AC122" s="3193">
        <f>IF(AC101,"",IF(AC121="",AC114,SUM(AC114,-AC121)))</f>
        <v/>
      </c>
      <c r="AD122" s="3194" t="n"/>
      <c r="AE122" s="382">
        <f>IF(AC100,"---",IF(AC107&lt;=R61,ROUND((AC107*R68),0),SUM(ROUND((AC107*R69),0),-R66)))</f>
        <v/>
      </c>
    </row>
    <row r="123" ht="13.5" customHeight="1" s="7635" thickBot="1">
      <c r="A123" s="139" t="n"/>
      <c r="B123" s="2984">
        <f>B122+1</f>
        <v/>
      </c>
      <c r="C123" s="2769">
        <f>"If line "&amp;B71&amp;" is "&amp;TEXT(R60,"$0,000")&amp;" or less ("&amp;TEXT(R61,"$0,000")&amp;" or less if married filing separately), multiply line "&amp;B71&amp;" by "&amp;TEXT(R68,"0%")&amp;" ("&amp;TEXT(R68,"0.00")&amp;")."</f>
        <v/>
      </c>
      <c r="D123" s="2770" t="n"/>
      <c r="E123" s="11262" t="n"/>
      <c r="F123" s="11262" t="n"/>
      <c r="G123" s="2771" t="n"/>
      <c r="H123" s="2771" t="n"/>
      <c r="I123" s="2771" t="n"/>
      <c r="J123" s="2771" t="n"/>
      <c r="K123" s="3208" t="n"/>
      <c r="L123" s="3209" t="n"/>
      <c r="M123" s="8173">
        <f>IF(File_Marr_Sep&lt;&gt;"",R61,R60)</f>
        <v/>
      </c>
      <c r="N123" s="2783" t="n"/>
      <c r="O123" s="3210" t="n"/>
      <c r="P123" s="962" t="n"/>
      <c r="Q123" s="229" t="n"/>
      <c r="R123" s="5061" t="n"/>
      <c r="S123" s="3102" t="n"/>
      <c r="T123" s="3103" t="n"/>
      <c r="U123" s="3104" t="n"/>
      <c r="V123" s="3211" t="n"/>
      <c r="W123" s="3212" t="n"/>
      <c r="X123" s="3169" t="n"/>
      <c r="Y123" s="3169" t="n"/>
      <c r="Z123" s="3169" t="n"/>
      <c r="AA123" s="3169" t="n"/>
      <c r="AB123" s="3169" t="n"/>
      <c r="AC123" s="3169" t="n"/>
      <c r="AD123" s="3213" t="n"/>
    </row>
    <row r="124">
      <c r="A124" s="139" t="n"/>
      <c r="B124" s="2984" t="n"/>
      <c r="C124" s="3214">
        <f>"Otherwise, multiply line "&amp;B71&amp;" by "&amp;TEXT(R69,"0%")&amp;" ("&amp;TEXT(R69,".00")&amp;") and subtract "&amp;TEXT(R65,"$0,000")&amp;" ("&amp;TEXT(R66,"$0,000")&amp;" if married filing separately) from result"</f>
        <v/>
      </c>
      <c r="D124" s="2770" t="n"/>
      <c r="E124" s="11262" t="n"/>
      <c r="F124" s="11262" t="n"/>
      <c r="G124" s="2771" t="n"/>
      <c r="H124" s="2771" t="n"/>
      <c r="I124" s="2771" t="n"/>
      <c r="J124" s="2771" t="n"/>
      <c r="K124" s="2031" t="n"/>
      <c r="L124" s="3039">
        <f>B123</f>
        <v/>
      </c>
      <c r="M124" s="2774">
        <f>IF(P124&lt;&gt;"",P124,IF(NOT(F6251_PIII),"",IF(M72&lt;=M123,ROUND(M72*R68,0),ROUND((M72*R69)-M125,0))))</f>
        <v/>
      </c>
      <c r="N124" s="2783" t="n"/>
      <c r="O124" s="3210" t="n"/>
      <c r="P124" s="118" t="n"/>
      <c r="Q124" s="229" t="n"/>
      <c r="R124" s="5061" t="n"/>
      <c r="S124" s="3102" t="n"/>
      <c r="T124" s="3103" t="n"/>
      <c r="U124" s="3104" t="n"/>
      <c r="V124" s="3105" t="n"/>
      <c r="W124" s="688" t="n"/>
      <c r="X124" s="688" t="n"/>
      <c r="Y124" s="688" t="n"/>
      <c r="Z124" s="688" t="n"/>
      <c r="AA124" s="688" t="n"/>
      <c r="AB124" s="688" t="n"/>
      <c r="AC124" s="688" t="n"/>
      <c r="AD124" s="688" t="n"/>
    </row>
    <row r="125" ht="15" customHeight="1" s="7635">
      <c r="A125" s="139" t="n"/>
      <c r="B125" s="2984">
        <f>B123+1</f>
        <v/>
      </c>
      <c r="C125" s="2769" t="inlineStr">
        <is>
          <t>Enter the smaller of line 38 or line 39 here and on line 7. If you are filing Form 2555, do not enter this</t>
        </is>
      </c>
      <c r="D125" s="2770" t="n"/>
      <c r="E125" s="11262" t="n"/>
      <c r="F125" s="11262" t="n"/>
      <c r="G125" s="2771" t="n"/>
      <c r="H125" s="2771" t="n"/>
      <c r="I125" s="2771" t="n"/>
      <c r="J125" s="2771" t="n"/>
      <c r="K125" s="8374" t="n"/>
      <c r="L125" s="3215" t="n"/>
      <c r="M125" s="8173">
        <f>IF(File_Marr_Sep&lt;&gt;"",R66,R65)</f>
        <v/>
      </c>
      <c r="N125" s="2783" t="n"/>
      <c r="O125" s="3210" t="n"/>
      <c r="P125" s="962" t="n"/>
      <c r="Q125" s="8885" t="n"/>
      <c r="R125" s="5061" t="n"/>
      <c r="S125" s="3102" t="n"/>
      <c r="T125" s="3103" t="n"/>
      <c r="U125" s="3104" t="n"/>
      <c r="V125" s="3216" t="n"/>
      <c r="W125" s="3216" t="n"/>
      <c r="X125" s="3216" t="n"/>
      <c r="Y125" s="3216" t="n"/>
      <c r="Z125" s="3216" t="n"/>
      <c r="AA125" s="3216" t="n"/>
      <c r="AB125" s="3216" t="n"/>
      <c r="AC125" s="3216" t="n"/>
      <c r="AD125" s="3216" t="n"/>
    </row>
    <row r="126" ht="13.5" customHeight="1" s="7635" thickBot="1">
      <c r="A126" s="139" t="n"/>
      <c r="B126" s="2984" t="n"/>
      <c r="C126" s="2769" t="inlineStr">
        <is>
          <t>amount on line 7. Instead, enter it on line 4 of the worksheet in the instructions for line 7</t>
        </is>
      </c>
      <c r="D126" s="2769" t="n"/>
      <c r="E126" s="11262" t="n"/>
      <c r="F126" s="11262" t="n"/>
      <c r="G126" s="2771" t="n"/>
      <c r="H126" s="2771" t="n"/>
      <c r="I126" s="2771" t="n"/>
      <c r="J126" s="2771" t="n"/>
      <c r="K126" s="2031" t="inlineStr">
        <is>
          <t xml:space="preserve">.   .   .   .   .   .   .   . </t>
        </is>
      </c>
      <c r="L126" s="3039">
        <f>B125</f>
        <v/>
      </c>
      <c r="M126" s="2774">
        <f>IF(P126&lt;&gt;"",P126,IF(NOT(F6251_PIII),"",MIN(M122,M124)))</f>
        <v/>
      </c>
      <c r="N126" s="2775" t="n"/>
      <c r="O126" s="7957" t="n"/>
      <c r="P126" s="118" t="n"/>
      <c r="Q126" s="8885" t="n"/>
      <c r="S126" s="3102" t="n"/>
      <c r="T126" s="3103" t="n"/>
      <c r="U126" s="3104" t="n"/>
      <c r="V126" s="3105" t="n"/>
      <c r="W126" s="688" t="n"/>
      <c r="X126" s="688" t="n"/>
      <c r="Y126" s="688" t="n"/>
      <c r="Z126" s="688" t="n"/>
      <c r="AA126" s="688" t="n"/>
      <c r="AB126" s="688" t="n"/>
      <c r="AC126" s="688" t="n"/>
      <c r="AD126" s="688" t="n"/>
    </row>
    <row r="127" ht="15.75" customHeight="1" s="7635">
      <c r="A127" s="139" t="n"/>
      <c r="B127" s="2827" t="n"/>
      <c r="C127" s="2828" t="n"/>
      <c r="D127" s="2828" t="n"/>
      <c r="E127" s="2828" t="n"/>
      <c r="F127" s="2828" t="n"/>
      <c r="G127" s="2829" t="n"/>
      <c r="H127" s="2830" t="n"/>
      <c r="I127" s="2829" t="n"/>
      <c r="J127" s="2829" t="n"/>
      <c r="K127" s="2829" t="n"/>
      <c r="L127" s="2832" t="inlineStr">
        <is>
          <t>Form 6251</t>
        </is>
      </c>
      <c r="M127" s="2833">
        <f>"  ("&amp;TaxYear&amp;")"</f>
        <v/>
      </c>
      <c r="N127" s="2834" t="n"/>
      <c r="O127" s="7957" t="n"/>
      <c r="P127" s="962" t="n"/>
      <c r="Q127" s="8885" t="n"/>
      <c r="S127" s="3102" t="n"/>
      <c r="T127" s="3103" t="n"/>
      <c r="U127" s="3104" t="n"/>
      <c r="V127" s="3105" t="n"/>
      <c r="W127" s="688" t="n"/>
      <c r="X127" s="688" t="n"/>
      <c r="Y127" s="688" t="n"/>
      <c r="Z127" s="688" t="n"/>
      <c r="AA127" s="688" t="n"/>
      <c r="AB127" s="688" t="n"/>
      <c r="AC127" s="688" t="n"/>
      <c r="AD127" s="688" t="n"/>
    </row>
    <row r="128">
      <c r="A128" s="139" t="n"/>
      <c r="B128" s="148" t="n"/>
      <c r="C128" s="2733" t="n"/>
      <c r="D128" s="2733" t="n"/>
      <c r="E128" s="139" t="n"/>
      <c r="F128" s="139" t="n"/>
      <c r="G128" s="139" t="n"/>
      <c r="H128" s="139" t="n"/>
      <c r="I128" s="139" t="n"/>
      <c r="J128" s="150" t="n"/>
      <c r="K128" s="150" t="n"/>
      <c r="L128" s="150" t="n"/>
      <c r="M128" s="150" t="n"/>
      <c r="N128" s="2836" t="n"/>
      <c r="O128" s="7957" t="n"/>
      <c r="P128" s="962" t="n"/>
      <c r="Q128" s="1879" t="n"/>
      <c r="S128" s="3102" t="n"/>
      <c r="T128" s="3103" t="n"/>
      <c r="U128" s="3104" t="n"/>
      <c r="V128" s="3105" t="n"/>
      <c r="W128" s="688" t="n"/>
      <c r="X128" s="688" t="n"/>
      <c r="Y128" s="688" t="n"/>
      <c r="Z128" s="688" t="n"/>
      <c r="AA128" s="688" t="n"/>
      <c r="AB128" s="688" t="n"/>
      <c r="AC128" s="688" t="n"/>
      <c r="AD128" s="688" t="n"/>
    </row>
    <row r="129" ht="12.75" customHeight="1" s="7635">
      <c r="B129" s="8043" t="n"/>
      <c r="C129" s="7301" t="n"/>
      <c r="D129" s="7301" t="n"/>
      <c r="J129" s="4" t="n"/>
      <c r="K129" s="4" t="n"/>
      <c r="L129" s="4" t="n"/>
      <c r="M129" s="4" t="n"/>
      <c r="N129" s="2838" t="n"/>
      <c r="P129" s="2839" t="n"/>
      <c r="Q129" s="2839" t="n"/>
      <c r="S129" s="3102" t="n"/>
      <c r="T129" s="3103" t="n"/>
      <c r="U129" s="3104" t="n"/>
      <c r="V129" s="3105" t="n"/>
      <c r="W129" s="688" t="n"/>
      <c r="X129" s="688" t="n"/>
      <c r="Y129" s="688" t="n"/>
      <c r="Z129" s="688" t="n"/>
      <c r="AA129" s="688" t="n"/>
      <c r="AB129" s="688" t="n"/>
      <c r="AC129" s="688" t="n"/>
      <c r="AD129" s="688" t="n"/>
    </row>
    <row r="130" ht="13.5" customHeight="1" s="7635" thickBot="1">
      <c r="B130" s="8043" t="n"/>
      <c r="C130" s="7301" t="n"/>
      <c r="D130" s="7301" t="n"/>
      <c r="J130" s="4" t="n"/>
      <c r="K130" s="4" t="n"/>
      <c r="L130" s="4" t="n"/>
      <c r="M130" s="4" t="n"/>
      <c r="N130" s="2838" t="n"/>
      <c r="S130" s="3102" t="n"/>
      <c r="T130" s="3103" t="n"/>
      <c r="U130" s="3104" t="n"/>
      <c r="V130" s="3105" t="n"/>
      <c r="W130" s="688" t="n"/>
      <c r="X130" s="688" t="n"/>
      <c r="Y130" s="688" t="n"/>
      <c r="Z130" s="688" t="n"/>
      <c r="AA130" s="688" t="n"/>
      <c r="AB130" s="688" t="n"/>
      <c r="AC130" s="688" t="n"/>
      <c r="AD130" s="688" t="n"/>
    </row>
    <row r="131" ht="12.75" customHeight="1" s="7635" thickBot="1" thickTop="1">
      <c r="B131" s="8043" t="n"/>
      <c r="C131" s="11824" t="inlineStr">
        <is>
          <t>Download Form 6251</t>
        </is>
      </c>
      <c r="D131" s="11825" t="n"/>
      <c r="E131" s="11825" t="n"/>
      <c r="F131" s="11825" t="n"/>
      <c r="G131" s="11826" t="n"/>
      <c r="H131" s="4" t="n"/>
      <c r="I131" s="4" t="n"/>
      <c r="L131" s="4" t="n"/>
      <c r="M131" s="4" t="n"/>
      <c r="N131" s="4" t="n"/>
      <c r="P131" s="8648" t="n"/>
      <c r="Q131" s="9123" t="n"/>
      <c r="S131" s="3102" t="n"/>
      <c r="T131" s="3103" t="n"/>
      <c r="U131" s="3104" t="n"/>
      <c r="V131" s="3105" t="n"/>
      <c r="W131" s="688" t="n"/>
      <c r="X131" s="688" t="n"/>
      <c r="Y131" s="688" t="n"/>
      <c r="Z131" s="688" t="n"/>
      <c r="AA131" s="688" t="n"/>
      <c r="AB131" s="688" t="n"/>
      <c r="AC131" s="688" t="n"/>
      <c r="AD131" s="688" t="n"/>
    </row>
    <row r="132" ht="12.75" customHeight="1" s="7635" thickBot="1" thickTop="1">
      <c r="B132" s="8043" t="n"/>
      <c r="C132" s="7301" t="n"/>
      <c r="D132" s="7301" t="n"/>
      <c r="G132" s="4" t="n"/>
      <c r="H132" s="4" t="n"/>
      <c r="I132" s="4" t="n"/>
      <c r="L132" s="4" t="n"/>
      <c r="M132" s="4" t="n"/>
      <c r="N132" s="4" t="n"/>
      <c r="P132" s="8648" t="n"/>
      <c r="Q132" s="9123" t="n"/>
      <c r="S132" s="3102" t="n"/>
      <c r="T132" s="3103" t="n"/>
      <c r="U132" s="3104" t="n"/>
      <c r="V132" s="3105" t="n"/>
      <c r="W132" s="688" t="n"/>
      <c r="X132" s="688" t="n"/>
      <c r="Y132" s="688" t="n"/>
      <c r="Z132" s="688" t="n"/>
      <c r="AA132" s="688" t="n"/>
      <c r="AB132" s="688" t="n"/>
      <c r="AC132" s="688" t="n"/>
      <c r="AD132" s="688" t="n"/>
    </row>
    <row r="133" ht="12.75" customHeight="1" s="7635" thickBot="1" thickTop="1">
      <c r="B133" s="8043" t="n"/>
      <c r="C133" s="11824" t="inlineStr">
        <is>
          <t>Download Form 6251 Instructions</t>
        </is>
      </c>
      <c r="D133" s="11825" t="n"/>
      <c r="E133" s="11825" t="n"/>
      <c r="F133" s="11825" t="n"/>
      <c r="G133" s="11826" t="n"/>
      <c r="H133" s="4" t="n"/>
      <c r="I133" s="4" t="n"/>
      <c r="L133" s="4" t="n"/>
      <c r="M133" s="4" t="n"/>
      <c r="N133" s="4" t="n"/>
      <c r="P133" s="8648" t="n"/>
      <c r="Q133" s="8648" t="n"/>
      <c r="S133" s="3102" t="n"/>
      <c r="T133" s="3103" t="n"/>
      <c r="U133" s="3104" t="n"/>
      <c r="V133" s="3105" t="n"/>
      <c r="W133" s="688" t="n"/>
      <c r="X133" s="688" t="n"/>
      <c r="Y133" s="688" t="n"/>
      <c r="Z133" s="688" t="n"/>
      <c r="AA133" s="688" t="n"/>
      <c r="AB133" s="688" t="n"/>
      <c r="AC133" s="688" t="n"/>
      <c r="AD133" s="688" t="n"/>
    </row>
    <row r="134" ht="13.5" customHeight="1" s="7635" thickTop="1">
      <c r="Q134" s="8648" t="n"/>
      <c r="S134" s="3102" t="n"/>
      <c r="T134" s="3103" t="n"/>
      <c r="U134" s="3104" t="n"/>
      <c r="V134" s="3105" t="n"/>
      <c r="W134" s="688" t="n"/>
      <c r="X134" s="688" t="n"/>
      <c r="Y134" s="688" t="n"/>
      <c r="Z134" s="688" t="n"/>
      <c r="AA134" s="688" t="n"/>
      <c r="AB134" s="688" t="n"/>
      <c r="AC134" s="688" t="n"/>
      <c r="AD134" s="688" t="n"/>
    </row>
    <row r="135" ht="10.5" customHeight="1" s="7635">
      <c r="Q135" s="8648" t="n"/>
      <c r="S135" s="3102" t="n"/>
      <c r="T135" s="3103" t="n"/>
      <c r="U135" s="3104" t="n"/>
      <c r="V135" s="3105" t="n"/>
      <c r="W135" s="688" t="n"/>
      <c r="X135" s="688" t="n"/>
      <c r="Y135" s="688" t="n"/>
      <c r="Z135" s="688" t="n"/>
      <c r="AA135" s="688" t="n"/>
      <c r="AB135" s="688" t="n"/>
      <c r="AC135" s="688" t="n"/>
      <c r="AD135" s="688" t="n"/>
    </row>
    <row r="136" ht="10.5" customHeight="1" s="7635">
      <c r="S136" s="3102" t="n"/>
      <c r="T136" s="3103" t="n"/>
      <c r="U136" s="3104" t="n"/>
      <c r="V136" s="3105" t="n"/>
      <c r="W136" s="688" t="n"/>
      <c r="X136" s="688" t="n"/>
      <c r="Y136" s="688" t="n"/>
      <c r="Z136" s="688" t="n"/>
      <c r="AA136" s="688" t="n"/>
      <c r="AB136" s="688" t="n"/>
      <c r="AC136" s="688" t="n"/>
      <c r="AD136" s="688" t="n"/>
    </row>
    <row r="137" ht="10.5" customHeight="1" s="7635">
      <c r="S137" s="3216" t="n"/>
      <c r="T137" s="3216" t="n"/>
      <c r="U137" s="3216" t="n"/>
      <c r="V137" s="3105" t="n"/>
      <c r="W137" s="688" t="n"/>
      <c r="X137" s="688" t="n"/>
      <c r="Y137" s="688" t="n"/>
      <c r="Z137" s="688" t="n"/>
      <c r="AA137" s="688" t="n"/>
      <c r="AB137" s="688" t="n"/>
      <c r="AC137" s="688" t="n"/>
      <c r="AD137" s="688" t="n"/>
    </row>
    <row r="138" ht="10.5" customHeight="1" s="7635">
      <c r="S138" s="7779" t="n"/>
      <c r="T138" s="3103" t="n"/>
      <c r="U138" s="688" t="n"/>
      <c r="V138" s="3105" t="n"/>
      <c r="W138" s="688" t="n"/>
      <c r="X138" s="688" t="n"/>
      <c r="Y138" s="688" t="n"/>
      <c r="Z138" s="688" t="n"/>
      <c r="AA138" s="688" t="n"/>
      <c r="AB138" s="688" t="n"/>
      <c r="AC138" s="688" t="n"/>
      <c r="AD138" s="688" t="n"/>
    </row>
    <row r="139" ht="10.5" customHeight="1" s="7635">
      <c r="S139" s="9123" t="n"/>
      <c r="T139" s="3102" t="n"/>
      <c r="U139" s="688" t="n"/>
      <c r="V139" s="3105" t="n"/>
      <c r="W139" s="688" t="n"/>
      <c r="X139" s="688" t="n"/>
      <c r="Y139" s="688" t="n"/>
      <c r="Z139" s="688" t="n"/>
      <c r="AA139" s="688" t="n"/>
      <c r="AB139" s="688" t="n"/>
      <c r="AC139" s="688" t="n"/>
      <c r="AD139" s="688" t="n"/>
    </row>
    <row r="140" ht="12" customHeight="1" s="7635">
      <c r="S140" s="9123" t="n"/>
      <c r="T140" s="3157" t="n"/>
      <c r="U140" s="11286" t="n"/>
      <c r="V140" s="3105" t="n"/>
      <c r="W140" s="688" t="n"/>
      <c r="X140" s="688" t="n"/>
      <c r="Y140" s="688" t="n"/>
      <c r="Z140" s="688" t="n"/>
      <c r="AA140" s="688" t="n"/>
      <c r="AB140" s="688" t="n"/>
      <c r="AC140" s="688" t="n"/>
      <c r="AD140" s="688" t="n"/>
    </row>
    <row r="141" ht="12" customHeight="1" s="7635">
      <c r="S141" s="688" t="n"/>
      <c r="T141" s="7779" t="n"/>
      <c r="U141" s="3161" t="n"/>
      <c r="V141" s="3105" t="n"/>
      <c r="W141" s="688" t="n"/>
      <c r="X141" s="688" t="n"/>
      <c r="Y141" s="688" t="n"/>
      <c r="Z141" s="688" t="n"/>
      <c r="AA141" s="688" t="n"/>
      <c r="AB141" s="688" t="n"/>
      <c r="AC141" s="688" t="n"/>
      <c r="AD141" s="688" t="n"/>
    </row>
    <row r="142" ht="12" customHeight="1" s="7635">
      <c r="S142" s="688" t="n"/>
      <c r="T142" s="7779" t="n"/>
      <c r="U142" s="3161" t="n"/>
      <c r="V142" s="3216" t="n"/>
      <c r="W142" s="3216" t="n"/>
      <c r="X142" s="3216" t="n"/>
      <c r="Y142" s="3216" t="n"/>
      <c r="Z142" s="3216" t="n"/>
      <c r="AA142" s="3216" t="n"/>
      <c r="AB142" s="3216" t="n"/>
      <c r="AC142" s="3216" t="n"/>
      <c r="AD142" s="3216" t="n"/>
    </row>
    <row r="143" ht="18" customHeight="1" s="7635">
      <c r="S143" s="9123" t="n"/>
      <c r="T143" s="9123" t="n"/>
      <c r="U143" s="688" t="n"/>
      <c r="V143" s="3216" t="n"/>
      <c r="W143" s="3216" t="n"/>
      <c r="X143" s="3216" t="n"/>
      <c r="Y143" s="3216" t="n"/>
      <c r="Z143" s="3216" t="n"/>
      <c r="AA143" s="3216" t="n"/>
      <c r="AB143" s="3216" t="n"/>
      <c r="AC143" s="3216" t="n"/>
      <c r="AD143" s="3216" t="n"/>
    </row>
    <row r="144" ht="18" customHeight="1" s="7635">
      <c r="S144" s="9123" t="n"/>
      <c r="T144" s="9123" t="n"/>
      <c r="U144" s="688" t="n"/>
      <c r="V144" s="3216" t="n"/>
      <c r="W144" s="3216" t="n"/>
      <c r="X144" s="3216" t="n"/>
      <c r="Y144" s="3216" t="n"/>
      <c r="Z144" s="3216" t="n"/>
      <c r="AA144" s="3216" t="n"/>
      <c r="AB144" s="3216" t="n"/>
      <c r="AC144" s="3216" t="n"/>
      <c r="AD144" s="3216" t="n"/>
    </row>
    <row r="145" ht="18" customHeight="1" s="7635">
      <c r="S145" s="9123" t="n"/>
      <c r="T145" s="9123" t="n"/>
      <c r="U145" s="688" t="n"/>
      <c r="V145" s="3216" t="n"/>
      <c r="W145" s="3216" t="n"/>
      <c r="X145" s="3216" t="n"/>
      <c r="Y145" s="3216" t="n"/>
      <c r="Z145" s="3216" t="n"/>
      <c r="AA145" s="3216" t="n"/>
      <c r="AB145" s="3216" t="n"/>
      <c r="AC145" s="3216" t="n"/>
      <c r="AD145" s="3216" t="n"/>
    </row>
    <row r="146" ht="18" customHeight="1" s="7635">
      <c r="S146" s="9123" t="n"/>
      <c r="T146" s="688" t="n"/>
      <c r="U146" s="688" t="n"/>
      <c r="V146" s="3216" t="n"/>
      <c r="W146" s="3216" t="n"/>
      <c r="X146" s="3216" t="n"/>
      <c r="Y146" s="3216" t="n"/>
      <c r="Z146" s="3216" t="n"/>
      <c r="AA146" s="3216" t="n"/>
      <c r="AB146" s="3216" t="n"/>
      <c r="AC146" s="3216" t="n"/>
      <c r="AD146" s="3216" t="n"/>
    </row>
    <row r="147" ht="18" customHeight="1" s="7635">
      <c r="S147" s="9123" t="n"/>
      <c r="T147" s="9123" t="n"/>
      <c r="U147" s="688" t="n"/>
      <c r="V147" s="3216" t="n"/>
      <c r="W147" s="3216" t="n"/>
      <c r="X147" s="3216" t="n"/>
      <c r="Y147" s="3216" t="n"/>
      <c r="Z147" s="3216" t="n"/>
      <c r="AA147" s="3216" t="n"/>
      <c r="AB147" s="3216" t="n"/>
      <c r="AC147" s="3216" t="n"/>
      <c r="AD147" s="3216" t="n"/>
    </row>
    <row r="148" ht="18" customHeight="1" s="7635">
      <c r="S148" s="9123" t="n"/>
      <c r="T148" s="9123" t="n"/>
      <c r="U148" s="688" t="n"/>
      <c r="V148" s="3216" t="n"/>
      <c r="W148" s="3216" t="n"/>
      <c r="X148" s="3216" t="n"/>
      <c r="Y148" s="3216" t="n"/>
      <c r="Z148" s="3216" t="n"/>
      <c r="AA148" s="3216" t="n"/>
      <c r="AB148" s="3216" t="n"/>
      <c r="AC148" s="3216" t="n"/>
      <c r="AD148" s="3216" t="n"/>
    </row>
    <row r="149" ht="18" customHeight="1" s="7635">
      <c r="S149" s="9123" t="n"/>
      <c r="T149" s="9123" t="n"/>
      <c r="U149" s="688" t="n"/>
      <c r="V149" s="3216" t="n"/>
      <c r="W149" s="3216" t="n"/>
      <c r="X149" s="3216" t="n"/>
      <c r="Y149" s="3216" t="n"/>
      <c r="Z149" s="3216" t="n"/>
      <c r="AA149" s="3216" t="n"/>
      <c r="AB149" s="3216" t="n"/>
      <c r="AC149" s="3216" t="n"/>
      <c r="AD149" s="3216" t="n"/>
    </row>
    <row r="150" ht="18" customHeight="1" s="7635">
      <c r="S150" s="9123" t="n"/>
      <c r="T150" s="9123" t="n"/>
      <c r="U150" s="688" t="n"/>
      <c r="V150" s="3216" t="n"/>
      <c r="W150" s="3216" t="n"/>
      <c r="X150" s="3216" t="n"/>
      <c r="Y150" s="3216" t="n"/>
      <c r="Z150" s="3216" t="n"/>
      <c r="AA150" s="3216" t="n"/>
      <c r="AB150" s="3216" t="n"/>
      <c r="AC150" s="3216" t="n"/>
      <c r="AD150" s="3216" t="n"/>
    </row>
    <row r="151" ht="18" customHeight="1" s="7635">
      <c r="S151" s="9123" t="n"/>
      <c r="T151" s="9123" t="n"/>
      <c r="U151" s="688" t="n"/>
      <c r="V151" s="3216" t="n"/>
      <c r="W151" s="3216" t="n"/>
      <c r="X151" s="3216" t="n"/>
      <c r="Y151" s="3216" t="n"/>
      <c r="Z151" s="3216" t="n"/>
      <c r="AA151" s="3216" t="n"/>
      <c r="AB151" s="3216" t="n"/>
      <c r="AC151" s="3216" t="n"/>
      <c r="AD151" s="3216" t="n"/>
    </row>
    <row r="152" ht="18" customHeight="1" s="7635">
      <c r="S152" s="9123" t="n"/>
      <c r="T152" s="9123" t="n"/>
      <c r="U152" s="688" t="n"/>
      <c r="V152" s="3216" t="n"/>
      <c r="W152" s="3216" t="n"/>
      <c r="X152" s="3216" t="n"/>
      <c r="Y152" s="3216" t="n"/>
      <c r="Z152" s="3216" t="n"/>
      <c r="AA152" s="3216" t="n"/>
      <c r="AB152" s="3216" t="n"/>
      <c r="AC152" s="3216" t="n"/>
      <c r="AD152" s="3216" t="n"/>
    </row>
    <row r="153" ht="18" customHeight="1" s="7635">
      <c r="S153" s="9123" t="n"/>
      <c r="T153" s="9123" t="n"/>
      <c r="U153" s="688" t="n"/>
      <c r="V153" s="3216" t="n"/>
      <c r="W153" s="3216" t="n"/>
      <c r="X153" s="3216" t="n"/>
      <c r="Y153" s="3216" t="n"/>
      <c r="Z153" s="3216" t="n"/>
      <c r="AA153" s="3216" t="n"/>
      <c r="AB153" s="3216" t="n"/>
      <c r="AC153" s="3216" t="n"/>
      <c r="AD153" s="3216" t="n"/>
    </row>
    <row r="154" ht="18" customHeight="1" s="7635">
      <c r="S154" s="9123" t="n"/>
      <c r="T154" s="9123" t="n"/>
      <c r="U154" s="688" t="n"/>
      <c r="V154" s="3216" t="n"/>
      <c r="W154" s="3216" t="n"/>
      <c r="X154" s="3216" t="n"/>
      <c r="Y154" s="3216" t="n"/>
      <c r="Z154" s="3216" t="n"/>
      <c r="AA154" s="3216" t="n"/>
      <c r="AB154" s="3216" t="n"/>
      <c r="AC154" s="3216" t="n"/>
      <c r="AD154" s="3216" t="n"/>
    </row>
    <row r="155" ht="18" customHeight="1" s="7635">
      <c r="S155" s="9123" t="n"/>
      <c r="T155" s="9123" t="n"/>
      <c r="U155" s="688" t="n"/>
      <c r="V155" s="3216" t="n"/>
      <c r="W155" s="3216" t="n"/>
      <c r="X155" s="3216" t="n"/>
      <c r="Y155" s="3216" t="n"/>
      <c r="Z155" s="3216" t="n"/>
      <c r="AA155" s="3216" t="n"/>
      <c r="AB155" s="3216" t="n"/>
      <c r="AC155" s="3216" t="n"/>
      <c r="AD155" s="3216" t="n"/>
    </row>
    <row r="156" ht="18" customHeight="1" s="7635">
      <c r="S156" s="9123" t="n"/>
      <c r="T156" s="9123" t="n"/>
      <c r="U156" s="688" t="n"/>
      <c r="V156" s="3216" t="n"/>
      <c r="W156" s="3216" t="n"/>
      <c r="X156" s="3216" t="n"/>
      <c r="Y156" s="3216" t="n"/>
      <c r="Z156" s="3216" t="n"/>
      <c r="AA156" s="3216" t="n"/>
      <c r="AB156" s="3216" t="n"/>
      <c r="AC156" s="3216" t="n"/>
      <c r="AD156" s="3216" t="n"/>
    </row>
    <row r="157" ht="18" customHeight="1" s="7635">
      <c r="S157" s="9123" t="n"/>
      <c r="T157" s="9123" t="n"/>
      <c r="U157" s="688" t="n"/>
      <c r="V157" s="3216" t="n"/>
      <c r="W157" s="3216" t="n"/>
      <c r="X157" s="3216" t="n"/>
      <c r="Y157" s="3216" t="n"/>
      <c r="Z157" s="3216" t="n"/>
      <c r="AA157" s="3216" t="n"/>
      <c r="AB157" s="3216" t="n"/>
      <c r="AC157" s="3216" t="n"/>
      <c r="AD157" s="3216" t="n"/>
    </row>
    <row r="158" ht="18" customHeight="1" s="7635">
      <c r="S158" s="9123" t="n"/>
      <c r="T158" s="9123" t="n"/>
      <c r="U158" s="688" t="n"/>
      <c r="V158" s="3216" t="n"/>
      <c r="W158" s="3216" t="n"/>
      <c r="X158" s="3216" t="n"/>
      <c r="Y158" s="3216" t="n"/>
      <c r="Z158" s="3216" t="n"/>
      <c r="AA158" s="3216" t="n"/>
      <c r="AB158" s="3216" t="n"/>
      <c r="AC158" s="3216" t="n"/>
      <c r="AD158" s="3216" t="n"/>
    </row>
    <row r="159" ht="18" customHeight="1" s="7635">
      <c r="S159" s="9123" t="n"/>
      <c r="T159" s="9123" t="n"/>
      <c r="U159" s="688" t="n"/>
      <c r="V159" s="3216" t="n"/>
      <c r="W159" s="3216" t="n"/>
      <c r="X159" s="3216" t="n"/>
      <c r="Y159" s="3216" t="n"/>
      <c r="Z159" s="3216" t="n"/>
      <c r="AA159" s="3216" t="n"/>
      <c r="AB159" s="3216" t="n"/>
      <c r="AC159" s="3216" t="n"/>
      <c r="AD159" s="3216" t="n"/>
    </row>
    <row r="160" ht="18" customHeight="1" s="7635">
      <c r="S160" s="9123" t="n"/>
      <c r="T160" s="9123" t="n"/>
      <c r="U160" s="688" t="n"/>
      <c r="V160" s="3216" t="n"/>
      <c r="W160" s="3216" t="n"/>
      <c r="X160" s="3216" t="n"/>
      <c r="Y160" s="3216" t="n"/>
      <c r="Z160" s="3216" t="n"/>
      <c r="AA160" s="3216" t="n"/>
      <c r="AB160" s="3216" t="n"/>
      <c r="AC160" s="3216" t="n"/>
      <c r="AD160" s="3216" t="n"/>
    </row>
    <row r="161" ht="18" customHeight="1" s="7635">
      <c r="S161" s="9123" t="n"/>
      <c r="T161" s="9123" t="n"/>
      <c r="U161" s="688" t="n"/>
      <c r="V161" s="3216" t="n"/>
      <c r="W161" s="3216" t="n"/>
      <c r="X161" s="3216" t="n"/>
      <c r="Y161" s="3216" t="n"/>
      <c r="Z161" s="3216" t="n"/>
      <c r="AA161" s="3216" t="n"/>
      <c r="AB161" s="3216" t="n"/>
      <c r="AC161" s="3216" t="n"/>
      <c r="AD161" s="3216" t="n"/>
    </row>
    <row r="162" ht="18" customHeight="1" s="7635">
      <c r="S162" s="9123" t="n"/>
      <c r="T162" s="9123" t="n"/>
      <c r="U162" s="688" t="n"/>
      <c r="V162" s="3216" t="n"/>
      <c r="W162" s="3216" t="n"/>
      <c r="X162" s="3216" t="n"/>
      <c r="Y162" s="3216" t="n"/>
      <c r="Z162" s="3216" t="n"/>
      <c r="AA162" s="3216" t="n"/>
      <c r="AB162" s="3216" t="n"/>
      <c r="AC162" s="3216" t="n"/>
      <c r="AD162" s="3216" t="n"/>
    </row>
    <row r="163" ht="18" customHeight="1" s="7635">
      <c r="S163" s="9123" t="n"/>
      <c r="T163" s="9123" t="n"/>
      <c r="U163" s="688" t="n"/>
      <c r="V163" s="3216" t="n"/>
      <c r="W163" s="3216" t="n"/>
      <c r="X163" s="3216" t="n"/>
      <c r="Y163" s="3216" t="n"/>
      <c r="Z163" s="3216" t="n"/>
      <c r="AA163" s="3216" t="n"/>
      <c r="AB163" s="3216" t="n"/>
      <c r="AC163" s="3216" t="n"/>
      <c r="AD163" s="3216" t="n"/>
    </row>
    <row r="164" ht="18" customHeight="1" s="7635">
      <c r="S164" s="9123" t="n"/>
      <c r="T164" s="9123" t="n"/>
      <c r="U164" s="688" t="n"/>
      <c r="V164" s="3216" t="n"/>
      <c r="W164" s="3216" t="n"/>
      <c r="X164" s="3216" t="n"/>
      <c r="Y164" s="3216" t="n"/>
      <c r="Z164" s="3216" t="n"/>
      <c r="AA164" s="3216" t="n"/>
      <c r="AB164" s="3216" t="n"/>
      <c r="AC164" s="3216" t="n"/>
      <c r="AD164" s="3216" t="n"/>
    </row>
    <row r="165" ht="18" customHeight="1" s="7635">
      <c r="S165" s="9123" t="n"/>
      <c r="T165" s="9123" t="n"/>
      <c r="U165" s="688" t="n"/>
      <c r="V165" s="3216" t="n"/>
      <c r="W165" s="3216" t="n"/>
      <c r="X165" s="3216" t="n"/>
      <c r="Y165" s="3216" t="n"/>
      <c r="Z165" s="3216" t="n"/>
      <c r="AA165" s="3216" t="n"/>
      <c r="AB165" s="3216" t="n"/>
      <c r="AC165" s="3216" t="n"/>
      <c r="AD165" s="3216" t="n"/>
    </row>
    <row r="166" ht="18" customHeight="1" s="7635">
      <c r="S166" s="9123" t="n"/>
      <c r="T166" s="9123" t="n"/>
      <c r="U166" s="688" t="n"/>
      <c r="V166" s="3216" t="n"/>
      <c r="W166" s="3216" t="n"/>
      <c r="X166" s="3216" t="n"/>
      <c r="Y166" s="3216" t="n"/>
      <c r="Z166" s="3216" t="n"/>
      <c r="AA166" s="3216" t="n"/>
      <c r="AB166" s="3216" t="n"/>
      <c r="AC166" s="3216" t="n"/>
      <c r="AD166" s="3216" t="n"/>
    </row>
    <row r="167" ht="18" customHeight="1" s="7635">
      <c r="S167" s="9123" t="n"/>
      <c r="T167" s="9123" t="n"/>
      <c r="U167" s="688" t="n"/>
      <c r="V167" s="3216" t="n"/>
      <c r="W167" s="3216" t="n"/>
      <c r="X167" s="3216" t="n"/>
      <c r="Y167" s="3216" t="n"/>
      <c r="Z167" s="3216" t="n"/>
      <c r="AA167" s="3216" t="n"/>
      <c r="AB167" s="3216" t="n"/>
      <c r="AC167" s="3216" t="n"/>
      <c r="AD167" s="3216" t="n"/>
    </row>
    <row r="168" ht="18" customHeight="1" s="7635">
      <c r="S168" s="9123" t="n"/>
      <c r="T168" s="9123" t="n"/>
      <c r="U168" s="688" t="n"/>
      <c r="V168" s="3216" t="n"/>
      <c r="W168" s="3216" t="n"/>
      <c r="X168" s="3216" t="n"/>
      <c r="Y168" s="3216" t="n"/>
      <c r="Z168" s="3216" t="n"/>
      <c r="AA168" s="3216" t="n"/>
      <c r="AB168" s="3216" t="n"/>
      <c r="AC168" s="3216" t="n"/>
      <c r="AD168" s="3216" t="n"/>
    </row>
    <row r="169" ht="18" customHeight="1" s="7635">
      <c r="S169" s="9123" t="n"/>
      <c r="T169" s="9123" t="n"/>
      <c r="U169" s="688" t="n"/>
      <c r="V169" s="3216" t="n"/>
      <c r="W169" s="3216" t="n"/>
      <c r="X169" s="3216" t="n"/>
      <c r="Y169" s="3216" t="n"/>
      <c r="Z169" s="3216" t="n"/>
      <c r="AA169" s="3216" t="n"/>
      <c r="AB169" s="3216" t="n"/>
      <c r="AC169" s="3216" t="n"/>
      <c r="AD169" s="3216" t="n"/>
    </row>
    <row r="170" ht="18" customHeight="1" s="7635">
      <c r="S170" s="9123" t="n"/>
      <c r="T170" s="9123" t="n"/>
      <c r="U170" s="688" t="n"/>
      <c r="V170" s="3216" t="n"/>
      <c r="W170" s="3216" t="n"/>
      <c r="X170" s="3216" t="n"/>
      <c r="Y170" s="3216" t="n"/>
      <c r="Z170" s="3216" t="n"/>
      <c r="AA170" s="3216" t="n"/>
      <c r="AB170" s="3216" t="n"/>
      <c r="AC170" s="3216" t="n"/>
      <c r="AD170" s="3216" t="n"/>
    </row>
    <row r="171" ht="18" customHeight="1" s="7635">
      <c r="S171" s="9123" t="n"/>
      <c r="T171" s="9123" t="n"/>
      <c r="U171" s="688" t="n"/>
      <c r="V171" s="3216" t="n"/>
      <c r="W171" s="3216" t="n"/>
      <c r="X171" s="3216" t="n"/>
      <c r="Y171" s="3216" t="n"/>
      <c r="Z171" s="3216" t="n"/>
      <c r="AA171" s="3216" t="n"/>
      <c r="AB171" s="3216" t="n"/>
      <c r="AC171" s="3216" t="n"/>
      <c r="AD171" s="3216" t="n"/>
    </row>
    <row r="172" ht="18" customHeight="1" s="7635">
      <c r="S172" s="9123" t="n"/>
      <c r="T172" s="9123" t="n"/>
      <c r="U172" s="688" t="n"/>
      <c r="V172" s="3216" t="n"/>
      <c r="W172" s="3216" t="n"/>
      <c r="X172" s="3216" t="n"/>
      <c r="Y172" s="3216" t="n"/>
      <c r="Z172" s="3216" t="n"/>
      <c r="AA172" s="3216" t="n"/>
      <c r="AB172" s="3216" t="n"/>
      <c r="AC172" s="3216" t="n"/>
      <c r="AD172" s="3216" t="n"/>
    </row>
    <row r="173" ht="18" customHeight="1" s="7635">
      <c r="S173" s="9123" t="n"/>
      <c r="T173" s="9123" t="n"/>
      <c r="U173" s="688" t="n"/>
      <c r="V173" s="3216" t="n"/>
      <c r="W173" s="3216" t="n"/>
      <c r="X173" s="3216" t="n"/>
      <c r="Y173" s="3216" t="n"/>
      <c r="Z173" s="3216" t="n"/>
      <c r="AA173" s="3216" t="n"/>
      <c r="AB173" s="3216" t="n"/>
      <c r="AC173" s="3216" t="n"/>
      <c r="AD173" s="3216" t="n"/>
    </row>
    <row r="174" ht="18" customHeight="1" s="7635">
      <c r="S174" s="9123" t="n"/>
      <c r="T174" s="9123" t="n"/>
      <c r="U174" s="688" t="n"/>
      <c r="V174" s="3216" t="n"/>
      <c r="W174" s="3216" t="n"/>
      <c r="X174" s="3216" t="n"/>
      <c r="Y174" s="3216" t="n"/>
      <c r="Z174" s="3216" t="n"/>
      <c r="AA174" s="3216" t="n"/>
      <c r="AB174" s="3216" t="n"/>
      <c r="AC174" s="3216" t="n"/>
      <c r="AD174" s="3216" t="n"/>
    </row>
    <row r="175" ht="18" customHeight="1" s="7635">
      <c r="S175" s="9123" t="n"/>
      <c r="T175" s="9123" t="n"/>
      <c r="U175" s="688" t="n"/>
      <c r="V175" s="3216" t="n"/>
      <c r="W175" s="3216" t="n"/>
      <c r="X175" s="3216" t="n"/>
      <c r="Y175" s="3216" t="n"/>
      <c r="Z175" s="3216" t="n"/>
      <c r="AA175" s="3216" t="n"/>
      <c r="AB175" s="3216" t="n"/>
      <c r="AC175" s="3216" t="n"/>
      <c r="AD175" s="3216" t="n"/>
    </row>
    <row r="176" ht="18" customHeight="1" s="7635">
      <c r="S176" s="9123" t="n"/>
      <c r="T176" s="9123" t="n"/>
      <c r="U176" s="688" t="n"/>
      <c r="V176" s="3216" t="n"/>
      <c r="W176" s="3216" t="n"/>
      <c r="X176" s="3216" t="n"/>
      <c r="Y176" s="3216" t="n"/>
      <c r="Z176" s="3216" t="n"/>
      <c r="AA176" s="3216" t="n"/>
      <c r="AB176" s="3216" t="n"/>
      <c r="AC176" s="3216" t="n"/>
      <c r="AD176" s="3216" t="n"/>
    </row>
    <row r="177" ht="18" customHeight="1" s="7635">
      <c r="S177" s="9123" t="n"/>
      <c r="T177" s="9123" t="n"/>
      <c r="U177" s="688" t="n"/>
      <c r="V177" s="3216" t="n"/>
      <c r="W177" s="3216" t="n"/>
      <c r="X177" s="3216" t="n"/>
      <c r="Y177" s="3216" t="n"/>
      <c r="Z177" s="3216" t="n"/>
      <c r="AA177" s="3216" t="n"/>
      <c r="AB177" s="3216" t="n"/>
      <c r="AC177" s="3216" t="n"/>
      <c r="AD177" s="3216" t="n"/>
    </row>
    <row r="178" ht="18" customHeight="1" s="7635">
      <c r="S178" s="9123" t="n"/>
      <c r="T178" s="9123" t="n"/>
      <c r="U178" s="688" t="n"/>
      <c r="V178" s="3216" t="n"/>
      <c r="W178" s="3216" t="n"/>
      <c r="X178" s="3216" t="n"/>
      <c r="Y178" s="3216" t="n"/>
      <c r="Z178" s="3216" t="n"/>
      <c r="AA178" s="3216" t="n"/>
      <c r="AB178" s="3216" t="n"/>
      <c r="AC178" s="3216" t="n"/>
      <c r="AD178" s="3216" t="n"/>
    </row>
    <row r="179" ht="18" customHeight="1" s="7635">
      <c r="S179" s="9123" t="n"/>
      <c r="T179" s="9123" t="n"/>
      <c r="U179" s="688" t="n"/>
      <c r="V179" s="3216" t="n"/>
      <c r="W179" s="3216" t="n"/>
      <c r="X179" s="3216" t="n"/>
      <c r="Y179" s="3216" t="n"/>
      <c r="Z179" s="3216" t="n"/>
      <c r="AA179" s="3216" t="n"/>
      <c r="AB179" s="3216" t="n"/>
      <c r="AC179" s="3216" t="n"/>
      <c r="AD179" s="3216" t="n"/>
    </row>
    <row r="180" ht="18" customHeight="1" s="7635">
      <c r="S180" s="9123" t="n"/>
      <c r="T180" s="9123" t="n"/>
      <c r="U180" s="688" t="n"/>
      <c r="V180" s="3216" t="n"/>
      <c r="W180" s="3216" t="n"/>
      <c r="X180" s="3216" t="n"/>
      <c r="Y180" s="3216" t="n"/>
      <c r="Z180" s="3216" t="n"/>
      <c r="AA180" s="3216" t="n"/>
      <c r="AB180" s="3216" t="n"/>
      <c r="AC180" s="3216" t="n"/>
      <c r="AD180" s="3216" t="n"/>
    </row>
    <row r="181" ht="18" customHeight="1" s="7635">
      <c r="S181" s="9123" t="n"/>
      <c r="T181" s="9123" t="n"/>
      <c r="U181" s="688" t="n"/>
      <c r="V181" s="3216" t="n"/>
      <c r="W181" s="3216" t="n"/>
      <c r="X181" s="3216" t="n"/>
      <c r="Y181" s="3216" t="n"/>
      <c r="Z181" s="3216" t="n"/>
      <c r="AA181" s="3216" t="n"/>
      <c r="AB181" s="3216" t="n"/>
      <c r="AC181" s="3216" t="n"/>
      <c r="AD181" s="3216" t="n"/>
    </row>
    <row r="182" ht="18" customHeight="1" s="7635">
      <c r="S182" s="9123" t="n"/>
      <c r="T182" s="9123" t="n"/>
      <c r="U182" s="688" t="n"/>
      <c r="V182" s="3216" t="n"/>
      <c r="W182" s="3216" t="n"/>
      <c r="X182" s="3216" t="n"/>
      <c r="Y182" s="3216" t="n"/>
      <c r="Z182" s="3216" t="n"/>
      <c r="AA182" s="3216" t="n"/>
      <c r="AB182" s="3216" t="n"/>
      <c r="AC182" s="3216" t="n"/>
      <c r="AD182" s="3216" t="n"/>
    </row>
    <row r="183" ht="18" customHeight="1" s="7635">
      <c r="S183" s="9123" t="n"/>
      <c r="T183" s="9123" t="n"/>
      <c r="U183" s="688" t="n"/>
      <c r="V183" s="3216" t="n"/>
      <c r="W183" s="3216" t="n"/>
      <c r="X183" s="3216" t="n"/>
      <c r="Y183" s="3216" t="n"/>
      <c r="Z183" s="3216" t="n"/>
      <c r="AA183" s="3216" t="n"/>
      <c r="AB183" s="3216" t="n"/>
      <c r="AC183" s="3216" t="n"/>
      <c r="AD183" s="3216" t="n"/>
    </row>
    <row r="184" ht="18" customHeight="1" s="7635">
      <c r="S184" s="9123" t="n"/>
      <c r="T184" s="9123" t="n"/>
      <c r="U184" s="688" t="n"/>
      <c r="V184" s="3216" t="n"/>
      <c r="W184" s="3216" t="n"/>
      <c r="X184" s="3216" t="n"/>
      <c r="Y184" s="3216" t="n"/>
      <c r="Z184" s="3216" t="n"/>
      <c r="AA184" s="3216" t="n"/>
      <c r="AB184" s="3216" t="n"/>
      <c r="AC184" s="3216" t="n"/>
      <c r="AD184" s="3216" t="n"/>
    </row>
    <row r="185" ht="18" customHeight="1" s="7635">
      <c r="S185" s="9123" t="n"/>
      <c r="T185" s="9123" t="n"/>
      <c r="U185" s="688" t="n"/>
      <c r="V185" s="3216" t="n"/>
      <c r="W185" s="3216" t="n"/>
      <c r="X185" s="3216" t="n"/>
      <c r="Y185" s="3216" t="n"/>
      <c r="Z185" s="3216" t="n"/>
      <c r="AA185" s="3216" t="n"/>
      <c r="AB185" s="3216" t="n"/>
      <c r="AC185" s="3216" t="n"/>
      <c r="AD185" s="3216" t="n"/>
    </row>
    <row r="186" ht="18" customHeight="1" s="7635">
      <c r="S186" s="9123" t="n"/>
      <c r="T186" s="9123" t="n"/>
      <c r="U186" s="688" t="n"/>
      <c r="V186" s="3216" t="n"/>
      <c r="W186" s="3216" t="n"/>
      <c r="X186" s="3216" t="n"/>
      <c r="Y186" s="3216" t="n"/>
      <c r="Z186" s="3216" t="n"/>
      <c r="AA186" s="3216" t="n"/>
      <c r="AB186" s="3216" t="n"/>
      <c r="AC186" s="3216" t="n"/>
      <c r="AD186" s="3216" t="n"/>
    </row>
    <row r="187" ht="18" customHeight="1" s="7635">
      <c r="S187" s="9123" t="n"/>
      <c r="T187" s="9123" t="n"/>
      <c r="U187" s="688" t="n"/>
      <c r="V187" s="3216" t="n"/>
      <c r="W187" s="3216" t="n"/>
      <c r="X187" s="3216" t="n"/>
      <c r="Y187" s="3216" t="n"/>
      <c r="Z187" s="3216" t="n"/>
      <c r="AA187" s="3216" t="n"/>
      <c r="AB187" s="3216" t="n"/>
      <c r="AC187" s="3216" t="n"/>
      <c r="AD187" s="3216" t="n"/>
    </row>
    <row r="188" ht="18" customHeight="1" s="7635">
      <c r="S188" s="9123" t="n"/>
      <c r="T188" s="9123" t="n"/>
      <c r="U188" s="688" t="n"/>
      <c r="V188" s="3216" t="n"/>
      <c r="W188" s="3216" t="n"/>
      <c r="X188" s="3216" t="n"/>
      <c r="Y188" s="3216" t="n"/>
      <c r="Z188" s="3216" t="n"/>
      <c r="AA188" s="3216" t="n"/>
      <c r="AB188" s="3216" t="n"/>
      <c r="AC188" s="3216" t="n"/>
      <c r="AD188" s="3216" t="n"/>
    </row>
    <row r="189" ht="18" customHeight="1" s="7635">
      <c r="S189" s="9123" t="n"/>
      <c r="T189" s="9123" t="n"/>
      <c r="U189" s="688" t="n"/>
      <c r="V189" s="3216" t="n"/>
      <c r="W189" s="3216" t="n"/>
      <c r="X189" s="3216" t="n"/>
      <c r="Y189" s="3216" t="n"/>
      <c r="Z189" s="3216" t="n"/>
      <c r="AA189" s="3216" t="n"/>
      <c r="AB189" s="3216" t="n"/>
      <c r="AC189" s="3216" t="n"/>
      <c r="AD189" s="3216" t="n"/>
    </row>
    <row r="190" ht="18" customHeight="1" s="7635">
      <c r="S190" s="9123" t="n"/>
      <c r="T190" s="9123" t="n"/>
      <c r="U190" s="688" t="n"/>
      <c r="V190" s="3216" t="n"/>
      <c r="W190" s="3216" t="n"/>
      <c r="X190" s="3216" t="n"/>
      <c r="Y190" s="3216" t="n"/>
      <c r="Z190" s="3216" t="n"/>
      <c r="AA190" s="3216" t="n"/>
      <c r="AB190" s="3216" t="n"/>
      <c r="AC190" s="3216" t="n"/>
      <c r="AD190" s="3216" t="n"/>
    </row>
    <row r="191" ht="18" customHeight="1" s="7635">
      <c r="S191" s="9123" t="n"/>
      <c r="T191" s="9123" t="n"/>
      <c r="U191" s="688" t="n"/>
      <c r="V191" s="3216" t="n"/>
      <c r="W191" s="3216" t="n"/>
      <c r="X191" s="3216" t="n"/>
      <c r="Y191" s="3216" t="n"/>
      <c r="Z191" s="3216" t="n"/>
      <c r="AA191" s="3216" t="n"/>
      <c r="AB191" s="3216" t="n"/>
      <c r="AC191" s="3216" t="n"/>
      <c r="AD191" s="3216" t="n"/>
    </row>
    <row r="192" ht="18" customHeight="1" s="7635">
      <c r="S192" s="9123" t="n"/>
      <c r="T192" s="9123" t="n"/>
      <c r="U192" s="688" t="n"/>
      <c r="V192" s="3216" t="n"/>
      <c r="W192" s="3216" t="n"/>
      <c r="X192" s="3216" t="n"/>
      <c r="Y192" s="3216" t="n"/>
      <c r="Z192" s="3216" t="n"/>
      <c r="AA192" s="3216" t="n"/>
      <c r="AB192" s="3216" t="n"/>
      <c r="AC192" s="3216" t="n"/>
      <c r="AD192" s="3216" t="n"/>
    </row>
    <row r="193" ht="18" customHeight="1" s="7635">
      <c r="S193" s="9123" t="n"/>
      <c r="T193" s="9123" t="n"/>
      <c r="U193" s="688" t="n"/>
      <c r="V193" s="3216" t="n"/>
      <c r="W193" s="3216" t="n"/>
      <c r="X193" s="3216" t="n"/>
      <c r="Y193" s="3216" t="n"/>
      <c r="Z193" s="3216" t="n"/>
      <c r="AA193" s="3216" t="n"/>
      <c r="AB193" s="3216" t="n"/>
      <c r="AC193" s="3216" t="n"/>
      <c r="AD193" s="3216" t="n"/>
    </row>
    <row r="194" ht="18" customHeight="1" s="7635">
      <c r="S194" s="9123" t="n"/>
      <c r="T194" s="9123" t="n"/>
      <c r="U194" s="688" t="n"/>
      <c r="V194" s="3216" t="n"/>
      <c r="W194" s="3216" t="n"/>
      <c r="X194" s="3216" t="n"/>
      <c r="Y194" s="3216" t="n"/>
      <c r="Z194" s="3216" t="n"/>
      <c r="AA194" s="3216" t="n"/>
      <c r="AB194" s="3216" t="n"/>
      <c r="AC194" s="3216" t="n"/>
      <c r="AD194" s="3216" t="n"/>
    </row>
    <row r="195" ht="18" customHeight="1" s="7635">
      <c r="S195" s="9123" t="n"/>
      <c r="T195" s="9123" t="n"/>
      <c r="U195" s="688" t="n"/>
      <c r="V195" s="3216" t="n"/>
      <c r="W195" s="3216" t="n"/>
      <c r="X195" s="3216" t="n"/>
      <c r="Y195" s="3216" t="n"/>
      <c r="Z195" s="3216" t="n"/>
      <c r="AA195" s="3216" t="n"/>
      <c r="AB195" s="3216" t="n"/>
      <c r="AC195" s="3216" t="n"/>
      <c r="AD195" s="3216" t="n"/>
    </row>
    <row r="196" ht="18" customHeight="1" s="7635">
      <c r="S196" s="9123" t="n"/>
      <c r="T196" s="9123" t="n"/>
      <c r="U196" s="688" t="n"/>
      <c r="V196" s="3216" t="n"/>
      <c r="W196" s="3216" t="n"/>
      <c r="X196" s="3216" t="n"/>
      <c r="Y196" s="3216" t="n"/>
      <c r="Z196" s="3216" t="n"/>
      <c r="AA196" s="3216" t="n"/>
      <c r="AB196" s="3216" t="n"/>
      <c r="AC196" s="3216" t="n"/>
      <c r="AD196" s="3216" t="n"/>
    </row>
    <row r="197" ht="18" customHeight="1" s="7635">
      <c r="S197" s="9123" t="n"/>
      <c r="T197" s="9123" t="n"/>
      <c r="U197" s="688" t="n"/>
      <c r="V197" s="3216" t="n"/>
      <c r="W197" s="3216" t="n"/>
      <c r="X197" s="3216" t="n"/>
      <c r="Y197" s="3216" t="n"/>
      <c r="Z197" s="3216" t="n"/>
      <c r="AA197" s="3216" t="n"/>
      <c r="AB197" s="3216" t="n"/>
      <c r="AC197" s="3216" t="n"/>
      <c r="AD197" s="3216" t="n"/>
    </row>
    <row r="198" ht="18" customHeight="1" s="7635">
      <c r="S198" s="9123" t="n"/>
      <c r="T198" s="9123" t="n"/>
      <c r="U198" s="688" t="n"/>
      <c r="V198" s="3216" t="n"/>
      <c r="W198" s="3216" t="n"/>
      <c r="X198" s="3216" t="n"/>
      <c r="Y198" s="3216" t="n"/>
      <c r="Z198" s="3216" t="n"/>
      <c r="AA198" s="3216" t="n"/>
      <c r="AB198" s="3216" t="n"/>
      <c r="AC198" s="3216" t="n"/>
      <c r="AD198" s="3216" t="n"/>
    </row>
    <row r="199" ht="18" customHeight="1" s="7635">
      <c r="S199" s="9123" t="n"/>
      <c r="T199" s="9123" t="n"/>
      <c r="U199" s="688" t="n"/>
      <c r="V199" s="3216" t="n"/>
      <c r="W199" s="3216" t="n"/>
      <c r="X199" s="3216" t="n"/>
      <c r="Y199" s="3216" t="n"/>
      <c r="Z199" s="3216" t="n"/>
      <c r="AA199" s="3216" t="n"/>
      <c r="AB199" s="3216" t="n"/>
      <c r="AC199" s="3216" t="n"/>
      <c r="AD199" s="3216" t="n"/>
    </row>
    <row r="200" ht="18" customHeight="1" s="7635">
      <c r="S200" s="9123" t="n"/>
      <c r="T200" s="9123" t="n"/>
      <c r="U200" s="688" t="n"/>
      <c r="V200" s="3216" t="n"/>
      <c r="W200" s="3216" t="n"/>
      <c r="X200" s="3216" t="n"/>
      <c r="Y200" s="3216" t="n"/>
      <c r="Z200" s="3216" t="n"/>
      <c r="AA200" s="3216" t="n"/>
      <c r="AB200" s="3216" t="n"/>
      <c r="AC200" s="3216" t="n"/>
      <c r="AD200" s="3216" t="n"/>
    </row>
    <row r="201" ht="18" customHeight="1" s="7635">
      <c r="S201" s="9123" t="n"/>
      <c r="T201" s="9123" t="n"/>
      <c r="U201" s="688" t="n"/>
      <c r="V201" s="3216" t="n"/>
      <c r="W201" s="3216" t="n"/>
      <c r="X201" s="3216" t="n"/>
      <c r="Y201" s="3216" t="n"/>
      <c r="Z201" s="3216" t="n"/>
      <c r="AA201" s="3216" t="n"/>
      <c r="AB201" s="3216" t="n"/>
      <c r="AC201" s="3216" t="n"/>
      <c r="AD201" s="3216" t="n"/>
    </row>
    <row r="202" ht="18" customHeight="1" s="7635">
      <c r="S202" s="9123" t="n"/>
      <c r="T202" s="9123" t="n"/>
      <c r="U202" s="688" t="n"/>
      <c r="V202" s="3216" t="n"/>
      <c r="W202" s="3216" t="n"/>
      <c r="X202" s="3216" t="n"/>
      <c r="Y202" s="3216" t="n"/>
      <c r="Z202" s="3216" t="n"/>
      <c r="AA202" s="3216" t="n"/>
      <c r="AB202" s="3216" t="n"/>
      <c r="AC202" s="3216" t="n"/>
      <c r="AD202" s="3216" t="n"/>
    </row>
    <row r="203" ht="18" customHeight="1" s="7635">
      <c r="S203" s="9123" t="n"/>
      <c r="T203" s="9123" t="n"/>
      <c r="U203" s="688" t="n"/>
      <c r="V203" s="3216" t="n"/>
      <c r="W203" s="3216" t="n"/>
      <c r="X203" s="3216" t="n"/>
      <c r="Y203" s="3216" t="n"/>
      <c r="Z203" s="3216" t="n"/>
      <c r="AA203" s="3216" t="n"/>
      <c r="AB203" s="3216" t="n"/>
      <c r="AC203" s="3216" t="n"/>
      <c r="AD203" s="3216" t="n"/>
    </row>
    <row r="204" ht="18" customHeight="1" s="7635">
      <c r="S204" s="9123" t="n"/>
      <c r="T204" s="9123" t="n"/>
      <c r="U204" s="688" t="n"/>
      <c r="V204" s="3216" t="n"/>
      <c r="W204" s="3216" t="n"/>
      <c r="X204" s="3216" t="n"/>
      <c r="Y204" s="3216" t="n"/>
      <c r="Z204" s="3216" t="n"/>
      <c r="AA204" s="3216" t="n"/>
      <c r="AB204" s="3216" t="n"/>
      <c r="AC204" s="3216" t="n"/>
      <c r="AD204" s="3216" t="n"/>
    </row>
    <row r="205" ht="18" customHeight="1" s="7635">
      <c r="S205" s="9123" t="n"/>
      <c r="T205" s="9123" t="n"/>
      <c r="U205" s="688" t="n"/>
      <c r="V205" s="3216" t="n"/>
      <c r="W205" s="3216" t="n"/>
      <c r="X205" s="3216" t="n"/>
      <c r="Y205" s="3216" t="n"/>
      <c r="Z205" s="3216" t="n"/>
      <c r="AA205" s="3216" t="n"/>
      <c r="AB205" s="3216" t="n"/>
      <c r="AC205" s="3216" t="n"/>
      <c r="AD205" s="3216" t="n"/>
    </row>
    <row r="206" ht="18" customHeight="1" s="7635">
      <c r="S206" s="9123" t="n"/>
      <c r="T206" s="9123" t="n"/>
      <c r="U206" s="688" t="n"/>
      <c r="V206" s="3216" t="n"/>
      <c r="W206" s="3216" t="n"/>
      <c r="X206" s="3216" t="n"/>
      <c r="Y206" s="3216" t="n"/>
      <c r="Z206" s="3216" t="n"/>
      <c r="AA206" s="3216" t="n"/>
      <c r="AB206" s="3216" t="n"/>
      <c r="AC206" s="3216" t="n"/>
      <c r="AD206" s="3216" t="n"/>
    </row>
    <row r="207" ht="18" customHeight="1" s="7635">
      <c r="S207" s="9123" t="n"/>
      <c r="T207" s="9123" t="n"/>
      <c r="U207" s="688" t="n"/>
      <c r="V207" s="3216" t="n"/>
      <c r="W207" s="3216" t="n"/>
      <c r="X207" s="3216" t="n"/>
      <c r="Y207" s="3216" t="n"/>
      <c r="Z207" s="3216" t="n"/>
      <c r="AA207" s="3216" t="n"/>
      <c r="AB207" s="3216" t="n"/>
      <c r="AC207" s="3216" t="n"/>
      <c r="AD207" s="3216" t="n"/>
    </row>
    <row r="208" ht="18" customHeight="1" s="7635">
      <c r="S208" s="9123" t="n"/>
      <c r="T208" s="9123" t="n"/>
      <c r="U208" s="688" t="n"/>
      <c r="V208" s="3216" t="n"/>
      <c r="W208" s="3216" t="n"/>
      <c r="X208" s="3216" t="n"/>
      <c r="Y208" s="3216" t="n"/>
      <c r="Z208" s="3216" t="n"/>
      <c r="AA208" s="3216" t="n"/>
      <c r="AB208" s="3216" t="n"/>
      <c r="AC208" s="3216" t="n"/>
      <c r="AD208" s="3216" t="n"/>
    </row>
    <row r="209" ht="18" customHeight="1" s="7635">
      <c r="S209" s="9123" t="n"/>
      <c r="T209" s="9123" t="n"/>
      <c r="U209" s="688" t="n"/>
      <c r="V209" s="3216" t="n"/>
      <c r="W209" s="3216" t="n"/>
      <c r="X209" s="3216" t="n"/>
      <c r="Y209" s="3216" t="n"/>
      <c r="Z209" s="3216" t="n"/>
      <c r="AA209" s="3216" t="n"/>
      <c r="AB209" s="3216" t="n"/>
      <c r="AC209" s="3216" t="n"/>
      <c r="AD209" s="3216" t="n"/>
    </row>
    <row r="210" ht="18" customHeight="1" s="7635">
      <c r="S210" s="9123" t="n"/>
      <c r="T210" s="9123" t="n"/>
      <c r="U210" s="688" t="n"/>
      <c r="V210" s="3216" t="n"/>
      <c r="W210" s="3216" t="n"/>
      <c r="X210" s="3216" t="n"/>
      <c r="Y210" s="3216" t="n"/>
      <c r="Z210" s="3216" t="n"/>
      <c r="AA210" s="3216" t="n"/>
      <c r="AB210" s="3216" t="n"/>
      <c r="AC210" s="3216" t="n"/>
      <c r="AD210" s="3216" t="n"/>
    </row>
    <row r="211" ht="18" customHeight="1" s="7635">
      <c r="S211" s="9123" t="n"/>
      <c r="T211" s="9123" t="n"/>
      <c r="U211" s="688" t="n"/>
      <c r="V211" s="3216" t="n"/>
      <c r="W211" s="3216" t="n"/>
      <c r="X211" s="3216" t="n"/>
      <c r="Y211" s="3216" t="n"/>
      <c r="Z211" s="3216" t="n"/>
      <c r="AA211" s="3216" t="n"/>
      <c r="AB211" s="3216" t="n"/>
      <c r="AC211" s="3216" t="n"/>
      <c r="AD211" s="3216" t="n"/>
    </row>
    <row r="212" ht="18" customHeight="1" s="7635">
      <c r="S212" s="9123" t="n"/>
      <c r="T212" s="9123" t="n"/>
      <c r="U212" s="688" t="n"/>
      <c r="V212" s="3216" t="n"/>
      <c r="W212" s="3216" t="n"/>
      <c r="X212" s="3216" t="n"/>
      <c r="Y212" s="3216" t="n"/>
      <c r="Z212" s="3216" t="n"/>
      <c r="AA212" s="3216" t="n"/>
      <c r="AB212" s="3216" t="n"/>
      <c r="AC212" s="3216" t="n"/>
      <c r="AD212" s="3216" t="n"/>
    </row>
    <row r="213" ht="18" customHeight="1" s="7635">
      <c r="S213" s="9123" t="n"/>
      <c r="T213" s="9123" t="n"/>
      <c r="U213" s="688" t="n"/>
      <c r="V213" s="3216" t="n"/>
      <c r="W213" s="3216" t="n"/>
      <c r="X213" s="3216" t="n"/>
      <c r="Y213" s="3216" t="n"/>
      <c r="Z213" s="3216" t="n"/>
      <c r="AA213" s="3216" t="n"/>
      <c r="AB213" s="3216" t="n"/>
      <c r="AC213" s="3216" t="n"/>
      <c r="AD213" s="3216" t="n"/>
    </row>
    <row r="214" ht="18" customHeight="1" s="7635">
      <c r="S214" s="9123" t="n"/>
      <c r="T214" s="9123" t="n"/>
      <c r="U214" s="688" t="n"/>
      <c r="V214" s="3216" t="n"/>
      <c r="W214" s="3216" t="n"/>
      <c r="X214" s="3216" t="n"/>
      <c r="Y214" s="3216" t="n"/>
      <c r="Z214" s="3216" t="n"/>
      <c r="AA214" s="3216" t="n"/>
      <c r="AB214" s="3216" t="n"/>
      <c r="AC214" s="3216" t="n"/>
      <c r="AD214" s="3216" t="n"/>
    </row>
    <row r="215" ht="18" customHeight="1" s="7635">
      <c r="S215" s="9123" t="n"/>
      <c r="T215" s="9123" t="n"/>
      <c r="U215" s="688" t="n"/>
      <c r="V215" s="3216" t="n"/>
      <c r="W215" s="3216" t="n"/>
      <c r="X215" s="3216" t="n"/>
      <c r="Y215" s="3216" t="n"/>
      <c r="Z215" s="3216" t="n"/>
      <c r="AA215" s="3216" t="n"/>
      <c r="AB215" s="3216" t="n"/>
      <c r="AC215" s="3216" t="n"/>
      <c r="AD215" s="3216" t="n"/>
    </row>
    <row r="216" ht="18" customHeight="1" s="7635">
      <c r="S216" s="9123" t="n"/>
      <c r="T216" s="9123" t="n"/>
      <c r="U216" s="688" t="n"/>
      <c r="V216" s="3216" t="n"/>
      <c r="W216" s="3216" t="n"/>
      <c r="X216" s="3216" t="n"/>
      <c r="Y216" s="3216" t="n"/>
      <c r="Z216" s="3216" t="n"/>
      <c r="AA216" s="3216" t="n"/>
      <c r="AB216" s="3216" t="n"/>
      <c r="AC216" s="3216" t="n"/>
      <c r="AD216" s="3216" t="n"/>
    </row>
    <row r="217" ht="18" customHeight="1" s="7635">
      <c r="S217" s="9123" t="n"/>
      <c r="T217" s="9123" t="n"/>
      <c r="U217" s="688" t="n"/>
      <c r="V217" s="3216" t="n"/>
      <c r="W217" s="3216" t="n"/>
      <c r="X217" s="3216" t="n"/>
      <c r="Y217" s="3216" t="n"/>
      <c r="Z217" s="3216" t="n"/>
      <c r="AA217" s="3216" t="n"/>
      <c r="AB217" s="3216" t="n"/>
      <c r="AC217" s="3216" t="n"/>
      <c r="AD217" s="3216" t="n"/>
    </row>
    <row r="218" ht="18" customHeight="1" s="7635">
      <c r="S218" s="9123" t="n"/>
      <c r="T218" s="9123" t="n"/>
      <c r="U218" s="688" t="n"/>
      <c r="V218" s="3216" t="n"/>
      <c r="W218" s="3216" t="n"/>
      <c r="X218" s="3216" t="n"/>
      <c r="Y218" s="3216" t="n"/>
      <c r="Z218" s="3216" t="n"/>
      <c r="AA218" s="3216" t="n"/>
      <c r="AB218" s="3216" t="n"/>
      <c r="AC218" s="3216" t="n"/>
      <c r="AD218" s="3216" t="n"/>
    </row>
    <row r="219" ht="18" customHeight="1" s="7635">
      <c r="S219" s="9123" t="n"/>
      <c r="T219" s="9123" t="n"/>
      <c r="U219" s="688" t="n"/>
      <c r="V219" s="3216" t="n"/>
      <c r="W219" s="3216" t="n"/>
      <c r="X219" s="3216" t="n"/>
      <c r="Y219" s="3216" t="n"/>
      <c r="Z219" s="3216" t="n"/>
      <c r="AA219" s="3216" t="n"/>
      <c r="AB219" s="3216" t="n"/>
      <c r="AC219" s="3216" t="n"/>
      <c r="AD219" s="3216" t="n"/>
    </row>
    <row r="220" ht="18" customHeight="1" s="7635">
      <c r="S220" s="9123" t="n"/>
      <c r="T220" s="9123" t="n"/>
      <c r="U220" s="688" t="n"/>
      <c r="V220" s="3216" t="n"/>
      <c r="W220" s="3216" t="n"/>
      <c r="X220" s="3216" t="n"/>
      <c r="Y220" s="3216" t="n"/>
      <c r="Z220" s="3216" t="n"/>
      <c r="AA220" s="3216" t="n"/>
      <c r="AB220" s="3216" t="n"/>
      <c r="AC220" s="3216" t="n"/>
      <c r="AD220" s="3216" t="n"/>
    </row>
    <row r="221" ht="18" customHeight="1" s="7635">
      <c r="S221" s="9123" t="n"/>
      <c r="T221" s="9123" t="n"/>
      <c r="U221" s="688" t="n"/>
      <c r="V221" s="3216" t="n"/>
      <c r="W221" s="3216" t="n"/>
      <c r="X221" s="3216" t="n"/>
      <c r="Y221" s="3216" t="n"/>
      <c r="Z221" s="3216" t="n"/>
      <c r="AA221" s="3216" t="n"/>
      <c r="AB221" s="3216" t="n"/>
      <c r="AC221" s="3216" t="n"/>
      <c r="AD221" s="3216" t="n"/>
    </row>
    <row r="222" ht="18" customHeight="1" s="7635">
      <c r="S222" s="9123" t="n"/>
      <c r="T222" s="9123" t="n"/>
      <c r="U222" s="688" t="n"/>
      <c r="V222" s="3216" t="n"/>
      <c r="W222" s="3216" t="n"/>
      <c r="X222" s="3216" t="n"/>
      <c r="Y222" s="3216" t="n"/>
      <c r="Z222" s="3216" t="n"/>
      <c r="AA222" s="3216" t="n"/>
      <c r="AB222" s="3216" t="n"/>
      <c r="AC222" s="3216" t="n"/>
      <c r="AD222" s="3216" t="n"/>
    </row>
    <row r="223" ht="18" customHeight="1" s="7635">
      <c r="S223" s="9123" t="n"/>
      <c r="T223" s="9123" t="n"/>
      <c r="U223" s="688" t="n"/>
      <c r="V223" s="3216" t="n"/>
      <c r="W223" s="3216" t="n"/>
      <c r="X223" s="3216" t="n"/>
      <c r="Y223" s="3216" t="n"/>
      <c r="Z223" s="3216" t="n"/>
      <c r="AA223" s="3216" t="n"/>
      <c r="AB223" s="3216" t="n"/>
      <c r="AC223" s="3216" t="n"/>
      <c r="AD223" s="3216" t="n"/>
    </row>
    <row r="224" ht="18" customHeight="1" s="7635">
      <c r="S224" s="9123" t="n"/>
      <c r="T224" s="9123" t="n"/>
      <c r="U224" s="688" t="n"/>
      <c r="V224" s="3216" t="n"/>
      <c r="W224" s="3216" t="n"/>
      <c r="X224" s="3216" t="n"/>
      <c r="Y224" s="3216" t="n"/>
      <c r="Z224" s="3216" t="n"/>
      <c r="AA224" s="3216" t="n"/>
      <c r="AB224" s="3216" t="n"/>
      <c r="AC224" s="3216" t="n"/>
      <c r="AD224" s="3216" t="n"/>
    </row>
    <row r="225" ht="18" customHeight="1" s="7635">
      <c r="S225" s="9123" t="n"/>
      <c r="T225" s="9123" t="n"/>
      <c r="U225" s="688" t="n"/>
      <c r="V225" s="3216" t="n"/>
      <c r="W225" s="3216" t="n"/>
      <c r="X225" s="3216" t="n"/>
      <c r="Y225" s="3216" t="n"/>
      <c r="Z225" s="3216" t="n"/>
      <c r="AA225" s="3216" t="n"/>
      <c r="AB225" s="3216" t="n"/>
      <c r="AC225" s="3216" t="n"/>
      <c r="AD225" s="3216" t="n"/>
    </row>
    <row r="226" ht="18" customHeight="1" s="7635">
      <c r="S226" s="9123" t="n"/>
      <c r="T226" s="9123" t="n"/>
      <c r="U226" s="688" t="n"/>
      <c r="V226" s="3216" t="n"/>
      <c r="W226" s="3216" t="n"/>
      <c r="X226" s="3216" t="n"/>
      <c r="Y226" s="3216" t="n"/>
      <c r="Z226" s="3216" t="n"/>
      <c r="AA226" s="3216" t="n"/>
      <c r="AB226" s="3216" t="n"/>
      <c r="AC226" s="3216" t="n"/>
      <c r="AD226" s="3216" t="n"/>
    </row>
    <row r="227" ht="18" customHeight="1" s="7635">
      <c r="S227" s="9123" t="n"/>
      <c r="T227" s="9123" t="n"/>
      <c r="U227" s="688" t="n"/>
      <c r="V227" s="3216" t="n"/>
      <c r="W227" s="3216" t="n"/>
      <c r="X227" s="3216" t="n"/>
      <c r="Y227" s="3216" t="n"/>
      <c r="Z227" s="3216" t="n"/>
      <c r="AA227" s="3216" t="n"/>
      <c r="AB227" s="3216" t="n"/>
      <c r="AC227" s="3216" t="n"/>
      <c r="AD227" s="3216" t="n"/>
    </row>
    <row r="228" ht="18" customHeight="1" s="7635">
      <c r="S228" s="9123" t="n"/>
      <c r="T228" s="9123" t="n"/>
      <c r="U228" s="688" t="n"/>
      <c r="V228" s="3216" t="n"/>
      <c r="W228" s="3216" t="n"/>
      <c r="X228" s="3216" t="n"/>
      <c r="Y228" s="3216" t="n"/>
      <c r="Z228" s="3216" t="n"/>
      <c r="AA228" s="3216" t="n"/>
      <c r="AB228" s="3216" t="n"/>
      <c r="AC228" s="3216" t="n"/>
      <c r="AD228" s="3216" t="n"/>
    </row>
    <row r="229" ht="18" customHeight="1" s="7635">
      <c r="S229" s="9123" t="n"/>
      <c r="T229" s="9123" t="n"/>
      <c r="U229" s="688" t="n"/>
      <c r="V229" s="3216" t="n"/>
      <c r="W229" s="3216" t="n"/>
      <c r="X229" s="3216" t="n"/>
      <c r="Y229" s="3216" t="n"/>
      <c r="Z229" s="3216" t="n"/>
      <c r="AA229" s="3216" t="n"/>
      <c r="AB229" s="3216" t="n"/>
      <c r="AC229" s="3216" t="n"/>
      <c r="AD229" s="3216" t="n"/>
    </row>
    <row r="230" ht="18" customHeight="1" s="7635">
      <c r="S230" s="9123" t="n"/>
      <c r="T230" s="9123" t="n"/>
      <c r="U230" s="688" t="n"/>
      <c r="V230" s="3216" t="n"/>
      <c r="W230" s="3216" t="n"/>
      <c r="X230" s="3216" t="n"/>
      <c r="Y230" s="3216" t="n"/>
      <c r="Z230" s="3216" t="n"/>
      <c r="AA230" s="3216" t="n"/>
      <c r="AB230" s="3216" t="n"/>
      <c r="AC230" s="3216" t="n"/>
      <c r="AD230" s="3216" t="n"/>
    </row>
    <row r="231" ht="18" customHeight="1" s="7635">
      <c r="S231" s="9123" t="n"/>
      <c r="T231" s="9123" t="n"/>
      <c r="U231" s="688" t="n"/>
      <c r="V231" s="3216" t="n"/>
      <c r="W231" s="3216" t="n"/>
      <c r="X231" s="3216" t="n"/>
      <c r="Y231" s="3216" t="n"/>
      <c r="Z231" s="3216" t="n"/>
      <c r="AA231" s="3216" t="n"/>
      <c r="AB231" s="3216" t="n"/>
      <c r="AC231" s="3216" t="n"/>
      <c r="AD231" s="3216" t="n"/>
    </row>
    <row r="232" ht="18" customHeight="1" s="7635">
      <c r="S232" s="9123" t="n"/>
      <c r="T232" s="9123" t="n"/>
      <c r="U232" s="688" t="n"/>
      <c r="V232" s="3216" t="n"/>
      <c r="W232" s="3216" t="n"/>
      <c r="X232" s="3216" t="n"/>
      <c r="Y232" s="3216" t="n"/>
      <c r="Z232" s="3216" t="n"/>
      <c r="AA232" s="3216" t="n"/>
      <c r="AB232" s="3216" t="n"/>
      <c r="AC232" s="3216" t="n"/>
      <c r="AD232" s="3216" t="n"/>
    </row>
    <row r="233" ht="18" customHeight="1" s="7635">
      <c r="S233" s="9123" t="n"/>
      <c r="T233" s="9123" t="n"/>
      <c r="U233" s="688" t="n"/>
      <c r="V233" s="3216" t="n"/>
      <c r="W233" s="3216" t="n"/>
      <c r="X233" s="3216" t="n"/>
      <c r="Y233" s="3216" t="n"/>
      <c r="Z233" s="3216" t="n"/>
      <c r="AA233" s="3216" t="n"/>
      <c r="AB233" s="3216" t="n"/>
      <c r="AC233" s="3216" t="n"/>
      <c r="AD233" s="3216" t="n"/>
    </row>
    <row r="234" ht="18" customHeight="1" s="7635">
      <c r="S234" s="9123" t="n"/>
      <c r="T234" s="9123" t="n"/>
      <c r="U234" s="688" t="n"/>
      <c r="V234" s="3216" t="n"/>
      <c r="W234" s="3216" t="n"/>
      <c r="X234" s="3216" t="n"/>
      <c r="Y234" s="3216" t="n"/>
      <c r="Z234" s="3216" t="n"/>
      <c r="AA234" s="3216" t="n"/>
      <c r="AB234" s="3216" t="n"/>
      <c r="AC234" s="3216" t="n"/>
      <c r="AD234" s="3216" t="n"/>
    </row>
    <row r="235" ht="18" customHeight="1" s="7635">
      <c r="S235" s="9123" t="n"/>
      <c r="T235" s="9123" t="n"/>
      <c r="U235" s="688" t="n"/>
      <c r="V235" s="3216" t="n"/>
      <c r="W235" s="3216" t="n"/>
      <c r="X235" s="3216" t="n"/>
      <c r="Y235" s="3216" t="n"/>
      <c r="Z235" s="3216" t="n"/>
      <c r="AA235" s="3216" t="n"/>
      <c r="AB235" s="3216" t="n"/>
      <c r="AC235" s="3216" t="n"/>
      <c r="AD235" s="3216" t="n"/>
    </row>
    <row r="236" ht="18" customHeight="1" s="7635">
      <c r="S236" s="9123" t="n"/>
      <c r="T236" s="9123" t="n"/>
      <c r="U236" s="688" t="n"/>
      <c r="V236" s="3216" t="n"/>
      <c r="W236" s="3216" t="n"/>
      <c r="X236" s="3216" t="n"/>
      <c r="Y236" s="3216" t="n"/>
      <c r="Z236" s="3216" t="n"/>
      <c r="AA236" s="3216" t="n"/>
      <c r="AB236" s="3216" t="n"/>
      <c r="AC236" s="3216" t="n"/>
      <c r="AD236" s="3216" t="n"/>
    </row>
    <row r="237" ht="18" customHeight="1" s="7635">
      <c r="S237" s="9123" t="n"/>
      <c r="T237" s="9123" t="n"/>
      <c r="U237" s="688" t="n"/>
      <c r="V237" s="3216" t="n"/>
      <c r="W237" s="3216" t="n"/>
      <c r="X237" s="3216" t="n"/>
      <c r="Y237" s="3216" t="n"/>
      <c r="Z237" s="3216" t="n"/>
      <c r="AA237" s="3216" t="n"/>
      <c r="AB237" s="3216" t="n"/>
      <c r="AC237" s="3216" t="n"/>
      <c r="AD237" s="3216" t="n"/>
    </row>
    <row r="238" ht="18" customHeight="1" s="7635">
      <c r="S238" s="9123" t="n"/>
      <c r="T238" s="9123" t="n"/>
      <c r="U238" s="688" t="n"/>
      <c r="V238" s="3216" t="n"/>
      <c r="W238" s="3216" t="n"/>
      <c r="X238" s="3216" t="n"/>
      <c r="Y238" s="3216" t="n"/>
      <c r="Z238" s="3216" t="n"/>
      <c r="AA238" s="3216" t="n"/>
      <c r="AB238" s="3216" t="n"/>
      <c r="AC238" s="3216" t="n"/>
      <c r="AD238" s="3216" t="n"/>
    </row>
    <row r="239" ht="18" customHeight="1" s="7635">
      <c r="S239" s="9123" t="n"/>
      <c r="T239" s="9123" t="n"/>
      <c r="U239" s="688" t="n"/>
      <c r="V239" s="3216" t="n"/>
      <c r="W239" s="3216" t="n"/>
      <c r="X239" s="3216" t="n"/>
      <c r="Y239" s="3216" t="n"/>
      <c r="Z239" s="3216" t="n"/>
      <c r="AA239" s="3216" t="n"/>
      <c r="AB239" s="3216" t="n"/>
      <c r="AC239" s="3216" t="n"/>
      <c r="AD239" s="3216" t="n"/>
    </row>
    <row r="240" ht="18" customHeight="1" s="7635">
      <c r="S240" s="9123" t="n"/>
      <c r="T240" s="9123" t="n"/>
      <c r="U240" s="688" t="n"/>
      <c r="V240" s="3216" t="n"/>
      <c r="W240" s="3216" t="n"/>
      <c r="X240" s="3216" t="n"/>
      <c r="Y240" s="3216" t="n"/>
      <c r="Z240" s="3216" t="n"/>
      <c r="AA240" s="3216" t="n"/>
      <c r="AB240" s="3216" t="n"/>
      <c r="AC240" s="3216" t="n"/>
      <c r="AD240" s="3216" t="n"/>
    </row>
    <row r="241" ht="18" customHeight="1" s="7635">
      <c r="S241" s="9123" t="n"/>
      <c r="T241" s="9123" t="n"/>
      <c r="U241" s="688" t="n"/>
      <c r="V241" s="3216" t="n"/>
      <c r="W241" s="3216" t="n"/>
      <c r="X241" s="3216" t="n"/>
      <c r="Y241" s="3216" t="n"/>
      <c r="Z241" s="3216" t="n"/>
      <c r="AA241" s="3216" t="n"/>
      <c r="AB241" s="3216" t="n"/>
      <c r="AC241" s="3216" t="n"/>
      <c r="AD241" s="3216" t="n"/>
    </row>
    <row r="242" ht="18" customHeight="1" s="7635">
      <c r="S242" s="9123" t="n"/>
      <c r="T242" s="9123" t="n"/>
      <c r="U242" s="688" t="n"/>
      <c r="V242" s="3216" t="n"/>
      <c r="W242" s="3216" t="n"/>
      <c r="X242" s="3216" t="n"/>
      <c r="Y242" s="3216" t="n"/>
      <c r="Z242" s="3216" t="n"/>
      <c r="AA242" s="3216" t="n"/>
      <c r="AB242" s="3216" t="n"/>
      <c r="AC242" s="3216" t="n"/>
      <c r="AD242" s="3216" t="n"/>
    </row>
    <row r="243" ht="18" customHeight="1" s="7635">
      <c r="S243" s="9123" t="n"/>
      <c r="T243" s="9123" t="n"/>
      <c r="U243" s="688" t="n"/>
      <c r="V243" s="3216" t="n"/>
      <c r="W243" s="3216" t="n"/>
      <c r="X243" s="3216" t="n"/>
      <c r="Y243" s="3216" t="n"/>
      <c r="Z243" s="3216" t="n"/>
      <c r="AA243" s="3216" t="n"/>
      <c r="AB243" s="3216" t="n"/>
      <c r="AC243" s="3216" t="n"/>
      <c r="AD243" s="3216" t="n"/>
    </row>
    <row r="244" ht="18" customHeight="1" s="7635">
      <c r="S244" s="9123" t="n"/>
      <c r="T244" s="9123" t="n"/>
      <c r="U244" s="688" t="n"/>
      <c r="V244" s="3216" t="n"/>
      <c r="W244" s="3216" t="n"/>
      <c r="X244" s="3216" t="n"/>
      <c r="Y244" s="3216" t="n"/>
      <c r="Z244" s="3216" t="n"/>
      <c r="AA244" s="3216" t="n"/>
      <c r="AB244" s="3216" t="n"/>
      <c r="AC244" s="3216" t="n"/>
      <c r="AD244" s="3216" t="n"/>
    </row>
    <row r="245" ht="18" customHeight="1" s="7635">
      <c r="S245" s="9123" t="n"/>
      <c r="T245" s="9123" t="n"/>
      <c r="U245" s="688" t="n"/>
      <c r="V245" s="3216" t="n"/>
      <c r="W245" s="3216" t="n"/>
      <c r="X245" s="3216" t="n"/>
      <c r="Y245" s="3216" t="n"/>
      <c r="Z245" s="3216" t="n"/>
      <c r="AA245" s="3216" t="n"/>
      <c r="AB245" s="3216" t="n"/>
      <c r="AC245" s="3216" t="n"/>
      <c r="AD245" s="3216" t="n"/>
    </row>
    <row r="246" ht="18" customHeight="1" s="7635">
      <c r="S246" s="9123" t="n"/>
      <c r="T246" s="9123" t="n"/>
      <c r="U246" s="688" t="n"/>
      <c r="V246" s="3216" t="n"/>
      <c r="W246" s="3216" t="n"/>
      <c r="X246" s="3216" t="n"/>
      <c r="Y246" s="3216" t="n"/>
      <c r="Z246" s="3216" t="n"/>
      <c r="AA246" s="3216" t="n"/>
      <c r="AB246" s="3216" t="n"/>
      <c r="AC246" s="3216" t="n"/>
      <c r="AD246" s="3216" t="n"/>
    </row>
    <row r="247" ht="18" customHeight="1" s="7635">
      <c r="S247" s="9123" t="n"/>
      <c r="T247" s="9123" t="n"/>
      <c r="U247" s="688" t="n"/>
      <c r="V247" s="3216" t="n"/>
      <c r="W247" s="3216" t="n"/>
      <c r="X247" s="3216" t="n"/>
      <c r="Y247" s="3216" t="n"/>
      <c r="Z247" s="3216" t="n"/>
      <c r="AA247" s="3216" t="n"/>
      <c r="AB247" s="3216" t="n"/>
      <c r="AC247" s="3216" t="n"/>
      <c r="AD247" s="3216" t="n"/>
    </row>
    <row r="248" ht="18" customHeight="1" s="7635">
      <c r="S248" s="9123" t="n"/>
      <c r="T248" s="9123" t="n"/>
      <c r="U248" s="688" t="n"/>
      <c r="V248" s="3216" t="n"/>
      <c r="W248" s="3216" t="n"/>
      <c r="X248" s="3216" t="n"/>
      <c r="Y248" s="3216" t="n"/>
      <c r="Z248" s="3216" t="n"/>
      <c r="AA248" s="3216" t="n"/>
      <c r="AB248" s="3216" t="n"/>
      <c r="AC248" s="3216" t="n"/>
      <c r="AD248" s="3216" t="n"/>
    </row>
    <row r="249" ht="18" customHeight="1" s="7635">
      <c r="S249" s="9123" t="n"/>
      <c r="T249" s="9123" t="n"/>
      <c r="U249" s="688" t="n"/>
      <c r="V249" s="3216" t="n"/>
      <c r="W249" s="3216" t="n"/>
      <c r="X249" s="3216" t="n"/>
      <c r="Y249" s="3216" t="n"/>
      <c r="Z249" s="3216" t="n"/>
      <c r="AA249" s="3216" t="n"/>
      <c r="AB249" s="3216" t="n"/>
      <c r="AC249" s="3216" t="n"/>
      <c r="AD249" s="3216" t="n"/>
    </row>
    <row r="250" ht="18" customHeight="1" s="7635">
      <c r="S250" s="9123" t="n"/>
      <c r="T250" s="9123" t="n"/>
      <c r="U250" s="688" t="n"/>
      <c r="V250" s="3216" t="n"/>
      <c r="W250" s="3216" t="n"/>
      <c r="X250" s="3216" t="n"/>
      <c r="Y250" s="3216" t="n"/>
      <c r="Z250" s="3216" t="n"/>
      <c r="AA250" s="3216" t="n"/>
      <c r="AB250" s="3216" t="n"/>
      <c r="AC250" s="3216" t="n"/>
      <c r="AD250" s="3216" t="n"/>
    </row>
    <row r="251" ht="18" customHeight="1" s="7635">
      <c r="S251" s="9123" t="n"/>
      <c r="T251" s="9123" t="n"/>
      <c r="U251" s="688" t="n"/>
      <c r="V251" s="3216" t="n"/>
      <c r="W251" s="3216" t="n"/>
      <c r="X251" s="3216" t="n"/>
      <c r="Y251" s="3216" t="n"/>
      <c r="Z251" s="3216" t="n"/>
      <c r="AA251" s="3216" t="n"/>
      <c r="AB251" s="3216" t="n"/>
      <c r="AC251" s="3216" t="n"/>
      <c r="AD251" s="3216" t="n"/>
    </row>
    <row r="252" ht="18" customHeight="1" s="7635">
      <c r="S252" s="9123" t="n"/>
      <c r="T252" s="9123" t="n"/>
      <c r="U252" s="688" t="n"/>
      <c r="V252" s="3216" t="n"/>
      <c r="W252" s="3216" t="n"/>
      <c r="X252" s="3216" t="n"/>
      <c r="Y252" s="3216" t="n"/>
      <c r="Z252" s="3216" t="n"/>
      <c r="AA252" s="3216" t="n"/>
      <c r="AB252" s="3216" t="n"/>
      <c r="AC252" s="3216" t="n"/>
      <c r="AD252" s="3216" t="n"/>
    </row>
    <row r="253" ht="18" customHeight="1" s="7635">
      <c r="S253" s="9123" t="n"/>
      <c r="T253" s="9123" t="n"/>
      <c r="U253" s="688" t="n"/>
      <c r="V253" s="3216" t="n"/>
      <c r="W253" s="3216" t="n"/>
      <c r="X253" s="3216" t="n"/>
      <c r="Y253" s="3216" t="n"/>
      <c r="Z253" s="3216" t="n"/>
      <c r="AA253" s="3216" t="n"/>
      <c r="AB253" s="3216" t="n"/>
      <c r="AC253" s="3216" t="n"/>
      <c r="AD253" s="3216" t="n"/>
    </row>
    <row r="254" ht="18" customHeight="1" s="7635">
      <c r="S254" s="9123" t="n"/>
      <c r="T254" s="9123" t="n"/>
      <c r="U254" s="688" t="n"/>
      <c r="V254" s="3216" t="n"/>
      <c r="W254" s="3216" t="n"/>
      <c r="X254" s="3216" t="n"/>
      <c r="Y254" s="3216" t="n"/>
      <c r="Z254" s="3216" t="n"/>
      <c r="AA254" s="3216" t="n"/>
      <c r="AB254" s="3216" t="n"/>
      <c r="AC254" s="3216" t="n"/>
      <c r="AD254" s="3216" t="n"/>
    </row>
    <row r="255" ht="18" customHeight="1" s="7635">
      <c r="S255" s="9123" t="n"/>
      <c r="T255" s="9123" t="n"/>
      <c r="U255" s="688" t="n"/>
      <c r="V255" s="3216" t="n"/>
      <c r="W255" s="3216" t="n"/>
      <c r="X255" s="3216" t="n"/>
      <c r="Y255" s="3216" t="n"/>
      <c r="Z255" s="3216" t="n"/>
      <c r="AA255" s="3216" t="n"/>
      <c r="AB255" s="3216" t="n"/>
      <c r="AC255" s="3216" t="n"/>
      <c r="AD255" s="3216" t="n"/>
    </row>
    <row r="256" ht="18" customHeight="1" s="7635">
      <c r="S256" s="9123" t="n"/>
      <c r="T256" s="9123" t="n"/>
      <c r="U256" s="688" t="n"/>
      <c r="V256" s="3216" t="n"/>
      <c r="W256" s="3216" t="n"/>
      <c r="X256" s="3216" t="n"/>
      <c r="Y256" s="3216" t="n"/>
      <c r="Z256" s="3216" t="n"/>
      <c r="AA256" s="3216" t="n"/>
      <c r="AB256" s="3216" t="n"/>
      <c r="AC256" s="3216" t="n"/>
      <c r="AD256" s="3216" t="n"/>
    </row>
    <row r="257" ht="18" customHeight="1" s="7635">
      <c r="S257" s="9123" t="n"/>
      <c r="T257" s="9123" t="n"/>
      <c r="U257" s="688" t="n"/>
      <c r="V257" s="3216" t="n"/>
      <c r="W257" s="3216" t="n"/>
      <c r="X257" s="3216" t="n"/>
      <c r="Y257" s="3216" t="n"/>
      <c r="Z257" s="3216" t="n"/>
      <c r="AA257" s="3216" t="n"/>
      <c r="AB257" s="3216" t="n"/>
      <c r="AC257" s="3216" t="n"/>
      <c r="AD257" s="3216" t="n"/>
    </row>
    <row r="258" ht="18" customHeight="1" s="7635">
      <c r="S258" s="9123" t="n"/>
      <c r="T258" s="9123" t="n"/>
      <c r="U258" s="688" t="n"/>
      <c r="V258" s="3216" t="n"/>
      <c r="W258" s="3216" t="n"/>
      <c r="X258" s="3216" t="n"/>
      <c r="Y258" s="3216" t="n"/>
      <c r="Z258" s="3216" t="n"/>
      <c r="AA258" s="3216" t="n"/>
      <c r="AB258" s="3216" t="n"/>
      <c r="AC258" s="3216" t="n"/>
      <c r="AD258" s="3216" t="n"/>
    </row>
    <row r="259" ht="18" customHeight="1" s="7635">
      <c r="S259" s="9123" t="n"/>
      <c r="T259" s="9123" t="n"/>
      <c r="U259" s="688" t="n"/>
      <c r="V259" s="3216" t="n"/>
      <c r="W259" s="3216" t="n"/>
      <c r="X259" s="3216" t="n"/>
      <c r="Y259" s="3216" t="n"/>
      <c r="Z259" s="3216" t="n"/>
      <c r="AA259" s="3216" t="n"/>
      <c r="AB259" s="3216" t="n"/>
      <c r="AC259" s="3216" t="n"/>
      <c r="AD259" s="3216" t="n"/>
    </row>
    <row r="260" ht="18" customHeight="1" s="7635">
      <c r="S260" s="9123" t="n"/>
      <c r="T260" s="9123" t="n"/>
      <c r="U260" s="688" t="n"/>
      <c r="V260" s="3216" t="n"/>
      <c r="W260" s="3216" t="n"/>
      <c r="X260" s="3216" t="n"/>
      <c r="Y260" s="3216" t="n"/>
      <c r="Z260" s="3216" t="n"/>
      <c r="AA260" s="3216" t="n"/>
      <c r="AB260" s="3216" t="n"/>
      <c r="AC260" s="3216" t="n"/>
      <c r="AD260" s="3216" t="n"/>
    </row>
    <row r="261" ht="18" customHeight="1" s="7635">
      <c r="S261" s="9123" t="n"/>
      <c r="T261" s="9123" t="n"/>
      <c r="U261" s="688" t="n"/>
      <c r="V261" s="3216" t="n"/>
      <c r="W261" s="3216" t="n"/>
      <c r="X261" s="3216" t="n"/>
      <c r="Y261" s="3216" t="n"/>
      <c r="Z261" s="3216" t="n"/>
      <c r="AA261" s="3216" t="n"/>
      <c r="AB261" s="3216" t="n"/>
      <c r="AC261" s="3216" t="n"/>
      <c r="AD261" s="3216" t="n"/>
    </row>
    <row r="262" ht="18" customHeight="1" s="7635">
      <c r="S262" s="9123" t="n"/>
      <c r="T262" s="9123" t="n"/>
      <c r="U262" s="688" t="n"/>
      <c r="V262" s="3216" t="n"/>
      <c r="W262" s="3216" t="n"/>
      <c r="X262" s="3216" t="n"/>
      <c r="Y262" s="3216" t="n"/>
      <c r="Z262" s="3216" t="n"/>
      <c r="AA262" s="3216" t="n"/>
      <c r="AB262" s="3216" t="n"/>
      <c r="AC262" s="3216" t="n"/>
      <c r="AD262" s="3216" t="n"/>
    </row>
    <row r="263" ht="18" customHeight="1" s="7635">
      <c r="S263" s="9123" t="n"/>
      <c r="T263" s="9123" t="n"/>
      <c r="U263" s="688" t="n"/>
      <c r="V263" s="3216" t="n"/>
      <c r="W263" s="3216" t="n"/>
      <c r="X263" s="3216" t="n"/>
      <c r="Y263" s="3216" t="n"/>
      <c r="Z263" s="3216" t="n"/>
      <c r="AA263" s="3216" t="n"/>
      <c r="AB263" s="3216" t="n"/>
      <c r="AC263" s="3216" t="n"/>
      <c r="AD263" s="3216" t="n"/>
    </row>
    <row r="264" ht="18" customHeight="1" s="7635">
      <c r="S264" s="9123" t="n"/>
      <c r="T264" s="9123" t="n"/>
      <c r="U264" s="688" t="n"/>
      <c r="V264" s="3216" t="n"/>
      <c r="W264" s="3216" t="n"/>
      <c r="X264" s="3216" t="n"/>
      <c r="Y264" s="3216" t="n"/>
      <c r="Z264" s="3216" t="n"/>
      <c r="AA264" s="3216" t="n"/>
      <c r="AB264" s="3216" t="n"/>
      <c r="AC264" s="3216" t="n"/>
      <c r="AD264" s="3216" t="n"/>
    </row>
    <row r="265">
      <c r="S265" s="9123" t="n"/>
      <c r="T265" s="9123" t="n"/>
      <c r="U265" s="688" t="n"/>
    </row>
    <row r="266">
      <c r="S266" s="9123" t="n"/>
      <c r="T266" s="9123" t="n"/>
      <c r="U266" s="688" t="n"/>
    </row>
    <row r="267">
      <c r="S267" s="9123" t="n"/>
      <c r="T267" s="9123" t="n"/>
      <c r="U267" s="688" t="n"/>
    </row>
    <row r="268">
      <c r="S268" s="9123" t="n"/>
      <c r="T268" s="9123" t="n"/>
      <c r="U268" s="688" t="n"/>
    </row>
    <row r="269">
      <c r="S269" s="9123" t="n"/>
      <c r="T269" s="9123" t="n"/>
      <c r="U269" s="688" t="n"/>
    </row>
    <row r="270">
      <c r="S270" s="9123" t="n"/>
      <c r="T270" s="9123" t="n"/>
      <c r="U270" s="688" t="n"/>
    </row>
    <row r="271">
      <c r="S271" s="9123" t="n"/>
      <c r="T271" s="9123" t="n"/>
      <c r="U271" s="688" t="n"/>
    </row>
    <row r="272">
      <c r="S272" s="9123" t="n"/>
      <c r="T272" s="9123" t="n"/>
      <c r="U272" s="688" t="n"/>
    </row>
  </sheetData>
  <sheetProtection selectLockedCells="0" selectUnlockedCells="0" algorithmName="SHA-512" sheet="1" objects="1" insertRows="1" insertHyperlinks="1" autoFilter="1" scenarios="1" formatColumns="0" deleteColumns="1" insertColumns="1" pivotTables="1" deleteRows="1" formatCells="0" saltValue="kKCHlWVDYTWs3Zgwd7q5qg==" formatRows="0" sort="1" spinCount="100000" hashValue="yVaQpKQivVEZkvYSXt5025d6VXmj56AyIrP29rjLi8mjERQzL6HFkjZT+I1ku+m1hG+8mKzdzhpAt2ONivkY8Q=="/>
  <mergeCells count="28">
    <mergeCell ref="C131:G131"/>
    <mergeCell ref="V78:AD78"/>
    <mergeCell ref="L5:M6"/>
    <mergeCell ref="L7:M7"/>
    <mergeCell ref="V77:AD77"/>
    <mergeCell ref="E7:K7"/>
    <mergeCell ref="B7:D8"/>
    <mergeCell ref="H18:K18"/>
    <mergeCell ref="B10:J10"/>
    <mergeCell ref="V72:W74"/>
    <mergeCell ref="Q38:R38"/>
    <mergeCell ref="W94:AA94"/>
    <mergeCell ref="C133:G133"/>
    <mergeCell ref="L8:M8"/>
    <mergeCell ref="C40:M40"/>
    <mergeCell ref="E5:K5"/>
    <mergeCell ref="E8:K8"/>
    <mergeCell ref="L4:M4"/>
    <mergeCell ref="K10:M10"/>
    <mergeCell ref="C11:M11"/>
    <mergeCell ref="C5:D6"/>
    <mergeCell ref="B5:B6"/>
    <mergeCell ref="X72:Z74"/>
    <mergeCell ref="V76:AD76"/>
    <mergeCell ref="K9:M9"/>
    <mergeCell ref="X97:Z97"/>
    <mergeCell ref="E6:K6"/>
    <mergeCell ref="V79:AD79"/>
  </mergeCells>
  <conditionalFormatting sqref="C76">
    <cfRule type="expression" priority="16" dxfId="0">
      <formula>AND(Form2555_Used,$O$75="")</formula>
    </cfRule>
  </conditionalFormatting>
  <conditionalFormatting sqref="E76">
    <cfRule type="expression" priority="22" dxfId="0">
      <formula>AND(Form2555_Used,$O$75="")</formula>
    </cfRule>
  </conditionalFormatting>
  <conditionalFormatting sqref="F39">
    <cfRule type="expression" priority="243" dxfId="1297" stopIfTrue="1">
      <formula>IF(File_Marr_Sep&lt;&gt;"",M38&gt;191000)</formula>
    </cfRule>
  </conditionalFormatting>
  <conditionalFormatting sqref="F94">
    <cfRule type="expression" priority="18" dxfId="0">
      <formula>AND(Form2555_Used,$O$75="")</formula>
    </cfRule>
  </conditionalFormatting>
  <conditionalFormatting sqref="F109">
    <cfRule type="expression" priority="17" dxfId="0">
      <formula>AND(Form2555_Used,$O$75="")</formula>
    </cfRule>
  </conditionalFormatting>
  <conditionalFormatting sqref="G22">
    <cfRule type="expression" priority="40" dxfId="158" stopIfTrue="1">
      <formula>IF(AND($M$22&lt;&gt;"",$M$22&gt;0),1,0)</formula>
    </cfRule>
  </conditionalFormatting>
  <conditionalFormatting sqref="H18">
    <cfRule type="expression" priority="32" dxfId="14" stopIfTrue="1">
      <formula>AND($M$18&lt;&gt;"",$M$18&gt;0)</formula>
    </cfRule>
  </conditionalFormatting>
  <conditionalFormatting sqref="H21">
    <cfRule type="expression" priority="6" dxfId="1264" stopIfTrue="1">
      <formula>$M$21&lt;0</formula>
    </cfRule>
  </conditionalFormatting>
  <conditionalFormatting sqref="I13:I14 J14:K14">
    <cfRule type="expression" priority="2" dxfId="158" stopIfTrue="1">
      <formula>AND($M$22&lt;&gt;"",$M$22&gt;0)</formula>
    </cfRule>
  </conditionalFormatting>
  <conditionalFormatting sqref="I21">
    <cfRule type="expression" priority="31" dxfId="1305" stopIfTrue="1">
      <formula>IF($M$21&lt;0,1,0)</formula>
    </cfRule>
  </conditionalFormatting>
  <conditionalFormatting sqref="I35">
    <cfRule type="expression" priority="254" dxfId="1299" stopIfTrue="1">
      <formula>IF(AND($M$35&lt;&gt;"",$M$35&lt;=0),1,0)</formula>
    </cfRule>
    <cfRule type="expression" priority="253" dxfId="1297" stopIfTrue="1">
      <formula>IF($M$35&gt;0,1,0)</formula>
    </cfRule>
  </conditionalFormatting>
  <conditionalFormatting sqref="J21:K21">
    <cfRule type="expression" priority="26" dxfId="1264" stopIfTrue="1">
      <formula>$M$21&lt;0</formula>
    </cfRule>
  </conditionalFormatting>
  <conditionalFormatting sqref="K13">
    <cfRule type="expression" priority="3" dxfId="6">
      <formula>NoColor</formula>
    </cfRule>
  </conditionalFormatting>
  <conditionalFormatting sqref="K22">
    <cfRule type="expression" priority="27" dxfId="158" stopIfTrue="1">
      <formula>AND($M$22&lt;&gt;"",$M$22&gt;0)</formula>
    </cfRule>
  </conditionalFormatting>
  <conditionalFormatting sqref="K35">
    <cfRule type="expression" priority="240" dxfId="1299" stopIfTrue="1">
      <formula>IF(AND($M$35&lt;&gt;"",$M$35&lt;=0),1,0)</formula>
    </cfRule>
    <cfRule type="expression" priority="239" dxfId="1297" stopIfTrue="1">
      <formula>IF($M$35&gt;0,1,0)</formula>
    </cfRule>
  </conditionalFormatting>
  <conditionalFormatting sqref="K47">
    <cfRule type="expression" priority="797" dxfId="1297" stopIfTrue="1">
      <formula>AltMinTaxInc-#REF!&lt;0</formula>
    </cfRule>
  </conditionalFormatting>
  <conditionalFormatting sqref="M17:M37">
    <cfRule type="expression" priority="14" dxfId="6">
      <formula>IF(NoColor,1,0)</formula>
    </cfRule>
  </conditionalFormatting>
  <conditionalFormatting sqref="M39">
    <cfRule type="expression" priority="9" dxfId="6">
      <formula>IF(NoColor,1,0)</formula>
    </cfRule>
  </conditionalFormatting>
  <conditionalFormatting sqref="M41:M48">
    <cfRule type="expression" priority="174" dxfId="6">
      <formula>IF(NoColor,1,0)</formula>
    </cfRule>
  </conditionalFormatting>
  <conditionalFormatting sqref="M53">
    <cfRule type="expression" priority="215" dxfId="6">
      <formula>IF(NoColor,1,0)</formula>
    </cfRule>
  </conditionalFormatting>
  <conditionalFormatting sqref="M57:M58">
    <cfRule type="expression" priority="214" dxfId="6">
      <formula>IF(NoColor,1,0)</formula>
    </cfRule>
  </conditionalFormatting>
  <conditionalFormatting sqref="M72">
    <cfRule type="expression" priority="212" dxfId="6">
      <formula>IF(NoColor,1,0)</formula>
    </cfRule>
  </conditionalFormatting>
  <conditionalFormatting sqref="M76">
    <cfRule type="expression" priority="166" dxfId="6">
      <formula>IF(NoColor,1,0)</formula>
    </cfRule>
  </conditionalFormatting>
  <conditionalFormatting sqref="M78">
    <cfRule type="expression" priority="165" dxfId="6">
      <formula>IF(NoColor,1,0)</formula>
    </cfRule>
  </conditionalFormatting>
  <conditionalFormatting sqref="M82:M84">
    <cfRule type="expression" priority="164" dxfId="6">
      <formula>IF(NoColor,1,0)</formula>
    </cfRule>
  </conditionalFormatting>
  <conditionalFormatting sqref="M86">
    <cfRule type="expression" priority="206" dxfId="6">
      <formula>IF(NoColor,1,0)</formula>
    </cfRule>
  </conditionalFormatting>
  <conditionalFormatting sqref="M89">
    <cfRule type="expression" priority="163" dxfId="6">
      <formula>IF(NoColor,1,0)</formula>
    </cfRule>
  </conditionalFormatting>
  <conditionalFormatting sqref="M94:M98">
    <cfRule type="expression" priority="169" dxfId="6">
      <formula>IF(NoColor,1,0)</formula>
    </cfRule>
  </conditionalFormatting>
  <conditionalFormatting sqref="M102">
    <cfRule type="expression" priority="122" dxfId="6">
      <formula>IF(NoColor,1,0)</formula>
    </cfRule>
  </conditionalFormatting>
  <conditionalFormatting sqref="M104">
    <cfRule type="expression" priority="167" dxfId="6">
      <formula>IF(NoColor,1,0)</formula>
    </cfRule>
  </conditionalFormatting>
  <conditionalFormatting sqref="M109:M114">
    <cfRule type="expression" priority="36" dxfId="6">
      <formula>IF(NoColor,1,0)</formula>
    </cfRule>
  </conditionalFormatting>
  <conditionalFormatting sqref="M116:M117">
    <cfRule type="expression" priority="37" dxfId="6">
      <formula>IF(NoColor,1,0)</formula>
    </cfRule>
  </conditionalFormatting>
  <conditionalFormatting sqref="M119:M122">
    <cfRule type="expression" priority="160" dxfId="6">
      <formula>IF(NoColor,1,0)</formula>
    </cfRule>
  </conditionalFormatting>
  <conditionalFormatting sqref="M124">
    <cfRule type="expression" priority="195" dxfId="6">
      <formula>IF(NoColor,1,0)</formula>
    </cfRule>
  </conditionalFormatting>
  <conditionalFormatting sqref="M126">
    <cfRule type="expression" priority="194" dxfId="6">
      <formula>IF(NoColor,1,0)</formula>
    </cfRule>
  </conditionalFormatting>
  <conditionalFormatting sqref="O2">
    <cfRule type="expression" priority="4673" dxfId="146">
      <formula>OR(O2&lt;&gt;"",NOT(P1))</formula>
    </cfRule>
  </conditionalFormatting>
  <conditionalFormatting sqref="O54">
    <cfRule type="expression" priority="45" dxfId="4">
      <formula>IF(AND($M$57&gt;0,AMT&gt;0),1,0)</formula>
    </cfRule>
  </conditionalFormatting>
  <conditionalFormatting sqref="O75">
    <cfRule type="expression" priority="21" dxfId="4">
      <formula>Form2555_Used</formula>
    </cfRule>
  </conditionalFormatting>
  <conditionalFormatting sqref="P24">
    <cfRule type="expression" priority="10" dxfId="1273">
      <formula>$R$39</formula>
    </cfRule>
  </conditionalFormatting>
  <conditionalFormatting sqref="P25:P37">
    <cfRule type="expression" priority="13" dxfId="41">
      <formula>$R$39</formula>
    </cfRule>
  </conditionalFormatting>
  <conditionalFormatting sqref="P38">
    <cfRule type="expression" priority="11" dxfId="41">
      <formula>IF(File_Mar_Sep&lt;&gt;"",1,0)</formula>
    </cfRule>
  </conditionalFormatting>
  <conditionalFormatting sqref="P61">
    <cfRule type="expression" priority="1" dxfId="40">
      <formula>$P$62&gt;0</formula>
    </cfRule>
  </conditionalFormatting>
  <conditionalFormatting sqref="P75">
    <cfRule type="expression" priority="20" dxfId="6">
      <formula>Form2555_Used</formula>
    </cfRule>
  </conditionalFormatting>
  <conditionalFormatting sqref="P38:Q38">
    <cfRule type="expression" priority="12" dxfId="41">
      <formula>IF(File_Marr_Sep&lt;&gt;"",1,0)</formula>
    </cfRule>
  </conditionalFormatting>
  <conditionalFormatting sqref="Q70">
    <cfRule type="expression" priority="23" dxfId="1267">
      <formula>OR(NOT($P$1),$R$54)</formula>
    </cfRule>
  </conditionalFormatting>
  <conditionalFormatting sqref="S17">
    <cfRule type="expression" priority="190" dxfId="4">
      <formula>IF(AND(P16&lt;&gt;"",you_over_64="",sp_over_64=""),1,0)</formula>
    </cfRule>
  </conditionalFormatting>
  <conditionalFormatting sqref="V72 X72 AA72:AD74">
    <cfRule type="expression" priority="79" dxfId="6">
      <formula>IF(NoColor,1,0)</formula>
    </cfRule>
  </conditionalFormatting>
  <conditionalFormatting sqref="V78:V79">
    <cfRule type="expression" priority="94" dxfId="1264" stopIfTrue="1">
      <formula>$AH$90</formula>
    </cfRule>
  </conditionalFormatting>
  <conditionalFormatting sqref="V100">
    <cfRule type="expression" priority="89" dxfId="158">
      <formula>IF($AQ$81,1,0)</formula>
    </cfRule>
  </conditionalFormatting>
  <conditionalFormatting sqref="V97:X97">
    <cfRule type="expression" priority="30" dxfId="6">
      <formula>IF(NoColor,1,0)</formula>
    </cfRule>
  </conditionalFormatting>
  <conditionalFormatting sqref="B10:M10 M15 M63:M64 S5:AF68 V75:AD95">
    <cfRule type="expression" priority="223" dxfId="6">
      <formula>NoColor</formula>
    </cfRule>
  </conditionalFormatting>
  <conditionalFormatting sqref="V76:AD76">
    <cfRule type="expression" priority="8" dxfId="14">
      <formula>AH90</formula>
    </cfRule>
  </conditionalFormatting>
  <conditionalFormatting sqref="V77:AD77">
    <cfRule type="expression" priority="29" dxfId="14">
      <formula>$AH$90</formula>
    </cfRule>
  </conditionalFormatting>
  <conditionalFormatting sqref="W33:W34">
    <cfRule type="expression" priority="34" dxfId="40">
      <formula>IF($U$33="X",1,0)</formula>
    </cfRule>
  </conditionalFormatting>
  <conditionalFormatting sqref="W34">
    <cfRule type="expression" priority="35" dxfId="40">
      <formula>IF(U34="X",1,0)</formula>
    </cfRule>
  </conditionalFormatting>
  <conditionalFormatting sqref="W75">
    <cfRule type="expression" priority="7" dxfId="14">
      <formula>AH90</formula>
    </cfRule>
  </conditionalFormatting>
  <conditionalFormatting sqref="Z92:Z93">
    <cfRule type="expression" priority="92" dxfId="1255" stopIfTrue="1">
      <formula>IF($O$42&lt;&gt;"",1,0)</formula>
    </cfRule>
  </conditionalFormatting>
  <conditionalFormatting sqref="V98:AD123 AA97:AD97">
    <cfRule type="expression" priority="78" dxfId="6">
      <formula>IF(NoColor,1,0)</formula>
    </cfRule>
  </conditionalFormatting>
  <hyperlinks>
    <hyperlink xmlns:r="http://schemas.openxmlformats.org/officeDocument/2006/relationships" ref="AC71" r:id="rId1"/>
    <hyperlink xmlns:r="http://schemas.openxmlformats.org/officeDocument/2006/relationships" ref="C131" display="Download Form 6251" r:id="rId2"/>
    <hyperlink xmlns:r="http://schemas.openxmlformats.org/officeDocument/2006/relationships" ref="C133" display="Download Form 6251 Instructions" r:id="rId3"/>
  </hyperlinks>
  <pageMargins left="0.75" right="0.25" top="0.36" bottom="0.29" header="0.36" footer="0.21"/>
  <pageSetup orientation="portrait" scale="82" fitToHeight="0"/>
  <rowBreaks count="2" manualBreakCount="2">
    <brk id="66" min="1" max="12" man="1"/>
    <brk id="127" min="1" max="12" man="1"/>
  </rowBreaks>
  <drawing xmlns:r="http://schemas.openxmlformats.org/officeDocument/2006/relationships" r:id="rId4"/>
</worksheet>
</file>

<file path=xl/worksheets/sheet46.xml><?xml version="1.0" encoding="utf-8"?>
<worksheet xmlns="http://schemas.openxmlformats.org/spreadsheetml/2006/main">
  <sheetPr>
    <outlinePr summaryBelow="1" summaryRight="1"/>
    <pageSetUpPr fitToPage="1"/>
  </sheetPr>
  <dimension ref="A1:BO133"/>
  <sheetViews>
    <sheetView zoomScaleNormal="100" zoomScaleSheetLayoutView="100" workbookViewId="0">
      <selection activeCell="A1" sqref="A1"/>
    </sheetView>
  </sheetViews>
  <sheetFormatPr baseColWidth="8" defaultColWidth="9.140625" defaultRowHeight="12.75"/>
  <cols>
    <col width="2.7109375" customWidth="1" style="1682" min="1" max="1"/>
    <col width="3.42578125" customWidth="1" style="1682" min="2" max="12"/>
    <col width="2.7109375" customWidth="1" style="1682" min="13" max="29"/>
    <col width="3.42578125" customWidth="1" style="1682" min="30" max="36"/>
    <col width="6.140625" customWidth="1" style="1682" min="37" max="37"/>
    <col width="3.42578125" customWidth="1" style="1682" min="38" max="55"/>
    <col width="9.140625" customWidth="1" style="1783" min="56" max="66"/>
    <col width="9.140625" customWidth="1" style="1682" min="67" max="16384"/>
  </cols>
  <sheetData>
    <row r="1" ht="15" customHeight="1" s="7635">
      <c r="A1" s="1681" t="n"/>
      <c r="B1" s="1681" t="n"/>
      <c r="C1" s="1681" t="n"/>
      <c r="D1" s="1681" t="n"/>
      <c r="E1" s="1681" t="n"/>
      <c r="F1" s="1681" t="n"/>
      <c r="G1" s="1681" t="n"/>
      <c r="H1" s="1681" t="n"/>
      <c r="I1" s="1681" t="n"/>
      <c r="J1" s="1681" t="n"/>
      <c r="K1" s="1681" t="n"/>
      <c r="L1" s="1681" t="n"/>
      <c r="M1" s="1681" t="n"/>
      <c r="N1" s="1681" t="n"/>
      <c r="O1" s="1681" t="n"/>
      <c r="P1" s="1681" t="n"/>
      <c r="Q1" s="1681" t="n"/>
      <c r="R1" s="1681" t="n"/>
      <c r="S1" s="1681" t="n"/>
      <c r="T1" s="1681" t="n"/>
      <c r="U1" s="1681" t="n"/>
      <c r="V1" s="1681" t="n"/>
      <c r="W1" s="1681" t="n"/>
      <c r="X1" s="1681" t="n"/>
      <c r="Y1" s="1681" t="n"/>
      <c r="Z1" s="1681" t="n"/>
      <c r="AA1" s="1681" t="n"/>
      <c r="AB1" s="1681" t="n"/>
      <c r="AC1" s="1681" t="n"/>
      <c r="AD1" s="1681" t="n"/>
      <c r="AE1" s="1681" t="n"/>
      <c r="AF1" s="1681" t="n"/>
      <c r="AG1" s="1681" t="n"/>
      <c r="AH1" s="1681" t="n"/>
      <c r="AI1" s="1681" t="n"/>
      <c r="AJ1" s="1681" t="n"/>
      <c r="AK1" s="1681" t="n"/>
      <c r="AL1" s="1681" t="n"/>
      <c r="AM1" s="1681" t="n"/>
      <c r="AN1" s="1681" t="n"/>
      <c r="AO1" s="1681" t="n"/>
      <c r="AP1" s="1681" t="n"/>
      <c r="BD1" s="1683" t="inlineStr">
        <is>
          <t>Notes</t>
        </is>
      </c>
      <c r="BE1" s="1684" t="n"/>
      <c r="BF1" s="1684" t="n"/>
      <c r="BG1" s="1684" t="n"/>
      <c r="BH1" s="1684" t="n"/>
      <c r="BI1" s="1684" t="n"/>
      <c r="BJ1" s="1684" t="n"/>
      <c r="BK1" s="1684" t="n"/>
      <c r="BL1" s="1684" t="n"/>
      <c r="BM1" s="1684" t="n"/>
      <c r="BN1" s="1684" t="n"/>
    </row>
    <row r="2">
      <c r="A2" s="1681" t="n"/>
      <c r="B2" s="475" t="n"/>
      <c r="C2" s="475" t="n"/>
      <c r="D2" s="475" t="n"/>
      <c r="E2" s="475" t="n"/>
      <c r="F2" s="475" t="n"/>
      <c r="G2" s="475" t="n"/>
      <c r="H2" s="475" t="n"/>
      <c r="I2" s="475" t="n"/>
      <c r="J2" s="475" t="n"/>
      <c r="K2" s="475" t="n"/>
      <c r="L2" s="475" t="n"/>
      <c r="M2" s="475" t="n"/>
      <c r="N2" s="475" t="n"/>
      <c r="O2" s="475" t="n"/>
      <c r="P2" s="475" t="n"/>
      <c r="Q2" s="475" t="n"/>
      <c r="R2" s="475" t="n"/>
      <c r="S2" s="475" t="n"/>
      <c r="T2" s="475" t="n"/>
      <c r="U2" s="475" t="n"/>
      <c r="V2" s="475" t="n"/>
      <c r="W2" s="475" t="n"/>
      <c r="X2" s="475" t="n"/>
      <c r="Y2" s="475" t="n"/>
      <c r="Z2" s="475" t="n"/>
      <c r="AA2" s="475" t="n"/>
      <c r="AB2" s="475" t="n"/>
      <c r="AC2" s="475" t="n"/>
      <c r="AD2" s="475" t="n"/>
      <c r="AE2" s="475" t="n"/>
      <c r="AF2" s="475" t="n"/>
      <c r="AG2" s="475" t="n"/>
      <c r="AH2" s="475" t="n"/>
      <c r="AI2" s="475" t="n"/>
      <c r="AJ2" s="475" t="n"/>
      <c r="AK2" s="475" t="n"/>
      <c r="AL2" s="475" t="n"/>
      <c r="AM2" s="475" t="n"/>
      <c r="AN2" s="475" t="n"/>
      <c r="AO2" s="475" t="n"/>
      <c r="AP2" s="1681" t="n"/>
      <c r="BD2" s="1684" t="n"/>
      <c r="BE2" s="1684" t="n"/>
      <c r="BF2" s="1684" t="n"/>
      <c r="BG2" s="1684" t="n"/>
      <c r="BH2" s="1684" t="n"/>
      <c r="BI2" s="1684" t="n"/>
      <c r="BJ2" s="1684" t="n"/>
      <c r="BK2" s="1684" t="n"/>
      <c r="BL2" s="1684" t="n"/>
      <c r="BM2" s="1684" t="n"/>
      <c r="BN2" s="1684" t="n"/>
    </row>
    <row r="3" ht="27.75" customHeight="1" s="7635">
      <c r="A3" s="1681" t="n"/>
      <c r="B3" s="475" t="inlineStr">
        <is>
          <t>Form 8283</t>
        </is>
      </c>
      <c r="C3" s="475" t="n"/>
      <c r="D3" s="475" t="n"/>
      <c r="E3" s="475" t="n"/>
      <c r="F3" s="475" t="n"/>
      <c r="G3" s="475" t="n"/>
      <c r="H3" s="474" t="n"/>
      <c r="I3" s="475" t="n"/>
      <c r="J3" s="475" t="n"/>
      <c r="K3" s="475" t="n"/>
      <c r="L3" s="475" t="n"/>
      <c r="M3" s="1685" t="inlineStr">
        <is>
          <t>Noncash Charitable Contributions</t>
        </is>
      </c>
      <c r="N3" s="475" t="n"/>
      <c r="O3" s="475" t="n"/>
      <c r="P3" s="475" t="n"/>
      <c r="Q3" s="475" t="n"/>
      <c r="R3" s="475" t="n"/>
      <c r="S3" s="475" t="n"/>
      <c r="T3" s="475" t="n"/>
      <c r="U3" s="475" t="n"/>
      <c r="V3" s="475" t="n"/>
      <c r="W3" s="475" t="n"/>
      <c r="X3" s="475" t="n"/>
      <c r="Y3" s="475" t="n"/>
      <c r="Z3" s="475" t="n"/>
      <c r="AA3" s="475" t="n"/>
      <c r="AB3" s="475" t="n"/>
      <c r="AC3" s="475" t="n"/>
      <c r="AD3" s="475" t="n"/>
      <c r="AE3" s="475" t="n"/>
      <c r="AF3" s="475" t="n"/>
      <c r="AG3" s="475" t="n"/>
      <c r="AH3" s="475" t="n"/>
      <c r="AI3" s="10529" t="inlineStr">
        <is>
          <t>OMB No. 1545-0074</t>
        </is>
      </c>
      <c r="AJ3" s="645" t="n"/>
      <c r="AK3" s="645" t="n"/>
      <c r="AL3" s="645" t="n"/>
      <c r="AM3" s="645" t="n"/>
      <c r="AN3" s="645" t="n"/>
      <c r="AO3" s="645" t="n"/>
      <c r="AP3" s="1681" t="n"/>
      <c r="BD3" s="1684" t="n"/>
      <c r="BE3" s="1684" t="n"/>
      <c r="BF3" s="1684" t="n"/>
      <c r="BG3" s="1684" t="n"/>
      <c r="BH3" s="1684" t="n"/>
      <c r="BI3" s="1684" t="n"/>
      <c r="BJ3" s="1684" t="n"/>
      <c r="BK3" s="1684" t="n"/>
      <c r="BL3" s="1684" t="n"/>
      <c r="BM3" s="1684" t="n"/>
      <c r="BN3" s="1684" t="n"/>
    </row>
    <row r="4">
      <c r="A4" s="1681" t="n"/>
      <c r="B4" s="1686" t="inlineStr">
        <is>
          <t>(Rev. November 2022)</t>
        </is>
      </c>
      <c r="C4" s="475" t="n"/>
      <c r="D4" s="475" t="n"/>
      <c r="E4" s="475" t="n"/>
      <c r="F4" s="475" t="n"/>
      <c r="G4" s="475" t="n"/>
      <c r="H4" s="12580" t="inlineStr">
        <is>
          <t>Attach one or more Forms 8283 to your tax return if you claimed a total deduction</t>
        </is>
      </c>
      <c r="I4" s="26" t="n"/>
      <c r="J4" s="26" t="n"/>
      <c r="K4" s="26" t="n"/>
      <c r="L4" s="26" t="n"/>
      <c r="M4" s="26" t="n"/>
      <c r="N4" s="26" t="n"/>
      <c r="O4" s="26" t="n"/>
      <c r="P4" s="26" t="n"/>
      <c r="Q4" s="26" t="n"/>
      <c r="R4" s="26" t="n"/>
      <c r="S4" s="26" t="n"/>
      <c r="T4" s="26" t="n"/>
      <c r="U4" s="26" t="n"/>
      <c r="V4" s="26" t="n"/>
      <c r="W4" s="26" t="n"/>
      <c r="X4" s="26" t="n"/>
      <c r="Y4" s="26" t="n"/>
      <c r="Z4" s="26" t="n"/>
      <c r="AA4" s="26" t="n"/>
      <c r="AB4" s="26" t="n"/>
      <c r="AC4" s="26" t="n"/>
      <c r="AD4" s="26" t="n"/>
      <c r="AE4" s="26" t="n"/>
      <c r="AF4" s="26" t="n"/>
      <c r="AG4" s="26" t="n"/>
      <c r="AH4" s="11837" t="n"/>
      <c r="AI4" s="12581" t="inlineStr">
        <is>
          <t>Attachment 
Sequence No.</t>
        </is>
      </c>
      <c r="AJ4" s="12051" t="n"/>
      <c r="AK4" s="12051" t="n"/>
      <c r="AL4" s="12051" t="n"/>
      <c r="AM4" s="12051" t="n"/>
      <c r="AN4" s="12582" t="n">
        <v>155</v>
      </c>
      <c r="AO4" s="12051" t="n"/>
      <c r="AP4" s="1681" t="n"/>
      <c r="BD4" s="1684" t="n"/>
      <c r="BE4" s="1684" t="n"/>
      <c r="BF4" s="1684" t="n"/>
      <c r="BG4" s="1684" t="n"/>
      <c r="BH4" s="1684" t="n"/>
      <c r="BI4" s="1684" t="n"/>
      <c r="BJ4" s="1684" t="n"/>
      <c r="BK4" s="1684" t="n"/>
      <c r="BL4" s="1684" t="n"/>
      <c r="BM4" s="1684" t="n"/>
      <c r="BN4" s="1684" t="n"/>
    </row>
    <row r="5">
      <c r="A5" s="1681" t="n"/>
      <c r="B5" s="12583" t="inlineStr">
        <is>
          <t>Department of the Treasury Internal Revenue Service</t>
        </is>
      </c>
      <c r="C5" s="26" t="n"/>
      <c r="D5" s="26" t="n"/>
      <c r="E5" s="26" t="n"/>
      <c r="F5" s="26" t="n"/>
      <c r="G5" s="11837" t="n"/>
      <c r="H5" s="474" t="n"/>
      <c r="I5" s="475" t="n"/>
      <c r="J5" s="475" t="n"/>
      <c r="K5" s="475" t="n"/>
      <c r="L5" s="475" t="n"/>
      <c r="M5" s="475" t="n"/>
      <c r="N5" s="475" t="n"/>
      <c r="O5" s="475" t="inlineStr">
        <is>
          <t>of over $500 for all contributed property.</t>
        </is>
      </c>
      <c r="P5" s="475" t="n"/>
      <c r="Q5" s="475" t="n"/>
      <c r="R5" s="475" t="n"/>
      <c r="S5" s="475" t="n"/>
      <c r="T5" s="475" t="n"/>
      <c r="U5" s="475" t="n"/>
      <c r="V5" s="475" t="n"/>
      <c r="W5" s="475" t="n"/>
      <c r="X5" s="475" t="n"/>
      <c r="Y5" s="475" t="n"/>
      <c r="Z5" s="475" t="n"/>
      <c r="AA5" s="475" t="n"/>
      <c r="AB5" s="475" t="n"/>
      <c r="AC5" s="475" t="n"/>
      <c r="AD5" s="475" t="n"/>
      <c r="AE5" s="475" t="n"/>
      <c r="AF5" s="475" t="n"/>
      <c r="AG5" s="475" t="n"/>
      <c r="AH5" s="475" t="n"/>
      <c r="AI5" s="11836" t="n"/>
      <c r="AJ5" s="26" t="n"/>
      <c r="AK5" s="26" t="n"/>
      <c r="AL5" s="26" t="n"/>
      <c r="AM5" s="26" t="n"/>
      <c r="AN5" s="26" t="n"/>
      <c r="AO5" s="26" t="n"/>
      <c r="AP5" s="1681" t="n"/>
      <c r="BD5" s="1684" t="n"/>
      <c r="BE5" s="1684" t="n"/>
      <c r="BF5" s="1684" t="n"/>
      <c r="BG5" s="1684" t="n"/>
      <c r="BH5" s="1684" t="n"/>
      <c r="BI5" s="1684" t="n"/>
      <c r="BJ5" s="1684" t="n"/>
      <c r="BK5" s="1684" t="n"/>
      <c r="BL5" s="1684" t="n"/>
      <c r="BM5" s="1684" t="n"/>
      <c r="BN5" s="1684" t="n"/>
    </row>
    <row r="6" ht="13.5" customHeight="1" s="7635" thickBot="1">
      <c r="A6" s="1681" t="n"/>
      <c r="B6" s="11839" t="n"/>
      <c r="C6" s="11839" t="n"/>
      <c r="D6" s="11839" t="n"/>
      <c r="E6" s="11839" t="n"/>
      <c r="F6" s="11839" t="n"/>
      <c r="G6" s="11840" t="n"/>
      <c r="H6" s="1687" t="n"/>
      <c r="I6" s="1037" t="n"/>
      <c r="J6" s="1037" t="n"/>
      <c r="K6" s="1037" t="n"/>
      <c r="L6" s="1037" t="n"/>
      <c r="M6" s="1037" t="n"/>
      <c r="N6" s="1037" t="n"/>
      <c r="O6" s="1037" t="n"/>
      <c r="P6" s="1037" t="n"/>
      <c r="Q6" s="1037" t="n"/>
      <c r="R6" s="1037" t="n"/>
      <c r="S6" s="1037" t="n"/>
      <c r="T6" s="477" t="inlineStr">
        <is>
          <t>Go to www.irs.gov/Form8283 for instructions and the latest information.</t>
        </is>
      </c>
      <c r="U6" s="1037" t="n"/>
      <c r="V6" s="1037" t="n"/>
      <c r="W6" s="1037" t="n"/>
      <c r="X6" s="1037" t="n"/>
      <c r="Y6" s="1037" t="n"/>
      <c r="Z6" s="1037" t="n"/>
      <c r="AA6" s="1037" t="n"/>
      <c r="AB6" s="1037" t="n"/>
      <c r="AC6" s="1037" t="n"/>
      <c r="AD6" s="1037" t="n"/>
      <c r="AE6" s="1037" t="n"/>
      <c r="AF6" s="1037" t="n"/>
      <c r="AG6" s="1037" t="n"/>
      <c r="AH6" s="1037" t="n"/>
      <c r="AI6" s="11838" t="n"/>
      <c r="AJ6" s="11839" t="n"/>
      <c r="AK6" s="11839" t="n"/>
      <c r="AL6" s="11839" t="n"/>
      <c r="AM6" s="11839" t="n"/>
      <c r="AN6" s="11839" t="n"/>
      <c r="AO6" s="11839" t="n"/>
      <c r="AP6" s="1681" t="n"/>
      <c r="BD6" s="1684" t="n"/>
      <c r="BE6" s="1684" t="n"/>
      <c r="BF6" s="1684" t="n"/>
      <c r="BG6" s="1684" t="n"/>
      <c r="BH6" s="1684" t="n"/>
      <c r="BI6" s="1684" t="n"/>
      <c r="BJ6" s="1684" t="n"/>
      <c r="BK6" s="1684" t="n"/>
      <c r="BL6" s="1684" t="n"/>
      <c r="BM6" s="1684" t="n"/>
      <c r="BN6" s="1684" t="n"/>
    </row>
    <row r="7">
      <c r="A7" s="1681" t="n"/>
      <c r="B7" s="475" t="inlineStr">
        <is>
          <t>Name(s) shown on your income tax return</t>
        </is>
      </c>
      <c r="C7" s="475" t="n"/>
      <c r="D7" s="475" t="n"/>
      <c r="E7" s="475" t="n"/>
      <c r="F7" s="475" t="n"/>
      <c r="G7" s="475" t="n"/>
      <c r="H7" s="475" t="n"/>
      <c r="I7" s="475" t="n"/>
      <c r="J7" s="475" t="n"/>
      <c r="K7" s="475" t="n"/>
      <c r="L7" s="475" t="n"/>
      <c r="M7" s="475" t="n"/>
      <c r="N7" s="475" t="n"/>
      <c r="O7" s="475" t="n"/>
      <c r="P7" s="475" t="n"/>
      <c r="Q7" s="475" t="n"/>
      <c r="R7" s="475" t="n"/>
      <c r="S7" s="475" t="n"/>
      <c r="T7" s="475" t="n"/>
      <c r="U7" s="475" t="n"/>
      <c r="V7" s="475" t="n"/>
      <c r="W7" s="475" t="n"/>
      <c r="X7" s="475" t="n"/>
      <c r="Y7" s="475" t="n"/>
      <c r="Z7" s="475" t="n"/>
      <c r="AA7" s="475" t="n"/>
      <c r="AB7" s="475" t="n"/>
      <c r="AC7" s="475" t="n"/>
      <c r="AD7" s="475" t="n"/>
      <c r="AE7" s="475" t="n"/>
      <c r="AF7" s="475" t="n"/>
      <c r="AG7" s="475" t="n"/>
      <c r="AH7" s="475" t="n"/>
      <c r="AI7" s="1688" t="inlineStr">
        <is>
          <t>Identifying number</t>
        </is>
      </c>
      <c r="AJ7" s="1228" t="n"/>
      <c r="AK7" s="1228" t="n"/>
      <c r="AL7" s="1228" t="n"/>
      <c r="AM7" s="1228" t="n"/>
      <c r="AN7" s="1228" t="n"/>
      <c r="AO7" s="1228" t="n"/>
      <c r="AP7" s="1681" t="n"/>
      <c r="BD7" s="1684" t="n"/>
      <c r="BE7" s="1684" t="n"/>
      <c r="BF7" s="1684" t="n"/>
      <c r="BG7" s="1684" t="n"/>
      <c r="BH7" s="1684" t="n"/>
      <c r="BI7" s="1684" t="n"/>
      <c r="BJ7" s="1684" t="n"/>
      <c r="BK7" s="1684" t="n"/>
      <c r="BL7" s="1684" t="n"/>
      <c r="BM7" s="1684" t="n"/>
      <c r="BN7" s="1684" t="n"/>
    </row>
    <row r="8" ht="9.75" customHeight="1" s="7635">
      <c r="A8" s="1681" t="n"/>
      <c r="B8" s="10401">
        <f>Names</f>
        <v/>
      </c>
      <c r="C8" s="26" t="n"/>
      <c r="D8" s="26" t="n"/>
      <c r="E8" s="26" t="n"/>
      <c r="F8" s="26" t="n"/>
      <c r="G8" s="26" t="n"/>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c r="AD8" s="26" t="n"/>
      <c r="AE8" s="26" t="n"/>
      <c r="AF8" s="26" t="n"/>
      <c r="AG8" s="26" t="n"/>
      <c r="AH8" s="26" t="n"/>
      <c r="AI8" s="10407" t="n"/>
      <c r="AJ8" s="194" t="n"/>
      <c r="AK8" s="194" t="n"/>
      <c r="AL8" s="194" t="n"/>
      <c r="AM8" s="194" t="n"/>
      <c r="AN8" s="194" t="n"/>
      <c r="AO8" s="194" t="n"/>
      <c r="AP8" s="1681" t="n"/>
      <c r="BD8" s="1684" t="n"/>
      <c r="BE8" s="1684" t="n"/>
      <c r="BF8" s="1684" t="n"/>
      <c r="BG8" s="1684" t="n"/>
      <c r="BH8" s="1684" t="n"/>
      <c r="BI8" s="1684" t="n"/>
      <c r="BJ8" s="1684" t="n"/>
      <c r="BK8" s="1684" t="n"/>
      <c r="BL8" s="1684" t="n"/>
      <c r="BM8" s="1684" t="n"/>
      <c r="BN8" s="1684" t="n"/>
    </row>
    <row r="9" ht="9.75" customHeight="1" s="7635">
      <c r="A9" s="1681" t="n"/>
      <c r="B9" s="26" t="n"/>
      <c r="C9" s="26" t="n"/>
      <c r="D9" s="26" t="n"/>
      <c r="E9" s="26" t="n"/>
      <c r="F9" s="26" t="n"/>
      <c r="G9" s="26" t="n"/>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c r="AD9" s="26" t="n"/>
      <c r="AE9" s="26" t="n"/>
      <c r="AF9" s="26" t="n"/>
      <c r="AG9" s="26" t="n"/>
      <c r="AH9" s="26" t="n"/>
      <c r="AI9" s="12584" t="n"/>
      <c r="AJ9" s="11717" t="n"/>
      <c r="AK9" s="11717" t="n"/>
      <c r="AL9" s="11717" t="n"/>
      <c r="AM9" s="11717" t="n"/>
      <c r="AN9" s="11717" t="n"/>
      <c r="AO9" s="11717" t="n"/>
      <c r="AP9" s="1681" t="n"/>
      <c r="BD9" s="1684" t="n"/>
      <c r="BE9" s="1684" t="n"/>
      <c r="BF9" s="1684" t="n"/>
      <c r="BG9" s="1684" t="n"/>
      <c r="BH9" s="1684" t="n"/>
      <c r="BI9" s="1684" t="n"/>
      <c r="BJ9" s="1684" t="n"/>
      <c r="BK9" s="1684" t="n"/>
      <c r="BL9" s="1684" t="n"/>
      <c r="BM9" s="1684" t="n"/>
      <c r="BN9" s="1684" t="n"/>
    </row>
    <row r="10" ht="15" customHeight="1" s="7635">
      <c r="A10" s="1681" t="n"/>
      <c r="B10" s="1689" t="inlineStr">
        <is>
          <t xml:space="preserve">Note: </t>
        </is>
      </c>
      <c r="C10" s="1690" t="n"/>
      <c r="D10" s="1689" t="inlineStr">
        <is>
          <t>Figure the amount of your contribution deduction before completing this form. See your tax return instructions.</t>
        </is>
      </c>
      <c r="E10" s="1690" t="n"/>
      <c r="F10" s="1690" t="n"/>
      <c r="G10" s="1690" t="n"/>
      <c r="H10" s="1690" t="n"/>
      <c r="I10" s="1690" t="n"/>
      <c r="J10" s="1690" t="n"/>
      <c r="K10" s="1690" t="n"/>
      <c r="L10" s="1690" t="n"/>
      <c r="M10" s="1690" t="n"/>
      <c r="N10" s="1690" t="n"/>
      <c r="O10" s="1690" t="n"/>
      <c r="P10" s="1690" t="n"/>
      <c r="Q10" s="1690" t="n"/>
      <c r="R10" s="1690" t="n"/>
      <c r="S10" s="1690" t="n"/>
      <c r="T10" s="1690" t="n"/>
      <c r="U10" s="1690" t="n"/>
      <c r="V10" s="1690" t="n"/>
      <c r="W10" s="1690" t="n"/>
      <c r="X10" s="1690" t="n"/>
      <c r="Y10" s="1690" t="n"/>
      <c r="Z10" s="1690" t="n"/>
      <c r="AA10" s="1690" t="n"/>
      <c r="AB10" s="1690" t="n"/>
      <c r="AC10" s="1690" t="n"/>
      <c r="AD10" s="1690" t="n"/>
      <c r="AE10" s="1690" t="n"/>
      <c r="AF10" s="1690" t="n"/>
      <c r="AG10" s="1690" t="n"/>
      <c r="AH10" s="1690" t="n"/>
      <c r="AI10" s="1690" t="n"/>
      <c r="AJ10" s="1690" t="n"/>
      <c r="AK10" s="1690" t="n"/>
      <c r="AL10" s="1690" t="n"/>
      <c r="AM10" s="1690" t="n"/>
      <c r="AN10" s="1690" t="n"/>
      <c r="AO10" s="1690" t="n"/>
      <c r="AP10" s="1681" t="n"/>
      <c r="BD10" s="1684" t="n"/>
      <c r="BE10" s="1684" t="n"/>
      <c r="BF10" s="1684" t="n"/>
      <c r="BG10" s="1684" t="n"/>
      <c r="BH10" s="1684" t="n"/>
      <c r="BI10" s="1684" t="n"/>
      <c r="BJ10" s="1684" t="n"/>
      <c r="BK10" s="1684" t="n"/>
      <c r="BL10" s="1684" t="n"/>
      <c r="BM10" s="1684" t="n"/>
      <c r="BN10" s="1684" t="n"/>
    </row>
    <row r="11" ht="16.5" customHeight="1" s="7635">
      <c r="A11" s="1681" t="n"/>
      <c r="B11" s="1691" t="inlineStr">
        <is>
          <t>Section A.</t>
        </is>
      </c>
      <c r="C11" s="475" t="n"/>
      <c r="D11" s="475" t="n"/>
      <c r="E11" s="475" t="n"/>
      <c r="F11" s="1692" t="inlineStr">
        <is>
          <t>Donated Property of $5,000 or Less and Publicly Traded Securities—List in this section only items</t>
        </is>
      </c>
      <c r="G11" s="475" t="n"/>
      <c r="H11" s="475" t="n"/>
      <c r="I11" s="475" t="n"/>
      <c r="J11" s="475" t="n"/>
      <c r="K11" s="475" t="n"/>
      <c r="L11" s="475" t="n"/>
      <c r="M11" s="475" t="n"/>
      <c r="N11" s="475" t="n"/>
      <c r="O11" s="475" t="n"/>
      <c r="P11" s="475" t="n"/>
      <c r="Q11" s="475" t="n"/>
      <c r="R11" s="475" t="n"/>
      <c r="S11" s="475" t="n"/>
      <c r="T11" s="475" t="n"/>
      <c r="U11" s="475" t="n"/>
      <c r="V11" s="475" t="n"/>
      <c r="W11" s="475" t="n"/>
      <c r="X11" s="475" t="n"/>
      <c r="Y11" s="475" t="n"/>
      <c r="Z11" s="475" t="n"/>
      <c r="AA11" s="475" t="n"/>
      <c r="AB11" s="475" t="n"/>
      <c r="AC11" s="475" t="n"/>
      <c r="AD11" s="475" t="n"/>
      <c r="AE11" s="475" t="n"/>
      <c r="AF11" s="475" t="n"/>
      <c r="AG11" s="475" t="n"/>
      <c r="AH11" s="475" t="n"/>
      <c r="AI11" s="475" t="n"/>
      <c r="AJ11" s="475" t="n"/>
      <c r="AK11" s="475" t="n"/>
      <c r="AL11" s="475" t="n"/>
      <c r="AM11" s="475" t="n"/>
      <c r="AN11" s="475" t="n"/>
      <c r="AO11" s="475" t="n"/>
      <c r="AP11" s="1681" t="n"/>
      <c r="BD11" s="1684" t="n"/>
      <c r="BE11" s="1684" t="n"/>
      <c r="BF11" s="1684" t="n"/>
      <c r="BG11" s="1684" t="n"/>
      <c r="BH11" s="1684" t="n"/>
      <c r="BI11" s="1684" t="n"/>
      <c r="BJ11" s="1684" t="n"/>
      <c r="BK11" s="1684" t="n"/>
      <c r="BL11" s="1684" t="n"/>
      <c r="BM11" s="1684" t="n"/>
      <c r="BN11" s="1684" t="n"/>
    </row>
    <row r="12" ht="13.5" customHeight="1" s="7635">
      <c r="A12" s="1681" t="n"/>
      <c r="B12" s="475" t="n"/>
      <c r="C12" s="475" t="n"/>
      <c r="D12" s="475" t="n"/>
      <c r="E12" s="475" t="n"/>
      <c r="F12" s="1692" t="inlineStr">
        <is>
          <t>(or a group of similar items) for which you claimed a deduction of $5,000 or less. Also list publicly traded</t>
        </is>
      </c>
      <c r="G12" s="475" t="n"/>
      <c r="H12" s="475" t="n"/>
      <c r="I12" s="475" t="n"/>
      <c r="J12" s="475" t="n"/>
      <c r="K12" s="475" t="n"/>
      <c r="L12" s="475" t="n"/>
      <c r="M12" s="475" t="n"/>
      <c r="N12" s="475" t="n"/>
      <c r="O12" s="475" t="n"/>
      <c r="P12" s="475" t="n"/>
      <c r="Q12" s="475" t="n"/>
      <c r="R12" s="475" t="n"/>
      <c r="S12" s="475" t="n"/>
      <c r="T12" s="475" t="n"/>
      <c r="U12" s="475" t="n"/>
      <c r="V12" s="475" t="n"/>
      <c r="W12" s="475" t="n"/>
      <c r="X12" s="475" t="n"/>
      <c r="Y12" s="475" t="n"/>
      <c r="Z12" s="475" t="n"/>
      <c r="AA12" s="475" t="n"/>
      <c r="AB12" s="475" t="n"/>
      <c r="AC12" s="475" t="n"/>
      <c r="AD12" s="475" t="n"/>
      <c r="AE12" s="475" t="n"/>
      <c r="AF12" s="475" t="n"/>
      <c r="AG12" s="475" t="n"/>
      <c r="AH12" s="475" t="n"/>
      <c r="AI12" s="475" t="n"/>
      <c r="AJ12" s="475" t="n"/>
      <c r="AK12" s="475" t="n"/>
      <c r="AL12" s="475" t="n"/>
      <c r="AM12" s="475" t="n"/>
      <c r="AN12" s="475" t="n"/>
      <c r="AO12" s="475" t="n"/>
      <c r="AP12" s="1681" t="n"/>
      <c r="BD12" s="1684" t="n"/>
      <c r="BE12" s="1684" t="n"/>
      <c r="BF12" s="1684" t="n"/>
      <c r="BG12" s="1684" t="n"/>
      <c r="BH12" s="1684" t="n"/>
      <c r="BI12" s="1684" t="n"/>
      <c r="BJ12" s="1684" t="n"/>
      <c r="BK12" s="1684" t="n"/>
      <c r="BL12" s="1684" t="n"/>
      <c r="BM12" s="1684" t="n"/>
      <c r="BN12" s="1684" t="n"/>
    </row>
    <row r="13" ht="13.5" customHeight="1" s="7635">
      <c r="A13" s="1681" t="n"/>
      <c r="B13" s="475" t="n"/>
      <c r="C13" s="475" t="n"/>
      <c r="D13" s="475" t="n"/>
      <c r="E13" s="475" t="n"/>
      <c r="F13" s="1692" t="inlineStr">
        <is>
          <t>securities and certain other property even if the deduction is more than $5,000.  See instructions.</t>
        </is>
      </c>
      <c r="G13" s="475" t="n"/>
      <c r="H13" s="475" t="n"/>
      <c r="I13" s="475" t="n"/>
      <c r="J13" s="475" t="n"/>
      <c r="K13" s="475" t="n"/>
      <c r="L13" s="475" t="n"/>
      <c r="M13" s="475" t="n"/>
      <c r="N13" s="475" t="n"/>
      <c r="O13" s="475" t="n"/>
      <c r="P13" s="475" t="n"/>
      <c r="Q13" s="475" t="n"/>
      <c r="R13" s="475" t="n"/>
      <c r="S13" s="475" t="n"/>
      <c r="T13" s="475" t="n"/>
      <c r="U13" s="475" t="n"/>
      <c r="V13" s="475" t="n"/>
      <c r="W13" s="475" t="n"/>
      <c r="X13" s="475" t="n"/>
      <c r="Y13" s="475" t="n"/>
      <c r="Z13" s="475" t="n"/>
      <c r="AA13" s="475" t="n"/>
      <c r="AB13" s="475" t="n"/>
      <c r="AC13" s="475" t="n"/>
      <c r="AD13" s="475" t="n"/>
      <c r="AE13" s="475" t="n"/>
      <c r="AF13" s="475" t="n"/>
      <c r="AG13" s="475" t="n"/>
      <c r="AH13" s="475" t="n"/>
      <c r="AI13" s="475" t="n"/>
      <c r="AJ13" s="475" t="n"/>
      <c r="AK13" s="475" t="n"/>
      <c r="AL13" s="475" t="n"/>
      <c r="AM13" s="475" t="n"/>
      <c r="AN13" s="475" t="n"/>
      <c r="AO13" s="475" t="n"/>
      <c r="AP13" s="1681" t="n"/>
      <c r="BD13" s="1684" t="n"/>
      <c r="BE13" s="1684" t="n"/>
      <c r="BF13" s="1684" t="n"/>
      <c r="BG13" s="1684" t="n"/>
      <c r="BH13" s="1684" t="n"/>
      <c r="BI13" s="1684" t="n"/>
      <c r="BJ13" s="1684" t="n"/>
      <c r="BK13" s="1684" t="n"/>
      <c r="BL13" s="1684" t="n"/>
      <c r="BM13" s="1684" t="n"/>
      <c r="BN13" s="1684" t="n"/>
    </row>
    <row r="14" ht="15.75" customFormat="1" customHeight="1" s="1695">
      <c r="A14" s="1693" t="n"/>
      <c r="B14" s="10364" t="inlineStr">
        <is>
          <t>Part I</t>
        </is>
      </c>
      <c r="C14" s="12056" t="n"/>
      <c r="D14" s="12056" t="n"/>
      <c r="E14" s="1694" t="n"/>
      <c r="F14" s="1694" t="inlineStr">
        <is>
          <t>Information on Donated Property — If you need more space, attach a statement.</t>
        </is>
      </c>
      <c r="G14" s="1694" t="n"/>
      <c r="H14" s="1694" t="n"/>
      <c r="I14" s="1694" t="n"/>
      <c r="J14" s="1694" t="n"/>
      <c r="K14" s="1694" t="n"/>
      <c r="L14" s="1694" t="n"/>
      <c r="M14" s="1694" t="n"/>
      <c r="N14" s="1694" t="n"/>
      <c r="O14" s="1694" t="n"/>
      <c r="P14" s="1694" t="n"/>
      <c r="Q14" s="1694" t="n"/>
      <c r="R14" s="1694" t="n"/>
      <c r="S14" s="1694" t="n"/>
      <c r="T14" s="1694" t="n"/>
      <c r="U14" s="1694" t="n"/>
      <c r="V14" s="1694" t="n"/>
      <c r="W14" s="1694" t="n"/>
      <c r="X14" s="1694" t="n"/>
      <c r="Y14" s="1694" t="n"/>
      <c r="Z14" s="1694" t="n"/>
      <c r="AA14" s="1694" t="n"/>
      <c r="AB14" s="1694" t="n"/>
      <c r="AC14" s="1694" t="n"/>
      <c r="AD14" s="1694" t="n"/>
      <c r="AE14" s="1694" t="n"/>
      <c r="AF14" s="1694" t="n"/>
      <c r="AG14" s="1694" t="n"/>
      <c r="AH14" s="1694" t="n"/>
      <c r="AI14" s="1694" t="n"/>
      <c r="AJ14" s="1694" t="n"/>
      <c r="AK14" s="1694" t="n"/>
      <c r="AL14" s="1694" t="n"/>
      <c r="AM14" s="1694" t="n"/>
      <c r="AN14" s="1694" t="n"/>
      <c r="AO14" s="1694" t="n"/>
      <c r="AP14" s="1681" t="n"/>
      <c r="BD14" s="1684" t="n"/>
      <c r="BE14" s="1684" t="n"/>
      <c r="BF14" s="1684" t="n"/>
      <c r="BG14" s="1684" t="n"/>
      <c r="BH14" s="1684" t="n"/>
      <c r="BI14" s="1684" t="n"/>
      <c r="BJ14" s="1684" t="n"/>
      <c r="BK14" s="1684" t="n"/>
      <c r="BL14" s="1684" t="n"/>
      <c r="BM14" s="1684" t="n"/>
      <c r="BN14" s="1684" t="n"/>
    </row>
    <row r="15">
      <c r="A15" s="1681" t="n"/>
      <c r="B15" s="12585" t="n">
        <v>1</v>
      </c>
      <c r="C15" s="12051" t="n"/>
      <c r="D15" s="12051" t="n"/>
      <c r="E15" s="12586" t="inlineStr">
        <is>
          <t>(a) Name and address of the donee organization</t>
        </is>
      </c>
      <c r="F15" s="12051" t="n"/>
      <c r="G15" s="12051" t="n"/>
      <c r="H15" s="12051" t="n"/>
      <c r="I15" s="12051" t="n"/>
      <c r="J15" s="12051" t="n"/>
      <c r="K15" s="12051" t="n"/>
      <c r="L15" s="12201" t="n"/>
      <c r="M15" s="12587" t="inlineStr">
        <is>
          <t>(b) If donated property is a vehicle (see instructions),
check the box. Also enter the vehicle identification 
number (unless Form 1098-C is attached).</t>
        </is>
      </c>
      <c r="N15" s="12051" t="n"/>
      <c r="O15" s="12051" t="n"/>
      <c r="P15" s="12051" t="n"/>
      <c r="Q15" s="12051" t="n"/>
      <c r="R15" s="12051" t="n"/>
      <c r="S15" s="12051" t="n"/>
      <c r="T15" s="12051" t="n"/>
      <c r="U15" s="12051" t="n"/>
      <c r="V15" s="12051" t="n"/>
      <c r="W15" s="12051" t="n"/>
      <c r="X15" s="12051" t="n"/>
      <c r="Y15" s="12051" t="n"/>
      <c r="Z15" s="12051" t="n"/>
      <c r="AA15" s="12051" t="n"/>
      <c r="AB15" s="12051" t="n"/>
      <c r="AC15" s="12201" t="n"/>
      <c r="AD15" s="12588" t="inlineStr">
        <is>
          <t>(c) Description and condition of donated property 
(For a vehicle, enter the year, make, model, and 
mileage. For securities and other property, 
see instructions.)</t>
        </is>
      </c>
      <c r="AE15" s="12051" t="n"/>
      <c r="AF15" s="12051" t="n"/>
      <c r="AG15" s="12051" t="n"/>
      <c r="AH15" s="12051" t="n"/>
      <c r="AI15" s="12051" t="n"/>
      <c r="AJ15" s="12051" t="n"/>
      <c r="AK15" s="12051" t="n"/>
      <c r="AL15" s="12051" t="n"/>
      <c r="AM15" s="12051" t="n"/>
      <c r="AN15" s="12051" t="n"/>
      <c r="AO15" s="12051" t="n"/>
      <c r="AP15" s="1681" t="n"/>
      <c r="BD15" s="1684" t="n"/>
      <c r="BE15" s="1684" t="n"/>
      <c r="BF15" s="1684" t="n"/>
      <c r="BG15" s="1684" t="n"/>
      <c r="BH15" s="1684" t="n"/>
      <c r="BI15" s="1684" t="n"/>
      <c r="BJ15" s="1684" t="n"/>
      <c r="BK15" s="1684" t="n"/>
      <c r="BL15" s="1684" t="n"/>
      <c r="BM15" s="1684" t="n"/>
      <c r="BN15" s="1684" t="n"/>
    </row>
    <row r="16">
      <c r="A16" s="1681" t="n"/>
      <c r="B16" s="26" t="n"/>
      <c r="C16" s="26" t="n"/>
      <c r="D16" s="26" t="n"/>
      <c r="E16" s="26" t="n"/>
      <c r="F16" s="26" t="n"/>
      <c r="G16" s="26" t="n"/>
      <c r="H16" s="26" t="n"/>
      <c r="I16" s="26" t="n"/>
      <c r="J16" s="26" t="n"/>
      <c r="K16" s="26" t="n"/>
      <c r="L16" s="12063" t="n"/>
      <c r="M16" s="12589" t="n"/>
      <c r="N16" s="26" t="n"/>
      <c r="O16" s="26" t="n"/>
      <c r="P16" s="26" t="n"/>
      <c r="Q16" s="26" t="n"/>
      <c r="R16" s="26" t="n"/>
      <c r="S16" s="26" t="n"/>
      <c r="T16" s="26" t="n"/>
      <c r="U16" s="26" t="n"/>
      <c r="V16" s="26" t="n"/>
      <c r="W16" s="26" t="n"/>
      <c r="X16" s="26" t="n"/>
      <c r="Y16" s="26" t="n"/>
      <c r="Z16" s="26" t="n"/>
      <c r="AA16" s="26" t="n"/>
      <c r="AB16" s="26" t="n"/>
      <c r="AC16" s="12063" t="n"/>
      <c r="AD16" s="12589" t="n"/>
      <c r="AE16" s="26" t="n"/>
      <c r="AF16" s="26" t="n"/>
      <c r="AG16" s="26" t="n"/>
      <c r="AH16" s="26" t="n"/>
      <c r="AI16" s="26" t="n"/>
      <c r="AJ16" s="26" t="n"/>
      <c r="AK16" s="26" t="n"/>
      <c r="AL16" s="26" t="n"/>
      <c r="AM16" s="26" t="n"/>
      <c r="AN16" s="26" t="n"/>
      <c r="AO16" s="26" t="n"/>
      <c r="AP16" s="1681" t="n"/>
      <c r="BD16" s="1684" t="n"/>
      <c r="BE16" s="1684" t="n"/>
      <c r="BF16" s="1684" t="n"/>
      <c r="BG16" s="1684" t="n"/>
      <c r="BH16" s="1684" t="n"/>
      <c r="BI16" s="1684" t="n"/>
      <c r="BJ16" s="1684" t="n"/>
      <c r="BK16" s="1684" t="n"/>
      <c r="BL16" s="1684" t="n"/>
      <c r="BM16" s="1684" t="n"/>
      <c r="BN16" s="1684" t="n"/>
    </row>
    <row r="17">
      <c r="A17" s="1681" t="n"/>
      <c r="B17" s="26" t="n"/>
      <c r="C17" s="26" t="n"/>
      <c r="D17" s="26" t="n"/>
      <c r="E17" s="26" t="n"/>
      <c r="F17" s="26" t="n"/>
      <c r="G17" s="26" t="n"/>
      <c r="H17" s="26" t="n"/>
      <c r="I17" s="26" t="n"/>
      <c r="J17" s="26" t="n"/>
      <c r="K17" s="26" t="n"/>
      <c r="L17" s="12063" t="n"/>
      <c r="M17" s="12589" t="n"/>
      <c r="N17" s="26" t="n"/>
      <c r="O17" s="26" t="n"/>
      <c r="P17" s="26" t="n"/>
      <c r="Q17" s="26" t="n"/>
      <c r="R17" s="26" t="n"/>
      <c r="S17" s="26" t="n"/>
      <c r="T17" s="26" t="n"/>
      <c r="U17" s="26" t="n"/>
      <c r="V17" s="26" t="n"/>
      <c r="W17" s="26" t="n"/>
      <c r="X17" s="26" t="n"/>
      <c r="Y17" s="26" t="n"/>
      <c r="Z17" s="26" t="n"/>
      <c r="AA17" s="26" t="n"/>
      <c r="AB17" s="26" t="n"/>
      <c r="AC17" s="12063" t="n"/>
      <c r="AD17" s="12589" t="n"/>
      <c r="AE17" s="26" t="n"/>
      <c r="AF17" s="26" t="n"/>
      <c r="AG17" s="26" t="n"/>
      <c r="AH17" s="26" t="n"/>
      <c r="AI17" s="26" t="n"/>
      <c r="AJ17" s="26" t="n"/>
      <c r="AK17" s="26" t="n"/>
      <c r="AL17" s="26" t="n"/>
      <c r="AM17" s="26" t="n"/>
      <c r="AN17" s="26" t="n"/>
      <c r="AO17" s="26" t="n"/>
      <c r="AP17" s="1681" t="n"/>
      <c r="BD17" s="1684" t="n"/>
      <c r="BE17" s="1684" t="n"/>
      <c r="BF17" s="1684" t="n"/>
      <c r="BG17" s="1684" t="n"/>
      <c r="BH17" s="1684" t="n"/>
      <c r="BI17" s="1684" t="n"/>
      <c r="BJ17" s="1684" t="n"/>
      <c r="BK17" s="1684" t="n"/>
      <c r="BL17" s="1684" t="n"/>
      <c r="BM17" s="1684" t="n"/>
      <c r="BN17" s="1684" t="n"/>
    </row>
    <row r="18">
      <c r="A18" s="1681" t="n"/>
      <c r="B18" s="645" t="n"/>
      <c r="C18" s="645" t="n"/>
      <c r="D18" s="645" t="n"/>
      <c r="E18" s="645" t="n"/>
      <c r="F18" s="645" t="n"/>
      <c r="G18" s="645" t="n"/>
      <c r="H18" s="645" t="n"/>
      <c r="I18" s="645" t="n"/>
      <c r="J18" s="645" t="n"/>
      <c r="K18" s="645" t="n"/>
      <c r="L18" s="12187" t="n"/>
      <c r="M18" s="12590" t="n"/>
      <c r="N18" s="645" t="n"/>
      <c r="O18" s="645" t="n"/>
      <c r="P18" s="645" t="n"/>
      <c r="Q18" s="645" t="n"/>
      <c r="R18" s="645" t="n"/>
      <c r="S18" s="645" t="n"/>
      <c r="T18" s="645" t="n"/>
      <c r="U18" s="645" t="n"/>
      <c r="V18" s="645" t="n"/>
      <c r="W18" s="645" t="n"/>
      <c r="X18" s="645" t="n"/>
      <c r="Y18" s="645" t="n"/>
      <c r="Z18" s="645" t="n"/>
      <c r="AA18" s="645" t="n"/>
      <c r="AB18" s="645" t="n"/>
      <c r="AC18" s="12187" t="n"/>
      <c r="AD18" s="12590" t="n"/>
      <c r="AE18" s="645" t="n"/>
      <c r="AF18" s="645" t="n"/>
      <c r="AG18" s="645" t="n"/>
      <c r="AH18" s="645" t="n"/>
      <c r="AI18" s="645" t="n"/>
      <c r="AJ18" s="645" t="n"/>
      <c r="AK18" s="645" t="n"/>
      <c r="AL18" s="645" t="n"/>
      <c r="AM18" s="645" t="n"/>
      <c r="AN18" s="645" t="n"/>
      <c r="AO18" s="645" t="n"/>
      <c r="AP18" s="1681" t="n"/>
      <c r="AQ18" s="1681" t="n"/>
      <c r="AR18" s="1681" t="n"/>
      <c r="AS18" s="1681" t="n"/>
      <c r="AT18" s="1681" t="n"/>
      <c r="AU18" s="1681" t="n"/>
      <c r="AV18" s="1681" t="n"/>
      <c r="AW18" s="1681" t="n"/>
      <c r="AX18" s="1681" t="n"/>
      <c r="AY18" s="1681" t="n"/>
      <c r="AZ18" s="1681" t="n"/>
      <c r="BA18" s="1681" t="n"/>
      <c r="BB18" s="1681" t="n"/>
      <c r="BD18" s="1684" t="n"/>
      <c r="BE18" s="1684" t="n"/>
      <c r="BF18" s="1684" t="n"/>
      <c r="BG18" s="1684" t="n"/>
      <c r="BH18" s="1684" t="n"/>
      <c r="BI18" s="1684" t="n"/>
      <c r="BJ18" s="1684" t="n"/>
      <c r="BK18" s="1684" t="n"/>
      <c r="BL18" s="1684" t="n"/>
      <c r="BM18" s="1684" t="n"/>
      <c r="BN18" s="1684" t="n"/>
    </row>
    <row r="19" ht="3.75" customHeight="1" s="7635">
      <c r="A19" s="1681" t="n"/>
      <c r="B19" s="10487" t="inlineStr">
        <is>
          <t>A</t>
        </is>
      </c>
      <c r="C19" s="12051" t="n"/>
      <c r="D19" s="12591" t="n"/>
      <c r="E19" s="11745" t="n"/>
      <c r="F19" s="11745" t="n"/>
      <c r="G19" s="11745" t="n"/>
      <c r="H19" s="11745" t="n"/>
      <c r="I19" s="11745" t="n"/>
      <c r="J19" s="11745" t="n"/>
      <c r="K19" s="11745" t="n"/>
      <c r="L19" s="11745" t="n"/>
      <c r="M19" s="10463" t="n"/>
      <c r="N19" s="10464" t="n"/>
      <c r="O19" s="10464" t="n"/>
      <c r="P19" s="10464" t="n"/>
      <c r="Q19" s="10464" t="n"/>
      <c r="R19" s="10464" t="n"/>
      <c r="S19" s="10464" t="n"/>
      <c r="T19" s="10464" t="n"/>
      <c r="U19" s="10464" t="n"/>
      <c r="V19" s="10464" t="n"/>
      <c r="W19" s="10464" t="n"/>
      <c r="X19" s="10464" t="n"/>
      <c r="Y19" s="10464" t="n"/>
      <c r="Z19" s="10464" t="n"/>
      <c r="AA19" s="10464" t="n"/>
      <c r="AB19" s="10464" t="n"/>
      <c r="AC19" s="10526" t="n"/>
      <c r="AD19" s="12591" t="n"/>
      <c r="AE19" s="11745" t="n"/>
      <c r="AF19" s="11745" t="n"/>
      <c r="AG19" s="11745" t="n"/>
      <c r="AH19" s="11745" t="n"/>
      <c r="AI19" s="11745" t="n"/>
      <c r="AJ19" s="11745" t="n"/>
      <c r="AK19" s="11745" t="n"/>
      <c r="AL19" s="11745" t="n"/>
      <c r="AM19" s="11745" t="n"/>
      <c r="AN19" s="11745" t="n"/>
      <c r="AO19" s="11745" t="n"/>
      <c r="AP19" s="1681" t="n"/>
      <c r="AQ19" s="1681" t="n"/>
      <c r="AR19" s="1681" t="n"/>
      <c r="AS19" s="1681" t="n"/>
      <c r="AT19" s="1681" t="n"/>
      <c r="AU19" s="1681" t="n"/>
      <c r="AV19" s="1681" t="n"/>
      <c r="AW19" s="1681" t="n"/>
      <c r="AX19" s="1681" t="n"/>
      <c r="AY19" s="1681" t="n"/>
      <c r="AZ19" s="1681" t="n"/>
      <c r="BA19" s="1681" t="n"/>
      <c r="BB19" s="1681" t="n"/>
      <c r="BD19" s="1684" t="n"/>
      <c r="BE19" s="1684" t="n"/>
      <c r="BF19" s="1684" t="n"/>
      <c r="BG19" s="1684" t="n"/>
      <c r="BH19" s="1684" t="n"/>
      <c r="BI19" s="1684" t="n"/>
      <c r="BJ19" s="1684" t="n"/>
      <c r="BK19" s="1684" t="n"/>
      <c r="BL19" s="1684" t="n"/>
      <c r="BM19" s="1684" t="n"/>
      <c r="BN19" s="1684" t="n"/>
    </row>
    <row r="20" ht="14.25" customHeight="1" s="7635" thickBot="1">
      <c r="A20" s="1681" t="n"/>
      <c r="B20" s="26" t="n"/>
      <c r="C20" s="26" t="n"/>
      <c r="D20" s="11956" t="n"/>
      <c r="E20" s="194" t="n"/>
      <c r="F20" s="194" t="n"/>
      <c r="G20" s="194" t="n"/>
      <c r="H20" s="194" t="n"/>
      <c r="I20" s="194" t="n"/>
      <c r="J20" s="194" t="n"/>
      <c r="K20" s="194" t="n"/>
      <c r="L20" s="194" t="n"/>
      <c r="M20" s="1702" t="n"/>
      <c r="N20" s="475" t="n"/>
      <c r="O20" s="475" t="n"/>
      <c r="P20" s="475" t="n"/>
      <c r="Q20" s="475" t="n"/>
      <c r="R20" s="475" t="n"/>
      <c r="S20" s="475" t="n"/>
      <c r="T20" s="1703" t="n"/>
      <c r="U20" s="475" t="n"/>
      <c r="V20" s="475" t="n"/>
      <c r="W20" s="475" t="n"/>
      <c r="X20" s="475" t="n"/>
      <c r="Y20" s="475" t="n"/>
      <c r="Z20" s="475" t="n"/>
      <c r="AA20" s="475" t="n"/>
      <c r="AB20" s="475" t="n"/>
      <c r="AC20" s="1704" t="n"/>
      <c r="AD20" s="11956" t="n"/>
      <c r="AE20" s="194" t="n"/>
      <c r="AF20" s="194" t="n"/>
      <c r="AG20" s="194" t="n"/>
      <c r="AH20" s="194" t="n"/>
      <c r="AI20" s="194" t="n"/>
      <c r="AJ20" s="194" t="n"/>
      <c r="AK20" s="194" t="n"/>
      <c r="AL20" s="194" t="n"/>
      <c r="AM20" s="194" t="n"/>
      <c r="AN20" s="194" t="n"/>
      <c r="AO20" s="194" t="n"/>
      <c r="AP20" s="1681" t="n"/>
      <c r="AQ20" s="1705" t="inlineStr">
        <is>
          <t>Hint:  Use Alt-Enter for carriage return.</t>
        </is>
      </c>
      <c r="AR20" s="475" t="n"/>
      <c r="AS20" s="475" t="n"/>
      <c r="AT20" s="475" t="n"/>
      <c r="AU20" s="475" t="n"/>
      <c r="AV20" s="475" t="n"/>
      <c r="AW20" s="475" t="n"/>
      <c r="AX20" s="475" t="n"/>
      <c r="AY20" s="475" t="n"/>
      <c r="AZ20" s="475" t="n"/>
      <c r="BA20" s="475" t="n"/>
      <c r="BB20" s="1681" t="n"/>
      <c r="BD20" s="1684" t="n"/>
      <c r="BE20" s="1684" t="n"/>
      <c r="BF20" s="1684" t="n"/>
      <c r="BG20" s="1684" t="n"/>
      <c r="BH20" s="1684" t="n"/>
      <c r="BI20" s="1684" t="n"/>
      <c r="BJ20" s="1684" t="n"/>
      <c r="BK20" s="1684" t="n"/>
      <c r="BL20" s="1684" t="n"/>
      <c r="BM20" s="1684" t="n"/>
      <c r="BN20" s="1684" t="n"/>
    </row>
    <row r="21" ht="14.25" customHeight="1" s="7635" thickBot="1" thickTop="1">
      <c r="A21" s="1681" t="n"/>
      <c r="B21" s="645" t="n"/>
      <c r="C21" s="645" t="n"/>
      <c r="D21" s="11728" t="n"/>
      <c r="E21" s="11717" t="n"/>
      <c r="F21" s="11717" t="n"/>
      <c r="G21" s="11717" t="n"/>
      <c r="H21" s="11717" t="n"/>
      <c r="I21" s="11717" t="n"/>
      <c r="J21" s="11717" t="n"/>
      <c r="K21" s="11717" t="n"/>
      <c r="L21" s="11717" t="n"/>
      <c r="M21" s="1706" t="n"/>
      <c r="N21" s="1706" t="n"/>
      <c r="O21" s="1706" t="n"/>
      <c r="P21" s="1706" t="n"/>
      <c r="Q21" s="1706" t="n"/>
      <c r="R21" s="1706" t="n"/>
      <c r="S21" s="1706" t="n"/>
      <c r="T21" s="1706" t="n"/>
      <c r="U21" s="1706" t="n"/>
      <c r="V21" s="1706" t="n"/>
      <c r="W21" s="1706" t="n"/>
      <c r="X21" s="1706" t="n"/>
      <c r="Y21" s="1706" t="n"/>
      <c r="Z21" s="1706" t="n"/>
      <c r="AA21" s="1706" t="n"/>
      <c r="AB21" s="1706" t="n"/>
      <c r="AC21" s="1706" t="n"/>
      <c r="AD21" s="11728" t="n"/>
      <c r="AE21" s="11717" t="n"/>
      <c r="AF21" s="11717" t="n"/>
      <c r="AG21" s="11717" t="n"/>
      <c r="AH21" s="11717" t="n"/>
      <c r="AI21" s="11717" t="n"/>
      <c r="AJ21" s="11717" t="n"/>
      <c r="AK21" s="11717" t="n"/>
      <c r="AL21" s="11717" t="n"/>
      <c r="AM21" s="11717" t="n"/>
      <c r="AN21" s="11717" t="n"/>
      <c r="AO21" s="11717" t="n"/>
      <c r="AP21" s="1681" t="n"/>
      <c r="AQ21" s="1681" t="n"/>
      <c r="AR21" s="1681" t="n"/>
      <c r="AS21" s="1681" t="n"/>
      <c r="AT21" s="1681" t="n"/>
      <c r="AU21" s="1681" t="n"/>
      <c r="AV21" s="1681" t="n"/>
      <c r="AW21" s="1681" t="n"/>
      <c r="AX21" s="1681" t="n"/>
      <c r="AY21" s="1681" t="n"/>
      <c r="AZ21" s="1681" t="n"/>
      <c r="BA21" s="1681" t="n"/>
      <c r="BB21" s="1681" t="n"/>
      <c r="BD21" s="1684" t="n"/>
      <c r="BE21" s="1684" t="n"/>
      <c r="BF21" s="1684" t="n"/>
      <c r="BG21" s="1684" t="n"/>
      <c r="BH21" s="1684" t="n"/>
      <c r="BI21" s="1684" t="n"/>
      <c r="BJ21" s="1684" t="n"/>
      <c r="BK21" s="1684" t="n"/>
      <c r="BL21" s="1684" t="n"/>
      <c r="BM21" s="1684" t="n"/>
      <c r="BN21" s="1684" t="n"/>
    </row>
    <row r="22" ht="3.75" customHeight="1" s="7635" thickTop="1">
      <c r="A22" s="1681" t="n"/>
      <c r="B22" s="10487" t="inlineStr">
        <is>
          <t>B</t>
        </is>
      </c>
      <c r="C22" s="12051" t="n"/>
      <c r="D22" s="12592" t="n"/>
      <c r="E22" s="11745" t="n"/>
      <c r="F22" s="11745" t="n"/>
      <c r="G22" s="11745" t="n"/>
      <c r="H22" s="11745" t="n"/>
      <c r="I22" s="11745" t="n"/>
      <c r="J22" s="11745" t="n"/>
      <c r="K22" s="11745" t="n"/>
      <c r="L22" s="11948" t="n"/>
      <c r="M22" s="10465" t="n"/>
      <c r="N22" s="10466" t="n"/>
      <c r="O22" s="10466" t="n"/>
      <c r="P22" s="10466" t="n"/>
      <c r="Q22" s="10466" t="n"/>
      <c r="R22" s="10466" t="n"/>
      <c r="S22" s="10466" t="n"/>
      <c r="T22" s="10466" t="n"/>
      <c r="U22" s="10466" t="n"/>
      <c r="V22" s="10466" t="n"/>
      <c r="W22" s="10466" t="n"/>
      <c r="X22" s="10466" t="n"/>
      <c r="Y22" s="10466" t="n"/>
      <c r="Z22" s="10466" t="n"/>
      <c r="AA22" s="10466" t="n"/>
      <c r="AB22" s="10466" t="n"/>
      <c r="AC22" s="10527" t="n"/>
      <c r="AD22" s="12591" t="n"/>
      <c r="AE22" s="11745" t="n"/>
      <c r="AF22" s="11745" t="n"/>
      <c r="AG22" s="11745" t="n"/>
      <c r="AH22" s="11745" t="n"/>
      <c r="AI22" s="11745" t="n"/>
      <c r="AJ22" s="11745" t="n"/>
      <c r="AK22" s="11745" t="n"/>
      <c r="AL22" s="11745" t="n"/>
      <c r="AM22" s="11745" t="n"/>
      <c r="AN22" s="11745" t="n"/>
      <c r="AO22" s="11745" t="n"/>
      <c r="AP22" s="1681" t="n"/>
      <c r="AQ22" s="1681" t="n"/>
      <c r="AR22" s="1681" t="n"/>
      <c r="AS22" s="1681" t="n"/>
      <c r="AT22" s="1681" t="n"/>
      <c r="AU22" s="1681" t="n"/>
      <c r="AV22" s="1681" t="n"/>
      <c r="AW22" s="1681" t="n"/>
      <c r="AX22" s="1681" t="n"/>
      <c r="AY22" s="1681" t="n"/>
      <c r="AZ22" s="1681" t="n"/>
      <c r="BA22" s="1681" t="n"/>
      <c r="BB22" s="1681" t="n"/>
      <c r="BD22" s="1684" t="n"/>
      <c r="BE22" s="1684" t="n"/>
      <c r="BF22" s="1684" t="n"/>
      <c r="BG22" s="1684" t="n"/>
      <c r="BH22" s="1684" t="n"/>
      <c r="BI22" s="1684" t="n"/>
      <c r="BJ22" s="1684" t="n"/>
      <c r="BK22" s="1684" t="n"/>
      <c r="BL22" s="1684" t="n"/>
      <c r="BM22" s="1684" t="n"/>
      <c r="BN22" s="1684" t="n"/>
    </row>
    <row r="23" ht="14.25" customHeight="1" s="7635" thickBot="1">
      <c r="A23" s="1681" t="n"/>
      <c r="B23" s="26" t="n"/>
      <c r="C23" s="26" t="n"/>
      <c r="D23" s="11956" t="n"/>
      <c r="E23" s="194" t="n"/>
      <c r="F23" s="194" t="n"/>
      <c r="G23" s="194" t="n"/>
      <c r="H23" s="194" t="n"/>
      <c r="I23" s="194" t="n"/>
      <c r="J23" s="194" t="n"/>
      <c r="K23" s="194" t="n"/>
      <c r="L23" s="11726" t="n"/>
      <c r="M23" s="1702" t="n"/>
      <c r="N23" s="475" t="n"/>
      <c r="O23" s="475" t="n"/>
      <c r="P23" s="475" t="n"/>
      <c r="Q23" s="475" t="n"/>
      <c r="R23" s="475" t="n"/>
      <c r="S23" s="475" t="n"/>
      <c r="T23" s="1703" t="n"/>
      <c r="U23" s="475" t="n"/>
      <c r="V23" s="475" t="n"/>
      <c r="W23" s="475" t="n"/>
      <c r="X23" s="475" t="n"/>
      <c r="Y23" s="475" t="n"/>
      <c r="Z23" s="475" t="n"/>
      <c r="AA23" s="475" t="n"/>
      <c r="AB23" s="475" t="n"/>
      <c r="AC23" s="1704" t="n"/>
      <c r="AD23" s="11956" t="n"/>
      <c r="AE23" s="194" t="n"/>
      <c r="AF23" s="194" t="n"/>
      <c r="AG23" s="194" t="n"/>
      <c r="AH23" s="194" t="n"/>
      <c r="AI23" s="194" t="n"/>
      <c r="AJ23" s="194" t="n"/>
      <c r="AK23" s="194" t="n"/>
      <c r="AL23" s="194" t="n"/>
      <c r="AM23" s="194" t="n"/>
      <c r="AN23" s="194" t="n"/>
      <c r="AO23" s="194" t="n"/>
      <c r="AP23" s="1681" t="n"/>
      <c r="BD23" s="1684" t="n"/>
      <c r="BE23" s="1684" t="n"/>
      <c r="BF23" s="1684" t="n"/>
      <c r="BG23" s="1684" t="n"/>
      <c r="BH23" s="1684" t="n"/>
      <c r="BI23" s="1684" t="n"/>
      <c r="BJ23" s="1684" t="n"/>
      <c r="BK23" s="1684" t="n"/>
      <c r="BL23" s="1684" t="n"/>
      <c r="BM23" s="1684" t="n"/>
      <c r="BN23" s="1684" t="n"/>
    </row>
    <row r="24" ht="14.25" customHeight="1" s="7635" thickBot="1" thickTop="1">
      <c r="A24" s="1681" t="n"/>
      <c r="B24" s="645" t="n"/>
      <c r="C24" s="645" t="n"/>
      <c r="D24" s="11728" t="n"/>
      <c r="E24" s="11717" t="n"/>
      <c r="F24" s="11717" t="n"/>
      <c r="G24" s="11717" t="n"/>
      <c r="H24" s="11717" t="n"/>
      <c r="I24" s="11717" t="n"/>
      <c r="J24" s="11717" t="n"/>
      <c r="K24" s="11717" t="n"/>
      <c r="L24" s="11718" t="n"/>
      <c r="M24" s="1706" t="n"/>
      <c r="N24" s="1706" t="n"/>
      <c r="O24" s="1706" t="n"/>
      <c r="P24" s="1706" t="n"/>
      <c r="Q24" s="1706" t="n"/>
      <c r="R24" s="1706" t="n"/>
      <c r="S24" s="1706" t="n"/>
      <c r="T24" s="1706" t="n"/>
      <c r="U24" s="1706" t="n"/>
      <c r="V24" s="1706" t="n"/>
      <c r="W24" s="1706" t="n"/>
      <c r="X24" s="1706" t="n"/>
      <c r="Y24" s="1706" t="n"/>
      <c r="Z24" s="1706" t="n"/>
      <c r="AA24" s="1706" t="n"/>
      <c r="AB24" s="1706" t="n"/>
      <c r="AC24" s="1706" t="n"/>
      <c r="AD24" s="11728" t="n"/>
      <c r="AE24" s="11717" t="n"/>
      <c r="AF24" s="11717" t="n"/>
      <c r="AG24" s="11717" t="n"/>
      <c r="AH24" s="11717" t="n"/>
      <c r="AI24" s="11717" t="n"/>
      <c r="AJ24" s="11717" t="n"/>
      <c r="AK24" s="11717" t="n"/>
      <c r="AL24" s="11717" t="n"/>
      <c r="AM24" s="11717" t="n"/>
      <c r="AN24" s="11717" t="n"/>
      <c r="AO24" s="11717" t="n"/>
      <c r="AP24" s="1681" t="n"/>
      <c r="BD24" s="1684" t="n"/>
      <c r="BE24" s="1684" t="n"/>
      <c r="BF24" s="1684" t="n"/>
      <c r="BG24" s="1684" t="n"/>
      <c r="BH24" s="1684" t="n"/>
      <c r="BI24" s="1684" t="n"/>
      <c r="BJ24" s="1684" t="n"/>
      <c r="BK24" s="1684" t="n"/>
      <c r="BL24" s="1684" t="n"/>
      <c r="BM24" s="1684" t="n"/>
      <c r="BN24" s="1684" t="n"/>
    </row>
    <row r="25" ht="3.75" customHeight="1" s="7635" thickTop="1">
      <c r="A25" s="1681" t="n"/>
      <c r="B25" s="10487" t="inlineStr">
        <is>
          <t>C</t>
        </is>
      </c>
      <c r="C25" s="12051" t="n"/>
      <c r="D25" s="12592" t="n"/>
      <c r="E25" s="11745" t="n"/>
      <c r="F25" s="11745" t="n"/>
      <c r="G25" s="11745" t="n"/>
      <c r="H25" s="11745" t="n"/>
      <c r="I25" s="11745" t="n"/>
      <c r="J25" s="11745" t="n"/>
      <c r="K25" s="11745" t="n"/>
      <c r="L25" s="11948" t="n"/>
      <c r="M25" s="10463" t="n"/>
      <c r="N25" s="10464" t="n"/>
      <c r="O25" s="10464" t="n"/>
      <c r="P25" s="10464" t="n"/>
      <c r="Q25" s="10464" t="n"/>
      <c r="R25" s="10464" t="n"/>
      <c r="S25" s="10464" t="n"/>
      <c r="T25" s="10464" t="n"/>
      <c r="U25" s="10464" t="n"/>
      <c r="V25" s="10464" t="n"/>
      <c r="W25" s="10464" t="n"/>
      <c r="X25" s="10464" t="n"/>
      <c r="Y25" s="10464" t="n"/>
      <c r="Z25" s="10464" t="n"/>
      <c r="AA25" s="10464" t="n"/>
      <c r="AB25" s="10464" t="n"/>
      <c r="AC25" s="10526" t="n"/>
      <c r="AD25" s="12591" t="n"/>
      <c r="AE25" s="11745" t="n"/>
      <c r="AF25" s="11745" t="n"/>
      <c r="AG25" s="11745" t="n"/>
      <c r="AH25" s="11745" t="n"/>
      <c r="AI25" s="11745" t="n"/>
      <c r="AJ25" s="11745" t="n"/>
      <c r="AK25" s="11745" t="n"/>
      <c r="AL25" s="11745" t="n"/>
      <c r="AM25" s="11745" t="n"/>
      <c r="AN25" s="11745" t="n"/>
      <c r="AO25" s="11745" t="n"/>
      <c r="AP25" s="1681" t="n"/>
      <c r="BD25" s="1684" t="n"/>
      <c r="BE25" s="1684" t="n"/>
      <c r="BF25" s="1684" t="n"/>
      <c r="BG25" s="1684" t="n"/>
      <c r="BH25" s="1684" t="n"/>
      <c r="BI25" s="1684" t="n"/>
      <c r="BJ25" s="1684" t="n"/>
      <c r="BK25" s="1684" t="n"/>
      <c r="BL25" s="1684" t="n"/>
      <c r="BM25" s="1684" t="n"/>
      <c r="BN25" s="1684" t="n"/>
    </row>
    <row r="26" ht="14.25" customHeight="1" s="7635" thickBot="1">
      <c r="A26" s="1681" t="n"/>
      <c r="B26" s="26" t="n"/>
      <c r="C26" s="26" t="n"/>
      <c r="D26" s="11956" t="n"/>
      <c r="E26" s="194" t="n"/>
      <c r="F26" s="194" t="n"/>
      <c r="G26" s="194" t="n"/>
      <c r="H26" s="194" t="n"/>
      <c r="I26" s="194" t="n"/>
      <c r="J26" s="194" t="n"/>
      <c r="K26" s="194" t="n"/>
      <c r="L26" s="11726" t="n"/>
      <c r="M26" s="1702" t="n"/>
      <c r="N26" s="475" t="n"/>
      <c r="O26" s="475" t="n"/>
      <c r="P26" s="475" t="n"/>
      <c r="Q26" s="475" t="n"/>
      <c r="R26" s="475" t="n"/>
      <c r="S26" s="475" t="n"/>
      <c r="T26" s="1703" t="n"/>
      <c r="U26" s="475" t="n"/>
      <c r="V26" s="475" t="n"/>
      <c r="W26" s="475" t="n"/>
      <c r="X26" s="475" t="n"/>
      <c r="Y26" s="475" t="n"/>
      <c r="Z26" s="475" t="n"/>
      <c r="AA26" s="475" t="n"/>
      <c r="AB26" s="475" t="n"/>
      <c r="AC26" s="1704" t="n"/>
      <c r="AD26" s="11956" t="n"/>
      <c r="AE26" s="194" t="n"/>
      <c r="AF26" s="194" t="n"/>
      <c r="AG26" s="194" t="n"/>
      <c r="AH26" s="194" t="n"/>
      <c r="AI26" s="194" t="n"/>
      <c r="AJ26" s="194" t="n"/>
      <c r="AK26" s="194" t="n"/>
      <c r="AL26" s="194" t="n"/>
      <c r="AM26" s="194" t="n"/>
      <c r="AN26" s="194" t="n"/>
      <c r="AO26" s="194" t="n"/>
      <c r="AP26" s="1681" t="n"/>
      <c r="BD26" s="1684" t="n"/>
      <c r="BE26" s="1684" t="n"/>
      <c r="BF26" s="1684" t="n"/>
      <c r="BG26" s="1684" t="n"/>
      <c r="BH26" s="1684" t="n"/>
      <c r="BI26" s="1684" t="n"/>
      <c r="BJ26" s="1684" t="n"/>
      <c r="BK26" s="1684" t="n"/>
      <c r="BL26" s="1684" t="n"/>
      <c r="BM26" s="1684" t="n"/>
      <c r="BN26" s="1684" t="n"/>
    </row>
    <row r="27" ht="14.25" customHeight="1" s="7635" thickBot="1" thickTop="1">
      <c r="A27" s="1681" t="n"/>
      <c r="B27" s="645" t="n"/>
      <c r="C27" s="645" t="n"/>
      <c r="D27" s="11728" t="n"/>
      <c r="E27" s="11717" t="n"/>
      <c r="F27" s="11717" t="n"/>
      <c r="G27" s="11717" t="n"/>
      <c r="H27" s="11717" t="n"/>
      <c r="I27" s="11717" t="n"/>
      <c r="J27" s="11717" t="n"/>
      <c r="K27" s="11717" t="n"/>
      <c r="L27" s="11718" t="n"/>
      <c r="M27" s="1706" t="n"/>
      <c r="N27" s="1706" t="n"/>
      <c r="O27" s="1706" t="n"/>
      <c r="P27" s="1706" t="n"/>
      <c r="Q27" s="1706" t="n"/>
      <c r="R27" s="1706" t="n"/>
      <c r="S27" s="1706" t="n"/>
      <c r="T27" s="1706" t="n"/>
      <c r="U27" s="1706" t="n"/>
      <c r="V27" s="1706" t="n"/>
      <c r="W27" s="1706" t="n"/>
      <c r="X27" s="1706" t="n"/>
      <c r="Y27" s="1706" t="n"/>
      <c r="Z27" s="1706" t="n"/>
      <c r="AA27" s="1706" t="n"/>
      <c r="AB27" s="1706" t="n"/>
      <c r="AC27" s="1706" t="n"/>
      <c r="AD27" s="11728" t="n"/>
      <c r="AE27" s="11717" t="n"/>
      <c r="AF27" s="11717" t="n"/>
      <c r="AG27" s="11717" t="n"/>
      <c r="AH27" s="11717" t="n"/>
      <c r="AI27" s="11717" t="n"/>
      <c r="AJ27" s="11717" t="n"/>
      <c r="AK27" s="11717" t="n"/>
      <c r="AL27" s="11717" t="n"/>
      <c r="AM27" s="11717" t="n"/>
      <c r="AN27" s="11717" t="n"/>
      <c r="AO27" s="11717" t="n"/>
      <c r="AP27" s="1681" t="n"/>
      <c r="BD27" s="1684" t="n"/>
      <c r="BE27" s="1684" t="n"/>
      <c r="BF27" s="1684" t="n"/>
      <c r="BG27" s="1684" t="n"/>
      <c r="BH27" s="1684" t="n"/>
      <c r="BI27" s="1684" t="n"/>
      <c r="BJ27" s="1684" t="n"/>
      <c r="BK27" s="1684" t="n"/>
      <c r="BL27" s="1684" t="n"/>
      <c r="BM27" s="1684" t="n"/>
      <c r="BN27" s="1684" t="n"/>
    </row>
    <row r="28" ht="3.75" customHeight="1" s="7635" thickTop="1">
      <c r="A28" s="1681" t="n"/>
      <c r="B28" s="10487" t="inlineStr">
        <is>
          <t>D</t>
        </is>
      </c>
      <c r="C28" s="12051" t="n"/>
      <c r="D28" s="12592" t="n"/>
      <c r="E28" s="11745" t="n"/>
      <c r="F28" s="11745" t="n"/>
      <c r="G28" s="11745" t="n"/>
      <c r="H28" s="11745" t="n"/>
      <c r="I28" s="11745" t="n"/>
      <c r="J28" s="11745" t="n"/>
      <c r="K28" s="11745" t="n"/>
      <c r="L28" s="11948" t="n"/>
      <c r="M28" s="10463" t="n"/>
      <c r="N28" s="10464" t="n"/>
      <c r="O28" s="10464" t="n"/>
      <c r="P28" s="10464" t="n"/>
      <c r="Q28" s="10464" t="n"/>
      <c r="R28" s="10464" t="n"/>
      <c r="S28" s="10464" t="n"/>
      <c r="T28" s="10464" t="n"/>
      <c r="U28" s="10464" t="n"/>
      <c r="V28" s="10464" t="n"/>
      <c r="W28" s="10464" t="n"/>
      <c r="X28" s="10464" t="n"/>
      <c r="Y28" s="10464" t="n"/>
      <c r="Z28" s="10464" t="n"/>
      <c r="AA28" s="10464" t="n"/>
      <c r="AB28" s="10464" t="n"/>
      <c r="AC28" s="10526" t="n"/>
      <c r="AD28" s="12591" t="n"/>
      <c r="AE28" s="11745" t="n"/>
      <c r="AF28" s="11745" t="n"/>
      <c r="AG28" s="11745" t="n"/>
      <c r="AH28" s="11745" t="n"/>
      <c r="AI28" s="11745" t="n"/>
      <c r="AJ28" s="11745" t="n"/>
      <c r="AK28" s="11745" t="n"/>
      <c r="AL28" s="11745" t="n"/>
      <c r="AM28" s="11745" t="n"/>
      <c r="AN28" s="11745" t="n"/>
      <c r="AO28" s="11745" t="n"/>
      <c r="AP28" s="1681" t="n"/>
      <c r="BD28" s="1684" t="n"/>
      <c r="BE28" s="1684" t="n"/>
      <c r="BF28" s="1684" t="n"/>
      <c r="BG28" s="1684" t="n"/>
      <c r="BH28" s="1684" t="n"/>
      <c r="BI28" s="1684" t="n"/>
      <c r="BJ28" s="1684" t="n"/>
      <c r="BK28" s="1684" t="n"/>
      <c r="BL28" s="1684" t="n"/>
      <c r="BM28" s="1684" t="n"/>
      <c r="BN28" s="1684" t="n"/>
    </row>
    <row r="29" ht="14.25" customHeight="1" s="7635" thickBot="1">
      <c r="A29" s="1681" t="n"/>
      <c r="B29" s="26" t="n"/>
      <c r="C29" s="26" t="n"/>
      <c r="D29" s="11956" t="n"/>
      <c r="E29" s="194" t="n"/>
      <c r="F29" s="194" t="n"/>
      <c r="G29" s="194" t="n"/>
      <c r="H29" s="194" t="n"/>
      <c r="I29" s="194" t="n"/>
      <c r="J29" s="194" t="n"/>
      <c r="K29" s="194" t="n"/>
      <c r="L29" s="11726" t="n"/>
      <c r="M29" s="1702" t="n"/>
      <c r="N29" s="475" t="n"/>
      <c r="O29" s="475" t="n"/>
      <c r="P29" s="475" t="n"/>
      <c r="Q29" s="475" t="n"/>
      <c r="R29" s="475" t="n"/>
      <c r="S29" s="475" t="n"/>
      <c r="T29" s="1703" t="n"/>
      <c r="U29" s="475" t="n"/>
      <c r="V29" s="475" t="n"/>
      <c r="W29" s="475" t="n"/>
      <c r="X29" s="475" t="n"/>
      <c r="Y29" s="475" t="n"/>
      <c r="Z29" s="475" t="n"/>
      <c r="AA29" s="475" t="n"/>
      <c r="AB29" s="475" t="n"/>
      <c r="AC29" s="1704" t="n"/>
      <c r="AD29" s="11956" t="n"/>
      <c r="AE29" s="194" t="n"/>
      <c r="AF29" s="194" t="n"/>
      <c r="AG29" s="194" t="n"/>
      <c r="AH29" s="194" t="n"/>
      <c r="AI29" s="194" t="n"/>
      <c r="AJ29" s="194" t="n"/>
      <c r="AK29" s="194" t="n"/>
      <c r="AL29" s="194" t="n"/>
      <c r="AM29" s="194" t="n"/>
      <c r="AN29" s="194" t="n"/>
      <c r="AO29" s="194" t="n"/>
      <c r="AP29" s="1681" t="n"/>
      <c r="BD29" s="1684" t="n"/>
      <c r="BE29" s="1684" t="n"/>
      <c r="BF29" s="1684" t="n"/>
      <c r="BG29" s="1684" t="n"/>
      <c r="BH29" s="1684" t="n"/>
      <c r="BI29" s="1684" t="n"/>
      <c r="BJ29" s="1684" t="n"/>
      <c r="BK29" s="1684" t="n"/>
      <c r="BL29" s="1684" t="n"/>
      <c r="BM29" s="1684" t="n"/>
      <c r="BN29" s="1684" t="n"/>
    </row>
    <row r="30" ht="14.25" customHeight="1" s="7635" thickBot="1" thickTop="1">
      <c r="A30" s="1681" t="n"/>
      <c r="B30" s="645" t="n"/>
      <c r="C30" s="645" t="n"/>
      <c r="D30" s="11728" t="n"/>
      <c r="E30" s="11717" t="n"/>
      <c r="F30" s="11717" t="n"/>
      <c r="G30" s="11717" t="n"/>
      <c r="H30" s="11717" t="n"/>
      <c r="I30" s="11717" t="n"/>
      <c r="J30" s="11717" t="n"/>
      <c r="K30" s="11717" t="n"/>
      <c r="L30" s="11718" t="n"/>
      <c r="M30" s="1706" t="n"/>
      <c r="N30" s="1706" t="n"/>
      <c r="O30" s="1706" t="n"/>
      <c r="P30" s="1706" t="n"/>
      <c r="Q30" s="1706" t="n"/>
      <c r="R30" s="1706" t="n"/>
      <c r="S30" s="1706" t="n"/>
      <c r="T30" s="1706" t="n"/>
      <c r="U30" s="1706" t="n"/>
      <c r="V30" s="1706" t="n"/>
      <c r="W30" s="1706" t="n"/>
      <c r="X30" s="1706" t="n"/>
      <c r="Y30" s="1706" t="n"/>
      <c r="Z30" s="1706" t="n"/>
      <c r="AA30" s="1706" t="n"/>
      <c r="AB30" s="1706" t="n"/>
      <c r="AC30" s="1706" t="n"/>
      <c r="AD30" s="11728" t="n"/>
      <c r="AE30" s="11717" t="n"/>
      <c r="AF30" s="11717" t="n"/>
      <c r="AG30" s="11717" t="n"/>
      <c r="AH30" s="11717" t="n"/>
      <c r="AI30" s="11717" t="n"/>
      <c r="AJ30" s="11717" t="n"/>
      <c r="AK30" s="11717" t="n"/>
      <c r="AL30" s="11717" t="n"/>
      <c r="AM30" s="11717" t="n"/>
      <c r="AN30" s="11717" t="n"/>
      <c r="AO30" s="11717" t="n"/>
      <c r="AP30" s="1681" t="n"/>
      <c r="BD30" s="1684" t="n"/>
      <c r="BE30" s="1684" t="n"/>
      <c r="BF30" s="1684" t="n"/>
      <c r="BG30" s="1684" t="n"/>
      <c r="BH30" s="1684" t="n"/>
      <c r="BI30" s="1684" t="n"/>
      <c r="BJ30" s="1684" t="n"/>
      <c r="BK30" s="1684" t="n"/>
      <c r="BL30" s="1684" t="n"/>
      <c r="BM30" s="1684" t="n"/>
      <c r="BN30" s="1684" t="n"/>
    </row>
    <row r="31" ht="3.75" customHeight="1" s="7635" thickTop="1">
      <c r="A31" s="1681" t="n"/>
      <c r="B31" s="10487" t="inlineStr">
        <is>
          <t>E</t>
        </is>
      </c>
      <c r="C31" s="12051" t="n"/>
      <c r="D31" s="12592" t="n"/>
      <c r="E31" s="11745" t="n"/>
      <c r="F31" s="11745" t="n"/>
      <c r="G31" s="11745" t="n"/>
      <c r="H31" s="11745" t="n"/>
      <c r="I31" s="11745" t="n"/>
      <c r="J31" s="11745" t="n"/>
      <c r="K31" s="11745" t="n"/>
      <c r="L31" s="11948" t="n"/>
      <c r="M31" s="10463" t="n"/>
      <c r="N31" s="10464" t="n"/>
      <c r="O31" s="10464" t="n"/>
      <c r="P31" s="10464" t="n"/>
      <c r="Q31" s="10464" t="n"/>
      <c r="R31" s="10464" t="n"/>
      <c r="S31" s="10464" t="n"/>
      <c r="T31" s="10464" t="n"/>
      <c r="U31" s="10464" t="n"/>
      <c r="V31" s="10464" t="n"/>
      <c r="W31" s="10464" t="n"/>
      <c r="X31" s="10464" t="n"/>
      <c r="Y31" s="10464" t="n"/>
      <c r="Z31" s="10464" t="n"/>
      <c r="AA31" s="10464" t="n"/>
      <c r="AB31" s="10464" t="n"/>
      <c r="AC31" s="10526" t="n"/>
      <c r="AD31" s="12591" t="n"/>
      <c r="AE31" s="11745" t="n"/>
      <c r="AF31" s="11745" t="n"/>
      <c r="AG31" s="11745" t="n"/>
      <c r="AH31" s="11745" t="n"/>
      <c r="AI31" s="11745" t="n"/>
      <c r="AJ31" s="11745" t="n"/>
      <c r="AK31" s="11745" t="n"/>
      <c r="AL31" s="11745" t="n"/>
      <c r="AM31" s="11745" t="n"/>
      <c r="AN31" s="11745" t="n"/>
      <c r="AO31" s="11745" t="n"/>
      <c r="AP31" s="1681" t="n"/>
      <c r="BD31" s="1684" t="n"/>
      <c r="BE31" s="1684" t="n"/>
      <c r="BF31" s="1684" t="n"/>
      <c r="BG31" s="1684" t="n"/>
      <c r="BH31" s="1684" t="n"/>
      <c r="BI31" s="1684" t="n"/>
      <c r="BJ31" s="1684" t="n"/>
      <c r="BK31" s="1684" t="n"/>
      <c r="BL31" s="1684" t="n"/>
      <c r="BM31" s="1684" t="n"/>
      <c r="BN31" s="1684" t="n"/>
    </row>
    <row r="32" ht="14.25" customHeight="1" s="7635" thickBot="1">
      <c r="A32" s="1681" t="n"/>
      <c r="B32" s="26" t="n"/>
      <c r="C32" s="26" t="n"/>
      <c r="D32" s="11956" t="n"/>
      <c r="E32" s="194" t="n"/>
      <c r="F32" s="194" t="n"/>
      <c r="G32" s="194" t="n"/>
      <c r="H32" s="194" t="n"/>
      <c r="I32" s="194" t="n"/>
      <c r="J32" s="194" t="n"/>
      <c r="K32" s="194" t="n"/>
      <c r="L32" s="11726" t="n"/>
      <c r="M32" s="1702" t="n"/>
      <c r="N32" s="475" t="n"/>
      <c r="O32" s="475" t="n"/>
      <c r="P32" s="475" t="n"/>
      <c r="Q32" s="475" t="n"/>
      <c r="R32" s="475" t="n"/>
      <c r="S32" s="475" t="n"/>
      <c r="T32" s="1703" t="n"/>
      <c r="U32" s="475" t="n"/>
      <c r="V32" s="475" t="n"/>
      <c r="W32" s="475" t="n"/>
      <c r="X32" s="475" t="n"/>
      <c r="Y32" s="475" t="n"/>
      <c r="Z32" s="475" t="n"/>
      <c r="AA32" s="475" t="n"/>
      <c r="AB32" s="475" t="n"/>
      <c r="AC32" s="1704" t="n"/>
      <c r="AD32" s="11956" t="n"/>
      <c r="AE32" s="194" t="n"/>
      <c r="AF32" s="194" t="n"/>
      <c r="AG32" s="194" t="n"/>
      <c r="AH32" s="194" t="n"/>
      <c r="AI32" s="194" t="n"/>
      <c r="AJ32" s="194" t="n"/>
      <c r="AK32" s="194" t="n"/>
      <c r="AL32" s="194" t="n"/>
      <c r="AM32" s="194" t="n"/>
      <c r="AN32" s="194" t="n"/>
      <c r="AO32" s="194" t="n"/>
      <c r="AP32" s="1681" t="n"/>
      <c r="BD32" s="1684" t="n"/>
      <c r="BE32" s="1684" t="n"/>
      <c r="BF32" s="1684" t="n"/>
      <c r="BG32" s="1684" t="n"/>
      <c r="BH32" s="1684" t="n"/>
      <c r="BI32" s="1684" t="n"/>
      <c r="BJ32" s="1684" t="n"/>
      <c r="BK32" s="1684" t="n"/>
      <c r="BL32" s="1684" t="n"/>
      <c r="BM32" s="1684" t="n"/>
      <c r="BN32" s="1684" t="n"/>
    </row>
    <row r="33" ht="14.25" customHeight="1" s="7635" thickBot="1" thickTop="1">
      <c r="A33" s="1681" t="n"/>
      <c r="B33" s="645" t="n"/>
      <c r="C33" s="645" t="n"/>
      <c r="D33" s="11728" t="n"/>
      <c r="E33" s="11717" t="n"/>
      <c r="F33" s="11717" t="n"/>
      <c r="G33" s="11717" t="n"/>
      <c r="H33" s="11717" t="n"/>
      <c r="I33" s="11717" t="n"/>
      <c r="J33" s="11717" t="n"/>
      <c r="K33" s="11717" t="n"/>
      <c r="L33" s="11718" t="n"/>
      <c r="M33" s="1706" t="n"/>
      <c r="N33" s="1706" t="n"/>
      <c r="O33" s="1706" t="n"/>
      <c r="P33" s="1706" t="n"/>
      <c r="Q33" s="1706" t="n"/>
      <c r="R33" s="1706" t="n"/>
      <c r="S33" s="1706" t="n"/>
      <c r="T33" s="1706" t="n"/>
      <c r="U33" s="1706" t="n"/>
      <c r="V33" s="1706" t="n"/>
      <c r="W33" s="1706" t="n"/>
      <c r="X33" s="1706" t="n"/>
      <c r="Y33" s="1706" t="n"/>
      <c r="Z33" s="1706" t="n"/>
      <c r="AA33" s="1706" t="n"/>
      <c r="AB33" s="1706" t="n"/>
      <c r="AC33" s="1706" t="n"/>
      <c r="AD33" s="11728" t="n"/>
      <c r="AE33" s="11717" t="n"/>
      <c r="AF33" s="11717" t="n"/>
      <c r="AG33" s="11717" t="n"/>
      <c r="AH33" s="11717" t="n"/>
      <c r="AI33" s="11717" t="n"/>
      <c r="AJ33" s="11717" t="n"/>
      <c r="AK33" s="11717" t="n"/>
      <c r="AL33" s="11717" t="n"/>
      <c r="AM33" s="11717" t="n"/>
      <c r="AN33" s="11717" t="n"/>
      <c r="AO33" s="11717" t="n"/>
      <c r="AP33" s="1681" t="n"/>
      <c r="BD33" s="1684" t="n"/>
      <c r="BE33" s="1684" t="n"/>
      <c r="BF33" s="1684" t="n"/>
      <c r="BG33" s="1684" t="n"/>
      <c r="BH33" s="1684" t="n"/>
      <c r="BI33" s="1684" t="n"/>
      <c r="BJ33" s="1684" t="n"/>
      <c r="BK33" s="1684" t="n"/>
      <c r="BL33" s="1684" t="n"/>
      <c r="BM33" s="1684" t="n"/>
      <c r="BN33" s="1684" t="n"/>
    </row>
    <row r="34" ht="18.75" customFormat="1" customHeight="1" s="1710" thickTop="1">
      <c r="A34" s="1707" t="n"/>
      <c r="B34" s="1708" t="inlineStr">
        <is>
          <t>Note.</t>
        </is>
      </c>
      <c r="C34" s="1709" t="n"/>
      <c r="D34" s="1709" t="inlineStr">
        <is>
          <t>If the amount you claimed as a deduction for an item is $500 or less, you do not have to complete columns (e), (f), and (g).</t>
        </is>
      </c>
      <c r="E34" s="1709" t="n"/>
      <c r="F34" s="1709" t="n"/>
      <c r="G34" s="1709" t="n"/>
      <c r="H34" s="1709" t="n"/>
      <c r="I34" s="1709" t="n"/>
      <c r="J34" s="1709" t="n"/>
      <c r="K34" s="1709" t="n"/>
      <c r="L34" s="1709" t="n"/>
      <c r="M34" s="1709" t="n"/>
      <c r="N34" s="1709" t="n"/>
      <c r="O34" s="1709" t="n"/>
      <c r="P34" s="1709" t="n"/>
      <c r="Q34" s="1709" t="n"/>
      <c r="R34" s="1709" t="n"/>
      <c r="S34" s="1709" t="n"/>
      <c r="T34" s="1709" t="n"/>
      <c r="U34" s="1709" t="n"/>
      <c r="V34" s="1709" t="n"/>
      <c r="W34" s="1709" t="n"/>
      <c r="X34" s="1709" t="n"/>
      <c r="Y34" s="1709" t="n"/>
      <c r="Z34" s="1709" t="n"/>
      <c r="AA34" s="1709" t="n"/>
      <c r="AB34" s="1709" t="n"/>
      <c r="AC34" s="1709" t="n"/>
      <c r="AD34" s="1709" t="n"/>
      <c r="AE34" s="1709" t="n"/>
      <c r="AF34" s="1709" t="n"/>
      <c r="AG34" s="1709" t="n"/>
      <c r="AH34" s="1709" t="n"/>
      <c r="AI34" s="1709" t="n"/>
      <c r="AJ34" s="1709" t="n"/>
      <c r="AK34" s="1709" t="n"/>
      <c r="AL34" s="1709" t="n"/>
      <c r="AM34" s="1709" t="n"/>
      <c r="AN34" s="1709" t="n"/>
      <c r="AO34" s="1709" t="n"/>
      <c r="AP34" s="1707" t="n"/>
      <c r="BD34" s="1711" t="n"/>
      <c r="BE34" s="1711" t="n"/>
      <c r="BF34" s="1711" t="n"/>
      <c r="BG34" s="1711" t="n"/>
      <c r="BH34" s="1711" t="n"/>
      <c r="BI34" s="1711" t="n"/>
      <c r="BJ34" s="1711" t="n"/>
      <c r="BK34" s="1711" t="n"/>
      <c r="BL34" s="1711" t="n"/>
      <c r="BM34" s="1711" t="n"/>
      <c r="BN34" s="1711" t="n"/>
    </row>
    <row r="35" ht="15" customHeight="1" s="7635">
      <c r="A35" s="1681" t="n"/>
      <c r="B35" s="1712" t="n"/>
      <c r="C35" s="1713" t="n"/>
      <c r="D35" s="12593" t="inlineStr">
        <is>
          <t>(d) Date of the contribution</t>
        </is>
      </c>
      <c r="E35" s="12051" t="n"/>
      <c r="F35" s="12051" t="n"/>
      <c r="G35" s="12201" t="n"/>
      <c r="H35" s="12593" t="inlineStr">
        <is>
          <t>(e) Date acquired 
by donor (mo., yr.)</t>
        </is>
      </c>
      <c r="I35" s="12051" t="n"/>
      <c r="J35" s="12051" t="n"/>
      <c r="K35" s="12051" t="n"/>
      <c r="L35" s="12201" t="n"/>
      <c r="M35" s="12593" t="inlineStr">
        <is>
          <t>(f) How acquired 
by donor</t>
        </is>
      </c>
      <c r="N35" s="12051" t="n"/>
      <c r="O35" s="12051" t="n"/>
      <c r="P35" s="12051" t="n"/>
      <c r="Q35" s="12051" t="n"/>
      <c r="R35" s="12051" t="n"/>
      <c r="S35" s="12201" t="n"/>
      <c r="T35" s="12593" t="inlineStr">
        <is>
          <t>(g) Donor’s cost 
or adjusted basis</t>
        </is>
      </c>
      <c r="U35" s="12051" t="n"/>
      <c r="V35" s="12051" t="n"/>
      <c r="W35" s="12051" t="n"/>
      <c r="X35" s="12051" t="n"/>
      <c r="Y35" s="12051" t="n"/>
      <c r="Z35" s="12201" t="n"/>
      <c r="AA35" s="12593" t="inlineStr">
        <is>
          <t>(h) Fair market value 
(see instructions)</t>
        </is>
      </c>
      <c r="AB35" s="12051" t="n"/>
      <c r="AC35" s="12051" t="n"/>
      <c r="AD35" s="12051" t="n"/>
      <c r="AE35" s="12051" t="n"/>
      <c r="AF35" s="12051" t="n"/>
      <c r="AG35" s="12201" t="n"/>
      <c r="AH35" s="12594" t="inlineStr">
        <is>
          <t>(i) Method used to determine 
the fair market value</t>
        </is>
      </c>
      <c r="AI35" s="12051" t="n"/>
      <c r="AJ35" s="12051" t="n"/>
      <c r="AK35" s="12051" t="n"/>
      <c r="AL35" s="12051" t="n"/>
      <c r="AM35" s="12051" t="n"/>
      <c r="AN35" s="12051" t="n"/>
      <c r="AO35" s="12051" t="n"/>
      <c r="AP35" s="1681" t="n"/>
      <c r="BD35" s="1684" t="n"/>
      <c r="BE35" s="1684" t="n"/>
      <c r="BF35" s="1684" t="n"/>
      <c r="BG35" s="1684" t="n"/>
      <c r="BH35" s="1684" t="n"/>
      <c r="BI35" s="1684" t="n"/>
      <c r="BJ35" s="1684" t="n"/>
      <c r="BK35" s="1684" t="n"/>
      <c r="BL35" s="1684" t="n"/>
      <c r="BM35" s="1684" t="n"/>
      <c r="BN35" s="1684" t="n"/>
    </row>
    <row r="36" ht="15" customHeight="1" s="7635">
      <c r="A36" s="1681" t="n"/>
      <c r="B36" s="1714" t="n"/>
      <c r="C36" s="1715" t="n"/>
      <c r="D36" s="12590" t="n"/>
      <c r="E36" s="645" t="n"/>
      <c r="F36" s="645" t="n"/>
      <c r="G36" s="12187" t="n"/>
      <c r="H36" s="12590" t="n"/>
      <c r="I36" s="645" t="n"/>
      <c r="J36" s="645" t="n"/>
      <c r="K36" s="645" t="n"/>
      <c r="L36" s="12187" t="n"/>
      <c r="M36" s="12590" t="n"/>
      <c r="N36" s="645" t="n"/>
      <c r="O36" s="645" t="n"/>
      <c r="P36" s="645" t="n"/>
      <c r="Q36" s="645" t="n"/>
      <c r="R36" s="645" t="n"/>
      <c r="S36" s="12187" t="n"/>
      <c r="T36" s="12590" t="n"/>
      <c r="U36" s="645" t="n"/>
      <c r="V36" s="645" t="n"/>
      <c r="W36" s="645" t="n"/>
      <c r="X36" s="645" t="n"/>
      <c r="Y36" s="645" t="n"/>
      <c r="Z36" s="12187" t="n"/>
      <c r="AA36" s="12590" t="n"/>
      <c r="AB36" s="645" t="n"/>
      <c r="AC36" s="645" t="n"/>
      <c r="AD36" s="645" t="n"/>
      <c r="AE36" s="645" t="n"/>
      <c r="AF36" s="645" t="n"/>
      <c r="AG36" s="12187" t="n"/>
      <c r="AH36" s="12590" t="n"/>
      <c r="AI36" s="645" t="n"/>
      <c r="AJ36" s="645" t="n"/>
      <c r="AK36" s="645" t="n"/>
      <c r="AL36" s="645" t="n"/>
      <c r="AM36" s="645" t="n"/>
      <c r="AN36" s="645" t="n"/>
      <c r="AO36" s="645" t="n"/>
      <c r="AP36" s="1681" t="n"/>
      <c r="BD36" s="1684" t="n"/>
      <c r="BE36" s="1684" t="n"/>
      <c r="BF36" s="1684" t="n"/>
      <c r="BG36" s="1684" t="n"/>
      <c r="BH36" s="1684" t="n"/>
      <c r="BI36" s="1684" t="n"/>
      <c r="BJ36" s="1684" t="n"/>
      <c r="BK36" s="1684" t="n"/>
      <c r="BL36" s="1684" t="n"/>
      <c r="BM36" s="1684" t="n"/>
      <c r="BN36" s="1684" t="n"/>
    </row>
    <row r="37" ht="17.25" customHeight="1" s="7635">
      <c r="A37" s="1681" t="n"/>
      <c r="B37" s="10488" t="inlineStr">
        <is>
          <t>A</t>
        </is>
      </c>
      <c r="C37" s="12595" t="n"/>
      <c r="D37" s="12596" t="n"/>
      <c r="E37" s="8007" t="n"/>
      <c r="F37" s="8007" t="n"/>
      <c r="G37" s="8008" t="n"/>
      <c r="H37" s="12597" t="n"/>
      <c r="I37" s="8007" t="n"/>
      <c r="J37" s="8007" t="n"/>
      <c r="K37" s="8007" t="n"/>
      <c r="L37" s="8008" t="n"/>
      <c r="M37" s="12598" t="n"/>
      <c r="N37" s="8007" t="n"/>
      <c r="O37" s="8007" t="n"/>
      <c r="P37" s="8007" t="n"/>
      <c r="Q37" s="8007" t="n"/>
      <c r="R37" s="8007" t="n"/>
      <c r="S37" s="8008" t="n"/>
      <c r="T37" s="12599" t="n"/>
      <c r="U37" s="8007" t="n"/>
      <c r="V37" s="8007" t="n"/>
      <c r="W37" s="8007" t="n"/>
      <c r="X37" s="8007" t="n"/>
      <c r="Y37" s="8007" t="n"/>
      <c r="Z37" s="8008" t="n"/>
      <c r="AA37" s="12599" t="n"/>
      <c r="AB37" s="8007" t="n"/>
      <c r="AC37" s="8007" t="n"/>
      <c r="AD37" s="8007" t="n"/>
      <c r="AE37" s="8007" t="n"/>
      <c r="AF37" s="8007" t="n"/>
      <c r="AG37" s="8008" t="n"/>
      <c r="AH37" s="10485" t="n"/>
      <c r="AI37" s="8007" t="n"/>
      <c r="AJ37" s="8007" t="n"/>
      <c r="AK37" s="8007" t="n"/>
      <c r="AL37" s="8007" t="n"/>
      <c r="AM37" s="8007" t="n"/>
      <c r="AN37" s="8007" t="n"/>
      <c r="AO37" s="8007" t="n"/>
      <c r="AP37" s="1681" t="n"/>
      <c r="BD37" s="1684" t="n"/>
      <c r="BE37" s="1684" t="n"/>
      <c r="BF37" s="1684" t="n"/>
      <c r="BG37" s="1684" t="n"/>
      <c r="BH37" s="1684" t="n"/>
      <c r="BI37" s="1684" t="n"/>
      <c r="BJ37" s="1684" t="n"/>
      <c r="BK37" s="1684" t="n"/>
      <c r="BL37" s="1684" t="n"/>
      <c r="BM37" s="1684" t="n"/>
      <c r="BN37" s="1684" t="n"/>
    </row>
    <row r="38" ht="17.25" customHeight="1" s="7635">
      <c r="A38" s="1681" t="n"/>
      <c r="B38" s="10488" t="inlineStr">
        <is>
          <t>B</t>
        </is>
      </c>
      <c r="C38" s="12595" t="n"/>
      <c r="D38" s="12596" t="n"/>
      <c r="E38" s="8007" t="n"/>
      <c r="F38" s="8007" t="n"/>
      <c r="G38" s="8008" t="n"/>
      <c r="H38" s="12597" t="n"/>
      <c r="I38" s="8007" t="n"/>
      <c r="J38" s="8007" t="n"/>
      <c r="K38" s="8007" t="n"/>
      <c r="L38" s="8008" t="n"/>
      <c r="M38" s="12598" t="n"/>
      <c r="N38" s="8007" t="n"/>
      <c r="O38" s="8007" t="n"/>
      <c r="P38" s="8007" t="n"/>
      <c r="Q38" s="8007" t="n"/>
      <c r="R38" s="8007" t="n"/>
      <c r="S38" s="8008" t="n"/>
      <c r="T38" s="12599" t="n"/>
      <c r="U38" s="8007" t="n"/>
      <c r="V38" s="8007" t="n"/>
      <c r="W38" s="8007" t="n"/>
      <c r="X38" s="8007" t="n"/>
      <c r="Y38" s="8007" t="n"/>
      <c r="Z38" s="8008" t="n"/>
      <c r="AA38" s="12599" t="n"/>
      <c r="AB38" s="8007" t="n"/>
      <c r="AC38" s="8007" t="n"/>
      <c r="AD38" s="8007" t="n"/>
      <c r="AE38" s="8007" t="n"/>
      <c r="AF38" s="8007" t="n"/>
      <c r="AG38" s="8008" t="n"/>
      <c r="AH38" s="10485" t="n"/>
      <c r="AI38" s="8007" t="n"/>
      <c r="AJ38" s="8007" t="n"/>
      <c r="AK38" s="8007" t="n"/>
      <c r="AL38" s="8007" t="n"/>
      <c r="AM38" s="8007" t="n"/>
      <c r="AN38" s="8007" t="n"/>
      <c r="AO38" s="8007" t="n"/>
      <c r="AP38" s="1681" t="n"/>
      <c r="BD38" s="1684" t="n"/>
      <c r="BE38" s="1684" t="n"/>
      <c r="BF38" s="1684" t="n"/>
      <c r="BG38" s="1684" t="n"/>
      <c r="BH38" s="1684" t="n"/>
      <c r="BI38" s="1684" t="n"/>
      <c r="BJ38" s="1684" t="n"/>
      <c r="BK38" s="1684" t="n"/>
      <c r="BL38" s="1684" t="n"/>
      <c r="BM38" s="1684" t="n"/>
      <c r="BN38" s="1684" t="n"/>
    </row>
    <row r="39" ht="17.25" customHeight="1" s="7635">
      <c r="A39" s="1681" t="n"/>
      <c r="B39" s="10488" t="inlineStr">
        <is>
          <t>C</t>
        </is>
      </c>
      <c r="C39" s="12595" t="n"/>
      <c r="D39" s="12596" t="n"/>
      <c r="E39" s="8007" t="n"/>
      <c r="F39" s="8007" t="n"/>
      <c r="G39" s="8008" t="n"/>
      <c r="H39" s="12597" t="n"/>
      <c r="I39" s="8007" t="n"/>
      <c r="J39" s="8007" t="n"/>
      <c r="K39" s="8007" t="n"/>
      <c r="L39" s="8008" t="n"/>
      <c r="M39" s="12598" t="n"/>
      <c r="N39" s="8007" t="n"/>
      <c r="O39" s="8007" t="n"/>
      <c r="P39" s="8007" t="n"/>
      <c r="Q39" s="8007" t="n"/>
      <c r="R39" s="8007" t="n"/>
      <c r="S39" s="8008" t="n"/>
      <c r="T39" s="12599" t="n"/>
      <c r="U39" s="8007" t="n"/>
      <c r="V39" s="8007" t="n"/>
      <c r="W39" s="8007" t="n"/>
      <c r="X39" s="8007" t="n"/>
      <c r="Y39" s="8007" t="n"/>
      <c r="Z39" s="8008" t="n"/>
      <c r="AA39" s="12599" t="n"/>
      <c r="AB39" s="8007" t="n"/>
      <c r="AC39" s="8007" t="n"/>
      <c r="AD39" s="8007" t="n"/>
      <c r="AE39" s="8007" t="n"/>
      <c r="AF39" s="8007" t="n"/>
      <c r="AG39" s="8008" t="n"/>
      <c r="AH39" s="10485" t="n"/>
      <c r="AI39" s="8007" t="n"/>
      <c r="AJ39" s="8007" t="n"/>
      <c r="AK39" s="8007" t="n"/>
      <c r="AL39" s="8007" t="n"/>
      <c r="AM39" s="8007" t="n"/>
      <c r="AN39" s="8007" t="n"/>
      <c r="AO39" s="8007" t="n"/>
      <c r="AP39" s="1681" t="n"/>
      <c r="BD39" s="1684" t="n"/>
      <c r="BE39" s="1684" t="n"/>
      <c r="BF39" s="1684" t="n"/>
      <c r="BG39" s="1684" t="n"/>
      <c r="BH39" s="1684" t="n"/>
      <c r="BI39" s="1684" t="n"/>
      <c r="BJ39" s="1684" t="n"/>
      <c r="BK39" s="1684" t="n"/>
      <c r="BL39" s="1684" t="n"/>
      <c r="BM39" s="1684" t="n"/>
      <c r="BN39" s="1684" t="n"/>
    </row>
    <row r="40" ht="17.25" customHeight="1" s="7635">
      <c r="A40" s="1681" t="n"/>
      <c r="B40" s="10488" t="inlineStr">
        <is>
          <t>D</t>
        </is>
      </c>
      <c r="C40" s="12595" t="n"/>
      <c r="D40" s="12596" t="n"/>
      <c r="E40" s="8007" t="n"/>
      <c r="F40" s="8007" t="n"/>
      <c r="G40" s="8008" t="n"/>
      <c r="H40" s="12597" t="n"/>
      <c r="I40" s="8007" t="n"/>
      <c r="J40" s="8007" t="n"/>
      <c r="K40" s="8007" t="n"/>
      <c r="L40" s="8008" t="n"/>
      <c r="M40" s="12598" t="n"/>
      <c r="N40" s="8007" t="n"/>
      <c r="O40" s="8007" t="n"/>
      <c r="P40" s="8007" t="n"/>
      <c r="Q40" s="8007" t="n"/>
      <c r="R40" s="8007" t="n"/>
      <c r="S40" s="8008" t="n"/>
      <c r="T40" s="12599" t="n"/>
      <c r="U40" s="8007" t="n"/>
      <c r="V40" s="8007" t="n"/>
      <c r="W40" s="8007" t="n"/>
      <c r="X40" s="8007" t="n"/>
      <c r="Y40" s="8007" t="n"/>
      <c r="Z40" s="8008" t="n"/>
      <c r="AA40" s="12599" t="n"/>
      <c r="AB40" s="8007" t="n"/>
      <c r="AC40" s="8007" t="n"/>
      <c r="AD40" s="8007" t="n"/>
      <c r="AE40" s="8007" t="n"/>
      <c r="AF40" s="8007" t="n"/>
      <c r="AG40" s="8008" t="n"/>
      <c r="AH40" s="10485" t="n"/>
      <c r="AI40" s="8007" t="n"/>
      <c r="AJ40" s="8007" t="n"/>
      <c r="AK40" s="8007" t="n"/>
      <c r="AL40" s="8007" t="n"/>
      <c r="AM40" s="8007" t="n"/>
      <c r="AN40" s="8007" t="n"/>
      <c r="AO40" s="8007" t="n"/>
      <c r="AP40" s="1681" t="n"/>
      <c r="BD40" s="1684" t="n"/>
      <c r="BE40" s="1684" t="n"/>
      <c r="BF40" s="1684" t="n"/>
      <c r="BG40" s="1684" t="n"/>
      <c r="BH40" s="1684" t="n"/>
      <c r="BI40" s="1684" t="n"/>
      <c r="BJ40" s="1684" t="n"/>
      <c r="BK40" s="1684" t="n"/>
      <c r="BL40" s="1684" t="n"/>
      <c r="BM40" s="1684" t="n"/>
      <c r="BN40" s="1684" t="n"/>
    </row>
    <row r="41" ht="17.25" customHeight="1" s="7635" thickBot="1">
      <c r="A41" s="1681" t="n"/>
      <c r="B41" s="10474" t="inlineStr">
        <is>
          <t>E</t>
        </is>
      </c>
      <c r="C41" s="12600" t="n"/>
      <c r="D41" s="12601" t="n"/>
      <c r="E41" s="11809" t="n"/>
      <c r="F41" s="11809" t="n"/>
      <c r="G41" s="11810" t="n"/>
      <c r="H41" s="12602" t="n"/>
      <c r="I41" s="11809" t="n"/>
      <c r="J41" s="11809" t="n"/>
      <c r="K41" s="11809" t="n"/>
      <c r="L41" s="11810" t="n"/>
      <c r="M41" s="12603" t="n"/>
      <c r="N41" s="11809" t="n"/>
      <c r="O41" s="11809" t="n"/>
      <c r="P41" s="11809" t="n"/>
      <c r="Q41" s="11809" t="n"/>
      <c r="R41" s="11809" t="n"/>
      <c r="S41" s="11810" t="n"/>
      <c r="T41" s="12604" t="n"/>
      <c r="U41" s="11809" t="n"/>
      <c r="V41" s="11809" t="n"/>
      <c r="W41" s="11809" t="n"/>
      <c r="X41" s="11809" t="n"/>
      <c r="Y41" s="11809" t="n"/>
      <c r="Z41" s="11810" t="n"/>
      <c r="AA41" s="12604" t="n"/>
      <c r="AB41" s="11809" t="n"/>
      <c r="AC41" s="11809" t="n"/>
      <c r="AD41" s="11809" t="n"/>
      <c r="AE41" s="11809" t="n"/>
      <c r="AF41" s="11809" t="n"/>
      <c r="AG41" s="11810" t="n"/>
      <c r="AH41" s="10469" t="n"/>
      <c r="AI41" s="11809" t="n"/>
      <c r="AJ41" s="11809" t="n"/>
      <c r="AK41" s="11809" t="n"/>
      <c r="AL41" s="11809" t="n"/>
      <c r="AM41" s="11809" t="n"/>
      <c r="AN41" s="11809" t="n"/>
      <c r="AO41" s="11809" t="n"/>
      <c r="AP41" s="1681" t="n"/>
      <c r="BD41" s="1684" t="n"/>
      <c r="BE41" s="1684" t="n"/>
      <c r="BF41" s="1684" t="n"/>
      <c r="BG41" s="1684" t="n"/>
      <c r="BH41" s="1684" t="n"/>
      <c r="BI41" s="1684" t="n"/>
      <c r="BJ41" s="1684" t="n"/>
      <c r="BK41" s="1684" t="n"/>
      <c r="BL41" s="1684" t="n"/>
      <c r="BM41" s="1684" t="n"/>
      <c r="BN41" s="1684" t="n"/>
    </row>
    <row r="42" ht="17.25" customHeight="1" s="7635">
      <c r="A42" s="1681" t="n"/>
      <c r="B42" s="1691" t="inlineStr">
        <is>
          <t>Section B.</t>
        </is>
      </c>
      <c r="C42" s="475" t="n"/>
      <c r="D42" s="475" t="n"/>
      <c r="E42" s="475" t="n"/>
      <c r="F42" s="1717" t="inlineStr">
        <is>
          <t>Donated Property Over $5,000 (Except Publicly Traded Securities, Vehicles, Intellectual Property or</t>
        </is>
      </c>
      <c r="G42" s="475" t="n"/>
      <c r="H42" s="475" t="n"/>
      <c r="I42" s="475" t="n"/>
      <c r="J42" s="475" t="n"/>
      <c r="K42" s="475" t="n"/>
      <c r="L42" s="475" t="n"/>
      <c r="M42" s="475" t="n"/>
      <c r="N42" s="475" t="n"/>
      <c r="O42" s="475" t="n"/>
      <c r="P42" s="475" t="n"/>
      <c r="Q42" s="475" t="n"/>
      <c r="R42" s="475" t="n"/>
      <c r="S42" s="475" t="n"/>
      <c r="T42" s="475" t="n"/>
      <c r="U42" s="475" t="n"/>
      <c r="V42" s="475" t="n"/>
      <c r="W42" s="475" t="n"/>
      <c r="X42" s="475" t="n"/>
      <c r="Y42" s="475" t="n"/>
      <c r="Z42" s="475" t="n"/>
      <c r="AA42" s="475" t="n"/>
      <c r="AB42" s="475" t="n"/>
      <c r="AC42" s="475" t="n"/>
      <c r="AD42" s="475" t="n"/>
      <c r="AE42" s="475" t="n"/>
      <c r="AF42" s="475" t="n"/>
      <c r="AG42" s="475" t="n"/>
      <c r="AH42" s="475" t="n"/>
      <c r="AI42" s="475" t="n"/>
      <c r="AJ42" s="475" t="n"/>
      <c r="AK42" s="475" t="n"/>
      <c r="AL42" s="475" t="n"/>
      <c r="AM42" s="475" t="n"/>
      <c r="AN42" s="475" t="n"/>
      <c r="AO42" s="475" t="n"/>
      <c r="AP42" s="1681" t="n"/>
      <c r="BD42" s="1684" t="n"/>
      <c r="BE42" s="1684" t="n"/>
      <c r="BF42" s="1684" t="n"/>
      <c r="BG42" s="1684" t="n"/>
      <c r="BH42" s="1684" t="n"/>
      <c r="BI42" s="1684" t="n"/>
      <c r="BJ42" s="1684" t="n"/>
      <c r="BK42" s="1684" t="n"/>
      <c r="BL42" s="1684" t="n"/>
      <c r="BM42" s="1684" t="n"/>
      <c r="BN42" s="1684" t="n"/>
    </row>
    <row r="43" ht="12.75" customHeight="1" s="7635">
      <c r="A43" s="1681" t="n"/>
      <c r="B43" s="475" t="n"/>
      <c r="C43" s="475" t="n"/>
      <c r="D43" s="475" t="n"/>
      <c r="E43" s="475" t="n"/>
      <c r="F43" s="1717" t="inlineStr">
        <is>
          <t>Inventory Reportable in Section A)—Complete this section for one item (or a group of similar items) for</t>
        </is>
      </c>
      <c r="G43" s="475" t="n"/>
      <c r="H43" s="475" t="n"/>
      <c r="I43" s="475" t="n"/>
      <c r="J43" s="475" t="n"/>
      <c r="K43" s="475" t="n"/>
      <c r="L43" s="475" t="n"/>
      <c r="M43" s="475" t="n"/>
      <c r="N43" s="475" t="n"/>
      <c r="O43" s="475" t="n"/>
      <c r="P43" s="475" t="n"/>
      <c r="Q43" s="475" t="n"/>
      <c r="R43" s="475" t="n"/>
      <c r="S43" s="475" t="n"/>
      <c r="T43" s="475" t="n"/>
      <c r="U43" s="475" t="n"/>
      <c r="V43" s="475" t="n"/>
      <c r="W43" s="475" t="n"/>
      <c r="X43" s="475" t="n"/>
      <c r="Y43" s="475" t="n"/>
      <c r="Z43" s="475" t="n"/>
      <c r="AA43" s="475" t="n"/>
      <c r="AB43" s="475" t="n"/>
      <c r="AC43" s="475" t="n"/>
      <c r="AD43" s="475" t="n"/>
      <c r="AE43" s="475" t="n"/>
      <c r="AF43" s="475" t="n"/>
      <c r="AG43" s="475" t="n"/>
      <c r="AH43" s="475" t="n"/>
      <c r="AI43" s="475" t="n"/>
      <c r="AJ43" s="475" t="n"/>
      <c r="AK43" s="475" t="n"/>
      <c r="AL43" s="475" t="n"/>
      <c r="AM43" s="475" t="n"/>
      <c r="AN43" s="475" t="n"/>
      <c r="AO43" s="475" t="n"/>
      <c r="AP43" s="1681" t="n"/>
      <c r="BD43" s="1684" t="n"/>
      <c r="BE43" s="1684" t="n"/>
      <c r="BF43" s="1684" t="n"/>
      <c r="BG43" s="1684" t="n"/>
      <c r="BH43" s="1684" t="n"/>
      <c r="BI43" s="1684" t="n"/>
      <c r="BJ43" s="1684" t="n"/>
      <c r="BK43" s="1684" t="n"/>
      <c r="BL43" s="1684" t="n"/>
      <c r="BM43" s="1684" t="n"/>
      <c r="BN43" s="1684" t="n"/>
    </row>
    <row r="44" ht="12.75" customHeight="1" s="7635">
      <c r="A44" s="1681" t="n"/>
      <c r="B44" s="475" t="n"/>
      <c r="C44" s="475" t="n"/>
      <c r="D44" s="475" t="n"/>
      <c r="E44" s="475" t="n"/>
      <c r="F44" s="1718" t="inlineStr">
        <is>
          <t>which you claimed a deduction of more than $5,000 per item or group (except contributions reportable in</t>
        </is>
      </c>
      <c r="G44" s="475" t="n"/>
      <c r="H44" s="475" t="n"/>
      <c r="I44" s="475" t="n"/>
      <c r="J44" s="475" t="n"/>
      <c r="K44" s="475" t="n"/>
      <c r="L44" s="475" t="n"/>
      <c r="M44" s="475" t="n"/>
      <c r="N44" s="475" t="n"/>
      <c r="O44" s="475" t="n"/>
      <c r="P44" s="475" t="n"/>
      <c r="Q44" s="475" t="n"/>
      <c r="R44" s="475" t="n"/>
      <c r="S44" s="475" t="n"/>
      <c r="T44" s="475" t="n"/>
      <c r="U44" s="475" t="n"/>
      <c r="V44" s="475" t="n"/>
      <c r="W44" s="475" t="n"/>
      <c r="X44" s="475" t="n"/>
      <c r="Y44" s="475" t="n"/>
      <c r="Z44" s="475" t="n"/>
      <c r="AA44" s="475" t="n"/>
      <c r="AB44" s="475" t="n"/>
      <c r="AC44" s="475" t="n"/>
      <c r="AD44" s="475" t="n"/>
      <c r="AE44" s="475" t="n"/>
      <c r="AF44" s="475" t="n"/>
      <c r="AG44" s="475" t="n"/>
      <c r="AH44" s="475" t="n"/>
      <c r="AI44" s="475" t="n"/>
      <c r="AJ44" s="475" t="n"/>
      <c r="AK44" s="475" t="n"/>
      <c r="AL44" s="475" t="n"/>
      <c r="AM44" s="475" t="n"/>
      <c r="AN44" s="475" t="n"/>
      <c r="AO44" s="475" t="n"/>
      <c r="AP44" s="1681" t="n"/>
      <c r="BD44" s="1684" t="n"/>
      <c r="BE44" s="1684" t="n"/>
      <c r="BF44" s="1684" t="n"/>
      <c r="BG44" s="1684" t="n"/>
      <c r="BH44" s="1684" t="n"/>
      <c r="BI44" s="1684" t="n"/>
      <c r="BJ44" s="1684" t="n"/>
      <c r="BK44" s="1684" t="n"/>
      <c r="BL44" s="1684" t="n"/>
      <c r="BM44" s="1684" t="n"/>
      <c r="BN44" s="1684" t="n"/>
    </row>
    <row r="45" ht="12.75" customHeight="1" s="7635">
      <c r="A45" s="1681" t="n"/>
      <c r="B45" s="475" t="n"/>
      <c r="C45" s="475" t="n"/>
      <c r="D45" s="475" t="n"/>
      <c r="E45" s="475" t="n"/>
      <c r="F45" s="1718" t="inlineStr">
        <is>
          <t>Section A). Provide a separate form for each item donated unless it is part of a group of similar items. A</t>
        </is>
      </c>
      <c r="G45" s="475" t="n"/>
      <c r="H45" s="475" t="n"/>
      <c r="I45" s="475" t="n"/>
      <c r="J45" s="475" t="n"/>
      <c r="K45" s="475" t="n"/>
      <c r="L45" s="475" t="n"/>
      <c r="M45" s="475" t="n"/>
      <c r="N45" s="475" t="n"/>
      <c r="O45" s="475" t="n"/>
      <c r="P45" s="475" t="n"/>
      <c r="Q45" s="475" t="n"/>
      <c r="R45" s="475" t="n"/>
      <c r="S45" s="475" t="n"/>
      <c r="T45" s="475" t="n"/>
      <c r="U45" s="475" t="n"/>
      <c r="V45" s="475" t="n"/>
      <c r="W45" s="475" t="n"/>
      <c r="X45" s="475" t="n"/>
      <c r="Y45" s="475" t="n"/>
      <c r="Z45" s="475" t="n"/>
      <c r="AA45" s="475" t="n"/>
      <c r="AB45" s="475" t="n"/>
      <c r="AC45" s="475" t="n"/>
      <c r="AD45" s="475" t="n"/>
      <c r="AE45" s="475" t="n"/>
      <c r="AF45" s="475" t="n"/>
      <c r="AG45" s="475" t="n"/>
      <c r="AH45" s="475" t="n"/>
      <c r="AI45" s="475" t="n"/>
      <c r="AJ45" s="475" t="n"/>
      <c r="AK45" s="475" t="n"/>
      <c r="AL45" s="475" t="n"/>
      <c r="AM45" s="475" t="n"/>
      <c r="AN45" s="475" t="n"/>
      <c r="AO45" s="475" t="n"/>
      <c r="AP45" s="1681" t="n"/>
      <c r="BD45" s="1684" t="n"/>
      <c r="BE45" s="1684" t="n"/>
      <c r="BF45" s="1684" t="n"/>
      <c r="BG45" s="1684" t="n"/>
      <c r="BH45" s="1684" t="n"/>
      <c r="BI45" s="1684" t="n"/>
      <c r="BJ45" s="1684" t="n"/>
      <c r="BK45" s="1684" t="n"/>
      <c r="BL45" s="1684" t="n"/>
      <c r="BM45" s="1684" t="n"/>
      <c r="BN45" s="1684" t="n"/>
    </row>
    <row r="46" ht="12.75" customHeight="1" s="7635">
      <c r="A46" s="1681" t="n"/>
      <c r="B46" s="475" t="n"/>
      <c r="C46" s="475" t="n"/>
      <c r="D46" s="475" t="n"/>
      <c r="E46" s="475" t="n"/>
      <c r="F46" s="1718" t="inlineStr">
        <is>
          <t>qualified appraisal is generally required for items reportable in Section B. See instructions.</t>
        </is>
      </c>
      <c r="G46" s="475" t="n"/>
      <c r="H46" s="475" t="n"/>
      <c r="I46" s="475" t="n"/>
      <c r="J46" s="475" t="n"/>
      <c r="K46" s="475" t="n"/>
      <c r="L46" s="475" t="n"/>
      <c r="M46" s="475" t="n"/>
      <c r="N46" s="475" t="n"/>
      <c r="O46" s="475" t="n"/>
      <c r="P46" s="475" t="n"/>
      <c r="Q46" s="475" t="n"/>
      <c r="R46" s="475" t="n"/>
      <c r="S46" s="475" t="n"/>
      <c r="T46" s="475" t="n"/>
      <c r="U46" s="475" t="n"/>
      <c r="V46" s="475" t="n"/>
      <c r="W46" s="475" t="n"/>
      <c r="X46" s="475" t="n"/>
      <c r="Y46" s="475" t="n"/>
      <c r="Z46" s="475" t="n"/>
      <c r="AA46" s="475" t="n"/>
      <c r="AB46" s="475" t="n"/>
      <c r="AC46" s="475" t="n"/>
      <c r="AD46" s="475" t="n"/>
      <c r="AE46" s="475" t="n"/>
      <c r="AF46" s="475" t="n"/>
      <c r="AG46" s="475" t="n"/>
      <c r="AH46" s="475" t="n"/>
      <c r="AI46" s="475" t="n"/>
      <c r="AJ46" s="475" t="n"/>
      <c r="AK46" s="475" t="n"/>
      <c r="AL46" s="475" t="n"/>
      <c r="AM46" s="475" t="n"/>
      <c r="AN46" s="475" t="n"/>
      <c r="AO46" s="475" t="n"/>
      <c r="AP46" s="1681" t="n"/>
      <c r="BD46" s="1684" t="n"/>
      <c r="BE46" s="1684" t="n"/>
      <c r="BF46" s="1684" t="n"/>
      <c r="BG46" s="1684" t="n"/>
      <c r="BH46" s="1684" t="n"/>
      <c r="BI46" s="1684" t="n"/>
      <c r="BJ46" s="1684" t="n"/>
      <c r="BK46" s="1684" t="n"/>
      <c r="BL46" s="1684" t="n"/>
      <c r="BM46" s="1684" t="n"/>
      <c r="BN46" s="1684" t="n"/>
    </row>
    <row r="47" ht="18.75" customFormat="1" customHeight="1" s="1695">
      <c r="A47" s="1693" t="n"/>
      <c r="B47" s="10471" t="inlineStr">
        <is>
          <t>Part I</t>
        </is>
      </c>
      <c r="C47" s="12056" t="n"/>
      <c r="D47" s="12056" t="n"/>
      <c r="E47" s="1694" t="n"/>
      <c r="F47" s="1719" t="inlineStr">
        <is>
          <t>Information on Donated Property</t>
        </is>
      </c>
      <c r="G47" s="1694" t="n"/>
      <c r="H47" s="1694" t="n"/>
      <c r="I47" s="1694" t="n"/>
      <c r="J47" s="1694" t="n"/>
      <c r="K47" s="1694" t="n"/>
      <c r="L47" s="1694" t="n"/>
      <c r="M47" s="1694" t="n"/>
      <c r="N47" s="1694" t="n"/>
      <c r="O47" s="1694" t="n"/>
      <c r="P47" s="1694" t="n"/>
      <c r="Q47" s="1694" t="n"/>
      <c r="R47" s="1694" t="n"/>
      <c r="S47" s="1694" t="n"/>
      <c r="T47" s="1694" t="n"/>
      <c r="U47" s="1694" t="n"/>
      <c r="V47" s="1694" t="n"/>
      <c r="W47" s="1694" t="n"/>
      <c r="X47" s="1694" t="n"/>
      <c r="Y47" s="1694" t="n"/>
      <c r="Z47" s="1694" t="n"/>
      <c r="AA47" s="1694" t="n"/>
      <c r="AB47" s="1694" t="n"/>
      <c r="AC47" s="1694" t="n"/>
      <c r="AD47" s="1694" t="n"/>
      <c r="AE47" s="1694" t="n"/>
      <c r="AF47" s="1694" t="n"/>
      <c r="AG47" s="1694" t="n"/>
      <c r="AH47" s="1694" t="n"/>
      <c r="AI47" s="1694" t="n"/>
      <c r="AJ47" s="1694" t="n"/>
      <c r="AK47" s="1694" t="n"/>
      <c r="AL47" s="1694" t="n"/>
      <c r="AM47" s="1694" t="n"/>
      <c r="AN47" s="1694" t="n"/>
      <c r="AO47" s="1694" t="n"/>
      <c r="AP47" s="1681" t="n"/>
      <c r="BD47" s="1684" t="n"/>
      <c r="BE47" s="1684" t="n"/>
      <c r="BF47" s="1684" t="n"/>
      <c r="BG47" s="1684" t="n"/>
      <c r="BH47" s="1684" t="n"/>
      <c r="BI47" s="1684" t="n"/>
      <c r="BJ47" s="1684" t="n"/>
      <c r="BK47" s="1684" t="n"/>
      <c r="BL47" s="1684" t="n"/>
      <c r="BM47" s="1684" t="n"/>
      <c r="BN47" s="1684" t="n"/>
    </row>
    <row r="48" ht="15" customHeight="1" s="7635">
      <c r="A48" s="1681" t="n"/>
      <c r="B48" s="10386" t="n">
        <v>2</v>
      </c>
      <c r="C48" s="26" t="n"/>
      <c r="D48" s="1718" t="inlineStr">
        <is>
          <t>Check the box that describes the type of property donated:</t>
        </is>
      </c>
      <c r="E48" s="475" t="n"/>
      <c r="F48" s="475" t="n"/>
      <c r="G48" s="475" t="n"/>
      <c r="H48" s="475" t="n"/>
      <c r="I48" s="475" t="n"/>
      <c r="J48" s="475" t="n"/>
      <c r="K48" s="475" t="n"/>
      <c r="L48" s="475" t="n"/>
      <c r="M48" s="475" t="n"/>
      <c r="N48" s="475" t="n"/>
      <c r="O48" s="475" t="n"/>
      <c r="P48" s="475" t="n"/>
      <c r="Q48" s="475" t="n"/>
      <c r="R48" s="475" t="n"/>
      <c r="S48" s="475" t="n"/>
      <c r="T48" s="475" t="n"/>
      <c r="U48" s="475" t="n"/>
      <c r="V48" s="475" t="n"/>
      <c r="W48" s="475" t="n"/>
      <c r="X48" s="475" t="n"/>
      <c r="Y48" s="475" t="n"/>
      <c r="Z48" s="475" t="n"/>
      <c r="AA48" s="475" t="n"/>
      <c r="AB48" s="475" t="n"/>
      <c r="AC48" s="475" t="n"/>
      <c r="AD48" s="475" t="n"/>
      <c r="AE48" s="475" t="n"/>
      <c r="AF48" s="475" t="n"/>
      <c r="AG48" s="475" t="n"/>
      <c r="AH48" s="475" t="n"/>
      <c r="AI48" s="475" t="n"/>
      <c r="AJ48" s="475" t="n"/>
      <c r="AK48" s="475" t="n"/>
      <c r="AL48" s="475" t="n"/>
      <c r="AM48" s="475" t="n"/>
      <c r="AN48" s="475" t="n"/>
      <c r="AO48" s="475" t="n"/>
      <c r="AP48" s="1681" t="n"/>
      <c r="BD48" s="1684" t="n"/>
      <c r="BE48" s="1684" t="n"/>
      <c r="BF48" s="1684" t="n"/>
      <c r="BG48" s="1684" t="n"/>
      <c r="BH48" s="1684" t="n"/>
      <c r="BI48" s="1684" t="n"/>
      <c r="BJ48" s="1684" t="n"/>
      <c r="BK48" s="1684" t="n"/>
      <c r="BL48" s="1684" t="n"/>
      <c r="BM48" s="1684" t="n"/>
      <c r="BN48" s="1684" t="n"/>
    </row>
    <row r="49" ht="6" customHeight="1" s="7635">
      <c r="A49" s="1681" t="n"/>
      <c r="B49" s="10386" t="n"/>
      <c r="C49" s="10446" t="n"/>
      <c r="D49" s="1718" t="n"/>
      <c r="E49" s="475" t="n"/>
      <c r="F49" s="475" t="n"/>
      <c r="G49" s="475" t="n"/>
      <c r="H49" s="475" t="n"/>
      <c r="I49" s="475" t="n"/>
      <c r="J49" s="475" t="n"/>
      <c r="K49" s="475" t="n"/>
      <c r="L49" s="475" t="n"/>
      <c r="M49" s="475" t="n"/>
      <c r="N49" s="475" t="n"/>
      <c r="O49" s="475" t="n"/>
      <c r="P49" s="475" t="n"/>
      <c r="Q49" s="475" t="n"/>
      <c r="R49" s="475" t="n"/>
      <c r="S49" s="475" t="n"/>
      <c r="T49" s="475" t="n"/>
      <c r="U49" s="475" t="n"/>
      <c r="V49" s="475" t="n"/>
      <c r="W49" s="475" t="n"/>
      <c r="X49" s="475" t="n"/>
      <c r="Y49" s="475" t="n"/>
      <c r="Z49" s="475" t="n"/>
      <c r="AA49" s="475" t="n"/>
      <c r="AB49" s="475" t="n"/>
      <c r="AC49" s="475" t="n"/>
      <c r="AD49" s="475" t="n"/>
      <c r="AE49" s="475" t="n"/>
      <c r="AF49" s="475" t="n"/>
      <c r="AG49" s="475" t="n"/>
      <c r="AH49" s="475" t="n"/>
      <c r="AI49" s="475" t="n"/>
      <c r="AJ49" s="475" t="n"/>
      <c r="AK49" s="475" t="n"/>
      <c r="AL49" s="475" t="n"/>
      <c r="AM49" s="475" t="n"/>
      <c r="AN49" s="475" t="n"/>
      <c r="AO49" s="475" t="n"/>
      <c r="AP49" s="1681" t="n"/>
      <c r="BD49" s="1684" t="n"/>
      <c r="BE49" s="1684" t="n"/>
      <c r="BF49" s="1684" t="n"/>
      <c r="BG49" s="1684" t="n"/>
      <c r="BH49" s="1684" t="n"/>
      <c r="BI49" s="1684" t="n"/>
      <c r="BJ49" s="1684" t="n"/>
      <c r="BK49" s="1684" t="n"/>
      <c r="BL49" s="1684" t="n"/>
      <c r="BM49" s="1684" t="n"/>
      <c r="BN49" s="1684" t="n"/>
    </row>
    <row r="50" ht="15" customHeight="1" s="7635">
      <c r="A50" s="1681" t="n"/>
      <c r="B50" s="10386" t="n"/>
      <c r="C50" s="26" t="n"/>
      <c r="D50" s="1722" t="inlineStr">
        <is>
          <t>a</t>
        </is>
      </c>
      <c r="E50" s="1723" t="n"/>
      <c r="F50" s="1724" t="inlineStr">
        <is>
          <t xml:space="preserve"> Art* (contribution of $20,000 or more)</t>
        </is>
      </c>
      <c r="G50" s="475" t="n"/>
      <c r="H50" s="475" t="n"/>
      <c r="I50" s="475" t="n"/>
      <c r="J50" s="475" t="n"/>
      <c r="K50" s="475" t="n"/>
      <c r="L50" s="475" t="n"/>
      <c r="M50" s="475" t="n"/>
      <c r="N50" s="475" t="n"/>
      <c r="O50" s="475" t="n"/>
      <c r="P50" s="1722" t="inlineStr">
        <is>
          <t>e</t>
        </is>
      </c>
      <c r="Q50" s="1723" t="n"/>
      <c r="R50" s="1724" t="inlineStr">
        <is>
          <t xml:space="preserve"> Other Real Estate</t>
        </is>
      </c>
      <c r="S50" s="475" t="n"/>
      <c r="T50" s="475" t="n"/>
      <c r="U50" s="475" t="n"/>
      <c r="V50" s="475" t="n"/>
      <c r="W50" s="475" t="n"/>
      <c r="X50" s="475" t="n"/>
      <c r="Y50" s="475" t="n"/>
      <c r="Z50" s="475" t="n"/>
      <c r="AA50" s="475" t="n"/>
      <c r="AB50" s="475" t="n"/>
      <c r="AC50" s="475" t="n"/>
      <c r="AD50" s="1722" t="inlineStr">
        <is>
          <t>i</t>
        </is>
      </c>
      <c r="AE50" s="1723" t="n"/>
      <c r="AF50" s="1724" t="inlineStr">
        <is>
          <t xml:space="preserve"> Vehicles</t>
        </is>
      </c>
      <c r="AG50" s="475" t="n"/>
      <c r="AH50" s="475" t="n"/>
      <c r="AI50" s="475" t="n"/>
      <c r="AJ50" s="475" t="n"/>
      <c r="AK50" s="475" t="n"/>
      <c r="AL50" s="475" t="n"/>
      <c r="AM50" s="475" t="n"/>
      <c r="AN50" s="475" t="n"/>
      <c r="AO50" s="475" t="n"/>
      <c r="AP50" s="1681" t="n"/>
      <c r="BD50" s="1684" t="n"/>
      <c r="BE50" s="1684" t="n"/>
      <c r="BF50" s="1684" t="n"/>
      <c r="BG50" s="1684" t="n"/>
      <c r="BH50" s="1684" t="n"/>
      <c r="BI50" s="1684" t="n"/>
      <c r="BJ50" s="1684" t="n"/>
      <c r="BK50" s="1684" t="n"/>
      <c r="BL50" s="1684" t="n"/>
      <c r="BM50" s="1684" t="n"/>
      <c r="BN50" s="1684" t="n"/>
    </row>
    <row r="51" ht="6" customHeight="1" s="7635">
      <c r="A51" s="1681" t="n"/>
      <c r="B51" s="10386" t="n"/>
      <c r="C51" s="10446" t="n"/>
      <c r="D51" s="1718" t="n"/>
      <c r="E51" s="475" t="n"/>
      <c r="F51" s="475" t="n"/>
      <c r="G51" s="475" t="n"/>
      <c r="H51" s="475" t="n"/>
      <c r="I51" s="475" t="n"/>
      <c r="J51" s="475" t="n"/>
      <c r="K51" s="475" t="n"/>
      <c r="L51" s="475" t="n"/>
      <c r="M51" s="475" t="n"/>
      <c r="N51" s="475" t="n"/>
      <c r="O51" s="475" t="n"/>
      <c r="P51" s="475" t="n"/>
      <c r="Q51" s="475" t="n"/>
      <c r="R51" s="475" t="n"/>
      <c r="S51" s="475" t="n"/>
      <c r="T51" s="475" t="n"/>
      <c r="U51" s="475" t="n"/>
      <c r="V51" s="475" t="n"/>
      <c r="W51" s="475" t="n"/>
      <c r="X51" s="475" t="n"/>
      <c r="Y51" s="475" t="n"/>
      <c r="Z51" s="475" t="n"/>
      <c r="AA51" s="475" t="n"/>
      <c r="AB51" s="475" t="n"/>
      <c r="AC51" s="475" t="n"/>
      <c r="AD51" s="475" t="n"/>
      <c r="AE51" s="475" t="n"/>
      <c r="AF51" s="475" t="n"/>
      <c r="AG51" s="475" t="n"/>
      <c r="AH51" s="475" t="n"/>
      <c r="AI51" s="475" t="n"/>
      <c r="AJ51" s="475" t="n"/>
      <c r="AK51" s="475" t="n"/>
      <c r="AL51" s="475" t="n"/>
      <c r="AM51" s="475" t="n"/>
      <c r="AN51" s="475" t="n"/>
      <c r="AO51" s="475" t="n"/>
      <c r="AP51" s="1681" t="n"/>
      <c r="BD51" s="1684" t="n"/>
      <c r="BE51" s="1684" t="n"/>
      <c r="BF51" s="1684" t="n"/>
      <c r="BG51" s="1684" t="n"/>
      <c r="BH51" s="1684" t="n"/>
      <c r="BI51" s="1684" t="n"/>
      <c r="BJ51" s="1684" t="n"/>
      <c r="BK51" s="1684" t="n"/>
      <c r="BL51" s="1684" t="n"/>
      <c r="BM51" s="1684" t="n"/>
      <c r="BN51" s="1684" t="n"/>
    </row>
    <row r="52" ht="15" customHeight="1" s="7635">
      <c r="A52" s="1681" t="n"/>
      <c r="B52" s="10386" t="n"/>
      <c r="C52" s="26" t="n"/>
      <c r="D52" s="1722" t="inlineStr">
        <is>
          <t>b</t>
        </is>
      </c>
      <c r="E52" s="1723" t="n"/>
      <c r="F52" s="1724" t="inlineStr">
        <is>
          <t xml:space="preserve"> Qualified Conservation Contribution</t>
        </is>
      </c>
      <c r="G52" s="475" t="n"/>
      <c r="H52" s="475" t="n"/>
      <c r="I52" s="475" t="n"/>
      <c r="J52" s="475" t="n"/>
      <c r="K52" s="475" t="n"/>
      <c r="L52" s="475" t="n"/>
      <c r="M52" s="475" t="n"/>
      <c r="N52" s="475" t="n"/>
      <c r="O52" s="475" t="n"/>
      <c r="P52" s="1722" t="inlineStr">
        <is>
          <t>f</t>
        </is>
      </c>
      <c r="Q52" s="1723" t="n"/>
      <c r="R52" s="1724" t="inlineStr">
        <is>
          <t xml:space="preserve"> Securities</t>
        </is>
      </c>
      <c r="S52" s="475" t="n"/>
      <c r="T52" s="475" t="n"/>
      <c r="U52" s="475" t="n"/>
      <c r="V52" s="475" t="n"/>
      <c r="W52" s="475" t="n"/>
      <c r="X52" s="475" t="n"/>
      <c r="Y52" s="475" t="n"/>
      <c r="Z52" s="475" t="n"/>
      <c r="AA52" s="475" t="n"/>
      <c r="AB52" s="475" t="n"/>
      <c r="AC52" s="475" t="n"/>
      <c r="AD52" s="1722" t="inlineStr">
        <is>
          <t>j</t>
        </is>
      </c>
      <c r="AE52" s="1723" t="n"/>
      <c r="AF52" s="1724" t="inlineStr">
        <is>
          <t>Clothing and household items</t>
        </is>
      </c>
      <c r="AG52" s="475" t="n"/>
      <c r="AH52" s="475" t="n"/>
      <c r="AI52" s="475" t="n"/>
      <c r="AJ52" s="475" t="n"/>
      <c r="AK52" s="475" t="n"/>
      <c r="AL52" s="475" t="n"/>
      <c r="AM52" s="475" t="n"/>
      <c r="AN52" s="475" t="n"/>
      <c r="AO52" s="475" t="n"/>
      <c r="AP52" s="1681" t="n"/>
      <c r="BD52" s="1684" t="n"/>
      <c r="BE52" s="1684" t="n"/>
      <c r="BF52" s="1684" t="n"/>
      <c r="BG52" s="1684" t="n"/>
      <c r="BH52" s="1684" t="n"/>
      <c r="BI52" s="1684" t="n"/>
      <c r="BJ52" s="1684" t="n"/>
      <c r="BK52" s="1684" t="n"/>
      <c r="BL52" s="1684" t="n"/>
      <c r="BM52" s="1684" t="n"/>
      <c r="BN52" s="1684" t="n"/>
    </row>
    <row r="53" ht="6" customHeight="1" s="7635">
      <c r="A53" s="1681" t="n"/>
      <c r="B53" s="10386" t="n"/>
      <c r="C53" s="10446" t="n"/>
      <c r="D53" s="1718" t="n"/>
      <c r="E53" s="475" t="n"/>
      <c r="F53" s="475" t="n"/>
      <c r="G53" s="475" t="n"/>
      <c r="H53" s="475" t="n"/>
      <c r="I53" s="475" t="n"/>
      <c r="J53" s="475" t="n"/>
      <c r="K53" s="475" t="n"/>
      <c r="L53" s="475" t="n"/>
      <c r="M53" s="475" t="n"/>
      <c r="N53" s="475" t="n"/>
      <c r="O53" s="475" t="n"/>
      <c r="P53" s="475" t="n"/>
      <c r="Q53" s="475" t="n"/>
      <c r="R53" s="475" t="n"/>
      <c r="S53" s="475" t="n"/>
      <c r="T53" s="475" t="n"/>
      <c r="U53" s="475" t="n"/>
      <c r="V53" s="475" t="n"/>
      <c r="W53" s="475" t="n"/>
      <c r="X53" s="475" t="n"/>
      <c r="Y53" s="475" t="n"/>
      <c r="Z53" s="475" t="n"/>
      <c r="AA53" s="475" t="n"/>
      <c r="AB53" s="475" t="n"/>
      <c r="AC53" s="475" t="n"/>
      <c r="AD53" s="475" t="n"/>
      <c r="AE53" s="475" t="n"/>
      <c r="AF53" s="475" t="n"/>
      <c r="AG53" s="475" t="n"/>
      <c r="AH53" s="475" t="n"/>
      <c r="AI53" s="475" t="n"/>
      <c r="AJ53" s="475" t="n"/>
      <c r="AK53" s="475" t="n"/>
      <c r="AL53" s="475" t="n"/>
      <c r="AM53" s="475" t="n"/>
      <c r="AN53" s="475" t="n"/>
      <c r="AO53" s="475" t="n"/>
      <c r="AP53" s="1681" t="n"/>
      <c r="BD53" s="1684" t="n"/>
      <c r="BE53" s="1684" t="n"/>
      <c r="BF53" s="1684" t="n"/>
      <c r="BG53" s="1684" t="n"/>
      <c r="BH53" s="1684" t="n"/>
      <c r="BI53" s="1684" t="n"/>
      <c r="BJ53" s="1684" t="n"/>
      <c r="BK53" s="1684" t="n"/>
      <c r="BL53" s="1684" t="n"/>
      <c r="BM53" s="1684" t="n"/>
      <c r="BN53" s="1684" t="n"/>
    </row>
    <row r="54" ht="15" customHeight="1" s="7635">
      <c r="A54" s="1681" t="n"/>
      <c r="B54" s="10386" t="n"/>
      <c r="C54" s="26" t="n"/>
      <c r="D54" s="1722" t="inlineStr">
        <is>
          <t>c</t>
        </is>
      </c>
      <c r="E54" s="1723" t="n"/>
      <c r="F54" s="1724" t="inlineStr">
        <is>
          <t xml:space="preserve"> Equipment</t>
        </is>
      </c>
      <c r="G54" s="475" t="n"/>
      <c r="H54" s="475" t="n"/>
      <c r="I54" s="475" t="n"/>
      <c r="J54" s="475" t="n"/>
      <c r="K54" s="475" t="n"/>
      <c r="L54" s="475" t="n"/>
      <c r="M54" s="475" t="n"/>
      <c r="N54" s="475" t="n"/>
      <c r="O54" s="475" t="n"/>
      <c r="P54" s="1722" t="inlineStr">
        <is>
          <t>g</t>
        </is>
      </c>
      <c r="Q54" s="1723" t="n"/>
      <c r="R54" s="1724" t="inlineStr">
        <is>
          <t xml:space="preserve"> Collectibles**</t>
        </is>
      </c>
      <c r="S54" s="475" t="n"/>
      <c r="T54" s="475" t="n"/>
      <c r="U54" s="475" t="n"/>
      <c r="V54" s="475" t="n"/>
      <c r="W54" s="475" t="n"/>
      <c r="X54" s="475" t="n"/>
      <c r="Y54" s="475" t="n"/>
      <c r="Z54" s="475" t="n"/>
      <c r="AA54" s="475" t="n"/>
      <c r="AB54" s="475" t="n"/>
      <c r="AC54" s="475" t="n"/>
      <c r="AD54" s="1722" t="inlineStr">
        <is>
          <t>k</t>
        </is>
      </c>
      <c r="AE54" s="1723" t="n"/>
      <c r="AF54" s="1724" t="inlineStr">
        <is>
          <t xml:space="preserve"> Other</t>
        </is>
      </c>
      <c r="AG54" s="475" t="n"/>
      <c r="AH54" s="475" t="n"/>
      <c r="AI54" s="475" t="n"/>
      <c r="AJ54" s="475" t="n"/>
      <c r="AK54" s="475" t="n"/>
      <c r="AL54" s="475" t="n"/>
      <c r="AM54" s="475" t="n"/>
      <c r="AN54" s="475" t="n"/>
      <c r="AO54" s="475" t="n"/>
      <c r="AP54" s="1681" t="n"/>
      <c r="BD54" s="1684" t="n"/>
      <c r="BE54" s="1684" t="n"/>
      <c r="BF54" s="1684" t="n"/>
      <c r="BG54" s="1684" t="n"/>
      <c r="BH54" s="1684" t="n"/>
      <c r="BI54" s="1684" t="n"/>
      <c r="BJ54" s="1684" t="n"/>
      <c r="BK54" s="1684" t="n"/>
      <c r="BL54" s="1684" t="n"/>
      <c r="BM54" s="1684" t="n"/>
      <c r="BN54" s="1684" t="n"/>
    </row>
    <row r="55" ht="6" customHeight="1" s="7635">
      <c r="A55" s="1681" t="n"/>
      <c r="B55" s="10386" t="n"/>
      <c r="C55" s="10446" t="n"/>
      <c r="D55" s="1718" t="n"/>
      <c r="E55" s="475" t="n"/>
      <c r="F55" s="475" t="n"/>
      <c r="G55" s="475" t="n"/>
      <c r="H55" s="475" t="n"/>
      <c r="I55" s="475" t="n"/>
      <c r="J55" s="475" t="n"/>
      <c r="K55" s="475" t="n"/>
      <c r="L55" s="475" t="n"/>
      <c r="M55" s="475" t="n"/>
      <c r="N55" s="475" t="n"/>
      <c r="O55" s="475" t="n"/>
      <c r="P55" s="475" t="n"/>
      <c r="Q55" s="475" t="n"/>
      <c r="R55" s="475" t="n"/>
      <c r="S55" s="475" t="n"/>
      <c r="T55" s="475" t="n"/>
      <c r="U55" s="475" t="n"/>
      <c r="V55" s="475" t="n"/>
      <c r="W55" s="475" t="n"/>
      <c r="X55" s="475" t="n"/>
      <c r="Y55" s="475" t="n"/>
      <c r="Z55" s="475" t="n"/>
      <c r="AA55" s="475" t="n"/>
      <c r="AB55" s="475" t="n"/>
      <c r="AC55" s="475" t="n"/>
      <c r="AD55" s="475" t="n"/>
      <c r="AE55" s="475" t="n"/>
      <c r="AF55" s="475" t="n"/>
      <c r="AG55" s="475" t="n"/>
      <c r="AH55" s="475" t="n"/>
      <c r="AI55" s="475" t="n"/>
      <c r="AJ55" s="475" t="n"/>
      <c r="AK55" s="475" t="n"/>
      <c r="AL55" s="475" t="n"/>
      <c r="AM55" s="475" t="n"/>
      <c r="AN55" s="475" t="n"/>
      <c r="AO55" s="475" t="n"/>
      <c r="AP55" s="1681" t="n"/>
      <c r="BD55" s="1684" t="n"/>
      <c r="BE55" s="1684" t="n"/>
      <c r="BF55" s="1684" t="n"/>
      <c r="BG55" s="1684" t="n"/>
      <c r="BH55" s="1684" t="n"/>
      <c r="BI55" s="1684" t="n"/>
      <c r="BJ55" s="1684" t="n"/>
      <c r="BK55" s="1684" t="n"/>
      <c r="BL55" s="1684" t="n"/>
      <c r="BM55" s="1684" t="n"/>
      <c r="BN55" s="1684" t="n"/>
    </row>
    <row r="56" ht="15" customHeight="1" s="7635">
      <c r="A56" s="1681" t="n"/>
      <c r="B56" s="10386" t="n"/>
      <c r="C56" s="26" t="n"/>
      <c r="D56" s="1722" t="inlineStr">
        <is>
          <t>d</t>
        </is>
      </c>
      <c r="E56" s="1723" t="n"/>
      <c r="F56" s="1724" t="inlineStr">
        <is>
          <t xml:space="preserve"> Art* (contribution of less than $20,000)</t>
        </is>
      </c>
      <c r="G56" s="475" t="n"/>
      <c r="H56" s="475" t="n"/>
      <c r="I56" s="475" t="n"/>
      <c r="J56" s="475" t="n"/>
      <c r="K56" s="475" t="n"/>
      <c r="L56" s="475" t="n"/>
      <c r="M56" s="475" t="n"/>
      <c r="N56" s="475" t="n"/>
      <c r="O56" s="475" t="n"/>
      <c r="P56" s="1722" t="inlineStr">
        <is>
          <t>h</t>
        </is>
      </c>
      <c r="Q56" s="1723" t="n"/>
      <c r="R56" s="1724" t="inlineStr">
        <is>
          <t xml:space="preserve"> Intellectual Property</t>
        </is>
      </c>
      <c r="S56" s="475" t="n"/>
      <c r="T56" s="475" t="n"/>
      <c r="U56" s="475" t="n"/>
      <c r="V56" s="475" t="n"/>
      <c r="W56" s="475" t="n"/>
      <c r="X56" s="475" t="n"/>
      <c r="Y56" s="475" t="n"/>
      <c r="Z56" s="475" t="n"/>
      <c r="AA56" s="475" t="n"/>
      <c r="AB56" s="475" t="n"/>
      <c r="AC56" s="475" t="n"/>
      <c r="AD56" s="475" t="n"/>
      <c r="AE56" s="475" t="n"/>
      <c r="AF56" s="475" t="n"/>
      <c r="AG56" s="475" t="n"/>
      <c r="AH56" s="475" t="n"/>
      <c r="AI56" s="475" t="n"/>
      <c r="AJ56" s="475" t="n"/>
      <c r="AK56" s="475" t="n"/>
      <c r="AL56" s="475" t="n"/>
      <c r="AM56" s="475" t="n"/>
      <c r="AN56" s="475" t="n"/>
      <c r="AO56" s="475" t="n"/>
      <c r="AP56" s="1681" t="n"/>
      <c r="BD56" s="1684" t="n"/>
      <c r="BE56" s="1684" t="n"/>
      <c r="BF56" s="1684" t="n"/>
      <c r="BG56" s="1684" t="n"/>
      <c r="BH56" s="1684" t="n"/>
      <c r="BI56" s="1684" t="n"/>
      <c r="BJ56" s="1684" t="n"/>
      <c r="BK56" s="1684" t="n"/>
      <c r="BL56" s="1684" t="n"/>
      <c r="BM56" s="1684" t="n"/>
      <c r="BN56" s="1684" t="n"/>
    </row>
    <row r="57">
      <c r="A57" s="1681" t="n"/>
      <c r="B57" s="475" t="n"/>
      <c r="C57" s="1725" t="inlineStr">
        <is>
          <t>*Art includes paintings, sculptures, watercolors, prints, drawings, ceramics, antiques, decorative arts, textiles, carpets, silver, rare manuscripts,</t>
        </is>
      </c>
      <c r="D57" s="1686" t="n"/>
      <c r="E57" s="475" t="n"/>
      <c r="F57" s="475" t="n"/>
      <c r="G57" s="475" t="n"/>
      <c r="H57" s="475" t="n"/>
      <c r="I57" s="475" t="n"/>
      <c r="J57" s="475" t="n"/>
      <c r="K57" s="475" t="n"/>
      <c r="L57" s="475" t="n"/>
      <c r="M57" s="475" t="n"/>
      <c r="N57" s="475" t="n"/>
      <c r="O57" s="475" t="n"/>
      <c r="P57" s="475" t="n"/>
      <c r="Q57" s="475" t="n"/>
      <c r="R57" s="475" t="n"/>
      <c r="S57" s="475" t="n"/>
      <c r="T57" s="1726" t="n"/>
      <c r="U57" s="475" t="n"/>
      <c r="V57" s="475" t="n"/>
      <c r="W57" s="475" t="n"/>
      <c r="X57" s="475" t="n"/>
      <c r="Y57" s="475" t="n"/>
      <c r="Z57" s="475" t="n"/>
      <c r="AA57" s="475" t="n"/>
      <c r="AB57" s="475" t="n"/>
      <c r="AC57" s="475" t="n"/>
      <c r="AD57" s="475" t="n"/>
      <c r="AE57" s="475" t="n"/>
      <c r="AF57" s="475" t="n"/>
      <c r="AG57" s="475" t="n"/>
      <c r="AH57" s="475" t="n"/>
      <c r="AI57" s="475" t="n"/>
      <c r="AJ57" s="475" t="n"/>
      <c r="AK57" s="475" t="n"/>
      <c r="AL57" s="475" t="n"/>
      <c r="AM57" s="475" t="n"/>
      <c r="AN57" s="475" t="n"/>
      <c r="AO57" s="475" t="n"/>
      <c r="AP57" s="1681" t="n"/>
      <c r="BD57" s="1684" t="n"/>
      <c r="BE57" s="1684" t="n"/>
      <c r="BF57" s="1684" t="n"/>
      <c r="BG57" s="1684" t="n"/>
      <c r="BH57" s="1684" t="n"/>
      <c r="BI57" s="1684" t="n"/>
      <c r="BJ57" s="1684" t="n"/>
      <c r="BK57" s="1684" t="n"/>
      <c r="BL57" s="1684" t="n"/>
      <c r="BM57" s="1684" t="n"/>
      <c r="BN57" s="1684" t="n"/>
    </row>
    <row r="58">
      <c r="A58" s="1681" t="n"/>
      <c r="B58" s="475" t="n"/>
      <c r="C58" s="1725" t="inlineStr">
        <is>
          <t>historical memorabilia, and other similar objects.</t>
        </is>
      </c>
      <c r="D58" s="475" t="n"/>
      <c r="E58" s="475" t="n"/>
      <c r="F58" s="475" t="n"/>
      <c r="G58" s="475" t="n"/>
      <c r="H58" s="475" t="n"/>
      <c r="I58" s="475" t="n"/>
      <c r="J58" s="475" t="n"/>
      <c r="K58" s="475" t="n"/>
      <c r="L58" s="475" t="n"/>
      <c r="M58" s="475" t="n"/>
      <c r="N58" s="475" t="n"/>
      <c r="O58" s="475" t="n"/>
      <c r="P58" s="475" t="n"/>
      <c r="Q58" s="475" t="n"/>
      <c r="R58" s="475" t="n"/>
      <c r="S58" s="475" t="n"/>
      <c r="T58" s="1726" t="n"/>
      <c r="U58" s="475" t="n"/>
      <c r="V58" s="475" t="n"/>
      <c r="W58" s="475" t="n"/>
      <c r="X58" s="475" t="n"/>
      <c r="Y58" s="475" t="n"/>
      <c r="Z58" s="475" t="n"/>
      <c r="AA58" s="475" t="n"/>
      <c r="AB58" s="475" t="n"/>
      <c r="AC58" s="475" t="n"/>
      <c r="AD58" s="475" t="n"/>
      <c r="AE58" s="475" t="n"/>
      <c r="AF58" s="475" t="n"/>
      <c r="AG58" s="475" t="n"/>
      <c r="AH58" s="475" t="n"/>
      <c r="AI58" s="475" t="n"/>
      <c r="AJ58" s="475" t="n"/>
      <c r="AK58" s="475" t="n"/>
      <c r="AL58" s="475" t="n"/>
      <c r="AM58" s="475" t="n"/>
      <c r="AN58" s="475" t="n"/>
      <c r="AO58" s="475" t="n"/>
      <c r="AP58" s="1681" t="n"/>
      <c r="BD58" s="1684" t="n"/>
      <c r="BE58" s="1684" t="n"/>
      <c r="BF58" s="1684" t="n"/>
      <c r="BG58" s="1684" t="n"/>
      <c r="BH58" s="1684" t="n"/>
      <c r="BI58" s="1684" t="n"/>
      <c r="BJ58" s="1684" t="n"/>
      <c r="BK58" s="1684" t="n"/>
      <c r="BL58" s="1684" t="n"/>
      <c r="BM58" s="1684" t="n"/>
      <c r="BN58" s="1684" t="n"/>
    </row>
    <row r="59">
      <c r="A59" s="1681" t="n"/>
      <c r="B59" s="475" t="n"/>
      <c r="C59" s="1725" t="inlineStr">
        <is>
          <t>**Collectibles include coins, stamps, books, gems, jewelry, sports memorabilia, dolls, etc., but not art as defined above.</t>
        </is>
      </c>
      <c r="D59" s="475" t="n"/>
      <c r="E59" s="475" t="n"/>
      <c r="F59" s="475" t="n"/>
      <c r="G59" s="475" t="n"/>
      <c r="H59" s="475" t="n"/>
      <c r="I59" s="475" t="n"/>
      <c r="J59" s="475" t="n"/>
      <c r="K59" s="475" t="n"/>
      <c r="L59" s="475" t="n"/>
      <c r="M59" s="475" t="n"/>
      <c r="N59" s="475" t="n"/>
      <c r="O59" s="475" t="n"/>
      <c r="P59" s="475" t="n"/>
      <c r="Q59" s="475" t="n"/>
      <c r="R59" s="475" t="n"/>
      <c r="S59" s="475" t="n"/>
      <c r="T59" s="1726" t="n"/>
      <c r="U59" s="475" t="n"/>
      <c r="V59" s="475" t="n"/>
      <c r="W59" s="475" t="n"/>
      <c r="X59" s="475" t="n"/>
      <c r="Y59" s="475" t="n"/>
      <c r="Z59" s="475" t="n"/>
      <c r="AA59" s="475" t="n"/>
      <c r="AB59" s="475" t="n"/>
      <c r="AC59" s="475" t="n"/>
      <c r="AD59" s="475" t="n"/>
      <c r="AE59" s="475" t="n"/>
      <c r="AF59" s="475" t="n"/>
      <c r="AG59" s="475" t="n"/>
      <c r="AH59" s="475" t="n"/>
      <c r="AI59" s="475" t="n"/>
      <c r="AJ59" s="475" t="n"/>
      <c r="AK59" s="475" t="n"/>
      <c r="AL59" s="475" t="n"/>
      <c r="AM59" s="475" t="n"/>
      <c r="AN59" s="475" t="n"/>
      <c r="AO59" s="475" t="n"/>
      <c r="AP59" s="1681" t="n"/>
      <c r="BD59" s="1684" t="n"/>
      <c r="BE59" s="1684" t="n"/>
      <c r="BF59" s="1684" t="n"/>
      <c r="BG59" s="1684" t="n"/>
      <c r="BH59" s="1684" t="n"/>
      <c r="BI59" s="1684" t="n"/>
      <c r="BJ59" s="1684" t="n"/>
      <c r="BK59" s="1684" t="n"/>
      <c r="BL59" s="1684" t="n"/>
      <c r="BM59" s="1684" t="n"/>
      <c r="BN59" s="1684" t="n"/>
    </row>
    <row r="60" ht="18" customFormat="1" customHeight="1" s="1710">
      <c r="A60" s="1707" t="n"/>
      <c r="B60" s="1727" t="inlineStr">
        <is>
          <t>Note.  In certain cases, you must attach a qualified appraisal of the property.  See instructions.</t>
        </is>
      </c>
      <c r="C60" s="1728" t="n"/>
      <c r="D60" s="1728" t="n"/>
      <c r="E60" s="1728" t="n"/>
      <c r="F60" s="1728" t="n"/>
      <c r="G60" s="1728" t="n"/>
      <c r="H60" s="1728" t="n"/>
      <c r="I60" s="1728" t="n"/>
      <c r="J60" s="1728" t="n"/>
      <c r="K60" s="1728" t="n"/>
      <c r="L60" s="1728" t="n"/>
      <c r="M60" s="1728" t="n"/>
      <c r="N60" s="1728" t="n"/>
      <c r="O60" s="1728" t="n"/>
      <c r="P60" s="1728" t="n"/>
      <c r="Q60" s="1728" t="n"/>
      <c r="R60" s="1728" t="n"/>
      <c r="S60" s="1728" t="n"/>
      <c r="T60" s="1729" t="n"/>
      <c r="U60" s="1728" t="n"/>
      <c r="V60" s="1728" t="n"/>
      <c r="W60" s="1728" t="n"/>
      <c r="X60" s="1728" t="n"/>
      <c r="Y60" s="1728" t="n"/>
      <c r="Z60" s="1728" t="n"/>
      <c r="AA60" s="1728" t="n"/>
      <c r="AB60" s="1728" t="n"/>
      <c r="AC60" s="1728" t="n"/>
      <c r="AD60" s="1728" t="n"/>
      <c r="AE60" s="1728" t="n"/>
      <c r="AF60" s="1728" t="n"/>
      <c r="AG60" s="1728" t="n"/>
      <c r="AH60" s="1728" t="n"/>
      <c r="AI60" s="1728" t="n"/>
      <c r="AJ60" s="1728" t="n"/>
      <c r="AK60" s="1728" t="n"/>
      <c r="AL60" s="1728" t="n"/>
      <c r="AM60" s="1728" t="n"/>
      <c r="AN60" s="1728" t="n"/>
      <c r="AO60" s="1728" t="n"/>
      <c r="AP60" s="1707" t="n"/>
      <c r="BD60" s="1711" t="n"/>
      <c r="BE60" s="1711" t="n"/>
      <c r="BF60" s="1711" t="n"/>
      <c r="BG60" s="1711" t="n"/>
      <c r="BH60" s="1711" t="n"/>
      <c r="BI60" s="1711" t="n"/>
      <c r="BJ60" s="1711" t="n"/>
      <c r="BK60" s="1711" t="n"/>
      <c r="BL60" s="1711" t="n"/>
      <c r="BM60" s="1711" t="n"/>
      <c r="BN60" s="1711" t="n"/>
    </row>
    <row r="61" ht="7.5" customHeight="1" s="7635">
      <c r="A61" s="1681" t="n"/>
      <c r="B61" s="12585" t="n">
        <v>3</v>
      </c>
      <c r="C61" s="12051" t="n"/>
      <c r="D61" s="12586" t="inlineStr">
        <is>
          <t>(a) Description of donated property (if you need
more space, attach a separate statement)</t>
        </is>
      </c>
      <c r="E61" s="12051" t="n"/>
      <c r="F61" s="12051" t="n"/>
      <c r="G61" s="12051" t="n"/>
      <c r="H61" s="12051" t="n"/>
      <c r="I61" s="12051" t="n"/>
      <c r="J61" s="12051" t="n"/>
      <c r="K61" s="12051" t="n"/>
      <c r="L61" s="12051" t="n"/>
      <c r="M61" s="12051" t="n"/>
      <c r="N61" s="12051" t="n"/>
      <c r="O61" s="12201" t="n"/>
      <c r="P61" s="12587" t="inlineStr">
        <is>
          <t>(b) If any tangible personal property or real property was donated, give a brief
summary of the overall physical condition of the property at the time of the gift.</t>
        </is>
      </c>
      <c r="Q61" s="12051" t="n"/>
      <c r="R61" s="12051" t="n"/>
      <c r="S61" s="12051" t="n"/>
      <c r="T61" s="12051" t="n"/>
      <c r="U61" s="12051" t="n"/>
      <c r="V61" s="12051" t="n"/>
      <c r="W61" s="12051" t="n"/>
      <c r="X61" s="12051" t="n"/>
      <c r="Y61" s="12051" t="n"/>
      <c r="Z61" s="12051" t="n"/>
      <c r="AA61" s="12051" t="n"/>
      <c r="AB61" s="12051" t="n"/>
      <c r="AC61" s="12051" t="n"/>
      <c r="AD61" s="12051" t="n"/>
      <c r="AE61" s="12051" t="n"/>
      <c r="AF61" s="12051" t="n"/>
      <c r="AG61" s="12051" t="n"/>
      <c r="AH61" s="12051" t="n"/>
      <c r="AI61" s="12051" t="n"/>
      <c r="AJ61" s="12201" t="n"/>
      <c r="AK61" s="12605" t="inlineStr">
        <is>
          <t>(c) Appraised fair
market value</t>
        </is>
      </c>
      <c r="AL61" s="12051" t="n"/>
      <c r="AM61" s="12051" t="n"/>
      <c r="AN61" s="12051" t="n"/>
      <c r="AO61" s="12051" t="n"/>
      <c r="AP61" s="1681" t="n"/>
      <c r="BD61" s="1684" t="n"/>
      <c r="BE61" s="1684" t="n"/>
      <c r="BF61" s="1684" t="n"/>
      <c r="BG61" s="1684" t="n"/>
      <c r="BH61" s="1684" t="n"/>
      <c r="BI61" s="1684" t="n"/>
      <c r="BJ61" s="1684" t="n"/>
      <c r="BK61" s="1684" t="n"/>
      <c r="BL61" s="1684" t="n"/>
      <c r="BM61" s="1684" t="n"/>
      <c r="BN61" s="1684" t="n"/>
    </row>
    <row r="62">
      <c r="A62" s="1681" t="n"/>
      <c r="B62" s="26" t="n"/>
      <c r="C62" s="26" t="n"/>
      <c r="D62" s="26" t="n"/>
      <c r="E62" s="26" t="n"/>
      <c r="F62" s="26" t="n"/>
      <c r="G62" s="26" t="n"/>
      <c r="H62" s="26" t="n"/>
      <c r="I62" s="26" t="n"/>
      <c r="J62" s="26" t="n"/>
      <c r="K62" s="26" t="n"/>
      <c r="L62" s="26" t="n"/>
      <c r="M62" s="26" t="n"/>
      <c r="N62" s="26" t="n"/>
      <c r="O62" s="12063" t="n"/>
      <c r="P62" s="12589" t="n"/>
      <c r="Q62" s="26" t="n"/>
      <c r="R62" s="26" t="n"/>
      <c r="S62" s="26" t="n"/>
      <c r="T62" s="26" t="n"/>
      <c r="U62" s="26" t="n"/>
      <c r="V62" s="26" t="n"/>
      <c r="W62" s="26" t="n"/>
      <c r="X62" s="26" t="n"/>
      <c r="Y62" s="26" t="n"/>
      <c r="Z62" s="26" t="n"/>
      <c r="AA62" s="26" t="n"/>
      <c r="AB62" s="26" t="n"/>
      <c r="AC62" s="26" t="n"/>
      <c r="AD62" s="26" t="n"/>
      <c r="AE62" s="26" t="n"/>
      <c r="AF62" s="26" t="n"/>
      <c r="AG62" s="26" t="n"/>
      <c r="AH62" s="26" t="n"/>
      <c r="AI62" s="26" t="n"/>
      <c r="AJ62" s="12063" t="n"/>
      <c r="AK62" s="12589" t="n"/>
      <c r="AL62" s="26" t="n"/>
      <c r="AM62" s="26" t="n"/>
      <c r="AN62" s="26" t="n"/>
      <c r="AO62" s="26" t="n"/>
      <c r="AP62" s="1681" t="n"/>
      <c r="BD62" s="1684" t="n"/>
      <c r="BE62" s="1684" t="n"/>
      <c r="BF62" s="1684" t="n"/>
      <c r="BG62" s="1684" t="n"/>
      <c r="BH62" s="1684" t="n"/>
      <c r="BI62" s="1684" t="n"/>
      <c r="BJ62" s="1684" t="n"/>
      <c r="BK62" s="1684" t="n"/>
      <c r="BL62" s="1684" t="n"/>
      <c r="BM62" s="1684" t="n"/>
      <c r="BN62" s="1684" t="n"/>
    </row>
    <row r="63">
      <c r="A63" s="1681" t="n"/>
      <c r="B63" s="26" t="n"/>
      <c r="C63" s="26" t="n"/>
      <c r="D63" s="26" t="n"/>
      <c r="E63" s="26" t="n"/>
      <c r="F63" s="26" t="n"/>
      <c r="G63" s="26" t="n"/>
      <c r="H63" s="26" t="n"/>
      <c r="I63" s="26" t="n"/>
      <c r="J63" s="26" t="n"/>
      <c r="K63" s="26" t="n"/>
      <c r="L63" s="26" t="n"/>
      <c r="M63" s="26" t="n"/>
      <c r="N63" s="26" t="n"/>
      <c r="O63" s="12063" t="n"/>
      <c r="P63" s="12589" t="n"/>
      <c r="Q63" s="26" t="n"/>
      <c r="R63" s="26" t="n"/>
      <c r="S63" s="26" t="n"/>
      <c r="T63" s="26" t="n"/>
      <c r="U63" s="26" t="n"/>
      <c r="V63" s="26" t="n"/>
      <c r="W63" s="26" t="n"/>
      <c r="X63" s="26" t="n"/>
      <c r="Y63" s="26" t="n"/>
      <c r="Z63" s="26" t="n"/>
      <c r="AA63" s="26" t="n"/>
      <c r="AB63" s="26" t="n"/>
      <c r="AC63" s="26" t="n"/>
      <c r="AD63" s="26" t="n"/>
      <c r="AE63" s="26" t="n"/>
      <c r="AF63" s="26" t="n"/>
      <c r="AG63" s="26" t="n"/>
      <c r="AH63" s="26" t="n"/>
      <c r="AI63" s="26" t="n"/>
      <c r="AJ63" s="12063" t="n"/>
      <c r="AK63" s="12589" t="n"/>
      <c r="AL63" s="26" t="n"/>
      <c r="AM63" s="26" t="n"/>
      <c r="AN63" s="26" t="n"/>
      <c r="AO63" s="26" t="n"/>
      <c r="AP63" s="1681" t="n"/>
      <c r="AQ63" s="1681" t="n"/>
      <c r="AR63" s="1681" t="n"/>
      <c r="AS63" s="1681" t="n"/>
      <c r="AT63" s="1681" t="n"/>
      <c r="AU63" s="1681" t="n"/>
      <c r="AV63" s="1681" t="n"/>
      <c r="AW63" s="1681" t="n"/>
      <c r="AX63" s="1681" t="n"/>
      <c r="AY63" s="1681" t="n"/>
      <c r="AZ63" s="1681" t="n"/>
      <c r="BA63" s="1681" t="n"/>
      <c r="BB63" s="1681" t="n"/>
      <c r="BD63" s="1684" t="n"/>
      <c r="BE63" s="1684" t="n"/>
      <c r="BF63" s="1684" t="n"/>
      <c r="BG63" s="1684" t="n"/>
      <c r="BH63" s="1684" t="n"/>
      <c r="BI63" s="1684" t="n"/>
      <c r="BJ63" s="1684" t="n"/>
      <c r="BK63" s="1684" t="n"/>
      <c r="BL63" s="1684" t="n"/>
      <c r="BM63" s="1684" t="n"/>
      <c r="BN63" s="1684" t="n"/>
    </row>
    <row r="64" ht="6" customHeight="1" s="7635">
      <c r="A64" s="1681" t="n"/>
      <c r="B64" s="645" t="n"/>
      <c r="C64" s="645" t="n"/>
      <c r="D64" s="645" t="n"/>
      <c r="E64" s="645" t="n"/>
      <c r="F64" s="645" t="n"/>
      <c r="G64" s="645" t="n"/>
      <c r="H64" s="645" t="n"/>
      <c r="I64" s="645" t="n"/>
      <c r="J64" s="645" t="n"/>
      <c r="K64" s="645" t="n"/>
      <c r="L64" s="645" t="n"/>
      <c r="M64" s="645" t="n"/>
      <c r="N64" s="645" t="n"/>
      <c r="O64" s="12187" t="n"/>
      <c r="P64" s="12590" t="n"/>
      <c r="Q64" s="645" t="n"/>
      <c r="R64" s="645" t="n"/>
      <c r="S64" s="645" t="n"/>
      <c r="T64" s="645" t="n"/>
      <c r="U64" s="645" t="n"/>
      <c r="V64" s="645" t="n"/>
      <c r="W64" s="645" t="n"/>
      <c r="X64" s="645" t="n"/>
      <c r="Y64" s="645" t="n"/>
      <c r="Z64" s="645" t="n"/>
      <c r="AA64" s="645" t="n"/>
      <c r="AB64" s="645" t="n"/>
      <c r="AC64" s="645" t="n"/>
      <c r="AD64" s="645" t="n"/>
      <c r="AE64" s="645" t="n"/>
      <c r="AF64" s="645" t="n"/>
      <c r="AG64" s="645" t="n"/>
      <c r="AH64" s="645" t="n"/>
      <c r="AI64" s="645" t="n"/>
      <c r="AJ64" s="12187" t="n"/>
      <c r="AK64" s="12590" t="n"/>
      <c r="AL64" s="645" t="n"/>
      <c r="AM64" s="645" t="n"/>
      <c r="AN64" s="645" t="n"/>
      <c r="AO64" s="645" t="n"/>
      <c r="AP64" s="1681" t="n"/>
      <c r="AQ64" s="1681" t="n"/>
      <c r="AR64" s="1681" t="n"/>
      <c r="AS64" s="1681" t="n"/>
      <c r="AT64" s="1681" t="n"/>
      <c r="AU64" s="1681" t="n"/>
      <c r="AV64" s="1681" t="n"/>
      <c r="AW64" s="1681" t="n"/>
      <c r="AX64" s="1681" t="n"/>
      <c r="AY64" s="1681" t="n"/>
      <c r="AZ64" s="1681" t="n"/>
      <c r="BA64" s="1681" t="n"/>
      <c r="BB64" s="1681" t="n"/>
      <c r="BD64" s="1684" t="n"/>
      <c r="BE64" s="1684" t="n"/>
      <c r="BF64" s="1684" t="n"/>
      <c r="BG64" s="1684" t="n"/>
      <c r="BH64" s="1684" t="n"/>
      <c r="BI64" s="1684" t="n"/>
      <c r="BJ64" s="1684" t="n"/>
      <c r="BK64" s="1684" t="n"/>
      <c r="BL64" s="1684" t="n"/>
      <c r="BM64" s="1684" t="n"/>
      <c r="BN64" s="1684" t="n"/>
    </row>
    <row r="65" ht="18" customHeight="1" s="7635">
      <c r="A65" s="1681" t="n"/>
      <c r="B65" s="10487" t="inlineStr">
        <is>
          <t>A</t>
        </is>
      </c>
      <c r="C65" s="12606" t="n"/>
      <c r="D65" s="8007" t="n"/>
      <c r="E65" s="8007" t="n"/>
      <c r="F65" s="8007" t="n"/>
      <c r="G65" s="8007" t="n"/>
      <c r="H65" s="8007" t="n"/>
      <c r="I65" s="8007" t="n"/>
      <c r="J65" s="8007" t="n"/>
      <c r="K65" s="8007" t="n"/>
      <c r="L65" s="8007" t="n"/>
      <c r="M65" s="8007" t="n"/>
      <c r="N65" s="8007" t="n"/>
      <c r="O65" s="8008" t="n"/>
      <c r="P65" s="12607" t="n"/>
      <c r="Q65" s="8007" t="n"/>
      <c r="R65" s="8007" t="n"/>
      <c r="S65" s="8007" t="n"/>
      <c r="T65" s="8007" t="n"/>
      <c r="U65" s="8007" t="n"/>
      <c r="V65" s="8007" t="n"/>
      <c r="W65" s="8007" t="n"/>
      <c r="X65" s="8007" t="n"/>
      <c r="Y65" s="8007" t="n"/>
      <c r="Z65" s="8007" t="n"/>
      <c r="AA65" s="8007" t="n"/>
      <c r="AB65" s="8007" t="n"/>
      <c r="AC65" s="8007" t="n"/>
      <c r="AD65" s="8007" t="n"/>
      <c r="AE65" s="8007" t="n"/>
      <c r="AF65" s="8007" t="n"/>
      <c r="AG65" s="8007" t="n"/>
      <c r="AH65" s="8007" t="n"/>
      <c r="AI65" s="8007" t="n"/>
      <c r="AJ65" s="8008" t="n"/>
      <c r="AK65" s="12608" t="n"/>
      <c r="AL65" s="8007" t="n"/>
      <c r="AM65" s="8007" t="n"/>
      <c r="AN65" s="8007" t="n"/>
      <c r="AO65" s="8007" t="n"/>
      <c r="AP65" s="1681" t="n"/>
      <c r="AQ65" s="1730" t="inlineStr">
        <is>
          <t>Hint:  Use Alt-Enter for carriage return.</t>
        </is>
      </c>
      <c r="AR65" s="475" t="n"/>
      <c r="AS65" s="475" t="n"/>
      <c r="AT65" s="475" t="n"/>
      <c r="AU65" s="475" t="n"/>
      <c r="AV65" s="475" t="n"/>
      <c r="AW65" s="475" t="n"/>
      <c r="AX65" s="475" t="n"/>
      <c r="AY65" s="475" t="n"/>
      <c r="AZ65" s="475" t="n"/>
      <c r="BA65" s="475" t="n"/>
      <c r="BB65" s="1681" t="n"/>
      <c r="BD65" s="1684" t="n"/>
      <c r="BE65" s="1684" t="n"/>
      <c r="BF65" s="1684" t="n"/>
      <c r="BG65" s="1684" t="n"/>
      <c r="BH65" s="1684" t="n"/>
      <c r="BI65" s="1684" t="n"/>
      <c r="BJ65" s="1684" t="n"/>
      <c r="BK65" s="1684" t="n"/>
      <c r="BL65" s="1684" t="n"/>
      <c r="BM65" s="1684" t="n"/>
      <c r="BN65" s="1684" t="n"/>
    </row>
    <row r="66" ht="18" customHeight="1" s="7635">
      <c r="A66" s="1681" t="n"/>
      <c r="B66" s="10487" t="inlineStr">
        <is>
          <t>B</t>
        </is>
      </c>
      <c r="C66" s="12606" t="n"/>
      <c r="D66" s="8007" t="n"/>
      <c r="E66" s="8007" t="n"/>
      <c r="F66" s="8007" t="n"/>
      <c r="G66" s="8007" t="n"/>
      <c r="H66" s="8007" t="n"/>
      <c r="I66" s="8007" t="n"/>
      <c r="J66" s="8007" t="n"/>
      <c r="K66" s="8007" t="n"/>
      <c r="L66" s="8007" t="n"/>
      <c r="M66" s="8007" t="n"/>
      <c r="N66" s="8007" t="n"/>
      <c r="O66" s="8008" t="n"/>
      <c r="P66" s="12607" t="n"/>
      <c r="Q66" s="8007" t="n"/>
      <c r="R66" s="8007" t="n"/>
      <c r="S66" s="8007" t="n"/>
      <c r="T66" s="8007" t="n"/>
      <c r="U66" s="8007" t="n"/>
      <c r="V66" s="8007" t="n"/>
      <c r="W66" s="8007" t="n"/>
      <c r="X66" s="8007" t="n"/>
      <c r="Y66" s="8007" t="n"/>
      <c r="Z66" s="8007" t="n"/>
      <c r="AA66" s="8007" t="n"/>
      <c r="AB66" s="8007" t="n"/>
      <c r="AC66" s="8007" t="n"/>
      <c r="AD66" s="8007" t="n"/>
      <c r="AE66" s="8007" t="n"/>
      <c r="AF66" s="8007" t="n"/>
      <c r="AG66" s="8007" t="n"/>
      <c r="AH66" s="8007" t="n"/>
      <c r="AI66" s="8007" t="n"/>
      <c r="AJ66" s="8008" t="n"/>
      <c r="AK66" s="12608" t="n"/>
      <c r="AL66" s="8007" t="n"/>
      <c r="AM66" s="8007" t="n"/>
      <c r="AN66" s="8007" t="n"/>
      <c r="AO66" s="8007" t="n"/>
      <c r="AP66" s="1681" t="n"/>
      <c r="AQ66" s="1681" t="n"/>
      <c r="AR66" s="1681" t="n"/>
      <c r="AS66" s="1681" t="n"/>
      <c r="AT66" s="1681" t="n"/>
      <c r="AU66" s="1681" t="n"/>
      <c r="AV66" s="1681" t="n"/>
      <c r="AW66" s="1681" t="n"/>
      <c r="AX66" s="1681" t="n"/>
      <c r="AY66" s="1681" t="n"/>
      <c r="AZ66" s="1681" t="n"/>
      <c r="BA66" s="1681" t="n"/>
      <c r="BB66" s="1681" t="n"/>
      <c r="BD66" s="1684" t="n"/>
      <c r="BE66" s="1684" t="n"/>
      <c r="BF66" s="1684" t="n"/>
      <c r="BG66" s="1684" t="n"/>
      <c r="BH66" s="1684" t="n"/>
      <c r="BI66" s="1684" t="n"/>
      <c r="BJ66" s="1684" t="n"/>
      <c r="BK66" s="1684" t="n"/>
      <c r="BL66" s="1684" t="n"/>
      <c r="BM66" s="1684" t="n"/>
      <c r="BN66" s="1684" t="n"/>
    </row>
    <row r="67" ht="18" customHeight="1" s="7635">
      <c r="A67" s="1681" t="n"/>
      <c r="B67" s="10487" t="inlineStr">
        <is>
          <t>C</t>
        </is>
      </c>
      <c r="C67" s="12606" t="n"/>
      <c r="D67" s="8007" t="n"/>
      <c r="E67" s="8007" t="n"/>
      <c r="F67" s="8007" t="n"/>
      <c r="G67" s="8007" t="n"/>
      <c r="H67" s="8007" t="n"/>
      <c r="I67" s="8007" t="n"/>
      <c r="J67" s="8007" t="n"/>
      <c r="K67" s="8007" t="n"/>
      <c r="L67" s="8007" t="n"/>
      <c r="M67" s="8007" t="n"/>
      <c r="N67" s="8007" t="n"/>
      <c r="O67" s="8008" t="n"/>
      <c r="P67" s="12607" t="n"/>
      <c r="Q67" s="8007" t="n"/>
      <c r="R67" s="8007" t="n"/>
      <c r="S67" s="8007" t="n"/>
      <c r="T67" s="8007" t="n"/>
      <c r="U67" s="8007" t="n"/>
      <c r="V67" s="8007" t="n"/>
      <c r="W67" s="8007" t="n"/>
      <c r="X67" s="8007" t="n"/>
      <c r="Y67" s="8007" t="n"/>
      <c r="Z67" s="8007" t="n"/>
      <c r="AA67" s="8007" t="n"/>
      <c r="AB67" s="8007" t="n"/>
      <c r="AC67" s="8007" t="n"/>
      <c r="AD67" s="8007" t="n"/>
      <c r="AE67" s="8007" t="n"/>
      <c r="AF67" s="8007" t="n"/>
      <c r="AG67" s="8007" t="n"/>
      <c r="AH67" s="8007" t="n"/>
      <c r="AI67" s="8007" t="n"/>
      <c r="AJ67" s="8008" t="n"/>
      <c r="AK67" s="12608" t="n"/>
      <c r="AL67" s="8007" t="n"/>
      <c r="AM67" s="8007" t="n"/>
      <c r="AN67" s="8007" t="n"/>
      <c r="AO67" s="8007" t="n"/>
      <c r="AP67" s="1681" t="n"/>
      <c r="BD67" s="1684" t="n"/>
      <c r="BE67" s="1684" t="n"/>
      <c r="BF67" s="1684" t="n"/>
      <c r="BG67" s="1684" t="n"/>
      <c r="BH67" s="1684" t="n"/>
      <c r="BI67" s="1684" t="n"/>
      <c r="BJ67" s="1684" t="n"/>
      <c r="BK67" s="1684" t="n"/>
      <c r="BL67" s="1684" t="n"/>
      <c r="BM67" s="1684" t="n"/>
      <c r="BN67" s="1684" t="n"/>
    </row>
    <row r="68" ht="16.5" customFormat="1" customHeight="1" s="1734">
      <c r="A68" s="1731" t="n"/>
      <c r="B68" s="1732" t="n"/>
      <c r="C68" s="12588" t="inlineStr">
        <is>
          <t>(d) Date acquired
by donor
(mo., yr.)</t>
        </is>
      </c>
      <c r="D68" s="12051" t="n"/>
      <c r="E68" s="12051" t="n"/>
      <c r="F68" s="12051" t="n"/>
      <c r="G68" s="12051" t="n"/>
      <c r="H68" s="12609" t="inlineStr">
        <is>
          <t>(e) How acquired by donor</t>
        </is>
      </c>
      <c r="I68" s="7839" t="n"/>
      <c r="J68" s="7839" t="n"/>
      <c r="K68" s="7839" t="n"/>
      <c r="L68" s="7839" t="n"/>
      <c r="M68" s="7839" t="n"/>
      <c r="N68" s="7839" t="n"/>
      <c r="O68" s="10091" t="n"/>
      <c r="P68" s="12588" t="inlineStr">
        <is>
          <t>(f) Donor’s cost or
adjusted basis</t>
        </is>
      </c>
      <c r="Q68" s="12051" t="n"/>
      <c r="R68" s="12051" t="n"/>
      <c r="S68" s="12051" t="n"/>
      <c r="T68" s="12051" t="n"/>
      <c r="U68" s="12051" t="n"/>
      <c r="V68" s="12051" t="n"/>
      <c r="W68" s="12587" t="inlineStr">
        <is>
          <t>(g) For bargain sales, enter amount received</t>
        </is>
      </c>
      <c r="X68" s="12051" t="n"/>
      <c r="Y68" s="12051" t="n"/>
      <c r="Z68" s="12051" t="n"/>
      <c r="AA68" s="12051" t="n"/>
      <c r="AB68" s="12051" t="n"/>
      <c r="AC68" s="12051" t="n"/>
      <c r="AD68" s="12201" t="n"/>
      <c r="AE68" s="12594" t="inlineStr">
        <is>
          <t>(h) Amount claimed 
as a deduction 
(see instructions)</t>
        </is>
      </c>
      <c r="AF68" s="12051" t="n"/>
      <c r="AG68" s="12051" t="n"/>
      <c r="AH68" s="12051" t="n"/>
      <c r="AI68" s="12051" t="n"/>
      <c r="AJ68" s="12051" t="n"/>
      <c r="AK68" s="12594" t="inlineStr">
        <is>
          <t>(i) Date of 
contribution 
(see instructions)</t>
        </is>
      </c>
      <c r="AL68" s="12051" t="n"/>
      <c r="AM68" s="12051" t="n"/>
      <c r="AN68" s="12051" t="n"/>
      <c r="AO68" s="12051" t="n"/>
      <c r="AP68" s="1681" t="n"/>
      <c r="AQ68" s="1682" t="n"/>
      <c r="AR68" s="1682" t="n"/>
      <c r="AS68" s="1682" t="n"/>
      <c r="AT68" s="1682" t="n"/>
      <c r="AU68" s="1682" t="n"/>
      <c r="AV68" s="1682" t="n"/>
      <c r="AW68" s="1682" t="n"/>
      <c r="AX68" s="1682" t="n"/>
      <c r="AY68" s="1682" t="n"/>
      <c r="AZ68" s="1682" t="n"/>
      <c r="BA68" s="1682" t="n"/>
      <c r="BB68" s="1682" t="n"/>
      <c r="BC68" s="1682" t="n"/>
      <c r="BD68" s="1684" t="n"/>
      <c r="BE68" s="1733" t="n"/>
      <c r="BF68" s="1733" t="n"/>
      <c r="BG68" s="1733" t="n"/>
      <c r="BH68" s="1733" t="n"/>
      <c r="BI68" s="1733" t="n"/>
      <c r="BJ68" s="1733" t="n"/>
      <c r="BK68" s="1733" t="n"/>
      <c r="BL68" s="1733" t="n"/>
      <c r="BM68" s="1733" t="n"/>
      <c r="BN68" s="1733" t="n"/>
    </row>
    <row r="69" ht="23.25" customFormat="1" customHeight="1" s="1734">
      <c r="A69" s="1731" t="n"/>
      <c r="B69" s="1735" t="n"/>
      <c r="C69" s="12590" t="n"/>
      <c r="D69" s="645" t="n"/>
      <c r="E69" s="645" t="n"/>
      <c r="F69" s="645" t="n"/>
      <c r="G69" s="645" t="n"/>
      <c r="H69" s="3614" t="n"/>
      <c r="I69" s="7637" t="n"/>
      <c r="J69" s="7637" t="n"/>
      <c r="K69" s="7637" t="n"/>
      <c r="L69" s="7637" t="n"/>
      <c r="M69" s="7637" t="n"/>
      <c r="N69" s="7637" t="n"/>
      <c r="O69" s="7638" t="n"/>
      <c r="P69" s="12590" t="n"/>
      <c r="Q69" s="645" t="n"/>
      <c r="R69" s="645" t="n"/>
      <c r="S69" s="645" t="n"/>
      <c r="T69" s="645" t="n"/>
      <c r="U69" s="645" t="n"/>
      <c r="V69" s="645" t="n"/>
      <c r="W69" s="12590" t="n"/>
      <c r="X69" s="645" t="n"/>
      <c r="Y69" s="645" t="n"/>
      <c r="Z69" s="645" t="n"/>
      <c r="AA69" s="645" t="n"/>
      <c r="AB69" s="645" t="n"/>
      <c r="AC69" s="645" t="n"/>
      <c r="AD69" s="12187" t="n"/>
      <c r="AE69" s="12590" t="n"/>
      <c r="AF69" s="645" t="n"/>
      <c r="AG69" s="645" t="n"/>
      <c r="AH69" s="645" t="n"/>
      <c r="AI69" s="645" t="n"/>
      <c r="AJ69" s="645" t="n"/>
      <c r="AK69" s="12590" t="n"/>
      <c r="AL69" s="645" t="n"/>
      <c r="AM69" s="645" t="n"/>
      <c r="AN69" s="645" t="n"/>
      <c r="AO69" s="645" t="n"/>
      <c r="AP69" s="1681" t="n"/>
      <c r="AQ69" s="1682" t="n"/>
      <c r="AR69" s="1682" t="n"/>
      <c r="AS69" s="1682" t="n"/>
      <c r="AT69" s="1682" t="n"/>
      <c r="AU69" s="1682" t="n"/>
      <c r="AV69" s="1682" t="n"/>
      <c r="AW69" s="1682" t="n"/>
      <c r="AX69" s="1682" t="n"/>
      <c r="AY69" s="1682" t="n"/>
      <c r="AZ69" s="1682" t="n"/>
      <c r="BA69" s="1682" t="n"/>
      <c r="BB69" s="1682" t="n"/>
      <c r="BC69" s="1682" t="n"/>
      <c r="BD69" s="1684" t="n"/>
      <c r="BE69" s="1733" t="n"/>
      <c r="BF69" s="1733" t="n"/>
      <c r="BG69" s="1733" t="n"/>
      <c r="BH69" s="1733" t="n"/>
      <c r="BI69" s="1733" t="n"/>
      <c r="BJ69" s="1733" t="n"/>
      <c r="BK69" s="1733" t="n"/>
      <c r="BL69" s="1733" t="n"/>
      <c r="BM69" s="1733" t="n"/>
      <c r="BN69" s="1733" t="n"/>
      <c r="BO69" s="1733" t="n"/>
    </row>
    <row r="70" ht="18" customHeight="1" s="7635">
      <c r="A70" s="1681" t="n"/>
      <c r="B70" s="10487" t="inlineStr">
        <is>
          <t>A</t>
        </is>
      </c>
      <c r="C70" s="10411" t="n"/>
      <c r="D70" s="8007" t="n"/>
      <c r="E70" s="8007" t="n"/>
      <c r="F70" s="8007" t="n"/>
      <c r="G70" s="8007" t="n"/>
      <c r="H70" s="12610" t="n"/>
      <c r="I70" s="8007" t="n"/>
      <c r="J70" s="8007" t="n"/>
      <c r="K70" s="8007" t="n"/>
      <c r="L70" s="8007" t="n"/>
      <c r="M70" s="8007" t="n"/>
      <c r="N70" s="8007" t="n"/>
      <c r="O70" s="8008" t="n"/>
      <c r="P70" s="12599" t="n"/>
      <c r="Q70" s="8007" t="n"/>
      <c r="R70" s="8007" t="n"/>
      <c r="S70" s="8007" t="n"/>
      <c r="T70" s="8007" t="n"/>
      <c r="U70" s="8007" t="n"/>
      <c r="V70" s="8008" t="n"/>
      <c r="W70" s="12599" t="n"/>
      <c r="X70" s="8007" t="n"/>
      <c r="Y70" s="8007" t="n"/>
      <c r="Z70" s="8007" t="n"/>
      <c r="AA70" s="8007" t="n"/>
      <c r="AB70" s="8007" t="n"/>
      <c r="AC70" s="8007" t="n"/>
      <c r="AD70" s="8008" t="n"/>
      <c r="AE70" s="12608" t="n"/>
      <c r="AF70" s="8007" t="n"/>
      <c r="AG70" s="8007" t="n"/>
      <c r="AH70" s="8007" t="n"/>
      <c r="AI70" s="8007" t="n"/>
      <c r="AJ70" s="8007" t="n"/>
      <c r="AK70" s="10411" t="n"/>
      <c r="AL70" s="8007" t="n"/>
      <c r="AM70" s="8007" t="n"/>
      <c r="AN70" s="8007" t="n"/>
      <c r="AO70" s="8007" t="n"/>
      <c r="AP70" s="1681" t="n"/>
      <c r="BD70" s="1684" t="n"/>
      <c r="BE70" s="1684" t="n"/>
      <c r="BF70" s="1684" t="n"/>
      <c r="BG70" s="1684" t="n"/>
      <c r="BH70" s="1684" t="n"/>
      <c r="BI70" s="1684" t="n"/>
      <c r="BJ70" s="1684" t="n"/>
      <c r="BK70" s="1684" t="n"/>
      <c r="BL70" s="1684" t="n"/>
      <c r="BM70" s="1684" t="n"/>
      <c r="BN70" s="1684" t="n"/>
    </row>
    <row r="71" ht="18" customHeight="1" s="7635">
      <c r="A71" s="1681" t="n"/>
      <c r="B71" s="10487" t="inlineStr">
        <is>
          <t>B</t>
        </is>
      </c>
      <c r="C71" s="10411" t="n"/>
      <c r="D71" s="8007" t="n"/>
      <c r="E71" s="8007" t="n"/>
      <c r="F71" s="8007" t="n"/>
      <c r="G71" s="8007" t="n"/>
      <c r="H71" s="12610" t="n"/>
      <c r="I71" s="8007" t="n"/>
      <c r="J71" s="8007" t="n"/>
      <c r="K71" s="8007" t="n"/>
      <c r="L71" s="8007" t="n"/>
      <c r="M71" s="8007" t="n"/>
      <c r="N71" s="8007" t="n"/>
      <c r="O71" s="8008" t="n"/>
      <c r="P71" s="12599" t="n"/>
      <c r="Q71" s="8007" t="n"/>
      <c r="R71" s="8007" t="n"/>
      <c r="S71" s="8007" t="n"/>
      <c r="T71" s="8007" t="n"/>
      <c r="U71" s="8007" t="n"/>
      <c r="V71" s="8008" t="n"/>
      <c r="W71" s="12599" t="n"/>
      <c r="X71" s="8007" t="n"/>
      <c r="Y71" s="8007" t="n"/>
      <c r="Z71" s="8007" t="n"/>
      <c r="AA71" s="8007" t="n"/>
      <c r="AB71" s="8007" t="n"/>
      <c r="AC71" s="8007" t="n"/>
      <c r="AD71" s="8008" t="n"/>
      <c r="AE71" s="12608" t="n"/>
      <c r="AF71" s="8007" t="n"/>
      <c r="AG71" s="8007" t="n"/>
      <c r="AH71" s="8007" t="n"/>
      <c r="AI71" s="8007" t="n"/>
      <c r="AJ71" s="8007" t="n"/>
      <c r="AK71" s="10411" t="n"/>
      <c r="AL71" s="8007" t="n"/>
      <c r="AM71" s="8007" t="n"/>
      <c r="AN71" s="8007" t="n"/>
      <c r="AO71" s="8007" t="n"/>
      <c r="AP71" s="1681" t="n"/>
      <c r="BD71" s="1684" t="n"/>
      <c r="BE71" s="1684" t="n"/>
      <c r="BF71" s="1684" t="n"/>
      <c r="BG71" s="1684" t="n"/>
      <c r="BH71" s="1684" t="n"/>
      <c r="BI71" s="1684" t="n"/>
      <c r="BJ71" s="1684" t="n"/>
      <c r="BK71" s="1684" t="n"/>
      <c r="BL71" s="1684" t="n"/>
      <c r="BM71" s="1684" t="n"/>
      <c r="BN71" s="1684" t="n"/>
    </row>
    <row r="72" ht="18" customHeight="1" s="7635">
      <c r="A72" s="1681" t="n"/>
      <c r="B72" s="10487" t="inlineStr">
        <is>
          <t>C</t>
        </is>
      </c>
      <c r="C72" s="10411" t="n"/>
      <c r="D72" s="8007" t="n"/>
      <c r="E72" s="8007" t="n"/>
      <c r="F72" s="8007" t="n"/>
      <c r="G72" s="8007" t="n"/>
      <c r="H72" s="12610" t="n"/>
      <c r="I72" s="8007" t="n"/>
      <c r="J72" s="8007" t="n"/>
      <c r="K72" s="8007" t="n"/>
      <c r="L72" s="8007" t="n"/>
      <c r="M72" s="8007" t="n"/>
      <c r="N72" s="8007" t="n"/>
      <c r="O72" s="8008" t="n"/>
      <c r="P72" s="12599" t="n"/>
      <c r="Q72" s="8007" t="n"/>
      <c r="R72" s="8007" t="n"/>
      <c r="S72" s="8007" t="n"/>
      <c r="T72" s="8007" t="n"/>
      <c r="U72" s="8007" t="n"/>
      <c r="V72" s="8008" t="n"/>
      <c r="W72" s="12599" t="n"/>
      <c r="X72" s="8007" t="n"/>
      <c r="Y72" s="8007" t="n"/>
      <c r="Z72" s="8007" t="n"/>
      <c r="AA72" s="8007" t="n"/>
      <c r="AB72" s="8007" t="n"/>
      <c r="AC72" s="8007" t="n"/>
      <c r="AD72" s="8008" t="n"/>
      <c r="AE72" s="12608" t="n"/>
      <c r="AF72" s="8007" t="n"/>
      <c r="AG72" s="8007" t="n"/>
      <c r="AH72" s="8007" t="n"/>
      <c r="AI72" s="8007" t="n"/>
      <c r="AJ72" s="8007" t="n"/>
      <c r="AK72" s="10411" t="n"/>
      <c r="AL72" s="8007" t="n"/>
      <c r="AM72" s="8007" t="n"/>
      <c r="AN72" s="8007" t="n"/>
      <c r="AO72" s="8007" t="n"/>
      <c r="AP72" s="1681" t="n"/>
      <c r="BD72" s="1684" t="n"/>
      <c r="BE72" s="1684" t="n"/>
      <c r="BF72" s="1684" t="n"/>
      <c r="BG72" s="1684" t="n"/>
      <c r="BH72" s="1684" t="n"/>
      <c r="BI72" s="1684" t="n"/>
      <c r="BJ72" s="1684" t="n"/>
      <c r="BK72" s="1684" t="n"/>
      <c r="BL72" s="1684" t="n"/>
      <c r="BM72" s="1684" t="n"/>
      <c r="BN72" s="1684" t="n"/>
    </row>
    <row r="73" ht="18" customHeight="1" s="7635">
      <c r="A73" s="1681" t="n"/>
      <c r="B73" s="1736" t="inlineStr">
        <is>
          <t>For Paperwork Reduction Act Notice, see separate instructions.</t>
        </is>
      </c>
      <c r="C73" s="1737" t="n"/>
      <c r="D73" s="1728" t="n"/>
      <c r="E73" s="1728" t="n"/>
      <c r="F73" s="1728" t="n"/>
      <c r="G73" s="1728" t="n"/>
      <c r="H73" s="1728" t="n"/>
      <c r="I73" s="1728" t="n"/>
      <c r="J73" s="1728" t="n"/>
      <c r="K73" s="1728" t="n"/>
      <c r="L73" s="1728" t="n"/>
      <c r="M73" s="1728" t="n"/>
      <c r="N73" s="1728" t="n"/>
      <c r="O73" s="1728" t="n"/>
      <c r="P73" s="1728" t="n"/>
      <c r="Q73" s="1728" t="n"/>
      <c r="R73" s="1728" t="n"/>
      <c r="S73" s="1728" t="n"/>
      <c r="T73" s="1728" t="n"/>
      <c r="U73" s="1728" t="n"/>
      <c r="V73" s="1728" t="n"/>
      <c r="W73" s="1728" t="n"/>
      <c r="X73" s="1728" t="inlineStr">
        <is>
          <t>Cat. No. 62299J</t>
        </is>
      </c>
      <c r="Y73" s="1728" t="n"/>
      <c r="Z73" s="1728" t="n"/>
      <c r="AA73" s="1728" t="n"/>
      <c r="AB73" s="1728" t="n"/>
      <c r="AC73" s="1728" t="n"/>
      <c r="AD73" s="1728" t="n"/>
      <c r="AE73" s="1728" t="n"/>
      <c r="AF73" s="1728" t="n"/>
      <c r="AG73" s="1728" t="n"/>
      <c r="AH73" s="1728" t="n"/>
      <c r="AI73" s="1728" t="n"/>
      <c r="AJ73" s="1728" t="n"/>
      <c r="AK73" s="1737" t="inlineStr">
        <is>
          <t>Form 8283</t>
        </is>
      </c>
      <c r="AL73" s="1728" t="n"/>
      <c r="AM73" s="1728" t="n"/>
      <c r="AN73" s="1728" t="n"/>
      <c r="AO73" s="1737" t="inlineStr">
        <is>
          <t>(Rev. 11-2022)</t>
        </is>
      </c>
      <c r="AP73" s="1681" t="n"/>
      <c r="BD73" s="1684" t="n"/>
      <c r="BE73" s="1684" t="n"/>
      <c r="BF73" s="1684" t="n"/>
      <c r="BG73" s="1684" t="n"/>
      <c r="BH73" s="1684" t="n"/>
      <c r="BI73" s="1684" t="n"/>
      <c r="BJ73" s="1684" t="n"/>
      <c r="BK73" s="1684" t="n"/>
      <c r="BL73" s="1684" t="n"/>
      <c r="BM73" s="1684" t="n"/>
      <c r="BN73" s="1684" t="n"/>
    </row>
    <row r="74" ht="18.75" customHeight="1" s="7635" thickBot="1">
      <c r="A74" s="1681" t="n"/>
      <c r="B74" s="1037" t="inlineStr">
        <is>
          <t>Form 8283 (Rev. 12-2021)</t>
        </is>
      </c>
      <c r="C74" s="1037" t="n"/>
      <c r="D74" s="1037" t="n"/>
      <c r="E74" s="1037" t="n"/>
      <c r="F74" s="1037" t="n"/>
      <c r="G74" s="1037" t="n"/>
      <c r="H74" s="1037" t="n"/>
      <c r="I74" s="1037" t="n"/>
      <c r="J74" s="1037" t="n"/>
      <c r="K74" s="1037" t="n"/>
      <c r="L74" s="1037" t="n"/>
      <c r="M74" s="1037" t="n"/>
      <c r="N74" s="1037" t="n"/>
      <c r="O74" s="1037" t="n"/>
      <c r="P74" s="1037" t="n"/>
      <c r="Q74" s="1037" t="n"/>
      <c r="R74" s="1037" t="n"/>
      <c r="S74" s="1037" t="n"/>
      <c r="T74" s="1037" t="n"/>
      <c r="U74" s="1037" t="n"/>
      <c r="V74" s="1037" t="n"/>
      <c r="W74" s="1037" t="n"/>
      <c r="X74" s="1037" t="n"/>
      <c r="Y74" s="1037" t="n"/>
      <c r="Z74" s="1037" t="n"/>
      <c r="AA74" s="1037" t="n"/>
      <c r="AB74" s="1037" t="n"/>
      <c r="AC74" s="1037" t="n"/>
      <c r="AD74" s="1037" t="n"/>
      <c r="AE74" s="1037" t="n"/>
      <c r="AF74" s="1037" t="n"/>
      <c r="AG74" s="1037" t="n"/>
      <c r="AH74" s="1037" t="n"/>
      <c r="AI74" s="1037" t="n"/>
      <c r="AJ74" s="1037" t="n"/>
      <c r="AK74" s="1037" t="n"/>
      <c r="AL74" s="1037" t="n"/>
      <c r="AM74" s="1037" t="n"/>
      <c r="AN74" s="1037" t="n"/>
      <c r="AO74" s="1738" t="inlineStr">
        <is>
          <t>Page 2</t>
        </is>
      </c>
      <c r="AP74" s="1681" t="n"/>
      <c r="BD74" s="1684" t="n"/>
      <c r="BE74" s="1684" t="n"/>
      <c r="BF74" s="1684" t="n"/>
      <c r="BG74" s="1684" t="n"/>
      <c r="BH74" s="1684" t="n"/>
      <c r="BI74" s="1684" t="n"/>
      <c r="BJ74" s="1684" t="n"/>
      <c r="BK74" s="1684" t="n"/>
      <c r="BL74" s="1684" t="n"/>
      <c r="BM74" s="1684" t="n"/>
      <c r="BN74" s="1684" t="n"/>
    </row>
    <row r="75">
      <c r="A75" s="1681" t="n"/>
      <c r="B75" s="475" t="inlineStr">
        <is>
          <t>Name(s) shown on your income tax return</t>
        </is>
      </c>
      <c r="C75" s="475" t="n"/>
      <c r="D75" s="475" t="n"/>
      <c r="E75" s="475" t="n"/>
      <c r="F75" s="475" t="n"/>
      <c r="G75" s="475" t="n"/>
      <c r="H75" s="475" t="n"/>
      <c r="I75" s="475" t="n"/>
      <c r="J75" s="475" t="n"/>
      <c r="K75" s="475" t="n"/>
      <c r="L75" s="475" t="n"/>
      <c r="M75" s="475" t="n"/>
      <c r="N75" s="475" t="n"/>
      <c r="O75" s="475" t="n"/>
      <c r="P75" s="475" t="n"/>
      <c r="Q75" s="475" t="n"/>
      <c r="R75" s="475" t="n"/>
      <c r="S75" s="475" t="n"/>
      <c r="T75" s="475" t="n"/>
      <c r="U75" s="475" t="n"/>
      <c r="V75" s="475" t="n"/>
      <c r="W75" s="475" t="n"/>
      <c r="X75" s="475" t="n"/>
      <c r="Y75" s="475" t="n"/>
      <c r="Z75" s="475" t="n"/>
      <c r="AA75" s="475" t="n"/>
      <c r="AB75" s="475" t="n"/>
      <c r="AC75" s="475" t="n"/>
      <c r="AD75" s="475" t="n"/>
      <c r="AE75" s="475" t="n"/>
      <c r="AF75" s="475" t="n"/>
      <c r="AG75" s="475" t="n"/>
      <c r="AH75" s="475" t="n"/>
      <c r="AI75" s="1739" t="inlineStr">
        <is>
          <t>Identifying number</t>
        </is>
      </c>
      <c r="AJ75" s="1228" t="n"/>
      <c r="AK75" s="1228" t="n"/>
      <c r="AL75" s="1228" t="n"/>
      <c r="AM75" s="1228" t="n"/>
      <c r="AN75" s="1228" t="n"/>
      <c r="AO75" s="1228" t="n"/>
      <c r="AP75" s="1681" t="n"/>
      <c r="BD75" s="1684" t="n"/>
      <c r="BE75" s="1684" t="n"/>
      <c r="BF75" s="1684" t="n"/>
      <c r="BG75" s="1684" t="n"/>
      <c r="BH75" s="1684" t="n"/>
      <c r="BI75" s="1684" t="n"/>
      <c r="BJ75" s="1684" t="n"/>
      <c r="BK75" s="1684" t="n"/>
      <c r="BL75" s="1684" t="n"/>
      <c r="BM75" s="1684" t="n"/>
      <c r="BN75" s="1684" t="n"/>
    </row>
    <row r="76" ht="8.25" customHeight="1" s="7635">
      <c r="A76" s="1681" t="n"/>
      <c r="B76" s="10404">
        <f>Names</f>
        <v/>
      </c>
      <c r="C76" s="26" t="n"/>
      <c r="D76" s="26" t="n"/>
      <c r="E76" s="26"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c r="AA76" s="26" t="n"/>
      <c r="AB76" s="26" t="n"/>
      <c r="AC76" s="26" t="n"/>
      <c r="AD76" s="26" t="n"/>
      <c r="AE76" s="26" t="n"/>
      <c r="AF76" s="26" t="n"/>
      <c r="AG76" s="26" t="n"/>
      <c r="AH76" s="11837" t="n"/>
      <c r="AI76" s="10407" t="n"/>
      <c r="AJ76" s="194" t="n"/>
      <c r="AK76" s="194" t="n"/>
      <c r="AL76" s="194" t="n"/>
      <c r="AM76" s="194" t="n"/>
      <c r="AN76" s="194" t="n"/>
      <c r="AO76" s="194" t="n"/>
      <c r="AP76" s="1681" t="n"/>
      <c r="BD76" s="1684" t="n"/>
      <c r="BE76" s="1684" t="n"/>
      <c r="BF76" s="1684" t="n"/>
      <c r="BG76" s="1684" t="n"/>
      <c r="BH76" s="1684" t="n"/>
      <c r="BI76" s="1684" t="n"/>
      <c r="BJ76" s="1684" t="n"/>
      <c r="BK76" s="1684" t="n"/>
      <c r="BL76" s="1684" t="n"/>
      <c r="BM76" s="1684" t="n"/>
      <c r="BN76" s="1684" t="n"/>
    </row>
    <row r="77" ht="8.25" customHeight="1" s="7635">
      <c r="A77" s="1681" t="n"/>
      <c r="B77" s="645" t="n"/>
      <c r="C77" s="645" t="n"/>
      <c r="D77" s="645" t="n"/>
      <c r="E77" s="645" t="n"/>
      <c r="F77" s="645" t="n"/>
      <c r="G77" s="645" t="n"/>
      <c r="H77" s="645" t="n"/>
      <c r="I77" s="645" t="n"/>
      <c r="J77" s="645" t="n"/>
      <c r="K77" s="645" t="n"/>
      <c r="L77" s="645" t="n"/>
      <c r="M77" s="645" t="n"/>
      <c r="N77" s="645" t="n"/>
      <c r="O77" s="645" t="n"/>
      <c r="P77" s="645" t="n"/>
      <c r="Q77" s="645" t="n"/>
      <c r="R77" s="645" t="n"/>
      <c r="S77" s="645" t="n"/>
      <c r="T77" s="645" t="n"/>
      <c r="U77" s="645" t="n"/>
      <c r="V77" s="645" t="n"/>
      <c r="W77" s="645" t="n"/>
      <c r="X77" s="645" t="n"/>
      <c r="Y77" s="645" t="n"/>
      <c r="Z77" s="645" t="n"/>
      <c r="AA77" s="645" t="n"/>
      <c r="AB77" s="645" t="n"/>
      <c r="AC77" s="645" t="n"/>
      <c r="AD77" s="645" t="n"/>
      <c r="AE77" s="645" t="n"/>
      <c r="AF77" s="645" t="n"/>
      <c r="AG77" s="645" t="n"/>
      <c r="AH77" s="12185" t="n"/>
      <c r="AI77" s="12584" t="n"/>
      <c r="AJ77" s="11717" t="n"/>
      <c r="AK77" s="11717" t="n"/>
      <c r="AL77" s="11717" t="n"/>
      <c r="AM77" s="11717" t="n"/>
      <c r="AN77" s="11717" t="n"/>
      <c r="AO77" s="11717" t="n"/>
      <c r="AP77" s="1681" t="n"/>
      <c r="BD77" s="1684" t="n"/>
      <c r="BE77" s="1684" t="n"/>
      <c r="BF77" s="1684" t="n"/>
      <c r="BG77" s="1684" t="n"/>
      <c r="BH77" s="1684" t="n"/>
      <c r="BI77" s="1684" t="n"/>
      <c r="BJ77" s="1684" t="n"/>
      <c r="BK77" s="1684" t="n"/>
      <c r="BL77" s="1684" t="n"/>
      <c r="BM77" s="1684" t="n"/>
      <c r="BN77" s="1684" t="n"/>
    </row>
    <row r="78" ht="15.75" customFormat="1" customHeight="1" s="1695">
      <c r="A78" s="1693" t="n"/>
      <c r="B78" s="10380" t="inlineStr">
        <is>
          <t>Part II</t>
        </is>
      </c>
      <c r="C78" s="12051" t="n"/>
      <c r="D78" s="12051" t="n"/>
      <c r="E78" s="1740" t="n"/>
      <c r="F78" s="1741" t="inlineStr">
        <is>
          <t>Partial Interests and Restricted Use Property (Other Than Qualified Conservation Contributions)—</t>
        </is>
      </c>
      <c r="G78" s="1740" t="n"/>
      <c r="H78" s="1740" t="n"/>
      <c r="I78" s="1740" t="n"/>
      <c r="J78" s="1740" t="n"/>
      <c r="K78" s="1740" t="n"/>
      <c r="L78" s="1740" t="n"/>
      <c r="M78" s="1740" t="n"/>
      <c r="N78" s="1740" t="n"/>
      <c r="O78" s="1740" t="n"/>
      <c r="P78" s="1740" t="n"/>
      <c r="Q78" s="1740" t="n"/>
      <c r="R78" s="1740" t="n"/>
      <c r="S78" s="1740" t="n"/>
      <c r="T78" s="1740" t="n"/>
      <c r="U78" s="1740" t="n"/>
      <c r="V78" s="1740" t="n"/>
      <c r="W78" s="1740" t="n"/>
      <c r="X78" s="1740" t="n"/>
      <c r="Y78" s="1740" t="n"/>
      <c r="Z78" s="1740" t="n"/>
      <c r="AA78" s="1740" t="n"/>
      <c r="AB78" s="1740" t="n"/>
      <c r="AC78" s="1740" t="n"/>
      <c r="AD78" s="1740" t="n"/>
      <c r="AE78" s="1740" t="n"/>
      <c r="AF78" s="1740" t="n"/>
      <c r="AG78" s="1740" t="n"/>
      <c r="AH78" s="1740" t="n"/>
      <c r="AI78" s="1740" t="n"/>
      <c r="AJ78" s="1740" t="n"/>
      <c r="AK78" s="1740" t="n"/>
      <c r="AL78" s="1740" t="n"/>
      <c r="AM78" s="1740" t="n"/>
      <c r="AN78" s="1740" t="n"/>
      <c r="AO78" s="1740" t="n"/>
      <c r="AP78" s="1681" t="n"/>
      <c r="BD78" s="1684" t="n"/>
      <c r="BE78" s="1684" t="n"/>
      <c r="BF78" s="1684" t="n"/>
      <c r="BG78" s="1684" t="n"/>
      <c r="BH78" s="1684" t="n"/>
      <c r="BI78" s="1684" t="n"/>
      <c r="BJ78" s="1684" t="n"/>
      <c r="BK78" s="1684" t="n"/>
      <c r="BL78" s="1684" t="n"/>
      <c r="BM78" s="1684" t="n"/>
      <c r="BN78" s="1684" t="n"/>
    </row>
    <row r="79" ht="15" customFormat="1" customHeight="1" s="1695">
      <c r="A79" s="1693" t="n"/>
      <c r="B79" s="475" t="n"/>
      <c r="C79" s="475" t="n"/>
      <c r="D79" s="475" t="n"/>
      <c r="E79" s="1692" t="n"/>
      <c r="F79" s="1692" t="inlineStr">
        <is>
          <t>Complete lines 4a through 4e if you gave less than an entire interest in a property listed in Section B, Part I.</t>
        </is>
      </c>
      <c r="G79" s="1692" t="n"/>
      <c r="H79" s="1692" t="n"/>
      <c r="I79" s="1692" t="n"/>
      <c r="J79" s="1692" t="n"/>
      <c r="K79" s="1692" t="n"/>
      <c r="L79" s="1692" t="n"/>
      <c r="M79" s="1692" t="n"/>
      <c r="N79" s="1692" t="n"/>
      <c r="O79" s="1692" t="n"/>
      <c r="P79" s="1692" t="n"/>
      <c r="Q79" s="1692" t="n"/>
      <c r="R79" s="1692" t="n"/>
      <c r="S79" s="1692" t="n"/>
      <c r="T79" s="1692" t="n"/>
      <c r="U79" s="1692" t="n"/>
      <c r="V79" s="1692" t="n"/>
      <c r="W79" s="1692" t="n"/>
      <c r="X79" s="1692" t="n"/>
      <c r="Y79" s="1692" t="n"/>
      <c r="Z79" s="1692" t="n"/>
      <c r="AA79" s="1692" t="n"/>
      <c r="AB79" s="1692" t="n"/>
      <c r="AC79" s="1692" t="n"/>
      <c r="AD79" s="1692" t="n"/>
      <c r="AE79" s="1692" t="n"/>
      <c r="AF79" s="1692" t="n"/>
      <c r="AG79" s="1692" t="n"/>
      <c r="AH79" s="1692" t="n"/>
      <c r="AI79" s="1692" t="n"/>
      <c r="AJ79" s="1692" t="n"/>
      <c r="AK79" s="1692" t="n"/>
      <c r="AL79" s="1692" t="n"/>
      <c r="AM79" s="1692" t="n"/>
      <c r="AN79" s="1692" t="n"/>
      <c r="AO79" s="1692" t="n"/>
      <c r="AP79" s="1681" t="n"/>
      <c r="BD79" s="1684" t="n"/>
      <c r="BE79" s="1684" t="n"/>
      <c r="BF79" s="1684" t="n"/>
      <c r="BG79" s="1684" t="n"/>
      <c r="BH79" s="1684" t="n"/>
      <c r="BI79" s="1684" t="n"/>
      <c r="BJ79" s="1684" t="n"/>
      <c r="BK79" s="1684" t="n"/>
      <c r="BL79" s="1684" t="n"/>
      <c r="BM79" s="1684" t="n"/>
      <c r="BN79" s="1684" t="n"/>
    </row>
    <row r="80" ht="13.5" customHeight="1" s="7635">
      <c r="A80" s="1681" t="n"/>
      <c r="B80" s="475" t="n"/>
      <c r="C80" s="475" t="n"/>
      <c r="D80" s="475" t="n"/>
      <c r="E80" s="475" t="n"/>
      <c r="F80" s="1692" t="inlineStr">
        <is>
          <t>Complete lines 5a through 5c if conditions were placed on a contribution listed in Section B, Part I; also</t>
        </is>
      </c>
      <c r="G80" s="475" t="n"/>
      <c r="H80" s="475" t="n"/>
      <c r="I80" s="475" t="n"/>
      <c r="J80" s="475" t="n"/>
      <c r="K80" s="475" t="n"/>
      <c r="L80" s="475" t="n"/>
      <c r="M80" s="475" t="n"/>
      <c r="N80" s="475" t="n"/>
      <c r="O80" s="475" t="n"/>
      <c r="P80" s="475" t="n"/>
      <c r="Q80" s="475" t="n"/>
      <c r="R80" s="475" t="n"/>
      <c r="S80" s="475" t="n"/>
      <c r="T80" s="475" t="n"/>
      <c r="U80" s="475" t="n"/>
      <c r="V80" s="475" t="n"/>
      <c r="W80" s="475" t="n"/>
      <c r="X80" s="475" t="n"/>
      <c r="Y80" s="475" t="n"/>
      <c r="Z80" s="475" t="n"/>
      <c r="AA80" s="475" t="n"/>
      <c r="AB80" s="475" t="n"/>
      <c r="AC80" s="475" t="n"/>
      <c r="AD80" s="475" t="n"/>
      <c r="AE80" s="475" t="n"/>
      <c r="AF80" s="475" t="n"/>
      <c r="AG80" s="475" t="n"/>
      <c r="AH80" s="475" t="n"/>
      <c r="AI80" s="475" t="n"/>
      <c r="AJ80" s="475" t="n"/>
      <c r="AK80" s="475" t="n"/>
      <c r="AL80" s="475" t="n"/>
      <c r="AM80" s="475" t="n"/>
      <c r="AN80" s="475" t="n"/>
      <c r="AO80" s="475" t="n"/>
      <c r="AP80" s="1681" t="n"/>
      <c r="BD80" s="1684" t="n"/>
      <c r="BE80" s="1684" t="n"/>
      <c r="BF80" s="1684" t="n"/>
      <c r="BG80" s="1684" t="n"/>
      <c r="BH80" s="1684" t="n"/>
      <c r="BI80" s="1684" t="n"/>
      <c r="BJ80" s="1684" t="n"/>
      <c r="BK80" s="1684" t="n"/>
      <c r="BL80" s="1684" t="n"/>
      <c r="BM80" s="1684" t="n"/>
      <c r="BN80" s="1684" t="n"/>
    </row>
    <row r="81" ht="13.5" customHeight="1" s="7635">
      <c r="A81" s="1681" t="n"/>
      <c r="B81" s="1742" t="n"/>
      <c r="C81" s="1742" t="n"/>
      <c r="D81" s="1742" t="n"/>
      <c r="E81" s="1742" t="n"/>
      <c r="F81" s="1743" t="inlineStr">
        <is>
          <t>attach the required statement. See instructions.</t>
        </is>
      </c>
      <c r="G81" s="1742" t="n"/>
      <c r="H81" s="1742" t="n"/>
      <c r="I81" s="1742" t="n"/>
      <c r="J81" s="1742" t="n"/>
      <c r="K81" s="1742" t="n"/>
      <c r="L81" s="1742" t="n"/>
      <c r="M81" s="1742" t="n"/>
      <c r="N81" s="1742" t="n"/>
      <c r="O81" s="1742" t="n"/>
      <c r="P81" s="1742" t="n"/>
      <c r="Q81" s="1742" t="n"/>
      <c r="R81" s="1742" t="n"/>
      <c r="S81" s="1742" t="n"/>
      <c r="T81" s="1742" t="n"/>
      <c r="U81" s="1742" t="n"/>
      <c r="V81" s="1742" t="n"/>
      <c r="W81" s="1742" t="n"/>
      <c r="X81" s="1742" t="n"/>
      <c r="Y81" s="1742" t="n"/>
      <c r="Z81" s="1742" t="n"/>
      <c r="AA81" s="1742" t="n"/>
      <c r="AB81" s="1742" t="n"/>
      <c r="AC81" s="1742" t="n"/>
      <c r="AD81" s="1742" t="n"/>
      <c r="AE81" s="1742" t="n"/>
      <c r="AF81" s="1742" t="n"/>
      <c r="AG81" s="1742" t="n"/>
      <c r="AH81" s="1742" t="n"/>
      <c r="AI81" s="1742" t="n"/>
      <c r="AJ81" s="1742" t="n"/>
      <c r="AK81" s="1742" t="n"/>
      <c r="AL81" s="1742" t="n"/>
      <c r="AM81" s="1742" t="n"/>
      <c r="AN81" s="1742" t="n"/>
      <c r="AO81" s="1742" t="n"/>
      <c r="AP81" s="1681" t="n"/>
      <c r="BD81" s="1684" t="n"/>
      <c r="BE81" s="1684" t="n"/>
      <c r="BF81" s="1684" t="n"/>
      <c r="BG81" s="1684" t="n"/>
      <c r="BH81" s="1684" t="n"/>
      <c r="BI81" s="1684" t="n"/>
      <c r="BJ81" s="1684" t="n"/>
      <c r="BK81" s="1684" t="n"/>
      <c r="BL81" s="1684" t="n"/>
      <c r="BM81" s="1684" t="n"/>
      <c r="BN81" s="1684" t="n"/>
    </row>
    <row r="82" ht="15" customHeight="1" s="7635">
      <c r="A82" s="1681" t="n"/>
      <c r="B82" s="10408" t="inlineStr">
        <is>
          <t>4a</t>
        </is>
      </c>
      <c r="C82" s="12051" t="n"/>
      <c r="D82" s="1718" t="inlineStr">
        <is>
          <t>Enter the letter from Section B, Part I that identifies the property for which you gave less than an entire interest</t>
        </is>
      </c>
      <c r="E82" s="475" t="n"/>
      <c r="F82" s="475" t="n"/>
      <c r="G82" s="475" t="n"/>
      <c r="H82" s="475" t="n"/>
      <c r="I82" s="475" t="n"/>
      <c r="J82" s="475" t="n"/>
      <c r="K82" s="475" t="n"/>
      <c r="L82" s="475" t="n"/>
      <c r="M82" s="475" t="n"/>
      <c r="N82" s="475" t="n"/>
      <c r="O82" s="475" t="n"/>
      <c r="P82" s="475" t="n"/>
      <c r="Q82" s="475" t="n"/>
      <c r="R82" s="475" t="n"/>
      <c r="S82" s="475" t="n"/>
      <c r="T82" s="475" t="n"/>
      <c r="U82" s="475" t="n"/>
      <c r="V82" s="475" t="n"/>
      <c r="W82" s="475" t="n"/>
      <c r="X82" s="475" t="n"/>
      <c r="Y82" s="475" t="n"/>
      <c r="Z82" s="475" t="n"/>
      <c r="AA82" s="475" t="n"/>
      <c r="AB82" s="475" t="n"/>
      <c r="AC82" s="475" t="n"/>
      <c r="AD82" s="475" t="n"/>
      <c r="AE82" s="475" t="n"/>
      <c r="AF82" s="475" t="n"/>
      <c r="AG82" s="475" t="n"/>
      <c r="AH82" s="475" t="n"/>
      <c r="AI82" s="475" t="n"/>
      <c r="AJ82" s="475" t="n"/>
      <c r="AK82" s="475" t="n"/>
      <c r="AL82" s="475" t="n"/>
      <c r="AM82" s="10399" t="n"/>
      <c r="AN82" s="8007" t="n"/>
      <c r="AO82" s="8007" t="n"/>
      <c r="AP82" s="1681" t="n"/>
      <c r="BD82" s="1684" t="n"/>
      <c r="BE82" s="1684" t="n"/>
      <c r="BF82" s="1684" t="n"/>
      <c r="BG82" s="1684" t="n"/>
      <c r="BH82" s="1684" t="n"/>
      <c r="BI82" s="1684" t="n"/>
      <c r="BJ82" s="1684" t="n"/>
      <c r="BK82" s="1684" t="n"/>
      <c r="BL82" s="1684" t="n"/>
      <c r="BM82" s="1684" t="n"/>
      <c r="BN82" s="1684" t="n"/>
    </row>
    <row r="83" ht="14.25" customHeight="1" s="7635">
      <c r="A83" s="1681" t="n"/>
      <c r="B83" s="1744" t="n"/>
      <c r="C83" s="1744" t="n"/>
      <c r="D83" s="1718" t="inlineStr">
        <is>
          <t>If Section B, Part II applies to more than one property, attach a separate statement.</t>
        </is>
      </c>
      <c r="E83" s="475" t="n"/>
      <c r="F83" s="475" t="n"/>
      <c r="G83" s="475" t="n"/>
      <c r="H83" s="475" t="n"/>
      <c r="I83" s="475" t="n"/>
      <c r="J83" s="475" t="n"/>
      <c r="K83" s="475" t="n"/>
      <c r="L83" s="475" t="n"/>
      <c r="M83" s="475" t="n"/>
      <c r="N83" s="475" t="n"/>
      <c r="O83" s="475" t="n"/>
      <c r="P83" s="475" t="n"/>
      <c r="Q83" s="475" t="n"/>
      <c r="R83" s="475" t="n"/>
      <c r="S83" s="475" t="n"/>
      <c r="T83" s="475" t="n"/>
      <c r="U83" s="475" t="n"/>
      <c r="V83" s="475" t="n"/>
      <c r="W83" s="475" t="n"/>
      <c r="X83" s="475" t="n"/>
      <c r="Y83" s="475" t="n"/>
      <c r="Z83" s="475" t="n"/>
      <c r="AA83" s="475" t="n"/>
      <c r="AB83" s="475" t="n"/>
      <c r="AC83" s="475" t="n"/>
      <c r="AD83" s="475" t="n"/>
      <c r="AE83" s="475" t="n"/>
      <c r="AF83" s="475" t="n"/>
      <c r="AG83" s="475" t="n"/>
      <c r="AH83" s="475" t="n"/>
      <c r="AI83" s="475" t="n"/>
      <c r="AJ83" s="475" t="n"/>
      <c r="AK83" s="475" t="n"/>
      <c r="AL83" s="475" t="n"/>
      <c r="AM83" s="475" t="n"/>
      <c r="AN83" s="475" t="n"/>
      <c r="AO83" s="475" t="n"/>
      <c r="AP83" s="1681" t="n"/>
      <c r="BD83" s="1684" t="n"/>
      <c r="BE83" s="1684" t="n"/>
      <c r="BF83" s="1684" t="n"/>
      <c r="BG83" s="1684" t="n"/>
      <c r="BH83" s="1684" t="n"/>
      <c r="BI83" s="1684" t="n"/>
      <c r="BJ83" s="1684" t="n"/>
      <c r="BK83" s="1684" t="n"/>
      <c r="BL83" s="1684" t="n"/>
      <c r="BM83" s="1684" t="n"/>
      <c r="BN83" s="1684" t="n"/>
    </row>
    <row r="84" ht="15" customHeight="1" s="7635">
      <c r="A84" s="1681" t="n"/>
      <c r="B84" s="10386" t="inlineStr">
        <is>
          <t>b</t>
        </is>
      </c>
      <c r="C84" s="26" t="n"/>
      <c r="D84" s="1718" t="inlineStr">
        <is>
          <t>Total amount claimed as a deduction for the property listed in Part I:</t>
        </is>
      </c>
      <c r="E84" s="475" t="n"/>
      <c r="F84" s="475" t="n"/>
      <c r="G84" s="475" t="n"/>
      <c r="H84" s="475" t="n"/>
      <c r="I84" s="475" t="n"/>
      <c r="J84" s="475" t="n"/>
      <c r="K84" s="475" t="n"/>
      <c r="L84" s="475" t="n"/>
      <c r="M84" s="475" t="n"/>
      <c r="N84" s="475" t="n"/>
      <c r="O84" s="475" t="n"/>
      <c r="P84" s="475" t="n"/>
      <c r="Q84" s="475" t="n"/>
      <c r="R84" s="475" t="n"/>
      <c r="S84" s="475" t="n"/>
      <c r="T84" s="475" t="n"/>
      <c r="U84" s="475" t="n"/>
      <c r="V84" s="475" t="n"/>
      <c r="W84" s="475" t="n"/>
      <c r="X84" s="475" t="n"/>
      <c r="Y84" s="475" t="n"/>
      <c r="Z84" s="1745" t="inlineStr">
        <is>
          <t>(1)</t>
        </is>
      </c>
      <c r="AA84" s="1718" t="inlineStr">
        <is>
          <t>For this tax year</t>
        </is>
      </c>
      <c r="AB84" s="1718" t="n"/>
      <c r="AC84" s="475" t="n"/>
      <c r="AD84" s="475" t="n"/>
      <c r="AE84" s="475" t="n"/>
      <c r="AF84" s="475" t="n"/>
      <c r="AG84" s="475" t="n"/>
      <c r="AH84" s="475" t="n"/>
      <c r="AI84" s="10410" t="n"/>
      <c r="AJ84" s="11717" t="n"/>
      <c r="AK84" s="11717" t="n"/>
      <c r="AL84" s="11717" t="n"/>
      <c r="AM84" s="11717" t="n"/>
      <c r="AN84" s="11717" t="n"/>
      <c r="AO84" s="11717" t="n"/>
      <c r="AP84" s="1681" t="n"/>
      <c r="BD84" s="1684" t="n"/>
      <c r="BE84" s="1684" t="n"/>
      <c r="BF84" s="1684" t="n"/>
      <c r="BG84" s="1684" t="n"/>
      <c r="BH84" s="1684" t="n"/>
      <c r="BI84" s="1684" t="n"/>
      <c r="BJ84" s="1684" t="n"/>
      <c r="BK84" s="1684" t="n"/>
      <c r="BL84" s="1684" t="n"/>
      <c r="BM84" s="1684" t="n"/>
      <c r="BN84" s="1684" t="n"/>
    </row>
    <row r="85" ht="15" customHeight="1" s="7635">
      <c r="A85" s="1681" t="n"/>
      <c r="B85" s="10386" t="n"/>
      <c r="C85" s="26" t="n"/>
      <c r="D85" s="1718" t="n"/>
      <c r="E85" s="475" t="n"/>
      <c r="F85" s="475" t="n"/>
      <c r="G85" s="475" t="n"/>
      <c r="H85" s="475" t="n"/>
      <c r="I85" s="475" t="n"/>
      <c r="J85" s="475" t="n"/>
      <c r="K85" s="475" t="n"/>
      <c r="L85" s="475" t="n"/>
      <c r="M85" s="475" t="n"/>
      <c r="N85" s="475" t="n"/>
      <c r="O85" s="475" t="n"/>
      <c r="P85" s="475" t="n"/>
      <c r="Q85" s="475" t="n"/>
      <c r="R85" s="475" t="n"/>
      <c r="S85" s="475" t="n"/>
      <c r="T85" s="475" t="n"/>
      <c r="U85" s="475" t="n"/>
      <c r="V85" s="475" t="n"/>
      <c r="W85" s="475" t="n"/>
      <c r="X85" s="475" t="n"/>
      <c r="Y85" s="475" t="n"/>
      <c r="Z85" s="1745" t="inlineStr">
        <is>
          <t>(2)</t>
        </is>
      </c>
      <c r="AA85" s="1718" t="inlineStr">
        <is>
          <t>For any prior tax years</t>
        </is>
      </c>
      <c r="AB85" s="1718" t="n"/>
      <c r="AC85" s="475" t="n"/>
      <c r="AD85" s="475" t="n"/>
      <c r="AE85" s="475" t="n"/>
      <c r="AF85" s="475" t="n"/>
      <c r="AG85" s="475" t="n"/>
      <c r="AH85" s="475" t="n"/>
      <c r="AI85" s="10399" t="n"/>
      <c r="AJ85" s="8007" t="n"/>
      <c r="AK85" s="8007" t="n"/>
      <c r="AL85" s="8007" t="n"/>
      <c r="AM85" s="8007" t="n"/>
      <c r="AN85" s="8007" t="n"/>
      <c r="AO85" s="8007" t="n"/>
      <c r="AP85" s="1681" t="n"/>
      <c r="BD85" s="1684" t="n"/>
      <c r="BE85" s="1684" t="n"/>
      <c r="BF85" s="1684" t="n"/>
      <c r="BG85" s="1684" t="n"/>
      <c r="BH85" s="1684" t="n"/>
      <c r="BI85" s="1684" t="n"/>
      <c r="BJ85" s="1684" t="n"/>
      <c r="BK85" s="1684" t="n"/>
      <c r="BL85" s="1684" t="n"/>
      <c r="BM85" s="1684" t="n"/>
      <c r="BN85" s="1684" t="n"/>
    </row>
    <row r="86" ht="15" customHeight="1" s="7635">
      <c r="A86" s="1681" t="n"/>
      <c r="B86" s="10386" t="inlineStr">
        <is>
          <t>c</t>
        </is>
      </c>
      <c r="C86" s="26" t="n"/>
      <c r="D86" s="1718" t="inlineStr">
        <is>
          <t>Name and address of each organization to which any such contribution was made in a prior year (complete only if different</t>
        </is>
      </c>
      <c r="E86" s="475" t="n"/>
      <c r="F86" s="475" t="n"/>
      <c r="G86" s="475" t="n"/>
      <c r="H86" s="475" t="n"/>
      <c r="I86" s="475" t="n"/>
      <c r="J86" s="475" t="n"/>
      <c r="K86" s="475" t="n"/>
      <c r="L86" s="475" t="n"/>
      <c r="M86" s="475" t="n"/>
      <c r="N86" s="475" t="n"/>
      <c r="O86" s="475" t="n"/>
      <c r="P86" s="475" t="n"/>
      <c r="Q86" s="475" t="n"/>
      <c r="R86" s="475" t="n"/>
      <c r="S86" s="475" t="n"/>
      <c r="T86" s="475" t="n"/>
      <c r="U86" s="475" t="n"/>
      <c r="V86" s="475" t="n"/>
      <c r="W86" s="475" t="n"/>
      <c r="X86" s="475" t="n"/>
      <c r="Y86" s="475" t="n"/>
      <c r="Z86" s="475" t="n"/>
      <c r="AA86" s="475" t="n"/>
      <c r="AB86" s="475" t="n"/>
      <c r="AC86" s="475" t="n"/>
      <c r="AD86" s="475" t="n"/>
      <c r="AE86" s="475" t="n"/>
      <c r="AF86" s="475" t="n"/>
      <c r="AG86" s="475" t="n"/>
      <c r="AH86" s="475" t="n"/>
      <c r="AI86" s="475" t="n"/>
      <c r="AJ86" s="475" t="n"/>
      <c r="AK86" s="475" t="n"/>
      <c r="AL86" s="475" t="n"/>
      <c r="AM86" s="475" t="n"/>
      <c r="AN86" s="475" t="n"/>
      <c r="AO86" s="475" t="n"/>
      <c r="AP86" s="1681" t="n"/>
      <c r="BD86" s="1684" t="n"/>
      <c r="BE86" s="1684" t="n"/>
      <c r="BF86" s="1684" t="n"/>
      <c r="BG86" s="1684" t="n"/>
      <c r="BH86" s="1684" t="n"/>
      <c r="BI86" s="1684" t="n"/>
      <c r="BJ86" s="1684" t="n"/>
      <c r="BK86" s="1684" t="n"/>
      <c r="BL86" s="1684" t="n"/>
      <c r="BM86" s="1684" t="n"/>
      <c r="BN86" s="1684" t="n"/>
    </row>
    <row r="87" ht="14.25" customHeight="1" s="7635">
      <c r="A87" s="1681" t="n"/>
      <c r="B87" s="1744" t="n"/>
      <c r="C87" s="1744" t="n"/>
      <c r="D87" s="1718" t="inlineStr">
        <is>
          <t>from the donee organization in Section B, Part V, below):</t>
        </is>
      </c>
      <c r="E87" s="475" t="n"/>
      <c r="F87" s="475" t="n"/>
      <c r="G87" s="475" t="n"/>
      <c r="H87" s="475" t="n"/>
      <c r="I87" s="475" t="n"/>
      <c r="J87" s="475" t="n"/>
      <c r="K87" s="475" t="n"/>
      <c r="L87" s="475" t="n"/>
      <c r="M87" s="475" t="n"/>
      <c r="N87" s="475" t="n"/>
      <c r="O87" s="475" t="n"/>
      <c r="P87" s="475" t="n"/>
      <c r="Q87" s="475" t="n"/>
      <c r="R87" s="475" t="n"/>
      <c r="S87" s="475" t="n"/>
      <c r="T87" s="475" t="n"/>
      <c r="U87" s="475" t="n"/>
      <c r="V87" s="475" t="n"/>
      <c r="W87" s="475" t="n"/>
      <c r="X87" s="475" t="n"/>
      <c r="Y87" s="475" t="n"/>
      <c r="Z87" s="475" t="n"/>
      <c r="AA87" s="475" t="n"/>
      <c r="AB87" s="475" t="n"/>
      <c r="AC87" s="475" t="n"/>
      <c r="AD87" s="475" t="n"/>
      <c r="AE87" s="475" t="n"/>
      <c r="AF87" s="475" t="n"/>
      <c r="AG87" s="475" t="n"/>
      <c r="AH87" s="475" t="n"/>
      <c r="AI87" s="475" t="n"/>
      <c r="AJ87" s="475" t="n"/>
      <c r="AK87" s="475" t="n"/>
      <c r="AL87" s="475" t="n"/>
      <c r="AM87" s="475" t="n"/>
      <c r="AN87" s="475" t="n"/>
      <c r="AO87" s="475" t="n"/>
      <c r="AP87" s="1681" t="n"/>
      <c r="BD87" s="1684" t="n"/>
      <c r="BE87" s="1684" t="n"/>
      <c r="BF87" s="1684" t="n"/>
      <c r="BG87" s="1684" t="n"/>
      <c r="BH87" s="1684" t="n"/>
      <c r="BI87" s="1684" t="n"/>
      <c r="BJ87" s="1684" t="n"/>
      <c r="BK87" s="1684" t="n"/>
      <c r="BL87" s="1684" t="n"/>
      <c r="BM87" s="1684" t="n"/>
      <c r="BN87" s="1684" t="n"/>
    </row>
    <row r="88">
      <c r="A88" s="1681" t="n"/>
      <c r="B88" s="1744" t="n"/>
      <c r="C88" s="1744" t="n"/>
      <c r="D88" s="475" t="inlineStr">
        <is>
          <t>Name of charitable organization (donee)</t>
        </is>
      </c>
      <c r="E88" s="475" t="n"/>
      <c r="F88" s="475" t="n"/>
      <c r="G88" s="475" t="n"/>
      <c r="H88" s="475" t="n"/>
      <c r="I88" s="475" t="n"/>
      <c r="J88" s="475" t="n"/>
      <c r="K88" s="475" t="n"/>
      <c r="L88" s="475" t="n"/>
      <c r="M88" s="475" t="n"/>
      <c r="N88" s="475" t="n"/>
      <c r="O88" s="475" t="n"/>
      <c r="P88" s="475" t="n"/>
      <c r="Q88" s="475" t="n"/>
      <c r="R88" s="475" t="n"/>
      <c r="S88" s="475" t="n"/>
      <c r="T88" s="475" t="n"/>
      <c r="U88" s="475" t="n"/>
      <c r="V88" s="475" t="n"/>
      <c r="W88" s="475" t="n"/>
      <c r="X88" s="475" t="n"/>
      <c r="Y88" s="475" t="n"/>
      <c r="Z88" s="475" t="n"/>
      <c r="AA88" s="475" t="n"/>
      <c r="AB88" s="475" t="n"/>
      <c r="AC88" s="475" t="n"/>
      <c r="AD88" s="475" t="n"/>
      <c r="AE88" s="475" t="n"/>
      <c r="AF88" s="475" t="n"/>
      <c r="AG88" s="475" t="n"/>
      <c r="AH88" s="475" t="n"/>
      <c r="AI88" s="475" t="n"/>
      <c r="AJ88" s="475" t="n"/>
      <c r="AK88" s="475" t="n"/>
      <c r="AL88" s="475" t="n"/>
      <c r="AM88" s="475" t="n"/>
      <c r="AN88" s="475" t="n"/>
      <c r="AO88" s="475" t="n"/>
      <c r="AP88" s="1681" t="n"/>
      <c r="BD88" s="1684" t="n"/>
      <c r="BE88" s="1684" t="n"/>
      <c r="BF88" s="1684" t="n"/>
      <c r="BG88" s="1684" t="n"/>
      <c r="BH88" s="1684" t="n"/>
      <c r="BI88" s="1684" t="n"/>
      <c r="BJ88" s="1684" t="n"/>
      <c r="BK88" s="1684" t="n"/>
      <c r="BL88" s="1684" t="n"/>
      <c r="BM88" s="1684" t="n"/>
      <c r="BN88" s="1684" t="n"/>
    </row>
    <row r="89" ht="16.5" customHeight="1" s="7635">
      <c r="A89" s="1681" t="n"/>
      <c r="B89" s="1744" t="n"/>
      <c r="C89" s="1744" t="n"/>
      <c r="D89" s="10394" t="n"/>
      <c r="E89" s="11717" t="n"/>
      <c r="F89" s="11717" t="n"/>
      <c r="G89" s="11717" t="n"/>
      <c r="H89" s="11717" t="n"/>
      <c r="I89" s="11717" t="n"/>
      <c r="J89" s="11717" t="n"/>
      <c r="K89" s="11717" t="n"/>
      <c r="L89" s="11717" t="n"/>
      <c r="M89" s="11717" t="n"/>
      <c r="N89" s="11717" t="n"/>
      <c r="O89" s="11717" t="n"/>
      <c r="P89" s="11717" t="n"/>
      <c r="Q89" s="11717" t="n"/>
      <c r="R89" s="11717" t="n"/>
      <c r="S89" s="11717" t="n"/>
      <c r="T89" s="11717" t="n"/>
      <c r="U89" s="11717" t="n"/>
      <c r="V89" s="11717" t="n"/>
      <c r="W89" s="11717" t="n"/>
      <c r="X89" s="11717" t="n"/>
      <c r="Y89" s="11717" t="n"/>
      <c r="Z89" s="11717" t="n"/>
      <c r="AA89" s="11717" t="n"/>
      <c r="AB89" s="11717" t="n"/>
      <c r="AC89" s="11717" t="n"/>
      <c r="AD89" s="11717" t="n"/>
      <c r="AE89" s="11717" t="n"/>
      <c r="AF89" s="11717" t="n"/>
      <c r="AG89" s="11717" t="n"/>
      <c r="AH89" s="11717" t="n"/>
      <c r="AI89" s="11717" t="n"/>
      <c r="AJ89" s="11717" t="n"/>
      <c r="AK89" s="11717" t="n"/>
      <c r="AL89" s="11717" t="n"/>
      <c r="AM89" s="11717" t="n"/>
      <c r="AN89" s="11717" t="n"/>
      <c r="AO89" s="11717" t="n"/>
      <c r="AP89" s="1681" t="n"/>
      <c r="BD89" s="1684" t="n"/>
      <c r="BE89" s="1684" t="n"/>
      <c r="BF89" s="1684" t="n"/>
      <c r="BG89" s="1684" t="n"/>
      <c r="BH89" s="1684" t="n"/>
      <c r="BI89" s="1684" t="n"/>
      <c r="BJ89" s="1684" t="n"/>
      <c r="BK89" s="1684" t="n"/>
      <c r="BL89" s="1684" t="n"/>
      <c r="BM89" s="1684" t="n"/>
      <c r="BN89" s="1684" t="n"/>
    </row>
    <row r="90">
      <c r="A90" s="1681" t="n"/>
      <c r="B90" s="1744" t="n"/>
      <c r="C90" s="1744" t="n"/>
      <c r="D90" s="475" t="inlineStr">
        <is>
          <t>Address (number, street, and room or suite no.)</t>
        </is>
      </c>
      <c r="E90" s="475" t="n"/>
      <c r="F90" s="475" t="n"/>
      <c r="G90" s="475" t="n"/>
      <c r="H90" s="475" t="n"/>
      <c r="I90" s="475" t="n"/>
      <c r="J90" s="475" t="n"/>
      <c r="K90" s="475" t="n"/>
      <c r="L90" s="475" t="n"/>
      <c r="M90" s="475" t="n"/>
      <c r="N90" s="475" t="n"/>
      <c r="O90" s="475" t="n"/>
      <c r="P90" s="475" t="n"/>
      <c r="Q90" s="475" t="n"/>
      <c r="R90" s="475" t="n"/>
      <c r="S90" s="475" t="n"/>
      <c r="T90" s="475" t="n"/>
      <c r="U90" s="475" t="n"/>
      <c r="V90" s="475" t="n"/>
      <c r="W90" s="1746" t="n"/>
      <c r="X90" s="475" t="inlineStr">
        <is>
          <t>City or town, state, and ZIP code</t>
        </is>
      </c>
      <c r="Y90" s="475" t="n"/>
      <c r="Z90" s="475" t="n"/>
      <c r="AA90" s="475" t="n"/>
      <c r="AB90" s="475" t="n"/>
      <c r="AC90" s="475" t="n"/>
      <c r="AD90" s="475" t="n"/>
      <c r="AE90" s="475" t="n"/>
      <c r="AF90" s="475" t="n"/>
      <c r="AG90" s="475" t="n"/>
      <c r="AH90" s="475" t="n"/>
      <c r="AI90" s="475" t="n"/>
      <c r="AJ90" s="475" t="n"/>
      <c r="AK90" s="475" t="n"/>
      <c r="AL90" s="475" t="n"/>
      <c r="AM90" s="475" t="n"/>
      <c r="AN90" s="475" t="n"/>
      <c r="AO90" s="475" t="n"/>
      <c r="AP90" s="1681" t="n"/>
      <c r="BD90" s="1684" t="n"/>
      <c r="BE90" s="1684" t="n"/>
      <c r="BF90" s="1684" t="n"/>
      <c r="BG90" s="1684" t="n"/>
      <c r="BH90" s="1684" t="n"/>
      <c r="BI90" s="1684" t="n"/>
      <c r="BJ90" s="1684" t="n"/>
      <c r="BK90" s="1684" t="n"/>
      <c r="BL90" s="1684" t="n"/>
      <c r="BM90" s="1684" t="n"/>
      <c r="BN90" s="1684" t="n"/>
    </row>
    <row r="91" ht="16.5" customHeight="1" s="7635">
      <c r="A91" s="1681" t="n"/>
      <c r="B91" s="1744" t="n"/>
      <c r="C91" s="1744" t="n"/>
      <c r="D91" s="10400" t="n"/>
      <c r="E91" s="11717" t="n"/>
      <c r="F91" s="11717" t="n"/>
      <c r="G91" s="11717" t="n"/>
      <c r="H91" s="11717" t="n"/>
      <c r="I91" s="11717" t="n"/>
      <c r="J91" s="11717" t="n"/>
      <c r="K91" s="11717" t="n"/>
      <c r="L91" s="11717" t="n"/>
      <c r="M91" s="11717" t="n"/>
      <c r="N91" s="11717" t="n"/>
      <c r="O91" s="11717" t="n"/>
      <c r="P91" s="11717" t="n"/>
      <c r="Q91" s="11717" t="n"/>
      <c r="R91" s="11717" t="n"/>
      <c r="S91" s="11717" t="n"/>
      <c r="T91" s="11717" t="n"/>
      <c r="U91" s="11717" t="n"/>
      <c r="V91" s="11717" t="n"/>
      <c r="W91" s="11718" t="n"/>
      <c r="X91" s="10394" t="n"/>
      <c r="Y91" s="11717" t="n"/>
      <c r="Z91" s="11717" t="n"/>
      <c r="AA91" s="11717" t="n"/>
      <c r="AB91" s="11717" t="n"/>
      <c r="AC91" s="11717" t="n"/>
      <c r="AD91" s="11717" t="n"/>
      <c r="AE91" s="11717" t="n"/>
      <c r="AF91" s="11717" t="n"/>
      <c r="AG91" s="11717" t="n"/>
      <c r="AH91" s="11717" t="n"/>
      <c r="AI91" s="11717" t="n"/>
      <c r="AJ91" s="11717" t="n"/>
      <c r="AK91" s="11717" t="n"/>
      <c r="AL91" s="11717" t="n"/>
      <c r="AM91" s="11717" t="n"/>
      <c r="AN91" s="11717" t="n"/>
      <c r="AO91" s="11717" t="n"/>
      <c r="AP91" s="1681" t="n"/>
      <c r="BD91" s="1684" t="n"/>
      <c r="BE91" s="1684" t="n"/>
      <c r="BF91" s="1684" t="n"/>
      <c r="BG91" s="1684" t="n"/>
      <c r="BH91" s="1684" t="n"/>
      <c r="BI91" s="1684" t="n"/>
      <c r="BJ91" s="1684" t="n"/>
      <c r="BK91" s="1684" t="n"/>
      <c r="BL91" s="1684" t="n"/>
      <c r="BM91" s="1684" t="n"/>
      <c r="BN91" s="1684" t="n"/>
    </row>
    <row r="92" ht="15" customHeight="1" s="7635">
      <c r="A92" s="1681" t="n"/>
      <c r="B92" s="10386" t="inlineStr">
        <is>
          <t>d</t>
        </is>
      </c>
      <c r="C92" s="26" t="n"/>
      <c r="D92" s="1718" t="inlineStr">
        <is>
          <t>For tangible property, enter the place where the property is located or kept</t>
        </is>
      </c>
      <c r="E92" s="475" t="n"/>
      <c r="F92" s="475" t="n"/>
      <c r="G92" s="475" t="n"/>
      <c r="H92" s="475" t="n"/>
      <c r="I92" s="475" t="n"/>
      <c r="J92" s="475" t="n"/>
      <c r="K92" s="475" t="n"/>
      <c r="L92" s="475" t="n"/>
      <c r="M92" s="475" t="n"/>
      <c r="N92" s="475" t="n"/>
      <c r="O92" s="475" t="n"/>
      <c r="P92" s="475" t="n"/>
      <c r="Q92" s="475" t="n"/>
      <c r="R92" s="475" t="n"/>
      <c r="S92" s="475" t="n"/>
      <c r="T92" s="475" t="n"/>
      <c r="U92" s="475" t="n"/>
      <c r="V92" s="475" t="n"/>
      <c r="W92" s="475" t="n"/>
      <c r="X92" s="475" t="n"/>
      <c r="Y92" s="475" t="n"/>
      <c r="Z92" s="475" t="n"/>
      <c r="AA92" s="475" t="n"/>
      <c r="AB92" s="475" t="n"/>
      <c r="AC92" s="10393" t="n"/>
      <c r="AD92" s="8007" t="n"/>
      <c r="AE92" s="8007" t="n"/>
      <c r="AF92" s="8007" t="n"/>
      <c r="AG92" s="8007" t="n"/>
      <c r="AH92" s="8007" t="n"/>
      <c r="AI92" s="8007" t="n"/>
      <c r="AJ92" s="8007" t="n"/>
      <c r="AK92" s="8007" t="n"/>
      <c r="AL92" s="8007" t="n"/>
      <c r="AM92" s="8007" t="n"/>
      <c r="AN92" s="8007" t="n"/>
      <c r="AO92" s="8007" t="n"/>
      <c r="AP92" s="1681" t="n"/>
      <c r="BD92" s="1684" t="n"/>
      <c r="BE92" s="1684" t="n"/>
      <c r="BF92" s="1684" t="n"/>
      <c r="BG92" s="1684" t="n"/>
      <c r="BH92" s="1684" t="n"/>
      <c r="BI92" s="1684" t="n"/>
      <c r="BJ92" s="1684" t="n"/>
      <c r="BK92" s="1684" t="n"/>
      <c r="BL92" s="1684" t="n"/>
      <c r="BM92" s="1684" t="n"/>
      <c r="BN92" s="1684" t="n"/>
    </row>
    <row r="93" ht="15" customHeight="1" s="7635">
      <c r="A93" s="1681" t="n"/>
      <c r="B93" s="10386" t="inlineStr">
        <is>
          <t>e</t>
        </is>
      </c>
      <c r="C93" s="26" t="n"/>
      <c r="D93" s="1718" t="inlineStr">
        <is>
          <t>Name of any person, other than the donee organization, having actual possession of the property</t>
        </is>
      </c>
      <c r="E93" s="475" t="n"/>
      <c r="F93" s="475" t="n"/>
      <c r="G93" s="475" t="n"/>
      <c r="H93" s="475" t="n"/>
      <c r="I93" s="475" t="n"/>
      <c r="J93" s="475" t="n"/>
      <c r="K93" s="475" t="n"/>
      <c r="L93" s="475" t="n"/>
      <c r="M93" s="475" t="n"/>
      <c r="N93" s="475" t="n"/>
      <c r="O93" s="475" t="n"/>
      <c r="P93" s="475" t="n"/>
      <c r="Q93" s="475" t="n"/>
      <c r="R93" s="475" t="n"/>
      <c r="S93" s="475" t="n"/>
      <c r="T93" s="475" t="n"/>
      <c r="U93" s="475" t="n"/>
      <c r="V93" s="475" t="n"/>
      <c r="W93" s="475" t="n"/>
      <c r="X93" s="475" t="n"/>
      <c r="Y93" s="475" t="n"/>
      <c r="Z93" s="475" t="n"/>
      <c r="AA93" s="475" t="n"/>
      <c r="AB93" s="475" t="n"/>
      <c r="AC93" s="475" t="n"/>
      <c r="AD93" s="475" t="n"/>
      <c r="AE93" s="475" t="n"/>
      <c r="AF93" s="475" t="n"/>
      <c r="AG93" s="475" t="n"/>
      <c r="AH93" s="475" t="n"/>
      <c r="AI93" s="10393" t="n"/>
      <c r="AJ93" s="8007" t="n"/>
      <c r="AK93" s="8007" t="n"/>
      <c r="AL93" s="8007" t="n"/>
      <c r="AM93" s="8007" t="n"/>
      <c r="AN93" s="8007" t="n"/>
      <c r="AO93" s="8007" t="n"/>
      <c r="AP93" s="1681" t="n"/>
      <c r="BD93" s="1684" t="n"/>
      <c r="BE93" s="1684" t="n"/>
      <c r="BF93" s="1684" t="n"/>
      <c r="BG93" s="1684" t="n"/>
      <c r="BH93" s="1684" t="n"/>
      <c r="BI93" s="1684" t="n"/>
      <c r="BJ93" s="1684" t="n"/>
      <c r="BK93" s="1684" t="n"/>
      <c r="BL93" s="1684" t="n"/>
      <c r="BM93" s="1684" t="n"/>
      <c r="BN93" s="1684" t="n"/>
    </row>
    <row r="94" ht="16.5" customHeight="1" s="7635">
      <c r="A94" s="1681" t="n"/>
      <c r="B94" s="1744" t="n"/>
      <c r="C94" s="1744" t="n"/>
      <c r="D94" s="10394" t="n"/>
      <c r="E94" s="11717" t="n"/>
      <c r="F94" s="11717" t="n"/>
      <c r="G94" s="11717" t="n"/>
      <c r="H94" s="11717" t="n"/>
      <c r="I94" s="11717" t="n"/>
      <c r="J94" s="11717" t="n"/>
      <c r="K94" s="11717" t="n"/>
      <c r="L94" s="11717" t="n"/>
      <c r="M94" s="11717" t="n"/>
      <c r="N94" s="11717" t="n"/>
      <c r="O94" s="11717" t="n"/>
      <c r="P94" s="11717" t="n"/>
      <c r="Q94" s="11717" t="n"/>
      <c r="R94" s="11717" t="n"/>
      <c r="S94" s="11717" t="n"/>
      <c r="T94" s="11717" t="n"/>
      <c r="U94" s="11717" t="n"/>
      <c r="V94" s="11717" t="n"/>
      <c r="W94" s="11717" t="n"/>
      <c r="X94" s="11717" t="n"/>
      <c r="Y94" s="11717" t="n"/>
      <c r="Z94" s="11717" t="n"/>
      <c r="AA94" s="11717" t="n"/>
      <c r="AB94" s="11717" t="n"/>
      <c r="AC94" s="11717" t="n"/>
      <c r="AD94" s="11717" t="n"/>
      <c r="AE94" s="11717" t="n"/>
      <c r="AF94" s="11717" t="n"/>
      <c r="AG94" s="11717" t="n"/>
      <c r="AH94" s="11717" t="n"/>
      <c r="AI94" s="11717" t="n"/>
      <c r="AJ94" s="11717" t="n"/>
      <c r="AK94" s="11717" t="n"/>
      <c r="AL94" s="11717" t="n"/>
      <c r="AM94" s="11717" t="n"/>
      <c r="AN94" s="11717" t="n"/>
      <c r="AO94" s="11717" t="n"/>
      <c r="AP94" s="1681" t="n"/>
      <c r="BD94" s="1684" t="n"/>
      <c r="BE94" s="1684" t="n"/>
      <c r="BF94" s="1684" t="n"/>
      <c r="BG94" s="1684" t="n"/>
      <c r="BH94" s="1684" t="n"/>
      <c r="BI94" s="1684" t="n"/>
      <c r="BJ94" s="1684" t="n"/>
      <c r="BK94" s="1684" t="n"/>
      <c r="BL94" s="1684" t="n"/>
      <c r="BM94" s="1684" t="n"/>
      <c r="BN94" s="1684" t="n"/>
    </row>
    <row r="95" ht="15" customHeight="1" s="7635">
      <c r="A95" s="1681" t="n"/>
      <c r="B95" s="10386" t="n"/>
      <c r="C95" s="26" t="n"/>
      <c r="D95" s="1718" t="n"/>
      <c r="E95" s="475" t="n"/>
      <c r="F95" s="475" t="n"/>
      <c r="G95" s="475" t="n"/>
      <c r="H95" s="475" t="n"/>
      <c r="I95" s="475" t="n"/>
      <c r="J95" s="475" t="n"/>
      <c r="K95" s="475" t="n"/>
      <c r="L95" s="475" t="n"/>
      <c r="M95" s="475" t="n"/>
      <c r="N95" s="475" t="n"/>
      <c r="O95" s="475" t="n"/>
      <c r="P95" s="475" t="n"/>
      <c r="Q95" s="475" t="n"/>
      <c r="R95" s="475" t="n"/>
      <c r="S95" s="475" t="n"/>
      <c r="T95" s="475" t="n"/>
      <c r="U95" s="475" t="n"/>
      <c r="V95" s="475" t="n"/>
      <c r="W95" s="475" t="n"/>
      <c r="X95" s="475" t="n"/>
      <c r="Y95" s="475" t="n"/>
      <c r="Z95" s="475" t="n"/>
      <c r="AA95" s="475" t="n"/>
      <c r="AB95" s="475" t="n"/>
      <c r="AC95" s="475" t="n"/>
      <c r="AD95" s="475" t="n"/>
      <c r="AE95" s="475" t="n"/>
      <c r="AF95" s="475" t="n"/>
      <c r="AG95" s="475" t="n"/>
      <c r="AH95" s="475" t="n"/>
      <c r="AI95" s="475" t="n"/>
      <c r="AJ95" s="475" t="n"/>
      <c r="AK95" s="475" t="n"/>
      <c r="AL95" s="12611" t="inlineStr">
        <is>
          <t>Yes</t>
        </is>
      </c>
      <c r="AM95" s="12595" t="n"/>
      <c r="AN95" s="10396" t="inlineStr">
        <is>
          <t>No</t>
        </is>
      </c>
      <c r="AO95" s="12056" t="n"/>
      <c r="AP95" s="1681" t="n"/>
      <c r="BD95" s="1684" t="n"/>
      <c r="BE95" s="1684" t="n"/>
      <c r="BF95" s="1684" t="n"/>
      <c r="BG95" s="1684" t="n"/>
      <c r="BH95" s="1684" t="n"/>
      <c r="BI95" s="1684" t="n"/>
      <c r="BJ95" s="1684" t="n"/>
      <c r="BK95" s="1684" t="n"/>
      <c r="BL95" s="1684" t="n"/>
      <c r="BM95" s="1684" t="n"/>
      <c r="BN95" s="1684" t="n"/>
    </row>
    <row r="96" ht="15.75" customHeight="1" s="7635">
      <c r="A96" s="1681" t="n"/>
      <c r="B96" s="10386" t="inlineStr">
        <is>
          <t>5a</t>
        </is>
      </c>
      <c r="C96" s="26" t="n"/>
      <c r="D96" s="475" t="inlineStr">
        <is>
          <t>Is there a restriction, either temporary or permanent, on the donee’s right to use or dispose of the donated property?</t>
        </is>
      </c>
      <c r="E96" s="475" t="n"/>
      <c r="F96" s="475" t="n"/>
      <c r="G96" s="475" t="n"/>
      <c r="H96" s="475" t="n"/>
      <c r="I96" s="475" t="n"/>
      <c r="J96" s="475" t="n"/>
      <c r="K96" s="475" t="n"/>
      <c r="L96" s="475" t="n"/>
      <c r="M96" s="475" t="n"/>
      <c r="N96" s="475" t="n"/>
      <c r="O96" s="475" t="n"/>
      <c r="P96" s="475" t="n"/>
      <c r="Q96" s="475" t="n"/>
      <c r="R96" s="475" t="n"/>
      <c r="S96" s="475" t="n"/>
      <c r="T96" s="475" t="n"/>
      <c r="U96" s="475" t="n"/>
      <c r="V96" s="475" t="n"/>
      <c r="W96" s="475" t="n"/>
      <c r="X96" s="475" t="n"/>
      <c r="Y96" s="475" t="n"/>
      <c r="Z96" s="475" t="n"/>
      <c r="AA96" s="475" t="n"/>
      <c r="AB96" s="475" t="n"/>
      <c r="AC96" s="475" t="n"/>
      <c r="AD96" s="475" t="n"/>
      <c r="AE96" s="475" t="n"/>
      <c r="AF96" s="475" t="n"/>
      <c r="AG96" s="475" t="n"/>
      <c r="AH96" s="475" t="n"/>
      <c r="AI96" s="475" t="n"/>
      <c r="AJ96" s="475" t="n"/>
      <c r="AK96" s="1747" t="n"/>
      <c r="AL96" s="12612" t="n"/>
      <c r="AM96" s="8008" t="n"/>
      <c r="AN96" s="10387" t="n"/>
      <c r="AO96" s="8007" t="n"/>
      <c r="AP96" s="1681" t="n"/>
      <c r="BD96" s="1684" t="n"/>
      <c r="BE96" s="1684" t="n"/>
      <c r="BF96" s="1684" t="n"/>
      <c r="BG96" s="1684" t="n"/>
      <c r="BH96" s="1684" t="n"/>
      <c r="BI96" s="1684" t="n"/>
      <c r="BJ96" s="1684" t="n"/>
      <c r="BK96" s="1684" t="n"/>
      <c r="BL96" s="1684" t="n"/>
      <c r="BM96" s="1684" t="n"/>
      <c r="BN96" s="1684" t="n"/>
    </row>
    <row r="97" ht="15" customHeight="1" s="7635">
      <c r="A97" s="1681" t="n"/>
      <c r="B97" s="10386" t="inlineStr">
        <is>
          <t>b</t>
        </is>
      </c>
      <c r="C97" s="26" t="n"/>
      <c r="D97" s="1718" t="inlineStr">
        <is>
          <t>Did you give to anyone (other than the donee organization or another organization participating with the donee</t>
        </is>
      </c>
      <c r="E97" s="475" t="n"/>
      <c r="F97" s="475" t="n"/>
      <c r="G97" s="475" t="n"/>
      <c r="H97" s="475" t="n"/>
      <c r="I97" s="475" t="n"/>
      <c r="J97" s="475" t="n"/>
      <c r="K97" s="475" t="n"/>
      <c r="L97" s="475" t="n"/>
      <c r="M97" s="475" t="n"/>
      <c r="N97" s="475" t="n"/>
      <c r="O97" s="475" t="n"/>
      <c r="P97" s="475" t="n"/>
      <c r="Q97" s="475" t="n"/>
      <c r="R97" s="475" t="n"/>
      <c r="S97" s="475" t="n"/>
      <c r="T97" s="475" t="n"/>
      <c r="U97" s="475" t="n"/>
      <c r="V97" s="475" t="n"/>
      <c r="W97" s="475" t="n"/>
      <c r="X97" s="475" t="n"/>
      <c r="Y97" s="475" t="n"/>
      <c r="Z97" s="475" t="n"/>
      <c r="AA97" s="475" t="n"/>
      <c r="AB97" s="475" t="n"/>
      <c r="AC97" s="475" t="n"/>
      <c r="AD97" s="475" t="n"/>
      <c r="AE97" s="475" t="n"/>
      <c r="AF97" s="475" t="n"/>
      <c r="AG97" s="475" t="n"/>
      <c r="AH97" s="475" t="n"/>
      <c r="AI97" s="475" t="n"/>
      <c r="AJ97" s="475" t="n"/>
      <c r="AK97" s="1704" t="n"/>
      <c r="AL97" s="1748" t="n"/>
      <c r="AM97" s="1749" t="n"/>
      <c r="AN97" s="1748" t="n"/>
      <c r="AO97" s="1750" t="n"/>
      <c r="AP97" s="1681" t="n"/>
      <c r="BD97" s="1684" t="n"/>
      <c r="BE97" s="1684" t="n"/>
      <c r="BF97" s="1684" t="n"/>
      <c r="BG97" s="1684" t="n"/>
      <c r="BH97" s="1684" t="n"/>
      <c r="BI97" s="1684" t="n"/>
      <c r="BJ97" s="1684" t="n"/>
      <c r="BK97" s="1684" t="n"/>
      <c r="BL97" s="1684" t="n"/>
      <c r="BM97" s="1684" t="n"/>
      <c r="BN97" s="1684" t="n"/>
    </row>
    <row r="98" ht="15" customHeight="1" s="7635">
      <c r="A98" s="1681" t="n"/>
      <c r="B98" s="10386" t="n"/>
      <c r="C98" s="10386" t="n"/>
      <c r="D98" s="475" t="inlineStr">
        <is>
          <t>organization in cooperative fundraising) the right to the income from the donated property or to the possession of</t>
        </is>
      </c>
      <c r="E98" s="475" t="n"/>
      <c r="F98" s="475" t="n"/>
      <c r="G98" s="475" t="n"/>
      <c r="H98" s="475" t="n"/>
      <c r="I98" s="475" t="n"/>
      <c r="J98" s="475" t="n"/>
      <c r="K98" s="475" t="n"/>
      <c r="L98" s="475" t="n"/>
      <c r="M98" s="475" t="n"/>
      <c r="N98" s="475" t="n"/>
      <c r="O98" s="475" t="n"/>
      <c r="P98" s="475" t="n"/>
      <c r="Q98" s="475" t="n"/>
      <c r="R98" s="475" t="n"/>
      <c r="S98" s="475" t="n"/>
      <c r="T98" s="475" t="n"/>
      <c r="U98" s="475" t="n"/>
      <c r="V98" s="475" t="n"/>
      <c r="W98" s="475" t="n"/>
      <c r="X98" s="475" t="n"/>
      <c r="Y98" s="475" t="n"/>
      <c r="Z98" s="475" t="n"/>
      <c r="AA98" s="475" t="n"/>
      <c r="AB98" s="475" t="n"/>
      <c r="AC98" s="475" t="n"/>
      <c r="AD98" s="475" t="n"/>
      <c r="AE98" s="475" t="n"/>
      <c r="AF98" s="475" t="n"/>
      <c r="AG98" s="475" t="n"/>
      <c r="AH98" s="475" t="n"/>
      <c r="AI98" s="475" t="n"/>
      <c r="AJ98" s="475" t="n"/>
      <c r="AK98" s="475" t="n"/>
      <c r="AL98" s="1751" t="n"/>
      <c r="AM98" s="1752" t="n"/>
      <c r="AN98" s="1751" t="n"/>
      <c r="AO98" s="1753" t="n"/>
      <c r="AP98" s="1681" t="n"/>
      <c r="BD98" s="1684" t="n"/>
      <c r="BE98" s="1684" t="n"/>
      <c r="BF98" s="1684" t="n"/>
      <c r="BG98" s="1684" t="n"/>
      <c r="BH98" s="1684" t="n"/>
      <c r="BI98" s="1684" t="n"/>
      <c r="BJ98" s="1684" t="n"/>
      <c r="BK98" s="1684" t="n"/>
      <c r="BL98" s="1684" t="n"/>
      <c r="BM98" s="1684" t="n"/>
      <c r="BN98" s="1684" t="n"/>
    </row>
    <row r="99" ht="15" customHeight="1" s="7635">
      <c r="A99" s="1681" t="n"/>
      <c r="B99" s="10386" t="n"/>
      <c r="C99" s="10386" t="n"/>
      <c r="D99" s="1718" t="inlineStr">
        <is>
          <t>the property, including the right to vote donated securities, to acquire the property by purchase or otherwise, or to</t>
        </is>
      </c>
      <c r="E99" s="475" t="n"/>
      <c r="F99" s="475" t="n"/>
      <c r="G99" s="475" t="n"/>
      <c r="H99" s="475" t="n"/>
      <c r="I99" s="475" t="n"/>
      <c r="J99" s="475" t="n"/>
      <c r="K99" s="475" t="n"/>
      <c r="L99" s="475" t="n"/>
      <c r="M99" s="475" t="n"/>
      <c r="N99" s="475" t="n"/>
      <c r="O99" s="475" t="n"/>
      <c r="P99" s="475" t="n"/>
      <c r="Q99" s="475" t="n"/>
      <c r="R99" s="475" t="n"/>
      <c r="S99" s="475" t="n"/>
      <c r="T99" s="475" t="n"/>
      <c r="U99" s="475" t="n"/>
      <c r="V99" s="475" t="n"/>
      <c r="W99" s="475" t="n"/>
      <c r="X99" s="475" t="n"/>
      <c r="Y99" s="475" t="n"/>
      <c r="Z99" s="475" t="n"/>
      <c r="AA99" s="475" t="n"/>
      <c r="AB99" s="475" t="n"/>
      <c r="AC99" s="475" t="n"/>
      <c r="AD99" s="475" t="n"/>
      <c r="AE99" s="475" t="n"/>
      <c r="AF99" s="475" t="n"/>
      <c r="AG99" s="475" t="n"/>
      <c r="AH99" s="475" t="n"/>
      <c r="AI99" s="475" t="n"/>
      <c r="AJ99" s="475" t="n"/>
      <c r="AK99" s="475" t="n"/>
      <c r="AL99" s="1751" t="n"/>
      <c r="AM99" s="1752" t="n"/>
      <c r="AN99" s="1751" t="n"/>
      <c r="AO99" s="1753" t="n"/>
      <c r="AP99" s="1681" t="n"/>
      <c r="BD99" s="1684" t="n"/>
      <c r="BE99" s="1684" t="n"/>
      <c r="BF99" s="1684" t="n"/>
      <c r="BG99" s="1684" t="n"/>
      <c r="BH99" s="1684" t="n"/>
      <c r="BI99" s="1684" t="n"/>
      <c r="BJ99" s="1684" t="n"/>
      <c r="BK99" s="1684" t="n"/>
      <c r="BL99" s="1684" t="n"/>
      <c r="BM99" s="1684" t="n"/>
      <c r="BN99" s="1684" t="n"/>
    </row>
    <row r="100" ht="15.75" customHeight="1" s="7635">
      <c r="A100" s="1681" t="n"/>
      <c r="B100" s="10386" t="n"/>
      <c r="C100" s="10386" t="n"/>
      <c r="D100" s="1718" t="inlineStr">
        <is>
          <t>designate the person having such income, possession, or right to acquire?</t>
        </is>
      </c>
      <c r="E100" s="475" t="n"/>
      <c r="F100" s="475" t="n"/>
      <c r="G100" s="475" t="n"/>
      <c r="H100" s="475" t="n"/>
      <c r="I100" s="475" t="n"/>
      <c r="J100" s="475" t="n"/>
      <c r="K100" s="475" t="n"/>
      <c r="L100" s="475" t="n"/>
      <c r="M100" s="475" t="n"/>
      <c r="N100" s="475" t="n"/>
      <c r="O100" s="475" t="n"/>
      <c r="P100" s="475" t="n"/>
      <c r="Q100" s="475" t="n"/>
      <c r="R100" s="475" t="n"/>
      <c r="S100" s="475" t="n"/>
      <c r="T100" s="475" t="n"/>
      <c r="U100" s="475" t="n"/>
      <c r="V100" s="475" t="n"/>
      <c r="W100" s="475" t="n"/>
      <c r="X100" s="475" t="n"/>
      <c r="Y100" s="475" t="n"/>
      <c r="Z100" s="475" t="n"/>
      <c r="AA100" s="475" t="n"/>
      <c r="AB100" s="475" t="n"/>
      <c r="AC100" s="475" t="n"/>
      <c r="AD100" s="475" t="n"/>
      <c r="AE100" s="475" t="n"/>
      <c r="AF100" s="475" t="n"/>
      <c r="AG100" s="475" t="n"/>
      <c r="AH100" s="475" t="n"/>
      <c r="AI100" s="475" t="n"/>
      <c r="AJ100" s="475" t="n"/>
      <c r="AK100" s="1754" t="inlineStr">
        <is>
          <t xml:space="preserve">.   .   .   .   .   .   .   .   .   .   .   .   .   . </t>
        </is>
      </c>
      <c r="AL100" s="12613" t="n"/>
      <c r="AM100" s="11718" t="n"/>
      <c r="AN100" s="10390" t="n"/>
      <c r="AO100" s="11717" t="n"/>
      <c r="AP100" s="1681" t="n"/>
      <c r="BD100" s="1684" t="n"/>
      <c r="BE100" s="1684" t="n"/>
      <c r="BF100" s="1684" t="n"/>
      <c r="BG100" s="1684" t="n"/>
      <c r="BH100" s="1684" t="n"/>
      <c r="BI100" s="1684" t="n"/>
      <c r="BJ100" s="1684" t="n"/>
      <c r="BK100" s="1684" t="n"/>
      <c r="BL100" s="1684" t="n"/>
      <c r="BM100" s="1684" t="n"/>
      <c r="BN100" s="1684" t="n"/>
    </row>
    <row r="101" ht="16.5" customHeight="1" s="7635" thickBot="1">
      <c r="A101" s="1681" t="n"/>
      <c r="B101" s="10376" t="inlineStr">
        <is>
          <t>c</t>
        </is>
      </c>
      <c r="C101" s="11839" t="n"/>
      <c r="D101" s="1755" t="inlineStr">
        <is>
          <t>Is there a restriction limiting the donated property for a particular use?</t>
        </is>
      </c>
      <c r="E101" s="1037" t="n"/>
      <c r="F101" s="1037" t="n"/>
      <c r="G101" s="1037" t="n"/>
      <c r="H101" s="1037" t="n"/>
      <c r="I101" s="1037" t="n"/>
      <c r="J101" s="1037" t="n"/>
      <c r="K101" s="1037" t="n"/>
      <c r="L101" s="1037" t="n"/>
      <c r="M101" s="1037" t="n"/>
      <c r="N101" s="1037" t="n"/>
      <c r="O101" s="1037" t="n"/>
      <c r="P101" s="1037" t="n"/>
      <c r="Q101" s="1037" t="n"/>
      <c r="R101" s="1037" t="n"/>
      <c r="S101" s="1037" t="n"/>
      <c r="T101" s="1037" t="n"/>
      <c r="U101" s="1037" t="n"/>
      <c r="V101" s="1037" t="n"/>
      <c r="W101" s="1037" t="n"/>
      <c r="X101" s="1037" t="n"/>
      <c r="Y101" s="1037" t="n"/>
      <c r="Z101" s="1037" t="n"/>
      <c r="AA101" s="1037" t="n"/>
      <c r="AB101" s="1037" t="n"/>
      <c r="AC101" s="1037" t="n"/>
      <c r="AD101" s="1037" t="n"/>
      <c r="AE101" s="1037" t="n"/>
      <c r="AF101" s="1037" t="n"/>
      <c r="AG101" s="1037" t="n"/>
      <c r="AH101" s="1037" t="n"/>
      <c r="AI101" s="1037" t="n"/>
      <c r="AJ101" s="1037" t="n"/>
      <c r="AK101" s="1756" t="inlineStr">
        <is>
          <t xml:space="preserve">.   .   .   .   .   .   .   .   .   .   .   .   .   .   . </t>
        </is>
      </c>
      <c r="AL101" s="12614" t="n"/>
      <c r="AM101" s="11810" t="n"/>
      <c r="AN101" s="10377" t="n"/>
      <c r="AO101" s="11809" t="n"/>
      <c r="AP101" s="1681" t="n"/>
      <c r="BD101" s="1684" t="n"/>
      <c r="BE101" s="1684" t="n"/>
      <c r="BF101" s="1684" t="n"/>
      <c r="BG101" s="1684" t="n"/>
      <c r="BH101" s="1684" t="n"/>
      <c r="BI101" s="1684" t="n"/>
      <c r="BJ101" s="1684" t="n"/>
      <c r="BK101" s="1684" t="n"/>
      <c r="BL101" s="1684" t="n"/>
      <c r="BM101" s="1684" t="n"/>
      <c r="BN101" s="1684" t="n"/>
    </row>
    <row r="102" ht="15.75" customFormat="1" customHeight="1" s="1695">
      <c r="A102" s="1693" t="n"/>
      <c r="B102" s="10380" t="inlineStr">
        <is>
          <t>Part III</t>
        </is>
      </c>
      <c r="C102" s="12051" t="n"/>
      <c r="D102" s="12051" t="n"/>
      <c r="E102" s="1740" t="n"/>
      <c r="F102" s="1741" t="inlineStr">
        <is>
          <t>Taxpayer (Donor) Statement—List each item included in Section B, Part I above that the appraisal identifies</t>
        </is>
      </c>
      <c r="G102" s="1740" t="n"/>
      <c r="H102" s="1740" t="n"/>
      <c r="I102" s="1740" t="n"/>
      <c r="J102" s="1740" t="n"/>
      <c r="K102" s="1740" t="n"/>
      <c r="L102" s="1740" t="n"/>
      <c r="M102" s="1740" t="n"/>
      <c r="N102" s="1740" t="n"/>
      <c r="O102" s="1740" t="n"/>
      <c r="P102" s="1740" t="n"/>
      <c r="Q102" s="1740" t="n"/>
      <c r="R102" s="1740" t="n"/>
      <c r="S102" s="1740" t="n"/>
      <c r="T102" s="1740" t="n"/>
      <c r="U102" s="1740" t="n"/>
      <c r="V102" s="1740" t="n"/>
      <c r="W102" s="1740" t="n"/>
      <c r="X102" s="1740" t="n"/>
      <c r="Y102" s="1740" t="n"/>
      <c r="Z102" s="1740" t="n"/>
      <c r="AA102" s="1740" t="n"/>
      <c r="AB102" s="1740" t="n"/>
      <c r="AC102" s="1740" t="n"/>
      <c r="AD102" s="1740" t="n"/>
      <c r="AE102" s="1740" t="n"/>
      <c r="AF102" s="1740" t="n"/>
      <c r="AG102" s="1740" t="n"/>
      <c r="AH102" s="1740" t="n"/>
      <c r="AI102" s="1740" t="n"/>
      <c r="AJ102" s="1740" t="n"/>
      <c r="AK102" s="1740" t="n"/>
      <c r="AL102" s="1740" t="n"/>
      <c r="AM102" s="1740" t="n"/>
      <c r="AN102" s="1740" t="n"/>
      <c r="AO102" s="1740" t="n"/>
      <c r="AP102" s="1681" t="n"/>
      <c r="BD102" s="1684" t="n"/>
      <c r="BE102" s="1684" t="n"/>
      <c r="BF102" s="1684" t="n"/>
      <c r="BG102" s="1684" t="n"/>
      <c r="BH102" s="1684" t="n"/>
      <c r="BI102" s="1684" t="n"/>
      <c r="BJ102" s="1684" t="n"/>
      <c r="BK102" s="1684" t="n"/>
      <c r="BL102" s="1684" t="n"/>
      <c r="BM102" s="1684" t="n"/>
      <c r="BN102" s="1684" t="n"/>
    </row>
    <row r="103" ht="15" customHeight="1" s="7635">
      <c r="A103" s="1681" t="n"/>
      <c r="B103" s="1742" t="n"/>
      <c r="C103" s="1742" t="n"/>
      <c r="D103" s="1742" t="n"/>
      <c r="E103" s="1742" t="n"/>
      <c r="F103" s="1757" t="inlineStr">
        <is>
          <t>as having a value of $500 or less. See instructions.</t>
        </is>
      </c>
      <c r="G103" s="1742" t="n"/>
      <c r="H103" s="1742" t="n"/>
      <c r="I103" s="1742" t="n"/>
      <c r="J103" s="1742" t="n"/>
      <c r="K103" s="1742" t="n"/>
      <c r="L103" s="1742" t="n"/>
      <c r="M103" s="1742" t="n"/>
      <c r="N103" s="1742" t="n"/>
      <c r="O103" s="1742" t="n"/>
      <c r="P103" s="1742" t="n"/>
      <c r="Q103" s="1742" t="n"/>
      <c r="R103" s="1742" t="n"/>
      <c r="S103" s="1742" t="n"/>
      <c r="T103" s="1758" t="n"/>
      <c r="U103" s="1742" t="n"/>
      <c r="V103" s="1742" t="n"/>
      <c r="W103" s="1742" t="n"/>
      <c r="X103" s="1742" t="n"/>
      <c r="Y103" s="1742" t="n"/>
      <c r="Z103" s="1742" t="n"/>
      <c r="AA103" s="1742" t="n"/>
      <c r="AB103" s="1742" t="n"/>
      <c r="AC103" s="1742" t="n"/>
      <c r="AD103" s="1742" t="n"/>
      <c r="AE103" s="1742" t="n"/>
      <c r="AF103" s="1742" t="n"/>
      <c r="AG103" s="1742" t="n"/>
      <c r="AH103" s="1742" t="n"/>
      <c r="AI103" s="1742" t="n"/>
      <c r="AJ103" s="1742" t="n"/>
      <c r="AK103" s="1742" t="n"/>
      <c r="AL103" s="1742" t="n"/>
      <c r="AM103" s="1742" t="n"/>
      <c r="AN103" s="1742" t="n"/>
      <c r="AO103" s="1742" t="n"/>
      <c r="AP103" s="1681" t="n"/>
      <c r="BD103" s="1684" t="n"/>
      <c r="BE103" s="1684" t="n"/>
      <c r="BF103" s="1684" t="n"/>
      <c r="BG103" s="1684" t="n"/>
      <c r="BH103" s="1684" t="n"/>
      <c r="BI103" s="1684" t="n"/>
      <c r="BJ103" s="1684" t="n"/>
      <c r="BK103" s="1684" t="n"/>
      <c r="BL103" s="1684" t="n"/>
      <c r="BM103" s="1684" t="n"/>
      <c r="BN103" s="1684" t="n"/>
    </row>
    <row r="104" ht="14.25" customHeight="1" s="7635">
      <c r="A104" s="1681" t="n"/>
      <c r="B104" s="1718" t="inlineStr">
        <is>
          <t>I declare that the following item(s) included in Section B, Part I above has to the best of my knowledge and belief an appraised value</t>
        </is>
      </c>
      <c r="C104" s="475" t="n"/>
      <c r="D104" s="475" t="n"/>
      <c r="E104" s="475" t="n"/>
      <c r="F104" s="475" t="n"/>
      <c r="G104" s="475" t="n"/>
      <c r="H104" s="475" t="n"/>
      <c r="I104" s="475" t="n"/>
      <c r="J104" s="475" t="n"/>
      <c r="K104" s="475" t="n"/>
      <c r="L104" s="475" t="n"/>
      <c r="M104" s="475" t="n"/>
      <c r="N104" s="475" t="n"/>
      <c r="O104" s="475" t="n"/>
      <c r="P104" s="475" t="n"/>
      <c r="Q104" s="475" t="n"/>
      <c r="R104" s="475" t="n"/>
      <c r="S104" s="475" t="n"/>
      <c r="T104" s="1726" t="n"/>
      <c r="U104" s="475" t="n"/>
      <c r="V104" s="475" t="n"/>
      <c r="W104" s="475" t="n"/>
      <c r="X104" s="475" t="n"/>
      <c r="Y104" s="475" t="n"/>
      <c r="Z104" s="475" t="n"/>
      <c r="AA104" s="475" t="n"/>
      <c r="AB104" s="475" t="n"/>
      <c r="AC104" s="475" t="n"/>
      <c r="AD104" s="475" t="n"/>
      <c r="AE104" s="475" t="n"/>
      <c r="AF104" s="475" t="n"/>
      <c r="AG104" s="475" t="n"/>
      <c r="AH104" s="475" t="n"/>
      <c r="AI104" s="475" t="n"/>
      <c r="AJ104" s="475" t="n"/>
      <c r="AK104" s="475" t="n"/>
      <c r="AL104" s="475" t="n"/>
      <c r="AM104" s="475" t="n"/>
      <c r="AN104" s="475" t="n"/>
      <c r="AO104" s="475" t="n"/>
      <c r="AP104" s="1681" t="n"/>
      <c r="BD104" s="1684" t="n"/>
      <c r="BE104" s="1684" t="n"/>
      <c r="BF104" s="1684" t="n"/>
      <c r="BG104" s="1684" t="n"/>
      <c r="BH104" s="1684" t="n"/>
      <c r="BI104" s="1684" t="n"/>
      <c r="BJ104" s="1684" t="n"/>
      <c r="BK104" s="1684" t="n"/>
      <c r="BL104" s="1684" t="n"/>
      <c r="BM104" s="1684" t="n"/>
      <c r="BN104" s="1684" t="n"/>
    </row>
    <row r="105" ht="14.25" customHeight="1" s="7635">
      <c r="A105" s="1681" t="n"/>
      <c r="B105" s="1718" t="inlineStr">
        <is>
          <t>of not more than $500 (per item). Enter identifying letter from Section B, Part I and describe the specific item. See instructions.</t>
        </is>
      </c>
      <c r="C105" s="475" t="n"/>
      <c r="D105" s="475" t="n"/>
      <c r="E105" s="475" t="n"/>
      <c r="F105" s="475" t="n"/>
      <c r="G105" s="475" t="n"/>
      <c r="H105" s="475" t="n"/>
      <c r="I105" s="475" t="n"/>
      <c r="J105" s="475" t="n"/>
      <c r="K105" s="475" t="n"/>
      <c r="L105" s="475" t="n"/>
      <c r="M105" s="475" t="n"/>
      <c r="N105" s="475" t="n"/>
      <c r="O105" s="475" t="n"/>
      <c r="P105" s="475" t="n"/>
      <c r="Q105" s="475" t="n"/>
      <c r="R105" s="475" t="n"/>
      <c r="S105" s="475" t="n"/>
      <c r="T105" s="1726" t="n"/>
      <c r="U105" s="475" t="n"/>
      <c r="V105" s="475" t="n"/>
      <c r="W105" s="475" t="n"/>
      <c r="X105" s="475" t="n"/>
      <c r="Y105" s="475" t="n"/>
      <c r="Z105" s="475" t="n"/>
      <c r="AA105" s="475" t="n"/>
      <c r="AB105" s="475" t="n"/>
      <c r="AC105" s="475" t="n"/>
      <c r="AD105" s="475" t="n"/>
      <c r="AE105" s="1759" t="n"/>
      <c r="AF105" s="1759" t="n"/>
      <c r="AG105" s="1759" t="n"/>
      <c r="AH105" s="1759" t="n"/>
      <c r="AI105" s="1759" t="n"/>
      <c r="AJ105" s="1759" t="n"/>
      <c r="AK105" s="1759" t="n"/>
      <c r="AL105" s="1759" t="n"/>
      <c r="AM105" s="1759" t="n"/>
      <c r="AN105" s="1759" t="n"/>
      <c r="AO105" s="1759" t="n"/>
      <c r="AP105" s="1681" t="n"/>
      <c r="BD105" s="1684" t="n"/>
      <c r="BE105" s="1684" t="n"/>
      <c r="BF105" s="1684" t="n"/>
      <c r="BG105" s="1684" t="n"/>
      <c r="BH105" s="1684" t="n"/>
      <c r="BI105" s="1684" t="n"/>
      <c r="BJ105" s="1684" t="n"/>
      <c r="BK105" s="1684" t="n"/>
      <c r="BL105" s="1684" t="n"/>
      <c r="BM105" s="1684" t="n"/>
      <c r="BN105" s="1684" t="n"/>
    </row>
    <row r="106" ht="12.75" customHeight="1" s="7635">
      <c r="A106" s="1681" t="n"/>
      <c r="B106" s="475" t="n"/>
      <c r="C106" s="10382" t="n"/>
      <c r="D106" s="11717" t="n"/>
      <c r="E106" s="11717" t="n"/>
      <c r="F106" s="11717" t="n"/>
      <c r="G106" s="11717" t="n"/>
      <c r="H106" s="11717" t="n"/>
      <c r="I106" s="11717" t="n"/>
      <c r="J106" s="11717" t="n"/>
      <c r="K106" s="11717" t="n"/>
      <c r="L106" s="11717" t="n"/>
      <c r="M106" s="11717" t="n"/>
      <c r="N106" s="11717" t="n"/>
      <c r="O106" s="11717" t="n"/>
      <c r="P106" s="11717" t="n"/>
      <c r="Q106" s="11717" t="n"/>
      <c r="R106" s="11717" t="n"/>
      <c r="S106" s="11717" t="n"/>
      <c r="T106" s="11717" t="n"/>
      <c r="U106" s="11717" t="n"/>
      <c r="V106" s="11717" t="n"/>
      <c r="W106" s="11717" t="n"/>
      <c r="X106" s="11717" t="n"/>
      <c r="Y106" s="11717" t="n"/>
      <c r="Z106" s="11717" t="n"/>
      <c r="AA106" s="11717" t="n"/>
      <c r="AB106" s="11717" t="n"/>
      <c r="AC106" s="11717" t="n"/>
      <c r="AD106" s="11717" t="n"/>
      <c r="AE106" s="11717" t="n"/>
      <c r="AF106" s="11717" t="n"/>
      <c r="AG106" s="11717" t="n"/>
      <c r="AH106" s="11717" t="n"/>
      <c r="AI106" s="11717" t="n"/>
      <c r="AJ106" s="11717" t="n"/>
      <c r="AK106" s="11717" t="n"/>
      <c r="AL106" s="11717" t="n"/>
      <c r="AM106" s="11717" t="n"/>
      <c r="AN106" s="11717" t="n"/>
      <c r="AO106" s="11717" t="n"/>
      <c r="AP106" s="1681" t="n"/>
      <c r="BD106" s="1684" t="n"/>
      <c r="BE106" s="1684" t="n"/>
      <c r="BF106" s="1684" t="n"/>
      <c r="BG106" s="1684" t="n"/>
      <c r="BH106" s="1684" t="n"/>
      <c r="BI106" s="1684" t="n"/>
      <c r="BJ106" s="1684" t="n"/>
      <c r="BK106" s="1684" t="n"/>
      <c r="BL106" s="1684" t="n"/>
      <c r="BM106" s="1684" t="n"/>
      <c r="BN106" s="1684" t="n"/>
    </row>
    <row r="107" ht="24.75" customHeight="1" s="7635">
      <c r="A107" s="1681" t="n"/>
      <c r="B107" s="10383" t="inlineStr">
        <is>
          <t>Signature of taxpayer (donor)</t>
        </is>
      </c>
      <c r="C107" s="645" t="n"/>
      <c r="D107" s="645" t="n"/>
      <c r="E107" s="645" t="n"/>
      <c r="F107" s="645" t="n"/>
      <c r="G107" s="10384" t="n"/>
      <c r="H107" s="12056" t="n"/>
      <c r="I107" s="12056" t="n"/>
      <c r="J107" s="12056" t="n"/>
      <c r="K107" s="12056" t="n"/>
      <c r="L107" s="12056" t="n"/>
      <c r="M107" s="12056" t="n"/>
      <c r="N107" s="12056" t="n"/>
      <c r="O107" s="12056" t="n"/>
      <c r="P107" s="12056" t="n"/>
      <c r="Q107" s="12056" t="n"/>
      <c r="R107" s="12056" t="n"/>
      <c r="S107" s="12056" t="n"/>
      <c r="T107" s="12056" t="n"/>
      <c r="U107" s="12056" t="n"/>
      <c r="V107" s="12056" t="n"/>
      <c r="W107" s="12056" t="n"/>
      <c r="X107" s="12056" t="n"/>
      <c r="Y107" s="12056" t="n"/>
      <c r="Z107" s="12056" t="n"/>
      <c r="AA107" s="12056" t="n"/>
      <c r="AB107" s="12056" t="n"/>
      <c r="AC107" s="12056" t="n"/>
      <c r="AD107" s="12056" t="n"/>
      <c r="AE107" s="12056" t="n"/>
      <c r="AF107" s="12056" t="n"/>
      <c r="AG107" s="1760" t="inlineStr">
        <is>
          <t>Date</t>
        </is>
      </c>
      <c r="AH107" s="1761" t="n"/>
      <c r="AI107" s="12615" t="n"/>
      <c r="AJ107" s="8007" t="n"/>
      <c r="AK107" s="8007" t="n"/>
      <c r="AL107" s="8007" t="n"/>
      <c r="AM107" s="8007" t="n"/>
      <c r="AN107" s="8007" t="n"/>
      <c r="AO107" s="8007" t="n"/>
      <c r="AP107" s="1681" t="n"/>
      <c r="BD107" s="1684" t="n"/>
      <c r="BE107" s="1684" t="n"/>
      <c r="BF107" s="1684" t="n"/>
      <c r="BG107" s="1684" t="n"/>
      <c r="BH107" s="1684" t="n"/>
      <c r="BI107" s="1684" t="n"/>
      <c r="BJ107" s="1684" t="n"/>
      <c r="BK107" s="1684" t="n"/>
      <c r="BL107" s="1684" t="n"/>
      <c r="BM107" s="1684" t="n"/>
      <c r="BN107" s="1684" t="n"/>
    </row>
    <row r="108" ht="16.5" customFormat="1" customHeight="1" s="1695">
      <c r="A108" s="1693" t="n"/>
      <c r="B108" s="10364" t="inlineStr">
        <is>
          <t>Part IV</t>
        </is>
      </c>
      <c r="C108" s="12056" t="n"/>
      <c r="D108" s="12056" t="n"/>
      <c r="E108" s="1694" t="n"/>
      <c r="F108" s="1762" t="inlineStr">
        <is>
          <t>Declaration of Appraiser</t>
        </is>
      </c>
      <c r="G108" s="1694" t="n"/>
      <c r="H108" s="1694" t="n"/>
      <c r="I108" s="1694" t="n"/>
      <c r="J108" s="1694" t="n"/>
      <c r="K108" s="1694" t="n"/>
      <c r="L108" s="1694" t="n"/>
      <c r="M108" s="1694" t="n"/>
      <c r="N108" s="1694" t="n"/>
      <c r="O108" s="1694" t="n"/>
      <c r="P108" s="1694" t="n"/>
      <c r="Q108" s="1694" t="n"/>
      <c r="R108" s="1694" t="n"/>
      <c r="S108" s="1694" t="n"/>
      <c r="T108" s="1694" t="n"/>
      <c r="U108" s="1694" t="n"/>
      <c r="V108" s="1694" t="n"/>
      <c r="W108" s="1694" t="n"/>
      <c r="X108" s="1694" t="n"/>
      <c r="Y108" s="1694" t="n"/>
      <c r="Z108" s="1694" t="n"/>
      <c r="AA108" s="1694" t="n"/>
      <c r="AB108" s="1694" t="n"/>
      <c r="AC108" s="1694" t="n"/>
      <c r="AD108" s="1694" t="n"/>
      <c r="AE108" s="1694" t="n"/>
      <c r="AF108" s="1694" t="n"/>
      <c r="AG108" s="1694" t="n"/>
      <c r="AH108" s="1694" t="n"/>
      <c r="AI108" s="1694" t="n"/>
      <c r="AJ108" s="1694" t="n"/>
      <c r="AK108" s="1694" t="n"/>
      <c r="AL108" s="1694" t="n"/>
      <c r="AM108" s="1694" t="n"/>
      <c r="AN108" s="1694" t="n"/>
      <c r="AO108" s="1694" t="n"/>
      <c r="AP108" s="1681" t="n"/>
      <c r="BD108" s="1684" t="n"/>
      <c r="BE108" s="1684" t="n"/>
      <c r="BF108" s="1684" t="n"/>
      <c r="BG108" s="1684" t="n"/>
      <c r="BH108" s="1684" t="n"/>
      <c r="BI108" s="1684" t="n"/>
      <c r="BJ108" s="1684" t="n"/>
      <c r="BK108" s="1684" t="n"/>
      <c r="BL108" s="1684" t="n"/>
      <c r="BM108" s="1684" t="n"/>
      <c r="BN108" s="1684" t="n"/>
    </row>
    <row r="109" ht="35.25" customFormat="1" customHeight="1" s="1764">
      <c r="A109" s="1763" t="n"/>
      <c r="B109" s="10367" t="inlineStr">
        <is>
          <t>I declare that I am not the donor, the donee, a party to the transaction in which the donor acquired the property, employed by, or related to any of the foregoing persons, or
married to any person who is related to any of the foregoing persons. And, if regularly used by the donor, donee, or party to the transaction, I performed the majority of my
appraisals during my tax year for other persons.</t>
        </is>
      </c>
      <c r="C109" s="26" t="n"/>
      <c r="D109" s="26" t="n"/>
      <c r="E109" s="26"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c r="AA109" s="26" t="n"/>
      <c r="AB109" s="26" t="n"/>
      <c r="AC109" s="26" t="n"/>
      <c r="AD109" s="26" t="n"/>
      <c r="AE109" s="26" t="n"/>
      <c r="AF109" s="26" t="n"/>
      <c r="AG109" s="26" t="n"/>
      <c r="AH109" s="26" t="n"/>
      <c r="AI109" s="26" t="n"/>
      <c r="AJ109" s="26" t="n"/>
      <c r="AK109" s="26" t="n"/>
      <c r="AL109" s="26" t="n"/>
      <c r="AM109" s="26" t="n"/>
      <c r="AN109" s="26" t="n"/>
      <c r="AO109" s="26" t="n"/>
      <c r="AP109" s="1763" t="n"/>
      <c r="BD109" s="1765" t="n"/>
      <c r="BE109" s="1765" t="n"/>
      <c r="BF109" s="1765" t="n"/>
      <c r="BG109" s="1765" t="n"/>
      <c r="BH109" s="1765" t="n"/>
      <c r="BI109" s="1765" t="n"/>
      <c r="BJ109" s="1765" t="n"/>
      <c r="BK109" s="1765" t="n"/>
      <c r="BL109" s="1765" t="n"/>
      <c r="BM109" s="1765" t="n"/>
      <c r="BN109" s="1765" t="n"/>
    </row>
    <row r="110" ht="78" customHeight="1" s="7635">
      <c r="A110" s="1681" t="n"/>
      <c r="B110" s="10367" t="inlineStr">
        <is>
          <t>Also, I declare that I perform appraisals on a regular basis; and that because of my qualifications as described in the appraisal, I am qualified to make appraisals of the type of property being valued. I certify that the appraisal fees were not based on a percentage of the appraised property value. Furthermore, I understand that a false or fraudulent overstatement of the property value as described in the qualified appraisal or this Form 8283 may subject me to the penalty under section 6701(a) (aiding and abetting the understatement of tax liability). I understand that my appraisal will be used in connection with a return or claim for refund. I also understand that, if there is a substantial or gross valuation misstatement of the value of the property claimed on the return or claim for refund that is based on my appraisal, I may be subject to a penalty under section 6695A of the Internal Revenue Code, as well as other applicable penalties. I affirm that I have not been at any time in the three-year period ending on the date of the appraisal barred from presenting evidence or testimony before the Department of the Treasury or the Internal Revenue Service pursuant to 31 U.S.C. 330(c).</t>
        </is>
      </c>
      <c r="C110" s="26" t="n"/>
      <c r="D110" s="26" t="n"/>
      <c r="E110" s="26"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t="n"/>
      <c r="AA110" s="26" t="n"/>
      <c r="AB110" s="26" t="n"/>
      <c r="AC110" s="26" t="n"/>
      <c r="AD110" s="26" t="n"/>
      <c r="AE110" s="26" t="n"/>
      <c r="AF110" s="26" t="n"/>
      <c r="AG110" s="26" t="n"/>
      <c r="AH110" s="26" t="n"/>
      <c r="AI110" s="26" t="n"/>
      <c r="AJ110" s="26" t="n"/>
      <c r="AK110" s="26" t="n"/>
      <c r="AL110" s="26" t="n"/>
      <c r="AM110" s="26" t="n"/>
      <c r="AN110" s="26" t="n"/>
      <c r="AO110" s="26" t="n"/>
      <c r="AP110" s="1681" t="n"/>
      <c r="BD110" s="1684" t="n"/>
      <c r="BE110" s="1684" t="n"/>
      <c r="BF110" s="1684" t="n"/>
      <c r="BG110" s="1684" t="n"/>
      <c r="BH110" s="1684" t="n"/>
      <c r="BI110" s="1684" t="n"/>
      <c r="BJ110" s="1684" t="n"/>
      <c r="BK110" s="1684" t="n"/>
      <c r="BL110" s="1684" t="n"/>
      <c r="BM110" s="1684" t="n"/>
      <c r="BN110" s="1684" t="n"/>
    </row>
    <row r="111" ht="13.5" customHeight="1" s="7635">
      <c r="A111" s="1681" t="n"/>
      <c r="B111" s="10371" t="inlineStr">
        <is>
          <t>Sign Here</t>
        </is>
      </c>
      <c r="C111" s="12063" t="n"/>
      <c r="D111" s="1702" t="n"/>
      <c r="E111" s="475" t="n"/>
      <c r="F111" s="475" t="n"/>
      <c r="G111" s="475" t="n"/>
      <c r="H111" s="475" t="n"/>
      <c r="I111" s="475" t="n"/>
      <c r="J111" s="475" t="n"/>
      <c r="K111" s="475" t="n"/>
      <c r="L111" s="475" t="n"/>
      <c r="M111" s="475" t="n"/>
      <c r="N111" s="475" t="n"/>
      <c r="O111" s="475" t="n"/>
      <c r="P111" s="475" t="n"/>
      <c r="Q111" s="475" t="n"/>
      <c r="R111" s="475" t="n"/>
      <c r="S111" s="475" t="n"/>
      <c r="T111" s="1726" t="n"/>
      <c r="U111" s="1726" t="n"/>
      <c r="V111" s="1726" t="n"/>
      <c r="W111" s="1726" t="n"/>
      <c r="X111" s="1726" t="n"/>
      <c r="Y111" s="1726" t="n"/>
      <c r="Z111" s="1726" t="n"/>
      <c r="AA111" s="1726" t="n"/>
      <c r="AB111" s="1726" t="n"/>
      <c r="AC111" s="1726" t="n"/>
      <c r="AD111" s="1726" t="n"/>
      <c r="AE111" s="1726" t="n"/>
      <c r="AF111" s="1726" t="n"/>
      <c r="AG111" s="475" t="n"/>
      <c r="AH111" s="475" t="n"/>
      <c r="AI111" s="475" t="n"/>
      <c r="AJ111" s="475" t="n"/>
      <c r="AK111" s="475" t="n"/>
      <c r="AL111" s="475" t="n"/>
      <c r="AM111" s="475" t="n"/>
      <c r="AN111" s="475" t="n"/>
      <c r="AO111" s="475" t="n"/>
      <c r="AP111" s="1681" t="n"/>
      <c r="BD111" s="1684" t="n"/>
      <c r="BE111" s="1684" t="n"/>
      <c r="BF111" s="1684" t="n"/>
      <c r="BG111" s="1684" t="n"/>
      <c r="BH111" s="1684" t="n"/>
      <c r="BI111" s="1684" t="n"/>
      <c r="BJ111" s="1684" t="n"/>
      <c r="BK111" s="1684" t="n"/>
      <c r="BL111" s="1684" t="n"/>
      <c r="BM111" s="1684" t="n"/>
      <c r="BN111" s="1684" t="n"/>
    </row>
    <row r="112" ht="13.5" customHeight="1" s="7635">
      <c r="A112" s="1681" t="n"/>
      <c r="B112" s="26" t="n"/>
      <c r="C112" s="12063" t="n"/>
      <c r="D112" s="1766" t="inlineStr">
        <is>
          <t>Signature</t>
        </is>
      </c>
      <c r="E112" s="1742" t="n"/>
      <c r="F112" s="1742" t="n"/>
      <c r="G112" s="10373" t="n"/>
      <c r="H112" s="11717" t="n"/>
      <c r="I112" s="11717" t="n"/>
      <c r="J112" s="11717" t="n"/>
      <c r="K112" s="11717" t="n"/>
      <c r="L112" s="11717" t="n"/>
      <c r="M112" s="11717" t="n"/>
      <c r="N112" s="11717" t="n"/>
      <c r="O112" s="11717" t="n"/>
      <c r="P112" s="11717" t="n"/>
      <c r="Q112" s="11717" t="n"/>
      <c r="R112" s="11717" t="n"/>
      <c r="S112" s="11717" t="n"/>
      <c r="T112" s="11717" t="n"/>
      <c r="U112" s="11717" t="n"/>
      <c r="V112" s="11717" t="n"/>
      <c r="W112" s="11717" t="n"/>
      <c r="X112" s="11717" t="n"/>
      <c r="Y112" s="11717" t="n"/>
      <c r="Z112" s="11717" t="n"/>
      <c r="AA112" s="11717" t="n"/>
      <c r="AB112" s="11717" t="n"/>
      <c r="AC112" s="11717" t="n"/>
      <c r="AD112" s="11717" t="n"/>
      <c r="AE112" s="11717" t="n"/>
      <c r="AF112" s="11717" t="n"/>
      <c r="AG112" s="1742" t="n"/>
      <c r="AH112" s="1767" t="inlineStr">
        <is>
          <t>Date</t>
        </is>
      </c>
      <c r="AI112" s="475" t="n"/>
      <c r="AJ112" s="10374" t="n"/>
      <c r="AK112" s="11717" t="n"/>
      <c r="AL112" s="11717" t="n"/>
      <c r="AM112" s="11717" t="n"/>
      <c r="AN112" s="11717" t="n"/>
      <c r="AO112" s="11717" t="n"/>
      <c r="AP112" s="1681" t="n"/>
      <c r="BD112" s="1684" t="n"/>
      <c r="BE112" s="1684" t="n"/>
      <c r="BF112" s="1684" t="n"/>
      <c r="BG112" s="1684" t="n"/>
      <c r="BH112" s="1684" t="n"/>
      <c r="BI112" s="1684" t="n"/>
      <c r="BJ112" s="1684" t="n"/>
      <c r="BK112" s="1684" t="n"/>
      <c r="BL112" s="1684" t="n"/>
      <c r="BM112" s="1684" t="n"/>
      <c r="BN112" s="1684" t="n"/>
    </row>
    <row r="113">
      <c r="A113" s="1681" t="n"/>
      <c r="B113" s="645" t="n"/>
      <c r="C113" s="12187" t="n"/>
      <c r="D113" s="1768" t="inlineStr">
        <is>
          <t>Appraiser name</t>
        </is>
      </c>
      <c r="E113" s="1690" t="n"/>
      <c r="F113" s="1690" t="n"/>
      <c r="G113" s="1690" t="n"/>
      <c r="H113" s="1690" t="n"/>
      <c r="I113" s="1690" t="n"/>
      <c r="J113" s="1690" t="n"/>
      <c r="K113" s="1690" t="n"/>
      <c r="L113" s="1690" t="n"/>
      <c r="M113" s="1690" t="n"/>
      <c r="N113" s="1690" t="n"/>
      <c r="O113" s="1690" t="n"/>
      <c r="P113" s="1690" t="n"/>
      <c r="Q113" s="1690" t="n"/>
      <c r="R113" s="1690" t="n"/>
      <c r="S113" s="1769" t="n"/>
      <c r="T113" s="1770" t="n"/>
      <c r="U113" s="1771" t="inlineStr">
        <is>
          <t>Title</t>
        </is>
      </c>
      <c r="V113" s="1690" t="n"/>
      <c r="W113" s="1690" t="n"/>
      <c r="X113" s="1690" t="n"/>
      <c r="Y113" s="1690" t="n"/>
      <c r="Z113" s="1690" t="n"/>
      <c r="AA113" s="1690" t="n"/>
      <c r="AB113" s="1690" t="n"/>
      <c r="AC113" s="1690" t="n"/>
      <c r="AD113" s="1690" t="n"/>
      <c r="AE113" s="1690" t="n"/>
      <c r="AF113" s="1690" t="n"/>
      <c r="AG113" s="1690" t="n"/>
      <c r="AH113" s="1690" t="n"/>
      <c r="AI113" s="1690" t="n"/>
      <c r="AJ113" s="1690" t="n"/>
      <c r="AK113" s="1690" t="n"/>
      <c r="AL113" s="1772" t="n"/>
      <c r="AM113" s="1772" t="n"/>
      <c r="AN113" s="1772" t="n"/>
      <c r="AO113" s="1772" t="n"/>
      <c r="AP113" s="1681" t="n"/>
      <c r="BD113" s="1684" t="n"/>
      <c r="BE113" s="1684" t="n"/>
      <c r="BF113" s="1684" t="n"/>
      <c r="BG113" s="1684" t="n"/>
      <c r="BH113" s="1684" t="n"/>
      <c r="BI113" s="1684" t="n"/>
      <c r="BJ113" s="1684" t="n"/>
      <c r="BK113" s="1684" t="n"/>
      <c r="BL113" s="1684" t="n"/>
      <c r="BM113" s="1684" t="n"/>
      <c r="BN113" s="1684" t="n"/>
    </row>
    <row r="114">
      <c r="A114" s="1681" t="n"/>
      <c r="B114" s="475" t="inlineStr">
        <is>
          <t>Business address (including room or suite no.)</t>
        </is>
      </c>
      <c r="C114" s="475" t="n"/>
      <c r="D114" s="475" t="n"/>
      <c r="E114" s="475" t="n"/>
      <c r="F114" s="475" t="n"/>
      <c r="G114" s="475" t="n"/>
      <c r="H114" s="475" t="n"/>
      <c r="I114" s="475" t="n"/>
      <c r="J114" s="475" t="n"/>
      <c r="K114" s="475" t="n"/>
      <c r="L114" s="475" t="n"/>
      <c r="M114" s="475" t="n"/>
      <c r="N114" s="475" t="n"/>
      <c r="O114" s="475" t="n"/>
      <c r="P114" s="475" t="n"/>
      <c r="Q114" s="475" t="n"/>
      <c r="R114" s="475" t="n"/>
      <c r="S114" s="475" t="n"/>
      <c r="T114" s="475" t="n"/>
      <c r="U114" s="475" t="n"/>
      <c r="V114" s="475" t="n"/>
      <c r="W114" s="475" t="n"/>
      <c r="X114" s="475" t="n"/>
      <c r="Y114" s="475" t="n"/>
      <c r="Z114" s="475" t="n"/>
      <c r="AA114" s="475" t="n"/>
      <c r="AB114" s="475" t="n"/>
      <c r="AC114" s="475" t="n"/>
      <c r="AD114" s="475" t="n"/>
      <c r="AE114" s="475" t="n"/>
      <c r="AF114" s="475" t="n"/>
      <c r="AG114" s="475" t="n"/>
      <c r="AH114" s="475" t="n"/>
      <c r="AI114" s="1773" t="inlineStr">
        <is>
          <t>Identifying number</t>
        </is>
      </c>
      <c r="AJ114" s="1772" t="n"/>
      <c r="AK114" s="1772" t="n"/>
      <c r="AL114" s="1772" t="n"/>
      <c r="AM114" s="1772" t="n"/>
      <c r="AN114" s="1772" t="n"/>
      <c r="AO114" s="1772" t="n"/>
      <c r="AP114" s="1681" t="n"/>
      <c r="BD114" s="1684" t="n"/>
      <c r="BE114" s="1684" t="n"/>
      <c r="BF114" s="1684" t="n"/>
      <c r="BG114" s="1684" t="n"/>
      <c r="BH114" s="1684" t="n"/>
      <c r="BI114" s="1684" t="n"/>
      <c r="BJ114" s="1684" t="n"/>
      <c r="BK114" s="1684" t="n"/>
      <c r="BL114" s="1684" t="n"/>
      <c r="BM114" s="1684" t="n"/>
      <c r="BN114" s="1684" t="n"/>
    </row>
    <row r="115" ht="16.5" customHeight="1" s="7635">
      <c r="A115" s="1681" t="n"/>
      <c r="B115" s="12616" t="n"/>
      <c r="C115" s="11717" t="n"/>
      <c r="D115" s="11717" t="n"/>
      <c r="E115" s="11717" t="n"/>
      <c r="F115" s="11717" t="n"/>
      <c r="G115" s="11717" t="n"/>
      <c r="H115" s="11717" t="n"/>
      <c r="I115" s="11717" t="n"/>
      <c r="J115" s="11717" t="n"/>
      <c r="K115" s="11717" t="n"/>
      <c r="L115" s="11717" t="n"/>
      <c r="M115" s="11717" t="n"/>
      <c r="N115" s="11717" t="n"/>
      <c r="O115" s="11717" t="n"/>
      <c r="P115" s="11717" t="n"/>
      <c r="Q115" s="11717" t="n"/>
      <c r="R115" s="11717" t="n"/>
      <c r="S115" s="11717" t="n"/>
      <c r="T115" s="11717" t="n"/>
      <c r="U115" s="11717" t="n"/>
      <c r="V115" s="11717" t="n"/>
      <c r="W115" s="11717" t="n"/>
      <c r="X115" s="11717" t="n"/>
      <c r="Y115" s="11717" t="n"/>
      <c r="Z115" s="11717" t="n"/>
      <c r="AA115" s="11717" t="n"/>
      <c r="AB115" s="11717" t="n"/>
      <c r="AC115" s="11717" t="n"/>
      <c r="AD115" s="11717" t="n"/>
      <c r="AE115" s="11717" t="n"/>
      <c r="AF115" s="11717" t="n"/>
      <c r="AG115" s="11717" t="n"/>
      <c r="AH115" s="11718" t="n"/>
      <c r="AI115" s="10360" t="n"/>
      <c r="AJ115" s="11717" t="n"/>
      <c r="AK115" s="11717" t="n"/>
      <c r="AL115" s="11717" t="n"/>
      <c r="AM115" s="11717" t="n"/>
      <c r="AN115" s="11717" t="n"/>
      <c r="AO115" s="11717" t="n"/>
      <c r="AP115" s="1681" t="n"/>
      <c r="BD115" s="1684" t="n"/>
      <c r="BE115" s="1684" t="n"/>
      <c r="BF115" s="1684" t="n"/>
      <c r="BG115" s="1684" t="n"/>
      <c r="BH115" s="1684" t="n"/>
      <c r="BI115" s="1684" t="n"/>
      <c r="BJ115" s="1684" t="n"/>
      <c r="BK115" s="1684" t="n"/>
      <c r="BL115" s="1684" t="n"/>
      <c r="BM115" s="1684" t="n"/>
      <c r="BN115" s="1684" t="n"/>
    </row>
    <row r="116">
      <c r="A116" s="1681" t="n"/>
      <c r="B116" s="475" t="inlineStr">
        <is>
          <t>City or town, state, and ZIP code</t>
        </is>
      </c>
      <c r="C116" s="475" t="n"/>
      <c r="D116" s="475" t="n"/>
      <c r="E116" s="475" t="n"/>
      <c r="F116" s="475" t="n"/>
      <c r="G116" s="475" t="n"/>
      <c r="H116" s="475" t="n"/>
      <c r="I116" s="475" t="n"/>
      <c r="J116" s="475" t="n"/>
      <c r="K116" s="475" t="n"/>
      <c r="L116" s="475" t="n"/>
      <c r="M116" s="475" t="n"/>
      <c r="N116" s="475" t="n"/>
      <c r="O116" s="475" t="n"/>
      <c r="P116" s="475" t="n"/>
      <c r="Q116" s="475" t="n"/>
      <c r="R116" s="475" t="n"/>
      <c r="S116" s="475" t="n"/>
      <c r="T116" s="475" t="n"/>
      <c r="U116" s="475" t="n"/>
      <c r="V116" s="475" t="n"/>
      <c r="W116" s="475" t="n"/>
      <c r="X116" s="475" t="n"/>
      <c r="Y116" s="475" t="n"/>
      <c r="Z116" s="475" t="n"/>
      <c r="AA116" s="475" t="n"/>
      <c r="AB116" s="475" t="n"/>
      <c r="AC116" s="475" t="n"/>
      <c r="AD116" s="475" t="n"/>
      <c r="AE116" s="475" t="n"/>
      <c r="AF116" s="475" t="n"/>
      <c r="AG116" s="475" t="n"/>
      <c r="AH116" s="475" t="n"/>
      <c r="AI116" s="475" t="n"/>
      <c r="AJ116" s="475" t="n"/>
      <c r="AK116" s="475" t="n"/>
      <c r="AL116" s="475" t="n"/>
      <c r="AM116" s="475" t="n"/>
      <c r="AN116" s="475" t="n"/>
      <c r="AO116" s="475" t="n"/>
      <c r="AP116" s="1681" t="n"/>
      <c r="BD116" s="1684" t="n"/>
      <c r="BE116" s="1684" t="n"/>
      <c r="BF116" s="1684" t="n"/>
      <c r="BG116" s="1684" t="n"/>
      <c r="BH116" s="1684" t="n"/>
      <c r="BI116" s="1684" t="n"/>
      <c r="BJ116" s="1684" t="n"/>
      <c r="BK116" s="1684" t="n"/>
      <c r="BL116" s="1684" t="n"/>
      <c r="BM116" s="1684" t="n"/>
      <c r="BN116" s="1684" t="n"/>
    </row>
    <row r="117" ht="15" customHeight="1" s="7635">
      <c r="A117" s="1681" t="n"/>
      <c r="B117" s="10362" t="n"/>
      <c r="C117" s="11717" t="n"/>
      <c r="D117" s="11717" t="n"/>
      <c r="E117" s="11717" t="n"/>
      <c r="F117" s="11717" t="n"/>
      <c r="G117" s="11717" t="n"/>
      <c r="H117" s="11717" t="n"/>
      <c r="I117" s="11717" t="n"/>
      <c r="J117" s="11717" t="n"/>
      <c r="K117" s="11717" t="n"/>
      <c r="L117" s="11717" t="n"/>
      <c r="M117" s="11717" t="n"/>
      <c r="N117" s="11717" t="n"/>
      <c r="O117" s="11717" t="n"/>
      <c r="P117" s="11717" t="n"/>
      <c r="Q117" s="11717" t="n"/>
      <c r="R117" s="11717" t="n"/>
      <c r="S117" s="11717" t="n"/>
      <c r="T117" s="11717" t="n"/>
      <c r="U117" s="11717" t="n"/>
      <c r="V117" s="11717" t="n"/>
      <c r="W117" s="11717" t="n"/>
      <c r="X117" s="11717" t="n"/>
      <c r="Y117" s="11717" t="n"/>
      <c r="Z117" s="11717" t="n"/>
      <c r="AA117" s="11717" t="n"/>
      <c r="AB117" s="11717" t="n"/>
      <c r="AC117" s="11717" t="n"/>
      <c r="AD117" s="11717" t="n"/>
      <c r="AE117" s="11717" t="n"/>
      <c r="AF117" s="11717" t="n"/>
      <c r="AG117" s="11717" t="n"/>
      <c r="AH117" s="11717" t="n"/>
      <c r="AI117" s="11717" t="n"/>
      <c r="AJ117" s="11717" t="n"/>
      <c r="AK117" s="11717" t="n"/>
      <c r="AL117" s="11717" t="n"/>
      <c r="AM117" s="11717" t="n"/>
      <c r="AN117" s="11717" t="n"/>
      <c r="AO117" s="11717" t="n"/>
      <c r="AP117" s="1681" t="n"/>
      <c r="BD117" s="1684" t="n"/>
      <c r="BE117" s="1684" t="n"/>
      <c r="BF117" s="1684" t="n"/>
      <c r="BG117" s="1684" t="n"/>
      <c r="BH117" s="1684" t="n"/>
      <c r="BI117" s="1684" t="n"/>
      <c r="BJ117" s="1684" t="n"/>
      <c r="BK117" s="1684" t="n"/>
      <c r="BL117" s="1684" t="n"/>
      <c r="BM117" s="1684" t="n"/>
      <c r="BN117" s="1684" t="n"/>
    </row>
    <row r="118" ht="16.5" customFormat="1" customHeight="1" s="1695">
      <c r="A118" s="1693" t="n"/>
      <c r="B118" s="10364" t="inlineStr">
        <is>
          <t>Part V</t>
        </is>
      </c>
      <c r="C118" s="12056" t="n"/>
      <c r="D118" s="12056" t="n"/>
      <c r="E118" s="1694" t="n"/>
      <c r="F118" s="1762" t="inlineStr">
        <is>
          <t>Donee Acknowledgment</t>
        </is>
      </c>
      <c r="G118" s="1694" t="n"/>
      <c r="H118" s="1694" t="n"/>
      <c r="I118" s="1694" t="n"/>
      <c r="J118" s="1694" t="n"/>
      <c r="K118" s="1694" t="n"/>
      <c r="L118" s="1694" t="n"/>
      <c r="M118" s="1694" t="n"/>
      <c r="N118" s="1694" t="n"/>
      <c r="O118" s="1694" t="n"/>
      <c r="P118" s="1694" t="n"/>
      <c r="Q118" s="1694" t="n"/>
      <c r="R118" s="1694" t="n"/>
      <c r="S118" s="1694" t="n"/>
      <c r="T118" s="1694" t="n"/>
      <c r="U118" s="1694" t="n"/>
      <c r="V118" s="1694" t="n"/>
      <c r="W118" s="1694" t="n"/>
      <c r="X118" s="1694" t="n"/>
      <c r="Y118" s="1694" t="n"/>
      <c r="Z118" s="1694" t="n"/>
      <c r="AA118" s="1694" t="n"/>
      <c r="AB118" s="1694" t="n"/>
      <c r="AC118" s="1694" t="n"/>
      <c r="AD118" s="1694" t="n"/>
      <c r="AE118" s="1694" t="n"/>
      <c r="AF118" s="1694" t="n"/>
      <c r="AG118" s="1694" t="n"/>
      <c r="AH118" s="1694" t="n"/>
      <c r="AI118" s="1694" t="n"/>
      <c r="AJ118" s="1694" t="n"/>
      <c r="AK118" s="1694" t="n"/>
      <c r="AL118" s="1694" t="n"/>
      <c r="AM118" s="1694" t="n"/>
      <c r="AN118" s="1694" t="n"/>
      <c r="AO118" s="1694" t="n"/>
      <c r="AP118" s="1681" t="n"/>
      <c r="BD118" s="1684" t="n"/>
      <c r="BE118" s="1684" t="n"/>
      <c r="BF118" s="1684" t="n"/>
      <c r="BG118" s="1684" t="n"/>
      <c r="BH118" s="1684" t="n"/>
      <c r="BI118" s="1684" t="n"/>
      <c r="BJ118" s="1684" t="n"/>
      <c r="BK118" s="1684" t="n"/>
      <c r="BL118" s="1684" t="n"/>
      <c r="BM118" s="1684" t="n"/>
      <c r="BN118" s="1684" t="n"/>
    </row>
    <row r="119">
      <c r="A119" s="1681" t="n"/>
      <c r="B119" s="475" t="inlineStr">
        <is>
          <t>This charitable organization acknowledges that it is a qualified organization under section 170(c) and that it received the donated property as described</t>
        </is>
      </c>
      <c r="C119" s="475" t="n"/>
      <c r="D119" s="475" t="n"/>
      <c r="E119" s="475" t="n"/>
      <c r="F119" s="475" t="n"/>
      <c r="G119" s="475" t="n"/>
      <c r="H119" s="475" t="n"/>
      <c r="I119" s="475" t="n"/>
      <c r="J119" s="475" t="n"/>
      <c r="K119" s="475" t="n"/>
      <c r="L119" s="475" t="n"/>
      <c r="M119" s="475" t="n"/>
      <c r="N119" s="475" t="n"/>
      <c r="O119" s="475" t="n"/>
      <c r="P119" s="475" t="n"/>
      <c r="Q119" s="475" t="n"/>
      <c r="R119" s="475" t="n"/>
      <c r="S119" s="475" t="n"/>
      <c r="T119" s="1726" t="n"/>
      <c r="U119" s="475" t="n"/>
      <c r="V119" s="475" t="n"/>
      <c r="W119" s="475" t="n"/>
      <c r="X119" s="475" t="n"/>
      <c r="Y119" s="475" t="n"/>
      <c r="Z119" s="475" t="n"/>
      <c r="AA119" s="475" t="n"/>
      <c r="AB119" s="475" t="n"/>
      <c r="AC119" s="475" t="n"/>
      <c r="AD119" s="475" t="n"/>
      <c r="AE119" s="475" t="n"/>
      <c r="AF119" s="475" t="n"/>
      <c r="AG119" s="475" t="n"/>
      <c r="AH119" s="475" t="n"/>
      <c r="AI119" s="475" t="n"/>
      <c r="AJ119" s="475" t="n"/>
      <c r="AK119" s="475" t="n"/>
      <c r="AL119" s="475" t="n"/>
      <c r="AM119" s="475" t="n"/>
      <c r="AN119" s="475" t="n"/>
      <c r="AO119" s="475" t="n"/>
      <c r="AP119" s="1681" t="n"/>
      <c r="BD119" s="1684" t="n"/>
      <c r="BE119" s="1684" t="n"/>
      <c r="BF119" s="1684" t="n"/>
      <c r="BG119" s="1684" t="n"/>
      <c r="BH119" s="1684" t="n"/>
      <c r="BI119" s="1684" t="n"/>
      <c r="BJ119" s="1684" t="n"/>
      <c r="BK119" s="1684" t="n"/>
      <c r="BL119" s="1684" t="n"/>
      <c r="BM119" s="1684" t="n"/>
      <c r="BN119" s="1684" t="n"/>
    </row>
    <row r="120" ht="14.25" customHeight="1" s="7635">
      <c r="A120" s="1681" t="n"/>
      <c r="B120" s="1774" t="inlineStr">
        <is>
          <t>as described in Section B, Part I, above on the following date</t>
        </is>
      </c>
      <c r="C120" s="475" t="n"/>
      <c r="D120" s="475" t="n"/>
      <c r="E120" s="475" t="n"/>
      <c r="F120" s="475" t="n"/>
      <c r="G120" s="475" t="n"/>
      <c r="H120" s="475" t="n"/>
      <c r="I120" s="475" t="n"/>
      <c r="J120" s="475" t="n"/>
      <c r="K120" s="475" t="n"/>
      <c r="L120" s="475" t="n"/>
      <c r="M120" s="475" t="n"/>
      <c r="N120" s="475" t="n"/>
      <c r="O120" s="475" t="n"/>
      <c r="P120" s="475" t="n"/>
      <c r="Q120" s="475" t="n"/>
      <c r="R120" s="475" t="n"/>
      <c r="S120" s="475" t="n"/>
      <c r="T120" s="12617" t="n"/>
      <c r="U120" s="11717" t="n"/>
      <c r="V120" s="11717" t="n"/>
      <c r="W120" s="11717" t="n"/>
      <c r="X120" s="11717" t="n"/>
      <c r="Y120" s="11717" t="n"/>
      <c r="Z120" s="11717" t="n"/>
      <c r="AA120" s="11717" t="n"/>
      <c r="AB120" s="11717" t="n"/>
      <c r="AC120" s="11717" t="n"/>
      <c r="AD120" s="11717" t="n"/>
      <c r="AE120" s="11717" t="n"/>
      <c r="AF120" s="11717" t="n"/>
      <c r="AG120" s="11717" t="n"/>
      <c r="AH120" s="11717" t="n"/>
      <c r="AI120" s="11717" t="n"/>
      <c r="AJ120" s="475" t="n"/>
      <c r="AK120" s="475" t="n"/>
      <c r="AL120" s="475" t="n"/>
      <c r="AM120" s="475" t="n"/>
      <c r="AN120" s="475" t="n"/>
      <c r="AO120" s="475" t="n"/>
      <c r="AP120" s="1681" t="n"/>
      <c r="BD120" s="1684" t="n"/>
      <c r="BE120" s="1684" t="n"/>
      <c r="BF120" s="1684" t="n"/>
      <c r="BG120" s="1684" t="n"/>
      <c r="BH120" s="1684" t="n"/>
      <c r="BI120" s="1684" t="n"/>
      <c r="BJ120" s="1684" t="n"/>
      <c r="BK120" s="1684" t="n"/>
      <c r="BL120" s="1684" t="n"/>
      <c r="BM120" s="1684" t="n"/>
      <c r="BN120" s="1684" t="n"/>
    </row>
    <row r="121" ht="11.25" customHeight="1" s="7635">
      <c r="A121" s="1681" t="n"/>
      <c r="B121" s="475" t="inlineStr">
        <is>
          <t>Furthermore, this organization affirms that in the event it sells, exchanges, or otherwise disposes of the property described in Section B, Part I</t>
        </is>
      </c>
      <c r="C121" s="475" t="n"/>
      <c r="D121" s="475" t="n"/>
      <c r="E121" s="475" t="n"/>
      <c r="F121" s="475" t="n"/>
      <c r="G121" s="475" t="n"/>
      <c r="H121" s="475" t="n"/>
      <c r="I121" s="475" t="n"/>
      <c r="J121" s="475" t="n"/>
      <c r="K121" s="475" t="n"/>
      <c r="L121" s="475" t="n"/>
      <c r="M121" s="475" t="n"/>
      <c r="N121" s="475" t="n"/>
      <c r="O121" s="475" t="n"/>
      <c r="P121" s="475" t="n"/>
      <c r="Q121" s="475" t="n"/>
      <c r="R121" s="475" t="n"/>
      <c r="S121" s="475" t="n"/>
      <c r="T121" s="1726" t="n"/>
      <c r="U121" s="475" t="n"/>
      <c r="V121" s="475" t="n"/>
      <c r="W121" s="475" t="n"/>
      <c r="X121" s="475" t="n"/>
      <c r="Y121" s="475" t="n"/>
      <c r="Z121" s="475" t="n"/>
      <c r="AA121" s="475" t="n"/>
      <c r="AB121" s="475" t="n"/>
      <c r="AC121" s="475" t="n"/>
      <c r="AD121" s="475" t="n"/>
      <c r="AE121" s="475" t="n"/>
      <c r="AF121" s="475" t="n"/>
      <c r="AG121" s="475" t="n"/>
      <c r="AH121" s="475" t="n"/>
      <c r="AI121" s="475" t="n"/>
      <c r="AJ121" s="475" t="n"/>
      <c r="AK121" s="475" t="n"/>
      <c r="AL121" s="475" t="n"/>
      <c r="AM121" s="475" t="n"/>
      <c r="AN121" s="475" t="n"/>
      <c r="AO121" s="475" t="n"/>
      <c r="AP121" s="1681" t="n"/>
      <c r="BD121" s="1684" t="n"/>
      <c r="BE121" s="1684" t="n"/>
      <c r="BF121" s="1684" t="n"/>
      <c r="BG121" s="1684" t="n"/>
      <c r="BH121" s="1684" t="n"/>
      <c r="BI121" s="1684" t="n"/>
      <c r="BJ121" s="1684" t="n"/>
      <c r="BK121" s="1684" t="n"/>
      <c r="BL121" s="1684" t="n"/>
      <c r="BM121" s="1684" t="n"/>
      <c r="BN121" s="1684" t="n"/>
    </row>
    <row r="122" ht="11.25" customHeight="1" s="7635">
      <c r="A122" s="1681" t="n"/>
      <c r="B122" s="475" t="inlineStr">
        <is>
          <t>(or any portion thereof) within 3 years after the date of receipt, it will file Form 8282, Donee Information Return, with the IRS and give the</t>
        </is>
      </c>
      <c r="C122" s="475" t="n"/>
      <c r="D122" s="475" t="n"/>
      <c r="E122" s="475" t="n"/>
      <c r="F122" s="475" t="n"/>
      <c r="G122" s="475" t="n"/>
      <c r="H122" s="475" t="n"/>
      <c r="I122" s="475" t="n"/>
      <c r="J122" s="475" t="n"/>
      <c r="K122" s="475" t="n"/>
      <c r="L122" s="475" t="n"/>
      <c r="M122" s="475" t="n"/>
      <c r="N122" s="475" t="n"/>
      <c r="O122" s="475" t="n"/>
      <c r="P122" s="475" t="n"/>
      <c r="Q122" s="475" t="n"/>
      <c r="R122" s="475" t="n"/>
      <c r="S122" s="475" t="n"/>
      <c r="T122" s="1726" t="n"/>
      <c r="U122" s="475" t="n"/>
      <c r="V122" s="475" t="n"/>
      <c r="W122" s="475" t="n"/>
      <c r="X122" s="475" t="n"/>
      <c r="Y122" s="475" t="n"/>
      <c r="Z122" s="475" t="n"/>
      <c r="AA122" s="475" t="n"/>
      <c r="AB122" s="475" t="n"/>
      <c r="AC122" s="475" t="n"/>
      <c r="AD122" s="475" t="n"/>
      <c r="AE122" s="475" t="n"/>
      <c r="AF122" s="475" t="n"/>
      <c r="AG122" s="475" t="n"/>
      <c r="AH122" s="475" t="n"/>
      <c r="AI122" s="475" t="n"/>
      <c r="AJ122" s="475" t="n"/>
      <c r="AK122" s="475" t="n"/>
      <c r="AL122" s="475" t="n"/>
      <c r="AM122" s="475" t="n"/>
      <c r="AN122" s="475" t="n"/>
      <c r="AO122" s="475" t="n"/>
      <c r="AP122" s="1681" t="n"/>
      <c r="BD122" s="1684" t="n"/>
      <c r="BE122" s="1684" t="n"/>
      <c r="BF122" s="1684" t="n"/>
      <c r="BG122" s="1684" t="n"/>
      <c r="BH122" s="1684" t="n"/>
      <c r="BI122" s="1684" t="n"/>
      <c r="BJ122" s="1684" t="n"/>
      <c r="BK122" s="1684" t="n"/>
      <c r="BL122" s="1684" t="n"/>
      <c r="BM122" s="1684" t="n"/>
      <c r="BN122" s="1684" t="n"/>
    </row>
    <row r="123" ht="11.25" customHeight="1" s="7635">
      <c r="A123" s="1681" t="n"/>
      <c r="B123" s="475" t="inlineStr">
        <is>
          <t>donor a copy of that form. This acknowledgment does not represent agreement with the claimed fair market value.</t>
        </is>
      </c>
      <c r="C123" s="475" t="n"/>
      <c r="D123" s="475" t="n"/>
      <c r="E123" s="475" t="n"/>
      <c r="F123" s="475" t="n"/>
      <c r="G123" s="475" t="n"/>
      <c r="H123" s="475" t="n"/>
      <c r="I123" s="475" t="n"/>
      <c r="J123" s="475" t="n"/>
      <c r="K123" s="475" t="n"/>
      <c r="L123" s="475" t="n"/>
      <c r="M123" s="475" t="n"/>
      <c r="N123" s="475" t="n"/>
      <c r="O123" s="475" t="n"/>
      <c r="P123" s="475" t="n"/>
      <c r="Q123" s="475" t="n"/>
      <c r="R123" s="475" t="n"/>
      <c r="S123" s="475" t="n"/>
      <c r="T123" s="1726" t="n"/>
      <c r="U123" s="475" t="n"/>
      <c r="V123" s="475" t="n"/>
      <c r="W123" s="475" t="n"/>
      <c r="X123" s="475" t="n"/>
      <c r="Y123" s="475" t="n"/>
      <c r="Z123" s="475" t="n"/>
      <c r="AA123" s="475" t="n"/>
      <c r="AB123" s="475" t="n"/>
      <c r="AC123" s="475" t="n"/>
      <c r="AD123" s="475" t="n"/>
      <c r="AE123" s="475" t="n"/>
      <c r="AF123" s="475" t="n"/>
      <c r="AG123" s="475" t="n"/>
      <c r="AH123" s="475" t="n"/>
      <c r="AI123" s="475" t="n"/>
      <c r="AJ123" s="475" t="n"/>
      <c r="AK123" s="1775">
        <f>IF(SUM(AK124,AL124)=2,"Check only one.",IF(SUM(AK124,AL124)=0,"Check one box.",""))</f>
        <v/>
      </c>
      <c r="AL123" s="475" t="n"/>
      <c r="AM123" s="475" t="n"/>
      <c r="AN123" s="475" t="n"/>
      <c r="AO123" s="475" t="n"/>
      <c r="AP123" s="1681" t="n"/>
      <c r="BD123" s="1684" t="n"/>
      <c r="BE123" s="1684" t="n"/>
      <c r="BF123" s="1684" t="n"/>
      <c r="BG123" s="1684" t="n"/>
      <c r="BH123" s="1684" t="n"/>
      <c r="BI123" s="1684" t="n"/>
      <c r="BJ123" s="1684" t="n"/>
      <c r="BK123" s="1684" t="n"/>
      <c r="BL123" s="1684" t="n"/>
      <c r="BM123" s="1684" t="n"/>
      <c r="BN123" s="1684" t="n"/>
    </row>
    <row r="124" ht="11.25" customHeight="1" s="7635">
      <c r="A124" s="1681" t="n"/>
      <c r="B124" s="475" t="inlineStr">
        <is>
          <t>Does the organization intend to use the property for an unrelated use?</t>
        </is>
      </c>
      <c r="C124" s="475" t="n"/>
      <c r="D124" s="475" t="n"/>
      <c r="E124" s="475" t="n"/>
      <c r="F124" s="475" t="n"/>
      <c r="G124" s="475" t="n"/>
      <c r="H124" s="475" t="n"/>
      <c r="I124" s="475" t="n"/>
      <c r="J124" s="475" t="n"/>
      <c r="K124" s="475" t="n"/>
      <c r="L124" s="475" t="n"/>
      <c r="M124" s="475" t="n"/>
      <c r="N124" s="475" t="n"/>
      <c r="O124" s="475" t="n"/>
      <c r="P124" s="475" t="n"/>
      <c r="Q124" s="475" t="n"/>
      <c r="R124" s="475" t="n"/>
      <c r="S124" s="475" t="n"/>
      <c r="T124" s="1726" t="n"/>
      <c r="U124" s="475" t="n"/>
      <c r="V124" s="475" t="n"/>
      <c r="W124" s="475" t="n"/>
      <c r="X124" s="475" t="n"/>
      <c r="Y124" s="475" t="n"/>
      <c r="Z124" s="475" t="n"/>
      <c r="AA124" s="475" t="n"/>
      <c r="AB124" s="475" t="n"/>
      <c r="AC124" s="475" t="n"/>
      <c r="AD124" s="475" t="n"/>
      <c r="AE124" s="475" t="n"/>
      <c r="AF124" s="475" t="n"/>
      <c r="AG124" s="475" t="n"/>
      <c r="AH124" s="1776" t="n"/>
      <c r="AI124" s="1777" t="inlineStr">
        <is>
          <t>Yes</t>
        </is>
      </c>
      <c r="AJ124" s="475" t="n"/>
      <c r="AK124" s="1778">
        <f>IF(AH124&lt;&gt;"",1,0)</f>
        <v/>
      </c>
      <c r="AL124" s="1779">
        <f>IF(AM124&lt;&gt;"",1,0)</f>
        <v/>
      </c>
      <c r="AM124" s="1776" t="n"/>
      <c r="AN124" s="1777" t="inlineStr">
        <is>
          <t>No</t>
        </is>
      </c>
      <c r="AO124" s="475" t="n"/>
      <c r="AP124" s="1681" t="n"/>
      <c r="BD124" s="1684" t="n"/>
      <c r="BE124" s="1684" t="n"/>
      <c r="BF124" s="1684" t="n"/>
      <c r="BG124" s="1684" t="n"/>
      <c r="BH124" s="1684" t="n"/>
      <c r="BI124" s="1684" t="n"/>
      <c r="BJ124" s="1684" t="n"/>
      <c r="BK124" s="1684" t="n"/>
      <c r="BL124" s="1684" t="n"/>
      <c r="BM124" s="1684" t="n"/>
      <c r="BN124" s="1684" t="n"/>
    </row>
    <row r="125" ht="5.25" customHeight="1" s="7635">
      <c r="A125" s="1681" t="n"/>
      <c r="B125" s="1780" t="n"/>
      <c r="C125" s="1742" t="n"/>
      <c r="D125" s="1742" t="n"/>
      <c r="E125" s="1742" t="n"/>
      <c r="F125" s="1742" t="n"/>
      <c r="G125" s="1742" t="n"/>
      <c r="H125" s="1742" t="n"/>
      <c r="I125" s="1742" t="n"/>
      <c r="J125" s="1742" t="n"/>
      <c r="K125" s="1742" t="n"/>
      <c r="L125" s="1742" t="n"/>
      <c r="M125" s="1742" t="n"/>
      <c r="N125" s="1742" t="n"/>
      <c r="O125" s="1742" t="n"/>
      <c r="P125" s="1742" t="n"/>
      <c r="Q125" s="1742" t="n"/>
      <c r="R125" s="1742" t="n"/>
      <c r="S125" s="1742" t="n"/>
      <c r="T125" s="1742" t="n"/>
      <c r="U125" s="1742" t="n"/>
      <c r="V125" s="1742" t="n"/>
      <c r="W125" s="1742" t="n"/>
      <c r="X125" s="1742" t="n"/>
      <c r="Y125" s="1742" t="n"/>
      <c r="Z125" s="1742" t="n"/>
      <c r="AA125" s="1742" t="n"/>
      <c r="AB125" s="1742" t="n"/>
      <c r="AC125" s="1742" t="n"/>
      <c r="AD125" s="1742" t="n"/>
      <c r="AE125" s="1742" t="n"/>
      <c r="AF125" s="1742" t="n"/>
      <c r="AG125" s="1742" t="n"/>
      <c r="AH125" s="1742" t="n"/>
      <c r="AI125" s="1742" t="n"/>
      <c r="AJ125" s="1742" t="n"/>
      <c r="AK125" s="1742" t="n"/>
      <c r="AL125" s="1742" t="n"/>
      <c r="AM125" s="1742" t="n"/>
      <c r="AN125" s="1742" t="n"/>
      <c r="AO125" s="1742" t="n"/>
      <c r="AP125" s="1681" t="n"/>
      <c r="BD125" s="1684" t="n"/>
      <c r="BE125" s="1684" t="n"/>
      <c r="BF125" s="1684" t="n"/>
      <c r="BG125" s="1684" t="n"/>
      <c r="BH125" s="1684" t="n"/>
      <c r="BI125" s="1684" t="n"/>
      <c r="BJ125" s="1684" t="n"/>
      <c r="BK125" s="1684" t="n"/>
      <c r="BL125" s="1684" t="n"/>
      <c r="BM125" s="1684" t="n"/>
      <c r="BN125" s="1684" t="n"/>
    </row>
    <row r="126">
      <c r="A126" s="1681" t="n"/>
      <c r="B126" s="1725" t="inlineStr">
        <is>
          <t>Name of charitable organization (donee)</t>
        </is>
      </c>
      <c r="C126" s="475" t="n"/>
      <c r="D126" s="475" t="n"/>
      <c r="E126" s="475" t="n"/>
      <c r="F126" s="475" t="n"/>
      <c r="G126" s="475" t="n"/>
      <c r="H126" s="475" t="n"/>
      <c r="I126" s="475" t="n"/>
      <c r="J126" s="475" t="n"/>
      <c r="K126" s="475" t="n"/>
      <c r="L126" s="475" t="n"/>
      <c r="M126" s="475" t="n"/>
      <c r="N126" s="475" t="n"/>
      <c r="O126" s="475" t="n"/>
      <c r="P126" s="475" t="n"/>
      <c r="Q126" s="475" t="n"/>
      <c r="R126" s="475" t="n"/>
      <c r="S126" s="475" t="n"/>
      <c r="T126" s="1726" t="n"/>
      <c r="U126" s="475" t="n"/>
      <c r="V126" s="1781" t="inlineStr">
        <is>
          <t>Employer identification number</t>
        </is>
      </c>
      <c r="W126" s="475" t="n"/>
      <c r="X126" s="475" t="n"/>
      <c r="Y126" s="475" t="n"/>
      <c r="Z126" s="475" t="n"/>
      <c r="AA126" s="475" t="n"/>
      <c r="AB126" s="475" t="n"/>
      <c r="AC126" s="475" t="n"/>
      <c r="AD126" s="475" t="n"/>
      <c r="AE126" s="475" t="n"/>
      <c r="AF126" s="475" t="n"/>
      <c r="AG126" s="475" t="n"/>
      <c r="AH126" s="475" t="n"/>
      <c r="AI126" s="475" t="n"/>
      <c r="AJ126" s="475" t="n"/>
      <c r="AK126" s="475" t="n"/>
      <c r="AL126" s="475" t="n"/>
      <c r="AM126" s="475" t="n"/>
      <c r="AN126" s="475" t="n"/>
      <c r="AO126" s="475" t="n"/>
      <c r="AP126" s="1681" t="n"/>
      <c r="BD126" s="1684" t="n"/>
      <c r="BE126" s="1684" t="n"/>
      <c r="BF126" s="1684" t="n"/>
      <c r="BG126" s="1684" t="n"/>
      <c r="BH126" s="1684" t="n"/>
      <c r="BI126" s="1684" t="n"/>
      <c r="BJ126" s="1684" t="n"/>
      <c r="BK126" s="1684" t="n"/>
      <c r="BL126" s="1684" t="n"/>
      <c r="BM126" s="1684" t="n"/>
      <c r="BN126" s="1684" t="n"/>
    </row>
    <row r="127" ht="12.75" customHeight="1" s="7635">
      <c r="A127" s="1681" t="n"/>
      <c r="B127" s="10349" t="n"/>
      <c r="C127" s="11717" t="n"/>
      <c r="D127" s="11717" t="n"/>
      <c r="E127" s="11717" t="n"/>
      <c r="F127" s="11717" t="n"/>
      <c r="G127" s="11717" t="n"/>
      <c r="H127" s="11717" t="n"/>
      <c r="I127" s="11717" t="n"/>
      <c r="J127" s="11717" t="n"/>
      <c r="K127" s="11717" t="n"/>
      <c r="L127" s="11717" t="n"/>
      <c r="M127" s="11717" t="n"/>
      <c r="N127" s="11717" t="n"/>
      <c r="O127" s="11717" t="n"/>
      <c r="P127" s="11717" t="n"/>
      <c r="Q127" s="11717" t="n"/>
      <c r="R127" s="11717" t="n"/>
      <c r="S127" s="11717" t="n"/>
      <c r="T127" s="11717" t="n"/>
      <c r="U127" s="11718" t="n"/>
      <c r="V127" s="10350" t="n"/>
      <c r="W127" s="11717" t="n"/>
      <c r="X127" s="11717" t="n"/>
      <c r="Y127" s="11717" t="n"/>
      <c r="Z127" s="11717" t="n"/>
      <c r="AA127" s="11717" t="n"/>
      <c r="AB127" s="11717" t="n"/>
      <c r="AC127" s="11717" t="n"/>
      <c r="AD127" s="11717" t="n"/>
      <c r="AE127" s="11717" t="n"/>
      <c r="AF127" s="11717" t="n"/>
      <c r="AG127" s="11717" t="n"/>
      <c r="AH127" s="11717" t="n"/>
      <c r="AI127" s="11717" t="n"/>
      <c r="AJ127" s="11717" t="n"/>
      <c r="AK127" s="11717" t="n"/>
      <c r="AL127" s="11717" t="n"/>
      <c r="AM127" s="11717" t="n"/>
      <c r="AN127" s="11717" t="n"/>
      <c r="AO127" s="11717" t="n"/>
      <c r="AP127" s="1681" t="n"/>
      <c r="BD127" s="1684" t="n"/>
      <c r="BE127" s="1684" t="n"/>
      <c r="BF127" s="1684" t="n"/>
      <c r="BG127" s="1684" t="n"/>
      <c r="BH127" s="1684" t="n"/>
      <c r="BI127" s="1684" t="n"/>
      <c r="BJ127" s="1684" t="n"/>
      <c r="BK127" s="1684" t="n"/>
      <c r="BL127" s="1684" t="n"/>
      <c r="BM127" s="1684" t="n"/>
      <c r="BN127" s="1684" t="n"/>
    </row>
    <row r="128">
      <c r="A128" s="1681" t="n"/>
      <c r="B128" s="1725" t="inlineStr">
        <is>
          <t>Address (number, street, and room or suite no.)</t>
        </is>
      </c>
      <c r="C128" s="475" t="n"/>
      <c r="D128" s="475" t="n"/>
      <c r="E128" s="475" t="n"/>
      <c r="F128" s="475" t="n"/>
      <c r="G128" s="475" t="n"/>
      <c r="H128" s="475" t="n"/>
      <c r="I128" s="475" t="n"/>
      <c r="J128" s="475" t="n"/>
      <c r="K128" s="475" t="n"/>
      <c r="L128" s="475" t="n"/>
      <c r="M128" s="475" t="n"/>
      <c r="N128" s="475" t="n"/>
      <c r="O128" s="475" t="n"/>
      <c r="P128" s="475" t="n"/>
      <c r="Q128" s="475" t="n"/>
      <c r="R128" s="475" t="n"/>
      <c r="S128" s="475" t="n"/>
      <c r="T128" s="1726" t="n"/>
      <c r="U128" s="475" t="n"/>
      <c r="V128" s="1782" t="inlineStr">
        <is>
          <t>City or town, state, and ZIP code</t>
        </is>
      </c>
      <c r="W128" s="475" t="n"/>
      <c r="X128" s="475" t="n"/>
      <c r="Y128" s="475" t="n"/>
      <c r="Z128" s="475" t="n"/>
      <c r="AA128" s="475" t="n"/>
      <c r="AB128" s="475" t="n"/>
      <c r="AC128" s="475" t="n"/>
      <c r="AD128" s="475" t="n"/>
      <c r="AE128" s="475" t="n"/>
      <c r="AF128" s="475" t="n"/>
      <c r="AG128" s="475" t="n"/>
      <c r="AH128" s="475" t="n"/>
      <c r="AI128" s="475" t="n"/>
      <c r="AJ128" s="475" t="n"/>
      <c r="AK128" s="475" t="n"/>
      <c r="AL128" s="475" t="n"/>
      <c r="AM128" s="475" t="n"/>
      <c r="AN128" s="475" t="n"/>
      <c r="AO128" s="475" t="n"/>
      <c r="AP128" s="1681" t="n"/>
      <c r="BD128" s="1684" t="n"/>
      <c r="BE128" s="1684" t="n"/>
      <c r="BF128" s="1684" t="n"/>
      <c r="BG128" s="1684" t="n"/>
      <c r="BH128" s="1684" t="n"/>
      <c r="BI128" s="1684" t="n"/>
      <c r="BJ128" s="1684" t="n"/>
      <c r="BK128" s="1684" t="n"/>
      <c r="BL128" s="1684" t="n"/>
      <c r="BM128" s="1684" t="n"/>
      <c r="BN128" s="1684" t="n"/>
    </row>
    <row r="129" ht="13.5" customHeight="1" s="7635">
      <c r="A129" s="1681" t="n"/>
      <c r="B129" s="10349" t="n"/>
      <c r="C129" s="11717" t="n"/>
      <c r="D129" s="11717" t="n"/>
      <c r="E129" s="11717" t="n"/>
      <c r="F129" s="11717" t="n"/>
      <c r="G129" s="11717" t="n"/>
      <c r="H129" s="11717" t="n"/>
      <c r="I129" s="11717" t="n"/>
      <c r="J129" s="11717" t="n"/>
      <c r="K129" s="11717" t="n"/>
      <c r="L129" s="11717" t="n"/>
      <c r="M129" s="11717" t="n"/>
      <c r="N129" s="11717" t="n"/>
      <c r="O129" s="11717" t="n"/>
      <c r="P129" s="11717" t="n"/>
      <c r="Q129" s="11717" t="n"/>
      <c r="R129" s="11717" t="n"/>
      <c r="S129" s="11717" t="n"/>
      <c r="T129" s="11717" t="n"/>
      <c r="U129" s="11718" t="n"/>
      <c r="V129" s="10350" t="n"/>
      <c r="W129" s="11717" t="n"/>
      <c r="X129" s="11717" t="n"/>
      <c r="Y129" s="11717" t="n"/>
      <c r="Z129" s="11717" t="n"/>
      <c r="AA129" s="11717" t="n"/>
      <c r="AB129" s="11717" t="n"/>
      <c r="AC129" s="11717" t="n"/>
      <c r="AD129" s="11717" t="n"/>
      <c r="AE129" s="11717" t="n"/>
      <c r="AF129" s="11717" t="n"/>
      <c r="AG129" s="11717" t="n"/>
      <c r="AH129" s="11717" t="n"/>
      <c r="AI129" s="11717" t="n"/>
      <c r="AJ129" s="11717" t="n"/>
      <c r="AK129" s="11717" t="n"/>
      <c r="AL129" s="11717" t="n"/>
      <c r="AM129" s="11717" t="n"/>
      <c r="AN129" s="11717" t="n"/>
      <c r="AO129" s="11717" t="n"/>
      <c r="AP129" s="1681" t="n"/>
      <c r="BD129" s="1684" t="n"/>
      <c r="BE129" s="1684" t="n"/>
      <c r="BF129" s="1684" t="n"/>
      <c r="BG129" s="1684" t="n"/>
      <c r="BH129" s="1684" t="n"/>
      <c r="BI129" s="1684" t="n"/>
      <c r="BJ129" s="1684" t="n"/>
      <c r="BK129" s="1684" t="n"/>
      <c r="BL129" s="1684" t="n"/>
      <c r="BM129" s="1684" t="n"/>
      <c r="BN129" s="1684" t="n"/>
    </row>
    <row r="130">
      <c r="A130" s="1681" t="n"/>
      <c r="B130" s="1725" t="inlineStr">
        <is>
          <t>Authorized signature</t>
        </is>
      </c>
      <c r="C130" s="475" t="n"/>
      <c r="D130" s="475" t="n"/>
      <c r="E130" s="475" t="n"/>
      <c r="F130" s="475" t="n"/>
      <c r="G130" s="475" t="n"/>
      <c r="H130" s="475" t="n"/>
      <c r="I130" s="475" t="n"/>
      <c r="J130" s="475" t="n"/>
      <c r="K130" s="475" t="n"/>
      <c r="L130" s="475" t="n"/>
      <c r="M130" s="475" t="n"/>
      <c r="N130" s="475" t="n"/>
      <c r="O130" s="475" t="n"/>
      <c r="P130" s="475" t="n"/>
      <c r="Q130" s="475" t="n"/>
      <c r="R130" s="475" t="n"/>
      <c r="S130" s="475" t="n"/>
      <c r="T130" s="1726" t="n"/>
      <c r="U130" s="1746" t="n"/>
      <c r="V130" s="475" t="inlineStr">
        <is>
          <t>Title</t>
        </is>
      </c>
      <c r="W130" s="475" t="n"/>
      <c r="X130" s="475" t="n"/>
      <c r="Y130" s="475" t="n"/>
      <c r="Z130" s="475" t="n"/>
      <c r="AA130" s="475" t="n"/>
      <c r="AB130" s="475" t="n"/>
      <c r="AC130" s="475" t="n"/>
      <c r="AD130" s="475" t="n"/>
      <c r="AE130" s="475" t="n"/>
      <c r="AF130" s="475" t="n"/>
      <c r="AG130" s="475" t="n"/>
      <c r="AH130" s="475" t="n"/>
      <c r="AI130" s="1782" t="inlineStr">
        <is>
          <t>Date</t>
        </is>
      </c>
      <c r="AJ130" s="475" t="n"/>
      <c r="AK130" s="475" t="n"/>
      <c r="AL130" s="475" t="n"/>
      <c r="AM130" s="475" t="n"/>
      <c r="AN130" s="475" t="n"/>
      <c r="AO130" s="475" t="n"/>
      <c r="AP130" s="1681" t="n"/>
      <c r="BD130" s="1684" t="n"/>
      <c r="BE130" s="1684" t="n"/>
      <c r="BF130" s="1684" t="n"/>
      <c r="BG130" s="1684" t="n"/>
      <c r="BH130" s="1684" t="n"/>
      <c r="BI130" s="1684" t="n"/>
      <c r="BJ130" s="1684" t="n"/>
      <c r="BK130" s="1684" t="n"/>
      <c r="BL130" s="1684" t="n"/>
      <c r="BM130" s="1684" t="n"/>
      <c r="BN130" s="1684" t="n"/>
    </row>
    <row r="131" ht="13.5" customHeight="1" s="7635">
      <c r="A131" s="1681" t="n"/>
      <c r="B131" s="10352" t="n"/>
      <c r="C131" s="11717" t="n"/>
      <c r="D131" s="11717" t="n"/>
      <c r="E131" s="11717" t="n"/>
      <c r="F131" s="11717" t="n"/>
      <c r="G131" s="11717" t="n"/>
      <c r="H131" s="11717" t="n"/>
      <c r="I131" s="11717" t="n"/>
      <c r="J131" s="11717" t="n"/>
      <c r="K131" s="11717" t="n"/>
      <c r="L131" s="11717" t="n"/>
      <c r="M131" s="11717" t="n"/>
      <c r="N131" s="11717" t="n"/>
      <c r="O131" s="11717" t="n"/>
      <c r="P131" s="11717" t="n"/>
      <c r="Q131" s="11717" t="n"/>
      <c r="R131" s="11717" t="n"/>
      <c r="S131" s="11717" t="n"/>
      <c r="T131" s="11717" t="n"/>
      <c r="U131" s="11718" t="n"/>
      <c r="V131" s="12618" t="n"/>
      <c r="W131" s="11717" t="n"/>
      <c r="X131" s="11717" t="n"/>
      <c r="Y131" s="11717" t="n"/>
      <c r="Z131" s="11717" t="n"/>
      <c r="AA131" s="11717" t="n"/>
      <c r="AB131" s="11717" t="n"/>
      <c r="AC131" s="11717" t="n"/>
      <c r="AD131" s="11717" t="n"/>
      <c r="AE131" s="11717" t="n"/>
      <c r="AF131" s="11717" t="n"/>
      <c r="AG131" s="11717" t="n"/>
      <c r="AH131" s="11718" t="n"/>
      <c r="AI131" s="10355" t="n"/>
      <c r="AJ131" s="11717" t="n"/>
      <c r="AK131" s="11717" t="n"/>
      <c r="AL131" s="11717" t="n"/>
      <c r="AM131" s="11717" t="n"/>
      <c r="AN131" s="11717" t="n"/>
      <c r="AO131" s="11717" t="n"/>
      <c r="AP131" s="1681" t="n"/>
      <c r="BD131" s="1684" t="n"/>
      <c r="BE131" s="1684" t="n"/>
      <c r="BF131" s="1684" t="n"/>
      <c r="BG131" s="1684" t="n"/>
      <c r="BH131" s="1684" t="n"/>
      <c r="BI131" s="1684" t="n"/>
      <c r="BJ131" s="1684" t="n"/>
      <c r="BK131" s="1684" t="n"/>
      <c r="BL131" s="1684" t="n"/>
      <c r="BM131" s="1684" t="n"/>
      <c r="BN131" s="1684" t="n"/>
    </row>
    <row r="132" ht="18" customHeight="1" s="7635">
      <c r="A132" s="1681" t="n"/>
      <c r="B132" s="1777" t="n"/>
      <c r="C132" s="1744" t="n"/>
      <c r="D132" s="475" t="n"/>
      <c r="E132" s="475" t="n"/>
      <c r="F132" s="475" t="n"/>
      <c r="G132" s="475" t="n"/>
      <c r="H132" s="475" t="n"/>
      <c r="I132" s="475" t="n"/>
      <c r="J132" s="475" t="n"/>
      <c r="K132" s="475" t="n"/>
      <c r="L132" s="475" t="n"/>
      <c r="M132" s="475" t="n"/>
      <c r="N132" s="475" t="n"/>
      <c r="O132" s="475" t="n"/>
      <c r="P132" s="475" t="n"/>
      <c r="Q132" s="475" t="n"/>
      <c r="R132" s="475" t="n"/>
      <c r="S132" s="475" t="n"/>
      <c r="T132" s="475" t="n"/>
      <c r="U132" s="475" t="n"/>
      <c r="V132" s="475" t="n"/>
      <c r="W132" s="475" t="n"/>
      <c r="X132" s="475" t="n"/>
      <c r="Y132" s="475" t="n"/>
      <c r="Z132" s="475" t="n"/>
      <c r="AA132" s="475" t="n"/>
      <c r="AB132" s="475" t="n"/>
      <c r="AC132" s="475" t="n"/>
      <c r="AD132" s="475" t="n"/>
      <c r="AE132" s="475" t="n"/>
      <c r="AF132" s="475" t="n"/>
      <c r="AG132" s="475" t="n"/>
      <c r="AH132" s="475" t="n"/>
      <c r="AI132" s="475" t="n"/>
      <c r="AJ132" s="475" t="n"/>
      <c r="AK132" s="476" t="inlineStr">
        <is>
          <t>Form 8283</t>
        </is>
      </c>
      <c r="AL132" s="475" t="n"/>
      <c r="AM132" s="475" t="n"/>
      <c r="AN132" s="475" t="n"/>
      <c r="AO132" s="476">
        <f>AO73</f>
        <v/>
      </c>
      <c r="AP132" s="1681" t="n"/>
      <c r="BD132" s="1684" t="n"/>
      <c r="BE132" s="1684" t="n"/>
      <c r="BF132" s="1684" t="n"/>
      <c r="BG132" s="1684" t="n"/>
      <c r="BH132" s="1684" t="n"/>
      <c r="BI132" s="1684" t="n"/>
      <c r="BJ132" s="1684" t="n"/>
      <c r="BK132" s="1684" t="n"/>
      <c r="BL132" s="1684" t="n"/>
      <c r="BM132" s="1684" t="n"/>
      <c r="BN132" s="1684" t="n"/>
    </row>
    <row r="133">
      <c r="A133" s="1681" t="n"/>
      <c r="B133" s="1681" t="n"/>
      <c r="C133" s="1681" t="n"/>
      <c r="D133" s="1681" t="n"/>
      <c r="E133" s="1681" t="n"/>
      <c r="F133" s="1681" t="n"/>
      <c r="G133" s="1681" t="n"/>
      <c r="H133" s="1681" t="n"/>
      <c r="I133" s="1681" t="n"/>
      <c r="J133" s="1681" t="n"/>
      <c r="K133" s="1681" t="n"/>
      <c r="L133" s="1681" t="n"/>
      <c r="M133" s="1681" t="n"/>
      <c r="N133" s="1681" t="n"/>
      <c r="O133" s="1681" t="n"/>
      <c r="P133" s="1681" t="n"/>
      <c r="Q133" s="1681" t="n"/>
      <c r="R133" s="1681" t="n"/>
      <c r="S133" s="1681" t="n"/>
      <c r="T133" s="1681" t="n"/>
      <c r="U133" s="1681" t="n"/>
      <c r="V133" s="1681" t="n"/>
      <c r="W133" s="1681" t="n"/>
      <c r="X133" s="1681" t="n"/>
      <c r="Y133" s="1681" t="n"/>
      <c r="Z133" s="1681" t="n"/>
      <c r="AA133" s="1681" t="n"/>
      <c r="AB133" s="1681" t="n"/>
      <c r="AC133" s="1681" t="n"/>
      <c r="AD133" s="1681" t="n"/>
      <c r="AE133" s="1681" t="n"/>
      <c r="AF133" s="1681" t="n"/>
      <c r="AG133" s="1681" t="n"/>
      <c r="AH133" s="1681" t="n"/>
      <c r="AI133" s="1681" t="n"/>
      <c r="AJ133" s="1681" t="n"/>
      <c r="AK133" s="1681" t="n"/>
      <c r="AL133" s="1681" t="n"/>
      <c r="AM133" s="1681" t="n"/>
      <c r="AN133" s="1681" t="n"/>
      <c r="AO133" s="1681" t="n"/>
      <c r="AP133" s="1681" t="n"/>
      <c r="BD133" s="1684" t="n"/>
      <c r="BE133" s="1684" t="n"/>
      <c r="BF133" s="1684" t="n"/>
      <c r="BG133" s="1684" t="n"/>
      <c r="BH133" s="1684" t="n"/>
      <c r="BI133" s="1684" t="n"/>
      <c r="BJ133" s="1684" t="n"/>
      <c r="BK133" s="1684" t="n"/>
      <c r="BL133" s="1684" t="n"/>
      <c r="BM133" s="1684" t="n"/>
      <c r="BN133" s="1684" t="n"/>
    </row>
  </sheetData>
  <sheetProtection selectLockedCells="0" selectUnlockedCells="0" algorithmName="SHA-512" sheet="1" objects="1" insertRows="1" insertHyperlinks="1" autoFilter="1" scenarios="1" formatColumns="1" deleteColumns="1" insertColumns="1" pivotTables="1" deleteRows="1" formatCells="1" saltValue="zzoo2gxw4EN7s/Yy67eUDQ==" formatRows="1" sort="1" spinCount="100000" hashValue="RnqfgAazYM0twQBrrjo4FW0JHlBUBHe+P0DBDksSyRS+qyHUQ7EFqPco4eKgbe/RsLks5feDotuFdXUmZv6cow=="/>
  <mergeCells count="164">
    <mergeCell ref="AK66:AO66"/>
    <mergeCell ref="AI131:AO131"/>
    <mergeCell ref="B25:C27"/>
    <mergeCell ref="B93:C93"/>
    <mergeCell ref="AI3:AO3"/>
    <mergeCell ref="H41:L41"/>
    <mergeCell ref="P71:V71"/>
    <mergeCell ref="B86:C86"/>
    <mergeCell ref="B108:D108"/>
    <mergeCell ref="AL100:AM100"/>
    <mergeCell ref="AN100:AO100"/>
    <mergeCell ref="AH38:AO38"/>
    <mergeCell ref="B101:C101"/>
    <mergeCell ref="B111:C113"/>
    <mergeCell ref="AL101:AM101"/>
    <mergeCell ref="H70:O70"/>
    <mergeCell ref="B38:C38"/>
    <mergeCell ref="AH40:AO40"/>
    <mergeCell ref="AK61:AO64"/>
    <mergeCell ref="AI84:AO84"/>
    <mergeCell ref="B109:AO109"/>
    <mergeCell ref="AI4:AM6"/>
    <mergeCell ref="C71:G71"/>
    <mergeCell ref="AK72:AO72"/>
    <mergeCell ref="AD22:AO24"/>
    <mergeCell ref="B40:C40"/>
    <mergeCell ref="AE70:AJ70"/>
    <mergeCell ref="D61:O64"/>
    <mergeCell ref="H68:O69"/>
    <mergeCell ref="H35:L36"/>
    <mergeCell ref="P68:V69"/>
    <mergeCell ref="AK65:AO65"/>
    <mergeCell ref="W70:AD70"/>
    <mergeCell ref="P61:AJ64"/>
    <mergeCell ref="AE72:AJ72"/>
    <mergeCell ref="AD15:AO18"/>
    <mergeCell ref="AE71:AJ71"/>
    <mergeCell ref="B41:C41"/>
    <mergeCell ref="B15:D18"/>
    <mergeCell ref="AA41:AG41"/>
    <mergeCell ref="X91:AO91"/>
    <mergeCell ref="M41:S41"/>
    <mergeCell ref="H38:L38"/>
    <mergeCell ref="E15:L18"/>
    <mergeCell ref="C67:O67"/>
    <mergeCell ref="P67:AJ67"/>
    <mergeCell ref="T37:Z37"/>
    <mergeCell ref="H40:L40"/>
    <mergeCell ref="AI107:AO107"/>
    <mergeCell ref="G107:AF107"/>
    <mergeCell ref="M35:S36"/>
    <mergeCell ref="AI76:AO77"/>
    <mergeCell ref="D28:L30"/>
    <mergeCell ref="B107:F107"/>
    <mergeCell ref="P66:AJ66"/>
    <mergeCell ref="B110:AO110"/>
    <mergeCell ref="T120:AI120"/>
    <mergeCell ref="D25:L27"/>
    <mergeCell ref="T38:Z38"/>
    <mergeCell ref="AA35:AG36"/>
    <mergeCell ref="M39:S39"/>
    <mergeCell ref="C106:AO106"/>
    <mergeCell ref="V127:AO127"/>
    <mergeCell ref="B37:C37"/>
    <mergeCell ref="H72:O72"/>
    <mergeCell ref="B8:AH9"/>
    <mergeCell ref="B19:C21"/>
    <mergeCell ref="W68:AD69"/>
    <mergeCell ref="AA39:AG39"/>
    <mergeCell ref="B28:C30"/>
    <mergeCell ref="B84:C84"/>
    <mergeCell ref="C70:G70"/>
    <mergeCell ref="B47:D47"/>
    <mergeCell ref="AI85:AO85"/>
    <mergeCell ref="B127:U127"/>
    <mergeCell ref="B102:D102"/>
    <mergeCell ref="M40:S40"/>
    <mergeCell ref="B95:C95"/>
    <mergeCell ref="H71:O71"/>
    <mergeCell ref="D31:L33"/>
    <mergeCell ref="T40:Z40"/>
    <mergeCell ref="AH41:AO41"/>
    <mergeCell ref="B61:C64"/>
    <mergeCell ref="M37:S37"/>
    <mergeCell ref="D37:G37"/>
    <mergeCell ref="AE68:AJ69"/>
    <mergeCell ref="B115:AH115"/>
    <mergeCell ref="B97:C97"/>
    <mergeCell ref="B54:C54"/>
    <mergeCell ref="B14:D14"/>
    <mergeCell ref="D89:AO89"/>
    <mergeCell ref="D39:G39"/>
    <mergeCell ref="B129:U129"/>
    <mergeCell ref="AL95:AM95"/>
    <mergeCell ref="B31:C33"/>
    <mergeCell ref="B78:D78"/>
    <mergeCell ref="B56:C56"/>
    <mergeCell ref="P65:AJ65"/>
    <mergeCell ref="M15:AC18"/>
    <mergeCell ref="D38:G38"/>
    <mergeCell ref="AD31:AO33"/>
    <mergeCell ref="M38:S38"/>
    <mergeCell ref="B96:C96"/>
    <mergeCell ref="V129:AO129"/>
    <mergeCell ref="T35:Z36"/>
    <mergeCell ref="B52:C52"/>
    <mergeCell ref="C66:O66"/>
    <mergeCell ref="B131:U131"/>
    <mergeCell ref="T39:Z39"/>
    <mergeCell ref="B82:C82"/>
    <mergeCell ref="C68:G69"/>
    <mergeCell ref="AH39:AO39"/>
    <mergeCell ref="V131:AH131"/>
    <mergeCell ref="P72:V72"/>
    <mergeCell ref="AK68:AO69"/>
    <mergeCell ref="C65:O65"/>
    <mergeCell ref="AC92:AO92"/>
    <mergeCell ref="B92:C92"/>
    <mergeCell ref="C72:G72"/>
    <mergeCell ref="B85:C85"/>
    <mergeCell ref="B117:AO117"/>
    <mergeCell ref="D22:L24"/>
    <mergeCell ref="AN101:AO101"/>
    <mergeCell ref="AK67:AO67"/>
    <mergeCell ref="H4:AH4"/>
    <mergeCell ref="AH37:AO37"/>
    <mergeCell ref="D35:G36"/>
    <mergeCell ref="AK70:AO70"/>
    <mergeCell ref="T41:Z41"/>
    <mergeCell ref="AI115:AO115"/>
    <mergeCell ref="AI93:AO93"/>
    <mergeCell ref="B5:G6"/>
    <mergeCell ref="D94:AO94"/>
    <mergeCell ref="AD19:AO21"/>
    <mergeCell ref="AD28:AO30"/>
    <mergeCell ref="B22:C24"/>
    <mergeCell ref="AM82:AO82"/>
    <mergeCell ref="B76:AH77"/>
    <mergeCell ref="AD25:AO27"/>
    <mergeCell ref="B39:C39"/>
    <mergeCell ref="AK71:AO71"/>
    <mergeCell ref="B48:C48"/>
    <mergeCell ref="H39:L39"/>
    <mergeCell ref="AN95:AO95"/>
    <mergeCell ref="B118:D118"/>
    <mergeCell ref="AA38:AG38"/>
    <mergeCell ref="AN4:AO6"/>
    <mergeCell ref="G112:AF112"/>
    <mergeCell ref="D40:G40"/>
    <mergeCell ref="AL96:AM96"/>
    <mergeCell ref="AN96:AO96"/>
    <mergeCell ref="AJ112:AO112"/>
    <mergeCell ref="W72:AD72"/>
    <mergeCell ref="AA40:AG40"/>
    <mergeCell ref="D91:W91"/>
    <mergeCell ref="AA37:AG37"/>
    <mergeCell ref="H37:L37"/>
    <mergeCell ref="W71:AD71"/>
    <mergeCell ref="AI8:AO9"/>
    <mergeCell ref="D41:G41"/>
    <mergeCell ref="D19:L21"/>
    <mergeCell ref="P70:V70"/>
    <mergeCell ref="B50:C50"/>
    <mergeCell ref="AH35:AO36"/>
  </mergeCells>
  <conditionalFormatting sqref="B115 B117 AI115:AO115">
    <cfRule type="expression" priority="52" dxfId="6">
      <formula>NoColor</formula>
    </cfRule>
  </conditionalFormatting>
  <conditionalFormatting sqref="B8:AO9">
    <cfRule type="expression" priority="51" dxfId="6">
      <formula>NoColor</formula>
    </cfRule>
  </conditionalFormatting>
  <conditionalFormatting sqref="B76:AO77">
    <cfRule type="expression" priority="33" dxfId="6">
      <formula>NoColor</formula>
    </cfRule>
  </conditionalFormatting>
  <conditionalFormatting sqref="B127:AO127">
    <cfRule type="expression" priority="17" dxfId="6">
      <formula>NoColor</formula>
    </cfRule>
  </conditionalFormatting>
  <conditionalFormatting sqref="B129:AO129">
    <cfRule type="expression" priority="16" dxfId="6">
      <formula>NoColor</formula>
    </cfRule>
  </conditionalFormatting>
  <conditionalFormatting sqref="B131:AO131">
    <cfRule type="expression" priority="15" dxfId="6">
      <formula>NoColor</formula>
    </cfRule>
  </conditionalFormatting>
  <conditionalFormatting sqref="C65:P67">
    <cfRule type="expression" priority="25" dxfId="6">
      <formula>NoColor</formula>
    </cfRule>
  </conditionalFormatting>
  <conditionalFormatting sqref="C70:P72">
    <cfRule type="expression" priority="22" dxfId="6">
      <formula>NoColor</formula>
    </cfRule>
  </conditionalFormatting>
  <conditionalFormatting sqref="C106:AO106">
    <cfRule type="expression" priority="10" dxfId="6">
      <formula>NoColor</formula>
    </cfRule>
  </conditionalFormatting>
  <conditionalFormatting sqref="D91 X91">
    <cfRule type="expression" priority="39" dxfId="6">
      <formula>NoColor</formula>
    </cfRule>
  </conditionalFormatting>
  <conditionalFormatting sqref="D19:L33">
    <cfRule type="expression" priority="50" dxfId="6">
      <formula>NoColor</formula>
    </cfRule>
  </conditionalFormatting>
  <conditionalFormatting sqref="D37:AO41">
    <cfRule type="expression" priority="42" dxfId="6">
      <formula>NoColor</formula>
    </cfRule>
  </conditionalFormatting>
  <conditionalFormatting sqref="D89:AO89">
    <cfRule type="expression" priority="40" dxfId="6">
      <formula>NoColor</formula>
    </cfRule>
  </conditionalFormatting>
  <conditionalFormatting sqref="D94:AO94">
    <cfRule type="expression" priority="38" dxfId="6">
      <formula>NoColor</formula>
    </cfRule>
  </conditionalFormatting>
  <conditionalFormatting sqref="E50">
    <cfRule type="expression" priority="32" dxfId="6">
      <formula>NoColor</formula>
    </cfRule>
  </conditionalFormatting>
  <conditionalFormatting sqref="E52">
    <cfRule type="expression" priority="31" dxfId="6">
      <formula>NoColor</formula>
    </cfRule>
  </conditionalFormatting>
  <conditionalFormatting sqref="E54">
    <cfRule type="expression" priority="30" dxfId="6">
      <formula>NoColor</formula>
    </cfRule>
  </conditionalFormatting>
  <conditionalFormatting sqref="E56">
    <cfRule type="expression" priority="8" dxfId="6">
      <formula>NoColor</formula>
    </cfRule>
  </conditionalFormatting>
  <conditionalFormatting sqref="G112">
    <cfRule type="expression" priority="13" dxfId="6">
      <formula>NoColor</formula>
    </cfRule>
  </conditionalFormatting>
  <conditionalFormatting sqref="M21:AC21">
    <cfRule type="expression" priority="49" dxfId="6">
      <formula>NoColor</formula>
    </cfRule>
  </conditionalFormatting>
  <conditionalFormatting sqref="M24:AC24">
    <cfRule type="expression" priority="4" dxfId="6">
      <formula>NoColor</formula>
    </cfRule>
  </conditionalFormatting>
  <conditionalFormatting sqref="M27:AC27">
    <cfRule type="expression" priority="3" dxfId="6">
      <formula>NoColor</formula>
    </cfRule>
  </conditionalFormatting>
  <conditionalFormatting sqref="M30:AC30">
    <cfRule type="expression" priority="2" dxfId="6">
      <formula>NoColor</formula>
    </cfRule>
  </conditionalFormatting>
  <conditionalFormatting sqref="M33:AC33">
    <cfRule type="expression" priority="1" dxfId="6">
      <formula>NoColor</formula>
    </cfRule>
  </conditionalFormatting>
  <conditionalFormatting sqref="Q50">
    <cfRule type="expression" priority="29" dxfId="6">
      <formula>NoColor</formula>
    </cfRule>
  </conditionalFormatting>
  <conditionalFormatting sqref="Q52">
    <cfRule type="expression" priority="6" dxfId="6">
      <formula>NoColor</formula>
    </cfRule>
  </conditionalFormatting>
  <conditionalFormatting sqref="Q54">
    <cfRule type="expression" priority="5" dxfId="6">
      <formula>NoColor</formula>
    </cfRule>
  </conditionalFormatting>
  <conditionalFormatting sqref="Q56">
    <cfRule type="expression" priority="7" dxfId="6">
      <formula>NoColor</formula>
    </cfRule>
  </conditionalFormatting>
  <conditionalFormatting sqref="T20">
    <cfRule type="expression" priority="48" dxfId="6">
      <formula>NoColor</formula>
    </cfRule>
  </conditionalFormatting>
  <conditionalFormatting sqref="T23">
    <cfRule type="expression" priority="47" dxfId="6">
      <formula>NoColor</formula>
    </cfRule>
  </conditionalFormatting>
  <conditionalFormatting sqref="T26">
    <cfRule type="expression" priority="46" dxfId="6">
      <formula>NoColor</formula>
    </cfRule>
  </conditionalFormatting>
  <conditionalFormatting sqref="T29">
    <cfRule type="expression" priority="45" dxfId="6">
      <formula>NoColor</formula>
    </cfRule>
  </conditionalFormatting>
  <conditionalFormatting sqref="T32">
    <cfRule type="expression" priority="44" dxfId="6">
      <formula>NoColor</formula>
    </cfRule>
  </conditionalFormatting>
  <conditionalFormatting sqref="T120:AI120">
    <cfRule type="expression" priority="19" dxfId="6">
      <formula>NoColor</formula>
    </cfRule>
  </conditionalFormatting>
  <conditionalFormatting sqref="W70:AO72">
    <cfRule type="expression" priority="23" dxfId="6">
      <formula>NoColor</formula>
    </cfRule>
  </conditionalFormatting>
  <conditionalFormatting sqref="AC92:AO92">
    <cfRule type="expression" priority="37" dxfId="6">
      <formula>NoColor</formula>
    </cfRule>
  </conditionalFormatting>
  <conditionalFormatting sqref="AD19:AO33">
    <cfRule type="expression" priority="43" dxfId="6">
      <formula>NoColor</formula>
    </cfRule>
  </conditionalFormatting>
  <conditionalFormatting sqref="AE50">
    <cfRule type="expression" priority="28" dxfId="6">
      <formula>NoColor</formula>
    </cfRule>
  </conditionalFormatting>
  <conditionalFormatting sqref="AE52">
    <cfRule type="expression" priority="27" dxfId="6">
      <formula>NoColor</formula>
    </cfRule>
  </conditionalFormatting>
  <conditionalFormatting sqref="AE54">
    <cfRule type="expression" priority="26" dxfId="6">
      <formula>NoColor</formula>
    </cfRule>
  </conditionalFormatting>
  <conditionalFormatting sqref="AE105:AO105">
    <cfRule type="expression" priority="20" dxfId="6">
      <formula>NoColor</formula>
    </cfRule>
  </conditionalFormatting>
  <conditionalFormatting sqref="AH124">
    <cfRule type="expression" priority="18" dxfId="6">
      <formula>NoColor</formula>
    </cfRule>
  </conditionalFormatting>
  <conditionalFormatting sqref="AI8:AO9">
    <cfRule type="expression" priority="12" dxfId="46">
      <formula>NoSSN</formula>
    </cfRule>
    <cfRule type="expression" priority="11" dxfId="20">
      <formula>AND(NoSSN,NoColor)</formula>
    </cfRule>
  </conditionalFormatting>
  <conditionalFormatting sqref="AI84:AO85">
    <cfRule type="expression" priority="41" dxfId="6">
      <formula>NoColor</formula>
    </cfRule>
  </conditionalFormatting>
  <conditionalFormatting sqref="AI93:AO93">
    <cfRule type="expression" priority="36" dxfId="6">
      <formula>NoColor</formula>
    </cfRule>
  </conditionalFormatting>
  <conditionalFormatting sqref="AI107:AO107">
    <cfRule type="expression" priority="9" dxfId="6">
      <formula>NoColor</formula>
    </cfRule>
  </conditionalFormatting>
  <conditionalFormatting sqref="AJ112">
    <cfRule type="expression" priority="21" dxfId="6">
      <formula>NoColor</formula>
    </cfRule>
  </conditionalFormatting>
  <conditionalFormatting sqref="AK65:AK67">
    <cfRule type="expression" priority="24" dxfId="6">
      <formula>NoColor</formula>
    </cfRule>
  </conditionalFormatting>
  <conditionalFormatting sqref="AL96:AO96">
    <cfRule type="expression" priority="35" dxfId="6">
      <formula>NoColor</formula>
    </cfRule>
  </conditionalFormatting>
  <conditionalFormatting sqref="AL100:AO101">
    <cfRule type="expression" priority="34" dxfId="6">
      <formula>NoColor</formula>
    </cfRule>
  </conditionalFormatting>
  <conditionalFormatting sqref="AM124">
    <cfRule type="expression" priority="14" dxfId="6">
      <formula>NoColor</formula>
    </cfRule>
  </conditionalFormatting>
  <pageMargins left="0.75" right="0.25" top="0.36" bottom="0.29" header="0.36" footer="0.21"/>
  <pageSetup orientation="portrait" scale="76" fitToHeight="0"/>
  <rowBreaks count="1" manualBreakCount="1">
    <brk id="73" min="1" max="40" man="1"/>
  </rowBreaks>
</worksheet>
</file>

<file path=xl/worksheets/sheet47.xml><?xml version="1.0" encoding="utf-8"?>
<worksheet xmlns="http://schemas.openxmlformats.org/spreadsheetml/2006/main">
  <sheetPr>
    <outlinePr summaryBelow="1" summaryRight="1"/>
    <pageSetUpPr fitToPage="1"/>
  </sheetPr>
  <dimension ref="A1:BJ142"/>
  <sheetViews>
    <sheetView zoomScaleNormal="100" zoomScaleSheetLayoutView="85" workbookViewId="0">
      <selection activeCell="A1" sqref="A1"/>
    </sheetView>
  </sheetViews>
  <sheetFormatPr baseColWidth="8" defaultColWidth="9.140625" defaultRowHeight="12.75"/>
  <cols>
    <col width="2.7109375" customWidth="1" style="7635" min="1" max="1"/>
    <col width="4.140625" customWidth="1" style="7635" min="2" max="2"/>
    <col width="7" customWidth="1" style="7453" min="3" max="3"/>
    <col width="3.140625" customWidth="1" style="7635" min="4" max="4"/>
    <col width="3.7109375" customWidth="1" style="7635" min="5" max="6"/>
    <col width="5.140625" customWidth="1" style="7635" min="7" max="7"/>
    <col width="2.7109375" customWidth="1" style="7635" min="8" max="8"/>
    <col width="3.7109375" customWidth="1" style="7635" min="9" max="9"/>
    <col width="4.5703125" customWidth="1" style="7635" min="10" max="10"/>
    <col width="5.42578125" customWidth="1" style="7635" min="11" max="11"/>
    <col width="6.42578125" customWidth="1" style="7635" min="12" max="12"/>
    <col width="4.42578125" customWidth="1" style="7635" min="13" max="13"/>
    <col width="5.140625" customWidth="1" style="7635" min="14" max="21"/>
    <col width="4.42578125" customWidth="1" style="7635" min="22" max="22"/>
    <col width="4.5703125" customWidth="1" style="7635" min="23" max="23"/>
    <col width="2.140625" customWidth="1" style="7635" min="24" max="24"/>
    <col width="4.140625" customWidth="1" style="7635" min="25" max="28"/>
    <col width="2.5703125" customWidth="1" style="7635" min="29" max="29"/>
    <col width="4.7109375" customWidth="1" style="7635" min="30" max="30"/>
    <col width="3.5703125" customWidth="1" style="7635" min="31" max="31"/>
    <col width="5.140625" customWidth="1" style="7635" min="32" max="32"/>
    <col width="3.5703125" customWidth="1" style="7635" min="33" max="36"/>
    <col width="2.85546875" customWidth="1" style="7635" min="38" max="38"/>
    <col width="14.42578125" customWidth="1" style="7635" min="39" max="39"/>
    <col width="3.28515625" customWidth="1" style="7635" min="40" max="40"/>
    <col hidden="1" width="11.7109375" customWidth="1" style="1224" min="41" max="41"/>
    <col width="3.85546875" customWidth="1" style="1224" min="42" max="42"/>
    <col width="2.28515625" customWidth="1" style="7635" min="43" max="44"/>
    <col width="41.28515625" customWidth="1" style="7635" min="45" max="45"/>
    <col width="15.7109375" customWidth="1" style="7635" min="46" max="47"/>
    <col width="5.85546875" customWidth="1" style="7635" min="48" max="48"/>
    <col width="3.7109375" customWidth="1" style="7635" min="49" max="49"/>
    <col width="13.28515625" customWidth="1" style="12013" min="50" max="50"/>
    <col width="10.7109375" customWidth="1" style="658" min="51" max="58"/>
    <col width="4.140625" customWidth="1" style="658" min="59" max="59"/>
    <col width="10" customWidth="1" style="7635" min="62" max="62"/>
    <col width="9.140625" customWidth="1" style="7635" min="67" max="67"/>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602" t="n"/>
      <c r="AM1" s="11602" t="n"/>
      <c r="AN1" s="11602" t="n"/>
      <c r="AO1" s="724" t="n"/>
      <c r="AP1" s="724" t="n"/>
      <c r="AQ1" s="11602" t="n"/>
      <c r="AR1" s="11602" t="n"/>
      <c r="AS1" s="11602" t="n"/>
      <c r="AT1" s="11602" t="n"/>
      <c r="AU1" s="11602" t="n"/>
      <c r="AV1" s="11602" t="n"/>
      <c r="AW1" s="11602" t="n"/>
    </row>
    <row r="2" ht="17.25" customFormat="1" customHeight="1" s="815">
      <c r="A2" s="2013" t="n"/>
      <c r="B2" s="11602" t="n"/>
      <c r="C2" s="6996" t="n"/>
      <c r="D2" s="10668" t="n">
        <v>8582</v>
      </c>
      <c r="H2" s="9671" t="n"/>
      <c r="I2" s="10649" t="inlineStr">
        <is>
          <t>Passive Activity Loss Limitations</t>
        </is>
      </c>
      <c r="AB2" s="9671" t="n"/>
      <c r="AC2" s="10231" t="inlineStr">
        <is>
          <t>OMB No. 1545-1008</t>
        </is>
      </c>
      <c r="AD2" s="7637" t="n"/>
      <c r="AE2" s="7637" t="n"/>
      <c r="AF2" s="7637" t="n"/>
      <c r="AG2" s="7637" t="n"/>
      <c r="AH2" s="7637" t="n"/>
      <c r="AI2" s="7637" t="n"/>
      <c r="AJ2" s="7637" t="n"/>
      <c r="AK2" s="2013" t="n"/>
      <c r="AL2" s="11602" t="n"/>
      <c r="AM2" s="11602" t="n"/>
      <c r="AN2" s="11602" t="n"/>
      <c r="AO2" s="724" t="n"/>
      <c r="AP2" s="724" t="n"/>
      <c r="AQ2" s="11602" t="n"/>
      <c r="AR2" s="11602" t="n"/>
      <c r="AS2" s="11602" t="n"/>
      <c r="AT2" s="11602" t="n"/>
      <c r="AU2" s="11602" t="n"/>
      <c r="AV2" s="11602" t="n"/>
      <c r="AW2" s="11602" t="n"/>
      <c r="AX2" s="12013" t="n"/>
      <c r="AY2" s="658" t="n"/>
      <c r="AZ2" s="658" t="n"/>
      <c r="BA2" s="658" t="n"/>
      <c r="BB2" s="658" t="n"/>
      <c r="BC2" s="658" t="n"/>
      <c r="BD2" s="658" t="n"/>
      <c r="BE2" s="658" t="n"/>
      <c r="BF2" s="658" t="n"/>
      <c r="BG2" s="658" t="n"/>
    </row>
    <row r="3" ht="24" customFormat="1" customHeight="1" s="815">
      <c r="A3" s="2013" t="n"/>
      <c r="B3" s="9886" t="inlineStr">
        <is>
          <t>Form</t>
        </is>
      </c>
      <c r="H3" s="9671" t="n"/>
      <c r="I3" s="9670" t="n"/>
      <c r="AB3" s="9671" t="n"/>
      <c r="AC3" s="10651">
        <f>TaxYear</f>
        <v/>
      </c>
      <c r="AD3" s="7839" t="n"/>
      <c r="AE3" s="7839" t="n"/>
      <c r="AF3" s="7839" t="n"/>
      <c r="AG3" s="7839" t="n"/>
      <c r="AH3" s="7839" t="n"/>
      <c r="AI3" s="7839" t="n"/>
      <c r="AJ3" s="7839" t="n"/>
      <c r="AK3" s="2013" t="n"/>
      <c r="AL3" s="11602" t="n"/>
      <c r="AM3" s="11602" t="n"/>
      <c r="AN3" s="11602" t="n"/>
      <c r="AO3" s="724" t="n"/>
      <c r="AP3" s="724" t="n"/>
      <c r="AQ3" s="11602" t="n"/>
      <c r="AR3" s="11602" t="n"/>
      <c r="AS3" s="11602" t="n"/>
      <c r="AT3" s="11602" t="n"/>
      <c r="AU3" s="11602" t="n"/>
      <c r="AV3" s="11602" t="n"/>
      <c r="AW3" s="11602" t="n"/>
      <c r="AX3" s="12013" t="n"/>
      <c r="AY3" s="658" t="n"/>
      <c r="AZ3" s="658" t="n"/>
      <c r="BA3" s="658" t="n"/>
      <c r="BB3" s="658" t="n"/>
      <c r="BC3" s="658" t="n"/>
      <c r="BD3" s="658" t="n"/>
      <c r="BE3" s="658" t="n"/>
      <c r="BF3" s="658" t="n"/>
      <c r="BG3" s="658" t="n"/>
    </row>
    <row r="4" ht="12" customFormat="1" customHeight="1" s="815">
      <c r="A4" s="2013" t="n"/>
      <c r="B4" s="11602" t="n"/>
      <c r="C4" s="6996" t="n"/>
      <c r="D4" s="11602" t="n"/>
      <c r="E4" s="11602" t="n"/>
      <c r="F4" s="11602" t="n"/>
      <c r="G4" s="11602" t="n"/>
      <c r="H4" s="719" t="n"/>
      <c r="I4" s="12619" t="inlineStr">
        <is>
          <t>See separate instructions.</t>
        </is>
      </c>
      <c r="AB4" s="9671" t="n"/>
      <c r="AK4" s="2013" t="n"/>
      <c r="AL4" s="7886" t="inlineStr">
        <is>
          <t>This Form 8582 is for:</t>
        </is>
      </c>
      <c r="AM4" s="11602" t="n"/>
      <c r="AN4" s="11602" t="n"/>
      <c r="AO4" s="724" t="n"/>
      <c r="AP4" s="724" t="n"/>
      <c r="AQ4" s="11602" t="n"/>
      <c r="AR4" s="11602" t="n"/>
      <c r="AS4" s="11602" t="n"/>
      <c r="AT4" s="11602" t="n"/>
      <c r="AU4" s="11602" t="n"/>
      <c r="AV4" s="11602" t="n"/>
      <c r="AW4" s="11602" t="n"/>
      <c r="AX4" s="12013" t="n"/>
      <c r="AY4" s="658" t="n"/>
      <c r="AZ4" s="658" t="n"/>
      <c r="BA4" s="658" t="n"/>
      <c r="BB4" s="658" t="n"/>
      <c r="BC4" s="658" t="n"/>
      <c r="BD4" s="658" t="n"/>
      <c r="BE4" s="658" t="n"/>
      <c r="BF4" s="658" t="n"/>
      <c r="BG4" s="658" t="n"/>
    </row>
    <row r="5" ht="12.75" customFormat="1" customHeight="1" s="815" thickBot="1">
      <c r="A5" s="2013" t="n"/>
      <c r="B5" s="11602" t="inlineStr">
        <is>
          <t>Department of the Treasury</t>
        </is>
      </c>
      <c r="C5" s="6996" t="n"/>
      <c r="D5" s="11602" t="n"/>
      <c r="E5" s="11602" t="n"/>
      <c r="F5" s="11602" t="n"/>
      <c r="G5" s="11602" t="n"/>
      <c r="H5" s="719" t="n"/>
      <c r="I5" s="12619" t="inlineStr">
        <is>
          <t>Attach for Form 1040, 1040-SR, or 1041.</t>
        </is>
      </c>
      <c r="AB5" s="9671" t="n"/>
      <c r="AC5" s="11602" t="n"/>
      <c r="AD5" s="9237" t="inlineStr">
        <is>
          <t xml:space="preserve">   Attachment</t>
        </is>
      </c>
      <c r="AH5" s="10654" t="n">
        <v>858</v>
      </c>
      <c r="AJ5" s="11602" t="n"/>
      <c r="AK5" s="2013" t="n"/>
      <c r="AL5" s="7886" t="inlineStr">
        <is>
          <t>(Check both for 'Both')</t>
        </is>
      </c>
      <c r="AM5" s="11602" t="n"/>
      <c r="AN5" s="11602" t="n"/>
      <c r="AO5" s="724" t="n"/>
      <c r="AP5" s="724" t="n"/>
      <c r="AQ5" s="11602" t="n"/>
      <c r="AR5" s="11602" t="n"/>
      <c r="AS5" s="11602" t="n"/>
      <c r="AT5" s="11602" t="n"/>
      <c r="AU5" s="11602" t="n"/>
      <c r="AV5" s="11602" t="n"/>
      <c r="AW5" s="11602" t="n"/>
      <c r="AX5" s="12013" t="n"/>
      <c r="AY5" s="658" t="n"/>
      <c r="AZ5" s="658" t="n"/>
      <c r="BA5" s="658" t="n"/>
      <c r="BB5" s="658" t="n"/>
      <c r="BC5" s="658" t="n"/>
      <c r="BD5" s="658" t="n"/>
      <c r="BE5" s="658" t="n"/>
      <c r="BF5" s="658" t="n"/>
      <c r="BG5" s="658" t="n"/>
    </row>
    <row r="6" ht="18" customFormat="1" customHeight="1" s="815" thickBot="1">
      <c r="A6" s="2013" t="n"/>
      <c r="B6" s="981" t="inlineStr">
        <is>
          <t>Internal Revenue Service</t>
        </is>
      </c>
      <c r="C6" s="4225" t="n"/>
      <c r="D6" s="380" t="n"/>
      <c r="E6" s="380" t="n"/>
      <c r="F6" s="380" t="n"/>
      <c r="G6" s="380" t="n"/>
      <c r="H6" s="4469" t="n"/>
      <c r="I6" s="10655" t="inlineStr">
        <is>
          <t>Go to www.irs.gov/Form8582 for instructions and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12620" t="n"/>
      <c r="AC6" s="498" t="n"/>
      <c r="AD6" s="10657" t="inlineStr">
        <is>
          <t xml:space="preserve">Sequence No.  </t>
        </is>
      </c>
      <c r="AE6" s="8848" t="n"/>
      <c r="AF6" s="8848" t="n"/>
      <c r="AG6" s="8848" t="n"/>
      <c r="AH6" s="8848" t="n"/>
      <c r="AI6" s="8848" t="n"/>
      <c r="AJ6" s="380" t="n"/>
      <c r="AK6" s="2013" t="n"/>
      <c r="AL6" s="277" t="inlineStr">
        <is>
          <t>x</t>
        </is>
      </c>
      <c r="AM6" s="344" t="inlineStr">
        <is>
          <t>You</t>
        </is>
      </c>
      <c r="AN6" s="11602" t="n"/>
      <c r="AO6" s="724" t="n"/>
      <c r="AP6" s="724" t="n"/>
      <c r="AQ6" s="405" t="n"/>
      <c r="AR6" s="406" t="n"/>
      <c r="AS6" s="406" t="n"/>
      <c r="AT6" s="406" t="n"/>
      <c r="AU6" s="406" t="n"/>
      <c r="AV6" s="4968" t="n"/>
      <c r="AW6" s="11602" t="n"/>
      <c r="AX6" s="12013" t="n"/>
      <c r="AY6" s="658" t="n"/>
      <c r="AZ6" s="658" t="n"/>
      <c r="BA6" s="658" t="n"/>
      <c r="BB6" s="658" t="n"/>
      <c r="BC6" s="658" t="n"/>
      <c r="BD6" s="658" t="n"/>
      <c r="BE6" s="658" t="n"/>
      <c r="BF6" s="658" t="n"/>
      <c r="BG6" s="658" t="n"/>
    </row>
    <row r="7" ht="16.5" customFormat="1" customHeight="1" s="815" thickBot="1">
      <c r="A7" s="2013" t="n"/>
      <c r="B7" s="339" t="inlineStr">
        <is>
          <t>Names(s) shown on return</t>
        </is>
      </c>
      <c r="C7" s="4470" t="n"/>
      <c r="D7" s="339" t="n"/>
      <c r="E7" s="339" t="n"/>
      <c r="F7" s="339" t="n"/>
      <c r="G7" s="339" t="n"/>
      <c r="H7" s="339" t="n"/>
      <c r="I7" s="339" t="n"/>
      <c r="J7" s="339" t="n"/>
      <c r="K7" s="339" t="n"/>
      <c r="L7" s="339" t="n"/>
      <c r="M7" s="339" t="n"/>
      <c r="N7" s="339" t="n"/>
      <c r="O7" s="339" t="n"/>
      <c r="P7" s="339" t="n"/>
      <c r="Q7" s="339" t="n"/>
      <c r="R7" s="339" t="n"/>
      <c r="S7" s="339" t="n"/>
      <c r="T7" s="339" t="n"/>
      <c r="U7" s="339" t="n"/>
      <c r="V7" s="339" t="n"/>
      <c r="W7" s="339" t="n"/>
      <c r="X7" s="339" t="n"/>
      <c r="Y7" s="2913" t="inlineStr">
        <is>
          <t>Identifying number</t>
        </is>
      </c>
      <c r="Z7" s="377" t="n"/>
      <c r="AA7" s="377" t="n"/>
      <c r="AB7" s="377" t="n"/>
      <c r="AC7" s="408" t="n"/>
      <c r="AD7" s="2019" t="n"/>
      <c r="AE7" s="2019" t="n"/>
      <c r="AF7" s="2019" t="n"/>
      <c r="AG7" s="2019" t="n"/>
      <c r="AH7" s="2019" t="n"/>
      <c r="AI7" s="2019" t="n"/>
      <c r="AJ7" s="2019" t="n"/>
      <c r="AK7" s="2013" t="n"/>
      <c r="AL7" s="277" t="n"/>
      <c r="AM7" s="344" t="inlineStr">
        <is>
          <t>Spouse</t>
        </is>
      </c>
      <c r="AN7" s="11602" t="n"/>
      <c r="AO7" s="724" t="n"/>
      <c r="AP7" s="724" t="n"/>
      <c r="AQ7" s="408" t="n"/>
      <c r="AR7" s="11602" t="n"/>
      <c r="AS7" s="4969" t="inlineStr">
        <is>
          <t>Form 8582 - Modified Adjusted Gross Income Worksheet - Line 6</t>
        </is>
      </c>
      <c r="AT7" s="4969" t="n"/>
      <c r="AU7" s="11602" t="n"/>
      <c r="AV7" s="409" t="n"/>
      <c r="AW7" s="11602" t="n"/>
      <c r="AX7" s="12013" t="n"/>
      <c r="AY7" s="658" t="n"/>
      <c r="AZ7" s="658" t="n"/>
      <c r="BA7" s="658" t="n"/>
      <c r="BB7" s="658" t="n"/>
      <c r="BC7" s="658" t="n"/>
      <c r="BD7" s="658" t="n"/>
      <c r="BE7" s="658" t="n"/>
      <c r="BF7" s="658" t="n"/>
      <c r="BG7" s="658" t="n"/>
    </row>
    <row r="8" ht="25.5" customFormat="1" customHeight="1" s="815">
      <c r="A8" s="2013" t="n"/>
      <c r="B8" s="10699">
        <f>IF(AND(AL6&lt;&gt;"",AL7&lt;&gt;""),Names,IF(AL7&lt;&gt;"",NameSpouse,IF(AL6&lt;&gt;"",NameYours,"")))</f>
        <v/>
      </c>
      <c r="C8" s="7637" t="n"/>
      <c r="D8" s="7637" t="n"/>
      <c r="E8" s="7637" t="n"/>
      <c r="F8" s="7637" t="n"/>
      <c r="G8" s="7637" t="n"/>
      <c r="H8" s="7637" t="n"/>
      <c r="I8" s="7637" t="n"/>
      <c r="J8" s="7637" t="n"/>
      <c r="K8" s="7637" t="n"/>
      <c r="L8" s="7637" t="n"/>
      <c r="M8" s="7637" t="n"/>
      <c r="N8" s="7637" t="n"/>
      <c r="O8" s="7637" t="n"/>
      <c r="P8" s="7637" t="n"/>
      <c r="Q8" s="7637" t="n"/>
      <c r="R8" s="7637" t="n"/>
      <c r="S8" s="7637" t="n"/>
      <c r="T8" s="7637" t="n"/>
      <c r="U8" s="7637" t="n"/>
      <c r="V8" s="7637" t="n"/>
      <c r="W8" s="7637" t="n"/>
      <c r="X8" s="7638" t="n"/>
      <c r="Y8" s="12621">
        <f>IF(AND(NOT(NoSSN),SS_Yours&lt;&gt;"",OR(AL6&lt;&gt;"",AND(AL6&lt;&gt;"",AL7&lt;&gt;""))),SS_Yours,IF(AND(NOT(NoSSN),SS_Spouse&lt;&gt;"",AL7&lt;&gt;""),SS_Spouse,""))</f>
        <v/>
      </c>
      <c r="Z8" s="11717" t="n"/>
      <c r="AA8" s="11717" t="n"/>
      <c r="AB8" s="11717" t="n"/>
      <c r="AC8" s="11717" t="n"/>
      <c r="AD8" s="11717" t="n"/>
      <c r="AE8" s="11717" t="n"/>
      <c r="AF8" s="11717" t="n"/>
      <c r="AG8" s="11717" t="n"/>
      <c r="AH8" s="11717" t="n"/>
      <c r="AI8" s="11717" t="n"/>
      <c r="AJ8" s="11717" t="n"/>
      <c r="AK8" s="2013" t="n"/>
      <c r="AL8" s="11602" t="n"/>
      <c r="AM8" s="512" t="n"/>
      <c r="AN8" s="11602" t="n"/>
      <c r="AO8" s="724" t="n"/>
      <c r="AP8" s="724" t="n"/>
      <c r="AQ8" s="408" t="n"/>
      <c r="AR8" s="11602" t="n"/>
      <c r="AS8" s="11602" t="n"/>
      <c r="AT8" s="11602" t="n"/>
      <c r="AU8" s="11602" t="n"/>
      <c r="AV8" s="409" t="n"/>
      <c r="AW8" s="11602" t="n"/>
      <c r="AX8" s="12013" t="n"/>
      <c r="AY8" s="658" t="n"/>
      <c r="AZ8" s="658" t="n"/>
      <c r="BA8" s="658" t="n"/>
      <c r="BB8" s="658" t="n"/>
      <c r="BC8" s="658" t="n"/>
      <c r="BD8" s="658" t="n"/>
      <c r="BE8" s="658" t="n"/>
      <c r="BF8" s="658" t="n"/>
      <c r="BG8" s="658" t="n"/>
    </row>
    <row r="9" ht="19.5" customFormat="1" customHeight="1" s="815">
      <c r="A9" s="2013" t="n"/>
      <c r="B9" s="7938" t="inlineStr">
        <is>
          <t>Part I</t>
        </is>
      </c>
      <c r="C9" s="8412" t="n"/>
      <c r="D9" s="4472" t="n"/>
      <c r="E9" s="10664">
        <f>TaxYear&amp;" Passive Activity Loss"</f>
        <v/>
      </c>
      <c r="F9" s="7839" t="n"/>
      <c r="G9" s="7839" t="n"/>
      <c r="H9" s="7839" t="n"/>
      <c r="I9" s="7839" t="n"/>
      <c r="J9" s="7839" t="n"/>
      <c r="K9" s="7839" t="n"/>
      <c r="L9" s="7839" t="n"/>
      <c r="M9" s="7839" t="n"/>
      <c r="N9" s="7839" t="n"/>
      <c r="O9" s="7839" t="n"/>
      <c r="P9" s="7839" t="n"/>
      <c r="Q9" s="7839" t="n"/>
      <c r="R9" s="7839" t="n"/>
      <c r="S9" s="7839" t="n"/>
      <c r="T9" s="7839" t="n"/>
      <c r="U9" s="7839" t="n"/>
      <c r="V9" s="7839" t="n"/>
      <c r="W9" s="7839" t="n"/>
      <c r="X9" s="7839" t="n"/>
      <c r="Y9" s="7839" t="n"/>
      <c r="Z9" s="7839" t="n"/>
      <c r="AA9" s="7839" t="n"/>
      <c r="AB9" s="7839" t="n"/>
      <c r="AC9" s="7839" t="n"/>
      <c r="AD9" s="7839" t="n"/>
      <c r="AE9" s="7839" t="n"/>
      <c r="AF9" s="7839" t="n"/>
      <c r="AG9" s="7839" t="n"/>
      <c r="AH9" s="7839" t="n"/>
      <c r="AI9" s="7839" t="n"/>
      <c r="AJ9" s="7839" t="n"/>
      <c r="AK9" s="2013" t="n"/>
      <c r="AL9" s="11602" t="n"/>
      <c r="AM9" s="11602" t="n"/>
      <c r="AN9" s="11602" t="n"/>
      <c r="AO9" s="724" t="n"/>
      <c r="AP9" s="724" t="n"/>
      <c r="AQ9" s="408" t="n"/>
      <c r="AR9" s="11602" t="n"/>
      <c r="AS9" s="344" t="inlineStr">
        <is>
          <t>1. Adjusted Gross Income (1040, line 11)</t>
        </is>
      </c>
      <c r="AT9" s="344" t="n"/>
      <c r="AU9" s="1644">
        <f>IF(NOT(AO32),"",Adj_Gross_Inc)</f>
        <v/>
      </c>
      <c r="AV9" s="409" t="n"/>
      <c r="AW9" s="11602" t="n"/>
      <c r="AX9" s="12013" t="n"/>
      <c r="AY9" s="1114" t="n"/>
      <c r="AZ9" s="658" t="n"/>
      <c r="BA9" s="658" t="n"/>
      <c r="BB9" s="658" t="n"/>
      <c r="BC9" s="658" t="n"/>
      <c r="BD9" s="658" t="n"/>
      <c r="BE9" s="658" t="n"/>
      <c r="BF9" s="658" t="n"/>
      <c r="BG9" s="658" t="n"/>
    </row>
    <row r="10" ht="16.5" customFormat="1" customHeight="1" s="815">
      <c r="A10" s="2013" t="n"/>
      <c r="B10" s="413" t="n"/>
      <c r="C10" s="7601" t="n"/>
      <c r="D10" s="413" t="n"/>
      <c r="E10" s="4937" t="inlineStr">
        <is>
          <t>Caution: Complete Parts IV and V before completing Part I.</t>
        </is>
      </c>
      <c r="F10" s="413" t="n"/>
      <c r="G10" s="413" t="n"/>
      <c r="H10" s="413" t="n"/>
      <c r="I10" s="413" t="n"/>
      <c r="J10" s="413" t="n"/>
      <c r="K10" s="413" t="n"/>
      <c r="L10" s="413" t="n"/>
      <c r="M10" s="413" t="n"/>
      <c r="N10" s="413" t="n"/>
      <c r="O10" s="413" t="n"/>
      <c r="P10" s="413" t="n"/>
      <c r="Q10" s="413" t="n"/>
      <c r="R10" s="413" t="n"/>
      <c r="S10" s="413" t="n"/>
      <c r="T10" s="413" t="n"/>
      <c r="U10" s="413" t="n"/>
      <c r="V10" s="413" t="n"/>
      <c r="W10" s="413" t="n"/>
      <c r="X10" s="413" t="n"/>
      <c r="Y10" s="413" t="n"/>
      <c r="Z10" s="413" t="n"/>
      <c r="AA10" s="413" t="n"/>
      <c r="AB10" s="413" t="n"/>
      <c r="AC10" s="413" t="n"/>
      <c r="AD10" s="413" t="n"/>
      <c r="AE10" s="413" t="n"/>
      <c r="AF10" s="413" t="n"/>
      <c r="AG10" s="413" t="n"/>
      <c r="AH10" s="413" t="n"/>
      <c r="AI10" s="413" t="n"/>
      <c r="AJ10" s="413" t="n"/>
      <c r="AK10" s="2013" t="n"/>
      <c r="AL10" s="11602" t="n"/>
      <c r="AM10" s="11602" t="n"/>
      <c r="AN10" s="11602" t="n"/>
      <c r="AO10" s="724" t="n"/>
      <c r="AP10" s="724" t="n"/>
      <c r="AQ10" s="408" t="n"/>
      <c r="AR10" s="11602" t="n"/>
      <c r="AS10" s="4970" t="inlineStr">
        <is>
          <t>except for:</t>
        </is>
      </c>
      <c r="AT10" s="11602" t="n"/>
      <c r="AU10" s="851" t="n"/>
      <c r="AV10" s="409" t="n"/>
      <c r="AW10" s="11602" t="n"/>
      <c r="AX10" s="12013" t="n"/>
      <c r="AY10" s="1114" t="n"/>
      <c r="AZ10" s="658" t="n"/>
      <c r="BA10" s="658" t="n"/>
      <c r="BB10" s="658" t="n"/>
      <c r="BC10" s="658" t="n"/>
      <c r="BD10" s="658" t="n"/>
      <c r="BE10" s="658" t="n"/>
      <c r="BF10" s="658" t="n"/>
      <c r="BG10" s="658" t="n"/>
    </row>
    <row r="11" ht="15" customFormat="1" customHeight="1" s="815">
      <c r="A11" s="2013" t="n"/>
      <c r="B11" s="514" t="inlineStr">
        <is>
          <t>Rental Real Estate Activities With Active Participation</t>
        </is>
      </c>
      <c r="C11" s="7861" t="n"/>
      <c r="D11" s="8650" t="n"/>
      <c r="E11" s="873" t="n"/>
      <c r="F11" s="8650" t="n"/>
      <c r="G11" s="11602" t="n"/>
      <c r="H11" s="11602" t="n"/>
      <c r="I11" s="11602" t="n"/>
      <c r="J11" s="11602" t="n"/>
      <c r="K11" s="11602" t="n"/>
      <c r="L11" s="11602" t="n"/>
      <c r="M11" s="11602" t="n"/>
      <c r="N11" s="11602" t="n"/>
      <c r="O11" s="11602" t="n"/>
      <c r="P11" s="8650" t="n"/>
      <c r="Q11" s="7772" t="inlineStr">
        <is>
          <t>(For definition of active participation, see Special</t>
        </is>
      </c>
      <c r="R11" s="11602" t="n"/>
      <c r="S11" s="11602" t="n"/>
      <c r="T11" s="11602" t="n"/>
      <c r="U11" s="11602" t="n"/>
      <c r="V11" s="11602" t="n"/>
      <c r="W11" s="11602" t="n"/>
      <c r="X11" s="11602" t="n"/>
      <c r="Y11" s="11602" t="n"/>
      <c r="Z11" s="4971" t="n"/>
      <c r="AA11" s="11602" t="n"/>
      <c r="AB11" s="11602" t="n"/>
      <c r="AC11" s="11602" t="n"/>
      <c r="AD11" s="2924" t="n"/>
      <c r="AE11" s="512" t="n"/>
      <c r="AF11" s="512" t="n"/>
      <c r="AG11" s="512" t="n"/>
      <c r="AH11" s="512" t="n"/>
      <c r="AI11" s="512" t="n"/>
      <c r="AJ11" s="512" t="n"/>
      <c r="AK11" s="2013" t="n"/>
      <c r="AL11" s="11602" t="n"/>
      <c r="AM11" s="11602" t="n"/>
      <c r="AN11" s="11602" t="n"/>
      <c r="AO11" s="724" t="n"/>
      <c r="AP11" s="724" t="n"/>
      <c r="AQ11" s="410" t="n"/>
      <c r="AR11" s="11602" t="n"/>
      <c r="AS11" s="10548" t="inlineStr">
        <is>
          <t>• Passive income or loss included on Form 8582,</t>
        </is>
      </c>
      <c r="AT11" s="11602" t="n"/>
      <c r="AU11" s="851" t="n"/>
      <c r="AV11" s="409" t="n"/>
      <c r="AW11" s="11602" t="n"/>
      <c r="AX11" s="12013" t="n"/>
      <c r="AY11" s="1114" t="n"/>
      <c r="AZ11" s="658" t="n"/>
      <c r="BA11" s="658" t="n"/>
      <c r="BB11" s="658" t="n"/>
      <c r="BC11" s="658" t="n"/>
      <c r="BD11" s="658" t="n"/>
      <c r="BE11" s="658" t="n"/>
      <c r="BF11" s="658" t="n"/>
      <c r="BG11" s="658" t="n"/>
    </row>
    <row r="12" ht="18.75" customFormat="1" customHeight="1" s="1239">
      <c r="A12" s="2306" t="n"/>
      <c r="B12" s="2311" t="inlineStr">
        <is>
          <t>Allowance for Rental Real Estate Activities in the instructions.)</t>
        </is>
      </c>
      <c r="C12" s="9828" t="n"/>
      <c r="D12" s="1672" t="n"/>
      <c r="E12" s="873" t="n"/>
      <c r="F12" s="1672" t="n"/>
      <c r="G12" s="411" t="n"/>
      <c r="H12" s="411" t="n"/>
      <c r="I12" s="411" t="n"/>
      <c r="J12" s="411" t="n"/>
      <c r="K12" s="411" t="n"/>
      <c r="L12" s="411" t="n"/>
      <c r="M12" s="411" t="n"/>
      <c r="N12" s="411" t="n"/>
      <c r="O12" s="411" t="n"/>
      <c r="P12" s="411" t="n"/>
      <c r="Q12" s="411" t="n"/>
      <c r="R12" s="411" t="n"/>
      <c r="S12" s="411" t="n"/>
      <c r="T12" s="411" t="n"/>
      <c r="U12" s="411" t="n"/>
      <c r="V12" s="411" t="n"/>
      <c r="W12" s="411" t="n"/>
      <c r="X12" s="411" t="n"/>
      <c r="Y12" s="411" t="n"/>
      <c r="Z12" s="411" t="n"/>
      <c r="AA12" s="411" t="n"/>
      <c r="AB12" s="411" t="n"/>
      <c r="AC12" s="411" t="n"/>
      <c r="AD12" s="4972" t="n"/>
      <c r="AE12" s="2158" t="n"/>
      <c r="AF12" s="2158" t="n"/>
      <c r="AG12" s="2158" t="n"/>
      <c r="AH12" s="2158" t="n"/>
      <c r="AI12" s="2158" t="n"/>
      <c r="AJ12" s="2158" t="n"/>
      <c r="AK12" s="2306" t="n"/>
      <c r="AL12" s="411" t="n"/>
      <c r="AM12" s="411" t="n"/>
      <c r="AN12" s="411" t="n"/>
      <c r="AO12" s="2201" t="n"/>
      <c r="AP12" s="2201" t="n"/>
      <c r="AQ12" s="408" t="n"/>
      <c r="AR12" s="11602" t="n"/>
      <c r="AT12" s="7570">
        <f>IF(NOT(AO32),"",PassiveIncomeLoss)</f>
        <v/>
      </c>
      <c r="AU12" s="851" t="n"/>
      <c r="AV12" s="409" t="n"/>
      <c r="AW12" s="411" t="n"/>
      <c r="AX12" s="12622" t="n"/>
      <c r="AY12" s="1637" t="n"/>
      <c r="AZ12" s="665" t="n"/>
      <c r="BA12" s="665" t="n"/>
      <c r="BB12" s="665" t="n"/>
      <c r="BC12" s="665" t="n"/>
      <c r="BD12" s="665" t="n"/>
      <c r="BE12" s="665" t="n"/>
      <c r="BF12" s="665" t="n"/>
      <c r="BG12" s="665" t="n"/>
      <c r="BH12" s="9864" t="n"/>
      <c r="BI12" s="9864" t="n"/>
    </row>
    <row r="13" ht="23.25" customFormat="1" customHeight="1" s="815">
      <c r="A13" s="2013" t="n"/>
      <c r="B13" s="11602" t="n"/>
      <c r="C13" s="2917" t="inlineStr">
        <is>
          <t>1a</t>
        </is>
      </c>
      <c r="D13" s="7772" t="inlineStr">
        <is>
          <t>Activities with net income (enter the amount from Part IV, column (a))</t>
        </is>
      </c>
      <c r="E13" s="11602" t="n"/>
      <c r="F13" s="8650" t="n"/>
      <c r="G13" s="8650" t="n"/>
      <c r="H13" s="11602" t="n"/>
      <c r="I13" s="11602" t="n"/>
      <c r="J13" s="11602" t="n"/>
      <c r="K13" s="11602" t="n"/>
      <c r="L13" s="11602" t="n"/>
      <c r="M13" s="11602" t="n"/>
      <c r="N13" s="11602" t="n"/>
      <c r="O13" s="11602" t="n"/>
      <c r="P13" s="11602" t="n"/>
      <c r="Q13" s="11602" t="n"/>
      <c r="R13" s="11602" t="n"/>
      <c r="S13" s="11602" t="n"/>
      <c r="T13" s="11602" t="n"/>
      <c r="U13" s="11602" t="n"/>
      <c r="V13" s="1657" t="inlineStr">
        <is>
          <t xml:space="preserve">.   .   .   .   .   . </t>
        </is>
      </c>
      <c r="W13" s="8389" t="inlineStr">
        <is>
          <t>1a</t>
        </is>
      </c>
      <c r="X13" s="12623">
        <f>N55</f>
        <v/>
      </c>
      <c r="Y13" s="7637" t="n"/>
      <c r="Z13" s="7637" t="n"/>
      <c r="AA13" s="7637" t="n"/>
      <c r="AB13" s="7637" t="n"/>
      <c r="AC13" s="7638" t="n"/>
      <c r="AD13" s="2924" t="n"/>
      <c r="AE13" s="10556">
        <f>IF(X13="",0,X13)</f>
        <v/>
      </c>
      <c r="AK13" s="2013" t="n"/>
      <c r="AL13" s="11602" t="n"/>
      <c r="AM13" s="11602" t="n"/>
      <c r="AN13" s="11602" t="n"/>
      <c r="AO13" s="724" t="n"/>
      <c r="AP13" s="724" t="n"/>
      <c r="AQ13" s="408" t="n"/>
      <c r="AR13" s="11602" t="n"/>
      <c r="AS13" s="10548" t="inlineStr">
        <is>
          <t>• Any rental real estate loss allowed to real estate professionals</t>
        </is>
      </c>
      <c r="AT13" s="11602" t="n"/>
      <c r="AU13" s="851" t="n"/>
      <c r="AV13" s="409" t="n"/>
      <c r="AW13" s="11602" t="n"/>
      <c r="AX13" s="12013" t="n"/>
      <c r="AY13" s="658" t="n"/>
      <c r="AZ13" s="658" t="n"/>
      <c r="BA13" s="658" t="n"/>
      <c r="BB13" s="658" t="n"/>
      <c r="BC13" s="658" t="n"/>
      <c r="BD13" s="658" t="n"/>
      <c r="BE13" s="658" t="n"/>
      <c r="BF13" s="658" t="n"/>
      <c r="BG13" s="658" t="n"/>
    </row>
    <row r="14" ht="18" customFormat="1" customHeight="1" s="815">
      <c r="A14" s="2013" t="n"/>
      <c r="B14" s="11602" t="n"/>
      <c r="C14" s="4973" t="inlineStr">
        <is>
          <t xml:space="preserve"> b</t>
        </is>
      </c>
      <c r="D14" s="7772" t="inlineStr">
        <is>
          <t>Activities with net loss (enter the amount from Part IV, column (b))</t>
        </is>
      </c>
      <c r="E14" s="11602" t="n"/>
      <c r="F14" s="8650" t="n"/>
      <c r="G14" s="8650" t="n"/>
      <c r="H14" s="11602" t="n"/>
      <c r="I14" s="11602" t="n"/>
      <c r="J14" s="11602" t="n"/>
      <c r="K14" s="11602" t="n"/>
      <c r="L14" s="11602" t="n"/>
      <c r="M14" s="11602" t="n"/>
      <c r="N14" s="11602" t="n"/>
      <c r="O14" s="11602" t="n"/>
      <c r="P14" s="11602" t="n"/>
      <c r="Q14" s="11602" t="n"/>
      <c r="R14" s="11602" t="n"/>
      <c r="S14" s="11602" t="n"/>
      <c r="T14" s="11602" t="n"/>
      <c r="U14" s="11602" t="n"/>
      <c r="V14" s="1657" t="inlineStr">
        <is>
          <t xml:space="preserve">.   .   .   .   .   .   .   . </t>
        </is>
      </c>
      <c r="W14" s="8389" t="inlineStr">
        <is>
          <t>1b</t>
        </is>
      </c>
      <c r="X14" s="4974" t="inlineStr">
        <is>
          <t>(</t>
        </is>
      </c>
      <c r="Y14" s="10661">
        <f>R55</f>
        <v/>
      </c>
      <c r="Z14" s="8412" t="n"/>
      <c r="AA14" s="8412" t="n"/>
      <c r="AB14" s="8412" t="n"/>
      <c r="AC14" s="4975" t="inlineStr">
        <is>
          <t>)</t>
        </is>
      </c>
      <c r="AD14" s="2924" t="n"/>
      <c r="AE14" s="10556">
        <f>IF(Y14="",0,Y14)</f>
        <v/>
      </c>
      <c r="AK14" s="2013" t="n"/>
      <c r="AL14" s="11602" t="n"/>
      <c r="AM14" s="226" t="inlineStr">
        <is>
          <t>Manual</t>
        </is>
      </c>
      <c r="AN14" s="11602" t="n"/>
      <c r="AO14" s="724" t="n"/>
      <c r="AP14" s="724" t="n"/>
      <c r="AQ14" s="408" t="n"/>
      <c r="AR14" s="11602" t="n"/>
      <c r="AT14" s="7570" t="n"/>
      <c r="AU14" s="851" t="n"/>
      <c r="AV14" s="409" t="n"/>
      <c r="AW14" s="11602" t="n"/>
      <c r="AX14" s="12013" t="n"/>
      <c r="AY14" s="658" t="n"/>
      <c r="AZ14" s="658" t="n"/>
      <c r="BA14" s="658" t="n"/>
      <c r="BB14" s="658" t="n"/>
      <c r="BC14" s="658" t="n"/>
      <c r="BD14" s="658" t="n"/>
      <c r="BE14" s="658" t="n"/>
      <c r="BF14" s="658" t="n"/>
      <c r="BG14" s="658" t="n"/>
    </row>
    <row r="15" ht="18.75" customFormat="1" customHeight="1" s="815" thickBot="1">
      <c r="A15" s="2013" t="n"/>
      <c r="B15" s="11602" t="n"/>
      <c r="C15" s="4973" t="inlineStr">
        <is>
          <t xml:space="preserve"> c</t>
        </is>
      </c>
      <c r="D15" s="7772" t="inlineStr">
        <is>
          <t>Prior years’ unallowed losses (enter the amount from Part IV, column (c))</t>
        </is>
      </c>
      <c r="E15" s="11602" t="n"/>
      <c r="F15" s="8650" t="n"/>
      <c r="G15" s="8650" t="n"/>
      <c r="H15" s="11602" t="n"/>
      <c r="I15" s="11602" t="n"/>
      <c r="J15" s="11602" t="n"/>
      <c r="K15" s="11602" t="n"/>
      <c r="L15" s="11602" t="n"/>
      <c r="M15" s="11602" t="n"/>
      <c r="N15" s="11602" t="n"/>
      <c r="O15" s="11602" t="n"/>
      <c r="P15" s="11602" t="n"/>
      <c r="Q15" s="11602" t="n"/>
      <c r="R15" s="11602" t="n"/>
      <c r="S15" s="11602" t="n"/>
      <c r="T15" s="11602" t="n"/>
      <c r="U15" s="11602" t="n"/>
      <c r="V15" s="1657" t="inlineStr">
        <is>
          <t xml:space="preserve">.   .   .   . </t>
        </is>
      </c>
      <c r="W15" s="8389" t="inlineStr">
        <is>
          <t>1c</t>
        </is>
      </c>
      <c r="X15" s="4974" t="inlineStr">
        <is>
          <t>(</t>
        </is>
      </c>
      <c r="Y15" s="10661">
        <f>V55</f>
        <v/>
      </c>
      <c r="Z15" s="8412" t="n"/>
      <c r="AA15" s="8412" t="n"/>
      <c r="AB15" s="8412" t="n"/>
      <c r="AC15" s="4975" t="inlineStr">
        <is>
          <t>)</t>
        </is>
      </c>
      <c r="AD15" s="2924" t="n"/>
      <c r="AE15" s="10556">
        <f>IF(Y15="",0,Y15)</f>
        <v/>
      </c>
      <c r="AK15" s="2013" t="n"/>
      <c r="AL15" s="11602" t="n"/>
      <c r="AM15" s="226" t="inlineStr">
        <is>
          <t>Override ê</t>
        </is>
      </c>
      <c r="AN15" s="11602" t="n"/>
      <c r="AO15" s="724" t="n"/>
      <c r="AP15" s="724" t="n"/>
      <c r="AQ15" s="408" t="n"/>
      <c r="AR15" s="11602" t="n"/>
      <c r="AS15" s="11602" t="n"/>
      <c r="AT15" s="11602" t="n"/>
      <c r="AU15" s="11602" t="n"/>
      <c r="AV15" s="409" t="n"/>
      <c r="AW15" s="11602" t="n"/>
      <c r="AX15" s="12013" t="n"/>
      <c r="AY15" s="658" t="n"/>
      <c r="AZ15" s="658" t="n"/>
      <c r="BA15" s="658" t="n"/>
      <c r="BB15" s="658" t="n"/>
      <c r="BC15" s="658" t="n"/>
      <c r="BD15" s="658" t="n"/>
      <c r="BE15" s="658" t="n"/>
      <c r="BF15" s="658" t="n"/>
      <c r="BG15" s="658" t="n"/>
    </row>
    <row r="16" ht="16.5" customFormat="1" customHeight="1" s="815" thickBot="1">
      <c r="A16" s="2013" t="n"/>
      <c r="B16" s="413" t="n"/>
      <c r="C16" s="4976" t="inlineStr">
        <is>
          <t xml:space="preserve"> d</t>
        </is>
      </c>
      <c r="D16" s="1998" t="inlineStr">
        <is>
          <t>Combine lines 1a, 1b, and 1c</t>
        </is>
      </c>
      <c r="E16" s="10231" t="n"/>
      <c r="F16" s="1996" t="n"/>
      <c r="G16" s="1996" t="n"/>
      <c r="H16" s="413" t="n"/>
      <c r="I16" s="413" t="n"/>
      <c r="J16" s="413" t="n"/>
      <c r="K16" s="413" t="n"/>
      <c r="L16" s="413" t="n"/>
      <c r="M16" s="413" t="n"/>
      <c r="N16" s="413" t="n"/>
      <c r="O16" s="413" t="n"/>
      <c r="P16" s="413" t="n"/>
      <c r="Q16" s="413" t="n"/>
      <c r="R16" s="413" t="n"/>
      <c r="S16" s="413" t="n"/>
      <c r="T16" s="413" t="n"/>
      <c r="U16" s="413" t="n"/>
      <c r="V16" s="413" t="n"/>
      <c r="W16" s="413" t="n"/>
      <c r="X16" s="413" t="n"/>
      <c r="Y16" s="413" t="n"/>
      <c r="Z16" s="413" t="n"/>
      <c r="AA16" s="413" t="n"/>
      <c r="AB16" s="413" t="n"/>
      <c r="AC16" s="414" t="n"/>
      <c r="AD16" s="8389" t="inlineStr">
        <is>
          <t>1d</t>
        </is>
      </c>
      <c r="AE16" s="10662">
        <f>IF(AM16&lt;&gt;"",ROUND(AM16,0),IF(AND(X13="",Y14="",Y15=""),"",SUM(AE13,-AE14,-AE15)))</f>
        <v/>
      </c>
      <c r="AF16" s="7637" t="n"/>
      <c r="AG16" s="7637" t="n"/>
      <c r="AH16" s="7637" t="n"/>
      <c r="AI16" s="7637" t="n"/>
      <c r="AJ16" s="7637" t="n"/>
      <c r="AK16" s="2013" t="n"/>
      <c r="AL16" s="11602" t="n"/>
      <c r="AM16" s="1638" t="n"/>
      <c r="AN16" s="11602" t="n"/>
      <c r="AO16" s="2741">
        <f>AND(X13="",Y14="",Y15="")</f>
        <v/>
      </c>
      <c r="AP16" s="724" t="n"/>
      <c r="AQ16" s="408" t="n"/>
      <c r="AR16" s="11602" t="n"/>
      <c r="AS16" s="10552" t="inlineStr">
        <is>
          <t>• Any overall loss from a PTP,</t>
        </is>
      </c>
      <c r="AT16" s="7570" t="n"/>
      <c r="AU16" s="851" t="n"/>
      <c r="AV16" s="409" t="n"/>
      <c r="AW16" s="11602" t="n"/>
      <c r="AX16" s="12013" t="n"/>
      <c r="AY16" s="658" t="n"/>
      <c r="AZ16" s="658" t="n"/>
      <c r="BA16" s="658" t="n"/>
      <c r="BB16" s="658" t="n"/>
      <c r="BC16" s="658" t="n"/>
      <c r="BD16" s="658" t="n"/>
      <c r="BE16" s="658" t="n"/>
      <c r="BF16" s="658" t="n"/>
      <c r="BG16" s="658" t="n"/>
    </row>
    <row r="17" ht="24" customFormat="1" customHeight="1" s="815">
      <c r="A17" s="2013" t="n"/>
      <c r="B17" s="342" t="inlineStr">
        <is>
          <t>All Other Passive Activities</t>
        </is>
      </c>
      <c r="C17" s="4973" t="n"/>
      <c r="D17" s="8650" t="n"/>
      <c r="E17" s="873" t="n"/>
      <c r="F17" s="8650" t="n"/>
      <c r="G17" s="8650" t="n"/>
      <c r="H17" s="11602" t="n"/>
      <c r="I17" s="11602" t="n"/>
      <c r="J17" s="11602" t="n"/>
      <c r="K17" s="11602" t="n"/>
      <c r="L17" s="11602" t="n"/>
      <c r="M17" s="11602" t="n"/>
      <c r="N17" s="11602" t="n"/>
      <c r="O17" s="11602" t="n"/>
      <c r="P17" s="11602" t="n"/>
      <c r="Q17" s="11602" t="n"/>
      <c r="R17" s="11602" t="n"/>
      <c r="S17" s="11602" t="n"/>
      <c r="T17" s="11602" t="n"/>
      <c r="U17" s="11602" t="n"/>
      <c r="V17" s="11602" t="n"/>
      <c r="W17" s="11602" t="n"/>
      <c r="X17" s="11602" t="n"/>
      <c r="Y17" s="11602" t="n"/>
      <c r="Z17" s="11602" t="n"/>
      <c r="AA17" s="11602" t="n"/>
      <c r="AB17" s="11602" t="n"/>
      <c r="AC17" s="11602" t="n"/>
      <c r="AD17" s="2924" t="n"/>
      <c r="AE17" s="7887">
        <f>IF(AE16&lt;0,ABS(AE16),0)</f>
        <v/>
      </c>
      <c r="AF17" s="7839" t="n"/>
      <c r="AG17" s="7839" t="n"/>
      <c r="AH17" s="7839" t="n"/>
      <c r="AI17" s="7839" t="n"/>
      <c r="AJ17" s="7839" t="n"/>
      <c r="AK17" s="2013" t="n"/>
      <c r="AL17" s="11602" t="n"/>
      <c r="AM17" s="11602" t="n"/>
      <c r="AN17" s="11602" t="n"/>
      <c r="AO17" s="724" t="n"/>
      <c r="AP17" s="724" t="n"/>
      <c r="AQ17" s="408" t="n"/>
      <c r="AR17" s="11602" t="n"/>
      <c r="AS17" s="10552" t="inlineStr">
        <is>
          <t>• The taxable amount of social security and tier 1 railroad retirement benefits,</t>
        </is>
      </c>
      <c r="AT17" s="11602" t="n"/>
      <c r="AU17" s="851" t="n"/>
      <c r="AV17" s="4978" t="n"/>
      <c r="AW17" s="11602" t="n"/>
      <c r="AX17" s="12013" t="n"/>
      <c r="AY17" s="658" t="n"/>
      <c r="AZ17" s="658" t="n"/>
      <c r="BA17" s="658" t="n"/>
      <c r="BB17" s="658" t="n"/>
      <c r="BC17" s="658" t="n"/>
      <c r="BD17" s="658" t="n"/>
      <c r="BE17" s="658" t="n"/>
      <c r="BF17" s="658" t="n"/>
      <c r="BG17" s="658" t="n"/>
    </row>
    <row r="18" ht="18" customFormat="1" customHeight="1" s="815">
      <c r="A18" s="2013" t="n"/>
      <c r="B18" s="11602" t="n"/>
      <c r="C18" s="2917" t="inlineStr">
        <is>
          <t>2a</t>
        </is>
      </c>
      <c r="D18" s="7772" t="inlineStr">
        <is>
          <t>Activities with net income (enter the amount from Part V, column (a))</t>
        </is>
      </c>
      <c r="E18" s="11602" t="n"/>
      <c r="F18" s="8650" t="n"/>
      <c r="G18" s="8650" t="n"/>
      <c r="H18" s="11602" t="n"/>
      <c r="I18" s="11602" t="n"/>
      <c r="J18" s="11602" t="n"/>
      <c r="K18" s="11602" t="n"/>
      <c r="L18" s="11602" t="n"/>
      <c r="M18" s="11602" t="n"/>
      <c r="N18" s="11602" t="n"/>
      <c r="O18" s="11602" t="n"/>
      <c r="P18" s="11602" t="n"/>
      <c r="Q18" s="11602" t="n"/>
      <c r="R18" s="11602" t="n"/>
      <c r="S18" s="11602" t="n"/>
      <c r="T18" s="11602" t="n"/>
      <c r="U18" s="11602" t="n"/>
      <c r="V18" s="11602" t="n"/>
      <c r="W18" s="8389" t="inlineStr">
        <is>
          <t>2a</t>
        </is>
      </c>
      <c r="X18" s="12623">
        <f>N69</f>
        <v/>
      </c>
      <c r="Y18" s="7637" t="n"/>
      <c r="Z18" s="7637" t="n"/>
      <c r="AA18" s="7637" t="n"/>
      <c r="AB18" s="7637" t="n"/>
      <c r="AC18" s="7638" t="n"/>
      <c r="AD18" s="2924" t="n"/>
      <c r="AE18" s="10556">
        <f>IF(X18="",0,X18)</f>
        <v/>
      </c>
      <c r="AK18" s="2013" t="n"/>
      <c r="AL18" s="11602" t="n"/>
      <c r="AM18" s="11602" t="n"/>
      <c r="AN18" s="11602" t="n"/>
      <c r="AO18" s="724" t="n"/>
      <c r="AP18" s="724" t="n"/>
      <c r="AQ18" s="408" t="n"/>
      <c r="AR18" s="11602" t="n"/>
      <c r="AT18" s="7570">
        <f>IF(NOT(AO32),"",SocSecBenefits_Taxable)</f>
        <v/>
      </c>
      <c r="AU18" s="851" t="n"/>
      <c r="AV18" s="409" t="n"/>
      <c r="AW18" s="11602" t="n"/>
      <c r="AX18" s="12013" t="n"/>
      <c r="AY18" s="658" t="n"/>
      <c r="AZ18" s="658" t="n"/>
      <c r="BA18" s="658" t="n"/>
      <c r="BB18" s="658" t="n"/>
      <c r="BC18" s="658" t="n"/>
      <c r="BD18" s="658" t="n"/>
      <c r="BE18" s="658" t="n"/>
      <c r="BF18" s="658" t="n"/>
      <c r="BG18" s="658" t="n"/>
    </row>
    <row r="19" ht="18" customFormat="1" customHeight="1" s="815">
      <c r="A19" s="2013" t="n"/>
      <c r="B19" s="11602" t="n"/>
      <c r="C19" s="4973" t="inlineStr">
        <is>
          <t xml:space="preserve"> b</t>
        </is>
      </c>
      <c r="D19" s="7772" t="inlineStr">
        <is>
          <t>Activities with net loss (enter the amount from Part V, column (b))</t>
        </is>
      </c>
      <c r="E19" s="11602" t="n"/>
      <c r="F19" s="11602" t="n"/>
      <c r="G19" s="11602" t="n"/>
      <c r="H19" s="11602" t="n"/>
      <c r="I19" s="11602" t="n"/>
      <c r="J19" s="11602" t="n"/>
      <c r="K19" s="11602" t="n"/>
      <c r="L19" s="11602" t="n"/>
      <c r="M19" s="11602" t="n"/>
      <c r="N19" s="11602" t="n"/>
      <c r="O19" s="11602" t="n"/>
      <c r="P19" s="11602" t="n"/>
      <c r="Q19" s="11602" t="n"/>
      <c r="R19" s="11602" t="n"/>
      <c r="S19" s="11602" t="n"/>
      <c r="T19" s="11602" t="n"/>
      <c r="U19" s="11602" t="n"/>
      <c r="V19" s="11602" t="n"/>
      <c r="W19" s="8389" t="inlineStr">
        <is>
          <t>2b</t>
        </is>
      </c>
      <c r="X19" s="4974" t="inlineStr">
        <is>
          <t>(</t>
        </is>
      </c>
      <c r="Y19" s="10661">
        <f>R69</f>
        <v/>
      </c>
      <c r="Z19" s="8412" t="n"/>
      <c r="AA19" s="8412" t="n"/>
      <c r="AB19" s="8412" t="n"/>
      <c r="AC19" s="4975" t="inlineStr">
        <is>
          <t>)</t>
        </is>
      </c>
      <c r="AD19" s="2924" t="n"/>
      <c r="AE19" s="10556">
        <f>IF(Y19="",0,Y19)</f>
        <v/>
      </c>
      <c r="AK19" s="2013" t="n"/>
      <c r="AL19" s="11602" t="n"/>
      <c r="AM19" s="226" t="inlineStr">
        <is>
          <t>Manual</t>
        </is>
      </c>
      <c r="AN19" s="11602" t="n"/>
      <c r="AO19" s="724" t="n"/>
      <c r="AP19" s="724" t="n"/>
      <c r="AQ19" s="408" t="n"/>
      <c r="AR19" s="11602" t="n"/>
      <c r="AS19" s="10553" t="inlineStr">
        <is>
          <t>• Deductible contributions to traditional individual retirement accounts (IRAs) and section 501(c)(18) pension plans,</t>
        </is>
      </c>
      <c r="AT19" s="11602" t="n"/>
      <c r="AU19" s="851" t="n"/>
      <c r="AV19" s="409" t="n"/>
      <c r="AW19" s="11602" t="n"/>
      <c r="AX19" s="12013" t="n"/>
      <c r="AY19" s="658" t="n"/>
      <c r="AZ19" s="658" t="n"/>
      <c r="BA19" s="658" t="n"/>
      <c r="BB19" s="658" t="n"/>
      <c r="BC19" s="658" t="n"/>
      <c r="BD19" s="658" t="n"/>
      <c r="BE19" s="658" t="n"/>
      <c r="BF19" s="658" t="n"/>
      <c r="BG19" s="658" t="n"/>
    </row>
    <row r="20" ht="18" customFormat="1" customHeight="1" s="815" thickBot="1">
      <c r="A20" s="2013" t="n"/>
      <c r="B20" s="11602" t="n"/>
      <c r="C20" s="4973" t="inlineStr">
        <is>
          <t xml:space="preserve"> c</t>
        </is>
      </c>
      <c r="D20" s="7772" t="inlineStr">
        <is>
          <t>Prior years’ unallowed losses (enter the amount from Part IV, column (c))</t>
        </is>
      </c>
      <c r="E20" s="11602" t="n"/>
      <c r="F20" s="11602" t="n"/>
      <c r="G20" s="11602" t="n"/>
      <c r="H20" s="11602" t="n"/>
      <c r="I20" s="11602" t="n"/>
      <c r="J20" s="11602" t="n"/>
      <c r="K20" s="11602" t="n"/>
      <c r="L20" s="11602" t="n"/>
      <c r="M20" s="11602" t="n"/>
      <c r="N20" s="11602" t="n"/>
      <c r="O20" s="11602" t="n"/>
      <c r="P20" s="11602" t="n"/>
      <c r="Q20" s="11602" t="n"/>
      <c r="R20" s="11602" t="n"/>
      <c r="S20" s="11602" t="n"/>
      <c r="T20" s="11602" t="n"/>
      <c r="U20" s="11602" t="n"/>
      <c r="V20" s="11602" t="n"/>
      <c r="W20" s="8389" t="inlineStr">
        <is>
          <t>2c</t>
        </is>
      </c>
      <c r="X20" s="4974" t="inlineStr">
        <is>
          <t>(</t>
        </is>
      </c>
      <c r="Y20" s="10661">
        <f>V69</f>
        <v/>
      </c>
      <c r="Z20" s="8412" t="n"/>
      <c r="AA20" s="8412" t="n"/>
      <c r="AB20" s="8412" t="n"/>
      <c r="AC20" s="4975" t="inlineStr">
        <is>
          <t>)</t>
        </is>
      </c>
      <c r="AD20" s="2924" t="n"/>
      <c r="AE20" s="10556">
        <f>IF(Y20="",0,Y20)</f>
        <v/>
      </c>
      <c r="AK20" s="2013" t="n"/>
      <c r="AL20" s="7914" t="n"/>
      <c r="AM20" s="226" t="inlineStr">
        <is>
          <t>Override ê</t>
        </is>
      </c>
      <c r="AN20" s="11602" t="n"/>
      <c r="AO20" s="2741">
        <f>AND(Y18="",Y19="",Y20="")</f>
        <v/>
      </c>
      <c r="AP20" s="724" t="n"/>
      <c r="AQ20" s="408" t="n"/>
      <c r="AR20" s="11602" t="n"/>
      <c r="AT20" s="7570" t="n"/>
      <c r="AU20" s="851" t="n"/>
      <c r="AV20" s="4978" t="n"/>
      <c r="AW20" s="11602" t="n"/>
      <c r="AX20" s="12013" t="n"/>
      <c r="AY20" s="658" t="n"/>
      <c r="AZ20" s="658" t="n"/>
      <c r="BA20" s="658" t="n"/>
      <c r="BB20" s="658" t="n"/>
      <c r="BC20" s="658" t="n"/>
      <c r="BD20" s="658" t="n"/>
      <c r="BE20" s="658" t="n"/>
      <c r="BF20" s="658" t="n"/>
      <c r="BG20" s="658" t="n"/>
    </row>
    <row r="21" ht="16.5" customFormat="1" customHeight="1" s="815" thickBot="1">
      <c r="A21" s="2013" t="n"/>
      <c r="B21" s="413" t="n"/>
      <c r="C21" s="4976" t="inlineStr">
        <is>
          <t xml:space="preserve"> d</t>
        </is>
      </c>
      <c r="D21" s="1998" t="inlineStr">
        <is>
          <t>Combine lines 2a, 2b, and 2c</t>
        </is>
      </c>
      <c r="E21" s="10231" t="n"/>
      <c r="F21" s="1996" t="n"/>
      <c r="G21" s="1996" t="n"/>
      <c r="H21" s="413" t="n"/>
      <c r="I21" s="413" t="n"/>
      <c r="J21" s="413" t="n"/>
      <c r="K21" s="413" t="n"/>
      <c r="L21" s="413" t="n"/>
      <c r="M21" s="413" t="n"/>
      <c r="N21" s="413" t="n"/>
      <c r="O21" s="413" t="n"/>
      <c r="P21" s="413" t="n"/>
      <c r="Q21" s="413" t="n"/>
      <c r="R21" s="413" t="n"/>
      <c r="S21" s="413" t="n"/>
      <c r="T21" s="413" t="n"/>
      <c r="U21" s="413" t="n"/>
      <c r="V21" s="413" t="n"/>
      <c r="W21" s="413" t="n"/>
      <c r="X21" s="413" t="n"/>
      <c r="Y21" s="413" t="n"/>
      <c r="Z21" s="413" t="n"/>
      <c r="AA21" s="413" t="n"/>
      <c r="AB21" s="413" t="n"/>
      <c r="AC21" s="414" t="n"/>
      <c r="AD21" s="8389" t="inlineStr">
        <is>
          <t>2d</t>
        </is>
      </c>
      <c r="AE21" s="10662">
        <f>IF(AM21&lt;&gt;"",ROUND(AM21,0),IF(AND(X18="",Y19="",Y20=""),"",SUM(AE18,-AE19,-AE20)))</f>
        <v/>
      </c>
      <c r="AF21" s="7637" t="n"/>
      <c r="AG21" s="7637" t="n"/>
      <c r="AH21" s="7637" t="n"/>
      <c r="AI21" s="7637" t="n"/>
      <c r="AJ21" s="7637" t="n"/>
      <c r="AK21" s="2013" t="n"/>
      <c r="AL21" s="7914" t="n"/>
      <c r="AM21" s="1638" t="n"/>
      <c r="AN21" s="11602" t="n"/>
      <c r="AO21" s="2741">
        <f>AND(AO16,AO20)</f>
        <v/>
      </c>
      <c r="AP21" s="724" t="n"/>
      <c r="AQ21" s="408" t="n"/>
      <c r="AR21" s="11602" t="n"/>
      <c r="AS21" s="10552" t="inlineStr">
        <is>
          <t>• The deduction allowed for the deductible part of self-employment taxes,</t>
        </is>
      </c>
      <c r="AT21" s="11602" t="n"/>
      <c r="AU21" s="851" t="n"/>
      <c r="AV21" s="4978" t="n"/>
      <c r="AW21" s="11602" t="n"/>
      <c r="AX21" s="12013" t="n"/>
      <c r="AY21" s="658" t="n"/>
      <c r="AZ21" s="658" t="n"/>
      <c r="BA21" s="658" t="n"/>
      <c r="BB21" s="658" t="n"/>
      <c r="BC21" s="658" t="n"/>
      <c r="BD21" s="658" t="n"/>
      <c r="BE21" s="658" t="n"/>
      <c r="BF21" s="658" t="n"/>
      <c r="BG21" s="658" t="n"/>
    </row>
    <row r="22" ht="20.25" customFormat="1" customHeight="1" s="815" thickBot="1">
      <c r="A22" s="2013" t="n"/>
      <c r="B22" s="11602" t="n"/>
      <c r="C22" s="2917" t="inlineStr">
        <is>
          <t>3</t>
        </is>
      </c>
      <c r="D22" s="7772" t="inlineStr">
        <is>
          <t>Combine lines 1d and 2d and subtract any prior year unallowed CRD. See instructions. If this line is</t>
        </is>
      </c>
      <c r="E22" s="11602" t="n"/>
      <c r="F22" s="11602" t="n"/>
      <c r="G22" s="11602" t="n"/>
      <c r="H22" s="11602" t="n"/>
      <c r="I22" s="11602" t="n"/>
      <c r="J22" s="11602" t="n"/>
      <c r="K22" s="11602" t="n"/>
      <c r="L22" s="11602" t="n"/>
      <c r="M22" s="11602" t="n"/>
      <c r="N22" s="11602" t="n"/>
      <c r="O22" s="11602" t="n"/>
      <c r="P22" s="4979" t="n"/>
      <c r="Q22" s="11602" t="n"/>
      <c r="R22" s="7772" t="n"/>
      <c r="S22" s="7772" t="n"/>
      <c r="T22" s="11602" t="n"/>
      <c r="U22" s="11602" t="n"/>
      <c r="V22" s="11602" t="n"/>
      <c r="W22" s="11602" t="n"/>
      <c r="X22" s="11602" t="n"/>
      <c r="Y22" s="11602" t="n"/>
      <c r="Z22" s="11602" t="n"/>
      <c r="AA22" s="11602" t="n"/>
      <c r="AB22" s="11602" t="n"/>
      <c r="AC22" s="1657" t="n"/>
      <c r="AD22" s="2898" t="n"/>
      <c r="AE22" s="7887">
        <f>IF(AE21&lt;0,ABS(AE21),0)</f>
        <v/>
      </c>
      <c r="AF22" s="7839" t="n"/>
      <c r="AG22" s="7839" t="n"/>
      <c r="AH22" s="7839" t="n"/>
      <c r="AI22" s="7839" t="n"/>
      <c r="AJ22" s="7839" t="n"/>
      <c r="AK22" s="2013" t="n"/>
      <c r="AL22" s="2741" t="n"/>
      <c r="AM22" s="4980">
        <f>TaxYear-1&amp;" Unallowed CRD"</f>
        <v/>
      </c>
      <c r="AN22" s="2741" t="n"/>
      <c r="AO22" s="4981">
        <f>AND(NOT(AO21),AE24&gt;=0)</f>
        <v/>
      </c>
      <c r="AP22" s="2741" t="n"/>
      <c r="AQ22" s="408" t="n"/>
      <c r="AR22" s="711" t="n"/>
      <c r="AT22" s="7570">
        <f>IF(NOT(AO32),"",IF(AND(AL6&lt;&gt;"",AL7&lt;&gt;""),SchSE_Deduction_Both,IF(AL6&lt;&gt;"",SchSE_Deduction_You,SchSE_Deduction_Sp)))</f>
        <v/>
      </c>
      <c r="AU22" s="851" t="n"/>
      <c r="AV22" s="409" t="n"/>
      <c r="AW22" s="4982" t="n"/>
      <c r="AX22" s="12013" t="n"/>
      <c r="AY22" s="658" t="n"/>
      <c r="AZ22" s="658" t="n"/>
      <c r="BA22" s="658" t="n"/>
      <c r="BB22" s="658" t="n"/>
      <c r="BC22" s="658" t="n"/>
      <c r="BD22" s="658" t="n"/>
      <c r="BE22" s="658" t="n"/>
      <c r="BF22" s="658" t="n"/>
      <c r="BG22" s="658" t="n"/>
    </row>
    <row r="23" ht="18" customFormat="1" customHeight="1" s="815" thickBot="1">
      <c r="A23" s="2013" t="n"/>
      <c r="B23" s="11602" t="n"/>
      <c r="C23" s="11602" t="n"/>
      <c r="D23" s="2311" t="inlineStr">
        <is>
          <t>zero or more,</t>
        </is>
      </c>
      <c r="E23" s="11602" t="n"/>
      <c r="F23" s="11602" t="n"/>
      <c r="G23" s="11602" t="n"/>
      <c r="H23" s="10615">
        <f>IF(AO22,"STOP HERE,","stop here,")</f>
        <v/>
      </c>
      <c r="L23" s="2311" t="inlineStr">
        <is>
          <t xml:space="preserve">and include this form with your return; all losses are allowed, including any </t>
        </is>
      </c>
      <c r="M23" s="11602" t="n"/>
      <c r="N23" s="11602" t="n"/>
      <c r="O23" s="11602" t="n"/>
      <c r="P23" s="11602" t="n"/>
      <c r="Q23" s="11602" t="n"/>
      <c r="R23" s="11602" t="n"/>
      <c r="S23" s="11602" t="n"/>
      <c r="T23" s="11602" t="n"/>
      <c r="U23" s="11602" t="n"/>
      <c r="V23" s="11602" t="n"/>
      <c r="W23" s="11602" t="n"/>
      <c r="X23" s="11602" t="n"/>
      <c r="Y23" s="11602" t="n"/>
      <c r="Z23" s="11602" t="n"/>
      <c r="AA23" s="11602" t="n"/>
      <c r="AB23" s="11602" t="n"/>
      <c r="AC23" s="409" t="n"/>
      <c r="AD23" s="2921" t="n"/>
      <c r="AE23" s="512" t="n"/>
      <c r="AF23" s="512" t="n"/>
      <c r="AG23" s="512" t="n"/>
      <c r="AH23" s="512" t="n"/>
      <c r="AI23" s="512" t="n"/>
      <c r="AJ23" s="512" t="n"/>
      <c r="AK23" s="2013" t="n"/>
      <c r="AL23" s="7914" t="n"/>
      <c r="AM23" s="1638" t="n"/>
      <c r="AN23" s="11602" t="n"/>
      <c r="AO23" s="724" t="n"/>
      <c r="AP23" s="724" t="n"/>
      <c r="AQ23" s="408" t="n"/>
      <c r="AR23" s="711" t="n"/>
      <c r="AS23" s="7038" t="inlineStr">
        <is>
          <t>• The exclusion from income of interest from series EE and I U.S. savings bonds used to 
pay higher education expenses,</t>
        </is>
      </c>
      <c r="AT23" s="711" t="n"/>
      <c r="AU23" s="4983" t="n"/>
      <c r="AV23" s="409" t="n"/>
      <c r="AW23" s="11602" t="n"/>
      <c r="AX23" s="12013" t="n"/>
      <c r="AY23" s="658" t="n"/>
      <c r="AZ23" s="658" t="n"/>
      <c r="BA23" s="658" t="n"/>
      <c r="BB23" s="658" t="n"/>
      <c r="BC23" s="658" t="n"/>
      <c r="BD23" s="658" t="n"/>
      <c r="BE23" s="658" t="n"/>
      <c r="BF23" s="658" t="n"/>
      <c r="BG23" s="658" t="n"/>
    </row>
    <row r="24" ht="15.75" customFormat="1" customHeight="1" s="815" thickBot="1">
      <c r="A24" s="2013" t="n"/>
      <c r="B24" s="11602" t="n"/>
      <c r="C24" s="11602" t="n"/>
      <c r="D24" s="2006" t="inlineStr">
        <is>
          <t>prior year unallowed losses entered on line 1c or 2c. Report the losses on the forms and schedules normally used.</t>
        </is>
      </c>
      <c r="E24" s="11602" t="n"/>
      <c r="F24" s="11602" t="n"/>
      <c r="G24" s="11602" t="n"/>
      <c r="H24" s="11602" t="n"/>
      <c r="I24" s="11602" t="n"/>
      <c r="J24" s="11602" t="n"/>
      <c r="K24" s="11602" t="n"/>
      <c r="L24" s="11602" t="n"/>
      <c r="M24" s="11602" t="n"/>
      <c r="N24" s="11602" t="n"/>
      <c r="O24" s="11602" t="n"/>
      <c r="P24" s="11602" t="n"/>
      <c r="Q24" s="11602" t="n"/>
      <c r="R24" s="11602" t="n"/>
      <c r="S24" s="11602" t="n"/>
      <c r="T24" s="11602" t="n"/>
      <c r="U24" s="11602" t="n"/>
      <c r="V24" s="11602" t="n"/>
      <c r="W24" s="11602" t="n"/>
      <c r="X24" s="11602" t="n"/>
      <c r="Y24" s="11602" t="n"/>
      <c r="Z24" s="11602" t="n"/>
      <c r="AA24" s="11602" t="n"/>
      <c r="AB24" s="11602" t="n"/>
      <c r="AC24" s="11602" t="n"/>
      <c r="AD24" s="8389" t="n">
        <v>3</v>
      </c>
      <c r="AE24" s="10662">
        <f>IF(AM24&lt;&gt;"",ROUND(AM24,0),IF(AND(X13="",Y14="",Y15="",X18="",Y19="",Y20=""),"",SUM(AE16,AE21,-ROUND(AM23,0))))</f>
        <v/>
      </c>
      <c r="AF24" s="7637" t="n"/>
      <c r="AG24" s="7637" t="n"/>
      <c r="AH24" s="7637" t="n"/>
      <c r="AI24" s="7637" t="n"/>
      <c r="AJ24" s="7637" t="n"/>
      <c r="AK24" s="2013" t="n"/>
      <c r="AL24" s="7914" t="n"/>
      <c r="AM24" s="1638" t="n"/>
      <c r="AN24" s="11602" t="n"/>
      <c r="AO24" s="724" t="n"/>
      <c r="AP24" s="724" t="n"/>
      <c r="AQ24" s="408" t="n"/>
      <c r="AR24" s="711" t="n"/>
      <c r="AT24" s="7569" t="n"/>
      <c r="AU24" s="711" t="n"/>
      <c r="AV24" s="409" t="n"/>
      <c r="AW24" s="11602" t="n"/>
      <c r="AX24" s="12013" t="n"/>
      <c r="AY24" s="658" t="n"/>
      <c r="AZ24" s="658" t="n"/>
      <c r="BA24" s="658" t="n"/>
      <c r="BB24" s="658" t="n"/>
      <c r="BC24" s="658" t="n"/>
      <c r="BD24" s="658" t="n"/>
      <c r="BE24" s="658" t="n"/>
      <c r="BF24" s="658" t="n"/>
      <c r="BG24" s="658" t="n"/>
    </row>
    <row r="25" ht="8.25" customFormat="1" customHeight="1" s="815">
      <c r="A25" s="2013" t="n"/>
      <c r="B25" s="11602" t="n"/>
      <c r="C25" s="11602" t="n"/>
      <c r="D25" s="11602" t="n"/>
      <c r="E25" s="11602" t="n"/>
      <c r="F25" s="11602" t="n"/>
      <c r="G25" s="11602" t="n"/>
      <c r="H25" s="11602" t="n"/>
      <c r="I25" s="11602" t="n"/>
      <c r="J25" s="11602" t="n"/>
      <c r="K25" s="11602" t="n"/>
      <c r="L25" s="11602" t="n"/>
      <c r="M25" s="11602" t="n"/>
      <c r="N25" s="11602" t="n"/>
      <c r="O25" s="11602" t="n"/>
      <c r="P25" s="11602" t="n"/>
      <c r="Q25" s="11602" t="n"/>
      <c r="R25" s="11602" t="n"/>
      <c r="S25" s="11602" t="n"/>
      <c r="T25" s="11602" t="n"/>
      <c r="U25" s="11602" t="n"/>
      <c r="V25" s="11602" t="n"/>
      <c r="W25" s="11602" t="n"/>
      <c r="X25" s="11602" t="n"/>
      <c r="Y25" s="11602" t="n"/>
      <c r="Z25" s="11602" t="n"/>
      <c r="AA25" s="11602" t="n"/>
      <c r="AB25" s="11602" t="n"/>
      <c r="AC25" s="1672" t="n"/>
      <c r="AD25" s="406" t="n"/>
      <c r="AE25" s="10732">
        <f>IF(PassiveIncomeLoss&lt;0,ABS(PassiveIncomeLoss),0)</f>
        <v/>
      </c>
      <c r="AF25" s="7839" t="n"/>
      <c r="AG25" s="7839" t="n"/>
      <c r="AH25" s="7839" t="n"/>
      <c r="AI25" s="7839" t="n"/>
      <c r="AJ25" s="7839" t="n"/>
      <c r="AK25" s="2013" t="n"/>
      <c r="AL25" s="7914" t="n"/>
      <c r="AM25" s="9239" t="n"/>
      <c r="AN25" s="11602" t="n"/>
      <c r="AO25" s="724" t="n"/>
      <c r="AP25" s="724" t="n"/>
      <c r="AQ25" s="408" t="n"/>
      <c r="AR25" s="11602" t="n"/>
      <c r="AT25" s="11717" t="n"/>
      <c r="AU25" s="11602" t="n"/>
      <c r="AV25" s="409" t="inlineStr">
        <is>
          <t>`</t>
        </is>
      </c>
      <c r="AW25" s="11602" t="n"/>
      <c r="AX25" s="12013" t="n"/>
      <c r="AY25" s="658" t="n"/>
      <c r="AZ25" s="658" t="n"/>
      <c r="BA25" s="658" t="n"/>
      <c r="BB25" s="658" t="n"/>
      <c r="BC25" s="658" t="n"/>
      <c r="BD25" s="658" t="n"/>
      <c r="BE25" s="658" t="n"/>
      <c r="BF25" s="658" t="n"/>
      <c r="BG25" s="658" t="n"/>
    </row>
    <row r="26" ht="13.5" customFormat="1" customHeight="1" s="815">
      <c r="A26" s="2013" t="n"/>
      <c r="B26" s="11602" t="n"/>
      <c r="C26" s="11602" t="n"/>
      <c r="D26" s="7772" t="inlineStr">
        <is>
          <t>If line 3 is a loss and:</t>
        </is>
      </c>
      <c r="E26" s="7772" t="n"/>
      <c r="F26" s="7772" t="n"/>
      <c r="G26" s="7772" t="n"/>
      <c r="H26" s="7772" t="n"/>
      <c r="I26" s="7772" t="n"/>
      <c r="J26" s="10615" t="inlineStr">
        <is>
          <t>●</t>
        </is>
      </c>
      <c r="K26" s="7772" t="inlineStr">
        <is>
          <t>Line 1d is a loss, go to Part II.</t>
        </is>
      </c>
      <c r="L26" s="7772" t="n"/>
      <c r="M26" s="11602" t="n"/>
      <c r="N26" s="11602" t="n"/>
      <c r="O26" s="11602" t="n"/>
      <c r="P26" s="11602" t="n"/>
      <c r="Q26" s="11602" t="n"/>
      <c r="R26" s="11602" t="n"/>
      <c r="S26" s="11602" t="n"/>
      <c r="T26" s="11602" t="n"/>
      <c r="U26" s="11602" t="n"/>
      <c r="V26" s="11602" t="n"/>
      <c r="W26" s="11602" t="n"/>
      <c r="X26" s="11602" t="n"/>
      <c r="Y26" s="11602" t="n"/>
      <c r="Z26" s="11602" t="n"/>
      <c r="AA26" s="11602" t="n"/>
      <c r="AB26" s="11602" t="n"/>
      <c r="AC26" s="1672" t="n"/>
      <c r="AD26" s="11602" t="n"/>
      <c r="AK26" s="2013" t="n"/>
      <c r="AL26" s="11602" t="n"/>
      <c r="AM26" s="11602" t="n"/>
      <c r="AN26" s="7914" t="n"/>
      <c r="AO26" s="4982">
        <f>AE16&lt;0</f>
        <v/>
      </c>
      <c r="AP26" s="4982" t="n"/>
      <c r="AQ26" s="408" t="n"/>
      <c r="AR26" s="711" t="n"/>
      <c r="AS26" s="4984" t="n"/>
      <c r="AT26" s="711" t="n"/>
      <c r="AU26" s="711" t="n"/>
      <c r="AV26" s="409" t="n"/>
      <c r="AW26" s="11602" t="n"/>
      <c r="AX26" s="12013" t="n"/>
      <c r="AY26" s="658" t="n"/>
      <c r="AZ26" s="658" t="n"/>
      <c r="BA26" s="658" t="n"/>
      <c r="BB26" s="658" t="n"/>
      <c r="BC26" s="658" t="n"/>
      <c r="BD26" s="658" t="n"/>
      <c r="BE26" s="658" t="n"/>
      <c r="BF26" s="658" t="n"/>
      <c r="BG26" s="658" t="n"/>
    </row>
    <row r="27" ht="13.5" customFormat="1" customHeight="1" s="815">
      <c r="A27" s="2013" t="n"/>
      <c r="B27" s="11602" t="n"/>
      <c r="C27" s="2917" t="n"/>
      <c r="D27" s="7772" t="n"/>
      <c r="E27" s="7772" t="n"/>
      <c r="F27" s="7772" t="n"/>
      <c r="G27" s="7772" t="n"/>
      <c r="H27" s="7772" t="n"/>
      <c r="I27" s="7772" t="n"/>
      <c r="J27" s="10615" t="inlineStr">
        <is>
          <t>●</t>
        </is>
      </c>
      <c r="K27" s="7772" t="inlineStr">
        <is>
          <t>Line 2d is a loss (and line 1d is zero or more), skip Part II and go to line 10.</t>
        </is>
      </c>
      <c r="L27" s="7772" t="n"/>
      <c r="M27" s="344" t="n"/>
      <c r="N27" s="344" t="n"/>
      <c r="O27" s="344" t="n"/>
      <c r="P27" s="344" t="n"/>
      <c r="Q27" s="344" t="n"/>
      <c r="R27" s="344" t="n"/>
      <c r="S27" s="344" t="n"/>
      <c r="T27" s="344" t="n"/>
      <c r="U27" s="344" t="n"/>
      <c r="V27" s="344" t="n"/>
      <c r="W27" s="1401" t="n"/>
      <c r="X27" s="11602" t="n"/>
      <c r="Y27" s="11602" t="n"/>
      <c r="Z27" s="11602" t="n"/>
      <c r="AA27" s="11602" t="n"/>
      <c r="AB27" s="11602" t="n"/>
      <c r="AC27" s="11602" t="n"/>
      <c r="AD27" s="7914" t="n"/>
      <c r="AE27" s="10665" t="n"/>
      <c r="AF27" s="194" t="n"/>
      <c r="AG27" s="194" t="n"/>
      <c r="AH27" s="194" t="n"/>
      <c r="AI27" s="194" t="n"/>
      <c r="AJ27" s="194" t="n"/>
      <c r="AK27" s="2013" t="n"/>
      <c r="AL27" s="11602" t="n"/>
      <c r="AM27" s="11602" t="n"/>
      <c r="AN27" s="7914" t="n"/>
      <c r="AO27" s="4982">
        <f>AND(AE21&lt;0,AE16&gt;=0)</f>
        <v/>
      </c>
      <c r="AP27" s="4982" t="n"/>
      <c r="AQ27" s="408" t="n"/>
      <c r="AR27" s="11602" t="n"/>
      <c r="AS27" s="10548" t="inlineStr">
        <is>
          <t>• The exclusion of amounts received under an employer's adoption assistance program,</t>
        </is>
      </c>
      <c r="AT27" s="711" t="n"/>
      <c r="AU27" s="711" t="n"/>
      <c r="AV27" s="409" t="n"/>
      <c r="AW27" s="11602" t="n"/>
      <c r="AX27" s="12013" t="n"/>
      <c r="AY27" s="658" t="n"/>
      <c r="AZ27" s="658" t="n"/>
      <c r="BA27" s="658" t="n"/>
      <c r="BB27" s="658" t="n"/>
      <c r="BC27" s="658" t="n"/>
      <c r="BD27" s="658" t="n"/>
      <c r="BE27" s="658" t="n"/>
      <c r="BF27" s="658" t="n"/>
      <c r="BG27" s="658" t="n"/>
    </row>
    <row r="28" ht="18" customFormat="1" customHeight="1" s="815">
      <c r="A28" s="2013" t="n"/>
      <c r="B28" s="7772" t="inlineStr">
        <is>
          <t>Caution: If your filing status is married filing separately and you lived with your spouse at any time during the year, do not complete</t>
        </is>
      </c>
      <c r="C28" s="2917" t="n"/>
      <c r="D28" s="8650" t="n"/>
      <c r="E28" s="344" t="n"/>
      <c r="F28" s="344" t="n"/>
      <c r="G28" s="344" t="n"/>
      <c r="H28" s="344" t="n"/>
      <c r="I28" s="344" t="n"/>
      <c r="J28" s="344" t="n"/>
      <c r="K28" s="344" t="n"/>
      <c r="L28" s="344" t="n"/>
      <c r="M28" s="344" t="n"/>
      <c r="N28" s="344" t="n"/>
      <c r="O28" s="344" t="n"/>
      <c r="P28" s="344" t="n"/>
      <c r="Q28" s="344" t="n"/>
      <c r="R28" s="344" t="n"/>
      <c r="S28" s="344" t="n"/>
      <c r="T28" s="344" t="n"/>
      <c r="U28" s="344" t="n"/>
      <c r="V28" s="344" t="n"/>
      <c r="W28" s="11602" t="n"/>
      <c r="X28" s="11602" t="n"/>
      <c r="Y28" s="11602" t="n"/>
      <c r="Z28" s="11602" t="n"/>
      <c r="AA28" s="11602" t="n"/>
      <c r="AB28" s="11602" t="n"/>
      <c r="AC28" s="11602" t="n"/>
      <c r="AD28" s="11602" t="n"/>
      <c r="AE28" s="512" t="n"/>
      <c r="AF28" s="512" t="n"/>
      <c r="AG28" s="512" t="n"/>
      <c r="AH28" s="512" t="n"/>
      <c r="AI28" s="512" t="n"/>
      <c r="AJ28" s="512" t="n"/>
      <c r="AK28" s="2013" t="n"/>
      <c r="AL28" s="10570">
        <f>IF(AO22,"Stop here.",IF(AO28,"Do not complete",IF(AO27,"Skip Part II,",IF(AO26,"Go to Part II.",""))))</f>
        <v/>
      </c>
      <c r="AO28" s="10746">
        <f>AND(File_Marr_Sep&lt;&gt;"",NOT(LivedApart))</f>
        <v/>
      </c>
      <c r="AP28" s="1334" t="n"/>
      <c r="AQ28" s="408" t="n"/>
      <c r="AR28" s="11602" t="n"/>
      <c r="AT28" s="7570" t="n"/>
      <c r="AU28" s="11602" t="n"/>
      <c r="AV28" s="4978" t="n"/>
      <c r="AW28" s="10570" t="n"/>
      <c r="AX28" s="12013" t="n"/>
      <c r="AY28" s="658" t="n"/>
      <c r="AZ28" s="658" t="n"/>
      <c r="BA28" s="658" t="n"/>
      <c r="BB28" s="658" t="n"/>
      <c r="BC28" s="658" t="n"/>
      <c r="BD28" s="658" t="n"/>
      <c r="BE28" s="658" t="n"/>
      <c r="BF28" s="658" t="n"/>
      <c r="BG28" s="658" t="n"/>
    </row>
    <row r="29" ht="18" customFormat="1" customHeight="1" s="815">
      <c r="A29" s="2013" t="n"/>
      <c r="B29" s="2311" t="inlineStr">
        <is>
          <t>Part II. Instead, go to line 10.</t>
        </is>
      </c>
      <c r="C29" s="11216" t="n"/>
      <c r="D29" s="8650" t="n"/>
      <c r="E29" s="344" t="n"/>
      <c r="F29" s="344" t="n"/>
      <c r="G29" s="344" t="n"/>
      <c r="H29" s="344" t="n"/>
      <c r="I29" s="344" t="n"/>
      <c r="J29" s="344" t="n"/>
      <c r="K29" s="344" t="n"/>
      <c r="L29" s="344" t="n"/>
      <c r="M29" s="344" t="n"/>
      <c r="N29" s="344" t="n"/>
      <c r="O29" s="344" t="n"/>
      <c r="P29" s="344" t="n"/>
      <c r="Q29" s="344" t="n"/>
      <c r="R29" s="344" t="n"/>
      <c r="S29" s="344" t="n"/>
      <c r="T29" s="344" t="n"/>
      <c r="U29" s="344" t="n"/>
      <c r="V29" s="344" t="n"/>
      <c r="W29" s="11602" t="n"/>
      <c r="X29" s="11602" t="n"/>
      <c r="Y29" s="11602" t="n"/>
      <c r="Z29" s="11602" t="n"/>
      <c r="AA29" s="11602" t="n"/>
      <c r="AB29" s="11602" t="n"/>
      <c r="AC29" s="11602" t="n"/>
      <c r="AD29" s="11602" t="n"/>
      <c r="AE29" s="512" t="n"/>
      <c r="AF29" s="512" t="n"/>
      <c r="AG29" s="512" t="n"/>
      <c r="AH29" s="512" t="n"/>
      <c r="AI29" s="512" t="n"/>
      <c r="AJ29" s="512" t="n"/>
      <c r="AK29" s="2013" t="n"/>
      <c r="AL29" s="10577">
        <f>IF(AO22,"",IF(AO27,"and go to",IF(AO28,"Part II;","")))</f>
        <v/>
      </c>
      <c r="AO29" s="4987" t="n"/>
      <c r="AP29" s="4987" t="n"/>
      <c r="AQ29" s="408" t="n"/>
      <c r="AR29" s="11602" t="n"/>
      <c r="AS29" s="11602" t="n"/>
      <c r="AT29" s="11602" t="n"/>
      <c r="AU29" s="11602" t="n"/>
      <c r="AV29" s="4978" t="n"/>
      <c r="AW29" s="10577" t="n"/>
      <c r="AX29" s="12013" t="n"/>
      <c r="AY29" s="658" t="n"/>
      <c r="AZ29" s="658" t="n"/>
      <c r="BA29" s="658" t="n"/>
      <c r="BB29" s="658" t="n"/>
      <c r="BC29" s="658" t="n"/>
      <c r="BD29" s="658" t="n"/>
      <c r="BE29" s="658" t="n"/>
      <c r="BF29" s="658" t="n"/>
      <c r="BG29" s="658" t="n"/>
    </row>
    <row r="30" ht="19.5" customFormat="1" customHeight="1" s="815">
      <c r="A30" s="2013" t="n"/>
      <c r="B30" s="7938" t="inlineStr">
        <is>
          <t>Part II</t>
        </is>
      </c>
      <c r="C30" s="8412" t="n"/>
      <c r="D30" s="4472" t="n"/>
      <c r="E30" s="10664" t="inlineStr">
        <is>
          <t>Special Allowance for Rental Real Estate Activities With Active Participation</t>
        </is>
      </c>
      <c r="F30" s="7839" t="n"/>
      <c r="G30" s="7839" t="n"/>
      <c r="H30" s="7839" t="n"/>
      <c r="I30" s="7839" t="n"/>
      <c r="J30" s="7839" t="n"/>
      <c r="K30" s="7839" t="n"/>
      <c r="L30" s="7839" t="n"/>
      <c r="M30" s="7839" t="n"/>
      <c r="N30" s="7839" t="n"/>
      <c r="O30" s="7839" t="n"/>
      <c r="P30" s="7839" t="n"/>
      <c r="Q30" s="7839" t="n"/>
      <c r="R30" s="7839" t="n"/>
      <c r="S30" s="7839" t="n"/>
      <c r="T30" s="7839" t="n"/>
      <c r="U30" s="7839" t="n"/>
      <c r="V30" s="7839" t="n"/>
      <c r="W30" s="7839" t="n"/>
      <c r="X30" s="7839" t="n"/>
      <c r="Y30" s="7839" t="n"/>
      <c r="Z30" s="7839" t="n"/>
      <c r="AA30" s="7839" t="n"/>
      <c r="AB30" s="7839" t="n"/>
      <c r="AC30" s="7839" t="n"/>
      <c r="AD30" s="7839" t="n"/>
      <c r="AE30" s="7839" t="n"/>
      <c r="AF30" s="7839" t="n"/>
      <c r="AG30" s="7839" t="n"/>
      <c r="AH30" s="7839" t="n"/>
      <c r="AI30" s="7839" t="n"/>
      <c r="AJ30" s="7839" t="n"/>
      <c r="AK30" s="2013" t="n"/>
      <c r="AL30" s="10577">
        <f>IF(AO22,"",IF(AO28,"Go to Line 10.",IF(AO27,"Line 10.","")))</f>
        <v/>
      </c>
      <c r="AO30" s="4987" t="n"/>
      <c r="AP30" s="4987" t="n"/>
      <c r="AQ30" s="408" t="n"/>
      <c r="AR30" s="11602" t="n"/>
      <c r="AS30" s="10552" t="inlineStr">
        <is>
          <t>• The student loan interest deduction, or</t>
        </is>
      </c>
      <c r="AT30" s="7570" t="n"/>
      <c r="AU30" s="11602" t="n"/>
      <c r="AV30" s="4978" t="n"/>
      <c r="AW30" s="10577" t="n"/>
      <c r="AX30" s="12013" t="n"/>
      <c r="AY30" s="658" t="n"/>
      <c r="AZ30" s="658" t="n"/>
      <c r="BA30" s="658" t="n"/>
      <c r="BB30" s="658" t="n"/>
      <c r="BC30" s="658" t="n"/>
      <c r="BD30" s="658" t="n"/>
      <c r="BE30" s="658" t="n"/>
      <c r="BF30" s="658" t="n"/>
      <c r="BG30" s="658" t="n"/>
    </row>
    <row r="31" ht="15" customFormat="1" customHeight="1" s="815">
      <c r="A31" s="2013" t="n"/>
      <c r="B31" s="413" t="n"/>
      <c r="C31" s="4989" t="n"/>
      <c r="D31" s="1996" t="n"/>
      <c r="E31" s="1998" t="inlineStr">
        <is>
          <t>Note: Enter all numbers in Part II as positive amounts. See instructions for an example.</t>
        </is>
      </c>
      <c r="F31" s="569" t="n"/>
      <c r="G31" s="569" t="n"/>
      <c r="H31" s="569" t="n"/>
      <c r="I31" s="569" t="n"/>
      <c r="J31" s="569" t="n"/>
      <c r="K31" s="569" t="n"/>
      <c r="L31" s="569" t="n"/>
      <c r="M31" s="569" t="n"/>
      <c r="N31" s="569" t="n"/>
      <c r="O31" s="569" t="n"/>
      <c r="P31" s="569" t="n"/>
      <c r="Q31" s="569" t="n"/>
      <c r="R31" s="569" t="n"/>
      <c r="S31" s="569" t="n"/>
      <c r="T31" s="569" t="n"/>
      <c r="U31" s="7824" t="n"/>
      <c r="V31" s="4990" t="n"/>
      <c r="W31" s="413" t="n"/>
      <c r="X31" s="413" t="n"/>
      <c r="Y31" s="413" t="n"/>
      <c r="Z31" s="413" t="n"/>
      <c r="AA31" s="413" t="n"/>
      <c r="AB31" s="413" t="n"/>
      <c r="AC31" s="413" t="n"/>
      <c r="AD31" s="413" t="n"/>
      <c r="AE31" s="413" t="n"/>
      <c r="AF31" s="413" t="n"/>
      <c r="AG31" s="413" t="n"/>
      <c r="AH31" s="413" t="n"/>
      <c r="AI31" s="413" t="n"/>
      <c r="AJ31" s="413" t="n"/>
      <c r="AK31" s="2013" t="n"/>
      <c r="AL31" s="512" t="n"/>
      <c r="AM31" s="226" t="inlineStr">
        <is>
          <t>Manual</t>
        </is>
      </c>
      <c r="AN31" s="11602" t="n"/>
      <c r="AO31" s="724" t="n"/>
      <c r="AP31" s="724" t="n"/>
      <c r="AQ31" s="408" t="n"/>
      <c r="AR31" s="11602" t="n"/>
      <c r="AS31" s="10552" t="inlineStr">
        <is>
          <t>• The deduction allowed for foreign-derived intangible income and global intangible low-taxed income.</t>
        </is>
      </c>
      <c r="AT31" s="11602" t="n"/>
      <c r="AU31" s="11602" t="n"/>
      <c r="AV31" s="409" t="n"/>
      <c r="AW31" s="11602" t="n"/>
      <c r="AX31" s="12013" t="n"/>
      <c r="AY31" s="658" t="n"/>
      <c r="AZ31" s="658" t="n"/>
      <c r="BA31" s="658" t="n"/>
      <c r="BB31" s="658" t="n"/>
      <c r="BC31" s="658" t="n"/>
      <c r="BD31" s="658" t="n"/>
      <c r="BE31" s="658" t="n"/>
      <c r="BF31" s="658" t="n"/>
      <c r="BG31" s="658" t="n"/>
    </row>
    <row r="32" ht="18" customFormat="1" customHeight="1" s="815" thickBot="1">
      <c r="A32" s="2013" t="n"/>
      <c r="B32" s="11602" t="n"/>
      <c r="C32" s="2917" t="inlineStr">
        <is>
          <t>4</t>
        </is>
      </c>
      <c r="D32" s="7772" t="inlineStr">
        <is>
          <t>Enter the smaller of the loss on line 1d or the loss on line 3</t>
        </is>
      </c>
      <c r="E32" s="11602" t="n"/>
      <c r="F32" s="11602" t="n"/>
      <c r="G32" s="11602" t="n"/>
      <c r="H32" s="11602" t="n"/>
      <c r="I32" s="11602" t="n"/>
      <c r="J32" s="11602" t="n"/>
      <c r="K32" s="11602" t="n"/>
      <c r="L32" s="11602" t="n"/>
      <c r="M32" s="11602" t="n"/>
      <c r="N32" s="11602" t="n"/>
      <c r="O32" s="11602" t="n"/>
      <c r="P32" s="11602" t="n"/>
      <c r="Q32" s="11602" t="n"/>
      <c r="R32" s="11602" t="n"/>
      <c r="S32" s="11602" t="n"/>
      <c r="T32" s="11602" t="n"/>
      <c r="U32" s="11602" t="n"/>
      <c r="V32" s="11602" t="n"/>
      <c r="W32" s="11602" t="n"/>
      <c r="X32" s="11602" t="n"/>
      <c r="Y32" s="11602" t="n"/>
      <c r="Z32" s="11602" t="n"/>
      <c r="AA32" s="11602" t="n"/>
      <c r="AB32" s="11602" t="n"/>
      <c r="AC32" s="1657" t="inlineStr">
        <is>
          <t xml:space="preserve">.   .   .   .   .   .   .   .   .   .   .   .   .   .   .   .   .   .   .   .   .   .   .   . </t>
        </is>
      </c>
      <c r="AD32" s="8389" t="n">
        <v>4</v>
      </c>
      <c r="AE32" s="10662">
        <f>IF(OR(NOT(AO32),AO28),"",MIN(AE17,AE25))</f>
        <v/>
      </c>
      <c r="AF32" s="7637" t="n"/>
      <c r="AG32" s="7637" t="n"/>
      <c r="AH32" s="7637" t="n"/>
      <c r="AI32" s="7637" t="n"/>
      <c r="AJ32" s="7637" t="n"/>
      <c r="AK32" s="2013" t="n"/>
      <c r="AL32" s="11602" t="n"/>
      <c r="AM32" s="226" t="inlineStr">
        <is>
          <t>Override ê</t>
        </is>
      </c>
      <c r="AN32" s="7914" t="n"/>
      <c r="AO32" s="4991">
        <f>OR(AM33&lt;&gt;"",AM34&lt;&gt;"",AM39&lt;&gt;"",AND(NOT(AO22),AO26,NOT(AO27),NOT(AO28)))</f>
        <v/>
      </c>
      <c r="AP32" s="4991" t="n"/>
      <c r="AQ32" s="408" t="n"/>
      <c r="AR32" s="11602" t="n"/>
      <c r="AT32" s="11602" t="n"/>
      <c r="AU32" s="11602" t="n"/>
      <c r="AV32" s="409" t="n"/>
      <c r="AW32" s="11602" t="n"/>
      <c r="AX32" s="12013" t="n"/>
      <c r="AY32" s="658" t="n"/>
      <c r="AZ32" s="658" t="n"/>
      <c r="BA32" s="658" t="n"/>
      <c r="BB32" s="658" t="n"/>
      <c r="BC32" s="658" t="n"/>
      <c r="BD32" s="658" t="n"/>
      <c r="BE32" s="658" t="n"/>
      <c r="BF32" s="658" t="n"/>
      <c r="BG32" s="658" t="n"/>
    </row>
    <row r="33" ht="18" customFormat="1" customHeight="1" s="815" thickBot="1">
      <c r="A33" s="2013" t="n"/>
      <c r="B33" s="11602" t="n"/>
      <c r="C33" s="2917" t="inlineStr">
        <is>
          <t>5</t>
        </is>
      </c>
      <c r="D33" s="7772">
        <f>"Enter "&amp;TEXT(AO33,"$0,000")&amp;". If married filing separately and lived apart for all of "&amp;TaxYear&amp;", enter "&amp;TEXT(AO34,"$0,000")</f>
        <v/>
      </c>
      <c r="E33" s="8650" t="n"/>
      <c r="F33" s="344" t="n"/>
      <c r="G33" s="344" t="n"/>
      <c r="H33" s="344" t="n"/>
      <c r="I33" s="344" t="n"/>
      <c r="J33" s="344" t="n"/>
      <c r="K33" s="344" t="n"/>
      <c r="L33" s="344" t="n"/>
      <c r="M33" s="344" t="n"/>
      <c r="N33" s="344" t="n"/>
      <c r="O33" s="344" t="n"/>
      <c r="P33" s="344" t="n"/>
      <c r="Q33" s="344" t="n"/>
      <c r="R33" s="344" t="n"/>
      <c r="S33" s="344" t="n"/>
      <c r="T33" s="344" t="n"/>
      <c r="U33" s="344" t="n"/>
      <c r="V33" s="2198" t="n"/>
      <c r="W33" s="8389" t="n">
        <v>5</v>
      </c>
      <c r="X33" s="12623">
        <f>IF(AM33&lt;&gt;"",ROUND(AM33,0),IF(OR(NOT(AO32),AO28),"",IF(NumFileStatusBoxes&lt;&gt;1,"Filing status?",IF(AND(LivedApart,File_Marr_Sep&lt;&gt;""),AO34,AO33))))</f>
        <v/>
      </c>
      <c r="Y33" s="7637" t="n"/>
      <c r="Z33" s="7637" t="n"/>
      <c r="AA33" s="7637" t="n"/>
      <c r="AB33" s="7637" t="n"/>
      <c r="AC33" s="7638" t="n"/>
      <c r="AD33" s="2924" t="n"/>
      <c r="AE33" s="11574" t="n"/>
      <c r="AF33" s="512" t="n"/>
      <c r="AG33" s="512" t="n"/>
      <c r="AH33" s="512" t="n"/>
      <c r="AI33" s="512" t="n"/>
      <c r="AJ33" s="512" t="n"/>
      <c r="AK33" s="2013" t="n"/>
      <c r="AL33" s="11602" t="n"/>
      <c r="AM33" s="1638" t="n"/>
      <c r="AN33" s="512" t="n"/>
      <c r="AO33" s="4992" t="n">
        <v>150000</v>
      </c>
      <c r="AP33" s="4992" t="n"/>
      <c r="AQ33" s="408" t="n"/>
      <c r="AR33" s="11602" t="n"/>
      <c r="AT33" s="7570" t="n"/>
      <c r="AU33" s="11602" t="n"/>
      <c r="AV33" s="409" t="n"/>
      <c r="AW33" s="11602" t="n"/>
      <c r="AX33" s="12013" t="n"/>
      <c r="AY33" s="658" t="n"/>
      <c r="AZ33" s="658" t="n"/>
      <c r="BA33" s="658" t="n"/>
      <c r="BB33" s="658" t="n"/>
      <c r="BC33" s="658" t="n"/>
      <c r="BD33" s="658" t="n"/>
      <c r="BE33" s="658" t="n"/>
      <c r="BF33" s="658" t="n"/>
      <c r="BG33" s="658" t="n"/>
    </row>
    <row r="34" ht="18" customFormat="1" customHeight="1" s="815" thickBot="1">
      <c r="A34" s="2013" t="n"/>
      <c r="B34" s="11602" t="n"/>
      <c r="C34" s="2917" t="n">
        <v>6</v>
      </c>
      <c r="D34" s="7772" t="inlineStr">
        <is>
          <t>Enter modified adjusted gross income, but not less than zero. See instructions</t>
        </is>
      </c>
      <c r="E34" s="8650" t="n"/>
      <c r="F34" s="344" t="n"/>
      <c r="G34" s="344" t="n"/>
      <c r="H34" s="344" t="n"/>
      <c r="I34" s="344" t="n"/>
      <c r="J34" s="344" t="n"/>
      <c r="K34" s="344" t="n"/>
      <c r="L34" s="344" t="n"/>
      <c r="M34" s="344" t="n"/>
      <c r="N34" s="344" t="n"/>
      <c r="O34" s="344" t="n"/>
      <c r="P34" s="344" t="n"/>
      <c r="Q34" s="344" t="n"/>
      <c r="R34" s="344" t="n"/>
      <c r="S34" s="344" t="n"/>
      <c r="T34" s="344" t="n"/>
      <c r="U34" s="344" t="n"/>
      <c r="V34" s="2198" t="n"/>
      <c r="W34" s="8385" t="n">
        <v>6</v>
      </c>
      <c r="X34" s="12624">
        <f>IF(AM34&lt;&gt;"",ROUND(AM34,0),IF(OR(NOT(AO32),AO28),"",MAX(F8582_MAGI,0)))</f>
        <v/>
      </c>
      <c r="Y34" s="11811" t="n"/>
      <c r="Z34" s="11811" t="n"/>
      <c r="AA34" s="11811" t="n"/>
      <c r="AB34" s="11811" t="n"/>
      <c r="AC34" s="12143" t="n"/>
      <c r="AD34" s="2924" t="n"/>
      <c r="AE34" s="11574" t="n"/>
      <c r="AF34" s="512" t="n"/>
      <c r="AG34" s="512" t="n"/>
      <c r="AH34" s="512" t="n"/>
      <c r="AI34" s="512" t="n"/>
      <c r="AJ34" s="512" t="n"/>
      <c r="AK34" s="2013" t="n"/>
      <c r="AL34" s="11602" t="n"/>
      <c r="AM34" s="1638" t="n"/>
      <c r="AN34" s="9234" t="n"/>
      <c r="AO34" s="4992">
        <f>AO33/2</f>
        <v/>
      </c>
      <c r="AP34" s="4992" t="n"/>
      <c r="AQ34" s="408" t="n"/>
      <c r="AR34" s="11602" t="n"/>
      <c r="AS34" s="11602" t="n"/>
      <c r="AT34" s="11602" t="n"/>
      <c r="AU34" s="11602" t="n"/>
      <c r="AV34" s="409" t="n"/>
      <c r="AW34" s="11602" t="n"/>
      <c r="AX34" s="12013" t="n"/>
      <c r="AY34" s="658" t="n"/>
      <c r="AZ34" s="658" t="n"/>
      <c r="BA34" s="658" t="n"/>
      <c r="BB34" s="658" t="n"/>
      <c r="BC34" s="658" t="n"/>
      <c r="BD34" s="658" t="n"/>
      <c r="BE34" s="658" t="n"/>
      <c r="BF34" s="658" t="n"/>
      <c r="BG34" s="658" t="n"/>
    </row>
    <row r="35" ht="18" customFormat="1" customHeight="1" s="815">
      <c r="A35" s="2013" t="n"/>
      <c r="B35" s="11602" t="n"/>
      <c r="C35" s="2917" t="n"/>
      <c r="D35" s="7772" t="inlineStr">
        <is>
          <t>Note: If line 6 is greater than or equal to line 5, skip lines 7 and 8 and enter -0-</t>
        </is>
      </c>
      <c r="E35" s="8650" t="n"/>
      <c r="F35" s="344" t="n"/>
      <c r="G35" s="344" t="n"/>
      <c r="H35" s="344" t="n"/>
      <c r="I35" s="344" t="n"/>
      <c r="J35" s="344" t="n"/>
      <c r="K35" s="344" t="n"/>
      <c r="L35" s="344" t="n"/>
      <c r="M35" s="344" t="n"/>
      <c r="N35" s="344" t="n"/>
      <c r="O35" s="344" t="n"/>
      <c r="P35" s="344" t="n"/>
      <c r="Q35" s="344" t="n"/>
      <c r="R35" s="344" t="n"/>
      <c r="S35" s="344" t="n"/>
      <c r="T35" s="344" t="n"/>
      <c r="U35" s="344" t="n"/>
      <c r="V35" s="344" t="n"/>
      <c r="W35" s="2924" t="n"/>
      <c r="X35" s="4993" t="n"/>
      <c r="Y35" s="4993" t="n"/>
      <c r="Z35" s="512" t="n"/>
      <c r="AA35" s="4993" t="n"/>
      <c r="AB35" s="4993" t="n"/>
      <c r="AC35" s="4994" t="n"/>
      <c r="AD35" s="2924" t="n"/>
      <c r="AE35" s="11574" t="n"/>
      <c r="AF35" s="512" t="n"/>
      <c r="AG35" s="512" t="n"/>
      <c r="AH35" s="512" t="n"/>
      <c r="AI35" s="512" t="n"/>
      <c r="AJ35" s="512" t="n"/>
      <c r="AK35" s="2013" t="n"/>
      <c r="AL35" s="11602" t="n"/>
      <c r="AM35" s="11602" t="n"/>
      <c r="AN35" s="11602" t="n"/>
      <c r="AO35" s="2741">
        <f>X34&gt;=X33</f>
        <v/>
      </c>
      <c r="AP35" s="2741" t="n"/>
      <c r="AQ35" s="408" t="n"/>
      <c r="AR35" s="11602" t="n"/>
      <c r="AS35" s="4969" t="inlineStr">
        <is>
          <t>Modified Adjusted Gross Income  &gt; Part II, line 6</t>
        </is>
      </c>
      <c r="AT35" s="11602" t="n"/>
      <c r="AU35" s="7570">
        <f>IF(NOT(AO32),"",SUM(AU9,-SUM(AT12,AT14,AT16,AT18,AT20,AT22,AT24,AT28,AT30,AT33)))</f>
        <v/>
      </c>
      <c r="AV35" s="409" t="n"/>
      <c r="AW35" s="11602" t="n"/>
      <c r="AX35" s="12013" t="n"/>
      <c r="AY35" s="658" t="n"/>
      <c r="AZ35" s="658" t="n"/>
      <c r="BA35" s="658" t="n"/>
      <c r="BB35" s="658" t="n"/>
      <c r="BC35" s="658" t="n"/>
      <c r="BD35" s="658" t="n"/>
      <c r="BE35" s="658" t="n"/>
      <c r="BF35" s="658" t="n"/>
      <c r="BG35" s="658" t="n"/>
    </row>
    <row r="36" ht="18" customFormat="1" customHeight="1" s="815">
      <c r="A36" s="2013" t="n"/>
      <c r="B36" s="11602" t="n"/>
      <c r="C36" s="11216" t="n"/>
      <c r="D36" s="2006" t="inlineStr">
        <is>
          <t>on line 9. Otherwise, go to line 7.</t>
        </is>
      </c>
      <c r="E36" s="8650" t="n"/>
      <c r="F36" s="11602" t="n"/>
      <c r="G36" s="11602" t="n"/>
      <c r="H36" s="11602" t="n"/>
      <c r="I36" s="11602" t="n"/>
      <c r="J36" s="11602" t="n"/>
      <c r="K36" s="11602" t="n"/>
      <c r="L36" s="11602" t="n"/>
      <c r="M36" s="11602" t="n"/>
      <c r="N36" s="11602" t="n"/>
      <c r="O36" s="11602" t="n"/>
      <c r="P36" s="11602" t="n"/>
      <c r="Q36" s="11602" t="n"/>
      <c r="R36" s="11602" t="n"/>
      <c r="S36" s="11602" t="n"/>
      <c r="T36" s="11602" t="n"/>
      <c r="U36" s="11602" t="n"/>
      <c r="V36" s="2198" t="n"/>
      <c r="W36" s="2924" t="n"/>
      <c r="X36" s="11602" t="n"/>
      <c r="Y36" s="11602" t="n"/>
      <c r="Z36" s="11602" t="n"/>
      <c r="AA36" s="11602" t="n"/>
      <c r="AB36" s="11602" t="n"/>
      <c r="AC36" s="409" t="n"/>
      <c r="AD36" s="2924" t="n"/>
      <c r="AE36" s="11574" t="n"/>
      <c r="AF36" s="512" t="n"/>
      <c r="AG36" s="512" t="n"/>
      <c r="AH36" s="512" t="n"/>
      <c r="AI36" s="512" t="n"/>
      <c r="AJ36" s="512" t="n"/>
      <c r="AK36" s="2013" t="n"/>
      <c r="AL36" s="11602" t="n"/>
      <c r="AM36" s="11602" t="n"/>
      <c r="AN36" s="9234" t="n"/>
      <c r="AO36" s="724" t="n">
        <v>0.5</v>
      </c>
      <c r="AP36" s="724" t="n"/>
      <c r="AQ36" s="412" t="n"/>
      <c r="AR36" s="413" t="n"/>
      <c r="AS36" s="4995" t="n"/>
      <c r="AT36" s="413" t="n"/>
      <c r="AU36" s="413" t="n"/>
      <c r="AV36" s="4996" t="n"/>
      <c r="AW36" s="11602" t="n"/>
      <c r="AX36" s="12013" t="n"/>
      <c r="AY36" s="658" t="n"/>
      <c r="AZ36" s="658" t="n"/>
      <c r="BA36" s="658" t="n"/>
      <c r="BB36" s="658" t="n"/>
      <c r="BC36" s="658" t="n"/>
      <c r="BD36" s="658" t="n"/>
      <c r="BE36" s="658" t="n"/>
      <c r="BF36" s="658" t="n"/>
      <c r="BG36" s="658" t="n"/>
    </row>
    <row r="37" ht="18" customFormat="1" customHeight="1" s="815">
      <c r="A37" s="2013" t="n"/>
      <c r="B37" s="11602" t="n"/>
      <c r="C37" s="2917" t="n">
        <v>7</v>
      </c>
      <c r="D37" s="7772" t="inlineStr">
        <is>
          <t>Subtract line 6 from line 5</t>
        </is>
      </c>
      <c r="E37" s="8650" t="n"/>
      <c r="F37" s="11602" t="n"/>
      <c r="G37" s="11602" t="n"/>
      <c r="H37" s="11602" t="n"/>
      <c r="I37" s="11602" t="n"/>
      <c r="J37" s="11602" t="n"/>
      <c r="K37" s="11602" t="n"/>
      <c r="L37" s="11602" t="n"/>
      <c r="M37" s="11602" t="n"/>
      <c r="N37" s="11602" t="n"/>
      <c r="O37" s="11602" t="n"/>
      <c r="P37" s="11602" t="n"/>
      <c r="Q37" s="11602" t="n"/>
      <c r="R37" s="11602" t="n"/>
      <c r="S37" s="11602" t="n"/>
      <c r="T37" s="11602" t="n"/>
      <c r="U37" s="11602" t="n"/>
      <c r="V37" s="2198" t="inlineStr">
        <is>
          <t xml:space="preserve">.   .   .   .   .   .   .   .   .   .   .   .   .   .   .   .   .   .   .   .   .   .   .   .   . </t>
        </is>
      </c>
      <c r="W37" s="8389" t="n">
        <v>7</v>
      </c>
      <c r="X37" s="12623">
        <f>IF(OR(AO28,NOT(AO32),AO35),"",SUM(X33,-X34))</f>
        <v/>
      </c>
      <c r="Y37" s="7637" t="n"/>
      <c r="Z37" s="7637" t="n"/>
      <c r="AA37" s="7637" t="n"/>
      <c r="AB37" s="7637" t="n"/>
      <c r="AC37" s="7638" t="n"/>
      <c r="AD37" s="2924" t="n"/>
      <c r="AE37" s="11574" t="n"/>
      <c r="AF37" s="512" t="n"/>
      <c r="AG37" s="512" t="n"/>
      <c r="AH37" s="512" t="n"/>
      <c r="AI37" s="512" t="n"/>
      <c r="AJ37" s="512" t="n"/>
      <c r="AK37" s="2013" t="n"/>
      <c r="AL37" s="512" t="n"/>
      <c r="AM37" s="226" t="inlineStr">
        <is>
          <t>Manual</t>
        </is>
      </c>
      <c r="AN37" s="11602" t="n"/>
      <c r="AO37" s="4992" t="n">
        <v>25000</v>
      </c>
      <c r="AP37" s="4992" t="n"/>
      <c r="AQ37" s="11602" t="n"/>
      <c r="AR37" s="711" t="n"/>
      <c r="AS37" s="11602" t="n"/>
      <c r="AT37" s="11602" t="n"/>
      <c r="AU37" s="3819">
        <f>AND(AE16&lt;0,PassiveIncomeLoss&lt;0)</f>
        <v/>
      </c>
      <c r="AV37" s="10569" t="n"/>
      <c r="AW37" s="11602" t="n"/>
      <c r="AX37" s="12013" t="n"/>
      <c r="AY37" s="658" t="n"/>
      <c r="AZ37" s="658" t="n"/>
      <c r="BA37" s="658" t="n"/>
      <c r="BB37" s="658" t="n"/>
      <c r="BC37" s="658" t="n"/>
      <c r="BD37" s="658" t="n"/>
      <c r="BE37" s="658" t="n"/>
      <c r="BF37" s="658" t="n"/>
      <c r="BG37" s="658" t="n"/>
    </row>
    <row r="38" ht="18" customFormat="1" customHeight="1" s="815" thickBot="1">
      <c r="A38" s="2013" t="n"/>
      <c r="B38" s="11602" t="n"/>
      <c r="C38" s="2917" t="n">
        <v>8</v>
      </c>
      <c r="D38" s="2006">
        <f>"Multiply line 7 by "&amp;TEXT(AO36,"0%")&amp;" ("&amp;TEXT(AO36,"0.00")&amp;")."</f>
        <v/>
      </c>
      <c r="E38" s="2046" t="n"/>
      <c r="F38" s="11602" t="n"/>
      <c r="G38" s="11602" t="n"/>
      <c r="H38" s="11602" t="n"/>
      <c r="I38" s="11602" t="n"/>
      <c r="J38" s="11602" t="n"/>
      <c r="K38" s="8650" t="n"/>
      <c r="L38" s="7865" t="n"/>
      <c r="M38" s="11602" t="n"/>
      <c r="N38" s="1900" t="n"/>
      <c r="O38" s="4998" t="inlineStr">
        <is>
          <t xml:space="preserve">Do not enter more than </t>
        </is>
      </c>
      <c r="P38" s="6548">
        <f>TEXT($AO$37,"$0,000")&amp;" ("&amp;TEXT($AO$37/2,"$0,000")&amp;", if married filing separately and lived apart)"</f>
        <v/>
      </c>
      <c r="Q38" s="6548" t="n"/>
      <c r="R38" s="4999" t="n"/>
      <c r="S38" s="6548" t="n"/>
      <c r="T38" s="1900" t="n"/>
      <c r="U38" s="1900" t="n"/>
      <c r="V38" s="1900" t="n"/>
      <c r="W38" s="1900" t="n"/>
      <c r="X38" s="1900" t="n"/>
      <c r="Y38" s="1900" t="n"/>
      <c r="Z38" s="1900" t="n"/>
      <c r="AA38" s="1900" t="n"/>
      <c r="AB38" s="1900" t="n"/>
      <c r="AC38" s="5000" t="n"/>
      <c r="AD38" s="5001" t="n">
        <v>8</v>
      </c>
      <c r="AE38" s="10606">
        <f>IF(OR(AO28,NOT(AO32),AO35),"",MIN(AO38,ROUND(X37*AO36,0)))</f>
        <v/>
      </c>
      <c r="AF38" s="7637" t="n"/>
      <c r="AG38" s="7637" t="n"/>
      <c r="AH38" s="7637" t="n"/>
      <c r="AI38" s="7637" t="n"/>
      <c r="AJ38" s="7637" t="n"/>
      <c r="AK38" s="2013" t="n"/>
      <c r="AL38" s="226" t="n"/>
      <c r="AM38" s="226" t="inlineStr">
        <is>
          <t>Override ê</t>
        </is>
      </c>
      <c r="AN38" s="11602" t="n"/>
      <c r="AO38" s="4992">
        <f>IF(AND(File_Marr_Sep&lt;&gt;"",LivedApart),AO37/2,AO37)</f>
        <v/>
      </c>
      <c r="AP38" s="724" t="n"/>
      <c r="AQ38" s="12625" t="inlineStr">
        <is>
          <t>Worksheet for Special Allowance for Prior Unallowed Commercial Revitalization Deductions (CRDs) From Rental Real Estate Activities</t>
        </is>
      </c>
      <c r="AR38" s="7839" t="n"/>
      <c r="AS38" s="7839" t="n"/>
      <c r="AT38" s="7839" t="n"/>
      <c r="AU38" s="7839" t="n"/>
      <c r="AV38" s="10091" t="n"/>
      <c r="AW38" s="11602" t="n"/>
      <c r="AX38" s="12013" t="n"/>
      <c r="AY38" s="658" t="n"/>
      <c r="AZ38" s="658" t="n"/>
      <c r="BA38" s="658" t="n"/>
      <c r="BB38" s="658" t="n"/>
      <c r="BC38" s="658" t="n"/>
      <c r="BD38" s="658" t="n"/>
      <c r="BE38" s="658" t="n"/>
      <c r="BF38" s="658" t="n"/>
      <c r="BG38" s="658" t="n"/>
    </row>
    <row r="39" ht="18" customFormat="1" customHeight="1" s="815" thickBot="1">
      <c r="A39" s="2013" t="n"/>
      <c r="B39" s="380" t="n"/>
      <c r="C39" s="5002" t="n">
        <v>9</v>
      </c>
      <c r="D39" s="5003" t="inlineStr">
        <is>
          <t>Enter the smaller of line 4 or line 8.</t>
        </is>
      </c>
      <c r="E39" s="2015" t="n"/>
      <c r="F39" s="380" t="n"/>
      <c r="G39" s="380" t="n"/>
      <c r="H39" s="380" t="n"/>
      <c r="I39" s="380" t="n"/>
      <c r="J39" s="380" t="n"/>
      <c r="K39" s="380" t="n"/>
      <c r="L39" s="380" t="n"/>
      <c r="M39" s="5003" t="inlineStr">
        <is>
          <t>If line 3 includes any CRD, see instructions</t>
        </is>
      </c>
      <c r="N39" s="5004" t="n"/>
      <c r="O39" s="5004" t="n"/>
      <c r="P39" s="5004" t="n"/>
      <c r="Q39" s="5004" t="n"/>
      <c r="R39" s="5004" t="n"/>
      <c r="S39" s="5004" t="n"/>
      <c r="T39" s="5004" t="n"/>
      <c r="U39" s="5004" t="n"/>
      <c r="V39" s="5004" t="n"/>
      <c r="W39" s="5004" t="n"/>
      <c r="X39" s="5004" t="n"/>
      <c r="Y39" s="1401" t="inlineStr">
        <is>
          <t>.   .   .   .   .   .   .   .</t>
        </is>
      </c>
      <c r="Z39" s="10736">
        <f>IF(NOT(AO54),".   .   .   .   .   .   ","CRD = "&amp;AU60&amp;"  ")</f>
        <v/>
      </c>
      <c r="AA39" s="8848" t="n"/>
      <c r="AB39" s="8848" t="n"/>
      <c r="AC39" s="12121" t="n"/>
      <c r="AD39" s="5005" t="n">
        <v>9</v>
      </c>
      <c r="AE39" s="10621">
        <f>IF(AM39&lt;&gt;"",ROUND(AM39,0),IF(AO54,AU61,IF(OR(AO28,NOT(AO32)),"",IF(AO35,0,MIN(AE32,AE38)))))</f>
        <v/>
      </c>
      <c r="AF39" s="8848" t="n"/>
      <c r="AG39" s="8848" t="n"/>
      <c r="AH39" s="8848" t="n"/>
      <c r="AI39" s="8848" t="n"/>
      <c r="AJ39" s="8848" t="n"/>
      <c r="AK39" s="2013" t="n"/>
      <c r="AL39" s="512" t="n"/>
      <c r="AM39" s="1638" t="n"/>
      <c r="AN39" s="11602" t="n"/>
      <c r="AO39" s="2741">
        <f>AND(AE16&gt;=0,PassiveIncomeLoss&lt;0)</f>
        <v/>
      </c>
      <c r="AP39" s="724" t="n"/>
      <c r="AQ39" s="4772" t="n"/>
      <c r="AV39" s="7636" t="n"/>
      <c r="AW39" s="11602" t="n"/>
      <c r="AX39" s="12013" t="n"/>
      <c r="AY39" s="658" t="n"/>
      <c r="AZ39" s="658" t="n"/>
      <c r="BA39" s="658" t="n"/>
      <c r="BB39" s="658" t="n"/>
      <c r="BC39" s="658" t="n"/>
      <c r="BD39" s="658" t="n"/>
      <c r="BE39" s="658" t="n"/>
      <c r="BF39" s="658" t="n"/>
      <c r="BG39" s="658" t="n"/>
    </row>
    <row r="40" ht="19.5" customFormat="1" customHeight="1" s="815">
      <c r="A40" s="2013" t="n"/>
      <c r="B40" s="7904" t="inlineStr">
        <is>
          <t>Part III</t>
        </is>
      </c>
      <c r="C40" s="2506" t="n"/>
      <c r="D40" s="3926" t="n"/>
      <c r="E40" s="5006" t="inlineStr">
        <is>
          <t>Total Losses Allowed</t>
        </is>
      </c>
      <c r="F40" s="3927" t="n"/>
      <c r="G40" s="3927" t="n"/>
      <c r="H40" s="3927" t="n"/>
      <c r="I40" s="3927" t="n"/>
      <c r="J40" s="3927" t="n"/>
      <c r="K40" s="3927" t="n"/>
      <c r="L40" s="3927" t="n"/>
      <c r="M40" s="3927" t="n"/>
      <c r="N40" s="3927" t="n"/>
      <c r="O40" s="3927" t="n"/>
      <c r="P40" s="3927" t="n"/>
      <c r="Q40" s="3927" t="n"/>
      <c r="R40" s="3927" t="n"/>
      <c r="S40" s="3927" t="n"/>
      <c r="T40" s="3927" t="n"/>
      <c r="U40" s="3927" t="n"/>
      <c r="V40" s="3927" t="n"/>
      <c r="W40" s="3927" t="n"/>
      <c r="X40" s="3927" t="n"/>
      <c r="Y40" s="3927" t="n"/>
      <c r="Z40" s="3927" t="n"/>
      <c r="AA40" s="3927" t="n"/>
      <c r="AB40" s="3927" t="n"/>
      <c r="AC40" s="3927" t="n"/>
      <c r="AD40" s="3927" t="n"/>
      <c r="AE40" s="3927" t="n"/>
      <c r="AF40" s="3927" t="n"/>
      <c r="AG40" s="3927" t="n"/>
      <c r="AH40" s="3927" t="n"/>
      <c r="AI40" s="3927" t="n"/>
      <c r="AJ40" s="3927" t="n"/>
      <c r="AK40" s="2013" t="n"/>
      <c r="AL40" s="4477" t="n"/>
      <c r="AM40" s="4477" t="n"/>
      <c r="AN40" s="4477" t="n"/>
      <c r="AO40" s="5007">
        <f>NOT(AO39)</f>
        <v/>
      </c>
      <c r="AP40" s="5007" t="n"/>
      <c r="AQ40" s="408" t="n"/>
      <c r="AR40" s="10734" t="inlineStr">
        <is>
          <t>If line 1d of Part I is zero or more, and line 3 is a loss, complete this Worksheet and enter the result on line 9 as described below.
The remaining portion of the $25,000 allowance, if any, is available for the prior year unallowed CRD from rental real estate activities. Use the Worksheet to figure the maximum amount of prior year unallowed CRD allowed from rental real estate activities.</t>
        </is>
      </c>
      <c r="AS40" s="194" t="n"/>
      <c r="AT40" s="194" t="n"/>
      <c r="AU40" s="194" t="n"/>
      <c r="AV40" s="5008" t="n"/>
      <c r="AW40" s="11602" t="n"/>
      <c r="AX40" s="12013" t="n"/>
      <c r="AY40" s="658" t="n"/>
      <c r="AZ40" s="658" t="n"/>
      <c r="BA40" s="658" t="n"/>
      <c r="BB40" s="658" t="n"/>
      <c r="BC40" s="658" t="n"/>
      <c r="BD40" s="658" t="n"/>
      <c r="BE40" s="658" t="n"/>
      <c r="BF40" s="658" t="n"/>
      <c r="BG40" s="658" t="n"/>
    </row>
    <row r="41" ht="18" customFormat="1" customHeight="1" s="815" thickBot="1">
      <c r="A41" s="2013" t="n"/>
      <c r="B41" s="11602" t="n"/>
      <c r="C41" s="8439" t="n">
        <v>10</v>
      </c>
      <c r="D41" s="7772" t="inlineStr">
        <is>
          <t>Add the income, if any, on lines 1a and 2a and enter the total</t>
        </is>
      </c>
      <c r="E41" s="8650" t="n"/>
      <c r="F41" s="11602" t="n"/>
      <c r="G41" s="11602" t="n"/>
      <c r="H41" s="11602" t="n"/>
      <c r="I41" s="11602" t="n"/>
      <c r="J41" s="11602" t="n"/>
      <c r="K41" s="11602" t="n"/>
      <c r="L41" s="11602" t="n"/>
      <c r="M41" s="11602" t="n"/>
      <c r="N41" s="11602" t="n"/>
      <c r="O41" s="11602" t="n"/>
      <c r="P41" s="11602" t="n"/>
      <c r="Q41" s="11602" t="n"/>
      <c r="R41" s="11602" t="n"/>
      <c r="S41" s="11602" t="n"/>
      <c r="T41" s="11602" t="n"/>
      <c r="U41" s="11602" t="n"/>
      <c r="V41" s="11602" t="n"/>
      <c r="W41" s="11602" t="n"/>
      <c r="X41" s="11602" t="n"/>
      <c r="Y41" s="11602" t="n"/>
      <c r="Z41" s="11602" t="n"/>
      <c r="AA41" s="11602" t="n"/>
      <c r="AB41" s="11602" t="n"/>
      <c r="AC41" s="1657" t="inlineStr">
        <is>
          <t xml:space="preserve">.   .   .   .   .   .   .   .   .   .   .   .   .   .   .   .   .   .   .   .   .   .   . </t>
        </is>
      </c>
      <c r="AD41" s="8385" t="n">
        <v>10</v>
      </c>
      <c r="AE41" s="10659">
        <f>IF(AO21,"",SUM(X13,X18))</f>
        <v/>
      </c>
      <c r="AF41" s="11811" t="n"/>
      <c r="AG41" s="11811" t="n"/>
      <c r="AH41" s="11811" t="n"/>
      <c r="AI41" s="11811" t="n"/>
      <c r="AJ41" s="11811" t="n"/>
      <c r="AK41" s="2013" t="n"/>
      <c r="AL41" s="11602" t="n"/>
      <c r="AM41" s="11602" t="n"/>
      <c r="AN41" s="11602" t="n"/>
      <c r="AO41" s="4991" t="n"/>
      <c r="AP41" s="4991" t="n"/>
      <c r="AQ41" s="5009" t="n"/>
      <c r="AR41" s="194" t="n"/>
      <c r="AS41" s="194" t="n"/>
      <c r="AT41" s="194" t="n"/>
      <c r="AU41" s="194" t="n"/>
      <c r="AV41" s="5010" t="n"/>
      <c r="AW41" s="4477" t="n"/>
      <c r="AX41" s="12013" t="n"/>
      <c r="AY41" s="658" t="n"/>
      <c r="AZ41" s="658" t="n"/>
      <c r="BA41" s="658" t="n"/>
      <c r="BB41" s="658" t="n"/>
      <c r="BC41" s="658" t="n"/>
      <c r="BD41" s="658" t="n"/>
      <c r="BE41" s="658" t="n"/>
      <c r="BF41" s="658" t="n"/>
      <c r="BG41" s="658" t="n"/>
    </row>
    <row r="42" ht="18" customFormat="1" customHeight="1" s="815">
      <c r="A42" s="2013" t="n"/>
      <c r="B42" s="11602" t="n"/>
      <c r="C42" s="2917" t="inlineStr">
        <is>
          <t>11</t>
        </is>
      </c>
      <c r="D42" s="514">
        <f>"Total losses allowed from all passive activities for "&amp;TaxYear&amp;"."</f>
        <v/>
      </c>
      <c r="E42" s="8650" t="n"/>
      <c r="F42" s="11602" t="n"/>
      <c r="G42" s="11602" t="n"/>
      <c r="H42" s="11602" t="n"/>
      <c r="I42" s="11602" t="n"/>
      <c r="J42" s="11602" t="n"/>
      <c r="K42" s="11602" t="n"/>
      <c r="L42" s="11602" t="n"/>
      <c r="M42" s="11602" t="n"/>
      <c r="N42" s="11602" t="n"/>
      <c r="O42" s="11602" t="n"/>
      <c r="P42" s="344" t="n"/>
      <c r="Q42" s="344" t="n"/>
      <c r="R42" s="8650" t="n"/>
      <c r="S42" s="7772" t="inlineStr">
        <is>
          <t>Add lines 9 and 10. See instructions to</t>
        </is>
      </c>
      <c r="T42" s="11602" t="n"/>
      <c r="U42" s="11602" t="n"/>
      <c r="V42" s="11602" t="n"/>
      <c r="W42" s="11602" t="n"/>
      <c r="X42" s="11602" t="n"/>
      <c r="Y42" s="11602" t="n"/>
      <c r="Z42" s="11602" t="n"/>
      <c r="AA42" s="11602" t="n"/>
      <c r="AB42" s="11602" t="n"/>
      <c r="AC42" s="11602" t="n"/>
      <c r="AD42" s="2924" t="n"/>
      <c r="AE42" s="11574" t="n"/>
      <c r="AF42" s="512" t="n"/>
      <c r="AG42" s="512" t="n"/>
      <c r="AH42" s="512" t="n"/>
      <c r="AI42" s="512" t="n"/>
      <c r="AJ42" s="512" t="n"/>
      <c r="AK42" s="2013" t="n"/>
      <c r="AL42" s="11602" t="n"/>
      <c r="AM42" s="11602" t="n"/>
      <c r="AN42" s="11602" t="n"/>
      <c r="AO42" s="724" t="n"/>
      <c r="AP42" s="724" t="n"/>
      <c r="AQ42" s="5009" t="n"/>
      <c r="AR42" s="194" t="n"/>
      <c r="AS42" s="194" t="n"/>
      <c r="AT42" s="194" t="n"/>
      <c r="AU42" s="194" t="n"/>
      <c r="AV42" s="5010" t="n"/>
      <c r="AW42" s="11602" t="n"/>
      <c r="AX42" s="12013" t="n"/>
      <c r="AY42" s="658" t="n"/>
      <c r="AZ42" s="658" t="n"/>
      <c r="BA42" s="658" t="n"/>
      <c r="BB42" s="658" t="n"/>
      <c r="BC42" s="658" t="n"/>
      <c r="BD42" s="658" t="n"/>
      <c r="BE42" s="658" t="n"/>
      <c r="BF42" s="658" t="n"/>
      <c r="BG42" s="658" t="n"/>
    </row>
    <row r="43" ht="18" customFormat="1" customHeight="1" s="815" thickBot="1">
      <c r="A43" s="2013" t="n"/>
      <c r="B43" s="380" t="n"/>
      <c r="C43" s="4504" t="n"/>
      <c r="D43" s="5003" t="inlineStr">
        <is>
          <t>find out how to report the losses on your tax return</t>
        </is>
      </c>
      <c r="E43" s="2015" t="n"/>
      <c r="F43" s="380" t="n"/>
      <c r="G43" s="380" t="n"/>
      <c r="H43" s="380" t="n"/>
      <c r="I43" s="380" t="n"/>
      <c r="J43" s="380" t="n"/>
      <c r="K43" s="380" t="n"/>
      <c r="L43" s="380" t="n"/>
      <c r="M43" s="380" t="n"/>
      <c r="N43" s="380" t="n"/>
      <c r="O43" s="380" t="n"/>
      <c r="P43" s="380" t="n"/>
      <c r="Q43" s="380" t="n"/>
      <c r="R43" s="380" t="n"/>
      <c r="S43" s="380" t="n"/>
      <c r="T43" s="380" t="n"/>
      <c r="U43" s="380" t="n"/>
      <c r="V43" s="380" t="n"/>
      <c r="W43" s="380" t="n"/>
      <c r="X43" s="380" t="n"/>
      <c r="Y43" s="380" t="n"/>
      <c r="Z43" s="380" t="n"/>
      <c r="AA43" s="380" t="n"/>
      <c r="AB43" s="380" t="n"/>
      <c r="AC43" s="1657" t="inlineStr">
        <is>
          <t xml:space="preserve">.   .   .   .   .   .   .   .   .   .   .   .   .   .   .   .   .   .   .   .   .   .   .   .   .   .   .   .   .   . </t>
        </is>
      </c>
      <c r="AD43" s="5005" t="n">
        <v>11</v>
      </c>
      <c r="AE43" s="10621">
        <f>IF(AO21,"",SUM(AE39,AE41))</f>
        <v/>
      </c>
      <c r="AF43" s="8848" t="n"/>
      <c r="AG43" s="8848" t="n"/>
      <c r="AH43" s="8848" t="n"/>
      <c r="AI43" s="8848" t="n"/>
      <c r="AJ43" s="8848" t="n"/>
      <c r="AK43" s="2013" t="n"/>
      <c r="AL43" s="4477" t="n"/>
      <c r="AM43" s="4477" t="n"/>
      <c r="AN43" s="4477" t="n"/>
      <c r="AO43" s="5007" t="n"/>
      <c r="AP43" s="5007" t="n"/>
      <c r="AQ43" s="5009" t="n"/>
      <c r="AR43" s="194" t="n"/>
      <c r="AS43" s="194" t="n"/>
      <c r="AT43" s="194" t="n"/>
      <c r="AU43" s="194" t="n"/>
      <c r="AV43" s="5010" t="n"/>
      <c r="AW43" s="11602" t="n"/>
      <c r="AX43" s="12013" t="n"/>
      <c r="AY43" s="658" t="n"/>
      <c r="AZ43" s="658" t="n"/>
      <c r="BA43" s="658" t="n"/>
      <c r="BB43" s="658" t="n"/>
      <c r="BC43" s="658" t="n"/>
      <c r="BD43" s="658" t="n"/>
      <c r="BE43" s="658" t="n"/>
      <c r="BF43" s="658" t="n"/>
      <c r="BG43" s="658" t="n"/>
    </row>
    <row r="44" ht="19.5" customFormat="1" customHeight="1" s="815">
      <c r="A44" s="2013" t="n"/>
      <c r="B44" s="7904" t="inlineStr">
        <is>
          <t>Part IV</t>
        </is>
      </c>
      <c r="C44" s="2506" t="n"/>
      <c r="D44" s="4490" t="n"/>
      <c r="E44" s="4491" t="inlineStr">
        <is>
          <t>Complete This Part Before Part I, Lines 1a, 1b, and 1c. See instructions.</t>
        </is>
      </c>
      <c r="F44" s="377" t="n"/>
      <c r="G44" s="377" t="n"/>
      <c r="H44" s="377" t="n"/>
      <c r="I44" s="377" t="n"/>
      <c r="J44" s="377" t="n"/>
      <c r="K44" s="377" t="n"/>
      <c r="L44" s="377" t="n"/>
      <c r="M44" s="377" t="n"/>
      <c r="N44" s="377" t="n"/>
      <c r="O44" s="377" t="n"/>
      <c r="P44" s="377" t="n"/>
      <c r="Q44" s="377" t="n"/>
      <c r="R44" s="377" t="n"/>
      <c r="S44" s="377" t="n"/>
      <c r="T44" s="377" t="n"/>
      <c r="U44" s="377" t="n"/>
      <c r="V44" s="377" t="n"/>
      <c r="W44" s="377" t="n"/>
      <c r="X44" s="377" t="n"/>
      <c r="Y44" s="377" t="n"/>
      <c r="Z44" s="377" t="n"/>
      <c r="AA44" s="377" t="n"/>
      <c r="AB44" s="377" t="n"/>
      <c r="AC44" s="377" t="n"/>
      <c r="AD44" s="377" t="n"/>
      <c r="AE44" s="377" t="n"/>
      <c r="AF44" s="377" t="n"/>
      <c r="AG44" s="377" t="n"/>
      <c r="AH44" s="377" t="n"/>
      <c r="AI44" s="377" t="n"/>
      <c r="AJ44" s="377" t="n"/>
      <c r="AK44" s="2013" t="n"/>
      <c r="AL44" s="4479" t="n"/>
      <c r="AM44" s="226" t="n"/>
      <c r="AN44" s="4477" t="n"/>
      <c r="AO44" s="5007" t="n"/>
      <c r="AP44" s="5007" t="n"/>
      <c r="AQ44" s="5009" t="n"/>
      <c r="AR44" s="194" t="n"/>
      <c r="AS44" s="194" t="n"/>
      <c r="AT44" s="194" t="n"/>
      <c r="AU44" s="194" t="n"/>
      <c r="AV44" s="5011" t="n"/>
      <c r="AW44" s="4477" t="n"/>
      <c r="AX44" s="12013" t="n"/>
      <c r="AY44" s="658" t="n"/>
      <c r="AZ44" s="658" t="n"/>
      <c r="BA44" s="658" t="n"/>
      <c r="BB44" s="658" t="n"/>
      <c r="BC44" s="658" t="n"/>
      <c r="BD44" s="658" t="n"/>
      <c r="BE44" s="658" t="n"/>
      <c r="BF44" s="658" t="n"/>
      <c r="BG44" s="658" t="n"/>
    </row>
    <row r="45" ht="16.5" customHeight="1" s="7635">
      <c r="A45" s="2013" t="n"/>
      <c r="B45" s="12626" t="inlineStr">
        <is>
          <t>Name of activity</t>
        </is>
      </c>
      <c r="C45" s="7839" t="n"/>
      <c r="D45" s="7839" t="n"/>
      <c r="E45" s="7839" t="n"/>
      <c r="F45" s="7839" t="n"/>
      <c r="G45" s="7839" t="n"/>
      <c r="H45" s="7839" t="n"/>
      <c r="I45" s="7839" t="n"/>
      <c r="J45" s="7839" t="n"/>
      <c r="K45" s="7839" t="n"/>
      <c r="L45" s="7839" t="n"/>
      <c r="M45" s="10091" t="n"/>
      <c r="N45" s="12627" t="inlineStr">
        <is>
          <t>Current year</t>
        </is>
      </c>
      <c r="O45" s="7839" t="n"/>
      <c r="P45" s="7839" t="n"/>
      <c r="Q45" s="7839" t="n"/>
      <c r="R45" s="7839" t="n"/>
      <c r="S45" s="7839" t="n"/>
      <c r="T45" s="7839" t="n"/>
      <c r="U45" s="10091" t="n"/>
      <c r="V45" s="12627" t="inlineStr">
        <is>
          <t>Prior years</t>
        </is>
      </c>
      <c r="W45" s="7839" t="n"/>
      <c r="X45" s="7839" t="n"/>
      <c r="Y45" s="7839" t="n"/>
      <c r="Z45" s="10091" t="n"/>
      <c r="AA45" s="12628" t="inlineStr">
        <is>
          <t>Overall gain or loss</t>
        </is>
      </c>
      <c r="AB45" s="7839" t="n"/>
      <c r="AC45" s="7839" t="n"/>
      <c r="AD45" s="7839" t="n"/>
      <c r="AE45" s="7839" t="n"/>
      <c r="AF45" s="7839" t="n"/>
      <c r="AG45" s="7839" t="n"/>
      <c r="AH45" s="7839" t="n"/>
      <c r="AI45" s="7839" t="n"/>
      <c r="AJ45" s="7839" t="n"/>
      <c r="AK45" s="2013" t="n"/>
      <c r="AL45" s="11602" t="n"/>
      <c r="AM45" s="11602" t="n"/>
      <c r="AN45" s="11602" t="n"/>
      <c r="AO45" s="724" t="n"/>
      <c r="AP45" s="724" t="n"/>
      <c r="AQ45" s="12629" t="inlineStr">
        <is>
          <t>Enter all numbers in this calculation as positive amounts (greater than zero)</t>
        </is>
      </c>
      <c r="AV45" s="7636" t="n"/>
      <c r="AW45" s="4477" t="n"/>
      <c r="BH45" s="421" t="n"/>
      <c r="BI45" s="421" t="n"/>
    </row>
    <row r="46" ht="16.5" customHeight="1" s="7635">
      <c r="A46" s="2013" t="n"/>
      <c r="M46" s="7636" t="n"/>
      <c r="N46" s="3614" t="n"/>
      <c r="O46" s="7637" t="n"/>
      <c r="P46" s="7637" t="n"/>
      <c r="Q46" s="7637" t="n"/>
      <c r="R46" s="7637" t="n"/>
      <c r="S46" s="7637" t="n"/>
      <c r="T46" s="7637" t="n"/>
      <c r="U46" s="7638" t="n"/>
      <c r="V46" s="3614" t="n"/>
      <c r="W46" s="7637" t="n"/>
      <c r="X46" s="7637" t="n"/>
      <c r="Y46" s="7637" t="n"/>
      <c r="Z46" s="7638" t="n"/>
      <c r="AA46" s="3614" t="n"/>
      <c r="AB46" s="7637" t="n"/>
      <c r="AC46" s="7637" t="n"/>
      <c r="AD46" s="7637" t="n"/>
      <c r="AE46" s="7637" t="n"/>
      <c r="AF46" s="7637" t="n"/>
      <c r="AG46" s="7637" t="n"/>
      <c r="AH46" s="7637" t="n"/>
      <c r="AI46" s="7637" t="n"/>
      <c r="AJ46" s="7637" t="n"/>
      <c r="AK46" s="2013" t="n"/>
      <c r="AL46" s="11602" t="n"/>
      <c r="AM46" s="226" t="inlineStr">
        <is>
          <t>Overall</t>
        </is>
      </c>
      <c r="AN46" s="11602" t="n"/>
      <c r="AO46" s="724" t="n"/>
      <c r="AP46" s="724" t="n"/>
      <c r="AQ46" s="408" t="n"/>
      <c r="AR46" s="7886" t="inlineStr">
        <is>
          <t>A.</t>
        </is>
      </c>
      <c r="AS46" s="6554">
        <f>"Enter "&amp;TEXT(AO38,"$0,000")&amp;"* reduced by the amount, if"</f>
        <v/>
      </c>
      <c r="AT46" s="11602" t="n"/>
      <c r="AU46" s="5012" t="n"/>
      <c r="AV46" s="409" t="n"/>
      <c r="AW46" s="11602" t="n"/>
      <c r="BH46" s="421" t="n"/>
      <c r="BI46" s="421" t="n"/>
    </row>
    <row r="47" ht="16.5" customHeight="1" s="7635">
      <c r="A47" s="2013" t="n"/>
      <c r="M47" s="7636" t="n"/>
      <c r="N47" s="12630" t="inlineStr">
        <is>
          <t>(a) Net income
(line 1a)</t>
        </is>
      </c>
      <c r="O47" s="7839" t="n"/>
      <c r="P47" s="7839" t="n"/>
      <c r="Q47" s="10091" t="n"/>
      <c r="R47" s="12630" t="inlineStr">
        <is>
          <t>(b) Net loss
(line 1b)</t>
        </is>
      </c>
      <c r="S47" s="7839" t="n"/>
      <c r="T47" s="7839" t="n"/>
      <c r="U47" s="10091" t="n"/>
      <c r="V47" s="12631" t="inlineStr">
        <is>
          <t>(c) Unallowed
loss (line 1c)</t>
        </is>
      </c>
      <c r="W47" s="7839" t="n"/>
      <c r="X47" s="7839" t="n"/>
      <c r="Y47" s="7839" t="n"/>
      <c r="Z47" s="10091" t="n"/>
      <c r="AA47" s="12632" t="inlineStr">
        <is>
          <t>(d) Gain</t>
        </is>
      </c>
      <c r="AB47" s="7839" t="n"/>
      <c r="AC47" s="7839" t="n"/>
      <c r="AD47" s="7839" t="n"/>
      <c r="AE47" s="10091" t="n"/>
      <c r="AF47" s="12633" t="inlineStr">
        <is>
          <t>(e)  Loss</t>
        </is>
      </c>
      <c r="AG47" s="7839" t="n"/>
      <c r="AH47" s="7839" t="n"/>
      <c r="AI47" s="7839" t="n"/>
      <c r="AJ47" s="7839" t="n"/>
      <c r="AK47" s="2013" t="n"/>
      <c r="AL47" s="11602" t="n"/>
      <c r="AM47" s="226" t="inlineStr">
        <is>
          <t>Manual</t>
        </is>
      </c>
      <c r="AN47" s="11602" t="n"/>
      <c r="AO47" s="724" t="n"/>
      <c r="AP47" s="724" t="n"/>
      <c r="AQ47" s="5013" t="n"/>
      <c r="AR47" s="5014" t="n"/>
      <c r="AS47" s="5015" t="inlineStr">
        <is>
          <t>any, of the smaller of Part II, line 4 or</t>
        </is>
      </c>
      <c r="AT47" s="1401" t="inlineStr">
        <is>
          <t>A.</t>
        </is>
      </c>
      <c r="AU47" s="7570">
        <f>IF(AO40,"",SUM(AU65,-MIN(AE32,AE38)))</f>
        <v/>
      </c>
      <c r="AV47" s="409" t="n"/>
      <c r="AW47" s="11602" t="n"/>
      <c r="BH47" s="421" t="n"/>
      <c r="BI47" s="421" t="n"/>
    </row>
    <row r="48" ht="16.5" customHeight="1" s="7635" thickBot="1">
      <c r="A48" s="2013" t="n"/>
      <c r="B48" s="7637" t="n"/>
      <c r="C48" s="7637" t="n"/>
      <c r="D48" s="7637" t="n"/>
      <c r="E48" s="7637" t="n"/>
      <c r="F48" s="7637" t="n"/>
      <c r="G48" s="7637" t="n"/>
      <c r="H48" s="7637" t="n"/>
      <c r="I48" s="7637" t="n"/>
      <c r="J48" s="7637" t="n"/>
      <c r="K48" s="7637" t="n"/>
      <c r="L48" s="7637" t="n"/>
      <c r="M48" s="7638" t="n"/>
      <c r="N48" s="3614" t="n"/>
      <c r="O48" s="7637" t="n"/>
      <c r="P48" s="7637" t="n"/>
      <c r="Q48" s="7638" t="n"/>
      <c r="R48" s="3614" t="n"/>
      <c r="S48" s="7637" t="n"/>
      <c r="T48" s="7637" t="n"/>
      <c r="U48" s="7638" t="n"/>
      <c r="V48" s="3614" t="n"/>
      <c r="W48" s="7637" t="n"/>
      <c r="X48" s="7637" t="n"/>
      <c r="Y48" s="7637" t="n"/>
      <c r="Z48" s="7638" t="n"/>
      <c r="AA48" s="3614" t="n"/>
      <c r="AB48" s="7637" t="n"/>
      <c r="AC48" s="7637" t="n"/>
      <c r="AD48" s="7637" t="n"/>
      <c r="AE48" s="7638" t="n"/>
      <c r="AF48" s="3614" t="n"/>
      <c r="AG48" s="7637" t="n"/>
      <c r="AH48" s="7637" t="n"/>
      <c r="AI48" s="7637" t="n"/>
      <c r="AJ48" s="7637" t="n"/>
      <c r="AK48" s="2013" t="n"/>
      <c r="AL48" s="11602" t="n"/>
      <c r="AM48" s="226" t="inlineStr">
        <is>
          <t>Override ê</t>
        </is>
      </c>
      <c r="AN48" s="11602" t="n"/>
      <c r="AO48" s="724" t="n"/>
      <c r="AP48" s="724" t="n"/>
      <c r="AQ48" s="566" t="n"/>
      <c r="AR48" s="7886" t="n"/>
      <c r="AS48" s="5016" t="inlineStr">
        <is>
          <t>line 8.</t>
        </is>
      </c>
      <c r="AT48" s="5017" t="n"/>
      <c r="AU48" s="5018" t="n"/>
      <c r="AV48" s="409" t="n"/>
      <c r="AW48" s="11602" t="n"/>
      <c r="BH48" s="421" t="n"/>
      <c r="BI48" s="421" t="n"/>
    </row>
    <row r="49" ht="18" customHeight="1" s="7635" thickBot="1">
      <c r="A49" s="2013" t="n"/>
      <c r="B49" s="10032" t="n"/>
      <c r="C49" s="8007" t="n"/>
      <c r="D49" s="8007" t="n"/>
      <c r="E49" s="8007" t="n"/>
      <c r="F49" s="8007" t="n"/>
      <c r="G49" s="8007" t="n"/>
      <c r="H49" s="8007" t="n"/>
      <c r="I49" s="8007" t="n"/>
      <c r="J49" s="8007" t="n"/>
      <c r="K49" s="8007" t="n"/>
      <c r="L49" s="8007" t="n"/>
      <c r="M49" s="8008" t="n"/>
      <c r="N49" s="12634" t="n"/>
      <c r="O49" s="8007" t="n"/>
      <c r="P49" s="8007" t="n"/>
      <c r="Q49" s="8008" t="n"/>
      <c r="R49" s="12634" t="n"/>
      <c r="S49" s="8007" t="n"/>
      <c r="T49" s="8007" t="n"/>
      <c r="U49" s="8008" t="n"/>
      <c r="V49" s="12634" t="n"/>
      <c r="W49" s="8007" t="n"/>
      <c r="X49" s="8007" t="n"/>
      <c r="Y49" s="8007" t="n"/>
      <c r="Z49" s="8008" t="n"/>
      <c r="AA49" s="12635">
        <f>IF(AND(AM49&lt;&gt;"",AM49&gt;0),ROUND(AM49,0),IF(AND(AM49&lt;&gt;"",AM49&lt;0),"",IF(SUM(N49,-R49,-V49)&gt;0,SUM(N49,-R49,-V49),"")))</f>
        <v/>
      </c>
      <c r="AB49" s="8412" t="n"/>
      <c r="AC49" s="8412" t="n"/>
      <c r="AD49" s="8412" t="n"/>
      <c r="AE49" s="11734" t="n"/>
      <c r="AF49" s="10554">
        <f>IF(AND(AM49&lt;&gt;"",AM49&lt;0),-ROUND(AM49,0),IF(AND(AM49&lt;&gt;"",AM49&gt;0),"",IF(SUM(N49,-R49,-V49)&lt;0,-SUM(N49,-R49,-V49),"")))</f>
        <v/>
      </c>
      <c r="AG49" s="8412" t="n"/>
      <c r="AH49" s="8412" t="n"/>
      <c r="AI49" s="8412" t="n"/>
      <c r="AJ49" s="8412" t="n"/>
      <c r="AK49" s="2013" t="n"/>
      <c r="AL49" s="11602" t="n"/>
      <c r="AM49" s="6988" t="n"/>
      <c r="AN49" s="11602" t="n"/>
      <c r="AO49" s="724" t="n"/>
      <c r="AP49" s="724" t="n"/>
      <c r="AQ49" s="566" t="n"/>
      <c r="AR49" s="7886" t="inlineStr">
        <is>
          <t>B.</t>
        </is>
      </c>
      <c r="AS49" s="7871" t="inlineStr">
        <is>
          <t>Enter the loss from Part I, line 3</t>
        </is>
      </c>
      <c r="AT49" s="1401" t="inlineStr">
        <is>
          <t>B.</t>
        </is>
      </c>
      <c r="AU49" s="7570">
        <f>IF(AO40,"",IF(PassiveIncomeLoss&lt;0,-PassiveIncomeLoss,0))</f>
        <v/>
      </c>
      <c r="AV49" s="4978" t="n"/>
      <c r="AW49" s="11602" t="n"/>
    </row>
    <row r="50" ht="18" customHeight="1" s="7635" thickBot="1">
      <c r="A50" s="2013" t="n"/>
      <c r="B50" s="10032" t="n"/>
      <c r="C50" s="8007" t="n"/>
      <c r="D50" s="8007" t="n"/>
      <c r="E50" s="8007" t="n"/>
      <c r="F50" s="8007" t="n"/>
      <c r="G50" s="8007" t="n"/>
      <c r="H50" s="8007" t="n"/>
      <c r="I50" s="8007" t="n"/>
      <c r="J50" s="8007" t="n"/>
      <c r="K50" s="8007" t="n"/>
      <c r="L50" s="8007" t="n"/>
      <c r="M50" s="8008" t="n"/>
      <c r="N50" s="12634" t="n"/>
      <c r="O50" s="8007" t="n"/>
      <c r="P50" s="8007" t="n"/>
      <c r="Q50" s="8008" t="n"/>
      <c r="R50" s="12634" t="n"/>
      <c r="S50" s="8007" t="n"/>
      <c r="T50" s="8007" t="n"/>
      <c r="U50" s="8008" t="n"/>
      <c r="V50" s="12634" t="n"/>
      <c r="W50" s="8007" t="n"/>
      <c r="X50" s="8007" t="n"/>
      <c r="Y50" s="8007" t="n"/>
      <c r="Z50" s="8008" t="n"/>
      <c r="AA50" s="12635">
        <f>IF(AND(AM50&lt;&gt;"",AM50&gt;0),ROUND(AM50,0),IF(AND(AM50&lt;&gt;"",AM50&lt;0),"",IF(SUM(N50,-R50,-V50)&gt;0,SUM(N50,-R50,-V50),"")))</f>
        <v/>
      </c>
      <c r="AB50" s="8412" t="n"/>
      <c r="AC50" s="8412" t="n"/>
      <c r="AD50" s="8412" t="n"/>
      <c r="AE50" s="11734" t="n"/>
      <c r="AF50" s="10554">
        <f>IF(AND(AM50&lt;&gt;"",AM50&lt;0),-ROUND(AM50,0),IF(AND(AM50&lt;&gt;"",AM50&gt;0),"",IF(SUM(N50,-R50,-V50)&lt;0,-SUM(N50,-R50,-V50),"")))</f>
        <v/>
      </c>
      <c r="AG50" s="8412" t="n"/>
      <c r="AH50" s="8412" t="n"/>
      <c r="AI50" s="8412" t="n"/>
      <c r="AJ50" s="8412" t="n"/>
      <c r="AK50" s="2013" t="n"/>
      <c r="AL50" s="4477" t="n"/>
      <c r="AM50" s="6988" t="n"/>
      <c r="AN50" s="4477" t="n"/>
      <c r="AO50" s="5007" t="n"/>
      <c r="AP50" s="724" t="n"/>
      <c r="AQ50" s="566" t="n"/>
      <c r="AR50" s="344" t="n"/>
      <c r="AS50" s="7871" t="n"/>
      <c r="AT50" s="344" t="n"/>
      <c r="AU50" s="11602" t="n"/>
      <c r="AV50" s="4978" t="n"/>
      <c r="AW50" s="11602" t="n"/>
    </row>
    <row r="51" ht="18" customHeight="1" s="7635" thickBot="1">
      <c r="A51" s="2013" t="n"/>
      <c r="B51" s="10032" t="n"/>
      <c r="C51" s="8007" t="n"/>
      <c r="D51" s="8007" t="n"/>
      <c r="E51" s="8007" t="n"/>
      <c r="F51" s="8007" t="n"/>
      <c r="G51" s="8007" t="n"/>
      <c r="H51" s="8007" t="n"/>
      <c r="I51" s="8007" t="n"/>
      <c r="J51" s="8007" t="n"/>
      <c r="K51" s="8007" t="n"/>
      <c r="L51" s="8007" t="n"/>
      <c r="M51" s="8008" t="n"/>
      <c r="N51" s="12634" t="n"/>
      <c r="O51" s="8007" t="n"/>
      <c r="P51" s="8007" t="n"/>
      <c r="Q51" s="8008" t="n"/>
      <c r="R51" s="12634" t="n"/>
      <c r="S51" s="8007" t="n"/>
      <c r="T51" s="8007" t="n"/>
      <c r="U51" s="8008" t="n"/>
      <c r="V51" s="12634" t="n"/>
      <c r="W51" s="8007" t="n"/>
      <c r="X51" s="8007" t="n"/>
      <c r="Y51" s="8007" t="n"/>
      <c r="Z51" s="8008" t="n"/>
      <c r="AA51" s="12635">
        <f>IF(AND(AM51&lt;&gt;"",AM51&gt;0),ROUND(AM51,0),IF(AND(AM51&lt;&gt;"",AM51&lt;0),"",IF(SUM(N51,-R51,-V51)&gt;0,SUM(N51,-R51,-V51),"")))</f>
        <v/>
      </c>
      <c r="AB51" s="8412" t="n"/>
      <c r="AC51" s="8412" t="n"/>
      <c r="AD51" s="8412" t="n"/>
      <c r="AE51" s="11734" t="n"/>
      <c r="AF51" s="10554">
        <f>IF(AND(AM51&lt;&gt;"",AM51&lt;0),-ROUND(AM51,0),IF(AND(AM51&lt;&gt;"",AM51&gt;0),"",IF(SUM(N51,-R51,-V51)&lt;0,-SUM(N51,-R51,-V51),"")))</f>
        <v/>
      </c>
      <c r="AG51" s="8412" t="n"/>
      <c r="AH51" s="8412" t="n"/>
      <c r="AI51" s="8412" t="n"/>
      <c r="AJ51" s="8412" t="n"/>
      <c r="AK51" s="2013" t="n"/>
      <c r="AL51" s="4477" t="n"/>
      <c r="AM51" s="6988" t="n"/>
      <c r="AN51" s="4477" t="n"/>
      <c r="AO51" s="5007" t="n"/>
      <c r="AP51" s="5007" t="n"/>
      <c r="AQ51" s="566" t="n"/>
      <c r="AR51" s="7886" t="inlineStr">
        <is>
          <t>C.</t>
        </is>
      </c>
      <c r="AS51" s="5016" t="inlineStr">
        <is>
          <t>Reduce line B by the amount of the</t>
        </is>
      </c>
      <c r="AT51" s="1061">
        <f>IF(MIN(AE32,AE38)=AE32,"Part II, line 4 &gt;","Part II, line 8 &gt;")</f>
        <v/>
      </c>
      <c r="AU51" s="7570">
        <f>IF(AO40,"",MIN(AE32,AE38))</f>
        <v/>
      </c>
      <c r="AV51" s="409" t="n"/>
      <c r="AW51" s="11602" t="n"/>
    </row>
    <row r="52" ht="18" customHeight="1" s="7635" thickBot="1">
      <c r="A52" s="2013" t="n"/>
      <c r="B52" s="10032" t="n"/>
      <c r="C52" s="8007" t="n"/>
      <c r="D52" s="8007" t="n"/>
      <c r="E52" s="8007" t="n"/>
      <c r="F52" s="8007" t="n"/>
      <c r="G52" s="8007" t="n"/>
      <c r="H52" s="8007" t="n"/>
      <c r="I52" s="8007" t="n"/>
      <c r="J52" s="8007" t="n"/>
      <c r="K52" s="8007" t="n"/>
      <c r="L52" s="8007" t="n"/>
      <c r="M52" s="8008" t="n"/>
      <c r="N52" s="12634" t="n"/>
      <c r="O52" s="8007" t="n"/>
      <c r="P52" s="8007" t="n"/>
      <c r="Q52" s="8008" t="n"/>
      <c r="R52" s="12634" t="n"/>
      <c r="S52" s="8007" t="n"/>
      <c r="T52" s="8007" t="n"/>
      <c r="U52" s="8008" t="n"/>
      <c r="V52" s="12634" t="n"/>
      <c r="W52" s="8007" t="n"/>
      <c r="X52" s="8007" t="n"/>
      <c r="Y52" s="8007" t="n"/>
      <c r="Z52" s="8008" t="n"/>
      <c r="AA52" s="12635">
        <f>IF(AND(AM52&lt;&gt;"",AM52&gt;0),ROUND(AM52,0),IF(AND(AM52&lt;&gt;"",AM52&lt;0),"",IF(SUM(N52,-R52,-V52)&gt;0,SUM(N52,-R52,-V52),"")))</f>
        <v/>
      </c>
      <c r="AB52" s="8412" t="n"/>
      <c r="AC52" s="8412" t="n"/>
      <c r="AD52" s="8412" t="n"/>
      <c r="AE52" s="11734" t="n"/>
      <c r="AF52" s="10554">
        <f>IF(AND(AM52&lt;&gt;"",AM52&lt;0),-ROUND(AM52,0),IF(AND(AM52&lt;&gt;"",AM52&gt;0),"",IF(SUM(N52,-R52,-V52)&lt;0,-SUM(N52,-R52,-V52),"")))</f>
        <v/>
      </c>
      <c r="AG52" s="8412" t="n"/>
      <c r="AH52" s="8412" t="n"/>
      <c r="AI52" s="8412" t="n"/>
      <c r="AJ52" s="8412" t="n"/>
      <c r="AK52" s="2013" t="n"/>
      <c r="AL52" s="4477" t="n"/>
      <c r="AM52" s="6988" t="n"/>
      <c r="AN52" s="4477" t="n"/>
      <c r="AO52" s="5007" t="n"/>
      <c r="AP52" s="5007" t="n"/>
      <c r="AQ52" s="408" t="n"/>
      <c r="AR52" s="11602" t="n"/>
      <c r="AS52" s="5016" t="inlineStr">
        <is>
          <t>smaller of Part II, line 4 or line 8</t>
        </is>
      </c>
      <c r="AT52" s="1401" t="inlineStr">
        <is>
          <t>C.</t>
        </is>
      </c>
      <c r="AU52" s="7570">
        <f>IF(AO40,"",SUM(AU49,-AU51))</f>
        <v/>
      </c>
      <c r="AV52" s="409" t="n"/>
      <c r="AW52" s="11602" t="n"/>
    </row>
    <row r="53" ht="18" customHeight="1" s="7635" thickBot="1">
      <c r="A53" s="2013" t="n"/>
      <c r="B53" s="10636" t="n"/>
      <c r="C53" s="11809" t="n"/>
      <c r="D53" s="11809" t="n"/>
      <c r="E53" s="11809" t="n"/>
      <c r="F53" s="11809" t="n"/>
      <c r="G53" s="11809" t="n"/>
      <c r="H53" s="11809" t="n"/>
      <c r="I53" s="11809" t="n"/>
      <c r="J53" s="11809" t="n"/>
      <c r="K53" s="11809" t="n"/>
      <c r="L53" s="11809" t="n"/>
      <c r="M53" s="11810" t="n"/>
      <c r="N53" s="12636" t="n"/>
      <c r="O53" s="11745" t="n"/>
      <c r="P53" s="11745" t="n"/>
      <c r="Q53" s="11948" t="n"/>
      <c r="R53" s="12636" t="n"/>
      <c r="S53" s="11745" t="n"/>
      <c r="T53" s="11745" t="n"/>
      <c r="U53" s="11948" t="n"/>
      <c r="V53" s="12636" t="n"/>
      <c r="W53" s="11745" t="n"/>
      <c r="X53" s="11745" t="n"/>
      <c r="Y53" s="11745" t="n"/>
      <c r="Z53" s="11948" t="n"/>
      <c r="AA53" s="12635">
        <f>IF(AND(AM53&lt;&gt;"",AM53&gt;0),ROUND(AM53,0),IF(AND(AM53&lt;&gt;"",AM53&lt;0),"",IF(SUM(N53,-R53,-V53)&gt;0,SUM(N53,-R53,-V53),"")))</f>
        <v/>
      </c>
      <c r="AB53" s="8412" t="n"/>
      <c r="AC53" s="8412" t="n"/>
      <c r="AD53" s="8412" t="n"/>
      <c r="AE53" s="11734" t="n"/>
      <c r="AF53" s="10554">
        <f>IF(AND(AM53&lt;&gt;"",AM53&lt;0),-ROUND(AM53,0),IF(AND(AM53&lt;&gt;"",AM53&gt;0),"",IF(SUM(N53,-R53,-V53)&lt;0,-SUM(N53,-R53,-V53),"")))</f>
        <v/>
      </c>
      <c r="AG53" s="8412" t="n"/>
      <c r="AH53" s="8412" t="n"/>
      <c r="AI53" s="8412" t="n"/>
      <c r="AJ53" s="8412" t="n"/>
      <c r="AK53" s="2013" t="n"/>
      <c r="AL53" s="7914" t="n"/>
      <c r="AM53" s="6988" t="n"/>
      <c r="AN53" s="11602" t="n"/>
      <c r="AO53" s="724" t="n"/>
      <c r="AP53" s="5007" t="n"/>
      <c r="AQ53" s="566" t="n"/>
      <c r="AR53" s="344" t="n"/>
      <c r="AS53" s="7871" t="n"/>
      <c r="AT53" s="344" t="n"/>
      <c r="AU53" s="11602" t="n"/>
      <c r="AV53" s="409" t="n"/>
      <c r="AW53" s="11602" t="n"/>
    </row>
    <row r="54" ht="18.75" customHeight="1" s="7635">
      <c r="A54" s="2013" t="n"/>
      <c r="B54" s="377" t="n"/>
      <c r="C54" s="5019" t="n"/>
      <c r="D54" s="5019" t="n"/>
      <c r="E54" s="5019" t="n"/>
      <c r="F54" s="5019" t="n"/>
      <c r="G54" s="5019" t="n"/>
      <c r="H54" s="5019" t="n"/>
      <c r="I54" s="5019" t="n"/>
      <c r="J54" s="5019" t="n"/>
      <c r="K54" s="5019" t="n"/>
      <c r="L54" s="5019" t="n"/>
      <c r="M54" s="5019" t="n"/>
      <c r="N54" s="12637">
        <f>SUM(ROUND(N49,0),ROUND(N50,0),ROUND(N51,0),ROUND(N52,0),ROUND(N53,0))</f>
        <v/>
      </c>
      <c r="O54" s="2506" t="n"/>
      <c r="P54" s="2506" t="n"/>
      <c r="Q54" s="11716" t="n"/>
      <c r="R54" s="12638">
        <f>SUM(ROUND(R49,0),ROUND(R50,0),ROUND(R51,0),ROUND(R52,0),ROUND(R53,0))</f>
        <v/>
      </c>
      <c r="S54" s="2506" t="n"/>
      <c r="T54" s="2506" t="n"/>
      <c r="U54" s="11716" t="n"/>
      <c r="V54" s="12638">
        <f>SUM(ROUND(V49,0),ROUND(V50,0),ROUND(V51,0),ROUND(V52,0),ROUND(V53,0))</f>
        <v/>
      </c>
      <c r="W54" s="2506" t="n"/>
      <c r="X54" s="2506" t="n"/>
      <c r="Y54" s="2506" t="n"/>
      <c r="Z54" s="11716" t="n"/>
      <c r="AA54" s="12639" t="n"/>
      <c r="AB54" s="2506" t="n"/>
      <c r="AC54" s="2506" t="n"/>
      <c r="AD54" s="2506" t="n"/>
      <c r="AE54" s="11716" t="n"/>
      <c r="AF54" s="12640" t="n"/>
      <c r="AG54" s="2506" t="n"/>
      <c r="AH54" s="2506" t="n"/>
      <c r="AI54" s="2506" t="n"/>
      <c r="AJ54" s="2506" t="n"/>
      <c r="AK54" s="2013" t="n"/>
      <c r="AL54" s="7914" t="n"/>
      <c r="AM54" s="2868" t="n"/>
      <c r="AN54" s="11602" t="n"/>
      <c r="AO54" s="2741">
        <f>AU55&lt;&gt;""</f>
        <v/>
      </c>
      <c r="AP54" s="724" t="n"/>
      <c r="AQ54" s="566" t="n"/>
      <c r="AR54" s="7886" t="inlineStr">
        <is>
          <t>D.</t>
        </is>
      </c>
      <c r="AS54" s="5016" t="inlineStr">
        <is>
          <t>Enter the smallest of the amount of the prior</t>
        </is>
      </c>
      <c r="AT54" s="1799" t="inlineStr">
        <is>
          <t>Prior year</t>
        </is>
      </c>
      <c r="AU54" s="11602" t="n"/>
      <c r="AV54" s="409" t="n"/>
      <c r="AW54" s="11602" t="n"/>
      <c r="BJ54" s="7970" t="n"/>
    </row>
    <row r="55" ht="18.75" customHeight="1" s="7635" thickBot="1">
      <c r="A55" s="2013" t="n"/>
      <c r="B55" s="5020" t="inlineStr">
        <is>
          <t>Total. Enter on Part I, lines 1a, 1b, and 1c</t>
        </is>
      </c>
      <c r="C55" s="5021" t="n"/>
      <c r="D55" s="5021" t="n"/>
      <c r="E55" s="5021" t="n"/>
      <c r="F55" s="5021" t="n"/>
      <c r="G55" s="5021" t="n"/>
      <c r="H55" s="5021" t="n"/>
      <c r="I55" s="5021" t="n"/>
      <c r="J55" s="5021" t="n"/>
      <c r="K55" s="5021" t="n"/>
      <c r="L55" s="5021" t="n"/>
      <c r="M55" s="5021" t="n"/>
      <c r="N55" s="12641">
        <f>IF(OR(N54=0,ISERROR(N54)),"",N54)</f>
        <v/>
      </c>
      <c r="O55" s="8848" t="n"/>
      <c r="P55" s="8848" t="n"/>
      <c r="Q55" s="12121" t="n"/>
      <c r="R55" s="12641">
        <f>IF(OR(R54=0,ISERROR(R54)),"",R54)</f>
        <v/>
      </c>
      <c r="S55" s="8848" t="n"/>
      <c r="T55" s="8848" t="n"/>
      <c r="U55" s="12121" t="n"/>
      <c r="V55" s="12641">
        <f>IF(OR(V54=0,ISERROR(V54)),"",V54)</f>
        <v/>
      </c>
      <c r="W55" s="8848" t="n"/>
      <c r="X55" s="8848" t="n"/>
      <c r="Y55" s="8848" t="n"/>
      <c r="Z55" s="12121" t="n"/>
      <c r="AA55" s="11950" t="n"/>
      <c r="AB55" s="8848" t="n"/>
      <c r="AC55" s="8848" t="n"/>
      <c r="AD55" s="8848" t="n"/>
      <c r="AE55" s="12121" t="n"/>
      <c r="AF55" s="11950" t="n"/>
      <c r="AG55" s="8848" t="n"/>
      <c r="AH55" s="8848" t="n"/>
      <c r="AI55" s="8848" t="n"/>
      <c r="AJ55" s="8848" t="n"/>
      <c r="AK55" s="2013" t="n"/>
      <c r="AL55" s="712" t="n"/>
      <c r="AM55" s="344" t="n"/>
      <c r="AN55" s="11602" t="n"/>
      <c r="AO55" s="724" t="n"/>
      <c r="AP55" s="724" t="n"/>
      <c r="AQ55" s="408" t="n"/>
      <c r="AR55" s="11602" t="n"/>
      <c r="AS55" s="5016" t="inlineStr">
        <is>
          <t>prior unallowed CRD (as a positive</t>
        </is>
      </c>
      <c r="AT55" s="1799" t="inlineStr">
        <is>
          <t>Unallowed CRDs</t>
        </is>
      </c>
      <c r="AU55" s="7570" t="n"/>
      <c r="AV55" s="409" t="n"/>
      <c r="AW55" s="4477" t="n"/>
    </row>
    <row r="56" ht="22.5" customFormat="1" customHeight="1" s="815">
      <c r="A56" s="2013" t="n"/>
      <c r="B56" s="3889" t="inlineStr">
        <is>
          <t>For Paperwork Reduction Act Notice, see separate instructions.</t>
        </is>
      </c>
      <c r="C56" s="4483" t="n"/>
      <c r="D56" s="2344" t="n"/>
      <c r="E56" s="2344" t="n"/>
      <c r="F56" s="2344" t="n"/>
      <c r="G56" s="2344" t="n"/>
      <c r="H56" s="2344" t="n"/>
      <c r="I56" s="2344" t="n"/>
      <c r="J56" s="2344" t="n"/>
      <c r="K56" s="2344" t="n"/>
      <c r="L56" s="2344" t="n"/>
      <c r="M56" s="2344" t="n"/>
      <c r="N56" s="2344" t="n"/>
      <c r="O56" s="2344" t="n"/>
      <c r="P56" s="2344" t="n"/>
      <c r="Q56" s="89" t="n"/>
      <c r="R56" s="89" t="n"/>
      <c r="S56" s="89" t="n"/>
      <c r="T56" s="89" t="n"/>
      <c r="U56" s="6552" t="inlineStr">
        <is>
          <t>Cat. No. 63704F</t>
        </is>
      </c>
      <c r="V56" s="89" t="n"/>
      <c r="W56" s="3890" t="n"/>
      <c r="X56" s="89" t="n"/>
      <c r="Y56" s="89" t="n"/>
      <c r="Z56" s="89" t="n"/>
      <c r="AA56" s="89" t="n"/>
      <c r="AB56" s="6551" t="inlineStr">
        <is>
          <t>Form</t>
        </is>
      </c>
      <c r="AC56" s="10584" t="n">
        <v>8582</v>
      </c>
      <c r="AD56" s="2506" t="n"/>
      <c r="AE56" s="2506" t="n"/>
      <c r="AF56" s="6550" t="n"/>
      <c r="AG56" s="6550" t="n"/>
      <c r="AH56" s="6550" t="n"/>
      <c r="AI56" s="89" t="n"/>
      <c r="AJ56" s="6553">
        <f>"("&amp;TaxYear&amp;")  Created 5/8/25"</f>
        <v/>
      </c>
      <c r="AK56" s="2013" t="n"/>
      <c r="AL56" s="11602" t="n"/>
      <c r="AM56" s="11602" t="n"/>
      <c r="AN56" s="11602" t="n"/>
      <c r="AO56" s="724" t="n"/>
      <c r="AP56" s="724" t="n"/>
      <c r="AQ56" s="408" t="n"/>
      <c r="AR56" s="11602" t="n"/>
      <c r="AS56" s="5016" t="inlineStr">
        <is>
          <t>amount), the amount on line A, or the</t>
        </is>
      </c>
      <c r="AT56" s="11602" t="n"/>
      <c r="AU56" s="512">
        <f>IF(AU55="",0,AU55)</f>
        <v/>
      </c>
      <c r="AV56" s="409" t="n"/>
      <c r="AW56" s="4477" t="n"/>
      <c r="AX56" s="12013" t="n"/>
      <c r="AY56" s="658" t="n"/>
      <c r="AZ56" s="658" t="n"/>
      <c r="BA56" s="658" t="n"/>
      <c r="BB56" s="658" t="n"/>
      <c r="BC56" s="658" t="n"/>
      <c r="BD56" s="658" t="n"/>
      <c r="BE56" s="658" t="n"/>
      <c r="BF56" s="658" t="n"/>
      <c r="BG56" s="658" t="n"/>
    </row>
    <row r="57" ht="21.75" customFormat="1" customHeight="1" s="815" thickBot="1">
      <c r="A57" s="2013" t="n"/>
      <c r="B57" s="721">
        <f>"Form 8582 ("&amp;TaxYear&amp;")"</f>
        <v/>
      </c>
      <c r="C57" s="4484" t="n"/>
      <c r="D57" s="721" t="n"/>
      <c r="E57" s="721" t="n"/>
      <c r="F57" s="721" t="n"/>
      <c r="G57" s="721" t="n"/>
      <c r="H57" s="721" t="n"/>
      <c r="I57" s="721" t="n"/>
      <c r="J57" s="721" t="n"/>
      <c r="K57" s="721" t="n"/>
      <c r="L57" s="721" t="n"/>
      <c r="M57" s="721" t="n"/>
      <c r="N57" s="721" t="n"/>
      <c r="O57" s="721" t="n"/>
      <c r="P57" s="721" t="n"/>
      <c r="Q57" s="721" t="n"/>
      <c r="R57" s="721" t="n"/>
      <c r="S57" s="721" t="n"/>
      <c r="T57" s="721" t="n"/>
      <c r="U57" s="721" t="n"/>
      <c r="V57" s="721" t="n"/>
      <c r="W57" s="721" t="n"/>
      <c r="X57" s="721" t="n"/>
      <c r="Y57" s="721" t="n"/>
      <c r="Z57" s="721" t="n"/>
      <c r="AA57" s="721" t="n"/>
      <c r="AB57" s="721" t="n"/>
      <c r="AC57" s="721" t="n"/>
      <c r="AD57" s="721" t="n"/>
      <c r="AE57" s="721" t="n"/>
      <c r="AF57" s="721" t="n"/>
      <c r="AG57" s="721" t="n"/>
      <c r="AH57" s="721" t="n"/>
      <c r="AI57" s="2053" t="inlineStr">
        <is>
          <t>Page</t>
        </is>
      </c>
      <c r="AJ57" s="5023" t="n">
        <v>2</v>
      </c>
      <c r="AK57" s="2013" t="n"/>
      <c r="AL57" s="11602" t="n"/>
      <c r="AM57" s="11602" t="n"/>
      <c r="AN57" s="11602" t="n"/>
      <c r="AO57" s="724" t="n"/>
      <c r="AP57" s="724" t="n"/>
      <c r="AQ57" s="566" t="n"/>
      <c r="AR57" s="7886" t="n"/>
      <c r="AS57" s="5016" t="inlineStr">
        <is>
          <t>amount on line C</t>
        </is>
      </c>
      <c r="AT57" s="1401" t="inlineStr">
        <is>
          <t>D.</t>
        </is>
      </c>
      <c r="AU57" s="7570">
        <f>IF(AO40,"",IF(AO54,MIN(AU56,AU47,AU52),""))</f>
        <v/>
      </c>
      <c r="AV57" s="4978" t="n"/>
      <c r="AW57" s="4477" t="n"/>
      <c r="AX57" s="12013" t="n"/>
      <c r="AY57" s="658" t="n"/>
      <c r="AZ57" s="658" t="n"/>
      <c r="BA57" s="658" t="n"/>
      <c r="BB57" s="658" t="n"/>
      <c r="BC57" s="658" t="n"/>
      <c r="BD57" s="658" t="n"/>
      <c r="BE57" s="658" t="n"/>
      <c r="BF57" s="658" t="n"/>
      <c r="BG57" s="658" t="n"/>
    </row>
    <row r="58" ht="16.5" customFormat="1" customHeight="1" s="815" thickTop="1">
      <c r="A58" s="2013" t="n"/>
      <c r="B58" s="10206" t="inlineStr">
        <is>
          <t>Part V</t>
        </is>
      </c>
      <c r="C58" s="2506" t="n"/>
      <c r="D58" s="4490" t="n"/>
      <c r="E58" s="4491" t="inlineStr">
        <is>
          <t>Complete This Part Before Part I, Lines 2a, 2b, and 2c. See instructions.</t>
        </is>
      </c>
      <c r="F58" s="377" t="n"/>
      <c r="G58" s="377" t="n"/>
      <c r="H58" s="377" t="n"/>
      <c r="I58" s="377" t="n"/>
      <c r="J58" s="377" t="n"/>
      <c r="K58" s="377" t="n"/>
      <c r="L58" s="377" t="n"/>
      <c r="M58" s="377" t="n"/>
      <c r="N58" s="377" t="n"/>
      <c r="O58" s="377" t="n"/>
      <c r="P58" s="377" t="n"/>
      <c r="Q58" s="377" t="n"/>
      <c r="R58" s="377" t="n"/>
      <c r="S58" s="377" t="n"/>
      <c r="T58" s="377" t="n"/>
      <c r="U58" s="377" t="n"/>
      <c r="V58" s="377" t="n"/>
      <c r="W58" s="377" t="n"/>
      <c r="X58" s="377" t="n"/>
      <c r="Y58" s="377" t="n"/>
      <c r="Z58" s="377" t="n"/>
      <c r="AA58" s="377" t="n"/>
      <c r="AB58" s="377" t="n"/>
      <c r="AC58" s="377" t="n"/>
      <c r="AD58" s="377" t="n"/>
      <c r="AE58" s="377" t="n"/>
      <c r="AF58" s="377" t="n"/>
      <c r="AG58" s="377" t="n"/>
      <c r="AH58" s="377" t="n"/>
      <c r="AI58" s="377" t="n"/>
      <c r="AJ58" s="377" t="n"/>
      <c r="AK58" s="2013" t="n"/>
      <c r="AL58" s="4479" t="n"/>
      <c r="AM58" s="226" t="n"/>
      <c r="AN58" s="4477" t="n"/>
      <c r="AO58" s="5007" t="n"/>
      <c r="AP58" s="5007" t="n"/>
      <c r="AQ58" s="566" t="n"/>
      <c r="AR58" s="344" t="n"/>
      <c r="AS58" s="10733" t="inlineStr">
        <is>
          <t>Combine line D with the smaller of Line 4 or line 8 and enter the combined amount on line 9. Enter "CRD" and the dollar amount of the special allowance for CRD on the dotted line.</t>
        </is>
      </c>
      <c r="AU58" s="724" t="n"/>
      <c r="AV58" s="409" t="n"/>
      <c r="AW58" s="11602" t="n"/>
      <c r="AX58" s="12013" t="n"/>
      <c r="AY58" s="658" t="n"/>
      <c r="AZ58" s="658" t="n"/>
      <c r="BA58" s="658" t="n"/>
      <c r="BB58" s="658" t="n"/>
      <c r="BC58" s="658" t="n"/>
      <c r="BD58" s="658" t="n"/>
      <c r="BE58" s="658" t="n"/>
      <c r="BF58" s="658" t="n"/>
      <c r="BG58" s="658" t="n"/>
    </row>
    <row r="59" ht="16.5" customHeight="1" s="7635">
      <c r="A59" s="2013" t="n"/>
      <c r="B59" s="12626" t="inlineStr">
        <is>
          <t>Name of activity</t>
        </is>
      </c>
      <c r="C59" s="7839" t="n"/>
      <c r="D59" s="7839" t="n"/>
      <c r="E59" s="7839" t="n"/>
      <c r="F59" s="7839" t="n"/>
      <c r="G59" s="7839" t="n"/>
      <c r="H59" s="7839" t="n"/>
      <c r="I59" s="7839" t="n"/>
      <c r="J59" s="7839" t="n"/>
      <c r="K59" s="7839" t="n"/>
      <c r="L59" s="7839" t="n"/>
      <c r="M59" s="10091" t="n"/>
      <c r="N59" s="12627" t="inlineStr">
        <is>
          <t>Current year</t>
        </is>
      </c>
      <c r="O59" s="7839" t="n"/>
      <c r="P59" s="7839" t="n"/>
      <c r="Q59" s="7839" t="n"/>
      <c r="R59" s="7839" t="n"/>
      <c r="S59" s="7839" t="n"/>
      <c r="T59" s="7839" t="n"/>
      <c r="U59" s="10091" t="n"/>
      <c r="V59" s="12627" t="inlineStr">
        <is>
          <t>Prior years</t>
        </is>
      </c>
      <c r="W59" s="7839" t="n"/>
      <c r="X59" s="7839" t="n"/>
      <c r="Y59" s="7839" t="n"/>
      <c r="Z59" s="10091" t="n"/>
      <c r="AA59" s="12628" t="inlineStr">
        <is>
          <t>Overall gain or loss</t>
        </is>
      </c>
      <c r="AB59" s="7839" t="n"/>
      <c r="AC59" s="7839" t="n"/>
      <c r="AD59" s="7839" t="n"/>
      <c r="AE59" s="7839" t="n"/>
      <c r="AF59" s="7839" t="n"/>
      <c r="AG59" s="7839" t="n"/>
      <c r="AH59" s="7839" t="n"/>
      <c r="AI59" s="7839" t="n"/>
      <c r="AJ59" s="7839" t="n"/>
      <c r="AK59" s="2013" t="n"/>
      <c r="AL59" s="11602" t="n"/>
      <c r="AM59" s="11602" t="n"/>
      <c r="AN59" s="10569" t="n"/>
      <c r="AO59" s="5024" t="n"/>
      <c r="AP59" s="5024" t="n"/>
      <c r="AQ59" s="408" t="n"/>
      <c r="AR59" s="11602" t="n"/>
      <c r="AU59" s="5025" t="n"/>
      <c r="AV59" s="7958" t="n"/>
      <c r="AW59" s="4477" t="n"/>
      <c r="BH59" s="421" t="n"/>
      <c r="BI59" s="421" t="n"/>
    </row>
    <row r="60" ht="16.5" customHeight="1" s="7635">
      <c r="A60" s="2013" t="n"/>
      <c r="M60" s="7636" t="n"/>
      <c r="N60" s="3614" t="n"/>
      <c r="O60" s="7637" t="n"/>
      <c r="P60" s="7637" t="n"/>
      <c r="Q60" s="7637" t="n"/>
      <c r="R60" s="7637" t="n"/>
      <c r="S60" s="7637" t="n"/>
      <c r="T60" s="7637" t="n"/>
      <c r="U60" s="7638" t="n"/>
      <c r="V60" s="3614" t="n"/>
      <c r="W60" s="7637" t="n"/>
      <c r="X60" s="7637" t="n"/>
      <c r="Y60" s="7637" t="n"/>
      <c r="Z60" s="7638" t="n"/>
      <c r="AA60" s="3614" t="n"/>
      <c r="AB60" s="7637" t="n"/>
      <c r="AC60" s="7637" t="n"/>
      <c r="AD60" s="7637" t="n"/>
      <c r="AE60" s="7637" t="n"/>
      <c r="AF60" s="7637" t="n"/>
      <c r="AG60" s="7637" t="n"/>
      <c r="AH60" s="7637" t="n"/>
      <c r="AI60" s="7637" t="n"/>
      <c r="AJ60" s="7637" t="n"/>
      <c r="AK60" s="2013" t="n"/>
      <c r="AL60" s="11602" t="n"/>
      <c r="AM60" s="9239" t="n"/>
      <c r="AO60" s="5024" t="n"/>
      <c r="AP60" s="5024" t="n"/>
      <c r="AQ60" s="408" t="n"/>
      <c r="AR60" s="11602" t="n"/>
      <c r="AU60" s="5026">
        <f>IF(AU57&gt;1000000,TEXT(AU57,"$ 0,000,000"),IF(AU57&gt;1000,TEXT(AU57,"$ 0,000"),TEXT(AU57,"$ 0")))</f>
        <v/>
      </c>
      <c r="AV60" s="7958" t="n"/>
      <c r="AW60" s="10569" t="n"/>
      <c r="BH60" s="421" t="n"/>
      <c r="BI60" s="421" t="n"/>
    </row>
    <row r="61" ht="16.5" customHeight="1" s="7635">
      <c r="A61" s="2013" t="n"/>
      <c r="M61" s="7636" t="n"/>
      <c r="N61" s="12630" t="inlineStr">
        <is>
          <t>(a) Net income
(line 2a)</t>
        </is>
      </c>
      <c r="O61" s="7839" t="n"/>
      <c r="P61" s="7839" t="n"/>
      <c r="Q61" s="10091" t="n"/>
      <c r="R61" s="12630" t="inlineStr">
        <is>
          <t>(b) Net loss
(line 2b)</t>
        </is>
      </c>
      <c r="S61" s="7839" t="n"/>
      <c r="T61" s="7839" t="n"/>
      <c r="U61" s="10091" t="n"/>
      <c r="V61" s="12631" t="inlineStr">
        <is>
          <t>(c) Unallowed
loss (line 2c)</t>
        </is>
      </c>
      <c r="W61" s="7839" t="n"/>
      <c r="X61" s="7839" t="n"/>
      <c r="Y61" s="7839" t="n"/>
      <c r="Z61" s="10091" t="n"/>
      <c r="AA61" s="12632" t="inlineStr">
        <is>
          <t>(d) Gain</t>
        </is>
      </c>
      <c r="AB61" s="7839" t="n"/>
      <c r="AC61" s="7839" t="n"/>
      <c r="AD61" s="7839" t="n"/>
      <c r="AE61" s="10091" t="n"/>
      <c r="AF61" s="12633" t="inlineStr">
        <is>
          <t>(e)  Loss</t>
        </is>
      </c>
      <c r="AG61" s="7839" t="n"/>
      <c r="AH61" s="7839" t="n"/>
      <c r="AI61" s="7839" t="n"/>
      <c r="AJ61" s="7839" t="n"/>
      <c r="AK61" s="2013" t="n"/>
      <c r="AL61" s="11602" t="n"/>
      <c r="AM61" s="226" t="inlineStr">
        <is>
          <t>Manual</t>
        </is>
      </c>
      <c r="AO61" s="5024" t="n"/>
      <c r="AP61" s="5024" t="n"/>
      <c r="AQ61" s="408" t="n"/>
      <c r="AR61" s="11602" t="n"/>
      <c r="AU61" s="7570">
        <f>IF(AO40,"",IF(AO54,SUM(AU57,MIN(AE32,AE38)),""))</f>
        <v/>
      </c>
      <c r="AV61" s="7958" t="n"/>
      <c r="AW61" s="10569" t="n"/>
      <c r="BH61" s="421" t="n"/>
      <c r="BI61" s="421" t="n"/>
    </row>
    <row r="62" ht="16.5" customHeight="1" s="7635" thickBot="1">
      <c r="A62" s="2013" t="n"/>
      <c r="B62" s="7637" t="n"/>
      <c r="C62" s="7637" t="n"/>
      <c r="D62" s="7637" t="n"/>
      <c r="E62" s="7637" t="n"/>
      <c r="F62" s="7637" t="n"/>
      <c r="G62" s="7637" t="n"/>
      <c r="H62" s="7637" t="n"/>
      <c r="I62" s="7637" t="n"/>
      <c r="J62" s="7637" t="n"/>
      <c r="K62" s="7637" t="n"/>
      <c r="L62" s="7637" t="n"/>
      <c r="M62" s="7638" t="n"/>
      <c r="N62" s="3614" t="n"/>
      <c r="O62" s="7637" t="n"/>
      <c r="P62" s="7637" t="n"/>
      <c r="Q62" s="7638" t="n"/>
      <c r="R62" s="3614" t="n"/>
      <c r="S62" s="7637" t="n"/>
      <c r="T62" s="7637" t="n"/>
      <c r="U62" s="7638" t="n"/>
      <c r="V62" s="3614" t="n"/>
      <c r="W62" s="7637" t="n"/>
      <c r="X62" s="7637" t="n"/>
      <c r="Y62" s="7637" t="n"/>
      <c r="Z62" s="7638" t="n"/>
      <c r="AA62" s="3614" t="n"/>
      <c r="AB62" s="7637" t="n"/>
      <c r="AC62" s="7637" t="n"/>
      <c r="AD62" s="7637" t="n"/>
      <c r="AE62" s="7638" t="n"/>
      <c r="AF62" s="3614" t="n"/>
      <c r="AG62" s="7637" t="n"/>
      <c r="AH62" s="7637" t="n"/>
      <c r="AI62" s="7637" t="n"/>
      <c r="AJ62" s="7637" t="n"/>
      <c r="AK62" s="2013" t="n"/>
      <c r="AL62" s="11602" t="n"/>
      <c r="AM62" s="226" t="inlineStr">
        <is>
          <t>Override ê</t>
        </is>
      </c>
      <c r="AO62" s="5024" t="n"/>
      <c r="AP62" s="5024" t="n"/>
      <c r="AQ62" s="408" t="n"/>
      <c r="AR62" s="11602" t="n"/>
      <c r="AS62" s="11594">
        <f>AND(AO54,File_Marr_Sep&lt;&gt;"",LivedApart)</f>
        <v/>
      </c>
      <c r="AT62" s="11602" t="n"/>
      <c r="AU62" s="11602" t="n"/>
      <c r="AV62" s="7958" t="n"/>
      <c r="AW62" s="10569" t="n"/>
      <c r="BH62" s="421" t="n"/>
      <c r="BI62" s="421" t="n"/>
    </row>
    <row r="63" ht="18.75" customHeight="1" s="7635" thickBot="1">
      <c r="A63" s="2013" t="n"/>
      <c r="B63" s="10032" t="n"/>
      <c r="C63" s="8007" t="n"/>
      <c r="D63" s="8007" t="n"/>
      <c r="E63" s="8007" t="n"/>
      <c r="F63" s="8007" t="n"/>
      <c r="G63" s="8007" t="n"/>
      <c r="H63" s="8007" t="n"/>
      <c r="I63" s="8007" t="n"/>
      <c r="J63" s="8007" t="n"/>
      <c r="K63" s="8007" t="n"/>
      <c r="L63" s="8007" t="n"/>
      <c r="M63" s="8008" t="n"/>
      <c r="N63" s="12634" t="n"/>
      <c r="O63" s="8007" t="n"/>
      <c r="P63" s="8007" t="n"/>
      <c r="Q63" s="8008" t="n"/>
      <c r="R63" s="12634" t="n"/>
      <c r="S63" s="8007" t="n"/>
      <c r="T63" s="8007" t="n"/>
      <c r="U63" s="8008" t="n"/>
      <c r="V63" s="12634" t="n"/>
      <c r="W63" s="8007" t="n"/>
      <c r="X63" s="8007" t="n"/>
      <c r="Y63" s="8007" t="n"/>
      <c r="Z63" s="8008" t="n"/>
      <c r="AA63" s="12635">
        <f>IF(AND(AM63&lt;&gt;"",AM63&gt;0),ROUND(AM63,0),IF(AND(AM63&lt;&gt;"",AM63&lt;0),"",IF(SUM(N63,-R63,-V63)&gt;0,SUM(N63,-R63,-V63),"")))</f>
        <v/>
      </c>
      <c r="AB63" s="8412" t="n"/>
      <c r="AC63" s="8412" t="n"/>
      <c r="AD63" s="8412" t="n"/>
      <c r="AE63" s="11734" t="n"/>
      <c r="AF63" s="10554">
        <f>IF(AND(AM63&lt;&gt;"",AM63&lt;0),-ROUND(AM63,0),IF(AND(AM63&lt;&gt;"",AM63&gt;0),"",IF(SUM(N63,-R63,-V63)&lt;0,-SUM(N63,-R63,-V63),"")))</f>
        <v/>
      </c>
      <c r="AG63" s="8412" t="n"/>
      <c r="AH63" s="8412" t="n"/>
      <c r="AI63" s="8412" t="n"/>
      <c r="AJ63" s="8412" t="n"/>
      <c r="AK63" s="2013" t="n"/>
      <c r="AL63" s="11602" t="n"/>
      <c r="AM63" s="6988" t="n"/>
      <c r="AN63" s="7957" t="n"/>
      <c r="AO63" s="5028" t="n"/>
      <c r="AP63" s="5028" t="n"/>
      <c r="AQ63" s="566" t="n"/>
      <c r="AR63" s="2046">
        <f>"* Enter "&amp;TEXT(AO37/2,"$0,000")&amp;" (reduced by the amount, if any, of the smaller of Part II, line 4"</f>
        <v/>
      </c>
      <c r="AS63" s="5029" t="n"/>
      <c r="AT63" s="5029" t="n"/>
      <c r="AU63" s="5029" t="n"/>
      <c r="AV63" s="4978" t="n"/>
      <c r="AW63" s="10569" t="n"/>
    </row>
    <row r="64" ht="18.75" customHeight="1" s="7635" thickBot="1">
      <c r="A64" s="2013" t="n"/>
      <c r="B64" s="10032" t="n"/>
      <c r="C64" s="8007" t="n"/>
      <c r="D64" s="8007" t="n"/>
      <c r="E64" s="8007" t="n"/>
      <c r="F64" s="8007" t="n"/>
      <c r="G64" s="8007" t="n"/>
      <c r="H64" s="8007" t="n"/>
      <c r="I64" s="8007" t="n"/>
      <c r="J64" s="8007" t="n"/>
      <c r="K64" s="8007" t="n"/>
      <c r="L64" s="8007" t="n"/>
      <c r="M64" s="8008" t="n"/>
      <c r="N64" s="12634" t="n"/>
      <c r="O64" s="8007" t="n"/>
      <c r="P64" s="8007" t="n"/>
      <c r="Q64" s="8008" t="n"/>
      <c r="R64" s="12634" t="n"/>
      <c r="S64" s="8007" t="n"/>
      <c r="T64" s="8007" t="n"/>
      <c r="U64" s="8008" t="n"/>
      <c r="V64" s="12634" t="n"/>
      <c r="W64" s="8007" t="n"/>
      <c r="X64" s="8007" t="n"/>
      <c r="Y64" s="8007" t="n"/>
      <c r="Z64" s="8008" t="n"/>
      <c r="AA64" s="12635">
        <f>IF(AND(AM64&lt;&gt;"",AM64&gt;0),ROUND(AM64,0),IF(AND(AM64&lt;&gt;"",AM64&lt;0),"",IF(SUM(N64,-R64,-V64)&gt;0,SUM(N64,-R64,-V64),"")))</f>
        <v/>
      </c>
      <c r="AB64" s="8412" t="n"/>
      <c r="AC64" s="8412" t="n"/>
      <c r="AD64" s="8412" t="n"/>
      <c r="AE64" s="11734" t="n"/>
      <c r="AF64" s="10554">
        <f>IF(AND(AM64&lt;&gt;"",AM64&lt;0),-ROUND(AM64,0),IF(AND(AM64&lt;&gt;"",AM64&gt;0),"",IF(SUM(N64,-R64,-V64)&lt;0,-SUM(N64,-R64,-V64),"")))</f>
        <v/>
      </c>
      <c r="AG64" s="8412" t="n"/>
      <c r="AH64" s="8412" t="n"/>
      <c r="AI64" s="8412" t="n"/>
      <c r="AJ64" s="8412" t="n"/>
      <c r="AK64" s="2013" t="n"/>
      <c r="AL64" s="4477" t="n"/>
      <c r="AM64" s="6988" t="n"/>
      <c r="AN64" s="7957" t="n"/>
      <c r="AO64" s="5028" t="n"/>
      <c r="AP64" s="5028" t="n"/>
      <c r="AQ64" s="5013" t="n"/>
      <c r="AR64" s="5030" t="inlineStr">
        <is>
          <t>or line 8) on line A if you’re married but filing a separate return and you and</t>
        </is>
      </c>
      <c r="AS64" s="5029" t="n"/>
      <c r="AT64" s="5029" t="n"/>
      <c r="AU64" s="5029" t="n"/>
      <c r="AV64" s="409" t="n"/>
      <c r="AW64" s="7957" t="n"/>
    </row>
    <row r="65" ht="18.75" customHeight="1" s="7635" thickBot="1">
      <c r="A65" s="2013" t="n"/>
      <c r="B65" s="10032" t="n"/>
      <c r="C65" s="8007" t="n"/>
      <c r="D65" s="8007" t="n"/>
      <c r="E65" s="8007" t="n"/>
      <c r="F65" s="8007" t="n"/>
      <c r="G65" s="8007" t="n"/>
      <c r="H65" s="8007" t="n"/>
      <c r="I65" s="8007" t="n"/>
      <c r="J65" s="8007" t="n"/>
      <c r="K65" s="8007" t="n"/>
      <c r="L65" s="8007" t="n"/>
      <c r="M65" s="8008" t="n"/>
      <c r="N65" s="12634" t="n"/>
      <c r="O65" s="8007" t="n"/>
      <c r="P65" s="8007" t="n"/>
      <c r="Q65" s="8008" t="n"/>
      <c r="R65" s="12634" t="n"/>
      <c r="S65" s="8007" t="n"/>
      <c r="T65" s="8007" t="n"/>
      <c r="U65" s="8008" t="n"/>
      <c r="V65" s="12634" t="n"/>
      <c r="W65" s="8007" t="n"/>
      <c r="X65" s="8007" t="n"/>
      <c r="Y65" s="8007" t="n"/>
      <c r="Z65" s="8008" t="n"/>
      <c r="AA65" s="12635">
        <f>IF(AND(AM65&lt;&gt;"",AM65&gt;0),ROUND(AM65,0),IF(AND(AM65&lt;&gt;"",AM65&lt;0),"",IF(SUM(N65,-R65,-V65)&gt;0,SUM(N65,-R65,-V65),"")))</f>
        <v/>
      </c>
      <c r="AB65" s="8412" t="n"/>
      <c r="AC65" s="8412" t="n"/>
      <c r="AD65" s="8412" t="n"/>
      <c r="AE65" s="11734" t="n"/>
      <c r="AF65" s="10554">
        <f>IF(AND(AM65&lt;&gt;"",AM65&lt;0),-ROUND(AM65,0),IF(AND(AM65&lt;&gt;"",AM65&gt;0),"",IF(SUM(N65,-R65,-V65)&lt;0,-SUM(N65,-R65,-V65),"")))</f>
        <v/>
      </c>
      <c r="AG65" s="8412" t="n"/>
      <c r="AH65" s="8412" t="n"/>
      <c r="AI65" s="8412" t="n"/>
      <c r="AJ65" s="8412" t="n"/>
      <c r="AK65" s="2013" t="n"/>
      <c r="AL65" s="4477" t="n"/>
      <c r="AM65" s="6988" t="n"/>
      <c r="AN65" s="7957" t="n"/>
      <c r="AO65" s="5028" t="n"/>
      <c r="AP65" s="5028" t="n"/>
      <c r="AQ65" s="408" t="n"/>
      <c r="AR65" s="5030" t="inlineStr">
        <is>
          <t>your spouse lived apart at all times during the year.</t>
        </is>
      </c>
      <c r="AS65" s="5029" t="n"/>
      <c r="AT65" s="11602" t="n"/>
      <c r="AU65" s="5031">
        <f>IF(AND(File_Marr_Sep&lt;&gt;"",LivedApart),AO37/2,AO37)</f>
        <v/>
      </c>
      <c r="AV65" s="409" t="n"/>
      <c r="AW65" s="7957" t="n"/>
    </row>
    <row r="66" ht="18.75" customHeight="1" s="7635" thickBot="1">
      <c r="A66" s="2013" t="n"/>
      <c r="B66" s="10032" t="n"/>
      <c r="C66" s="8007" t="n"/>
      <c r="D66" s="8007" t="n"/>
      <c r="E66" s="8007" t="n"/>
      <c r="F66" s="8007" t="n"/>
      <c r="G66" s="8007" t="n"/>
      <c r="H66" s="8007" t="n"/>
      <c r="I66" s="8007" t="n"/>
      <c r="J66" s="8007" t="n"/>
      <c r="K66" s="8007" t="n"/>
      <c r="L66" s="8007" t="n"/>
      <c r="M66" s="8008" t="n"/>
      <c r="N66" s="12634" t="n"/>
      <c r="O66" s="8007" t="n"/>
      <c r="P66" s="8007" t="n"/>
      <c r="Q66" s="8008" t="n"/>
      <c r="R66" s="12634" t="n"/>
      <c r="S66" s="8007" t="n"/>
      <c r="T66" s="8007" t="n"/>
      <c r="U66" s="8008" t="n"/>
      <c r="V66" s="12634" t="n"/>
      <c r="W66" s="8007" t="n"/>
      <c r="X66" s="8007" t="n"/>
      <c r="Y66" s="8007" t="n"/>
      <c r="Z66" s="8008" t="n"/>
      <c r="AA66" s="12635">
        <f>IF(AND(AM66&lt;&gt;"",AM66&gt;0),ROUND(AM66,0),IF(AND(AM66&lt;&gt;"",AM66&lt;0),"",IF(SUM(N66,-R66,-V66)&gt;0,SUM(N66,-R66,-V66),"")))</f>
        <v/>
      </c>
      <c r="AB66" s="8412" t="n"/>
      <c r="AC66" s="8412" t="n"/>
      <c r="AD66" s="8412" t="n"/>
      <c r="AE66" s="11734" t="n"/>
      <c r="AF66" s="10554">
        <f>IF(AND(AM66&lt;&gt;"",AM66&lt;0),-ROUND(AM66,0),IF(AND(AM66&lt;&gt;"",AM66&gt;0),"",IF(SUM(N66,-R66,-V66)&lt;0,-SUM(N66,-R66,-V66),"")))</f>
        <v/>
      </c>
      <c r="AG66" s="8412" t="n"/>
      <c r="AH66" s="8412" t="n"/>
      <c r="AI66" s="8412" t="n"/>
      <c r="AJ66" s="8412" t="n"/>
      <c r="AK66" s="2013" t="n"/>
      <c r="AL66" s="4477" t="n"/>
      <c r="AM66" s="6988" t="n"/>
      <c r="AN66" s="7957" t="n"/>
      <c r="AO66" s="5028" t="n"/>
      <c r="AP66" s="5028" t="n"/>
      <c r="AQ66" s="5032" t="n"/>
      <c r="AR66" s="5033" t="n"/>
      <c r="AS66" s="5033" t="n"/>
      <c r="AT66" s="5033" t="n"/>
      <c r="AU66" s="5033" t="n"/>
      <c r="AV66" s="414" t="n"/>
      <c r="AW66" s="7957" t="n"/>
    </row>
    <row r="67" ht="18.75" customHeight="1" s="7635" thickBot="1">
      <c r="A67" s="2013" t="n"/>
      <c r="B67" s="10636" t="n"/>
      <c r="C67" s="11809" t="n"/>
      <c r="D67" s="11809" t="n"/>
      <c r="E67" s="11809" t="n"/>
      <c r="F67" s="11809" t="n"/>
      <c r="G67" s="11809" t="n"/>
      <c r="H67" s="11809" t="n"/>
      <c r="I67" s="11809" t="n"/>
      <c r="J67" s="11809" t="n"/>
      <c r="K67" s="11809" t="n"/>
      <c r="L67" s="11809" t="n"/>
      <c r="M67" s="11810" t="n"/>
      <c r="N67" s="12636" t="n"/>
      <c r="O67" s="11745" t="n"/>
      <c r="P67" s="11745" t="n"/>
      <c r="Q67" s="11948" t="n"/>
      <c r="R67" s="12636" t="n"/>
      <c r="S67" s="11745" t="n"/>
      <c r="T67" s="11745" t="n"/>
      <c r="U67" s="11948" t="n"/>
      <c r="V67" s="12636" t="n"/>
      <c r="W67" s="11745" t="n"/>
      <c r="X67" s="11745" t="n"/>
      <c r="Y67" s="11745" t="n"/>
      <c r="Z67" s="11948" t="n"/>
      <c r="AA67" s="12635">
        <f>IF(AND(AM67&lt;&gt;"",AM67&gt;0),ROUND(AM67,0),IF(AND(AM67&lt;&gt;"",AM67&lt;0),"",IF(SUM(N67,-R67,-V67)&gt;0,SUM(N67,-R67,-V67),"")))</f>
        <v/>
      </c>
      <c r="AB67" s="8412" t="n"/>
      <c r="AC67" s="8412" t="n"/>
      <c r="AD67" s="8412" t="n"/>
      <c r="AE67" s="11734" t="n"/>
      <c r="AF67" s="10554">
        <f>IF(AND(AM67&lt;&gt;"",AM67&lt;0),-ROUND(AM67,0),IF(AND(AM67&lt;&gt;"",AM67&gt;0),"",IF(SUM(N67,-R67,-V67)&lt;0,-SUM(N67,-R67,-V67),"")))</f>
        <v/>
      </c>
      <c r="AG67" s="8412" t="n"/>
      <c r="AH67" s="8412" t="n"/>
      <c r="AI67" s="8412" t="n"/>
      <c r="AJ67" s="8412" t="n"/>
      <c r="AK67" s="2013" t="n"/>
      <c r="AL67" s="7914" t="n"/>
      <c r="AM67" s="6988" t="n"/>
      <c r="AN67" s="7957" t="n"/>
      <c r="AO67" s="5028" t="n"/>
      <c r="AP67" s="5028" t="n"/>
      <c r="AQ67" s="711" t="n"/>
      <c r="AR67" s="11602" t="n"/>
      <c r="AS67" s="11602" t="n"/>
      <c r="AT67" s="11602" t="n"/>
      <c r="AU67" s="11602" t="n"/>
      <c r="AV67" s="11602" t="n"/>
      <c r="AW67" s="7957" t="n"/>
    </row>
    <row r="68" ht="16.5" customHeight="1" s="7635">
      <c r="A68" s="2013" t="n"/>
      <c r="B68" s="377" t="n"/>
      <c r="C68" s="5019" t="n"/>
      <c r="D68" s="5019" t="n"/>
      <c r="E68" s="5019" t="n"/>
      <c r="F68" s="5019" t="n"/>
      <c r="G68" s="5019" t="n"/>
      <c r="H68" s="5019" t="n"/>
      <c r="I68" s="5019" t="n"/>
      <c r="J68" s="5019" t="n"/>
      <c r="K68" s="5019" t="n"/>
      <c r="L68" s="5019" t="n"/>
      <c r="M68" s="5019" t="n"/>
      <c r="N68" s="12637">
        <f>SUM(ROUND(N63,0),ROUND(N64,0),ROUND(N65,0),ROUND(N66,0),ROUND(N67,0))</f>
        <v/>
      </c>
      <c r="O68" s="2506" t="n"/>
      <c r="P68" s="2506" t="n"/>
      <c r="Q68" s="11716" t="n"/>
      <c r="R68" s="12638">
        <f>SUM(ROUND(R63,0),ROUND(R64,0),ROUND(R65,0),ROUND(R66,0),ROUND(R67,0))</f>
        <v/>
      </c>
      <c r="S68" s="2506" t="n"/>
      <c r="T68" s="2506" t="n"/>
      <c r="U68" s="11716" t="n"/>
      <c r="V68" s="12638">
        <f>SUM(ROUND(V63,0),ROUND(V64,0),ROUND(V65,0),ROUND(V66,0),ROUND(V67,0))</f>
        <v/>
      </c>
      <c r="W68" s="2506" t="n"/>
      <c r="X68" s="2506" t="n"/>
      <c r="Y68" s="2506" t="n"/>
      <c r="Z68" s="11716" t="n"/>
      <c r="AA68" s="12639" t="n"/>
      <c r="AB68" s="2506" t="n"/>
      <c r="AC68" s="2506" t="n"/>
      <c r="AD68" s="2506" t="n"/>
      <c r="AE68" s="11716" t="n"/>
      <c r="AF68" s="12640" t="n"/>
      <c r="AG68" s="2506" t="n"/>
      <c r="AH68" s="2506" t="n"/>
      <c r="AI68" s="2506" t="n"/>
      <c r="AJ68" s="2506" t="n"/>
      <c r="AK68" s="2013" t="n"/>
      <c r="AL68" s="7914" t="n"/>
      <c r="AM68" s="2868" t="n"/>
      <c r="AN68" s="11602" t="n"/>
      <c r="AO68" s="724" t="n"/>
      <c r="AP68" s="724" t="n"/>
      <c r="AQ68" s="11602" t="n"/>
      <c r="AR68" s="11602" t="n"/>
      <c r="AS68" s="11602" t="n"/>
      <c r="AT68" s="11602" t="n"/>
      <c r="AU68" s="11602" t="n"/>
      <c r="AV68" s="7957" t="n"/>
      <c r="AW68" s="7957" t="n"/>
      <c r="BJ68" s="7970" t="n"/>
    </row>
    <row r="69" ht="16.5" customHeight="1" s="7635" thickBot="1">
      <c r="A69" s="2013" t="n"/>
      <c r="B69" s="5020" t="inlineStr">
        <is>
          <t>Total.  Enter on Part I, lines 2a, 2b, and 2c</t>
        </is>
      </c>
      <c r="C69" s="5021" t="n"/>
      <c r="D69" s="5021" t="n"/>
      <c r="E69" s="5021" t="n"/>
      <c r="F69" s="5021" t="n"/>
      <c r="G69" s="5021" t="n"/>
      <c r="H69" s="5021" t="n"/>
      <c r="I69" s="5021" t="n"/>
      <c r="J69" s="5021" t="n"/>
      <c r="K69" s="5021" t="n"/>
      <c r="L69" s="5021" t="n"/>
      <c r="M69" s="5021" t="inlineStr">
        <is>
          <t xml:space="preserve">.   .   .  </t>
        </is>
      </c>
      <c r="N69" s="12641">
        <f>IF(OR(N68=0,ISERROR(N68)),"",N68)</f>
        <v/>
      </c>
      <c r="O69" s="8848" t="n"/>
      <c r="P69" s="8848" t="n"/>
      <c r="Q69" s="12121" t="n"/>
      <c r="R69" s="12641">
        <f>IF(OR(R68=0,ISERROR(R68)),"",R68)</f>
        <v/>
      </c>
      <c r="S69" s="8848" t="n"/>
      <c r="T69" s="8848" t="n"/>
      <c r="U69" s="12121" t="n"/>
      <c r="V69" s="12641">
        <f>IF(OR(V68=0,ISERROR(V68)),"",V68)</f>
        <v/>
      </c>
      <c r="W69" s="8848" t="n"/>
      <c r="X69" s="8848" t="n"/>
      <c r="Y69" s="8848" t="n"/>
      <c r="Z69" s="12121" t="n"/>
      <c r="AA69" s="11950" t="n"/>
      <c r="AB69" s="8848" t="n"/>
      <c r="AC69" s="8848" t="n"/>
      <c r="AD69" s="8848" t="n"/>
      <c r="AE69" s="12121" t="n"/>
      <c r="AF69" s="11950" t="n"/>
      <c r="AG69" s="8848" t="n"/>
      <c r="AH69" s="8848" t="n"/>
      <c r="AI69" s="8848" t="n"/>
      <c r="AJ69" s="8848" t="n"/>
      <c r="AK69" s="2013" t="n"/>
      <c r="AL69" s="712" t="n"/>
      <c r="AM69" s="344" t="n"/>
      <c r="AN69" s="11602" t="n"/>
      <c r="AO69" s="724" t="n"/>
      <c r="AP69" s="724" t="n"/>
      <c r="AQ69" s="11602" t="n"/>
      <c r="AR69" s="11602" t="n"/>
      <c r="AS69" s="11602" t="n"/>
      <c r="AT69" s="11602" t="n"/>
      <c r="AU69" s="11602" t="n"/>
      <c r="AV69" s="11602" t="n"/>
      <c r="AW69" s="11602" t="n"/>
    </row>
    <row r="70" ht="16.5" customFormat="1" customHeight="1" s="815">
      <c r="A70" s="2013" t="n"/>
      <c r="B70" s="10206" t="inlineStr">
        <is>
          <t>Part VI</t>
        </is>
      </c>
      <c r="C70" s="2506" t="n"/>
      <c r="D70" s="4490" t="n"/>
      <c r="E70" s="4491" t="inlineStr">
        <is>
          <t>Use This Part if an Amount Is Shown on Part II, Line 9. See instructions.</t>
        </is>
      </c>
      <c r="F70" s="377" t="n"/>
      <c r="G70" s="377" t="n"/>
      <c r="H70" s="377" t="n"/>
      <c r="I70" s="377" t="n"/>
      <c r="J70" s="377" t="n"/>
      <c r="K70" s="377" t="n"/>
      <c r="L70" s="377" t="n"/>
      <c r="M70" s="377" t="n"/>
      <c r="N70" s="377" t="n"/>
      <c r="O70" s="377" t="n"/>
      <c r="P70" s="377" t="n"/>
      <c r="Q70" s="377" t="n"/>
      <c r="R70" s="377" t="n"/>
      <c r="S70" s="377" t="n"/>
      <c r="T70" s="377" t="n"/>
      <c r="U70" s="377" t="n"/>
      <c r="V70" s="377" t="n"/>
      <c r="W70" s="377" t="n"/>
      <c r="X70" s="377" t="n"/>
      <c r="Y70" s="377" t="n"/>
      <c r="Z70" s="377" t="n"/>
      <c r="AA70" s="377" t="n"/>
      <c r="AB70" s="377" t="n"/>
      <c r="AC70" s="377" t="n"/>
      <c r="AD70" s="377" t="n"/>
      <c r="AE70" s="377" t="n"/>
      <c r="AF70" s="377" t="n"/>
      <c r="AG70" s="377" t="n"/>
      <c r="AH70" s="377" t="n"/>
      <c r="AI70" s="377" t="n"/>
      <c r="AJ70" s="377" t="n"/>
      <c r="AK70" s="2013" t="n"/>
      <c r="AL70" s="4479" t="n"/>
      <c r="AM70" s="5034" t="n"/>
      <c r="AN70" s="4477" t="n"/>
      <c r="AO70" s="5007">
        <f>AND(F8582_Line9&lt;&gt;"",F8582_Line9&lt;&gt;0)</f>
        <v/>
      </c>
      <c r="AP70" s="5007" t="n"/>
      <c r="AQ70" s="11602" t="n"/>
      <c r="AR70" s="11602" t="n"/>
      <c r="AS70" s="11602" t="n"/>
      <c r="AT70" s="11602" t="n"/>
      <c r="AU70" s="11602" t="n"/>
      <c r="AV70" s="11602" t="n"/>
      <c r="AW70" s="11602" t="n"/>
      <c r="AX70" s="12013" t="n"/>
      <c r="AY70" s="658" t="n"/>
      <c r="AZ70" s="658" t="n"/>
      <c r="BA70" s="658" t="n"/>
      <c r="BB70" s="658" t="n"/>
      <c r="BC70" s="658" t="n"/>
      <c r="BD70" s="658" t="n"/>
      <c r="BE70" s="658" t="n"/>
      <c r="BF70" s="658" t="n"/>
      <c r="BG70" s="658" t="n"/>
    </row>
    <row r="71" ht="16.5" customHeight="1" s="7635">
      <c r="A71" s="2013" t="n"/>
      <c r="B71" s="12626" t="inlineStr">
        <is>
          <t>Name of activity</t>
        </is>
      </c>
      <c r="C71" s="7839" t="n"/>
      <c r="D71" s="7839" t="n"/>
      <c r="E71" s="7839" t="n"/>
      <c r="F71" s="7839" t="n"/>
      <c r="G71" s="7839" t="n"/>
      <c r="H71" s="7839" t="n"/>
      <c r="I71" s="7839" t="n"/>
      <c r="J71" s="7839" t="n"/>
      <c r="K71" s="7839" t="n"/>
      <c r="L71" s="7839" t="n"/>
      <c r="M71" s="10091" t="n"/>
      <c r="N71" s="12642" t="inlineStr">
        <is>
          <t>Form or schedule
and line number
to be reported on
(see instructions)</t>
        </is>
      </c>
      <c r="O71" s="7839" t="n"/>
      <c r="P71" s="7839" t="n"/>
      <c r="Q71" s="10091" t="n"/>
      <c r="R71" s="12643" t="inlineStr">
        <is>
          <t>(a) Loss</t>
        </is>
      </c>
      <c r="S71" s="7839" t="n"/>
      <c r="T71" s="7839" t="n"/>
      <c r="U71" s="10091" t="n"/>
      <c r="V71" s="12631" t="inlineStr">
        <is>
          <t>(b) Ratio</t>
        </is>
      </c>
      <c r="W71" s="7839" t="n"/>
      <c r="X71" s="7839" t="n"/>
      <c r="Y71" s="7839" t="n"/>
      <c r="Z71" s="10091" t="n"/>
      <c r="AA71" s="12643" t="inlineStr">
        <is>
          <t>(c) Special allowance</t>
        </is>
      </c>
      <c r="AB71" s="7839" t="n"/>
      <c r="AC71" s="7839" t="n"/>
      <c r="AD71" s="7839" t="n"/>
      <c r="AE71" s="10091" t="n"/>
      <c r="AF71" s="12644" t="inlineStr">
        <is>
          <t>(d)  Subtract
column (c) from
column (a).</t>
        </is>
      </c>
      <c r="AG71" s="7839" t="n"/>
      <c r="AH71" s="7839" t="n"/>
      <c r="AI71" s="7839" t="n"/>
      <c r="AJ71" s="7839" t="n"/>
      <c r="AK71" s="2013" t="n"/>
      <c r="AL71" s="11602" t="n"/>
      <c r="AM71" s="11602" t="n"/>
      <c r="AN71" s="11602" t="n"/>
      <c r="AO71" s="5007">
        <f>NOT(AO70)</f>
        <v/>
      </c>
      <c r="AP71" s="724" t="n"/>
      <c r="AQ71" s="11602" t="n"/>
      <c r="AR71" s="11602" t="n"/>
      <c r="AS71" s="11602" t="n"/>
      <c r="AT71" s="11602" t="n"/>
      <c r="AU71" s="11602" t="n"/>
      <c r="AV71" s="4477" t="n"/>
      <c r="AW71" s="4477" t="n"/>
      <c r="BH71" s="421" t="n"/>
      <c r="BI71" s="421" t="n"/>
    </row>
    <row r="72" ht="16.5" customHeight="1" s="7635">
      <c r="A72" s="2013" t="n"/>
      <c r="M72" s="7636" t="n"/>
      <c r="N72" s="4772" t="n"/>
      <c r="Q72" s="7636" t="n"/>
      <c r="R72" s="4772" t="n"/>
      <c r="U72" s="7636" t="n"/>
      <c r="V72" s="4772" t="n"/>
      <c r="Z72" s="7636" t="n"/>
      <c r="AA72" s="4772" t="n"/>
      <c r="AE72" s="7636" t="n"/>
      <c r="AK72" s="2013" t="n"/>
      <c r="AL72" s="11602" t="n"/>
      <c r="AM72" s="9239" t="n"/>
      <c r="AN72" s="11602" t="n"/>
      <c r="AO72" s="724" t="n"/>
      <c r="AP72" s="724" t="n"/>
      <c r="AQ72" s="711" t="n"/>
      <c r="AR72" s="711" t="n"/>
      <c r="AS72" s="11602" t="n"/>
      <c r="AT72" s="11602" t="n"/>
      <c r="AU72" s="11602" t="n"/>
      <c r="AV72" s="11602" t="n"/>
      <c r="AW72" s="11602" t="n"/>
      <c r="BH72" s="421" t="n"/>
      <c r="BI72" s="421" t="n"/>
    </row>
    <row r="73" ht="16.5" customHeight="1" s="7635">
      <c r="A73" s="2013" t="n"/>
      <c r="M73" s="7636" t="n"/>
      <c r="N73" s="4772" t="n"/>
      <c r="Q73" s="7636" t="n"/>
      <c r="R73" s="4772" t="n"/>
      <c r="U73" s="7636" t="n"/>
      <c r="V73" s="4772" t="n"/>
      <c r="Z73" s="7636" t="n"/>
      <c r="AA73" s="4772" t="n"/>
      <c r="AE73" s="7636" t="n"/>
      <c r="AK73" s="2013" t="n"/>
      <c r="AL73" s="11602" t="n"/>
      <c r="AM73" s="226" t="inlineStr">
        <is>
          <t>Manual</t>
        </is>
      </c>
      <c r="AN73" s="11602" t="n"/>
      <c r="AO73" s="724" t="n"/>
      <c r="AP73" s="724" t="n"/>
      <c r="AQ73" s="711" t="n"/>
      <c r="AR73" s="711" t="n"/>
      <c r="AS73" s="711" t="n"/>
      <c r="AT73" s="711" t="n"/>
      <c r="AU73" s="711" t="n"/>
      <c r="AV73" s="11602" t="n"/>
      <c r="AW73" s="11602" t="n"/>
      <c r="BH73" s="421" t="n"/>
      <c r="BI73" s="421" t="n"/>
    </row>
    <row r="74" ht="16.5" customHeight="1" s="7635" thickBot="1">
      <c r="A74" s="2013" t="n"/>
      <c r="B74" s="7637" t="n"/>
      <c r="C74" s="7637" t="n"/>
      <c r="D74" s="7637" t="n"/>
      <c r="E74" s="7637" t="n"/>
      <c r="F74" s="7637" t="n"/>
      <c r="G74" s="7637" t="n"/>
      <c r="H74" s="7637" t="n"/>
      <c r="I74" s="7637" t="n"/>
      <c r="J74" s="7637" t="n"/>
      <c r="K74" s="7637" t="n"/>
      <c r="L74" s="7637" t="n"/>
      <c r="M74" s="7638" t="n"/>
      <c r="N74" s="3614" t="n"/>
      <c r="O74" s="7637" t="n"/>
      <c r="P74" s="7637" t="n"/>
      <c r="Q74" s="7638" t="n"/>
      <c r="R74" s="3614" t="n"/>
      <c r="S74" s="7637" t="n"/>
      <c r="T74" s="7637" t="n"/>
      <c r="U74" s="7638" t="n"/>
      <c r="V74" s="3614" t="n"/>
      <c r="W74" s="7637" t="n"/>
      <c r="X74" s="7637" t="n"/>
      <c r="Y74" s="7637" t="n"/>
      <c r="Z74" s="7638" t="n"/>
      <c r="AA74" s="3614" t="n"/>
      <c r="AB74" s="7637" t="n"/>
      <c r="AC74" s="7637" t="n"/>
      <c r="AD74" s="7637" t="n"/>
      <c r="AE74" s="7638" t="n"/>
      <c r="AF74" s="7637" t="n"/>
      <c r="AG74" s="7637" t="n"/>
      <c r="AH74" s="7637" t="n"/>
      <c r="AI74" s="7637" t="n"/>
      <c r="AJ74" s="7637" t="n"/>
      <c r="AK74" s="2013" t="n"/>
      <c r="AL74" s="11602" t="n"/>
      <c r="AM74" s="226" t="inlineStr">
        <is>
          <t>Override ê</t>
        </is>
      </c>
      <c r="AN74" s="11602" t="n"/>
      <c r="AO74" s="724" t="n"/>
      <c r="AP74" s="724" t="n"/>
      <c r="AQ74" s="711" t="n"/>
      <c r="AR74" s="711" t="n"/>
      <c r="AS74" s="711" t="n"/>
      <c r="AT74" s="711" t="n"/>
      <c r="AU74" s="711" t="n"/>
      <c r="AV74" s="11602" t="n"/>
      <c r="AW74" s="11602" t="n"/>
      <c r="BH74" s="421" t="n"/>
      <c r="BI74" s="421" t="n"/>
    </row>
    <row r="75" ht="18.75" customHeight="1" s="7635" thickBot="1">
      <c r="A75" s="2013" t="n"/>
      <c r="B75" s="10032" t="n"/>
      <c r="C75" s="8007" t="n"/>
      <c r="D75" s="8007" t="n"/>
      <c r="E75" s="8007" t="n"/>
      <c r="F75" s="8007" t="n"/>
      <c r="G75" s="8007" t="n"/>
      <c r="H75" s="8007" t="n"/>
      <c r="I75" s="8007" t="n"/>
      <c r="J75" s="8007" t="n"/>
      <c r="K75" s="8007" t="n"/>
      <c r="L75" s="8007" t="n"/>
      <c r="M75" s="8008" t="n"/>
      <c r="N75" s="12645" t="n"/>
      <c r="O75" s="8007" t="n"/>
      <c r="P75" s="8007" t="n"/>
      <c r="Q75" s="8008" t="n"/>
      <c r="R75" s="12634" t="n"/>
      <c r="S75" s="8007" t="n"/>
      <c r="T75" s="8007" t="n"/>
      <c r="U75" s="8008" t="n"/>
      <c r="V75" s="12646">
        <f>IF(OR($AO$71,R75=""),"",R75/$R$81)</f>
        <v/>
      </c>
      <c r="W75" s="8412" t="n"/>
      <c r="X75" s="8412" t="n"/>
      <c r="Y75" s="8412" t="n"/>
      <c r="Z75" s="11734" t="n"/>
      <c r="AA75" s="12635">
        <f>IF(OR($AO$71,R75=""),"",ROUND(F8582_Line9*V75,0))</f>
        <v/>
      </c>
      <c r="AB75" s="8412" t="n"/>
      <c r="AC75" s="8412" t="n"/>
      <c r="AD75" s="8412" t="n"/>
      <c r="AE75" s="11734" t="n"/>
      <c r="AF75" s="10554">
        <f>IF(AM75&lt;&gt;"",ROUND(AM75,0),IF(OR($AO$71,R75=""),"",IF(AND(R75&lt;&gt;"",AA75&lt;&gt;""),SUM(ROUND(R75,0),-AA75),"")))</f>
        <v/>
      </c>
      <c r="AG75" s="8412" t="n"/>
      <c r="AH75" s="8412" t="n"/>
      <c r="AI75" s="8412" t="n"/>
      <c r="AJ75" s="8412" t="n"/>
      <c r="AK75" s="2013" t="n"/>
      <c r="AL75" s="8914">
        <f>IF(R75&lt;&gt;"",1,0)</f>
        <v/>
      </c>
      <c r="AM75" s="6988" t="n"/>
      <c r="AN75" s="11602" t="n"/>
      <c r="AO75" s="724" t="n"/>
      <c r="AP75" s="724" t="n"/>
      <c r="AQ75" s="711" t="n"/>
      <c r="AR75" s="711" t="n"/>
      <c r="AS75" s="711" t="n"/>
      <c r="AT75" s="711" t="n"/>
      <c r="AU75" s="711" t="n"/>
      <c r="AV75" s="11602" t="n"/>
      <c r="AW75" s="11602" t="n"/>
    </row>
    <row r="76" ht="18.75" customHeight="1" s="7635" thickBot="1">
      <c r="A76" s="2013" t="n"/>
      <c r="B76" s="10032" t="n"/>
      <c r="C76" s="8007" t="n"/>
      <c r="D76" s="8007" t="n"/>
      <c r="E76" s="8007" t="n"/>
      <c r="F76" s="8007" t="n"/>
      <c r="G76" s="8007" t="n"/>
      <c r="H76" s="8007" t="n"/>
      <c r="I76" s="8007" t="n"/>
      <c r="J76" s="8007" t="n"/>
      <c r="K76" s="8007" t="n"/>
      <c r="L76" s="8007" t="n"/>
      <c r="M76" s="8008" t="n"/>
      <c r="N76" s="12645" t="n"/>
      <c r="O76" s="8007" t="n"/>
      <c r="P76" s="8007" t="n"/>
      <c r="Q76" s="8008" t="n"/>
      <c r="R76" s="12634" t="n"/>
      <c r="S76" s="8007" t="n"/>
      <c r="T76" s="8007" t="n"/>
      <c r="U76" s="8008" t="n"/>
      <c r="V76" s="12646">
        <f>IF(OR($AO$71,R76=""),"",R76/$R$81)</f>
        <v/>
      </c>
      <c r="W76" s="8412" t="n"/>
      <c r="X76" s="8412" t="n"/>
      <c r="Y76" s="8412" t="n"/>
      <c r="Z76" s="11734" t="n"/>
      <c r="AA76" s="12635">
        <f>IF(OR($AO$71,R76=""),"",ROUND(F8582_Line9*V76,0))</f>
        <v/>
      </c>
      <c r="AB76" s="8412" t="n"/>
      <c r="AC76" s="8412" t="n"/>
      <c r="AD76" s="8412" t="n"/>
      <c r="AE76" s="11734" t="n"/>
      <c r="AF76" s="10554">
        <f>IF(AM76&lt;&gt;"",ROUND(AM76,0),IF(OR($AO$71,R76=""),"",IF(AND(R76&lt;&gt;"",AA76&lt;&gt;""),SUM(ROUND(R76,0),-AA76),"")))</f>
        <v/>
      </c>
      <c r="AG76" s="8412" t="n"/>
      <c r="AH76" s="8412" t="n"/>
      <c r="AI76" s="8412" t="n"/>
      <c r="AJ76" s="8412" t="n"/>
      <c r="AK76" s="2013" t="n"/>
      <c r="AL76" s="8914">
        <f>IF(R76&lt;&gt;"",1,0)</f>
        <v/>
      </c>
      <c r="AM76" s="6988" t="n"/>
      <c r="AN76" s="4477" t="n"/>
      <c r="AO76" s="5007" t="n"/>
      <c r="AP76" s="5007" t="n"/>
      <c r="AQ76" s="11602" t="n"/>
      <c r="AR76" s="11602" t="n"/>
      <c r="AS76" s="711" t="n"/>
      <c r="AT76" s="711" t="n"/>
      <c r="AU76" s="711" t="n"/>
      <c r="AV76" s="11602" t="n"/>
      <c r="AW76" s="11602" t="n"/>
    </row>
    <row r="77" ht="18.75" customHeight="1" s="7635" thickBot="1">
      <c r="A77" s="2013" t="n"/>
      <c r="B77" s="10032" t="n"/>
      <c r="C77" s="8007" t="n"/>
      <c r="D77" s="8007" t="n"/>
      <c r="E77" s="8007" t="n"/>
      <c r="F77" s="8007" t="n"/>
      <c r="G77" s="8007" t="n"/>
      <c r="H77" s="8007" t="n"/>
      <c r="I77" s="8007" t="n"/>
      <c r="J77" s="8007" t="n"/>
      <c r="K77" s="8007" t="n"/>
      <c r="L77" s="8007" t="n"/>
      <c r="M77" s="8008" t="n"/>
      <c r="N77" s="12645" t="n"/>
      <c r="O77" s="8007" t="n"/>
      <c r="P77" s="8007" t="n"/>
      <c r="Q77" s="8008" t="n"/>
      <c r="R77" s="12634" t="n"/>
      <c r="S77" s="8007" t="n"/>
      <c r="T77" s="8007" t="n"/>
      <c r="U77" s="8008" t="n"/>
      <c r="V77" s="12646">
        <f>IF(OR($AO$71,R77=""),"",R77/$R$81)</f>
        <v/>
      </c>
      <c r="W77" s="8412" t="n"/>
      <c r="X77" s="8412" t="n"/>
      <c r="Y77" s="8412" t="n"/>
      <c r="Z77" s="11734" t="n"/>
      <c r="AA77" s="12635">
        <f>IF(OR($AO$71,R77=""),"",ROUND(F8582_Line9*V77,0))</f>
        <v/>
      </c>
      <c r="AB77" s="8412" t="n"/>
      <c r="AC77" s="8412" t="n"/>
      <c r="AD77" s="8412" t="n"/>
      <c r="AE77" s="11734" t="n"/>
      <c r="AF77" s="10554">
        <f>IF(AM77&lt;&gt;"",ROUND(AM77,0),IF(OR($AO$71,R77=""),"",IF(AND(R77&lt;&gt;"",AA77&lt;&gt;""),SUM(ROUND(R77,0),-AA77),"")))</f>
        <v/>
      </c>
      <c r="AG77" s="8412" t="n"/>
      <c r="AH77" s="8412" t="n"/>
      <c r="AI77" s="8412" t="n"/>
      <c r="AJ77" s="8412" t="n"/>
      <c r="AK77" s="2013" t="n"/>
      <c r="AL77" s="8914">
        <f>IF(R77&lt;&gt;"",1,0)</f>
        <v/>
      </c>
      <c r="AM77" s="6988" t="n"/>
      <c r="AN77" s="4477" t="n"/>
      <c r="AO77" s="5007" t="n"/>
      <c r="AP77" s="5007" t="n"/>
      <c r="AQ77" s="11602" t="n"/>
      <c r="AR77" s="11602" t="n"/>
      <c r="AS77" s="11602" t="n"/>
      <c r="AT77" s="11602" t="n"/>
      <c r="AU77" s="11602" t="n"/>
      <c r="AV77" s="4477" t="n"/>
      <c r="AW77" s="4477" t="n"/>
    </row>
    <row r="78" ht="18.75" customHeight="1" s="7635" thickBot="1">
      <c r="A78" s="2013" t="n"/>
      <c r="B78" s="10032" t="n"/>
      <c r="C78" s="8007" t="n"/>
      <c r="D78" s="8007" t="n"/>
      <c r="E78" s="8007" t="n"/>
      <c r="F78" s="8007" t="n"/>
      <c r="G78" s="8007" t="n"/>
      <c r="H78" s="8007" t="n"/>
      <c r="I78" s="8007" t="n"/>
      <c r="J78" s="8007" t="n"/>
      <c r="K78" s="8007" t="n"/>
      <c r="L78" s="8007" t="n"/>
      <c r="M78" s="8008" t="n"/>
      <c r="N78" s="12645" t="n"/>
      <c r="O78" s="8007" t="n"/>
      <c r="P78" s="8007" t="n"/>
      <c r="Q78" s="8008" t="n"/>
      <c r="R78" s="12634" t="n"/>
      <c r="S78" s="8007" t="n"/>
      <c r="T78" s="8007" t="n"/>
      <c r="U78" s="8008" t="n"/>
      <c r="V78" s="12646">
        <f>IF(OR($AO$71,R78=""),"",R78/$R$81)</f>
        <v/>
      </c>
      <c r="W78" s="8412" t="n"/>
      <c r="X78" s="8412" t="n"/>
      <c r="Y78" s="8412" t="n"/>
      <c r="Z78" s="11734" t="n"/>
      <c r="AA78" s="12635">
        <f>IF(OR($AO$71,R78=""),"",ROUND(F8582_Line9*V78,0))</f>
        <v/>
      </c>
      <c r="AB78" s="8412" t="n"/>
      <c r="AC78" s="8412" t="n"/>
      <c r="AD78" s="8412" t="n"/>
      <c r="AE78" s="11734" t="n"/>
      <c r="AF78" s="10554">
        <f>IF(AM78&lt;&gt;"",ROUND(AM78,0),IF(OR($AO$71,R78=""),"",IF(AND(R78&lt;&gt;"",AA78&lt;&gt;""),SUM(ROUND(R78,0),-AA78),"")))</f>
        <v/>
      </c>
      <c r="AG78" s="8412" t="n"/>
      <c r="AH78" s="8412" t="n"/>
      <c r="AI78" s="8412" t="n"/>
      <c r="AJ78" s="8412" t="n"/>
      <c r="AK78" s="2013" t="n"/>
      <c r="AL78" s="8914">
        <f>IF(R78&lt;&gt;"",1,0)</f>
        <v/>
      </c>
      <c r="AM78" s="6988" t="n"/>
      <c r="AN78" s="4477" t="n"/>
      <c r="AO78" s="5007" t="n"/>
      <c r="AP78" s="5007" t="n"/>
      <c r="AQ78" s="11602" t="n"/>
      <c r="AR78" s="11602" t="n"/>
      <c r="AS78" s="11602" t="n"/>
      <c r="AT78" s="11602" t="n"/>
      <c r="AU78" s="11602" t="n"/>
      <c r="AV78" s="4477" t="n"/>
      <c r="AW78" s="4477" t="n"/>
    </row>
    <row r="79" ht="18.75" customHeight="1" s="7635" thickBot="1">
      <c r="A79" s="2013" t="n"/>
      <c r="B79" s="10636" t="n"/>
      <c r="C79" s="11809" t="n"/>
      <c r="D79" s="11809" t="n"/>
      <c r="E79" s="11809" t="n"/>
      <c r="F79" s="11809" t="n"/>
      <c r="G79" s="11809" t="n"/>
      <c r="H79" s="11809" t="n"/>
      <c r="I79" s="11809" t="n"/>
      <c r="J79" s="11809" t="n"/>
      <c r="K79" s="11809" t="n"/>
      <c r="L79" s="11809" t="n"/>
      <c r="M79" s="11810" t="n"/>
      <c r="N79" s="12645" t="n"/>
      <c r="O79" s="8007" t="n"/>
      <c r="P79" s="8007" t="n"/>
      <c r="Q79" s="8008" t="n"/>
      <c r="R79" s="12636" t="n"/>
      <c r="S79" s="11745" t="n"/>
      <c r="T79" s="11745" t="n"/>
      <c r="U79" s="11948" t="n"/>
      <c r="V79" s="12646">
        <f>IF(OR($AO$71,R79=""),"",R79/$R$81)</f>
        <v/>
      </c>
      <c r="W79" s="8412" t="n"/>
      <c r="X79" s="8412" t="n"/>
      <c r="Y79" s="8412" t="n"/>
      <c r="Z79" s="11734" t="n"/>
      <c r="AA79" s="12635">
        <f>IF(OR($AO$71,R79=""),"",ROUND(F8582_Line9*V79,0))</f>
        <v/>
      </c>
      <c r="AB79" s="8412" t="n"/>
      <c r="AC79" s="8412" t="n"/>
      <c r="AD79" s="8412" t="n"/>
      <c r="AE79" s="11734" t="n"/>
      <c r="AF79" s="10554">
        <f>IF(AM79&lt;&gt;"",ROUND(AM79,0),IF(OR($AO$71,R79=""),"",IF(AND(R79&lt;&gt;"",AA79&lt;&gt;""),SUM(ROUND(R79,0),-AA79),"")))</f>
        <v/>
      </c>
      <c r="AG79" s="8412" t="n"/>
      <c r="AH79" s="8412" t="n"/>
      <c r="AI79" s="8412" t="n"/>
      <c r="AJ79" s="8412" t="n"/>
      <c r="AK79" s="2013" t="n"/>
      <c r="AL79" s="8914">
        <f>IF(R79&lt;&gt;"",1,0)</f>
        <v/>
      </c>
      <c r="AM79" s="6988" t="n"/>
      <c r="AN79" s="11602" t="n"/>
      <c r="AO79" s="724" t="n"/>
      <c r="AP79" s="724" t="n"/>
      <c r="AQ79" s="11602" t="n"/>
      <c r="AR79" s="11602" t="n"/>
      <c r="AS79" s="11602" t="n"/>
      <c r="AT79" s="11602" t="n"/>
      <c r="AU79" s="11602" t="n"/>
      <c r="AV79" s="4477" t="n"/>
      <c r="AW79" s="4477" t="n"/>
    </row>
    <row r="80" ht="16.5" customHeight="1" s="7635" thickBot="1">
      <c r="A80" s="2013" t="n"/>
      <c r="B80" s="377" t="n"/>
      <c r="C80" s="5019" t="n"/>
      <c r="D80" s="5019" t="n"/>
      <c r="E80" s="5019" t="n"/>
      <c r="F80" s="5019" t="n"/>
      <c r="G80" s="5019" t="n"/>
      <c r="H80" s="5019" t="n"/>
      <c r="I80" s="5019" t="n"/>
      <c r="J80" s="5019" t="n"/>
      <c r="K80" s="5019" t="n"/>
      <c r="L80" s="5019" t="n"/>
      <c r="M80" s="5019" t="n"/>
      <c r="N80" s="5019" t="n"/>
      <c r="O80" s="5019" t="n"/>
      <c r="P80" s="5019" t="n"/>
      <c r="Q80" s="5035" t="n"/>
      <c r="R80" s="5036" t="n"/>
      <c r="S80" s="5019" t="n"/>
      <c r="T80" s="5019" t="n"/>
      <c r="U80" s="5035" t="n"/>
      <c r="V80" s="12647" t="n"/>
      <c r="W80" s="2506" t="n"/>
      <c r="X80" s="2506" t="n"/>
      <c r="Y80" s="2506" t="n"/>
      <c r="Z80" s="11716" t="n"/>
      <c r="AA80" s="12647" t="n"/>
      <c r="AB80" s="2506" t="n"/>
      <c r="AC80" s="2506" t="n"/>
      <c r="AD80" s="2506" t="n"/>
      <c r="AE80" s="11716" t="n"/>
      <c r="AF80" s="5036" t="n"/>
      <c r="AG80" s="5019" t="n"/>
      <c r="AH80" s="5019" t="n"/>
      <c r="AI80" s="5019" t="n"/>
      <c r="AJ80" s="5019" t="n"/>
      <c r="AK80" s="2013" t="n"/>
      <c r="AL80" s="9239">
        <f>SUM(AL75:AL79)</f>
        <v/>
      </c>
      <c r="AM80" s="2868" t="n"/>
      <c r="AN80" s="11602" t="n"/>
      <c r="AO80" s="724" t="n"/>
      <c r="AP80" s="724" t="n"/>
      <c r="AQ80" s="11602" t="n"/>
      <c r="AR80" s="11602" t="n"/>
      <c r="AS80" s="11602" t="n"/>
      <c r="AT80" s="11602" t="n"/>
      <c r="AU80" s="11602" t="n"/>
      <c r="AV80" s="11602" t="n"/>
      <c r="AW80" s="11602" t="n"/>
      <c r="BJ80" s="7970" t="n"/>
    </row>
    <row r="81" ht="16.5" customHeight="1" s="7635" thickBot="1">
      <c r="A81" s="2013" t="n"/>
      <c r="B81" s="5020" t="inlineStr">
        <is>
          <t>Total</t>
        </is>
      </c>
      <c r="C81" s="5021" t="n"/>
      <c r="D81" s="5021" t="n"/>
      <c r="E81" s="5021" t="n"/>
      <c r="F81" s="5021" t="n"/>
      <c r="G81" s="5021" t="n"/>
      <c r="H81" s="5021" t="n"/>
      <c r="I81" s="5021" t="n"/>
      <c r="J81" s="5021" t="n"/>
      <c r="K81" s="5021" t="n"/>
      <c r="L81" s="5021" t="n"/>
      <c r="M81" s="10736" t="n"/>
      <c r="N81" s="5021" t="n"/>
      <c r="O81" s="5021" t="n"/>
      <c r="P81" s="5021" t="n"/>
      <c r="Q81" s="10736" t="inlineStr">
        <is>
          <t xml:space="preserve">.   .   .   .   .   .   .   .   .   .   .   .   .   .   .   .   .   .   .   .   .   .   .   .   .   . </t>
        </is>
      </c>
      <c r="R81" s="12641">
        <f>IF(OR($AO$71,AL80=0),"",SUM(ROUND(R75,0),ROUND(R76,0),ROUND(R77,0),ROUND(R78,0),ROUND(R79,0)))</f>
        <v/>
      </c>
      <c r="S81" s="8848" t="n"/>
      <c r="T81" s="8848" t="n"/>
      <c r="U81" s="12121" t="n"/>
      <c r="V81" s="12648" t="n">
        <v>1</v>
      </c>
      <c r="W81" s="8848" t="n"/>
      <c r="X81" s="8848" t="n"/>
      <c r="Y81" s="8848" t="n"/>
      <c r="Z81" s="12121" t="n"/>
      <c r="AA81" s="12641">
        <f>IF(OR($AO$71,AL80=0),"",SUM(AA75:AE79))</f>
        <v/>
      </c>
      <c r="AB81" s="8848" t="n"/>
      <c r="AC81" s="8848" t="n"/>
      <c r="AD81" s="8848" t="n"/>
      <c r="AE81" s="12121" t="n"/>
      <c r="AF81" s="10597">
        <f>IF(OR($AO$71,AL80=0),"",SUM(AF75:AJ79))</f>
        <v/>
      </c>
      <c r="AG81" s="8848" t="n"/>
      <c r="AH81" s="8848" t="n"/>
      <c r="AI81" s="8848" t="n"/>
      <c r="AJ81" s="8848" t="n"/>
      <c r="AK81" s="2013" t="n"/>
      <c r="AL81" s="712" t="n"/>
      <c r="AM81" s="1113" t="n"/>
      <c r="AN81" s="11602" t="n"/>
      <c r="AO81" s="724" t="n"/>
      <c r="AP81" s="724" t="n"/>
      <c r="AQ81" s="11602" t="n"/>
      <c r="AR81" s="11602" t="n"/>
      <c r="AS81" s="11602" t="n"/>
      <c r="AT81" s="11602" t="n"/>
      <c r="AU81" s="11602" t="n"/>
      <c r="AV81" s="11602" t="n"/>
      <c r="AW81" s="11602" t="n"/>
    </row>
    <row r="82" ht="16.5" customFormat="1" customHeight="1" s="815">
      <c r="A82" s="2013" t="n"/>
      <c r="B82" s="7597" t="inlineStr">
        <is>
          <t>Part VII</t>
        </is>
      </c>
      <c r="D82" s="342" t="n"/>
      <c r="E82" s="2874" t="inlineStr">
        <is>
          <t>Allocation of Unallowed Losses. See instructions.</t>
        </is>
      </c>
      <c r="F82" s="11602" t="n"/>
      <c r="G82" s="11602" t="n"/>
      <c r="H82" s="11602" t="n"/>
      <c r="I82" s="11602" t="n"/>
      <c r="J82" s="11602" t="n"/>
      <c r="K82" s="11602" t="n"/>
      <c r="L82" s="11602" t="n"/>
      <c r="M82" s="11602" t="n"/>
      <c r="N82" s="11602" t="n"/>
      <c r="O82" s="11602" t="n"/>
      <c r="P82" s="11602" t="n"/>
      <c r="Q82" s="11602" t="n"/>
      <c r="R82" s="11602" t="n"/>
      <c r="S82" s="11602" t="n"/>
      <c r="T82" s="11602" t="n"/>
      <c r="U82" s="11602" t="n"/>
      <c r="V82" s="11602" t="n"/>
      <c r="W82" s="11602" t="n"/>
      <c r="X82" s="11602" t="n"/>
      <c r="Y82" s="11602" t="n"/>
      <c r="Z82" s="11602" t="n"/>
      <c r="AA82" s="11602" t="n"/>
      <c r="AB82" s="11602" t="n"/>
      <c r="AC82" s="11602" t="n"/>
      <c r="AD82" s="11602" t="n"/>
      <c r="AE82" s="11602" t="n"/>
      <c r="AF82" s="11602" t="n"/>
      <c r="AG82" s="11602" t="n"/>
      <c r="AH82" s="11602" t="n"/>
      <c r="AI82" s="11602" t="n"/>
      <c r="AJ82" s="11602" t="n"/>
      <c r="AK82" s="2013" t="n"/>
      <c r="AL82" s="4479" t="n"/>
      <c r="AM82" s="226" t="n"/>
      <c r="AN82" s="4477" t="n"/>
      <c r="AO82" s="5007" t="n"/>
      <c r="AP82" s="5007" t="n"/>
      <c r="AQ82" s="11602" t="n"/>
      <c r="AR82" s="11602" t="n"/>
      <c r="AS82" s="11602" t="n"/>
      <c r="AT82" s="11602" t="n"/>
      <c r="AU82" s="11602" t="n"/>
      <c r="AV82" s="11602" t="n"/>
      <c r="AW82" s="11602" t="n"/>
      <c r="AX82" s="12013" t="n"/>
      <c r="AY82" s="658" t="n"/>
      <c r="AZ82" s="658" t="n"/>
      <c r="BA82" s="658" t="n"/>
      <c r="BB82" s="658" t="n"/>
      <c r="BC82" s="658" t="n"/>
      <c r="BD82" s="658" t="n"/>
      <c r="BE82" s="658" t="n"/>
      <c r="BF82" s="658" t="n"/>
      <c r="BG82" s="658" t="n"/>
    </row>
    <row r="83" ht="16.5" customHeight="1" s="7635">
      <c r="A83" s="2013" t="n"/>
      <c r="B83" s="12626" t="inlineStr">
        <is>
          <t>Name of activity</t>
        </is>
      </c>
      <c r="C83" s="7839" t="n"/>
      <c r="D83" s="7839" t="n"/>
      <c r="E83" s="7839" t="n"/>
      <c r="F83" s="7839" t="n"/>
      <c r="G83" s="7839" t="n"/>
      <c r="H83" s="7839" t="n"/>
      <c r="I83" s="7839" t="n"/>
      <c r="J83" s="7839" t="n"/>
      <c r="K83" s="7839" t="n"/>
      <c r="L83" s="7839" t="n"/>
      <c r="M83" s="10091" t="n"/>
      <c r="N83" s="12642" t="inlineStr">
        <is>
          <t>Form or schedule
and line number
to be reported on
(see instructions)</t>
        </is>
      </c>
      <c r="O83" s="7839" t="n"/>
      <c r="P83" s="7839" t="n"/>
      <c r="Q83" s="7839" t="n"/>
      <c r="R83" s="10091" t="n"/>
      <c r="S83" s="12643" t="inlineStr">
        <is>
          <t>(a) Loss</t>
        </is>
      </c>
      <c r="T83" s="7839" t="n"/>
      <c r="U83" s="7839" t="n"/>
      <c r="V83" s="7839" t="n"/>
      <c r="W83" s="7839" t="n"/>
      <c r="X83" s="10091" t="n"/>
      <c r="Y83" s="12631" t="inlineStr">
        <is>
          <t>(b) Ratio</t>
        </is>
      </c>
      <c r="Z83" s="7839" t="n"/>
      <c r="AA83" s="7839" t="n"/>
      <c r="AB83" s="7839" t="n"/>
      <c r="AC83" s="7839" t="n"/>
      <c r="AD83" s="10091" t="n"/>
      <c r="AE83" s="12649" t="inlineStr">
        <is>
          <t>(c) Unallowed loss</t>
        </is>
      </c>
      <c r="AF83" s="7839" t="n"/>
      <c r="AG83" s="7839" t="n"/>
      <c r="AH83" s="7839" t="n"/>
      <c r="AI83" s="7839" t="n"/>
      <c r="AJ83" s="7839" t="n"/>
      <c r="AK83" s="2013" t="n"/>
      <c r="AL83" s="11602" t="n"/>
      <c r="AM83" s="11602" t="n"/>
      <c r="AN83" s="11602" t="n"/>
      <c r="AO83" s="724" t="n"/>
      <c r="AP83" s="724" t="n"/>
      <c r="AQ83" s="711" t="n"/>
      <c r="AR83" s="10737" t="inlineStr">
        <is>
          <t>Part VII, Column (c) Computation</t>
        </is>
      </c>
      <c r="AS83" s="7637" t="n"/>
      <c r="AT83" s="711" t="n"/>
      <c r="AU83" s="711" t="n"/>
      <c r="AV83" s="11602" t="n"/>
      <c r="AW83" s="4477" t="n"/>
      <c r="BH83" s="421" t="n"/>
      <c r="BI83" s="421" t="n"/>
    </row>
    <row r="84" ht="16.5" customHeight="1" s="7635">
      <c r="A84" s="2013" t="n"/>
      <c r="M84" s="7636" t="n"/>
      <c r="N84" s="4772" t="n"/>
      <c r="R84" s="7636" t="n"/>
      <c r="S84" s="4772" t="n"/>
      <c r="X84" s="7636" t="n"/>
      <c r="Y84" s="4772" t="n"/>
      <c r="AD84" s="7636" t="n"/>
      <c r="AE84" s="4772" t="n"/>
      <c r="AK84" s="2013" t="n"/>
      <c r="AL84" s="11602" t="n"/>
      <c r="AM84" s="9239" t="n"/>
      <c r="AN84" s="11602" t="n"/>
      <c r="AO84" s="724" t="n"/>
      <c r="AP84" s="724" t="n"/>
      <c r="AQ84" s="5037" t="n"/>
      <c r="AR84" s="5038" t="n"/>
      <c r="AS84" s="5038" t="n"/>
      <c r="AT84" s="5038" t="n"/>
      <c r="AU84" s="5039" t="n"/>
      <c r="AV84" s="407" t="n"/>
      <c r="AW84" s="11602" t="n"/>
      <c r="BH84" s="421" t="n"/>
      <c r="BI84" s="421" t="n"/>
    </row>
    <row r="85" ht="16.5" customHeight="1" s="7635">
      <c r="A85" s="2013" t="n"/>
      <c r="M85" s="7636" t="n"/>
      <c r="N85" s="4772" t="n"/>
      <c r="R85" s="7636" t="n"/>
      <c r="S85" s="4772" t="n"/>
      <c r="X85" s="7636" t="n"/>
      <c r="Y85" s="4772" t="n"/>
      <c r="AD85" s="7636" t="n"/>
      <c r="AE85" s="4772" t="n"/>
      <c r="AK85" s="2013" t="n"/>
      <c r="AL85" s="11602" t="n"/>
      <c r="AM85" s="226" t="inlineStr">
        <is>
          <t>Manual</t>
        </is>
      </c>
      <c r="AN85" s="11602" t="n"/>
      <c r="AO85" s="724" t="n"/>
      <c r="AP85" s="724" t="n"/>
      <c r="AQ85" s="566" t="n"/>
      <c r="AR85" s="7886" t="inlineStr">
        <is>
          <t>A.</t>
        </is>
      </c>
      <c r="AS85" s="5040" t="inlineStr">
        <is>
          <t>Enter as a positive amount, Part I, line 3,</t>
        </is>
      </c>
      <c r="AT85" s="5041" t="n"/>
      <c r="AU85" s="711" t="n"/>
      <c r="AV85" s="409" t="n"/>
      <c r="AW85" s="11602" t="n"/>
      <c r="BH85" s="421" t="n"/>
      <c r="BI85" s="421" t="n"/>
    </row>
    <row r="86" ht="16.5" customHeight="1" s="7635" thickBot="1">
      <c r="A86" s="2013" t="n"/>
      <c r="B86" s="7637" t="n"/>
      <c r="C86" s="7637" t="n"/>
      <c r="D86" s="7637" t="n"/>
      <c r="E86" s="7637" t="n"/>
      <c r="F86" s="7637" t="n"/>
      <c r="G86" s="7637" t="n"/>
      <c r="H86" s="7637" t="n"/>
      <c r="I86" s="7637" t="n"/>
      <c r="J86" s="7637" t="n"/>
      <c r="K86" s="7637" t="n"/>
      <c r="L86" s="7637" t="n"/>
      <c r="M86" s="7638" t="n"/>
      <c r="N86" s="3614" t="n"/>
      <c r="O86" s="7637" t="n"/>
      <c r="P86" s="7637" t="n"/>
      <c r="Q86" s="7637" t="n"/>
      <c r="R86" s="7638" t="n"/>
      <c r="S86" s="3614" t="n"/>
      <c r="T86" s="7637" t="n"/>
      <c r="U86" s="7637" t="n"/>
      <c r="V86" s="7637" t="n"/>
      <c r="W86" s="7637" t="n"/>
      <c r="X86" s="7638" t="n"/>
      <c r="Y86" s="3614" t="n"/>
      <c r="Z86" s="7637" t="n"/>
      <c r="AA86" s="7637" t="n"/>
      <c r="AB86" s="7637" t="n"/>
      <c r="AC86" s="7637" t="n"/>
      <c r="AD86" s="7638" t="n"/>
      <c r="AE86" s="3614" t="n"/>
      <c r="AF86" s="7637" t="n"/>
      <c r="AG86" s="7637" t="n"/>
      <c r="AH86" s="7637" t="n"/>
      <c r="AI86" s="7637" t="n"/>
      <c r="AJ86" s="7637" t="n"/>
      <c r="AK86" s="2013" t="n"/>
      <c r="AL86" s="11602" t="n"/>
      <c r="AM86" s="226" t="inlineStr">
        <is>
          <t>Override ê</t>
        </is>
      </c>
      <c r="AN86" s="11602" t="n"/>
      <c r="AO86" s="724" t="n"/>
      <c r="AP86" s="724" t="n"/>
      <c r="AQ86" s="566" t="n"/>
      <c r="AR86" s="344" t="n"/>
      <c r="AS86" s="8650" t="inlineStr">
        <is>
          <t>of Form 8582</t>
        </is>
      </c>
      <c r="AT86" s="1401" t="inlineStr">
        <is>
          <t>A.</t>
        </is>
      </c>
      <c r="AU86" s="2331">
        <f>IF(PassiveIncomeLoss="","",ABS(PassiveIncomeLoss))</f>
        <v/>
      </c>
      <c r="AV86" s="4978" t="n"/>
      <c r="AW86" s="11602" t="n"/>
      <c r="BH86" s="421" t="n"/>
      <c r="BI86" s="421" t="n"/>
    </row>
    <row r="87" ht="18.75" customHeight="1" s="7635" thickBot="1">
      <c r="A87" s="2013" t="n"/>
      <c r="B87" s="10032" t="n"/>
      <c r="C87" s="8007" t="n"/>
      <c r="D87" s="8007" t="n"/>
      <c r="E87" s="8007" t="n"/>
      <c r="F87" s="8007" t="n"/>
      <c r="G87" s="8007" t="n"/>
      <c r="H87" s="8007" t="n"/>
      <c r="I87" s="8007" t="n"/>
      <c r="J87" s="8007" t="n"/>
      <c r="K87" s="8007" t="n"/>
      <c r="L87" s="8007" t="n"/>
      <c r="M87" s="8008" t="n"/>
      <c r="N87" s="12645" t="n"/>
      <c r="O87" s="8007" t="n"/>
      <c r="P87" s="8007" t="n"/>
      <c r="Q87" s="8007" t="n"/>
      <c r="R87" s="8008" t="n"/>
      <c r="S87" s="12634" t="n"/>
      <c r="T87" s="8007" t="n"/>
      <c r="U87" s="8007" t="n"/>
      <c r="V87" s="8007" t="n"/>
      <c r="W87" s="8007" t="n"/>
      <c r="X87" s="8008" t="n"/>
      <c r="Y87" s="12646">
        <f>IF(S87="","",S87/$S$93)</f>
        <v/>
      </c>
      <c r="Z87" s="8412" t="n"/>
      <c r="AA87" s="8412" t="n"/>
      <c r="AB87" s="8412" t="n"/>
      <c r="AC87" s="8412" t="n"/>
      <c r="AD87" s="11734" t="n"/>
      <c r="AE87" s="10554">
        <f>IF(AM87&lt;&gt;"",ROUND(AM87,0),IF(OR(PassiveIncomeLoss="",S87=""),"",ROUND($AU$90*Y87,0)))</f>
        <v/>
      </c>
      <c r="AF87" s="8412" t="n"/>
      <c r="AG87" s="8412" t="n"/>
      <c r="AH87" s="8412" t="n"/>
      <c r="AI87" s="8412" t="n"/>
      <c r="AJ87" s="8412" t="n"/>
      <c r="AK87" s="2013" t="n"/>
      <c r="AL87" s="8914">
        <f>IF(S87&lt;&gt;"",1,0)</f>
        <v/>
      </c>
      <c r="AM87" s="6988" t="n"/>
      <c r="AN87" s="11602" t="n"/>
      <c r="AO87" s="724" t="n"/>
      <c r="AP87" s="724" t="n"/>
      <c r="AQ87" s="566" t="n"/>
      <c r="AR87" s="344" t="n"/>
      <c r="AS87" s="8650" t="n"/>
      <c r="AT87" s="344" t="n"/>
      <c r="AU87" s="11602" t="n"/>
      <c r="AV87" s="4978" t="n"/>
      <c r="AW87" s="11602" t="n"/>
    </row>
    <row r="88" ht="18.75" customHeight="1" s="7635" thickBot="1">
      <c r="A88" s="2013" t="n"/>
      <c r="B88" s="10032" t="n"/>
      <c r="C88" s="8007" t="n"/>
      <c r="D88" s="8007" t="n"/>
      <c r="E88" s="8007" t="n"/>
      <c r="F88" s="8007" t="n"/>
      <c r="G88" s="8007" t="n"/>
      <c r="H88" s="8007" t="n"/>
      <c r="I88" s="8007" t="n"/>
      <c r="J88" s="8007" t="n"/>
      <c r="K88" s="8007" t="n"/>
      <c r="L88" s="8007" t="n"/>
      <c r="M88" s="8008" t="n"/>
      <c r="N88" s="12645" t="n"/>
      <c r="O88" s="8007" t="n"/>
      <c r="P88" s="8007" t="n"/>
      <c r="Q88" s="8007" t="n"/>
      <c r="R88" s="8008" t="n"/>
      <c r="S88" s="12634" t="n"/>
      <c r="T88" s="8007" t="n"/>
      <c r="U88" s="8007" t="n"/>
      <c r="V88" s="8007" t="n"/>
      <c r="W88" s="8007" t="n"/>
      <c r="X88" s="8008" t="n"/>
      <c r="Y88" s="12646">
        <f>IF(S88="","",S88/$S$93)</f>
        <v/>
      </c>
      <c r="Z88" s="8412" t="n"/>
      <c r="AA88" s="8412" t="n"/>
      <c r="AB88" s="8412" t="n"/>
      <c r="AC88" s="8412" t="n"/>
      <c r="AD88" s="11734" t="n"/>
      <c r="AE88" s="10554">
        <f>IF(AM88&lt;&gt;"",ROUND(AM88,0),IF(OR(PassiveIncomeLoss="",S88=""),"",ROUND($AU$90*Y88,0)))</f>
        <v/>
      </c>
      <c r="AF88" s="8412" t="n"/>
      <c r="AG88" s="8412" t="n"/>
      <c r="AH88" s="8412" t="n"/>
      <c r="AI88" s="8412" t="n"/>
      <c r="AJ88" s="8412" t="n"/>
      <c r="AK88" s="2013" t="n"/>
      <c r="AL88" s="8914">
        <f>IF(S88&lt;&gt;"",1,0)</f>
        <v/>
      </c>
      <c r="AM88" s="6988" t="n"/>
      <c r="AN88" s="4477" t="n"/>
      <c r="AO88" s="5007" t="n"/>
      <c r="AP88" s="5007" t="n"/>
      <c r="AQ88" s="566" t="n"/>
      <c r="AR88" s="7886" t="inlineStr">
        <is>
          <t>B.</t>
        </is>
      </c>
      <c r="AS88" s="8650" t="inlineStr">
        <is>
          <t>Enter Part II, line 9, of Form 8582</t>
        </is>
      </c>
      <c r="AT88" s="1401" t="inlineStr">
        <is>
          <t>B.</t>
        </is>
      </c>
      <c r="AU88" s="2331">
        <f>F8582_Line9</f>
        <v/>
      </c>
      <c r="AV88" s="409" t="n"/>
      <c r="AW88" s="11602" t="n"/>
    </row>
    <row r="89" ht="18.75" customHeight="1" s="7635" thickBot="1">
      <c r="A89" s="2013" t="n"/>
      <c r="B89" s="10032" t="n"/>
      <c r="C89" s="8007" t="n"/>
      <c r="D89" s="8007" t="n"/>
      <c r="E89" s="8007" t="n"/>
      <c r="F89" s="8007" t="n"/>
      <c r="G89" s="8007" t="n"/>
      <c r="H89" s="8007" t="n"/>
      <c r="I89" s="8007" t="n"/>
      <c r="J89" s="8007" t="n"/>
      <c r="K89" s="8007" t="n"/>
      <c r="L89" s="8007" t="n"/>
      <c r="M89" s="8008" t="n"/>
      <c r="N89" s="12645" t="n"/>
      <c r="O89" s="8007" t="n"/>
      <c r="P89" s="8007" t="n"/>
      <c r="Q89" s="8007" t="n"/>
      <c r="R89" s="8008" t="n"/>
      <c r="S89" s="12634" t="n"/>
      <c r="T89" s="8007" t="n"/>
      <c r="U89" s="8007" t="n"/>
      <c r="V89" s="8007" t="n"/>
      <c r="W89" s="8007" t="n"/>
      <c r="X89" s="8008" t="n"/>
      <c r="Y89" s="12646">
        <f>IF(S89="","",S89/$S$93)</f>
        <v/>
      </c>
      <c r="Z89" s="8412" t="n"/>
      <c r="AA89" s="8412" t="n"/>
      <c r="AB89" s="8412" t="n"/>
      <c r="AC89" s="8412" t="n"/>
      <c r="AD89" s="11734" t="n"/>
      <c r="AE89" s="10554">
        <f>IF(AM89&lt;&gt;"",ROUND(AM89,0),IF(OR(PassiveIncomeLoss="",S89=""),"",ROUND($AU$90*Y89,0)))</f>
        <v/>
      </c>
      <c r="AF89" s="8412" t="n"/>
      <c r="AG89" s="8412" t="n"/>
      <c r="AH89" s="8412" t="n"/>
      <c r="AI89" s="8412" t="n"/>
      <c r="AJ89" s="8412" t="n"/>
      <c r="AK89" s="2013" t="n"/>
      <c r="AL89" s="8914">
        <f>IF(S89&lt;&gt;"",1,0)</f>
        <v/>
      </c>
      <c r="AM89" s="6988" t="n"/>
      <c r="AN89" s="4477" t="n"/>
      <c r="AO89" s="5007" t="n"/>
      <c r="AP89" s="5007" t="n"/>
      <c r="AQ89" s="566" t="n"/>
      <c r="AR89" s="344" t="n"/>
      <c r="AS89" s="8650" t="n"/>
      <c r="AT89" s="344" t="n"/>
      <c r="AU89" s="512">
        <f>IF(F8582_Line9="",0,F8582_Line9)</f>
        <v/>
      </c>
      <c r="AV89" s="409" t="n"/>
      <c r="AW89" s="4477" t="n"/>
    </row>
    <row r="90" ht="18.75" customHeight="1" s="7635" thickBot="1">
      <c r="A90" s="2013" t="n"/>
      <c r="B90" s="10032" t="n"/>
      <c r="C90" s="8007" t="n"/>
      <c r="D90" s="8007" t="n"/>
      <c r="E90" s="8007" t="n"/>
      <c r="F90" s="8007" t="n"/>
      <c r="G90" s="8007" t="n"/>
      <c r="H90" s="8007" t="n"/>
      <c r="I90" s="8007" t="n"/>
      <c r="J90" s="8007" t="n"/>
      <c r="K90" s="8007" t="n"/>
      <c r="L90" s="8007" t="n"/>
      <c r="M90" s="8008" t="n"/>
      <c r="N90" s="12645" t="n"/>
      <c r="O90" s="8007" t="n"/>
      <c r="P90" s="8007" t="n"/>
      <c r="Q90" s="8007" t="n"/>
      <c r="R90" s="8008" t="n"/>
      <c r="S90" s="12634" t="n"/>
      <c r="T90" s="8007" t="n"/>
      <c r="U90" s="8007" t="n"/>
      <c r="V90" s="8007" t="n"/>
      <c r="W90" s="8007" t="n"/>
      <c r="X90" s="8008" t="n"/>
      <c r="Y90" s="12646">
        <f>IF(S90="","",S90/$S$93)</f>
        <v/>
      </c>
      <c r="Z90" s="8412" t="n"/>
      <c r="AA90" s="8412" t="n"/>
      <c r="AB90" s="8412" t="n"/>
      <c r="AC90" s="8412" t="n"/>
      <c r="AD90" s="11734" t="n"/>
      <c r="AE90" s="10554">
        <f>IF(AM90&lt;&gt;"",ROUND(AM90,0),IF(OR(PassiveIncomeLoss="",S90=""),"",ROUND($AU$90*Y90,0)))</f>
        <v/>
      </c>
      <c r="AF90" s="8412" t="n"/>
      <c r="AG90" s="8412" t="n"/>
      <c r="AH90" s="8412" t="n"/>
      <c r="AI90" s="8412" t="n"/>
      <c r="AJ90" s="8412" t="n"/>
      <c r="AK90" s="2013" t="n"/>
      <c r="AL90" s="8914">
        <f>IF(S90&lt;&gt;"",1,0)</f>
        <v/>
      </c>
      <c r="AM90" s="6988" t="n"/>
      <c r="AN90" s="4477" t="n"/>
      <c r="AO90" s="5007" t="n"/>
      <c r="AP90" s="5007" t="n"/>
      <c r="AQ90" s="566" t="n"/>
      <c r="AR90" s="7886" t="inlineStr">
        <is>
          <t>C.</t>
        </is>
      </c>
      <c r="AS90" s="5040" t="inlineStr">
        <is>
          <t>Subtract line B from line A</t>
        </is>
      </c>
      <c r="AT90" s="1401" t="inlineStr">
        <is>
          <t>C.</t>
        </is>
      </c>
      <c r="AU90" s="2331">
        <f>IF(PassiveIncomeLoss="","",SUM(AU86,-AU89))</f>
        <v/>
      </c>
      <c r="AV90" s="4978" t="n"/>
      <c r="AW90" s="4477" t="n"/>
    </row>
    <row r="91" ht="18.75" customHeight="1" s="7635" thickBot="1">
      <c r="A91" s="2013" t="n"/>
      <c r="B91" s="10636" t="n"/>
      <c r="C91" s="11809" t="n"/>
      <c r="D91" s="11809" t="n"/>
      <c r="E91" s="11809" t="n"/>
      <c r="F91" s="11809" t="n"/>
      <c r="G91" s="11809" t="n"/>
      <c r="H91" s="11809" t="n"/>
      <c r="I91" s="11809" t="n"/>
      <c r="J91" s="11809" t="n"/>
      <c r="K91" s="11809" t="n"/>
      <c r="L91" s="11809" t="n"/>
      <c r="M91" s="11810" t="n"/>
      <c r="N91" s="12645" t="n"/>
      <c r="O91" s="8007" t="n"/>
      <c r="P91" s="8007" t="n"/>
      <c r="Q91" s="8007" t="n"/>
      <c r="R91" s="8008" t="n"/>
      <c r="S91" s="12650" t="n"/>
      <c r="T91" s="11809" t="n"/>
      <c r="U91" s="11809" t="n"/>
      <c r="V91" s="11809" t="n"/>
      <c r="W91" s="11809" t="n"/>
      <c r="X91" s="11810" t="n"/>
      <c r="Y91" s="12646">
        <f>IF(S91="","",S91/$S$93)</f>
        <v/>
      </c>
      <c r="Z91" s="8412" t="n"/>
      <c r="AA91" s="8412" t="n"/>
      <c r="AB91" s="8412" t="n"/>
      <c r="AC91" s="8412" t="n"/>
      <c r="AD91" s="11734" t="n"/>
      <c r="AE91" s="10554">
        <f>IF(AM91&lt;&gt;"",ROUND(AM91,0),IF(OR(PassiveIncomeLoss="",S91=""),"",ROUND($AU$90*Y91,0)))</f>
        <v/>
      </c>
      <c r="AF91" s="8412" t="n"/>
      <c r="AG91" s="8412" t="n"/>
      <c r="AH91" s="8412" t="n"/>
      <c r="AI91" s="8412" t="n"/>
      <c r="AJ91" s="8412" t="n"/>
      <c r="AK91" s="2013" t="n"/>
      <c r="AL91" s="8914">
        <f>IF(S91&lt;&gt;"",1,0)</f>
        <v/>
      </c>
      <c r="AM91" s="6988" t="n"/>
      <c r="AN91" s="11602" t="n"/>
      <c r="AO91" s="724" t="n"/>
      <c r="AP91" s="724" t="n"/>
      <c r="AQ91" s="566" t="n"/>
      <c r="AR91" s="344" t="n"/>
      <c r="AS91" s="344" t="n"/>
      <c r="AT91" s="344" t="n"/>
      <c r="AU91" s="11602" t="n"/>
      <c r="AV91" s="409" t="n"/>
      <c r="AW91" s="4477" t="n"/>
    </row>
    <row r="92" ht="16.5" customHeight="1" s="7635" thickBot="1">
      <c r="A92" s="2013" t="n"/>
      <c r="B92" s="377" t="n"/>
      <c r="C92" s="5019" t="n"/>
      <c r="D92" s="5019" t="n"/>
      <c r="E92" s="5019" t="n"/>
      <c r="F92" s="5019" t="n"/>
      <c r="G92" s="5019" t="n"/>
      <c r="H92" s="5019" t="n"/>
      <c r="I92" s="5019" t="n"/>
      <c r="J92" s="5019" t="n"/>
      <c r="K92" s="5019" t="n"/>
      <c r="L92" s="5019" t="n"/>
      <c r="M92" s="5019" t="n"/>
      <c r="N92" s="5019" t="n"/>
      <c r="O92" s="5019" t="n"/>
      <c r="P92" s="5019" t="n"/>
      <c r="Q92" s="5019" t="n"/>
      <c r="R92" s="5035" t="n"/>
      <c r="S92" s="5036" t="n"/>
      <c r="T92" s="5019" t="n"/>
      <c r="U92" s="5019" t="n"/>
      <c r="V92" s="5019" t="n"/>
      <c r="W92" s="5019" t="n"/>
      <c r="X92" s="5035" t="n"/>
      <c r="Y92" s="12647" t="n"/>
      <c r="Z92" s="2506" t="n"/>
      <c r="AA92" s="2506" t="n"/>
      <c r="AB92" s="2506" t="n"/>
      <c r="AC92" s="2506" t="n"/>
      <c r="AD92" s="11716" t="n"/>
      <c r="AE92" s="5036" t="n"/>
      <c r="AF92" s="5019" t="n"/>
      <c r="AG92" s="5019" t="n"/>
      <c r="AH92" s="5019" t="n"/>
      <c r="AI92" s="5019" t="n"/>
      <c r="AJ92" s="5019" t="n"/>
      <c r="AK92" s="2013" t="n"/>
      <c r="AL92" s="9239">
        <f>SUM(AL87:AL91)</f>
        <v/>
      </c>
      <c r="AM92" s="2868" t="n"/>
      <c r="AN92" s="11602" t="n"/>
      <c r="AO92" s="724" t="n"/>
      <c r="AP92" s="724" t="n"/>
      <c r="AQ92" s="566" t="n"/>
      <c r="AR92" s="7772" t="inlineStr">
        <is>
          <t>Multiply each ratio in column (b) by the amount on line C above,</t>
        </is>
      </c>
      <c r="AS92" s="344" t="n"/>
      <c r="AT92" s="344" t="n"/>
      <c r="AU92" s="11602" t="n"/>
      <c r="AV92" s="4978" t="n"/>
      <c r="AW92" s="11602" t="n"/>
      <c r="BJ92" s="7970" t="n"/>
    </row>
    <row r="93" ht="16.5" customHeight="1" s="7635" thickBot="1">
      <c r="A93" s="2013" t="n"/>
      <c r="B93" s="5020" t="inlineStr">
        <is>
          <t>Total</t>
        </is>
      </c>
      <c r="C93" s="5021" t="n"/>
      <c r="D93" s="5021" t="n"/>
      <c r="E93" s="5021" t="n"/>
      <c r="F93" s="5021" t="n"/>
      <c r="G93" s="5021" t="n"/>
      <c r="H93" s="5021" t="n"/>
      <c r="I93" s="5021" t="n"/>
      <c r="J93" s="5021" t="n"/>
      <c r="K93" s="5021" t="n"/>
      <c r="L93" s="5021" t="n"/>
      <c r="M93" s="5021" t="n"/>
      <c r="N93" s="5042" t="n"/>
      <c r="O93" s="5042" t="n"/>
      <c r="P93" s="5042" t="n"/>
      <c r="Q93" s="5042" t="n"/>
      <c r="R93" s="10736" t="inlineStr">
        <is>
          <t xml:space="preserve">.   .   .   .   .   .   .   .   .   .   .   .   .   .   .   .   .   .   .   .   .   .   .   .   .   .   .   .   .   .   .   . </t>
        </is>
      </c>
      <c r="S93" s="12641">
        <f>IF(AL92=0,"",SUM(ROUND(S87,0),ROUND(S88,0),ROUND(S89,0),ROUND(S90,0),ROUND(S91,0)))</f>
        <v/>
      </c>
      <c r="T93" s="8848" t="n"/>
      <c r="U93" s="8848" t="n"/>
      <c r="V93" s="8848" t="n"/>
      <c r="W93" s="8848" t="n"/>
      <c r="X93" s="12121" t="n"/>
      <c r="Y93" s="12648" t="n">
        <v>1</v>
      </c>
      <c r="Z93" s="8848" t="n"/>
      <c r="AA93" s="8848" t="n"/>
      <c r="AB93" s="8848" t="n"/>
      <c r="AC93" s="8848" t="n"/>
      <c r="AD93" s="12121" t="n"/>
      <c r="AE93" s="10597">
        <f>IF(AND(PassiveIncomeLoss&lt;&gt;"",AL92&gt;0),SUM(AE87:AJ91),"")</f>
        <v/>
      </c>
      <c r="AF93" s="8848" t="n"/>
      <c r="AG93" s="8848" t="n"/>
      <c r="AH93" s="8848" t="n"/>
      <c r="AI93" s="8848" t="n"/>
      <c r="AJ93" s="8848" t="n"/>
      <c r="AK93" s="2013" t="n"/>
      <c r="AL93" s="712" t="n"/>
      <c r="AM93" s="1113" t="n"/>
      <c r="AN93" s="11602" t="n"/>
      <c r="AO93" s="724" t="n"/>
      <c r="AP93" s="724" t="n"/>
      <c r="AQ93" s="5013" t="n"/>
      <c r="AR93" s="7772" t="inlineStr">
        <is>
          <t>and enter the result in column (c).</t>
        </is>
      </c>
      <c r="AS93" s="344" t="n"/>
      <c r="AT93" s="344" t="n"/>
      <c r="AU93" s="11602" t="n"/>
      <c r="AV93" s="409" t="n"/>
      <c r="AW93" s="11602" t="n"/>
    </row>
    <row r="94" ht="16.5" customFormat="1" customHeight="1" s="815">
      <c r="A94" s="2013" t="n"/>
      <c r="B94" s="10634" t="inlineStr">
        <is>
          <t>Part VIII</t>
        </is>
      </c>
      <c r="D94" s="342" t="n"/>
      <c r="E94" s="2874" t="inlineStr">
        <is>
          <t>Allowed Losses. See instructions.</t>
        </is>
      </c>
      <c r="F94" s="11602" t="n"/>
      <c r="G94" s="11602" t="n"/>
      <c r="H94" s="11602" t="n"/>
      <c r="I94" s="11602" t="n"/>
      <c r="J94" s="11602" t="n"/>
      <c r="K94" s="11602" t="n"/>
      <c r="L94" s="11602" t="n"/>
      <c r="M94" s="11602" t="n"/>
      <c r="N94" s="11602" t="n"/>
      <c r="O94" s="11602" t="n"/>
      <c r="P94" s="11602" t="n"/>
      <c r="Q94" s="11602" t="n"/>
      <c r="R94" s="11602" t="n"/>
      <c r="S94" s="11602" t="n"/>
      <c r="T94" s="11602" t="n"/>
      <c r="U94" s="11602" t="n"/>
      <c r="V94" s="11602" t="n"/>
      <c r="W94" s="11602" t="n"/>
      <c r="X94" s="11602" t="n"/>
      <c r="Y94" s="11602" t="n"/>
      <c r="Z94" s="11602" t="n"/>
      <c r="AA94" s="11602" t="n"/>
      <c r="AB94" s="11602" t="n"/>
      <c r="AC94" s="11602" t="n"/>
      <c r="AD94" s="11602" t="n"/>
      <c r="AE94" s="11602" t="n"/>
      <c r="AF94" s="11602" t="n"/>
      <c r="AG94" s="11602" t="n"/>
      <c r="AH94" s="11602" t="n"/>
      <c r="AI94" s="11602" t="n"/>
      <c r="AJ94" s="11602" t="n"/>
      <c r="AK94" s="2013" t="n"/>
      <c r="AL94" s="4479" t="n"/>
      <c r="AM94" s="226" t="n"/>
      <c r="AN94" s="4477" t="n"/>
      <c r="AO94" s="5007" t="n"/>
      <c r="AP94" s="5007" t="n"/>
      <c r="AQ94" s="5032" t="n"/>
      <c r="AR94" s="5043" t="n"/>
      <c r="AS94" s="5043" t="n"/>
      <c r="AT94" s="5043" t="n"/>
      <c r="AU94" s="4995" t="n"/>
      <c r="AV94" s="414" t="n"/>
      <c r="AW94" s="11602" t="n"/>
      <c r="AX94" s="12013" t="n"/>
      <c r="AY94" s="658" t="n"/>
      <c r="AZ94" s="658" t="n"/>
      <c r="BA94" s="658" t="n"/>
      <c r="BB94" s="658" t="n"/>
      <c r="BC94" s="658" t="n"/>
      <c r="BD94" s="658" t="n"/>
      <c r="BE94" s="658" t="n"/>
      <c r="BF94" s="658" t="n"/>
      <c r="BG94" s="658" t="n"/>
    </row>
    <row r="95" ht="16.5" customHeight="1" s="7635">
      <c r="A95" s="2013" t="n"/>
      <c r="B95" s="12651" t="inlineStr">
        <is>
          <t>Name of activity</t>
        </is>
      </c>
      <c r="C95" s="7839" t="n"/>
      <c r="D95" s="7839" t="n"/>
      <c r="E95" s="7839" t="n"/>
      <c r="F95" s="7839" t="n"/>
      <c r="G95" s="7839" t="n"/>
      <c r="H95" s="7839" t="n"/>
      <c r="I95" s="7839" t="n"/>
      <c r="J95" s="7839" t="n"/>
      <c r="K95" s="7839" t="n"/>
      <c r="L95" s="7839" t="n"/>
      <c r="M95" s="10091" t="n"/>
      <c r="N95" s="12642" t="inlineStr">
        <is>
          <t>Form or schedule
and line number
to be reported on
(see instructions)</t>
        </is>
      </c>
      <c r="O95" s="7839" t="n"/>
      <c r="P95" s="7839" t="n"/>
      <c r="Q95" s="7839" t="n"/>
      <c r="R95" s="10091" t="n"/>
      <c r="S95" s="12643" t="inlineStr">
        <is>
          <t>(a) Loss</t>
        </is>
      </c>
      <c r="T95" s="7839" t="n"/>
      <c r="U95" s="7839" t="n"/>
      <c r="V95" s="7839" t="n"/>
      <c r="W95" s="7839" t="n"/>
      <c r="X95" s="10091" t="n"/>
      <c r="Y95" s="12631" t="inlineStr">
        <is>
          <t>(b) Unallowed loss</t>
        </is>
      </c>
      <c r="Z95" s="7839" t="n"/>
      <c r="AA95" s="7839" t="n"/>
      <c r="AB95" s="7839" t="n"/>
      <c r="AC95" s="7839" t="n"/>
      <c r="AD95" s="10091" t="n"/>
      <c r="AE95" s="12649" t="inlineStr">
        <is>
          <t>(c) Allowed loss</t>
        </is>
      </c>
      <c r="AF95" s="7839" t="n"/>
      <c r="AG95" s="7839" t="n"/>
      <c r="AH95" s="7839" t="n"/>
      <c r="AI95" s="7839" t="n"/>
      <c r="AJ95" s="7839" t="n"/>
      <c r="AK95" s="2013" t="n"/>
      <c r="AL95" s="11602" t="n"/>
      <c r="AM95" s="11602" t="n"/>
      <c r="AN95" s="11602" t="n"/>
      <c r="AO95" s="724" t="n"/>
      <c r="AP95" s="724" t="n"/>
      <c r="AQ95" s="711" t="n"/>
      <c r="AR95" s="711" t="n"/>
      <c r="AS95" s="711" t="n"/>
      <c r="AT95" s="711" t="n"/>
      <c r="AU95" s="711" t="n"/>
      <c r="AV95" s="11602" t="n"/>
      <c r="AW95" s="4477" t="n"/>
      <c r="BH95" s="421" t="n"/>
      <c r="BI95" s="421" t="n"/>
    </row>
    <row r="96" ht="16.5" customHeight="1" s="7635">
      <c r="A96" s="2013" t="n"/>
      <c r="M96" s="7636" t="n"/>
      <c r="N96" s="4772" t="n"/>
      <c r="R96" s="7636" t="n"/>
      <c r="S96" s="4772" t="n"/>
      <c r="X96" s="7636" t="n"/>
      <c r="Y96" s="4772" t="n"/>
      <c r="AD96" s="7636" t="n"/>
      <c r="AE96" s="4772" t="n"/>
      <c r="AK96" s="2013" t="n"/>
      <c r="AL96" s="11602" t="n"/>
      <c r="AM96" s="9239" t="n"/>
      <c r="AN96" s="11602" t="n"/>
      <c r="AO96" s="724" t="n"/>
      <c r="AP96" s="724" t="n"/>
      <c r="AQ96" s="11602" t="n"/>
      <c r="AR96" s="11602" t="n"/>
      <c r="AS96" s="711" t="n"/>
      <c r="AT96" s="711" t="n"/>
      <c r="AU96" s="711" t="n"/>
      <c r="AV96" s="11602" t="n"/>
      <c r="AW96" s="11602" t="n"/>
      <c r="BH96" s="421" t="n"/>
      <c r="BI96" s="421" t="n"/>
    </row>
    <row r="97" ht="16.5" customHeight="1" s="7635">
      <c r="A97" s="2013" t="n"/>
      <c r="M97" s="7636" t="n"/>
      <c r="N97" s="4772" t="n"/>
      <c r="R97" s="7636" t="n"/>
      <c r="S97" s="4772" t="n"/>
      <c r="X97" s="7636" t="n"/>
      <c r="Y97" s="4772" t="n"/>
      <c r="AD97" s="7636" t="n"/>
      <c r="AE97" s="4772" t="n"/>
      <c r="AK97" s="2013" t="n"/>
      <c r="AL97" s="11602" t="n"/>
      <c r="AM97" s="226" t="inlineStr">
        <is>
          <t>Manual</t>
        </is>
      </c>
      <c r="AN97" s="11602" t="n"/>
      <c r="AO97" s="724" t="n"/>
      <c r="AP97" s="724" t="n"/>
      <c r="AQ97" s="11602" t="n"/>
      <c r="AR97" s="11602" t="n"/>
      <c r="AS97" s="11602" t="n"/>
      <c r="AT97" s="11602" t="n"/>
      <c r="AU97" s="11602" t="n"/>
      <c r="AV97" s="4477" t="n"/>
      <c r="AW97" s="11602" t="n"/>
      <c r="BH97" s="421" t="n"/>
      <c r="BI97" s="421" t="n"/>
    </row>
    <row r="98" ht="16.5" customHeight="1" s="7635" thickBot="1">
      <c r="A98" s="2013" t="n"/>
      <c r="B98" s="7637" t="n"/>
      <c r="C98" s="7637" t="n"/>
      <c r="D98" s="7637" t="n"/>
      <c r="E98" s="7637" t="n"/>
      <c r="F98" s="7637" t="n"/>
      <c r="G98" s="7637" t="n"/>
      <c r="H98" s="7637" t="n"/>
      <c r="I98" s="7637" t="n"/>
      <c r="J98" s="7637" t="n"/>
      <c r="K98" s="7637" t="n"/>
      <c r="L98" s="7637" t="n"/>
      <c r="M98" s="7638" t="n"/>
      <c r="N98" s="3614" t="n"/>
      <c r="O98" s="7637" t="n"/>
      <c r="P98" s="7637" t="n"/>
      <c r="Q98" s="7637" t="n"/>
      <c r="R98" s="7638" t="n"/>
      <c r="S98" s="3614" t="n"/>
      <c r="T98" s="7637" t="n"/>
      <c r="U98" s="7637" t="n"/>
      <c r="V98" s="7637" t="n"/>
      <c r="W98" s="7637" t="n"/>
      <c r="X98" s="7638" t="n"/>
      <c r="Y98" s="3614" t="n"/>
      <c r="Z98" s="7637" t="n"/>
      <c r="AA98" s="7637" t="n"/>
      <c r="AB98" s="7637" t="n"/>
      <c r="AC98" s="7637" t="n"/>
      <c r="AD98" s="7638" t="n"/>
      <c r="AE98" s="3614" t="n"/>
      <c r="AF98" s="7637" t="n"/>
      <c r="AG98" s="7637" t="n"/>
      <c r="AH98" s="7637" t="n"/>
      <c r="AI98" s="7637" t="n"/>
      <c r="AJ98" s="7637" t="n"/>
      <c r="AK98" s="2013" t="n"/>
      <c r="AL98" s="11602" t="n"/>
      <c r="AM98" s="226" t="inlineStr">
        <is>
          <t>Override ê</t>
        </is>
      </c>
      <c r="AN98" s="11602" t="n"/>
      <c r="AO98" s="724" t="n"/>
      <c r="AP98" s="724" t="n"/>
      <c r="AQ98" s="711" t="n"/>
      <c r="AR98" s="711" t="n"/>
      <c r="AS98" s="11602" t="n"/>
      <c r="AT98" s="11602" t="n"/>
      <c r="AU98" s="11602" t="n"/>
      <c r="AV98" s="11602" t="n"/>
      <c r="AW98" s="11602" t="n"/>
      <c r="BH98" s="421" t="n"/>
      <c r="BI98" s="421" t="n"/>
    </row>
    <row r="99" ht="18.75" customHeight="1" s="7635" thickBot="1">
      <c r="A99" s="2013" t="n"/>
      <c r="B99" s="10032" t="n"/>
      <c r="C99" s="8007" t="n"/>
      <c r="D99" s="8007" t="n"/>
      <c r="E99" s="8007" t="n"/>
      <c r="F99" s="8007" t="n"/>
      <c r="G99" s="8007" t="n"/>
      <c r="H99" s="8007" t="n"/>
      <c r="I99" s="8007" t="n"/>
      <c r="J99" s="8007" t="n"/>
      <c r="K99" s="8007" t="n"/>
      <c r="L99" s="8007" t="n"/>
      <c r="M99" s="8008" t="n"/>
      <c r="N99" s="12645" t="n"/>
      <c r="O99" s="8007" t="n"/>
      <c r="P99" s="8007" t="n"/>
      <c r="Q99" s="8007" t="n"/>
      <c r="R99" s="8008" t="n"/>
      <c r="S99" s="12634" t="n"/>
      <c r="T99" s="8007" t="n"/>
      <c r="U99" s="8007" t="n"/>
      <c r="V99" s="8007" t="n"/>
      <c r="W99" s="8007" t="n"/>
      <c r="X99" s="8008" t="n"/>
      <c r="Y99" s="12634" t="n"/>
      <c r="Z99" s="8007" t="n"/>
      <c r="AA99" s="8007" t="n"/>
      <c r="AB99" s="8007" t="n"/>
      <c r="AC99" s="8007" t="n"/>
      <c r="AD99" s="8008" t="n"/>
      <c r="AE99" s="10581">
        <f>IF(AM99&lt;&gt;"",ROUND(AM99,0),IF(AND(S99&lt;&gt;"",Y99&lt;&gt;""),SUM(S99,-Y99),""))</f>
        <v/>
      </c>
      <c r="AF99" s="8007" t="n"/>
      <c r="AG99" s="8007" t="n"/>
      <c r="AH99" s="8007" t="n"/>
      <c r="AI99" s="8007" t="n"/>
      <c r="AJ99" s="8007" t="n"/>
      <c r="AK99" s="2013" t="n"/>
      <c r="AL99" s="8914">
        <f>IF(AE99&lt;&gt;"",1,0)</f>
        <v/>
      </c>
      <c r="AM99" s="6988" t="n"/>
      <c r="AN99" s="11602" t="n"/>
      <c r="AO99" s="724" t="n"/>
      <c r="AP99" s="724" t="n"/>
      <c r="AQ99" s="711" t="n"/>
      <c r="AR99" s="711" t="n"/>
      <c r="AS99" s="711" t="n"/>
      <c r="AT99" s="711" t="n"/>
      <c r="AU99" s="711" t="n"/>
      <c r="AV99" s="11602" t="n"/>
      <c r="AW99" s="11602" t="n"/>
    </row>
    <row r="100" ht="18.75" customHeight="1" s="7635" thickBot="1">
      <c r="A100" s="2013" t="n"/>
      <c r="B100" s="10032" t="n"/>
      <c r="C100" s="8007" t="n"/>
      <c r="D100" s="8007" t="n"/>
      <c r="E100" s="8007" t="n"/>
      <c r="F100" s="8007" t="n"/>
      <c r="G100" s="8007" t="n"/>
      <c r="H100" s="8007" t="n"/>
      <c r="I100" s="8007" t="n"/>
      <c r="J100" s="8007" t="n"/>
      <c r="K100" s="8007" t="n"/>
      <c r="L100" s="8007" t="n"/>
      <c r="M100" s="8008" t="n"/>
      <c r="N100" s="12645" t="n"/>
      <c r="O100" s="8007" t="n"/>
      <c r="P100" s="8007" t="n"/>
      <c r="Q100" s="8007" t="n"/>
      <c r="R100" s="8008" t="n"/>
      <c r="S100" s="12634" t="n"/>
      <c r="T100" s="8007" t="n"/>
      <c r="U100" s="8007" t="n"/>
      <c r="V100" s="8007" t="n"/>
      <c r="W100" s="8007" t="n"/>
      <c r="X100" s="8008" t="n"/>
      <c r="Y100" s="12634" t="n"/>
      <c r="Z100" s="8007" t="n"/>
      <c r="AA100" s="8007" t="n"/>
      <c r="AB100" s="8007" t="n"/>
      <c r="AC100" s="8007" t="n"/>
      <c r="AD100" s="8008" t="n"/>
      <c r="AE100" s="10581">
        <f>IF(AM100&lt;&gt;"",ROUND(AM100,0),IF(AND(S100&lt;&gt;"",Y100&lt;&gt;""),SUM(S100,-Y100),""))</f>
        <v/>
      </c>
      <c r="AF100" s="8007" t="n"/>
      <c r="AG100" s="8007" t="n"/>
      <c r="AH100" s="8007" t="n"/>
      <c r="AI100" s="8007" t="n"/>
      <c r="AJ100" s="8007" t="n"/>
      <c r="AK100" s="2013" t="n"/>
      <c r="AL100" s="8914">
        <f>IF(AE100&lt;&gt;"",1,0)</f>
        <v/>
      </c>
      <c r="AM100" s="6988" t="n"/>
      <c r="AN100" s="4477" t="n"/>
      <c r="AO100" s="5007" t="n"/>
      <c r="AP100" s="5007" t="n"/>
      <c r="AQ100" s="1642" t="n"/>
      <c r="AR100" s="1642" t="n"/>
      <c r="AS100" s="1642" t="n"/>
      <c r="AT100" s="1642" t="n"/>
      <c r="AU100" s="1643" t="n"/>
      <c r="AV100" s="563" t="n"/>
      <c r="AW100" s="11602" t="n"/>
    </row>
    <row r="101" ht="18.75" customHeight="1" s="7635" thickBot="1">
      <c r="A101" s="2013" t="n"/>
      <c r="B101" s="10032" t="n"/>
      <c r="C101" s="8007" t="n"/>
      <c r="D101" s="8007" t="n"/>
      <c r="E101" s="8007" t="n"/>
      <c r="F101" s="8007" t="n"/>
      <c r="G101" s="8007" t="n"/>
      <c r="H101" s="8007" t="n"/>
      <c r="I101" s="8007" t="n"/>
      <c r="J101" s="8007" t="n"/>
      <c r="K101" s="8007" t="n"/>
      <c r="L101" s="8007" t="n"/>
      <c r="M101" s="8008" t="n"/>
      <c r="N101" s="12645" t="n"/>
      <c r="O101" s="8007" t="n"/>
      <c r="P101" s="8007" t="n"/>
      <c r="Q101" s="8007" t="n"/>
      <c r="R101" s="8008" t="n"/>
      <c r="S101" s="12634" t="n"/>
      <c r="T101" s="8007" t="n"/>
      <c r="U101" s="8007" t="n"/>
      <c r="V101" s="8007" t="n"/>
      <c r="W101" s="8007" t="n"/>
      <c r="X101" s="8008" t="n"/>
      <c r="Y101" s="12634" t="n"/>
      <c r="Z101" s="8007" t="n"/>
      <c r="AA101" s="8007" t="n"/>
      <c r="AB101" s="8007" t="n"/>
      <c r="AC101" s="8007" t="n"/>
      <c r="AD101" s="8008" t="n"/>
      <c r="AE101" s="10581">
        <f>IF(AM101&lt;&gt;"",ROUND(AM101,0),IF(AND(S101&lt;&gt;"",Y101&lt;&gt;""),SUM(S101,-Y101),""))</f>
        <v/>
      </c>
      <c r="AF101" s="8007" t="n"/>
      <c r="AG101" s="8007" t="n"/>
      <c r="AH101" s="8007" t="n"/>
      <c r="AI101" s="8007" t="n"/>
      <c r="AJ101" s="8007" t="n"/>
      <c r="AK101" s="2013" t="n"/>
      <c r="AL101" s="8914">
        <f>IF(AE101&lt;&gt;"",1,0)</f>
        <v/>
      </c>
      <c r="AM101" s="6988" t="n"/>
      <c r="AN101" s="4477" t="n"/>
      <c r="AO101" s="5007" t="n"/>
      <c r="AP101" s="5007" t="n"/>
      <c r="AQ101" s="11602" t="n"/>
      <c r="AR101" s="11602" t="n"/>
      <c r="AS101" s="11602" t="n"/>
      <c r="AT101" s="11602" t="n"/>
      <c r="AU101" s="11602" t="n"/>
      <c r="AV101" s="4477" t="n"/>
      <c r="AW101" s="4477" t="n"/>
    </row>
    <row r="102" ht="18.75" customHeight="1" s="7635" thickBot="1">
      <c r="A102" s="2013" t="n"/>
      <c r="B102" s="10032" t="n"/>
      <c r="C102" s="8007" t="n"/>
      <c r="D102" s="8007" t="n"/>
      <c r="E102" s="8007" t="n"/>
      <c r="F102" s="8007" t="n"/>
      <c r="G102" s="8007" t="n"/>
      <c r="H102" s="8007" t="n"/>
      <c r="I102" s="8007" t="n"/>
      <c r="J102" s="8007" t="n"/>
      <c r="K102" s="8007" t="n"/>
      <c r="L102" s="8007" t="n"/>
      <c r="M102" s="8008" t="n"/>
      <c r="N102" s="12645" t="n"/>
      <c r="O102" s="8007" t="n"/>
      <c r="P102" s="8007" t="n"/>
      <c r="Q102" s="8007" t="n"/>
      <c r="R102" s="8008" t="n"/>
      <c r="S102" s="12634" t="n"/>
      <c r="T102" s="8007" t="n"/>
      <c r="U102" s="8007" t="n"/>
      <c r="V102" s="8007" t="n"/>
      <c r="W102" s="8007" t="n"/>
      <c r="X102" s="8008" t="n"/>
      <c r="Y102" s="12634" t="n"/>
      <c r="Z102" s="8007" t="n"/>
      <c r="AA102" s="8007" t="n"/>
      <c r="AB102" s="8007" t="n"/>
      <c r="AC102" s="8007" t="n"/>
      <c r="AD102" s="8008" t="n"/>
      <c r="AE102" s="10581">
        <f>IF(AM102&lt;&gt;"",ROUND(AM102,0),IF(AND(S102&lt;&gt;"",Y102&lt;&gt;""),SUM(S102,-Y102),""))</f>
        <v/>
      </c>
      <c r="AF102" s="8007" t="n"/>
      <c r="AG102" s="8007" t="n"/>
      <c r="AH102" s="8007" t="n"/>
      <c r="AI102" s="8007" t="n"/>
      <c r="AJ102" s="8007" t="n"/>
      <c r="AK102" s="2013" t="n"/>
      <c r="AL102" s="8914">
        <f>IF(AE102&lt;&gt;"",1,0)</f>
        <v/>
      </c>
      <c r="AM102" s="6988" t="n"/>
      <c r="AN102" s="4477" t="n"/>
      <c r="AO102" s="5007" t="n"/>
      <c r="AP102" s="5007" t="n"/>
      <c r="AQ102" s="11602" t="n"/>
      <c r="AR102" s="11602" t="n"/>
      <c r="AS102" s="11602" t="n"/>
      <c r="AT102" s="11602" t="n"/>
      <c r="AU102" s="11602" t="n"/>
      <c r="AV102" s="4477" t="n"/>
      <c r="AW102" s="4477" t="n"/>
    </row>
    <row r="103" ht="18.75" customHeight="1" s="7635" thickBot="1">
      <c r="A103" s="2013" t="n"/>
      <c r="B103" s="10636" t="n"/>
      <c r="C103" s="11809" t="n"/>
      <c r="D103" s="11809" t="n"/>
      <c r="E103" s="11809" t="n"/>
      <c r="F103" s="11809" t="n"/>
      <c r="G103" s="11809" t="n"/>
      <c r="H103" s="11809" t="n"/>
      <c r="I103" s="11809" t="n"/>
      <c r="J103" s="11809" t="n"/>
      <c r="K103" s="11809" t="n"/>
      <c r="L103" s="11809" t="n"/>
      <c r="M103" s="11810" t="n"/>
      <c r="N103" s="12645" t="n"/>
      <c r="O103" s="8007" t="n"/>
      <c r="P103" s="8007" t="n"/>
      <c r="Q103" s="8007" t="n"/>
      <c r="R103" s="8008" t="n"/>
      <c r="S103" s="12634" t="n"/>
      <c r="T103" s="8007" t="n"/>
      <c r="U103" s="8007" t="n"/>
      <c r="V103" s="8007" t="n"/>
      <c r="W103" s="8007" t="n"/>
      <c r="X103" s="8008" t="n"/>
      <c r="Y103" s="12634" t="n"/>
      <c r="Z103" s="8007" t="n"/>
      <c r="AA103" s="8007" t="n"/>
      <c r="AB103" s="8007" t="n"/>
      <c r="AC103" s="8007" t="n"/>
      <c r="AD103" s="8008" t="n"/>
      <c r="AE103" s="10581">
        <f>IF(AM103&lt;&gt;"",ROUND(AM103,0),IF(AND(S103&lt;&gt;"",Y103&lt;&gt;""),SUM(S103,-Y103),""))</f>
        <v/>
      </c>
      <c r="AF103" s="8007" t="n"/>
      <c r="AG103" s="8007" t="n"/>
      <c r="AH103" s="8007" t="n"/>
      <c r="AI103" s="8007" t="n"/>
      <c r="AJ103" s="8007" t="n"/>
      <c r="AK103" s="2013" t="n"/>
      <c r="AL103" s="8914">
        <f>IF(AE103&lt;&gt;"",1,0)</f>
        <v/>
      </c>
      <c r="AM103" s="6988" t="n"/>
      <c r="AN103" s="11602" t="n"/>
      <c r="AO103" s="724" t="n"/>
      <c r="AP103" s="724" t="n"/>
      <c r="AQ103" s="11602" t="n"/>
      <c r="AR103" s="11602" t="n"/>
      <c r="AS103" s="11602" t="n"/>
      <c r="AT103" s="11602" t="n"/>
      <c r="AU103" s="11602" t="n"/>
      <c r="AV103" s="4477" t="n"/>
      <c r="AW103" s="4477" t="n"/>
    </row>
    <row r="104" ht="16.5" customHeight="1" s="7635" thickBot="1">
      <c r="A104" s="2013" t="n"/>
      <c r="B104" s="377" t="n"/>
      <c r="C104" s="5019" t="n"/>
      <c r="D104" s="5019" t="n"/>
      <c r="E104" s="5019" t="n"/>
      <c r="F104" s="5019" t="n"/>
      <c r="G104" s="5019" t="n"/>
      <c r="H104" s="5019" t="n"/>
      <c r="I104" s="5019" t="n"/>
      <c r="J104" s="5019" t="n"/>
      <c r="K104" s="5019" t="n"/>
      <c r="L104" s="5019" t="n"/>
      <c r="M104" s="5019" t="n"/>
      <c r="N104" s="5019" t="n"/>
      <c r="O104" s="5019" t="n"/>
      <c r="P104" s="5019" t="n"/>
      <c r="Q104" s="5019" t="n"/>
      <c r="R104" s="5035" t="n"/>
      <c r="S104" s="5036" t="n"/>
      <c r="T104" s="5019" t="n"/>
      <c r="U104" s="5019" t="n"/>
      <c r="V104" s="5019" t="n"/>
      <c r="W104" s="5019" t="n"/>
      <c r="X104" s="5035" t="n"/>
      <c r="Y104" s="5036" t="n"/>
      <c r="Z104" s="5019" t="n"/>
      <c r="AA104" s="5019" t="n"/>
      <c r="AB104" s="5019" t="n"/>
      <c r="AC104" s="5019" t="n"/>
      <c r="AD104" s="5019" t="n"/>
      <c r="AE104" s="5036" t="n"/>
      <c r="AF104" s="5019" t="n"/>
      <c r="AG104" s="5019" t="n"/>
      <c r="AH104" s="5019" t="n"/>
      <c r="AI104" s="5019" t="n"/>
      <c r="AJ104" s="5019" t="n"/>
      <c r="AK104" s="2013" t="n"/>
      <c r="AL104" s="9239">
        <f>SUM(AL99:AL103)</f>
        <v/>
      </c>
      <c r="AM104" s="2868" t="n"/>
      <c r="AN104" s="11602" t="n"/>
      <c r="AO104" s="724" t="n"/>
      <c r="AP104" s="724" t="n"/>
      <c r="AQ104" s="11602" t="n"/>
      <c r="AR104" s="11602" t="n"/>
      <c r="AS104" s="11602" t="n"/>
      <c r="AT104" s="11602" t="n"/>
      <c r="AU104" s="11602" t="n"/>
      <c r="AV104" s="11602" t="n"/>
      <c r="AW104" s="11602" t="n"/>
      <c r="BJ104" s="7970" t="n"/>
    </row>
    <row r="105" ht="16.5" customHeight="1" s="7635" thickBot="1">
      <c r="A105" s="2013" t="n"/>
      <c r="B105" s="5020" t="inlineStr">
        <is>
          <t>Total</t>
        </is>
      </c>
      <c r="C105" s="5021" t="n"/>
      <c r="D105" s="5021" t="n"/>
      <c r="E105" s="5021" t="n"/>
      <c r="F105" s="5021" t="n"/>
      <c r="G105" s="5021" t="n"/>
      <c r="H105" s="5021" t="n"/>
      <c r="I105" s="5021" t="n"/>
      <c r="J105" s="5021" t="n"/>
      <c r="K105" s="5021" t="n"/>
      <c r="L105" s="5021" t="n"/>
      <c r="M105" s="5021" t="n"/>
      <c r="N105" s="5042" t="n"/>
      <c r="O105" s="5042" t="n"/>
      <c r="P105" s="5042" t="n"/>
      <c r="Q105" s="5042" t="n"/>
      <c r="R105" s="10736" t="inlineStr">
        <is>
          <t xml:space="preserve">.   .   .   .   .   .   .   .   .   .   .   .   .   .   .   .   .   .   .   .   .   .   .   .   .   .   .   .   .   .   .   . </t>
        </is>
      </c>
      <c r="S105" s="12652">
        <f>IF(SUM(S99:X103)&gt;0,SUM(S99:X103),"")</f>
        <v/>
      </c>
      <c r="T105" s="11795" t="n"/>
      <c r="U105" s="11795" t="n"/>
      <c r="V105" s="11795" t="n"/>
      <c r="W105" s="11795" t="n"/>
      <c r="X105" s="12145" t="n"/>
      <c r="Y105" s="12652">
        <f>IF(SUM(Y99:AD103)&gt;0,SUM(Y99:AD103),"")</f>
        <v/>
      </c>
      <c r="Z105" s="11795" t="n"/>
      <c r="AA105" s="11795" t="n"/>
      <c r="AB105" s="11795" t="n"/>
      <c r="AC105" s="11795" t="n"/>
      <c r="AD105" s="12145" t="n"/>
      <c r="AE105" s="10683">
        <f>IF(AL104&gt;0,SUM(AE99:AJ103),"")</f>
        <v/>
      </c>
      <c r="AF105" s="11795" t="n"/>
      <c r="AG105" s="11795" t="n"/>
      <c r="AH105" s="11795" t="n"/>
      <c r="AI105" s="11795" t="n"/>
      <c r="AJ105" s="11795" t="n"/>
      <c r="AK105" s="2013" t="n"/>
      <c r="AL105" s="712" t="n"/>
      <c r="AM105" s="1113" t="n"/>
      <c r="AN105" s="11602" t="n"/>
      <c r="AO105" s="724" t="n"/>
      <c r="AP105" s="724" t="n"/>
      <c r="AQ105" s="11602" t="n"/>
      <c r="AR105" s="11602" t="n"/>
      <c r="AS105" s="11602" t="n"/>
      <c r="AT105" s="11602" t="n"/>
      <c r="AU105" s="11602" t="n"/>
      <c r="AV105" s="11602" t="n"/>
      <c r="AW105" s="11602" t="n"/>
    </row>
    <row r="106" ht="18" customFormat="1" customHeight="1" s="815">
      <c r="A106" s="2013" t="n"/>
      <c r="B106" s="2447" t="n"/>
      <c r="C106" s="728" t="n"/>
      <c r="D106" s="11403" t="n"/>
      <c r="E106" s="11403" t="n"/>
      <c r="F106" s="11403" t="n"/>
      <c r="G106" s="11403" t="n"/>
      <c r="H106" s="11403" t="n"/>
      <c r="I106" s="11403" t="n"/>
      <c r="J106" s="11403" t="n"/>
      <c r="K106" s="11403" t="n"/>
      <c r="L106" s="11403" t="n"/>
      <c r="M106" s="11403" t="n"/>
      <c r="N106" s="11403" t="n"/>
      <c r="O106" s="11403" t="n"/>
      <c r="P106" s="11403" t="n"/>
      <c r="Q106" s="88" t="n"/>
      <c r="R106" s="88" t="n"/>
      <c r="S106" s="88" t="n"/>
      <c r="T106" s="88" t="n"/>
      <c r="U106" s="3931" t="n"/>
      <c r="V106" s="88" t="n"/>
      <c r="W106" s="3931" t="n"/>
      <c r="X106" s="88" t="n"/>
      <c r="Y106" s="88" t="n"/>
      <c r="Z106" s="88" t="n"/>
      <c r="AA106" s="88" t="n"/>
      <c r="AB106" s="88" t="n"/>
      <c r="AC106" s="88" t="n"/>
      <c r="AD106" s="88" t="n"/>
      <c r="AE106" s="5022" t="inlineStr">
        <is>
          <t>Form</t>
        </is>
      </c>
      <c r="AF106" s="10717" t="n">
        <v>8582</v>
      </c>
      <c r="AG106" s="2506" t="n"/>
      <c r="AH106" s="2506" t="n"/>
      <c r="AI106" s="88" t="n"/>
      <c r="AJ106" s="2052">
        <f>"("&amp;TaxYear&amp;")"</f>
        <v/>
      </c>
      <c r="AK106" s="2013" t="n"/>
      <c r="AL106" s="6996" t="n"/>
      <c r="AM106" s="6996" t="n"/>
      <c r="AN106" s="11602" t="n"/>
      <c r="AO106" s="724" t="n"/>
      <c r="AP106" s="724" t="n"/>
      <c r="AQ106" s="11602" t="n"/>
      <c r="AR106" s="11602" t="n"/>
      <c r="AS106" s="11602" t="n"/>
      <c r="AT106" s="11602" t="n"/>
      <c r="AU106" s="11602" t="n"/>
      <c r="AV106" s="11602" t="n"/>
      <c r="AW106" s="11602" t="n"/>
      <c r="AX106" s="12013" t="n"/>
      <c r="AY106" s="658" t="n"/>
      <c r="AZ106" s="658" t="n"/>
      <c r="BA106" s="658" t="n"/>
      <c r="BB106" s="658" t="n"/>
      <c r="BC106" s="658" t="n"/>
      <c r="BD106" s="658" t="n"/>
      <c r="BE106" s="658" t="n"/>
      <c r="BF106" s="658" t="n"/>
      <c r="BG106" s="658" t="n"/>
    </row>
    <row r="107" ht="22.5" customFormat="1" customHeight="1" s="815" thickBot="1">
      <c r="A107" s="2013" t="n"/>
      <c r="B107" s="721">
        <f>"Form 8582 ("&amp;TaxYear&amp;")"</f>
        <v/>
      </c>
      <c r="C107" s="4484" t="n"/>
      <c r="D107" s="721" t="n"/>
      <c r="E107" s="721" t="n"/>
      <c r="F107" s="721" t="n"/>
      <c r="G107" s="721" t="n"/>
      <c r="H107" s="721" t="n"/>
      <c r="I107" s="721" t="n"/>
      <c r="J107" s="721" t="n"/>
      <c r="K107" s="721" t="n"/>
      <c r="L107" s="721" t="n"/>
      <c r="M107" s="721" t="n"/>
      <c r="N107" s="721" t="n"/>
      <c r="O107" s="721" t="n"/>
      <c r="P107" s="721" t="n"/>
      <c r="Q107" s="721" t="n"/>
      <c r="R107" s="721" t="n"/>
      <c r="S107" s="721" t="n"/>
      <c r="T107" s="721" t="n"/>
      <c r="U107" s="721" t="n"/>
      <c r="V107" s="721" t="n"/>
      <c r="W107" s="721" t="n"/>
      <c r="X107" s="721" t="n"/>
      <c r="Y107" s="721" t="n"/>
      <c r="Z107" s="721" t="n"/>
      <c r="AA107" s="721" t="n"/>
      <c r="AB107" s="721" t="n"/>
      <c r="AC107" s="721" t="n"/>
      <c r="AD107" s="721" t="n"/>
      <c r="AE107" s="721" t="n"/>
      <c r="AF107" s="721" t="n"/>
      <c r="AG107" s="721" t="n"/>
      <c r="AH107" s="721" t="n"/>
      <c r="AI107" s="2053" t="inlineStr">
        <is>
          <t>Page</t>
        </is>
      </c>
      <c r="AJ107" s="5023" t="n">
        <v>3</v>
      </c>
      <c r="AK107" s="2013" t="n"/>
      <c r="AL107" s="11602" t="n"/>
      <c r="AM107" s="11602" t="n"/>
      <c r="AN107" s="11602" t="n"/>
      <c r="AO107" s="724" t="n"/>
      <c r="AP107" s="724" t="n"/>
      <c r="AQ107" s="11602" t="n"/>
      <c r="AR107" s="11602" t="n"/>
      <c r="AS107" s="11602" t="n"/>
      <c r="AT107" s="11602" t="n"/>
      <c r="AU107" s="11602" t="n"/>
      <c r="AV107" s="11602" t="n"/>
      <c r="AW107" s="11602" t="n"/>
      <c r="AX107" s="12013" t="n"/>
      <c r="AY107" s="658" t="n"/>
      <c r="AZ107" s="658" t="n"/>
      <c r="BA107" s="658" t="n"/>
      <c r="BB107" s="658" t="n"/>
      <c r="BC107" s="658" t="n"/>
      <c r="BD107" s="658" t="n"/>
      <c r="BE107" s="658" t="n"/>
      <c r="BF107" s="658" t="n"/>
      <c r="BG107" s="658" t="n"/>
    </row>
    <row r="108" ht="18.75" customFormat="1" customHeight="1" s="815" thickTop="1">
      <c r="A108" s="2013" t="n"/>
      <c r="B108" s="7904" t="inlineStr">
        <is>
          <t>Part IX</t>
        </is>
      </c>
      <c r="C108" s="2506" t="n"/>
      <c r="D108" s="4485" t="n"/>
      <c r="E108" s="5044" t="inlineStr">
        <is>
          <t>Activities With Losses Reported on Two or More Forms or Schedules.</t>
        </is>
      </c>
      <c r="F108" s="257" t="n"/>
      <c r="G108" s="257" t="n"/>
      <c r="H108" s="257" t="n"/>
      <c r="I108" s="257" t="n"/>
      <c r="J108" s="257" t="n"/>
      <c r="K108" s="257" t="n"/>
      <c r="L108" s="257" t="n"/>
      <c r="M108" s="5045" t="n"/>
      <c r="N108" s="5045" t="n"/>
      <c r="O108" s="5045" t="n"/>
      <c r="P108" s="5045" t="n"/>
      <c r="Q108" s="5045" t="n"/>
      <c r="R108" s="5045" t="n"/>
      <c r="S108" s="5045" t="n"/>
      <c r="T108" s="5045" t="n"/>
      <c r="U108" s="5045" t="n"/>
      <c r="V108" s="5045" t="n"/>
      <c r="W108" s="5045" t="n"/>
      <c r="X108" s="5045" t="n"/>
      <c r="Y108" s="5046" t="n"/>
      <c r="Z108" s="5046" t="inlineStr">
        <is>
          <t>See instructions.</t>
        </is>
      </c>
      <c r="AA108" s="5045" t="n"/>
      <c r="AB108" s="5045" t="n"/>
      <c r="AC108" s="5045" t="n"/>
      <c r="AD108" s="5045" t="n"/>
      <c r="AE108" s="5045" t="n"/>
      <c r="AF108" s="5045" t="n"/>
      <c r="AG108" s="5045" t="n"/>
      <c r="AH108" s="5045" t="n"/>
      <c r="AI108" s="5045" t="n"/>
      <c r="AJ108" s="5045" t="n"/>
      <c r="AK108" s="2013" t="n"/>
      <c r="AL108" s="11602" t="n"/>
      <c r="AM108" s="11602" t="n"/>
      <c r="AN108" s="11602" t="n"/>
      <c r="AO108" s="724" t="n"/>
      <c r="AP108" s="724" t="n"/>
      <c r="AQ108" s="11602" t="n"/>
      <c r="AR108" s="11602" t="n"/>
      <c r="AS108" s="11602" t="n"/>
      <c r="AT108" s="11602" t="n"/>
      <c r="AU108" s="11602" t="n"/>
      <c r="AV108" s="11602" t="n"/>
      <c r="AW108" s="11602" t="n"/>
      <c r="AX108" s="12013" t="n"/>
      <c r="AY108" s="658" t="n"/>
      <c r="AZ108" s="658" t="n"/>
      <c r="BA108" s="658" t="n"/>
      <c r="BB108" s="658" t="n"/>
      <c r="BC108" s="658" t="n"/>
      <c r="BD108" s="658" t="n"/>
      <c r="BE108" s="658" t="n"/>
      <c r="BF108" s="658" t="n"/>
      <c r="BG108" s="658" t="n"/>
    </row>
    <row r="109" ht="16.5" customHeight="1" s="7635">
      <c r="A109" s="2013" t="n"/>
      <c r="B109" s="2761" t="inlineStr">
        <is>
          <t>Name of activity:</t>
        </is>
      </c>
      <c r="C109" s="5047" t="n"/>
      <c r="D109" s="2354" t="n"/>
      <c r="E109" s="11165" t="n"/>
      <c r="F109" s="11165" t="n"/>
      <c r="G109" s="11165" t="n"/>
      <c r="H109" s="406" t="n"/>
      <c r="I109" s="406" t="n"/>
      <c r="J109" s="406" t="n"/>
      <c r="K109" s="406" t="n"/>
      <c r="L109" s="406" t="n"/>
      <c r="M109" s="6634" t="inlineStr">
        <is>
          <t>(a)</t>
        </is>
      </c>
      <c r="N109" s="7839" t="n"/>
      <c r="O109" s="7839" t="n"/>
      <c r="P109" s="10091" t="n"/>
      <c r="Q109" s="6634" t="inlineStr">
        <is>
          <t>(b)</t>
        </is>
      </c>
      <c r="R109" s="7839" t="n"/>
      <c r="S109" s="7839" t="n"/>
      <c r="T109" s="10091" t="n"/>
      <c r="U109" s="6634" t="inlineStr">
        <is>
          <t>(c) Ratio</t>
        </is>
      </c>
      <c r="V109" s="7839" t="n"/>
      <c r="W109" s="7839" t="n"/>
      <c r="X109" s="7839" t="n"/>
      <c r="Y109" s="10091" t="n"/>
      <c r="Z109" s="12653" t="inlineStr">
        <is>
          <t>(d) Unallowed
loss</t>
        </is>
      </c>
      <c r="AA109" s="7839" t="n"/>
      <c r="AB109" s="7839" t="n"/>
      <c r="AC109" s="7839" t="n"/>
      <c r="AD109" s="7839" t="n"/>
      <c r="AE109" s="10091" t="n"/>
      <c r="AF109" s="8568" t="inlineStr">
        <is>
          <t>(e) Allowed
loss</t>
        </is>
      </c>
      <c r="AG109" s="7839" t="n"/>
      <c r="AH109" s="7839" t="n"/>
      <c r="AI109" s="7839" t="n"/>
      <c r="AJ109" s="7839" t="n"/>
      <c r="AK109" s="2013" t="n"/>
      <c r="AL109" s="11602" t="n"/>
      <c r="AM109" s="11602" t="n"/>
      <c r="AN109" s="11602" t="n"/>
      <c r="AO109" s="724" t="n"/>
      <c r="AP109" s="724" t="n"/>
      <c r="AQ109" s="11602" t="n"/>
      <c r="AR109" s="11602" t="n"/>
      <c r="AS109" s="11602" t="n"/>
      <c r="AT109" s="11602" t="n"/>
      <c r="AU109" s="11602" t="n"/>
      <c r="AV109" s="11602" t="n"/>
      <c r="AW109" s="11602" t="n"/>
    </row>
    <row r="110" ht="16.5" customHeight="1" s="7635">
      <c r="A110" s="2013" t="n"/>
      <c r="B110" s="7287" t="n"/>
      <c r="C110" s="11717" t="n"/>
      <c r="D110" s="11717" t="n"/>
      <c r="E110" s="11717" t="n"/>
      <c r="F110" s="11717" t="n"/>
      <c r="G110" s="11717" t="n"/>
      <c r="H110" s="11717" t="n"/>
      <c r="I110" s="11717" t="n"/>
      <c r="J110" s="11717" t="n"/>
      <c r="K110" s="11717" t="n"/>
      <c r="L110" s="11718" t="n"/>
      <c r="M110" s="3614" t="n"/>
      <c r="N110" s="7637" t="n"/>
      <c r="O110" s="7637" t="n"/>
      <c r="P110" s="7638" t="n"/>
      <c r="Q110" s="3614" t="n"/>
      <c r="R110" s="7637" t="n"/>
      <c r="S110" s="7637" t="n"/>
      <c r="T110" s="7638" t="n"/>
      <c r="U110" s="3614" t="n"/>
      <c r="V110" s="7637" t="n"/>
      <c r="W110" s="7637" t="n"/>
      <c r="X110" s="7637" t="n"/>
      <c r="Y110" s="7638" t="n"/>
      <c r="Z110" s="3614" t="n"/>
      <c r="AA110" s="7637" t="n"/>
      <c r="AB110" s="7637" t="n"/>
      <c r="AC110" s="7637" t="n"/>
      <c r="AD110" s="7637" t="n"/>
      <c r="AE110" s="7638" t="n"/>
      <c r="AF110" s="3614" t="n"/>
      <c r="AG110" s="7637" t="n"/>
      <c r="AH110" s="7637" t="n"/>
      <c r="AI110" s="7637" t="n"/>
      <c r="AJ110" s="7637" t="n"/>
      <c r="AK110" s="2013" t="n"/>
      <c r="AL110" s="11602" t="n"/>
      <c r="AM110" s="11602" t="n"/>
      <c r="AN110" s="11602" t="n"/>
      <c r="AO110" s="724" t="n"/>
      <c r="AP110" s="724" t="n"/>
      <c r="AQ110" s="11602" t="n"/>
      <c r="AR110" s="11602" t="n"/>
      <c r="AS110" s="11602" t="n"/>
      <c r="AT110" s="11602" t="n"/>
      <c r="AU110" s="11602" t="n"/>
      <c r="AV110" s="11602" t="n"/>
      <c r="AW110" s="11602" t="n"/>
    </row>
    <row r="111" ht="16.5" customHeight="1" s="7635">
      <c r="A111" s="2013" t="n"/>
      <c r="B111" s="514" t="inlineStr">
        <is>
          <t>Form or schedule and line number to</t>
        </is>
      </c>
      <c r="C111" s="2917" t="n"/>
      <c r="D111" s="8650" t="n"/>
      <c r="E111" s="6996" t="n"/>
      <c r="F111" s="6996" t="n"/>
      <c r="G111" s="6996" t="n"/>
      <c r="H111" s="11602" t="n"/>
      <c r="I111" s="11602" t="n"/>
      <c r="J111" s="11602" t="n"/>
      <c r="K111" s="11602" t="n"/>
      <c r="L111" s="11602" t="n"/>
      <c r="M111" s="12654" t="n"/>
      <c r="N111" s="7839" t="n"/>
      <c r="O111" s="7839" t="n"/>
      <c r="P111" s="10091" t="n"/>
      <c r="Q111" s="5048" t="n"/>
      <c r="R111" s="5049" t="n"/>
      <c r="S111" s="5049" t="n"/>
      <c r="T111" s="5050" t="n"/>
      <c r="U111" s="5048" t="n"/>
      <c r="V111" s="5049" t="n"/>
      <c r="W111" s="5049" t="n"/>
      <c r="X111" s="5049" t="n"/>
      <c r="Y111" s="5050" t="n"/>
      <c r="Z111" s="5048" t="n"/>
      <c r="AA111" s="5049" t="n"/>
      <c r="AB111" s="5049" t="n"/>
      <c r="AC111" s="5049" t="n"/>
      <c r="AD111" s="5049" t="n"/>
      <c r="AE111" s="5050" t="n"/>
      <c r="AF111" s="5048" t="n"/>
      <c r="AG111" s="5049" t="n"/>
      <c r="AH111" s="5049" t="n"/>
      <c r="AI111" s="5049" t="n"/>
      <c r="AJ111" s="5049" t="n"/>
      <c r="AK111" s="2013" t="n"/>
      <c r="AL111" s="11602" t="n"/>
      <c r="AM111" s="11602" t="n"/>
      <c r="AN111" s="11602" t="n"/>
      <c r="AO111" s="724" t="n"/>
      <c r="AP111" s="724" t="n"/>
      <c r="AQ111" s="11602" t="n"/>
      <c r="AR111" s="11602" t="n"/>
      <c r="AS111" s="11602" t="n"/>
      <c r="AT111" s="11602" t="n"/>
      <c r="AU111" s="11602" t="n"/>
      <c r="AV111" s="11602" t="n"/>
      <c r="AW111" s="11602" t="n"/>
    </row>
    <row r="112" ht="16.5" customHeight="1" s="7635">
      <c r="A112" s="2013" t="n"/>
      <c r="B112" s="514" t="inlineStr">
        <is>
          <t>be reported on (see instructions):</t>
        </is>
      </c>
      <c r="C112" s="11216" t="n"/>
      <c r="D112" s="8650" t="n"/>
      <c r="E112" s="6996" t="n"/>
      <c r="F112" s="6996" t="n"/>
      <c r="G112" s="6996" t="n"/>
      <c r="H112" s="6996" t="n"/>
      <c r="I112" s="11602" t="n"/>
      <c r="J112" s="11602" t="n"/>
      <c r="K112" s="11602" t="n"/>
      <c r="L112" s="11602" t="n"/>
      <c r="M112" s="4772" t="n"/>
      <c r="P112" s="7636" t="n"/>
      <c r="Q112" s="5051" t="n"/>
      <c r="R112" s="1277" t="n"/>
      <c r="S112" s="1277" t="n"/>
      <c r="T112" s="5052" t="n"/>
      <c r="U112" s="5051" t="n"/>
      <c r="V112" s="1277" t="n"/>
      <c r="W112" s="1277" t="n"/>
      <c r="X112" s="1277" t="n"/>
      <c r="Y112" s="5052" t="n"/>
      <c r="Z112" s="5051" t="n"/>
      <c r="AA112" s="1277" t="n"/>
      <c r="AB112" s="1277" t="n"/>
      <c r="AC112" s="1277" t="n"/>
      <c r="AD112" s="1277" t="n"/>
      <c r="AE112" s="5052" t="n"/>
      <c r="AF112" s="5051" t="n"/>
      <c r="AG112" s="1277" t="n"/>
      <c r="AH112" s="1277" t="n"/>
      <c r="AI112" s="1277" t="n"/>
      <c r="AJ112" s="1277" t="n"/>
      <c r="AK112" s="2013" t="n"/>
      <c r="AL112" s="11602" t="n"/>
      <c r="AM112" s="11602" t="n"/>
      <c r="AN112" s="11602" t="n"/>
      <c r="AO112" s="724" t="n"/>
      <c r="AP112" s="724" t="n"/>
      <c r="AQ112" s="11602" t="n"/>
      <c r="AR112" s="11602" t="n"/>
      <c r="AS112" s="11602" t="n"/>
      <c r="AT112" s="11602" t="n"/>
      <c r="AU112" s="11602" t="n"/>
      <c r="AV112" s="11602" t="n"/>
      <c r="AW112" s="11602" t="n"/>
    </row>
    <row r="113" ht="16.5" customHeight="1" s="7635">
      <c r="A113" s="2013" t="n"/>
      <c r="B113" s="10633" t="n"/>
      <c r="C113" s="11990" t="n"/>
      <c r="D113" s="11990" t="n"/>
      <c r="E113" s="11990" t="n"/>
      <c r="F113" s="11990" t="n"/>
      <c r="G113" s="11990" t="n"/>
      <c r="H113" s="11990" t="n"/>
      <c r="I113" s="11990" t="n"/>
      <c r="J113" s="11990" t="n"/>
      <c r="K113" s="11990" t="n"/>
      <c r="L113" s="12655" t="n"/>
      <c r="M113" s="3614" t="n"/>
      <c r="N113" s="7637" t="n"/>
      <c r="O113" s="7637" t="n"/>
      <c r="P113" s="7638" t="n"/>
      <c r="Q113" s="5051" t="n"/>
      <c r="R113" s="1277" t="n"/>
      <c r="S113" s="1277" t="n"/>
      <c r="T113" s="5052" t="n"/>
      <c r="U113" s="5051" t="n"/>
      <c r="V113" s="1277" t="n"/>
      <c r="W113" s="1277" t="n"/>
      <c r="X113" s="1277" t="n"/>
      <c r="Y113" s="5052" t="n"/>
      <c r="Z113" s="5051" t="n"/>
      <c r="AA113" s="1277" t="n"/>
      <c r="AB113" s="1277" t="n"/>
      <c r="AC113" s="1277" t="n"/>
      <c r="AD113" s="1277" t="n"/>
      <c r="AE113" s="5052" t="n"/>
      <c r="AF113" s="5051" t="n"/>
      <c r="AG113" s="1277" t="n"/>
      <c r="AH113" s="1277" t="n"/>
      <c r="AI113" s="1277" t="n"/>
      <c r="AJ113" s="1277" t="n"/>
      <c r="AK113" s="2013" t="n"/>
      <c r="AL113" s="11602" t="n"/>
      <c r="AM113" s="11602" t="n"/>
      <c r="AN113" s="11602" t="n"/>
      <c r="AO113" s="724" t="n"/>
      <c r="AP113" s="724" t="n"/>
      <c r="AQ113" s="11602" t="n"/>
      <c r="AR113" s="11602" t="n"/>
      <c r="AS113" s="11602" t="n"/>
      <c r="AT113" s="11602" t="n"/>
      <c r="AU113" s="11602" t="n"/>
      <c r="AV113" s="11602" t="n"/>
      <c r="AW113" s="11602" t="n"/>
    </row>
    <row r="114" ht="16.5" customHeight="1" s="7635">
      <c r="A114" s="2013" t="n"/>
      <c r="B114" s="11602" t="n"/>
      <c r="C114" s="2917" t="inlineStr">
        <is>
          <t>1a</t>
        </is>
      </c>
      <c r="D114" s="7772" t="inlineStr">
        <is>
          <t>Net loss plus prior year unnallowed</t>
        </is>
      </c>
      <c r="E114" s="6996" t="n"/>
      <c r="F114" s="6996" t="n"/>
      <c r="G114" s="6996" t="n"/>
      <c r="H114" s="11602" t="n"/>
      <c r="I114" s="11602" t="n"/>
      <c r="J114" s="11602" t="n"/>
      <c r="K114" s="11602" t="n"/>
      <c r="L114" s="11602" t="n"/>
      <c r="M114" s="405" t="n"/>
      <c r="N114" s="406" t="n"/>
      <c r="O114" s="406" t="n"/>
      <c r="P114" s="407" t="n"/>
      <c r="Q114" s="5051" t="n"/>
      <c r="R114" s="1277" t="n"/>
      <c r="S114" s="1277" t="n"/>
      <c r="T114" s="5052" t="n"/>
      <c r="U114" s="5051" t="n"/>
      <c r="V114" s="1277" t="n"/>
      <c r="W114" s="1277" t="n"/>
      <c r="X114" s="1277" t="n"/>
      <c r="Y114" s="5052" t="n"/>
      <c r="Z114" s="5051" t="n"/>
      <c r="AA114" s="1277" t="n"/>
      <c r="AB114" s="1277" t="n"/>
      <c r="AC114" s="1277" t="n"/>
      <c r="AD114" s="1277" t="n"/>
      <c r="AE114" s="5052" t="n"/>
      <c r="AF114" s="5051" t="n"/>
      <c r="AG114" s="1277" t="n"/>
      <c r="AH114" s="1277" t="n"/>
      <c r="AI114" s="1277" t="n"/>
      <c r="AJ114" s="1277" t="n"/>
      <c r="AK114" s="2013" t="n"/>
      <c r="AL114" s="11602" t="n"/>
      <c r="AM114" s="11602" t="n"/>
      <c r="AN114" s="11602" t="n"/>
      <c r="AO114" s="724" t="n"/>
      <c r="AP114" s="724" t="n"/>
      <c r="AQ114" s="11602" t="n"/>
      <c r="AR114" s="11602" t="n"/>
      <c r="AS114" s="11602" t="n"/>
      <c r="AT114" s="11602" t="n"/>
      <c r="AU114" s="11602" t="n"/>
      <c r="AV114" s="11602" t="n"/>
      <c r="AW114" s="11602" t="n"/>
    </row>
    <row r="115" ht="16.5" customHeight="1" s="7635">
      <c r="A115" s="2013" t="n"/>
      <c r="B115" s="11602" t="n"/>
      <c r="C115" s="11216" t="n"/>
      <c r="D115" s="7772" t="inlineStr">
        <is>
          <t>loss from form or schedule</t>
        </is>
      </c>
      <c r="E115" s="6996" t="n"/>
      <c r="F115" s="6996" t="n"/>
      <c r="G115" s="6996" t="n"/>
      <c r="H115" s="6996" t="n"/>
      <c r="I115" s="11602" t="n"/>
      <c r="J115" s="11602" t="n"/>
      <c r="K115" s="11602" t="n"/>
      <c r="L115" s="11602" t="n"/>
      <c r="M115" s="12656" t="n"/>
      <c r="N115" s="11717" t="n"/>
      <c r="O115" s="11717" t="n"/>
      <c r="P115" s="11718" t="n"/>
      <c r="Q115" s="5051" t="n"/>
      <c r="R115" s="1277" t="n"/>
      <c r="S115" s="1277" t="n"/>
      <c r="T115" s="5052" t="n"/>
      <c r="U115" s="5051" t="n"/>
      <c r="V115" s="1277" t="n"/>
      <c r="W115" s="1277" t="n"/>
      <c r="X115" s="1277" t="n"/>
      <c r="Y115" s="5052" t="n"/>
      <c r="Z115" s="5051" t="n"/>
      <c r="AA115" s="1277" t="n"/>
      <c r="AB115" s="1277" t="n"/>
      <c r="AC115" s="1277" t="n"/>
      <c r="AD115" s="1277" t="n"/>
      <c r="AE115" s="5052" t="n"/>
      <c r="AF115" s="5051" t="n"/>
      <c r="AG115" s="1277" t="n"/>
      <c r="AH115" s="1277" t="n"/>
      <c r="AI115" s="1277" t="n"/>
      <c r="AJ115" s="1277" t="n"/>
      <c r="AK115" s="2013" t="n"/>
      <c r="AL115" s="11602" t="n"/>
      <c r="AM115" s="11602" t="n"/>
      <c r="AN115" s="11602" t="n"/>
      <c r="AO115" s="724" t="n"/>
      <c r="AP115" s="724" t="n"/>
      <c r="AQ115" s="11602" t="n"/>
      <c r="AR115" s="11602" t="n"/>
      <c r="AS115" s="11602" t="n"/>
      <c r="AT115" s="11602" t="n"/>
      <c r="AU115" s="11602" t="n"/>
      <c r="AV115" s="11602" t="n"/>
      <c r="AW115" s="11602" t="n"/>
    </row>
    <row r="116" ht="16.5" customHeight="1" s="7635">
      <c r="A116" s="2013" t="n"/>
      <c r="B116" s="11602" t="n"/>
      <c r="C116" s="2917" t="n"/>
      <c r="D116" s="8650" t="n"/>
      <c r="E116" s="6996" t="n"/>
      <c r="F116" s="6996" t="n"/>
      <c r="G116" s="6996" t="n"/>
      <c r="H116" s="11602" t="n"/>
      <c r="I116" s="11602" t="n"/>
      <c r="J116" s="11602" t="n"/>
      <c r="K116" s="11602" t="n"/>
      <c r="L116" s="11602" t="n"/>
      <c r="M116" s="405" t="n"/>
      <c r="N116" s="406" t="n"/>
      <c r="O116" s="406" t="n"/>
      <c r="P116" s="407" t="n"/>
      <c r="Q116" s="5051" t="n"/>
      <c r="R116" s="1277" t="n"/>
      <c r="S116" s="1277" t="n"/>
      <c r="T116" s="5052" t="n"/>
      <c r="U116" s="5051" t="n"/>
      <c r="V116" s="1277" t="n"/>
      <c r="W116" s="1277" t="n"/>
      <c r="X116" s="1277" t="n"/>
      <c r="Y116" s="5052" t="n"/>
      <c r="Z116" s="5051" t="n"/>
      <c r="AA116" s="1277" t="n"/>
      <c r="AB116" s="1277" t="n"/>
      <c r="AC116" s="1277" t="n"/>
      <c r="AD116" s="1277" t="n"/>
      <c r="AE116" s="5052" t="n"/>
      <c r="AF116" s="5051" t="n"/>
      <c r="AG116" s="1277" t="n"/>
      <c r="AH116" s="1277" t="n"/>
      <c r="AI116" s="1277" t="n"/>
      <c r="AJ116" s="1277" t="n"/>
      <c r="AK116" s="2013" t="n"/>
      <c r="AL116" s="11602" t="n"/>
      <c r="AM116" s="11602" t="n"/>
      <c r="AN116" s="11602" t="n"/>
      <c r="AO116" s="724" t="n"/>
      <c r="AP116" s="724" t="n"/>
      <c r="AQ116" s="11602" t="n"/>
      <c r="AR116" s="11602" t="n"/>
      <c r="AS116" s="11602" t="n"/>
      <c r="AT116" s="11602" t="n"/>
      <c r="AU116" s="11602" t="n"/>
      <c r="AV116" s="11602" t="n"/>
      <c r="AW116" s="11602" t="n"/>
    </row>
    <row r="117" ht="16.5" customHeight="1" s="7635">
      <c r="A117" s="2013" t="n"/>
      <c r="B117" s="11602" t="n"/>
      <c r="C117" s="2917" t="inlineStr">
        <is>
          <t>b</t>
        </is>
      </c>
      <c r="D117" s="7772" t="inlineStr">
        <is>
          <t>Net income from form or schedule</t>
        </is>
      </c>
      <c r="E117" s="6996" t="n"/>
      <c r="F117" s="6996" t="n"/>
      <c r="G117" s="6996" t="n"/>
      <c r="H117" s="6996" t="n"/>
      <c r="I117" s="11602" t="n"/>
      <c r="J117" s="11602" t="n"/>
      <c r="K117" s="11602" t="n"/>
      <c r="L117" s="11602" t="n"/>
      <c r="M117" s="12656" t="n"/>
      <c r="N117" s="11717" t="n"/>
      <c r="O117" s="11717" t="n"/>
      <c r="P117" s="11718" t="n"/>
      <c r="Q117" s="5051" t="n"/>
      <c r="R117" s="1277" t="n"/>
      <c r="S117" s="1277" t="n"/>
      <c r="T117" s="5052" t="n"/>
      <c r="U117" s="5051" t="n"/>
      <c r="V117" s="1277" t="n"/>
      <c r="W117" s="1277" t="n"/>
      <c r="X117" s="1277" t="n"/>
      <c r="Y117" s="5052" t="n"/>
      <c r="Z117" s="5053" t="n"/>
      <c r="AA117" s="5054" t="n"/>
      <c r="AB117" s="5054" t="n"/>
      <c r="AC117" s="5054" t="n"/>
      <c r="AD117" s="5054" t="n"/>
      <c r="AE117" s="5055" t="n"/>
      <c r="AF117" s="5053" t="n"/>
      <c r="AG117" s="5054" t="n"/>
      <c r="AH117" s="5054" t="n"/>
      <c r="AI117" s="5054" t="n"/>
      <c r="AJ117" s="5054" t="n"/>
      <c r="AK117" s="2013" t="n"/>
      <c r="AL117" s="11602" t="n"/>
      <c r="AM117" s="11602" t="n"/>
      <c r="AN117" s="11602" t="n"/>
      <c r="AO117" s="724" t="n"/>
      <c r="AP117" s="724" t="n"/>
      <c r="AQ117" s="11602" t="n"/>
      <c r="AR117" s="11602" t="n"/>
      <c r="AS117" s="11602" t="n"/>
      <c r="AT117" s="11602" t="n"/>
      <c r="AU117" s="11602" t="n"/>
      <c r="AV117" s="11602" t="n"/>
      <c r="AW117" s="11602" t="n"/>
    </row>
    <row r="118" ht="16.5" customHeight="1" s="7635">
      <c r="A118" s="2013" t="n"/>
      <c r="B118" s="11602" t="n"/>
      <c r="C118" s="2917" t="n"/>
      <c r="D118" s="8650" t="n"/>
      <c r="E118" s="6996" t="n"/>
      <c r="F118" s="6996" t="n"/>
      <c r="G118" s="6996" t="n"/>
      <c r="H118" s="11602" t="n"/>
      <c r="I118" s="11602" t="n"/>
      <c r="J118" s="11602" t="n"/>
      <c r="K118" s="11602" t="n"/>
      <c r="L118" s="11602" t="n"/>
      <c r="M118" s="1633" t="n"/>
      <c r="N118" s="1633" t="n"/>
      <c r="O118" s="1633" t="n"/>
      <c r="P118" s="1634" t="n"/>
      <c r="Q118" s="405" t="n"/>
      <c r="R118" s="406" t="n"/>
      <c r="S118" s="406" t="n"/>
      <c r="T118" s="407" t="n"/>
      <c r="U118" s="405" t="n"/>
      <c r="V118" s="406" t="n"/>
      <c r="W118" s="406" t="n"/>
      <c r="X118" s="406" t="n"/>
      <c r="Y118" s="407" t="n"/>
      <c r="Z118" s="405" t="n"/>
      <c r="AA118" s="406" t="n"/>
      <c r="AB118" s="406" t="n"/>
      <c r="AC118" s="406" t="n"/>
      <c r="AD118" s="406" t="n"/>
      <c r="AE118" s="406" t="n"/>
      <c r="AF118" s="405" t="n"/>
      <c r="AG118" s="406" t="n"/>
      <c r="AH118" s="406" t="n"/>
      <c r="AI118" s="406" t="n"/>
      <c r="AJ118" s="406" t="n"/>
      <c r="AK118" s="2013" t="n"/>
      <c r="AL118" s="11602" t="n"/>
      <c r="AM118" s="11602" t="n"/>
      <c r="AN118" s="11602" t="n"/>
      <c r="AO118" s="724" t="n"/>
      <c r="AP118" s="724" t="n"/>
      <c r="AQ118" s="11602" t="n"/>
      <c r="AR118" s="11602" t="n"/>
      <c r="AS118" s="11602" t="n"/>
      <c r="AT118" s="11602" t="n"/>
      <c r="AU118" s="11602" t="n"/>
      <c r="AV118" s="11602" t="n"/>
      <c r="AW118" s="11602" t="n"/>
    </row>
    <row r="119" ht="16.5" customHeight="1" s="7635">
      <c r="A119" s="2013" t="n"/>
      <c r="B119" s="413" t="n"/>
      <c r="C119" s="4989" t="inlineStr">
        <is>
          <t>c</t>
        </is>
      </c>
      <c r="D119" s="1998" t="inlineStr">
        <is>
          <t>Subtract line 1b from line 1a. If zero or less, enter -0-</t>
        </is>
      </c>
      <c r="E119" s="7601" t="n"/>
      <c r="F119" s="7601" t="n"/>
      <c r="G119" s="7601" t="n"/>
      <c r="H119" s="7601" t="n"/>
      <c r="I119" s="413" t="n"/>
      <c r="J119" s="413" t="n"/>
      <c r="K119" s="413" t="n"/>
      <c r="L119" s="413" t="n"/>
      <c r="M119" s="1635" t="n"/>
      <c r="N119" s="1635" t="n"/>
      <c r="O119" s="1635" t="n"/>
      <c r="P119" s="1636" t="n"/>
      <c r="Q119" s="12657">
        <f>IF(AO119,"",MAX(0,SUM(M115,-M117)))</f>
        <v/>
      </c>
      <c r="R119" s="7637" t="n"/>
      <c r="S119" s="7637" t="n"/>
      <c r="T119" s="7638" t="n"/>
      <c r="U119" s="12658">
        <f>IF(OR(Q119=0,AO119),"",Q119/$Q$139)</f>
        <v/>
      </c>
      <c r="V119" s="7637" t="n"/>
      <c r="W119" s="7637" t="n"/>
      <c r="X119" s="7637" t="n"/>
      <c r="Y119" s="7638" t="n"/>
      <c r="Z119" s="12659">
        <f>IF(OR(Q119=0,AO119),"",ROUND(Q119*U119,0))</f>
        <v/>
      </c>
      <c r="AA119" s="7637" t="n"/>
      <c r="AB119" s="7637" t="n"/>
      <c r="AC119" s="7637" t="n"/>
      <c r="AD119" s="7637" t="n"/>
      <c r="AE119" s="7638" t="n"/>
      <c r="AF119" s="10680">
        <f>IF(OR(Q119=0,AO119),"",SUM(Q119,-Z119))</f>
        <v/>
      </c>
      <c r="AG119" s="7637" t="n"/>
      <c r="AH119" s="7637" t="n"/>
      <c r="AI119" s="7637" t="n"/>
      <c r="AJ119" s="7637" t="n"/>
      <c r="AK119" s="2013" t="n"/>
      <c r="AL119" s="11602" t="n"/>
      <c r="AM119" s="11602" t="n"/>
      <c r="AN119" s="11602" t="n"/>
      <c r="AO119" s="2741">
        <f>AND(M115="",M117="")</f>
        <v/>
      </c>
      <c r="AP119" s="724" t="n"/>
      <c r="AQ119" s="11602" t="n"/>
      <c r="AR119" s="11602" t="n"/>
      <c r="AS119" s="11602" t="n"/>
      <c r="AT119" s="11602" t="n"/>
      <c r="AU119" s="11602" t="n"/>
      <c r="AV119" s="11602" t="n"/>
      <c r="AW119" s="11602" t="n"/>
    </row>
    <row r="120" ht="16.5" customHeight="1" s="7635">
      <c r="A120" s="2013" t="n"/>
      <c r="B120" s="514" t="inlineStr">
        <is>
          <t>Form or schedule and line number to</t>
        </is>
      </c>
      <c r="C120" s="2917" t="n"/>
      <c r="D120" s="8650" t="n"/>
      <c r="E120" s="6996" t="n"/>
      <c r="F120" s="6996" t="n"/>
      <c r="G120" s="6996" t="n"/>
      <c r="H120" s="11602" t="n"/>
      <c r="I120" s="11602" t="n"/>
      <c r="J120" s="11602" t="n"/>
      <c r="K120" s="11602" t="n"/>
      <c r="L120" s="11602" t="n"/>
      <c r="M120" s="12654" t="n"/>
      <c r="N120" s="7839" t="n"/>
      <c r="O120" s="7839" t="n"/>
      <c r="P120" s="10091" t="n"/>
      <c r="Q120" s="5048" t="n"/>
      <c r="R120" s="5049" t="n"/>
      <c r="S120" s="5049" t="n"/>
      <c r="T120" s="5050" t="n"/>
      <c r="U120" s="5048" t="n"/>
      <c r="V120" s="5049" t="n"/>
      <c r="W120" s="5049" t="n"/>
      <c r="X120" s="5049" t="n"/>
      <c r="Y120" s="5050" t="n"/>
      <c r="Z120" s="5048" t="n"/>
      <c r="AA120" s="5049" t="n"/>
      <c r="AB120" s="5049" t="n"/>
      <c r="AC120" s="5049" t="n"/>
      <c r="AD120" s="5049" t="n"/>
      <c r="AE120" s="5050" t="n"/>
      <c r="AF120" s="5048" t="n"/>
      <c r="AG120" s="5049" t="n"/>
      <c r="AH120" s="5049" t="n"/>
      <c r="AI120" s="5049" t="n"/>
      <c r="AJ120" s="5049" t="n"/>
      <c r="AK120" s="2013" t="n"/>
      <c r="AL120" s="11602" t="n"/>
      <c r="AM120" s="11602" t="n"/>
      <c r="AN120" s="11602" t="n"/>
      <c r="AO120" s="724" t="n"/>
      <c r="AP120" s="724" t="n"/>
      <c r="AQ120" s="11602" t="n"/>
      <c r="AR120" s="11602" t="n"/>
      <c r="AS120" s="11602" t="n"/>
      <c r="AT120" s="11602" t="n"/>
      <c r="AU120" s="11602" t="n"/>
      <c r="AV120" s="11602" t="n"/>
      <c r="AW120" s="11602" t="n"/>
    </row>
    <row r="121" ht="16.5" customHeight="1" s="7635">
      <c r="A121" s="2013" t="n"/>
      <c r="B121" s="514" t="inlineStr">
        <is>
          <t>be reported on (see instructions):</t>
        </is>
      </c>
      <c r="C121" s="11216" t="n"/>
      <c r="D121" s="8650" t="n"/>
      <c r="E121" s="6996" t="n"/>
      <c r="F121" s="6996" t="n"/>
      <c r="G121" s="6996" t="n"/>
      <c r="H121" s="6996" t="n"/>
      <c r="I121" s="11602" t="n"/>
      <c r="J121" s="11602" t="n"/>
      <c r="K121" s="11602" t="n"/>
      <c r="L121" s="11602" t="n"/>
      <c r="M121" s="4772" t="n"/>
      <c r="P121" s="7636" t="n"/>
      <c r="Q121" s="5051" t="n"/>
      <c r="R121" s="1277" t="n"/>
      <c r="S121" s="1277" t="n"/>
      <c r="T121" s="5052" t="n"/>
      <c r="U121" s="5051" t="n"/>
      <c r="V121" s="1277" t="n"/>
      <c r="W121" s="1277" t="n"/>
      <c r="X121" s="1277" t="n"/>
      <c r="Y121" s="5052" t="n"/>
      <c r="Z121" s="5051" t="n"/>
      <c r="AA121" s="1277" t="n"/>
      <c r="AB121" s="1277" t="n"/>
      <c r="AC121" s="1277" t="n"/>
      <c r="AD121" s="1277" t="n"/>
      <c r="AE121" s="5052" t="n"/>
      <c r="AF121" s="5051" t="n"/>
      <c r="AG121" s="1277" t="n"/>
      <c r="AH121" s="1277" t="n"/>
      <c r="AI121" s="1277" t="n"/>
      <c r="AJ121" s="1277" t="n"/>
      <c r="AK121" s="2013" t="n"/>
      <c r="AL121" s="11602" t="n"/>
      <c r="AM121" s="11602" t="n"/>
      <c r="AN121" s="11602" t="n"/>
      <c r="AO121" s="724" t="n"/>
      <c r="AP121" s="724" t="n"/>
      <c r="AQ121" s="11602" t="n"/>
      <c r="AR121" s="11602" t="n"/>
      <c r="AS121" s="11602" t="n"/>
      <c r="AT121" s="11602" t="n"/>
      <c r="AU121" s="11602" t="n"/>
      <c r="AV121" s="11602" t="n"/>
      <c r="AW121" s="11602" t="n"/>
    </row>
    <row r="122" ht="16.5" customHeight="1" s="7635">
      <c r="A122" s="2013" t="n"/>
      <c r="B122" s="10633" t="n"/>
      <c r="C122" s="11990" t="n"/>
      <c r="D122" s="11990" t="n"/>
      <c r="E122" s="11990" t="n"/>
      <c r="F122" s="11990" t="n"/>
      <c r="G122" s="11990" t="n"/>
      <c r="H122" s="11990" t="n"/>
      <c r="I122" s="11990" t="n"/>
      <c r="J122" s="11990" t="n"/>
      <c r="K122" s="11990" t="n"/>
      <c r="L122" s="12655" t="n"/>
      <c r="M122" s="3614" t="n"/>
      <c r="N122" s="7637" t="n"/>
      <c r="O122" s="7637" t="n"/>
      <c r="P122" s="7638" t="n"/>
      <c r="Q122" s="5051" t="n"/>
      <c r="R122" s="1277" t="n"/>
      <c r="S122" s="1277" t="n"/>
      <c r="T122" s="5052" t="n"/>
      <c r="U122" s="5051" t="n"/>
      <c r="V122" s="1277" t="n"/>
      <c r="W122" s="1277" t="n"/>
      <c r="X122" s="1277" t="n"/>
      <c r="Y122" s="5052" t="n"/>
      <c r="Z122" s="5051" t="n"/>
      <c r="AA122" s="1277" t="n"/>
      <c r="AB122" s="1277" t="n"/>
      <c r="AC122" s="1277" t="n"/>
      <c r="AD122" s="1277" t="n"/>
      <c r="AE122" s="5052" t="n"/>
      <c r="AF122" s="5051" t="n"/>
      <c r="AG122" s="1277" t="n"/>
      <c r="AH122" s="1277" t="n"/>
      <c r="AI122" s="1277" t="n"/>
      <c r="AJ122" s="1277" t="n"/>
      <c r="AK122" s="2013" t="n"/>
      <c r="AL122" s="11602" t="n"/>
      <c r="AM122" s="11602" t="n"/>
      <c r="AN122" s="11602" t="n"/>
      <c r="AO122" s="724" t="n"/>
      <c r="AP122" s="724" t="n"/>
      <c r="AQ122" s="11602" t="n"/>
      <c r="AR122" s="11602" t="n"/>
      <c r="AS122" s="11602" t="n"/>
      <c r="AT122" s="11602" t="n"/>
      <c r="AU122" s="11602" t="n"/>
      <c r="AV122" s="11602" t="n"/>
      <c r="AW122" s="11602" t="n"/>
    </row>
    <row r="123" ht="16.5" customHeight="1" s="7635">
      <c r="A123" s="2013" t="n"/>
      <c r="B123" s="11602" t="n"/>
      <c r="C123" s="2917" t="inlineStr">
        <is>
          <t>1a</t>
        </is>
      </c>
      <c r="D123" s="7772" t="inlineStr">
        <is>
          <t>Net loss plus prior year unnallowed</t>
        </is>
      </c>
      <c r="E123" s="6996" t="n"/>
      <c r="F123" s="6996" t="n"/>
      <c r="G123" s="6996" t="n"/>
      <c r="H123" s="11602" t="n"/>
      <c r="I123" s="11602" t="n"/>
      <c r="J123" s="11602" t="n"/>
      <c r="K123" s="11602" t="n"/>
      <c r="L123" s="11602" t="n"/>
      <c r="M123" s="405" t="n"/>
      <c r="N123" s="406" t="n"/>
      <c r="O123" s="406" t="n"/>
      <c r="P123" s="407" t="n"/>
      <c r="Q123" s="5051" t="n"/>
      <c r="R123" s="1277" t="n"/>
      <c r="S123" s="1277" t="n"/>
      <c r="T123" s="5052" t="n"/>
      <c r="U123" s="5051" t="n"/>
      <c r="V123" s="1277" t="n"/>
      <c r="W123" s="1277" t="n"/>
      <c r="X123" s="1277" t="n"/>
      <c r="Y123" s="5052" t="n"/>
      <c r="Z123" s="5051" t="n"/>
      <c r="AA123" s="1277" t="n"/>
      <c r="AB123" s="1277" t="n"/>
      <c r="AC123" s="1277" t="n"/>
      <c r="AD123" s="1277" t="n"/>
      <c r="AE123" s="5052" t="n"/>
      <c r="AF123" s="5051" t="n"/>
      <c r="AG123" s="1277" t="n"/>
      <c r="AH123" s="1277" t="n"/>
      <c r="AI123" s="1277" t="n"/>
      <c r="AJ123" s="1277" t="n"/>
      <c r="AK123" s="2013" t="n"/>
      <c r="AL123" s="11602" t="n"/>
      <c r="AM123" s="11602" t="n"/>
      <c r="AN123" s="11602" t="n"/>
      <c r="AO123" s="724" t="n"/>
      <c r="AP123" s="724" t="n"/>
      <c r="AQ123" s="11602" t="n"/>
      <c r="AR123" s="11602" t="n"/>
      <c r="AS123" s="11602" t="n"/>
      <c r="AT123" s="11602" t="n"/>
      <c r="AU123" s="11602" t="n"/>
      <c r="AV123" s="11602" t="n"/>
      <c r="AW123" s="11602" t="n"/>
    </row>
    <row r="124" ht="16.5" customHeight="1" s="7635">
      <c r="A124" s="2013" t="n"/>
      <c r="B124" s="11602" t="n"/>
      <c r="C124" s="11216" t="n"/>
      <c r="D124" s="7772" t="inlineStr">
        <is>
          <t>loss from form or schedule</t>
        </is>
      </c>
      <c r="E124" s="6996" t="n"/>
      <c r="F124" s="6996" t="n"/>
      <c r="G124" s="6996" t="n"/>
      <c r="H124" s="6996" t="n"/>
      <c r="I124" s="11602" t="n"/>
      <c r="J124" s="11602" t="n"/>
      <c r="K124" s="11602" t="n"/>
      <c r="L124" s="11602" t="n"/>
      <c r="M124" s="12656" t="n"/>
      <c r="N124" s="11717" t="n"/>
      <c r="O124" s="11717" t="n"/>
      <c r="P124" s="11718" t="n"/>
      <c r="Q124" s="5051" t="n"/>
      <c r="R124" s="1277" t="n"/>
      <c r="S124" s="1277" t="n"/>
      <c r="T124" s="5052" t="n"/>
      <c r="U124" s="5051" t="n"/>
      <c r="V124" s="1277" t="n"/>
      <c r="W124" s="1277" t="n"/>
      <c r="X124" s="1277" t="n"/>
      <c r="Y124" s="5052" t="n"/>
      <c r="Z124" s="5051" t="n"/>
      <c r="AA124" s="1277" t="n"/>
      <c r="AB124" s="1277" t="n"/>
      <c r="AC124" s="1277" t="n"/>
      <c r="AD124" s="1277" t="n"/>
      <c r="AE124" s="5052" t="n"/>
      <c r="AF124" s="5051" t="n"/>
      <c r="AG124" s="1277" t="n"/>
      <c r="AH124" s="1277" t="n"/>
      <c r="AI124" s="1277" t="n"/>
      <c r="AJ124" s="1277" t="n"/>
      <c r="AK124" s="2013" t="n"/>
      <c r="AL124" s="11602" t="n"/>
      <c r="AM124" s="11602" t="n"/>
      <c r="AN124" s="11602" t="n"/>
      <c r="AO124" s="724" t="n"/>
      <c r="AP124" s="724" t="n"/>
      <c r="AQ124" s="11602" t="n"/>
      <c r="AR124" s="11602" t="n"/>
      <c r="AS124" s="11602" t="n"/>
      <c r="AT124" s="11602" t="n"/>
      <c r="AU124" s="11602" t="n"/>
      <c r="AV124" s="11602" t="n"/>
      <c r="AW124" s="11602" t="n"/>
    </row>
    <row r="125" ht="16.5" customHeight="1" s="7635">
      <c r="A125" s="2013" t="n"/>
      <c r="B125" s="11602" t="n"/>
      <c r="C125" s="2917" t="n"/>
      <c r="D125" s="8650" t="n"/>
      <c r="E125" s="6996" t="n"/>
      <c r="F125" s="6996" t="n"/>
      <c r="G125" s="6996" t="n"/>
      <c r="H125" s="11602" t="n"/>
      <c r="I125" s="11602" t="n"/>
      <c r="J125" s="11602" t="n"/>
      <c r="K125" s="11602" t="n"/>
      <c r="L125" s="11602" t="n"/>
      <c r="M125" s="405" t="n"/>
      <c r="N125" s="406" t="n"/>
      <c r="O125" s="406" t="n"/>
      <c r="P125" s="407" t="n"/>
      <c r="Q125" s="5051" t="n"/>
      <c r="R125" s="1277" t="n"/>
      <c r="S125" s="1277" t="n"/>
      <c r="T125" s="5052" t="n"/>
      <c r="U125" s="5051" t="n"/>
      <c r="V125" s="1277" t="n"/>
      <c r="W125" s="1277" t="n"/>
      <c r="X125" s="1277" t="n"/>
      <c r="Y125" s="5052" t="n"/>
      <c r="Z125" s="5051" t="n"/>
      <c r="AA125" s="1277" t="n"/>
      <c r="AB125" s="1277" t="n"/>
      <c r="AC125" s="1277" t="n"/>
      <c r="AD125" s="1277" t="n"/>
      <c r="AE125" s="5052" t="n"/>
      <c r="AF125" s="5051" t="n"/>
      <c r="AG125" s="1277" t="n"/>
      <c r="AH125" s="1277" t="n"/>
      <c r="AI125" s="1277" t="n"/>
      <c r="AJ125" s="1277" t="n"/>
      <c r="AK125" s="2013" t="n"/>
      <c r="AL125" s="11602" t="n"/>
      <c r="AM125" s="11602" t="n"/>
      <c r="AN125" s="11602" t="n"/>
      <c r="AO125" s="724" t="n"/>
      <c r="AP125" s="724" t="n"/>
      <c r="AQ125" s="11602" t="n"/>
      <c r="AR125" s="11602" t="n"/>
      <c r="AS125" s="11602" t="n"/>
      <c r="AT125" s="11602" t="n"/>
      <c r="AU125" s="11602" t="n"/>
      <c r="AV125" s="11602" t="n"/>
      <c r="AW125" s="11602" t="n"/>
    </row>
    <row r="126" ht="16.5" customHeight="1" s="7635">
      <c r="A126" s="2013" t="n"/>
      <c r="B126" s="11602" t="n"/>
      <c r="C126" s="2917" t="inlineStr">
        <is>
          <t>b</t>
        </is>
      </c>
      <c r="D126" s="7772" t="inlineStr">
        <is>
          <t>Net income from form or schedule</t>
        </is>
      </c>
      <c r="E126" s="6996" t="n"/>
      <c r="F126" s="6996" t="n"/>
      <c r="G126" s="6996" t="n"/>
      <c r="H126" s="6996" t="n"/>
      <c r="I126" s="11602" t="n"/>
      <c r="J126" s="11602" t="n"/>
      <c r="K126" s="11602" t="n"/>
      <c r="L126" s="11602" t="n"/>
      <c r="M126" s="12656" t="n"/>
      <c r="N126" s="11717" t="n"/>
      <c r="O126" s="11717" t="n"/>
      <c r="P126" s="11718" t="n"/>
      <c r="Q126" s="5053" t="n"/>
      <c r="R126" s="5054" t="n"/>
      <c r="S126" s="5054" t="n"/>
      <c r="T126" s="5055" t="n"/>
      <c r="U126" s="5053" t="n"/>
      <c r="V126" s="5054" t="n"/>
      <c r="W126" s="5054" t="n"/>
      <c r="X126" s="5054" t="n"/>
      <c r="Y126" s="5055" t="n"/>
      <c r="Z126" s="5053" t="n"/>
      <c r="AA126" s="5054" t="n"/>
      <c r="AB126" s="5054" t="n"/>
      <c r="AC126" s="5054" t="n"/>
      <c r="AD126" s="5054" t="n"/>
      <c r="AE126" s="5055" t="n"/>
      <c r="AF126" s="5053" t="n"/>
      <c r="AG126" s="5054" t="n"/>
      <c r="AH126" s="5054" t="n"/>
      <c r="AI126" s="5054" t="n"/>
      <c r="AJ126" s="5054" t="n"/>
      <c r="AK126" s="2013" t="n"/>
      <c r="AL126" s="11602" t="n"/>
      <c r="AM126" s="11602" t="n"/>
      <c r="AN126" s="11602" t="n"/>
      <c r="AO126" s="724" t="n"/>
      <c r="AP126" s="724" t="n"/>
      <c r="AQ126" s="11602" t="n"/>
      <c r="AR126" s="11602" t="n"/>
      <c r="AS126" s="11602" t="n"/>
      <c r="AT126" s="11602" t="n"/>
      <c r="AU126" s="11602" t="n"/>
      <c r="AV126" s="11602" t="n"/>
      <c r="AW126" s="11602" t="n"/>
    </row>
    <row r="127" ht="16.5" customHeight="1" s="7635">
      <c r="A127" s="2013" t="n"/>
      <c r="B127" s="11602" t="n"/>
      <c r="C127" s="2917" t="n"/>
      <c r="D127" s="8650" t="n"/>
      <c r="E127" s="6996" t="n"/>
      <c r="F127" s="6996" t="n"/>
      <c r="G127" s="6996" t="n"/>
      <c r="H127" s="11602" t="n"/>
      <c r="I127" s="11602" t="n"/>
      <c r="J127" s="11602" t="n"/>
      <c r="K127" s="11602" t="n"/>
      <c r="L127" s="11602" t="n"/>
      <c r="M127" s="1633" t="n"/>
      <c r="N127" s="1633" t="n"/>
      <c r="O127" s="1633" t="n"/>
      <c r="P127" s="1634" t="n"/>
      <c r="Q127" s="405" t="n"/>
      <c r="R127" s="406" t="n"/>
      <c r="S127" s="406" t="n"/>
      <c r="T127" s="407" t="n"/>
      <c r="U127" s="405" t="n"/>
      <c r="V127" s="406" t="n"/>
      <c r="W127" s="406" t="n"/>
      <c r="X127" s="406" t="n"/>
      <c r="Y127" s="407" t="n"/>
      <c r="Z127" s="405" t="n"/>
      <c r="AA127" s="406" t="n"/>
      <c r="AB127" s="406" t="n"/>
      <c r="AC127" s="406" t="n"/>
      <c r="AD127" s="406" t="n"/>
      <c r="AE127" s="406" t="n"/>
      <c r="AF127" s="405" t="n"/>
      <c r="AG127" s="406" t="n"/>
      <c r="AH127" s="406" t="n"/>
      <c r="AI127" s="406" t="n"/>
      <c r="AJ127" s="406" t="n"/>
      <c r="AK127" s="2013" t="n"/>
      <c r="AL127" s="11602" t="n"/>
      <c r="AM127" s="11602" t="n"/>
      <c r="AN127" s="11602" t="n"/>
      <c r="AO127" s="724" t="n"/>
      <c r="AP127" s="724" t="n"/>
      <c r="AQ127" s="11602" t="n"/>
      <c r="AR127" s="11602" t="n"/>
      <c r="AS127" s="11602" t="n"/>
      <c r="AT127" s="11602" t="n"/>
      <c r="AU127" s="11602" t="n"/>
      <c r="AV127" s="11602" t="n"/>
      <c r="AW127" s="11602" t="n"/>
    </row>
    <row r="128" ht="16.5" customHeight="1" s="7635">
      <c r="A128" s="2013" t="n"/>
      <c r="B128" s="413" t="n"/>
      <c r="C128" s="4989" t="inlineStr">
        <is>
          <t>c</t>
        </is>
      </c>
      <c r="D128" s="1998" t="inlineStr">
        <is>
          <t>Subtract line 1b from line 1a. If zero or less, enter -0-</t>
        </is>
      </c>
      <c r="E128" s="7601" t="n"/>
      <c r="F128" s="7601" t="n"/>
      <c r="G128" s="7601" t="n"/>
      <c r="H128" s="7601" t="n"/>
      <c r="I128" s="413" t="n"/>
      <c r="J128" s="413" t="n"/>
      <c r="K128" s="413" t="n"/>
      <c r="L128" s="413" t="n"/>
      <c r="M128" s="1635" t="n"/>
      <c r="N128" s="1635" t="n"/>
      <c r="O128" s="1635" t="n"/>
      <c r="P128" s="1636" t="n"/>
      <c r="Q128" s="12657">
        <f>IF(AO128,"",MAX(0,SUM(M124,-M126)))</f>
        <v/>
      </c>
      <c r="R128" s="7637" t="n"/>
      <c r="S128" s="7637" t="n"/>
      <c r="T128" s="7638" t="n"/>
      <c r="U128" s="12658">
        <f>IF(OR(Q128=0,AO128),"",Q128/$Q$139)</f>
        <v/>
      </c>
      <c r="V128" s="7637" t="n"/>
      <c r="W128" s="7637" t="n"/>
      <c r="X128" s="7637" t="n"/>
      <c r="Y128" s="7638" t="n"/>
      <c r="Z128" s="12659">
        <f>IF(OR(Q128=0,AO128),"",ROUND(Q128*U128,0))</f>
        <v/>
      </c>
      <c r="AA128" s="7637" t="n"/>
      <c r="AB128" s="7637" t="n"/>
      <c r="AC128" s="7637" t="n"/>
      <c r="AD128" s="7637" t="n"/>
      <c r="AE128" s="7638" t="n"/>
      <c r="AF128" s="10680">
        <f>IF(OR(Q128=0,AO128),"",SUM(Q128,-Z128))</f>
        <v/>
      </c>
      <c r="AG128" s="7637" t="n"/>
      <c r="AH128" s="7637" t="n"/>
      <c r="AI128" s="7637" t="n"/>
      <c r="AJ128" s="7637" t="n"/>
      <c r="AK128" s="2013" t="n"/>
      <c r="AL128" s="11602" t="n"/>
      <c r="AM128" s="11602" t="n"/>
      <c r="AN128" s="11602" t="n"/>
      <c r="AO128" s="2741">
        <f>AND(M124="",M126="")</f>
        <v/>
      </c>
      <c r="AP128" s="724" t="n"/>
      <c r="AQ128" s="11602" t="n"/>
      <c r="AR128" s="11602" t="n"/>
      <c r="AS128" s="11602" t="n"/>
      <c r="AT128" s="11602" t="n"/>
      <c r="AU128" s="11602" t="n"/>
      <c r="AV128" s="11602" t="n"/>
      <c r="AW128" s="11602" t="n"/>
    </row>
    <row r="129" ht="16.5" customHeight="1" s="7635">
      <c r="A129" s="2013" t="n"/>
      <c r="B129" s="514" t="inlineStr">
        <is>
          <t>Form or schedule and line number to</t>
        </is>
      </c>
      <c r="C129" s="2917" t="n"/>
      <c r="D129" s="8650" t="n"/>
      <c r="E129" s="6996" t="n"/>
      <c r="F129" s="6996" t="n"/>
      <c r="G129" s="6996" t="n"/>
      <c r="H129" s="11602" t="n"/>
      <c r="I129" s="11602" t="n"/>
      <c r="J129" s="11602" t="n"/>
      <c r="K129" s="11602" t="n"/>
      <c r="L129" s="11602" t="n"/>
      <c r="M129" s="12654" t="n"/>
      <c r="N129" s="7839" t="n"/>
      <c r="O129" s="7839" t="n"/>
      <c r="P129" s="10091" t="n"/>
      <c r="Q129" s="5048" t="n"/>
      <c r="R129" s="5049" t="n"/>
      <c r="S129" s="5049" t="n"/>
      <c r="T129" s="5050" t="n"/>
      <c r="U129" s="5048" t="n"/>
      <c r="V129" s="5049" t="n"/>
      <c r="W129" s="5049" t="n"/>
      <c r="X129" s="5049" t="n"/>
      <c r="Y129" s="5050" t="n"/>
      <c r="Z129" s="5048" t="n"/>
      <c r="AA129" s="5049" t="n"/>
      <c r="AB129" s="5049" t="n"/>
      <c r="AC129" s="5049" t="n"/>
      <c r="AD129" s="5049" t="n"/>
      <c r="AE129" s="5050" t="n"/>
      <c r="AF129" s="5048" t="n"/>
      <c r="AG129" s="5049" t="n"/>
      <c r="AH129" s="5049" t="n"/>
      <c r="AI129" s="5049" t="n"/>
      <c r="AJ129" s="5049" t="n"/>
      <c r="AK129" s="2013" t="n"/>
      <c r="AL129" s="11602" t="n"/>
      <c r="AM129" s="11602" t="n"/>
      <c r="AN129" s="11602" t="n"/>
      <c r="AO129" s="724" t="n"/>
      <c r="AP129" s="724" t="n"/>
      <c r="AQ129" s="11602" t="n"/>
      <c r="AR129" s="11602" t="n"/>
      <c r="AS129" s="11602" t="n"/>
      <c r="AT129" s="11602" t="n"/>
      <c r="AU129" s="11602" t="n"/>
      <c r="AV129" s="11602" t="n"/>
      <c r="AW129" s="11602" t="n"/>
    </row>
    <row r="130" ht="16.5" customHeight="1" s="7635">
      <c r="A130" s="2013" t="n"/>
      <c r="B130" s="514" t="inlineStr">
        <is>
          <t>be reported on (see instructions):</t>
        </is>
      </c>
      <c r="C130" s="11216" t="n"/>
      <c r="D130" s="8650" t="n"/>
      <c r="E130" s="6996" t="n"/>
      <c r="F130" s="6996" t="n"/>
      <c r="G130" s="6996" t="n"/>
      <c r="H130" s="6996" t="n"/>
      <c r="I130" s="11602" t="n"/>
      <c r="J130" s="11602" t="n"/>
      <c r="K130" s="11602" t="n"/>
      <c r="L130" s="11602" t="n"/>
      <c r="M130" s="4772" t="n"/>
      <c r="P130" s="7636" t="n"/>
      <c r="Q130" s="5051" t="n"/>
      <c r="R130" s="1277" t="n"/>
      <c r="S130" s="1277" t="n"/>
      <c r="T130" s="5052" t="n"/>
      <c r="U130" s="5051" t="n"/>
      <c r="V130" s="1277" t="n"/>
      <c r="W130" s="1277" t="n"/>
      <c r="X130" s="1277" t="n"/>
      <c r="Y130" s="5052" t="n"/>
      <c r="Z130" s="5051" t="n"/>
      <c r="AA130" s="1277" t="n"/>
      <c r="AB130" s="1277" t="n"/>
      <c r="AC130" s="1277" t="n"/>
      <c r="AD130" s="1277" t="n"/>
      <c r="AE130" s="5052" t="n"/>
      <c r="AF130" s="5051" t="n"/>
      <c r="AG130" s="1277" t="n"/>
      <c r="AH130" s="1277" t="n"/>
      <c r="AI130" s="1277" t="n"/>
      <c r="AJ130" s="1277" t="n"/>
      <c r="AK130" s="2013" t="n"/>
      <c r="AL130" s="11602" t="n"/>
      <c r="AM130" s="11602" t="n"/>
      <c r="AN130" s="11602" t="n"/>
      <c r="AO130" s="724" t="n"/>
      <c r="AP130" s="724" t="n"/>
      <c r="AQ130" s="11602" t="n"/>
      <c r="AR130" s="11602" t="n"/>
      <c r="AS130" s="11602" t="n"/>
      <c r="AT130" s="11602" t="n"/>
      <c r="AU130" s="11602" t="n"/>
      <c r="AV130" s="11602" t="n"/>
      <c r="AW130" s="11602" t="n"/>
    </row>
    <row r="131" ht="16.5" customHeight="1" s="7635">
      <c r="A131" s="2013" t="n"/>
      <c r="B131" s="10633" t="n"/>
      <c r="C131" s="11990" t="n"/>
      <c r="D131" s="11990" t="n"/>
      <c r="E131" s="11990" t="n"/>
      <c r="F131" s="11990" t="n"/>
      <c r="G131" s="11990" t="n"/>
      <c r="H131" s="11990" t="n"/>
      <c r="I131" s="11990" t="n"/>
      <c r="J131" s="11990" t="n"/>
      <c r="K131" s="11990" t="n"/>
      <c r="L131" s="12655" t="n"/>
      <c r="M131" s="3614" t="n"/>
      <c r="N131" s="7637" t="n"/>
      <c r="O131" s="7637" t="n"/>
      <c r="P131" s="7638" t="n"/>
      <c r="Q131" s="5051" t="n"/>
      <c r="R131" s="1277" t="n"/>
      <c r="S131" s="1277" t="n"/>
      <c r="T131" s="5052" t="n"/>
      <c r="U131" s="5051" t="n"/>
      <c r="V131" s="1277" t="n"/>
      <c r="W131" s="1277" t="n"/>
      <c r="X131" s="1277" t="n"/>
      <c r="Y131" s="5052" t="n"/>
      <c r="Z131" s="5051" t="n"/>
      <c r="AA131" s="1277" t="n"/>
      <c r="AB131" s="1277" t="n"/>
      <c r="AC131" s="1277" t="n"/>
      <c r="AD131" s="1277" t="n"/>
      <c r="AE131" s="5052" t="n"/>
      <c r="AF131" s="5051" t="n"/>
      <c r="AG131" s="1277" t="n"/>
      <c r="AH131" s="1277" t="n"/>
      <c r="AI131" s="1277" t="n"/>
      <c r="AJ131" s="1277" t="n"/>
      <c r="AK131" s="2013" t="n"/>
      <c r="AL131" s="11602" t="n"/>
      <c r="AM131" s="11602" t="n"/>
      <c r="AN131" s="11602" t="n"/>
      <c r="AO131" s="724" t="n"/>
      <c r="AP131" s="724" t="n"/>
      <c r="AQ131" s="11602" t="n"/>
      <c r="AR131" s="11602" t="n"/>
      <c r="AS131" s="11602" t="n"/>
      <c r="AT131" s="11602" t="n"/>
      <c r="AU131" s="11602" t="n"/>
      <c r="AV131" s="11602" t="n"/>
      <c r="AW131" s="11602" t="n"/>
    </row>
    <row r="132" ht="16.5" customHeight="1" s="7635">
      <c r="A132" s="2013" t="n"/>
      <c r="B132" s="11602" t="n"/>
      <c r="C132" s="2917" t="inlineStr">
        <is>
          <t>1a</t>
        </is>
      </c>
      <c r="D132" s="7772" t="inlineStr">
        <is>
          <t>Net loss plus prior year unnallowed</t>
        </is>
      </c>
      <c r="E132" s="6996" t="n"/>
      <c r="F132" s="6996" t="n"/>
      <c r="G132" s="6996" t="n"/>
      <c r="H132" s="11602" t="n"/>
      <c r="I132" s="11602" t="n"/>
      <c r="J132" s="11602" t="n"/>
      <c r="K132" s="11602" t="n"/>
      <c r="L132" s="11602" t="n"/>
      <c r="M132" s="405" t="n"/>
      <c r="N132" s="406" t="n"/>
      <c r="O132" s="406" t="n"/>
      <c r="P132" s="407" t="n"/>
      <c r="Q132" s="5051" t="n"/>
      <c r="R132" s="1277" t="n"/>
      <c r="S132" s="1277" t="n"/>
      <c r="T132" s="5052" t="n"/>
      <c r="U132" s="5051" t="n"/>
      <c r="V132" s="1277" t="n"/>
      <c r="W132" s="1277" t="n"/>
      <c r="X132" s="1277" t="n"/>
      <c r="Y132" s="5052" t="n"/>
      <c r="Z132" s="5051" t="n"/>
      <c r="AA132" s="1277" t="n"/>
      <c r="AB132" s="1277" t="n"/>
      <c r="AC132" s="1277" t="n"/>
      <c r="AD132" s="1277" t="n"/>
      <c r="AE132" s="5052" t="n"/>
      <c r="AF132" s="5051" t="n"/>
      <c r="AG132" s="1277" t="n"/>
      <c r="AH132" s="1277" t="n"/>
      <c r="AI132" s="1277" t="n"/>
      <c r="AJ132" s="1277" t="n"/>
      <c r="AK132" s="2013" t="n"/>
      <c r="AL132" s="11602" t="n"/>
      <c r="AM132" s="11602" t="n"/>
      <c r="AN132" s="11602" t="n"/>
      <c r="AO132" s="724" t="n"/>
      <c r="AP132" s="724" t="n"/>
      <c r="AQ132" s="11602" t="n"/>
      <c r="AR132" s="11602" t="n"/>
      <c r="AS132" s="11602" t="n"/>
      <c r="AT132" s="11602" t="n"/>
      <c r="AU132" s="11602" t="n"/>
      <c r="AV132" s="11602" t="n"/>
      <c r="AW132" s="11602" t="n"/>
    </row>
    <row r="133" ht="16.5" customHeight="1" s="7635">
      <c r="A133" s="2013" t="n"/>
      <c r="B133" s="11602" t="n"/>
      <c r="C133" s="11216" t="n"/>
      <c r="D133" s="7772" t="inlineStr">
        <is>
          <t>loss from form or schedule</t>
        </is>
      </c>
      <c r="E133" s="6996" t="n"/>
      <c r="F133" s="6996" t="n"/>
      <c r="G133" s="6996" t="n"/>
      <c r="H133" s="6996" t="n"/>
      <c r="I133" s="11602" t="n"/>
      <c r="J133" s="11602" t="n"/>
      <c r="K133" s="11602" t="n"/>
      <c r="L133" s="11602" t="n"/>
      <c r="M133" s="12656" t="n"/>
      <c r="N133" s="11717" t="n"/>
      <c r="O133" s="11717" t="n"/>
      <c r="P133" s="11718" t="n"/>
      <c r="Q133" s="5051" t="n"/>
      <c r="R133" s="1277" t="n"/>
      <c r="S133" s="1277" t="n"/>
      <c r="T133" s="5052" t="n"/>
      <c r="U133" s="5051" t="n"/>
      <c r="V133" s="1277" t="n"/>
      <c r="W133" s="1277" t="n"/>
      <c r="X133" s="1277" t="n"/>
      <c r="Y133" s="5052" t="n"/>
      <c r="Z133" s="5051" t="n"/>
      <c r="AA133" s="1277" t="n"/>
      <c r="AB133" s="1277" t="n"/>
      <c r="AC133" s="1277" t="n"/>
      <c r="AD133" s="1277" t="n"/>
      <c r="AE133" s="5052" t="n"/>
      <c r="AF133" s="5051" t="n"/>
      <c r="AG133" s="1277" t="n"/>
      <c r="AH133" s="1277" t="n"/>
      <c r="AI133" s="1277" t="n"/>
      <c r="AJ133" s="1277" t="n"/>
      <c r="AK133" s="2013" t="n"/>
      <c r="AL133" s="11602" t="n"/>
      <c r="AM133" s="11602" t="n"/>
      <c r="AN133" s="11602" t="n"/>
      <c r="AO133" s="724" t="n"/>
      <c r="AP133" s="724" t="n"/>
      <c r="AQ133" s="11602" t="n"/>
      <c r="AR133" s="11602" t="n"/>
      <c r="AS133" s="11602" t="n"/>
      <c r="AT133" s="11602" t="n"/>
      <c r="AU133" s="11602" t="n"/>
      <c r="AV133" s="11602" t="n"/>
      <c r="AW133" s="11602" t="n"/>
    </row>
    <row r="134" ht="16.5" customHeight="1" s="7635">
      <c r="A134" s="2013" t="n"/>
      <c r="B134" s="11602" t="n"/>
      <c r="C134" s="2917" t="n"/>
      <c r="D134" s="8650" t="n"/>
      <c r="E134" s="6996" t="n"/>
      <c r="F134" s="6996" t="n"/>
      <c r="G134" s="6996" t="n"/>
      <c r="H134" s="11602" t="n"/>
      <c r="I134" s="11602" t="n"/>
      <c r="J134" s="11602" t="n"/>
      <c r="K134" s="11602" t="n"/>
      <c r="L134" s="11602" t="n"/>
      <c r="M134" s="405" t="n"/>
      <c r="N134" s="406" t="n"/>
      <c r="O134" s="406" t="n"/>
      <c r="P134" s="407" t="n"/>
      <c r="Q134" s="5051" t="n"/>
      <c r="R134" s="1277" t="n"/>
      <c r="S134" s="1277" t="n"/>
      <c r="T134" s="5052" t="n"/>
      <c r="U134" s="5051" t="n"/>
      <c r="V134" s="1277" t="n"/>
      <c r="W134" s="1277" t="n"/>
      <c r="X134" s="1277" t="n"/>
      <c r="Y134" s="5052" t="n"/>
      <c r="Z134" s="5051" t="n"/>
      <c r="AA134" s="1277" t="n"/>
      <c r="AB134" s="1277" t="n"/>
      <c r="AC134" s="1277" t="n"/>
      <c r="AD134" s="1277" t="n"/>
      <c r="AE134" s="5052" t="n"/>
      <c r="AF134" s="5051" t="n"/>
      <c r="AG134" s="1277" t="n"/>
      <c r="AH134" s="1277" t="n"/>
      <c r="AI134" s="1277" t="n"/>
      <c r="AJ134" s="1277" t="n"/>
      <c r="AK134" s="2013" t="n"/>
      <c r="AL134" s="11602" t="n"/>
      <c r="AM134" s="11602" t="n"/>
      <c r="AN134" s="11602" t="n"/>
      <c r="AO134" s="724" t="n"/>
      <c r="AP134" s="724" t="n"/>
      <c r="AQ134" s="11602" t="n"/>
      <c r="AR134" s="11602" t="n"/>
      <c r="AS134" s="11602" t="n"/>
      <c r="AT134" s="11602" t="n"/>
      <c r="AU134" s="11602" t="n"/>
      <c r="AV134" s="11602" t="n"/>
      <c r="AW134" s="11602" t="n"/>
    </row>
    <row r="135" ht="16.5" customHeight="1" s="7635">
      <c r="A135" s="2013" t="n"/>
      <c r="B135" s="11602" t="n"/>
      <c r="C135" s="2917" t="inlineStr">
        <is>
          <t>b</t>
        </is>
      </c>
      <c r="D135" s="7772" t="inlineStr">
        <is>
          <t>Net income from form or schedule</t>
        </is>
      </c>
      <c r="E135" s="6996" t="n"/>
      <c r="F135" s="6996" t="n"/>
      <c r="G135" s="6996" t="n"/>
      <c r="H135" s="6996" t="n"/>
      <c r="I135" s="11602" t="n"/>
      <c r="J135" s="11602" t="n"/>
      <c r="K135" s="11602" t="n"/>
      <c r="L135" s="11602" t="n"/>
      <c r="M135" s="12656" t="n"/>
      <c r="N135" s="11717" t="n"/>
      <c r="O135" s="11717" t="n"/>
      <c r="P135" s="11718" t="n"/>
      <c r="Q135" s="5053" t="n"/>
      <c r="R135" s="5054" t="n"/>
      <c r="S135" s="5054" t="n"/>
      <c r="T135" s="5055" t="n"/>
      <c r="U135" s="5053" t="n"/>
      <c r="V135" s="5054" t="n"/>
      <c r="W135" s="5054" t="n"/>
      <c r="X135" s="5054" t="n"/>
      <c r="Y135" s="5055" t="n"/>
      <c r="Z135" s="5053" t="n"/>
      <c r="AA135" s="5054" t="n"/>
      <c r="AB135" s="5054" t="n"/>
      <c r="AC135" s="5054" t="n"/>
      <c r="AD135" s="5054" t="n"/>
      <c r="AE135" s="5055" t="n"/>
      <c r="AF135" s="5053" t="n"/>
      <c r="AG135" s="5054" t="n"/>
      <c r="AH135" s="5054" t="n"/>
      <c r="AI135" s="5054" t="n"/>
      <c r="AJ135" s="5054" t="n"/>
      <c r="AK135" s="2013" t="n"/>
      <c r="AL135" s="11602" t="n"/>
      <c r="AM135" s="11602" t="n"/>
      <c r="AN135" s="11602" t="n"/>
      <c r="AO135" s="724" t="n"/>
      <c r="AP135" s="724" t="n"/>
      <c r="AQ135" s="11602" t="n"/>
      <c r="AR135" s="11602" t="n"/>
      <c r="AS135" s="11602" t="n"/>
      <c r="AT135" s="11602" t="n"/>
      <c r="AU135" s="11602" t="n"/>
      <c r="AV135" s="11602" t="n"/>
      <c r="AW135" s="11602" t="n"/>
    </row>
    <row r="136" ht="16.5" customHeight="1" s="7635">
      <c r="A136" s="2013" t="n"/>
      <c r="B136" s="11602" t="n"/>
      <c r="C136" s="2917" t="n"/>
      <c r="D136" s="8650" t="n"/>
      <c r="E136" s="6996" t="n"/>
      <c r="F136" s="6996" t="n"/>
      <c r="G136" s="6996" t="n"/>
      <c r="H136" s="11602" t="n"/>
      <c r="I136" s="11602" t="n"/>
      <c r="J136" s="11602" t="n"/>
      <c r="K136" s="11602" t="n"/>
      <c r="L136" s="11602" t="n"/>
      <c r="M136" s="1633" t="n"/>
      <c r="N136" s="1633" t="n"/>
      <c r="O136" s="1633" t="n"/>
      <c r="P136" s="1634" t="n"/>
      <c r="Q136" s="405" t="n"/>
      <c r="R136" s="406" t="n"/>
      <c r="S136" s="406" t="n"/>
      <c r="T136" s="407" t="n"/>
      <c r="U136" s="405" t="n"/>
      <c r="V136" s="406" t="n"/>
      <c r="W136" s="406" t="n"/>
      <c r="X136" s="406" t="n"/>
      <c r="Y136" s="407" t="n"/>
      <c r="Z136" s="405" t="n"/>
      <c r="AA136" s="406" t="n"/>
      <c r="AB136" s="406" t="n"/>
      <c r="AC136" s="406" t="n"/>
      <c r="AD136" s="406" t="n"/>
      <c r="AE136" s="406" t="n"/>
      <c r="AF136" s="405" t="n"/>
      <c r="AG136" s="406" t="n"/>
      <c r="AH136" s="406" t="n"/>
      <c r="AI136" s="406" t="n"/>
      <c r="AJ136" s="406" t="n"/>
      <c r="AK136" s="2013" t="n"/>
      <c r="AL136" s="11602" t="n"/>
      <c r="AM136" s="11602" t="n"/>
      <c r="AN136" s="11602" t="n"/>
      <c r="AO136" s="724" t="n"/>
      <c r="AP136" s="724" t="n"/>
      <c r="AQ136" s="11602" t="n"/>
      <c r="AR136" s="11602" t="n"/>
      <c r="AS136" s="11602" t="n"/>
      <c r="AT136" s="11602" t="n"/>
      <c r="AU136" s="11602" t="n"/>
      <c r="AV136" s="11602" t="n"/>
      <c r="AW136" s="11602" t="n"/>
    </row>
    <row r="137" ht="16.5" customHeight="1" s="7635" thickBot="1">
      <c r="A137" s="2013" t="n"/>
      <c r="B137" s="413" t="n"/>
      <c r="C137" s="4989" t="inlineStr">
        <is>
          <t>c</t>
        </is>
      </c>
      <c r="D137" s="1998" t="inlineStr">
        <is>
          <t>Subtract line 1b from line 1a. If zero or less, enter -0-</t>
        </is>
      </c>
      <c r="E137" s="7601" t="n"/>
      <c r="F137" s="7601" t="n"/>
      <c r="G137" s="7601" t="n"/>
      <c r="H137" s="7601" t="n"/>
      <c r="I137" s="413" t="n"/>
      <c r="J137" s="413" t="n"/>
      <c r="K137" s="413" t="n"/>
      <c r="L137" s="413" t="n"/>
      <c r="M137" s="1635" t="n"/>
      <c r="N137" s="1635" t="n"/>
      <c r="O137" s="1635" t="n"/>
      <c r="P137" s="1636" t="n"/>
      <c r="Q137" s="12657">
        <f>IF(AO137,"",MAX(0,SUM(M133,-M135)))</f>
        <v/>
      </c>
      <c r="R137" s="7637" t="n"/>
      <c r="S137" s="7637" t="n"/>
      <c r="T137" s="7638" t="n"/>
      <c r="U137" s="12658">
        <f>IF(OR(Q137=0,AO137),"",Q137/$Q$139)</f>
        <v/>
      </c>
      <c r="V137" s="7637" t="n"/>
      <c r="W137" s="7637" t="n"/>
      <c r="X137" s="7637" t="n"/>
      <c r="Y137" s="7638" t="n"/>
      <c r="Z137" s="12659">
        <f>IF(OR(Q137=0,AO137),"",ROUND(Q137*U137,0))</f>
        <v/>
      </c>
      <c r="AA137" s="7637" t="n"/>
      <c r="AB137" s="7637" t="n"/>
      <c r="AC137" s="7637" t="n"/>
      <c r="AD137" s="7637" t="n"/>
      <c r="AE137" s="7638" t="n"/>
      <c r="AF137" s="10680">
        <f>IF(OR(Q137=0,AO137),"",SUM(Q137,-Z137))</f>
        <v/>
      </c>
      <c r="AG137" s="7637" t="n"/>
      <c r="AH137" s="7637" t="n"/>
      <c r="AI137" s="7637" t="n"/>
      <c r="AJ137" s="7637" t="n"/>
      <c r="AK137" s="2013" t="n"/>
      <c r="AL137" s="11602" t="n"/>
      <c r="AM137" s="11602" t="n"/>
      <c r="AN137" s="11602" t="n"/>
      <c r="AO137" s="2741">
        <f>AND(M133="",M135="")</f>
        <v/>
      </c>
      <c r="AP137" s="724" t="n"/>
      <c r="AQ137" s="11602" t="n"/>
      <c r="AR137" s="11602" t="n"/>
      <c r="AS137" s="11602" t="n"/>
      <c r="AT137" s="11602" t="n"/>
      <c r="AU137" s="11602" t="n"/>
      <c r="AV137" s="11602" t="n"/>
      <c r="AW137" s="11602" t="n"/>
    </row>
    <row r="138" ht="16.5" customHeight="1" s="7635">
      <c r="A138" s="2013" t="n"/>
      <c r="B138" s="377" t="n"/>
      <c r="C138" s="5019" t="n"/>
      <c r="D138" s="5019" t="n"/>
      <c r="E138" s="5019" t="n"/>
      <c r="F138" s="5019" t="n"/>
      <c r="G138" s="5019" t="n"/>
      <c r="H138" s="5019" t="n"/>
      <c r="I138" s="5019" t="n"/>
      <c r="J138" s="5019" t="n"/>
      <c r="K138" s="5019" t="n"/>
      <c r="L138" s="5019" t="n"/>
      <c r="M138" s="5019" t="n"/>
      <c r="N138" s="5019" t="n"/>
      <c r="O138" s="5019" t="n"/>
      <c r="P138" s="5019" t="n"/>
      <c r="Q138" s="408" t="n"/>
      <c r="R138" s="11602" t="n"/>
      <c r="S138" s="11602" t="n"/>
      <c r="T138" s="409" t="n"/>
      <c r="U138" s="408" t="n"/>
      <c r="V138" s="11602" t="n"/>
      <c r="W138" s="11602" t="n"/>
      <c r="X138" s="11602" t="n"/>
      <c r="Y138" s="409" t="n"/>
      <c r="Z138" s="408" t="n"/>
      <c r="AA138" s="11602" t="n"/>
      <c r="AB138" s="11602" t="n"/>
      <c r="AC138" s="11602" t="n"/>
      <c r="AD138" s="11602" t="n"/>
      <c r="AE138" s="11602" t="n"/>
      <c r="AF138" s="408" t="n"/>
      <c r="AG138" s="11602" t="n"/>
      <c r="AH138" s="11602" t="n"/>
      <c r="AI138" s="11602" t="n"/>
      <c r="AJ138" s="11602" t="n"/>
      <c r="AK138" s="2013" t="n"/>
      <c r="AL138" s="7914" t="n"/>
      <c r="AM138" s="2868" t="n"/>
      <c r="AN138" s="11602" t="n"/>
      <c r="AO138" s="724" t="n"/>
      <c r="AP138" s="724" t="n"/>
      <c r="AQ138" s="11602" t="n"/>
      <c r="AR138" s="11602" t="n"/>
      <c r="AS138" s="11602" t="n"/>
      <c r="AT138" s="11602" t="n"/>
      <c r="AU138" s="11602" t="n"/>
      <c r="AV138" s="11602" t="n"/>
      <c r="AW138" s="11602" t="n"/>
      <c r="BJ138" s="7970" t="n"/>
    </row>
    <row r="139" ht="16.5" customHeight="1" s="7635" thickBot="1">
      <c r="A139" s="2013" t="n"/>
      <c r="B139" s="5056" t="inlineStr">
        <is>
          <t>Total</t>
        </is>
      </c>
      <c r="C139" s="5057" t="n"/>
      <c r="D139" s="5057" t="n"/>
      <c r="E139" s="5057" t="n"/>
      <c r="F139" s="5057" t="n"/>
      <c r="G139" s="5057" t="n"/>
      <c r="H139" s="5057" t="n"/>
      <c r="I139" s="5057" t="n"/>
      <c r="J139" s="5057" t="n"/>
      <c r="K139" s="5057" t="n"/>
      <c r="L139" s="5057" t="n"/>
      <c r="M139" s="5057" t="n"/>
      <c r="N139" s="5057" t="n"/>
      <c r="O139" s="5057" t="n"/>
      <c r="P139" s="10736" t="inlineStr">
        <is>
          <t xml:space="preserve">.   .   .   .   .   .   .   .   .   .   .   .   .   .   .   .   .   .   .   .   .   .   .   .   .   .   . </t>
        </is>
      </c>
      <c r="Q139" s="12660">
        <f>IF(AO139,"",SUM(Q119,Q128,Q137))</f>
        <v/>
      </c>
      <c r="R139" s="11705" t="n"/>
      <c r="S139" s="11705" t="n"/>
      <c r="T139" s="11707" t="n"/>
      <c r="U139" s="12661" t="n">
        <v>1</v>
      </c>
      <c r="V139" s="11705" t="n"/>
      <c r="W139" s="11705" t="n"/>
      <c r="X139" s="11705" t="n"/>
      <c r="Y139" s="11707" t="n"/>
      <c r="Z139" s="12662">
        <f>IF(AO139,"",SUM(Z119,Z128,Z137))</f>
        <v/>
      </c>
      <c r="AA139" s="11705" t="n"/>
      <c r="AB139" s="11705" t="n"/>
      <c r="AC139" s="11705" t="n"/>
      <c r="AD139" s="11705" t="n"/>
      <c r="AE139" s="11707" t="n"/>
      <c r="AF139" s="10730">
        <f>IF(AO139,"",SUM(AF119,AF128,AF137))</f>
        <v/>
      </c>
      <c r="AG139" s="11705" t="n"/>
      <c r="AH139" s="11705" t="n"/>
      <c r="AI139" s="11705" t="n"/>
      <c r="AJ139" s="11705" t="n"/>
      <c r="AK139" s="2013" t="n"/>
      <c r="AL139" s="712" t="n"/>
      <c r="AM139" s="344" t="n"/>
      <c r="AN139" s="11602" t="n"/>
      <c r="AO139" s="2741">
        <f>AND(AO119,AO128,AO137)</f>
        <v/>
      </c>
      <c r="AP139" s="724" t="n"/>
      <c r="AQ139" s="11602" t="n"/>
      <c r="AR139" s="11602" t="n"/>
      <c r="AS139" s="11602" t="n"/>
      <c r="AT139" s="11602" t="n"/>
      <c r="AU139" s="11602" t="n"/>
      <c r="AV139" s="11602" t="n"/>
      <c r="AW139" s="11602" t="n"/>
    </row>
    <row r="140" ht="18.75" customFormat="1" customHeight="1" s="815" thickTop="1">
      <c r="A140" s="2013" t="n"/>
      <c r="B140" s="2447" t="n"/>
      <c r="C140" s="728" t="n"/>
      <c r="D140" s="11403" t="n"/>
      <c r="E140" s="11403" t="n"/>
      <c r="F140" s="11403" t="n"/>
      <c r="G140" s="11403" t="n"/>
      <c r="H140" s="11403" t="n"/>
      <c r="I140" s="11403" t="n"/>
      <c r="J140" s="11403" t="n"/>
      <c r="K140" s="11403" t="n"/>
      <c r="L140" s="11403" t="n"/>
      <c r="M140" s="11403" t="n"/>
      <c r="N140" s="11403" t="n"/>
      <c r="O140" s="11403" t="n"/>
      <c r="P140" s="11403" t="n"/>
      <c r="Q140" s="88" t="n"/>
      <c r="R140" s="88" t="n"/>
      <c r="S140" s="88" t="n"/>
      <c r="T140" s="88" t="n"/>
      <c r="U140" s="3931" t="n"/>
      <c r="V140" s="88" t="n"/>
      <c r="W140" s="3931" t="n"/>
      <c r="X140" s="88" t="n"/>
      <c r="Y140" s="88" t="n"/>
      <c r="Z140" s="88" t="n"/>
      <c r="AA140" s="88" t="n"/>
      <c r="AB140" s="88" t="n"/>
      <c r="AC140" s="88" t="n"/>
      <c r="AD140" s="88" t="n"/>
      <c r="AE140" s="5022" t="inlineStr">
        <is>
          <t>Form</t>
        </is>
      </c>
      <c r="AF140" s="10717" t="n">
        <v>8582</v>
      </c>
      <c r="AG140" s="2506" t="n"/>
      <c r="AH140" s="2506" t="n"/>
      <c r="AI140" s="88" t="n"/>
      <c r="AJ140" s="2052">
        <f>"("&amp;TaxYear&amp;")"</f>
        <v/>
      </c>
      <c r="AK140" s="2013" t="n"/>
      <c r="AL140" s="6996" t="n"/>
      <c r="AM140" s="6996" t="n"/>
      <c r="AN140" s="11602" t="n"/>
      <c r="AO140" s="724" t="n"/>
      <c r="AP140" s="724" t="n"/>
      <c r="AQ140" s="11602" t="n"/>
      <c r="AR140" s="11602" t="n"/>
      <c r="AS140" s="11602" t="n"/>
      <c r="AT140" s="11602" t="n"/>
      <c r="AU140" s="11602" t="n"/>
      <c r="AV140" s="11602" t="n"/>
      <c r="AW140" s="11602" t="n"/>
      <c r="AX140" s="12013" t="n"/>
      <c r="AY140" s="658" t="n"/>
      <c r="AZ140" s="658" t="n"/>
      <c r="BA140" s="658" t="n"/>
      <c r="BB140" s="658" t="n"/>
      <c r="BC140" s="658" t="n"/>
      <c r="BD140" s="658" t="n"/>
      <c r="BE140" s="658" t="n"/>
      <c r="BF140" s="658" t="n"/>
      <c r="BG140" s="658" t="n"/>
    </row>
    <row r="141">
      <c r="AQ141" s="11602" t="n"/>
      <c r="AR141" s="11602" t="n"/>
      <c r="AS141" s="11602" t="n"/>
      <c r="AT141" s="11602" t="n"/>
      <c r="AU141" s="11602" t="n"/>
      <c r="AV141" s="11602" t="n"/>
      <c r="AW141" s="11602" t="n"/>
    </row>
    <row r="142">
      <c r="AS142" s="11602" t="n"/>
      <c r="AT142" s="11602" t="n"/>
      <c r="AU142" s="11602" t="n"/>
    </row>
  </sheetData>
  <sheetProtection selectLockedCells="0" selectUnlockedCells="0" algorithmName="SHA-512" sheet="1" objects="0" insertRows="1" insertHyperlinks="1" autoFilter="1" scenarios="0" formatColumns="0" deleteColumns="1" insertColumns="1" pivotTables="1" deleteRows="1" formatCells="0" saltValue="o/QfvwFWmnWSSo+q81suwQ==" formatRows="0" sort="1" spinCount="100000" hashValue="9v9FumsoOa6L+K0jHf+F8G2b24FYLmpNwoiUnOZiELNyKqb35q2l21J4R3OuRWIIIVT0Ag4I1A49eKqXbI/haw=="/>
  <mergeCells count="311">
    <mergeCell ref="M135:P135"/>
    <mergeCell ref="AE83:AJ86"/>
    <mergeCell ref="B53:M53"/>
    <mergeCell ref="Q128:T128"/>
    <mergeCell ref="AS17:AS18"/>
    <mergeCell ref="AN59:AN62"/>
    <mergeCell ref="N83:R86"/>
    <mergeCell ref="AS19:AS20"/>
    <mergeCell ref="R78:U78"/>
    <mergeCell ref="B79:M79"/>
    <mergeCell ref="I5:AB5"/>
    <mergeCell ref="R55:U55"/>
    <mergeCell ref="AE41:AJ41"/>
    <mergeCell ref="Z39:AC39"/>
    <mergeCell ref="AE105:AJ105"/>
    <mergeCell ref="AE43:AJ43"/>
    <mergeCell ref="AQ38:AV39"/>
    <mergeCell ref="N47:Q48"/>
    <mergeCell ref="V45:Z46"/>
    <mergeCell ref="B131:L131"/>
    <mergeCell ref="V78:Z78"/>
    <mergeCell ref="V47:Z48"/>
    <mergeCell ref="B99:M99"/>
    <mergeCell ref="N66:Q66"/>
    <mergeCell ref="Z137:AE137"/>
    <mergeCell ref="B76:M76"/>
    <mergeCell ref="N68:Q68"/>
    <mergeCell ref="Z139:AE139"/>
    <mergeCell ref="AL30:AN30"/>
    <mergeCell ref="Y95:AD98"/>
    <mergeCell ref="X34:AC34"/>
    <mergeCell ref="S95:X98"/>
    <mergeCell ref="N100:R100"/>
    <mergeCell ref="AA52:AE52"/>
    <mergeCell ref="R81:U81"/>
    <mergeCell ref="B87:M87"/>
    <mergeCell ref="AA71:AE74"/>
    <mergeCell ref="N54:Q54"/>
    <mergeCell ref="AS13:AS14"/>
    <mergeCell ref="V51:Z51"/>
    <mergeCell ref="S91:X91"/>
    <mergeCell ref="E30:AJ30"/>
    <mergeCell ref="B100:M100"/>
    <mergeCell ref="B30:C30"/>
    <mergeCell ref="S93:X93"/>
    <mergeCell ref="R76:U76"/>
    <mergeCell ref="B102:M102"/>
    <mergeCell ref="B94:C94"/>
    <mergeCell ref="AF68:AJ69"/>
    <mergeCell ref="S83:X86"/>
    <mergeCell ref="B77:M77"/>
    <mergeCell ref="S101:X101"/>
    <mergeCell ref="X18:AC18"/>
    <mergeCell ref="AE14:AJ14"/>
    <mergeCell ref="R77:U77"/>
    <mergeCell ref="AF67:AJ67"/>
    <mergeCell ref="AE103:AJ103"/>
    <mergeCell ref="N61:Q62"/>
    <mergeCell ref="N102:R102"/>
    <mergeCell ref="B49:M49"/>
    <mergeCell ref="AA53:AE53"/>
    <mergeCell ref="B89:M89"/>
    <mergeCell ref="V61:Z62"/>
    <mergeCell ref="AF61:AJ62"/>
    <mergeCell ref="N103:R103"/>
    <mergeCell ref="Y20:AB20"/>
    <mergeCell ref="Y14:AB14"/>
    <mergeCell ref="S105:X105"/>
    <mergeCell ref="B90:M90"/>
    <mergeCell ref="N64:Q64"/>
    <mergeCell ref="V65:Z65"/>
    <mergeCell ref="Y92:AD92"/>
    <mergeCell ref="B113:L113"/>
    <mergeCell ref="R52:U52"/>
    <mergeCell ref="AE13:AJ13"/>
    <mergeCell ref="Y15:AB15"/>
    <mergeCell ref="AD5:AG5"/>
    <mergeCell ref="N75:Q75"/>
    <mergeCell ref="AE15:AJ15"/>
    <mergeCell ref="Y87:AD87"/>
    <mergeCell ref="AD6:AG6"/>
    <mergeCell ref="V75:Z75"/>
    <mergeCell ref="AF75:AJ75"/>
    <mergeCell ref="AQ45:AV45"/>
    <mergeCell ref="V50:Z50"/>
    <mergeCell ref="Y89:AD89"/>
    <mergeCell ref="V80:Z80"/>
    <mergeCell ref="AA76:AE76"/>
    <mergeCell ref="X37:AC37"/>
    <mergeCell ref="B95:M98"/>
    <mergeCell ref="V64:Z64"/>
    <mergeCell ref="N65:Q65"/>
    <mergeCell ref="AE99:AJ99"/>
    <mergeCell ref="N50:Q50"/>
    <mergeCell ref="AR83:AS83"/>
    <mergeCell ref="Q109:T110"/>
    <mergeCell ref="I2:AB3"/>
    <mergeCell ref="AA64:AE64"/>
    <mergeCell ref="AA51:AE51"/>
    <mergeCell ref="Q137:T137"/>
    <mergeCell ref="AE21:AJ21"/>
    <mergeCell ref="N78:Q78"/>
    <mergeCell ref="Y88:AD88"/>
    <mergeCell ref="V52:Z52"/>
    <mergeCell ref="AF49:AJ49"/>
    <mergeCell ref="B58:C58"/>
    <mergeCell ref="AE87:AJ87"/>
    <mergeCell ref="Y90:AD90"/>
    <mergeCell ref="B45:M48"/>
    <mergeCell ref="AA77:AE77"/>
    <mergeCell ref="V81:Z81"/>
    <mergeCell ref="AF78:AJ78"/>
    <mergeCell ref="N79:Q79"/>
    <mergeCell ref="AF65:AJ65"/>
    <mergeCell ref="AF47:AJ48"/>
    <mergeCell ref="AA59:AJ60"/>
    <mergeCell ref="Z119:AE119"/>
    <mergeCell ref="AF140:AH140"/>
    <mergeCell ref="N45:U46"/>
    <mergeCell ref="AE101:AJ101"/>
    <mergeCell ref="AA66:AE66"/>
    <mergeCell ref="AE100:AJ100"/>
    <mergeCell ref="Y103:AD103"/>
    <mergeCell ref="N99:R99"/>
    <mergeCell ref="AF54:AJ55"/>
    <mergeCell ref="AC2:AJ2"/>
    <mergeCell ref="AE102:AJ102"/>
    <mergeCell ref="AA67:AE67"/>
    <mergeCell ref="R66:U66"/>
    <mergeCell ref="N101:R101"/>
    <mergeCell ref="M120:P122"/>
    <mergeCell ref="R53:U53"/>
    <mergeCell ref="B67:M67"/>
    <mergeCell ref="U128:Y128"/>
    <mergeCell ref="AL28:AN28"/>
    <mergeCell ref="R68:U68"/>
    <mergeCell ref="AF53:AJ53"/>
    <mergeCell ref="AF109:AJ110"/>
    <mergeCell ref="AE24:AJ24"/>
    <mergeCell ref="B64:M64"/>
    <mergeCell ref="R79:U79"/>
    <mergeCell ref="B51:M51"/>
    <mergeCell ref="B71:M74"/>
    <mergeCell ref="Y91:AD91"/>
    <mergeCell ref="AF79:AJ79"/>
    <mergeCell ref="N87:R87"/>
    <mergeCell ref="AE90:AJ90"/>
    <mergeCell ref="R71:U74"/>
    <mergeCell ref="Y93:AD93"/>
    <mergeCell ref="I4:AB4"/>
    <mergeCell ref="AF81:AJ81"/>
    <mergeCell ref="N89:R89"/>
    <mergeCell ref="AT24:AT25"/>
    <mergeCell ref="AE39:AJ39"/>
    <mergeCell ref="V79:Z79"/>
    <mergeCell ref="N49:Q49"/>
    <mergeCell ref="M109:P110"/>
    <mergeCell ref="AF63:AJ63"/>
    <mergeCell ref="R67:U67"/>
    <mergeCell ref="Q139:T139"/>
    <mergeCell ref="B59:M62"/>
    <mergeCell ref="AL29:AN29"/>
    <mergeCell ref="M129:P131"/>
    <mergeCell ref="U109:Y110"/>
    <mergeCell ref="R69:U69"/>
    <mergeCell ref="N77:Q77"/>
    <mergeCell ref="Y8:AJ8"/>
    <mergeCell ref="AE32:AJ32"/>
    <mergeCell ref="R51:U51"/>
    <mergeCell ref="V59:Z60"/>
    <mergeCell ref="U137:Y137"/>
    <mergeCell ref="B3:C3"/>
    <mergeCell ref="Q119:T119"/>
    <mergeCell ref="B88:M88"/>
    <mergeCell ref="AS21:AS22"/>
    <mergeCell ref="S99:X99"/>
    <mergeCell ref="AE25:AJ26"/>
    <mergeCell ref="M111:P113"/>
    <mergeCell ref="Y100:AD100"/>
    <mergeCell ref="Z128:AE128"/>
    <mergeCell ref="V49:Z49"/>
    <mergeCell ref="V71:Z74"/>
    <mergeCell ref="AH5:AI6"/>
    <mergeCell ref="AC3:AJ4"/>
    <mergeCell ref="N52:Q52"/>
    <mergeCell ref="V55:Z55"/>
    <mergeCell ref="AA68:AE69"/>
    <mergeCell ref="U139:Y139"/>
    <mergeCell ref="M115:P115"/>
    <mergeCell ref="AF106:AH106"/>
    <mergeCell ref="AF128:AJ128"/>
    <mergeCell ref="N63:Q63"/>
    <mergeCell ref="B82:C82"/>
    <mergeCell ref="AA45:AJ46"/>
    <mergeCell ref="R63:U63"/>
    <mergeCell ref="B44:C44"/>
    <mergeCell ref="N95:R98"/>
    <mergeCell ref="B108:C108"/>
    <mergeCell ref="S100:X100"/>
    <mergeCell ref="B91:M91"/>
    <mergeCell ref="AF50:AJ50"/>
    <mergeCell ref="AS31:AS33"/>
    <mergeCell ref="S102:X102"/>
    <mergeCell ref="AF52:AJ52"/>
    <mergeCell ref="B83:M86"/>
    <mergeCell ref="B101:M101"/>
    <mergeCell ref="N55:Q55"/>
    <mergeCell ref="AS27:AS28"/>
    <mergeCell ref="S88:X88"/>
    <mergeCell ref="R47:U48"/>
    <mergeCell ref="AS58:AT61"/>
    <mergeCell ref="Z109:AE110"/>
    <mergeCell ref="S90:X90"/>
    <mergeCell ref="AE16:AJ16"/>
    <mergeCell ref="B66:M66"/>
    <mergeCell ref="AE18:AJ18"/>
    <mergeCell ref="AR40:AU44"/>
    <mergeCell ref="V76:Z76"/>
    <mergeCell ref="S103:X103"/>
    <mergeCell ref="X33:AC33"/>
    <mergeCell ref="AF66:AJ66"/>
    <mergeCell ref="V63:Z63"/>
    <mergeCell ref="AA61:AE62"/>
    <mergeCell ref="V77:Z77"/>
    <mergeCell ref="N53:Q53"/>
    <mergeCell ref="AE89:AJ89"/>
    <mergeCell ref="B40:C40"/>
    <mergeCell ref="V66:Z66"/>
    <mergeCell ref="Y19:AB19"/>
    <mergeCell ref="V53:Z53"/>
    <mergeCell ref="AF119:AJ119"/>
    <mergeCell ref="M124:P124"/>
    <mergeCell ref="AA54:AE55"/>
    <mergeCell ref="R54:U54"/>
    <mergeCell ref="M126:P126"/>
    <mergeCell ref="I6:AB6"/>
    <mergeCell ref="AE17:AJ17"/>
    <mergeCell ref="AE88:AJ88"/>
    <mergeCell ref="H23:K23"/>
    <mergeCell ref="N71:Q74"/>
    <mergeCell ref="AE19:AJ19"/>
    <mergeCell ref="AA49:AE49"/>
    <mergeCell ref="AF137:AJ137"/>
    <mergeCell ref="N76:Q76"/>
    <mergeCell ref="Y83:AD86"/>
    <mergeCell ref="N51:Q51"/>
    <mergeCell ref="AA78:AE78"/>
    <mergeCell ref="AF71:AJ74"/>
    <mergeCell ref="AF139:AJ139"/>
    <mergeCell ref="AA65:AE65"/>
    <mergeCell ref="AA47:AE48"/>
    <mergeCell ref="V54:Z54"/>
    <mergeCell ref="AF76:AJ76"/>
    <mergeCell ref="AA80:AE80"/>
    <mergeCell ref="B75:M75"/>
    <mergeCell ref="R61:U62"/>
    <mergeCell ref="N67:Q67"/>
    <mergeCell ref="V68:Z68"/>
    <mergeCell ref="N69:Q69"/>
    <mergeCell ref="V67:Z67"/>
    <mergeCell ref="B122:L122"/>
    <mergeCell ref="Y105:AD105"/>
    <mergeCell ref="V69:Z69"/>
    <mergeCell ref="Y99:AD99"/>
    <mergeCell ref="R64:U64"/>
    <mergeCell ref="N59:U60"/>
    <mergeCell ref="M117:P117"/>
    <mergeCell ref="B65:M65"/>
    <mergeCell ref="Y101:AD101"/>
    <mergeCell ref="B8:X8"/>
    <mergeCell ref="R49:U49"/>
    <mergeCell ref="AF64:AJ64"/>
    <mergeCell ref="AE27:AJ27"/>
    <mergeCell ref="E9:AJ9"/>
    <mergeCell ref="B63:M63"/>
    <mergeCell ref="AF51:AJ51"/>
    <mergeCell ref="B50:M50"/>
    <mergeCell ref="N88:R88"/>
    <mergeCell ref="B9:C9"/>
    <mergeCell ref="AA75:AE75"/>
    <mergeCell ref="AE20:AJ20"/>
    <mergeCell ref="AE91:AJ91"/>
    <mergeCell ref="AA50:AE50"/>
    <mergeCell ref="N90:R90"/>
    <mergeCell ref="D2:H3"/>
    <mergeCell ref="AE22:AJ22"/>
    <mergeCell ref="AE93:AJ93"/>
    <mergeCell ref="AA79:AE79"/>
    <mergeCell ref="AS23:AS25"/>
    <mergeCell ref="R75:U75"/>
    <mergeCell ref="U119:Y119"/>
    <mergeCell ref="N91:R91"/>
    <mergeCell ref="AF77:AJ77"/>
    <mergeCell ref="AA81:AE81"/>
    <mergeCell ref="S87:X87"/>
    <mergeCell ref="B103:M103"/>
    <mergeCell ref="B78:M78"/>
    <mergeCell ref="B70:C70"/>
    <mergeCell ref="AE95:AJ98"/>
    <mergeCell ref="AE38:AJ38"/>
    <mergeCell ref="AS11:AS12"/>
    <mergeCell ref="S89:X89"/>
    <mergeCell ref="AC56:AE56"/>
    <mergeCell ref="AA63:AE63"/>
    <mergeCell ref="R65:U65"/>
    <mergeCell ref="Y102:AD102"/>
    <mergeCell ref="M133:P133"/>
    <mergeCell ref="B52:M52"/>
    <mergeCell ref="X13:AC13"/>
    <mergeCell ref="B110:L110"/>
    <mergeCell ref="R50:U50"/>
  </mergeCells>
  <conditionalFormatting sqref="B8">
    <cfRule type="expression" priority="213" dxfId="6">
      <formula>IF(NoColor,1,0)</formula>
    </cfRule>
  </conditionalFormatting>
  <conditionalFormatting sqref="B49:B53 N49:V53">
    <cfRule type="expression" priority="169" dxfId="121">
      <formula>NoColor</formula>
    </cfRule>
  </conditionalFormatting>
  <conditionalFormatting sqref="B63:B67">
    <cfRule type="expression" priority="109" dxfId="121">
      <formula>NoColor</formula>
    </cfRule>
  </conditionalFormatting>
  <conditionalFormatting sqref="B75:B79">
    <cfRule type="expression" priority="106" dxfId="121">
      <formula>NoColor</formula>
    </cfRule>
  </conditionalFormatting>
  <conditionalFormatting sqref="B87:B91">
    <cfRule type="expression" priority="49" dxfId="121">
      <formula>NoColor</formula>
    </cfRule>
  </conditionalFormatting>
  <conditionalFormatting sqref="B99:B103">
    <cfRule type="expression" priority="46" dxfId="121">
      <formula>NoColor</formula>
    </cfRule>
  </conditionalFormatting>
  <conditionalFormatting sqref="B110:L110">
    <cfRule type="expression" priority="126" dxfId="6">
      <formula>NoColor</formula>
    </cfRule>
  </conditionalFormatting>
  <conditionalFormatting sqref="B113:L113">
    <cfRule type="expression" priority="125" dxfId="6">
      <formula>NoColor</formula>
    </cfRule>
  </conditionalFormatting>
  <conditionalFormatting sqref="B122:L122">
    <cfRule type="expression" priority="39" dxfId="6">
      <formula>NoColor</formula>
    </cfRule>
  </conditionalFormatting>
  <conditionalFormatting sqref="B131:L131">
    <cfRule type="expression" priority="38" dxfId="6">
      <formula>NoColor</formula>
    </cfRule>
  </conditionalFormatting>
  <conditionalFormatting sqref="H23">
    <cfRule type="expression" priority="3" dxfId="40">
      <formula>AO22</formula>
    </cfRule>
  </conditionalFormatting>
  <conditionalFormatting sqref="M39">
    <cfRule type="expression" priority="2" dxfId="40">
      <formula>Unallowed_CRD&lt;&gt;""</formula>
    </cfRule>
  </conditionalFormatting>
  <conditionalFormatting sqref="M115:P115">
    <cfRule type="expression" priority="122" dxfId="6">
      <formula>NoColor</formula>
    </cfRule>
  </conditionalFormatting>
  <conditionalFormatting sqref="M117:P117">
    <cfRule type="expression" priority="121" dxfId="6">
      <formula>NoColor</formula>
    </cfRule>
  </conditionalFormatting>
  <conditionalFormatting sqref="M124:P124">
    <cfRule type="expression" priority="120" dxfId="6">
      <formula>NoColor</formula>
    </cfRule>
  </conditionalFormatting>
  <conditionalFormatting sqref="M126:P126">
    <cfRule type="expression" priority="119" dxfId="6">
      <formula>NoColor</formula>
    </cfRule>
  </conditionalFormatting>
  <conditionalFormatting sqref="M133:P133">
    <cfRule type="expression" priority="118" dxfId="6">
      <formula>NoColor</formula>
    </cfRule>
  </conditionalFormatting>
  <conditionalFormatting sqref="M135:P135">
    <cfRule type="expression" priority="117" dxfId="6">
      <formula>NoColor</formula>
    </cfRule>
  </conditionalFormatting>
  <conditionalFormatting sqref="N87:N91">
    <cfRule type="expression" priority="78" dxfId="121">
      <formula>NoColor</formula>
    </cfRule>
  </conditionalFormatting>
  <conditionalFormatting sqref="N93">
    <cfRule type="expression" priority="146" dxfId="121">
      <formula>NoColor</formula>
    </cfRule>
  </conditionalFormatting>
  <conditionalFormatting sqref="N99:N103">
    <cfRule type="expression" priority="79" dxfId="121">
      <formula>NoColor</formula>
    </cfRule>
  </conditionalFormatting>
  <conditionalFormatting sqref="N105">
    <cfRule type="expression" priority="131" dxfId="121">
      <formula>NoColor</formula>
    </cfRule>
  </conditionalFormatting>
  <conditionalFormatting sqref="N55:V55">
    <cfRule type="expression" priority="163" dxfId="121">
      <formula>NoColor</formula>
    </cfRule>
  </conditionalFormatting>
  <conditionalFormatting sqref="N63:V67">
    <cfRule type="expression" priority="56" dxfId="121">
      <formula>NoColor</formula>
    </cfRule>
  </conditionalFormatting>
  <conditionalFormatting sqref="N69:V69">
    <cfRule type="expression" priority="45" dxfId="121">
      <formula>NoColor</formula>
    </cfRule>
  </conditionalFormatting>
  <conditionalFormatting sqref="N75:V79">
    <cfRule type="expression" priority="69" dxfId="121">
      <formula>NoColor</formula>
    </cfRule>
  </conditionalFormatting>
  <conditionalFormatting sqref="Q139:T139">
    <cfRule type="expression" priority="112" dxfId="6">
      <formula>NoColor</formula>
    </cfRule>
  </conditionalFormatting>
  <conditionalFormatting sqref="Q119:AJ119">
    <cfRule type="expression" priority="25" dxfId="6">
      <formula>NoColor</formula>
    </cfRule>
  </conditionalFormatting>
  <conditionalFormatting sqref="Q128:AJ128">
    <cfRule type="expression" priority="24" dxfId="6">
      <formula>NoColor</formula>
    </cfRule>
  </conditionalFormatting>
  <conditionalFormatting sqref="Q137:AJ137">
    <cfRule type="expression" priority="23" dxfId="6">
      <formula>NoColor</formula>
    </cfRule>
  </conditionalFormatting>
  <conditionalFormatting sqref="R81">
    <cfRule type="expression" priority="157" dxfId="121">
      <formula>NoColor</formula>
    </cfRule>
  </conditionalFormatting>
  <conditionalFormatting sqref="S93">
    <cfRule type="expression" priority="145" dxfId="121">
      <formula>NoColor</formula>
    </cfRule>
  </conditionalFormatting>
  <conditionalFormatting sqref="S105">
    <cfRule type="expression" priority="130" dxfId="121">
      <formula>NoColor</formula>
    </cfRule>
  </conditionalFormatting>
  <conditionalFormatting sqref="U139">
    <cfRule type="expression" priority="140" dxfId="121">
      <formula>NoColor</formula>
    </cfRule>
  </conditionalFormatting>
  <conditionalFormatting sqref="V75:V79">
    <cfRule type="expression" priority="68" dxfId="3">
      <formula>NoColor</formula>
    </cfRule>
  </conditionalFormatting>
  <conditionalFormatting sqref="V81">
    <cfRule type="expression" priority="153" dxfId="121">
      <formula>NoColor</formula>
    </cfRule>
  </conditionalFormatting>
  <conditionalFormatting sqref="X14:Y15 AC14:AC15">
    <cfRule type="expression" priority="187" dxfId="6">
      <formula>IF(NoColor,1,0)</formula>
    </cfRule>
  </conditionalFormatting>
  <conditionalFormatting sqref="X19:Y20 AC19:AC20">
    <cfRule type="expression" priority="182" dxfId="6">
      <formula>IF(NoColor,1,0)</formula>
    </cfRule>
  </conditionalFormatting>
  <conditionalFormatting sqref="X13:AC13">
    <cfRule type="expression" priority="188" dxfId="6">
      <formula>IF(NoColor,1,0)</formula>
    </cfRule>
  </conditionalFormatting>
  <conditionalFormatting sqref="X18:AC18">
    <cfRule type="expression" priority="183" dxfId="6">
      <formula>IF(NoColor,1,0)</formula>
    </cfRule>
  </conditionalFormatting>
  <conditionalFormatting sqref="X33:AC34">
    <cfRule type="expression" priority="175" dxfId="6">
      <formula>IF(NoColor,1,0)</formula>
    </cfRule>
  </conditionalFormatting>
  <conditionalFormatting sqref="X37:AC37">
    <cfRule type="expression" priority="174" dxfId="6">
      <formula>IF(NoColor,1,0)</formula>
    </cfRule>
  </conditionalFormatting>
  <conditionalFormatting sqref="Y8">
    <cfRule type="expression" priority="211" dxfId="6">
      <formula>IF(NoColor,1,0)</formula>
    </cfRule>
  </conditionalFormatting>
  <conditionalFormatting sqref="Y87:Y91">
    <cfRule type="expression" priority="48" dxfId="121">
      <formula>NoColor</formula>
    </cfRule>
    <cfRule type="expression" priority="47" dxfId="3">
      <formula>NoColor</formula>
    </cfRule>
  </conditionalFormatting>
  <conditionalFormatting sqref="Y93">
    <cfRule type="expression" priority="129" dxfId="121">
      <formula>NoColor</formula>
    </cfRule>
  </conditionalFormatting>
  <conditionalFormatting sqref="S99:S103 Y99:Y103 AE99:AE103">
    <cfRule type="expression" priority="94" dxfId="121">
      <formula>NoColor</formula>
    </cfRule>
  </conditionalFormatting>
  <conditionalFormatting sqref="Y99:Y103 AE99:AE103">
    <cfRule type="expression" priority="93" dxfId="3">
      <formula>NoColor</formula>
    </cfRule>
  </conditionalFormatting>
  <conditionalFormatting sqref="Y105">
    <cfRule type="expression" priority="84" dxfId="121">
      <formula>NoColor</formula>
    </cfRule>
  </conditionalFormatting>
  <conditionalFormatting sqref="Z139">
    <cfRule type="expression" priority="27" dxfId="6">
      <formula>NoColor</formula>
    </cfRule>
  </conditionalFormatting>
  <conditionalFormatting sqref="AA81">
    <cfRule type="expression" priority="51" dxfId="121">
      <formula>NoColor</formula>
    </cfRule>
  </conditionalFormatting>
  <conditionalFormatting sqref="AA49:AJ53">
    <cfRule type="expression" priority="57" dxfId="3">
      <formula>NoColor</formula>
    </cfRule>
    <cfRule type="expression" priority="58" dxfId="121">
      <formula>NoColor</formula>
    </cfRule>
  </conditionalFormatting>
  <conditionalFormatting sqref="AA63:AJ67">
    <cfRule type="expression" priority="61" dxfId="3">
      <formula>NoColor</formula>
    </cfRule>
    <cfRule type="expression" priority="62" dxfId="121">
      <formula>NoColor</formula>
    </cfRule>
  </conditionalFormatting>
  <conditionalFormatting sqref="AA75:AJ79">
    <cfRule type="expression" priority="155" dxfId="121">
      <formula>NoColor</formula>
    </cfRule>
    <cfRule type="expression" priority="154" dxfId="3">
      <formula>NoColor</formula>
    </cfRule>
  </conditionalFormatting>
  <conditionalFormatting sqref="S87:S91 AE87:AE91">
    <cfRule type="expression" priority="152" dxfId="121">
      <formula>NoColor</formula>
    </cfRule>
  </conditionalFormatting>
  <conditionalFormatting sqref="AE87:AE91">
    <cfRule type="expression" priority="151" dxfId="3">
      <formula>NoColor</formula>
    </cfRule>
  </conditionalFormatting>
  <conditionalFormatting sqref="AE93">
    <cfRule type="expression" priority="147" dxfId="121">
      <formula>NoColor</formula>
    </cfRule>
  </conditionalFormatting>
  <conditionalFormatting sqref="AE105">
    <cfRule type="expression" priority="83" dxfId="121">
      <formula>NoColor</formula>
    </cfRule>
  </conditionalFormatting>
  <conditionalFormatting sqref="AE16:AJ16">
    <cfRule type="expression" priority="180" dxfId="6">
      <formula>IF(NoColor,1,0)</formula>
    </cfRule>
  </conditionalFormatting>
  <conditionalFormatting sqref="AE21:AJ21">
    <cfRule type="expression" priority="40" dxfId="6">
      <formula>IF(NoColor,1,0)</formula>
    </cfRule>
  </conditionalFormatting>
  <conditionalFormatting sqref="AE24:AJ24">
    <cfRule type="expression" priority="181" dxfId="6">
      <formula>IF(NoColor,1,0)</formula>
    </cfRule>
  </conditionalFormatting>
  <conditionalFormatting sqref="AE27:AJ27">
    <cfRule type="expression" priority="285" dxfId="6">
      <formula>IF(NoColor,1,0)</formula>
    </cfRule>
  </conditionalFormatting>
  <conditionalFormatting sqref="AE32:AJ32">
    <cfRule type="expression" priority="178" dxfId="6">
      <formula>IF(NoColor,1,0)</formula>
    </cfRule>
  </conditionalFormatting>
  <conditionalFormatting sqref="AE38:AJ39">
    <cfRule type="expression" priority="172" dxfId="6">
      <formula>IF(NoColor,1,0)</formula>
    </cfRule>
  </conditionalFormatting>
  <conditionalFormatting sqref="AE41:AJ41">
    <cfRule type="expression" priority="171" dxfId="6">
      <formula>IF(NoColor,1,0)</formula>
    </cfRule>
  </conditionalFormatting>
  <conditionalFormatting sqref="AE43:AJ43">
    <cfRule type="expression" priority="170" dxfId="6">
      <formula>IF(NoColor,1,0)</formula>
    </cfRule>
  </conditionalFormatting>
  <conditionalFormatting sqref="AF81">
    <cfRule type="expression" priority="50" dxfId="121">
      <formula>NoColor</formula>
    </cfRule>
  </conditionalFormatting>
  <conditionalFormatting sqref="AF139:AJ139">
    <cfRule type="expression" priority="110" dxfId="6">
      <formula>NoColor</formula>
    </cfRule>
  </conditionalFormatting>
  <conditionalFormatting sqref="AL6:AL7">
    <cfRule type="expression" priority="4" dxfId="6">
      <formula>NoColor</formula>
    </cfRule>
  </conditionalFormatting>
  <conditionalFormatting sqref="AL28">
    <cfRule type="expression" priority="52" dxfId="0">
      <formula>AO22</formula>
    </cfRule>
  </conditionalFormatting>
  <conditionalFormatting sqref="AL40">
    <cfRule type="expression" priority="1" dxfId="40">
      <formula>($AM$23&lt;&gt;"")</formula>
    </cfRule>
  </conditionalFormatting>
  <conditionalFormatting sqref="AL55 AL81">
    <cfRule type="expression" priority="207" dxfId="4">
      <formula>$AM$54</formula>
    </cfRule>
  </conditionalFormatting>
  <conditionalFormatting sqref="AL69">
    <cfRule type="expression" priority="160" dxfId="4">
      <formula>$AM$54</formula>
    </cfRule>
  </conditionalFormatting>
  <conditionalFormatting sqref="AL93">
    <cfRule type="expression" priority="150" dxfId="4">
      <formula>$AM$54</formula>
    </cfRule>
  </conditionalFormatting>
  <conditionalFormatting sqref="AL105">
    <cfRule type="expression" priority="135" dxfId="4">
      <formula>$AM$54</formula>
    </cfRule>
  </conditionalFormatting>
  <conditionalFormatting sqref="AL139">
    <cfRule type="expression" priority="144" dxfId="4">
      <formula>$AM$54</formula>
    </cfRule>
  </conditionalFormatting>
  <conditionalFormatting sqref="AM28">
    <cfRule type="expression" priority="5012" dxfId="0">
      <formula>AN22</formula>
    </cfRule>
  </conditionalFormatting>
  <conditionalFormatting sqref="AM55">
    <cfRule type="expression" priority="206" dxfId="14">
      <formula>AND($AM$54,$AL$55="")</formula>
    </cfRule>
  </conditionalFormatting>
  <conditionalFormatting sqref="AM69">
    <cfRule type="expression" priority="159" dxfId="14">
      <formula>AND($AM$54,$AL$55="")</formula>
    </cfRule>
  </conditionalFormatting>
  <conditionalFormatting sqref="AM139">
    <cfRule type="expression" priority="143" dxfId="14">
      <formula>AND($AM$54,$AL$55="")</formula>
    </cfRule>
  </conditionalFormatting>
  <conditionalFormatting sqref="AN28 AP28">
    <cfRule type="expression" priority="5017" dxfId="0">
      <formula>AL22</formula>
    </cfRule>
  </conditionalFormatting>
  <conditionalFormatting sqref="AR63:AR65">
    <cfRule type="expression" priority="42" dxfId="781">
      <formula>$AS$62</formula>
    </cfRule>
  </conditionalFormatting>
  <conditionalFormatting sqref="AS58">
    <cfRule type="expression" priority="7113" dxfId="781">
      <formula>AU58</formula>
    </cfRule>
  </conditionalFormatting>
  <conditionalFormatting sqref="AT12">
    <cfRule type="expression" priority="21" dxfId="6">
      <formula>NoColor</formula>
    </cfRule>
  </conditionalFormatting>
  <conditionalFormatting sqref="AT14">
    <cfRule type="expression" priority="20" dxfId="6">
      <formula>NoColor</formula>
    </cfRule>
  </conditionalFormatting>
  <conditionalFormatting sqref="AT16">
    <cfRule type="expression" priority="19" dxfId="6">
      <formula>NoColor</formula>
    </cfRule>
  </conditionalFormatting>
  <conditionalFormatting sqref="AT18">
    <cfRule type="expression" priority="18" dxfId="6">
      <formula>NoColor</formula>
    </cfRule>
  </conditionalFormatting>
  <conditionalFormatting sqref="AT20">
    <cfRule type="expression" priority="17" dxfId="6">
      <formula>NoColor</formula>
    </cfRule>
  </conditionalFormatting>
  <conditionalFormatting sqref="AT22">
    <cfRule type="expression" priority="16" dxfId="6">
      <formula>NoColor</formula>
    </cfRule>
  </conditionalFormatting>
  <conditionalFormatting sqref="AT24">
    <cfRule type="expression" priority="15" dxfId="6">
      <formula>NoColor</formula>
    </cfRule>
  </conditionalFormatting>
  <conditionalFormatting sqref="AT28">
    <cfRule type="expression" priority="14" dxfId="6">
      <formula>NoColor</formula>
    </cfRule>
  </conditionalFormatting>
  <conditionalFormatting sqref="AT30">
    <cfRule type="expression" priority="13" dxfId="6">
      <formula>NoColor</formula>
    </cfRule>
  </conditionalFormatting>
  <conditionalFormatting sqref="AT33">
    <cfRule type="expression" priority="12" dxfId="6">
      <formula>NoColor</formula>
    </cfRule>
  </conditionalFormatting>
  <conditionalFormatting sqref="AU9">
    <cfRule type="expression" priority="22" dxfId="6">
      <formula>NoColor</formula>
    </cfRule>
  </conditionalFormatting>
  <conditionalFormatting sqref="AU35">
    <cfRule type="expression" priority="11" dxfId="6">
      <formula>NoColor</formula>
    </cfRule>
  </conditionalFormatting>
  <conditionalFormatting sqref="AU47">
    <cfRule type="expression" priority="10" dxfId="6">
      <formula>NoColor</formula>
    </cfRule>
  </conditionalFormatting>
  <conditionalFormatting sqref="AU49">
    <cfRule type="expression" priority="9" dxfId="6">
      <formula>NoColor</formula>
    </cfRule>
  </conditionalFormatting>
  <conditionalFormatting sqref="AU51:AU52">
    <cfRule type="expression" priority="8" dxfId="6">
      <formula>NoColor</formula>
    </cfRule>
  </conditionalFormatting>
  <conditionalFormatting sqref="AU55">
    <cfRule type="expression" priority="7" dxfId="6">
      <formula>NoColor</formula>
    </cfRule>
  </conditionalFormatting>
  <conditionalFormatting sqref="AU57">
    <cfRule type="expression" priority="6" dxfId="6">
      <formula>NoColor</formula>
    </cfRule>
  </conditionalFormatting>
  <conditionalFormatting sqref="AU61">
    <cfRule type="expression" priority="5" dxfId="6">
      <formula>NoColor</formula>
    </cfRule>
  </conditionalFormatting>
  <conditionalFormatting sqref="AV40">
    <cfRule type="expression" priority="5019" dxfId="0">
      <formula>AV38</formula>
    </cfRule>
  </conditionalFormatting>
  <conditionalFormatting sqref="AW28">
    <cfRule type="expression" priority="5014" dxfId="0">
      <formula>AW22</formula>
    </cfRule>
  </conditionalFormatting>
  <pageMargins left="0.75" right="0.25" top="0.36" bottom="0.29" header="0.36" footer="0.21"/>
  <pageSetup orientation="portrait" scale="64" fitToHeight="0"/>
  <rowBreaks count="2" manualBreakCount="2">
    <brk id="56" min="1" max="35" man="1"/>
    <brk id="106" min="1" max="35" man="1"/>
  </rowBreaks>
</worksheet>
</file>

<file path=xl/worksheets/sheet48.xml><?xml version="1.0" encoding="utf-8"?>
<worksheet xmlns="http://schemas.openxmlformats.org/spreadsheetml/2006/main">
  <sheetPr>
    <outlinePr summaryBelow="1" summaryRight="1"/>
    <pageSetUpPr fitToPage="1"/>
  </sheetPr>
  <dimension ref="A1:BA230"/>
  <sheetViews>
    <sheetView zoomScaleNormal="100" zoomScaleSheetLayoutView="120" workbookViewId="0">
      <selection activeCell="A1" sqref="A1"/>
    </sheetView>
  </sheetViews>
  <sheetFormatPr baseColWidth="8" defaultColWidth="9.140625" defaultRowHeight="12.75"/>
  <cols>
    <col width="2.7109375" customWidth="1" style="7635" min="1" max="1"/>
    <col width="3" customWidth="1" style="7635" min="2" max="2"/>
    <col width="5.85546875" customWidth="1" style="7453" min="3" max="3"/>
    <col width="3.7109375" customWidth="1" style="7635" min="4" max="6"/>
    <col width="5.140625" customWidth="1" style="7635" min="7" max="7"/>
    <col width="2.7109375" customWidth="1" style="7635" min="8" max="8"/>
    <col width="3.7109375" customWidth="1" style="7635" min="9" max="10"/>
    <col width="4.42578125" customWidth="1" style="7635" min="11" max="11"/>
    <col width="5.5703125" customWidth="1" style="7635" min="12" max="12"/>
    <col width="4.42578125" customWidth="1" style="7635" min="13" max="13"/>
    <col width="5" customWidth="1" style="7635" min="14" max="14"/>
    <col width="3.7109375" customWidth="1" style="7635" min="15" max="15"/>
    <col width="4.85546875" customWidth="1" style="7635" min="16" max="16"/>
    <col width="4.28515625" customWidth="1" style="7635" min="17" max="17"/>
    <col width="3.42578125" customWidth="1" style="7635" min="18" max="19"/>
    <col width="3.7109375" customWidth="1" style="7635" min="20" max="21"/>
    <col width="5" customWidth="1" style="7635" min="22" max="22"/>
    <col width="4.42578125" customWidth="1" style="7635" min="23" max="23"/>
    <col width="3.5703125" customWidth="1" style="7635" min="24" max="27"/>
    <col width="4" customWidth="1" style="7635" min="28" max="28"/>
    <col width="4.5703125" customWidth="1" style="7635" min="29" max="29"/>
    <col width="4.7109375" customWidth="1" style="7635" min="30" max="30"/>
    <col width="3.5703125" customWidth="1" style="7635" min="31" max="31"/>
    <col width="5.140625" customWidth="1" style="7635" min="32" max="32"/>
    <col width="3.5703125" customWidth="1" style="7635" min="33" max="36"/>
    <col width="2.85546875" customWidth="1" style="7635" min="38" max="38"/>
    <col width="17.5703125" customWidth="1" style="8648" min="39" max="39"/>
    <col width="4.5703125" customWidth="1" style="7635" min="40" max="40"/>
    <col width="10.7109375" customWidth="1" style="658" min="41" max="42"/>
    <col width="14.28515625" customWidth="1" style="658" min="43" max="43"/>
    <col width="10.7109375" customWidth="1" style="658" min="44" max="46"/>
    <col width="20.5703125" customWidth="1" style="658" min="47" max="47"/>
    <col width="10.7109375" customWidth="1" style="658" min="48" max="49"/>
    <col width="4.140625" customWidth="1" style="658" min="50" max="50"/>
    <col width="10" customWidth="1" style="7635" min="53" max="53"/>
    <col width="9.140625" customWidth="1" style="7635" min="58" max="58"/>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602" t="n"/>
      <c r="AM1" s="344" t="n"/>
      <c r="AN1" s="11602" t="n"/>
    </row>
    <row r="2">
      <c r="A2" s="2013" t="n"/>
      <c r="B2" s="344" t="n"/>
      <c r="C2" s="7957" t="n"/>
      <c r="D2" s="344" t="n"/>
      <c r="E2" s="344" t="n"/>
      <c r="F2" s="344" t="n"/>
      <c r="G2" s="344" t="n"/>
      <c r="H2" s="344" t="n"/>
      <c r="I2" s="344" t="n"/>
      <c r="J2" s="344" t="n"/>
      <c r="K2" s="344" t="n"/>
      <c r="L2" s="344" t="n"/>
      <c r="M2" s="344" t="n"/>
      <c r="N2" s="344" t="n"/>
      <c r="O2" s="344" t="n"/>
      <c r="P2" s="344" t="n"/>
      <c r="Q2" s="344" t="n"/>
      <c r="R2" s="344" t="n"/>
      <c r="S2" s="344" t="n"/>
      <c r="T2" s="344" t="n"/>
      <c r="U2" s="344" t="n"/>
      <c r="V2" s="344" t="n"/>
      <c r="W2" s="344" t="n"/>
      <c r="X2" s="344" t="n"/>
      <c r="Y2" s="344" t="n"/>
      <c r="Z2" s="344" t="n"/>
      <c r="AA2" s="344" t="n"/>
      <c r="AB2" s="344" t="n"/>
      <c r="AC2" s="344" t="n"/>
      <c r="AD2" s="344" t="n"/>
      <c r="AE2" s="344" t="n"/>
      <c r="AF2" s="344" t="n"/>
      <c r="AG2" s="344" t="n"/>
      <c r="AH2" s="344" t="n"/>
      <c r="AI2" s="344" t="n"/>
      <c r="AJ2" s="344" t="n"/>
      <c r="AK2" s="2013" t="n"/>
      <c r="AL2" s="11602" t="n"/>
      <c r="AM2" s="344" t="n"/>
      <c r="AN2" s="11602" t="n"/>
    </row>
    <row r="3" ht="15.75" customHeight="1" s="7635">
      <c r="A3" s="2013" t="n"/>
      <c r="B3" s="344" t="n"/>
      <c r="C3" s="10886" t="inlineStr">
        <is>
          <t>Important user information:</t>
        </is>
      </c>
      <c r="D3" s="344" t="n"/>
      <c r="E3" s="344" t="n"/>
      <c r="F3" s="344" t="n"/>
      <c r="G3" s="344" t="n"/>
      <c r="H3" s="344" t="n"/>
      <c r="I3" s="344" t="n"/>
      <c r="J3" s="344" t="n"/>
      <c r="K3" s="344" t="inlineStr">
        <is>
          <t>To prevent being 'double taxed', leave Form 1099-R, line 2a, Taxable Amount, blank for every IRA for which the</t>
        </is>
      </c>
      <c r="L3" s="344" t="n"/>
      <c r="M3" s="344" t="n"/>
      <c r="N3" s="344" t="n"/>
      <c r="O3" s="344" t="n"/>
      <c r="P3" s="344" t="n"/>
      <c r="Q3" s="344" t="n"/>
      <c r="R3" s="344" t="n"/>
      <c r="S3" s="344" t="n"/>
      <c r="T3" s="344" t="n"/>
      <c r="U3" s="344" t="n"/>
      <c r="V3" s="344" t="n"/>
      <c r="W3" s="344" t="n"/>
      <c r="X3" s="344" t="n"/>
      <c r="Y3" s="344" t="n"/>
      <c r="Z3" s="344" t="n"/>
      <c r="AA3" s="344" t="n"/>
      <c r="AB3" s="344" t="n"/>
      <c r="AC3" s="344" t="n"/>
      <c r="AD3" s="344" t="n"/>
      <c r="AE3" s="344" t="n"/>
      <c r="AF3" s="344" t="n"/>
      <c r="AG3" s="344" t="n"/>
      <c r="AH3" s="344" t="n"/>
      <c r="AI3" s="344" t="n"/>
      <c r="AJ3" s="344" t="n"/>
      <c r="AK3" s="2013" t="n"/>
      <c r="AL3" s="11602" t="n"/>
      <c r="AM3" s="344" t="n"/>
      <c r="AN3" s="11602" t="n"/>
    </row>
    <row r="4" ht="15.75" customHeight="1" s="7635">
      <c r="A4" s="2013" t="n"/>
      <c r="B4" s="344" t="n"/>
      <c r="C4" s="10886" t="n"/>
      <c r="D4" s="344" t="n"/>
      <c r="E4" s="344" t="n"/>
      <c r="F4" s="344" t="n"/>
      <c r="G4" s="344" t="n"/>
      <c r="H4" s="344" t="n"/>
      <c r="I4" s="344" t="n"/>
      <c r="J4" s="344" t="n"/>
      <c r="K4" s="344" t="inlineStr">
        <is>
          <t>taxable amount is being calculated by Form 8606, Nondeductible IRAs.</t>
        </is>
      </c>
      <c r="L4" s="344" t="n"/>
      <c r="M4" s="344" t="n"/>
      <c r="N4" s="344" t="n"/>
      <c r="O4" s="344" t="n"/>
      <c r="P4" s="344" t="n"/>
      <c r="Q4" s="344" t="n"/>
      <c r="R4" s="344" t="n"/>
      <c r="S4" s="344" t="n"/>
      <c r="T4" s="344" t="n"/>
      <c r="U4" s="344" t="n"/>
      <c r="V4" s="344" t="n"/>
      <c r="W4" s="344" t="n"/>
      <c r="X4" s="344" t="n"/>
      <c r="Y4" s="344" t="n"/>
      <c r="Z4" s="344" t="n"/>
      <c r="AA4" s="344" t="n"/>
      <c r="AB4" s="344" t="n"/>
      <c r="AC4" s="344" t="n"/>
      <c r="AD4" s="344" t="n"/>
      <c r="AE4" s="344" t="n"/>
      <c r="AF4" s="344" t="n"/>
      <c r="AG4" s="344" t="n"/>
      <c r="AH4" s="344" t="n"/>
      <c r="AI4" s="344" t="n"/>
      <c r="AJ4" s="344" t="n"/>
      <c r="AK4" s="2013" t="n"/>
      <c r="AL4" s="11602" t="n"/>
      <c r="AM4" s="344" t="n"/>
      <c r="AN4" s="11602" t="n"/>
    </row>
    <row r="5">
      <c r="A5" s="2013" t="n"/>
      <c r="B5" s="11602" t="n"/>
      <c r="C5" s="6996" t="n"/>
      <c r="D5" s="11602" t="n"/>
      <c r="E5" s="11602" t="n"/>
      <c r="F5" s="11602" t="n"/>
      <c r="G5" s="11602" t="n"/>
      <c r="H5" s="11602" t="n"/>
      <c r="I5" s="11602" t="n"/>
      <c r="J5" s="11602" t="n"/>
      <c r="K5" s="11602" t="n"/>
      <c r="L5" s="11602" t="n"/>
      <c r="M5" s="11602" t="n"/>
      <c r="N5" s="11602" t="n"/>
      <c r="O5" s="11602" t="n"/>
      <c r="P5" s="11602" t="n"/>
      <c r="Q5" s="11602" t="n"/>
      <c r="R5" s="11602" t="n"/>
      <c r="S5" s="11602" t="n"/>
      <c r="T5" s="11602" t="n"/>
      <c r="U5" s="11602" t="n"/>
      <c r="V5" s="11602" t="n"/>
      <c r="W5" s="11602" t="n"/>
      <c r="X5" s="11602" t="n"/>
      <c r="Y5" s="11602" t="n"/>
      <c r="Z5" s="11602" t="n"/>
      <c r="AA5" s="11602" t="n"/>
      <c r="AB5" s="11602" t="n"/>
      <c r="AC5" s="11602" t="n"/>
      <c r="AD5" s="11602" t="n"/>
      <c r="AE5" s="11602" t="n"/>
      <c r="AF5" s="11602" t="n"/>
      <c r="AG5" s="11602" t="n"/>
      <c r="AH5" s="11602" t="n"/>
      <c r="AI5" s="11602" t="n"/>
      <c r="AJ5" s="11602" t="n"/>
      <c r="AK5" s="2013" t="n"/>
      <c r="AL5" s="11602" t="n"/>
      <c r="AM5" s="344" t="n"/>
      <c r="AN5" s="11602" t="n"/>
    </row>
    <row r="6" ht="27.75" customFormat="1" customHeight="1" s="815">
      <c r="A6" s="2013" t="n"/>
      <c r="B6" s="2013" t="n"/>
      <c r="C6" s="2013" t="n"/>
      <c r="D6" s="2013" t="n"/>
      <c r="E6" s="2013" t="n"/>
      <c r="F6" s="2013" t="n"/>
      <c r="G6" s="2013" t="n"/>
      <c r="H6" s="2013" t="n"/>
      <c r="I6" s="2013" t="n"/>
      <c r="J6" s="2013" t="n"/>
      <c r="K6" s="4468" t="inlineStr">
        <is>
          <t>This sheet includes two Form 8606 forms.</t>
        </is>
      </c>
      <c r="L6" s="2013" t="n"/>
      <c r="M6" s="2013" t="n"/>
      <c r="N6" s="2013" t="n"/>
      <c r="O6" s="2013" t="n"/>
      <c r="P6" s="2013" t="n"/>
      <c r="Q6" s="2013" t="n"/>
      <c r="R6" s="2013" t="n"/>
      <c r="S6" s="2013" t="n"/>
      <c r="T6" s="2013" t="n"/>
      <c r="U6" s="2013" t="n"/>
      <c r="V6" s="2013" t="n"/>
      <c r="W6" s="2013" t="n"/>
      <c r="X6" s="2013" t="n"/>
      <c r="Y6" s="2013" t="n"/>
      <c r="Z6" s="2013" t="n"/>
      <c r="AA6" s="2013" t="n"/>
      <c r="AB6" s="2013" t="n"/>
      <c r="AC6" s="2013" t="n"/>
      <c r="AD6" s="2013" t="n"/>
      <c r="AE6" s="2013" t="n"/>
      <c r="AF6" s="2013" t="n"/>
      <c r="AG6" s="2013" t="n"/>
      <c r="AH6" s="2013" t="n"/>
      <c r="AI6" s="2013" t="n"/>
      <c r="AJ6" s="2013" t="n"/>
      <c r="AK6" s="2013" t="n"/>
      <c r="AL6" s="11602" t="n"/>
      <c r="AM6" s="344" t="n"/>
      <c r="AN6" s="11602" t="n"/>
      <c r="AO6" s="658" t="n"/>
      <c r="AP6" s="658" t="n"/>
      <c r="AQ6" s="658" t="n"/>
      <c r="AR6" s="658" t="n"/>
      <c r="AS6" s="658" t="n"/>
      <c r="AT6" s="658" t="n"/>
      <c r="AU6" s="658" t="n"/>
      <c r="AV6" s="658" t="n"/>
      <c r="AW6" s="658" t="n"/>
      <c r="AX6" s="658" t="n"/>
    </row>
    <row r="7" ht="24" customFormat="1" customHeight="1" s="815">
      <c r="A7" s="2013" t="n"/>
      <c r="B7" s="11602" t="n"/>
      <c r="C7" s="6996" t="n"/>
      <c r="D7" s="10857" t="inlineStr">
        <is>
          <t>8606</t>
        </is>
      </c>
      <c r="H7" s="719" t="n"/>
      <c r="I7" s="10649" t="inlineStr">
        <is>
          <t>Nondeductible IRAs</t>
        </is>
      </c>
      <c r="AB7" s="9671" t="n"/>
      <c r="AC7" s="7601" t="inlineStr">
        <is>
          <t>OMB No. 1545-0074</t>
        </is>
      </c>
      <c r="AD7" s="7637" t="n"/>
      <c r="AE7" s="7637" t="n"/>
      <c r="AF7" s="7637" t="n"/>
      <c r="AG7" s="7637" t="n"/>
      <c r="AH7" s="7637" t="n"/>
      <c r="AI7" s="7637" t="n"/>
      <c r="AJ7" s="7637" t="n"/>
      <c r="AK7" s="2013" t="n"/>
      <c r="AL7" s="11602" t="n"/>
      <c r="AM7" s="344" t="n"/>
      <c r="AN7" s="11602" t="n"/>
      <c r="AO7" s="658" t="n"/>
      <c r="AP7" s="658" t="n"/>
      <c r="AQ7" s="658" t="n"/>
      <c r="AR7" s="658" t="n"/>
      <c r="AS7" s="658" t="n"/>
      <c r="AT7" s="658" t="n"/>
      <c r="AU7" s="658" t="n"/>
      <c r="AV7" s="658" t="n"/>
      <c r="AW7" s="658" t="n"/>
      <c r="AX7" s="658" t="n"/>
    </row>
    <row r="8" ht="24" customFormat="1" customHeight="1" s="815">
      <c r="A8" s="2013" t="n"/>
      <c r="B8" s="9886" t="inlineStr">
        <is>
          <t>Form</t>
        </is>
      </c>
      <c r="H8" s="719" t="n"/>
      <c r="I8" s="9670" t="n"/>
      <c r="AB8" s="9671" t="n"/>
      <c r="AC8" s="10828">
        <f>TaxYear</f>
        <v/>
      </c>
      <c r="AD8" s="7839" t="n"/>
      <c r="AE8" s="7839" t="n"/>
      <c r="AF8" s="7839" t="n"/>
      <c r="AG8" s="7839" t="n"/>
      <c r="AH8" s="7839" t="n"/>
      <c r="AI8" s="7839" t="n"/>
      <c r="AJ8" s="7839" t="n"/>
      <c r="AK8" s="2013" t="n"/>
      <c r="AL8" s="11602" t="n"/>
      <c r="AM8" s="344" t="n"/>
      <c r="AN8" s="11602" t="n"/>
      <c r="AO8" s="658" t="n"/>
      <c r="AP8" s="658" t="n"/>
      <c r="AQ8" s="658" t="n"/>
      <c r="AR8" s="658" t="n"/>
      <c r="AS8" s="658" t="n"/>
      <c r="AT8" s="658" t="n"/>
      <c r="AU8" s="658" t="n"/>
      <c r="AV8" s="658" t="n"/>
      <c r="AW8" s="658" t="n"/>
      <c r="AX8" s="658" t="n"/>
    </row>
    <row r="9" ht="6.75" customFormat="1" customHeight="1" s="815">
      <c r="A9" s="2013" t="n"/>
      <c r="B9" s="11602" t="n"/>
      <c r="C9" s="6996" t="n"/>
      <c r="D9" s="11602" t="n"/>
      <c r="E9" s="11602" t="n"/>
      <c r="F9" s="11602" t="n"/>
      <c r="G9" s="11602" t="n"/>
      <c r="H9" s="719" t="n"/>
      <c r="I9" s="10877" t="inlineStr">
        <is>
          <t>Attach to Form 1040, 1040-SR, or 1040-NR.</t>
        </is>
      </c>
      <c r="AB9" s="9671" t="n"/>
      <c r="AK9" s="2013" t="n"/>
      <c r="AL9" s="11602" t="n"/>
      <c r="AM9" s="344" t="n"/>
      <c r="AN9" s="11602" t="n"/>
      <c r="AO9" s="658" t="n"/>
      <c r="AP9" s="658" t="n"/>
      <c r="AQ9" s="658" t="n"/>
      <c r="AR9" s="658" t="n"/>
      <c r="AS9" s="658" t="n"/>
      <c r="AT9" s="658" t="n"/>
      <c r="AU9" s="658" t="n"/>
      <c r="AV9" s="658" t="n"/>
      <c r="AW9" s="658" t="n"/>
      <c r="AX9" s="658" t="n"/>
    </row>
    <row r="10" ht="12.75" customFormat="1" customHeight="1" s="815" thickBot="1">
      <c r="A10" s="2013" t="n"/>
      <c r="B10" s="11602" t="inlineStr">
        <is>
          <t>Department of the Treasury</t>
        </is>
      </c>
      <c r="C10" s="6996" t="n"/>
      <c r="D10" s="11602" t="n"/>
      <c r="E10" s="11602" t="n"/>
      <c r="F10" s="11602" t="n"/>
      <c r="G10" s="11602" t="n"/>
      <c r="H10" s="719" t="n"/>
      <c r="I10" s="9670" t="n"/>
      <c r="AB10" s="9671" t="n"/>
      <c r="AC10" s="11602" t="n"/>
      <c r="AD10" s="9237" t="inlineStr">
        <is>
          <t xml:space="preserve">   Attachment</t>
        </is>
      </c>
      <c r="AH10" s="9918" t="n">
        <v>48</v>
      </c>
      <c r="AJ10" s="11602" t="n"/>
      <c r="AK10" s="2013" t="n"/>
      <c r="AL10" s="7886" t="inlineStr">
        <is>
          <t>This Form 8606 is for:</t>
        </is>
      </c>
      <c r="AM10" s="344" t="n"/>
      <c r="AN10" s="11602" t="n"/>
      <c r="AO10" s="658" t="n"/>
      <c r="AP10" s="658" t="n"/>
      <c r="AQ10" s="658" t="n"/>
      <c r="AR10" s="658" t="n"/>
      <c r="AS10" s="658" t="n"/>
      <c r="AT10" s="658" t="n"/>
      <c r="AU10" s="658" t="n"/>
      <c r="AV10" s="658" t="n"/>
      <c r="AW10" s="658" t="n"/>
      <c r="AX10" s="658" t="n"/>
    </row>
    <row r="11" ht="13.5" customFormat="1" customHeight="1" s="815" thickBot="1">
      <c r="A11" s="2013" t="n"/>
      <c r="B11" s="498" t="inlineStr">
        <is>
          <t>Internal Revenue Service</t>
        </is>
      </c>
      <c r="C11" s="4225" t="n"/>
      <c r="D11" s="380" t="n"/>
      <c r="E11" s="380" t="n"/>
      <c r="F11" s="380" t="n"/>
      <c r="G11" s="380" t="n"/>
      <c r="H11" s="4469" t="n"/>
      <c r="I11" s="10801" t="inlineStr">
        <is>
          <t>Go to www.irs.gov/Form8606 for instructions and the latest information.</t>
        </is>
      </c>
      <c r="J11" s="8848" t="n"/>
      <c r="K11" s="8848" t="n"/>
      <c r="L11" s="8848" t="n"/>
      <c r="M11" s="8848" t="n"/>
      <c r="N11" s="8848" t="n"/>
      <c r="O11" s="8848" t="n"/>
      <c r="P11" s="8848" t="n"/>
      <c r="Q11" s="8848" t="n"/>
      <c r="R11" s="8848" t="n"/>
      <c r="S11" s="8848" t="n"/>
      <c r="T11" s="8848" t="n"/>
      <c r="U11" s="8848" t="n"/>
      <c r="V11" s="8848" t="n"/>
      <c r="W11" s="8848" t="n"/>
      <c r="X11" s="8848" t="n"/>
      <c r="Y11" s="8848" t="n"/>
      <c r="Z11" s="8848" t="n"/>
      <c r="AA11" s="8848" t="n"/>
      <c r="AB11" s="12620" t="n"/>
      <c r="AC11" s="498" t="n"/>
      <c r="AD11" s="9921" t="inlineStr">
        <is>
          <t xml:space="preserve">Sequence No.  </t>
        </is>
      </c>
      <c r="AE11" s="8848" t="n"/>
      <c r="AF11" s="8848" t="n"/>
      <c r="AG11" s="8848" t="n"/>
      <c r="AH11" s="8848" t="n"/>
      <c r="AI11" s="8848" t="n"/>
      <c r="AJ11" s="380" t="n"/>
      <c r="AK11" s="2013" t="n"/>
      <c r="AL11" s="1987">
        <f>IF(AL12="","X","")</f>
        <v/>
      </c>
      <c r="AM11" s="344" t="inlineStr">
        <is>
          <t>You</t>
        </is>
      </c>
      <c r="AN11" s="11602" t="n"/>
      <c r="AO11" s="658" t="n"/>
      <c r="AP11" s="658" t="n"/>
      <c r="AQ11" s="658" t="n"/>
      <c r="AR11" s="658" t="n"/>
      <c r="AS11" s="658" t="n"/>
      <c r="AT11" s="658" t="n"/>
      <c r="AU11" s="658" t="n"/>
      <c r="AV11" s="658" t="n"/>
      <c r="AW11" s="658" t="n"/>
      <c r="AX11" s="658" t="n"/>
    </row>
    <row r="12" ht="13.5" customFormat="1" customHeight="1" s="815" thickBot="1">
      <c r="A12" s="2013" t="n"/>
      <c r="B12" s="339">
        <f>"Name. If married, file a separate form for each spouse required to file "&amp;TaxYear&amp;" Form 8606. See instructions."</f>
        <v/>
      </c>
      <c r="C12" s="4470" t="n"/>
      <c r="D12" s="339" t="n"/>
      <c r="E12" s="339" t="n"/>
      <c r="F12" s="339" t="n"/>
      <c r="G12" s="339" t="n"/>
      <c r="H12" s="339" t="n"/>
      <c r="I12" s="339" t="n"/>
      <c r="J12" s="339" t="n"/>
      <c r="K12" s="339" t="n"/>
      <c r="L12" s="339" t="n"/>
      <c r="M12" s="339" t="n"/>
      <c r="N12" s="339" t="n"/>
      <c r="O12" s="339" t="n"/>
      <c r="P12" s="339" t="n"/>
      <c r="Q12" s="339" t="n"/>
      <c r="R12" s="339" t="n"/>
      <c r="S12" s="339" t="n"/>
      <c r="T12" s="339" t="n"/>
      <c r="U12" s="339" t="n"/>
      <c r="V12" s="339" t="n"/>
      <c r="W12" s="339" t="n"/>
      <c r="X12" s="339" t="n"/>
      <c r="Y12" s="2913" t="inlineStr">
        <is>
          <t xml:space="preserve">   Your social security number</t>
        </is>
      </c>
      <c r="Z12" s="377" t="n"/>
      <c r="AA12" s="377" t="n"/>
      <c r="AB12" s="377" t="n"/>
      <c r="AC12" s="408" t="n"/>
      <c r="AD12" s="2019" t="n"/>
      <c r="AE12" s="2019" t="n"/>
      <c r="AF12" s="2019" t="n"/>
      <c r="AG12" s="2019" t="n"/>
      <c r="AH12" s="2019" t="n"/>
      <c r="AI12" s="2019" t="n"/>
      <c r="AJ12" s="2019" t="n"/>
      <c r="AK12" s="2013" t="n"/>
      <c r="AL12" s="277" t="n"/>
      <c r="AM12" s="344" t="inlineStr">
        <is>
          <t>Spouse</t>
        </is>
      </c>
      <c r="AN12" s="11602" t="n"/>
      <c r="AO12" s="658" t="n"/>
      <c r="AP12" s="658" t="n"/>
      <c r="AQ12" s="658" t="n"/>
      <c r="AR12" s="658" t="n"/>
      <c r="AS12" s="658" t="n"/>
      <c r="AT12" s="658" t="n"/>
      <c r="AU12" s="658" t="n"/>
      <c r="AV12" s="658" t="n"/>
      <c r="AW12" s="658" t="n"/>
      <c r="AX12" s="658" t="n"/>
    </row>
    <row r="13" ht="25.5" customFormat="1" customHeight="1" s="815">
      <c r="A13" s="2013" t="n"/>
      <c r="B13" s="10869">
        <f>IF(AND(AL11&lt;&gt;"",AL12&lt;&gt;""),Names,IF(AL12&lt;&gt;"",NameSpouse,IF(AL11&lt;&gt;"",NameYours,"")))</f>
        <v/>
      </c>
      <c r="C13" s="7637" t="n"/>
      <c r="D13" s="7637" t="n"/>
      <c r="E13" s="7637" t="n"/>
      <c r="F13" s="7637" t="n"/>
      <c r="G13" s="7637" t="n"/>
      <c r="H13" s="7637" t="n"/>
      <c r="I13" s="7637" t="n"/>
      <c r="J13" s="7637" t="n"/>
      <c r="K13" s="7637" t="n"/>
      <c r="L13" s="7637" t="n"/>
      <c r="M13" s="7637" t="n"/>
      <c r="N13" s="7637" t="n"/>
      <c r="O13" s="7637" t="n"/>
      <c r="P13" s="7637" t="n"/>
      <c r="Q13" s="7637" t="n"/>
      <c r="R13" s="7637" t="n"/>
      <c r="S13" s="7637" t="n"/>
      <c r="T13" s="7637" t="n"/>
      <c r="U13" s="7637" t="n"/>
      <c r="V13" s="7637" t="n"/>
      <c r="W13" s="7637" t="n"/>
      <c r="X13" s="7638" t="n"/>
      <c r="Y13" s="12663">
        <f>IF(AND(NOT(NoSSN),SS_Yours&lt;&gt;"",OR(AL11&lt;&gt;"",AND(AL11&lt;&gt;"",AL12&lt;&gt;""))),SS_Yours,IF(AND(NOT(NoSSN),SS_Spouse&lt;&gt;"",AL12&lt;&gt;""),SS_Spouse,""))</f>
        <v/>
      </c>
      <c r="Z13" s="7637" t="n"/>
      <c r="AA13" s="7637" t="n"/>
      <c r="AB13" s="7637" t="n"/>
      <c r="AC13" s="7637" t="n"/>
      <c r="AD13" s="7637" t="n"/>
      <c r="AE13" s="7637" t="n"/>
      <c r="AF13" s="7637" t="n"/>
      <c r="AG13" s="7637" t="n"/>
      <c r="AH13" s="7637" t="n"/>
      <c r="AI13" s="7637" t="n"/>
      <c r="AJ13" s="7637" t="n"/>
      <c r="AK13" s="2013" t="n"/>
      <c r="AL13" s="11602" t="n"/>
      <c r="AM13" s="512">
        <f>OR(AND(AL11&lt;&gt;"",IRA_CONV_YOU&gt;0),AND(AL12&lt;&gt;"",IRA_CONV_SPOUSE&gt;0))</f>
        <v/>
      </c>
      <c r="AN13" s="11602" t="n"/>
      <c r="AO13" s="658" t="n"/>
      <c r="AP13" s="658" t="n"/>
      <c r="AQ13" s="658" t="n"/>
      <c r="AR13" s="658" t="n"/>
      <c r="AS13" s="658" t="n"/>
      <c r="AT13" s="658" t="n"/>
      <c r="AU13" s="658" t="n"/>
      <c r="AV13" s="658" t="n"/>
      <c r="AW13" s="658" t="n"/>
      <c r="AX13" s="658" t="n"/>
    </row>
    <row r="14" ht="15.75" customFormat="1" customHeight="1" s="815">
      <c r="A14" s="2013" t="n"/>
      <c r="B14" s="12664" t="inlineStr">
        <is>
          <t>Fill in Your Address
Only if You Are 
Filing This Form by 
Itself and Not With
Your Tax Return</t>
        </is>
      </c>
      <c r="C14" s="7839" t="n"/>
      <c r="D14" s="7839" t="n"/>
      <c r="E14" s="7839" t="n"/>
      <c r="F14" s="7839" t="n"/>
      <c r="G14" s="7839" t="n"/>
      <c r="H14" s="7839" t="n"/>
      <c r="I14" s="10091" t="n"/>
      <c r="J14" s="12665" t="inlineStr">
        <is>
          <t xml:space="preserve"> Home address (number and street, or P.O. box if mail is not delivered to your home)</t>
        </is>
      </c>
      <c r="K14" s="7839" t="n"/>
      <c r="L14" s="7839" t="n"/>
      <c r="M14" s="7839" t="n"/>
      <c r="N14" s="7839" t="n"/>
      <c r="O14" s="7839" t="n"/>
      <c r="P14" s="7839" t="n"/>
      <c r="Q14" s="7839" t="n"/>
      <c r="R14" s="7839" t="n"/>
      <c r="S14" s="7839" t="n"/>
      <c r="T14" s="7839" t="n"/>
      <c r="U14" s="7839" t="n"/>
      <c r="V14" s="7839" t="n"/>
      <c r="W14" s="7839" t="n"/>
      <c r="X14" s="7839" t="n"/>
      <c r="Y14" s="7839" t="n"/>
      <c r="Z14" s="7839" t="n"/>
      <c r="AA14" s="7839" t="n"/>
      <c r="AB14" s="7839" t="n"/>
      <c r="AC14" s="10091" t="n"/>
      <c r="AD14" s="10850" t="inlineStr">
        <is>
          <t>Apt. no.</t>
        </is>
      </c>
      <c r="AE14" s="7839" t="n"/>
      <c r="AF14" s="7839" t="n"/>
      <c r="AG14" s="7839" t="n"/>
      <c r="AH14" s="7839" t="n"/>
      <c r="AI14" s="7839" t="n"/>
      <c r="AJ14" s="7839" t="n"/>
      <c r="AK14" s="2013" t="n"/>
      <c r="AL14" s="10746">
        <f>IF($AM$13,"If you converted","")</f>
        <v/>
      </c>
      <c r="AO14" s="658" t="n"/>
      <c r="AP14" s="658" t="n"/>
      <c r="AQ14" s="658" t="n"/>
      <c r="AR14" s="658" t="n"/>
      <c r="AS14" s="658" t="n"/>
      <c r="AT14" s="658" t="n"/>
      <c r="AU14" s="658" t="n"/>
      <c r="AV14" s="658" t="n"/>
      <c r="AW14" s="658" t="n"/>
      <c r="AX14" s="658" t="n"/>
    </row>
    <row r="15" ht="18.75" customFormat="1" customHeight="1" s="815">
      <c r="A15" s="2013" t="n"/>
      <c r="I15" s="7636" t="n"/>
      <c r="J15" s="12666" t="n"/>
      <c r="K15" s="11717" t="n"/>
      <c r="L15" s="11717" t="n"/>
      <c r="M15" s="11717" t="n"/>
      <c r="N15" s="11717" t="n"/>
      <c r="O15" s="11717" t="n"/>
      <c r="P15" s="11717" t="n"/>
      <c r="Q15" s="11717" t="n"/>
      <c r="R15" s="11717" t="n"/>
      <c r="S15" s="11717" t="n"/>
      <c r="T15" s="11717" t="n"/>
      <c r="U15" s="11717" t="n"/>
      <c r="V15" s="11717" t="n"/>
      <c r="W15" s="11717" t="n"/>
      <c r="X15" s="11717" t="n"/>
      <c r="Y15" s="11717" t="n"/>
      <c r="Z15" s="11717" t="n"/>
      <c r="AA15" s="11717" t="n"/>
      <c r="AB15" s="11717" t="n"/>
      <c r="AC15" s="11718" t="n"/>
      <c r="AD15" s="10803" t="n"/>
      <c r="AE15" s="11717" t="n"/>
      <c r="AF15" s="11717" t="n"/>
      <c r="AG15" s="11717" t="n"/>
      <c r="AH15" s="11717" t="n"/>
      <c r="AI15" s="11717" t="n"/>
      <c r="AJ15" s="11717" t="n"/>
      <c r="AK15" s="2013" t="n"/>
      <c r="AL15" s="10746">
        <f>IF($AM$13,"less than all of an IRA","")</f>
        <v/>
      </c>
      <c r="AO15" s="658" t="n"/>
      <c r="AP15" s="658" t="n"/>
      <c r="AQ15" s="658" t="n"/>
      <c r="AR15" s="658" t="n"/>
      <c r="AS15" s="658" t="n"/>
      <c r="AT15" s="658" t="n"/>
      <c r="AU15" s="658" t="n"/>
      <c r="AV15" s="658" t="n"/>
      <c r="AW15" s="658" t="n"/>
      <c r="AX15" s="658" t="n"/>
    </row>
    <row r="16" ht="15.75" customFormat="1" customHeight="1" s="815">
      <c r="A16" s="2013" t="n"/>
      <c r="I16" s="7636" t="n"/>
      <c r="J16" s="10865" t="inlineStr">
        <is>
          <t xml:space="preserve"> City, town or post office, state, and ZIP code. If you have a foreign address, also complete the spaces below. See instructions.</t>
        </is>
      </c>
      <c r="K16" s="7839" t="n"/>
      <c r="L16" s="7839" t="n"/>
      <c r="M16" s="7839" t="n"/>
      <c r="N16" s="7839" t="n"/>
      <c r="O16" s="7839" t="n"/>
      <c r="P16" s="7839" t="n"/>
      <c r="Q16" s="7839" t="n"/>
      <c r="R16" s="7839" t="n"/>
      <c r="S16" s="7839" t="n"/>
      <c r="T16" s="7839" t="n"/>
      <c r="U16" s="7839" t="n"/>
      <c r="V16" s="7839" t="n"/>
      <c r="W16" s="7839" t="n"/>
      <c r="X16" s="7839" t="n"/>
      <c r="Y16" s="7839" t="n"/>
      <c r="Z16" s="7839" t="n"/>
      <c r="AA16" s="7839" t="n"/>
      <c r="AB16" s="7839" t="n"/>
      <c r="AC16" s="7839" t="n"/>
      <c r="AD16" s="7839" t="n"/>
      <c r="AE16" s="7839" t="n"/>
      <c r="AF16" s="7839" t="n"/>
      <c r="AG16" s="7839" t="n"/>
      <c r="AH16" s="7839" t="n"/>
      <c r="AI16" s="7839" t="n"/>
      <c r="AJ16" s="7839" t="n"/>
      <c r="AK16" s="2013" t="n"/>
      <c r="AL16" s="10746">
        <f>IF($AM$13,"to a Roth IRA, be sure","")</f>
        <v/>
      </c>
      <c r="AO16" s="658" t="n"/>
      <c r="AP16" s="658" t="n"/>
      <c r="AQ16" s="658" t="n"/>
      <c r="AR16" s="658" t="n"/>
      <c r="AS16" s="658" t="n"/>
      <c r="AT16" s="658" t="n"/>
      <c r="AU16" s="658" t="n"/>
      <c r="AV16" s="658" t="n"/>
      <c r="AW16" s="658" t="n"/>
      <c r="AX16" s="658" t="n"/>
    </row>
    <row r="17" ht="18.75" customFormat="1" customHeight="1" s="815">
      <c r="A17" s="2013" t="n"/>
      <c r="I17" s="7636" t="n"/>
      <c r="J17" s="10803" t="n"/>
      <c r="K17" s="11717" t="n"/>
      <c r="L17" s="11717" t="n"/>
      <c r="M17" s="11717" t="n"/>
      <c r="N17" s="11717" t="n"/>
      <c r="O17" s="11717" t="n"/>
      <c r="P17" s="11717" t="n"/>
      <c r="Q17" s="11717" t="n"/>
      <c r="R17" s="11717" t="n"/>
      <c r="S17" s="11717" t="n"/>
      <c r="T17" s="11717" t="n"/>
      <c r="U17" s="11717" t="n"/>
      <c r="V17" s="11717" t="n"/>
      <c r="W17" s="11717" t="n"/>
      <c r="X17" s="11717" t="n"/>
      <c r="Y17" s="11717" t="n"/>
      <c r="Z17" s="11717" t="n"/>
      <c r="AA17" s="11717" t="n"/>
      <c r="AB17" s="11717" t="n"/>
      <c r="AC17" s="11717" t="n"/>
      <c r="AD17" s="11717" t="n"/>
      <c r="AE17" s="11717" t="n"/>
      <c r="AF17" s="11717" t="n"/>
      <c r="AG17" s="11717" t="n"/>
      <c r="AH17" s="11717" t="n"/>
      <c r="AI17" s="11717" t="n"/>
      <c r="AJ17" s="11717" t="n"/>
      <c r="AK17" s="2013" t="n"/>
      <c r="AL17" s="10746">
        <f>IF($AM$13,"to complete Part I","")</f>
        <v/>
      </c>
      <c r="AO17" s="658" t="n"/>
      <c r="AP17" s="658" t="n"/>
      <c r="AQ17" s="658" t="n"/>
      <c r="AR17" s="658" t="n"/>
      <c r="AS17" s="658" t="n"/>
      <c r="AT17" s="658" t="n"/>
      <c r="AU17" s="658" t="n"/>
      <c r="AV17" s="658" t="n"/>
      <c r="AW17" s="658" t="n"/>
      <c r="AX17" s="658" t="n"/>
    </row>
    <row r="18" ht="15.75" customFormat="1" customHeight="1" s="815">
      <c r="A18" s="2013" t="n"/>
      <c r="I18" s="7636" t="n"/>
      <c r="J18" s="2760" t="inlineStr">
        <is>
          <t xml:space="preserve">  Foreign country name</t>
        </is>
      </c>
      <c r="K18" s="2263" t="n"/>
      <c r="L18" s="2263" t="n"/>
      <c r="M18" s="2263" t="n"/>
      <c r="N18" s="2263" t="n"/>
      <c r="O18" s="2263" t="n"/>
      <c r="P18" s="2263" t="n"/>
      <c r="Q18" s="2263" t="n"/>
      <c r="R18" s="2263" t="n"/>
      <c r="S18" s="2263" t="n"/>
      <c r="T18" s="2760" t="inlineStr">
        <is>
          <t xml:space="preserve"> Foreign province/state/county</t>
        </is>
      </c>
      <c r="U18" s="2263" t="n"/>
      <c r="V18" s="2263" t="n"/>
      <c r="W18" s="2263" t="n"/>
      <c r="X18" s="2263" t="n"/>
      <c r="Y18" s="2263" t="n"/>
      <c r="Z18" s="2263" t="n"/>
      <c r="AA18" s="2263" t="n"/>
      <c r="AB18" s="4471" t="n"/>
      <c r="AC18" s="2263" t="inlineStr">
        <is>
          <t xml:space="preserve"> Foreign postal code</t>
        </is>
      </c>
      <c r="AD18" s="2263" t="n"/>
      <c r="AE18" s="2263" t="n"/>
      <c r="AF18" s="2263" t="n"/>
      <c r="AG18" s="2263" t="n"/>
      <c r="AH18" s="2263" t="n"/>
      <c r="AI18" s="2263" t="n"/>
      <c r="AJ18" s="2263" t="n"/>
      <c r="AK18" s="2013" t="n"/>
      <c r="AL18" s="10746">
        <f>IF($AM$13,"and Part II of this form.","")</f>
        <v/>
      </c>
      <c r="AO18" s="658" t="n"/>
      <c r="AP18" s="658" t="n"/>
      <c r="AQ18" s="658" t="n"/>
      <c r="AR18" s="658" t="n"/>
      <c r="AS18" s="658" t="n"/>
      <c r="AT18" s="658" t="n"/>
      <c r="AU18" s="658" t="n"/>
      <c r="AV18" s="658" t="n"/>
      <c r="AW18" s="658" t="n"/>
      <c r="AX18" s="658" t="n"/>
    </row>
    <row r="19" ht="18.75" customFormat="1" customHeight="1" s="815">
      <c r="A19" s="2013" t="n"/>
      <c r="B19" s="7637" t="n"/>
      <c r="C19" s="7637" t="n"/>
      <c r="D19" s="7637" t="n"/>
      <c r="E19" s="7637" t="n"/>
      <c r="F19" s="7637" t="n"/>
      <c r="G19" s="7637" t="n"/>
      <c r="H19" s="7637" t="n"/>
      <c r="I19" s="7638" t="n"/>
      <c r="J19" s="12666" t="n"/>
      <c r="K19" s="11717" t="n"/>
      <c r="L19" s="11717" t="n"/>
      <c r="M19" s="11717" t="n"/>
      <c r="N19" s="11717" t="n"/>
      <c r="O19" s="11717" t="n"/>
      <c r="P19" s="11717" t="n"/>
      <c r="Q19" s="11717" t="n"/>
      <c r="R19" s="11717" t="n"/>
      <c r="S19" s="11718" t="n"/>
      <c r="T19" s="12666" t="n"/>
      <c r="U19" s="11717" t="n"/>
      <c r="V19" s="11717" t="n"/>
      <c r="W19" s="11717" t="n"/>
      <c r="X19" s="11717" t="n"/>
      <c r="Y19" s="11717" t="n"/>
      <c r="Z19" s="11717" t="n"/>
      <c r="AA19" s="11717" t="n"/>
      <c r="AB19" s="11718" t="n"/>
      <c r="AC19" s="10803" t="n"/>
      <c r="AD19" s="11717" t="n"/>
      <c r="AE19" s="11717" t="n"/>
      <c r="AF19" s="11717" t="n"/>
      <c r="AG19" s="11717" t="n"/>
      <c r="AH19" s="11717" t="n"/>
      <c r="AI19" s="11717" t="n"/>
      <c r="AJ19" s="11717" t="n"/>
      <c r="AK19" s="2013" t="n"/>
      <c r="AL19" s="10746">
        <f>IF($AM$13,"If you did not make","")</f>
        <v/>
      </c>
      <c r="AO19" s="658" t="n"/>
      <c r="AP19" s="658" t="n"/>
      <c r="AQ19" s="658" t="n"/>
      <c r="AR19" s="658" t="n"/>
      <c r="AS19" s="658" t="n"/>
      <c r="AT19" s="658" t="n"/>
      <c r="AU19" s="658" t="n"/>
      <c r="AV19" s="658" t="n"/>
      <c r="AW19" s="658" t="n"/>
      <c r="AX19" s="658" t="n"/>
    </row>
    <row r="20" ht="16.5" customFormat="1" customHeight="1" s="815">
      <c r="A20" s="2013" t="n"/>
      <c r="B20" s="1405" t="inlineStr">
        <is>
          <t>Note: Except where stated otherwise, “traditional IRA” includes traditional SEP IRAs and traditional SIMPLE IRAs. “Roth IRA” includes</t>
        </is>
      </c>
      <c r="C20" s="6996" t="n"/>
      <c r="D20" s="11602" t="n"/>
      <c r="E20" s="2311" t="n"/>
      <c r="F20" s="11602" t="n"/>
      <c r="G20" s="11602" t="n"/>
      <c r="H20" s="11602" t="n"/>
      <c r="I20" s="11602" t="n"/>
      <c r="J20" s="11602" t="n"/>
      <c r="K20" s="11602" t="n"/>
      <c r="L20" s="11602" t="n"/>
      <c r="M20" s="11602" t="n"/>
      <c r="N20" s="11602" t="n"/>
      <c r="O20" s="11602" t="n"/>
      <c r="P20" s="11602" t="n"/>
      <c r="Q20" s="11602" t="n"/>
      <c r="R20" s="11602" t="n"/>
      <c r="S20" s="11602" t="n"/>
      <c r="T20" s="11602" t="n"/>
      <c r="U20" s="11602" t="n"/>
      <c r="V20" s="11602" t="n"/>
      <c r="W20" s="11602" t="n"/>
      <c r="X20" s="11602" t="n"/>
      <c r="Y20" s="11602" t="n"/>
      <c r="Z20" s="11602" t="n"/>
      <c r="AA20" s="11602" t="n"/>
      <c r="AB20" s="11602" t="n"/>
      <c r="AC20" s="11602" t="n"/>
      <c r="AD20" s="11602" t="n"/>
      <c r="AE20" s="11602" t="n"/>
      <c r="AF20" s="11602" t="n"/>
      <c r="AG20" s="11602" t="n"/>
      <c r="AH20" s="11602" t="n"/>
      <c r="AI20" s="11602" t="n"/>
      <c r="AJ20" s="11602" t="n"/>
      <c r="AK20" s="2013" t="n"/>
      <c r="AL20" s="10746">
        <f>IF($AM$13,"nondeductible","")</f>
        <v/>
      </c>
      <c r="AO20" s="658" t="n"/>
      <c r="AP20" s="1114" t="n"/>
      <c r="AQ20" s="658" t="n"/>
      <c r="AR20" s="658" t="n"/>
      <c r="AS20" s="658" t="n"/>
      <c r="AT20" s="658" t="n"/>
      <c r="AU20" s="658" t="n"/>
      <c r="AV20" s="658" t="n"/>
      <c r="AW20" s="658" t="n"/>
      <c r="AX20" s="658" t="n"/>
    </row>
    <row r="21" ht="16.5" customFormat="1" customHeight="1" s="815">
      <c r="A21" s="2013" t="n"/>
      <c r="B21" s="2311" t="inlineStr">
        <is>
          <t>Roth SEP IRAs and Roth SIMPLE IRAs.</t>
        </is>
      </c>
      <c r="C21" s="6996" t="n"/>
      <c r="D21" s="11602" t="n"/>
      <c r="E21" s="2311" t="n"/>
      <c r="F21" s="11602" t="n"/>
      <c r="G21" s="11602" t="n"/>
      <c r="H21" s="11602" t="n"/>
      <c r="I21" s="11602" t="n"/>
      <c r="J21" s="11602" t="n"/>
      <c r="K21" s="11602" t="n"/>
      <c r="L21" s="11602" t="n"/>
      <c r="M21" s="11602" t="n"/>
      <c r="N21" s="11602" t="n"/>
      <c r="O21" s="11602" t="n"/>
      <c r="P21" s="11602" t="n"/>
      <c r="Q21" s="11602" t="n"/>
      <c r="R21" s="11602" t="n"/>
      <c r="S21" s="11602" t="n"/>
      <c r="T21" s="11602" t="n"/>
      <c r="U21" s="11602" t="n"/>
      <c r="V21" s="11602" t="n"/>
      <c r="W21" s="11602" t="n"/>
      <c r="X21" s="11602" t="n"/>
      <c r="Y21" s="11602" t="n"/>
      <c r="Z21" s="11602" t="n"/>
      <c r="AA21" s="11602" t="n"/>
      <c r="AB21" s="11602" t="n"/>
      <c r="AC21" s="11602" t="n"/>
      <c r="AD21" s="11602" t="n"/>
      <c r="AE21" s="11602" t="n"/>
      <c r="AF21" s="11602" t="n"/>
      <c r="AG21" s="11602" t="n"/>
      <c r="AH21" s="11602" t="n"/>
      <c r="AI21" s="11602" t="n"/>
      <c r="AJ21" s="11602" t="n"/>
      <c r="AK21" s="2013" t="n"/>
      <c r="AL21" s="10746">
        <f>IF($AM$13,"contributions to a","")</f>
        <v/>
      </c>
      <c r="AO21" s="658" t="n"/>
      <c r="AP21" s="1114" t="n"/>
      <c r="AQ21" s="658" t="n"/>
      <c r="AR21" s="658" t="n"/>
      <c r="AS21" s="658" t="n"/>
      <c r="AT21" s="658" t="n"/>
      <c r="AU21" s="658" t="n"/>
      <c r="AV21" s="658" t="n"/>
      <c r="AW21" s="658" t="n"/>
      <c r="AX21" s="658" t="n"/>
    </row>
    <row r="22" ht="19.5" customFormat="1" customHeight="1" s="815">
      <c r="A22" s="2013" t="n"/>
      <c r="B22" s="9775" t="inlineStr">
        <is>
          <t>Part I</t>
        </is>
      </c>
      <c r="C22" s="8412" t="n"/>
      <c r="D22" s="4472" t="n"/>
      <c r="E22" s="7371" t="inlineStr">
        <is>
          <t>Nondeductible Contributions to Traditional IRAs and Distributions From Traditional IRAs</t>
        </is>
      </c>
      <c r="F22" s="7839" t="n"/>
      <c r="G22" s="7839" t="n"/>
      <c r="H22" s="7839" t="n"/>
      <c r="I22" s="7839" t="n"/>
      <c r="J22" s="7839" t="n"/>
      <c r="K22" s="7839" t="n"/>
      <c r="L22" s="7839" t="n"/>
      <c r="M22" s="7839" t="n"/>
      <c r="N22" s="7839" t="n"/>
      <c r="O22" s="7839" t="n"/>
      <c r="P22" s="7839" t="n"/>
      <c r="Q22" s="7839" t="n"/>
      <c r="R22" s="7839" t="n"/>
      <c r="S22" s="7839" t="n"/>
      <c r="T22" s="7839" t="n"/>
      <c r="U22" s="7839" t="n"/>
      <c r="V22" s="7839" t="n"/>
      <c r="W22" s="7839" t="n"/>
      <c r="X22" s="7839" t="n"/>
      <c r="Y22" s="7839" t="n"/>
      <c r="Z22" s="7839" t="n"/>
      <c r="AA22" s="7839" t="n"/>
      <c r="AB22" s="7839" t="n"/>
      <c r="AC22" s="7839" t="n"/>
      <c r="AD22" s="7839" t="n"/>
      <c r="AE22" s="7839" t="n"/>
      <c r="AF22" s="7839" t="n"/>
      <c r="AG22" s="7839" t="n"/>
      <c r="AH22" s="7839" t="n"/>
      <c r="AI22" s="7839" t="n"/>
      <c r="AJ22" s="7839" t="n"/>
      <c r="AK22" s="2013" t="n"/>
      <c r="AL22" s="10746">
        <f>IF($AM$13,"an IRA, the complete","")</f>
        <v/>
      </c>
      <c r="AO22" s="658" t="n"/>
      <c r="AP22" s="1114" t="n"/>
      <c r="AQ22" s="658" t="n"/>
      <c r="AR22" s="658" t="n"/>
      <c r="AS22" s="658" t="n"/>
      <c r="AT22" s="658" t="n"/>
      <c r="AU22" s="658" t="n"/>
      <c r="AV22" s="658" t="n"/>
      <c r="AW22" s="658" t="n"/>
      <c r="AX22" s="658" t="n"/>
    </row>
    <row r="23" ht="16.5" customFormat="1" customHeight="1" s="815">
      <c r="A23" s="2013" t="n"/>
      <c r="B23" s="11602" t="n"/>
      <c r="C23" s="6996" t="n"/>
      <c r="D23" s="11602" t="n"/>
      <c r="E23" s="2311" t="inlineStr">
        <is>
          <t>Complete this part only if one or more of the following apply.</t>
        </is>
      </c>
      <c r="F23" s="11602" t="n"/>
      <c r="G23" s="11602" t="n"/>
      <c r="H23" s="11602" t="n"/>
      <c r="I23" s="11602" t="n"/>
      <c r="J23" s="11602" t="n"/>
      <c r="K23" s="11602" t="n"/>
      <c r="L23" s="11602" t="n"/>
      <c r="M23" s="11602" t="n"/>
      <c r="N23" s="11602" t="n"/>
      <c r="O23" s="11602" t="n"/>
      <c r="P23" s="11602" t="n"/>
      <c r="Q23" s="11602" t="n"/>
      <c r="R23" s="11602" t="n"/>
      <c r="S23" s="11602" t="n"/>
      <c r="T23" s="11602" t="n"/>
      <c r="U23" s="11602" t="n"/>
      <c r="V23" s="11602" t="n"/>
      <c r="W23" s="11602" t="n"/>
      <c r="X23" s="11602" t="n"/>
      <c r="Y23" s="11602" t="n"/>
      <c r="Z23" s="11602" t="n"/>
      <c r="AA23" s="11602" t="n"/>
      <c r="AB23" s="11602" t="n"/>
      <c r="AC23" s="11602" t="n"/>
      <c r="AD23" s="11602" t="n"/>
      <c r="AE23" s="11602" t="n"/>
      <c r="AF23" s="11602" t="n"/>
      <c r="AG23" s="11602" t="n"/>
      <c r="AH23" s="11602" t="n"/>
      <c r="AI23" s="11602" t="n"/>
      <c r="AJ23" s="11602" t="n"/>
      <c r="AK23" s="2013" t="n"/>
      <c r="AL23" s="10746">
        <f>IF($AM$13,"only Part II of this form.","")</f>
        <v/>
      </c>
      <c r="AO23" s="658" t="n"/>
      <c r="AP23" s="1114" t="n"/>
      <c r="AQ23" s="658" t="n"/>
      <c r="AR23" s="658" t="n"/>
      <c r="AS23" s="658" t="n"/>
      <c r="AT23" s="658" t="n"/>
      <c r="AU23" s="658" t="n"/>
      <c r="AV23" s="658" t="n"/>
      <c r="AW23" s="658" t="n"/>
      <c r="AX23" s="658" t="n"/>
    </row>
    <row r="24" ht="15" customFormat="1" customHeight="1" s="815">
      <c r="A24" s="2013" t="n"/>
      <c r="B24" s="11602" t="n"/>
      <c r="C24" s="7861" t="n"/>
      <c r="D24" s="8650" t="n"/>
      <c r="E24" s="873" t="inlineStr">
        <is>
          <t>●</t>
        </is>
      </c>
      <c r="F24" s="8650">
        <f>"You made nondeductible contributions to a traditional IRA for "&amp;TaxYear&amp;". Nondeductible contributions to a traditional IRA do"</f>
        <v/>
      </c>
      <c r="G24" s="11602" t="n"/>
      <c r="H24" s="11602" t="n"/>
      <c r="I24" s="11602" t="n"/>
      <c r="J24" s="11602" t="n"/>
      <c r="K24" s="11602" t="n"/>
      <c r="L24" s="11602" t="n"/>
      <c r="M24" s="11602" t="n"/>
      <c r="N24" s="11602" t="n"/>
      <c r="O24" s="11602" t="n"/>
      <c r="P24" s="11602" t="n"/>
      <c r="Q24" s="11602" t="n"/>
      <c r="R24" s="11602" t="n"/>
      <c r="S24" s="11602" t="n"/>
      <c r="T24" s="11602" t="n"/>
      <c r="U24" s="11602" t="n"/>
      <c r="V24" s="11602" t="n"/>
      <c r="W24" s="11602" t="n"/>
      <c r="X24" s="11602" t="n"/>
      <c r="Y24" s="11602" t="n"/>
      <c r="Z24" s="11602" t="n"/>
      <c r="AA24" s="11602" t="n"/>
      <c r="AB24" s="11602" t="n"/>
      <c r="AC24" s="11602" t="n"/>
      <c r="AD24" s="11602" t="n"/>
      <c r="AE24" s="11602" t="n"/>
      <c r="AF24" s="11602" t="n"/>
      <c r="AG24" s="11602" t="n"/>
      <c r="AH24" s="11602" t="n"/>
      <c r="AI24" s="11602" t="n"/>
      <c r="AJ24" s="11602" t="n"/>
      <c r="AK24" s="2013" t="n"/>
      <c r="AL24" s="11602" t="n"/>
      <c r="AM24" s="344" t="n"/>
      <c r="AN24" s="11602" t="n"/>
      <c r="AO24" s="658" t="n"/>
      <c r="AP24" s="1114" t="n"/>
      <c r="AQ24" s="658" t="n"/>
      <c r="AR24" s="658" t="n"/>
      <c r="AS24" s="658" t="n"/>
      <c r="AT24" s="658" t="n"/>
      <c r="AU24" s="658" t="n"/>
      <c r="AV24" s="658" t="n"/>
      <c r="AW24" s="658" t="n"/>
      <c r="AX24" s="658" t="n"/>
    </row>
    <row r="25" ht="15" customFormat="1" customHeight="1" s="815">
      <c r="A25" s="2013" t="n"/>
      <c r="B25" s="11602" t="n"/>
      <c r="C25" s="7861" t="n"/>
      <c r="D25" s="8650" t="n"/>
      <c r="E25" s="873" t="n"/>
      <c r="F25" s="8650" t="inlineStr">
        <is>
          <t>not include employer contributions made to a SEP IRA pursuant to a SEP arrangement or to a SIMPLE IRA pursuant to</t>
        </is>
      </c>
      <c r="G25" s="11602" t="n"/>
      <c r="H25" s="11602" t="n"/>
      <c r="I25" s="11602" t="n"/>
      <c r="J25" s="11602" t="n"/>
      <c r="K25" s="11602" t="n"/>
      <c r="L25" s="11602" t="n"/>
      <c r="M25" s="11602" t="n"/>
      <c r="N25" s="11602" t="n"/>
      <c r="O25" s="11602" t="n"/>
      <c r="P25" s="11602" t="n"/>
      <c r="Q25" s="11602" t="n"/>
      <c r="R25" s="11602" t="n"/>
      <c r="S25" s="11602" t="n"/>
      <c r="T25" s="11602" t="n"/>
      <c r="U25" s="11602" t="n"/>
      <c r="V25" s="11602" t="n"/>
      <c r="W25" s="11602" t="n"/>
      <c r="X25" s="11602" t="n"/>
      <c r="Y25" s="11602" t="n"/>
      <c r="Z25" s="11602" t="n"/>
      <c r="AA25" s="11602" t="n"/>
      <c r="AB25" s="11602" t="n"/>
      <c r="AC25" s="11602" t="n"/>
      <c r="AD25" s="11602" t="n"/>
      <c r="AE25" s="11602" t="n"/>
      <c r="AF25" s="11602" t="n"/>
      <c r="AG25" s="11602" t="n"/>
      <c r="AH25" s="11602" t="n"/>
      <c r="AI25" s="11602" t="n"/>
      <c r="AJ25" s="11602" t="n"/>
      <c r="AK25" s="2013" t="n"/>
      <c r="AL25" s="11602" t="n"/>
      <c r="AM25" s="344" t="n"/>
      <c r="AN25" s="11602" t="n"/>
      <c r="AO25" s="658" t="n"/>
      <c r="AP25" s="1114" t="n"/>
      <c r="AQ25" s="658" t="n"/>
      <c r="AR25" s="658" t="n"/>
      <c r="AS25" s="658" t="n"/>
      <c r="AT25" s="658" t="n"/>
      <c r="AU25" s="658" t="n"/>
      <c r="AV25" s="658" t="n"/>
      <c r="AW25" s="658" t="n"/>
      <c r="AX25" s="658" t="n"/>
    </row>
    <row r="26" ht="15" customFormat="1" customHeight="1" s="815">
      <c r="A26" s="2013" t="n"/>
      <c r="B26" s="11602" t="n"/>
      <c r="C26" s="7861" t="n"/>
      <c r="D26" s="8650" t="n"/>
      <c r="E26" s="873" t="n"/>
      <c r="F26" s="7779" t="inlineStr">
        <is>
          <t>a SIMPLE IRA plan.</t>
        </is>
      </c>
      <c r="G26" s="11602" t="n"/>
      <c r="H26" s="11602" t="n"/>
      <c r="I26" s="11602" t="n"/>
      <c r="J26" s="11602" t="n"/>
      <c r="K26" s="11602" t="n"/>
      <c r="L26" s="11602" t="n"/>
      <c r="M26" s="11602" t="n"/>
      <c r="N26" s="11602" t="n"/>
      <c r="O26" s="11602" t="n"/>
      <c r="P26" s="11602" t="n"/>
      <c r="Q26" s="11602" t="n"/>
      <c r="R26" s="11602" t="n"/>
      <c r="S26" s="11602" t="n"/>
      <c r="T26" s="11602" t="n"/>
      <c r="U26" s="11602" t="n"/>
      <c r="V26" s="11602" t="n"/>
      <c r="W26" s="11602" t="n"/>
      <c r="X26" s="11602" t="n"/>
      <c r="Y26" s="11602" t="n"/>
      <c r="Z26" s="11602" t="n"/>
      <c r="AA26" s="11602" t="n"/>
      <c r="AB26" s="11602" t="n"/>
      <c r="AC26" s="11602" t="n"/>
      <c r="AD26" s="11602" t="n"/>
      <c r="AE26" s="11602" t="n"/>
      <c r="AF26" s="11602" t="n"/>
      <c r="AG26" s="11602" t="n"/>
      <c r="AH26" s="11602" t="n"/>
      <c r="AI26" s="11602" t="n"/>
      <c r="AJ26" s="11602" t="n"/>
      <c r="AK26" s="2013" t="n"/>
      <c r="AL26" s="11602" t="n"/>
      <c r="AM26" s="344" t="n"/>
      <c r="AN26" s="11602" t="n"/>
      <c r="AO26" s="658" t="n"/>
      <c r="AP26" s="1114" t="n"/>
      <c r="AQ26" s="658" t="n"/>
      <c r="AR26" s="658" t="n"/>
      <c r="AS26" s="658" t="n"/>
      <c r="AT26" s="658" t="n"/>
      <c r="AU26" s="658" t="n"/>
      <c r="AV26" s="658" t="n"/>
      <c r="AW26" s="658" t="n"/>
      <c r="AX26" s="658" t="n"/>
    </row>
    <row r="27" ht="15" customFormat="1" customHeight="1" s="815">
      <c r="A27" s="2013" t="n"/>
      <c r="B27" s="11602" t="n"/>
      <c r="C27" s="7861" t="n"/>
      <c r="D27" s="8650" t="n"/>
      <c r="E27" s="873" t="inlineStr">
        <is>
          <t>●</t>
        </is>
      </c>
      <c r="F27" s="8650">
        <f>"You took distributions from a traditional IRA in "&amp;TaxYear</f>
        <v/>
      </c>
      <c r="G27" s="11602" t="n"/>
      <c r="H27" s="11602" t="n"/>
      <c r="I27" s="11602" t="n"/>
      <c r="J27" s="11602" t="n"/>
      <c r="K27" s="11602" t="n"/>
      <c r="L27" s="11602" t="n"/>
      <c r="M27" s="11602" t="n"/>
      <c r="N27" s="11602" t="n"/>
      <c r="O27" s="11602" t="n"/>
      <c r="P27" s="11602" t="n"/>
      <c r="Q27" s="11602" t="n"/>
      <c r="R27" s="7772" t="inlineStr">
        <is>
          <t>and you made nondeductible contributions to a traditional IRA in</t>
        </is>
      </c>
      <c r="S27" s="11602" t="n"/>
      <c r="T27" s="11602" t="n"/>
      <c r="U27" s="11602" t="n"/>
      <c r="V27" s="8650" t="n"/>
      <c r="W27" s="8650" t="n"/>
      <c r="X27" s="11602" t="n"/>
      <c r="Y27" s="11602" t="n"/>
      <c r="Z27" s="11602" t="n"/>
      <c r="AA27" s="11602" t="n"/>
      <c r="AB27" s="11602" t="n"/>
      <c r="AC27" s="11602" t="n"/>
      <c r="AD27" s="11602" t="n"/>
      <c r="AE27" s="11602" t="n"/>
      <c r="AF27" s="11602" t="n"/>
      <c r="AG27" s="11602" t="n"/>
      <c r="AH27" s="11602" t="n"/>
      <c r="AI27" s="11602" t="n"/>
      <c r="AJ27" s="11602" t="n"/>
      <c r="AK27" s="2013" t="n"/>
      <c r="AL27" s="11602" t="n"/>
      <c r="AM27" s="344" t="n"/>
      <c r="AN27" s="11602" t="n"/>
      <c r="AO27" s="658" t="n"/>
      <c r="AP27" s="1114" t="n"/>
      <c r="AQ27" s="658" t="n"/>
      <c r="AR27" s="658" t="n"/>
      <c r="AS27" s="658" t="n"/>
      <c r="AT27" s="658" t="n"/>
      <c r="AU27" s="658" t="n"/>
      <c r="AV27" s="658" t="n"/>
      <c r="AW27" s="658" t="n"/>
      <c r="AX27" s="658" t="n"/>
    </row>
    <row r="28" ht="15" customFormat="1" customHeight="1" s="815">
      <c r="A28" s="2013" t="n"/>
      <c r="B28" s="11602" t="n"/>
      <c r="C28" s="6996" t="n"/>
      <c r="D28" s="11602" t="n"/>
      <c r="E28" s="11602" t="n"/>
      <c r="F28" s="8650">
        <f>TaxYear&amp;" or an earlier year."</f>
        <v/>
      </c>
      <c r="G28" s="8650" t="n"/>
      <c r="H28" s="11602" t="n"/>
      <c r="I28" s="11602" t="n"/>
      <c r="J28" s="11602" t="n"/>
      <c r="K28" s="11602" t="n"/>
      <c r="L28" s="8650" t="inlineStr">
        <is>
          <t xml:space="preserve"> For this purpose, “distributions” does not include rollovers</t>
        </is>
      </c>
      <c r="M28" s="8650" t="n"/>
      <c r="N28" s="8650" t="n"/>
      <c r="O28" s="11602" t="n"/>
      <c r="P28" s="11602" t="n"/>
      <c r="Q28" s="11602" t="n"/>
      <c r="R28" s="11602" t="n"/>
      <c r="S28" s="11602" t="n"/>
      <c r="T28" s="11602" t="n"/>
      <c r="U28" s="11602" t="n"/>
      <c r="V28" s="11602" t="n"/>
      <c r="W28" s="11602" t="n"/>
      <c r="X28" s="11602" t="n"/>
      <c r="Y28" s="11602" t="n"/>
      <c r="Z28" s="8650">
        <f>"(but does include certain "&amp;TaxYear</f>
        <v/>
      </c>
      <c r="AA28" s="11602" t="n"/>
      <c r="AB28" s="11602" t="n"/>
      <c r="AC28" s="11602" t="n"/>
      <c r="AD28" s="11602" t="n"/>
      <c r="AE28" s="8650" t="n"/>
      <c r="AF28" s="11602" t="n"/>
      <c r="AG28" s="11602" t="n"/>
      <c r="AH28" s="11602" t="n"/>
      <c r="AI28" s="11602" t="n"/>
      <c r="AJ28" s="11602" t="n"/>
      <c r="AK28" s="2013" t="n"/>
      <c r="AL28" s="11602" t="n"/>
      <c r="AM28" s="344" t="n"/>
      <c r="AN28" s="11602" t="n"/>
      <c r="AO28" s="658" t="n"/>
      <c r="AP28" s="658" t="n"/>
      <c r="AQ28" s="658" t="n"/>
      <c r="AR28" s="658" t="n"/>
      <c r="AS28" s="658" t="n"/>
      <c r="AT28" s="658" t="n"/>
      <c r="AU28" s="658" t="n"/>
      <c r="AV28" s="658" t="n"/>
      <c r="AW28" s="658" t="n"/>
      <c r="AX28" s="658" t="n"/>
    </row>
    <row r="29" ht="14.25" customFormat="1" customHeight="1" s="815">
      <c r="A29" s="2013" t="n"/>
      <c r="B29" s="11602" t="n"/>
      <c r="C29" s="6996" t="n"/>
      <c r="D29" s="11602" t="n"/>
      <c r="E29" s="11602" t="n"/>
      <c r="F29" s="8650" t="inlineStr">
        <is>
          <t>retirement plan distribution repayments treated as rollovers (see instructions)). Also, it does not include qualified</t>
        </is>
      </c>
      <c r="G29" s="8650" t="n"/>
      <c r="H29" s="11602" t="n"/>
      <c r="I29" s="11602" t="n"/>
      <c r="J29" s="11602" t="n"/>
      <c r="K29" s="11602" t="n"/>
      <c r="L29" s="8650" t="n"/>
      <c r="M29" s="8650" t="n"/>
      <c r="N29" s="8650" t="n"/>
      <c r="O29" s="11602" t="n"/>
      <c r="P29" s="11602" t="n"/>
      <c r="Q29" s="11602" t="n"/>
      <c r="R29" s="11602" t="n"/>
      <c r="S29" s="11602" t="n"/>
      <c r="T29" s="11602" t="n"/>
      <c r="U29" s="11602" t="n"/>
      <c r="V29" s="11602" t="n"/>
      <c r="W29" s="11602" t="n"/>
      <c r="X29" s="11602" t="n"/>
      <c r="Y29" s="11602" t="n"/>
      <c r="Z29" s="11602" t="n"/>
      <c r="AA29" s="11602" t="n"/>
      <c r="AB29" s="11602" t="n"/>
      <c r="AC29" s="11602" t="n"/>
      <c r="AD29" s="11602" t="n"/>
      <c r="AE29" s="8650" t="n"/>
      <c r="AF29" s="11602" t="n"/>
      <c r="AG29" s="11602" t="n"/>
      <c r="AH29" s="11602" t="n"/>
      <c r="AI29" s="11602" t="n"/>
      <c r="AJ29" s="11602" t="n"/>
      <c r="AK29" s="2013" t="n"/>
      <c r="AL29" s="11602" t="n"/>
      <c r="AM29" s="344" t="n"/>
      <c r="AN29" s="11602" t="n"/>
      <c r="AO29" s="658" t="n"/>
      <c r="AP29" s="658" t="n"/>
      <c r="AQ29" s="658" t="n"/>
      <c r="AR29" s="658" t="n"/>
      <c r="AS29" s="658" t="n"/>
      <c r="AT29" s="658" t="n"/>
      <c r="AU29" s="658" t="n"/>
      <c r="AV29" s="658" t="n"/>
      <c r="AW29" s="658" t="n"/>
      <c r="AX29" s="658" t="n"/>
    </row>
    <row r="30" ht="14.25" customFormat="1" customHeight="1" s="815">
      <c r="A30" s="2013" t="n"/>
      <c r="B30" s="11602" t="n"/>
      <c r="C30" s="6996" t="n"/>
      <c r="D30" s="11602" t="n"/>
      <c r="E30" s="11602" t="n"/>
      <c r="F30" s="8650" t="inlineStr">
        <is>
          <t>charitable distributions, one-time distributions to fund an HSA, conversions, recharacterizations, or returns of certain</t>
        </is>
      </c>
      <c r="G30" s="8650" t="n"/>
      <c r="H30" s="11602" t="n"/>
      <c r="I30" s="11602" t="n"/>
      <c r="J30" s="11602" t="n"/>
      <c r="K30" s="11602" t="n"/>
      <c r="L30" s="11602" t="n"/>
      <c r="M30" s="11602" t="n"/>
      <c r="N30" s="11602" t="n"/>
      <c r="O30" s="11602" t="n"/>
      <c r="P30" s="11602" t="n"/>
      <c r="Q30" s="11602" t="n"/>
      <c r="R30" s="11602" t="n"/>
      <c r="S30" s="11602" t="n"/>
      <c r="T30" s="11602" t="n"/>
      <c r="U30" s="11602" t="n"/>
      <c r="V30" s="11602" t="n"/>
      <c r="W30" s="11602" t="n"/>
      <c r="X30" s="11602" t="n"/>
      <c r="Y30" s="11602" t="n"/>
      <c r="Z30" s="11602" t="n"/>
      <c r="AA30" s="8650" t="n"/>
      <c r="AB30" s="11602" t="n"/>
      <c r="AC30" s="11602" t="n"/>
      <c r="AD30" s="11602" t="n"/>
      <c r="AE30" s="11602" t="n"/>
      <c r="AF30" s="11602" t="n"/>
      <c r="AG30" s="11602" t="n"/>
      <c r="AH30" s="11602" t="n"/>
      <c r="AI30" s="11602" t="n"/>
      <c r="AJ30" s="11602" t="n"/>
      <c r="AK30" s="2013" t="n"/>
      <c r="AL30" s="11602" t="n"/>
      <c r="AM30" s="344" t="n"/>
      <c r="AN30" s="11602" t="n"/>
      <c r="AO30" s="658" t="n"/>
      <c r="AP30" s="658" t="n"/>
      <c r="AQ30" s="658" t="n"/>
      <c r="AR30" s="658" t="n"/>
      <c r="AS30" s="658" t="n"/>
      <c r="AT30" s="658" t="n"/>
      <c r="AU30" s="658" t="n"/>
      <c r="AV30" s="658" t="n"/>
      <c r="AW30" s="658" t="n"/>
      <c r="AX30" s="658" t="n"/>
    </row>
    <row r="31" ht="14.25" customFormat="1" customHeight="1" s="815">
      <c r="A31" s="2013" t="n"/>
      <c r="B31" s="11602" t="n"/>
      <c r="C31" s="6996" t="n"/>
      <c r="D31" s="11602" t="n"/>
      <c r="E31" s="11602" t="n"/>
      <c r="F31" s="8650" t="inlineStr">
        <is>
          <t>contributions.</t>
        </is>
      </c>
      <c r="G31" s="8650" t="n"/>
      <c r="H31" s="11602" t="n"/>
      <c r="I31" s="11602" t="n"/>
      <c r="J31" s="11602" t="n"/>
      <c r="K31" s="11602" t="n"/>
      <c r="L31" s="11602" t="n"/>
      <c r="M31" s="11602" t="n"/>
      <c r="N31" s="11602" t="n"/>
      <c r="O31" s="11602" t="n"/>
      <c r="P31" s="11602" t="n"/>
      <c r="Q31" s="11602" t="n"/>
      <c r="R31" s="11602" t="n"/>
      <c r="S31" s="11602" t="n"/>
      <c r="T31" s="11602" t="n"/>
      <c r="U31" s="11602" t="n"/>
      <c r="V31" s="11602" t="n"/>
      <c r="W31" s="11602" t="n"/>
      <c r="X31" s="11602" t="n"/>
      <c r="Y31" s="11602" t="n"/>
      <c r="Z31" s="11602" t="n"/>
      <c r="AA31" s="11602" t="n"/>
      <c r="AB31" s="11602" t="n"/>
      <c r="AC31" s="11602" t="n"/>
      <c r="AD31" s="11602" t="n"/>
      <c r="AE31" s="11602" t="n"/>
      <c r="AF31" s="11602" t="n"/>
      <c r="AG31" s="11602" t="n"/>
      <c r="AH31" s="11602" t="n"/>
      <c r="AI31" s="11602" t="n"/>
      <c r="AJ31" s="11602" t="n"/>
      <c r="AK31" s="2013" t="n"/>
      <c r="AL31" s="11602" t="n"/>
      <c r="AM31" s="344" t="n"/>
      <c r="AN31" s="11602" t="n"/>
      <c r="AO31" s="658" t="n"/>
      <c r="AP31" s="658" t="n"/>
      <c r="AQ31" s="658" t="n"/>
      <c r="AR31" s="658" t="n"/>
      <c r="AS31" s="658" t="n"/>
      <c r="AT31" s="658" t="n"/>
      <c r="AU31" s="658" t="n"/>
      <c r="AV31" s="658" t="n"/>
      <c r="AW31" s="658" t="n"/>
      <c r="AX31" s="658" t="n"/>
    </row>
    <row r="32" ht="16.5" customFormat="1" customHeight="1" s="815">
      <c r="A32" s="2013" t="n"/>
      <c r="B32" s="11602" t="n"/>
      <c r="C32" s="6996" t="n"/>
      <c r="D32" s="11602" t="n"/>
      <c r="E32" s="873" t="inlineStr">
        <is>
          <t>●</t>
        </is>
      </c>
      <c r="F32" s="8650">
        <f>"You converted part, but not all, of your traditional IRAs to Roth IRAs in "&amp;TaxYear</f>
        <v/>
      </c>
      <c r="G32" s="8650" t="n"/>
      <c r="H32" s="11602" t="n"/>
      <c r="I32" s="11602" t="n"/>
      <c r="J32" s="11602" t="n"/>
      <c r="K32" s="11602" t="n"/>
      <c r="L32" s="11602" t="n"/>
      <c r="M32" s="11602" t="n"/>
      <c r="N32" s="11602" t="n"/>
      <c r="O32" s="11602" t="n"/>
      <c r="P32" s="11602" t="n"/>
      <c r="Q32" s="11602" t="n"/>
      <c r="R32" s="11602" t="n"/>
      <c r="S32" s="11602" t="n"/>
      <c r="T32" s="11602" t="n"/>
      <c r="U32" s="11602" t="n"/>
      <c r="V32" s="11602" t="n"/>
      <c r="W32" s="11602" t="n"/>
      <c r="X32" s="8650" t="inlineStr">
        <is>
          <t>and  you made nondeductible contributions</t>
        </is>
      </c>
      <c r="Y32" s="11602" t="n"/>
      <c r="Z32" s="11602" t="n"/>
      <c r="AA32" s="11602" t="n"/>
      <c r="AB32" s="8650" t="n"/>
      <c r="AC32" s="8650" t="n"/>
      <c r="AD32" s="11602" t="n"/>
      <c r="AE32" s="11602" t="n"/>
      <c r="AF32" s="11602" t="n"/>
      <c r="AG32" s="11602" t="n"/>
      <c r="AH32" s="11602" t="n"/>
      <c r="AI32" s="11602" t="n"/>
      <c r="AJ32" s="11602" t="n"/>
      <c r="AK32" s="2013" t="n"/>
      <c r="AL32" s="11602" t="n"/>
      <c r="AM32" s="344" t="n"/>
      <c r="AN32" s="11602" t="n"/>
      <c r="AO32" s="658" t="n"/>
      <c r="AP32" s="658" t="n"/>
      <c r="AQ32" s="658" t="n"/>
      <c r="AR32" s="658" t="n"/>
      <c r="AS32" s="658" t="n"/>
      <c r="AT32" s="658" t="n"/>
      <c r="AU32" s="658" t="n"/>
      <c r="AV32" s="658" t="n"/>
      <c r="AW32" s="658" t="n"/>
      <c r="AX32" s="658" t="n"/>
    </row>
    <row r="33" ht="14.25" customFormat="1" customHeight="1" s="815">
      <c r="A33" s="2013" t="n"/>
      <c r="B33" s="413" t="n"/>
      <c r="C33" s="7601" t="n"/>
      <c r="D33" s="413" t="n"/>
      <c r="E33" s="413" t="n"/>
      <c r="F33" s="1996">
        <f>"to a traditional IRA in "&amp;TaxYear&amp;" or an earlier year."</f>
        <v/>
      </c>
      <c r="G33" s="1996" t="n"/>
      <c r="H33" s="413" t="n"/>
      <c r="I33" s="413" t="n"/>
      <c r="J33" s="413" t="n"/>
      <c r="K33" s="413" t="n"/>
      <c r="L33" s="413" t="n"/>
      <c r="M33" s="413" t="n"/>
      <c r="N33" s="413" t="n"/>
      <c r="O33" s="413" t="n"/>
      <c r="P33" s="413" t="n"/>
      <c r="Q33" s="413" t="n"/>
      <c r="R33" s="413" t="n"/>
      <c r="S33" s="413" t="n"/>
      <c r="T33" s="413" t="n"/>
      <c r="U33" s="413" t="n"/>
      <c r="V33" s="413" t="n"/>
      <c r="W33" s="413" t="n"/>
      <c r="X33" s="413" t="n"/>
      <c r="Y33" s="413" t="n"/>
      <c r="Z33" s="413" t="n"/>
      <c r="AA33" s="413" t="n"/>
      <c r="AB33" s="413" t="n"/>
      <c r="AC33" s="413" t="n"/>
      <c r="AD33" s="413" t="n"/>
      <c r="AE33" s="413" t="n"/>
      <c r="AF33" s="413" t="n"/>
      <c r="AG33" s="413" t="n"/>
      <c r="AH33" s="413" t="n"/>
      <c r="AI33" s="413" t="n"/>
      <c r="AJ33" s="413" t="n"/>
      <c r="AK33" s="2013" t="n"/>
      <c r="AL33" s="11602" t="n"/>
      <c r="AM33" s="344" t="n"/>
      <c r="AN33" s="11602" t="n"/>
      <c r="AO33" s="658" t="n"/>
      <c r="AP33" s="658" t="n"/>
      <c r="AQ33" s="658" t="n"/>
      <c r="AR33" s="658" t="n"/>
      <c r="AS33" s="658" t="n"/>
      <c r="AT33" s="658" t="n"/>
      <c r="AU33" s="658" t="n"/>
      <c r="AV33" s="658" t="n"/>
      <c r="AW33" s="658" t="n"/>
      <c r="AX33" s="658" t="n"/>
    </row>
    <row r="34" ht="15.75" customFormat="1" customHeight="1" s="815">
      <c r="A34" s="2013" t="n"/>
      <c r="B34" s="11602" t="n"/>
      <c r="C34" s="2917" t="inlineStr">
        <is>
          <t>1</t>
        </is>
      </c>
      <c r="D34" s="8650">
        <f>"Enter your nondeductible contributions to traditional IRAs for "&amp;TaxYear&amp;", including those made for "&amp;TaxYear</f>
        <v/>
      </c>
      <c r="E34" s="11602" t="n"/>
      <c r="F34" s="8650" t="n"/>
      <c r="G34" s="8650" t="n"/>
      <c r="H34" s="11602" t="n"/>
      <c r="I34" s="11602" t="n"/>
      <c r="J34" s="11602" t="n"/>
      <c r="K34" s="11602" t="n"/>
      <c r="L34" s="11602" t="n"/>
      <c r="M34" s="11602" t="n"/>
      <c r="N34" s="11602" t="n"/>
      <c r="O34" s="11602" t="n"/>
      <c r="P34" s="11602" t="n"/>
      <c r="Q34" s="11602" t="n"/>
      <c r="R34" s="11602" t="n"/>
      <c r="S34" s="11602" t="n"/>
      <c r="T34" s="11602" t="n"/>
      <c r="U34" s="11602" t="n"/>
      <c r="V34" s="11602" t="n"/>
      <c r="W34" s="11602" t="n"/>
      <c r="X34" s="11602" t="n"/>
      <c r="Y34" s="11602" t="n"/>
      <c r="Z34" s="11602" t="n"/>
      <c r="AA34" s="11602" t="n"/>
      <c r="AB34" s="11602" t="n"/>
      <c r="AC34" s="11602" t="n"/>
      <c r="AD34" s="726" t="n"/>
      <c r="AE34" s="10844" t="n"/>
      <c r="AF34" s="7839" t="n"/>
      <c r="AG34" s="7839" t="n"/>
      <c r="AH34" s="7839" t="n"/>
      <c r="AI34" s="7839" t="n"/>
      <c r="AJ34" s="7839" t="n"/>
      <c r="AK34" s="2013" t="n"/>
      <c r="AL34" s="11602" t="n"/>
      <c r="AM34" s="344" t="n"/>
      <c r="AN34" s="11602" t="n"/>
      <c r="AO34" s="658" t="n"/>
      <c r="AP34" s="658" t="n"/>
      <c r="AQ34" s="658" t="n"/>
      <c r="AR34" s="658" t="n"/>
      <c r="AS34" s="658" t="n"/>
      <c r="AT34" s="658" t="n"/>
      <c r="AU34" s="658" t="n"/>
      <c r="AV34" s="658" t="n"/>
      <c r="AW34" s="658" t="n"/>
      <c r="AX34" s="658" t="n"/>
    </row>
    <row r="35" ht="15" customFormat="1" customHeight="1" s="815">
      <c r="A35" s="2013" t="n"/>
      <c r="B35" s="11602" t="n"/>
      <c r="C35" s="11216" t="n"/>
      <c r="D35" s="8650">
        <f>"from January 1, "&amp;TaxYear+1&amp;", through "&amp;TEXT(TaxDay,"mmmm dd")&amp;", "&amp;TaxYear+1&amp;". See instructions"</f>
        <v/>
      </c>
      <c r="E35" s="11602" t="n"/>
      <c r="F35" s="11602" t="n"/>
      <c r="G35" s="11602" t="n"/>
      <c r="H35" s="11602" t="n"/>
      <c r="I35" s="11602" t="n"/>
      <c r="J35" s="11602" t="n"/>
      <c r="K35" s="11602" t="n"/>
      <c r="L35" s="11602" t="n"/>
      <c r="M35" s="11602" t="n"/>
      <c r="N35" s="11602" t="n"/>
      <c r="O35" s="11602" t="n"/>
      <c r="P35" s="11602" t="n"/>
      <c r="Q35" s="11602" t="n"/>
      <c r="R35" s="11602" t="n"/>
      <c r="S35" s="11602" t="n"/>
      <c r="T35" s="11602" t="n"/>
      <c r="U35" s="11602" t="n"/>
      <c r="V35" s="11602" t="n"/>
      <c r="W35" s="11602" t="n"/>
      <c r="X35" s="11602" t="n"/>
      <c r="Y35" s="11602" t="n"/>
      <c r="Z35" s="11602" t="n"/>
      <c r="AA35" s="11602" t="n"/>
      <c r="AB35" s="11602" t="n"/>
      <c r="AC35" s="1657" t="inlineStr">
        <is>
          <t xml:space="preserve">.   .   .   .   .   .   .   .   .   .   .   .   .   .   .   .   .   . </t>
        </is>
      </c>
      <c r="AD35" s="2895" t="n">
        <v>1</v>
      </c>
      <c r="AE35" s="10799" t="n"/>
      <c r="AF35" s="11717" t="n"/>
      <c r="AG35" s="11717" t="n"/>
      <c r="AH35" s="11717" t="n"/>
      <c r="AI35" s="11717" t="n"/>
      <c r="AJ35" s="11717" t="n"/>
      <c r="AK35" s="2013" t="n"/>
      <c r="AL35" s="11602" t="n"/>
      <c r="AM35" s="512">
        <f>AND(AE35="",AE36="")</f>
        <v/>
      </c>
      <c r="AN35" s="11602" t="n"/>
      <c r="AO35" s="6942" t="inlineStr">
        <is>
          <t>Total Basis Chart -- Line 2.  See Form 8606 instructions.</t>
        </is>
      </c>
      <c r="AP35" s="946" t="n"/>
      <c r="AQ35" s="946" t="n"/>
      <c r="AR35" s="946" t="n"/>
      <c r="AS35" s="946" t="n"/>
      <c r="AT35" s="946" t="n"/>
      <c r="AU35" s="946" t="n"/>
      <c r="AV35" s="658" t="n"/>
      <c r="AW35" s="658" t="n"/>
      <c r="AX35" s="658" t="n"/>
    </row>
    <row r="36" ht="15.75" customFormat="1" customHeight="1" s="815" thickBot="1">
      <c r="A36" s="2013" t="n"/>
      <c r="B36" s="11602" t="n"/>
      <c r="C36" s="2917" t="inlineStr">
        <is>
          <t>2</t>
        </is>
      </c>
      <c r="D36" s="8650" t="inlineStr">
        <is>
          <t>Enter your total basis in traditional IRAs. See instructions</t>
        </is>
      </c>
      <c r="E36" s="11602" t="n"/>
      <c r="F36" s="11602" t="n"/>
      <c r="G36" s="11602" t="n"/>
      <c r="H36" s="11602" t="n"/>
      <c r="I36" s="11602" t="n"/>
      <c r="J36" s="11602" t="n"/>
      <c r="K36" s="11602" t="n"/>
      <c r="L36" s="11602" t="n"/>
      <c r="M36" s="11602" t="n"/>
      <c r="N36" s="11602" t="n"/>
      <c r="O36" s="11602" t="n"/>
      <c r="P36" s="11602" t="n"/>
      <c r="Q36" s="11602" t="n"/>
      <c r="R36" s="11602" t="n"/>
      <c r="S36" s="11602" t="n"/>
      <c r="T36" s="11602" t="n"/>
      <c r="U36" s="11602" t="n"/>
      <c r="V36" s="11602" t="n"/>
      <c r="W36" s="11602" t="n"/>
      <c r="X36" s="11602" t="n"/>
      <c r="Y36" s="11602" t="n"/>
      <c r="Z36" s="11602" t="n"/>
      <c r="AA36" s="11602" t="n"/>
      <c r="AB36" s="11602" t="n"/>
      <c r="AC36" s="1657" t="inlineStr">
        <is>
          <t xml:space="preserve">.   .   .   .   .   .   .   .   .   .   .   .   .   .   .   .   .   .   .   . </t>
        </is>
      </c>
      <c r="AD36" s="2895" t="n">
        <v>2</v>
      </c>
      <c r="AE36" s="10799" t="n"/>
      <c r="AF36" s="11717" t="n"/>
      <c r="AG36" s="11717" t="n"/>
      <c r="AH36" s="11717" t="n"/>
      <c r="AI36" s="11717" t="n"/>
      <c r="AJ36" s="11717" t="n"/>
      <c r="AK36" s="2013" t="n"/>
      <c r="AL36" s="7914" t="n"/>
      <c r="AM36" s="9239">
        <f>NOT(AM35)</f>
        <v/>
      </c>
      <c r="AN36" s="11602" t="n"/>
      <c r="AO36" s="1138" t="inlineStr">
        <is>
          <t>IF the last Form 8606 you filed was for …</t>
        </is>
      </c>
      <c r="AP36" s="946" t="n"/>
      <c r="AQ36" s="946" t="n"/>
      <c r="AR36" s="1138" t="inlineStr">
        <is>
          <t xml:space="preserve">THEN enter on line </t>
        </is>
      </c>
      <c r="AS36" s="946" t="n"/>
      <c r="AT36" s="946" t="n"/>
      <c r="AU36" s="946" t="n"/>
      <c r="AV36" s="658" t="n"/>
      <c r="AW36" s="658" t="n"/>
      <c r="AX36" s="658" t="n"/>
    </row>
    <row r="37" ht="15" customFormat="1" customHeight="1" s="815" thickBot="1">
      <c r="A37" s="2013" t="n"/>
      <c r="B37" s="11602" t="n"/>
      <c r="C37" s="2917" t="inlineStr">
        <is>
          <t>3</t>
        </is>
      </c>
      <c r="D37" s="8650" t="inlineStr">
        <is>
          <t>Add lines 1 and 2</t>
        </is>
      </c>
      <c r="E37" s="11602" t="n"/>
      <c r="F37" s="11602" t="n"/>
      <c r="G37" s="11602" t="n"/>
      <c r="H37" s="11602" t="n"/>
      <c r="I37" s="11602" t="n"/>
      <c r="J37" s="11602" t="n"/>
      <c r="K37" s="11602" t="n"/>
      <c r="L37" s="11602" t="n"/>
      <c r="M37" s="11602" t="n"/>
      <c r="N37" s="11602" t="n"/>
      <c r="O37" s="11602" t="n"/>
      <c r="P37" s="11602" t="n"/>
      <c r="Q37" s="11602" t="n"/>
      <c r="R37" s="11602" t="n"/>
      <c r="S37" s="11602" t="n"/>
      <c r="T37" s="11602" t="n"/>
      <c r="U37" s="11602" t="n"/>
      <c r="V37" s="11602" t="n"/>
      <c r="W37" s="11602" t="n"/>
      <c r="X37" s="11602" t="n"/>
      <c r="Y37" s="11602" t="n"/>
      <c r="Z37" s="11602" t="n"/>
      <c r="AA37" s="11602" t="n"/>
      <c r="AB37" s="11602" t="n"/>
      <c r="AC37" s="1657" t="inlineStr">
        <is>
          <t xml:space="preserve">.   .   .   .   .   .   .   .   .   .   .   .   .   .   .   .   .   .   .   .   .   .   .   .   .   .   .   .   .   .   .   .   .   .   . </t>
        </is>
      </c>
      <c r="AD37" s="2895" t="n">
        <v>3</v>
      </c>
      <c r="AE37" s="10805">
        <f>IF(AM35,"",SUM(AE35:AE36))</f>
        <v/>
      </c>
      <c r="AF37" s="7637" t="n"/>
      <c r="AG37" s="7637" t="n"/>
      <c r="AH37" s="7637" t="n"/>
      <c r="AI37" s="7637" t="n"/>
      <c r="AJ37" s="7637" t="n"/>
      <c r="AK37" s="2013" t="n"/>
      <c r="AL37" s="1147" t="n"/>
      <c r="AM37" s="3789">
        <f>IF(OR(AL37&lt;&gt;"",AND(AL41="",NOT(AM39))),"Override 'No.'","")</f>
        <v/>
      </c>
      <c r="AN37" s="11602" t="n"/>
      <c r="AO37" s="1138" t="inlineStr">
        <is>
          <t>After year</t>
        </is>
      </c>
      <c r="AP37" s="1138" t="inlineStr">
        <is>
          <t>and before year</t>
        </is>
      </c>
      <c r="AQ37" s="946" t="n"/>
      <c r="AR37" s="946" t="n"/>
      <c r="AS37" s="946" t="n"/>
      <c r="AT37" s="946" t="n"/>
      <c r="AU37" s="946" t="n"/>
      <c r="AV37" s="658" t="n"/>
      <c r="AW37" s="658" t="n"/>
      <c r="AX37" s="658" t="n"/>
    </row>
    <row r="38" ht="17.25" customFormat="1" customHeight="1" s="815" thickBot="1">
      <c r="A38" s="2013" t="n"/>
      <c r="B38" s="11602" t="n"/>
      <c r="C38" s="2917" t="n"/>
      <c r="D38" s="12667">
        <f>"In "&amp;TaxYear&amp;", did you take a distribution from a traditional IRA, or make a Roth IRA conversion?"</f>
        <v/>
      </c>
      <c r="E38" s="2506" t="n"/>
      <c r="F38" s="2506" t="n"/>
      <c r="G38" s="2506" t="n"/>
      <c r="H38" s="2506" t="n"/>
      <c r="I38" s="2506" t="n"/>
      <c r="J38" s="2506" t="n"/>
      <c r="K38" s="2506" t="n"/>
      <c r="L38" s="2506" t="n"/>
      <c r="M38" s="2614" t="n"/>
      <c r="N38" s="347" t="n"/>
      <c r="O38" s="380" t="n"/>
      <c r="P38" s="9398" t="inlineStr">
        <is>
          <t>No</t>
        </is>
      </c>
      <c r="R38" s="380" t="n"/>
      <c r="S38" s="380" t="n"/>
      <c r="T38" s="8650" t="inlineStr">
        <is>
          <t xml:space="preserve">  Enter the amount from line 3 on line 14.</t>
        </is>
      </c>
      <c r="U38" s="11602" t="n"/>
      <c r="V38" s="11602" t="n"/>
      <c r="W38" s="11602" t="n"/>
      <c r="X38" s="11602" t="n"/>
      <c r="Y38" s="11602" t="n"/>
      <c r="Z38" s="11602" t="n"/>
      <c r="AA38" s="11602" t="n"/>
      <c r="AB38" s="11602" t="n"/>
      <c r="AC38" s="409" t="n"/>
      <c r="AD38" s="2924" t="n"/>
      <c r="AE38" s="512" t="n"/>
      <c r="AF38" s="512" t="n"/>
      <c r="AG38" s="512" t="n"/>
      <c r="AH38" s="512" t="n"/>
      <c r="AI38" s="512" t="n"/>
      <c r="AJ38" s="512" t="n"/>
      <c r="AK38" s="2013" t="n"/>
      <c r="AL38" s="1987">
        <f>IF(AL41&lt;&gt;"","",IF(AL37&lt;&gt;"","X",IF(OR(AND(AL11&lt;&gt;"",OR('1099-R'!$M$4&gt;0,IRA_CONV_YOU&gt;0)),AND(AL12&lt;&gt;"",OR('1099-R'!$M$31&gt;0,IRA_CONV_SPOUSE&gt;0))),"","X")))</f>
        <v/>
      </c>
      <c r="AM38" s="3789" t="inlineStr">
        <is>
          <t>No.</t>
        </is>
      </c>
      <c r="AN38" s="11602" t="n"/>
      <c r="AO38" s="6943" t="n">
        <v>2023</v>
      </c>
      <c r="AP38" s="6944" t="n">
        <v>2025</v>
      </c>
      <c r="AQ38" s="6945" t="n"/>
      <c r="AR38" s="12668" t="inlineStr">
        <is>
          <t>the amount from line 14 of that Form 8606 as adjusted to include the amount from line 6 of the 
Line 15c Worksheet, if any, you completed the last time you filed a Form 8606 with Part I completed. 
See Line 14, earlier.</t>
        </is>
      </c>
      <c r="AS38" s="11745" t="n"/>
      <c r="AT38" s="11745" t="n"/>
      <c r="AU38" s="11948" t="n"/>
      <c r="AV38" s="658" t="n"/>
      <c r="AW38" s="658" t="n"/>
      <c r="AX38" s="658" t="n"/>
    </row>
    <row r="39" ht="12" customFormat="1" customHeight="1" s="815" thickBot="1">
      <c r="A39" s="2013" t="n"/>
      <c r="B39" s="11602" t="n"/>
      <c r="C39" s="11216" t="n"/>
      <c r="D39" s="11741" t="n"/>
      <c r="M39" s="1066" t="n"/>
      <c r="N39" s="11602" t="n"/>
      <c r="O39" s="11602" t="n"/>
      <c r="R39" s="11602" t="n"/>
      <c r="S39" s="11602" t="n"/>
      <c r="T39" s="1672" t="inlineStr">
        <is>
          <t xml:space="preserve">  Do not complete the rest of Part I.</t>
        </is>
      </c>
      <c r="U39" s="11602" t="n"/>
      <c r="V39" s="11602" t="n"/>
      <c r="W39" s="1401" t="n"/>
      <c r="X39" s="11602" t="n"/>
      <c r="Y39" s="11602" t="n"/>
      <c r="Z39" s="11602" t="n"/>
      <c r="AA39" s="11602" t="n"/>
      <c r="AB39" s="11602" t="n"/>
      <c r="AC39" s="11602" t="n"/>
      <c r="AD39" s="2924" t="n"/>
      <c r="AE39" s="512" t="n"/>
      <c r="AF39" s="512" t="n"/>
      <c r="AG39" s="512" t="n"/>
      <c r="AH39" s="512" t="n"/>
      <c r="AI39" s="512" t="n"/>
      <c r="AJ39" s="512" t="n"/>
      <c r="AK39" s="2013" t="n"/>
      <c r="AL39" s="7914" t="n"/>
      <c r="AM39" s="9239">
        <f>(AL38&lt;&gt;"")</f>
        <v/>
      </c>
      <c r="AN39" s="11602" t="n"/>
      <c r="AO39" s="6946" t="n"/>
      <c r="AP39" s="6947" t="n"/>
      <c r="AQ39" s="6948" t="n"/>
      <c r="AR39" s="11956" t="n"/>
      <c r="AS39" s="194" t="n"/>
      <c r="AT39" s="194" t="n"/>
      <c r="AU39" s="11726" t="n"/>
      <c r="AV39" s="658" t="n"/>
      <c r="AW39" s="658" t="n"/>
      <c r="AX39" s="658" t="n"/>
    </row>
    <row r="40" ht="11.25" customFormat="1" customHeight="1" s="815" thickBot="1">
      <c r="A40" s="2013" t="n"/>
      <c r="B40" s="11602" t="n"/>
      <c r="C40" s="11216" t="n"/>
      <c r="D40" s="11741" t="n"/>
      <c r="M40" s="1066" t="n"/>
      <c r="N40" s="11602" t="n"/>
      <c r="O40" s="11602" t="n"/>
      <c r="P40" s="7788" t="inlineStr">
        <is>
          <t>Yes</t>
        </is>
      </c>
      <c r="R40" s="11602" t="n"/>
      <c r="S40" s="11602" t="n"/>
      <c r="T40" s="10847" t="inlineStr">
        <is>
          <t>Go to line 4.</t>
        </is>
      </c>
      <c r="AC40" s="7636" t="n"/>
      <c r="AD40" s="2924" t="n"/>
      <c r="AE40" s="512" t="n"/>
      <c r="AF40" s="512" t="n"/>
      <c r="AG40" s="512" t="n"/>
      <c r="AH40" s="512" t="n"/>
      <c r="AI40" s="512" t="n"/>
      <c r="AJ40" s="512" t="n"/>
      <c r="AK40" s="2013" t="n"/>
      <c r="AL40" s="1987">
        <f>IF(AL41&lt;&gt;"","X",IF(AM39,"","X"))</f>
        <v/>
      </c>
      <c r="AM40" s="3789" t="inlineStr">
        <is>
          <t>Yes.</t>
        </is>
      </c>
      <c r="AN40" s="11602" t="n"/>
      <c r="AO40" s="6946" t="n"/>
      <c r="AP40" s="6947" t="n"/>
      <c r="AQ40" s="6948" t="n"/>
      <c r="AR40" s="11956" t="n"/>
      <c r="AS40" s="194" t="n"/>
      <c r="AT40" s="194" t="n"/>
      <c r="AU40" s="11726" t="n"/>
      <c r="AV40" s="658" t="n"/>
      <c r="AW40" s="658" t="n"/>
      <c r="AX40" s="658" t="n"/>
    </row>
    <row r="41" ht="10.5" customFormat="1" customHeight="1" s="815" thickBot="1">
      <c r="A41" s="2013" t="n"/>
      <c r="B41" s="11602" t="n"/>
      <c r="C41" s="11216" t="n"/>
      <c r="D41" s="11743" t="n"/>
      <c r="E41" s="8848" t="n"/>
      <c r="F41" s="8848" t="n"/>
      <c r="G41" s="8848" t="n"/>
      <c r="H41" s="8848" t="n"/>
      <c r="I41" s="8848" t="n"/>
      <c r="J41" s="8848" t="n"/>
      <c r="K41" s="8848" t="n"/>
      <c r="L41" s="8848" t="n"/>
      <c r="M41" s="2627" t="n"/>
      <c r="N41" s="338" t="n"/>
      <c r="O41" s="377" t="n"/>
      <c r="R41" s="377" t="n"/>
      <c r="S41" s="377" t="n"/>
      <c r="AC41" s="7636" t="n"/>
      <c r="AD41" s="2924" t="n"/>
      <c r="AE41" s="512" t="n"/>
      <c r="AF41" s="512" t="n"/>
      <c r="AG41" s="512" t="n"/>
      <c r="AH41" s="512" t="n"/>
      <c r="AI41" s="512" t="n"/>
      <c r="AJ41" s="512" t="n"/>
      <c r="AK41" s="2013" t="n"/>
      <c r="AL41" s="1147" t="n"/>
      <c r="AM41" s="3789">
        <f>IF(AND(AL37="",OR(AL41&lt;&gt;"",AM39)),"Override 'Yes.'","")</f>
        <v/>
      </c>
      <c r="AN41" s="11602" t="n"/>
      <c r="AO41" s="6949" t="n"/>
      <c r="AP41" s="6950" t="n"/>
      <c r="AQ41" s="6951" t="n"/>
      <c r="AR41" s="11728" t="n"/>
      <c r="AS41" s="11717" t="n"/>
      <c r="AT41" s="11717" t="n"/>
      <c r="AU41" s="11718" t="n"/>
      <c r="AV41" s="658" t="n"/>
      <c r="AW41" s="658" t="n"/>
      <c r="AX41" s="658" t="n"/>
    </row>
    <row r="42" ht="15" customFormat="1" customHeight="1" s="815">
      <c r="A42" s="2013" t="n"/>
      <c r="B42" s="11602" t="n"/>
      <c r="C42" s="2917" t="inlineStr">
        <is>
          <t>4</t>
        </is>
      </c>
      <c r="D42" s="7772">
        <f>"Enter those contributions included on line 1 that were made from January 1, "&amp;TaxYear+1&amp;", through "&amp;TEXT(TaxDay,"mmmm dd")&amp;", "&amp;TaxYear+1</f>
        <v/>
      </c>
      <c r="E42" s="8650" t="n"/>
      <c r="F42" s="11602" t="n"/>
      <c r="G42" s="11602" t="n"/>
      <c r="H42" s="11602" t="n"/>
      <c r="I42" s="11602" t="n"/>
      <c r="J42" s="11602" t="n"/>
      <c r="K42" s="11602" t="n"/>
      <c r="L42" s="11602" t="n"/>
      <c r="M42" s="11602" t="n"/>
      <c r="N42" s="11602" t="n"/>
      <c r="O42" s="11602" t="n"/>
      <c r="P42" s="11602" t="n"/>
      <c r="Q42" s="11602" t="n"/>
      <c r="R42" s="11602" t="n"/>
      <c r="S42" s="11602" t="n"/>
      <c r="T42" s="11602" t="n"/>
      <c r="U42" s="11602" t="n"/>
      <c r="V42" s="11602" t="n"/>
      <c r="W42" s="1401" t="n"/>
      <c r="X42" s="11602" t="n"/>
      <c r="Y42" s="11602" t="n"/>
      <c r="Z42" s="11602" t="n"/>
      <c r="AA42" s="11602" t="n"/>
      <c r="AB42" s="11602" t="n"/>
      <c r="AC42" s="11602" t="n"/>
      <c r="AD42" s="2895" t="n">
        <v>4</v>
      </c>
      <c r="AE42" s="10799" t="n"/>
      <c r="AF42" s="11717" t="n"/>
      <c r="AG42" s="11717" t="n"/>
      <c r="AH42" s="11717" t="n"/>
      <c r="AI42" s="11717" t="n"/>
      <c r="AJ42" s="11717" t="n"/>
      <c r="AK42" s="2013" t="n"/>
      <c r="AL42" s="7914" t="n"/>
      <c r="AM42" s="7914" t="n"/>
      <c r="AN42" s="11602" t="n"/>
      <c r="AO42" s="6952" t="n">
        <v>2000</v>
      </c>
      <c r="AP42" s="6953" t="n">
        <v>2024</v>
      </c>
      <c r="AQ42" s="6954" t="n"/>
      <c r="AR42" s="6984" t="inlineStr">
        <is>
          <t>the amount from line 14 of that Form 8606.</t>
        </is>
      </c>
      <c r="AS42" s="6955" t="n"/>
      <c r="AT42" s="6955" t="n"/>
      <c r="AU42" s="6954" t="n"/>
      <c r="AV42" s="658" t="n"/>
      <c r="AW42" s="658" t="n"/>
      <c r="AX42" s="658" t="n"/>
    </row>
    <row r="43" ht="15.75" customFormat="1" customHeight="1" s="815">
      <c r="A43" s="2013" t="n"/>
      <c r="B43" s="11602" t="n"/>
      <c r="C43" s="2917" t="inlineStr">
        <is>
          <t>5</t>
        </is>
      </c>
      <c r="D43" s="7772" t="inlineStr">
        <is>
          <t>Subtract line 4 from line 3</t>
        </is>
      </c>
      <c r="E43" s="11602" t="n"/>
      <c r="F43" s="11602" t="n"/>
      <c r="G43" s="11602" t="n"/>
      <c r="H43" s="11602" t="n"/>
      <c r="I43" s="11602" t="n"/>
      <c r="J43" s="11602" t="n"/>
      <c r="K43" s="11602" t="n"/>
      <c r="L43" s="11602" t="n"/>
      <c r="M43" s="11602" t="n"/>
      <c r="N43" s="11602" t="n"/>
      <c r="O43" s="11602" t="n"/>
      <c r="P43" s="11602" t="n"/>
      <c r="Q43" s="11602" t="n"/>
      <c r="R43" s="11602" t="n"/>
      <c r="S43" s="11602" t="n"/>
      <c r="T43" s="11602" t="n"/>
      <c r="U43" s="11602" t="n"/>
      <c r="V43" s="11602" t="n"/>
      <c r="W43" s="11602" t="n"/>
      <c r="X43" s="11602" t="n"/>
      <c r="Y43" s="11602" t="n"/>
      <c r="Z43" s="11602" t="n"/>
      <c r="AA43" s="11602" t="n"/>
      <c r="AB43" s="11602" t="n"/>
      <c r="AC43" s="1657" t="inlineStr">
        <is>
          <t xml:space="preserve">.   .   .   .   .   .   .   .   .   .   .   .   .   .   .   .   .   .   .   .   .   .   .   .   .   .   .   .   .   .   .   . </t>
        </is>
      </c>
      <c r="AD43" s="2895" t="n">
        <v>5</v>
      </c>
      <c r="AE43" s="10805">
        <f>IF(AM35,"",IF(AM39,"",MAX(0,SUM(AE37,-ROUND(AE42,0)))))</f>
        <v/>
      </c>
      <c r="AF43" s="7637" t="n"/>
      <c r="AG43" s="7637" t="n"/>
      <c r="AH43" s="7637" t="n"/>
      <c r="AI43" s="7637" t="n"/>
      <c r="AJ43" s="7637" t="n"/>
      <c r="AK43" s="2013" t="n"/>
      <c r="AL43" s="9234" t="n"/>
      <c r="AM43" s="7914" t="n"/>
      <c r="AN43" s="11602" t="n"/>
      <c r="AO43" s="6952" t="n">
        <v>1992</v>
      </c>
      <c r="AP43" s="6953" t="n">
        <v>2001</v>
      </c>
      <c r="AQ43" s="6954" t="n"/>
      <c r="AR43" s="6984" t="inlineStr">
        <is>
          <t>the amount from line 12 of that Form 8606.</t>
        </is>
      </c>
      <c r="AS43" s="6956" t="n"/>
      <c r="AT43" s="6956" t="n"/>
      <c r="AU43" s="6957" t="n"/>
      <c r="AV43" s="658" t="n"/>
      <c r="AW43" s="658" t="n"/>
      <c r="AX43" s="658" t="n"/>
    </row>
    <row r="44" ht="15" customFormat="1" customHeight="1" s="815">
      <c r="A44" s="2013" t="n"/>
      <c r="B44" s="11602" t="n"/>
      <c r="C44" s="2917" t="inlineStr">
        <is>
          <t>6</t>
        </is>
      </c>
      <c r="D44" s="7772" t="inlineStr">
        <is>
          <t>Enter the value of all your traditional IRAs as of</t>
        </is>
      </c>
      <c r="E44" s="11602" t="n"/>
      <c r="F44" s="11602" t="n"/>
      <c r="G44" s="11602" t="n"/>
      <c r="H44" s="11602" t="n"/>
      <c r="I44" s="11602" t="n"/>
      <c r="J44" s="11602" t="n"/>
      <c r="K44" s="512" t="n"/>
      <c r="L44" s="512" t="n"/>
      <c r="M44" s="512" t="n"/>
      <c r="N44" s="512" t="n"/>
      <c r="O44" s="344" t="n"/>
      <c r="P44" s="7772">
        <f>"December 31, "&amp;TaxYear&amp;", plus any outstanding rollovers."</f>
        <v/>
      </c>
      <c r="Q44" s="11602" t="n"/>
      <c r="R44" s="11602" t="n"/>
      <c r="S44" s="11602" t="n"/>
      <c r="T44" s="11602" t="n"/>
      <c r="U44" s="11602" t="n"/>
      <c r="V44" s="8650" t="n"/>
      <c r="W44" s="8650" t="n"/>
      <c r="X44" s="11602" t="n"/>
      <c r="Y44" s="11602" t="n"/>
      <c r="Z44" s="11602" t="n"/>
      <c r="AA44" s="11602" t="n"/>
      <c r="AB44" s="11602" t="n"/>
      <c r="AC44" s="11602" t="n"/>
      <c r="AD44" s="726" t="n"/>
      <c r="AE44" s="11602" t="n"/>
      <c r="AF44" s="11602" t="n"/>
      <c r="AG44" s="11602" t="n"/>
      <c r="AH44" s="11602" t="n"/>
      <c r="AI44" s="11602" t="n"/>
      <c r="AJ44" s="11602" t="n"/>
      <c r="AK44" s="2013" t="n"/>
      <c r="AL44" s="9234">
        <f>IF(AND(OR(AE42&lt;&gt;"",SUM(AL46,AL50,AL52,AL68)&gt;0),AM39)," Do not complete the","")</f>
        <v/>
      </c>
      <c r="AM44" s="344" t="n"/>
      <c r="AN44" s="11602" t="n"/>
      <c r="AO44" s="6952" t="n">
        <v>1992</v>
      </c>
      <c r="AP44" s="6953" t="n">
        <v>1993</v>
      </c>
      <c r="AQ44" s="6954" t="n"/>
      <c r="AR44" s="6984" t="inlineStr">
        <is>
          <t>the amount from line 14 of that Form 8606.</t>
        </is>
      </c>
      <c r="AS44" s="6955" t="n"/>
      <c r="AT44" s="6955" t="n"/>
      <c r="AU44" s="6954" t="n"/>
      <c r="AV44" s="658" t="n"/>
      <c r="AW44" s="658" t="n"/>
      <c r="AX44" s="658" t="n"/>
    </row>
    <row r="45" ht="15" customFormat="1" customHeight="1" s="815">
      <c r="A45" s="2013" t="n"/>
      <c r="B45" s="11602" t="n"/>
      <c r="C45" s="11216" t="n"/>
      <c r="D45" s="7772">
        <f>"Subtract certain "&amp;TaxYear&amp;" retirement plan distribution repayments treated as rollovers, if any. See"</f>
        <v/>
      </c>
      <c r="E45" s="11602" t="n"/>
      <c r="F45" s="11602" t="n"/>
      <c r="G45" s="11602" t="n"/>
      <c r="H45" s="11602" t="n"/>
      <c r="I45" s="11602" t="n"/>
      <c r="J45" s="11602" t="n"/>
      <c r="K45" s="512" t="n"/>
      <c r="L45" s="512" t="n"/>
      <c r="M45" s="512" t="n"/>
      <c r="N45" s="512" t="n"/>
      <c r="O45" s="512" t="n"/>
      <c r="P45" s="512" t="n"/>
      <c r="Q45" s="11602" t="n"/>
      <c r="R45" s="11602" t="n"/>
      <c r="S45" s="11602" t="n"/>
      <c r="T45" s="11602" t="n"/>
      <c r="U45" s="11602" t="n"/>
      <c r="V45" s="11602" t="n"/>
      <c r="W45" s="11602" t="n"/>
      <c r="X45" s="11602" t="n"/>
      <c r="Y45" s="11602" t="n"/>
      <c r="Z45" s="11602" t="n"/>
      <c r="AA45" s="11602" t="n"/>
      <c r="AB45" s="11602" t="n"/>
      <c r="AC45" s="11602" t="n"/>
      <c r="AD45" s="2921" t="n"/>
      <c r="AE45" s="11602" t="n"/>
      <c r="AF45" s="11602" t="n"/>
      <c r="AG45" s="11602" t="n"/>
      <c r="AH45" s="11602" t="n"/>
      <c r="AI45" s="11602" t="n"/>
      <c r="AJ45" s="11602" t="n"/>
      <c r="AK45" s="2013" t="n"/>
      <c r="AL45" s="9234">
        <f>IF(AND(OR(AE42&lt;&gt;"",SUM(AL46,AL50,AL52,AL68)&gt;0),AM39)," rest of Part I.","")</f>
        <v/>
      </c>
      <c r="AM45" s="344" t="n"/>
      <c r="AN45" s="11602" t="n"/>
      <c r="AO45" s="6958" t="n">
        <v>1988</v>
      </c>
      <c r="AP45" s="6959" t="n"/>
      <c r="AQ45" s="6960" t="n"/>
      <c r="AR45" s="6984" t="inlineStr">
        <is>
          <t>the total of the amounts on lines 7 and 16 of that Form 8606.</t>
        </is>
      </c>
      <c r="AS45" s="6961" t="n"/>
      <c r="AT45" s="6961" t="n"/>
      <c r="AU45" s="6960" t="n"/>
      <c r="AV45" s="658" t="n"/>
      <c r="AW45" s="658" t="n"/>
      <c r="AX45" s="658" t="n"/>
    </row>
    <row r="46" ht="15" customFormat="1" customHeight="1" s="815">
      <c r="A46" s="2013" t="n"/>
      <c r="B46" s="11602" t="n"/>
      <c r="C46" s="2917" t="n"/>
      <c r="D46" s="7772" t="inlineStr">
        <is>
          <t>instructions</t>
        </is>
      </c>
      <c r="E46" s="11602" t="n"/>
      <c r="F46" s="11602" t="n"/>
      <c r="G46" s="11602" t="n"/>
      <c r="H46" s="11602" t="n"/>
      <c r="I46" s="11602" t="n"/>
      <c r="J46" s="11602" t="n"/>
      <c r="K46" s="512" t="n"/>
      <c r="L46" s="512" t="n"/>
      <c r="M46" s="512" t="n"/>
      <c r="N46" s="512" t="n"/>
      <c r="O46" s="512" t="n"/>
      <c r="P46" s="512" t="n"/>
      <c r="Q46" s="11602" t="n"/>
      <c r="R46" s="11602" t="n"/>
      <c r="S46" s="11602" t="n"/>
      <c r="T46" s="11602" t="n"/>
      <c r="U46" s="8650" t="n"/>
      <c r="V46" s="8650" t="n"/>
      <c r="W46" s="11602" t="n"/>
      <c r="X46" s="11602" t="n"/>
      <c r="Y46" s="11602" t="n"/>
      <c r="Z46" s="11602" t="n"/>
      <c r="AA46" s="11602" t="n"/>
      <c r="AB46" s="11602" t="n"/>
      <c r="AC46" s="1657" t="inlineStr">
        <is>
          <t xml:space="preserve">.   .   .   .   .   .   .   .   .   .   .   .   .   .   .   .   .   .   .   .   .   .   .   .   .   .   .   .   .   .   .   .   .   .   .   .   .   .   . </t>
        </is>
      </c>
      <c r="AD46" s="2895" t="n">
        <v>6</v>
      </c>
      <c r="AE46" s="10787" t="n"/>
      <c r="AF46" s="11717" t="n"/>
      <c r="AG46" s="11717" t="n"/>
      <c r="AH46" s="11717" t="n"/>
      <c r="AI46" s="11717" t="n"/>
      <c r="AJ46" s="11717" t="n"/>
      <c r="AK46" s="2013" t="n"/>
      <c r="AL46" s="512">
        <f>IF(AE46&lt;&gt;"",1,0)</f>
        <v/>
      </c>
      <c r="AM46" s="7914" t="n"/>
      <c r="AN46" s="11602" t="n"/>
      <c r="AO46" s="6958" t="n">
        <v>1987</v>
      </c>
      <c r="AP46" s="6959" t="n"/>
      <c r="AQ46" s="6960" t="n"/>
      <c r="AR46" s="6984" t="inlineStr">
        <is>
          <t>the total of the amounts on lines 4 and 13 of that Form 8606.</t>
        </is>
      </c>
      <c r="AS46" s="6961" t="n"/>
      <c r="AT46" s="6961" t="n"/>
      <c r="AU46" s="6960" t="n"/>
      <c r="AV46" s="658" t="n"/>
      <c r="AW46" s="658" t="n"/>
      <c r="AX46" s="658" t="n"/>
    </row>
    <row r="47" ht="14.25" customFormat="1" customHeight="1" s="815">
      <c r="A47" s="2013" t="n"/>
      <c r="B47" s="11602" t="n"/>
      <c r="C47" s="2917" t="inlineStr">
        <is>
          <t>7</t>
        </is>
      </c>
      <c r="D47" s="7772">
        <f>"Enter your distributions from traditional IRAs in "&amp;TaxYear&amp;"."</f>
        <v/>
      </c>
      <c r="E47" s="11602" t="n"/>
      <c r="F47" s="11602" t="n"/>
      <c r="G47" s="11602" t="n"/>
      <c r="H47" s="11602" t="n"/>
      <c r="I47" s="11602" t="n"/>
      <c r="J47" s="11602" t="n"/>
      <c r="K47" s="512" t="n"/>
      <c r="L47" s="512" t="n"/>
      <c r="M47" s="512" t="n"/>
      <c r="N47" s="512" t="n"/>
      <c r="O47" s="512" t="n"/>
      <c r="P47" s="2100" t="n"/>
      <c r="Q47" s="2100" t="inlineStr">
        <is>
          <t>Do not include rollovers (but do include certain</t>
        </is>
      </c>
      <c r="R47" s="11602" t="n"/>
      <c r="S47" s="11602" t="n"/>
      <c r="T47" s="11602" t="n"/>
      <c r="U47" s="11602" t="n"/>
      <c r="V47" s="11602" t="n"/>
      <c r="W47" s="11602" t="n"/>
      <c r="X47" s="11602" t="n"/>
      <c r="Y47" s="11602" t="n"/>
      <c r="Z47" s="7788" t="n"/>
      <c r="AA47" s="11602" t="n"/>
      <c r="AB47" s="7788" t="n"/>
      <c r="AC47" s="7900" t="n"/>
      <c r="AD47" s="726" t="n"/>
      <c r="AE47" s="11602" t="n"/>
      <c r="AF47" s="11602" t="n"/>
      <c r="AG47" s="11602" t="n"/>
      <c r="AH47" s="11602" t="n"/>
      <c r="AI47" s="11602" t="n"/>
      <c r="AJ47" s="11602" t="n"/>
      <c r="AK47" s="2013" t="n"/>
      <c r="AL47" s="512" t="n"/>
      <c r="AM47" s="344" t="n"/>
      <c r="AN47" s="11602" t="n"/>
      <c r="AO47" s="658" t="n"/>
      <c r="AP47" s="658" t="n"/>
      <c r="AQ47" s="658" t="n"/>
      <c r="AR47" s="658" t="n"/>
      <c r="AS47" s="658" t="n"/>
      <c r="AT47" s="658" t="n"/>
      <c r="AU47" s="658" t="n"/>
      <c r="AV47" s="658" t="n"/>
      <c r="AW47" s="658" t="n"/>
      <c r="AX47" s="658" t="n"/>
    </row>
    <row r="48" ht="14.25" customFormat="1" customHeight="1" s="815">
      <c r="A48" s="2013" t="n"/>
      <c r="B48" s="11602" t="n"/>
      <c r="C48" s="2917" t="n"/>
      <c r="D48" s="1405">
        <f>TaxYear&amp;" retirement plan distribution repayments treated as rollovers (see instructions)."</f>
        <v/>
      </c>
      <c r="E48" s="8650" t="n"/>
      <c r="F48" s="11602" t="n"/>
      <c r="G48" s="11602" t="n"/>
      <c r="H48" s="11602" t="n"/>
      <c r="I48" s="11602" t="n"/>
      <c r="J48" s="11602" t="n"/>
      <c r="K48" s="512" t="n"/>
      <c r="L48" s="512" t="n"/>
      <c r="M48" s="512" t="n"/>
      <c r="N48" s="512" t="n"/>
      <c r="O48" s="512" t="n"/>
      <c r="P48" s="512" t="n"/>
      <c r="Q48" s="11602" t="n"/>
      <c r="R48" s="11602" t="n"/>
      <c r="S48" s="11602" t="n"/>
      <c r="T48" s="11602" t="n"/>
      <c r="U48" s="11602" t="n"/>
      <c r="V48" s="11602" t="n"/>
      <c r="W48" s="344" t="n"/>
      <c r="X48" s="7772" t="inlineStr">
        <is>
          <t>Also, do not include</t>
        </is>
      </c>
      <c r="Y48" s="11602" t="n"/>
      <c r="Z48" s="11602" t="n"/>
      <c r="AA48" s="11602" t="n"/>
      <c r="AB48" s="11602" t="n"/>
      <c r="AC48" s="11602" t="n"/>
      <c r="AD48" s="726" t="n"/>
      <c r="AE48" s="11602" t="n"/>
      <c r="AF48" s="11602" t="n"/>
      <c r="AG48" s="11602" t="n"/>
      <c r="AH48" s="11602" t="n"/>
      <c r="AI48" s="11602" t="n"/>
      <c r="AJ48" s="11602" t="n"/>
      <c r="AK48" s="2013" t="n"/>
      <c r="AL48" s="512" t="n"/>
      <c r="AM48" s="344" t="n"/>
      <c r="AN48" s="11602" t="n"/>
      <c r="AO48" s="658" t="n"/>
      <c r="AP48" s="658" t="n"/>
      <c r="AQ48" s="658" t="n"/>
      <c r="AR48" s="658" t="n"/>
      <c r="AS48" s="658" t="n"/>
      <c r="AT48" s="658" t="n"/>
      <c r="AU48" s="658" t="n"/>
      <c r="AV48" s="658" t="n"/>
      <c r="AW48" s="658" t="n"/>
      <c r="AX48" s="658" t="n"/>
    </row>
    <row r="49" ht="14.25" customFormat="1" customHeight="1" s="815">
      <c r="A49" s="2013" t="n"/>
      <c r="B49" s="11602" t="n"/>
      <c r="C49" s="2917" t="n"/>
      <c r="D49" s="7772" t="inlineStr">
        <is>
          <t xml:space="preserve">qualified charitable distributions; a one-time distribution to fund an HSA; conversions to a Roth IRA; </t>
        </is>
      </c>
      <c r="E49" s="8650" t="n"/>
      <c r="F49" s="11602" t="n"/>
      <c r="G49" s="11602" t="n"/>
      <c r="H49" s="11602" t="n"/>
      <c r="I49" s="11602" t="n"/>
      <c r="J49" s="11602" t="n"/>
      <c r="K49" s="512" t="n"/>
      <c r="L49" s="512" t="n"/>
      <c r="M49" s="512" t="n"/>
      <c r="N49" s="512" t="n"/>
      <c r="O49" s="512" t="n"/>
      <c r="P49" s="512" t="n"/>
      <c r="Q49" s="11602" t="n"/>
      <c r="R49" s="11602" t="n"/>
      <c r="S49" s="11602" t="n"/>
      <c r="T49" s="11602" t="n"/>
      <c r="U49" s="11602" t="n"/>
      <c r="V49" s="11602" t="n"/>
      <c r="W49" s="11602" t="n"/>
      <c r="X49" s="11602" t="n"/>
      <c r="Y49" s="11602" t="n"/>
      <c r="Z49" s="11602" t="n"/>
      <c r="AA49" s="11602" t="n"/>
      <c r="AB49" s="11602" t="n"/>
      <c r="AC49" s="11602" t="n"/>
      <c r="AD49" s="726" t="n"/>
      <c r="AE49" s="11602" t="n"/>
      <c r="AF49" s="11602" t="n"/>
      <c r="AG49" s="11602" t="n"/>
      <c r="AH49" s="11602" t="n"/>
      <c r="AI49" s="11602" t="n"/>
      <c r="AJ49" s="11602" t="n"/>
      <c r="AK49" s="2013" t="n"/>
      <c r="AL49" s="512" t="n"/>
      <c r="AM49" s="344" t="n"/>
      <c r="AN49" s="11602" t="n"/>
      <c r="AO49" s="658" t="n"/>
      <c r="AP49" s="658" t="n"/>
      <c r="AQ49" s="658" t="n"/>
      <c r="AR49" s="658" t="n"/>
      <c r="AS49" s="658" t="n"/>
      <c r="AT49" s="658" t="n"/>
      <c r="AU49" s="658" t="n"/>
      <c r="AV49" s="658" t="n"/>
      <c r="AW49" s="658" t="n"/>
      <c r="AX49" s="658" t="n"/>
    </row>
    <row r="50" ht="16.5" customFormat="1" customHeight="1" s="815">
      <c r="A50" s="2013" t="n"/>
      <c r="B50" s="11602" t="n"/>
      <c r="C50" s="11216" t="n"/>
      <c r="D50" s="1405" t="inlineStr">
        <is>
          <t>certain returned contributions; or recharacterizations of traditional IRA contributions. See instructions</t>
        </is>
      </c>
      <c r="E50" s="8650" t="n"/>
      <c r="F50" s="11602" t="n"/>
      <c r="G50" s="11602" t="n"/>
      <c r="H50" s="11602" t="n"/>
      <c r="I50" s="11602" t="n"/>
      <c r="J50" s="11602" t="n"/>
      <c r="K50" s="512" t="n"/>
      <c r="L50" s="512" t="n"/>
      <c r="M50" s="512" t="n"/>
      <c r="N50" s="512" t="n"/>
      <c r="O50" s="512" t="n"/>
      <c r="P50" s="512" t="n"/>
      <c r="Q50" s="11602" t="n"/>
      <c r="R50" s="11602" t="n"/>
      <c r="S50" s="11602" t="n"/>
      <c r="T50" s="11602" t="n"/>
      <c r="U50" s="11602" t="n"/>
      <c r="V50" s="11602" t="n"/>
      <c r="W50" s="11602" t="n"/>
      <c r="X50" s="11602" t="n"/>
      <c r="Y50" s="11602" t="n"/>
      <c r="Z50" s="11602" t="n"/>
      <c r="AA50" s="11602" t="n"/>
      <c r="AB50" s="11602" t="n"/>
      <c r="AC50" s="2198" t="inlineStr">
        <is>
          <t xml:space="preserve">.   .   . </t>
        </is>
      </c>
      <c r="AD50" s="2895" t="n">
        <v>7</v>
      </c>
      <c r="AE50" s="12669" t="n"/>
      <c r="AF50" s="11717" t="n"/>
      <c r="AG50" s="11717" t="n"/>
      <c r="AH50" s="11717" t="n"/>
      <c r="AI50" s="11717" t="n"/>
      <c r="AJ50" s="11718" t="n"/>
      <c r="AK50" s="2013" t="n"/>
      <c r="AL50" s="512">
        <f>IF(AE50&lt;&gt;"",1,0)</f>
        <v/>
      </c>
      <c r="AM50" s="226" t="inlineStr">
        <is>
          <t>Manual</t>
        </is>
      </c>
      <c r="AN50" s="11602" t="n"/>
      <c r="AO50" s="658" t="n"/>
      <c r="AP50" s="658" t="n"/>
      <c r="AQ50" s="658" t="n"/>
      <c r="AR50" s="658" t="n"/>
      <c r="AS50" s="658" t="n"/>
      <c r="AT50" s="658" t="n"/>
      <c r="AU50" s="658" t="n"/>
      <c r="AV50" s="658" t="n"/>
      <c r="AW50" s="658" t="n"/>
      <c r="AX50" s="658" t="n"/>
    </row>
    <row r="51" ht="16.5" customFormat="1" customHeight="1" s="815" thickBot="1">
      <c r="A51" s="2013" t="n"/>
      <c r="B51" s="11602" t="n"/>
      <c r="C51" s="2917" t="inlineStr">
        <is>
          <t>8</t>
        </is>
      </c>
      <c r="D51" s="7772">
        <f>"Enter the net amount you converted from traditional IRAs to Roth IRAs in "&amp;TaxYear&amp;". Also, enter this amount"</f>
        <v/>
      </c>
      <c r="E51" s="8650" t="n"/>
      <c r="F51" s="11602" t="n"/>
      <c r="G51" s="11602" t="n"/>
      <c r="H51" s="11602" t="n"/>
      <c r="I51" s="11602" t="n"/>
      <c r="J51" s="11602" t="n"/>
      <c r="K51" s="512" t="n"/>
      <c r="L51" s="512" t="n"/>
      <c r="M51" s="512" t="n"/>
      <c r="N51" s="512" t="n"/>
      <c r="O51" s="512" t="n"/>
      <c r="P51" s="512" t="n"/>
      <c r="Q51" s="11602" t="n"/>
      <c r="R51" s="11602" t="n"/>
      <c r="S51" s="11602" t="n"/>
      <c r="T51" s="11602" t="n"/>
      <c r="U51" s="11602" t="n"/>
      <c r="V51" s="11602" t="n"/>
      <c r="W51" s="11602" t="n"/>
      <c r="X51" s="11602" t="n"/>
      <c r="Y51" s="11602" t="n"/>
      <c r="Z51" s="11602" t="n"/>
      <c r="AA51" s="11602" t="n"/>
      <c r="AB51" s="11602" t="n"/>
      <c r="AC51" s="11602" t="n"/>
      <c r="AD51" s="726" t="n"/>
      <c r="AE51" s="11602" t="n"/>
      <c r="AF51" s="11602" t="n"/>
      <c r="AG51" s="11602" t="n"/>
      <c r="AH51" s="11602" t="n"/>
      <c r="AI51" s="11602" t="n"/>
      <c r="AJ51" s="11602" t="n"/>
      <c r="AK51" s="2013" t="n"/>
      <c r="AL51" s="226" t="n"/>
      <c r="AM51" s="226" t="inlineStr">
        <is>
          <t>Override ê</t>
        </is>
      </c>
      <c r="AN51" s="11602" t="n"/>
      <c r="AO51" s="658" t="n"/>
      <c r="AP51" s="658" t="n"/>
      <c r="AQ51" s="658" t="n"/>
      <c r="AR51" s="658" t="n"/>
      <c r="AS51" s="658" t="n"/>
      <c r="AT51" s="658" t="n"/>
      <c r="AU51" s="658" t="n"/>
      <c r="AV51" s="658" t="n"/>
      <c r="AW51" s="658" t="n"/>
      <c r="AX51" s="658" t="n"/>
    </row>
    <row r="52" ht="16.5" customFormat="1" customHeight="1" s="815" thickBot="1">
      <c r="A52" s="2013" t="n"/>
      <c r="B52" s="11602" t="n"/>
      <c r="C52" s="2917" t="n"/>
      <c r="D52" s="2006" t="inlineStr">
        <is>
          <t>on line 16</t>
        </is>
      </c>
      <c r="E52" s="2046" t="n"/>
      <c r="F52" s="11602" t="n"/>
      <c r="G52" s="11602" t="n"/>
      <c r="H52" s="11602" t="n"/>
      <c r="I52" s="11602" t="n"/>
      <c r="J52" s="11602" t="n"/>
      <c r="K52" s="512" t="n"/>
      <c r="L52" s="512" t="n"/>
      <c r="M52" s="512" t="n"/>
      <c r="N52" s="512" t="n"/>
      <c r="O52" s="512" t="n"/>
      <c r="P52" s="512" t="n"/>
      <c r="Q52" s="11602" t="n"/>
      <c r="R52" s="11602" t="n"/>
      <c r="S52" s="11602" t="n"/>
      <c r="T52" s="11602" t="n"/>
      <c r="U52" s="1900" t="n"/>
      <c r="V52" s="1900" t="n"/>
      <c r="W52" s="1900" t="n"/>
      <c r="X52" s="1900" t="n"/>
      <c r="Y52" s="1900" t="n"/>
      <c r="Z52" s="1900" t="n"/>
      <c r="AA52" s="1900" t="n"/>
      <c r="AB52" s="1900" t="n"/>
      <c r="AC52" s="1657" t="inlineStr">
        <is>
          <t xml:space="preserve">.   .   .   .   .   .   .   .   .   .   .   .   .   .   .   .   .   .   .   .   .   .   .   .   .   .   .   .   .   .   .   .   .   .   .   .   .   .   . </t>
        </is>
      </c>
      <c r="AD52" s="2895" t="n">
        <v>8</v>
      </c>
      <c r="AE52" s="11213">
        <f>IF(AM52&lt;&gt;"",ROUND(AM52,0),IF(OR(AM35,AM39),"",IF(AL11&lt;&gt;"",IRA_CONV_YOU,IF(AL12&lt;&gt;"",IRA_CONV_SPOUSE))))</f>
        <v/>
      </c>
      <c r="AF52" s="7637" t="n"/>
      <c r="AG52" s="7637" t="n"/>
      <c r="AH52" s="7637" t="n"/>
      <c r="AI52" s="7637" t="n"/>
      <c r="AJ52" s="7638" t="n"/>
      <c r="AK52" s="2013" t="n"/>
      <c r="AL52" s="512">
        <f>IF(AE52&lt;&gt;"",1,0)</f>
        <v/>
      </c>
      <c r="AM52" s="6197" t="n"/>
      <c r="AN52" s="11602" t="n"/>
      <c r="AO52" s="658" t="n"/>
      <c r="AP52" s="658" t="n"/>
      <c r="AQ52" s="658" t="n"/>
      <c r="AR52" s="658" t="n"/>
      <c r="AS52" s="658" t="n"/>
      <c r="AT52" s="658" t="n"/>
      <c r="AU52" s="658" t="n"/>
      <c r="AV52" s="658" t="n"/>
      <c r="AW52" s="658" t="n"/>
      <c r="AX52" s="658" t="n"/>
    </row>
    <row r="53" ht="16.5" customFormat="1" customHeight="1" s="815">
      <c r="A53" s="2013" t="n"/>
      <c r="B53" s="11602" t="n"/>
      <c r="C53" s="2917" t="inlineStr">
        <is>
          <t>9</t>
        </is>
      </c>
      <c r="D53" s="8650" t="inlineStr">
        <is>
          <t>Add lines 6, 7, and 8</t>
        </is>
      </c>
      <c r="E53" s="8650" t="n"/>
      <c r="F53" s="11602" t="n"/>
      <c r="G53" s="11602" t="n"/>
      <c r="H53" s="11602" t="n"/>
      <c r="I53" s="11602" t="n"/>
      <c r="J53" s="1400" t="n"/>
      <c r="K53" s="11602" t="n"/>
      <c r="L53" s="11602" t="n"/>
      <c r="M53" s="4474" t="n"/>
      <c r="N53" s="4474" t="n"/>
      <c r="O53" s="4474" t="n"/>
      <c r="P53" s="1938" t="n"/>
      <c r="Q53" s="11602" t="n"/>
      <c r="R53" s="11602" t="n"/>
      <c r="S53" s="11602" t="n"/>
      <c r="T53" s="11602" t="n"/>
      <c r="U53" s="11602" t="n"/>
      <c r="V53" s="1657" t="inlineStr">
        <is>
          <t xml:space="preserve">.   .   .   .   .   .   .   .   .   .   .   .   .   .   .   .   .   .   .   .   .   .   .   .   . </t>
        </is>
      </c>
      <c r="W53" s="2895" t="n">
        <v>9</v>
      </c>
      <c r="X53" s="11213">
        <f>IF(AM35,"",IF(NOT(AM39),SUM(AE46,AE50,AE52),""))</f>
        <v/>
      </c>
      <c r="Y53" s="7637" t="n"/>
      <c r="Z53" s="7637" t="n"/>
      <c r="AA53" s="7637" t="n"/>
      <c r="AB53" s="7637" t="n"/>
      <c r="AC53" s="7638" t="n"/>
      <c r="AD53" s="2924" t="n"/>
      <c r="AE53" s="11574" t="n"/>
      <c r="AF53" s="512" t="n"/>
      <c r="AG53" s="512" t="n"/>
      <c r="AH53" s="512" t="n"/>
      <c r="AI53" s="512" t="n"/>
      <c r="AJ53" s="512" t="n"/>
      <c r="AK53" s="2013" t="n"/>
      <c r="AL53" s="512" t="n"/>
      <c r="AM53" s="344" t="n"/>
      <c r="AN53" s="11602" t="n"/>
      <c r="AO53" s="658" t="n"/>
      <c r="AP53" s="658" t="n"/>
      <c r="AQ53" s="658" t="n"/>
      <c r="AR53" s="658" t="n"/>
      <c r="AS53" s="658" t="n"/>
      <c r="AT53" s="658" t="n"/>
      <c r="AU53" s="658" t="n"/>
      <c r="AV53" s="658" t="n"/>
      <c r="AW53" s="658" t="n"/>
      <c r="AX53" s="658" t="n"/>
    </row>
    <row r="54" ht="16.5" customFormat="1" customHeight="1" s="815" thickBot="1">
      <c r="A54" s="2013" t="n"/>
      <c r="B54" s="11602" t="n"/>
      <c r="C54" s="2917" t="inlineStr">
        <is>
          <t>10</t>
        </is>
      </c>
      <c r="D54" s="7772" t="inlineStr">
        <is>
          <t>Divide line 5 by line 9. Enter the result as a decimal rounded to at least 3</t>
        </is>
      </c>
      <c r="E54" s="8650" t="n"/>
      <c r="F54" s="11602" t="n"/>
      <c r="G54" s="11602" t="n"/>
      <c r="H54" s="11602" t="n"/>
      <c r="I54" s="11602" t="n"/>
      <c r="J54" s="11602" t="n"/>
      <c r="K54" s="11602" t="n"/>
      <c r="L54" s="11602" t="n"/>
      <c r="M54" s="11602" t="n"/>
      <c r="N54" s="11602" t="n"/>
      <c r="O54" s="11602" t="n"/>
      <c r="P54" s="11602" t="n"/>
      <c r="Q54" s="11602" t="n"/>
      <c r="R54" s="11602" t="n"/>
      <c r="S54" s="11602" t="n"/>
      <c r="T54" s="11602" t="n"/>
      <c r="U54" s="11602" t="n"/>
      <c r="V54" s="11602" t="n"/>
      <c r="W54" s="2922" t="n"/>
      <c r="X54" s="408" t="n"/>
      <c r="Y54" s="11602" t="n"/>
      <c r="Z54" s="8914" t="n"/>
      <c r="AB54" s="10789" t="n"/>
      <c r="AC54" s="7636" t="n"/>
      <c r="AD54" s="2924" t="n"/>
      <c r="AE54" s="11574" t="n"/>
      <c r="AF54" s="512" t="n"/>
      <c r="AG54" s="512" t="n"/>
      <c r="AH54" s="512" t="n"/>
      <c r="AI54" s="512" t="n"/>
      <c r="AJ54" s="512" t="n"/>
      <c r="AK54" s="2013" t="n"/>
      <c r="AL54" s="512" t="n"/>
      <c r="AM54" s="344" t="n"/>
      <c r="AN54" s="11602" t="n"/>
      <c r="AO54" s="658" t="n"/>
      <c r="AP54" s="658" t="n"/>
      <c r="AQ54" s="658" t="n"/>
      <c r="AR54" s="658" t="n"/>
      <c r="AS54" s="658" t="n"/>
      <c r="AT54" s="658" t="n"/>
      <c r="AU54" s="658" t="n"/>
      <c r="AV54" s="658" t="n"/>
      <c r="AW54" s="658" t="n"/>
      <c r="AX54" s="658" t="n"/>
    </row>
    <row r="55" ht="16.5" customFormat="1" customHeight="1" s="815" thickBot="1">
      <c r="A55" s="2013" t="n"/>
      <c r="B55" s="11602" t="n"/>
      <c r="C55" s="11216" t="n"/>
      <c r="D55" s="7772" t="inlineStr">
        <is>
          <t>places. If the result is 1.000 or more, enter “1.000”</t>
        </is>
      </c>
      <c r="E55" s="8650" t="n"/>
      <c r="F55" s="11602" t="n"/>
      <c r="G55" s="11602" t="n"/>
      <c r="H55" s="11602" t="n"/>
      <c r="I55" s="11602" t="n"/>
      <c r="J55" s="11602" t="n"/>
      <c r="K55" s="11602" t="n"/>
      <c r="L55" s="11602" t="n"/>
      <c r="M55" s="11602" t="n"/>
      <c r="N55" s="11602" t="n"/>
      <c r="O55" s="11602" t="n"/>
      <c r="P55" s="11602" t="n"/>
      <c r="Q55" s="11602" t="n"/>
      <c r="R55" s="11602" t="n"/>
      <c r="S55" s="11602" t="n"/>
      <c r="T55" s="11602" t="n"/>
      <c r="U55" s="11602" t="n"/>
      <c r="V55" s="2198" t="inlineStr">
        <is>
          <t xml:space="preserve">.   .   .   .   .   .   .   .   .   .   . </t>
        </is>
      </c>
      <c r="W55" s="2918" t="n">
        <v>10</v>
      </c>
      <c r="X55" s="4475" t="n"/>
      <c r="Y55" s="4476">
        <f>"x"</f>
        <v/>
      </c>
      <c r="Z55" s="12670">
        <f>IF(AND(AM55&lt;&gt;"",AM55&gt;=1),1,IF(AM55&lt;&gt;"",AM55,IF(AM35,"",IF(NOT(AM39),AE55,""))))</f>
        <v/>
      </c>
      <c r="AA55" s="7637" t="n"/>
      <c r="AB55" s="7637" t="n"/>
      <c r="AC55" s="7638" t="n"/>
      <c r="AD55" s="2924" t="n"/>
      <c r="AE55" s="12671">
        <f>IF(OR(X53="",X53=0),0,MIN(1,ROUND(AE43/X53,5)))</f>
        <v/>
      </c>
      <c r="AK55" s="2013" t="n"/>
      <c r="AL55" s="11602" t="n"/>
      <c r="AM55" s="12672" t="n"/>
      <c r="AN55" s="11602" t="n"/>
      <c r="AO55" s="658" t="n"/>
      <c r="AP55" s="658" t="n"/>
      <c r="AQ55" s="658" t="n"/>
      <c r="AR55" s="658" t="n"/>
      <c r="AS55" s="658" t="n"/>
      <c r="AT55" s="658" t="n"/>
      <c r="AU55" s="658" t="n"/>
      <c r="AV55" s="658" t="n"/>
      <c r="AW55" s="658" t="n"/>
      <c r="AX55" s="658" t="n"/>
    </row>
    <row r="56" ht="16.5" customFormat="1" customHeight="1" s="815">
      <c r="A56" s="2013" t="n"/>
      <c r="B56" s="11602" t="n"/>
      <c r="C56" s="2917" t="inlineStr">
        <is>
          <t>11</t>
        </is>
      </c>
      <c r="D56" s="7772" t="inlineStr">
        <is>
          <t>Multiply line 8 by line 10. This is the nontaxable portion of the amount you</t>
        </is>
      </c>
      <c r="E56" s="8650" t="n"/>
      <c r="F56" s="11602" t="n"/>
      <c r="G56" s="11602" t="n"/>
      <c r="H56" s="11602" t="n"/>
      <c r="I56" s="11602" t="n"/>
      <c r="J56" s="11602" t="n"/>
      <c r="K56" s="11602" t="n"/>
      <c r="L56" s="11602" t="n"/>
      <c r="M56" s="11602" t="n"/>
      <c r="N56" s="11602" t="n"/>
      <c r="O56" s="11602" t="n"/>
      <c r="P56" s="11602" t="n"/>
      <c r="Q56" s="11602" t="n"/>
      <c r="R56" s="11602" t="n"/>
      <c r="S56" s="11602" t="n"/>
      <c r="T56" s="11602" t="n"/>
      <c r="U56" s="11602" t="n"/>
      <c r="V56" s="11602" t="n"/>
      <c r="W56" s="2922" t="n"/>
      <c r="X56" s="11602" t="n"/>
      <c r="Y56" s="11602" t="n"/>
      <c r="Z56" s="11602" t="n"/>
      <c r="AA56" s="11602" t="n"/>
      <c r="AB56" s="11602" t="n"/>
      <c r="AC56" s="11602" t="n"/>
      <c r="AD56" s="2924" t="n"/>
      <c r="AE56" s="11574" t="n"/>
      <c r="AF56" s="512" t="n"/>
      <c r="AG56" s="512" t="n"/>
      <c r="AH56" s="512" t="n"/>
      <c r="AI56" s="512" t="n"/>
      <c r="AJ56" s="512" t="n"/>
      <c r="AK56" s="2013" t="n"/>
      <c r="AL56" s="11602" t="n"/>
      <c r="AM56" s="344" t="n"/>
      <c r="AN56" s="11602" t="n"/>
      <c r="AO56" s="658" t="n"/>
      <c r="AP56" s="658" t="n"/>
      <c r="AQ56" s="658" t="n"/>
      <c r="AR56" s="658" t="n"/>
      <c r="AS56" s="658" t="n"/>
      <c r="AT56" s="658" t="n"/>
      <c r="AU56" s="658" t="n"/>
      <c r="AV56" s="658" t="n"/>
      <c r="AW56" s="658" t="n"/>
      <c r="AX56" s="658" t="n"/>
    </row>
    <row r="57" ht="16.5" customFormat="1" customHeight="1" s="815">
      <c r="A57" s="2013" t="n"/>
      <c r="B57" s="11602" t="n"/>
      <c r="C57" s="11216" t="n"/>
      <c r="D57" s="7772" t="inlineStr">
        <is>
          <t>converted to Roth IRAs. Also enter this amount on line 17</t>
        </is>
      </c>
      <c r="E57" s="8650" t="n"/>
      <c r="F57" s="11602" t="n"/>
      <c r="G57" s="11602" t="n"/>
      <c r="H57" s="11602" t="n"/>
      <c r="I57" s="11602" t="n"/>
      <c r="J57" s="11602" t="n"/>
      <c r="K57" s="11602" t="n"/>
      <c r="L57" s="11602" t="n"/>
      <c r="M57" s="11602" t="n"/>
      <c r="N57" s="11602" t="n"/>
      <c r="O57" s="11602" t="n"/>
      <c r="P57" s="11602" t="n"/>
      <c r="Q57" s="11602" t="n"/>
      <c r="R57" s="11602" t="n"/>
      <c r="S57" s="11602" t="n"/>
      <c r="T57" s="11602" t="n"/>
      <c r="U57" s="11602" t="n"/>
      <c r="V57" s="2198" t="inlineStr">
        <is>
          <t xml:space="preserve">.   .   .   .   .   .   .   .   . </t>
        </is>
      </c>
      <c r="W57" s="2918" t="n">
        <v>11</v>
      </c>
      <c r="X57" s="11213">
        <f>IF(AM35,"",IF(NOT(AM39),ROUND(AE52*Z55,0),""))</f>
        <v/>
      </c>
      <c r="Y57" s="7637" t="n"/>
      <c r="Z57" s="7637" t="n"/>
      <c r="AA57" s="7637" t="n"/>
      <c r="AB57" s="7637" t="n"/>
      <c r="AC57" s="7638" t="n"/>
      <c r="AD57" s="2924" t="n"/>
      <c r="AE57" s="11602" t="n"/>
      <c r="AF57" s="11602" t="n"/>
      <c r="AG57" s="11602" t="n"/>
      <c r="AH57" s="11602" t="n"/>
      <c r="AI57" s="11602" t="n"/>
      <c r="AJ57" s="11602" t="n"/>
      <c r="AK57" s="2013" t="n"/>
      <c r="AL57" s="11602" t="n"/>
      <c r="AM57" s="344" t="n"/>
      <c r="AN57" s="11602" t="n"/>
      <c r="AO57" s="658" t="n"/>
      <c r="AP57" s="658" t="n"/>
      <c r="AQ57" s="658" t="n"/>
      <c r="AR57" s="658" t="n"/>
      <c r="AS57" s="658" t="n"/>
      <c r="AT57" s="658" t="n"/>
      <c r="AU57" s="658" t="n"/>
      <c r="AV57" s="658" t="n"/>
      <c r="AW57" s="658" t="n"/>
      <c r="AX57" s="658" t="n"/>
    </row>
    <row r="58" ht="16.5" customFormat="1" customHeight="1" s="815">
      <c r="A58" s="2013" t="n"/>
      <c r="B58" s="11602" t="n"/>
      <c r="C58" s="2917" t="inlineStr">
        <is>
          <t>12</t>
        </is>
      </c>
      <c r="D58" s="7772" t="inlineStr">
        <is>
          <t>Multiply line 7 by line 10. This is the nontaxable portion of your distributions</t>
        </is>
      </c>
      <c r="E58" s="8650" t="n"/>
      <c r="F58" s="11602" t="n"/>
      <c r="G58" s="11602" t="n"/>
      <c r="H58" s="11602" t="n"/>
      <c r="I58" s="11602" t="n"/>
      <c r="J58" s="11602" t="n"/>
      <c r="K58" s="11602" t="n"/>
      <c r="L58" s="11602" t="n"/>
      <c r="M58" s="11602" t="n"/>
      <c r="N58" s="11602" t="n"/>
      <c r="O58" s="11602" t="n"/>
      <c r="P58" s="11602" t="n"/>
      <c r="Q58" s="11602" t="n"/>
      <c r="R58" s="11602" t="n"/>
      <c r="S58" s="11602" t="n"/>
      <c r="T58" s="11602" t="n"/>
      <c r="U58" s="11602" t="n"/>
      <c r="V58" s="2198" t="n"/>
      <c r="W58" s="2922" t="n"/>
      <c r="X58" s="12673" t="n"/>
      <c r="Y58" s="7839" t="n"/>
      <c r="Z58" s="7839" t="n"/>
      <c r="AA58" s="7839" t="n"/>
      <c r="AB58" s="7839" t="n"/>
      <c r="AC58" s="10091" t="n"/>
      <c r="AD58" s="2924" t="n"/>
      <c r="AE58" s="11602" t="n"/>
      <c r="AF58" s="11602" t="n"/>
      <c r="AG58" s="11602" t="n"/>
      <c r="AH58" s="11602" t="n"/>
      <c r="AI58" s="11602" t="n"/>
      <c r="AJ58" s="11602" t="n"/>
      <c r="AK58" s="2013" t="n"/>
      <c r="AL58" s="11602" t="n"/>
      <c r="AM58" s="9239">
        <f>AND(AE72&lt;&gt;"",AE72&gt;0,OR(AND(AL11&lt;&gt;"",IRA_Taxable_You&gt;0),AND(AL12&lt;&gt;"",IRA_Taxable_Spouse&gt;0)))</f>
        <v/>
      </c>
      <c r="AN58" s="11602" t="n"/>
      <c r="AO58" s="658" t="n"/>
      <c r="AP58" s="658" t="n"/>
      <c r="AQ58" s="658" t="n"/>
      <c r="AR58" s="658" t="n"/>
      <c r="AS58" s="658" t="n"/>
      <c r="AT58" s="658" t="n"/>
      <c r="AU58" s="658" t="n"/>
      <c r="AV58" s="658" t="n"/>
      <c r="AW58" s="658" t="n"/>
      <c r="AX58" s="658" t="n"/>
    </row>
    <row r="59" ht="16.5" customHeight="1" s="7635">
      <c r="A59" s="2013" t="n"/>
      <c r="B59" s="11602" t="n"/>
      <c r="C59" s="2917" t="n"/>
      <c r="D59" s="2006" t="inlineStr">
        <is>
          <t>that you did not convert to a Roth IRA</t>
        </is>
      </c>
      <c r="E59" s="8650" t="n"/>
      <c r="F59" s="11602" t="n"/>
      <c r="G59" s="11602" t="n"/>
      <c r="H59" s="11602" t="n"/>
      <c r="I59" s="11602" t="n"/>
      <c r="J59" s="11602" t="n"/>
      <c r="K59" s="11602" t="n"/>
      <c r="L59" s="11602" t="n"/>
      <c r="M59" s="11602" t="n"/>
      <c r="N59" s="11602" t="n"/>
      <c r="O59" s="11602" t="n"/>
      <c r="P59" s="11602" t="n"/>
      <c r="Q59" s="11602" t="n"/>
      <c r="R59" s="11602" t="n"/>
      <c r="S59" s="11602" t="n"/>
      <c r="T59" s="11602" t="n"/>
      <c r="U59" s="11602" t="n"/>
      <c r="V59" s="2198" t="inlineStr">
        <is>
          <t xml:space="preserve">.   .   .   .   .   .   .    .   .   .   .   .   .   .   .   . </t>
        </is>
      </c>
      <c r="W59" s="2918" t="n">
        <v>12</v>
      </c>
      <c r="X59" s="11213">
        <f>IF(AM35,"",IF(NOT(AM39),ROUND(AE50*Z55,0),""))</f>
        <v/>
      </c>
      <c r="Y59" s="7637" t="n"/>
      <c r="Z59" s="7637" t="n"/>
      <c r="AA59" s="7637" t="n"/>
      <c r="AB59" s="7637" t="n"/>
      <c r="AC59" s="7638" t="n"/>
      <c r="AD59" s="2924" t="n"/>
      <c r="AE59" s="11602" t="n"/>
      <c r="AF59" s="11602" t="n"/>
      <c r="AG59" s="11602" t="n"/>
      <c r="AH59" s="11602" t="n"/>
      <c r="AI59" s="11602" t="n"/>
      <c r="AJ59" s="11602" t="n"/>
      <c r="AK59" s="2013" t="n"/>
      <c r="AL59" s="11602" t="n"/>
      <c r="AM59" s="226" t="inlineStr">
        <is>
          <t>Manual</t>
        </is>
      </c>
      <c r="AN59" s="11602" t="n"/>
      <c r="AY59" s="421" t="n"/>
      <c r="AZ59" s="421" t="n"/>
    </row>
    <row r="60" ht="16.5" customHeight="1" s="7635" thickBot="1">
      <c r="A60" s="2013" t="n"/>
      <c r="B60" s="11602" t="n"/>
      <c r="C60" s="2917" t="inlineStr">
        <is>
          <t>13</t>
        </is>
      </c>
      <c r="D60" s="7772" t="inlineStr">
        <is>
          <t>Add lines 11 and 12. This is the nontaxable portion of all your distributions</t>
        </is>
      </c>
      <c r="E60" s="8650" t="n"/>
      <c r="F60" s="11602" t="n"/>
      <c r="G60" s="11602" t="n"/>
      <c r="H60" s="11602" t="n"/>
      <c r="I60" s="11602" t="n"/>
      <c r="J60" s="11602" t="n"/>
      <c r="K60" s="11602" t="n"/>
      <c r="L60" s="11602" t="n"/>
      <c r="M60" s="11602" t="n"/>
      <c r="N60" s="11602" t="n"/>
      <c r="O60" s="11602" t="n"/>
      <c r="P60" s="11602" t="n"/>
      <c r="Q60" s="11602" t="n"/>
      <c r="R60" s="11602" t="n"/>
      <c r="S60" s="11602" t="n"/>
      <c r="T60" s="11602" t="n"/>
      <c r="U60" s="11602" t="n"/>
      <c r="V60" s="11602" t="n"/>
      <c r="W60" s="11602" t="n"/>
      <c r="X60" s="11602" t="n"/>
      <c r="Y60" s="11602" t="n"/>
      <c r="Z60" s="11602" t="n"/>
      <c r="AA60" s="11602" t="n"/>
      <c r="AB60" s="11602" t="n"/>
      <c r="AC60" s="2198" t="inlineStr">
        <is>
          <t xml:space="preserve">.   .   .   .   .   .   .   .   .   .   .   .  </t>
        </is>
      </c>
      <c r="AD60" s="2918" t="n">
        <v>13</v>
      </c>
      <c r="AE60" s="10785">
        <f>IF(AM35,"",IF(NOT(AM39),SUM(X57,X59),""))</f>
        <v/>
      </c>
      <c r="AF60" s="7637" t="n"/>
      <c r="AG60" s="7637" t="n"/>
      <c r="AH60" s="7637" t="n"/>
      <c r="AI60" s="7637" t="n"/>
      <c r="AJ60" s="7637" t="n"/>
      <c r="AK60" s="2013" t="n"/>
      <c r="AL60" s="11602" t="n"/>
      <c r="AM60" s="226" t="inlineStr">
        <is>
          <t>Override ê</t>
        </is>
      </c>
      <c r="AN60" s="11602" t="n"/>
      <c r="AY60" s="421" t="n"/>
      <c r="AZ60" s="421" t="n"/>
    </row>
    <row r="61" ht="16.5" customHeight="1" s="7635" thickBot="1">
      <c r="A61" s="2013" t="n"/>
      <c r="B61" s="11602" t="n"/>
      <c r="C61" s="2917" t="inlineStr">
        <is>
          <t>14</t>
        </is>
      </c>
      <c r="D61" s="7772" t="inlineStr">
        <is>
          <t>Subtract line 13 from line 3.</t>
        </is>
      </c>
      <c r="E61" s="8650" t="n"/>
      <c r="F61" s="11602" t="n"/>
      <c r="G61" s="11602" t="n"/>
      <c r="H61" s="11602" t="n"/>
      <c r="I61" s="11602" t="n"/>
      <c r="J61" s="11602" t="n"/>
      <c r="K61" s="11602" t="n"/>
      <c r="L61" s="9892" t="inlineStr">
        <is>
          <t>This is</t>
        </is>
      </c>
      <c r="M61" s="810">
        <f>"your total basis in traditional IRAs for "&amp;TaxYear&amp;" and earlier years"</f>
        <v/>
      </c>
      <c r="N61" s="11602" t="n"/>
      <c r="O61" s="11602" t="n"/>
      <c r="P61" s="11602" t="n"/>
      <c r="Q61" s="11602" t="n"/>
      <c r="R61" s="11602" t="n"/>
      <c r="S61" s="11602" t="n"/>
      <c r="T61" s="11602" t="n"/>
      <c r="U61" s="11602" t="n"/>
      <c r="V61" s="11602" t="n"/>
      <c r="W61" s="2922" t="n"/>
      <c r="X61" s="408" t="n"/>
      <c r="Y61" s="11602" t="n"/>
      <c r="Z61" s="11602" t="n"/>
      <c r="AA61" s="11602" t="n"/>
      <c r="AB61" s="11602" t="n"/>
      <c r="AC61" s="1657" t="inlineStr">
        <is>
          <t xml:space="preserve">.  </t>
        </is>
      </c>
      <c r="AD61" s="2918" t="n">
        <v>14</v>
      </c>
      <c r="AE61" s="10809">
        <f>IF(AM61&lt;&gt;"",ROUND(AM61,0),IF(AM35,"",IF(NOT(AM39),MAX(0,SUM(AE37,-AE60)),MAX(0,AE37))))</f>
        <v/>
      </c>
      <c r="AF61" s="8412" t="n"/>
      <c r="AG61" s="8412" t="n"/>
      <c r="AH61" s="8412" t="n"/>
      <c r="AI61" s="8412" t="n"/>
      <c r="AJ61" s="8412" t="n"/>
      <c r="AK61" s="2013" t="n"/>
      <c r="AL61" s="11602" t="n"/>
      <c r="AM61" s="6197" t="n"/>
      <c r="AN61" s="11602" t="n"/>
      <c r="AY61" s="421" t="n"/>
      <c r="AZ61" s="421" t="n"/>
    </row>
    <row r="62" ht="15.75" customFormat="1" customHeight="1" s="815">
      <c r="A62" s="3888" t="n"/>
      <c r="B62" s="3889" t="inlineStr">
        <is>
          <t>For Privacy Act and Paperwork Reduction Act Notice, see separate instructions.</t>
        </is>
      </c>
      <c r="C62" s="4483" t="n"/>
      <c r="D62" s="2344" t="n"/>
      <c r="E62" s="2344" t="n"/>
      <c r="F62" s="2344" t="n"/>
      <c r="G62" s="2344" t="n"/>
      <c r="H62" s="2344" t="n"/>
      <c r="I62" s="2344" t="n"/>
      <c r="J62" s="2344" t="n"/>
      <c r="K62" s="2344" t="n"/>
      <c r="L62" s="2344" t="n"/>
      <c r="M62" s="2344" t="n"/>
      <c r="N62" s="2344" t="n"/>
      <c r="O62" s="2344" t="n"/>
      <c r="P62" s="2344" t="n"/>
      <c r="Q62" s="89" t="n"/>
      <c r="R62" s="89" t="n"/>
      <c r="S62" s="89" t="n"/>
      <c r="T62" s="89" t="n"/>
      <c r="U62" s="3890" t="n"/>
      <c r="V62" s="89" t="n"/>
      <c r="W62" s="3890" t="inlineStr">
        <is>
          <t>Cat. No. 63966F</t>
        </is>
      </c>
      <c r="X62" s="89" t="n"/>
      <c r="Y62" s="89" t="n"/>
      <c r="Z62" s="89" t="n"/>
      <c r="AA62" s="89" t="n"/>
      <c r="AB62" s="89" t="n"/>
      <c r="AC62" s="89" t="n"/>
      <c r="AD62" s="2345" t="inlineStr">
        <is>
          <t>Form 8606</t>
        </is>
      </c>
      <c r="AE62" s="6745" t="n"/>
      <c r="AF62" s="2345">
        <f>"("&amp;TaxYear&amp;")"</f>
        <v/>
      </c>
      <c r="AG62" s="89" t="n"/>
      <c r="AH62" s="2345" t="n"/>
      <c r="AI62" s="89" t="n"/>
      <c r="AJ62" s="2345" t="inlineStr">
        <is>
          <t>Created 5/7/25</t>
        </is>
      </c>
      <c r="AK62" s="2013" t="n"/>
      <c r="AL62" s="11602" t="n"/>
      <c r="AM62" s="344" t="n"/>
      <c r="AN62" s="11602" t="n"/>
      <c r="AO62" s="658" t="n"/>
      <c r="AP62" s="658" t="n"/>
      <c r="AQ62" s="658" t="n"/>
      <c r="AR62" s="658" t="n"/>
      <c r="AS62" s="658" t="n"/>
      <c r="AT62" s="658" t="n"/>
      <c r="AU62" s="658" t="n"/>
      <c r="AV62" s="658" t="n"/>
      <c r="AW62" s="658" t="n"/>
      <c r="AX62" s="658" t="n"/>
    </row>
    <row r="63" ht="18" customFormat="1" customHeight="1" s="815" thickBot="1">
      <c r="A63" s="2013" t="n"/>
      <c r="B63" s="721">
        <f>"Form 8606 ("&amp;TaxYear&amp;")"</f>
        <v/>
      </c>
      <c r="C63" s="4484" t="n"/>
      <c r="D63" s="721" t="n"/>
      <c r="E63" s="721" t="n"/>
      <c r="F63" s="721" t="n"/>
      <c r="G63" s="721" t="n"/>
      <c r="H63" s="721" t="n"/>
      <c r="I63" s="721" t="n"/>
      <c r="J63" s="721" t="n"/>
      <c r="K63" s="721" t="n"/>
      <c r="L63" s="721" t="n"/>
      <c r="M63" s="721" t="n"/>
      <c r="N63" s="721" t="n"/>
      <c r="O63" s="721" t="n"/>
      <c r="P63" s="721" t="n"/>
      <c r="Q63" s="721" t="n"/>
      <c r="R63" s="721" t="n"/>
      <c r="S63" s="721" t="n"/>
      <c r="T63" s="721" t="n"/>
      <c r="U63" s="721" t="n"/>
      <c r="V63" s="721" t="n"/>
      <c r="W63" s="721" t="n"/>
      <c r="X63" s="721" t="n"/>
      <c r="Y63" s="721" t="n"/>
      <c r="Z63" s="721" t="n"/>
      <c r="AA63" s="721" t="n"/>
      <c r="AB63" s="721" t="n"/>
      <c r="AC63" s="721" t="n"/>
      <c r="AD63" s="721" t="n"/>
      <c r="AE63" s="721" t="n"/>
      <c r="AF63" s="721" t="n"/>
      <c r="AG63" s="721" t="n"/>
      <c r="AH63" s="721" t="n"/>
      <c r="AI63" s="2053" t="inlineStr">
        <is>
          <t>Page</t>
        </is>
      </c>
      <c r="AJ63" s="2054" t="n">
        <v>2</v>
      </c>
      <c r="AK63" s="2013" t="n"/>
      <c r="AL63" s="11602" t="n"/>
      <c r="AM63" s="344" t="n"/>
      <c r="AN63" s="11602" t="n"/>
      <c r="AO63" s="658" t="n"/>
      <c r="AP63" s="658" t="n"/>
      <c r="AQ63" s="658" t="n"/>
      <c r="AR63" s="658" t="n"/>
      <c r="AS63" s="658" t="n"/>
      <c r="AT63" s="658" t="n"/>
      <c r="AU63" s="658" t="n"/>
      <c r="AV63" s="658" t="n"/>
      <c r="AW63" s="658" t="n"/>
      <c r="AX63" s="658" t="n"/>
    </row>
    <row r="64" ht="19.5" customFormat="1" customHeight="1" s="815" thickTop="1">
      <c r="A64" s="2013" t="n"/>
      <c r="B64" s="9775" t="inlineStr">
        <is>
          <t>Part I</t>
        </is>
      </c>
      <c r="C64" s="8412" t="n"/>
      <c r="D64" s="5701" t="n"/>
      <c r="E64" s="10766" t="inlineStr">
        <is>
          <t>Nondeductible Contributions to Traditional IRAs and Distributions From Traditional IRAs  (continued)</t>
        </is>
      </c>
      <c r="F64" s="11713" t="n"/>
      <c r="G64" s="11713" t="n"/>
      <c r="H64" s="11713" t="n"/>
      <c r="I64" s="11713" t="n"/>
      <c r="J64" s="11713" t="n"/>
      <c r="K64" s="11713" t="n"/>
      <c r="L64" s="11713" t="n"/>
      <c r="M64" s="11713" t="n"/>
      <c r="N64" s="11713" t="n"/>
      <c r="O64" s="11713" t="n"/>
      <c r="P64" s="11713" t="n"/>
      <c r="Q64" s="11713" t="n"/>
      <c r="R64" s="11713" t="n"/>
      <c r="S64" s="11713" t="n"/>
      <c r="T64" s="11713" t="n"/>
      <c r="U64" s="11713" t="n"/>
      <c r="V64" s="11713" t="n"/>
      <c r="W64" s="11713" t="n"/>
      <c r="X64" s="11713" t="n"/>
      <c r="Y64" s="11713" t="n"/>
      <c r="Z64" s="11713" t="n"/>
      <c r="AA64" s="11713" t="n"/>
      <c r="AB64" s="11713" t="n"/>
      <c r="AC64" s="11713" t="n"/>
      <c r="AD64" s="11713" t="n"/>
      <c r="AE64" s="11713" t="n"/>
      <c r="AF64" s="11713" t="n"/>
      <c r="AG64" s="11713" t="n"/>
      <c r="AH64" s="11713" t="n"/>
      <c r="AI64" s="11713" t="n"/>
      <c r="AJ64" s="11713" t="n"/>
      <c r="AK64" s="2013" t="n"/>
      <c r="AL64" s="11602" t="n"/>
      <c r="AM64" s="344" t="n"/>
      <c r="AN64" s="11602" t="n"/>
      <c r="AO64" s="658" t="n"/>
      <c r="AP64" s="1114" t="n"/>
      <c r="AQ64" s="658" t="n"/>
      <c r="AR64" s="658" t="n"/>
      <c r="AS64" s="658" t="n"/>
      <c r="AT64" s="658" t="n"/>
      <c r="AU64" s="658" t="n"/>
      <c r="AV64" s="658" t="n"/>
      <c r="AW64" s="658" t="n"/>
      <c r="AX64" s="658" t="n"/>
    </row>
    <row r="65" ht="16.5" customHeight="1" s="7635">
      <c r="A65" s="2013" t="n"/>
      <c r="B65" s="11602" t="n"/>
      <c r="C65" s="2917" t="inlineStr">
        <is>
          <t>15 a</t>
        </is>
      </c>
      <c r="D65" s="1672" t="inlineStr">
        <is>
          <t>Subtract line 12 from line 7</t>
        </is>
      </c>
      <c r="E65" s="8650" t="n"/>
      <c r="F65" s="11602" t="n"/>
      <c r="G65" s="11602" t="n"/>
      <c r="H65" s="11602" t="n"/>
      <c r="I65" s="11602" t="n"/>
      <c r="J65" s="11602" t="n"/>
      <c r="K65" s="11602" t="n"/>
      <c r="L65" s="11602" t="n"/>
      <c r="M65" s="11602" t="n"/>
      <c r="N65" s="11602" t="n"/>
      <c r="O65" s="11602" t="n"/>
      <c r="P65" s="11602" t="n"/>
      <c r="Q65" s="11602" t="n"/>
      <c r="R65" s="11602" t="n"/>
      <c r="S65" s="11602" t="n"/>
      <c r="T65" s="11602" t="n"/>
      <c r="U65" s="11602" t="n"/>
      <c r="V65" s="11602" t="n"/>
      <c r="W65" s="11602" t="n"/>
      <c r="X65" s="11602" t="n"/>
      <c r="Y65" s="11602" t="n"/>
      <c r="Z65" s="11602" t="n"/>
      <c r="AA65" s="11602" t="n"/>
      <c r="AB65" s="11602" t="n"/>
      <c r="AC65" s="2198" t="inlineStr">
        <is>
          <t xml:space="preserve">.   .   .   .   .   .   .   .   .   .   .   .   .   .   .   .   .   .   .   .   .   .   .   .   .   .   .   .   .   .   .  </t>
        </is>
      </c>
      <c r="AD65" s="2918" t="inlineStr">
        <is>
          <t>15a</t>
        </is>
      </c>
      <c r="AE65" s="10785">
        <f>IF(AM35,"",IF(NOT(AM39),SUM(AE50,-X59),""))</f>
        <v/>
      </c>
      <c r="AF65" s="7637" t="n"/>
      <c r="AG65" s="7637" t="n"/>
      <c r="AH65" s="7637" t="n"/>
      <c r="AI65" s="7637" t="n"/>
      <c r="AJ65" s="7637" t="n"/>
      <c r="AK65" s="2013" t="n"/>
      <c r="AL65" s="4477" t="n"/>
      <c r="AM65" s="6749" t="n"/>
      <c r="AN65" s="4477" t="n"/>
      <c r="AY65" s="421" t="n"/>
      <c r="AZ65" s="421" t="n"/>
    </row>
    <row r="66" ht="15" customHeight="1" s="7635">
      <c r="A66" s="2013" t="n"/>
      <c r="B66" s="11602" t="n"/>
      <c r="C66" s="4478" t="inlineStr">
        <is>
          <t>b</t>
        </is>
      </c>
      <c r="D66" s="7772">
        <f>"Enter the amount on line 15a attributable to qualified disaster distributions from "&amp;TaxYear&amp;" Form(s),"</f>
        <v/>
      </c>
      <c r="E66" s="8650" t="n"/>
      <c r="F66" s="11602" t="n"/>
      <c r="G66" s="11602" t="n"/>
      <c r="H66" s="11602" t="n"/>
      <c r="I66" s="11602" t="n"/>
      <c r="J66" s="11602" t="n"/>
      <c r="K66" s="11602" t="n"/>
      <c r="L66" s="11602" t="n"/>
      <c r="M66" s="11602" t="n"/>
      <c r="N66" s="11602" t="n"/>
      <c r="O66" s="11602" t="n"/>
      <c r="P66" s="11602" t="n"/>
      <c r="Q66" s="11602" t="n"/>
      <c r="R66" s="11602" t="n"/>
      <c r="S66" s="11602" t="n"/>
      <c r="T66" s="11602" t="n"/>
      <c r="U66" s="11602" t="n"/>
      <c r="V66" s="11602" t="n"/>
      <c r="W66" s="11602" t="n"/>
      <c r="X66" s="11602" t="n"/>
      <c r="Y66" s="11602" t="n"/>
      <c r="Z66" s="11602" t="n"/>
      <c r="AA66" s="11602" t="n"/>
      <c r="AB66" s="11602" t="n"/>
      <c r="AC66" s="409" t="n"/>
      <c r="AD66" s="726" t="n"/>
      <c r="AE66" s="11602" t="n"/>
      <c r="AF66" s="11602" t="n"/>
      <c r="AG66" s="11602" t="n"/>
      <c r="AH66" s="11602" t="n"/>
      <c r="AI66" s="11602" t="n"/>
      <c r="AJ66" s="11602" t="n"/>
      <c r="AK66" s="2013" t="n"/>
      <c r="AL66" s="4477" t="n"/>
      <c r="AM66" s="6749" t="n"/>
      <c r="AN66" s="4477" t="n"/>
    </row>
    <row r="67" ht="15" customHeight="1" s="7635">
      <c r="A67" s="2013" t="n"/>
      <c r="B67" s="11602" t="n"/>
      <c r="C67" s="11216" t="n"/>
      <c r="D67" s="7772">
        <f>"8915-F. See instructions. Also, enter this amount on "&amp;TaxYear&amp;" Form 8915-F, line 18, as applicable. See"</f>
        <v/>
      </c>
      <c r="E67" s="6996" t="n"/>
      <c r="F67" s="6996" t="n"/>
      <c r="G67" s="6996" t="n"/>
      <c r="H67" s="11602" t="n"/>
      <c r="I67" s="11602" t="n"/>
      <c r="J67" s="11602" t="n"/>
      <c r="K67" s="11602" t="n"/>
      <c r="L67" s="11602" t="n"/>
      <c r="M67" s="11602" t="n"/>
      <c r="N67" s="11602" t="n"/>
      <c r="O67" s="11602" t="n"/>
      <c r="P67" s="11602" t="n"/>
      <c r="Q67" s="11602" t="n"/>
      <c r="R67" s="11602" t="n"/>
      <c r="S67" s="11602" t="n"/>
      <c r="T67" s="11602" t="n"/>
      <c r="U67" s="11602" t="n"/>
      <c r="V67" s="11602" t="n"/>
      <c r="W67" s="11602" t="n"/>
      <c r="X67" s="810" t="n"/>
      <c r="Y67" s="11602" t="n"/>
      <c r="Z67" s="11602" t="n"/>
      <c r="AA67" s="11602" t="n"/>
      <c r="AB67" s="11602" t="n"/>
      <c r="AC67" s="11602" t="n"/>
      <c r="AD67" s="726" t="n"/>
      <c r="AE67" s="11602" t="n"/>
      <c r="AG67" s="11602" t="n"/>
      <c r="AH67" s="11602" t="n"/>
      <c r="AI67" s="11602" t="n"/>
      <c r="AJ67" s="11602" t="n"/>
      <c r="AK67" s="2013" t="n"/>
      <c r="AL67" s="4477" t="n"/>
      <c r="AM67" s="6749" t="n"/>
      <c r="AN67" s="4477" t="n"/>
    </row>
    <row r="68" ht="15" customHeight="1" s="7635">
      <c r="A68" s="2013" t="n"/>
      <c r="B68" s="11602" t="n"/>
      <c r="C68" s="11216" t="n"/>
      <c r="D68" s="7772" t="inlineStr">
        <is>
          <t>instructions</t>
        </is>
      </c>
      <c r="E68" s="6996" t="n"/>
      <c r="F68" s="6996" t="n"/>
      <c r="G68" s="6996" t="n"/>
      <c r="H68" s="6996" t="n"/>
      <c r="I68" s="11602" t="n"/>
      <c r="J68" s="11602" t="n"/>
      <c r="K68" s="11602" t="n"/>
      <c r="L68" s="11602" t="n"/>
      <c r="M68" s="11602" t="n"/>
      <c r="N68" s="11602" t="n"/>
      <c r="O68" s="11602" t="n"/>
      <c r="P68" s="11602" t="n"/>
      <c r="Q68" s="11602" t="n"/>
      <c r="R68" s="11602" t="n"/>
      <c r="S68" s="11602" t="n"/>
      <c r="T68" s="11602" t="n"/>
      <c r="U68" s="11602" t="n"/>
      <c r="V68" s="11602" t="n"/>
      <c r="W68" s="11602" t="n"/>
      <c r="X68" s="11602" t="n"/>
      <c r="Y68" s="11602" t="n"/>
      <c r="Z68" s="11602" t="n"/>
      <c r="AA68" s="11602" t="n"/>
      <c r="AB68" s="11602" t="n"/>
      <c r="AC68" s="2198" t="inlineStr">
        <is>
          <t xml:space="preserve">.   .   .   .   .   .   .   .   .   .   .   .   .   .   .   .   .   .   .   .   .   .   .   .   .   .   .   .   .   .   .   .   .   .   .   .   .   .   .  </t>
        </is>
      </c>
      <c r="AD68" s="2918" t="inlineStr">
        <is>
          <t>15b</t>
        </is>
      </c>
      <c r="AE68" s="10787" t="n"/>
      <c r="AF68" s="11717" t="n"/>
      <c r="AG68" s="11717" t="n"/>
      <c r="AH68" s="11717" t="n"/>
      <c r="AI68" s="11717" t="n"/>
      <c r="AJ68" s="11717" t="n"/>
      <c r="AK68" s="2013" t="n"/>
      <c r="AL68" s="4479">
        <f>IF(AE68&lt;&gt;"",1,0)</f>
        <v/>
      </c>
      <c r="AM68" s="226" t="inlineStr">
        <is>
          <t>Manual</t>
        </is>
      </c>
      <c r="AN68" s="4477" t="n"/>
    </row>
    <row r="69" ht="16.5" customHeight="1" s="7635">
      <c r="A69" s="2013" t="n"/>
      <c r="B69" s="11602" t="n"/>
      <c r="C69" s="4478" t="inlineStr">
        <is>
          <t>c</t>
        </is>
      </c>
      <c r="D69" s="810" t="inlineStr">
        <is>
          <t>Taxable amount.</t>
        </is>
      </c>
      <c r="E69" s="6996" t="n"/>
      <c r="F69" s="6996" t="n"/>
      <c r="G69" s="6996" t="n"/>
      <c r="H69" s="8650" t="n"/>
      <c r="I69" s="7772">
        <f>"Subtract line 15b from line 15a. Reduce that amount by certain "&amp;TaxYear&amp;" retirement"</f>
        <v/>
      </c>
      <c r="J69" s="11602" t="n"/>
      <c r="K69" s="11602" t="n"/>
      <c r="L69" s="11602" t="n"/>
      <c r="M69" s="11602" t="n"/>
      <c r="N69" s="11602" t="n"/>
      <c r="O69" s="11602" t="n"/>
      <c r="P69" s="11602" t="n"/>
      <c r="Q69" s="11602" t="n"/>
      <c r="R69" s="11602" t="n"/>
      <c r="S69" s="11602" t="n"/>
      <c r="T69" s="11602" t="n"/>
      <c r="U69" s="11602" t="n"/>
      <c r="V69" s="11602" t="n"/>
      <c r="W69" s="11602" t="n"/>
      <c r="X69" s="11602" t="n"/>
      <c r="Y69" s="11602" t="n"/>
      <c r="Z69" s="11602" t="n"/>
      <c r="AA69" s="11602" t="n"/>
      <c r="AB69" s="11602" t="n"/>
      <c r="AC69" s="1401" t="n"/>
      <c r="AD69" s="726" t="n"/>
      <c r="AE69" s="11602" t="n"/>
      <c r="AF69" s="11602" t="n"/>
      <c r="AG69" s="11602" t="n"/>
      <c r="AH69" s="11602" t="n"/>
      <c r="AI69" s="11602" t="n"/>
      <c r="AJ69" s="11602" t="n"/>
      <c r="AK69" s="2013" t="n"/>
      <c r="AL69" s="4477" t="n"/>
      <c r="AM69" s="226" t="inlineStr">
        <is>
          <t>Override ê</t>
        </is>
      </c>
      <c r="AN69" s="4477" t="n"/>
    </row>
    <row r="70" ht="16.5" customHeight="1" s="7635">
      <c r="A70" s="2013" t="n"/>
      <c r="B70" s="11602" t="n"/>
      <c r="C70" s="4478" t="n"/>
      <c r="D70" s="7772" t="inlineStr">
        <is>
          <t xml:space="preserve">plan distribution repayments (other than those reported on Form 8915-F) that are treated as rollovers. </t>
        </is>
      </c>
      <c r="E70" s="6996" t="n"/>
      <c r="F70" s="6996" t="n"/>
      <c r="G70" s="6996" t="n"/>
      <c r="H70" s="8650" t="n"/>
      <c r="I70" s="8650" t="n"/>
      <c r="J70" s="11602" t="n"/>
      <c r="K70" s="11602" t="n"/>
      <c r="L70" s="11602" t="n"/>
      <c r="M70" s="11602" t="n"/>
      <c r="N70" s="11602" t="n"/>
      <c r="O70" s="11602" t="n"/>
      <c r="P70" s="11602" t="n"/>
      <c r="Q70" s="11602" t="n"/>
      <c r="R70" s="11602" t="n"/>
      <c r="S70" s="11602" t="n"/>
      <c r="T70" s="11602" t="n"/>
      <c r="U70" s="11602" t="n"/>
      <c r="V70" s="11602" t="n"/>
      <c r="W70" s="11602" t="n"/>
      <c r="X70" s="11602" t="n"/>
      <c r="Y70" s="11602" t="n"/>
      <c r="Z70" s="11602" t="n"/>
      <c r="AA70" s="11602" t="n"/>
      <c r="AB70" s="11602" t="n"/>
      <c r="AC70" s="1401" t="n"/>
      <c r="AD70" s="726" t="n"/>
      <c r="AE70" s="11602" t="n"/>
      <c r="AF70" s="11602" t="n"/>
      <c r="AG70" s="11602" t="n"/>
      <c r="AH70" s="11602" t="n"/>
      <c r="AI70" s="11602" t="n"/>
      <c r="AJ70" s="11602" t="n"/>
      <c r="AK70" s="2013" t="n"/>
      <c r="AL70" s="4477" t="n"/>
      <c r="AM70" s="226" t="n"/>
      <c r="AN70" s="4477" t="n"/>
    </row>
    <row r="71" ht="16.5" customHeight="1" s="7635" thickBot="1">
      <c r="A71" s="2013" t="n"/>
      <c r="B71" s="11602" t="n"/>
      <c r="C71" s="4478" t="n"/>
      <c r="D71" s="7772">
        <f>"See instructions.  If more than zero, also include this amount on  "&amp;TaxYear&amp;"  Form 1040,"</f>
        <v/>
      </c>
      <c r="E71" s="6996" t="n"/>
      <c r="F71" s="6996" t="n"/>
      <c r="G71" s="6996" t="n"/>
      <c r="H71" s="8650" t="n"/>
      <c r="I71" s="8650" t="n"/>
      <c r="J71" s="11602" t="n"/>
      <c r="K71" s="11602" t="n"/>
      <c r="L71" s="11602" t="n"/>
      <c r="M71" s="11602" t="n"/>
      <c r="N71" s="11602" t="n"/>
      <c r="O71" s="11602" t="n"/>
      <c r="P71" s="11602" t="n"/>
      <c r="Q71" s="11602" t="n"/>
      <c r="R71" s="11602" t="n"/>
      <c r="S71" s="11602" t="n"/>
      <c r="T71" s="11602" t="n"/>
      <c r="U71" s="11602" t="n"/>
      <c r="V71" s="11602" t="n"/>
      <c r="W71" s="11602" t="n"/>
      <c r="X71" s="2311" t="inlineStr">
        <is>
          <t>1040-SR, or</t>
        </is>
      </c>
      <c r="Y71" s="11602" t="n"/>
      <c r="Z71" s="11602" t="n"/>
      <c r="AB71" s="11602" t="n"/>
      <c r="AC71" s="1401" t="n"/>
      <c r="AD71" s="726" t="n"/>
      <c r="AE71" s="11602" t="n"/>
      <c r="AF71" s="11602" t="n"/>
      <c r="AG71" s="11602" t="n"/>
      <c r="AH71" s="11602" t="n"/>
      <c r="AI71" s="11602" t="n"/>
      <c r="AJ71" s="11602" t="n"/>
      <c r="AK71" s="2013" t="n"/>
      <c r="AL71" s="4477" t="n"/>
      <c r="AM71" s="226" t="n"/>
      <c r="AN71" s="4477" t="n"/>
    </row>
    <row r="72" ht="16.5" customHeight="1" s="7635" thickBot="1">
      <c r="A72" s="2013" t="n"/>
      <c r="B72" s="11602" t="n"/>
      <c r="C72" s="2917" t="n"/>
      <c r="D72" s="2006" t="inlineStr">
        <is>
          <t>1040-NR, line 4b</t>
        </is>
      </c>
      <c r="E72" s="8650" t="n"/>
      <c r="F72" s="11602" t="n"/>
      <c r="G72" s="11602" t="n"/>
      <c r="H72" s="11602" t="n"/>
      <c r="I72" s="11602" t="n"/>
      <c r="J72" s="11602" t="n"/>
      <c r="K72" s="11602" t="n"/>
      <c r="L72" s="11602" t="n"/>
      <c r="M72" s="11602" t="n"/>
      <c r="N72" s="11602" t="n"/>
      <c r="O72" s="11602" t="n"/>
      <c r="P72" s="11602" t="n"/>
      <c r="Q72" s="11602" t="n"/>
      <c r="R72" s="11602" t="n"/>
      <c r="S72" s="11602" t="n"/>
      <c r="T72" s="11602" t="n"/>
      <c r="U72" s="11602" t="n"/>
      <c r="V72" s="11602" t="n"/>
      <c r="W72" s="11602" t="n"/>
      <c r="X72" s="11602" t="n"/>
      <c r="Y72" s="11602" t="n"/>
      <c r="Z72" s="11602" t="n"/>
      <c r="AA72" s="11602" t="n"/>
      <c r="AB72" s="11602" t="n"/>
      <c r="AC72" s="2198" t="inlineStr">
        <is>
          <t xml:space="preserve">.   .   .   .   .   .   .   .   .   .   .   .   .   .   .   .   .   .   .   .   .   .   .   .   .   .   .   .   .   .   .   .   .   .   .   .  </t>
        </is>
      </c>
      <c r="AD72" s="2918" t="inlineStr">
        <is>
          <t>15c</t>
        </is>
      </c>
      <c r="AE72" s="10785">
        <f>IF(AM35,"",IF(AM72&lt;&gt;"",ROUND(AM72,0),IF(NOT(AM39),SUM(AE65,-AE68),"")))</f>
        <v/>
      </c>
      <c r="AF72" s="7637" t="n"/>
      <c r="AG72" s="7637" t="n"/>
      <c r="AH72" s="7637" t="n"/>
      <c r="AI72" s="7637" t="n"/>
      <c r="AJ72" s="7637" t="n"/>
      <c r="AK72" s="2013" t="n"/>
      <c r="AL72" s="7914" t="n"/>
      <c r="AM72" s="6197" t="n"/>
      <c r="AN72" s="11602" t="n"/>
    </row>
    <row r="73" ht="16.5" customHeight="1" s="7635">
      <c r="A73" s="2013" t="n"/>
      <c r="B73" s="11602" t="n"/>
      <c r="C73" s="2917" t="n"/>
      <c r="D73" s="7772" t="inlineStr">
        <is>
          <t>Note: You may be subject to an additional 10% tax on the amount on line 15c if you were under age</t>
        </is>
      </c>
      <c r="E73" s="8650" t="n"/>
      <c r="F73" s="11602" t="n"/>
      <c r="G73" s="11602" t="n"/>
      <c r="H73" s="11602" t="n"/>
      <c r="I73" s="11602" t="n"/>
      <c r="J73" s="11602" t="n"/>
      <c r="K73" s="11602" t="n"/>
      <c r="L73" s="11602" t="n"/>
      <c r="M73" s="11602" t="n"/>
      <c r="N73" s="11602" t="n"/>
      <c r="O73" s="11602" t="n"/>
      <c r="P73" s="11602" t="n"/>
      <c r="Q73" s="11602" t="n"/>
      <c r="R73" s="11602" t="n"/>
      <c r="S73" s="11602" t="n"/>
      <c r="T73" s="11602" t="n"/>
      <c r="U73" s="11602" t="n"/>
      <c r="V73" s="11602" t="n"/>
      <c r="W73" s="11602" t="n"/>
      <c r="X73" s="11602" t="n"/>
      <c r="Y73" s="11602" t="n"/>
      <c r="Z73" s="11602" t="n"/>
      <c r="AA73" s="11602" t="n"/>
      <c r="AB73" s="11602" t="n"/>
      <c r="AC73" s="11602" t="n"/>
      <c r="AD73" s="6750" t="n"/>
      <c r="AE73" s="4480" t="n"/>
      <c r="AF73" s="4480" t="n"/>
      <c r="AG73" s="4480" t="n"/>
      <c r="AH73" s="4480" t="n"/>
      <c r="AI73" s="4480" t="n"/>
      <c r="AJ73" s="4480" t="n"/>
      <c r="AK73" s="2013" t="n"/>
      <c r="AL73" s="7914" t="n"/>
      <c r="AM73" s="11403" t="n"/>
      <c r="AN73" s="11602" t="n"/>
      <c r="BA73" s="7970" t="n"/>
    </row>
    <row r="74" ht="16.5" customHeight="1" s="7635" thickBot="1">
      <c r="A74" s="2013" t="n"/>
      <c r="B74" s="11602" t="n"/>
      <c r="C74" s="11216" t="n"/>
      <c r="D74" s="7772" t="inlineStr">
        <is>
          <t>59½ at the time of the distribution. See instructions.</t>
        </is>
      </c>
      <c r="E74" s="8650" t="n"/>
      <c r="F74" s="11602" t="n"/>
      <c r="G74" s="11602" t="n"/>
      <c r="H74" s="11602" t="n"/>
      <c r="I74" s="11602" t="n"/>
      <c r="J74" s="11602" t="n"/>
      <c r="K74" s="11602" t="n"/>
      <c r="L74" s="11602" t="n"/>
      <c r="M74" s="11602" t="n"/>
      <c r="N74" s="11602" t="n"/>
      <c r="O74" s="11602" t="n"/>
      <c r="P74" s="11602" t="n"/>
      <c r="Q74" s="11602" t="n"/>
      <c r="R74" s="11602" t="n"/>
      <c r="S74" s="11602" t="n"/>
      <c r="T74" s="11602" t="n"/>
      <c r="U74" s="11602" t="n"/>
      <c r="V74" s="11602" t="n"/>
      <c r="W74" s="11602" t="n"/>
      <c r="X74" s="11602" t="n"/>
      <c r="Y74" s="11602" t="n"/>
      <c r="Z74" s="11602" t="n"/>
      <c r="AA74" s="11602" t="n"/>
      <c r="AB74" s="11602" t="n"/>
      <c r="AC74" s="2198" t="n"/>
      <c r="AD74" s="6751" t="n"/>
      <c r="AE74" s="4481" t="n"/>
      <c r="AF74" s="4482" t="n"/>
      <c r="AG74" s="4482" t="n"/>
      <c r="AH74" s="4482" t="n"/>
      <c r="AI74" s="4482" t="n"/>
      <c r="AJ74" s="4482" t="n"/>
      <c r="AK74" s="2013" t="n"/>
      <c r="AL74" s="712" t="n"/>
      <c r="AM74" s="344" t="n"/>
      <c r="AN74" s="11602" t="n"/>
    </row>
    <row r="75" ht="19.5" customFormat="1" customHeight="1" s="815" thickTop="1">
      <c r="A75" s="2013" t="n"/>
      <c r="B75" s="10872" t="inlineStr">
        <is>
          <t>Part II</t>
        </is>
      </c>
      <c r="C75" s="9668" t="n"/>
      <c r="D75" s="4485" t="n"/>
      <c r="E75" s="4486">
        <f>TaxYear&amp;" Conversions From Traditional IRAs to Roth IRAs"</f>
        <v/>
      </c>
      <c r="F75" s="257" t="n"/>
      <c r="G75" s="257" t="n"/>
      <c r="H75" s="257" t="n"/>
      <c r="I75" s="257" t="n"/>
      <c r="J75" s="257" t="n"/>
      <c r="K75" s="257" t="n"/>
      <c r="L75" s="257" t="n"/>
      <c r="M75" s="257" t="n"/>
      <c r="N75" s="257" t="n"/>
      <c r="O75" s="257" t="n"/>
      <c r="P75" s="257" t="n"/>
      <c r="Q75" s="257" t="n"/>
      <c r="R75" s="257" t="n"/>
      <c r="S75" s="257" t="n"/>
      <c r="T75" s="257" t="n"/>
      <c r="U75" s="257" t="n"/>
      <c r="V75" s="257" t="n"/>
      <c r="W75" s="257" t="n"/>
      <c r="X75" s="257" t="n"/>
      <c r="Y75" s="257" t="n"/>
      <c r="Z75" s="257" t="n"/>
      <c r="AA75" s="257" t="n"/>
      <c r="AB75" s="257" t="n"/>
      <c r="AC75" s="257" t="n"/>
      <c r="AD75" s="257" t="n"/>
      <c r="AE75" s="257" t="n"/>
      <c r="AF75" s="257" t="n"/>
      <c r="AG75" s="257" t="n"/>
      <c r="AH75" s="257" t="n"/>
      <c r="AI75" s="257" t="n"/>
      <c r="AJ75" s="257" t="n"/>
      <c r="AK75" s="2013" t="n"/>
      <c r="AL75" s="11602" t="n"/>
      <c r="AM75" s="226" t="n"/>
      <c r="AN75" s="11602" t="n"/>
      <c r="AO75" s="658" t="n"/>
      <c r="AP75" s="658" t="n"/>
      <c r="AQ75" s="658" t="n"/>
      <c r="AR75" s="658" t="n"/>
      <c r="AS75" s="658" t="n"/>
      <c r="AT75" s="658" t="n"/>
      <c r="AU75" s="658" t="n"/>
      <c r="AV75" s="658" t="n"/>
      <c r="AW75" s="658" t="n"/>
      <c r="AX75" s="658" t="n"/>
    </row>
    <row r="76" ht="16.5" customFormat="1" customHeight="1" s="815">
      <c r="A76" s="2013" t="n"/>
      <c r="B76" s="2002" t="n"/>
      <c r="C76" s="2002" t="n"/>
      <c r="D76" s="2002" t="n"/>
      <c r="E76" s="4487">
        <f>"Complete this part if you converted part or all of your traditional IRAs to a Roth IRA in "&amp;TaxYear</f>
        <v/>
      </c>
      <c r="F76" s="2002" t="n"/>
      <c r="G76" s="2002" t="n"/>
      <c r="H76" s="2002" t="n"/>
      <c r="I76" s="2002" t="n"/>
      <c r="J76" s="2002" t="n"/>
      <c r="K76" s="2002" t="n"/>
      <c r="L76" s="2002" t="n"/>
      <c r="M76" s="2002" t="n"/>
      <c r="N76" s="2002" t="n"/>
      <c r="O76" s="2002" t="n"/>
      <c r="P76" s="2002" t="n"/>
      <c r="Q76" s="2002" t="n"/>
      <c r="R76" s="2002" t="n"/>
      <c r="S76" s="2002" t="n"/>
      <c r="T76" s="2002" t="n"/>
      <c r="U76" s="2002" t="n"/>
      <c r="V76" s="2002" t="n"/>
      <c r="W76" s="2002" t="n"/>
      <c r="X76" s="2002" t="n"/>
      <c r="Y76" s="2002" t="n"/>
      <c r="Z76" s="2002" t="n"/>
      <c r="AA76" s="2002" t="n"/>
      <c r="AB76" s="2002" t="n"/>
      <c r="AC76" s="2002" t="n"/>
      <c r="AD76" s="2002" t="n"/>
      <c r="AE76" s="2002" t="n"/>
      <c r="AF76" s="2002" t="n"/>
      <c r="AG76" s="2002" t="n"/>
      <c r="AH76" s="2002" t="n"/>
      <c r="AI76" s="2002" t="n"/>
      <c r="AJ76" s="2002" t="n"/>
      <c r="AK76" s="2013" t="n"/>
      <c r="AL76" s="11602" t="n"/>
      <c r="AM76" s="226" t="inlineStr">
        <is>
          <t>Manual</t>
        </is>
      </c>
      <c r="AN76" s="11602" t="n"/>
      <c r="AO76" s="658" t="n"/>
      <c r="AP76" s="658" t="n"/>
      <c r="AQ76" s="658" t="n"/>
      <c r="AR76" s="658" t="n"/>
      <c r="AS76" s="658" t="n"/>
      <c r="AT76" s="658" t="n"/>
      <c r="AU76" s="658" t="n"/>
      <c r="AV76" s="658" t="n"/>
      <c r="AW76" s="658" t="n"/>
      <c r="AX76" s="658" t="n"/>
    </row>
    <row r="77" ht="16.5" customHeight="1" s="7635" thickBot="1">
      <c r="A77" s="2013" t="n"/>
      <c r="B77" s="11602" t="n"/>
      <c r="C77" s="2917" t="n">
        <v>16</v>
      </c>
      <c r="D77" s="7772" t="inlineStr">
        <is>
          <t>If you completed Part I, enter the amount from line 8. Otherwise, enter the net amount you converted</t>
        </is>
      </c>
      <c r="E77" s="6996" t="n"/>
      <c r="F77" s="6996" t="n"/>
      <c r="G77" s="6996" t="n"/>
      <c r="H77" s="11602" t="n"/>
      <c r="I77" s="11602" t="n"/>
      <c r="J77" s="11602" t="n"/>
      <c r="K77" s="11602" t="n"/>
      <c r="L77" s="11602" t="n"/>
      <c r="M77" s="11602" t="n"/>
      <c r="N77" s="11602" t="n"/>
      <c r="O77" s="11602" t="n"/>
      <c r="P77" s="11602" t="n"/>
      <c r="Q77" s="11602" t="n"/>
      <c r="R77" s="11602" t="n"/>
      <c r="S77" s="11602" t="n"/>
      <c r="T77" s="11602" t="n"/>
      <c r="U77" s="11602" t="n"/>
      <c r="V77" s="11602" t="n"/>
      <c r="W77" s="11602" t="n"/>
      <c r="X77" s="11602" t="n"/>
      <c r="Y77" s="11602" t="n"/>
      <c r="Z77" s="11602" t="n"/>
      <c r="AA77" s="11602" t="n"/>
      <c r="AB77" s="11602" t="n"/>
      <c r="AC77" s="11602" t="n"/>
      <c r="AD77" s="726" t="n"/>
      <c r="AE77" s="11602" t="n"/>
      <c r="AF77" s="11602" t="n"/>
      <c r="AG77" s="11602" t="n"/>
      <c r="AH77" s="11602" t="n"/>
      <c r="AI77" s="11602" t="n"/>
      <c r="AJ77" s="11602" t="n"/>
      <c r="AK77" s="2013" t="n"/>
      <c r="AL77" s="11602" t="n"/>
      <c r="AM77" s="226" t="inlineStr">
        <is>
          <t>Override</t>
        </is>
      </c>
      <c r="AN77" s="11602" t="n"/>
      <c r="AO77" s="6962">
        <f>IF(AM35,"Total Basis Chart -- Line 2 (and line 17 if Part I in not completed.) See Form 8606 instructions.","Reserved")</f>
        <v/>
      </c>
      <c r="AP77" s="6963" t="n"/>
      <c r="AQ77" s="6963" t="n"/>
      <c r="AR77" s="6963" t="n"/>
      <c r="AS77" s="6963" t="n"/>
      <c r="AT77" s="6963" t="n"/>
      <c r="AU77" s="6964" t="n"/>
    </row>
    <row r="78" ht="16.5" customHeight="1" s="7635" thickBot="1">
      <c r="A78" s="2013" t="n"/>
      <c r="B78" s="11602" t="n"/>
      <c r="C78" s="11216" t="n"/>
      <c r="D78" s="7772">
        <f>"from traditional IRAs to Roth IRAs in  "&amp;TaxYear</f>
        <v/>
      </c>
      <c r="E78" s="6996" t="n"/>
      <c r="F78" s="6996" t="n"/>
      <c r="G78" s="6996" t="n"/>
      <c r="H78" s="6996" t="n"/>
      <c r="I78" s="11602" t="n"/>
      <c r="J78" s="11602" t="n"/>
      <c r="K78" s="11602" t="n"/>
      <c r="L78" s="11602" t="n"/>
      <c r="M78" s="11602" t="n"/>
      <c r="N78" s="11602" t="n"/>
      <c r="O78" s="11602" t="n"/>
      <c r="P78" s="11602" t="n"/>
      <c r="Q78" s="11602" t="n"/>
      <c r="R78" s="11602" t="n"/>
      <c r="S78" s="11602" t="n"/>
      <c r="T78" s="11602" t="n"/>
      <c r="U78" s="11602" t="n"/>
      <c r="V78" s="11602" t="n"/>
      <c r="W78" s="11602" t="n"/>
      <c r="X78" s="11602" t="n"/>
      <c r="Y78" s="11602" t="n"/>
      <c r="Z78" s="11602" t="n"/>
      <c r="AA78" s="11602" t="n"/>
      <c r="AB78" s="11602" t="n"/>
      <c r="AC78" s="1657" t="inlineStr">
        <is>
          <t xml:space="preserve">.   .   .   .   .   .   .   .   .   .   .   .   .   .   .   .   .   .   .   .   .   .   .   .   .  </t>
        </is>
      </c>
      <c r="AD78" s="2918" t="inlineStr">
        <is>
          <t>16</t>
        </is>
      </c>
      <c r="AE78" s="10785">
        <f>IF(AM78&lt;&gt;"",ROUND(AM78,0),IF(AE52&lt;&gt;"",AE52,IF(AL11&lt;&gt;"",IRA_CONV_YOU,IF(AL12&lt;&gt;"",IRA_CONV_SPOUSE))))</f>
        <v/>
      </c>
      <c r="AF78" s="7637" t="n"/>
      <c r="AG78" s="7637" t="n"/>
      <c r="AH78" s="7637" t="n"/>
      <c r="AI78" s="7637" t="n"/>
      <c r="AJ78" s="7637" t="n"/>
      <c r="AK78" s="2013" t="n"/>
      <c r="AL78" s="7914" t="n"/>
      <c r="AM78" s="6197" t="n"/>
      <c r="AN78" s="11602" t="n"/>
      <c r="AO78" s="6965">
        <f>IF(AM35,"Generally, if this is the first year you are required to file Form 8606, enter '0' into Override cell AM80.","")</f>
        <v/>
      </c>
      <c r="AP78" s="6966" t="n"/>
      <c r="AQ78" s="2494" t="n"/>
      <c r="AR78" s="2494" t="n"/>
      <c r="AS78" s="2494" t="n"/>
      <c r="AT78" s="2494" t="n"/>
      <c r="AU78" s="6967" t="n"/>
    </row>
    <row r="79" ht="16.5" customHeight="1" s="7635" thickBot="1">
      <c r="A79" s="2013" t="n"/>
      <c r="B79" s="11602" t="n"/>
      <c r="C79" s="2917" t="n">
        <v>17</v>
      </c>
      <c r="D79" s="7772" t="inlineStr">
        <is>
          <t>If you completed Part I, enter the amount from line 11. Otherwise, enter your basis in the amount on</t>
        </is>
      </c>
      <c r="E79" s="6996" t="n"/>
      <c r="F79" s="6996" t="n"/>
      <c r="G79" s="6996" t="n"/>
      <c r="H79" s="11602" t="n"/>
      <c r="I79" s="11602" t="n"/>
      <c r="J79" s="11602" t="n"/>
      <c r="K79" s="11602" t="n"/>
      <c r="L79" s="11602" t="n"/>
      <c r="M79" s="11602" t="n"/>
      <c r="N79" s="11602" t="n"/>
      <c r="O79" s="11602" t="n"/>
      <c r="P79" s="11602" t="n"/>
      <c r="Q79" s="11602" t="n"/>
      <c r="R79" s="11602" t="n"/>
      <c r="S79" s="11602" t="n"/>
      <c r="T79" s="11602" t="n"/>
      <c r="U79" s="11602" t="n"/>
      <c r="V79" s="11602" t="n"/>
      <c r="W79" s="11602" t="n"/>
      <c r="X79" s="11602" t="n"/>
      <c r="Y79" s="11602" t="n"/>
      <c r="Z79" s="11602" t="n"/>
      <c r="AA79" s="11602" t="n"/>
      <c r="AB79" s="11602" t="n"/>
      <c r="AC79" s="11602" t="n"/>
      <c r="AD79" s="726" t="n"/>
      <c r="AE79" s="10840" t="n"/>
      <c r="AF79" s="7839" t="n"/>
      <c r="AG79" s="7839" t="n"/>
      <c r="AH79" s="7839" t="n"/>
      <c r="AI79" s="7839" t="n"/>
      <c r="AJ79" s="7839" t="n"/>
      <c r="AK79" s="2013" t="n"/>
      <c r="AL79" s="11602" t="n"/>
      <c r="AM79" s="228">
        <f>IF($AM$35,"Basis (see chart) &gt;&gt;","")</f>
        <v/>
      </c>
      <c r="AN79" s="11602" t="n"/>
      <c r="AO79" s="6968">
        <f>IF(AM35,"IF the last Form 8606 you filed was for …","")</f>
        <v/>
      </c>
      <c r="AP79" s="2494" t="n"/>
      <c r="AQ79" s="2494" t="n"/>
      <c r="AR79" s="6969">
        <f>IF(AM35,"THEN enter the following into Override cell AM80.","")</f>
        <v/>
      </c>
      <c r="AS79" s="2494" t="n"/>
      <c r="AT79" s="2494" t="n"/>
      <c r="AU79" s="6967" t="n"/>
    </row>
    <row r="80" ht="16.5" customHeight="1" s="7635" thickBot="1">
      <c r="A80" s="2013" t="n"/>
      <c r="B80" s="11602" t="n"/>
      <c r="C80" s="11216" t="n"/>
      <c r="D80" s="7772" t="inlineStr">
        <is>
          <t>line 16. See instructions</t>
        </is>
      </c>
      <c r="E80" s="6996" t="n"/>
      <c r="F80" s="6996" t="n"/>
      <c r="G80" s="6996" t="n"/>
      <c r="H80" s="6996" t="n"/>
      <c r="I80" s="11602" t="n"/>
      <c r="J80" s="11602" t="n"/>
      <c r="K80" s="11602" t="n"/>
      <c r="L80" s="11602" t="n"/>
      <c r="M80" s="11602" t="n"/>
      <c r="N80" s="11602" t="n"/>
      <c r="O80" s="11602" t="n"/>
      <c r="P80" s="11602" t="n"/>
      <c r="Q80" s="11602" t="n"/>
      <c r="R80" s="11602" t="n"/>
      <c r="S80" s="11602" t="n"/>
      <c r="T80" s="11602" t="n"/>
      <c r="U80" s="11602" t="n"/>
      <c r="V80" s="11602" t="n"/>
      <c r="W80" s="11602" t="n"/>
      <c r="X80" s="11602" t="n"/>
      <c r="Y80" s="11602" t="n"/>
      <c r="Z80" s="11602" t="n"/>
      <c r="AA80" s="11602" t="n"/>
      <c r="AB80" s="11602" t="n"/>
      <c r="AC80" s="1401" t="inlineStr">
        <is>
          <t xml:space="preserve">.   .   .   .   .   .   .   .   .   .   .   .   .   .   .   .   .   .   .   .   .   .   .   .   .   .   .   .   .   .   .   .  </t>
        </is>
      </c>
      <c r="AD80" s="2919" t="inlineStr">
        <is>
          <t>17</t>
        </is>
      </c>
      <c r="AE80" s="10767">
        <f>IF(AM80&lt;&gt;"",ROUND(AM80,0),IF(AM36,X57,""))</f>
        <v/>
      </c>
      <c r="AF80" s="8848" t="n"/>
      <c r="AG80" s="8848" t="n"/>
      <c r="AH80" s="8848" t="n"/>
      <c r="AI80" s="8848" t="n"/>
      <c r="AJ80" s="8848" t="n"/>
      <c r="AK80" s="2013" t="n"/>
      <c r="AL80" s="7914" t="n"/>
      <c r="AM80" s="6979" t="n"/>
      <c r="AN80" s="11602" t="n"/>
      <c r="AO80" s="6968">
        <f>IF(AM35,"After year","")</f>
        <v/>
      </c>
      <c r="AP80" s="6969">
        <f>IF(AM35,"and before year","")</f>
        <v/>
      </c>
      <c r="AQ80" s="2494" t="n"/>
      <c r="AR80" s="10765" t="n"/>
      <c r="AU80" s="7636" t="n"/>
    </row>
    <row r="81" ht="16.5" customHeight="1" s="7635">
      <c r="A81" s="2013" t="n"/>
      <c r="B81" s="11602" t="n"/>
      <c r="C81" s="2917" t="n">
        <v>18</v>
      </c>
      <c r="D81" s="514" t="inlineStr">
        <is>
          <t>Taxable  amount.</t>
        </is>
      </c>
      <c r="E81" s="6996" t="n"/>
      <c r="F81" s="6996" t="n"/>
      <c r="G81" s="6996" t="n"/>
      <c r="H81" s="11602" t="n"/>
      <c r="I81" s="7772">
        <f>"Subtract line 17 from line 16. If more than zero, also include this amount on "&amp;TaxYear</f>
        <v/>
      </c>
      <c r="J81" s="11602" t="n"/>
      <c r="K81" s="11602" t="n"/>
      <c r="L81" s="11602" t="n"/>
      <c r="M81" s="11602" t="n"/>
      <c r="N81" s="11602" t="n"/>
      <c r="O81" s="11602" t="n"/>
      <c r="P81" s="11602" t="n"/>
      <c r="Q81" s="11602" t="n"/>
      <c r="R81" s="11602" t="n"/>
      <c r="S81" s="11602" t="n"/>
      <c r="T81" s="11602" t="n"/>
      <c r="U81" s="11602" t="n"/>
      <c r="V81" s="11602" t="n"/>
      <c r="W81" s="11602" t="n"/>
      <c r="X81" s="11602" t="n"/>
      <c r="Y81" s="11602" t="n"/>
      <c r="Z81" s="11602" t="n"/>
      <c r="AA81" s="11602" t="n"/>
      <c r="AB81" s="11602" t="n"/>
      <c r="AC81" s="11602" t="n"/>
      <c r="AD81" s="726" t="n"/>
      <c r="AE81" s="10870" t="n"/>
      <c r="AF81" s="2506" t="n"/>
      <c r="AG81" s="2506" t="n"/>
      <c r="AH81" s="2506" t="n"/>
      <c r="AI81" s="2506" t="n"/>
      <c r="AJ81" s="2506" t="n"/>
      <c r="AK81" s="2013" t="n"/>
      <c r="AL81" s="4477" t="n"/>
      <c r="AM81" s="6985" t="inlineStr">
        <is>
          <t>é Line 17 entry é</t>
        </is>
      </c>
      <c r="AN81" s="4477" t="n"/>
      <c r="AO81" s="10762">
        <f>IF(AM35,2023,"")</f>
        <v/>
      </c>
      <c r="AP81" s="10763">
        <f>IF(AM35,"         "&amp;TaxYear,"")</f>
        <v/>
      </c>
      <c r="AR81" s="12674">
        <f>IF(AM35,"the amount from line 14 of that Form 8606 as adjusted to include the amount from line 6 of the Line 15c Worksheet,"&amp;CHAR(10)&amp;"if any, you completed the last time you filed a Form 8606 with Part I completed. "&amp;CHAR(10)&amp;"See instructions for Line 14.","")</f>
        <v/>
      </c>
      <c r="AU81" s="7636" t="n"/>
    </row>
    <row r="82" ht="16.5" customHeight="1" s="7635" thickBot="1">
      <c r="A82" s="2013" t="n"/>
      <c r="B82" s="380" t="n"/>
      <c r="C82" s="4225" t="n"/>
      <c r="D82" s="5003" t="inlineStr">
        <is>
          <t>Form 1040, 1040-SR, or 1040-NR, line 4b</t>
        </is>
      </c>
      <c r="E82" s="4225" t="n"/>
      <c r="F82" s="4225" t="n"/>
      <c r="G82" s="4225" t="n"/>
      <c r="H82" s="4225" t="n"/>
      <c r="I82" s="380" t="n"/>
      <c r="J82" s="380" t="n"/>
      <c r="K82" s="380" t="n"/>
      <c r="L82" s="380" t="n"/>
      <c r="M82" s="380" t="n"/>
      <c r="N82" s="380" t="n"/>
      <c r="O82" s="380" t="n"/>
      <c r="P82" s="380" t="n"/>
      <c r="Q82" s="380" t="n"/>
      <c r="R82" s="380" t="n"/>
      <c r="S82" s="380" t="n"/>
      <c r="T82" s="380" t="n"/>
      <c r="U82" s="380" t="n"/>
      <c r="V82" s="380" t="n"/>
      <c r="W82" s="380" t="n"/>
      <c r="X82" s="380" t="n"/>
      <c r="Y82" s="380" t="n"/>
      <c r="Z82" s="380" t="n"/>
      <c r="AA82" s="380" t="n"/>
      <c r="AB82" s="380" t="n"/>
      <c r="AC82" s="10735" t="inlineStr">
        <is>
          <t xml:space="preserve">.   .   .   .   .   .   .   .   .   .   .   .   .   .   .   .   .   .   .   .   .   .   .   .   .   .  </t>
        </is>
      </c>
      <c r="AD82" s="2919" t="inlineStr">
        <is>
          <t>18</t>
        </is>
      </c>
      <c r="AE82" s="10767">
        <f>IF(AE78="","",IF(AE80="",AE78,SUM(AE78,-AE80)))</f>
        <v/>
      </c>
      <c r="AF82" s="8848" t="n"/>
      <c r="AG82" s="8848" t="n"/>
      <c r="AH82" s="8848" t="n"/>
      <c r="AI82" s="8848" t="n"/>
      <c r="AJ82" s="8848" t="n"/>
      <c r="AK82" s="2013" t="n"/>
      <c r="AL82" s="4477" t="n"/>
      <c r="AM82" s="4489">
        <f>MAX(0,AE82)</f>
        <v/>
      </c>
      <c r="AN82" s="4477" t="n"/>
      <c r="AO82" s="4772" t="n"/>
      <c r="AU82" s="7636" t="n"/>
    </row>
    <row r="83" ht="19.5" customFormat="1" customHeight="1" s="815">
      <c r="A83" s="2013" t="n"/>
      <c r="B83" s="10206" t="inlineStr">
        <is>
          <t>Part III</t>
        </is>
      </c>
      <c r="C83" s="2506" t="n"/>
      <c r="D83" s="4490" t="n"/>
      <c r="E83" s="4491" t="inlineStr">
        <is>
          <t>Distributions From Roth IRAs</t>
        </is>
      </c>
      <c r="F83" s="377" t="n"/>
      <c r="G83" s="377" t="n"/>
      <c r="H83" s="377" t="n"/>
      <c r="I83" s="377" t="n"/>
      <c r="J83" s="377" t="n"/>
      <c r="K83" s="377" t="n"/>
      <c r="L83" s="377" t="n"/>
      <c r="M83" s="377" t="n"/>
      <c r="N83" s="377" t="n"/>
      <c r="O83" s="377" t="n"/>
      <c r="P83" s="377" t="n"/>
      <c r="Q83" s="377" t="n"/>
      <c r="R83" s="377" t="n"/>
      <c r="S83" s="377" t="n"/>
      <c r="T83" s="377" t="n"/>
      <c r="U83" s="377" t="n"/>
      <c r="V83" s="377" t="n"/>
      <c r="W83" s="377" t="n"/>
      <c r="X83" s="377" t="n"/>
      <c r="Y83" s="377" t="n"/>
      <c r="Z83" s="377" t="n"/>
      <c r="AA83" s="377" t="n"/>
      <c r="AB83" s="377" t="n"/>
      <c r="AC83" s="377" t="n"/>
      <c r="AD83" s="377" t="n"/>
      <c r="AE83" s="377" t="n"/>
      <c r="AF83" s="377" t="n"/>
      <c r="AG83" s="377" t="n"/>
      <c r="AH83" s="377" t="n"/>
      <c r="AI83" s="377" t="n"/>
      <c r="AJ83" s="377" t="n"/>
      <c r="AK83" s="2013" t="n"/>
      <c r="AL83" s="4477" t="n"/>
      <c r="AM83" s="6749" t="n"/>
      <c r="AN83" s="4477" t="n"/>
      <c r="AO83" s="4772" t="n"/>
      <c r="AU83" s="7636" t="n"/>
      <c r="AV83" s="658" t="n"/>
      <c r="AW83" s="658" t="n"/>
      <c r="AX83" s="658" t="n"/>
    </row>
    <row r="84" ht="15" customFormat="1" customHeight="1" s="815">
      <c r="A84" s="2013" t="n"/>
      <c r="B84" s="4492" t="n"/>
      <c r="C84" s="4493" t="n"/>
      <c r="D84" s="2311" t="n"/>
      <c r="E84" s="2311">
        <f>"Complete this part only if you took a distribution from a Roth IRA in "&amp;TaxYear&amp;"."</f>
        <v/>
      </c>
      <c r="F84" s="4492" t="n"/>
      <c r="G84" s="4492" t="n"/>
      <c r="H84" s="4492" t="n"/>
      <c r="I84" s="4492" t="n"/>
      <c r="J84" s="4492" t="n"/>
      <c r="K84" s="4492" t="n"/>
      <c r="L84" s="4492" t="n"/>
      <c r="M84" s="4492" t="n"/>
      <c r="N84" s="4492" t="n"/>
      <c r="O84" s="4492" t="n"/>
      <c r="P84" s="4492" t="n"/>
      <c r="Q84" s="4492" t="n"/>
      <c r="R84" s="4492" t="n"/>
      <c r="S84" s="4492" t="n"/>
      <c r="T84" s="4492" t="n"/>
      <c r="U84" s="4492" t="n"/>
      <c r="V84" s="4492" t="n"/>
      <c r="W84" s="2311" t="inlineStr">
        <is>
          <t>For this purpose, a distribution does not</t>
        </is>
      </c>
      <c r="X84" s="4492" t="n"/>
      <c r="Y84" s="4492" t="n"/>
      <c r="Z84" s="4492" t="n"/>
      <c r="AA84" s="4492" t="n"/>
      <c r="AB84" s="4492" t="n"/>
      <c r="AC84" s="4492" t="n"/>
      <c r="AD84" s="4492" t="n"/>
      <c r="AE84" s="4492" t="n"/>
      <c r="AF84" s="4492" t="n"/>
      <c r="AG84" s="4492" t="n"/>
      <c r="AH84" s="4492" t="n"/>
      <c r="AI84" s="4492" t="n"/>
      <c r="AJ84" s="4492" t="n"/>
      <c r="AK84" s="2013" t="n"/>
      <c r="AL84" s="4477" t="n"/>
      <c r="AM84" s="6749" t="n"/>
      <c r="AN84" s="4477" t="n"/>
      <c r="AO84" s="4772" t="n"/>
      <c r="AU84" s="7636" t="n"/>
      <c r="AV84" s="658" t="n"/>
      <c r="AW84" s="658" t="n"/>
      <c r="AX84" s="658" t="n"/>
    </row>
    <row r="85" ht="15.75" customFormat="1" customHeight="1" s="1115">
      <c r="A85" s="2290" t="n"/>
      <c r="B85" s="4492" t="n"/>
      <c r="C85" s="4493" t="n"/>
      <c r="D85" s="2311" t="n"/>
      <c r="E85" s="2311">
        <f>"include a rollover (but does include certain "&amp;TaxYear&amp;" retirement plan distribution repayments treated as rollovers (see"</f>
        <v/>
      </c>
      <c r="F85" s="4492" t="n"/>
      <c r="G85" s="4492" t="n"/>
      <c r="H85" s="4492" t="n"/>
      <c r="I85" s="4492" t="n"/>
      <c r="J85" s="4492" t="n"/>
      <c r="K85" s="4492" t="n"/>
      <c r="L85" s="4492" t="n"/>
      <c r="M85" s="4492" t="n"/>
      <c r="N85" s="4492" t="n"/>
      <c r="O85" s="4492" t="n"/>
      <c r="P85" s="4492" t="n"/>
      <c r="Q85" s="4492" t="n"/>
      <c r="R85" s="4492" t="n"/>
      <c r="S85" s="4492" t="n"/>
      <c r="T85" s="2311" t="n"/>
      <c r="U85" s="4492" t="n"/>
      <c r="V85" s="4492" t="n"/>
      <c r="W85" s="4492" t="n"/>
      <c r="X85" s="4492" t="n"/>
      <c r="Y85" s="4492" t="n"/>
      <c r="Z85" s="4492" t="n"/>
      <c r="AA85" s="4492" t="n"/>
      <c r="AB85" s="4492" t="n"/>
      <c r="AC85" s="4492" t="n"/>
      <c r="AD85" s="4492" t="n"/>
      <c r="AE85" s="4492" t="n"/>
      <c r="AF85" s="4492" t="n"/>
      <c r="AG85" s="4492" t="n"/>
      <c r="AH85" s="4492" t="n"/>
      <c r="AI85" s="4492" t="n"/>
      <c r="AJ85" s="4492" t="n"/>
      <c r="AK85" s="2290" t="n"/>
      <c r="AL85" s="4477" t="n"/>
      <c r="AM85" s="6749" t="n"/>
      <c r="AN85" s="4477" t="n"/>
      <c r="AO85" s="6970">
        <f>IF(AM35,2000,"")</f>
        <v/>
      </c>
      <c r="AP85" s="6966">
        <f>IF(AM35,2024,"")</f>
        <v/>
      </c>
      <c r="AQ85" s="2494" t="n"/>
      <c r="AR85" s="6982">
        <f>IF(AM35,"the amount from line 14 of that Form 8606.","")</f>
        <v/>
      </c>
      <c r="AS85" s="2494" t="n"/>
      <c r="AT85" s="2494" t="n"/>
      <c r="AU85" s="6967" t="n"/>
      <c r="AV85" s="658" t="n"/>
      <c r="AW85" s="658" t="n"/>
      <c r="AX85" s="658" t="n"/>
      <c r="AY85" s="2293" t="n"/>
      <c r="AZ85" s="2293" t="n"/>
    </row>
    <row r="86" ht="15.75" customFormat="1" customHeight="1" s="1115">
      <c r="A86" s="2290" t="n"/>
      <c r="B86" s="4492" t="n"/>
      <c r="C86" s="4493" t="n"/>
      <c r="D86" s="2311" t="n"/>
      <c r="E86" s="2311" t="inlineStr">
        <is>
          <t>instructions)). Also, it does not include a qualified charitable distribution, one-time distribution to fund an HSA,</t>
        </is>
      </c>
      <c r="F86" s="4492" t="n"/>
      <c r="G86" s="4492" t="n"/>
      <c r="H86" s="4492" t="n"/>
      <c r="I86" s="4492" t="n"/>
      <c r="J86" s="4492" t="n"/>
      <c r="K86" s="4492" t="n"/>
      <c r="L86" s="4492" t="n"/>
      <c r="M86" s="4492" t="n"/>
      <c r="N86" s="4492" t="n"/>
      <c r="O86" s="4492" t="n"/>
      <c r="P86" s="4492" t="n"/>
      <c r="Q86" s="4492" t="n"/>
      <c r="R86" s="4492" t="n"/>
      <c r="S86" s="4492" t="n"/>
      <c r="T86" s="4492" t="n"/>
      <c r="U86" s="4492" t="n"/>
      <c r="V86" s="4492" t="n"/>
      <c r="W86" s="4492" t="n"/>
      <c r="X86" s="4492" t="n"/>
      <c r="Y86" s="4492" t="n"/>
      <c r="Z86" s="4492" t="n"/>
      <c r="AA86" s="4492" t="n"/>
      <c r="AB86" s="4492" t="n"/>
      <c r="AC86" s="4492" t="n"/>
      <c r="AD86" s="4492" t="n"/>
      <c r="AE86" s="4492" t="n"/>
      <c r="AF86" s="4492" t="n"/>
      <c r="AG86" s="4492" t="n"/>
      <c r="AH86" s="4492" t="n"/>
      <c r="AI86" s="4492" t="n"/>
      <c r="AJ86" s="4492" t="n"/>
      <c r="AK86" s="2290" t="n"/>
      <c r="AL86" s="4477" t="n"/>
      <c r="AM86" s="6749" t="n"/>
      <c r="AN86" s="4477" t="n"/>
      <c r="AO86" s="6970">
        <f>IF(AM35,1992,"")</f>
        <v/>
      </c>
      <c r="AP86" s="6966">
        <f>IF(AM35,2001,"")</f>
        <v/>
      </c>
      <c r="AQ86" s="2494" t="n"/>
      <c r="AR86" s="6982">
        <f>IF(AM35,"the amount from line 12 of that Form 8606.","")</f>
        <v/>
      </c>
      <c r="AS86" s="6971" t="n"/>
      <c r="AT86" s="6971" t="n"/>
      <c r="AU86" s="6972" t="n"/>
      <c r="AV86" s="1114" t="n"/>
      <c r="AW86" s="1114" t="n"/>
      <c r="AX86" s="1114" t="n"/>
      <c r="AY86" s="2293" t="n"/>
      <c r="AZ86" s="2293" t="n"/>
    </row>
    <row r="87" ht="17.25" customFormat="1" customHeight="1" s="1115" thickBot="1">
      <c r="A87" s="2290" t="n"/>
      <c r="B87" s="4494" t="n"/>
      <c r="C87" s="4495" t="n"/>
      <c r="D87" s="4496" t="n"/>
      <c r="E87" s="4496" t="inlineStr">
        <is>
          <t>recharacterization, or return of certain contributions. See instructions.</t>
        </is>
      </c>
      <c r="F87" s="4494" t="n"/>
      <c r="G87" s="4494" t="n"/>
      <c r="H87" s="4494" t="n"/>
      <c r="I87" s="4494" t="n"/>
      <c r="J87" s="4494" t="n"/>
      <c r="K87" s="4494" t="n"/>
      <c r="L87" s="4494" t="n"/>
      <c r="M87" s="4494" t="n"/>
      <c r="N87" s="4494" t="n"/>
      <c r="O87" s="4494" t="n"/>
      <c r="P87" s="4494" t="n"/>
      <c r="Q87" s="4494" t="n"/>
      <c r="R87" s="4494" t="n"/>
      <c r="S87" s="4494" t="n"/>
      <c r="T87" s="4494" t="n"/>
      <c r="U87" s="4494" t="n"/>
      <c r="V87" s="4494" t="n"/>
      <c r="W87" s="4494" t="n"/>
      <c r="X87" s="4494" t="n"/>
      <c r="Y87" s="4494" t="n"/>
      <c r="Z87" s="4494" t="n"/>
      <c r="AA87" s="4494" t="n"/>
      <c r="AB87" s="4494" t="n"/>
      <c r="AC87" s="4494" t="n"/>
      <c r="AD87" s="4494" t="n"/>
      <c r="AE87" s="4494" t="n"/>
      <c r="AF87" s="4494" t="n"/>
      <c r="AG87" s="4494" t="n"/>
      <c r="AH87" s="4494" t="n"/>
      <c r="AI87" s="4494" t="n"/>
      <c r="AJ87" s="4494" t="n"/>
      <c r="AK87" s="2290" t="n"/>
      <c r="AL87" s="4477" t="n"/>
      <c r="AM87" s="6749" t="n"/>
      <c r="AN87" s="4477" t="n"/>
      <c r="AO87" s="6970">
        <f>IF(AM35,1992,"")</f>
        <v/>
      </c>
      <c r="AP87" s="6966">
        <f>IF(AM35,1993,"")</f>
        <v/>
      </c>
      <c r="AQ87" s="2494" t="n"/>
      <c r="AR87" s="6982">
        <f>IF(AM35,"the amount from line 14 of that Form 8606.","")</f>
        <v/>
      </c>
      <c r="AS87" s="2494" t="n"/>
      <c r="AT87" s="2494" t="n"/>
      <c r="AU87" s="6967" t="n"/>
      <c r="AV87" s="1114" t="n"/>
      <c r="AW87" s="1114" t="n"/>
      <c r="AX87" s="1114" t="n"/>
      <c r="AY87" s="2293" t="n"/>
      <c r="AZ87" s="2293" t="n"/>
    </row>
    <row r="88" ht="16.5" customFormat="1" customHeight="1" s="815">
      <c r="A88" s="2013" t="n"/>
      <c r="B88" s="4497" t="n"/>
      <c r="C88" s="10630" t="n">
        <v>19</v>
      </c>
      <c r="D88" s="7772">
        <f>"Enter your total nonqualified distributions from Roth IRAs in "&amp;TaxYear&amp;", including any qualified first-time"</f>
        <v/>
      </c>
      <c r="E88" s="1995" t="n"/>
      <c r="F88" s="339" t="n"/>
      <c r="G88" s="339" t="n"/>
      <c r="H88" s="339" t="n"/>
      <c r="I88" s="339" t="n"/>
      <c r="J88" s="339" t="n"/>
      <c r="K88" s="339" t="n"/>
      <c r="L88" s="339" t="n"/>
      <c r="M88" s="339" t="n"/>
      <c r="N88" s="339" t="n"/>
      <c r="O88" s="339" t="n"/>
      <c r="P88" s="339" t="n"/>
      <c r="Q88" s="339" t="n"/>
      <c r="R88" s="339" t="n"/>
      <c r="S88" s="339" t="n"/>
      <c r="T88" s="339" t="n"/>
      <c r="U88" s="339" t="n"/>
      <c r="V88" s="339" t="n"/>
      <c r="W88" s="339" t="n"/>
      <c r="X88" s="339" t="n"/>
      <c r="Y88" s="339" t="n"/>
      <c r="Z88" s="339" t="n"/>
      <c r="AA88" s="339" t="n"/>
      <c r="AB88" s="339" t="n"/>
      <c r="AC88" s="339" t="n"/>
      <c r="AD88" s="4499" t="n"/>
      <c r="AE88" s="339" t="n"/>
      <c r="AF88" s="339" t="n"/>
      <c r="AG88" s="339" t="n"/>
      <c r="AH88" s="339" t="n"/>
      <c r="AI88" s="339" t="n"/>
      <c r="AJ88" s="339" t="n"/>
      <c r="AK88" s="2013" t="n"/>
      <c r="AL88" s="11602" t="n"/>
      <c r="AM88" s="344" t="n"/>
      <c r="AN88" s="11602" t="n"/>
      <c r="AO88" s="6965">
        <f>IF(AM35,1988,"")</f>
        <v/>
      </c>
      <c r="AP88" s="6973" t="n"/>
      <c r="AQ88" s="6969" t="n"/>
      <c r="AR88" s="6982">
        <f>IF(AM35,"the total of the amounts on lines 7 and 16 of that Form 8606.","")</f>
        <v/>
      </c>
      <c r="AS88" s="6969" t="n"/>
      <c r="AT88" s="6969" t="n"/>
      <c r="AU88" s="6974" t="n"/>
      <c r="AV88" s="1114" t="n"/>
      <c r="AW88" s="1114" t="n"/>
      <c r="AX88" s="1114" t="n"/>
    </row>
    <row r="89" ht="16.5" customFormat="1" customHeight="1" s="815">
      <c r="A89" s="2013" t="n"/>
      <c r="B89" s="4500" t="n"/>
      <c r="C89" s="11216" t="n"/>
      <c r="D89" s="7772">
        <f>"homebuyer distributions, and any "&amp;TaxYear&amp;" retirement plan distributions whose repayments are treated as"</f>
        <v/>
      </c>
      <c r="E89" s="8650" t="n"/>
      <c r="F89" s="344" t="n"/>
      <c r="G89" s="344" t="n"/>
      <c r="H89" s="344" t="n"/>
      <c r="I89" s="344" t="n"/>
      <c r="J89" s="344" t="n"/>
      <c r="K89" s="344" t="n"/>
      <c r="L89" s="344" t="n"/>
      <c r="M89" s="344" t="n"/>
      <c r="N89" s="11641" t="n"/>
      <c r="O89" s="344" t="n"/>
      <c r="P89" s="344" t="n"/>
      <c r="Q89" s="344" t="n"/>
      <c r="R89" s="344" t="n"/>
      <c r="S89" s="344" t="n"/>
      <c r="T89" s="7865">
        <f>TaxYear&amp;" retirement plan distributions"</f>
        <v/>
      </c>
      <c r="U89" s="2100" t="n"/>
      <c r="V89" s="344" t="n"/>
      <c r="W89" s="344" t="n"/>
      <c r="X89" s="344" t="n"/>
      <c r="Y89" s="344" t="n"/>
      <c r="Z89" s="344" t="n"/>
      <c r="AA89" s="344" t="n"/>
      <c r="AB89" s="11641" t="n"/>
      <c r="AC89" s="344" t="n"/>
      <c r="AD89" s="4501" t="n"/>
      <c r="AE89" s="344" t="n"/>
      <c r="AF89" s="344" t="n"/>
      <c r="AG89" s="344" t="n"/>
      <c r="AH89" s="344" t="n"/>
      <c r="AI89" s="344" t="n"/>
      <c r="AJ89" s="344" t="n"/>
      <c r="AK89" s="2013" t="n"/>
      <c r="AL89" s="11602" t="n"/>
      <c r="AM89" s="344" t="n"/>
      <c r="AN89" s="11602" t="n"/>
      <c r="AO89" s="6975">
        <f>IF(AM35,1987,"")</f>
        <v/>
      </c>
      <c r="AP89" s="6976" t="n"/>
      <c r="AQ89" s="6977" t="n"/>
      <c r="AR89" s="6983">
        <f>IF(AM35,"the total of the amounts on lines 4 and 13 of that Form 8606.","")</f>
        <v/>
      </c>
      <c r="AS89" s="6977" t="n"/>
      <c r="AT89" s="6977" t="n"/>
      <c r="AU89" s="6978" t="n"/>
      <c r="AV89" s="658" t="n"/>
      <c r="AW89" s="658" t="n"/>
      <c r="AX89" s="658" t="n"/>
    </row>
    <row r="90" ht="16.5" customHeight="1" s="7635">
      <c r="A90" s="2013" t="n"/>
      <c r="B90" s="11602" t="n"/>
      <c r="C90" s="11216" t="n"/>
      <c r="D90" s="7772" t="inlineStr">
        <is>
          <t>rollovers. See instructions</t>
        </is>
      </c>
      <c r="E90" s="6996" t="n"/>
      <c r="F90" s="6996" t="n"/>
      <c r="G90" s="6996" t="n"/>
      <c r="H90" s="6996" t="n"/>
      <c r="I90" s="11602" t="n"/>
      <c r="J90" s="11602" t="n"/>
      <c r="K90" s="11602" t="n"/>
      <c r="L90" s="11602" t="n"/>
      <c r="M90" s="11602" t="n"/>
      <c r="N90" s="11602" t="n"/>
      <c r="O90" s="11602" t="n"/>
      <c r="P90" s="11602" t="n"/>
      <c r="Q90" s="11602" t="n"/>
      <c r="R90" s="11602" t="n"/>
      <c r="S90" s="11602" t="n"/>
      <c r="T90" s="11602" t="n"/>
      <c r="U90" s="11602" t="n"/>
      <c r="V90" s="11602" t="n"/>
      <c r="W90" s="11602" t="n"/>
      <c r="X90" s="11602" t="n"/>
      <c r="Y90" s="11602" t="n"/>
      <c r="Z90" s="11602" t="n"/>
      <c r="AA90" s="11602" t="n"/>
      <c r="AB90" s="11602" t="n"/>
      <c r="AC90" s="1401" t="inlineStr">
        <is>
          <t xml:space="preserve">.   .   .   .   .   .   .   .   .   .   .   .   .   .   .   .   .   .   .   .   .   .   .   .   .   .   .   .   .   .   .   .   .   .   </t>
        </is>
      </c>
      <c r="AD90" s="2918" t="inlineStr">
        <is>
          <t>19</t>
        </is>
      </c>
      <c r="AE90" s="10787" t="n"/>
      <c r="AF90" s="11717" t="n"/>
      <c r="AG90" s="11717" t="n"/>
      <c r="AH90" s="11717" t="n"/>
      <c r="AI90" s="11717" t="n"/>
      <c r="AJ90" s="11717" t="n"/>
      <c r="AK90" s="2013" t="n"/>
      <c r="AL90" s="7914" t="n"/>
      <c r="AM90" s="7914" t="n"/>
      <c r="AN90" s="11602" t="n"/>
      <c r="AO90" s="6941" t="n"/>
      <c r="AP90" s="6941" t="n"/>
    </row>
    <row r="91" ht="16.5" customHeight="1" s="7635">
      <c r="A91" s="2013" t="n"/>
      <c r="B91" s="11602" t="n"/>
      <c r="C91" s="2917" t="inlineStr">
        <is>
          <t>20</t>
        </is>
      </c>
      <c r="D91" s="7772" t="inlineStr">
        <is>
          <t>Qualified first-time homebuyer expenses. See instructions.</t>
        </is>
      </c>
      <c r="E91" s="6996" t="n"/>
      <c r="F91" s="6996" t="n"/>
      <c r="G91" s="6996" t="n"/>
      <c r="H91" s="11602" t="n"/>
      <c r="I91" s="11602" t="n"/>
      <c r="J91" s="11602" t="n"/>
      <c r="K91" s="11602" t="n"/>
      <c r="L91" s="11602" t="n"/>
      <c r="M91" s="11602" t="n"/>
      <c r="N91" s="11602" t="n"/>
      <c r="O91" s="11602" t="n"/>
      <c r="P91" s="11602" t="n"/>
      <c r="Q91" s="11602" t="n"/>
      <c r="R91" s="8650" t="n"/>
      <c r="S91" s="8650" t="inlineStr">
        <is>
          <t xml:space="preserve"> Do not enter more than </t>
        </is>
      </c>
      <c r="T91" s="11602" t="n"/>
      <c r="U91" s="11602" t="n"/>
      <c r="V91" s="11602" t="n"/>
      <c r="W91" s="11602" t="n"/>
      <c r="X91" s="8650" t="n"/>
      <c r="Y91" s="8650">
        <f>TEXT(AE91,"$0,000")&amp;" reduced"</f>
        <v/>
      </c>
      <c r="Z91" s="11602" t="n"/>
      <c r="AA91" s="11602" t="n"/>
      <c r="AB91" s="11602" t="n"/>
      <c r="AC91" s="11602" t="n"/>
      <c r="AD91" s="726" t="n"/>
      <c r="AE91" s="10874" t="n">
        <v>10000</v>
      </c>
      <c r="AF91" s="7839" t="n"/>
      <c r="AG91" s="7839" t="n"/>
      <c r="AH91" s="7839" t="n"/>
      <c r="AI91" s="7839" t="n"/>
      <c r="AJ91" s="7839" t="n"/>
      <c r="AK91" s="2013" t="n"/>
      <c r="AL91" s="11602" t="n"/>
      <c r="AM91" s="344" t="n"/>
      <c r="AN91" s="11602" t="n"/>
      <c r="AO91" s="6941" t="n"/>
      <c r="AP91" s="6941" t="n"/>
    </row>
    <row r="92" ht="16.5" customHeight="1" s="7635">
      <c r="A92" s="2013" t="n"/>
      <c r="B92" s="11602" t="n"/>
      <c r="C92" s="11216" t="n"/>
      <c r="D92" s="2006" t="inlineStr">
        <is>
          <t>by the total of all your prior qualified first-time homebuyer distributions</t>
        </is>
      </c>
      <c r="E92" s="6996" t="n"/>
      <c r="F92" s="6996" t="n"/>
      <c r="G92" s="6996" t="n"/>
      <c r="H92" s="6996" t="n"/>
      <c r="I92" s="11602" t="n"/>
      <c r="J92" s="11602" t="n"/>
      <c r="K92" s="11602" t="n"/>
      <c r="L92" s="11602" t="n"/>
      <c r="M92" s="11602" t="n"/>
      <c r="N92" s="11602" t="n"/>
      <c r="O92" s="11602" t="n"/>
      <c r="P92" s="11602" t="n"/>
      <c r="Q92" s="11602" t="n"/>
      <c r="R92" s="11602" t="n"/>
      <c r="S92" s="11602" t="n"/>
      <c r="T92" s="11602" t="n"/>
      <c r="U92" s="11602" t="n"/>
      <c r="V92" s="11602" t="n"/>
      <c r="W92" s="11602" t="n"/>
      <c r="X92" s="11602" t="n"/>
      <c r="Y92" s="11602" t="n"/>
      <c r="Z92" s="11602" t="n"/>
      <c r="AA92" s="11602" t="n"/>
      <c r="AB92" s="11602" t="n"/>
      <c r="AC92" s="1401" t="inlineStr">
        <is>
          <t xml:space="preserve">.   .   .   .   .   .   .   .   .   .   .   .   </t>
        </is>
      </c>
      <c r="AD92" s="2918" t="inlineStr">
        <is>
          <t>20</t>
        </is>
      </c>
      <c r="AE92" s="10787" t="n"/>
      <c r="AF92" s="11717" t="n"/>
      <c r="AG92" s="11717" t="n"/>
      <c r="AH92" s="11717" t="n"/>
      <c r="AI92" s="11717" t="n"/>
      <c r="AJ92" s="11717" t="n"/>
      <c r="AK92" s="2013" t="n"/>
      <c r="AL92" s="7914" t="n"/>
      <c r="AM92" s="7914" t="n"/>
      <c r="AN92" s="11602" t="n"/>
    </row>
    <row r="93" ht="16.5" customHeight="1" s="7635">
      <c r="A93" s="2013" t="n"/>
      <c r="B93" s="11602" t="n"/>
      <c r="C93" s="2917" t="inlineStr">
        <is>
          <t>21</t>
        </is>
      </c>
      <c r="D93" s="7772" t="inlineStr">
        <is>
          <t>Subtract line 20 from line 19. If zero or less, enter -0-</t>
        </is>
      </c>
      <c r="E93" s="8650" t="n"/>
      <c r="F93" s="11602" t="n"/>
      <c r="G93" s="11602" t="n"/>
      <c r="H93" s="11602" t="n"/>
      <c r="I93" s="11602" t="n"/>
      <c r="J93" s="11602" t="n"/>
      <c r="K93" s="11602" t="n"/>
      <c r="L93" s="9892" t="n"/>
      <c r="M93" s="8650" t="n"/>
      <c r="N93" s="11602" t="n"/>
      <c r="O93" s="11602" t="n"/>
      <c r="P93" s="11602" t="n"/>
      <c r="Q93" s="11602" t="n"/>
      <c r="R93" s="11602" t="n"/>
      <c r="S93" s="11602" t="n"/>
      <c r="T93" s="11602" t="n"/>
      <c r="U93" s="11602" t="n"/>
      <c r="V93" s="11602" t="n"/>
      <c r="W93" s="11602" t="n"/>
      <c r="X93" s="11602" t="n"/>
      <c r="Y93" s="11602" t="n"/>
      <c r="Z93" s="11602" t="n"/>
      <c r="AA93" s="11602" t="n"/>
      <c r="AB93" s="11602" t="n"/>
      <c r="AC93" s="1401" t="inlineStr">
        <is>
          <t xml:space="preserve">.   .   .   .   .   .   .   .   .   .   .   .   .   .   .   .   .   .   .   .   </t>
        </is>
      </c>
      <c r="AD93" s="4502" t="n">
        <v>21</v>
      </c>
      <c r="AE93" s="10809">
        <f>IF(AE90="","",MAX(0,SUM(AE90,-AE92)))</f>
        <v/>
      </c>
      <c r="AF93" s="8412" t="n"/>
      <c r="AG93" s="8412" t="n"/>
      <c r="AH93" s="8412" t="n"/>
      <c r="AI93" s="8412" t="n"/>
      <c r="AJ93" s="8412" t="n"/>
      <c r="AK93" s="2013" t="n"/>
      <c r="AL93" s="11602" t="n"/>
      <c r="AM93" s="512">
        <f>AND(AE93&lt;&gt;"",AE93=0)</f>
        <v/>
      </c>
      <c r="AN93" s="11602" t="n"/>
      <c r="AY93" s="421" t="n"/>
      <c r="AZ93" s="421" t="n"/>
    </row>
    <row r="94" ht="16.5" customHeight="1" s="7635">
      <c r="A94" s="2013" t="n"/>
      <c r="B94" s="11602" t="n"/>
      <c r="C94" s="2917" t="n">
        <v>22</v>
      </c>
      <c r="D94" s="7772" t="inlineStr">
        <is>
          <t>Enter your basis in Roth IRA contributions. See instructions. If line 21 is zero, stop here</t>
        </is>
      </c>
      <c r="E94" s="8650" t="n"/>
      <c r="F94" s="11602" t="n"/>
      <c r="G94" s="11602" t="n"/>
      <c r="H94" s="11602" t="n"/>
      <c r="I94" s="7772" t="n"/>
      <c r="J94" s="11602" t="n"/>
      <c r="K94" s="11602" t="n"/>
      <c r="L94" s="9892" t="n"/>
      <c r="M94" s="8650" t="n"/>
      <c r="N94" s="11602" t="n"/>
      <c r="O94" s="11602" t="n"/>
      <c r="P94" s="11602" t="n"/>
      <c r="Q94" s="11602" t="n"/>
      <c r="R94" s="11602" t="n"/>
      <c r="S94" s="8650" t="n"/>
      <c r="T94" s="8650" t="n"/>
      <c r="U94" s="11602" t="n"/>
      <c r="V94" s="11602" t="n"/>
      <c r="W94" s="11602" t="n"/>
      <c r="X94" s="11602" t="n"/>
      <c r="Y94" s="11602" t="n"/>
      <c r="Z94" s="11602" t="n"/>
      <c r="AA94" s="11602" t="n"/>
      <c r="AB94" s="11602" t="n"/>
      <c r="AC94" s="1401" t="inlineStr">
        <is>
          <t xml:space="preserve">.   .   .   .   .   .  </t>
        </is>
      </c>
      <c r="AD94" s="2918" t="n">
        <v>22</v>
      </c>
      <c r="AE94" s="10787" t="n"/>
      <c r="AF94" s="11717" t="n"/>
      <c r="AG94" s="11717" t="n"/>
      <c r="AH94" s="11717" t="n"/>
      <c r="AI94" s="11717" t="n"/>
      <c r="AJ94" s="11717" t="n"/>
      <c r="AK94" s="2013" t="n"/>
      <c r="AL94" s="11602" t="n"/>
      <c r="AM94" s="344" t="n"/>
      <c r="AN94" s="11602" t="n"/>
      <c r="AY94" s="421" t="n"/>
      <c r="AZ94" s="421" t="n"/>
    </row>
    <row r="95" ht="16.5" customHeight="1" s="7635">
      <c r="A95" s="2013" t="n"/>
      <c r="B95" s="11602" t="n"/>
      <c r="C95" s="2917" t="n">
        <v>23</v>
      </c>
      <c r="D95" s="7772" t="inlineStr">
        <is>
          <t>Subtract line 22 from line 21. If zero or less, enter -0- and skip lines 24 and 25. If more than zero, you</t>
        </is>
      </c>
      <c r="E95" s="6996" t="n"/>
      <c r="F95" s="6996" t="n"/>
      <c r="G95" s="6996" t="n"/>
      <c r="H95" s="11602" t="n"/>
      <c r="I95" s="11602" t="n"/>
      <c r="J95" s="11602" t="n"/>
      <c r="K95" s="11602" t="n"/>
      <c r="L95" s="11602" t="n"/>
      <c r="M95" s="11602" t="n"/>
      <c r="N95" s="11602" t="n"/>
      <c r="O95" s="11602" t="n"/>
      <c r="P95" s="11602" t="n"/>
      <c r="Q95" s="11602" t="n"/>
      <c r="R95" s="8650" t="n"/>
      <c r="S95" s="11602" t="n"/>
      <c r="T95" s="11602" t="n"/>
      <c r="U95" s="11602" t="n"/>
      <c r="V95" s="11602" t="n"/>
      <c r="W95" s="11602" t="n"/>
      <c r="X95" s="8650" t="n"/>
      <c r="Y95" s="11602" t="n"/>
      <c r="Z95" s="11602" t="n"/>
      <c r="AA95" s="11602" t="n"/>
      <c r="AB95" s="11602" t="n"/>
      <c r="AC95" s="11602" t="n"/>
      <c r="AD95" s="726" t="n"/>
      <c r="AE95" s="10807" t="n"/>
      <c r="AF95" s="7839" t="n"/>
      <c r="AG95" s="7839" t="n"/>
      <c r="AH95" s="7839" t="n"/>
      <c r="AI95" s="7839" t="n"/>
      <c r="AJ95" s="7839" t="n"/>
      <c r="AK95" s="2013" t="n"/>
      <c r="AL95" s="11602" t="n"/>
      <c r="AM95" s="344" t="n"/>
      <c r="AN95" s="11602" t="n"/>
    </row>
    <row r="96" ht="16.5" customHeight="1" s="7635">
      <c r="A96" s="2013" t="n"/>
      <c r="B96" s="11602" t="n"/>
      <c r="C96" s="11216" t="n"/>
      <c r="D96" s="7772" t="inlineStr">
        <is>
          <t>may be subject to an additional tax. See instructions</t>
        </is>
      </c>
      <c r="E96" s="6996" t="n"/>
      <c r="F96" s="6996" t="n"/>
      <c r="G96" s="6996" t="n"/>
      <c r="H96" s="6996" t="n"/>
      <c r="I96" s="11602" t="n"/>
      <c r="J96" s="11602" t="n"/>
      <c r="K96" s="11602" t="n"/>
      <c r="L96" s="11602" t="n"/>
      <c r="M96" s="11602" t="n"/>
      <c r="N96" s="11602" t="n"/>
      <c r="O96" s="11602" t="n"/>
      <c r="P96" s="11602" t="n"/>
      <c r="Q96" s="11602" t="n"/>
      <c r="R96" s="11602" t="n"/>
      <c r="S96" s="11602" t="n"/>
      <c r="T96" s="11602" t="n"/>
      <c r="U96" s="11602" t="n"/>
      <c r="V96" s="11602" t="n"/>
      <c r="W96" s="11602" t="n"/>
      <c r="X96" s="11602" t="n"/>
      <c r="Y96" s="11602" t="n"/>
      <c r="Z96" s="11602" t="n"/>
      <c r="AA96" s="11602" t="n"/>
      <c r="AB96" s="11602" t="n"/>
      <c r="AC96" s="1401" t="inlineStr">
        <is>
          <t xml:space="preserve">.   .   .   .   .   .   .   .   .   .   .   .   .   .   .   .   .   .   .   .   .   </t>
        </is>
      </c>
      <c r="AD96" s="2918" t="n">
        <v>23</v>
      </c>
      <c r="AE96" s="10785">
        <f>IF(AE90="","",IF(NOT(AM93),MAX(0,SUM(AE93,-AE94)),""))</f>
        <v/>
      </c>
      <c r="AF96" s="7637" t="n"/>
      <c r="AG96" s="7637" t="n"/>
      <c r="AH96" s="7637" t="n"/>
      <c r="AI96" s="7637" t="n"/>
      <c r="AJ96" s="7637" t="n"/>
      <c r="AK96" s="2013" t="n"/>
      <c r="AL96" s="7914" t="n"/>
      <c r="AM96" s="7914" t="n"/>
      <c r="AN96" s="11602" t="n"/>
    </row>
    <row r="97" ht="16.5" customHeight="1" s="7635">
      <c r="A97" s="2013" t="n"/>
      <c r="B97" s="11602" t="n"/>
      <c r="C97" s="2917" t="n">
        <v>24</v>
      </c>
      <c r="D97" s="7772" t="inlineStr">
        <is>
          <t>Enter your basis in conversions from traditional IRAs and rollovers from qualified retirement plans to a</t>
        </is>
      </c>
      <c r="E97" s="6996" t="n"/>
      <c r="F97" s="6996" t="n"/>
      <c r="G97" s="6996" t="n"/>
      <c r="H97" s="11602" t="n"/>
      <c r="I97" s="11602" t="n"/>
      <c r="J97" s="11602" t="n"/>
      <c r="K97" s="11602" t="n"/>
      <c r="L97" s="11602" t="n"/>
      <c r="M97" s="11602" t="n"/>
      <c r="N97" s="11602" t="n"/>
      <c r="O97" s="11602" t="n"/>
      <c r="P97" s="11602" t="n"/>
      <c r="Q97" s="11602" t="n"/>
      <c r="R97" s="8650" t="n"/>
      <c r="S97" s="11602" t="n"/>
      <c r="T97" s="11602" t="n"/>
      <c r="U97" s="11602" t="n"/>
      <c r="V97" s="11602" t="n"/>
      <c r="W97" s="11602" t="n"/>
      <c r="X97" s="8650" t="n"/>
      <c r="Y97" s="11602" t="n"/>
      <c r="Z97" s="11602" t="n"/>
      <c r="AA97" s="11602" t="n"/>
      <c r="AB97" s="11602" t="n"/>
      <c r="AC97" s="11602" t="n"/>
      <c r="AD97" s="726" t="n"/>
      <c r="AE97" s="10807" t="n"/>
      <c r="AF97" s="7839" t="n"/>
      <c r="AG97" s="7839" t="n"/>
      <c r="AH97" s="7839" t="n"/>
      <c r="AI97" s="7839" t="n"/>
      <c r="AJ97" s="7839" t="n"/>
      <c r="AK97" s="2013" t="n"/>
      <c r="AL97" s="11602" t="n"/>
      <c r="AM97" s="344" t="n"/>
      <c r="AN97" s="11602" t="n"/>
    </row>
    <row r="98" ht="16.5" customHeight="1" s="7635">
      <c r="A98" s="2013" t="n"/>
      <c r="B98" s="11602" t="n"/>
      <c r="C98" s="11216" t="n"/>
      <c r="D98" s="8650" t="inlineStr">
        <is>
          <t>Roth IRA. See instructions</t>
        </is>
      </c>
      <c r="E98" s="6996" t="n"/>
      <c r="F98" s="6996" t="n"/>
      <c r="G98" s="6996" t="n"/>
      <c r="H98" s="6996" t="n"/>
      <c r="I98" s="11602" t="n"/>
      <c r="J98" s="11602" t="n"/>
      <c r="K98" s="11602" t="n"/>
      <c r="L98" s="11602" t="n"/>
      <c r="M98" s="11602" t="n"/>
      <c r="N98" s="11602" t="n"/>
      <c r="O98" s="11602" t="n"/>
      <c r="P98" s="11602" t="n"/>
      <c r="Q98" s="11602" t="n"/>
      <c r="R98" s="11602" t="n"/>
      <c r="S98" s="11602" t="n"/>
      <c r="T98" s="11602" t="n"/>
      <c r="U98" s="11602" t="n"/>
      <c r="V98" s="11602" t="n"/>
      <c r="W98" s="11602" t="n"/>
      <c r="X98" s="11602" t="n"/>
      <c r="Y98" s="11602" t="n"/>
      <c r="Z98" s="11602" t="n"/>
      <c r="AA98" s="11602" t="n"/>
      <c r="AB98" s="11602" t="n"/>
      <c r="AC98" s="1401" t="inlineStr">
        <is>
          <t xml:space="preserve"> .   .   .   .   .   .   .   .   .   .   .   .   .   .   .   .   .   .   .   .   .   .   .   .   .   .   .   .   .   .   .   .   .   .   .   .  </t>
        </is>
      </c>
      <c r="AD98" s="2918" t="n">
        <v>24</v>
      </c>
      <c r="AE98" s="10787" t="n"/>
      <c r="AF98" s="11717" t="n"/>
      <c r="AG98" s="11717" t="n"/>
      <c r="AH98" s="11717" t="n"/>
      <c r="AI98" s="11717" t="n"/>
      <c r="AJ98" s="11717" t="n"/>
      <c r="AK98" s="2013" t="n"/>
      <c r="AL98" s="7914" t="n"/>
      <c r="AM98" s="7914" t="n"/>
      <c r="AN98" s="11602" t="n"/>
    </row>
    <row r="99" ht="16.5" customHeight="1" s="7635">
      <c r="A99" s="2013" t="n"/>
      <c r="B99" s="11602" t="n"/>
      <c r="C99" s="2917" t="inlineStr">
        <is>
          <t>25 a</t>
        </is>
      </c>
      <c r="D99" s="2311" t="inlineStr">
        <is>
          <t>Subtract line 24 from line 23. If zero or less, enter -0- and skip lines 25b and 25c</t>
        </is>
      </c>
      <c r="E99" s="8650" t="n"/>
      <c r="F99" s="11602" t="n"/>
      <c r="G99" s="11602" t="n"/>
      <c r="H99" s="11602" t="n"/>
      <c r="I99" s="11602" t="n"/>
      <c r="J99" s="11602" t="n"/>
      <c r="K99" s="11602" t="n"/>
      <c r="L99" s="11602" t="n"/>
      <c r="M99" s="11602" t="n"/>
      <c r="N99" s="11602" t="n"/>
      <c r="O99" s="11602" t="n"/>
      <c r="P99" s="11602" t="n"/>
      <c r="Q99" s="11602" t="n"/>
      <c r="R99" s="11602" t="n"/>
      <c r="S99" s="11602" t="n"/>
      <c r="T99" s="11602" t="n"/>
      <c r="U99" s="11602" t="n"/>
      <c r="V99" s="11602" t="n"/>
      <c r="W99" s="11602" t="n"/>
      <c r="X99" s="11602" t="n"/>
      <c r="Y99" s="11602" t="n"/>
      <c r="Z99" s="11602" t="n"/>
      <c r="AA99" s="11602" t="n"/>
      <c r="AB99" s="11602" t="n"/>
      <c r="AC99" s="2198" t="inlineStr">
        <is>
          <t xml:space="preserve">.   .   .   .   .   .   .   .   .   .   .  </t>
        </is>
      </c>
      <c r="AD99" s="2918" t="inlineStr">
        <is>
          <t>25a</t>
        </is>
      </c>
      <c r="AE99" s="10809">
        <f>IF(AE90="","",IF(NOT(AM93),MAX(0,SUM(AE96,-AE98)),""))</f>
        <v/>
      </c>
      <c r="AF99" s="8412" t="n"/>
      <c r="AG99" s="8412" t="n"/>
      <c r="AH99" s="8412" t="n"/>
      <c r="AI99" s="8412" t="n"/>
      <c r="AJ99" s="8412" t="n"/>
      <c r="AK99" s="2013" t="n"/>
      <c r="AL99" s="11602" t="n"/>
      <c r="AM99" s="344" t="n"/>
      <c r="AN99" s="11602" t="n"/>
      <c r="AY99" s="421" t="n"/>
      <c r="AZ99" s="421" t="n"/>
    </row>
    <row r="100" ht="16.5" customHeight="1" s="7635">
      <c r="A100" s="2013" t="n"/>
      <c r="B100" s="11602" t="n"/>
      <c r="C100" s="4478" t="inlineStr">
        <is>
          <t>b</t>
        </is>
      </c>
      <c r="D100" s="7772">
        <f>"Enter the amount on line 25a attributable to qualified disaster distributions, if any, from "&amp;TaxYear&amp;" Form(s)"</f>
        <v/>
      </c>
      <c r="E100" s="8650" t="n"/>
      <c r="F100" s="11602" t="n"/>
      <c r="G100" s="11602" t="n"/>
      <c r="H100" s="11602" t="n"/>
      <c r="I100" s="11602" t="n"/>
      <c r="J100" s="11602" t="n"/>
      <c r="K100" s="11602" t="n"/>
      <c r="L100" s="11602" t="n"/>
      <c r="M100" s="11602" t="n"/>
      <c r="N100" s="11602" t="n"/>
      <c r="O100" s="11602" t="n"/>
      <c r="P100" s="11602" t="n"/>
      <c r="Q100" s="11602" t="n"/>
      <c r="R100" s="11602" t="n"/>
      <c r="S100" s="11602" t="n"/>
      <c r="T100" s="11602" t="n"/>
      <c r="U100" s="11602" t="n"/>
      <c r="V100" s="11602" t="n"/>
      <c r="W100" s="11602" t="n"/>
      <c r="X100" s="11602" t="n"/>
      <c r="Y100" s="11602" t="n"/>
      <c r="Z100" s="8650" t="n"/>
      <c r="AA100" s="11602" t="n"/>
      <c r="AB100" s="11602" t="n"/>
      <c r="AC100" s="409" t="n"/>
      <c r="AD100" s="726" t="n"/>
      <c r="AE100" s="11602" t="n"/>
      <c r="AF100" s="11602" t="n"/>
      <c r="AG100" s="11602" t="n"/>
      <c r="AH100" s="11602" t="n"/>
      <c r="AI100" s="11602" t="n"/>
      <c r="AJ100" s="11602" t="n"/>
      <c r="AK100" s="2013" t="n"/>
      <c r="AL100" s="11602" t="n"/>
      <c r="AM100" s="344" t="n"/>
      <c r="AN100" s="11602" t="n"/>
    </row>
    <row r="101" ht="16.5" customHeight="1" s="7635">
      <c r="A101" s="2013" t="n"/>
      <c r="B101" s="11602" t="n"/>
      <c r="C101" s="11216" t="n"/>
      <c r="D101" s="7772">
        <f>"8915-F. See instructions. Also, enter this amount on "&amp;TaxYear&amp;" Form(s) 8915-F, line 19, as applicable. See"</f>
        <v/>
      </c>
      <c r="E101" s="6996" t="n"/>
      <c r="F101" s="6996" t="n"/>
      <c r="G101" s="6996" t="n"/>
      <c r="H101" s="11602" t="n"/>
      <c r="I101" s="11602" t="n"/>
      <c r="J101" s="11602" t="n"/>
      <c r="K101" s="11602" t="n"/>
      <c r="L101" s="11602" t="n"/>
      <c r="M101" s="11602" t="n"/>
      <c r="N101" s="11602" t="n"/>
      <c r="O101" s="11602" t="n"/>
      <c r="P101" s="11602" t="n"/>
      <c r="Q101" s="11602" t="n"/>
      <c r="R101" s="11602" t="n"/>
      <c r="S101" s="11602" t="n"/>
      <c r="T101" s="11602" t="n"/>
      <c r="U101" s="11602" t="n"/>
      <c r="V101" s="11602" t="n"/>
      <c r="W101" s="11602" t="n"/>
      <c r="X101" s="3775" t="n"/>
      <c r="Y101" s="8650" t="n"/>
      <c r="Z101" s="11602" t="n"/>
      <c r="AA101" s="8650" t="n"/>
      <c r="AB101" s="8650" t="n"/>
      <c r="AC101" s="4503" t="n"/>
      <c r="AD101" s="726" t="n"/>
      <c r="AE101" s="11602" t="n"/>
      <c r="AF101" s="11602" t="n"/>
      <c r="AG101" s="11602" t="n"/>
      <c r="AH101" s="11602" t="n"/>
      <c r="AI101" s="11602" t="n"/>
      <c r="AJ101" s="11602" t="n"/>
      <c r="AK101" s="2013" t="n"/>
      <c r="AL101" s="11602" t="n"/>
      <c r="AM101" s="344" t="n"/>
      <c r="AN101" s="11602" t="n"/>
    </row>
    <row r="102" ht="16.5" customHeight="1" s="7635">
      <c r="A102" s="2013" t="n"/>
      <c r="B102" s="11602" t="n"/>
      <c r="C102" s="11216" t="n"/>
      <c r="D102" s="7772" t="inlineStr">
        <is>
          <t>instructions</t>
        </is>
      </c>
      <c r="E102" s="6996" t="n"/>
      <c r="F102" s="6996" t="n"/>
      <c r="G102" s="6996" t="n"/>
      <c r="H102" s="6996" t="n"/>
      <c r="I102" s="11602" t="n"/>
      <c r="J102" s="11602" t="n"/>
      <c r="K102" s="8650" t="n"/>
      <c r="L102" s="11602" t="n"/>
      <c r="M102" s="11602" t="n"/>
      <c r="N102" s="11602" t="n"/>
      <c r="O102" s="11602" t="n"/>
      <c r="P102" s="11602" t="n"/>
      <c r="Q102" s="11602" t="n"/>
      <c r="R102" s="11602" t="n"/>
      <c r="S102" s="11602" t="n"/>
      <c r="T102" s="11602" t="n"/>
      <c r="U102" s="11602" t="n"/>
      <c r="V102" s="11602" t="n"/>
      <c r="W102" s="11602" t="n"/>
      <c r="X102" s="11602" t="n"/>
      <c r="Y102" s="11602" t="n"/>
      <c r="Z102" s="11602" t="n"/>
      <c r="AA102" s="11602" t="n"/>
      <c r="AB102" s="11602" t="n"/>
      <c r="AC102" s="1401" t="inlineStr">
        <is>
          <t xml:space="preserve">.   .   .   .   .   .   .   .   .   .   .   .   .   .   .   .   .   .   .   .   .   .   .   .   .   .   .   .   .   .   .   .   .   .   .   .   .   .   .   .   .   .   .  </t>
        </is>
      </c>
      <c r="AD102" s="2918" t="inlineStr">
        <is>
          <t>25b</t>
        </is>
      </c>
      <c r="AE102" s="10787" t="n"/>
      <c r="AF102" s="11717" t="n"/>
      <c r="AG102" s="11717" t="n"/>
      <c r="AH102" s="11717" t="n"/>
      <c r="AI102" s="11717" t="n"/>
      <c r="AJ102" s="11717" t="n"/>
      <c r="AK102" s="2013" t="n"/>
      <c r="AL102" s="7914" t="n"/>
      <c r="AM102" s="7914" t="n"/>
      <c r="AN102" s="11602" t="n"/>
    </row>
    <row r="103" ht="16.5" customHeight="1" s="7635">
      <c r="A103" s="2013" t="n"/>
      <c r="B103" s="11602" t="n"/>
      <c r="C103" s="4478" t="inlineStr">
        <is>
          <t>c</t>
        </is>
      </c>
      <c r="D103" s="514" t="inlineStr">
        <is>
          <t>Taxable amount.</t>
        </is>
      </c>
      <c r="E103" s="6996" t="n"/>
      <c r="F103" s="6996" t="n"/>
      <c r="G103" s="6996" t="n"/>
      <c r="H103" s="11602" t="n"/>
      <c r="I103" s="8650">
        <f>"Subtract line 25b from line 25a. If more than zero, also include this amount on "&amp;TaxYear</f>
        <v/>
      </c>
      <c r="J103" s="11602" t="n"/>
      <c r="K103" s="11602" t="n"/>
      <c r="L103" s="11602" t="n"/>
      <c r="M103" s="11602" t="n"/>
      <c r="N103" s="11602" t="n"/>
      <c r="O103" s="11602" t="n"/>
      <c r="P103" s="11602" t="n"/>
      <c r="Q103" s="11602" t="n"/>
      <c r="R103" s="11602" t="n"/>
      <c r="S103" s="11602" t="n"/>
      <c r="T103" s="11602" t="n"/>
      <c r="U103" s="11602" t="n"/>
      <c r="V103" s="11602" t="n"/>
      <c r="W103" s="11602" t="n"/>
      <c r="X103" s="11602" t="n"/>
      <c r="Y103" s="11602" t="n"/>
      <c r="Z103" s="11602" t="n"/>
      <c r="AA103" s="11602" t="n"/>
      <c r="AB103" s="11602" t="n"/>
      <c r="AC103" s="11602" t="n"/>
      <c r="AD103" s="726" t="n"/>
      <c r="AE103" s="11602" t="n"/>
      <c r="AF103" s="11602" t="n"/>
      <c r="AG103" s="11602" t="n"/>
      <c r="AH103" s="11602" t="n"/>
      <c r="AI103" s="11602" t="n"/>
      <c r="AJ103" s="11602" t="n"/>
      <c r="AK103" s="2013" t="n"/>
      <c r="AL103" s="11602" t="n"/>
      <c r="AM103" s="344" t="n"/>
      <c r="AN103" s="11602" t="n"/>
    </row>
    <row r="104" ht="16.5" customHeight="1" s="7635">
      <c r="A104" s="2013" t="n"/>
      <c r="B104" s="11602" t="n"/>
      <c r="C104" s="4478" t="n"/>
      <c r="D104" s="7772" t="inlineStr">
        <is>
          <t>plan distribution repayments (other than those reported on Form 8915-F) that are treated as rollovers.</t>
        </is>
      </c>
      <c r="E104" s="6996" t="n"/>
      <c r="F104" s="6996" t="n"/>
      <c r="G104" s="6996" t="n"/>
      <c r="H104" s="11602" t="n"/>
      <c r="I104" s="8650" t="n"/>
      <c r="J104" s="11602" t="n"/>
      <c r="K104" s="11602" t="n"/>
      <c r="L104" s="11602" t="n"/>
      <c r="M104" s="11602" t="n"/>
      <c r="N104" s="11602" t="n"/>
      <c r="O104" s="11602" t="n"/>
      <c r="P104" s="11602" t="n"/>
      <c r="Q104" s="11602" t="n"/>
      <c r="R104" s="11602" t="n"/>
      <c r="S104" s="11602" t="n"/>
      <c r="T104" s="11602" t="n"/>
      <c r="U104" s="11602" t="n"/>
      <c r="V104" s="11602" t="n"/>
      <c r="W104" s="11602" t="n"/>
      <c r="X104" s="11602" t="n"/>
      <c r="Y104" s="11602" t="n"/>
      <c r="Z104" s="11602" t="n"/>
      <c r="AA104" s="11602" t="n"/>
      <c r="AB104" s="11602" t="n"/>
      <c r="AC104" s="11602" t="n"/>
      <c r="AD104" s="726" t="n"/>
      <c r="AE104" s="11602" t="n"/>
      <c r="AF104" s="11602" t="n"/>
      <c r="AG104" s="11602" t="n"/>
      <c r="AH104" s="11602" t="n"/>
      <c r="AI104" s="11602" t="n"/>
      <c r="AJ104" s="11602" t="n"/>
      <c r="AK104" s="2013" t="n"/>
      <c r="AL104" s="11602" t="n"/>
      <c r="AM104" s="344" t="n"/>
      <c r="AN104" s="11602" t="n"/>
    </row>
    <row r="105" ht="16.5" customHeight="1" s="7635">
      <c r="A105" s="2013" t="n"/>
      <c r="B105" s="11602" t="n"/>
      <c r="C105" s="4478" t="n"/>
      <c r="D105" s="7772">
        <f>"See instructions.  If more than zero, also include this amount on  "&amp;TaxYear&amp;" Form 1040,  1040-SR,"</f>
        <v/>
      </c>
      <c r="E105" s="6996" t="n"/>
      <c r="F105" s="6996" t="n"/>
      <c r="G105" s="6996" t="n"/>
      <c r="H105" s="11602" t="n"/>
      <c r="I105" s="8650" t="n"/>
      <c r="J105" s="11602" t="n"/>
      <c r="K105" s="11602" t="n"/>
      <c r="L105" s="11602" t="n"/>
      <c r="M105" s="11602" t="n"/>
      <c r="N105" s="11602" t="n"/>
      <c r="O105" s="11602" t="n"/>
      <c r="P105" s="11602" t="n"/>
      <c r="Q105" s="11602" t="n"/>
      <c r="R105" s="11602" t="n"/>
      <c r="S105" s="11602" t="n"/>
      <c r="T105" s="11602" t="n"/>
      <c r="U105" s="11602" t="n"/>
      <c r="V105" s="11602" t="n"/>
      <c r="W105" s="11602" t="n"/>
      <c r="X105" s="11602" t="n"/>
      <c r="Y105" s="11602" t="n"/>
      <c r="Z105" s="11602" t="n"/>
      <c r="AA105" s="514" t="inlineStr">
        <is>
          <t>or</t>
        </is>
      </c>
      <c r="AB105" s="11602" t="n"/>
      <c r="AC105" s="11602" t="n"/>
      <c r="AD105" s="726" t="n"/>
      <c r="AE105" s="11602" t="n"/>
      <c r="AF105" s="11602" t="n"/>
      <c r="AG105" s="11602" t="n"/>
      <c r="AH105" s="11602" t="n"/>
      <c r="AI105" s="11602" t="n"/>
      <c r="AJ105" s="11602" t="n"/>
      <c r="AK105" s="2013" t="n"/>
      <c r="AL105" s="11602" t="n"/>
      <c r="AM105" s="344" t="n"/>
      <c r="AN105" s="11602" t="n"/>
    </row>
    <row r="106" ht="16.5" customHeight="1" s="7635" thickBot="1">
      <c r="A106" s="2013" t="n"/>
      <c r="B106" s="380" t="n"/>
      <c r="C106" s="4504" t="n"/>
      <c r="D106" s="5003" t="inlineStr">
        <is>
          <t>1040-NR, line 4b</t>
        </is>
      </c>
      <c r="E106" s="4225" t="n"/>
      <c r="F106" s="4225" t="n"/>
      <c r="G106" s="4225" t="n"/>
      <c r="H106" s="4225" t="n"/>
      <c r="I106" s="380" t="n"/>
      <c r="J106" s="380" t="n"/>
      <c r="K106" s="380" t="n"/>
      <c r="L106" s="380" t="n"/>
      <c r="M106" s="380" t="n"/>
      <c r="N106" s="380" t="n"/>
      <c r="O106" s="380" t="n"/>
      <c r="P106" s="380" t="n"/>
      <c r="Q106" s="380" t="n"/>
      <c r="R106" s="380" t="n"/>
      <c r="S106" s="380" t="n"/>
      <c r="T106" s="380" t="n"/>
      <c r="U106" s="380" t="n"/>
      <c r="V106" s="380" t="n"/>
      <c r="W106" s="380" t="n"/>
      <c r="X106" s="380" t="n"/>
      <c r="Y106" s="380" t="n"/>
      <c r="Z106" s="380" t="n"/>
      <c r="AA106" s="380" t="n"/>
      <c r="AB106" s="380" t="n"/>
      <c r="AC106" s="10735" t="inlineStr">
        <is>
          <t xml:space="preserve">.   .   .   .   .   .   .   .   .   .   .   .   .   .   .   .   .   .   .   .   .   .   .   .   .   .   .   .   .   .   .   .   .   .   .   .   .   .   .   .   .  </t>
        </is>
      </c>
      <c r="AD106" s="2919" t="inlineStr">
        <is>
          <t>25c</t>
        </is>
      </c>
      <c r="AE106" s="10767">
        <f>IF(AE90="","",IF(NOT(AM93),MAX(0,SUM(AE99,-AE102)),""))</f>
        <v/>
      </c>
      <c r="AF106" s="8848" t="n"/>
      <c r="AG106" s="8848" t="n"/>
      <c r="AH106" s="8848" t="n"/>
      <c r="AI106" s="8848" t="n"/>
      <c r="AJ106" s="8848" t="n"/>
      <c r="AK106" s="2013" t="n"/>
      <c r="AL106" s="7914" t="n"/>
      <c r="AM106" s="7914" t="n"/>
      <c r="AN106" s="11602" t="n"/>
    </row>
    <row r="107" ht="12" customFormat="1" customHeight="1" s="815">
      <c r="A107" s="2013" t="n"/>
      <c r="B107" s="12675" t="inlineStr">
        <is>
          <t>Sign Here Only
if You Are Filing
This Form by Itself
and Not With Your 
Tax Return</t>
        </is>
      </c>
      <c r="C107" s="2506" t="n"/>
      <c r="D107" s="2506" t="n"/>
      <c r="E107" s="2506" t="n"/>
      <c r="F107" s="2506" t="n"/>
      <c r="G107" s="2506" t="n"/>
      <c r="H107" s="6746" t="inlineStr">
        <is>
          <t>Under penalties of perjury, I declare that I have examined this form, including accompanying attachments, and to the best of my knowledge and</t>
        </is>
      </c>
      <c r="I107" s="7121" t="n"/>
      <c r="J107" s="4505" t="n"/>
      <c r="K107" s="4505" t="n"/>
      <c r="L107" s="4505" t="n"/>
      <c r="M107" s="4505" t="n"/>
      <c r="N107" s="4505" t="n"/>
      <c r="O107" s="344" t="n"/>
      <c r="P107" s="344" t="n"/>
      <c r="Q107" s="344" t="n"/>
      <c r="R107" s="344" t="n"/>
      <c r="S107" s="344" t="n"/>
      <c r="T107" s="344" t="n"/>
      <c r="U107" s="9750" t="n"/>
      <c r="V107" s="4505" t="n"/>
      <c r="W107" s="4505" t="n"/>
      <c r="X107" s="4505" t="n"/>
      <c r="Y107" s="4505" t="n"/>
      <c r="Z107" s="4505" t="n"/>
      <c r="AA107" s="4505" t="n"/>
      <c r="AB107" s="4505" t="n"/>
      <c r="AC107" s="4505" t="n"/>
      <c r="AD107" s="4505" t="n"/>
      <c r="AE107" s="4505" t="n"/>
      <c r="AF107" s="344" t="n"/>
      <c r="AG107" s="344" t="n"/>
      <c r="AH107" s="344" t="n"/>
      <c r="AI107" s="344" t="n"/>
      <c r="AJ107" s="344" t="n"/>
      <c r="AK107" s="2013" t="n"/>
      <c r="AL107" s="11602" t="n"/>
      <c r="AM107" s="344" t="n"/>
      <c r="AN107" s="11602" t="n"/>
      <c r="AO107" s="658" t="n"/>
      <c r="AP107" s="658" t="n"/>
      <c r="AQ107" s="658" t="n"/>
      <c r="AR107" s="658" t="n"/>
      <c r="AS107" s="658" t="n"/>
      <c r="AT107" s="658" t="n"/>
      <c r="AU107" s="658" t="n"/>
      <c r="AV107" s="658" t="n"/>
      <c r="AW107" s="658" t="n"/>
      <c r="AX107" s="658" t="n"/>
    </row>
    <row r="108" ht="14.25" customFormat="1" customHeight="1" s="815">
      <c r="A108" s="2013" t="n"/>
      <c r="H108" s="6747" t="inlineStr">
        <is>
          <t>belief, it is true, correct, and complete. Declaration of preparer (other than taxpayer) is based on all information of which preparer has any knowledge.</t>
        </is>
      </c>
      <c r="I108" s="7123" t="n"/>
      <c r="J108" s="4505" t="n"/>
      <c r="K108" s="4505" t="n"/>
      <c r="L108" s="4505" t="n"/>
      <c r="M108" s="4505" t="n"/>
      <c r="N108" s="4505" t="n"/>
      <c r="O108" s="10859" t="n"/>
      <c r="P108" s="344" t="n"/>
      <c r="Q108" s="344" t="n"/>
      <c r="R108" s="10859" t="n"/>
      <c r="S108" s="344" t="n"/>
      <c r="T108" s="344" t="n"/>
      <c r="U108" s="344" t="n"/>
      <c r="V108" s="4505" t="n"/>
      <c r="W108" s="4505" t="n"/>
      <c r="X108" s="4505" t="n"/>
      <c r="Y108" s="4505" t="n"/>
      <c r="Z108" s="4505" t="n"/>
      <c r="AA108" s="4505" t="n"/>
      <c r="AB108" s="4505" t="n"/>
      <c r="AC108" s="4505" t="n"/>
      <c r="AD108" s="4505" t="n"/>
      <c r="AE108" s="4505" t="n"/>
      <c r="AF108" s="10859" t="n"/>
      <c r="AG108" s="344" t="n"/>
      <c r="AH108" s="344" t="n"/>
      <c r="AI108" s="10859" t="n"/>
      <c r="AJ108" s="344" t="n"/>
      <c r="AK108" s="2013" t="n"/>
      <c r="AL108" s="11602" t="n"/>
      <c r="AM108" s="344" t="n"/>
      <c r="AN108" s="11602" t="n"/>
      <c r="AO108" s="658" t="n"/>
      <c r="AP108" s="658" t="n"/>
      <c r="AQ108" s="658" t="n"/>
      <c r="AR108" s="658" t="n"/>
      <c r="AS108" s="658" t="n"/>
      <c r="AT108" s="658" t="n"/>
      <c r="AU108" s="658" t="n"/>
      <c r="AV108" s="658" t="n"/>
      <c r="AW108" s="658" t="n"/>
      <c r="AX108" s="658" t="n"/>
    </row>
    <row r="109" ht="15.75" customFormat="1" customHeight="1" s="815">
      <c r="A109" s="2013" t="n"/>
      <c r="H109" s="4506" t="n"/>
      <c r="I109" s="4505" t="n"/>
      <c r="J109" s="4505" t="n"/>
      <c r="K109" s="4505" t="n"/>
      <c r="L109" s="4505" t="n"/>
      <c r="M109" s="4505" t="n"/>
      <c r="N109" s="4505" t="n"/>
      <c r="O109" s="344" t="n"/>
      <c r="P109" s="344" t="n"/>
      <c r="Q109" s="344" t="n"/>
      <c r="R109" s="344" t="n"/>
      <c r="S109" s="344" t="n"/>
      <c r="T109" s="344" t="n"/>
      <c r="U109" s="344" t="n"/>
      <c r="V109" s="4505" t="n"/>
      <c r="W109" s="4505" t="n"/>
      <c r="X109" s="4505" t="n"/>
      <c r="Y109" s="4505" t="n"/>
      <c r="Z109" s="4505" t="n"/>
      <c r="AA109" s="4505" t="n"/>
      <c r="AB109" s="4505" t="n"/>
      <c r="AC109" s="4505" t="n"/>
      <c r="AD109" s="4505" t="n"/>
      <c r="AE109" s="4505" t="n"/>
      <c r="AF109" s="344" t="n"/>
      <c r="AG109" s="344" t="n"/>
      <c r="AH109" s="344" t="n"/>
      <c r="AI109" s="344" t="n"/>
      <c r="AJ109" s="344" t="n"/>
      <c r="AK109" s="2013" t="n"/>
      <c r="AL109" s="11602" t="n"/>
      <c r="AM109" s="344" t="n"/>
      <c r="AN109" s="11602" t="n"/>
      <c r="AO109" s="662" t="n"/>
      <c r="AP109" s="662" t="n"/>
      <c r="AQ109" s="662" t="n"/>
      <c r="AR109" s="662" t="n"/>
      <c r="AS109" s="662" t="n"/>
      <c r="AT109" s="662" t="n"/>
      <c r="AU109" s="662" t="n"/>
      <c r="AV109" s="662" t="n"/>
      <c r="AW109" s="662" t="n"/>
      <c r="AX109" s="662" t="n"/>
    </row>
    <row r="110" ht="15.75" customFormat="1" customHeight="1" s="815">
      <c r="A110" s="2013" t="n"/>
      <c r="H110" s="4506" t="n"/>
      <c r="I110" s="4505" t="n"/>
      <c r="J110" s="10860" t="n"/>
      <c r="K110" s="194" t="n"/>
      <c r="L110" s="194" t="n"/>
      <c r="M110" s="194" t="n"/>
      <c r="N110" s="194" t="n"/>
      <c r="O110" s="194" t="n"/>
      <c r="P110" s="194" t="n"/>
      <c r="Q110" s="194" t="n"/>
      <c r="R110" s="194" t="n"/>
      <c r="S110" s="194" t="n"/>
      <c r="T110" s="194" t="n"/>
      <c r="U110" s="194" t="n"/>
      <c r="V110" s="194" t="n"/>
      <c r="W110" s="194" t="n"/>
      <c r="X110" s="194" t="n"/>
      <c r="Y110" s="194" t="n"/>
      <c r="Z110" s="194" t="n"/>
      <c r="AA110" s="194" t="n"/>
      <c r="AB110" s="4505" t="n"/>
      <c r="AC110" s="4505" t="n"/>
      <c r="AD110" s="12676" t="n"/>
      <c r="AE110" s="194" t="n"/>
      <c r="AF110" s="194" t="n"/>
      <c r="AG110" s="194" t="n"/>
      <c r="AH110" s="194" t="n"/>
      <c r="AI110" s="194" t="n"/>
      <c r="AJ110" s="194" t="n"/>
      <c r="AK110" s="2013" t="n"/>
      <c r="AL110" s="11602" t="n"/>
      <c r="AM110" s="344" t="n"/>
      <c r="AN110" s="11602" t="n"/>
      <c r="AO110" s="658" t="n"/>
      <c r="AP110" s="658" t="n"/>
      <c r="AQ110" s="658" t="n"/>
      <c r="AR110" s="658" t="n"/>
      <c r="AS110" s="658" t="n"/>
      <c r="AT110" s="658" t="n"/>
      <c r="AU110" s="658" t="n"/>
      <c r="AV110" s="658" t="n"/>
      <c r="AW110" s="658" t="n"/>
      <c r="AX110" s="658" t="n"/>
    </row>
    <row r="111" ht="15.75" customFormat="1" customHeight="1" s="815">
      <c r="A111" s="2013" t="n"/>
      <c r="H111" s="4506" t="n"/>
      <c r="I111" s="4505" t="n"/>
      <c r="J111" s="11717" t="n"/>
      <c r="K111" s="11717" t="n"/>
      <c r="L111" s="11717" t="n"/>
      <c r="M111" s="11717" t="n"/>
      <c r="N111" s="11717" t="n"/>
      <c r="O111" s="11717" t="n"/>
      <c r="P111" s="11717" t="n"/>
      <c r="Q111" s="11717" t="n"/>
      <c r="R111" s="11717" t="n"/>
      <c r="S111" s="11717" t="n"/>
      <c r="T111" s="11717" t="n"/>
      <c r="U111" s="11717" t="n"/>
      <c r="V111" s="11717" t="n"/>
      <c r="W111" s="11717" t="n"/>
      <c r="X111" s="11717" t="n"/>
      <c r="Y111" s="11717" t="n"/>
      <c r="Z111" s="11717" t="n"/>
      <c r="AA111" s="11717" t="n"/>
      <c r="AB111" s="4505" t="n"/>
      <c r="AC111" s="4505" t="n"/>
      <c r="AD111" s="11717" t="n"/>
      <c r="AE111" s="11717" t="n"/>
      <c r="AF111" s="11717" t="n"/>
      <c r="AG111" s="11717" t="n"/>
      <c r="AH111" s="11717" t="n"/>
      <c r="AI111" s="11717" t="n"/>
      <c r="AJ111" s="11717" t="n"/>
      <c r="AK111" s="2013" t="n"/>
      <c r="AL111" s="11602" t="n"/>
      <c r="AM111" s="344" t="n"/>
      <c r="AN111" s="11602" t="n"/>
      <c r="AO111" s="658" t="n"/>
      <c r="AP111" s="658" t="n"/>
      <c r="AQ111" s="658" t="n"/>
      <c r="AR111" s="658" t="n"/>
      <c r="AS111" s="658" t="n"/>
      <c r="AT111" s="658" t="n"/>
      <c r="AU111" s="658" t="n"/>
      <c r="AV111" s="658" t="n"/>
      <c r="AW111" s="658" t="n"/>
      <c r="AX111" s="658" t="n"/>
    </row>
    <row r="112" ht="11.25" customFormat="1" customHeight="1" s="815">
      <c r="A112" s="2013" t="n"/>
      <c r="B112" s="7637" t="n"/>
      <c r="C112" s="7637" t="n"/>
      <c r="D112" s="7637" t="n"/>
      <c r="E112" s="7637" t="n"/>
      <c r="F112" s="7637" t="n"/>
      <c r="G112" s="7637" t="n"/>
      <c r="H112" s="4508" t="n"/>
      <c r="I112" s="4252" t="n"/>
      <c r="J112" s="507" t="inlineStr">
        <is>
          <t>Your signature</t>
        </is>
      </c>
      <c r="K112" s="4252" t="n"/>
      <c r="L112" s="4252" t="n"/>
      <c r="M112" s="4252" t="n"/>
      <c r="N112" s="4252" t="n"/>
      <c r="O112" s="569" t="n"/>
      <c r="P112" s="569" t="n"/>
      <c r="Q112" s="569" t="n"/>
      <c r="R112" s="569" t="n"/>
      <c r="S112" s="569" t="n"/>
      <c r="T112" s="569" t="n"/>
      <c r="U112" s="569" t="n"/>
      <c r="V112" s="4252" t="n"/>
      <c r="W112" s="4252" t="n"/>
      <c r="X112" s="4252" t="n"/>
      <c r="Y112" s="4252" t="n"/>
      <c r="Z112" s="4252" t="n"/>
      <c r="AA112" s="4252" t="n"/>
      <c r="AB112" s="4252" t="n"/>
      <c r="AC112" s="4252" t="n"/>
      <c r="AD112" s="507" t="inlineStr">
        <is>
          <t>Date</t>
        </is>
      </c>
      <c r="AE112" s="4252" t="n"/>
      <c r="AF112" s="569" t="n"/>
      <c r="AG112" s="569" t="n"/>
      <c r="AH112" s="569" t="n"/>
      <c r="AI112" s="569" t="n"/>
      <c r="AJ112" s="569" t="n"/>
      <c r="AK112" s="2013" t="n"/>
      <c r="AL112" s="11602" t="n"/>
      <c r="AM112" s="344" t="n"/>
      <c r="AN112" s="11602" t="n"/>
      <c r="AO112" s="658" t="n"/>
      <c r="AP112" s="658" t="n"/>
      <c r="AQ112" s="658" t="n"/>
      <c r="AR112" s="658" t="n"/>
      <c r="AS112" s="658" t="n"/>
      <c r="AT112" s="658" t="n"/>
      <c r="AU112" s="658" t="n"/>
      <c r="AV112" s="658" t="n"/>
      <c r="AW112" s="658" t="n"/>
      <c r="AX112" s="658" t="n"/>
    </row>
    <row r="113" ht="12.75" customFormat="1" customHeight="1" s="815">
      <c r="A113" s="2013" t="n"/>
      <c r="B113" s="12677" t="inlineStr">
        <is>
          <t>Paid Preparer Use Only</t>
        </is>
      </c>
      <c r="C113" s="7839" t="n"/>
      <c r="D113" s="7839" t="n"/>
      <c r="E113" s="10091" t="n"/>
      <c r="F113" s="4509" t="inlineStr">
        <is>
          <t xml:space="preserve">  Print/Type preparer’s name</t>
        </is>
      </c>
      <c r="G113" s="4510" t="n"/>
      <c r="H113" s="4510" t="n"/>
      <c r="I113" s="4510" t="n"/>
      <c r="J113" s="4510" t="n"/>
      <c r="K113" s="4510" t="n"/>
      <c r="L113" s="4510" t="n"/>
      <c r="M113" s="4510" t="n"/>
      <c r="N113" s="4510" t="n"/>
      <c r="O113" s="4511" t="n"/>
      <c r="P113" s="4509" t="inlineStr">
        <is>
          <t xml:space="preserve">  Preparer’s signature</t>
        </is>
      </c>
      <c r="Q113" s="4510" t="n"/>
      <c r="R113" s="4510" t="n"/>
      <c r="S113" s="4510" t="n"/>
      <c r="T113" s="565" t="n"/>
      <c r="U113" s="4512" t="n"/>
      <c r="V113" s="4510" t="n"/>
      <c r="W113" s="4510" t="n"/>
      <c r="X113" s="4510" t="n"/>
      <c r="Y113" s="4511" t="n"/>
      <c r="Z113" s="4509" t="inlineStr">
        <is>
          <t xml:space="preserve">  Date</t>
        </is>
      </c>
      <c r="AA113" s="4510" t="n"/>
      <c r="AB113" s="4510" t="n"/>
      <c r="AC113" s="4511" t="n"/>
      <c r="AD113" s="4509" t="inlineStr">
        <is>
          <t>Check</t>
        </is>
      </c>
      <c r="AE113" s="4510" t="n"/>
      <c r="AF113" s="4510" t="inlineStr">
        <is>
          <t>if</t>
        </is>
      </c>
      <c r="AG113" s="4509" t="inlineStr">
        <is>
          <t xml:space="preserve"> PTIN</t>
        </is>
      </c>
      <c r="AH113" s="4510" t="n"/>
      <c r="AI113" s="4510" t="n"/>
      <c r="AJ113" s="4510" t="n"/>
      <c r="AK113" s="2013" t="n"/>
      <c r="AL113" s="11602" t="n"/>
      <c r="AM113" s="344" t="n"/>
      <c r="AN113" s="11602" t="n"/>
      <c r="AO113" s="658" t="n"/>
      <c r="AP113" s="658" t="n"/>
      <c r="AQ113" s="658" t="n"/>
      <c r="AR113" s="658" t="n"/>
      <c r="AS113" s="658" t="n"/>
      <c r="AT113" s="658" t="n"/>
      <c r="AU113" s="658" t="n"/>
      <c r="AV113" s="658" t="n"/>
      <c r="AW113" s="658" t="n"/>
      <c r="AX113" s="658" t="n"/>
    </row>
    <row r="114" ht="13.5" customFormat="1" customHeight="1" s="815">
      <c r="A114" s="2013" t="n"/>
      <c r="E114" s="7636" t="n"/>
      <c r="F114" s="12678" t="n"/>
      <c r="G114" s="194" t="n"/>
      <c r="H114" s="194" t="n"/>
      <c r="I114" s="194" t="n"/>
      <c r="J114" s="194" t="n"/>
      <c r="K114" s="194" t="n"/>
      <c r="L114" s="194" t="n"/>
      <c r="M114" s="194" t="n"/>
      <c r="N114" s="194" t="n"/>
      <c r="O114" s="11726" t="n"/>
      <c r="P114" s="4506" t="n"/>
      <c r="Q114" s="4505" t="n"/>
      <c r="R114" s="4505" t="n"/>
      <c r="S114" s="4505" t="n"/>
      <c r="T114" s="344" t="n"/>
      <c r="U114" s="344" t="n"/>
      <c r="V114" s="4505" t="n"/>
      <c r="W114" s="4505" t="n"/>
      <c r="X114" s="4505" t="n"/>
      <c r="Y114" s="4513" t="n"/>
      <c r="Z114" s="12679" t="n"/>
      <c r="AA114" s="194" t="n"/>
      <c r="AB114" s="194" t="n"/>
      <c r="AC114" s="11726" t="n"/>
      <c r="AD114" s="4514" t="n"/>
      <c r="AE114" s="384" t="n"/>
      <c r="AF114" s="4505" t="n"/>
      <c r="AG114" s="10783" t="n"/>
      <c r="AH114" s="194" t="n"/>
      <c r="AI114" s="194" t="n"/>
      <c r="AJ114" s="194" t="n"/>
      <c r="AK114" s="2013" t="n"/>
      <c r="AL114" s="11602" t="n"/>
      <c r="AM114" s="344" t="n"/>
      <c r="AN114" s="11602" t="n"/>
      <c r="AO114" s="658" t="n"/>
      <c r="AP114" s="658" t="n"/>
      <c r="AQ114" s="658" t="n"/>
      <c r="AR114" s="658" t="n"/>
      <c r="AS114" s="658" t="n"/>
      <c r="AT114" s="658" t="n"/>
      <c r="AU114" s="658" t="n"/>
      <c r="AV114" s="658" t="n"/>
      <c r="AW114" s="658" t="n"/>
      <c r="AX114" s="658" t="n"/>
    </row>
    <row r="115" ht="13.5" customFormat="1" customHeight="1" s="815">
      <c r="A115" s="2013" t="n"/>
      <c r="E115" s="7636" t="n"/>
      <c r="F115" s="11728" t="n"/>
      <c r="G115" s="11717" t="n"/>
      <c r="H115" s="11717" t="n"/>
      <c r="I115" s="11717" t="n"/>
      <c r="J115" s="11717" t="n"/>
      <c r="K115" s="11717" t="n"/>
      <c r="L115" s="11717" t="n"/>
      <c r="M115" s="11717" t="n"/>
      <c r="N115" s="11717" t="n"/>
      <c r="O115" s="11718" t="n"/>
      <c r="P115" s="4508" t="n"/>
      <c r="Q115" s="4252" t="n"/>
      <c r="R115" s="4252" t="n"/>
      <c r="S115" s="4252" t="n"/>
      <c r="T115" s="569" t="n"/>
      <c r="U115" s="569" t="n"/>
      <c r="V115" s="4252" t="n"/>
      <c r="W115" s="4252" t="n"/>
      <c r="X115" s="4252" t="n"/>
      <c r="Y115" s="4507" t="n"/>
      <c r="Z115" s="11728" t="n"/>
      <c r="AA115" s="11717" t="n"/>
      <c r="AB115" s="11717" t="n"/>
      <c r="AC115" s="11718" t="n"/>
      <c r="AD115" s="4515" t="inlineStr">
        <is>
          <t>self-employed</t>
        </is>
      </c>
      <c r="AE115" s="4252" t="n"/>
      <c r="AF115" s="4252" t="n"/>
      <c r="AG115" s="11728" t="n"/>
      <c r="AH115" s="11717" t="n"/>
      <c r="AI115" s="11717" t="n"/>
      <c r="AJ115" s="11717" t="n"/>
      <c r="AK115" s="2013" t="n"/>
      <c r="AL115" s="11602" t="n"/>
      <c r="AM115" s="344" t="n"/>
      <c r="AN115" s="11602" t="n"/>
      <c r="AO115" s="658" t="n"/>
      <c r="AP115" s="658" t="n"/>
      <c r="AQ115" s="658" t="n"/>
      <c r="AR115" s="658" t="n"/>
      <c r="AS115" s="658" t="n"/>
      <c r="AT115" s="658" t="n"/>
      <c r="AU115" s="658" t="n"/>
      <c r="AV115" s="658" t="n"/>
      <c r="AW115" s="658" t="n"/>
      <c r="AX115" s="658" t="n"/>
    </row>
    <row r="116" ht="14.25" customFormat="1" customHeight="1" s="815">
      <c r="A116" s="2013" t="n"/>
      <c r="E116" s="7636" t="n"/>
      <c r="F116" s="1149" t="inlineStr">
        <is>
          <t xml:space="preserve">  Firm's name</t>
        </is>
      </c>
      <c r="G116" s="4516" t="n"/>
      <c r="H116" s="1150" t="n"/>
      <c r="I116" s="1150" t="n"/>
      <c r="J116" s="1150" t="n"/>
      <c r="K116" s="10821" t="n"/>
      <c r="L116" s="8007" t="n"/>
      <c r="M116" s="8007" t="n"/>
      <c r="N116" s="8007" t="n"/>
      <c r="O116" s="8007" t="n"/>
      <c r="P116" s="8007" t="n"/>
      <c r="Q116" s="8007" t="n"/>
      <c r="R116" s="8007" t="n"/>
      <c r="S116" s="8007" t="n"/>
      <c r="T116" s="8007" t="n"/>
      <c r="U116" s="8007" t="n"/>
      <c r="V116" s="8007" t="n"/>
      <c r="W116" s="8007" t="n"/>
      <c r="X116" s="8007" t="n"/>
      <c r="Y116" s="8007" t="n"/>
      <c r="Z116" s="8007" t="n"/>
      <c r="AA116" s="8007" t="n"/>
      <c r="AB116" s="8007" t="n"/>
      <c r="AC116" s="8008" t="n"/>
      <c r="AD116" s="1149" t="inlineStr">
        <is>
          <t xml:space="preserve">  Firm's EIN</t>
        </is>
      </c>
      <c r="AE116" s="1150" t="n"/>
      <c r="AF116" s="4154" t="n"/>
      <c r="AG116" s="8399" t="n"/>
      <c r="AH116" s="8007" t="n"/>
      <c r="AI116" s="8007" t="n"/>
      <c r="AJ116" s="8007" t="n"/>
      <c r="AK116" s="2013" t="n"/>
      <c r="AL116" s="11602" t="n"/>
      <c r="AM116" s="344" t="n"/>
      <c r="AN116" s="11602" t="n"/>
      <c r="AO116" s="658" t="n"/>
      <c r="AP116" s="658" t="n"/>
      <c r="AQ116" s="658" t="n"/>
      <c r="AR116" s="658" t="n"/>
      <c r="AS116" s="658" t="n"/>
      <c r="AT116" s="658" t="n"/>
      <c r="AU116" s="658" t="n"/>
      <c r="AV116" s="658" t="n"/>
      <c r="AW116" s="658" t="n"/>
      <c r="AX116" s="658" t="n"/>
    </row>
    <row r="117" ht="14.25" customFormat="1" customHeight="1" s="815" thickBot="1">
      <c r="A117" s="2013" t="n"/>
      <c r="B117" s="11705" t="n"/>
      <c r="C117" s="11705" t="n"/>
      <c r="D117" s="11705" t="n"/>
      <c r="E117" s="11707" t="n"/>
      <c r="F117" s="4517" t="inlineStr">
        <is>
          <t xml:space="preserve">  Firm's address</t>
        </is>
      </c>
      <c r="G117" s="4518" t="n"/>
      <c r="H117" s="4518" t="n"/>
      <c r="I117" s="4518" t="n"/>
      <c r="J117" s="4518" t="n"/>
      <c r="K117" s="10820" t="n"/>
      <c r="L117" s="11820" t="n"/>
      <c r="M117" s="11820" t="n"/>
      <c r="N117" s="11820" t="n"/>
      <c r="O117" s="11820" t="n"/>
      <c r="P117" s="11820" t="n"/>
      <c r="Q117" s="11820" t="n"/>
      <c r="R117" s="11820" t="n"/>
      <c r="S117" s="11820" t="n"/>
      <c r="T117" s="11820" t="n"/>
      <c r="U117" s="11820" t="n"/>
      <c r="V117" s="11820" t="n"/>
      <c r="W117" s="11820" t="n"/>
      <c r="X117" s="11820" t="n"/>
      <c r="Y117" s="11820" t="n"/>
      <c r="Z117" s="11820" t="n"/>
      <c r="AA117" s="11820" t="n"/>
      <c r="AB117" s="11820" t="n"/>
      <c r="AC117" s="11821" t="n"/>
      <c r="AD117" s="4517" t="inlineStr">
        <is>
          <t xml:space="preserve">  Phone no.</t>
        </is>
      </c>
      <c r="AE117" s="4518" t="n"/>
      <c r="AF117" s="4518" t="n"/>
      <c r="AG117" s="12680" t="n"/>
      <c r="AH117" s="11820" t="n"/>
      <c r="AI117" s="11820" t="n"/>
      <c r="AJ117" s="11820" t="n"/>
      <c r="AK117" s="2013" t="n"/>
      <c r="AL117" s="11602" t="n"/>
      <c r="AM117" s="344" t="n"/>
      <c r="AN117" s="11602" t="n"/>
      <c r="AO117" s="658" t="n"/>
      <c r="AP117" s="658" t="n"/>
      <c r="AQ117" s="658" t="n"/>
      <c r="AR117" s="658" t="n"/>
      <c r="AS117" s="658" t="n"/>
      <c r="AT117" s="658" t="n"/>
      <c r="AU117" s="658" t="n"/>
      <c r="AV117" s="658" t="n"/>
      <c r="AW117" s="658" t="n"/>
      <c r="AX117" s="658" t="n"/>
    </row>
    <row r="118" ht="16.5" customFormat="1" customHeight="1" s="815" thickTop="1">
      <c r="A118" s="2013" t="n"/>
      <c r="B118" s="2447" t="n"/>
      <c r="C118" s="728" t="n"/>
      <c r="D118" s="11403" t="n"/>
      <c r="E118" s="11403" t="n"/>
      <c r="F118" s="11403" t="n"/>
      <c r="G118" s="11403" t="n"/>
      <c r="H118" s="11403" t="n"/>
      <c r="I118" s="11403" t="n"/>
      <c r="J118" s="11403" t="n"/>
      <c r="K118" s="11403" t="n"/>
      <c r="L118" s="11403" t="n"/>
      <c r="M118" s="11403" t="n"/>
      <c r="N118" s="11403" t="n"/>
      <c r="O118" s="11403" t="n"/>
      <c r="P118" s="11403" t="n"/>
      <c r="Q118" s="88" t="n"/>
      <c r="R118" s="88" t="n"/>
      <c r="S118" s="88" t="n"/>
      <c r="T118" s="88" t="n"/>
      <c r="U118" s="3931" t="n"/>
      <c r="V118" s="88" t="n"/>
      <c r="W118" s="3931" t="n"/>
      <c r="X118" s="88" t="n"/>
      <c r="Y118" s="88" t="n"/>
      <c r="Z118" s="88" t="n"/>
      <c r="AA118" s="88" t="n"/>
      <c r="AB118" s="88" t="n"/>
      <c r="AC118" s="88" t="n"/>
      <c r="AD118" s="88" t="n"/>
      <c r="AE118" s="88" t="n"/>
      <c r="AF118" s="88" t="n"/>
      <c r="AG118" s="88" t="n"/>
      <c r="AH118" s="2052" t="inlineStr">
        <is>
          <t>Form 8606</t>
        </is>
      </c>
      <c r="AI118" s="88" t="n"/>
      <c r="AJ118" s="2052">
        <f>"("&amp;TaxYear&amp;")"</f>
        <v/>
      </c>
      <c r="AK118" s="2013" t="n"/>
      <c r="AL118" s="6996" t="n"/>
      <c r="AM118" s="7957" t="n"/>
      <c r="AN118" s="11602" t="n"/>
      <c r="AO118" s="658" t="n"/>
      <c r="AP118" s="658" t="n"/>
      <c r="AQ118" s="658" t="n"/>
      <c r="AR118" s="658" t="n"/>
      <c r="AS118" s="658" t="n"/>
      <c r="AT118" s="658" t="n"/>
      <c r="AU118" s="658" t="n"/>
      <c r="AV118" s="658" t="n"/>
      <c r="AW118" s="658" t="n"/>
      <c r="AX118" s="658" t="n"/>
    </row>
    <row r="119" ht="24" customFormat="1" customHeight="1" s="815">
      <c r="A119" s="2013" t="n"/>
      <c r="B119" s="11602" t="n"/>
      <c r="C119" s="6996" t="n"/>
      <c r="D119" s="10857" t="inlineStr">
        <is>
          <t>8606</t>
        </is>
      </c>
      <c r="H119" s="719" t="n"/>
      <c r="I119" s="10649" t="inlineStr">
        <is>
          <t>Nondeductible IRAs</t>
        </is>
      </c>
      <c r="AB119" s="9671" t="n"/>
      <c r="AC119" s="10826" t="inlineStr">
        <is>
          <t>OMB No. 1545-0074</t>
        </is>
      </c>
      <c r="AD119" s="7637" t="n"/>
      <c r="AE119" s="7637" t="n"/>
      <c r="AF119" s="7637" t="n"/>
      <c r="AG119" s="7637" t="n"/>
      <c r="AH119" s="7637" t="n"/>
      <c r="AI119" s="7637" t="n"/>
      <c r="AJ119" s="7637" t="n"/>
      <c r="AK119" s="2013" t="n"/>
      <c r="AL119" s="11602" t="n"/>
      <c r="AM119" s="344" t="n"/>
      <c r="AN119" s="11602" t="n"/>
      <c r="AO119" s="658" t="n"/>
      <c r="AP119" s="658" t="n"/>
      <c r="AQ119" s="658" t="n"/>
      <c r="AR119" s="658" t="n"/>
      <c r="AS119" s="658" t="n"/>
      <c r="AT119" s="658" t="n"/>
      <c r="AU119" s="658" t="n"/>
      <c r="AV119" s="658" t="n"/>
      <c r="AW119" s="658" t="n"/>
      <c r="AX119" s="658" t="n"/>
    </row>
    <row r="120" ht="24" customFormat="1" customHeight="1" s="815">
      <c r="A120" s="2013" t="n"/>
      <c r="B120" s="9886" t="inlineStr">
        <is>
          <t>Form</t>
        </is>
      </c>
      <c r="H120" s="719" t="n"/>
      <c r="I120" s="9670" t="n"/>
      <c r="AB120" s="9671" t="n"/>
      <c r="AC120" s="10827">
        <f>TaxYear</f>
        <v/>
      </c>
      <c r="AD120" s="7839" t="n"/>
      <c r="AE120" s="7839" t="n"/>
      <c r="AF120" s="7839" t="n"/>
      <c r="AG120" s="7839" t="n"/>
      <c r="AH120" s="7839" t="n"/>
      <c r="AI120" s="7839" t="n"/>
      <c r="AJ120" s="7839" t="n"/>
      <c r="AK120" s="2013" t="n"/>
      <c r="AL120" s="11602" t="n"/>
      <c r="AM120" s="344" t="n"/>
      <c r="AN120" s="11602" t="n"/>
      <c r="AO120" s="658" t="n"/>
      <c r="AP120" s="658" t="n"/>
      <c r="AQ120" s="658" t="n"/>
      <c r="AR120" s="658" t="n"/>
      <c r="AS120" s="658" t="n"/>
      <c r="AT120" s="658" t="n"/>
      <c r="AU120" s="658" t="n"/>
      <c r="AV120" s="658" t="n"/>
      <c r="AW120" s="658" t="n"/>
      <c r="AX120" s="658" t="n"/>
    </row>
    <row r="121" ht="6.75" customFormat="1" customHeight="1" s="815">
      <c r="A121" s="2013" t="n"/>
      <c r="B121" s="11602" t="n"/>
      <c r="C121" s="6996" t="n"/>
      <c r="D121" s="11602" t="n"/>
      <c r="E121" s="11602" t="n"/>
      <c r="F121" s="11602" t="n"/>
      <c r="G121" s="11602" t="n"/>
      <c r="H121" s="719" t="n"/>
      <c r="I121" s="10877" t="inlineStr">
        <is>
          <t>Attach to Form 1040, 1040-SR, or 1040-NR.</t>
        </is>
      </c>
      <c r="AB121" s="9671" t="n"/>
      <c r="AC121" s="9670" t="n"/>
      <c r="AK121" s="2013" t="n"/>
      <c r="AL121" s="11602" t="n"/>
      <c r="AM121" s="344" t="n"/>
      <c r="AN121" s="11602" t="n"/>
      <c r="AO121" s="658" t="n"/>
      <c r="AP121" s="658" t="n"/>
      <c r="AQ121" s="658" t="n"/>
      <c r="AR121" s="658" t="n"/>
      <c r="AS121" s="658" t="n"/>
      <c r="AT121" s="658" t="n"/>
      <c r="AU121" s="658" t="n"/>
      <c r="AV121" s="658" t="n"/>
      <c r="AW121" s="658" t="n"/>
      <c r="AX121" s="658" t="n"/>
    </row>
    <row r="122" ht="12.75" customFormat="1" customHeight="1" s="815" thickBot="1">
      <c r="A122" s="2013" t="n"/>
      <c r="B122" s="11602" t="inlineStr">
        <is>
          <t>Department of the Treasury</t>
        </is>
      </c>
      <c r="C122" s="6996" t="n"/>
      <c r="D122" s="11602" t="n"/>
      <c r="E122" s="11602" t="n"/>
      <c r="F122" s="11602" t="n"/>
      <c r="G122" s="11602" t="n"/>
      <c r="H122" s="719" t="n"/>
      <c r="I122" s="9670" t="n"/>
      <c r="AB122" s="9671" t="n"/>
      <c r="AC122" s="11602" t="n"/>
      <c r="AD122" s="9237" t="inlineStr">
        <is>
          <t xml:space="preserve">   Attachment</t>
        </is>
      </c>
      <c r="AH122" s="9918" t="n">
        <v>48</v>
      </c>
      <c r="AJ122" s="11602" t="n"/>
      <c r="AK122" s="2013" t="n"/>
      <c r="AL122" s="7886" t="inlineStr">
        <is>
          <t>This Form 8606 is for:</t>
        </is>
      </c>
      <c r="AM122" s="344" t="n"/>
      <c r="AN122" s="11602" t="n"/>
      <c r="AO122" s="658" t="n"/>
      <c r="AP122" s="658" t="n"/>
      <c r="AQ122" s="658" t="n"/>
      <c r="AR122" s="658" t="n"/>
      <c r="AS122" s="658" t="n"/>
      <c r="AT122" s="658" t="n"/>
      <c r="AU122" s="658" t="n"/>
      <c r="AV122" s="658" t="n"/>
      <c r="AW122" s="658" t="n"/>
      <c r="AX122" s="658" t="n"/>
    </row>
    <row r="123" ht="13.5" customFormat="1" customHeight="1" s="815" thickBot="1">
      <c r="A123" s="2013" t="n"/>
      <c r="B123" s="498" t="inlineStr">
        <is>
          <t>Internal Revenue Service</t>
        </is>
      </c>
      <c r="C123" s="4225" t="n"/>
      <c r="D123" s="380" t="n"/>
      <c r="E123" s="380" t="n"/>
      <c r="F123" s="380" t="n"/>
      <c r="G123" s="380" t="n"/>
      <c r="H123" s="4469" t="n"/>
      <c r="I123" s="10801" t="inlineStr">
        <is>
          <t>Go to www.irs.gov/Form8606 for instructions and the latest information.</t>
        </is>
      </c>
      <c r="J123" s="8848" t="n"/>
      <c r="K123" s="8848" t="n"/>
      <c r="L123" s="8848" t="n"/>
      <c r="M123" s="8848" t="n"/>
      <c r="N123" s="8848" t="n"/>
      <c r="O123" s="8848" t="n"/>
      <c r="P123" s="8848" t="n"/>
      <c r="Q123" s="8848" t="n"/>
      <c r="R123" s="8848" t="n"/>
      <c r="S123" s="8848" t="n"/>
      <c r="T123" s="8848" t="n"/>
      <c r="U123" s="8848" t="n"/>
      <c r="V123" s="8848" t="n"/>
      <c r="W123" s="8848" t="n"/>
      <c r="X123" s="8848" t="n"/>
      <c r="Y123" s="8848" t="n"/>
      <c r="Z123" s="8848" t="n"/>
      <c r="AA123" s="8848" t="n"/>
      <c r="AB123" s="12620" t="n"/>
      <c r="AC123" s="498" t="n"/>
      <c r="AD123" s="9921" t="inlineStr">
        <is>
          <t xml:space="preserve">Sequence No.  </t>
        </is>
      </c>
      <c r="AE123" s="8848" t="n"/>
      <c r="AF123" s="8848" t="n"/>
      <c r="AG123" s="8848" t="n"/>
      <c r="AH123" s="8848" t="n"/>
      <c r="AI123" s="8848" t="n"/>
      <c r="AJ123" s="380" t="n"/>
      <c r="AK123" s="2013" t="n"/>
      <c r="AL123" s="1987">
        <f>IF(AL11="","X","")</f>
        <v/>
      </c>
      <c r="AM123" s="344" t="inlineStr">
        <is>
          <t>You</t>
        </is>
      </c>
      <c r="AN123" s="11602" t="n"/>
      <c r="AO123" s="658" t="n"/>
      <c r="AP123" s="658" t="n"/>
      <c r="AQ123" s="658" t="n"/>
      <c r="AR123" s="658" t="n"/>
      <c r="AS123" s="658" t="n"/>
      <c r="AT123" s="658" t="n"/>
      <c r="AU123" s="658" t="n"/>
      <c r="AV123" s="658" t="n"/>
      <c r="AW123" s="658" t="n"/>
      <c r="AX123" s="658" t="n"/>
    </row>
    <row r="124" ht="13.5" customFormat="1" customHeight="1" s="815" thickBot="1">
      <c r="A124" s="2013" t="n"/>
      <c r="B124" s="339">
        <f>"Name. If married, file a separate form for each spouse required to file "&amp;TaxYear&amp;" Form 8606. See instructions."</f>
        <v/>
      </c>
      <c r="C124" s="4470" t="n"/>
      <c r="D124" s="339" t="n"/>
      <c r="E124" s="339" t="n"/>
      <c r="F124" s="339" t="n"/>
      <c r="G124" s="339" t="n"/>
      <c r="H124" s="339" t="n"/>
      <c r="I124" s="339" t="n"/>
      <c r="J124" s="339" t="n"/>
      <c r="K124" s="339" t="n"/>
      <c r="L124" s="339" t="n"/>
      <c r="M124" s="339" t="n"/>
      <c r="N124" s="339" t="n"/>
      <c r="O124" s="339" t="n"/>
      <c r="P124" s="339" t="n"/>
      <c r="Q124" s="339" t="n"/>
      <c r="R124" s="339" t="n"/>
      <c r="S124" s="339" t="n"/>
      <c r="T124" s="339" t="n"/>
      <c r="U124" s="339" t="n"/>
      <c r="V124" s="339" t="n"/>
      <c r="W124" s="339" t="n"/>
      <c r="X124" s="339" t="n"/>
      <c r="Y124" s="2913" t="inlineStr">
        <is>
          <t xml:space="preserve">   Your social security number</t>
        </is>
      </c>
      <c r="Z124" s="377" t="n"/>
      <c r="AA124" s="377" t="n"/>
      <c r="AB124" s="377" t="n"/>
      <c r="AC124" s="408" t="n"/>
      <c r="AD124" s="2019" t="n"/>
      <c r="AE124" s="2019" t="n"/>
      <c r="AF124" s="2019" t="n"/>
      <c r="AG124" s="2019" t="n"/>
      <c r="AH124" s="2019" t="n"/>
      <c r="AI124" s="2019" t="n"/>
      <c r="AJ124" s="2019" t="n"/>
      <c r="AK124" s="2013" t="n"/>
      <c r="AL124" s="1987">
        <f>IF(AL12="","X","")</f>
        <v/>
      </c>
      <c r="AM124" s="344" t="inlineStr">
        <is>
          <t>Spouse</t>
        </is>
      </c>
      <c r="AN124" s="11602" t="n"/>
      <c r="AO124" s="658" t="n"/>
      <c r="AP124" s="658" t="n"/>
      <c r="AQ124" s="658" t="n"/>
      <c r="AR124" s="658" t="n"/>
      <c r="AS124" s="658" t="n"/>
      <c r="AT124" s="658" t="n"/>
      <c r="AU124" s="658" t="n"/>
      <c r="AV124" s="658" t="n"/>
      <c r="AW124" s="658" t="n"/>
      <c r="AX124" s="658" t="n"/>
    </row>
    <row r="125" ht="25.5" customFormat="1" customHeight="1" s="815">
      <c r="A125" s="2013" t="n"/>
      <c r="B125" s="10869">
        <f>IF(AND(AL123&lt;&gt;"",AL124&lt;&gt;""),Names,IF(AL124&lt;&gt;"",NameSpouse,IF(AL123&lt;&gt;"",NameYours,"")))</f>
        <v/>
      </c>
      <c r="C125" s="7637" t="n"/>
      <c r="D125" s="7637" t="n"/>
      <c r="E125" s="7637" t="n"/>
      <c r="F125" s="7637" t="n"/>
      <c r="G125" s="7637" t="n"/>
      <c r="H125" s="7637" t="n"/>
      <c r="I125" s="7637" t="n"/>
      <c r="J125" s="7637" t="n"/>
      <c r="K125" s="7637" t="n"/>
      <c r="L125" s="7637" t="n"/>
      <c r="M125" s="7637" t="n"/>
      <c r="N125" s="7637" t="n"/>
      <c r="O125" s="7637" t="n"/>
      <c r="P125" s="7637" t="n"/>
      <c r="Q125" s="7637" t="n"/>
      <c r="R125" s="7637" t="n"/>
      <c r="S125" s="7637" t="n"/>
      <c r="T125" s="7637" t="n"/>
      <c r="U125" s="7637" t="n"/>
      <c r="V125" s="7637" t="n"/>
      <c r="W125" s="7637" t="n"/>
      <c r="X125" s="7638" t="n"/>
      <c r="Y125" s="12663">
        <f>IF(AND(NOT(NoSSN),SS_Yours&lt;&gt;"",OR(AL123&lt;&gt;"",AND(AL123&lt;&gt;"",AL124&lt;&gt;""))),SS_Yours,IF(AND(NOT(NoSSN),SS_Spouse&lt;&gt;"",AL124&lt;&gt;""),SS_Spouse,""))</f>
        <v/>
      </c>
      <c r="Z125" s="7637" t="n"/>
      <c r="AA125" s="7637" t="n"/>
      <c r="AB125" s="7637" t="n"/>
      <c r="AC125" s="7637" t="n"/>
      <c r="AD125" s="7637" t="n"/>
      <c r="AE125" s="7637" t="n"/>
      <c r="AF125" s="7637" t="n"/>
      <c r="AG125" s="7637" t="n"/>
      <c r="AH125" s="7637" t="n"/>
      <c r="AI125" s="7637" t="n"/>
      <c r="AJ125" s="7637" t="n"/>
      <c r="AK125" s="2013" t="n"/>
      <c r="AL125" s="11602" t="n"/>
      <c r="AM125" s="512">
        <f>OR(AND(AL123&lt;&gt;"",IRA_CONV_YOU&gt;0),AND(AL124&lt;&gt;"",IRA_CONV_SPOUSE&gt;0))</f>
        <v/>
      </c>
      <c r="AN125" s="11602" t="n"/>
      <c r="AO125" s="658" t="n"/>
      <c r="AP125" s="658" t="n"/>
      <c r="AQ125" s="658" t="n"/>
      <c r="AR125" s="658" t="n"/>
      <c r="AS125" s="658" t="n"/>
      <c r="AT125" s="658" t="n"/>
      <c r="AU125" s="658" t="n"/>
      <c r="AV125" s="658" t="n"/>
      <c r="AW125" s="658" t="n"/>
      <c r="AX125" s="658" t="n"/>
    </row>
    <row r="126" ht="15.75" customFormat="1" customHeight="1" s="815">
      <c r="A126" s="2013" t="n"/>
      <c r="B126" s="12664" t="inlineStr">
        <is>
          <t>Fill in Your Address
Only if You Are 
Filing This Form by 
Itself and Not With
Your Tax Return</t>
        </is>
      </c>
      <c r="C126" s="7839" t="n"/>
      <c r="D126" s="7839" t="n"/>
      <c r="E126" s="7839" t="n"/>
      <c r="F126" s="7839" t="n"/>
      <c r="G126" s="7839" t="n"/>
      <c r="H126" s="7839" t="n"/>
      <c r="I126" s="10091" t="n"/>
      <c r="J126" s="12665" t="inlineStr">
        <is>
          <t xml:space="preserve"> Home address (number and street, or P.O. box if mail is not delivered to your home)</t>
        </is>
      </c>
      <c r="K126" s="7839" t="n"/>
      <c r="L126" s="7839" t="n"/>
      <c r="M126" s="7839" t="n"/>
      <c r="N126" s="7839" t="n"/>
      <c r="O126" s="7839" t="n"/>
      <c r="P126" s="7839" t="n"/>
      <c r="Q126" s="7839" t="n"/>
      <c r="R126" s="7839" t="n"/>
      <c r="S126" s="7839" t="n"/>
      <c r="T126" s="7839" t="n"/>
      <c r="U126" s="7839" t="n"/>
      <c r="V126" s="7839" t="n"/>
      <c r="W126" s="7839" t="n"/>
      <c r="X126" s="7839" t="n"/>
      <c r="Y126" s="7839" t="n"/>
      <c r="Z126" s="7839" t="n"/>
      <c r="AA126" s="7839" t="n"/>
      <c r="AB126" s="7839" t="n"/>
      <c r="AC126" s="10091" t="n"/>
      <c r="AD126" s="10850" t="inlineStr">
        <is>
          <t>Apt. no.</t>
        </is>
      </c>
      <c r="AE126" s="7839" t="n"/>
      <c r="AF126" s="7839" t="n"/>
      <c r="AG126" s="7839" t="n"/>
      <c r="AH126" s="7839" t="n"/>
      <c r="AI126" s="7839" t="n"/>
      <c r="AJ126" s="7839" t="n"/>
      <c r="AK126" s="2013" t="n"/>
      <c r="AL126" s="10746">
        <f>IF($AM$125,"If you converted","")</f>
        <v/>
      </c>
      <c r="AO126" s="658" t="n"/>
      <c r="AP126" s="658" t="n"/>
      <c r="AQ126" s="658" t="n"/>
      <c r="AR126" s="658" t="n"/>
      <c r="AS126" s="658" t="n"/>
      <c r="AT126" s="658" t="n"/>
      <c r="AU126" s="658" t="n"/>
      <c r="AV126" s="658" t="n"/>
      <c r="AW126" s="658" t="n"/>
      <c r="AX126" s="658" t="n"/>
    </row>
    <row r="127" ht="18.75" customFormat="1" customHeight="1" s="815">
      <c r="A127" s="2013" t="n"/>
      <c r="I127" s="7636" t="n"/>
      <c r="J127" s="12666" t="n"/>
      <c r="K127" s="11717" t="n"/>
      <c r="L127" s="11717" t="n"/>
      <c r="M127" s="11717" t="n"/>
      <c r="N127" s="11717" t="n"/>
      <c r="O127" s="11717" t="n"/>
      <c r="P127" s="11717" t="n"/>
      <c r="Q127" s="11717" t="n"/>
      <c r="R127" s="11717" t="n"/>
      <c r="S127" s="11717" t="n"/>
      <c r="T127" s="11717" t="n"/>
      <c r="U127" s="11717" t="n"/>
      <c r="V127" s="11717" t="n"/>
      <c r="W127" s="11717" t="n"/>
      <c r="X127" s="11717" t="n"/>
      <c r="Y127" s="11717" t="n"/>
      <c r="Z127" s="11717" t="n"/>
      <c r="AA127" s="11717" t="n"/>
      <c r="AB127" s="11717" t="n"/>
      <c r="AC127" s="11718" t="n"/>
      <c r="AD127" s="10803" t="n"/>
      <c r="AE127" s="11717" t="n"/>
      <c r="AF127" s="11717" t="n"/>
      <c r="AG127" s="11717" t="n"/>
      <c r="AH127" s="11717" t="n"/>
      <c r="AI127" s="11717" t="n"/>
      <c r="AJ127" s="11717" t="n"/>
      <c r="AK127" s="2013" t="n"/>
      <c r="AL127" s="10746">
        <f>IF($AM$125,"less than all of an IRA","")</f>
        <v/>
      </c>
      <c r="AO127" s="658" t="n"/>
      <c r="AP127" s="658" t="n"/>
      <c r="AQ127" s="658" t="n"/>
      <c r="AR127" s="658" t="n"/>
      <c r="AS127" s="658" t="n"/>
      <c r="AT127" s="658" t="n"/>
      <c r="AU127" s="658" t="n"/>
      <c r="AV127" s="658" t="n"/>
      <c r="AW127" s="658" t="n"/>
      <c r="AX127" s="658" t="n"/>
    </row>
    <row r="128" ht="15.75" customFormat="1" customHeight="1" s="815">
      <c r="A128" s="2013" t="n"/>
      <c r="I128" s="7636" t="n"/>
      <c r="J128" s="10865" t="inlineStr">
        <is>
          <t xml:space="preserve"> City, town or post office, state, and ZIP code. If you have a foreign address, also complete the spaces below. See instructions.</t>
        </is>
      </c>
      <c r="K128" s="7839" t="n"/>
      <c r="L128" s="7839" t="n"/>
      <c r="M128" s="7839" t="n"/>
      <c r="N128" s="7839" t="n"/>
      <c r="O128" s="7839" t="n"/>
      <c r="P128" s="7839" t="n"/>
      <c r="Q128" s="7839" t="n"/>
      <c r="R128" s="7839" t="n"/>
      <c r="S128" s="7839" t="n"/>
      <c r="T128" s="7839" t="n"/>
      <c r="U128" s="7839" t="n"/>
      <c r="V128" s="7839" t="n"/>
      <c r="W128" s="7839" t="n"/>
      <c r="X128" s="7839" t="n"/>
      <c r="Y128" s="7839" t="n"/>
      <c r="Z128" s="7839" t="n"/>
      <c r="AA128" s="7839" t="n"/>
      <c r="AB128" s="7839" t="n"/>
      <c r="AC128" s="7839" t="n"/>
      <c r="AD128" s="7839" t="n"/>
      <c r="AE128" s="7839" t="n"/>
      <c r="AF128" s="7839" t="n"/>
      <c r="AG128" s="7839" t="n"/>
      <c r="AH128" s="7839" t="n"/>
      <c r="AI128" s="7839" t="n"/>
      <c r="AJ128" s="7839" t="n"/>
      <c r="AK128" s="2013" t="n"/>
      <c r="AL128" s="10746">
        <f>IF($AM$125,"to a Roth IRA, be sure","")</f>
        <v/>
      </c>
      <c r="AO128" s="658" t="n"/>
      <c r="AP128" s="658" t="n"/>
      <c r="AQ128" s="658" t="n"/>
      <c r="AR128" s="658" t="n"/>
      <c r="AS128" s="658" t="n"/>
      <c r="AT128" s="658" t="n"/>
      <c r="AU128" s="658" t="n"/>
      <c r="AV128" s="658" t="n"/>
      <c r="AW128" s="658" t="n"/>
      <c r="AX128" s="658" t="n"/>
    </row>
    <row r="129" ht="18.75" customFormat="1" customHeight="1" s="815">
      <c r="A129" s="2013" t="n"/>
      <c r="I129" s="7636" t="n"/>
      <c r="J129" s="10803" t="n"/>
      <c r="K129" s="11717" t="n"/>
      <c r="L129" s="11717" t="n"/>
      <c r="M129" s="11717" t="n"/>
      <c r="N129" s="11717" t="n"/>
      <c r="O129" s="11717" t="n"/>
      <c r="P129" s="11717" t="n"/>
      <c r="Q129" s="11717" t="n"/>
      <c r="R129" s="11717" t="n"/>
      <c r="S129" s="11717" t="n"/>
      <c r="T129" s="11717" t="n"/>
      <c r="U129" s="11717" t="n"/>
      <c r="V129" s="11717" t="n"/>
      <c r="W129" s="11717" t="n"/>
      <c r="X129" s="11717" t="n"/>
      <c r="Y129" s="11717" t="n"/>
      <c r="Z129" s="11717" t="n"/>
      <c r="AA129" s="11717" t="n"/>
      <c r="AB129" s="11717" t="n"/>
      <c r="AC129" s="11717" t="n"/>
      <c r="AD129" s="11717" t="n"/>
      <c r="AE129" s="11717" t="n"/>
      <c r="AF129" s="11717" t="n"/>
      <c r="AG129" s="11717" t="n"/>
      <c r="AH129" s="11717" t="n"/>
      <c r="AI129" s="11717" t="n"/>
      <c r="AJ129" s="11717" t="n"/>
      <c r="AK129" s="2013" t="n"/>
      <c r="AL129" s="10746">
        <f>IF($AM$125,"to complete Part I","")</f>
        <v/>
      </c>
      <c r="AO129" s="658" t="n"/>
      <c r="AP129" s="658" t="n"/>
      <c r="AQ129" s="658" t="n"/>
      <c r="AR129" s="658" t="n"/>
      <c r="AS129" s="658" t="n"/>
      <c r="AT129" s="658" t="n"/>
      <c r="AU129" s="658" t="n"/>
      <c r="AV129" s="658" t="n"/>
      <c r="AW129" s="658" t="n"/>
      <c r="AX129" s="658" t="n"/>
    </row>
    <row r="130" ht="15.75" customFormat="1" customHeight="1" s="815">
      <c r="A130" s="2013" t="n"/>
      <c r="I130" s="7636" t="n"/>
      <c r="J130" s="2760" t="inlineStr">
        <is>
          <t xml:space="preserve">  Foreign country name</t>
        </is>
      </c>
      <c r="K130" s="2263" t="n"/>
      <c r="L130" s="2263" t="n"/>
      <c r="M130" s="2263" t="n"/>
      <c r="N130" s="2263" t="n"/>
      <c r="O130" s="2263" t="n"/>
      <c r="P130" s="2263" t="n"/>
      <c r="Q130" s="2263" t="n"/>
      <c r="R130" s="2263" t="n"/>
      <c r="S130" s="2263" t="n"/>
      <c r="T130" s="2760" t="inlineStr">
        <is>
          <t xml:space="preserve"> Foreign province/state/county</t>
        </is>
      </c>
      <c r="U130" s="2263" t="n"/>
      <c r="V130" s="2263" t="n"/>
      <c r="W130" s="2263" t="n"/>
      <c r="X130" s="2263" t="n"/>
      <c r="Y130" s="2263" t="n"/>
      <c r="Z130" s="2263" t="n"/>
      <c r="AA130" s="2263" t="n"/>
      <c r="AB130" s="4471" t="n"/>
      <c r="AC130" s="2263" t="inlineStr">
        <is>
          <t xml:space="preserve"> Foreign postal code</t>
        </is>
      </c>
      <c r="AD130" s="2263" t="n"/>
      <c r="AE130" s="2263" t="n"/>
      <c r="AF130" s="2263" t="n"/>
      <c r="AG130" s="2263" t="n"/>
      <c r="AH130" s="2263" t="n"/>
      <c r="AI130" s="2263" t="n"/>
      <c r="AJ130" s="2263" t="n"/>
      <c r="AK130" s="2013" t="n"/>
      <c r="AL130" s="10746">
        <f>IF($AM$125,"and Part II of this form.","")</f>
        <v/>
      </c>
      <c r="AO130" s="658" t="n"/>
      <c r="AP130" s="658" t="n"/>
      <c r="AQ130" s="658" t="n"/>
      <c r="AR130" s="658" t="n"/>
      <c r="AS130" s="658" t="n"/>
      <c r="AT130" s="658" t="n"/>
      <c r="AU130" s="658" t="n"/>
      <c r="AV130" s="658" t="n"/>
      <c r="AW130" s="658" t="n"/>
      <c r="AX130" s="658" t="n"/>
    </row>
    <row r="131" ht="18.75" customFormat="1" customHeight="1" s="815">
      <c r="A131" s="2013" t="n"/>
      <c r="B131" s="7637" t="n"/>
      <c r="C131" s="7637" t="n"/>
      <c r="D131" s="7637" t="n"/>
      <c r="E131" s="7637" t="n"/>
      <c r="F131" s="7637" t="n"/>
      <c r="G131" s="7637" t="n"/>
      <c r="H131" s="7637" t="n"/>
      <c r="I131" s="7638" t="n"/>
      <c r="J131" s="12666" t="n"/>
      <c r="K131" s="11717" t="n"/>
      <c r="L131" s="11717" t="n"/>
      <c r="M131" s="11717" t="n"/>
      <c r="N131" s="11717" t="n"/>
      <c r="O131" s="11717" t="n"/>
      <c r="P131" s="11717" t="n"/>
      <c r="Q131" s="11717" t="n"/>
      <c r="R131" s="11717" t="n"/>
      <c r="S131" s="11718" t="n"/>
      <c r="T131" s="12666" t="n"/>
      <c r="U131" s="11717" t="n"/>
      <c r="V131" s="11717" t="n"/>
      <c r="W131" s="11717" t="n"/>
      <c r="X131" s="11717" t="n"/>
      <c r="Y131" s="11717" t="n"/>
      <c r="Z131" s="11717" t="n"/>
      <c r="AA131" s="11717" t="n"/>
      <c r="AB131" s="11718" t="n"/>
      <c r="AC131" s="10803" t="n"/>
      <c r="AD131" s="11717" t="n"/>
      <c r="AE131" s="11717" t="n"/>
      <c r="AF131" s="11717" t="n"/>
      <c r="AG131" s="11717" t="n"/>
      <c r="AH131" s="11717" t="n"/>
      <c r="AI131" s="11717" t="n"/>
      <c r="AJ131" s="11717" t="n"/>
      <c r="AK131" s="2013" t="n"/>
      <c r="AL131" s="10746">
        <f>IF($AM$125,"If you did not make","")</f>
        <v/>
      </c>
      <c r="AO131" s="658" t="n"/>
      <c r="AP131" s="658" t="n"/>
      <c r="AQ131" s="658" t="n"/>
      <c r="AR131" s="658" t="n"/>
      <c r="AS131" s="658" t="n"/>
      <c r="AT131" s="658" t="n"/>
      <c r="AU131" s="658" t="n"/>
      <c r="AV131" s="658" t="n"/>
      <c r="AW131" s="658" t="n"/>
      <c r="AX131" s="658" t="n"/>
    </row>
    <row r="132" ht="16.5" customFormat="1" customHeight="1" s="815">
      <c r="A132" s="2013" t="n"/>
      <c r="B132" s="1405" t="inlineStr">
        <is>
          <t>Note: Except where stated otherwise, “traditional IRA” includes traditional SEP IRAs and traditional SIMPLE IRAs. “Roth IRA” includes</t>
        </is>
      </c>
      <c r="C132" s="6996" t="n"/>
      <c r="D132" s="11602" t="n"/>
      <c r="E132" s="2311" t="n"/>
      <c r="F132" s="11602" t="n"/>
      <c r="G132" s="11602" t="n"/>
      <c r="H132" s="11602" t="n"/>
      <c r="I132" s="11602" t="n"/>
      <c r="J132" s="11602" t="n"/>
      <c r="K132" s="11602" t="n"/>
      <c r="L132" s="11602" t="n"/>
      <c r="M132" s="11602" t="n"/>
      <c r="N132" s="11602" t="n"/>
      <c r="O132" s="11602" t="n"/>
      <c r="P132" s="11602" t="n"/>
      <c r="Q132" s="11602" t="n"/>
      <c r="R132" s="11602" t="n"/>
      <c r="S132" s="11602" t="n"/>
      <c r="T132" s="11602" t="n"/>
      <c r="U132" s="11602" t="n"/>
      <c r="V132" s="11602" t="n"/>
      <c r="W132" s="11602" t="n"/>
      <c r="X132" s="11602" t="n"/>
      <c r="Y132" s="11602" t="n"/>
      <c r="Z132" s="11602" t="n"/>
      <c r="AA132" s="11602" t="n"/>
      <c r="AB132" s="11602" t="n"/>
      <c r="AC132" s="11602" t="n"/>
      <c r="AD132" s="11602" t="n"/>
      <c r="AE132" s="11602" t="n"/>
      <c r="AF132" s="11602" t="n"/>
      <c r="AG132" s="11602" t="n"/>
      <c r="AH132" s="11602" t="n"/>
      <c r="AI132" s="11602" t="n"/>
      <c r="AJ132" s="11602" t="n"/>
      <c r="AK132" s="2013" t="n"/>
      <c r="AL132" s="10746">
        <f>IF($AM$125,"nondeductible","")</f>
        <v/>
      </c>
      <c r="AO132" s="658" t="n"/>
      <c r="AP132" s="1114" t="n"/>
      <c r="AQ132" s="658" t="n"/>
      <c r="AR132" s="658" t="n"/>
      <c r="AS132" s="658" t="n"/>
      <c r="AT132" s="658" t="n"/>
      <c r="AU132" s="658" t="n"/>
      <c r="AV132" s="658" t="n"/>
      <c r="AW132" s="658" t="n"/>
      <c r="AX132" s="658" t="n"/>
    </row>
    <row r="133" ht="16.5" customFormat="1" customHeight="1" s="815">
      <c r="A133" s="2013" t="n"/>
      <c r="B133" s="2311" t="inlineStr">
        <is>
          <t>Roth SEP IRAs and Roth SIMPLE IRAs.</t>
        </is>
      </c>
      <c r="C133" s="6996" t="n"/>
      <c r="D133" s="11602" t="n"/>
      <c r="E133" s="2311" t="n"/>
      <c r="F133" s="11602" t="n"/>
      <c r="G133" s="11602" t="n"/>
      <c r="H133" s="11602" t="n"/>
      <c r="I133" s="11602" t="n"/>
      <c r="J133" s="11602" t="n"/>
      <c r="K133" s="11602" t="n"/>
      <c r="L133" s="11602" t="n"/>
      <c r="M133" s="11602" t="n"/>
      <c r="N133" s="11602" t="n"/>
      <c r="O133" s="11602" t="n"/>
      <c r="P133" s="11602" t="n"/>
      <c r="Q133" s="11602" t="n"/>
      <c r="R133" s="11602" t="n"/>
      <c r="S133" s="11602" t="n"/>
      <c r="T133" s="11602" t="n"/>
      <c r="U133" s="11602" t="n"/>
      <c r="V133" s="11602" t="n"/>
      <c r="W133" s="11602" t="n"/>
      <c r="X133" s="11602" t="n"/>
      <c r="Y133" s="11602" t="n"/>
      <c r="Z133" s="11602" t="n"/>
      <c r="AA133" s="11602" t="n"/>
      <c r="AB133" s="11602" t="n"/>
      <c r="AC133" s="11602" t="n"/>
      <c r="AD133" s="11602" t="n"/>
      <c r="AE133" s="11602" t="n"/>
      <c r="AF133" s="11602" t="n"/>
      <c r="AG133" s="11602" t="n"/>
      <c r="AH133" s="11602" t="n"/>
      <c r="AI133" s="11602" t="n"/>
      <c r="AJ133" s="11602" t="n"/>
      <c r="AK133" s="2013" t="n"/>
      <c r="AL133" s="10746">
        <f>IF($AM$125,"contributions to a","")</f>
        <v/>
      </c>
      <c r="AO133" s="658" t="n"/>
      <c r="AP133" s="1114" t="n"/>
      <c r="AQ133" s="658" t="n"/>
      <c r="AR133" s="658" t="n"/>
      <c r="AS133" s="658" t="n"/>
      <c r="AT133" s="658" t="n"/>
      <c r="AU133" s="658" t="n"/>
      <c r="AV133" s="658" t="n"/>
      <c r="AW133" s="658" t="n"/>
      <c r="AX133" s="658" t="n"/>
    </row>
    <row r="134" ht="16.5" customFormat="1" customHeight="1" s="815">
      <c r="A134" s="2013" t="n"/>
      <c r="B134" s="9775" t="inlineStr">
        <is>
          <t>Part I</t>
        </is>
      </c>
      <c r="C134" s="8412" t="n"/>
      <c r="D134" s="4472" t="n"/>
      <c r="E134" s="7371" t="inlineStr">
        <is>
          <t>Nondeductible Contributions to Traditional IRAs and Distributions From Traditional IRAs</t>
        </is>
      </c>
      <c r="F134" s="7839" t="n"/>
      <c r="G134" s="7839" t="n"/>
      <c r="H134" s="7839" t="n"/>
      <c r="I134" s="7839" t="n"/>
      <c r="J134" s="7839" t="n"/>
      <c r="K134" s="7839" t="n"/>
      <c r="L134" s="7839" t="n"/>
      <c r="M134" s="7839" t="n"/>
      <c r="N134" s="7839" t="n"/>
      <c r="O134" s="7839" t="n"/>
      <c r="P134" s="7839" t="n"/>
      <c r="Q134" s="7839" t="n"/>
      <c r="R134" s="7839" t="n"/>
      <c r="S134" s="7839" t="n"/>
      <c r="T134" s="7839" t="n"/>
      <c r="U134" s="7839" t="n"/>
      <c r="V134" s="7839" t="n"/>
      <c r="W134" s="7839" t="n"/>
      <c r="X134" s="7839" t="n"/>
      <c r="Y134" s="7839" t="n"/>
      <c r="Z134" s="7839" t="n"/>
      <c r="AA134" s="7839" t="n"/>
      <c r="AB134" s="7839" t="n"/>
      <c r="AC134" s="7839" t="n"/>
      <c r="AD134" s="7839" t="n"/>
      <c r="AE134" s="7839" t="n"/>
      <c r="AF134" s="7839" t="n"/>
      <c r="AG134" s="7839" t="n"/>
      <c r="AH134" s="7839" t="n"/>
      <c r="AI134" s="7839" t="n"/>
      <c r="AJ134" s="7839" t="n"/>
      <c r="AK134" s="2013" t="n"/>
      <c r="AL134" s="10746">
        <f>IF($AM$125,"an IRA, the complete","")</f>
        <v/>
      </c>
      <c r="AO134" s="658" t="n"/>
      <c r="AP134" s="1114" t="n"/>
      <c r="AQ134" s="658" t="n"/>
      <c r="AR134" s="658" t="n"/>
      <c r="AS134" s="658" t="n"/>
      <c r="AT134" s="658" t="n"/>
      <c r="AU134" s="658" t="n"/>
      <c r="AV134" s="658" t="n"/>
      <c r="AW134" s="658" t="n"/>
      <c r="AX134" s="658" t="n"/>
    </row>
    <row r="135" ht="16.5" customFormat="1" customHeight="1" s="815">
      <c r="A135" s="2013" t="n"/>
      <c r="B135" s="11602" t="n"/>
      <c r="C135" s="6996" t="n"/>
      <c r="D135" s="11602" t="n"/>
      <c r="E135" s="2311" t="inlineStr">
        <is>
          <t>Complete this part only if one or more of the following apply.</t>
        </is>
      </c>
      <c r="F135" s="11602" t="n"/>
      <c r="G135" s="11602" t="n"/>
      <c r="H135" s="11602" t="n"/>
      <c r="I135" s="11602" t="n"/>
      <c r="J135" s="11602" t="n"/>
      <c r="K135" s="11602" t="n"/>
      <c r="L135" s="11602" t="n"/>
      <c r="M135" s="11602" t="n"/>
      <c r="N135" s="11602" t="n"/>
      <c r="O135" s="11602" t="n"/>
      <c r="P135" s="11602" t="n"/>
      <c r="Q135" s="11602" t="n"/>
      <c r="R135" s="11602" t="n"/>
      <c r="S135" s="11602" t="n"/>
      <c r="T135" s="11602" t="n"/>
      <c r="U135" s="11602" t="n"/>
      <c r="V135" s="11602" t="n"/>
      <c r="W135" s="11602" t="n"/>
      <c r="X135" s="11602" t="n"/>
      <c r="Y135" s="11602" t="n"/>
      <c r="Z135" s="11602" t="n"/>
      <c r="AA135" s="11602" t="n"/>
      <c r="AB135" s="11602" t="n"/>
      <c r="AC135" s="11602" t="n"/>
      <c r="AD135" s="11602" t="n"/>
      <c r="AE135" s="11602" t="n"/>
      <c r="AF135" s="11602" t="n"/>
      <c r="AG135" s="11602" t="n"/>
      <c r="AH135" s="11602" t="n"/>
      <c r="AI135" s="11602" t="n"/>
      <c r="AJ135" s="11602" t="n"/>
      <c r="AK135" s="2013" t="n"/>
      <c r="AL135" s="10746">
        <f>IF($AM$125,"only Part II of this form.","")</f>
        <v/>
      </c>
      <c r="AO135" s="658" t="n"/>
      <c r="AP135" s="1114" t="n"/>
      <c r="AQ135" s="658" t="n"/>
      <c r="AR135" s="658" t="n"/>
      <c r="AS135" s="658" t="n"/>
      <c r="AT135" s="658" t="n"/>
      <c r="AU135" s="658" t="n"/>
      <c r="AV135" s="658" t="n"/>
      <c r="AW135" s="658" t="n"/>
      <c r="AX135" s="658" t="n"/>
    </row>
    <row r="136" ht="15" customFormat="1" customHeight="1" s="815">
      <c r="A136" s="2013" t="n"/>
      <c r="B136" s="11602" t="n"/>
      <c r="C136" s="7861" t="n"/>
      <c r="D136" s="8650" t="n"/>
      <c r="E136" s="873" t="inlineStr">
        <is>
          <t>●</t>
        </is>
      </c>
      <c r="F136" s="8650">
        <f>"You made nondeductible contributions to a traditional IRA for "&amp;TaxYear&amp;". Nondeductible contributions to a traditional IRA do"</f>
        <v/>
      </c>
      <c r="G136" s="11602" t="n"/>
      <c r="H136" s="11602" t="n"/>
      <c r="I136" s="11602" t="n"/>
      <c r="J136" s="11602" t="n"/>
      <c r="K136" s="11602" t="n"/>
      <c r="L136" s="11602" t="n"/>
      <c r="M136" s="11602" t="n"/>
      <c r="N136" s="11602" t="n"/>
      <c r="O136" s="11602" t="n"/>
      <c r="P136" s="11602" t="n"/>
      <c r="Q136" s="11602" t="n"/>
      <c r="R136" s="11602" t="n"/>
      <c r="S136" s="11602" t="n"/>
      <c r="T136" s="11602" t="n"/>
      <c r="U136" s="11602" t="n"/>
      <c r="V136" s="8650" t="n"/>
      <c r="W136" s="11602" t="n"/>
      <c r="X136" s="11602" t="n"/>
      <c r="Y136" s="11602" t="n"/>
      <c r="Z136" s="11602" t="n"/>
      <c r="AA136" s="11602" t="n"/>
      <c r="AB136" s="11602" t="n"/>
      <c r="AC136" s="11602" t="n"/>
      <c r="AD136" s="11602" t="n"/>
      <c r="AE136" s="11602" t="n"/>
      <c r="AF136" s="11602" t="n"/>
      <c r="AG136" s="11602" t="n"/>
      <c r="AH136" s="11602" t="n"/>
      <c r="AI136" s="11602" t="n"/>
      <c r="AJ136" s="11602" t="n"/>
      <c r="AK136" s="2013" t="n"/>
      <c r="AL136" s="11602" t="n"/>
      <c r="AM136" s="344" t="n"/>
      <c r="AN136" s="11602" t="n"/>
      <c r="AO136" s="658" t="n"/>
      <c r="AP136" s="1114" t="n"/>
      <c r="AQ136" s="658" t="n"/>
      <c r="AR136" s="658" t="n"/>
      <c r="AS136" s="658" t="n"/>
      <c r="AT136" s="658" t="n"/>
      <c r="AU136" s="658" t="n"/>
      <c r="AV136" s="658" t="n"/>
      <c r="AW136" s="658" t="n"/>
      <c r="AX136" s="658" t="n"/>
    </row>
    <row r="137" ht="15" customFormat="1" customHeight="1" s="815">
      <c r="A137" s="2013" t="n"/>
      <c r="B137" s="11602" t="n"/>
      <c r="C137" s="7861" t="n"/>
      <c r="D137" s="8650" t="n"/>
      <c r="E137" s="873" t="n"/>
      <c r="F137" s="8650" t="inlineStr">
        <is>
          <t>not include employer contributions made to a SEP IRA pursuant to a SEP arrangement or to a SIMPLE IRA pursuant to</t>
        </is>
      </c>
      <c r="G137" s="11602" t="n"/>
      <c r="H137" s="11602" t="n"/>
      <c r="I137" s="11602" t="n"/>
      <c r="J137" s="11602" t="n"/>
      <c r="K137" s="11602" t="n"/>
      <c r="L137" s="11602" t="n"/>
      <c r="M137" s="11602" t="n"/>
      <c r="N137" s="11602" t="n"/>
      <c r="O137" s="11602" t="n"/>
      <c r="P137" s="11602" t="n"/>
      <c r="Q137" s="11602" t="n"/>
      <c r="R137" s="11602" t="n"/>
      <c r="S137" s="11602" t="n"/>
      <c r="T137" s="11602" t="n"/>
      <c r="U137" s="11602" t="n"/>
      <c r="V137" s="11602" t="n"/>
      <c r="W137" s="11602" t="n"/>
      <c r="X137" s="11602" t="n"/>
      <c r="Y137" s="11602" t="n"/>
      <c r="Z137" s="11602" t="n"/>
      <c r="AA137" s="11602" t="n"/>
      <c r="AB137" s="11602" t="n"/>
      <c r="AC137" s="11602" t="n"/>
      <c r="AD137" s="11602" t="n"/>
      <c r="AE137" s="11602" t="n"/>
      <c r="AF137" s="11602" t="n"/>
      <c r="AG137" s="11602" t="n"/>
      <c r="AH137" s="11602" t="n"/>
      <c r="AI137" s="11602" t="n"/>
      <c r="AJ137" s="11602" t="n"/>
      <c r="AK137" s="2013" t="n"/>
      <c r="AL137" s="11602" t="n"/>
      <c r="AM137" s="344" t="n"/>
      <c r="AN137" s="11602" t="n"/>
      <c r="AO137" s="658" t="n"/>
      <c r="AP137" s="1114" t="n"/>
      <c r="AQ137" s="658" t="n"/>
      <c r="AR137" s="658" t="n"/>
      <c r="AS137" s="658" t="n"/>
      <c r="AT137" s="658" t="n"/>
      <c r="AU137" s="658" t="n"/>
      <c r="AV137" s="658" t="n"/>
      <c r="AW137" s="658" t="n"/>
      <c r="AX137" s="658" t="n"/>
    </row>
    <row r="138" ht="15" customFormat="1" customHeight="1" s="815">
      <c r="A138" s="2013" t="n"/>
      <c r="B138" s="11602" t="n"/>
      <c r="C138" s="7861" t="n"/>
      <c r="D138" s="8650" t="n"/>
      <c r="E138" s="873" t="n"/>
      <c r="F138" s="7779" t="inlineStr">
        <is>
          <t>a SIMPLE IRA plan.</t>
        </is>
      </c>
      <c r="G138" s="11602" t="n"/>
      <c r="H138" s="11602" t="n"/>
      <c r="I138" s="11602" t="n"/>
      <c r="J138" s="11602" t="n"/>
      <c r="K138" s="11602" t="n"/>
      <c r="L138" s="11602" t="n"/>
      <c r="M138" s="11602" t="n"/>
      <c r="N138" s="11602" t="n"/>
      <c r="O138" s="11602" t="n"/>
      <c r="P138" s="11602" t="n"/>
      <c r="Q138" s="11602" t="n"/>
      <c r="R138" s="11602" t="n"/>
      <c r="S138" s="11602" t="n"/>
      <c r="T138" s="11602" t="n"/>
      <c r="U138" s="11602" t="n"/>
      <c r="V138" s="11602" t="n"/>
      <c r="W138" s="11602" t="n"/>
      <c r="X138" s="11602" t="n"/>
      <c r="Y138" s="11602" t="n"/>
      <c r="Z138" s="11602" t="n"/>
      <c r="AA138" s="11602" t="n"/>
      <c r="AB138" s="11602" t="n"/>
      <c r="AC138" s="11602" t="n"/>
      <c r="AD138" s="11602" t="n"/>
      <c r="AE138" s="11602" t="n"/>
      <c r="AF138" s="11602" t="n"/>
      <c r="AG138" s="11602" t="n"/>
      <c r="AH138" s="11602" t="n"/>
      <c r="AI138" s="11602" t="n"/>
      <c r="AJ138" s="11602" t="n"/>
      <c r="AK138" s="2013" t="n"/>
      <c r="AL138" s="11602" t="n"/>
      <c r="AM138" s="344" t="n"/>
      <c r="AN138" s="11602" t="n"/>
      <c r="AO138" s="658" t="n"/>
      <c r="AP138" s="1114" t="n"/>
      <c r="AQ138" s="658" t="n"/>
      <c r="AR138" s="658" t="n"/>
      <c r="AS138" s="658" t="n"/>
      <c r="AT138" s="658" t="n"/>
      <c r="AU138" s="658" t="n"/>
      <c r="AV138" s="658" t="n"/>
      <c r="AW138" s="658" t="n"/>
      <c r="AX138" s="658" t="n"/>
    </row>
    <row r="139" ht="15" customFormat="1" customHeight="1" s="815">
      <c r="A139" s="2013" t="n"/>
      <c r="B139" s="11602" t="n"/>
      <c r="C139" s="7861" t="n"/>
      <c r="D139" s="8650" t="n"/>
      <c r="E139" s="873" t="inlineStr">
        <is>
          <t>●</t>
        </is>
      </c>
      <c r="F139" s="8650">
        <f>"You took distributions from a traditional IRA in "&amp;TaxYear</f>
        <v/>
      </c>
      <c r="G139" s="11602" t="n"/>
      <c r="H139" s="11602" t="n"/>
      <c r="I139" s="11602" t="n"/>
      <c r="J139" s="11602" t="n"/>
      <c r="K139" s="11602" t="n"/>
      <c r="L139" s="11602" t="n"/>
      <c r="M139" s="11602" t="n"/>
      <c r="N139" s="11602" t="n"/>
      <c r="O139" s="11602" t="n"/>
      <c r="P139" s="11602" t="n"/>
      <c r="Q139" s="11602" t="n"/>
      <c r="R139" s="7772" t="inlineStr">
        <is>
          <t>and you made nondeductible contributions to a traditional IRA in</t>
        </is>
      </c>
      <c r="S139" s="11602" t="n"/>
      <c r="T139" s="11602" t="n"/>
      <c r="U139" s="11602" t="n"/>
      <c r="V139" s="11602" t="n"/>
      <c r="W139" s="8650" t="n"/>
      <c r="X139" s="11602" t="n"/>
      <c r="Y139" s="11602" t="n"/>
      <c r="Z139" s="11602" t="n"/>
      <c r="AA139" s="11602" t="n"/>
      <c r="AB139" s="11602" t="n"/>
      <c r="AC139" s="11602" t="n"/>
      <c r="AD139" s="11602" t="n"/>
      <c r="AE139" s="11602" t="n"/>
      <c r="AF139" s="11602" t="n"/>
      <c r="AG139" s="11602" t="n"/>
      <c r="AH139" s="11602" t="n"/>
      <c r="AI139" s="11602" t="n"/>
      <c r="AJ139" s="11602" t="n"/>
      <c r="AK139" s="2013" t="n"/>
      <c r="AL139" s="11602" t="n"/>
      <c r="AM139" s="344" t="n"/>
      <c r="AN139" s="11602" t="n"/>
      <c r="AO139" s="658" t="n"/>
      <c r="AP139" s="1114" t="n"/>
      <c r="AQ139" s="658" t="n"/>
      <c r="AR139" s="658" t="n"/>
      <c r="AS139" s="658" t="n"/>
      <c r="AT139" s="658" t="n"/>
      <c r="AU139" s="658" t="n"/>
      <c r="AV139" s="658" t="n"/>
      <c r="AW139" s="658" t="n"/>
      <c r="AX139" s="658" t="n"/>
    </row>
    <row r="140" ht="15" customFormat="1" customHeight="1" s="815">
      <c r="A140" s="2013" t="n"/>
      <c r="B140" s="11602" t="n"/>
      <c r="C140" s="6996" t="n"/>
      <c r="D140" s="11602" t="n"/>
      <c r="E140" s="11602" t="n"/>
      <c r="F140" s="8650">
        <f>TaxYear&amp;" or an earlier year."</f>
        <v/>
      </c>
      <c r="G140" s="8650" t="n"/>
      <c r="H140" s="11602" t="n"/>
      <c r="I140" s="11602" t="n"/>
      <c r="J140" s="11602" t="n"/>
      <c r="K140" s="11602" t="n"/>
      <c r="L140" s="8650" t="inlineStr">
        <is>
          <t xml:space="preserve"> For this purpose, “distributions” does not include rollovers</t>
        </is>
      </c>
      <c r="M140" s="11602" t="n"/>
      <c r="N140" s="11602" t="n"/>
      <c r="O140" s="11602" t="n"/>
      <c r="P140" s="11602" t="n"/>
      <c r="Q140" s="11602" t="n"/>
      <c r="R140" s="11602" t="n"/>
      <c r="S140" s="11602" t="n"/>
      <c r="T140" s="11602" t="n"/>
      <c r="U140" s="11602" t="n"/>
      <c r="V140" s="11602" t="n"/>
      <c r="W140" s="11602" t="n"/>
      <c r="X140" s="11602" t="n"/>
      <c r="Y140" s="11602" t="n"/>
      <c r="Z140" s="8650">
        <f>"(but does include certain "&amp;TaxYear</f>
        <v/>
      </c>
      <c r="AA140" s="11602" t="n"/>
      <c r="AB140" s="11602" t="n"/>
      <c r="AC140" s="11602" t="n"/>
      <c r="AD140" s="11602" t="n"/>
      <c r="AE140" s="11602" t="n"/>
      <c r="AF140" s="11602" t="n"/>
      <c r="AG140" s="11602" t="n"/>
      <c r="AH140" s="11602" t="n"/>
      <c r="AI140" s="11602" t="n"/>
      <c r="AJ140" s="11602" t="n"/>
      <c r="AK140" s="2013" t="n"/>
      <c r="AL140" s="11602" t="n"/>
      <c r="AM140" s="344" t="n"/>
      <c r="AN140" s="11602" t="n"/>
      <c r="AO140" s="658" t="n"/>
      <c r="AP140" s="658" t="n"/>
      <c r="AQ140" s="658" t="n"/>
      <c r="AR140" s="658" t="n"/>
      <c r="AS140" s="658" t="n"/>
      <c r="AT140" s="658" t="n"/>
      <c r="AU140" s="658" t="n"/>
      <c r="AV140" s="658" t="n"/>
      <c r="AW140" s="658" t="n"/>
      <c r="AX140" s="658" t="n"/>
    </row>
    <row r="141" ht="14.25" customFormat="1" customHeight="1" s="815">
      <c r="A141" s="2013" t="n"/>
      <c r="B141" s="11602" t="n"/>
      <c r="C141" s="6996" t="n"/>
      <c r="D141" s="11602" t="n"/>
      <c r="E141" s="11602" t="n"/>
      <c r="F141" s="8650" t="inlineStr">
        <is>
          <t>retirement plan distribution repayments treated as rollovers (see instructions)). Also, it does not include qualified</t>
        </is>
      </c>
      <c r="G141" s="8650" t="n"/>
      <c r="H141" s="11602" t="n"/>
      <c r="I141" s="11602" t="n"/>
      <c r="J141" s="11602" t="n"/>
      <c r="K141" s="11602" t="n"/>
      <c r="L141" s="8650" t="n"/>
      <c r="M141" s="11602" t="n"/>
      <c r="N141" s="11602" t="n"/>
      <c r="O141" s="11602" t="n"/>
      <c r="P141" s="11602" t="n"/>
      <c r="Q141" s="11602" t="n"/>
      <c r="R141" s="11602" t="n"/>
      <c r="S141" s="11602" t="n"/>
      <c r="T141" s="11602" t="n"/>
      <c r="U141" s="11602" t="n"/>
      <c r="V141" s="11602" t="n"/>
      <c r="W141" s="11602" t="n"/>
      <c r="X141" s="11602" t="n"/>
      <c r="Y141" s="11602" t="n"/>
      <c r="Z141" s="11602" t="n"/>
      <c r="AA141" s="11602" t="n"/>
      <c r="AB141" s="11602" t="n"/>
      <c r="AC141" s="11602" t="n"/>
      <c r="AD141" s="11602" t="n"/>
      <c r="AE141" s="11602" t="n"/>
      <c r="AF141" s="11602" t="n"/>
      <c r="AG141" s="11602" t="n"/>
      <c r="AH141" s="11602" t="n"/>
      <c r="AI141" s="11602" t="n"/>
      <c r="AJ141" s="11602" t="n"/>
      <c r="AK141" s="2013" t="n"/>
      <c r="AL141" s="11602" t="n"/>
      <c r="AM141" s="344" t="n"/>
      <c r="AN141" s="11602" t="n"/>
      <c r="AO141" s="658" t="n"/>
      <c r="AP141" s="658" t="n"/>
      <c r="AQ141" s="658" t="n"/>
      <c r="AR141" s="658" t="n"/>
      <c r="AS141" s="658" t="n"/>
      <c r="AT141" s="658" t="n"/>
      <c r="AU141" s="658" t="n"/>
      <c r="AV141" s="658" t="n"/>
      <c r="AW141" s="658" t="n"/>
      <c r="AX141" s="658" t="n"/>
    </row>
    <row r="142" ht="14.25" customFormat="1" customHeight="1" s="815">
      <c r="A142" s="2013" t="n"/>
      <c r="B142" s="11602" t="n"/>
      <c r="C142" s="6996" t="n"/>
      <c r="D142" s="11602" t="n"/>
      <c r="E142" s="11602" t="n"/>
      <c r="F142" s="8650" t="inlineStr">
        <is>
          <t>charitable distributions, one-time distributions to fund an HSA, conversions, recharacterizations, or returns of certain</t>
        </is>
      </c>
      <c r="G142" s="8650" t="n"/>
      <c r="H142" s="11602" t="n"/>
      <c r="I142" s="11602" t="n"/>
      <c r="J142" s="11602" t="n"/>
      <c r="K142" s="11602" t="n"/>
      <c r="L142" s="11602" t="n"/>
      <c r="M142" s="11602" t="n"/>
      <c r="N142" s="11602" t="n"/>
      <c r="O142" s="11602" t="n"/>
      <c r="P142" s="11602" t="n"/>
      <c r="Q142" s="11602" t="n"/>
      <c r="R142" s="11602" t="n"/>
      <c r="S142" s="11602" t="n"/>
      <c r="T142" s="11602" t="n"/>
      <c r="U142" s="11602" t="n"/>
      <c r="V142" s="11602" t="n"/>
      <c r="W142" s="11602" t="n"/>
      <c r="X142" s="11602" t="n"/>
      <c r="Y142" s="11602" t="n"/>
      <c r="Z142" s="11602" t="n"/>
      <c r="AA142" s="8650" t="n"/>
      <c r="AB142" s="11602" t="n"/>
      <c r="AC142" s="11602" t="n"/>
      <c r="AD142" s="11602" t="n"/>
      <c r="AE142" s="11602" t="n"/>
      <c r="AF142" s="11602" t="n"/>
      <c r="AG142" s="11602" t="n"/>
      <c r="AH142" s="11602" t="n"/>
      <c r="AI142" s="11602" t="n"/>
      <c r="AJ142" s="11602" t="n"/>
      <c r="AK142" s="2013" t="n"/>
      <c r="AL142" s="11602" t="n"/>
      <c r="AM142" s="344" t="n"/>
      <c r="AN142" s="11602" t="n"/>
      <c r="AO142" s="658" t="n"/>
      <c r="AP142" s="658" t="n"/>
      <c r="AQ142" s="658" t="n"/>
      <c r="AR142" s="658" t="n"/>
      <c r="AS142" s="658" t="n"/>
      <c r="AT142" s="658" t="n"/>
      <c r="AU142" s="658" t="n"/>
      <c r="AV142" s="658" t="n"/>
      <c r="AW142" s="658" t="n"/>
      <c r="AX142" s="658" t="n"/>
    </row>
    <row r="143" ht="14.25" customFormat="1" customHeight="1" s="815">
      <c r="A143" s="2013" t="n"/>
      <c r="B143" s="11602" t="n"/>
      <c r="C143" s="6996" t="n"/>
      <c r="D143" s="11602" t="n"/>
      <c r="E143" s="11602" t="n"/>
      <c r="F143" s="8650" t="inlineStr">
        <is>
          <t>contributions.</t>
        </is>
      </c>
      <c r="G143" s="8650" t="n"/>
      <c r="H143" s="11602" t="n"/>
      <c r="I143" s="11602" t="n"/>
      <c r="J143" s="11602" t="n"/>
      <c r="K143" s="11602" t="n"/>
      <c r="L143" s="11602" t="n"/>
      <c r="M143" s="11602" t="n"/>
      <c r="N143" s="11602" t="n"/>
      <c r="O143" s="11602" t="n"/>
      <c r="P143" s="11602" t="n"/>
      <c r="Q143" s="11602" t="n"/>
      <c r="R143" s="11602" t="n"/>
      <c r="S143" s="11602" t="n"/>
      <c r="T143" s="11602" t="n"/>
      <c r="U143" s="11602" t="n"/>
      <c r="V143" s="11602" t="n"/>
      <c r="W143" s="11602" t="n"/>
      <c r="X143" s="11602" t="n"/>
      <c r="Y143" s="11602" t="n"/>
      <c r="Z143" s="11602" t="n"/>
      <c r="AA143" s="11602" t="n"/>
      <c r="AB143" s="11602" t="n"/>
      <c r="AC143" s="11602" t="n"/>
      <c r="AD143" s="11602" t="n"/>
      <c r="AE143" s="11602" t="n"/>
      <c r="AF143" s="11602" t="n"/>
      <c r="AG143" s="11602" t="n"/>
      <c r="AH143" s="11602" t="n"/>
      <c r="AI143" s="11602" t="n"/>
      <c r="AJ143" s="11602" t="n"/>
      <c r="AK143" s="2013" t="n"/>
      <c r="AL143" s="11602" t="n"/>
      <c r="AM143" s="344" t="n"/>
      <c r="AN143" s="11602" t="n"/>
      <c r="AO143" s="658" t="n"/>
      <c r="AP143" s="658" t="n"/>
      <c r="AQ143" s="658" t="n"/>
      <c r="AR143" s="658" t="n"/>
      <c r="AS143" s="658" t="n"/>
      <c r="AT143" s="658" t="n"/>
      <c r="AU143" s="658" t="n"/>
      <c r="AV143" s="658" t="n"/>
      <c r="AW143" s="658" t="n"/>
      <c r="AX143" s="658" t="n"/>
    </row>
    <row r="144" ht="16.5" customFormat="1" customHeight="1" s="815">
      <c r="A144" s="2013" t="n"/>
      <c r="B144" s="11602" t="n"/>
      <c r="C144" s="6996" t="n"/>
      <c r="D144" s="11602" t="n"/>
      <c r="E144" s="873" t="inlineStr">
        <is>
          <t>●</t>
        </is>
      </c>
      <c r="F144" s="8650">
        <f>"You converted part, but not all, of your traditional IRAs to Roth IRAs in "&amp;TaxYear</f>
        <v/>
      </c>
      <c r="G144" s="8650" t="n"/>
      <c r="H144" s="11602" t="n"/>
      <c r="I144" s="11602" t="n"/>
      <c r="J144" s="11602" t="n"/>
      <c r="K144" s="11602" t="n"/>
      <c r="L144" s="11602" t="n"/>
      <c r="M144" s="11602" t="n"/>
      <c r="N144" s="11602" t="n"/>
      <c r="O144" s="11602" t="n"/>
      <c r="P144" s="11602" t="n"/>
      <c r="Q144" s="11602" t="n"/>
      <c r="R144" s="11602" t="n"/>
      <c r="S144" s="11602" t="n"/>
      <c r="T144" s="11602" t="n"/>
      <c r="U144" s="11602" t="n"/>
      <c r="V144" s="11602" t="n"/>
      <c r="W144" s="11602" t="n"/>
      <c r="X144" s="8650" t="inlineStr">
        <is>
          <t>and  you made nondeductible contributions</t>
        </is>
      </c>
      <c r="Y144" s="11602" t="n"/>
      <c r="Z144" s="11602" t="n"/>
      <c r="AA144" s="11602" t="n"/>
      <c r="AB144" s="8650" t="n"/>
      <c r="AC144" s="8650" t="n"/>
      <c r="AD144" s="11602" t="n"/>
      <c r="AE144" s="11602" t="n"/>
      <c r="AF144" s="11602" t="n"/>
      <c r="AG144" s="11602" t="n"/>
      <c r="AH144" s="11602" t="n"/>
      <c r="AI144" s="11602" t="n"/>
      <c r="AJ144" s="11602" t="n"/>
      <c r="AK144" s="2013" t="n"/>
      <c r="AL144" s="11602" t="n"/>
      <c r="AM144" s="344" t="n"/>
      <c r="AN144" s="11602" t="n"/>
      <c r="AO144" s="658" t="n"/>
      <c r="AP144" s="658" t="n"/>
      <c r="AQ144" s="658" t="n"/>
      <c r="AR144" s="658" t="n"/>
      <c r="AS144" s="658" t="n"/>
      <c r="AT144" s="658" t="n"/>
      <c r="AU144" s="658" t="n"/>
      <c r="AV144" s="658" t="n"/>
      <c r="AW144" s="658" t="n"/>
      <c r="AX144" s="658" t="n"/>
    </row>
    <row r="145" ht="14.25" customFormat="1" customHeight="1" s="815">
      <c r="A145" s="2013" t="n"/>
      <c r="B145" s="413" t="n"/>
      <c r="C145" s="7601" t="n"/>
      <c r="D145" s="413" t="n"/>
      <c r="E145" s="413" t="n"/>
      <c r="F145" s="1996">
        <f>"to a traditional IRA in "&amp;TaxYear&amp;" or an earlier year."</f>
        <v/>
      </c>
      <c r="G145" s="1996" t="n"/>
      <c r="H145" s="413" t="n"/>
      <c r="I145" s="413" t="n"/>
      <c r="J145" s="413" t="n"/>
      <c r="K145" s="413" t="n"/>
      <c r="L145" s="413" t="n"/>
      <c r="M145" s="413" t="n"/>
      <c r="N145" s="413" t="n"/>
      <c r="O145" s="413" t="n"/>
      <c r="P145" s="413" t="n"/>
      <c r="Q145" s="413" t="n"/>
      <c r="R145" s="413" t="n"/>
      <c r="S145" s="413" t="n"/>
      <c r="T145" s="413" t="n"/>
      <c r="U145" s="413" t="n"/>
      <c r="V145" s="413" t="n"/>
      <c r="W145" s="413" t="n"/>
      <c r="X145" s="413" t="n"/>
      <c r="Y145" s="413" t="n"/>
      <c r="Z145" s="413" t="n"/>
      <c r="AA145" s="413" t="n"/>
      <c r="AB145" s="413" t="n"/>
      <c r="AC145" s="413" t="n"/>
      <c r="AD145" s="413" t="n"/>
      <c r="AE145" s="413" t="n"/>
      <c r="AF145" s="413" t="n"/>
      <c r="AG145" s="413" t="n"/>
      <c r="AH145" s="413" t="n"/>
      <c r="AI145" s="413" t="n"/>
      <c r="AJ145" s="413" t="n"/>
      <c r="AK145" s="2013" t="n"/>
      <c r="AL145" s="11602" t="n"/>
      <c r="AM145" s="344" t="n"/>
      <c r="AN145" s="11602" t="n"/>
      <c r="AO145" s="658" t="n"/>
      <c r="AP145" s="658" t="n"/>
      <c r="AQ145" s="658" t="n"/>
      <c r="AR145" s="658" t="n"/>
      <c r="AS145" s="658" t="n"/>
      <c r="AT145" s="658" t="n"/>
      <c r="AU145" s="658" t="n"/>
      <c r="AV145" s="658" t="n"/>
      <c r="AW145" s="658" t="n"/>
      <c r="AX145" s="658" t="n"/>
    </row>
    <row r="146" ht="15.75" customFormat="1" customHeight="1" s="815">
      <c r="A146" s="2013" t="n"/>
      <c r="B146" s="11602" t="n"/>
      <c r="C146" s="2917" t="inlineStr">
        <is>
          <t>1</t>
        </is>
      </c>
      <c r="D146" s="8650">
        <f>"Enter your nondeductible contributions to traditional IRAs for "&amp;TaxYear&amp;", including those made for "&amp;TaxYear</f>
        <v/>
      </c>
      <c r="E146" s="11602" t="n"/>
      <c r="F146" s="8650" t="n"/>
      <c r="G146" s="8650" t="n"/>
      <c r="H146" s="11602" t="n"/>
      <c r="I146" s="11602" t="n"/>
      <c r="J146" s="11602" t="n"/>
      <c r="K146" s="11602" t="n"/>
      <c r="L146" s="11602" t="n"/>
      <c r="M146" s="11602" t="n"/>
      <c r="N146" s="11602" t="n"/>
      <c r="O146" s="11602" t="n"/>
      <c r="P146" s="11602" t="n"/>
      <c r="Q146" s="11602" t="n"/>
      <c r="R146" s="11602" t="n"/>
      <c r="S146" s="11602" t="n"/>
      <c r="T146" s="11602" t="n"/>
      <c r="U146" s="11602" t="n"/>
      <c r="V146" s="11602" t="n"/>
      <c r="W146" s="11602" t="n"/>
      <c r="X146" s="11602" t="n"/>
      <c r="Y146" s="11602" t="n"/>
      <c r="Z146" s="11602" t="n"/>
      <c r="AA146" s="11602" t="n"/>
      <c r="AB146" s="11602" t="n"/>
      <c r="AC146" s="11602" t="n"/>
      <c r="AD146" s="726" t="n"/>
      <c r="AE146" s="10844" t="n"/>
      <c r="AF146" s="7839" t="n"/>
      <c r="AG146" s="7839" t="n"/>
      <c r="AH146" s="7839" t="n"/>
      <c r="AI146" s="7839" t="n"/>
      <c r="AJ146" s="7839" t="n"/>
      <c r="AK146" s="2013" t="n"/>
      <c r="AL146" s="11602" t="n"/>
      <c r="AM146" s="344" t="n"/>
      <c r="AN146" s="11602" t="n"/>
      <c r="AO146" s="658" t="n"/>
      <c r="AP146" s="658" t="n"/>
      <c r="AQ146" s="658" t="n"/>
      <c r="AR146" s="658" t="n"/>
      <c r="AS146" s="658" t="n"/>
      <c r="AT146" s="658" t="n"/>
      <c r="AU146" s="658" t="n"/>
      <c r="AV146" s="658" t="n"/>
      <c r="AW146" s="658" t="n"/>
      <c r="AX146" s="658" t="n"/>
    </row>
    <row r="147" ht="15" customFormat="1" customHeight="1" s="815">
      <c r="A147" s="2013" t="n"/>
      <c r="B147" s="11602" t="n"/>
      <c r="C147" s="11216" t="n"/>
      <c r="D147" s="8650">
        <f>"from January 1, "&amp;TaxYear+1&amp;", through "&amp;TEXT(TaxDay,"mmmm dd")&amp;", "&amp;TaxYear+1&amp;". See instructions"</f>
        <v/>
      </c>
      <c r="E147" s="11602" t="n"/>
      <c r="F147" s="11602" t="n"/>
      <c r="G147" s="11602" t="n"/>
      <c r="H147" s="11602" t="n"/>
      <c r="I147" s="11602" t="n"/>
      <c r="J147" s="11602" t="n"/>
      <c r="K147" s="11602" t="n"/>
      <c r="L147" s="11602" t="n"/>
      <c r="M147" s="11602" t="n"/>
      <c r="N147" s="11602" t="n"/>
      <c r="O147" s="11602" t="n"/>
      <c r="P147" s="11602" t="n"/>
      <c r="Q147" s="11602" t="n"/>
      <c r="R147" s="11602" t="n"/>
      <c r="S147" s="11602" t="n"/>
      <c r="T147" s="11602" t="n"/>
      <c r="U147" s="11602" t="n"/>
      <c r="V147" s="11602" t="n"/>
      <c r="W147" s="11602" t="n"/>
      <c r="X147" s="11602" t="n"/>
      <c r="Y147" s="11602" t="n"/>
      <c r="Z147" s="11602" t="n"/>
      <c r="AA147" s="11602" t="n"/>
      <c r="AB147" s="11602" t="n"/>
      <c r="AC147" s="1657" t="inlineStr">
        <is>
          <t xml:space="preserve">.   .   .   .   .   .   .   .   .   .   .   .   .   .   .   .   .   . </t>
        </is>
      </c>
      <c r="AD147" s="2895" t="n">
        <v>1</v>
      </c>
      <c r="AE147" s="10799" t="n"/>
      <c r="AF147" s="11717" t="n"/>
      <c r="AG147" s="11717" t="n"/>
      <c r="AH147" s="11717" t="n"/>
      <c r="AI147" s="11717" t="n"/>
      <c r="AJ147" s="11717" t="n"/>
      <c r="AK147" s="2013" t="n"/>
      <c r="AL147" s="11602" t="n"/>
      <c r="AM147" s="512">
        <f>AND(AE147="",AE148="")</f>
        <v/>
      </c>
      <c r="AN147" s="11602" t="n"/>
      <c r="AO147" s="6942" t="inlineStr">
        <is>
          <t>Total Basis Chart -- Line 2.  See Form 8606 instructions.</t>
        </is>
      </c>
      <c r="AP147" s="946" t="n"/>
      <c r="AQ147" s="946" t="n"/>
      <c r="AR147" s="946" t="n"/>
      <c r="AS147" s="946" t="n"/>
      <c r="AT147" s="946" t="n"/>
      <c r="AU147" s="946" t="n"/>
      <c r="AV147" s="658" t="n"/>
      <c r="AW147" s="658" t="n"/>
      <c r="AX147" s="658" t="n"/>
    </row>
    <row r="148" ht="15.75" customFormat="1" customHeight="1" s="815" thickBot="1">
      <c r="A148" s="2013" t="n"/>
      <c r="B148" s="11602" t="n"/>
      <c r="C148" s="2917" t="inlineStr">
        <is>
          <t>2</t>
        </is>
      </c>
      <c r="D148" s="8650" t="inlineStr">
        <is>
          <t>Enter your total basis in traditional IRAs. See instructions</t>
        </is>
      </c>
      <c r="E148" s="11602" t="n"/>
      <c r="F148" s="11602" t="n"/>
      <c r="G148" s="11602" t="n"/>
      <c r="H148" s="11602" t="n"/>
      <c r="I148" s="11602" t="n"/>
      <c r="J148" s="11602" t="n"/>
      <c r="K148" s="11602" t="n"/>
      <c r="L148" s="11602" t="n"/>
      <c r="M148" s="11602" t="n"/>
      <c r="N148" s="11602" t="n"/>
      <c r="O148" s="11602" t="n"/>
      <c r="P148" s="11602" t="n"/>
      <c r="Q148" s="11602" t="n"/>
      <c r="R148" s="11602" t="n"/>
      <c r="S148" s="11602" t="n"/>
      <c r="T148" s="11602" t="n"/>
      <c r="U148" s="11602" t="n"/>
      <c r="V148" s="11602" t="n"/>
      <c r="W148" s="11602" t="n"/>
      <c r="X148" s="11602" t="n"/>
      <c r="Y148" s="11602" t="n"/>
      <c r="Z148" s="11602" t="n"/>
      <c r="AA148" s="11602" t="n"/>
      <c r="AB148" s="11602" t="n"/>
      <c r="AC148" s="1657" t="inlineStr">
        <is>
          <t xml:space="preserve">.   .   .   .   .   .   .   .   .   .   .   .   .   .   .   .   .   .   .   . </t>
        </is>
      </c>
      <c r="AD148" s="2895" t="n">
        <v>2</v>
      </c>
      <c r="AE148" s="10799" t="n"/>
      <c r="AF148" s="11717" t="n"/>
      <c r="AG148" s="11717" t="n"/>
      <c r="AH148" s="11717" t="n"/>
      <c r="AI148" s="11717" t="n"/>
      <c r="AJ148" s="11717" t="n"/>
      <c r="AK148" s="2013" t="n"/>
      <c r="AL148" s="7914" t="n"/>
      <c r="AM148" s="9239">
        <f>NOT(AM147)</f>
        <v/>
      </c>
      <c r="AN148" s="11602" t="n"/>
      <c r="AO148" s="1138" t="inlineStr">
        <is>
          <t>IF the last Form 8606 you filed was for …</t>
        </is>
      </c>
      <c r="AP148" s="946" t="n"/>
      <c r="AQ148" s="946" t="n"/>
      <c r="AR148" s="1138" t="inlineStr">
        <is>
          <t xml:space="preserve">THEN enter on line </t>
        </is>
      </c>
      <c r="AS148" s="946" t="n"/>
      <c r="AT148" s="946" t="n"/>
      <c r="AU148" s="946" t="n"/>
      <c r="AV148" s="658" t="n"/>
      <c r="AW148" s="658" t="n"/>
      <c r="AX148" s="658" t="n"/>
    </row>
    <row r="149" ht="15" customFormat="1" customHeight="1" s="815" thickBot="1">
      <c r="A149" s="2013" t="n"/>
      <c r="B149" s="11602" t="n"/>
      <c r="C149" s="2917" t="inlineStr">
        <is>
          <t>3</t>
        </is>
      </c>
      <c r="D149" s="8650" t="inlineStr">
        <is>
          <t>Add lines 1 and 2</t>
        </is>
      </c>
      <c r="E149" s="11602" t="n"/>
      <c r="F149" s="11602" t="n"/>
      <c r="G149" s="11602" t="n"/>
      <c r="H149" s="11602" t="n"/>
      <c r="I149" s="11602" t="n"/>
      <c r="J149" s="11602" t="n"/>
      <c r="K149" s="11602" t="n"/>
      <c r="L149" s="11602" t="n"/>
      <c r="M149" s="11602" t="n"/>
      <c r="N149" s="11602" t="n"/>
      <c r="O149" s="11602" t="n"/>
      <c r="P149" s="11602" t="n"/>
      <c r="Q149" s="11602" t="n"/>
      <c r="R149" s="11602" t="n"/>
      <c r="S149" s="11602" t="n"/>
      <c r="T149" s="11602" t="n"/>
      <c r="U149" s="11602" t="n"/>
      <c r="V149" s="11602" t="n"/>
      <c r="W149" s="11602" t="n"/>
      <c r="X149" s="11602" t="n"/>
      <c r="Y149" s="11602" t="n"/>
      <c r="Z149" s="11602" t="n"/>
      <c r="AA149" s="11602" t="n"/>
      <c r="AB149" s="11602" t="n"/>
      <c r="AC149" s="1657" t="inlineStr">
        <is>
          <t xml:space="preserve">.   .   .   .   .   .   .   .   .   .   .   .   .   .   .   .   .   .   .   .   .   .   .   .   .   .   .   .   .   .   .   .   .   .   . </t>
        </is>
      </c>
      <c r="AD149" s="2895" t="n">
        <v>3</v>
      </c>
      <c r="AE149" s="10805">
        <f>IF(AM147,"",SUM(AE147:AE148))</f>
        <v/>
      </c>
      <c r="AF149" s="7637" t="n"/>
      <c r="AG149" s="7637" t="n"/>
      <c r="AH149" s="7637" t="n"/>
      <c r="AI149" s="7637" t="n"/>
      <c r="AJ149" s="7637" t="n"/>
      <c r="AK149" s="2013" t="n"/>
      <c r="AL149" s="1147" t="n"/>
      <c r="AM149" s="3789">
        <f>IF(OR(AL149&lt;&gt;"",AND(AL153="",NOT(AM151))),"Override 'No.'","")</f>
        <v/>
      </c>
      <c r="AN149" s="11602" t="n"/>
      <c r="AO149" s="1138" t="inlineStr">
        <is>
          <t>After year</t>
        </is>
      </c>
      <c r="AP149" s="1138" t="inlineStr">
        <is>
          <t>and before year</t>
        </is>
      </c>
      <c r="AQ149" s="946" t="n"/>
      <c r="AR149" s="946" t="n"/>
      <c r="AS149" s="946" t="n"/>
      <c r="AT149" s="946" t="n"/>
      <c r="AU149" s="946" t="n"/>
      <c r="AV149" s="658" t="n"/>
      <c r="AW149" s="658" t="n"/>
      <c r="AX149" s="658" t="n"/>
    </row>
    <row r="150" ht="17.25" customFormat="1" customHeight="1" s="815" thickBot="1">
      <c r="A150" s="2013" t="n"/>
      <c r="B150" s="11602" t="n"/>
      <c r="C150" s="2917" t="n"/>
      <c r="D150" s="12667">
        <f>"In "&amp;TaxYear&amp;", did you take a distribution from a traditional IRA, or make a Roth IRA conversion?"</f>
        <v/>
      </c>
      <c r="E150" s="2506" t="n"/>
      <c r="F150" s="2506" t="n"/>
      <c r="G150" s="2506" t="n"/>
      <c r="H150" s="2506" t="n"/>
      <c r="I150" s="2506" t="n"/>
      <c r="J150" s="2506" t="n"/>
      <c r="K150" s="2506" t="n"/>
      <c r="L150" s="2506" t="n"/>
      <c r="M150" s="2614" t="n"/>
      <c r="N150" s="347" t="n"/>
      <c r="O150" s="380" t="n"/>
      <c r="P150" s="9398" t="inlineStr">
        <is>
          <t>No</t>
        </is>
      </c>
      <c r="R150" s="380" t="n"/>
      <c r="S150" s="380" t="n"/>
      <c r="T150" s="8650" t="inlineStr">
        <is>
          <t xml:space="preserve">  Enter the amount from line 3 on line 14.</t>
        </is>
      </c>
      <c r="U150" s="11602" t="n"/>
      <c r="V150" s="11602" t="n"/>
      <c r="W150" s="11602" t="n"/>
      <c r="X150" s="11602" t="n"/>
      <c r="Y150" s="11602" t="n"/>
      <c r="Z150" s="11602" t="n"/>
      <c r="AA150" s="11602" t="n"/>
      <c r="AB150" s="11602" t="n"/>
      <c r="AC150" s="11602" t="n"/>
      <c r="AD150" s="2924" t="n"/>
      <c r="AE150" s="512" t="n"/>
      <c r="AF150" s="512" t="n"/>
      <c r="AG150" s="512" t="n"/>
      <c r="AH150" s="512" t="n"/>
      <c r="AI150" s="512" t="n"/>
      <c r="AJ150" s="512" t="n"/>
      <c r="AK150" s="2013" t="n"/>
      <c r="AL150" s="1987">
        <f>IF(AL153&lt;&gt;"","",IF(AL149&lt;&gt;"","X",IF(OR(AND(AL123&lt;&gt;"",OR('1099-R'!$M$4&gt;0,IRA_CONV_YOU&gt;0)),AND(AL124&lt;&gt;"",OR('1099-R'!$M$31&gt;0,IRA_CONV_SPOUSE&gt;0))),"","X")))</f>
        <v/>
      </c>
      <c r="AM150" s="3789" t="inlineStr">
        <is>
          <t>No.</t>
        </is>
      </c>
      <c r="AN150" s="11602" t="n"/>
      <c r="AO150" s="6943" t="n">
        <v>2023</v>
      </c>
      <c r="AP150" s="6944" t="n">
        <v>2025</v>
      </c>
      <c r="AQ150" s="6945" t="n"/>
      <c r="AR150" s="12668" t="inlineStr">
        <is>
          <t>the amount from line 14 of that Form 8606 as adjusted to include the amount from line 6 of the 
Line 15c Worksheet, if any, you completed the last time you filed a Form 8606 with Part I completed. 
See Line 14, earlier.</t>
        </is>
      </c>
      <c r="AS150" s="11745" t="n"/>
      <c r="AT150" s="11745" t="n"/>
      <c r="AU150" s="11948" t="n"/>
      <c r="AV150" s="658" t="n"/>
      <c r="AW150" s="658" t="n"/>
      <c r="AX150" s="658" t="n"/>
    </row>
    <row r="151" ht="12" customFormat="1" customHeight="1" s="815" thickBot="1">
      <c r="A151" s="2013" t="n"/>
      <c r="B151" s="11602" t="n"/>
      <c r="C151" s="11216" t="n"/>
      <c r="D151" s="11741" t="n"/>
      <c r="M151" s="1066" t="n"/>
      <c r="N151" s="11602" t="n"/>
      <c r="O151" s="11602" t="n"/>
      <c r="R151" s="11602" t="n"/>
      <c r="S151" s="11602" t="n"/>
      <c r="T151" s="1672" t="inlineStr">
        <is>
          <t xml:space="preserve">  Do not complete the rest of Part I.</t>
        </is>
      </c>
      <c r="U151" s="11602" t="n"/>
      <c r="V151" s="11602" t="n"/>
      <c r="W151" s="1401" t="n"/>
      <c r="X151" s="11602" t="n"/>
      <c r="Y151" s="11602" t="n"/>
      <c r="Z151" s="11602" t="n"/>
      <c r="AA151" s="11602" t="n"/>
      <c r="AB151" s="11602" t="n"/>
      <c r="AC151" s="11602" t="n"/>
      <c r="AD151" s="2924" t="n"/>
      <c r="AE151" s="512" t="n"/>
      <c r="AF151" s="512" t="n"/>
      <c r="AG151" s="512" t="n"/>
      <c r="AH151" s="512" t="n"/>
      <c r="AI151" s="512" t="n"/>
      <c r="AJ151" s="512" t="n"/>
      <c r="AK151" s="2013" t="n"/>
      <c r="AL151" s="7914" t="n"/>
      <c r="AM151" s="9239">
        <f>(AL150&lt;&gt;"")</f>
        <v/>
      </c>
      <c r="AN151" s="11602" t="n"/>
      <c r="AO151" s="6946" t="n"/>
      <c r="AP151" s="6947" t="n"/>
      <c r="AQ151" s="6948" t="n"/>
      <c r="AR151" s="11956" t="n"/>
      <c r="AS151" s="194" t="n"/>
      <c r="AT151" s="194" t="n"/>
      <c r="AU151" s="11726" t="n"/>
      <c r="AV151" s="658" t="n"/>
      <c r="AW151" s="658" t="n"/>
      <c r="AX151" s="658" t="n"/>
    </row>
    <row r="152" ht="11.25" customFormat="1" customHeight="1" s="815" thickBot="1">
      <c r="A152" s="2013" t="n"/>
      <c r="B152" s="11602" t="n"/>
      <c r="C152" s="11216" t="n"/>
      <c r="D152" s="11741" t="n"/>
      <c r="M152" s="1066" t="n"/>
      <c r="N152" s="11602" t="n"/>
      <c r="O152" s="11602" t="n"/>
      <c r="P152" s="7788" t="inlineStr">
        <is>
          <t>Yes</t>
        </is>
      </c>
      <c r="R152" s="11602" t="n"/>
      <c r="S152" s="11602" t="n"/>
      <c r="T152" s="10847" t="inlineStr">
        <is>
          <t>Go to line 4.</t>
        </is>
      </c>
      <c r="AC152" s="7636" t="n"/>
      <c r="AD152" s="2924" t="n"/>
      <c r="AE152" s="512" t="n"/>
      <c r="AF152" s="512" t="n"/>
      <c r="AG152" s="512" t="n"/>
      <c r="AH152" s="512" t="n"/>
      <c r="AI152" s="512" t="n"/>
      <c r="AJ152" s="512" t="n"/>
      <c r="AK152" s="2013" t="n"/>
      <c r="AL152" s="1987">
        <f>IF(AL153&lt;&gt;"","X",IF(AM151,"","X"))</f>
        <v/>
      </c>
      <c r="AM152" s="3789" t="inlineStr">
        <is>
          <t>Yes.</t>
        </is>
      </c>
      <c r="AN152" s="11602" t="n"/>
      <c r="AO152" s="6946" t="n"/>
      <c r="AP152" s="6947" t="n"/>
      <c r="AQ152" s="6948" t="n"/>
      <c r="AR152" s="11956" t="n"/>
      <c r="AS152" s="194" t="n"/>
      <c r="AT152" s="194" t="n"/>
      <c r="AU152" s="11726" t="n"/>
      <c r="AV152" s="658" t="n"/>
      <c r="AW152" s="658" t="n"/>
      <c r="AX152" s="658" t="n"/>
    </row>
    <row r="153" ht="10.5" customFormat="1" customHeight="1" s="815" thickBot="1">
      <c r="A153" s="2013" t="n"/>
      <c r="B153" s="11602" t="n"/>
      <c r="C153" s="11216" t="n"/>
      <c r="D153" s="11743" t="n"/>
      <c r="E153" s="8848" t="n"/>
      <c r="F153" s="8848" t="n"/>
      <c r="G153" s="8848" t="n"/>
      <c r="H153" s="8848" t="n"/>
      <c r="I153" s="8848" t="n"/>
      <c r="J153" s="8848" t="n"/>
      <c r="K153" s="8848" t="n"/>
      <c r="L153" s="8848" t="n"/>
      <c r="M153" s="2627" t="n"/>
      <c r="N153" s="338" t="n"/>
      <c r="O153" s="377" t="n"/>
      <c r="R153" s="377" t="n"/>
      <c r="S153" s="377" t="n"/>
      <c r="AC153" s="7636" t="n"/>
      <c r="AD153" s="2924" t="n"/>
      <c r="AE153" s="512" t="n"/>
      <c r="AF153" s="512" t="n"/>
      <c r="AG153" s="512" t="n"/>
      <c r="AH153" s="512" t="n"/>
      <c r="AI153" s="512" t="n"/>
      <c r="AJ153" s="512" t="n"/>
      <c r="AK153" s="2013" t="n"/>
      <c r="AL153" s="1147" t="n"/>
      <c r="AM153" s="3789">
        <f>IF(AND(AL149="",OR(AL153&lt;&gt;"",AM151)),"Override 'Yes.'","")</f>
        <v/>
      </c>
      <c r="AN153" s="11602" t="n"/>
      <c r="AO153" s="6949" t="n"/>
      <c r="AP153" s="6950" t="n"/>
      <c r="AQ153" s="6951" t="n"/>
      <c r="AR153" s="11728" t="n"/>
      <c r="AS153" s="11717" t="n"/>
      <c r="AT153" s="11717" t="n"/>
      <c r="AU153" s="11718" t="n"/>
      <c r="AV153" s="658" t="n"/>
      <c r="AW153" s="658" t="n"/>
      <c r="AX153" s="658" t="n"/>
    </row>
    <row r="154" ht="15" customFormat="1" customHeight="1" s="815">
      <c r="A154" s="2013" t="n"/>
      <c r="B154" s="11602" t="n"/>
      <c r="C154" s="2917" t="inlineStr">
        <is>
          <t>4</t>
        </is>
      </c>
      <c r="D154" s="8650">
        <f>"Enter those contributions included on line 1 that were made from January 1, "&amp;TaxYear+1&amp;", through "&amp;TEXT(TaxDay,"mmmm dd")&amp;", "&amp;TaxYear+1</f>
        <v/>
      </c>
      <c r="E154" s="8650" t="n"/>
      <c r="F154" s="11602" t="n"/>
      <c r="G154" s="11602" t="n"/>
      <c r="H154" s="11602" t="n"/>
      <c r="I154" s="11602" t="n"/>
      <c r="J154" s="11602" t="n"/>
      <c r="K154" s="11602" t="n"/>
      <c r="L154" s="11602" t="n"/>
      <c r="M154" s="11602" t="n"/>
      <c r="N154" s="11602" t="n"/>
      <c r="O154" s="11602" t="n"/>
      <c r="P154" s="11602" t="n"/>
      <c r="Q154" s="11602" t="n"/>
      <c r="R154" s="11602" t="n"/>
      <c r="S154" s="11602" t="n"/>
      <c r="T154" s="11602" t="n"/>
      <c r="U154" s="11602" t="n"/>
      <c r="V154" s="11602" t="n"/>
      <c r="W154" s="1401" t="n"/>
      <c r="X154" s="11602" t="n"/>
      <c r="Y154" s="11602" t="n"/>
      <c r="Z154" s="11602" t="n"/>
      <c r="AA154" s="11602" t="n"/>
      <c r="AB154" s="11602" t="n"/>
      <c r="AC154" s="1657" t="inlineStr">
        <is>
          <t xml:space="preserve">.   . </t>
        </is>
      </c>
      <c r="AD154" s="2895" t="n">
        <v>4</v>
      </c>
      <c r="AE154" s="10799" t="n"/>
      <c r="AF154" s="11717" t="n"/>
      <c r="AG154" s="11717" t="n"/>
      <c r="AH154" s="11717" t="n"/>
      <c r="AI154" s="11717" t="n"/>
      <c r="AJ154" s="11717" t="n"/>
      <c r="AK154" s="2013" t="n"/>
      <c r="AL154" s="7914" t="n"/>
      <c r="AM154" s="7914" t="n"/>
      <c r="AN154" s="11602" t="n"/>
      <c r="AO154" s="6952" t="n">
        <v>2000</v>
      </c>
      <c r="AP154" s="6953" t="n">
        <v>2024</v>
      </c>
      <c r="AQ154" s="6954" t="n"/>
      <c r="AR154" s="6984" t="inlineStr">
        <is>
          <t>the amount from line 14 of that Form 8606.</t>
        </is>
      </c>
      <c r="AS154" s="6955" t="n"/>
      <c r="AT154" s="6955" t="n"/>
      <c r="AU154" s="6954" t="n"/>
      <c r="AV154" s="658" t="n"/>
      <c r="AW154" s="658" t="n"/>
      <c r="AX154" s="658" t="n"/>
    </row>
    <row r="155" ht="15.75" customFormat="1" customHeight="1" s="815">
      <c r="A155" s="2013" t="n"/>
      <c r="B155" s="11602" t="n"/>
      <c r="C155" s="2917" t="inlineStr">
        <is>
          <t>5</t>
        </is>
      </c>
      <c r="D155" s="8650" t="inlineStr">
        <is>
          <t>Subtract line 4 from line 3</t>
        </is>
      </c>
      <c r="E155" s="11602" t="n"/>
      <c r="F155" s="11602" t="n"/>
      <c r="G155" s="11602" t="n"/>
      <c r="H155" s="11602" t="n"/>
      <c r="I155" s="11602" t="n"/>
      <c r="J155" s="11602" t="n"/>
      <c r="K155" s="11602" t="n"/>
      <c r="L155" s="11602" t="n"/>
      <c r="M155" s="11602" t="n"/>
      <c r="N155" s="11602" t="n"/>
      <c r="O155" s="11602" t="n"/>
      <c r="P155" s="11602" t="n"/>
      <c r="Q155" s="11602" t="n"/>
      <c r="R155" s="11602" t="n"/>
      <c r="S155" s="11602" t="n"/>
      <c r="T155" s="11602" t="n"/>
      <c r="U155" s="11602" t="n"/>
      <c r="V155" s="11602" t="n"/>
      <c r="W155" s="11602" t="n"/>
      <c r="X155" s="11602" t="n"/>
      <c r="Y155" s="11602" t="n"/>
      <c r="Z155" s="11602" t="n"/>
      <c r="AA155" s="11602" t="n"/>
      <c r="AB155" s="11602" t="n"/>
      <c r="AC155" s="1657" t="inlineStr">
        <is>
          <t xml:space="preserve">.   .   .   .   .   .   .   .   .   .   .   .   .   .   .   .   .   .   .   .   .   .   .   .   .   .   .   .   .   .   .   . </t>
        </is>
      </c>
      <c r="AD155" s="2895" t="n">
        <v>5</v>
      </c>
      <c r="AE155" s="10805">
        <f>IF(AM147,"",IF(AM151,"",MAX(0,SUM(AE149,-ROUND(AE154,0)))))</f>
        <v/>
      </c>
      <c r="AF155" s="7637" t="n"/>
      <c r="AG155" s="7637" t="n"/>
      <c r="AH155" s="7637" t="n"/>
      <c r="AI155" s="7637" t="n"/>
      <c r="AJ155" s="7637" t="n"/>
      <c r="AK155" s="2013" t="n"/>
      <c r="AL155" s="724" t="n"/>
      <c r="AM155" s="344" t="n"/>
      <c r="AN155" s="11602" t="n"/>
      <c r="AO155" s="6952" t="n">
        <v>1992</v>
      </c>
      <c r="AP155" s="6953" t="n">
        <v>2001</v>
      </c>
      <c r="AQ155" s="6954" t="n"/>
      <c r="AR155" s="6984" t="inlineStr">
        <is>
          <t>the amount from line 12 of that Form 8606.</t>
        </is>
      </c>
      <c r="AS155" s="6956" t="n"/>
      <c r="AT155" s="6956" t="n"/>
      <c r="AU155" s="6957" t="n"/>
      <c r="AV155" s="658" t="n"/>
      <c r="AW155" s="658" t="n"/>
      <c r="AX155" s="658" t="n"/>
    </row>
    <row r="156" ht="15" customFormat="1" customHeight="1" s="815">
      <c r="A156" s="2013" t="n"/>
      <c r="B156" s="11602" t="n"/>
      <c r="C156" s="2917" t="inlineStr">
        <is>
          <t>6</t>
        </is>
      </c>
      <c r="D156" s="7772" t="inlineStr">
        <is>
          <t>Enter the value of all your traditional IRAs as of</t>
        </is>
      </c>
      <c r="E156" s="11602" t="n"/>
      <c r="F156" s="11602" t="n"/>
      <c r="G156" s="11602" t="n"/>
      <c r="H156" s="11602" t="n"/>
      <c r="I156" s="11602" t="n"/>
      <c r="J156" s="11602" t="n"/>
      <c r="K156" s="11602" t="n"/>
      <c r="L156" s="11602" t="n"/>
      <c r="M156" s="11602" t="n"/>
      <c r="N156" s="11602" t="n"/>
      <c r="O156" s="11602" t="n"/>
      <c r="P156" s="2100" t="inlineStr">
        <is>
          <t>Do not include rollovers (but do include certain</t>
        </is>
      </c>
      <c r="Q156" s="11602" t="n"/>
      <c r="R156" s="11602" t="n"/>
      <c r="S156" s="11602" t="n"/>
      <c r="T156" s="11602" t="n"/>
      <c r="U156" s="11602" t="n"/>
      <c r="V156" s="11602" t="n"/>
      <c r="W156" s="11602" t="n"/>
      <c r="X156" s="11602" t="n"/>
      <c r="Y156" s="11602" t="n"/>
      <c r="Z156" s="11602" t="n"/>
      <c r="AA156" s="11602" t="n"/>
      <c r="AB156" s="11602" t="n"/>
      <c r="AC156" s="1657" t="n"/>
      <c r="AD156" s="2924" t="n"/>
      <c r="AE156" s="11574" t="n"/>
      <c r="AF156" s="512" t="n"/>
      <c r="AG156" s="512" t="n"/>
      <c r="AH156" s="512" t="n"/>
      <c r="AI156" s="512" t="n"/>
      <c r="AJ156" s="512" t="n"/>
      <c r="AK156" s="2013" t="n"/>
      <c r="AL156" s="9234">
        <f>IF(AND(OR(AE154&lt;&gt;"",SUM(AL158,AL162,AL164,AL180)&gt;0),AM151)," Do not complete the","")</f>
        <v/>
      </c>
      <c r="AM156" s="7914" t="n"/>
      <c r="AN156" s="11602" t="n"/>
      <c r="AO156" s="6952" t="n">
        <v>1992</v>
      </c>
      <c r="AP156" s="6953" t="n">
        <v>1993</v>
      </c>
      <c r="AQ156" s="6954" t="n"/>
      <c r="AR156" s="6984" t="inlineStr">
        <is>
          <t>the amount from line 14 of that Form 8606.</t>
        </is>
      </c>
      <c r="AS156" s="6955" t="n"/>
      <c r="AT156" s="6955" t="n"/>
      <c r="AU156" s="6954" t="n"/>
      <c r="AV156" s="658" t="n"/>
      <c r="AW156" s="658" t="n"/>
      <c r="AX156" s="658" t="n"/>
    </row>
    <row r="157" ht="15" customFormat="1" customHeight="1" s="815">
      <c r="A157" s="2013" t="n"/>
      <c r="B157" s="11602" t="n"/>
      <c r="C157" s="11216" t="n"/>
      <c r="D157" s="8650">
        <f>"Subtract certain "&amp;TaxYear&amp;" retirement plan distribution repayments treated as rollovers, if any. See"</f>
        <v/>
      </c>
      <c r="E157" s="11602" t="n"/>
      <c r="F157" s="11602" t="n"/>
      <c r="G157" s="11602" t="n"/>
      <c r="H157" s="11602" t="n"/>
      <c r="I157" s="11602" t="n"/>
      <c r="J157" s="11602" t="n"/>
      <c r="K157" s="11602" t="n"/>
      <c r="L157" s="11602" t="n"/>
      <c r="M157" s="11602" t="n"/>
      <c r="N157" s="11602" t="n"/>
      <c r="O157" s="11602" t="n"/>
      <c r="P157" s="11602" t="n"/>
      <c r="Q157" s="11602" t="n"/>
      <c r="R157" s="11602" t="n"/>
      <c r="S157" s="11602" t="n"/>
      <c r="T157" s="11602" t="n"/>
      <c r="U157" s="11602" t="n"/>
      <c r="V157" s="11602" t="n"/>
      <c r="W157" s="11602" t="n"/>
      <c r="X157" s="11602" t="n"/>
      <c r="Y157" s="11602" t="n"/>
      <c r="Z157" s="11602" t="n"/>
      <c r="AA157" s="11602" t="n"/>
      <c r="AB157" s="11602" t="n"/>
      <c r="AC157" s="1657" t="n"/>
      <c r="AD157" s="2924" t="n"/>
      <c r="AE157" s="11574" t="n"/>
      <c r="AF157" s="512" t="n"/>
      <c r="AG157" s="512" t="n"/>
      <c r="AH157" s="512" t="n"/>
      <c r="AI157" s="512" t="n"/>
      <c r="AJ157" s="512" t="n"/>
      <c r="AK157" s="2013" t="n"/>
      <c r="AL157" s="9234">
        <f>IF(AND(OR(AE154&lt;&gt;"",SUM(AL158,AL164,AL165,AL180)&gt;0),AM151)," rest of Part I.","")</f>
        <v/>
      </c>
      <c r="AM157" s="344" t="n"/>
      <c r="AN157" s="11602" t="n"/>
      <c r="AO157" s="6958" t="n">
        <v>1988</v>
      </c>
      <c r="AP157" s="6959" t="n"/>
      <c r="AQ157" s="6960" t="n"/>
      <c r="AR157" s="6984" t="inlineStr">
        <is>
          <t>the total of the amounts on lines 7 and 16 of that Form 8606.</t>
        </is>
      </c>
      <c r="AS157" s="6961" t="n"/>
      <c r="AT157" s="6961" t="n"/>
      <c r="AU157" s="6960" t="n"/>
      <c r="AV157" s="658" t="n"/>
      <c r="AW157" s="658" t="n"/>
      <c r="AX157" s="658" t="n"/>
    </row>
    <row r="158" ht="15" customFormat="1" customHeight="1" s="815">
      <c r="A158" s="2013" t="n"/>
      <c r="B158" s="11602" t="n"/>
      <c r="C158" s="2917" t="n"/>
      <c r="D158" s="8650" t="inlineStr">
        <is>
          <t>instructions</t>
        </is>
      </c>
      <c r="E158" s="11602" t="n"/>
      <c r="F158" s="11602" t="n"/>
      <c r="G158" s="11602" t="n"/>
      <c r="H158" s="11602" t="n"/>
      <c r="I158" s="11602" t="n"/>
      <c r="J158" s="11602" t="n"/>
      <c r="K158" s="11602" t="n"/>
      <c r="L158" s="11602" t="n"/>
      <c r="M158" s="11602" t="n"/>
      <c r="N158" s="8650" t="n"/>
      <c r="O158" s="8650" t="n"/>
      <c r="P158" s="11602" t="n"/>
      <c r="Q158" s="11602" t="n"/>
      <c r="R158" s="11602" t="n"/>
      <c r="S158" s="11602" t="n"/>
      <c r="T158" s="11602" t="n"/>
      <c r="U158" s="11602" t="n"/>
      <c r="V158" s="11602" t="n"/>
      <c r="W158" s="11602" t="n"/>
      <c r="X158" s="11602" t="n"/>
      <c r="Y158" s="11602" t="n"/>
      <c r="Z158" s="11602" t="n"/>
      <c r="AA158" s="11602" t="n"/>
      <c r="AB158" s="11602" t="n"/>
      <c r="AC158" s="1657" t="inlineStr">
        <is>
          <t xml:space="preserve">.   .   .   .   .   .   .   .   .   .   .   .   .   .   .   .   .   .   .   .   .   .   .   .   .   .   .   .   .   .   .   .   .   .   .   .   .   .   . </t>
        </is>
      </c>
      <c r="AD158" s="2895" t="n">
        <v>6</v>
      </c>
      <c r="AE158" s="10787" t="n"/>
      <c r="AF158" s="11717" t="n"/>
      <c r="AG158" s="11717" t="n"/>
      <c r="AH158" s="11717" t="n"/>
      <c r="AI158" s="11717" t="n"/>
      <c r="AJ158" s="11717" t="n"/>
      <c r="AK158" s="2013" t="n"/>
      <c r="AL158" s="512">
        <f>IF(AE158&lt;&gt;"",1,0)</f>
        <v/>
      </c>
      <c r="AM158" s="7914" t="n"/>
      <c r="AN158" s="11602" t="n"/>
      <c r="AO158" s="6958" t="n">
        <v>1987</v>
      </c>
      <c r="AP158" s="6959" t="n"/>
      <c r="AQ158" s="6960" t="n"/>
      <c r="AR158" s="6984" t="inlineStr">
        <is>
          <t>the total of the amounts on lines 4 and 13 of that Form 8606.</t>
        </is>
      </c>
      <c r="AS158" s="6961" t="n"/>
      <c r="AT158" s="6961" t="n"/>
      <c r="AU158" s="6960" t="n"/>
      <c r="AV158" s="658" t="n"/>
      <c r="AW158" s="658" t="n"/>
      <c r="AX158" s="658" t="n"/>
    </row>
    <row r="159" ht="14.25" customFormat="1" customHeight="1" s="815">
      <c r="A159" s="2013" t="n"/>
      <c r="B159" s="11602" t="n"/>
      <c r="C159" s="2917" t="inlineStr">
        <is>
          <t>7</t>
        </is>
      </c>
      <c r="D159" s="8650">
        <f>"Enter your distributions from traditional IRAs in "&amp;TaxYear&amp;"."</f>
        <v/>
      </c>
      <c r="E159" s="11602" t="n"/>
      <c r="F159" s="11602" t="n"/>
      <c r="G159" s="11602" t="n"/>
      <c r="H159" s="11602" t="n"/>
      <c r="I159" s="11602" t="n"/>
      <c r="J159" s="11602" t="n"/>
      <c r="K159" s="11602" t="n"/>
      <c r="L159" s="11602" t="n"/>
      <c r="M159" s="11602" t="n"/>
      <c r="N159" s="11602" t="n"/>
      <c r="O159" s="11602" t="n"/>
      <c r="P159" s="11602" t="n"/>
      <c r="Q159" s="2100" t="inlineStr">
        <is>
          <t>Do not include rollovers (but do include certain</t>
        </is>
      </c>
      <c r="R159" s="11602" t="n"/>
      <c r="S159" s="11602" t="n"/>
      <c r="T159" s="11602" t="n"/>
      <c r="U159" s="1856" t="n"/>
      <c r="V159" s="7899" t="n"/>
      <c r="W159" s="11602" t="n"/>
      <c r="X159" s="11602" t="n"/>
      <c r="Y159" s="11602" t="n"/>
      <c r="Z159" s="11602" t="n"/>
      <c r="AA159" s="11602" t="n"/>
      <c r="AB159" s="11602" t="n"/>
      <c r="AC159" s="1657" t="n"/>
      <c r="AD159" s="2924" t="n"/>
      <c r="AE159" s="11574" t="n"/>
      <c r="AF159" s="512" t="n"/>
      <c r="AG159" s="512" t="n"/>
      <c r="AH159" s="512" t="n"/>
      <c r="AI159" s="512" t="n"/>
      <c r="AJ159" s="512" t="n"/>
      <c r="AK159" s="2013" t="n"/>
      <c r="AL159" s="512" t="n"/>
      <c r="AM159" s="7914" t="n"/>
      <c r="AN159" s="11602" t="n"/>
      <c r="AO159" s="658" t="n"/>
      <c r="AP159" s="658" t="n"/>
      <c r="AQ159" s="658" t="n"/>
      <c r="AR159" s="658" t="n"/>
      <c r="AS159" s="658" t="n"/>
      <c r="AT159" s="658" t="n"/>
      <c r="AU159" s="658" t="n"/>
      <c r="AV159" s="658" t="n"/>
      <c r="AW159" s="658" t="n"/>
      <c r="AX159" s="658" t="n"/>
    </row>
    <row r="160" ht="14.25" customFormat="1" customHeight="1" s="815">
      <c r="A160" s="2013" t="n"/>
      <c r="B160" s="11602" t="n"/>
      <c r="C160" s="2917" t="n"/>
      <c r="D160" s="1405">
        <f>TaxYear&amp;" retirement plan distribution repayments treated as rollovers (see instructions)."</f>
        <v/>
      </c>
      <c r="E160" s="8650" t="n"/>
      <c r="F160" s="11602" t="n"/>
      <c r="G160" s="11602" t="n"/>
      <c r="H160" s="11602" t="n"/>
      <c r="I160" s="11602" t="n"/>
      <c r="J160" s="11602" t="n"/>
      <c r="K160" s="11602" t="n"/>
      <c r="L160" s="11602" t="n"/>
      <c r="M160" s="11602" t="n"/>
      <c r="N160" s="11602" t="n"/>
      <c r="O160" s="11602" t="n"/>
      <c r="P160" s="11602" t="n"/>
      <c r="Q160" s="11602" t="n"/>
      <c r="R160" s="11602" t="n"/>
      <c r="S160" s="11602" t="n"/>
      <c r="T160" s="11602" t="n"/>
      <c r="U160" s="11602" t="n"/>
      <c r="V160" s="11602" t="n"/>
      <c r="W160" s="11602" t="n"/>
      <c r="X160" s="8650" t="inlineStr">
        <is>
          <t>Also, do not include</t>
        </is>
      </c>
      <c r="Y160" s="11602" t="n"/>
      <c r="Z160" s="11602" t="n"/>
      <c r="AA160" s="11602" t="n"/>
      <c r="AB160" s="11602" t="n"/>
      <c r="AC160" s="1657" t="n"/>
      <c r="AD160" s="2924" t="n"/>
      <c r="AE160" s="11574" t="n"/>
      <c r="AF160" s="512" t="n"/>
      <c r="AG160" s="512" t="n"/>
      <c r="AH160" s="512" t="n"/>
      <c r="AI160" s="512" t="n"/>
      <c r="AJ160" s="512" t="n"/>
      <c r="AK160" s="2013" t="n"/>
      <c r="AL160" s="512" t="n"/>
      <c r="AM160" s="344" t="n"/>
      <c r="AN160" s="11602" t="n"/>
      <c r="AO160" s="658" t="n"/>
      <c r="AP160" s="658" t="n"/>
      <c r="AQ160" s="658" t="n"/>
      <c r="AR160" s="658" t="n"/>
      <c r="AS160" s="658" t="n"/>
      <c r="AT160" s="658" t="n"/>
      <c r="AU160" s="658" t="n"/>
      <c r="AV160" s="658" t="n"/>
      <c r="AW160" s="658" t="n"/>
      <c r="AX160" s="658" t="n"/>
    </row>
    <row r="161" ht="14.25" customFormat="1" customHeight="1" s="815">
      <c r="A161" s="2013" t="n"/>
      <c r="B161" s="11602" t="n"/>
      <c r="C161" s="2917" t="n"/>
      <c r="D161" s="8650" t="inlineStr">
        <is>
          <t xml:space="preserve">qualified charitable distributions; a one-time distribution to fund an HSA; conversions to a Roth IRA; </t>
        </is>
      </c>
      <c r="E161" s="8650" t="n"/>
      <c r="F161" s="11602" t="n"/>
      <c r="G161" s="11602" t="n"/>
      <c r="H161" s="11602" t="n"/>
      <c r="I161" s="11602" t="n"/>
      <c r="J161" s="11602" t="n"/>
      <c r="K161" s="11602" t="n"/>
      <c r="L161" s="11602" t="n"/>
      <c r="M161" s="11602" t="n"/>
      <c r="N161" s="11602" t="n"/>
      <c r="O161" s="11602" t="n"/>
      <c r="P161" s="11602" t="n"/>
      <c r="Q161" s="11602" t="n"/>
      <c r="R161" s="11602" t="n"/>
      <c r="S161" s="11602" t="n"/>
      <c r="T161" s="11602" t="n"/>
      <c r="U161" s="11602" t="n"/>
      <c r="V161" s="11602" t="n"/>
      <c r="W161" s="11602" t="n"/>
      <c r="X161" s="11602" t="n"/>
      <c r="Y161" s="11602" t="n"/>
      <c r="Z161" s="11602" t="n"/>
      <c r="AA161" s="11602" t="n"/>
      <c r="AB161" s="11602" t="n"/>
      <c r="AC161" s="1657" t="n"/>
      <c r="AD161" s="2924" t="n"/>
      <c r="AE161" s="11574" t="n"/>
      <c r="AF161" s="512" t="n"/>
      <c r="AG161" s="512" t="n"/>
      <c r="AH161" s="512" t="n"/>
      <c r="AI161" s="512" t="n"/>
      <c r="AJ161" s="512" t="n"/>
      <c r="AK161" s="2013" t="n"/>
      <c r="AL161" s="512" t="n"/>
      <c r="AM161" s="344" t="n"/>
      <c r="AN161" s="11602" t="n"/>
      <c r="AO161" s="658" t="n"/>
      <c r="AP161" s="658" t="n"/>
      <c r="AQ161" s="658" t="n"/>
      <c r="AR161" s="658" t="n"/>
      <c r="AS161" s="658" t="n"/>
      <c r="AT161" s="658" t="n"/>
      <c r="AU161" s="658" t="n"/>
      <c r="AV161" s="658" t="n"/>
      <c r="AW161" s="658" t="n"/>
      <c r="AX161" s="658" t="n"/>
    </row>
    <row r="162" ht="15.75" customFormat="1" customHeight="1" s="815">
      <c r="A162" s="2013" t="n"/>
      <c r="B162" s="11602" t="n"/>
      <c r="C162" s="11216" t="n"/>
      <c r="D162" s="7779" t="inlineStr">
        <is>
          <t>certain returned contributions; or recharacterizations of traditional IRA contributions. See instructions</t>
        </is>
      </c>
      <c r="E162" s="8650" t="n"/>
      <c r="F162" s="11602" t="n"/>
      <c r="G162" s="11602" t="n"/>
      <c r="H162" s="11602" t="n"/>
      <c r="I162" s="11602" t="n"/>
      <c r="J162" s="11602" t="n"/>
      <c r="K162" s="11602" t="n"/>
      <c r="L162" s="11602" t="n"/>
      <c r="M162" s="11602" t="n"/>
      <c r="N162" s="11602" t="n"/>
      <c r="O162" s="11602" t="n"/>
      <c r="P162" s="11602" t="n"/>
      <c r="Q162" s="11602" t="n"/>
      <c r="R162" s="11602" t="n"/>
      <c r="S162" s="11602" t="n"/>
      <c r="T162" s="11602" t="n"/>
      <c r="U162" s="11602" t="n"/>
      <c r="V162" s="11602" t="n"/>
      <c r="W162" s="11602" t="n"/>
      <c r="X162" s="11602" t="n"/>
      <c r="Y162" s="11602" t="n"/>
      <c r="Z162" s="11602" t="n"/>
      <c r="AA162" s="11602" t="n"/>
      <c r="AB162" s="11602" t="n"/>
      <c r="AC162" s="2198" t="inlineStr">
        <is>
          <t xml:space="preserve">.   .   . </t>
        </is>
      </c>
      <c r="AD162" s="2895" t="n">
        <v>7</v>
      </c>
      <c r="AE162" s="10787" t="n"/>
      <c r="AF162" s="11717" t="n"/>
      <c r="AG162" s="11717" t="n"/>
      <c r="AH162" s="11717" t="n"/>
      <c r="AI162" s="11717" t="n"/>
      <c r="AJ162" s="11717" t="n"/>
      <c r="AK162" s="2013" t="n"/>
      <c r="AL162" s="9234" t="n"/>
      <c r="AM162" s="226" t="inlineStr">
        <is>
          <t>Manual</t>
        </is>
      </c>
      <c r="AN162" s="11602" t="n"/>
      <c r="AO162" s="658" t="n"/>
      <c r="AP162" s="658" t="n"/>
      <c r="AQ162" s="658" t="n"/>
      <c r="AR162" s="658" t="n"/>
      <c r="AS162" s="658" t="n"/>
      <c r="AT162" s="658" t="n"/>
      <c r="AU162" s="658" t="n"/>
      <c r="AV162" s="658" t="n"/>
      <c r="AW162" s="658" t="n"/>
      <c r="AX162" s="658" t="n"/>
    </row>
    <row r="163" ht="16.5" customFormat="1" customHeight="1" s="815" thickBot="1">
      <c r="A163" s="2013" t="n"/>
      <c r="B163" s="11602" t="n"/>
      <c r="C163" s="2917" t="inlineStr">
        <is>
          <t>8</t>
        </is>
      </c>
      <c r="D163" s="8650">
        <f>"Enter the net amount you converted from traditional IRAs to Roth IRAs in "&amp;TaxYear&amp;". Also, enter this amount"</f>
        <v/>
      </c>
      <c r="E163" s="8650" t="n"/>
      <c r="F163" s="11602" t="n"/>
      <c r="G163" s="11602" t="n"/>
      <c r="H163" s="11602" t="n"/>
      <c r="I163" s="11602" t="n"/>
      <c r="J163" s="11602" t="n"/>
      <c r="K163" s="11602" t="n"/>
      <c r="L163" s="11602" t="n"/>
      <c r="M163" s="11602" t="n"/>
      <c r="N163" s="11602" t="n"/>
      <c r="O163" s="11602" t="n"/>
      <c r="P163" s="11602" t="n"/>
      <c r="Q163" s="11602" t="n"/>
      <c r="R163" s="11602" t="n"/>
      <c r="S163" s="11602" t="n"/>
      <c r="T163" s="11602" t="n"/>
      <c r="U163" s="11602" t="n"/>
      <c r="V163" s="11602" t="n"/>
      <c r="W163" s="11602" t="n"/>
      <c r="X163" s="11602" t="n"/>
      <c r="Y163" s="11602" t="n"/>
      <c r="Z163" s="11602" t="n"/>
      <c r="AA163" s="11602" t="n"/>
      <c r="AB163" s="11602" t="n"/>
      <c r="AC163" s="1657" t="n"/>
      <c r="AD163" s="726" t="n"/>
      <c r="AE163" s="11602" t="n"/>
      <c r="AF163" s="11602" t="n"/>
      <c r="AG163" s="11602" t="n"/>
      <c r="AH163" s="11602" t="n"/>
      <c r="AI163" s="11602" t="n"/>
      <c r="AJ163" s="11602" t="n"/>
      <c r="AK163" s="2013" t="n"/>
      <c r="AL163" s="9234" t="n"/>
      <c r="AM163" s="226" t="inlineStr">
        <is>
          <t>Override ê</t>
        </is>
      </c>
      <c r="AN163" s="11602" t="n"/>
      <c r="AO163" s="658" t="n"/>
      <c r="AP163" s="658" t="n"/>
      <c r="AQ163" s="658" t="n"/>
      <c r="AR163" s="658" t="n"/>
      <c r="AS163" s="658" t="n"/>
      <c r="AT163" s="658" t="n"/>
      <c r="AU163" s="658" t="n"/>
      <c r="AV163" s="658" t="n"/>
      <c r="AW163" s="658" t="n"/>
      <c r="AX163" s="658" t="n"/>
    </row>
    <row r="164" ht="16.5" customFormat="1" customHeight="1" s="815" thickBot="1">
      <c r="A164" s="2013" t="n"/>
      <c r="B164" s="11602" t="n"/>
      <c r="C164" s="2917" t="n"/>
      <c r="D164" s="2046" t="inlineStr">
        <is>
          <t>on line 16</t>
        </is>
      </c>
      <c r="E164" s="2046" t="n"/>
      <c r="F164" s="11602" t="n"/>
      <c r="G164" s="11602" t="n"/>
      <c r="H164" s="11602" t="n"/>
      <c r="I164" s="11602" t="n"/>
      <c r="J164" s="11602" t="n"/>
      <c r="K164" s="11602" t="n"/>
      <c r="L164" s="11602" t="n"/>
      <c r="M164" s="11602" t="n"/>
      <c r="N164" s="1900" t="n"/>
      <c r="O164" s="1900" t="n"/>
      <c r="P164" s="1900" t="n"/>
      <c r="Q164" s="1900" t="n"/>
      <c r="R164" s="1900" t="n"/>
      <c r="S164" s="1900" t="n"/>
      <c r="T164" s="1900" t="n"/>
      <c r="U164" s="1900" t="n"/>
      <c r="V164" s="1900" t="n"/>
      <c r="W164" s="1900" t="n"/>
      <c r="X164" s="1900" t="n"/>
      <c r="Y164" s="1900" t="n"/>
      <c r="Z164" s="1900" t="n"/>
      <c r="AA164" s="11602" t="n"/>
      <c r="AB164" s="11602" t="n"/>
      <c r="AC164" s="1657" t="inlineStr">
        <is>
          <t xml:space="preserve">.   .   .   .   .   .   .   .   .   .   .   .   .   .   .   .   .   .   .   .   .   .   .   .   .   .   .   .   .   .   .   .   .   .   .   .   .   .   . </t>
        </is>
      </c>
      <c r="AD164" s="2895" t="n">
        <v>8</v>
      </c>
      <c r="AE164" s="10785">
        <f>IF(AM164&lt;&gt;"",ROUND(AM164,0),IF(OR(AM147,AM151),"",IF(AL123&lt;&gt;"",IRA_CONV_YOU,IF(AL124&lt;&gt;"",IRA_CONV_SPOUSE))))</f>
        <v/>
      </c>
      <c r="AF164" s="7637" t="n"/>
      <c r="AG164" s="7637" t="n"/>
      <c r="AH164" s="7637" t="n"/>
      <c r="AI164" s="7637" t="n"/>
      <c r="AJ164" s="7637" t="n"/>
      <c r="AK164" s="2013" t="n"/>
      <c r="AL164" s="512">
        <f>IF(X162&lt;&gt;"",1,0)</f>
        <v/>
      </c>
      <c r="AM164" s="6197" t="n"/>
      <c r="AN164" s="11602" t="n"/>
      <c r="AO164" s="658" t="n"/>
      <c r="AP164" s="658" t="n"/>
      <c r="AQ164" s="658" t="n"/>
      <c r="AR164" s="658" t="n"/>
      <c r="AS164" s="658" t="n"/>
      <c r="AT164" s="658" t="n"/>
      <c r="AU164" s="658" t="n"/>
      <c r="AV164" s="658" t="n"/>
      <c r="AW164" s="658" t="n"/>
      <c r="AX164" s="658" t="n"/>
    </row>
    <row r="165" ht="16.5" customFormat="1" customHeight="1" s="815">
      <c r="A165" s="2013" t="n"/>
      <c r="B165" s="11602" t="n"/>
      <c r="C165" s="2917" t="inlineStr">
        <is>
          <t>9</t>
        </is>
      </c>
      <c r="D165" s="8650" t="inlineStr">
        <is>
          <t>Add lines 6, 7, and 8</t>
        </is>
      </c>
      <c r="E165" s="8650" t="n"/>
      <c r="F165" s="11602" t="n"/>
      <c r="G165" s="11602" t="n"/>
      <c r="H165" s="11602" t="n"/>
      <c r="I165" s="11602" t="n"/>
      <c r="J165" s="11602" t="n"/>
      <c r="K165" s="11602" t="n"/>
      <c r="L165" s="11602" t="n"/>
      <c r="M165" s="11602" t="n"/>
      <c r="N165" s="11602" t="n"/>
      <c r="O165" s="11602" t="n"/>
      <c r="P165" s="11602" t="n"/>
      <c r="Q165" s="1900" t="n"/>
      <c r="R165" s="1900" t="n"/>
      <c r="S165" s="1900" t="n"/>
      <c r="T165" s="1900" t="n"/>
      <c r="U165" s="1900" t="n"/>
      <c r="V165" s="1657" t="inlineStr">
        <is>
          <t xml:space="preserve">.   .   .   .   .   .   .   .   .   .   . </t>
        </is>
      </c>
      <c r="W165" s="2895" t="n">
        <v>9</v>
      </c>
      <c r="X165" s="11213">
        <f>IF(AM147,"",IF(NOT(AM151),SUM(AE158,AE162,AE164),""))</f>
        <v/>
      </c>
      <c r="Y165" s="7637" t="n"/>
      <c r="Z165" s="7637" t="n"/>
      <c r="AA165" s="7637" t="n"/>
      <c r="AB165" s="7637" t="n"/>
      <c r="AC165" s="7638" t="n"/>
      <c r="AD165" s="2924" t="n"/>
      <c r="AE165" s="11574" t="n"/>
      <c r="AF165" s="512" t="n"/>
      <c r="AG165" s="512" t="n"/>
      <c r="AH165" s="512" t="n"/>
      <c r="AI165" s="512" t="n"/>
      <c r="AJ165" s="512" t="n"/>
      <c r="AK165" s="2013" t="n"/>
      <c r="AL165" s="512">
        <f>IF(X165&lt;&gt;"",1,0)</f>
        <v/>
      </c>
      <c r="AM165" s="344" t="n"/>
      <c r="AN165" s="11602" t="n"/>
      <c r="AO165" s="658" t="n"/>
      <c r="AP165" s="658" t="n"/>
      <c r="AQ165" s="658" t="n"/>
      <c r="AR165" s="658" t="n"/>
      <c r="AS165" s="658" t="n"/>
      <c r="AT165" s="658" t="n"/>
      <c r="AU165" s="658" t="n"/>
      <c r="AV165" s="658" t="n"/>
      <c r="AW165" s="658" t="n"/>
      <c r="AX165" s="658" t="n"/>
    </row>
    <row r="166" ht="16.5" customFormat="1" customHeight="1" s="815" thickBot="1">
      <c r="A166" s="2013" t="n"/>
      <c r="B166" s="11602" t="n"/>
      <c r="C166" s="2917" t="inlineStr">
        <is>
          <t>10</t>
        </is>
      </c>
      <c r="D166" s="8650" t="inlineStr">
        <is>
          <t>Divide line 5 by line 9. Enter the result as a decimal rounded to at least 3</t>
        </is>
      </c>
      <c r="E166" s="8650" t="n"/>
      <c r="F166" s="11602" t="n"/>
      <c r="G166" s="11602" t="n"/>
      <c r="H166" s="11602" t="n"/>
      <c r="I166" s="11602" t="n"/>
      <c r="J166" s="11602" t="n"/>
      <c r="K166" s="11602" t="n"/>
      <c r="L166" s="11602" t="n"/>
      <c r="M166" s="11602" t="n"/>
      <c r="N166" s="11602" t="n"/>
      <c r="O166" s="11602" t="n"/>
      <c r="P166" s="11602" t="n"/>
      <c r="Q166" s="11602" t="n"/>
      <c r="R166" s="11602" t="n"/>
      <c r="S166" s="11602" t="n"/>
      <c r="T166" s="11602" t="n"/>
      <c r="U166" s="11602" t="n"/>
      <c r="V166" s="11602" t="n"/>
      <c r="W166" s="2922" t="n"/>
      <c r="X166" s="408" t="n"/>
      <c r="Y166" s="11602" t="n"/>
      <c r="Z166" s="8914" t="n"/>
      <c r="AB166" s="10789" t="n"/>
      <c r="AC166" s="7636" t="n"/>
      <c r="AD166" s="2924" t="n"/>
      <c r="AE166" s="11574" t="n"/>
      <c r="AF166" s="512" t="n"/>
      <c r="AG166" s="512" t="n"/>
      <c r="AH166" s="512" t="n"/>
      <c r="AI166" s="512" t="n"/>
      <c r="AJ166" s="512" t="n"/>
      <c r="AK166" s="2013" t="n"/>
      <c r="AL166" s="512" t="n"/>
      <c r="AM166" s="344" t="n"/>
      <c r="AN166" s="11602" t="n"/>
      <c r="AO166" s="658" t="n"/>
      <c r="AP166" s="658" t="n"/>
      <c r="AQ166" s="658" t="n"/>
      <c r="AR166" s="658" t="n"/>
      <c r="AS166" s="658" t="n"/>
      <c r="AT166" s="658" t="n"/>
      <c r="AU166" s="658" t="n"/>
      <c r="AV166" s="658" t="n"/>
      <c r="AW166" s="658" t="n"/>
      <c r="AX166" s="658" t="n"/>
    </row>
    <row r="167" ht="16.5" customFormat="1" customHeight="1" s="815" thickBot="1">
      <c r="A167" s="2013" t="n"/>
      <c r="B167" s="11602" t="n"/>
      <c r="C167" s="11216" t="n"/>
      <c r="D167" s="8650" t="inlineStr">
        <is>
          <t>places. If the result is 1.000 or more, enter “1.000”</t>
        </is>
      </c>
      <c r="E167" s="8650" t="n"/>
      <c r="F167" s="11602" t="n"/>
      <c r="G167" s="11602" t="n"/>
      <c r="H167" s="11602" t="n"/>
      <c r="I167" s="11602" t="n"/>
      <c r="J167" s="11602" t="n"/>
      <c r="K167" s="11602" t="n"/>
      <c r="L167" s="11602" t="n"/>
      <c r="M167" s="11602" t="n"/>
      <c r="N167" s="11602" t="n"/>
      <c r="O167" s="11602" t="n"/>
      <c r="P167" s="11602" t="n"/>
      <c r="Q167" s="11602" t="n"/>
      <c r="R167" s="11602" t="n"/>
      <c r="S167" s="11602" t="n"/>
      <c r="T167" s="11602" t="n"/>
      <c r="U167" s="11602" t="n"/>
      <c r="V167" s="2198" t="inlineStr">
        <is>
          <t xml:space="preserve">.   .   .   .   .   .   .   .   .   .   . </t>
        </is>
      </c>
      <c r="W167" s="2918" t="n">
        <v>10</v>
      </c>
      <c r="X167" s="4475" t="n"/>
      <c r="Y167" s="4476">
        <f>"x"</f>
        <v/>
      </c>
      <c r="Z167" s="12670">
        <f>IF(AND(AM167&lt;&gt;"",AM167&gt;=1),1,IF(AM167&lt;&gt;"",AM167,IF(AM147,"",IF(NOT(AM151),AE167,""))))</f>
        <v/>
      </c>
      <c r="AA167" s="7637" t="n"/>
      <c r="AB167" s="7637" t="n"/>
      <c r="AC167" s="7638" t="n"/>
      <c r="AD167" s="2924" t="n"/>
      <c r="AE167" s="12681">
        <f>IF(OR(X165="",X165=0),0,MIN(1,ROUND(AE155/X165,5)))</f>
        <v/>
      </c>
      <c r="AK167" s="2013" t="n"/>
      <c r="AL167" s="11602" t="n"/>
      <c r="AM167" s="12672" t="n"/>
      <c r="AN167" s="11602" t="n"/>
      <c r="AO167" s="658" t="n"/>
      <c r="AP167" s="658" t="n"/>
      <c r="AQ167" s="658" t="n"/>
      <c r="AR167" s="658" t="n"/>
      <c r="AS167" s="658" t="n"/>
      <c r="AT167" s="658" t="n"/>
      <c r="AU167" s="658" t="n"/>
      <c r="AV167" s="658" t="n"/>
      <c r="AW167" s="658" t="n"/>
      <c r="AX167" s="658" t="n"/>
    </row>
    <row r="168" ht="16.5" customFormat="1" customHeight="1" s="815">
      <c r="A168" s="2013" t="n"/>
      <c r="B168" s="11602" t="n"/>
      <c r="C168" s="2917" t="inlineStr">
        <is>
          <t>11</t>
        </is>
      </c>
      <c r="D168" s="8650" t="inlineStr">
        <is>
          <t>Multiply line 8 by line 10. This is the nontaxable portion of the amount you</t>
        </is>
      </c>
      <c r="E168" s="8650" t="n"/>
      <c r="F168" s="11602" t="n"/>
      <c r="G168" s="11602" t="n"/>
      <c r="H168" s="11602" t="n"/>
      <c r="I168" s="11602" t="n"/>
      <c r="J168" s="11602" t="n"/>
      <c r="K168" s="11602" t="n"/>
      <c r="L168" s="11602" t="n"/>
      <c r="M168" s="11602" t="n"/>
      <c r="N168" s="11602" t="n"/>
      <c r="O168" s="11602" t="n"/>
      <c r="P168" s="11602" t="n"/>
      <c r="Q168" s="11602" t="n"/>
      <c r="R168" s="11602" t="n"/>
      <c r="S168" s="11602" t="n"/>
      <c r="T168" s="11602" t="n"/>
      <c r="U168" s="11602" t="n"/>
      <c r="V168" s="11602" t="n"/>
      <c r="W168" s="2922" t="n"/>
      <c r="X168" s="11602" t="n"/>
      <c r="Y168" s="11602" t="n"/>
      <c r="Z168" s="11602" t="n"/>
      <c r="AA168" s="11602" t="n"/>
      <c r="AB168" s="11602" t="n"/>
      <c r="AC168" s="11602" t="n"/>
      <c r="AD168" s="2924" t="n"/>
      <c r="AE168" s="11574" t="n"/>
      <c r="AF168" s="512" t="n"/>
      <c r="AG168" s="512" t="n"/>
      <c r="AH168" s="512" t="n"/>
      <c r="AI168" s="512" t="n"/>
      <c r="AJ168" s="512" t="n"/>
      <c r="AK168" s="2013" t="n"/>
      <c r="AL168" s="11602" t="n"/>
      <c r="AM168" s="344" t="n"/>
      <c r="AN168" s="11602" t="n"/>
      <c r="AO168" s="658" t="n"/>
      <c r="AP168" s="658" t="n"/>
      <c r="AQ168" s="658" t="n"/>
      <c r="AR168" s="658" t="n"/>
      <c r="AS168" s="658" t="n"/>
      <c r="AT168" s="658" t="n"/>
      <c r="AU168" s="658" t="n"/>
      <c r="AV168" s="658" t="n"/>
      <c r="AW168" s="658" t="n"/>
      <c r="AX168" s="658" t="n"/>
    </row>
    <row r="169" ht="16.5" customFormat="1" customHeight="1" s="815">
      <c r="A169" s="2013" t="n"/>
      <c r="B169" s="11602" t="n"/>
      <c r="C169" s="11216" t="n"/>
      <c r="D169" s="8650" t="inlineStr">
        <is>
          <t>converted to Roth IRAs. Also enter this amount on line 17</t>
        </is>
      </c>
      <c r="E169" s="8650" t="n"/>
      <c r="F169" s="11602" t="n"/>
      <c r="G169" s="11602" t="n"/>
      <c r="H169" s="11602" t="n"/>
      <c r="I169" s="11602" t="n"/>
      <c r="J169" s="11602" t="n"/>
      <c r="K169" s="11602" t="n"/>
      <c r="L169" s="11602" t="n"/>
      <c r="M169" s="11602" t="n"/>
      <c r="N169" s="11602" t="n"/>
      <c r="O169" s="11602" t="n"/>
      <c r="P169" s="11602" t="n"/>
      <c r="Q169" s="11602" t="n"/>
      <c r="R169" s="11602" t="n"/>
      <c r="S169" s="11602" t="n"/>
      <c r="T169" s="11602" t="n"/>
      <c r="U169" s="11602" t="n"/>
      <c r="V169" s="2198" t="inlineStr">
        <is>
          <t xml:space="preserve">.   .   .   .   .   .   .   .   . </t>
        </is>
      </c>
      <c r="W169" s="2918" t="n">
        <v>11</v>
      </c>
      <c r="X169" s="11213">
        <f>IF(AM147,"",IF(NOT(AM151),ROUND(AE164*Z167,0),""))</f>
        <v/>
      </c>
      <c r="Y169" s="7637" t="n"/>
      <c r="Z169" s="7637" t="n"/>
      <c r="AA169" s="7637" t="n"/>
      <c r="AB169" s="7637" t="n"/>
      <c r="AC169" s="7638" t="n"/>
      <c r="AD169" s="2924" t="n"/>
      <c r="AE169" s="11602" t="n"/>
      <c r="AF169" s="11602" t="n"/>
      <c r="AG169" s="11602" t="n"/>
      <c r="AH169" s="11602" t="n"/>
      <c r="AI169" s="11602" t="n"/>
      <c r="AJ169" s="11602" t="n"/>
      <c r="AK169" s="2013" t="n"/>
      <c r="AL169" s="11602" t="n"/>
      <c r="AM169" s="344" t="n"/>
      <c r="AN169" s="11602" t="n"/>
      <c r="AO169" s="658" t="n"/>
      <c r="AP169" s="658" t="n"/>
      <c r="AQ169" s="658" t="n"/>
      <c r="AR169" s="658" t="n"/>
      <c r="AS169" s="658" t="n"/>
      <c r="AT169" s="658" t="n"/>
      <c r="AU169" s="658" t="n"/>
      <c r="AV169" s="658" t="n"/>
      <c r="AW169" s="658" t="n"/>
      <c r="AX169" s="658" t="n"/>
    </row>
    <row r="170" ht="16.5" customFormat="1" customHeight="1" s="815">
      <c r="A170" s="2013" t="n"/>
      <c r="B170" s="11602" t="n"/>
      <c r="C170" s="2917" t="inlineStr">
        <is>
          <t>12</t>
        </is>
      </c>
      <c r="D170" s="8650" t="inlineStr">
        <is>
          <t>Multiply line 7 by line 10. This is the nontaxable portion of your distributions</t>
        </is>
      </c>
      <c r="E170" s="8650" t="n"/>
      <c r="F170" s="11602" t="n"/>
      <c r="G170" s="11602" t="n"/>
      <c r="H170" s="11602" t="n"/>
      <c r="I170" s="11602" t="n"/>
      <c r="J170" s="11602" t="n"/>
      <c r="K170" s="11602" t="n"/>
      <c r="L170" s="11602" t="n"/>
      <c r="M170" s="11602" t="n"/>
      <c r="N170" s="11602" t="n"/>
      <c r="O170" s="11602" t="n"/>
      <c r="P170" s="11602" t="n"/>
      <c r="Q170" s="11602" t="n"/>
      <c r="R170" s="11602" t="n"/>
      <c r="S170" s="11602" t="n"/>
      <c r="T170" s="11602" t="n"/>
      <c r="U170" s="11602" t="n"/>
      <c r="V170" s="2198" t="n"/>
      <c r="W170" s="2922" t="n"/>
      <c r="X170" s="12673" t="n"/>
      <c r="Y170" s="7839" t="n"/>
      <c r="Z170" s="7839" t="n"/>
      <c r="AA170" s="7839" t="n"/>
      <c r="AB170" s="7839" t="n"/>
      <c r="AC170" s="10091" t="n"/>
      <c r="AD170" s="2924" t="n"/>
      <c r="AE170" s="11602" t="n"/>
      <c r="AF170" s="11602" t="n"/>
      <c r="AG170" s="11602" t="n"/>
      <c r="AH170" s="11602" t="n"/>
      <c r="AI170" s="11602" t="n"/>
      <c r="AJ170" s="11602" t="n"/>
      <c r="AK170" s="2013" t="n"/>
      <c r="AL170" s="11602" t="n"/>
      <c r="AM170" s="9239">
        <f>AND(AE184&lt;&gt;"",AE184&gt;0,OR(AND(AL123&lt;&gt;"",IRA_Taxable_You&gt;0),AND(AL124&lt;&gt;"",IRA_Taxable_Spouse&gt;0)))</f>
        <v/>
      </c>
      <c r="AN170" s="11602" t="n"/>
      <c r="AO170" s="658" t="n"/>
      <c r="AP170" s="658" t="n"/>
      <c r="AQ170" s="658" t="n"/>
      <c r="AR170" s="658" t="n"/>
      <c r="AS170" s="658" t="n"/>
      <c r="AT170" s="658" t="n"/>
      <c r="AU170" s="658" t="n"/>
      <c r="AV170" s="658" t="n"/>
      <c r="AW170" s="658" t="n"/>
      <c r="AX170" s="658" t="n"/>
    </row>
    <row r="171" ht="16.5" customHeight="1" s="7635">
      <c r="A171" s="2013" t="n"/>
      <c r="B171" s="11602" t="n"/>
      <c r="C171" s="2917" t="n"/>
      <c r="D171" s="2046" t="inlineStr">
        <is>
          <t>that you did not convert to a Roth IRA</t>
        </is>
      </c>
      <c r="E171" s="8650" t="n"/>
      <c r="F171" s="11602" t="n"/>
      <c r="G171" s="11602" t="n"/>
      <c r="H171" s="11602" t="n"/>
      <c r="I171" s="11602" t="n"/>
      <c r="J171" s="11602" t="n"/>
      <c r="K171" s="11602" t="n"/>
      <c r="L171" s="11602" t="n"/>
      <c r="M171" s="11602" t="n"/>
      <c r="N171" s="11602" t="n"/>
      <c r="O171" s="11602" t="n"/>
      <c r="P171" s="11602" t="n"/>
      <c r="Q171" s="11602" t="n"/>
      <c r="R171" s="11602" t="n"/>
      <c r="S171" s="11602" t="n"/>
      <c r="T171" s="11602" t="n"/>
      <c r="U171" s="11602" t="n"/>
      <c r="V171" s="2198" t="inlineStr">
        <is>
          <t xml:space="preserve"> .   .   .   .   .   .   .   .   .    .   .   .   .   .   .   .   .   . </t>
        </is>
      </c>
      <c r="W171" s="2918" t="n">
        <v>12</v>
      </c>
      <c r="X171" s="11213">
        <f>IF(AM147,"",IF(NOT(AM151),ROUND(AE162*Z167,0),""))</f>
        <v/>
      </c>
      <c r="Y171" s="7637" t="n"/>
      <c r="Z171" s="7637" t="n"/>
      <c r="AA171" s="7637" t="n"/>
      <c r="AB171" s="7637" t="n"/>
      <c r="AC171" s="7638" t="n"/>
      <c r="AD171" s="2924" t="n"/>
      <c r="AE171" s="11602" t="n"/>
      <c r="AF171" s="11602" t="n"/>
      <c r="AG171" s="11602" t="n"/>
      <c r="AH171" s="11602" t="n"/>
      <c r="AI171" s="11602" t="n"/>
      <c r="AJ171" s="11602" t="n"/>
      <c r="AK171" s="2013" t="n"/>
      <c r="AL171" s="11602" t="n"/>
      <c r="AM171" s="226" t="inlineStr">
        <is>
          <t>Manual</t>
        </is>
      </c>
      <c r="AN171" s="11602" t="n"/>
      <c r="AY171" s="421" t="n"/>
      <c r="AZ171" s="421" t="n"/>
    </row>
    <row r="172" ht="16.5" customHeight="1" s="7635" thickBot="1">
      <c r="A172" s="2013" t="n"/>
      <c r="B172" s="11602" t="n"/>
      <c r="C172" s="2917" t="inlineStr">
        <is>
          <t>13</t>
        </is>
      </c>
      <c r="D172" s="8650" t="inlineStr">
        <is>
          <t>Add lines 11 and 12. This is the nontaxable portion of all your distributions</t>
        </is>
      </c>
      <c r="E172" s="8650" t="n"/>
      <c r="F172" s="11602" t="n"/>
      <c r="G172" s="11602" t="n"/>
      <c r="H172" s="11602" t="n"/>
      <c r="I172" s="11602" t="n"/>
      <c r="J172" s="11602" t="n"/>
      <c r="K172" s="11602" t="n"/>
      <c r="L172" s="11602" t="n"/>
      <c r="M172" s="11602" t="n"/>
      <c r="N172" s="11602" t="n"/>
      <c r="O172" s="11602" t="n"/>
      <c r="P172" s="11602" t="n"/>
      <c r="Q172" s="11602" t="n"/>
      <c r="R172" s="11602" t="n"/>
      <c r="S172" s="11602" t="n"/>
      <c r="T172" s="11602" t="n"/>
      <c r="U172" s="11602" t="n"/>
      <c r="V172" s="11602" t="n"/>
      <c r="W172" s="11602" t="n"/>
      <c r="X172" s="11602" t="n"/>
      <c r="Y172" s="11602" t="n"/>
      <c r="Z172" s="11602" t="n"/>
      <c r="AA172" s="11602" t="n"/>
      <c r="AB172" s="11602" t="n"/>
      <c r="AC172" s="2198" t="inlineStr">
        <is>
          <t xml:space="preserve">.   .   .   .   .   .   .   .   .   .   .   .  </t>
        </is>
      </c>
      <c r="AD172" s="2918" t="n">
        <v>13</v>
      </c>
      <c r="AE172" s="10785">
        <f>IF(AM147,"",IF(NOT(AM151),SUM(X169,X171),""))</f>
        <v/>
      </c>
      <c r="AF172" s="7637" t="n"/>
      <c r="AG172" s="7637" t="n"/>
      <c r="AH172" s="7637" t="n"/>
      <c r="AI172" s="7637" t="n"/>
      <c r="AJ172" s="7637" t="n"/>
      <c r="AK172" s="2013" t="n"/>
      <c r="AL172" s="11602" t="n"/>
      <c r="AM172" s="226" t="inlineStr">
        <is>
          <t>Override ê</t>
        </is>
      </c>
      <c r="AN172" s="11602" t="n"/>
      <c r="AY172" s="421" t="n"/>
      <c r="AZ172" s="421" t="n"/>
    </row>
    <row r="173" ht="16.5" customHeight="1" s="7635" thickBot="1">
      <c r="A173" s="2013" t="n"/>
      <c r="B173" s="11602" t="n"/>
      <c r="C173" s="2917" t="inlineStr">
        <is>
          <t>14</t>
        </is>
      </c>
      <c r="D173" s="8650" t="inlineStr">
        <is>
          <t>Subtract line 13 from line 3.</t>
        </is>
      </c>
      <c r="E173" s="8650" t="n"/>
      <c r="F173" s="11602" t="n"/>
      <c r="G173" s="11602" t="n"/>
      <c r="H173" s="11602" t="n"/>
      <c r="I173" s="11602" t="n"/>
      <c r="J173" s="11602" t="n"/>
      <c r="K173" s="11602" t="n"/>
      <c r="L173" s="9892" t="inlineStr">
        <is>
          <t>This is</t>
        </is>
      </c>
      <c r="M173" s="810">
        <f>"your total basis in traditional IRAs for "&amp;TaxYear&amp;" and earlier years"</f>
        <v/>
      </c>
      <c r="N173" s="11602" t="n"/>
      <c r="O173" s="11602" t="n"/>
      <c r="P173" s="11602" t="n"/>
      <c r="Q173" s="11602" t="n"/>
      <c r="R173" s="11602" t="n"/>
      <c r="S173" s="11602" t="n"/>
      <c r="T173" s="11602" t="n"/>
      <c r="U173" s="11602" t="n"/>
      <c r="V173" s="11602" t="n"/>
      <c r="W173" s="2922" t="n"/>
      <c r="X173" s="408" t="n"/>
      <c r="Y173" s="11602" t="n"/>
      <c r="Z173" s="11602" t="n"/>
      <c r="AA173" s="11602" t="n"/>
      <c r="AB173" s="11602" t="n"/>
      <c r="AC173" s="1657" t="inlineStr">
        <is>
          <t xml:space="preserve">.  </t>
        </is>
      </c>
      <c r="AD173" s="2918" t="n">
        <v>14</v>
      </c>
      <c r="AE173" s="10785">
        <f>IF(AM173&lt;&gt;"",ROUND(AM173,0),IF(AM147,"",IF(NOT(AM151),MAX(0,SUM(AE149,-AE172)),MAX(0,AE149))))</f>
        <v/>
      </c>
      <c r="AF173" s="7637" t="n"/>
      <c r="AG173" s="7637" t="n"/>
      <c r="AH173" s="7637" t="n"/>
      <c r="AI173" s="7637" t="n"/>
      <c r="AJ173" s="7637" t="n"/>
      <c r="AK173" s="2013" t="n"/>
      <c r="AL173" s="11602" t="n"/>
      <c r="AM173" s="6197" t="n"/>
      <c r="AN173" s="11602" t="n"/>
      <c r="AY173" s="421" t="n"/>
      <c r="AZ173" s="421" t="n"/>
    </row>
    <row r="174" ht="15.75" customFormat="1" customHeight="1" s="815">
      <c r="A174" s="3888" t="n"/>
      <c r="B174" s="3889" t="inlineStr">
        <is>
          <t>For Privacy Act and Paperwork Reduction Act Notice, see separate instructions.</t>
        </is>
      </c>
      <c r="C174" s="4483" t="n"/>
      <c r="D174" s="2344" t="n"/>
      <c r="E174" s="2344" t="n"/>
      <c r="F174" s="2344" t="n"/>
      <c r="G174" s="2344" t="n"/>
      <c r="H174" s="2344" t="n"/>
      <c r="I174" s="2344" t="n"/>
      <c r="J174" s="2344" t="n"/>
      <c r="K174" s="2344" t="n"/>
      <c r="L174" s="2344" t="n"/>
      <c r="M174" s="2344" t="n"/>
      <c r="N174" s="2344" t="n"/>
      <c r="O174" s="2344" t="n"/>
      <c r="P174" s="2344" t="n"/>
      <c r="Q174" s="89" t="n"/>
      <c r="R174" s="89" t="n"/>
      <c r="S174" s="89" t="n"/>
      <c r="T174" s="89" t="n"/>
      <c r="U174" s="3890" t="n"/>
      <c r="V174" s="89" t="n"/>
      <c r="W174" s="3890" t="inlineStr">
        <is>
          <t>Cat. No. 63966F</t>
        </is>
      </c>
      <c r="X174" s="89" t="n"/>
      <c r="Y174" s="89" t="n"/>
      <c r="Z174" s="89" t="n"/>
      <c r="AA174" s="89" t="n"/>
      <c r="AB174" s="89" t="n"/>
      <c r="AC174" s="89" t="n"/>
      <c r="AD174" s="2345" t="inlineStr">
        <is>
          <t>Form 8606</t>
        </is>
      </c>
      <c r="AE174" s="6745" t="n"/>
      <c r="AF174" s="2345">
        <f>"("&amp;TaxYear&amp;")"</f>
        <v/>
      </c>
      <c r="AG174" s="89" t="n"/>
      <c r="AH174" s="2345" t="n"/>
      <c r="AI174" s="89" t="n"/>
      <c r="AJ174" s="2345" t="inlineStr">
        <is>
          <t>Created 5/7/25</t>
        </is>
      </c>
      <c r="AK174" s="2013" t="n"/>
      <c r="AL174" s="11602" t="n"/>
      <c r="AM174" s="344" t="n"/>
      <c r="AN174" s="11602" t="n"/>
      <c r="AO174" s="658" t="n"/>
      <c r="AP174" s="658" t="n"/>
      <c r="AQ174" s="658" t="n"/>
      <c r="AR174" s="658" t="n"/>
      <c r="AS174" s="658" t="n"/>
      <c r="AT174" s="658" t="n"/>
      <c r="AU174" s="658" t="n"/>
      <c r="AV174" s="658" t="n"/>
      <c r="AW174" s="658" t="n"/>
      <c r="AX174" s="658" t="n"/>
    </row>
    <row r="175" ht="18" customFormat="1" customHeight="1" s="815" thickBot="1">
      <c r="A175" s="2013" t="n"/>
      <c r="B175" s="721">
        <f>"Form 8606 ("&amp;TaxYear&amp;")"</f>
        <v/>
      </c>
      <c r="C175" s="4484" t="n"/>
      <c r="D175" s="721" t="n"/>
      <c r="E175" s="721" t="n"/>
      <c r="F175" s="721" t="n"/>
      <c r="G175" s="721" t="n"/>
      <c r="H175" s="721" t="n"/>
      <c r="I175" s="721" t="n"/>
      <c r="J175" s="721" t="n"/>
      <c r="K175" s="721" t="n"/>
      <c r="L175" s="721" t="n"/>
      <c r="M175" s="721" t="n"/>
      <c r="N175" s="721" t="n"/>
      <c r="O175" s="721" t="n"/>
      <c r="P175" s="721" t="n"/>
      <c r="Q175" s="721" t="n"/>
      <c r="R175" s="721" t="n"/>
      <c r="S175" s="721" t="n"/>
      <c r="T175" s="721" t="n"/>
      <c r="U175" s="721" t="n"/>
      <c r="V175" s="721" t="n"/>
      <c r="W175" s="721" t="n"/>
      <c r="X175" s="721" t="n"/>
      <c r="Y175" s="721" t="n"/>
      <c r="Z175" s="721" t="n"/>
      <c r="AA175" s="721" t="n"/>
      <c r="AB175" s="721" t="n"/>
      <c r="AC175" s="721" t="n"/>
      <c r="AD175" s="721" t="n"/>
      <c r="AE175" s="721" t="n"/>
      <c r="AF175" s="721" t="n"/>
      <c r="AG175" s="721" t="n"/>
      <c r="AH175" s="721" t="n"/>
      <c r="AI175" s="2053" t="inlineStr">
        <is>
          <t>Page</t>
        </is>
      </c>
      <c r="AJ175" s="2054" t="n">
        <v>2</v>
      </c>
      <c r="AK175" s="2013" t="n"/>
      <c r="AL175" s="11602" t="n"/>
      <c r="AM175" s="344" t="n"/>
      <c r="AN175" s="11602" t="n"/>
      <c r="AO175" s="658" t="n"/>
      <c r="AP175" s="658" t="n"/>
      <c r="AQ175" s="658" t="n"/>
      <c r="AR175" s="658" t="n"/>
      <c r="AS175" s="658" t="n"/>
      <c r="AT175" s="658" t="n"/>
      <c r="AU175" s="658" t="n"/>
      <c r="AV175" s="658" t="n"/>
      <c r="AW175" s="658" t="n"/>
      <c r="AX175" s="658" t="n"/>
    </row>
    <row r="176" ht="19.5" customFormat="1" customHeight="1" s="815" thickTop="1">
      <c r="A176" s="2013" t="n"/>
      <c r="B176" s="9775" t="inlineStr">
        <is>
          <t>Part I</t>
        </is>
      </c>
      <c r="C176" s="8412" t="n"/>
      <c r="D176" s="5701" t="n"/>
      <c r="E176" s="10766" t="inlineStr">
        <is>
          <t>Nondeductible Contributions to Traditional IRAs and Distributions From Traditional IRAs  (continued)</t>
        </is>
      </c>
      <c r="F176" s="11713" t="n"/>
      <c r="G176" s="11713" t="n"/>
      <c r="H176" s="11713" t="n"/>
      <c r="I176" s="11713" t="n"/>
      <c r="J176" s="11713" t="n"/>
      <c r="K176" s="11713" t="n"/>
      <c r="L176" s="11713" t="n"/>
      <c r="M176" s="11713" t="n"/>
      <c r="N176" s="11713" t="n"/>
      <c r="O176" s="11713" t="n"/>
      <c r="P176" s="11713" t="n"/>
      <c r="Q176" s="11713" t="n"/>
      <c r="R176" s="11713" t="n"/>
      <c r="S176" s="11713" t="n"/>
      <c r="T176" s="11713" t="n"/>
      <c r="U176" s="11713" t="n"/>
      <c r="V176" s="11713" t="n"/>
      <c r="W176" s="11713" t="n"/>
      <c r="X176" s="11713" t="n"/>
      <c r="Y176" s="11713" t="n"/>
      <c r="Z176" s="11713" t="n"/>
      <c r="AA176" s="11713" t="n"/>
      <c r="AB176" s="11713" t="n"/>
      <c r="AC176" s="11713" t="n"/>
      <c r="AD176" s="11713" t="n"/>
      <c r="AE176" s="11713" t="n"/>
      <c r="AF176" s="11713" t="n"/>
      <c r="AG176" s="11713" t="n"/>
      <c r="AH176" s="11713" t="n"/>
      <c r="AI176" s="11713" t="n"/>
      <c r="AJ176" s="11713" t="n"/>
      <c r="AK176" s="2013" t="n"/>
      <c r="AL176" s="11602" t="n"/>
      <c r="AM176" s="344" t="n"/>
      <c r="AN176" s="11602" t="n"/>
      <c r="AO176" s="658" t="n"/>
      <c r="AP176" s="1114" t="n"/>
      <c r="AQ176" s="658" t="n"/>
      <c r="AR176" s="658" t="n"/>
      <c r="AS176" s="658" t="n"/>
      <c r="AT176" s="658" t="n"/>
      <c r="AU176" s="658" t="n"/>
      <c r="AV176" s="658" t="n"/>
      <c r="AW176" s="658" t="n"/>
      <c r="AX176" s="658" t="n"/>
    </row>
    <row r="177" ht="16.5" customHeight="1" s="7635">
      <c r="A177" s="2013" t="n"/>
      <c r="B177" s="11602" t="n"/>
      <c r="C177" s="2917" t="inlineStr">
        <is>
          <t>15 a</t>
        </is>
      </c>
      <c r="D177" s="1672" t="inlineStr">
        <is>
          <t>Subtract line 12 from line 7</t>
        </is>
      </c>
      <c r="E177" s="8650" t="n"/>
      <c r="F177" s="11602" t="n"/>
      <c r="G177" s="11602" t="n"/>
      <c r="H177" s="11602" t="n"/>
      <c r="I177" s="11602" t="n"/>
      <c r="J177" s="11602" t="n"/>
      <c r="K177" s="11602" t="n"/>
      <c r="L177" s="11602" t="n"/>
      <c r="M177" s="11602" t="n"/>
      <c r="N177" s="11602" t="n"/>
      <c r="O177" s="11602" t="n"/>
      <c r="P177" s="11602" t="n"/>
      <c r="Q177" s="11602" t="n"/>
      <c r="R177" s="11602" t="n"/>
      <c r="S177" s="11602" t="n"/>
      <c r="T177" s="11602" t="n"/>
      <c r="U177" s="11602" t="n"/>
      <c r="V177" s="11602" t="n"/>
      <c r="W177" s="11602" t="n"/>
      <c r="X177" s="11602" t="n"/>
      <c r="Y177" s="11602" t="n"/>
      <c r="Z177" s="11602" t="n"/>
      <c r="AA177" s="11602" t="n"/>
      <c r="AB177" s="11602" t="n"/>
      <c r="AC177" s="2198" t="inlineStr">
        <is>
          <t xml:space="preserve">.   .   .   .   .   .   .   .   .   .   .   .   .   .   .   .   .   .   .   .   .   .   .   .   .   .   .   .   .   .   .  </t>
        </is>
      </c>
      <c r="AD177" s="2918" t="inlineStr">
        <is>
          <t>15a</t>
        </is>
      </c>
      <c r="AE177" s="10785">
        <f>IF(AM147,"",IF(NOT(AM151),SUM(AE162,-X171),""))</f>
        <v/>
      </c>
      <c r="AF177" s="7637" t="n"/>
      <c r="AG177" s="7637" t="n"/>
      <c r="AH177" s="7637" t="n"/>
      <c r="AI177" s="7637" t="n"/>
      <c r="AJ177" s="7637" t="n"/>
      <c r="AK177" s="2013" t="n"/>
      <c r="AL177" s="4477" t="n"/>
      <c r="AM177" s="6749" t="n"/>
      <c r="AN177" s="4477" t="n"/>
      <c r="AY177" s="421" t="n"/>
      <c r="AZ177" s="421" t="n"/>
    </row>
    <row r="178" ht="15" customHeight="1" s="7635">
      <c r="A178" s="2013" t="n"/>
      <c r="B178" s="11602" t="n"/>
      <c r="C178" s="4478" t="inlineStr">
        <is>
          <t>b</t>
        </is>
      </c>
      <c r="D178" s="7772">
        <f>"Enter the amount on line 15a attributable to qualified disaster distributions from "&amp;TaxYear&amp;" Form(s),"</f>
        <v/>
      </c>
      <c r="E178" s="8650" t="n"/>
      <c r="F178" s="11602" t="n"/>
      <c r="G178" s="11602" t="n"/>
      <c r="H178" s="11602" t="n"/>
      <c r="I178" s="11602" t="n"/>
      <c r="J178" s="11602" t="n"/>
      <c r="K178" s="11602" t="n"/>
      <c r="L178" s="11602" t="n"/>
      <c r="M178" s="11602" t="n"/>
      <c r="N178" s="11602" t="n"/>
      <c r="O178" s="11602" t="n"/>
      <c r="P178" s="11602" t="n"/>
      <c r="Q178" s="11602" t="n"/>
      <c r="R178" s="11602" t="n"/>
      <c r="S178" s="11602" t="n"/>
      <c r="T178" s="11602" t="n"/>
      <c r="U178" s="11602" t="n"/>
      <c r="V178" s="11602" t="n"/>
      <c r="W178" s="11602" t="n"/>
      <c r="X178" s="11602" t="n"/>
      <c r="Y178" s="11602" t="n"/>
      <c r="Z178" s="11602" t="n"/>
      <c r="AA178" s="11602" t="n"/>
      <c r="AB178" s="11602" t="n"/>
      <c r="AC178" s="409" t="n"/>
      <c r="AD178" s="726" t="n"/>
      <c r="AE178" s="11602" t="n"/>
      <c r="AF178" s="11602" t="n"/>
      <c r="AG178" s="11602" t="n"/>
      <c r="AH178" s="11602" t="n"/>
      <c r="AI178" s="11602" t="n"/>
      <c r="AJ178" s="11602" t="n"/>
      <c r="AK178" s="2013" t="n"/>
      <c r="AL178" s="4477" t="n"/>
      <c r="AM178" s="6749" t="n"/>
      <c r="AN178" s="4477" t="n"/>
    </row>
    <row r="179" ht="15" customHeight="1" s="7635">
      <c r="A179" s="2013" t="n"/>
      <c r="B179" s="11602" t="n"/>
      <c r="C179" s="11216" t="n"/>
      <c r="D179" s="7772">
        <f>"8915-F. See instructions. Also, enter this amount on "&amp;TaxYear&amp;" Form 8915-F, line 18, as applicable. See"</f>
        <v/>
      </c>
      <c r="E179" s="6996" t="n"/>
      <c r="F179" s="6996" t="n"/>
      <c r="G179" s="6996" t="n"/>
      <c r="H179" s="11602" t="n"/>
      <c r="I179" s="11602" t="n"/>
      <c r="J179" s="11602" t="n"/>
      <c r="K179" s="11602" t="n"/>
      <c r="L179" s="11602" t="n"/>
      <c r="M179" s="11602" t="n"/>
      <c r="N179" s="11602" t="n"/>
      <c r="O179" s="11602" t="n"/>
      <c r="P179" s="11602" t="n"/>
      <c r="Q179" s="11602" t="n"/>
      <c r="R179" s="11602" t="n"/>
      <c r="S179" s="11602" t="n"/>
      <c r="T179" s="11602" t="n"/>
      <c r="U179" s="11602" t="n"/>
      <c r="V179" s="11602" t="n"/>
      <c r="W179" s="11602" t="n"/>
      <c r="X179" s="810" t="n"/>
      <c r="Y179" s="11602" t="n"/>
      <c r="Z179" s="11602" t="n"/>
      <c r="AA179" s="11602" t="n"/>
      <c r="AB179" s="11602" t="n"/>
      <c r="AC179" s="11602" t="n"/>
      <c r="AD179" s="726" t="n"/>
      <c r="AE179" s="11602" t="n"/>
      <c r="AF179" s="11602" t="n"/>
      <c r="AG179" s="11602" t="n"/>
      <c r="AH179" s="11602" t="n"/>
      <c r="AI179" s="11602" t="n"/>
      <c r="AJ179" s="11602" t="n"/>
      <c r="AK179" s="2013" t="n"/>
      <c r="AL179" s="4477" t="n"/>
      <c r="AM179" s="6749" t="n"/>
      <c r="AN179" s="4477" t="n"/>
    </row>
    <row r="180" ht="15" customHeight="1" s="7635">
      <c r="A180" s="2013" t="n"/>
      <c r="B180" s="11602" t="n"/>
      <c r="C180" s="11216" t="n"/>
      <c r="D180" s="7772" t="inlineStr">
        <is>
          <t>instructions</t>
        </is>
      </c>
      <c r="E180" s="6996" t="n"/>
      <c r="F180" s="6996" t="n"/>
      <c r="G180" s="6996" t="n"/>
      <c r="H180" s="6996" t="n"/>
      <c r="I180" s="11602" t="n"/>
      <c r="J180" s="11602" t="n"/>
      <c r="K180" s="11602" t="n"/>
      <c r="L180" s="11602" t="n"/>
      <c r="M180" s="11602" t="n"/>
      <c r="N180" s="11602" t="n"/>
      <c r="O180" s="11602" t="n"/>
      <c r="P180" s="11602" t="n"/>
      <c r="Q180" s="11602" t="n"/>
      <c r="R180" s="11602" t="n"/>
      <c r="S180" s="11602" t="n"/>
      <c r="T180" s="11602" t="n"/>
      <c r="U180" s="11602" t="n"/>
      <c r="V180" s="11602" t="n"/>
      <c r="W180" s="11602" t="n"/>
      <c r="X180" s="11602" t="n"/>
      <c r="Y180" s="11602" t="n"/>
      <c r="Z180" s="11602" t="n"/>
      <c r="AA180" s="11602" t="n"/>
      <c r="AB180" s="11602" t="n"/>
      <c r="AC180" s="2198" t="inlineStr">
        <is>
          <t xml:space="preserve">.   .   .   .   .   .   .   .   .   .   .   .   .   .   .   .   .   .   .   .   .   .   .   .   .   .   .   .   .   .   .   .   .   .   .   .   .   .   .  </t>
        </is>
      </c>
      <c r="AD180" s="2918" t="inlineStr">
        <is>
          <t>15b</t>
        </is>
      </c>
      <c r="AE180" s="10787" t="n"/>
      <c r="AF180" s="11717" t="n"/>
      <c r="AG180" s="11717" t="n"/>
      <c r="AH180" s="11717" t="n"/>
      <c r="AI180" s="11717" t="n"/>
      <c r="AJ180" s="11717" t="n"/>
      <c r="AK180" s="2013" t="n"/>
      <c r="AL180" s="512">
        <f>IF(AE180&lt;&gt;"",1,0)</f>
        <v/>
      </c>
      <c r="AM180" s="226" t="inlineStr">
        <is>
          <t>Manual</t>
        </is>
      </c>
      <c r="AN180" s="4477" t="n"/>
    </row>
    <row r="181" ht="16.5" customHeight="1" s="7635">
      <c r="A181" s="2013" t="n"/>
      <c r="B181" s="11602" t="n"/>
      <c r="C181" s="4478" t="inlineStr">
        <is>
          <t>c</t>
        </is>
      </c>
      <c r="D181" s="810" t="inlineStr">
        <is>
          <t>Taxable amount.</t>
        </is>
      </c>
      <c r="E181" s="6996" t="n"/>
      <c r="F181" s="6996" t="n"/>
      <c r="G181" s="6996" t="n"/>
      <c r="H181" s="8650" t="n"/>
      <c r="I181" s="7772">
        <f>"Subtract line 15b from line 15a. Reduce that amount by certain "&amp;TaxYear&amp;" retirement plan"</f>
        <v/>
      </c>
      <c r="J181" s="11602" t="n"/>
      <c r="K181" s="11602" t="n"/>
      <c r="L181" s="11602" t="n"/>
      <c r="M181" s="11602" t="n"/>
      <c r="N181" s="11602" t="n"/>
      <c r="O181" s="11602" t="n"/>
      <c r="P181" s="11602" t="n"/>
      <c r="Q181" s="11602" t="n"/>
      <c r="R181" s="11602" t="n"/>
      <c r="S181" s="11602" t="n"/>
      <c r="T181" s="11602" t="n"/>
      <c r="U181" s="11602" t="n"/>
      <c r="V181" s="11602" t="n"/>
      <c r="W181" s="11602" t="n"/>
      <c r="X181" s="11602" t="n"/>
      <c r="Y181" s="11602" t="n"/>
      <c r="Z181" s="11602" t="n"/>
      <c r="AA181" s="11602" t="n"/>
      <c r="AB181" s="11602" t="n"/>
      <c r="AC181" s="1401" t="n"/>
      <c r="AD181" s="726" t="n"/>
      <c r="AE181" s="11602" t="n"/>
      <c r="AF181" s="11602" t="n"/>
      <c r="AG181" s="11602" t="n"/>
      <c r="AH181" s="11602" t="n"/>
      <c r="AI181" s="11602" t="n"/>
      <c r="AJ181" s="11602" t="n"/>
      <c r="AK181" s="2013" t="n"/>
      <c r="AL181" s="4477" t="n"/>
      <c r="AM181" s="226" t="inlineStr">
        <is>
          <t>Override ê</t>
        </is>
      </c>
      <c r="AN181" s="4477" t="n"/>
    </row>
    <row r="182" ht="16.5" customHeight="1" s="7635">
      <c r="A182" s="2013" t="n"/>
      <c r="B182" s="11602" t="n"/>
      <c r="C182" s="4478" t="n"/>
      <c r="D182" s="7772" t="inlineStr">
        <is>
          <t xml:space="preserve">plan distribution repayments (other than those reported on Form 8915-F) that are treated as rollovers. </t>
        </is>
      </c>
      <c r="E182" s="6996" t="n"/>
      <c r="F182" s="6996" t="n"/>
      <c r="G182" s="6996" t="n"/>
      <c r="H182" s="8650" t="n"/>
      <c r="I182" s="8650" t="n"/>
      <c r="J182" s="11602" t="n"/>
      <c r="K182" s="11602" t="n"/>
      <c r="L182" s="11602" t="n"/>
      <c r="M182" s="11602" t="n"/>
      <c r="N182" s="11602" t="n"/>
      <c r="O182" s="11602" t="n"/>
      <c r="P182" s="11602" t="n"/>
      <c r="Q182" s="11602" t="n"/>
      <c r="R182" s="11602" t="n"/>
      <c r="S182" s="11602" t="n"/>
      <c r="T182" s="11602" t="n"/>
      <c r="U182" s="11602" t="n"/>
      <c r="V182" s="11602" t="n"/>
      <c r="W182" s="11602" t="n"/>
      <c r="X182" s="11602" t="n"/>
      <c r="Y182" s="11602" t="n"/>
      <c r="Z182" s="11602" t="n"/>
      <c r="AA182" s="11602" t="n"/>
      <c r="AB182" s="11602" t="n"/>
      <c r="AC182" s="1401" t="n"/>
      <c r="AD182" s="726" t="n"/>
      <c r="AE182" s="11602" t="n"/>
      <c r="AF182" s="11602" t="n"/>
      <c r="AG182" s="11602" t="n"/>
      <c r="AH182" s="11602" t="n"/>
      <c r="AI182" s="11602" t="n"/>
      <c r="AJ182" s="11602" t="n"/>
      <c r="AK182" s="2013" t="n"/>
      <c r="AL182" s="4477" t="n"/>
      <c r="AM182" s="226" t="n"/>
      <c r="AN182" s="4477" t="n"/>
    </row>
    <row r="183" ht="16.5" customHeight="1" s="7635" thickBot="1">
      <c r="A183" s="2013" t="n"/>
      <c r="B183" s="11602" t="n"/>
      <c r="C183" s="4478" t="n"/>
      <c r="D183" s="7772">
        <f>"See instructions.  If more than zero, also include this amount on  "&amp;TaxYear&amp;"  Form 1040,"</f>
        <v/>
      </c>
      <c r="E183" s="6996" t="n"/>
      <c r="F183" s="6996" t="n"/>
      <c r="G183" s="6996" t="n"/>
      <c r="H183" s="8650" t="n"/>
      <c r="I183" s="8650" t="n"/>
      <c r="J183" s="11602" t="n"/>
      <c r="K183" s="11602" t="n"/>
      <c r="L183" s="11602" t="n"/>
      <c r="M183" s="11602" t="n"/>
      <c r="N183" s="11602" t="n"/>
      <c r="O183" s="11602" t="n"/>
      <c r="P183" s="11602" t="n"/>
      <c r="Q183" s="11602" t="n"/>
      <c r="R183" s="11602" t="n"/>
      <c r="S183" s="11602" t="n"/>
      <c r="T183" s="11602" t="n"/>
      <c r="U183" s="11602" t="n"/>
      <c r="V183" s="11602" t="n"/>
      <c r="W183" s="11602" t="n"/>
      <c r="X183" s="11602" t="n"/>
      <c r="Y183" s="11602" t="n"/>
      <c r="Z183" s="11602" t="n"/>
      <c r="AA183" s="11602" t="n"/>
      <c r="AB183" s="11602" t="n"/>
      <c r="AC183" s="1401" t="n"/>
      <c r="AD183" s="726" t="n"/>
      <c r="AE183" s="11602" t="n"/>
      <c r="AF183" s="11602" t="n"/>
      <c r="AG183" s="11602" t="n"/>
      <c r="AH183" s="11602" t="n"/>
      <c r="AI183" s="11602" t="n"/>
      <c r="AJ183" s="11602" t="n"/>
      <c r="AK183" s="2013" t="n"/>
      <c r="AL183" s="4477" t="n"/>
      <c r="AM183" s="226" t="n"/>
      <c r="AN183" s="4477" t="n"/>
    </row>
    <row r="184" ht="16.5" customHeight="1" s="7635" thickBot="1">
      <c r="A184" s="2013" t="n"/>
      <c r="B184" s="11602" t="n"/>
      <c r="C184" s="2917" t="n"/>
      <c r="D184" s="2006" t="inlineStr">
        <is>
          <t>1040-NR, line 4b</t>
        </is>
      </c>
      <c r="E184" s="8650" t="n"/>
      <c r="F184" s="11602" t="n"/>
      <c r="G184" s="11602" t="n"/>
      <c r="H184" s="11602" t="n"/>
      <c r="I184" s="11602" t="n"/>
      <c r="J184" s="11602" t="n"/>
      <c r="K184" s="11602" t="n"/>
      <c r="L184" s="11602" t="n"/>
      <c r="M184" s="11602" t="n"/>
      <c r="N184" s="11602" t="n"/>
      <c r="O184" s="11602" t="n"/>
      <c r="P184" s="11602" t="n"/>
      <c r="Q184" s="11602" t="n"/>
      <c r="R184" s="11602" t="n"/>
      <c r="S184" s="11602" t="n"/>
      <c r="T184" s="11602" t="n"/>
      <c r="U184" s="11602" t="n"/>
      <c r="V184" s="11602" t="n"/>
      <c r="W184" s="11602" t="n"/>
      <c r="X184" s="11602" t="n"/>
      <c r="Y184" s="11602" t="n"/>
      <c r="Z184" s="11602" t="n"/>
      <c r="AA184" s="11602" t="n"/>
      <c r="AB184" s="11602" t="n"/>
      <c r="AC184" s="4523" t="n"/>
      <c r="AD184" s="2918" t="inlineStr">
        <is>
          <t>15c</t>
        </is>
      </c>
      <c r="AE184" s="10785">
        <f>IF(AM147,"",IF(AM184&lt;&gt;"",ROUND(AM184,0),IF(NOT(AM151),SUM(AE177,-AE180),"")))</f>
        <v/>
      </c>
      <c r="AF184" s="7637" t="n"/>
      <c r="AG184" s="7637" t="n"/>
      <c r="AH184" s="7637" t="n"/>
      <c r="AI184" s="7637" t="n"/>
      <c r="AJ184" s="7637" t="n"/>
      <c r="AK184" s="2013" t="n"/>
      <c r="AL184" s="7914" t="n"/>
      <c r="AM184" s="6197" t="n"/>
      <c r="AN184" s="11602" t="n"/>
    </row>
    <row r="185" ht="16.5" customHeight="1" s="7635">
      <c r="A185" s="2013" t="n"/>
      <c r="B185" s="11602" t="n"/>
      <c r="C185" s="2917" t="n"/>
      <c r="D185" s="7772" t="inlineStr">
        <is>
          <t>Note: You may be subject to an additional 10% tax on the amount on line 15c if you were under age</t>
        </is>
      </c>
      <c r="E185" s="8650" t="n"/>
      <c r="F185" s="11602" t="n"/>
      <c r="G185" s="11602" t="n"/>
      <c r="H185" s="11602" t="n"/>
      <c r="I185" s="11602" t="n"/>
      <c r="J185" s="11602" t="n"/>
      <c r="K185" s="11602" t="n"/>
      <c r="L185" s="11602" t="n"/>
      <c r="M185" s="11602" t="n"/>
      <c r="N185" s="11602" t="n"/>
      <c r="O185" s="11602" t="n"/>
      <c r="P185" s="11602" t="n"/>
      <c r="Q185" s="11602" t="n"/>
      <c r="R185" s="11602" t="n"/>
      <c r="S185" s="11602" t="n"/>
      <c r="T185" s="11602" t="n"/>
      <c r="U185" s="11602" t="n"/>
      <c r="V185" s="11602" t="n"/>
      <c r="W185" s="11602" t="n"/>
      <c r="X185" s="11602" t="n"/>
      <c r="Y185" s="11602" t="n"/>
      <c r="Z185" s="11602" t="n"/>
      <c r="AA185" s="11602" t="n"/>
      <c r="AB185" s="11602" t="n"/>
      <c r="AC185" s="11602" t="n"/>
      <c r="AD185" s="6750" t="n"/>
      <c r="AE185" s="4480" t="n"/>
      <c r="AF185" s="4480" t="n"/>
      <c r="AG185" s="4480" t="n"/>
      <c r="AH185" s="4480" t="n"/>
      <c r="AI185" s="4480" t="n"/>
      <c r="AJ185" s="4480" t="n"/>
      <c r="AK185" s="2013" t="n"/>
      <c r="AL185" s="7914" t="n"/>
      <c r="AM185" s="11403" t="n"/>
      <c r="AN185" s="11602" t="n"/>
    </row>
    <row r="186" ht="16.5" customHeight="1" s="7635" thickBot="1">
      <c r="A186" s="2013" t="n"/>
      <c r="B186" s="11602" t="n"/>
      <c r="C186" s="11216" t="n"/>
      <c r="D186" s="7772" t="inlineStr">
        <is>
          <t>59½ at the time of the distribution. See instructions.</t>
        </is>
      </c>
      <c r="E186" s="8650" t="n"/>
      <c r="F186" s="11602" t="n"/>
      <c r="G186" s="11602" t="n"/>
      <c r="H186" s="11602" t="n"/>
      <c r="I186" s="11602" t="n"/>
      <c r="J186" s="11602" t="n"/>
      <c r="K186" s="11602" t="n"/>
      <c r="L186" s="11602" t="n"/>
      <c r="M186" s="11602" t="n"/>
      <c r="N186" s="11602" t="n"/>
      <c r="O186" s="11602" t="n"/>
      <c r="P186" s="11602" t="n"/>
      <c r="Q186" s="11602" t="n"/>
      <c r="R186" s="11602" t="n"/>
      <c r="S186" s="11602" t="n"/>
      <c r="T186" s="11602" t="n"/>
      <c r="U186" s="11602" t="n"/>
      <c r="V186" s="11602" t="n"/>
      <c r="W186" s="11602" t="n"/>
      <c r="X186" s="11602" t="n"/>
      <c r="Y186" s="11602" t="n"/>
      <c r="Z186" s="11602" t="n"/>
      <c r="AA186" s="11602" t="n"/>
      <c r="AB186" s="11602" t="n"/>
      <c r="AC186" s="2198" t="n"/>
      <c r="AD186" s="6751" t="n"/>
      <c r="AE186" s="4481" t="n"/>
      <c r="AF186" s="4482" t="n"/>
      <c r="AG186" s="4482" t="n"/>
      <c r="AH186" s="4482" t="n"/>
      <c r="AI186" s="4482" t="n"/>
      <c r="AJ186" s="4482" t="n"/>
      <c r="AK186" s="2013" t="n"/>
      <c r="AL186" s="712" t="n"/>
      <c r="AM186" s="344" t="n"/>
      <c r="AN186" s="11602" t="n"/>
    </row>
    <row r="187" ht="19.5" customFormat="1" customHeight="1" s="815" thickTop="1">
      <c r="A187" s="2013" t="n"/>
      <c r="B187" s="10872" t="inlineStr">
        <is>
          <t>Part II</t>
        </is>
      </c>
      <c r="C187" s="9668" t="n"/>
      <c r="D187" s="4485" t="n"/>
      <c r="E187" s="4486">
        <f>TaxYear&amp;" Conversions From Traditional IRAs to Roth IRAs"</f>
        <v/>
      </c>
      <c r="F187" s="257" t="n"/>
      <c r="G187" s="257" t="n"/>
      <c r="H187" s="257" t="n"/>
      <c r="I187" s="257" t="n"/>
      <c r="J187" s="257" t="n"/>
      <c r="K187" s="257" t="n"/>
      <c r="L187" s="257" t="n"/>
      <c r="M187" s="257" t="n"/>
      <c r="N187" s="257" t="n"/>
      <c r="O187" s="257" t="n"/>
      <c r="P187" s="257" t="n"/>
      <c r="Q187" s="257" t="n"/>
      <c r="R187" s="257" t="n"/>
      <c r="S187" s="257" t="n"/>
      <c r="T187" s="257" t="n"/>
      <c r="U187" s="257" t="n"/>
      <c r="V187" s="257" t="n"/>
      <c r="W187" s="257" t="n"/>
      <c r="X187" s="257" t="n"/>
      <c r="Y187" s="257" t="n"/>
      <c r="Z187" s="257" t="n"/>
      <c r="AA187" s="257" t="n"/>
      <c r="AB187" s="257" t="n"/>
      <c r="AC187" s="257" t="n"/>
      <c r="AD187" s="257" t="n"/>
      <c r="AE187" s="257" t="n"/>
      <c r="AF187" s="257" t="n"/>
      <c r="AG187" s="257" t="n"/>
      <c r="AH187" s="257" t="n"/>
      <c r="AI187" s="257" t="n"/>
      <c r="AJ187" s="257" t="n"/>
      <c r="AK187" s="2013" t="n"/>
      <c r="AL187" s="11602" t="n"/>
      <c r="AM187" s="226" t="n"/>
      <c r="AN187" s="11602" t="n"/>
      <c r="AO187" s="658" t="n"/>
      <c r="AP187" s="658" t="n"/>
      <c r="AQ187" s="658" t="n"/>
      <c r="AR187" s="658" t="n"/>
      <c r="AS187" s="658" t="n"/>
      <c r="AT187" s="658" t="n"/>
      <c r="AU187" s="658" t="n"/>
      <c r="AV187" s="658" t="n"/>
      <c r="AW187" s="658" t="n"/>
      <c r="AX187" s="658" t="n"/>
    </row>
    <row r="188" ht="16.5" customFormat="1" customHeight="1" s="815">
      <c r="A188" s="2013" t="n"/>
      <c r="B188" s="2002" t="n"/>
      <c r="C188" s="2002" t="n"/>
      <c r="D188" s="2002" t="n"/>
      <c r="E188" s="4487">
        <f>"Complete this part if you converted part or all of your traditional IRAs to a Roth IRA in "&amp;TaxYear</f>
        <v/>
      </c>
      <c r="F188" s="2002" t="n"/>
      <c r="G188" s="2002" t="n"/>
      <c r="H188" s="2002" t="n"/>
      <c r="I188" s="2002" t="n"/>
      <c r="J188" s="2002" t="n"/>
      <c r="K188" s="2002" t="n"/>
      <c r="L188" s="2002" t="n"/>
      <c r="M188" s="2002" t="n"/>
      <c r="N188" s="2002" t="n"/>
      <c r="O188" s="2002" t="n"/>
      <c r="P188" s="2002" t="n"/>
      <c r="Q188" s="2002" t="n"/>
      <c r="R188" s="2002" t="n"/>
      <c r="S188" s="2002" t="n"/>
      <c r="T188" s="2002" t="n"/>
      <c r="U188" s="2002" t="n"/>
      <c r="V188" s="2002" t="n"/>
      <c r="W188" s="2002" t="n"/>
      <c r="X188" s="2002" t="n"/>
      <c r="Y188" s="2002" t="n"/>
      <c r="Z188" s="2002" t="n"/>
      <c r="AA188" s="2002" t="n"/>
      <c r="AB188" s="2002" t="n"/>
      <c r="AC188" s="2002" t="n"/>
      <c r="AD188" s="2002" t="n"/>
      <c r="AE188" s="2002" t="n"/>
      <c r="AF188" s="2002" t="n"/>
      <c r="AG188" s="2002" t="n"/>
      <c r="AH188" s="2002" t="n"/>
      <c r="AI188" s="2002" t="n"/>
      <c r="AJ188" s="2002" t="n"/>
      <c r="AK188" s="2013" t="n"/>
      <c r="AL188" s="11602" t="n"/>
      <c r="AM188" s="226" t="inlineStr">
        <is>
          <t>Manual</t>
        </is>
      </c>
      <c r="AN188" s="11602" t="n"/>
      <c r="AO188" s="658" t="n"/>
      <c r="AP188" s="658" t="n"/>
      <c r="AQ188" s="658" t="n"/>
      <c r="AR188" s="658" t="n"/>
      <c r="AS188" s="658" t="n"/>
      <c r="AT188" s="658" t="n"/>
      <c r="AU188" s="658" t="n"/>
      <c r="AV188" s="658" t="n"/>
      <c r="AW188" s="658" t="n"/>
      <c r="AX188" s="658" t="n"/>
    </row>
    <row r="189" ht="16.5" customHeight="1" s="7635" thickBot="1">
      <c r="A189" s="2013" t="n"/>
      <c r="B189" s="11602" t="n"/>
      <c r="C189" s="2917" t="n">
        <v>16</v>
      </c>
      <c r="D189" s="7772" t="inlineStr">
        <is>
          <t>If you completed Part I, enter the amount from line 8. Otherwise, enter the net amount you converted</t>
        </is>
      </c>
      <c r="E189" s="6996" t="n"/>
      <c r="F189" s="6996" t="n"/>
      <c r="G189" s="6996" t="n"/>
      <c r="H189" s="11602" t="n"/>
      <c r="I189" s="11602" t="n"/>
      <c r="J189" s="11602" t="n"/>
      <c r="K189" s="11602" t="n"/>
      <c r="L189" s="11602" t="n"/>
      <c r="M189" s="11602" t="n"/>
      <c r="N189" s="11602" t="n"/>
      <c r="O189" s="11602" t="n"/>
      <c r="P189" s="11602" t="n"/>
      <c r="Q189" s="11602" t="n"/>
      <c r="R189" s="11602" t="n"/>
      <c r="S189" s="11602" t="n"/>
      <c r="T189" s="11602" t="n"/>
      <c r="U189" s="11602" t="n"/>
      <c r="V189" s="11602" t="n"/>
      <c r="W189" s="11602" t="n"/>
      <c r="X189" s="11602" t="n"/>
      <c r="Y189" s="11602" t="n"/>
      <c r="Z189" s="11602" t="n"/>
      <c r="AA189" s="11602" t="n"/>
      <c r="AB189" s="11602" t="n"/>
      <c r="AC189" s="11602" t="n"/>
      <c r="AD189" s="726" t="n"/>
      <c r="AE189" s="11602" t="n"/>
      <c r="AF189" s="11602" t="n"/>
      <c r="AG189" s="11602" t="n"/>
      <c r="AH189" s="11602" t="n"/>
      <c r="AI189" s="11602" t="n"/>
      <c r="AJ189" s="11602" t="n"/>
      <c r="AK189" s="2013" t="n"/>
      <c r="AL189" s="11602" t="n"/>
      <c r="AM189" s="226" t="inlineStr">
        <is>
          <t>Override ê</t>
        </is>
      </c>
      <c r="AN189" s="11602" t="n"/>
    </row>
    <row r="190" ht="16.5" customHeight="1" s="7635" thickBot="1">
      <c r="A190" s="2013" t="n"/>
      <c r="B190" s="11602" t="n"/>
      <c r="C190" s="11216" t="n"/>
      <c r="D190" s="7772">
        <f>"from traditional IRAs to Roth IRAs in  "&amp;TaxYear</f>
        <v/>
      </c>
      <c r="E190" s="6996" t="n"/>
      <c r="F190" s="6996" t="n"/>
      <c r="G190" s="6996" t="n"/>
      <c r="H190" s="6996" t="n"/>
      <c r="I190" s="11602" t="n"/>
      <c r="J190" s="11602" t="n"/>
      <c r="K190" s="11602" t="n"/>
      <c r="L190" s="11602" t="n"/>
      <c r="M190" s="11602" t="n"/>
      <c r="N190" s="11602" t="n"/>
      <c r="O190" s="11602" t="n"/>
      <c r="P190" s="11602" t="n"/>
      <c r="Q190" s="11602" t="n"/>
      <c r="R190" s="11602" t="n"/>
      <c r="S190" s="11602" t="n"/>
      <c r="T190" s="11602" t="n"/>
      <c r="U190" s="11602" t="n"/>
      <c r="V190" s="11602" t="n"/>
      <c r="W190" s="11602" t="n"/>
      <c r="X190" s="11602" t="n"/>
      <c r="Y190" s="11602" t="n"/>
      <c r="Z190" s="11602" t="n"/>
      <c r="AA190" s="11602" t="n"/>
      <c r="AB190" s="11602" t="n"/>
      <c r="AC190" s="1657" t="inlineStr">
        <is>
          <t xml:space="preserve"> .   .    .   .   .   .   .   .   .   .   .   .   .   .   .   .   .   .   .   .   .   .   .   .   .   .  </t>
        </is>
      </c>
      <c r="AD190" s="2918" t="inlineStr">
        <is>
          <t>16</t>
        </is>
      </c>
      <c r="AE190" s="10785">
        <f>IF(AM190&lt;&gt;"",ROUND(AM190,0),IF(AE164&lt;&gt;"",AE164,IF(AL123&lt;&gt;"",IRA_CONV_YOU,IF(AL124&lt;&gt;"",IRA_CONV_SPOUSE))))</f>
        <v/>
      </c>
      <c r="AF190" s="7637" t="n"/>
      <c r="AG190" s="7637" t="n"/>
      <c r="AH190" s="7637" t="n"/>
      <c r="AI190" s="7637" t="n"/>
      <c r="AJ190" s="7637" t="n"/>
      <c r="AK190" s="2013" t="n"/>
      <c r="AL190" s="7914" t="n"/>
      <c r="AM190" s="6197" t="n"/>
      <c r="AN190" s="11602" t="n"/>
      <c r="AO190" s="6962">
        <f>IF(AM147,"Total Basis Chart -- Line 2 (and line 17 if Part I in not completed.) See Form 8606 instructions.","Reserved")</f>
        <v/>
      </c>
      <c r="AP190" s="6963" t="n"/>
      <c r="AQ190" s="6963" t="n"/>
      <c r="AR190" s="6963" t="n"/>
      <c r="AS190" s="6963" t="n"/>
      <c r="AT190" s="6963" t="n"/>
      <c r="AU190" s="6964" t="n"/>
    </row>
    <row r="191" ht="16.5" customHeight="1" s="7635" thickBot="1">
      <c r="A191" s="2013" t="n"/>
      <c r="B191" s="11602" t="n"/>
      <c r="C191" s="2917" t="n">
        <v>17</v>
      </c>
      <c r="D191" s="7772" t="inlineStr">
        <is>
          <t>If you completed Part I, enter the amount from line 11. Otherwise, enter your basis in the amount on</t>
        </is>
      </c>
      <c r="E191" s="6996" t="n"/>
      <c r="F191" s="6996" t="n"/>
      <c r="G191" s="6996" t="n"/>
      <c r="H191" s="11602" t="n"/>
      <c r="I191" s="11602" t="n"/>
      <c r="J191" s="11602" t="n"/>
      <c r="K191" s="11602" t="n"/>
      <c r="L191" s="11602" t="n"/>
      <c r="M191" s="11602" t="n"/>
      <c r="N191" s="11602" t="n"/>
      <c r="O191" s="11602" t="n"/>
      <c r="P191" s="11602" t="n"/>
      <c r="Q191" s="11602" t="n"/>
      <c r="R191" s="11602" t="n"/>
      <c r="S191" s="11602" t="n"/>
      <c r="T191" s="11602" t="n"/>
      <c r="U191" s="11602" t="n"/>
      <c r="V191" s="11602" t="n"/>
      <c r="W191" s="11602" t="n"/>
      <c r="X191" s="11602" t="n"/>
      <c r="Y191" s="11602" t="n"/>
      <c r="Z191" s="11602" t="n"/>
      <c r="AA191" s="11602" t="n"/>
      <c r="AB191" s="11602" t="n"/>
      <c r="AC191" s="11602" t="n"/>
      <c r="AD191" s="726" t="n"/>
      <c r="AE191" s="10840">
        <f>IF(AL124&lt;&gt;"",IRA_CONV_TAXABLE_SPOUSE,IRA_CONV_TAXABLE_YOU)</f>
        <v/>
      </c>
      <c r="AF191" s="7839" t="n"/>
      <c r="AG191" s="7839" t="n"/>
      <c r="AH191" s="7839" t="n"/>
      <c r="AI191" s="7839" t="n"/>
      <c r="AJ191" s="7839" t="n"/>
      <c r="AK191" s="2013" t="n"/>
      <c r="AL191" s="11602" t="n"/>
      <c r="AM191" s="228">
        <f>IF(AM147,"Basis (see chart) &gt;&gt;","")</f>
        <v/>
      </c>
      <c r="AN191" s="11602" t="n"/>
      <c r="AO191" s="6965">
        <f>IF(AM147,"Generally, if this is the first year you are required to file Form 8606, enter '0' into Override cell AM192.","")</f>
        <v/>
      </c>
      <c r="AP191" s="6966" t="n"/>
      <c r="AQ191" s="2494" t="n"/>
      <c r="AR191" s="2494" t="n"/>
      <c r="AS191" s="2494" t="n"/>
      <c r="AT191" s="2494" t="n"/>
      <c r="AU191" s="6967" t="n"/>
    </row>
    <row r="192" ht="16.5" customHeight="1" s="7635" thickBot="1">
      <c r="A192" s="2013" t="n"/>
      <c r="B192" s="11602" t="n"/>
      <c r="C192" s="11216" t="n"/>
      <c r="D192" s="7772" t="inlineStr">
        <is>
          <t>line 16. See instructions</t>
        </is>
      </c>
      <c r="E192" s="6996" t="n"/>
      <c r="F192" s="6996" t="n"/>
      <c r="G192" s="6996" t="n"/>
      <c r="H192" s="6996" t="n"/>
      <c r="I192" s="11602" t="n"/>
      <c r="J192" s="11602" t="n"/>
      <c r="K192" s="11602" t="n"/>
      <c r="L192" s="11602" t="n"/>
      <c r="M192" s="11602" t="n"/>
      <c r="N192" s="11602" t="n"/>
      <c r="O192" s="11602" t="n"/>
      <c r="P192" s="11602" t="n"/>
      <c r="Q192" s="11602" t="n"/>
      <c r="R192" s="11602" t="n"/>
      <c r="S192" s="11602" t="n"/>
      <c r="T192" s="11602" t="n"/>
      <c r="U192" s="11602" t="n"/>
      <c r="V192" s="11602" t="n"/>
      <c r="W192" s="11602" t="n"/>
      <c r="X192" s="11602" t="n"/>
      <c r="Y192" s="11602" t="n"/>
      <c r="Z192" s="11602" t="n"/>
      <c r="AA192" s="11602" t="n"/>
      <c r="AB192" s="11602" t="n"/>
      <c r="AC192" s="1401" t="inlineStr">
        <is>
          <t xml:space="preserve">.   .   .   .   .   .   .   .   .   .   .   .   .   .   .   .   .   .   .   .   .   .   .   .   .   .   .   .   .   .   .   .  </t>
        </is>
      </c>
      <c r="AD192" s="2919" t="inlineStr">
        <is>
          <t>17</t>
        </is>
      </c>
      <c r="AE192" s="10767">
        <f>IF(AM192&lt;&gt;"",ROUND(AM192,0),IF(AM148,X169,""))</f>
        <v/>
      </c>
      <c r="AF192" s="8848" t="n"/>
      <c r="AG192" s="8848" t="n"/>
      <c r="AH192" s="8848" t="n"/>
      <c r="AI192" s="8848" t="n"/>
      <c r="AJ192" s="8848" t="n"/>
      <c r="AK192" s="2013" t="n"/>
      <c r="AL192" s="7914" t="n"/>
      <c r="AM192" s="6979" t="n"/>
      <c r="AN192" s="11602" t="n"/>
      <c r="AO192" s="6968">
        <f>IF(AM147,"IF the last Form 8606 you filed was for …","")</f>
        <v/>
      </c>
      <c r="AP192" s="2494" t="n"/>
      <c r="AQ192" s="2494" t="n"/>
      <c r="AR192" s="6969">
        <f>IF(AM147,"THEN enter the following into Override cell AM192.","")</f>
        <v/>
      </c>
      <c r="AS192" s="2494" t="n"/>
      <c r="AT192" s="2494" t="n"/>
      <c r="AU192" s="6967" t="n"/>
    </row>
    <row r="193" ht="16.5" customHeight="1" s="7635">
      <c r="A193" s="2013" t="n"/>
      <c r="B193" s="11602" t="n"/>
      <c r="C193" s="2917" t="n">
        <v>18</v>
      </c>
      <c r="D193" s="514" t="inlineStr">
        <is>
          <t>Taxable  amount.</t>
        </is>
      </c>
      <c r="E193" s="6996" t="n"/>
      <c r="F193" s="6996" t="n"/>
      <c r="G193" s="6996" t="n"/>
      <c r="H193" s="11602" t="n"/>
      <c r="I193" s="7772">
        <f>"Subtract line 17 from line 16. If more than zero, also include this amount on "&amp;TaxYear</f>
        <v/>
      </c>
      <c r="J193" s="11602" t="n"/>
      <c r="K193" s="11602" t="n"/>
      <c r="L193" s="11602" t="n"/>
      <c r="M193" s="11602" t="n"/>
      <c r="N193" s="11602" t="n"/>
      <c r="O193" s="11602" t="n"/>
      <c r="P193" s="11602" t="n"/>
      <c r="Q193" s="11602" t="n"/>
      <c r="R193" s="11602" t="n"/>
      <c r="S193" s="11602" t="n"/>
      <c r="T193" s="11602" t="n"/>
      <c r="U193" s="11602" t="n"/>
      <c r="V193" s="11602" t="n"/>
      <c r="W193" s="11602" t="n"/>
      <c r="X193" s="11602" t="n"/>
      <c r="Y193" s="11602" t="n"/>
      <c r="Z193" s="11602" t="n"/>
      <c r="AA193" s="11602" t="n"/>
      <c r="AB193" s="11602" t="n"/>
      <c r="AC193" s="11602" t="n"/>
      <c r="AD193" s="726" t="n"/>
      <c r="AE193" s="11602" t="n"/>
      <c r="AF193" s="11602" t="n"/>
      <c r="AG193" s="11602" t="n"/>
      <c r="AH193" s="11602" t="n"/>
      <c r="AI193" s="11602" t="n"/>
      <c r="AJ193" s="11602" t="n"/>
      <c r="AK193" s="2013" t="n"/>
      <c r="AL193" s="4477" t="n"/>
      <c r="AM193" s="6985" t="inlineStr">
        <is>
          <t>é Line 17 entry é</t>
        </is>
      </c>
      <c r="AN193" s="4477" t="n"/>
      <c r="AO193" s="6968">
        <f>IF(AM147,"After year","")</f>
        <v/>
      </c>
      <c r="AP193" s="6969">
        <f>IF(AM147,"and before year","")</f>
        <v/>
      </c>
      <c r="AQ193" s="2494" t="n"/>
      <c r="AR193" s="10765" t="n"/>
      <c r="AU193" s="7636" t="n"/>
    </row>
    <row r="194" ht="16.5" customHeight="1" s="7635" thickBot="1">
      <c r="A194" s="2013" t="n"/>
      <c r="B194" s="380" t="n"/>
      <c r="C194" s="4225" t="n"/>
      <c r="D194" s="5003" t="inlineStr">
        <is>
          <t>Form 1040, 1040-SR, or 1040-NR, line 4b</t>
        </is>
      </c>
      <c r="E194" s="4225" t="n"/>
      <c r="F194" s="4225" t="n"/>
      <c r="G194" s="4225" t="n"/>
      <c r="H194" s="4225" t="n"/>
      <c r="I194" s="380" t="n"/>
      <c r="J194" s="380" t="n"/>
      <c r="K194" s="380" t="n"/>
      <c r="L194" s="380" t="n"/>
      <c r="M194" s="380" t="n"/>
      <c r="N194" s="380" t="n"/>
      <c r="O194" s="380" t="n"/>
      <c r="P194" s="380" t="n"/>
      <c r="Q194" s="380" t="n"/>
      <c r="R194" s="380" t="n"/>
      <c r="S194" s="380" t="n"/>
      <c r="T194" s="380" t="n"/>
      <c r="U194" s="380" t="n"/>
      <c r="V194" s="380" t="n"/>
      <c r="W194" s="380" t="n"/>
      <c r="X194" s="380" t="n"/>
      <c r="Y194" s="380" t="n"/>
      <c r="Z194" s="380" t="n"/>
      <c r="AA194" s="380" t="n"/>
      <c r="AB194" s="380" t="n"/>
      <c r="AC194" s="10735" t="inlineStr">
        <is>
          <t xml:space="preserve">.   .   .   .   .   .   .   .   .   .   .   .   .   .   .   .   .   .   .   .   .   .   .   .   .   .   .  </t>
        </is>
      </c>
      <c r="AD194" s="2919" t="inlineStr">
        <is>
          <t>18</t>
        </is>
      </c>
      <c r="AE194" s="10767">
        <f>IF(AE190="","",IF(AE192="",AE190,SUM(AE190,-AE192)))</f>
        <v/>
      </c>
      <c r="AF194" s="8848" t="n"/>
      <c r="AG194" s="8848" t="n"/>
      <c r="AH194" s="8848" t="n"/>
      <c r="AI194" s="8848" t="n"/>
      <c r="AJ194" s="8848" t="n"/>
      <c r="AK194" s="2013" t="n"/>
      <c r="AL194" s="4477" t="n"/>
      <c r="AM194" s="4489">
        <f>MAX(0,AE194)</f>
        <v/>
      </c>
      <c r="AN194" s="4477" t="n"/>
      <c r="AO194" s="10762">
        <f>IF(AM147,2023,"")</f>
        <v/>
      </c>
      <c r="AP194" s="10763">
        <f>IF(AM147,"       "&amp;TaxYear,"")</f>
        <v/>
      </c>
      <c r="AR194" s="12674">
        <f>IF(AM147,"the amount from line 14 of that Form 8606 as adjusted to include the amount from line 6 of the Line 15c Worksheet,"&amp;CHAR(10)&amp;"if any, you completed the last time you filed a Form 8606 with Part I completed. "&amp;CHAR(10)&amp;"See instructions for Line 14.","")</f>
        <v/>
      </c>
      <c r="AU194" s="7636" t="n"/>
    </row>
    <row r="195" ht="19.5" customFormat="1" customHeight="1" s="815">
      <c r="A195" s="2013" t="n"/>
      <c r="B195" s="10206" t="inlineStr">
        <is>
          <t>Part III</t>
        </is>
      </c>
      <c r="C195" s="2506" t="n"/>
      <c r="D195" s="4490" t="n"/>
      <c r="E195" s="4491" t="inlineStr">
        <is>
          <t>Distributions From Roth IRAs</t>
        </is>
      </c>
      <c r="F195" s="377" t="n"/>
      <c r="G195" s="377" t="n"/>
      <c r="H195" s="377" t="n"/>
      <c r="I195" s="377" t="n"/>
      <c r="J195" s="377" t="n"/>
      <c r="K195" s="377" t="n"/>
      <c r="L195" s="377" t="n"/>
      <c r="M195" s="377" t="n"/>
      <c r="N195" s="377" t="n"/>
      <c r="O195" s="377" t="n"/>
      <c r="P195" s="377" t="n"/>
      <c r="Q195" s="377" t="n"/>
      <c r="R195" s="377" t="n"/>
      <c r="S195" s="377" t="n"/>
      <c r="T195" s="377" t="n"/>
      <c r="U195" s="377" t="n"/>
      <c r="V195" s="377" t="n"/>
      <c r="W195" s="377" t="n"/>
      <c r="X195" s="377" t="n"/>
      <c r="Y195" s="377" t="n"/>
      <c r="Z195" s="377" t="n"/>
      <c r="AA195" s="377" t="n"/>
      <c r="AB195" s="377" t="n"/>
      <c r="AC195" s="377" t="n"/>
      <c r="AD195" s="377" t="n"/>
      <c r="AE195" s="377" t="n"/>
      <c r="AF195" s="377" t="n"/>
      <c r="AG195" s="377" t="n"/>
      <c r="AH195" s="377" t="n"/>
      <c r="AI195" s="377" t="n"/>
      <c r="AJ195" s="377" t="n"/>
      <c r="AK195" s="2013" t="n"/>
      <c r="AL195" s="4477" t="n"/>
      <c r="AM195" s="6749" t="n"/>
      <c r="AN195" s="4477" t="n"/>
      <c r="AO195" s="4772" t="n"/>
      <c r="AU195" s="7636" t="n"/>
      <c r="AV195" s="658" t="n"/>
      <c r="AW195" s="658" t="n"/>
      <c r="AX195" s="658" t="n"/>
    </row>
    <row r="196" ht="15" customFormat="1" customHeight="1" s="815">
      <c r="A196" s="2013" t="n"/>
      <c r="B196" s="4492" t="n"/>
      <c r="C196" s="4493" t="n"/>
      <c r="D196" s="4492" t="inlineStr">
        <is>
          <t xml:space="preserve">
</t>
        </is>
      </c>
      <c r="E196" s="2311">
        <f>"Complete this part only if you took a distribution from a Roth IRA in "&amp;TaxYear&amp;"."</f>
        <v/>
      </c>
      <c r="F196" s="4492" t="n"/>
      <c r="G196" s="4492" t="n"/>
      <c r="H196" s="4492" t="n"/>
      <c r="I196" s="4492" t="n"/>
      <c r="J196" s="4492" t="n"/>
      <c r="K196" s="4492" t="n"/>
      <c r="L196" s="4492" t="n"/>
      <c r="M196" s="4492" t="n"/>
      <c r="N196" s="4492" t="n"/>
      <c r="O196" s="4492" t="n"/>
      <c r="P196" s="4492" t="n"/>
      <c r="Q196" s="4492" t="n"/>
      <c r="R196" s="4492" t="n"/>
      <c r="S196" s="4492" t="n"/>
      <c r="T196" s="4492" t="n"/>
      <c r="U196" s="4492" t="n"/>
      <c r="V196" s="4492" t="n"/>
      <c r="W196" s="2311" t="inlineStr">
        <is>
          <t>For this purpose, a distribution does not</t>
        </is>
      </c>
      <c r="X196" s="4492" t="n"/>
      <c r="Y196" s="4492" t="n"/>
      <c r="Z196" s="4492" t="n"/>
      <c r="AA196" s="4492" t="n"/>
      <c r="AB196" s="4492" t="n"/>
      <c r="AC196" s="4492" t="n"/>
      <c r="AD196" s="4492" t="n"/>
      <c r="AE196" s="4492" t="n"/>
      <c r="AF196" s="4492" t="n"/>
      <c r="AG196" s="4492" t="n"/>
      <c r="AH196" s="4492" t="n"/>
      <c r="AI196" s="4492" t="n"/>
      <c r="AJ196" s="4492" t="n"/>
      <c r="AK196" s="2013" t="n"/>
      <c r="AL196" s="4477" t="n"/>
      <c r="AM196" s="6749" t="n"/>
      <c r="AN196" s="4477" t="n"/>
      <c r="AO196" s="4772" t="n"/>
      <c r="AU196" s="7636" t="n"/>
      <c r="AV196" s="658" t="n"/>
      <c r="AW196" s="658" t="n"/>
      <c r="AX196" s="658" t="n"/>
    </row>
    <row r="197" ht="15.75" customFormat="1" customHeight="1" s="1115">
      <c r="A197" s="2290" t="n"/>
      <c r="B197" s="4492" t="n"/>
      <c r="C197" s="4493" t="n"/>
      <c r="D197" s="4519" t="n"/>
      <c r="E197" s="2311">
        <f>"include a rollover (but does include certain "&amp;TaxYear&amp;" retirement plan distribution repayments treated as rollovers (see"</f>
        <v/>
      </c>
      <c r="F197" s="4492" t="n"/>
      <c r="G197" s="4492" t="n"/>
      <c r="H197" s="4492" t="n"/>
      <c r="I197" s="4492" t="n"/>
      <c r="J197" s="4492" t="n"/>
      <c r="K197" s="4492" t="n"/>
      <c r="L197" s="4492" t="n"/>
      <c r="M197" s="4492" t="n"/>
      <c r="N197" s="4492" t="n"/>
      <c r="O197" s="4492" t="n"/>
      <c r="P197" s="4492" t="n"/>
      <c r="Q197" s="4492" t="n"/>
      <c r="R197" s="4492" t="n"/>
      <c r="S197" s="4492" t="n"/>
      <c r="T197" s="4492" t="n"/>
      <c r="U197" s="2311" t="n"/>
      <c r="V197" s="4492" t="n"/>
      <c r="W197" s="4492" t="n"/>
      <c r="X197" s="4492" t="n"/>
      <c r="Y197" s="4492" t="n"/>
      <c r="Z197" s="4492" t="n"/>
      <c r="AA197" s="4492" t="n"/>
      <c r="AB197" s="4492" t="n"/>
      <c r="AC197" s="4492" t="n"/>
      <c r="AD197" s="4492" t="n"/>
      <c r="AE197" s="4492" t="n"/>
      <c r="AF197" s="4492" t="n"/>
      <c r="AG197" s="4492" t="n"/>
      <c r="AH197" s="4492" t="n"/>
      <c r="AI197" s="4492" t="n"/>
      <c r="AJ197" s="4492" t="n"/>
      <c r="AK197" s="2290" t="n"/>
      <c r="AL197" s="4477" t="n"/>
      <c r="AM197" s="6749" t="n"/>
      <c r="AN197" s="4477" t="n"/>
      <c r="AO197" s="4772" t="n"/>
      <c r="AU197" s="7636" t="n"/>
      <c r="AV197" s="1114" t="n"/>
      <c r="AW197" s="1114" t="n"/>
      <c r="AX197" s="1114" t="n"/>
      <c r="AY197" s="2293" t="n"/>
      <c r="AZ197" s="2293" t="n"/>
    </row>
    <row r="198" ht="15.75" customFormat="1" customHeight="1" s="1115">
      <c r="A198" s="2290" t="n"/>
      <c r="B198" s="4492" t="n"/>
      <c r="C198" s="4493" t="n"/>
      <c r="D198" s="4519" t="n"/>
      <c r="E198" s="2311" t="inlineStr">
        <is>
          <t>instructions)). Also, it does not include a qualified charitable distribution, one-time distribution to fund an HSA,</t>
        </is>
      </c>
      <c r="F198" s="4492" t="n"/>
      <c r="G198" s="4492" t="n"/>
      <c r="H198" s="4492" t="n"/>
      <c r="I198" s="4492" t="n"/>
      <c r="J198" s="4492" t="n"/>
      <c r="K198" s="4492" t="n"/>
      <c r="L198" s="4492" t="n"/>
      <c r="M198" s="4492" t="n"/>
      <c r="N198" s="4492" t="n"/>
      <c r="O198" s="4492" t="n"/>
      <c r="P198" s="4492" t="n"/>
      <c r="Q198" s="4492" t="n"/>
      <c r="R198" s="4492" t="n"/>
      <c r="S198" s="4492" t="n"/>
      <c r="T198" s="4492" t="n"/>
      <c r="U198" s="4492" t="n"/>
      <c r="V198" s="4492" t="n"/>
      <c r="W198" s="4492" t="n"/>
      <c r="X198" s="4492" t="n"/>
      <c r="Y198" s="4492" t="n"/>
      <c r="Z198" s="4492" t="n"/>
      <c r="AA198" s="4492" t="n"/>
      <c r="AB198" s="4492" t="n"/>
      <c r="AC198" s="4492" t="n"/>
      <c r="AD198" s="4492" t="n"/>
      <c r="AE198" s="4492" t="n"/>
      <c r="AF198" s="4492" t="n"/>
      <c r="AG198" s="4492" t="n"/>
      <c r="AH198" s="4492" t="n"/>
      <c r="AI198" s="4492" t="n"/>
      <c r="AJ198" s="4492" t="n"/>
      <c r="AK198" s="2290" t="n"/>
      <c r="AL198" s="4520" t="n"/>
      <c r="AM198" s="6752" t="n"/>
      <c r="AN198" s="4521" t="n"/>
      <c r="AO198" s="6970">
        <f>IF(AM147,2000,"")</f>
        <v/>
      </c>
      <c r="AP198" s="10878">
        <f>IF(AM147,2024,"")</f>
        <v/>
      </c>
      <c r="AR198" s="6982">
        <f>IF(AM147,"the amount from line 14 of that Form 8606.","")</f>
        <v/>
      </c>
      <c r="AS198" s="2494" t="n"/>
      <c r="AT198" s="2494" t="n"/>
      <c r="AU198" s="6967" t="n"/>
      <c r="AV198" s="1114" t="n"/>
      <c r="AW198" s="1114" t="n"/>
      <c r="AX198" s="1114" t="n"/>
      <c r="AY198" s="2293" t="n"/>
      <c r="AZ198" s="2293" t="n"/>
    </row>
    <row r="199" ht="17.25" customFormat="1" customHeight="1" s="1115" thickBot="1">
      <c r="A199" s="2290" t="n"/>
      <c r="B199" s="4494" t="n"/>
      <c r="C199" s="4495" t="n"/>
      <c r="D199" s="4522" t="n"/>
      <c r="E199" s="4496" t="inlineStr">
        <is>
          <t>recharacterization, or return of certain contributions. See instructions.</t>
        </is>
      </c>
      <c r="F199" s="4494" t="n"/>
      <c r="G199" s="4494" t="n"/>
      <c r="H199" s="4494" t="n"/>
      <c r="I199" s="4494" t="n"/>
      <c r="J199" s="4494" t="n"/>
      <c r="K199" s="4494" t="n"/>
      <c r="L199" s="4494" t="n"/>
      <c r="M199" s="4494" t="n"/>
      <c r="N199" s="4494" t="n"/>
      <c r="O199" s="4494" t="n"/>
      <c r="P199" s="4494" t="n"/>
      <c r="Q199" s="4494" t="n"/>
      <c r="R199" s="4494" t="n"/>
      <c r="S199" s="4494" t="n"/>
      <c r="T199" s="4494" t="n"/>
      <c r="U199" s="4494" t="n"/>
      <c r="V199" s="4494" t="n"/>
      <c r="W199" s="4494" t="n"/>
      <c r="X199" s="4494" t="n"/>
      <c r="Y199" s="4494" t="n"/>
      <c r="Z199" s="4494" t="n"/>
      <c r="AA199" s="4494" t="n"/>
      <c r="AB199" s="4494" t="n"/>
      <c r="AC199" s="4494" t="n"/>
      <c r="AD199" s="4494" t="n"/>
      <c r="AE199" s="4494" t="n"/>
      <c r="AF199" s="4494" t="n"/>
      <c r="AG199" s="4494" t="n"/>
      <c r="AH199" s="4494" t="n"/>
      <c r="AI199" s="4494" t="n"/>
      <c r="AJ199" s="4494" t="n"/>
      <c r="AK199" s="2290" t="n"/>
      <c r="AL199" s="4520" t="n"/>
      <c r="AM199" s="6752" t="n"/>
      <c r="AN199" s="4521" t="n"/>
      <c r="AO199" s="6970">
        <f>IF(AM147,1992,"")</f>
        <v/>
      </c>
      <c r="AP199" s="10878">
        <f>IF(AM147,2001,"")</f>
        <v/>
      </c>
      <c r="AR199" s="6982">
        <f>IF(AM147,"the amount from line 12 of that Form 8606.","")</f>
        <v/>
      </c>
      <c r="AS199" s="6971" t="n"/>
      <c r="AT199" s="6971" t="n"/>
      <c r="AU199" s="6972" t="n"/>
      <c r="AV199" s="1114" t="n"/>
      <c r="AW199" s="1114" t="n"/>
      <c r="AX199" s="1114" t="n"/>
      <c r="AY199" s="2293" t="n"/>
      <c r="AZ199" s="2293" t="n"/>
    </row>
    <row r="200" ht="16.5" customFormat="1" customHeight="1" s="815">
      <c r="A200" s="2013" t="n"/>
      <c r="B200" s="4497" t="n"/>
      <c r="C200" s="10630" t="n">
        <v>19</v>
      </c>
      <c r="D200" s="7772">
        <f>"Enter your total nonqualified distributions from Roth IRAs in "&amp;TaxYear&amp;", including any qualified first-time"</f>
        <v/>
      </c>
      <c r="E200" s="1995" t="n"/>
      <c r="F200" s="339" t="n"/>
      <c r="G200" s="339" t="n"/>
      <c r="H200" s="339" t="n"/>
      <c r="I200" s="339" t="n"/>
      <c r="J200" s="339" t="n"/>
      <c r="K200" s="339" t="n"/>
      <c r="L200" s="339" t="n"/>
      <c r="M200" s="339" t="n"/>
      <c r="N200" s="339" t="n"/>
      <c r="O200" s="339" t="n"/>
      <c r="P200" s="339" t="n"/>
      <c r="Q200" s="339" t="n"/>
      <c r="R200" s="339" t="n"/>
      <c r="S200" s="339" t="n"/>
      <c r="T200" s="339" t="n"/>
      <c r="U200" s="339" t="n"/>
      <c r="V200" s="339" t="n"/>
      <c r="W200" s="339" t="n"/>
      <c r="X200" s="339" t="n"/>
      <c r="Y200" s="339" t="n"/>
      <c r="Z200" s="339" t="n"/>
      <c r="AA200" s="339" t="n"/>
      <c r="AB200" s="339" t="n"/>
      <c r="AC200" s="339" t="n"/>
      <c r="AD200" s="4499" t="n"/>
      <c r="AE200" s="339" t="n"/>
      <c r="AF200" s="339" t="n"/>
      <c r="AG200" s="339" t="n"/>
      <c r="AH200" s="339" t="n"/>
      <c r="AI200" s="339" t="n"/>
      <c r="AJ200" s="339" t="n"/>
      <c r="AK200" s="2013" t="n"/>
      <c r="AL200" s="11602" t="n"/>
      <c r="AM200" s="344" t="n"/>
      <c r="AN200" s="11602" t="n"/>
      <c r="AO200" s="6970">
        <f>IF(AM147,1992,"")</f>
        <v/>
      </c>
      <c r="AP200" s="10878">
        <f>IF(AM147,1993,"")</f>
        <v/>
      </c>
      <c r="AR200" s="6982">
        <f>IF(AM147,"the amount from line 14 of that Form 8606.","")</f>
        <v/>
      </c>
      <c r="AS200" s="2494" t="n"/>
      <c r="AT200" s="2494" t="n"/>
      <c r="AU200" s="6967" t="n"/>
      <c r="AV200" s="658" t="n"/>
      <c r="AW200" s="658" t="n"/>
      <c r="AX200" s="658" t="n"/>
    </row>
    <row r="201" ht="16.5" customFormat="1" customHeight="1" s="815">
      <c r="A201" s="2013" t="n"/>
      <c r="B201" s="4500" t="n"/>
      <c r="C201" s="11216" t="n"/>
      <c r="D201" s="7772">
        <f>"homebuyer distributions, and any "&amp;TaxYear&amp;" retirement plan distributions whose repayments are treated as"</f>
        <v/>
      </c>
      <c r="E201" s="8650" t="n"/>
      <c r="F201" s="344" t="n"/>
      <c r="G201" s="344" t="n"/>
      <c r="H201" s="344" t="n"/>
      <c r="I201" s="344" t="n"/>
      <c r="J201" s="344" t="n"/>
      <c r="K201" s="344" t="n"/>
      <c r="L201" s="344" t="n"/>
      <c r="M201" s="344" t="n"/>
      <c r="N201" s="11641" t="n"/>
      <c r="O201" s="344" t="n"/>
      <c r="P201" s="344" t="n"/>
      <c r="Q201" s="344" t="n"/>
      <c r="R201" s="344" t="n"/>
      <c r="S201" s="344" t="n"/>
      <c r="T201" s="7865" t="n"/>
      <c r="U201" s="2100" t="n"/>
      <c r="V201" s="344" t="n"/>
      <c r="W201" s="344" t="n"/>
      <c r="X201" s="344" t="n"/>
      <c r="Y201" s="344" t="n"/>
      <c r="Z201" s="344" t="n"/>
      <c r="AA201" s="344" t="n"/>
      <c r="AB201" s="11641" t="n"/>
      <c r="AC201" s="344" t="n"/>
      <c r="AD201" s="4501" t="n"/>
      <c r="AE201" s="344" t="n"/>
      <c r="AF201" s="344" t="n"/>
      <c r="AG201" s="344" t="n"/>
      <c r="AH201" s="344" t="n"/>
      <c r="AI201" s="344" t="n"/>
      <c r="AJ201" s="344" t="n"/>
      <c r="AK201" s="2013" t="n"/>
      <c r="AL201" s="11602" t="n"/>
      <c r="AM201" s="344" t="n"/>
      <c r="AN201" s="11602" t="n"/>
      <c r="AO201" s="6965">
        <f>IF(AM147,1988,"")</f>
        <v/>
      </c>
      <c r="AP201" s="10879" t="n"/>
      <c r="AR201" s="6982">
        <f>IF(AM147,"the total of the amounts on lines 7 and 16 of that Form 8606.","")</f>
        <v/>
      </c>
      <c r="AS201" s="6969" t="n"/>
      <c r="AT201" s="6969" t="n"/>
      <c r="AU201" s="6974" t="n"/>
      <c r="AV201" s="658" t="n"/>
      <c r="AW201" s="658" t="n"/>
      <c r="AX201" s="658" t="n"/>
    </row>
    <row r="202" ht="16.5" customHeight="1" s="7635">
      <c r="A202" s="2013" t="n"/>
      <c r="B202" s="11602" t="n"/>
      <c r="C202" s="11216" t="n"/>
      <c r="D202" s="7772" t="inlineStr">
        <is>
          <t>rollovers. See instructions</t>
        </is>
      </c>
      <c r="E202" s="6996" t="n"/>
      <c r="F202" s="6996" t="n"/>
      <c r="G202" s="6996" t="n"/>
      <c r="H202" s="6996" t="n"/>
      <c r="I202" s="11602" t="n"/>
      <c r="J202" s="11602" t="n"/>
      <c r="K202" s="11602" t="n"/>
      <c r="L202" s="11602" t="n"/>
      <c r="M202" s="11602" t="n"/>
      <c r="N202" s="11602" t="n"/>
      <c r="O202" s="11602" t="n"/>
      <c r="P202" s="11602" t="n"/>
      <c r="Q202" s="11602" t="n"/>
      <c r="R202" s="11602" t="n"/>
      <c r="S202" s="11602" t="n"/>
      <c r="T202" s="11602" t="n"/>
      <c r="U202" s="11602" t="n"/>
      <c r="V202" s="11602" t="n"/>
      <c r="W202" s="11602" t="n"/>
      <c r="X202" s="11602" t="n"/>
      <c r="Y202" s="11602" t="n"/>
      <c r="Z202" s="11602" t="n"/>
      <c r="AA202" s="11602" t="n"/>
      <c r="AB202" s="11602" t="n"/>
      <c r="AC202" s="1401" t="inlineStr">
        <is>
          <t xml:space="preserve">.   .   .   .   .   .   .   .   .   .   .   .   .   .   .   .   .   .   .   .   .   .   .   .   .   .   .   .   .   .   .   .   .   .   </t>
        </is>
      </c>
      <c r="AD202" s="2918" t="inlineStr">
        <is>
          <t>19</t>
        </is>
      </c>
      <c r="AE202" s="10787" t="n"/>
      <c r="AF202" s="11717" t="n"/>
      <c r="AG202" s="11717" t="n"/>
      <c r="AH202" s="11717" t="n"/>
      <c r="AI202" s="11717" t="n"/>
      <c r="AJ202" s="11717" t="n"/>
      <c r="AK202" s="2013" t="n"/>
      <c r="AL202" s="7914" t="n"/>
      <c r="AM202" s="7914" t="n"/>
      <c r="AN202" s="11602" t="n"/>
      <c r="AO202" s="6975">
        <f>IF(AM147,1987,"")</f>
        <v/>
      </c>
      <c r="AP202" s="10880" t="n"/>
      <c r="AQ202" s="7637" t="n"/>
      <c r="AR202" s="6983">
        <f>IF(AM147,"the total of the amounts on lines 4 and 13 of that Form 8606.","")</f>
        <v/>
      </c>
      <c r="AS202" s="6977" t="n"/>
      <c r="AT202" s="6977" t="n"/>
      <c r="AU202" s="6978" t="n"/>
    </row>
    <row r="203" ht="16.5" customHeight="1" s="7635">
      <c r="A203" s="2013" t="n"/>
      <c r="B203" s="11602" t="n"/>
      <c r="C203" s="2917" t="inlineStr">
        <is>
          <t>20</t>
        </is>
      </c>
      <c r="D203" s="8650" t="inlineStr">
        <is>
          <t>Qualified first-time homebuyer expenses. See instructions.</t>
        </is>
      </c>
      <c r="E203" s="6996" t="n"/>
      <c r="F203" s="6996" t="n"/>
      <c r="G203" s="6996" t="n"/>
      <c r="H203" s="11602" t="n"/>
      <c r="I203" s="11602" t="n"/>
      <c r="J203" s="11602" t="n"/>
      <c r="K203" s="11602" t="n"/>
      <c r="L203" s="11602" t="n"/>
      <c r="M203" s="11602" t="n"/>
      <c r="N203" s="11602" t="n"/>
      <c r="O203" s="11602" t="n"/>
      <c r="P203" s="11602" t="n"/>
      <c r="Q203" s="11602" t="n"/>
      <c r="R203" s="8650" t="inlineStr">
        <is>
          <t xml:space="preserve"> Do not enter more than </t>
        </is>
      </c>
      <c r="S203" s="11602" t="n"/>
      <c r="T203" s="11602" t="n"/>
      <c r="U203" s="11602" t="n"/>
      <c r="V203" s="11602" t="n"/>
      <c r="W203" s="11602" t="n"/>
      <c r="X203" s="8650">
        <f>TEXT(AE203,"$0,000")&amp;" reduced"</f>
        <v/>
      </c>
      <c r="Y203" s="11602" t="n"/>
      <c r="Z203" s="11602" t="n"/>
      <c r="AA203" s="11602" t="n"/>
      <c r="AB203" s="11602" t="n"/>
      <c r="AC203" s="11602" t="n"/>
      <c r="AD203" s="726" t="n"/>
      <c r="AE203" s="10874" t="n">
        <v>10000</v>
      </c>
      <c r="AF203" s="7839" t="n"/>
      <c r="AG203" s="7839" t="n"/>
      <c r="AH203" s="7839" t="n"/>
      <c r="AI203" s="7839" t="n"/>
      <c r="AJ203" s="7839" t="n"/>
      <c r="AK203" s="2013" t="n"/>
      <c r="AL203" s="11602" t="n"/>
      <c r="AM203" s="344" t="n"/>
      <c r="AN203" s="11602" t="n"/>
    </row>
    <row r="204" ht="16.5" customHeight="1" s="7635">
      <c r="A204" s="2013" t="n"/>
      <c r="B204" s="11602" t="n"/>
      <c r="C204" s="11216" t="n"/>
      <c r="D204" s="2046" t="inlineStr">
        <is>
          <t>by the total of all your prior qualified first-time homebuyer distributions</t>
        </is>
      </c>
      <c r="E204" s="6996" t="n"/>
      <c r="F204" s="6996" t="n"/>
      <c r="G204" s="6996" t="n"/>
      <c r="H204" s="6996" t="n"/>
      <c r="I204" s="11602" t="n"/>
      <c r="J204" s="11602" t="n"/>
      <c r="K204" s="11602" t="n"/>
      <c r="L204" s="11602" t="n"/>
      <c r="M204" s="11602" t="n"/>
      <c r="N204" s="11602" t="n"/>
      <c r="O204" s="11602" t="n"/>
      <c r="P204" s="11602" t="n"/>
      <c r="Q204" s="11602" t="n"/>
      <c r="R204" s="11602" t="n"/>
      <c r="S204" s="11602" t="n"/>
      <c r="T204" s="11602" t="n"/>
      <c r="U204" s="11602" t="n"/>
      <c r="V204" s="11602" t="n"/>
      <c r="W204" s="11602" t="n"/>
      <c r="X204" s="11602" t="n"/>
      <c r="Y204" s="11602" t="n"/>
      <c r="Z204" s="11602" t="n"/>
      <c r="AA204" s="11602" t="n"/>
      <c r="AB204" s="11602" t="n"/>
      <c r="AC204" s="1401" t="inlineStr">
        <is>
          <t xml:space="preserve">.   .   .   .   .   .   .   .   .   .   .   .   .   .   </t>
        </is>
      </c>
      <c r="AD204" s="2918" t="inlineStr">
        <is>
          <t>20</t>
        </is>
      </c>
      <c r="AE204" s="10787" t="n"/>
      <c r="AF204" s="11717" t="n"/>
      <c r="AG204" s="11717" t="n"/>
      <c r="AH204" s="11717" t="n"/>
      <c r="AI204" s="11717" t="n"/>
      <c r="AJ204" s="11717" t="n"/>
      <c r="AK204" s="2013" t="n"/>
      <c r="AL204" s="7914" t="n"/>
      <c r="AM204" s="7914" t="n"/>
      <c r="AN204" s="11602" t="n"/>
    </row>
    <row r="205" ht="16.5" customHeight="1" s="7635">
      <c r="A205" s="2013" t="n"/>
      <c r="B205" s="11602" t="n"/>
      <c r="C205" s="2917" t="inlineStr">
        <is>
          <t>21</t>
        </is>
      </c>
      <c r="D205" s="8650" t="inlineStr">
        <is>
          <t>Subtract line 20 from line 19. If zero or less, enter -0-</t>
        </is>
      </c>
      <c r="E205" s="8650" t="n"/>
      <c r="F205" s="11602" t="n"/>
      <c r="G205" s="11602" t="n"/>
      <c r="H205" s="11602" t="n"/>
      <c r="I205" s="11602" t="n"/>
      <c r="J205" s="11602" t="n"/>
      <c r="K205" s="11602" t="n"/>
      <c r="L205" s="9892" t="n"/>
      <c r="M205" s="8650" t="n"/>
      <c r="N205" s="11602" t="n"/>
      <c r="O205" s="11602" t="n"/>
      <c r="P205" s="11602" t="n"/>
      <c r="Q205" s="11602" t="n"/>
      <c r="R205" s="11602" t="n"/>
      <c r="S205" s="11602" t="n"/>
      <c r="T205" s="11602" t="n"/>
      <c r="U205" s="11602" t="n"/>
      <c r="V205" s="11602" t="n"/>
      <c r="W205" s="11602" t="n"/>
      <c r="X205" s="11602" t="n"/>
      <c r="Y205" s="11602" t="n"/>
      <c r="Z205" s="11602" t="n"/>
      <c r="AA205" s="11602" t="n"/>
      <c r="AB205" s="11602" t="n"/>
      <c r="AC205" s="1401" t="inlineStr">
        <is>
          <t xml:space="preserve">.   .   .   .   .   .   .   .   .   .   .   .   .   .   .   .   .   .   .   .   .   </t>
        </is>
      </c>
      <c r="AD205" s="4502" t="n">
        <v>21</v>
      </c>
      <c r="AE205" s="10809">
        <f>IF(AE202="","",MAX(0,SUM(AE202,-AE204)))</f>
        <v/>
      </c>
      <c r="AF205" s="8412" t="n"/>
      <c r="AG205" s="8412" t="n"/>
      <c r="AH205" s="8412" t="n"/>
      <c r="AI205" s="8412" t="n"/>
      <c r="AJ205" s="8412" t="n"/>
      <c r="AK205" s="2013" t="n"/>
      <c r="AL205" s="11602" t="n"/>
      <c r="AM205" s="512">
        <f>AND(AE205&lt;&gt;"",AE205=0)</f>
        <v/>
      </c>
      <c r="AN205" s="11602" t="n"/>
      <c r="AY205" s="421" t="n"/>
      <c r="AZ205" s="421" t="n"/>
    </row>
    <row r="206" ht="16.5" customHeight="1" s="7635">
      <c r="A206" s="2013" t="n"/>
      <c r="B206" s="11602" t="n"/>
      <c r="C206" s="2917" t="n">
        <v>22</v>
      </c>
      <c r="D206" s="7772" t="inlineStr">
        <is>
          <t>Enter your basis in Roth IRA contributions. See instructions. If line 21 is zero, stop here</t>
        </is>
      </c>
      <c r="E206" s="8650" t="n"/>
      <c r="F206" s="11602" t="n"/>
      <c r="G206" s="11602" t="n"/>
      <c r="H206" s="11602" t="n"/>
      <c r="I206" s="7772" t="n"/>
      <c r="J206" s="11602" t="n"/>
      <c r="K206" s="11602" t="n"/>
      <c r="L206" s="9892" t="n"/>
      <c r="M206" s="8650" t="n"/>
      <c r="N206" s="11602" t="n"/>
      <c r="O206" s="11602" t="n"/>
      <c r="P206" s="11602" t="n"/>
      <c r="Q206" s="11602" t="n"/>
      <c r="R206" s="11602" t="n"/>
      <c r="S206" s="8650" t="n"/>
      <c r="T206" s="11602" t="n"/>
      <c r="U206" s="11602" t="n"/>
      <c r="V206" s="11602" t="n"/>
      <c r="W206" s="11602" t="n"/>
      <c r="X206" s="11602" t="n"/>
      <c r="Y206" s="11602" t="n"/>
      <c r="Z206" s="11602" t="n"/>
      <c r="AA206" s="11602" t="n"/>
      <c r="AB206" s="11602" t="n"/>
      <c r="AC206" s="1401" t="inlineStr">
        <is>
          <t xml:space="preserve">.   .   .   .   .   .   .  </t>
        </is>
      </c>
      <c r="AD206" s="2918" t="n">
        <v>22</v>
      </c>
      <c r="AE206" s="10787" t="n"/>
      <c r="AF206" s="11717" t="n"/>
      <c r="AG206" s="11717" t="n"/>
      <c r="AH206" s="11717" t="n"/>
      <c r="AI206" s="11717" t="n"/>
      <c r="AJ206" s="11717" t="n"/>
      <c r="AK206" s="2013" t="n"/>
      <c r="AL206" s="11602" t="n"/>
      <c r="AM206" s="344" t="n"/>
      <c r="AN206" s="11602" t="n"/>
      <c r="AY206" s="421" t="n"/>
      <c r="AZ206" s="421" t="n"/>
    </row>
    <row r="207" ht="16.5" customHeight="1" s="7635">
      <c r="A207" s="2013" t="n"/>
      <c r="B207" s="11602" t="n"/>
      <c r="C207" s="2917" t="n">
        <v>23</v>
      </c>
      <c r="D207" s="8650" t="inlineStr">
        <is>
          <t>Subtract line 22 from line 21. If zero or less, enter -0- and skip lines 24 and 25. If more than zero, you</t>
        </is>
      </c>
      <c r="E207" s="6996" t="n"/>
      <c r="F207" s="6996" t="n"/>
      <c r="G207" s="6996" t="n"/>
      <c r="H207" s="11602" t="n"/>
      <c r="I207" s="11602" t="n"/>
      <c r="J207" s="11602" t="n"/>
      <c r="K207" s="11602" t="n"/>
      <c r="L207" s="11602" t="n"/>
      <c r="M207" s="11602" t="n"/>
      <c r="N207" s="11602" t="n"/>
      <c r="O207" s="11602" t="n"/>
      <c r="P207" s="11602" t="n"/>
      <c r="Q207" s="11602" t="n"/>
      <c r="R207" s="8650" t="n"/>
      <c r="S207" s="11602" t="n"/>
      <c r="T207" s="11602" t="n"/>
      <c r="U207" s="11602" t="n"/>
      <c r="V207" s="11602" t="n"/>
      <c r="W207" s="11602" t="n"/>
      <c r="X207" s="8650" t="n"/>
      <c r="Y207" s="11602" t="n"/>
      <c r="Z207" s="11602" t="n"/>
      <c r="AA207" s="11602" t="n"/>
      <c r="AB207" s="11602" t="n"/>
      <c r="AC207" s="11602" t="n"/>
      <c r="AD207" s="726" t="n"/>
      <c r="AE207" s="10807" t="n"/>
      <c r="AF207" s="7839" t="n"/>
      <c r="AG207" s="7839" t="n"/>
      <c r="AH207" s="7839" t="n"/>
      <c r="AI207" s="7839" t="n"/>
      <c r="AJ207" s="7839" t="n"/>
      <c r="AK207" s="2013" t="n"/>
      <c r="AL207" s="11602" t="n"/>
      <c r="AM207" s="344" t="n"/>
      <c r="AN207" s="11602" t="n"/>
    </row>
    <row r="208" ht="16.5" customHeight="1" s="7635">
      <c r="A208" s="2013" t="n"/>
      <c r="B208" s="11602" t="n"/>
      <c r="C208" s="11216" t="n"/>
      <c r="D208" s="8650" t="inlineStr">
        <is>
          <t>may be subject to an additional tax. See instructions</t>
        </is>
      </c>
      <c r="E208" s="6996" t="n"/>
      <c r="F208" s="6996" t="n"/>
      <c r="G208" s="6996" t="n"/>
      <c r="H208" s="6996" t="n"/>
      <c r="I208" s="11602" t="n"/>
      <c r="J208" s="11602" t="n"/>
      <c r="K208" s="11602" t="n"/>
      <c r="L208" s="11602" t="n"/>
      <c r="M208" s="11602" t="n"/>
      <c r="N208" s="11602" t="n"/>
      <c r="O208" s="11602" t="n"/>
      <c r="P208" s="11602" t="n"/>
      <c r="Q208" s="11602" t="n"/>
      <c r="R208" s="11602" t="n"/>
      <c r="S208" s="11602" t="n"/>
      <c r="T208" s="11602" t="n"/>
      <c r="U208" s="11602" t="n"/>
      <c r="V208" s="11602" t="n"/>
      <c r="W208" s="11602" t="n"/>
      <c r="X208" s="11602" t="n"/>
      <c r="Y208" s="11602" t="n"/>
      <c r="Z208" s="11602" t="n"/>
      <c r="AA208" s="11602" t="n"/>
      <c r="AB208" s="11602" t="n"/>
      <c r="AC208" s="1401" t="inlineStr">
        <is>
          <t xml:space="preserve">.   .   .   .   .   .   .   .   .   .   .   .   .   .   .   .   .   .   .   .   .   </t>
        </is>
      </c>
      <c r="AD208" s="2918" t="n">
        <v>23</v>
      </c>
      <c r="AE208" s="10785">
        <f>IF(AE202="","",IF(NOT(AM205),MAX(0,SUM(AE205,-AE206)),""))</f>
        <v/>
      </c>
      <c r="AF208" s="7637" t="n"/>
      <c r="AG208" s="7637" t="n"/>
      <c r="AH208" s="7637" t="n"/>
      <c r="AI208" s="7637" t="n"/>
      <c r="AJ208" s="7637" t="n"/>
      <c r="AK208" s="2013" t="n"/>
      <c r="AL208" s="7914" t="n"/>
      <c r="AM208" s="7914" t="n"/>
      <c r="AN208" s="11602" t="n"/>
    </row>
    <row r="209" ht="16.5" customHeight="1" s="7635">
      <c r="A209" s="2013" t="n"/>
      <c r="B209" s="11602" t="n"/>
      <c r="C209" s="2917" t="n">
        <v>24</v>
      </c>
      <c r="D209" s="7772" t="inlineStr">
        <is>
          <t>Enter your basis in conversions from traditional IRAs and rollovers from qualified retirement plans to a</t>
        </is>
      </c>
      <c r="E209" s="6996" t="n"/>
      <c r="F209" s="6996" t="n"/>
      <c r="G209" s="6996" t="n"/>
      <c r="H209" s="11602" t="n"/>
      <c r="I209" s="11602" t="n"/>
      <c r="J209" s="11602" t="n"/>
      <c r="K209" s="11602" t="n"/>
      <c r="L209" s="11602" t="n"/>
      <c r="M209" s="11602" t="n"/>
      <c r="N209" s="11602" t="n"/>
      <c r="O209" s="11602" t="n"/>
      <c r="P209" s="11602" t="n"/>
      <c r="Q209" s="11602" t="n"/>
      <c r="R209" s="8650" t="n"/>
      <c r="S209" s="11602" t="n"/>
      <c r="T209" s="11602" t="n"/>
      <c r="U209" s="11602" t="n"/>
      <c r="V209" s="11602" t="n"/>
      <c r="W209" s="11602" t="n"/>
      <c r="X209" s="8650" t="n"/>
      <c r="Y209" s="11602" t="n"/>
      <c r="Z209" s="11602" t="n"/>
      <c r="AA209" s="11602" t="n"/>
      <c r="AB209" s="11602" t="n"/>
      <c r="AC209" s="11602" t="n"/>
      <c r="AD209" s="726" t="n"/>
      <c r="AE209" s="10807" t="n"/>
      <c r="AF209" s="7839" t="n"/>
      <c r="AG209" s="7839" t="n"/>
      <c r="AH209" s="7839" t="n"/>
      <c r="AI209" s="7839" t="n"/>
      <c r="AJ209" s="7839" t="n"/>
      <c r="AK209" s="2013" t="n"/>
      <c r="AL209" s="11602" t="n"/>
      <c r="AM209" s="344" t="n"/>
      <c r="AN209" s="11602" t="n"/>
    </row>
    <row r="210" ht="16.5" customHeight="1" s="7635">
      <c r="A210" s="2013" t="n"/>
      <c r="B210" s="11602" t="n"/>
      <c r="C210" s="11216" t="n"/>
      <c r="D210" s="8650" t="inlineStr">
        <is>
          <t>Roth IRA. See instructions</t>
        </is>
      </c>
      <c r="E210" s="6996" t="n"/>
      <c r="F210" s="6996" t="n"/>
      <c r="G210" s="6996" t="n"/>
      <c r="H210" s="6996" t="n"/>
      <c r="I210" s="11602" t="n"/>
      <c r="J210" s="11602" t="n"/>
      <c r="K210" s="11602" t="n"/>
      <c r="L210" s="11602" t="n"/>
      <c r="M210" s="11602" t="n"/>
      <c r="N210" s="11602" t="n"/>
      <c r="O210" s="11602" t="n"/>
      <c r="P210" s="11602" t="n"/>
      <c r="Q210" s="11602" t="n"/>
      <c r="R210" s="11602" t="n"/>
      <c r="S210" s="11602" t="n"/>
      <c r="T210" s="11602" t="n"/>
      <c r="U210" s="11602" t="n"/>
      <c r="V210" s="11602" t="n"/>
      <c r="W210" s="11602" t="n"/>
      <c r="X210" s="11602" t="n"/>
      <c r="Y210" s="11602" t="n"/>
      <c r="Z210" s="11602" t="n"/>
      <c r="AA210" s="11602" t="n"/>
      <c r="AB210" s="11602" t="n"/>
      <c r="AC210" s="1401" t="inlineStr">
        <is>
          <t xml:space="preserve">.   .   .   .   .   .   .   .   .   .   .   .   .   .   .   .   .   .   .   .   .   .   .   .   .   .   .   .   .   .   .   .   .   .   .   .   .  </t>
        </is>
      </c>
      <c r="AD210" s="2918" t="n">
        <v>24</v>
      </c>
      <c r="AE210" s="10787" t="n"/>
      <c r="AF210" s="11717" t="n"/>
      <c r="AG210" s="11717" t="n"/>
      <c r="AH210" s="11717" t="n"/>
      <c r="AI210" s="11717" t="n"/>
      <c r="AJ210" s="11717" t="n"/>
      <c r="AK210" s="2013" t="n"/>
      <c r="AL210" s="7914" t="n"/>
      <c r="AM210" s="7914" t="n"/>
      <c r="AN210" s="11602" t="n"/>
    </row>
    <row r="211" ht="16.5" customHeight="1" s="7635">
      <c r="A211" s="2013" t="n"/>
      <c r="B211" s="11602" t="n"/>
      <c r="C211" s="2917" t="inlineStr">
        <is>
          <t>25 a</t>
        </is>
      </c>
      <c r="D211" s="1672" t="inlineStr">
        <is>
          <t>Subtract line 24 from line 23. If zero or less, enter -0- and skip lines 25b and 25c</t>
        </is>
      </c>
      <c r="E211" s="8650" t="n"/>
      <c r="F211" s="11602" t="n"/>
      <c r="G211" s="11602" t="n"/>
      <c r="H211" s="11602" t="n"/>
      <c r="I211" s="11602" t="n"/>
      <c r="J211" s="11602" t="n"/>
      <c r="K211" s="11602" t="n"/>
      <c r="L211" s="11602" t="n"/>
      <c r="M211" s="11602" t="n"/>
      <c r="N211" s="11602" t="n"/>
      <c r="O211" s="11602" t="n"/>
      <c r="P211" s="11602" t="n"/>
      <c r="Q211" s="11602" t="n"/>
      <c r="R211" s="11602" t="n"/>
      <c r="S211" s="11602" t="n"/>
      <c r="T211" s="11602" t="n"/>
      <c r="U211" s="11602" t="n"/>
      <c r="V211" s="11602" t="n"/>
      <c r="W211" s="11602" t="n"/>
      <c r="X211" s="11602" t="n"/>
      <c r="Y211" s="11602" t="n"/>
      <c r="Z211" s="11602" t="n"/>
      <c r="AA211" s="11602" t="n"/>
      <c r="AB211" s="11602" t="n"/>
      <c r="AC211" s="2198" t="inlineStr">
        <is>
          <t xml:space="preserve">.   .   .   .   .   .   .   .   .   .   .  </t>
        </is>
      </c>
      <c r="AD211" s="2918" t="inlineStr">
        <is>
          <t>25a</t>
        </is>
      </c>
      <c r="AE211" s="10785">
        <f>IF(AE202="","",IF(NOT(AM205),MAX(0,SUM(AE208,-AE210)),""))</f>
        <v/>
      </c>
      <c r="AF211" s="7637" t="n"/>
      <c r="AG211" s="7637" t="n"/>
      <c r="AH211" s="7637" t="n"/>
      <c r="AI211" s="7637" t="n"/>
      <c r="AJ211" s="7637" t="n"/>
      <c r="AK211" s="2013" t="n"/>
      <c r="AL211" s="11602" t="n"/>
      <c r="AM211" s="344" t="n"/>
      <c r="AN211" s="11602" t="n"/>
      <c r="AY211" s="421" t="n"/>
      <c r="AZ211" s="421" t="n"/>
    </row>
    <row r="212" ht="16.5" customHeight="1" s="7635">
      <c r="A212" s="2013" t="n"/>
      <c r="B212" s="11602" t="n"/>
      <c r="C212" s="4478" t="inlineStr">
        <is>
          <t>b</t>
        </is>
      </c>
      <c r="D212" s="8650">
        <f>"Enter the amount on line 25a attributable to qualified disaster distributions, if any, from "&amp;TaxYear&amp;" Form(s)"</f>
        <v/>
      </c>
      <c r="E212" s="8650" t="n"/>
      <c r="F212" s="11602" t="n"/>
      <c r="G212" s="11602" t="n"/>
      <c r="H212" s="11602" t="n"/>
      <c r="I212" s="11602" t="n"/>
      <c r="J212" s="11602" t="n"/>
      <c r="K212" s="11602" t="n"/>
      <c r="L212" s="11602" t="n"/>
      <c r="M212" s="11602" t="n"/>
      <c r="N212" s="11602" t="n"/>
      <c r="O212" s="11602" t="n"/>
      <c r="P212" s="11602" t="n"/>
      <c r="Q212" s="11602" t="n"/>
      <c r="R212" s="11602" t="n"/>
      <c r="S212" s="11602" t="n"/>
      <c r="T212" s="11602" t="n"/>
      <c r="U212" s="11602" t="n"/>
      <c r="V212" s="11602" t="n"/>
      <c r="W212" s="11602" t="n"/>
      <c r="X212" s="11602" t="n"/>
      <c r="Y212" s="11602" t="n"/>
      <c r="Z212" s="8650" t="n"/>
      <c r="AA212" s="11602" t="n"/>
      <c r="AB212" s="11602" t="n"/>
      <c r="AC212" s="409" t="n"/>
      <c r="AD212" s="726" t="n"/>
      <c r="AE212" s="11602" t="n"/>
      <c r="AF212" s="11602" t="n"/>
      <c r="AG212" s="11602" t="n"/>
      <c r="AH212" s="11602" t="n"/>
      <c r="AI212" s="11602" t="n"/>
      <c r="AJ212" s="11602" t="n"/>
      <c r="AK212" s="2013" t="n"/>
      <c r="AL212" s="11602" t="n"/>
      <c r="AM212" s="344" t="n"/>
      <c r="AN212" s="11602" t="n"/>
    </row>
    <row r="213" ht="16.5" customHeight="1" s="7635">
      <c r="A213" s="2013" t="n"/>
      <c r="B213" s="11602" t="n"/>
      <c r="C213" s="11216" t="n"/>
      <c r="D213" s="8650">
        <f>"8915-F. See instructions.   Also, enter this amount on "&amp;TaxYear&amp;" Form(s) 8915-F, line 19, as applicable (see"</f>
        <v/>
      </c>
      <c r="E213" s="6996" t="n"/>
      <c r="F213" s="6996" t="n"/>
      <c r="G213" s="6996" t="n"/>
      <c r="H213" s="11602" t="n"/>
      <c r="I213" s="11602" t="n"/>
      <c r="J213" s="11602" t="n"/>
      <c r="K213" s="11602" t="n"/>
      <c r="L213" s="11602" t="n"/>
      <c r="M213" s="11602" t="n"/>
      <c r="N213" s="11602" t="n"/>
      <c r="O213" s="11602" t="n"/>
      <c r="P213" s="11602" t="n"/>
      <c r="Q213" s="11602" t="n"/>
      <c r="R213" s="11602" t="n"/>
      <c r="S213" s="11602" t="n"/>
      <c r="T213" s="11602" t="n"/>
      <c r="U213" s="11602" t="n"/>
      <c r="V213" s="11602" t="n"/>
      <c r="W213" s="11602" t="n"/>
      <c r="X213" s="3775" t="n"/>
      <c r="Y213" s="8650" t="n"/>
      <c r="Z213" s="11602" t="n"/>
      <c r="AA213" s="8650" t="n"/>
      <c r="AB213" s="8650" t="n"/>
      <c r="AC213" s="4503" t="n"/>
      <c r="AD213" s="726" t="n"/>
      <c r="AE213" s="11602" t="n"/>
      <c r="AF213" s="11602" t="n"/>
      <c r="AG213" s="11602" t="n"/>
      <c r="AH213" s="11602" t="n"/>
      <c r="AI213" s="11602" t="n"/>
      <c r="AJ213" s="11602" t="n"/>
      <c r="AK213" s="2013" t="n"/>
      <c r="AL213" s="11602" t="n"/>
      <c r="AM213" s="344" t="n"/>
      <c r="AN213" s="11602" t="n"/>
    </row>
    <row r="214" ht="16.5" customHeight="1" s="7635">
      <c r="A214" s="2013" t="n"/>
      <c r="B214" s="11602" t="n"/>
      <c r="C214" s="11216" t="n"/>
      <c r="D214" s="8650" t="inlineStr">
        <is>
          <t>instructions)</t>
        </is>
      </c>
      <c r="E214" s="6996" t="n"/>
      <c r="F214" s="6996" t="n"/>
      <c r="G214" s="6996" t="n"/>
      <c r="H214" s="6996" t="n"/>
      <c r="I214" s="11602" t="n"/>
      <c r="J214" s="11602" t="n"/>
      <c r="K214" s="8650" t="n"/>
      <c r="L214" s="11602" t="n"/>
      <c r="M214" s="11602" t="n"/>
      <c r="N214" s="11602" t="n"/>
      <c r="O214" s="11602" t="n"/>
      <c r="P214" s="11602" t="n"/>
      <c r="Q214" s="11602" t="n"/>
      <c r="R214" s="11602" t="n"/>
      <c r="S214" s="11602" t="n"/>
      <c r="T214" s="11602" t="n"/>
      <c r="U214" s="11602" t="n"/>
      <c r="V214" s="11602" t="n"/>
      <c r="W214" s="11602" t="n"/>
      <c r="X214" s="11602" t="n"/>
      <c r="Y214" s="11602" t="n"/>
      <c r="Z214" s="11602" t="n"/>
      <c r="AA214" s="11602" t="n"/>
      <c r="AB214" s="11602" t="n"/>
      <c r="AC214" s="1401" t="inlineStr">
        <is>
          <t xml:space="preserve">.   .   .   .   .   .   .   .   .   .   .   .   .   .   .   .   .   .   .   .   .   .   .   .   .   .   .   .   .   .   .   .   .   .   .   .   .  </t>
        </is>
      </c>
      <c r="AD214" s="2918" t="inlineStr">
        <is>
          <t>25b</t>
        </is>
      </c>
      <c r="AE214" s="10787" t="n"/>
      <c r="AF214" s="11717" t="n"/>
      <c r="AG214" s="11717" t="n"/>
      <c r="AH214" s="11717" t="n"/>
      <c r="AI214" s="11717" t="n"/>
      <c r="AJ214" s="11717" t="n"/>
      <c r="AK214" s="2013" t="n"/>
      <c r="AL214" s="7914" t="n"/>
      <c r="AM214" s="7914" t="n"/>
      <c r="AN214" s="11602" t="n"/>
    </row>
    <row r="215" ht="16.5" customHeight="1" s="7635">
      <c r="A215" s="2013" t="n"/>
      <c r="B215" s="11602" t="n"/>
      <c r="C215" s="4478" t="inlineStr">
        <is>
          <t>c</t>
        </is>
      </c>
      <c r="D215" s="514" t="inlineStr">
        <is>
          <t>Taxable amount.</t>
        </is>
      </c>
      <c r="E215" s="6996" t="n"/>
      <c r="F215" s="6996" t="n"/>
      <c r="G215" s="6996" t="n"/>
      <c r="H215" s="11602" t="n"/>
      <c r="I215" s="8650">
        <f>"Subtract line 25b from line 25a. If more than zero, also include this amount on "&amp;TaxYear</f>
        <v/>
      </c>
      <c r="J215" s="11602" t="n"/>
      <c r="K215" s="11602" t="n"/>
      <c r="L215" s="11602" t="n"/>
      <c r="M215" s="11602" t="n"/>
      <c r="N215" s="11602" t="n"/>
      <c r="O215" s="11602" t="n"/>
      <c r="P215" s="11602" t="n"/>
      <c r="Q215" s="11602" t="n"/>
      <c r="R215" s="11602" t="n"/>
      <c r="S215" s="11602" t="n"/>
      <c r="T215" s="11602" t="n"/>
      <c r="U215" s="11602" t="n"/>
      <c r="V215" s="11602" t="n"/>
      <c r="W215" s="11602" t="n"/>
      <c r="X215" s="11602" t="n"/>
      <c r="Y215" s="11602" t="n"/>
      <c r="Z215" s="11602" t="n"/>
      <c r="AA215" s="11602" t="n"/>
      <c r="AB215" s="11602" t="n"/>
      <c r="AC215" s="11602" t="n"/>
      <c r="AD215" s="726" t="n"/>
      <c r="AE215" s="11602" t="n"/>
      <c r="AF215" s="11602" t="n"/>
      <c r="AG215" s="11602" t="n"/>
      <c r="AH215" s="11602" t="n"/>
      <c r="AI215" s="11602" t="n"/>
      <c r="AJ215" s="11602" t="n"/>
      <c r="AK215" s="2013" t="n"/>
      <c r="AL215" s="11602" t="n"/>
      <c r="AM215" s="344" t="n"/>
      <c r="AN215" s="11602" t="n"/>
    </row>
    <row r="216" ht="16.5" customHeight="1" s="7635">
      <c r="A216" s="2013" t="n"/>
      <c r="B216" s="11602" t="n"/>
      <c r="C216" s="4478" t="n"/>
      <c r="D216" s="7772" t="inlineStr">
        <is>
          <t>plan distribution repayments (other than those reported on Form 8915-F) that are treated as rollovers.</t>
        </is>
      </c>
      <c r="E216" s="6996" t="n"/>
      <c r="F216" s="6996" t="n"/>
      <c r="G216" s="6996" t="n"/>
      <c r="H216" s="11602" t="n"/>
      <c r="I216" s="8650" t="n"/>
      <c r="J216" s="11602" t="n"/>
      <c r="K216" s="11602" t="n"/>
      <c r="L216" s="11602" t="n"/>
      <c r="M216" s="11602" t="n"/>
      <c r="N216" s="11602" t="n"/>
      <c r="O216" s="11602" t="n"/>
      <c r="P216" s="11602" t="n"/>
      <c r="Q216" s="11602" t="n"/>
      <c r="R216" s="11602" t="n"/>
      <c r="S216" s="11602" t="n"/>
      <c r="T216" s="11602" t="n"/>
      <c r="U216" s="11602" t="n"/>
      <c r="V216" s="11602" t="n"/>
      <c r="W216" s="11602" t="n"/>
      <c r="X216" s="11602" t="n"/>
      <c r="Y216" s="11602" t="n"/>
      <c r="Z216" s="11602" t="n"/>
      <c r="AA216" s="11602" t="n"/>
      <c r="AB216" s="11602" t="n"/>
      <c r="AC216" s="11602" t="n"/>
      <c r="AD216" s="726" t="n"/>
      <c r="AE216" s="11602" t="n"/>
      <c r="AF216" s="11602" t="n"/>
      <c r="AG216" s="11602" t="n"/>
      <c r="AH216" s="11602" t="n"/>
      <c r="AI216" s="11602" t="n"/>
      <c r="AJ216" s="11602" t="n"/>
      <c r="AK216" s="2013" t="n"/>
      <c r="AL216" s="11602" t="n"/>
      <c r="AM216" s="344" t="n"/>
      <c r="AN216" s="11602" t="n"/>
    </row>
    <row r="217" ht="16.5" customHeight="1" s="7635">
      <c r="A217" s="2013" t="n"/>
      <c r="B217" s="11602" t="n"/>
      <c r="C217" s="4478" t="n"/>
      <c r="D217" s="7772">
        <f>"See instructions.  If more than zero, also include this amount on  "&amp;TaxYear&amp;" Form 1040,  1040-SR,"</f>
        <v/>
      </c>
      <c r="E217" s="6996" t="n"/>
      <c r="F217" s="6996" t="n"/>
      <c r="G217" s="6996" t="n"/>
      <c r="H217" s="11602" t="n"/>
      <c r="I217" s="8650" t="n"/>
      <c r="J217" s="11602" t="n"/>
      <c r="K217" s="11602" t="n"/>
      <c r="L217" s="11602" t="n"/>
      <c r="M217" s="11602" t="n"/>
      <c r="N217" s="11602" t="n"/>
      <c r="O217" s="11602" t="n"/>
      <c r="P217" s="11602" t="n"/>
      <c r="Q217" s="11602" t="n"/>
      <c r="R217" s="11602" t="n"/>
      <c r="S217" s="11602" t="n"/>
      <c r="T217" s="11602" t="n"/>
      <c r="U217" s="11602" t="n"/>
      <c r="V217" s="11602" t="n"/>
      <c r="W217" s="11602" t="n"/>
      <c r="X217" s="11602" t="n"/>
      <c r="Y217" s="11602" t="n"/>
      <c r="Z217" s="11602" t="n"/>
      <c r="AA217" s="514" t="inlineStr">
        <is>
          <t>or</t>
        </is>
      </c>
      <c r="AB217" s="11602" t="n"/>
      <c r="AC217" s="11602" t="n"/>
      <c r="AD217" s="726" t="n"/>
      <c r="AE217" s="11602" t="n"/>
      <c r="AF217" s="11602" t="n"/>
      <c r="AG217" s="11602" t="n"/>
      <c r="AH217" s="11602" t="n"/>
      <c r="AI217" s="11602" t="n"/>
      <c r="AJ217" s="11602" t="n"/>
      <c r="AK217" s="2013" t="n"/>
      <c r="AL217" s="11602" t="n"/>
      <c r="AM217" s="344" t="n"/>
      <c r="AN217" s="11602" t="n"/>
    </row>
    <row r="218" ht="16.5" customHeight="1" s="7635" thickBot="1">
      <c r="A218" s="2013" t="n"/>
      <c r="B218" s="380" t="n"/>
      <c r="C218" s="4504" t="n"/>
      <c r="D218" s="5003" t="inlineStr">
        <is>
          <t>1040-NR, line 4b</t>
        </is>
      </c>
      <c r="E218" s="4225" t="n"/>
      <c r="F218" s="4225" t="n"/>
      <c r="G218" s="4225" t="n"/>
      <c r="H218" s="4225" t="n"/>
      <c r="I218" s="380" t="n"/>
      <c r="J218" s="380" t="n"/>
      <c r="K218" s="380" t="n"/>
      <c r="L218" s="380" t="n"/>
      <c r="M218" s="380" t="n"/>
      <c r="N218" s="380" t="n"/>
      <c r="O218" s="380" t="n"/>
      <c r="P218" s="380" t="n"/>
      <c r="Q218" s="380" t="n"/>
      <c r="R218" s="380" t="n"/>
      <c r="S218" s="380" t="n"/>
      <c r="T218" s="380" t="n"/>
      <c r="U218" s="380" t="n"/>
      <c r="V218" s="380" t="n"/>
      <c r="W218" s="380" t="n"/>
      <c r="X218" s="380" t="n"/>
      <c r="Y218" s="380" t="n"/>
      <c r="Z218" s="380" t="n"/>
      <c r="AA218" s="380" t="n"/>
      <c r="AB218" s="380" t="n"/>
      <c r="AC218" s="10735" t="inlineStr">
        <is>
          <t xml:space="preserve">.   .   .   .   .   .   .   .   .   .   .   .   .   .   .   .   .   .   .   .   .   .   .   .   .   .  </t>
        </is>
      </c>
      <c r="AD218" s="2919" t="inlineStr">
        <is>
          <t>25c</t>
        </is>
      </c>
      <c r="AE218" s="10767">
        <f>IF(AE202="","",IF(NOT(AM205),MAX(0,SUM(AE211,-AE214)),""))</f>
        <v/>
      </c>
      <c r="AF218" s="8848" t="n"/>
      <c r="AG218" s="8848" t="n"/>
      <c r="AH218" s="8848" t="n"/>
      <c r="AI218" s="8848" t="n"/>
      <c r="AJ218" s="8848" t="n"/>
      <c r="AK218" s="2013" t="n"/>
      <c r="AL218" s="7914" t="n"/>
      <c r="AM218" s="7914" t="n"/>
      <c r="AN218" s="11602" t="n"/>
    </row>
    <row r="219" ht="12" customFormat="1" customHeight="1" s="815">
      <c r="A219" s="2013" t="n"/>
      <c r="B219" s="12675" t="inlineStr">
        <is>
          <t>Sign Here Only
if You Are Filing
This Form by Itself
and Not With Your 
Tax Return</t>
        </is>
      </c>
      <c r="C219" s="2506" t="n"/>
      <c r="D219" s="2506" t="n"/>
      <c r="E219" s="2506" t="n"/>
      <c r="F219" s="2506" t="n"/>
      <c r="G219" s="2506" t="n"/>
      <c r="H219" s="6746" t="inlineStr">
        <is>
          <t>Under penalties of perjury, I declare that I have examined this form, including accompanying attachments, and to the best of my knowledge and</t>
        </is>
      </c>
      <c r="I219" s="6748" t="n"/>
      <c r="J219" s="4505" t="n"/>
      <c r="K219" s="4505" t="n"/>
      <c r="L219" s="4505" t="n"/>
      <c r="M219" s="4505" t="n"/>
      <c r="N219" s="4505" t="n"/>
      <c r="O219" s="344" t="n"/>
      <c r="P219" s="344" t="n"/>
      <c r="Q219" s="344" t="n"/>
      <c r="R219" s="344" t="n"/>
      <c r="S219" s="344" t="n"/>
      <c r="T219" s="344" t="n"/>
      <c r="U219" s="9750" t="n"/>
      <c r="V219" s="4505" t="n"/>
      <c r="W219" s="4505" t="n"/>
      <c r="X219" s="4505" t="n"/>
      <c r="Y219" s="4505" t="n"/>
      <c r="Z219" s="4505" t="n"/>
      <c r="AA219" s="4505" t="n"/>
      <c r="AB219" s="4505" t="n"/>
      <c r="AC219" s="4505" t="n"/>
      <c r="AD219" s="4505" t="n"/>
      <c r="AE219" s="4505" t="n"/>
      <c r="AF219" s="344" t="n"/>
      <c r="AG219" s="344" t="n"/>
      <c r="AH219" s="344" t="n"/>
      <c r="AI219" s="344" t="n"/>
      <c r="AJ219" s="344" t="n"/>
      <c r="AK219" s="2013" t="n"/>
      <c r="AL219" s="11602" t="n"/>
      <c r="AM219" s="344" t="n"/>
      <c r="AN219" s="11602" t="n"/>
      <c r="AO219" s="658" t="n"/>
      <c r="AP219" s="658" t="n"/>
      <c r="AQ219" s="658" t="n"/>
      <c r="AR219" s="658" t="n"/>
      <c r="AS219" s="658" t="n"/>
      <c r="AT219" s="658" t="n"/>
      <c r="AU219" s="658" t="n"/>
      <c r="AV219" s="658" t="n"/>
      <c r="AW219" s="658" t="n"/>
      <c r="AX219" s="658" t="n"/>
    </row>
    <row r="220" ht="14.25" customFormat="1" customHeight="1" s="815">
      <c r="A220" s="2013" t="n"/>
      <c r="H220" s="6747" t="inlineStr">
        <is>
          <t>belief, it is true, correct, and complete. Declaration of preparer (other than taxpayer) is based on all information of which preparer has any knowledge.</t>
        </is>
      </c>
      <c r="I220" s="7123" t="n"/>
      <c r="J220" s="4505" t="n"/>
      <c r="K220" s="4505" t="n"/>
      <c r="L220" s="4505" t="n"/>
      <c r="M220" s="4505" t="n"/>
      <c r="N220" s="4505" t="n"/>
      <c r="O220" s="10859" t="n"/>
      <c r="P220" s="344" t="n"/>
      <c r="Q220" s="344" t="n"/>
      <c r="R220" s="10859" t="n"/>
      <c r="S220" s="344" t="n"/>
      <c r="T220" s="344" t="n"/>
      <c r="U220" s="344" t="n"/>
      <c r="V220" s="4505" t="n"/>
      <c r="W220" s="4505" t="n"/>
      <c r="X220" s="4505" t="n"/>
      <c r="Y220" s="4505" t="n"/>
      <c r="Z220" s="4505" t="n"/>
      <c r="AA220" s="4505" t="n"/>
      <c r="AB220" s="4505" t="n"/>
      <c r="AC220" s="4505" t="n"/>
      <c r="AD220" s="4505" t="n"/>
      <c r="AE220" s="4505" t="n"/>
      <c r="AF220" s="10859" t="n"/>
      <c r="AG220" s="344" t="n"/>
      <c r="AH220" s="344" t="n"/>
      <c r="AI220" s="10859" t="n"/>
      <c r="AJ220" s="344" t="n"/>
      <c r="AK220" s="2013" t="n"/>
      <c r="AL220" s="11602" t="n"/>
      <c r="AM220" s="344" t="n"/>
      <c r="AN220" s="11602" t="n"/>
      <c r="AO220" s="658" t="n"/>
      <c r="AP220" s="658" t="n"/>
      <c r="AQ220" s="658" t="n"/>
      <c r="AR220" s="658" t="n"/>
      <c r="AS220" s="658" t="n"/>
      <c r="AT220" s="658" t="n"/>
      <c r="AU220" s="658" t="n"/>
      <c r="AV220" s="658" t="n"/>
      <c r="AW220" s="658" t="n"/>
      <c r="AX220" s="658" t="n"/>
    </row>
    <row r="221" ht="15.75" customFormat="1" customHeight="1" s="815">
      <c r="A221" s="2013" t="n"/>
      <c r="H221" s="4506" t="n"/>
      <c r="I221" s="4505" t="n"/>
      <c r="J221" s="4505" t="n"/>
      <c r="K221" s="4505" t="n"/>
      <c r="L221" s="4505" t="n"/>
      <c r="M221" s="4505" t="n"/>
      <c r="N221" s="4505" t="n"/>
      <c r="O221" s="344" t="n"/>
      <c r="P221" s="344" t="n"/>
      <c r="Q221" s="344" t="n"/>
      <c r="R221" s="344" t="n"/>
      <c r="S221" s="344" t="n"/>
      <c r="T221" s="344" t="n"/>
      <c r="U221" s="344" t="n"/>
      <c r="V221" s="4505" t="n"/>
      <c r="W221" s="4505" t="n"/>
      <c r="X221" s="4505" t="n"/>
      <c r="Y221" s="4505" t="n"/>
      <c r="Z221" s="4505" t="n"/>
      <c r="AA221" s="4505" t="n"/>
      <c r="AB221" s="4505" t="n"/>
      <c r="AC221" s="4505" t="n"/>
      <c r="AD221" s="4505" t="n"/>
      <c r="AE221" s="4505" t="n"/>
      <c r="AF221" s="344" t="n"/>
      <c r="AG221" s="344" t="n"/>
      <c r="AH221" s="344" t="n"/>
      <c r="AI221" s="344" t="n"/>
      <c r="AJ221" s="344" t="n"/>
      <c r="AK221" s="2013" t="n"/>
      <c r="AL221" s="11602" t="n"/>
      <c r="AM221" s="344" t="n"/>
      <c r="AN221" s="11602" t="n"/>
      <c r="AO221" s="662" t="n"/>
      <c r="AP221" s="662" t="n"/>
      <c r="AQ221" s="662" t="n"/>
      <c r="AR221" s="662" t="n"/>
      <c r="AS221" s="662" t="n"/>
      <c r="AT221" s="662" t="n"/>
      <c r="AU221" s="662" t="n"/>
      <c r="AV221" s="662" t="n"/>
      <c r="AW221" s="662" t="n"/>
      <c r="AX221" s="662" t="n"/>
    </row>
    <row r="222" ht="15.75" customFormat="1" customHeight="1" s="815">
      <c r="A222" s="2013" t="n"/>
      <c r="H222" s="4506" t="n"/>
      <c r="I222" s="4505" t="n"/>
      <c r="J222" s="10860" t="n"/>
      <c r="K222" s="194" t="n"/>
      <c r="L222" s="194" t="n"/>
      <c r="M222" s="194" t="n"/>
      <c r="N222" s="194" t="n"/>
      <c r="O222" s="194" t="n"/>
      <c r="P222" s="194" t="n"/>
      <c r="Q222" s="194" t="n"/>
      <c r="R222" s="194" t="n"/>
      <c r="S222" s="194" t="n"/>
      <c r="T222" s="194" t="n"/>
      <c r="U222" s="194" t="n"/>
      <c r="V222" s="194" t="n"/>
      <c r="W222" s="194" t="n"/>
      <c r="X222" s="194" t="n"/>
      <c r="Y222" s="194" t="n"/>
      <c r="Z222" s="194" t="n"/>
      <c r="AA222" s="194" t="n"/>
      <c r="AB222" s="4505" t="n"/>
      <c r="AC222" s="4505" t="n"/>
      <c r="AD222" s="12676" t="n"/>
      <c r="AE222" s="194" t="n"/>
      <c r="AF222" s="194" t="n"/>
      <c r="AG222" s="194" t="n"/>
      <c r="AH222" s="194" t="n"/>
      <c r="AI222" s="194" t="n"/>
      <c r="AJ222" s="194" t="n"/>
      <c r="AK222" s="2013" t="n"/>
      <c r="AL222" s="11602" t="n"/>
      <c r="AM222" s="344" t="n"/>
      <c r="AN222" s="11602" t="n"/>
      <c r="AO222" s="658" t="n"/>
      <c r="AP222" s="658" t="n"/>
      <c r="AQ222" s="658" t="n"/>
      <c r="AR222" s="658" t="n"/>
      <c r="AS222" s="658" t="n"/>
      <c r="AT222" s="658" t="n"/>
      <c r="AU222" s="658" t="n"/>
      <c r="AV222" s="658" t="n"/>
      <c r="AW222" s="658" t="n"/>
      <c r="AX222" s="658" t="n"/>
    </row>
    <row r="223" ht="15.75" customFormat="1" customHeight="1" s="815">
      <c r="A223" s="2013" t="n"/>
      <c r="H223" s="4506" t="n"/>
      <c r="I223" s="4505" t="n"/>
      <c r="J223" s="11717" t="n"/>
      <c r="K223" s="11717" t="n"/>
      <c r="L223" s="11717" t="n"/>
      <c r="M223" s="11717" t="n"/>
      <c r="N223" s="11717" t="n"/>
      <c r="O223" s="11717" t="n"/>
      <c r="P223" s="11717" t="n"/>
      <c r="Q223" s="11717" t="n"/>
      <c r="R223" s="11717" t="n"/>
      <c r="S223" s="11717" t="n"/>
      <c r="T223" s="11717" t="n"/>
      <c r="U223" s="11717" t="n"/>
      <c r="V223" s="11717" t="n"/>
      <c r="W223" s="11717" t="n"/>
      <c r="X223" s="11717" t="n"/>
      <c r="Y223" s="11717" t="n"/>
      <c r="Z223" s="11717" t="n"/>
      <c r="AA223" s="11717" t="n"/>
      <c r="AB223" s="4505" t="n"/>
      <c r="AC223" s="4505" t="n"/>
      <c r="AD223" s="11717" t="n"/>
      <c r="AE223" s="11717" t="n"/>
      <c r="AF223" s="11717" t="n"/>
      <c r="AG223" s="11717" t="n"/>
      <c r="AH223" s="11717" t="n"/>
      <c r="AI223" s="11717" t="n"/>
      <c r="AJ223" s="11717" t="n"/>
      <c r="AK223" s="2013" t="n"/>
      <c r="AL223" s="11602" t="n"/>
      <c r="AM223" s="344" t="n"/>
      <c r="AN223" s="11602" t="n"/>
      <c r="AO223" s="658" t="n"/>
      <c r="AP223" s="658" t="n"/>
      <c r="AQ223" s="658" t="n"/>
      <c r="AR223" s="658" t="n"/>
      <c r="AS223" s="658" t="n"/>
      <c r="AT223" s="658" t="n"/>
      <c r="AU223" s="658" t="n"/>
      <c r="AV223" s="658" t="n"/>
      <c r="AW223" s="658" t="n"/>
      <c r="AX223" s="658" t="n"/>
    </row>
    <row r="224" ht="11.25" customFormat="1" customHeight="1" s="815">
      <c r="A224" s="2013" t="n"/>
      <c r="B224" s="7637" t="n"/>
      <c r="C224" s="7637" t="n"/>
      <c r="D224" s="7637" t="n"/>
      <c r="E224" s="7637" t="n"/>
      <c r="F224" s="7637" t="n"/>
      <c r="G224" s="7637" t="n"/>
      <c r="H224" s="4508" t="n"/>
      <c r="I224" s="4252" t="n"/>
      <c r="J224" s="507" t="inlineStr">
        <is>
          <t>Your signature</t>
        </is>
      </c>
      <c r="K224" s="4252" t="n"/>
      <c r="L224" s="4252" t="n"/>
      <c r="M224" s="4252" t="n"/>
      <c r="N224" s="4252" t="n"/>
      <c r="O224" s="569" t="n"/>
      <c r="P224" s="569" t="n"/>
      <c r="Q224" s="569" t="n"/>
      <c r="R224" s="569" t="n"/>
      <c r="S224" s="569" t="n"/>
      <c r="T224" s="569" t="n"/>
      <c r="U224" s="569" t="n"/>
      <c r="V224" s="4252" t="n"/>
      <c r="W224" s="4252" t="n"/>
      <c r="X224" s="4252" t="n"/>
      <c r="Y224" s="4252" t="n"/>
      <c r="Z224" s="4252" t="n"/>
      <c r="AA224" s="4252" t="n"/>
      <c r="AB224" s="4252" t="n"/>
      <c r="AC224" s="4252" t="n"/>
      <c r="AD224" s="507" t="inlineStr">
        <is>
          <t>Date</t>
        </is>
      </c>
      <c r="AE224" s="4252" t="n"/>
      <c r="AF224" s="569" t="n"/>
      <c r="AG224" s="569" t="n"/>
      <c r="AH224" s="569" t="n"/>
      <c r="AI224" s="569" t="n"/>
      <c r="AJ224" s="569" t="n"/>
      <c r="AK224" s="2013" t="n"/>
      <c r="AL224" s="11602" t="n"/>
      <c r="AM224" s="344" t="n"/>
      <c r="AN224" s="11602" t="n"/>
      <c r="AO224" s="658" t="n"/>
      <c r="AP224" s="658" t="n"/>
      <c r="AQ224" s="658" t="n"/>
      <c r="AR224" s="658" t="n"/>
      <c r="AS224" s="658" t="n"/>
      <c r="AT224" s="658" t="n"/>
      <c r="AU224" s="658" t="n"/>
      <c r="AV224" s="658" t="n"/>
      <c r="AW224" s="658" t="n"/>
      <c r="AX224" s="658" t="n"/>
    </row>
    <row r="225" ht="12.75" customFormat="1" customHeight="1" s="815">
      <c r="A225" s="2013" t="n"/>
      <c r="B225" s="12677" t="inlineStr">
        <is>
          <t>Paid Preparer Use Only</t>
        </is>
      </c>
      <c r="C225" s="7839" t="n"/>
      <c r="D225" s="7839" t="n"/>
      <c r="E225" s="10091" t="n"/>
      <c r="F225" s="4509" t="inlineStr">
        <is>
          <t xml:space="preserve">  Print/Type preparer’s name</t>
        </is>
      </c>
      <c r="G225" s="4510" t="n"/>
      <c r="H225" s="4510" t="n"/>
      <c r="I225" s="4510" t="n"/>
      <c r="J225" s="4510" t="n"/>
      <c r="K225" s="4510" t="n"/>
      <c r="L225" s="4510" t="n"/>
      <c r="M225" s="4510" t="n"/>
      <c r="N225" s="4510" t="n"/>
      <c r="O225" s="4511" t="n"/>
      <c r="P225" s="4509" t="inlineStr">
        <is>
          <t xml:space="preserve">  Preparer’s signature</t>
        </is>
      </c>
      <c r="Q225" s="4510" t="n"/>
      <c r="R225" s="4510" t="n"/>
      <c r="S225" s="4510" t="n"/>
      <c r="T225" s="565" t="n"/>
      <c r="U225" s="4512" t="n"/>
      <c r="V225" s="4510" t="n"/>
      <c r="W225" s="4510" t="n"/>
      <c r="X225" s="4510" t="n"/>
      <c r="Y225" s="4511" t="n"/>
      <c r="Z225" s="4509" t="inlineStr">
        <is>
          <t xml:space="preserve">  Date</t>
        </is>
      </c>
      <c r="AA225" s="4510" t="n"/>
      <c r="AB225" s="4510" t="n"/>
      <c r="AC225" s="4511" t="n"/>
      <c r="AD225" s="4509" t="inlineStr">
        <is>
          <t>Check</t>
        </is>
      </c>
      <c r="AE225" s="4510" t="n"/>
      <c r="AF225" s="4510" t="inlineStr">
        <is>
          <t>if</t>
        </is>
      </c>
      <c r="AG225" s="4509" t="inlineStr">
        <is>
          <t xml:space="preserve"> PTIN</t>
        </is>
      </c>
      <c r="AH225" s="4510" t="n"/>
      <c r="AI225" s="4510" t="n"/>
      <c r="AJ225" s="4510" t="n"/>
      <c r="AK225" s="2013" t="n"/>
      <c r="AL225" s="11602" t="n"/>
      <c r="AM225" s="344" t="n"/>
      <c r="AN225" s="11602" t="n"/>
      <c r="AO225" s="658" t="n"/>
      <c r="AP225" s="658" t="n"/>
      <c r="AQ225" s="658" t="n"/>
      <c r="AR225" s="658" t="n"/>
      <c r="AS225" s="658" t="n"/>
      <c r="AT225" s="658" t="n"/>
      <c r="AU225" s="658" t="n"/>
      <c r="AV225" s="658" t="n"/>
      <c r="AW225" s="658" t="n"/>
      <c r="AX225" s="658" t="n"/>
    </row>
    <row r="226" ht="13.5" customFormat="1" customHeight="1" s="815">
      <c r="A226" s="2013" t="n"/>
      <c r="E226" s="7636" t="n"/>
      <c r="F226" s="12678" t="n"/>
      <c r="G226" s="194" t="n"/>
      <c r="H226" s="194" t="n"/>
      <c r="I226" s="194" t="n"/>
      <c r="J226" s="194" t="n"/>
      <c r="K226" s="194" t="n"/>
      <c r="L226" s="194" t="n"/>
      <c r="M226" s="194" t="n"/>
      <c r="N226" s="194" t="n"/>
      <c r="O226" s="11726" t="n"/>
      <c r="P226" s="4506" t="n"/>
      <c r="Q226" s="4505" t="n"/>
      <c r="R226" s="4505" t="n"/>
      <c r="S226" s="4505" t="n"/>
      <c r="T226" s="344" t="n"/>
      <c r="U226" s="344" t="n"/>
      <c r="V226" s="4505" t="n"/>
      <c r="W226" s="4505" t="n"/>
      <c r="X226" s="4505" t="n"/>
      <c r="Y226" s="4513" t="n"/>
      <c r="Z226" s="12679" t="n"/>
      <c r="AA226" s="194" t="n"/>
      <c r="AB226" s="194" t="n"/>
      <c r="AC226" s="11726" t="n"/>
      <c r="AD226" s="4514" t="n"/>
      <c r="AE226" s="384" t="n"/>
      <c r="AF226" s="4505" t="n"/>
      <c r="AG226" s="10783" t="n"/>
      <c r="AH226" s="194" t="n"/>
      <c r="AI226" s="194" t="n"/>
      <c r="AJ226" s="194" t="n"/>
      <c r="AK226" s="2013" t="n"/>
      <c r="AL226" s="11602" t="n"/>
      <c r="AM226" s="344" t="n"/>
      <c r="AN226" s="11602" t="n"/>
      <c r="AO226" s="658" t="n"/>
      <c r="AP226" s="658" t="n"/>
      <c r="AQ226" s="658" t="n"/>
      <c r="AR226" s="658" t="n"/>
      <c r="AS226" s="658" t="n"/>
      <c r="AT226" s="658" t="n"/>
      <c r="AU226" s="658" t="n"/>
      <c r="AV226" s="658" t="n"/>
      <c r="AW226" s="658" t="n"/>
      <c r="AX226" s="658" t="n"/>
    </row>
    <row r="227" ht="13.5" customFormat="1" customHeight="1" s="815">
      <c r="A227" s="2013" t="n"/>
      <c r="E227" s="7636" t="n"/>
      <c r="F227" s="11728" t="n"/>
      <c r="G227" s="11717" t="n"/>
      <c r="H227" s="11717" t="n"/>
      <c r="I227" s="11717" t="n"/>
      <c r="J227" s="11717" t="n"/>
      <c r="K227" s="11717" t="n"/>
      <c r="L227" s="11717" t="n"/>
      <c r="M227" s="11717" t="n"/>
      <c r="N227" s="11717" t="n"/>
      <c r="O227" s="11718" t="n"/>
      <c r="P227" s="4508" t="n"/>
      <c r="Q227" s="4252" t="n"/>
      <c r="R227" s="4252" t="n"/>
      <c r="S227" s="4252" t="n"/>
      <c r="T227" s="569" t="n"/>
      <c r="U227" s="569" t="n"/>
      <c r="V227" s="4252" t="n"/>
      <c r="W227" s="4252" t="n"/>
      <c r="X227" s="4252" t="n"/>
      <c r="Y227" s="4507" t="n"/>
      <c r="Z227" s="11728" t="n"/>
      <c r="AA227" s="11717" t="n"/>
      <c r="AB227" s="11717" t="n"/>
      <c r="AC227" s="11718" t="n"/>
      <c r="AD227" s="4515" t="inlineStr">
        <is>
          <t>self-employed</t>
        </is>
      </c>
      <c r="AE227" s="4252" t="n"/>
      <c r="AF227" s="4252" t="n"/>
      <c r="AG227" s="11728" t="n"/>
      <c r="AH227" s="11717" t="n"/>
      <c r="AI227" s="11717" t="n"/>
      <c r="AJ227" s="11717" t="n"/>
      <c r="AK227" s="2013" t="n"/>
      <c r="AL227" s="11602" t="n"/>
      <c r="AM227" s="344" t="n"/>
      <c r="AN227" s="11602" t="n"/>
      <c r="AO227" s="658" t="n"/>
      <c r="AP227" s="658" t="n"/>
      <c r="AQ227" s="658" t="n"/>
      <c r="AR227" s="658" t="n"/>
      <c r="AS227" s="658" t="n"/>
      <c r="AT227" s="658" t="n"/>
      <c r="AU227" s="658" t="n"/>
      <c r="AV227" s="658" t="n"/>
      <c r="AW227" s="658" t="n"/>
      <c r="AX227" s="658" t="n"/>
    </row>
    <row r="228" ht="14.25" customFormat="1" customHeight="1" s="815">
      <c r="A228" s="2013" t="n"/>
      <c r="E228" s="7636" t="n"/>
      <c r="F228" s="1149" t="inlineStr">
        <is>
          <t xml:space="preserve">  Firm's name</t>
        </is>
      </c>
      <c r="G228" s="4516" t="n"/>
      <c r="H228" s="1150" t="n"/>
      <c r="I228" s="1150" t="n"/>
      <c r="J228" s="1150" t="n"/>
      <c r="K228" s="7042" t="n"/>
      <c r="L228" s="8007" t="n"/>
      <c r="M228" s="8007" t="n"/>
      <c r="N228" s="8007" t="n"/>
      <c r="O228" s="8007" t="n"/>
      <c r="P228" s="8007" t="n"/>
      <c r="Q228" s="8007" t="n"/>
      <c r="R228" s="8007" t="n"/>
      <c r="S228" s="8007" t="n"/>
      <c r="T228" s="8007" t="n"/>
      <c r="U228" s="8007" t="n"/>
      <c r="V228" s="8007" t="n"/>
      <c r="W228" s="8007" t="n"/>
      <c r="X228" s="8007" t="n"/>
      <c r="Y228" s="8007" t="n"/>
      <c r="Z228" s="8007" t="n"/>
      <c r="AA228" s="8007" t="n"/>
      <c r="AB228" s="8007" t="n"/>
      <c r="AC228" s="8007" t="n"/>
      <c r="AD228" s="1149" t="inlineStr">
        <is>
          <t xml:space="preserve">  Firm's EIN</t>
        </is>
      </c>
      <c r="AE228" s="1150" t="n"/>
      <c r="AF228" s="4154" t="n"/>
      <c r="AG228" s="8399" t="n"/>
      <c r="AH228" s="8007" t="n"/>
      <c r="AI228" s="8007" t="n"/>
      <c r="AJ228" s="8007" t="n"/>
      <c r="AK228" s="2013" t="n"/>
      <c r="AL228" s="11602" t="n"/>
      <c r="AM228" s="344" t="n"/>
      <c r="AN228" s="11602" t="n"/>
      <c r="AO228" s="658" t="n"/>
      <c r="AP228" s="658" t="n"/>
      <c r="AQ228" s="658" t="n"/>
      <c r="AR228" s="658" t="n"/>
      <c r="AS228" s="658" t="n"/>
      <c r="AT228" s="658" t="n"/>
      <c r="AU228" s="658" t="n"/>
      <c r="AV228" s="658" t="n"/>
      <c r="AW228" s="658" t="n"/>
      <c r="AX228" s="658" t="n"/>
    </row>
    <row r="229" ht="14.25" customFormat="1" customHeight="1" s="815" thickBot="1">
      <c r="A229" s="2013" t="n"/>
      <c r="B229" s="11705" t="n"/>
      <c r="C229" s="11705" t="n"/>
      <c r="D229" s="11705" t="n"/>
      <c r="E229" s="11707" t="n"/>
      <c r="F229" s="4517" t="inlineStr">
        <is>
          <t xml:space="preserve">  Firm's address</t>
        </is>
      </c>
      <c r="G229" s="4518" t="n"/>
      <c r="H229" s="4518" t="n"/>
      <c r="I229" s="4518" t="n"/>
      <c r="J229" s="4518" t="n"/>
      <c r="K229" s="10819" t="n"/>
      <c r="L229" s="11820" t="n"/>
      <c r="M229" s="11820" t="n"/>
      <c r="N229" s="11820" t="n"/>
      <c r="O229" s="11820" t="n"/>
      <c r="P229" s="11820" t="n"/>
      <c r="Q229" s="11820" t="n"/>
      <c r="R229" s="11820" t="n"/>
      <c r="S229" s="11820" t="n"/>
      <c r="T229" s="11820" t="n"/>
      <c r="U229" s="11820" t="n"/>
      <c r="V229" s="11820" t="n"/>
      <c r="W229" s="11820" t="n"/>
      <c r="X229" s="11820" t="n"/>
      <c r="Y229" s="11820" t="n"/>
      <c r="Z229" s="11820" t="n"/>
      <c r="AA229" s="11820" t="n"/>
      <c r="AB229" s="11820" t="n"/>
      <c r="AC229" s="11820" t="n"/>
      <c r="AD229" s="4517" t="inlineStr">
        <is>
          <t xml:space="preserve">  Phone no.</t>
        </is>
      </c>
      <c r="AE229" s="4518" t="n"/>
      <c r="AF229" s="4518" t="n"/>
      <c r="AG229" s="12680" t="n"/>
      <c r="AH229" s="11820" t="n"/>
      <c r="AI229" s="11820" t="n"/>
      <c r="AJ229" s="11820" t="n"/>
      <c r="AK229" s="2013" t="n"/>
      <c r="AL229" s="11602" t="n"/>
      <c r="AM229" s="344" t="n"/>
      <c r="AN229" s="11602" t="n"/>
      <c r="AO229" s="658" t="n"/>
      <c r="AP229" s="658" t="n"/>
      <c r="AQ229" s="658" t="n"/>
      <c r="AR229" s="658" t="n"/>
      <c r="AS229" s="658" t="n"/>
      <c r="AT229" s="658" t="n"/>
      <c r="AU229" s="658" t="n"/>
      <c r="AV229" s="658" t="n"/>
      <c r="AW229" s="658" t="n"/>
      <c r="AX229" s="658" t="n"/>
    </row>
    <row r="230" ht="16.5" customFormat="1" customHeight="1" s="815" thickTop="1">
      <c r="A230" s="2013" t="n"/>
      <c r="B230" s="2447" t="n"/>
      <c r="C230" s="728" t="n"/>
      <c r="D230" s="11403" t="n"/>
      <c r="E230" s="11403" t="n"/>
      <c r="F230" s="11403" t="n"/>
      <c r="G230" s="11403" t="n"/>
      <c r="H230" s="11403" t="n"/>
      <c r="I230" s="11403" t="n"/>
      <c r="J230" s="11403" t="n"/>
      <c r="K230" s="11403" t="n"/>
      <c r="L230" s="11403" t="n"/>
      <c r="M230" s="11403" t="n"/>
      <c r="N230" s="11403" t="n"/>
      <c r="O230" s="11403" t="n"/>
      <c r="P230" s="11403" t="n"/>
      <c r="Q230" s="88" t="n"/>
      <c r="R230" s="88" t="n"/>
      <c r="S230" s="88" t="n"/>
      <c r="T230" s="88" t="n"/>
      <c r="U230" s="3931" t="n"/>
      <c r="V230" s="88" t="n"/>
      <c r="W230" s="3931" t="n"/>
      <c r="X230" s="88" t="n"/>
      <c r="Y230" s="88" t="n"/>
      <c r="Z230" s="88" t="n"/>
      <c r="AA230" s="88" t="n"/>
      <c r="AB230" s="88" t="n"/>
      <c r="AC230" s="88" t="n"/>
      <c r="AD230" s="88" t="n"/>
      <c r="AE230" s="88" t="n"/>
      <c r="AF230" s="88" t="n"/>
      <c r="AG230" s="88" t="n"/>
      <c r="AH230" s="2052" t="inlineStr">
        <is>
          <t>Form 8606</t>
        </is>
      </c>
      <c r="AI230" s="88" t="n"/>
      <c r="AJ230" s="2052">
        <f>"("&amp;TaxYear&amp;")"</f>
        <v/>
      </c>
      <c r="AK230" s="2013" t="n"/>
      <c r="AL230" s="6996" t="n"/>
      <c r="AM230" s="7957" t="n"/>
      <c r="AN230" s="11602" t="n"/>
      <c r="AO230" s="658" t="n"/>
      <c r="AP230" s="658" t="n"/>
      <c r="AQ230" s="658" t="n"/>
      <c r="AR230" s="658" t="n"/>
      <c r="AS230" s="658" t="n"/>
      <c r="AT230" s="658" t="n"/>
      <c r="AU230" s="658" t="n"/>
      <c r="AV230" s="658" t="n"/>
      <c r="AW230" s="658" t="n"/>
      <c r="AX230" s="658" t="n"/>
    </row>
  </sheetData>
  <sheetProtection selectLockedCells="0" selectUnlockedCells="0" algorithmName="SHA-512" sheet="1" objects="0" insertRows="1" insertHyperlinks="1" autoFilter="1" scenarios="0" formatColumns="0" deleteColumns="1" insertColumns="1" pivotTables="1" deleteRows="1" formatCells="0" saltValue="GaXbKozhWU+qocy6g5SvAA==" formatRows="0" sort="1" spinCount="100000" hashValue="Sr10xNpXlyEYXti9FVoXLWNsP/Ql0rXBItfLKN8bCRYy6dVb2+zfQWcoIdOCB3NnrqihkbQef6fQQM/Emz7N2A=="/>
  <mergeCells count="198">
    <mergeCell ref="AL16:AN16"/>
    <mergeCell ref="AE173:AJ173"/>
    <mergeCell ref="X170:AC170"/>
    <mergeCell ref="AE42:AJ42"/>
    <mergeCell ref="E22:AJ22"/>
    <mergeCell ref="J126:AC126"/>
    <mergeCell ref="B22:C22"/>
    <mergeCell ref="AE52:AJ52"/>
    <mergeCell ref="AO81:AO84"/>
    <mergeCell ref="AL18:AN18"/>
    <mergeCell ref="AL130:AN130"/>
    <mergeCell ref="AG117:AJ117"/>
    <mergeCell ref="J127:AC127"/>
    <mergeCell ref="Y13:AJ13"/>
    <mergeCell ref="B113:E117"/>
    <mergeCell ref="J128:AJ128"/>
    <mergeCell ref="AE167:AJ167"/>
    <mergeCell ref="E64:AJ64"/>
    <mergeCell ref="AL132:AN132"/>
    <mergeCell ref="AE205:AJ205"/>
    <mergeCell ref="AE158:AJ158"/>
    <mergeCell ref="AE210:AJ210"/>
    <mergeCell ref="AL20:AN20"/>
    <mergeCell ref="AE191:AJ191"/>
    <mergeCell ref="I9:AB10"/>
    <mergeCell ref="AE80:AJ80"/>
    <mergeCell ref="AB166:AC166"/>
    <mergeCell ref="AP199:AQ199"/>
    <mergeCell ref="AL22:AN22"/>
    <mergeCell ref="J129:AJ129"/>
    <mergeCell ref="AE79:AJ79"/>
    <mergeCell ref="AE162:AJ162"/>
    <mergeCell ref="F226:O227"/>
    <mergeCell ref="Z166:AA166"/>
    <mergeCell ref="P38:Q39"/>
    <mergeCell ref="I123:AB123"/>
    <mergeCell ref="AL133:AN133"/>
    <mergeCell ref="B107:G112"/>
    <mergeCell ref="AL15:AN15"/>
    <mergeCell ref="AE72:AJ72"/>
    <mergeCell ref="AE177:AJ177"/>
    <mergeCell ref="X169:AC169"/>
    <mergeCell ref="AE94:AJ94"/>
    <mergeCell ref="AE81:AJ81"/>
    <mergeCell ref="AH122:AI123"/>
    <mergeCell ref="B64:C64"/>
    <mergeCell ref="AE164:AJ164"/>
    <mergeCell ref="AG114:AJ115"/>
    <mergeCell ref="Z167:AC167"/>
    <mergeCell ref="AP200:AQ200"/>
    <mergeCell ref="P40:Q41"/>
    <mergeCell ref="AE96:AJ96"/>
    <mergeCell ref="AL135:AN135"/>
    <mergeCell ref="AC119:AJ119"/>
    <mergeCell ref="AR193:AU193"/>
    <mergeCell ref="AE43:AJ43"/>
    <mergeCell ref="AE214:AJ214"/>
    <mergeCell ref="AR80:AU80"/>
    <mergeCell ref="AL134:AN134"/>
    <mergeCell ref="AE204:AJ204"/>
    <mergeCell ref="AD126:AJ126"/>
    <mergeCell ref="AE98:AJ98"/>
    <mergeCell ref="AC7:AJ7"/>
    <mergeCell ref="X53:AC53"/>
    <mergeCell ref="AP81:AQ84"/>
    <mergeCell ref="AD222:AJ223"/>
    <mergeCell ref="AE82:AJ82"/>
    <mergeCell ref="J110:AA111"/>
    <mergeCell ref="AC131:AJ131"/>
    <mergeCell ref="AP201:AQ201"/>
    <mergeCell ref="AD122:AG122"/>
    <mergeCell ref="B195:C195"/>
    <mergeCell ref="AE190:AJ190"/>
    <mergeCell ref="AE146:AJ146"/>
    <mergeCell ref="AD127:AJ127"/>
    <mergeCell ref="AE99:AJ99"/>
    <mergeCell ref="AE60:AJ60"/>
    <mergeCell ref="AL17:AN17"/>
    <mergeCell ref="AL126:AN126"/>
    <mergeCell ref="AC120:AJ121"/>
    <mergeCell ref="X171:AC171"/>
    <mergeCell ref="AE68:AJ68"/>
    <mergeCell ref="AL129:AN129"/>
    <mergeCell ref="Z114:AC115"/>
    <mergeCell ref="D150:M153"/>
    <mergeCell ref="AD123:AG123"/>
    <mergeCell ref="AE207:AJ207"/>
    <mergeCell ref="AL19:AN19"/>
    <mergeCell ref="E176:AJ176"/>
    <mergeCell ref="AC19:AJ19"/>
    <mergeCell ref="K228:AC228"/>
    <mergeCell ref="AP198:AQ198"/>
    <mergeCell ref="AE55:AJ55"/>
    <mergeCell ref="B219:G224"/>
    <mergeCell ref="B126:I131"/>
    <mergeCell ref="AE218:AJ218"/>
    <mergeCell ref="AE50:AJ50"/>
    <mergeCell ref="AG228:AJ228"/>
    <mergeCell ref="AE202:AJ202"/>
    <mergeCell ref="AE208:AJ208"/>
    <mergeCell ref="AE46:AJ46"/>
    <mergeCell ref="AE97:AJ97"/>
    <mergeCell ref="X165:AC165"/>
    <mergeCell ref="X57:AC57"/>
    <mergeCell ref="K229:AC229"/>
    <mergeCell ref="AE192:AJ192"/>
    <mergeCell ref="D119:G120"/>
    <mergeCell ref="E134:AJ134"/>
    <mergeCell ref="K117:AC117"/>
    <mergeCell ref="B134:C134"/>
    <mergeCell ref="AG229:AJ229"/>
    <mergeCell ref="AE194:AJ194"/>
    <mergeCell ref="AE203:AJ203"/>
    <mergeCell ref="Z54:AA54"/>
    <mergeCell ref="AP202:AQ202"/>
    <mergeCell ref="AG226:AJ227"/>
    <mergeCell ref="AB54:AC54"/>
    <mergeCell ref="I11:AB11"/>
    <mergeCell ref="B125:X125"/>
    <mergeCell ref="AL21:AN21"/>
    <mergeCell ref="K116:AC116"/>
    <mergeCell ref="B176:C176"/>
    <mergeCell ref="AD110:AJ111"/>
    <mergeCell ref="B120:C120"/>
    <mergeCell ref="T40:AC41"/>
    <mergeCell ref="AE155:AJ155"/>
    <mergeCell ref="AL23:AN23"/>
    <mergeCell ref="Z55:AC55"/>
    <mergeCell ref="AE65:AJ65"/>
    <mergeCell ref="AP194:AQ197"/>
    <mergeCell ref="AE34:AJ34"/>
    <mergeCell ref="AE148:AJ148"/>
    <mergeCell ref="AL131:AN131"/>
    <mergeCell ref="AD14:AJ14"/>
    <mergeCell ref="I119:AB120"/>
    <mergeCell ref="J19:S19"/>
    <mergeCell ref="X59:AC59"/>
    <mergeCell ref="T19:AB19"/>
    <mergeCell ref="AL128:AN128"/>
    <mergeCell ref="AE172:AJ172"/>
    <mergeCell ref="AE36:AJ36"/>
    <mergeCell ref="AE154:AJ154"/>
    <mergeCell ref="AE206:AJ206"/>
    <mergeCell ref="AD10:AG10"/>
    <mergeCell ref="B187:C187"/>
    <mergeCell ref="B83:C83"/>
    <mergeCell ref="AE91:AJ91"/>
    <mergeCell ref="AD15:AJ15"/>
    <mergeCell ref="AR194:AU197"/>
    <mergeCell ref="AC8:AJ9"/>
    <mergeCell ref="AE35:AJ35"/>
    <mergeCell ref="AE106:AJ106"/>
    <mergeCell ref="AE93:AJ93"/>
    <mergeCell ref="AE149:AJ149"/>
    <mergeCell ref="AG116:AJ116"/>
    <mergeCell ref="AE102:AJ102"/>
    <mergeCell ref="B225:E229"/>
    <mergeCell ref="AD11:AG11"/>
    <mergeCell ref="B75:C75"/>
    <mergeCell ref="D38:M41"/>
    <mergeCell ref="AE92:AJ92"/>
    <mergeCell ref="AO194:AO197"/>
    <mergeCell ref="AE180:AJ180"/>
    <mergeCell ref="AR38:AU41"/>
    <mergeCell ref="AE61:AJ61"/>
    <mergeCell ref="I121:AB122"/>
    <mergeCell ref="B14:I19"/>
    <mergeCell ref="J14:AC14"/>
    <mergeCell ref="AE209:AJ209"/>
    <mergeCell ref="AE78:AJ78"/>
    <mergeCell ref="F114:O115"/>
    <mergeCell ref="X58:AC58"/>
    <mergeCell ref="P150:Q151"/>
    <mergeCell ref="T152:AC153"/>
    <mergeCell ref="AL14:AN14"/>
    <mergeCell ref="AL127:AN127"/>
    <mergeCell ref="D7:G8"/>
    <mergeCell ref="J16:AJ16"/>
    <mergeCell ref="J15:AC15"/>
    <mergeCell ref="AE211:AJ211"/>
    <mergeCell ref="B8:C8"/>
    <mergeCell ref="T131:AB131"/>
    <mergeCell ref="AE37:AJ37"/>
    <mergeCell ref="P152:Q153"/>
    <mergeCell ref="AE95:AJ95"/>
    <mergeCell ref="J131:S131"/>
    <mergeCell ref="AE147:AJ147"/>
    <mergeCell ref="B13:X13"/>
    <mergeCell ref="J17:AJ17"/>
    <mergeCell ref="Z226:AC227"/>
    <mergeCell ref="Y125:AJ125"/>
    <mergeCell ref="AE90:AJ90"/>
    <mergeCell ref="J222:AA223"/>
    <mergeCell ref="AR150:AU153"/>
    <mergeCell ref="AE184:AJ184"/>
    <mergeCell ref="AH10:AI11"/>
    <mergeCell ref="I7:AB8"/>
    <mergeCell ref="AR81:AU84"/>
  </mergeCells>
  <conditionalFormatting sqref="B13 AE60:AJ61 AE65:AJ65 AE172:AJ173 AE177:AJ177">
    <cfRule type="expression" priority="78" dxfId="6">
      <formula>IF(NoColor,1,0)</formula>
    </cfRule>
  </conditionalFormatting>
  <conditionalFormatting sqref="B84">
    <cfRule type="expression" priority="561" dxfId="14">
      <formula>IF(AND(File_Marr_Sep&lt;&gt;"",#REF!=""),1,0)</formula>
    </cfRule>
  </conditionalFormatting>
  <conditionalFormatting sqref="B125">
    <cfRule type="expression" priority="173" dxfId="6">
      <formula>IF(NoColor,1,0)</formula>
    </cfRule>
  </conditionalFormatting>
  <conditionalFormatting sqref="B196">
    <cfRule type="expression" priority="169" dxfId="14">
      <formula>IF(AND(File_Marr_Sep&lt;&gt;"",#REF!=""),1,0)</formula>
    </cfRule>
  </conditionalFormatting>
  <conditionalFormatting sqref="D92">
    <cfRule type="expression" priority="185" dxfId="14">
      <formula>$AE$92&gt;$AE$91</formula>
    </cfRule>
  </conditionalFormatting>
  <conditionalFormatting sqref="D196">
    <cfRule type="expression" priority="168" dxfId="14">
      <formula>IF(AND(File_Marr_Sep&lt;&gt;"",#REF!=""),1,0)</formula>
    </cfRule>
  </conditionalFormatting>
  <conditionalFormatting sqref="D204">
    <cfRule type="expression" priority="88" dxfId="14">
      <formula>$AE$92&gt;$AE$91</formula>
    </cfRule>
  </conditionalFormatting>
  <conditionalFormatting sqref="F116">
    <cfRule type="expression" priority="512" dxfId="6">
      <formula>NoColor</formula>
    </cfRule>
  </conditionalFormatting>
  <conditionalFormatting sqref="F228">
    <cfRule type="expression" priority="159" dxfId="6">
      <formula>NoColor</formula>
    </cfRule>
  </conditionalFormatting>
  <conditionalFormatting sqref="F114:O115">
    <cfRule type="expression" priority="194" dxfId="6">
      <formula>NoColor</formula>
    </cfRule>
  </conditionalFormatting>
  <conditionalFormatting sqref="F226:O227">
    <cfRule type="expression" priority="97" dxfId="6">
      <formula>NoColor</formula>
    </cfRule>
  </conditionalFormatting>
  <conditionalFormatting sqref="H116:J116">
    <cfRule type="expression" priority="509" dxfId="6">
      <formula>NoColor</formula>
    </cfRule>
  </conditionalFormatting>
  <conditionalFormatting sqref="H228:J228">
    <cfRule type="expression" priority="156" dxfId="6">
      <formula>NoColor</formula>
    </cfRule>
  </conditionalFormatting>
  <conditionalFormatting sqref="I206">
    <cfRule type="expression" priority="21" dxfId="0">
      <formula>AND(AM205,NOT(NoColor))</formula>
    </cfRule>
  </conditionalFormatting>
  <conditionalFormatting sqref="J15:AJ15">
    <cfRule type="expression" priority="183" dxfId="6">
      <formula>NoColor</formula>
    </cfRule>
  </conditionalFormatting>
  <conditionalFormatting sqref="J17:AJ17">
    <cfRule type="expression" priority="182" dxfId="6">
      <formula>NoColor</formula>
    </cfRule>
  </conditionalFormatting>
  <conditionalFormatting sqref="J19:AJ19">
    <cfRule type="expression" priority="179" dxfId="6">
      <formula>NoColor</formula>
    </cfRule>
  </conditionalFormatting>
  <conditionalFormatting sqref="J127:AJ127">
    <cfRule type="expression" priority="86" dxfId="6">
      <formula>NoColor</formula>
    </cfRule>
  </conditionalFormatting>
  <conditionalFormatting sqref="J129:AJ129">
    <cfRule type="expression" priority="85" dxfId="6">
      <formula>NoColor</formula>
    </cfRule>
  </conditionalFormatting>
  <conditionalFormatting sqref="J131:AJ131">
    <cfRule type="expression" priority="82" dxfId="6">
      <formula>NoColor</formula>
    </cfRule>
  </conditionalFormatting>
  <conditionalFormatting sqref="K116:AC117">
    <cfRule type="expression" priority="190" dxfId="6">
      <formula>NoColor</formula>
    </cfRule>
  </conditionalFormatting>
  <conditionalFormatting sqref="K228:AC229">
    <cfRule type="expression" priority="93" dxfId="6">
      <formula>NoColor</formula>
    </cfRule>
  </conditionalFormatting>
  <conditionalFormatting sqref="O108">
    <cfRule type="expression" priority="521" dxfId="6">
      <formula>NoColor</formula>
    </cfRule>
  </conditionalFormatting>
  <conditionalFormatting sqref="O220">
    <cfRule type="expression" priority="167" dxfId="6">
      <formula>NoColor</formula>
    </cfRule>
  </conditionalFormatting>
  <conditionalFormatting sqref="P38:Q39">
    <cfRule type="expression" priority="20" dxfId="4">
      <formula>AND(AE37&lt;&gt;"",AL40="")</formula>
    </cfRule>
  </conditionalFormatting>
  <conditionalFormatting sqref="P40:Q41">
    <cfRule type="expression" priority="19" dxfId="4">
      <formula>AND(AE37&lt;&gt;"",AL40&lt;&gt;"")</formula>
    </cfRule>
  </conditionalFormatting>
  <conditionalFormatting sqref="P150:Q151">
    <cfRule type="expression" priority="17" dxfId="4">
      <formula>AND(AE149&lt;&gt;"",AL153="")</formula>
    </cfRule>
  </conditionalFormatting>
  <conditionalFormatting sqref="P152:Q153">
    <cfRule type="expression" priority="16" dxfId="4">
      <formula>AND(AE149&lt;&gt;"",AL153&lt;&gt;"")</formula>
    </cfRule>
  </conditionalFormatting>
  <conditionalFormatting sqref="R108">
    <cfRule type="expression" priority="520" dxfId="6">
      <formula>NoColor</formula>
    </cfRule>
  </conditionalFormatting>
  <conditionalFormatting sqref="R203">
    <cfRule type="expression" priority="90" dxfId="14">
      <formula>$AE$92&gt;$AE$91</formula>
    </cfRule>
  </conditionalFormatting>
  <conditionalFormatting sqref="R220">
    <cfRule type="expression" priority="166" dxfId="6">
      <formula>NoColor</formula>
    </cfRule>
  </conditionalFormatting>
  <conditionalFormatting sqref="R91:S91">
    <cfRule type="expression" priority="187" dxfId="14">
      <formula>$AE$92&gt;$AE$91</formula>
    </cfRule>
  </conditionalFormatting>
  <conditionalFormatting sqref="T39">
    <cfRule type="expression" priority="18" dxfId="1062">
      <formula>AND(AE37&lt;&gt;"",AL40="")</formula>
    </cfRule>
  </conditionalFormatting>
  <conditionalFormatting sqref="T151">
    <cfRule type="expression" priority="14" dxfId="1062">
      <formula>AND(AE149&lt;&gt;"",AL153="")</formula>
    </cfRule>
  </conditionalFormatting>
  <conditionalFormatting sqref="X203">
    <cfRule type="expression" priority="89" dxfId="14">
      <formula>$AE$92&gt;$AE$91</formula>
    </cfRule>
  </conditionalFormatting>
  <conditionalFormatting sqref="X55:Y55">
    <cfRule type="expression" priority="188" dxfId="6">
      <formula>IF(NoColor,1,0)</formula>
    </cfRule>
  </conditionalFormatting>
  <conditionalFormatting sqref="X91:Y91">
    <cfRule type="expression" priority="186" dxfId="14">
      <formula>$AE$92&gt;$AE$91</formula>
    </cfRule>
  </conditionalFormatting>
  <conditionalFormatting sqref="X167:Y167">
    <cfRule type="expression" priority="91" dxfId="6">
      <formula>IF(NoColor,1,0)</formula>
    </cfRule>
  </conditionalFormatting>
  <conditionalFormatting sqref="X53:AC53">
    <cfRule type="expression" priority="236" dxfId="6">
      <formula>IF(NoColor,1,0)</formula>
    </cfRule>
  </conditionalFormatting>
  <conditionalFormatting sqref="X57:AC57">
    <cfRule type="expression" priority="232" dxfId="6">
      <formula>IF(NoColor,1,0)</formula>
    </cfRule>
  </conditionalFormatting>
  <conditionalFormatting sqref="X59:AC59">
    <cfRule type="expression" priority="230" dxfId="6">
      <formula>IF(NoColor,1,0)</formula>
    </cfRule>
  </conditionalFormatting>
  <conditionalFormatting sqref="X165:AC165">
    <cfRule type="expression" priority="2" dxfId="6">
      <formula>IF(NoColor,1,0)</formula>
    </cfRule>
  </conditionalFormatting>
  <conditionalFormatting sqref="X169:AC169">
    <cfRule type="expression" priority="135" dxfId="6">
      <formula>IF(NoColor,1,0)</formula>
    </cfRule>
  </conditionalFormatting>
  <conditionalFormatting sqref="X171:AC171">
    <cfRule type="expression" priority="1" dxfId="6">
      <formula>IF(NoColor,1,0)</formula>
    </cfRule>
  </conditionalFormatting>
  <conditionalFormatting sqref="Y13">
    <cfRule type="expression" priority="75" dxfId="6">
      <formula>IF(NoColor,1,0)</formula>
    </cfRule>
  </conditionalFormatting>
  <conditionalFormatting sqref="Y125">
    <cfRule type="expression" priority="76" dxfId="6">
      <formula>IF(NoColor,1,0)</formula>
    </cfRule>
  </conditionalFormatting>
  <conditionalFormatting sqref="Z55:AC55">
    <cfRule type="expression" priority="176" dxfId="6">
      <formula>NoColor</formula>
    </cfRule>
  </conditionalFormatting>
  <conditionalFormatting sqref="Z114:AC115">
    <cfRule type="expression" priority="193" dxfId="6">
      <formula>NoColor</formula>
    </cfRule>
  </conditionalFormatting>
  <conditionalFormatting sqref="Z167:AC167">
    <cfRule type="expression" priority="79" dxfId="6">
      <formula>NoColor</formula>
    </cfRule>
  </conditionalFormatting>
  <conditionalFormatting sqref="Z226:AC227">
    <cfRule type="expression" priority="96" dxfId="6">
      <formula>NoColor</formula>
    </cfRule>
  </conditionalFormatting>
  <conditionalFormatting sqref="AD116:AE116">
    <cfRule type="expression" priority="195" dxfId="6">
      <formula>NoColor</formula>
    </cfRule>
  </conditionalFormatting>
  <conditionalFormatting sqref="AD228:AE228">
    <cfRule type="expression" priority="98" dxfId="6">
      <formula>NoColor</formula>
    </cfRule>
  </conditionalFormatting>
  <conditionalFormatting sqref="AD110:AJ111">
    <cfRule type="expression" priority="26" dxfId="6">
      <formula>NoColor</formula>
    </cfRule>
  </conditionalFormatting>
  <conditionalFormatting sqref="AD222:AJ223">
    <cfRule type="expression" priority="25" dxfId="6">
      <formula>NoColor</formula>
    </cfRule>
  </conditionalFormatting>
  <conditionalFormatting sqref="AE114">
    <cfRule type="expression" priority="191" dxfId="6">
      <formula>NoColor</formula>
    </cfRule>
  </conditionalFormatting>
  <conditionalFormatting sqref="AE226">
    <cfRule type="expression" priority="94" dxfId="6">
      <formula>NoColor</formula>
    </cfRule>
  </conditionalFormatting>
  <conditionalFormatting sqref="AE35:AJ37">
    <cfRule type="expression" priority="246" dxfId="6">
      <formula>IF(NoColor,1,0)</formula>
    </cfRule>
  </conditionalFormatting>
  <conditionalFormatting sqref="AE42:AJ43">
    <cfRule type="expression" priority="240" dxfId="6">
      <formula>IF(NoColor,1,0)</formula>
    </cfRule>
  </conditionalFormatting>
  <conditionalFormatting sqref="AE46:AJ46">
    <cfRule type="expression" priority="31" dxfId="6">
      <formula>IF(NoColor,1,0)</formula>
    </cfRule>
  </conditionalFormatting>
  <conditionalFormatting sqref="AE50:AJ50">
    <cfRule type="expression" priority="238" dxfId="6">
      <formula>IF(NoColor,1,0)</formula>
    </cfRule>
  </conditionalFormatting>
  <conditionalFormatting sqref="AE52:AJ52">
    <cfRule type="expression" priority="234" dxfId="6">
      <formula>IF(NoColor,1,0)</formula>
    </cfRule>
  </conditionalFormatting>
  <conditionalFormatting sqref="AE68:AJ68">
    <cfRule type="expression" priority="222" dxfId="6">
      <formula>IF(NoColor,1,0)</formula>
    </cfRule>
  </conditionalFormatting>
  <conditionalFormatting sqref="AE72:AJ72">
    <cfRule type="expression" priority="220" dxfId="6">
      <formula>IF(NoColor,1,0)</formula>
    </cfRule>
  </conditionalFormatting>
  <conditionalFormatting sqref="AE78:AJ78">
    <cfRule type="expression" priority="218" dxfId="6">
      <formula>IF(NoColor,1,0)</formula>
    </cfRule>
  </conditionalFormatting>
  <conditionalFormatting sqref="AE80:AJ80">
    <cfRule type="expression" priority="216" dxfId="6">
      <formula>IF(NoColor,1,0)</formula>
    </cfRule>
  </conditionalFormatting>
  <conditionalFormatting sqref="AE82:AJ82">
    <cfRule type="expression" priority="214" dxfId="6">
      <formula>IF(NoColor,1,0)</formula>
    </cfRule>
  </conditionalFormatting>
  <conditionalFormatting sqref="AE90:AJ90">
    <cfRule type="expression" priority="212" dxfId="6">
      <formula>IF(NoColor,1,0)</formula>
    </cfRule>
  </conditionalFormatting>
  <conditionalFormatting sqref="AE92:AJ94">
    <cfRule type="expression" priority="206" dxfId="6">
      <formula>IF(NoColor,1,0)</formula>
    </cfRule>
  </conditionalFormatting>
  <conditionalFormatting sqref="AE96:AJ96">
    <cfRule type="expression" priority="204" dxfId="6">
      <formula>IF(NoColor,1,0)</formula>
    </cfRule>
  </conditionalFormatting>
  <conditionalFormatting sqref="AE98:AJ99">
    <cfRule type="expression" priority="200" dxfId="6">
      <formula>IF(NoColor,1,0)</formula>
    </cfRule>
  </conditionalFormatting>
  <conditionalFormatting sqref="AE102:AJ102">
    <cfRule type="expression" priority="198" dxfId="6">
      <formula>IF(NoColor,1,0)</formula>
    </cfRule>
  </conditionalFormatting>
  <conditionalFormatting sqref="AE106:AJ106">
    <cfRule type="expression" priority="196" dxfId="6">
      <formula>IF(NoColor,1,0)</formula>
    </cfRule>
  </conditionalFormatting>
  <conditionalFormatting sqref="AE147:AJ149">
    <cfRule type="expression" priority="149" dxfId="6">
      <formula>IF(NoColor,1,0)</formula>
    </cfRule>
  </conditionalFormatting>
  <conditionalFormatting sqref="AE154:AJ155">
    <cfRule type="expression" priority="37" dxfId="6">
      <formula>IF(NoColor,1,0)</formula>
    </cfRule>
  </conditionalFormatting>
  <conditionalFormatting sqref="AE158:AJ158">
    <cfRule type="expression" priority="13" dxfId="6">
      <formula>IF(NoColor,1,0)</formula>
    </cfRule>
  </conditionalFormatting>
  <conditionalFormatting sqref="AE162:AJ162">
    <cfRule type="expression" priority="12" dxfId="6">
      <formula>IF(NoColor,1,0)</formula>
    </cfRule>
  </conditionalFormatting>
  <conditionalFormatting sqref="AE164:AJ164">
    <cfRule type="expression" priority="11" dxfId="6">
      <formula>IF(NoColor,1,0)</formula>
    </cfRule>
  </conditionalFormatting>
  <conditionalFormatting sqref="AE180:AJ180">
    <cfRule type="expression" priority="125" dxfId="6">
      <formula>IF(NoColor,1,0)</formula>
    </cfRule>
  </conditionalFormatting>
  <conditionalFormatting sqref="AE184:AJ184">
    <cfRule type="expression" priority="123" dxfId="6">
      <formula>IF(NoColor,1,0)</formula>
    </cfRule>
  </conditionalFormatting>
  <conditionalFormatting sqref="AE190:AJ190">
    <cfRule type="expression" priority="65" dxfId="6">
      <formula>IF(NoColor,1,0)</formula>
    </cfRule>
  </conditionalFormatting>
  <conditionalFormatting sqref="AE192:AJ192">
    <cfRule type="expression" priority="27" dxfId="6">
      <formula>IF(NoColor,1,0)</formula>
    </cfRule>
  </conditionalFormatting>
  <conditionalFormatting sqref="AE194:AJ194">
    <cfRule type="expression" priority="23" dxfId="6">
      <formula>IF(NoColor,1,0)</formula>
    </cfRule>
  </conditionalFormatting>
  <conditionalFormatting sqref="AE202:AJ202">
    <cfRule type="expression" priority="115" dxfId="6">
      <formula>IF(NoColor,1,0)</formula>
    </cfRule>
  </conditionalFormatting>
  <conditionalFormatting sqref="AE204:AJ206">
    <cfRule type="expression" priority="109" dxfId="6">
      <formula>IF(NoColor,1,0)</formula>
    </cfRule>
  </conditionalFormatting>
  <conditionalFormatting sqref="AE208:AJ208">
    <cfRule type="expression" priority="107" dxfId="6">
      <formula>IF(NoColor,1,0)</formula>
    </cfRule>
  </conditionalFormatting>
  <conditionalFormatting sqref="AE210:AJ211">
    <cfRule type="expression" priority="103" dxfId="6">
      <formula>IF(NoColor,1,0)</formula>
    </cfRule>
  </conditionalFormatting>
  <conditionalFormatting sqref="AE214:AJ214">
    <cfRule type="expression" priority="101" dxfId="6">
      <formula>IF(NoColor,1,0)</formula>
    </cfRule>
  </conditionalFormatting>
  <conditionalFormatting sqref="AE218:AJ218">
    <cfRule type="expression" priority="99" dxfId="6">
      <formula>IF(NoColor,1,0)</formula>
    </cfRule>
  </conditionalFormatting>
  <conditionalFormatting sqref="AF108">
    <cfRule type="expression" priority="517" dxfId="6">
      <formula>NoColor</formula>
    </cfRule>
  </conditionalFormatting>
  <conditionalFormatting sqref="AF220">
    <cfRule type="expression" priority="163" dxfId="6">
      <formula>NoColor</formula>
    </cfRule>
  </conditionalFormatting>
  <conditionalFormatting sqref="AG114:AJ117">
    <cfRule type="expression" priority="189" dxfId="6">
      <formula>NoColor</formula>
    </cfRule>
  </conditionalFormatting>
  <conditionalFormatting sqref="AG226:AJ229">
    <cfRule type="expression" priority="92" dxfId="6">
      <formula>NoColor</formula>
    </cfRule>
  </conditionalFormatting>
  <conditionalFormatting sqref="AI108">
    <cfRule type="expression" priority="516" dxfId="6">
      <formula>NoColor</formula>
    </cfRule>
  </conditionalFormatting>
  <conditionalFormatting sqref="AI220">
    <cfRule type="expression" priority="162" dxfId="6">
      <formula>NoColor</formula>
    </cfRule>
  </conditionalFormatting>
  <conditionalFormatting sqref="AL37">
    <cfRule type="expression" priority="48" dxfId="996">
      <formula>AND(AL37="",OR(AL41&lt;&gt;"",(AM39)))</formula>
    </cfRule>
  </conditionalFormatting>
  <conditionalFormatting sqref="AL38">
    <cfRule type="expression" priority="50" dxfId="6">
      <formula>NoColor</formula>
    </cfRule>
  </conditionalFormatting>
  <conditionalFormatting sqref="AL40">
    <cfRule type="expression" priority="49" dxfId="6">
      <formula>NoColor</formula>
    </cfRule>
  </conditionalFormatting>
  <conditionalFormatting sqref="AL41">
    <cfRule type="expression" priority="47" dxfId="993">
      <formula>OR(AL37&lt;&gt;"",AND(AL41="",NOT(AM39)))</formula>
    </cfRule>
  </conditionalFormatting>
  <conditionalFormatting sqref="AL74">
    <cfRule type="expression" priority="62" dxfId="4">
      <formula>$AM$73</formula>
    </cfRule>
  </conditionalFormatting>
  <conditionalFormatting sqref="AL149">
    <cfRule type="expression" priority="44" dxfId="996">
      <formula>AND(AL149="",OR(AL153&lt;&gt;"",(AM151)))</formula>
    </cfRule>
  </conditionalFormatting>
  <conditionalFormatting sqref="AL150">
    <cfRule type="expression" priority="46" dxfId="6">
      <formula>NoColor</formula>
    </cfRule>
  </conditionalFormatting>
  <conditionalFormatting sqref="AL152">
    <cfRule type="expression" priority="45" dxfId="6">
      <formula>NoColor</formula>
    </cfRule>
  </conditionalFormatting>
  <conditionalFormatting sqref="AL153">
    <cfRule type="expression" priority="43" dxfId="993">
      <formula>OR(AL149&lt;&gt;"",AND(AL153="",NOT(AM151)))</formula>
    </cfRule>
  </conditionalFormatting>
  <conditionalFormatting sqref="AL186">
    <cfRule type="expression" priority="56" dxfId="4">
      <formula>$AM$185</formula>
    </cfRule>
  </conditionalFormatting>
  <conditionalFormatting sqref="AL198:AM199">
    <cfRule type="expression" priority="174" dxfId="41">
      <formula>IF(AND(File_Marr_Sep&lt;&gt;"",#REF!&lt;&gt;""),TRUE,FALSE)</formula>
    </cfRule>
    <cfRule type="expression" priority="175" dxfId="158">
      <formula>OR(File_Marr_Sep&lt;&gt;"",AND(File_Marr_Sep="",AI198&lt;&gt;""))</formula>
    </cfRule>
  </conditionalFormatting>
  <conditionalFormatting sqref="AM74">
    <cfRule type="expression" priority="60" dxfId="14">
      <formula>AND($AM$73,$AL$74="")</formula>
    </cfRule>
  </conditionalFormatting>
  <conditionalFormatting sqref="AM186">
    <cfRule type="expression" priority="55" dxfId="14">
      <formula>AND($AM$185,$AL$186="")</formula>
    </cfRule>
  </conditionalFormatting>
  <conditionalFormatting sqref="AO77:AU79 AO80:AR80 AO81:AU89">
    <cfRule type="expression" priority="5" dxfId="135">
      <formula>$AM$35</formula>
    </cfRule>
  </conditionalFormatting>
  <conditionalFormatting sqref="AO190:AU192 AO193:AR193 AO194:AU197 AO198:AP202 AR198:AU202">
    <cfRule type="expression" priority="4" dxfId="135">
      <formula>$AM$147</formula>
    </cfRule>
  </conditionalFormatting>
  <conditionalFormatting sqref="AP198:AQ202">
    <cfRule type="expression" priority="3" dxfId="4">
      <formula>$AM$147</formula>
    </cfRule>
  </conditionalFormatting>
  <pageMargins left="0.75" right="0.25" top="0.36" bottom="0.29" header="0.36" footer="0.21"/>
  <pageSetup orientation="portrait" scale="68" fitToHeight="0"/>
  <rowBreaks count="3" manualBreakCount="3">
    <brk id="62" min="1" max="35" man="1"/>
    <brk id="118" min="1" max="35" man="1"/>
    <brk id="174" min="1" max="35" man="1"/>
  </rowBreaks>
</worksheet>
</file>

<file path=xl/worksheets/sheet49.xml><?xml version="1.0" encoding="utf-8"?>
<worksheet xmlns="http://schemas.openxmlformats.org/spreadsheetml/2006/main">
  <sheetPr>
    <outlinePr summaryBelow="1" summaryRight="1"/>
    <pageSetUpPr fitToPage="1"/>
  </sheetPr>
  <dimension ref="A1:BC258"/>
  <sheetViews>
    <sheetView zoomScaleNormal="100" zoomScaleSheetLayoutView="100" workbookViewId="0">
      <selection activeCell="A1" sqref="A1"/>
    </sheetView>
  </sheetViews>
  <sheetFormatPr baseColWidth="8" defaultColWidth="9.140625" defaultRowHeight="12.75"/>
  <cols>
    <col width="2.7109375" customWidth="1" style="7635" min="1" max="1"/>
    <col width="3" customWidth="1" style="7635" min="2" max="2"/>
    <col width="5.85546875" customWidth="1" style="7453" min="3" max="3"/>
    <col width="3.7109375" customWidth="1" style="7635" min="4" max="6"/>
    <col width="5.140625" customWidth="1" style="7635" min="7" max="7"/>
    <col width="2.7109375" customWidth="1" style="7635" min="8" max="8"/>
    <col width="3.7109375" customWidth="1" style="7635" min="9" max="9"/>
    <col width="5" customWidth="1" style="7635" min="10" max="10"/>
    <col width="4.42578125" customWidth="1" style="7635" min="11" max="11"/>
    <col width="5.5703125" customWidth="1" style="7635" min="12" max="12"/>
    <col width="4.42578125" customWidth="1" style="7635" min="13" max="13"/>
    <col width="5" customWidth="1" style="7635" min="14" max="14"/>
    <col width="3.7109375" customWidth="1" style="7635" min="15" max="15"/>
    <col width="4.85546875" customWidth="1" style="7635" min="16" max="16"/>
    <col width="4.28515625" customWidth="1" style="7635" min="17" max="17"/>
    <col width="3.42578125" customWidth="1" style="7635" min="18" max="19"/>
    <col width="3.7109375" customWidth="1" style="7635" min="20" max="21"/>
    <col width="4.42578125" customWidth="1" style="7635" min="22" max="23"/>
    <col width="3.5703125" customWidth="1" style="7635" min="24" max="25"/>
    <col width="2.85546875" customWidth="1" style="7635" min="26" max="26"/>
    <col width="3.5703125" customWidth="1" style="7635" min="27" max="27"/>
    <col width="4" customWidth="1" style="7635" min="28" max="28"/>
    <col width="3.5703125" customWidth="1" style="7635" min="29" max="29"/>
    <col width="4.7109375" customWidth="1" style="7635" min="30" max="30"/>
    <col width="3" customWidth="1" style="7635" min="31" max="36"/>
    <col width="4.42578125" customWidth="1" style="7635" min="37" max="37"/>
    <col width="2.85546875" customWidth="1" style="7635" min="38" max="38"/>
    <col width="14" customWidth="1" style="7635" min="39" max="39"/>
    <col width="13.5703125" customWidth="1" style="7635" min="40" max="40"/>
    <col width="31" customWidth="1" style="7635" min="41" max="41"/>
    <col width="3.85546875" customWidth="1" style="7635" min="42" max="42"/>
    <col hidden="1" width="17.42578125" customWidth="1" style="7635" min="43" max="43"/>
    <col width="10.7109375" customWidth="1" style="658" min="44" max="52"/>
    <col width="4.140625" customWidth="1" style="658" min="53" max="53"/>
    <col width="10" customWidth="1" style="7635" min="56" max="56"/>
    <col width="9.140625" customWidth="1" style="7635" min="61" max="61"/>
  </cols>
  <sheetData>
    <row r="1" ht="11.25" customFormat="1" customHeight="1" s="815">
      <c r="A1" s="2013" t="n"/>
      <c r="B1" s="2013" t="n"/>
      <c r="C1" s="2013" t="n"/>
      <c r="D1" s="2013" t="n"/>
      <c r="E1" s="2013" t="n"/>
      <c r="F1" s="2013" t="n"/>
      <c r="G1" s="2013" t="n"/>
      <c r="H1" s="2013" t="n"/>
      <c r="I1" s="2013" t="n"/>
      <c r="J1" s="2013" t="n"/>
      <c r="K1" s="4468" t="n"/>
      <c r="L1" s="2013" t="n"/>
      <c r="M1" s="2013" t="n"/>
      <c r="N1" s="2013" t="n"/>
      <c r="O1" s="5720"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602" t="n"/>
      <c r="AM1" s="11602" t="n"/>
      <c r="AN1" s="11602" t="n"/>
      <c r="AO1" s="2013" t="n"/>
      <c r="AP1" s="11602" t="n"/>
      <c r="AQ1" s="11602" t="n"/>
      <c r="AR1" s="658" t="n"/>
      <c r="AS1" s="658" t="n"/>
      <c r="AT1" s="658" t="n"/>
      <c r="AU1" s="658" t="n"/>
      <c r="AV1" s="658" t="n"/>
      <c r="AW1" s="658" t="n"/>
      <c r="AX1" s="658" t="n"/>
      <c r="AY1" s="658" t="n"/>
      <c r="AZ1" s="658" t="n"/>
      <c r="BA1" s="658" t="n"/>
    </row>
    <row r="2" ht="23.25" customFormat="1" customHeight="1" s="815">
      <c r="A2" s="2013" t="n"/>
      <c r="B2" s="2013" t="n"/>
      <c r="C2" s="5750">
        <f>"Input amounts from your "&amp;LastYear&amp;" tax return."</f>
        <v/>
      </c>
      <c r="D2" s="2013" t="n"/>
      <c r="E2" s="2013" t="n"/>
      <c r="F2" s="2013" t="n"/>
      <c r="G2" s="2013" t="n"/>
      <c r="H2" s="2013" t="n"/>
      <c r="I2" s="2013" t="n"/>
      <c r="J2" s="2013" t="n"/>
      <c r="K2" s="4468" t="n"/>
      <c r="L2" s="2013" t="n"/>
      <c r="M2" s="2013" t="n"/>
      <c r="N2" s="2013" t="n"/>
      <c r="O2" s="2013" t="n"/>
      <c r="P2" s="2013" t="n"/>
      <c r="Q2" s="2013" t="n"/>
      <c r="R2" s="2013" t="n"/>
      <c r="S2" s="2013" t="n"/>
      <c r="T2" s="2013" t="n"/>
      <c r="U2" s="2013" t="n"/>
      <c r="V2" s="2013" t="n"/>
      <c r="W2" s="2013" t="n"/>
      <c r="X2" s="5720">
        <f>IF('Table of Contents'!A54="D","DRAFT FORM","")</f>
        <v/>
      </c>
      <c r="Y2" s="2013" t="n"/>
      <c r="Z2" s="2013" t="n"/>
      <c r="AA2" s="2013" t="n"/>
      <c r="AB2" s="2013" t="n"/>
      <c r="AC2" s="2013" t="n"/>
      <c r="AD2" s="2013" t="n"/>
      <c r="AE2" s="2013" t="n"/>
      <c r="AF2" s="2013" t="n"/>
      <c r="AG2" s="2013" t="n"/>
      <c r="AH2" s="2013" t="n"/>
      <c r="AI2" s="2013" t="n"/>
      <c r="AJ2" s="2013" t="n"/>
      <c r="AK2" s="2013" t="n"/>
      <c r="AL2" s="11602" t="n"/>
      <c r="AM2" s="11602" t="n"/>
      <c r="AN2" s="11602" t="n"/>
      <c r="AO2" s="2013" t="n"/>
      <c r="AP2" s="11602" t="n"/>
      <c r="AQ2" s="11602" t="n"/>
      <c r="AR2" s="658" t="n"/>
      <c r="AS2" s="658" t="n"/>
      <c r="AT2" s="658" t="n"/>
      <c r="AU2" s="658" t="n"/>
      <c r="AV2" s="658" t="n"/>
      <c r="AW2" s="658" t="n"/>
      <c r="AX2" s="658" t="n"/>
      <c r="AY2" s="658" t="n"/>
      <c r="AZ2" s="658" t="n"/>
      <c r="BA2" s="658" t="n"/>
    </row>
    <row r="3" ht="12.75" customFormat="1" customHeight="1" s="815">
      <c r="A3" s="2013" t="n"/>
      <c r="B3" s="2013" t="n"/>
      <c r="C3" s="2013" t="n"/>
      <c r="D3" s="2013" t="n"/>
      <c r="E3" s="2013" t="n"/>
      <c r="F3" s="2013" t="n"/>
      <c r="G3" s="2013" t="n"/>
      <c r="H3" s="2013" t="n"/>
      <c r="I3" s="2013" t="n"/>
      <c r="J3" s="2013" t="n"/>
      <c r="K3" s="4468" t="n"/>
      <c r="L3" s="2013" t="n"/>
      <c r="M3" s="2013" t="n"/>
      <c r="N3" s="2013" t="n"/>
      <c r="O3" s="5720" t="n"/>
      <c r="P3" s="2013" t="n"/>
      <c r="Q3" s="2013" t="n"/>
      <c r="R3" s="2013" t="n"/>
      <c r="S3" s="2013" t="n"/>
      <c r="T3" s="2013" t="n"/>
      <c r="U3" s="2013" t="n"/>
      <c r="V3" s="2013" t="n"/>
      <c r="W3" s="2013" t="n"/>
      <c r="X3" s="2013" t="n"/>
      <c r="Y3" s="2013" t="n"/>
      <c r="Z3" s="2013" t="n"/>
      <c r="AA3" s="2013" t="n"/>
      <c r="AB3" s="2013" t="n"/>
      <c r="AC3" s="2013" t="n"/>
      <c r="AD3" s="2013" t="n"/>
      <c r="AE3" s="2013" t="n"/>
      <c r="AF3" s="2013" t="n"/>
      <c r="AG3" s="2013" t="n"/>
      <c r="AH3" s="2013" t="n"/>
      <c r="AI3" s="2013" t="n"/>
      <c r="AJ3" s="2013" t="n"/>
      <c r="AK3" s="2013" t="n"/>
      <c r="AL3" s="11602" t="n"/>
      <c r="AM3" s="11602" t="n"/>
      <c r="AN3" s="11602" t="n"/>
      <c r="AO3" s="2013" t="n"/>
      <c r="AP3" s="11602" t="n"/>
      <c r="AQ3" s="11602" t="n"/>
      <c r="AR3" s="658" t="n"/>
      <c r="AS3" s="658" t="n"/>
      <c r="AT3" s="658" t="n"/>
      <c r="AU3" s="658" t="n"/>
      <c r="AV3" s="658" t="n"/>
      <c r="AW3" s="658" t="n"/>
      <c r="AX3" s="658" t="n"/>
      <c r="AY3" s="658" t="n"/>
      <c r="AZ3" s="658" t="n"/>
      <c r="BA3" s="658" t="n"/>
    </row>
    <row r="4" ht="16.5" customFormat="1" customHeight="1" s="815">
      <c r="A4" s="2013" t="n"/>
      <c r="B4" s="5744">
        <f>"Form 6251, Alternative Minimum Tax ("&amp;LastYear&amp;")"</f>
        <v/>
      </c>
      <c r="C4" s="2013" t="n"/>
      <c r="D4" s="2013" t="n"/>
      <c r="E4" s="2013" t="n"/>
      <c r="F4" s="2013" t="n"/>
      <c r="G4" s="2013" t="n"/>
      <c r="H4" s="2013" t="n"/>
      <c r="I4" s="2013" t="n"/>
      <c r="J4" s="2013" t="n"/>
      <c r="K4" s="4468" t="n"/>
      <c r="L4" s="2013" t="n"/>
      <c r="M4" s="2013" t="n"/>
      <c r="N4" s="5748" t="n"/>
      <c r="O4" s="5720" t="n"/>
      <c r="P4" s="2013" t="n"/>
      <c r="Q4" s="2013" t="n"/>
      <c r="R4" s="2013" t="n"/>
      <c r="S4" s="2013" t="n"/>
      <c r="T4" s="2013" t="n"/>
      <c r="U4" s="2013" t="n"/>
      <c r="V4" s="2013" t="n"/>
      <c r="W4" s="2013" t="n"/>
      <c r="X4" s="2013" t="n"/>
      <c r="Y4" s="2013" t="n"/>
      <c r="Z4" s="2013" t="n"/>
      <c r="AA4" s="2013" t="n"/>
      <c r="AB4" s="2013" t="n"/>
      <c r="AC4" s="2013" t="n"/>
      <c r="AD4" s="2013" t="n"/>
      <c r="AE4" s="2013" t="n"/>
      <c r="AF4" s="2013" t="n"/>
      <c r="AG4" s="2013" t="n"/>
      <c r="AH4" s="2013" t="n"/>
      <c r="AI4" s="2013" t="n"/>
      <c r="AJ4" s="2013" t="n"/>
      <c r="AK4" s="2013" t="n"/>
      <c r="AL4" s="11602" t="n"/>
      <c r="AM4" s="514" t="inlineStr">
        <is>
          <t>Where used:</t>
        </is>
      </c>
      <c r="AN4" s="11602" t="n"/>
      <c r="AO4" s="2013" t="n"/>
      <c r="AP4" s="11602" t="n"/>
      <c r="AQ4" s="11602" t="n"/>
      <c r="AR4" s="658" t="n"/>
      <c r="AS4" s="658" t="n"/>
      <c r="AT4" s="658" t="n"/>
      <c r="AU4" s="658" t="n"/>
      <c r="AV4" s="658" t="n"/>
      <c r="AW4" s="658" t="n"/>
      <c r="AX4" s="658" t="n"/>
      <c r="AY4" s="658" t="n"/>
      <c r="AZ4" s="658" t="n"/>
      <c r="BA4" s="658" t="n"/>
    </row>
    <row r="5" ht="14.25" customFormat="1" customHeight="1" s="815">
      <c r="A5" s="2013" t="n"/>
      <c r="B5" s="2771" t="n"/>
      <c r="C5" s="5759" t="n">
        <v>1</v>
      </c>
      <c r="D5" s="2769" t="inlineStr">
        <is>
          <t>Enter the amount from Form 1040, line 15, if more than zero. If Form 1040, line 15,</t>
        </is>
      </c>
      <c r="E5" s="2770" t="n"/>
      <c r="F5" s="11262" t="n"/>
      <c r="G5" s="11262" t="n"/>
      <c r="H5" s="2771" t="n"/>
      <c r="I5" s="2771" t="n"/>
      <c r="J5" s="2771" t="n"/>
      <c r="K5" s="2771" t="n"/>
      <c r="L5" s="2771" t="n"/>
      <c r="M5" s="2771" t="n"/>
      <c r="N5" s="2771" t="n"/>
      <c r="O5" s="2771" t="n"/>
      <c r="P5" s="2771" t="n"/>
      <c r="Q5" s="2771" t="n"/>
      <c r="R5" s="2771" t="n"/>
      <c r="S5" s="2771" t="n"/>
      <c r="T5" s="2771" t="n"/>
      <c r="U5" s="2771" t="n"/>
      <c r="V5" s="2771" t="n"/>
      <c r="W5" s="2771" t="n"/>
      <c r="X5" s="2771" t="n"/>
      <c r="Y5" s="2771" t="n"/>
      <c r="Z5" s="2771" t="n"/>
      <c r="AA5" s="2771" t="n"/>
      <c r="AB5" s="2771" t="n"/>
      <c r="AC5" s="2921" t="n"/>
      <c r="AD5" s="7636" t="n"/>
      <c r="AE5" s="12452" t="n"/>
      <c r="AK5" s="2013" t="n"/>
      <c r="AL5" s="11602" t="n"/>
      <c r="AM5" s="11602" t="n"/>
      <c r="AN5" s="11602" t="n"/>
      <c r="AO5" s="2013" t="n"/>
      <c r="AP5" s="11602" t="n"/>
      <c r="AQ5" s="11602" t="n"/>
      <c r="AR5" s="658" t="n"/>
      <c r="AS5" s="658" t="n"/>
      <c r="AT5" s="658" t="n"/>
      <c r="AU5" s="658" t="n"/>
      <c r="AV5" s="658" t="n"/>
      <c r="AW5" s="658" t="n"/>
      <c r="AX5" s="658" t="n"/>
      <c r="AY5" s="658" t="n"/>
      <c r="AZ5" s="658" t="n"/>
      <c r="BA5" s="658" t="n"/>
    </row>
    <row r="6" ht="14.25" customFormat="1" customHeight="1" s="815">
      <c r="A6" s="2013" t="n"/>
      <c r="B6" s="2771" t="n"/>
      <c r="C6" s="5760" t="n"/>
      <c r="D6" s="2769" t="inlineStr">
        <is>
          <t>is zero, subtract lines 12 and 13 of Form 1040 from line 11 of Form 1040 and enter the result</t>
        </is>
      </c>
      <c r="E6" s="2770" t="n"/>
      <c r="F6" s="11262" t="n"/>
      <c r="G6" s="11262" t="n"/>
      <c r="H6" s="2771" t="n"/>
      <c r="I6" s="2771" t="n"/>
      <c r="J6" s="2771" t="n"/>
      <c r="K6" s="2771" t="n"/>
      <c r="L6" s="2771" t="n"/>
      <c r="M6" s="2771" t="n"/>
      <c r="N6" s="2771" t="n"/>
      <c r="O6" s="2771" t="n"/>
      <c r="P6" s="2771" t="n"/>
      <c r="Q6" s="2771" t="n"/>
      <c r="R6" s="2771" t="n"/>
      <c r="S6" s="2771" t="n"/>
      <c r="T6" s="2771" t="n"/>
      <c r="U6" s="2771" t="n"/>
      <c r="V6" s="2771" t="n"/>
      <c r="W6" s="2771" t="n"/>
      <c r="X6" s="2771" t="n"/>
      <c r="Y6" s="2771" t="n"/>
      <c r="Z6" s="2771" t="n"/>
      <c r="AA6" s="2771" t="n"/>
      <c r="AB6" s="2771" t="n"/>
      <c r="AC6" s="2921" t="n"/>
      <c r="AD6" s="7636" t="n"/>
      <c r="AE6" s="12452" t="n"/>
      <c r="AK6" s="2013" t="n"/>
      <c r="AL6" s="11602" t="n"/>
      <c r="AM6" s="11602" t="n"/>
      <c r="AN6" s="11602" t="n"/>
      <c r="AO6" s="2013" t="n"/>
      <c r="AP6" s="11602" t="n"/>
      <c r="AQ6" s="851" t="n"/>
      <c r="AR6" s="658" t="n"/>
      <c r="AS6" s="658" t="n"/>
      <c r="AT6" s="658" t="n"/>
      <c r="AU6" s="658" t="n"/>
      <c r="AV6" s="658" t="n"/>
      <c r="AW6" s="658" t="n"/>
      <c r="AX6" s="658" t="n"/>
      <c r="AY6" s="658" t="n"/>
      <c r="AZ6" s="658" t="n"/>
      <c r="BA6" s="658" t="n"/>
    </row>
    <row r="7" ht="15" customFormat="1" customHeight="1" s="815">
      <c r="A7" s="2013" t="n"/>
      <c r="B7" s="2770" t="n"/>
      <c r="C7" s="5760" t="n"/>
      <c r="D7" s="2769" t="inlineStr">
        <is>
          <t>here. (If less than zero, enter as a negative amount.)</t>
        </is>
      </c>
      <c r="E7" s="2770" t="n"/>
      <c r="F7" s="2770" t="n"/>
      <c r="G7" s="2770" t="n"/>
      <c r="H7" s="2770" t="n"/>
      <c r="I7" s="2770" t="n"/>
      <c r="J7" s="2770" t="n"/>
      <c r="K7" s="2770" t="n"/>
      <c r="L7" s="2770" t="n"/>
      <c r="M7" s="2770" t="n"/>
      <c r="N7" s="2770" t="n"/>
      <c r="O7" s="2770" t="n"/>
      <c r="P7" s="2770" t="n"/>
      <c r="Q7" s="2770" t="n"/>
      <c r="R7" s="2770" t="n"/>
      <c r="S7" s="2770" t="n"/>
      <c r="T7" s="2770" t="n"/>
      <c r="U7" s="2770" t="n"/>
      <c r="V7" s="11262" t="n"/>
      <c r="W7" s="11262" t="n"/>
      <c r="X7" s="2771" t="n"/>
      <c r="Y7" s="2771" t="n"/>
      <c r="Z7" s="2771" t="n"/>
      <c r="AA7" s="2771" t="n"/>
      <c r="AB7" s="2031" t="inlineStr">
        <is>
          <t xml:space="preserve">.   .   .   .   .   .   .   .   .   .   .   .   .   .   .   .   . </t>
        </is>
      </c>
      <c r="AC7" s="8389" t="n">
        <v>1</v>
      </c>
      <c r="AD7" s="7638" t="n"/>
      <c r="AE7" s="10883" t="n"/>
      <c r="AF7" s="11717" t="n"/>
      <c r="AG7" s="11717" t="n"/>
      <c r="AH7" s="11717" t="n"/>
      <c r="AI7" s="11717" t="n"/>
      <c r="AJ7" s="11717" t="n"/>
      <c r="AK7" s="2013" t="n"/>
      <c r="AL7" s="11602" t="n"/>
      <c r="AM7" s="7772" t="inlineStr">
        <is>
          <t>Part I, line 1</t>
        </is>
      </c>
      <c r="AN7" s="11602" t="n"/>
      <c r="AO7" s="2013" t="n"/>
      <c r="AP7" s="11602" t="n"/>
      <c r="AQ7" s="851">
        <f>IF(AE7="",0,ROUND(AE7,0))</f>
        <v/>
      </c>
      <c r="AR7" s="658" t="n"/>
      <c r="AS7" s="658" t="n"/>
      <c r="AT7" s="658" t="n"/>
      <c r="AU7" s="658" t="n"/>
      <c r="AV7" s="658" t="n"/>
      <c r="AW7" s="658" t="n"/>
      <c r="AX7" s="658" t="n"/>
      <c r="AY7" s="658" t="n"/>
      <c r="AZ7" s="658" t="n"/>
      <c r="BA7" s="658" t="n"/>
    </row>
    <row r="8" ht="6.75" customFormat="1" customHeight="1" s="815">
      <c r="A8" s="2013" t="n"/>
      <c r="B8" s="2013" t="n"/>
      <c r="C8" s="2326" t="n"/>
      <c r="D8" s="2013" t="n"/>
      <c r="E8" s="2013" t="n"/>
      <c r="F8" s="2013" t="n"/>
      <c r="G8" s="2013" t="n"/>
      <c r="H8" s="2013" t="n"/>
      <c r="I8" s="2013" t="n"/>
      <c r="J8" s="2013" t="n"/>
      <c r="K8" s="4468" t="n"/>
      <c r="L8" s="2013" t="n"/>
      <c r="M8" s="2013" t="n"/>
      <c r="N8" s="2013" t="n"/>
      <c r="O8" s="5720" t="n"/>
      <c r="P8" s="2013" t="n"/>
      <c r="Q8" s="2013" t="n"/>
      <c r="R8" s="2013" t="n"/>
      <c r="S8" s="2013" t="n"/>
      <c r="T8" s="2013" t="n"/>
      <c r="U8" s="2013" t="n"/>
      <c r="V8" s="2013" t="n"/>
      <c r="W8" s="2013" t="n"/>
      <c r="X8" s="2013" t="n"/>
      <c r="Y8" s="2013" t="n"/>
      <c r="Z8" s="2013" t="n"/>
      <c r="AA8" s="2013" t="n"/>
      <c r="AB8" s="2013" t="n"/>
      <c r="AC8" s="2326" t="n"/>
      <c r="AD8" s="2326" t="n"/>
      <c r="AE8" s="2013" t="n"/>
      <c r="AF8" s="2013" t="n"/>
      <c r="AG8" s="2013" t="n"/>
      <c r="AH8" s="2013" t="n"/>
      <c r="AI8" s="2013" t="n"/>
      <c r="AJ8" s="2013" t="n"/>
      <c r="AK8" s="2013" t="n"/>
      <c r="AL8" s="11602" t="n"/>
      <c r="AM8" s="11602" t="n"/>
      <c r="AN8" s="11602" t="n"/>
      <c r="AO8" s="2013" t="n"/>
      <c r="AP8" s="11602" t="n"/>
      <c r="AQ8" s="11602" t="n"/>
      <c r="AR8" s="658" t="n"/>
      <c r="AS8" s="658" t="n"/>
      <c r="AT8" s="658" t="n"/>
      <c r="AU8" s="658" t="n"/>
      <c r="AV8" s="658" t="n"/>
      <c r="AW8" s="658" t="n"/>
      <c r="AX8" s="658" t="n"/>
      <c r="AY8" s="658" t="n"/>
      <c r="AZ8" s="658" t="n"/>
      <c r="BA8" s="658" t="n"/>
    </row>
    <row r="9" ht="15" customFormat="1" customHeight="1" s="815">
      <c r="A9" s="2013" t="n"/>
      <c r="B9" s="2770" t="n"/>
      <c r="C9" s="5760" t="inlineStr">
        <is>
          <t>2e</t>
        </is>
      </c>
      <c r="D9" s="2769" t="inlineStr">
        <is>
          <t xml:space="preserve">Net operating loss deduction from Schedule 1 (Form 1040), line 8a. </t>
        </is>
      </c>
      <c r="E9" s="2770" t="n"/>
      <c r="F9" s="2770" t="n"/>
      <c r="G9" s="2770" t="n"/>
      <c r="H9" s="2770" t="n"/>
      <c r="I9" s="2770" t="n"/>
      <c r="J9" s="2770" t="n"/>
      <c r="K9" s="2770" t="n"/>
      <c r="L9" s="2770" t="n"/>
      <c r="M9" s="2770" t="n"/>
      <c r="N9" s="2770" t="n"/>
      <c r="O9" s="2770" t="n"/>
      <c r="P9" s="2770" t="n"/>
      <c r="Q9" s="2770" t="n"/>
      <c r="R9" s="3019" t="inlineStr">
        <is>
          <t>Enter as a positive amount.</t>
        </is>
      </c>
      <c r="S9" s="2770" t="n"/>
      <c r="T9" s="2770" t="n"/>
      <c r="U9" s="2770" t="n"/>
      <c r="V9" s="11262" t="n"/>
      <c r="W9" s="11262" t="n"/>
      <c r="X9" s="2771" t="n"/>
      <c r="Y9" s="2771" t="n"/>
      <c r="Z9" s="2771" t="n"/>
      <c r="AA9" s="2771" t="n"/>
      <c r="AB9" s="2031" t="inlineStr">
        <is>
          <t xml:space="preserve">.   .   .   .   .   . </t>
        </is>
      </c>
      <c r="AC9" s="8389" t="inlineStr">
        <is>
          <t>2e</t>
        </is>
      </c>
      <c r="AD9" s="7638" t="n"/>
      <c r="AE9" s="10883" t="n"/>
      <c r="AF9" s="11717" t="n"/>
      <c r="AG9" s="11717" t="n"/>
      <c r="AH9" s="11717" t="n"/>
      <c r="AI9" s="11717" t="n"/>
      <c r="AJ9" s="11717" t="n"/>
      <c r="AK9" s="2013" t="n"/>
      <c r="AL9" s="11602" t="n"/>
      <c r="AM9" s="7772" t="inlineStr">
        <is>
          <t>Part I, line 1</t>
        </is>
      </c>
      <c r="AN9" s="11602" t="n"/>
      <c r="AO9" s="2013" t="n"/>
      <c r="AP9" s="11602" t="n"/>
      <c r="AQ9" s="851">
        <f>IF(AE9="",0,ROUND(AE9,0))</f>
        <v/>
      </c>
      <c r="AR9" s="658" t="n"/>
      <c r="AS9" s="658" t="n"/>
      <c r="AT9" s="658" t="n"/>
      <c r="AU9" s="658" t="n"/>
      <c r="AV9" s="658" t="n"/>
      <c r="AW9" s="658" t="n"/>
      <c r="AX9" s="658" t="n"/>
      <c r="AY9" s="658" t="n"/>
      <c r="AZ9" s="658" t="n"/>
      <c r="BA9" s="658" t="n"/>
    </row>
    <row r="10" ht="6.75" customFormat="1" customHeight="1" s="815">
      <c r="A10" s="2013" t="n"/>
      <c r="B10" s="2013" t="n"/>
      <c r="C10" s="2326" t="n"/>
      <c r="D10" s="2013" t="n"/>
      <c r="E10" s="2013" t="n"/>
      <c r="F10" s="2013" t="n"/>
      <c r="G10" s="2013" t="n"/>
      <c r="H10" s="2013" t="n"/>
      <c r="I10" s="2013" t="n"/>
      <c r="J10" s="2013" t="n"/>
      <c r="K10" s="4468" t="n"/>
      <c r="L10" s="2013" t="n"/>
      <c r="M10" s="2013" t="n"/>
      <c r="N10" s="2013" t="n"/>
      <c r="O10" s="5720" t="n"/>
      <c r="P10" s="2013" t="n"/>
      <c r="Q10" s="2013" t="n"/>
      <c r="R10" s="2013" t="n"/>
      <c r="S10" s="2013" t="n"/>
      <c r="T10" s="2013" t="n"/>
      <c r="U10" s="2013" t="n"/>
      <c r="V10" s="2013" t="n"/>
      <c r="W10" s="2013" t="n"/>
      <c r="X10" s="2013" t="n"/>
      <c r="Y10" s="2013" t="n"/>
      <c r="Z10" s="2013" t="n"/>
      <c r="AA10" s="2013" t="n"/>
      <c r="AB10" s="2013" t="n"/>
      <c r="AC10" s="2326" t="n"/>
      <c r="AD10" s="2326" t="n"/>
      <c r="AE10" s="2013" t="n"/>
      <c r="AF10" s="2013" t="n"/>
      <c r="AG10" s="2013" t="n"/>
      <c r="AH10" s="2013" t="n"/>
      <c r="AI10" s="2013" t="n"/>
      <c r="AJ10" s="2013" t="n"/>
      <c r="AK10" s="2013" t="n"/>
      <c r="AL10" s="11602" t="n"/>
      <c r="AM10" s="11602" t="n"/>
      <c r="AN10" s="11602" t="n"/>
      <c r="AO10" s="2013" t="n"/>
      <c r="AP10" s="11602" t="n"/>
      <c r="AQ10" s="11602" t="n"/>
      <c r="AR10" s="658" t="n"/>
      <c r="AS10" s="658" t="n"/>
      <c r="AT10" s="658" t="n"/>
      <c r="AU10" s="658" t="n"/>
      <c r="AV10" s="658" t="n"/>
      <c r="AW10" s="658" t="n"/>
      <c r="AX10" s="658" t="n"/>
      <c r="AY10" s="658" t="n"/>
      <c r="AZ10" s="658" t="n"/>
      <c r="BA10" s="658" t="n"/>
    </row>
    <row r="11" ht="15" customFormat="1" customHeight="1" s="815">
      <c r="A11" s="2013" t="n"/>
      <c r="B11" s="11262" t="n"/>
      <c r="C11" s="5759" t="n">
        <v>10</v>
      </c>
      <c r="D11" s="2769" t="inlineStr">
        <is>
          <t>Add Form 1040 or 1040-SR, line 16 (minus any tax from Form 4972), and Schedule 2 (Form 1040), line 2.</t>
        </is>
      </c>
      <c r="E11" s="2770" t="n"/>
      <c r="F11" s="11262" t="n"/>
      <c r="G11" s="11262" t="n"/>
      <c r="H11" s="2771" t="n"/>
      <c r="I11" s="2771" t="n"/>
      <c r="J11" s="2771" t="n"/>
      <c r="K11" s="2771" t="n"/>
      <c r="L11" s="2771" t="n"/>
      <c r="M11" s="2771" t="n"/>
      <c r="N11" s="2771" t="n"/>
      <c r="O11" s="2771" t="n"/>
      <c r="P11" s="2771" t="n"/>
      <c r="Q11" s="2770" t="n"/>
      <c r="R11" s="2770" t="n"/>
      <c r="S11" s="3019" t="n"/>
      <c r="T11" s="2770" t="n"/>
      <c r="U11" s="2770" t="n"/>
      <c r="V11" s="2770" t="n"/>
      <c r="W11" s="11262" t="n"/>
      <c r="X11" s="2771" t="n"/>
      <c r="Y11" s="2771" t="n"/>
      <c r="Z11" s="2771" t="n"/>
      <c r="AA11" s="2771" t="n"/>
      <c r="AB11" s="2075" t="n"/>
      <c r="AC11" s="7612" t="n"/>
      <c r="AD11" s="7636" t="n"/>
      <c r="AE11" s="12452" t="n"/>
      <c r="AK11" s="2013" t="n"/>
      <c r="AL11" s="11602" t="n"/>
      <c r="AM11" s="11602" t="n"/>
      <c r="AN11" s="11602" t="n"/>
      <c r="AO11" s="2013" t="n"/>
      <c r="AP11" s="11602" t="n"/>
      <c r="AQ11" s="11602" t="n"/>
      <c r="AR11" s="658" t="n"/>
      <c r="AS11" s="658" t="n"/>
      <c r="AT11" s="658" t="n"/>
      <c r="AU11" s="658" t="n"/>
      <c r="AV11" s="658" t="n"/>
      <c r="AW11" s="658" t="n"/>
      <c r="AX11" s="658" t="n"/>
      <c r="AY11" s="658" t="n"/>
      <c r="AZ11" s="658" t="n"/>
      <c r="BA11" s="658" t="n"/>
    </row>
    <row r="12" ht="15" customFormat="1" customHeight="1" s="815">
      <c r="A12" s="2013" t="n"/>
      <c r="B12" s="11262" t="n"/>
      <c r="C12" s="5759" t="n"/>
      <c r="D12" s="2769" t="inlineStr">
        <is>
          <t>Subtract from the result Schedule 3 (Form 1040), line 1 and any negative amount reported on Form 8978,</t>
        </is>
      </c>
      <c r="E12" s="2770" t="n"/>
      <c r="F12" s="11262" t="n"/>
      <c r="G12" s="11262" t="n"/>
      <c r="H12" s="2771" t="n"/>
      <c r="I12" s="2771" t="n"/>
      <c r="J12" s="2771" t="n"/>
      <c r="K12" s="2771" t="n"/>
      <c r="L12" s="2771" t="n"/>
      <c r="M12" s="2771" t="n"/>
      <c r="N12" s="2771" t="n"/>
      <c r="O12" s="2771" t="n"/>
      <c r="P12" s="2771" t="n"/>
      <c r="Q12" s="2770" t="n"/>
      <c r="R12" s="2770" t="n"/>
      <c r="S12" s="3019" t="n"/>
      <c r="T12" s="2770" t="n"/>
      <c r="U12" s="2770" t="n"/>
      <c r="V12" s="2770" t="n"/>
      <c r="W12" s="11262" t="n"/>
      <c r="X12" s="2771" t="n"/>
      <c r="Y12" s="2771" t="n"/>
      <c r="Z12" s="2771" t="n"/>
      <c r="AA12" s="2771" t="n"/>
      <c r="AB12" s="2075" t="n"/>
      <c r="AC12" s="7612" t="n"/>
      <c r="AD12" s="7636" t="n"/>
      <c r="AE12" s="12452" t="n"/>
      <c r="AK12" s="2013" t="n"/>
      <c r="AL12" s="11602" t="n"/>
      <c r="AM12" s="11602" t="n"/>
      <c r="AN12" s="11602" t="n"/>
      <c r="AO12" s="2013" t="n"/>
      <c r="AP12" s="11602" t="n"/>
      <c r="AQ12" s="11602" t="n"/>
      <c r="AR12" s="658" t="n"/>
      <c r="AS12" s="658" t="n"/>
      <c r="AT12" s="658" t="n"/>
      <c r="AU12" s="658" t="n"/>
      <c r="AV12" s="658" t="n"/>
      <c r="AW12" s="658" t="n"/>
      <c r="AX12" s="658" t="n"/>
      <c r="AY12" s="658" t="n"/>
      <c r="AZ12" s="658" t="n"/>
      <c r="BA12" s="658" t="n"/>
    </row>
    <row r="13" ht="15" customFormat="1" customHeight="1" s="815">
      <c r="A13" s="2013" t="n"/>
      <c r="B13" s="11262" t="n"/>
      <c r="C13" s="5759" t="n"/>
      <c r="D13" s="3019" t="inlineStr">
        <is>
          <t xml:space="preserve">line 14 (treated as a positive number). If zero or less, enter -0-. If you used Schedule J to figure your tax on </t>
        </is>
      </c>
      <c r="E13" s="2770" t="n"/>
      <c r="F13" s="11262" t="n"/>
      <c r="G13" s="11262" t="n"/>
      <c r="H13" s="2771" t="n"/>
      <c r="I13" s="2771" t="n"/>
      <c r="J13" s="2771" t="n"/>
      <c r="K13" s="2771" t="n"/>
      <c r="L13" s="2771" t="n"/>
      <c r="M13" s="2771" t="n"/>
      <c r="N13" s="2771" t="n"/>
      <c r="O13" s="2771" t="n"/>
      <c r="P13" s="2771" t="n"/>
      <c r="Q13" s="2771" t="n"/>
      <c r="R13" s="2771" t="n"/>
      <c r="S13" s="2771" t="n"/>
      <c r="T13" s="2770" t="n"/>
      <c r="U13" s="2770" t="n"/>
      <c r="V13" s="2770" t="n"/>
      <c r="W13" s="11262" t="n"/>
      <c r="X13" s="2771" t="n"/>
      <c r="Y13" s="2771" t="n"/>
      <c r="Z13" s="2771" t="n"/>
      <c r="AA13" s="2771" t="n"/>
      <c r="AB13" s="2075" t="n"/>
      <c r="AC13" s="7612" t="n"/>
      <c r="AD13" s="7636" t="n"/>
      <c r="AE13" s="12452" t="n"/>
      <c r="AK13" s="2013" t="n"/>
      <c r="AL13" s="11602" t="n"/>
      <c r="AM13" s="11602" t="n"/>
      <c r="AN13" s="11602" t="n"/>
      <c r="AO13" s="2013" t="n"/>
      <c r="AP13" s="11602" t="n"/>
      <c r="AQ13" s="11602" t="n"/>
      <c r="AR13" s="658" t="n"/>
      <c r="AS13" s="658" t="n"/>
      <c r="AT13" s="658" t="n"/>
      <c r="AU13" s="658" t="n"/>
      <c r="AV13" s="658" t="n"/>
      <c r="AW13" s="658" t="n"/>
      <c r="AX13" s="658" t="n"/>
      <c r="AY13" s="658" t="n"/>
      <c r="AZ13" s="658" t="n"/>
      <c r="BA13" s="658" t="n"/>
    </row>
    <row r="14" ht="15" customFormat="1" customHeight="1" s="815">
      <c r="A14" s="2013" t="n"/>
      <c r="B14" s="11262" t="n"/>
      <c r="C14" s="5759" t="n"/>
      <c r="D14" s="2769" t="inlineStr">
        <is>
          <t>Form 1040 or 1040-SR, line 16, refigure that tax without using Schedule J before completing this line. See</t>
        </is>
      </c>
      <c r="E14" s="2770" t="n"/>
      <c r="F14" s="11262" t="n"/>
      <c r="G14" s="11262" t="n"/>
      <c r="H14" s="2771" t="n"/>
      <c r="I14" s="2771" t="n"/>
      <c r="J14" s="2771" t="n"/>
      <c r="K14" s="2771" t="n"/>
      <c r="L14" s="2771" t="n"/>
      <c r="M14" s="2771" t="n"/>
      <c r="N14" s="2771" t="n"/>
      <c r="O14" s="2771" t="n"/>
      <c r="P14" s="2771" t="n"/>
      <c r="Q14" s="2771" t="n"/>
      <c r="R14" s="2771" t="n"/>
      <c r="S14" s="2771" t="n"/>
      <c r="T14" s="2770" t="n"/>
      <c r="U14" s="2770" t="n"/>
      <c r="V14" s="2770" t="n"/>
      <c r="W14" s="11262" t="n"/>
      <c r="X14" s="2771" t="n"/>
      <c r="Y14" s="2771" t="n"/>
      <c r="Z14" s="2771" t="n"/>
      <c r="AA14" s="2771" t="n"/>
      <c r="AB14" s="2075" t="n"/>
      <c r="AC14" s="7612" t="n"/>
      <c r="AD14" s="7636" t="n"/>
      <c r="AE14" s="12452" t="n"/>
      <c r="AK14" s="2013" t="n"/>
      <c r="AL14" s="11602" t="n"/>
      <c r="AM14" s="11602" t="n"/>
      <c r="AN14" s="11602" t="n"/>
      <c r="AO14" s="2013" t="n"/>
      <c r="AP14" s="11602" t="n"/>
      <c r="AQ14" s="11602" t="n"/>
      <c r="AR14" s="658" t="n"/>
      <c r="AS14" s="658" t="n"/>
      <c r="AT14" s="658" t="n"/>
      <c r="AU14" s="658" t="n"/>
      <c r="AV14" s="658" t="n"/>
      <c r="AW14" s="658" t="n"/>
      <c r="AX14" s="658" t="n"/>
      <c r="AY14" s="658" t="n"/>
      <c r="AZ14" s="658" t="n"/>
      <c r="BA14" s="658" t="n"/>
    </row>
    <row r="15" ht="15" customFormat="1" customHeight="1" s="815">
      <c r="A15" s="2013" t="n"/>
      <c r="B15" s="11262" t="n"/>
      <c r="C15" s="5759" t="n"/>
      <c r="D15" s="2769" t="inlineStr">
        <is>
          <t>instructions</t>
        </is>
      </c>
      <c r="E15" s="2770" t="n"/>
      <c r="F15" s="11262" t="n"/>
      <c r="G15" s="11262" t="n"/>
      <c r="H15" s="2770" t="n"/>
      <c r="I15" s="3019" t="n"/>
      <c r="J15" s="2770" t="n"/>
      <c r="K15" s="2771" t="n"/>
      <c r="L15" s="2771" t="n"/>
      <c r="M15" s="2771" t="n"/>
      <c r="N15" s="2771" t="n"/>
      <c r="O15" s="2075" t="n"/>
      <c r="P15" s="7914" t="n"/>
      <c r="Q15" s="7957" t="n"/>
      <c r="R15" s="7957" t="n"/>
      <c r="S15" s="7957" t="n"/>
      <c r="T15" s="7957" t="n"/>
      <c r="U15" s="7957" t="n"/>
      <c r="V15" s="7957" t="n"/>
      <c r="W15" s="11262" t="n"/>
      <c r="X15" s="2771" t="n"/>
      <c r="Y15" s="2771" t="n"/>
      <c r="Z15" s="2771" t="n"/>
      <c r="AA15" s="2771" t="n"/>
      <c r="AB15" s="2031" t="inlineStr">
        <is>
          <t xml:space="preserve"> .   .   .   .   .   .   .   .   .   .   .   .   .   .   .   .   .   .   .   .   .   .   .   .   .   .   .   .   .   .   .   .   .   .   . </t>
        </is>
      </c>
      <c r="AC15" s="8389" t="n">
        <v>10</v>
      </c>
      <c r="AD15" s="7638" t="n"/>
      <c r="AE15" s="10883" t="n"/>
      <c r="AF15" s="11717" t="n"/>
      <c r="AG15" s="11717" t="n"/>
      <c r="AH15" s="11717" t="n"/>
      <c r="AI15" s="11717" t="n"/>
      <c r="AJ15" s="11717" t="n"/>
      <c r="AK15" s="2013" t="n"/>
      <c r="AL15" s="11602" t="n"/>
      <c r="AM15" s="7772" t="inlineStr">
        <is>
          <t>Part I, line 14</t>
        </is>
      </c>
      <c r="AN15" s="11602" t="n"/>
      <c r="AO15" s="2013" t="n"/>
      <c r="AP15" s="11602" t="n"/>
      <c r="AQ15" s="851">
        <f>IF(AE15="",0,ROUND(AE15,0))</f>
        <v/>
      </c>
      <c r="AR15" s="658" t="n"/>
      <c r="AS15" s="658" t="n"/>
      <c r="AT15" s="658" t="n"/>
      <c r="AU15" s="658" t="n"/>
      <c r="AV15" s="658" t="n"/>
      <c r="AW15" s="658" t="n"/>
      <c r="AX15" s="658" t="n"/>
      <c r="AY15" s="658" t="n"/>
      <c r="AZ15" s="658" t="n"/>
      <c r="BA15" s="658" t="n"/>
    </row>
    <row r="16" ht="8.25" customFormat="1" customHeight="1" s="815">
      <c r="A16" s="2013" t="n"/>
      <c r="B16" s="2013" t="n"/>
      <c r="C16" s="2326" t="n"/>
      <c r="D16" s="2013" t="n"/>
      <c r="E16" s="2013" t="n"/>
      <c r="F16" s="2013" t="n"/>
      <c r="G16" s="2013" t="n"/>
      <c r="H16" s="2013" t="n"/>
      <c r="I16" s="2013" t="n"/>
      <c r="J16" s="2013" t="n"/>
      <c r="K16" s="4468" t="n"/>
      <c r="L16" s="2013" t="n"/>
      <c r="M16" s="2013" t="n"/>
      <c r="N16" s="2013" t="n"/>
      <c r="O16" s="5720" t="n"/>
      <c r="P16" s="2013" t="n"/>
      <c r="Q16" s="2013" t="n"/>
      <c r="R16" s="2013" t="n"/>
      <c r="S16" s="2013" t="n"/>
      <c r="T16" s="2013" t="n"/>
      <c r="U16" s="2013" t="n"/>
      <c r="V16" s="2013" t="n"/>
      <c r="W16" s="2013" t="n"/>
      <c r="X16" s="2013" t="n"/>
      <c r="Y16" s="2013" t="n"/>
      <c r="Z16" s="2013" t="n"/>
      <c r="AA16" s="2013" t="n"/>
      <c r="AB16" s="2013" t="n"/>
      <c r="AC16" s="2326" t="n"/>
      <c r="AD16" s="2326" t="n"/>
      <c r="AE16" s="2013" t="n"/>
      <c r="AF16" s="2013" t="n"/>
      <c r="AG16" s="2013" t="n"/>
      <c r="AH16" s="2013" t="n"/>
      <c r="AI16" s="2013" t="n"/>
      <c r="AJ16" s="2013" t="n"/>
      <c r="AK16" s="2013" t="n"/>
      <c r="AL16" s="11602" t="n"/>
      <c r="AM16" s="11602" t="n"/>
      <c r="AN16" s="11602" t="n"/>
      <c r="AO16" s="2013" t="n"/>
      <c r="AP16" s="11602" t="n"/>
      <c r="AQ16" s="11602" t="n"/>
      <c r="AR16" s="658" t="n"/>
      <c r="AS16" s="658" t="n"/>
      <c r="AT16" s="658" t="n"/>
      <c r="AU16" s="658" t="n"/>
      <c r="AV16" s="658" t="n"/>
      <c r="AW16" s="658" t="n"/>
      <c r="AX16" s="658" t="n"/>
      <c r="AY16" s="658" t="n"/>
      <c r="AZ16" s="658" t="n"/>
      <c r="BA16" s="658" t="n"/>
    </row>
    <row r="17" ht="15" customFormat="1" customHeight="1" s="815">
      <c r="A17" s="2013" t="n"/>
      <c r="B17" s="11262" t="n"/>
      <c r="C17" s="5759" t="n">
        <v>11</v>
      </c>
      <c r="D17" s="2769" t="inlineStr">
        <is>
          <t>AMT. Subtract line 10 from line 9. If zero or less, enter -0-. Enter here and on Schedule 2 (1040), line 1</t>
        </is>
      </c>
      <c r="E17" s="2769" t="n"/>
      <c r="F17" s="3065" t="n"/>
      <c r="G17" s="3065" t="n"/>
      <c r="H17" s="3065" t="n"/>
      <c r="I17" s="3065" t="n"/>
      <c r="J17" s="3065" t="n"/>
      <c r="K17" s="3065" t="n"/>
      <c r="L17" s="3065" t="n"/>
      <c r="M17" s="3065" t="n"/>
      <c r="N17" s="3065" t="n"/>
      <c r="O17" s="3065" t="n"/>
      <c r="P17" s="3065" t="n"/>
      <c r="Q17" s="3065" t="n"/>
      <c r="R17" s="3065" t="n"/>
      <c r="S17" s="3065" t="n"/>
      <c r="T17" s="3065" t="n"/>
      <c r="U17" s="3065" t="n"/>
      <c r="V17" s="3065" t="n"/>
      <c r="W17" s="3065" t="n"/>
      <c r="X17" s="3065" t="n"/>
      <c r="Y17" s="3065" t="n"/>
      <c r="Z17" s="3065" t="n"/>
      <c r="AA17" s="3065" t="n"/>
      <c r="AB17" s="2031" t="n"/>
      <c r="AC17" s="8389" t="n">
        <v>11</v>
      </c>
      <c r="AD17" s="7638" t="n"/>
      <c r="AE17" s="10883" t="n"/>
      <c r="AF17" s="11717" t="n"/>
      <c r="AG17" s="11717" t="n"/>
      <c r="AH17" s="11717" t="n"/>
      <c r="AI17" s="11717" t="n"/>
      <c r="AJ17" s="11717" t="n"/>
      <c r="AK17" s="2013" t="n"/>
      <c r="AL17" s="11602" t="n"/>
      <c r="AM17" s="7772" t="inlineStr">
        <is>
          <t>Part II, line 16</t>
        </is>
      </c>
      <c r="AN17" s="11602" t="n"/>
      <c r="AO17" s="2013" t="n"/>
      <c r="AP17" s="11602" t="n"/>
      <c r="AQ17" s="851">
        <f>IF(AE17="",0,ROUND(AE17,0))</f>
        <v/>
      </c>
      <c r="AR17" s="658" t="n"/>
      <c r="AS17" s="658" t="n"/>
      <c r="AT17" s="658" t="n"/>
      <c r="AU17" s="658" t="n"/>
      <c r="AV17" s="658" t="n"/>
      <c r="AW17" s="658" t="n"/>
      <c r="AX17" s="658" t="n"/>
      <c r="AY17" s="658" t="n"/>
      <c r="AZ17" s="658" t="n"/>
      <c r="BA17" s="658" t="n"/>
    </row>
    <row r="18" ht="15" customFormat="1" customHeight="1" s="815">
      <c r="A18" s="2013" t="n"/>
      <c r="B18" s="2013" t="n"/>
      <c r="C18" s="2013" t="n"/>
      <c r="D18" s="2013" t="n"/>
      <c r="E18" s="2013" t="n"/>
      <c r="F18" s="2013" t="n"/>
      <c r="G18" s="2013" t="n"/>
      <c r="H18" s="2013" t="n"/>
      <c r="I18" s="2013" t="n"/>
      <c r="J18" s="2013" t="n"/>
      <c r="K18" s="2013" t="n"/>
      <c r="L18" s="2013" t="n"/>
      <c r="M18" s="2013" t="n"/>
      <c r="N18" s="2013" t="n"/>
      <c r="O18" s="2013" t="n"/>
      <c r="P18" s="2013" t="n"/>
      <c r="Q18" s="2013" t="n"/>
      <c r="R18" s="2013" t="n"/>
      <c r="S18" s="2013" t="n"/>
      <c r="T18" s="2013" t="n"/>
      <c r="U18" s="2013" t="n"/>
      <c r="V18" s="2013" t="n"/>
      <c r="W18" s="2013" t="n"/>
      <c r="X18" s="2013" t="n"/>
      <c r="Y18" s="2013" t="n"/>
      <c r="Z18" s="2013" t="n"/>
      <c r="AA18" s="2013" t="n"/>
      <c r="AB18" s="2013" t="n"/>
      <c r="AC18" s="2326" t="n"/>
      <c r="AD18" s="2326" t="n"/>
      <c r="AE18" s="2013" t="n"/>
      <c r="AF18" s="2013" t="n"/>
      <c r="AG18" s="2013" t="n"/>
      <c r="AH18" s="2013" t="n"/>
      <c r="AI18" s="2013" t="n"/>
      <c r="AJ18" s="2013" t="n"/>
      <c r="AK18" s="2013" t="n"/>
      <c r="AL18" s="11602" t="n"/>
      <c r="AM18" s="11602" t="n"/>
      <c r="AN18" s="11602" t="n"/>
      <c r="AO18" s="2013" t="n"/>
      <c r="AP18" s="11602" t="n"/>
      <c r="AQ18" s="851" t="n"/>
      <c r="AR18" s="658" t="n"/>
      <c r="AS18" s="658" t="n"/>
      <c r="AT18" s="658" t="n"/>
      <c r="AU18" s="658" t="n"/>
      <c r="AV18" s="658" t="n"/>
      <c r="AW18" s="658" t="n"/>
      <c r="AX18" s="658" t="n"/>
      <c r="AY18" s="658" t="n"/>
      <c r="AZ18" s="658" t="n"/>
      <c r="BA18" s="658" t="n"/>
    </row>
    <row r="19" ht="16.5" customFormat="1" customHeight="1" s="815">
      <c r="A19" s="2013" t="n"/>
      <c r="B19" s="5744">
        <f>"Form 8801, Credit for Prior Year Minimum Tax—Individuals, Estates, and Trusts ("&amp;LastYear&amp;")"</f>
        <v/>
      </c>
      <c r="C19" s="2013" t="n"/>
      <c r="D19" s="2013" t="n"/>
      <c r="E19" s="2013" t="n"/>
      <c r="F19" s="2013" t="n"/>
      <c r="G19" s="2013" t="n"/>
      <c r="H19" s="2013" t="n"/>
      <c r="I19" s="2013" t="n"/>
      <c r="J19" s="2013" t="n"/>
      <c r="K19" s="4468" t="n"/>
      <c r="L19" s="2013" t="n"/>
      <c r="M19" s="2013" t="n"/>
      <c r="N19" s="5748" t="n"/>
      <c r="O19" s="5720" t="n"/>
      <c r="P19" s="2013" t="n"/>
      <c r="Q19" s="2013" t="n"/>
      <c r="R19" s="2013" t="n"/>
      <c r="S19" s="2013" t="n"/>
      <c r="T19" s="2013" t="n"/>
      <c r="U19" s="2013" t="n"/>
      <c r="V19" s="2013" t="n"/>
      <c r="W19" s="2013" t="n"/>
      <c r="X19" s="2013" t="n"/>
      <c r="Y19" s="2013" t="n"/>
      <c r="Z19" s="2013" t="n"/>
      <c r="AA19" s="2013" t="n"/>
      <c r="AB19" s="2013" t="n"/>
      <c r="AC19" s="2326" t="n"/>
      <c r="AD19" s="2326" t="n"/>
      <c r="AE19" s="2013" t="n"/>
      <c r="AF19" s="2013" t="n"/>
      <c r="AG19" s="2013" t="n"/>
      <c r="AH19" s="2013" t="n"/>
      <c r="AI19" s="2013" t="n"/>
      <c r="AJ19" s="2013" t="n"/>
      <c r="AK19" s="2013" t="n"/>
      <c r="AL19" s="11602" t="n"/>
      <c r="AM19" s="11602" t="n"/>
      <c r="AN19" s="11602" t="n"/>
      <c r="AO19" s="2013" t="n"/>
      <c r="AP19" s="11602" t="n"/>
      <c r="AQ19" s="11602" t="n"/>
      <c r="AR19" s="658" t="n"/>
      <c r="AS19" s="658" t="n"/>
      <c r="AT19" s="658" t="n"/>
      <c r="AU19" s="658" t="n"/>
      <c r="AV19" s="658" t="n"/>
      <c r="AW19" s="658" t="n"/>
      <c r="AX19" s="658" t="n"/>
      <c r="AY19" s="658" t="n"/>
      <c r="AZ19" s="658" t="n"/>
      <c r="BA19" s="658" t="n"/>
    </row>
    <row r="20" ht="15" customFormat="1" customHeight="1" s="815">
      <c r="A20" s="2013" t="n"/>
      <c r="B20" s="11602" t="n"/>
      <c r="C20" s="2917" t="n">
        <v>26</v>
      </c>
      <c r="D20" s="514">
        <f>"Credit carryforward to "&amp;TaxYear&amp;"."</f>
        <v/>
      </c>
      <c r="E20" s="11602" t="n"/>
      <c r="F20" s="8650" t="n"/>
      <c r="G20" s="8650" t="n"/>
      <c r="H20" s="11602" t="n"/>
      <c r="I20" s="11602" t="n"/>
      <c r="J20" s="7772" t="n"/>
      <c r="K20" s="11602" t="n"/>
      <c r="L20" s="7865" t="inlineStr">
        <is>
          <t>Subtract line 25 from line 21. Keep a record of this amount because</t>
        </is>
      </c>
      <c r="M20" s="7772" t="n"/>
      <c r="N20" s="11602" t="n"/>
      <c r="O20" s="11602" t="n"/>
      <c r="P20" s="11602" t="n"/>
      <c r="Q20" s="11602" t="n"/>
      <c r="R20" s="11602" t="n"/>
      <c r="S20" s="11602" t="n"/>
      <c r="T20" s="11602" t="n"/>
      <c r="U20" s="11602" t="n"/>
      <c r="V20" s="11602" t="n"/>
      <c r="W20" s="11602" t="n"/>
      <c r="X20" s="11602" t="n"/>
      <c r="Y20" s="11602" t="n"/>
      <c r="Z20" s="11602" t="n"/>
      <c r="AA20" s="11602" t="n"/>
      <c r="AB20" s="11602" t="n"/>
      <c r="AC20" s="7612" t="n"/>
      <c r="AD20" s="7636" t="n"/>
      <c r="AE20" s="10890" t="n"/>
      <c r="AF20" s="26" t="n"/>
      <c r="AG20" s="26" t="n"/>
      <c r="AH20" s="26" t="n"/>
      <c r="AI20" s="26" t="n"/>
      <c r="AJ20" s="26" t="n"/>
      <c r="AK20" s="2013" t="n"/>
      <c r="AL20" s="11602" t="n"/>
      <c r="AM20" s="11602" t="n"/>
      <c r="AN20" s="11602" t="n"/>
      <c r="AO20" s="2013" t="n"/>
      <c r="AP20" s="11602" t="n"/>
      <c r="AQ20" s="851" t="n"/>
      <c r="AR20" s="658" t="n"/>
      <c r="AS20" s="658" t="n"/>
      <c r="AT20" s="658" t="n"/>
      <c r="AU20" s="658" t="n"/>
      <c r="AV20" s="658" t="n"/>
      <c r="AW20" s="658" t="n"/>
      <c r="AX20" s="658" t="n"/>
      <c r="AY20" s="658" t="n"/>
      <c r="AZ20" s="658" t="n"/>
      <c r="BA20" s="658" t="n"/>
    </row>
    <row r="21" ht="15" customFormat="1" customHeight="1" s="815">
      <c r="A21" s="2013" t="n"/>
      <c r="B21" s="413" t="n"/>
      <c r="C21" s="4989" t="n"/>
      <c r="D21" s="1998" t="inlineStr">
        <is>
          <t>you may use it in future years</t>
        </is>
      </c>
      <c r="E21" s="413" t="n"/>
      <c r="F21" s="1996" t="n"/>
      <c r="G21" s="1996" t="n"/>
      <c r="H21" s="413" t="n"/>
      <c r="I21" s="413" t="n"/>
      <c r="J21" s="413" t="n"/>
      <c r="K21" s="413" t="n"/>
      <c r="L21" s="413" t="n"/>
      <c r="M21" s="413" t="n"/>
      <c r="N21" s="413" t="n"/>
      <c r="O21" s="413" t="n"/>
      <c r="P21" s="413" t="n"/>
      <c r="Q21" s="413" t="n"/>
      <c r="R21" s="413" t="n"/>
      <c r="S21" s="413" t="n"/>
      <c r="T21" s="413" t="n"/>
      <c r="U21" s="413" t="n"/>
      <c r="V21" s="413" t="n"/>
      <c r="W21" s="413" t="n"/>
      <c r="X21" s="413" t="n"/>
      <c r="Y21" s="413" t="n"/>
      <c r="Z21" s="413" t="n"/>
      <c r="AA21" s="413" t="n"/>
      <c r="AB21" s="8324" t="inlineStr">
        <is>
          <t xml:space="preserve">.   .   .   .   .   .   . </t>
        </is>
      </c>
      <c r="AC21" s="8389" t="n">
        <v>26</v>
      </c>
      <c r="AD21" s="7638" t="n"/>
      <c r="AE21" s="10883" t="n"/>
      <c r="AF21" s="11717" t="n"/>
      <c r="AG21" s="11717" t="n"/>
      <c r="AH21" s="11717" t="n"/>
      <c r="AI21" s="11717" t="n"/>
      <c r="AJ21" s="11717" t="n"/>
      <c r="AK21" s="2013" t="n"/>
      <c r="AL21" s="11602" t="n"/>
      <c r="AM21" s="7772" t="inlineStr">
        <is>
          <t>Part II, line 19</t>
        </is>
      </c>
      <c r="AN21" s="11602" t="n"/>
      <c r="AO21" s="2013" t="n"/>
      <c r="AP21" s="11602" t="n"/>
      <c r="AQ21" s="851">
        <f>IF(AE21="",0,ROUND(AE21,0))</f>
        <v/>
      </c>
      <c r="AR21" s="658" t="n"/>
      <c r="AS21" s="658" t="n"/>
      <c r="AT21" s="658" t="n"/>
      <c r="AU21" s="658" t="n"/>
      <c r="AV21" s="658" t="n"/>
      <c r="AW21" s="658" t="n"/>
      <c r="AX21" s="658" t="n"/>
      <c r="AY21" s="658" t="n"/>
      <c r="AZ21" s="658" t="n"/>
      <c r="BA21" s="658" t="n"/>
    </row>
    <row r="22" ht="9.75" customFormat="1" customHeight="1" s="815">
      <c r="A22" s="2013" t="n"/>
      <c r="B22" s="2013" t="n"/>
      <c r="C22" s="2013" t="n"/>
      <c r="D22" s="2013" t="n"/>
      <c r="E22" s="2013" t="n"/>
      <c r="F22" s="2013" t="n"/>
      <c r="G22" s="2013" t="n"/>
      <c r="H22" s="2013" t="n"/>
      <c r="I22" s="2013" t="n"/>
      <c r="J22" s="2013" t="n"/>
      <c r="K22" s="4468" t="n"/>
      <c r="L22" s="2013" t="n"/>
      <c r="M22" s="2013" t="n"/>
      <c r="N22" s="2013" t="n"/>
      <c r="O22" s="2013" t="n"/>
      <c r="P22" s="2013" t="n"/>
      <c r="Q22" s="2013" t="n"/>
      <c r="R22" s="2013" t="n"/>
      <c r="S22" s="2013" t="n"/>
      <c r="T22" s="2013" t="n"/>
      <c r="U22" s="5764" t="n"/>
      <c r="V22" s="2013" t="n"/>
      <c r="W22" s="2013" t="n"/>
      <c r="X22" s="2013" t="n"/>
      <c r="Y22" s="2013" t="n"/>
      <c r="Z22" s="2013" t="n"/>
      <c r="AA22" s="2013" t="n"/>
      <c r="AB22" s="2013" t="n"/>
      <c r="AC22" s="2013" t="n"/>
      <c r="AD22" s="2013" t="n"/>
      <c r="AE22" s="2013" t="n"/>
      <c r="AF22" s="2013" t="n"/>
      <c r="AG22" s="2013" t="n"/>
      <c r="AH22" s="2013" t="n"/>
      <c r="AI22" s="2013" t="n"/>
      <c r="AJ22" s="2013" t="n"/>
      <c r="AK22" s="2013" t="n"/>
      <c r="AL22" s="11602" t="n"/>
      <c r="AM22" s="11602" t="n"/>
      <c r="AN22" s="11602" t="n"/>
      <c r="AO22" s="2013" t="n"/>
      <c r="AP22" s="11602" t="n"/>
      <c r="AQ22" s="11602" t="n"/>
      <c r="AR22" s="658" t="n"/>
      <c r="AS22" s="658" t="n"/>
      <c r="AT22" s="658" t="n"/>
      <c r="AU22" s="658" t="n"/>
      <c r="AV22" s="658" t="n"/>
      <c r="AW22" s="658" t="n"/>
      <c r="AX22" s="658" t="n"/>
      <c r="AY22" s="658" t="n"/>
      <c r="AZ22" s="658" t="n"/>
      <c r="BA22" s="658" t="n"/>
    </row>
    <row r="23" ht="16.5" customFormat="1" customHeight="1" s="815">
      <c r="A23" s="2013" t="n"/>
      <c r="B23" s="5744">
        <f>"Form 8801 - Foreign Earned Income Tax Worksheet ("&amp;LastYear&amp;")"</f>
        <v/>
      </c>
      <c r="C23" s="2013" t="n"/>
      <c r="D23" s="2013" t="n"/>
      <c r="E23" s="2013" t="n"/>
      <c r="F23" s="2013" t="n"/>
      <c r="G23" s="2013" t="n"/>
      <c r="H23" s="2013" t="n"/>
      <c r="I23" s="2013" t="n"/>
      <c r="J23" s="2013" t="n"/>
      <c r="K23" s="4468" t="n"/>
      <c r="L23" s="2013" t="n"/>
      <c r="M23" s="2013" t="n"/>
      <c r="N23" s="2013" t="n"/>
      <c r="O23" s="2013" t="n"/>
      <c r="P23" s="2013" t="n"/>
      <c r="Q23" s="2013" t="n"/>
      <c r="R23" s="2013" t="n"/>
      <c r="S23" s="2013" t="n"/>
      <c r="T23" s="2013" t="n"/>
      <c r="U23" s="5764" t="n"/>
      <c r="V23" s="2013" t="n"/>
      <c r="W23" s="2013" t="n"/>
      <c r="X23" s="2013" t="n"/>
      <c r="Y23" s="2013" t="n"/>
      <c r="Z23" s="2013" t="n"/>
      <c r="AA23" s="2013" t="n"/>
      <c r="AB23" s="2013" t="n"/>
      <c r="AC23" s="2013" t="n"/>
      <c r="AD23" s="2013" t="n"/>
      <c r="AE23" s="2013" t="n"/>
      <c r="AF23" s="2013" t="n"/>
      <c r="AG23" s="2013" t="n"/>
      <c r="AH23" s="2013" t="n"/>
      <c r="AI23" s="2013" t="n"/>
      <c r="AJ23" s="2013" t="n"/>
      <c r="AK23" s="2013" t="n"/>
      <c r="AL23" s="11602" t="n"/>
      <c r="AM23" s="11602" t="n"/>
      <c r="AN23" s="11602" t="n"/>
      <c r="AO23" s="2013" t="n"/>
      <c r="AP23" s="11602" t="n"/>
      <c r="AQ23" s="11602" t="n"/>
      <c r="AR23" s="658" t="n"/>
      <c r="AS23" s="658" t="n"/>
      <c r="AT23" s="658" t="n"/>
      <c r="AU23" s="658" t="n"/>
      <c r="AV23" s="658" t="n"/>
      <c r="AW23" s="658" t="n"/>
      <c r="AX23" s="658" t="n"/>
      <c r="AY23" s="658" t="n"/>
      <c r="AZ23" s="658" t="n"/>
      <c r="BA23" s="658" t="n"/>
    </row>
    <row r="24" ht="16.5" customFormat="1" customHeight="1" s="815">
      <c r="A24" s="2013" t="n"/>
      <c r="B24" s="3340" t="inlineStr">
        <is>
          <t>3.</t>
        </is>
      </c>
      <c r="C24" s="2769" t="inlineStr">
        <is>
          <t>Add lines 1 and 2c.</t>
        </is>
      </c>
      <c r="D24" s="2769" t="n"/>
      <c r="E24" s="2770" t="n"/>
      <c r="F24" s="2770" t="n"/>
      <c r="G24" s="2770" t="n"/>
      <c r="H24" s="11262" t="n"/>
      <c r="I24" s="2770" t="n"/>
      <c r="J24" s="2770" t="n"/>
      <c r="K24" s="2770" t="n"/>
      <c r="L24" s="11262" t="n"/>
      <c r="M24" s="3222" t="inlineStr">
        <is>
          <t xml:space="preserve"> .   .</t>
        </is>
      </c>
      <c r="N24" s="5763" t="inlineStr">
        <is>
          <t>3.</t>
        </is>
      </c>
      <c r="O24" s="10883" t="n"/>
      <c r="P24" s="11717" t="n"/>
      <c r="Q24" s="11717" t="n"/>
      <c r="R24" s="11717" t="n"/>
      <c r="S24" s="2013" t="n"/>
      <c r="T24" s="2013" t="n"/>
      <c r="U24" s="2013" t="n"/>
      <c r="V24" s="2013" t="n"/>
      <c r="W24" s="2013" t="n"/>
      <c r="X24" s="2013" t="n"/>
      <c r="Y24" s="2013" t="n"/>
      <c r="Z24" s="2013" t="n"/>
      <c r="AA24" s="2013" t="n"/>
      <c r="AB24" s="2013" t="n"/>
      <c r="AC24" s="2013" t="n"/>
      <c r="AD24" s="2013" t="n"/>
      <c r="AE24" s="2013" t="n"/>
      <c r="AF24" s="2013" t="n"/>
      <c r="AG24" s="2013" t="n"/>
      <c r="AH24" s="2013" t="n"/>
      <c r="AI24" s="2013" t="n"/>
      <c r="AJ24" s="2013" t="n"/>
      <c r="AK24" s="2013" t="n"/>
      <c r="AL24" s="11602" t="n"/>
      <c r="AM24" s="7772" t="inlineStr">
        <is>
          <t>Part III, line 42</t>
        </is>
      </c>
      <c r="AN24" s="11602" t="n"/>
      <c r="AO24" s="2013" t="n"/>
      <c r="AP24" s="11602" t="n"/>
      <c r="AQ24" s="851">
        <f>IF(O24="",0,ROUND(O24,0))</f>
        <v/>
      </c>
      <c r="AR24" s="658" t="n"/>
      <c r="AS24" s="658" t="n"/>
      <c r="AT24" s="658" t="n"/>
      <c r="AU24" s="658" t="n"/>
      <c r="AV24" s="658" t="n"/>
      <c r="AW24" s="658" t="n"/>
      <c r="AX24" s="658" t="n"/>
      <c r="AY24" s="658" t="n"/>
      <c r="AZ24" s="658" t="n"/>
      <c r="BA24" s="658" t="n"/>
    </row>
    <row r="25" ht="15" customFormat="1" customHeight="1" s="815">
      <c r="A25" s="2013" t="n"/>
      <c r="B25" s="2013" t="n"/>
      <c r="C25" s="2326" t="n"/>
      <c r="D25" s="2013" t="n"/>
      <c r="E25" s="2013" t="n"/>
      <c r="F25" s="2013" t="n"/>
      <c r="G25" s="2013" t="n"/>
      <c r="H25" s="2013" t="n"/>
      <c r="I25" s="2013" t="n"/>
      <c r="J25" s="2013" t="n"/>
      <c r="K25" s="2013" t="n"/>
      <c r="L25" s="2013" t="n"/>
      <c r="M25" s="2013" t="n"/>
      <c r="N25" s="2013" t="n"/>
      <c r="O25" s="2013" t="n"/>
      <c r="P25" s="2013" t="n"/>
      <c r="Q25" s="2013" t="n"/>
      <c r="R25" s="2013" t="n"/>
      <c r="S25" s="2013" t="n"/>
      <c r="T25" s="2013" t="n"/>
      <c r="U25" s="2013" t="n"/>
      <c r="V25" s="2013" t="n"/>
      <c r="W25" s="2013" t="n"/>
      <c r="X25" s="2013" t="n"/>
      <c r="Y25" s="2013" t="n"/>
      <c r="Z25" s="2013" t="n"/>
      <c r="AA25" s="2013" t="n"/>
      <c r="AB25" s="2013" t="n"/>
      <c r="AC25" s="2326" t="n"/>
      <c r="AD25" s="2326" t="n"/>
      <c r="AE25" s="2013" t="n"/>
      <c r="AF25" s="2013" t="n"/>
      <c r="AG25" s="2013" t="n"/>
      <c r="AH25" s="2013" t="n"/>
      <c r="AI25" s="2013" t="n"/>
      <c r="AJ25" s="2013" t="n"/>
      <c r="AK25" s="2013" t="n"/>
      <c r="AL25" s="11602" t="n"/>
      <c r="AM25" s="11602" t="n"/>
      <c r="AN25" s="11602" t="n"/>
      <c r="AO25" s="2013" t="n"/>
      <c r="AP25" s="11602" t="n"/>
      <c r="AQ25" s="851" t="n"/>
      <c r="AR25" s="658" t="n"/>
      <c r="AS25" s="658" t="n"/>
      <c r="AT25" s="658" t="n"/>
      <c r="AU25" s="658" t="n"/>
      <c r="AV25" s="658" t="n"/>
      <c r="AW25" s="658" t="n"/>
      <c r="AX25" s="658" t="n"/>
      <c r="AY25" s="658" t="n"/>
      <c r="AZ25" s="658" t="n"/>
      <c r="BA25" s="658" t="n"/>
    </row>
    <row r="26" ht="16.5" customFormat="1" customHeight="1" s="815">
      <c r="A26" s="2013" t="n"/>
      <c r="B26" s="5744">
        <f>"Form 2555, Foreign Earned Income ("&amp;LastYear&amp;")"</f>
        <v/>
      </c>
      <c r="C26" s="2326" t="n"/>
      <c r="D26" s="2013" t="n"/>
      <c r="E26" s="2013" t="n"/>
      <c r="F26" s="2013" t="n"/>
      <c r="G26" s="2013" t="n"/>
      <c r="H26" s="2013" t="n"/>
      <c r="I26" s="2013" t="n"/>
      <c r="J26" s="2013" t="n"/>
      <c r="K26" s="4468" t="n"/>
      <c r="L26" s="2013" t="n"/>
      <c r="M26" s="2013" t="n"/>
      <c r="N26" s="5748" t="inlineStr">
        <is>
          <t>-   Combine amounts from all forms used.</t>
        </is>
      </c>
      <c r="O26" s="5720" t="n"/>
      <c r="P26" s="2013" t="n"/>
      <c r="Q26" s="2013" t="n"/>
      <c r="R26" s="2013" t="n"/>
      <c r="S26" s="2013" t="n"/>
      <c r="T26" s="2013" t="n"/>
      <c r="U26" s="2013" t="n"/>
      <c r="V26" s="2013" t="n"/>
      <c r="W26" s="2013" t="n"/>
      <c r="X26" s="2013" t="n"/>
      <c r="Y26" s="2013" t="n"/>
      <c r="Z26" s="2013" t="n"/>
      <c r="AA26" s="2013" t="n"/>
      <c r="AB26" s="2013" t="n"/>
      <c r="AC26" s="2326" t="n"/>
      <c r="AD26" s="2326" t="n"/>
      <c r="AE26" s="2013" t="n"/>
      <c r="AF26" s="2013" t="n"/>
      <c r="AG26" s="2013" t="n"/>
      <c r="AH26" s="2013" t="n"/>
      <c r="AI26" s="2013" t="n"/>
      <c r="AJ26" s="2013" t="n"/>
      <c r="AK26" s="2013" t="n"/>
      <c r="AL26" s="11602" t="n"/>
      <c r="AM26" s="11602" t="n"/>
      <c r="AN26" s="11602" t="n"/>
      <c r="AO26" s="2013" t="n"/>
      <c r="AP26" s="11602" t="n"/>
      <c r="AQ26" s="11602" t="n"/>
      <c r="AR26" s="658" t="n"/>
      <c r="AS26" s="658" t="n"/>
      <c r="AT26" s="658" t="n"/>
      <c r="AU26" s="658" t="n"/>
      <c r="AV26" s="658" t="n"/>
      <c r="AW26" s="658" t="n"/>
      <c r="AX26" s="658" t="n"/>
      <c r="AY26" s="658" t="n"/>
      <c r="AZ26" s="658" t="n"/>
      <c r="BA26" s="658" t="n"/>
    </row>
    <row r="27" ht="15.75" customFormat="1" customHeight="1" s="815">
      <c r="A27" s="2013" t="n"/>
      <c r="B27" s="2013" t="n"/>
      <c r="C27" s="2013" t="n"/>
      <c r="D27" s="2013" t="n"/>
      <c r="E27" s="2013" t="n"/>
      <c r="F27" s="2013" t="n"/>
      <c r="G27" s="2013" t="n"/>
      <c r="H27" s="2013" t="n"/>
      <c r="I27" s="2013" t="n"/>
      <c r="J27" s="2013" t="n"/>
      <c r="K27" s="4468" t="n"/>
      <c r="L27" s="2013" t="n"/>
      <c r="M27" s="2013" t="n"/>
      <c r="N27" s="2013" t="n"/>
      <c r="O27" s="5720" t="n"/>
      <c r="P27" s="2013" t="n"/>
      <c r="Q27" s="2013" t="n"/>
      <c r="R27" s="2013" t="n"/>
      <c r="S27" s="2013" t="n"/>
      <c r="T27" s="2013" t="n"/>
      <c r="U27" s="2013" t="n"/>
      <c r="V27" s="2013" t="n"/>
      <c r="W27" s="2013" t="n"/>
      <c r="X27" s="2013" t="n"/>
      <c r="Y27" s="2013" t="n"/>
      <c r="Z27" s="2013" t="n"/>
      <c r="AA27" s="2013" t="n"/>
      <c r="AB27" s="2013" t="n"/>
      <c r="AC27" s="2013" t="n"/>
      <c r="AD27" s="2013" t="n"/>
      <c r="AE27" s="2013" t="n"/>
      <c r="AF27" s="2013" t="n"/>
      <c r="AG27" s="2013" t="n"/>
      <c r="AH27" s="2013" t="n"/>
      <c r="AI27" s="2013" t="n"/>
      <c r="AJ27" s="2013" t="n"/>
      <c r="AK27" s="2013" t="n"/>
      <c r="AL27" s="11602" t="n"/>
      <c r="AM27" s="11602" t="n"/>
      <c r="AN27" s="11602" t="n"/>
      <c r="AO27" s="2013" t="n"/>
      <c r="AP27" s="11602" t="n"/>
      <c r="AQ27" s="11602" t="n"/>
      <c r="AR27" s="658" t="n"/>
      <c r="AS27" s="658" t="n"/>
      <c r="AT27" s="658" t="n"/>
      <c r="AU27" s="658" t="n"/>
      <c r="AV27" s="658" t="n"/>
      <c r="AW27" s="658" t="n"/>
      <c r="AX27" s="658" t="n"/>
      <c r="AY27" s="658" t="n"/>
      <c r="AZ27" s="658" t="n"/>
      <c r="BA27" s="658" t="n"/>
    </row>
    <row r="28" ht="13.5" customFormat="1" customHeight="1" s="815">
      <c r="A28" s="2013" t="n"/>
      <c r="B28" s="11602" t="n"/>
      <c r="C28" s="5735" t="inlineStr">
        <is>
          <t>45</t>
        </is>
      </c>
      <c r="D28" s="344" t="inlineStr">
        <is>
          <t>Subtract line 44 from line 43. Enter the result here and in parentheses on Schedule 1 (Form 1040),</t>
        </is>
      </c>
      <c r="E28" s="11602" t="n"/>
      <c r="F28" s="11602" t="n"/>
      <c r="G28" s="11602" t="n"/>
      <c r="H28" s="11602" t="n"/>
      <c r="I28" s="11602" t="n"/>
      <c r="J28" s="11602" t="n"/>
      <c r="K28" s="11602" t="n"/>
      <c r="L28" s="11602" t="n"/>
      <c r="M28" s="11602" t="n"/>
      <c r="N28" s="11602" t="n"/>
      <c r="O28" s="11602" t="n"/>
      <c r="P28" s="11602" t="n"/>
      <c r="Q28" s="11602" t="n"/>
      <c r="R28" s="11602" t="n"/>
      <c r="S28" s="11602" t="n"/>
      <c r="T28" s="11602" t="n"/>
      <c r="U28" s="11602" t="n"/>
      <c r="V28" s="11602" t="n"/>
      <c r="W28" s="11602" t="n"/>
      <c r="X28" s="11602" t="n"/>
      <c r="Y28" s="11602" t="n"/>
      <c r="Z28" s="11602" t="n"/>
      <c r="AA28" s="11602" t="n"/>
      <c r="AB28" s="11602" t="n"/>
      <c r="AC28" s="7612" t="n"/>
      <c r="AD28" s="7636" t="n"/>
      <c r="AE28" s="12452" t="n"/>
      <c r="AK28" s="2013" t="n"/>
      <c r="AL28" s="11602" t="n"/>
      <c r="AM28" s="7772" t="inlineStr">
        <is>
          <t>Foreign Earned Income</t>
        </is>
      </c>
      <c r="AN28" s="11602" t="n"/>
      <c r="AO28" s="2013" t="n"/>
      <c r="AP28" s="11602" t="n"/>
      <c r="AQ28" s="11602" t="n"/>
      <c r="AR28" s="658" t="n"/>
      <c r="AS28" s="658" t="n"/>
      <c r="AT28" s="658" t="n"/>
      <c r="AU28" s="658" t="n"/>
      <c r="AV28" s="658" t="n"/>
      <c r="AW28" s="658" t="n"/>
      <c r="AX28" s="658" t="n"/>
      <c r="AY28" s="658" t="n"/>
      <c r="AZ28" s="658" t="n"/>
      <c r="BA28" s="658" t="n"/>
    </row>
    <row r="29" ht="13.5" customFormat="1" customHeight="1" s="815">
      <c r="A29" s="2013" t="n"/>
      <c r="B29" s="11602" t="n"/>
      <c r="C29" s="7772" t="n"/>
      <c r="D29" s="344" t="inlineStr">
        <is>
          <t>line 8d. Complete the Foreign Earned Income Tax Worksheet in the Instructions for Form 1040 if</t>
        </is>
      </c>
      <c r="E29" s="11602" t="n"/>
      <c r="F29" s="11602" t="n"/>
      <c r="G29" s="11602" t="n"/>
      <c r="H29" s="11602" t="n"/>
      <c r="I29" s="11602" t="n"/>
      <c r="J29" s="11602" t="n"/>
      <c r="K29" s="11602" t="n"/>
      <c r="L29" s="11602" t="n"/>
      <c r="M29" s="11602" t="n"/>
      <c r="N29" s="11602" t="n"/>
      <c r="O29" s="11602" t="n"/>
      <c r="P29" s="11602" t="n"/>
      <c r="Q29" s="11602" t="n"/>
      <c r="R29" s="11602" t="n"/>
      <c r="S29" s="11602" t="n"/>
      <c r="T29" s="11602" t="n"/>
      <c r="U29" s="11602" t="n"/>
      <c r="V29" s="11602" t="n"/>
      <c r="W29" s="11602" t="n"/>
      <c r="X29" s="11602" t="n"/>
      <c r="Y29" s="11602" t="n"/>
      <c r="Z29" s="11602" t="n"/>
      <c r="AA29" s="11602" t="n"/>
      <c r="AB29" s="11602" t="n"/>
      <c r="AC29" s="7612" t="n"/>
      <c r="AD29" s="7636" t="n"/>
      <c r="AE29" s="12452" t="n"/>
      <c r="AK29" s="2013" t="n"/>
      <c r="AL29" s="11602" t="n"/>
      <c r="AM29" s="7772" t="inlineStr">
        <is>
          <t>Tax Worksheet (FEI TW)</t>
        </is>
      </c>
      <c r="AN29" s="11602" t="n"/>
      <c r="AO29" s="2013" t="n"/>
      <c r="AP29" s="11602" t="n"/>
      <c r="AQ29" s="11602" t="n"/>
      <c r="AR29" s="658" t="n"/>
      <c r="AS29" s="658" t="n"/>
      <c r="AT29" s="658" t="n"/>
      <c r="AU29" s="658" t="n"/>
      <c r="AV29" s="658" t="n"/>
      <c r="AW29" s="658" t="n"/>
      <c r="AX29" s="658" t="n"/>
      <c r="AY29" s="658" t="n"/>
      <c r="AZ29" s="658" t="n"/>
      <c r="BA29" s="658" t="n"/>
    </row>
    <row r="30" ht="13.5" customFormat="1" customHeight="1" s="815">
      <c r="A30" s="2013" t="n"/>
      <c r="B30" s="11602" t="n"/>
      <c r="C30" s="7772" t="n"/>
      <c r="D30" s="344" t="inlineStr">
        <is>
          <t>you enter an amount on this line</t>
        </is>
      </c>
      <c r="E30" s="11602" t="n"/>
      <c r="F30" s="11602" t="n"/>
      <c r="G30" s="11602" t="n"/>
      <c r="H30" s="11602" t="n"/>
      <c r="I30" s="11602" t="n"/>
      <c r="J30" s="11602" t="n"/>
      <c r="K30" s="11602" t="n"/>
      <c r="L30" s="11602" t="n"/>
      <c r="M30" s="11602" t="n"/>
      <c r="N30" s="11602" t="n"/>
      <c r="O30" s="11602" t="n"/>
      <c r="P30" s="11602" t="n"/>
      <c r="Q30" s="11602" t="n"/>
      <c r="R30" s="11602" t="n"/>
      <c r="S30" s="11602" t="n"/>
      <c r="T30" s="11602" t="n"/>
      <c r="U30" s="11602" t="n"/>
      <c r="V30" s="11602" t="n"/>
      <c r="W30" s="11602" t="n"/>
      <c r="X30" s="11602" t="n"/>
      <c r="Y30" s="11602" t="n"/>
      <c r="Z30" s="11602" t="n"/>
      <c r="AA30" s="11602" t="n"/>
      <c r="AB30" s="2031" t="inlineStr">
        <is>
          <t xml:space="preserve">.   .   .   .   .   .   .   .   .   .   .   .   .   .   .   .   .   .   .   .   . </t>
        </is>
      </c>
      <c r="AC30" s="8389" t="n">
        <v>45</v>
      </c>
      <c r="AD30" s="7638" t="n"/>
      <c r="AE30" s="10883" t="n"/>
      <c r="AF30" s="11717" t="n"/>
      <c r="AG30" s="11717" t="n"/>
      <c r="AH30" s="11717" t="n"/>
      <c r="AI30" s="11717" t="n"/>
      <c r="AJ30" s="11717" t="n"/>
      <c r="AK30" s="2013" t="n"/>
      <c r="AL30" s="11602" t="n"/>
      <c r="AM30" s="7772" t="inlineStr">
        <is>
          <t>line 2a</t>
        </is>
      </c>
      <c r="AN30" s="11602" t="n"/>
      <c r="AO30" s="2013" t="n"/>
      <c r="AP30" s="11602" t="n"/>
      <c r="AQ30" s="851">
        <f>IF(AE30="",0,ROUND(AE30,0))</f>
        <v/>
      </c>
      <c r="AR30" s="658" t="n"/>
      <c r="AS30" s="658" t="n"/>
      <c r="AT30" s="658" t="n"/>
      <c r="AU30" s="658" t="n"/>
      <c r="AV30" s="658" t="n"/>
      <c r="AW30" s="658" t="n"/>
      <c r="AX30" s="658" t="n"/>
      <c r="AY30" s="658" t="n"/>
      <c r="AZ30" s="658" t="n"/>
      <c r="BA30" s="658" t="n"/>
    </row>
    <row r="31" ht="7.5" customFormat="1" customHeight="1" s="815">
      <c r="A31" s="2013" t="n"/>
      <c r="B31" s="2013" t="n"/>
      <c r="C31" s="2326" t="n"/>
      <c r="D31" s="2013" t="n"/>
      <c r="E31" s="2013" t="n"/>
      <c r="F31" s="2013" t="n"/>
      <c r="G31" s="2013" t="n"/>
      <c r="H31" s="2013" t="n"/>
      <c r="I31" s="2013" t="n"/>
      <c r="J31" s="2013" t="n"/>
      <c r="K31" s="4468" t="n"/>
      <c r="L31" s="2013" t="n"/>
      <c r="M31" s="2013" t="n"/>
      <c r="N31" s="2013" t="n"/>
      <c r="O31" s="5720" t="n"/>
      <c r="P31" s="2013" t="n"/>
      <c r="Q31" s="2013" t="n"/>
      <c r="R31" s="2013" t="n"/>
      <c r="S31" s="2013" t="n"/>
      <c r="T31" s="2013" t="n"/>
      <c r="U31" s="2013" t="n"/>
      <c r="V31" s="2013" t="n"/>
      <c r="W31" s="2013" t="n"/>
      <c r="X31" s="2013" t="n"/>
      <c r="Y31" s="2013" t="n"/>
      <c r="Z31" s="2013" t="n"/>
      <c r="AA31" s="2013" t="n"/>
      <c r="AB31" s="2013" t="n"/>
      <c r="AC31" s="2326" t="n"/>
      <c r="AD31" s="2326" t="n"/>
      <c r="AE31" s="2013" t="n"/>
      <c r="AF31" s="2013" t="n"/>
      <c r="AG31" s="2013" t="n"/>
      <c r="AH31" s="2013" t="n"/>
      <c r="AI31" s="2013" t="n"/>
      <c r="AJ31" s="2013" t="n"/>
      <c r="AK31" s="2013" t="n"/>
      <c r="AL31" s="11602" t="n"/>
      <c r="AM31" s="11602" t="n"/>
      <c r="AN31" s="11602" t="n"/>
      <c r="AO31" s="2013" t="n"/>
      <c r="AP31" s="11602" t="n"/>
      <c r="AQ31" s="11602" t="n"/>
      <c r="AR31" s="658" t="n"/>
      <c r="AS31" s="658" t="n"/>
      <c r="AT31" s="658" t="n"/>
      <c r="AU31" s="658" t="n"/>
      <c r="AV31" s="658" t="n"/>
      <c r="AW31" s="658" t="n"/>
      <c r="AX31" s="658" t="n"/>
      <c r="AY31" s="658" t="n"/>
      <c r="AZ31" s="658" t="n"/>
      <c r="BA31" s="658" t="n"/>
    </row>
    <row r="32" ht="14.25" customFormat="1" customHeight="1" s="815">
      <c r="A32" s="2013" t="n"/>
      <c r="B32" s="11602" t="n"/>
      <c r="C32" s="5735" t="inlineStr">
        <is>
          <t>50</t>
        </is>
      </c>
      <c r="D32" s="344" t="inlineStr">
        <is>
          <t>Housing deduction.  Add lines 48 and 49. Enter the total here and on Schedule 1 (Form 1040),</t>
        </is>
      </c>
      <c r="E32" s="11602" t="n"/>
      <c r="F32" s="11602" t="n"/>
      <c r="G32" s="11602" t="n"/>
      <c r="H32" s="11602" t="n"/>
      <c r="I32" s="11602" t="n"/>
      <c r="J32" s="11602" t="n"/>
      <c r="K32" s="11602" t="n"/>
      <c r="L32" s="11602" t="n"/>
      <c r="M32" s="11602" t="n"/>
      <c r="N32" s="11602" t="n"/>
      <c r="O32" s="11602" t="n"/>
      <c r="P32" s="11602" t="n"/>
      <c r="Q32" s="11602" t="n"/>
      <c r="R32" s="11602" t="n"/>
      <c r="S32" s="11602" t="n"/>
      <c r="T32" s="11602" t="n"/>
      <c r="U32" s="11602" t="n"/>
      <c r="V32" s="11602" t="n"/>
      <c r="W32" s="11602" t="n"/>
      <c r="X32" s="11602" t="n"/>
      <c r="Y32" s="11602" t="n"/>
      <c r="Z32" s="11602" t="n"/>
      <c r="AA32" s="11602" t="n"/>
      <c r="AB32" s="11602" t="n"/>
      <c r="AC32" s="7612" t="n"/>
      <c r="AD32" s="7636" t="n"/>
      <c r="AE32" s="8977" t="n"/>
      <c r="AG32" s="7914" t="n"/>
      <c r="AI32" s="7914" t="n"/>
      <c r="AK32" s="2013" t="n"/>
      <c r="AL32" s="11602" t="n"/>
      <c r="AM32" s="5777" t="inlineStr">
        <is>
          <t>(See FEI TW below.)</t>
        </is>
      </c>
      <c r="AN32" s="11602" t="n"/>
      <c r="AO32" s="2013" t="n"/>
      <c r="AP32" s="11602" t="n"/>
      <c r="AQ32" s="5767">
        <f>OR(AE30&lt;&gt;"",AE34&lt;&gt;"")</f>
        <v/>
      </c>
      <c r="AR32" s="658" t="n"/>
      <c r="AS32" s="658" t="n"/>
      <c r="AT32" s="658" t="n"/>
      <c r="AU32" s="658" t="n"/>
      <c r="AV32" s="658" t="n"/>
      <c r="AW32" s="658" t="n"/>
      <c r="AX32" s="658" t="n"/>
      <c r="AY32" s="658" t="n"/>
      <c r="AZ32" s="658" t="n"/>
      <c r="BA32" s="658" t="n"/>
    </row>
    <row r="33" ht="14.25" customFormat="1" customHeight="1" s="815">
      <c r="A33" s="2013" t="n"/>
      <c r="B33" s="11602" t="n"/>
      <c r="C33" s="7772" t="n"/>
      <c r="D33" s="344" t="inlineStr">
        <is>
          <t>line 24j. Complete the Foreign Earned Income Tax Worksheet in the Instructions for Forms 1040</t>
        </is>
      </c>
      <c r="E33" s="11602" t="n"/>
      <c r="F33" s="11602" t="n"/>
      <c r="G33" s="11602" t="n"/>
      <c r="H33" s="11602" t="n"/>
      <c r="I33" s="11602" t="n"/>
      <c r="J33" s="11602" t="n"/>
      <c r="K33" s="11602" t="n"/>
      <c r="L33" s="11602" t="n"/>
      <c r="M33" s="11602" t="n"/>
      <c r="N33" s="11602" t="n"/>
      <c r="O33" s="11602" t="n"/>
      <c r="P33" s="11602" t="n"/>
      <c r="Q33" s="11602" t="n"/>
      <c r="R33" s="11602" t="n"/>
      <c r="S33" s="11602" t="n"/>
      <c r="T33" s="11602" t="n"/>
      <c r="U33" s="11602" t="n"/>
      <c r="V33" s="11602" t="n"/>
      <c r="W33" s="11602" t="n"/>
      <c r="X33" s="11602" t="n"/>
      <c r="Y33" s="11602" t="n"/>
      <c r="Z33" s="11602" t="n"/>
      <c r="AA33" s="11602" t="n"/>
      <c r="AB33" s="11602" t="n"/>
      <c r="AC33" s="7612" t="n"/>
      <c r="AD33" s="7636" t="n"/>
      <c r="AE33" s="8977" t="n"/>
      <c r="AG33" s="7914" t="n"/>
      <c r="AI33" s="7914" t="n"/>
      <c r="AK33" s="2013" t="n"/>
      <c r="AL33" s="11602" t="n"/>
      <c r="AM33" s="344" t="n"/>
      <c r="AN33" s="11602" t="n"/>
      <c r="AO33" s="2013" t="n"/>
      <c r="AP33" s="11602" t="n"/>
      <c r="AQ33" s="11602" t="n"/>
      <c r="AR33" s="658" t="n"/>
      <c r="AS33" s="658" t="n"/>
      <c r="AT33" s="658" t="n"/>
      <c r="AU33" s="658" t="n"/>
      <c r="AV33" s="658" t="n"/>
      <c r="AW33" s="658" t="n"/>
      <c r="AX33" s="658" t="n"/>
      <c r="AY33" s="658" t="n"/>
      <c r="AZ33" s="658" t="n"/>
      <c r="BA33" s="658" t="n"/>
    </row>
    <row r="34" ht="14.25" customFormat="1" customHeight="1" s="815">
      <c r="A34" s="2013" t="n"/>
      <c r="B34" s="11602" t="n"/>
      <c r="C34" s="7772" t="n"/>
      <c r="D34" s="344" t="inlineStr">
        <is>
          <t>and 1040-SR an amount on this line</t>
        </is>
      </c>
      <c r="E34" s="11602" t="n"/>
      <c r="F34" s="11602" t="n"/>
      <c r="G34" s="11602" t="n"/>
      <c r="H34" s="11602" t="n"/>
      <c r="I34" s="11602" t="n"/>
      <c r="J34" s="11602" t="n"/>
      <c r="K34" s="11602" t="n"/>
      <c r="L34" s="11602" t="n"/>
      <c r="M34" s="11602" t="n"/>
      <c r="N34" s="11602" t="n"/>
      <c r="O34" s="11602" t="n"/>
      <c r="P34" s="11602" t="n"/>
      <c r="Q34" s="11602" t="n"/>
      <c r="R34" s="11602" t="n"/>
      <c r="S34" s="11602" t="n"/>
      <c r="T34" s="11602" t="n"/>
      <c r="U34" s="11602" t="n"/>
      <c r="V34" s="11602" t="n"/>
      <c r="W34" s="11602" t="n"/>
      <c r="X34" s="11602" t="n"/>
      <c r="Y34" s="11602" t="n"/>
      <c r="Z34" s="11602" t="n"/>
      <c r="AA34" s="11602" t="n"/>
      <c r="AB34" s="2031" t="inlineStr">
        <is>
          <t xml:space="preserve">.   .   .   .   .   .   .   .   .   .   .   .   .   .   .   .   .   .   .   .   .   .   .   .   .   .   .   . </t>
        </is>
      </c>
      <c r="AC34" s="8389" t="n">
        <v>50</v>
      </c>
      <c r="AD34" s="7638" t="n"/>
      <c r="AE34" s="10901" t="n"/>
      <c r="AF34" s="11717" t="n"/>
      <c r="AG34" s="11717" t="n"/>
      <c r="AH34" s="11717" t="n"/>
      <c r="AI34" s="11717" t="n"/>
      <c r="AJ34" s="11717" t="n"/>
      <c r="AK34" s="2013" t="n"/>
      <c r="AL34" s="11602" t="n"/>
      <c r="AM34" s="7772" t="inlineStr">
        <is>
          <t>FEI TW line 2a</t>
        </is>
      </c>
      <c r="AN34" s="11602" t="n"/>
      <c r="AO34" s="2013" t="n"/>
      <c r="AP34" s="11602" t="n"/>
      <c r="AQ34" s="851">
        <f>IF(AE34="",0,ROUND(AE34,0))</f>
        <v/>
      </c>
      <c r="AR34" s="658" t="n"/>
      <c r="AS34" s="658" t="n"/>
      <c r="AT34" s="658" t="n"/>
      <c r="AU34" s="658" t="n"/>
      <c r="AV34" s="658" t="n"/>
      <c r="AW34" s="658" t="n"/>
      <c r="AX34" s="658" t="n"/>
      <c r="AY34" s="658" t="n"/>
      <c r="AZ34" s="658" t="n"/>
      <c r="BA34" s="658" t="n"/>
    </row>
    <row r="35" ht="15.75" customFormat="1" customHeight="1" s="815">
      <c r="A35" s="2013" t="n"/>
      <c r="B35" s="2013" t="n"/>
      <c r="C35" s="2013" t="n"/>
      <c r="D35" s="2013" t="n"/>
      <c r="E35" s="2013" t="n"/>
      <c r="F35" s="2013" t="n"/>
      <c r="G35" s="2013" t="n"/>
      <c r="H35" s="2013" t="n"/>
      <c r="I35" s="2013" t="n"/>
      <c r="J35" s="2013" t="n"/>
      <c r="K35" s="4468" t="n"/>
      <c r="L35" s="2013" t="n"/>
      <c r="M35" s="2013" t="n"/>
      <c r="N35" s="2013" t="n"/>
      <c r="O35" s="5720" t="n"/>
      <c r="P35" s="2013" t="n"/>
      <c r="Q35" s="2013" t="n"/>
      <c r="R35" s="2013" t="n"/>
      <c r="S35" s="2013" t="n"/>
      <c r="T35" s="2013" t="n"/>
      <c r="U35" s="2013" t="n"/>
      <c r="V35" s="2013" t="n"/>
      <c r="W35" s="2013" t="n"/>
      <c r="X35" s="2013" t="n"/>
      <c r="Y35" s="2013" t="n"/>
      <c r="Z35" s="2013" t="n"/>
      <c r="AA35" s="2013" t="n"/>
      <c r="AB35" s="2013" t="n"/>
      <c r="AC35" s="2013" t="n"/>
      <c r="AD35" s="2013" t="n"/>
      <c r="AE35" s="2013" t="n"/>
      <c r="AF35" s="2013" t="n"/>
      <c r="AG35" s="2013" t="n"/>
      <c r="AH35" s="2013" t="n"/>
      <c r="AI35" s="2013" t="n"/>
      <c r="AJ35" s="2013" t="n"/>
      <c r="AK35" s="2013" t="n"/>
      <c r="AL35" s="11602" t="n"/>
      <c r="AM35" s="11602" t="n"/>
      <c r="AN35" s="11602" t="n"/>
      <c r="AO35" s="2013" t="n"/>
      <c r="AP35" s="11602" t="n"/>
      <c r="AQ35" s="11602" t="n"/>
      <c r="AR35" s="658" t="n"/>
      <c r="AS35" s="658" t="n"/>
      <c r="AT35" s="658" t="n"/>
      <c r="AU35" s="658" t="n"/>
      <c r="AV35" s="658" t="n"/>
      <c r="AW35" s="658" t="n"/>
      <c r="AX35" s="658" t="n"/>
      <c r="AY35" s="658" t="n"/>
      <c r="AZ35" s="658" t="n"/>
      <c r="BA35" s="658" t="n"/>
    </row>
    <row r="36" ht="16.5" customFormat="1" customHeight="1" s="815">
      <c r="A36" s="2013" t="n"/>
      <c r="B36" s="5744">
        <f>"Form 1040, US Individual Income Tax Return ("&amp;LastYear&amp;")"</f>
        <v/>
      </c>
      <c r="C36" s="2013" t="n"/>
      <c r="D36" s="2013" t="n"/>
      <c r="E36" s="2013" t="n"/>
      <c r="F36" s="2013" t="n"/>
      <c r="G36" s="2013" t="n"/>
      <c r="H36" s="2013" t="n"/>
      <c r="I36" s="2013" t="n"/>
      <c r="J36" s="2013" t="n"/>
      <c r="K36" s="4468" t="n"/>
      <c r="L36" s="2013" t="n"/>
      <c r="M36" s="2013" t="n"/>
      <c r="N36" s="2013" t="n"/>
      <c r="O36" s="5720" t="n"/>
      <c r="P36" s="2013" t="n"/>
      <c r="Q36" s="2013" t="n"/>
      <c r="R36" s="2013" t="n"/>
      <c r="S36" s="2013" t="n"/>
      <c r="T36" s="2013" t="n"/>
      <c r="U36" s="2013" t="n"/>
      <c r="V36" s="2013" t="n"/>
      <c r="W36" s="2013" t="n"/>
      <c r="X36" s="2013" t="n"/>
      <c r="Y36" s="2013" t="n"/>
      <c r="Z36" s="2013" t="n"/>
      <c r="AA36" s="2013" t="n"/>
      <c r="AB36" s="2013" t="n"/>
      <c r="AC36" s="2013" t="n"/>
      <c r="AD36" s="2013" t="n"/>
      <c r="AE36" s="2013" t="n"/>
      <c r="AF36" s="2013" t="n"/>
      <c r="AG36" s="2013" t="n"/>
      <c r="AH36" s="2013" t="n"/>
      <c r="AI36" s="2013" t="n"/>
      <c r="AJ36" s="2013" t="n"/>
      <c r="AK36" s="2013" t="n"/>
      <c r="AL36" s="11602" t="n"/>
      <c r="AM36" s="11602" t="n"/>
      <c r="AN36" s="11602" t="n"/>
      <c r="AO36" s="2013" t="n"/>
      <c r="AP36" s="11602" t="n"/>
      <c r="AQ36" s="11602" t="n"/>
      <c r="AR36" s="658" t="n"/>
      <c r="AS36" s="658" t="n"/>
      <c r="AT36" s="658" t="n"/>
      <c r="AU36" s="658" t="n"/>
      <c r="AV36" s="658" t="n"/>
      <c r="AW36" s="658" t="n"/>
      <c r="AX36" s="658" t="n"/>
      <c r="AY36" s="658" t="n"/>
      <c r="AZ36" s="658" t="n"/>
      <c r="BA36" s="658" t="n"/>
    </row>
    <row r="37" ht="16.5" customFormat="1" customHeight="1" s="815">
      <c r="A37" s="2013" t="n"/>
      <c r="B37" s="2551" t="inlineStr">
        <is>
          <t xml:space="preserve"> - Qualified dividends reported on line 3a.</t>
        </is>
      </c>
      <c r="C37" s="2013" t="n"/>
      <c r="D37" s="2013" t="n"/>
      <c r="E37" s="2013" t="n"/>
      <c r="F37" s="2013" t="n"/>
      <c r="G37" s="2013" t="n"/>
      <c r="H37" s="2013" t="n"/>
      <c r="I37" s="2013" t="n"/>
      <c r="J37" s="2013" t="n"/>
      <c r="K37" s="4468" t="n"/>
      <c r="L37" s="2013" t="n"/>
      <c r="M37" s="2013" t="n"/>
      <c r="N37" s="2013" t="n"/>
      <c r="O37" s="5720" t="n"/>
      <c r="P37" s="2013" t="n"/>
      <c r="Q37" s="2013" t="n"/>
      <c r="R37" s="2013" t="n"/>
      <c r="S37" s="2013" t="n"/>
      <c r="T37" s="2013" t="n"/>
      <c r="U37" s="2013" t="n"/>
      <c r="V37" s="2013" t="n"/>
      <c r="W37" s="2013" t="n"/>
      <c r="X37" s="2013" t="n"/>
      <c r="Y37" s="2013" t="n"/>
      <c r="Z37" s="2013" t="n"/>
      <c r="AA37" s="2013" t="n"/>
      <c r="AB37" s="2013" t="n"/>
      <c r="AC37" s="2013" t="n"/>
      <c r="AD37" s="2013" t="n"/>
      <c r="AE37" s="2013" t="n"/>
      <c r="AF37" s="2013" t="n"/>
      <c r="AG37" s="2013" t="n"/>
      <c r="AH37" s="2013" t="n"/>
      <c r="AI37" s="2013" t="n"/>
      <c r="AJ37" s="2013" t="n"/>
      <c r="AK37" s="2013" t="n"/>
      <c r="AL37" s="11602" t="n"/>
      <c r="AM37" s="7772" t="inlineStr">
        <is>
          <t>Part I, line 11, and</t>
        </is>
      </c>
      <c r="AN37" s="11602" t="n"/>
      <c r="AO37" s="2013" t="n"/>
      <c r="AP37" s="11602" t="n"/>
      <c r="AQ37" s="11602" t="n"/>
      <c r="AR37" s="658" t="n"/>
      <c r="AS37" s="658" t="n"/>
      <c r="AT37" s="658" t="n"/>
      <c r="AU37" s="658" t="n"/>
      <c r="AV37" s="658" t="n"/>
      <c r="AW37" s="658" t="n"/>
      <c r="AX37" s="658" t="n"/>
      <c r="AY37" s="658" t="n"/>
      <c r="AZ37" s="658" t="n"/>
      <c r="BA37" s="658" t="n"/>
    </row>
    <row r="38" ht="16.5" customFormat="1" customHeight="1" s="815">
      <c r="A38" s="2013" t="n"/>
      <c r="B38" s="1888" t="n">
        <v>3</v>
      </c>
      <c r="C38" s="1890" t="inlineStr">
        <is>
          <t>a</t>
        </is>
      </c>
      <c r="D38" s="1897" t="inlineStr">
        <is>
          <t>Qualified dividends</t>
        </is>
      </c>
      <c r="E38" s="1887" t="n"/>
      <c r="F38" s="1887" t="n"/>
      <c r="G38" s="1887" t="n"/>
      <c r="H38" s="11744" t="inlineStr">
        <is>
          <t xml:space="preserve"> . </t>
        </is>
      </c>
      <c r="I38" s="11746">
        <f>B38&amp;"a"</f>
        <v/>
      </c>
      <c r="J38" s="11734" t="n"/>
      <c r="K38" s="7850" t="n"/>
      <c r="L38" s="11717" t="n"/>
      <c r="M38" s="11717" t="n"/>
      <c r="N38" s="11717" t="n"/>
      <c r="O38" s="2013" t="n"/>
      <c r="P38" s="2551" t="inlineStr">
        <is>
          <t>Used at Part I, line 11, and Foreign Earned Income Tax Worksheet, line 4</t>
        </is>
      </c>
      <c r="Q38" s="2013" t="n"/>
      <c r="R38" s="2013" t="n"/>
      <c r="S38" s="2013" t="n"/>
      <c r="T38" s="2013" t="n"/>
      <c r="U38" s="2013" t="n"/>
      <c r="V38" s="2013" t="n"/>
      <c r="W38" s="2013" t="n"/>
      <c r="X38" s="2013" t="n"/>
      <c r="Y38" s="2013" t="n"/>
      <c r="Z38" s="2013" t="n"/>
      <c r="AA38" s="2013" t="n"/>
      <c r="AB38" s="2013" t="n"/>
      <c r="AC38" s="2013" t="n"/>
      <c r="AD38" s="2013" t="n"/>
      <c r="AE38" s="2013" t="n"/>
      <c r="AF38" s="2013" t="n"/>
      <c r="AG38" s="2013" t="n"/>
      <c r="AH38" s="2013" t="n"/>
      <c r="AI38" s="2013" t="n"/>
      <c r="AJ38" s="2013" t="n"/>
      <c r="AK38" s="2013" t="n"/>
      <c r="AL38" s="11602" t="n"/>
      <c r="AM38" s="7772" t="inlineStr">
        <is>
          <t>FEI TW, line 4</t>
        </is>
      </c>
      <c r="AN38" s="11602" t="n"/>
      <c r="AO38" s="2013" t="n"/>
      <c r="AP38" s="11602" t="n"/>
      <c r="AQ38" s="5765">
        <f>AND($K$38&lt;&gt;"",$K$38&lt;&gt;0)</f>
        <v/>
      </c>
      <c r="AR38" s="658" t="n"/>
      <c r="AS38" s="658" t="n"/>
      <c r="AT38" s="658" t="n"/>
      <c r="AU38" s="658" t="n"/>
      <c r="AV38" s="658" t="n"/>
      <c r="AW38" s="658" t="n"/>
      <c r="AX38" s="658" t="n"/>
      <c r="AY38" s="658" t="n"/>
      <c r="AZ38" s="658" t="n"/>
      <c r="BA38" s="658" t="n"/>
    </row>
    <row r="39" ht="16.5" customFormat="1" customHeight="1" s="815">
      <c r="A39" s="2013" t="n"/>
      <c r="B39" s="2551" t="inlineStr">
        <is>
          <t xml:space="preserve"> - Capital gains reported directly on line 7.</t>
        </is>
      </c>
      <c r="C39" s="2013" t="n"/>
      <c r="D39" s="2013" t="n"/>
      <c r="E39" s="2013" t="n"/>
      <c r="F39" s="2013" t="n"/>
      <c r="G39" s="2013" t="n"/>
      <c r="H39" s="2013" t="n"/>
      <c r="I39" s="2013" t="n"/>
      <c r="J39" s="2013" t="n"/>
      <c r="K39" s="4468" t="n"/>
      <c r="L39" s="2013" t="n"/>
      <c r="M39" s="2013" t="n"/>
      <c r="N39" s="2013" t="n"/>
      <c r="O39" s="5720" t="n"/>
      <c r="P39" s="2013" t="n"/>
      <c r="Q39" s="2013" t="n"/>
      <c r="R39" s="2013" t="n"/>
      <c r="S39" s="2013" t="n"/>
      <c r="T39" s="2013" t="n"/>
      <c r="U39" s="2013" t="n"/>
      <c r="V39" s="2013" t="n"/>
      <c r="W39" s="2013" t="n"/>
      <c r="X39" s="2013" t="n"/>
      <c r="Y39" s="2013" t="n"/>
      <c r="Z39" s="2013" t="n"/>
      <c r="AA39" s="2013" t="n"/>
      <c r="AB39" s="2013" t="n"/>
      <c r="AC39" s="2013" t="n"/>
      <c r="AD39" s="2013" t="n"/>
      <c r="AE39" s="2013" t="n"/>
      <c r="AF39" s="2013" t="n"/>
      <c r="AG39" s="2013" t="n"/>
      <c r="AH39" s="2013" t="n"/>
      <c r="AI39" s="2013" t="n"/>
      <c r="AJ39" s="2013" t="n"/>
      <c r="AK39" s="2013" t="n"/>
      <c r="AL39" s="11602" t="n"/>
      <c r="AM39" s="11602" t="n"/>
      <c r="AN39" s="11602" t="n"/>
      <c r="AO39" s="2013" t="n"/>
      <c r="AP39" s="11602" t="n"/>
      <c r="AQ39" s="11602" t="n"/>
      <c r="AR39" s="658" t="n"/>
      <c r="AS39" s="658" t="n"/>
      <c r="AT39" s="658" t="n"/>
      <c r="AU39" s="658" t="n"/>
      <c r="AV39" s="658" t="n"/>
      <c r="AW39" s="658" t="n"/>
      <c r="AX39" s="658" t="n"/>
      <c r="AY39" s="658" t="n"/>
      <c r="AZ39" s="658" t="n"/>
      <c r="BA39" s="658" t="n"/>
    </row>
    <row r="40" ht="16.5" customFormat="1" customHeight="1" s="815">
      <c r="A40" s="2013" t="n"/>
      <c r="B40" s="1874" t="n">
        <v>7</v>
      </c>
      <c r="C40" s="1890" t="n"/>
      <c r="D40" s="1897" t="inlineStr">
        <is>
          <t>Capital gain or (loss).  Attach Schedule D if required. If not required, check here</t>
        </is>
      </c>
      <c r="E40" s="1876" t="n"/>
      <c r="F40" s="1876" t="n"/>
      <c r="G40" s="1876" t="n"/>
      <c r="H40" s="1876" t="n"/>
      <c r="I40" s="1876" t="n"/>
      <c r="J40" s="1876" t="n"/>
      <c r="K40" s="1876" t="n"/>
      <c r="L40" s="1876" t="n"/>
      <c r="M40" s="1876" t="n"/>
      <c r="N40" s="1876" t="n"/>
      <c r="O40" s="1876" t="n"/>
      <c r="P40" s="1876" t="n"/>
      <c r="Q40" s="1876" t="n"/>
      <c r="R40" s="1876" t="n"/>
      <c r="S40" s="1876" t="n"/>
      <c r="T40" s="1876" t="n"/>
      <c r="U40" s="1876" t="n"/>
      <c r="V40" s="1890" t="n"/>
      <c r="W40" s="1890" t="n"/>
      <c r="X40" s="1890" t="n"/>
      <c r="Y40" s="11744" t="inlineStr">
        <is>
          <t xml:space="preserve">.   .   .   .   .   .   . </t>
        </is>
      </c>
      <c r="Z40" s="276" t="n"/>
      <c r="AA40" s="8008" t="n"/>
      <c r="AB40" s="11744" t="n"/>
      <c r="AC40" s="12682">
        <f>B40</f>
        <v/>
      </c>
      <c r="AD40" s="7636" t="n"/>
      <c r="AE40" s="10883" t="n"/>
      <c r="AF40" s="11717" t="n"/>
      <c r="AG40" s="11717" t="n"/>
      <c r="AH40" s="11717" t="n"/>
      <c r="AI40" s="11717" t="n"/>
      <c r="AJ40" s="11717" t="n"/>
      <c r="AK40" s="2013" t="n"/>
      <c r="AL40" s="11602" t="n"/>
      <c r="AM40" s="7872" t="inlineStr">
        <is>
          <t xml:space="preserve">
Part I, line 11, and 
FEI TW, line 4</t>
        </is>
      </c>
      <c r="AO40" s="2013" t="n"/>
      <c r="AP40" s="11602" t="n"/>
      <c r="AQ40" s="11602" t="n"/>
      <c r="AR40" s="658" t="n"/>
      <c r="AS40" s="658" t="n"/>
      <c r="AT40" s="658" t="n"/>
      <c r="AU40" s="658" t="n"/>
      <c r="AV40" s="658" t="n"/>
      <c r="AW40" s="658" t="n"/>
      <c r="AX40" s="658" t="n"/>
      <c r="AY40" s="658" t="n"/>
      <c r="AZ40" s="658" t="n"/>
      <c r="BA40" s="658" t="n"/>
    </row>
    <row r="41" ht="14.25" customFormat="1" customHeight="1" s="815">
      <c r="A41" s="2013" t="n"/>
      <c r="B41" s="2551" t="inlineStr">
        <is>
          <t xml:space="preserve"> - Taxable income</t>
        </is>
      </c>
      <c r="C41" s="2013" t="n"/>
      <c r="D41" s="2013" t="n"/>
      <c r="E41" s="2013" t="n"/>
      <c r="F41" s="2013" t="n"/>
      <c r="G41" s="2013" t="n"/>
      <c r="H41" s="2013" t="n"/>
      <c r="I41" s="2013" t="n"/>
      <c r="J41" s="2013" t="n"/>
      <c r="K41" s="4468" t="n"/>
      <c r="L41" s="2013" t="n"/>
      <c r="M41" s="2013" t="n"/>
      <c r="N41" s="2013" t="n"/>
      <c r="O41" s="5720" t="n"/>
      <c r="P41" s="2013" t="n"/>
      <c r="Q41" s="2013" t="n"/>
      <c r="R41" s="2013" t="n"/>
      <c r="S41" s="2013" t="n"/>
      <c r="T41" s="2013" t="n"/>
      <c r="U41" s="2013" t="n"/>
      <c r="V41" s="2013" t="n"/>
      <c r="W41" s="2013" t="n"/>
      <c r="X41" s="2013" t="n"/>
      <c r="Y41" s="2013" t="n"/>
      <c r="Z41" s="2013" t="n"/>
      <c r="AA41" s="2013" t="n"/>
      <c r="AB41" s="2013" t="n"/>
      <c r="AC41" s="2013" t="n"/>
      <c r="AD41" s="2013" t="n"/>
      <c r="AE41" s="2013" t="n"/>
      <c r="AF41" s="2013" t="n"/>
      <c r="AG41" s="2013" t="n"/>
      <c r="AH41" s="2013" t="n"/>
      <c r="AI41" s="2013" t="n"/>
      <c r="AJ41" s="2013" t="n"/>
      <c r="AK41" s="2013" t="n"/>
      <c r="AL41" s="11602" t="n"/>
      <c r="AO41" s="2013" t="n"/>
      <c r="AP41" s="11602" t="n"/>
      <c r="AQ41" s="11602" t="n"/>
      <c r="AR41" s="658" t="n"/>
      <c r="AS41" s="658" t="n"/>
      <c r="AT41" s="658" t="n"/>
      <c r="AU41" s="658" t="n"/>
      <c r="AV41" s="658" t="n"/>
      <c r="AW41" s="658" t="n"/>
      <c r="AX41" s="658" t="n"/>
      <c r="AY41" s="658" t="n"/>
      <c r="AZ41" s="658" t="n"/>
      <c r="BA41" s="658" t="n"/>
    </row>
    <row r="42" ht="16.5" customFormat="1" customHeight="1" s="815">
      <c r="A42" s="2013" t="n"/>
      <c r="B42" s="1874" t="n">
        <v>15</v>
      </c>
      <c r="C42" s="1890" t="n"/>
      <c r="D42" s="1915" t="inlineStr">
        <is>
          <t>Subtract line 14 from line 11.  If zero or less, enter -0-.</t>
        </is>
      </c>
      <c r="E42" s="1876" t="n"/>
      <c r="F42" s="1876" t="n"/>
      <c r="G42" s="1876" t="n"/>
      <c r="H42" s="1876" t="n"/>
      <c r="I42" s="1876" t="n"/>
      <c r="J42" s="1876" t="n"/>
      <c r="K42" s="1876" t="n"/>
      <c r="L42" s="1876" t="n"/>
      <c r="M42" s="1876" t="n"/>
      <c r="N42" s="1876" t="n"/>
      <c r="O42" s="1915" t="inlineStr">
        <is>
          <t>This is your taxable income</t>
        </is>
      </c>
      <c r="P42" s="1876" t="n"/>
      <c r="Q42" s="1876" t="n"/>
      <c r="R42" s="1876" t="n"/>
      <c r="S42" s="1876" t="n"/>
      <c r="T42" s="1876" t="n"/>
      <c r="U42" s="1876" t="n"/>
      <c r="V42" s="1890" t="n"/>
      <c r="W42" s="1890" t="n"/>
      <c r="X42" s="1890" t="n"/>
      <c r="Y42" s="1890" t="n"/>
      <c r="Z42" s="1890" t="n"/>
      <c r="AA42" s="1890" t="n"/>
      <c r="AB42" s="11744" t="inlineStr">
        <is>
          <t xml:space="preserve">.   .   .   .   .   .   . </t>
        </is>
      </c>
      <c r="AC42" s="12682">
        <f>B42</f>
        <v/>
      </c>
      <c r="AD42" s="7636" t="n"/>
      <c r="AE42" s="10883" t="n"/>
      <c r="AF42" s="11717" t="n"/>
      <c r="AG42" s="11717" t="n"/>
      <c r="AH42" s="11717" t="n"/>
      <c r="AI42" s="11717" t="n"/>
      <c r="AJ42" s="11717" t="n"/>
      <c r="AK42" s="2013" t="n"/>
      <c r="AL42" s="11602" t="n"/>
      <c r="AO42" s="2013" t="n"/>
      <c r="AP42" s="11602" t="n"/>
      <c r="AQ42" s="11602" t="n"/>
      <c r="AR42" s="658" t="n"/>
      <c r="AS42" s="658" t="n"/>
      <c r="AT42" s="658" t="n"/>
      <c r="AU42" s="658" t="n"/>
      <c r="AV42" s="658" t="n"/>
      <c r="AW42" s="658" t="n"/>
      <c r="AX42" s="658" t="n"/>
      <c r="AY42" s="658" t="n"/>
      <c r="AZ42" s="658" t="n"/>
      <c r="BA42" s="658" t="n"/>
    </row>
    <row r="43" ht="16.5" customFormat="1" customHeight="1" s="815">
      <c r="A43" s="2013" t="n"/>
      <c r="B43" s="2013" t="n"/>
      <c r="C43" s="2013" t="n"/>
      <c r="D43" s="2013" t="n"/>
      <c r="E43" s="2013" t="n"/>
      <c r="F43" s="2013" t="n"/>
      <c r="G43" s="2013" t="n"/>
      <c r="H43" s="2013" t="n"/>
      <c r="I43" s="2013" t="n"/>
      <c r="J43" s="2013" t="n"/>
      <c r="K43" s="4468" t="n"/>
      <c r="L43" s="2013" t="n"/>
      <c r="M43" s="2013" t="n"/>
      <c r="N43" s="2013" t="n"/>
      <c r="O43" s="5720" t="n"/>
      <c r="P43" s="2013" t="n"/>
      <c r="Q43" s="2013" t="n"/>
      <c r="R43" s="2013" t="n"/>
      <c r="S43" s="2013" t="n"/>
      <c r="T43" s="2013" t="n"/>
      <c r="U43" s="2013" t="n"/>
      <c r="V43" s="2013" t="n"/>
      <c r="W43" s="2013" t="n"/>
      <c r="X43" s="2013" t="n"/>
      <c r="Y43" s="2013" t="n"/>
      <c r="Z43" s="2013" t="n"/>
      <c r="AA43" s="2013" t="n"/>
      <c r="AB43" s="2013" t="n"/>
      <c r="AC43" s="2013" t="n"/>
      <c r="AD43" s="2013" t="n"/>
      <c r="AE43" s="2013" t="n"/>
      <c r="AF43" s="2013" t="n"/>
      <c r="AG43" s="2013" t="n"/>
      <c r="AH43" s="2013" t="n"/>
      <c r="AI43" s="2013" t="n"/>
      <c r="AJ43" s="2013" t="n"/>
      <c r="AK43" s="2013" t="n"/>
      <c r="AL43" s="11602" t="n"/>
      <c r="AO43" s="2013" t="n"/>
      <c r="AP43" s="11602" t="n"/>
      <c r="AQ43" s="11602" t="n"/>
      <c r="AR43" s="658" t="n"/>
      <c r="AS43" s="658" t="n"/>
      <c r="AT43" s="658" t="n"/>
      <c r="AU43" s="658" t="n"/>
      <c r="AV43" s="658" t="n"/>
      <c r="AW43" s="658" t="n"/>
      <c r="AX43" s="658" t="n"/>
      <c r="AY43" s="658" t="n"/>
      <c r="AZ43" s="658" t="n"/>
      <c r="BA43" s="658" t="n"/>
    </row>
    <row r="44" ht="16.5" customFormat="1" customHeight="1" s="815">
      <c r="A44" s="2013" t="n"/>
      <c r="B44" s="5744">
        <f>"Schedule D ("&amp;LastYear&amp;")"</f>
        <v/>
      </c>
      <c r="C44" s="2013" t="n"/>
      <c r="D44" s="2013" t="n"/>
      <c r="E44" s="2013" t="n"/>
      <c r="F44" s="2013" t="n"/>
      <c r="G44" s="2013" t="n"/>
      <c r="H44" s="2013" t="n"/>
      <c r="I44" s="2013" t="n"/>
      <c r="J44" s="2013" t="n"/>
      <c r="K44" s="4468" t="n"/>
      <c r="L44" s="2013" t="n"/>
      <c r="M44" s="2013" t="n"/>
      <c r="N44" s="2013" t="n"/>
      <c r="O44" s="5720" t="n"/>
      <c r="P44" s="2013" t="n"/>
      <c r="Q44" s="2013" t="n"/>
      <c r="R44" s="2013" t="n"/>
      <c r="S44" s="2013" t="n"/>
      <c r="T44" s="2013" t="n"/>
      <c r="U44" s="2013" t="n"/>
      <c r="V44" s="2013" t="n"/>
      <c r="W44" s="2013" t="n"/>
      <c r="X44" s="2013" t="n"/>
      <c r="Y44" s="2013" t="n"/>
      <c r="Z44" s="2013" t="n"/>
      <c r="AA44" s="2013" t="n"/>
      <c r="AB44" s="2013" t="n"/>
      <c r="AC44" s="2013" t="n"/>
      <c r="AD44" s="2013" t="n"/>
      <c r="AE44" s="2013" t="n"/>
      <c r="AF44" s="2013" t="n"/>
      <c r="AG44" s="2013" t="n"/>
      <c r="AH44" s="2013" t="n"/>
      <c r="AI44" s="2013" t="n"/>
      <c r="AJ44" s="2013" t="n"/>
      <c r="AK44" s="2013" t="n"/>
      <c r="AL44" s="11602" t="n"/>
      <c r="AM44" s="11602" t="n"/>
      <c r="AN44" s="11602" t="n"/>
      <c r="AO44" s="2013" t="n"/>
      <c r="AP44" s="11602" t="n"/>
      <c r="AQ44" s="11602" t="n"/>
      <c r="AR44" s="658" t="n"/>
      <c r="AS44" s="658" t="n"/>
      <c r="AT44" s="658" t="n"/>
      <c r="AU44" s="658" t="n"/>
      <c r="AV44" s="658" t="n"/>
      <c r="AW44" s="658" t="n"/>
      <c r="AX44" s="658" t="n"/>
      <c r="AY44" s="658" t="n"/>
      <c r="AZ44" s="658" t="n"/>
      <c r="BA44" s="658" t="n"/>
    </row>
    <row r="45" ht="16.5" customFormat="1" customHeight="1" s="815">
      <c r="A45" s="2013" t="n"/>
      <c r="B45" s="2551" t="inlineStr">
        <is>
          <t xml:space="preserve"> - Short-term capital gain (or loss) and long-term capital gain (or loss)</t>
        </is>
      </c>
      <c r="C45" s="2013" t="n"/>
      <c r="D45" s="2013" t="n"/>
      <c r="E45" s="2013" t="n"/>
      <c r="F45" s="2013" t="n"/>
      <c r="G45" s="2013" t="n"/>
      <c r="H45" s="2013" t="n"/>
      <c r="I45" s="2013" t="n"/>
      <c r="J45" s="2013" t="n"/>
      <c r="K45" s="4468" t="n"/>
      <c r="L45" s="2013" t="n"/>
      <c r="M45" s="2013" t="n"/>
      <c r="N45" s="2013" t="n"/>
      <c r="O45" s="5720" t="n"/>
      <c r="P45" s="2013" t="n"/>
      <c r="Q45" s="2013" t="n"/>
      <c r="R45" s="2013" t="n"/>
      <c r="S45" s="2013" t="n"/>
      <c r="T45" s="2013" t="n"/>
      <c r="U45" s="2013" t="n"/>
      <c r="V45" s="2013" t="n"/>
      <c r="W45" s="2013" t="n"/>
      <c r="X45" s="2013" t="n"/>
      <c r="Y45" s="2013" t="n"/>
      <c r="Z45" s="2013" t="n"/>
      <c r="AA45" s="2013" t="n"/>
      <c r="AB45" s="2013" t="n"/>
      <c r="AC45" s="2013" t="n"/>
      <c r="AD45" s="2013" t="n"/>
      <c r="AE45" s="2013" t="n"/>
      <c r="AF45" s="2013" t="n"/>
      <c r="AG45" s="2013" t="n"/>
      <c r="AH45" s="2013" t="n"/>
      <c r="AI45" s="2013" t="n"/>
      <c r="AJ45" s="2013" t="n"/>
      <c r="AK45" s="2013" t="n"/>
      <c r="AL45" s="11602" t="n"/>
      <c r="AM45" s="11602" t="n"/>
      <c r="AN45" s="11602" t="n"/>
      <c r="AO45" s="2013" t="n"/>
      <c r="AP45" s="11602" t="n"/>
      <c r="AQ45" s="11602" t="n"/>
      <c r="AR45" s="658" t="n"/>
      <c r="AS45" s="658" t="n"/>
      <c r="AT45" s="658" t="n"/>
      <c r="AU45" s="658" t="n"/>
      <c r="AV45" s="658" t="n"/>
      <c r="AW45" s="658" t="n"/>
      <c r="AX45" s="658" t="n"/>
      <c r="AY45" s="658" t="n"/>
      <c r="AZ45" s="658" t="n"/>
      <c r="BA45" s="658" t="n"/>
    </row>
    <row r="46" ht="16.5" customFormat="1" customHeight="1" s="815">
      <c r="A46" s="2013" t="n"/>
      <c r="B46" s="1401" t="n">
        <v>7</v>
      </c>
      <c r="C46" s="10903" t="inlineStr">
        <is>
          <t xml:space="preserve">Net short-term capital gain or (loss). </t>
        </is>
      </c>
      <c r="K46" s="7636" t="n"/>
      <c r="L46" s="5745" t="n">
        <v>7</v>
      </c>
      <c r="M46" s="10883" t="n"/>
      <c r="N46" s="11717" t="n"/>
      <c r="O46" s="11717" t="n"/>
      <c r="P46" s="11717" t="n"/>
      <c r="Q46" s="11717" t="n"/>
      <c r="R46" s="2013" t="n"/>
      <c r="S46" s="1401" t="n">
        <v>15</v>
      </c>
      <c r="T46" s="10903" t="inlineStr">
        <is>
          <t xml:space="preserve">Net long-term capital gain or (loss). </t>
        </is>
      </c>
      <c r="AC46" s="7636" t="n"/>
      <c r="AD46" s="5745" t="inlineStr">
        <is>
          <t>15</t>
        </is>
      </c>
      <c r="AE46" s="10901" t="n"/>
      <c r="AF46" s="11717" t="n"/>
      <c r="AG46" s="11717" t="n"/>
      <c r="AH46" s="11717" t="n"/>
      <c r="AI46" s="11717" t="n"/>
      <c r="AJ46" s="11717" t="n"/>
      <c r="AK46" s="2013" t="n"/>
      <c r="AL46" s="11602" t="n"/>
      <c r="AM46" s="10933" t="inlineStr">
        <is>
          <t>Part I, line 11, and 
FEI TW, line 4</t>
        </is>
      </c>
      <c r="AO46" s="2013" t="n"/>
      <c r="AP46" s="11602" t="n"/>
      <c r="AQ46" s="11602" t="n"/>
      <c r="AR46" s="658" t="n"/>
      <c r="AS46" s="658" t="n"/>
      <c r="AT46" s="658" t="n"/>
      <c r="AU46" s="658" t="n"/>
      <c r="AV46" s="658" t="n"/>
      <c r="AW46" s="658" t="n"/>
      <c r="AX46" s="658" t="n"/>
      <c r="AY46" s="658" t="n"/>
      <c r="AZ46" s="658" t="n"/>
      <c r="BA46" s="658" t="n"/>
    </row>
    <row r="47" ht="4.5" customFormat="1" customHeight="1" s="815">
      <c r="A47" s="2013" t="n"/>
      <c r="B47" s="2013" t="n"/>
      <c r="C47" s="2013" t="inlineStr">
        <is>
          <t>the back</t>
        </is>
      </c>
      <c r="D47" s="2013" t="n"/>
      <c r="E47" s="2013" t="n"/>
      <c r="F47" s="2013" t="n"/>
      <c r="G47" s="2013" t="n"/>
      <c r="H47" s="2013" t="n"/>
      <c r="I47" s="2013" t="n"/>
      <c r="J47" s="2013" t="n"/>
      <c r="K47" s="4468" t="n"/>
      <c r="L47" s="2013" t="n"/>
      <c r="M47" s="2013" t="n"/>
      <c r="N47" s="2013" t="n"/>
      <c r="O47" s="5720" t="n"/>
      <c r="P47" s="2013" t="n"/>
      <c r="Q47" s="2013" t="n"/>
      <c r="R47" s="2013" t="n"/>
      <c r="S47" s="2013" t="n"/>
      <c r="T47" s="2013" t="n"/>
      <c r="U47" s="2013" t="n"/>
      <c r="V47" s="2013" t="n"/>
      <c r="W47" s="2013" t="n"/>
      <c r="X47" s="2013" t="n"/>
      <c r="Y47" s="2013" t="n"/>
      <c r="Z47" s="2013" t="n"/>
      <c r="AA47" s="2013" t="n"/>
      <c r="AB47" s="2013" t="n"/>
      <c r="AC47" s="2013" t="n"/>
      <c r="AD47" s="2013" t="n"/>
      <c r="AE47" s="2013" t="n"/>
      <c r="AF47" s="2013" t="n"/>
      <c r="AG47" s="2013" t="n"/>
      <c r="AH47" s="2013" t="n"/>
      <c r="AI47" s="2013" t="n"/>
      <c r="AJ47" s="2013" t="n"/>
      <c r="AK47" s="2013" t="n"/>
      <c r="AL47" s="11602" t="n"/>
      <c r="AO47" s="2013" t="n"/>
      <c r="AP47" s="11602" t="n"/>
      <c r="AQ47" s="11602" t="n"/>
      <c r="AR47" s="658" t="n"/>
      <c r="AS47" s="658" t="n"/>
      <c r="AT47" s="658" t="n"/>
      <c r="AU47" s="658" t="n"/>
      <c r="AV47" s="658" t="n"/>
      <c r="AW47" s="658" t="n"/>
      <c r="AX47" s="658" t="n"/>
      <c r="AY47" s="658" t="n"/>
      <c r="AZ47" s="658" t="n"/>
      <c r="BA47" s="658" t="n"/>
    </row>
    <row r="48" ht="16.5" customFormat="1" customHeight="1" s="815">
      <c r="A48" s="2013" t="n"/>
      <c r="B48" s="5746">
        <f>IF(AQ48,"Note: Schedule D, lines 15 and 16 are both greater than zero.","")</f>
        <v/>
      </c>
      <c r="C48" s="2013" t="n"/>
      <c r="D48" s="2013" t="n"/>
      <c r="E48" s="2013" t="n"/>
      <c r="F48" s="2013" t="n"/>
      <c r="G48" s="2013" t="n"/>
      <c r="H48" s="2013" t="n"/>
      <c r="I48" s="2013" t="n"/>
      <c r="J48" s="2013" t="n"/>
      <c r="K48" s="4468" t="n"/>
      <c r="L48" s="2013" t="n"/>
      <c r="M48" s="2013" t="n"/>
      <c r="N48" s="2013" t="n"/>
      <c r="O48" s="5720" t="n"/>
      <c r="P48" s="2013" t="n"/>
      <c r="Q48" s="2013" t="n"/>
      <c r="R48" s="2013" t="n"/>
      <c r="S48" s="1401" t="n">
        <v>16</v>
      </c>
      <c r="T48" s="7299" t="inlineStr">
        <is>
          <t>Combine lines 7 and 15 and enter the result</t>
        </is>
      </c>
      <c r="U48" s="7299" t="n"/>
      <c r="V48" s="7299" t="n"/>
      <c r="W48" s="7299" t="n"/>
      <c r="X48" s="7299" t="n"/>
      <c r="Y48" s="7299" t="n"/>
      <c r="Z48" s="7299" t="n"/>
      <c r="AA48" s="7299" t="n"/>
      <c r="AB48" s="7299" t="n"/>
      <c r="AC48" s="4175" t="n"/>
      <c r="AD48" s="5745" t="n">
        <v>16</v>
      </c>
      <c r="AE48" s="7094">
        <f>IF(AND(M46="",AE46=""),"",SUM(ROUND(M46,0),ROUND(AE46,0)))</f>
        <v/>
      </c>
      <c r="AF48" s="7637" t="n"/>
      <c r="AG48" s="7637" t="n"/>
      <c r="AH48" s="7637" t="n"/>
      <c r="AI48" s="7637" t="n"/>
      <c r="AJ48" s="7637" t="n"/>
      <c r="AK48" s="2013" t="n"/>
      <c r="AL48" s="11602" t="n"/>
      <c r="AO48" s="2013" t="n"/>
      <c r="AP48" s="11602" t="n"/>
      <c r="AQ48" s="5767">
        <f>AND(M46&gt;0,AE46&gt;0)</f>
        <v/>
      </c>
      <c r="AR48" s="658" t="n"/>
      <c r="AS48" s="658" t="n"/>
      <c r="AT48" s="658" t="n"/>
      <c r="AU48" s="658" t="n"/>
      <c r="AV48" s="658" t="n"/>
      <c r="AW48" s="658" t="n"/>
      <c r="AX48" s="658" t="n"/>
      <c r="AY48" s="658" t="n"/>
      <c r="AZ48" s="658" t="n"/>
      <c r="BA48" s="658" t="n"/>
    </row>
    <row r="49" ht="16.5" customFormat="1" customHeight="1" s="815">
      <c r="A49" s="2013" t="n"/>
      <c r="B49" s="5746" t="n"/>
      <c r="C49" s="2013" t="n"/>
      <c r="D49" s="2013" t="n"/>
      <c r="E49" s="2013" t="n"/>
      <c r="F49" s="2013" t="n"/>
      <c r="G49" s="2013" t="n"/>
      <c r="H49" s="2013" t="n"/>
      <c r="I49" s="2013" t="n"/>
      <c r="J49" s="2013" t="n"/>
      <c r="K49" s="4468" t="n"/>
      <c r="L49" s="2013" t="n"/>
      <c r="M49" s="2013" t="n"/>
      <c r="N49" s="2013" t="n"/>
      <c r="O49" s="5720" t="n"/>
      <c r="P49" s="5720" t="n"/>
      <c r="Q49" s="5720" t="n"/>
      <c r="R49" s="5720" t="n"/>
      <c r="S49" s="5720" t="n"/>
      <c r="T49" s="5720" t="n"/>
      <c r="U49" s="5720" t="n"/>
      <c r="V49" s="5720" t="n"/>
      <c r="W49" s="5720" t="n"/>
      <c r="X49" s="5720" t="n"/>
      <c r="Y49" s="5720" t="n"/>
      <c r="Z49" s="5720" t="n"/>
      <c r="AA49" s="5720" t="n"/>
      <c r="AB49" s="5720" t="n"/>
      <c r="AC49" s="5720" t="n"/>
      <c r="AD49" s="5720" t="n"/>
      <c r="AE49" s="5720" t="n"/>
      <c r="AF49" s="5720" t="n"/>
      <c r="AG49" s="5720" t="n"/>
      <c r="AH49" s="5720" t="n"/>
      <c r="AI49" s="5720" t="n"/>
      <c r="AJ49" s="5720" t="n"/>
      <c r="AK49" s="2013" t="n"/>
      <c r="AL49" s="11602" t="n"/>
      <c r="AM49" s="2201" t="n"/>
      <c r="AN49" s="11602" t="n"/>
      <c r="AO49" s="2013" t="n"/>
      <c r="AP49" s="11602" t="n"/>
      <c r="AQ49" s="11602" t="n"/>
      <c r="AR49" s="658" t="n"/>
      <c r="AS49" s="658" t="n"/>
      <c r="AT49" s="658" t="n"/>
      <c r="AU49" s="658" t="n"/>
      <c r="AV49" s="658" t="n"/>
      <c r="AW49" s="658" t="n"/>
      <c r="AX49" s="658" t="n"/>
      <c r="AY49" s="658" t="n"/>
      <c r="AZ49" s="658" t="n"/>
      <c r="BA49" s="658" t="n"/>
    </row>
    <row r="50" ht="13.5" customFormat="1" customHeight="1" s="815">
      <c r="A50" s="2013" t="n"/>
      <c r="B50" s="2984" t="n">
        <v>19</v>
      </c>
      <c r="C50" s="8651" t="inlineStr">
        <is>
          <t>If you are required to complete the Unrecaptured Section 1250 Gain Worksheet (see</t>
        </is>
      </c>
      <c r="D50" s="8647" t="n"/>
      <c r="E50" s="8647" t="n"/>
      <c r="F50" s="8647" t="n"/>
      <c r="G50" s="8647" t="n"/>
      <c r="H50" s="8647" t="n"/>
      <c r="I50" s="8647" t="n"/>
      <c r="J50" s="8647" t="n"/>
      <c r="K50" s="8647" t="n"/>
      <c r="L50" s="8647" t="n"/>
      <c r="M50" s="8647" t="n"/>
      <c r="N50" s="8647" t="n"/>
      <c r="O50" s="8647" t="n"/>
      <c r="P50" s="8647" t="n"/>
      <c r="Q50" s="8647" t="n"/>
      <c r="R50" s="8647" t="n"/>
      <c r="S50" s="8647" t="n"/>
      <c r="T50" s="8647" t="n"/>
      <c r="U50" s="8647" t="n"/>
      <c r="V50" s="8647" t="n"/>
      <c r="W50" s="8647" t="n"/>
      <c r="X50" s="8647" t="n"/>
      <c r="Y50" s="8647" t="n"/>
      <c r="Z50" s="8647" t="n"/>
      <c r="AA50" s="3624" t="n"/>
      <c r="AB50" s="3624" t="n"/>
      <c r="AC50" s="5181" t="n"/>
      <c r="AD50" s="5762" t="n"/>
      <c r="AE50" s="10931" t="n"/>
      <c r="AK50" s="2013" t="n"/>
      <c r="AL50" s="11602" t="n"/>
      <c r="AM50" s="11602" t="n"/>
      <c r="AN50" s="11602" t="n"/>
      <c r="AO50" s="2013" t="n"/>
      <c r="AP50" s="11602" t="n"/>
      <c r="AQ50" s="11602" t="n"/>
      <c r="AR50" s="658" t="n"/>
      <c r="AS50" s="658" t="n"/>
      <c r="AT50" s="658" t="n"/>
      <c r="AU50" s="658" t="n"/>
      <c r="AV50" s="658" t="n"/>
      <c r="AW50" s="658" t="n"/>
      <c r="AX50" s="658" t="n"/>
      <c r="AY50" s="658" t="n"/>
      <c r="AZ50" s="658" t="n"/>
      <c r="BA50" s="658" t="n"/>
    </row>
    <row r="51" ht="15.75" customFormat="1" customHeight="1" s="815">
      <c r="A51" s="2013" t="n"/>
      <c r="B51" s="2984" t="n"/>
      <c r="C51" s="8651" t="inlineStr">
        <is>
          <t>instructions), enter the amount, if any, from line 18 of that worksheet</t>
        </is>
      </c>
      <c r="D51" s="8647" t="n"/>
      <c r="E51" s="8647" t="n"/>
      <c r="F51" s="8647" t="n"/>
      <c r="G51" s="8647" t="n"/>
      <c r="H51" s="8647" t="n"/>
      <c r="I51" s="8647" t="n"/>
      <c r="J51" s="8647" t="n"/>
      <c r="K51" s="8647" t="n"/>
      <c r="L51" s="8647" t="n"/>
      <c r="M51" s="8647" t="n"/>
      <c r="N51" s="8647" t="n"/>
      <c r="O51" s="8647" t="n"/>
      <c r="P51" s="8647" t="n"/>
      <c r="Q51" s="8647" t="n"/>
      <c r="R51" s="8647" t="n"/>
      <c r="S51" s="8647" t="n"/>
      <c r="T51" s="8647" t="n"/>
      <c r="U51" s="8647" t="n"/>
      <c r="V51" s="8647" t="n"/>
      <c r="W51" s="8647" t="n"/>
      <c r="X51" s="8647" t="n"/>
      <c r="Y51" s="8647" t="n"/>
      <c r="Z51" s="8647" t="n"/>
      <c r="AA51" s="3624" t="n"/>
      <c r="AB51" s="8374" t="n"/>
      <c r="AC51" s="8374" t="inlineStr">
        <is>
          <t xml:space="preserve">.   .   .   .   .   .   .   .   .   . </t>
        </is>
      </c>
      <c r="AD51" s="5216" t="n">
        <v>19</v>
      </c>
      <c r="AE51" s="10883" t="n"/>
      <c r="AF51" s="11717" t="n"/>
      <c r="AG51" s="11717" t="n"/>
      <c r="AH51" s="11717" t="n"/>
      <c r="AI51" s="11717" t="n"/>
      <c r="AJ51" s="11717" t="n"/>
      <c r="AK51" s="2013" t="n"/>
      <c r="AL51" s="11602" t="n"/>
      <c r="AM51" s="7772" t="inlineStr">
        <is>
          <t>Part III, line 29</t>
        </is>
      </c>
      <c r="AN51" s="11602" t="n"/>
      <c r="AO51" s="2013" t="n"/>
      <c r="AP51" s="11602" t="n"/>
      <c r="AQ51" s="11602" t="n"/>
      <c r="AR51" s="658" t="n"/>
      <c r="AS51" s="658" t="n"/>
      <c r="AT51" s="658" t="n"/>
      <c r="AU51" s="658" t="n"/>
      <c r="AV51" s="658" t="n"/>
      <c r="AW51" s="658" t="n"/>
      <c r="AX51" s="658" t="n"/>
      <c r="AY51" s="658" t="n"/>
      <c r="AZ51" s="658" t="n"/>
      <c r="BA51" s="658" t="n"/>
    </row>
    <row r="52" ht="16.5" customFormat="1" customHeight="1" s="815">
      <c r="A52" s="2013" t="n"/>
      <c r="B52" s="2013" t="n"/>
      <c r="C52" s="2013" t="n"/>
      <c r="D52" s="2013" t="n"/>
      <c r="E52" s="2013" t="n"/>
      <c r="F52" s="2013" t="n"/>
      <c r="G52" s="2013" t="n"/>
      <c r="H52" s="2013" t="n"/>
      <c r="I52" s="2013" t="n"/>
      <c r="J52" s="2013" t="n"/>
      <c r="K52" s="4468" t="n"/>
      <c r="L52" s="2013" t="n"/>
      <c r="M52" s="2013" t="n"/>
      <c r="N52" s="2013" t="n"/>
      <c r="O52" s="5720" t="n"/>
      <c r="P52" s="2013" t="n"/>
      <c r="Q52" s="2013" t="n"/>
      <c r="R52" s="2013" t="n"/>
      <c r="S52" s="2013" t="n"/>
      <c r="T52" s="2013" t="n"/>
      <c r="U52" s="2013" t="n"/>
      <c r="V52" s="2013" t="n"/>
      <c r="W52" s="2013" t="n"/>
      <c r="X52" s="2013" t="n"/>
      <c r="Y52" s="2013" t="n"/>
      <c r="Z52" s="2013" t="n"/>
      <c r="AA52" s="2013" t="n"/>
      <c r="AB52" s="2013" t="n"/>
      <c r="AC52" s="2013" t="n"/>
      <c r="AD52" s="2013" t="n"/>
      <c r="AE52" s="2013" t="n"/>
      <c r="AF52" s="2013" t="n"/>
      <c r="AG52" s="2013" t="n"/>
      <c r="AH52" s="2013" t="n"/>
      <c r="AI52" s="2013" t="n"/>
      <c r="AJ52" s="2013" t="n"/>
      <c r="AK52" s="2013" t="n"/>
      <c r="AL52" s="11602" t="n"/>
      <c r="AM52" s="11602" t="n"/>
      <c r="AN52" s="11602" t="n"/>
      <c r="AO52" s="2013" t="n"/>
      <c r="AP52" s="11602" t="n"/>
      <c r="AQ52" s="11602" t="n"/>
      <c r="AR52" s="658" t="n"/>
      <c r="AS52" s="658" t="n"/>
      <c r="AT52" s="658" t="n"/>
      <c r="AU52" s="658" t="n"/>
      <c r="AV52" s="658" t="n"/>
      <c r="AW52" s="658" t="n"/>
      <c r="AX52" s="658" t="n"/>
      <c r="AY52" s="658" t="n"/>
      <c r="AZ52" s="658" t="n"/>
      <c r="BA52" s="658" t="n"/>
    </row>
    <row r="53" ht="16.5" customFormat="1" customHeight="1" s="815">
      <c r="A53" s="2013" t="n"/>
      <c r="B53" s="5744">
        <f>"Qualified Dividends and Capital Gain Tax Worksheet—Line 16 ("&amp;LastYear&amp;")"</f>
        <v/>
      </c>
      <c r="C53" s="2013" t="n"/>
      <c r="D53" s="2013" t="n"/>
      <c r="E53" s="2013" t="n"/>
      <c r="F53" s="2013" t="n"/>
      <c r="G53" s="2013" t="n"/>
      <c r="H53" s="2013" t="n"/>
      <c r="I53" s="2013" t="n"/>
      <c r="J53" s="2013" t="n"/>
      <c r="K53" s="4468" t="n"/>
      <c r="L53" s="2013" t="n"/>
      <c r="M53" s="2013" t="n"/>
      <c r="N53" s="2013" t="n"/>
      <c r="O53" s="5720" t="n"/>
      <c r="P53" s="2013" t="n"/>
      <c r="Q53" s="2013" t="n"/>
      <c r="R53" s="2013" t="n"/>
      <c r="S53" s="2013" t="n"/>
      <c r="T53" s="2013" t="n"/>
      <c r="U53" s="2013" t="n"/>
      <c r="V53" s="2013" t="n"/>
      <c r="W53" s="2013" t="n"/>
      <c r="X53" s="2013" t="n"/>
      <c r="Y53" s="2013" t="n"/>
      <c r="Z53" s="2013" t="n"/>
      <c r="AA53" s="2013" t="n"/>
      <c r="AB53" s="2013" t="n"/>
      <c r="AC53" s="2013" t="n"/>
      <c r="AD53" s="2013" t="n"/>
      <c r="AE53" s="2013" t="n"/>
      <c r="AF53" s="2013" t="n"/>
      <c r="AG53" s="2013" t="n"/>
      <c r="AH53" s="2013" t="n"/>
      <c r="AI53" s="2013" t="n"/>
      <c r="AJ53" s="2013" t="n"/>
      <c r="AK53" s="2013" t="n"/>
      <c r="AL53" s="11602" t="n"/>
      <c r="AM53" s="11602" t="n"/>
      <c r="AN53" s="11602" t="n"/>
      <c r="AO53" s="2013" t="n"/>
      <c r="AP53" s="11602" t="n"/>
      <c r="AQ53" s="11602" t="n"/>
      <c r="AR53" s="658" t="n"/>
      <c r="AS53" s="658" t="n"/>
      <c r="AT53" s="658" t="n"/>
      <c r="AU53" s="658" t="n"/>
      <c r="AV53" s="658" t="n"/>
      <c r="AW53" s="658" t="n"/>
      <c r="AX53" s="658" t="n"/>
      <c r="AY53" s="658" t="n"/>
      <c r="AZ53" s="658" t="n"/>
      <c r="BA53" s="658" t="n"/>
    </row>
    <row r="54" ht="16.5" customFormat="1" customHeight="1" s="815">
      <c r="A54" s="2013" t="n"/>
      <c r="B54" s="3340" t="inlineStr">
        <is>
          <t>4.</t>
        </is>
      </c>
      <c r="C54" s="2769" t="inlineStr">
        <is>
          <t>Add lines 2 and 3</t>
        </is>
      </c>
      <c r="D54" s="2769" t="n"/>
      <c r="E54" s="2769" t="n"/>
      <c r="F54" s="11262" t="n"/>
      <c r="G54" s="11262" t="n"/>
      <c r="H54" s="11262" t="n"/>
      <c r="I54" s="2769" t="n"/>
      <c r="J54" s="11262" t="n"/>
      <c r="K54" s="11262" t="n"/>
      <c r="L54" s="11262" t="n"/>
      <c r="M54" s="2075" t="inlineStr">
        <is>
          <t>.   .</t>
        </is>
      </c>
      <c r="N54" s="2994" t="inlineStr">
        <is>
          <t>4.</t>
        </is>
      </c>
      <c r="O54" s="10883" t="n"/>
      <c r="P54" s="11717" t="n"/>
      <c r="Q54" s="11717" t="n"/>
      <c r="R54" s="11717" t="n"/>
      <c r="S54" s="2013" t="n"/>
      <c r="T54" s="2013" t="n"/>
      <c r="U54" s="2013" t="n"/>
      <c r="V54" s="2013" t="n"/>
      <c r="W54" s="2013" t="n"/>
      <c r="X54" s="2013" t="n"/>
      <c r="Y54" s="2013" t="n"/>
      <c r="Z54" s="2013" t="n"/>
      <c r="AA54" s="2013" t="n"/>
      <c r="AB54" s="2013" t="n"/>
      <c r="AC54" s="2013" t="n"/>
      <c r="AD54" s="2013" t="n"/>
      <c r="AE54" s="2013" t="n"/>
      <c r="AF54" s="2013" t="n"/>
      <c r="AG54" s="2013" t="n"/>
      <c r="AH54" s="2013" t="n"/>
      <c r="AI54" s="2013" t="n"/>
      <c r="AJ54" s="2013" t="n"/>
      <c r="AK54" s="2013" t="n"/>
      <c r="AL54" s="11602" t="n"/>
      <c r="AM54" s="7772" t="inlineStr">
        <is>
          <t>Part III, line 28</t>
        </is>
      </c>
      <c r="AN54" s="11602" t="n"/>
      <c r="AO54" s="2013" t="n"/>
      <c r="AP54" s="11602" t="n"/>
      <c r="AQ54" s="11602" t="n"/>
      <c r="AR54" s="658" t="n"/>
      <c r="AS54" s="658" t="n"/>
      <c r="AT54" s="658" t="n"/>
      <c r="AU54" s="658" t="n"/>
      <c r="AV54" s="658" t="n"/>
      <c r="AW54" s="658" t="n"/>
      <c r="AX54" s="658" t="n"/>
      <c r="AY54" s="658" t="n"/>
      <c r="AZ54" s="658" t="n"/>
      <c r="BA54" s="658" t="n"/>
    </row>
    <row r="55" ht="9" customFormat="1" customHeight="1" s="815">
      <c r="A55" s="2013" t="n"/>
      <c r="B55" s="2013" t="n"/>
      <c r="C55" s="2013" t="n"/>
      <c r="D55" s="2013" t="n"/>
      <c r="E55" s="2013" t="n"/>
      <c r="F55" s="2013" t="n"/>
      <c r="G55" s="2013" t="n"/>
      <c r="H55" s="2013" t="n"/>
      <c r="I55" s="2013" t="n"/>
      <c r="J55" s="2013" t="n"/>
      <c r="K55" s="4468" t="n"/>
      <c r="L55" s="2013" t="n"/>
      <c r="M55" s="2013" t="n"/>
      <c r="N55" s="2013" t="n"/>
      <c r="O55" s="5720" t="n"/>
      <c r="P55" s="2013" t="n"/>
      <c r="Q55" s="2013" t="n"/>
      <c r="R55" s="2013" t="n"/>
      <c r="S55" s="2013" t="n"/>
      <c r="T55" s="2013" t="n"/>
      <c r="U55" s="2013" t="n"/>
      <c r="V55" s="2013" t="n"/>
      <c r="W55" s="2013" t="n"/>
      <c r="X55" s="2013" t="n"/>
      <c r="Y55" s="2013" t="n"/>
      <c r="Z55" s="2013" t="n"/>
      <c r="AA55" s="2013" t="n"/>
      <c r="AB55" s="2013" t="n"/>
      <c r="AC55" s="2013" t="n"/>
      <c r="AD55" s="2013" t="n"/>
      <c r="AE55" s="2013" t="n"/>
      <c r="AF55" s="2013" t="n"/>
      <c r="AG55" s="2013" t="n"/>
      <c r="AH55" s="2013" t="n"/>
      <c r="AI55" s="2013" t="n"/>
      <c r="AJ55" s="2013" t="n"/>
      <c r="AK55" s="2013" t="n"/>
      <c r="AL55" s="11602" t="n"/>
      <c r="AM55" s="11602" t="n"/>
      <c r="AN55" s="11602" t="n"/>
      <c r="AO55" s="2013" t="n"/>
      <c r="AP55" s="11602" t="n"/>
      <c r="AQ55" s="11602" t="n"/>
      <c r="AR55" s="658" t="n"/>
      <c r="AS55" s="658" t="n"/>
      <c r="AT55" s="658" t="n"/>
      <c r="AU55" s="658" t="n"/>
      <c r="AV55" s="658" t="n"/>
      <c r="AW55" s="658" t="n"/>
      <c r="AX55" s="658" t="n"/>
      <c r="AY55" s="658" t="n"/>
      <c r="AZ55" s="658" t="n"/>
      <c r="BA55" s="658" t="n"/>
    </row>
    <row r="56" ht="16.5" customFormat="1" customHeight="1" s="815">
      <c r="A56" s="2013" t="n"/>
      <c r="B56" s="3340" t="inlineStr">
        <is>
          <t>5.</t>
        </is>
      </c>
      <c r="C56" s="2769" t="inlineStr">
        <is>
          <t xml:space="preserve">Subtract line 4 from line 1. </t>
        </is>
      </c>
      <c r="D56" s="2769" t="n"/>
      <c r="E56" s="2770" t="n"/>
      <c r="F56" s="2770" t="n"/>
      <c r="G56" s="2770" t="n"/>
      <c r="H56" s="11262" t="n"/>
      <c r="I56" s="2770" t="inlineStr">
        <is>
          <t>If zero or less, enter -0-</t>
        </is>
      </c>
      <c r="J56" s="2770" t="n"/>
      <c r="K56" s="2770" t="n"/>
      <c r="L56" s="11262" t="n"/>
      <c r="M56" s="3222" t="inlineStr">
        <is>
          <t xml:space="preserve"> .   .</t>
        </is>
      </c>
      <c r="N56" s="5763" t="inlineStr">
        <is>
          <t>5.</t>
        </is>
      </c>
      <c r="O56" s="10883" t="n"/>
      <c r="P56" s="11717" t="n"/>
      <c r="Q56" s="11717" t="n"/>
      <c r="R56" s="11717" t="n"/>
      <c r="S56" s="2013" t="n"/>
      <c r="T56" s="2013" t="n"/>
      <c r="U56" s="2013" t="n"/>
      <c r="V56" s="2013" t="n"/>
      <c r="W56" s="2013" t="n"/>
      <c r="X56" s="2013" t="n"/>
      <c r="Y56" s="2013" t="n"/>
      <c r="Z56" s="2013" t="n"/>
      <c r="AA56" s="2013" t="n"/>
      <c r="AB56" s="2013" t="n"/>
      <c r="AC56" s="2013" t="n"/>
      <c r="AD56" s="2013" t="n"/>
      <c r="AE56" s="2013" t="n"/>
      <c r="AF56" s="2013" t="n"/>
      <c r="AG56" s="2013" t="n"/>
      <c r="AH56" s="2013" t="n"/>
      <c r="AI56" s="2013" t="n"/>
      <c r="AJ56" s="2013" t="n"/>
      <c r="AK56" s="2013" t="n"/>
      <c r="AL56" s="11602" t="n"/>
      <c r="AM56" s="7772" t="inlineStr">
        <is>
          <t>Part III, lines 35 and 42</t>
        </is>
      </c>
      <c r="AN56" s="11602" t="n"/>
      <c r="AO56" s="2013" t="n"/>
      <c r="AP56" s="11602" t="n"/>
      <c r="AQ56" s="11602" t="n"/>
      <c r="AR56" s="658" t="n"/>
      <c r="AS56" s="658" t="n"/>
      <c r="AT56" s="658" t="n"/>
      <c r="AU56" s="658" t="n"/>
      <c r="AV56" s="658" t="n"/>
      <c r="AW56" s="658" t="n"/>
      <c r="AX56" s="658" t="n"/>
      <c r="AY56" s="658" t="n"/>
      <c r="AZ56" s="658" t="n"/>
      <c r="BA56" s="658" t="n"/>
    </row>
    <row r="57" ht="16.5" customFormat="1" customHeight="1" s="815">
      <c r="A57" s="2013" t="n"/>
      <c r="B57" s="2013" t="n"/>
      <c r="C57" s="2013" t="n"/>
      <c r="D57" s="2013" t="n"/>
      <c r="E57" s="2013" t="n"/>
      <c r="F57" s="2013" t="n"/>
      <c r="G57" s="2013" t="n"/>
      <c r="H57" s="2013" t="n"/>
      <c r="I57" s="2013" t="n"/>
      <c r="J57" s="2013" t="n"/>
      <c r="K57" s="4468" t="n"/>
      <c r="L57" s="2013" t="n"/>
      <c r="M57" s="2013" t="n"/>
      <c r="N57" s="2013" t="n"/>
      <c r="O57" s="2013" t="n"/>
      <c r="P57" s="2013" t="n"/>
      <c r="Q57" s="2013" t="n"/>
      <c r="R57" s="2013" t="n"/>
      <c r="S57" s="2013" t="n"/>
      <c r="T57" s="2013" t="n"/>
      <c r="U57" s="5764">
        <f>IF($AQ$58,"Include amounts from either the QDCG Tax Worksheet OR","")</f>
        <v/>
      </c>
      <c r="V57" s="2013" t="n"/>
      <c r="W57" s="2013" t="n"/>
      <c r="X57" s="2013" t="n"/>
      <c r="Y57" s="2013" t="n"/>
      <c r="Z57" s="2013" t="n"/>
      <c r="AA57" s="2013" t="n"/>
      <c r="AB57" s="2013" t="n"/>
      <c r="AC57" s="2013" t="n"/>
      <c r="AD57" s="2013" t="n"/>
      <c r="AE57" s="2013" t="n"/>
      <c r="AF57" s="2013" t="n"/>
      <c r="AG57" s="2013" t="n"/>
      <c r="AH57" s="2013" t="n"/>
      <c r="AI57" s="2013" t="n"/>
      <c r="AJ57" s="2013" t="n"/>
      <c r="AK57" s="2013" t="n"/>
      <c r="AL57" s="11602" t="n"/>
      <c r="AM57" s="11602" t="n"/>
      <c r="AN57" s="11602" t="n"/>
      <c r="AO57" s="2013" t="n"/>
      <c r="AP57" s="11602" t="n"/>
      <c r="AQ57" s="11602" t="n"/>
      <c r="AR57" s="658" t="n"/>
      <c r="AS57" s="658" t="n"/>
      <c r="AT57" s="658" t="n"/>
      <c r="AU57" s="658" t="n"/>
      <c r="AV57" s="658" t="n"/>
      <c r="AW57" s="658" t="n"/>
      <c r="AX57" s="658" t="n"/>
      <c r="AY57" s="658" t="n"/>
      <c r="AZ57" s="658" t="n"/>
      <c r="BA57" s="658" t="n"/>
    </row>
    <row r="58" ht="16.5" customFormat="1" customHeight="1" s="815">
      <c r="A58" s="2013" t="n"/>
      <c r="B58" s="5744">
        <f>"Schedule D Tax Worksheet ("&amp;LastYear&amp;")"</f>
        <v/>
      </c>
      <c r="C58" s="2013" t="n"/>
      <c r="D58" s="2013" t="n"/>
      <c r="E58" s="2013" t="n"/>
      <c r="F58" s="2013" t="n"/>
      <c r="G58" s="2013" t="n"/>
      <c r="H58" s="2013" t="n"/>
      <c r="I58" s="2013" t="n"/>
      <c r="J58" s="2013" t="n"/>
      <c r="K58" s="4468" t="n"/>
      <c r="L58" s="2013" t="n"/>
      <c r="M58" s="2013" t="n"/>
      <c r="N58" s="2013" t="n"/>
      <c r="O58" s="5720" t="n"/>
      <c r="P58" s="2013" t="n"/>
      <c r="Q58" s="2013" t="n"/>
      <c r="R58" s="2013" t="n"/>
      <c r="S58" s="2013" t="n"/>
      <c r="T58" s="2013" t="n"/>
      <c r="U58" s="5764">
        <f>IF($AQ$58,"from the Sch. D Tax Worksheet. But not both.","")</f>
        <v/>
      </c>
      <c r="V58" s="2013" t="n"/>
      <c r="W58" s="2013" t="n"/>
      <c r="X58" s="2013" t="n"/>
      <c r="Y58" s="2013" t="n"/>
      <c r="Z58" s="2013" t="n"/>
      <c r="AA58" s="2013" t="n"/>
      <c r="AB58" s="2013" t="n"/>
      <c r="AC58" s="2013" t="n"/>
      <c r="AD58" s="2013" t="n"/>
      <c r="AE58" s="2013" t="n"/>
      <c r="AF58" s="2013" t="n"/>
      <c r="AG58" s="2013" t="n"/>
      <c r="AH58" s="2013" t="n"/>
      <c r="AI58" s="2013" t="n"/>
      <c r="AJ58" s="2013" t="n"/>
      <c r="AK58" s="2013" t="n"/>
      <c r="AL58" s="11602" t="n"/>
      <c r="AM58" s="724" t="n"/>
      <c r="AN58" s="11602" t="n"/>
      <c r="AO58" s="2013" t="n"/>
      <c r="AP58" s="11602" t="n"/>
      <c r="AQ58" s="5768">
        <f>AND(OR($O$54&lt;&gt;"",$O$56&lt;&gt;""),OR($O$59&lt;&gt;"",$O$65&lt;&gt;""))</f>
        <v/>
      </c>
      <c r="AR58" s="658" t="n"/>
      <c r="AS58" s="658" t="n"/>
      <c r="AT58" s="658" t="n"/>
      <c r="AU58" s="658" t="n"/>
      <c r="AV58" s="658" t="n"/>
      <c r="AW58" s="658" t="n"/>
      <c r="AX58" s="658" t="n"/>
      <c r="AY58" s="658" t="n"/>
      <c r="AZ58" s="658" t="n"/>
      <c r="BA58" s="658" t="n"/>
    </row>
    <row r="59" ht="16.5" customFormat="1" customHeight="1" s="815">
      <c r="A59" s="2013" t="n"/>
      <c r="B59" s="3340" t="inlineStr">
        <is>
          <t>5.</t>
        </is>
      </c>
      <c r="C59" s="2769" t="inlineStr">
        <is>
          <t>Subtract line 4 from line 3.</t>
        </is>
      </c>
      <c r="D59" s="2769" t="n"/>
      <c r="E59" s="2769" t="n"/>
      <c r="F59" s="11262" t="n"/>
      <c r="G59" s="11262" t="n"/>
      <c r="H59" s="11262" t="n"/>
      <c r="I59" s="2770" t="inlineStr">
        <is>
          <t>If zero or less, enter -0-</t>
        </is>
      </c>
      <c r="J59" s="2769" t="n"/>
      <c r="K59" s="11262" t="n"/>
      <c r="L59" s="11262" t="n"/>
      <c r="M59" s="2075" t="inlineStr">
        <is>
          <t>.   .</t>
        </is>
      </c>
      <c r="N59" s="2994" t="inlineStr">
        <is>
          <t>5.</t>
        </is>
      </c>
      <c r="O59" s="10883" t="n"/>
      <c r="P59" s="11717" t="n"/>
      <c r="Q59" s="11717" t="n"/>
      <c r="R59" s="11717" t="n"/>
      <c r="S59" s="2013" t="n"/>
      <c r="T59" s="2013" t="n"/>
      <c r="U59" s="2013" t="n"/>
      <c r="V59" s="2013" t="n"/>
      <c r="W59" s="2013" t="n"/>
      <c r="X59" s="2013" t="n"/>
      <c r="Y59" s="2013" t="n"/>
      <c r="Z59" s="2013" t="n"/>
      <c r="AA59" s="2013" t="n"/>
      <c r="AB59" s="2013" t="n"/>
      <c r="AC59" s="2013" t="n"/>
      <c r="AD59" s="2013" t="n"/>
      <c r="AE59" s="2013" t="n"/>
      <c r="AF59" s="2013" t="n"/>
      <c r="AG59" s="2013" t="n"/>
      <c r="AH59" s="2013" t="n"/>
      <c r="AI59" s="2013" t="n"/>
      <c r="AJ59" s="2013" t="n"/>
      <c r="AK59" s="2013" t="n"/>
      <c r="AL59" s="11602" t="n"/>
      <c r="AM59" s="7772" t="inlineStr">
        <is>
          <t>Part III, line 35</t>
        </is>
      </c>
      <c r="AN59" s="11602" t="n"/>
      <c r="AO59" s="2013" t="n"/>
      <c r="AP59" s="11602" t="n"/>
      <c r="AQ59" s="11602" t="n"/>
      <c r="AR59" s="658" t="n"/>
      <c r="AS59" s="658" t="n"/>
      <c r="AT59" s="658" t="n"/>
      <c r="AU59" s="658" t="n"/>
      <c r="AV59" s="658" t="n"/>
      <c r="AW59" s="658" t="n"/>
      <c r="AX59" s="658" t="n"/>
      <c r="AY59" s="658" t="n"/>
      <c r="AZ59" s="658" t="n"/>
      <c r="BA59" s="658" t="n"/>
    </row>
    <row r="60" ht="9" customFormat="1" customHeight="1" s="815">
      <c r="A60" s="2013" t="n"/>
      <c r="B60" s="2013" t="n"/>
      <c r="C60" s="2013" t="n"/>
      <c r="D60" s="2013" t="n"/>
      <c r="E60" s="2013" t="n"/>
      <c r="F60" s="2013" t="n"/>
      <c r="G60" s="2013" t="n"/>
      <c r="H60" s="2013" t="n"/>
      <c r="I60" s="2013" t="n"/>
      <c r="J60" s="2013" t="n"/>
      <c r="K60" s="4468" t="n"/>
      <c r="L60" s="2013" t="n"/>
      <c r="M60" s="2013" t="n"/>
      <c r="N60" s="2013" t="n"/>
      <c r="O60" s="5720" t="n"/>
      <c r="P60" s="2013" t="n"/>
      <c r="Q60" s="2013" t="n"/>
      <c r="R60" s="2013" t="n"/>
      <c r="S60" s="2013" t="n"/>
      <c r="T60" s="2013" t="n"/>
      <c r="U60" s="2013" t="n"/>
      <c r="V60" s="2013" t="n"/>
      <c r="W60" s="2013" t="n"/>
      <c r="X60" s="2013" t="n"/>
      <c r="Y60" s="2013" t="n"/>
      <c r="Z60" s="2013" t="n"/>
      <c r="AA60" s="2013" t="n"/>
      <c r="AB60" s="2013" t="n"/>
      <c r="AC60" s="2013" t="n"/>
      <c r="AD60" s="2013" t="n"/>
      <c r="AE60" s="2013" t="n"/>
      <c r="AF60" s="2013" t="n"/>
      <c r="AG60" s="2013" t="n"/>
      <c r="AH60" s="2013" t="n"/>
      <c r="AI60" s="2013" t="n"/>
      <c r="AJ60" s="2013" t="n"/>
      <c r="AK60" s="2013" t="n"/>
      <c r="AL60" s="11602" t="n"/>
      <c r="AM60" s="11602" t="n"/>
      <c r="AN60" s="11602" t="n"/>
      <c r="AO60" s="2013" t="n"/>
      <c r="AP60" s="11602" t="n"/>
      <c r="AQ60" s="11602" t="n"/>
      <c r="AR60" s="658" t="n"/>
      <c r="AS60" s="658" t="n"/>
      <c r="AT60" s="658" t="n"/>
      <c r="AU60" s="658" t="n"/>
      <c r="AV60" s="658" t="n"/>
      <c r="AW60" s="658" t="n"/>
      <c r="AX60" s="658" t="n"/>
      <c r="AY60" s="658" t="n"/>
      <c r="AZ60" s="658" t="n"/>
      <c r="BA60" s="658" t="n"/>
    </row>
    <row r="61" ht="16.5" customFormat="1" customHeight="1" s="815">
      <c r="A61" s="2013" t="n"/>
      <c r="B61" s="3340" t="inlineStr">
        <is>
          <t>10.</t>
        </is>
      </c>
      <c r="C61" s="2769" t="inlineStr">
        <is>
          <t>Add lines 6 and 9</t>
        </is>
      </c>
      <c r="D61" s="2769" t="n"/>
      <c r="E61" s="2770" t="n"/>
      <c r="F61" s="2770" t="n"/>
      <c r="G61" s="2770" t="n"/>
      <c r="H61" s="2770" t="n"/>
      <c r="I61" s="2770" t="n"/>
      <c r="J61" s="2770" t="n"/>
      <c r="K61" s="11262" t="n"/>
      <c r="L61" s="11262" t="n"/>
      <c r="M61" s="3222" t="inlineStr">
        <is>
          <t xml:space="preserve"> .   .</t>
        </is>
      </c>
      <c r="N61" s="5763" t="inlineStr">
        <is>
          <t>10.</t>
        </is>
      </c>
      <c r="O61" s="10883" t="n"/>
      <c r="P61" s="11717" t="n"/>
      <c r="Q61" s="11717" t="n"/>
      <c r="R61" s="11717" t="n"/>
      <c r="S61" s="2013" t="n"/>
      <c r="T61" s="2013" t="n"/>
      <c r="U61" s="2013" t="n"/>
      <c r="V61" s="2013" t="n"/>
      <c r="W61" s="2013" t="n"/>
      <c r="X61" s="2013" t="n"/>
      <c r="Y61" s="2013" t="n"/>
      <c r="Z61" s="2013" t="n"/>
      <c r="AA61" s="2013" t="n"/>
      <c r="AB61" s="2013" t="n"/>
      <c r="AC61" s="2013" t="n"/>
      <c r="AD61" s="2013" t="n"/>
      <c r="AE61" s="2013" t="n"/>
      <c r="AF61" s="2013" t="n"/>
      <c r="AG61" s="2013" t="n"/>
      <c r="AH61" s="2013" t="n"/>
      <c r="AI61" s="2013" t="n"/>
      <c r="AJ61" s="2013" t="n"/>
      <c r="AK61" s="2013" t="n"/>
      <c r="AL61" s="11602" t="n"/>
      <c r="AM61" s="7772" t="inlineStr">
        <is>
          <t>Part III, line 30</t>
        </is>
      </c>
      <c r="AN61" s="11602" t="n"/>
      <c r="AO61" s="2013" t="n"/>
      <c r="AP61" s="11602" t="n"/>
      <c r="AQ61" s="11602" t="n"/>
      <c r="AR61" s="658" t="n"/>
      <c r="AS61" s="658" t="n"/>
      <c r="AT61" s="658" t="n"/>
      <c r="AU61" s="658" t="n"/>
      <c r="AV61" s="658" t="n"/>
      <c r="AW61" s="658" t="n"/>
      <c r="AX61" s="658" t="n"/>
      <c r="AY61" s="658" t="n"/>
      <c r="AZ61" s="658" t="n"/>
      <c r="BA61" s="658" t="n"/>
    </row>
    <row r="62" ht="9" customFormat="1" customHeight="1" s="815">
      <c r="A62" s="2013" t="n"/>
      <c r="B62" s="2013" t="n"/>
      <c r="C62" s="2013" t="n"/>
      <c r="D62" s="2013" t="n"/>
      <c r="E62" s="2013" t="n"/>
      <c r="F62" s="2013" t="n"/>
      <c r="G62" s="2013" t="n"/>
      <c r="H62" s="2013" t="n"/>
      <c r="I62" s="2013" t="n"/>
      <c r="J62" s="2013" t="n"/>
      <c r="K62" s="4468" t="n"/>
      <c r="L62" s="2013" t="n"/>
      <c r="M62" s="2013" t="n"/>
      <c r="N62" s="2013" t="n"/>
      <c r="O62" s="5720" t="n"/>
      <c r="P62" s="2013" t="n"/>
      <c r="Q62" s="2013" t="n"/>
      <c r="R62" s="2013" t="n"/>
      <c r="S62" s="2013" t="n"/>
      <c r="T62" s="2013" t="n"/>
      <c r="U62" s="2013" t="n"/>
      <c r="V62" s="2013" t="n"/>
      <c r="W62" s="2013" t="n"/>
      <c r="X62" s="2013" t="n"/>
      <c r="Y62" s="2013" t="n"/>
      <c r="Z62" s="2013" t="n"/>
      <c r="AA62" s="2013" t="n"/>
      <c r="AB62" s="2013" t="n"/>
      <c r="AC62" s="2013" t="n"/>
      <c r="AD62" s="2013" t="n"/>
      <c r="AE62" s="2013" t="n"/>
      <c r="AF62" s="2013" t="n"/>
      <c r="AG62" s="2013" t="n"/>
      <c r="AH62" s="2013" t="n"/>
      <c r="AI62" s="2013" t="n"/>
      <c r="AJ62" s="2013" t="n"/>
      <c r="AK62" s="2013" t="n"/>
      <c r="AL62" s="11602" t="n"/>
      <c r="AM62" s="11602" t="n"/>
      <c r="AN62" s="11602" t="n"/>
      <c r="AO62" s="2013" t="n"/>
      <c r="AP62" s="11602" t="n"/>
      <c r="AQ62" s="11602" t="n"/>
      <c r="AR62" s="658" t="n"/>
      <c r="AS62" s="658" t="n"/>
      <c r="AT62" s="658" t="n"/>
      <c r="AU62" s="658" t="n"/>
      <c r="AV62" s="658" t="n"/>
      <c r="AW62" s="658" t="n"/>
      <c r="AX62" s="658" t="n"/>
      <c r="AY62" s="658" t="n"/>
      <c r="AZ62" s="658" t="n"/>
      <c r="BA62" s="658" t="n"/>
    </row>
    <row r="63" ht="16.5" customFormat="1" customHeight="1" s="815">
      <c r="A63" s="2013" t="n"/>
      <c r="B63" s="3340" t="inlineStr">
        <is>
          <t>13.</t>
        </is>
      </c>
      <c r="C63" s="2769" t="inlineStr">
        <is>
          <t>Subtract line 12 from line 10</t>
        </is>
      </c>
      <c r="D63" s="2769" t="n"/>
      <c r="E63" s="2770" t="n"/>
      <c r="F63" s="2770" t="n"/>
      <c r="G63" s="2770" t="n"/>
      <c r="H63" s="2770" t="n"/>
      <c r="I63" s="2770" t="n"/>
      <c r="J63" s="2770" t="n"/>
      <c r="K63" s="11262" t="n"/>
      <c r="L63" s="11262" t="n"/>
      <c r="M63" s="3222" t="inlineStr">
        <is>
          <t xml:space="preserve"> .   .</t>
        </is>
      </c>
      <c r="N63" s="5763" t="inlineStr">
        <is>
          <t>13.</t>
        </is>
      </c>
      <c r="O63" s="10883" t="n"/>
      <c r="P63" s="11717" t="n"/>
      <c r="Q63" s="11717" t="n"/>
      <c r="R63" s="11717" t="n"/>
      <c r="S63" s="2013" t="n"/>
      <c r="T63" s="2013" t="n"/>
      <c r="U63" s="2013" t="n"/>
      <c r="V63" s="2013" t="n"/>
      <c r="W63" s="2013" t="n"/>
      <c r="X63" s="2013" t="n"/>
      <c r="Y63" s="2013" t="n"/>
      <c r="Z63" s="2013" t="n"/>
      <c r="AA63" s="2013" t="n"/>
      <c r="AB63" s="2013" t="n"/>
      <c r="AC63" s="2013" t="n"/>
      <c r="AD63" s="2013" t="n"/>
      <c r="AE63" s="2013" t="n"/>
      <c r="AF63" s="2013" t="n"/>
      <c r="AG63" s="2013" t="n"/>
      <c r="AH63" s="2013" t="n"/>
      <c r="AI63" s="2013" t="n"/>
      <c r="AJ63" s="2013" t="n"/>
      <c r="AK63" s="2013" t="n"/>
      <c r="AL63" s="11602" t="n"/>
      <c r="AM63" s="7772" t="inlineStr">
        <is>
          <t>Part III, line 28</t>
        </is>
      </c>
      <c r="AN63" s="11602" t="n"/>
      <c r="AO63" s="2013" t="n"/>
      <c r="AP63" s="11602" t="n"/>
      <c r="AQ63" s="11602" t="n"/>
      <c r="AR63" s="658" t="n"/>
      <c r="AS63" s="658" t="n"/>
      <c r="AT63" s="658" t="n"/>
      <c r="AU63" s="658" t="n"/>
      <c r="AV63" s="658" t="n"/>
      <c r="AW63" s="658" t="n"/>
      <c r="AX63" s="658" t="n"/>
      <c r="AY63" s="658" t="n"/>
      <c r="AZ63" s="658" t="n"/>
      <c r="BA63" s="658" t="n"/>
    </row>
    <row r="64" ht="9" customFormat="1" customHeight="1" s="815">
      <c r="A64" s="2013" t="n"/>
      <c r="B64" s="2013" t="n"/>
      <c r="C64" s="2013" t="n"/>
      <c r="D64" s="2013" t="n"/>
      <c r="E64" s="2013" t="n"/>
      <c r="F64" s="2013" t="n"/>
      <c r="G64" s="2013" t="n"/>
      <c r="H64" s="2013" t="n"/>
      <c r="I64" s="2013" t="n"/>
      <c r="J64" s="2013" t="n"/>
      <c r="K64" s="4468" t="n"/>
      <c r="L64" s="2013" t="n"/>
      <c r="M64" s="2013" t="n"/>
      <c r="N64" s="2013" t="n"/>
      <c r="O64" s="5720" t="n"/>
      <c r="P64" s="2013" t="n"/>
      <c r="Q64" s="2013" t="n"/>
      <c r="R64" s="2013" t="n"/>
      <c r="S64" s="2013" t="n"/>
      <c r="T64" s="2013" t="n"/>
      <c r="U64" s="2013" t="n"/>
      <c r="V64" s="2013" t="n"/>
      <c r="W64" s="2013" t="n"/>
      <c r="X64" s="2013" t="n"/>
      <c r="Y64" s="2013" t="n"/>
      <c r="Z64" s="2013" t="n"/>
      <c r="AA64" s="2013" t="n"/>
      <c r="AB64" s="2013" t="n"/>
      <c r="AC64" s="2013" t="n"/>
      <c r="AD64" s="2013" t="n"/>
      <c r="AE64" s="2013" t="n"/>
      <c r="AF64" s="2013" t="n"/>
      <c r="AG64" s="2013" t="n"/>
      <c r="AH64" s="2013" t="n"/>
      <c r="AI64" s="2013" t="n"/>
      <c r="AJ64" s="2013" t="n"/>
      <c r="AK64" s="2013" t="n"/>
      <c r="AL64" s="11602" t="n"/>
      <c r="AM64" s="11602" t="n"/>
      <c r="AN64" s="11602" t="n"/>
      <c r="AO64" s="2013" t="n"/>
      <c r="AP64" s="11602" t="n"/>
      <c r="AQ64" s="11602" t="n"/>
      <c r="AR64" s="658" t="n"/>
      <c r="AS64" s="658" t="n"/>
      <c r="AT64" s="658" t="n"/>
      <c r="AU64" s="658" t="n"/>
      <c r="AV64" s="658" t="n"/>
      <c r="AW64" s="658" t="n"/>
      <c r="AX64" s="658" t="n"/>
      <c r="AY64" s="658" t="n"/>
      <c r="AZ64" s="658" t="n"/>
      <c r="BA64" s="658" t="n"/>
    </row>
    <row r="65" ht="16.5" customFormat="1" customHeight="1" s="815">
      <c r="A65" s="2013" t="n"/>
      <c r="B65" s="3340" t="inlineStr">
        <is>
          <t>14.</t>
        </is>
      </c>
      <c r="C65" s="2769" t="inlineStr">
        <is>
          <t>Subtract line 13 from line 1.</t>
        </is>
      </c>
      <c r="D65" s="2769" t="n"/>
      <c r="E65" s="2770" t="n"/>
      <c r="F65" s="2770" t="n"/>
      <c r="G65" s="2770" t="n"/>
      <c r="H65" s="2770" t="n"/>
      <c r="I65" s="2770" t="inlineStr">
        <is>
          <t>If zero or less, enter -0-</t>
        </is>
      </c>
      <c r="J65" s="2770" t="n"/>
      <c r="K65" s="11262" t="n"/>
      <c r="L65" s="11262" t="n"/>
      <c r="M65" s="3222" t="inlineStr">
        <is>
          <t xml:space="preserve"> .   .</t>
        </is>
      </c>
      <c r="N65" s="5763" t="inlineStr">
        <is>
          <t>14.</t>
        </is>
      </c>
      <c r="O65" s="10883" t="n"/>
      <c r="P65" s="11717" t="n"/>
      <c r="Q65" s="11717" t="n"/>
      <c r="R65" s="11717" t="n"/>
      <c r="S65" s="2013" t="n"/>
      <c r="T65" s="2013" t="n"/>
      <c r="U65" s="2013" t="n"/>
      <c r="V65" s="2013" t="n"/>
      <c r="W65" s="2013" t="n"/>
      <c r="X65" s="2013" t="n"/>
      <c r="Y65" s="2013" t="n"/>
      <c r="Z65" s="2013" t="n"/>
      <c r="AA65" s="2013" t="n"/>
      <c r="AB65" s="2013" t="n"/>
      <c r="AC65" s="2013" t="n"/>
      <c r="AD65" s="2013" t="n"/>
      <c r="AE65" s="2013" t="n"/>
      <c r="AF65" s="2013" t="n"/>
      <c r="AG65" s="2013" t="n"/>
      <c r="AH65" s="2013" t="n"/>
      <c r="AI65" s="2013" t="n"/>
      <c r="AJ65" s="2013" t="n"/>
      <c r="AK65" s="2013" t="n"/>
      <c r="AL65" s="11602" t="n"/>
      <c r="AM65" s="7772" t="inlineStr">
        <is>
          <t>Part III, line 35</t>
        </is>
      </c>
      <c r="AN65" s="11602" t="n"/>
      <c r="AO65" s="2013" t="n"/>
      <c r="AP65" s="11602" t="n"/>
      <c r="AQ65" s="11602" t="n"/>
      <c r="AR65" s="658" t="n"/>
      <c r="AS65" s="658" t="n"/>
      <c r="AT65" s="658" t="n"/>
      <c r="AU65" s="658" t="n"/>
      <c r="AV65" s="658" t="n"/>
      <c r="AW65" s="658" t="n"/>
      <c r="AX65" s="658" t="n"/>
      <c r="AY65" s="658" t="n"/>
      <c r="AZ65" s="658" t="n"/>
      <c r="BA65" s="658" t="n"/>
    </row>
    <row r="66" ht="9" customFormat="1" customHeight="1" s="815">
      <c r="A66" s="2013" t="n"/>
      <c r="B66" s="2013" t="n"/>
      <c r="C66" s="2013" t="n"/>
      <c r="D66" s="2013" t="n"/>
      <c r="E66" s="2013" t="n"/>
      <c r="F66" s="2013" t="n"/>
      <c r="G66" s="2013" t="n"/>
      <c r="H66" s="2013" t="n"/>
      <c r="I66" s="2013" t="n"/>
      <c r="J66" s="2013" t="n"/>
      <c r="K66" s="4468" t="n"/>
      <c r="L66" s="2013" t="n"/>
      <c r="M66" s="2013" t="n"/>
      <c r="N66" s="2013" t="n"/>
      <c r="O66" s="5720" t="n"/>
      <c r="P66" s="2013" t="n"/>
      <c r="Q66" s="2013" t="n"/>
      <c r="R66" s="2013" t="n"/>
      <c r="S66" s="2013" t="n"/>
      <c r="T66" s="2013" t="n"/>
      <c r="U66" s="2013" t="n"/>
      <c r="V66" s="2013" t="n"/>
      <c r="W66" s="2013" t="n"/>
      <c r="X66" s="2013" t="n"/>
      <c r="Y66" s="2013" t="n"/>
      <c r="Z66" s="2013" t="n"/>
      <c r="AA66" s="2013" t="n"/>
      <c r="AB66" s="2013" t="n"/>
      <c r="AC66" s="2013" t="n"/>
      <c r="AD66" s="2013" t="n"/>
      <c r="AE66" s="2013" t="n"/>
      <c r="AF66" s="2013" t="n"/>
      <c r="AG66" s="2013" t="n"/>
      <c r="AH66" s="2013" t="n"/>
      <c r="AI66" s="2013" t="n"/>
      <c r="AJ66" s="2013" t="n"/>
      <c r="AK66" s="2013" t="n"/>
      <c r="AL66" s="11602" t="n"/>
      <c r="AM66" s="11602" t="n"/>
      <c r="AN66" s="11602" t="n"/>
      <c r="AO66" s="2013" t="n"/>
      <c r="AP66" s="11602" t="n"/>
      <c r="AQ66" s="11602" t="n"/>
      <c r="AR66" s="658" t="n"/>
      <c r="AS66" s="658" t="n"/>
      <c r="AT66" s="658" t="n"/>
      <c r="AU66" s="658" t="n"/>
      <c r="AV66" s="658" t="n"/>
      <c r="AW66" s="658" t="n"/>
      <c r="AX66" s="658" t="n"/>
      <c r="AY66" s="658" t="n"/>
      <c r="AZ66" s="658" t="n"/>
      <c r="BA66" s="658" t="n"/>
    </row>
    <row r="67" ht="16.5" customFormat="1" customHeight="1" s="815">
      <c r="A67" s="2013" t="n"/>
      <c r="B67" s="3340" t="inlineStr">
        <is>
          <t>21.</t>
        </is>
      </c>
      <c r="C67" s="2769" t="inlineStr">
        <is>
          <t>Enter the larger of line 18 or line 20</t>
        </is>
      </c>
      <c r="D67" s="2769" t="n"/>
      <c r="E67" s="2769" t="n"/>
      <c r="F67" s="2770" t="n"/>
      <c r="G67" s="2770" t="n"/>
      <c r="H67" s="2770" t="n"/>
      <c r="I67" s="2770" t="n"/>
      <c r="J67" s="2770" t="n"/>
      <c r="K67" s="11262" t="n"/>
      <c r="L67" s="11262" t="n"/>
      <c r="M67" s="3222" t="inlineStr">
        <is>
          <t xml:space="preserve"> .   .</t>
        </is>
      </c>
      <c r="N67" s="5763" t="inlineStr">
        <is>
          <t>21.</t>
        </is>
      </c>
      <c r="O67" s="10883" t="n"/>
      <c r="P67" s="11717" t="n"/>
      <c r="Q67" s="11717" t="n"/>
      <c r="R67" s="11717" t="n"/>
      <c r="S67" s="2013" t="n"/>
      <c r="T67" s="2013" t="n"/>
      <c r="U67" s="2013" t="n"/>
      <c r="V67" s="2013" t="n"/>
      <c r="W67" s="2013" t="n"/>
      <c r="X67" s="2013" t="n"/>
      <c r="Y67" s="2013" t="n"/>
      <c r="Z67" s="2013" t="n"/>
      <c r="AA67" s="2013" t="n"/>
      <c r="AB67" s="2013" t="n"/>
      <c r="AC67" s="2013" t="n"/>
      <c r="AD67" s="2013" t="n"/>
      <c r="AE67" s="2013" t="n"/>
      <c r="AF67" s="2013" t="n"/>
      <c r="AG67" s="2013" t="n"/>
      <c r="AH67" s="2013" t="n"/>
      <c r="AI67" s="2013" t="n"/>
      <c r="AJ67" s="2013" t="n"/>
      <c r="AK67" s="2013" t="n"/>
      <c r="AL67" s="11602" t="n"/>
      <c r="AM67" s="7772" t="inlineStr">
        <is>
          <t>Part III, line 42</t>
        </is>
      </c>
      <c r="AN67" s="11602" t="n"/>
      <c r="AO67" s="2013" t="n"/>
      <c r="AP67" s="11602" t="n"/>
      <c r="AQ67" s="5768">
        <f>AND(O54="",O56="",O59="",O65="",O67="")</f>
        <v/>
      </c>
      <c r="AR67" s="658" t="n"/>
      <c r="AS67" s="658" t="n"/>
      <c r="AT67" s="658" t="n"/>
      <c r="AU67" s="658" t="n"/>
      <c r="AV67" s="658" t="n"/>
      <c r="AW67" s="658" t="n"/>
      <c r="AX67" s="658" t="n"/>
      <c r="AY67" s="658" t="n"/>
      <c r="AZ67" s="658" t="n"/>
      <c r="BA67" s="658" t="n"/>
    </row>
    <row r="68" ht="16.5" customFormat="1" customHeight="1" s="815">
      <c r="A68" s="2013" t="n"/>
      <c r="B68" s="2013" t="n"/>
      <c r="C68" s="2013" t="n"/>
      <c r="D68" s="2013" t="n"/>
      <c r="E68" s="2013" t="n"/>
      <c r="F68" s="2013" t="n"/>
      <c r="G68" s="2013" t="n"/>
      <c r="H68" s="2013" t="n"/>
      <c r="I68" s="2013" t="n"/>
      <c r="J68" s="2013" t="n"/>
      <c r="K68" s="4468" t="n"/>
      <c r="L68" s="2013" t="n"/>
      <c r="M68" s="2013" t="n"/>
      <c r="N68" s="2013" t="n"/>
      <c r="O68" s="2013" t="n"/>
      <c r="P68" s="2013" t="n"/>
      <c r="Q68" s="2013" t="n"/>
      <c r="R68" s="2013" t="n"/>
      <c r="S68" s="2013" t="n"/>
      <c r="T68" s="2013" t="n"/>
      <c r="U68" s="5764" t="n"/>
      <c r="V68" s="2013" t="n"/>
      <c r="W68" s="2013" t="n"/>
      <c r="X68" s="2013" t="n"/>
      <c r="Y68" s="2013" t="n"/>
      <c r="Z68" s="2013" t="n"/>
      <c r="AA68" s="2013" t="n"/>
      <c r="AB68" s="2013" t="n"/>
      <c r="AC68" s="2013" t="n"/>
      <c r="AD68" s="2013" t="n"/>
      <c r="AE68" s="2013" t="n"/>
      <c r="AF68" s="2013" t="n"/>
      <c r="AG68" s="2013" t="n"/>
      <c r="AH68" s="2013" t="n"/>
      <c r="AI68" s="2013" t="n"/>
      <c r="AJ68" s="2013" t="n"/>
      <c r="AK68" s="2013" t="n"/>
      <c r="AL68" s="11602" t="n"/>
      <c r="AM68" s="11602" t="n"/>
      <c r="AN68" s="11602" t="n"/>
      <c r="AO68" s="2013" t="n"/>
      <c r="AP68" s="11602" t="n"/>
      <c r="AQ68" s="11602" t="n"/>
      <c r="AR68" s="658" t="n"/>
      <c r="AS68" s="658" t="n"/>
      <c r="AT68" s="658" t="n"/>
      <c r="AU68" s="658" t="n"/>
      <c r="AV68" s="658" t="n"/>
      <c r="AW68" s="658" t="n"/>
      <c r="AX68" s="658" t="n"/>
      <c r="AY68" s="658" t="n"/>
      <c r="AZ68" s="658" t="n"/>
      <c r="BA68" s="658" t="n"/>
    </row>
    <row r="69" ht="16.5" customFormat="1" customHeight="1" s="815">
      <c r="A69" s="2013" t="n"/>
      <c r="B69" s="2013" t="n"/>
      <c r="C69" s="2013" t="n"/>
      <c r="D69" s="2013" t="n"/>
      <c r="E69" s="2013" t="n"/>
      <c r="F69" s="2013" t="n"/>
      <c r="G69" s="2013" t="n"/>
      <c r="H69" s="2013" t="n"/>
      <c r="I69" s="2013" t="n"/>
      <c r="J69" s="2013" t="n"/>
      <c r="K69" s="4468" t="n"/>
      <c r="L69" s="2013" t="n"/>
      <c r="M69" s="2013" t="n"/>
      <c r="N69" s="2013" t="n"/>
      <c r="O69" s="5720" t="n"/>
      <c r="P69" s="2013" t="n"/>
      <c r="Q69" s="2013" t="n"/>
      <c r="R69" s="2013" t="n"/>
      <c r="S69" s="2013" t="n"/>
      <c r="T69" s="2013" t="n"/>
      <c r="U69" s="2013" t="n"/>
      <c r="V69" s="2013" t="n"/>
      <c r="W69" s="2013" t="n"/>
      <c r="X69" s="2013" t="n"/>
      <c r="Y69" s="2013" t="n"/>
      <c r="Z69" s="2013" t="n"/>
      <c r="AA69" s="2013" t="n"/>
      <c r="AB69" s="2013" t="n"/>
      <c r="AC69" s="2013" t="n"/>
      <c r="AD69" s="2013" t="n"/>
      <c r="AE69" s="2013" t="n"/>
      <c r="AF69" s="2013" t="n"/>
      <c r="AG69" s="2013" t="n"/>
      <c r="AH69" s="2013" t="n"/>
      <c r="AI69" s="2013" t="n"/>
      <c r="AJ69" s="2013" t="n"/>
      <c r="AK69" s="2013" t="n"/>
      <c r="AL69" s="11602" t="n"/>
      <c r="AM69" s="11602" t="n"/>
      <c r="AN69" s="11602" t="n"/>
      <c r="AO69" s="2013" t="n"/>
      <c r="AP69" s="11602" t="n"/>
      <c r="AQ69" s="11602" t="n"/>
      <c r="AR69" s="658" t="n"/>
      <c r="AS69" s="658" t="n"/>
      <c r="AT69" s="658" t="n"/>
      <c r="AU69" s="658" t="n"/>
      <c r="AV69" s="658" t="n"/>
      <c r="AW69" s="658" t="n"/>
      <c r="AX69" s="658" t="n"/>
      <c r="AY69" s="658" t="n"/>
      <c r="AZ69" s="658" t="n"/>
      <c r="BA69" s="658" t="n"/>
    </row>
    <row r="70" ht="16.5" customFormat="1" customHeight="1" s="815">
      <c r="A70" s="2013" t="n"/>
      <c r="B70" s="2013" t="n"/>
      <c r="C70" s="2013" t="n"/>
      <c r="D70" s="2013" t="n"/>
      <c r="E70" s="2013" t="n"/>
      <c r="F70" s="2013" t="n"/>
      <c r="G70" s="5774">
        <f>IF(AND($AL$76="",$AQ$83=0),"Indicate 'Estate or Trust' or your filing status for your "&amp;LastYear&amp;" tax return.","")</f>
        <v/>
      </c>
      <c r="H70" s="2013" t="n"/>
      <c r="I70" s="5774" t="n"/>
      <c r="J70" s="5774" t="n"/>
      <c r="K70" s="4468" t="n"/>
      <c r="L70" s="2013" t="n"/>
      <c r="M70" s="2013" t="n"/>
      <c r="N70" s="2013" t="n"/>
      <c r="O70" s="5720" t="n"/>
      <c r="P70" s="2013" t="n"/>
      <c r="Q70" s="2013" t="n"/>
      <c r="R70" s="2013" t="n"/>
      <c r="S70" s="2013" t="n"/>
      <c r="T70" s="2013" t="n"/>
      <c r="U70" s="2013" t="n"/>
      <c r="V70" s="2013" t="n"/>
      <c r="W70" s="2013" t="n"/>
      <c r="X70" s="2013" t="n"/>
      <c r="Y70" s="2013" t="n"/>
      <c r="Z70" s="2013" t="n"/>
      <c r="AA70" s="2013" t="n"/>
      <c r="AB70" s="2013" t="n"/>
      <c r="AC70" s="2013" t="n"/>
      <c r="AD70" s="2013" t="n"/>
      <c r="AE70" s="2013" t="n"/>
      <c r="AF70" s="2013" t="n"/>
      <c r="AG70" s="2013" t="n"/>
      <c r="AH70" s="2013" t="n"/>
      <c r="AI70" s="2013" t="n"/>
      <c r="AJ70" s="2013" t="n"/>
      <c r="AK70" s="2013" t="n"/>
      <c r="AL70" s="11602" t="n"/>
      <c r="AM70" s="11602" t="n"/>
      <c r="AN70" s="11602" t="n"/>
      <c r="AO70" s="2013" t="n"/>
      <c r="AP70" s="11602" t="n"/>
      <c r="AQ70" s="11602" t="n"/>
      <c r="AR70" s="658" t="n"/>
      <c r="AS70" s="658" t="n"/>
      <c r="AT70" s="658" t="n"/>
      <c r="AU70" s="658" t="n"/>
      <c r="AV70" s="658" t="n"/>
      <c r="AW70" s="658" t="n"/>
      <c r="AX70" s="658" t="n"/>
      <c r="AY70" s="658" t="n"/>
      <c r="AZ70" s="658" t="n"/>
      <c r="BA70" s="658" t="n"/>
    </row>
    <row r="71" ht="24" customFormat="1" customHeight="1" s="815">
      <c r="A71" s="2013" t="n"/>
      <c r="B71" s="11602" t="n"/>
      <c r="C71" s="6996" t="n"/>
      <c r="D71" s="10857" t="inlineStr">
        <is>
          <t>8801</t>
        </is>
      </c>
      <c r="H71" s="719" t="n"/>
      <c r="I71" s="10926" t="inlineStr">
        <is>
          <t>Credit for Prior Year Minimum Tax—
Individuals, Estates, and Trusts</t>
        </is>
      </c>
      <c r="AB71" s="9671" t="n"/>
      <c r="AC71" s="10928" t="inlineStr">
        <is>
          <t>OMB No. 1545-1073</t>
        </is>
      </c>
      <c r="AD71" s="7637" t="n"/>
      <c r="AE71" s="7637" t="n"/>
      <c r="AF71" s="7637" t="n"/>
      <c r="AG71" s="7637" t="n"/>
      <c r="AH71" s="7637" t="n"/>
      <c r="AI71" s="7637" t="n"/>
      <c r="AJ71" s="7637" t="n"/>
      <c r="AK71" s="2013" t="n"/>
      <c r="AL71" s="11602" t="n"/>
      <c r="AM71" s="11602" t="n"/>
      <c r="AN71" s="11602" t="n"/>
      <c r="AO71" s="2013" t="n"/>
      <c r="AP71" s="11602" t="n"/>
      <c r="AQ71" s="11602" t="n"/>
      <c r="AR71" s="658" t="n"/>
      <c r="AS71" s="658" t="n"/>
      <c r="AT71" s="658" t="n"/>
      <c r="AU71" s="658" t="n"/>
      <c r="AV71" s="658" t="n"/>
      <c r="AW71" s="658" t="n"/>
      <c r="AX71" s="658" t="n"/>
      <c r="AY71" s="658" t="n"/>
      <c r="AZ71" s="658" t="n"/>
      <c r="BA71" s="658" t="n"/>
    </row>
    <row r="72" ht="24" customFormat="1" customHeight="1" s="815">
      <c r="A72" s="2013" t="n"/>
      <c r="B72" s="9886" t="inlineStr">
        <is>
          <t>Form</t>
        </is>
      </c>
      <c r="H72" s="719" t="n"/>
      <c r="I72" s="9670" t="n"/>
      <c r="AB72" s="9671" t="n"/>
      <c r="AC72" s="10828">
        <f>TaxYear</f>
        <v/>
      </c>
      <c r="AD72" s="7839" t="n"/>
      <c r="AE72" s="7839" t="n"/>
      <c r="AF72" s="7839" t="n"/>
      <c r="AG72" s="7839" t="n"/>
      <c r="AH72" s="7839" t="n"/>
      <c r="AI72" s="7839" t="n"/>
      <c r="AJ72" s="7839" t="n"/>
      <c r="AK72" s="2013" t="n"/>
      <c r="AL72" s="7886" t="n"/>
      <c r="AM72" s="11602" t="n"/>
      <c r="AN72" s="11602" t="n"/>
      <c r="AO72" s="2013" t="n"/>
      <c r="AP72" s="11602" t="n"/>
      <c r="AQ72" s="11602" t="n"/>
      <c r="AR72" s="658" t="n"/>
      <c r="AS72" s="658" t="n"/>
      <c r="AT72" s="658" t="n"/>
      <c r="AU72" s="658" t="n"/>
      <c r="AV72" s="658" t="n"/>
      <c r="AW72" s="658" t="n"/>
      <c r="AX72" s="658" t="n"/>
      <c r="AY72" s="658" t="n"/>
      <c r="AZ72" s="658" t="n"/>
      <c r="BA72" s="658" t="n"/>
    </row>
    <row r="73" ht="6.75" customFormat="1" customHeight="1" s="815">
      <c r="A73" s="2013" t="n"/>
      <c r="B73" s="11602" t="n"/>
      <c r="C73" s="6996" t="n"/>
      <c r="D73" s="11602" t="n"/>
      <c r="E73" s="11602" t="n"/>
      <c r="F73" s="11602" t="n"/>
      <c r="G73" s="11602" t="n"/>
      <c r="H73" s="719" t="n"/>
      <c r="I73" s="10877" t="inlineStr">
        <is>
          <t>Attach to Form 1040, 1040-SR, 1040-NR, or 1041.</t>
        </is>
      </c>
      <c r="AB73" s="9671" t="n"/>
      <c r="AK73" s="2013" t="n"/>
      <c r="AL73" s="11602" t="n"/>
      <c r="AM73" s="11602" t="n"/>
      <c r="AN73" s="11602" t="n"/>
      <c r="AO73" s="2013" t="n"/>
      <c r="AP73" s="11602" t="n"/>
      <c r="AQ73" s="11602" t="n"/>
      <c r="AR73" s="658" t="n"/>
      <c r="AS73" s="658" t="n"/>
      <c r="AT73" s="658" t="n"/>
      <c r="AU73" s="658" t="n"/>
      <c r="AV73" s="658" t="n"/>
      <c r="AW73" s="658" t="n"/>
      <c r="AX73" s="658" t="n"/>
      <c r="AY73" s="658" t="n"/>
      <c r="AZ73" s="658" t="n"/>
      <c r="BA73" s="658" t="n"/>
    </row>
    <row r="74" ht="12.75" customFormat="1" customHeight="1" s="815" thickBot="1">
      <c r="A74" s="2013" t="n"/>
      <c r="B74" s="11602" t="inlineStr">
        <is>
          <t>Department of the Treasury</t>
        </is>
      </c>
      <c r="C74" s="6996" t="n"/>
      <c r="D74" s="11602" t="n"/>
      <c r="E74" s="11602" t="n"/>
      <c r="F74" s="11602" t="n"/>
      <c r="G74" s="11602" t="n"/>
      <c r="H74" s="719" t="n"/>
      <c r="I74" s="9670" t="n"/>
      <c r="AB74" s="9671" t="n"/>
      <c r="AC74" s="11602" t="n"/>
      <c r="AD74" s="9237" t="inlineStr">
        <is>
          <t xml:space="preserve">   Attachment</t>
        </is>
      </c>
      <c r="AH74" s="9895" t="n">
        <v>801</v>
      </c>
      <c r="AK74" s="2013" t="n"/>
      <c r="AL74" s="7886" t="inlineStr">
        <is>
          <t>This Form 8801 is for:</t>
        </is>
      </c>
      <c r="AM74" s="11602" t="n"/>
      <c r="AN74" s="11602" t="n"/>
      <c r="AO74" s="2013" t="n"/>
      <c r="AP74" s="11602" t="n"/>
      <c r="AQ74" s="11602" t="n"/>
      <c r="AR74" s="658" t="n"/>
      <c r="AS74" s="658" t="n"/>
      <c r="AT74" s="658" t="n"/>
      <c r="AU74" s="658" t="n"/>
      <c r="AV74" s="658" t="n"/>
      <c r="AW74" s="658" t="n"/>
      <c r="AX74" s="658" t="n"/>
      <c r="AY74" s="658" t="n"/>
      <c r="AZ74" s="658" t="n"/>
      <c r="BA74" s="658" t="n"/>
    </row>
    <row r="75" ht="13.5" customFormat="1" customHeight="1" s="815" thickBot="1">
      <c r="A75" s="2013" t="n"/>
      <c r="B75" s="498" t="inlineStr">
        <is>
          <t>Internal Revenue Service</t>
        </is>
      </c>
      <c r="C75" s="4225" t="n"/>
      <c r="D75" s="380" t="n"/>
      <c r="E75" s="380" t="n"/>
      <c r="F75" s="380" t="n"/>
      <c r="G75" s="380" t="n"/>
      <c r="H75" s="4469" t="n"/>
      <c r="I75" s="10801" t="inlineStr">
        <is>
          <t>Go to www.irs.gov/Form8801 for instructions and the latest information.</t>
        </is>
      </c>
      <c r="J75" s="8848" t="n"/>
      <c r="K75" s="8848" t="n"/>
      <c r="L75" s="8848" t="n"/>
      <c r="M75" s="8848" t="n"/>
      <c r="N75" s="8848" t="n"/>
      <c r="O75" s="8848" t="n"/>
      <c r="P75" s="8848" t="n"/>
      <c r="Q75" s="8848" t="n"/>
      <c r="R75" s="8848" t="n"/>
      <c r="S75" s="8848" t="n"/>
      <c r="T75" s="8848" t="n"/>
      <c r="U75" s="8848" t="n"/>
      <c r="V75" s="8848" t="n"/>
      <c r="W75" s="8848" t="n"/>
      <c r="X75" s="8848" t="n"/>
      <c r="Y75" s="8848" t="n"/>
      <c r="Z75" s="8848" t="n"/>
      <c r="AA75" s="8848" t="n"/>
      <c r="AB75" s="12620" t="n"/>
      <c r="AC75" s="498" t="n"/>
      <c r="AD75" s="9921" t="inlineStr">
        <is>
          <t xml:space="preserve">Sequence No.  </t>
        </is>
      </c>
      <c r="AE75" s="8848" t="n"/>
      <c r="AF75" s="8848" t="n"/>
      <c r="AG75" s="8848" t="n"/>
      <c r="AH75" s="8848" t="n"/>
      <c r="AI75" s="8848" t="n"/>
      <c r="AJ75" s="8848" t="n"/>
      <c r="AK75" s="2013" t="n"/>
      <c r="AL75" s="1987">
        <f>IF(AL76="","X","")</f>
        <v/>
      </c>
      <c r="AM75" s="344" t="inlineStr">
        <is>
          <t>You and/or spouse</t>
        </is>
      </c>
      <c r="AN75" s="344" t="n"/>
      <c r="AO75" s="2013" t="n"/>
      <c r="AP75" s="11602" t="n"/>
      <c r="AQ75" s="11602" t="n"/>
      <c r="AR75" s="658" t="n"/>
      <c r="AS75" s="658" t="n"/>
      <c r="AT75" s="658" t="n"/>
      <c r="AU75" s="658" t="n"/>
      <c r="AV75" s="658" t="n"/>
      <c r="AW75" s="658" t="n"/>
      <c r="AX75" s="658" t="n"/>
      <c r="AY75" s="658" t="n"/>
      <c r="AZ75" s="658" t="n"/>
      <c r="BA75" s="658" t="n"/>
    </row>
    <row r="76" ht="13.5" customFormat="1" customHeight="1" s="815" thickBot="1">
      <c r="A76" s="2013" t="n"/>
      <c r="B76" s="339" t="inlineStr">
        <is>
          <t>Name(s) shown on return</t>
        </is>
      </c>
      <c r="C76" s="4470" t="n"/>
      <c r="D76" s="339" t="n"/>
      <c r="E76" s="339" t="n"/>
      <c r="F76" s="339" t="n"/>
      <c r="G76" s="339" t="n"/>
      <c r="H76" s="339" t="n"/>
      <c r="I76" s="339" t="n"/>
      <c r="J76" s="339" t="n"/>
      <c r="K76" s="339" t="n"/>
      <c r="L76" s="339" t="n"/>
      <c r="M76" s="339" t="n"/>
      <c r="N76" s="339" t="n"/>
      <c r="O76" s="339" t="n"/>
      <c r="P76" s="339" t="n"/>
      <c r="Q76" s="339" t="n"/>
      <c r="R76" s="339" t="n"/>
      <c r="S76" s="339" t="n"/>
      <c r="T76" s="339" t="n"/>
      <c r="U76" s="339" t="n"/>
      <c r="V76" s="339" t="n"/>
      <c r="W76" s="339" t="n"/>
      <c r="X76" s="339" t="n"/>
      <c r="Y76" s="339" t="n"/>
      <c r="Z76" s="377" t="n"/>
      <c r="AA76" s="2913" t="inlineStr">
        <is>
          <t xml:space="preserve">  Identifying number</t>
        </is>
      </c>
      <c r="AB76" s="377" t="n"/>
      <c r="AC76" s="408" t="n"/>
      <c r="AD76" s="2019" t="n"/>
      <c r="AE76" s="2019" t="n"/>
      <c r="AF76" s="2019" t="n"/>
      <c r="AG76" s="2019" t="n"/>
      <c r="AH76" s="2019" t="n"/>
      <c r="AI76" s="2019" t="n"/>
      <c r="AJ76" s="2019" t="n"/>
      <c r="AK76" s="2013" t="n"/>
      <c r="AL76" s="277" t="n"/>
      <c r="AM76" s="344" t="inlineStr">
        <is>
          <t>Estate or Trust</t>
        </is>
      </c>
      <c r="AN76" s="344" t="n"/>
      <c r="AO76" s="2013" t="inlineStr">
        <is>
          <t>See Form 8801 Instructions:</t>
        </is>
      </c>
      <c r="AP76" s="11602" t="n"/>
      <c r="AQ76" s="11602" t="n"/>
      <c r="AR76" s="658" t="n"/>
      <c r="AS76" s="658" t="n"/>
      <c r="AT76" s="658" t="n"/>
      <c r="AU76" s="658" t="n"/>
      <c r="AV76" s="658" t="n"/>
      <c r="AW76" s="658" t="n"/>
      <c r="AX76" s="658" t="n"/>
      <c r="AY76" s="658" t="n"/>
      <c r="AZ76" s="658" t="n"/>
      <c r="BA76" s="658" t="n"/>
    </row>
    <row r="77" ht="25.5" customFormat="1" customHeight="1" s="815" thickBot="1">
      <c r="A77" s="2013" t="n"/>
      <c r="B77" s="10904">
        <f>IF(AND(AL75&lt;&gt;"",AL76&lt;&gt;""),Names,IF(AL76&lt;&gt;"",NameSpouse,IF(AL75&lt;&gt;"",NameYours,"")))</f>
        <v/>
      </c>
      <c r="C77" s="7637" t="n"/>
      <c r="D77" s="7637" t="n"/>
      <c r="E77" s="7637" t="n"/>
      <c r="F77" s="7637" t="n"/>
      <c r="G77" s="7637" t="n"/>
      <c r="H77" s="7637" t="n"/>
      <c r="I77" s="7637" t="n"/>
      <c r="J77" s="7637" t="n"/>
      <c r="K77" s="7637" t="n"/>
      <c r="L77" s="7637" t="n"/>
      <c r="M77" s="7637" t="n"/>
      <c r="N77" s="7637" t="n"/>
      <c r="O77" s="7637" t="n"/>
      <c r="P77" s="7637" t="n"/>
      <c r="Q77" s="7637" t="n"/>
      <c r="R77" s="7637" t="n"/>
      <c r="S77" s="7637" t="n"/>
      <c r="T77" s="7637" t="n"/>
      <c r="U77" s="7637" t="n"/>
      <c r="V77" s="7637" t="n"/>
      <c r="W77" s="7637" t="n"/>
      <c r="X77" s="7637" t="n"/>
      <c r="Y77" s="7637" t="n"/>
      <c r="Z77" s="7637" t="n"/>
      <c r="AA77" s="12683">
        <f>IF(AND(NOT(NoSSN),SS_Yours&lt;&gt;"",OR(AL75&lt;&gt;"",AND(AL75&lt;&gt;"",AL76&lt;&gt;""))),SS_Yours,IF(AND(NOT(NoSSN),SS_Spouse&lt;&gt;"",AL76&lt;&gt;""),SS_Spouse,""))</f>
        <v/>
      </c>
      <c r="AB77" s="7637" t="n"/>
      <c r="AC77" s="7637" t="n"/>
      <c r="AD77" s="7637" t="n"/>
      <c r="AE77" s="7637" t="n"/>
      <c r="AF77" s="7637" t="n"/>
      <c r="AG77" s="7637" t="n"/>
      <c r="AH77" s="7637" t="n"/>
      <c r="AI77" s="7637" t="n"/>
      <c r="AJ77" s="7637" t="n"/>
      <c r="AK77" s="2013" t="n"/>
      <c r="AL77" s="514">
        <f>IF(AL76&lt;&gt;"","Filing status not required.",LastYear&amp;" Filing Status")</f>
        <v/>
      </c>
      <c r="AM77" s="11602" t="n"/>
      <c r="AN77" s="11602" t="n"/>
      <c r="AO77" s="10885">
        <f>"To figure the amount to enter on line 4 of Form 8801, complete Parts I and II of another "&amp;LastYear&amp;" Schedule I (Form 1041), as a worksheet. Enter the amount from Schedule I, line 27, adjusted for exclusion items that were allocated to the beneficiary  "&amp;CHAR(10)&amp;"-  if that amount is zero or less, enter '0'."</f>
        <v/>
      </c>
      <c r="AP77" s="11602" t="n"/>
      <c r="AQ77" s="11602" t="n"/>
      <c r="AR77" s="658" t="n"/>
      <c r="AS77" s="658" t="n"/>
      <c r="AT77" s="658" t="n"/>
      <c r="AU77" s="658" t="n"/>
      <c r="AV77" s="658" t="n"/>
      <c r="AW77" s="658" t="n"/>
      <c r="AX77" s="658" t="n"/>
      <c r="AY77" s="658" t="n"/>
      <c r="AZ77" s="658" t="n"/>
      <c r="BA77" s="658" t="n"/>
    </row>
    <row r="78" ht="16.5" customFormat="1" customHeight="1" s="815" thickBot="1">
      <c r="A78" s="2013" t="n"/>
      <c r="B78" s="9775" t="inlineStr">
        <is>
          <t>Part I</t>
        </is>
      </c>
      <c r="C78" s="8412" t="n"/>
      <c r="D78" s="10884" t="inlineStr">
        <is>
          <t xml:space="preserve">Net Minimum Tax on Exclusion Items </t>
        </is>
      </c>
      <c r="E78" s="8412" t="n"/>
      <c r="F78" s="8412" t="n"/>
      <c r="G78" s="8412" t="n"/>
      <c r="H78" s="8412" t="n"/>
      <c r="I78" s="8412" t="n"/>
      <c r="J78" s="8412" t="n"/>
      <c r="K78" s="8412" t="n"/>
      <c r="L78" s="8412" t="n"/>
      <c r="M78" s="8412" t="n"/>
      <c r="N78" s="8412" t="n"/>
      <c r="O78" s="8412" t="n"/>
      <c r="P78" s="5751" t="n"/>
      <c r="Q78" s="5751">
        <f>IF(AND(AL76&lt;&gt;"",NOT(AE86)),"If you are filing for an estate or trust, skip lines 1 through 3.","")</f>
        <v/>
      </c>
      <c r="R78" s="5751" t="n"/>
      <c r="S78" s="5751" t="n"/>
      <c r="T78" s="5751" t="n"/>
      <c r="U78" s="5751" t="n"/>
      <c r="V78" s="5751" t="n"/>
      <c r="W78" s="5751" t="n"/>
      <c r="X78" s="5751" t="n"/>
      <c r="Y78" s="5751" t="n"/>
      <c r="Z78" s="5751" t="n"/>
      <c r="AA78" s="5751" t="n"/>
      <c r="AB78" s="5751" t="n"/>
      <c r="AC78" s="5751" t="n"/>
      <c r="AD78" s="5751" t="n"/>
      <c r="AE78" s="5751" t="n"/>
      <c r="AF78" s="5751" t="n"/>
      <c r="AG78" s="5751" t="n"/>
      <c r="AH78" s="5751" t="n"/>
      <c r="AI78" s="5751" t="n"/>
      <c r="AJ78" s="5751" t="n"/>
      <c r="AK78" s="2013">
        <f>IF(AL78&lt;&gt;"",1,0)</f>
        <v/>
      </c>
      <c r="AL78" s="5718" t="n"/>
      <c r="AM78" s="344" t="inlineStr">
        <is>
          <t>Single</t>
        </is>
      </c>
      <c r="AN78" s="344" t="n"/>
      <c r="AP78" s="11602" t="n"/>
      <c r="AQ78" s="11602" t="n"/>
      <c r="AR78" s="658" t="n"/>
      <c r="AS78" s="1114" t="n"/>
      <c r="AT78" s="658" t="n"/>
      <c r="AU78" s="658" t="n"/>
      <c r="AV78" s="658" t="n"/>
      <c r="AW78" s="658" t="n"/>
      <c r="AX78" s="658" t="n"/>
      <c r="AY78" s="658" t="n"/>
      <c r="AZ78" s="658" t="n"/>
      <c r="BA78" s="658" t="n"/>
    </row>
    <row r="79" ht="16.5" customFormat="1" customHeight="1" s="815" thickBot="1">
      <c r="A79" s="2013" t="n"/>
      <c r="B79" s="7372" t="n"/>
      <c r="C79" s="7372" t="n"/>
      <c r="D79" s="7372" t="n"/>
      <c r="E79" s="7372" t="n"/>
      <c r="F79" s="7372" t="n"/>
      <c r="G79" s="7372" t="n"/>
      <c r="H79" s="7372" t="n"/>
      <c r="I79" s="7372" t="n"/>
      <c r="J79" s="7372" t="n"/>
      <c r="K79" s="7372" t="n"/>
      <c r="L79" s="7372" t="n"/>
      <c r="M79" s="7372" t="n"/>
      <c r="N79" s="7372" t="n"/>
      <c r="O79" s="7372" t="n"/>
      <c r="P79" s="7372" t="n"/>
      <c r="Q79" s="7372" t="n"/>
      <c r="R79" s="7372" t="n"/>
      <c r="S79" s="7372" t="n"/>
      <c r="T79" s="7372" t="n"/>
      <c r="U79" s="7372" t="n"/>
      <c r="V79" s="7372" t="n"/>
      <c r="W79" s="7372" t="n"/>
      <c r="X79" s="7372" t="n"/>
      <c r="Y79" s="7372" t="n"/>
      <c r="Z79" s="7372" t="n"/>
      <c r="AA79" s="7372" t="n"/>
      <c r="AB79" s="7372" t="n"/>
      <c r="AC79" s="7372" t="n"/>
      <c r="AD79" s="5698" t="n"/>
      <c r="AE79" s="7371" t="n"/>
      <c r="AF79" s="7371" t="n"/>
      <c r="AG79" s="7371" t="n"/>
      <c r="AH79" s="7371" t="n"/>
      <c r="AI79" s="7371" t="n"/>
      <c r="AJ79" s="7371" t="n"/>
      <c r="AK79" s="2013">
        <f>IF(AL79&lt;&gt;"",1,0)</f>
        <v/>
      </c>
      <c r="AL79" s="5718" t="n"/>
      <c r="AM79" s="344" t="inlineStr">
        <is>
          <t>Married Filing Jointly</t>
        </is>
      </c>
      <c r="AN79" s="344" t="n"/>
      <c r="AP79" s="11602" t="n"/>
      <c r="AQ79" s="11602" t="n"/>
      <c r="AR79" s="658" t="n"/>
      <c r="AS79" s="1114" t="n"/>
      <c r="AT79" s="658" t="n"/>
      <c r="AU79" s="658" t="n"/>
      <c r="AV79" s="658" t="n"/>
      <c r="AW79" s="658" t="n"/>
      <c r="AX79" s="658" t="n"/>
      <c r="AY79" s="658" t="n"/>
      <c r="AZ79" s="658" t="n"/>
      <c r="BA79" s="658" t="n"/>
    </row>
    <row r="80" ht="16.5" customFormat="1" customHeight="1" s="815" thickBot="1">
      <c r="A80" s="2013" t="n"/>
      <c r="B80" s="11602" t="n"/>
      <c r="C80" s="2917" t="inlineStr">
        <is>
          <t>1</t>
        </is>
      </c>
      <c r="D80" s="7772">
        <f>"Combine lines 1 and 2e of your "&amp;LastYear&amp;" Form 6251. Estates and trusts, see instructions"</f>
        <v/>
      </c>
      <c r="E80" s="11602" t="n"/>
      <c r="F80" s="8650" t="n"/>
      <c r="G80" s="8650" t="n"/>
      <c r="H80" s="11602" t="n"/>
      <c r="I80" s="11602" t="n"/>
      <c r="J80" s="11602" t="n"/>
      <c r="K80" s="11602" t="n"/>
      <c r="L80" s="11602" t="n"/>
      <c r="M80" s="11602" t="n"/>
      <c r="N80" s="11602" t="n"/>
      <c r="O80" s="11602" t="n"/>
      <c r="P80" s="11602" t="n"/>
      <c r="Q80" s="11602" t="n"/>
      <c r="R80" s="11602" t="n"/>
      <c r="S80" s="11602" t="n"/>
      <c r="T80" s="11602" t="n"/>
      <c r="U80" s="11602" t="n"/>
      <c r="V80" s="11602" t="n"/>
      <c r="W80" s="11602" t="n"/>
      <c r="X80" s="11602" t="n"/>
      <c r="Y80" s="11602" t="n"/>
      <c r="Z80" s="11602" t="n"/>
      <c r="AA80" s="11602" t="n"/>
      <c r="AB80" s="11602" t="n"/>
      <c r="AC80" s="1657" t="inlineStr">
        <is>
          <t xml:space="preserve"> .   .   .   .   .   .   .   . </t>
        </is>
      </c>
      <c r="AD80" s="8389" t="n">
        <v>1</v>
      </c>
      <c r="AE80" s="10889">
        <f>IF(AL76&lt;&gt;"","",IF(AND(AE7="",AE9=""),"",SUM(AQ7,AQ9)))</f>
        <v/>
      </c>
      <c r="AF80" s="7637" t="n"/>
      <c r="AG80" s="7637" t="n"/>
      <c r="AH80" s="7637" t="n"/>
      <c r="AI80" s="7637" t="n"/>
      <c r="AJ80" s="7637" t="n"/>
      <c r="AK80" s="2013">
        <f>IF(AL80&lt;&gt;"",1,0)</f>
        <v/>
      </c>
      <c r="AL80" s="5718" t="n"/>
      <c r="AM80" s="344" t="inlineStr">
        <is>
          <t>Married Filing Separately</t>
        </is>
      </c>
      <c r="AN80" s="344" t="n"/>
      <c r="AP80" s="11602" t="n"/>
      <c r="AQ80" s="851">
        <f>IF(AE80="",0,ROUND(AE80,0))</f>
        <v/>
      </c>
      <c r="AR80" s="658" t="n"/>
      <c r="AS80" s="658" t="n"/>
      <c r="AT80" s="658" t="n"/>
      <c r="AU80" s="658" t="n"/>
      <c r="AV80" s="658" t="n"/>
      <c r="AW80" s="658" t="n"/>
      <c r="AX80" s="658" t="n"/>
      <c r="AY80" s="658" t="n"/>
      <c r="AZ80" s="658" t="n"/>
      <c r="BA80" s="658" t="n"/>
    </row>
    <row r="81" ht="15" customFormat="1" customHeight="1" s="815" thickBot="1">
      <c r="A81" s="2013" t="n"/>
      <c r="B81" s="11602" t="n"/>
      <c r="C81" s="11216" t="n"/>
      <c r="D81" s="7772" t="n"/>
      <c r="E81" s="11602" t="n"/>
      <c r="F81" s="11602" t="n"/>
      <c r="G81" s="11602" t="n"/>
      <c r="H81" s="11602" t="n"/>
      <c r="I81" s="11602" t="n"/>
      <c r="J81" s="11602" t="n"/>
      <c r="K81" s="11602" t="n"/>
      <c r="L81" s="11602" t="n"/>
      <c r="M81" s="11602" t="n"/>
      <c r="N81" s="11602" t="n"/>
      <c r="O81" s="11602" t="n"/>
      <c r="P81" s="11602" t="n"/>
      <c r="Q81" s="11602" t="n"/>
      <c r="R81" s="11602" t="n"/>
      <c r="S81" s="11602" t="n"/>
      <c r="T81" s="11602" t="n"/>
      <c r="U81" s="11602" t="n"/>
      <c r="V81" s="11602" t="n"/>
      <c r="W81" s="11602" t="n"/>
      <c r="X81" s="11602" t="n"/>
      <c r="Y81" s="11602" t="n"/>
      <c r="Z81" s="11602" t="n"/>
      <c r="AA81" s="11602" t="n"/>
      <c r="AB81" s="11602" t="n"/>
      <c r="AC81" s="1657" t="n"/>
      <c r="AD81" s="4452" t="n"/>
      <c r="AE81" s="5757" t="n"/>
      <c r="AF81" s="5758" t="n"/>
      <c r="AG81" s="5758" t="n"/>
      <c r="AH81" s="5758" t="n"/>
      <c r="AI81" s="5758" t="n"/>
      <c r="AJ81" s="5758" t="n"/>
      <c r="AK81" s="2013">
        <f>IF(AL81&lt;&gt;"",1,0)</f>
        <v/>
      </c>
      <c r="AL81" s="5718" t="n"/>
      <c r="AM81" s="344" t="inlineStr">
        <is>
          <t>Qualifying Surviving Spouse</t>
        </is>
      </c>
      <c r="AN81" s="344" t="n"/>
      <c r="AP81" s="11602" t="n"/>
      <c r="AQ81" s="11602" t="n"/>
      <c r="AR81" s="658" t="n"/>
      <c r="AS81" s="658" t="n"/>
      <c r="AT81" s="658" t="n"/>
      <c r="AU81" s="658" t="n"/>
      <c r="AV81" s="658" t="n"/>
      <c r="AW81" s="658" t="n"/>
      <c r="AX81" s="658" t="n"/>
      <c r="AY81" s="658" t="n"/>
      <c r="AZ81" s="658" t="n"/>
      <c r="BA81" s="658" t="n"/>
    </row>
    <row r="82" ht="16.5" customFormat="1" customHeight="1" s="815" thickBot="1">
      <c r="A82" s="2013" t="n"/>
      <c r="B82" s="11602" t="n"/>
      <c r="C82" s="2917" t="n">
        <v>2</v>
      </c>
      <c r="D82" s="7772" t="inlineStr">
        <is>
          <t>Enter adjustments and preferences treated as exclusion items (see instructions)</t>
        </is>
      </c>
      <c r="E82" s="11602" t="n"/>
      <c r="F82" s="8650" t="n"/>
      <c r="G82" s="8650" t="n"/>
      <c r="H82" s="11602" t="n"/>
      <c r="I82" s="11602" t="n"/>
      <c r="J82" s="11602" t="n"/>
      <c r="K82" s="11602" t="n"/>
      <c r="L82" s="11602" t="n"/>
      <c r="M82" s="11602" t="n"/>
      <c r="N82" s="11602" t="n"/>
      <c r="O82" s="11602" t="n"/>
      <c r="P82" s="11602" t="n"/>
      <c r="Q82" s="11602" t="n"/>
      <c r="R82" s="11602" t="n"/>
      <c r="S82" s="11602" t="n"/>
      <c r="T82" s="11602" t="n"/>
      <c r="U82" s="11602" t="n"/>
      <c r="V82" s="11602" t="n"/>
      <c r="W82" s="11602" t="n"/>
      <c r="X82" s="11602" t="n"/>
      <c r="Y82" s="11602" t="n"/>
      <c r="Z82" s="11602" t="n"/>
      <c r="AA82" s="11602" t="n"/>
      <c r="AB82" s="11602" t="n"/>
      <c r="AC82" s="1657" t="inlineStr">
        <is>
          <t xml:space="preserve">.   .   .   .   .   .   .   . </t>
        </is>
      </c>
      <c r="AD82" s="8389" t="n">
        <v>2</v>
      </c>
      <c r="AE82" s="10908" t="n"/>
      <c r="AF82" s="11717" t="n"/>
      <c r="AG82" s="11717" t="n"/>
      <c r="AH82" s="11717" t="n"/>
      <c r="AI82" s="11717" t="n"/>
      <c r="AJ82" s="11717" t="n"/>
      <c r="AK82" s="2013">
        <f>IF(AL82&lt;&gt;"",1,0)</f>
        <v/>
      </c>
      <c r="AL82" s="5718" t="n"/>
      <c r="AM82" s="344" t="inlineStr">
        <is>
          <t>Head of Household</t>
        </is>
      </c>
      <c r="AN82" s="344" t="n"/>
      <c r="AP82" s="11602" t="n"/>
      <c r="AQ82" s="851">
        <f>ROUND(AE82,0)</f>
        <v/>
      </c>
      <c r="AR82" s="658" t="n"/>
      <c r="AS82" s="658" t="n"/>
      <c r="AT82" s="658" t="n"/>
      <c r="AU82" s="658" t="n"/>
      <c r="AV82" s="658" t="n"/>
      <c r="AW82" s="658" t="n"/>
      <c r="AX82" s="658" t="n"/>
      <c r="AY82" s="658" t="n"/>
      <c r="AZ82" s="658" t="n"/>
      <c r="BA82" s="658" t="n"/>
    </row>
    <row r="83" ht="15" customFormat="1" customHeight="1" s="815">
      <c r="A83" s="2013" t="n"/>
      <c r="B83" s="11602" t="n"/>
      <c r="C83" s="11216" t="n"/>
      <c r="D83" s="7772" t="n"/>
      <c r="E83" s="11602" t="n"/>
      <c r="F83" s="11602" t="n"/>
      <c r="G83" s="11602" t="n"/>
      <c r="H83" s="11602" t="n"/>
      <c r="I83" s="11602" t="n"/>
      <c r="J83" s="11602" t="n"/>
      <c r="K83" s="11602" t="n"/>
      <c r="L83" s="11602" t="n"/>
      <c r="M83" s="11602" t="n"/>
      <c r="N83" s="11602" t="n"/>
      <c r="O83" s="11602" t="n"/>
      <c r="P83" s="11602" t="n"/>
      <c r="Q83" s="11602" t="n"/>
      <c r="R83" s="11602" t="n"/>
      <c r="S83" s="11602" t="n"/>
      <c r="T83" s="11602" t="n"/>
      <c r="U83" s="11602" t="n"/>
      <c r="V83" s="11602" t="n"/>
      <c r="W83" s="11602" t="n"/>
      <c r="X83" s="11602" t="n"/>
      <c r="Y83" s="11602" t="n"/>
      <c r="Z83" s="11602" t="n"/>
      <c r="AA83" s="11602" t="n"/>
      <c r="AB83" s="11602" t="n"/>
      <c r="AC83" s="1657" t="n"/>
      <c r="AD83" s="4452" t="n"/>
      <c r="AE83" s="10905" t="n"/>
      <c r="AF83" s="12051" t="n"/>
      <c r="AG83" s="12051" t="n"/>
      <c r="AH83" s="12051" t="n"/>
      <c r="AI83" s="12051" t="n"/>
      <c r="AJ83" s="12051" t="n"/>
      <c r="AK83" s="2013">
        <f>SUM(AK78:AK82)</f>
        <v/>
      </c>
      <c r="AL83" s="2741">
        <f>IF(AL76&lt;&gt;"","",IF(AK83=0,"Check one.",IF(AK83&gt;1,"Check only one.","")))</f>
        <v/>
      </c>
      <c r="AM83" s="11602" t="n"/>
      <c r="AN83" s="11602" t="n"/>
      <c r="AP83" s="512" t="n"/>
      <c r="AQ83" s="5770">
        <f>IF(AL78&lt;&gt;"",1,IF(AL79&lt;&gt;"",2,IF(AL80&lt;&gt;"",3,IF(AL81&lt;&gt;"",4,IF(AL82&lt;&gt;"",5,0)))))</f>
        <v/>
      </c>
      <c r="AR83" s="658" t="n"/>
      <c r="AS83" s="658" t="n"/>
      <c r="AT83" s="658" t="n"/>
      <c r="AU83" s="658" t="n"/>
      <c r="AV83" s="658" t="n"/>
      <c r="AW83" s="658" t="n"/>
      <c r="AX83" s="658" t="n"/>
      <c r="AY83" s="658" t="n"/>
      <c r="AZ83" s="658" t="n"/>
      <c r="BA83" s="658" t="n"/>
    </row>
    <row r="84" ht="15.75" customFormat="1" customHeight="1" s="815">
      <c r="A84" s="2013" t="n"/>
      <c r="B84" s="11602" t="n"/>
      <c r="C84" s="2917" t="n">
        <v>3</v>
      </c>
      <c r="D84" s="7772" t="inlineStr">
        <is>
          <t xml:space="preserve">Minimum tax credit net operating loss deduction (see instructions) </t>
        </is>
      </c>
      <c r="E84" s="11602" t="n"/>
      <c r="F84" s="8650" t="n"/>
      <c r="G84" s="8650" t="n"/>
      <c r="H84" s="11602" t="n"/>
      <c r="I84" s="11602" t="n"/>
      <c r="J84" s="11602" t="n"/>
      <c r="K84" s="11602" t="n"/>
      <c r="L84" s="11602" t="n"/>
      <c r="M84" s="11602" t="n"/>
      <c r="N84" s="11602" t="n"/>
      <c r="O84" s="11602" t="n"/>
      <c r="P84" s="11602" t="n"/>
      <c r="Q84" s="11602" t="n"/>
      <c r="R84" s="11602" t="n"/>
      <c r="S84" s="11602" t="n"/>
      <c r="T84" s="11602" t="n"/>
      <c r="U84" s="11602" t="n"/>
      <c r="V84" s="11602" t="n"/>
      <c r="W84" s="11602" t="n"/>
      <c r="X84" s="11602" t="n"/>
      <c r="Y84" s="11602" t="n"/>
      <c r="Z84" s="11602" t="n"/>
      <c r="AA84" s="11602" t="n"/>
      <c r="AB84" s="11602" t="n"/>
      <c r="AC84" s="1657" t="inlineStr">
        <is>
          <t xml:space="preserve">.   .   .   .   .   .   .   .   .   .   .   .   .   . </t>
        </is>
      </c>
      <c r="AD84" s="8389" t="n">
        <v>3</v>
      </c>
      <c r="AE84" s="10908" t="n"/>
      <c r="AF84" s="11717" t="n"/>
      <c r="AG84" s="11717" t="n"/>
      <c r="AH84" s="11717" t="n"/>
      <c r="AI84" s="11717" t="n"/>
      <c r="AJ84" s="11717" t="n"/>
      <c r="AK84" s="2013" t="n"/>
      <c r="AL84" s="11602" t="n"/>
      <c r="AM84" s="512" t="n"/>
      <c r="AN84" s="512" t="n"/>
      <c r="AO84" s="10885" t="n"/>
      <c r="AP84" s="11602" t="n"/>
      <c r="AQ84" s="851">
        <f>ROUND(AE84,0)</f>
        <v/>
      </c>
      <c r="AR84" s="658" t="n"/>
      <c r="AS84" s="658" t="n"/>
      <c r="AT84" s="658" t="n"/>
      <c r="AU84" s="658" t="n"/>
      <c r="AV84" s="658" t="n"/>
      <c r="AW84" s="658" t="n"/>
      <c r="AX84" s="658" t="n"/>
      <c r="AY84" s="658" t="n"/>
      <c r="AZ84" s="658" t="n"/>
      <c r="BA84" s="658" t="n"/>
    </row>
    <row r="85" ht="15" customFormat="1" customHeight="1" s="815">
      <c r="A85" s="2013" t="n"/>
      <c r="B85" s="11602" t="n"/>
      <c r="C85" s="11216" t="n"/>
      <c r="D85" s="5412">
        <f>IF(AND(AE84&lt;&gt;"",AE84&gt;0),"The 'loss' entered on line three must be a negative number.","")</f>
        <v/>
      </c>
      <c r="E85" s="11602" t="n"/>
      <c r="F85" s="11602" t="n"/>
      <c r="G85" s="11602" t="n"/>
      <c r="H85" s="11602" t="n"/>
      <c r="I85" s="11602" t="n"/>
      <c r="J85" s="11602" t="n"/>
      <c r="K85" s="11602" t="n"/>
      <c r="L85" s="11602" t="n"/>
      <c r="M85" s="11602" t="n"/>
      <c r="N85" s="11602" t="n"/>
      <c r="O85" s="11602" t="n"/>
      <c r="P85" s="11602" t="n"/>
      <c r="Q85" s="11602" t="n"/>
      <c r="R85" s="11602" t="n"/>
      <c r="S85" s="11602" t="n"/>
      <c r="T85" s="11602" t="n"/>
      <c r="U85" s="11602" t="n"/>
      <c r="V85" s="11602" t="n"/>
      <c r="W85" s="11602" t="n"/>
      <c r="X85" s="11602" t="n"/>
      <c r="Y85" s="11602" t="n"/>
      <c r="Z85" s="11602" t="n"/>
      <c r="AA85" s="11602" t="n"/>
      <c r="AB85" s="11602" t="n"/>
      <c r="AC85" s="1657" t="n"/>
      <c r="AD85" s="5743" t="n"/>
      <c r="AE85" s="10920">
        <f>SUM(AQ80,ROUND(AE82,0),ROUND(AE84,0))</f>
        <v/>
      </c>
      <c r="AF85" s="12051" t="n"/>
      <c r="AG85" s="12051" t="n"/>
      <c r="AH85" s="12051" t="n"/>
      <c r="AI85" s="12051" t="n"/>
      <c r="AJ85" s="12051" t="n"/>
      <c r="AK85" s="2013" t="n"/>
      <c r="AL85" s="11602" t="n"/>
      <c r="AM85" s="226" t="inlineStr">
        <is>
          <t>Manual</t>
        </is>
      </c>
      <c r="AN85" s="11602" t="n"/>
      <c r="AO85" s="10885" t="n"/>
      <c r="AP85" s="226" t="n"/>
      <c r="AQ85" s="851">
        <f>AND(AQ83=3,AE85&gt;AQ87)</f>
        <v/>
      </c>
      <c r="AR85" s="658" t="n"/>
      <c r="AS85" s="658" t="n"/>
      <c r="AT85" s="658" t="n"/>
      <c r="AU85" s="658" t="n"/>
      <c r="AV85" s="658" t="n"/>
      <c r="AW85" s="658" t="n"/>
      <c r="AX85" s="658" t="n"/>
      <c r="AY85" s="658" t="n"/>
      <c r="AZ85" s="658" t="n"/>
      <c r="BA85" s="658" t="n"/>
    </row>
    <row r="86" ht="16.5" customFormat="1" customHeight="1" s="815" thickBot="1">
      <c r="A86" s="2013" t="n"/>
      <c r="B86" s="11602" t="n"/>
      <c r="C86" s="2917" t="n">
        <v>4</v>
      </c>
      <c r="D86" s="7772" t="inlineStr">
        <is>
          <t>Combine lines 1, 2, and 3. If zero or less, enter -0- here and on line 15 and go to Part II. If more than</t>
        </is>
      </c>
      <c r="E86" s="11602" t="n"/>
      <c r="F86" s="8650" t="n"/>
      <c r="G86" s="8650" t="n"/>
      <c r="H86" s="11602" t="n"/>
      <c r="I86" s="11602" t="n"/>
      <c r="J86" s="11602" t="n"/>
      <c r="K86" s="11602" t="n"/>
      <c r="L86" s="11602" t="n"/>
      <c r="M86" s="11602" t="n"/>
      <c r="N86" s="11602" t="n"/>
      <c r="O86" s="11602" t="n"/>
      <c r="P86" s="11602" t="n"/>
      <c r="Q86" s="11602" t="n"/>
      <c r="R86" s="11602" t="n"/>
      <c r="S86" s="11602" t="n"/>
      <c r="T86" s="11602" t="n"/>
      <c r="U86" s="11602" t="n"/>
      <c r="V86" s="11602" t="n"/>
      <c r="W86" s="11602" t="n"/>
      <c r="X86" s="11602" t="n"/>
      <c r="Y86" s="11602" t="n"/>
      <c r="Z86" s="11602" t="n"/>
      <c r="AA86" s="11602" t="n"/>
      <c r="AB86" s="11602" t="n"/>
      <c r="AC86" s="1657" t="n"/>
      <c r="AD86" s="5743" t="n"/>
      <c r="AE86" s="10916">
        <f>AND(AE80="",AE82="",AE84="")</f>
        <v/>
      </c>
      <c r="AF86" s="26" t="n"/>
      <c r="AG86" s="26" t="n"/>
      <c r="AH86" s="26" t="n"/>
      <c r="AI86" s="26" t="n"/>
      <c r="AJ86" s="26" t="n"/>
      <c r="AK86" s="2013" t="n"/>
      <c r="AL86" s="11602" t="n"/>
      <c r="AM86" s="226" t="inlineStr">
        <is>
          <t>Override ê</t>
        </is>
      </c>
      <c r="AN86" s="226" t="n"/>
      <c r="AO86" s="10885">
        <f>"If your filing status was married filing separately for "&amp;LastYear&amp;" and line 4 is more than "&amp;TEXT(AQ87,"$0,000")&amp;", you must include an additional amount on line 4. If line 4 is "&amp;TEXT(AQ86,"$0,000")&amp;" or more, include an additional "&amp;TEXT(AQ90,"$0,000")&amp;" on line 4. Otherwise, include "&amp;TEXT(AQ99,"0%")&amp;" of the excess of the amount on line 4 over "&amp;TEXT(AQ87,"$0,000")&amp;" . For example, if the amount on line 4 is "&amp;TEXT(AQ95,"$0,00")&amp;", enter "&amp;TEXT(AQ97,"$0,000")&amp;" instead—the additional "&amp;TEXT(AQ96,"$0,000")&amp;" is "&amp;TEXT(AQ99,"0%")&amp;" of "&amp;TEXT(AQ98,"$0,000")&amp;" ("&amp;TEXT(AQ95,"$0,000")&amp;" minus "&amp;TEXT(AQ87,"$0,00")&amp;")."</f>
        <v/>
      </c>
      <c r="AP86" s="11602" t="n"/>
      <c r="AQ86" s="1193" t="n">
        <v>1142550</v>
      </c>
      <c r="AR86" s="658" t="n"/>
      <c r="AS86" s="658" t="n"/>
      <c r="AT86" s="658" t="n"/>
      <c r="AU86" s="658" t="n"/>
      <c r="AV86" s="658" t="n"/>
      <c r="AW86" s="658" t="n"/>
      <c r="AX86" s="658" t="n"/>
      <c r="AY86" s="658" t="n"/>
      <c r="AZ86" s="658" t="n"/>
      <c r="BA86" s="658" t="n"/>
    </row>
    <row r="87" ht="16.5" customFormat="1" customHeight="1" s="815" thickBot="1">
      <c r="A87" s="2013" t="n"/>
      <c r="B87" s="11602" t="n"/>
      <c r="C87" s="2917" t="n"/>
      <c r="D87" s="7772">
        <f>TEXT(AQ87,"$0,000")&amp;" and you were married filing separately for "&amp;LastYear&amp;","</f>
        <v/>
      </c>
      <c r="E87" s="11602" t="n"/>
      <c r="F87" s="8650" t="n"/>
      <c r="G87" s="8650" t="n"/>
      <c r="H87" s="11602" t="n"/>
      <c r="I87" s="11602" t="n"/>
      <c r="J87" s="11602" t="n"/>
      <c r="K87" s="11602" t="n"/>
      <c r="L87" s="11602" t="n"/>
      <c r="M87" s="11602" t="n"/>
      <c r="N87" s="11602" t="n"/>
      <c r="O87" s="11602" t="n"/>
      <c r="P87" s="11602" t="n"/>
      <c r="Q87" s="11602" t="n"/>
      <c r="R87" s="7865">
        <f>IF(AND(AQ85,AK89=""),"See instruction at right. &gt;&gt;&gt;","see instructions")</f>
        <v/>
      </c>
      <c r="Z87" s="11602" t="n"/>
      <c r="AA87" s="11602" t="n"/>
      <c r="AB87" s="11602" t="n"/>
      <c r="AC87" s="1657">
        <f>IF(AQ85,"",".   .   .   .   .   .   .   .   .   . ")</f>
        <v/>
      </c>
      <c r="AD87" s="8389" t="n">
        <v>4</v>
      </c>
      <c r="AE87" s="10889">
        <f>IF(AM87&lt;&gt;"",ROUND(AM87,0),IF(OR(AND(AE84&lt;&gt;"",AE84&gt;0),AE86),"",IF(AE85&lt;=0,0,IF(AND(AQ83=3,AE85&gt;AQ87),SUM(AE85,AQ101),AE85))))</f>
        <v/>
      </c>
      <c r="AF87" s="7637" t="n"/>
      <c r="AG87" s="7637" t="n"/>
      <c r="AH87" s="7637" t="n"/>
      <c r="AI87" s="7637" t="n"/>
      <c r="AJ87" s="7637" t="n"/>
      <c r="AK87" s="2013" t="n"/>
      <c r="AL87" s="11602" t="n"/>
      <c r="AM87" s="5719" t="n"/>
      <c r="AN87" s="1806" t="n"/>
      <c r="AP87" s="11602" t="n"/>
      <c r="AQ87" s="1193" t="n">
        <v>875950</v>
      </c>
      <c r="AR87" s="658" t="n"/>
      <c r="AS87" s="658" t="n"/>
      <c r="AT87" s="658" t="n"/>
      <c r="AU87" s="658" t="n"/>
      <c r="AV87" s="658" t="n"/>
      <c r="AW87" s="658" t="n"/>
      <c r="AX87" s="658" t="n"/>
      <c r="AY87" s="658" t="n"/>
      <c r="AZ87" s="658" t="n"/>
      <c r="BA87" s="658" t="n"/>
    </row>
    <row r="88" ht="15" customFormat="1" customHeight="1" s="815">
      <c r="A88" s="2013" t="n"/>
      <c r="B88" s="11602" t="n"/>
      <c r="C88" s="11216" t="n"/>
      <c r="D88" s="7772" t="n"/>
      <c r="E88" s="11602" t="n"/>
      <c r="F88" s="11602" t="n"/>
      <c r="G88" s="11602" t="n"/>
      <c r="H88" s="11602" t="n"/>
      <c r="I88" s="11602" t="n"/>
      <c r="J88" s="11602" t="n"/>
      <c r="K88" s="11602" t="n"/>
      <c r="L88" s="11602" t="n"/>
      <c r="M88" s="11602" t="n"/>
      <c r="N88" s="11602" t="n"/>
      <c r="O88" s="11602" t="n"/>
      <c r="P88" s="11602" t="n"/>
      <c r="Q88" s="11602" t="n"/>
      <c r="R88" s="11602" t="n"/>
      <c r="S88" s="11602" t="n"/>
      <c r="T88" s="11602" t="n"/>
      <c r="U88" s="11602" t="n"/>
      <c r="V88" s="11602" t="n"/>
      <c r="W88" s="11602" t="n"/>
      <c r="X88" s="11602" t="n"/>
      <c r="Y88" s="11602" t="n"/>
      <c r="Z88" s="11602" t="n"/>
      <c r="AA88" s="11602" t="n"/>
      <c r="AB88" s="11602" t="n"/>
      <c r="AC88" s="1657" t="n"/>
      <c r="AD88" s="5743" t="n"/>
      <c r="AE88" s="10916">
        <f>AND(AQ83=3,AE87&lt;&gt;"",AE87&gt;AQ87)</f>
        <v/>
      </c>
      <c r="AF88" s="26" t="n"/>
      <c r="AG88" s="26" t="n"/>
      <c r="AH88" s="26" t="n"/>
      <c r="AI88" s="26" t="n"/>
      <c r="AJ88" s="26" t="n"/>
      <c r="AK88" s="1251" t="n"/>
      <c r="AL88" s="11602" t="n"/>
      <c r="AM88" s="10887">
        <f>IF(AL76&lt;&gt;"","Use override for Line 4 entry.","")</f>
        <v/>
      </c>
      <c r="AN88" s="11602" t="n"/>
      <c r="AP88" s="11602" t="n"/>
      <c r="AQ88" s="1193" t="n">
        <v>133300</v>
      </c>
      <c r="AR88" s="658" t="n"/>
      <c r="AS88" s="658" t="n"/>
      <c r="AT88" s="658" t="n"/>
      <c r="AU88" s="658" t="n"/>
      <c r="AV88" s="658" t="n"/>
      <c r="AW88" s="658" t="n"/>
      <c r="AX88" s="658" t="n"/>
      <c r="AY88" s="658" t="n"/>
      <c r="AZ88" s="658" t="n"/>
      <c r="BA88" s="658" t="n"/>
    </row>
    <row r="89" ht="15.75" customFormat="1" customHeight="1" s="815">
      <c r="A89" s="2013" t="n"/>
      <c r="B89" s="11602" t="n"/>
      <c r="C89" s="2917" t="n">
        <v>5</v>
      </c>
      <c r="D89" s="7772">
        <f>"Enter: "&amp;TEXT(AQ88,"$0,000")&amp;" if married filing jointly or qualifying surviving spouse for "&amp;LastYear&amp;"; "&amp;TEXT(AQ89,"$0,000")&amp;" if single or"</f>
        <v/>
      </c>
      <c r="E89" s="11602" t="n"/>
      <c r="F89" s="8650" t="n"/>
      <c r="G89" s="8650" t="n"/>
      <c r="H89" s="11602" t="n"/>
      <c r="I89" s="11602" t="n"/>
      <c r="J89" s="11602" t="n"/>
      <c r="K89" s="11602" t="n"/>
      <c r="L89" s="11602" t="n"/>
      <c r="M89" s="11602" t="n"/>
      <c r="N89" s="11602" t="n"/>
      <c r="O89" s="11602" t="n"/>
      <c r="P89" s="11602" t="n"/>
      <c r="Q89" s="11602" t="n"/>
      <c r="R89" s="11602" t="n"/>
      <c r="S89" s="11602" t="n"/>
      <c r="T89" s="11602" t="n"/>
      <c r="U89" s="11602" t="n"/>
      <c r="V89" s="11602" t="n"/>
      <c r="W89" s="11602" t="n"/>
      <c r="X89" s="11602" t="n"/>
      <c r="Y89" s="11602" t="n"/>
      <c r="Z89" s="11602" t="n"/>
      <c r="AA89" s="11602" t="n"/>
      <c r="AB89" s="11602" t="n"/>
      <c r="AC89" s="1657" t="n"/>
      <c r="AD89" s="5743" t="n"/>
      <c r="AE89" s="10909">
        <f>IF(AND(AE88,AK89=""),"Hide emphasis.","")</f>
        <v/>
      </c>
      <c r="AF89" s="26" t="n"/>
      <c r="AG89" s="26" t="n"/>
      <c r="AH89" s="26" t="n"/>
      <c r="AI89" s="26" t="n"/>
      <c r="AJ89" s="26" t="n"/>
      <c r="AK89" s="5724" t="n"/>
      <c r="AL89" s="11602" t="n"/>
      <c r="AN89" s="11602" t="n"/>
      <c r="AP89" s="11602" t="n"/>
      <c r="AQ89" s="1193" t="n">
        <v>85700</v>
      </c>
      <c r="AR89" s="658" t="n"/>
      <c r="AS89" s="658" t="n"/>
      <c r="AT89" s="658" t="n"/>
      <c r="AU89" s="658" t="n"/>
      <c r="AV89" s="658" t="n"/>
      <c r="AW89" s="658" t="n"/>
      <c r="AX89" s="658" t="n"/>
      <c r="AY89" s="658" t="n"/>
      <c r="AZ89" s="658" t="n"/>
      <c r="BA89" s="658" t="n"/>
    </row>
    <row r="90" ht="16.5" customFormat="1" customHeight="1" s="815" thickBot="1">
      <c r="A90" s="2013" t="n"/>
      <c r="B90" s="11602" t="n"/>
      <c r="C90" s="2917" t="n"/>
      <c r="D90" s="7772">
        <f>"head of household for "&amp;LastYear&amp;"; or "&amp;TEXT(AQ90,"$0,000")&amp;" if married filing separately for "&amp;LastYear&amp;". Estates and trusts, enter"</f>
        <v/>
      </c>
      <c r="E90" s="11602" t="n"/>
      <c r="F90" s="8650" t="n"/>
      <c r="G90" s="8650" t="n"/>
      <c r="H90" s="11602" t="n"/>
      <c r="I90" s="11602" t="n"/>
      <c r="J90" s="11602" t="n"/>
      <c r="K90" s="11602" t="n"/>
      <c r="L90" s="11602" t="n"/>
      <c r="M90" s="11602" t="n"/>
      <c r="N90" s="11602" t="n"/>
      <c r="O90" s="11602" t="n"/>
      <c r="P90" s="11602" t="n"/>
      <c r="Q90" s="11602" t="n"/>
      <c r="R90" s="11602" t="n"/>
      <c r="S90" s="11602" t="n"/>
      <c r="T90" s="11602" t="n"/>
      <c r="U90" s="11602" t="n"/>
      <c r="V90" s="11602" t="n"/>
      <c r="W90" s="11602" t="n"/>
      <c r="X90" s="11602" t="n"/>
      <c r="Y90" s="11602" t="n"/>
      <c r="Z90" s="11602" t="n"/>
      <c r="AA90" s="11602" t="n"/>
      <c r="AB90" s="11602" t="n"/>
      <c r="AC90" s="1657" t="n"/>
      <c r="AD90" s="5743" t="n"/>
      <c r="AE90" s="10916">
        <f>AND(AE86,AE87="")</f>
        <v/>
      </c>
      <c r="AF90" s="26" t="n"/>
      <c r="AG90" s="26" t="n"/>
      <c r="AH90" s="26" t="n"/>
      <c r="AI90" s="26" t="n"/>
      <c r="AJ90" s="26" t="n"/>
      <c r="AK90" s="5717" t="n"/>
      <c r="AL90" s="11602" t="n"/>
      <c r="AM90" s="11602" t="n"/>
      <c r="AN90" s="11602" t="n"/>
      <c r="AP90" s="11602" t="n"/>
      <c r="AQ90" s="1193" t="n">
        <v>66650</v>
      </c>
      <c r="AR90" s="658" t="n"/>
      <c r="AS90" s="658" t="n"/>
      <c r="AT90" s="658" t="n"/>
      <c r="AU90" s="658" t="n"/>
      <c r="AV90" s="658" t="n"/>
      <c r="AW90" s="658" t="n"/>
      <c r="AX90" s="658" t="n"/>
      <c r="AY90" s="658" t="n"/>
      <c r="AZ90" s="658" t="n"/>
      <c r="BA90" s="658" t="n"/>
    </row>
    <row r="91" ht="16.5" customFormat="1" customHeight="1" s="815" thickBot="1">
      <c r="A91" s="2013" t="n"/>
      <c r="B91" s="11602" t="n"/>
      <c r="C91" s="2917" t="n"/>
      <c r="D91" s="7772">
        <f>TEXT(AQ91,"$0,000")</f>
        <v/>
      </c>
      <c r="E91" s="11602" t="n"/>
      <c r="F91" s="8650" t="n"/>
      <c r="G91" s="8650" t="n"/>
      <c r="H91" s="11602" t="n"/>
      <c r="I91" s="11602" t="n"/>
      <c r="J91" s="11602" t="n"/>
      <c r="K91" s="11602" t="n"/>
      <c r="L91" s="11602" t="n"/>
      <c r="M91" s="11602" t="n"/>
      <c r="N91" s="11602" t="n"/>
      <c r="O91" s="11602" t="n"/>
      <c r="P91" s="11602" t="n"/>
      <c r="Q91" s="11602" t="n"/>
      <c r="R91" s="11602" t="n"/>
      <c r="S91" s="11602" t="n"/>
      <c r="T91" s="11602" t="n"/>
      <c r="U91" s="11602" t="n"/>
      <c r="V91" s="11602" t="n"/>
      <c r="W91" s="11602" t="n"/>
      <c r="X91" s="11602" t="n"/>
      <c r="Y91" s="11602" t="n"/>
      <c r="Z91" s="11602" t="n"/>
      <c r="AA91" s="11602" t="n"/>
      <c r="AB91" s="11602" t="n"/>
      <c r="AC91" s="1657" t="inlineStr">
        <is>
          <t xml:space="preserve">.   .   .   .   .   .   .   .   .   .   .   .   .   .   .   .   .   .   .   .   .   .   .   .   .   .   .   .   .   .   .   .   .   .   .   .   .   .   . </t>
        </is>
      </c>
      <c r="AD91" s="8389" t="n">
        <v>5</v>
      </c>
      <c r="AE91" s="10889">
        <f>IF(AM91&lt;&gt;"",ROUND(AM91,0),IF(AE90,"",IF(AL76&lt;&gt;"",AQ91,IF(OR(AQ83=2,AQ83=4),AQ88,IF(OR(AQ83=1,AQ83=5),AQ89,IF(AQ83=3,AQ90,"Filing status?"))))))</f>
        <v/>
      </c>
      <c r="AF91" s="7637" t="n"/>
      <c r="AG91" s="7637" t="n"/>
      <c r="AH91" s="7637" t="n"/>
      <c r="AI91" s="7637" t="n"/>
      <c r="AJ91" s="7637" t="n"/>
      <c r="AK91" s="2013" t="n"/>
      <c r="AL91" s="11602" t="n"/>
      <c r="AM91" s="5719" t="n"/>
      <c r="AN91" s="1806" t="n"/>
      <c r="AP91" s="11602" t="n"/>
      <c r="AQ91" s="1193" t="n">
        <v>29900</v>
      </c>
      <c r="AR91" s="658" t="n"/>
      <c r="AS91" s="658" t="n"/>
      <c r="AT91" s="658" t="n"/>
      <c r="AU91" s="658" t="n"/>
      <c r="AV91" s="658" t="n"/>
      <c r="AW91" s="658" t="n"/>
      <c r="AX91" s="658" t="n"/>
      <c r="AY91" s="658" t="n"/>
      <c r="AZ91" s="658" t="n"/>
      <c r="BA91" s="658" t="n"/>
    </row>
    <row r="92" ht="15" customFormat="1" customHeight="1" s="815">
      <c r="A92" s="2013" t="n"/>
      <c r="B92" s="11602" t="n"/>
      <c r="C92" s="11216" t="n"/>
      <c r="D92" s="7772" t="n"/>
      <c r="E92" s="11602" t="n"/>
      <c r="F92" s="11602" t="n"/>
      <c r="G92" s="11602" t="n"/>
      <c r="H92" s="11602" t="n"/>
      <c r="I92" s="11602" t="n"/>
      <c r="J92" s="11602" t="n"/>
      <c r="K92" s="11602" t="n"/>
      <c r="L92" s="11602" t="n"/>
      <c r="M92" s="11602" t="n"/>
      <c r="N92" s="11602" t="n"/>
      <c r="O92" s="11602" t="n"/>
      <c r="P92" s="11602" t="n"/>
      <c r="Q92" s="11602" t="n"/>
      <c r="R92" s="11602" t="n"/>
      <c r="S92" s="11602" t="n"/>
      <c r="T92" s="11602" t="n"/>
      <c r="U92" s="11602" t="n"/>
      <c r="V92" s="11602" t="n"/>
      <c r="W92" s="11602" t="n"/>
      <c r="X92" s="11602" t="n"/>
      <c r="Y92" s="11602" t="n"/>
      <c r="Z92" s="11602" t="n"/>
      <c r="AA92" s="11602" t="n"/>
      <c r="AB92" s="11602" t="n"/>
      <c r="AC92" s="1657" t="n"/>
      <c r="AD92" s="5743" t="n"/>
      <c r="AE92" s="10907" t="n"/>
      <c r="AF92" s="12051" t="n"/>
      <c r="AG92" s="12051" t="n"/>
      <c r="AH92" s="12051" t="n"/>
      <c r="AI92" s="12051" t="n"/>
      <c r="AJ92" s="12051" t="n"/>
      <c r="AK92" s="2013" t="n"/>
      <c r="AL92" s="11602" t="n"/>
      <c r="AM92" s="11602" t="n"/>
      <c r="AN92" s="11602" t="n"/>
      <c r="AP92" s="11602" t="n"/>
      <c r="AQ92" s="1193" t="n">
        <v>1218700</v>
      </c>
      <c r="AR92" s="658" t="n"/>
      <c r="AS92" s="658" t="n"/>
      <c r="AT92" s="658" t="n"/>
      <c r="AU92" s="658" t="n"/>
      <c r="AV92" s="658" t="n"/>
      <c r="AW92" s="658" t="n"/>
      <c r="AX92" s="658" t="n"/>
      <c r="AY92" s="658" t="n"/>
      <c r="AZ92" s="658" t="n"/>
      <c r="BA92" s="658" t="n"/>
    </row>
    <row r="93" ht="16.5" customFormat="1" customHeight="1" s="815" thickBot="1">
      <c r="A93" s="2013" t="n"/>
      <c r="B93" s="11602" t="n"/>
      <c r="C93" s="2917" t="n">
        <v>6</v>
      </c>
      <c r="D93" s="7772">
        <f>"Enter: "&amp;TEXT(AQ92,"$0,000")&amp;" if married filing jointly or qualifying surviving spouse for "&amp;LastYear&amp;"; "&amp;TEXT(AQ93,"$0,000")&amp;" if single,"</f>
        <v/>
      </c>
      <c r="E93" s="11602" t="n"/>
      <c r="F93" s="8650" t="n"/>
      <c r="G93" s="8650" t="n"/>
      <c r="H93" s="11602" t="n"/>
      <c r="I93" s="11602" t="n"/>
      <c r="J93" s="11602" t="n"/>
      <c r="K93" s="11602" t="n"/>
      <c r="L93" s="11602" t="n"/>
      <c r="M93" s="11602" t="n"/>
      <c r="N93" s="11602" t="n"/>
      <c r="O93" s="11602" t="n"/>
      <c r="P93" s="11602" t="n"/>
      <c r="Q93" s="11602" t="n"/>
      <c r="R93" s="11602" t="n"/>
      <c r="S93" s="11602" t="n"/>
      <c r="T93" s="11602" t="n"/>
      <c r="U93" s="11602" t="n"/>
      <c r="V93" s="11602" t="n"/>
      <c r="W93" s="11602" t="n"/>
      <c r="X93" s="11602" t="n"/>
      <c r="Y93" s="11602" t="n"/>
      <c r="Z93" s="11602" t="n"/>
      <c r="AA93" s="11602" t="n"/>
      <c r="AB93" s="11602" t="n"/>
      <c r="AC93" s="1657" t="n"/>
      <c r="AD93" s="5743" t="n"/>
      <c r="AE93" s="10916">
        <f>AND(AE90,AE91="")</f>
        <v/>
      </c>
      <c r="AF93" s="26" t="n"/>
      <c r="AG93" s="26" t="n"/>
      <c r="AH93" s="26" t="n"/>
      <c r="AI93" s="26" t="n"/>
      <c r="AJ93" s="26" t="n"/>
      <c r="AK93" s="2013" t="n"/>
      <c r="AL93" s="11602" t="n"/>
      <c r="AM93" s="11602" t="n"/>
      <c r="AN93" s="11602" t="n"/>
      <c r="AP93" s="11602" t="n"/>
      <c r="AQ93" s="1193" t="n">
        <v>609350</v>
      </c>
      <c r="AR93" s="658" t="n"/>
      <c r="AS93" s="658" t="n"/>
      <c r="AT93" s="658" t="n"/>
      <c r="AU93" s="658" t="n"/>
      <c r="AV93" s="658" t="n"/>
      <c r="AW93" s="658" t="n"/>
      <c r="AX93" s="658" t="n"/>
      <c r="AY93" s="658" t="n"/>
      <c r="AZ93" s="658" t="n"/>
      <c r="BA93" s="658" t="n"/>
    </row>
    <row r="94" ht="16.5" customFormat="1" customHeight="1" s="815" thickBot="1">
      <c r="A94" s="2013" t="n"/>
      <c r="B94" s="11602" t="n"/>
      <c r="C94" s="2917" t="n"/>
      <c r="D94" s="7772">
        <f>"head of household, or married filing separately for "&amp;LastYear&amp;". Estates and trusts, enter "&amp;TEXT(AQ94,"$0,000")</f>
        <v/>
      </c>
      <c r="E94" s="11602" t="n"/>
      <c r="F94" s="8650" t="n"/>
      <c r="G94" s="8650" t="n"/>
      <c r="H94" s="11602" t="n"/>
      <c r="I94" s="11602" t="n"/>
      <c r="J94" s="11602" t="n"/>
      <c r="K94" s="11602" t="n"/>
      <c r="L94" s="11602" t="n"/>
      <c r="M94" s="11602" t="n"/>
      <c r="N94" s="11602" t="n"/>
      <c r="O94" s="11602" t="n"/>
      <c r="P94" s="11602" t="n"/>
      <c r="Q94" s="11602" t="n"/>
      <c r="R94" s="11602" t="n"/>
      <c r="S94" s="11602" t="n"/>
      <c r="T94" s="11602" t="n"/>
      <c r="U94" s="11602" t="n"/>
      <c r="V94" s="11602" t="n"/>
      <c r="W94" s="11602" t="n"/>
      <c r="X94" s="11602" t="n"/>
      <c r="Y94" s="11602" t="n"/>
      <c r="Z94" s="11602" t="n"/>
      <c r="AA94" s="11602" t="n"/>
      <c r="AB94" s="11602" t="n"/>
      <c r="AC94" s="1657" t="inlineStr">
        <is>
          <t xml:space="preserve"> .    .   .   . </t>
        </is>
      </c>
      <c r="AD94" s="8389" t="n">
        <v>6</v>
      </c>
      <c r="AE94" s="10889">
        <f>IF(AM94&lt;&gt;"",ROUND(AM94,0),IF(AE93,"",IF(AL76&lt;&gt;"",AQ94,IF(OR(AQ83=2,AQ83=4),AQ92,IF(OR(AQ83=1,AQ83=5),AQ93,IF(AQ83=3,AQ93,"Filing status?"))))))</f>
        <v/>
      </c>
      <c r="AF94" s="7637" t="n"/>
      <c r="AG94" s="7637" t="n"/>
      <c r="AH94" s="7637" t="n"/>
      <c r="AI94" s="7637" t="n"/>
      <c r="AJ94" s="7637" t="n"/>
      <c r="AK94" s="2013" t="n"/>
      <c r="AL94" s="11602" t="n"/>
      <c r="AM94" s="5719" t="n"/>
      <c r="AN94" s="1806" t="n"/>
      <c r="AP94" s="11602" t="n"/>
      <c r="AQ94" s="1193" t="n">
        <v>99700</v>
      </c>
      <c r="AR94" s="658" t="n"/>
      <c r="AS94" s="658" t="n"/>
      <c r="AT94" s="658" t="n"/>
      <c r="AU94" s="658" t="n"/>
      <c r="AV94" s="658" t="n"/>
      <c r="AW94" s="658" t="n"/>
      <c r="AX94" s="658" t="n"/>
      <c r="AY94" s="658" t="n"/>
      <c r="AZ94" s="658" t="n"/>
      <c r="BA94" s="658" t="n"/>
    </row>
    <row r="95" ht="15" customFormat="1" customHeight="1" s="815" thickBot="1">
      <c r="A95" s="2013" t="n"/>
      <c r="B95" s="11602" t="n"/>
      <c r="C95" s="11216" t="n"/>
      <c r="D95" s="7772" t="n"/>
      <c r="E95" s="11602" t="n"/>
      <c r="F95" s="11602" t="n"/>
      <c r="G95" s="11602" t="n"/>
      <c r="H95" s="11602" t="n"/>
      <c r="I95" s="11602" t="n"/>
      <c r="J95" s="11602" t="n"/>
      <c r="K95" s="11602" t="n"/>
      <c r="L95" s="11602" t="n"/>
      <c r="M95" s="11602" t="n"/>
      <c r="N95" s="11602" t="n"/>
      <c r="O95" s="11602" t="n"/>
      <c r="P95" s="11602" t="n"/>
      <c r="Q95" s="11602" t="n"/>
      <c r="R95" s="11602" t="n"/>
      <c r="S95" s="11602" t="n"/>
      <c r="T95" s="11602" t="n"/>
      <c r="U95" s="11602" t="n"/>
      <c r="V95" s="11602" t="n"/>
      <c r="W95" s="11602" t="n"/>
      <c r="X95" s="11602" t="n"/>
      <c r="Y95" s="11602" t="n"/>
      <c r="Z95" s="11602" t="n"/>
      <c r="AA95" s="11602" t="n"/>
      <c r="AB95" s="11602" t="n"/>
      <c r="AC95" s="1657" t="n"/>
      <c r="AD95" s="4452" t="n"/>
      <c r="AE95" s="10916">
        <f>AND(AE93,AE94="")</f>
        <v/>
      </c>
      <c r="AF95" s="26" t="n"/>
      <c r="AG95" s="26" t="n"/>
      <c r="AH95" s="26" t="n"/>
      <c r="AI95" s="26" t="n"/>
      <c r="AJ95" s="26" t="n"/>
      <c r="AK95" s="2013" t="n"/>
      <c r="AL95" s="11602" t="n"/>
      <c r="AM95" s="11602" t="n"/>
      <c r="AN95" s="11602" t="n"/>
      <c r="AP95" s="11602" t="n"/>
      <c r="AQ95" s="1193" t="n">
        <v>895950</v>
      </c>
      <c r="AR95" s="658" t="n"/>
      <c r="AS95" s="658" t="n"/>
      <c r="AT95" s="658" t="n"/>
      <c r="AU95" s="658" t="n"/>
      <c r="AV95" s="658" t="n"/>
      <c r="AW95" s="658" t="n"/>
      <c r="AX95" s="658" t="n"/>
      <c r="AY95" s="658" t="n"/>
      <c r="AZ95" s="658" t="n"/>
      <c r="BA95" s="658" t="n"/>
    </row>
    <row r="96" ht="16.5" customFormat="1" customHeight="1" s="815" thickBot="1">
      <c r="A96" s="2013" t="n"/>
      <c r="B96" s="11602" t="n"/>
      <c r="C96" s="2917" t="n">
        <v>7</v>
      </c>
      <c r="D96" s="7772" t="inlineStr">
        <is>
          <t>Subtract line 6 from line 4. If zero or less, enter -0- here and on line 8 and go to line 9</t>
        </is>
      </c>
      <c r="E96" s="11602" t="n"/>
      <c r="F96" s="8650" t="n"/>
      <c r="G96" s="8650" t="n"/>
      <c r="H96" s="11602" t="n"/>
      <c r="I96" s="11602" t="n"/>
      <c r="J96" s="11602" t="n"/>
      <c r="K96" s="11602" t="n"/>
      <c r="L96" s="11602" t="n"/>
      <c r="M96" s="11602" t="n"/>
      <c r="N96" s="11602" t="n"/>
      <c r="O96" s="11602" t="n"/>
      <c r="P96" s="11602" t="n"/>
      <c r="Q96" s="11602" t="n"/>
      <c r="R96" s="11602" t="n"/>
      <c r="S96" s="11602" t="n"/>
      <c r="T96" s="11602" t="n"/>
      <c r="U96" s="11602" t="n"/>
      <c r="V96" s="11602" t="n"/>
      <c r="W96" s="11602" t="n"/>
      <c r="X96" s="11602" t="n"/>
      <c r="Y96" s="11602" t="n"/>
      <c r="Z96" s="11602" t="n"/>
      <c r="AA96" s="11602" t="n"/>
      <c r="AB96" s="11602" t="n"/>
      <c r="AC96" s="1657" t="inlineStr">
        <is>
          <t xml:space="preserve">.   .   .   .   .   .   . </t>
        </is>
      </c>
      <c r="AD96" s="8389" t="n">
        <v>7</v>
      </c>
      <c r="AE96" s="10889">
        <f>IF(AM96&lt;&gt;"",ROUND(AM96,0),IF(AND(AL76="",AQ83=0),"",IF(AE95,"",MAX(0,SUM(AE87,-AE94)))))</f>
        <v/>
      </c>
      <c r="AF96" s="7637" t="n"/>
      <c r="AG96" s="7637" t="n"/>
      <c r="AH96" s="7637" t="n"/>
      <c r="AI96" s="7637" t="n"/>
      <c r="AJ96" s="7637" t="n"/>
      <c r="AK96" s="2013" t="n"/>
      <c r="AL96" s="11602" t="n"/>
      <c r="AM96" s="5719" t="n"/>
      <c r="AN96" s="1806" t="n"/>
      <c r="AP96" s="11602" t="n"/>
      <c r="AQ96" s="1193">
        <f>AQ99*(SUM(AQ95,-AQ87))</f>
        <v/>
      </c>
      <c r="AR96" s="658" t="n"/>
      <c r="AS96" s="658" t="n"/>
      <c r="AT96" s="658" t="n"/>
      <c r="AU96" s="658" t="n"/>
      <c r="AV96" s="658" t="n"/>
      <c r="AW96" s="658" t="n"/>
      <c r="AX96" s="658" t="n"/>
      <c r="AY96" s="658" t="n"/>
      <c r="AZ96" s="658" t="n"/>
      <c r="BA96" s="658" t="n"/>
    </row>
    <row r="97" ht="15" customFormat="1" customHeight="1" s="815" thickBot="1">
      <c r="A97" s="2013" t="n"/>
      <c r="B97" s="11602" t="n"/>
      <c r="C97" s="11216" t="n"/>
      <c r="D97" s="7772" t="n"/>
      <c r="E97" s="11602" t="n"/>
      <c r="F97" s="11602" t="n"/>
      <c r="G97" s="11602" t="n"/>
      <c r="H97" s="11602" t="n"/>
      <c r="I97" s="11602" t="n"/>
      <c r="J97" s="11602" t="n"/>
      <c r="K97" s="11602" t="n"/>
      <c r="L97" s="11602" t="n"/>
      <c r="M97" s="11602" t="n"/>
      <c r="N97" s="11602" t="n"/>
      <c r="O97" s="11602" t="n"/>
      <c r="P97" s="11602" t="n"/>
      <c r="Q97" s="11602" t="n"/>
      <c r="R97" s="11602" t="n"/>
      <c r="S97" s="11602" t="n"/>
      <c r="T97" s="11602" t="n"/>
      <c r="U97" s="11602" t="n"/>
      <c r="V97" s="11602" t="n"/>
      <c r="W97" s="11602" t="n"/>
      <c r="X97" s="11602" t="n"/>
      <c r="Y97" s="11602" t="n"/>
      <c r="Z97" s="11602" t="n"/>
      <c r="AA97" s="11602" t="n"/>
      <c r="AB97" s="11602" t="n"/>
      <c r="AC97" s="1657" t="n"/>
      <c r="AD97" s="4452" t="n"/>
      <c r="AE97" s="10916">
        <f>AND(AE95,AE96="")</f>
        <v/>
      </c>
      <c r="AF97" s="26" t="n"/>
      <c r="AG97" s="26" t="n"/>
      <c r="AH97" s="26" t="n"/>
      <c r="AI97" s="26" t="n"/>
      <c r="AJ97" s="26" t="n"/>
      <c r="AK97" s="2013" t="n"/>
      <c r="AL97" s="11602" t="n"/>
      <c r="AM97" s="11602" t="n"/>
      <c r="AN97" s="11602" t="n"/>
      <c r="AO97" s="4271" t="n"/>
      <c r="AP97" s="11602" t="n"/>
      <c r="AQ97" s="851">
        <f>SUM(AQ95,AQ96)</f>
        <v/>
      </c>
      <c r="AR97" s="658" t="n"/>
      <c r="AS97" s="658" t="n"/>
      <c r="AT97" s="658" t="n"/>
      <c r="AU97" s="658" t="n"/>
      <c r="AV97" s="658" t="n"/>
      <c r="AW97" s="658" t="n"/>
      <c r="AX97" s="658" t="n"/>
      <c r="AY97" s="658" t="n"/>
      <c r="AZ97" s="658" t="n"/>
      <c r="BA97" s="658" t="n"/>
    </row>
    <row r="98" ht="16.5" customFormat="1" customHeight="1" s="815" thickBot="1">
      <c r="A98" s="2013" t="n"/>
      <c r="B98" s="11602" t="n"/>
      <c r="C98" s="2917" t="n">
        <v>8</v>
      </c>
      <c r="D98" s="7772">
        <f>"Multiply line 7 by "&amp;TEXT(AQ99,"0%")&amp;" ("&amp;TEXT(AQ99,"0.00")&amp;")"</f>
        <v/>
      </c>
      <c r="E98" s="11602" t="n"/>
      <c r="F98" s="8650" t="n"/>
      <c r="G98" s="8650" t="n"/>
      <c r="H98" s="11602" t="n"/>
      <c r="I98" s="11602" t="n"/>
      <c r="J98" s="11602" t="n"/>
      <c r="K98" s="11602" t="n"/>
      <c r="L98" s="11602" t="n"/>
      <c r="M98" s="11602" t="n"/>
      <c r="N98" s="11602" t="n"/>
      <c r="O98" s="11602" t="n"/>
      <c r="P98" s="11602" t="n"/>
      <c r="Q98" s="11602" t="n"/>
      <c r="R98" s="11602" t="n"/>
      <c r="S98" s="11602" t="n"/>
      <c r="T98" s="11602" t="n"/>
      <c r="U98" s="11602" t="n"/>
      <c r="V98" s="11602" t="n"/>
      <c r="W98" s="11602" t="n"/>
      <c r="X98" s="11602" t="n"/>
      <c r="Y98" s="11602" t="n"/>
      <c r="Z98" s="11602" t="n"/>
      <c r="AA98" s="11602" t="n"/>
      <c r="AB98" s="11602" t="n"/>
      <c r="AC98" s="1657" t="inlineStr">
        <is>
          <t xml:space="preserve">.   .   .   .   .   .   .   .   .   .   .   .   .   .   .   .   .   .   .   .   .   .   .   .   .   .   .   .   .   .   . </t>
        </is>
      </c>
      <c r="AD98" s="8389" t="n">
        <v>8</v>
      </c>
      <c r="AE98" s="10889">
        <f>IF(AM98&lt;&gt;"",ROUND(AM98,0),IF(AND(AL76="",AQ83=0),"",IF(AE97,"",IF(AE96=0,0,ROUND(AE96*AQ99,0)))))</f>
        <v/>
      </c>
      <c r="AF98" s="7637" t="n"/>
      <c r="AG98" s="7637" t="n"/>
      <c r="AH98" s="7637" t="n"/>
      <c r="AI98" s="7637" t="n"/>
      <c r="AJ98" s="7637" t="n"/>
      <c r="AK98" s="2013" t="n"/>
      <c r="AL98" s="11602" t="n"/>
      <c r="AM98" s="5719" t="n"/>
      <c r="AN98" s="1806" t="n"/>
      <c r="AO98" s="5723">
        <f>"Amount added:  "&amp;TEXT(AQ101,"$0,000")&amp;"."</f>
        <v/>
      </c>
      <c r="AP98" s="11602" t="n"/>
      <c r="AQ98" s="851">
        <f>SUM(AQ95,-AQ87)</f>
        <v/>
      </c>
      <c r="AR98" s="658" t="n"/>
      <c r="AS98" s="658" t="n"/>
      <c r="AT98" s="658" t="n"/>
      <c r="AU98" s="658" t="n"/>
      <c r="AV98" s="658" t="n"/>
      <c r="AW98" s="658" t="n"/>
      <c r="AX98" s="658" t="n"/>
      <c r="AY98" s="658" t="n"/>
      <c r="AZ98" s="658" t="n"/>
      <c r="BA98" s="658" t="n"/>
    </row>
    <row r="99" ht="15" customFormat="1" customHeight="1" s="815" thickBot="1">
      <c r="A99" s="2013" t="n"/>
      <c r="B99" s="11602" t="n"/>
      <c r="C99" s="11216" t="n"/>
      <c r="D99" s="7772" t="n"/>
      <c r="E99" s="11602" t="n"/>
      <c r="F99" s="11602" t="n"/>
      <c r="G99" s="11602" t="n"/>
      <c r="H99" s="11602" t="n"/>
      <c r="I99" s="11602" t="n"/>
      <c r="J99" s="11602" t="n"/>
      <c r="K99" s="11602" t="n"/>
      <c r="L99" s="11602" t="n"/>
      <c r="M99" s="11602" t="n"/>
      <c r="N99" s="11602" t="n"/>
      <c r="O99" s="11602" t="n"/>
      <c r="P99" s="11602" t="n"/>
      <c r="Q99" s="11602" t="n"/>
      <c r="R99" s="11602" t="n"/>
      <c r="S99" s="11602" t="n"/>
      <c r="T99" s="11602" t="n"/>
      <c r="U99" s="11602" t="n"/>
      <c r="V99" s="11602" t="n"/>
      <c r="W99" s="11602" t="n"/>
      <c r="X99" s="11602" t="n"/>
      <c r="Y99" s="11602" t="n"/>
      <c r="Z99" s="11602" t="n"/>
      <c r="AA99" s="11602" t="n"/>
      <c r="AB99" s="11602" t="n"/>
      <c r="AC99" s="1657" t="n"/>
      <c r="AD99" s="4452" t="n"/>
      <c r="AE99" s="10916">
        <f>AND(AE97,AE98="")</f>
        <v/>
      </c>
      <c r="AF99" s="26" t="n"/>
      <c r="AG99" s="26" t="n"/>
      <c r="AH99" s="26" t="n"/>
      <c r="AI99" s="26" t="n"/>
      <c r="AJ99" s="26" t="n"/>
      <c r="AK99" s="2013" t="n"/>
      <c r="AL99" s="11602" t="n"/>
      <c r="AM99" s="11602" t="n"/>
      <c r="AN99" s="11602" t="n"/>
      <c r="AO99" s="5775" t="n"/>
      <c r="AP99" s="11602" t="n"/>
      <c r="AQ99" s="11602" t="n">
        <v>0.25</v>
      </c>
      <c r="AR99" s="658" t="n"/>
      <c r="AS99" s="658" t="n"/>
      <c r="AT99" s="658" t="n"/>
      <c r="AU99" s="658" t="n"/>
      <c r="AV99" s="658" t="n"/>
      <c r="AW99" s="658" t="n"/>
      <c r="AX99" s="658" t="n"/>
      <c r="AY99" s="658" t="n"/>
      <c r="AZ99" s="658" t="n"/>
      <c r="BA99" s="658" t="n"/>
    </row>
    <row r="100" ht="16.5" customFormat="1" customHeight="1" s="815" thickBot="1">
      <c r="A100" s="2013" t="n"/>
      <c r="B100" s="11602" t="n"/>
      <c r="C100" s="2917" t="n">
        <v>9</v>
      </c>
      <c r="D100" s="7772" t="inlineStr">
        <is>
          <t>Subtract line 8 from line 5. If zero or less, enter -0-</t>
        </is>
      </c>
      <c r="E100" s="11602" t="n"/>
      <c r="F100" s="8650" t="n"/>
      <c r="G100" s="8650" t="n"/>
      <c r="H100" s="11602" t="n"/>
      <c r="I100" s="11602" t="n"/>
      <c r="J100" s="11602" t="n"/>
      <c r="K100" s="11602" t="n"/>
      <c r="L100" s="11602" t="n"/>
      <c r="M100" s="11602" t="n"/>
      <c r="N100" s="11602" t="n"/>
      <c r="O100" s="11602" t="n"/>
      <c r="P100" s="11602" t="n"/>
      <c r="Q100" s="11602" t="n"/>
      <c r="R100" s="11602" t="n"/>
      <c r="S100" s="11602" t="n"/>
      <c r="T100" s="11602" t="n"/>
      <c r="U100" s="11602" t="n"/>
      <c r="V100" s="11602" t="n"/>
      <c r="W100" s="11602" t="n"/>
      <c r="X100" s="11602" t="n"/>
      <c r="Y100" s="11602" t="n"/>
      <c r="Z100" s="11602" t="n"/>
      <c r="AA100" s="11602" t="n"/>
      <c r="AB100" s="11602" t="n"/>
      <c r="AC100" s="1657" t="inlineStr">
        <is>
          <t xml:space="preserve">.   .   .   .   .   .   .   .   .   . </t>
        </is>
      </c>
      <c r="AD100" s="8389" t="n">
        <v>9</v>
      </c>
      <c r="AE100" s="10889">
        <f>IF(AM100&lt;&gt;"",ROUND(AM100,0),IF(AND(AL76="",AQ83=0),"",IF(AE99,"",MAX(0,SUM(AE91,-AE98)))))</f>
        <v/>
      </c>
      <c r="AF100" s="7637" t="n"/>
      <c r="AG100" s="7637" t="n"/>
      <c r="AH100" s="7637" t="n"/>
      <c r="AI100" s="7637" t="n"/>
      <c r="AJ100" s="7637" t="n"/>
      <c r="AK100" s="2013" t="n"/>
      <c r="AL100" s="11602" t="n"/>
      <c r="AM100" s="5719" t="n"/>
      <c r="AN100" s="1806" t="n"/>
      <c r="AO100" s="5775" t="n"/>
      <c r="AP100" s="11602" t="n"/>
      <c r="AQ100" s="11602" t="n"/>
      <c r="AR100" s="658" t="n"/>
      <c r="AS100" s="658" t="n"/>
      <c r="AT100" s="658" t="n"/>
      <c r="AU100" s="658" t="n"/>
      <c r="AV100" s="658" t="n"/>
      <c r="AW100" s="658" t="n"/>
      <c r="AX100" s="658" t="n"/>
      <c r="AY100" s="658" t="n"/>
      <c r="AZ100" s="658" t="n"/>
      <c r="BA100" s="658" t="n"/>
    </row>
    <row r="101" ht="15" customFormat="1" customHeight="1" s="815">
      <c r="A101" s="2013" t="n"/>
      <c r="B101" s="11602" t="n"/>
      <c r="C101" s="11216" t="n"/>
      <c r="D101" s="7772" t="n"/>
      <c r="E101" s="11602" t="n"/>
      <c r="F101" s="11602" t="n"/>
      <c r="G101" s="11602" t="n"/>
      <c r="H101" s="11602" t="n"/>
      <c r="I101" s="11602" t="n"/>
      <c r="J101" s="11602" t="n"/>
      <c r="K101" s="11602" t="n"/>
      <c r="L101" s="11602" t="n"/>
      <c r="M101" s="8648" t="n"/>
      <c r="N101" s="11602" t="n"/>
      <c r="O101" s="11602" t="n"/>
      <c r="P101" s="11602" t="n"/>
      <c r="Q101" s="11602" t="n"/>
      <c r="R101" s="11602" t="n"/>
      <c r="S101" s="11602" t="n"/>
      <c r="T101" s="11602" t="n"/>
      <c r="U101" s="11602" t="n"/>
      <c r="V101" s="11602" t="n"/>
      <c r="W101" s="11602" t="n"/>
      <c r="X101" s="11602" t="n"/>
      <c r="Y101" s="11602" t="n"/>
      <c r="Z101" s="11602" t="n"/>
      <c r="AA101" s="11602" t="n"/>
      <c r="AB101" s="11602" t="n"/>
      <c r="AC101" s="1657" t="n"/>
      <c r="AD101" s="5743" t="n"/>
      <c r="AE101" s="10907" t="n"/>
      <c r="AF101" s="12051" t="n"/>
      <c r="AG101" s="12051" t="n"/>
      <c r="AH101" s="12051" t="n"/>
      <c r="AI101" s="12051" t="n"/>
      <c r="AJ101" s="12051" t="n"/>
      <c r="AK101" s="2013" t="n"/>
      <c r="AL101" s="11602" t="n"/>
      <c r="AM101" s="11602" t="n"/>
      <c r="AN101" s="11602" t="n"/>
      <c r="AO101" s="2013" t="n"/>
      <c r="AP101" s="11602" t="n"/>
      <c r="AQ101" s="851">
        <f>IF(AE85&gt;AQ86,AQ90,ROUND(AQ99*(SUM(AE85,-AQ87)),0))</f>
        <v/>
      </c>
      <c r="AR101" s="658" t="n"/>
      <c r="AS101" s="658" t="n"/>
      <c r="AT101" s="658" t="n"/>
      <c r="AU101" s="658" t="n"/>
      <c r="AV101" s="658" t="n"/>
      <c r="AW101" s="658" t="n"/>
      <c r="AX101" s="658" t="n"/>
      <c r="AY101" s="658" t="n"/>
      <c r="AZ101" s="658" t="n"/>
      <c r="BA101" s="658" t="n"/>
    </row>
    <row r="102" ht="16.5" customFormat="1" customHeight="1" s="815" thickBot="1">
      <c r="A102" s="2013" t="n"/>
      <c r="B102" s="11602" t="n"/>
      <c r="C102" s="2917" t="n">
        <v>10</v>
      </c>
      <c r="D102" s="7772" t="inlineStr">
        <is>
          <t>Subtract line 9 from line 4.</t>
        </is>
      </c>
      <c r="E102" s="11602" t="n"/>
      <c r="F102" s="8650" t="n"/>
      <c r="G102" s="8650" t="n"/>
      <c r="H102" s="11602" t="n"/>
      <c r="I102" s="11602" t="n"/>
      <c r="J102" s="11602" t="n"/>
      <c r="K102" s="7772" t="inlineStr">
        <is>
          <t>If zero or less, enter -0- here and on line 15 and go to Part II. Form</t>
        </is>
      </c>
      <c r="L102" s="7772" t="n"/>
      <c r="M102" s="11602" t="n"/>
      <c r="N102" s="11602" t="n"/>
      <c r="O102" s="11602" t="n"/>
      <c r="P102" s="11602" t="n"/>
      <c r="Q102" s="11602" t="n"/>
      <c r="R102" s="11602" t="n"/>
      <c r="S102" s="11602" t="n"/>
      <c r="T102" s="11602" t="n"/>
      <c r="U102" s="11602" t="n"/>
      <c r="V102" s="11602" t="n"/>
      <c r="W102" s="11602" t="n"/>
      <c r="X102" s="11602" t="n"/>
      <c r="Y102" s="11602" t="n"/>
      <c r="Z102" s="11602" t="n"/>
      <c r="AA102" s="11602" t="n"/>
      <c r="AB102" s="11602" t="n"/>
      <c r="AC102" s="1657" t="n"/>
      <c r="AD102" s="5743" t="n"/>
      <c r="AE102" s="10916">
        <f>AND(AE99,AE100="")</f>
        <v/>
      </c>
      <c r="AF102" s="26" t="n"/>
      <c r="AG102" s="26" t="n"/>
      <c r="AH102" s="26" t="n"/>
      <c r="AI102" s="26" t="n"/>
      <c r="AJ102" s="26" t="n"/>
      <c r="AK102" s="2013" t="n"/>
      <c r="AL102" s="11602" t="n"/>
      <c r="AM102" s="11602" t="n"/>
      <c r="AN102" s="11602" t="n"/>
      <c r="AO102" s="2013" t="n"/>
      <c r="AP102" s="11602" t="n"/>
      <c r="AQ102" s="5688">
        <f>IF(AE100="",AE87,SUM(AE87,-AE100))</f>
        <v/>
      </c>
      <c r="AR102" s="664" t="n"/>
      <c r="AS102" s="658" t="n"/>
      <c r="AT102" s="658" t="n"/>
      <c r="AU102" s="658" t="n"/>
      <c r="AV102" s="658" t="n"/>
      <c r="AW102" s="658" t="n"/>
      <c r="AX102" s="658" t="n"/>
      <c r="AY102" s="658" t="n"/>
      <c r="AZ102" s="658" t="n"/>
      <c r="BA102" s="658" t="n"/>
    </row>
    <row r="103" ht="16.5" customFormat="1" customHeight="1" s="815" thickBot="1">
      <c r="A103" s="2013" t="n"/>
      <c r="B103" s="11602" t="n"/>
      <c r="C103" s="2917" t="n"/>
      <c r="D103" s="1405" t="inlineStr">
        <is>
          <t>1040-NR filers, see instructions</t>
        </is>
      </c>
      <c r="E103" s="11602" t="n"/>
      <c r="F103" s="8650" t="n"/>
      <c r="G103" s="8650" t="n"/>
      <c r="H103" s="11602" t="n"/>
      <c r="I103" s="11602" t="n"/>
      <c r="J103" s="11602" t="n"/>
      <c r="K103" s="11602" t="n"/>
      <c r="L103" s="11602" t="n"/>
      <c r="M103" s="11602" t="n"/>
      <c r="N103" s="11602" t="n"/>
      <c r="O103" s="11602" t="n"/>
      <c r="P103" s="11602" t="n"/>
      <c r="Q103" s="11602" t="n"/>
      <c r="R103" s="11602" t="n"/>
      <c r="S103" s="11602" t="n"/>
      <c r="T103" s="11602" t="n"/>
      <c r="U103" s="11602" t="n"/>
      <c r="V103" s="11602" t="n"/>
      <c r="W103" s="11602" t="n"/>
      <c r="X103" s="11602" t="n"/>
      <c r="Y103" s="11602" t="n"/>
      <c r="Z103" s="11602" t="n"/>
      <c r="AA103" s="11602" t="n"/>
      <c r="AB103" s="11602" t="n"/>
      <c r="AC103" s="1657" t="inlineStr">
        <is>
          <t xml:space="preserve">.   .   .   .   .   .   . </t>
        </is>
      </c>
      <c r="AD103" s="8389" t="n">
        <v>10</v>
      </c>
      <c r="AE103" s="10889">
        <f>IF(AM103&lt;&gt;"",ROUND(AM103,0),IF(OR(AE102,AND(AL76="",AQ83=0)),"",IF(AQ103,0,MAX(0,SUM(AE87,-AE100)))))</f>
        <v/>
      </c>
      <c r="AF103" s="7637" t="n"/>
      <c r="AG103" s="7637" t="n"/>
      <c r="AH103" s="7637" t="n"/>
      <c r="AI103" s="7637" t="n"/>
      <c r="AJ103" s="7637" t="n"/>
      <c r="AK103" s="2013" t="n"/>
      <c r="AL103" s="11602" t="n"/>
      <c r="AM103" s="5719" t="n"/>
      <c r="AN103" s="1806" t="n"/>
      <c r="AO103" s="2013" t="n"/>
      <c r="AP103" s="11602" t="n"/>
      <c r="AQ103" s="724">
        <f>OR(AND($AM$103&lt;&gt;"",$AM103&lt;=0),AQ102&lt;=0)</f>
        <v/>
      </c>
      <c r="AR103" s="658" t="n"/>
      <c r="AS103" s="658" t="n"/>
      <c r="AT103" s="658" t="n"/>
      <c r="AU103" s="658" t="n"/>
      <c r="AV103" s="658" t="n"/>
      <c r="AW103" s="658" t="n"/>
      <c r="AX103" s="658" t="n"/>
      <c r="AY103" s="658" t="n"/>
      <c r="AZ103" s="658" t="n"/>
      <c r="BA103" s="658" t="n"/>
    </row>
    <row r="104" ht="15" customFormat="1" customHeight="1" s="815">
      <c r="A104" s="2013" t="n"/>
      <c r="B104" s="11602" t="n"/>
      <c r="C104" s="11216" t="n"/>
      <c r="D104" s="8650" t="n"/>
      <c r="E104" s="11602" t="n"/>
      <c r="F104" s="11602" t="n"/>
      <c r="G104" s="11602" t="n"/>
      <c r="H104" s="11602" t="n"/>
      <c r="I104" s="11602" t="n"/>
      <c r="J104" s="11602" t="n"/>
      <c r="K104" s="11602" t="n"/>
      <c r="L104" s="11602" t="n"/>
      <c r="M104" s="11602" t="n"/>
      <c r="N104" s="11602" t="n"/>
      <c r="O104" s="11602" t="n"/>
      <c r="P104" s="11602" t="n"/>
      <c r="Q104" s="11602" t="n"/>
      <c r="R104" s="11602" t="n"/>
      <c r="S104" s="11602" t="n"/>
      <c r="T104" s="11602" t="n"/>
      <c r="U104" s="11602" t="n"/>
      <c r="V104" s="11602" t="n"/>
      <c r="W104" s="11602" t="n"/>
      <c r="X104" s="11602" t="n"/>
      <c r="Y104" s="11602" t="n"/>
      <c r="Z104" s="11602" t="n"/>
      <c r="AA104" s="11602" t="n"/>
      <c r="AB104" s="11602" t="n"/>
      <c r="AC104" s="1657" t="n"/>
      <c r="AD104" s="5743" t="n"/>
      <c r="AE104" s="11602" t="n"/>
      <c r="AF104" s="11602" t="n"/>
      <c r="AG104" s="11602" t="n"/>
      <c r="AH104" s="11602" t="n"/>
      <c r="AI104" s="11602" t="n"/>
      <c r="AJ104" s="11602" t="n"/>
      <c r="AK104" s="2013" t="n"/>
      <c r="AL104" s="11602" t="n"/>
      <c r="AM104" s="11602" t="n"/>
      <c r="AN104" s="11602" t="n"/>
      <c r="AO104" s="10892" t="inlineStr">
        <is>
          <t>If for 2024 you claimed the foreign earned income exclusion,
housing exclusion, or housing deduction on Form 2555, you
must use the Foreign Earned Income Tax Worksheet in these
instructions to figure the amount to enter on line 11.</t>
        </is>
      </c>
      <c r="AP104" s="11602" t="n"/>
      <c r="AQ104" s="11602" t="n"/>
      <c r="AR104" s="658" t="n"/>
      <c r="AS104" s="658" t="n"/>
      <c r="AT104" s="658" t="n"/>
      <c r="AU104" s="658" t="n"/>
      <c r="AV104" s="658" t="n"/>
      <c r="AW104" s="658" t="n"/>
      <c r="AX104" s="658" t="n"/>
      <c r="AY104" s="658" t="n"/>
      <c r="AZ104" s="658" t="n"/>
      <c r="BA104" s="658" t="n"/>
    </row>
    <row r="105" ht="15" customFormat="1" customHeight="1" s="815">
      <c r="A105" s="2013" t="n"/>
      <c r="B105" s="11602" t="n"/>
      <c r="C105" s="2917" t="n">
        <v>11</v>
      </c>
      <c r="D105" s="8439" t="inlineStr">
        <is>
          <t>•</t>
        </is>
      </c>
      <c r="E105" s="514" t="inlineStr">
        <is>
          <t>If   for</t>
        </is>
      </c>
      <c r="F105" s="11602" t="n"/>
      <c r="G105" s="10886">
        <f>LastYear</f>
        <v/>
      </c>
      <c r="I105" s="7772" t="inlineStr">
        <is>
          <t>you claimed the foreign earned income exclusion, housing exclusion,</t>
        </is>
      </c>
      <c r="J105" s="11602" t="n"/>
      <c r="K105" s="11602" t="n"/>
      <c r="L105" s="11602" t="n"/>
      <c r="M105" s="11602" t="n"/>
      <c r="N105" s="11602" t="n"/>
      <c r="O105" s="11602" t="n"/>
      <c r="P105" s="11602" t="n"/>
      <c r="Q105" s="11602" t="n"/>
      <c r="R105" s="11602" t="n"/>
      <c r="S105" s="11602" t="n"/>
      <c r="T105" s="11602" t="n"/>
      <c r="U105" s="11602" t="n"/>
      <c r="V105" s="11602" t="n"/>
      <c r="W105" s="11602" t="n"/>
      <c r="X105" s="11602" t="n"/>
      <c r="Y105" s="11602" t="n"/>
      <c r="Z105" s="11602" t="n"/>
      <c r="AA105" s="11602" t="n"/>
      <c r="AB105" s="11602" t="n"/>
      <c r="AC105" s="1657" t="n"/>
      <c r="AD105" s="5743" t="n"/>
      <c r="AE105" s="11602" t="n"/>
      <c r="AF105" s="11602" t="n"/>
      <c r="AG105" s="11602" t="n"/>
      <c r="AH105" s="11602" t="n"/>
      <c r="AI105" s="11602" t="n"/>
      <c r="AJ105" s="11602" t="n"/>
      <c r="AK105" s="2013" t="n"/>
      <c r="AL105" s="11602" t="n"/>
      <c r="AM105" s="11602" t="n"/>
      <c r="AN105" s="11602" t="n"/>
      <c r="AP105" s="11602" t="n"/>
      <c r="AQ105" s="11602" t="n"/>
      <c r="AR105" s="658" t="n"/>
      <c r="AS105" s="658" t="n"/>
      <c r="AT105" s="658" t="n"/>
      <c r="AU105" s="658" t="n"/>
      <c r="AV105" s="658" t="n"/>
      <c r="AW105" s="658" t="n"/>
      <c r="AX105" s="658" t="n"/>
      <c r="AY105" s="658" t="n"/>
      <c r="AZ105" s="658" t="n"/>
      <c r="BA105" s="658" t="n"/>
    </row>
    <row r="106" ht="15" customFormat="1" customHeight="1" s="815">
      <c r="A106" s="2013" t="n"/>
      <c r="B106" s="11602" t="n"/>
      <c r="C106" s="2917" t="n"/>
      <c r="D106" s="7772" t="inlineStr">
        <is>
          <t>or housing deduction on Form 2555, use the Foreign Earned Income Tax Worksheet in the</t>
        </is>
      </c>
      <c r="E106" s="514" t="n"/>
      <c r="F106" s="11602" t="n"/>
      <c r="G106" s="10886" t="n"/>
      <c r="H106" s="10886" t="n"/>
      <c r="I106" s="7772" t="n"/>
      <c r="J106" s="11602" t="n"/>
      <c r="K106" s="11602" t="n"/>
      <c r="L106" s="11602" t="n"/>
      <c r="M106" s="11602" t="n"/>
      <c r="N106" s="11602" t="n"/>
      <c r="O106" s="11602" t="n"/>
      <c r="P106" s="11602" t="n"/>
      <c r="Q106" s="11602" t="n"/>
      <c r="R106" s="11602" t="n"/>
      <c r="S106" s="11602" t="n"/>
      <c r="T106" s="11602" t="n"/>
      <c r="U106" s="11602" t="n"/>
      <c r="V106" s="11602" t="n"/>
      <c r="W106" s="11602" t="n"/>
      <c r="X106" s="11602" t="n"/>
      <c r="Y106" s="11602" t="n"/>
      <c r="Z106" s="11602" t="n"/>
      <c r="AA106" s="11602" t="n"/>
      <c r="AB106" s="11602" t="n"/>
      <c r="AC106" s="1657" t="n"/>
      <c r="AD106" s="5743" t="n"/>
      <c r="AE106" s="11602" t="n"/>
      <c r="AF106" s="11602" t="n"/>
      <c r="AG106" s="11602" t="n"/>
      <c r="AH106" s="11602" t="n"/>
      <c r="AI106" s="11602" t="n"/>
      <c r="AJ106" s="11602" t="n"/>
      <c r="AK106" s="2013" t="n"/>
      <c r="AL106" s="11602" t="n"/>
      <c r="AM106" s="11602" t="n"/>
      <c r="AN106" s="11602" t="n"/>
      <c r="AP106" s="11602" t="n"/>
      <c r="AQ106" s="1193" t="n"/>
      <c r="AR106" s="658" t="n"/>
      <c r="AS106" s="658" t="n"/>
      <c r="AT106" s="658" t="n"/>
      <c r="AU106" s="658" t="n"/>
      <c r="AV106" s="658" t="n"/>
      <c r="AW106" s="658" t="n"/>
      <c r="AX106" s="658" t="n"/>
      <c r="AY106" s="658" t="n"/>
      <c r="AZ106" s="658" t="n"/>
      <c r="BA106" s="658" t="n"/>
    </row>
    <row r="107" ht="15" customFormat="1" customHeight="1" s="815">
      <c r="A107" s="2013" t="n"/>
      <c r="B107" s="11602" t="n"/>
      <c r="C107" s="2917" t="n"/>
      <c r="D107" s="7772" t="inlineStr">
        <is>
          <t>instructions to figure the amount to enter here.</t>
        </is>
      </c>
      <c r="E107" s="514" t="n"/>
      <c r="F107" s="11602" t="n"/>
      <c r="G107" s="10886" t="n"/>
      <c r="H107" s="10886" t="n"/>
      <c r="I107" s="7772" t="n"/>
      <c r="J107" s="11602" t="n"/>
      <c r="K107" s="11602" t="n"/>
      <c r="L107" s="11602" t="n"/>
      <c r="M107" s="11602" t="n"/>
      <c r="N107" s="11602" t="n"/>
      <c r="O107" s="11602" t="n"/>
      <c r="P107" s="11602" t="n"/>
      <c r="Q107" s="11602" t="n"/>
      <c r="R107" s="11602" t="n"/>
      <c r="S107" s="11602" t="n"/>
      <c r="T107" s="11602" t="n"/>
      <c r="U107" s="11602" t="n"/>
      <c r="V107" s="11602" t="n"/>
      <c r="W107" s="11602" t="n"/>
      <c r="X107" s="11602" t="n"/>
      <c r="Y107" s="11602" t="n"/>
      <c r="Z107" s="11602" t="n"/>
      <c r="AA107" s="11602" t="n"/>
      <c r="AB107" s="11602" t="n"/>
      <c r="AC107" s="1657" t="n"/>
      <c r="AD107" s="5743" t="n"/>
      <c r="AE107" s="11602" t="n"/>
      <c r="AF107" s="11602" t="n"/>
      <c r="AG107" s="11602" t="n"/>
      <c r="AH107" s="11602" t="n"/>
      <c r="AI107" s="11602" t="n"/>
      <c r="AJ107" s="11602" t="n"/>
      <c r="AK107" s="2013" t="n"/>
      <c r="AL107" s="11602" t="n"/>
      <c r="AM107" s="11602" t="n"/>
      <c r="AN107" s="11602" t="n"/>
      <c r="AP107" s="11602" t="n"/>
      <c r="AQ107" s="2201">
        <f>AND($AE$40&lt;&gt;"",$AE$40&lt;&gt;0)</f>
        <v/>
      </c>
      <c r="AR107" s="658" t="n"/>
      <c r="AS107" s="658" t="n"/>
      <c r="AT107" s="658" t="n"/>
      <c r="AU107" s="658" t="n"/>
      <c r="AV107" s="658" t="n"/>
      <c r="AW107" s="658" t="n"/>
      <c r="AX107" s="658" t="n"/>
      <c r="AY107" s="658" t="n"/>
      <c r="AZ107" s="658" t="n"/>
      <c r="BA107" s="658" t="n"/>
    </row>
    <row r="108" ht="15" customFormat="1" customHeight="1" s="815">
      <c r="A108" s="2013" t="n"/>
      <c r="B108" s="11602" t="n"/>
      <c r="C108" s="2917" t="n"/>
      <c r="D108" s="8439" t="inlineStr">
        <is>
          <t>•</t>
        </is>
      </c>
      <c r="E108" s="514" t="inlineStr">
        <is>
          <t>If   for</t>
        </is>
      </c>
      <c r="F108" s="11602" t="n"/>
      <c r="G108" s="10886">
        <f>LastYear</f>
        <v/>
      </c>
      <c r="I108" s="7772" t="inlineStr">
        <is>
          <t>you reported capital gain distributions directly on Form 1040, 1040-SR, or</t>
        </is>
      </c>
      <c r="J108" s="11602" t="n"/>
      <c r="K108" s="11602" t="n"/>
      <c r="L108" s="11602" t="n"/>
      <c r="M108" s="11602" t="n"/>
      <c r="N108" s="11602" t="n"/>
      <c r="O108" s="11602" t="n"/>
      <c r="P108" s="11602" t="n"/>
      <c r="Q108" s="11602" t="n"/>
      <c r="R108" s="11602" t="n"/>
      <c r="S108" s="11602" t="n"/>
      <c r="T108" s="11602" t="n"/>
      <c r="U108" s="11602" t="n"/>
      <c r="V108" s="11602" t="n"/>
      <c r="W108" s="11602" t="n"/>
      <c r="X108" s="11602" t="n"/>
      <c r="Y108" s="11602" t="n"/>
      <c r="Z108" s="11602" t="n"/>
      <c r="AA108" s="11602" t="n"/>
      <c r="AB108" s="11602" t="n"/>
      <c r="AC108" s="1657" t="n"/>
      <c r="AD108" s="5743" t="n"/>
      <c r="AE108" s="11602" t="n"/>
      <c r="AF108" s="11602" t="n"/>
      <c r="AG108" s="11602" t="n"/>
      <c r="AH108" s="11602" t="n"/>
      <c r="AI108" s="11602" t="n"/>
      <c r="AJ108" s="11602" t="n"/>
      <c r="AK108" s="2013" t="n"/>
      <c r="AL108" s="11602" t="n"/>
      <c r="AM108" s="11602" t="n"/>
      <c r="AN108" s="11602" t="n"/>
      <c r="AP108" s="11602" t="n"/>
      <c r="AQ108" s="5766">
        <f>$AQ$38</f>
        <v/>
      </c>
      <c r="AR108" s="658" t="n"/>
      <c r="AS108" s="658" t="n"/>
      <c r="AT108" s="658" t="n"/>
      <c r="AU108" s="658" t="n"/>
      <c r="AV108" s="658" t="n"/>
      <c r="AW108" s="658" t="n"/>
      <c r="AX108" s="658" t="n"/>
      <c r="AY108" s="658" t="n"/>
      <c r="AZ108" s="658" t="n"/>
      <c r="BA108" s="658" t="n"/>
    </row>
    <row r="109" ht="15" customFormat="1" customHeight="1" s="815">
      <c r="A109" s="2013" t="n"/>
      <c r="B109" s="11602" t="n"/>
      <c r="C109" s="2917" t="n"/>
      <c r="D109" s="7772" t="inlineStr">
        <is>
          <t>1040-NR, line 7; you reported qualified dividends on Form 1040, 1040-SR, or 1040-NR, line 3a</t>
        </is>
      </c>
      <c r="E109" s="7772" t="n"/>
      <c r="F109" s="11602" t="n"/>
      <c r="G109" s="11602" t="n"/>
      <c r="H109" s="11602" t="n"/>
      <c r="I109" s="11602" t="n"/>
      <c r="J109" s="11602" t="n"/>
      <c r="K109" s="11602" t="n"/>
      <c r="L109" s="11602" t="n"/>
      <c r="M109" s="11602" t="n"/>
      <c r="N109" s="11602" t="n"/>
      <c r="O109" s="11602" t="n"/>
      <c r="P109" s="11602" t="n"/>
      <c r="Q109" s="11602" t="n"/>
      <c r="R109" s="11602" t="n"/>
      <c r="S109" s="11602" t="n"/>
      <c r="T109" s="11602" t="n"/>
      <c r="U109" s="11602" t="n"/>
      <c r="V109" s="11602" t="n"/>
      <c r="W109" s="1401" t="n"/>
      <c r="X109" s="11602" t="n"/>
      <c r="Y109" s="11602" t="n"/>
      <c r="Z109" s="11602" t="n"/>
      <c r="AA109" s="11602" t="n"/>
      <c r="AB109" s="11602" t="n"/>
      <c r="AC109" s="11602" t="n"/>
      <c r="AD109" s="5743" t="n"/>
      <c r="AE109" s="11602" t="n"/>
      <c r="AF109" s="11602" t="n"/>
      <c r="AG109" s="11602" t="n"/>
      <c r="AH109" s="11602" t="n"/>
      <c r="AI109" s="11602" t="n"/>
      <c r="AJ109" s="11602" t="n"/>
      <c r="AK109" s="2013" t="n"/>
      <c r="AL109" s="11602" t="n"/>
      <c r="AM109" s="11602" t="n"/>
      <c r="AN109" s="11602" t="n"/>
      <c r="AP109" s="11602" t="n"/>
      <c r="AQ109" s="2201">
        <f>AND($AE$46&lt;&gt;"",$AE$46&gt;0,$AE$48&lt;&gt;"",$AE$48&gt;0)</f>
        <v/>
      </c>
      <c r="AR109" s="658" t="n"/>
      <c r="AS109" s="658" t="n"/>
      <c r="AT109" s="658" t="n"/>
      <c r="AU109" s="658" t="n"/>
      <c r="AV109" s="658" t="n"/>
      <c r="AW109" s="658" t="n"/>
      <c r="AX109" s="658" t="n"/>
      <c r="AY109" s="658" t="n"/>
      <c r="AZ109" s="658" t="n"/>
      <c r="BA109" s="658" t="n"/>
    </row>
    <row r="110" ht="15" customFormat="1" customHeight="1" s="815" thickBot="1">
      <c r="A110" s="2013" t="n"/>
      <c r="B110" s="11602" t="n"/>
      <c r="C110" s="2917" t="n"/>
      <c r="D110" s="7772" t="inlineStr">
        <is>
          <t>(Form 1041, line 2b(2)); or you had a gain on both lines 15 and 16 of Schedule D (Form 1040)</t>
        </is>
      </c>
      <c r="E110" s="7772" t="n"/>
      <c r="F110" s="11602" t="n"/>
      <c r="G110" s="11602" t="n"/>
      <c r="H110" s="11602" t="n"/>
      <c r="I110" s="11602" t="n"/>
      <c r="J110" s="11602" t="n"/>
      <c r="K110" s="11602" t="n"/>
      <c r="L110" s="11602" t="n"/>
      <c r="M110" s="11602" t="n"/>
      <c r="N110" s="11602" t="n"/>
      <c r="O110" s="11602" t="n"/>
      <c r="P110" s="11602" t="n"/>
      <c r="Q110" s="11602" t="n"/>
      <c r="R110" s="11602" t="n"/>
      <c r="S110" s="11602" t="n"/>
      <c r="T110" s="11602" t="n"/>
      <c r="U110" s="11602" t="n"/>
      <c r="V110" s="11602" t="n"/>
      <c r="W110" s="11602" t="n"/>
      <c r="X110" s="11602" t="n"/>
      <c r="Y110" s="11602" t="n"/>
      <c r="Z110" s="11602" t="n"/>
      <c r="AA110" s="11602" t="n"/>
      <c r="AB110" s="11602" t="n"/>
      <c r="AC110" s="1657" t="n"/>
      <c r="AD110" s="5743" t="n"/>
      <c r="AE110" s="10916">
        <f>AND(AE102,AE103="")</f>
        <v/>
      </c>
      <c r="AF110" s="26" t="n"/>
      <c r="AG110" s="26" t="n"/>
      <c r="AH110" s="26" t="n"/>
      <c r="AI110" s="26" t="n"/>
      <c r="AJ110" s="26" t="n"/>
      <c r="AK110" s="2013" t="n"/>
      <c r="AL110" s="11602" t="n"/>
      <c r="AM110" s="11602" t="n"/>
      <c r="AN110" s="11602" t="n"/>
      <c r="AP110" s="11602" t="n"/>
      <c r="AQ110" s="724">
        <f>OR(AQ107,AQ108,AQ109)</f>
        <v/>
      </c>
      <c r="AR110" s="658" t="n"/>
      <c r="AS110" s="658" t="n"/>
      <c r="AT110" s="658" t="n"/>
      <c r="AU110" s="658" t="n"/>
      <c r="AV110" s="658" t="n"/>
      <c r="AW110" s="658" t="n"/>
      <c r="AX110" s="658" t="n"/>
      <c r="AY110" s="658" t="n"/>
      <c r="AZ110" s="658" t="n"/>
      <c r="BA110" s="658" t="n"/>
    </row>
    <row r="111" ht="15" customFormat="1" customHeight="1" s="815" thickBot="1">
      <c r="A111" s="2013" t="n"/>
      <c r="B111" s="11602" t="n"/>
      <c r="C111" s="2917" t="n"/>
      <c r="D111" s="7772" t="inlineStr">
        <is>
          <t>(lines 18a and 19, column (2), of Schedule D (Form 1041)), complete Part III of Form 8801 and</t>
        </is>
      </c>
      <c r="E111" s="7772" t="n"/>
      <c r="F111" s="11602" t="n"/>
      <c r="G111" s="11602" t="n"/>
      <c r="H111" s="11602" t="n"/>
      <c r="I111" s="11602" t="n"/>
      <c r="J111" s="11602" t="n"/>
      <c r="K111" s="512" t="n"/>
      <c r="L111" s="512" t="n"/>
      <c r="M111" s="512" t="n"/>
      <c r="N111" s="512" t="n"/>
      <c r="O111" s="512" t="n"/>
      <c r="P111" s="512" t="n"/>
      <c r="Q111" s="11602" t="n"/>
      <c r="R111" s="11602" t="n"/>
      <c r="S111" s="11602" t="n"/>
      <c r="T111" s="11602" t="n"/>
      <c r="U111" s="11602" t="n"/>
      <c r="V111" s="11602" t="n"/>
      <c r="W111" s="11602" t="n"/>
      <c r="X111" s="11602" t="n"/>
      <c r="Y111" s="11602" t="n"/>
      <c r="Z111" s="11602" t="n"/>
      <c r="AA111" s="11602" t="n"/>
      <c r="AB111" s="11602" t="n"/>
      <c r="AC111" s="11602" t="n"/>
      <c r="AD111" s="8389" t="n">
        <v>11</v>
      </c>
      <c r="AE111" s="10889">
        <f>IF(AM111&lt;&gt;"",ROUND(AM111,0),IF(OR(AQ103,AE110,AND($AL$76="",$AQ$83=0)),"",IF(AQ110,$AE$231,$AQ$119)))</f>
        <v/>
      </c>
      <c r="AF111" s="7637" t="n"/>
      <c r="AG111" s="7637" t="n"/>
      <c r="AH111" s="7637" t="n"/>
      <c r="AI111" s="7637" t="n"/>
      <c r="AJ111" s="7637" t="n"/>
      <c r="AK111" s="2013" t="n"/>
      <c r="AL111" s="11602" t="n"/>
      <c r="AM111" s="5719" t="n"/>
      <c r="AN111" s="1806" t="n"/>
      <c r="AO111" s="2013" t="n"/>
      <c r="AP111" s="11602" t="n"/>
      <c r="AQ111" s="11602" t="n"/>
      <c r="AR111" s="658" t="n"/>
      <c r="AS111" s="658" t="n"/>
      <c r="AT111" s="658" t="n"/>
      <c r="AU111" s="658" t="n"/>
      <c r="AV111" s="658" t="n"/>
      <c r="AW111" s="658" t="n"/>
      <c r="AX111" s="658" t="n"/>
      <c r="AY111" s="658" t="n"/>
      <c r="AZ111" s="658" t="n"/>
      <c r="BA111" s="658" t="n"/>
    </row>
    <row r="112" ht="15" customFormat="1" customHeight="1" s="815">
      <c r="A112" s="2013" t="n"/>
      <c r="B112" s="11602" t="n"/>
      <c r="C112" s="11216" t="n"/>
      <c r="D112" s="7772" t="inlineStr">
        <is>
          <t>enter the amount from line 55 here.</t>
        </is>
      </c>
      <c r="E112" s="7772" t="n"/>
      <c r="F112" s="11602" t="n"/>
      <c r="G112" s="11602" t="n"/>
      <c r="H112" s="11602" t="n"/>
      <c r="I112" s="11602" t="n"/>
      <c r="J112" s="11602" t="n"/>
      <c r="K112" s="512" t="n"/>
      <c r="L112" s="512" t="n"/>
      <c r="M112" s="512" t="n"/>
      <c r="N112" s="512" t="n"/>
      <c r="O112" s="512" t="n"/>
      <c r="P112" s="512" t="n"/>
      <c r="Q112" s="11602" t="n"/>
      <c r="R112" s="11602" t="n"/>
      <c r="S112" s="11602" t="n"/>
      <c r="T112" s="11602" t="n"/>
      <c r="U112" s="11602" t="n"/>
      <c r="V112" s="11602" t="n"/>
      <c r="W112" s="11602" t="n"/>
      <c r="X112" s="11602" t="n"/>
      <c r="Y112" s="11602" t="n"/>
      <c r="Z112" s="11602" t="n"/>
      <c r="AA112" s="11602" t="n"/>
      <c r="AB112" s="11602" t="n"/>
      <c r="AC112" s="11602" t="n"/>
      <c r="AD112" s="5743" t="n"/>
      <c r="AE112" s="11602" t="n"/>
      <c r="AF112" s="11602" t="n"/>
      <c r="AG112" s="11602" t="n"/>
      <c r="AH112" s="11602" t="n"/>
      <c r="AI112" s="11602" t="n"/>
      <c r="AJ112" s="11602" t="n"/>
      <c r="AK112" s="2013" t="n"/>
      <c r="AL112" s="11602" t="n"/>
      <c r="AM112" s="11602" t="n"/>
      <c r="AN112" s="11602" t="n"/>
      <c r="AO112" s="2013" t="n"/>
      <c r="AP112" s="11602" t="n"/>
      <c r="AQ112" s="11602" t="n"/>
      <c r="AR112" s="658" t="n"/>
      <c r="AS112" s="658" t="n"/>
      <c r="AT112" s="658" t="n"/>
      <c r="AU112" s="658" t="n"/>
      <c r="AV112" s="658" t="n"/>
      <c r="AW112" s="658" t="n"/>
      <c r="AX112" s="658" t="n"/>
      <c r="AY112" s="658" t="n"/>
      <c r="AZ112" s="658" t="n"/>
      <c r="BA112" s="658" t="n"/>
    </row>
    <row r="113" ht="15" customFormat="1" customHeight="1" s="815">
      <c r="A113" s="2013" t="n"/>
      <c r="B113" s="11602" t="n"/>
      <c r="C113" s="2917" t="n"/>
      <c r="D113" s="7772" t="n"/>
      <c r="E113" s="7772" t="n"/>
      <c r="F113" s="11602" t="n"/>
      <c r="G113" s="11602" t="n"/>
      <c r="H113" s="11602" t="n"/>
      <c r="I113" s="11602" t="n"/>
      <c r="J113" s="11602" t="n"/>
      <c r="K113" s="512" t="n"/>
      <c r="L113" s="512" t="n"/>
      <c r="M113" s="512" t="n"/>
      <c r="N113" s="512" t="n"/>
      <c r="O113" s="512" t="n"/>
      <c r="P113" s="512" t="n"/>
      <c r="Q113" s="11602" t="n"/>
      <c r="R113" s="11602" t="n"/>
      <c r="S113" s="11602" t="n"/>
      <c r="T113" s="11602" t="n"/>
      <c r="U113" s="8650" t="n"/>
      <c r="V113" s="8650" t="n"/>
      <c r="W113" s="11602" t="n"/>
      <c r="X113" s="11602" t="n"/>
      <c r="Y113" s="11602" t="n"/>
      <c r="Z113" s="11602" t="n"/>
      <c r="AA113" s="11602" t="n"/>
      <c r="AB113" s="11602" t="n"/>
      <c r="AC113" s="2198" t="n"/>
      <c r="AD113" s="5743" t="n"/>
      <c r="AE113" s="11602" t="n"/>
      <c r="AF113" s="11602" t="n"/>
      <c r="AG113" s="11602" t="n"/>
      <c r="AH113" s="11602" t="n"/>
      <c r="AI113" s="11602" t="n"/>
      <c r="AJ113" s="11602" t="n"/>
      <c r="AK113" s="2013" t="n"/>
      <c r="AL113" s="11602" t="n"/>
      <c r="AM113" s="11602" t="n"/>
      <c r="AN113" s="11602" t="n"/>
      <c r="AO113" s="2013" t="n"/>
      <c r="AP113" s="11602" t="n"/>
      <c r="AQ113" s="1193" t="n">
        <v>232600</v>
      </c>
      <c r="AR113" s="658" t="n"/>
      <c r="AS113" s="658" t="n"/>
      <c r="AT113" s="658" t="n"/>
      <c r="AU113" s="658" t="n"/>
      <c r="AV113" s="658" t="n"/>
      <c r="AW113" s="658" t="n"/>
      <c r="AX113" s="658" t="n"/>
      <c r="AY113" s="658" t="n"/>
      <c r="AZ113" s="658" t="n"/>
      <c r="BA113" s="658" t="n"/>
    </row>
    <row r="114" ht="15" customFormat="1" customHeight="1" s="815">
      <c r="A114" s="2013" t="n"/>
      <c r="B114" s="11602" t="n"/>
      <c r="C114" s="2917" t="n"/>
      <c r="D114" s="8439" t="inlineStr">
        <is>
          <t>•</t>
        </is>
      </c>
      <c r="E114" s="514" t="inlineStr">
        <is>
          <t>All others:</t>
        </is>
      </c>
      <c r="F114" s="11602" t="n"/>
      <c r="G114" s="7772" t="n"/>
      <c r="H114" s="7772">
        <f>"If line 10 is "&amp;TEXT($AQ$113,"$0,000")&amp;" or less ("&amp;TEXT($AQ$114,"$0,000")&amp;" or less if married filing separately for "&amp;LastYear&amp;"),"</f>
        <v/>
      </c>
      <c r="I114" s="11602" t="n"/>
      <c r="J114" s="11602" t="n"/>
      <c r="K114" s="512" t="n"/>
      <c r="L114" s="512" t="n"/>
      <c r="M114" s="512" t="n"/>
      <c r="N114" s="512" t="n"/>
      <c r="O114" s="512" t="n"/>
      <c r="P114" s="512" t="n"/>
      <c r="Q114" s="11602" t="n"/>
      <c r="R114" s="11602" t="n"/>
      <c r="S114" s="11602" t="n"/>
      <c r="T114" s="11602" t="n"/>
      <c r="U114" s="11602" t="n"/>
      <c r="V114" s="11602" t="n"/>
      <c r="W114" s="11602" t="n"/>
      <c r="X114" s="11602" t="n"/>
      <c r="Y114" s="11602" t="n"/>
      <c r="Z114" s="7788" t="n"/>
      <c r="AA114" s="11602" t="n"/>
      <c r="AB114" s="7788" t="n"/>
      <c r="AC114" s="7900" t="n"/>
      <c r="AD114" s="5743" t="n"/>
      <c r="AE114" s="11602" t="n"/>
      <c r="AF114" s="11602" t="n"/>
      <c r="AG114" s="11602" t="n"/>
      <c r="AH114" s="11602" t="n"/>
      <c r="AI114" s="11602" t="n"/>
      <c r="AJ114" s="11602" t="n"/>
      <c r="AK114" s="2013" t="n"/>
      <c r="AL114" s="11602" t="n"/>
      <c r="AM114" s="11602" t="n"/>
      <c r="AN114" s="11602" t="n"/>
      <c r="AO114" s="2013" t="n"/>
      <c r="AP114" s="11602" t="n"/>
      <c r="AQ114" s="1193" t="n">
        <v>116300</v>
      </c>
      <c r="AR114" s="658" t="n"/>
      <c r="AS114" s="658" t="n"/>
      <c r="AT114" s="658" t="n"/>
      <c r="AU114" s="658" t="n"/>
      <c r="AV114" s="658" t="n"/>
      <c r="AW114" s="658" t="n"/>
      <c r="AX114" s="658" t="n"/>
      <c r="AY114" s="658" t="n"/>
      <c r="AZ114" s="658" t="n"/>
      <c r="BA114" s="658" t="n"/>
    </row>
    <row r="115" ht="15" customFormat="1" customHeight="1" s="815">
      <c r="A115" s="2013" t="n"/>
      <c r="B115" s="11602" t="n"/>
      <c r="C115" s="2917" t="n"/>
      <c r="D115" s="7772">
        <f>"multiply line 10 by "&amp;TEXT($AQ$115,"0%")&amp;" ("&amp;TEXT($AQ$115,"0.00")&amp;"). Otherwise, multiply line 10 by "&amp;TEXT($AQ$118,"0%")&amp;" ("&amp;TEXT($AQ$118,"0.00")&amp;") and subtract "&amp;TEXT($AQ$116,"$0,000")</f>
        <v/>
      </c>
      <c r="E115" s="7772" t="n"/>
      <c r="F115" s="11602" t="n"/>
      <c r="G115" s="11602" t="n"/>
      <c r="H115" s="11602" t="n"/>
      <c r="I115" s="11602" t="n"/>
      <c r="J115" s="11602" t="n"/>
      <c r="K115" s="512" t="n"/>
      <c r="L115" s="512" t="n"/>
      <c r="M115" s="512" t="n"/>
      <c r="N115" s="512" t="n"/>
      <c r="O115" s="512" t="n"/>
      <c r="P115" s="512" t="n"/>
      <c r="Q115" s="11602" t="n"/>
      <c r="R115" s="11602" t="n"/>
      <c r="S115" s="11602" t="n"/>
      <c r="T115" s="11602" t="n"/>
      <c r="U115" s="11602" t="n"/>
      <c r="V115" s="11602" t="n"/>
      <c r="W115" s="11602" t="n"/>
      <c r="X115" s="11602" t="n"/>
      <c r="Y115" s="11602" t="n"/>
      <c r="Z115" s="11602" t="n"/>
      <c r="AA115" s="11602" t="n"/>
      <c r="AB115" s="11602" t="n"/>
      <c r="AC115" s="11602" t="n"/>
      <c r="AD115" s="5743" t="n"/>
      <c r="AE115" s="11602" t="n"/>
      <c r="AF115" s="11602" t="n"/>
      <c r="AG115" s="11602" t="n"/>
      <c r="AH115" s="11602" t="n"/>
      <c r="AI115" s="11602" t="n"/>
      <c r="AJ115" s="11602" t="n"/>
      <c r="AK115" s="2013" t="n"/>
      <c r="AL115" s="11602" t="n"/>
      <c r="AM115" s="11602" t="n"/>
      <c r="AN115" s="11602" t="n"/>
      <c r="AO115" s="2013" t="n"/>
      <c r="AP115" s="11602" t="n"/>
      <c r="AQ115" s="11602" t="n">
        <v>0.26</v>
      </c>
      <c r="AR115" s="658" t="n"/>
      <c r="AS115" s="658" t="n"/>
      <c r="AT115" s="658" t="n"/>
      <c r="AU115" s="658" t="n"/>
      <c r="AV115" s="658" t="n"/>
      <c r="AW115" s="658" t="n"/>
      <c r="AX115" s="658" t="n"/>
      <c r="AY115" s="658" t="n"/>
      <c r="AZ115" s="658" t="n"/>
      <c r="BA115" s="658" t="n"/>
    </row>
    <row r="116" ht="15" customFormat="1" customHeight="1" s="815">
      <c r="A116" s="2013" t="n"/>
      <c r="B116" s="11602" t="n"/>
      <c r="C116" s="2917" t="n"/>
      <c r="D116" s="7772">
        <f>"("&amp;TEXT($AQ$117,"$0,000")&amp;" if married filing separately for "&amp;LastYear&amp;") from the result."</f>
        <v/>
      </c>
      <c r="E116" s="7772" t="n"/>
      <c r="F116" s="11602" t="n"/>
      <c r="G116" s="11602" t="n"/>
      <c r="H116" s="11602" t="n"/>
      <c r="I116" s="11602" t="n"/>
      <c r="J116" s="11602" t="n"/>
      <c r="K116" s="512" t="n"/>
      <c r="L116" s="512" t="n"/>
      <c r="M116" s="512" t="n"/>
      <c r="N116" s="512" t="n"/>
      <c r="O116" s="512" t="n"/>
      <c r="P116" s="512" t="n"/>
      <c r="Q116" s="11602" t="n"/>
      <c r="R116" s="11602" t="n"/>
      <c r="S116" s="11602" t="n"/>
      <c r="T116" s="11602" t="n"/>
      <c r="U116" s="11602" t="n"/>
      <c r="V116" s="11602" t="n"/>
      <c r="W116" s="11602" t="n"/>
      <c r="X116" s="11602" t="n"/>
      <c r="Y116" s="11602" t="n"/>
      <c r="Z116" s="11602" t="n"/>
      <c r="AA116" s="11602" t="n"/>
      <c r="AB116" s="11602" t="n"/>
      <c r="AC116" s="11602" t="n"/>
      <c r="AD116" s="5743" t="n"/>
      <c r="AE116" s="11602" t="n"/>
      <c r="AF116" s="11602" t="n"/>
      <c r="AG116" s="11602" t="n"/>
      <c r="AH116" s="11602" t="n"/>
      <c r="AI116" s="11602" t="n"/>
      <c r="AJ116" s="11602" t="n"/>
      <c r="AK116" s="2013" t="n"/>
      <c r="AL116" s="512" t="n"/>
      <c r="AM116" s="11602" t="n"/>
      <c r="AN116" s="11602" t="n"/>
      <c r="AO116" s="2013" t="n"/>
      <c r="AP116" s="11602" t="n"/>
      <c r="AQ116" s="1193" t="n">
        <v>4652</v>
      </c>
      <c r="AR116" s="658" t="n"/>
      <c r="AS116" s="658" t="n"/>
      <c r="AT116" s="658" t="n"/>
      <c r="AU116" s="658" t="n"/>
      <c r="AV116" s="658" t="n"/>
      <c r="AW116" s="658" t="n"/>
      <c r="AX116" s="658" t="n"/>
      <c r="AY116" s="658" t="n"/>
      <c r="AZ116" s="658" t="n"/>
      <c r="BA116" s="658" t="n"/>
    </row>
    <row r="117" ht="14.25" customFormat="1" customHeight="1" s="815">
      <c r="A117" s="2013" t="n"/>
      <c r="B117" s="11602" t="n"/>
      <c r="C117" s="2917" t="n"/>
      <c r="D117" s="8650" t="n"/>
      <c r="E117" s="8650" t="n"/>
      <c r="F117" s="11602" t="n"/>
      <c r="G117" s="11602" t="n"/>
      <c r="H117" s="11602" t="n"/>
      <c r="I117" s="11602" t="n"/>
      <c r="J117" s="11602" t="n"/>
      <c r="K117" s="512" t="n"/>
      <c r="L117" s="512" t="n"/>
      <c r="M117" s="512" t="n"/>
      <c r="N117" s="512" t="n"/>
      <c r="O117" s="512" t="n"/>
      <c r="P117" s="512" t="n"/>
      <c r="Q117" s="11602" t="n"/>
      <c r="R117" s="11602" t="n"/>
      <c r="S117" s="11602" t="n"/>
      <c r="T117" s="11602" t="n"/>
      <c r="U117" s="11602" t="n"/>
      <c r="V117" s="11602" t="n"/>
      <c r="W117" s="11602" t="n"/>
      <c r="X117" s="11602" t="n"/>
      <c r="Y117" s="11602" t="n"/>
      <c r="Z117" s="11602" t="n"/>
      <c r="AA117" s="11602" t="n"/>
      <c r="AB117" s="11602" t="n"/>
      <c r="AC117" s="11602" t="n"/>
      <c r="AD117" s="5743" t="n"/>
      <c r="AE117" s="11602" t="n"/>
      <c r="AF117" s="11602" t="n"/>
      <c r="AG117" s="11602" t="n"/>
      <c r="AH117" s="11602" t="n"/>
      <c r="AI117" s="11602" t="n"/>
      <c r="AJ117" s="11602" t="n"/>
      <c r="AK117" s="2013" t="n"/>
      <c r="AL117" s="9234" t="n"/>
      <c r="AM117" s="11602" t="n"/>
      <c r="AN117" s="11602" t="n"/>
      <c r="AO117" s="2013" t="n"/>
      <c r="AP117" s="11602" t="n"/>
      <c r="AQ117" s="1193" t="n">
        <v>2326</v>
      </c>
      <c r="AR117" s="658" t="n"/>
      <c r="AS117" s="658" t="n"/>
      <c r="AT117" s="658" t="n"/>
      <c r="AU117" s="658" t="n"/>
      <c r="AV117" s="658" t="n"/>
      <c r="AW117" s="658" t="n"/>
      <c r="AX117" s="658" t="n"/>
      <c r="AY117" s="658" t="n"/>
      <c r="AZ117" s="658" t="n"/>
      <c r="BA117" s="658" t="n"/>
    </row>
    <row r="118" ht="15.75" customFormat="1" customHeight="1" s="815">
      <c r="A118" s="2013" t="n"/>
      <c r="B118" s="11602" t="n"/>
      <c r="C118" s="2917" t="n">
        <v>12</v>
      </c>
      <c r="D118" s="7772" t="inlineStr">
        <is>
          <t>Minimum tax foreign tax credit on exclusion items (see instructions)</t>
        </is>
      </c>
      <c r="E118" s="11602" t="n"/>
      <c r="F118" s="8650" t="n"/>
      <c r="G118" s="8650" t="n"/>
      <c r="H118" s="11602" t="n"/>
      <c r="I118" s="11602" t="n"/>
      <c r="J118" s="11602" t="n"/>
      <c r="K118" s="11602" t="n"/>
      <c r="L118" s="11602" t="n"/>
      <c r="M118" s="11602" t="n"/>
      <c r="N118" s="11602" t="n"/>
      <c r="O118" s="11602" t="n"/>
      <c r="P118" s="11602" t="n"/>
      <c r="Q118" s="11602" t="n"/>
      <c r="R118" s="11602" t="n"/>
      <c r="S118" s="11602" t="n"/>
      <c r="T118" s="11602" t="n"/>
      <c r="U118" s="11602" t="n"/>
      <c r="V118" s="11602" t="n"/>
      <c r="W118" s="11602" t="n"/>
      <c r="X118" s="11602" t="n"/>
      <c r="Y118" s="11602" t="n"/>
      <c r="Z118" s="11602" t="n"/>
      <c r="AA118" s="11602" t="n"/>
      <c r="AB118" s="11602" t="n"/>
      <c r="AC118" s="1657" t="inlineStr">
        <is>
          <t xml:space="preserve">.   .   .   .   .   .   .   .   .   .   .   .   . </t>
        </is>
      </c>
      <c r="AD118" s="8389" t="n">
        <v>12</v>
      </c>
      <c r="AE118" s="10908" t="n"/>
      <c r="AF118" s="11717" t="n"/>
      <c r="AG118" s="11717" t="n"/>
      <c r="AH118" s="11717" t="n"/>
      <c r="AI118" s="11717" t="n"/>
      <c r="AJ118" s="11717" t="n"/>
      <c r="AK118" s="2013" t="n"/>
      <c r="AL118" s="11602" t="n"/>
      <c r="AM118" s="11602" t="n"/>
      <c r="AN118" s="11602" t="n"/>
      <c r="AO118" s="2013" t="n"/>
      <c r="AP118" s="11602" t="n"/>
      <c r="AQ118" s="11602" t="n">
        <v>0.28</v>
      </c>
      <c r="AR118" s="658" t="n"/>
      <c r="AS118" s="658" t="n"/>
      <c r="AT118" s="658" t="n"/>
      <c r="AU118" s="658" t="n"/>
      <c r="AV118" s="658" t="n"/>
      <c r="AW118" s="658" t="n"/>
      <c r="AX118" s="658" t="n"/>
      <c r="AY118" s="658" t="n"/>
      <c r="AZ118" s="658" t="n"/>
      <c r="BA118" s="658" t="n"/>
    </row>
    <row r="119" ht="14.25" customFormat="1" customHeight="1" s="815">
      <c r="A119" s="2013" t="n"/>
      <c r="B119" s="11602" t="n"/>
      <c r="C119" s="2917" t="n"/>
      <c r="D119" s="8650" t="n"/>
      <c r="E119" s="8650" t="n"/>
      <c r="F119" s="11602" t="n"/>
      <c r="G119" s="11602" t="n"/>
      <c r="H119" s="11602" t="n"/>
      <c r="I119" s="11602" t="n"/>
      <c r="J119" s="11602" t="n"/>
      <c r="K119" s="512" t="n"/>
      <c r="L119" s="512" t="n"/>
      <c r="M119" s="512" t="n"/>
      <c r="N119" s="512" t="n"/>
      <c r="O119" s="512" t="n"/>
      <c r="P119" s="512" t="n"/>
      <c r="Q119" s="11602" t="n"/>
      <c r="R119" s="11602" t="n"/>
      <c r="S119" s="11602" t="n"/>
      <c r="T119" s="11602" t="n"/>
      <c r="U119" s="11602" t="n"/>
      <c r="V119" s="11602" t="n"/>
      <c r="W119" s="11602" t="n"/>
      <c r="X119" s="11602" t="n"/>
      <c r="Y119" s="11602" t="n"/>
      <c r="Z119" s="11602" t="n"/>
      <c r="AA119" s="11602" t="n"/>
      <c r="AB119" s="11602" t="n"/>
      <c r="AC119" s="11602" t="n"/>
      <c r="AD119" s="4452" t="n"/>
      <c r="AE119" s="10894" t="n"/>
      <c r="AF119" s="26" t="n"/>
      <c r="AG119" s="26" t="n"/>
      <c r="AH119" s="26" t="n"/>
      <c r="AI119" s="26" t="n"/>
      <c r="AJ119" s="26" t="n"/>
      <c r="AK119" s="2013" t="n"/>
      <c r="AL119" s="9234" t="n"/>
      <c r="AM119" s="11602" t="n"/>
      <c r="AN119" s="11602" t="n"/>
      <c r="AO119" s="2013" t="n"/>
      <c r="AP119" s="11602" t="n"/>
      <c r="AQ119" s="1193">
        <f>IF(AE103="",0,IF(AND($AQ$83=3&lt;&gt;"",AE103&lt;=$AQ$114),ROUND(AE103*$AQ$115,0),IF(AE103&lt;=$AQ$113,ROUND(AE103*$AQ$115,0),IF($AQ$83=3,SUM(ROUND(AE103*$AQ$118,0),-$AQ$117),SUM(ROUND(AE103*$AQ$118,0)-$AQ$116)))))</f>
        <v/>
      </c>
      <c r="AR119" s="658" t="n"/>
      <c r="AS119" s="658" t="n"/>
      <c r="AT119" s="658" t="n"/>
      <c r="AU119" s="658" t="n"/>
      <c r="AV119" s="658" t="n"/>
      <c r="AW119" s="658" t="n"/>
      <c r="AX119" s="658" t="n"/>
      <c r="AY119" s="658" t="n"/>
      <c r="AZ119" s="658" t="n"/>
      <c r="BA119" s="658" t="n"/>
    </row>
    <row r="120" ht="15.75" customFormat="1" customHeight="1" s="815">
      <c r="A120" s="2013" t="n"/>
      <c r="B120" s="11602" t="n"/>
      <c r="C120" s="2917" t="n">
        <v>13</v>
      </c>
      <c r="D120" s="7772" t="inlineStr">
        <is>
          <t>Tentative minimum tax on exclusion items. Subtract line 12 from line 11</t>
        </is>
      </c>
      <c r="E120" s="11602" t="n"/>
      <c r="F120" s="8650" t="n"/>
      <c r="G120" s="8650" t="n"/>
      <c r="H120" s="11602" t="n"/>
      <c r="I120" s="11602" t="n"/>
      <c r="J120" s="11602" t="n"/>
      <c r="K120" s="11602" t="n"/>
      <c r="L120" s="11602" t="n"/>
      <c r="M120" s="11602" t="n"/>
      <c r="N120" s="11602" t="n"/>
      <c r="O120" s="11602" t="n"/>
      <c r="P120" s="11602" t="n"/>
      <c r="Q120" s="11602" t="n"/>
      <c r="R120" s="11602" t="n"/>
      <c r="S120" s="11602" t="n"/>
      <c r="T120" s="11602" t="n"/>
      <c r="U120" s="11602" t="n"/>
      <c r="V120" s="11602" t="n"/>
      <c r="W120" s="11602" t="n"/>
      <c r="X120" s="11602" t="n"/>
      <c r="Y120" s="11602" t="n"/>
      <c r="Z120" s="11602" t="n"/>
      <c r="AA120" s="11602" t="n"/>
      <c r="AB120" s="11602" t="n"/>
      <c r="AC120" s="1657" t="inlineStr">
        <is>
          <t xml:space="preserve">.   .   .   .   .   .   .   .   .   .   .   .   . </t>
        </is>
      </c>
      <c r="AD120" s="8389" t="n">
        <v>13</v>
      </c>
      <c r="AE120" s="10889">
        <f>IF(OR(AQ103,$AE$110),"",SUM(AE111,-AE118))</f>
        <v/>
      </c>
      <c r="AF120" s="7637" t="n"/>
      <c r="AG120" s="7637" t="n"/>
      <c r="AH120" s="7637" t="n"/>
      <c r="AI120" s="7637" t="n"/>
      <c r="AJ120" s="7637" t="n"/>
      <c r="AK120" s="2013" t="n"/>
      <c r="AL120" s="9234" t="n"/>
      <c r="AM120" s="11602" t="n"/>
      <c r="AN120" s="11602" t="n"/>
      <c r="AO120" s="2013" t="n"/>
      <c r="AP120" s="11602" t="n"/>
      <c r="AQ120" s="11602" t="n"/>
      <c r="AR120" s="658" t="n"/>
      <c r="AS120" s="658" t="n"/>
      <c r="AT120" s="658" t="n"/>
      <c r="AU120" s="658" t="n"/>
      <c r="AV120" s="658" t="n"/>
      <c r="AW120" s="658" t="n"/>
      <c r="AX120" s="658" t="n"/>
      <c r="AY120" s="658" t="n"/>
      <c r="AZ120" s="658" t="n"/>
      <c r="BA120" s="658" t="n"/>
    </row>
    <row r="121" ht="14.25" customFormat="1" customHeight="1" s="815" thickBot="1">
      <c r="A121" s="2013" t="n"/>
      <c r="B121" s="11602" t="n"/>
      <c r="C121" s="2917" t="n"/>
      <c r="D121" s="8650" t="n"/>
      <c r="E121" s="8650" t="n"/>
      <c r="F121" s="11602" t="n"/>
      <c r="G121" s="11602" t="n"/>
      <c r="H121" s="11602" t="n"/>
      <c r="I121" s="11602" t="n"/>
      <c r="J121" s="11602" t="n"/>
      <c r="K121" s="512" t="n"/>
      <c r="L121" s="512" t="n"/>
      <c r="M121" s="512" t="n"/>
      <c r="N121" s="512" t="n"/>
      <c r="O121" s="512" t="n"/>
      <c r="P121" s="512" t="n"/>
      <c r="Q121" s="11602" t="n"/>
      <c r="R121" s="11602" t="n"/>
      <c r="S121" s="11602" t="n"/>
      <c r="T121" s="11602" t="n"/>
      <c r="U121" s="11602" t="n"/>
      <c r="V121" s="11602" t="n"/>
      <c r="W121" s="11602" t="n"/>
      <c r="X121" s="11602" t="n"/>
      <c r="Y121" s="11602" t="n"/>
      <c r="Z121" s="11602" t="n"/>
      <c r="AA121" s="11602" t="n"/>
      <c r="AB121" s="11602" t="n"/>
      <c r="AC121" s="11602" t="n"/>
      <c r="AD121" s="4452" t="n"/>
      <c r="AE121" s="11602" t="n"/>
      <c r="AF121" s="11602" t="n"/>
      <c r="AG121" s="11602" t="n"/>
      <c r="AH121" s="11602" t="n"/>
      <c r="AI121" s="11602" t="n"/>
      <c r="AJ121" s="11602" t="n"/>
      <c r="AK121" s="2013" t="n"/>
      <c r="AL121" s="9234" t="n"/>
      <c r="AM121" s="11602" t="n"/>
      <c r="AN121" s="11602" t="n"/>
      <c r="AO121" s="2013" t="n"/>
      <c r="AP121" s="11602" t="n"/>
      <c r="AQ121" s="11602" t="n"/>
      <c r="AR121" s="658" t="n"/>
      <c r="AS121" s="658" t="n"/>
      <c r="AT121" s="658" t="n"/>
      <c r="AU121" s="658" t="n"/>
      <c r="AV121" s="658" t="n"/>
      <c r="AW121" s="658" t="n"/>
      <c r="AX121" s="658" t="n"/>
      <c r="AY121" s="658" t="n"/>
      <c r="AZ121" s="658" t="n"/>
      <c r="BA121" s="658" t="n"/>
    </row>
    <row r="122" ht="16.5" customFormat="1" customHeight="1" s="815" thickBot="1">
      <c r="A122" s="2013" t="n"/>
      <c r="B122" s="11602" t="n"/>
      <c r="C122" s="2917" t="n">
        <v>14</v>
      </c>
      <c r="D122" s="7772">
        <f>"Enter the amount from your "&amp;LastYear&amp;" Form 6251, line 10, or "&amp;LastYear&amp;" Schedule I (Form 1041), line 53"</f>
        <v/>
      </c>
      <c r="E122" s="11602" t="n"/>
      <c r="F122" s="8650" t="n"/>
      <c r="G122" s="8650" t="n"/>
      <c r="H122" s="11602" t="n"/>
      <c r="I122" s="11602" t="n"/>
      <c r="J122" s="11602" t="n"/>
      <c r="K122" s="11602" t="n"/>
      <c r="L122" s="11602" t="n"/>
      <c r="M122" s="11602" t="n"/>
      <c r="N122" s="11602" t="n"/>
      <c r="O122" s="11602" t="n"/>
      <c r="P122" s="11602" t="n"/>
      <c r="Q122" s="11602" t="n"/>
      <c r="R122" s="11602" t="n"/>
      <c r="S122" s="11602" t="n"/>
      <c r="T122" s="11602" t="n"/>
      <c r="U122" s="11602" t="n"/>
      <c r="V122" s="11602" t="n"/>
      <c r="W122" s="11602" t="n"/>
      <c r="X122" s="11602" t="n"/>
      <c r="Y122" s="11602" t="n"/>
      <c r="Z122" s="11602" t="n"/>
      <c r="AA122" s="11602" t="n"/>
      <c r="AB122" s="11602" t="n"/>
      <c r="AC122" s="1657" t="inlineStr">
        <is>
          <t xml:space="preserve">.   .   .   . </t>
        </is>
      </c>
      <c r="AD122" s="8389" t="n">
        <v>14</v>
      </c>
      <c r="AE122" s="10889">
        <f>IF(AM122&lt;&gt;"",ROUND(AM122,0),IF(AE120="","",$AQ$15))</f>
        <v/>
      </c>
      <c r="AF122" s="7637" t="n"/>
      <c r="AG122" s="7637" t="n"/>
      <c r="AH122" s="7637" t="n"/>
      <c r="AI122" s="7637" t="n"/>
      <c r="AJ122" s="7637" t="n"/>
      <c r="AK122" s="2013" t="n"/>
      <c r="AL122" s="9234" t="n"/>
      <c r="AM122" s="5719" t="n"/>
      <c r="AN122" s="11602" t="n"/>
      <c r="AO122" s="2013" t="n"/>
      <c r="AP122" s="11602" t="n"/>
      <c r="AQ122" s="11602">
        <f>IF(AE122&lt;&gt;"",AE122,0)</f>
        <v/>
      </c>
      <c r="AR122" s="658" t="n"/>
      <c r="AS122" s="658" t="n"/>
      <c r="AT122" s="658" t="n"/>
      <c r="AU122" s="658" t="n"/>
      <c r="AV122" s="658" t="n"/>
      <c r="AW122" s="658" t="n"/>
      <c r="AX122" s="658" t="n"/>
      <c r="AY122" s="658" t="n"/>
      <c r="AZ122" s="658" t="n"/>
      <c r="BA122" s="658" t="n"/>
    </row>
    <row r="123" ht="14.25" customFormat="1" customHeight="1" s="815" thickBot="1">
      <c r="A123" s="2013" t="n"/>
      <c r="B123" s="11602" t="n"/>
      <c r="C123" s="2917" t="n"/>
      <c r="D123" s="8650" t="n"/>
      <c r="E123" s="8650" t="n"/>
      <c r="F123" s="11602" t="n"/>
      <c r="G123" s="11602" t="n"/>
      <c r="H123" s="11602" t="n"/>
      <c r="I123" s="11602" t="n"/>
      <c r="J123" s="11602" t="n"/>
      <c r="K123" s="512" t="n"/>
      <c r="L123" s="512" t="n"/>
      <c r="M123" s="512" t="n"/>
      <c r="N123" s="512" t="n"/>
      <c r="O123" s="512" t="n"/>
      <c r="P123" s="512" t="n"/>
      <c r="Q123" s="11602" t="n"/>
      <c r="R123" s="11602" t="n"/>
      <c r="S123" s="11602" t="n"/>
      <c r="T123" s="11602" t="n"/>
      <c r="U123" s="11602" t="n"/>
      <c r="V123" s="11602" t="n"/>
      <c r="W123" s="11602" t="n"/>
      <c r="X123" s="11602" t="n"/>
      <c r="Y123" s="11602" t="n"/>
      <c r="Z123" s="11602" t="n"/>
      <c r="AA123" s="11602" t="n"/>
      <c r="AB123" s="11602" t="n"/>
      <c r="AC123" s="11602" t="n"/>
      <c r="AD123" s="4452" t="n"/>
      <c r="AE123" s="11602" t="n"/>
      <c r="AF123" s="11602" t="n"/>
      <c r="AG123" s="11602" t="n"/>
      <c r="AH123" s="11602" t="n"/>
      <c r="AI123" s="11602" t="n"/>
      <c r="AJ123" s="11602" t="n"/>
      <c r="AK123" s="2013" t="n"/>
      <c r="AL123" s="9234" t="n"/>
      <c r="AM123" s="11602" t="n"/>
      <c r="AN123" s="11602" t="n"/>
      <c r="AO123" s="2013" t="n"/>
      <c r="AP123" s="11602" t="n"/>
      <c r="AQ123" s="11602" t="n"/>
      <c r="AR123" s="658" t="n"/>
      <c r="AS123" s="658" t="n"/>
      <c r="AT123" s="658" t="n"/>
      <c r="AU123" s="658" t="n"/>
      <c r="AV123" s="658" t="n"/>
      <c r="AW123" s="658" t="n"/>
      <c r="AX123" s="658" t="n"/>
      <c r="AY123" s="658" t="n"/>
      <c r="AZ123" s="658" t="n"/>
      <c r="BA123" s="658" t="n"/>
    </row>
    <row r="124" ht="16.5" customFormat="1" customHeight="1" s="815" thickBot="1">
      <c r="A124" s="2013" t="n"/>
      <c r="B124" s="11602" t="n"/>
      <c r="C124" s="2917" t="n">
        <v>15</v>
      </c>
      <c r="D124" s="514" t="inlineStr">
        <is>
          <t>Net minimum tax on exclusion items.</t>
        </is>
      </c>
      <c r="E124" s="11602" t="n"/>
      <c r="F124" s="8650" t="n"/>
      <c r="G124" s="8650" t="n"/>
      <c r="H124" s="11602" t="n"/>
      <c r="I124" s="11602" t="n"/>
      <c r="J124" s="11602" t="n"/>
      <c r="K124" s="11602" t="n"/>
      <c r="L124" s="11602" t="n"/>
      <c r="M124" s="11602" t="n"/>
      <c r="N124" s="7772" t="inlineStr">
        <is>
          <t xml:space="preserve">Subtract line 14 from line 13. If zero or less, enter -0- </t>
        </is>
      </c>
      <c r="O124" s="11602" t="n"/>
      <c r="P124" s="11602" t="n"/>
      <c r="Q124" s="11602" t="n"/>
      <c r="R124" s="11602" t="n"/>
      <c r="S124" s="11602" t="n"/>
      <c r="T124" s="11602" t="n"/>
      <c r="U124" s="11602" t="n"/>
      <c r="V124" s="11602" t="n"/>
      <c r="W124" s="11602" t="n"/>
      <c r="X124" s="11602" t="n"/>
      <c r="Y124" s="11602" t="n"/>
      <c r="Z124" s="11602" t="n"/>
      <c r="AA124" s="11602" t="n"/>
      <c r="AB124" s="11602" t="n"/>
      <c r="AC124" s="1657" t="inlineStr">
        <is>
          <t xml:space="preserve">.   .   . </t>
        </is>
      </c>
      <c r="AD124" s="8389" t="n">
        <v>15</v>
      </c>
      <c r="AE124" s="10889">
        <f>IF(AM124&lt;&gt;"",ROUND(AM124,0),IF($AE$110,"",MAX(0,SUM(AE120,-AQ122))))</f>
        <v/>
      </c>
      <c r="AF124" s="7637" t="n"/>
      <c r="AG124" s="7637" t="n"/>
      <c r="AH124" s="7637" t="n"/>
      <c r="AI124" s="7637" t="n"/>
      <c r="AJ124" s="7637" t="n"/>
      <c r="AK124" s="2013" t="n"/>
      <c r="AL124" s="9234" t="n"/>
      <c r="AM124" s="5719" t="n"/>
      <c r="AN124" s="1806" t="n"/>
      <c r="AO124" s="2013" t="n"/>
      <c r="AP124" s="11602" t="n"/>
      <c r="AQ124" s="11602" t="n"/>
      <c r="AR124" s="658" t="n"/>
      <c r="AS124" s="658" t="n"/>
      <c r="AT124" s="658" t="n"/>
      <c r="AU124" s="658" t="n"/>
      <c r="AV124" s="658" t="n"/>
      <c r="AW124" s="658" t="n"/>
      <c r="AX124" s="658" t="n"/>
      <c r="AY124" s="658" t="n"/>
      <c r="AZ124" s="658" t="n"/>
      <c r="BA124" s="658" t="n"/>
    </row>
    <row r="125" ht="15.75" customFormat="1" customHeight="1" s="815">
      <c r="A125" s="2013" t="n"/>
      <c r="B125" s="3889" t="inlineStr">
        <is>
          <t>For Paperwork Reduction Act Notice, see instructions.</t>
        </is>
      </c>
      <c r="C125" s="4483" t="n"/>
      <c r="D125" s="2344" t="n"/>
      <c r="E125" s="2344" t="n"/>
      <c r="F125" s="2344" t="n"/>
      <c r="G125" s="2344" t="n"/>
      <c r="H125" s="2344" t="n"/>
      <c r="I125" s="2344" t="n"/>
      <c r="J125" s="2344" t="n"/>
      <c r="K125" s="2344" t="n"/>
      <c r="L125" s="2344" t="n"/>
      <c r="M125" s="2344" t="n"/>
      <c r="N125" s="2344" t="n"/>
      <c r="O125" s="2344" t="n"/>
      <c r="P125" s="2344" t="n"/>
      <c r="Q125" s="89" t="n"/>
      <c r="R125" s="3890" t="inlineStr">
        <is>
          <t xml:space="preserve">Cat. No. 10002S </t>
        </is>
      </c>
      <c r="S125" s="89" t="n"/>
      <c r="T125" s="89" t="n"/>
      <c r="U125" s="3890" t="n"/>
      <c r="V125" s="89" t="n"/>
      <c r="W125" s="3890" t="n"/>
      <c r="X125" s="89" t="n"/>
      <c r="Y125" s="89" t="n"/>
      <c r="Z125" s="89" t="n"/>
      <c r="AA125" s="89" t="n"/>
      <c r="AB125" s="89" t="n"/>
      <c r="AC125" s="2345" t="inlineStr">
        <is>
          <t>Form 8801</t>
        </is>
      </c>
      <c r="AD125" s="89" t="n"/>
      <c r="AE125" s="2345" t="n"/>
      <c r="AF125" s="89" t="n"/>
      <c r="AG125" s="89" t="n"/>
      <c r="AH125" s="2345" t="n"/>
      <c r="AI125" s="89" t="n"/>
      <c r="AJ125" s="2345">
        <f>"("&amp;TaxYear&amp;") Created 11/12/25"</f>
        <v/>
      </c>
      <c r="AK125" s="2013" t="n"/>
      <c r="AL125" s="11602" t="n"/>
      <c r="AM125" s="11602" t="n"/>
      <c r="AN125" s="11602" t="n"/>
      <c r="AO125" s="2013" t="n"/>
      <c r="AP125" s="11602" t="n"/>
      <c r="AQ125" s="11602" t="n"/>
      <c r="AR125" s="658" t="n"/>
      <c r="AS125" s="658" t="n"/>
      <c r="AT125" s="658" t="n"/>
      <c r="AU125" s="658" t="n"/>
      <c r="AV125" s="658" t="n"/>
      <c r="AW125" s="658" t="n"/>
      <c r="AX125" s="658" t="n"/>
      <c r="AY125" s="658" t="n"/>
      <c r="AZ125" s="658" t="n"/>
      <c r="BA125" s="658" t="n"/>
    </row>
    <row r="126" ht="18" customFormat="1" customHeight="1" s="815" thickBot="1">
      <c r="A126" s="2013" t="n"/>
      <c r="B126" s="721">
        <f>"Form 8801 ("&amp;TaxYear&amp;")"</f>
        <v/>
      </c>
      <c r="C126" s="4484" t="n"/>
      <c r="D126" s="721" t="n"/>
      <c r="E126" s="721" t="n"/>
      <c r="F126" s="721" t="n"/>
      <c r="G126" s="721" t="n"/>
      <c r="H126" s="721" t="n"/>
      <c r="I126" s="721" t="n"/>
      <c r="J126" s="721" t="n"/>
      <c r="K126" s="721" t="n"/>
      <c r="L126" s="721" t="n"/>
      <c r="M126" s="721" t="n"/>
      <c r="N126" s="721" t="n"/>
      <c r="O126" s="721" t="n"/>
      <c r="P126" s="721" t="n"/>
      <c r="Q126" s="721" t="n"/>
      <c r="R126" s="721" t="n"/>
      <c r="S126" s="721" t="n"/>
      <c r="T126" s="721" t="n"/>
      <c r="U126" s="721" t="n"/>
      <c r="V126" s="721" t="n"/>
      <c r="W126" s="721" t="n"/>
      <c r="X126" s="721" t="n"/>
      <c r="Y126" s="721" t="n"/>
      <c r="Z126" s="721" t="n"/>
      <c r="AA126" s="721" t="n"/>
      <c r="AB126" s="721" t="n"/>
      <c r="AC126" s="721" t="n"/>
      <c r="AD126" s="721" t="n"/>
      <c r="AE126" s="721" t="n"/>
      <c r="AF126" s="721" t="n"/>
      <c r="AG126" s="721" t="n"/>
      <c r="AH126" s="721" t="n"/>
      <c r="AI126" s="2053" t="inlineStr">
        <is>
          <t>Page</t>
        </is>
      </c>
      <c r="AJ126" s="2054" t="n">
        <v>2</v>
      </c>
      <c r="AK126" s="2013" t="n"/>
      <c r="AL126" s="11602" t="n"/>
      <c r="AM126" s="11602" t="n"/>
      <c r="AN126" s="11602" t="n"/>
      <c r="AO126" s="2013" t="n"/>
      <c r="AP126" s="11602" t="n"/>
      <c r="AQ126" s="11602" t="n"/>
      <c r="AR126" s="658" t="n"/>
      <c r="AS126" s="658" t="n"/>
      <c r="AT126" s="658" t="n"/>
      <c r="AU126" s="658" t="n"/>
      <c r="AV126" s="658" t="n"/>
      <c r="AW126" s="658" t="n"/>
      <c r="AX126" s="658" t="n"/>
      <c r="AY126" s="658" t="n"/>
      <c r="AZ126" s="658" t="n"/>
      <c r="BA126" s="658" t="n"/>
    </row>
    <row r="127" ht="19.5" customFormat="1" customHeight="1" s="815" thickTop="1">
      <c r="A127" s="2013" t="n"/>
      <c r="B127" s="10872" t="inlineStr">
        <is>
          <t>Part II</t>
        </is>
      </c>
      <c r="C127" s="9668" t="n"/>
      <c r="D127" s="5701" t="n"/>
      <c r="E127" s="5701">
        <f>"Minimum Tax Credit and Carryforward to "&amp;NextYear</f>
        <v/>
      </c>
      <c r="F127" s="5045" t="n"/>
      <c r="G127" s="5045" t="n"/>
      <c r="H127" s="5045" t="n"/>
      <c r="I127" s="5045" t="n"/>
      <c r="J127" s="5045" t="n"/>
      <c r="K127" s="5045" t="n"/>
      <c r="L127" s="5045" t="n"/>
      <c r="M127" s="5045" t="n"/>
      <c r="N127" s="5045" t="n"/>
      <c r="O127" s="5045" t="n"/>
      <c r="P127" s="5045" t="n"/>
      <c r="Q127" s="5045" t="n"/>
      <c r="R127" s="5045" t="n"/>
      <c r="S127" s="5045" t="n"/>
      <c r="T127" s="5045" t="n"/>
      <c r="U127" s="5045" t="n"/>
      <c r="V127" s="5045" t="n"/>
      <c r="W127" s="5045" t="n"/>
      <c r="X127" s="5045" t="n"/>
      <c r="Y127" s="5045" t="n"/>
      <c r="Z127" s="5045" t="n"/>
      <c r="AA127" s="5045" t="n"/>
      <c r="AB127" s="5045" t="n"/>
      <c r="AC127" s="5045" t="n"/>
      <c r="AD127" s="5045" t="n"/>
      <c r="AE127" s="5045" t="n"/>
      <c r="AF127" s="5045" t="n"/>
      <c r="AG127" s="5045" t="n"/>
      <c r="AH127" s="5045" t="n"/>
      <c r="AI127" s="5045" t="n"/>
      <c r="AJ127" s="5045" t="n"/>
      <c r="AK127" s="2013" t="n"/>
      <c r="AL127" s="11602" t="n"/>
      <c r="AM127" s="226" t="n"/>
      <c r="AN127" s="226" t="n"/>
      <c r="AO127" s="2013" t="n"/>
      <c r="AP127" s="11602" t="n"/>
      <c r="AQ127" s="11602" t="n"/>
      <c r="AR127" s="658" t="n"/>
      <c r="AS127" s="658" t="n"/>
      <c r="AT127" s="658" t="n"/>
      <c r="AU127" s="658" t="n"/>
      <c r="AV127" s="658" t="n"/>
      <c r="AW127" s="658" t="n"/>
      <c r="AX127" s="658" t="n"/>
      <c r="AY127" s="658" t="n"/>
      <c r="AZ127" s="658" t="n"/>
      <c r="BA127" s="658" t="n"/>
    </row>
    <row r="128" ht="15" customFormat="1" customHeight="1" s="815">
      <c r="A128" s="2013" t="n"/>
      <c r="B128" s="11602" t="n"/>
      <c r="C128" s="11216" t="n"/>
      <c r="D128" s="7772" t="n"/>
      <c r="E128" s="11602" t="n"/>
      <c r="F128" s="11602" t="n"/>
      <c r="G128" s="11602" t="n"/>
      <c r="H128" s="11602" t="n"/>
      <c r="I128" s="11602" t="n"/>
      <c r="J128" s="11602" t="n"/>
      <c r="K128" s="11602" t="n"/>
      <c r="L128" s="11602" t="n"/>
      <c r="M128" s="11602" t="n"/>
      <c r="N128" s="11602" t="n"/>
      <c r="O128" s="11602" t="n"/>
      <c r="P128" s="11602" t="n"/>
      <c r="Q128" s="11602" t="n"/>
      <c r="R128" s="11602" t="n"/>
      <c r="S128" s="11602" t="n"/>
      <c r="T128" s="11602" t="n"/>
      <c r="U128" s="11602" t="n"/>
      <c r="V128" s="11602" t="n"/>
      <c r="W128" s="11602" t="n"/>
      <c r="X128" s="11602" t="n"/>
      <c r="Y128" s="11602" t="n"/>
      <c r="Z128" s="11602" t="n"/>
      <c r="AA128" s="11602" t="n"/>
      <c r="AB128" s="11602" t="n"/>
      <c r="AC128" s="1657" t="n"/>
      <c r="AD128" s="4452" t="n"/>
      <c r="AE128" s="10916">
        <f>AND(AE120,AE121="")</f>
        <v/>
      </c>
      <c r="AF128" s="26" t="n"/>
      <c r="AG128" s="26" t="n"/>
      <c r="AH128" s="26" t="n"/>
      <c r="AI128" s="26" t="n"/>
      <c r="AJ128" s="26" t="n"/>
      <c r="AK128" s="2013" t="n"/>
      <c r="AL128" s="11602" t="n"/>
      <c r="AM128" s="11602" t="n"/>
      <c r="AN128" s="11602" t="n"/>
      <c r="AO128" s="2013" t="n"/>
      <c r="AP128" s="11602" t="n"/>
      <c r="AQ128" s="11602" t="n"/>
      <c r="AR128" s="658" t="n"/>
      <c r="AS128" s="658" t="n"/>
      <c r="AT128" s="658" t="n"/>
      <c r="AU128" s="658" t="n"/>
      <c r="AV128" s="658" t="n"/>
      <c r="AW128" s="658" t="n"/>
      <c r="AX128" s="658" t="n"/>
      <c r="AY128" s="658" t="n"/>
      <c r="AZ128" s="658" t="n"/>
      <c r="BA128" s="658" t="n"/>
    </row>
    <row r="129" ht="15.75" customFormat="1" customHeight="1" s="815">
      <c r="A129" s="2013" t="n"/>
      <c r="B129" s="11602" t="n"/>
      <c r="C129" s="2917" t="n">
        <v>16</v>
      </c>
      <c r="D129" s="7772">
        <f>"Enter the amount from your "&amp;LastYear&amp;" Form 6251, line 11, or "&amp;LastYear&amp;" Schedule I (Form 1041), line 54"</f>
        <v/>
      </c>
      <c r="E129" s="11602" t="n"/>
      <c r="F129" s="8650" t="n"/>
      <c r="G129" s="8650" t="n"/>
      <c r="H129" s="11602" t="n"/>
      <c r="I129" s="11602" t="n"/>
      <c r="J129" s="11602" t="n"/>
      <c r="K129" s="11602" t="n"/>
      <c r="L129" s="11602" t="n"/>
      <c r="M129" s="11602" t="n"/>
      <c r="N129" s="11602" t="n"/>
      <c r="O129" s="11602" t="n"/>
      <c r="P129" s="11602" t="n"/>
      <c r="Q129" s="11602" t="n"/>
      <c r="R129" s="11602" t="n"/>
      <c r="S129" s="11602" t="n"/>
      <c r="T129" s="11602" t="n"/>
      <c r="U129" s="11602" t="n"/>
      <c r="V129" s="11602" t="n"/>
      <c r="W129" s="11602" t="n"/>
      <c r="X129" s="11602" t="n"/>
      <c r="Y129" s="11602" t="n"/>
      <c r="Z129" s="11602" t="n"/>
      <c r="AA129" s="11602" t="n"/>
      <c r="AB129" s="11602" t="n"/>
      <c r="AC129" s="1657" t="inlineStr">
        <is>
          <t xml:space="preserve">.   .   .   . </t>
        </is>
      </c>
      <c r="AD129" s="8389" t="n">
        <v>16</v>
      </c>
      <c r="AE129" s="10889">
        <f>IF(AE124="","",AQ17)</f>
        <v/>
      </c>
      <c r="AF129" s="7637" t="n"/>
      <c r="AG129" s="7637" t="n"/>
      <c r="AH129" s="7637" t="n"/>
      <c r="AI129" s="7637" t="n"/>
      <c r="AJ129" s="7637" t="n"/>
      <c r="AK129" s="2013" t="n"/>
      <c r="AL129" s="11602" t="n"/>
      <c r="AM129" s="11602" t="n"/>
      <c r="AN129" s="11602" t="n"/>
      <c r="AO129" s="2013" t="n"/>
      <c r="AP129" s="11602" t="n"/>
      <c r="AQ129" s="11602">
        <f>IF(AE129&lt;&gt;"",AE129,0)</f>
        <v/>
      </c>
      <c r="AR129" s="658" t="n"/>
      <c r="AS129" s="658" t="n"/>
      <c r="AT129" s="658" t="n"/>
      <c r="AU129" s="658" t="n"/>
      <c r="AV129" s="658" t="n"/>
      <c r="AW129" s="658" t="n"/>
      <c r="AX129" s="658" t="n"/>
      <c r="AY129" s="658" t="n"/>
      <c r="AZ129" s="658" t="n"/>
      <c r="BA129" s="658" t="n"/>
    </row>
    <row r="130" ht="15" customFormat="1" customHeight="1" s="815">
      <c r="A130" s="2013" t="n"/>
      <c r="B130" s="11602" t="n"/>
      <c r="C130" s="11216" t="n"/>
      <c r="D130" s="7772" t="n"/>
      <c r="E130" s="11602" t="n"/>
      <c r="F130" s="11602" t="n"/>
      <c r="G130" s="11602" t="n"/>
      <c r="H130" s="11602" t="n"/>
      <c r="I130" s="11602" t="n"/>
      <c r="J130" s="11602" t="n"/>
      <c r="K130" s="11602" t="n"/>
      <c r="L130" s="11602" t="n"/>
      <c r="M130" s="11602" t="n"/>
      <c r="N130" s="11602" t="n"/>
      <c r="O130" s="11602" t="n"/>
      <c r="P130" s="11602" t="n"/>
      <c r="Q130" s="11602" t="n"/>
      <c r="R130" s="11602" t="n"/>
      <c r="S130" s="11602" t="n"/>
      <c r="T130" s="11602" t="n"/>
      <c r="U130" s="11602" t="n"/>
      <c r="V130" s="11602" t="n"/>
      <c r="W130" s="11602" t="n"/>
      <c r="X130" s="11602" t="n"/>
      <c r="Y130" s="11602" t="n"/>
      <c r="Z130" s="11602" t="n"/>
      <c r="AA130" s="11602" t="n"/>
      <c r="AB130" s="11602" t="n"/>
      <c r="AC130" s="1657" t="n"/>
      <c r="AD130" s="4452" t="n"/>
      <c r="AE130" s="10905" t="n"/>
      <c r="AF130" s="12051" t="n"/>
      <c r="AG130" s="12051" t="n"/>
      <c r="AH130" s="12051" t="n"/>
      <c r="AI130" s="12051" t="n"/>
      <c r="AJ130" s="12051" t="n"/>
      <c r="AK130" s="2013" t="n"/>
      <c r="AL130" s="11602" t="n"/>
      <c r="AM130" s="11602" t="n"/>
      <c r="AN130" s="11602" t="n"/>
      <c r="AO130" s="2013" t="n"/>
      <c r="AP130" s="11602" t="n"/>
      <c r="AQ130" s="11602" t="n"/>
      <c r="AR130" s="658" t="n"/>
      <c r="AS130" s="658" t="n"/>
      <c r="AT130" s="658" t="n"/>
      <c r="AU130" s="658" t="n"/>
      <c r="AV130" s="658" t="n"/>
      <c r="AW130" s="658" t="n"/>
      <c r="AX130" s="658" t="n"/>
      <c r="AY130" s="658" t="n"/>
      <c r="AZ130" s="658" t="n"/>
      <c r="BA130" s="658" t="n"/>
    </row>
    <row r="131" ht="15.75" customFormat="1" customHeight="1" s="815">
      <c r="A131" s="2013" t="n"/>
      <c r="B131" s="11602" t="n"/>
      <c r="C131" s="2917" t="n">
        <v>17</v>
      </c>
      <c r="D131" s="7772" t="inlineStr">
        <is>
          <t>Enter the amount from line 15</t>
        </is>
      </c>
      <c r="E131" s="11602" t="n"/>
      <c r="F131" s="8650" t="n"/>
      <c r="G131" s="8650" t="n"/>
      <c r="H131" s="11602" t="n"/>
      <c r="I131" s="11602" t="n"/>
      <c r="J131" s="11602" t="n"/>
      <c r="K131" s="11602" t="n"/>
      <c r="L131" s="11602" t="n"/>
      <c r="M131" s="11602" t="n"/>
      <c r="N131" s="11602" t="n"/>
      <c r="O131" s="11602" t="n"/>
      <c r="P131" s="11602" t="n"/>
      <c r="Q131" s="11602" t="n"/>
      <c r="R131" s="11602" t="n"/>
      <c r="S131" s="11602" t="n"/>
      <c r="T131" s="11602" t="n"/>
      <c r="U131" s="11602" t="n"/>
      <c r="V131" s="11602" t="n"/>
      <c r="W131" s="11602" t="n"/>
      <c r="X131" s="11602" t="n"/>
      <c r="Y131" s="11602" t="n"/>
      <c r="Z131" s="11602" t="n"/>
      <c r="AA131" s="11602" t="n"/>
      <c r="AB131" s="11602" t="n"/>
      <c r="AC131" s="1657" t="inlineStr">
        <is>
          <t xml:space="preserve">.   .   .   .   .   .   .   .   .   .   .   .   .   .   .   .   .   .   .   .   .   .   .   .   .   .   .   .   .   . </t>
        </is>
      </c>
      <c r="AD131" s="8389" t="n">
        <v>17</v>
      </c>
      <c r="AE131" s="10889">
        <f>IF($AE$110,"",AE124)</f>
        <v/>
      </c>
      <c r="AF131" s="7637" t="n"/>
      <c r="AG131" s="7637" t="n"/>
      <c r="AH131" s="7637" t="n"/>
      <c r="AI131" s="7637" t="n"/>
      <c r="AJ131" s="7637" t="n"/>
      <c r="AK131" s="2013" t="n"/>
      <c r="AL131" s="11602" t="n"/>
      <c r="AM131" s="11602" t="n"/>
      <c r="AN131" s="11602" t="n"/>
      <c r="AO131" s="2013" t="n"/>
      <c r="AP131" s="11602" t="n"/>
      <c r="AQ131" s="11602">
        <f>IF(AE131&lt;&gt;"",AE131,0)</f>
        <v/>
      </c>
      <c r="AR131" s="658" t="n"/>
      <c r="AS131" s="658" t="n"/>
      <c r="AT131" s="658" t="n"/>
      <c r="AU131" s="658" t="n"/>
      <c r="AV131" s="658" t="n"/>
      <c r="AW131" s="658" t="n"/>
      <c r="AX131" s="658" t="n"/>
      <c r="AY131" s="658" t="n"/>
      <c r="AZ131" s="658" t="n"/>
      <c r="BA131" s="658" t="n"/>
    </row>
    <row r="132" ht="15" customFormat="1" customHeight="1" s="815">
      <c r="A132" s="2013" t="n"/>
      <c r="B132" s="11602" t="n"/>
      <c r="C132" s="11216" t="n"/>
      <c r="D132" s="7772" t="n"/>
      <c r="E132" s="11602" t="n"/>
      <c r="F132" s="11602" t="n"/>
      <c r="G132" s="11602" t="n"/>
      <c r="H132" s="11602" t="n"/>
      <c r="I132" s="11602" t="n"/>
      <c r="J132" s="11602" t="n"/>
      <c r="K132" s="11602" t="n"/>
      <c r="L132" s="11602" t="n"/>
      <c r="M132" s="11602" t="n"/>
      <c r="N132" s="11602" t="n"/>
      <c r="O132" s="11602" t="n"/>
      <c r="P132" s="11602" t="n"/>
      <c r="Q132" s="11602" t="n"/>
      <c r="R132" s="11602" t="n"/>
      <c r="S132" s="11602" t="n"/>
      <c r="T132" s="11602" t="n"/>
      <c r="U132" s="11602" t="n"/>
      <c r="V132" s="11602" t="n"/>
      <c r="W132" s="11602" t="n"/>
      <c r="X132" s="11602" t="n"/>
      <c r="Y132" s="11602" t="n"/>
      <c r="Z132" s="11602" t="n"/>
      <c r="AA132" s="11602" t="n"/>
      <c r="AB132" s="11602" t="n"/>
      <c r="AC132" s="1657" t="n"/>
      <c r="AD132" s="4452" t="n"/>
      <c r="AE132" s="10905" t="n"/>
      <c r="AF132" s="12051" t="n"/>
      <c r="AG132" s="12051" t="n"/>
      <c r="AH132" s="12051" t="n"/>
      <c r="AI132" s="12051" t="n"/>
      <c r="AJ132" s="12051" t="n"/>
      <c r="AK132" s="2013" t="n"/>
      <c r="AL132" s="11602" t="n"/>
      <c r="AM132" s="11602" t="n"/>
      <c r="AN132" s="11602" t="n"/>
      <c r="AO132" s="2013" t="n"/>
      <c r="AP132" s="11602" t="n"/>
      <c r="AQ132" s="11602" t="n"/>
      <c r="AR132" s="658" t="n"/>
      <c r="AS132" s="658" t="n"/>
      <c r="AT132" s="658" t="n"/>
      <c r="AU132" s="658" t="n"/>
      <c r="AV132" s="658" t="n"/>
      <c r="AW132" s="658" t="n"/>
      <c r="AX132" s="658" t="n"/>
      <c r="AY132" s="658" t="n"/>
      <c r="AZ132" s="658" t="n"/>
      <c r="BA132" s="658" t="n"/>
    </row>
    <row r="133" ht="15.75" customFormat="1" customHeight="1" s="815">
      <c r="A133" s="2013" t="n"/>
      <c r="B133" s="11602" t="n"/>
      <c r="C133" s="2917" t="n">
        <v>18</v>
      </c>
      <c r="D133" s="7772" t="inlineStr">
        <is>
          <t>Subtract line 17 from line 16. If less than zero, enter as a negative amount</t>
        </is>
      </c>
      <c r="E133" s="11602" t="n"/>
      <c r="F133" s="8650" t="n"/>
      <c r="G133" s="8650" t="n"/>
      <c r="H133" s="11602" t="n"/>
      <c r="I133" s="11602" t="n"/>
      <c r="J133" s="11602" t="n"/>
      <c r="K133" s="11602" t="n"/>
      <c r="L133" s="11602" t="n"/>
      <c r="M133" s="11602" t="n"/>
      <c r="N133" s="11602" t="n"/>
      <c r="O133" s="11602" t="n"/>
      <c r="P133" s="11602" t="n"/>
      <c r="Q133" s="11602" t="n"/>
      <c r="R133" s="11602" t="n"/>
      <c r="S133" s="11602" t="n"/>
      <c r="T133" s="11602" t="n"/>
      <c r="U133" s="11602" t="n"/>
      <c r="V133" s="11602" t="n"/>
      <c r="W133" s="11602" t="n"/>
      <c r="X133" s="11602" t="n"/>
      <c r="Y133" s="11602" t="n"/>
      <c r="Z133" s="11602" t="n"/>
      <c r="AA133" s="11602" t="n"/>
      <c r="AB133" s="11602" t="n"/>
      <c r="AC133" s="1657" t="inlineStr">
        <is>
          <t xml:space="preserve">.   .   .   .   .   .   .   .   .   . </t>
        </is>
      </c>
      <c r="AD133" s="8389" t="n">
        <v>18</v>
      </c>
      <c r="AE133" s="10889">
        <f>IF($AE$110,"",SUM(AE129,-AQ131))</f>
        <v/>
      </c>
      <c r="AF133" s="7637" t="n"/>
      <c r="AG133" s="7637" t="n"/>
      <c r="AH133" s="7637" t="n"/>
      <c r="AI133" s="7637" t="n"/>
      <c r="AJ133" s="7637" t="n"/>
      <c r="AK133" s="2013" t="n"/>
      <c r="AL133" s="11602" t="n"/>
      <c r="AM133" s="11602" t="n"/>
      <c r="AN133" s="11602" t="n"/>
      <c r="AO133" s="2013" t="n"/>
      <c r="AP133" s="11602" t="n"/>
      <c r="AQ133" s="11602">
        <f>IF(AE133&lt;&gt;"",AE133,0)</f>
        <v/>
      </c>
      <c r="AR133" s="658" t="n"/>
      <c r="AS133" s="658" t="n"/>
      <c r="AT133" s="658" t="n"/>
      <c r="AU133" s="658" t="n"/>
      <c r="AV133" s="658" t="n"/>
      <c r="AW133" s="658" t="n"/>
      <c r="AX133" s="658" t="n"/>
      <c r="AY133" s="658" t="n"/>
      <c r="AZ133" s="658" t="n"/>
      <c r="BA133" s="658" t="n"/>
    </row>
    <row r="134" ht="15" customFormat="1" customHeight="1" s="815" thickBot="1">
      <c r="A134" s="2013" t="n"/>
      <c r="B134" s="11602" t="n"/>
      <c r="C134" s="11216" t="n"/>
      <c r="D134" s="7772" t="n"/>
      <c r="E134" s="11602" t="n"/>
      <c r="F134" s="11602" t="n"/>
      <c r="G134" s="11602" t="n"/>
      <c r="H134" s="11602" t="n"/>
      <c r="I134" s="11602" t="n"/>
      <c r="J134" s="11602" t="n"/>
      <c r="K134" s="11602" t="n"/>
      <c r="L134" s="11602" t="n"/>
      <c r="M134" s="11602" t="n"/>
      <c r="N134" s="11602" t="n"/>
      <c r="O134" s="11602" t="n"/>
      <c r="P134" s="11602" t="n"/>
      <c r="Q134" s="11602" t="n"/>
      <c r="R134" s="11602" t="n"/>
      <c r="S134" s="11602" t="n"/>
      <c r="T134" s="11602" t="n"/>
      <c r="U134" s="11602" t="n"/>
      <c r="V134" s="11602" t="n"/>
      <c r="W134" s="11602" t="n"/>
      <c r="X134" s="11602" t="n"/>
      <c r="Y134" s="11602" t="n"/>
      <c r="Z134" s="11602" t="n"/>
      <c r="AA134" s="11602" t="n"/>
      <c r="AB134" s="11602" t="n"/>
      <c r="AC134" s="1657" t="n"/>
      <c r="AD134" s="4452" t="n"/>
      <c r="AE134" s="10905" t="n"/>
      <c r="AF134" s="12051" t="n"/>
      <c r="AG134" s="12051" t="n"/>
      <c r="AH134" s="12051" t="n"/>
      <c r="AI134" s="12051" t="n"/>
      <c r="AJ134" s="12051" t="n"/>
      <c r="AK134" s="2013" t="n"/>
      <c r="AL134" s="11602" t="n"/>
      <c r="AM134" s="11602" t="n"/>
      <c r="AN134" s="11602" t="n"/>
      <c r="AO134" s="2013" t="n"/>
      <c r="AP134" s="11602" t="n"/>
      <c r="AQ134" s="11602" t="n"/>
      <c r="AR134" s="658" t="n"/>
      <c r="AS134" s="658" t="n"/>
      <c r="AT134" s="658" t="n"/>
      <c r="AU134" s="658" t="n"/>
      <c r="AV134" s="658" t="n"/>
      <c r="AW134" s="658" t="n"/>
      <c r="AX134" s="658" t="n"/>
      <c r="AY134" s="658" t="n"/>
      <c r="AZ134" s="658" t="n"/>
      <c r="BA134" s="658" t="n"/>
    </row>
    <row r="135" ht="16.5" customFormat="1" customHeight="1" s="815" thickBot="1">
      <c r="A135" s="2013" t="n"/>
      <c r="B135" s="11602" t="n"/>
      <c r="C135" s="2917" t="n">
        <v>19</v>
      </c>
      <c r="D135" s="514">
        <f>LastYear&amp;" credit carryforward."</f>
        <v/>
      </c>
      <c r="E135" s="11602" t="n"/>
      <c r="F135" s="8650" t="n"/>
      <c r="G135" s="8650" t="n"/>
      <c r="H135" s="11602" t="n"/>
      <c r="I135" s="11602" t="n"/>
      <c r="J135" s="11602" t="n"/>
      <c r="K135" s="7772" t="n"/>
      <c r="L135" s="7772">
        <f>"Enter the amount from your "&amp;LastYear&amp;" Form 8801, line 26"</f>
        <v/>
      </c>
      <c r="M135" s="11602" t="n"/>
      <c r="N135" s="11602" t="n"/>
      <c r="O135" s="11602" t="n"/>
      <c r="P135" s="11602" t="n"/>
      <c r="Q135" s="11602" t="n"/>
      <c r="R135" s="11602" t="n"/>
      <c r="S135" s="11602" t="n"/>
      <c r="T135" s="11602" t="n"/>
      <c r="U135" s="11602" t="n"/>
      <c r="V135" s="11602" t="n"/>
      <c r="W135" s="11602" t="n"/>
      <c r="X135" s="11602" t="n"/>
      <c r="Y135" s="11602" t="n"/>
      <c r="Z135" s="11602" t="n"/>
      <c r="AA135" s="11602" t="n"/>
      <c r="AB135" s="11602" t="n"/>
      <c r="AC135" s="1657" t="inlineStr">
        <is>
          <t xml:space="preserve"> .   .   .   .   .   .   .   . </t>
        </is>
      </c>
      <c r="AD135" s="8389" t="n">
        <v>19</v>
      </c>
      <c r="AE135" s="10889">
        <f>IF(AM135&lt;&gt;"",ROUND(AM135,0),IF(AE21="","",AQ21))</f>
        <v/>
      </c>
      <c r="AF135" s="7637" t="n"/>
      <c r="AG135" s="7637" t="n"/>
      <c r="AH135" s="7637" t="n"/>
      <c r="AI135" s="7637" t="n"/>
      <c r="AJ135" s="7637" t="n"/>
      <c r="AK135" s="2013" t="n"/>
      <c r="AL135" s="11602" t="n"/>
      <c r="AM135" s="5719" t="n"/>
      <c r="AN135" s="11602" t="n"/>
      <c r="AO135" s="2013" t="n"/>
      <c r="AP135" s="11602" t="n"/>
      <c r="AQ135" s="11602" t="n"/>
      <c r="AR135" s="658" t="n"/>
      <c r="AS135" s="658" t="n"/>
      <c r="AT135" s="658" t="n"/>
      <c r="AU135" s="658" t="n"/>
      <c r="AV135" s="658" t="n"/>
      <c r="AW135" s="658" t="n"/>
      <c r="AX135" s="658" t="n"/>
      <c r="AY135" s="658" t="n"/>
      <c r="AZ135" s="658" t="n"/>
      <c r="BA135" s="658" t="n"/>
    </row>
    <row r="136" ht="15" customFormat="1" customHeight="1" s="815">
      <c r="A136" s="2013" t="n"/>
      <c r="B136" s="11602" t="n"/>
      <c r="C136" s="11216" t="n"/>
      <c r="D136" s="7772" t="n"/>
      <c r="E136" s="11602" t="n"/>
      <c r="F136" s="11602" t="n"/>
      <c r="G136" s="11602" t="n"/>
      <c r="H136" s="11602" t="n"/>
      <c r="I136" s="11602" t="n"/>
      <c r="J136" s="11602" t="n"/>
      <c r="K136" s="11602" t="n"/>
      <c r="L136" s="11602" t="n"/>
      <c r="M136" s="11602" t="n"/>
      <c r="N136" s="11602" t="n"/>
      <c r="O136" s="11602" t="n"/>
      <c r="P136" s="11602" t="n"/>
      <c r="Q136" s="11602" t="n"/>
      <c r="R136" s="11602" t="n"/>
      <c r="S136" s="11602" t="n"/>
      <c r="T136" s="11602" t="n"/>
      <c r="U136" s="11602" t="n"/>
      <c r="V136" s="11602" t="n"/>
      <c r="W136" s="11602" t="n"/>
      <c r="X136" s="11602" t="n"/>
      <c r="Y136" s="11602" t="n"/>
      <c r="Z136" s="11602" t="n"/>
      <c r="AA136" s="11602" t="n"/>
      <c r="AB136" s="11602" t="n"/>
      <c r="AC136" s="1657" t="n"/>
      <c r="AD136" s="4452" t="n"/>
      <c r="AE136" s="10905" t="n"/>
      <c r="AF136" s="12051" t="n"/>
      <c r="AG136" s="12051" t="n"/>
      <c r="AH136" s="12051" t="n"/>
      <c r="AI136" s="12051" t="n"/>
      <c r="AJ136" s="12051" t="n"/>
      <c r="AK136" s="2013" t="n"/>
      <c r="AL136" s="5779" t="n"/>
      <c r="AM136" s="5779" t="n"/>
      <c r="AN136" s="5779" t="n"/>
      <c r="AO136" s="10882">
        <f>IF(AND(AE139&lt;&gt;"",AE139&lt;=0),"If line 21 is zero or less, you don't have a minimum tax credit or a credit carryforward. Don't complete the rest of this form and don't file it.","")</f>
        <v/>
      </c>
      <c r="AP136" s="11602" t="n"/>
      <c r="AQ136" s="11602" t="n"/>
      <c r="AR136" s="658" t="n"/>
      <c r="AS136" s="658" t="n"/>
      <c r="AT136" s="658" t="n"/>
      <c r="AU136" s="658" t="n"/>
      <c r="AV136" s="658" t="n"/>
      <c r="AW136" s="658" t="n"/>
      <c r="AX136" s="658" t="n"/>
      <c r="AY136" s="658" t="n"/>
      <c r="AZ136" s="658" t="n"/>
      <c r="BA136" s="658" t="n"/>
    </row>
    <row r="137" ht="15.75" customFormat="1" customHeight="1" s="815">
      <c r="A137" s="2013" t="n"/>
      <c r="B137" s="11602" t="n"/>
      <c r="C137" s="2917" t="n">
        <v>20</v>
      </c>
      <c r="D137" s="7772">
        <f>"Enter your "&amp;LastYear&amp;" unallowed qualified electric vehicle credit (see instructions)"</f>
        <v/>
      </c>
      <c r="E137" s="11602" t="n"/>
      <c r="F137" s="8650" t="n"/>
      <c r="G137" s="8650" t="n"/>
      <c r="H137" s="11602" t="n"/>
      <c r="I137" s="11602" t="n"/>
      <c r="J137" s="11602" t="n"/>
      <c r="K137" s="11602" t="n"/>
      <c r="L137" s="11602" t="n"/>
      <c r="M137" s="11602" t="n"/>
      <c r="N137" s="11602" t="n"/>
      <c r="O137" s="11602" t="n"/>
      <c r="P137" s="11602" t="n"/>
      <c r="Q137" s="11602" t="n"/>
      <c r="R137" s="11602" t="n"/>
      <c r="S137" s="11602" t="n"/>
      <c r="T137" s="11602" t="n"/>
      <c r="U137" s="11602" t="n"/>
      <c r="V137" s="11602" t="n"/>
      <c r="W137" s="11602" t="n"/>
      <c r="X137" s="11602" t="n"/>
      <c r="Y137" s="11602" t="n"/>
      <c r="Z137" s="11602" t="n"/>
      <c r="AA137" s="11602" t="n"/>
      <c r="AB137" s="11602" t="n"/>
      <c r="AC137" s="1657" t="inlineStr">
        <is>
          <t xml:space="preserve">.   .   .   .   .   .   .   .   .   . </t>
        </is>
      </c>
      <c r="AD137" s="8389" t="n">
        <v>20</v>
      </c>
      <c r="AE137" s="10908" t="n"/>
      <c r="AF137" s="11717" t="n"/>
      <c r="AG137" s="11717" t="n"/>
      <c r="AH137" s="11717" t="n"/>
      <c r="AI137" s="11717" t="n"/>
      <c r="AJ137" s="11717" t="n"/>
      <c r="AK137" s="2013" t="n"/>
      <c r="AL137" s="5779" t="n"/>
      <c r="AM137" s="5779" t="n"/>
      <c r="AN137" s="5779" t="n"/>
      <c r="AP137" s="11602" t="n"/>
      <c r="AQ137" s="11602">
        <f>IF(AE137="",0,ROUND(AE137,0))</f>
        <v/>
      </c>
      <c r="AR137" s="658" t="n"/>
      <c r="AS137" s="658" t="n"/>
      <c r="AT137" s="658" t="n"/>
      <c r="AU137" s="658" t="n"/>
      <c r="AV137" s="658" t="n"/>
      <c r="AW137" s="658" t="n"/>
      <c r="AX137" s="658" t="n"/>
      <c r="AY137" s="658" t="n"/>
      <c r="AZ137" s="658" t="n"/>
      <c r="BA137" s="658" t="n"/>
    </row>
    <row r="138" ht="15" customFormat="1" customHeight="1" s="815" thickBot="1">
      <c r="A138" s="2013" t="n"/>
      <c r="B138" s="11602" t="n"/>
      <c r="C138" s="11216" t="n"/>
      <c r="D138" s="7772" t="n"/>
      <c r="E138" s="11602" t="n"/>
      <c r="F138" s="11602" t="n"/>
      <c r="G138" s="11602" t="n"/>
      <c r="H138" s="11602" t="n"/>
      <c r="I138" s="11602" t="n"/>
      <c r="J138" s="11602" t="n"/>
      <c r="K138" s="11602" t="n"/>
      <c r="L138" s="11602" t="n"/>
      <c r="M138" s="11602" t="n"/>
      <c r="N138" s="11602" t="n"/>
      <c r="O138" s="11602" t="n"/>
      <c r="P138" s="11602" t="n"/>
      <c r="Q138" s="11602" t="n"/>
      <c r="R138" s="11602" t="n"/>
      <c r="S138" s="11602" t="n"/>
      <c r="T138" s="11602" t="n"/>
      <c r="U138" s="11602" t="n"/>
      <c r="V138" s="11602" t="n"/>
      <c r="W138" s="11602" t="n"/>
      <c r="X138" s="11602" t="n"/>
      <c r="Y138" s="11602" t="n"/>
      <c r="Z138" s="11602" t="n"/>
      <c r="AA138" s="11602" t="n"/>
      <c r="AB138" s="11602" t="n"/>
      <c r="AC138" s="1657" t="n"/>
      <c r="AD138" s="4452" t="n"/>
      <c r="AE138" s="10905" t="n"/>
      <c r="AF138" s="12051" t="n"/>
      <c r="AG138" s="12051" t="n"/>
      <c r="AH138" s="12051" t="n"/>
      <c r="AI138" s="12051" t="n"/>
      <c r="AJ138" s="12051" t="n"/>
      <c r="AK138" s="2013" t="n"/>
      <c r="AL138" s="5779" t="n"/>
      <c r="AM138" s="5779" t="n"/>
      <c r="AN138" s="5779" t="n"/>
      <c r="AP138" s="11602" t="n"/>
      <c r="AQ138" s="11602" t="n"/>
      <c r="AR138" s="658" t="n"/>
      <c r="AS138" s="658" t="n"/>
      <c r="AT138" s="658" t="n"/>
      <c r="AU138" s="658" t="n"/>
      <c r="AV138" s="658" t="n"/>
      <c r="AW138" s="658" t="n"/>
      <c r="AX138" s="658" t="n"/>
      <c r="AY138" s="658" t="n"/>
      <c r="AZ138" s="658" t="n"/>
      <c r="BA138" s="658" t="n"/>
    </row>
    <row r="139" ht="16.5" customFormat="1" customHeight="1" s="815" thickBot="1">
      <c r="A139" s="2013" t="n"/>
      <c r="B139" s="11602" t="n"/>
      <c r="C139" s="2917" t="n">
        <v>21</v>
      </c>
      <c r="D139" s="7772" t="inlineStr">
        <is>
          <t xml:space="preserve">Combine lines 18 through 20. </t>
        </is>
      </c>
      <c r="E139" s="11602" t="n"/>
      <c r="F139" s="8650" t="n"/>
      <c r="G139" s="8650" t="n"/>
      <c r="H139" s="11602" t="n"/>
      <c r="I139" s="11602" t="n"/>
      <c r="J139" s="11602" t="n"/>
      <c r="K139" s="11602" t="n"/>
      <c r="L139" s="7772" t="inlineStr">
        <is>
          <t>If zero or less, stop here and see the instructions</t>
        </is>
      </c>
      <c r="M139" s="11602" t="n"/>
      <c r="N139" s="11602" t="n"/>
      <c r="O139" s="11602" t="n"/>
      <c r="P139" s="11602" t="n"/>
      <c r="Q139" s="11602" t="n"/>
      <c r="R139" s="11602" t="n"/>
      <c r="S139" s="11602" t="n"/>
      <c r="T139" s="11602" t="n"/>
      <c r="U139" s="11602" t="n"/>
      <c r="V139" s="11602" t="n"/>
      <c r="W139" s="11602" t="n"/>
      <c r="X139" s="11602" t="n"/>
      <c r="Y139" s="11602" t="n"/>
      <c r="Z139" s="11602" t="n"/>
      <c r="AA139" s="11602" t="n"/>
      <c r="AB139" s="11602" t="n"/>
      <c r="AC139" s="1657" t="inlineStr">
        <is>
          <t xml:space="preserve">.   .   .   .   .   .   .   .   . </t>
        </is>
      </c>
      <c r="AD139" s="8389" t="n">
        <v>21</v>
      </c>
      <c r="AE139" s="10889">
        <f>IF(AM139&lt;&gt;"",ROUND(AM139,0),IF($AE$110,"",SUM(AE133,AE135,ROUND(AQ137,0))))</f>
        <v/>
      </c>
      <c r="AF139" s="7637" t="n"/>
      <c r="AG139" s="7637" t="n"/>
      <c r="AH139" s="7637" t="n"/>
      <c r="AI139" s="7637" t="n"/>
      <c r="AJ139" s="7637" t="n"/>
      <c r="AK139" s="2389" t="n"/>
      <c r="AL139" s="5779" t="n"/>
      <c r="AM139" s="5719" t="n"/>
      <c r="AN139" s="5779" t="n"/>
      <c r="AP139" s="11602" t="n"/>
      <c r="AQ139" s="5761">
        <f>AND(AK139="",AE139&lt;=0)</f>
        <v/>
      </c>
      <c r="AR139" s="658" t="n"/>
      <c r="AS139" s="658" t="n"/>
      <c r="AT139" s="658" t="n"/>
      <c r="AU139" s="658" t="n"/>
      <c r="AV139" s="658" t="n"/>
      <c r="AW139" s="658" t="n"/>
      <c r="AX139" s="658" t="n"/>
      <c r="AY139" s="658" t="n"/>
      <c r="AZ139" s="658" t="n"/>
      <c r="BA139" s="658" t="n"/>
    </row>
    <row r="140" ht="15" customFormat="1" customHeight="1" s="815" thickBot="1">
      <c r="A140" s="2013" t="n"/>
      <c r="B140" s="11602" t="n"/>
      <c r="C140" s="11216" t="n"/>
      <c r="D140" s="7772" t="n"/>
      <c r="E140" s="11602" t="n"/>
      <c r="F140" s="11602" t="n"/>
      <c r="G140" s="11602" t="n"/>
      <c r="H140" s="11602" t="n"/>
      <c r="I140" s="11602" t="n"/>
      <c r="J140" s="11602" t="n"/>
      <c r="K140" s="11602" t="n"/>
      <c r="L140" s="11602" t="n"/>
      <c r="M140" s="11602" t="n"/>
      <c r="N140" s="11602" t="n"/>
      <c r="O140" s="11602" t="n"/>
      <c r="P140" s="11602" t="n"/>
      <c r="Q140" s="11602" t="n"/>
      <c r="R140" s="11602" t="n"/>
      <c r="S140" s="11602" t="n"/>
      <c r="T140" s="11602" t="n"/>
      <c r="U140" s="11602" t="n"/>
      <c r="V140" s="11602" t="n"/>
      <c r="W140" s="11602" t="n"/>
      <c r="X140" s="11602" t="n"/>
      <c r="Y140" s="11602" t="n"/>
      <c r="Z140" s="11602" t="n"/>
      <c r="AA140" s="11602" t="n"/>
      <c r="AB140" s="11602" t="n"/>
      <c r="AC140" s="1657" t="n"/>
      <c r="AD140" s="4452" t="n"/>
      <c r="AE140" s="10905" t="n"/>
      <c r="AF140" s="12051" t="n"/>
      <c r="AG140" s="12051" t="n"/>
      <c r="AH140" s="12051" t="n"/>
      <c r="AI140" s="12051" t="n"/>
      <c r="AJ140" s="12051" t="n"/>
      <c r="AK140" s="5776">
        <f>IF(AE139&lt;0,"Override stop.","")</f>
        <v/>
      </c>
      <c r="AL140" s="11602" t="n"/>
      <c r="AM140" s="11602" t="n"/>
      <c r="AN140" s="11602" t="n"/>
      <c r="AO140" s="2013" t="n"/>
      <c r="AP140" s="11602" t="n"/>
      <c r="AQ140" s="1193">
        <f>Tax_SubTotal</f>
        <v/>
      </c>
      <c r="AR140" s="658" t="n"/>
      <c r="AS140" s="658" t="n"/>
      <c r="AT140" s="658" t="n"/>
      <c r="AU140" s="658" t="n"/>
      <c r="AV140" s="658" t="n"/>
      <c r="AW140" s="658" t="n"/>
      <c r="AX140" s="658" t="n"/>
      <c r="AY140" s="658" t="n"/>
      <c r="AZ140" s="658" t="n"/>
      <c r="BA140" s="658" t="n"/>
    </row>
    <row r="141" ht="16.5" customFormat="1" customHeight="1" s="815" thickBot="1">
      <c r="A141" s="2013" t="n"/>
      <c r="B141" s="11602" t="n"/>
      <c r="C141" s="2917" t="n">
        <v>22</v>
      </c>
      <c r="D141" s="7772">
        <f>"Enter your "&amp;TaxYear&amp;" regular income tax liability minus allowable credits (see instructions)"</f>
        <v/>
      </c>
      <c r="E141" s="11602" t="n"/>
      <c r="F141" s="8650" t="n"/>
      <c r="G141" s="8650" t="n"/>
      <c r="H141" s="11602" t="n"/>
      <c r="I141" s="11602" t="n"/>
      <c r="J141" s="11602" t="n"/>
      <c r="K141" s="11602" t="n"/>
      <c r="L141" s="11602" t="n"/>
      <c r="M141" s="11602" t="n"/>
      <c r="N141" s="11602" t="n"/>
      <c r="O141" s="11602" t="n"/>
      <c r="P141" s="11602" t="n"/>
      <c r="Q141" s="11602" t="n"/>
      <c r="R141" s="11602" t="n"/>
      <c r="S141" s="11602" t="n"/>
      <c r="T141" s="11602" t="n"/>
      <c r="U141" s="11602" t="n"/>
      <c r="V141" s="11602" t="n"/>
      <c r="W141" s="11602" t="n"/>
      <c r="X141" s="11602" t="n"/>
      <c r="Y141" s="11602" t="n"/>
      <c r="Z141" s="11602" t="n"/>
      <c r="AA141" s="11602" t="n"/>
      <c r="AB141" s="11602" t="n"/>
      <c r="AC141" s="1657" t="inlineStr">
        <is>
          <t xml:space="preserve">.   .   .   .   .   .   .   . </t>
        </is>
      </c>
      <c r="AD141" s="8389" t="n">
        <v>22</v>
      </c>
      <c r="AE141" s="10889">
        <f>IF(AM141&lt;&gt;"",ROUND(AM141,0),IF(OR(AQ139,AE139=""),"",MAX(0,SUM(AQ140,AQ141,-AQ142,-AQ143))))</f>
        <v/>
      </c>
      <c r="AF141" s="7637" t="n"/>
      <c r="AG141" s="7637" t="n"/>
      <c r="AH141" s="7637" t="n"/>
      <c r="AI141" s="7637" t="n"/>
      <c r="AJ141" s="7637" t="n"/>
      <c r="AK141" s="2013" t="n"/>
      <c r="AL141" s="11602" t="n"/>
      <c r="AM141" s="5719" t="n"/>
      <c r="AN141" s="11602" t="n"/>
      <c r="AO141" s="2013" t="n"/>
      <c r="AP141" s="11602" t="n"/>
      <c r="AQ141" s="1193">
        <f>IF('Sch. 2'!AD33="",0,'Sch. 2'!AD33)</f>
        <v/>
      </c>
      <c r="AR141" s="658" t="n"/>
      <c r="AS141" s="658" t="n"/>
      <c r="AT141" s="658" t="n"/>
      <c r="AU141" s="658" t="n"/>
      <c r="AV141" s="658" t="n"/>
      <c r="AW141" s="658" t="n"/>
      <c r="AX141" s="658" t="n"/>
      <c r="AY141" s="658" t="n"/>
      <c r="AZ141" s="658" t="n"/>
      <c r="BA141" s="658" t="n"/>
    </row>
    <row r="142" ht="15" customFormat="1" customHeight="1" s="815" thickBot="1">
      <c r="A142" s="2013" t="n"/>
      <c r="B142" s="11602" t="n"/>
      <c r="C142" s="11216" t="n"/>
      <c r="D142" s="7772" t="n"/>
      <c r="E142" s="11602" t="n"/>
      <c r="F142" s="11602" t="n"/>
      <c r="G142" s="11602" t="n"/>
      <c r="H142" s="11602" t="n"/>
      <c r="I142" s="11602" t="n"/>
      <c r="J142" s="11602" t="n"/>
      <c r="K142" s="11602" t="n"/>
      <c r="L142" s="11602" t="n"/>
      <c r="M142" s="11602" t="n"/>
      <c r="N142" s="11602" t="n"/>
      <c r="O142" s="11602" t="n"/>
      <c r="P142" s="11602" t="n"/>
      <c r="Q142" s="11602" t="n"/>
      <c r="R142" s="11602" t="n"/>
      <c r="S142" s="11602" t="n"/>
      <c r="T142" s="11602" t="n"/>
      <c r="U142" s="11602" t="n"/>
      <c r="V142" s="11602" t="n"/>
      <c r="W142" s="11602" t="n"/>
      <c r="X142" s="11602" t="n"/>
      <c r="Y142" s="11602" t="n"/>
      <c r="Z142" s="11602" t="n"/>
      <c r="AA142" s="11602" t="n"/>
      <c r="AB142" s="11602" t="n"/>
      <c r="AC142" s="1657" t="n"/>
      <c r="AD142" s="4452" t="n"/>
      <c r="AE142" s="10905" t="n"/>
      <c r="AF142" s="12051" t="n"/>
      <c r="AG142" s="12051" t="n"/>
      <c r="AH142" s="12051" t="n"/>
      <c r="AI142" s="12051" t="n"/>
      <c r="AJ142" s="12051" t="n"/>
      <c r="AK142" s="2013" t="n"/>
      <c r="AL142" s="11602" t="n"/>
      <c r="AM142" s="11602" t="n"/>
      <c r="AN142" s="11602" t="n"/>
      <c r="AO142" s="2013" t="n"/>
      <c r="AP142" s="11602" t="n"/>
      <c r="AQ142" s="1193">
        <f>ChildDepend_TaxCredit</f>
        <v/>
      </c>
      <c r="AR142" s="658" t="n"/>
      <c r="AS142" s="658" t="n"/>
      <c r="AT142" s="658" t="n"/>
      <c r="AU142" s="658" t="n"/>
      <c r="AV142" s="658" t="n"/>
      <c r="AW142" s="658" t="n"/>
      <c r="AX142" s="658" t="n"/>
      <c r="AY142" s="658" t="n"/>
      <c r="AZ142" s="658" t="n"/>
      <c r="BA142" s="658" t="n"/>
    </row>
    <row r="143" ht="16.5" customFormat="1" customHeight="1" s="815" thickBot="1">
      <c r="A143" s="2013" t="n"/>
      <c r="B143" s="11602" t="n"/>
      <c r="C143" s="2917" t="n">
        <v>23</v>
      </c>
      <c r="D143" s="7772">
        <f>"Enter the amount from your "&amp;TaxYear&amp;" Form 6251, line 9, or "&amp;TaxYear&amp;" Schedule I (Form 1041), line 52"</f>
        <v/>
      </c>
      <c r="E143" s="11602" t="n"/>
      <c r="F143" s="8650" t="n"/>
      <c r="G143" s="8650" t="n"/>
      <c r="H143" s="11602" t="n"/>
      <c r="I143" s="11602" t="n"/>
      <c r="J143" s="11602" t="n"/>
      <c r="K143" s="11602" t="n"/>
      <c r="L143" s="11602" t="n"/>
      <c r="M143" s="11602" t="n"/>
      <c r="N143" s="11602" t="n"/>
      <c r="O143" s="11602" t="n"/>
      <c r="P143" s="11602" t="n"/>
      <c r="Q143" s="11602" t="n"/>
      <c r="R143" s="11602" t="n"/>
      <c r="S143" s="11602" t="n"/>
      <c r="T143" s="11602" t="n"/>
      <c r="U143" s="11602" t="n"/>
      <c r="V143" s="11602" t="n"/>
      <c r="W143" s="11602" t="n"/>
      <c r="X143" s="11602" t="n"/>
      <c r="Y143" s="11602" t="n"/>
      <c r="Z143" s="11602" t="n"/>
      <c r="AA143" s="11602" t="n"/>
      <c r="AB143" s="11602" t="n"/>
      <c r="AC143" s="1657" t="inlineStr">
        <is>
          <t xml:space="preserve">.   .   .   . </t>
        </is>
      </c>
      <c r="AD143" s="8389" t="n">
        <v>23</v>
      </c>
      <c r="AE143" s="10889">
        <f>IF(AM143&lt;&gt;"",ROUND(AM143,0),IF(OR($AE$110,AQ139),"",'6251'!M58))</f>
        <v/>
      </c>
      <c r="AF143" s="7637" t="n"/>
      <c r="AG143" s="7637" t="n"/>
      <c r="AH143" s="7637" t="n"/>
      <c r="AI143" s="7637" t="n"/>
      <c r="AJ143" s="7637" t="n"/>
      <c r="AK143" s="2013" t="n"/>
      <c r="AL143" s="11602" t="n"/>
      <c r="AM143" s="5719" t="n"/>
      <c r="AN143" s="1806" t="n"/>
      <c r="AO143" s="2013" t="n"/>
      <c r="AP143" s="11602" t="n"/>
      <c r="AQ143" s="851">
        <f>SUM('Sch. 3'!AC11:AG16,'Sch. 3'!W18:AA18,AdoptCredit,Sch3_Line6d,'Sch. 3'!W23:AA30,'Sch. 3'!W33:AA33)</f>
        <v/>
      </c>
      <c r="AR143" s="658" t="n"/>
      <c r="AS143" s="658" t="n"/>
      <c r="AT143" s="658" t="n"/>
      <c r="AU143" s="658" t="n"/>
      <c r="AV143" s="658" t="n"/>
      <c r="AW143" s="658" t="n"/>
      <c r="AX143" s="658" t="n"/>
      <c r="AY143" s="658" t="n"/>
      <c r="AZ143" s="658" t="n"/>
      <c r="BA143" s="658" t="n"/>
    </row>
    <row r="144" ht="15" customFormat="1" customHeight="1" s="815" thickBot="1">
      <c r="A144" s="2013" t="n"/>
      <c r="B144" s="11602" t="n"/>
      <c r="C144" s="11216" t="n"/>
      <c r="D144" s="7772" t="n"/>
      <c r="E144" s="11602" t="n"/>
      <c r="F144" s="11602" t="n"/>
      <c r="G144" s="11602" t="n"/>
      <c r="H144" s="11602" t="n"/>
      <c r="I144" s="11602" t="n"/>
      <c r="J144" s="11602" t="n"/>
      <c r="K144" s="11602" t="n"/>
      <c r="L144" s="11602" t="n"/>
      <c r="M144" s="11602" t="n"/>
      <c r="N144" s="11602" t="n"/>
      <c r="O144" s="11602" t="n"/>
      <c r="P144" s="11602" t="n"/>
      <c r="Q144" s="11602" t="n"/>
      <c r="R144" s="11602" t="n"/>
      <c r="S144" s="11602" t="n"/>
      <c r="T144" s="11602" t="n"/>
      <c r="U144" s="11602" t="n"/>
      <c r="V144" s="11602" t="n"/>
      <c r="W144" s="11602" t="n"/>
      <c r="X144" s="11602" t="n"/>
      <c r="Y144" s="11602" t="n"/>
      <c r="Z144" s="11602" t="n"/>
      <c r="AA144" s="11602" t="n"/>
      <c r="AB144" s="11602" t="n"/>
      <c r="AC144" s="1657" t="n"/>
      <c r="AD144" s="4452" t="n"/>
      <c r="AE144" s="10905" t="n"/>
      <c r="AF144" s="12051" t="n"/>
      <c r="AG144" s="12051" t="n"/>
      <c r="AH144" s="12051" t="n"/>
      <c r="AI144" s="12051" t="n"/>
      <c r="AJ144" s="12051" t="n"/>
      <c r="AK144" s="2013" t="n"/>
      <c r="AL144" s="11602" t="n"/>
      <c r="AM144" s="11602" t="n"/>
      <c r="AN144" s="11602" t="n"/>
      <c r="AO144" s="2013" t="n"/>
      <c r="AP144" s="11602" t="n"/>
      <c r="AQ144" s="851" t="n"/>
      <c r="AR144" s="658" t="n"/>
      <c r="AS144" s="658" t="n"/>
      <c r="AT144" s="658" t="n"/>
      <c r="AU144" s="658" t="n"/>
      <c r="AV144" s="658" t="n"/>
      <c r="AW144" s="658" t="n"/>
      <c r="AX144" s="658" t="n"/>
      <c r="AY144" s="658" t="n"/>
      <c r="AZ144" s="658" t="n"/>
      <c r="BA144" s="658" t="n"/>
    </row>
    <row r="145" ht="16.5" customFormat="1" customHeight="1" s="815" thickBot="1">
      <c r="A145" s="2013" t="n"/>
      <c r="B145" s="11602" t="n"/>
      <c r="C145" s="2917" t="n">
        <v>24</v>
      </c>
      <c r="D145" s="7772" t="inlineStr">
        <is>
          <t xml:space="preserve">Subtract line 23 from line 22. If zero or less, enter -0- </t>
        </is>
      </c>
      <c r="E145" s="11602" t="n"/>
      <c r="F145" s="8650" t="n"/>
      <c r="G145" s="8650" t="n"/>
      <c r="H145" s="11602" t="n"/>
      <c r="I145" s="11602" t="n"/>
      <c r="J145" s="11602" t="n"/>
      <c r="K145" s="11602" t="n"/>
      <c r="L145" s="11602" t="n"/>
      <c r="M145" s="11602" t="n"/>
      <c r="N145" s="11602" t="n"/>
      <c r="O145" s="11602" t="n"/>
      <c r="P145" s="11602" t="n"/>
      <c r="Q145" s="11602" t="n"/>
      <c r="R145" s="11602" t="n"/>
      <c r="S145" s="11602" t="n"/>
      <c r="T145" s="11602" t="n"/>
      <c r="U145" s="11602" t="n"/>
      <c r="V145" s="11602" t="n"/>
      <c r="W145" s="11602" t="n"/>
      <c r="X145" s="11602" t="n"/>
      <c r="Y145" s="11602" t="n"/>
      <c r="Z145" s="11602" t="n"/>
      <c r="AA145" s="11602" t="n"/>
      <c r="AB145" s="11602" t="n"/>
      <c r="AC145" s="1657" t="inlineStr">
        <is>
          <t xml:space="preserve">.   .   .   .   .   .   .   .   .   .   .   .   .   .   .   .   .   .   .   .   . </t>
        </is>
      </c>
      <c r="AD145" s="8389" t="n">
        <v>24</v>
      </c>
      <c r="AE145" s="10889">
        <f>IF(AM145&lt;&gt;"",ROUND(AM145,0),IF(OR($AQ$139,$AE$110),"",IF(AE143="",MAX(0,AE141),MAX(0,SUM(AE141,-AE143)))))</f>
        <v/>
      </c>
      <c r="AF145" s="7637" t="n"/>
      <c r="AG145" s="7637" t="n"/>
      <c r="AH145" s="7637" t="n"/>
      <c r="AI145" s="7637" t="n"/>
      <c r="AJ145" s="7637" t="n"/>
      <c r="AK145" s="2013" t="n"/>
      <c r="AL145" s="11602" t="n"/>
      <c r="AM145" s="5719" t="n"/>
      <c r="AN145" s="11602" t="n"/>
      <c r="AO145" s="2013" t="n"/>
      <c r="AP145" s="11602" t="n"/>
      <c r="AQ145" s="11602" t="n"/>
      <c r="AR145" s="658" t="n"/>
      <c r="AS145" s="658" t="n"/>
      <c r="AT145" s="658" t="n"/>
      <c r="AU145" s="658" t="n"/>
      <c r="AV145" s="658" t="n"/>
      <c r="AW145" s="658" t="n"/>
      <c r="AX145" s="658" t="n"/>
      <c r="AY145" s="658" t="n"/>
      <c r="AZ145" s="658" t="n"/>
      <c r="BA145" s="658" t="n"/>
    </row>
    <row r="146" ht="15" customFormat="1" customHeight="1" s="815">
      <c r="A146" s="2013" t="n"/>
      <c r="B146" s="11602" t="n"/>
      <c r="C146" s="11216" t="n"/>
      <c r="D146" s="7772" t="n"/>
      <c r="E146" s="11602" t="n"/>
      <c r="F146" s="11602" t="n"/>
      <c r="G146" s="11602" t="n"/>
      <c r="H146" s="11602" t="n"/>
      <c r="I146" s="11602" t="n"/>
      <c r="J146" s="11602" t="n"/>
      <c r="K146" s="11602" t="n"/>
      <c r="L146" s="11602" t="n"/>
      <c r="M146" s="8648" t="n"/>
      <c r="N146" s="11602" t="n"/>
      <c r="O146" s="11602" t="n"/>
      <c r="P146" s="11602" t="n"/>
      <c r="Q146" s="11602" t="n"/>
      <c r="R146" s="11602" t="n"/>
      <c r="S146" s="11602" t="n"/>
      <c r="T146" s="11602" t="n"/>
      <c r="U146" s="11602" t="n"/>
      <c r="V146" s="11602" t="n"/>
      <c r="W146" s="11602" t="n"/>
      <c r="X146" s="11602" t="n"/>
      <c r="Y146" s="11602" t="n"/>
      <c r="Z146" s="11602" t="n"/>
      <c r="AA146" s="11602" t="n"/>
      <c r="AB146" s="11602" t="n"/>
      <c r="AC146" s="1657" t="n"/>
      <c r="AD146" s="5743" t="n"/>
      <c r="AE146" s="10907" t="n"/>
      <c r="AF146" s="12051" t="n"/>
      <c r="AG146" s="12051" t="n"/>
      <c r="AH146" s="12051" t="n"/>
      <c r="AI146" s="12051" t="n"/>
      <c r="AJ146" s="12051" t="n"/>
      <c r="AK146" s="2013" t="n"/>
      <c r="AL146" s="11602" t="n"/>
      <c r="AM146" s="11602" t="n"/>
      <c r="AN146" s="11602" t="n"/>
      <c r="AO146" s="2013" t="n"/>
      <c r="AP146" s="11602" t="n"/>
      <c r="AQ146" s="11602" t="n"/>
      <c r="AR146" s="658" t="n"/>
      <c r="AS146" s="658" t="n"/>
      <c r="AT146" s="658" t="n"/>
      <c r="AU146" s="658" t="n"/>
      <c r="AV146" s="658" t="n"/>
      <c r="AW146" s="658" t="n"/>
      <c r="AX146" s="658" t="n"/>
      <c r="AY146" s="658" t="n"/>
      <c r="AZ146" s="658" t="n"/>
      <c r="BA146" s="658" t="n"/>
    </row>
    <row r="147" ht="16.5" customFormat="1" customHeight="1" s="815" thickBot="1">
      <c r="A147" s="2013" t="n"/>
      <c r="B147" s="11602" t="n"/>
      <c r="C147" s="2917" t="n">
        <v>25</v>
      </c>
      <c r="D147" s="514" t="inlineStr">
        <is>
          <t>Minimum tax credit.</t>
        </is>
      </c>
      <c r="E147" s="11602" t="n"/>
      <c r="F147" s="8650" t="n"/>
      <c r="G147" s="8650" t="n"/>
      <c r="H147" s="11602" t="n"/>
      <c r="I147" s="11602" t="n"/>
      <c r="J147" s="7772" t="inlineStr">
        <is>
          <t>Enter the smaller of line 21 or line 24.</t>
        </is>
      </c>
      <c r="K147" s="11602" t="n"/>
      <c r="L147" s="11602" t="n"/>
      <c r="M147" s="11602" t="n"/>
      <c r="N147" s="11602" t="n"/>
      <c r="O147" s="11602" t="n"/>
      <c r="P147" s="11602" t="n"/>
      <c r="Q147" s="11602" t="n"/>
      <c r="R147" s="7772" t="n"/>
      <c r="S147" s="7772">
        <f>"Also enter this amount on your "&amp;TaxYear</f>
        <v/>
      </c>
      <c r="T147" s="11602" t="n"/>
      <c r="U147" s="11602" t="n"/>
      <c r="V147" s="11602" t="n"/>
      <c r="W147" s="11602" t="n"/>
      <c r="X147" s="11602" t="n"/>
      <c r="Y147" s="11602" t="n"/>
      <c r="Z147" s="11602" t="n"/>
      <c r="AA147" s="11602" t="n"/>
      <c r="AB147" s="11602" t="n"/>
      <c r="AC147" s="1657" t="n"/>
      <c r="AD147" s="5743" t="n"/>
      <c r="AE147" s="10890" t="n"/>
      <c r="AF147" s="26" t="n"/>
      <c r="AG147" s="26" t="n"/>
      <c r="AH147" s="26" t="n"/>
      <c r="AI147" s="26" t="n"/>
      <c r="AJ147" s="26" t="n"/>
      <c r="AK147" s="2013" t="n"/>
      <c r="AL147" s="11602" t="n"/>
      <c r="AM147" s="11602" t="n"/>
      <c r="AN147" s="11602" t="n"/>
      <c r="AO147" s="2013" t="n"/>
      <c r="AP147" s="11602" t="n"/>
      <c r="AQ147" s="11602" t="n"/>
      <c r="AR147" s="658" t="n"/>
      <c r="AS147" s="658" t="n"/>
      <c r="AT147" s="658" t="n"/>
      <c r="AU147" s="658" t="n"/>
      <c r="AV147" s="658" t="n"/>
      <c r="AW147" s="658" t="n"/>
      <c r="AX147" s="658" t="n"/>
      <c r="AY147" s="658" t="n"/>
      <c r="AZ147" s="658" t="n"/>
      <c r="BA147" s="658" t="n"/>
    </row>
    <row r="148" ht="16.5" customFormat="1" customHeight="1" s="815" thickBot="1">
      <c r="A148" s="2013" t="n"/>
      <c r="B148" s="11602" t="n"/>
      <c r="C148" s="2917" t="n"/>
      <c r="D148" s="7772" t="inlineStr">
        <is>
          <t>Schedule 3 (Form 1040), line 6b; or Form 1041, Schedule G, line 2c</t>
        </is>
      </c>
      <c r="E148" s="11602" t="n"/>
      <c r="F148" s="8650" t="n"/>
      <c r="G148" s="8650" t="n"/>
      <c r="H148" s="11602" t="n"/>
      <c r="I148" s="11602" t="n"/>
      <c r="J148" s="11602" t="n"/>
      <c r="K148" s="11602" t="n"/>
      <c r="L148" s="11602" t="n"/>
      <c r="M148" s="11602" t="n"/>
      <c r="N148" s="11602" t="n"/>
      <c r="O148" s="11602" t="n"/>
      <c r="P148" s="11602" t="n"/>
      <c r="Q148" s="11602" t="n"/>
      <c r="R148" s="11602" t="n"/>
      <c r="S148" s="11602" t="n"/>
      <c r="T148" s="11602" t="n"/>
      <c r="U148" s="11602" t="n"/>
      <c r="V148" s="11602" t="n"/>
      <c r="W148" s="11602" t="n"/>
      <c r="X148" s="11602" t="n"/>
      <c r="Y148" s="11602" t="n"/>
      <c r="Z148" s="11602" t="n"/>
      <c r="AA148" s="11602" t="n"/>
      <c r="AB148" s="11602" t="n"/>
      <c r="AC148" s="1657" t="inlineStr">
        <is>
          <t xml:space="preserve">.   .   .   .   .   .   .   .   .   . </t>
        </is>
      </c>
      <c r="AD148" s="8389" t="n">
        <v>25</v>
      </c>
      <c r="AE148" s="10889">
        <f>IF(AM148&lt;&gt;"",ROUND(AM148,0),IF(OR($AQ$139,$AE$110),"",MIN(AE139,AE145)))</f>
        <v/>
      </c>
      <c r="AF148" s="7637" t="n"/>
      <c r="AG148" s="7637" t="n"/>
      <c r="AH148" s="7637" t="n"/>
      <c r="AI148" s="7637" t="n"/>
      <c r="AJ148" s="7637" t="n"/>
      <c r="AK148" s="2013" t="n"/>
      <c r="AL148" s="11602" t="n"/>
      <c r="AM148" s="5719" t="n"/>
      <c r="AN148" s="1806" t="n"/>
      <c r="AO148" s="2013" t="n"/>
      <c r="AP148" s="11602" t="n"/>
      <c r="AQ148" s="11602" t="n"/>
      <c r="AR148" s="658" t="n"/>
      <c r="AS148" s="658" t="n"/>
      <c r="AT148" s="658" t="n"/>
      <c r="AU148" s="658" t="n"/>
      <c r="AV148" s="658" t="n"/>
      <c r="AW148" s="658" t="n"/>
      <c r="AX148" s="658" t="n"/>
      <c r="AY148" s="658" t="n"/>
      <c r="AZ148" s="658" t="n"/>
      <c r="BA148" s="658" t="n"/>
    </row>
    <row r="149" ht="15" customFormat="1" customHeight="1" s="815">
      <c r="A149" s="2013" t="n"/>
      <c r="B149" s="11602" t="n"/>
      <c r="C149" s="11216" t="n"/>
      <c r="D149" s="7772" t="n"/>
      <c r="E149" s="11602" t="n"/>
      <c r="F149" s="11602" t="n"/>
      <c r="G149" s="11602" t="n"/>
      <c r="H149" s="11602" t="n"/>
      <c r="I149" s="11602" t="n"/>
      <c r="J149" s="11602" t="n"/>
      <c r="K149" s="11602" t="n"/>
      <c r="L149" s="11602" t="n"/>
      <c r="M149" s="8648" t="n"/>
      <c r="N149" s="11602" t="n"/>
      <c r="O149" s="11602" t="n"/>
      <c r="P149" s="11602" t="n"/>
      <c r="Q149" s="11602" t="n"/>
      <c r="R149" s="11602" t="n"/>
      <c r="S149" s="11602" t="n"/>
      <c r="T149" s="11602" t="n"/>
      <c r="U149" s="11602" t="n"/>
      <c r="V149" s="11602" t="n"/>
      <c r="W149" s="11602" t="n"/>
      <c r="X149" s="11602" t="n"/>
      <c r="Y149" s="11602" t="n"/>
      <c r="Z149" s="11602" t="n"/>
      <c r="AA149" s="11602" t="n"/>
      <c r="AB149" s="11602" t="n"/>
      <c r="AC149" s="1657" t="n"/>
      <c r="AD149" s="5743" t="n"/>
      <c r="AE149" s="10907" t="n"/>
      <c r="AF149" s="12051" t="n"/>
      <c r="AG149" s="12051" t="n"/>
      <c r="AH149" s="12051" t="n"/>
      <c r="AI149" s="12051" t="n"/>
      <c r="AJ149" s="12051" t="n"/>
      <c r="AK149" s="2013" t="n"/>
      <c r="AL149" s="11602" t="n"/>
      <c r="AM149" s="11602" t="n"/>
      <c r="AN149" s="11602" t="n"/>
      <c r="AO149" s="2013" t="n"/>
      <c r="AP149" s="11602" t="n"/>
      <c r="AQ149" s="11602" t="n"/>
      <c r="AR149" s="658" t="n"/>
      <c r="AS149" s="658" t="n"/>
      <c r="AT149" s="658" t="n"/>
      <c r="AU149" s="658" t="n"/>
      <c r="AV149" s="658" t="n"/>
      <c r="AW149" s="658" t="n"/>
      <c r="AX149" s="658" t="n"/>
      <c r="AY149" s="658" t="n"/>
      <c r="AZ149" s="658" t="n"/>
      <c r="BA149" s="658" t="n"/>
    </row>
    <row r="150" ht="15.75" customFormat="1" customHeight="1" s="815">
      <c r="A150" s="2013" t="n"/>
      <c r="B150" s="11602" t="n"/>
      <c r="C150" s="2917" t="n">
        <v>26</v>
      </c>
      <c r="D150" s="514">
        <f>"Credit carryforward to "&amp;NextYear&amp;"."</f>
        <v/>
      </c>
      <c r="E150" s="11602" t="n"/>
      <c r="F150" s="8650" t="n"/>
      <c r="G150" s="8650" t="n"/>
      <c r="H150" s="11602" t="n"/>
      <c r="I150" s="11602" t="n"/>
      <c r="J150" s="7772" t="n"/>
      <c r="K150" s="11602" t="n"/>
      <c r="L150" s="4979" t="inlineStr">
        <is>
          <t>Subtract line 25 from line 21. Keep a record of this amount because</t>
        </is>
      </c>
      <c r="M150" s="7772" t="n"/>
      <c r="N150" s="11602" t="n"/>
      <c r="O150" s="11602" t="n"/>
      <c r="P150" s="11602" t="n"/>
      <c r="Q150" s="11602" t="n"/>
      <c r="R150" s="11602" t="n"/>
      <c r="S150" s="11602" t="n"/>
      <c r="T150" s="11602" t="n"/>
      <c r="U150" s="11602" t="n"/>
      <c r="V150" s="11602" t="n"/>
      <c r="W150" s="11602" t="n"/>
      <c r="X150" s="11602" t="n"/>
      <c r="Y150" s="11602" t="n"/>
      <c r="Z150" s="11602" t="n"/>
      <c r="AA150" s="11602" t="n"/>
      <c r="AB150" s="11602" t="n"/>
      <c r="AC150" s="1657" t="n"/>
      <c r="AD150" s="5743" t="n"/>
      <c r="AE150" s="10890" t="n"/>
      <c r="AF150" s="26" t="n"/>
      <c r="AG150" s="26" t="n"/>
      <c r="AH150" s="26" t="n"/>
      <c r="AI150" s="26" t="n"/>
      <c r="AJ150" s="26" t="n"/>
      <c r="AK150" s="2013" t="n"/>
      <c r="AL150" s="11602" t="n"/>
      <c r="AM150" s="11602" t="n"/>
      <c r="AN150" s="11602" t="n"/>
      <c r="AO150" s="2013" t="n"/>
      <c r="AP150" s="11602" t="n"/>
      <c r="AQ150" s="11602" t="n"/>
      <c r="AR150" s="658" t="n"/>
      <c r="AS150" s="658" t="n"/>
      <c r="AT150" s="658" t="n"/>
      <c r="AU150" s="658" t="n"/>
      <c r="AV150" s="658" t="n"/>
      <c r="AW150" s="658" t="n"/>
      <c r="AX150" s="658" t="n"/>
      <c r="AY150" s="658" t="n"/>
      <c r="AZ150" s="658" t="n"/>
      <c r="BA150" s="658" t="n"/>
    </row>
    <row r="151" ht="16.5" customFormat="1" customHeight="1" s="815" thickBot="1">
      <c r="A151" s="2013" t="n"/>
      <c r="B151" s="380" t="n"/>
      <c r="C151" s="5002" t="n"/>
      <c r="D151" s="5003" t="inlineStr">
        <is>
          <t>you may use it in future years</t>
        </is>
      </c>
      <c r="E151" s="380" t="n"/>
      <c r="F151" s="2015" t="n"/>
      <c r="G151" s="2015" t="n"/>
      <c r="H151" s="380" t="n"/>
      <c r="I151" s="380" t="n"/>
      <c r="J151" s="380" t="n"/>
      <c r="K151" s="380" t="n"/>
      <c r="L151" s="380" t="n"/>
      <c r="M151" s="380" t="n"/>
      <c r="N151" s="380" t="n"/>
      <c r="O151" s="380" t="n"/>
      <c r="P151" s="380" t="n"/>
      <c r="Q151" s="380" t="n"/>
      <c r="R151" s="380" t="n"/>
      <c r="S151" s="380" t="n"/>
      <c r="T151" s="380" t="n"/>
      <c r="U151" s="380" t="n"/>
      <c r="V151" s="380" t="n"/>
      <c r="W151" s="380" t="n"/>
      <c r="X151" s="380" t="n"/>
      <c r="Y151" s="380" t="n"/>
      <c r="Z151" s="380" t="n"/>
      <c r="AA151" s="380" t="n"/>
      <c r="AB151" s="380" t="n"/>
      <c r="AC151" s="10736" t="inlineStr">
        <is>
          <t xml:space="preserve">.   .   .   .   .   .   .   .   .   .   .   .   .   .   .   .   .   .   .   .   .   .   .   .   .   . </t>
        </is>
      </c>
      <c r="AD151" s="7613" t="n">
        <v>26</v>
      </c>
      <c r="AE151" s="10924">
        <f>IF(AM151&lt;&gt;"",ROUND(AM151,0),IF(OR($AQ$139,$AE$110),"",SUM(AE139,-AE148)))</f>
        <v/>
      </c>
      <c r="AF151" s="11705" t="n"/>
      <c r="AG151" s="11705" t="n"/>
      <c r="AH151" s="11705" t="n"/>
      <c r="AI151" s="11705" t="n"/>
      <c r="AJ151" s="11705" t="n"/>
      <c r="AK151" s="2013" t="n"/>
      <c r="AL151" s="11602" t="n"/>
      <c r="AM151" s="11602" t="n"/>
      <c r="AN151" s="11602" t="n"/>
      <c r="AO151" s="2013" t="n"/>
      <c r="AP151" s="11602" t="n"/>
      <c r="AQ151" s="11602" t="n"/>
      <c r="AR151" s="658" t="n"/>
      <c r="AS151" s="658" t="n"/>
      <c r="AT151" s="658" t="n"/>
      <c r="AU151" s="658" t="n"/>
      <c r="AV151" s="658" t="n"/>
      <c r="AW151" s="658" t="n"/>
      <c r="AX151" s="658" t="n"/>
      <c r="AY151" s="658" t="n"/>
      <c r="AZ151" s="658" t="n"/>
      <c r="BA151" s="658" t="n"/>
    </row>
    <row r="152" ht="15.75" customFormat="1" customHeight="1" s="815">
      <c r="A152" s="2013" t="n"/>
      <c r="B152" s="2447" t="n"/>
      <c r="C152" s="728" t="n"/>
      <c r="D152" s="11403" t="n"/>
      <c r="E152" s="11403" t="n"/>
      <c r="F152" s="11403" t="n"/>
      <c r="G152" s="11403" t="n"/>
      <c r="H152" s="11403" t="n"/>
      <c r="I152" s="11403" t="n"/>
      <c r="J152" s="11403" t="n"/>
      <c r="K152" s="11403" t="n"/>
      <c r="L152" s="11403" t="n"/>
      <c r="M152" s="11403" t="n"/>
      <c r="N152" s="11403" t="n"/>
      <c r="O152" s="11403" t="n"/>
      <c r="P152" s="11403" t="n"/>
      <c r="Q152" s="88" t="n"/>
      <c r="R152" s="88" t="n"/>
      <c r="S152" s="88" t="n"/>
      <c r="T152" s="88" t="n"/>
      <c r="U152" s="3931" t="n"/>
      <c r="V152" s="88" t="n"/>
      <c r="W152" s="3931" t="n"/>
      <c r="X152" s="88" t="n"/>
      <c r="Y152" s="88" t="n"/>
      <c r="Z152" s="88" t="n"/>
      <c r="AA152" s="88" t="n"/>
      <c r="AB152" s="88" t="n"/>
      <c r="AC152" s="88" t="n"/>
      <c r="AD152" s="88" t="n"/>
      <c r="AE152" s="88" t="n"/>
      <c r="AF152" s="88" t="n"/>
      <c r="AG152" s="88" t="n"/>
      <c r="AH152" s="2052" t="inlineStr">
        <is>
          <t>Form 8801</t>
        </is>
      </c>
      <c r="AI152" s="88" t="n"/>
      <c r="AJ152" s="2052">
        <f>"("&amp;TaxYear&amp;")"</f>
        <v/>
      </c>
      <c r="AK152" s="2013" t="n"/>
      <c r="AL152" s="11602" t="n"/>
      <c r="AM152" s="11602" t="n"/>
      <c r="AN152" s="11602" t="n"/>
      <c r="AO152" s="2013" t="n"/>
      <c r="AP152" s="11602" t="n"/>
      <c r="AQ152" s="11602" t="n"/>
      <c r="AR152" s="658" t="n"/>
      <c r="AS152" s="658" t="n"/>
      <c r="AT152" s="658" t="n"/>
      <c r="AU152" s="658" t="n"/>
      <c r="AV152" s="658" t="n"/>
      <c r="AW152" s="658" t="n"/>
      <c r="AX152" s="658" t="n"/>
      <c r="AY152" s="658" t="n"/>
      <c r="AZ152" s="658" t="n"/>
      <c r="BA152" s="658" t="n"/>
    </row>
    <row r="153" ht="19.5" customFormat="1" customHeight="1" s="815">
      <c r="A153" s="2013" t="n"/>
      <c r="B153" s="2329" t="n"/>
      <c r="C153" s="2329" t="n"/>
      <c r="D153" s="2329" t="n"/>
      <c r="E153" s="1672" t="n"/>
      <c r="F153" s="11602" t="n"/>
      <c r="G153" s="11602" t="n"/>
      <c r="H153" s="11602" t="n"/>
      <c r="I153" s="11602" t="n"/>
      <c r="J153" s="11602" t="n"/>
      <c r="K153" s="11602" t="n"/>
      <c r="L153" s="11602" t="n"/>
      <c r="M153" s="11602" t="n"/>
      <c r="N153" s="11602" t="n"/>
      <c r="O153" s="11602" t="n"/>
      <c r="P153" s="11602" t="n"/>
      <c r="Q153" s="11602" t="n"/>
      <c r="R153" s="11602" t="n"/>
      <c r="S153" s="11602" t="n"/>
      <c r="T153" s="11602" t="n"/>
      <c r="U153" s="11602" t="n"/>
      <c r="V153" s="11602" t="n"/>
      <c r="W153" s="11602" t="n"/>
      <c r="X153" s="11602" t="n"/>
      <c r="Y153" s="11602" t="n"/>
      <c r="Z153" s="11602" t="n"/>
      <c r="AA153" s="11602" t="n"/>
      <c r="AB153" s="11602" t="n"/>
      <c r="AC153" s="11602" t="n"/>
      <c r="AD153" s="11602" t="n"/>
      <c r="AE153" s="11602" t="n"/>
      <c r="AF153" s="11602" t="n"/>
      <c r="AG153" s="11602" t="n"/>
      <c r="AH153" s="11602" t="n"/>
      <c r="AI153" s="11602" t="n"/>
      <c r="AJ153" s="11602" t="n"/>
      <c r="AK153" s="2013" t="n"/>
      <c r="AL153" s="11602" t="n"/>
      <c r="AM153" s="11602" t="n"/>
      <c r="AN153" s="11602" t="n"/>
      <c r="AO153" s="2013" t="n"/>
      <c r="AP153" s="11602" t="n"/>
      <c r="AQ153" s="11602" t="n"/>
      <c r="AR153" s="658" t="n"/>
      <c r="AS153" s="658" t="n"/>
      <c r="AT153" s="658" t="n"/>
      <c r="AU153" s="658" t="n"/>
      <c r="AV153" s="658" t="n"/>
      <c r="AW153" s="658" t="n"/>
      <c r="AX153" s="658" t="n"/>
      <c r="AY153" s="658" t="n"/>
      <c r="AZ153" s="658" t="n"/>
      <c r="BA153" s="658" t="n"/>
    </row>
    <row r="154" ht="16.5" customHeight="1" s="7635">
      <c r="A154" s="2013" t="n"/>
      <c r="B154" s="2329" t="n"/>
      <c r="C154" s="2329" t="n"/>
      <c r="D154" s="2329" t="n"/>
      <c r="E154" s="1672" t="n"/>
      <c r="F154" s="11602" t="n"/>
      <c r="G154" s="11602" t="n"/>
      <c r="H154" s="11602" t="n"/>
      <c r="I154" s="11602" t="n"/>
      <c r="J154" s="11602" t="n"/>
      <c r="K154" s="11602" t="n"/>
      <c r="L154" s="11602" t="n"/>
      <c r="M154" s="11602" t="n"/>
      <c r="N154" s="11602" t="n"/>
      <c r="O154" s="11602" t="n"/>
      <c r="P154" s="11602" t="n"/>
      <c r="Q154" s="11602" t="n"/>
      <c r="R154" s="11602" t="n"/>
      <c r="S154" s="11602" t="n"/>
      <c r="T154" s="11602" t="n"/>
      <c r="U154" s="11602" t="n"/>
      <c r="V154" s="11602" t="n"/>
      <c r="W154" s="11602" t="n"/>
      <c r="X154" s="11602" t="n"/>
      <c r="Y154" s="11602" t="n"/>
      <c r="Z154" s="11602" t="n"/>
      <c r="AA154" s="11602" t="n"/>
      <c r="AB154" s="11602" t="n"/>
      <c r="AC154" s="11602" t="n"/>
      <c r="AD154" s="11602" t="n"/>
      <c r="AE154" s="11602" t="n"/>
      <c r="AF154" s="11602" t="n"/>
      <c r="AG154" s="11602" t="n"/>
      <c r="AH154" s="11602" t="n"/>
      <c r="AI154" s="11602" t="n"/>
      <c r="AJ154" s="11602" t="n"/>
      <c r="AK154" s="2013" t="n"/>
      <c r="AL154" s="11602" t="n"/>
      <c r="AM154" s="11602" t="n"/>
      <c r="AN154" s="11602" t="n"/>
      <c r="AO154" s="2013" t="n"/>
      <c r="AP154" s="11602" t="n"/>
      <c r="AQ154" s="11602" t="n"/>
    </row>
    <row r="155" ht="18" customFormat="1" customHeight="1" s="815" thickBot="1">
      <c r="A155" s="2013" t="n"/>
      <c r="B155" s="721">
        <f>"Form 8801 ("&amp;TaxYear&amp;")"</f>
        <v/>
      </c>
      <c r="C155" s="4484" t="n"/>
      <c r="D155" s="721" t="n"/>
      <c r="E155" s="721" t="n"/>
      <c r="F155" s="721" t="n"/>
      <c r="G155" s="721" t="n"/>
      <c r="H155" s="721" t="n"/>
      <c r="I155" s="721" t="n"/>
      <c r="J155" s="721" t="n"/>
      <c r="K155" s="721" t="n"/>
      <c r="L155" s="721" t="n"/>
      <c r="M155" s="721" t="n"/>
      <c r="N155" s="721" t="n"/>
      <c r="O155" s="721" t="n"/>
      <c r="P155" s="721" t="n"/>
      <c r="Q155" s="721" t="n"/>
      <c r="R155" s="721" t="n"/>
      <c r="S155" s="721" t="n"/>
      <c r="T155" s="721" t="n"/>
      <c r="U155" s="721" t="n"/>
      <c r="V155" s="721" t="n"/>
      <c r="W155" s="721" t="n"/>
      <c r="X155" s="721" t="n"/>
      <c r="Y155" s="721" t="n"/>
      <c r="Z155" s="721" t="n"/>
      <c r="AA155" s="721" t="n"/>
      <c r="AB155" s="721" t="n"/>
      <c r="AC155" s="721" t="n"/>
      <c r="AD155" s="721" t="n"/>
      <c r="AE155" s="721" t="n"/>
      <c r="AF155" s="721" t="n"/>
      <c r="AG155" s="721" t="n"/>
      <c r="AH155" s="721" t="n"/>
      <c r="AI155" s="2053" t="inlineStr">
        <is>
          <t>Page</t>
        </is>
      </c>
      <c r="AJ155" s="2054" t="n">
        <v>3</v>
      </c>
      <c r="AK155" s="2013" t="n"/>
      <c r="AL155" s="11602" t="n"/>
      <c r="AM155" s="11602" t="n"/>
      <c r="AN155" s="11602" t="n"/>
      <c r="AO155" s="2013" t="n"/>
      <c r="AP155" s="11602" t="n"/>
      <c r="AQ155" s="11602" t="n"/>
      <c r="AR155" s="658" t="n"/>
      <c r="AS155" s="658" t="n"/>
      <c r="AT155" s="658" t="n"/>
      <c r="AU155" s="658" t="n"/>
      <c r="AV155" s="658" t="n"/>
      <c r="AW155" s="658" t="n"/>
      <c r="AX155" s="658" t="n"/>
      <c r="AY155" s="658" t="n"/>
      <c r="AZ155" s="658" t="n"/>
      <c r="BA155" s="658" t="n"/>
    </row>
    <row r="156" ht="19.5" customFormat="1" customHeight="1" s="815" thickTop="1">
      <c r="A156" s="2013" t="n"/>
      <c r="B156" s="10872" t="inlineStr">
        <is>
          <t>Part III</t>
        </is>
      </c>
      <c r="C156" s="9668" t="n"/>
      <c r="D156" s="4485" t="n"/>
      <c r="E156" s="4485" t="inlineStr">
        <is>
          <t>Tax Computation Using Maximum Capital Gains Rates</t>
        </is>
      </c>
      <c r="F156" s="257" t="n"/>
      <c r="G156" s="257" t="n"/>
      <c r="H156" s="257" t="n"/>
      <c r="I156" s="257" t="n"/>
      <c r="J156" s="257" t="n"/>
      <c r="K156" s="257" t="n"/>
      <c r="L156" s="257" t="n"/>
      <c r="M156" s="257" t="n"/>
      <c r="N156" s="257" t="n"/>
      <c r="O156" s="257" t="n"/>
      <c r="P156" s="257" t="n"/>
      <c r="Q156" s="257" t="n"/>
      <c r="R156" s="257" t="n"/>
      <c r="S156" s="257" t="n"/>
      <c r="T156" s="257" t="n"/>
      <c r="U156" s="257" t="n"/>
      <c r="V156" s="257" t="n"/>
      <c r="W156" s="257" t="n"/>
      <c r="X156" s="257" t="n"/>
      <c r="Y156" s="257" t="n"/>
      <c r="Z156" s="257" t="n"/>
      <c r="AA156" s="257" t="n"/>
      <c r="AB156" s="257" t="n"/>
      <c r="AC156" s="257" t="n"/>
      <c r="AD156" s="257" t="n"/>
      <c r="AE156" s="10922">
        <f>OR($AQ$110,$AQ$246)</f>
        <v/>
      </c>
      <c r="AF156" s="9668" t="n"/>
      <c r="AG156" s="9668" t="n"/>
      <c r="AH156" s="9668" t="n"/>
      <c r="AI156" s="9668" t="n"/>
      <c r="AJ156" s="9668" t="n"/>
      <c r="AK156" s="2013" t="n"/>
      <c r="AL156" s="11602" t="n"/>
      <c r="AM156" s="11602" t="n"/>
      <c r="AN156" s="11602" t="n"/>
      <c r="AO156" s="2013" t="n"/>
      <c r="AP156" s="11602" t="n"/>
      <c r="AQ156" s="11602" t="n"/>
      <c r="AR156" s="658" t="n"/>
      <c r="AS156" s="658" t="n"/>
      <c r="AT156" s="658" t="n"/>
      <c r="AU156" s="658" t="n"/>
      <c r="AV156" s="658" t="n"/>
      <c r="AW156" s="658" t="n"/>
      <c r="AX156" s="658" t="n"/>
      <c r="AY156" s="658" t="n"/>
      <c r="AZ156" s="658" t="n"/>
      <c r="BA156" s="658" t="n"/>
    </row>
    <row r="157" ht="15" customFormat="1" customHeight="1" s="815">
      <c r="A157" s="2013" t="n"/>
      <c r="B157" s="413" t="n"/>
      <c r="C157" s="11248" t="n"/>
      <c r="D157" s="1998" t="n"/>
      <c r="E157" s="1996" t="inlineStr">
        <is>
          <t>Complete Part III only if you are required to do so by line 11 or by the Foreign Earned Income Tax Worksheet in the instructions.</t>
        </is>
      </c>
      <c r="F157" s="413" t="n"/>
      <c r="G157" s="413" t="n"/>
      <c r="H157" s="413" t="n"/>
      <c r="I157" s="413" t="n"/>
      <c r="J157" s="413" t="n"/>
      <c r="K157" s="413" t="n"/>
      <c r="L157" s="413" t="n"/>
      <c r="M157" s="413" t="n"/>
      <c r="N157" s="413" t="n"/>
      <c r="O157" s="413" t="n"/>
      <c r="P157" s="413" t="n"/>
      <c r="Q157" s="413" t="n"/>
      <c r="R157" s="413" t="n"/>
      <c r="S157" s="413" t="n"/>
      <c r="T157" s="413" t="n"/>
      <c r="U157" s="413" t="n"/>
      <c r="V157" s="413" t="n"/>
      <c r="W157" s="413" t="n"/>
      <c r="X157" s="413" t="n"/>
      <c r="Y157" s="413" t="n"/>
      <c r="Z157" s="413" t="n"/>
      <c r="AA157" s="413" t="n"/>
      <c r="AB157" s="413" t="n"/>
      <c r="AC157" s="8323" t="n"/>
      <c r="AD157" s="9794" t="n"/>
      <c r="AE157" s="5702" t="n"/>
      <c r="AF157" s="5703" t="n"/>
      <c r="AG157" s="5703" t="n"/>
      <c r="AH157" s="5703" t="n"/>
      <c r="AI157" s="5703" t="n"/>
      <c r="AJ157" s="5703" t="n"/>
      <c r="AK157" s="2013" t="n"/>
      <c r="AL157" s="11602" t="n"/>
      <c r="AM157" s="11602" t="n"/>
      <c r="AN157" s="11602" t="n"/>
      <c r="AO157" s="2013" t="n"/>
      <c r="AP157" s="11602" t="n"/>
      <c r="AQ157" s="11602" t="n"/>
      <c r="AR157" s="658" t="n"/>
      <c r="AS157" s="658" t="n"/>
      <c r="AT157" s="658" t="n"/>
      <c r="AU157" s="658" t="n"/>
      <c r="AV157" s="658" t="n"/>
      <c r="AW157" s="658" t="n"/>
      <c r="AX157" s="658" t="n"/>
      <c r="AY157" s="658" t="n"/>
      <c r="AZ157" s="658" t="n"/>
      <c r="BA157" s="658" t="n"/>
    </row>
    <row r="158" ht="18" customHeight="1" s="7635">
      <c r="A158" s="2013" t="n"/>
      <c r="B158" s="514" t="n"/>
      <c r="C158" s="514" t="n"/>
      <c r="D158" s="5218" t="inlineStr">
        <is>
          <t>Caution:</t>
        </is>
      </c>
      <c r="E158" s="2311" t="n"/>
      <c r="F158" s="7772" t="n"/>
      <c r="G158" s="7772">
        <f>"If you didn’t complete the "&amp;LastYear&amp;" Qualified Dividends and Capital Gain Tax Worksheet, the"</f>
        <v/>
      </c>
      <c r="H158" s="7772" t="n"/>
      <c r="I158" s="7772" t="n"/>
      <c r="J158" s="7772" t="n"/>
      <c r="K158" s="7772" t="n"/>
      <c r="L158" s="7772" t="n"/>
      <c r="M158" s="7772" t="n"/>
      <c r="N158" s="7772" t="n"/>
      <c r="O158" s="7772" t="n"/>
      <c r="P158" s="7772" t="n"/>
      <c r="Q158" s="7772" t="n"/>
      <c r="R158" s="7772" t="n"/>
      <c r="S158" s="7772" t="n"/>
      <c r="T158" s="7772" t="n"/>
      <c r="U158" s="7772" t="n"/>
      <c r="V158" s="7772" t="n"/>
      <c r="W158" s="7772" t="n"/>
      <c r="X158" s="7772" t="n"/>
      <c r="Y158" s="7772" t="n"/>
      <c r="Z158" s="7772" t="n"/>
      <c r="AA158" s="7772" t="n"/>
      <c r="AB158" s="7772" t="n"/>
      <c r="AC158" s="7772" t="n"/>
      <c r="AD158" s="2924" t="n"/>
      <c r="AE158" s="10907" t="n"/>
      <c r="AF158" s="12051" t="n"/>
      <c r="AG158" s="12051" t="n"/>
      <c r="AH158" s="12051" t="n"/>
      <c r="AI158" s="12051" t="n"/>
      <c r="AJ158" s="12051" t="n"/>
      <c r="AK158" s="2013" t="n"/>
      <c r="AL158" s="11602" t="n"/>
      <c r="AM158" s="11602" t="n"/>
      <c r="AN158" s="11602" t="n"/>
      <c r="AO158" s="2013" t="n"/>
      <c r="AP158" s="11602" t="n"/>
      <c r="AQ158" s="11602" t="n"/>
    </row>
    <row r="159" ht="18" customHeight="1" s="7635">
      <c r="A159" s="2013" t="n"/>
      <c r="B159" s="514" t="n"/>
      <c r="C159" s="514" t="n"/>
      <c r="D159" s="7772">
        <f>LastYear&amp;" Schedule D Tax Worksheet, or Part V of the "&amp;LastYear&amp;" Schedule D (Form 1041), see the instructions"</f>
        <v/>
      </c>
      <c r="E159" s="2311" t="n"/>
      <c r="F159" s="7772" t="n"/>
      <c r="G159" s="7772" t="n"/>
      <c r="H159" s="7772" t="n"/>
      <c r="I159" s="7772" t="n"/>
      <c r="J159" s="7772" t="n"/>
      <c r="K159" s="7772" t="n"/>
      <c r="L159" s="7772" t="n"/>
      <c r="M159" s="7772" t="n"/>
      <c r="N159" s="7772" t="n"/>
      <c r="O159" s="7772" t="n"/>
      <c r="P159" s="7772" t="n"/>
      <c r="Q159" s="7772" t="n"/>
      <c r="R159" s="7772" t="n"/>
      <c r="S159" s="7772" t="n"/>
      <c r="T159" s="7772" t="n"/>
      <c r="U159" s="7772" t="n"/>
      <c r="V159" s="7772" t="n"/>
      <c r="W159" s="7772" t="n"/>
      <c r="X159" s="7772" t="n"/>
      <c r="Y159" s="7772" t="n"/>
      <c r="Z159" s="7772" t="n"/>
      <c r="AA159" s="7772" t="n"/>
      <c r="AB159" s="7772" t="n"/>
      <c r="AC159" s="7772" t="n"/>
      <c r="AD159" s="2924" t="n"/>
      <c r="AE159" s="5707" t="n"/>
      <c r="AF159" s="5708" t="n"/>
      <c r="AG159" s="5708" t="n"/>
      <c r="AH159" s="5708" t="n"/>
      <c r="AI159" s="5708" t="n"/>
      <c r="AJ159" s="5708" t="n"/>
      <c r="AK159" s="2013" t="n"/>
      <c r="AL159" s="11602" t="n"/>
      <c r="AM159" s="11602" t="n"/>
      <c r="AN159" s="11602" t="n"/>
      <c r="AO159" s="2013" t="n"/>
      <c r="AP159" s="11602" t="n"/>
      <c r="AQ159" s="11602" t="n"/>
    </row>
    <row r="160" ht="18" customFormat="1" customHeight="1" s="815">
      <c r="A160" s="2013" t="n"/>
      <c r="B160" s="11602" t="n"/>
      <c r="C160" s="11216" t="n"/>
      <c r="D160" s="7772" t="inlineStr">
        <is>
          <t>before completing this part.*</t>
        </is>
      </c>
      <c r="E160" s="11602" t="n"/>
      <c r="F160" s="11602" t="n"/>
      <c r="G160" s="11602" t="n"/>
      <c r="H160" s="11602" t="n"/>
      <c r="I160" s="11602" t="n"/>
      <c r="J160" s="11602" t="n"/>
      <c r="K160" s="11602" t="n"/>
      <c r="L160" s="11602" t="n"/>
      <c r="M160" s="8648" t="n"/>
      <c r="N160" s="11602" t="n"/>
      <c r="O160" s="11602" t="n"/>
      <c r="P160" s="11602" t="n"/>
      <c r="Q160" s="11602" t="n"/>
      <c r="R160" s="11602" t="n"/>
      <c r="S160" s="11602" t="n"/>
      <c r="T160" s="11602" t="n"/>
      <c r="U160" s="11602" t="n"/>
      <c r="V160" s="11602" t="n"/>
      <c r="W160" s="11602" t="n"/>
      <c r="X160" s="11602" t="n"/>
      <c r="Y160" s="11602" t="n"/>
      <c r="Z160" s="11602" t="n"/>
      <c r="AA160" s="11602" t="n"/>
      <c r="AB160" s="11602" t="n"/>
      <c r="AC160" s="1657" t="n"/>
      <c r="AD160" s="2924" t="n"/>
      <c r="AE160" s="5707" t="n"/>
      <c r="AF160" s="5708" t="n"/>
      <c r="AG160" s="5708" t="n"/>
      <c r="AH160" s="5708" t="n"/>
      <c r="AI160" s="5708" t="n"/>
      <c r="AJ160" s="5708" t="n"/>
      <c r="AK160" s="2013" t="n"/>
      <c r="AL160" s="11602" t="n"/>
      <c r="AM160" s="11602" t="n"/>
      <c r="AN160" s="11602" t="n"/>
      <c r="AO160" s="2013" t="n"/>
      <c r="AP160" s="11602" t="n"/>
      <c r="AQ160" s="11602" t="n"/>
      <c r="AR160" s="658" t="n"/>
      <c r="AS160" s="658" t="n"/>
      <c r="AT160" s="658" t="n"/>
      <c r="AU160" s="658" t="n"/>
      <c r="AV160" s="658" t="n"/>
      <c r="AW160" s="658" t="n"/>
      <c r="AX160" s="658" t="n"/>
      <c r="AY160" s="658" t="n"/>
      <c r="AZ160" s="658" t="n"/>
      <c r="BA160" s="658" t="n"/>
    </row>
    <row r="161" ht="18" customFormat="1" customHeight="1" s="815" thickBot="1">
      <c r="A161" s="2013" t="n"/>
      <c r="B161" s="11602" t="n"/>
      <c r="C161" s="2917" t="n">
        <v>27</v>
      </c>
      <c r="D161" s="7772">
        <f>"Enter the amount from Form 8801, line 10. If you filed Form 2555 for "&amp;LastYear&amp;", enter the amount from line"</f>
        <v/>
      </c>
      <c r="E161" s="11602" t="n"/>
      <c r="F161" s="8650" t="n"/>
      <c r="G161" s="8650" t="n"/>
      <c r="H161" s="11602" t="n"/>
      <c r="I161" s="11602" t="n"/>
      <c r="J161" s="7772" t="n"/>
      <c r="K161" s="11602" t="n"/>
      <c r="L161" s="11602" t="n"/>
      <c r="M161" s="11602" t="n"/>
      <c r="N161" s="11602" t="n"/>
      <c r="O161" s="11602" t="n"/>
      <c r="P161" s="11602" t="n"/>
      <c r="Q161" s="11602" t="n"/>
      <c r="R161" s="11602" t="n"/>
      <c r="S161" s="11602" t="n"/>
      <c r="T161" s="11602" t="n"/>
      <c r="U161" s="11602" t="n"/>
      <c r="V161" s="11602" t="n"/>
      <c r="W161" s="11602" t="n"/>
      <c r="X161" s="11602" t="n"/>
      <c r="Y161" s="11602" t="n"/>
      <c r="Z161" s="11602" t="n"/>
      <c r="AA161" s="11602" t="n"/>
      <c r="AB161" s="11602" t="n"/>
      <c r="AC161" s="1657" t="n"/>
      <c r="AD161" s="2924" t="n"/>
      <c r="AE161" s="10894" t="n"/>
      <c r="AF161" s="26" t="n"/>
      <c r="AG161" s="26" t="n"/>
      <c r="AH161" s="26" t="n"/>
      <c r="AI161" s="26" t="n"/>
      <c r="AJ161" s="26" t="n"/>
      <c r="AK161" s="2013" t="n"/>
      <c r="AL161" s="11602" t="n"/>
      <c r="AM161" s="11602" t="n"/>
      <c r="AN161" s="11602" t="n"/>
      <c r="AO161" s="2013" t="n"/>
      <c r="AP161" s="11602" t="n"/>
      <c r="AQ161" s="11602" t="n"/>
      <c r="AR161" s="658" t="n"/>
      <c r="AS161" s="658" t="n"/>
      <c r="AT161" s="658" t="n"/>
      <c r="AU161" s="658" t="n"/>
      <c r="AV161" s="658" t="n"/>
      <c r="AW161" s="658" t="n"/>
      <c r="AX161" s="658" t="n"/>
      <c r="AY161" s="658" t="n"/>
      <c r="AZ161" s="658" t="n"/>
      <c r="BA161" s="658" t="n"/>
    </row>
    <row r="162" ht="18" customFormat="1" customHeight="1" s="815" thickBot="1">
      <c r="A162" s="2013" t="n"/>
      <c r="B162" s="11602" t="n"/>
      <c r="C162" s="2917" t="n"/>
      <c r="D162" s="7772" t="inlineStr">
        <is>
          <t>3 of the Foreign Earned Income Tax Worksheet in the instructions</t>
        </is>
      </c>
      <c r="E162" s="11602" t="n"/>
      <c r="F162" s="8650" t="n"/>
      <c r="G162" s="8650" t="n"/>
      <c r="H162" s="11602" t="n"/>
      <c r="I162" s="11602" t="n"/>
      <c r="J162" s="11602" t="n"/>
      <c r="K162" s="11602" t="n"/>
      <c r="L162" s="11602" t="n"/>
      <c r="M162" s="11602" t="n"/>
      <c r="N162" s="11602" t="n"/>
      <c r="O162" s="11602" t="n"/>
      <c r="P162" s="11602" t="n"/>
      <c r="Q162" s="11602" t="n"/>
      <c r="R162" s="11602" t="n"/>
      <c r="S162" s="11602" t="n"/>
      <c r="T162" s="11602" t="n"/>
      <c r="U162" s="11602" t="n"/>
      <c r="V162" s="11602" t="n"/>
      <c r="W162" s="11602" t="n"/>
      <c r="X162" s="11602" t="n"/>
      <c r="Y162" s="11602" t="n"/>
      <c r="Z162" s="11602" t="n"/>
      <c r="AA162" s="11602" t="n"/>
      <c r="AB162" s="11602" t="n"/>
      <c r="AC162" s="1657" t="inlineStr">
        <is>
          <t xml:space="preserve">.   .   .   .   .   .   .   .   .   .   .   .   .   .   .   . </t>
        </is>
      </c>
      <c r="AD162" s="8389" t="n">
        <v>27</v>
      </c>
      <c r="AE162" s="10889">
        <f>IF(AM162&lt;&gt;"",ROUND(AM162,0),IF(NOT(AE156),"",IF($AQ$246,$AE$243,$AE$103)))</f>
        <v/>
      </c>
      <c r="AF162" s="7637" t="n"/>
      <c r="AG162" s="7637" t="n"/>
      <c r="AH162" s="7637" t="n"/>
      <c r="AI162" s="7637" t="n"/>
      <c r="AJ162" s="7637" t="n"/>
      <c r="AK162" s="2013" t="n"/>
      <c r="AL162" s="11602" t="n"/>
      <c r="AM162" s="5719" t="n"/>
      <c r="AN162" s="1806" t="n"/>
      <c r="AO162" s="2013" t="n"/>
      <c r="AP162" s="11602" t="n"/>
      <c r="AQ162" s="11602" t="n"/>
      <c r="AR162" s="658" t="n"/>
      <c r="AS162" s="658" t="n"/>
      <c r="AT162" s="658" t="n"/>
      <c r="AU162" s="658" t="n"/>
      <c r="AV162" s="658" t="n"/>
      <c r="AW162" s="658" t="n"/>
      <c r="AX162" s="658" t="n"/>
      <c r="AY162" s="658" t="n"/>
      <c r="AZ162" s="658" t="n"/>
      <c r="BA162" s="658" t="n"/>
    </row>
    <row r="163" ht="18" customHeight="1" s="7635">
      <c r="A163" s="2013" t="n"/>
      <c r="B163" s="514" t="n"/>
      <c r="C163" s="514" t="n"/>
      <c r="D163" s="5218" t="inlineStr">
        <is>
          <t>Caution:  If  for</t>
        </is>
      </c>
      <c r="E163" s="2311" t="n"/>
      <c r="F163" s="7772" t="n"/>
      <c r="G163" s="514" t="n"/>
      <c r="H163" s="8439">
        <f>LastYear</f>
        <v/>
      </c>
      <c r="J163" s="7772" t="inlineStr">
        <is>
          <t>you filed Form 1041 or 2555, see the instructions before completing lines 28,</t>
        </is>
      </c>
      <c r="K163" s="7772" t="n"/>
      <c r="L163" s="7772" t="n"/>
      <c r="M163" s="7772" t="n"/>
      <c r="N163" s="7772" t="n"/>
      <c r="O163" s="7772" t="n"/>
      <c r="P163" s="7772" t="n"/>
      <c r="Q163" s="7772" t="n"/>
      <c r="R163" s="7772" t="n"/>
      <c r="S163" s="7772" t="n"/>
      <c r="T163" s="7772" t="n"/>
      <c r="U163" s="7772" t="n"/>
      <c r="V163" s="7772" t="n"/>
      <c r="W163" s="7772" t="n"/>
      <c r="X163" s="7772" t="n"/>
      <c r="Y163" s="7772" t="n"/>
      <c r="Z163" s="7772" t="n"/>
      <c r="AA163" s="7772" t="n"/>
      <c r="AB163" s="7772" t="n"/>
      <c r="AC163" s="7772" t="n"/>
      <c r="AD163" s="5743" t="n"/>
      <c r="AE163" s="10898">
        <f>IF(AE162="",0,ROUND(AE162,0))</f>
        <v/>
      </c>
      <c r="AF163" s="26" t="n"/>
      <c r="AG163" s="26" t="n"/>
      <c r="AH163" s="26" t="n"/>
      <c r="AI163" s="26" t="n"/>
      <c r="AJ163" s="26" t="n"/>
      <c r="AK163" s="2013" t="n"/>
      <c r="AL163" s="11602" t="n"/>
      <c r="AM163" s="11602" t="n"/>
      <c r="AN163" s="11602" t="n"/>
      <c r="AO163" s="2013" t="n"/>
      <c r="AP163" s="11602" t="n"/>
      <c r="AQ163" s="11602" t="n"/>
    </row>
    <row r="164" ht="18" customHeight="1" s="7635">
      <c r="A164" s="2013" t="n"/>
      <c r="B164" s="514" t="n"/>
      <c r="C164" s="514" t="n"/>
      <c r="D164" s="7772" t="inlineStr">
        <is>
          <t>29, and 30.</t>
        </is>
      </c>
      <c r="E164" s="2311" t="n"/>
      <c r="F164" s="7772" t="n"/>
      <c r="G164" s="7772" t="n"/>
      <c r="H164" s="7772" t="n"/>
      <c r="I164" s="7772" t="n"/>
      <c r="J164" s="7772" t="n"/>
      <c r="K164" s="7772" t="n"/>
      <c r="L164" s="7772" t="n"/>
      <c r="M164" s="7772" t="n"/>
      <c r="N164" s="7772" t="n"/>
      <c r="O164" s="7772" t="n"/>
      <c r="P164" s="7772" t="n"/>
      <c r="Q164" s="7772" t="n"/>
      <c r="R164" s="7772" t="n"/>
      <c r="S164" s="7772" t="n"/>
      <c r="T164" s="7772" t="n"/>
      <c r="U164" s="7772" t="n"/>
      <c r="V164" s="7772" t="n"/>
      <c r="W164" s="7772" t="n"/>
      <c r="X164" s="7772" t="n"/>
      <c r="Y164" s="7772" t="n"/>
      <c r="Z164" s="7772" t="n"/>
      <c r="AA164" s="7772" t="n"/>
      <c r="AB164" s="7772" t="n"/>
      <c r="AC164" s="7772" t="n"/>
      <c r="AD164" s="5743" t="n"/>
      <c r="AE164" s="5707" t="n"/>
      <c r="AF164" s="5708" t="n"/>
      <c r="AG164" s="5708" t="n"/>
      <c r="AH164" s="5708" t="n"/>
      <c r="AI164" s="5708" t="n"/>
      <c r="AJ164" s="5708" t="n"/>
      <c r="AK164" s="2013" t="n"/>
      <c r="AL164" s="11602" t="n"/>
      <c r="AM164" s="11602" t="n"/>
      <c r="AN164" s="11602" t="n"/>
      <c r="AO164" s="2013" t="n"/>
      <c r="AP164" s="11602" t="n"/>
      <c r="AQ164" s="11602" t="n"/>
    </row>
    <row r="165" ht="18" customFormat="1" customHeight="1" s="815">
      <c r="A165" s="2013" t="n"/>
      <c r="B165" s="11602" t="n"/>
      <c r="C165" s="2917" t="n">
        <v>28</v>
      </c>
      <c r="D165" s="7772">
        <f>"Enter the amount from line 4 of your "&amp;LastYear&amp;" Qualified Dividends and Capital Gain Tax Worksheet, the"</f>
        <v/>
      </c>
      <c r="E165" s="11602" t="n"/>
      <c r="F165" s="8650" t="n"/>
      <c r="G165" s="8650" t="n"/>
      <c r="H165" s="11602" t="n"/>
      <c r="I165" s="11602" t="n"/>
      <c r="J165" s="11602" t="n"/>
      <c r="K165" s="11602" t="n"/>
      <c r="L165" s="11602" t="n"/>
      <c r="M165" s="11602" t="n"/>
      <c r="N165" s="11602" t="n"/>
      <c r="O165" s="11602" t="n"/>
      <c r="P165" s="11602" t="n"/>
      <c r="Q165" s="11602" t="n"/>
      <c r="R165" s="11602" t="n"/>
      <c r="S165" s="11602" t="n"/>
      <c r="T165" s="11602" t="n"/>
      <c r="U165" s="11602" t="n"/>
      <c r="V165" s="11602" t="n"/>
      <c r="W165" s="11602" t="n"/>
      <c r="X165" s="11602" t="n"/>
      <c r="Y165" s="11602" t="n"/>
      <c r="Z165" s="11602" t="n"/>
      <c r="AA165" s="11602" t="n"/>
      <c r="AB165" s="11602" t="n"/>
      <c r="AC165" s="1657" t="n"/>
      <c r="AD165" s="5743" t="n"/>
      <c r="AE165" s="10890" t="n"/>
      <c r="AF165" s="26" t="n"/>
      <c r="AG165" s="26" t="n"/>
      <c r="AH165" s="26" t="n"/>
      <c r="AI165" s="26" t="n"/>
      <c r="AJ165" s="26" t="n"/>
      <c r="AK165" s="2013" t="n"/>
      <c r="AL165" s="11602" t="n"/>
      <c r="AM165" s="11602" t="n"/>
      <c r="AN165" s="11602" t="n"/>
      <c r="AO165" s="2013" t="n"/>
      <c r="AP165" s="11602" t="n"/>
      <c r="AQ165" s="11602" t="n"/>
      <c r="AR165" s="658" t="n"/>
      <c r="AS165" s="658" t="n"/>
      <c r="AT165" s="658" t="n"/>
      <c r="AU165" s="658" t="n"/>
      <c r="AV165" s="658" t="n"/>
      <c r="AW165" s="658" t="n"/>
      <c r="AX165" s="658" t="n"/>
      <c r="AY165" s="658" t="n"/>
      <c r="AZ165" s="658" t="n"/>
      <c r="BA165" s="658" t="n"/>
    </row>
    <row r="166" ht="18" customFormat="1" customHeight="1" s="815" thickBot="1">
      <c r="A166" s="2013" t="n"/>
      <c r="B166" s="11602" t="n"/>
      <c r="C166" s="2917" t="n"/>
      <c r="D166" s="7772">
        <f>"amount from line 13 of your "&amp;LastYear&amp;" Schedule D Tax Worksheet, or the amount from line 26 of the "&amp;LastYear</f>
        <v/>
      </c>
      <c r="E166" s="11602" t="n"/>
      <c r="F166" s="8650" t="n"/>
      <c r="G166" s="8650" t="n"/>
      <c r="H166" s="11602" t="n"/>
      <c r="I166" s="11602" t="n"/>
      <c r="J166" s="11602" t="n"/>
      <c r="K166" s="11602" t="n"/>
      <c r="L166" s="11602" t="n"/>
      <c r="M166" s="11602" t="n"/>
      <c r="N166" s="11602" t="n"/>
      <c r="O166" s="11602" t="n"/>
      <c r="P166" s="11602" t="n"/>
      <c r="Q166" s="11602" t="n"/>
      <c r="R166" s="11602" t="n"/>
      <c r="S166" s="11602" t="n"/>
      <c r="T166" s="11602" t="n"/>
      <c r="U166" s="11602" t="n"/>
      <c r="V166" s="11602" t="n"/>
      <c r="W166" s="11602" t="n"/>
      <c r="X166" s="11602" t="n"/>
      <c r="Y166" s="11602" t="n"/>
      <c r="Z166" s="11602" t="n"/>
      <c r="AA166" s="11602" t="n"/>
      <c r="AB166" s="11602" t="n"/>
      <c r="AC166" s="1657" t="n"/>
      <c r="AD166" s="5743" t="n"/>
      <c r="AE166" s="5699" t="n"/>
      <c r="AF166" s="10891" t="n"/>
      <c r="AG166" s="10891" t="n"/>
      <c r="AH166" s="10891" t="n"/>
      <c r="AI166" s="10891" t="n"/>
      <c r="AJ166" s="10891" t="n"/>
      <c r="AK166" s="2013" t="n"/>
      <c r="AL166" s="11602" t="n"/>
      <c r="AM166" s="11602" t="n"/>
      <c r="AN166" s="11602" t="n"/>
      <c r="AO166" s="2013" t="n"/>
      <c r="AP166" s="11602" t="n"/>
      <c r="AQ166" s="11602" t="n"/>
      <c r="AR166" s="658" t="n"/>
      <c r="AS166" s="658" t="n"/>
      <c r="AT166" s="658" t="n"/>
      <c r="AU166" s="658" t="n"/>
      <c r="AV166" s="658" t="n"/>
      <c r="AW166" s="658" t="n"/>
      <c r="AX166" s="658" t="n"/>
      <c r="AY166" s="658" t="n"/>
      <c r="AZ166" s="658" t="n"/>
      <c r="BA166" s="658" t="n"/>
    </row>
    <row r="167" ht="18" customFormat="1" customHeight="1" s="815" thickBot="1">
      <c r="A167" s="2013" t="n"/>
      <c r="B167" s="11602" t="n"/>
      <c r="C167" s="2917" t="n"/>
      <c r="D167" s="7772" t="inlineStr">
        <is>
          <t xml:space="preserve">Schedule D (Form 1041), whichever applies (as refigured for the AMT, if necessary)* </t>
        </is>
      </c>
      <c r="E167" s="11602" t="n"/>
      <c r="F167" s="8650" t="n"/>
      <c r="G167" s="8650" t="n"/>
      <c r="H167" s="11602" t="n"/>
      <c r="I167" s="11602" t="n"/>
      <c r="J167" s="11602" t="n"/>
      <c r="K167" s="11602" t="n"/>
      <c r="L167" s="11602" t="n"/>
      <c r="M167" s="11602" t="n"/>
      <c r="N167" s="11602" t="n"/>
      <c r="O167" s="11602" t="n"/>
      <c r="P167" s="11602" t="n"/>
      <c r="Q167" s="11602" t="n"/>
      <c r="R167" s="11602" t="n"/>
      <c r="S167" s="11602" t="n"/>
      <c r="T167" s="11602" t="n"/>
      <c r="U167" s="11602" t="n"/>
      <c r="V167" s="11602" t="n"/>
      <c r="W167" s="11602" t="n"/>
      <c r="X167" s="11602" t="n"/>
      <c r="Y167" s="11602" t="n"/>
      <c r="Z167" s="11602" t="n"/>
      <c r="AA167" s="11602" t="n"/>
      <c r="AB167" s="11602" t="n"/>
      <c r="AC167" s="1657" t="inlineStr">
        <is>
          <t xml:space="preserve">.   .   .   .   . </t>
        </is>
      </c>
      <c r="AD167" s="8389" t="n">
        <v>28</v>
      </c>
      <c r="AE167" s="10889">
        <f>IF(AM167&lt;&gt;"",ROUND(AM167,0),IF($O$54&lt;&gt;"",ROUND($O$54,0),IF($O$63&lt;&gt;"",ROUND($O$63,0),"")))</f>
        <v/>
      </c>
      <c r="AF167" s="7637" t="n"/>
      <c r="AG167" s="7637" t="n"/>
      <c r="AH167" s="7637" t="n"/>
      <c r="AI167" s="7637" t="n"/>
      <c r="AJ167" s="7637" t="n"/>
      <c r="AK167" s="2013" t="n"/>
      <c r="AL167" s="11602" t="n"/>
      <c r="AM167" s="5719" t="n"/>
      <c r="AN167" s="11602" t="n"/>
      <c r="AO167" s="2013" t="n"/>
      <c r="AP167" s="11602" t="n"/>
      <c r="AQ167" s="11602" t="n"/>
      <c r="AR167" s="658" t="n"/>
      <c r="AS167" s="658" t="n"/>
      <c r="AT167" s="658" t="n"/>
      <c r="AU167" s="658" t="n"/>
      <c r="AV167" s="658" t="n"/>
      <c r="AW167" s="658" t="n"/>
      <c r="AX167" s="658" t="n"/>
      <c r="AY167" s="658" t="n"/>
      <c r="AZ167" s="658" t="n"/>
      <c r="BA167" s="658" t="n"/>
    </row>
    <row r="168" ht="18" customFormat="1" customHeight="1" s="815">
      <c r="A168" s="2013" t="n"/>
      <c r="B168" s="5704" t="n"/>
      <c r="C168" s="5705" t="n"/>
      <c r="D168" s="5218">
        <f>"If you figured your "&amp;LastYear&amp;" tax using the "&amp;LastYear&amp;" Qualified Dividends and Capital Gain Tax"</f>
        <v/>
      </c>
      <c r="E168" s="2311" t="n"/>
      <c r="F168" s="5704" t="n"/>
      <c r="G168" s="5704" t="n"/>
      <c r="H168" s="5704" t="n"/>
      <c r="I168" s="5704" t="n"/>
      <c r="J168" s="5704" t="n"/>
      <c r="K168" s="5704" t="n"/>
      <c r="L168" s="5704" t="n"/>
      <c r="M168" s="5704" t="n"/>
      <c r="N168" s="5704" t="n"/>
      <c r="O168" s="5704" t="n"/>
      <c r="P168" s="5704" t="n"/>
      <c r="Q168" s="5704" t="n"/>
      <c r="R168" s="5704" t="n"/>
      <c r="S168" s="5704" t="n"/>
      <c r="T168" s="5704" t="n"/>
      <c r="U168" s="5704" t="n"/>
      <c r="V168" s="5704" t="n"/>
      <c r="W168" s="5704" t="n"/>
      <c r="X168" s="5704" t="n"/>
      <c r="Y168" s="5704" t="n"/>
      <c r="Z168" s="5704" t="n"/>
      <c r="AA168" s="5704" t="n"/>
      <c r="AB168" s="5704" t="n"/>
      <c r="AC168" s="5704" t="n"/>
      <c r="AD168" s="5743" t="n"/>
      <c r="AE168" s="10898">
        <f>ROUND(AE167,0)</f>
        <v/>
      </c>
      <c r="AF168" s="26" t="n"/>
      <c r="AG168" s="26" t="n"/>
      <c r="AH168" s="26" t="n"/>
      <c r="AI168" s="26" t="n"/>
      <c r="AJ168" s="26" t="n"/>
      <c r="AK168" s="2013" t="n"/>
      <c r="AL168" s="4477" t="n"/>
      <c r="AM168" s="5773">
        <f>OR($O$54&lt;&gt;"",$O$56&lt;&gt;"")</f>
        <v/>
      </c>
      <c r="AN168" s="4477" t="n"/>
      <c r="AO168" s="2013" t="n"/>
      <c r="AP168" s="4477" t="n"/>
      <c r="AQ168" s="4477" t="n"/>
      <c r="AR168" s="658" t="n"/>
      <c r="AS168" s="658" t="n"/>
      <c r="AT168" s="658" t="n"/>
      <c r="AU168" s="658" t="n"/>
      <c r="AV168" s="658" t="n"/>
      <c r="AW168" s="658" t="n"/>
      <c r="AX168" s="658" t="n"/>
      <c r="AY168" s="658" t="n"/>
      <c r="AZ168" s="658" t="n"/>
      <c r="BA168" s="658" t="n"/>
    </row>
    <row r="169" ht="18" customFormat="1" customHeight="1" s="1115">
      <c r="A169" s="2290" t="n"/>
      <c r="B169" s="5704" t="n"/>
      <c r="C169" s="5705" t="n"/>
      <c r="D169" s="342" t="inlineStr">
        <is>
          <t xml:space="preserve">Worksheet, skip line 29 and enter the amount from line 28 on line 30. Otherwise, go to line 29. </t>
        </is>
      </c>
      <c r="E169" s="5704" t="n"/>
      <c r="F169" s="5704" t="n"/>
      <c r="G169" s="5704" t="n"/>
      <c r="H169" s="5704" t="n"/>
      <c r="I169" s="5704" t="n"/>
      <c r="J169" s="5704" t="n"/>
      <c r="K169" s="5704" t="n"/>
      <c r="L169" s="5704" t="n"/>
      <c r="M169" s="5704" t="n"/>
      <c r="N169" s="5704" t="n"/>
      <c r="O169" s="5704" t="n"/>
      <c r="P169" s="5704" t="n"/>
      <c r="Q169" s="5704" t="n"/>
      <c r="R169" s="5704" t="n"/>
      <c r="S169" s="5704" t="n"/>
      <c r="T169" s="2311" t="n"/>
      <c r="U169" s="5704" t="n"/>
      <c r="V169" s="5704" t="n"/>
      <c r="W169" s="5704" t="n"/>
      <c r="X169" s="5704" t="n"/>
      <c r="Y169" s="5704" t="n"/>
      <c r="Z169" s="5704" t="n"/>
      <c r="AA169" s="5704" t="n"/>
      <c r="AB169" s="5704" t="n"/>
      <c r="AC169" s="5704" t="n"/>
      <c r="AD169" s="5743" t="n"/>
      <c r="AE169" s="10894" t="n"/>
      <c r="AF169" s="26" t="n"/>
      <c r="AG169" s="26" t="n"/>
      <c r="AH169" s="26" t="n"/>
      <c r="AI169" s="26" t="n"/>
      <c r="AJ169" s="26" t="n"/>
      <c r="AK169" s="2290" t="n"/>
      <c r="AL169" s="4477" t="n"/>
      <c r="AM169" s="5772">
        <f>IF(AM168,"Skip line 29.","")</f>
        <v/>
      </c>
      <c r="AN169" s="4477" t="n"/>
      <c r="AO169" s="2290" t="n"/>
      <c r="AP169" s="4477" t="n"/>
      <c r="AQ169" s="4477" t="n"/>
      <c r="AR169" s="1114" t="n"/>
      <c r="AS169" s="1114" t="n"/>
      <c r="AT169" s="1114" t="n"/>
      <c r="AU169" s="1114" t="n"/>
      <c r="AV169" s="1114" t="n"/>
      <c r="AW169" s="1114" t="n"/>
      <c r="AX169" s="1114" t="n"/>
      <c r="AY169" s="1114" t="n"/>
      <c r="AZ169" s="1114" t="n"/>
      <c r="BA169" s="1114" t="n"/>
      <c r="BB169" s="2293" t="n"/>
      <c r="BC169" s="2293" t="n"/>
    </row>
    <row r="170" ht="18" customFormat="1" customHeight="1" s="815" thickBot="1">
      <c r="A170" s="2013" t="n"/>
      <c r="B170" s="11602" t="n"/>
      <c r="C170" s="2917" t="n">
        <v>29</v>
      </c>
      <c r="D170" s="7772">
        <f>"Enter the amount from line 19 of your "&amp;LastYear&amp;" Schedule D (Form 1040), or line 18b, column (2), of the"</f>
        <v/>
      </c>
      <c r="E170" s="11602" t="n"/>
      <c r="F170" s="8650" t="n"/>
      <c r="G170" s="8650" t="n"/>
      <c r="H170" s="11602" t="n"/>
      <c r="I170" s="11602" t="n"/>
      <c r="J170" s="7772" t="n"/>
      <c r="K170" s="11602" t="n"/>
      <c r="L170" s="11602" t="n"/>
      <c r="M170" s="11602" t="n"/>
      <c r="N170" s="11602" t="n"/>
      <c r="O170" s="11602" t="n"/>
      <c r="P170" s="11602" t="n"/>
      <c r="Q170" s="11602" t="n"/>
      <c r="R170" s="11602" t="n"/>
      <c r="S170" s="11602" t="n"/>
      <c r="T170" s="11602" t="n"/>
      <c r="U170" s="11602" t="n"/>
      <c r="V170" s="11602" t="n"/>
      <c r="W170" s="11602" t="n"/>
      <c r="X170" s="11602" t="n"/>
      <c r="Y170" s="11602" t="n"/>
      <c r="Z170" s="11602" t="n"/>
      <c r="AA170" s="11602" t="n"/>
      <c r="AB170" s="11602" t="n"/>
      <c r="AC170" s="1657" t="n"/>
      <c r="AD170" s="5743" t="n"/>
      <c r="AE170" s="10896">
        <f>AND(AE162="",AE167="",AE171="")</f>
        <v/>
      </c>
      <c r="AF170" s="26" t="n"/>
      <c r="AG170" s="26" t="n"/>
      <c r="AH170" s="26" t="n"/>
      <c r="AI170" s="26" t="n"/>
      <c r="AJ170" s="26" t="n"/>
      <c r="AK170" s="2013" t="n"/>
      <c r="AL170" s="11602" t="n"/>
      <c r="AM170" s="11641" t="n"/>
      <c r="AN170" s="11641" t="n"/>
      <c r="AO170" s="2013" t="n"/>
      <c r="AP170" s="11602" t="n"/>
      <c r="AQ170" s="11602" t="n"/>
      <c r="AR170" s="658" t="n"/>
      <c r="AS170" s="658" t="n"/>
      <c r="AT170" s="658" t="n"/>
      <c r="AU170" s="658" t="n"/>
      <c r="AV170" s="658" t="n"/>
      <c r="AW170" s="658" t="n"/>
      <c r="AX170" s="658" t="n"/>
      <c r="AY170" s="658" t="n"/>
      <c r="AZ170" s="658" t="n"/>
      <c r="BA170" s="658" t="n"/>
    </row>
    <row r="171" ht="18" customFormat="1" customHeight="1" s="815" thickBot="1">
      <c r="A171" s="2013" t="n"/>
      <c r="B171" s="11602" t="n"/>
      <c r="C171" s="2917" t="n"/>
      <c r="D171" s="7772">
        <f>LastYear&amp;" Schedule D (Form 1041)"</f>
        <v/>
      </c>
      <c r="E171" s="11602" t="n"/>
      <c r="F171" s="8650" t="n"/>
      <c r="G171" s="8650" t="n"/>
      <c r="H171" s="11602" t="n"/>
      <c r="I171" s="11602" t="n"/>
      <c r="J171" s="11602" t="n"/>
      <c r="K171" s="11602" t="n"/>
      <c r="L171" s="11602" t="n"/>
      <c r="M171" s="11602" t="n"/>
      <c r="N171" s="11602" t="n"/>
      <c r="O171" s="11602" t="n"/>
      <c r="P171" s="11602" t="n"/>
      <c r="Q171" s="11602" t="n"/>
      <c r="R171" s="11602" t="n"/>
      <c r="S171" s="11602" t="n"/>
      <c r="T171" s="11602" t="n"/>
      <c r="U171" s="11602" t="n"/>
      <c r="V171" s="11602" t="n"/>
      <c r="W171" s="11602" t="n"/>
      <c r="X171" s="11602" t="n"/>
      <c r="Y171" s="11602" t="n"/>
      <c r="Z171" s="11602" t="n"/>
      <c r="AA171" s="11602" t="n"/>
      <c r="AB171" s="11602" t="n"/>
      <c r="AC171" s="1657" t="inlineStr">
        <is>
          <t xml:space="preserve">.   .   .   .   .   .   .   .   .   .   .   .   .   .   .   .   .   .   .   .   .   .   .   .   .   .   .   .   .   . </t>
        </is>
      </c>
      <c r="AD171" s="8389" t="n">
        <v>29</v>
      </c>
      <c r="AE171" s="10889">
        <f>IF(AM171&lt;&gt;"",ROUND(AM171,0),IF(AE51="","",ROUND(AE51,0)))</f>
        <v/>
      </c>
      <c r="AF171" s="7637" t="n"/>
      <c r="AG171" s="7637" t="n"/>
      <c r="AH171" s="7637" t="n"/>
      <c r="AI171" s="7637" t="n"/>
      <c r="AJ171" s="7637" t="n"/>
      <c r="AK171" s="2013" t="n"/>
      <c r="AL171" s="11602" t="n"/>
      <c r="AM171" s="5719" t="n"/>
      <c r="AN171" s="344" t="n"/>
      <c r="AO171" s="2013" t="n"/>
      <c r="AP171" s="11602" t="n"/>
      <c r="AQ171" s="11602" t="n"/>
      <c r="AR171" s="658" t="n"/>
      <c r="AS171" s="658" t="n"/>
      <c r="AT171" s="658" t="n"/>
      <c r="AU171" s="658" t="n"/>
      <c r="AV171" s="658" t="n"/>
      <c r="AW171" s="658" t="n"/>
      <c r="AX171" s="658" t="n"/>
      <c r="AY171" s="658" t="n"/>
      <c r="AZ171" s="658" t="n"/>
      <c r="BA171" s="658" t="n"/>
    </row>
    <row r="172" ht="18" customFormat="1" customHeight="1" s="815" thickBot="1">
      <c r="A172" s="2013" t="n"/>
      <c r="B172" s="11602" t="n"/>
      <c r="C172" s="2917" t="n">
        <v>30</v>
      </c>
      <c r="D172" s="7772" t="inlineStr">
        <is>
          <t>Add lines 28 and 29, and enter the smaller of that result or the amount from line 10 of your</t>
        </is>
      </c>
      <c r="E172" s="11602" t="n"/>
      <c r="F172" s="8650" t="n"/>
      <c r="G172" s="8650" t="n"/>
      <c r="H172" s="11602" t="n"/>
      <c r="I172" s="11602" t="n"/>
      <c r="J172" s="7772" t="n"/>
      <c r="K172" s="11602" t="n"/>
      <c r="L172" s="11602" t="n"/>
      <c r="M172" s="11602" t="n"/>
      <c r="N172" s="11602" t="n"/>
      <c r="O172" s="11602" t="n"/>
      <c r="P172" s="11602" t="n"/>
      <c r="Q172" s="11602" t="n"/>
      <c r="R172" s="11602" t="n"/>
      <c r="S172" s="11602" t="n"/>
      <c r="T172" s="11602" t="n"/>
      <c r="U172" s="11602" t="n"/>
      <c r="V172" s="11602" t="n"/>
      <c r="W172" s="11602" t="n"/>
      <c r="X172" s="11602" t="n"/>
      <c r="Y172" s="11602" t="n"/>
      <c r="Z172" s="514" t="n"/>
      <c r="AA172" s="10886">
        <f>LastYear</f>
        <v/>
      </c>
      <c r="AC172" s="5747" t="n"/>
      <c r="AD172" s="5743" t="n"/>
      <c r="AE172" s="10898">
        <f>ROUND(AE171,0)</f>
        <v/>
      </c>
      <c r="AF172" s="26" t="n"/>
      <c r="AG172" s="26" t="n"/>
      <c r="AH172" s="26" t="n"/>
      <c r="AI172" s="26" t="n"/>
      <c r="AJ172" s="26" t="n"/>
      <c r="AK172" s="2013" t="n"/>
      <c r="AL172" s="11602" t="n"/>
      <c r="AM172" s="344" t="n"/>
      <c r="AN172" s="344" t="n"/>
      <c r="AO172" s="2013" t="n"/>
      <c r="AP172" s="11602" t="n"/>
      <c r="AQ172" s="11602" t="n"/>
      <c r="AR172" s="658" t="n"/>
      <c r="AS172" s="658" t="n"/>
      <c r="AT172" s="658" t="n"/>
      <c r="AU172" s="658" t="n"/>
      <c r="AV172" s="658" t="n"/>
      <c r="AW172" s="658" t="n"/>
      <c r="AX172" s="658" t="n"/>
      <c r="AY172" s="658" t="n"/>
      <c r="AZ172" s="658" t="n"/>
      <c r="BA172" s="658" t="n"/>
    </row>
    <row r="173" ht="18" customFormat="1" customHeight="1" s="815" thickBot="1">
      <c r="A173" s="2013" t="n"/>
      <c r="B173" s="11602" t="n"/>
      <c r="C173" s="2917" t="n"/>
      <c r="D173" s="7772" t="inlineStr">
        <is>
          <t>Schedule D Tax Worksheet</t>
        </is>
      </c>
      <c r="E173" s="11602" t="n"/>
      <c r="F173" s="8650" t="n"/>
      <c r="G173" s="8650" t="n"/>
      <c r="H173" s="11602" t="n"/>
      <c r="I173" s="11602" t="n"/>
      <c r="J173" s="11602" t="n"/>
      <c r="K173" s="11602" t="n"/>
      <c r="L173" s="11602" t="n"/>
      <c r="M173" s="11602" t="n"/>
      <c r="N173" s="11602" t="n"/>
      <c r="O173" s="11602" t="n"/>
      <c r="P173" s="11602" t="n"/>
      <c r="Q173" s="11602" t="n"/>
      <c r="R173" s="11602" t="n"/>
      <c r="S173" s="11602" t="n"/>
      <c r="T173" s="11602" t="n"/>
      <c r="U173" s="11602" t="n"/>
      <c r="V173" s="11602" t="n"/>
      <c r="W173" s="11602" t="n"/>
      <c r="X173" s="11602" t="n"/>
      <c r="Y173" s="11602" t="n"/>
      <c r="Z173" s="11602" t="n"/>
      <c r="AA173" s="11602" t="n"/>
      <c r="AB173" s="11602" t="n"/>
      <c r="AC173" s="1657" t="inlineStr">
        <is>
          <t xml:space="preserve">.   .   .   .   .   .   .   .   .   .   .   .   .   .   .   .   .   .   .   .   .   .   .   .   .   .   .   .   .   . </t>
        </is>
      </c>
      <c r="AD173" s="8389" t="n">
        <v>30</v>
      </c>
      <c r="AE173" s="10889">
        <f>IF(AM173&lt;&gt;"",ROUND(AM173,0),IF(NOT(AE156),"",IF(AM168,AE167,MIN(SUM(AE167,AE171),ROUND(O61,0)))))</f>
        <v/>
      </c>
      <c r="AF173" s="7637" t="n"/>
      <c r="AG173" s="7637" t="n"/>
      <c r="AH173" s="7637" t="n"/>
      <c r="AI173" s="7637" t="n"/>
      <c r="AJ173" s="7637" t="n"/>
      <c r="AK173" s="2013" t="n"/>
      <c r="AL173" s="11602" t="n"/>
      <c r="AM173" s="5719" t="n"/>
      <c r="AN173" s="1806" t="n"/>
      <c r="AO173" s="2013" t="n"/>
      <c r="AP173" s="11602" t="n"/>
      <c r="AQ173" s="11602" t="n"/>
      <c r="AR173" s="658" t="n"/>
      <c r="AS173" s="658" t="n"/>
      <c r="AT173" s="658" t="n"/>
      <c r="AU173" s="658" t="n"/>
      <c r="AV173" s="658" t="n"/>
      <c r="AW173" s="658" t="n"/>
      <c r="AX173" s="658" t="n"/>
      <c r="AY173" s="658" t="n"/>
      <c r="AZ173" s="658" t="n"/>
      <c r="BA173" s="658" t="n"/>
    </row>
    <row r="174" ht="18" customFormat="1" customHeight="1" s="815">
      <c r="A174" s="2013" t="n"/>
      <c r="B174" s="11602" t="n"/>
      <c r="C174" s="2917" t="n">
        <v>31</v>
      </c>
      <c r="D174" s="7772" t="inlineStr">
        <is>
          <t>Enter the smaller of line 27 or line 30</t>
        </is>
      </c>
      <c r="E174" s="11602" t="n"/>
      <c r="F174" s="8650" t="n"/>
      <c r="G174" s="8650" t="n"/>
      <c r="H174" s="11602" t="n"/>
      <c r="I174" s="11602" t="n"/>
      <c r="J174" s="11602" t="n"/>
      <c r="K174" s="11602" t="n"/>
      <c r="L174" s="11602" t="n"/>
      <c r="M174" s="11602" t="n"/>
      <c r="N174" s="11602" t="n"/>
      <c r="O174" s="11602" t="n"/>
      <c r="P174" s="11602" t="n"/>
      <c r="Q174" s="11602" t="n"/>
      <c r="R174" s="11602" t="n"/>
      <c r="S174" s="11602" t="n"/>
      <c r="T174" s="11602" t="n"/>
      <c r="U174" s="11602" t="n"/>
      <c r="V174" s="11602" t="n"/>
      <c r="W174" s="11602" t="n"/>
      <c r="X174" s="11602" t="n"/>
      <c r="Y174" s="11602" t="n"/>
      <c r="Z174" s="11602" t="n"/>
      <c r="AA174" s="11602" t="n"/>
      <c r="AB174" s="11602" t="n"/>
      <c r="AC174" s="1657" t="inlineStr">
        <is>
          <t xml:space="preserve">.   .   .   .   .   .   .   .   .   .   .   .   .   .   .   .   .   .   .   .   .   .   .   .   .   .   . </t>
        </is>
      </c>
      <c r="AD174" s="8389" t="n">
        <v>31</v>
      </c>
      <c r="AE174" s="10889">
        <f>IF(AND(AE162="",AE173=""),"",IF(OR(AE162="",AE173=""),0,MIN(AE162,AE173)))</f>
        <v/>
      </c>
      <c r="AF174" s="7637" t="n"/>
      <c r="AG174" s="7637" t="n"/>
      <c r="AH174" s="7637" t="n"/>
      <c r="AI174" s="7637" t="n"/>
      <c r="AJ174" s="7637" t="n"/>
      <c r="AK174" s="2013" t="n"/>
      <c r="AL174" s="11602" t="n"/>
      <c r="AM174" s="11602" t="n"/>
      <c r="AN174" s="11602" t="n"/>
      <c r="AO174" s="2013" t="n"/>
      <c r="AP174" s="11602" t="n"/>
      <c r="AQ174" s="1193">
        <f>AQ113</f>
        <v/>
      </c>
      <c r="AR174" s="658" t="n"/>
      <c r="AS174" s="658" t="n"/>
      <c r="AT174" s="658" t="n"/>
      <c r="AU174" s="658" t="n"/>
      <c r="AV174" s="658" t="n"/>
      <c r="AW174" s="658" t="n"/>
      <c r="AX174" s="658" t="n"/>
      <c r="AY174" s="658" t="n"/>
      <c r="AZ174" s="658" t="n"/>
      <c r="BA174" s="658" t="n"/>
    </row>
    <row r="175" ht="18" customFormat="1" customHeight="1" s="815">
      <c r="A175" s="2013" t="n"/>
      <c r="B175" s="11602" t="n"/>
      <c r="C175" s="2917" t="n">
        <v>32</v>
      </c>
      <c r="D175" s="7772" t="inlineStr">
        <is>
          <t>Subtract line 31 from line 27</t>
        </is>
      </c>
      <c r="E175" s="11602" t="n"/>
      <c r="F175" s="8650" t="n"/>
      <c r="G175" s="8650" t="n"/>
      <c r="H175" s="11602" t="n"/>
      <c r="I175" s="11602" t="n"/>
      <c r="J175" s="11602" t="n"/>
      <c r="K175" s="11602" t="n"/>
      <c r="L175" s="11602" t="n"/>
      <c r="M175" s="11602" t="n"/>
      <c r="N175" s="11602" t="n"/>
      <c r="O175" s="11602" t="n"/>
      <c r="P175" s="11602" t="n"/>
      <c r="Q175" s="11602" t="n"/>
      <c r="R175" s="11602" t="n"/>
      <c r="S175" s="11602" t="n"/>
      <c r="T175" s="11602" t="n"/>
      <c r="U175" s="11602" t="n"/>
      <c r="V175" s="11602" t="n"/>
      <c r="W175" s="11602" t="n"/>
      <c r="X175" s="11602" t="n"/>
      <c r="Y175" s="11602" t="n"/>
      <c r="Z175" s="11602" t="n"/>
      <c r="AA175" s="11602" t="n"/>
      <c r="AB175" s="11602" t="n"/>
      <c r="AC175" s="1657" t="inlineStr">
        <is>
          <t xml:space="preserve">.   .   .   .   .   .   .   .   .   .   .   .   .   .   .   .   .   .   .   .   .   .   .   .   .   .   .   .   .   . </t>
        </is>
      </c>
      <c r="AD175" s="8389" t="n">
        <v>32</v>
      </c>
      <c r="AE175" s="10889">
        <f>IF(AE170,"",SUM(AE162,-AE174))</f>
        <v/>
      </c>
      <c r="AF175" s="7637" t="n"/>
      <c r="AG175" s="7637" t="n"/>
      <c r="AH175" s="7637" t="n"/>
      <c r="AI175" s="7637" t="n"/>
      <c r="AJ175" s="7637" t="n"/>
      <c r="AK175" s="2013" t="n"/>
      <c r="AL175" s="11602" t="n"/>
      <c r="AM175" s="512">
        <f>AND(AE175&lt;&gt;"",AE175&gt;0)</f>
        <v/>
      </c>
      <c r="AN175" s="512" t="n"/>
      <c r="AO175" s="2013" t="n"/>
      <c r="AP175" s="11602" t="n"/>
      <c r="AQ175" s="1193">
        <f>AQ114</f>
        <v/>
      </c>
      <c r="AR175" s="658" t="n"/>
      <c r="AS175" s="658" t="n"/>
      <c r="AT175" s="658" t="n"/>
      <c r="AU175" s="658" t="n"/>
      <c r="AV175" s="658" t="n"/>
      <c r="AW175" s="658" t="n"/>
      <c r="AX175" s="658" t="n"/>
      <c r="AY175" s="658" t="n"/>
      <c r="AZ175" s="658" t="n"/>
      <c r="BA175" s="658" t="n"/>
    </row>
    <row r="176" ht="18" customFormat="1" customHeight="1" s="815">
      <c r="A176" s="2013" t="n"/>
      <c r="B176" s="11602" t="n"/>
      <c r="C176" s="2917" t="n">
        <v>33</v>
      </c>
      <c r="D176" s="7772">
        <f>"If line 32 is "&amp;TEXT($AQ$174,"$0,000")&amp;" or less ("&amp;TEXT($AQ$175,"$0,000")&amp;" or less if married filing separately for "&amp;LastYear&amp;"), multiply line 32"</f>
        <v/>
      </c>
      <c r="E176" s="11602" t="n"/>
      <c r="F176" s="8650" t="n"/>
      <c r="G176" s="8650" t="n"/>
      <c r="H176" s="11602" t="n"/>
      <c r="I176" s="11602" t="n"/>
      <c r="J176" s="11602" t="n"/>
      <c r="K176" s="11602" t="n"/>
      <c r="L176" s="11602" t="n"/>
      <c r="M176" s="11602" t="n"/>
      <c r="N176" s="11602" t="n"/>
      <c r="O176" s="11602" t="n"/>
      <c r="P176" s="11602" t="n"/>
      <c r="Q176" s="11602" t="n"/>
      <c r="R176" s="11602" t="n"/>
      <c r="S176" s="11602" t="n"/>
      <c r="T176" s="11602" t="n"/>
      <c r="U176" s="11602" t="n"/>
      <c r="V176" s="11602" t="n"/>
      <c r="W176" s="11602" t="n"/>
      <c r="X176" s="11602" t="n"/>
      <c r="Y176" s="11602" t="n"/>
      <c r="Z176" s="11602" t="n"/>
      <c r="AA176" s="11602" t="n"/>
      <c r="AB176" s="11602" t="n"/>
      <c r="AC176" s="1657" t="n"/>
      <c r="AD176" s="5743" t="n"/>
      <c r="AE176" s="10890" t="n"/>
      <c r="AF176" s="26" t="n"/>
      <c r="AG176" s="26" t="n"/>
      <c r="AH176" s="26" t="n"/>
      <c r="AI176" s="26" t="n"/>
      <c r="AJ176" s="26" t="n"/>
      <c r="AK176" s="2013" t="n"/>
      <c r="AL176" s="11602" t="n"/>
      <c r="AM176" s="11602" t="n"/>
      <c r="AN176" s="11602" t="n"/>
      <c r="AO176" s="2013" t="n"/>
      <c r="AP176" s="990">
        <f>IF(AE175="",0,ROUND(AE175*$AQ$176,0))</f>
        <v/>
      </c>
      <c r="AQ176" s="11602">
        <f>AQ115</f>
        <v/>
      </c>
      <c r="AR176" s="658" t="n"/>
      <c r="AS176" s="658" t="n"/>
      <c r="AT176" s="658" t="n"/>
      <c r="AU176" s="658" t="n"/>
      <c r="AV176" s="658" t="n"/>
      <c r="AW176" s="658" t="n"/>
      <c r="AX176" s="658" t="n"/>
      <c r="AY176" s="658" t="n"/>
      <c r="AZ176" s="658" t="n"/>
      <c r="BA176" s="658" t="n"/>
    </row>
    <row r="177" ht="18" customFormat="1" customHeight="1" s="815" thickBot="1">
      <c r="A177" s="2013" t="n"/>
      <c r="B177" s="11602" t="n"/>
      <c r="C177" s="2917" t="n"/>
      <c r="D177" s="7772">
        <f>"by "&amp;TEXT($AQ$176,"0%")&amp;" ("&amp;TEXT($AQ$176,"0.00")&amp;"). Otherwise, multiply line 32 by "&amp;TEXT($AQ$179,"0%")&amp;" ("&amp;TEXT($AQ$179,"0.00")&amp;") and subtract "&amp;TEXT($AQ$177,"$0,000")&amp;" ("&amp;TEXT($AQ$178,"$0,000")&amp;" if married filing"</f>
        <v/>
      </c>
      <c r="E177" s="11602" t="n"/>
      <c r="F177" s="8650" t="n"/>
      <c r="G177" s="8650" t="n"/>
      <c r="H177" s="11602" t="n"/>
      <c r="I177" s="11602" t="n"/>
      <c r="J177" s="11602" t="n"/>
      <c r="K177" s="11602" t="n"/>
      <c r="L177" s="11602" t="n"/>
      <c r="M177" s="11602" t="n"/>
      <c r="N177" s="11602" t="n"/>
      <c r="O177" s="11602" t="n"/>
      <c r="P177" s="11602" t="n"/>
      <c r="Q177" s="11602" t="n"/>
      <c r="R177" s="11602" t="n"/>
      <c r="S177" s="11602" t="n"/>
      <c r="T177" s="11602" t="n"/>
      <c r="U177" s="11602" t="n"/>
      <c r="V177" s="11602" t="n"/>
      <c r="W177" s="11602" t="n"/>
      <c r="X177" s="11602" t="n"/>
      <c r="Y177" s="11602" t="n"/>
      <c r="Z177" s="11602" t="n"/>
      <c r="AA177" s="11602" t="n"/>
      <c r="AB177" s="11602" t="n"/>
      <c r="AC177" s="1657" t="n"/>
      <c r="AD177" s="5743" t="n"/>
      <c r="AE177" s="10896">
        <f>AND(AE170,AE173="")</f>
        <v/>
      </c>
      <c r="AF177" s="26" t="n"/>
      <c r="AG177" s="26" t="n"/>
      <c r="AH177" s="26" t="n"/>
      <c r="AI177" s="26" t="n"/>
      <c r="AJ177" s="26" t="n"/>
      <c r="AK177" s="2013" t="n"/>
      <c r="AL177" s="11602" t="n"/>
      <c r="AM177" s="11602" t="n"/>
      <c r="AN177" s="11602" t="n"/>
      <c r="AO177" s="2013" t="n"/>
      <c r="AP177" s="990">
        <f>IF(AE175="",0,SUM(ROUND(AE175*$AQ$179,0),-$AQ$177))</f>
        <v/>
      </c>
      <c r="AQ177" s="1193">
        <f>AQ116</f>
        <v/>
      </c>
      <c r="AR177" s="658" t="n"/>
      <c r="AS177" s="658" t="n"/>
      <c r="AT177" s="658" t="n"/>
      <c r="AU177" s="658" t="n"/>
      <c r="AV177" s="658" t="n"/>
      <c r="AW177" s="658" t="n"/>
      <c r="AX177" s="658" t="n"/>
      <c r="AY177" s="658" t="n"/>
      <c r="AZ177" s="658" t="n"/>
      <c r="BA177" s="658" t="n"/>
    </row>
    <row r="178" ht="18" customFormat="1" customHeight="1" s="815" thickBot="1">
      <c r="A178" s="2013" t="n"/>
      <c r="B178" s="11602" t="n"/>
      <c r="C178" s="2917" t="n"/>
      <c r="D178" s="7772">
        <f>"separately for "&amp;LastYear&amp;") from the result"</f>
        <v/>
      </c>
      <c r="E178" s="11602" t="n"/>
      <c r="F178" s="8650" t="n"/>
      <c r="G178" s="8650" t="n"/>
      <c r="H178" s="11602" t="n"/>
      <c r="I178" s="11602" t="n"/>
      <c r="J178" s="11602" t="n"/>
      <c r="K178" s="11602" t="n"/>
      <c r="L178" s="11602" t="n"/>
      <c r="M178" s="11602" t="n"/>
      <c r="N178" s="11602" t="n"/>
      <c r="O178" s="11602" t="n"/>
      <c r="P178" s="11602" t="n"/>
      <c r="Q178" s="11602" t="n"/>
      <c r="R178" s="11602" t="n"/>
      <c r="S178" s="11602" t="n"/>
      <c r="T178" s="11602" t="n"/>
      <c r="U178" s="11602" t="n"/>
      <c r="V178" s="11602" t="n"/>
      <c r="W178" s="11602" t="n"/>
      <c r="X178" s="11602" t="n"/>
      <c r="Y178" s="11602" t="n"/>
      <c r="Z178" s="11602" t="n"/>
      <c r="AA178" s="11602" t="n"/>
      <c r="AB178" s="11602" t="n"/>
      <c r="AC178" s="1657" t="inlineStr">
        <is>
          <t xml:space="preserve">.   .   .   .   . </t>
        </is>
      </c>
      <c r="AD178" s="8389" t="n">
        <v>33</v>
      </c>
      <c r="AE178" s="10889">
        <f>IF(AM178&lt;&gt;"",AM178,IF(AE177,"",IF(AND(AQ83=3,AE175&lt;=$AQ$175),$AP$176,IF(AE175&lt;=AQ174,$AP$176,IF(AQ83=3,$AP$178,$AP$177)))))</f>
        <v/>
      </c>
      <c r="AF178" s="7637" t="n"/>
      <c r="AG178" s="7637" t="n"/>
      <c r="AH178" s="7637" t="n"/>
      <c r="AI178" s="7637" t="n"/>
      <c r="AJ178" s="7637" t="n"/>
      <c r="AK178" s="2013" t="n"/>
      <c r="AL178" s="11602" t="n"/>
      <c r="AM178" s="5719" t="n"/>
      <c r="AN178" s="1806" t="n"/>
      <c r="AO178" s="2013" t="n"/>
      <c r="AP178" s="990">
        <f>IF(AE175="",0,SUM(ROUND(AE175*$AQ$179,0),-$AQ$178))</f>
        <v/>
      </c>
      <c r="AQ178" s="1193" t="n">
        <v>2326</v>
      </c>
      <c r="AR178" s="658" t="n"/>
      <c r="AS178" s="658" t="n"/>
      <c r="AT178" s="658" t="n"/>
      <c r="AU178" s="658" t="n"/>
      <c r="AV178" s="658" t="n"/>
      <c r="AW178" s="658" t="n"/>
      <c r="AX178" s="658" t="n"/>
      <c r="AY178" s="658" t="n"/>
      <c r="AZ178" s="658" t="n"/>
      <c r="BA178" s="658" t="n"/>
    </row>
    <row r="179" ht="18" customFormat="1" customHeight="1" s="815">
      <c r="A179" s="2013" t="n"/>
      <c r="B179" s="11602" t="n"/>
      <c r="C179" s="2917" t="n">
        <v>34</v>
      </c>
      <c r="D179" s="7772" t="inlineStr">
        <is>
          <t>Enter:</t>
        </is>
      </c>
      <c r="E179" s="11602" t="n"/>
      <c r="F179" s="7772" t="n"/>
      <c r="G179" s="7772" t="n"/>
      <c r="H179" s="7772" t="n"/>
      <c r="I179" s="7772" t="n"/>
      <c r="J179" s="7772" t="n"/>
      <c r="K179" s="7772" t="n"/>
      <c r="L179" s="7772" t="n"/>
      <c r="M179" s="11602" t="n"/>
      <c r="N179" s="11602" t="n"/>
      <c r="O179" s="11602" t="n"/>
      <c r="P179" s="11602" t="n"/>
      <c r="Q179" s="11602" t="n"/>
      <c r="R179" s="11602" t="n"/>
      <c r="S179" s="11602" t="n"/>
      <c r="T179" s="11602" t="n"/>
      <c r="U179" s="11602" t="n"/>
      <c r="V179" s="11602" t="n"/>
      <c r="W179" s="11602" t="n"/>
      <c r="X179" s="11602" t="n"/>
      <c r="Y179" s="11602" t="n"/>
      <c r="Z179" s="11602" t="n"/>
      <c r="AA179" s="11602" t="n"/>
      <c r="AB179" s="11602" t="n"/>
      <c r="AC179" s="1657" t="n"/>
      <c r="AD179" s="5743" t="n"/>
      <c r="AE179" s="5699" t="n"/>
      <c r="AF179" s="10891" t="n"/>
      <c r="AG179" s="10891" t="n"/>
      <c r="AH179" s="10891" t="n"/>
      <c r="AI179" s="10891" t="n"/>
      <c r="AJ179" s="10891" t="n"/>
      <c r="AK179" s="2013" t="n"/>
      <c r="AL179" s="11602" t="n"/>
      <c r="AM179" s="11602" t="n"/>
      <c r="AN179" s="11602" t="n"/>
      <c r="AO179" s="2013" t="n"/>
      <c r="AP179" s="11602" t="n"/>
      <c r="AQ179" s="11602">
        <f>AQ118</f>
        <v/>
      </c>
      <c r="AR179" s="658" t="n"/>
      <c r="AS179" s="658" t="n"/>
      <c r="AT179" s="658" t="n"/>
      <c r="AU179" s="658" t="n"/>
      <c r="AV179" s="658" t="n"/>
      <c r="AW179" s="658" t="n"/>
      <c r="AX179" s="658" t="n"/>
      <c r="AY179" s="658" t="n"/>
      <c r="AZ179" s="658" t="n"/>
      <c r="BA179" s="658" t="n"/>
    </row>
    <row r="180" ht="18" customFormat="1" customHeight="1" s="1115" thickBot="1">
      <c r="A180" s="2290" t="n"/>
      <c r="B180" s="5704" t="n"/>
      <c r="C180" s="5705" t="n"/>
      <c r="D180" s="8439" t="n"/>
      <c r="E180" s="8439" t="inlineStr">
        <is>
          <t>•</t>
        </is>
      </c>
      <c r="F180" s="7772">
        <f>TEXT(AQ180,"$0,000")&amp;" if married filing jointly or qualifying surviving spouse for "&amp;LastYear&amp;","</f>
        <v/>
      </c>
      <c r="G180" s="7772" t="n"/>
      <c r="H180" s="7772" t="n"/>
      <c r="I180" s="7772" t="n"/>
      <c r="J180" s="7772" t="n"/>
      <c r="K180" s="7772" t="n"/>
      <c r="L180" s="7772" t="n"/>
      <c r="M180" s="5704" t="n"/>
      <c r="N180" s="5704" t="n"/>
      <c r="O180" s="5704" t="n"/>
      <c r="P180" s="5704" t="n"/>
      <c r="Q180" s="5704" t="n"/>
      <c r="R180" s="5704" t="n"/>
      <c r="S180" s="5704" t="n"/>
      <c r="T180" s="5704" t="n"/>
      <c r="U180" s="5704" t="n"/>
      <c r="V180" s="5704" t="n"/>
      <c r="W180" s="5704" t="n"/>
      <c r="X180" s="5704" t="n"/>
      <c r="Y180" s="5704" t="n"/>
      <c r="Z180" s="5704" t="n"/>
      <c r="AA180" s="5704" t="n"/>
      <c r="AB180" s="5704" t="n"/>
      <c r="AC180" s="5704" t="n"/>
      <c r="AD180" s="5743" t="n"/>
      <c r="AE180" s="10896">
        <f>AND(AE174,AE178="")</f>
        <v/>
      </c>
      <c r="AF180" s="26" t="n"/>
      <c r="AG180" s="26" t="n"/>
      <c r="AH180" s="26" t="n"/>
      <c r="AI180" s="26" t="n"/>
      <c r="AJ180" s="26" t="n"/>
      <c r="AK180" s="2290" t="n"/>
      <c r="AL180" s="4477" t="n"/>
      <c r="AM180" s="4477" t="n"/>
      <c r="AN180" s="4477" t="n"/>
      <c r="AO180" s="2290" t="n"/>
      <c r="AP180" s="4477" t="n"/>
      <c r="AQ180" s="1193" t="n">
        <v>94050</v>
      </c>
      <c r="AR180" s="1114" t="n"/>
      <c r="AS180" s="1114" t="n"/>
      <c r="AT180" s="1114" t="n"/>
      <c r="AU180" s="1114" t="n"/>
      <c r="AV180" s="1114" t="n"/>
      <c r="AW180" s="1114" t="n"/>
      <c r="AX180" s="1114" t="n"/>
      <c r="AY180" s="1114" t="n"/>
      <c r="AZ180" s="1114" t="n"/>
      <c r="BA180" s="1114" t="n"/>
      <c r="BB180" s="2293" t="n"/>
      <c r="BC180" s="2293" t="n"/>
    </row>
    <row r="181" ht="18" customFormat="1" customHeight="1" s="815" thickBot="1">
      <c r="A181" s="2013" t="n"/>
      <c r="B181" s="5706" t="n"/>
      <c r="C181" s="2917" t="n"/>
      <c r="D181" s="7772" t="n"/>
      <c r="E181" s="8439" t="inlineStr">
        <is>
          <t>•</t>
        </is>
      </c>
      <c r="F181" s="7772">
        <f>TEXT(AQ181,"$0,000")&amp;" if single or married filing separately for "&amp;LastYear&amp;","</f>
        <v/>
      </c>
      <c r="G181" s="7772" t="n"/>
      <c r="H181" s="7772" t="n"/>
      <c r="I181" s="7772" t="n"/>
      <c r="J181" s="7772" t="n"/>
      <c r="K181" s="7772" t="n"/>
      <c r="L181" s="7772" t="n"/>
      <c r="M181" s="344" t="n"/>
      <c r="N181" s="344" t="n"/>
      <c r="O181" s="344" t="n"/>
      <c r="P181" s="344" t="n"/>
      <c r="Q181" s="344" t="n"/>
      <c r="R181" s="344" t="n"/>
      <c r="S181" s="344" t="n"/>
      <c r="T181" s="344" t="n"/>
      <c r="U181" s="344" t="n"/>
      <c r="V181" s="344" t="n"/>
      <c r="W181" s="344" t="n"/>
      <c r="X181" s="344" t="n"/>
      <c r="Y181" s="344" t="n"/>
      <c r="Z181" s="344" t="n"/>
      <c r="AA181" s="344" t="n"/>
      <c r="AB181" s="344" t="n"/>
      <c r="AC181" s="1657" t="inlineStr">
        <is>
          <t xml:space="preserve">.   .   .   .   .   .   .   .   . </t>
        </is>
      </c>
      <c r="AD181" s="8389" t="n">
        <v>34</v>
      </c>
      <c r="AE181" s="10889">
        <f>IF(AM181&lt;&gt;"",ROUND(AM181,0),IF(AE180,"",IF(AL76&lt;&gt;"",AQ183,IF(OR(AQ83=2,AQ83=4),AQ180,IF(OR(AQ83=1,AQ83=3),AQ181,IF(AQ83=5,AQ182,""))))))</f>
        <v/>
      </c>
      <c r="AF181" s="7637" t="n"/>
      <c r="AG181" s="7637" t="n"/>
      <c r="AH181" s="7637" t="n"/>
      <c r="AI181" s="7637" t="n"/>
      <c r="AJ181" s="7637" t="n"/>
      <c r="AK181" s="2013" t="n"/>
      <c r="AL181" s="11602" t="n"/>
      <c r="AM181" s="5719" t="n"/>
      <c r="AN181" s="11602" t="n"/>
      <c r="AO181" s="2013" t="n"/>
      <c r="AP181" s="11602" t="n"/>
      <c r="AQ181" s="1193" t="n">
        <v>47025</v>
      </c>
      <c r="AR181" s="658" t="n"/>
      <c r="AS181" s="658" t="n"/>
      <c r="AT181" s="658" t="n"/>
      <c r="AU181" s="658" t="n"/>
      <c r="AV181" s="658" t="n"/>
      <c r="AW181" s="658" t="n"/>
      <c r="AX181" s="658" t="n"/>
      <c r="AY181" s="658" t="n"/>
      <c r="AZ181" s="658" t="n"/>
      <c r="BA181" s="658" t="n"/>
    </row>
    <row r="182" ht="18" customFormat="1" customHeight="1" s="815">
      <c r="A182" s="2013" t="n"/>
      <c r="B182" s="4500" t="n"/>
      <c r="C182" s="11216" t="n"/>
      <c r="D182" s="7772" t="n"/>
      <c r="E182" s="8439" t="inlineStr">
        <is>
          <t>•</t>
        </is>
      </c>
      <c r="F182" s="7772">
        <f>TEXT(AQ182,"$0,000")&amp;" if head of household for "&amp;LastYear&amp;","</f>
        <v/>
      </c>
      <c r="G182" s="7772" t="n"/>
      <c r="H182" s="7772" t="n"/>
      <c r="I182" s="7772" t="n"/>
      <c r="J182" s="7772" t="n"/>
      <c r="K182" s="7772" t="n"/>
      <c r="L182" s="7772" t="n"/>
      <c r="M182" s="344" t="n"/>
      <c r="N182" s="11641" t="n"/>
      <c r="O182" s="344" t="n"/>
      <c r="P182" s="344" t="n"/>
      <c r="Q182" s="344" t="n"/>
      <c r="R182" s="344" t="n"/>
      <c r="S182" s="344" t="n"/>
      <c r="T182" s="7865" t="n"/>
      <c r="U182" s="2100" t="n"/>
      <c r="V182" s="344" t="n"/>
      <c r="W182" s="344" t="n"/>
      <c r="X182" s="344" t="n"/>
      <c r="Y182" s="344" t="n"/>
      <c r="Z182" s="344" t="n"/>
      <c r="AA182" s="344" t="n"/>
      <c r="AB182" s="11641" t="n"/>
      <c r="AC182" s="1657" t="n"/>
      <c r="AD182" s="5743" t="n"/>
      <c r="AE182" s="5699" t="n"/>
      <c r="AF182" s="10891" t="n"/>
      <c r="AG182" s="10891" t="n"/>
      <c r="AH182" s="10891" t="n"/>
      <c r="AI182" s="10891" t="n"/>
      <c r="AJ182" s="10891" t="n"/>
      <c r="AK182" s="2013" t="n"/>
      <c r="AL182" s="11602" t="n"/>
      <c r="AM182" s="11602" t="n"/>
      <c r="AN182" s="1806" t="n"/>
      <c r="AO182" s="2013" t="n"/>
      <c r="AP182" s="11602" t="n"/>
      <c r="AQ182" s="1193" t="n">
        <v>63000</v>
      </c>
      <c r="AR182" s="658" t="n"/>
      <c r="AS182" s="658" t="n"/>
      <c r="AT182" s="5769" t="n"/>
      <c r="AU182" s="658" t="n"/>
      <c r="AV182" s="658" t="n"/>
      <c r="AW182" s="658" t="n"/>
      <c r="AX182" s="658" t="n"/>
      <c r="AY182" s="658" t="n"/>
      <c r="AZ182" s="658" t="n"/>
      <c r="BA182" s="658" t="n"/>
    </row>
    <row r="183" ht="18" customFormat="1" customHeight="1" s="815">
      <c r="A183" s="2013" t="n"/>
      <c r="B183" s="4500" t="n"/>
      <c r="C183" s="11216" t="n"/>
      <c r="D183" s="7772" t="n"/>
      <c r="E183" s="8439" t="inlineStr">
        <is>
          <t>•</t>
        </is>
      </c>
      <c r="F183" s="7772">
        <f>TEXT(AQ183,"$0,000")&amp;" for an estate or trust."</f>
        <v/>
      </c>
      <c r="G183" s="7772" t="n"/>
      <c r="H183" s="7772" t="n"/>
      <c r="I183" s="7772" t="n"/>
      <c r="J183" s="7772" t="n"/>
      <c r="K183" s="7772" t="n"/>
      <c r="L183" s="7772" t="n"/>
      <c r="M183" s="344" t="n"/>
      <c r="N183" s="11641" t="n"/>
      <c r="O183" s="344" t="n"/>
      <c r="P183" s="344" t="n"/>
      <c r="Q183" s="344" t="n"/>
      <c r="R183" s="344" t="n"/>
      <c r="S183" s="344" t="n"/>
      <c r="T183" s="7865" t="n"/>
      <c r="U183" s="2100" t="n"/>
      <c r="V183" s="344" t="n"/>
      <c r="W183" s="344" t="n"/>
      <c r="X183" s="344" t="n"/>
      <c r="Y183" s="344" t="n"/>
      <c r="Z183" s="344" t="n"/>
      <c r="AA183" s="344" t="n"/>
      <c r="AB183" s="11641" t="n"/>
      <c r="AC183" s="344" t="n"/>
      <c r="AD183" s="5743" t="n"/>
      <c r="AE183" s="5699" t="n"/>
      <c r="AF183" s="10891" t="n"/>
      <c r="AG183" s="10891" t="n"/>
      <c r="AH183" s="10891" t="n"/>
      <c r="AI183" s="10891" t="n"/>
      <c r="AJ183" s="10891" t="n"/>
      <c r="AK183" s="2013" t="n"/>
      <c r="AL183" s="11602" t="n"/>
      <c r="AM183" s="11602" t="n"/>
      <c r="AN183" s="1061" t="n"/>
      <c r="AO183" s="2013" t="n"/>
      <c r="AP183" s="11602" t="n"/>
      <c r="AQ183" s="1193" t="n">
        <v>3150</v>
      </c>
      <c r="AR183" s="658" t="n"/>
      <c r="AS183" s="658" t="n"/>
      <c r="AT183" s="658" t="n"/>
      <c r="AU183" s="658" t="n"/>
      <c r="AV183" s="658" t="n"/>
      <c r="AW183" s="658" t="n"/>
      <c r="AX183" s="658" t="n"/>
      <c r="AY183" s="658" t="n"/>
      <c r="AZ183" s="658" t="n"/>
      <c r="BA183" s="658" t="n"/>
    </row>
    <row r="184" ht="15.75" customFormat="1" customHeight="1" s="815">
      <c r="A184" s="2013" t="n"/>
      <c r="B184" s="11602" t="n"/>
      <c r="C184" s="2917" t="n">
        <v>35</v>
      </c>
      <c r="D184" s="7772">
        <f>"Enter the amount from line 5 of your "&amp;LastYear&amp;" Qualified Dividends and Capital Gain Tax Worksheet, the"</f>
        <v/>
      </c>
      <c r="E184" s="11602" t="n"/>
      <c r="F184" s="8650" t="n"/>
      <c r="G184" s="8650" t="n"/>
      <c r="H184" s="11602" t="n"/>
      <c r="I184" s="11602" t="n"/>
      <c r="J184" s="11602" t="n"/>
      <c r="K184" s="11602" t="n"/>
      <c r="L184" s="11602" t="n"/>
      <c r="M184" s="11602" t="n"/>
      <c r="N184" s="11602" t="n"/>
      <c r="O184" s="11602" t="n"/>
      <c r="P184" s="11602" t="n"/>
      <c r="Q184" s="11602" t="n"/>
      <c r="R184" s="11602" t="n"/>
      <c r="S184" s="11602" t="n"/>
      <c r="T184" s="11602" t="n"/>
      <c r="U184" s="11602" t="n"/>
      <c r="V184" s="11602" t="n"/>
      <c r="W184" s="11602" t="n"/>
      <c r="X184" s="11602" t="n"/>
      <c r="Y184" s="11602" t="n"/>
      <c r="Z184" s="11602" t="n"/>
      <c r="AA184" s="11602" t="n"/>
      <c r="AB184" s="11602" t="n"/>
      <c r="AC184" s="1657" t="n"/>
      <c r="AD184" s="5743" t="n"/>
      <c r="AE184" s="10890" t="n"/>
      <c r="AF184" s="26" t="n"/>
      <c r="AG184" s="26" t="n"/>
      <c r="AH184" s="26" t="n"/>
      <c r="AI184" s="26" t="n"/>
      <c r="AJ184" s="26" t="n"/>
      <c r="AK184" s="2013" t="n"/>
      <c r="AL184" s="11602" t="n"/>
      <c r="AM184" s="344" t="n"/>
      <c r="AN184" s="344" t="n"/>
      <c r="AO184" s="2013" t="n"/>
      <c r="AP184" s="11602" t="n"/>
      <c r="AQ184" s="1193">
        <f>IF($O$54="",0,ROUND($O$54,0))</f>
        <v/>
      </c>
      <c r="AR184" s="664" t="n"/>
      <c r="AS184" s="658" t="n"/>
      <c r="AT184" s="658" t="n"/>
      <c r="AU184" s="658" t="n"/>
      <c r="AV184" s="658" t="n"/>
      <c r="AW184" s="658" t="n"/>
      <c r="AX184" s="658" t="n"/>
      <c r="AY184" s="658" t="n"/>
      <c r="AZ184" s="658" t="n"/>
      <c r="BA184" s="658" t="n"/>
    </row>
    <row r="185" ht="15.75" customFormat="1" customHeight="1" s="815">
      <c r="A185" s="2013" t="n"/>
      <c r="B185" s="11602" t="n"/>
      <c r="C185" s="2917" t="n"/>
      <c r="D185" s="7772">
        <f>"amount from line 14 of your "&amp;LastYear&amp;" Schedule D Tax Worksheet, or the amount from line 27 of the "&amp;LastYear</f>
        <v/>
      </c>
      <c r="E185" s="11602" t="n"/>
      <c r="F185" s="8650" t="n"/>
      <c r="G185" s="8650" t="n"/>
      <c r="H185" s="11602" t="n"/>
      <c r="I185" s="11602" t="n"/>
      <c r="J185" s="11602" t="n"/>
      <c r="K185" s="11602" t="n"/>
      <c r="L185" s="11602" t="n"/>
      <c r="M185" s="11602" t="n"/>
      <c r="N185" s="11602" t="n"/>
      <c r="O185" s="11602" t="n"/>
      <c r="P185" s="11602" t="n"/>
      <c r="Q185" s="11602" t="n"/>
      <c r="R185" s="11602" t="n"/>
      <c r="S185" s="11602" t="n"/>
      <c r="T185" s="11602" t="n"/>
      <c r="U185" s="11602" t="n"/>
      <c r="V185" s="11602" t="n"/>
      <c r="W185" s="11602" t="n"/>
      <c r="X185" s="11602" t="n"/>
      <c r="Y185" s="11602" t="n"/>
      <c r="Z185" s="11602" t="n"/>
      <c r="AA185" s="11602" t="n"/>
      <c r="AB185" s="11602" t="n"/>
      <c r="AC185" s="1657" t="n"/>
      <c r="AD185" s="5743" t="n"/>
      <c r="AE185" s="5699" t="n"/>
      <c r="AF185" s="10891" t="n"/>
      <c r="AG185" s="10891" t="n"/>
      <c r="AH185" s="10891" t="n"/>
      <c r="AI185" s="10891" t="n"/>
      <c r="AJ185" s="10891" t="n"/>
      <c r="AK185" s="2013" t="n"/>
      <c r="AL185" s="11602" t="n"/>
      <c r="AM185" s="344" t="n"/>
      <c r="AN185" s="344" t="n"/>
      <c r="AO185" s="2013" t="n"/>
      <c r="AP185" s="11602" t="n"/>
      <c r="AQ185" s="1193">
        <f>IF($O$56="",0,ROUND($O$56,0))</f>
        <v/>
      </c>
      <c r="AR185" s="664" t="n"/>
      <c r="AS185" s="658" t="n"/>
      <c r="AT185" s="658" t="n"/>
      <c r="AU185" s="658" t="n"/>
      <c r="AV185" s="658" t="n"/>
      <c r="AW185" s="658" t="n"/>
      <c r="AX185" s="658" t="n"/>
      <c r="AY185" s="658" t="n"/>
      <c r="AZ185" s="658" t="n"/>
      <c r="BA185" s="658" t="n"/>
    </row>
    <row r="186" ht="15.75" customFormat="1" customHeight="1" s="815">
      <c r="A186" s="2013" t="n"/>
      <c r="B186" s="11602" t="n"/>
      <c r="C186" s="2917" t="n"/>
      <c r="D186" s="7772">
        <f>"Sch. D (Form 1041), whichever applies. If you didn’t complete either worksheet or Part V of the "&amp;LastYear</f>
        <v/>
      </c>
      <c r="E186" s="11602" t="n"/>
      <c r="F186" s="8650" t="n"/>
      <c r="G186" s="8650" t="n"/>
      <c r="H186" s="11602" t="n"/>
      <c r="I186" s="11602" t="n"/>
      <c r="J186" s="11602" t="n"/>
      <c r="K186" s="11602" t="n"/>
      <c r="L186" s="11602" t="n"/>
      <c r="M186" s="11602" t="n"/>
      <c r="N186" s="11602" t="n"/>
      <c r="O186" s="11602" t="n"/>
      <c r="P186" s="11602" t="n"/>
      <c r="Q186" s="11602" t="n"/>
      <c r="R186" s="11602" t="n"/>
      <c r="S186" s="11602" t="n"/>
      <c r="T186" s="11602" t="n"/>
      <c r="U186" s="11602" t="n"/>
      <c r="V186" s="11602" t="n"/>
      <c r="W186" s="11602" t="n"/>
      <c r="X186" s="11602" t="n"/>
      <c r="Y186" s="11602" t="n"/>
      <c r="Z186" s="11602" t="n"/>
      <c r="AA186" s="11602" t="n"/>
      <c r="AB186" s="11602" t="n"/>
      <c r="AC186" s="1657" t="n"/>
      <c r="AD186" s="5743" t="n"/>
      <c r="AE186" s="5699" t="n"/>
      <c r="AF186" s="10891" t="n"/>
      <c r="AG186" s="10891" t="n"/>
      <c r="AH186" s="10891" t="n"/>
      <c r="AI186" s="10891" t="n"/>
      <c r="AJ186" s="10891" t="n"/>
      <c r="AK186" s="2013" t="n"/>
      <c r="AL186" s="11602" t="n"/>
      <c r="AM186" s="344" t="n"/>
      <c r="AN186" s="344" t="n"/>
      <c r="AO186" s="10929">
        <f>IF(AQ190,"If your "&amp;LastYear&amp;" taxable income was zero or less, enter -0- on Form 8801, line 35. Also, you must take one of the following actions, whichever applies to you, before completing lines 28, 29, and 30 of Part III:"&amp;CHAR(10)&amp;CHAR(10)&amp;"• Complete lines 2 through 4 of the QDCG Tax Worksheet in the "&amp;LastYear&amp;" Instructions for Form 1040."&amp;CHAR(10)&amp;CHAR(10)&amp;"• Complete lines 2 through 13 of the Schedule D Tax Worksheet in the "&amp;LastYear&amp;" Instructions for Schedule D (Form 1040), whichever applies.","")</f>
        <v/>
      </c>
      <c r="AP186" s="11602" t="n"/>
      <c r="AQ186" s="1193">
        <f>IF($O$59="",0,ROUND($O$59,0))</f>
        <v/>
      </c>
      <c r="AR186" s="664" t="n"/>
      <c r="AS186" s="658" t="n"/>
      <c r="AT186" s="658" t="n"/>
      <c r="AU186" s="658" t="n"/>
      <c r="AV186" s="658" t="n"/>
      <c r="AW186" s="658" t="n"/>
      <c r="AX186" s="658" t="n"/>
      <c r="AY186" s="658" t="n"/>
      <c r="AZ186" s="658" t="n"/>
      <c r="BA186" s="658" t="n"/>
    </row>
    <row r="187" ht="16.5" customFormat="1" customHeight="1" s="815" thickBot="1">
      <c r="A187" s="2013" t="n"/>
      <c r="B187" s="11602" t="n"/>
      <c r="C187" s="2917" t="n"/>
      <c r="D187" s="7772">
        <f>"Sch. D (Form 1041), enter the amount from your "&amp;LastYear&amp;" Form 1040, 1040-SR, or 1040-NR, line 15, or"</f>
        <v/>
      </c>
      <c r="E187" s="11602" t="n"/>
      <c r="F187" s="8650" t="n"/>
      <c r="G187" s="8650" t="n"/>
      <c r="H187" s="11602" t="n"/>
      <c r="I187" s="11602" t="n"/>
      <c r="J187" s="11602" t="n"/>
      <c r="K187" s="11602" t="n"/>
      <c r="L187" s="11602" t="n"/>
      <c r="M187" s="11602" t="n"/>
      <c r="N187" s="11602" t="n"/>
      <c r="O187" s="11602" t="n"/>
      <c r="P187" s="11602" t="n"/>
      <c r="Q187" s="11602" t="n"/>
      <c r="R187" s="11602" t="n"/>
      <c r="S187" s="11602" t="n"/>
      <c r="T187" s="11602" t="n"/>
      <c r="U187" s="11602" t="n"/>
      <c r="V187" s="11602" t="n"/>
      <c r="W187" s="11602" t="n"/>
      <c r="X187" s="11602" t="n"/>
      <c r="Y187" s="11602" t="n"/>
      <c r="Z187" s="11602" t="n"/>
      <c r="AA187" s="11602" t="n"/>
      <c r="AB187" s="11602" t="n"/>
      <c r="AC187" s="1657" t="n"/>
      <c r="AD187" s="5743" t="n"/>
      <c r="AE187" s="10896">
        <f>AND(AE180,AE181="",AE188="")</f>
        <v/>
      </c>
      <c r="AF187" s="26" t="n"/>
      <c r="AG187" s="26" t="n"/>
      <c r="AH187" s="26" t="n"/>
      <c r="AI187" s="26" t="n"/>
      <c r="AJ187" s="26" t="n"/>
      <c r="AK187" s="2013" t="n"/>
      <c r="AL187" s="11602" t="n"/>
      <c r="AM187" s="344" t="n"/>
      <c r="AN187" s="344" t="n"/>
      <c r="AO187" s="194" t="n"/>
      <c r="AP187" s="11602" t="n"/>
      <c r="AQ187" s="1193">
        <f>IF($O$65="",0,ROUND($O$65,0))</f>
        <v/>
      </c>
      <c r="AR187" s="664" t="n"/>
      <c r="AS187" s="658" t="n"/>
      <c r="AT187" s="658" t="n"/>
      <c r="AU187" s="658" t="n"/>
      <c r="AV187" s="658" t="n"/>
      <c r="AW187" s="658" t="n"/>
      <c r="AX187" s="658" t="n"/>
      <c r="AY187" s="658" t="n"/>
      <c r="AZ187" s="658" t="n"/>
      <c r="BA187" s="658" t="n"/>
    </row>
    <row r="188" ht="16.5" customFormat="1" customHeight="1" s="815" thickBot="1">
      <c r="A188" s="2013" t="n"/>
      <c r="B188" s="11602" t="n"/>
      <c r="C188" s="2917" t="n"/>
      <c r="D188" s="7772">
        <f>LastYear&amp;" Form 1041, line 23, whichever applies; if zero or less, enter -0-"</f>
        <v/>
      </c>
      <c r="E188" s="11602" t="n"/>
      <c r="F188" s="8650" t="n"/>
      <c r="G188" s="8650" t="n"/>
      <c r="H188" s="11602" t="n"/>
      <c r="I188" s="11602" t="n"/>
      <c r="J188" s="11602" t="n"/>
      <c r="K188" s="11602" t="n"/>
      <c r="L188" s="11602" t="n"/>
      <c r="M188" s="11602" t="n"/>
      <c r="N188" s="11602" t="n"/>
      <c r="O188" s="11602" t="n"/>
      <c r="P188" s="11602" t="n"/>
      <c r="Q188" s="11602" t="n"/>
      <c r="R188" s="11602" t="n"/>
      <c r="S188" s="11602" t="n"/>
      <c r="T188" s="11602" t="n"/>
      <c r="U188" s="11602" t="n"/>
      <c r="V188" s="11602" t="n"/>
      <c r="W188" s="11602" t="n"/>
      <c r="X188" s="11602" t="n"/>
      <c r="Y188" s="11602" t="n"/>
      <c r="Z188" s="11602" t="n"/>
      <c r="AA188" s="11602" t="n"/>
      <c r="AB188" s="11602" t="n"/>
      <c r="AC188" s="1657" t="inlineStr">
        <is>
          <t xml:space="preserve">.   .   .   .   .   .   .   .   .   .   .   .   . </t>
        </is>
      </c>
      <c r="AD188" s="8389" t="n">
        <v>35</v>
      </c>
      <c r="AE188" s="10889">
        <f>IF(AM188&lt;&gt;"",ROUND(AM188,0),
 IF(AND($AE$42="",$AQ$67),"",
 IF($AQ$67,MAX(0,$AQ$189),
 IF($O$65&lt;&gt;"",MAX(0,$AQ$187),
 IF($O$56&lt;&gt;"",MAX(0,$AQ$185),
    "")))))</f>
        <v/>
      </c>
      <c r="AF188" s="7637" t="n"/>
      <c r="AG188" s="7637" t="n"/>
      <c r="AH188" s="7637" t="n"/>
      <c r="AI188" s="7637" t="n"/>
      <c r="AJ188" s="7637" t="n"/>
      <c r="AK188" s="2013" t="n"/>
      <c r="AL188" s="11602" t="n"/>
      <c r="AM188" s="5719" t="n"/>
      <c r="AN188" s="344" t="n"/>
      <c r="AO188" s="194" t="n"/>
      <c r="AP188" s="11602" t="n"/>
      <c r="AQ188" s="1193">
        <f>IF($O$67="",0,ROUND($O$67,0))</f>
        <v/>
      </c>
      <c r="AR188" s="664" t="n"/>
      <c r="AS188" s="658" t="n"/>
      <c r="AT188" s="658" t="n"/>
      <c r="AU188" s="658" t="n"/>
      <c r="AV188" s="658" t="n"/>
      <c r="AW188" s="658" t="n"/>
      <c r="AX188" s="658" t="n"/>
      <c r="AY188" s="658" t="n"/>
      <c r="AZ188" s="658" t="n"/>
      <c r="BA188" s="658" t="n"/>
    </row>
    <row r="189" ht="18" customFormat="1" customHeight="1" s="815" thickBot="1">
      <c r="A189" s="2013" t="n"/>
      <c r="B189" s="11602" t="n"/>
      <c r="C189" s="2917" t="n">
        <v>36</v>
      </c>
      <c r="D189" s="7772" t="inlineStr">
        <is>
          <t xml:space="preserve">Subtract line 35 from line 34. If zero or less, enter -0- </t>
        </is>
      </c>
      <c r="E189" s="11602" t="n"/>
      <c r="F189" s="8650" t="n"/>
      <c r="G189" s="8650" t="n"/>
      <c r="H189" s="11602" t="n"/>
      <c r="I189" s="11602" t="n"/>
      <c r="J189" s="11602" t="n"/>
      <c r="K189" s="11602" t="n"/>
      <c r="L189" s="11602" t="n"/>
      <c r="M189" s="11602" t="n"/>
      <c r="N189" s="11602" t="n"/>
      <c r="O189" s="11602" t="n"/>
      <c r="P189" s="11602" t="n"/>
      <c r="Q189" s="11602" t="n"/>
      <c r="R189" s="11602" t="n"/>
      <c r="S189" s="11602" t="n"/>
      <c r="T189" s="11602" t="n"/>
      <c r="U189" s="11602" t="n"/>
      <c r="V189" s="11602" t="n"/>
      <c r="W189" s="11602" t="n"/>
      <c r="X189" s="11602" t="n"/>
      <c r="Y189" s="11602" t="n"/>
      <c r="Z189" s="11602" t="n"/>
      <c r="AA189" s="11602" t="n"/>
      <c r="AB189" s="11602" t="n"/>
      <c r="AC189" s="1657" t="inlineStr">
        <is>
          <t xml:space="preserve">.   .   .   .   .   .   .   .   .   .   .   .   .   .   .   .   .   .   .   . </t>
        </is>
      </c>
      <c r="AD189" s="8389" t="n">
        <v>36</v>
      </c>
      <c r="AE189" s="10889">
        <f>IF(AM189&lt;&gt;"",ROUND(AM189,0),IF(AE188="","",MAX(0,SUM(AE181,-AE188))))</f>
        <v/>
      </c>
      <c r="AF189" s="7637" t="n"/>
      <c r="AG189" s="7637" t="n"/>
      <c r="AH189" s="7637" t="n"/>
      <c r="AI189" s="7637" t="n"/>
      <c r="AJ189" s="7637" t="n"/>
      <c r="AK189" s="2013" t="n"/>
      <c r="AL189" s="11602" t="n"/>
      <c r="AM189" s="5719" t="n"/>
      <c r="AN189" s="344" t="n"/>
      <c r="AO189" s="194" t="n"/>
      <c r="AP189" s="11602" t="n"/>
      <c r="AQ189" s="1193">
        <f>IF($AE$42="",0,ROUND($AE$42,0))</f>
        <v/>
      </c>
      <c r="AR189" s="664" t="n"/>
      <c r="AS189" s="658" t="n"/>
      <c r="AT189" s="658" t="n"/>
      <c r="AU189" s="658" t="n"/>
      <c r="AV189" s="658" t="n"/>
      <c r="AW189" s="658" t="n"/>
      <c r="AX189" s="658" t="n"/>
      <c r="AY189" s="658" t="n"/>
      <c r="AZ189" s="658" t="n"/>
      <c r="BA189" s="658" t="n"/>
    </row>
    <row r="190" ht="18" customFormat="1" customHeight="1" s="815">
      <c r="A190" s="2013" t="n"/>
      <c r="B190" s="11602" t="n"/>
      <c r="C190" s="2917" t="n">
        <v>37</v>
      </c>
      <c r="D190" s="7772" t="inlineStr">
        <is>
          <t>Enter the smaller of line 27 or line 28</t>
        </is>
      </c>
      <c r="E190" s="11602" t="n"/>
      <c r="F190" s="8650" t="n"/>
      <c r="G190" s="8650" t="n"/>
      <c r="H190" s="11602" t="n"/>
      <c r="I190" s="11602" t="n"/>
      <c r="J190" s="11602" t="n"/>
      <c r="K190" s="11602" t="n"/>
      <c r="L190" s="11602" t="n"/>
      <c r="M190" s="11602" t="n"/>
      <c r="N190" s="11602" t="n"/>
      <c r="O190" s="11602" t="n"/>
      <c r="P190" s="11602" t="n"/>
      <c r="Q190" s="11602" t="n"/>
      <c r="R190" s="11602" t="n"/>
      <c r="S190" s="11602" t="n"/>
      <c r="T190" s="11602" t="n"/>
      <c r="U190" s="11602" t="n"/>
      <c r="V190" s="11602" t="n"/>
      <c r="W190" s="11602" t="n"/>
      <c r="X190" s="11602" t="n"/>
      <c r="Y190" s="11602" t="n"/>
      <c r="Z190" s="11602" t="n"/>
      <c r="AA190" s="11602" t="n"/>
      <c r="AB190" s="11602" t="n"/>
      <c r="AC190" s="1657" t="inlineStr">
        <is>
          <t xml:space="preserve">.   .   .   .   .   .   .   .   .   .   .   .   .   .   .   .   .   .   .   .   .   .   .   .   .   .   . </t>
        </is>
      </c>
      <c r="AD190" s="8389" t="n">
        <v>37</v>
      </c>
      <c r="AE190" s="10889">
        <f>IF(AND(AE188="",AE189=""),"",MIN(AE163,AE168))</f>
        <v/>
      </c>
      <c r="AF190" s="7637" t="n"/>
      <c r="AG190" s="7637" t="n"/>
      <c r="AH190" s="7637" t="n"/>
      <c r="AI190" s="7637" t="n"/>
      <c r="AJ190" s="7637" t="n"/>
      <c r="AK190" s="2013" t="n"/>
      <c r="AL190" s="11602" t="n"/>
      <c r="AM190" s="11602" t="n"/>
      <c r="AN190" s="11602" t="n"/>
      <c r="AO190" s="194" t="n"/>
      <c r="AP190" s="11602" t="n"/>
      <c r="AQ190" s="5765">
        <f>AND($AE$42&lt;&gt;"",AQ189&lt;=0,$AQ$67)</f>
        <v/>
      </c>
      <c r="AR190" s="658" t="n"/>
      <c r="AS190" s="658" t="n"/>
      <c r="AT190" s="658" t="n"/>
      <c r="AU190" s="658" t="n"/>
      <c r="AV190" s="658" t="n"/>
      <c r="AW190" s="658" t="n"/>
      <c r="AX190" s="658" t="n"/>
      <c r="AY190" s="658" t="n"/>
      <c r="AZ190" s="658" t="n"/>
      <c r="BA190" s="658" t="n"/>
    </row>
    <row r="191" ht="18" customFormat="1" customHeight="1" s="815">
      <c r="A191" s="2013" t="n"/>
      <c r="B191" s="11602" t="n"/>
      <c r="C191" s="2917" t="n">
        <v>38</v>
      </c>
      <c r="D191" s="7772" t="inlineStr">
        <is>
          <t>Enter the smaller of line 36 or line 37</t>
        </is>
      </c>
      <c r="E191" s="11602" t="n"/>
      <c r="F191" s="8650" t="n"/>
      <c r="G191" s="8650" t="n"/>
      <c r="H191" s="11602" t="n"/>
      <c r="I191" s="11602" t="n"/>
      <c r="J191" s="11602" t="n"/>
      <c r="K191" s="11602" t="n"/>
      <c r="L191" s="11602" t="n"/>
      <c r="M191" s="11602" t="n"/>
      <c r="N191" s="11602" t="n"/>
      <c r="O191" s="11602" t="n"/>
      <c r="P191" s="11602" t="n"/>
      <c r="Q191" s="11602" t="n"/>
      <c r="R191" s="11602" t="n"/>
      <c r="S191" s="11602" t="n"/>
      <c r="T191" s="11602" t="n"/>
      <c r="U191" s="11602" t="n"/>
      <c r="V191" s="11602" t="n"/>
      <c r="W191" s="11602" t="n"/>
      <c r="X191" s="11602" t="n"/>
      <c r="Y191" s="11602" t="n"/>
      <c r="Z191" s="11602" t="n"/>
      <c r="AA191" s="11602" t="n"/>
      <c r="AB191" s="11602" t="n"/>
      <c r="AC191" s="1657" t="inlineStr">
        <is>
          <t xml:space="preserve">.   .   .   .   .   .   .   .   .   .   .   .   .   .   .   .   .   .   .   .   .   .   .   .   .   .   . </t>
        </is>
      </c>
      <c r="AD191" s="8389" t="n">
        <v>38</v>
      </c>
      <c r="AE191" s="10889">
        <f>IF(AND(AE188="",AE189="",AE190=""),"",MIN(AE189,AE190))</f>
        <v/>
      </c>
      <c r="AF191" s="7637" t="n"/>
      <c r="AG191" s="7637" t="n"/>
      <c r="AH191" s="7637" t="n"/>
      <c r="AI191" s="7637" t="n"/>
      <c r="AJ191" s="7637" t="n"/>
      <c r="AK191" s="2013" t="n"/>
      <c r="AL191" s="11602" t="n"/>
      <c r="AM191" s="11602" t="n"/>
      <c r="AN191" s="11602" t="n"/>
      <c r="AO191" s="194" t="n"/>
      <c r="AP191" s="11602" t="n"/>
      <c r="AQ191" s="1193" t="n"/>
      <c r="AR191" s="658" t="n"/>
      <c r="AS191" s="658" t="n"/>
      <c r="AT191" s="658" t="n"/>
      <c r="AU191" s="658" t="n"/>
      <c r="AV191" s="658" t="n"/>
      <c r="AW191" s="658" t="n"/>
      <c r="AX191" s="658" t="n"/>
      <c r="AY191" s="658" t="n"/>
      <c r="AZ191" s="658" t="n"/>
      <c r="BA191" s="658" t="n"/>
    </row>
    <row r="192" ht="18" customFormat="1" customHeight="1" s="815">
      <c r="A192" s="2013" t="n"/>
      <c r="B192" s="11602" t="n"/>
      <c r="C192" s="2917" t="n">
        <v>39</v>
      </c>
      <c r="D192" s="7772" t="inlineStr">
        <is>
          <t>Subtract line 38 from line 37</t>
        </is>
      </c>
      <c r="E192" s="11602" t="n"/>
      <c r="F192" s="8650" t="n"/>
      <c r="G192" s="8650" t="n"/>
      <c r="H192" s="11602" t="n"/>
      <c r="I192" s="11602" t="n"/>
      <c r="J192" s="11602" t="n"/>
      <c r="K192" s="11602" t="n"/>
      <c r="L192" s="11602" t="n"/>
      <c r="M192" s="11602" t="n"/>
      <c r="N192" s="11602" t="n"/>
      <c r="O192" s="11602" t="n"/>
      <c r="P192" s="11602" t="n"/>
      <c r="Q192" s="11602" t="n"/>
      <c r="R192" s="11602" t="n"/>
      <c r="S192" s="11602" t="n"/>
      <c r="T192" s="11602" t="n"/>
      <c r="U192" s="11602" t="n"/>
      <c r="V192" s="11602" t="n"/>
      <c r="W192" s="11602" t="n"/>
      <c r="X192" s="11602" t="n"/>
      <c r="Y192" s="11602" t="n"/>
      <c r="Z192" s="11602" t="n"/>
      <c r="AA192" s="11602" t="n"/>
      <c r="AB192" s="11602" t="n"/>
      <c r="AC192" s="1657" t="inlineStr">
        <is>
          <t xml:space="preserve">.   .   .   .   .   .   .   .   .   .   .   .   .   .   .   .   .   .   .   .   .   .   .   .   .   .   .   .   .   . </t>
        </is>
      </c>
      <c r="AD192" s="8389" t="n">
        <v>39</v>
      </c>
      <c r="AE192" s="10889">
        <f>IF(AND(AE188="",AE189="",AE190="",AE191=""),"",SUM(AE190,-AE191))</f>
        <v/>
      </c>
      <c r="AF192" s="7637" t="n"/>
      <c r="AG192" s="7637" t="n"/>
      <c r="AH192" s="7637" t="n"/>
      <c r="AI192" s="7637" t="n"/>
      <c r="AJ192" s="7637" t="n"/>
      <c r="AK192" s="2013" t="n"/>
      <c r="AL192" s="11602" t="n"/>
      <c r="AM192" s="11602" t="n"/>
      <c r="AN192" s="11602" t="n"/>
      <c r="AO192" s="194" t="n"/>
      <c r="AP192" s="11602" t="n"/>
      <c r="AQ192" s="1193" t="n"/>
      <c r="AR192" s="658" t="n"/>
      <c r="AS192" s="658" t="n"/>
      <c r="AT192" s="658" t="n"/>
      <c r="AU192" s="658" t="n"/>
      <c r="AV192" s="658" t="n"/>
      <c r="AW192" s="658" t="n"/>
      <c r="AX192" s="658" t="n"/>
      <c r="AY192" s="658" t="n"/>
      <c r="AZ192" s="658" t="n"/>
      <c r="BA192" s="658" t="n"/>
    </row>
    <row r="193" ht="18" customFormat="1" customHeight="1" s="815">
      <c r="A193" s="2013" t="n"/>
      <c r="B193" s="11602" t="n"/>
      <c r="C193" s="2917" t="n">
        <v>40</v>
      </c>
      <c r="D193" s="7772" t="inlineStr">
        <is>
          <t>Enter:</t>
        </is>
      </c>
      <c r="E193" s="11602" t="n"/>
      <c r="F193" s="7772" t="n"/>
      <c r="G193" s="7772" t="n"/>
      <c r="H193" s="7772" t="n"/>
      <c r="I193" s="7772" t="n"/>
      <c r="J193" s="7772" t="n"/>
      <c r="K193" s="7772" t="n"/>
      <c r="L193" s="7772" t="n"/>
      <c r="M193" s="11602" t="n"/>
      <c r="N193" s="11602" t="n"/>
      <c r="O193" s="11602" t="n"/>
      <c r="P193" s="11602" t="n"/>
      <c r="Q193" s="11602" t="n"/>
      <c r="R193" s="11602" t="n"/>
      <c r="S193" s="11602" t="n"/>
      <c r="T193" s="11602" t="n"/>
      <c r="U193" s="11602" t="n"/>
      <c r="V193" s="11602" t="n"/>
      <c r="W193" s="11602" t="n"/>
      <c r="X193" s="11602" t="n"/>
      <c r="Y193" s="11602" t="n"/>
      <c r="Z193" s="11602" t="n"/>
      <c r="AA193" s="11602" t="n"/>
      <c r="AB193" s="11602" t="n"/>
      <c r="AC193" s="1657" t="n"/>
      <c r="AD193" s="5743" t="n"/>
      <c r="AE193" s="5699" t="n"/>
      <c r="AF193" s="10891" t="n"/>
      <c r="AG193" s="10891" t="n"/>
      <c r="AH193" s="10891" t="n"/>
      <c r="AI193" s="10891" t="n"/>
      <c r="AJ193" s="10891" t="n"/>
      <c r="AK193" s="2013" t="n"/>
      <c r="AL193" s="11602" t="n"/>
      <c r="AM193" s="11602" t="n"/>
      <c r="AN193" s="11602" t="n"/>
      <c r="AO193" s="194" t="n"/>
      <c r="AP193" s="11602" t="n"/>
      <c r="AQ193" s="1193" t="n"/>
      <c r="AR193" s="658" t="n"/>
      <c r="AS193" s="658" t="n"/>
      <c r="AT193" s="658" t="n"/>
      <c r="AU193" s="658" t="n"/>
      <c r="AV193" s="658" t="n"/>
      <c r="AW193" s="658" t="n"/>
      <c r="AX193" s="658" t="n"/>
      <c r="AY193" s="658" t="n"/>
      <c r="AZ193" s="658" t="n"/>
      <c r="BA193" s="658" t="n"/>
    </row>
    <row r="194" ht="18" customFormat="1" customHeight="1" s="1115">
      <c r="A194" s="2290" t="n"/>
      <c r="B194" s="5704" t="n"/>
      <c r="C194" s="5705" t="n"/>
      <c r="D194" s="8439" t="n"/>
      <c r="E194" s="8439" t="inlineStr">
        <is>
          <t>•</t>
        </is>
      </c>
      <c r="F194" s="7772">
        <f>TEXT(AQ194,"$0,000")&amp;" if single for "&amp;LastYear&amp;","</f>
        <v/>
      </c>
      <c r="G194" s="7772" t="n"/>
      <c r="H194" s="7772" t="n"/>
      <c r="I194" s="7772" t="n"/>
      <c r="J194" s="7772" t="n"/>
      <c r="K194" s="7772" t="n"/>
      <c r="L194" s="7772" t="n"/>
      <c r="M194" s="5704" t="n"/>
      <c r="N194" s="5704" t="n"/>
      <c r="O194" s="5704" t="n"/>
      <c r="P194" s="5704" t="n"/>
      <c r="Q194" s="5704" t="n"/>
      <c r="R194" s="5704" t="n"/>
      <c r="S194" s="5704" t="n"/>
      <c r="T194" s="5704" t="n"/>
      <c r="U194" s="5704" t="n"/>
      <c r="V194" s="5704" t="n"/>
      <c r="W194" s="5704" t="n"/>
      <c r="X194" s="5704" t="n"/>
      <c r="Y194" s="5704" t="n"/>
      <c r="Z194" s="5704" t="n"/>
      <c r="AA194" s="5704" t="n"/>
      <c r="AB194" s="5704" t="n"/>
      <c r="AC194" s="5704" t="n"/>
      <c r="AD194" s="5743" t="n"/>
      <c r="AE194" s="5699" t="n"/>
      <c r="AF194" s="10891" t="n"/>
      <c r="AG194" s="10891" t="n"/>
      <c r="AH194" s="10891" t="n"/>
      <c r="AI194" s="10891" t="n"/>
      <c r="AJ194" s="10891" t="n"/>
      <c r="AK194" s="2290" t="n"/>
      <c r="AL194" s="4477" t="n"/>
      <c r="AM194" s="4477" t="n"/>
      <c r="AN194" s="4477" t="n"/>
      <c r="AO194" s="194" t="n"/>
      <c r="AP194" s="4477" t="n"/>
      <c r="AQ194" s="1193" t="n">
        <v>518900</v>
      </c>
      <c r="AR194" s="1114" t="n"/>
      <c r="AS194" s="1114" t="n"/>
      <c r="AT194" s="1114" t="n"/>
      <c r="AU194" s="1114" t="n"/>
      <c r="AV194" s="1114" t="n"/>
      <c r="AW194" s="1114" t="n"/>
      <c r="AX194" s="1114" t="n"/>
      <c r="AY194" s="1114" t="n"/>
      <c r="AZ194" s="1114" t="n"/>
      <c r="BA194" s="1114" t="n"/>
      <c r="BB194" s="2293" t="n"/>
      <c r="BC194" s="2293" t="n"/>
    </row>
    <row r="195" ht="18" customFormat="1" customHeight="1" s="815" thickBot="1">
      <c r="A195" s="2013" t="n"/>
      <c r="B195" s="5706" t="n"/>
      <c r="C195" s="2917" t="n"/>
      <c r="D195" s="7772" t="n"/>
      <c r="E195" s="8439" t="inlineStr">
        <is>
          <t>•</t>
        </is>
      </c>
      <c r="F195" s="7772">
        <f>TEXT(AQ195,"$0,000")&amp;" if married filing separately for "&amp;LastYear&amp;","</f>
        <v/>
      </c>
      <c r="G195" s="7772" t="n"/>
      <c r="H195" s="7772" t="n"/>
      <c r="I195" s="7772" t="n"/>
      <c r="J195" s="7772" t="n"/>
      <c r="K195" s="7772" t="n"/>
      <c r="L195" s="7772" t="n"/>
      <c r="M195" s="344" t="n"/>
      <c r="N195" s="344" t="n"/>
      <c r="O195" s="344" t="n"/>
      <c r="P195" s="344" t="n"/>
      <c r="Q195" s="344" t="n"/>
      <c r="R195" s="344" t="n"/>
      <c r="S195" s="344" t="n"/>
      <c r="T195" s="344" t="n"/>
      <c r="U195" s="344" t="n"/>
      <c r="V195" s="344" t="n"/>
      <c r="W195" s="344" t="n"/>
      <c r="X195" s="344" t="n"/>
      <c r="Y195" s="344" t="n"/>
      <c r="Z195" s="344" t="n"/>
      <c r="AA195" s="344" t="n"/>
      <c r="AB195" s="344" t="n"/>
      <c r="AC195" s="344" t="n"/>
      <c r="AD195" s="5743" t="n"/>
      <c r="AE195" s="10896">
        <f>AND(AE187,AE189="")</f>
        <v/>
      </c>
      <c r="AF195" s="26" t="n"/>
      <c r="AG195" s="26" t="n"/>
      <c r="AH195" s="26" t="n"/>
      <c r="AI195" s="26" t="n"/>
      <c r="AJ195" s="26" t="n"/>
      <c r="AK195" s="2013" t="n"/>
      <c r="AL195" s="11602" t="n"/>
      <c r="AM195" s="11602" t="n"/>
      <c r="AN195" s="11602" t="n"/>
      <c r="AO195" s="194" t="n"/>
      <c r="AP195" s="11602" t="n"/>
      <c r="AQ195" s="1193" t="n">
        <v>291850</v>
      </c>
      <c r="AR195" s="658" t="n"/>
      <c r="AS195" s="658" t="n"/>
      <c r="AT195" s="658" t="n"/>
      <c r="AU195" s="658" t="n"/>
      <c r="AV195" s="658" t="n"/>
      <c r="AW195" s="658" t="n"/>
      <c r="AX195" s="658" t="n"/>
      <c r="AY195" s="658" t="n"/>
      <c r="AZ195" s="658" t="n"/>
      <c r="BA195" s="658" t="n"/>
    </row>
    <row r="196" ht="18" customFormat="1" customHeight="1" s="815" thickBot="1">
      <c r="A196" s="2013" t="n"/>
      <c r="B196" s="5706" t="n"/>
      <c r="C196" s="2917" t="n"/>
      <c r="D196" s="7772" t="n"/>
      <c r="E196" s="8439" t="inlineStr">
        <is>
          <t>•</t>
        </is>
      </c>
      <c r="F196" s="7772">
        <f>TEXT(AQ196,"$0,000")&amp;" if married filing jointly or qualifying surviving spouse for "&amp;LastYear&amp;","</f>
        <v/>
      </c>
      <c r="G196" s="7772" t="n"/>
      <c r="H196" s="7772" t="n"/>
      <c r="I196" s="7772" t="n"/>
      <c r="J196" s="7772" t="n"/>
      <c r="K196" s="7772" t="n"/>
      <c r="L196" s="7772" t="n"/>
      <c r="M196" s="344" t="n"/>
      <c r="N196" s="344" t="n"/>
      <c r="O196" s="344" t="n"/>
      <c r="P196" s="344" t="n"/>
      <c r="Q196" s="344" t="n"/>
      <c r="R196" s="344" t="n"/>
      <c r="S196" s="344" t="n"/>
      <c r="T196" s="344" t="n"/>
      <c r="U196" s="344" t="n"/>
      <c r="V196" s="344" t="n"/>
      <c r="W196" s="344" t="n"/>
      <c r="X196" s="344" t="n"/>
      <c r="Y196" s="344" t="n"/>
      <c r="Z196" s="344" t="n"/>
      <c r="AA196" s="344" t="n"/>
      <c r="AB196" s="344" t="n"/>
      <c r="AC196" s="1657" t="inlineStr">
        <is>
          <t xml:space="preserve">.   .   .   .   .   .   .   .   . </t>
        </is>
      </c>
      <c r="AD196" s="8389" t="n">
        <v>40</v>
      </c>
      <c r="AE196" s="10889">
        <f>IF(AM196&lt;&gt;"",ROUND(AM196,0),IF(AE192="","",IF(AE195,"",IF(AL76&lt;&gt;"",AQ198,IF(AQ83=1,AQ194,IF(AQ83=3,AQ195,IF(OR(AQ83=2,AQ83=4),AQ196,IF(AQ83=5,AQ197,""))))))))</f>
        <v/>
      </c>
      <c r="AF196" s="7637" t="n"/>
      <c r="AG196" s="7637" t="n"/>
      <c r="AH196" s="7637" t="n"/>
      <c r="AI196" s="7637" t="n"/>
      <c r="AJ196" s="7637" t="n"/>
      <c r="AK196" s="2013" t="n"/>
      <c r="AL196" s="11602" t="n"/>
      <c r="AM196" s="5719" t="n"/>
      <c r="AN196" s="1806" t="n"/>
      <c r="AO196" s="194" t="n"/>
      <c r="AP196" s="11602" t="n"/>
      <c r="AQ196" s="1193" t="n">
        <v>583750</v>
      </c>
      <c r="AR196" s="658" t="n"/>
      <c r="AS196" s="658" t="n"/>
      <c r="AT196" s="658" t="n"/>
      <c r="AU196" s="658" t="n"/>
      <c r="AV196" s="658" t="n"/>
      <c r="AW196" s="658" t="n"/>
      <c r="AX196" s="658" t="n"/>
      <c r="AY196" s="658" t="n"/>
      <c r="AZ196" s="658" t="n"/>
      <c r="BA196" s="658" t="n"/>
    </row>
    <row r="197" ht="18" customFormat="1" customHeight="1" s="815">
      <c r="A197" s="2013" t="n"/>
      <c r="B197" s="4500" t="n"/>
      <c r="C197" s="11216" t="n"/>
      <c r="D197" s="7772" t="n"/>
      <c r="E197" s="8439" t="inlineStr">
        <is>
          <t>•</t>
        </is>
      </c>
      <c r="F197" s="7772">
        <f>TEXT(AQ197,"$0,000")&amp;" if head of household for "&amp;LastYear&amp;","</f>
        <v/>
      </c>
      <c r="G197" s="7772" t="n"/>
      <c r="H197" s="7772" t="n"/>
      <c r="I197" s="7772" t="n"/>
      <c r="J197" s="7772" t="n"/>
      <c r="K197" s="7772" t="n"/>
      <c r="L197" s="7772" t="n"/>
      <c r="M197" s="344" t="n"/>
      <c r="N197" s="11641" t="n"/>
      <c r="O197" s="344" t="n"/>
      <c r="P197" s="344" t="n"/>
      <c r="Q197" s="344" t="n"/>
      <c r="R197" s="344" t="n"/>
      <c r="S197" s="344" t="n"/>
      <c r="T197" s="7865" t="n"/>
      <c r="U197" s="2100" t="n"/>
      <c r="V197" s="344" t="n"/>
      <c r="W197" s="344" t="n"/>
      <c r="X197" s="344" t="n"/>
      <c r="Y197" s="344" t="n"/>
      <c r="Z197" s="344" t="n"/>
      <c r="AA197" s="344" t="n"/>
      <c r="AB197" s="11641" t="n"/>
      <c r="AC197" s="344" t="n"/>
      <c r="AD197" s="5743" t="n"/>
      <c r="AE197" s="5699" t="n"/>
      <c r="AF197" s="10891" t="n"/>
      <c r="AG197" s="10891" t="n"/>
      <c r="AH197" s="10891" t="n"/>
      <c r="AI197" s="10891" t="n"/>
      <c r="AJ197" s="10891" t="n"/>
      <c r="AK197" s="2013" t="n"/>
      <c r="AL197" s="11602" t="n"/>
      <c r="AM197" s="11602" t="n"/>
      <c r="AN197" s="11602" t="n"/>
      <c r="AO197" s="194" t="n"/>
      <c r="AP197" s="11602" t="n"/>
      <c r="AQ197" s="1193" t="n">
        <v>551350</v>
      </c>
      <c r="AR197" s="658" t="n"/>
      <c r="AS197" s="658" t="n"/>
      <c r="AT197" s="658" t="n"/>
      <c r="AU197" s="658" t="n"/>
      <c r="AV197" s="658" t="n"/>
      <c r="AW197" s="658" t="n"/>
      <c r="AX197" s="658" t="n"/>
      <c r="AY197" s="658" t="n"/>
      <c r="AZ197" s="658" t="n"/>
      <c r="BA197" s="658" t="n"/>
    </row>
    <row r="198" ht="18" customFormat="1" customHeight="1" s="815">
      <c r="A198" s="2013" t="n"/>
      <c r="B198" s="4500" t="n"/>
      <c r="C198" s="11216" t="n"/>
      <c r="D198" s="7772" t="n"/>
      <c r="E198" s="8439" t="inlineStr">
        <is>
          <t>•</t>
        </is>
      </c>
      <c r="F198" s="7772">
        <f>TEXT(AQ198,"$0,000")&amp;" for an estate or trust."</f>
        <v/>
      </c>
      <c r="G198" s="7772" t="n"/>
      <c r="H198" s="7772" t="n"/>
      <c r="I198" s="7772" t="n"/>
      <c r="J198" s="7772" t="n"/>
      <c r="K198" s="7772" t="n"/>
      <c r="L198" s="7772" t="n"/>
      <c r="M198" s="344" t="n"/>
      <c r="N198" s="11641" t="n"/>
      <c r="O198" s="344" t="n"/>
      <c r="P198" s="344" t="n"/>
      <c r="Q198" s="344" t="n"/>
      <c r="R198" s="344" t="n"/>
      <c r="S198" s="344" t="n"/>
      <c r="T198" s="7865" t="n"/>
      <c r="U198" s="2100" t="n"/>
      <c r="V198" s="344" t="n"/>
      <c r="W198" s="344" t="n"/>
      <c r="X198" s="344" t="n"/>
      <c r="Y198" s="344" t="n"/>
      <c r="Z198" s="344" t="n"/>
      <c r="AA198" s="344" t="n"/>
      <c r="AB198" s="11641" t="n"/>
      <c r="AC198" s="344" t="n"/>
      <c r="AD198" s="5743" t="n"/>
      <c r="AE198" s="10896">
        <f>AND(AE195,AE196="")</f>
        <v/>
      </c>
      <c r="AF198" s="26" t="n"/>
      <c r="AG198" s="26" t="n"/>
      <c r="AH198" s="26" t="n"/>
      <c r="AI198" s="26" t="n"/>
      <c r="AJ198" s="26" t="n"/>
      <c r="AK198" s="2013" t="n"/>
      <c r="AL198" s="11602" t="n"/>
      <c r="AM198" s="11602" t="n"/>
      <c r="AN198" s="11602" t="n"/>
      <c r="AO198" s="2013" t="n"/>
      <c r="AP198" s="11602" t="n"/>
      <c r="AQ198" s="1193" t="n">
        <v>15450</v>
      </c>
      <c r="AR198" s="658" t="n"/>
      <c r="AS198" s="658" t="n"/>
      <c r="AT198" s="658" t="n"/>
      <c r="AU198" s="658" t="n"/>
      <c r="AV198" s="658" t="n"/>
      <c r="AW198" s="658" t="n"/>
      <c r="AX198" s="658" t="n"/>
      <c r="AY198" s="658" t="n"/>
      <c r="AZ198" s="658" t="n"/>
      <c r="BA198" s="658" t="n"/>
    </row>
    <row r="199" ht="18" customFormat="1" customHeight="1" s="815">
      <c r="A199" s="2013" t="n"/>
      <c r="B199" s="11602" t="n"/>
      <c r="C199" s="2917" t="n">
        <v>41</v>
      </c>
      <c r="D199" s="7772" t="inlineStr">
        <is>
          <t>Enter the amount from line 36</t>
        </is>
      </c>
      <c r="E199" s="11602" t="n"/>
      <c r="F199" s="8650" t="n"/>
      <c r="G199" s="8650" t="n"/>
      <c r="H199" s="11602" t="n"/>
      <c r="I199" s="11602" t="n"/>
      <c r="J199" s="11602" t="n"/>
      <c r="K199" s="11602" t="n"/>
      <c r="L199" s="11602" t="n"/>
      <c r="M199" s="11602" t="n"/>
      <c r="N199" s="11602" t="n"/>
      <c r="O199" s="11602" t="n"/>
      <c r="P199" s="11602" t="n"/>
      <c r="Q199" s="11602" t="n"/>
      <c r="R199" s="11602" t="n"/>
      <c r="S199" s="11602" t="n"/>
      <c r="T199" s="11602" t="n"/>
      <c r="U199" s="11602" t="n"/>
      <c r="V199" s="11602" t="n"/>
      <c r="W199" s="11602" t="n"/>
      <c r="X199" s="11602" t="n"/>
      <c r="Y199" s="11602" t="n"/>
      <c r="Z199" s="11602" t="n"/>
      <c r="AA199" s="11602" t="n"/>
      <c r="AB199" s="11602" t="n"/>
      <c r="AC199" s="1657" t="inlineStr">
        <is>
          <t xml:space="preserve">.   .   .   .   .   .   .   .   .   .   .   .   .   .   .   .   .   .   .   .   .   .   .   .   .   .   .   .   .   .   . </t>
        </is>
      </c>
      <c r="AD199" s="8389" t="n">
        <v>41</v>
      </c>
      <c r="AE199" s="10889">
        <f>IF(OR(AE198,AE174="",AE196=""),"",AE189)</f>
        <v/>
      </c>
      <c r="AF199" s="7637" t="n"/>
      <c r="AG199" s="7637" t="n"/>
      <c r="AH199" s="7637" t="n"/>
      <c r="AI199" s="7637" t="n"/>
      <c r="AJ199" s="7637" t="n"/>
      <c r="AK199" s="2013" t="n"/>
      <c r="AL199" s="11602" t="n"/>
      <c r="AM199" s="11602" t="n"/>
      <c r="AN199" s="11602" t="n"/>
      <c r="AO199" s="2013" t="n"/>
      <c r="AP199" s="11602" t="n"/>
      <c r="AQ199" s="11602" t="n"/>
      <c r="AR199" s="658" t="n"/>
      <c r="AS199" s="658" t="n"/>
      <c r="AT199" s="658" t="n"/>
      <c r="AU199" s="658" t="n"/>
      <c r="AV199" s="658" t="n"/>
      <c r="AW199" s="658" t="n"/>
      <c r="AX199" s="658" t="n"/>
      <c r="AY199" s="658" t="n"/>
      <c r="AZ199" s="658" t="n"/>
      <c r="BA199" s="658" t="n"/>
    </row>
    <row r="200" ht="16.5" customFormat="1" customHeight="1" s="815">
      <c r="A200" s="2013" t="n"/>
      <c r="B200" s="11602" t="n"/>
      <c r="C200" s="2917" t="n">
        <v>42</v>
      </c>
      <c r="D200" s="7772">
        <f>"Form 1040 or 1040-NR filers, enter the amount from line 5 of your "&amp;LastYear&amp;" Qualified Dividends"</f>
        <v/>
      </c>
      <c r="E200" s="11602" t="n"/>
      <c r="F200" s="8650" t="n"/>
      <c r="G200" s="8650" t="n"/>
      <c r="H200" s="11602" t="n"/>
      <c r="I200" s="11602" t="n"/>
      <c r="J200" s="11602" t="n"/>
      <c r="K200" s="11602" t="n"/>
      <c r="L200" s="11602" t="n"/>
      <c r="M200" s="11602" t="n"/>
      <c r="N200" s="11602" t="n"/>
      <c r="O200" s="11602" t="n"/>
      <c r="P200" s="11602" t="n"/>
      <c r="Q200" s="11602" t="n"/>
      <c r="R200" s="11602" t="n"/>
      <c r="S200" s="11602" t="n"/>
      <c r="T200" s="11602" t="n"/>
      <c r="U200" s="11602" t="n"/>
      <c r="V200" s="11602" t="n"/>
      <c r="W200" s="11602" t="n"/>
      <c r="X200" s="11602" t="n"/>
      <c r="Y200" s="11602" t="n"/>
      <c r="Z200" s="11602" t="n"/>
      <c r="AA200" s="11602" t="n"/>
      <c r="AB200" s="11602" t="n"/>
      <c r="AC200" s="1657" t="n"/>
      <c r="AD200" s="5743" t="n"/>
      <c r="AE200" s="10890" t="n"/>
      <c r="AF200" s="26" t="n"/>
      <c r="AG200" s="26" t="n"/>
      <c r="AH200" s="26" t="n"/>
      <c r="AI200" s="26" t="n"/>
      <c r="AJ200" s="26" t="n"/>
      <c r="AK200" s="2013" t="n"/>
      <c r="AL200" s="11602" t="n"/>
      <c r="AM200" s="11602" t="n"/>
      <c r="AN200" s="11602" t="n"/>
      <c r="AO200" s="2013" t="n"/>
      <c r="AP200" s="11602" t="n"/>
      <c r="AQ200" s="11602" t="n"/>
      <c r="AR200" s="658" t="n"/>
      <c r="AS200" s="658" t="n"/>
      <c r="AT200" s="658" t="n"/>
      <c r="AU200" s="658" t="n"/>
      <c r="AV200" s="658" t="n"/>
      <c r="AW200" s="658" t="n"/>
      <c r="AX200" s="658" t="n"/>
      <c r="AY200" s="658" t="n"/>
      <c r="AZ200" s="658" t="n"/>
      <c r="BA200" s="658" t="n"/>
    </row>
    <row r="201" ht="16.5" customFormat="1" customHeight="1" s="815">
      <c r="A201" s="2013" t="n"/>
      <c r="B201" s="11602" t="n"/>
      <c r="C201" s="2917" t="n"/>
      <c r="D201" s="7772">
        <f>"and Capital Gain Tax Worksheet or the amount from line 21 of your "&amp;LastYear&amp;" Sch. D Tax Worksheet,"</f>
        <v/>
      </c>
      <c r="E201" s="11602" t="n"/>
      <c r="F201" s="8650" t="n"/>
      <c r="G201" s="8650" t="n"/>
      <c r="H201" s="11602" t="n"/>
      <c r="I201" s="11602" t="n"/>
      <c r="J201" s="11602" t="n"/>
      <c r="K201" s="11602" t="n"/>
      <c r="L201" s="11602" t="n"/>
      <c r="M201" s="11602" t="n"/>
      <c r="N201" s="11602" t="n"/>
      <c r="O201" s="11602" t="n"/>
      <c r="P201" s="11602" t="n"/>
      <c r="Q201" s="11602" t="n"/>
      <c r="R201" s="11602" t="n"/>
      <c r="S201" s="11602" t="n"/>
      <c r="T201" s="11602" t="n"/>
      <c r="U201" s="11602" t="n"/>
      <c r="V201" s="11602" t="n"/>
      <c r="W201" s="11602" t="n"/>
      <c r="X201" s="11602" t="n"/>
      <c r="Y201" s="11602" t="n"/>
      <c r="Z201" s="11602" t="n"/>
      <c r="AA201" s="11602" t="n"/>
      <c r="AB201" s="11602" t="n"/>
      <c r="AC201" s="1657" t="n"/>
      <c r="AD201" s="5743" t="n"/>
      <c r="AE201" s="5699" t="n"/>
      <c r="AF201" s="10891" t="n"/>
      <c r="AG201" s="10891" t="n"/>
      <c r="AH201" s="10891" t="n"/>
      <c r="AI201" s="10891" t="n"/>
      <c r="AJ201" s="10891" t="n"/>
      <c r="AK201" s="2013" t="n"/>
      <c r="AL201" s="11602" t="n"/>
      <c r="AM201" s="11602" t="n"/>
      <c r="AN201" s="11602" t="n"/>
      <c r="AO201" s="2013" t="n"/>
      <c r="AP201" s="11602" t="n"/>
      <c r="AQ201" s="11602" t="n"/>
      <c r="AR201" s="658" t="n"/>
      <c r="AS201" s="658" t="n"/>
      <c r="AT201" s="658" t="n"/>
      <c r="AU201" s="658" t="n"/>
      <c r="AV201" s="658" t="n"/>
      <c r="AW201" s="658" t="n"/>
      <c r="AX201" s="658" t="n"/>
      <c r="AY201" s="658" t="n"/>
      <c r="AZ201" s="658" t="n"/>
      <c r="BA201" s="658" t="n"/>
    </row>
    <row r="202" ht="16.5" customFormat="1" customHeight="1" s="815">
      <c r="A202" s="2013" t="n"/>
      <c r="B202" s="11602" t="n"/>
      <c r="C202" s="2917" t="n"/>
      <c r="D202" s="7772" t="inlineStr">
        <is>
          <t>whichever applies. If you didn’t complete either worksheet, see instructions. Form 1041 filers, enter</t>
        </is>
      </c>
      <c r="E202" s="11602" t="n"/>
      <c r="F202" s="8650" t="n"/>
      <c r="G202" s="8650" t="n"/>
      <c r="H202" s="11602" t="n"/>
      <c r="I202" s="11602" t="n"/>
      <c r="J202" s="11602" t="n"/>
      <c r="K202" s="11602" t="n"/>
      <c r="L202" s="11602" t="n"/>
      <c r="M202" s="11602" t="n"/>
      <c r="N202" s="11602" t="n"/>
      <c r="O202" s="11602" t="n"/>
      <c r="P202" s="11602" t="n"/>
      <c r="Q202" s="11602" t="n"/>
      <c r="R202" s="11602" t="n"/>
      <c r="S202" s="11602" t="n"/>
      <c r="T202" s="11602" t="n"/>
      <c r="U202" s="11602" t="n"/>
      <c r="V202" s="11602" t="n"/>
      <c r="W202" s="11602" t="n"/>
      <c r="X202" s="11602" t="n"/>
      <c r="Y202" s="11602" t="n"/>
      <c r="Z202" s="11602" t="n"/>
      <c r="AA202" s="11602" t="n"/>
      <c r="AB202" s="11602" t="n"/>
      <c r="AC202" s="1657" t="n"/>
      <c r="AD202" s="5743" t="n"/>
      <c r="AE202" s="5699" t="n"/>
      <c r="AF202" s="10891" t="n"/>
      <c r="AG202" s="10891" t="n"/>
      <c r="AH202" s="10891" t="n"/>
      <c r="AI202" s="10891" t="n"/>
      <c r="AJ202" s="10891" t="n"/>
      <c r="AK202" s="2013" t="n"/>
      <c r="AL202" s="11602" t="n"/>
      <c r="AM202" s="11602" t="n"/>
      <c r="AN202" s="11602" t="n"/>
      <c r="AO202" s="2013" t="n"/>
      <c r="AP202" s="11602" t="n"/>
      <c r="AQ202" s="11602" t="n"/>
      <c r="AR202" s="658" t="n"/>
      <c r="AS202" s="658" t="n"/>
      <c r="AT202" s="658" t="n"/>
      <c r="AU202" s="658" t="n"/>
      <c r="AV202" s="658" t="n"/>
      <c r="AW202" s="658" t="n"/>
      <c r="AX202" s="658" t="n"/>
      <c r="AY202" s="658" t="n"/>
      <c r="AZ202" s="658" t="n"/>
      <c r="BA202" s="658" t="n"/>
    </row>
    <row r="203" ht="16.5" customFormat="1" customHeight="1" s="815">
      <c r="A203" s="2013" t="n"/>
      <c r="B203" s="11602" t="n"/>
      <c r="C203" s="2917" t="n"/>
      <c r="D203" s="7772">
        <f>"the amount from line 27 of your "&amp;LastYear&amp;" Sch. D (Form 1041) or line 18 of your "&amp;LastYear&amp;" Sch. D Tax"</f>
        <v/>
      </c>
      <c r="E203" s="11602" t="n"/>
      <c r="F203" s="8650" t="n"/>
      <c r="G203" s="8650" t="n"/>
      <c r="H203" s="11602" t="n"/>
      <c r="I203" s="11602" t="n"/>
      <c r="J203" s="11602" t="n"/>
      <c r="K203" s="11602" t="n"/>
      <c r="L203" s="11602" t="n"/>
      <c r="M203" s="11602" t="n"/>
      <c r="N203" s="11602" t="n"/>
      <c r="O203" s="11602" t="n"/>
      <c r="P203" s="11602" t="n"/>
      <c r="Q203" s="11602" t="n"/>
      <c r="R203" s="11602" t="n"/>
      <c r="S203" s="11602" t="n"/>
      <c r="T203" s="11602" t="n"/>
      <c r="U203" s="11602" t="n"/>
      <c r="V203" s="11602" t="n"/>
      <c r="W203" s="11602" t="n"/>
      <c r="X203" s="11602" t="n"/>
      <c r="Y203" s="11602" t="n"/>
      <c r="Z203" s="11602" t="n"/>
      <c r="AA203" s="11602" t="n"/>
      <c r="AB203" s="11602" t="n"/>
      <c r="AC203" s="1657" t="n"/>
      <c r="AD203" s="5743" t="n"/>
      <c r="AE203" s="5699" t="n"/>
      <c r="AF203" s="10891" t="n"/>
      <c r="AG203" s="10891" t="n"/>
      <c r="AH203" s="10891" t="n"/>
      <c r="AI203" s="10891" t="n"/>
      <c r="AJ203" s="10891" t="n"/>
      <c r="AK203" s="2013" t="n"/>
      <c r="AL203" s="11602" t="n"/>
      <c r="AM203" s="11602" t="n"/>
      <c r="AN203" s="11602" t="n"/>
      <c r="AO203" s="2013" t="n"/>
      <c r="AP203" s="11602" t="n"/>
      <c r="AQ203" s="11602" t="n"/>
      <c r="AR203" s="658" t="n"/>
      <c r="AS203" s="658" t="n"/>
      <c r="AT203" s="658" t="n"/>
      <c r="AU203" s="658" t="n"/>
      <c r="AV203" s="658" t="n"/>
      <c r="AW203" s="658" t="n"/>
      <c r="AX203" s="658" t="n"/>
      <c r="AY203" s="658" t="n"/>
      <c r="AZ203" s="658" t="n"/>
      <c r="BA203" s="658" t="n"/>
    </row>
    <row r="204" ht="16.5" customFormat="1" customHeight="1" s="815" thickBot="1">
      <c r="A204" s="2013" t="n"/>
      <c r="B204" s="11602" t="n"/>
      <c r="C204" s="2917" t="n"/>
      <c r="D204" s="7772">
        <f>"Worksheet, whichever applies. If you didn’t complete either the worksheet or Part V of the "&amp;LastYear</f>
        <v/>
      </c>
      <c r="E204" s="11602" t="n"/>
      <c r="F204" s="8650" t="n"/>
      <c r="G204" s="8650" t="n"/>
      <c r="H204" s="11602" t="n"/>
      <c r="I204" s="11602" t="n"/>
      <c r="J204" s="11602" t="n"/>
      <c r="K204" s="11602" t="n"/>
      <c r="L204" s="11602" t="n"/>
      <c r="M204" s="11602" t="n"/>
      <c r="N204" s="11602" t="n"/>
      <c r="O204" s="11602" t="n"/>
      <c r="P204" s="11602" t="n"/>
      <c r="Q204" s="11602" t="n"/>
      <c r="R204" s="11602" t="n"/>
      <c r="S204" s="11602" t="n"/>
      <c r="T204" s="11602" t="n"/>
      <c r="U204" s="11602" t="n"/>
      <c r="V204" s="11602" t="n"/>
      <c r="W204" s="11602" t="n"/>
      <c r="X204" s="11602" t="n"/>
      <c r="Y204" s="11602" t="n"/>
      <c r="Z204" s="11602" t="n"/>
      <c r="AA204" s="11602" t="n"/>
      <c r="AB204" s="11602" t="n"/>
      <c r="AC204" s="1657" t="n"/>
      <c r="AD204" s="5743" t="n"/>
      <c r="AE204" s="10896">
        <f>AND(AE198,AE205="")</f>
        <v/>
      </c>
      <c r="AF204" s="26" t="n"/>
      <c r="AG204" s="26" t="n"/>
      <c r="AH204" s="26" t="n"/>
      <c r="AI204" s="26" t="n"/>
      <c r="AJ204" s="26" t="n"/>
      <c r="AK204" s="2013" t="n"/>
      <c r="AL204" s="11602" t="n"/>
      <c r="AM204" s="11602" t="n"/>
      <c r="AN204" s="11602" t="n"/>
      <c r="AO204" s="2013" t="n"/>
      <c r="AP204" s="11602" t="n"/>
      <c r="AQ204" s="11602" t="n"/>
      <c r="AR204" s="658" t="n"/>
      <c r="AS204" s="658" t="n"/>
      <c r="AT204" s="658" t="n"/>
      <c r="AU204" s="658" t="n"/>
      <c r="AV204" s="658" t="n"/>
      <c r="AW204" s="658" t="n"/>
      <c r="AX204" s="658" t="n"/>
      <c r="AY204" s="658" t="n"/>
      <c r="AZ204" s="658" t="n"/>
      <c r="BA204" s="658" t="n"/>
    </row>
    <row r="205" ht="16.5" customFormat="1" customHeight="1" s="815" thickBot="1">
      <c r="A205" s="2013" t="n"/>
      <c r="B205" s="11602" t="n"/>
      <c r="C205" s="2917" t="n"/>
      <c r="D205" s="7772">
        <f>"Sch. D (Form 1041), enter the amount from your "&amp;LastYear&amp;" Form 1041, line 23; if zero or less, enter -0-"</f>
        <v/>
      </c>
      <c r="E205" s="11602" t="n"/>
      <c r="F205" s="8650" t="n"/>
      <c r="G205" s="8650" t="n"/>
      <c r="H205" s="11602" t="n"/>
      <c r="I205" s="11602" t="n"/>
      <c r="J205" s="11602" t="n"/>
      <c r="K205" s="11602" t="n"/>
      <c r="L205" s="11602" t="n"/>
      <c r="M205" s="11602" t="n"/>
      <c r="N205" s="11602" t="n"/>
      <c r="O205" s="11602" t="n"/>
      <c r="P205" s="11602" t="n"/>
      <c r="Q205" s="11602" t="n"/>
      <c r="R205" s="11602" t="n"/>
      <c r="S205" s="11602" t="n"/>
      <c r="T205" s="11602" t="n"/>
      <c r="U205" s="11602" t="n"/>
      <c r="V205" s="11602" t="n"/>
      <c r="W205" s="11602" t="n"/>
      <c r="X205" s="11602" t="n"/>
      <c r="Y205" s="11602" t="n"/>
      <c r="Z205" s="11602" t="n"/>
      <c r="AA205" s="11602" t="n"/>
      <c r="AB205" s="11602" t="n"/>
      <c r="AC205" s="1657" t="n"/>
      <c r="AD205" s="8389" t="n">
        <v>42</v>
      </c>
      <c r="AE205" s="10889">
        <f>IF(AM205&lt;&gt;"",ROUND(AM205,0),IF(AND($AE$42="",$AQ$67),"",IF(AND($AQ$67,$AQ$32),$AQ$24,IF($AQ$67,MAX(0,$AQ$189),IF($O$67&lt;&gt;"",$AQ$188,IF($O$56&lt;&gt;"",$AQ$185,""))))))</f>
        <v/>
      </c>
      <c r="AF205" s="7637" t="n"/>
      <c r="AG205" s="7637" t="n"/>
      <c r="AH205" s="7637" t="n"/>
      <c r="AI205" s="7637" t="n"/>
      <c r="AJ205" s="7637" t="n"/>
      <c r="AK205" s="2013" t="n"/>
      <c r="AL205" s="11602" t="n"/>
      <c r="AM205" s="5719" t="n"/>
      <c r="AN205" s="1806" t="n"/>
      <c r="AO205" s="2013" t="n"/>
      <c r="AP205" s="11602" t="n"/>
      <c r="AQ205" s="11602" t="n"/>
      <c r="AR205" s="658" t="n"/>
      <c r="AS205" s="658" t="n"/>
      <c r="AT205" s="658" t="n"/>
      <c r="AU205" s="658" t="n"/>
      <c r="AV205" s="658" t="n"/>
      <c r="AW205" s="658" t="n"/>
      <c r="AX205" s="658" t="n"/>
      <c r="AY205" s="658" t="n"/>
      <c r="AZ205" s="658" t="n"/>
      <c r="BA205" s="658" t="n"/>
    </row>
    <row r="206" ht="17.25" customHeight="1" s="7635">
      <c r="A206" s="2013" t="n"/>
      <c r="B206" s="11602" t="n"/>
      <c r="C206" s="7209">
        <f>"*The "&amp;LastYear&amp;" Qualified Dividends and Capital Gain Tax Worksheet is in the "&amp;LastYear&amp;" Instructions for Form 1040. The "&amp;LastYear&amp;" Schedule D Tax Worksheet is in the "&amp;LastYear</f>
        <v/>
      </c>
      <c r="D206" s="7772" t="n"/>
      <c r="E206" s="6996" t="n"/>
      <c r="F206" s="7772" t="n"/>
      <c r="G206" s="7772" t="n"/>
      <c r="H206" s="7772" t="n"/>
      <c r="I206" s="7772" t="n"/>
      <c r="J206" s="7772" t="n"/>
      <c r="K206" s="7772" t="n"/>
      <c r="L206" s="7772" t="n"/>
      <c r="M206" s="11602" t="n"/>
      <c r="N206" s="11602" t="n"/>
      <c r="O206" s="11602" t="n"/>
      <c r="P206" s="11602" t="n"/>
      <c r="Q206" s="11602" t="n"/>
      <c r="R206" s="11602" t="n"/>
      <c r="S206" s="11602" t="n"/>
      <c r="T206" s="11602" t="n"/>
      <c r="U206" s="11602" t="n"/>
      <c r="V206" s="11602" t="n"/>
      <c r="W206" s="11602" t="n"/>
      <c r="X206" s="11602" t="n"/>
      <c r="Y206" s="11602" t="n"/>
      <c r="Z206" s="11602" t="n"/>
      <c r="AA206" s="11602" t="n"/>
      <c r="AB206" s="11602" t="n"/>
      <c r="AC206" s="11602" t="n"/>
      <c r="AD206" s="7772" t="n"/>
      <c r="AE206" s="11602" t="n"/>
      <c r="AF206" s="11602" t="n"/>
      <c r="AG206" s="11602" t="n"/>
      <c r="AH206" s="10891" t="n"/>
      <c r="AI206" s="10891" t="n"/>
      <c r="AJ206" s="10891" t="n"/>
      <c r="AK206" s="2013" t="n"/>
      <c r="AL206" s="7914" t="n"/>
      <c r="AM206" s="7914" t="n"/>
      <c r="AN206" s="7914" t="n"/>
      <c r="AO206" s="2013" t="n"/>
      <c r="AP206" s="11602" t="n"/>
      <c r="AQ206" s="11602" t="n"/>
    </row>
    <row r="207" ht="12" customFormat="1" customHeight="1" s="9864" thickBot="1">
      <c r="A207" s="2306" t="n"/>
      <c r="B207" s="2182" t="n"/>
      <c r="C207" s="5709">
        <f>"Instructions for Schedule D (Form 1040) (or the "&amp;LastYear&amp;" Instructions for Schedule D (Form 1041))."</f>
        <v/>
      </c>
      <c r="D207" s="5710" t="n"/>
      <c r="E207" s="5711" t="n"/>
      <c r="F207" s="5711" t="n"/>
      <c r="G207" s="5711" t="n"/>
      <c r="H207" s="2182" t="n"/>
      <c r="I207" s="2182" t="n"/>
      <c r="J207" s="2182" t="n"/>
      <c r="K207" s="2182" t="n"/>
      <c r="L207" s="2182" t="n"/>
      <c r="M207" s="2182" t="n"/>
      <c r="N207" s="2182" t="n"/>
      <c r="O207" s="2182" t="n"/>
      <c r="P207" s="2182" t="n"/>
      <c r="Q207" s="2182" t="n"/>
      <c r="R207" s="5712" t="n"/>
      <c r="S207" s="5712" t="n"/>
      <c r="T207" s="2182" t="n"/>
      <c r="U207" s="2182" t="n"/>
      <c r="V207" s="2182" t="n"/>
      <c r="W207" s="2182" t="n"/>
      <c r="X207" s="5712" t="n"/>
      <c r="Y207" s="5712" t="n"/>
      <c r="Z207" s="2182" t="n"/>
      <c r="AA207" s="2182" t="n"/>
      <c r="AB207" s="2182" t="n"/>
      <c r="AC207" s="2182" t="n"/>
      <c r="AD207" s="5710" t="n"/>
      <c r="AE207" s="2182" t="n"/>
      <c r="AF207" s="2182" t="n"/>
      <c r="AG207" s="2182" t="n"/>
      <c r="AH207" s="5713" t="n"/>
      <c r="AI207" s="5713" t="n"/>
      <c r="AJ207" s="5713" t="n"/>
      <c r="AK207" s="2306" t="n"/>
      <c r="AL207" s="411" t="n"/>
      <c r="AM207" s="411" t="n"/>
      <c r="AN207" s="411" t="n"/>
      <c r="AO207" s="2306" t="n"/>
      <c r="AP207" s="411" t="n"/>
      <c r="AQ207" s="411" t="n"/>
      <c r="AR207" s="665" t="n"/>
      <c r="AS207" s="665" t="n"/>
      <c r="AT207" s="665" t="n"/>
      <c r="AU207" s="665" t="n"/>
      <c r="AV207" s="665" t="n"/>
      <c r="AW207" s="665" t="n"/>
      <c r="AX207" s="665" t="n"/>
      <c r="AY207" s="665" t="n"/>
      <c r="AZ207" s="665" t="n"/>
      <c r="BA207" s="665" t="n"/>
    </row>
    <row r="208" ht="18" customFormat="1" customHeight="1" s="815" thickTop="1">
      <c r="A208" s="2013" t="n"/>
      <c r="B208" s="2447" t="n"/>
      <c r="C208" s="728" t="n"/>
      <c r="D208" s="11403" t="n"/>
      <c r="E208" s="11403" t="n"/>
      <c r="F208" s="11403" t="n"/>
      <c r="G208" s="11403" t="n"/>
      <c r="H208" s="11403" t="n"/>
      <c r="I208" s="11403" t="n"/>
      <c r="J208" s="11403" t="n"/>
      <c r="K208" s="11403" t="n"/>
      <c r="L208" s="11403" t="n"/>
      <c r="M208" s="11403" t="n"/>
      <c r="N208" s="11403" t="n"/>
      <c r="O208" s="11403" t="n"/>
      <c r="P208" s="11403" t="n"/>
      <c r="Q208" s="88" t="n"/>
      <c r="R208" s="88" t="n"/>
      <c r="S208" s="88" t="n"/>
      <c r="T208" s="88" t="n"/>
      <c r="U208" s="3931" t="n"/>
      <c r="V208" s="88" t="n"/>
      <c r="W208" s="3931" t="n"/>
      <c r="X208" s="88" t="n"/>
      <c r="Y208" s="88" t="n"/>
      <c r="Z208" s="88" t="n"/>
      <c r="AA208" s="88" t="n"/>
      <c r="AB208" s="88" t="n"/>
      <c r="AC208" s="88" t="n"/>
      <c r="AD208" s="2445" t="n"/>
      <c r="AE208" s="88" t="n"/>
      <c r="AF208" s="88" t="n"/>
      <c r="AG208" s="88" t="n"/>
      <c r="AH208" s="2052" t="inlineStr">
        <is>
          <t>Form 8801</t>
        </is>
      </c>
      <c r="AI208" s="88" t="n"/>
      <c r="AJ208" s="2052">
        <f>"("&amp;TaxYear&amp;")"</f>
        <v/>
      </c>
      <c r="AK208" s="2013" t="n"/>
      <c r="AL208" s="11602" t="n"/>
      <c r="AM208" s="11602" t="n"/>
      <c r="AN208" s="11602" t="n"/>
      <c r="AO208" s="2013" t="n"/>
      <c r="AP208" s="11602" t="n"/>
      <c r="AQ208" s="11602" t="n"/>
      <c r="AR208" s="658" t="n"/>
      <c r="AS208" s="658" t="n"/>
      <c r="AT208" s="658" t="n"/>
      <c r="AU208" s="658" t="n"/>
      <c r="AV208" s="658" t="n"/>
      <c r="AW208" s="658" t="n"/>
      <c r="AX208" s="658" t="n"/>
      <c r="AY208" s="658" t="n"/>
      <c r="AZ208" s="658" t="n"/>
      <c r="BA208" s="658" t="n"/>
    </row>
    <row r="209" ht="18" customFormat="1" customHeight="1" s="815" thickBot="1">
      <c r="A209" s="2013" t="n"/>
      <c r="B209" s="721">
        <f>"Form 8801 ("&amp;TaxYear&amp;")"</f>
        <v/>
      </c>
      <c r="C209" s="4484" t="n"/>
      <c r="D209" s="721" t="n"/>
      <c r="E209" s="721" t="n"/>
      <c r="F209" s="721" t="n"/>
      <c r="G209" s="721" t="n"/>
      <c r="H209" s="721" t="n"/>
      <c r="I209" s="721" t="n"/>
      <c r="J209" s="721" t="n"/>
      <c r="K209" s="721" t="n"/>
      <c r="L209" s="721" t="n"/>
      <c r="M209" s="721" t="n"/>
      <c r="N209" s="721" t="n"/>
      <c r="O209" s="721" t="n"/>
      <c r="P209" s="721" t="n"/>
      <c r="Q209" s="721" t="n"/>
      <c r="R209" s="721" t="n"/>
      <c r="S209" s="721" t="n"/>
      <c r="T209" s="721" t="n"/>
      <c r="U209" s="721" t="n"/>
      <c r="V209" s="721" t="n"/>
      <c r="W209" s="721" t="n"/>
      <c r="X209" s="721" t="n"/>
      <c r="Y209" s="721" t="n"/>
      <c r="Z209" s="721" t="n"/>
      <c r="AA209" s="721" t="n"/>
      <c r="AB209" s="721" t="n"/>
      <c r="AC209" s="721" t="n"/>
      <c r="AD209" s="4459" t="n"/>
      <c r="AE209" s="721" t="n"/>
      <c r="AF209" s="721" t="n"/>
      <c r="AG209" s="721" t="n"/>
      <c r="AH209" s="721" t="n"/>
      <c r="AI209" s="2053" t="inlineStr">
        <is>
          <t>Page</t>
        </is>
      </c>
      <c r="AJ209" s="2054" t="n">
        <v>4</v>
      </c>
      <c r="AK209" s="2013" t="n"/>
      <c r="AL209" s="11602" t="n"/>
      <c r="AM209" s="11602" t="n"/>
      <c r="AN209" s="11602" t="n"/>
      <c r="AO209" s="2013" t="n"/>
      <c r="AP209" s="11602" t="n"/>
      <c r="AQ209" s="11602" t="n"/>
      <c r="AR209" s="658" t="n"/>
      <c r="AS209" s="658" t="n"/>
      <c r="AT209" s="658" t="n"/>
      <c r="AU209" s="658" t="n"/>
      <c r="AV209" s="658" t="n"/>
      <c r="AW209" s="658" t="n"/>
      <c r="AX209" s="658" t="n"/>
      <c r="AY209" s="658" t="n"/>
      <c r="AZ209" s="658" t="n"/>
      <c r="BA209" s="658" t="n"/>
    </row>
    <row r="210" ht="19.5" customFormat="1" customHeight="1" s="815" thickTop="1">
      <c r="A210" s="2013" t="n"/>
      <c r="B210" s="10872" t="inlineStr">
        <is>
          <t>Part III</t>
        </is>
      </c>
      <c r="C210" s="9668" t="n"/>
      <c r="D210" s="5701" t="n"/>
      <c r="E210" s="5701" t="inlineStr">
        <is>
          <t>Tax Computation Using Maximum Capital Gains Rates  (continued)</t>
        </is>
      </c>
      <c r="F210" s="5045" t="n"/>
      <c r="G210" s="5045" t="n"/>
      <c r="H210" s="5045" t="n"/>
      <c r="I210" s="5045" t="n"/>
      <c r="J210" s="5045" t="n"/>
      <c r="K210" s="5045" t="n"/>
      <c r="L210" s="5045" t="n"/>
      <c r="M210" s="5045" t="n"/>
      <c r="N210" s="5045" t="n"/>
      <c r="O210" s="5045" t="n"/>
      <c r="P210" s="5045" t="n"/>
      <c r="Q210" s="5045" t="n"/>
      <c r="R210" s="5045" t="n"/>
      <c r="S210" s="5045" t="n"/>
      <c r="T210" s="5045" t="n"/>
      <c r="U210" s="5045" t="n"/>
      <c r="V210" s="5045" t="n"/>
      <c r="W210" s="5045" t="n"/>
      <c r="X210" s="5045" t="n"/>
      <c r="Y210" s="5045" t="n"/>
      <c r="Z210" s="5045" t="n"/>
      <c r="AA210" s="5045" t="n"/>
      <c r="AB210" s="5045" t="n"/>
      <c r="AC210" s="5045" t="n"/>
      <c r="AD210" s="4211" t="n"/>
      <c r="AE210" s="5045" t="n"/>
      <c r="AF210" s="5045" t="n"/>
      <c r="AG210" s="5045" t="n"/>
      <c r="AH210" s="5045" t="n"/>
      <c r="AI210" s="5045" t="n"/>
      <c r="AJ210" s="5045" t="n"/>
      <c r="AK210" s="2013" t="n"/>
      <c r="AL210" s="11602" t="n"/>
      <c r="AM210" s="11602" t="n"/>
      <c r="AN210" s="11602" t="n"/>
      <c r="AO210" s="2013" t="n"/>
      <c r="AP210" s="11602" t="n"/>
      <c r="AQ210" s="11602" t="n"/>
      <c r="AR210" s="658" t="n"/>
      <c r="AS210" s="658" t="n"/>
      <c r="AT210" s="658" t="n"/>
      <c r="AU210" s="658" t="n"/>
      <c r="AV210" s="658" t="n"/>
      <c r="AW210" s="658" t="n"/>
      <c r="AX210" s="658" t="n"/>
      <c r="AY210" s="658" t="n"/>
      <c r="AZ210" s="658" t="n"/>
      <c r="BA210" s="658" t="n"/>
    </row>
    <row r="211" ht="15" customFormat="1" customHeight="1" s="815" thickBot="1">
      <c r="A211" s="2013" t="n"/>
      <c r="B211" s="11602" t="n"/>
      <c r="C211" s="11216" t="n"/>
      <c r="D211" s="7772" t="n"/>
      <c r="E211" s="11602" t="n"/>
      <c r="F211" s="11602" t="n"/>
      <c r="G211" s="11602" t="n"/>
      <c r="H211" s="11602" t="n"/>
      <c r="I211" s="11602" t="n"/>
      <c r="J211" s="11602" t="n"/>
      <c r="K211" s="11602" t="n"/>
      <c r="L211" s="11602" t="n"/>
      <c r="M211" s="11602" t="n"/>
      <c r="N211" s="11602" t="n"/>
      <c r="O211" s="11602" t="n"/>
      <c r="P211" s="11602" t="n"/>
      <c r="Q211" s="11602" t="n"/>
      <c r="R211" s="11602" t="n"/>
      <c r="S211" s="11602" t="n"/>
      <c r="T211" s="11602" t="n"/>
      <c r="U211" s="11602" t="n"/>
      <c r="V211" s="11602" t="n"/>
      <c r="W211" s="11602" t="n"/>
      <c r="X211" s="11602" t="n"/>
      <c r="Y211" s="11602" t="n"/>
      <c r="Z211" s="11602" t="n"/>
      <c r="AA211" s="11602" t="n"/>
      <c r="AB211" s="11602" t="n"/>
      <c r="AC211" s="1657" t="n"/>
      <c r="AD211" s="5743" t="n"/>
      <c r="AE211" s="10896">
        <f>AND(AE204,AE205="")</f>
        <v/>
      </c>
      <c r="AF211" s="26" t="n"/>
      <c r="AG211" s="26" t="n"/>
      <c r="AH211" s="26" t="n"/>
      <c r="AI211" s="26" t="n"/>
      <c r="AJ211" s="26" t="n"/>
      <c r="AK211" s="2013" t="n"/>
      <c r="AL211" s="11602" t="n"/>
      <c r="AM211" s="11602" t="n"/>
      <c r="AN211" s="11602" t="n"/>
      <c r="AO211" s="2013" t="n"/>
      <c r="AP211" s="11602" t="n"/>
      <c r="AQ211" s="11602" t="n"/>
      <c r="AR211" s="658" t="n"/>
      <c r="AS211" s="658" t="n"/>
      <c r="AT211" s="658" t="n"/>
      <c r="AU211" s="658" t="n"/>
      <c r="AV211" s="658" t="n"/>
      <c r="AW211" s="658" t="n"/>
      <c r="AX211" s="658" t="n"/>
      <c r="AY211" s="658" t="n"/>
      <c r="AZ211" s="658" t="n"/>
      <c r="BA211" s="658" t="n"/>
    </row>
    <row r="212" ht="16.5" customFormat="1" customHeight="1" s="815" thickBot="1">
      <c r="A212" s="2013" t="n"/>
      <c r="B212" s="11602" t="n"/>
      <c r="C212" s="2917" t="n">
        <v>43</v>
      </c>
      <c r="D212" s="7772" t="inlineStr">
        <is>
          <t>Add lines 41 and 42</t>
        </is>
      </c>
      <c r="E212" s="11602" t="n"/>
      <c r="F212" s="8650" t="n"/>
      <c r="G212" s="8650" t="n"/>
      <c r="H212" s="11602" t="n"/>
      <c r="I212" s="11602" t="n"/>
      <c r="J212" s="11602" t="n"/>
      <c r="K212" s="11602" t="n"/>
      <c r="L212" s="11602" t="n"/>
      <c r="M212" s="11602" t="n"/>
      <c r="N212" s="11602" t="n"/>
      <c r="O212" s="11602" t="n"/>
      <c r="P212" s="11602" t="n"/>
      <c r="Q212" s="11602" t="n"/>
      <c r="R212" s="11602" t="n"/>
      <c r="S212" s="11602" t="n"/>
      <c r="T212" s="11602" t="n"/>
      <c r="U212" s="11602" t="n"/>
      <c r="V212" s="11602" t="n"/>
      <c r="W212" s="11602" t="n"/>
      <c r="X212" s="11602" t="n"/>
      <c r="Y212" s="11602" t="n"/>
      <c r="Z212" s="11602" t="n"/>
      <c r="AA212" s="11602" t="n"/>
      <c r="AB212" s="11602" t="n"/>
      <c r="AC212" s="1657" t="inlineStr">
        <is>
          <t xml:space="preserve">.   .   .   .   .   .   .   .   .   .   .   .   .   .   .   .   .   .   .   .   .   .   .   .   .   .   .   .   .   . </t>
        </is>
      </c>
      <c r="AD212" s="8389" t="n">
        <v>43</v>
      </c>
      <c r="AE212" s="10889">
        <f>IF(AM212&lt;&gt;"",ROUND(AM212,0),IF(NOT(AE156),"",SUM(AE199,AE205)))</f>
        <v/>
      </c>
      <c r="AF212" s="7637" t="n"/>
      <c r="AG212" s="7637" t="n"/>
      <c r="AH212" s="7637" t="n"/>
      <c r="AI212" s="7637" t="n"/>
      <c r="AJ212" s="7637" t="n"/>
      <c r="AK212" s="2013" t="n"/>
      <c r="AL212" s="11602" t="n"/>
      <c r="AM212" s="5719" t="n"/>
      <c r="AN212" s="11602" t="n"/>
      <c r="AO212" s="2013" t="n"/>
      <c r="AP212" s="11602" t="n"/>
      <c r="AQ212" s="11602" t="n"/>
      <c r="AR212" s="658" t="n"/>
      <c r="AS212" s="658" t="n"/>
      <c r="AT212" s="658" t="n"/>
      <c r="AU212" s="658" t="n"/>
      <c r="AV212" s="658" t="n"/>
      <c r="AW212" s="658" t="n"/>
      <c r="AX212" s="658" t="n"/>
      <c r="AY212" s="658" t="n"/>
      <c r="AZ212" s="658" t="n"/>
      <c r="BA212" s="658" t="n"/>
    </row>
    <row r="213" ht="15.75" customFormat="1" customHeight="1" s="815">
      <c r="A213" s="2013" t="n"/>
      <c r="B213" s="11602" t="n"/>
      <c r="C213" s="2917" t="n">
        <v>44</v>
      </c>
      <c r="D213" s="7772" t="inlineStr">
        <is>
          <t>Subtract line 43 from line 40. If zero or less, enter -0-</t>
        </is>
      </c>
      <c r="E213" s="11602" t="n"/>
      <c r="F213" s="8650" t="n"/>
      <c r="G213" s="8650" t="n"/>
      <c r="H213" s="11602" t="n"/>
      <c r="I213" s="11602" t="n"/>
      <c r="J213" s="11602" t="n"/>
      <c r="K213" s="11602" t="n"/>
      <c r="L213" s="11602" t="n"/>
      <c r="M213" s="11602" t="n"/>
      <c r="N213" s="11602" t="n"/>
      <c r="O213" s="11602" t="n"/>
      <c r="P213" s="11602" t="n"/>
      <c r="Q213" s="11602" t="n"/>
      <c r="R213" s="11602" t="n"/>
      <c r="S213" s="11602" t="n"/>
      <c r="T213" s="11602" t="n"/>
      <c r="U213" s="11602" t="n"/>
      <c r="V213" s="11602" t="n"/>
      <c r="W213" s="11602" t="n"/>
      <c r="X213" s="11602" t="n"/>
      <c r="Y213" s="11602" t="n"/>
      <c r="Z213" s="11602" t="n"/>
      <c r="AA213" s="11602" t="n"/>
      <c r="AB213" s="11602" t="n"/>
      <c r="AC213" s="1657" t="inlineStr">
        <is>
          <t xml:space="preserve">.   .   .   .   .   .   .   .   .   .   .   .   .   .   .   .   .   .   .   .   . </t>
        </is>
      </c>
      <c r="AD213" s="8389" t="n">
        <v>44</v>
      </c>
      <c r="AE213" s="10889">
        <f>IF($AE$211,"",MAX(0,SUM(AE196,-AE212)))</f>
        <v/>
      </c>
      <c r="AF213" s="7637" t="n"/>
      <c r="AG213" s="7637" t="n"/>
      <c r="AH213" s="7637" t="n"/>
      <c r="AI213" s="7637" t="n"/>
      <c r="AJ213" s="7637" t="n"/>
      <c r="AK213" s="2013" t="n"/>
      <c r="AL213" s="11602" t="n"/>
      <c r="AM213" s="11602" t="n"/>
      <c r="AN213" s="11602" t="n"/>
      <c r="AO213" s="2013" t="n"/>
      <c r="AP213" s="11602" t="n"/>
      <c r="AQ213" s="11602" t="n"/>
      <c r="AR213" s="658" t="n"/>
      <c r="AS213" s="658" t="n"/>
      <c r="AT213" s="658" t="n"/>
      <c r="AU213" s="658" t="n"/>
      <c r="AV213" s="658" t="n"/>
      <c r="AW213" s="658" t="n"/>
      <c r="AX213" s="658" t="n"/>
      <c r="AY213" s="658" t="n"/>
      <c r="AZ213" s="658" t="n"/>
      <c r="BA213" s="658" t="n"/>
    </row>
    <row r="214" ht="15.75" customFormat="1" customHeight="1" s="815">
      <c r="A214" s="2013" t="n"/>
      <c r="B214" s="11602" t="n"/>
      <c r="C214" s="2917" t="n">
        <v>45</v>
      </c>
      <c r="D214" s="7772" t="inlineStr">
        <is>
          <t>Enter the smaller of line 39 or line 44</t>
        </is>
      </c>
      <c r="E214" s="11602" t="n"/>
      <c r="F214" s="8650" t="n"/>
      <c r="G214" s="8650" t="n"/>
      <c r="H214" s="11602" t="n"/>
      <c r="I214" s="11602" t="n"/>
      <c r="J214" s="11602" t="n"/>
      <c r="K214" s="11602" t="n"/>
      <c r="L214" s="11602" t="n"/>
      <c r="M214" s="11602" t="n"/>
      <c r="N214" s="11602" t="n"/>
      <c r="O214" s="11602" t="n"/>
      <c r="P214" s="11602" t="n"/>
      <c r="Q214" s="11602" t="n"/>
      <c r="R214" s="11602" t="n"/>
      <c r="S214" s="11602" t="n"/>
      <c r="T214" s="11602" t="n"/>
      <c r="U214" s="11602" t="n"/>
      <c r="V214" s="11602" t="n"/>
      <c r="W214" s="11602" t="n"/>
      <c r="X214" s="11602" t="n"/>
      <c r="Y214" s="11602" t="n"/>
      <c r="Z214" s="11602" t="n"/>
      <c r="AA214" s="11602" t="n"/>
      <c r="AB214" s="11602" t="n"/>
      <c r="AC214" s="1657" t="inlineStr">
        <is>
          <t xml:space="preserve">.   .   .   .   .   .   .   .   .   .   .   .   .   .   .   .   .   .   .   .   .   .   .   .   .   .   . </t>
        </is>
      </c>
      <c r="AD214" s="8389" t="n">
        <v>45</v>
      </c>
      <c r="AE214" s="10889">
        <f>IF($AE$211,"",MIN(AE192,AE213))</f>
        <v/>
      </c>
      <c r="AF214" s="7637" t="n"/>
      <c r="AG214" s="7637" t="n"/>
      <c r="AH214" s="7637" t="n"/>
      <c r="AI214" s="7637" t="n"/>
      <c r="AJ214" s="7637" t="n"/>
      <c r="AK214" s="2013" t="n"/>
      <c r="AL214" s="11602" t="n"/>
      <c r="AM214" s="11602" t="n"/>
      <c r="AN214" s="11602" t="n"/>
      <c r="AO214" s="2013" t="n"/>
      <c r="AP214" s="11602" t="n"/>
      <c r="AQ214" s="11602" t="n"/>
      <c r="AR214" s="658" t="n"/>
      <c r="AS214" s="658" t="n"/>
      <c r="AT214" s="658" t="n"/>
      <c r="AU214" s="658" t="n"/>
      <c r="AV214" s="658" t="n"/>
      <c r="AW214" s="658" t="n"/>
      <c r="AX214" s="658" t="n"/>
      <c r="AY214" s="658" t="n"/>
      <c r="AZ214" s="658" t="n"/>
      <c r="BA214" s="658" t="n"/>
    </row>
    <row r="215" ht="15.75" customFormat="1" customHeight="1" s="815">
      <c r="A215" s="2013" t="n"/>
      <c r="B215" s="11602" t="n"/>
      <c r="C215" s="2917" t="n">
        <v>46</v>
      </c>
      <c r="D215" s="7772">
        <f>"Multiply line 45 by "&amp;TEXT(AQ215,"0%")&amp;" ("&amp;TEXT(AQ215,"0.00")&amp;")"</f>
        <v/>
      </c>
      <c r="E215" s="11602" t="n"/>
      <c r="F215" s="8650" t="n"/>
      <c r="G215" s="8650" t="n"/>
      <c r="H215" s="11602" t="n"/>
      <c r="I215" s="11602" t="n"/>
      <c r="J215" s="11602" t="n"/>
      <c r="K215" s="11602" t="n"/>
      <c r="L215" s="11602" t="n"/>
      <c r="M215" s="11602" t="n"/>
      <c r="N215" s="11602" t="n"/>
      <c r="O215" s="11602" t="n"/>
      <c r="P215" s="11602" t="n"/>
      <c r="Q215" s="11602" t="n"/>
      <c r="R215" s="11602" t="n"/>
      <c r="S215" s="11602" t="n"/>
      <c r="T215" s="11602" t="n"/>
      <c r="U215" s="11602" t="n"/>
      <c r="V215" s="11602" t="n"/>
      <c r="W215" s="11602" t="n"/>
      <c r="X215" s="11602" t="n"/>
      <c r="Y215" s="11602" t="n"/>
      <c r="Z215" s="11602" t="n"/>
      <c r="AA215" s="11602" t="n"/>
      <c r="AB215" s="11602" t="n"/>
      <c r="AC215" s="1657" t="inlineStr">
        <is>
          <t xml:space="preserve">.   .   .   .   .   .   .   .   .   .   .   .   .   .   .   .   .   .   .   .   .   .   .   .   .   .   .   .   .   . </t>
        </is>
      </c>
      <c r="AD215" s="8389" t="n">
        <v>46</v>
      </c>
      <c r="AE215" s="10889">
        <f>IF($AE$211,"",ROUND(AE214*AQ215,0))</f>
        <v/>
      </c>
      <c r="AF215" s="7637" t="n"/>
      <c r="AG215" s="7637" t="n"/>
      <c r="AH215" s="7637" t="n"/>
      <c r="AI215" s="7637" t="n"/>
      <c r="AJ215" s="7637" t="n"/>
      <c r="AK215" s="2013" t="n"/>
      <c r="AL215" s="11602" t="n"/>
      <c r="AM215" s="11602" t="n"/>
      <c r="AN215" s="11602" t="n"/>
      <c r="AO215" s="2013" t="n"/>
      <c r="AP215" s="11602" t="n"/>
      <c r="AQ215" s="11602" t="n">
        <v>0.15</v>
      </c>
      <c r="AR215" s="658" t="n"/>
      <c r="AS215" s="658" t="n"/>
      <c r="AT215" s="658" t="n"/>
      <c r="AU215" s="658" t="n"/>
      <c r="AV215" s="658" t="n"/>
      <c r="AW215" s="658" t="n"/>
      <c r="AX215" s="658" t="n"/>
      <c r="AY215" s="658" t="n"/>
      <c r="AZ215" s="658" t="n"/>
      <c r="BA215" s="658" t="n"/>
    </row>
    <row r="216" ht="15.75" customFormat="1" customHeight="1" s="815">
      <c r="A216" s="2013" t="n"/>
      <c r="B216" s="11602" t="n"/>
      <c r="C216" s="2917" t="n">
        <v>47</v>
      </c>
      <c r="D216" s="7772" t="inlineStr">
        <is>
          <t>Add lines 38 and 45</t>
        </is>
      </c>
      <c r="E216" s="11602" t="n"/>
      <c r="F216" s="8650" t="n"/>
      <c r="G216" s="8650" t="n"/>
      <c r="H216" s="11602" t="n"/>
      <c r="I216" s="11602" t="n"/>
      <c r="J216" s="11602" t="n"/>
      <c r="K216" s="11602" t="n"/>
      <c r="L216" s="11602" t="n"/>
      <c r="M216" s="11602" t="n"/>
      <c r="N216" s="11602" t="n"/>
      <c r="O216" s="11602" t="n"/>
      <c r="P216" s="11602" t="n"/>
      <c r="Q216" s="11602" t="n"/>
      <c r="R216" s="11602" t="n"/>
      <c r="S216" s="11602" t="n"/>
      <c r="T216" s="11602" t="n"/>
      <c r="U216" s="11602" t="n"/>
      <c r="V216" s="11602" t="n"/>
      <c r="W216" s="11602" t="n"/>
      <c r="X216" s="11602" t="n"/>
      <c r="Y216" s="11602" t="n"/>
      <c r="Z216" s="11602" t="n"/>
      <c r="AA216" s="11602" t="n"/>
      <c r="AB216" s="11602" t="n"/>
      <c r="AC216" s="1657" t="inlineStr">
        <is>
          <t xml:space="preserve">.   .   .   .   .   .   .   .   .   .   .   .   .   .   .   .   .   .   .   .   .   .   .   .   .   .   .   .   .   .   .   .   .   . </t>
        </is>
      </c>
      <c r="AD216" s="8389" t="n">
        <v>47</v>
      </c>
      <c r="AE216" s="10889">
        <f>IF($AE$211,"",SUM(AE191,AE214))</f>
        <v/>
      </c>
      <c r="AF216" s="7637" t="n"/>
      <c r="AG216" s="7637" t="n"/>
      <c r="AH216" s="7637" t="n"/>
      <c r="AI216" s="7637" t="n"/>
      <c r="AJ216" s="7637" t="n"/>
      <c r="AK216" s="2013" t="n"/>
      <c r="AL216" s="11602" t="n"/>
      <c r="AM216" s="512">
        <f>AND(AE216&lt;&gt;"",AE162&lt;&gt;"",AE216=AE163)</f>
        <v/>
      </c>
      <c r="AN216" s="11602" t="n"/>
      <c r="AO216" s="2013" t="n"/>
      <c r="AP216" s="11602" t="n"/>
      <c r="AQ216" s="11602" t="n"/>
      <c r="AR216" s="658" t="n"/>
      <c r="AS216" s="658" t="n"/>
      <c r="AT216" s="658" t="n"/>
      <c r="AU216" s="658" t="n"/>
      <c r="AV216" s="658" t="n"/>
      <c r="AW216" s="658" t="n"/>
      <c r="AX216" s="658" t="n"/>
      <c r="AY216" s="658" t="n"/>
      <c r="AZ216" s="658" t="n"/>
      <c r="BA216" s="658" t="n"/>
    </row>
    <row r="217" ht="16.5" customFormat="1" customHeight="1" s="815">
      <c r="A217" s="2013" t="n"/>
      <c r="B217" s="2447" t="n"/>
      <c r="C217" s="728" t="n"/>
      <c r="D217" s="2539" t="inlineStr">
        <is>
          <t xml:space="preserve">If lines 47 and 27 are the same, skip lines 48 through 52 and go to line 53. </t>
        </is>
      </c>
      <c r="E217" s="11403" t="n"/>
      <c r="F217" s="11403" t="n"/>
      <c r="G217" s="11403" t="n"/>
      <c r="H217" s="11403" t="n"/>
      <c r="I217" s="11403" t="n"/>
      <c r="J217" s="11403" t="n"/>
      <c r="K217" s="11403" t="n"/>
      <c r="L217" s="11403" t="n"/>
      <c r="M217" s="11403" t="n"/>
      <c r="N217" s="11403" t="n"/>
      <c r="O217" s="11403" t="n"/>
      <c r="P217" s="11403" t="n"/>
      <c r="Q217" s="88" t="n"/>
      <c r="R217" s="88" t="n"/>
      <c r="S217" s="88" t="n"/>
      <c r="T217" s="88" t="n"/>
      <c r="U217" s="3931" t="n"/>
      <c r="V217" s="88" t="n"/>
      <c r="W217" s="3931" t="n"/>
      <c r="X217" s="88" t="n"/>
      <c r="Y217" s="88" t="n"/>
      <c r="Z217" s="88" t="n"/>
      <c r="AA217" s="88" t="n"/>
      <c r="AB217" s="88" t="n"/>
      <c r="AC217" s="88" t="n"/>
      <c r="AD217" s="5743" t="n"/>
      <c r="AE217" s="10896">
        <f>AE163=AE216</f>
        <v/>
      </c>
      <c r="AF217" s="26" t="n"/>
      <c r="AG217" s="26" t="n"/>
      <c r="AH217" s="26" t="n"/>
      <c r="AI217" s="26" t="n"/>
      <c r="AJ217" s="26" t="n"/>
      <c r="AK217" s="2013" t="n"/>
      <c r="AL217" s="11602" t="n"/>
      <c r="AM217" s="2741">
        <f>IF(AM216,"Go to line 53.","")</f>
        <v/>
      </c>
      <c r="AN217" s="11602" t="n"/>
      <c r="AO217" s="2013" t="n"/>
      <c r="AP217" s="11602" t="n"/>
      <c r="AQ217" s="11602" t="n"/>
      <c r="AR217" s="658" t="n"/>
      <c r="AS217" s="658" t="n"/>
      <c r="AT217" s="658" t="n"/>
      <c r="AU217" s="658" t="n"/>
      <c r="AV217" s="658" t="n"/>
      <c r="AW217" s="658" t="n"/>
      <c r="AX217" s="658" t="n"/>
      <c r="AY217" s="658" t="n"/>
      <c r="AZ217" s="658" t="n"/>
      <c r="BA217" s="658" t="n"/>
    </row>
    <row r="218" ht="16.5" customFormat="1" customHeight="1" s="815">
      <c r="A218" s="2013" t="n"/>
      <c r="B218" s="2447" t="n"/>
      <c r="C218" s="728" t="n"/>
      <c r="D218" s="2539" t="inlineStr">
        <is>
          <t>Otherwise, go to line 48.</t>
        </is>
      </c>
      <c r="E218" s="11403" t="n"/>
      <c r="F218" s="11403" t="n"/>
      <c r="G218" s="11403" t="n"/>
      <c r="H218" s="11403" t="n"/>
      <c r="I218" s="11403" t="n"/>
      <c r="J218" s="11403" t="n"/>
      <c r="K218" s="11403" t="n"/>
      <c r="L218" s="11403" t="n"/>
      <c r="M218" s="11403" t="n"/>
      <c r="N218" s="11403" t="n"/>
      <c r="O218" s="11403" t="n"/>
      <c r="P218" s="11403" t="n"/>
      <c r="Q218" s="88" t="n"/>
      <c r="R218" s="88" t="n"/>
      <c r="S218" s="88" t="n"/>
      <c r="T218" s="88" t="n"/>
      <c r="U218" s="3931" t="n"/>
      <c r="V218" s="88" t="n"/>
      <c r="W218" s="3931" t="n"/>
      <c r="X218" s="88" t="n"/>
      <c r="Y218" s="88" t="n"/>
      <c r="Z218" s="88" t="n"/>
      <c r="AA218" s="88" t="n"/>
      <c r="AB218" s="88" t="n"/>
      <c r="AC218" s="88" t="n"/>
      <c r="AD218" s="5743" t="n"/>
      <c r="AE218" s="10918" t="n"/>
      <c r="AF218" s="26" t="n"/>
      <c r="AG218" s="26" t="n"/>
      <c r="AH218" s="26" t="n"/>
      <c r="AI218" s="26" t="n"/>
      <c r="AJ218" s="26" t="n"/>
      <c r="AK218" s="2013" t="n"/>
      <c r="AL218" s="11602" t="n"/>
      <c r="AM218" s="11602" t="n"/>
      <c r="AN218" s="11602" t="n"/>
      <c r="AO218" s="2013" t="n"/>
      <c r="AP218" s="11602" t="n"/>
      <c r="AQ218" s="11602" t="n"/>
      <c r="AR218" s="658" t="n"/>
      <c r="AS218" s="658" t="n"/>
      <c r="AT218" s="658" t="n"/>
      <c r="AU218" s="658" t="n"/>
      <c r="AV218" s="658" t="n"/>
      <c r="AW218" s="658" t="n"/>
      <c r="AX218" s="658" t="n"/>
      <c r="AY218" s="658" t="n"/>
      <c r="AZ218" s="658" t="n"/>
      <c r="BA218" s="658" t="n"/>
    </row>
    <row r="219" ht="15.75" customFormat="1" customHeight="1" s="815">
      <c r="A219" s="2013" t="n"/>
      <c r="B219" s="11602" t="n"/>
      <c r="C219" s="2917" t="n">
        <v>48</v>
      </c>
      <c r="D219" s="7772" t="inlineStr">
        <is>
          <t>Subtract line 47 from line 37</t>
        </is>
      </c>
      <c r="E219" s="11602" t="n"/>
      <c r="F219" s="8650" t="n"/>
      <c r="G219" s="8650" t="n"/>
      <c r="H219" s="11602" t="n"/>
      <c r="I219" s="11602" t="n"/>
      <c r="J219" s="11602" t="n"/>
      <c r="K219" s="11602" t="n"/>
      <c r="L219" s="11602" t="n"/>
      <c r="M219" s="11602" t="n"/>
      <c r="N219" s="11602" t="n"/>
      <c r="O219" s="11602" t="n"/>
      <c r="P219" s="11602" t="n"/>
      <c r="Q219" s="11602" t="n"/>
      <c r="R219" s="11602" t="n"/>
      <c r="S219" s="11602" t="n"/>
      <c r="T219" s="11602" t="n"/>
      <c r="U219" s="11602" t="n"/>
      <c r="V219" s="11602" t="n"/>
      <c r="W219" s="11602" t="n"/>
      <c r="X219" s="11602" t="n"/>
      <c r="Y219" s="11602" t="n"/>
      <c r="Z219" s="11602" t="n"/>
      <c r="AA219" s="11602" t="n"/>
      <c r="AB219" s="11602" t="n"/>
      <c r="AC219" s="1657" t="inlineStr">
        <is>
          <t xml:space="preserve">.   .   .   .   .   .   .   .   .   .   .   .   .   .   .   .   .   .   .   .   .   .   .   .   .   .   .   .   .   . </t>
        </is>
      </c>
      <c r="AD219" s="8389" t="n">
        <v>48</v>
      </c>
      <c r="AE219" s="10889">
        <f>IF(OR($AE$217,AE190=""),"",SUM(AE190,-AE216))</f>
        <v/>
      </c>
      <c r="AF219" s="7637" t="n"/>
      <c r="AG219" s="7637" t="n"/>
      <c r="AH219" s="7637" t="n"/>
      <c r="AI219" s="7637" t="n"/>
      <c r="AJ219" s="7637" t="n"/>
      <c r="AK219" s="2013" t="n"/>
      <c r="AL219" s="11602" t="n"/>
      <c r="AM219" s="11602" t="n"/>
      <c r="AN219" s="11602" t="n"/>
      <c r="AO219" s="2013" t="n"/>
      <c r="AP219" s="11602" t="n"/>
      <c r="AQ219" s="11602" t="n"/>
      <c r="AR219" s="658" t="n"/>
      <c r="AS219" s="658" t="n"/>
      <c r="AT219" s="658" t="n"/>
      <c r="AU219" s="658" t="n"/>
      <c r="AV219" s="658" t="n"/>
      <c r="AW219" s="658" t="n"/>
      <c r="AX219" s="658" t="n"/>
      <c r="AY219" s="658" t="n"/>
      <c r="AZ219" s="658" t="n"/>
      <c r="BA219" s="658" t="n"/>
    </row>
    <row r="220" ht="15.75" customFormat="1" customHeight="1" s="815">
      <c r="A220" s="2013" t="n"/>
      <c r="B220" s="11602" t="n"/>
      <c r="C220" s="2917" t="n">
        <v>49</v>
      </c>
      <c r="D220" s="7772">
        <f>"Multiply line 48 by "&amp;TEXT(AQ220,"0%")&amp;" ("&amp;TEXT(AQ220,"0.00")&amp;")"</f>
        <v/>
      </c>
      <c r="E220" s="11602" t="n"/>
      <c r="F220" s="8650" t="n"/>
      <c r="G220" s="8650" t="n"/>
      <c r="H220" s="11602" t="n"/>
      <c r="I220" s="11602" t="n"/>
      <c r="J220" s="11602" t="n"/>
      <c r="K220" s="11602" t="n"/>
      <c r="L220" s="11602" t="n"/>
      <c r="M220" s="11602" t="n"/>
      <c r="N220" s="11602" t="n"/>
      <c r="O220" s="11602" t="n"/>
      <c r="P220" s="11602" t="n"/>
      <c r="Q220" s="11602" t="n"/>
      <c r="R220" s="11602" t="n"/>
      <c r="S220" s="11602" t="n"/>
      <c r="T220" s="11602" t="n"/>
      <c r="U220" s="11602" t="n"/>
      <c r="V220" s="11602" t="n"/>
      <c r="W220" s="11602" t="n"/>
      <c r="X220" s="11602" t="n"/>
      <c r="Y220" s="11602" t="n"/>
      <c r="Z220" s="11602" t="n"/>
      <c r="AA220" s="11602" t="n"/>
      <c r="AB220" s="11602" t="n"/>
      <c r="AC220" s="1657" t="inlineStr">
        <is>
          <t xml:space="preserve">.   .   .   .   .   .   .   .   .   .   .   .   .   .   .   .   .   .   .   .   .   .   .   .   .   .   .   .   .   . </t>
        </is>
      </c>
      <c r="AD220" s="8389" t="n">
        <v>49</v>
      </c>
      <c r="AE220" s="10889">
        <f>IF(OR($AE$211,AE219=""),"",ROUND(AE219*AQ220,0))</f>
        <v/>
      </c>
      <c r="AF220" s="7637" t="n"/>
      <c r="AG220" s="7637" t="n"/>
      <c r="AH220" s="7637" t="n"/>
      <c r="AI220" s="7637" t="n"/>
      <c r="AJ220" s="7637" t="n"/>
      <c r="AK220" s="2013" t="n"/>
      <c r="AL220" s="11602" t="n"/>
      <c r="AM220" s="11602" t="n"/>
      <c r="AN220" s="11602" t="n"/>
      <c r="AO220" s="2013" t="n"/>
      <c r="AP220" s="11602" t="n"/>
      <c r="AQ220" s="11602" t="n">
        <v>0.2</v>
      </c>
      <c r="AR220" s="658" t="n"/>
      <c r="AS220" s="658" t="n"/>
      <c r="AT220" s="658" t="n"/>
      <c r="AU220" s="658" t="n"/>
      <c r="AV220" s="658" t="n"/>
      <c r="AW220" s="658" t="n"/>
      <c r="AX220" s="658" t="n"/>
      <c r="AY220" s="658" t="n"/>
      <c r="AZ220" s="658" t="n"/>
      <c r="BA220" s="658" t="n"/>
    </row>
    <row r="221" ht="16.5" customFormat="1" customHeight="1" s="815">
      <c r="A221" s="2013" t="n"/>
      <c r="B221" s="2447" t="n"/>
      <c r="C221" s="728" t="n"/>
      <c r="D221" s="2539" t="inlineStr">
        <is>
          <t>If line 29 is zero or blank, skip lines 50 through 52 and go to line 53. Otherwise, go to line 50.</t>
        </is>
      </c>
      <c r="E221" s="11403" t="n"/>
      <c r="F221" s="11403" t="n"/>
      <c r="G221" s="11403" t="n"/>
      <c r="H221" s="11403" t="n"/>
      <c r="I221" s="11403" t="n"/>
      <c r="J221" s="11403" t="n"/>
      <c r="K221" s="11403" t="n"/>
      <c r="L221" s="11403" t="n"/>
      <c r="M221" s="11403" t="n"/>
      <c r="N221" s="11403" t="n"/>
      <c r="O221" s="11403" t="n"/>
      <c r="P221" s="11403" t="n"/>
      <c r="Q221" s="88" t="n"/>
      <c r="R221" s="88" t="n"/>
      <c r="S221" s="88" t="n"/>
      <c r="T221" s="88" t="n"/>
      <c r="U221" s="3931" t="n"/>
      <c r="V221" s="88" t="n"/>
      <c r="W221" s="3931" t="n"/>
      <c r="X221" s="88" t="n"/>
      <c r="Y221" s="88" t="n"/>
      <c r="Z221" s="88" t="n"/>
      <c r="AA221" s="88" t="n"/>
      <c r="AB221" s="88" t="n"/>
      <c r="AC221" s="88" t="n"/>
      <c r="AD221" s="5743" t="n"/>
      <c r="AE221" s="10896">
        <f>OR(AE171=0,AE171="")</f>
        <v/>
      </c>
      <c r="AF221" s="26" t="n"/>
      <c r="AG221" s="26" t="n"/>
      <c r="AH221" s="26" t="n"/>
      <c r="AI221" s="26" t="n"/>
      <c r="AJ221" s="26" t="n"/>
      <c r="AK221" s="2013" t="n"/>
      <c r="AL221" s="11602" t="n"/>
      <c r="AM221" s="11602" t="n"/>
      <c r="AN221" s="11602" t="n"/>
      <c r="AO221" s="2013" t="n"/>
      <c r="AP221" s="11602" t="n"/>
      <c r="AQ221" s="11602" t="n"/>
      <c r="AR221" s="658" t="n"/>
      <c r="AS221" s="658" t="n"/>
      <c r="AT221" s="658" t="n"/>
      <c r="AU221" s="658" t="n"/>
      <c r="AV221" s="658" t="n"/>
      <c r="AW221" s="658" t="n"/>
      <c r="AX221" s="658" t="n"/>
      <c r="AY221" s="658" t="n"/>
      <c r="AZ221" s="658" t="n"/>
      <c r="BA221" s="658" t="n"/>
    </row>
    <row r="222" ht="15.75" customFormat="1" customHeight="1" s="815">
      <c r="A222" s="2013" t="n"/>
      <c r="B222" s="11602" t="n"/>
      <c r="C222" s="2917" t="n">
        <v>50</v>
      </c>
      <c r="D222" s="7772" t="inlineStr">
        <is>
          <t>Add lines 32, 47, and 48</t>
        </is>
      </c>
      <c r="E222" s="11602" t="n"/>
      <c r="F222" s="8650" t="n"/>
      <c r="G222" s="8650" t="n"/>
      <c r="H222" s="11602" t="n"/>
      <c r="I222" s="11602" t="n"/>
      <c r="J222" s="11602" t="n"/>
      <c r="K222" s="11602" t="n"/>
      <c r="L222" s="11602" t="n"/>
      <c r="M222" s="11602" t="n"/>
      <c r="N222" s="11602" t="n"/>
      <c r="O222" s="11602" t="n"/>
      <c r="P222" s="11602" t="n"/>
      <c r="Q222" s="11602" t="n"/>
      <c r="R222" s="11602" t="n"/>
      <c r="S222" s="11602" t="n"/>
      <c r="T222" s="11602" t="n"/>
      <c r="U222" s="11602" t="n"/>
      <c r="V222" s="11602" t="n"/>
      <c r="W222" s="11602" t="n"/>
      <c r="X222" s="11602" t="n"/>
      <c r="Y222" s="11602" t="n"/>
      <c r="Z222" s="11602" t="n"/>
      <c r="AA222" s="11602" t="n"/>
      <c r="AB222" s="11602" t="n"/>
      <c r="AC222" s="1657" t="inlineStr">
        <is>
          <t xml:space="preserve">.   .   .   .   .   .   .   .   .   .   .   .   .   .   .   .   .   .   .   .   .   .   .   .   .   .   .   .   .   . </t>
        </is>
      </c>
      <c r="AD222" s="8389" t="n">
        <v>50</v>
      </c>
      <c r="AE222" s="10889">
        <f>IF($AE$221,"",SUM(AE175,AE216,AE219))</f>
        <v/>
      </c>
      <c r="AF222" s="7637" t="n"/>
      <c r="AG222" s="7637" t="n"/>
      <c r="AH222" s="7637" t="n"/>
      <c r="AI222" s="7637" t="n"/>
      <c r="AJ222" s="7637" t="n"/>
      <c r="AK222" s="2013" t="n"/>
      <c r="AL222" s="11602" t="n"/>
      <c r="AM222" s="11602" t="n"/>
      <c r="AN222" s="11602" t="n"/>
      <c r="AO222" s="2013" t="n"/>
      <c r="AP222" s="11602" t="n"/>
      <c r="AQ222" s="11602" t="n"/>
      <c r="AR222" s="658" t="n"/>
      <c r="AS222" s="658" t="n"/>
      <c r="AT222" s="658" t="n"/>
      <c r="AU222" s="658" t="n"/>
      <c r="AV222" s="658" t="n"/>
      <c r="AW222" s="658" t="n"/>
      <c r="AX222" s="658" t="n"/>
      <c r="AY222" s="658" t="n"/>
      <c r="AZ222" s="658" t="n"/>
      <c r="BA222" s="658" t="n"/>
    </row>
    <row r="223" ht="15.75" customFormat="1" customHeight="1" s="815">
      <c r="A223" s="2013" t="n"/>
      <c r="B223" s="11602" t="n"/>
      <c r="C223" s="2917" t="n">
        <v>51</v>
      </c>
      <c r="D223" s="7772" t="inlineStr">
        <is>
          <t>Subtract line 50 from line 27</t>
        </is>
      </c>
      <c r="E223" s="11602" t="n"/>
      <c r="F223" s="8650" t="n"/>
      <c r="G223" s="8650" t="n"/>
      <c r="H223" s="11602" t="n"/>
      <c r="I223" s="11602" t="n"/>
      <c r="J223" s="11602" t="n"/>
      <c r="K223" s="11602" t="n"/>
      <c r="L223" s="11602" t="n"/>
      <c r="M223" s="11602" t="n"/>
      <c r="N223" s="11602" t="n"/>
      <c r="O223" s="11602" t="n"/>
      <c r="P223" s="11602" t="n"/>
      <c r="Q223" s="11602" t="n"/>
      <c r="R223" s="11602" t="n"/>
      <c r="S223" s="11602" t="n"/>
      <c r="T223" s="11602" t="n"/>
      <c r="U223" s="11602" t="n"/>
      <c r="V223" s="11602" t="n"/>
      <c r="W223" s="11602" t="n"/>
      <c r="X223" s="11602" t="n"/>
      <c r="Y223" s="11602" t="n"/>
      <c r="Z223" s="11602" t="n"/>
      <c r="AA223" s="11602" t="n"/>
      <c r="AB223" s="11602" t="n"/>
      <c r="AC223" s="1657" t="inlineStr">
        <is>
          <t xml:space="preserve">.   .   .   .   .   .   .   .   .   .   .   .   .   .   .   .   .   .   .   .   .   .   .   .   .   .   .   .   .   . </t>
        </is>
      </c>
      <c r="AD223" s="8389" t="n">
        <v>51</v>
      </c>
      <c r="AE223" s="10889">
        <f>IF($AE$221,"",SUM(AE163,-AE222))</f>
        <v/>
      </c>
      <c r="AF223" s="7637" t="n"/>
      <c r="AG223" s="7637" t="n"/>
      <c r="AH223" s="7637" t="n"/>
      <c r="AI223" s="7637" t="n"/>
      <c r="AJ223" s="7637" t="n"/>
      <c r="AK223" s="2013" t="n"/>
      <c r="AL223" s="11602" t="n"/>
      <c r="AM223" s="11602" t="n"/>
      <c r="AN223" s="11602" t="n"/>
      <c r="AO223" s="2013" t="n"/>
      <c r="AP223" s="11602" t="n"/>
      <c r="AQ223" s="11602" t="n"/>
      <c r="AR223" s="658" t="n"/>
      <c r="AS223" s="658" t="n"/>
      <c r="AT223" s="658" t="n"/>
      <c r="AU223" s="658" t="n"/>
      <c r="AV223" s="658" t="n"/>
      <c r="AW223" s="658" t="n"/>
      <c r="AX223" s="658" t="n"/>
      <c r="AY223" s="658" t="n"/>
      <c r="AZ223" s="658" t="n"/>
      <c r="BA223" s="658" t="n"/>
    </row>
    <row r="224" ht="15.75" customFormat="1" customHeight="1" s="815">
      <c r="A224" s="2013" t="n"/>
      <c r="B224" s="11602" t="n"/>
      <c r="C224" s="2917" t="n">
        <v>52</v>
      </c>
      <c r="D224" s="7772">
        <f>"Multiply line 51 by "&amp;TEXT(AQ224,"0%")&amp;" ("&amp;TEXT(AQ224,"0.00")&amp;")"</f>
        <v/>
      </c>
      <c r="E224" s="11602" t="n"/>
      <c r="F224" s="8650" t="n"/>
      <c r="G224" s="8650" t="n"/>
      <c r="H224" s="11602" t="n"/>
      <c r="I224" s="11602" t="n"/>
      <c r="J224" s="11602" t="n"/>
      <c r="K224" s="11602" t="n"/>
      <c r="L224" s="11602" t="n"/>
      <c r="M224" s="11602" t="n"/>
      <c r="N224" s="11602" t="n"/>
      <c r="O224" s="11602" t="n"/>
      <c r="P224" s="11602" t="n"/>
      <c r="Q224" s="11602" t="n"/>
      <c r="R224" s="11602" t="n"/>
      <c r="S224" s="11602" t="n"/>
      <c r="T224" s="11602" t="n"/>
      <c r="U224" s="11602" t="n"/>
      <c r="V224" s="11602" t="n"/>
      <c r="W224" s="11602" t="n"/>
      <c r="X224" s="11602" t="n"/>
      <c r="Y224" s="11602" t="n"/>
      <c r="Z224" s="11602" t="n"/>
      <c r="AA224" s="11602" t="n"/>
      <c r="AB224" s="11602" t="n"/>
      <c r="AC224" s="1657" t="inlineStr">
        <is>
          <t xml:space="preserve">.   .   .   .   .   .   .   .   .   .   .   .   .   .   .   .   .   .   .   .   .   .   .   .   .   .   .   .   .   . </t>
        </is>
      </c>
      <c r="AD224" s="8389" t="n">
        <v>52</v>
      </c>
      <c r="AE224" s="10889">
        <f>IF(OR($AE$211,AE223=""),"",ROUND(AE223*AQ224,0))</f>
        <v/>
      </c>
      <c r="AF224" s="7637" t="n"/>
      <c r="AG224" s="7637" t="n"/>
      <c r="AH224" s="7637" t="n"/>
      <c r="AI224" s="7637" t="n"/>
      <c r="AJ224" s="7637" t="n"/>
      <c r="AK224" s="2013" t="n"/>
      <c r="AL224" s="11602" t="n"/>
      <c r="AM224" s="11602" t="n"/>
      <c r="AN224" s="11602" t="n"/>
      <c r="AO224" s="2013" t="n"/>
      <c r="AP224" s="11602" t="n"/>
      <c r="AQ224" s="11602" t="n">
        <v>0.25</v>
      </c>
      <c r="AR224" s="658" t="n"/>
      <c r="AS224" s="658" t="n"/>
      <c r="AT224" s="658" t="n"/>
      <c r="AU224" s="658" t="n"/>
      <c r="AV224" s="658" t="n"/>
      <c r="AW224" s="658" t="n"/>
      <c r="AX224" s="658" t="n"/>
      <c r="AY224" s="658" t="n"/>
      <c r="AZ224" s="658" t="n"/>
      <c r="BA224" s="658" t="n"/>
    </row>
    <row r="225" ht="15.75" customFormat="1" customHeight="1" s="815">
      <c r="A225" s="2013" t="n"/>
      <c r="B225" s="11602" t="n"/>
      <c r="C225" s="2917" t="n">
        <v>53</v>
      </c>
      <c r="D225" s="7772" t="inlineStr">
        <is>
          <t>Add lines 33, 46, 49, and 52</t>
        </is>
      </c>
      <c r="E225" s="11602" t="n"/>
      <c r="F225" s="8650" t="n"/>
      <c r="G225" s="8650" t="n"/>
      <c r="H225" s="11602" t="n"/>
      <c r="I225" s="11602" t="n"/>
      <c r="J225" s="11602" t="n"/>
      <c r="K225" s="11602" t="n"/>
      <c r="L225" s="11602" t="n"/>
      <c r="M225" s="11602" t="n"/>
      <c r="N225" s="11602" t="n"/>
      <c r="O225" s="11602" t="n"/>
      <c r="P225" s="11602" t="n"/>
      <c r="Q225" s="11602" t="n"/>
      <c r="R225" s="11602" t="n"/>
      <c r="S225" s="11602" t="n"/>
      <c r="T225" s="11602" t="n"/>
      <c r="U225" s="11602" t="n"/>
      <c r="V225" s="11602" t="n"/>
      <c r="W225" s="11602" t="n"/>
      <c r="X225" s="11602" t="n"/>
      <c r="Y225" s="11602" t="n"/>
      <c r="Z225" s="11602" t="n"/>
      <c r="AA225" s="11602" t="n"/>
      <c r="AB225" s="11602" t="n"/>
      <c r="AC225" s="1657" t="inlineStr">
        <is>
          <t xml:space="preserve">.   .   .   .   .   .   .   .   .   .   .   .   .   .   .   .   .   .   .   .   .   .   .   .   .   .   .   .   .   . </t>
        </is>
      </c>
      <c r="AD225" s="8389" t="n">
        <v>53</v>
      </c>
      <c r="AE225" s="10889">
        <f>IF($AE$211,"",SUM(AE178,AE215,AE220,AE224))</f>
        <v/>
      </c>
      <c r="AF225" s="7637" t="n"/>
      <c r="AG225" s="7637" t="n"/>
      <c r="AH225" s="7637" t="n"/>
      <c r="AI225" s="7637" t="n"/>
      <c r="AJ225" s="7637" t="n"/>
      <c r="AK225" s="2013" t="n"/>
      <c r="AL225" s="11602" t="n"/>
      <c r="AM225" s="11602" t="n"/>
      <c r="AN225" s="11602" t="n"/>
      <c r="AO225" s="2013" t="n"/>
      <c r="AP225" s="11602" t="n"/>
      <c r="AQ225" s="11602" t="n"/>
      <c r="AR225" s="658" t="n"/>
      <c r="AS225" s="658" t="n"/>
      <c r="AT225" s="658" t="n"/>
      <c r="AU225" s="658" t="n"/>
      <c r="AV225" s="658" t="n"/>
      <c r="AW225" s="658" t="n"/>
      <c r="AX225" s="658" t="n"/>
      <c r="AY225" s="658" t="n"/>
      <c r="AZ225" s="658" t="n"/>
      <c r="BA225" s="658" t="n"/>
    </row>
    <row r="226" ht="15.75" customFormat="1" customHeight="1" s="815">
      <c r="A226" s="2013" t="n"/>
      <c r="B226" s="11602" t="n"/>
      <c r="C226" s="2917" t="n">
        <v>54</v>
      </c>
      <c r="D226" s="7772">
        <f>"If line 27 is "&amp;TEXT($AQ$174,"$0,000")&amp;" or less ("&amp;TEXT($AQ$175,"$0,000")&amp;" or less if married filing separately for "&amp;LastYear&amp;"), multiply line 27"</f>
        <v/>
      </c>
      <c r="E226" s="11602" t="n"/>
      <c r="F226" s="8650" t="n"/>
      <c r="G226" s="8650" t="n"/>
      <c r="H226" s="11602" t="n"/>
      <c r="I226" s="11602" t="n"/>
      <c r="J226" s="11602" t="n"/>
      <c r="K226" s="11602" t="n"/>
      <c r="L226" s="11602" t="n"/>
      <c r="M226" s="11602" t="n"/>
      <c r="N226" s="11602" t="n"/>
      <c r="O226" s="11602" t="n"/>
      <c r="P226" s="11602" t="n"/>
      <c r="Q226" s="11602" t="n"/>
      <c r="R226" s="11602" t="n"/>
      <c r="S226" s="11602" t="n"/>
      <c r="T226" s="11602" t="n"/>
      <c r="U226" s="11602" t="n"/>
      <c r="V226" s="11602" t="n"/>
      <c r="W226" s="11602" t="n"/>
      <c r="X226" s="11602" t="n"/>
      <c r="Y226" s="11602" t="n"/>
      <c r="Z226" s="11602" t="n"/>
      <c r="AA226" s="11602" t="n"/>
      <c r="AB226" s="11602" t="n"/>
      <c r="AC226" s="1657" t="n"/>
      <c r="AD226" s="5743" t="n"/>
      <c r="AE226" s="10890" t="n"/>
      <c r="AF226" s="26" t="n"/>
      <c r="AG226" s="26" t="n"/>
      <c r="AH226" s="26" t="n"/>
      <c r="AI226" s="26" t="n"/>
      <c r="AJ226" s="26" t="n"/>
      <c r="AK226" s="2013" t="n"/>
      <c r="AL226" s="11602" t="n"/>
      <c r="AM226" s="11602" t="n"/>
      <c r="AN226" s="11602" t="n"/>
      <c r="AO226" s="2013" t="n"/>
      <c r="AP226" s="990">
        <f>ROUND(AE163*$AQ$176,0)</f>
        <v/>
      </c>
      <c r="AQ226" s="11602" t="n"/>
      <c r="AR226" s="658" t="n"/>
      <c r="AS226" s="658" t="n"/>
      <c r="AT226" s="658" t="n"/>
      <c r="AU226" s="658" t="n"/>
      <c r="AV226" s="658" t="n"/>
      <c r="AW226" s="658" t="n"/>
      <c r="AX226" s="658" t="n"/>
      <c r="AY226" s="658" t="n"/>
      <c r="AZ226" s="658" t="n"/>
      <c r="BA226" s="658" t="n"/>
    </row>
    <row r="227" ht="16.5" customFormat="1" customHeight="1" s="815" thickBot="1">
      <c r="A227" s="2013" t="n"/>
      <c r="B227" s="11602" t="n"/>
      <c r="C227" s="2917" t="n"/>
      <c r="D227" s="7772">
        <f>"by "&amp;TEXT($AQ$176,"0%")&amp;" ("&amp;TEXT($AQ$176,"0.00")&amp;"). Otherwise, multiply line 27 by "&amp;TEXT($AQ$179,"0%")&amp;" ("&amp;TEXT($AQ$179,"0.00")&amp;") and subtract "&amp;TEXT($AQ$177,"$0,000")&amp;" ("&amp;TEXT($AQ$178,"$0,000")&amp;" if married filing"</f>
        <v/>
      </c>
      <c r="E227" s="11602" t="n"/>
      <c r="F227" s="8650" t="n"/>
      <c r="G227" s="8650" t="n"/>
      <c r="H227" s="11602" t="n"/>
      <c r="I227" s="11602" t="n"/>
      <c r="J227" s="11602" t="n"/>
      <c r="K227" s="11602" t="n"/>
      <c r="L227" s="11602" t="n"/>
      <c r="M227" s="11602" t="n"/>
      <c r="N227" s="11602" t="n"/>
      <c r="O227" s="11602" t="n"/>
      <c r="P227" s="11602" t="n"/>
      <c r="Q227" s="11602" t="n"/>
      <c r="R227" s="11602" t="n"/>
      <c r="S227" s="11602" t="n"/>
      <c r="T227" s="11602" t="n"/>
      <c r="U227" s="11602" t="n"/>
      <c r="V227" s="11602" t="n"/>
      <c r="W227" s="11602" t="n"/>
      <c r="X227" s="11602" t="n"/>
      <c r="Y227" s="11602" t="n"/>
      <c r="Z227" s="11602" t="n"/>
      <c r="AA227" s="11602" t="n"/>
      <c r="AB227" s="11602" t="n"/>
      <c r="AC227" s="1657" t="n"/>
      <c r="AD227" s="5743" t="n"/>
      <c r="AE227" s="5699" t="n"/>
      <c r="AF227" s="10891" t="n"/>
      <c r="AG227" s="10891" t="n"/>
      <c r="AH227" s="10891" t="n"/>
      <c r="AI227" s="10891" t="n"/>
      <c r="AJ227" s="10891" t="n"/>
      <c r="AK227" s="2013" t="n"/>
      <c r="AL227" s="11602" t="n"/>
      <c r="AM227" s="11602" t="n"/>
      <c r="AN227" s="11602" t="n"/>
      <c r="AO227" s="2013" t="n"/>
      <c r="AP227" s="990">
        <f>SUM(ROUND(AE163*$AQ$179,0),-$AQ$177)</f>
        <v/>
      </c>
      <c r="AQ227" s="11602" t="n"/>
      <c r="AR227" s="658" t="n"/>
      <c r="AS227" s="658" t="n"/>
      <c r="AT227" s="658" t="n"/>
      <c r="AU227" s="658" t="n"/>
      <c r="AV227" s="658" t="n"/>
      <c r="AW227" s="658" t="n"/>
      <c r="AX227" s="658" t="n"/>
      <c r="AY227" s="658" t="n"/>
      <c r="AZ227" s="658" t="n"/>
      <c r="BA227" s="658" t="n"/>
    </row>
    <row r="228" ht="16.5" customFormat="1" customHeight="1" s="815" thickBot="1">
      <c r="A228" s="2013" t="n"/>
      <c r="B228" s="11602" t="n"/>
      <c r="C228" s="2917" t="n"/>
      <c r="D228" s="7772">
        <f>"separately for "&amp;LastYear&amp;") from the result"</f>
        <v/>
      </c>
      <c r="E228" s="11602" t="n"/>
      <c r="F228" s="8650" t="n"/>
      <c r="G228" s="8650" t="n"/>
      <c r="H228" s="11602" t="n"/>
      <c r="I228" s="11602" t="n"/>
      <c r="J228" s="11602" t="n"/>
      <c r="K228" s="11602" t="n"/>
      <c r="L228" s="11602" t="n"/>
      <c r="M228" s="11602" t="n"/>
      <c r="N228" s="11602" t="n"/>
      <c r="O228" s="11602" t="n"/>
      <c r="P228" s="11602" t="n"/>
      <c r="Q228" s="11602" t="n"/>
      <c r="R228" s="11602" t="n"/>
      <c r="S228" s="11602" t="n"/>
      <c r="T228" s="11602" t="n"/>
      <c r="U228" s="11602" t="n"/>
      <c r="V228" s="11602" t="n"/>
      <c r="W228" s="11602" t="n"/>
      <c r="X228" s="11602" t="n"/>
      <c r="Y228" s="11602" t="n"/>
      <c r="Z228" s="11602" t="n"/>
      <c r="AA228" s="11602" t="n"/>
      <c r="AB228" s="11602" t="n"/>
      <c r="AC228" s="1657" t="inlineStr">
        <is>
          <t xml:space="preserve">.   .   .   .   .   .   .   .   .   .   .   .   .   .   .   .   .   .   .   .   .   .   .   .   .   .   .   .   .   . </t>
        </is>
      </c>
      <c r="AD228" s="8389" t="n">
        <v>54</v>
      </c>
      <c r="AE228" s="10889">
        <f>IF(AM228&lt;&gt;"",ROUND(AM228,0),IF($AE$211,"",IF(AND(AP135=3,AE163&lt;=$AQ$175),$AP$226,IF(AE163&lt;=$AQ$174,$AP$226,IF(AP135=3,$AP$228,$AP$227)))))</f>
        <v/>
      </c>
      <c r="AF228" s="7637" t="n"/>
      <c r="AG228" s="7637" t="n"/>
      <c r="AH228" s="7637" t="n"/>
      <c r="AI228" s="7637" t="n"/>
      <c r="AJ228" s="7637" t="n"/>
      <c r="AK228" s="2013" t="n"/>
      <c r="AL228" s="11602" t="n"/>
      <c r="AM228" s="5719" t="n"/>
      <c r="AN228" s="1806" t="n"/>
      <c r="AO228" s="2013" t="n"/>
      <c r="AP228" s="990">
        <f>SUM(ROUND(AE163*$AQ$179,0),-$AQ$178)</f>
        <v/>
      </c>
      <c r="AQ228" s="11602" t="n"/>
      <c r="AR228" s="658" t="n"/>
      <c r="AS228" s="658" t="n"/>
      <c r="AT228" s="658" t="n"/>
      <c r="AU228" s="658" t="n"/>
      <c r="AV228" s="658" t="n"/>
      <c r="AW228" s="658" t="n"/>
      <c r="AX228" s="658" t="n"/>
      <c r="AY228" s="658" t="n"/>
      <c r="AZ228" s="658" t="n"/>
      <c r="BA228" s="658" t="n"/>
    </row>
    <row r="229" ht="15.75" customFormat="1" customHeight="1" s="815">
      <c r="A229" s="2013" t="n"/>
      <c r="B229" s="11602" t="n"/>
      <c r="C229" s="2917" t="n">
        <v>55</v>
      </c>
      <c r="D229" s="7772" t="inlineStr">
        <is>
          <t>Enter the smaller of line 53 or line 54 here and on line 11.</t>
        </is>
      </c>
      <c r="E229" s="11602" t="n"/>
      <c r="F229" s="8650" t="n"/>
      <c r="G229" s="8650" t="n"/>
      <c r="H229" s="11602" t="n"/>
      <c r="I229" s="11602" t="n"/>
      <c r="J229" s="11602" t="n"/>
      <c r="K229" s="11602" t="n"/>
      <c r="L229" s="11602" t="n"/>
      <c r="M229" s="11602" t="n"/>
      <c r="N229" s="11602" t="n"/>
      <c r="O229" s="11602" t="n"/>
      <c r="P229" s="11602" t="n"/>
      <c r="Q229" s="11602" t="n"/>
      <c r="R229" s="7772">
        <f>"If you filed Form 2555 for "&amp;LastYear&amp;", don’t enter"</f>
        <v/>
      </c>
      <c r="S229" s="11602" t="n"/>
      <c r="T229" s="11602" t="n"/>
      <c r="U229" s="11602" t="n"/>
      <c r="V229" s="11602" t="n"/>
      <c r="W229" s="11602" t="n"/>
      <c r="X229" s="11602" t="n"/>
      <c r="Y229" s="11602" t="n"/>
      <c r="Z229" s="11602" t="n"/>
      <c r="AA229" s="11602" t="n"/>
      <c r="AB229" s="11602" t="n"/>
      <c r="AC229" s="1657" t="n"/>
      <c r="AD229" s="5743" t="n"/>
      <c r="AE229" s="10890" t="n"/>
      <c r="AF229" s="26" t="n"/>
      <c r="AG229" s="26" t="n"/>
      <c r="AH229" s="26" t="n"/>
      <c r="AI229" s="26" t="n"/>
      <c r="AJ229" s="26" t="n"/>
      <c r="AK229" s="2013" t="n"/>
      <c r="AL229" s="11602" t="n"/>
      <c r="AM229" s="11602" t="n"/>
      <c r="AN229" s="11602" t="n"/>
      <c r="AO229" s="2013" t="n"/>
      <c r="AP229" s="11602" t="n"/>
      <c r="AQ229" s="11602" t="n"/>
      <c r="AR229" s="658" t="n"/>
      <c r="AS229" s="658" t="n"/>
      <c r="AT229" s="658" t="n"/>
      <c r="AU229" s="658" t="n"/>
      <c r="AV229" s="658" t="n"/>
      <c r="AW229" s="658" t="n"/>
      <c r="AX229" s="658" t="n"/>
      <c r="AY229" s="658" t="n"/>
      <c r="AZ229" s="658" t="n"/>
      <c r="BA229" s="658" t="n"/>
    </row>
    <row r="230" ht="16.5" customFormat="1" customHeight="1" s="815" thickBot="1">
      <c r="A230" s="2013" t="n"/>
      <c r="B230" s="11602" t="n"/>
      <c r="C230" s="2917" t="n"/>
      <c r="D230" s="7772" t="inlineStr">
        <is>
          <t>this amount on line 11. Instead, enter it on line 4 of the Foreign Earned Income Tax Worksheet in the</t>
        </is>
      </c>
      <c r="E230" s="11602" t="n"/>
      <c r="F230" s="8650" t="n"/>
      <c r="G230" s="8650" t="n"/>
      <c r="H230" s="11602" t="n"/>
      <c r="I230" s="11602" t="n"/>
      <c r="J230" s="11602" t="n"/>
      <c r="K230" s="11602" t="n"/>
      <c r="L230" s="11602" t="n"/>
      <c r="M230" s="11602" t="n"/>
      <c r="N230" s="11602" t="n"/>
      <c r="O230" s="11602" t="n"/>
      <c r="P230" s="11602" t="n"/>
      <c r="Q230" s="11602" t="n"/>
      <c r="R230" s="11602" t="n"/>
      <c r="S230" s="11602" t="n"/>
      <c r="T230" s="11602" t="n"/>
      <c r="U230" s="11602" t="n"/>
      <c r="V230" s="11602" t="n"/>
      <c r="W230" s="11602" t="n"/>
      <c r="X230" s="11602" t="n"/>
      <c r="Y230" s="11602" t="n"/>
      <c r="Z230" s="11602" t="n"/>
      <c r="AA230" s="11602" t="n"/>
      <c r="AB230" s="11602" t="n"/>
      <c r="AC230" s="1657" t="n"/>
      <c r="AD230" s="5743" t="n"/>
      <c r="AE230" s="5699" t="n"/>
      <c r="AF230" s="10891" t="n"/>
      <c r="AG230" s="10891" t="n"/>
      <c r="AH230" s="10891" t="n"/>
      <c r="AI230" s="10891" t="n"/>
      <c r="AJ230" s="10891" t="n"/>
      <c r="AK230" s="2013" t="n"/>
      <c r="AL230" s="11602" t="n"/>
      <c r="AM230" s="11602" t="n"/>
      <c r="AN230" s="11602" t="n"/>
      <c r="AO230" s="2013" t="n"/>
      <c r="AP230" s="11602" t="n"/>
      <c r="AQ230" s="11602" t="n"/>
      <c r="AR230" s="658" t="n"/>
      <c r="AS230" s="658" t="n"/>
      <c r="AT230" s="658" t="n"/>
      <c r="AU230" s="658" t="n"/>
      <c r="AV230" s="658" t="n"/>
      <c r="AW230" s="658" t="n"/>
      <c r="AX230" s="658" t="n"/>
      <c r="AY230" s="658" t="n"/>
      <c r="AZ230" s="658" t="n"/>
      <c r="BA230" s="658" t="n"/>
    </row>
    <row r="231" ht="16.5" customFormat="1" customHeight="1" s="815" thickBot="1">
      <c r="A231" s="2013" t="n"/>
      <c r="B231" s="721" t="n"/>
      <c r="C231" s="5714" t="n"/>
      <c r="D231" s="4459" t="inlineStr">
        <is>
          <t>instructions for line 11</t>
        </is>
      </c>
      <c r="E231" s="721" t="n"/>
      <c r="F231" s="5715" t="n"/>
      <c r="G231" s="5715" t="n"/>
      <c r="H231" s="721" t="n"/>
      <c r="I231" s="721" t="n"/>
      <c r="J231" s="721" t="n"/>
      <c r="K231" s="721" t="n"/>
      <c r="L231" s="721" t="n"/>
      <c r="M231" s="721" t="n"/>
      <c r="N231" s="721" t="n"/>
      <c r="O231" s="721" t="n"/>
      <c r="P231" s="721" t="n"/>
      <c r="Q231" s="721" t="n"/>
      <c r="R231" s="721" t="n"/>
      <c r="S231" s="721" t="n"/>
      <c r="T231" s="721" t="n"/>
      <c r="U231" s="721" t="n"/>
      <c r="V231" s="721" t="n"/>
      <c r="W231" s="721" t="n"/>
      <c r="X231" s="721" t="n"/>
      <c r="Y231" s="721" t="n"/>
      <c r="Z231" s="721" t="n"/>
      <c r="AA231" s="721" t="n"/>
      <c r="AB231" s="721" t="n"/>
      <c r="AC231" s="5716" t="inlineStr">
        <is>
          <t xml:space="preserve">.   .   .   .   .   .   .   .   .   .   .   .   .   .   .   .   .   .   .   .   .   .   .   .   .   .   .   .   .   .   .   .   .   .   . </t>
        </is>
      </c>
      <c r="AD231" s="4463" t="n">
        <v>55</v>
      </c>
      <c r="AE231" s="10924">
        <f>IF(AM231&lt;&gt;"",ROUND(AM231,0),IF($AE$211,"",MIN(AE225,AE228)))</f>
        <v/>
      </c>
      <c r="AF231" s="11705" t="n"/>
      <c r="AG231" s="11705" t="n"/>
      <c r="AH231" s="11705" t="n"/>
      <c r="AI231" s="11705" t="n"/>
      <c r="AJ231" s="11705" t="n"/>
      <c r="AK231" s="2013" t="n"/>
      <c r="AL231" s="11602" t="n"/>
      <c r="AM231" s="5719" t="n"/>
      <c r="AN231" s="1806" t="n"/>
      <c r="AO231" s="2013" t="n"/>
      <c r="AP231" s="11602" t="n"/>
      <c r="AQ231" s="11602" t="n"/>
      <c r="AR231" s="658" t="n"/>
      <c r="AS231" s="658" t="n"/>
      <c r="AT231" s="658" t="n"/>
      <c r="AU231" s="658" t="n"/>
      <c r="AV231" s="658" t="n"/>
      <c r="AW231" s="658" t="n"/>
      <c r="AX231" s="658" t="n"/>
      <c r="AY231" s="658" t="n"/>
      <c r="AZ231" s="658" t="n"/>
      <c r="BA231" s="658" t="n"/>
    </row>
    <row r="232" ht="16.5" customFormat="1" customHeight="1" s="815" thickTop="1">
      <c r="A232" s="2013" t="n"/>
      <c r="B232" s="2447" t="n"/>
      <c r="C232" s="728" t="n"/>
      <c r="D232" s="11403" t="n"/>
      <c r="E232" s="11403" t="n"/>
      <c r="F232" s="11403" t="n"/>
      <c r="G232" s="11403" t="n"/>
      <c r="H232" s="11403" t="n"/>
      <c r="I232" s="11403" t="n"/>
      <c r="J232" s="11403" t="n"/>
      <c r="K232" s="11403" t="n"/>
      <c r="L232" s="11403" t="n"/>
      <c r="M232" s="11403" t="n"/>
      <c r="N232" s="11403" t="n"/>
      <c r="O232" s="11403" t="n"/>
      <c r="P232" s="11403" t="n"/>
      <c r="Q232" s="88" t="n"/>
      <c r="R232" s="88" t="n"/>
      <c r="S232" s="88" t="n"/>
      <c r="T232" s="88" t="n"/>
      <c r="U232" s="3931" t="n"/>
      <c r="V232" s="88" t="n"/>
      <c r="W232" s="3931" t="n"/>
      <c r="X232" s="88" t="n"/>
      <c r="Y232" s="88" t="n"/>
      <c r="Z232" s="88" t="n"/>
      <c r="AA232" s="88" t="n"/>
      <c r="AB232" s="88" t="n"/>
      <c r="AC232" s="88" t="n"/>
      <c r="AD232" s="88" t="n"/>
      <c r="AE232" s="88" t="n"/>
      <c r="AF232" s="88" t="n"/>
      <c r="AG232" s="88" t="n"/>
      <c r="AH232" s="2052" t="inlineStr">
        <is>
          <t>Form 8801</t>
        </is>
      </c>
      <c r="AI232" s="88" t="n"/>
      <c r="AJ232" s="2052">
        <f>"("&amp;TaxYear&amp;")"</f>
        <v/>
      </c>
      <c r="AK232" s="2013" t="n"/>
      <c r="AL232" s="11602" t="n"/>
      <c r="AM232" s="11602" t="n"/>
      <c r="AN232" s="11602" t="n"/>
      <c r="AO232" s="2013" t="n"/>
      <c r="AP232" s="11602" t="n"/>
      <c r="AQ232" s="11602" t="n"/>
      <c r="AR232" s="658" t="n"/>
      <c r="AS232" s="658" t="n"/>
      <c r="AT232" s="658" t="n"/>
      <c r="AU232" s="658" t="n"/>
      <c r="AV232" s="658" t="n"/>
      <c r="AW232" s="658" t="n"/>
      <c r="AX232" s="658" t="n"/>
      <c r="AY232" s="658" t="n"/>
      <c r="AZ232" s="658" t="n"/>
      <c r="BA232" s="658" t="n"/>
    </row>
    <row r="233" customFormat="1" s="815">
      <c r="A233" s="2013" t="n"/>
      <c r="B233" s="2447" t="n"/>
      <c r="C233" s="728" t="n"/>
      <c r="D233" s="11403" t="n"/>
      <c r="E233" s="11403" t="n"/>
      <c r="F233" s="11403" t="n"/>
      <c r="G233" s="11403" t="n"/>
      <c r="H233" s="11403" t="n"/>
      <c r="I233" s="11403" t="n"/>
      <c r="J233" s="11403" t="n"/>
      <c r="K233" s="11403" t="n"/>
      <c r="L233" s="11403" t="n"/>
      <c r="M233" s="11403" t="n"/>
      <c r="N233" s="11403" t="n"/>
      <c r="O233" s="11403" t="n"/>
      <c r="P233" s="11403" t="n"/>
      <c r="Q233" s="88" t="n"/>
      <c r="R233" s="88" t="n"/>
      <c r="S233" s="88" t="n"/>
      <c r="T233" s="88" t="n"/>
      <c r="U233" s="3931" t="n"/>
      <c r="V233" s="88" t="n"/>
      <c r="W233" s="3931" t="n"/>
      <c r="X233" s="88" t="n"/>
      <c r="Y233" s="88" t="n"/>
      <c r="Z233" s="88" t="n"/>
      <c r="AA233" s="88" t="n"/>
      <c r="AB233" s="88" t="n"/>
      <c r="AC233" s="88" t="n"/>
      <c r="AD233" s="88" t="n"/>
      <c r="AE233" s="88" t="n"/>
      <c r="AF233" s="88" t="n"/>
      <c r="AG233" s="88" t="n"/>
      <c r="AH233" s="2052" t="n"/>
      <c r="AI233" s="88" t="n"/>
      <c r="AJ233" s="2052" t="n"/>
      <c r="AK233" s="2013" t="n"/>
      <c r="AL233" s="11602" t="n"/>
      <c r="AM233" s="11602" t="n"/>
      <c r="AN233" s="11602" t="n"/>
      <c r="AO233" s="2013" t="n"/>
      <c r="AP233" s="11602" t="n"/>
      <c r="AQ233" s="11602" t="n"/>
      <c r="AR233" s="658" t="n"/>
      <c r="AS233" s="658" t="n"/>
      <c r="AT233" s="658" t="n"/>
      <c r="AU233" s="658" t="n"/>
      <c r="AV233" s="658" t="n"/>
      <c r="AW233" s="658" t="n"/>
      <c r="AX233" s="658" t="n"/>
      <c r="AY233" s="658" t="n"/>
      <c r="AZ233" s="658" t="n"/>
      <c r="BA233" s="658" t="n"/>
    </row>
    <row r="234" ht="29.25" customFormat="1" customHeight="1" s="815">
      <c r="A234" s="2013" t="n"/>
      <c r="B234" s="2447" t="n"/>
      <c r="C234" s="5727" t="inlineStr">
        <is>
          <t>Foreign Earned Income Tax Worksheet—Line 11</t>
        </is>
      </c>
      <c r="D234" s="2594" t="n"/>
      <c r="E234" s="2594" t="n"/>
      <c r="F234" s="2594" t="n"/>
      <c r="G234" s="2594" t="n"/>
      <c r="H234" s="2594" t="n"/>
      <c r="I234" s="2594" t="n"/>
      <c r="J234" s="2594" t="n"/>
      <c r="K234" s="2594" t="n"/>
      <c r="L234" s="2594" t="n"/>
      <c r="M234" s="2594" t="n"/>
      <c r="N234" s="2594" t="n"/>
      <c r="O234" s="2594" t="n"/>
      <c r="P234" s="2594" t="n"/>
      <c r="Q234" s="2432" t="n"/>
      <c r="R234" s="2432" t="n"/>
      <c r="S234" s="2432" t="n"/>
      <c r="T234" s="2432" t="n"/>
      <c r="U234" s="5728" t="n"/>
      <c r="V234" s="2432" t="n"/>
      <c r="W234" s="5728" t="n"/>
      <c r="X234" s="2432" t="n"/>
      <c r="Y234" s="2432" t="n"/>
      <c r="Z234" s="2432" t="n"/>
      <c r="AA234" s="2432" t="n"/>
      <c r="AB234" s="2432" t="n"/>
      <c r="AC234" s="2432" t="n"/>
      <c r="AD234" s="2432" t="n"/>
      <c r="AE234" s="2432" t="n"/>
      <c r="AF234" s="2432" t="n"/>
      <c r="AG234" s="5729" t="inlineStr">
        <is>
          <t>Keep for Your Records</t>
        </is>
      </c>
      <c r="AH234" s="5730" t="n"/>
      <c r="AI234" s="2432" t="n"/>
      <c r="AJ234" s="5730" t="n"/>
      <c r="AK234" s="2013" t="n"/>
      <c r="AL234" s="11602" t="n"/>
      <c r="AM234" s="11602" t="n"/>
      <c r="AN234" s="11602" t="n"/>
      <c r="AO234" s="2013" t="n"/>
      <c r="AP234" s="11602" t="n"/>
      <c r="AQ234" s="11602" t="n"/>
      <c r="AR234" s="658" t="n"/>
      <c r="AS234" s="658" t="n"/>
      <c r="AT234" s="658" t="n"/>
      <c r="AU234" s="658" t="n"/>
      <c r="AV234" s="658" t="n"/>
      <c r="AW234" s="658" t="n"/>
      <c r="AX234" s="658" t="n"/>
      <c r="AY234" s="658" t="n"/>
      <c r="AZ234" s="658" t="n"/>
      <c r="BA234" s="658" t="n"/>
    </row>
    <row r="235" ht="26.25" customFormat="1" customHeight="1" s="815">
      <c r="A235" s="2013" t="n"/>
      <c r="B235" s="2447" t="n"/>
      <c r="C235" s="5733" t="inlineStr">
        <is>
          <t>Before you begin:</t>
        </is>
      </c>
      <c r="D235" s="5731" t="n"/>
      <c r="E235" s="5731" t="n"/>
      <c r="F235" s="5731" t="n"/>
      <c r="G235" s="5731" t="n"/>
      <c r="H235" s="5731" t="n"/>
      <c r="I235" s="5731" t="n"/>
      <c r="J235" s="5731" t="n"/>
      <c r="K235" s="5734" t="inlineStr">
        <is>
          <t>If Form 8801, line 10, is zero, don't complete this worksheet.</t>
        </is>
      </c>
      <c r="L235" s="5731" t="n"/>
      <c r="M235" s="5731" t="n"/>
      <c r="N235" s="5731" t="n"/>
      <c r="O235" s="5731" t="n"/>
      <c r="P235" s="5731" t="n"/>
      <c r="Q235" s="5661" t="n"/>
      <c r="R235" s="5661" t="n"/>
      <c r="S235" s="5661" t="n"/>
      <c r="T235" s="5661" t="n"/>
      <c r="U235" s="5732" t="n"/>
      <c r="V235" s="5661" t="n"/>
      <c r="W235" s="5732" t="n"/>
      <c r="X235" s="5661" t="n"/>
      <c r="Y235" s="5771" t="n"/>
      <c r="Z235" s="5778" t="n"/>
      <c r="AA235" s="5778" t="n"/>
      <c r="AB235" s="10881">
        <f>OR(AE103="",AE103=0)</f>
        <v/>
      </c>
      <c r="AC235" s="8412" t="n"/>
      <c r="AD235" s="8412" t="n"/>
      <c r="AE235" s="10881">
        <f>AND($AQ$32,NOT(AB235))</f>
        <v/>
      </c>
      <c r="AF235" s="8412" t="n"/>
      <c r="AG235" s="8412" t="n"/>
      <c r="AH235" s="8412" t="n"/>
      <c r="AI235" s="8412" t="n"/>
      <c r="AJ235" s="8412" t="n"/>
      <c r="AK235" s="2013" t="n"/>
      <c r="AL235" s="11602" t="n"/>
      <c r="AM235" s="226" t="inlineStr">
        <is>
          <t>Manual</t>
        </is>
      </c>
      <c r="AN235" s="11602" t="n"/>
      <c r="AO235" s="2013" t="n"/>
      <c r="AP235" s="11602" t="n"/>
      <c r="AQ235" s="11602" t="n"/>
      <c r="AR235" s="658" t="n"/>
      <c r="AS235" s="658" t="n"/>
      <c r="AT235" s="658" t="n"/>
      <c r="AU235" s="658" t="n"/>
      <c r="AV235" s="658" t="n"/>
      <c r="AW235" s="658" t="n"/>
      <c r="AX235" s="658" t="n"/>
      <c r="AY235" s="658" t="n"/>
      <c r="AZ235" s="658" t="n"/>
      <c r="BA235" s="658" t="n"/>
    </row>
    <row r="236" ht="13.5" customFormat="1" customHeight="1" s="815" thickBot="1">
      <c r="A236" s="2013" t="n"/>
      <c r="B236" s="2447" t="n"/>
      <c r="C236" s="728" t="n"/>
      <c r="D236" s="11403" t="n"/>
      <c r="E236" s="11403" t="n"/>
      <c r="F236" s="11403" t="n"/>
      <c r="G236" s="11403" t="n"/>
      <c r="H236" s="11403" t="n"/>
      <c r="I236" s="11403" t="n"/>
      <c r="J236" s="11403" t="n"/>
      <c r="K236" s="11403" t="n"/>
      <c r="L236" s="11403" t="n"/>
      <c r="M236" s="11403" t="n"/>
      <c r="N236" s="11403" t="n"/>
      <c r="O236" s="11403" t="n"/>
      <c r="P236" s="11403" t="n"/>
      <c r="Q236" s="88" t="n"/>
      <c r="R236" s="88" t="n"/>
      <c r="S236" s="88" t="n"/>
      <c r="T236" s="88" t="n"/>
      <c r="U236" s="3931" t="n"/>
      <c r="V236" s="88" t="n"/>
      <c r="W236" s="3931" t="n"/>
      <c r="X236" s="88" t="n"/>
      <c r="Y236" s="88" t="n"/>
      <c r="Z236" s="88" t="n"/>
      <c r="AA236" s="88" t="n"/>
      <c r="AB236" s="88" t="n"/>
      <c r="AC236" s="88" t="n"/>
      <c r="AD236" s="88" t="n"/>
      <c r="AE236" s="88" t="n"/>
      <c r="AF236" s="88" t="n"/>
      <c r="AG236" s="88" t="n"/>
      <c r="AH236" s="2052" t="n"/>
      <c r="AI236" s="88" t="n"/>
      <c r="AJ236" s="2052" t="n"/>
      <c r="AK236" s="2013" t="n"/>
      <c r="AL236" s="11602" t="n"/>
      <c r="AM236" s="226" t="inlineStr">
        <is>
          <t>Override ê</t>
        </is>
      </c>
      <c r="AN236" s="11602" t="n"/>
      <c r="AO236" s="2013" t="n"/>
      <c r="AP236" s="11602" t="n"/>
      <c r="AQ236" s="11602" t="n"/>
      <c r="AR236" s="658" t="n"/>
      <c r="AS236" s="658" t="n"/>
      <c r="AT236" s="658" t="n"/>
      <c r="AU236" s="658" t="n"/>
      <c r="AV236" s="658" t="n"/>
      <c r="AW236" s="658" t="n"/>
      <c r="AX236" s="658" t="n"/>
      <c r="AY236" s="658" t="n"/>
      <c r="AZ236" s="658" t="n"/>
      <c r="BA236" s="658" t="n"/>
    </row>
    <row r="237" ht="21.75" customFormat="1" customHeight="1" s="1239" thickBot="1">
      <c r="A237" s="2306" t="n"/>
      <c r="B237" s="5425" t="n"/>
      <c r="C237" s="5735" t="inlineStr">
        <is>
          <t>1.</t>
        </is>
      </c>
      <c r="D237" s="3406" t="inlineStr">
        <is>
          <t>Enter the amount from Form 8801, line 10</t>
        </is>
      </c>
      <c r="E237" s="2617" t="n"/>
      <c r="F237" s="2617" t="n"/>
      <c r="G237" s="2617" t="n"/>
      <c r="H237" s="2617" t="n"/>
      <c r="I237" s="2617" t="n"/>
      <c r="J237" s="2617" t="n"/>
      <c r="K237" s="2617" t="n"/>
      <c r="L237" s="2617" t="n"/>
      <c r="M237" s="2617" t="n"/>
      <c r="N237" s="2617" t="n"/>
      <c r="O237" s="2617" t="n"/>
      <c r="P237" s="2617" t="n"/>
      <c r="Q237" s="182" t="n"/>
      <c r="R237" s="182" t="n"/>
      <c r="S237" s="182" t="n"/>
      <c r="T237" s="182" t="n"/>
      <c r="U237" s="3268" t="n"/>
      <c r="V237" s="182" t="n"/>
      <c r="W237" s="3268" t="n"/>
      <c r="X237" s="1401" t="n"/>
      <c r="Y237" s="182" t="n"/>
      <c r="Z237" s="182" t="n"/>
      <c r="AA237" s="182" t="n"/>
      <c r="AB237" s="182" t="n"/>
      <c r="AC237" s="1401" t="inlineStr">
        <is>
          <t xml:space="preserve">.   .   .   .   .   .   .   .   .   .   .   .   .   .   .   .   .   .   .   .   .   .   .   .   .   . </t>
        </is>
      </c>
      <c r="AD237" s="5735" t="inlineStr">
        <is>
          <t>1.</t>
        </is>
      </c>
      <c r="AE237" s="10889">
        <f>IF(AM237&lt;&gt;"",ROUND(AM237,0),IF(NOT(AE235),"",IF($AQ$32,$AE$103,"")))</f>
        <v/>
      </c>
      <c r="AF237" s="7637" t="n"/>
      <c r="AG237" s="7637" t="n"/>
      <c r="AH237" s="7637" t="n"/>
      <c r="AI237" s="7637" t="n"/>
      <c r="AJ237" s="7637" t="n"/>
      <c r="AK237" s="2306" t="n"/>
      <c r="AL237" s="411" t="n"/>
      <c r="AM237" s="5719" t="n"/>
      <c r="AN237" s="411" t="n"/>
      <c r="AO237" s="2306" t="n"/>
      <c r="AP237" s="411" t="n"/>
      <c r="AQ237" s="411" t="n"/>
      <c r="AR237" s="665" t="n"/>
      <c r="AS237" s="665" t="n"/>
      <c r="AT237" s="665" t="n"/>
      <c r="AU237" s="665" t="n"/>
      <c r="AV237" s="665" t="n"/>
      <c r="AW237" s="665" t="n"/>
      <c r="AX237" s="665" t="n"/>
      <c r="AY237" s="665" t="n"/>
      <c r="AZ237" s="665" t="n"/>
      <c r="BA237" s="665" t="n"/>
      <c r="BB237" s="9864" t="n"/>
      <c r="BC237" s="9864" t="n"/>
    </row>
    <row r="238" ht="21.75" customFormat="1" customHeight="1" s="815" thickBot="1">
      <c r="A238" s="2013" t="n"/>
      <c r="B238" s="226" t="n"/>
      <c r="C238" s="4478" t="inlineStr">
        <is>
          <t>2a.</t>
        </is>
      </c>
      <c r="D238" s="2445">
        <f>"Enter the amount from your (and your spouse's if filing jointly) "&amp;LastYear&amp;" Form 2555, lines 45"</f>
        <v/>
      </c>
      <c r="E238" s="11403" t="n"/>
      <c r="F238" s="11403" t="n"/>
      <c r="G238" s="11403" t="n"/>
      <c r="H238" s="11403" t="n"/>
      <c r="I238" s="11403" t="n"/>
      <c r="J238" s="11403" t="n"/>
      <c r="K238" s="11403" t="n"/>
      <c r="L238" s="11403" t="n"/>
      <c r="M238" s="11403" t="n"/>
      <c r="N238" s="11403" t="n"/>
      <c r="O238" s="11403" t="n"/>
      <c r="P238" s="11403" t="n"/>
      <c r="Q238" s="88" t="n"/>
      <c r="R238" s="88" t="n"/>
      <c r="S238" s="88" t="n"/>
      <c r="T238" s="88" t="n"/>
      <c r="U238" s="229" t="n"/>
      <c r="V238" s="88" t="n"/>
      <c r="W238" s="229" t="n"/>
      <c r="X238" s="88" t="n"/>
      <c r="Y238" s="88" t="n"/>
      <c r="Z238" s="88" t="n"/>
      <c r="AA238" s="88" t="n"/>
      <c r="AB238" s="88" t="n"/>
      <c r="AC238" s="88" t="n"/>
      <c r="AD238" s="88" t="n"/>
      <c r="AE238" s="88" t="n"/>
      <c r="AF238" s="88" t="n"/>
      <c r="AG238" s="88" t="n"/>
      <c r="AH238" s="88" t="n"/>
      <c r="AI238" s="88" t="n"/>
      <c r="AJ238" s="88" t="n"/>
      <c r="AK238" s="2013" t="n"/>
      <c r="AL238" s="11602" t="n"/>
      <c r="AM238" s="11602" t="n"/>
      <c r="AN238" s="11602" t="n"/>
      <c r="AO238" s="2013" t="n"/>
      <c r="AP238" s="11602" t="n"/>
      <c r="AQ238" s="11602" t="n"/>
      <c r="AR238" s="658" t="n"/>
      <c r="AS238" s="658" t="n"/>
      <c r="AT238" s="658" t="n"/>
      <c r="AU238" s="658" t="n"/>
      <c r="AV238" s="658" t="n"/>
      <c r="AW238" s="658" t="n"/>
      <c r="AX238" s="658" t="n"/>
      <c r="AY238" s="658" t="n"/>
      <c r="AZ238" s="658" t="n"/>
      <c r="BA238" s="658" t="n"/>
    </row>
    <row r="239" ht="16.5" customFormat="1" customHeight="1" s="815" thickBot="1">
      <c r="A239" s="2013" t="n"/>
      <c r="B239" s="2447" t="n"/>
      <c r="C239" s="4478" t="n"/>
      <c r="D239" s="2445" t="inlineStr">
        <is>
          <t>and 50</t>
        </is>
      </c>
      <c r="E239" s="2445" t="n"/>
      <c r="F239" s="2445" t="n"/>
      <c r="G239" s="2445" t="n"/>
      <c r="H239" s="2445" t="n"/>
      <c r="I239" s="2445" t="n"/>
      <c r="J239" s="2445" t="n"/>
      <c r="K239" s="2445" t="n"/>
      <c r="L239" s="2445" t="n"/>
      <c r="M239" s="2445" t="n"/>
      <c r="N239" s="2445" t="n"/>
      <c r="O239" s="2445" t="n"/>
      <c r="P239" s="2445" t="n"/>
      <c r="Q239" s="2445" t="n"/>
      <c r="R239" s="2445" t="n"/>
      <c r="S239" s="2445" t="n"/>
      <c r="T239" s="2445" t="n"/>
      <c r="U239" s="2445" t="n"/>
      <c r="V239" s="2445" t="n"/>
      <c r="W239" s="1401" t="inlineStr">
        <is>
          <t xml:space="preserve">.   .   .   .   .   .   .   .   .   .   .   .   .   .   .   .   .   .   .   .   .   .   .   .   .   .   .   . </t>
        </is>
      </c>
      <c r="X239" s="5735" t="inlineStr">
        <is>
          <t>2a.</t>
        </is>
      </c>
      <c r="Y239" s="10889">
        <f>IF(AM239&lt;&gt;"",ROUND(AM239,0),IF(NOT(AE235),"",SUM($AQ$30,$AQ$34)))</f>
        <v/>
      </c>
      <c r="Z239" s="7637" t="n"/>
      <c r="AA239" s="7637" t="n"/>
      <c r="AB239" s="7637" t="n"/>
      <c r="AC239" s="7637" t="n"/>
      <c r="AD239" s="7637" t="n"/>
      <c r="AE239" s="2445" t="n"/>
      <c r="AF239" s="2445" t="n"/>
      <c r="AG239" s="2445" t="n"/>
      <c r="AH239" s="2445" t="n"/>
      <c r="AI239" s="2445" t="n"/>
      <c r="AJ239" s="2445" t="n"/>
      <c r="AK239" s="2013" t="n"/>
      <c r="AL239" s="11602" t="n"/>
      <c r="AM239" s="5719" t="n"/>
      <c r="AN239" s="11602" t="n"/>
      <c r="AO239" s="2013" t="n"/>
      <c r="AP239" s="11602" t="n"/>
      <c r="AQ239" s="11602" t="n"/>
      <c r="AR239" s="658" t="n"/>
      <c r="AS239" s="658" t="n"/>
      <c r="AT239" s="658" t="n"/>
      <c r="AU239" s="658" t="n"/>
      <c r="AV239" s="658" t="n"/>
      <c r="AW239" s="658" t="n"/>
      <c r="AX239" s="658" t="n"/>
      <c r="AY239" s="658" t="n"/>
      <c r="AZ239" s="658" t="n"/>
      <c r="BA239" s="658" t="n"/>
    </row>
    <row r="240" ht="21.75" customFormat="1" customHeight="1" s="815">
      <c r="A240" s="2013" t="n"/>
      <c r="B240" s="226" t="n"/>
      <c r="C240" s="4478" t="inlineStr">
        <is>
          <t>b.</t>
        </is>
      </c>
      <c r="D240" s="2445" t="inlineStr">
        <is>
          <t>Enter the total amount of any itemized deductions or exclusion items you couldn't claim</t>
        </is>
      </c>
      <c r="E240" s="11403" t="n"/>
      <c r="F240" s="11403" t="n"/>
      <c r="G240" s="11403" t="n"/>
      <c r="H240" s="11403" t="n"/>
      <c r="I240" s="11403" t="n"/>
      <c r="J240" s="11403" t="n"/>
      <c r="K240" s="11403" t="n"/>
      <c r="L240" s="11403" t="n"/>
      <c r="M240" s="11403" t="n"/>
      <c r="N240" s="11403" t="n"/>
      <c r="O240" s="11403" t="n"/>
      <c r="P240" s="11403" t="n"/>
      <c r="Q240" s="88" t="n"/>
      <c r="R240" s="88" t="n"/>
      <c r="S240" s="88" t="n"/>
      <c r="T240" s="88" t="n"/>
      <c r="U240" s="229" t="n"/>
      <c r="V240" s="88" t="n"/>
      <c r="W240" s="229" t="n"/>
      <c r="X240" s="88" t="n"/>
      <c r="Y240" s="88" t="n"/>
      <c r="Z240" s="88" t="n"/>
      <c r="AA240" s="88" t="n"/>
      <c r="AB240" s="88" t="n"/>
      <c r="AC240" s="88" t="n"/>
      <c r="AD240" s="88" t="n"/>
      <c r="AE240" s="88" t="n"/>
      <c r="AF240" s="88" t="n"/>
      <c r="AG240" s="88" t="n"/>
      <c r="AH240" s="88" t="n"/>
      <c r="AI240" s="88" t="n"/>
      <c r="AJ240" s="88" t="n"/>
      <c r="AK240" s="2013" t="n"/>
      <c r="AL240" s="11602" t="n"/>
      <c r="AM240" s="11602" t="n"/>
      <c r="AN240" s="11602" t="n"/>
      <c r="AO240" s="2013" t="n"/>
      <c r="AP240" s="11602" t="n"/>
      <c r="AQ240" s="11602" t="n"/>
      <c r="AR240" s="658" t="n"/>
      <c r="AS240" s="658" t="n"/>
      <c r="AT240" s="658" t="n"/>
      <c r="AU240" s="658" t="n"/>
      <c r="AV240" s="658" t="n"/>
      <c r="AW240" s="658" t="n"/>
      <c r="AX240" s="658" t="n"/>
      <c r="AY240" s="658" t="n"/>
      <c r="AZ240" s="658" t="n"/>
      <c r="BA240" s="658" t="n"/>
    </row>
    <row r="241" ht="16.5" customFormat="1" customHeight="1" s="815" thickBot="1">
      <c r="A241" s="2013" t="n"/>
      <c r="B241" s="2447" t="n"/>
      <c r="C241" s="4478" t="n"/>
      <c r="D241" s="2445" t="inlineStr">
        <is>
          <t>because they are related to excluded income</t>
        </is>
      </c>
      <c r="E241" s="2445" t="n"/>
      <c r="F241" s="2445" t="n"/>
      <c r="G241" s="2445" t="n"/>
      <c r="H241" s="2445" t="n"/>
      <c r="I241" s="2445" t="n"/>
      <c r="J241" s="2445" t="n"/>
      <c r="K241" s="2445" t="n"/>
      <c r="L241" s="2445" t="n"/>
      <c r="M241" s="2445" t="n"/>
      <c r="N241" s="2445" t="n"/>
      <c r="O241" s="2445" t="n"/>
      <c r="P241" s="2445" t="n"/>
      <c r="Q241" s="2445" t="n"/>
      <c r="R241" s="2445" t="n"/>
      <c r="S241" s="2445" t="n"/>
      <c r="T241" s="2445" t="n"/>
      <c r="U241" s="2445" t="n"/>
      <c r="V241" s="2445" t="n"/>
      <c r="W241" s="1401" t="inlineStr">
        <is>
          <t xml:space="preserve">.   .   .   .   .   .   .   .   .   .   .   .   .   . </t>
        </is>
      </c>
      <c r="X241" s="5735" t="inlineStr">
        <is>
          <t>2b.</t>
        </is>
      </c>
      <c r="Y241" s="10908" t="n"/>
      <c r="Z241" s="11717" t="n"/>
      <c r="AA241" s="11717" t="n"/>
      <c r="AB241" s="11717" t="n"/>
      <c r="AC241" s="11717" t="n"/>
      <c r="AD241" s="11717" t="n"/>
      <c r="AE241" s="2445" t="n"/>
      <c r="AF241" s="2445" t="n"/>
      <c r="AG241" s="2445" t="n"/>
      <c r="AH241" s="2445" t="n"/>
      <c r="AI241" s="2445" t="n"/>
      <c r="AJ241" s="2445" t="n"/>
      <c r="AK241" s="2013" t="n"/>
      <c r="AL241" s="11602" t="n"/>
      <c r="AM241" s="11602" t="n"/>
      <c r="AN241" s="11602" t="n"/>
      <c r="AO241" s="2013" t="n"/>
      <c r="AP241" s="11602" t="n"/>
      <c r="AQ241" s="11602">
        <f>IF(Y241&lt;&gt;"",ROUND(Y241,0),0)</f>
        <v/>
      </c>
      <c r="AR241" s="658" t="n"/>
      <c r="AS241" s="658" t="n"/>
      <c r="AT241" s="658" t="n"/>
      <c r="AU241" s="658" t="n"/>
      <c r="AV241" s="658" t="n"/>
      <c r="AW241" s="658" t="n"/>
      <c r="AX241" s="658" t="n"/>
      <c r="AY241" s="658" t="n"/>
      <c r="AZ241" s="658" t="n"/>
      <c r="BA241" s="658" t="n"/>
    </row>
    <row r="242" ht="21.75" customFormat="1" customHeight="1" s="1239" thickBot="1">
      <c r="A242" s="2306" t="n"/>
      <c r="B242" s="5425" t="n"/>
      <c r="C242" s="5735" t="inlineStr">
        <is>
          <t>c.</t>
        </is>
      </c>
      <c r="D242" s="2311" t="inlineStr">
        <is>
          <t>Subtract line 2b from line 2a. If zero or less, enter -0-</t>
        </is>
      </c>
      <c r="E242" s="516" t="n"/>
      <c r="F242" s="516" t="n"/>
      <c r="G242" s="2617" t="n"/>
      <c r="H242" s="2617" t="n"/>
      <c r="I242" s="2617" t="n"/>
      <c r="J242" s="2617" t="n"/>
      <c r="K242" s="2617" t="n"/>
      <c r="L242" s="2617" t="n"/>
      <c r="M242" s="2617" t="n"/>
      <c r="N242" s="2617" t="n"/>
      <c r="O242" s="2617" t="n"/>
      <c r="P242" s="2617" t="n"/>
      <c r="Q242" s="182" t="n"/>
      <c r="R242" s="182" t="n"/>
      <c r="S242" s="182" t="n"/>
      <c r="T242" s="182" t="n"/>
      <c r="U242" s="3268" t="n"/>
      <c r="V242" s="182" t="n"/>
      <c r="W242" s="3268" t="n"/>
      <c r="X242" s="1401" t="n"/>
      <c r="Y242" s="182" t="n"/>
      <c r="Z242" s="182" t="n"/>
      <c r="AA242" s="182" t="n"/>
      <c r="AB242" s="182" t="n"/>
      <c r="AC242" s="1401" t="inlineStr">
        <is>
          <t xml:space="preserve">.   .   .   .   .   .   .   .   .   .   .   .   .   .   .   .   .   .   .   .   . </t>
        </is>
      </c>
      <c r="AD242" s="5735" t="inlineStr">
        <is>
          <t>2c.</t>
        </is>
      </c>
      <c r="AE242" s="10889">
        <f>IF(AM242&lt;&gt;"",ROUND(AM242,0),IF(NOT(AE235),"",MAX(0,SUM(Y239,-AQ241))))</f>
        <v/>
      </c>
      <c r="AF242" s="7637" t="n"/>
      <c r="AG242" s="7637" t="n"/>
      <c r="AH242" s="7637" t="n"/>
      <c r="AI242" s="7637" t="n"/>
      <c r="AJ242" s="7637" t="n"/>
      <c r="AK242" s="2306" t="n"/>
      <c r="AL242" s="411" t="n"/>
      <c r="AM242" s="5719" t="n"/>
      <c r="AN242" s="411" t="n"/>
      <c r="AO242" s="2306" t="n"/>
      <c r="AP242" s="411" t="n"/>
      <c r="AQ242" s="411" t="n"/>
      <c r="AR242" s="665" t="n"/>
      <c r="AS242" s="665" t="n"/>
      <c r="AT242" s="665" t="n"/>
      <c r="AU242" s="665" t="n"/>
      <c r="AV242" s="665" t="n"/>
      <c r="AW242" s="665" t="n"/>
      <c r="AX242" s="665" t="n"/>
      <c r="AY242" s="665" t="n"/>
      <c r="AZ242" s="665" t="n"/>
      <c r="BA242" s="665" t="n"/>
      <c r="BB242" s="9864" t="n"/>
      <c r="BC242" s="9864" t="n"/>
    </row>
    <row r="243" ht="21.75" customFormat="1" customHeight="1" s="1239" thickBot="1">
      <c r="A243" s="2306" t="n"/>
      <c r="B243" s="5425" t="n"/>
      <c r="C243" s="5735" t="inlineStr">
        <is>
          <t>3.</t>
        </is>
      </c>
      <c r="D243" s="2311" t="inlineStr">
        <is>
          <t>Add lines 1 and 2c</t>
        </is>
      </c>
      <c r="E243" s="516" t="n"/>
      <c r="F243" s="516" t="n"/>
      <c r="G243" s="2617" t="n"/>
      <c r="H243" s="2617" t="n"/>
      <c r="I243" s="2617" t="n"/>
      <c r="J243" s="2617" t="n"/>
      <c r="K243" s="2617" t="n"/>
      <c r="L243" s="2617" t="n"/>
      <c r="M243" s="2617" t="n"/>
      <c r="N243" s="2617" t="n"/>
      <c r="O243" s="2617" t="n"/>
      <c r="P243" s="2617" t="n"/>
      <c r="Q243" s="182" t="n"/>
      <c r="R243" s="182" t="n"/>
      <c r="S243" s="182" t="n"/>
      <c r="T243" s="182" t="n"/>
      <c r="U243" s="3268" t="n"/>
      <c r="V243" s="182" t="n"/>
      <c r="W243" s="3268" t="n"/>
      <c r="X243" s="1401" t="n"/>
      <c r="Y243" s="182" t="n"/>
      <c r="Z243" s="182" t="n"/>
      <c r="AA243" s="182" t="n"/>
      <c r="AB243" s="182" t="n"/>
      <c r="AC243" s="1401" t="inlineStr">
        <is>
          <t xml:space="preserve">.   .   .   .   .   .   .   .   .   .   .   .   .   .   .   .   .   .   .   .   .   .   .   .   .   .   .   .   .   .   .   .   .   .   .   . </t>
        </is>
      </c>
      <c r="AD243" s="5735" t="inlineStr">
        <is>
          <t>3.</t>
        </is>
      </c>
      <c r="AE243" s="10889">
        <f>IF(AM243&lt;&gt;"",ROUND(AM243,0),IF(NOT(AE235),"",SUM(AE237,AE242)))</f>
        <v/>
      </c>
      <c r="AF243" s="7637" t="n"/>
      <c r="AG243" s="7637" t="n"/>
      <c r="AH243" s="7637" t="n"/>
      <c r="AI243" s="7637" t="n"/>
      <c r="AJ243" s="7637" t="n"/>
      <c r="AK243" s="2306" t="n"/>
      <c r="AL243" s="411" t="n"/>
      <c r="AM243" s="5719" t="n"/>
      <c r="AN243" s="411" t="n"/>
      <c r="AO243" s="5756" t="n"/>
      <c r="AP243" s="411" t="n"/>
      <c r="AQ243" s="2201">
        <f>AND($AE$40&lt;&gt;"",$AE$40&lt;&gt;0)</f>
        <v/>
      </c>
      <c r="AR243" s="665" t="n"/>
      <c r="AS243" s="665" t="n"/>
      <c r="AT243" s="665" t="n"/>
      <c r="AU243" s="665" t="n"/>
      <c r="AV243" s="665" t="n"/>
      <c r="AW243" s="665" t="n"/>
      <c r="AX243" s="665" t="n"/>
      <c r="AY243" s="665" t="n"/>
      <c r="AZ243" s="665" t="n"/>
      <c r="BA243" s="665" t="n"/>
      <c r="BB243" s="9864" t="n"/>
      <c r="BC243" s="9864" t="n"/>
    </row>
    <row r="244" ht="16.5" customFormat="1" customHeight="1" s="815">
      <c r="A244" s="2013" t="n"/>
      <c r="B244" s="5425" t="n"/>
      <c r="C244" s="5735" t="inlineStr">
        <is>
          <t>4.</t>
        </is>
      </c>
      <c r="D244" s="342" t="inlineStr">
        <is>
          <t>Tax on the amount on line 3.</t>
        </is>
      </c>
      <c r="E244" s="7772" t="n"/>
      <c r="F244" s="7772" t="n"/>
      <c r="G244" s="2445" t="n"/>
      <c r="H244" s="2445" t="n"/>
      <c r="I244" s="2445" t="n"/>
      <c r="J244" s="2445" t="n"/>
      <c r="K244" s="2445" t="n"/>
      <c r="L244" s="2445" t="n"/>
      <c r="M244" s="2445" t="n"/>
      <c r="N244" s="2445" t="n"/>
      <c r="O244" s="2445" t="n"/>
      <c r="P244" s="2445" t="n"/>
      <c r="Q244" s="2445" t="n"/>
      <c r="R244" s="2445" t="n"/>
      <c r="S244" s="2445" t="n"/>
      <c r="T244" s="2445" t="n"/>
      <c r="U244" s="2445" t="n"/>
      <c r="V244" s="2445" t="n"/>
      <c r="W244" s="2445" t="n"/>
      <c r="X244" s="2445" t="n"/>
      <c r="Y244" s="2445" t="n"/>
      <c r="Z244" s="2445" t="n"/>
      <c r="AA244" s="2445" t="n"/>
      <c r="AB244" s="2445" t="n"/>
      <c r="AC244" s="2445" t="n"/>
      <c r="AD244" s="2445" t="n"/>
      <c r="AE244" s="2445" t="n"/>
      <c r="AF244" s="2445" t="n"/>
      <c r="AG244" s="2445" t="n"/>
      <c r="AH244" s="2445" t="n"/>
      <c r="AI244" s="2445" t="n"/>
      <c r="AJ244" s="2445" t="n"/>
      <c r="AK244" s="2013" t="n"/>
      <c r="AL244" s="11602" t="n"/>
      <c r="AM244" s="5752" t="n"/>
      <c r="AN244" s="11602" t="n"/>
      <c r="AO244" s="5756" t="n"/>
      <c r="AP244" s="11602" t="n"/>
      <c r="AQ244" s="5766">
        <f>$AQ$38</f>
        <v/>
      </c>
      <c r="AR244" s="665" t="n"/>
      <c r="AS244" s="658" t="n"/>
      <c r="AT244" s="658" t="n"/>
      <c r="AU244" s="658" t="n"/>
      <c r="AV244" s="658" t="n"/>
      <c r="AW244" s="658" t="n"/>
      <c r="AX244" s="658" t="n"/>
      <c r="AY244" s="658" t="n"/>
      <c r="AZ244" s="658" t="n"/>
      <c r="BA244" s="658" t="n"/>
    </row>
    <row r="245" ht="15" customFormat="1" customHeight="1" s="815">
      <c r="A245" s="2013" t="n"/>
      <c r="B245" s="344" t="n"/>
      <c r="C245" s="2917" t="n"/>
      <c r="D245" s="8439" t="inlineStr">
        <is>
          <t>•</t>
        </is>
      </c>
      <c r="E245" s="514" t="inlineStr">
        <is>
          <t>If   for</t>
        </is>
      </c>
      <c r="F245" s="11602" t="n"/>
      <c r="G245" s="10886">
        <f>LastYear</f>
        <v/>
      </c>
      <c r="I245" s="7772" t="inlineStr">
        <is>
          <t>you reported capital gain distributions directly on Form 1040 or 1040-SR,</t>
        </is>
      </c>
      <c r="J245" s="11602" t="n"/>
      <c r="K245" s="11602" t="n"/>
      <c r="L245" s="11602" t="n"/>
      <c r="M245" s="11602" t="n"/>
      <c r="N245" s="11602" t="n"/>
      <c r="O245" s="11602" t="n"/>
      <c r="P245" s="11602" t="n"/>
      <c r="Q245" s="11602" t="n"/>
      <c r="R245" s="11602" t="n"/>
      <c r="S245" s="11602" t="n"/>
      <c r="T245" s="11602" t="n"/>
      <c r="U245" s="11602" t="n"/>
      <c r="V245" s="11602" t="n"/>
      <c r="W245" s="11602" t="n"/>
      <c r="X245" s="11602" t="n"/>
      <c r="Y245" s="11602" t="n"/>
      <c r="Z245" s="11602" t="n"/>
      <c r="AA245" s="11602" t="n"/>
      <c r="AB245" s="11602" t="n"/>
      <c r="AC245" s="1401" t="n"/>
      <c r="AD245" s="7772" t="n"/>
      <c r="AE245" s="11602" t="n"/>
      <c r="AF245" s="11602" t="n"/>
      <c r="AG245" s="11602" t="n"/>
      <c r="AH245" s="11602" t="n"/>
      <c r="AI245" s="11602" t="n"/>
      <c r="AJ245" s="11602" t="n"/>
      <c r="AK245" s="2013" t="n"/>
      <c r="AL245" s="11602" t="n"/>
      <c r="AM245" s="5753" t="n"/>
      <c r="AN245" s="11602" t="n"/>
      <c r="AO245" s="5756" t="n"/>
      <c r="AP245" s="11602" t="n"/>
      <c r="AQ245" s="2201">
        <f>AND($AE$46&lt;&gt;"",$AE$46&gt;0,$AE$48&lt;&gt;"",$AE$48&gt;0)</f>
        <v/>
      </c>
      <c r="AR245" s="665" t="n"/>
      <c r="AS245" s="658" t="n"/>
      <c r="AT245" s="658" t="n"/>
      <c r="AU245" s="658" t="n"/>
      <c r="AV245" s="658" t="n"/>
      <c r="AW245" s="658" t="n"/>
      <c r="AX245" s="658" t="n"/>
      <c r="AY245" s="658" t="n"/>
      <c r="AZ245" s="658" t="n"/>
      <c r="BA245" s="658" t="n"/>
    </row>
    <row r="246" ht="15" customFormat="1" customHeight="1" s="815">
      <c r="A246" s="2013" t="n"/>
      <c r="B246" s="344" t="n"/>
      <c r="C246" s="2917" t="n"/>
      <c r="D246" s="7772" t="inlineStr">
        <is>
          <t>line 7; or you reported qualified dividends on Form 1040 or 1040-SR, line 3a; or you had a</t>
        </is>
      </c>
      <c r="E246" s="7772" t="n"/>
      <c r="F246" s="11602" t="n"/>
      <c r="G246" s="11602" t="n"/>
      <c r="H246" s="11602" t="n"/>
      <c r="I246" s="11602" t="n"/>
      <c r="J246" s="11602" t="n"/>
      <c r="K246" s="11602" t="n"/>
      <c r="L246" s="11602" t="n"/>
      <c r="M246" s="11602" t="n"/>
      <c r="N246" s="11602" t="n"/>
      <c r="O246" s="11602" t="n"/>
      <c r="P246" s="11602" t="n"/>
      <c r="Q246" s="11602" t="n"/>
      <c r="R246" s="11602" t="n"/>
      <c r="S246" s="11602" t="n"/>
      <c r="T246" s="11602" t="n"/>
      <c r="U246" s="11602" t="n"/>
      <c r="V246" s="11602" t="n"/>
      <c r="W246" s="1401" t="n"/>
      <c r="X246" s="11602" t="n"/>
      <c r="Y246" s="11602" t="n"/>
      <c r="Z246" s="11602" t="n"/>
      <c r="AA246" s="11602" t="n"/>
      <c r="AB246" s="11602" t="n"/>
      <c r="AC246" s="11602" t="n"/>
      <c r="AD246" s="7772" t="n"/>
      <c r="AE246" s="11602" t="n"/>
      <c r="AF246" s="11602" t="n"/>
      <c r="AG246" s="11602" t="n"/>
      <c r="AH246" s="11602" t="n"/>
      <c r="AI246" s="11602" t="n"/>
      <c r="AJ246" s="11602" t="n"/>
      <c r="AK246" s="2013" t="n"/>
      <c r="AL246" s="11602" t="n"/>
      <c r="AM246" s="5753" t="n"/>
      <c r="AN246" s="11602" t="n"/>
      <c r="AO246" s="5755" t="n"/>
      <c r="AP246" s="11602" t="n"/>
      <c r="AQ246" s="724">
        <f>AND(OR(AB235,AE235),OR(AQ243,AQ244,AQ245))</f>
        <v/>
      </c>
      <c r="AR246" s="665" t="n"/>
      <c r="AS246" s="658" t="n"/>
      <c r="AT246" s="658" t="n"/>
      <c r="AU246" s="658" t="n"/>
      <c r="AV246" s="658" t="n"/>
      <c r="AW246" s="658" t="n"/>
      <c r="AX246" s="658" t="n"/>
      <c r="AY246" s="658" t="n"/>
      <c r="AZ246" s="658" t="n"/>
      <c r="BA246" s="658" t="n"/>
    </row>
    <row r="247" ht="15.75" customFormat="1" customHeight="1" s="815" thickBot="1">
      <c r="A247" s="2013" t="n"/>
      <c r="B247" s="344" t="n"/>
      <c r="C247" s="2917" t="n"/>
      <c r="D247" s="7772" t="inlineStr">
        <is>
          <t xml:space="preserve">gain on both lines 15 and 16 of Schedule D (Form 1040), enter the amount from line 3 of </t>
        </is>
      </c>
      <c r="E247" s="7772" t="n"/>
      <c r="F247" s="11602" t="n"/>
      <c r="G247" s="11602" t="n"/>
      <c r="H247" s="11602" t="n"/>
      <c r="I247" s="11602" t="n"/>
      <c r="J247" s="11602" t="n"/>
      <c r="K247" s="11602" t="n"/>
      <c r="L247" s="11602" t="n"/>
      <c r="M247" s="11602" t="n"/>
      <c r="N247" s="11602" t="n"/>
      <c r="O247" s="11602" t="n"/>
      <c r="P247" s="11602" t="n"/>
      <c r="Q247" s="11602" t="n"/>
      <c r="R247" s="11602" t="n"/>
      <c r="S247" s="11602" t="n"/>
      <c r="T247" s="11602" t="n"/>
      <c r="U247" s="11602" t="n"/>
      <c r="V247" s="11602" t="n"/>
      <c r="W247" s="11602" t="n"/>
      <c r="X247" s="11602" t="n"/>
      <c r="Y247" s="11602" t="n"/>
      <c r="Z247" s="11602" t="n"/>
      <c r="AA247" s="11602" t="n"/>
      <c r="AB247" s="11602" t="n"/>
      <c r="AC247" s="1401" t="n"/>
      <c r="AD247" s="7772" t="n"/>
      <c r="AE247" s="10923">
        <f>AE242=""</f>
        <v/>
      </c>
      <c r="AF247" s="26" t="n"/>
      <c r="AG247" s="26" t="n"/>
      <c r="AH247" s="26" t="n"/>
      <c r="AI247" s="26" t="n"/>
      <c r="AJ247" s="26" t="n"/>
      <c r="AK247" s="2013" t="n"/>
      <c r="AL247" s="11602" t="n"/>
      <c r="AM247" s="5754" t="n"/>
      <c r="AN247" s="11602" t="n"/>
      <c r="AO247" s="5755" t="n"/>
      <c r="AP247" s="11602" t="n"/>
      <c r="AQ247" s="11602" t="n"/>
      <c r="AR247" s="658" t="n"/>
      <c r="AS247" s="658" t="n"/>
      <c r="AT247" s="658" t="n"/>
      <c r="AU247" s="658" t="n"/>
      <c r="AV247" s="658" t="n"/>
      <c r="AW247" s="658" t="n"/>
      <c r="AX247" s="658" t="n"/>
      <c r="AY247" s="658" t="n"/>
      <c r="AZ247" s="658" t="n"/>
      <c r="BA247" s="658" t="n"/>
    </row>
    <row r="248" ht="15" customFormat="1" customHeight="1" s="815" thickBot="1">
      <c r="A248" s="2013" t="n"/>
      <c r="B248" s="344" t="n"/>
      <c r="C248" s="2917" t="n"/>
      <c r="D248" s="7772" t="inlineStr">
        <is>
          <t>this worksheet on Form 8801, line 27. Complete the rest of Part III of Form 8801. However,</t>
        </is>
      </c>
      <c r="E248" s="7772" t="n"/>
      <c r="F248" s="11602" t="n"/>
      <c r="G248" s="11602" t="n"/>
      <c r="H248" s="11602" t="n"/>
      <c r="I248" s="11602" t="n"/>
      <c r="J248" s="11602" t="n"/>
      <c r="K248" s="512" t="n"/>
      <c r="L248" s="512" t="n"/>
      <c r="M248" s="512" t="n"/>
      <c r="N248" s="512" t="n"/>
      <c r="O248" s="512" t="n"/>
      <c r="P248" s="512" t="n"/>
      <c r="Q248" s="11602" t="n"/>
      <c r="R248" s="11602" t="n"/>
      <c r="S248" s="11602" t="n"/>
      <c r="T248" s="11602" t="n"/>
      <c r="U248" s="11602" t="n"/>
      <c r="V248" s="11602" t="n"/>
      <c r="W248" s="11602" t="n"/>
      <c r="X248" s="11602" t="n"/>
      <c r="Y248" s="11602" t="n"/>
      <c r="Z248" s="11602" t="n"/>
      <c r="AA248" s="11602" t="n"/>
      <c r="AB248" s="11602" t="n"/>
      <c r="AC248" s="11602" t="n"/>
      <c r="AD248" s="5735" t="inlineStr">
        <is>
          <t>4.</t>
        </is>
      </c>
      <c r="AE248" s="10889">
        <f>IF(AM248&lt;&gt;"",ROUND(AM248,0),IF(OR(AE247,AND($AL$76="",$AQ$83=0),NOT(AE235)),"",AQ248))</f>
        <v/>
      </c>
      <c r="AF248" s="7637" t="n"/>
      <c r="AG248" s="7637" t="n"/>
      <c r="AH248" s="7637" t="n"/>
      <c r="AI248" s="7637" t="n"/>
      <c r="AJ248" s="7637" t="n"/>
      <c r="AK248" s="2013" t="n"/>
      <c r="AL248" s="11602" t="n"/>
      <c r="AM248" s="5719" t="n"/>
      <c r="AN248" s="1806" t="n"/>
      <c r="AO248" s="2013" t="n"/>
      <c r="AP248" s="11602" t="n"/>
      <c r="AQ248" s="1193">
        <f>IF(OR(NOT(AE235),$AQ$83=0),0,IF(AND($AQ$83=3&lt;&gt;"",AE243&lt;=$AQ$114),ROUND(AE243*$AQ$115,0),IF(AE243&lt;=$AQ$113,ROUND(AE243*$AQ$115,0),IF($AQ$83=3,SUM(ROUND(AE243*$AQ$118,0),-$AQ$117),SUM(ROUND(AE243*$AQ$118,0)-$AQ$116)))))</f>
        <v/>
      </c>
      <c r="AR248" s="658" t="n"/>
      <c r="AS248" s="658" t="n"/>
      <c r="AT248" s="658" t="n"/>
      <c r="AU248" s="658" t="n"/>
      <c r="AV248" s="658" t="n"/>
      <c r="AW248" s="658" t="n"/>
      <c r="AX248" s="658" t="n"/>
      <c r="AY248" s="658" t="n"/>
      <c r="AZ248" s="658" t="n"/>
      <c r="BA248" s="658" t="n"/>
    </row>
    <row r="249" ht="15" customFormat="1" customHeight="1" s="815">
      <c r="A249" s="2013" t="n"/>
      <c r="B249" s="344" t="n"/>
      <c r="C249" s="11216" t="n"/>
      <c r="D249" s="7772" t="inlineStr">
        <is>
          <t>before completing Part III, see Form 2555, later, to see if you must complete Part III with</t>
        </is>
      </c>
      <c r="E249" s="7772" t="n"/>
      <c r="F249" s="11602" t="n"/>
      <c r="G249" s="11602" t="n"/>
      <c r="H249" s="11602" t="n"/>
      <c r="I249" s="11602" t="n"/>
      <c r="J249" s="11602" t="n"/>
      <c r="K249" s="512" t="n"/>
      <c r="L249" s="512" t="n"/>
      <c r="M249" s="512" t="n"/>
      <c r="N249" s="512" t="n"/>
      <c r="O249" s="512" t="n"/>
      <c r="P249" s="512" t="n"/>
      <c r="Q249" s="11602" t="n"/>
      <c r="R249" s="11602" t="n"/>
      <c r="S249" s="11602" t="n"/>
      <c r="T249" s="11602" t="n"/>
      <c r="U249" s="11602" t="n"/>
      <c r="V249" s="11602" t="n"/>
      <c r="W249" s="11602" t="n"/>
      <c r="X249" s="11602" t="n"/>
      <c r="Y249" s="11602" t="n"/>
      <c r="Z249" s="11602" t="n"/>
      <c r="AA249" s="11602" t="n"/>
      <c r="AB249" s="11602" t="n"/>
      <c r="AC249" s="11602" t="n"/>
      <c r="AD249" s="7772" t="n"/>
      <c r="AE249" s="11602" t="n"/>
      <c r="AF249" s="11602" t="n"/>
      <c r="AG249" s="11602" t="n"/>
      <c r="AH249" s="11602" t="n"/>
      <c r="AI249" s="11602" t="n"/>
      <c r="AJ249" s="11602" t="n"/>
      <c r="AK249" s="2013" t="n"/>
      <c r="AL249" s="11602" t="n"/>
      <c r="AM249" s="11602" t="n"/>
      <c r="AN249" s="11602" t="n"/>
      <c r="AO249" s="2013" t="n"/>
      <c r="AP249" s="11602" t="n"/>
      <c r="AQ249" s="1193" t="n"/>
      <c r="AR249" s="658" t="n"/>
      <c r="AS249" s="658" t="n"/>
      <c r="AT249" s="658" t="n"/>
      <c r="AU249" s="658" t="n"/>
      <c r="AV249" s="658" t="n"/>
      <c r="AW249" s="658" t="n"/>
      <c r="AX249" s="658" t="n"/>
      <c r="AY249" s="658" t="n"/>
      <c r="AZ249" s="658" t="n"/>
      <c r="BA249" s="658" t="n"/>
    </row>
    <row r="250" ht="15.75" customFormat="1" customHeight="1" s="815">
      <c r="A250" s="2013" t="n"/>
      <c r="B250" s="344" t="n"/>
      <c r="C250" s="4478" t="n"/>
      <c r="D250" s="7772" t="inlineStr">
        <is>
          <t>certain modifications. Then enter the amount from Form 8801, line 55, here.</t>
        </is>
      </c>
      <c r="E250" s="7772" t="n"/>
      <c r="F250" s="7772" t="n"/>
      <c r="G250" s="7772" t="n"/>
      <c r="H250" s="7772" t="n"/>
      <c r="I250" s="7772" t="n"/>
      <c r="J250" s="7772" t="n"/>
      <c r="K250" s="7772" t="n"/>
      <c r="L250" s="7772" t="n"/>
      <c r="M250" s="7772" t="n"/>
      <c r="N250" s="7772" t="n"/>
      <c r="O250" s="7772" t="n"/>
      <c r="P250" s="7772" t="n"/>
      <c r="Q250" s="7772" t="n"/>
      <c r="R250" s="7772" t="n"/>
      <c r="S250" s="7772" t="n"/>
      <c r="T250" s="7772" t="n"/>
      <c r="U250" s="7772" t="n"/>
      <c r="V250" s="7772" t="n"/>
      <c r="W250" s="7772" t="n"/>
      <c r="X250" s="7772" t="n"/>
      <c r="Y250" s="7772" t="n"/>
      <c r="Z250" s="7772" t="n"/>
      <c r="AA250" s="7772" t="n"/>
      <c r="AB250" s="7772" t="n"/>
      <c r="AC250" s="7772" t="n"/>
      <c r="AD250" s="7772" t="n"/>
      <c r="AE250" s="2445" t="n"/>
      <c r="AF250" s="2445" t="n"/>
      <c r="AG250" s="2445" t="n"/>
      <c r="AH250" s="2445" t="n"/>
      <c r="AI250" s="2445" t="n"/>
      <c r="AJ250" s="2445" t="n"/>
      <c r="AK250" s="2013" t="n"/>
      <c r="AL250" s="11602" t="n"/>
      <c r="AM250" s="11602" t="n"/>
      <c r="AN250" s="11602" t="n"/>
      <c r="AO250" s="2013" t="n"/>
      <c r="AP250" s="11602" t="n"/>
      <c r="AQ250" s="11602" t="n"/>
      <c r="AR250" s="658" t="n"/>
      <c r="AS250" s="658" t="n"/>
      <c r="AT250" s="658" t="n"/>
      <c r="AU250" s="658" t="n"/>
      <c r="AV250" s="658" t="n"/>
      <c r="AW250" s="658" t="n"/>
      <c r="AX250" s="658" t="n"/>
      <c r="AY250" s="658" t="n"/>
      <c r="AZ250" s="658" t="n"/>
      <c r="BA250" s="658" t="n"/>
    </row>
    <row r="251" ht="14.25" customFormat="1" customHeight="1" s="815">
      <c r="A251" s="2013" t="n"/>
      <c r="B251" s="8914" t="n"/>
      <c r="D251" s="8439" t="inlineStr">
        <is>
          <t>•</t>
        </is>
      </c>
      <c r="E251" s="514" t="inlineStr">
        <is>
          <t>All others:</t>
        </is>
      </c>
      <c r="F251" s="11602" t="n"/>
      <c r="G251" s="7772" t="n"/>
      <c r="H251" s="7772">
        <f>"If line 3 is "&amp;TEXT($AQ$113,"$0,000")&amp;" or less ("&amp;TEXT($AQ$114,"$0,000")&amp;" or less if married filing separately for "&amp;LastYear&amp;"),"</f>
        <v/>
      </c>
      <c r="I251" s="11602" t="n"/>
      <c r="J251" s="11602" t="n"/>
      <c r="K251" s="512" t="n"/>
      <c r="L251" s="512" t="n"/>
      <c r="M251" s="512" t="n"/>
      <c r="N251" s="512" t="n"/>
      <c r="O251" s="512" t="n"/>
      <c r="P251" s="512" t="n"/>
      <c r="Q251" s="11602" t="n"/>
      <c r="R251" s="11602" t="n"/>
      <c r="S251" s="11602" t="n"/>
      <c r="T251" s="11602" t="n"/>
      <c r="U251" s="11602" t="n"/>
      <c r="V251" s="11602" t="n"/>
      <c r="W251" s="11602" t="n"/>
      <c r="X251" s="11602" t="n"/>
      <c r="Y251" s="11602" t="n"/>
      <c r="Z251" s="7788" t="n"/>
      <c r="AA251" s="11602" t="n"/>
      <c r="AB251" s="7788" t="n"/>
      <c r="AC251" s="7899" t="n"/>
      <c r="AD251" s="11602" t="n"/>
      <c r="AE251" s="11602" t="n"/>
      <c r="AF251" s="11602" t="n"/>
      <c r="AG251" s="11602" t="n"/>
      <c r="AH251" s="11602" t="n"/>
      <c r="AI251" s="11602" t="n"/>
      <c r="AJ251" s="11602" t="n"/>
      <c r="AK251" s="2013" t="n"/>
      <c r="AL251" s="11602" t="n"/>
      <c r="AM251" s="11602" t="n"/>
      <c r="AN251" s="11602" t="n"/>
      <c r="AO251" s="2013" t="n"/>
      <c r="AP251" s="11602" t="n"/>
      <c r="AQ251" s="1193">
        <f>IF(AE243="",0,ROUND(AE243*$AQ$115,0))</f>
        <v/>
      </c>
      <c r="AR251" s="658" t="n"/>
      <c r="AS251" s="658" t="n"/>
      <c r="AT251" s="658" t="n"/>
      <c r="AU251" s="658" t="n"/>
      <c r="AV251" s="658" t="n"/>
      <c r="AW251" s="658" t="n"/>
      <c r="AX251" s="658" t="n"/>
      <c r="AY251" s="658" t="n"/>
      <c r="AZ251" s="658" t="n"/>
      <c r="BA251" s="658" t="n"/>
    </row>
    <row r="252" ht="14.25" customFormat="1" customHeight="1" s="815">
      <c r="A252" s="2013" t="n"/>
      <c r="B252" s="11602" t="n"/>
      <c r="C252" s="2917" t="n"/>
      <c r="D252" s="7772">
        <f>"multiply line 3 by "&amp;TEXT($AQ$115,"0%")&amp;" ("&amp;TEXT($AQ$115,"0.00")&amp;"). Otherwise, multiply line 3 by "&amp;TEXT($AQ$118,"0%")&amp;" ("&amp;TEXT($AQ$118,"0.00")&amp;") and subtract "&amp;TEXT($AQ$116,"$0,000")</f>
        <v/>
      </c>
      <c r="E252" s="7772" t="n"/>
      <c r="F252" s="11602" t="n"/>
      <c r="G252" s="11602" t="n"/>
      <c r="H252" s="11602" t="n"/>
      <c r="I252" s="11602" t="n"/>
      <c r="J252" s="11602" t="n"/>
      <c r="K252" s="512" t="n"/>
      <c r="L252" s="512" t="n"/>
      <c r="M252" s="512" t="n"/>
      <c r="N252" s="512" t="n"/>
      <c r="O252" s="512" t="n"/>
      <c r="P252" s="512" t="n"/>
      <c r="Q252" s="11602" t="n"/>
      <c r="R252" s="11602" t="n"/>
      <c r="S252" s="11602" t="n"/>
      <c r="T252" s="11602" t="n"/>
      <c r="U252" s="11602" t="n"/>
      <c r="V252" s="11602" t="n"/>
      <c r="W252" s="11602" t="n"/>
      <c r="X252" s="11602" t="n"/>
      <c r="Y252" s="11602" t="n"/>
      <c r="Z252" s="11602" t="n"/>
      <c r="AA252" s="11602" t="n"/>
      <c r="AB252" s="11602" t="n"/>
      <c r="AC252" s="11602" t="n"/>
      <c r="AD252" s="11602" t="n"/>
      <c r="AE252" s="11602" t="n"/>
      <c r="AF252" s="11602" t="n"/>
      <c r="AG252" s="11602" t="n"/>
      <c r="AH252" s="11602" t="n"/>
      <c r="AI252" s="11602" t="n"/>
      <c r="AJ252" s="11602" t="n"/>
      <c r="AK252" s="2013" t="n"/>
      <c r="AL252" s="11602" t="n"/>
      <c r="AM252" s="11602" t="n"/>
      <c r="AN252" s="11602" t="n"/>
      <c r="AO252" s="2013" t="n"/>
      <c r="AP252" s="11602" t="n"/>
      <c r="AQ252" s="1193">
        <f>IF(AE243="",0,SUM(ROUND(AE243*$AQ$118,0),-$AQ$116))</f>
        <v/>
      </c>
      <c r="AR252" s="658" t="n"/>
      <c r="AS252" s="658" t="n"/>
      <c r="AT252" s="658" t="n"/>
      <c r="AU252" s="658" t="n"/>
      <c r="AV252" s="658" t="n"/>
      <c r="AW252" s="658" t="n"/>
      <c r="AX252" s="658" t="n"/>
      <c r="AY252" s="658" t="n"/>
      <c r="AZ252" s="658" t="n"/>
      <c r="BA252" s="658" t="n"/>
    </row>
    <row r="253" ht="14.25" customFormat="1" customHeight="1" s="815">
      <c r="A253" s="2013" t="n"/>
      <c r="B253" s="11602" t="n"/>
      <c r="C253" s="2917" t="n"/>
      <c r="D253" s="7772">
        <f>"("&amp;TEXT($AQ$117,"$0,000")&amp;" if married filing separately for "&amp;LastYear&amp;") from the result."</f>
        <v/>
      </c>
      <c r="E253" s="7772" t="n"/>
      <c r="F253" s="11602" t="n"/>
      <c r="G253" s="11602" t="n"/>
      <c r="H253" s="11602" t="n"/>
      <c r="I253" s="11602" t="n"/>
      <c r="J253" s="11602" t="n"/>
      <c r="K253" s="512" t="n"/>
      <c r="L253" s="512" t="n"/>
      <c r="M253" s="512" t="n"/>
      <c r="N253" s="512" t="n"/>
      <c r="O253" s="512" t="n"/>
      <c r="P253" s="512" t="n"/>
      <c r="Q253" s="11602" t="n"/>
      <c r="R253" s="11602" t="n"/>
      <c r="S253" s="11602" t="n"/>
      <c r="T253" s="11602" t="n"/>
      <c r="U253" s="11602" t="n"/>
      <c r="V253" s="11602" t="n"/>
      <c r="W253" s="11602" t="n"/>
      <c r="X253" s="11602" t="n"/>
      <c r="Y253" s="11602" t="n"/>
      <c r="Z253" s="11602" t="n"/>
      <c r="AA253" s="11602" t="n"/>
      <c r="AB253" s="11602" t="n"/>
      <c r="AC253" s="11602" t="n"/>
      <c r="AD253" s="11602" t="n"/>
      <c r="AE253" s="11602" t="n"/>
      <c r="AF253" s="11602" t="n"/>
      <c r="AG253" s="11602" t="n"/>
      <c r="AH253" s="11602" t="n"/>
      <c r="AI253" s="11602" t="n"/>
      <c r="AJ253" s="11602" t="n"/>
      <c r="AK253" s="2013" t="n"/>
      <c r="AL253" s="512" t="n"/>
      <c r="AM253" s="11602" t="n"/>
      <c r="AN253" s="11602" t="n"/>
      <c r="AO253" s="2013" t="n"/>
      <c r="AP253" s="11602" t="n"/>
      <c r="AQ253" s="1193">
        <f>IF(AE243="",0,SUM(ROUND(AE243*$AQ$118,0),-$AQ$117))</f>
        <v/>
      </c>
      <c r="AR253" s="658" t="n"/>
      <c r="AS253" s="658" t="n"/>
      <c r="AT253" s="658" t="n"/>
      <c r="AU253" s="658" t="n"/>
      <c r="AV253" s="658" t="n"/>
      <c r="AW253" s="658" t="n"/>
      <c r="AX253" s="658" t="n"/>
      <c r="AY253" s="658" t="n"/>
      <c r="AZ253" s="658" t="n"/>
      <c r="BA253" s="658" t="n"/>
    </row>
    <row r="254" ht="15.75" customFormat="1" customHeight="1" s="815">
      <c r="A254" s="2013" t="n"/>
      <c r="B254" s="5425" t="n"/>
      <c r="C254" s="5735" t="inlineStr">
        <is>
          <t>5.</t>
        </is>
      </c>
      <c r="D254" s="342" t="inlineStr">
        <is>
          <t>Tax on the amount on line 2c.</t>
        </is>
      </c>
      <c r="E254" s="7772" t="n"/>
      <c r="F254" s="7772" t="n"/>
      <c r="G254" s="2445" t="n"/>
      <c r="H254" s="2445" t="n"/>
      <c r="I254" s="2445" t="n"/>
      <c r="J254" s="2445" t="n"/>
      <c r="K254" s="2445" t="n"/>
      <c r="L254" s="2445" t="n"/>
      <c r="M254" s="7772">
        <f>"If line 2c is "&amp;TEXT($AQ$113,"$0,000")&amp;" or less ("&amp;TEXT($AQ$114,"$0,000")&amp;" or less if married filing"</f>
        <v/>
      </c>
      <c r="N254" s="2445" t="n"/>
      <c r="O254" s="2445" t="n"/>
      <c r="P254" s="2445" t="n"/>
      <c r="Q254" s="2445" t="n"/>
      <c r="R254" s="2445" t="n"/>
      <c r="S254" s="2445" t="n"/>
      <c r="T254" s="2445" t="n"/>
      <c r="U254" s="2445" t="n"/>
      <c r="V254" s="2445" t="n"/>
      <c r="W254" s="2445" t="n"/>
      <c r="X254" s="2445" t="n"/>
      <c r="Y254" s="2445" t="n"/>
      <c r="Z254" s="2445" t="n"/>
      <c r="AA254" s="2445" t="n"/>
      <c r="AB254" s="2445" t="n"/>
      <c r="AC254" s="2445" t="n"/>
      <c r="AD254" s="2445" t="n"/>
      <c r="AE254" s="2445" t="n"/>
      <c r="AF254" s="2445" t="n"/>
      <c r="AG254" s="2445" t="n"/>
      <c r="AH254" s="2445" t="n"/>
      <c r="AI254" s="2445" t="n"/>
      <c r="AJ254" s="2445" t="n"/>
      <c r="AK254" s="2013" t="n"/>
      <c r="AL254" s="11602" t="n"/>
      <c r="AM254" s="11602" t="n"/>
      <c r="AN254" s="11602" t="n"/>
      <c r="AO254" s="2013" t="n"/>
      <c r="AP254" s="11602" t="n"/>
      <c r="AQ254" s="11602" t="n"/>
      <c r="AR254" s="658" t="n"/>
      <c r="AS254" s="658" t="n"/>
      <c r="AT254" s="658" t="n"/>
      <c r="AU254" s="658" t="n"/>
      <c r="AV254" s="658" t="n"/>
      <c r="AW254" s="658" t="n"/>
      <c r="AX254" s="658" t="n"/>
      <c r="AY254" s="658" t="n"/>
      <c r="AZ254" s="658" t="n"/>
      <c r="BA254" s="658" t="n"/>
    </row>
    <row r="255" ht="16.5" customFormat="1" customHeight="1" s="815" thickBot="1">
      <c r="A255" s="2013" t="n"/>
      <c r="B255" s="5014" t="n"/>
      <c r="C255" s="4478" t="n"/>
      <c r="D255" s="7772">
        <f>"separately for "&amp;LastYear&amp;"), multiply line 2c by "&amp;TEXT($AQ$115,"0%")&amp;" ("&amp;TEXT($AQ$115,"0.00")&amp;"). Otherwise, multiply line 2c by "&amp;TEXT($AQ$118,"0%")&amp;" ("&amp;TEXT($AQ$118,"0.00")&amp;") and"</f>
        <v/>
      </c>
      <c r="E255" s="7772" t="n"/>
      <c r="F255" s="7772" t="n"/>
      <c r="G255" s="7772" t="n"/>
      <c r="H255" s="7772" t="n"/>
      <c r="I255" s="7772" t="n"/>
      <c r="J255" s="7772" t="n"/>
      <c r="K255" s="7772" t="n"/>
      <c r="L255" s="7772" t="n"/>
      <c r="M255" s="7772" t="n"/>
      <c r="N255" s="7772" t="n"/>
      <c r="O255" s="7772" t="n"/>
      <c r="P255" s="7772" t="n"/>
      <c r="Q255" s="7772" t="n"/>
      <c r="R255" s="7772" t="n"/>
      <c r="S255" s="7772" t="n"/>
      <c r="T255" s="7772" t="n"/>
      <c r="U255" s="7772" t="n"/>
      <c r="V255" s="7772" t="n"/>
      <c r="W255" s="7772" t="n"/>
      <c r="X255" s="7772" t="n"/>
      <c r="Y255" s="7772" t="n"/>
      <c r="Z255" s="7772" t="n"/>
      <c r="AA255" s="7772" t="n"/>
      <c r="AB255" s="7772" t="n"/>
      <c r="AC255" s="7772" t="n"/>
      <c r="AD255" s="7772" t="n"/>
      <c r="AE255" s="2445" t="n"/>
      <c r="AF255" s="2445" t="n"/>
      <c r="AG255" s="2445" t="n"/>
      <c r="AH255" s="2445" t="n"/>
      <c r="AI255" s="2445" t="n"/>
      <c r="AJ255" s="2445" t="n"/>
      <c r="AK255" s="2013" t="n"/>
      <c r="AL255" s="11602" t="n"/>
      <c r="AM255" s="11602" t="n"/>
      <c r="AN255" s="11602" t="n"/>
      <c r="AO255" s="2013" t="n"/>
      <c r="AP255" s="11602" t="n"/>
      <c r="AQ255" s="411" t="n"/>
      <c r="AR255" s="658" t="n"/>
      <c r="AS255" s="658" t="n"/>
      <c r="AT255" s="658" t="n"/>
      <c r="AU255" s="658" t="n"/>
      <c r="AV255" s="658" t="n"/>
      <c r="AW255" s="658" t="n"/>
      <c r="AX255" s="658" t="n"/>
      <c r="AY255" s="658" t="n"/>
      <c r="AZ255" s="658" t="n"/>
      <c r="BA255" s="658" t="n"/>
    </row>
    <row r="256" ht="16.5" customFormat="1" customHeight="1" s="815" thickBot="1">
      <c r="A256" s="2013" t="n"/>
      <c r="B256" s="5014" t="n"/>
      <c r="C256" s="4478" t="n"/>
      <c r="D256" s="7772">
        <f>"subtract "&amp;TEXT($AQ$116,"$0,000")&amp;" ("&amp;TEXT($AQ$117,"$0,000")&amp;" if married filing separately for "&amp;LastYear&amp;") from the result."</f>
        <v/>
      </c>
      <c r="E256" s="7772" t="n"/>
      <c r="F256" s="7772" t="n"/>
      <c r="G256" s="7772" t="n"/>
      <c r="H256" s="7772" t="n"/>
      <c r="I256" s="7772" t="n"/>
      <c r="J256" s="7772" t="n"/>
      <c r="K256" s="7772" t="n"/>
      <c r="L256" s="7772" t="n"/>
      <c r="M256" s="7772" t="n"/>
      <c r="N256" s="7772" t="n"/>
      <c r="O256" s="7772" t="n"/>
      <c r="P256" s="7772" t="n"/>
      <c r="Q256" s="7772" t="n"/>
      <c r="R256" s="7772" t="n"/>
      <c r="S256" s="7772" t="n"/>
      <c r="T256" s="7772" t="n"/>
      <c r="U256" s="7772" t="n"/>
      <c r="V256" s="7772" t="n"/>
      <c r="W256" s="7772" t="n"/>
      <c r="X256" s="1401" t="n"/>
      <c r="Y256" s="7772" t="n"/>
      <c r="Z256" s="7772" t="n"/>
      <c r="AA256" s="7772" t="n"/>
      <c r="AB256" s="7772" t="n"/>
      <c r="AC256" s="1401" t="inlineStr">
        <is>
          <t xml:space="preserve">.   .   .   .   .   .   .   .   .   .   .   . </t>
        </is>
      </c>
      <c r="AD256" s="5735" t="inlineStr">
        <is>
          <t>5.</t>
        </is>
      </c>
      <c r="AE256" s="10889">
        <f>IF(AM256&lt;&gt;"",ROUND(AM256,0),IF(NOT(AE235),"",AQ256))</f>
        <v/>
      </c>
      <c r="AF256" s="7637" t="n"/>
      <c r="AG256" s="7637" t="n"/>
      <c r="AH256" s="7637" t="n"/>
      <c r="AI256" s="7637" t="n"/>
      <c r="AJ256" s="7637" t="n"/>
      <c r="AK256" s="2013" t="n"/>
      <c r="AL256" s="11602" t="n"/>
      <c r="AM256" s="5719" t="n"/>
      <c r="AN256" s="11602" t="n"/>
      <c r="AO256" s="2013" t="n"/>
      <c r="AP256" s="11602" t="n"/>
      <c r="AQ256" s="1193">
        <f>IF(AE242="",0,IF(AND($AQ$83=3&lt;&gt;"",AE242&lt;=$AQ$114),ROUND(AE242*$AQ$115,0),IF(AE242&lt;=$AQ$113,ROUND(AE242*$AQ$115,0),IF($AQ$83=3,SUM(ROUND(AE242*$AQ$118,0),-$AQ$117),SUM(ROUND(AE242*$AQ$118,0)-$AQ$116)))))</f>
        <v/>
      </c>
      <c r="AR256" s="658" t="n"/>
      <c r="AS256" s="658" t="n"/>
      <c r="AT256" s="658" t="n"/>
      <c r="AU256" s="658" t="n"/>
      <c r="AV256" s="658" t="n"/>
      <c r="AW256" s="658" t="n"/>
      <c r="AX256" s="658" t="n"/>
      <c r="AY256" s="658" t="n"/>
      <c r="AZ256" s="658" t="n"/>
      <c r="BA256" s="658" t="n"/>
    </row>
    <row r="257" ht="21.75" customFormat="1" customHeight="1" s="1239" thickBot="1">
      <c r="A257" s="2306" t="n"/>
      <c r="B257" s="5425" t="n"/>
      <c r="C257" s="5735" t="inlineStr">
        <is>
          <t>6.</t>
        </is>
      </c>
      <c r="D257" s="2311" t="inlineStr">
        <is>
          <t>Subtract line 5 from line 4. Enter the result here and on Form 8801, line 11</t>
        </is>
      </c>
      <c r="E257" s="516" t="n"/>
      <c r="F257" s="516" t="n"/>
      <c r="G257" s="2617" t="n"/>
      <c r="H257" s="2617" t="n"/>
      <c r="I257" s="2617" t="n"/>
      <c r="J257" s="2617" t="n"/>
      <c r="K257" s="2617" t="n"/>
      <c r="L257" s="2617" t="n"/>
      <c r="M257" s="2617" t="n"/>
      <c r="N257" s="2617" t="n"/>
      <c r="O257" s="2617" t="n"/>
      <c r="P257" s="2617" t="n"/>
      <c r="Q257" s="182" t="n"/>
      <c r="R257" s="182" t="n"/>
      <c r="S257" s="182" t="n"/>
      <c r="T257" s="182" t="n"/>
      <c r="U257" s="3268" t="n"/>
      <c r="V257" s="182" t="n"/>
      <c r="W257" s="3268" t="n"/>
      <c r="X257" s="1401" t="inlineStr">
        <is>
          <t xml:space="preserve"> .   .   .   . </t>
        </is>
      </c>
      <c r="Y257" s="182" t="n"/>
      <c r="Z257" s="182" t="n"/>
      <c r="AA257" s="182" t="n"/>
      <c r="AB257" s="182" t="n"/>
      <c r="AC257" s="1401" t="inlineStr">
        <is>
          <t xml:space="preserve">.   .   .   .   .   .   .   .   .   .   .   . </t>
        </is>
      </c>
      <c r="AD257" s="5735" t="inlineStr">
        <is>
          <t>6.</t>
        </is>
      </c>
      <c r="AE257" s="10889">
        <f>IF(AM248&lt;&gt;"",ROUND(AM248,0),IF(OR(AE247,AND($AL$76="",$AQ$83=0),NOT(AE235)),"",SUM(AE248,-AE256)))</f>
        <v/>
      </c>
      <c r="AF257" s="7637" t="n"/>
      <c r="AG257" s="7637" t="n"/>
      <c r="AH257" s="7637" t="n"/>
      <c r="AI257" s="7637" t="n"/>
      <c r="AJ257" s="7637" t="n"/>
      <c r="AK257" s="2306" t="n"/>
      <c r="AL257" s="411" t="n"/>
      <c r="AM257" s="5719" t="n"/>
      <c r="AN257" s="411" t="n"/>
      <c r="AO257" s="2306" t="n"/>
      <c r="AP257" s="411" t="n"/>
      <c r="AQ257" s="1193" t="n"/>
      <c r="AR257" s="665" t="n"/>
      <c r="AS257" s="665" t="n"/>
      <c r="AT257" s="665" t="n"/>
      <c r="AU257" s="665" t="n"/>
      <c r="AV257" s="665" t="n"/>
      <c r="AW257" s="665" t="n"/>
      <c r="AX257" s="665" t="n"/>
      <c r="AY257" s="665" t="n"/>
      <c r="AZ257" s="665" t="n"/>
      <c r="BA257" s="665" t="n"/>
      <c r="BB257" s="9864" t="n"/>
      <c r="BC257" s="9864" t="n"/>
    </row>
    <row r="258" ht="18" customFormat="1" customHeight="1" s="815" thickBot="1">
      <c r="A258" s="2013" t="n"/>
      <c r="B258" s="380" t="n"/>
      <c r="C258" s="4225" t="n"/>
      <c r="D258" s="380" t="n"/>
      <c r="E258" s="380" t="n"/>
      <c r="F258" s="380" t="n"/>
      <c r="G258" s="380" t="n"/>
      <c r="H258" s="380" t="n"/>
      <c r="I258" s="380" t="n"/>
      <c r="J258" s="380" t="n"/>
      <c r="K258" s="380" t="n"/>
      <c r="L258" s="380" t="n"/>
      <c r="M258" s="380" t="n"/>
      <c r="N258" s="380" t="n"/>
      <c r="O258" s="380" t="n"/>
      <c r="P258" s="380" t="n"/>
      <c r="Q258" s="380" t="n"/>
      <c r="R258" s="380" t="n"/>
      <c r="S258" s="380" t="n"/>
      <c r="T258" s="380" t="n"/>
      <c r="U258" s="380" t="n"/>
      <c r="V258" s="380" t="n"/>
      <c r="W258" s="380" t="n"/>
      <c r="X258" s="380" t="n"/>
      <c r="Y258" s="380" t="n"/>
      <c r="Z258" s="380" t="n"/>
      <c r="AA258" s="380" t="n"/>
      <c r="AB258" s="380" t="n"/>
      <c r="AC258" s="380" t="n"/>
      <c r="AD258" s="380" t="n"/>
      <c r="AE258" s="380" t="n"/>
      <c r="AF258" s="380" t="n"/>
      <c r="AG258" s="380" t="n"/>
      <c r="AH258" s="380" t="n"/>
      <c r="AI258" s="5725" t="n"/>
      <c r="AJ258" s="8622" t="n"/>
      <c r="AK258" s="2013" t="n"/>
      <c r="AL258" s="11602" t="n"/>
      <c r="AM258" s="11602" t="n"/>
      <c r="AN258" s="11602" t="n"/>
      <c r="AO258" s="2013" t="n"/>
      <c r="AP258" s="11602" t="n"/>
      <c r="AQ258" s="11602" t="n"/>
      <c r="AR258" s="658" t="n"/>
      <c r="AS258" s="658" t="n"/>
      <c r="AT258" s="658" t="n"/>
      <c r="AU258" s="658" t="n"/>
      <c r="AV258" s="658" t="n"/>
      <c r="AW258" s="658" t="n"/>
      <c r="AX258" s="658" t="n"/>
      <c r="AY258" s="658" t="n"/>
      <c r="AZ258" s="658" t="n"/>
      <c r="BA258" s="658" t="n"/>
    </row>
  </sheetData>
  <sheetProtection selectLockedCells="0" selectUnlockedCells="0" algorithmName="SHA-512" sheet="1" objects="1" insertRows="1" insertHyperlinks="1" autoFilter="1" scenarios="1" formatColumns="0" deleteColumns="1" insertColumns="1" pivotTables="1" deleteRows="1" formatCells="0" saltValue="S+P8Do0y1uMuSQfN/gGtQg==" formatRows="0" sort="1" spinCount="100000" hashValue="lpd5y5CA12AMl8BNq+hJbWv8KSZ+U8J6ks11f2WCOAT3ZDZOLF2B0nZhezq3gIKhnLSjMGcsmkRmFWtSz2a3tQ=="/>
  <mergeCells count="212">
    <mergeCell ref="AE173:AJ173"/>
    <mergeCell ref="AE130:AJ130"/>
    <mergeCell ref="AE213:AJ213"/>
    <mergeCell ref="AE42:AJ42"/>
    <mergeCell ref="I71:AB72"/>
    <mergeCell ref="AC32:AD32"/>
    <mergeCell ref="AE32:AF32"/>
    <mergeCell ref="AE141:AJ141"/>
    <mergeCell ref="AC13:AD13"/>
    <mergeCell ref="O67:R67"/>
    <mergeCell ref="AE150:AJ150"/>
    <mergeCell ref="AE132:AJ132"/>
    <mergeCell ref="K38:N38"/>
    <mergeCell ref="AE135:AJ135"/>
    <mergeCell ref="AE215:AJ215"/>
    <mergeCell ref="T46:AC46"/>
    <mergeCell ref="AO86:AO96"/>
    <mergeCell ref="I73:AB74"/>
    <mergeCell ref="AE224:AJ224"/>
    <mergeCell ref="AE29:AJ29"/>
    <mergeCell ref="AE199:AJ199"/>
    <mergeCell ref="AC15:AD15"/>
    <mergeCell ref="G245:H245"/>
    <mergeCell ref="AE13:AJ13"/>
    <mergeCell ref="AC33:AD33"/>
    <mergeCell ref="AE84:AJ84"/>
    <mergeCell ref="AE33:AF33"/>
    <mergeCell ref="AE136:AJ136"/>
    <mergeCell ref="AE167:AJ167"/>
    <mergeCell ref="AE118:AJ118"/>
    <mergeCell ref="AE205:AJ205"/>
    <mergeCell ref="Y239:AD239"/>
    <mergeCell ref="AE176:AJ176"/>
    <mergeCell ref="AE158:AJ158"/>
    <mergeCell ref="AE30:AJ30"/>
    <mergeCell ref="AE6:AJ6"/>
    <mergeCell ref="AE133:AJ133"/>
    <mergeCell ref="AE15:AJ15"/>
    <mergeCell ref="B78:C78"/>
    <mergeCell ref="AE257:AJ257"/>
    <mergeCell ref="AE86:AJ86"/>
    <mergeCell ref="AE191:AJ191"/>
    <mergeCell ref="AE80:AJ80"/>
    <mergeCell ref="AE142:AJ142"/>
    <mergeCell ref="G108:H108"/>
    <mergeCell ref="AB235:AD235"/>
    <mergeCell ref="AE178:AJ178"/>
    <mergeCell ref="AE89:AJ89"/>
    <mergeCell ref="AA172:AB172"/>
    <mergeCell ref="B127:C127"/>
    <mergeCell ref="AE162:AJ162"/>
    <mergeCell ref="O54:R54"/>
    <mergeCell ref="AE144:AJ144"/>
    <mergeCell ref="AC9:AD9"/>
    <mergeCell ref="AE171:AJ171"/>
    <mergeCell ref="AE242:AJ242"/>
    <mergeCell ref="B77:Z77"/>
    <mergeCell ref="O63:R63"/>
    <mergeCell ref="AE94:AJ94"/>
    <mergeCell ref="AE7:AJ7"/>
    <mergeCell ref="AE177:AJ177"/>
    <mergeCell ref="AE134:AJ134"/>
    <mergeCell ref="AE212:AJ212"/>
    <mergeCell ref="AE217:AJ217"/>
    <mergeCell ref="AC11:AD11"/>
    <mergeCell ref="AE96:AJ96"/>
    <mergeCell ref="AO77:AO83"/>
    <mergeCell ref="AE214:AJ214"/>
    <mergeCell ref="AE228:AJ228"/>
    <mergeCell ref="AE111:AJ111"/>
    <mergeCell ref="AE120:AJ120"/>
    <mergeCell ref="AE204:AJ204"/>
    <mergeCell ref="AE98:AJ98"/>
    <mergeCell ref="B156:C156"/>
    <mergeCell ref="AE156:AJ156"/>
    <mergeCell ref="AC28:AD28"/>
    <mergeCell ref="AE165:AJ165"/>
    <mergeCell ref="AH74:AJ75"/>
    <mergeCell ref="AE17:AJ17"/>
    <mergeCell ref="AE88:AJ88"/>
    <mergeCell ref="AE188:AJ188"/>
    <mergeCell ref="AO104:AO110"/>
    <mergeCell ref="AE140:AJ140"/>
    <mergeCell ref="AE82:AJ82"/>
    <mergeCell ref="AE231:AJ231"/>
    <mergeCell ref="AC12:AD12"/>
    <mergeCell ref="AC71:AJ71"/>
    <mergeCell ref="AC30:AD30"/>
    <mergeCell ref="R87:Y87"/>
    <mergeCell ref="AE190:AJ190"/>
    <mergeCell ref="AO136:AO139"/>
    <mergeCell ref="AM46:AN48"/>
    <mergeCell ref="AE28:AJ28"/>
    <mergeCell ref="AE146:AJ146"/>
    <mergeCell ref="AE99:AJ99"/>
    <mergeCell ref="AM88:AM89"/>
    <mergeCell ref="AC14:AD14"/>
    <mergeCell ref="AE151:AJ151"/>
    <mergeCell ref="AE9:AJ9"/>
    <mergeCell ref="AE83:AJ83"/>
    <mergeCell ref="AG32:AH32"/>
    <mergeCell ref="AE124:AJ124"/>
    <mergeCell ref="AE5:AJ5"/>
    <mergeCell ref="AE11:AJ11"/>
    <mergeCell ref="AE216:AJ216"/>
    <mergeCell ref="AE256:AJ256"/>
    <mergeCell ref="AE225:AJ225"/>
    <mergeCell ref="AE168:AJ168"/>
    <mergeCell ref="AA77:AJ77"/>
    <mergeCell ref="AE218:AJ218"/>
    <mergeCell ref="AE50:AJ50"/>
    <mergeCell ref="AG33:AH33"/>
    <mergeCell ref="AI33:AJ33"/>
    <mergeCell ref="AE46:AJ46"/>
    <mergeCell ref="AE97:AJ97"/>
    <mergeCell ref="Z40:AA40"/>
    <mergeCell ref="AE21:AJ21"/>
    <mergeCell ref="AC72:AJ73"/>
    <mergeCell ref="AE192:AJ192"/>
    <mergeCell ref="AE145:AJ145"/>
    <mergeCell ref="AC17:AD17"/>
    <mergeCell ref="O56:R56"/>
    <mergeCell ref="B72:C72"/>
    <mergeCell ref="AE247:AJ247"/>
    <mergeCell ref="AM40:AN43"/>
    <mergeCell ref="Y241:AD241"/>
    <mergeCell ref="AE181:AJ181"/>
    <mergeCell ref="AE131:AJ131"/>
    <mergeCell ref="C46:K46"/>
    <mergeCell ref="AE243:AJ243"/>
    <mergeCell ref="AE87:AJ87"/>
    <mergeCell ref="B210:C210"/>
    <mergeCell ref="AE48:AJ48"/>
    <mergeCell ref="AE128:AJ128"/>
    <mergeCell ref="AE137:AJ137"/>
    <mergeCell ref="AE226:AJ226"/>
    <mergeCell ref="AE220:AJ220"/>
    <mergeCell ref="AC5:AD5"/>
    <mergeCell ref="AE229:AJ229"/>
    <mergeCell ref="H163:I163"/>
    <mergeCell ref="AE34:AJ34"/>
    <mergeCell ref="AE148:AJ148"/>
    <mergeCell ref="AC42:AD42"/>
    <mergeCell ref="AE139:AJ139"/>
    <mergeCell ref="AC29:AD29"/>
    <mergeCell ref="AE222:AJ222"/>
    <mergeCell ref="M46:Q46"/>
    <mergeCell ref="AI32:AJ32"/>
    <mergeCell ref="AE172:AJ172"/>
    <mergeCell ref="AE221:AJ221"/>
    <mergeCell ref="AE163:AJ163"/>
    <mergeCell ref="AE101:AJ101"/>
    <mergeCell ref="AE51:AJ51"/>
    <mergeCell ref="AE20:AJ20"/>
    <mergeCell ref="AC40:AD40"/>
    <mergeCell ref="O65:R65"/>
    <mergeCell ref="AE91:AJ91"/>
    <mergeCell ref="AE196:AJ196"/>
    <mergeCell ref="AE143:AJ143"/>
    <mergeCell ref="AE85:AJ85"/>
    <mergeCell ref="AE100:AJ100"/>
    <mergeCell ref="AC21:AD21"/>
    <mergeCell ref="AD74:AG74"/>
    <mergeCell ref="B251:C251"/>
    <mergeCell ref="O59:R59"/>
    <mergeCell ref="AE93:AJ93"/>
    <mergeCell ref="AE149:AJ149"/>
    <mergeCell ref="AE198:AJ198"/>
    <mergeCell ref="AE102:AJ102"/>
    <mergeCell ref="AE12:AJ12"/>
    <mergeCell ref="G105:H105"/>
    <mergeCell ref="AE248:AJ248"/>
    <mergeCell ref="AE92:AJ92"/>
    <mergeCell ref="AC7:AD7"/>
    <mergeCell ref="AE169:AJ169"/>
    <mergeCell ref="O61:R61"/>
    <mergeCell ref="AE122:AJ122"/>
    <mergeCell ref="AE235:AJ235"/>
    <mergeCell ref="AE180:AJ180"/>
    <mergeCell ref="AD75:AG75"/>
    <mergeCell ref="AE14:AJ14"/>
    <mergeCell ref="AE219:AJ219"/>
    <mergeCell ref="AE200:AJ200"/>
    <mergeCell ref="AE110:AJ110"/>
    <mergeCell ref="AE103:AJ103"/>
    <mergeCell ref="D78:O78"/>
    <mergeCell ref="AE161:AJ161"/>
    <mergeCell ref="AE170:AJ170"/>
    <mergeCell ref="AE119:AJ119"/>
    <mergeCell ref="AE175:AJ175"/>
    <mergeCell ref="AE211:AJ211"/>
    <mergeCell ref="AE40:AJ40"/>
    <mergeCell ref="O24:R24"/>
    <mergeCell ref="I75:AB75"/>
    <mergeCell ref="AE195:AJ195"/>
    <mergeCell ref="AE95:AJ95"/>
    <mergeCell ref="D71:G72"/>
    <mergeCell ref="AE147:AJ147"/>
    <mergeCell ref="AC20:AD20"/>
    <mergeCell ref="AC34:AD34"/>
    <mergeCell ref="AO186:AO197"/>
    <mergeCell ref="AE237:AJ237"/>
    <mergeCell ref="AE129:AJ129"/>
    <mergeCell ref="AE187:AJ187"/>
    <mergeCell ref="AE138:AJ138"/>
    <mergeCell ref="I38:J38"/>
    <mergeCell ref="AC6:AD6"/>
    <mergeCell ref="AE90:AJ90"/>
    <mergeCell ref="AE174:AJ174"/>
    <mergeCell ref="AE184:AJ184"/>
    <mergeCell ref="AE189:AJ189"/>
    <mergeCell ref="AE223:AJ223"/>
  </mergeCells>
  <conditionalFormatting sqref="B168">
    <cfRule type="expression" priority="326" dxfId="14">
      <formula>IF(AND(File_Marr_Sep&lt;&gt;"",#REF!=""),1,0)</formula>
    </cfRule>
  </conditionalFormatting>
  <conditionalFormatting sqref="B42:C42 E42:N42">
    <cfRule type="expression" priority="29" dxfId="6">
      <formula>IF(NoColor,1,0)</formula>
    </cfRule>
  </conditionalFormatting>
  <conditionalFormatting sqref="B38:I38">
    <cfRule type="expression" priority="81" dxfId="6">
      <formula>IF(NoColor,1,0)</formula>
    </cfRule>
  </conditionalFormatting>
  <conditionalFormatting sqref="B40:Y40 B77">
    <cfRule type="expression" priority="248" dxfId="6">
      <formula>IF(NoColor,1,0)</formula>
    </cfRule>
  </conditionalFormatting>
  <conditionalFormatting sqref="D42">
    <cfRule type="expression" priority="24" dxfId="968">
      <formula>NoColor</formula>
    </cfRule>
  </conditionalFormatting>
  <conditionalFormatting sqref="I24">
    <cfRule type="expression" priority="9" dxfId="40">
      <formula>AND(O24&lt;&gt;"",O24&lt;0)</formula>
    </cfRule>
  </conditionalFormatting>
  <conditionalFormatting sqref="I56 I67">
    <cfRule type="expression" priority="22" dxfId="40">
      <formula>AND(O56&lt;&gt;"",O56&lt;0)</formula>
    </cfRule>
  </conditionalFormatting>
  <conditionalFormatting sqref="I59">
    <cfRule type="expression" priority="21" dxfId="40">
      <formula>AND(O59&lt;&gt;"",O59&lt;0)</formula>
    </cfRule>
  </conditionalFormatting>
  <conditionalFormatting sqref="I61">
    <cfRule type="expression" priority="4" dxfId="40">
      <formula>AND(O61&lt;&gt;"",O61&lt;0)</formula>
    </cfRule>
  </conditionalFormatting>
  <conditionalFormatting sqref="I63">
    <cfRule type="expression" priority="6" dxfId="40">
      <formula>AND(O63&lt;&gt;"",O63&lt;0)</formula>
    </cfRule>
  </conditionalFormatting>
  <conditionalFormatting sqref="I65">
    <cfRule type="expression" priority="19" dxfId="40">
      <formula>AND(O65&lt;&gt;"",O65&lt;0)</formula>
    </cfRule>
  </conditionalFormatting>
  <conditionalFormatting sqref="K38">
    <cfRule type="expression" priority="83" dxfId="6">
      <formula>IF(NoColor,1,0)</formula>
    </cfRule>
  </conditionalFormatting>
  <conditionalFormatting sqref="K102">
    <cfRule type="expression" priority="55" dxfId="40">
      <formula>AND($AE$103&lt;&gt;"",$AE$103&lt;0)</formula>
    </cfRule>
  </conditionalFormatting>
  <conditionalFormatting sqref="K235">
    <cfRule type="expression" priority="102" dxfId="40">
      <formula>AND(NOT(NoColor),OR($AE$103&lt;=0,$AE$103=""))</formula>
    </cfRule>
  </conditionalFormatting>
  <conditionalFormatting sqref="L139">
    <cfRule type="expression" priority="5963" dxfId="0">
      <formula>AND($AQ$139,$AK$139="")</formula>
    </cfRule>
  </conditionalFormatting>
  <conditionalFormatting sqref="L46:Q46">
    <cfRule type="expression" priority="15" dxfId="6">
      <formula>IF(NoColor,1,0)</formula>
    </cfRule>
  </conditionalFormatting>
  <conditionalFormatting sqref="O42">
    <cfRule type="expression" priority="23" dxfId="968">
      <formula>NoColor</formula>
    </cfRule>
  </conditionalFormatting>
  <conditionalFormatting sqref="B46:C46 O24:R24 O56:R56 O67:R67 S46:T46">
    <cfRule type="expression" priority="77" dxfId="6">
      <formula>IF(NoColor,1,0)</formula>
    </cfRule>
  </conditionalFormatting>
  <conditionalFormatting sqref="O54:R54">
    <cfRule type="expression" priority="14" dxfId="6">
      <formula>IF(NoColor,1,0)</formula>
    </cfRule>
  </conditionalFormatting>
  <conditionalFormatting sqref="O59:R59">
    <cfRule type="expression" priority="12" dxfId="6">
      <formula>IF(NoColor,1,0)</formula>
    </cfRule>
  </conditionalFormatting>
  <conditionalFormatting sqref="O61:R61">
    <cfRule type="expression" priority="3" dxfId="6">
      <formula>IF(NoColor,1,0)</formula>
    </cfRule>
  </conditionalFormatting>
  <conditionalFormatting sqref="O63:R63">
    <cfRule type="expression" priority="5" dxfId="6">
      <formula>IF(NoColor,1,0)</formula>
    </cfRule>
  </conditionalFormatting>
  <conditionalFormatting sqref="O65:R65">
    <cfRule type="expression" priority="11" dxfId="6">
      <formula>IF(NoColor,1,0)</formula>
    </cfRule>
  </conditionalFormatting>
  <conditionalFormatting sqref="P42:AC42">
    <cfRule type="expression" priority="25" dxfId="6">
      <formula>IF(NoColor,1,0)</formula>
    </cfRule>
  </conditionalFormatting>
  <conditionalFormatting sqref="I15 R9 S11:S12">
    <cfRule type="expression" priority="57" dxfId="40">
      <formula>AND($AE$9&lt;&gt;"",$AE$9&lt;0)</formula>
    </cfRule>
  </conditionalFormatting>
  <conditionalFormatting sqref="R87">
    <cfRule type="expression" priority="151" dxfId="0">
      <formula>AND($AE$88,$AK$89="")</formula>
    </cfRule>
  </conditionalFormatting>
  <conditionalFormatting sqref="R207:S207 X207:Y207">
    <cfRule type="expression" priority="5680" dxfId="14">
      <formula>#REF!&gt;$AE$207</formula>
    </cfRule>
  </conditionalFormatting>
  <conditionalFormatting sqref="S48:U48">
    <cfRule type="expression" priority="62" dxfId="6">
      <formula>IF(NoColor,1,0)</formula>
    </cfRule>
  </conditionalFormatting>
  <conditionalFormatting sqref="U57:AI58">
    <cfRule type="expression" priority="7" dxfId="6">
      <formula>$AQ$58</formula>
    </cfRule>
  </conditionalFormatting>
  <conditionalFormatting sqref="Y239:AD239">
    <cfRule type="expression" priority="100" dxfId="6">
      <formula>IF(NoColor,1,0)</formula>
    </cfRule>
  </conditionalFormatting>
  <conditionalFormatting sqref="Y241:AD241">
    <cfRule type="expression" priority="99" dxfId="6">
      <formula>IF(NoColor,1,0)</formula>
    </cfRule>
  </conditionalFormatting>
  <conditionalFormatting sqref="Z40">
    <cfRule type="expression" priority="87" dxfId="6">
      <formula>NoColor</formula>
    </cfRule>
  </conditionalFormatting>
  <conditionalFormatting sqref="AA77:AJ77">
    <cfRule type="expression" priority="108" dxfId="6">
      <formula>NoColor</formula>
    </cfRule>
  </conditionalFormatting>
  <conditionalFormatting sqref="AB40:AC40">
    <cfRule type="expression" priority="84" dxfId="6">
      <formula>IF(NoColor,1,0)</formula>
    </cfRule>
  </conditionalFormatting>
  <conditionalFormatting sqref="AD48:AE48">
    <cfRule type="expression" priority="64" dxfId="6">
      <formula>IF(NoColor,1,0)</formula>
    </cfRule>
  </conditionalFormatting>
  <conditionalFormatting sqref="AD46:AJ46">
    <cfRule type="expression" priority="16" dxfId="6">
      <formula>IF(NoColor,1,0)</formula>
    </cfRule>
  </conditionalFormatting>
  <conditionalFormatting sqref="AE7:AJ7">
    <cfRule type="expression" priority="59" dxfId="6">
      <formula>IF(NoColor,1,0)</formula>
    </cfRule>
  </conditionalFormatting>
  <conditionalFormatting sqref="AE9:AJ9">
    <cfRule type="expression" priority="42" dxfId="6">
      <formula>IF(NoColor,1,0)</formula>
    </cfRule>
  </conditionalFormatting>
  <conditionalFormatting sqref="AE15:AJ15">
    <cfRule type="expression" priority="41" dxfId="6">
      <formula>IF(NoColor,1,0)</formula>
    </cfRule>
  </conditionalFormatting>
  <conditionalFormatting sqref="AE17:AJ17">
    <cfRule type="expression" priority="40" dxfId="6">
      <formula>IF(NoColor,1,0)</formula>
    </cfRule>
  </conditionalFormatting>
  <conditionalFormatting sqref="AE20:AJ21">
    <cfRule type="expression" priority="39" dxfId="6">
      <formula>IF(NoColor,1,0)</formula>
    </cfRule>
  </conditionalFormatting>
  <conditionalFormatting sqref="AE30:AJ30">
    <cfRule type="expression" priority="37" dxfId="6">
      <formula>IF(NoColor,1,0)</formula>
    </cfRule>
  </conditionalFormatting>
  <conditionalFormatting sqref="AE34:AJ34">
    <cfRule type="expression" priority="2" dxfId="6">
      <formula>IF(NoColor,1,0)</formula>
    </cfRule>
  </conditionalFormatting>
  <conditionalFormatting sqref="AE40:AJ40">
    <cfRule type="expression" priority="17" dxfId="6">
      <formula>IF(NoColor,1,0)</formula>
    </cfRule>
  </conditionalFormatting>
  <conditionalFormatting sqref="AE42:AJ42">
    <cfRule type="expression" priority="18" dxfId="6">
      <formula>IF(NoColor,1,0)</formula>
    </cfRule>
  </conditionalFormatting>
  <conditionalFormatting sqref="AE51:AJ51">
    <cfRule type="expression" priority="34" dxfId="6">
      <formula>IF(NoColor,1,0)</formula>
    </cfRule>
  </conditionalFormatting>
  <conditionalFormatting sqref="AE80:AJ88 AE89 AE90:AJ103">
    <cfRule type="expression" priority="202" dxfId="6">
      <formula>IF(NoColor,1,0)</formula>
    </cfRule>
  </conditionalFormatting>
  <conditionalFormatting sqref="AE110:AJ111">
    <cfRule type="expression" priority="147" dxfId="6">
      <formula>IF(NoColor,1,0)</formula>
    </cfRule>
  </conditionalFormatting>
  <conditionalFormatting sqref="AE118:AJ120">
    <cfRule type="expression" priority="125" dxfId="6">
      <formula>IF(NoColor,1,0)</formula>
    </cfRule>
  </conditionalFormatting>
  <conditionalFormatting sqref="AE122:AJ122">
    <cfRule type="expression" priority="52" dxfId="6">
      <formula>IF(NoColor,1,0)</formula>
    </cfRule>
  </conditionalFormatting>
  <conditionalFormatting sqref="AE124:AJ124">
    <cfRule type="expression" priority="123" dxfId="6">
      <formula>IF(NoColor,1,0)</formula>
    </cfRule>
  </conditionalFormatting>
  <conditionalFormatting sqref="AE128:AJ151">
    <cfRule type="expression" priority="49" dxfId="6">
      <formula>IF(NoColor,1,0)</formula>
    </cfRule>
  </conditionalFormatting>
  <conditionalFormatting sqref="AE157:AJ157 AE158 AE159:AJ179 AE180 AE181:AJ205">
    <cfRule type="expression" priority="137" dxfId="6">
      <formula>IF(NoColor,1,0)</formula>
    </cfRule>
  </conditionalFormatting>
  <conditionalFormatting sqref="AE211:AJ231">
    <cfRule type="expression" priority="127" dxfId="6">
      <formula>IF(NoColor,1,0)</formula>
    </cfRule>
  </conditionalFormatting>
  <conditionalFormatting sqref="AE237:AJ237">
    <cfRule type="expression" priority="101" dxfId="6">
      <formula>IF(NoColor,1,0)</formula>
    </cfRule>
  </conditionalFormatting>
  <conditionalFormatting sqref="AE242:AJ243">
    <cfRule type="expression" priority="93" dxfId="6">
      <formula>IF(NoColor,1,0)</formula>
    </cfRule>
  </conditionalFormatting>
  <conditionalFormatting sqref="AE247:AJ248">
    <cfRule type="expression" priority="92" dxfId="6">
      <formula>IF(NoColor,1,0)</formula>
    </cfRule>
  </conditionalFormatting>
  <conditionalFormatting sqref="AE256:AJ257">
    <cfRule type="expression" priority="94" dxfId="6">
      <formula>IF(NoColor,1,0)</formula>
    </cfRule>
  </conditionalFormatting>
  <conditionalFormatting sqref="AH206:AJ207">
    <cfRule type="expression" priority="175" dxfId="6">
      <formula>IF(NoColor,1,0)</formula>
    </cfRule>
  </conditionalFormatting>
  <conditionalFormatting sqref="AK89">
    <cfRule type="expression" priority="150" dxfId="5">
      <formula>$AE$88</formula>
    </cfRule>
  </conditionalFormatting>
  <conditionalFormatting sqref="AK90">
    <cfRule type="expression" priority="149" dxfId="6">
      <formula>$AE$88</formula>
    </cfRule>
  </conditionalFormatting>
  <conditionalFormatting sqref="AK139">
    <cfRule type="expression" priority="5842" dxfId="923">
      <formula>$AE$139</formula>
    </cfRule>
  </conditionalFormatting>
  <conditionalFormatting sqref="AK140">
    <cfRule type="expression" priority="5843" dxfId="6">
      <formula>$AQ$139</formula>
    </cfRule>
  </conditionalFormatting>
  <conditionalFormatting sqref="AO76">
    <cfRule type="expression" priority="104" dxfId="921">
      <formula>$AL$76&lt;&gt;""</formula>
    </cfRule>
  </conditionalFormatting>
  <conditionalFormatting sqref="AO77">
    <cfRule type="expression" priority="105" dxfId="920">
      <formula>$AL$76&lt;&gt;""</formula>
    </cfRule>
  </conditionalFormatting>
  <conditionalFormatting sqref="AO86">
    <cfRule type="expression" priority="107" dxfId="918">
      <formula>$AQ$85</formula>
    </cfRule>
  </conditionalFormatting>
  <conditionalFormatting sqref="AO98">
    <cfRule type="expression" priority="106" dxfId="918">
      <formula>$AQ$85</formula>
    </cfRule>
  </conditionalFormatting>
  <conditionalFormatting sqref="AO136:AO139">
    <cfRule type="expression" priority="1" dxfId="6">
      <formula>AE139&lt;0</formula>
    </cfRule>
  </conditionalFormatting>
  <conditionalFormatting sqref="AO186:AO197">
    <cfRule type="expression" priority="10" dxfId="6">
      <formula>$AQ$190</formula>
    </cfRule>
  </conditionalFormatting>
  <pageMargins left="0.5" right="0.25" top="0.36" bottom="0.29" header="0.36" footer="0.21"/>
  <pageSetup orientation="portrait" scale="74" fitToHeight="0"/>
  <rowBreaks count="5" manualBreakCount="5">
    <brk id="70" min="1" max="35" man="1"/>
    <brk id="125" min="1" max="35" man="1"/>
    <brk id="154" min="0" max="16383" man="1"/>
    <brk id="208" min="1" max="35" man="1"/>
    <brk id="232" min="0" max="16383" man="1"/>
  </rowBreaks>
  <drawing xmlns:r="http://schemas.openxmlformats.org/officeDocument/2006/relationships" r:id="rId1"/>
</worksheet>
</file>

<file path=xl/worksheets/sheet50.xml><?xml version="1.0" encoding="utf-8"?>
<worksheet xmlns="http://schemas.openxmlformats.org/spreadsheetml/2006/main">
  <sheetPr>
    <outlinePr summaryBelow="1" summaryRight="1"/>
    <pageSetUpPr fitToPage="1"/>
  </sheetPr>
  <dimension ref="A1:BH229"/>
  <sheetViews>
    <sheetView zoomScaleNormal="100" zoomScaleSheetLayoutView="130" workbookViewId="0">
      <selection activeCell="A1" sqref="A1"/>
    </sheetView>
  </sheetViews>
  <sheetFormatPr baseColWidth="8" defaultColWidth="3.42578125" defaultRowHeight="12.75"/>
  <cols>
    <col width="3.42578125" customWidth="1" style="7635" min="1" max="1"/>
    <col width="4.28515625" customWidth="1" style="7635" min="2" max="2"/>
    <col width="2.5703125" customWidth="1" style="7635" min="3" max="3"/>
    <col width="2.85546875" customWidth="1" style="7635" min="4" max="4"/>
    <col width="3" customWidth="1" style="7635" min="5" max="10"/>
    <col width="4.28515625" customWidth="1" style="7635" min="11" max="11"/>
    <col width="3" customWidth="1" style="7635" min="12" max="33"/>
    <col width="3.140625" customWidth="1" style="7635" min="34" max="34"/>
    <col width="3" customWidth="1" style="7635" min="36" max="36"/>
    <col width="3.42578125" customWidth="1" style="7635" min="37" max="38"/>
    <col width="3.85546875" customWidth="1" style="7635" min="39" max="39"/>
    <col width="4.140625" customWidth="1" style="7635" min="40" max="40"/>
    <col width="2.7109375" customWidth="1" style="7635" min="41" max="41"/>
    <col width="2" customWidth="1" style="7635" min="42" max="42"/>
    <col width="17.28515625" customWidth="1" style="7635" min="45" max="45"/>
    <col width="6" customWidth="1" style="7635" min="46" max="46"/>
    <col width="2.28515625" customWidth="1" style="7635" min="47" max="47"/>
    <col width="10.28515625" customWidth="1" style="7635" min="48" max="48"/>
    <col width="2.28515625" customWidth="1" style="7635" min="49" max="49"/>
    <col width="10.7109375" customWidth="1" style="658" min="50" max="60"/>
  </cols>
  <sheetData>
    <row r="1" ht="6.75" customHeight="1" s="7635">
      <c r="A1" s="1277"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I1" s="1277" t="n"/>
      <c r="AJ1" s="1277" t="n"/>
      <c r="AK1" s="1277" t="n"/>
      <c r="AL1" s="1277" t="n"/>
      <c r="AM1" s="1277" t="n"/>
      <c r="AN1" s="1277" t="n"/>
      <c r="AO1" s="1277" t="n"/>
      <c r="AP1" s="1277" t="n"/>
      <c r="AQ1" s="1277" t="n"/>
      <c r="AR1" s="1277" t="n"/>
      <c r="AS1" s="1277" t="n"/>
      <c r="AT1" s="1277" t="n"/>
      <c r="AU1" s="1277" t="n"/>
    </row>
    <row r="2" ht="15" customHeight="1" s="7635">
      <c r="A2" s="1277" t="n"/>
      <c r="B2" s="8999">
        <f>IF(AS2,"X","")</f>
        <v/>
      </c>
      <c r="C2" s="2111">
        <f>IF(AS2,"Check this box if you are a bona fide resident of Puerto Rico.  If not, clear this box by selecting it and pressing &lt; Delete &gt;.","")</f>
        <v/>
      </c>
      <c r="D2" s="1277" t="n"/>
      <c r="E2" s="1277" t="n"/>
      <c r="F2" s="1277" t="n"/>
      <c r="G2" s="1277" t="n"/>
      <c r="H2" s="1277" t="n"/>
      <c r="I2" s="1277" t="n"/>
      <c r="J2" s="1277" t="n"/>
      <c r="K2" s="1277" t="n"/>
      <c r="L2" s="1277" t="n"/>
      <c r="M2" s="1277" t="n"/>
      <c r="N2" s="1277" t="n"/>
      <c r="O2" s="1277" t="n"/>
      <c r="P2" s="1277" t="n"/>
      <c r="Q2" s="1277" t="n"/>
      <c r="R2" s="1277" t="n"/>
      <c r="S2" s="1277" t="n"/>
      <c r="T2" s="1277" t="n"/>
      <c r="U2" s="1277" t="n"/>
      <c r="V2" s="1277" t="n"/>
      <c r="W2" s="1277" t="n"/>
      <c r="X2" s="1277" t="n"/>
      <c r="Y2" s="1277" t="n"/>
      <c r="Z2" s="1277" t="n"/>
      <c r="AA2" s="1277" t="n"/>
      <c r="AB2" s="1277" t="n"/>
      <c r="AC2" s="1277" t="n"/>
      <c r="AD2" s="1277" t="n"/>
      <c r="AE2" s="1277" t="n"/>
      <c r="AF2" s="1277" t="n"/>
      <c r="AG2" s="1277" t="n"/>
      <c r="AH2" s="1277" t="n"/>
      <c r="AI2" s="1277" t="n"/>
      <c r="AJ2" s="1277" t="n"/>
      <c r="AK2" s="1277" t="n"/>
      <c r="AL2" s="1277" t="n"/>
      <c r="AM2" s="1277" t="n"/>
      <c r="AN2" s="1277" t="n"/>
      <c r="AO2" s="1277" t="n"/>
      <c r="AP2" s="1277" t="n"/>
      <c r="AQ2" s="1277" t="n"/>
      <c r="AR2" s="1277" t="n"/>
      <c r="AS2" s="2112">
        <f>OR(State="pr",State="PR")</f>
        <v/>
      </c>
      <c r="AT2" s="1277" t="n"/>
      <c r="AU2" s="1277" t="n"/>
      <c r="AX2" s="657" t="inlineStr">
        <is>
          <t>Notes</t>
        </is>
      </c>
    </row>
    <row r="3" ht="12.75" customHeight="1" s="7635">
      <c r="A3" s="1277" t="n"/>
      <c r="B3" s="1277" t="n"/>
      <c r="C3" s="1277" t="n"/>
      <c r="D3" s="1277" t="n"/>
      <c r="E3" s="1277" t="n"/>
      <c r="F3" s="1277" t="n"/>
      <c r="G3" s="1277" t="n"/>
      <c r="H3" s="1277" t="n"/>
      <c r="I3" s="1277" t="n"/>
      <c r="J3" s="1277" t="n"/>
      <c r="K3" s="1277" t="n"/>
      <c r="L3" s="1277" t="n"/>
      <c r="M3" s="1277" t="n"/>
      <c r="N3" s="1277" t="n"/>
      <c r="O3" s="1277" t="n"/>
      <c r="P3" s="1277" t="n"/>
      <c r="Q3" s="1277" t="n"/>
      <c r="R3" s="1277" t="n"/>
      <c r="S3" s="1277" t="n"/>
      <c r="T3" s="1277" t="n"/>
      <c r="U3" s="1277" t="n"/>
      <c r="V3" s="1277" t="n"/>
      <c r="W3" s="1277" t="n"/>
      <c r="X3" s="1277" t="n"/>
      <c r="Y3" s="1277" t="n"/>
      <c r="Z3" s="1277" t="n"/>
      <c r="AA3" s="1277" t="n"/>
      <c r="AB3" s="1277" t="n"/>
      <c r="AC3" s="1277" t="n"/>
      <c r="AD3" s="1277" t="n"/>
      <c r="AE3" s="1277" t="n"/>
      <c r="AF3" s="1277" t="n"/>
      <c r="AG3" s="1277" t="n"/>
      <c r="AH3" s="1277" t="n"/>
      <c r="AI3" s="1277" t="n"/>
      <c r="AJ3" s="10934">
        <f>IF('Table of Contents'!A55="D","DRAFT","")</f>
        <v/>
      </c>
      <c r="AQ3" s="1277" t="n"/>
      <c r="AR3" s="2113" t="n"/>
      <c r="AS3" s="2114">
        <f>B2&lt;&gt;""</f>
        <v/>
      </c>
      <c r="AT3" s="2113" t="n"/>
      <c r="AU3" s="1277" t="n"/>
      <c r="AX3" s="657" t="n"/>
    </row>
    <row r="4" ht="15.75" customHeight="1" s="7635">
      <c r="A4" s="1277" t="n"/>
      <c r="B4" s="12684" t="inlineStr">
        <is>
          <t>SCHEDULE 8812</t>
        </is>
      </c>
      <c r="H4" s="1066" t="n"/>
      <c r="I4" s="12457" t="inlineStr">
        <is>
          <t>Credits for Qualifying Children
and Other Dependents</t>
        </is>
      </c>
      <c r="AI4" s="1066" t="n"/>
      <c r="AJ4" s="10991">
        <f>IF(AND('Table of Contents'!A55="D",AQ4=""),"DRAFT","OMB No. 1545-0074")</f>
        <v/>
      </c>
      <c r="AK4" s="7637" t="n"/>
      <c r="AL4" s="7637" t="n"/>
      <c r="AM4" s="7637" t="n"/>
      <c r="AN4" s="7637" t="n"/>
      <c r="AO4" s="7637" t="n"/>
      <c r="AP4" s="7637" t="n"/>
      <c r="AQ4" s="1821" t="n"/>
      <c r="AR4" s="11023">
        <f>IF(AND(B2&lt;&gt;"",AS2),"Generally, you were a bona fide resident of Puerto Rico, if you:"&amp;CHAR(10)&amp;"- Met the presence test,"&amp;CHAR(10)&amp;"- No tax home outside of PR, and"&amp;CHAR(10)&amp;"- No closer connection to the US or "&amp;CHAR(10)&amp;"   foreign country.","")</f>
        <v/>
      </c>
      <c r="AU4" s="1277" t="n"/>
    </row>
    <row r="5" ht="14.25" customHeight="1" s="7635">
      <c r="A5" s="1277" t="n"/>
      <c r="B5" s="12685" t="inlineStr">
        <is>
          <t>(Form 1040)</t>
        </is>
      </c>
      <c r="H5" s="1066" t="n"/>
      <c r="I5" s="11741" t="n"/>
      <c r="AI5" s="1066" t="n"/>
      <c r="AJ5" s="9055">
        <f>TaxYear</f>
        <v/>
      </c>
      <c r="AK5" s="7839" t="n"/>
      <c r="AL5" s="7839" t="n"/>
      <c r="AM5" s="7839" t="n"/>
      <c r="AN5" s="7839" t="n"/>
      <c r="AO5" s="7839" t="n"/>
      <c r="AP5" s="7839" t="n"/>
      <c r="AQ5" s="1277" t="n"/>
      <c r="AU5" s="1277" t="n"/>
    </row>
    <row r="6" ht="9.75" customHeight="1" s="7635">
      <c r="A6" s="1277" t="n"/>
      <c r="B6" s="12686" t="n"/>
      <c r="C6" s="194" t="n"/>
      <c r="D6" s="194" t="n"/>
      <c r="E6" s="194" t="n"/>
      <c r="F6" s="194" t="n"/>
      <c r="G6" s="194" t="n"/>
      <c r="H6" s="11952" t="n"/>
      <c r="I6" s="11741" t="n"/>
      <c r="AI6" s="1066" t="n"/>
      <c r="AJ6" s="11741" t="n"/>
      <c r="AQ6" s="1277" t="n"/>
      <c r="AU6" s="1277" t="n"/>
    </row>
    <row r="7" ht="13.5" customHeight="1" s="7635">
      <c r="A7" s="1277" t="n"/>
      <c r="B7" s="194" t="n"/>
      <c r="C7" s="194" t="n"/>
      <c r="D7" s="194" t="n"/>
      <c r="E7" s="194" t="n"/>
      <c r="F7" s="194" t="n"/>
      <c r="G7" s="194" t="n"/>
      <c r="H7" s="11952" t="n"/>
      <c r="I7" s="12426" t="inlineStr">
        <is>
          <t>Attach to Form 1040, 1040-SR, or Form 1040-NR.</t>
        </is>
      </c>
      <c r="AI7" s="1066" t="n"/>
      <c r="AJ7" s="11741" t="n"/>
      <c r="AQ7" s="1277" t="n"/>
      <c r="AU7" s="1277" t="n"/>
    </row>
    <row r="8" ht="12" customHeight="1" s="7635">
      <c r="A8" s="1277" t="n"/>
      <c r="B8" s="12687" t="inlineStr">
        <is>
          <t>Department of the Treasury Internal Revenue Service</t>
        </is>
      </c>
      <c r="H8" s="1066" t="n"/>
      <c r="I8" s="12688" t="inlineStr">
        <is>
          <t>Go to www.irs.gov/Schedule8812 for instructions and the latest information.</t>
        </is>
      </c>
      <c r="AI8" s="1066" t="n"/>
      <c r="AJ8" s="2115" t="n"/>
      <c r="AK8" s="12689" t="inlineStr">
        <is>
          <t>Attachment 
Sequence No.</t>
        </is>
      </c>
      <c r="AN8" s="12690" t="n">
        <v>47</v>
      </c>
      <c r="AO8" s="12691" t="n"/>
      <c r="AP8" s="2011" t="n"/>
      <c r="AQ8" s="1277" t="n"/>
      <c r="AU8" s="1277" t="n"/>
    </row>
    <row r="9" ht="12" customHeight="1" s="7635" thickBot="1">
      <c r="A9" s="1277" t="n"/>
      <c r="B9" s="11705" t="n"/>
      <c r="C9" s="11705" t="n"/>
      <c r="D9" s="11705" t="n"/>
      <c r="E9" s="11705" t="n"/>
      <c r="F9" s="11705" t="n"/>
      <c r="G9" s="11705" t="n"/>
      <c r="H9" s="11710" t="n"/>
      <c r="I9" s="12692" t="n"/>
      <c r="J9" s="11705" t="n"/>
      <c r="K9" s="11705" t="n"/>
      <c r="L9" s="11705" t="n"/>
      <c r="M9" s="11705" t="n"/>
      <c r="N9" s="11705" t="n"/>
      <c r="O9" s="11705" t="n"/>
      <c r="P9" s="11705" t="n"/>
      <c r="Q9" s="11705" t="n"/>
      <c r="R9" s="11705" t="n"/>
      <c r="S9" s="11705" t="n"/>
      <c r="T9" s="11705" t="n"/>
      <c r="U9" s="11705" t="n"/>
      <c r="V9" s="11705" t="n"/>
      <c r="W9" s="11705" t="n"/>
      <c r="X9" s="11705" t="n"/>
      <c r="Y9" s="11705" t="n"/>
      <c r="Z9" s="11705" t="n"/>
      <c r="AA9" s="11705" t="n"/>
      <c r="AB9" s="11705" t="n"/>
      <c r="AC9" s="11705" t="n"/>
      <c r="AD9" s="11705" t="n"/>
      <c r="AE9" s="11705" t="n"/>
      <c r="AF9" s="11705" t="n"/>
      <c r="AG9" s="11705" t="n"/>
      <c r="AH9" s="11705" t="n"/>
      <c r="AI9" s="11710" t="n"/>
      <c r="AJ9" s="2116" t="n"/>
      <c r="AK9" s="11705" t="n"/>
      <c r="AL9" s="11705" t="n"/>
      <c r="AM9" s="11705" t="n"/>
      <c r="AN9" s="11705" t="n"/>
      <c r="AO9" s="11705" t="n"/>
      <c r="AP9" s="2117" t="n"/>
      <c r="AQ9" s="1277" t="n"/>
      <c r="AU9" s="1277" t="n"/>
    </row>
    <row r="10" ht="13.5" customHeight="1" s="7635" thickTop="1">
      <c r="A10" s="1277" t="n"/>
      <c r="B10" s="7299" t="inlineStr">
        <is>
          <t>Name(s) shown on return</t>
        </is>
      </c>
      <c r="C10" s="11602" t="n"/>
      <c r="D10" s="11602" t="n"/>
      <c r="E10" s="11602" t="n"/>
      <c r="F10" s="11602" t="n"/>
      <c r="G10" s="11602" t="n"/>
      <c r="H10" s="11602" t="n"/>
      <c r="I10" s="11602" t="n"/>
      <c r="J10" s="11602" t="n"/>
      <c r="K10" s="11602" t="n"/>
      <c r="L10" s="11602" t="n"/>
      <c r="M10" s="11602" t="n"/>
      <c r="N10" s="11011" t="n"/>
      <c r="O10" s="9668" t="n"/>
      <c r="P10" s="9668" t="n"/>
      <c r="Q10" s="9668" t="n"/>
      <c r="R10" s="9668" t="n"/>
      <c r="S10" s="9668" t="n"/>
      <c r="T10" s="9668" t="n"/>
      <c r="U10" s="9668" t="n"/>
      <c r="V10" s="9668" t="n"/>
      <c r="W10" s="9668" t="n"/>
      <c r="X10" s="9668" t="n"/>
      <c r="Y10" s="9668" t="n"/>
      <c r="Z10" s="9668" t="n"/>
      <c r="AA10" s="11602" t="n"/>
      <c r="AB10" s="11602" t="n"/>
      <c r="AC10" s="11602" t="n"/>
      <c r="AD10" s="11602" t="n"/>
      <c r="AE10" s="11602" t="n"/>
      <c r="AF10" s="11602" t="n"/>
      <c r="AG10" s="11602" t="n"/>
      <c r="AH10" s="11602" t="n"/>
      <c r="AI10" s="11602" t="n"/>
      <c r="AJ10" s="2118" t="inlineStr">
        <is>
          <t>Your social security number</t>
        </is>
      </c>
      <c r="AK10" s="11602" t="n"/>
      <c r="AL10" s="11602" t="n"/>
      <c r="AM10" s="11602" t="n"/>
      <c r="AN10" s="11602" t="n"/>
      <c r="AO10" s="11602" t="n"/>
      <c r="AP10" s="11602" t="n"/>
      <c r="AQ10" s="1277" t="n"/>
      <c r="AR10" s="1277" t="n"/>
      <c r="AS10" s="1181" t="inlineStr">
        <is>
          <t>Override</t>
        </is>
      </c>
      <c r="AT10" s="1277" t="n"/>
      <c r="AU10" s="1277" t="n"/>
    </row>
    <row r="11" ht="9.75" customHeight="1" s="7635">
      <c r="A11" s="1277" t="n"/>
      <c r="B11" s="7634">
        <f>Names</f>
        <v/>
      </c>
      <c r="AJ11" s="12693">
        <f>IF(NoSSN,"",SS_Yours)</f>
        <v/>
      </c>
      <c r="AQ11" s="1277" t="n"/>
      <c r="AR11" s="1277" t="n"/>
      <c r="AS11" s="1277" t="n"/>
      <c r="AT11" s="1277" t="n"/>
      <c r="AU11" s="1277" t="n"/>
    </row>
    <row r="12" ht="9.75" customHeight="1" s="7635">
      <c r="A12" s="1277" t="n"/>
      <c r="AJ12" s="11907" t="n"/>
      <c r="AK12" s="7637" t="n"/>
      <c r="AL12" s="7637" t="n"/>
      <c r="AM12" s="7637" t="n"/>
      <c r="AN12" s="7637" t="n"/>
      <c r="AO12" s="7637" t="n"/>
      <c r="AP12" s="7637" t="n"/>
      <c r="AQ12" s="1277" t="n"/>
      <c r="AR12" s="1277" t="n"/>
      <c r="AS12" s="1277" t="n"/>
      <c r="AT12" s="1277" t="n"/>
      <c r="AU12" s="1277" t="n"/>
    </row>
    <row r="13" ht="16.5" customFormat="1" customHeight="1" s="1405">
      <c r="A13" s="2119" t="n"/>
      <c r="B13" s="9109" t="inlineStr">
        <is>
          <t>Part I</t>
        </is>
      </c>
      <c r="C13" s="8412" t="n"/>
      <c r="D13" s="8412" t="n"/>
      <c r="E13" s="2120" t="n"/>
      <c r="F13" s="2120" t="n"/>
      <c r="G13" s="2121" t="inlineStr">
        <is>
          <t>Child Tax Credit and Credit for Other Dependents</t>
        </is>
      </c>
      <c r="H13" s="2120" t="n"/>
      <c r="I13" s="2120" t="n"/>
      <c r="J13" s="2120" t="n"/>
      <c r="K13" s="2120" t="n"/>
      <c r="L13" s="2120" t="n"/>
      <c r="M13" s="2120" t="n"/>
      <c r="N13" s="2120" t="n"/>
      <c r="O13" s="2120" t="n"/>
      <c r="P13" s="2120" t="n"/>
      <c r="Q13" s="2120" t="n"/>
      <c r="R13" s="2120" t="n"/>
      <c r="S13" s="2120" t="n"/>
      <c r="T13" s="2120" t="n"/>
      <c r="U13" s="2120" t="n"/>
      <c r="V13" s="2120" t="n"/>
      <c r="W13" s="2120" t="n"/>
      <c r="X13" s="2120" t="n"/>
      <c r="Y13" s="2120" t="n"/>
      <c r="Z13" s="2120" t="n"/>
      <c r="AA13" s="2120" t="n"/>
      <c r="AB13" s="2120" t="n"/>
      <c r="AC13" s="2120" t="n"/>
      <c r="AD13" s="2120" t="n"/>
      <c r="AE13" s="2120" t="n"/>
      <c r="AF13" s="2120" t="n"/>
      <c r="AG13" s="2120" t="n"/>
      <c r="AH13" s="2120" t="n"/>
      <c r="AI13" s="2120" t="n"/>
      <c r="AJ13" s="2120" t="n"/>
      <c r="AK13" s="2120" t="n"/>
      <c r="AL13" s="2120" t="n"/>
      <c r="AM13" s="2120" t="n"/>
      <c r="AN13" s="2120" t="n"/>
      <c r="AO13" s="2120" t="n"/>
      <c r="AP13" s="2120" t="n"/>
      <c r="AQ13" s="1277" t="n"/>
      <c r="AR13" s="1277" t="n"/>
      <c r="AS13" s="1277" t="n"/>
      <c r="AT13" s="1277" t="n"/>
      <c r="AU13" s="1277" t="n"/>
      <c r="AX13" s="658" t="n"/>
      <c r="AY13" s="658" t="n"/>
      <c r="AZ13" s="658" t="n"/>
      <c r="BA13" s="658" t="n"/>
      <c r="BB13" s="658" t="n"/>
      <c r="BC13" s="658" t="n"/>
      <c r="BD13" s="658" t="n"/>
      <c r="BE13" s="658" t="n"/>
      <c r="BF13" s="658" t="n"/>
      <c r="BG13" s="658" t="n"/>
      <c r="BH13" s="658" t="n"/>
    </row>
    <row r="14" ht="14.25" customHeight="1" s="7635">
      <c r="A14" s="1277" t="n"/>
      <c r="B14" s="2122" t="inlineStr">
        <is>
          <t>1</t>
        </is>
      </c>
      <c r="C14" s="2123" t="inlineStr">
        <is>
          <t>Enter the amount from line 11a of your Form 1040, 1040-SR, or 1040-NR</t>
        </is>
      </c>
      <c r="D14" s="2124" t="n"/>
      <c r="E14" s="2124" t="n"/>
      <c r="F14" s="2124" t="n"/>
      <c r="G14" s="2124" t="n"/>
      <c r="H14" s="2124" t="n"/>
      <c r="I14" s="2124" t="n"/>
      <c r="J14" s="2124" t="n"/>
      <c r="K14" s="2124" t="n"/>
      <c r="L14" s="2124" t="n"/>
      <c r="M14" s="2124" t="n"/>
      <c r="N14" s="2124" t="n"/>
      <c r="O14" s="2124" t="n"/>
      <c r="P14" s="2124" t="n"/>
      <c r="Q14" s="2124" t="n"/>
      <c r="R14" s="2124" t="n"/>
      <c r="S14" s="2124" t="n"/>
      <c r="T14" s="2124" t="n"/>
      <c r="U14" s="2124" t="n"/>
      <c r="V14" s="2124" t="n"/>
      <c r="W14" s="2124" t="n"/>
      <c r="X14" s="2124" t="n"/>
      <c r="Y14" s="2124" t="n"/>
      <c r="Z14" s="2124" t="n"/>
      <c r="AA14" s="2124" t="n"/>
      <c r="AB14" s="2124" t="n"/>
      <c r="AC14" s="2124" t="n"/>
      <c r="AD14" s="2124" t="n"/>
      <c r="AE14" s="2124" t="n"/>
      <c r="AF14" s="2124" t="n"/>
      <c r="AG14" s="2124" t="n"/>
      <c r="AH14" s="2124" t="n"/>
      <c r="AI14" s="1401" t="inlineStr">
        <is>
          <t xml:space="preserve">.   .   .   .   .   .   .   .   .   .   .   .   .   .   .   .   .  </t>
        </is>
      </c>
      <c r="AJ14" s="10938" t="inlineStr">
        <is>
          <t>1</t>
        </is>
      </c>
      <c r="AK14" s="7638" t="n"/>
      <c r="AL14" s="11031">
        <f>IF(AS14&lt;&gt;"",ROUND(AS14,0),Adj_Gross_Inc)</f>
        <v/>
      </c>
      <c r="AM14" s="7637" t="n"/>
      <c r="AN14" s="7637" t="n"/>
      <c r="AO14" s="7637" t="n"/>
      <c r="AP14" s="7637" t="n"/>
      <c r="AQ14" s="1277" t="n"/>
      <c r="AR14" s="723" t="n"/>
      <c r="AS14" s="804" t="n"/>
      <c r="AT14" s="723" t="n"/>
      <c r="AU14" s="723" t="n"/>
    </row>
    <row r="15" ht="14.25" customHeight="1" s="7635">
      <c r="A15" s="1277" t="n"/>
      <c r="B15" s="1401" t="inlineStr">
        <is>
          <t>2a</t>
        </is>
      </c>
      <c r="C15" s="2123" t="inlineStr">
        <is>
          <t>Enter income from Puerto Rico that you excluded</t>
        </is>
      </c>
      <c r="D15" s="2125" t="n"/>
      <c r="E15" s="2125" t="n"/>
      <c r="F15" s="2125" t="n"/>
      <c r="G15" s="2125" t="n"/>
      <c r="H15" s="2125" t="n"/>
      <c r="I15" s="2125" t="n"/>
      <c r="J15" s="2125" t="n"/>
      <c r="K15" s="2125" t="n"/>
      <c r="L15" s="2125" t="n"/>
      <c r="M15" s="2125" t="n"/>
      <c r="N15" s="2125" t="n"/>
      <c r="O15" s="2125" t="n"/>
      <c r="P15" s="2125" t="n"/>
      <c r="Q15" s="2125" t="n"/>
      <c r="R15" s="2125" t="n"/>
      <c r="S15" s="2125" t="n"/>
      <c r="T15" s="2125" t="n"/>
      <c r="U15" s="2125" t="n"/>
      <c r="V15" s="2125" t="n"/>
      <c r="W15" s="2125" t="n"/>
      <c r="X15" s="2125" t="n"/>
      <c r="Y15" s="2125" t="n"/>
      <c r="Z15" s="2125" t="n"/>
      <c r="AA15" s="2125" t="n"/>
      <c r="AB15" s="1401" t="inlineStr">
        <is>
          <t xml:space="preserve">.   .   .   .   .   .   .   .   .   .   .   .   .   .   .  </t>
        </is>
      </c>
      <c r="AC15" s="10986" t="inlineStr">
        <is>
          <t>2a</t>
        </is>
      </c>
      <c r="AD15" s="7638" t="n"/>
      <c r="AE15" s="12694" t="n"/>
      <c r="AF15" s="11717" t="n"/>
      <c r="AG15" s="11717" t="n"/>
      <c r="AH15" s="11717" t="n"/>
      <c r="AI15" s="11718" t="n"/>
      <c r="AJ15" s="12695" t="n"/>
      <c r="AK15" s="10091" t="n"/>
      <c r="AL15" s="2126" t="n"/>
      <c r="AM15" s="2126" t="n"/>
      <c r="AN15" s="2126" t="n"/>
      <c r="AO15" s="2126" t="n"/>
      <c r="AP15" s="2126" t="n"/>
      <c r="AQ15" s="1277" t="n"/>
      <c r="AR15" s="1277" t="n"/>
      <c r="AS15" s="1277" t="n"/>
      <c r="AT15" s="1277" t="n"/>
      <c r="AU15" s="1277" t="n"/>
    </row>
    <row r="16" ht="14.25" customHeight="1" s="7635">
      <c r="A16" s="1277" t="n"/>
      <c r="B16" s="1401" t="inlineStr">
        <is>
          <t>b</t>
        </is>
      </c>
      <c r="C16" s="2123" t="inlineStr">
        <is>
          <t>Enter the amounts from lines 45 and 50 of your Form 2555</t>
        </is>
      </c>
      <c r="D16" s="2127" t="n"/>
      <c r="E16" s="2127" t="n"/>
      <c r="F16" s="2127" t="n"/>
      <c r="G16" s="2127" t="n"/>
      <c r="H16" s="2127" t="n"/>
      <c r="I16" s="2127" t="n"/>
      <c r="J16" s="2127" t="n"/>
      <c r="K16" s="2127" t="n"/>
      <c r="L16" s="2127" t="n"/>
      <c r="M16" s="2127" t="n"/>
      <c r="N16" s="2127" t="n"/>
      <c r="O16" s="2127" t="n"/>
      <c r="P16" s="2127" t="n"/>
      <c r="Q16" s="2127" t="n"/>
      <c r="R16" s="2127" t="n"/>
      <c r="S16" s="2127" t="n"/>
      <c r="T16" s="2127" t="n"/>
      <c r="U16" s="2127" t="n"/>
      <c r="V16" s="2127" t="n"/>
      <c r="W16" s="2127" t="n"/>
      <c r="X16" s="2127" t="n"/>
      <c r="Y16" s="2127" t="n"/>
      <c r="Z16" s="2127" t="n"/>
      <c r="AA16" s="2127" t="n"/>
      <c r="AB16" s="1401" t="inlineStr">
        <is>
          <t xml:space="preserve">.   .   .   .   .   .   .   .   .   .   .   .   .  </t>
        </is>
      </c>
      <c r="AC16" s="10986" t="inlineStr">
        <is>
          <t>2b</t>
        </is>
      </c>
      <c r="AD16" s="7638" t="n"/>
      <c r="AE16" s="10961">
        <f>IF(AS16&lt;&gt;"",ROUND(AS16,0),SUM(F2555_Line45_Total,ForeignHousingDeductionTotal))</f>
        <v/>
      </c>
      <c r="AF16" s="7637" t="n"/>
      <c r="AG16" s="7637" t="n"/>
      <c r="AH16" s="7637" t="n"/>
      <c r="AI16" s="7637" t="n"/>
      <c r="AJ16" s="12696" t="n"/>
      <c r="AK16" s="7636" t="n"/>
      <c r="AL16" s="2130" t="n"/>
      <c r="AM16" s="2131" t="n"/>
      <c r="AN16" s="2131" t="n"/>
      <c r="AO16" s="2131" t="n"/>
      <c r="AP16" s="2131" t="n"/>
      <c r="AQ16" s="1277" t="n"/>
      <c r="AR16" s="1277" t="n"/>
      <c r="AS16" s="804" t="n"/>
      <c r="AT16" s="1277" t="n"/>
      <c r="AU16" s="1277" t="n"/>
    </row>
    <row r="17" ht="13.5" customHeight="1" s="7635">
      <c r="A17" s="1277" t="n"/>
      <c r="B17" s="1401" t="inlineStr">
        <is>
          <t>c</t>
        </is>
      </c>
      <c r="C17" s="2123" t="inlineStr">
        <is>
          <t>Enter the amount from line 15 of your  Form 4563</t>
        </is>
      </c>
      <c r="D17" s="2125" t="n"/>
      <c r="E17" s="2127" t="n"/>
      <c r="F17" s="2127" t="n"/>
      <c r="G17" s="2127" t="n"/>
      <c r="H17" s="9237" t="n"/>
      <c r="I17" s="2127" t="n"/>
      <c r="J17" s="2127" t="n"/>
      <c r="K17" s="2127" t="n"/>
      <c r="L17" s="2127" t="n"/>
      <c r="M17" s="2132" t="n"/>
      <c r="N17" s="2133" t="n"/>
      <c r="O17" s="2133" t="n"/>
      <c r="P17" s="2133" t="n"/>
      <c r="Q17" s="2133" t="n"/>
      <c r="R17" s="2133" t="n"/>
      <c r="S17" s="2133" t="n"/>
      <c r="T17" s="2133" t="n"/>
      <c r="U17" s="2133" t="n"/>
      <c r="V17" s="2133" t="n"/>
      <c r="W17" s="2133" t="n"/>
      <c r="X17" s="2133" t="n"/>
      <c r="Y17" s="2133" t="n"/>
      <c r="Z17" s="2133" t="n"/>
      <c r="AA17" s="2133" t="n"/>
      <c r="AB17" s="1401" t="inlineStr">
        <is>
          <t xml:space="preserve">.   .   .   .   .   .   .   .   .   .   .   .   .   .   .  </t>
        </is>
      </c>
      <c r="AC17" s="10986" t="inlineStr">
        <is>
          <t>2c</t>
        </is>
      </c>
      <c r="AD17" s="7638" t="n"/>
      <c r="AE17" s="10982" t="n"/>
      <c r="AF17" s="11717" t="n"/>
      <c r="AG17" s="11717" t="n"/>
      <c r="AH17" s="11717" t="n"/>
      <c r="AI17" s="11717" t="n"/>
      <c r="AJ17" s="2134" t="n"/>
      <c r="AK17" s="2135" t="n"/>
      <c r="AL17" s="410" t="n"/>
      <c r="AM17" s="411" t="n"/>
      <c r="AN17" s="411" t="n"/>
      <c r="AO17" s="411" t="n"/>
      <c r="AP17" s="411" t="n"/>
      <c r="AQ17" s="1277" t="n"/>
      <c r="AR17" s="1277" t="n"/>
      <c r="AS17" s="1277" t="n"/>
      <c r="AT17" s="1277" t="n"/>
      <c r="AU17" s="1277" t="n"/>
    </row>
    <row r="18" ht="13.5" customHeight="1" s="7635" thickBot="1">
      <c r="A18" s="1277" t="n"/>
      <c r="B18" s="9033" t="inlineStr">
        <is>
          <t>d</t>
        </is>
      </c>
      <c r="C18" s="2123" t="inlineStr">
        <is>
          <t>Add lines 2a through 2c</t>
        </is>
      </c>
      <c r="D18" s="2125" t="n"/>
      <c r="E18" s="2127" t="n"/>
      <c r="F18" s="2127" t="n"/>
      <c r="G18" s="2127" t="n"/>
      <c r="H18" s="2127" t="n"/>
      <c r="I18" s="2127" t="n"/>
      <c r="J18" s="2127" t="n"/>
      <c r="K18" s="2127" t="n"/>
      <c r="L18" s="2127" t="n"/>
      <c r="M18" s="2132" t="n"/>
      <c r="N18" s="2133" t="n"/>
      <c r="O18" s="2133" t="n"/>
      <c r="P18" s="2133" t="n"/>
      <c r="Q18" s="2133" t="n"/>
      <c r="R18" s="2133" t="n"/>
      <c r="S18" s="2133" t="n"/>
      <c r="T18" s="2133" t="n"/>
      <c r="U18" s="2133" t="n"/>
      <c r="V18" s="2133" t="n"/>
      <c r="W18" s="2133" t="n"/>
      <c r="X18" s="2133" t="n"/>
      <c r="Y18" s="2133" t="n"/>
      <c r="Z18" s="2133" t="n"/>
      <c r="AA18" s="2133" t="n"/>
      <c r="AB18" s="2133" t="n"/>
      <c r="AC18" s="2133" t="n"/>
      <c r="AD18" s="2133" t="n"/>
      <c r="AE18" s="2137" t="n"/>
      <c r="AF18" s="2137" t="n"/>
      <c r="AG18" s="2137" t="n"/>
      <c r="AH18" s="2137" t="n"/>
      <c r="AI18" s="1401" t="inlineStr">
        <is>
          <t xml:space="preserve">.   .   .   .   .   .   .   .   .   .   .   .   .   .   .   .   .   .   .   .   .   .   .   .   .   .   .   .   .   .   .   .   .   .   .  </t>
        </is>
      </c>
      <c r="AJ18" s="12697" t="inlineStr">
        <is>
          <t>2d</t>
        </is>
      </c>
      <c r="AK18" s="12121" t="n"/>
      <c r="AL18" s="10956">
        <f>SUM(ROUND(AE15,0),AE16,ROUND(AE17,0))</f>
        <v/>
      </c>
      <c r="AM18" s="8848" t="n"/>
      <c r="AN18" s="8848" t="n"/>
      <c r="AO18" s="8848" t="n"/>
      <c r="AP18" s="8848" t="n"/>
      <c r="AQ18" s="1277" t="n"/>
      <c r="AR18" s="1277" t="n"/>
      <c r="AS18" s="2138" t="n"/>
      <c r="AT18" s="1277" t="n"/>
      <c r="AU18" s="1277" t="n"/>
    </row>
    <row r="19" ht="13.5" customHeight="1" s="7635">
      <c r="A19" s="1277" t="n"/>
      <c r="B19" s="2122" t="inlineStr">
        <is>
          <t>3</t>
        </is>
      </c>
      <c r="C19" s="2123" t="inlineStr">
        <is>
          <t>Add lines 1 and 2d</t>
        </is>
      </c>
      <c r="D19" s="2127" t="n"/>
      <c r="E19" s="2127" t="n"/>
      <c r="F19" s="2127" t="n"/>
      <c r="G19" s="2127" t="n"/>
      <c r="H19" s="2127" t="n"/>
      <c r="I19" s="2127" t="n"/>
      <c r="J19" s="2127" t="n"/>
      <c r="K19" s="9237" t="n"/>
      <c r="L19" s="2127" t="n"/>
      <c r="M19" s="2132" t="n"/>
      <c r="N19" s="2132" t="n"/>
      <c r="O19" s="2132" t="n"/>
      <c r="P19" s="2132" t="n"/>
      <c r="Q19" s="2132" t="n"/>
      <c r="R19" s="2132" t="n"/>
      <c r="S19" s="2132" t="n"/>
      <c r="T19" s="2132" t="n"/>
      <c r="U19" s="2137" t="n"/>
      <c r="V19" s="2132" t="n"/>
      <c r="W19" s="2132" t="n"/>
      <c r="X19" s="2132" t="n"/>
      <c r="Y19" s="2132" t="n"/>
      <c r="Z19" s="2132" t="n"/>
      <c r="AA19" s="2132" t="n"/>
      <c r="AB19" s="2132" t="n"/>
      <c r="AC19" s="2132" t="n"/>
      <c r="AD19" s="2132" t="n"/>
      <c r="AE19" s="2137" t="n"/>
      <c r="AF19" s="2137" t="n"/>
      <c r="AG19" s="2137" t="n"/>
      <c r="AH19" s="2139" t="n"/>
      <c r="AI19" s="1401" t="inlineStr">
        <is>
          <t xml:space="preserve">.   .   .   .   .   .   .   .   .   .   .   .   .   .   .   .   .   .   .   .   .   .   .   .   .   .   .   .   .   .   .   .   .   .   .   .  </t>
        </is>
      </c>
      <c r="AJ19" s="10938" t="inlineStr">
        <is>
          <t>3</t>
        </is>
      </c>
      <c r="AK19" s="7638" t="n"/>
      <c r="AL19" s="10961">
        <f>SUM(AL14,AL18)</f>
        <v/>
      </c>
      <c r="AM19" s="7637" t="n"/>
      <c r="AN19" s="7637" t="n"/>
      <c r="AO19" s="7637" t="n"/>
      <c r="AP19" s="7637" t="n"/>
      <c r="AQ19" s="1277" t="n"/>
      <c r="AR19" s="1277" t="n"/>
      <c r="AS19" s="2138" t="n"/>
      <c r="AT19" s="1277" t="n"/>
      <c r="AU19" s="1277" t="n"/>
      <c r="AV19" s="854">
        <f>(AL19=0)</f>
        <v/>
      </c>
    </row>
    <row r="20" ht="13.5" customHeight="1" s="7635">
      <c r="A20" s="1277" t="n"/>
      <c r="B20" s="8966" t="n">
        <v>4</v>
      </c>
      <c r="C20" s="2140" t="inlineStr">
        <is>
          <t>Number of qualifying children under age 17 with the required social security number</t>
        </is>
      </c>
      <c r="D20" s="2141" t="n"/>
      <c r="E20" s="2141" t="n"/>
      <c r="F20" s="2141" t="n"/>
      <c r="G20" s="2141" t="n"/>
      <c r="H20" s="2141" t="n"/>
      <c r="I20" s="2141" t="n"/>
      <c r="J20" s="2141" t="n"/>
      <c r="K20" s="2141" t="n"/>
      <c r="L20" s="2141" t="n"/>
      <c r="M20" s="2141" t="n"/>
      <c r="N20" s="2141" t="n"/>
      <c r="O20" s="2141" t="n"/>
      <c r="P20" s="2141" t="n"/>
      <c r="Q20" s="2141" t="n"/>
      <c r="R20" s="2141" t="n"/>
      <c r="S20" s="2141" t="n"/>
      <c r="T20" s="2141" t="n"/>
      <c r="U20" s="2133" t="n"/>
      <c r="V20" s="2133" t="n"/>
      <c r="W20" s="2133" t="n"/>
      <c r="X20" s="2133" t="n"/>
      <c r="Y20" s="2133" t="n"/>
      <c r="Z20" s="2133" t="n"/>
      <c r="AA20" s="2133" t="n"/>
      <c r="AB20" s="1401" t="n"/>
      <c r="AC20" s="10986" t="n">
        <v>4</v>
      </c>
      <c r="AD20" s="7638" t="n"/>
      <c r="AE20" s="12698">
        <f>IF(AS20&lt;&gt;"",ROUND(AS20,0),Qual_Childen_Under_17)</f>
        <v/>
      </c>
      <c r="AF20" s="7637" t="n"/>
      <c r="AG20" s="7637" t="n"/>
      <c r="AH20" s="7637" t="n"/>
      <c r="AI20" s="7638" t="n"/>
      <c r="AJ20" s="11038" t="n"/>
      <c r="AK20" s="11039" t="n"/>
      <c r="AL20" s="10966" t="n">
        <v>2200</v>
      </c>
      <c r="AQ20" s="1277" t="n"/>
      <c r="AR20" s="1277" t="n"/>
      <c r="AS20" s="804" t="n"/>
      <c r="AT20" s="1277" t="n"/>
      <c r="AU20" s="1277" t="n"/>
    </row>
    <row r="21" ht="13.5" customHeight="1" s="7635">
      <c r="A21" s="1277" t="n"/>
      <c r="B21" s="2142" t="inlineStr">
        <is>
          <t>5</t>
        </is>
      </c>
      <c r="C21" s="2123">
        <f>"Multiply line 4 by "&amp;TEXT(AL20,"$0,000")</f>
        <v/>
      </c>
      <c r="D21" s="2125" t="n"/>
      <c r="E21" s="2127" t="n"/>
      <c r="F21" s="2127" t="n"/>
      <c r="G21" s="2127" t="n"/>
      <c r="H21" s="2127" t="n"/>
      <c r="I21" s="2127" t="n"/>
      <c r="J21" s="2127" t="n"/>
      <c r="K21" s="2127" t="n"/>
      <c r="L21" s="2127" t="n"/>
      <c r="M21" s="2132" t="n"/>
      <c r="N21" s="2133" t="n"/>
      <c r="O21" s="2133" t="n"/>
      <c r="P21" s="2133" t="n"/>
      <c r="Q21" s="2133" t="n"/>
      <c r="R21" s="2133" t="n"/>
      <c r="S21" s="2133" t="n"/>
      <c r="T21" s="2133" t="n"/>
      <c r="U21" s="2133" t="n"/>
      <c r="V21" s="2133" t="n"/>
      <c r="W21" s="2133" t="n"/>
      <c r="X21" s="2133" t="n"/>
      <c r="Y21" s="2133" t="n"/>
      <c r="Z21" s="2133" t="n"/>
      <c r="AA21" s="2133" t="n"/>
      <c r="AB21" s="2133" t="n"/>
      <c r="AC21" s="2133" t="n"/>
      <c r="AD21" s="2133" t="n"/>
      <c r="AE21" s="2137" t="n"/>
      <c r="AF21" s="2137" t="n"/>
      <c r="AG21" s="2137" t="n"/>
      <c r="AH21" s="2137" t="n"/>
      <c r="AI21" s="1401" t="inlineStr">
        <is>
          <t xml:space="preserve">.   .   .   .   .   .   .   .   .   .   .   .   .   .   .   .   .   .   .   .   .   .   .   .   .   .   .   .   .   .   .   .   .  </t>
        </is>
      </c>
      <c r="AJ21" s="10938" t="inlineStr">
        <is>
          <t>5</t>
        </is>
      </c>
      <c r="AK21" s="7638" t="n"/>
      <c r="AL21" s="10961">
        <f>ROUND(AL20*AE20,0)</f>
        <v/>
      </c>
      <c r="AM21" s="7637" t="n"/>
      <c r="AN21" s="7637" t="n"/>
      <c r="AO21" s="7637" t="n"/>
      <c r="AP21" s="7637" t="n"/>
      <c r="AQ21" s="1277" t="n"/>
      <c r="AR21" s="1277" t="n"/>
      <c r="AS21" s="2138" t="n"/>
      <c r="AT21" s="1277" t="n"/>
      <c r="AU21" s="1277" t="n"/>
    </row>
    <row r="22" ht="13.5" customHeight="1" s="7635">
      <c r="A22" s="1277" t="n"/>
      <c r="B22" s="2142" t="inlineStr">
        <is>
          <t>6</t>
        </is>
      </c>
      <c r="C22" s="2123" t="inlineStr">
        <is>
          <t>Number of other dependents, including any qualifying children who are not under age</t>
        </is>
      </c>
      <c r="D22" s="2125" t="n"/>
      <c r="E22" s="2127" t="n"/>
      <c r="F22" s="2127" t="n"/>
      <c r="G22" s="2127" t="n"/>
      <c r="H22" s="2127" t="n"/>
      <c r="I22" s="2127" t="n"/>
      <c r="J22" s="2127" t="n"/>
      <c r="K22" s="2127" t="n"/>
      <c r="L22" s="2127" t="n"/>
      <c r="M22" s="2132" t="n"/>
      <c r="N22" s="2133" t="n"/>
      <c r="O22" s="2133" t="n"/>
      <c r="P22" s="2133" t="n"/>
      <c r="Q22" s="2133" t="n"/>
      <c r="R22" s="2133" t="n"/>
      <c r="S22" s="2133" t="n"/>
      <c r="T22" s="2133" t="n"/>
      <c r="U22" s="2133" t="n"/>
      <c r="V22" s="2133" t="n"/>
      <c r="W22" s="2133" t="n"/>
      <c r="X22" s="2133" t="n"/>
      <c r="Y22" s="2133" t="n"/>
      <c r="Z22" s="2133" t="n"/>
      <c r="AA22" s="2133" t="n"/>
      <c r="AB22" s="2133" t="n"/>
      <c r="AC22" s="2133" t="n"/>
      <c r="AD22" s="2133" t="n"/>
      <c r="AE22" s="2137" t="n"/>
      <c r="AF22" s="2137" t="n"/>
      <c r="AG22" s="2137" t="n"/>
      <c r="AH22" s="2137" t="n"/>
      <c r="AI22" s="2139" t="n"/>
      <c r="AJ22" s="2143" t="n"/>
      <c r="AK22" s="2144" t="n"/>
      <c r="AL22" s="2134" t="n"/>
      <c r="AM22" s="510" t="n"/>
      <c r="AN22" s="510" t="n"/>
      <c r="AO22" s="510" t="n"/>
      <c r="AP22" s="510" t="n"/>
      <c r="AQ22" s="1277" t="n"/>
      <c r="AR22" s="1277" t="n"/>
      <c r="AS22" s="2138" t="n"/>
      <c r="AT22" s="1277" t="n"/>
      <c r="AU22" s="1277" t="n"/>
    </row>
    <row r="23" ht="13.5" customHeight="1" s="7635">
      <c r="A23" s="1277" t="n"/>
      <c r="B23" s="9135" t="n"/>
      <c r="C23" s="2123" t="inlineStr">
        <is>
          <t>17 or who do not have the required social security number</t>
        </is>
      </c>
      <c r="D23" s="9237" t="n"/>
      <c r="E23" s="9237" t="n"/>
      <c r="F23" s="9237" t="n"/>
      <c r="G23" s="9237" t="n"/>
      <c r="H23" s="9237" t="n"/>
      <c r="I23" s="9237" t="n"/>
      <c r="J23" s="9237" t="n"/>
      <c r="K23" s="9237" t="n"/>
      <c r="L23" s="9237" t="n"/>
      <c r="M23" s="344" t="n"/>
      <c r="N23" s="7914" t="n"/>
      <c r="O23" s="7914" t="n"/>
      <c r="P23" s="7914" t="n"/>
      <c r="Q23" s="7914" t="n"/>
      <c r="R23" s="7914" t="n"/>
      <c r="S23" s="7914" t="n"/>
      <c r="T23" s="7914" t="n"/>
      <c r="U23" s="7914" t="n"/>
      <c r="V23" s="7914" t="n"/>
      <c r="W23" s="7914" t="n"/>
      <c r="X23" s="7914" t="n"/>
      <c r="Y23" s="7914" t="n"/>
      <c r="Z23" s="7914" t="n"/>
      <c r="AA23" s="7914" t="n"/>
      <c r="AB23" s="1401" t="inlineStr">
        <is>
          <t xml:space="preserve">.   .   .   .   .   .   .   .   .   .   .   .   .  </t>
        </is>
      </c>
      <c r="AC23" s="10938" t="inlineStr">
        <is>
          <t>6</t>
        </is>
      </c>
      <c r="AD23" s="7638" t="n"/>
      <c r="AE23" s="12698">
        <f>IF(AS23&lt;&gt;"",ROUND(AS23,0),SUM(CFOD_QC_Under_17,CFOD_Other_Depend))</f>
        <v/>
      </c>
      <c r="AF23" s="7637" t="n"/>
      <c r="AG23" s="7637" t="n"/>
      <c r="AH23" s="7637" t="n"/>
      <c r="AI23" s="7638" t="n"/>
      <c r="AJ23" s="2146" t="n"/>
      <c r="AK23" s="2147" t="n"/>
      <c r="AL23" s="11033" t="n">
        <v>500</v>
      </c>
      <c r="AQ23" s="1277" t="n"/>
      <c r="AR23" s="1277" t="n"/>
      <c r="AS23" s="7846" t="n"/>
      <c r="AT23" s="1277" t="n"/>
      <c r="AU23" s="1277" t="n"/>
    </row>
    <row r="24" ht="13.5" customHeight="1" s="7635">
      <c r="A24" s="1277" t="n"/>
      <c r="B24" s="9135" t="n"/>
      <c r="C24" s="2125" t="inlineStr">
        <is>
          <t>Caution: Do not include yourself, your spouse, or anyone who is not a U.S. citizen, U.S. national, or U.S. resident</t>
        </is>
      </c>
      <c r="D24" s="9237" t="n"/>
      <c r="E24" s="9237" t="n"/>
      <c r="F24" s="9237" t="n"/>
      <c r="G24" s="9237" t="n"/>
      <c r="H24" s="9237" t="n"/>
      <c r="I24" s="9237" t="n"/>
      <c r="J24" s="9237" t="n"/>
      <c r="K24" s="9237" t="n"/>
      <c r="L24" s="9237" t="n"/>
      <c r="M24" s="344" t="n"/>
      <c r="N24" s="7914" t="n"/>
      <c r="O24" s="7914" t="n"/>
      <c r="P24" s="7914" t="n"/>
      <c r="Q24" s="7914" t="n"/>
      <c r="R24" s="7914" t="n"/>
      <c r="S24" s="7914" t="n"/>
      <c r="T24" s="7914" t="n"/>
      <c r="U24" s="7914" t="n"/>
      <c r="V24" s="7914" t="n"/>
      <c r="W24" s="7914" t="n"/>
      <c r="X24" s="7914" t="n"/>
      <c r="Y24" s="7914" t="n"/>
      <c r="Z24" s="7914" t="n"/>
      <c r="AA24" s="7914" t="n"/>
      <c r="AB24" s="7914" t="n"/>
      <c r="AC24" s="7914" t="n"/>
      <c r="AD24" s="7914" t="n"/>
      <c r="AE24" s="7914" t="n"/>
      <c r="AF24" s="7914" t="n"/>
      <c r="AG24" s="7914" t="n"/>
      <c r="AH24" s="7914" t="n"/>
      <c r="AI24" s="7914" t="n"/>
      <c r="AJ24" s="2146" t="n"/>
      <c r="AK24" s="2147" t="n"/>
      <c r="AL24" s="11033" t="n"/>
      <c r="AM24" s="10974" t="n"/>
      <c r="AN24" s="10974" t="n"/>
      <c r="AO24" s="10974" t="n"/>
      <c r="AP24" s="10974" t="n"/>
      <c r="AQ24" s="1277" t="n"/>
      <c r="AR24" s="1277" t="n"/>
      <c r="AS24" s="2138" t="n"/>
      <c r="AT24" s="1277" t="n"/>
      <c r="AU24" s="1277" t="n"/>
    </row>
    <row r="25" ht="13.5" customHeight="1" s="7635">
      <c r="A25" s="1277" t="n"/>
      <c r="B25" s="9135" t="n"/>
      <c r="C25" s="2125" t="inlineStr">
        <is>
          <t>alien. Also, do not include anyone you included on line 4.</t>
        </is>
      </c>
      <c r="D25" s="9237" t="n"/>
      <c r="E25" s="9237" t="n"/>
      <c r="F25" s="9237" t="n"/>
      <c r="G25" s="9237" t="n"/>
      <c r="H25" s="9237" t="n"/>
      <c r="I25" s="9237" t="n"/>
      <c r="J25" s="9237" t="n"/>
      <c r="K25" s="9237" t="n"/>
      <c r="L25" s="9237" t="n"/>
      <c r="M25" s="344" t="n"/>
      <c r="N25" s="7914" t="n"/>
      <c r="O25" s="7914" t="n"/>
      <c r="P25" s="7914" t="n"/>
      <c r="Q25" s="7914" t="n"/>
      <c r="R25" s="7914" t="n"/>
      <c r="S25" s="7914" t="n"/>
      <c r="T25" s="7914" t="n"/>
      <c r="U25" s="7914" t="n"/>
      <c r="V25" s="7914" t="n"/>
      <c r="W25" s="7914" t="n"/>
      <c r="X25" s="7914" t="n"/>
      <c r="Y25" s="7914" t="n"/>
      <c r="Z25" s="7914" t="n"/>
      <c r="AA25" s="7914" t="n"/>
      <c r="AB25" s="7914" t="n"/>
      <c r="AC25" s="7914" t="n"/>
      <c r="AD25" s="7914" t="n"/>
      <c r="AE25" s="7914" t="n"/>
      <c r="AF25" s="7914" t="n"/>
      <c r="AG25" s="7914" t="n"/>
      <c r="AH25" s="7914" t="n"/>
      <c r="AI25" s="7914" t="n"/>
      <c r="AJ25" s="2146" t="n"/>
      <c r="AK25" s="2147" t="n"/>
      <c r="AL25" s="11033" t="n"/>
      <c r="AM25" s="10974" t="n"/>
      <c r="AN25" s="10974" t="n"/>
      <c r="AO25" s="10974" t="n"/>
      <c r="AP25" s="10974" t="n"/>
      <c r="AQ25" s="1277" t="n"/>
      <c r="AR25" s="1277" t="n"/>
      <c r="AS25" s="2138" t="n"/>
      <c r="AT25" s="1277" t="n"/>
      <c r="AU25" s="1277" t="n"/>
    </row>
    <row r="26" ht="15.75" customHeight="1" s="7635">
      <c r="A26" s="1277" t="n"/>
      <c r="B26" s="2142" t="inlineStr">
        <is>
          <t>7</t>
        </is>
      </c>
      <c r="C26" s="2123">
        <f>"Multiply line 6 by "&amp;TEXT(AL23,"$0")</f>
        <v/>
      </c>
      <c r="D26" s="7645" t="n"/>
      <c r="E26" s="344" t="n"/>
      <c r="F26" s="344" t="n"/>
      <c r="G26" s="344" t="n"/>
      <c r="H26" s="344" t="n"/>
      <c r="I26" s="344" t="n"/>
      <c r="J26" s="344" t="n"/>
      <c r="K26" s="344" t="n"/>
      <c r="L26" s="344" t="n"/>
      <c r="M26" s="344" t="n"/>
      <c r="N26" s="873" t="n"/>
      <c r="O26" s="873" t="n"/>
      <c r="P26" s="873" t="n"/>
      <c r="Q26" s="873" t="n"/>
      <c r="R26" s="873" t="n"/>
      <c r="S26" s="2132" t="n"/>
      <c r="T26" s="2132" t="n"/>
      <c r="U26" s="2137" t="n"/>
      <c r="V26" s="2132" t="n"/>
      <c r="W26" s="2132" t="n"/>
      <c r="X26" s="2132" t="n"/>
      <c r="Y26" s="2132" t="n"/>
      <c r="Z26" s="2132" t="n"/>
      <c r="AA26" s="2132" t="n"/>
      <c r="AB26" s="2132" t="n"/>
      <c r="AC26" s="2132" t="n"/>
      <c r="AD26" s="2132" t="n"/>
      <c r="AE26" s="2137" t="n"/>
      <c r="AF26" s="2137" t="n"/>
      <c r="AG26" s="2137" t="n"/>
      <c r="AH26" s="2139" t="n"/>
      <c r="AI26" s="1401" t="inlineStr">
        <is>
          <t xml:space="preserve">.   .   .   .   .   .   .   .   .   .   .   .   .   .   .   .   .   .   .   .   .   .   .   .   .   .   .   .   .   .   .   .   .   .   .  </t>
        </is>
      </c>
      <c r="AJ26" s="10938" t="inlineStr">
        <is>
          <t>7</t>
        </is>
      </c>
      <c r="AK26" s="7638" t="n"/>
      <c r="AL26" s="10961">
        <f>ROUND(AE23*AL23,0)</f>
        <v/>
      </c>
      <c r="AM26" s="7637" t="n"/>
      <c r="AN26" s="7637" t="n"/>
      <c r="AO26" s="7637" t="n"/>
      <c r="AP26" s="7637" t="n"/>
      <c r="AQ26" s="1277" t="n"/>
      <c r="AR26" s="1277" t="n"/>
      <c r="AS26" s="1277" t="n"/>
      <c r="AT26" s="1277" t="n"/>
      <c r="AU26" s="1277" t="n"/>
    </row>
    <row r="27" ht="15.75" customHeight="1" s="7635">
      <c r="A27" s="1277" t="n"/>
      <c r="B27" s="2142" t="inlineStr">
        <is>
          <t>8</t>
        </is>
      </c>
      <c r="C27" s="2123" t="inlineStr">
        <is>
          <t>Add lines 5 and 7</t>
        </is>
      </c>
      <c r="D27" s="344" t="n"/>
      <c r="E27" s="344" t="n"/>
      <c r="F27" s="344" t="n"/>
      <c r="G27" s="344" t="n"/>
      <c r="H27" s="344" t="n"/>
      <c r="I27" s="344" t="n"/>
      <c r="J27" s="344" t="n"/>
      <c r="K27" s="344" t="n"/>
      <c r="L27" s="344" t="n"/>
      <c r="M27" s="344" t="n"/>
      <c r="N27" s="873" t="n"/>
      <c r="O27" s="873" t="n"/>
      <c r="P27" s="873" t="n"/>
      <c r="Q27" s="873" t="n"/>
      <c r="R27" s="873" t="n"/>
      <c r="S27" s="2132" t="n"/>
      <c r="T27" s="2132" t="n"/>
      <c r="U27" s="2137" t="n"/>
      <c r="V27" s="2132" t="n"/>
      <c r="W27" s="2132" t="n"/>
      <c r="X27" s="2132" t="n"/>
      <c r="Y27" s="2132" t="n"/>
      <c r="Z27" s="2132" t="n"/>
      <c r="AA27" s="2132" t="n"/>
      <c r="AB27" s="2132" t="n"/>
      <c r="AC27" s="2132" t="n"/>
      <c r="AD27" s="2132" t="n"/>
      <c r="AE27" s="2137" t="n"/>
      <c r="AF27" s="2137" t="n"/>
      <c r="AG27" s="2137" t="n"/>
      <c r="AH27" s="2139" t="n"/>
      <c r="AI27" s="1401" t="inlineStr">
        <is>
          <t xml:space="preserve">.   .   .   .   .   .   .   .   .   .   .   .   .   .   .   .   .   .   .   .   .   .   .   .   .   .   .   .   .   .   .   .   .   .   .   .  </t>
        </is>
      </c>
      <c r="AJ27" s="10938" t="inlineStr">
        <is>
          <t>8</t>
        </is>
      </c>
      <c r="AK27" s="7638" t="n"/>
      <c r="AL27" s="10961">
        <f>IF(AS27&lt;&gt;"",ROUND(AS27,0),SUM(AL21,AL26))</f>
        <v/>
      </c>
      <c r="AM27" s="7637" t="n"/>
      <c r="AN27" s="7637" t="n"/>
      <c r="AO27" s="7637" t="n"/>
      <c r="AP27" s="7637" t="n"/>
      <c r="AQ27" s="1277" t="n"/>
      <c r="AR27" s="1277" t="n"/>
      <c r="AS27" s="7846" t="n"/>
      <c r="AT27" s="1277" t="n"/>
      <c r="AU27" s="1277" t="n"/>
    </row>
    <row r="28" customFormat="1" s="9864">
      <c r="A28" s="2113" t="n"/>
      <c r="B28" s="2142" t="inlineStr">
        <is>
          <t>9</t>
        </is>
      </c>
      <c r="C28" s="2123" t="inlineStr">
        <is>
          <t>Enter the amount shown below for your filing status.</t>
        </is>
      </c>
      <c r="D28" s="516" t="n"/>
      <c r="E28" s="516" t="n"/>
      <c r="F28" s="516" t="n"/>
      <c r="G28" s="516" t="n"/>
      <c r="H28" s="516" t="n"/>
      <c r="I28" s="516" t="n"/>
      <c r="J28" s="516" t="n"/>
      <c r="K28" s="516" t="n"/>
      <c r="L28" s="516" t="n"/>
      <c r="M28" s="516" t="n"/>
      <c r="N28" s="7645" t="n"/>
      <c r="O28" s="7645" t="n"/>
      <c r="P28" s="7645" t="n"/>
      <c r="Q28" s="7645" t="n"/>
      <c r="R28" s="7645" t="n"/>
      <c r="S28" s="7645" t="n"/>
      <c r="T28" s="7645" t="n"/>
      <c r="U28" s="7645" t="n"/>
      <c r="V28" s="7645" t="n"/>
      <c r="W28" s="7645" t="n"/>
      <c r="X28" s="7645" t="n"/>
      <c r="Y28" s="7645" t="n"/>
      <c r="Z28" s="7645" t="n"/>
      <c r="AA28" s="7645" t="n"/>
      <c r="AB28" s="7645" t="n"/>
      <c r="AC28" s="7645" t="n"/>
      <c r="AD28" s="7645" t="n"/>
      <c r="AE28" s="7645" t="n"/>
      <c r="AF28" s="7645" t="n"/>
      <c r="AG28" s="7645" t="n"/>
      <c r="AH28" s="7645" t="n"/>
      <c r="AI28" s="7645" t="n"/>
      <c r="AJ28" s="2150" t="n"/>
      <c r="AK28" s="2151" t="n"/>
      <c r="AL28" s="7375" t="n"/>
      <c r="AM28" s="7375" t="n"/>
      <c r="AN28" s="7375" t="n"/>
      <c r="AO28" s="7375" t="n"/>
      <c r="AP28" s="7375" t="n"/>
      <c r="AQ28" s="2113" t="n"/>
      <c r="AR28" s="1277" t="n"/>
      <c r="AS28" s="2138" t="n"/>
      <c r="AT28" s="1277" t="n"/>
      <c r="AU28" s="1277" t="n"/>
      <c r="AX28" s="665" t="n"/>
      <c r="AY28" s="665" t="n"/>
      <c r="AZ28" s="665" t="n"/>
      <c r="BA28" s="665" t="n"/>
      <c r="BB28" s="665" t="n"/>
      <c r="BC28" s="665" t="n"/>
      <c r="BD28" s="665" t="n"/>
      <c r="BE28" s="665" t="n"/>
      <c r="BF28" s="665" t="n"/>
      <c r="BG28" s="665" t="n"/>
      <c r="BH28" s="665" t="n"/>
    </row>
    <row r="29" ht="11.25" customHeight="1" s="7635">
      <c r="A29" s="1277" t="n"/>
      <c r="B29" s="7645" t="n"/>
      <c r="C29" s="10615" t="inlineStr">
        <is>
          <t>•</t>
        </is>
      </c>
      <c r="D29" s="2152" t="inlineStr">
        <is>
          <t>Married filing jointly   ---</t>
        </is>
      </c>
      <c r="E29" s="344" t="n"/>
      <c r="F29" s="344" t="n"/>
      <c r="G29" s="344" t="n"/>
      <c r="H29" s="344" t="n"/>
      <c r="I29" s="344" t="n"/>
      <c r="J29" s="12699" t="n"/>
      <c r="K29" s="12700" t="n">
        <v>400000</v>
      </c>
      <c r="O29" s="873" t="n"/>
      <c r="P29" s="873" t="n"/>
      <c r="Q29" s="873" t="n"/>
      <c r="R29" s="873" t="n"/>
      <c r="S29" s="873" t="n"/>
      <c r="T29" s="873" t="n"/>
      <c r="U29" s="873" t="n"/>
      <c r="V29" s="873" t="n"/>
      <c r="W29" s="873" t="n"/>
      <c r="X29" s="873" t="n"/>
      <c r="Y29" s="873" t="n"/>
      <c r="Z29" s="873" t="n"/>
      <c r="AA29" s="873" t="n"/>
      <c r="AB29" s="873" t="n"/>
      <c r="AC29" s="873" t="n"/>
      <c r="AD29" s="873" t="n"/>
      <c r="AE29" s="873" t="n"/>
      <c r="AF29" s="873" t="n"/>
      <c r="AG29" s="873" t="n"/>
      <c r="AH29" s="873" t="n"/>
      <c r="AI29" s="873" t="n"/>
      <c r="AJ29" s="2150" t="n"/>
      <c r="AK29" s="2151" t="n"/>
      <c r="AL29" s="7375" t="n"/>
      <c r="AM29" s="7375" t="n"/>
      <c r="AN29" s="7375" t="n"/>
      <c r="AO29" s="7375" t="n"/>
      <c r="AP29" s="7375" t="n"/>
      <c r="AQ29" s="1277" t="n"/>
      <c r="AR29" s="1277" t="n"/>
      <c r="AS29" s="2138" t="n"/>
      <c r="AT29" s="1277" t="n"/>
      <c r="AU29" s="1277" t="n"/>
    </row>
    <row r="30" ht="15" customHeight="1" s="7635">
      <c r="A30" s="1277" t="n"/>
      <c r="B30" s="873" t="n"/>
      <c r="C30" s="10615" t="inlineStr">
        <is>
          <t>•</t>
        </is>
      </c>
      <c r="D30" s="2152" t="inlineStr">
        <is>
          <t>All other filing statuses   ---</t>
        </is>
      </c>
      <c r="E30" s="344" t="n"/>
      <c r="F30" s="344" t="n"/>
      <c r="G30" s="2132" t="n"/>
      <c r="H30" s="344" t="n"/>
      <c r="I30" s="344" t="n"/>
      <c r="J30" s="350" t="n"/>
      <c r="K30" s="12699" t="n"/>
      <c r="L30" s="12701" t="n">
        <v>200000</v>
      </c>
      <c r="P30" s="344" t="n"/>
      <c r="Q30" s="344" t="n"/>
      <c r="R30" s="344" t="n"/>
      <c r="S30" s="344" t="n"/>
      <c r="T30" s="344" t="n"/>
      <c r="U30" s="7645" t="n"/>
      <c r="V30" s="344" t="n"/>
      <c r="W30" s="344" t="n"/>
      <c r="X30" s="344" t="n"/>
      <c r="Y30" s="344" t="n"/>
      <c r="Z30" s="344" t="n"/>
      <c r="AA30" s="344" t="n"/>
      <c r="AB30" s="344" t="n"/>
      <c r="AC30" s="344" t="n"/>
      <c r="AD30" s="344" t="n"/>
      <c r="AE30" s="344" t="n"/>
      <c r="AF30" s="344" t="n"/>
      <c r="AG30" s="344" t="n"/>
      <c r="AH30" s="344" t="n"/>
      <c r="AI30" s="1401" t="inlineStr">
        <is>
          <t xml:space="preserve">.   .   .   .   .   .   .   .   .   .   .   .   .   .   .   .   .   .   .   .   .   .   .   .   .   .   .   .   .  </t>
        </is>
      </c>
      <c r="AJ30" s="10938" t="inlineStr">
        <is>
          <t>9</t>
        </is>
      </c>
      <c r="AK30" s="7638" t="n"/>
      <c r="AL30" s="11029">
        <f>IF(AV30,"&lt;Filing status?&gt;",IF(File_Marr_Joint&lt;&gt;"",K29,L30))</f>
        <v/>
      </c>
      <c r="AM30" s="7637" t="n"/>
      <c r="AN30" s="7637" t="n"/>
      <c r="AO30" s="7637" t="n"/>
      <c r="AP30" s="7637" t="n"/>
      <c r="AQ30" s="1277" t="n"/>
      <c r="AR30" s="1277" t="n"/>
      <c r="AS30" s="2138" t="n"/>
      <c r="AT30" s="2153" t="n"/>
      <c r="AU30" s="1277" t="n"/>
      <c r="AV30" s="7834">
        <f>NumFileStatusBoxes=0</f>
        <v/>
      </c>
    </row>
    <row r="31" ht="11.25" customHeight="1" s="7635">
      <c r="A31" s="1277" t="n"/>
      <c r="B31" s="2142" t="inlineStr">
        <is>
          <t>10</t>
        </is>
      </c>
      <c r="C31" s="2123" t="inlineStr">
        <is>
          <t>Subtract line 9 from line 3.</t>
        </is>
      </c>
      <c r="D31" s="1218" t="n"/>
      <c r="E31" s="344" t="n"/>
      <c r="F31" s="344" t="n"/>
      <c r="G31" s="344" t="n"/>
      <c r="H31" s="344" t="n"/>
      <c r="I31" s="344" t="n"/>
      <c r="J31" s="344" t="n"/>
      <c r="K31" s="344" t="n"/>
      <c r="L31" s="344" t="n"/>
      <c r="M31" s="344" t="n"/>
      <c r="N31" s="7914" t="n"/>
      <c r="O31" s="7914" t="n"/>
      <c r="P31" s="7914" t="n"/>
      <c r="Q31" s="7914" t="n"/>
      <c r="R31" s="7914" t="n"/>
      <c r="S31" s="7914" t="n"/>
      <c r="T31" s="7914" t="n"/>
      <c r="U31" s="7914" t="n"/>
      <c r="V31" s="7914" t="n"/>
      <c r="W31" s="7914" t="n"/>
      <c r="X31" s="7914" t="n"/>
      <c r="Y31" s="7914" t="n"/>
      <c r="Z31" s="7914" t="n"/>
      <c r="AA31" s="7914" t="n"/>
      <c r="AB31" s="7914" t="n"/>
      <c r="AC31" s="7914" t="n"/>
      <c r="AD31" s="7914" t="n"/>
      <c r="AE31" s="7914" t="n"/>
      <c r="AF31" s="7914" t="n"/>
      <c r="AG31" s="7914" t="n"/>
      <c r="AH31" s="7914" t="n"/>
      <c r="AI31" s="7914" t="n"/>
      <c r="AJ31" s="2150" t="n"/>
      <c r="AK31" s="2151" t="n"/>
      <c r="AL31" s="7375" t="n"/>
      <c r="AM31" s="7375" t="n"/>
      <c r="AN31" s="7375" t="n"/>
      <c r="AO31" s="7375" t="n"/>
      <c r="AP31" s="7375" t="n"/>
      <c r="AQ31" s="1277" t="n"/>
      <c r="AR31" s="1277" t="n"/>
      <c r="AS31" s="2138" t="n"/>
      <c r="AT31" s="1277" t="n"/>
      <c r="AU31" s="1277" t="n"/>
    </row>
    <row r="32" ht="15" customHeight="1" s="7635">
      <c r="A32" s="1277" t="n"/>
      <c r="B32" s="7886" t="n"/>
      <c r="C32" s="10615" t="inlineStr">
        <is>
          <t>•</t>
        </is>
      </c>
      <c r="D32" s="2152" t="inlineStr">
        <is>
          <t>If zero or less, enter -0-.</t>
        </is>
      </c>
      <c r="E32" s="344" t="n"/>
      <c r="F32" s="344" t="n"/>
      <c r="G32" s="2132" t="n"/>
      <c r="H32" s="344" t="n"/>
      <c r="I32" s="344" t="n"/>
      <c r="J32" s="344" t="n"/>
      <c r="K32" s="344" t="n"/>
      <c r="L32" s="344" t="n"/>
      <c r="M32" s="344" t="n"/>
      <c r="N32" s="344" t="n"/>
      <c r="O32" s="344" t="n"/>
      <c r="P32" s="344" t="n"/>
      <c r="Q32" s="344" t="n"/>
      <c r="R32" s="344" t="n"/>
      <c r="S32" s="344" t="n"/>
      <c r="T32" s="344" t="n"/>
      <c r="U32" s="344" t="n"/>
      <c r="V32" s="344" t="n"/>
      <c r="W32" s="344" t="n"/>
      <c r="X32" s="344" t="n"/>
      <c r="Y32" s="344" t="n"/>
      <c r="Z32" s="344" t="n"/>
      <c r="AA32" s="344" t="n"/>
      <c r="AB32" s="344" t="n"/>
      <c r="AC32" s="344" t="n"/>
      <c r="AD32" s="344" t="n"/>
      <c r="AE32" s="344" t="n"/>
      <c r="AF32" s="344" t="n"/>
      <c r="AG32" s="344" t="n"/>
      <c r="AH32" s="344" t="n"/>
      <c r="AI32" s="344" t="n"/>
      <c r="AJ32" s="2150" t="n"/>
      <c r="AK32" s="2151" t="n"/>
      <c r="AL32" s="11036">
        <f>IF(AV30,0,IF(SUM(AL19,-AL30)=ROUND(SUM(AL19,-AL30),-3),SUM(AL19,-AL30),ROUNDUP(SUM(AL19,-AL30),-3)))</f>
        <v/>
      </c>
      <c r="AQ32" s="1277" t="n"/>
      <c r="AR32" s="1277" t="n"/>
      <c r="AS32" s="2138" t="n"/>
      <c r="AT32" s="1277" t="n"/>
      <c r="AU32" s="1277" t="n"/>
    </row>
    <row r="33" ht="15" customHeight="1" s="7635">
      <c r="A33" s="1277" t="n"/>
      <c r="B33" s="7886" t="n"/>
      <c r="C33" s="10615" t="inlineStr">
        <is>
          <t>•</t>
        </is>
      </c>
      <c r="D33" s="2152" t="inlineStr">
        <is>
          <t>If more than zero and not a multiple of $1,000, enter the next multiple of $1,000.  For</t>
        </is>
      </c>
      <c r="E33" s="344" t="n"/>
      <c r="F33" s="344" t="n"/>
      <c r="G33" s="2132" t="n"/>
      <c r="H33" s="344" t="n"/>
      <c r="I33" s="344" t="n"/>
      <c r="J33" s="344" t="n"/>
      <c r="K33" s="344" t="n"/>
      <c r="L33" s="344" t="n"/>
      <c r="M33" s="344" t="n"/>
      <c r="N33" s="344" t="n"/>
      <c r="O33" s="344" t="n"/>
      <c r="P33" s="344" t="n"/>
      <c r="Q33" s="344" t="n"/>
      <c r="R33" s="344" t="n"/>
      <c r="S33" s="344" t="n"/>
      <c r="T33" s="344" t="n"/>
      <c r="U33" s="344" t="n"/>
      <c r="V33" s="344" t="n"/>
      <c r="W33" s="344" t="n"/>
      <c r="X33" s="344" t="n"/>
      <c r="Y33" s="344" t="n"/>
      <c r="Z33" s="344" t="n"/>
      <c r="AA33" s="344" t="n"/>
      <c r="AB33" s="344" t="n"/>
      <c r="AC33" s="344" t="n"/>
      <c r="AD33" s="344" t="n"/>
      <c r="AE33" s="344" t="n"/>
      <c r="AF33" s="344" t="n"/>
      <c r="AG33" s="344" t="n"/>
      <c r="AH33" s="344" t="n"/>
      <c r="AI33" s="344" t="n"/>
      <c r="AJ33" s="2150" t="n"/>
      <c r="AK33" s="2151" t="n"/>
      <c r="AL33" s="11034" t="n">
        <v>0.05</v>
      </c>
      <c r="AQ33" s="1277" t="n"/>
      <c r="AR33" s="1277" t="n"/>
      <c r="AS33" s="2138" t="n"/>
      <c r="AT33" s="1277" t="n"/>
      <c r="AU33" s="1277" t="n"/>
    </row>
    <row r="34" ht="14.25" customHeight="1" s="7635">
      <c r="A34" s="2153" t="inlineStr">
        <is>
          <t>`</t>
        </is>
      </c>
      <c r="B34" s="7886" t="n"/>
      <c r="C34" s="2123" t="inlineStr">
        <is>
          <t>example, if the result is $425, enter $1,000; if the result is $1,025, enter $2,000, etc.</t>
        </is>
      </c>
      <c r="D34" s="344" t="n"/>
      <c r="E34" s="344" t="n"/>
      <c r="F34" s="344" t="n"/>
      <c r="G34" s="2132" t="n"/>
      <c r="H34" s="344" t="n"/>
      <c r="I34" s="344" t="n"/>
      <c r="J34" s="344" t="n"/>
      <c r="K34" s="344" t="n"/>
      <c r="L34" s="344" t="n"/>
      <c r="M34" s="344" t="n"/>
      <c r="N34" s="344" t="n"/>
      <c r="O34" s="344" t="n"/>
      <c r="P34" s="344" t="n"/>
      <c r="Q34" s="344" t="n"/>
      <c r="R34" s="344" t="n"/>
      <c r="S34" s="344" t="n"/>
      <c r="T34" s="344" t="n"/>
      <c r="U34" s="344" t="n"/>
      <c r="V34" s="344" t="n"/>
      <c r="W34" s="344" t="n"/>
      <c r="X34" s="344" t="n"/>
      <c r="Y34" s="344" t="n"/>
      <c r="Z34" s="344" t="n"/>
      <c r="AA34" s="344" t="n"/>
      <c r="AB34" s="344" t="n"/>
      <c r="AC34" s="344" t="n"/>
      <c r="AD34" s="344" t="n"/>
      <c r="AE34" s="344" t="n"/>
      <c r="AF34" s="344" t="n"/>
      <c r="AG34" s="344" t="n"/>
      <c r="AH34" s="344" t="n"/>
      <c r="AI34" s="1401" t="inlineStr">
        <is>
          <t xml:space="preserve">.   .   .   .   .   .   .   .   .   .   .  </t>
        </is>
      </c>
      <c r="AJ34" s="10938" t="inlineStr">
        <is>
          <t>10</t>
        </is>
      </c>
      <c r="AK34" s="7638" t="n"/>
      <c r="AL34" s="10961">
        <f>IF(AV30,"",IF(SUM(AL19,-AL30)&lt;=0,0,AL32))</f>
        <v/>
      </c>
      <c r="AM34" s="7637" t="n"/>
      <c r="AN34" s="7637" t="n"/>
      <c r="AO34" s="7637" t="n"/>
      <c r="AP34" s="7637" t="n"/>
      <c r="AQ34" s="1277" t="n"/>
      <c r="AR34" s="1277" t="n"/>
      <c r="AS34" s="2138" t="n"/>
      <c r="AT34" s="1277" t="n"/>
      <c r="AU34" s="1277" t="n"/>
    </row>
    <row r="35" ht="14.25" customHeight="1" s="7635">
      <c r="A35" s="1277" t="n"/>
      <c r="B35" s="2154" t="inlineStr">
        <is>
          <t>11</t>
        </is>
      </c>
      <c r="C35" s="2123">
        <f>"Multiply line 10 by "&amp;TEXT(AL33,"0%")&amp;" ("&amp;TEXT(AL33,"0.00")&amp;")"</f>
        <v/>
      </c>
      <c r="D35" s="344" t="n"/>
      <c r="E35" s="344" t="n"/>
      <c r="F35" s="344" t="n"/>
      <c r="G35" s="2132" t="n"/>
      <c r="H35" s="344" t="n"/>
      <c r="I35" s="344" t="n"/>
      <c r="J35" s="344" t="n"/>
      <c r="K35" s="7886" t="n"/>
      <c r="L35" s="7886" t="n"/>
      <c r="M35" s="7886" t="n"/>
      <c r="N35" s="7886" t="n"/>
      <c r="O35" s="7886" t="n"/>
      <c r="P35" s="7886" t="n"/>
      <c r="Q35" s="7886" t="n"/>
      <c r="R35" s="7886" t="n"/>
      <c r="S35" s="7886" t="n"/>
      <c r="T35" s="7886" t="n"/>
      <c r="U35" s="7886" t="n"/>
      <c r="V35" s="7886" t="n"/>
      <c r="W35" s="7886" t="n"/>
      <c r="X35" s="7886" t="n"/>
      <c r="Y35" s="7886" t="n"/>
      <c r="Z35" s="7886" t="n"/>
      <c r="AA35" s="7886" t="n"/>
      <c r="AB35" s="7886" t="n"/>
      <c r="AC35" s="7886" t="n"/>
      <c r="AD35" s="7886" t="n"/>
      <c r="AE35" s="7886" t="n"/>
      <c r="AF35" s="7886" t="n"/>
      <c r="AG35" s="7886" t="n"/>
      <c r="AH35" s="7886" t="n"/>
      <c r="AI35" s="1401" t="inlineStr">
        <is>
          <t xml:space="preserve">.   .   .   .   .   .   .   .   .   .   .   .   .   .   .   .   .   .   .   .   .   .   .   .   .   .   .   .   .   .   .  </t>
        </is>
      </c>
      <c r="AJ35" s="10938" t="inlineStr">
        <is>
          <t>11</t>
        </is>
      </c>
      <c r="AK35" s="7638" t="n"/>
      <c r="AL35" s="10961">
        <f>IF(AV30,"",ROUND(SUM(AL34*AL33),0))</f>
        <v/>
      </c>
      <c r="AM35" s="7637" t="n"/>
      <c r="AN35" s="7637" t="n"/>
      <c r="AO35" s="7637" t="n"/>
      <c r="AP35" s="7637" t="n"/>
      <c r="AQ35" s="1277" t="n"/>
      <c r="AR35" s="1277" t="n"/>
      <c r="AS35" s="2138" t="n"/>
      <c r="AT35" s="1277" t="n"/>
      <c r="AU35" s="1277" t="n"/>
    </row>
    <row r="36" ht="16.5" customHeight="1" s="7635">
      <c r="A36" s="1277" t="n"/>
      <c r="B36" s="2154" t="inlineStr">
        <is>
          <t>12</t>
        </is>
      </c>
      <c r="C36" s="2123" t="inlineStr">
        <is>
          <t>Is the amount on line 8 more than the amount on line 11</t>
        </is>
      </c>
      <c r="D36" s="2133" t="n"/>
      <c r="E36" s="2133" t="n"/>
      <c r="F36" s="2133" t="n"/>
      <c r="G36" s="873" t="n"/>
      <c r="H36" s="873" t="n"/>
      <c r="I36" s="873" t="n"/>
      <c r="J36" s="873" t="n"/>
      <c r="K36" s="873" t="n"/>
      <c r="L36" s="873" t="n"/>
      <c r="M36" s="344" t="n"/>
      <c r="N36" s="873" t="n"/>
      <c r="O36" s="873" t="n"/>
      <c r="P36" s="873" t="n"/>
      <c r="Q36" s="873" t="n"/>
      <c r="R36" s="873" t="n"/>
      <c r="S36" s="873" t="n"/>
      <c r="T36" s="873" t="n"/>
      <c r="U36" s="873" t="n"/>
      <c r="V36" s="873" t="n"/>
      <c r="W36" s="873" t="n"/>
      <c r="X36" s="873" t="n"/>
      <c r="Y36" s="873" t="n"/>
      <c r="Z36" s="873" t="n"/>
      <c r="AA36" s="873" t="n"/>
      <c r="AB36" s="873" t="n"/>
      <c r="AC36" s="873" t="n"/>
      <c r="AD36" s="873" t="n"/>
      <c r="AE36" s="873" t="n"/>
      <c r="AF36" s="873" t="n"/>
      <c r="AG36" s="873" t="n"/>
      <c r="AH36" s="873" t="n"/>
      <c r="AI36" s="1401" t="inlineStr">
        <is>
          <t xml:space="preserve">.   .   .   .   .   .   .   .   .   .   .   .   .   .   .   .   .   .   .   .   .   .   .  </t>
        </is>
      </c>
      <c r="AJ36" s="10938" t="inlineStr">
        <is>
          <t>12</t>
        </is>
      </c>
      <c r="AK36" s="7638" t="n"/>
      <c r="AL36" s="10961">
        <f>IF(AV30,"",IF(SUM(AL27,-AL35)&lt;=0,0,SUM(AL27,-AL35)))</f>
        <v/>
      </c>
      <c r="AM36" s="7637" t="n"/>
      <c r="AN36" s="7637" t="n"/>
      <c r="AO36" s="7637" t="n"/>
      <c r="AP36" s="7637" t="n"/>
      <c r="AQ36" s="1277" t="n"/>
      <c r="AR36" s="1277" t="n"/>
      <c r="AS36" s="2155">
        <f>AL27&gt;AL35</f>
        <v/>
      </c>
      <c r="AT36" s="1277" t="n"/>
      <c r="AU36" s="1277" t="n"/>
      <c r="AV36" s="854">
        <f>(AL36=0)</f>
        <v/>
      </c>
    </row>
    <row r="37" ht="13.5" customFormat="1" customHeight="1" s="9864">
      <c r="A37" s="2113" t="n"/>
      <c r="B37" s="2122" t="n"/>
      <c r="C37" s="1846">
        <f>IF(AND(AL19&lt;&gt;0,AL19&lt;&gt;"",NOT(AS36)),"X","")</f>
        <v/>
      </c>
      <c r="D37" s="2133" t="n"/>
      <c r="E37" s="2156" t="inlineStr">
        <is>
          <t>No. STOP.</t>
        </is>
      </c>
      <c r="F37" s="2133" t="n"/>
      <c r="G37" s="873" t="n"/>
      <c r="H37" s="2123" t="inlineStr">
        <is>
          <t>You cannot take the child tax credit, credit for other dependents, or additional child tax credit.</t>
        </is>
      </c>
      <c r="I37" s="873" t="n"/>
      <c r="J37" s="873" t="n"/>
      <c r="K37" s="873" t="n"/>
      <c r="L37" s="873" t="n"/>
      <c r="M37" s="516" t="n"/>
      <c r="N37" s="873" t="n"/>
      <c r="O37" s="873" t="n"/>
      <c r="P37" s="873" t="n"/>
      <c r="Q37" s="873" t="n"/>
      <c r="R37" s="873" t="n"/>
      <c r="S37" s="873" t="n"/>
      <c r="T37" s="873" t="n"/>
      <c r="U37" s="873" t="n"/>
      <c r="V37" s="873" t="n"/>
      <c r="W37" s="873" t="n"/>
      <c r="X37" s="873" t="n"/>
      <c r="Y37" s="873" t="n"/>
      <c r="Z37" s="873" t="n"/>
      <c r="AA37" s="873" t="n"/>
      <c r="AB37" s="873" t="n"/>
      <c r="AC37" s="873" t="n"/>
      <c r="AD37" s="993" t="n"/>
      <c r="AE37" s="7828" t="n"/>
      <c r="AF37" s="2158" t="n"/>
      <c r="AG37" s="2159" t="n"/>
      <c r="AH37" s="2158" t="n"/>
      <c r="AI37" s="2160" t="n"/>
      <c r="AJ37" s="11038" t="n"/>
      <c r="AK37" s="2161" t="n"/>
      <c r="AL37" s="2161" t="n"/>
      <c r="AM37" s="2161" t="n"/>
      <c r="AN37" s="2161" t="n"/>
      <c r="AO37" s="2161" t="n"/>
      <c r="AP37" s="2161" t="n"/>
      <c r="AQ37" s="2113" t="n"/>
      <c r="AR37" s="2161" t="n"/>
      <c r="AS37" s="2138" t="n"/>
      <c r="AT37" s="1277" t="n"/>
      <c r="AU37" s="1277" t="n"/>
      <c r="AX37" s="665" t="n"/>
      <c r="AY37" s="665" t="n"/>
      <c r="AZ37" s="665" t="n"/>
      <c r="BA37" s="665" t="n"/>
      <c r="BB37" s="665" t="n"/>
      <c r="BC37" s="665" t="n"/>
      <c r="BD37" s="665" t="n"/>
      <c r="BE37" s="665" t="n"/>
      <c r="BF37" s="665" t="n"/>
      <c r="BG37" s="665" t="n"/>
      <c r="BH37" s="665" t="n"/>
    </row>
    <row r="38" ht="15.75" customHeight="1" s="7635">
      <c r="A38" s="1277" t="n"/>
      <c r="B38" s="7645" t="n"/>
      <c r="C38" s="2162" t="n"/>
      <c r="D38" s="2123" t="n"/>
      <c r="E38" s="2123" t="inlineStr">
        <is>
          <t>Skip Parts II-A and II-B. Enter -0- on lines 14 and 27.</t>
        </is>
      </c>
      <c r="F38" s="2132" t="n"/>
      <c r="G38" s="2152" t="n"/>
      <c r="H38" s="2152" t="n"/>
      <c r="I38" s="2152" t="n"/>
      <c r="J38" s="2152" t="n"/>
      <c r="K38" s="2152" t="n"/>
      <c r="L38" s="2152" t="n"/>
      <c r="M38" s="2152" t="n"/>
      <c r="N38" s="11060" t="n"/>
      <c r="O38" s="11060" t="n"/>
      <c r="P38" s="11060" t="n"/>
      <c r="Q38" s="11060" t="n"/>
      <c r="R38" s="11060" t="n"/>
      <c r="S38" s="11060" t="n"/>
      <c r="T38" s="11060" t="n"/>
      <c r="U38" s="11060" t="n"/>
      <c r="V38" s="2123" t="n"/>
      <c r="W38" s="11060" t="n"/>
      <c r="X38" s="11060" t="n"/>
      <c r="Y38" s="11060" t="n"/>
      <c r="Z38" s="11060" t="n"/>
      <c r="AA38" s="11060" t="n"/>
      <c r="AB38" s="11060" t="n"/>
      <c r="AC38" s="11060" t="n"/>
      <c r="AD38" s="11060" t="n"/>
      <c r="AE38" s="2164" t="n"/>
      <c r="AF38" s="2164" t="n"/>
      <c r="AG38" s="7645" t="n"/>
      <c r="AH38" s="2158" t="n"/>
      <c r="AI38" s="2165" t="n"/>
      <c r="AJ38" s="11038" t="n"/>
      <c r="AK38" s="2161" t="n"/>
      <c r="AL38" s="2161" t="n"/>
      <c r="AM38" s="2161" t="n"/>
      <c r="AN38" s="2161" t="n"/>
      <c r="AO38" s="2161" t="n"/>
      <c r="AP38" s="2161" t="n"/>
      <c r="AQ38" s="2113" t="n"/>
      <c r="AR38" s="2161" t="n"/>
      <c r="AS38" s="2138" t="n"/>
      <c r="AT38" s="2161" t="n"/>
      <c r="AU38" s="2161" t="n"/>
    </row>
    <row r="39" ht="13.5" customHeight="1" s="7635">
      <c r="A39" s="1277" t="n"/>
      <c r="B39" s="2126" t="n"/>
      <c r="C39" s="1846">
        <f>IF(AND(AL19&lt;&gt;0,AL19&lt;&gt;"",AS36),"X","")</f>
        <v/>
      </c>
      <c r="D39" s="2166" t="n"/>
      <c r="E39" s="2166" t="inlineStr">
        <is>
          <t>Yes. Subtract line 11 from line 8. Enter the result.</t>
        </is>
      </c>
      <c r="F39" s="2166" t="n"/>
      <c r="G39" s="2166" t="n"/>
      <c r="H39" s="2166" t="n"/>
      <c r="I39" s="2166" t="n"/>
      <c r="J39" s="2166" t="n"/>
      <c r="K39" s="2166" t="n"/>
      <c r="L39" s="2166" t="n"/>
      <c r="M39" s="2166" t="n"/>
      <c r="N39" s="2166" t="n"/>
      <c r="O39" s="2166" t="n"/>
      <c r="P39" s="2166" t="n"/>
      <c r="Q39" s="2166" t="n"/>
      <c r="R39" s="2166" t="n"/>
      <c r="S39" s="2166" t="n"/>
      <c r="T39" s="2166" t="n"/>
      <c r="U39" s="2166" t="n"/>
      <c r="V39" s="2166" t="n"/>
      <c r="W39" s="2166" t="n"/>
      <c r="X39" s="2166" t="n"/>
      <c r="Y39" s="2166" t="n"/>
      <c r="Z39" s="2166" t="n"/>
      <c r="AA39" s="2166" t="n"/>
      <c r="AB39" s="2166" t="n"/>
      <c r="AC39" s="2166" t="n"/>
      <c r="AD39" s="2166" t="n"/>
      <c r="AE39" s="2166" t="n"/>
      <c r="AF39" s="2166" t="n"/>
      <c r="AG39" s="2126" t="n"/>
      <c r="AH39" s="2158" t="n"/>
      <c r="AI39" s="2126" t="n"/>
      <c r="AJ39" s="11038" t="n"/>
      <c r="AK39" s="2161" t="n"/>
      <c r="AL39" s="2161" t="n"/>
      <c r="AM39" s="2161" t="n"/>
      <c r="AN39" s="2161" t="n"/>
      <c r="AO39" s="2161" t="n"/>
      <c r="AP39" s="2161" t="n"/>
      <c r="AQ39" s="2161" t="n"/>
      <c r="AR39" s="2161" t="n"/>
      <c r="AS39" s="2161" t="n"/>
      <c r="AT39" s="2161" t="n"/>
      <c r="AU39" s="2161" t="n"/>
    </row>
    <row r="40" ht="14.25" customHeight="1" s="7635">
      <c r="A40" s="1277" t="n"/>
      <c r="B40" s="2154" t="n">
        <v>13</v>
      </c>
      <c r="C40" s="2140" t="inlineStr">
        <is>
          <t>Enter the amount from the Credit Limit Worksheet A</t>
        </is>
      </c>
      <c r="D40" s="2152" t="n"/>
      <c r="E40" s="2152" t="n"/>
      <c r="F40" s="2152" t="n"/>
      <c r="G40" s="2152" t="n"/>
      <c r="H40" s="2152" t="n"/>
      <c r="I40" s="2152" t="n"/>
      <c r="J40" s="2152" t="n"/>
      <c r="K40" s="2152" t="n"/>
      <c r="L40" s="2152" t="n"/>
      <c r="M40" s="2152" t="n"/>
      <c r="N40" s="2152" t="n"/>
      <c r="O40" s="2152" t="n"/>
      <c r="P40" s="2152" t="n"/>
      <c r="Q40" s="2152" t="n"/>
      <c r="R40" s="2152" t="n"/>
      <c r="S40" s="2152" t="n"/>
      <c r="T40" s="2152" t="n"/>
      <c r="U40" s="2152" t="n"/>
      <c r="V40" s="2152" t="n"/>
      <c r="W40" s="2152" t="n"/>
      <c r="X40" s="2152" t="n"/>
      <c r="Y40" s="2152" t="n"/>
      <c r="Z40" s="2152" t="n"/>
      <c r="AA40" s="2152" t="n"/>
      <c r="AB40" s="2152" t="n"/>
      <c r="AC40" s="2152" t="n"/>
      <c r="AD40" s="2152" t="n"/>
      <c r="AE40" s="2152" t="n"/>
      <c r="AF40" s="2152" t="n"/>
      <c r="AG40" s="9237" t="n"/>
      <c r="AH40" s="512" t="n"/>
      <c r="AI40" s="1401" t="inlineStr">
        <is>
          <t xml:space="preserve">.   .   .   .   .   .   .   .   .   .   .   .   .   .   .   .   .   .   .   .   .   .   .  </t>
        </is>
      </c>
      <c r="AJ40" s="2918" t="n">
        <v>13</v>
      </c>
      <c r="AK40" s="7638" t="n"/>
      <c r="AL40" s="10971">
        <f>IF(C39="X",AK119,"")</f>
        <v/>
      </c>
      <c r="AM40" s="7637" t="n"/>
      <c r="AN40" s="7637" t="n"/>
      <c r="AO40" s="7637" t="n"/>
      <c r="AP40" s="7637" t="n"/>
      <c r="AQ40" s="1181" t="n"/>
      <c r="AR40" s="1181" t="n"/>
      <c r="AS40" s="2285" t="n"/>
      <c r="AT40" s="1181" t="n"/>
      <c r="AU40" s="1181" t="n"/>
    </row>
    <row r="41" ht="14.25" customHeight="1" s="7635">
      <c r="A41" s="1277" t="n"/>
      <c r="B41" s="2154" t="n">
        <v>14</v>
      </c>
      <c r="C41" s="2123" t="inlineStr">
        <is>
          <t>Enter the smaller of line 12 or 13. This is your child tax credit and credit for other dependents</t>
        </is>
      </c>
      <c r="D41" s="2123" t="n"/>
      <c r="E41" s="2123" t="n"/>
      <c r="F41" s="2123" t="n"/>
      <c r="G41" s="2123" t="n"/>
      <c r="H41" s="2123" t="n"/>
      <c r="I41" s="2123" t="n"/>
      <c r="J41" s="2123" t="n"/>
      <c r="K41" s="2123" t="n"/>
      <c r="L41" s="2123" t="n"/>
      <c r="M41" s="2123" t="n"/>
      <c r="N41" s="2123" t="n"/>
      <c r="O41" s="2123" t="n"/>
      <c r="P41" s="2123" t="n"/>
      <c r="Q41" s="2123" t="n"/>
      <c r="R41" s="2123" t="n"/>
      <c r="S41" s="2123" t="n"/>
      <c r="T41" s="2123" t="n"/>
      <c r="U41" s="2123" t="n"/>
      <c r="V41" s="2123" t="n"/>
      <c r="W41" s="2123" t="n"/>
      <c r="X41" s="2123" t="n"/>
      <c r="Y41" s="2123" t="n"/>
      <c r="Z41" s="2123" t="n"/>
      <c r="AA41" s="2123" t="n"/>
      <c r="AB41" s="2123" t="n"/>
      <c r="AC41" s="2123" t="n"/>
      <c r="AD41" s="2123" t="n"/>
      <c r="AE41" s="2123" t="n"/>
      <c r="AF41" s="2123" t="n"/>
      <c r="AG41" s="2126" t="n"/>
      <c r="AH41" s="2158" t="n"/>
      <c r="AI41" s="1401" t="inlineStr">
        <is>
          <t xml:space="preserve">.   .   .   .   .   .   .   .  </t>
        </is>
      </c>
      <c r="AJ41" s="12702" t="n">
        <v>14</v>
      </c>
      <c r="AK41" s="11734" t="n"/>
      <c r="AL41" s="11040">
        <f>IF(AS41&lt;&gt;"",ROUND(AS41,0),IF(AND(AL36="",AL40=""),"",MIN(AL36,AL40)))</f>
        <v/>
      </c>
      <c r="AM41" s="8412" t="n"/>
      <c r="AN41" s="8412" t="n"/>
      <c r="AO41" s="8412" t="n"/>
      <c r="AP41" s="8412" t="n"/>
      <c r="AQ41" s="1277" t="n"/>
      <c r="AR41" s="1277" t="n"/>
      <c r="AS41" s="7846" t="n"/>
      <c r="AT41" s="1277" t="n"/>
      <c r="AU41" s="1277" t="n"/>
    </row>
    <row r="42" ht="14.25" customHeight="1" s="7635" thickBot="1">
      <c r="A42" s="1277" t="n"/>
      <c r="B42" s="2126" t="n"/>
      <c r="C42" s="2156" t="inlineStr">
        <is>
          <t>Enter this amount on Form 1040, 1040-SR, or 1040-NR, line 19.</t>
        </is>
      </c>
      <c r="D42" s="2123" t="n"/>
      <c r="E42" s="2123" t="n"/>
      <c r="F42" s="2123" t="n"/>
      <c r="G42" s="2123" t="n"/>
      <c r="H42" s="2123" t="n"/>
      <c r="I42" s="2123" t="n"/>
      <c r="J42" s="2123" t="n"/>
      <c r="K42" s="2123" t="n"/>
      <c r="L42" s="2123" t="n"/>
      <c r="M42" s="2123" t="n"/>
      <c r="N42" s="2123" t="n"/>
      <c r="O42" s="2123" t="n"/>
      <c r="P42" s="2123" t="n"/>
      <c r="Q42" s="2123" t="n"/>
      <c r="R42" s="2123" t="n"/>
      <c r="S42" s="2123" t="n"/>
      <c r="T42" s="2123" t="n"/>
      <c r="U42" s="2123" t="n"/>
      <c r="V42" s="2123" t="n"/>
      <c r="W42" s="2123" t="n"/>
      <c r="X42" s="2123" t="n"/>
      <c r="Y42" s="2123" t="n"/>
      <c r="Z42" s="2123" t="n"/>
      <c r="AA42" s="2123" t="n"/>
      <c r="AB42" s="2123" t="n"/>
      <c r="AC42" s="2123" t="n"/>
      <c r="AD42" s="2123" t="n"/>
      <c r="AE42" s="2123" t="n"/>
      <c r="AF42" s="2123" t="n"/>
      <c r="AG42" s="2126" t="n"/>
      <c r="AH42" s="2158" t="n"/>
      <c r="AI42" s="2126" t="n"/>
      <c r="AJ42" s="7645" t="n"/>
      <c r="AK42" s="7645" t="n"/>
      <c r="AL42" s="7645" t="n"/>
      <c r="AM42" s="7645" t="n"/>
      <c r="AN42" s="7645" t="n"/>
      <c r="AO42" s="7645" t="n"/>
      <c r="AP42" s="7645" t="n"/>
      <c r="AQ42" s="1277" t="n"/>
      <c r="AR42" s="1277" t="n"/>
      <c r="AS42" s="2138" t="n"/>
      <c r="AT42" s="1277" t="n"/>
      <c r="AU42" s="1277" t="n"/>
    </row>
    <row r="43" ht="14.25" customHeight="1" s="7635">
      <c r="A43" s="1277" t="n"/>
      <c r="B43" s="2167" t="n"/>
      <c r="C43" s="2168" t="n"/>
      <c r="D43" s="2169" t="n"/>
      <c r="E43" s="2169" t="n"/>
      <c r="F43" s="2169" t="n"/>
      <c r="G43" s="2169" t="n"/>
      <c r="H43" s="2169" t="n"/>
      <c r="I43" s="2169" t="n"/>
      <c r="J43" s="2169" t="n"/>
      <c r="K43" s="2169" t="n"/>
      <c r="L43" s="2169" t="n"/>
      <c r="M43" s="2169" t="n"/>
      <c r="N43" s="2169" t="n"/>
      <c r="O43" s="2169" t="n"/>
      <c r="P43" s="2169" t="n"/>
      <c r="Q43" s="2169" t="n"/>
      <c r="R43" s="2170" t="n"/>
      <c r="S43" s="2169" t="n"/>
      <c r="T43" s="2169" t="n"/>
      <c r="U43" s="2171" t="inlineStr">
        <is>
          <t>If the amount on line 12 is more than the amount on line 14, you may be able to take the additional child tax credit on Form 1040,</t>
        </is>
      </c>
      <c r="V43" s="2169" t="n"/>
      <c r="W43" s="2169" t="n"/>
      <c r="X43" s="2169" t="n"/>
      <c r="Y43" s="2169" t="n"/>
      <c r="Z43" s="2169" t="n"/>
      <c r="AA43" s="2169" t="n"/>
      <c r="AB43" s="2169" t="n"/>
      <c r="AC43" s="2169" t="n"/>
      <c r="AD43" s="2169" t="n"/>
      <c r="AE43" s="2169" t="n"/>
      <c r="AF43" s="2169" t="n"/>
      <c r="AG43" s="2167" t="n"/>
      <c r="AH43" s="2172" t="n"/>
      <c r="AI43" s="2167" t="n"/>
      <c r="AJ43" s="2173" t="n"/>
      <c r="AK43" s="2173" t="n"/>
      <c r="AL43" s="2173" t="n"/>
      <c r="AM43" s="2173" t="n"/>
      <c r="AN43" s="2173" t="n"/>
      <c r="AO43" s="2173" t="n"/>
      <c r="AP43" s="2173" t="n"/>
      <c r="AQ43" s="1277" t="n"/>
      <c r="AR43" s="1277" t="n"/>
      <c r="AS43" s="2138" t="n"/>
      <c r="AT43" s="1277" t="n"/>
      <c r="AU43" s="1277" t="n"/>
    </row>
    <row r="44" ht="14.25" customHeight="1" s="7635">
      <c r="A44" s="1277" t="n"/>
      <c r="B44" s="2126" t="n"/>
      <c r="C44" s="2156" t="n"/>
      <c r="D44" s="2123" t="n"/>
      <c r="E44" s="2126" t="n"/>
      <c r="F44" s="2156" t="n"/>
      <c r="G44" s="2123" t="n"/>
      <c r="H44" s="2126" t="n"/>
      <c r="I44" s="2156" t="n"/>
      <c r="J44" s="2123" t="n"/>
      <c r="K44" s="2126" t="n"/>
      <c r="L44" s="2156" t="n"/>
      <c r="M44" s="2123" t="n"/>
      <c r="N44" s="2126" t="n"/>
      <c r="O44" s="2156" t="n"/>
      <c r="P44" s="2123" t="n"/>
      <c r="Q44" s="2126" t="n"/>
      <c r="R44" s="2156" t="n"/>
      <c r="S44" s="2123" t="n"/>
      <c r="T44" s="2126" t="n"/>
      <c r="U44" s="2133" t="inlineStr">
        <is>
          <t>1040-SR, or 1040-NR, line 28. Complete your Form 1040 or 1040-SR through line 27a (or 1040-NR through line 26)</t>
        </is>
      </c>
      <c r="V44" s="2123" t="n"/>
      <c r="W44" s="2126" t="n"/>
      <c r="X44" s="2156" t="n"/>
      <c r="Y44" s="2123" t="n"/>
      <c r="Z44" s="2126" t="n"/>
      <c r="AA44" s="2156" t="n"/>
      <c r="AB44" s="2123" t="n"/>
      <c r="AC44" s="2126" t="n"/>
      <c r="AD44" s="2156" t="n"/>
      <c r="AE44" s="2123" t="n"/>
      <c r="AF44" s="2126" t="n"/>
      <c r="AG44" s="2156" t="n"/>
      <c r="AH44" s="2123" t="n"/>
      <c r="AI44" s="2126" t="n"/>
      <c r="AJ44" s="2126" t="n"/>
      <c r="AK44" s="2156" t="n"/>
      <c r="AL44" s="2123" t="n"/>
      <c r="AM44" s="2126" t="n"/>
      <c r="AN44" s="2156" t="n"/>
      <c r="AO44" s="2123" t="n"/>
      <c r="AP44" s="2126" t="n"/>
      <c r="AQ44" s="1277" t="n"/>
      <c r="AR44" s="1277" t="n"/>
      <c r="AS44" s="2138" t="n"/>
      <c r="AT44" s="1277" t="n"/>
      <c r="AU44" s="1277" t="n"/>
    </row>
    <row r="45" ht="16.5" customHeight="1" s="7635" thickBot="1">
      <c r="A45" s="1277" t="n"/>
      <c r="B45" s="2126" t="n"/>
      <c r="C45" s="2162" t="n"/>
      <c r="D45" s="2126" t="n"/>
      <c r="E45" s="2126" t="n"/>
      <c r="F45" s="2126" t="n"/>
      <c r="G45" s="2126" t="n"/>
      <c r="H45" s="2126" t="n"/>
      <c r="I45" s="2126" t="n"/>
      <c r="J45" s="2126" t="n"/>
      <c r="K45" s="2126" t="n"/>
      <c r="L45" s="2126" t="n"/>
      <c r="M45" s="2126" t="n"/>
      <c r="N45" s="2126" t="n"/>
      <c r="O45" s="2126" t="n"/>
      <c r="P45" s="2126" t="n"/>
      <c r="Q45" s="2126" t="n"/>
      <c r="R45" s="2126" t="n"/>
      <c r="S45" s="2126" t="n"/>
      <c r="T45" s="2126" t="n"/>
      <c r="U45" s="2133" t="inlineStr">
        <is>
          <t>(also complete Schedule 3, (Form 1040), line 11) before completing Part II-A.</t>
        </is>
      </c>
      <c r="V45" s="2126" t="n"/>
      <c r="W45" s="2126" t="n"/>
      <c r="X45" s="2126" t="n"/>
      <c r="Y45" s="2126" t="n"/>
      <c r="Z45" s="2126" t="n"/>
      <c r="AA45" s="2126" t="n"/>
      <c r="AB45" s="2126" t="n"/>
      <c r="AC45" s="2126" t="n"/>
      <c r="AD45" s="2126" t="n"/>
      <c r="AE45" s="2126" t="n"/>
      <c r="AF45" s="2126" t="n"/>
      <c r="AG45" s="2126" t="n"/>
      <c r="AH45" s="2126" t="n"/>
      <c r="AI45" s="507" t="n"/>
      <c r="AJ45" s="2174" t="n"/>
      <c r="AK45" s="2174" t="n"/>
      <c r="AL45" s="2174" t="n"/>
      <c r="AM45" s="2174" t="n"/>
      <c r="AN45" s="2174" t="n"/>
      <c r="AO45" s="2174" t="n"/>
      <c r="AP45" s="2174" t="n"/>
      <c r="AQ45" s="1277" t="n"/>
      <c r="AR45" s="1277" t="n"/>
      <c r="AS45" s="2138" t="n"/>
      <c r="AT45" s="1277" t="n"/>
      <c r="AU45" s="1277" t="n"/>
    </row>
    <row r="46" ht="17.25" customHeight="1" s="7635">
      <c r="A46" s="1277" t="n"/>
      <c r="B46" s="2175" t="inlineStr">
        <is>
          <t>For Paperwork Reduction Act Notice, see your tax return instructions.</t>
        </is>
      </c>
      <c r="C46" s="2176" t="n"/>
      <c r="D46" s="1199" t="n"/>
      <c r="E46" s="1199" t="n"/>
      <c r="F46" s="1199" t="n"/>
      <c r="G46" s="1199" t="n"/>
      <c r="H46" s="1199" t="n"/>
      <c r="I46" s="1199" t="n"/>
      <c r="J46" s="1199" t="n"/>
      <c r="K46" s="1199" t="n"/>
      <c r="L46" s="1199" t="n"/>
      <c r="M46" s="1199" t="n"/>
      <c r="N46" s="1199" t="n"/>
      <c r="O46" s="1199" t="n"/>
      <c r="P46" s="1199" t="n"/>
      <c r="Q46" s="1199" t="n"/>
      <c r="R46" s="1199" t="n"/>
      <c r="S46" s="1199" t="n"/>
      <c r="T46" s="1199" t="n"/>
      <c r="U46" s="1199" t="n"/>
      <c r="V46" s="1199" t="n"/>
      <c r="W46" s="1199" t="n"/>
      <c r="X46" s="1199" t="n"/>
      <c r="Y46" s="1054" t="n"/>
      <c r="Z46" s="2177" t="inlineStr">
        <is>
          <t>Cat. No. 59761M</t>
        </is>
      </c>
      <c r="AA46" s="1054" t="n"/>
      <c r="AB46" s="1199" t="n"/>
      <c r="AC46" s="1199" t="n"/>
      <c r="AD46" s="1199" t="n"/>
      <c r="AE46" s="1199" t="n"/>
      <c r="AF46" s="1199" t="n"/>
      <c r="AG46" s="1199" t="n"/>
      <c r="AH46" s="1199" t="n"/>
      <c r="AI46" s="1199" t="n"/>
      <c r="AJ46" s="411" t="n"/>
      <c r="AK46" s="411" t="n"/>
      <c r="AL46" s="2178" t="n"/>
      <c r="AM46" s="411" t="n"/>
      <c r="AN46" s="411" t="n"/>
      <c r="AO46" s="411" t="n"/>
      <c r="AP46" s="2004">
        <f>"Schedule 8812 (Form 1040) "&amp;TaxYear</f>
        <v/>
      </c>
      <c r="AQ46" s="1277" t="n"/>
      <c r="AR46" s="1277" t="n"/>
      <c r="AS46" s="2179" t="inlineStr">
        <is>
          <t>Additional Child Tax Credit</t>
        </is>
      </c>
      <c r="AT46" s="1277" t="n"/>
      <c r="AU46" s="1277" t="n"/>
    </row>
    <row r="47" ht="20.25" customHeight="1" s="7635" thickBot="1">
      <c r="A47" s="1277" t="n"/>
      <c r="B47" s="2180">
        <f>"Schedule 8812 (Form 1040) "&amp;TaxYear</f>
        <v/>
      </c>
      <c r="C47" s="2181" t="n"/>
      <c r="D47" s="2182" t="n"/>
      <c r="E47" s="2182" t="n"/>
      <c r="F47" s="2182" t="n"/>
      <c r="G47" s="2182" t="n"/>
      <c r="H47" s="2182" t="n"/>
      <c r="I47" s="2182" t="n"/>
      <c r="J47" s="2182" t="n"/>
      <c r="K47" s="2182" t="n"/>
      <c r="L47" s="2182" t="n"/>
      <c r="M47" s="2182" t="n"/>
      <c r="N47" s="2182" t="n"/>
      <c r="O47" s="2182" t="n"/>
      <c r="P47" s="2182" t="n"/>
      <c r="Q47" s="2182" t="n"/>
      <c r="R47" s="2182" t="n"/>
      <c r="S47" s="2182" t="n"/>
      <c r="T47" s="2182" t="n"/>
      <c r="U47" s="2182" t="n"/>
      <c r="V47" s="2182" t="n"/>
      <c r="W47" s="2182" t="n"/>
      <c r="X47" s="2182" t="n"/>
      <c r="Y47" s="2183" t="n"/>
      <c r="Z47" s="2184" t="n"/>
      <c r="AA47" s="2183" t="n"/>
      <c r="AB47" s="2182" t="n"/>
      <c r="AC47" s="2182" t="n"/>
      <c r="AD47" s="2182" t="n"/>
      <c r="AE47" s="2182" t="n"/>
      <c r="AF47" s="2182" t="n"/>
      <c r="AG47" s="2182" t="n"/>
      <c r="AH47" s="2182" t="n"/>
      <c r="AI47" s="2182" t="n"/>
      <c r="AJ47" s="2182" t="n"/>
      <c r="AK47" s="2182" t="n"/>
      <c r="AL47" s="2185" t="n"/>
      <c r="AM47" s="2182" t="n"/>
      <c r="AN47" s="2182" t="n"/>
      <c r="AO47" s="2182" t="n"/>
      <c r="AP47" s="2186" t="inlineStr">
        <is>
          <t>Page 2</t>
        </is>
      </c>
      <c r="AQ47" s="1277" t="n"/>
      <c r="AR47" s="1277" t="n"/>
      <c r="AS47" s="2187" t="inlineStr">
        <is>
          <t>(Entered into Form 1040, line 28.)</t>
        </is>
      </c>
      <c r="AT47" s="1277" t="n"/>
      <c r="AU47" s="1277" t="n"/>
    </row>
    <row r="48" ht="16.5" customFormat="1" customHeight="1" s="1405" thickTop="1">
      <c r="A48" s="2119" t="n"/>
      <c r="B48" s="9091" t="inlineStr">
        <is>
          <t>Part II-A</t>
        </is>
      </c>
      <c r="C48" s="7637" t="n"/>
      <c r="D48" s="7637" t="n"/>
      <c r="E48" s="2188" t="inlineStr">
        <is>
          <t>Additional Child Tax Credit for All Filers</t>
        </is>
      </c>
      <c r="F48" s="1997" t="n"/>
      <c r="G48" s="1997" t="n"/>
      <c r="H48" s="1998" t="n"/>
      <c r="I48" s="1998" t="n"/>
      <c r="J48" s="1998" t="n"/>
      <c r="K48" s="1998" t="n"/>
      <c r="L48" s="1998" t="n"/>
      <c r="M48" s="1998" t="n"/>
      <c r="N48" s="1998" t="n"/>
      <c r="O48" s="1998" t="n"/>
      <c r="P48" s="1998" t="n"/>
      <c r="Q48" s="1998" t="n"/>
      <c r="R48" s="1998" t="n"/>
      <c r="S48" s="1998" t="n"/>
      <c r="T48" s="1998" t="n"/>
      <c r="U48" s="1998" t="n"/>
      <c r="V48" s="1998" t="n"/>
      <c r="W48" s="1998" t="n"/>
      <c r="X48" s="1998" t="n"/>
      <c r="Y48" s="1998" t="n"/>
      <c r="Z48" s="1998" t="n"/>
      <c r="AA48" s="1998" t="n"/>
      <c r="AB48" s="1998" t="n"/>
      <c r="AC48" s="1998" t="n"/>
      <c r="AD48" s="1998" t="n"/>
      <c r="AE48" s="1998" t="n"/>
      <c r="AF48" s="1998" t="n"/>
      <c r="AG48" s="1998" t="n"/>
      <c r="AH48" s="1998" t="n"/>
      <c r="AI48" s="2189" t="n"/>
      <c r="AJ48" s="1998" t="n"/>
      <c r="AK48" s="1998" t="n"/>
      <c r="AL48" s="11061" t="n"/>
      <c r="AM48" s="12097" t="n"/>
      <c r="AN48" s="12097" t="n"/>
      <c r="AO48" s="12097" t="n"/>
      <c r="AP48" s="12097" t="n"/>
      <c r="AQ48" s="1277" t="n"/>
      <c r="AR48" s="1277" t="n"/>
      <c r="AS48" s="2190">
        <f>IF(F8812_Skip_Part_II_A,"Skip Part II-A.","")</f>
        <v/>
      </c>
      <c r="AT48" s="1277" t="n"/>
      <c r="AU48" s="1277" t="n"/>
      <c r="AX48" s="658" t="n"/>
      <c r="AY48" s="658" t="n"/>
      <c r="AZ48" s="658" t="n"/>
      <c r="BA48" s="658" t="n"/>
      <c r="BB48" s="658" t="n"/>
      <c r="BC48" s="658" t="n"/>
      <c r="BD48" s="658" t="n"/>
      <c r="BE48" s="658" t="n"/>
      <c r="BF48" s="658" t="n"/>
      <c r="BG48" s="658" t="n"/>
      <c r="BH48" s="658" t="n"/>
    </row>
    <row r="49" ht="17.25" customHeight="1" s="7635">
      <c r="A49" s="1277" t="n"/>
      <c r="B49" s="2191" t="inlineStr">
        <is>
          <t>Caution: If you file Form 2555, you cannot claim the additional child tax credit.</t>
        </is>
      </c>
      <c r="C49" s="2192" t="n"/>
      <c r="D49" s="2193" t="n"/>
      <c r="E49" s="2193" t="n"/>
      <c r="F49" s="2193" t="n"/>
      <c r="G49" s="2193" t="n"/>
      <c r="H49" s="2193" t="n"/>
      <c r="I49" s="2193" t="n"/>
      <c r="J49" s="2193" t="n"/>
      <c r="K49" s="2193" t="n"/>
      <c r="L49" s="2193" t="n"/>
      <c r="M49" s="2193" t="n"/>
      <c r="N49" s="2193" t="n"/>
      <c r="O49" s="2193" t="n"/>
      <c r="P49" s="2193" t="n"/>
      <c r="Q49" s="2193" t="n"/>
      <c r="R49" s="2193" t="n"/>
      <c r="S49" s="2193" t="n"/>
      <c r="T49" s="2193" t="n"/>
      <c r="U49" s="2193" t="n"/>
      <c r="V49" s="2193" t="n"/>
      <c r="W49" s="2193" t="n"/>
      <c r="X49" s="2193" t="n"/>
      <c r="Y49" s="2194" t="n"/>
      <c r="Z49" s="2021" t="n"/>
      <c r="AA49" s="2194" t="n"/>
      <c r="AB49" s="2193" t="n"/>
      <c r="AC49" s="2193" t="n"/>
      <c r="AD49" s="2193" t="n"/>
      <c r="AE49" s="2193" t="n"/>
      <c r="AF49" s="2193" t="n"/>
      <c r="AG49" s="2193" t="n"/>
      <c r="AH49" s="2193" t="n"/>
      <c r="AI49" s="2193" t="n"/>
      <c r="AJ49" s="2193" t="n"/>
      <c r="AK49" s="2193" t="n"/>
      <c r="AL49" s="11065">
        <f>Form2555_Used</f>
        <v/>
      </c>
      <c r="AM49" s="8412" t="n"/>
      <c r="AN49" s="8412" t="n"/>
      <c r="AO49" s="8412" t="n"/>
      <c r="AP49" s="8412" t="n"/>
      <c r="AQ49" s="1277" t="n"/>
      <c r="AR49" s="1277" t="n"/>
      <c r="AS49" s="2195" t="inlineStr">
        <is>
          <t>Override</t>
        </is>
      </c>
      <c r="AT49" s="1277" t="n"/>
      <c r="AU49" s="1277" t="n"/>
    </row>
    <row r="50" ht="3.75" customHeight="1" s="7635">
      <c r="A50" s="1277" t="n"/>
      <c r="B50" s="2156" t="n"/>
      <c r="C50" s="2196" t="n"/>
      <c r="D50" s="510" t="n"/>
      <c r="E50" s="510" t="n"/>
      <c r="F50" s="510" t="n"/>
      <c r="G50" s="510" t="n"/>
      <c r="H50" s="510" t="n"/>
      <c r="I50" s="510" t="n"/>
      <c r="J50" s="510" t="n"/>
      <c r="K50" s="510" t="n"/>
      <c r="L50" s="510" t="n"/>
      <c r="M50" s="510" t="n"/>
      <c r="N50" s="510" t="n"/>
      <c r="O50" s="510" t="n"/>
      <c r="P50" s="510" t="n"/>
      <c r="Q50" s="510" t="n"/>
      <c r="R50" s="510" t="n"/>
      <c r="S50" s="510" t="n"/>
      <c r="T50" s="510" t="n"/>
      <c r="U50" s="510" t="n"/>
      <c r="V50" s="510" t="n"/>
      <c r="W50" s="510" t="n"/>
      <c r="X50" s="510" t="n"/>
      <c r="Y50" s="1320" t="n"/>
      <c r="Z50" s="2036" t="n"/>
      <c r="AA50" s="1320" t="n"/>
      <c r="AB50" s="510" t="n"/>
      <c r="AC50" s="510" t="n"/>
      <c r="AD50" s="510" t="n"/>
      <c r="AE50" s="510" t="n"/>
      <c r="AF50" s="510" t="n"/>
      <c r="AG50" s="510" t="n"/>
      <c r="AH50" s="510" t="n"/>
      <c r="AI50" s="510" t="n"/>
      <c r="AJ50" s="12702" t="n">
        <v>15</v>
      </c>
      <c r="AK50" s="10091" t="n"/>
      <c r="AL50" s="12703" t="n"/>
      <c r="AM50" s="7839" t="n"/>
      <c r="AN50" s="7839" t="n"/>
      <c r="AO50" s="7839" t="n"/>
      <c r="AP50" s="7839" t="n"/>
      <c r="AQ50" s="1277" t="n"/>
      <c r="AR50" s="1277" t="n"/>
      <c r="AS50" s="2195" t="n"/>
      <c r="AT50" s="1277" t="n"/>
      <c r="AU50" s="1277" t="n"/>
    </row>
    <row r="51" ht="13.5" customHeight="1" s="7635">
      <c r="A51" s="1277" t="n"/>
      <c r="B51" s="1321" t="n">
        <v>15</v>
      </c>
      <c r="C51" s="2197" t="n"/>
      <c r="D51" s="2166" t="inlineStr">
        <is>
          <t>Reserved for future use</t>
        </is>
      </c>
      <c r="E51" s="411" t="n"/>
      <c r="F51" s="411" t="n"/>
      <c r="G51" s="411" t="n"/>
      <c r="H51" s="411" t="n"/>
      <c r="I51" s="411" t="n"/>
      <c r="J51" s="411" t="n"/>
      <c r="K51" s="411" t="n"/>
      <c r="L51" s="411" t="n"/>
      <c r="M51" s="411" t="n"/>
      <c r="N51" s="411" t="n"/>
      <c r="O51" s="411" t="n"/>
      <c r="P51" s="411" t="n"/>
      <c r="Q51" s="411" t="n"/>
      <c r="R51" s="411" t="n"/>
      <c r="S51" s="411" t="n"/>
      <c r="T51" s="411" t="n"/>
      <c r="U51" s="411" t="n"/>
      <c r="V51" s="411" t="n"/>
      <c r="W51" s="411" t="n"/>
      <c r="X51" s="411" t="n"/>
      <c r="Y51" s="1052" t="n"/>
      <c r="Z51" s="1990" t="n"/>
      <c r="AA51" s="1052" t="n"/>
      <c r="AB51" s="411" t="n"/>
      <c r="AC51" s="411" t="n"/>
      <c r="AD51" s="411" t="n"/>
      <c r="AE51" s="411" t="n"/>
      <c r="AF51" s="411" t="n"/>
      <c r="AG51" s="411" t="n"/>
      <c r="AH51" s="411" t="n"/>
      <c r="AI51" s="1321" t="inlineStr">
        <is>
          <t xml:space="preserve">.   .   .   .   .   .   .   .   .   .   .   .   .   .   .   .   .   .   .   .   .   .   .   .   .   .   .   .   .   .   .   .   .   .  </t>
        </is>
      </c>
      <c r="AJ51" s="3614" t="n"/>
      <c r="AK51" s="7638" t="n"/>
      <c r="AL51" s="3614" t="n"/>
      <c r="AM51" s="7637" t="n"/>
      <c r="AN51" s="7637" t="n"/>
      <c r="AO51" s="7637" t="n"/>
      <c r="AP51" s="7637" t="n"/>
      <c r="AQ51" s="1277" t="n"/>
      <c r="AR51" s="1277" t="n"/>
      <c r="AS51" s="2202">
        <f>AL52&lt;=0</f>
        <v/>
      </c>
      <c r="AT51" s="11073">
        <f>AND(AS64,OR(AL49,AS37,AL53))</f>
        <v/>
      </c>
    </row>
    <row r="52" ht="13.5" customHeight="1" s="7635">
      <c r="A52" s="1277" t="n"/>
      <c r="B52" s="1321" t="inlineStr">
        <is>
          <t>16a</t>
        </is>
      </c>
      <c r="C52" s="2126" t="n"/>
      <c r="D52" s="2123" t="inlineStr">
        <is>
          <t>Subtract line 14 from line 12.</t>
        </is>
      </c>
      <c r="E52" s="411" t="n"/>
      <c r="F52" s="411" t="n"/>
      <c r="G52" s="411" t="n"/>
      <c r="H52" s="411" t="n"/>
      <c r="I52" s="411" t="n"/>
      <c r="J52" s="411" t="n"/>
      <c r="K52" s="411" t="n"/>
      <c r="L52" s="2123" t="inlineStr">
        <is>
          <t xml:space="preserve">If zero, </t>
        </is>
      </c>
      <c r="M52" s="516" t="n"/>
      <c r="N52" s="2126" t="inlineStr">
        <is>
          <t xml:space="preserve">  stop here;</t>
        </is>
      </c>
      <c r="O52" s="873" t="n"/>
      <c r="P52" s="411" t="n"/>
      <c r="Q52" s="2123" t="n"/>
      <c r="R52" s="2123" t="inlineStr">
        <is>
          <t>you cannot take the additional child tax credit</t>
        </is>
      </c>
      <c r="S52" s="411" t="n"/>
      <c r="T52" s="411" t="n"/>
      <c r="U52" s="411" t="n"/>
      <c r="V52" s="411" t="n"/>
      <c r="W52" s="411" t="n"/>
      <c r="X52" s="411" t="n"/>
      <c r="Y52" s="1052" t="n"/>
      <c r="Z52" s="1990" t="n"/>
      <c r="AA52" s="2199" t="n"/>
      <c r="AB52" s="2199" t="n"/>
      <c r="AC52" s="2199" t="n"/>
      <c r="AD52" s="2200" t="n"/>
      <c r="AE52" s="2200" t="n"/>
      <c r="AF52" s="2200" t="n"/>
      <c r="AG52" s="2201" t="n"/>
      <c r="AH52" s="2201" t="n"/>
      <c r="AI52" s="2198" t="inlineStr">
        <is>
          <t xml:space="preserve">.   .   .   .   .   .  </t>
        </is>
      </c>
      <c r="AJ52" s="10986" t="inlineStr">
        <is>
          <t>16a</t>
        </is>
      </c>
      <c r="AK52" s="7638" t="n"/>
      <c r="AL52" s="10935">
        <f>IF(AS52&lt;&gt;"",ROUND(AS52,0),IF(AL36="","",IF(SUM(AL36,-AL41)&lt;=0,0,SUM(AL36,-AL41))))</f>
        <v/>
      </c>
      <c r="AM52" s="7637" t="n"/>
      <c r="AN52" s="7637" t="n"/>
      <c r="AO52" s="7637" t="n"/>
      <c r="AP52" s="7638" t="n"/>
      <c r="AQ52" s="11074">
        <f>AND(AL36&lt;&gt;"",AL52&lt;&gt;"",AL52&lt;=0)</f>
        <v/>
      </c>
      <c r="AS52" s="6246" t="n"/>
      <c r="AT52" s="1277" t="n"/>
      <c r="AU52" s="1277" t="n"/>
    </row>
    <row r="53" ht="13.5" customHeight="1" s="7635">
      <c r="A53" s="1277" t="n"/>
      <c r="B53" s="1321" t="inlineStr">
        <is>
          <t>b</t>
        </is>
      </c>
      <c r="C53" s="2178" t="n"/>
      <c r="D53" s="2166" t="inlineStr">
        <is>
          <t>Number of qualifying children under 17 with the required social security number:</t>
        </is>
      </c>
      <c r="E53" s="411" t="n"/>
      <c r="F53" s="411" t="n"/>
      <c r="G53" s="411" t="n"/>
      <c r="H53" s="411" t="n"/>
      <c r="I53" s="411" t="n"/>
      <c r="J53" s="411" t="n"/>
      <c r="K53" s="411" t="n"/>
      <c r="L53" s="411" t="n"/>
      <c r="M53" s="411" t="n"/>
      <c r="N53" s="411" t="n"/>
      <c r="O53" s="411" t="n"/>
      <c r="P53" s="411" t="n"/>
      <c r="Q53" s="411" t="n"/>
      <c r="R53" s="411" t="n"/>
      <c r="S53" s="411" t="n"/>
      <c r="T53" s="411" t="n"/>
      <c r="U53" s="411" t="n"/>
      <c r="V53" s="411" t="n"/>
      <c r="W53" s="411" t="n"/>
      <c r="X53" s="411" t="n"/>
      <c r="Y53" s="1052" t="n"/>
      <c r="Z53" s="1990" t="n"/>
      <c r="AA53" s="1052" t="n"/>
      <c r="AB53" s="12704">
        <f>IF(AS53&lt;&gt;"",ROUND(AS53,0),IF(AS51,"",AE20))</f>
        <v/>
      </c>
      <c r="AC53" s="7637" t="n"/>
      <c r="AD53" s="7637" t="n"/>
      <c r="AE53" s="873" t="inlineStr">
        <is>
          <t>x</t>
        </is>
      </c>
      <c r="AF53" s="12705" t="n">
        <v>1700</v>
      </c>
      <c r="AI53" s="411" t="n"/>
      <c r="AJ53" s="2134" t="n"/>
      <c r="AK53" s="2135" t="n"/>
      <c r="AL53" s="11027">
        <f>OR(AB53="",AB53=0)</f>
        <v/>
      </c>
      <c r="AM53" s="7839" t="n"/>
      <c r="AN53" s="7839" t="n"/>
      <c r="AO53" s="7839" t="n"/>
      <c r="AP53" s="7839" t="n"/>
      <c r="AQ53" s="1277" t="n"/>
      <c r="AR53" s="1277" t="n"/>
      <c r="AS53" s="1410" t="n"/>
      <c r="AT53" s="1277" t="n"/>
      <c r="AU53" s="1277" t="n"/>
    </row>
    <row r="54" ht="13.5" customHeight="1" s="7635">
      <c r="A54" s="1277" t="n"/>
      <c r="B54" s="1321" t="n"/>
      <c r="C54" s="2178" t="n"/>
      <c r="D54" s="2166" t="inlineStr">
        <is>
          <t>Enter the result.</t>
        </is>
      </c>
      <c r="E54" s="411" t="n"/>
      <c r="F54" s="411" t="n"/>
      <c r="G54" s="411" t="n"/>
      <c r="H54" s="411" t="n"/>
      <c r="I54" s="2166" t="n"/>
      <c r="J54" s="2203" t="inlineStr">
        <is>
          <t xml:space="preserve">If zero, </t>
        </is>
      </c>
      <c r="K54" s="2204" t="inlineStr">
        <is>
          <t>stop here;</t>
        </is>
      </c>
      <c r="L54" s="2204" t="n"/>
      <c r="M54" s="411" t="n"/>
      <c r="N54" s="2166" t="inlineStr">
        <is>
          <t>you cannot claim the additional child tax credit.</t>
        </is>
      </c>
      <c r="O54" s="411" t="n"/>
      <c r="P54" s="2166" t="n"/>
      <c r="Q54" s="411" t="n"/>
      <c r="R54" s="411" t="n"/>
      <c r="S54" s="411" t="n"/>
      <c r="T54" s="411" t="n"/>
      <c r="U54" s="411" t="n"/>
      <c r="V54" s="411" t="n"/>
      <c r="W54" s="411" t="n"/>
      <c r="X54" s="411" t="n"/>
      <c r="Y54" s="1052" t="n"/>
      <c r="Z54" s="1990" t="n"/>
      <c r="AA54" s="1052" t="n"/>
      <c r="AB54" s="411" t="n"/>
      <c r="AC54" s="516" t="n"/>
      <c r="AD54" s="516" t="n"/>
      <c r="AE54" s="516" t="n"/>
      <c r="AF54" s="516" t="n"/>
      <c r="AG54" s="516" t="n"/>
      <c r="AH54" s="516" t="n"/>
      <c r="AI54" s="2198" t="inlineStr">
        <is>
          <t xml:space="preserve">.   .   .   .   .   .   .   .   .   .  </t>
        </is>
      </c>
      <c r="AJ54" s="10986" t="inlineStr">
        <is>
          <t>16b</t>
        </is>
      </c>
      <c r="AK54" s="7638" t="n"/>
      <c r="AL54" s="10935">
        <f>IF(AS54&lt;&gt;"",ROUND(AS54,0),IF(OR(AL49,AT51),"",ROUND(AB53*AF53,0)))</f>
        <v/>
      </c>
      <c r="AM54" s="7637" t="n"/>
      <c r="AN54" s="7637" t="n"/>
      <c r="AO54" s="7637" t="n"/>
      <c r="AP54" s="7638" t="n"/>
      <c r="AQ54" s="11074">
        <f>AND(AL54&lt;&gt;"",AL54&lt;=0)</f>
        <v/>
      </c>
      <c r="AS54" s="1410" t="n"/>
      <c r="AT54" s="1277" t="n"/>
      <c r="AU54" s="1277" t="n"/>
      <c r="AV54" s="7834">
        <f>OR(AS51,AT51,AL53)</f>
        <v/>
      </c>
    </row>
    <row r="55" ht="13.5" customHeight="1" s="7635">
      <c r="A55" s="1277" t="n"/>
      <c r="B55" s="1321" t="n"/>
      <c r="C55" s="2178" t="n"/>
      <c r="D55" s="2166" t="inlineStr">
        <is>
          <t>TIP: The number of children you use for this line is the same as the number of children you used for line 4.</t>
        </is>
      </c>
      <c r="E55" s="411" t="n"/>
      <c r="F55" s="411" t="n"/>
      <c r="G55" s="411" t="n"/>
      <c r="H55" s="411" t="n"/>
      <c r="I55" s="411" t="n"/>
      <c r="J55" s="411" t="n"/>
      <c r="K55" s="411" t="n"/>
      <c r="L55" s="411" t="n"/>
      <c r="M55" s="411" t="n"/>
      <c r="N55" s="411" t="n"/>
      <c r="O55" s="411" t="n"/>
      <c r="P55" s="411" t="n"/>
      <c r="Q55" s="411" t="n"/>
      <c r="R55" s="411" t="n"/>
      <c r="S55" s="411" t="n"/>
      <c r="T55" s="411" t="n"/>
      <c r="U55" s="411" t="n"/>
      <c r="V55" s="411" t="n"/>
      <c r="W55" s="411" t="n"/>
      <c r="X55" s="411" t="n"/>
      <c r="Y55" s="1052" t="n"/>
      <c r="Z55" s="1990" t="n"/>
      <c r="AA55" s="1052" t="n"/>
      <c r="AB55" s="411" t="n"/>
      <c r="AC55" s="411" t="n"/>
      <c r="AD55" s="411" t="n"/>
      <c r="AE55" s="411" t="n"/>
      <c r="AF55" s="411" t="n"/>
      <c r="AG55" s="10975">
        <f>OR(AL49,AT51,F8812_Skip_Part_II_A)</f>
        <v/>
      </c>
      <c r="AI55" s="7636" t="n"/>
      <c r="AJ55" s="2205" t="n"/>
      <c r="AK55" s="2206" t="n"/>
      <c r="AL55" s="2178" t="n"/>
      <c r="AM55" s="411" t="n"/>
      <c r="AN55" s="411" t="n"/>
      <c r="AO55" s="411" t="n"/>
      <c r="AP55" s="2004" t="n"/>
      <c r="AQ55" s="1277" t="n"/>
      <c r="AR55" s="1277" t="n"/>
      <c r="AS55" s="1277" t="n"/>
      <c r="AT55" s="1277" t="n"/>
      <c r="AU55" s="1277" t="n"/>
    </row>
    <row r="56" ht="13.5" customHeight="1" s="7635">
      <c r="A56" s="1277" t="n"/>
      <c r="B56" s="2207" t="inlineStr">
        <is>
          <t>17</t>
        </is>
      </c>
      <c r="C56" s="2178" t="n"/>
      <c r="D56" s="2166" t="inlineStr">
        <is>
          <t>Enter the smaller of line 16a or line 16b</t>
        </is>
      </c>
      <c r="E56" s="411" t="n"/>
      <c r="F56" s="411" t="n"/>
      <c r="G56" s="411" t="n"/>
      <c r="H56" s="411" t="n"/>
      <c r="I56" s="411" t="n"/>
      <c r="J56" s="411" t="n"/>
      <c r="K56" s="411" t="n"/>
      <c r="L56" s="411" t="n"/>
      <c r="M56" s="411" t="n"/>
      <c r="N56" s="411" t="n"/>
      <c r="O56" s="411" t="n"/>
      <c r="P56" s="411" t="n"/>
      <c r="Q56" s="411" t="n"/>
      <c r="R56" s="411" t="n"/>
      <c r="S56" s="411" t="n"/>
      <c r="T56" s="411" t="n"/>
      <c r="U56" s="411" t="n"/>
      <c r="V56" s="411" t="n"/>
      <c r="W56" s="411" t="n"/>
      <c r="X56" s="411" t="n"/>
      <c r="Y56" s="1052" t="n"/>
      <c r="Z56" s="1990" t="n"/>
      <c r="AA56" s="1052" t="n"/>
      <c r="AB56" s="411" t="n"/>
      <c r="AC56" s="411" t="n"/>
      <c r="AD56" s="411" t="n"/>
      <c r="AE56" s="411" t="n"/>
      <c r="AF56" s="411" t="n"/>
      <c r="AG56" s="411" t="n"/>
      <c r="AH56" s="411" t="n"/>
      <c r="AI56" s="2198" t="inlineStr">
        <is>
          <t xml:space="preserve">.   .   .   .   .   .   .   .   .   .   .   .   .   .   .   .   .   .   .   .   .   .   .   .   .   .  </t>
        </is>
      </c>
      <c r="AJ56" s="10938" t="inlineStr">
        <is>
          <t>17</t>
        </is>
      </c>
      <c r="AK56" s="7638" t="n"/>
      <c r="AL56" s="10935">
        <f>IF(AG55,"",MIN(AL52,AL54))</f>
        <v/>
      </c>
      <c r="AM56" s="7637" t="n"/>
      <c r="AN56" s="7637" t="n"/>
      <c r="AO56" s="7637" t="n"/>
      <c r="AP56" s="7638" t="n"/>
      <c r="AQ56" s="1277" t="n"/>
      <c r="AR56" s="1277" t="n"/>
      <c r="AS56" s="1277" t="n"/>
      <c r="AT56" s="1277" t="n"/>
      <c r="AU56" s="1277" t="n"/>
    </row>
    <row r="57" ht="13.5" customHeight="1" s="7635">
      <c r="A57" s="1277" t="n"/>
      <c r="B57" s="1321" t="inlineStr">
        <is>
          <t>18a</t>
        </is>
      </c>
      <c r="C57" s="2178" t="n"/>
      <c r="D57" s="2166" t="inlineStr">
        <is>
          <t>Earned income (see instructions)</t>
        </is>
      </c>
      <c r="E57" s="411" t="n"/>
      <c r="F57" s="411" t="n"/>
      <c r="G57" s="411" t="n"/>
      <c r="H57" s="411" t="n"/>
      <c r="I57" s="411" t="n"/>
      <c r="J57" s="411" t="n"/>
      <c r="K57" s="411" t="n"/>
      <c r="L57" s="411" t="n"/>
      <c r="M57" s="411" t="n"/>
      <c r="N57" s="411" t="n"/>
      <c r="O57" s="411" t="n"/>
      <c r="P57" s="411" t="n"/>
      <c r="Q57" s="411" t="n"/>
      <c r="R57" s="411" t="n"/>
      <c r="S57" s="411" t="n"/>
      <c r="T57" s="411" t="n"/>
      <c r="U57" s="411" t="n"/>
      <c r="V57" s="411" t="n"/>
      <c r="W57" s="411" t="n"/>
      <c r="X57" s="411" t="n"/>
      <c r="Y57" s="1052" t="n"/>
      <c r="Z57" s="1990" t="n"/>
      <c r="AA57" s="1052" t="n"/>
      <c r="AB57" s="2198" t="inlineStr">
        <is>
          <t xml:space="preserve">.   .   .   .   .   .   .   .   .   .   .   .   .   .   .   .   .   .   .  </t>
        </is>
      </c>
      <c r="AC57" s="10986" t="inlineStr">
        <is>
          <t>18a</t>
        </is>
      </c>
      <c r="AD57" s="7638" t="n"/>
      <c r="AE57" s="12706">
        <f>IF(AS57&lt;&gt;"",ROUND(AS57,0),IF(AG55,"",IF(AL48,"",Earned_Income)))</f>
        <v/>
      </c>
      <c r="AF57" s="7637" t="n"/>
      <c r="AG57" s="7637" t="n"/>
      <c r="AH57" s="7637" t="n"/>
      <c r="AI57" s="7638" t="n"/>
      <c r="AJ57" s="2208" t="n"/>
      <c r="AK57" s="2209" t="n"/>
      <c r="AL57" s="2178" t="n"/>
      <c r="AM57" s="411" t="n"/>
      <c r="AN57" s="411" t="n"/>
      <c r="AO57" s="411" t="n"/>
      <c r="AP57" s="2004" t="n"/>
      <c r="AQ57" s="1277" t="n"/>
      <c r="AR57" s="1277" t="n"/>
      <c r="AS57" s="1410" t="n"/>
      <c r="AT57" s="1277" t="n"/>
      <c r="AU57" s="1277" t="n"/>
    </row>
    <row r="58" ht="13.5" customHeight="1" s="7635">
      <c r="A58" s="1277" t="n"/>
      <c r="B58" s="1321" t="inlineStr">
        <is>
          <t>b</t>
        </is>
      </c>
      <c r="C58" s="2178" t="n"/>
      <c r="D58" s="2166" t="inlineStr">
        <is>
          <t>Nontaxable combat pay (see instructions)</t>
        </is>
      </c>
      <c r="E58" s="411" t="n"/>
      <c r="F58" s="411" t="n"/>
      <c r="G58" s="411" t="n"/>
      <c r="H58" s="411" t="n"/>
      <c r="I58" s="411" t="n"/>
      <c r="J58" s="411" t="n"/>
      <c r="K58" s="411" t="n"/>
      <c r="L58" s="411" t="n"/>
      <c r="M58" s="411" t="n"/>
      <c r="N58" s="411" t="n"/>
      <c r="O58" s="411" t="n"/>
      <c r="P58" s="411" t="n"/>
      <c r="Q58" s="411" t="n"/>
      <c r="R58" s="411" t="n"/>
      <c r="S58" s="411" t="n"/>
      <c r="T58" s="411" t="n"/>
      <c r="U58" s="2198" t="inlineStr">
        <is>
          <t xml:space="preserve">.   .   .   .   .   .   .   .  </t>
        </is>
      </c>
      <c r="V58" s="10986" t="inlineStr">
        <is>
          <t>18b</t>
        </is>
      </c>
      <c r="W58" s="7638" t="n"/>
      <c r="X58" s="12706">
        <f>IF(AG55,"",IF(AS58&lt;&gt;"",ROUND(AS58,0),CombatPayNoTax))</f>
        <v/>
      </c>
      <c r="Y58" s="7637" t="n"/>
      <c r="Z58" s="7637" t="n"/>
      <c r="AA58" s="7637" t="n"/>
      <c r="AB58" s="7638" t="n"/>
      <c r="AC58" s="2205" t="n"/>
      <c r="AD58" s="2206" t="n"/>
      <c r="AE58" s="2178" t="n"/>
      <c r="AF58" s="411" t="n"/>
      <c r="AG58" s="411" t="n"/>
      <c r="AH58" s="411" t="n"/>
      <c r="AI58" s="2004" t="n"/>
      <c r="AJ58" s="2205" t="n"/>
      <c r="AK58" s="2206" t="n"/>
      <c r="AL58" s="2178" t="n"/>
      <c r="AM58" s="411" t="n"/>
      <c r="AN58" s="411" t="n"/>
      <c r="AO58" s="411" t="n"/>
      <c r="AP58" s="2004" t="n"/>
      <c r="AQ58" s="1277" t="n"/>
      <c r="AR58" s="1277" t="n"/>
      <c r="AS58" s="1410" t="n"/>
      <c r="AT58" s="1277" t="n"/>
      <c r="AU58" s="1277" t="n"/>
    </row>
    <row r="59" ht="13.5" customHeight="1" s="7635">
      <c r="A59" s="1277" t="n"/>
      <c r="B59" s="2207" t="inlineStr">
        <is>
          <t>19</t>
        </is>
      </c>
      <c r="C59" s="2178" t="n"/>
      <c r="D59" s="2166">
        <f>"Is the amount on line 18a more than "&amp;TEXT(AE60,"$0,000")&amp;"?"</f>
        <v/>
      </c>
      <c r="E59" s="411" t="n"/>
      <c r="F59" s="411" t="n"/>
      <c r="G59" s="411" t="n"/>
      <c r="H59" s="411" t="n"/>
      <c r="I59" s="411" t="n"/>
      <c r="J59" s="411" t="n"/>
      <c r="K59" s="411" t="n"/>
      <c r="L59" s="411" t="n"/>
      <c r="M59" s="411" t="n"/>
      <c r="N59" s="411" t="n"/>
      <c r="O59" s="411" t="n"/>
      <c r="P59" s="411" t="n"/>
      <c r="Q59" s="411" t="n"/>
      <c r="R59" s="411" t="n"/>
      <c r="S59" s="411" t="n"/>
      <c r="T59" s="411" t="n"/>
      <c r="U59" s="411" t="n"/>
      <c r="V59" s="411" t="n"/>
      <c r="W59" s="411" t="n"/>
      <c r="X59" s="411" t="n"/>
      <c r="Y59" s="1052" t="n"/>
      <c r="Z59" s="1990" t="n"/>
      <c r="AA59" s="1052" t="n"/>
      <c r="AB59" s="411" t="n"/>
      <c r="AC59" s="2205" t="n"/>
      <c r="AD59" s="2206" t="n"/>
      <c r="AE59" s="2178" t="n"/>
      <c r="AF59" s="411" t="n"/>
      <c r="AG59" s="411" t="n"/>
      <c r="AH59" s="411" t="n"/>
      <c r="AI59" s="2004" t="n"/>
      <c r="AJ59" s="2205" t="n"/>
      <c r="AK59" s="2206" t="n"/>
      <c r="AL59" s="2178" t="n"/>
      <c r="AM59" s="411" t="n"/>
      <c r="AN59" s="411" t="n"/>
      <c r="AO59" s="411" t="n"/>
      <c r="AP59" s="2004" t="n"/>
      <c r="AQ59" s="1277" t="n"/>
      <c r="AR59" s="1277" t="n"/>
      <c r="AS59" s="1277" t="n"/>
      <c r="AT59" s="1277" t="n"/>
      <c r="AU59" s="1277" t="n"/>
    </row>
    <row r="60" ht="13.5" customHeight="1" s="7635">
      <c r="A60" s="1277" t="n"/>
      <c r="B60" s="1321" t="n"/>
      <c r="C60" s="2178" t="n"/>
      <c r="D60" s="276">
        <f>IF(F8812_Skip_Part_II_A,"",IF(AE57="","X",IF(AE57&gt;AE60,"","X")))</f>
        <v/>
      </c>
      <c r="E60" s="2123" t="inlineStr">
        <is>
          <t xml:space="preserve"> No. </t>
        </is>
      </c>
      <c r="F60" s="411" t="n"/>
      <c r="G60" s="2166" t="inlineStr">
        <is>
          <t>Leave line 19 blank and enter -0- on line 20.</t>
        </is>
      </c>
      <c r="H60" s="411" t="n"/>
      <c r="I60" s="411" t="n"/>
      <c r="J60" s="411" t="n"/>
      <c r="K60" s="411" t="n"/>
      <c r="L60" s="411" t="n"/>
      <c r="M60" s="411" t="n"/>
      <c r="N60" s="411" t="n"/>
      <c r="O60" s="411" t="n"/>
      <c r="P60" s="411" t="n"/>
      <c r="Q60" s="411" t="n"/>
      <c r="R60" s="411" t="n"/>
      <c r="S60" s="411" t="n"/>
      <c r="T60" s="411" t="n"/>
      <c r="U60" s="411" t="n"/>
      <c r="V60" s="411" t="n"/>
      <c r="W60" s="411" t="n"/>
      <c r="X60" s="411" t="n"/>
      <c r="Y60" s="1052" t="n"/>
      <c r="Z60" s="1990" t="n"/>
      <c r="AA60" s="1052" t="n"/>
      <c r="AB60" s="411" t="n"/>
      <c r="AC60" s="2205" t="n"/>
      <c r="AD60" s="2206" t="n"/>
      <c r="AE60" s="12707" t="n">
        <v>2500</v>
      </c>
      <c r="AI60" s="7636" t="n"/>
      <c r="AJ60" s="2205" t="n"/>
      <c r="AK60" s="2206" t="n"/>
      <c r="AL60" s="11033" t="n">
        <v>0.15</v>
      </c>
      <c r="AQ60" s="1277" t="n"/>
      <c r="AR60" s="1277" t="n"/>
      <c r="AS60" s="1277" t="n"/>
      <c r="AT60" s="1277" t="n"/>
      <c r="AU60" s="1277" t="n"/>
    </row>
    <row r="61" ht="3.75" customHeight="1" s="7635">
      <c r="A61" s="1277" t="n"/>
      <c r="B61" s="1321" t="n"/>
      <c r="C61" s="2178" t="n"/>
      <c r="D61" s="411" t="n"/>
      <c r="E61" s="2166" t="n"/>
      <c r="F61" s="411" t="n"/>
      <c r="G61" s="2166" t="n"/>
      <c r="H61" s="411" t="n"/>
      <c r="I61" s="411" t="n"/>
      <c r="J61" s="411" t="n"/>
      <c r="K61" s="411" t="n"/>
      <c r="L61" s="411" t="n"/>
      <c r="M61" s="411" t="n"/>
      <c r="N61" s="411" t="n"/>
      <c r="O61" s="411" t="n"/>
      <c r="P61" s="411" t="n"/>
      <c r="Q61" s="411" t="n"/>
      <c r="R61" s="411" t="n"/>
      <c r="S61" s="411" t="n"/>
      <c r="T61" s="411" t="n"/>
      <c r="U61" s="411" t="n"/>
      <c r="V61" s="411" t="n"/>
      <c r="W61" s="411" t="n"/>
      <c r="X61" s="411" t="n"/>
      <c r="Y61" s="1052" t="n"/>
      <c r="Z61" s="1990" t="n"/>
      <c r="AA61" s="1052" t="n"/>
      <c r="AB61" s="411" t="n"/>
      <c r="AC61" s="2205" t="n"/>
      <c r="AD61" s="2206" t="n"/>
      <c r="AE61" s="411" t="n"/>
      <c r="AF61" s="411" t="n"/>
      <c r="AG61" s="411" t="n"/>
      <c r="AH61" s="411" t="n"/>
      <c r="AI61" s="411" t="n"/>
      <c r="AJ61" s="2205" t="n"/>
      <c r="AK61" s="2206" t="n"/>
      <c r="AL61" s="2178" t="n"/>
      <c r="AM61" s="411" t="n"/>
      <c r="AN61" s="411" t="n"/>
      <c r="AO61" s="411" t="n"/>
      <c r="AP61" s="2004" t="n"/>
      <c r="AQ61" s="1277" t="n"/>
      <c r="AR61" s="1277" t="n"/>
      <c r="AS61" s="1277" t="n"/>
      <c r="AT61" s="1277" t="n"/>
      <c r="AU61" s="1277" t="n"/>
    </row>
    <row r="62" ht="13.5" customHeight="1" s="7635">
      <c r="A62" s="1277" t="n"/>
      <c r="B62" s="1321" t="n"/>
      <c r="C62" s="2178" t="n"/>
      <c r="D62" s="276">
        <f>IF(F8812_Skip_Part_II_A,"",IF(AE57="","",IF(AE57&gt;AE60,"X","")))</f>
        <v/>
      </c>
      <c r="E62" s="2156" t="inlineStr">
        <is>
          <t xml:space="preserve"> Yes.</t>
        </is>
      </c>
      <c r="F62" s="411" t="n"/>
      <c r="G62" s="2166">
        <f>"Subtract "&amp;TEXT(AE60,"$0,000")&amp;" from the amount on line 18a. Enter the result"</f>
        <v/>
      </c>
      <c r="H62" s="411" t="n"/>
      <c r="I62" s="411" t="n"/>
      <c r="J62" s="411" t="n"/>
      <c r="K62" s="411" t="n"/>
      <c r="L62" s="411" t="n"/>
      <c r="M62" s="411" t="n"/>
      <c r="N62" s="411" t="n"/>
      <c r="O62" s="411" t="n"/>
      <c r="P62" s="411" t="n"/>
      <c r="Q62" s="411" t="n"/>
      <c r="R62" s="411" t="n"/>
      <c r="S62" s="411" t="n"/>
      <c r="T62" s="411" t="n"/>
      <c r="U62" s="411" t="n"/>
      <c r="V62" s="411" t="n"/>
      <c r="W62" s="411" t="n"/>
      <c r="X62" s="411" t="n"/>
      <c r="Y62" s="2210" t="n"/>
      <c r="Z62" s="2210" t="n"/>
      <c r="AA62" s="2210" t="n"/>
      <c r="AB62" s="2198" t="inlineStr">
        <is>
          <t xml:space="preserve">.   .   .   .   .   .  </t>
        </is>
      </c>
      <c r="AC62" s="10938" t="inlineStr">
        <is>
          <t>19</t>
        </is>
      </c>
      <c r="AD62" s="7638" t="n"/>
      <c r="AE62" s="10987">
        <f>IF(AG55,"",IF(D60&lt;&gt;"","",SUM(AE57,-AE60)))</f>
        <v/>
      </c>
      <c r="AF62" s="7637" t="n"/>
      <c r="AG62" s="7637" t="n"/>
      <c r="AH62" s="7637" t="n"/>
      <c r="AI62" s="7638" t="n"/>
      <c r="AJ62" s="2205" t="n"/>
      <c r="AK62" s="2206" t="n"/>
      <c r="AL62" s="11602" t="n"/>
      <c r="AM62" s="11602" t="n"/>
      <c r="AN62" s="11602" t="n"/>
      <c r="AO62" s="11602" t="n"/>
      <c r="AP62" s="11602" t="n"/>
      <c r="AQ62" s="1277" t="n"/>
      <c r="AR62" s="1277" t="n"/>
      <c r="AS62" s="1277" t="n"/>
      <c r="AT62" s="1277" t="n"/>
      <c r="AU62" s="1277" t="n"/>
    </row>
    <row r="63" ht="17.25" customHeight="1" s="7635">
      <c r="A63" s="1277" t="n"/>
      <c r="B63" s="2207" t="inlineStr">
        <is>
          <t>20</t>
        </is>
      </c>
      <c r="C63" s="2178" t="n"/>
      <c r="D63" s="2166">
        <f>"Multiply the amount on line 19 by "&amp;TEXT(AL60,"0%")&amp;" ("&amp;TEXT(AL60,"0.00")&amp;") and enter the result"</f>
        <v/>
      </c>
      <c r="E63" s="411" t="n"/>
      <c r="F63" s="411" t="n"/>
      <c r="G63" s="411" t="n"/>
      <c r="H63" s="411" t="n"/>
      <c r="I63" s="411" t="n"/>
      <c r="J63" s="411" t="n"/>
      <c r="K63" s="411" t="n"/>
      <c r="L63" s="411" t="n"/>
      <c r="M63" s="411" t="n"/>
      <c r="N63" s="411" t="n"/>
      <c r="O63" s="411" t="n"/>
      <c r="P63" s="411" t="n"/>
      <c r="Q63" s="411" t="n"/>
      <c r="R63" s="411" t="n"/>
      <c r="S63" s="411" t="n"/>
      <c r="T63" s="411" t="n"/>
      <c r="U63" s="411" t="n"/>
      <c r="V63" s="411" t="n"/>
      <c r="W63" s="411" t="n"/>
      <c r="X63" s="411" t="n"/>
      <c r="Y63" s="1052" t="n"/>
      <c r="Z63" s="1990" t="n"/>
      <c r="AA63" s="1052" t="n"/>
      <c r="AB63" s="411" t="n"/>
      <c r="AC63" s="411" t="n"/>
      <c r="AD63" s="411" t="n"/>
      <c r="AE63" s="2211" t="n"/>
      <c r="AF63" s="2211" t="n"/>
      <c r="AG63" s="2211" t="n"/>
      <c r="AH63" s="2211" t="n"/>
      <c r="AI63" s="2198" t="inlineStr">
        <is>
          <t xml:space="preserve">.   .   .   .   .   .   .   .   .   .   .   .   .   .   .   .   .   .   .  </t>
        </is>
      </c>
      <c r="AJ63" s="10938" t="inlineStr">
        <is>
          <t>20</t>
        </is>
      </c>
      <c r="AK63" s="7638" t="n"/>
      <c r="AL63" s="10935">
        <f>IF(AG55,"",IF(AS63&lt;&gt;"",ROUND(AS63,0),IF(D60&lt;&gt;"",0,ROUND(AL60*AE62,0))))</f>
        <v/>
      </c>
      <c r="AM63" s="7637" t="n"/>
      <c r="AN63" s="7637" t="n"/>
      <c r="AO63" s="7637" t="n"/>
      <c r="AP63" s="7638" t="n"/>
      <c r="AQ63" s="1277" t="n"/>
      <c r="AR63" s="1277" t="n"/>
      <c r="AS63" s="7846" t="n"/>
      <c r="AT63" s="1277" t="n"/>
      <c r="AU63" s="1277" t="n"/>
    </row>
    <row r="64" ht="13.5" customHeight="1" s="7635">
      <c r="A64" s="1277" t="n"/>
      <c r="B64" s="1321" t="n"/>
      <c r="C64" s="2178" t="n"/>
      <c r="D64" s="2204" t="inlineStr">
        <is>
          <t>Next.</t>
        </is>
      </c>
      <c r="E64" s="2166" t="n"/>
      <c r="F64" s="2166">
        <f>"On line 16b, is the amount "&amp;TEXT(AE64,"$0,000")&amp;" or more?"</f>
        <v/>
      </c>
      <c r="G64" s="411" t="n"/>
      <c r="H64" s="411" t="n"/>
      <c r="I64" s="411" t="n"/>
      <c r="J64" s="411" t="n"/>
      <c r="K64" s="411" t="n"/>
      <c r="L64" s="411" t="n"/>
      <c r="M64" s="411" t="n"/>
      <c r="N64" s="411" t="n"/>
      <c r="O64" s="411" t="n"/>
      <c r="P64" s="411" t="n"/>
      <c r="Q64" s="411" t="n"/>
      <c r="R64" s="411" t="n"/>
      <c r="S64" s="411" t="n"/>
      <c r="T64" s="411" t="n"/>
      <c r="U64" s="411" t="n"/>
      <c r="V64" s="411" t="n"/>
      <c r="W64" s="411" t="n"/>
      <c r="X64" s="411" t="n"/>
      <c r="Y64" s="1052" t="n"/>
      <c r="Z64" s="1990" t="n"/>
      <c r="AA64" s="1052" t="n"/>
      <c r="AB64" s="411" t="n"/>
      <c r="AC64" s="411" t="n"/>
      <c r="AD64" s="411" t="n"/>
      <c r="AE64" s="10975" t="n">
        <v>5100</v>
      </c>
      <c r="AI64" s="7636" t="n"/>
      <c r="AJ64" s="2143" t="n"/>
      <c r="AK64" s="2212" t="n"/>
      <c r="AL64" s="2213" t="n"/>
      <c r="AM64" s="2212" t="n"/>
      <c r="AN64" s="2212" t="n"/>
      <c r="AO64" s="2212" t="n"/>
      <c r="AP64" s="2214" t="n"/>
      <c r="AQ64" s="1277" t="n"/>
      <c r="AR64" s="1277" t="n"/>
      <c r="AS64" s="1277" t="n"/>
      <c r="AT64" s="1277" t="n"/>
      <c r="AU64" s="1277" t="n"/>
    </row>
    <row r="65" ht="13.5" customHeight="1" s="7635">
      <c r="A65" s="1277" t="n"/>
      <c r="B65" s="10975">
        <f>NOT(B67)</f>
        <v/>
      </c>
      <c r="C65" s="7636" t="n"/>
      <c r="D65" s="276">
        <f>IF(F8812_Skip_Part_II_A,"",IF(B65,"X",""))</f>
        <v/>
      </c>
      <c r="E65" s="2215" t="inlineStr">
        <is>
          <t>No.</t>
        </is>
      </c>
      <c r="F65" s="411" t="n"/>
      <c r="G65" s="2166" t="inlineStr">
        <is>
          <t>If you are a bona fide resident of Puerto Rico, go to line 21.  Otherwise, skip Part II-B and enter the</t>
        </is>
      </c>
      <c r="H65" s="411" t="n"/>
      <c r="I65" s="411" t="n"/>
      <c r="J65" s="411" t="n"/>
      <c r="K65" s="411" t="n"/>
      <c r="L65" s="411" t="n"/>
      <c r="M65" s="411" t="n"/>
      <c r="N65" s="411" t="n"/>
      <c r="O65" s="411" t="n"/>
      <c r="P65" s="411" t="n"/>
      <c r="Q65" s="411" t="n"/>
      <c r="R65" s="411" t="n"/>
      <c r="S65" s="411" t="n"/>
      <c r="T65" s="411" t="n"/>
      <c r="U65" s="411" t="n"/>
      <c r="V65" s="411" t="n"/>
      <c r="W65" s="411" t="n"/>
      <c r="X65" s="411" t="n"/>
      <c r="Y65" s="1052" t="n"/>
      <c r="Z65" s="1990" t="n"/>
      <c r="AA65" s="1052" t="n"/>
      <c r="AB65" s="411" t="n"/>
      <c r="AC65" s="411" t="n"/>
      <c r="AD65" s="411" t="n"/>
      <c r="AE65" s="411" t="n"/>
      <c r="AF65" s="411" t="n"/>
      <c r="AG65" s="411" t="n"/>
      <c r="AH65" s="411" t="n"/>
      <c r="AI65" s="411" t="n"/>
      <c r="AJ65" s="2146" t="n"/>
      <c r="AK65" s="2216" t="n"/>
      <c r="AL65" s="2217" t="n"/>
      <c r="AM65" s="2216" t="n"/>
      <c r="AN65" s="2216" t="n"/>
      <c r="AO65" s="2216" t="n"/>
      <c r="AP65" s="2218" t="n"/>
      <c r="AQ65" s="1277" t="n"/>
      <c r="AR65" s="1277" t="n"/>
      <c r="AS65" s="2111" t="n"/>
      <c r="AT65" s="1277" t="n"/>
      <c r="AU65" s="1277" t="n"/>
    </row>
    <row r="66" ht="13.5" customHeight="1" s="7635">
      <c r="A66" s="1277" t="n"/>
      <c r="B66" s="1321" t="n"/>
      <c r="C66" s="2178" t="n"/>
      <c r="D66" s="411" t="n"/>
      <c r="E66" s="2166" t="n"/>
      <c r="F66" s="411" t="n"/>
      <c r="G66" s="2166" t="inlineStr">
        <is>
          <t>smaller of line 17 or line 20 on line 27.</t>
        </is>
      </c>
      <c r="H66" s="411" t="n"/>
      <c r="I66" s="411" t="n"/>
      <c r="J66" s="411" t="n"/>
      <c r="K66" s="411" t="n"/>
      <c r="L66" s="411" t="n"/>
      <c r="M66" s="411" t="n"/>
      <c r="N66" s="411" t="n"/>
      <c r="O66" s="411" t="n"/>
      <c r="P66" s="411" t="n"/>
      <c r="Q66" s="411" t="n"/>
      <c r="R66" s="411" t="n"/>
      <c r="S66" s="411" t="n"/>
      <c r="T66" s="411" t="n"/>
      <c r="U66" s="411" t="n"/>
      <c r="V66" s="411" t="n"/>
      <c r="W66" s="411" t="n"/>
      <c r="X66" s="411" t="n"/>
      <c r="Y66" s="1052" t="n"/>
      <c r="Z66" s="1990" t="n"/>
      <c r="AA66" s="1052" t="n"/>
      <c r="AB66" s="411" t="n"/>
      <c r="AC66" s="411" t="n"/>
      <c r="AD66" s="10974">
        <f>AND(D65&lt;&gt;"",PuertoRicoResident)</f>
        <v/>
      </c>
      <c r="AG66" s="10975">
        <f>AND(D65&lt;&gt;"",NOT(PuertoRicoResident))</f>
        <v/>
      </c>
      <c r="AI66" s="7636" t="n"/>
      <c r="AJ66" s="2146" t="n"/>
      <c r="AK66" s="2216" t="n"/>
      <c r="AL66" s="2217" t="n"/>
      <c r="AM66" s="2216" t="n"/>
      <c r="AN66" s="2216" t="n"/>
      <c r="AO66" s="2216" t="n"/>
      <c r="AP66" s="2218" t="n"/>
      <c r="AQ66" s="1277" t="n"/>
      <c r="AR66" s="1277" t="n"/>
      <c r="AS66" s="2219" t="n"/>
      <c r="AT66" s="1277" t="n"/>
      <c r="AU66" s="1277" t="n"/>
    </row>
    <row r="67" ht="13.5" customHeight="1" s="7635">
      <c r="A67" s="1277" t="n"/>
      <c r="B67" s="10975">
        <f>(AL54&gt;=AE64)</f>
        <v/>
      </c>
      <c r="C67" s="7636" t="n"/>
      <c r="D67" s="276">
        <f>IF(F8812_Skip_Part_II_A,"",IF(B67,"X",""))</f>
        <v/>
      </c>
      <c r="E67" s="2215" t="inlineStr">
        <is>
          <t>Yes.</t>
        </is>
      </c>
      <c r="F67" s="411" t="n"/>
      <c r="G67" s="2166" t="inlineStr">
        <is>
          <t>If line 20 is equal to or more than line 17, skip Part II-B and enter the amount from line 17 on line 27.</t>
        </is>
      </c>
      <c r="H67" s="411" t="n"/>
      <c r="I67" s="411" t="n"/>
      <c r="J67" s="411" t="n"/>
      <c r="K67" s="411" t="n"/>
      <c r="L67" s="411" t="n"/>
      <c r="M67" s="411" t="n"/>
      <c r="N67" s="411" t="n"/>
      <c r="O67" s="411" t="n"/>
      <c r="P67" s="411" t="n"/>
      <c r="Q67" s="411" t="n"/>
      <c r="R67" s="411" t="n"/>
      <c r="S67" s="411" t="n"/>
      <c r="T67" s="411" t="n"/>
      <c r="U67" s="411" t="n"/>
      <c r="V67" s="411" t="n"/>
      <c r="W67" s="411" t="n"/>
      <c r="X67" s="411" t="n"/>
      <c r="Y67" s="1052" t="n"/>
      <c r="Z67" s="1990" t="n"/>
      <c r="AA67" s="1052" t="n"/>
      <c r="AB67" s="411" t="n"/>
      <c r="AC67" s="411" t="n"/>
      <c r="AD67" s="411" t="n"/>
      <c r="AE67" s="411" t="n"/>
      <c r="AF67" s="411" t="n"/>
      <c r="AG67" s="411" t="n"/>
      <c r="AH67" s="411" t="n"/>
      <c r="AI67" s="411" t="n"/>
      <c r="AJ67" s="2146" t="n"/>
      <c r="AK67" s="2216" t="n"/>
      <c r="AL67" s="2217" t="n"/>
      <c r="AM67" s="2216" t="n"/>
      <c r="AN67" s="2216" t="n"/>
      <c r="AO67" s="2216" t="n"/>
      <c r="AP67" s="2218" t="n"/>
      <c r="AQ67" s="1277" t="n"/>
      <c r="AR67" s="1277" t="n"/>
      <c r="AS67" s="1277" t="n"/>
      <c r="AT67" s="1277" t="n"/>
      <c r="AU67" s="1277" t="n"/>
    </row>
    <row r="68" ht="13.5" customHeight="1" s="7635" thickBot="1">
      <c r="A68" s="1277" t="n"/>
      <c r="B68" s="2220" t="n"/>
      <c r="C68" s="2221" t="n"/>
      <c r="D68" s="2222" t="n"/>
      <c r="E68" s="2222" t="n"/>
      <c r="F68" s="2222" t="n"/>
      <c r="G68" s="2223" t="inlineStr">
        <is>
          <t>Otherwise, go to line 21.</t>
        </is>
      </c>
      <c r="H68" s="2222" t="n"/>
      <c r="I68" s="2222" t="n"/>
      <c r="J68" s="2222" t="n"/>
      <c r="K68" s="2222" t="n"/>
      <c r="L68" s="2222" t="n"/>
      <c r="M68" s="2222" t="n"/>
      <c r="N68" s="2222" t="n"/>
      <c r="O68" s="2222" t="n"/>
      <c r="P68" s="2222" t="n"/>
      <c r="Q68" s="2222" t="n"/>
      <c r="R68" s="2222" t="n"/>
      <c r="S68" s="2222" t="n"/>
      <c r="T68" s="2222" t="n"/>
      <c r="U68" s="2222" t="n"/>
      <c r="V68" s="2222" t="n"/>
      <c r="W68" s="2222" t="n"/>
      <c r="X68" s="2222" t="n"/>
      <c r="Y68" s="2224" t="n"/>
      <c r="Z68" s="2225" t="n"/>
      <c r="AA68" s="2224" t="n"/>
      <c r="AB68" s="2226" t="n"/>
      <c r="AC68" s="2226" t="n"/>
      <c r="AD68" s="11054">
        <f>AND(D67&lt;&gt;"",AL63&gt;=AL56)</f>
        <v/>
      </c>
      <c r="AE68" s="8848" t="n"/>
      <c r="AF68" s="8848" t="n"/>
      <c r="AG68" s="11055">
        <f>AND(D67&lt;&gt;"",AL63&lt;AL56)</f>
        <v/>
      </c>
      <c r="AH68" s="8848" t="n"/>
      <c r="AI68" s="12121" t="n"/>
      <c r="AJ68" s="2227" t="n"/>
      <c r="AK68" s="2228" t="n"/>
      <c r="AL68" s="2229" t="n"/>
      <c r="AM68" s="2228" t="n"/>
      <c r="AN68" s="2228" t="n"/>
      <c r="AO68" s="2228" t="n"/>
      <c r="AP68" s="2230" t="n"/>
      <c r="AQ68" s="1277" t="n"/>
      <c r="AR68" s="1277" t="n"/>
      <c r="AS68" s="1277" t="n"/>
      <c r="AT68" s="1277" t="n"/>
      <c r="AU68" s="1277" t="n"/>
    </row>
    <row r="69" ht="15.75" customFormat="1" customHeight="1" s="1405">
      <c r="A69" s="2119" t="n"/>
      <c r="B69" s="11057" t="inlineStr">
        <is>
          <t>Part II-B</t>
        </is>
      </c>
      <c r="C69" s="7637" t="n"/>
      <c r="D69" s="7637" t="n"/>
      <c r="E69" s="2009" t="inlineStr">
        <is>
          <t xml:space="preserve">  Certain Filers Who Have Three or More Qualifying Children and Bona Fide Residents of Puerto Rico</t>
        </is>
      </c>
      <c r="F69" s="1998" t="n"/>
      <c r="G69" s="1997" t="n"/>
      <c r="H69" s="1998" t="n"/>
      <c r="I69" s="1998" t="n"/>
      <c r="J69" s="1998" t="n"/>
      <c r="K69" s="1998" t="n"/>
      <c r="L69" s="1998" t="n"/>
      <c r="M69" s="1998" t="n"/>
      <c r="N69" s="1998" t="n"/>
      <c r="O69" s="1998" t="n"/>
      <c r="P69" s="1998" t="n"/>
      <c r="Q69" s="1998" t="n"/>
      <c r="R69" s="1998" t="n"/>
      <c r="S69" s="1998" t="n"/>
      <c r="T69" s="1998" t="n"/>
      <c r="U69" s="1998" t="n"/>
      <c r="V69" s="1998" t="n"/>
      <c r="W69" s="1998" t="n"/>
      <c r="X69" s="1998" t="n"/>
      <c r="Y69" s="1998" t="n"/>
      <c r="Z69" s="1998" t="n"/>
      <c r="AA69" s="1998" t="n"/>
      <c r="AB69" s="1998" t="n"/>
      <c r="AC69" s="7772" t="n"/>
      <c r="AD69" s="7772" t="n"/>
      <c r="AE69" s="1998" t="n"/>
      <c r="AF69" s="1998" t="n"/>
      <c r="AG69" s="1998" t="n"/>
      <c r="AH69" s="1998" t="n"/>
      <c r="AI69" s="1998" t="n"/>
      <c r="AJ69" s="1998" t="n"/>
      <c r="AK69" s="1998" t="n"/>
      <c r="AL69" s="2231" t="n"/>
      <c r="AM69" s="2231" t="n"/>
      <c r="AN69" s="2231" t="n"/>
      <c r="AO69" s="2231" t="n"/>
      <c r="AP69" s="2231" t="n"/>
      <c r="AQ69" s="1277" t="n"/>
      <c r="AR69" s="1277" t="n"/>
      <c r="AS69" s="2190">
        <f>IF(F8812_Skip_Part_II_B,"Skip Part II-B.","")</f>
        <v/>
      </c>
      <c r="AT69" s="1277" t="n"/>
      <c r="AU69" s="1277" t="n"/>
      <c r="AX69" s="658" t="n"/>
      <c r="AY69" s="658" t="n"/>
      <c r="AZ69" s="658" t="n"/>
      <c r="BA69" s="658" t="n"/>
      <c r="BB69" s="658" t="n"/>
      <c r="BC69" s="658" t="n"/>
      <c r="BD69" s="658" t="n"/>
      <c r="BE69" s="658" t="n"/>
      <c r="BF69" s="658" t="n"/>
      <c r="BG69" s="658" t="n"/>
      <c r="BH69" s="658" t="n"/>
    </row>
    <row r="70" ht="13.5" customHeight="1" s="7635">
      <c r="A70" s="1277" t="n"/>
      <c r="B70" s="2207" t="inlineStr">
        <is>
          <t>21</t>
        </is>
      </c>
      <c r="C70" s="2178" t="n"/>
      <c r="D70" s="2166" t="inlineStr">
        <is>
          <t>Withheld social security, Medicare, and Additional Medicare taxes from Form(s) W-2,</t>
        </is>
      </c>
      <c r="E70" s="411" t="n"/>
      <c r="F70" s="411" t="n"/>
      <c r="G70" s="411" t="n"/>
      <c r="H70" s="411" t="n"/>
      <c r="I70" s="411" t="n"/>
      <c r="J70" s="411" t="n"/>
      <c r="K70" s="411" t="n"/>
      <c r="L70" s="411" t="n"/>
      <c r="M70" s="411" t="n"/>
      <c r="N70" s="411" t="n"/>
      <c r="O70" s="411" t="n"/>
      <c r="P70" s="411" t="n"/>
      <c r="Q70" s="411" t="n"/>
      <c r="R70" s="411" t="n"/>
      <c r="S70" s="411" t="n"/>
      <c r="T70" s="411" t="n"/>
      <c r="U70" s="411" t="n"/>
      <c r="V70" s="411" t="n"/>
      <c r="W70" s="411" t="n"/>
      <c r="X70" s="411" t="n"/>
      <c r="Y70" s="1052" t="n"/>
      <c r="Z70" s="1990" t="n"/>
      <c r="AA70" s="1052" t="n"/>
      <c r="AB70" s="411" t="n"/>
      <c r="AC70" s="2134" t="n"/>
      <c r="AD70" s="2135" t="n"/>
      <c r="AE70" s="2178" t="n"/>
      <c r="AF70" s="411" t="n"/>
      <c r="AG70" s="411" t="n"/>
      <c r="AH70" s="411" t="n"/>
      <c r="AI70" s="2004" t="n"/>
      <c r="AJ70" s="2205" t="n"/>
      <c r="AK70" s="2206" t="n"/>
      <c r="AL70" s="11027">
        <f>AND(AS83,OR(AS51,AL55,AG66,AD68))</f>
        <v/>
      </c>
      <c r="AM70" s="7839" t="n"/>
      <c r="AN70" s="7839" t="n"/>
      <c r="AO70" s="7839" t="n"/>
      <c r="AP70" s="7839" t="n"/>
      <c r="AQ70" s="1277" t="n"/>
      <c r="AR70" s="1277" t="n"/>
      <c r="AS70" s="1277" t="n"/>
      <c r="AT70" s="1277" t="n"/>
      <c r="AU70" s="1277" t="n"/>
    </row>
    <row r="71" ht="13.5" customHeight="1" s="7635">
      <c r="A71" s="1277" t="n"/>
      <c r="B71" s="1321" t="n"/>
      <c r="C71" s="2178" t="n"/>
      <c r="D71" s="2166" t="inlineStr">
        <is>
          <t>boxes 4 and 6. If married filing jointly, include your spouse’s amounts with yours.  If</t>
        </is>
      </c>
      <c r="E71" s="411" t="n"/>
      <c r="F71" s="411" t="n"/>
      <c r="G71" s="411" t="n"/>
      <c r="H71" s="411" t="n"/>
      <c r="I71" s="411" t="n"/>
      <c r="J71" s="411" t="n"/>
      <c r="K71" s="411" t="n"/>
      <c r="L71" s="411" t="n"/>
      <c r="M71" s="411" t="n"/>
      <c r="N71" s="411" t="n"/>
      <c r="O71" s="411" t="n"/>
      <c r="P71" s="411" t="n"/>
      <c r="Q71" s="411" t="n"/>
      <c r="R71" s="411" t="n"/>
      <c r="S71" s="411" t="n"/>
      <c r="T71" s="411" t="n"/>
      <c r="U71" s="411" t="n"/>
      <c r="V71" s="411" t="n"/>
      <c r="W71" s="411" t="n"/>
      <c r="X71" s="411" t="n"/>
      <c r="Y71" s="1052" t="n"/>
      <c r="Z71" s="1990" t="n"/>
      <c r="AA71" s="1052" t="n"/>
      <c r="AB71" s="411" t="n"/>
      <c r="AC71" s="410" t="n"/>
      <c r="AD71" s="1450" t="n"/>
      <c r="AE71" s="2178" t="n"/>
      <c r="AF71" s="411" t="n"/>
      <c r="AG71" s="411" t="n"/>
      <c r="AH71" s="411" t="n"/>
      <c r="AI71" s="2004" t="n"/>
      <c r="AJ71" s="2205" t="n"/>
      <c r="AK71" s="2206" t="n"/>
      <c r="AL71" s="2178" t="n"/>
      <c r="AM71" s="411" t="n"/>
      <c r="AN71" s="411" t="n"/>
      <c r="AO71" s="411" t="n"/>
      <c r="AP71" s="2004" t="n"/>
      <c r="AQ71" s="1277" t="n"/>
      <c r="AR71" s="1277" t="n"/>
      <c r="AS71" s="1277" t="n"/>
      <c r="AT71" s="1277" t="n"/>
      <c r="AU71" s="1277" t="n"/>
    </row>
    <row r="72" ht="13.5" customHeight="1" s="7635">
      <c r="A72" s="1277" t="n"/>
      <c r="B72" s="1321" t="n"/>
      <c r="C72" s="2178" t="n"/>
      <c r="D72" s="2166" t="inlineStr">
        <is>
          <t>your employer withheld or you paid Additional Medicare Tax or tier 1 RRTA taxes, or</t>
        </is>
      </c>
      <c r="E72" s="411" t="n"/>
      <c r="F72" s="411" t="n"/>
      <c r="G72" s="411" t="n"/>
      <c r="H72" s="411" t="n"/>
      <c r="I72" s="411" t="n"/>
      <c r="J72" s="411" t="n"/>
      <c r="K72" s="411" t="n"/>
      <c r="L72" s="411" t="n"/>
      <c r="M72" s="411" t="n"/>
      <c r="N72" s="411" t="n"/>
      <c r="O72" s="411" t="n"/>
      <c r="P72" s="411" t="n"/>
      <c r="Q72" s="411" t="n"/>
      <c r="R72" s="411" t="n"/>
      <c r="S72" s="411" t="n"/>
      <c r="T72" s="411" t="n"/>
      <c r="U72" s="411" t="n"/>
      <c r="V72" s="411" t="n"/>
      <c r="W72" s="411" t="n"/>
      <c r="X72" s="411" t="n"/>
      <c r="Y72" s="1052" t="n"/>
      <c r="Z72" s="1990" t="n"/>
      <c r="AA72" s="1052" t="n"/>
      <c r="AB72" s="411" t="n"/>
      <c r="AC72" s="410" t="n"/>
      <c r="AD72" s="1450" t="n"/>
      <c r="AE72" s="2178" t="n"/>
      <c r="AF72" s="411" t="n"/>
      <c r="AG72" s="411" t="n"/>
      <c r="AH72" s="411" t="n"/>
      <c r="AI72" s="2004" t="n"/>
      <c r="AJ72" s="2205" t="n"/>
      <c r="AK72" s="2206" t="n"/>
      <c r="AL72" s="2178" t="n"/>
      <c r="AM72" s="411" t="n"/>
      <c r="AN72" s="411" t="n"/>
      <c r="AO72" s="411" t="n"/>
      <c r="AP72" s="2004" t="n"/>
      <c r="AQ72" s="1277" t="n"/>
      <c r="AR72" s="1277" t="n"/>
      <c r="AS72" s="1277" t="n"/>
      <c r="AT72" s="1277" t="n"/>
      <c r="AU72" s="1277" t="n"/>
    </row>
    <row r="73" ht="13.5" customHeight="1" s="7635">
      <c r="A73" s="1277" t="n"/>
      <c r="B73" s="1321" t="n"/>
      <c r="C73" s="2178" t="n"/>
      <c r="D73" s="2166" t="inlineStr">
        <is>
          <t>if you are a bona fide resident of Puerto Rico, see instructions</t>
        </is>
      </c>
      <c r="E73" s="411" t="n"/>
      <c r="F73" s="411" t="n"/>
      <c r="G73" s="411" t="n"/>
      <c r="H73" s="411" t="n"/>
      <c r="I73" s="411" t="n"/>
      <c r="J73" s="411" t="n"/>
      <c r="K73" s="411" t="n"/>
      <c r="L73" s="411" t="n"/>
      <c r="M73" s="411" t="n"/>
      <c r="N73" s="411" t="n"/>
      <c r="O73" s="411" t="n"/>
      <c r="P73" s="411" t="n"/>
      <c r="Q73" s="411" t="n"/>
      <c r="R73" s="411" t="n"/>
      <c r="S73" s="411" t="n"/>
      <c r="T73" s="411" t="n"/>
      <c r="U73" s="411" t="n"/>
      <c r="V73" s="411" t="n"/>
      <c r="W73" s="411" t="n"/>
      <c r="X73" s="411" t="n"/>
      <c r="Y73" s="1052" t="n"/>
      <c r="Z73" s="1990" t="n"/>
      <c r="AA73" s="1052" t="n"/>
      <c r="AB73" s="2198" t="inlineStr">
        <is>
          <t xml:space="preserve">.   .   .   .   .   .   .   .   .   .  </t>
        </is>
      </c>
      <c r="AC73" s="10938" t="inlineStr">
        <is>
          <t>21</t>
        </is>
      </c>
      <c r="AD73" s="7638" t="n"/>
      <c r="AE73" s="10935">
        <f>IF(AS73&lt;&gt;"",ROUND(AS73,0),IF(F8812_Skip_Part_II_B,"",SUM('W-2s'!D79,'W-2s'!D81)))</f>
        <v/>
      </c>
      <c r="AF73" s="7637" t="n"/>
      <c r="AG73" s="7637" t="n"/>
      <c r="AH73" s="7637" t="n"/>
      <c r="AI73" s="7638" t="n"/>
      <c r="AJ73" s="2205" t="n"/>
      <c r="AK73" s="2206" t="n"/>
      <c r="AL73" s="2178" t="n"/>
      <c r="AM73" s="411" t="n"/>
      <c r="AN73" s="411" t="n"/>
      <c r="AO73" s="411" t="n"/>
      <c r="AP73" s="2004" t="n"/>
      <c r="AQ73" s="1277" t="n"/>
      <c r="AR73" s="1277" t="n"/>
      <c r="AS73" s="7846" t="n"/>
      <c r="AT73" s="1277" t="n"/>
      <c r="AU73" s="1277" t="n"/>
    </row>
    <row r="74" ht="13.5" customHeight="1" s="7635">
      <c r="A74" s="1277" t="n"/>
      <c r="B74" s="2207" t="inlineStr">
        <is>
          <t>22</t>
        </is>
      </c>
      <c r="C74" s="2178" t="n"/>
      <c r="D74" s="2166" t="inlineStr">
        <is>
          <t>Enter the total of the amounts from Schedule 1 (Form 1040), line 15; Schedule 2 (Form</t>
        </is>
      </c>
      <c r="E74" s="411" t="n"/>
      <c r="F74" s="411" t="n"/>
      <c r="G74" s="411" t="n"/>
      <c r="H74" s="411" t="n"/>
      <c r="I74" s="411" t="n"/>
      <c r="J74" s="411" t="n"/>
      <c r="K74" s="411" t="n"/>
      <c r="L74" s="411" t="n"/>
      <c r="M74" s="411" t="n"/>
      <c r="N74" s="411" t="n"/>
      <c r="O74" s="411" t="n"/>
      <c r="P74" s="411" t="n"/>
      <c r="Q74" s="411" t="n"/>
      <c r="R74" s="411" t="n"/>
      <c r="S74" s="411" t="n"/>
      <c r="T74" s="411" t="n"/>
      <c r="U74" s="411" t="n"/>
      <c r="V74" s="411" t="n"/>
      <c r="W74" s="411" t="n"/>
      <c r="X74" s="411" t="n"/>
      <c r="Y74" s="1052" t="n"/>
      <c r="Z74" s="1990" t="n"/>
      <c r="AA74" s="1052" t="n"/>
      <c r="AB74" s="411" t="n"/>
      <c r="AC74" s="410" t="n"/>
      <c r="AD74" s="1450" t="n"/>
      <c r="AE74" s="2178" t="n"/>
      <c r="AF74" s="411" t="n"/>
      <c r="AG74" s="411" t="n"/>
      <c r="AH74" s="411" t="n"/>
      <c r="AI74" s="2004" t="n"/>
      <c r="AJ74" s="2205" t="n"/>
      <c r="AK74" s="2206" t="n"/>
      <c r="AL74" s="2178" t="n"/>
      <c r="AM74" s="411" t="n"/>
      <c r="AN74" s="411" t="n"/>
      <c r="AO74" s="411" t="n"/>
      <c r="AP74" s="2004" t="n"/>
      <c r="AQ74" s="1277" t="n"/>
      <c r="AR74" s="1277" t="n"/>
      <c r="AS74" s="1277" t="n"/>
      <c r="AT74" s="1277" t="n"/>
      <c r="AU74" s="1277" t="n"/>
    </row>
    <row r="75" ht="13.5" customHeight="1" s="7635">
      <c r="A75" s="1277" t="n"/>
      <c r="B75" s="1321" t="n"/>
      <c r="C75" s="2178" t="n"/>
      <c r="D75" s="2166" t="inlineStr">
        <is>
          <t>1040), line 5; Schedule 2 (Form 1040), line 6; and Schedule 2 (Form 1040), line 13</t>
        </is>
      </c>
      <c r="E75" s="411" t="n"/>
      <c r="F75" s="411" t="n"/>
      <c r="G75" s="411" t="n"/>
      <c r="H75" s="411" t="n"/>
      <c r="I75" s="411" t="n"/>
      <c r="J75" s="411" t="n"/>
      <c r="K75" s="411" t="n"/>
      <c r="L75" s="411" t="n"/>
      <c r="M75" s="411" t="n"/>
      <c r="N75" s="411" t="n"/>
      <c r="O75" s="411" t="n"/>
      <c r="P75" s="411" t="n"/>
      <c r="Q75" s="411" t="n"/>
      <c r="R75" s="411" t="n"/>
      <c r="S75" s="411" t="n"/>
      <c r="T75" s="411" t="n"/>
      <c r="U75" s="411" t="n"/>
      <c r="V75" s="411" t="n"/>
      <c r="W75" s="411" t="n"/>
      <c r="X75" s="411" t="n"/>
      <c r="Y75" s="1052" t="n"/>
      <c r="Z75" s="1990" t="n"/>
      <c r="AA75" s="1052" t="n"/>
      <c r="AB75" s="2198" t="inlineStr">
        <is>
          <t xml:space="preserve">.   .   .  </t>
        </is>
      </c>
      <c r="AC75" s="10938" t="inlineStr">
        <is>
          <t>22</t>
        </is>
      </c>
      <c r="AD75" s="7638" t="n"/>
      <c r="AE75" s="10935">
        <f>IF(AS75&lt;&gt;"",ROUND(AS75,0),IF(F8812_Skip_Part_II_B,"",SUM(SE_Deduct,'Sch. 2'!W39,'Sch. 2'!W40,'Sch. 2'!AD49)))</f>
        <v/>
      </c>
      <c r="AF75" s="7637" t="n"/>
      <c r="AG75" s="7637" t="n"/>
      <c r="AH75" s="7637" t="n"/>
      <c r="AI75" s="7638" t="n"/>
      <c r="AJ75" s="2205" t="n"/>
      <c r="AK75" s="2206" t="n"/>
      <c r="AL75" s="2178" t="n"/>
      <c r="AM75" s="411" t="n"/>
      <c r="AN75" s="411" t="n"/>
      <c r="AO75" s="411" t="n"/>
      <c r="AP75" s="2004" t="n"/>
      <c r="AQ75" s="1277" t="n"/>
      <c r="AR75" s="1277" t="n"/>
      <c r="AS75" s="7846" t="n"/>
      <c r="AT75" s="1277" t="n"/>
      <c r="AU75" s="1277" t="n"/>
    </row>
    <row r="76" ht="13.5" customHeight="1" s="7635">
      <c r="A76" s="1277" t="n"/>
      <c r="B76" s="2207" t="inlineStr">
        <is>
          <t>23</t>
        </is>
      </c>
      <c r="C76" s="2178" t="n"/>
      <c r="D76" s="2166" t="inlineStr">
        <is>
          <t>Add lines 21 and 22</t>
        </is>
      </c>
      <c r="E76" s="411" t="n"/>
      <c r="F76" s="411" t="n"/>
      <c r="G76" s="411" t="n"/>
      <c r="H76" s="411" t="n"/>
      <c r="I76" s="411" t="n"/>
      <c r="J76" s="411" t="n"/>
      <c r="K76" s="411" t="n"/>
      <c r="L76" s="411" t="n"/>
      <c r="M76" s="411" t="n"/>
      <c r="N76" s="411" t="n"/>
      <c r="O76" s="411" t="n"/>
      <c r="P76" s="411" t="n"/>
      <c r="Q76" s="411" t="n"/>
      <c r="R76" s="411" t="n"/>
      <c r="S76" s="411" t="n"/>
      <c r="T76" s="411" t="n"/>
      <c r="U76" s="411" t="n"/>
      <c r="V76" s="411" t="n"/>
      <c r="W76" s="411" t="n"/>
      <c r="X76" s="411" t="n"/>
      <c r="Y76" s="1052" t="n"/>
      <c r="Z76" s="1990" t="n"/>
      <c r="AA76" s="1052" t="n"/>
      <c r="AB76" s="2198" t="inlineStr">
        <is>
          <t xml:space="preserve">.   .   .   .   .   .   .   .   .   .   .   .   .   .   .   .   .   .   .   .   .   .   .   .   .  </t>
        </is>
      </c>
      <c r="AC76" s="10938" t="inlineStr">
        <is>
          <t>23</t>
        </is>
      </c>
      <c r="AD76" s="7638" t="n"/>
      <c r="AE76" s="10935">
        <f>IF(AS73&lt;&gt;"",ROUND(AS73,0),IF(F8812_Skip_Part_II_B,"",SUM(AE73,AE75)))</f>
        <v/>
      </c>
      <c r="AF76" s="7637" t="n"/>
      <c r="AG76" s="7637" t="n"/>
      <c r="AH76" s="7637" t="n"/>
      <c r="AI76" s="7638" t="n"/>
      <c r="AJ76" s="2205" t="n"/>
      <c r="AK76" s="2206" t="n"/>
      <c r="AL76" s="2178" t="n"/>
      <c r="AM76" s="411" t="n"/>
      <c r="AN76" s="411" t="n"/>
      <c r="AO76" s="411" t="n"/>
      <c r="AP76" s="2004" t="n"/>
      <c r="AQ76" s="1277" t="n"/>
      <c r="AR76" s="1277" t="n"/>
      <c r="AS76" s="1277" t="n"/>
      <c r="AT76" s="1277" t="n"/>
      <c r="AU76" s="1277" t="n"/>
    </row>
    <row r="77" ht="15" customHeight="1" s="7635">
      <c r="A77" s="1277" t="n"/>
      <c r="B77" s="2207" t="inlineStr">
        <is>
          <t>24</t>
        </is>
      </c>
      <c r="C77" s="2178" t="n"/>
      <c r="D77" s="2204" t="inlineStr">
        <is>
          <t>1040 and</t>
        </is>
      </c>
      <c r="E77" s="411" t="n"/>
      <c r="F77" s="411" t="n"/>
      <c r="G77" s="411" t="n"/>
      <c r="H77" s="411" t="n"/>
      <c r="I77" s="411" t="n"/>
      <c r="J77" s="411" t="n"/>
      <c r="K77" s="411" t="n"/>
      <c r="L77" s="411" t="n"/>
      <c r="M77" s="411" t="n"/>
      <c r="N77" s="411" t="n"/>
      <c r="O77" s="411" t="n"/>
      <c r="P77" s="411" t="n"/>
      <c r="Q77" s="411" t="n"/>
      <c r="R77" s="411" t="n"/>
      <c r="S77" s="411" t="n"/>
      <c r="T77" s="411" t="n"/>
      <c r="U77" s="411" t="n"/>
      <c r="V77" s="411" t="n"/>
      <c r="W77" s="411" t="n"/>
      <c r="X77" s="411" t="n"/>
      <c r="Y77" s="1052" t="n"/>
      <c r="Z77" s="1990" t="n"/>
      <c r="AA77" s="1052" t="n"/>
      <c r="AB77" s="411" t="n"/>
      <c r="AC77" s="2134" t="n"/>
      <c r="AD77" s="2135" t="n"/>
      <c r="AE77" s="2178" t="n"/>
      <c r="AF77" s="411" t="n"/>
      <c r="AG77" s="411" t="n"/>
      <c r="AH77" s="411" t="n"/>
      <c r="AI77" s="2004" t="n"/>
      <c r="AJ77" s="2205" t="n"/>
      <c r="AK77" s="2206" t="n"/>
      <c r="AL77" s="2178" t="n"/>
      <c r="AM77" s="411" t="n"/>
      <c r="AN77" s="411" t="n"/>
      <c r="AO77" s="411" t="n"/>
      <c r="AP77" s="2004" t="n"/>
      <c r="AQ77" s="1277" t="n"/>
      <c r="AR77" s="1277" t="n"/>
      <c r="AS77" s="1277" t="n"/>
      <c r="AT77" s="1277" t="n"/>
      <c r="AU77" s="1277" t="n"/>
    </row>
    <row r="78" ht="15" customHeight="1" s="7635">
      <c r="A78" s="1277" t="n"/>
      <c r="B78" s="1321" t="n"/>
      <c r="C78" s="2178" t="n"/>
      <c r="D78" s="2204" t="inlineStr">
        <is>
          <t>1040-SR filers:</t>
        </is>
      </c>
      <c r="E78" s="411" t="n"/>
      <c r="F78" s="411" t="n"/>
      <c r="G78" s="411" t="n"/>
      <c r="H78" s="411" t="n"/>
      <c r="I78" s="2166" t="inlineStr">
        <is>
          <t>Enter the total of the amounts from Form 1040 or 1040-SR, line 27a,</t>
        </is>
      </c>
      <c r="J78" s="411" t="n"/>
      <c r="K78" s="411" t="n"/>
      <c r="L78" s="411" t="n"/>
      <c r="M78" s="411" t="n"/>
      <c r="N78" s="411" t="n"/>
      <c r="O78" s="411" t="n"/>
      <c r="P78" s="411" t="n"/>
      <c r="Q78" s="411" t="n"/>
      <c r="R78" s="411" t="n"/>
      <c r="S78" s="411" t="n"/>
      <c r="T78" s="411" t="n"/>
      <c r="U78" s="411" t="n"/>
      <c r="V78" s="411" t="n"/>
      <c r="W78" s="411" t="n"/>
      <c r="X78" s="411" t="n"/>
      <c r="Y78" s="1052" t="n"/>
      <c r="Z78" s="1990" t="n"/>
      <c r="AA78" s="1052" t="n"/>
      <c r="AB78" s="411" t="n"/>
      <c r="AC78" s="410" t="n"/>
      <c r="AD78" s="1450" t="n"/>
      <c r="AE78" s="2178" t="n"/>
      <c r="AF78" s="411" t="n"/>
      <c r="AG78" s="411" t="n"/>
      <c r="AH78" s="411" t="n"/>
      <c r="AI78" s="2004" t="n"/>
      <c r="AJ78" s="2205" t="n"/>
      <c r="AK78" s="2206" t="n"/>
      <c r="AL78" s="2178" t="n"/>
      <c r="AM78" s="411" t="n"/>
      <c r="AN78" s="411" t="n"/>
      <c r="AO78" s="411" t="n"/>
      <c r="AP78" s="2004" t="n"/>
      <c r="AQ78" s="1277" t="n"/>
      <c r="AR78" s="1277" t="n"/>
      <c r="AS78" s="1277" t="n"/>
      <c r="AT78" s="1277" t="n"/>
      <c r="AU78" s="1277" t="n"/>
    </row>
    <row r="79" ht="15" customHeight="1" s="7635">
      <c r="A79" s="1277" t="n"/>
      <c r="B79" s="1321" t="n"/>
      <c r="C79" s="2178" t="n"/>
      <c r="D79" s="2166" t="n"/>
      <c r="E79" s="411" t="n"/>
      <c r="F79" s="411" t="n"/>
      <c r="G79" s="411" t="n"/>
      <c r="H79" s="411" t="n"/>
      <c r="I79" s="2166" t="inlineStr">
        <is>
          <t>and Schedule 3 (Form 1040), line 11.</t>
        </is>
      </c>
      <c r="J79" s="411" t="n"/>
      <c r="K79" s="411" t="n"/>
      <c r="L79" s="411" t="n"/>
      <c r="M79" s="411" t="n"/>
      <c r="N79" s="411" t="n"/>
      <c r="O79" s="411" t="n"/>
      <c r="P79" s="411" t="n"/>
      <c r="Q79" s="411" t="n"/>
      <c r="R79" s="411" t="n"/>
      <c r="S79" s="411" t="n"/>
      <c r="T79" s="411" t="n"/>
      <c r="U79" s="411" t="n"/>
      <c r="V79" s="411" t="n"/>
      <c r="W79" s="411" t="n"/>
      <c r="X79" s="411" t="n"/>
      <c r="Y79" s="1052" t="n"/>
      <c r="Z79" s="1990" t="n"/>
      <c r="AA79" s="1052" t="n"/>
      <c r="AB79" s="411" t="n"/>
      <c r="AC79" s="410" t="n"/>
      <c r="AD79" s="1450" t="n"/>
      <c r="AE79" s="2178" t="n"/>
      <c r="AF79" s="411" t="n"/>
      <c r="AG79" s="411" t="n"/>
      <c r="AH79" s="411" t="n"/>
      <c r="AI79" s="2004" t="n"/>
      <c r="AJ79" s="2205" t="n"/>
      <c r="AK79" s="2206" t="n"/>
      <c r="AL79" s="2178" t="n"/>
      <c r="AM79" s="411" t="n"/>
      <c r="AN79" s="411" t="n"/>
      <c r="AO79" s="411" t="n"/>
      <c r="AP79" s="2004" t="n"/>
      <c r="AQ79" s="1277" t="n"/>
      <c r="AR79" s="1277" t="n"/>
      <c r="AS79" s="1277" t="n"/>
      <c r="AT79" s="1277" t="n"/>
      <c r="AU79" s="1277" t="n"/>
    </row>
    <row r="80" ht="15" customHeight="1" s="7635">
      <c r="A80" s="1277" t="n"/>
      <c r="B80" s="1321" t="n"/>
      <c r="C80" s="2178" t="n"/>
      <c r="D80" s="2204" t="inlineStr">
        <is>
          <t>1040-NR filers:</t>
        </is>
      </c>
      <c r="E80" s="411" t="n"/>
      <c r="F80" s="411" t="n"/>
      <c r="G80" s="411" t="n"/>
      <c r="H80" s="411" t="n"/>
      <c r="I80" s="2166" t="inlineStr">
        <is>
          <t>Enter the amount from Schedule 3 (Form 1040), line 11.</t>
        </is>
      </c>
      <c r="J80" s="411" t="n"/>
      <c r="K80" s="411" t="n"/>
      <c r="L80" s="411" t="n"/>
      <c r="M80" s="411" t="n"/>
      <c r="N80" s="411" t="n"/>
      <c r="O80" s="411" t="n"/>
      <c r="P80" s="411" t="n"/>
      <c r="Q80" s="411" t="n"/>
      <c r="R80" s="411" t="n"/>
      <c r="S80" s="411" t="n"/>
      <c r="T80" s="411" t="n"/>
      <c r="U80" s="411" t="n"/>
      <c r="V80" s="411" t="n"/>
      <c r="W80" s="411" t="n"/>
      <c r="X80" s="411" t="n"/>
      <c r="Y80" s="1052" t="n"/>
      <c r="Z80" s="1990" t="n"/>
      <c r="AA80" s="1052" t="n"/>
      <c r="AB80" s="411" t="n"/>
      <c r="AC80" s="10938" t="inlineStr">
        <is>
          <t>24</t>
        </is>
      </c>
      <c r="AD80" s="7638" t="n"/>
      <c r="AE80" s="10935">
        <f>IF(F8812_Skip_Part_II_B,"",SUM('1040'!AF113,'Sch. 3'!AC39))</f>
        <v/>
      </c>
      <c r="AF80" s="7637" t="n"/>
      <c r="AG80" s="7637" t="n"/>
      <c r="AH80" s="7637" t="n"/>
      <c r="AI80" s="7638" t="n"/>
      <c r="AJ80" s="2205" t="n"/>
      <c r="AK80" s="2206" t="n"/>
      <c r="AL80" s="2178" t="n"/>
      <c r="AM80" s="411" t="n"/>
      <c r="AN80" s="411" t="n"/>
      <c r="AO80" s="411" t="n"/>
      <c r="AP80" s="2004" t="n"/>
      <c r="AQ80" s="1277" t="n"/>
      <c r="AR80" s="1277" t="n"/>
      <c r="AS80" s="1277" t="n"/>
      <c r="AT80" s="1277" t="n"/>
      <c r="AU80" s="1277" t="n"/>
    </row>
    <row r="81" ht="13.5" customHeight="1" s="7635">
      <c r="A81" s="1277" t="n"/>
      <c r="B81" s="2207" t="inlineStr">
        <is>
          <t>25</t>
        </is>
      </c>
      <c r="C81" s="2178" t="n"/>
      <c r="D81" s="2166" t="inlineStr">
        <is>
          <t>Subtract line 24 from line 23. If zero or less, enter -0-</t>
        </is>
      </c>
      <c r="E81" s="411" t="n"/>
      <c r="F81" s="411" t="n"/>
      <c r="G81" s="411" t="n"/>
      <c r="H81" s="411" t="n"/>
      <c r="I81" s="411" t="n"/>
      <c r="J81" s="411" t="n"/>
      <c r="K81" s="411" t="n"/>
      <c r="L81" s="411" t="n"/>
      <c r="M81" s="411" t="n"/>
      <c r="N81" s="411" t="n"/>
      <c r="O81" s="411" t="n"/>
      <c r="P81" s="411" t="n"/>
      <c r="Q81" s="411" t="n"/>
      <c r="R81" s="411" t="n"/>
      <c r="S81" s="411" t="n"/>
      <c r="T81" s="411" t="n"/>
      <c r="U81" s="411" t="n"/>
      <c r="V81" s="411" t="n"/>
      <c r="W81" s="411" t="n"/>
      <c r="X81" s="411" t="n"/>
      <c r="Y81" s="1052" t="n"/>
      <c r="Z81" s="1990" t="n"/>
      <c r="AA81" s="1052" t="n"/>
      <c r="AB81" s="411" t="n"/>
      <c r="AC81" s="411" t="n"/>
      <c r="AD81" s="411" t="n"/>
      <c r="AE81" s="411" t="n"/>
      <c r="AF81" s="411" t="n"/>
      <c r="AG81" s="411" t="n"/>
      <c r="AH81" s="411" t="n"/>
      <c r="AI81" s="2198" t="inlineStr">
        <is>
          <t xml:space="preserve"> .   .   .   .   .   .   .   .   .   .   .   .   .   .   .   .   .   .   .   .   .   .  </t>
        </is>
      </c>
      <c r="AJ81" s="10938" t="inlineStr">
        <is>
          <t>25</t>
        </is>
      </c>
      <c r="AK81" s="7638" t="n"/>
      <c r="AL81" s="10935">
        <f>IF(F8812_Skip_Part_II_B,"",IF(SUM(AE76,-AE80)&lt;=0,0,SUM(AE76,-AE80)))</f>
        <v/>
      </c>
      <c r="AM81" s="7637" t="n"/>
      <c r="AN81" s="7637" t="n"/>
      <c r="AO81" s="7637" t="n"/>
      <c r="AP81" s="7638" t="n"/>
      <c r="AQ81" s="1277" t="n"/>
      <c r="AR81" s="1277" t="n"/>
      <c r="AS81" s="1277" t="n"/>
      <c r="AT81" s="1277" t="n"/>
      <c r="AU81" s="1277" t="n"/>
    </row>
    <row r="82" ht="13.5" customHeight="1" s="7635">
      <c r="A82" s="1277" t="n"/>
      <c r="B82" s="2207" t="inlineStr">
        <is>
          <t>26</t>
        </is>
      </c>
      <c r="C82" s="2178" t="n"/>
      <c r="D82" s="2166" t="inlineStr">
        <is>
          <t>Enter the larger of line 20 or line 25</t>
        </is>
      </c>
      <c r="E82" s="411" t="n"/>
      <c r="F82" s="411" t="n"/>
      <c r="G82" s="411" t="n"/>
      <c r="H82" s="411" t="n"/>
      <c r="I82" s="411" t="n"/>
      <c r="J82" s="411" t="n"/>
      <c r="K82" s="411" t="n"/>
      <c r="L82" s="411" t="n"/>
      <c r="M82" s="411" t="n"/>
      <c r="N82" s="411" t="n"/>
      <c r="O82" s="411" t="n"/>
      <c r="P82" s="411" t="n"/>
      <c r="Q82" s="411" t="n"/>
      <c r="R82" s="411" t="n"/>
      <c r="S82" s="411" t="n"/>
      <c r="T82" s="411" t="n"/>
      <c r="U82" s="411" t="n"/>
      <c r="V82" s="411" t="n"/>
      <c r="W82" s="411" t="n"/>
      <c r="X82" s="411" t="n"/>
      <c r="Y82" s="1052" t="n"/>
      <c r="Z82" s="1990" t="n"/>
      <c r="AA82" s="1052" t="n"/>
      <c r="AB82" s="411" t="n"/>
      <c r="AC82" s="411" t="n"/>
      <c r="AD82" s="411" t="n"/>
      <c r="AE82" s="411" t="n"/>
      <c r="AF82" s="411" t="n"/>
      <c r="AG82" s="411" t="n"/>
      <c r="AH82" s="411" t="n"/>
      <c r="AI82" s="2198" t="inlineStr">
        <is>
          <t xml:space="preserve">.   .   .   .   .   .   .   .   .   .   .   .   .   .   .   .   .   .   .   .   .   .   .   .   .   .   .   .  </t>
        </is>
      </c>
      <c r="AJ82" s="10938" t="inlineStr">
        <is>
          <t>26</t>
        </is>
      </c>
      <c r="AK82" s="7638" t="n"/>
      <c r="AL82" s="10935">
        <f>IF(AS82&lt;&gt;"",ROUND(AS82,0),IF(F8812_Skip_Part_II_B,"",MAX(AL63,AL81)))</f>
        <v/>
      </c>
      <c r="AM82" s="7637" t="n"/>
      <c r="AN82" s="7637" t="n"/>
      <c r="AO82" s="7637" t="n"/>
      <c r="AP82" s="7638" t="n"/>
      <c r="AQ82" s="1277" t="n"/>
      <c r="AR82" s="1277" t="n"/>
      <c r="AS82" s="7846" t="n"/>
      <c r="AT82" s="1277" t="n"/>
      <c r="AU82" s="1277" t="n"/>
    </row>
    <row r="83" ht="13.5" customHeight="1" s="7635" thickBot="1">
      <c r="A83" s="1277" t="n"/>
      <c r="B83" s="2220" t="n"/>
      <c r="C83" s="2221" t="n"/>
      <c r="D83" s="2223" t="inlineStr">
        <is>
          <t>Next, enter the smaller of line 17 or line 26 on line 27.</t>
        </is>
      </c>
      <c r="E83" s="2222" t="n"/>
      <c r="F83" s="2222" t="n"/>
      <c r="G83" s="2222" t="n"/>
      <c r="H83" s="2222" t="n"/>
      <c r="I83" s="2222" t="n"/>
      <c r="J83" s="2222" t="n"/>
      <c r="K83" s="2222" t="n"/>
      <c r="L83" s="2222" t="n"/>
      <c r="M83" s="2222" t="n"/>
      <c r="N83" s="2222" t="n"/>
      <c r="O83" s="2222" t="n"/>
      <c r="P83" s="2222" t="n"/>
      <c r="Q83" s="2222" t="n"/>
      <c r="R83" s="2222" t="n"/>
      <c r="S83" s="2222" t="n"/>
      <c r="T83" s="2222" t="n"/>
      <c r="U83" s="2222" t="n"/>
      <c r="V83" s="2222" t="n"/>
      <c r="W83" s="2222" t="n"/>
      <c r="X83" s="2222" t="n"/>
      <c r="Y83" s="2232" t="n"/>
      <c r="Z83" s="2233" t="n"/>
      <c r="AA83" s="2232" t="n"/>
      <c r="AB83" s="2222" t="n"/>
      <c r="AC83" s="2222" t="n"/>
      <c r="AD83" s="2222" t="n"/>
      <c r="AE83" s="2222" t="n"/>
      <c r="AF83" s="2222" t="n"/>
      <c r="AG83" s="2222" t="n"/>
      <c r="AH83" s="2222" t="n"/>
      <c r="AI83" s="2222" t="n"/>
      <c r="AJ83" s="2234" t="n"/>
      <c r="AK83" s="2235" t="n"/>
      <c r="AL83" s="2213" t="n"/>
      <c r="AM83" s="2212" t="n"/>
      <c r="AN83" s="2212" t="n"/>
      <c r="AO83" s="2212" t="n"/>
      <c r="AP83" s="2214" t="n"/>
      <c r="AQ83" s="1277" t="n"/>
      <c r="AR83" s="1277" t="n"/>
      <c r="AS83" s="1277" t="n"/>
      <c r="AT83" s="1277" t="n"/>
      <c r="AU83" s="1277" t="n"/>
    </row>
    <row r="84" ht="15.75" customFormat="1" customHeight="1" s="1405">
      <c r="A84" s="2119" t="n"/>
      <c r="B84" s="9091" t="inlineStr">
        <is>
          <t>Part II-C</t>
        </is>
      </c>
      <c r="C84" s="7637" t="n"/>
      <c r="D84" s="7637" t="n"/>
      <c r="E84" s="1998" t="n"/>
      <c r="F84" s="1998" t="n"/>
      <c r="G84" s="1997" t="inlineStr">
        <is>
          <t>Additional Child Tax Credit</t>
        </is>
      </c>
      <c r="H84" s="1998" t="n"/>
      <c r="I84" s="1998" t="n"/>
      <c r="J84" s="1998" t="n"/>
      <c r="K84" s="1998" t="n"/>
      <c r="L84" s="1998" t="n"/>
      <c r="M84" s="1998" t="n"/>
      <c r="N84" s="1998" t="n"/>
      <c r="O84" s="1998" t="n"/>
      <c r="P84" s="1998" t="n"/>
      <c r="Q84" s="1998" t="n"/>
      <c r="R84" s="1998" t="n"/>
      <c r="S84" s="1998" t="n"/>
      <c r="T84" s="1998" t="n"/>
      <c r="U84" s="1998" t="n"/>
      <c r="V84" s="1998" t="n"/>
      <c r="W84" s="1998" t="n"/>
      <c r="X84" s="1998" t="n"/>
      <c r="Y84" s="1998" t="n"/>
      <c r="Z84" s="1998" t="n"/>
      <c r="AA84" s="1998" t="n"/>
      <c r="AB84" s="1998" t="n"/>
      <c r="AC84" s="1998" t="n"/>
      <c r="AD84" s="1998" t="n"/>
      <c r="AE84" s="1998" t="n"/>
      <c r="AF84" s="1998" t="n"/>
      <c r="AG84" s="1998" t="n"/>
      <c r="AH84" s="1998" t="n"/>
      <c r="AI84" s="1998" t="n"/>
      <c r="AJ84" s="1998" t="n"/>
      <c r="AK84" s="1998" t="n"/>
      <c r="AL84" s="11056">
        <f>OR(AS37,AL49,AS51,AL53)</f>
        <v/>
      </c>
      <c r="AM84" s="12097" t="n"/>
      <c r="AN84" s="12097" t="n"/>
      <c r="AO84" s="12097" t="n"/>
      <c r="AP84" s="12097" t="n"/>
      <c r="AQ84" s="1277" t="n"/>
      <c r="AR84" s="1277" t="n"/>
      <c r="AS84" s="2195" t="inlineStr">
        <is>
          <t>Override</t>
        </is>
      </c>
      <c r="AT84" s="1277" t="n"/>
      <c r="AU84" s="1277" t="n"/>
      <c r="AX84" s="658" t="n"/>
      <c r="AY84" s="658" t="n"/>
      <c r="AZ84" s="658" t="n"/>
      <c r="BA84" s="658" t="n"/>
      <c r="BB84" s="658" t="n"/>
      <c r="BC84" s="658" t="n"/>
      <c r="BD84" s="658" t="n"/>
      <c r="BE84" s="658" t="n"/>
      <c r="BF84" s="658" t="n"/>
      <c r="BG84" s="658" t="n"/>
      <c r="BH84" s="658" t="n"/>
    </row>
    <row r="85" ht="17.25" customHeight="1" s="7635" thickBot="1">
      <c r="A85" s="1277" t="n"/>
      <c r="B85" s="2236" t="inlineStr">
        <is>
          <t>27</t>
        </is>
      </c>
      <c r="C85" s="2237" t="n"/>
      <c r="D85" s="2238" t="inlineStr">
        <is>
          <t>This is your additional child tax credit. Enter this amount on Form 1040, 1040-SR, or 1040-NR, line 28</t>
        </is>
      </c>
      <c r="E85" s="2239" t="n"/>
      <c r="F85" s="2239" t="n"/>
      <c r="G85" s="2239" t="n"/>
      <c r="H85" s="2239" t="n"/>
      <c r="I85" s="2239" t="n"/>
      <c r="J85" s="2239" t="n"/>
      <c r="K85" s="2239" t="n"/>
      <c r="L85" s="2239" t="n"/>
      <c r="M85" s="2239" t="n"/>
      <c r="N85" s="2239" t="n"/>
      <c r="O85" s="2239" t="n"/>
      <c r="P85" s="2239" t="n"/>
      <c r="Q85" s="2239" t="n"/>
      <c r="R85" s="2239" t="n"/>
      <c r="S85" s="2239" t="n"/>
      <c r="T85" s="2239" t="n"/>
      <c r="U85" s="2239" t="n"/>
      <c r="V85" s="2239" t="n"/>
      <c r="W85" s="2239" t="n"/>
      <c r="X85" s="2239" t="n"/>
      <c r="Y85" s="2240" t="n"/>
      <c r="Z85" s="2241" t="n"/>
      <c r="AA85" s="2240" t="n"/>
      <c r="AB85" s="2239" t="n"/>
      <c r="AC85" s="2239" t="n"/>
      <c r="AD85" s="2239" t="n"/>
      <c r="AE85" s="2239" t="n"/>
      <c r="AF85" s="2239" t="n"/>
      <c r="AG85" s="2239" t="n"/>
      <c r="AH85" s="2239" t="n"/>
      <c r="AI85" s="2198" t="inlineStr">
        <is>
          <t xml:space="preserve">.   .  </t>
        </is>
      </c>
      <c r="AJ85" s="10938" t="inlineStr">
        <is>
          <t>27</t>
        </is>
      </c>
      <c r="AK85" s="7638" t="n"/>
      <c r="AL85" s="10935">
        <f>IF(AS85&lt;&gt;"",ROUND(AS85,0),IF(F8812_NoAdditionalCTC,0,IF(AD68,AL56,IF(AG66,MIN(AL56,AL63),MIN(AL56,AL82)))))</f>
        <v/>
      </c>
      <c r="AM85" s="7637" t="n"/>
      <c r="AN85" s="7637" t="n"/>
      <c r="AO85" s="7637" t="n"/>
      <c r="AP85" s="7638" t="n"/>
      <c r="AQ85" s="1277" t="n"/>
      <c r="AR85" s="1277" t="n"/>
      <c r="AS85" s="7846" t="n"/>
      <c r="AT85" s="1277" t="n"/>
      <c r="AU85" s="1277" t="n"/>
    </row>
    <row r="86" ht="17.25" customHeight="1" s="7635" thickTop="1">
      <c r="A86" s="1277" t="n"/>
      <c r="B86" s="2242" t="n"/>
      <c r="C86" s="2101" t="n"/>
      <c r="D86" s="2243" t="n"/>
      <c r="E86" s="2243" t="n"/>
      <c r="F86" s="2243" t="n"/>
      <c r="G86" s="2243" t="n"/>
      <c r="H86" s="2243" t="n"/>
      <c r="I86" s="2243" t="n"/>
      <c r="J86" s="2243" t="n"/>
      <c r="K86" s="2243" t="n"/>
      <c r="L86" s="2243" t="n"/>
      <c r="M86" s="2243" t="n"/>
      <c r="N86" s="2243" t="n"/>
      <c r="O86" s="2243" t="n"/>
      <c r="P86" s="2243" t="n"/>
      <c r="Q86" s="2243" t="n"/>
      <c r="R86" s="2243" t="n"/>
      <c r="S86" s="2243" t="n"/>
      <c r="T86" s="2243" t="n"/>
      <c r="U86" s="2243" t="n"/>
      <c r="V86" s="2243" t="n"/>
      <c r="W86" s="2243" t="n"/>
      <c r="X86" s="2243" t="n"/>
      <c r="Y86" s="2244" t="n"/>
      <c r="Z86" s="2245" t="n"/>
      <c r="AA86" s="2244" t="n"/>
      <c r="AB86" s="2243" t="n"/>
      <c r="AC86" s="2243" t="n"/>
      <c r="AD86" s="2243" t="n"/>
      <c r="AE86" s="2243" t="n"/>
      <c r="AF86" s="2243" t="n"/>
      <c r="AG86" s="2243" t="n"/>
      <c r="AH86" s="2243" t="n"/>
      <c r="AI86" s="2243" t="n"/>
      <c r="AJ86" s="2243" t="n"/>
      <c r="AK86" s="2243" t="n"/>
      <c r="AL86" s="2101" t="n"/>
      <c r="AM86" s="2243" t="n"/>
      <c r="AN86" s="2246" t="inlineStr">
        <is>
          <t>Schedule 8812 (Form 1040)</t>
        </is>
      </c>
      <c r="AO86" s="11051">
        <f>TaxYear</f>
        <v/>
      </c>
      <c r="AP86" s="9668" t="n"/>
      <c r="AQ86" s="1277" t="n"/>
      <c r="AR86" s="1277" t="n"/>
      <c r="AS86" s="1277" t="n"/>
      <c r="AT86" s="1277" t="n"/>
      <c r="AU86" s="1277" t="n"/>
    </row>
    <row r="87" ht="12" customHeight="1" s="7635">
      <c r="A87" s="1277" t="n"/>
      <c r="B87" s="7299" t="n"/>
      <c r="C87" s="7299" t="n"/>
      <c r="D87" s="7299" t="n"/>
      <c r="E87" s="7299" t="n"/>
      <c r="F87" s="7299" t="n"/>
      <c r="G87" s="7299" t="n"/>
      <c r="H87" s="7299" t="n"/>
      <c r="I87" s="7299" t="n"/>
      <c r="J87" s="7299" t="n"/>
      <c r="K87" s="7299" t="n"/>
      <c r="L87" s="7299" t="n"/>
      <c r="M87" s="7299" t="n"/>
      <c r="N87" s="7299" t="n"/>
      <c r="O87" s="7299" t="n"/>
      <c r="P87" s="7299" t="n"/>
      <c r="Q87" s="7299" t="n"/>
      <c r="R87" s="7299" t="n"/>
      <c r="S87" s="7299" t="n"/>
      <c r="T87" s="7299" t="n"/>
      <c r="U87" s="7299" t="n"/>
      <c r="V87" s="7299" t="n"/>
      <c r="W87" s="7299" t="n"/>
      <c r="X87" s="7299" t="n"/>
      <c r="Y87" s="7299" t="n"/>
      <c r="Z87" s="7299" t="n"/>
      <c r="AA87" s="7299" t="n"/>
      <c r="AB87" s="7299" t="n"/>
      <c r="AC87" s="7299" t="n"/>
      <c r="AD87" s="7299" t="n"/>
      <c r="AE87" s="7299" t="n"/>
      <c r="AF87" s="7299" t="n"/>
      <c r="AG87" s="7299" t="n"/>
      <c r="AH87" s="7299" t="n"/>
      <c r="AI87" s="7299" t="n"/>
      <c r="AJ87" s="7299" t="n"/>
      <c r="AK87" s="7299" t="n"/>
      <c r="AL87" s="7299" t="n"/>
      <c r="AM87" s="7299" t="n"/>
      <c r="AN87" s="7299" t="n"/>
      <c r="AO87" s="7299" t="n"/>
      <c r="AP87" s="7299" t="n"/>
      <c r="AQ87" s="1277" t="n"/>
      <c r="AR87" s="1277" t="n"/>
      <c r="AS87" s="1277" t="n"/>
      <c r="AT87" s="1277" t="n"/>
      <c r="AU87" s="1277" t="n"/>
    </row>
    <row r="88" ht="12" customHeight="1" s="7635">
      <c r="A88" s="1277" t="n"/>
      <c r="B88" s="7299" t="n"/>
      <c r="C88" s="810" t="inlineStr">
        <is>
          <t>Credit Limit Worksheet A</t>
        </is>
      </c>
      <c r="D88" s="7299" t="n"/>
      <c r="E88" s="7299" t="n"/>
      <c r="F88" s="7299" t="n"/>
      <c r="G88" s="7299" t="n"/>
      <c r="H88" s="7299" t="n"/>
      <c r="I88" s="7299" t="n"/>
      <c r="J88" s="7299" t="n"/>
      <c r="K88" s="7299" t="n"/>
      <c r="L88" s="7299" t="n"/>
      <c r="M88" s="7299" t="n"/>
      <c r="N88" s="7299" t="n"/>
      <c r="O88" s="7299" t="n"/>
      <c r="P88" s="7299" t="n"/>
      <c r="Q88" s="7299" t="n"/>
      <c r="R88" s="7299" t="n"/>
      <c r="S88" s="7299" t="n"/>
      <c r="T88" s="7299" t="n"/>
      <c r="U88" s="7299" t="n"/>
      <c r="V88" s="7299" t="n"/>
      <c r="W88" s="7299" t="n"/>
      <c r="X88" s="7299" t="n"/>
      <c r="Y88" s="7299" t="n"/>
      <c r="Z88" s="7299" t="n"/>
      <c r="AA88" s="7299" t="n"/>
      <c r="AB88" s="7299" t="n"/>
      <c r="AC88" s="7299" t="n"/>
      <c r="AD88" s="7299" t="n"/>
      <c r="AE88" s="7299" t="n"/>
      <c r="AF88" s="7299" t="n"/>
      <c r="AG88" s="7299" t="n"/>
      <c r="AH88" s="7299" t="n"/>
      <c r="AI88" s="7299" t="n"/>
      <c r="AJ88" s="7299" t="n"/>
      <c r="AK88" s="7299" t="n"/>
      <c r="AL88" s="7299" t="n"/>
      <c r="AM88" s="7299" t="n"/>
      <c r="AN88" s="6144" t="inlineStr">
        <is>
          <t>Keep for Your Records</t>
        </is>
      </c>
      <c r="AO88" s="7299" t="n"/>
      <c r="AP88" s="7299" t="n"/>
      <c r="AQ88" s="1277" t="n"/>
      <c r="AR88" s="1277" t="n"/>
      <c r="AS88" s="1277" t="n"/>
      <c r="AT88" s="1277" t="n"/>
      <c r="AU88" s="1277" t="n"/>
    </row>
    <row r="89" ht="12" customHeight="1" s="7635" thickBot="1">
      <c r="A89" s="1277" t="n"/>
      <c r="B89" s="7299" t="n"/>
      <c r="C89" s="2247" t="n"/>
      <c r="D89" s="2247" t="n"/>
      <c r="E89" s="2247" t="n"/>
      <c r="F89" s="2247" t="n"/>
      <c r="G89" s="2247" t="n"/>
      <c r="H89" s="2247" t="n"/>
      <c r="I89" s="2247" t="n"/>
      <c r="J89" s="2247" t="n"/>
      <c r="K89" s="2247" t="n"/>
      <c r="L89" s="2247" t="n"/>
      <c r="M89" s="2247" t="n"/>
      <c r="N89" s="2247" t="n"/>
      <c r="O89" s="2247" t="n"/>
      <c r="P89" s="2247" t="n"/>
      <c r="Q89" s="2247" t="n"/>
      <c r="R89" s="2247" t="n"/>
      <c r="S89" s="2247" t="n"/>
      <c r="T89" s="2247" t="n"/>
      <c r="U89" s="2247" t="n"/>
      <c r="V89" s="2247" t="n"/>
      <c r="W89" s="2247" t="n"/>
      <c r="X89" s="2247" t="n"/>
      <c r="Y89" s="2247" t="n"/>
      <c r="Z89" s="2247" t="n"/>
      <c r="AA89" s="2247" t="n"/>
      <c r="AB89" s="2247" t="n"/>
      <c r="AC89" s="2247" t="n"/>
      <c r="AD89" s="2247" t="n"/>
      <c r="AE89" s="2247" t="n"/>
      <c r="AF89" s="2247" t="n"/>
      <c r="AG89" s="2247" t="n"/>
      <c r="AH89" s="2247" t="n"/>
      <c r="AI89" s="2247" t="n"/>
      <c r="AJ89" s="2247" t="n"/>
      <c r="AK89" s="2247" t="n"/>
      <c r="AL89" s="2247" t="n"/>
      <c r="AM89" s="2247" t="n"/>
      <c r="AN89" s="2247" t="n"/>
      <c r="AO89" s="2247" t="n"/>
      <c r="AP89" s="7299" t="n"/>
      <c r="AQ89" s="1277" t="n"/>
      <c r="AR89" s="1277" t="n"/>
      <c r="AS89" s="1277" t="n"/>
      <c r="AT89" s="1277" t="n"/>
      <c r="AU89" s="1277" t="n"/>
    </row>
    <row r="90" ht="6" customHeight="1" s="7635" thickTop="1">
      <c r="A90" s="1277" t="n"/>
      <c r="B90" s="7299" t="n"/>
      <c r="C90" s="7299" t="n"/>
      <c r="D90" s="7299" t="n"/>
      <c r="E90" s="7299" t="n"/>
      <c r="F90" s="7299" t="n"/>
      <c r="G90" s="7299" t="n"/>
      <c r="H90" s="7299" t="n"/>
      <c r="I90" s="7299" t="n"/>
      <c r="J90" s="7299" t="n"/>
      <c r="K90" s="7299" t="n"/>
      <c r="L90" s="7299" t="n"/>
      <c r="M90" s="7299" t="n"/>
      <c r="N90" s="7299" t="n"/>
      <c r="O90" s="7299" t="n"/>
      <c r="P90" s="7299" t="n"/>
      <c r="Q90" s="7299" t="n"/>
      <c r="R90" s="7299" t="n"/>
      <c r="S90" s="7299" t="n"/>
      <c r="T90" s="7299" t="n"/>
      <c r="U90" s="7299" t="n"/>
      <c r="V90" s="7299" t="n"/>
      <c r="W90" s="7299" t="n"/>
      <c r="X90" s="7299" t="n"/>
      <c r="Y90" s="7299" t="n"/>
      <c r="Z90" s="7299" t="n"/>
      <c r="AA90" s="7299" t="n"/>
      <c r="AB90" s="7299" t="n"/>
      <c r="AC90" s="7299" t="n"/>
      <c r="AD90" s="7299" t="n"/>
      <c r="AE90" s="7299" t="n"/>
      <c r="AF90" s="7299" t="n"/>
      <c r="AG90" s="7299" t="n"/>
      <c r="AH90" s="7299" t="n"/>
      <c r="AI90" s="7299" t="n"/>
      <c r="AJ90" s="7299" t="n"/>
      <c r="AK90" s="7299" t="n"/>
      <c r="AL90" s="7299" t="n"/>
      <c r="AM90" s="7299" t="n"/>
      <c r="AN90" s="7299" t="n"/>
      <c r="AO90" s="7299" t="n"/>
      <c r="AP90" s="7299" t="n"/>
      <c r="AQ90" s="1277" t="n"/>
      <c r="AR90" s="1277" t="n"/>
      <c r="AS90" s="1277" t="n"/>
      <c r="AT90" s="1277" t="n"/>
      <c r="AU90" s="1277" t="n"/>
    </row>
    <row r="91" ht="20.25" customHeight="1" s="7635">
      <c r="A91" s="1277" t="n"/>
      <c r="B91" s="7299" t="n"/>
      <c r="C91" s="7299" t="n"/>
      <c r="D91" s="7299" t="n"/>
      <c r="E91" s="7299" t="n"/>
      <c r="F91" s="2248" t="inlineStr">
        <is>
          <t>1.</t>
        </is>
      </c>
      <c r="G91" s="7299" t="inlineStr">
        <is>
          <t>Enter the amount from line 18 of your Form 1040, 1040-SR, or 1040-NR</t>
        </is>
      </c>
      <c r="H91" s="7299" t="n"/>
      <c r="I91" s="7299" t="n"/>
      <c r="J91" s="7299" t="n"/>
      <c r="K91" s="7299" t="n"/>
      <c r="L91" s="7299" t="n"/>
      <c r="M91" s="7299" t="n"/>
      <c r="N91" s="7299" t="n"/>
      <c r="O91" s="7299" t="n"/>
      <c r="P91" s="7299" t="n"/>
      <c r="Q91" s="7299" t="n"/>
      <c r="R91" s="7299" t="n"/>
      <c r="S91" s="7299" t="n"/>
      <c r="T91" s="7299" t="n"/>
      <c r="U91" s="7299" t="n"/>
      <c r="V91" s="7299" t="n"/>
      <c r="W91" s="7299" t="n"/>
      <c r="X91" s="7299" t="n"/>
      <c r="Y91" s="7299" t="n"/>
      <c r="Z91" s="7299" t="n"/>
      <c r="AA91" s="7299" t="n"/>
      <c r="AB91" s="7299" t="n"/>
      <c r="AC91" s="7299" t="n"/>
      <c r="AD91" s="7299" t="n"/>
      <c r="AE91" s="7299" t="n"/>
      <c r="AF91" s="7299" t="n"/>
      <c r="AG91" s="7299" t="n"/>
      <c r="AH91" s="7299" t="n"/>
      <c r="AI91" s="2249" t="inlineStr">
        <is>
          <t xml:space="preserve">.   .   .   .   .   .   .   .   .   .   .   .   .   .   .   . </t>
        </is>
      </c>
      <c r="AJ91" s="10946" t="inlineStr">
        <is>
          <t>1.</t>
        </is>
      </c>
      <c r="AK91" s="11076">
        <f>'1040'!AL98</f>
        <v/>
      </c>
      <c r="AL91" s="7637" t="n"/>
      <c r="AM91" s="7637" t="n"/>
      <c r="AN91" s="7637" t="n"/>
      <c r="AO91" s="7637" t="n"/>
      <c r="AP91" s="7299" t="n"/>
      <c r="AQ91" s="1277" t="n"/>
      <c r="AR91" s="1277" t="n"/>
      <c r="AS91" s="1277" t="n"/>
      <c r="AT91" s="1277" t="n"/>
      <c r="AU91" s="1277" t="n"/>
    </row>
    <row r="92" ht="12" customHeight="1" s="7635">
      <c r="A92" s="1277" t="n"/>
      <c r="B92" s="7299" t="n"/>
      <c r="C92" s="7299" t="n"/>
      <c r="D92" s="7299" t="n"/>
      <c r="E92" s="7299" t="n"/>
      <c r="F92" s="7299" t="n"/>
      <c r="G92" s="7299" t="n"/>
      <c r="H92" s="7299" t="n"/>
      <c r="I92" s="7299" t="n"/>
      <c r="J92" s="7299" t="n"/>
      <c r="K92" s="7299" t="n"/>
      <c r="L92" s="7299" t="n"/>
      <c r="M92" s="7299" t="n"/>
      <c r="N92" s="7299" t="n"/>
      <c r="O92" s="7299" t="n"/>
      <c r="P92" s="7299" t="n"/>
      <c r="Q92" s="7299" t="n"/>
      <c r="R92" s="7299" t="n"/>
      <c r="S92" s="7299" t="n"/>
      <c r="T92" s="7299" t="n"/>
      <c r="U92" s="7299" t="n"/>
      <c r="V92" s="7299" t="n"/>
      <c r="W92" s="7299" t="n"/>
      <c r="X92" s="7299" t="n"/>
      <c r="Y92" s="7299" t="n"/>
      <c r="Z92" s="7299" t="n"/>
      <c r="AA92" s="7299" t="n"/>
      <c r="AB92" s="7299" t="n"/>
      <c r="AC92" s="7299" t="n"/>
      <c r="AD92" s="7299" t="n"/>
      <c r="AE92" s="7299" t="n"/>
      <c r="AF92" s="7299" t="n"/>
      <c r="AG92" s="7299" t="n"/>
      <c r="AH92" s="7299" t="n"/>
      <c r="AI92" s="7299" t="n"/>
      <c r="AJ92" s="7299" t="n"/>
      <c r="AK92" s="7299" t="n"/>
      <c r="AL92" s="7299" t="n"/>
      <c r="AM92" s="7299" t="n"/>
      <c r="AN92" s="7299" t="n"/>
      <c r="AO92" s="7299" t="n"/>
      <c r="AP92" s="7299" t="n"/>
      <c r="AQ92" s="1277" t="n"/>
      <c r="AR92" s="1277" t="n"/>
      <c r="AS92" s="2195" t="inlineStr">
        <is>
          <t>Override</t>
        </is>
      </c>
      <c r="AT92" s="1277" t="n"/>
      <c r="AU92" s="1277" t="n"/>
    </row>
    <row r="93" ht="12" customHeight="1" s="7635">
      <c r="A93" s="1277" t="n"/>
      <c r="B93" s="7299" t="n"/>
      <c r="C93" s="7299" t="n"/>
      <c r="D93" s="7299" t="n"/>
      <c r="E93" s="7299" t="n"/>
      <c r="F93" s="2248" t="inlineStr">
        <is>
          <t>2.</t>
        </is>
      </c>
      <c r="G93" s="7299" t="inlineStr">
        <is>
          <t>Add the following amounts (if applicable) from:</t>
        </is>
      </c>
      <c r="H93" s="7299" t="n"/>
      <c r="I93" s="7299" t="n"/>
      <c r="J93" s="7299" t="n"/>
      <c r="K93" s="7299" t="n"/>
      <c r="L93" s="7299" t="n"/>
      <c r="M93" s="7299" t="n"/>
      <c r="N93" s="7299" t="n"/>
      <c r="O93" s="7299" t="n"/>
      <c r="P93" s="7299" t="n"/>
      <c r="Q93" s="7299" t="n"/>
      <c r="R93" s="7299" t="n"/>
      <c r="S93" s="7299" t="n"/>
      <c r="T93" s="7299" t="n"/>
      <c r="U93" s="7299" t="n"/>
      <c r="V93" s="7299" t="n"/>
      <c r="W93" s="7299" t="n"/>
      <c r="X93" s="7299" t="n"/>
      <c r="Y93" s="7299" t="n"/>
      <c r="Z93" s="7299" t="n"/>
      <c r="AA93" s="7299" t="n"/>
      <c r="AB93" s="7299" t="n"/>
      <c r="AC93" s="7299" t="n"/>
      <c r="AD93" s="7299" t="n"/>
      <c r="AE93" s="7299" t="n"/>
      <c r="AF93" s="7299" t="n"/>
      <c r="AG93" s="7299" t="n"/>
      <c r="AH93" s="7299" t="n"/>
      <c r="AI93" s="7299" t="n"/>
      <c r="AJ93" s="7299" t="n"/>
      <c r="AK93" s="7299" t="n"/>
      <c r="AL93" s="7299" t="n"/>
      <c r="AM93" s="7299" t="n"/>
      <c r="AN93" s="7299" t="n"/>
      <c r="AO93" s="7299" t="n"/>
      <c r="AP93" s="7299" t="n"/>
      <c r="AQ93" s="1277" t="n"/>
      <c r="AR93" s="1277" t="n"/>
      <c r="AS93" s="1277" t="n"/>
      <c r="AT93" s="1277" t="n"/>
      <c r="AU93" s="1277" t="n"/>
    </row>
    <row r="94" ht="16.5" customHeight="1" s="7635">
      <c r="A94" s="1277" t="n"/>
      <c r="B94" s="7299" t="n"/>
      <c r="C94" s="7299" t="n"/>
      <c r="D94" s="7299" t="n"/>
      <c r="E94" s="7299" t="n"/>
      <c r="F94" s="2248" t="n"/>
      <c r="G94" s="7299" t="n"/>
      <c r="H94" s="7299" t="inlineStr">
        <is>
          <t>Schedule 3, line 1</t>
        </is>
      </c>
      <c r="I94" s="7299" t="n"/>
      <c r="J94" s="7299" t="n"/>
      <c r="K94" s="7299" t="n"/>
      <c r="L94" s="7299" t="n"/>
      <c r="M94" s="7299" t="n"/>
      <c r="N94" s="7299" t="n"/>
      <c r="O94" s="7299" t="n"/>
      <c r="P94" s="7299" t="n"/>
      <c r="Q94" s="7299" t="n"/>
      <c r="R94" s="7299" t="n"/>
      <c r="S94" s="7299" t="n"/>
      <c r="T94" s="7299" t="n"/>
      <c r="U94" s="7299" t="n"/>
      <c r="V94" s="7299" t="n"/>
      <c r="W94" s="7299" t="n"/>
      <c r="X94" s="7299" t="n"/>
      <c r="Y94" s="7299" t="n"/>
      <c r="Z94" s="7299" t="n"/>
      <c r="AA94" s="7299" t="n"/>
      <c r="AB94" s="2249" t="inlineStr">
        <is>
          <t xml:space="preserve">.   .   .   .   .   .   .   .   .   .   .   .   .   .   .   .   .   .   .   .   .   . </t>
        </is>
      </c>
      <c r="AC94" s="10946" t="inlineStr">
        <is>
          <t>+</t>
        </is>
      </c>
      <c r="AE94" s="10941">
        <f>IF(AS94&lt;&gt;"",ROUND(AS94,0),IF(Foreign_Tax_Credit=0,"",Foreign_Tax_Credit))</f>
        <v/>
      </c>
      <c r="AF94" s="7637" t="n"/>
      <c r="AG94" s="7637" t="n"/>
      <c r="AH94" s="7637" t="n"/>
      <c r="AI94" s="7637" t="n"/>
      <c r="AJ94" s="7299" t="n"/>
      <c r="AK94" s="7299" t="n"/>
      <c r="AL94" s="7299" t="n"/>
      <c r="AM94" s="7299" t="n"/>
      <c r="AN94" s="7299" t="n"/>
      <c r="AO94" s="7299" t="n"/>
      <c r="AP94" s="7299" t="n"/>
      <c r="AQ94" s="1277" t="n"/>
      <c r="AR94" s="1277" t="n"/>
      <c r="AS94" s="7846" t="n"/>
      <c r="AT94" s="1277" t="n"/>
      <c r="AU94" s="1277" t="n"/>
    </row>
    <row r="95" ht="16.5" customHeight="1" s="7635">
      <c r="A95" s="1277" t="n"/>
      <c r="B95" s="7299" t="n"/>
      <c r="C95" s="7299" t="n"/>
      <c r="D95" s="7299" t="n"/>
      <c r="E95" s="7299" t="n"/>
      <c r="F95" s="2248" t="n"/>
      <c r="G95" s="7299" t="n"/>
      <c r="H95" s="7299" t="inlineStr">
        <is>
          <t>Schedule 3, line 2</t>
        </is>
      </c>
      <c r="I95" s="7299" t="n"/>
      <c r="J95" s="7299" t="n"/>
      <c r="K95" s="7299" t="n"/>
      <c r="L95" s="7299" t="n"/>
      <c r="M95" s="7299" t="n"/>
      <c r="N95" s="7299" t="n"/>
      <c r="O95" s="7299" t="n"/>
      <c r="P95" s="7299" t="n"/>
      <c r="Q95" s="7299" t="n"/>
      <c r="R95" s="7299" t="n"/>
      <c r="S95" s="7299" t="n"/>
      <c r="T95" s="7299" t="n"/>
      <c r="U95" s="7299" t="n"/>
      <c r="V95" s="7299" t="n"/>
      <c r="W95" s="7299" t="n"/>
      <c r="X95" s="7299" t="n"/>
      <c r="Y95" s="7299" t="n"/>
      <c r="Z95" s="7299" t="n"/>
      <c r="AA95" s="7299" t="n"/>
      <c r="AB95" s="2249" t="inlineStr">
        <is>
          <t xml:space="preserve">.   .   .   .   .   .   .   .   .   .   .   .   .   .   .   .   .   .   .   .   .   . </t>
        </is>
      </c>
      <c r="AC95" s="10946" t="inlineStr">
        <is>
          <t>+</t>
        </is>
      </c>
      <c r="AE95" s="10941">
        <f>IF(AS95&lt;&gt;"",ROUND(AS95,0),IF(OR(Care_Expenses="",Care_Expenses=0),"",Care_Expenses))</f>
        <v/>
      </c>
      <c r="AF95" s="7637" t="n"/>
      <c r="AG95" s="7637" t="n"/>
      <c r="AH95" s="7637" t="n"/>
      <c r="AI95" s="7637" t="n"/>
      <c r="AJ95" s="7299" t="n"/>
      <c r="AK95" s="7299" t="n"/>
      <c r="AL95" s="7299" t="n"/>
      <c r="AM95" s="7299" t="n"/>
      <c r="AN95" s="7299" t="n"/>
      <c r="AO95" s="7299" t="n"/>
      <c r="AP95" s="7299" t="n"/>
      <c r="AQ95" s="1277" t="n"/>
      <c r="AR95" s="1277" t="n"/>
      <c r="AS95" s="7846" t="n"/>
      <c r="AT95" s="1277" t="n"/>
      <c r="AU95" s="1277" t="n"/>
    </row>
    <row r="96" ht="16.5" customHeight="1" s="7635">
      <c r="A96" s="1277" t="n"/>
      <c r="B96" s="7299" t="n"/>
      <c r="C96" s="7299" t="n"/>
      <c r="D96" s="7299" t="n"/>
      <c r="E96" s="7299" t="n"/>
      <c r="F96" s="2248" t="n"/>
      <c r="G96" s="7299" t="n"/>
      <c r="H96" s="7299" t="inlineStr">
        <is>
          <t>Schedule 3, line 3</t>
        </is>
      </c>
      <c r="I96" s="7299" t="n"/>
      <c r="J96" s="7299" t="n"/>
      <c r="K96" s="7299" t="n"/>
      <c r="L96" s="7299" t="n"/>
      <c r="M96" s="7299" t="n"/>
      <c r="N96" s="7299" t="n"/>
      <c r="O96" s="7299" t="n"/>
      <c r="P96" s="7299" t="n"/>
      <c r="Q96" s="7299" t="n"/>
      <c r="R96" s="7299" t="n"/>
      <c r="S96" s="7299" t="n"/>
      <c r="T96" s="7299" t="n"/>
      <c r="U96" s="7299" t="n"/>
      <c r="V96" s="7299" t="n"/>
      <c r="W96" s="7299" t="n"/>
      <c r="X96" s="7299" t="n"/>
      <c r="Y96" s="7299" t="n"/>
      <c r="Z96" s="7299" t="n"/>
      <c r="AA96" s="7299" t="n"/>
      <c r="AB96" s="2249" t="inlineStr">
        <is>
          <t xml:space="preserve">.   .   .   .   .   .   .   .   .   .   .   .   .   .   .   .   .   .   .   .   .   . </t>
        </is>
      </c>
      <c r="AC96" s="10946" t="inlineStr">
        <is>
          <t>+</t>
        </is>
      </c>
      <c r="AE96" s="10941">
        <f>IF(AS96&lt;&gt;"",ROUND(AS96,0),IF(OR(Education="",Education=0),"",Education))</f>
        <v/>
      </c>
      <c r="AF96" s="7637" t="n"/>
      <c r="AG96" s="7637" t="n"/>
      <c r="AH96" s="7637" t="n"/>
      <c r="AI96" s="7637" t="n"/>
      <c r="AJ96" s="7299" t="n"/>
      <c r="AK96" s="7299" t="n"/>
      <c r="AL96" s="7299" t="n"/>
      <c r="AM96" s="7299" t="n"/>
      <c r="AN96" s="7299" t="n"/>
      <c r="AO96" s="7299" t="n"/>
      <c r="AP96" s="7299" t="n"/>
      <c r="AQ96" s="1277" t="n"/>
      <c r="AR96" s="1277" t="n"/>
      <c r="AS96" s="7846" t="n"/>
      <c r="AT96" s="1277" t="n"/>
      <c r="AU96" s="1277" t="n"/>
    </row>
    <row r="97" ht="16.5" customHeight="1" s="7635">
      <c r="A97" s="1277" t="n"/>
      <c r="B97" s="7299" t="n"/>
      <c r="C97" s="7299" t="n"/>
      <c r="D97" s="7299" t="n"/>
      <c r="E97" s="7299" t="n"/>
      <c r="F97" s="2248" t="n"/>
      <c r="G97" s="7299" t="n"/>
      <c r="H97" s="7299" t="inlineStr">
        <is>
          <t>Schedule 3, line 4</t>
        </is>
      </c>
      <c r="I97" s="7299" t="n"/>
      <c r="J97" s="7299" t="n"/>
      <c r="K97" s="7299" t="n"/>
      <c r="L97" s="7299" t="n"/>
      <c r="M97" s="7299" t="n"/>
      <c r="N97" s="7299" t="n"/>
      <c r="O97" s="7299" t="n"/>
      <c r="P97" s="7299" t="n"/>
      <c r="Q97" s="7299" t="n"/>
      <c r="R97" s="7299" t="n"/>
      <c r="S97" s="7299" t="n"/>
      <c r="T97" s="7299" t="n"/>
      <c r="U97" s="7299" t="n"/>
      <c r="V97" s="7299" t="n"/>
      <c r="W97" s="7299" t="n"/>
      <c r="X97" s="7299" t="n"/>
      <c r="Y97" s="7299" t="n"/>
      <c r="Z97" s="7299" t="n"/>
      <c r="AA97" s="7299" t="n"/>
      <c r="AB97" s="2249" t="inlineStr">
        <is>
          <t xml:space="preserve">.   .   .   .   .   .   .   .   .   .   .   .   .   .   .   .   .   .   .   .   .   . </t>
        </is>
      </c>
      <c r="AC97" s="10946" t="inlineStr">
        <is>
          <t>+</t>
        </is>
      </c>
      <c r="AE97" s="10941">
        <f>IF(AS97&lt;&gt;"",ROUND(AS97,0),IF(OR(Retirement_Savings="",Retirement_Savings=0),"",Retirement_Savings))</f>
        <v/>
      </c>
      <c r="AF97" s="7637" t="n"/>
      <c r="AG97" s="7637" t="n"/>
      <c r="AH97" s="7637" t="n"/>
      <c r="AI97" s="7637" t="n"/>
      <c r="AJ97" s="7299" t="n"/>
      <c r="AK97" s="7299" t="n"/>
      <c r="AL97" s="7299" t="n"/>
      <c r="AM97" s="7299" t="n"/>
      <c r="AN97" s="7299" t="n"/>
      <c r="AO97" s="7299" t="n"/>
      <c r="AP97" s="7299" t="n"/>
      <c r="AQ97" s="1277" t="n"/>
      <c r="AR97" s="1277" t="n"/>
      <c r="AS97" s="7846" t="n"/>
      <c r="AT97" s="1277" t="n"/>
      <c r="AU97" s="1277" t="n"/>
    </row>
    <row r="98" ht="16.5" customHeight="1" s="7635">
      <c r="A98" s="1277" t="n"/>
      <c r="B98" s="7299" t="n"/>
      <c r="C98" s="7299" t="n"/>
      <c r="D98" s="7299" t="n"/>
      <c r="E98" s="7299" t="n"/>
      <c r="F98" s="2248" t="n"/>
      <c r="G98" s="7299" t="n"/>
      <c r="H98" s="7299" t="inlineStr">
        <is>
          <t>Schedule 3, line 5b</t>
        </is>
      </c>
      <c r="I98" s="7299" t="n"/>
      <c r="J98" s="7299" t="n"/>
      <c r="K98" s="7299" t="n"/>
      <c r="L98" s="7299" t="n"/>
      <c r="M98" s="7299" t="n"/>
      <c r="N98" s="7299" t="n"/>
      <c r="O98" s="7299" t="n"/>
      <c r="P98" s="7299" t="n"/>
      <c r="Q98" s="7299" t="n"/>
      <c r="R98" s="7299" t="n"/>
      <c r="S98" s="7299" t="n"/>
      <c r="T98" s="7299" t="n"/>
      <c r="U98" s="7299" t="n"/>
      <c r="V98" s="7299" t="n"/>
      <c r="W98" s="7299" t="n"/>
      <c r="X98" s="7299" t="n"/>
      <c r="Y98" s="7299" t="n"/>
      <c r="Z98" s="7299" t="n"/>
      <c r="AA98" s="7299" t="n"/>
      <c r="AB98" s="2249" t="inlineStr">
        <is>
          <t xml:space="preserve">.   .   .   .   .   .   .   .   .   .   .   .   .   .   .   .   .   .   .   .   .   . </t>
        </is>
      </c>
      <c r="AC98" s="10946" t="inlineStr">
        <is>
          <t>+</t>
        </is>
      </c>
      <c r="AE98" s="10941">
        <f>IF(AS98&lt;&gt;"",ROUND(AS98,0),IF(EEHI_Credit=0,"",EEHI_Credit))</f>
        <v/>
      </c>
      <c r="AF98" s="7637" t="n"/>
      <c r="AG98" s="7637" t="n"/>
      <c r="AH98" s="7637" t="n"/>
      <c r="AI98" s="7637" t="n"/>
      <c r="AJ98" s="7299" t="n"/>
      <c r="AK98" s="7299" t="n"/>
      <c r="AL98" s="7299" t="n"/>
      <c r="AM98" s="7299" t="n"/>
      <c r="AN98" s="7299" t="n"/>
      <c r="AO98" s="7299" t="n"/>
      <c r="AP98" s="7299" t="n"/>
      <c r="AQ98" s="1277" t="n"/>
      <c r="AR98" s="1277" t="n"/>
      <c r="AS98" s="7846" t="n"/>
      <c r="AT98" s="1277" t="n"/>
      <c r="AU98" s="1277" t="n"/>
    </row>
    <row r="99" ht="16.5" customHeight="1" s="7635">
      <c r="A99" s="1277" t="n"/>
      <c r="B99" s="7299" t="n"/>
      <c r="C99" s="7299" t="n"/>
      <c r="D99" s="7299" t="n"/>
      <c r="E99" s="7299" t="n"/>
      <c r="F99" s="2248" t="n"/>
      <c r="G99" s="7299" t="n"/>
      <c r="H99" s="7299" t="inlineStr">
        <is>
          <t>Schedule 3, line 6d</t>
        </is>
      </c>
      <c r="I99" s="7299" t="n"/>
      <c r="J99" s="7299" t="n"/>
      <c r="K99" s="7299" t="n"/>
      <c r="L99" s="7299" t="n"/>
      <c r="M99" s="7299" t="n"/>
      <c r="N99" s="7299" t="n"/>
      <c r="O99" s="7299" t="n"/>
      <c r="P99" s="7299" t="n"/>
      <c r="Q99" s="7299" t="n"/>
      <c r="R99" s="7299" t="n"/>
      <c r="S99" s="7299" t="n"/>
      <c r="T99" s="7299" t="n"/>
      <c r="U99" s="7299" t="n"/>
      <c r="V99" s="7299" t="n"/>
      <c r="W99" s="7299" t="n"/>
      <c r="X99" s="7299" t="n"/>
      <c r="Y99" s="7299" t="n"/>
      <c r="Z99" s="7299" t="n"/>
      <c r="AA99" s="7299" t="n"/>
      <c r="AB99" s="2249" t="inlineStr">
        <is>
          <t xml:space="preserve">.   .   .   .   .   .   .   .   .   .   .   .   .   .   .   .   .   .   .   .   .   . </t>
        </is>
      </c>
      <c r="AC99" s="10946" t="inlineStr">
        <is>
          <t>+</t>
        </is>
      </c>
      <c r="AE99" s="10941">
        <f>IF(AS99&lt;&gt;"",ROUND(AS99,0),IF(OR(Elderly_Credit="",Elderly_Credit=0),"",Elderly_Credit))</f>
        <v/>
      </c>
      <c r="AF99" s="7637" t="n"/>
      <c r="AG99" s="7637" t="n"/>
      <c r="AH99" s="7637" t="n"/>
      <c r="AI99" s="7637" t="n"/>
      <c r="AJ99" s="7299" t="n"/>
      <c r="AK99" s="7299" t="n"/>
      <c r="AL99" s="7299" t="n"/>
      <c r="AM99" s="7299" t="n"/>
      <c r="AN99" s="7299" t="n"/>
      <c r="AO99" s="7299" t="n"/>
      <c r="AP99" s="7299" t="n"/>
      <c r="AQ99" s="1277" t="n"/>
      <c r="AR99" s="1277" t="n"/>
      <c r="AS99" s="7846" t="n"/>
      <c r="AT99" s="1277" t="n"/>
      <c r="AU99" s="1277" t="n"/>
    </row>
    <row r="100" ht="16.5" customHeight="1" s="7635">
      <c r="A100" s="1277" t="n"/>
      <c r="B100" s="7299" t="n"/>
      <c r="C100" s="7299" t="n"/>
      <c r="D100" s="7299" t="n"/>
      <c r="E100" s="7299" t="n"/>
      <c r="F100" s="2248" t="n"/>
      <c r="G100" s="7299" t="n"/>
      <c r="H100" s="7299" t="inlineStr">
        <is>
          <t>Schedule 3, line 6f</t>
        </is>
      </c>
      <c r="I100" s="7299" t="n"/>
      <c r="J100" s="7299" t="n"/>
      <c r="K100" s="7299" t="n"/>
      <c r="L100" s="7299" t="n"/>
      <c r="M100" s="7299" t="n"/>
      <c r="N100" s="7299" t="n"/>
      <c r="O100" s="7299" t="n"/>
      <c r="P100" s="7299" t="n"/>
      <c r="Q100" s="7299" t="n"/>
      <c r="R100" s="7299" t="n"/>
      <c r="S100" s="7299" t="n"/>
      <c r="T100" s="7299" t="n"/>
      <c r="U100" s="7299" t="n"/>
      <c r="V100" s="7299" t="n"/>
      <c r="W100" s="7299" t="n"/>
      <c r="X100" s="7299" t="n"/>
      <c r="Y100" s="7299" t="n"/>
      <c r="Z100" s="7299" t="n"/>
      <c r="AA100" s="7299" t="n"/>
      <c r="AB100" s="2249" t="inlineStr">
        <is>
          <t xml:space="preserve">.   .   .   .   .   .   .   .   .   .   .   .   .   .   .   .   .   .   .   .   .   . </t>
        </is>
      </c>
      <c r="AC100" s="10946" t="inlineStr">
        <is>
          <t>+</t>
        </is>
      </c>
      <c r="AE100" s="10941">
        <f>IF(AS100&lt;&gt;"",ROUND(AS100,0),IF(OR(QPIMV_Credit="",QPIMV_Credit=0),"",QPIMV_Credit))</f>
        <v/>
      </c>
      <c r="AF100" s="7637" t="n"/>
      <c r="AG100" s="7637" t="n"/>
      <c r="AH100" s="7637" t="n"/>
      <c r="AI100" s="7637" t="n"/>
      <c r="AJ100" s="7299" t="n"/>
      <c r="AK100" s="7299" t="n"/>
      <c r="AL100" s="7299" t="n"/>
      <c r="AM100" s="7299" t="n"/>
      <c r="AN100" s="7299" t="n"/>
      <c r="AO100" s="7299" t="n"/>
      <c r="AP100" s="7299" t="n"/>
      <c r="AQ100" s="1277" t="n"/>
      <c r="AR100" s="1277" t="n"/>
      <c r="AS100" s="7846" t="n"/>
      <c r="AT100" s="1277" t="n"/>
      <c r="AU100" s="1277" t="n"/>
    </row>
    <row r="101" ht="16.5" customHeight="1" s="7635">
      <c r="A101" s="1277" t="n"/>
      <c r="B101" s="7299" t="n"/>
      <c r="C101" s="7299" t="n"/>
      <c r="D101" s="7299" t="n"/>
      <c r="E101" s="7299" t="n"/>
      <c r="F101" s="2248" t="n"/>
      <c r="G101" s="7299" t="n"/>
      <c r="H101" s="7299" t="inlineStr">
        <is>
          <t>Schedule 3, line 6l (6L)</t>
        </is>
      </c>
      <c r="I101" s="7299" t="n"/>
      <c r="J101" s="7299" t="n"/>
      <c r="K101" s="7299" t="n"/>
      <c r="L101" s="7299" t="n"/>
      <c r="M101" s="7299" t="n"/>
      <c r="N101" s="7299" t="n"/>
      <c r="O101" s="7299" t="n"/>
      <c r="P101" s="7299" t="n"/>
      <c r="Q101" s="7299" t="n"/>
      <c r="R101" s="7299" t="n"/>
      <c r="S101" s="7299" t="n"/>
      <c r="T101" s="7299" t="n"/>
      <c r="U101" s="7299" t="n"/>
      <c r="V101" s="7299" t="n"/>
      <c r="W101" s="7299" t="n"/>
      <c r="X101" s="7299" t="n"/>
      <c r="Y101" s="7299" t="n"/>
      <c r="Z101" s="7299" t="n"/>
      <c r="AA101" s="7299" t="n"/>
      <c r="AB101" s="2249" t="inlineStr">
        <is>
          <t xml:space="preserve"> .   .   .   .   .   .   .   .   .   .   .   .   .   .   .   .   .   .   .   .   . </t>
        </is>
      </c>
      <c r="AC101" s="10946" t="inlineStr">
        <is>
          <t>+</t>
        </is>
      </c>
      <c r="AE101" s="10941">
        <f>IF(AS101&lt;&gt;"",ROUND(AS101,0),IF(OR(F8978_Credit="",F8978_Credit=0),"",F8978_Credit))</f>
        <v/>
      </c>
      <c r="AF101" s="7637" t="n"/>
      <c r="AG101" s="7637" t="n"/>
      <c r="AH101" s="7637" t="n"/>
      <c r="AI101" s="7637" t="n"/>
      <c r="AJ101" s="7299" t="n"/>
      <c r="AK101" s="7299" t="n"/>
      <c r="AL101" s="7299" t="n"/>
      <c r="AM101" s="7299" t="n"/>
      <c r="AN101" s="7299" t="n"/>
      <c r="AO101" s="7299" t="n"/>
      <c r="AP101" s="7299" t="n"/>
      <c r="AQ101" s="1277" t="n"/>
      <c r="AR101" s="1277" t="n"/>
      <c r="AS101" s="7846" t="n"/>
      <c r="AT101" s="1277" t="n"/>
      <c r="AU101" s="1277" t="n"/>
    </row>
    <row r="102" ht="16.5" customHeight="1" s="7635">
      <c r="A102" s="1277" t="n"/>
      <c r="B102" s="7299" t="n"/>
      <c r="C102" s="7299" t="n"/>
      <c r="D102" s="7299" t="n"/>
      <c r="E102" s="7299" t="n"/>
      <c r="F102" s="2248" t="n"/>
      <c r="G102" s="7299" t="n"/>
      <c r="H102" s="7299" t="inlineStr">
        <is>
          <t>Schedule 3, line 6m</t>
        </is>
      </c>
      <c r="I102" s="7299" t="n"/>
      <c r="J102" s="7299" t="n"/>
      <c r="K102" s="7299" t="n"/>
      <c r="L102" s="7299" t="n"/>
      <c r="M102" s="7299" t="n"/>
      <c r="N102" s="7299" t="n"/>
      <c r="O102" s="7299" t="n"/>
      <c r="P102" s="7299" t="n"/>
      <c r="Q102" s="7299" t="n"/>
      <c r="R102" s="7299" t="n"/>
      <c r="S102" s="7299" t="n"/>
      <c r="T102" s="7299" t="n"/>
      <c r="U102" s="7299" t="n"/>
      <c r="V102" s="7299" t="n"/>
      <c r="W102" s="7299" t="n"/>
      <c r="X102" s="7299" t="n"/>
      <c r="Y102" s="7299" t="n"/>
      <c r="Z102" s="7299" t="n"/>
      <c r="AA102" s="7299" t="n"/>
      <c r="AB102" s="2249" t="inlineStr">
        <is>
          <t xml:space="preserve">.   .   .   .   .   .   .   .   .   .   .   .   .   .   .   .   .   .   .   .   .   . </t>
        </is>
      </c>
      <c r="AC102" s="10946" t="inlineStr">
        <is>
          <t>+</t>
        </is>
      </c>
      <c r="AE102" s="10941">
        <f>IF(AS102&lt;&gt;"",ROUND(AS102,0),IF(OR(POCV_Credit="",POCV_Credit=0),"",POCV_Credit))</f>
        <v/>
      </c>
      <c r="AF102" s="7637" t="n"/>
      <c r="AG102" s="7637" t="n"/>
      <c r="AH102" s="7637" t="n"/>
      <c r="AI102" s="7637" t="n"/>
      <c r="AJ102" s="7299" t="n"/>
      <c r="AK102" s="7299" t="n"/>
      <c r="AL102" s="7299" t="n"/>
      <c r="AM102" s="7299" t="n"/>
      <c r="AN102" s="7299" t="n"/>
      <c r="AO102" s="7299" t="n"/>
      <c r="AP102" s="7299" t="n"/>
      <c r="AQ102" s="1277" t="n"/>
      <c r="AR102" s="1277" t="n"/>
      <c r="AS102" s="7846" t="n"/>
      <c r="AT102" s="1277" t="n"/>
      <c r="AU102" s="1277" t="n"/>
    </row>
    <row r="103" ht="12" customHeight="1" s="7635">
      <c r="A103" s="1277" t="n"/>
      <c r="B103" s="7299" t="n"/>
      <c r="C103" s="7299" t="n"/>
      <c r="D103" s="7299" t="n"/>
      <c r="E103" s="7299" t="n"/>
      <c r="F103" s="2248" t="n"/>
      <c r="G103" s="7299" t="n"/>
      <c r="H103" s="7299" t="n"/>
      <c r="I103" s="7299" t="n"/>
      <c r="J103" s="7299" t="n"/>
      <c r="K103" s="7299" t="n"/>
      <c r="L103" s="7299" t="n"/>
      <c r="M103" s="7299" t="n"/>
      <c r="N103" s="7299" t="n"/>
      <c r="O103" s="7299" t="n"/>
      <c r="P103" s="7299" t="n"/>
      <c r="Q103" s="7299" t="n"/>
      <c r="R103" s="7299" t="n"/>
      <c r="S103" s="7299" t="n"/>
      <c r="T103" s="7299" t="n"/>
      <c r="U103" s="7299" t="n"/>
      <c r="V103" s="7299" t="n"/>
      <c r="W103" s="7299" t="n"/>
      <c r="X103" s="7299" t="n"/>
      <c r="Y103" s="7299" t="n"/>
      <c r="Z103" s="7299" t="n"/>
      <c r="AA103" s="7299" t="n"/>
      <c r="AB103" s="7299" t="n"/>
      <c r="AC103" s="7299" t="n"/>
      <c r="AD103" s="7299" t="n"/>
      <c r="AE103" s="7299" t="n"/>
      <c r="AF103" s="7299" t="n"/>
      <c r="AG103" s="7299" t="n"/>
      <c r="AH103" s="7299" t="n"/>
      <c r="AI103" s="7299" t="n"/>
      <c r="AJ103" s="7299" t="n"/>
      <c r="AK103" s="7299" t="n"/>
      <c r="AL103" s="7299" t="n"/>
      <c r="AM103" s="7299" t="n"/>
      <c r="AN103" s="7299" t="n"/>
      <c r="AO103" s="7299" t="n"/>
      <c r="AP103" s="7299" t="n"/>
      <c r="AQ103" s="1277" t="n"/>
      <c r="AR103" s="1277" t="n"/>
      <c r="AS103" s="7846" t="n"/>
      <c r="AT103" s="1277" t="n"/>
      <c r="AU103" s="1277" t="n"/>
    </row>
    <row r="104" ht="25.5" customHeight="1" s="7635">
      <c r="A104" s="1277" t="n"/>
      <c r="B104" s="7299" t="n"/>
      <c r="C104" s="7299" t="n"/>
      <c r="D104" s="7299" t="n"/>
      <c r="E104" s="7299" t="n"/>
      <c r="F104" s="2248" t="n"/>
      <c r="G104" s="7299" t="n"/>
      <c r="H104" s="7299" t="n"/>
      <c r="I104" s="7299" t="n"/>
      <c r="J104" s="7299" t="n"/>
      <c r="K104" s="7299" t="n"/>
      <c r="L104" s="7299" t="n"/>
      <c r="M104" s="7299" t="n"/>
      <c r="N104" s="7299" t="n"/>
      <c r="O104" s="7299" t="n"/>
      <c r="P104" s="7299" t="n"/>
      <c r="Q104" s="7299" t="n"/>
      <c r="R104" s="7299" t="n"/>
      <c r="S104" s="7299" t="n"/>
      <c r="T104" s="7299" t="n"/>
      <c r="U104" s="7299" t="n"/>
      <c r="V104" s="7299" t="n"/>
      <c r="W104" s="7299" t="n"/>
      <c r="X104" s="7299" t="n"/>
      <c r="Y104" s="7299" t="n"/>
      <c r="Z104" s="7299" t="n"/>
      <c r="AA104" s="1989" t="inlineStr">
        <is>
          <t>Enter the total.</t>
        </is>
      </c>
      <c r="AB104" s="7299" t="n"/>
      <c r="AC104" s="7299" t="n"/>
      <c r="AD104" s="1400" t="inlineStr">
        <is>
          <t>2.</t>
        </is>
      </c>
      <c r="AE104" s="11049">
        <f>IF(AS103&lt;&gt;"",ROUND(AS103,0),SUM(AE94:AI102))</f>
        <v/>
      </c>
      <c r="AF104" s="8412" t="n"/>
      <c r="AG104" s="8412" t="n"/>
      <c r="AH104" s="8412" t="n"/>
      <c r="AI104" s="11734" t="n"/>
      <c r="AJ104" s="7299" t="n"/>
      <c r="AK104" s="7299" t="n"/>
      <c r="AL104" s="7299" t="n"/>
      <c r="AM104" s="7299" t="n"/>
      <c r="AN104" s="7299" t="n"/>
      <c r="AO104" s="7299" t="n"/>
      <c r="AP104" s="7299" t="n"/>
      <c r="AQ104" s="1277" t="n"/>
      <c r="AR104" s="1277" t="n"/>
      <c r="AS104" s="11046" t="inlineStr">
        <is>
          <t>Complete
Credit Limit
Worksheet B?</t>
        </is>
      </c>
      <c r="AT104" s="1277" t="n"/>
      <c r="AU104" s="1277" t="n"/>
    </row>
    <row r="105" ht="7.5" customHeight="1" s="7635">
      <c r="A105" s="1277" t="n"/>
      <c r="B105" s="7299" t="n"/>
      <c r="C105" s="7299" t="n"/>
      <c r="D105" s="7299" t="n"/>
      <c r="E105" s="7299" t="n"/>
      <c r="F105" s="2248" t="n"/>
      <c r="G105" s="7299" t="n"/>
      <c r="H105" s="7299" t="n"/>
      <c r="I105" s="7299" t="n"/>
      <c r="J105" s="7299" t="n"/>
      <c r="K105" s="7299" t="n"/>
      <c r="L105" s="7299" t="n"/>
      <c r="M105" s="7299" t="n"/>
      <c r="N105" s="7299" t="n"/>
      <c r="O105" s="7299" t="n"/>
      <c r="P105" s="7299" t="n"/>
      <c r="Q105" s="7299" t="n"/>
      <c r="R105" s="7299" t="n"/>
      <c r="S105" s="7299" t="n"/>
      <c r="T105" s="7299" t="n"/>
      <c r="U105" s="7299" t="n"/>
      <c r="V105" s="7299" t="n"/>
      <c r="W105" s="7299" t="n"/>
      <c r="X105" s="7299" t="n"/>
      <c r="Y105" s="7299" t="n"/>
      <c r="Z105" s="7299" t="n"/>
      <c r="AA105" s="7299" t="n"/>
      <c r="AB105" s="7299" t="n"/>
      <c r="AC105" s="7299" t="n"/>
      <c r="AD105" s="7299" t="n"/>
      <c r="AE105" s="7299" t="n"/>
      <c r="AF105" s="7299" t="n"/>
      <c r="AG105" s="7299" t="n"/>
      <c r="AH105" s="7299" t="n"/>
      <c r="AI105" s="7299" t="n"/>
      <c r="AJ105" s="7299" t="n"/>
      <c r="AK105" s="7299" t="n"/>
      <c r="AL105" s="7299" t="n"/>
      <c r="AM105" s="7299" t="n"/>
      <c r="AN105" s="7299" t="n"/>
      <c r="AO105" s="7299" t="n"/>
      <c r="AP105" s="7299" t="n"/>
      <c r="AQ105" s="1277" t="n"/>
      <c r="AR105" s="1277" t="n"/>
      <c r="AT105" s="1277" t="n"/>
      <c r="AU105" s="1277" t="n"/>
    </row>
    <row r="106" ht="21.75" customHeight="1" s="7635" thickBot="1">
      <c r="A106" s="1277" t="n"/>
      <c r="B106" s="7299" t="n"/>
      <c r="C106" s="7299" t="n"/>
      <c r="D106" s="7299" t="n"/>
      <c r="E106" s="7299" t="n"/>
      <c r="F106" s="1400" t="inlineStr">
        <is>
          <t>3.</t>
        </is>
      </c>
      <c r="G106" s="7299" t="inlineStr">
        <is>
          <t>Subtract line 2 from line 1.</t>
        </is>
      </c>
      <c r="H106" s="7299" t="n"/>
      <c r="I106" s="7299" t="n"/>
      <c r="J106" s="7299" t="n"/>
      <c r="K106" s="7299" t="n"/>
      <c r="L106" s="7299" t="n"/>
      <c r="M106" s="7299" t="n"/>
      <c r="N106" s="7299" t="n"/>
      <c r="O106" s="7299" t="n"/>
      <c r="P106" s="7299" t="n"/>
      <c r="Q106" s="7299" t="n"/>
      <c r="R106" s="7299" t="n"/>
      <c r="S106" s="7299" t="n"/>
      <c r="T106" s="7299" t="n"/>
      <c r="U106" s="7299" t="n"/>
      <c r="V106" s="7299" t="n"/>
      <c r="W106" s="7299" t="n"/>
      <c r="X106" s="7299" t="n"/>
      <c r="Y106" s="7299" t="n"/>
      <c r="Z106" s="7299" t="n"/>
      <c r="AA106" s="7299" t="n"/>
      <c r="AB106" s="7299" t="n"/>
      <c r="AC106" s="7299" t="n"/>
      <c r="AD106" s="7299" t="n"/>
      <c r="AE106" s="7299" t="n"/>
      <c r="AF106" s="7299" t="n"/>
      <c r="AG106" s="7299" t="n"/>
      <c r="AH106" s="7299" t="n"/>
      <c r="AI106" s="1989" t="inlineStr">
        <is>
          <t xml:space="preserve">.   .   .   .   .   .   .   .   .   .   .   .   .   .   .   .   .   .   .   .   .   .   .   .   .   .   .   .   .   .   .   .   </t>
        </is>
      </c>
      <c r="AJ106" s="6247" t="inlineStr">
        <is>
          <t>3.</t>
        </is>
      </c>
      <c r="AK106" s="11048">
        <f>SUM(AK91,-AE104)</f>
        <v/>
      </c>
      <c r="AL106" s="8412" t="n"/>
      <c r="AM106" s="8412" t="n"/>
      <c r="AN106" s="8412" t="n"/>
      <c r="AO106" s="11734" t="n"/>
      <c r="AP106" s="7299" t="n"/>
      <c r="AQ106" s="1277" t="n"/>
      <c r="AR106" s="1277" t="n"/>
      <c r="AT106" s="1277" t="n"/>
      <c r="AU106" s="1277" t="n"/>
    </row>
    <row r="107" ht="17.25" customHeight="1" s="7635" thickBot="1">
      <c r="A107" s="1277" t="n"/>
      <c r="B107" s="7299" t="n"/>
      <c r="C107" s="11052">
        <f>AND(C108,C113,C114)</f>
        <v/>
      </c>
      <c r="F107" s="7299" t="n"/>
      <c r="G107" s="2251" t="inlineStr">
        <is>
          <t>Complete the Credit Limit Worksheet B only if you meet all of the following:</t>
        </is>
      </c>
      <c r="H107" s="7299" t="n"/>
      <c r="I107" s="7299" t="n"/>
      <c r="J107" s="7299" t="n"/>
      <c r="K107" s="7299" t="n"/>
      <c r="L107" s="7299" t="n"/>
      <c r="M107" s="7299" t="n"/>
      <c r="N107" s="7299" t="n"/>
      <c r="O107" s="7299" t="n"/>
      <c r="P107" s="7299" t="n"/>
      <c r="Q107" s="807" t="n"/>
      <c r="R107" s="807" t="n"/>
      <c r="S107" s="7299" t="n"/>
      <c r="T107" s="7299" t="n"/>
      <c r="U107" s="7299" t="n"/>
      <c r="V107" s="7299" t="n"/>
      <c r="W107" s="7299" t="n"/>
      <c r="X107" s="7299" t="n"/>
      <c r="Y107" s="7299" t="n"/>
      <c r="Z107" s="7299" t="n"/>
      <c r="AA107" s="7299" t="n"/>
      <c r="AB107" s="7299" t="n"/>
      <c r="AC107" s="7299" t="n"/>
      <c r="AD107" s="7299" t="n"/>
      <c r="AE107" s="7299" t="n"/>
      <c r="AF107" s="7299" t="n"/>
      <c r="AG107" s="7299" t="n"/>
      <c r="AH107" s="7299" t="n"/>
      <c r="AI107" s="7299" t="n"/>
      <c r="AJ107" s="7299" t="n"/>
      <c r="AK107" s="7299" t="n"/>
      <c r="AL107" s="7299" t="n"/>
      <c r="AM107" s="7299" t="n"/>
      <c r="AN107" s="7299" t="n"/>
      <c r="AO107" s="7299" t="n"/>
      <c r="AP107" s="7299" t="n"/>
      <c r="AQ107" s="1277" t="n"/>
      <c r="AR107" s="1277" t="n"/>
      <c r="AS107" s="2252">
        <f>IF(C107,"Yes","No")</f>
        <v/>
      </c>
      <c r="AT107" s="1277" t="n"/>
      <c r="AU107" s="1277" t="n"/>
    </row>
    <row r="108" ht="15" customHeight="1" s="7635">
      <c r="A108" s="1277" t="n"/>
      <c r="B108" s="7299" t="n"/>
      <c r="C108" s="10990">
        <f>OR(F109&lt;&gt;"",F110&lt;&gt;"",F111&lt;&gt;"",F112&lt;&gt;"")</f>
        <v/>
      </c>
      <c r="F108" s="7299" t="n"/>
      <c r="G108" s="2254" t="inlineStr">
        <is>
          <t>1.</t>
        </is>
      </c>
      <c r="H108" s="7299" t="inlineStr">
        <is>
          <t>You are claiming one or more of the following credits.</t>
        </is>
      </c>
      <c r="I108" s="7299" t="n"/>
      <c r="J108" s="7299" t="n"/>
      <c r="K108" s="7299" t="n"/>
      <c r="L108" s="7299" t="n"/>
      <c r="M108" s="7299" t="n"/>
      <c r="N108" s="7299" t="n"/>
      <c r="O108" s="7299" t="n"/>
      <c r="P108" s="7299" t="n"/>
      <c r="Q108" s="7299" t="n"/>
      <c r="R108" s="7299" t="n"/>
      <c r="S108" s="7299" t="n"/>
      <c r="T108" s="7299" t="n"/>
      <c r="U108" s="7299" t="n"/>
      <c r="V108" s="7299" t="n"/>
      <c r="W108" s="7299" t="n"/>
      <c r="X108" s="7299" t="n"/>
      <c r="Y108" s="7299" t="n"/>
      <c r="Z108" s="7299" t="n"/>
      <c r="AA108" s="7299" t="n"/>
      <c r="AB108" s="7299" t="n"/>
      <c r="AC108" s="7299" t="n"/>
      <c r="AD108" s="7299" t="n"/>
      <c r="AE108" s="7299" t="n"/>
      <c r="AF108" s="7299" t="n"/>
      <c r="AG108" s="7299" t="n"/>
      <c r="AH108" s="7299" t="n"/>
      <c r="AI108" s="7299" t="n"/>
      <c r="AJ108" s="7299" t="n"/>
      <c r="AK108" s="7299" t="n"/>
      <c r="AL108" s="7299" t="n"/>
      <c r="AM108" s="7299" t="n"/>
      <c r="AN108" s="7299" t="n"/>
      <c r="AO108" s="7299" t="n"/>
      <c r="AP108" s="7299" t="n"/>
      <c r="AQ108" s="1277" t="n"/>
      <c r="AR108" s="2255" t="inlineStr">
        <is>
          <t>3.1</t>
        </is>
      </c>
      <c r="AS108" s="2256">
        <f>IF(C108,"Yes","No")</f>
        <v/>
      </c>
      <c r="AT108" s="1277" t="n"/>
      <c r="AU108" s="1277" t="n"/>
    </row>
    <row r="109" ht="12" customHeight="1" s="7635">
      <c r="A109" s="1277" t="n"/>
      <c r="B109" s="7299" t="n"/>
      <c r="C109" s="11052" t="n"/>
      <c r="D109" s="9319" t="n"/>
      <c r="E109" s="9319" t="n"/>
      <c r="F109" s="278" t="n"/>
      <c r="G109" s="2254" t="n"/>
      <c r="H109" s="7299" t="inlineStr">
        <is>
          <t>a.</t>
        </is>
      </c>
      <c r="I109" s="7299" t="inlineStr">
        <is>
          <t>Mortgage interest credit, Form 8396.</t>
        </is>
      </c>
      <c r="J109" s="7299" t="n"/>
      <c r="K109" s="7299" t="n"/>
      <c r="L109" s="7299" t="n"/>
      <c r="M109" s="7299" t="n"/>
      <c r="N109" s="7299" t="n"/>
      <c r="O109" s="7299" t="n"/>
      <c r="P109" s="7299" t="n"/>
      <c r="Q109" s="7299" t="n"/>
      <c r="R109" s="7299" t="n"/>
      <c r="S109" s="7299" t="n"/>
      <c r="T109" s="7299" t="n"/>
      <c r="U109" s="7299" t="n"/>
      <c r="V109" s="7299" t="n"/>
      <c r="W109" s="7299" t="n"/>
      <c r="X109" s="7299" t="n"/>
      <c r="Y109" s="7299" t="n"/>
      <c r="Z109" s="7299" t="n"/>
      <c r="AA109" s="7299" t="n"/>
      <c r="AB109" s="7299" t="n"/>
      <c r="AC109" s="7299" t="n"/>
      <c r="AD109" s="7299" t="n"/>
      <c r="AE109" s="7299" t="n"/>
      <c r="AF109" s="7299" t="n"/>
      <c r="AG109" s="7299" t="n"/>
      <c r="AH109" s="7299" t="n"/>
      <c r="AI109" s="7299" t="n"/>
      <c r="AJ109" s="7299" t="n"/>
      <c r="AK109" s="7299" t="n"/>
      <c r="AL109" s="7299" t="n"/>
      <c r="AM109" s="7299" t="n"/>
      <c r="AN109" s="7299" t="n"/>
      <c r="AO109" s="7299" t="n"/>
      <c r="AP109" s="7299" t="n"/>
      <c r="AQ109" s="1277" t="n"/>
      <c r="AR109" s="1277" t="n"/>
      <c r="AS109" s="1277" t="n"/>
      <c r="AT109" s="1277" t="n"/>
      <c r="AU109" s="1277" t="n"/>
    </row>
    <row r="110" ht="12" customHeight="1" s="7635">
      <c r="A110" s="1277" t="n"/>
      <c r="B110" s="7299" t="n"/>
      <c r="C110" s="11052" t="n"/>
      <c r="D110" s="9319" t="n"/>
      <c r="E110" s="9319" t="n"/>
      <c r="F110" s="278" t="n"/>
      <c r="G110" s="10978" t="n"/>
      <c r="H110" s="2258" t="inlineStr">
        <is>
          <t>b.</t>
        </is>
      </c>
      <c r="I110" s="7299" t="inlineStr">
        <is>
          <t>Adoption credit, Form 8839.</t>
        </is>
      </c>
      <c r="J110" s="7299" t="n"/>
      <c r="K110" s="7299" t="n"/>
      <c r="L110" s="7299" t="n"/>
      <c r="M110" s="7299" t="n"/>
      <c r="N110" s="7299" t="n"/>
      <c r="O110" s="7299" t="n"/>
      <c r="P110" s="7299" t="n"/>
      <c r="Q110" s="7299" t="n"/>
      <c r="R110" s="7299" t="n"/>
      <c r="S110" s="7299" t="n"/>
      <c r="T110" s="7299" t="n"/>
      <c r="U110" s="7299" t="n"/>
      <c r="V110" s="7299" t="n"/>
      <c r="W110" s="7299" t="n"/>
      <c r="X110" s="7299" t="n"/>
      <c r="Y110" s="7299" t="n"/>
      <c r="Z110" s="7299" t="n"/>
      <c r="AA110" s="7299" t="n"/>
      <c r="AB110" s="7299" t="n"/>
      <c r="AC110" s="7299" t="n"/>
      <c r="AD110" s="7299" t="n"/>
      <c r="AE110" s="7299" t="n"/>
      <c r="AF110" s="7299" t="n"/>
      <c r="AG110" s="7299" t="n"/>
      <c r="AH110" s="7299" t="n"/>
      <c r="AI110" s="7299" t="n"/>
      <c r="AJ110" s="7299" t="n"/>
      <c r="AK110" s="7299" t="n"/>
      <c r="AL110" s="7299" t="n"/>
      <c r="AM110" s="7299" t="n"/>
      <c r="AN110" s="7299" t="n"/>
      <c r="AO110" s="7299" t="n"/>
      <c r="AP110" s="7299" t="n"/>
      <c r="AQ110" s="1277" t="n"/>
      <c r="AR110" s="1277" t="n"/>
      <c r="AS110" s="1277" t="n"/>
      <c r="AT110" s="1277" t="n"/>
      <c r="AU110" s="1277" t="n"/>
    </row>
    <row r="111" ht="12" customHeight="1" s="7635">
      <c r="A111" s="1277" t="n"/>
      <c r="B111" s="7299" t="n"/>
      <c r="C111" s="11052" t="n"/>
      <c r="D111" s="9319" t="n"/>
      <c r="E111" s="9319" t="n"/>
      <c r="F111" s="278" t="n"/>
      <c r="G111" s="10978" t="n"/>
      <c r="H111" s="7299" t="inlineStr">
        <is>
          <t>c.</t>
        </is>
      </c>
      <c r="I111" s="7299" t="inlineStr">
        <is>
          <t>Residential energy efficient property credit, Form 5695, Part I.</t>
        </is>
      </c>
      <c r="J111" s="7299" t="n"/>
      <c r="K111" s="7299" t="n"/>
      <c r="L111" s="7299" t="n"/>
      <c r="M111" s="7299" t="n"/>
      <c r="N111" s="7299" t="n"/>
      <c r="O111" s="7299" t="n"/>
      <c r="P111" s="7299" t="n"/>
      <c r="Q111" s="7299" t="n"/>
      <c r="R111" s="7299" t="n"/>
      <c r="S111" s="7299" t="n"/>
      <c r="T111" s="7299" t="n"/>
      <c r="U111" s="7299" t="n"/>
      <c r="V111" s="7299" t="n"/>
      <c r="W111" s="7299" t="n"/>
      <c r="X111" s="7299" t="n"/>
      <c r="Y111" s="7299" t="n"/>
      <c r="Z111" s="7299" t="n"/>
      <c r="AA111" s="7299" t="n"/>
      <c r="AB111" s="7299" t="n"/>
      <c r="AC111" s="7299" t="n"/>
      <c r="AD111" s="7299" t="n"/>
      <c r="AE111" s="7299" t="n"/>
      <c r="AF111" s="7299" t="n"/>
      <c r="AG111" s="7299" t="n"/>
      <c r="AH111" s="7299" t="n"/>
      <c r="AI111" s="7299" t="n"/>
      <c r="AJ111" s="7299" t="n"/>
      <c r="AK111" s="7299" t="n"/>
      <c r="AL111" s="7299" t="n"/>
      <c r="AM111" s="7299" t="n"/>
      <c r="AN111" s="7299" t="n"/>
      <c r="AO111" s="7299" t="n"/>
      <c r="AP111" s="7299" t="n"/>
      <c r="AQ111" s="1277" t="n"/>
      <c r="AR111" s="1277" t="n"/>
      <c r="AS111" s="2259" t="n"/>
      <c r="AT111" s="2260" t="inlineStr">
        <is>
          <t>AND</t>
        </is>
      </c>
      <c r="AU111" s="2260" t="n"/>
    </row>
    <row r="112" ht="12" customHeight="1" s="7635">
      <c r="A112" s="1277" t="n"/>
      <c r="B112" s="7299" t="n"/>
      <c r="C112" s="11052" t="n"/>
      <c r="D112" s="9319" t="n"/>
      <c r="E112" s="9319" t="n"/>
      <c r="F112" s="278" t="n"/>
      <c r="G112" s="7299" t="n"/>
      <c r="H112" s="7299" t="inlineStr">
        <is>
          <t>d.</t>
        </is>
      </c>
      <c r="I112" s="7299" t="inlineStr">
        <is>
          <t>District of Columbia First-time homebuyer credit, Form 8859.</t>
        </is>
      </c>
      <c r="J112" s="7299" t="n"/>
      <c r="K112" s="7299" t="n"/>
      <c r="L112" s="7299" t="n"/>
      <c r="M112" s="7299" t="n"/>
      <c r="N112" s="7299" t="n"/>
      <c r="O112" s="7299" t="n"/>
      <c r="P112" s="7299" t="n"/>
      <c r="Q112" s="7299" t="n"/>
      <c r="R112" s="7299" t="n"/>
      <c r="S112" s="7299" t="n"/>
      <c r="T112" s="7299" t="n"/>
      <c r="U112" s="7299" t="n"/>
      <c r="V112" s="7299" t="n"/>
      <c r="W112" s="7299" t="n"/>
      <c r="X112" s="7299" t="n"/>
      <c r="Y112" s="7299" t="n"/>
      <c r="Z112" s="7299" t="n"/>
      <c r="AA112" s="7299" t="n"/>
      <c r="AB112" s="7299" t="n"/>
      <c r="AC112" s="7299" t="n"/>
      <c r="AD112" s="7299" t="n"/>
      <c r="AE112" s="7299" t="n"/>
      <c r="AF112" s="7299" t="n"/>
      <c r="AG112" s="7299" t="n"/>
      <c r="AH112" s="7299" t="n"/>
      <c r="AI112" s="7299" t="n"/>
      <c r="AJ112" s="7299" t="n"/>
      <c r="AK112" s="7299" t="n"/>
      <c r="AL112" s="7299" t="n"/>
      <c r="AM112" s="7299" t="n"/>
      <c r="AN112" s="7299" t="n"/>
      <c r="AO112" s="7299" t="n"/>
      <c r="AP112" s="7299" t="n"/>
      <c r="AQ112" s="1277" t="n"/>
      <c r="AR112" s="1277" t="n"/>
      <c r="AS112" s="1277" t="n"/>
      <c r="AT112" s="1277" t="n"/>
      <c r="AU112" s="1277" t="n"/>
    </row>
    <row r="113" ht="15" customHeight="1" s="7635">
      <c r="A113" s="1277" t="n"/>
      <c r="B113" s="7299" t="n"/>
      <c r="C113" s="10990">
        <f>NOT(Form2555_Used)</f>
        <v/>
      </c>
      <c r="F113" s="7299" t="n"/>
      <c r="G113" s="2258" t="inlineStr">
        <is>
          <t>2.</t>
        </is>
      </c>
      <c r="H113" s="7299" t="inlineStr">
        <is>
          <t>You are not filing Form 2555.</t>
        </is>
      </c>
      <c r="I113" s="7299" t="n"/>
      <c r="J113" s="7299" t="n"/>
      <c r="K113" s="7299" t="n"/>
      <c r="L113" s="7299" t="n"/>
      <c r="M113" s="7299" t="n"/>
      <c r="N113" s="7299" t="n"/>
      <c r="O113" s="7299" t="n"/>
      <c r="P113" s="7299" t="n"/>
      <c r="Q113" s="7299" t="n"/>
      <c r="R113" s="7299" t="n"/>
      <c r="S113" s="7299" t="n"/>
      <c r="T113" s="7299" t="n"/>
      <c r="U113" s="7299" t="n"/>
      <c r="V113" s="7299" t="n"/>
      <c r="W113" s="7299" t="n"/>
      <c r="X113" s="7299" t="n"/>
      <c r="Y113" s="7299" t="n"/>
      <c r="Z113" s="7299" t="n"/>
      <c r="AA113" s="7299" t="n"/>
      <c r="AB113" s="7299" t="n"/>
      <c r="AC113" s="7299" t="n"/>
      <c r="AD113" s="7299" t="n"/>
      <c r="AE113" s="7299" t="n"/>
      <c r="AF113" s="7299" t="n"/>
      <c r="AG113" s="7299" t="n"/>
      <c r="AH113" s="7299" t="n"/>
      <c r="AI113" s="7299" t="n"/>
      <c r="AJ113" s="7299" t="n"/>
      <c r="AK113" s="7299" t="n"/>
      <c r="AL113" s="7299" t="n"/>
      <c r="AM113" s="7299" t="n"/>
      <c r="AN113" s="7299" t="n"/>
      <c r="AO113" s="7299" t="n"/>
      <c r="AP113" s="7299" t="n"/>
      <c r="AQ113" s="1277" t="n"/>
      <c r="AR113" s="2255" t="inlineStr">
        <is>
          <t>3.2</t>
        </is>
      </c>
      <c r="AS113" s="2256">
        <f>IF(C113,"Yes","No")</f>
        <v/>
      </c>
      <c r="AT113" s="1277" t="n"/>
      <c r="AU113" s="1277" t="n"/>
    </row>
    <row r="114" ht="15" customHeight="1" s="7635">
      <c r="A114" s="1277" t="n"/>
      <c r="B114" s="7299" t="n"/>
      <c r="C114" s="10990">
        <f>(Qual_Childen_Under_17&gt;0)</f>
        <v/>
      </c>
      <c r="F114" s="7299" t="n"/>
      <c r="G114" s="2258" t="inlineStr">
        <is>
          <t>3.</t>
        </is>
      </c>
      <c r="H114" s="7299" t="inlineStr">
        <is>
          <t>Line 4 of Schedule 8812 is more than zero.</t>
        </is>
      </c>
      <c r="I114" s="7299" t="n"/>
      <c r="J114" s="7299" t="n"/>
      <c r="K114" s="7299" t="n"/>
      <c r="L114" s="7299" t="n"/>
      <c r="M114" s="7299" t="n"/>
      <c r="N114" s="7299" t="n"/>
      <c r="O114" s="7299" t="n"/>
      <c r="P114" s="7299" t="n"/>
      <c r="Q114" s="7299" t="n"/>
      <c r="R114" s="7299" t="n"/>
      <c r="S114" s="7299" t="n"/>
      <c r="T114" s="7299" t="n"/>
      <c r="U114" s="7299" t="n"/>
      <c r="V114" s="7299" t="n"/>
      <c r="W114" s="7299" t="n"/>
      <c r="X114" s="7299" t="n"/>
      <c r="Y114" s="7299" t="n"/>
      <c r="Z114" s="7299" t="n"/>
      <c r="AA114" s="7299" t="n"/>
      <c r="AB114" s="7299" t="n"/>
      <c r="AC114" s="7299" t="n"/>
      <c r="AD114" s="7299" t="n"/>
      <c r="AE114" s="7299" t="n"/>
      <c r="AF114" s="7299" t="n"/>
      <c r="AG114" s="7299" t="n"/>
      <c r="AH114" s="7299" t="n"/>
      <c r="AI114" s="7299" t="n"/>
      <c r="AJ114" s="7299" t="n"/>
      <c r="AK114" s="7299" t="n"/>
      <c r="AL114" s="7299" t="n"/>
      <c r="AM114" s="7299" t="n"/>
      <c r="AN114" s="7299" t="n"/>
      <c r="AO114" s="7299" t="n"/>
      <c r="AP114" s="7299" t="n"/>
      <c r="AQ114" s="1277" t="n"/>
      <c r="AR114" s="2255" t="inlineStr">
        <is>
          <t>3.3</t>
        </is>
      </c>
      <c r="AS114" s="2256">
        <f>IF(C114,"Yes","No")</f>
        <v/>
      </c>
      <c r="AT114" s="1277" t="n"/>
      <c r="AU114" s="1277" t="n"/>
    </row>
    <row r="115" ht="6.75" customHeight="1" s="7635">
      <c r="A115" s="1277" t="n"/>
      <c r="B115" s="7299" t="n"/>
      <c r="C115" s="10990" t="n"/>
      <c r="D115" s="10990" t="n"/>
      <c r="E115" s="10990" t="n"/>
      <c r="F115" s="7299" t="n"/>
      <c r="G115" s="2258" t="n"/>
      <c r="H115" s="7299" t="n"/>
      <c r="I115" s="7299" t="n"/>
      <c r="J115" s="7299" t="n"/>
      <c r="K115" s="7299" t="n"/>
      <c r="L115" s="7299" t="n"/>
      <c r="M115" s="7299" t="n"/>
      <c r="N115" s="7299" t="n"/>
      <c r="O115" s="7299" t="n"/>
      <c r="P115" s="7299" t="n"/>
      <c r="Q115" s="7299" t="n"/>
      <c r="R115" s="7299" t="n"/>
      <c r="S115" s="7299" t="n"/>
      <c r="T115" s="7299" t="n"/>
      <c r="U115" s="7299" t="n"/>
      <c r="V115" s="7299" t="n"/>
      <c r="W115" s="7299" t="n"/>
      <c r="X115" s="7299" t="n"/>
      <c r="Y115" s="7299" t="n"/>
      <c r="Z115" s="7299" t="n"/>
      <c r="AA115" s="7299" t="n"/>
      <c r="AB115" s="7299" t="n"/>
      <c r="AC115" s="7299" t="n"/>
      <c r="AD115" s="7299" t="n"/>
      <c r="AE115" s="7299" t="n"/>
      <c r="AF115" s="7299" t="n"/>
      <c r="AG115" s="7299" t="n"/>
      <c r="AH115" s="7299" t="n"/>
      <c r="AI115" s="7299" t="n"/>
      <c r="AJ115" s="7299" t="n"/>
      <c r="AK115" s="7299" t="n"/>
      <c r="AL115" s="7299" t="n"/>
      <c r="AM115" s="7299" t="n"/>
      <c r="AN115" s="7299" t="n"/>
      <c r="AO115" s="7299" t="n"/>
      <c r="AP115" s="7299" t="n"/>
      <c r="AQ115" s="1277" t="n"/>
      <c r="AR115" s="2255" t="n"/>
      <c r="AS115" s="2256" t="n"/>
      <c r="AT115" s="1277" t="n"/>
      <c r="AU115" s="1277" t="n"/>
    </row>
    <row r="116" ht="16.5" customHeight="1" s="7635">
      <c r="A116" s="1277" t="n"/>
      <c r="B116" s="7299" t="n"/>
      <c r="C116" s="10990" t="n"/>
      <c r="D116" s="10990" t="n"/>
      <c r="E116" s="10990" t="n"/>
      <c r="F116" s="1400" t="inlineStr">
        <is>
          <t>4.</t>
        </is>
      </c>
      <c r="G116" s="7299" t="inlineStr">
        <is>
          <t>If you are not completing Credit Limit Worksheet B, enter -0-; otherwise, enter the amount</t>
        </is>
      </c>
      <c r="H116" s="7299" t="n"/>
      <c r="I116" s="7299" t="n"/>
      <c r="J116" s="7299" t="n"/>
      <c r="K116" s="7299" t="n"/>
      <c r="L116" s="7299" t="n"/>
      <c r="M116" s="7299" t="n"/>
      <c r="N116" s="7299" t="n"/>
      <c r="O116" s="7299" t="n"/>
      <c r="P116" s="7299" t="n"/>
      <c r="Q116" s="7299" t="n"/>
      <c r="R116" s="7299" t="n"/>
      <c r="S116" s="7299" t="n"/>
      <c r="T116" s="7299" t="n"/>
      <c r="U116" s="7299" t="n"/>
      <c r="V116" s="7299" t="n"/>
      <c r="W116" s="7299" t="n"/>
      <c r="X116" s="7299" t="n"/>
      <c r="Y116" s="7299" t="n"/>
      <c r="Z116" s="7299" t="n"/>
      <c r="AA116" s="7299" t="n"/>
      <c r="AB116" s="7299" t="n"/>
      <c r="AC116" s="7299" t="n"/>
      <c r="AD116" s="7299" t="n"/>
      <c r="AE116" s="7299" t="n"/>
      <c r="AF116" s="7299" t="n"/>
      <c r="AG116" s="7299" t="n"/>
      <c r="AH116" s="7299" t="n"/>
      <c r="AI116" s="7299" t="n"/>
      <c r="AJ116" s="10946" t="inlineStr">
        <is>
          <t>4.</t>
        </is>
      </c>
      <c r="AK116" s="12708">
        <f>IF(NOT(C107),0,CredLimitWS_Line15)</f>
        <v/>
      </c>
      <c r="AL116" s="7839" t="n"/>
      <c r="AM116" s="7839" t="n"/>
      <c r="AN116" s="7839" t="n"/>
      <c r="AO116" s="10091" t="n"/>
      <c r="AP116" s="7299" t="n"/>
      <c r="AQ116" s="1277" t="n"/>
      <c r="AR116" s="2255" t="n"/>
      <c r="AS116" s="2256" t="n"/>
      <c r="AT116" s="1277" t="n"/>
      <c r="AU116" s="1277" t="n"/>
    </row>
    <row r="117" ht="16.5" customHeight="1" s="7635">
      <c r="A117" s="1277" t="n"/>
      <c r="B117" s="7299" t="n"/>
      <c r="C117" s="10990" t="n"/>
      <c r="D117" s="10990" t="n"/>
      <c r="E117" s="10990" t="n"/>
      <c r="F117" s="7299" t="n"/>
      <c r="G117" s="2261" t="inlineStr">
        <is>
          <t>from the Credit Limit Worksheet B.</t>
        </is>
      </c>
      <c r="H117" s="7299" t="n"/>
      <c r="I117" s="7299" t="n"/>
      <c r="J117" s="7299" t="n"/>
      <c r="K117" s="7299" t="n"/>
      <c r="L117" s="7299" t="n"/>
      <c r="M117" s="7299" t="n"/>
      <c r="N117" s="7299" t="n"/>
      <c r="O117" s="7299" t="n"/>
      <c r="P117" s="7299" t="n"/>
      <c r="Q117" s="7299" t="n"/>
      <c r="R117" s="7299" t="n"/>
      <c r="S117" s="7299" t="n"/>
      <c r="T117" s="7299" t="n"/>
      <c r="U117" s="7299" t="n"/>
      <c r="V117" s="7299" t="n"/>
      <c r="W117" s="7299" t="n"/>
      <c r="X117" s="7299" t="n"/>
      <c r="Y117" s="7299" t="n"/>
      <c r="Z117" s="7299" t="n"/>
      <c r="AA117" s="7299" t="n"/>
      <c r="AB117" s="7299" t="n"/>
      <c r="AC117" s="7299" t="n"/>
      <c r="AD117" s="7299" t="n"/>
      <c r="AE117" s="7299" t="n"/>
      <c r="AF117" s="7299" t="n"/>
      <c r="AG117" s="7299" t="n"/>
      <c r="AH117" s="7299" t="n"/>
      <c r="AI117" s="6143" t="inlineStr">
        <is>
          <t xml:space="preserve">.   .   .   .   .   .   .   .   .   .   .   .   .   .   .   .   .   .   .   .   .   .   .   .   .   .   .   </t>
        </is>
      </c>
      <c r="AK117" s="7637" t="n"/>
      <c r="AL117" s="7637" t="n"/>
      <c r="AM117" s="7637" t="n"/>
      <c r="AN117" s="7637" t="n"/>
      <c r="AO117" s="7638" t="n"/>
      <c r="AP117" s="7299" t="n"/>
      <c r="AQ117" s="1277" t="n"/>
      <c r="AR117" s="2255" t="n"/>
      <c r="AS117" s="2256" t="n"/>
      <c r="AT117" s="1277" t="n"/>
      <c r="AU117" s="1277" t="n"/>
    </row>
    <row r="118" ht="15" customHeight="1" s="7635">
      <c r="A118" s="1277" t="n"/>
      <c r="B118" s="7299" t="n"/>
      <c r="C118" s="10990" t="n"/>
      <c r="D118" s="10990" t="n"/>
      <c r="E118" s="10990" t="n"/>
      <c r="F118" s="7299" t="n"/>
      <c r="G118" s="2258" t="n"/>
      <c r="H118" s="7299" t="n"/>
      <c r="I118" s="7299" t="n"/>
      <c r="J118" s="7299" t="n"/>
      <c r="K118" s="7299" t="n"/>
      <c r="L118" s="7299" t="n"/>
      <c r="M118" s="7299" t="n"/>
      <c r="N118" s="7299" t="n"/>
      <c r="O118" s="7299" t="n"/>
      <c r="P118" s="7299" t="n"/>
      <c r="Q118" s="7299" t="n"/>
      <c r="R118" s="7299" t="n"/>
      <c r="S118" s="7299" t="n"/>
      <c r="T118" s="7299" t="n"/>
      <c r="U118" s="7299" t="n"/>
      <c r="V118" s="7299" t="n"/>
      <c r="W118" s="7299" t="n"/>
      <c r="X118" s="7299" t="n"/>
      <c r="Y118" s="7299" t="n"/>
      <c r="Z118" s="7299" t="n"/>
      <c r="AA118" s="7299" t="n"/>
      <c r="AB118" s="7299" t="n"/>
      <c r="AC118" s="7299" t="n"/>
      <c r="AD118" s="7299" t="n"/>
      <c r="AE118" s="7299" t="n"/>
      <c r="AF118" s="7299" t="n"/>
      <c r="AG118" s="7299" t="n"/>
      <c r="AH118" s="7299" t="n"/>
      <c r="AI118" s="7299" t="n"/>
      <c r="AJ118" s="7299" t="n"/>
      <c r="AK118" s="7299" t="n"/>
      <c r="AL118" s="7299" t="n"/>
      <c r="AM118" s="7299" t="n"/>
      <c r="AN118" s="7299" t="n"/>
      <c r="AO118" s="7299" t="n"/>
      <c r="AP118" s="7299" t="n"/>
      <c r="AQ118" s="1277" t="n"/>
      <c r="AR118" s="2255" t="n"/>
      <c r="AS118" s="2256" t="n"/>
      <c r="AT118" s="1277" t="n"/>
      <c r="AU118" s="1277" t="n"/>
    </row>
    <row r="119" ht="15" customHeight="1" s="7635">
      <c r="A119" s="1277" t="n"/>
      <c r="B119" s="7299" t="n"/>
      <c r="C119" s="10990" t="n"/>
      <c r="D119" s="10990" t="n"/>
      <c r="E119" s="10990" t="n"/>
      <c r="F119" s="1400" t="inlineStr">
        <is>
          <t>5.</t>
        </is>
      </c>
      <c r="G119" s="7299" t="inlineStr">
        <is>
          <t xml:space="preserve">Subtract line 4 from line 3. Enter here and on Schedule 8812, line 13. </t>
        </is>
      </c>
      <c r="H119" s="7299" t="n"/>
      <c r="I119" s="7299" t="n"/>
      <c r="J119" s="7299" t="n"/>
      <c r="K119" s="7299" t="n"/>
      <c r="L119" s="7299" t="n"/>
      <c r="M119" s="7299" t="n"/>
      <c r="N119" s="7299" t="n"/>
      <c r="O119" s="7299" t="n"/>
      <c r="P119" s="7299" t="n"/>
      <c r="Q119" s="7299" t="n"/>
      <c r="R119" s="7299" t="n"/>
      <c r="S119" s="7299" t="n"/>
      <c r="T119" s="7299" t="n"/>
      <c r="U119" s="7299" t="n"/>
      <c r="V119" s="7299" t="n"/>
      <c r="W119" s="7299" t="n"/>
      <c r="X119" s="7299" t="n"/>
      <c r="Y119" s="7299" t="n"/>
      <c r="Z119" s="7299" t="n"/>
      <c r="AA119" s="7299" t="n"/>
      <c r="AB119" s="7299" t="n"/>
      <c r="AC119" s="7299" t="n"/>
      <c r="AD119" s="7299" t="n"/>
      <c r="AE119" s="7299" t="n"/>
      <c r="AF119" s="7299" t="n"/>
      <c r="AG119" s="7299" t="n"/>
      <c r="AH119" s="7299" t="n"/>
      <c r="AI119" s="1989" t="inlineStr">
        <is>
          <t xml:space="preserve">.   .   .   .   .   .   .   .   .   .   .   .   .   .   .   </t>
        </is>
      </c>
      <c r="AJ119" s="10946" t="inlineStr">
        <is>
          <t>5.</t>
        </is>
      </c>
      <c r="AK119" s="12708">
        <f>SUM(AK106,-AK116)</f>
        <v/>
      </c>
      <c r="AL119" s="7839" t="n"/>
      <c r="AM119" s="7839" t="n"/>
      <c r="AN119" s="7839" t="n"/>
      <c r="AO119" s="10091" t="n"/>
      <c r="AP119" s="7299" t="n"/>
      <c r="AQ119" s="1277" t="n"/>
      <c r="AR119" s="2255" t="n"/>
      <c r="AS119" s="2256" t="n"/>
      <c r="AT119" s="1277" t="n"/>
      <c r="AU119" s="1277" t="n"/>
    </row>
    <row r="120" ht="15" customHeight="1" s="7635">
      <c r="A120" s="1277" t="n"/>
      <c r="B120" s="7299" t="n"/>
      <c r="C120" s="10990" t="n"/>
      <c r="D120" s="10990" t="n"/>
      <c r="E120" s="10990" t="n"/>
      <c r="F120" s="7299" t="n"/>
      <c r="G120" s="2258" t="n"/>
      <c r="H120" s="7299" t="n"/>
      <c r="I120" s="7299" t="n"/>
      <c r="J120" s="7299" t="n"/>
      <c r="K120" s="7299" t="n"/>
      <c r="L120" s="7299" t="n"/>
      <c r="M120" s="7299" t="n"/>
      <c r="N120" s="7299" t="n"/>
      <c r="O120" s="7299" t="n"/>
      <c r="P120" s="7299" t="n"/>
      <c r="Q120" s="7299" t="n"/>
      <c r="R120" s="7299" t="n"/>
      <c r="S120" s="7299" t="n"/>
      <c r="T120" s="7299" t="n"/>
      <c r="U120" s="7299" t="n"/>
      <c r="V120" s="7299" t="n"/>
      <c r="W120" s="7299" t="n"/>
      <c r="X120" s="7299" t="n"/>
      <c r="Y120" s="7299" t="n"/>
      <c r="Z120" s="7299" t="n"/>
      <c r="AA120" s="7299" t="n"/>
      <c r="AB120" s="7299" t="n"/>
      <c r="AC120" s="7299" t="n"/>
      <c r="AD120" s="7299" t="n"/>
      <c r="AE120" s="7299" t="n"/>
      <c r="AF120" s="7299" t="n"/>
      <c r="AG120" s="7299" t="n"/>
      <c r="AH120" s="7299" t="n"/>
      <c r="AI120" s="7299" t="n"/>
      <c r="AK120" s="7637" t="n"/>
      <c r="AL120" s="7637" t="n"/>
      <c r="AM120" s="7637" t="n"/>
      <c r="AN120" s="7637" t="n"/>
      <c r="AO120" s="7638" t="n"/>
      <c r="AP120" s="7299" t="n"/>
      <c r="AQ120" s="1277" t="n"/>
      <c r="AR120" s="2255" t="n"/>
      <c r="AS120" s="2256" t="n"/>
      <c r="AT120" s="1277" t="n"/>
      <c r="AU120" s="1277" t="n"/>
    </row>
    <row r="121" ht="12" customHeight="1" s="7635" thickBot="1">
      <c r="A121" s="1277" t="n"/>
      <c r="B121" s="7299" t="n"/>
      <c r="C121" s="2262" t="n"/>
      <c r="D121" s="2247" t="n"/>
      <c r="E121" s="2247" t="n"/>
      <c r="F121" s="2247" t="n"/>
      <c r="G121" s="2247" t="n"/>
      <c r="H121" s="2247" t="n"/>
      <c r="I121" s="2247" t="n"/>
      <c r="J121" s="2247" t="n"/>
      <c r="K121" s="2247" t="n"/>
      <c r="L121" s="2247" t="n"/>
      <c r="M121" s="2247" t="n"/>
      <c r="N121" s="2247" t="n"/>
      <c r="O121" s="2247" t="n"/>
      <c r="P121" s="2247" t="n"/>
      <c r="Q121" s="2247" t="n"/>
      <c r="R121" s="2247" t="n"/>
      <c r="S121" s="2247" t="n"/>
      <c r="T121" s="2247" t="n"/>
      <c r="U121" s="2247" t="n"/>
      <c r="V121" s="2247" t="n"/>
      <c r="W121" s="2247" t="n"/>
      <c r="X121" s="2247" t="n"/>
      <c r="Y121" s="2247" t="n"/>
      <c r="Z121" s="2247" t="n"/>
      <c r="AA121" s="2247" t="n"/>
      <c r="AB121" s="2247" t="n"/>
      <c r="AC121" s="2247" t="n"/>
      <c r="AD121" s="2247" t="n"/>
      <c r="AE121" s="2247" t="n"/>
      <c r="AF121" s="2247" t="n"/>
      <c r="AG121" s="2247" t="n"/>
      <c r="AH121" s="2247" t="n"/>
      <c r="AI121" s="2247" t="n"/>
      <c r="AJ121" s="2247" t="n"/>
      <c r="AK121" s="2247" t="n"/>
      <c r="AL121" s="2247" t="n"/>
      <c r="AM121" s="2247" t="n"/>
      <c r="AN121" s="2247" t="n"/>
      <c r="AO121" s="2247" t="n"/>
      <c r="AP121" s="7299" t="n"/>
      <c r="AQ121" s="1277" t="n"/>
      <c r="AR121" s="1277" t="n"/>
      <c r="AS121" s="1277" t="n"/>
      <c r="AT121" s="1277" t="n"/>
      <c r="AU121" s="1277" t="n"/>
    </row>
    <row r="122" ht="6.75" customHeight="1" s="7635" thickTop="1">
      <c r="A122" s="1277" t="n"/>
      <c r="B122" s="7299" t="n"/>
      <c r="C122" s="2263" t="n"/>
      <c r="D122" s="2263" t="n"/>
      <c r="E122" s="2263" t="n"/>
      <c r="F122" s="2263" t="n"/>
      <c r="G122" s="2263" t="n"/>
      <c r="H122" s="2263" t="n"/>
      <c r="I122" s="2263" t="n"/>
      <c r="J122" s="2263" t="n"/>
      <c r="K122" s="2263" t="n"/>
      <c r="L122" s="2263" t="n"/>
      <c r="M122" s="2263" t="n"/>
      <c r="N122" s="2263" t="n"/>
      <c r="O122" s="2263" t="n"/>
      <c r="P122" s="2263" t="n"/>
      <c r="Q122" s="2263" t="n"/>
      <c r="R122" s="2263" t="n"/>
      <c r="S122" s="2263" t="n"/>
      <c r="T122" s="2263" t="n"/>
      <c r="U122" s="2263" t="n"/>
      <c r="V122" s="2263" t="n"/>
      <c r="W122" s="2263" t="n"/>
      <c r="X122" s="2263" t="n"/>
      <c r="Y122" s="2263" t="n"/>
      <c r="Z122" s="2263" t="n"/>
      <c r="AA122" s="2263" t="n"/>
      <c r="AB122" s="2263" t="n"/>
      <c r="AC122" s="2263" t="n"/>
      <c r="AD122" s="2263" t="n"/>
      <c r="AE122" s="2263" t="n"/>
      <c r="AF122" s="2263" t="n"/>
      <c r="AG122" s="2263" t="n"/>
      <c r="AH122" s="2263" t="n"/>
      <c r="AI122" s="2263" t="n"/>
      <c r="AJ122" s="2263" t="n"/>
      <c r="AK122" s="2263" t="n"/>
      <c r="AL122" s="2263" t="n"/>
      <c r="AM122" s="2263" t="n"/>
      <c r="AN122" s="2263" t="n"/>
      <c r="AO122" s="2263" t="n"/>
      <c r="AP122" s="7299" t="n"/>
      <c r="AQ122" s="1277" t="n"/>
      <c r="AR122" s="1277" t="n"/>
      <c r="AS122" s="1277" t="n"/>
      <c r="AT122" s="1277" t="n"/>
      <c r="AU122" s="1277" t="n"/>
    </row>
    <row r="123" ht="14.25" customHeight="1" s="7635">
      <c r="A123" s="1277" t="n"/>
      <c r="B123" s="7299" t="n"/>
      <c r="C123" s="7299" t="n"/>
      <c r="D123" s="7299" t="n"/>
      <c r="E123" s="7299" t="n"/>
      <c r="F123" s="7299" t="n"/>
      <c r="G123" s="7299" t="n"/>
      <c r="H123" s="7299" t="n"/>
      <c r="I123" s="7299" t="n"/>
      <c r="J123" s="7299" t="n"/>
      <c r="K123" s="7299" t="n"/>
      <c r="L123" s="7299" t="n"/>
      <c r="M123" s="7299" t="n"/>
      <c r="N123" s="7299" t="n"/>
      <c r="O123" s="7299" t="n"/>
      <c r="P123" s="7299" t="n"/>
      <c r="Q123" s="7299" t="n"/>
      <c r="R123" s="7299" t="n"/>
      <c r="S123" s="7299" t="n"/>
      <c r="T123" s="7299" t="n"/>
      <c r="U123" s="7299" t="n"/>
      <c r="V123" s="7299" t="n"/>
      <c r="W123" s="7299" t="n"/>
      <c r="X123" s="7299" t="n"/>
      <c r="Y123" s="7299" t="n"/>
      <c r="Z123" s="7299" t="n"/>
      <c r="AA123" s="7299" t="n"/>
      <c r="AB123" s="7299" t="n"/>
      <c r="AC123" s="7299" t="n"/>
      <c r="AD123" s="7299" t="n"/>
      <c r="AE123" s="7299" t="n"/>
      <c r="AF123" s="7299" t="n"/>
      <c r="AG123" s="7299" t="n"/>
      <c r="AH123" s="7299" t="n"/>
      <c r="AI123" s="7299" t="n"/>
      <c r="AJ123" s="7299" t="n"/>
      <c r="AK123" s="7299" t="n"/>
      <c r="AL123" s="7299" t="n"/>
      <c r="AM123" s="7299" t="n"/>
      <c r="AN123" s="7299" t="n"/>
      <c r="AO123" s="7299" t="n"/>
      <c r="AP123" s="7299" t="n"/>
      <c r="AQ123" s="1277" t="n"/>
      <c r="AR123" s="1277" t="n"/>
      <c r="AS123" s="1277" t="n"/>
      <c r="AT123" s="1277" t="n"/>
      <c r="AU123" s="1277" t="n"/>
    </row>
    <row r="124" ht="12" customHeight="1" s="7635">
      <c r="A124" s="1277" t="n"/>
      <c r="B124" s="7299" t="n"/>
      <c r="C124" s="7299" t="n"/>
      <c r="D124" s="7299" t="n"/>
      <c r="E124" s="7299" t="n"/>
      <c r="F124" s="7299" t="n"/>
      <c r="G124" s="7299" t="n"/>
      <c r="H124" s="7299" t="n"/>
      <c r="I124" s="7299" t="n"/>
      <c r="J124" s="7299" t="n"/>
      <c r="K124" s="7299" t="n"/>
      <c r="L124" s="7299" t="n"/>
      <c r="M124" s="7299" t="n"/>
      <c r="N124" s="7299" t="n"/>
      <c r="O124" s="7299" t="n"/>
      <c r="P124" s="7299" t="n"/>
      <c r="Q124" s="7299" t="n"/>
      <c r="R124" s="7299" t="n"/>
      <c r="S124" s="7299" t="n"/>
      <c r="T124" s="7299" t="n"/>
      <c r="U124" s="7299" t="n"/>
      <c r="V124" s="2264" t="inlineStr">
        <is>
          <t>- 4 -</t>
        </is>
      </c>
      <c r="W124" s="7299" t="n"/>
      <c r="X124" s="7299" t="n"/>
      <c r="Y124" s="7299" t="n"/>
      <c r="Z124" s="7299" t="n"/>
      <c r="AA124" s="7299" t="n"/>
      <c r="AB124" s="7299" t="n"/>
      <c r="AC124" s="7299" t="n"/>
      <c r="AD124" s="7299" t="n"/>
      <c r="AE124" s="7299" t="n"/>
      <c r="AF124" s="7299" t="n"/>
      <c r="AG124" s="7299" t="n"/>
      <c r="AH124" s="7299" t="n"/>
      <c r="AI124" s="7299" t="n"/>
      <c r="AJ124" s="7299" t="n"/>
      <c r="AK124" s="7299" t="n"/>
      <c r="AL124" s="6144" t="n"/>
      <c r="AM124" s="7299" t="n"/>
      <c r="AN124" s="7299" t="n"/>
      <c r="AO124" s="7299" t="n"/>
      <c r="AP124" s="7299" t="n"/>
      <c r="AQ124" s="1277" t="n"/>
      <c r="AR124" s="1277" t="n"/>
      <c r="AS124" s="1277" t="n"/>
      <c r="AT124" s="1277" t="n"/>
      <c r="AU124" s="1277" t="n"/>
    </row>
    <row r="125" ht="21.75" customHeight="1" s="7635" thickBot="1">
      <c r="A125" s="1277" t="n"/>
      <c r="B125" s="7299" t="n"/>
      <c r="C125" s="2265" t="inlineStr">
        <is>
          <t>Credit Limit Worksheet B</t>
        </is>
      </c>
      <c r="D125" s="2266" t="n"/>
      <c r="E125" s="2266" t="n"/>
      <c r="F125" s="2266" t="n"/>
      <c r="G125" s="2266" t="n"/>
      <c r="H125" s="2266" t="n"/>
      <c r="I125" s="2266" t="n"/>
      <c r="J125" s="2266" t="n"/>
      <c r="K125" s="2266" t="n"/>
      <c r="L125" s="2266" t="n"/>
      <c r="M125" s="2266" t="n"/>
      <c r="N125" s="2266" t="n"/>
      <c r="O125" s="2266" t="n"/>
      <c r="P125" s="2266" t="n"/>
      <c r="Q125" s="2266" t="n"/>
      <c r="R125" s="2266" t="n"/>
      <c r="S125" s="2266" t="n"/>
      <c r="T125" s="2266" t="n"/>
      <c r="U125" s="2266" t="n"/>
      <c r="V125" s="2266" t="n"/>
      <c r="W125" s="2266" t="n"/>
      <c r="X125" s="2266" t="n"/>
      <c r="Y125" s="2266" t="n"/>
      <c r="Z125" s="2266" t="n"/>
      <c r="AA125" s="2266" t="n"/>
      <c r="AB125" s="2266" t="n"/>
      <c r="AC125" s="2266" t="n"/>
      <c r="AD125" s="2266" t="n"/>
      <c r="AE125" s="2266" t="n"/>
      <c r="AF125" s="2266" t="n"/>
      <c r="AG125" s="2266" t="n"/>
      <c r="AH125" s="2266" t="n"/>
      <c r="AI125" s="2266" t="n"/>
      <c r="AJ125" s="2266" t="n"/>
      <c r="AK125" s="2266" t="n"/>
      <c r="AL125" s="6145" t="inlineStr">
        <is>
          <t>Keep for Your Records</t>
        </is>
      </c>
      <c r="AM125" s="2266" t="n"/>
      <c r="AN125" s="2266" t="n"/>
      <c r="AO125" s="2266" t="n"/>
      <c r="AP125" s="7299" t="n"/>
      <c r="AQ125" s="1277" t="n"/>
      <c r="AR125" s="1277" t="n"/>
      <c r="AS125" s="1277" t="n"/>
      <c r="AT125" s="1277" t="n"/>
      <c r="AU125" s="1277" t="n"/>
    </row>
    <row r="126" ht="12" customHeight="1" s="7635">
      <c r="A126" s="1277" t="n"/>
      <c r="B126" s="7299" t="n"/>
      <c r="C126" s="2267" t="n"/>
      <c r="D126" s="2267" t="n"/>
      <c r="E126" s="2267" t="n"/>
      <c r="F126" s="2267" t="n"/>
      <c r="G126" s="2267" t="n"/>
      <c r="H126" s="2267" t="n"/>
      <c r="I126" s="2267" t="n"/>
      <c r="J126" s="2267" t="n"/>
      <c r="K126" s="2267" t="n"/>
      <c r="L126" s="2267" t="n"/>
      <c r="M126" s="2267" t="n"/>
      <c r="N126" s="2267" t="n"/>
      <c r="O126" s="2267" t="n"/>
      <c r="P126" s="2267" t="n"/>
      <c r="Q126" s="2267" t="n"/>
      <c r="R126" s="2267" t="n"/>
      <c r="S126" s="2267" t="n"/>
      <c r="T126" s="2267" t="n"/>
      <c r="U126" s="2267" t="n"/>
      <c r="V126" s="2267" t="n"/>
      <c r="W126" s="2267" t="n"/>
      <c r="X126" s="2267" t="n"/>
      <c r="Y126" s="2267" t="n"/>
      <c r="Z126" s="2267" t="n"/>
      <c r="AA126" s="2267" t="n"/>
      <c r="AB126" s="2267" t="n"/>
      <c r="AC126" s="2267" t="n"/>
      <c r="AD126" s="2267" t="n"/>
      <c r="AE126" s="2267" t="n"/>
      <c r="AF126" s="2267" t="n"/>
      <c r="AG126" s="2267" t="n"/>
      <c r="AH126" s="2267" t="n"/>
      <c r="AI126" s="2267" t="n"/>
      <c r="AJ126" s="2267" t="n"/>
      <c r="AK126" s="2267" t="n"/>
      <c r="AL126" s="2267" t="n"/>
      <c r="AM126" s="2267" t="n"/>
      <c r="AN126" s="2267" t="n"/>
      <c r="AO126" s="2267" t="n"/>
      <c r="AP126" s="7299" t="n"/>
      <c r="AQ126" s="1277" t="n"/>
      <c r="AR126" s="1277" t="n"/>
      <c r="AS126" s="1277" t="n"/>
      <c r="AT126" s="1277" t="n"/>
      <c r="AU126" s="1277" t="n"/>
    </row>
    <row r="127" ht="6" customHeight="1" s="7635">
      <c r="A127" s="1277" t="n"/>
      <c r="B127" s="7299" t="n"/>
      <c r="C127" s="7299" t="n"/>
      <c r="D127" s="7299" t="n"/>
      <c r="E127" s="7299" t="n"/>
      <c r="F127" s="7299" t="n"/>
      <c r="G127" s="7299" t="n"/>
      <c r="H127" s="7299" t="n"/>
      <c r="I127" s="7299" t="n"/>
      <c r="J127" s="7299" t="n"/>
      <c r="K127" s="7299" t="n"/>
      <c r="L127" s="7299" t="n"/>
      <c r="M127" s="7299" t="n"/>
      <c r="N127" s="7299" t="n"/>
      <c r="O127" s="7299" t="n"/>
      <c r="P127" s="7299" t="n"/>
      <c r="Q127" s="7299" t="n"/>
      <c r="R127" s="7299" t="n"/>
      <c r="S127" s="7299" t="n"/>
      <c r="T127" s="7299" t="n"/>
      <c r="U127" s="7299" t="n"/>
      <c r="V127" s="7299" t="n"/>
      <c r="W127" s="7299" t="n"/>
      <c r="X127" s="7299" t="n"/>
      <c r="Y127" s="7299" t="n"/>
      <c r="Z127" s="7299" t="n"/>
      <c r="AA127" s="7299" t="n"/>
      <c r="AB127" s="7299" t="n"/>
      <c r="AC127" s="7299" t="n"/>
      <c r="AD127" s="7299" t="n"/>
      <c r="AE127" s="7299" t="n"/>
      <c r="AF127" s="7299" t="n"/>
      <c r="AG127" s="7299" t="n"/>
      <c r="AH127" s="7299" t="n"/>
      <c r="AI127" s="7299" t="n"/>
      <c r="AJ127" s="7299" t="n"/>
      <c r="AK127" s="7299" t="n"/>
      <c r="AL127" s="7299" t="n"/>
      <c r="AM127" s="7299" t="n"/>
      <c r="AN127" s="7299" t="n"/>
      <c r="AO127" s="7299" t="n"/>
      <c r="AP127" s="7299" t="n"/>
      <c r="AQ127" s="1277" t="n"/>
      <c r="AR127" s="1277" t="n"/>
      <c r="AS127" s="1277" t="n"/>
      <c r="AT127" s="1277" t="n"/>
      <c r="AU127" s="1277" t="n"/>
    </row>
    <row r="128" ht="12.75" customHeight="1" s="7635">
      <c r="A128" s="1277" t="n"/>
      <c r="B128" s="7299" t="n"/>
      <c r="C128" s="514" t="inlineStr">
        <is>
          <t>Before you begin:</t>
        </is>
      </c>
      <c r="D128" s="7299" t="n"/>
      <c r="E128" s="7299" t="n"/>
      <c r="F128" s="7299" t="n"/>
      <c r="G128" s="7299" t="n"/>
      <c r="H128" s="7299" t="n"/>
      <c r="I128" s="7299" t="n"/>
      <c r="J128" s="7299" t="n"/>
      <c r="K128" s="2268" t="inlineStr">
        <is>
          <t>ü</t>
        </is>
      </c>
      <c r="L128" s="7299" t="inlineStr">
        <is>
          <t>Complete the Earned Income Worksheet, later, in these instructions.</t>
        </is>
      </c>
      <c r="M128" s="7299" t="n"/>
      <c r="N128" s="7299" t="n"/>
      <c r="O128" s="7299" t="n"/>
      <c r="P128" s="7299" t="n"/>
      <c r="Q128" s="7299" t="n"/>
      <c r="R128" s="7299" t="n"/>
      <c r="S128" s="7299" t="n"/>
      <c r="T128" s="7299" t="n"/>
      <c r="U128" s="7299" t="n"/>
      <c r="V128" s="7299" t="n"/>
      <c r="W128" s="7299" t="n"/>
      <c r="X128" s="7299" t="n"/>
      <c r="Y128" s="7299" t="n"/>
      <c r="Z128" s="7299" t="n"/>
      <c r="AA128" s="7299" t="n"/>
      <c r="AB128" s="7299" t="n"/>
      <c r="AC128" s="7299" t="n"/>
      <c r="AD128" s="7299" t="n"/>
      <c r="AE128" s="7299" t="n"/>
      <c r="AF128" s="7299" t="n"/>
      <c r="AG128" s="7299" t="n"/>
      <c r="AH128" s="7299" t="n"/>
      <c r="AI128" s="7299" t="n"/>
      <c r="AJ128" s="7299" t="n"/>
      <c r="AK128" s="7299" t="n"/>
      <c r="AL128" s="7299" t="n"/>
      <c r="AM128" s="7299" t="n"/>
      <c r="AN128" s="7299" t="n"/>
      <c r="AO128" s="7299" t="n"/>
      <c r="AP128" s="7299" t="n"/>
      <c r="AQ128" s="1277" t="n"/>
      <c r="AR128" s="1277" t="n"/>
      <c r="AS128" s="1277" t="n"/>
      <c r="AT128" s="1277" t="n"/>
      <c r="AU128" s="1277" t="n"/>
    </row>
    <row r="129" ht="12.75" customHeight="1" s="7635">
      <c r="A129" s="1277" t="n"/>
      <c r="B129" s="7299" t="n"/>
      <c r="C129" s="7299" t="n"/>
      <c r="D129" s="7299" t="n"/>
      <c r="E129" s="7299" t="n"/>
      <c r="F129" s="7299" t="n"/>
      <c r="G129" s="7299" t="n"/>
      <c r="H129" s="7299" t="n"/>
      <c r="I129" s="7299" t="n"/>
      <c r="J129" s="7299" t="n"/>
      <c r="K129" s="7299" t="n"/>
      <c r="L129" s="7299" t="n"/>
      <c r="M129" s="7299" t="n"/>
      <c r="N129" s="7299" t="n"/>
      <c r="O129" s="7299" t="n"/>
      <c r="P129" s="7299" t="n"/>
      <c r="Q129" s="7299" t="n"/>
      <c r="R129" s="7299" t="n"/>
      <c r="S129" s="7299" t="n"/>
      <c r="T129" s="7299" t="n"/>
      <c r="U129" s="7299" t="n"/>
      <c r="V129" s="7299" t="n"/>
      <c r="W129" s="7299" t="n"/>
      <c r="X129" s="7299" t="n"/>
      <c r="Y129" s="7299" t="n"/>
      <c r="Z129" s="7299" t="n"/>
      <c r="AA129" s="7299" t="n"/>
      <c r="AB129" s="7299" t="n"/>
      <c r="AC129" s="7299" t="n"/>
      <c r="AD129" s="7299" t="n"/>
      <c r="AE129" s="7299" t="n"/>
      <c r="AF129" s="7299" t="n"/>
      <c r="AG129" s="7299" t="n"/>
      <c r="AH129" s="7299" t="n"/>
      <c r="AI129" s="7299" t="n"/>
      <c r="AJ129" s="7299" t="n"/>
      <c r="AK129" s="7299" t="n"/>
      <c r="AL129" s="7299" t="n"/>
      <c r="AM129" s="7299" t="n"/>
      <c r="AN129" s="7299" t="n"/>
      <c r="AO129" s="7299" t="n"/>
      <c r="AP129" s="7299" t="n"/>
      <c r="AQ129" s="1277" t="n"/>
      <c r="AR129" s="1277" t="n"/>
      <c r="AS129" s="1277" t="n"/>
      <c r="AT129" s="1277" t="n"/>
      <c r="AU129" s="1277" t="n"/>
    </row>
    <row r="130" ht="12.75" customHeight="1" s="7635">
      <c r="A130" s="1277" t="n"/>
      <c r="B130" s="7299" t="n"/>
      <c r="C130" s="7299" t="n"/>
      <c r="D130" s="7299" t="n"/>
      <c r="E130" s="7299" t="n"/>
      <c r="F130" s="7299" t="n"/>
      <c r="G130" s="7299" t="n"/>
      <c r="H130" s="7299" t="n"/>
      <c r="I130" s="7299" t="n"/>
      <c r="J130" s="7299" t="n"/>
      <c r="K130" s="2268" t="inlineStr">
        <is>
          <t>ü</t>
        </is>
      </c>
      <c r="L130" s="7299" t="inlineStr">
        <is>
          <t>1040 and 1040-SR filers. Complete line 27a; Schedule 2, lines 5, 6, and 13; and</t>
        </is>
      </c>
      <c r="M130" s="7299" t="n"/>
      <c r="N130" s="7299" t="n"/>
      <c r="O130" s="7299" t="n"/>
      <c r="P130" s="7299" t="n"/>
      <c r="Q130" s="7299" t="n"/>
      <c r="R130" s="7299" t="n"/>
      <c r="S130" s="7299" t="n"/>
      <c r="T130" s="7299" t="n"/>
      <c r="U130" s="7299" t="n"/>
      <c r="V130" s="7299" t="n"/>
      <c r="W130" s="7299" t="n"/>
      <c r="X130" s="7299" t="n"/>
      <c r="Y130" s="7299" t="n"/>
      <c r="Z130" s="7299" t="n"/>
      <c r="AA130" s="7299" t="n"/>
      <c r="AB130" s="7299" t="n"/>
      <c r="AC130" s="7299" t="n"/>
      <c r="AD130" s="7299" t="n"/>
      <c r="AE130" s="7299" t="n"/>
      <c r="AF130" s="7299" t="n"/>
      <c r="AG130" s="7299" t="n"/>
      <c r="AH130" s="7299" t="n"/>
      <c r="AI130" s="7299" t="n"/>
      <c r="AJ130" s="7299" t="n"/>
      <c r="AK130" s="7299" t="n"/>
      <c r="AL130" s="7299" t="n"/>
      <c r="AM130" s="7299" t="n"/>
      <c r="AN130" s="7299" t="n"/>
      <c r="AO130" s="7299" t="n"/>
      <c r="AP130" s="7299" t="n"/>
      <c r="AQ130" s="1277" t="n"/>
      <c r="AR130" s="1277" t="n"/>
      <c r="AS130" s="1277" t="n"/>
      <c r="AT130" s="1277" t="n"/>
      <c r="AU130" s="1277" t="n"/>
    </row>
    <row r="131">
      <c r="A131" s="1277" t="n"/>
      <c r="B131" s="7299" t="n"/>
      <c r="C131" s="7299" t="n"/>
      <c r="D131" s="7299" t="n"/>
      <c r="E131" s="7299" t="n"/>
      <c r="F131" s="7299" t="n"/>
      <c r="G131" s="7299" t="n"/>
      <c r="H131" s="7299" t="n"/>
      <c r="I131" s="7299" t="n"/>
      <c r="J131" s="7299" t="n"/>
      <c r="K131" s="7299" t="n"/>
      <c r="L131" s="7299" t="inlineStr">
        <is>
          <t>Schedule 3, line 11 of your return if they apply to you.</t>
        </is>
      </c>
      <c r="M131" s="7299" t="n"/>
      <c r="N131" s="7299" t="n"/>
      <c r="O131" s="7299" t="n"/>
      <c r="P131" s="7299" t="n"/>
      <c r="Q131" s="7299" t="n"/>
      <c r="R131" s="7299" t="n"/>
      <c r="S131" s="7299" t="n"/>
      <c r="T131" s="7299" t="n"/>
      <c r="U131" s="7299" t="n"/>
      <c r="V131" s="7299" t="n"/>
      <c r="W131" s="7299" t="n"/>
      <c r="X131" s="7299" t="n"/>
      <c r="Y131" s="7299" t="n"/>
      <c r="Z131" s="7299" t="n"/>
      <c r="AA131" s="7299" t="n"/>
      <c r="AB131" s="7299" t="n"/>
      <c r="AC131" s="7299" t="n"/>
      <c r="AD131" s="7299" t="n"/>
      <c r="AE131" s="7299" t="n"/>
      <c r="AF131" s="7299" t="n"/>
      <c r="AG131" s="7299" t="n"/>
      <c r="AH131" s="7299" t="n"/>
      <c r="AI131" s="7299" t="n"/>
      <c r="AJ131" s="7299" t="n"/>
      <c r="AK131" s="7299" t="n"/>
      <c r="AL131" s="7299" t="n"/>
      <c r="AM131" s="7299" t="n"/>
      <c r="AN131" s="7299" t="n"/>
      <c r="AO131" s="7299" t="n"/>
      <c r="AP131" s="7299" t="n"/>
      <c r="AQ131" s="1277" t="n"/>
      <c r="AR131" s="1277" t="n"/>
      <c r="AS131" s="1277" t="n"/>
      <c r="AT131" s="1277" t="n"/>
      <c r="AU131" s="1277" t="n"/>
    </row>
    <row r="132">
      <c r="A132" s="1277" t="n"/>
      <c r="B132" s="7299" t="n"/>
      <c r="C132" s="7299" t="n"/>
      <c r="D132" s="7299" t="n"/>
      <c r="E132" s="7299" t="n"/>
      <c r="F132" s="7299" t="n"/>
      <c r="G132" s="7299" t="n"/>
      <c r="H132" s="7299" t="n"/>
      <c r="I132" s="7299" t="n"/>
      <c r="J132" s="7299" t="n"/>
      <c r="K132" s="7299" t="n"/>
      <c r="L132" s="7299" t="n"/>
      <c r="M132" s="7299" t="n"/>
      <c r="N132" s="7299" t="n"/>
      <c r="O132" s="7299" t="n"/>
      <c r="P132" s="7299" t="n"/>
      <c r="Q132" s="7299" t="n"/>
      <c r="R132" s="7299" t="n"/>
      <c r="S132" s="7299" t="n"/>
      <c r="T132" s="7299" t="n"/>
      <c r="U132" s="7299" t="n"/>
      <c r="V132" s="7299" t="n"/>
      <c r="W132" s="7299" t="n"/>
      <c r="X132" s="7299" t="n"/>
      <c r="Y132" s="7299" t="n"/>
      <c r="Z132" s="7299" t="n"/>
      <c r="AA132" s="7299" t="n"/>
      <c r="AB132" s="7299" t="n"/>
      <c r="AC132" s="7299" t="n"/>
      <c r="AD132" s="7299" t="n"/>
      <c r="AE132" s="7299" t="n"/>
      <c r="AF132" s="7299" t="n"/>
      <c r="AG132" s="7299" t="n"/>
      <c r="AH132" s="7299" t="n"/>
      <c r="AI132" s="7299" t="n"/>
      <c r="AJ132" s="7299" t="n"/>
      <c r="AK132" s="7299" t="n"/>
      <c r="AL132" s="7299" t="n"/>
      <c r="AM132" s="7299" t="n"/>
      <c r="AN132" s="7299" t="n"/>
      <c r="AO132" s="7299" t="n"/>
      <c r="AP132" s="7299" t="n"/>
      <c r="AQ132" s="1277" t="n"/>
      <c r="AR132" s="1277" t="n"/>
      <c r="AS132" s="1277" t="n"/>
      <c r="AT132" s="1277" t="n"/>
      <c r="AU132" s="1277" t="n"/>
    </row>
    <row r="133" ht="12.75" customHeight="1" s="7635">
      <c r="A133" s="1277" t="n"/>
      <c r="B133" s="7299" t="n"/>
      <c r="C133" s="7299" t="n"/>
      <c r="D133" s="7299" t="n"/>
      <c r="E133" s="7299" t="n"/>
      <c r="F133" s="7299" t="n"/>
      <c r="G133" s="7299" t="n"/>
      <c r="H133" s="7299" t="n"/>
      <c r="I133" s="7299" t="n"/>
      <c r="J133" s="7299" t="n"/>
      <c r="K133" s="2268" t="inlineStr">
        <is>
          <t>ü</t>
        </is>
      </c>
      <c r="L133" s="7299" t="inlineStr">
        <is>
          <t>1040-NR filers. Complete Schedule 2, lines 5, 6, and 13; and Schedule 3, line 11</t>
        </is>
      </c>
      <c r="M133" s="7299" t="n"/>
      <c r="N133" s="7299" t="n"/>
      <c r="O133" s="7299" t="n"/>
      <c r="P133" s="7299" t="n"/>
      <c r="Q133" s="7299" t="n"/>
      <c r="R133" s="7299" t="n"/>
      <c r="S133" s="7299" t="n"/>
      <c r="T133" s="7299" t="n"/>
      <c r="U133" s="7299" t="n"/>
      <c r="V133" s="7299" t="n"/>
      <c r="W133" s="7299" t="n"/>
      <c r="X133" s="7299" t="n"/>
      <c r="Y133" s="7299" t="n"/>
      <c r="Z133" s="7299" t="n"/>
      <c r="AA133" s="7299" t="n"/>
      <c r="AB133" s="7299" t="n"/>
      <c r="AC133" s="7299" t="n"/>
      <c r="AD133" s="7299" t="n"/>
      <c r="AE133" s="7299" t="n"/>
      <c r="AF133" s="7299" t="n"/>
      <c r="AG133" s="7299" t="n"/>
      <c r="AH133" s="7299" t="n"/>
      <c r="AI133" s="7299" t="n"/>
      <c r="AJ133" s="7299" t="n"/>
      <c r="AK133" s="7299" t="n"/>
      <c r="AL133" s="7299" t="n"/>
      <c r="AM133" s="7299" t="n"/>
      <c r="AN133" s="7299" t="n"/>
      <c r="AO133" s="7299" t="n"/>
      <c r="AP133" s="7299" t="n"/>
      <c r="AQ133" s="1277" t="n"/>
      <c r="AR133" s="1277" t="n"/>
      <c r="AS133" s="1277" t="n"/>
      <c r="AT133" s="1277" t="n"/>
      <c r="AU133" s="1277" t="n"/>
    </row>
    <row r="134" ht="12.75" customHeight="1" s="7635">
      <c r="A134" s="1277" t="n"/>
      <c r="B134" s="7299" t="n"/>
      <c r="C134" s="7299" t="n"/>
      <c r="D134" s="7299" t="n"/>
      <c r="E134" s="7299" t="n"/>
      <c r="F134" s="7299" t="n"/>
      <c r="G134" s="7299" t="n"/>
      <c r="H134" s="7299" t="n"/>
      <c r="I134" s="7299" t="n"/>
      <c r="J134" s="7299" t="n"/>
      <c r="K134" s="7299" t="n"/>
      <c r="L134" s="7299" t="inlineStr">
        <is>
          <t>of your return if they apply to you.</t>
        </is>
      </c>
      <c r="M134" s="7299" t="n"/>
      <c r="N134" s="7299" t="n"/>
      <c r="O134" s="7299" t="n"/>
      <c r="P134" s="7299" t="n"/>
      <c r="Q134" s="7299" t="n"/>
      <c r="R134" s="7299" t="n"/>
      <c r="S134" s="7299" t="n"/>
      <c r="T134" s="7299" t="n"/>
      <c r="U134" s="7299" t="n"/>
      <c r="V134" s="7299" t="n"/>
      <c r="W134" s="7299" t="n"/>
      <c r="X134" s="7299" t="n"/>
      <c r="Y134" s="7299" t="n"/>
      <c r="Z134" s="7299" t="n"/>
      <c r="AA134" s="7299" t="n"/>
      <c r="AB134" s="7299" t="n"/>
      <c r="AC134" s="7299" t="n"/>
      <c r="AD134" s="7299" t="n"/>
      <c r="AE134" s="7299" t="n"/>
      <c r="AF134" s="7299" t="n"/>
      <c r="AG134" s="7299" t="n"/>
      <c r="AH134" s="7299" t="n"/>
      <c r="AI134" s="7299" t="n"/>
      <c r="AJ134" s="7299" t="n"/>
      <c r="AK134" s="7299" t="n"/>
      <c r="AL134" s="7299" t="n"/>
      <c r="AM134" s="7299" t="n"/>
      <c r="AN134" s="7299" t="n"/>
      <c r="AO134" s="7299" t="n"/>
      <c r="AP134" s="7299" t="n"/>
      <c r="AQ134" s="1277" t="n"/>
      <c r="AR134" s="1277" t="n"/>
      <c r="AS134" s="1277" t="n"/>
      <c r="AT134" s="1277" t="n"/>
      <c r="AU134" s="1277" t="n"/>
    </row>
    <row r="135">
      <c r="A135" s="1277" t="n"/>
      <c r="B135" s="7299" t="n"/>
      <c r="C135" s="7299" t="n"/>
      <c r="D135" s="7299" t="n"/>
      <c r="E135" s="7299" t="n"/>
      <c r="F135" s="7299" t="n"/>
      <c r="G135" s="7299" t="n"/>
      <c r="H135" s="7299" t="n"/>
      <c r="I135" s="7299" t="n"/>
      <c r="J135" s="7299" t="n"/>
      <c r="K135" s="7299" t="n"/>
      <c r="L135" s="7299" t="n"/>
      <c r="M135" s="7299" t="n"/>
      <c r="N135" s="7299" t="n"/>
      <c r="O135" s="7299" t="n"/>
      <c r="P135" s="7299" t="n"/>
      <c r="Q135" s="7299" t="n"/>
      <c r="R135" s="7299" t="n"/>
      <c r="S135" s="7299" t="n"/>
      <c r="T135" s="7299" t="n"/>
      <c r="U135" s="7299" t="n"/>
      <c r="V135" s="7299" t="n"/>
      <c r="W135" s="7299" t="n"/>
      <c r="X135" s="7299" t="n"/>
      <c r="Y135" s="7299" t="n"/>
      <c r="Z135" s="7299" t="n"/>
      <c r="AA135" s="7299" t="n"/>
      <c r="AB135" s="7299" t="n"/>
      <c r="AC135" s="7299" t="n"/>
      <c r="AD135" s="7299" t="n"/>
      <c r="AE135" s="7299" t="n"/>
      <c r="AF135" s="7299" t="n"/>
      <c r="AG135" s="7299" t="n"/>
      <c r="AH135" s="7299" t="n"/>
      <c r="AI135" s="7299" t="n"/>
      <c r="AJ135" s="7299" t="n"/>
      <c r="AK135" s="7299" t="n"/>
      <c r="AL135" s="7299" t="n"/>
      <c r="AM135" s="7299" t="n"/>
      <c r="AN135" s="7299" t="n"/>
      <c r="AO135" s="7299" t="n"/>
      <c r="AP135" s="7299" t="n"/>
      <c r="AQ135" s="1277" t="n"/>
      <c r="AR135" s="1277" t="n"/>
      <c r="AS135" s="1277" t="n"/>
      <c r="AT135" s="1277" t="n"/>
      <c r="AU135" s="1277" t="n"/>
    </row>
    <row r="136" ht="12.75" customHeight="1" s="7635">
      <c r="A136" s="1277" t="n"/>
      <c r="B136" s="7299" t="n"/>
      <c r="C136" s="7299" t="n"/>
      <c r="D136" s="7299" t="n"/>
      <c r="E136" s="733" t="n"/>
      <c r="F136" s="2269" t="n"/>
      <c r="G136" s="2269" t="inlineStr">
        <is>
          <t>Caution. Use this worksheet only if you meet each of the items discussed under line 3 of Credit Limit Worksheet A,</t>
        </is>
      </c>
      <c r="H136" s="7299" t="n"/>
      <c r="I136" s="7299" t="n"/>
      <c r="J136" s="7299" t="n"/>
      <c r="K136" s="7299" t="n"/>
      <c r="L136" s="7299" t="n"/>
      <c r="M136" s="7299" t="n"/>
      <c r="N136" s="7299" t="n"/>
      <c r="O136" s="7299" t="n"/>
      <c r="P136" s="7299" t="n"/>
      <c r="Q136" s="7299" t="n"/>
      <c r="R136" s="7299" t="n"/>
      <c r="S136" s="7299" t="n"/>
      <c r="T136" s="7299" t="n"/>
      <c r="U136" s="7299" t="n"/>
      <c r="V136" s="7299" t="n"/>
      <c r="W136" s="7299" t="n"/>
      <c r="X136" s="7299" t="n"/>
      <c r="Y136" s="7299" t="n"/>
      <c r="Z136" s="7299" t="n"/>
      <c r="AA136" s="7299" t="n"/>
      <c r="AB136" s="7299" t="n"/>
      <c r="AC136" s="7299" t="n"/>
      <c r="AD136" s="7299" t="n"/>
      <c r="AE136" s="7299" t="n"/>
      <c r="AF136" s="7299" t="n"/>
      <c r="AG136" s="7299" t="n"/>
      <c r="AH136" s="7299" t="n"/>
      <c r="AI136" s="7299" t="n"/>
      <c r="AJ136" s="7299" t="n"/>
      <c r="AK136" s="7299" t="n"/>
      <c r="AL136" s="10940">
        <f>C107</f>
        <v/>
      </c>
      <c r="AO136" s="7299" t="n"/>
      <c r="AP136" s="7299" t="n"/>
      <c r="AQ136" s="1277" t="n"/>
      <c r="AR136" s="1277" t="n"/>
      <c r="AS136" s="1277" t="n"/>
      <c r="AT136" s="1277" t="n"/>
      <c r="AU136" s="1277" t="n"/>
    </row>
    <row r="137" ht="12.75" customHeight="1" s="7635">
      <c r="A137" s="1277" t="n"/>
      <c r="B137" s="7299" t="n"/>
      <c r="C137" s="7299" t="n"/>
      <c r="D137" s="7299" t="n"/>
      <c r="E137" s="7299" t="n"/>
      <c r="F137" s="2269" t="n"/>
      <c r="G137" s="2269" t="inlineStr">
        <is>
          <t>including that you are not filing Form 2555.</t>
        </is>
      </c>
      <c r="H137" s="7299" t="n"/>
      <c r="I137" s="7299" t="n"/>
      <c r="J137" s="7299" t="n"/>
      <c r="K137" s="7299" t="n"/>
      <c r="L137" s="7299" t="n"/>
      <c r="M137" s="7299" t="n"/>
      <c r="N137" s="7299" t="n"/>
      <c r="O137" s="7299" t="n"/>
      <c r="P137" s="7299" t="n"/>
      <c r="Q137" s="7299" t="n"/>
      <c r="R137" s="7299" t="n"/>
      <c r="S137" s="7299" t="n"/>
      <c r="T137" s="7299" t="n"/>
      <c r="U137" s="7299" t="n"/>
      <c r="V137" s="7299" t="n"/>
      <c r="W137" s="7299" t="n"/>
      <c r="X137" s="7299" t="n"/>
      <c r="Y137" s="7299" t="n"/>
      <c r="Z137" s="7299" t="n"/>
      <c r="AA137" s="7299" t="n"/>
      <c r="AB137" s="7299" t="n"/>
      <c r="AC137" s="7299" t="n"/>
      <c r="AD137" s="7299" t="n"/>
      <c r="AE137" s="7299" t="n"/>
      <c r="AF137" s="7299" t="n"/>
      <c r="AG137" s="7299" t="n"/>
      <c r="AH137" s="7299" t="n"/>
      <c r="AI137" s="7299" t="n"/>
      <c r="AJ137" s="7299" t="n"/>
      <c r="AK137" s="7299" t="n"/>
      <c r="AL137" s="7299" t="n"/>
      <c r="AM137" s="7299" t="n"/>
      <c r="AN137" s="7299" t="n"/>
      <c r="AO137" s="7299" t="n"/>
      <c r="AP137" s="7299" t="n"/>
      <c r="AQ137" s="1277" t="n"/>
      <c r="AR137" s="1277" t="n"/>
      <c r="AS137" s="1277" t="n"/>
      <c r="AT137" s="1277" t="n"/>
      <c r="AU137" s="1277" t="n"/>
    </row>
    <row r="138" ht="9" customHeight="1" s="7635" thickBot="1">
      <c r="A138" s="1277" t="n"/>
      <c r="B138" s="7299" t="n"/>
      <c r="C138" s="2247" t="n"/>
      <c r="D138" s="2247" t="n"/>
      <c r="E138" s="2247" t="n"/>
      <c r="F138" s="2247" t="n"/>
      <c r="G138" s="2247" t="n"/>
      <c r="H138" s="2247" t="n"/>
      <c r="I138" s="2247" t="n"/>
      <c r="J138" s="2247" t="n"/>
      <c r="K138" s="2247" t="n"/>
      <c r="L138" s="2247" t="n"/>
      <c r="M138" s="2247" t="n"/>
      <c r="N138" s="2247" t="n"/>
      <c r="O138" s="2247" t="n"/>
      <c r="P138" s="2247" t="n"/>
      <c r="Q138" s="2247" t="n"/>
      <c r="R138" s="2247" t="n"/>
      <c r="S138" s="2247" t="n"/>
      <c r="T138" s="2247" t="n"/>
      <c r="U138" s="2247" t="n"/>
      <c r="V138" s="2247" t="n"/>
      <c r="W138" s="2247" t="n"/>
      <c r="X138" s="2247" t="n"/>
      <c r="Y138" s="2247" t="n"/>
      <c r="Z138" s="2247" t="n"/>
      <c r="AA138" s="2247" t="n"/>
      <c r="AB138" s="2247" t="n"/>
      <c r="AC138" s="2247" t="n"/>
      <c r="AD138" s="2247" t="n"/>
      <c r="AE138" s="2247" t="n"/>
      <c r="AF138" s="2247" t="n"/>
      <c r="AG138" s="2247" t="n"/>
      <c r="AH138" s="2247" t="n"/>
      <c r="AI138" s="2247" t="n"/>
      <c r="AJ138" s="2247" t="n"/>
      <c r="AK138" s="2247" t="n"/>
      <c r="AL138" s="2247" t="n"/>
      <c r="AM138" s="2247" t="n"/>
      <c r="AN138" s="2247" t="n"/>
      <c r="AO138" s="2247" t="n"/>
      <c r="AP138" s="7299" t="n"/>
      <c r="AQ138" s="1277" t="n"/>
      <c r="AR138" s="1277" t="n"/>
      <c r="AS138" s="1277" t="n"/>
      <c r="AT138" s="1277" t="n"/>
      <c r="AU138" s="1277" t="n"/>
    </row>
    <row r="139" ht="7.5" customHeight="1" s="7635" thickTop="1">
      <c r="A139" s="1277" t="n"/>
      <c r="B139" s="7299" t="n"/>
      <c r="C139" s="7299" t="n"/>
      <c r="D139" s="7299" t="n"/>
      <c r="E139" s="7299" t="n"/>
      <c r="F139" s="7299" t="n"/>
      <c r="G139" s="7299" t="n"/>
      <c r="H139" s="7299" t="n"/>
      <c r="I139" s="7299" t="n"/>
      <c r="J139" s="7299" t="n"/>
      <c r="K139" s="7299" t="n"/>
      <c r="L139" s="7299" t="n"/>
      <c r="M139" s="7299" t="n"/>
      <c r="N139" s="7299" t="n"/>
      <c r="O139" s="7299" t="n"/>
      <c r="P139" s="7299" t="n"/>
      <c r="Q139" s="7299" t="n"/>
      <c r="R139" s="7299" t="n"/>
      <c r="S139" s="7299" t="n"/>
      <c r="T139" s="7299" t="n"/>
      <c r="U139" s="7299" t="n"/>
      <c r="V139" s="7299" t="n"/>
      <c r="W139" s="7299" t="n"/>
      <c r="X139" s="7299" t="n"/>
      <c r="Y139" s="7299" t="n"/>
      <c r="Z139" s="7299" t="n"/>
      <c r="AA139" s="7299" t="n"/>
      <c r="AB139" s="7299" t="n"/>
      <c r="AC139" s="7299" t="n"/>
      <c r="AD139" s="7299" t="n"/>
      <c r="AE139" s="7299" t="n"/>
      <c r="AF139" s="7299" t="n"/>
      <c r="AG139" s="7299" t="n"/>
      <c r="AH139" s="7299" t="n"/>
      <c r="AI139" s="7299" t="n"/>
      <c r="AJ139" s="7299" t="n"/>
      <c r="AK139" s="7299" t="n"/>
      <c r="AL139" s="7299" t="n"/>
      <c r="AM139" s="7299" t="n"/>
      <c r="AN139" s="7299" t="n"/>
      <c r="AO139" s="7299" t="n"/>
      <c r="AP139" s="7299" t="n"/>
      <c r="AQ139" s="1277" t="n"/>
      <c r="AR139" s="1277" t="n"/>
      <c r="AS139" s="1277" t="n"/>
      <c r="AT139" s="1277" t="n"/>
      <c r="AU139" s="1277" t="n"/>
    </row>
    <row r="140" ht="20.25" customHeight="1" s="7635">
      <c r="A140" s="1277" t="n"/>
      <c r="B140" s="7299" t="n"/>
      <c r="C140" s="7299" t="n"/>
      <c r="D140" s="7299" t="n"/>
      <c r="E140" s="7299" t="n"/>
      <c r="F140" s="2248" t="inlineStr">
        <is>
          <t>1.</t>
        </is>
      </c>
      <c r="G140" s="7299" t="inlineStr">
        <is>
          <t>Enter the amount from Schedule 8812, line 12</t>
        </is>
      </c>
      <c r="H140" s="7299" t="n"/>
      <c r="I140" s="7299" t="n"/>
      <c r="J140" s="7299" t="n"/>
      <c r="K140" s="7299" t="n"/>
      <c r="L140" s="7299" t="n"/>
      <c r="M140" s="7299" t="n"/>
      <c r="N140" s="7299" t="n"/>
      <c r="O140" s="7299" t="n"/>
      <c r="P140" s="7299" t="n"/>
      <c r="Q140" s="7299" t="n"/>
      <c r="R140" s="7299" t="n"/>
      <c r="S140" s="7299" t="n"/>
      <c r="T140" s="7299" t="n"/>
      <c r="U140" s="7299" t="n"/>
      <c r="V140" s="7299" t="n"/>
      <c r="W140" s="7299" t="n"/>
      <c r="X140" s="7299" t="n"/>
      <c r="Y140" s="7299" t="n"/>
      <c r="Z140" s="7299" t="n"/>
      <c r="AA140" s="7299" t="n"/>
      <c r="AB140" s="7299" t="n"/>
      <c r="AC140" s="7299" t="n"/>
      <c r="AD140" s="7299" t="n"/>
      <c r="AE140" s="7299" t="n"/>
      <c r="AF140" s="7299" t="n"/>
      <c r="AG140" s="7299" t="n"/>
      <c r="AH140" s="1989" t="inlineStr">
        <is>
          <t>.   .   .   .   .   .   .   .   .   .   .   .   .   .   .   .   .   .   .   .   .   .   .   .   .   .   .</t>
        </is>
      </c>
      <c r="AI140" s="2249" t="n"/>
      <c r="AJ140" s="2270" t="inlineStr">
        <is>
          <t>1</t>
        </is>
      </c>
      <c r="AK140" s="7063">
        <f>IF(AL136,AL36,"")</f>
        <v/>
      </c>
      <c r="AL140" s="7637" t="n"/>
      <c r="AM140" s="7637" t="n"/>
      <c r="AN140" s="7637" t="n"/>
      <c r="AO140" s="7637" t="n"/>
      <c r="AP140" s="7299" t="n"/>
      <c r="AQ140" s="1277" t="n"/>
      <c r="AR140" s="1277" t="n"/>
      <c r="AS140" s="1277" t="n"/>
      <c r="AT140" s="1277" t="n"/>
      <c r="AU140" s="1277" t="n"/>
    </row>
    <row r="141" ht="20.25" customHeight="1" s="7635">
      <c r="A141" s="1277" t="n"/>
      <c r="B141" s="7299" t="n"/>
      <c r="C141" s="7299" t="n"/>
      <c r="D141" s="7299" t="n"/>
      <c r="E141" s="7299" t="n"/>
      <c r="F141" s="2248" t="inlineStr">
        <is>
          <t>2.</t>
        </is>
      </c>
      <c r="G141" s="7299">
        <f>"Number of qualifying children under "&amp;CTC_AgeLimit&amp;" with the required social security"</f>
        <v/>
      </c>
      <c r="H141" s="7299" t="n"/>
      <c r="I141" s="7299" t="n"/>
      <c r="J141" s="7299" t="n"/>
      <c r="K141" s="7299" t="n"/>
      <c r="L141" s="7299" t="n"/>
      <c r="M141" s="7299" t="n"/>
      <c r="N141" s="7299" t="n"/>
      <c r="O141" s="7299" t="n"/>
      <c r="P141" s="7299" t="n"/>
      <c r="Q141" s="7299" t="n"/>
      <c r="R141" s="7299" t="n"/>
      <c r="S141" s="7299" t="n"/>
      <c r="T141" s="7299" t="n"/>
      <c r="U141" s="7299" t="n"/>
      <c r="V141" s="7299" t="n"/>
      <c r="W141" s="7299" t="n"/>
      <c r="X141" s="7299" t="n"/>
      <c r="Y141" s="7299" t="n"/>
      <c r="Z141" s="7299" t="n"/>
      <c r="AA141" s="7299" t="n"/>
      <c r="AB141" s="7299" t="n"/>
      <c r="AC141" s="7299" t="n"/>
      <c r="AD141" s="7299" t="n"/>
      <c r="AE141" s="7299" t="n"/>
      <c r="AF141" s="7299" t="n"/>
      <c r="AG141" s="7299" t="n"/>
      <c r="AH141" s="7299" t="n"/>
      <c r="AI141" s="2249" t="n"/>
      <c r="AJ141" s="7299" t="n"/>
      <c r="AK141" s="7299" t="n"/>
      <c r="AL141" s="7299" t="n"/>
      <c r="AM141" s="7299" t="n"/>
      <c r="AN141" s="7299" t="n"/>
      <c r="AO141" s="7299" t="n"/>
      <c r="AP141" s="7299" t="n"/>
      <c r="AQ141" s="1277" t="n"/>
      <c r="AR141" s="1277" t="n"/>
      <c r="AS141" s="1277" t="n"/>
      <c r="AT141" s="1277" t="n"/>
      <c r="AU141" s="1277" t="n"/>
    </row>
    <row r="142" ht="17.25" customHeight="1" s="7635">
      <c r="A142" s="1277" t="n"/>
      <c r="B142" s="7299" t="n"/>
      <c r="C142" s="7299" t="n"/>
      <c r="D142" s="7299" t="n"/>
      <c r="E142" s="7299" t="n"/>
      <c r="F142" s="7299" t="n"/>
      <c r="G142" s="7299" t="inlineStr">
        <is>
          <t>number:</t>
        </is>
      </c>
      <c r="H142" s="7299" t="n"/>
      <c r="I142" s="7299" t="n"/>
      <c r="J142" s="11080">
        <f>IF(AL136,AE20,"")</f>
        <v/>
      </c>
      <c r="K142" s="7637" t="n"/>
      <c r="L142" s="10978" t="inlineStr">
        <is>
          <t>x</t>
        </is>
      </c>
      <c r="M142" s="12709">
        <f>AF53</f>
        <v/>
      </c>
      <c r="P142" s="7299" t="inlineStr">
        <is>
          <t>Enter the result.</t>
        </is>
      </c>
      <c r="Q142" s="7299" t="n"/>
      <c r="R142" s="7299" t="n"/>
      <c r="S142" s="7299" t="n"/>
      <c r="T142" s="7299" t="n"/>
      <c r="U142" s="7299" t="n"/>
      <c r="V142" s="7299" t="n"/>
      <c r="W142" s="7299" t="n"/>
      <c r="X142" s="7299" t="n"/>
      <c r="Y142" s="7299" t="n"/>
      <c r="Z142" s="7299" t="n"/>
      <c r="AA142" s="7299" t="n"/>
      <c r="AB142" s="7299" t="n"/>
      <c r="AC142" s="7299" t="n"/>
      <c r="AD142" s="7299" t="n"/>
      <c r="AE142" s="7299" t="n"/>
      <c r="AF142" s="7299" t="n"/>
      <c r="AG142" s="7299" t="n"/>
      <c r="AH142" s="1989" t="inlineStr">
        <is>
          <t>.   .   .   .   .   .   .   .   .   .   .   .   .   .   .   .   .   .   .   .   .   .   .   .</t>
        </is>
      </c>
      <c r="AI142" s="7299" t="n"/>
      <c r="AJ142" s="2270" t="inlineStr">
        <is>
          <t>2</t>
        </is>
      </c>
      <c r="AK142" s="7062">
        <f>IF(AL136,ROUND(J142*M142,0),"")</f>
        <v/>
      </c>
      <c r="AL142" s="7637" t="n"/>
      <c r="AM142" s="7637" t="n"/>
      <c r="AN142" s="7637" t="n"/>
      <c r="AO142" s="7637" t="n"/>
      <c r="AP142" s="7299" t="n"/>
      <c r="AQ142" s="1277" t="n"/>
      <c r="AR142" s="1277" t="n"/>
      <c r="AS142" s="1277" t="n"/>
      <c r="AT142" s="1277" t="n"/>
      <c r="AU142" s="1277" t="n"/>
    </row>
    <row r="143" ht="12" customHeight="1" s="7635">
      <c r="A143" s="1277" t="n"/>
      <c r="B143" s="7299" t="n"/>
      <c r="C143" s="7299" t="n"/>
      <c r="D143" s="7299" t="n"/>
      <c r="E143" s="7299" t="n"/>
      <c r="F143" s="7299" t="n"/>
      <c r="G143" s="7299" t="n"/>
      <c r="H143" s="7299" t="n"/>
      <c r="I143" s="7299" t="n"/>
      <c r="J143" s="7299" t="n"/>
      <c r="K143" s="7299" t="n"/>
      <c r="L143" s="7299" t="n"/>
      <c r="M143" s="7299" t="n"/>
      <c r="N143" s="7299" t="n"/>
      <c r="O143" s="7299" t="n"/>
      <c r="P143" s="7299" t="n"/>
      <c r="Q143" s="7299" t="n"/>
      <c r="R143" s="7299" t="n"/>
      <c r="S143" s="7299" t="n"/>
      <c r="T143" s="7299" t="n"/>
      <c r="U143" s="7299" t="n"/>
      <c r="V143" s="7299" t="n"/>
      <c r="W143" s="7299" t="n"/>
      <c r="X143" s="7299" t="n"/>
      <c r="Y143" s="7299" t="n"/>
      <c r="Z143" s="7299" t="n"/>
      <c r="AA143" s="7299" t="n"/>
      <c r="AB143" s="7299" t="n"/>
      <c r="AC143" s="7299" t="n"/>
      <c r="AD143" s="7299" t="n"/>
      <c r="AE143" s="7299" t="n"/>
      <c r="AF143" s="7299" t="n"/>
      <c r="AG143" s="7299" t="n"/>
      <c r="AH143" s="7299" t="n"/>
      <c r="AI143" s="7299" t="n"/>
      <c r="AJ143" s="7299" t="n"/>
      <c r="AK143" s="7299" t="n"/>
      <c r="AL143" s="7299" t="n"/>
      <c r="AM143" s="7299" t="n"/>
      <c r="AN143" s="7299" t="n"/>
      <c r="AO143" s="7299" t="n"/>
      <c r="AP143" s="7299" t="n"/>
      <c r="AQ143" s="1277" t="n"/>
      <c r="AR143" s="1277" t="n"/>
      <c r="AS143" s="1277" t="n"/>
      <c r="AT143" s="1277" t="n"/>
      <c r="AU143" s="1277" t="n"/>
    </row>
    <row r="144" ht="12" customHeight="1" s="7635">
      <c r="A144" s="1277" t="n"/>
      <c r="B144" s="7299" t="n"/>
      <c r="C144" s="7299" t="n"/>
      <c r="D144" s="7299" t="n"/>
      <c r="E144" s="7299" t="n"/>
      <c r="F144" s="7299" t="n"/>
      <c r="G144" s="7299" t="inlineStr">
        <is>
          <t>TIP:  The number of children you use for this line is the same as the number of</t>
        </is>
      </c>
      <c r="H144" s="7299" t="n"/>
      <c r="I144" s="7299" t="n"/>
      <c r="J144" s="7299" t="n"/>
      <c r="K144" s="7299" t="n"/>
      <c r="L144" s="7299" t="n"/>
      <c r="M144" s="7299" t="n"/>
      <c r="N144" s="7299" t="n"/>
      <c r="O144" s="7299" t="n"/>
      <c r="P144" s="7299" t="n"/>
      <c r="Q144" s="7299" t="n"/>
      <c r="R144" s="7299" t="n"/>
      <c r="S144" s="7299" t="n"/>
      <c r="T144" s="7299" t="n"/>
      <c r="U144" s="7299" t="n"/>
      <c r="V144" s="7299" t="n"/>
      <c r="W144" s="7299" t="n"/>
      <c r="X144" s="7299" t="n"/>
      <c r="Y144" s="7299" t="n"/>
      <c r="Z144" s="7299" t="n"/>
      <c r="AA144" s="7299" t="n"/>
      <c r="AB144" s="7299" t="n"/>
      <c r="AC144" s="7299" t="n"/>
      <c r="AD144" s="7299" t="n"/>
      <c r="AE144" s="7299" t="n"/>
      <c r="AF144" s="7299" t="n"/>
      <c r="AG144" s="7299" t="n"/>
      <c r="AH144" s="7299" t="n"/>
      <c r="AI144" s="7299" t="n"/>
      <c r="AJ144" s="7299" t="n"/>
      <c r="AK144" s="7299" t="n"/>
      <c r="AL144" s="7299" t="n"/>
      <c r="AM144" s="7299" t="n"/>
      <c r="AN144" s="7299" t="n"/>
      <c r="AO144" s="7299" t="n"/>
      <c r="AP144" s="7299" t="n"/>
      <c r="AQ144" s="1277" t="n"/>
      <c r="AR144" s="1277" t="n"/>
      <c r="AS144" s="1277" t="n"/>
      <c r="AT144" s="1277" t="n"/>
      <c r="AU144" s="1277" t="n"/>
    </row>
    <row r="145" ht="12" customHeight="1" s="7635">
      <c r="A145" s="1277" t="n"/>
      <c r="B145" s="7299" t="n"/>
      <c r="C145" s="7299" t="n"/>
      <c r="D145" s="7299" t="n"/>
      <c r="E145" s="7299" t="n"/>
      <c r="F145" s="7299" t="n"/>
      <c r="G145" s="7299" t="inlineStr">
        <is>
          <t>children you used for line 4 of Schedule 8812.</t>
        </is>
      </c>
      <c r="H145" s="7299" t="n"/>
      <c r="I145" s="7299" t="n"/>
      <c r="J145" s="7299" t="n"/>
      <c r="K145" s="7299" t="n"/>
      <c r="L145" s="7299" t="n"/>
      <c r="M145" s="7299" t="n"/>
      <c r="N145" s="7299" t="n"/>
      <c r="O145" s="7299" t="n"/>
      <c r="P145" s="7299" t="n"/>
      <c r="Q145" s="7299" t="n"/>
      <c r="R145" s="7299" t="n"/>
      <c r="S145" s="7299" t="n"/>
      <c r="T145" s="7299" t="n"/>
      <c r="U145" s="7299" t="n"/>
      <c r="V145" s="7299" t="n"/>
      <c r="W145" s="7299" t="n"/>
      <c r="X145" s="7299" t="n"/>
      <c r="Y145" s="7299" t="n"/>
      <c r="Z145" s="7299" t="n"/>
      <c r="AA145" s="7299" t="n"/>
      <c r="AB145" s="7299" t="n"/>
      <c r="AC145" s="7299" t="n"/>
      <c r="AD145" s="7299" t="n"/>
      <c r="AE145" s="7299" t="n"/>
      <c r="AF145" s="7299" t="n"/>
      <c r="AG145" s="7299" t="n"/>
      <c r="AH145" s="7299" t="n"/>
      <c r="AI145" s="7299" t="n"/>
      <c r="AJ145" s="7299" t="n"/>
      <c r="AK145" s="7299" t="n"/>
      <c r="AL145" s="7299" t="n"/>
      <c r="AM145" s="7299" t="n"/>
      <c r="AN145" s="7299" t="n"/>
      <c r="AO145" s="7299" t="n"/>
      <c r="AP145" s="7299" t="n"/>
      <c r="AQ145" s="1277" t="n"/>
      <c r="AR145" s="1277" t="n"/>
      <c r="AS145" s="2195" t="inlineStr">
        <is>
          <t>Override</t>
        </is>
      </c>
      <c r="AT145" s="1277" t="n"/>
      <c r="AU145" s="1277" t="n"/>
    </row>
    <row r="146" ht="6.75" customHeight="1" s="7635">
      <c r="A146" s="1277" t="n"/>
      <c r="B146" s="7299" t="n"/>
      <c r="C146" s="7299" t="n"/>
      <c r="D146" s="7299" t="n"/>
      <c r="E146" s="7299" t="n"/>
      <c r="F146" s="7299" t="n"/>
      <c r="G146" s="7299" t="n"/>
      <c r="H146" s="7299" t="n"/>
      <c r="I146" s="7299" t="n"/>
      <c r="J146" s="7299" t="n"/>
      <c r="K146" s="7299" t="n"/>
      <c r="L146" s="7299" t="n"/>
      <c r="M146" s="7299" t="n"/>
      <c r="N146" s="7299" t="n"/>
      <c r="O146" s="7299" t="n"/>
      <c r="P146" s="7299" t="n"/>
      <c r="Q146" s="7299" t="n"/>
      <c r="R146" s="7299" t="n"/>
      <c r="S146" s="7299" t="n"/>
      <c r="T146" s="7299" t="n"/>
      <c r="U146" s="7299" t="n"/>
      <c r="V146" s="7299" t="n"/>
      <c r="W146" s="7299" t="n"/>
      <c r="X146" s="7299" t="n"/>
      <c r="Y146" s="7299" t="n"/>
      <c r="Z146" s="7299" t="n"/>
      <c r="AA146" s="7299" t="n"/>
      <c r="AB146" s="7299" t="n"/>
      <c r="AC146" s="7299" t="n"/>
      <c r="AD146" s="2271" t="n"/>
      <c r="AE146" s="7299" t="n"/>
      <c r="AF146" s="7299" t="n"/>
      <c r="AG146" s="7299" t="n"/>
      <c r="AH146" s="7299" t="n"/>
      <c r="AI146" s="7299" t="n"/>
      <c r="AJ146" s="7299" t="n"/>
      <c r="AK146" s="7299" t="n"/>
      <c r="AL146" s="7299" t="n"/>
      <c r="AM146" s="7299" t="n"/>
      <c r="AN146" s="7299" t="n"/>
      <c r="AO146" s="7299" t="n"/>
      <c r="AP146" s="7299" t="n"/>
      <c r="AQ146" s="1277" t="n"/>
      <c r="AR146" s="1277" t="n"/>
      <c r="AS146" s="1277" t="n"/>
      <c r="AT146" s="1277" t="n"/>
      <c r="AU146" s="1277" t="n"/>
    </row>
    <row r="147" ht="18" customHeight="1" s="7635">
      <c r="A147" s="1277" t="n"/>
      <c r="B147" s="7299" t="n"/>
      <c r="C147" s="7299" t="n"/>
      <c r="D147" s="7299" t="n"/>
      <c r="E147" s="7299" t="n"/>
      <c r="F147" s="2272" t="inlineStr">
        <is>
          <t>3.</t>
        </is>
      </c>
      <c r="G147" s="7121" t="inlineStr">
        <is>
          <t>Enter your earned income from line 7 of the Earned</t>
        </is>
      </c>
      <c r="H147" s="7299" t="n"/>
      <c r="I147" s="7299" t="n"/>
      <c r="J147" s="7299" t="n"/>
      <c r="K147" s="7299" t="n"/>
      <c r="L147" s="7299" t="n"/>
      <c r="M147" s="7299" t="n"/>
      <c r="N147" s="7299" t="n"/>
      <c r="O147" s="7299" t="n"/>
      <c r="P147" s="7299" t="n"/>
      <c r="Q147" s="7299" t="n"/>
      <c r="R147" s="7299" t="n"/>
      <c r="S147" s="7299" t="n"/>
      <c r="T147" s="7299" t="n"/>
      <c r="U147" s="7299" t="n"/>
      <c r="V147" s="7299" t="n"/>
      <c r="W147" s="7299" t="n"/>
      <c r="X147" s="7299" t="n"/>
      <c r="Y147" s="7299" t="n"/>
      <c r="Z147" s="7299" t="n"/>
      <c r="AA147" s="7299" t="n"/>
      <c r="AB147" s="1989" t="inlineStr">
        <is>
          <t>.   .   .   .   .   .   .   .   .   .   .   .   .</t>
        </is>
      </c>
      <c r="AC147" s="7299" t="n"/>
      <c r="AD147" s="2270" t="inlineStr">
        <is>
          <t>3</t>
        </is>
      </c>
      <c r="AE147" s="7062">
        <f>IF(AS147&lt;&gt;"",ROUND(AS147,0),IF(AL136,Earned_Income,""))</f>
        <v/>
      </c>
      <c r="AF147" s="7637" t="n"/>
      <c r="AG147" s="7637" t="n"/>
      <c r="AH147" s="7637" t="n"/>
      <c r="AI147" s="7637" t="n"/>
      <c r="AJ147" s="7299" t="n"/>
      <c r="AK147" s="7299" t="n"/>
      <c r="AL147" s="7299" t="n"/>
      <c r="AM147" s="7299" t="n"/>
      <c r="AN147" s="7299" t="n"/>
      <c r="AO147" s="7299" t="n"/>
      <c r="AP147" s="7299" t="n"/>
      <c r="AQ147" s="1277" t="n"/>
      <c r="AR147" s="1277" t="n"/>
      <c r="AS147" s="1296" t="n"/>
      <c r="AT147" s="1277" t="n"/>
      <c r="AU147" s="1277" t="n"/>
    </row>
    <row r="148" ht="12" customHeight="1" s="7635">
      <c r="A148" s="1277" t="n"/>
      <c r="B148" s="7299" t="n"/>
      <c r="C148" s="7299" t="n"/>
      <c r="D148" s="7299" t="n"/>
      <c r="E148" s="7299" t="n"/>
      <c r="F148" s="7299" t="n"/>
      <c r="G148" s="7299" t="inlineStr">
        <is>
          <t>Income Worksheet.</t>
        </is>
      </c>
      <c r="H148" s="7299" t="n"/>
      <c r="I148" s="7299" t="n"/>
      <c r="J148" s="7299" t="n"/>
      <c r="K148" s="7299" t="n"/>
      <c r="L148" s="7299" t="n"/>
      <c r="M148" s="7299" t="n"/>
      <c r="N148" s="7299" t="n"/>
      <c r="O148" s="7299" t="n"/>
      <c r="P148" s="7299" t="n"/>
      <c r="Q148" s="7299" t="n"/>
      <c r="R148" s="7299" t="n"/>
      <c r="S148" s="7299" t="n"/>
      <c r="T148" s="7299" t="n"/>
      <c r="U148" s="7299" t="n"/>
      <c r="V148" s="7299" t="n"/>
      <c r="W148" s="7299" t="n"/>
      <c r="X148" s="7299" t="n"/>
      <c r="Y148" s="7299" t="n"/>
      <c r="Z148" s="7299" t="n"/>
      <c r="AA148" s="7299" t="n"/>
      <c r="AB148" s="7299" t="n"/>
      <c r="AC148" s="7299" t="n"/>
      <c r="AD148" s="7299" t="n"/>
      <c r="AE148" s="7299" t="n"/>
      <c r="AF148" s="7299" t="n"/>
      <c r="AG148" s="7299" t="n"/>
      <c r="AH148" s="7299" t="n"/>
      <c r="AI148" s="7299" t="n"/>
      <c r="AJ148" s="7299" t="n"/>
      <c r="AK148" s="7299" t="n"/>
      <c r="AL148" s="7299" t="n"/>
      <c r="AM148" s="7299" t="n"/>
      <c r="AN148" s="7299" t="n"/>
      <c r="AO148" s="7299" t="n"/>
      <c r="AP148" s="7299" t="n"/>
      <c r="AQ148" s="1277" t="n"/>
      <c r="AR148" s="1277" t="n"/>
      <c r="AS148" s="1277" t="n"/>
      <c r="AT148" s="1277" t="n"/>
      <c r="AU148" s="1277" t="n"/>
    </row>
    <row r="149" ht="6" customHeight="1" s="7635">
      <c r="A149" s="1277" t="n"/>
      <c r="B149" s="7299" t="n"/>
      <c r="C149" s="7299" t="n"/>
      <c r="D149" s="7299" t="n"/>
      <c r="E149" s="7299" t="n"/>
      <c r="F149" s="7299" t="n"/>
      <c r="G149" s="7299" t="n"/>
      <c r="H149" s="7299" t="n"/>
      <c r="I149" s="7299" t="n"/>
      <c r="J149" s="7299" t="n"/>
      <c r="K149" s="7299" t="n"/>
      <c r="L149" s="7299" t="n"/>
      <c r="M149" s="7299" t="n"/>
      <c r="N149" s="7299" t="n"/>
      <c r="O149" s="7299" t="n"/>
      <c r="P149" s="7299" t="n"/>
      <c r="Q149" s="7299" t="n"/>
      <c r="R149" s="7299" t="n"/>
      <c r="S149" s="7299" t="n"/>
      <c r="T149" s="7299" t="n"/>
      <c r="U149" s="7299" t="n"/>
      <c r="V149" s="7299" t="n"/>
      <c r="W149" s="7299" t="n"/>
      <c r="X149" s="7299" t="n"/>
      <c r="Y149" s="7299" t="n"/>
      <c r="Z149" s="7299" t="n"/>
      <c r="AA149" s="7299" t="n"/>
      <c r="AB149" s="7299" t="n"/>
      <c r="AC149" s="7299" t="n"/>
      <c r="AD149" s="7299" t="n"/>
      <c r="AE149" s="7299" t="n"/>
      <c r="AF149" s="7299" t="n"/>
      <c r="AG149" s="7299" t="n"/>
      <c r="AH149" s="7299" t="n"/>
      <c r="AI149" s="7299" t="n"/>
      <c r="AJ149" s="7299" t="n"/>
      <c r="AK149" s="7299" t="n"/>
      <c r="AL149" s="7299" t="n"/>
      <c r="AM149" s="7299" t="n"/>
      <c r="AN149" s="7299" t="n"/>
      <c r="AO149" s="7299" t="n"/>
      <c r="AP149" s="7299" t="n"/>
      <c r="AQ149" s="1277" t="n"/>
      <c r="AR149" s="1277" t="n"/>
      <c r="AS149" s="1277" t="n"/>
      <c r="AT149" s="1277" t="n"/>
      <c r="AU149" s="1277" t="n"/>
    </row>
    <row r="150" ht="20.25" customHeight="1" s="7635">
      <c r="A150" s="1277" t="n"/>
      <c r="B150" s="7299" t="n"/>
      <c r="C150" s="7299" t="n"/>
      <c r="D150" s="7299" t="n"/>
      <c r="E150" s="7299" t="n"/>
      <c r="F150" s="2248" t="inlineStr">
        <is>
          <t>4.</t>
        </is>
      </c>
      <c r="G150" s="7299">
        <f>"Is the amount on line 3 more than "&amp;TEXT(AK150,"$0,000")&amp;"?"</f>
        <v/>
      </c>
      <c r="H150" s="7299" t="n"/>
      <c r="I150" s="7299" t="n"/>
      <c r="J150" s="7299" t="n"/>
      <c r="K150" s="7299" t="n"/>
      <c r="L150" s="7299" t="n"/>
      <c r="M150" s="7299" t="n"/>
      <c r="N150" s="7299" t="n"/>
      <c r="O150" s="7299" t="n"/>
      <c r="P150" s="7299" t="n"/>
      <c r="Q150" s="7299" t="n"/>
      <c r="R150" s="7299" t="n"/>
      <c r="S150" s="7299" t="n"/>
      <c r="T150" s="7299" t="n"/>
      <c r="U150" s="7299" t="n"/>
      <c r="V150" s="7299" t="n"/>
      <c r="W150" s="7299" t="n"/>
      <c r="X150" s="7299" t="n"/>
      <c r="Y150" s="7299" t="n"/>
      <c r="Z150" s="2273" t="n"/>
      <c r="AA150" s="2273" t="n"/>
      <c r="AB150" s="1989" t="inlineStr">
        <is>
          <t>.   .   .   .   .   .   .   .   .   .   .   .   .   .   .   .   .   .   .</t>
        </is>
      </c>
      <c r="AC150" s="7299" t="n"/>
      <c r="AD150" s="2270" t="inlineStr">
        <is>
          <t>4</t>
        </is>
      </c>
      <c r="AE150" s="7062">
        <f>IF(AND(AL136,G155&lt;&gt;""),SUM(AE147,-AK150),"")</f>
        <v/>
      </c>
      <c r="AF150" s="7637" t="n"/>
      <c r="AG150" s="7637" t="n"/>
      <c r="AH150" s="7637" t="n"/>
      <c r="AI150" s="7637" t="n"/>
      <c r="AJ150" s="7299" t="n"/>
      <c r="AK150" s="10940" t="n">
        <v>2500</v>
      </c>
      <c r="AP150" s="7299" t="n"/>
      <c r="AQ150" s="1277" t="n"/>
      <c r="AR150" s="1277" t="n"/>
      <c r="AS150" s="1277" t="n"/>
      <c r="AT150" s="1277" t="n"/>
      <c r="AU150" s="1277" t="n"/>
    </row>
    <row r="151" ht="6.75" customHeight="1" s="7635" thickBot="1">
      <c r="A151" s="1277" t="n"/>
      <c r="B151" s="7299" t="n"/>
      <c r="C151" s="7299" t="n"/>
      <c r="D151" s="7299" t="n"/>
      <c r="E151" s="7299" t="n"/>
      <c r="F151" s="7299" t="n"/>
      <c r="G151" s="7299" t="n"/>
      <c r="H151" s="7299" t="n"/>
      <c r="I151" s="7299" t="n"/>
      <c r="J151" s="7299" t="n"/>
      <c r="K151" s="7299" t="n"/>
      <c r="L151" s="7299" t="n"/>
      <c r="M151" s="7299" t="n"/>
      <c r="N151" s="7299" t="n"/>
      <c r="O151" s="7299" t="n"/>
      <c r="P151" s="7299" t="n"/>
      <c r="Q151" s="7299" t="n"/>
      <c r="R151" s="7299" t="n"/>
      <c r="S151" s="7299" t="n"/>
      <c r="T151" s="7299" t="n"/>
      <c r="U151" s="7299" t="n"/>
      <c r="V151" s="7299" t="n"/>
      <c r="W151" s="7299" t="n"/>
      <c r="X151" s="7299" t="n"/>
      <c r="Y151" s="7299" t="n"/>
      <c r="Z151" s="7299" t="n"/>
      <c r="AA151" s="7299" t="n"/>
      <c r="AB151" s="7299" t="n"/>
      <c r="AC151" s="7299" t="n"/>
      <c r="AD151" s="7299" t="n"/>
      <c r="AE151" s="7299" t="n"/>
      <c r="AF151" s="7299" t="n"/>
      <c r="AG151" s="7299" t="n"/>
      <c r="AH151" s="7299" t="n"/>
      <c r="AI151" s="7299" t="n"/>
      <c r="AJ151" s="7299" t="n"/>
      <c r="AK151" s="7299" t="n"/>
      <c r="AL151" s="7299" t="n"/>
      <c r="AM151" s="7299" t="n"/>
      <c r="AN151" s="7299" t="n"/>
      <c r="AO151" s="7299" t="n"/>
      <c r="AP151" s="7299" t="n"/>
      <c r="AQ151" s="1277" t="n"/>
      <c r="AR151" s="1277" t="n"/>
      <c r="AS151" s="1277" t="n"/>
      <c r="AT151" s="1277" t="n"/>
      <c r="AU151" s="1277" t="n"/>
    </row>
    <row r="152" ht="12" customHeight="1" s="7635" thickBot="1">
      <c r="A152" s="1277" t="n"/>
      <c r="B152" s="7299" t="n"/>
      <c r="C152" s="7299" t="n"/>
      <c r="D152" s="10978" t="n"/>
      <c r="F152" s="7299" t="n"/>
      <c r="G152" s="2274">
        <f>IF(NOT(AL136),"",IF(AE147&gt;AK150,"","X"))</f>
        <v/>
      </c>
      <c r="H152" s="7299" t="n"/>
      <c r="I152" s="807" t="inlineStr">
        <is>
          <t>No.</t>
        </is>
      </c>
      <c r="J152" s="7299" t="n"/>
      <c r="K152" s="7299" t="inlineStr">
        <is>
          <t>Leave line 4 blank, enter -0- on line 5, and go</t>
        </is>
      </c>
      <c r="L152" s="7299" t="n"/>
      <c r="M152" s="7299" t="n"/>
      <c r="N152" s="7299" t="n"/>
      <c r="O152" s="7299" t="n"/>
      <c r="P152" s="7299" t="n"/>
      <c r="Q152" s="7299" t="n"/>
      <c r="R152" s="7299" t="n"/>
      <c r="S152" s="7299" t="n"/>
      <c r="T152" s="7299" t="n"/>
      <c r="U152" s="7299" t="n"/>
      <c r="V152" s="7299" t="n"/>
      <c r="W152" s="7299" t="n"/>
      <c r="X152" s="7299" t="n"/>
      <c r="Y152" s="7299" t="n"/>
      <c r="Z152" s="7299" t="n"/>
      <c r="AA152" s="7299" t="n"/>
      <c r="AB152" s="7299" t="n"/>
      <c r="AC152" s="7299" t="n"/>
      <c r="AD152" s="7299" t="n"/>
      <c r="AE152" s="7299" t="n"/>
      <c r="AF152" s="7299" t="n"/>
      <c r="AG152" s="7299" t="n"/>
      <c r="AH152" s="7299" t="n"/>
      <c r="AI152" s="7299" t="n"/>
      <c r="AJ152" s="7299" t="n"/>
      <c r="AK152" s="7299" t="n"/>
      <c r="AL152" s="7299" t="n"/>
      <c r="AM152" s="7299" t="n"/>
      <c r="AN152" s="7299" t="n"/>
      <c r="AO152" s="7299" t="n"/>
      <c r="AP152" s="7299" t="n"/>
      <c r="AQ152" s="1277" t="n"/>
      <c r="AR152" s="1277" t="n"/>
      <c r="AS152" s="1277" t="n"/>
      <c r="AT152" s="1277" t="n"/>
      <c r="AU152" s="1277" t="n"/>
    </row>
    <row r="153" ht="12" customHeight="1" s="7635">
      <c r="A153" s="1277" t="n"/>
      <c r="B153" s="7299" t="n"/>
      <c r="C153" s="7299" t="n"/>
      <c r="D153" s="7299" t="n"/>
      <c r="E153" s="7299" t="n"/>
      <c r="F153" s="7299" t="n"/>
      <c r="G153" s="7299" t="n"/>
      <c r="H153" s="7299" t="n"/>
      <c r="I153" s="7299" t="n"/>
      <c r="J153" s="7299" t="n"/>
      <c r="K153" s="7299" t="inlineStr">
        <is>
          <t>to line 6.</t>
        </is>
      </c>
      <c r="L153" s="7299" t="n"/>
      <c r="M153" s="7299" t="n"/>
      <c r="N153" s="7299" t="n"/>
      <c r="O153" s="7299" t="n"/>
      <c r="P153" s="7299" t="n"/>
      <c r="Q153" s="7299" t="n"/>
      <c r="R153" s="7299" t="n"/>
      <c r="S153" s="7299" t="n"/>
      <c r="T153" s="7299" t="n"/>
      <c r="U153" s="7299" t="n"/>
      <c r="V153" s="7299" t="n"/>
      <c r="W153" s="7299" t="n"/>
      <c r="X153" s="7299" t="n"/>
      <c r="Y153" s="7299" t="n"/>
      <c r="Z153" s="7299" t="n"/>
      <c r="AA153" s="7299" t="n"/>
      <c r="AB153" s="7299" t="n"/>
      <c r="AC153" s="7299" t="n"/>
      <c r="AD153" s="7299" t="n"/>
      <c r="AE153" s="7299" t="n"/>
      <c r="AF153" s="7299" t="n"/>
      <c r="AG153" s="7299" t="n"/>
      <c r="AH153" s="7299" t="n"/>
      <c r="AI153" s="7299" t="n"/>
      <c r="AJ153" s="7299" t="n"/>
      <c r="AK153" s="7299" t="n"/>
      <c r="AL153" s="7299" t="n"/>
      <c r="AM153" s="7299" t="n"/>
      <c r="AN153" s="7299" t="n"/>
      <c r="AO153" s="7299" t="n"/>
      <c r="AP153" s="7299" t="n"/>
      <c r="AQ153" s="1277" t="n"/>
      <c r="AR153" s="1277" t="n"/>
      <c r="AS153" s="1277" t="n"/>
      <c r="AT153" s="1277" t="n"/>
      <c r="AU153" s="1277" t="n"/>
    </row>
    <row r="154" ht="6.75" customHeight="1" s="7635" thickBot="1">
      <c r="A154" s="1277" t="n"/>
      <c r="B154" s="7299" t="n"/>
      <c r="C154" s="7299" t="n"/>
      <c r="D154" s="7299" t="n"/>
      <c r="E154" s="7299" t="n"/>
      <c r="F154" s="7299" t="n"/>
      <c r="G154" s="7299" t="n"/>
      <c r="H154" s="7299" t="n"/>
      <c r="I154" s="7299" t="n"/>
      <c r="J154" s="7299" t="n"/>
      <c r="K154" s="7299" t="n"/>
      <c r="L154" s="7299" t="n"/>
      <c r="M154" s="7299" t="n"/>
      <c r="N154" s="7299" t="n"/>
      <c r="O154" s="7299" t="n"/>
      <c r="P154" s="7299" t="n"/>
      <c r="Q154" s="7299" t="n"/>
      <c r="R154" s="7299" t="n"/>
      <c r="S154" s="7299" t="n"/>
      <c r="T154" s="7299" t="n"/>
      <c r="U154" s="7299" t="n"/>
      <c r="V154" s="7299" t="n"/>
      <c r="W154" s="7299" t="n"/>
      <c r="X154" s="7299" t="n"/>
      <c r="Y154" s="7299" t="n"/>
      <c r="Z154" s="7299" t="n"/>
      <c r="AA154" s="7299" t="n"/>
      <c r="AB154" s="7299" t="n"/>
      <c r="AC154" s="7299" t="n"/>
      <c r="AD154" s="7299" t="n"/>
      <c r="AE154" s="7299" t="n"/>
      <c r="AF154" s="7299" t="n"/>
      <c r="AG154" s="7299" t="n"/>
      <c r="AH154" s="7299" t="n"/>
      <c r="AI154" s="7299" t="n"/>
      <c r="AJ154" s="7299" t="n"/>
      <c r="AK154" s="7299" t="n"/>
      <c r="AL154" s="7299" t="n"/>
      <c r="AM154" s="7299" t="n"/>
      <c r="AN154" s="7299" t="n"/>
      <c r="AO154" s="7299" t="n"/>
      <c r="AP154" s="7299" t="n"/>
      <c r="AQ154" s="1277" t="n"/>
      <c r="AR154" s="1277" t="n"/>
      <c r="AS154" s="1277" t="n"/>
      <c r="AT154" s="1277" t="n"/>
      <c r="AU154" s="1277" t="n"/>
    </row>
    <row r="155" ht="12" customHeight="1" s="7635" thickBot="1">
      <c r="A155" s="1277" t="n"/>
      <c r="B155" s="7299" t="n"/>
      <c r="C155" s="7299" t="n"/>
      <c r="D155" s="10978" t="n"/>
      <c r="F155" s="7299" t="n"/>
      <c r="G155" s="2274">
        <f>IF(NOT(AL136),"",IF(AE147&gt;AK150,"X",""))</f>
        <v/>
      </c>
      <c r="H155" s="7299" t="n"/>
      <c r="I155" s="807" t="inlineStr">
        <is>
          <t>Yes.</t>
        </is>
      </c>
      <c r="J155" s="7299" t="n"/>
      <c r="K155" s="7299">
        <f>"Subtract "&amp;TEXT(AK150,"$0,000")&amp;" from the amount on line 3."</f>
        <v/>
      </c>
      <c r="L155" s="7299" t="n"/>
      <c r="M155" s="7299" t="n"/>
      <c r="N155" s="7299" t="n"/>
      <c r="O155" s="7299" t="n"/>
      <c r="P155" s="7299" t="n"/>
      <c r="Q155" s="7299" t="n"/>
      <c r="R155" s="7299" t="n"/>
      <c r="S155" s="7299" t="n"/>
      <c r="T155" s="7299" t="n"/>
      <c r="U155" s="7299" t="n"/>
      <c r="V155" s="7299" t="n"/>
      <c r="W155" s="7299" t="n"/>
      <c r="X155" s="7299" t="n"/>
      <c r="Y155" s="7299" t="n"/>
      <c r="Z155" s="7299" t="n"/>
      <c r="AA155" s="7299" t="n"/>
      <c r="AB155" s="7299" t="n"/>
      <c r="AC155" s="7299" t="n"/>
      <c r="AD155" s="7299" t="n"/>
      <c r="AE155" s="7299" t="n"/>
      <c r="AF155" s="7299" t="n"/>
      <c r="AG155" s="7299" t="n"/>
      <c r="AH155" s="7299" t="n"/>
      <c r="AI155" s="7299" t="n"/>
      <c r="AJ155" s="7299" t="n"/>
      <c r="AK155" s="7299" t="n"/>
      <c r="AL155" s="7299" t="n"/>
      <c r="AM155" s="7299" t="n"/>
      <c r="AN155" s="7299" t="n"/>
      <c r="AO155" s="7299" t="n"/>
      <c r="AP155" s="7299" t="n"/>
      <c r="AQ155" s="1277" t="n"/>
      <c r="AR155" s="1277" t="n"/>
      <c r="AS155" s="1277" t="n"/>
      <c r="AT155" s="1277" t="n"/>
      <c r="AU155" s="1277" t="n"/>
    </row>
    <row r="156" ht="12" customHeight="1" s="7635">
      <c r="A156" s="1277" t="n"/>
      <c r="B156" s="7299" t="n"/>
      <c r="C156" s="7299" t="n"/>
      <c r="D156" s="7299" t="n"/>
      <c r="E156" s="7299" t="n"/>
      <c r="F156" s="7299" t="n"/>
      <c r="G156" s="7299" t="n"/>
      <c r="H156" s="7299" t="n"/>
      <c r="I156" s="7299" t="n"/>
      <c r="J156" s="7299" t="n"/>
      <c r="K156" s="7299" t="inlineStr">
        <is>
          <t>Enter the result.</t>
        </is>
      </c>
      <c r="L156" s="7299" t="n"/>
      <c r="M156" s="7299" t="n"/>
      <c r="N156" s="7299" t="n"/>
      <c r="O156" s="7299" t="n"/>
      <c r="P156" s="7299" t="n"/>
      <c r="Q156" s="7299" t="n"/>
      <c r="R156" s="7299" t="n"/>
      <c r="S156" s="7299" t="n"/>
      <c r="T156" s="7299" t="n"/>
      <c r="U156" s="7299" t="n"/>
      <c r="V156" s="7299" t="n"/>
      <c r="W156" s="7299" t="n"/>
      <c r="X156" s="7299" t="n"/>
      <c r="Y156" s="7299" t="n"/>
      <c r="Z156" s="7299" t="n"/>
      <c r="AA156" s="7299" t="n"/>
      <c r="AB156" s="7299" t="n"/>
      <c r="AC156" s="7299" t="n"/>
      <c r="AD156" s="7299" t="n"/>
      <c r="AE156" s="7299" t="n"/>
      <c r="AF156" s="7299" t="n"/>
      <c r="AG156" s="7299" t="n"/>
      <c r="AH156" s="7299" t="n"/>
      <c r="AI156" s="7299" t="n"/>
      <c r="AJ156" s="7299" t="n"/>
      <c r="AK156" s="7299" t="n"/>
      <c r="AL156" s="7299" t="n"/>
      <c r="AM156" s="7299" t="n"/>
      <c r="AN156" s="7299" t="n"/>
      <c r="AO156" s="7299" t="n"/>
      <c r="AP156" s="7299" t="n"/>
      <c r="AQ156" s="1277" t="n"/>
      <c r="AR156" s="1277" t="n"/>
      <c r="AS156" s="1277" t="n"/>
      <c r="AT156" s="1277" t="n"/>
      <c r="AU156" s="1277" t="n"/>
    </row>
    <row r="157" ht="6" customHeight="1" s="7635">
      <c r="A157" s="1277" t="n"/>
      <c r="B157" s="7299" t="n"/>
      <c r="C157" s="7299" t="n"/>
      <c r="D157" s="7299" t="n"/>
      <c r="E157" s="7299" t="n"/>
      <c r="F157" s="7299" t="n"/>
      <c r="G157" s="7299" t="n"/>
      <c r="H157" s="7299" t="n"/>
      <c r="I157" s="7299" t="n"/>
      <c r="J157" s="7299" t="n"/>
      <c r="K157" s="7299" t="n"/>
      <c r="L157" s="7299" t="n"/>
      <c r="M157" s="7299" t="n"/>
      <c r="N157" s="7299" t="n"/>
      <c r="O157" s="7299" t="n"/>
      <c r="P157" s="7299" t="n"/>
      <c r="Q157" s="7299" t="n"/>
      <c r="R157" s="7299" t="n"/>
      <c r="S157" s="7299" t="n"/>
      <c r="T157" s="7299" t="n"/>
      <c r="U157" s="7299" t="n"/>
      <c r="V157" s="7299" t="n"/>
      <c r="W157" s="7299" t="n"/>
      <c r="X157" s="7299" t="n"/>
      <c r="Y157" s="7299" t="n"/>
      <c r="Z157" s="7299" t="n"/>
      <c r="AA157" s="7299" t="n"/>
      <c r="AB157" s="7299" t="n"/>
      <c r="AC157" s="7299" t="n"/>
      <c r="AD157" s="7299" t="n"/>
      <c r="AE157" s="7299" t="n"/>
      <c r="AF157" s="7299" t="n"/>
      <c r="AG157" s="7299" t="n"/>
      <c r="AH157" s="7299" t="n"/>
      <c r="AI157" s="7299" t="n"/>
      <c r="AJ157" s="7299" t="n"/>
      <c r="AK157" s="7299" t="n"/>
      <c r="AL157" s="7299" t="n"/>
      <c r="AM157" s="7299" t="n"/>
      <c r="AN157" s="7299" t="n"/>
      <c r="AO157" s="7299" t="n"/>
      <c r="AP157" s="7299" t="n"/>
      <c r="AQ157" s="1277" t="n"/>
      <c r="AR157" s="1277" t="n"/>
      <c r="AS157" s="1277" t="n"/>
      <c r="AT157" s="1277" t="n"/>
      <c r="AU157" s="1277" t="n"/>
    </row>
    <row r="158" ht="20.25" customHeight="1" s="7635">
      <c r="A158" s="1277" t="n"/>
      <c r="B158" s="7299" t="n"/>
      <c r="C158" s="10940" t="n">
        <v>0.15</v>
      </c>
      <c r="E158" s="7299" t="n"/>
      <c r="F158" s="2248" t="inlineStr">
        <is>
          <t>5.</t>
        </is>
      </c>
      <c r="G158" s="7299">
        <f>"Multiply the amount on line 4 by "&amp;TEXT(C158,"0%")&amp;" ("&amp;TEXT(C158,"0.00")&amp;") and enter the result"</f>
        <v/>
      </c>
      <c r="H158" s="7299" t="n"/>
      <c r="I158" s="7299" t="n"/>
      <c r="J158" s="7299" t="n"/>
      <c r="K158" s="7299" t="n"/>
      <c r="L158" s="7299" t="n"/>
      <c r="M158" s="7299" t="n"/>
      <c r="N158" s="7299" t="n"/>
      <c r="O158" s="7299" t="n"/>
      <c r="P158" s="7299" t="n"/>
      <c r="Q158" s="7299" t="n"/>
      <c r="R158" s="7299" t="n"/>
      <c r="S158" s="7299" t="n"/>
      <c r="T158" s="7299" t="n"/>
      <c r="U158" s="7299" t="n"/>
      <c r="V158" s="7299" t="n"/>
      <c r="W158" s="7299" t="n"/>
      <c r="X158" s="7299" t="n"/>
      <c r="Y158" s="7299" t="n"/>
      <c r="Z158" s="7299" t="n"/>
      <c r="AA158" s="9319" t="n"/>
      <c r="AB158" s="9319" t="n"/>
      <c r="AC158" s="7299" t="n"/>
      <c r="AD158" s="7299" t="n"/>
      <c r="AE158" s="7299" t="n"/>
      <c r="AF158" s="7299" t="n"/>
      <c r="AG158" s="7299" t="n"/>
      <c r="AH158" s="1989" t="inlineStr">
        <is>
          <t>.   .   .   .   .   .   .   .   .   .   .   .   .   .   .   .   .   .   .   .   .</t>
        </is>
      </c>
      <c r="AI158" s="2249" t="n"/>
      <c r="AJ158" s="2270" t="inlineStr">
        <is>
          <t>5</t>
        </is>
      </c>
      <c r="AK158" s="7062">
        <f>IF(G152&lt;&gt;"",0,IF(AND(AL136,G155&lt;&gt;""),ROUND(C158*AE150,0),""))</f>
        <v/>
      </c>
      <c r="AL158" s="7637" t="n"/>
      <c r="AM158" s="7637" t="n"/>
      <c r="AN158" s="7637" t="n"/>
      <c r="AO158" s="7637" t="n"/>
      <c r="AP158" s="7299" t="n"/>
      <c r="AQ158" s="1277" t="n"/>
      <c r="AR158" s="1277" t="n"/>
      <c r="AS158" s="1277" t="n"/>
      <c r="AT158" s="1277" t="n"/>
      <c r="AU158" s="1277" t="n"/>
    </row>
    <row r="159" ht="6" customHeight="1" s="7635">
      <c r="A159" s="1277" t="n"/>
      <c r="B159" s="7299" t="n"/>
      <c r="C159" s="7299" t="n"/>
      <c r="D159" s="7299" t="n"/>
      <c r="E159" s="7299" t="n"/>
      <c r="F159" s="7299" t="n"/>
      <c r="G159" s="7299" t="n"/>
      <c r="H159" s="7299" t="n"/>
      <c r="I159" s="7299" t="n"/>
      <c r="J159" s="7299" t="n"/>
      <c r="K159" s="7299" t="n"/>
      <c r="L159" s="7299" t="n"/>
      <c r="M159" s="7299" t="n"/>
      <c r="N159" s="7299" t="n"/>
      <c r="O159" s="7299" t="n"/>
      <c r="P159" s="7299" t="n"/>
      <c r="Q159" s="7299" t="n"/>
      <c r="R159" s="7299" t="n"/>
      <c r="S159" s="7299" t="n"/>
      <c r="T159" s="7299" t="n"/>
      <c r="U159" s="7299" t="n"/>
      <c r="V159" s="7299" t="n"/>
      <c r="W159" s="7299" t="n"/>
      <c r="X159" s="7299" t="n"/>
      <c r="Y159" s="7299" t="n"/>
      <c r="Z159" s="7299" t="n"/>
      <c r="AA159" s="7299" t="n"/>
      <c r="AB159" s="7299" t="n"/>
      <c r="AC159" s="7299" t="n"/>
      <c r="AD159" s="7299" t="n"/>
      <c r="AE159" s="7299" t="n"/>
      <c r="AF159" s="7299" t="n"/>
      <c r="AG159" s="7299" t="n"/>
      <c r="AH159" s="7299" t="n"/>
      <c r="AI159" s="7299" t="n"/>
      <c r="AJ159" s="7299" t="n"/>
      <c r="AK159" s="7299" t="n"/>
      <c r="AL159" s="7299" t="n"/>
      <c r="AM159" s="7299" t="n"/>
      <c r="AN159" s="7299" t="n"/>
      <c r="AO159" s="7299" t="n"/>
      <c r="AP159" s="7299" t="n"/>
      <c r="AQ159" s="1277" t="n"/>
      <c r="AR159" s="1277" t="n"/>
      <c r="AS159" s="1277" t="n"/>
      <c r="AT159" s="1277" t="n"/>
      <c r="AU159" s="1277" t="n"/>
    </row>
    <row r="160" ht="12" customHeight="1" s="7635">
      <c r="A160" s="1277" t="n"/>
      <c r="B160" s="7299" t="n"/>
      <c r="C160" s="7299" t="n"/>
      <c r="D160" s="7299" t="n"/>
      <c r="E160" s="7299" t="n"/>
      <c r="F160" s="2248" t="inlineStr">
        <is>
          <t>6.</t>
        </is>
      </c>
      <c r="G160" s="7299">
        <f>"On line 2 of this worksheet, is the amount "&amp;TEXT(AA160,"$0,000")&amp;" or more?"</f>
        <v/>
      </c>
      <c r="H160" s="7299" t="n"/>
      <c r="I160" s="7299" t="n"/>
      <c r="J160" s="7299" t="n"/>
      <c r="K160" s="7299" t="n"/>
      <c r="L160" s="7299" t="n"/>
      <c r="M160" s="7299" t="n"/>
      <c r="N160" s="7299" t="n"/>
      <c r="O160" s="7299" t="n"/>
      <c r="P160" s="7299" t="n"/>
      <c r="Q160" s="7299" t="n"/>
      <c r="R160" s="7299" t="n"/>
      <c r="S160" s="7299" t="n"/>
      <c r="T160" s="7299" t="n"/>
      <c r="U160" s="7299" t="n"/>
      <c r="V160" s="7299" t="n"/>
      <c r="W160" s="7299" t="n"/>
      <c r="X160" s="7299" t="n"/>
      <c r="Y160" s="7299" t="n"/>
      <c r="Z160" s="7299" t="n"/>
      <c r="AA160" s="10940">
        <f>AE64</f>
        <v/>
      </c>
      <c r="AC160" s="7299" t="n"/>
      <c r="AD160" s="7299" t="n"/>
      <c r="AE160" s="7299" t="n"/>
      <c r="AF160" s="7299" t="n"/>
      <c r="AG160" s="7299" t="n"/>
      <c r="AH160" s="7299" t="n"/>
      <c r="AI160" s="7299" t="n"/>
      <c r="AJ160" s="7299" t="n"/>
      <c r="AK160" s="7299" t="n"/>
      <c r="AL160" s="7299" t="n"/>
      <c r="AM160" s="7299" t="n"/>
      <c r="AN160" s="7299" t="n"/>
      <c r="AO160" s="7299" t="n"/>
      <c r="AP160" s="7299" t="n"/>
      <c r="AQ160" s="1277" t="n"/>
      <c r="AR160" s="1277" t="n"/>
      <c r="AS160" s="1277" t="n"/>
      <c r="AT160" s="1277" t="n"/>
      <c r="AU160" s="1277" t="n"/>
    </row>
    <row r="161" ht="12" customHeight="1" s="7635" thickBot="1">
      <c r="A161" s="1277" t="n"/>
      <c r="B161" s="7299" t="n"/>
      <c r="C161" s="7299" t="n"/>
      <c r="D161" s="7299" t="n"/>
      <c r="E161" s="7299" t="n"/>
      <c r="F161" s="7299" t="n"/>
      <c r="G161" s="7299" t="n"/>
      <c r="H161" s="7299" t="n"/>
      <c r="I161" s="7299" t="n"/>
      <c r="J161" s="7299" t="n"/>
      <c r="K161" s="7299" t="n"/>
      <c r="L161" s="7299" t="n"/>
      <c r="M161" s="7299" t="n"/>
      <c r="N161" s="7299" t="n"/>
      <c r="O161" s="7299" t="n"/>
      <c r="P161" s="7299" t="n"/>
      <c r="Q161" s="7299" t="n"/>
      <c r="R161" s="7299" t="n"/>
      <c r="S161" s="7299" t="n"/>
      <c r="T161" s="7299" t="n"/>
      <c r="U161" s="7299" t="n"/>
      <c r="V161" s="7299" t="n"/>
      <c r="W161" s="7299" t="n"/>
      <c r="X161" s="7299" t="n"/>
      <c r="Y161" s="7299" t="n"/>
      <c r="Z161" s="7299" t="n"/>
      <c r="AA161" s="7299" t="n"/>
      <c r="AB161" s="7299" t="n"/>
      <c r="AC161" s="7299" t="n"/>
      <c r="AD161" s="7299" t="n"/>
      <c r="AE161" s="7299" t="n"/>
      <c r="AF161" s="7299" t="n"/>
      <c r="AG161" s="7299" t="n"/>
      <c r="AH161" s="7299" t="n"/>
      <c r="AI161" s="7299" t="n"/>
      <c r="AJ161" s="7299" t="n"/>
      <c r="AK161" s="7299" t="n"/>
      <c r="AL161" s="7299" t="n"/>
      <c r="AM161" s="7299" t="n"/>
      <c r="AN161" s="7299" t="n"/>
      <c r="AO161" s="7299" t="n"/>
      <c r="AP161" s="7299" t="n"/>
      <c r="AQ161" s="1277" t="n"/>
      <c r="AR161" s="1277" t="n"/>
      <c r="AS161" s="1277" t="n"/>
      <c r="AT161" s="1277" t="n"/>
      <c r="AU161" s="1277" t="n"/>
    </row>
    <row r="162" ht="13.5" customHeight="1" s="7635" thickBot="1">
      <c r="A162" s="1277" t="n"/>
      <c r="B162" s="7299" t="n"/>
      <c r="C162" s="10940">
        <f>(G162&lt;&gt;"")</f>
        <v/>
      </c>
      <c r="F162" s="2248" t="n"/>
      <c r="G162" s="2274">
        <f>IF(NOT(AL136),"",IF(AK142&gt;=AA160,"","X"))</f>
        <v/>
      </c>
      <c r="H162" s="7299" t="n"/>
      <c r="I162" s="807" t="inlineStr">
        <is>
          <t>No.</t>
        </is>
      </c>
      <c r="J162" s="7299" t="n"/>
      <c r="K162" s="7299" t="n"/>
      <c r="L162" s="7299" t="n"/>
      <c r="M162" s="7299" t="n"/>
      <c r="N162" s="7299" t="n"/>
      <c r="O162" s="7299" t="n"/>
      <c r="P162" s="7299" t="n"/>
      <c r="Q162" s="7299" t="n"/>
      <c r="R162" s="7299" t="n"/>
      <c r="S162" s="7299" t="n"/>
      <c r="T162" s="7299" t="n"/>
      <c r="U162" s="7299" t="n"/>
      <c r="V162" s="7299" t="n"/>
      <c r="W162" s="7299" t="n"/>
      <c r="X162" s="7299" t="n"/>
      <c r="Y162" s="7299" t="n"/>
      <c r="Z162" s="7299" t="n"/>
      <c r="AA162" s="7299" t="n"/>
      <c r="AB162" s="7299" t="n"/>
      <c r="AC162" s="7299" t="n"/>
      <c r="AD162" s="7299" t="n"/>
      <c r="AE162" s="7299" t="n"/>
      <c r="AF162" s="7299" t="n"/>
      <c r="AG162" s="7299" t="n"/>
      <c r="AH162" s="7299" t="n"/>
      <c r="AI162" s="7299" t="n"/>
      <c r="AJ162" s="7299" t="n"/>
      <c r="AK162" s="7299" t="n"/>
      <c r="AL162" s="7299" t="n"/>
      <c r="AM162" s="7299" t="n"/>
      <c r="AN162" s="7299" t="n"/>
      <c r="AO162" s="7299" t="n"/>
      <c r="AP162" s="7299" t="n"/>
      <c r="AQ162" s="1277" t="n"/>
      <c r="AR162" s="1277" t="n"/>
      <c r="AS162" s="1277" t="n"/>
      <c r="AT162" s="1277" t="n"/>
      <c r="AU162" s="1277" t="n"/>
    </row>
    <row r="163" ht="12" customHeight="1" s="7635">
      <c r="A163" s="1277" t="n"/>
      <c r="B163" s="7299" t="n"/>
      <c r="C163" s="10940">
        <f>AND(C162,PuertoRicoResident,AK158&lt;AK140)</f>
        <v/>
      </c>
      <c r="F163" s="7299" t="n"/>
      <c r="G163" s="7299" t="n"/>
      <c r="H163" s="7299" t="n"/>
      <c r="I163" s="7299" t="inlineStr">
        <is>
          <t>If you are a bona fide resident of Puerto Rico and line 5 above is less than</t>
        </is>
      </c>
      <c r="J163" s="7299" t="n"/>
      <c r="K163" s="7299" t="n"/>
      <c r="L163" s="7299" t="n"/>
      <c r="M163" s="7299" t="n"/>
      <c r="N163" s="7299" t="n"/>
      <c r="O163" s="7299" t="n"/>
      <c r="P163" s="7299" t="n"/>
      <c r="Q163" s="7299" t="n"/>
      <c r="R163" s="7299" t="n"/>
      <c r="S163" s="7299" t="n"/>
      <c r="T163" s="7299" t="n"/>
      <c r="U163" s="7299" t="n"/>
      <c r="V163" s="7299" t="n"/>
      <c r="W163" s="7299" t="n"/>
      <c r="X163" s="7299" t="n"/>
      <c r="Y163" s="7299" t="n"/>
      <c r="Z163" s="7299" t="n"/>
      <c r="AA163" s="7299" t="n"/>
      <c r="AB163" s="7299" t="n"/>
      <c r="AC163" s="7299" t="n"/>
      <c r="AD163" s="7299" t="n"/>
      <c r="AE163" s="7299" t="n"/>
      <c r="AF163" s="7299" t="n"/>
      <c r="AG163" s="7299" t="n"/>
      <c r="AH163" s="7299" t="n"/>
      <c r="AI163" s="7299" t="n"/>
      <c r="AJ163" s="7299" t="n"/>
      <c r="AK163" s="7299" t="n"/>
      <c r="AL163" s="7299" t="n"/>
      <c r="AM163" s="7299" t="n"/>
      <c r="AN163" s="7299" t="n"/>
      <c r="AO163" s="7299" t="n"/>
      <c r="AP163" s="7299" t="n"/>
      <c r="AQ163" s="1277" t="n"/>
      <c r="AR163" s="1277" t="n"/>
      <c r="AS163" s="2153" t="n"/>
      <c r="AT163" s="1277" t="n"/>
      <c r="AU163" s="1277" t="n"/>
    </row>
    <row r="164" ht="12" customHeight="1" s="7635">
      <c r="A164" s="1277" t="n"/>
      <c r="B164" s="7299" t="n"/>
      <c r="C164" s="9319" t="n"/>
      <c r="D164" s="9319" t="n"/>
      <c r="E164" s="9319" t="n"/>
      <c r="F164" s="7299" t="n"/>
      <c r="G164" s="7299" t="n"/>
      <c r="H164" s="7299" t="n"/>
      <c r="I164" s="7299" t="inlineStr">
        <is>
          <t>line 1 above, go to line 7.</t>
        </is>
      </c>
      <c r="J164" s="7299" t="n"/>
      <c r="K164" s="7299" t="n"/>
      <c r="L164" s="7299" t="n"/>
      <c r="M164" s="7299" t="n"/>
      <c r="N164" s="7299" t="n"/>
      <c r="O164" s="7299" t="n"/>
      <c r="P164" s="7299" t="inlineStr">
        <is>
          <t xml:space="preserve">Otherwise, leave lines 7 through 10 blank, </t>
        </is>
      </c>
      <c r="Q164" s="7299" t="n"/>
      <c r="R164" s="7299" t="n"/>
      <c r="S164" s="7299" t="n"/>
      <c r="T164" s="7299" t="n"/>
      <c r="U164" s="7299" t="n"/>
      <c r="V164" s="7299" t="n"/>
      <c r="W164" s="7299" t="n"/>
      <c r="X164" s="7299" t="n"/>
      <c r="Y164" s="7299" t="n"/>
      <c r="Z164" s="7299" t="n"/>
      <c r="AA164" s="7299" t="n"/>
      <c r="AB164" s="7299" t="n"/>
      <c r="AC164" s="7299" t="n"/>
      <c r="AD164" s="7299" t="n"/>
      <c r="AE164" s="7299" t="n"/>
      <c r="AF164" s="7299" t="n"/>
      <c r="AG164" s="7299" t="n"/>
      <c r="AH164" s="7299" t="n"/>
      <c r="AI164" s="7299" t="n"/>
      <c r="AJ164" s="7299" t="n"/>
      <c r="AK164" s="7299" t="n"/>
      <c r="AL164" s="7299" t="n"/>
      <c r="AM164" s="7299" t="n"/>
      <c r="AN164" s="7299" t="n"/>
      <c r="AO164" s="7299" t="n"/>
      <c r="AP164" s="7299" t="n"/>
      <c r="AQ164" s="1277" t="n"/>
      <c r="AR164" s="1277" t="n"/>
      <c r="AS164" s="1277" t="n"/>
      <c r="AT164" s="1277" t="n"/>
      <c r="AU164" s="1277" t="n"/>
    </row>
    <row r="165">
      <c r="A165" s="1277" t="n"/>
      <c r="B165" s="7299" t="n"/>
      <c r="C165" s="9319" t="n"/>
      <c r="D165" s="9319" t="n"/>
      <c r="E165" s="9319" t="n"/>
      <c r="F165" s="2248" t="n"/>
      <c r="G165" s="7299" t="n"/>
      <c r="H165" s="7299" t="n"/>
      <c r="I165" s="2258" t="inlineStr">
        <is>
          <t>enter -0- on line 11, and go to line 12.</t>
        </is>
      </c>
      <c r="J165" s="7299" t="n"/>
      <c r="K165" s="7299" t="n"/>
      <c r="L165" s="7299" t="n"/>
      <c r="M165" s="7299" t="n"/>
      <c r="N165" s="7299" t="n"/>
      <c r="O165" s="7299" t="n"/>
      <c r="P165" s="7299" t="n"/>
      <c r="Q165" s="7299" t="n"/>
      <c r="R165" s="7299" t="n"/>
      <c r="S165" s="7299" t="n"/>
      <c r="T165" s="7299" t="n"/>
      <c r="U165" s="7299" t="n"/>
      <c r="V165" s="7299" t="n"/>
      <c r="W165" s="7299" t="n"/>
      <c r="X165" s="7299" t="n"/>
      <c r="Y165" s="7299" t="n"/>
      <c r="Z165" s="7299" t="n"/>
      <c r="AA165" s="7299" t="n"/>
      <c r="AB165" s="7299" t="n"/>
      <c r="AC165" s="7299" t="n"/>
      <c r="AD165" s="7299" t="n"/>
      <c r="AE165" s="7299" t="n"/>
      <c r="AF165" s="7299" t="n"/>
      <c r="AG165" s="7299" t="n"/>
      <c r="AH165" s="7299" t="n"/>
      <c r="AI165" s="7299" t="n"/>
      <c r="AJ165" s="7299" t="n"/>
      <c r="AK165" s="7299" t="n"/>
      <c r="AL165" s="7299" t="n"/>
      <c r="AM165" s="7299" t="n"/>
      <c r="AN165" s="7299" t="n"/>
      <c r="AO165" s="7299" t="n"/>
      <c r="AP165" s="7299" t="n"/>
      <c r="AQ165" s="1277" t="n"/>
      <c r="AR165" s="1277" t="n"/>
      <c r="AS165" s="1277" t="n"/>
      <c r="AT165" s="1277" t="n"/>
      <c r="AU165" s="1277" t="n"/>
    </row>
    <row r="166" ht="12" customHeight="1" s="7635" thickBot="1">
      <c r="A166" s="1277" t="n"/>
      <c r="B166" s="7299" t="n"/>
      <c r="C166" s="9319" t="n"/>
      <c r="D166" s="9319" t="n"/>
      <c r="E166" s="9319" t="n"/>
      <c r="F166" s="7299" t="n"/>
      <c r="G166" s="7299" t="n"/>
      <c r="H166" s="7299" t="n"/>
      <c r="I166" s="7299" t="n"/>
      <c r="J166" s="7299" t="n"/>
      <c r="K166" s="7299" t="n"/>
      <c r="L166" s="7299" t="n"/>
      <c r="M166" s="7299" t="n"/>
      <c r="N166" s="7299" t="n"/>
      <c r="O166" s="7299" t="n"/>
      <c r="P166" s="7299" t="n"/>
      <c r="Q166" s="7299" t="n"/>
      <c r="R166" s="7299" t="n"/>
      <c r="S166" s="7299" t="n"/>
      <c r="T166" s="7299" t="n"/>
      <c r="U166" s="7299" t="n"/>
      <c r="V166" s="7299" t="n"/>
      <c r="W166" s="7299" t="n"/>
      <c r="X166" s="7299" t="n"/>
      <c r="Y166" s="7299" t="n"/>
      <c r="Z166" s="7299" t="n"/>
      <c r="AA166" s="7299" t="n"/>
      <c r="AB166" s="7299" t="n"/>
      <c r="AC166" s="7299" t="n"/>
      <c r="AD166" s="7299" t="n"/>
      <c r="AE166" s="7299" t="n"/>
      <c r="AF166" s="7299" t="n"/>
      <c r="AG166" s="7299" t="n"/>
      <c r="AH166" s="7299" t="n"/>
      <c r="AI166" s="7299" t="n"/>
      <c r="AJ166" s="7299" t="n"/>
      <c r="AK166" s="7299" t="n"/>
      <c r="AL166" s="7299" t="n"/>
      <c r="AM166" s="7299" t="n"/>
      <c r="AN166" s="7299" t="n"/>
      <c r="AO166" s="7299" t="n"/>
      <c r="AP166" s="7299" t="n"/>
      <c r="AQ166" s="1277" t="n"/>
      <c r="AR166" s="1277" t="n"/>
      <c r="AS166" s="1277" t="n"/>
      <c r="AT166" s="1277" t="n"/>
      <c r="AU166" s="1277" t="n"/>
    </row>
    <row r="167" ht="13.5" customHeight="1" s="7635" thickBot="1">
      <c r="A167" s="1277" t="n"/>
      <c r="B167" s="7299" t="n"/>
      <c r="C167" s="10940">
        <f>(G167&lt;&gt;"")</f>
        <v/>
      </c>
      <c r="F167" s="2248" t="n"/>
      <c r="G167" s="2274">
        <f>IF(NOT(AL136),"",IF(AK142&gt;=AA160,"X",""))</f>
        <v/>
      </c>
      <c r="H167" s="7299" t="n"/>
      <c r="I167" s="807" t="inlineStr">
        <is>
          <t>Yes.</t>
        </is>
      </c>
      <c r="J167" s="7299" t="n"/>
      <c r="K167" s="7299" t="inlineStr">
        <is>
          <t>If line 5 above is equal to or more than line 1 above, leave lines 7 through 10</t>
        </is>
      </c>
      <c r="L167" s="7299" t="n"/>
      <c r="M167" s="7299" t="n"/>
      <c r="N167" s="7299" t="n"/>
      <c r="O167" s="7299" t="n"/>
      <c r="P167" s="7299" t="n"/>
      <c r="Q167" s="7299" t="n"/>
      <c r="R167" s="7299" t="n"/>
      <c r="S167" s="7299" t="n"/>
      <c r="T167" s="7299" t="n"/>
      <c r="U167" s="7299" t="n"/>
      <c r="V167" s="7299" t="n"/>
      <c r="W167" s="7299" t="n"/>
      <c r="X167" s="7299" t="n"/>
      <c r="Y167" s="7299" t="n"/>
      <c r="Z167" s="7299" t="n"/>
      <c r="AA167" s="7299" t="n"/>
      <c r="AB167" s="7299" t="n"/>
      <c r="AC167" s="7299" t="n"/>
      <c r="AD167" s="7299" t="n"/>
      <c r="AE167" s="7299" t="n"/>
      <c r="AF167" s="7299" t="n"/>
      <c r="AG167" s="7299" t="n"/>
      <c r="AH167" s="7299" t="n"/>
      <c r="AI167" s="7299" t="n"/>
      <c r="AJ167" s="7299" t="n"/>
      <c r="AK167" s="7299" t="n"/>
      <c r="AL167" s="7299" t="n"/>
      <c r="AM167" s="7299" t="n"/>
      <c r="AN167" s="7299" t="n"/>
      <c r="AO167" s="7299" t="n"/>
      <c r="AP167" s="7299" t="n"/>
      <c r="AQ167" s="1277" t="n"/>
      <c r="AR167" s="1277" t="n"/>
      <c r="AS167" s="1277" t="n"/>
      <c r="AT167" s="1277" t="n"/>
      <c r="AU167" s="1277" t="n"/>
    </row>
    <row r="168" ht="12" customHeight="1" s="7635">
      <c r="A168" s="1277" t="n"/>
      <c r="B168" s="7299" t="n"/>
      <c r="C168" s="10940">
        <f>AND(C167,AK158&gt;=AK140)</f>
        <v/>
      </c>
      <c r="F168" s="7299" t="n"/>
      <c r="G168" s="7299" t="n"/>
      <c r="H168" s="7299" t="n"/>
      <c r="I168" s="7299" t="n"/>
      <c r="J168" s="7299" t="inlineStr">
        <is>
          <t>blank, enter -0- on line 11, and go to line 12. Otherwise, go to line 7.</t>
        </is>
      </c>
      <c r="K168" s="7299" t="n"/>
      <c r="L168" s="7299" t="n"/>
      <c r="M168" s="7299" t="n"/>
      <c r="N168" s="7299" t="n"/>
      <c r="O168" s="7299" t="n"/>
      <c r="P168" s="7299" t="n"/>
      <c r="Q168" s="7299" t="n"/>
      <c r="R168" s="7299" t="n"/>
      <c r="S168" s="7299" t="n"/>
      <c r="T168" s="7299" t="n"/>
      <c r="U168" s="7299" t="n"/>
      <c r="V168" s="7299" t="n"/>
      <c r="W168" s="7299" t="n"/>
      <c r="X168" s="7299" t="n"/>
      <c r="Y168" s="7299" t="n"/>
      <c r="Z168" s="7299" t="n"/>
      <c r="AA168" s="7299" t="n"/>
      <c r="AB168" s="7299" t="n"/>
      <c r="AC168" s="7299" t="n"/>
      <c r="AD168" s="7299" t="n"/>
      <c r="AE168" s="7299" t="n"/>
      <c r="AF168" s="7299" t="n"/>
      <c r="AG168" s="7299" t="n"/>
      <c r="AH168" s="7299" t="n"/>
      <c r="AI168" s="7299" t="n"/>
      <c r="AJ168" s="7299" t="n"/>
      <c r="AK168" s="7299" t="n"/>
      <c r="AL168" s="7299" t="n"/>
      <c r="AM168" s="7299" t="n"/>
      <c r="AN168" s="7299" t="n"/>
      <c r="AO168" s="7299" t="n"/>
      <c r="AP168" s="7299" t="n"/>
      <c r="AQ168" s="1277" t="n"/>
      <c r="AR168" s="1277" t="n"/>
      <c r="AS168" s="2195" t="n"/>
      <c r="AT168" s="1277" t="n"/>
      <c r="AU168" s="1277" t="n"/>
    </row>
    <row r="169" ht="6.75" customHeight="1" s="7635">
      <c r="A169" s="1277" t="n"/>
      <c r="B169" s="7299" t="n"/>
      <c r="C169" s="7299" t="n"/>
      <c r="D169" s="7299" t="n"/>
      <c r="E169" s="7299" t="n"/>
      <c r="F169" s="7299" t="n"/>
      <c r="G169" s="7299" t="n"/>
      <c r="H169" s="7299" t="n"/>
      <c r="I169" s="7299" t="n"/>
      <c r="J169" s="7299" t="n"/>
      <c r="K169" s="7299" t="n"/>
      <c r="L169" s="7299" t="n"/>
      <c r="M169" s="7299" t="n"/>
      <c r="N169" s="7299" t="n"/>
      <c r="O169" s="7299" t="n"/>
      <c r="P169" s="7299" t="n"/>
      <c r="Q169" s="7299" t="n"/>
      <c r="R169" s="7299" t="n"/>
      <c r="S169" s="7299" t="n"/>
      <c r="T169" s="7299" t="n"/>
      <c r="U169" s="7299" t="n"/>
      <c r="V169" s="7299" t="n"/>
      <c r="W169" s="7299" t="n"/>
      <c r="X169" s="7299" t="n"/>
      <c r="Y169" s="7299" t="n"/>
      <c r="Z169" s="7299" t="n"/>
      <c r="AA169" s="7299" t="n"/>
      <c r="AB169" s="7299" t="n"/>
      <c r="AC169" s="7299" t="n"/>
      <c r="AD169" s="7299" t="n"/>
      <c r="AE169" s="7299" t="n"/>
      <c r="AF169" s="7299" t="n"/>
      <c r="AG169" s="7299" t="n"/>
      <c r="AH169" s="7299" t="n"/>
      <c r="AI169" s="7299" t="n"/>
      <c r="AJ169" s="7299" t="n"/>
      <c r="AK169" s="7299" t="n"/>
      <c r="AL169" s="7299" t="n"/>
      <c r="AM169" s="7299" t="n"/>
      <c r="AN169" s="7299" t="n"/>
      <c r="AO169" s="7299" t="n"/>
      <c r="AP169" s="7299" t="n"/>
      <c r="AQ169" s="1277" t="n"/>
      <c r="AR169" s="1277" t="n"/>
      <c r="AS169" s="1277" t="n"/>
      <c r="AT169" s="1277" t="n"/>
      <c r="AU169" s="1277" t="n"/>
    </row>
    <row r="170" ht="18" customHeight="1" s="7635">
      <c r="A170" s="1277" t="n"/>
      <c r="B170" s="2275" t="n"/>
      <c r="C170" s="2275" t="n"/>
      <c r="D170" s="2275" t="n"/>
      <c r="E170" s="2275" t="n"/>
      <c r="F170" s="2272" t="inlineStr">
        <is>
          <t>7.</t>
        </is>
      </c>
      <c r="G170" s="7121" t="inlineStr">
        <is>
          <t>*If your employer withheld or you paid Additional Medicare Tax or Tier 1 RRTA</t>
        </is>
      </c>
      <c r="H170" s="7299" t="n"/>
      <c r="I170" s="7299" t="n"/>
      <c r="J170" s="7299" t="n"/>
      <c r="K170" s="7299" t="n"/>
      <c r="L170" s="7299" t="n"/>
      <c r="M170" s="7299" t="n"/>
      <c r="N170" s="7299" t="n"/>
      <c r="O170" s="7299" t="n"/>
      <c r="P170" s="7299" t="n"/>
      <c r="Q170" s="7299" t="n"/>
      <c r="R170" s="7299" t="n"/>
      <c r="S170" s="7299" t="n"/>
      <c r="T170" s="7299" t="n"/>
      <c r="U170" s="7299" t="n"/>
      <c r="V170" s="7299" t="n"/>
      <c r="W170" s="7299" t="n"/>
      <c r="X170" s="7299" t="n"/>
      <c r="Y170" s="7299" t="n"/>
      <c r="Z170" s="7299" t="n"/>
      <c r="AA170" s="7299" t="n"/>
      <c r="AB170" s="7299" t="n"/>
      <c r="AC170" s="7299" t="n"/>
      <c r="AD170" s="7299" t="n"/>
      <c r="AE170" s="7299" t="n"/>
      <c r="AF170" s="7299" t="n"/>
      <c r="AG170" s="7299" t="n"/>
      <c r="AH170" s="7299" t="n"/>
      <c r="AI170" s="7299" t="n"/>
      <c r="AJ170" s="7299" t="n"/>
      <c r="AK170" s="7299" t="n"/>
      <c r="AL170" s="10940">
        <f>OR(C163,NOT(C168))</f>
        <v/>
      </c>
      <c r="AO170" s="7299" t="n"/>
      <c r="AP170" s="7299" t="n"/>
      <c r="AQ170" s="1277" t="n"/>
      <c r="AR170" s="1277" t="n"/>
      <c r="AS170" s="1277" t="n"/>
      <c r="AT170" s="1277" t="n"/>
      <c r="AU170" s="1277" t="n"/>
    </row>
    <row r="171" ht="15" customHeight="1" s="7635">
      <c r="A171" s="1277" t="n"/>
      <c r="B171" s="2275" t="n"/>
      <c r="C171" s="2275" t="n"/>
      <c r="D171" s="2275" t="n"/>
      <c r="E171" s="2275" t="n"/>
      <c r="F171" s="2272" t="n"/>
      <c r="G171" s="7123" t="inlineStr">
        <is>
          <t>taxes, use the Additional Medicare Tax and RRTA Tax</t>
        </is>
      </c>
      <c r="H171" s="7299" t="n"/>
      <c r="I171" s="7299" t="n"/>
      <c r="J171" s="7299" t="n"/>
      <c r="K171" s="7299" t="n"/>
      <c r="L171" s="7299" t="n"/>
      <c r="M171" s="7299" t="n"/>
      <c r="N171" s="7299" t="n"/>
      <c r="O171" s="7299" t="n"/>
      <c r="P171" s="7299" t="n"/>
      <c r="Q171" s="7299" t="n"/>
      <c r="R171" s="7299" t="n"/>
      <c r="S171" s="7299" t="n"/>
      <c r="T171" s="7299" t="n"/>
      <c r="U171" s="7299" t="n"/>
      <c r="V171" s="7299" t="n"/>
      <c r="W171" s="7299" t="n"/>
      <c r="X171" s="7299" t="n"/>
      <c r="Y171" s="7299" t="n"/>
      <c r="Z171" s="7299" t="n"/>
      <c r="AA171" s="7299" t="n"/>
      <c r="AB171" s="7299" t="n"/>
      <c r="AC171" s="7299" t="n"/>
      <c r="AD171" s="7299" t="n"/>
      <c r="AE171" s="7299" t="n"/>
      <c r="AF171" s="7299" t="n"/>
      <c r="AG171" s="7299" t="n"/>
      <c r="AH171" s="7299" t="n"/>
      <c r="AI171" s="7299" t="n"/>
      <c r="AJ171" s="7299" t="n"/>
      <c r="AK171" s="7299" t="n"/>
      <c r="AL171" s="7299" t="n"/>
      <c r="AM171" s="7299" t="n"/>
      <c r="AN171" s="7299" t="n"/>
      <c r="AO171" s="7299" t="n"/>
      <c r="AP171" s="7299" t="n"/>
      <c r="AQ171" s="1277" t="n"/>
      <c r="AR171" s="1277" t="n"/>
      <c r="AS171" s="2195" t="inlineStr">
        <is>
          <t>Override</t>
        </is>
      </c>
      <c r="AT171" s="1277" t="n"/>
      <c r="AU171" s="1277" t="n"/>
    </row>
    <row r="172" ht="12" customHeight="1" s="7635">
      <c r="A172" s="1277" t="n"/>
      <c r="B172" s="2275" t="n"/>
      <c r="C172" s="2275" t="n"/>
      <c r="D172" s="2275" t="n"/>
      <c r="E172" s="2275" t="n"/>
      <c r="F172" s="7299" t="n"/>
      <c r="G172" s="7299" t="inlineStr">
        <is>
          <t>Worksheet to figure the amount to enter; otherwise enter</t>
        </is>
      </c>
      <c r="H172" s="7299" t="n"/>
      <c r="I172" s="7299" t="n"/>
      <c r="J172" s="7299" t="n"/>
      <c r="K172" s="7299" t="n"/>
      <c r="L172" s="7299" t="n"/>
      <c r="M172" s="7299" t="n"/>
      <c r="N172" s="7299" t="n"/>
      <c r="O172" s="7299" t="n"/>
      <c r="P172" s="7299" t="n"/>
      <c r="Q172" s="7299" t="n"/>
      <c r="R172" s="7299" t="n"/>
      <c r="S172" s="7299" t="n"/>
      <c r="T172" s="7299" t="n"/>
      <c r="U172" s="7299" t="n"/>
      <c r="V172" s="7299" t="n"/>
      <c r="W172" s="7299" t="n"/>
      <c r="X172" s="7299" t="n"/>
      <c r="Y172" s="7299" t="n"/>
      <c r="Z172" s="7299" t="n"/>
      <c r="AA172" s="7299" t="n"/>
      <c r="AB172" s="1989" t="n"/>
      <c r="AC172" s="7299" t="n"/>
      <c r="AD172" s="2270" t="inlineStr">
        <is>
          <t>7</t>
        </is>
      </c>
      <c r="AE172" s="7094">
        <f>IF(NOT(AL170),"",IF(NOT(AL173),ROUND(AS172,0),SUM(ROUND(AS174,0),ROUND(AS176,0))))</f>
        <v/>
      </c>
      <c r="AJ172" s="7299" t="n"/>
      <c r="AK172" s="7299" t="n"/>
      <c r="AL172" s="7299" t="n"/>
      <c r="AM172" s="7299" t="n"/>
      <c r="AN172" s="7299" t="n"/>
      <c r="AO172" s="7299" t="n"/>
      <c r="AP172" s="7299" t="n"/>
      <c r="AQ172" s="1277" t="n"/>
      <c r="AR172" s="1277" t="n"/>
      <c r="AS172" s="1296" t="n"/>
      <c r="AT172" s="1277" t="n"/>
      <c r="AU172" s="1277" t="n"/>
    </row>
    <row r="173" ht="12" customHeight="1" s="7635">
      <c r="A173" s="1277" t="n"/>
      <c r="B173" s="2275" t="n"/>
      <c r="C173" s="2275" t="n"/>
      <c r="D173" s="2275" t="n"/>
      <c r="E173" s="2275" t="n"/>
      <c r="F173" s="7299" t="n"/>
      <c r="G173" s="7299" t="inlineStr">
        <is>
          <t>the total of the following amounts</t>
        </is>
      </c>
      <c r="H173" s="7299" t="n"/>
      <c r="I173" s="7299" t="n"/>
      <c r="J173" s="7299" t="n"/>
      <c r="K173" s="7299" t="n"/>
      <c r="L173" s="7299" t="n"/>
      <c r="M173" s="7299" t="n"/>
      <c r="N173" s="7299" t="n"/>
      <c r="O173" s="7299" t="n"/>
      <c r="P173" s="7299" t="n"/>
      <c r="Q173" s="7299" t="n"/>
      <c r="R173" s="7299" t="n"/>
      <c r="S173" s="7299" t="n"/>
      <c r="T173" s="7299" t="n"/>
      <c r="U173" s="7299" t="n"/>
      <c r="V173" s="7299" t="n"/>
      <c r="W173" s="7299" t="n"/>
      <c r="X173" s="7299" t="n"/>
      <c r="Y173" s="7299" t="n"/>
      <c r="Z173" s="7299" t="n"/>
      <c r="AA173" s="7299" t="n"/>
      <c r="AB173" s="1989" t="inlineStr">
        <is>
          <t>.   .   .   .   .   .   .   .   .   .   .   .   .</t>
        </is>
      </c>
      <c r="AC173" s="7299" t="n"/>
      <c r="AD173" s="11934" t="n"/>
      <c r="AE173" s="3614" t="n"/>
      <c r="AF173" s="7637" t="n"/>
      <c r="AG173" s="7637" t="n"/>
      <c r="AH173" s="7637" t="n"/>
      <c r="AI173" s="7637" t="n"/>
      <c r="AJ173" s="7299" t="n"/>
      <c r="AK173" s="7299" t="n"/>
      <c r="AL173" s="10940">
        <f>AND(AL136,C168,AL170,PuertoRicoResident)</f>
        <v/>
      </c>
      <c r="AO173" s="7299" t="n"/>
      <c r="AP173" s="7299" t="n"/>
      <c r="AQ173" s="1277" t="n"/>
      <c r="AR173" s="1277" t="n"/>
      <c r="AS173" s="2187">
        <f>IF($AL$173,"PR From 499-R2/W-2PR, box 21","")</f>
        <v/>
      </c>
      <c r="AT173" s="1277" t="n"/>
      <c r="AU173" s="1277" t="n"/>
    </row>
    <row r="174" ht="12" customHeight="1" s="7635">
      <c r="A174" s="1277" t="n"/>
      <c r="B174" s="2275" t="n"/>
      <c r="C174" s="2275" t="n"/>
      <c r="D174" s="2275" t="n"/>
      <c r="E174" s="2275" t="n"/>
      <c r="F174" s="7299" t="n"/>
      <c r="G174" s="10615" t="inlineStr">
        <is>
          <t>•</t>
        </is>
      </c>
      <c r="H174" s="7299" t="inlineStr">
        <is>
          <t>Social security tax withheld from Form(s) W-2, box 4,</t>
        </is>
      </c>
      <c r="I174" s="7299" t="n"/>
      <c r="J174" s="7299" t="n"/>
      <c r="K174" s="7299" t="n"/>
      <c r="L174" s="7299" t="n"/>
      <c r="M174" s="7299" t="n"/>
      <c r="N174" s="7299" t="n"/>
      <c r="O174" s="7299" t="n"/>
      <c r="P174" s="7299" t="n"/>
      <c r="Q174" s="7299" t="n"/>
      <c r="R174" s="7299" t="n"/>
      <c r="S174" s="7299" t="n"/>
      <c r="T174" s="7299" t="n"/>
      <c r="U174" s="7299" t="n"/>
      <c r="V174" s="7299" t="n"/>
      <c r="W174" s="7299" t="n"/>
      <c r="X174" s="7299" t="n"/>
      <c r="Y174" s="7299" t="n"/>
      <c r="Z174" s="7299" t="n"/>
      <c r="AA174" s="7299" t="n"/>
      <c r="AB174" s="7299" t="n"/>
      <c r="AC174" s="7299" t="n"/>
      <c r="AD174" s="7299" t="n"/>
      <c r="AE174" s="7299" t="n"/>
      <c r="AF174" s="7299" t="n"/>
      <c r="AG174" s="7299" t="n"/>
      <c r="AH174" s="7299" t="n"/>
      <c r="AI174" s="7299" t="n"/>
      <c r="AJ174" s="7299" t="n"/>
      <c r="AK174" s="7299" t="n"/>
      <c r="AL174" s="7299" t="n"/>
      <c r="AM174" s="7299" t="n"/>
      <c r="AN174" s="7299" t="n"/>
      <c r="AO174" s="7299" t="n"/>
      <c r="AP174" s="7299" t="n"/>
      <c r="AQ174" s="1277" t="n"/>
      <c r="AR174" s="1277" t="n"/>
      <c r="AS174" s="2276" t="n"/>
      <c r="AT174" s="1277" t="n"/>
      <c r="AU174" s="1277" t="n"/>
    </row>
    <row r="175" ht="12" customHeight="1" s="7635">
      <c r="A175" s="1277" t="n"/>
      <c r="B175" s="2275" t="n"/>
      <c r="C175" s="2275" t="n"/>
      <c r="D175" s="2275" t="n"/>
      <c r="E175" s="2275" t="n"/>
      <c r="F175" s="7299" t="n"/>
      <c r="G175" s="10615" t="n"/>
      <c r="H175" s="2853" t="inlineStr">
        <is>
          <t>and Puerto Rico Form(s) 499-R2/W-2PR, box 21, and</t>
        </is>
      </c>
      <c r="I175" s="7299" t="n"/>
      <c r="J175" s="7299" t="n"/>
      <c r="K175" s="7299" t="n"/>
      <c r="L175" s="7299" t="n"/>
      <c r="M175" s="7299" t="n"/>
      <c r="N175" s="7299" t="n"/>
      <c r="O175" s="7299" t="n"/>
      <c r="P175" s="7299" t="n"/>
      <c r="Q175" s="7299" t="n"/>
      <c r="R175" s="7299" t="n"/>
      <c r="S175" s="7299" t="n"/>
      <c r="T175" s="7299" t="n"/>
      <c r="U175" s="7299" t="n"/>
      <c r="V175" s="7299" t="n"/>
      <c r="W175" s="7299" t="n"/>
      <c r="X175" s="7299" t="n"/>
      <c r="Y175" s="7299" t="n"/>
      <c r="Z175" s="7299" t="n"/>
      <c r="AA175" s="7299" t="n"/>
      <c r="AB175" s="7299" t="n"/>
      <c r="AC175" s="7299" t="n"/>
      <c r="AD175" s="7299" t="n"/>
      <c r="AE175" s="7299" t="n"/>
      <c r="AF175" s="7299" t="n"/>
      <c r="AG175" s="7299" t="n"/>
      <c r="AH175" s="7299" t="n"/>
      <c r="AI175" s="7299" t="n"/>
      <c r="AJ175" s="7299" t="n"/>
      <c r="AK175" s="7299" t="n"/>
      <c r="AL175" s="7299" t="n"/>
      <c r="AM175" s="7299" t="n"/>
      <c r="AN175" s="7299" t="n"/>
      <c r="AO175" s="7299" t="n"/>
      <c r="AP175" s="7299" t="n"/>
      <c r="AQ175" s="1277" t="n"/>
      <c r="AR175" s="1277" t="n"/>
      <c r="AS175" s="2187">
        <f>IF($AL$173,"PR From 499-R2/W-2PR, box 23","")</f>
        <v/>
      </c>
      <c r="AT175" s="1277" t="n"/>
      <c r="AU175" s="1277" t="n"/>
    </row>
    <row r="176" ht="12" customHeight="1" s="7635">
      <c r="A176" s="1277" t="n"/>
      <c r="B176" s="2275" t="n"/>
      <c r="C176" s="2275" t="n"/>
      <c r="D176" s="2275" t="n"/>
      <c r="E176" s="2275" t="n"/>
      <c r="F176" s="7299" t="n"/>
      <c r="G176" s="10615" t="inlineStr">
        <is>
          <t>•</t>
        </is>
      </c>
      <c r="H176" s="7299" t="inlineStr">
        <is>
          <t>Medicare tax withheld from Form(s) W-2, box 6, and</t>
        </is>
      </c>
      <c r="I176" s="7299" t="n"/>
      <c r="J176" s="7299" t="n"/>
      <c r="K176" s="7299" t="n"/>
      <c r="L176" s="7299" t="n"/>
      <c r="M176" s="7299" t="n"/>
      <c r="N176" s="7299" t="n"/>
      <c r="O176" s="7299" t="n"/>
      <c r="P176" s="7299" t="n"/>
      <c r="Q176" s="7299" t="n"/>
      <c r="R176" s="7299" t="n"/>
      <c r="S176" s="7299" t="n"/>
      <c r="T176" s="7299" t="n"/>
      <c r="U176" s="7299" t="n"/>
      <c r="V176" s="7299" t="n"/>
      <c r="W176" s="7299" t="n"/>
      <c r="X176" s="7299" t="n"/>
      <c r="Y176" s="7299" t="n"/>
      <c r="Z176" s="7299" t="n"/>
      <c r="AA176" s="7299" t="n"/>
      <c r="AB176" s="7299" t="n"/>
      <c r="AC176" s="7299" t="n"/>
      <c r="AD176" s="7299" t="n"/>
      <c r="AE176" s="7299" t="n"/>
      <c r="AF176" s="7299" t="n"/>
      <c r="AG176" s="7299" t="n"/>
      <c r="AH176" s="7299" t="n"/>
      <c r="AI176" s="7299" t="n"/>
      <c r="AJ176" s="7299" t="n"/>
      <c r="AK176" s="7299" t="n"/>
      <c r="AL176" s="7299" t="n"/>
      <c r="AM176" s="7299" t="n"/>
      <c r="AN176" s="7299" t="n"/>
      <c r="AO176" s="7299" t="n"/>
      <c r="AP176" s="7299" t="n"/>
      <c r="AQ176" s="1277" t="n"/>
      <c r="AR176" s="1277" t="n"/>
      <c r="AS176" s="2276" t="n"/>
      <c r="AT176" s="1277" t="n"/>
      <c r="AU176" s="1277" t="n"/>
    </row>
    <row r="177" ht="12" customHeight="1" s="7635">
      <c r="A177" s="1277" t="n"/>
      <c r="B177" s="2275" t="n"/>
      <c r="C177" s="2275" t="n"/>
      <c r="D177" s="2275" t="n"/>
      <c r="E177" s="2275" t="n"/>
      <c r="F177" s="7299" t="n"/>
      <c r="G177" s="10615" t="n"/>
      <c r="H177" s="2853" t="inlineStr">
        <is>
          <t>Puerto Rico Form(s) 499R-2/W-2PR, box 23.</t>
        </is>
      </c>
      <c r="I177" s="7299" t="n"/>
      <c r="J177" s="7299" t="n"/>
      <c r="K177" s="7299" t="n"/>
      <c r="L177" s="7299" t="n"/>
      <c r="M177" s="7299" t="n"/>
      <c r="N177" s="7299" t="n"/>
      <c r="O177" s="7299" t="n"/>
      <c r="P177" s="7299" t="n"/>
      <c r="Q177" s="7299" t="n"/>
      <c r="R177" s="7299" t="n"/>
      <c r="S177" s="7299" t="n"/>
      <c r="T177" s="7299" t="n"/>
      <c r="U177" s="7299" t="n"/>
      <c r="V177" s="7299" t="n"/>
      <c r="W177" s="7299" t="n"/>
      <c r="X177" s="7299" t="n"/>
      <c r="Y177" s="7299" t="n"/>
      <c r="Z177" s="7299" t="n"/>
      <c r="AA177" s="7299" t="n"/>
      <c r="AB177" s="7299" t="n"/>
      <c r="AC177" s="7299" t="n"/>
      <c r="AD177" s="7299" t="n"/>
      <c r="AE177" s="7299" t="n"/>
      <c r="AF177" s="7299" t="n"/>
      <c r="AG177" s="7299" t="n"/>
      <c r="AH177" s="7299" t="n"/>
      <c r="AI177" s="7299" t="n"/>
      <c r="AJ177" s="7299" t="n"/>
      <c r="AK177" s="7299" t="n"/>
      <c r="AL177" s="7299" t="n"/>
      <c r="AM177" s="7299" t="n"/>
      <c r="AN177" s="7299" t="n"/>
      <c r="AO177" s="7299" t="n"/>
      <c r="AP177" s="7299" t="n"/>
      <c r="AQ177" s="1277" t="n"/>
      <c r="AR177" s="1277" t="n"/>
      <c r="AS177" s="1277" t="n"/>
      <c r="AT177" s="1277" t="n"/>
      <c r="AU177" s="1277" t="n"/>
    </row>
    <row r="178" ht="13.5" customHeight="1" s="7635">
      <c r="A178" s="1277" t="n"/>
      <c r="B178" s="2275" t="n"/>
      <c r="C178" s="2275" t="n"/>
      <c r="D178" s="2275" t="n"/>
      <c r="E178" s="2275" t="n"/>
      <c r="F178" s="7299" t="n"/>
      <c r="G178" s="7299" t="n"/>
      <c r="H178" s="7299" t="n"/>
      <c r="I178" s="7299" t="n"/>
      <c r="J178" s="7299" t="n"/>
      <c r="K178" s="7299" t="n"/>
      <c r="L178" s="7299" t="n"/>
      <c r="M178" s="7299" t="n"/>
      <c r="N178" s="7299" t="n"/>
      <c r="O178" s="7299" t="n"/>
      <c r="P178" s="7299" t="n"/>
      <c r="Q178" s="7299" t="n"/>
      <c r="R178" s="7299" t="n"/>
      <c r="S178" s="7299" t="n"/>
      <c r="T178" s="7299" t="n"/>
      <c r="U178" s="7299" t="n"/>
      <c r="V178" s="7299" t="n"/>
      <c r="W178" s="7299" t="n"/>
      <c r="X178" s="7299" t="n"/>
      <c r="Y178" s="7299" t="n"/>
      <c r="Z178" s="7299" t="n"/>
      <c r="AA178" s="7299" t="n"/>
      <c r="AB178" s="7299" t="n"/>
      <c r="AC178" s="7299" t="n"/>
      <c r="AD178" s="7299" t="n"/>
      <c r="AE178" s="7299" t="n"/>
      <c r="AF178" s="7299" t="n"/>
      <c r="AG178" s="7299" t="n"/>
      <c r="AH178" s="7299" t="n"/>
      <c r="AI178" s="7299" t="n"/>
      <c r="AJ178" s="7299" t="n"/>
      <c r="AK178" s="7299" t="n"/>
      <c r="AL178" s="7299" t="n"/>
      <c r="AM178" s="7299" t="n"/>
      <c r="AN178" s="7299" t="n"/>
      <c r="AO178" s="7299" t="n"/>
      <c r="AP178" s="7299" t="n"/>
      <c r="AQ178" s="1277" t="n"/>
      <c r="AR178" s="1277" t="n"/>
      <c r="AS178" s="1277" t="n"/>
      <c r="AT178" s="1277" t="n"/>
      <c r="AU178" s="1277" t="n"/>
    </row>
    <row r="179" ht="6" customHeight="1" s="7635">
      <c r="A179" s="1277" t="n"/>
      <c r="B179" s="2275" t="n"/>
      <c r="C179" s="2275" t="n"/>
      <c r="D179" s="2275" t="n"/>
      <c r="E179" s="2275" t="n"/>
      <c r="F179" s="7299" t="n"/>
      <c r="G179" s="7299" t="n"/>
      <c r="H179" s="7299" t="n"/>
      <c r="I179" s="7299" t="n"/>
      <c r="J179" s="7299" t="n"/>
      <c r="K179" s="7299" t="n"/>
      <c r="L179" s="7299" t="n"/>
      <c r="M179" s="7299" t="n"/>
      <c r="N179" s="7299" t="n"/>
      <c r="O179" s="7299" t="n"/>
      <c r="P179" s="7299" t="n"/>
      <c r="Q179" s="7299" t="n"/>
      <c r="R179" s="7299" t="n"/>
      <c r="S179" s="7299" t="n"/>
      <c r="T179" s="7299" t="n"/>
      <c r="U179" s="7299" t="n"/>
      <c r="V179" s="7299" t="n"/>
      <c r="W179" s="7299" t="n"/>
      <c r="X179" s="7299" t="n"/>
      <c r="Y179" s="7299" t="n"/>
      <c r="Z179" s="7299" t="n"/>
      <c r="AA179" s="7299" t="n"/>
      <c r="AB179" s="7299" t="n"/>
      <c r="AC179" s="7299" t="n"/>
      <c r="AD179" s="7299" t="n"/>
      <c r="AE179" s="7299" t="n"/>
      <c r="AF179" s="7299" t="n"/>
      <c r="AG179" s="7299" t="n"/>
      <c r="AH179" s="7299" t="n"/>
      <c r="AI179" s="7299" t="n"/>
      <c r="AJ179" s="7299" t="n"/>
      <c r="AK179" s="7299" t="n"/>
      <c r="AL179" s="7299" t="n"/>
      <c r="AM179" s="7299" t="n"/>
      <c r="AN179" s="7299" t="n"/>
      <c r="AO179" s="7299" t="n"/>
      <c r="AP179" s="7299" t="n"/>
      <c r="AQ179" s="1277" t="n"/>
      <c r="AR179" s="1277" t="n"/>
      <c r="AS179" s="1277" t="n"/>
      <c r="AT179" s="1277" t="n"/>
      <c r="AU179" s="1277" t="n"/>
    </row>
    <row r="180" ht="12" customHeight="1" s="7635">
      <c r="A180" s="1277" t="n"/>
      <c r="B180" s="7299" t="n"/>
      <c r="C180" s="7299" t="n"/>
      <c r="D180" s="7299" t="n"/>
      <c r="E180" s="7299" t="n"/>
      <c r="F180" s="2272" t="inlineStr">
        <is>
          <t>8.</t>
        </is>
      </c>
      <c r="G180" s="7121" t="inlineStr">
        <is>
          <t>*Enter the total of any amounts from—</t>
        </is>
      </c>
      <c r="H180" s="7299" t="n"/>
      <c r="I180" s="7299" t="n"/>
      <c r="J180" s="7299" t="n"/>
      <c r="K180" s="7299" t="n"/>
      <c r="L180" s="7299" t="n"/>
      <c r="M180" s="7299" t="n"/>
      <c r="N180" s="7299" t="n"/>
      <c r="O180" s="7299" t="n"/>
      <c r="P180" s="7299" t="n"/>
      <c r="Q180" s="7299" t="n"/>
      <c r="R180" s="7299" t="n"/>
      <c r="S180" s="7299" t="n"/>
      <c r="T180" s="7299" t="n"/>
      <c r="U180" s="7299" t="n"/>
      <c r="V180" s="7299" t="n"/>
      <c r="W180" s="7299" t="n"/>
      <c r="X180" s="7299" t="n"/>
      <c r="Y180" s="7299" t="n"/>
      <c r="Z180" s="7299" t="n"/>
      <c r="AA180" s="7299" t="n"/>
      <c r="AB180" s="7299" t="n"/>
      <c r="AC180" s="7299" t="n"/>
      <c r="AD180" s="7299" t="n"/>
      <c r="AE180" s="7299" t="n"/>
      <c r="AF180" s="7299" t="n"/>
      <c r="AG180" s="7299" t="n"/>
      <c r="AH180" s="7299" t="n"/>
      <c r="AI180" s="7299" t="n"/>
      <c r="AJ180" s="7299" t="n"/>
      <c r="AK180" s="7299" t="n"/>
      <c r="AL180" s="7299" t="n"/>
      <c r="AM180" s="7299" t="n"/>
      <c r="AN180" s="7299" t="n"/>
      <c r="AO180" s="7299" t="n"/>
      <c r="AP180" s="7299" t="n"/>
      <c r="AQ180" s="1277" t="n"/>
      <c r="AR180" s="1277" t="n"/>
      <c r="AS180" s="1277" t="n"/>
      <c r="AT180" s="1277" t="n"/>
      <c r="AU180" s="1277" t="n"/>
    </row>
    <row r="181" ht="12" customHeight="1" s="7635">
      <c r="A181" s="1277" t="n"/>
      <c r="B181" s="7299" t="n"/>
      <c r="C181" s="7299" t="n"/>
      <c r="D181" s="7299" t="n"/>
      <c r="E181" s="7299" t="n"/>
      <c r="F181" s="7299" t="n"/>
      <c r="G181" s="10615" t="inlineStr">
        <is>
          <t>•</t>
        </is>
      </c>
      <c r="H181" s="7299" t="inlineStr">
        <is>
          <t>Schedule 1, line 15;</t>
        </is>
      </c>
      <c r="I181" s="7299" t="n"/>
      <c r="J181" s="7299" t="n"/>
      <c r="K181" s="7299" t="n"/>
      <c r="L181" s="7299" t="n"/>
      <c r="M181" s="7299" t="n"/>
      <c r="N181" s="7299" t="n"/>
      <c r="O181" s="7299" t="n"/>
      <c r="P181" s="8197">
        <f>IF(NOT(AL170),"",SE_Deduct)</f>
        <v/>
      </c>
      <c r="Q181" s="7637" t="n"/>
      <c r="R181" s="7637" t="n"/>
      <c r="S181" s="7637" t="n"/>
      <c r="T181" s="7299" t="n"/>
      <c r="U181" s="7299" t="n"/>
      <c r="V181" s="7299" t="n"/>
      <c r="W181" s="7299" t="n"/>
      <c r="X181" s="7299" t="n"/>
      <c r="Y181" s="7299" t="n"/>
      <c r="Z181" s="7299" t="n"/>
      <c r="AA181" s="7299" t="n"/>
      <c r="AB181" s="7299" t="n"/>
      <c r="AC181" s="7299" t="n"/>
      <c r="AD181" s="7299" t="n"/>
      <c r="AE181" s="7299" t="n"/>
      <c r="AF181" s="7299" t="n"/>
      <c r="AG181" s="7299" t="n"/>
      <c r="AH181" s="7299" t="n"/>
      <c r="AI181" s="7299" t="n"/>
      <c r="AJ181" s="7299" t="n"/>
      <c r="AK181" s="7299" t="n"/>
      <c r="AL181" s="7299" t="n"/>
      <c r="AM181" s="7299" t="n"/>
      <c r="AN181" s="7299" t="n"/>
      <c r="AO181" s="7299" t="n"/>
      <c r="AP181" s="7299" t="n"/>
      <c r="AQ181" s="1277" t="n"/>
      <c r="AR181" s="1277" t="n"/>
      <c r="AS181" s="1277" t="n"/>
      <c r="AT181" s="1277" t="n"/>
      <c r="AU181" s="1277" t="n"/>
    </row>
    <row r="182" ht="12" customHeight="1" s="7635">
      <c r="A182" s="1277" t="n"/>
      <c r="B182" s="7299" t="n"/>
      <c r="C182" s="7299" t="n"/>
      <c r="D182" s="7299" t="n"/>
      <c r="E182" s="7299" t="n"/>
      <c r="F182" s="7299" t="n"/>
      <c r="G182" s="10615" t="inlineStr">
        <is>
          <t>•</t>
        </is>
      </c>
      <c r="H182" s="7299" t="inlineStr">
        <is>
          <t>Schedule 2, line 5;</t>
        </is>
      </c>
      <c r="I182" s="7299" t="n"/>
      <c r="J182" s="7299" t="n"/>
      <c r="K182" s="7299" t="n"/>
      <c r="L182" s="7299" t="n"/>
      <c r="M182" s="7299" t="n"/>
      <c r="N182" s="7299" t="n"/>
      <c r="O182" s="7299" t="n"/>
      <c r="P182" s="8197">
        <f>IF(NOT(AL170),"",'Sch. 2'!Z39)</f>
        <v/>
      </c>
      <c r="Q182" s="7637" t="n"/>
      <c r="R182" s="7637" t="n"/>
      <c r="S182" s="7637" t="n"/>
      <c r="T182" s="7299" t="n"/>
      <c r="U182" s="7299" t="n"/>
      <c r="V182" s="7299" t="n"/>
      <c r="W182" s="7299" t="n"/>
      <c r="X182" s="7299" t="n"/>
      <c r="Y182" s="7299" t="n"/>
      <c r="Z182" s="7299" t="n"/>
      <c r="AA182" s="7299" t="n"/>
      <c r="AB182" s="1989" t="n"/>
      <c r="AC182" s="7299" t="n"/>
      <c r="AD182" s="2270" t="inlineStr">
        <is>
          <t>8</t>
        </is>
      </c>
      <c r="AE182" s="8196">
        <f>IF(NOT(AL170),"",SUM(P181:S184))</f>
        <v/>
      </c>
      <c r="AJ182" s="7299" t="n"/>
      <c r="AK182" s="7299" t="n"/>
      <c r="AL182" s="7299" t="n"/>
      <c r="AM182" s="7299" t="n"/>
      <c r="AN182" s="7299" t="n"/>
      <c r="AO182" s="7299" t="n"/>
      <c r="AP182" s="7299" t="n"/>
      <c r="AQ182" s="1277" t="n"/>
      <c r="AR182" s="1277" t="n"/>
      <c r="AS182" s="1277" t="n"/>
      <c r="AT182" s="1277" t="n"/>
      <c r="AU182" s="1277" t="n"/>
    </row>
    <row r="183" ht="12" customHeight="1" s="7635">
      <c r="A183" s="1277" t="n"/>
      <c r="B183" s="7299" t="n"/>
      <c r="C183" s="7299" t="n"/>
      <c r="D183" s="7299" t="n"/>
      <c r="E183" s="7299" t="n"/>
      <c r="F183" s="7299" t="n"/>
      <c r="G183" s="10615" t="inlineStr">
        <is>
          <t>•</t>
        </is>
      </c>
      <c r="H183" s="7299" t="inlineStr">
        <is>
          <t>Schedule 2, line 6; and</t>
        </is>
      </c>
      <c r="I183" s="7299" t="n"/>
      <c r="J183" s="7299" t="n"/>
      <c r="K183" s="7299" t="n"/>
      <c r="L183" s="7299" t="n"/>
      <c r="M183" s="7299" t="n"/>
      <c r="N183" s="7299" t="n"/>
      <c r="O183" s="7299" t="n"/>
      <c r="P183" s="8197">
        <f>IF(NOT(AL170),"",'Sch. 2'!Z40)</f>
        <v/>
      </c>
      <c r="Q183" s="7637" t="n"/>
      <c r="R183" s="7637" t="n"/>
      <c r="S183" s="7637" t="n"/>
      <c r="T183" s="7299" t="n"/>
      <c r="U183" s="7299" t="n"/>
      <c r="V183" s="7299" t="n"/>
      <c r="W183" s="7299" t="n"/>
      <c r="X183" s="7299" t="n"/>
      <c r="Y183" s="7299" t="n"/>
      <c r="Z183" s="7299" t="n"/>
      <c r="AA183" s="7299" t="n"/>
      <c r="AB183" s="1989" t="inlineStr">
        <is>
          <t>.   .   .   .   .   .   .   .</t>
        </is>
      </c>
      <c r="AC183" s="7299" t="n"/>
      <c r="AD183" s="11934" t="n"/>
      <c r="AE183" s="3614" t="n"/>
      <c r="AF183" s="7637" t="n"/>
      <c r="AG183" s="7637" t="n"/>
      <c r="AH183" s="7637" t="n"/>
      <c r="AI183" s="7637" t="n"/>
      <c r="AJ183" s="7299" t="n"/>
      <c r="AK183" s="7299" t="n"/>
      <c r="AL183" s="7299" t="n"/>
      <c r="AM183" s="7299" t="n"/>
      <c r="AN183" s="7299" t="n"/>
      <c r="AO183" s="7299" t="n"/>
      <c r="AP183" s="7299" t="n"/>
      <c r="AQ183" s="1277" t="n"/>
      <c r="AR183" s="1277" t="n"/>
      <c r="AS183" s="1277" t="n"/>
      <c r="AT183" s="1277" t="n"/>
      <c r="AU183" s="1277" t="n"/>
    </row>
    <row r="184" ht="12" customHeight="1" s="7635">
      <c r="A184" s="1277" t="n"/>
      <c r="B184" s="7299" t="n"/>
      <c r="C184" s="7299" t="n"/>
      <c r="D184" s="7299" t="n"/>
      <c r="E184" s="7299" t="n"/>
      <c r="F184" s="2248" t="n"/>
      <c r="G184" s="10615" t="inlineStr">
        <is>
          <t>•</t>
        </is>
      </c>
      <c r="H184" s="7299" t="inlineStr">
        <is>
          <t>Schedule 2, line 13.</t>
        </is>
      </c>
      <c r="I184" s="7299" t="n"/>
      <c r="J184" s="7299" t="n"/>
      <c r="K184" s="7299" t="n"/>
      <c r="L184" s="7299" t="n"/>
      <c r="M184" s="7299" t="n"/>
      <c r="N184" s="7299" t="n"/>
      <c r="O184" s="7299" t="n"/>
      <c r="P184" s="8197">
        <f>IF(NOT(AL170),"",'Sch. 2'!AO49)</f>
        <v/>
      </c>
      <c r="Q184" s="7637" t="n"/>
      <c r="R184" s="7637" t="n"/>
      <c r="S184" s="7637" t="n"/>
      <c r="T184" s="7299" t="n"/>
      <c r="U184" s="7299" t="n"/>
      <c r="V184" s="7299" t="n"/>
      <c r="W184" s="7299" t="n"/>
      <c r="X184" s="7299" t="n"/>
      <c r="Y184" s="7299" t="n"/>
      <c r="Z184" s="7299" t="n"/>
      <c r="AA184" s="7299" t="n"/>
      <c r="AB184" s="7299" t="n"/>
      <c r="AC184" s="7299" t="n"/>
      <c r="AD184" s="7299" t="n"/>
      <c r="AE184" s="7299" t="n"/>
      <c r="AF184" s="7299" t="n"/>
      <c r="AG184" s="7299" t="n"/>
      <c r="AH184" s="7299" t="n"/>
      <c r="AI184" s="7299" t="n"/>
      <c r="AJ184" s="7299" t="n"/>
      <c r="AK184" s="7299" t="n"/>
      <c r="AL184" s="7299" t="n"/>
      <c r="AM184" s="7299" t="n"/>
      <c r="AN184" s="7299" t="n"/>
      <c r="AO184" s="7299" t="n"/>
      <c r="AP184" s="7299" t="n"/>
      <c r="AQ184" s="1277" t="n"/>
      <c r="AR184" s="1277" t="n"/>
      <c r="AS184" s="1277" t="n"/>
      <c r="AT184" s="1277" t="n"/>
      <c r="AU184" s="1277" t="n"/>
    </row>
    <row r="185" ht="6" customHeight="1" s="7635">
      <c r="A185" s="1277" t="n"/>
      <c r="B185" s="7299" t="n"/>
      <c r="C185" s="7299" t="n"/>
      <c r="D185" s="7299" t="n"/>
      <c r="E185" s="7299" t="n"/>
      <c r="F185" s="7299" t="n"/>
      <c r="G185" s="7299" t="n"/>
      <c r="H185" s="7299" t="n"/>
      <c r="I185" s="7299" t="n"/>
      <c r="J185" s="7299" t="n"/>
      <c r="K185" s="7299" t="n"/>
      <c r="L185" s="7299" t="n"/>
      <c r="M185" s="7299" t="n"/>
      <c r="N185" s="7299" t="n"/>
      <c r="O185" s="7299" t="n"/>
      <c r="P185" s="7299" t="n"/>
      <c r="Q185" s="7299" t="n"/>
      <c r="R185" s="7299" t="n"/>
      <c r="S185" s="7299" t="n"/>
      <c r="T185" s="7299" t="n"/>
      <c r="U185" s="7299" t="n"/>
      <c r="V185" s="7299" t="n"/>
      <c r="W185" s="7299" t="n"/>
      <c r="X185" s="7299" t="n"/>
      <c r="Y185" s="7299" t="n"/>
      <c r="Z185" s="7299" t="n"/>
      <c r="AA185" s="7299" t="n"/>
      <c r="AB185" s="7299" t="n"/>
      <c r="AC185" s="7299" t="n"/>
      <c r="AD185" s="7299" t="n"/>
      <c r="AE185" s="7299" t="n"/>
      <c r="AF185" s="7299" t="n"/>
      <c r="AG185" s="7299" t="n"/>
      <c r="AH185" s="7299" t="n"/>
      <c r="AI185" s="7299" t="n"/>
      <c r="AJ185" s="7299" t="n"/>
      <c r="AK185" s="7299" t="n"/>
      <c r="AL185" s="7299" t="n"/>
      <c r="AM185" s="7299" t="n"/>
      <c r="AN185" s="7299" t="n"/>
      <c r="AO185" s="7299" t="n"/>
      <c r="AP185" s="7299" t="n"/>
      <c r="AQ185" s="1277" t="n"/>
      <c r="AR185" s="1277" t="n"/>
      <c r="AS185" s="1277" t="n"/>
      <c r="AT185" s="1277" t="n"/>
      <c r="AU185" s="1277" t="n"/>
    </row>
    <row r="186" ht="20.25" customHeight="1" s="7635">
      <c r="A186" s="1277" t="n"/>
      <c r="B186" s="7299" t="n"/>
      <c r="C186" s="7299" t="n"/>
      <c r="D186" s="7299" t="n"/>
      <c r="E186" s="7299" t="n"/>
      <c r="F186" s="2248" t="inlineStr">
        <is>
          <t>9.</t>
        </is>
      </c>
      <c r="G186" s="7299" t="inlineStr">
        <is>
          <t>Add lines 7 and 8. Enter the total</t>
        </is>
      </c>
      <c r="H186" s="7299" t="n"/>
      <c r="I186" s="7299" t="n"/>
      <c r="J186" s="7299" t="n"/>
      <c r="K186" s="7299" t="n"/>
      <c r="L186" s="7299" t="n"/>
      <c r="M186" s="7299" t="n"/>
      <c r="N186" s="7299" t="n"/>
      <c r="O186" s="7299" t="n"/>
      <c r="P186" s="7299" t="n"/>
      <c r="Q186" s="7299" t="n"/>
      <c r="R186" s="7299" t="n"/>
      <c r="S186" s="7299" t="n"/>
      <c r="T186" s="7299" t="n"/>
      <c r="U186" s="7299" t="n"/>
      <c r="V186" s="7299" t="n"/>
      <c r="W186" s="7299" t="n"/>
      <c r="X186" s="7299" t="n"/>
      <c r="Y186" s="7299" t="n"/>
      <c r="Z186" s="7299" t="n"/>
      <c r="AA186" s="7299" t="n"/>
      <c r="AB186" s="7299" t="n"/>
      <c r="AC186" s="7299" t="n"/>
      <c r="AD186" s="7299" t="n"/>
      <c r="AE186" s="7299" t="n"/>
      <c r="AF186" s="7299" t="n"/>
      <c r="AG186" s="7299" t="n"/>
      <c r="AH186" s="1989" t="inlineStr">
        <is>
          <t>.   .   .   .   .   .   .   .   .   .   .   .   .   .   .   .   .   .   .   .   .   .   .   .   .   .   .   .   .   .   .   .   .</t>
        </is>
      </c>
      <c r="AI186" s="2249" t="n"/>
      <c r="AJ186" s="2270" t="inlineStr">
        <is>
          <t>9</t>
        </is>
      </c>
      <c r="AK186" s="11075">
        <f>IF(NOT(AL170),"",SUM(AE172,AE182))</f>
        <v/>
      </c>
      <c r="AL186" s="7637" t="n"/>
      <c r="AM186" s="7637" t="n"/>
      <c r="AN186" s="7637" t="n"/>
      <c r="AO186" s="7637" t="n"/>
      <c r="AP186" s="7299" t="n"/>
      <c r="AQ186" s="1277" t="n"/>
      <c r="AR186" s="1277" t="n"/>
      <c r="AS186" s="1277" t="n"/>
      <c r="AT186" s="1277" t="n"/>
      <c r="AU186" s="1277" t="n"/>
    </row>
    <row r="187" ht="6" customHeight="1" s="7635">
      <c r="A187" s="1277" t="n"/>
      <c r="B187" s="7299" t="n"/>
      <c r="C187" s="7299" t="n"/>
      <c r="D187" s="7299" t="n"/>
      <c r="E187" s="7299" t="n"/>
      <c r="F187" s="7299" t="n"/>
      <c r="G187" s="7299" t="n"/>
      <c r="H187" s="7299" t="n"/>
      <c r="I187" s="7299" t="n"/>
      <c r="J187" s="7299" t="n"/>
      <c r="K187" s="7299" t="n"/>
      <c r="L187" s="7299" t="n"/>
      <c r="M187" s="7299" t="n"/>
      <c r="N187" s="7299" t="n"/>
      <c r="O187" s="7299" t="n"/>
      <c r="P187" s="7299" t="n"/>
      <c r="Q187" s="7299" t="n"/>
      <c r="R187" s="7299" t="n"/>
      <c r="S187" s="7299" t="n"/>
      <c r="T187" s="7299" t="n"/>
      <c r="U187" s="7299" t="n"/>
      <c r="V187" s="7299" t="n"/>
      <c r="W187" s="7299" t="n"/>
      <c r="X187" s="7299" t="n"/>
      <c r="Y187" s="7299" t="n"/>
      <c r="Z187" s="7299" t="n"/>
      <c r="AA187" s="7299" t="n"/>
      <c r="AB187" s="7299" t="n"/>
      <c r="AC187" s="7299" t="n"/>
      <c r="AD187" s="7299" t="n"/>
      <c r="AE187" s="7299" t="n"/>
      <c r="AF187" s="7299" t="n"/>
      <c r="AG187" s="7299" t="n"/>
      <c r="AH187" s="7299" t="n"/>
      <c r="AI187" s="7299" t="n"/>
      <c r="AJ187" s="7299" t="n"/>
      <c r="AK187" s="7299" t="n"/>
      <c r="AL187" s="7299" t="n"/>
      <c r="AM187" s="7299" t="n"/>
      <c r="AN187" s="7299" t="n"/>
      <c r="AO187" s="7299" t="n"/>
      <c r="AP187" s="7299" t="n"/>
      <c r="AQ187" s="1277" t="n"/>
      <c r="AR187" s="1277" t="n"/>
      <c r="AS187" s="1277" t="n"/>
      <c r="AT187" s="1277" t="n"/>
      <c r="AU187" s="1277" t="n"/>
    </row>
    <row r="188" ht="21" customHeight="1" s="7635">
      <c r="A188" s="1277" t="n"/>
      <c r="B188" s="7299" t="n"/>
      <c r="C188" s="7299" t="n"/>
      <c r="D188" s="7299" t="n"/>
      <c r="E188" s="7299" t="n"/>
      <c r="F188" s="807" t="inlineStr">
        <is>
          <t>*If married filing jointly, include your spouse’s amounts with yours when completing lines 7 and 8.</t>
        </is>
      </c>
      <c r="G188" s="7299" t="n"/>
      <c r="H188" s="7299" t="n"/>
      <c r="I188" s="7299" t="n"/>
      <c r="J188" s="7299" t="n"/>
      <c r="K188" s="7299" t="n"/>
      <c r="L188" s="7299" t="n"/>
      <c r="M188" s="7299" t="n"/>
      <c r="N188" s="7299" t="n"/>
      <c r="O188" s="7299" t="n"/>
      <c r="P188" s="7299" t="n"/>
      <c r="Q188" s="7299" t="n"/>
      <c r="R188" s="7299" t="n"/>
      <c r="S188" s="7299" t="n"/>
      <c r="T188" s="7299" t="n"/>
      <c r="U188" s="7299" t="n"/>
      <c r="V188" s="2264" t="n"/>
      <c r="W188" s="7299" t="n"/>
      <c r="X188" s="7299" t="n"/>
      <c r="Y188" s="7299" t="n"/>
      <c r="Z188" s="7299" t="n"/>
      <c r="AA188" s="7299" t="n"/>
      <c r="AB188" s="7299" t="n"/>
      <c r="AC188" s="7299" t="n"/>
      <c r="AD188" s="7299" t="n"/>
      <c r="AE188" s="7299" t="n"/>
      <c r="AF188" s="7299" t="n"/>
      <c r="AG188" s="7299" t="n"/>
      <c r="AH188" s="7299" t="n"/>
      <c r="AI188" s="7299" t="n"/>
      <c r="AJ188" s="7299" t="n"/>
      <c r="AK188" s="7299" t="n"/>
      <c r="AL188" s="7299" t="n"/>
      <c r="AM188" s="7299" t="n"/>
      <c r="AN188" s="7299" t="n"/>
      <c r="AO188" s="7299" t="n"/>
      <c r="AP188" s="7299" t="n"/>
      <c r="AQ188" s="1277" t="n"/>
      <c r="AR188" s="1277" t="n"/>
      <c r="AS188" s="1277" t="n"/>
      <c r="AT188" s="1277" t="n"/>
      <c r="AU188" s="1277" t="n"/>
    </row>
    <row r="189" ht="18.75" customHeight="1" s="7635">
      <c r="A189" s="1277" t="n"/>
      <c r="B189" s="7299" t="n"/>
      <c r="C189" s="7299" t="n"/>
      <c r="D189" s="7299" t="n"/>
      <c r="E189" s="7299" t="n"/>
      <c r="F189" s="7299" t="n"/>
      <c r="G189" s="7299" t="n"/>
      <c r="H189" s="7299" t="n"/>
      <c r="I189" s="7299" t="n"/>
      <c r="J189" s="7299" t="n"/>
      <c r="K189" s="7299" t="n"/>
      <c r="L189" s="7299" t="n"/>
      <c r="M189" s="7299" t="n"/>
      <c r="N189" s="7299" t="n"/>
      <c r="O189" s="7299" t="n"/>
      <c r="P189" s="7299" t="n"/>
      <c r="Q189" s="7299" t="n"/>
      <c r="R189" s="7299" t="n"/>
      <c r="S189" s="7299" t="n"/>
      <c r="T189" s="7299" t="n"/>
      <c r="U189" s="7299" t="n"/>
      <c r="V189" s="2264" t="inlineStr">
        <is>
          <t>- 5 -</t>
        </is>
      </c>
      <c r="W189" s="7299" t="n"/>
      <c r="X189" s="7299" t="n"/>
      <c r="Y189" s="7299" t="n"/>
      <c r="Z189" s="7299" t="n"/>
      <c r="AA189" s="7299" t="n"/>
      <c r="AB189" s="7299" t="n"/>
      <c r="AC189" s="7299" t="n"/>
      <c r="AD189" s="7299" t="n"/>
      <c r="AE189" s="7299" t="n"/>
      <c r="AF189" s="7299" t="n"/>
      <c r="AG189" s="7299" t="n"/>
      <c r="AH189" s="7299" t="n"/>
      <c r="AI189" s="7299" t="n"/>
      <c r="AJ189" s="7299" t="n"/>
      <c r="AK189" s="7299" t="n"/>
      <c r="AL189" s="7299" t="n"/>
      <c r="AM189" s="7299" t="n"/>
      <c r="AN189" s="7299" t="n"/>
      <c r="AO189" s="7299" t="n"/>
      <c r="AP189" s="7299" t="n"/>
      <c r="AQ189" s="1277" t="n"/>
      <c r="AR189" s="1277" t="n"/>
      <c r="AS189" s="1277" t="n"/>
      <c r="AT189" s="1277" t="n"/>
      <c r="AU189" s="1277" t="n"/>
    </row>
    <row r="190" ht="12" customHeight="1" s="7635">
      <c r="A190" s="1277" t="n"/>
      <c r="B190" s="2271" t="n"/>
      <c r="C190" s="2271" t="n"/>
      <c r="D190" s="2271" t="n"/>
      <c r="E190" s="2271" t="n"/>
      <c r="F190" s="2271" t="n"/>
      <c r="G190" s="2271" t="n"/>
      <c r="H190" s="2271" t="n"/>
      <c r="I190" s="2271" t="n"/>
      <c r="J190" s="2271" t="n"/>
      <c r="K190" s="2271" t="n"/>
      <c r="L190" s="2271" t="n"/>
      <c r="M190" s="2271" t="n"/>
      <c r="N190" s="2271" t="n"/>
      <c r="O190" s="2271" t="n"/>
      <c r="P190" s="2271" t="n"/>
      <c r="Q190" s="2271" t="n"/>
      <c r="R190" s="2271" t="n"/>
      <c r="S190" s="2271" t="n"/>
      <c r="T190" s="2271" t="n"/>
      <c r="U190" s="2271" t="n"/>
      <c r="V190" s="2271" t="n"/>
      <c r="W190" s="2271" t="n"/>
      <c r="X190" s="2271" t="n"/>
      <c r="Y190" s="2271" t="n"/>
      <c r="Z190" s="2271" t="n"/>
      <c r="AA190" s="2271" t="n"/>
      <c r="AB190" s="2271" t="n"/>
      <c r="AC190" s="2271" t="n"/>
      <c r="AD190" s="2271" t="n"/>
      <c r="AE190" s="2271" t="n"/>
      <c r="AF190" s="2271" t="n"/>
      <c r="AG190" s="2271" t="n"/>
      <c r="AH190" s="2271" t="n"/>
      <c r="AI190" s="2271" t="n"/>
      <c r="AJ190" s="2271" t="n"/>
      <c r="AK190" s="2271" t="n"/>
      <c r="AL190" s="2271" t="n"/>
      <c r="AM190" s="2271" t="n"/>
      <c r="AN190" s="2271" t="n"/>
      <c r="AO190" s="2271" t="n"/>
      <c r="AP190" s="2271" t="n"/>
      <c r="AQ190" s="1277" t="n"/>
      <c r="AR190" s="1277" t="n"/>
      <c r="AS190" s="1277" t="n"/>
      <c r="AT190" s="1277" t="n"/>
      <c r="AU190" s="1277" t="n"/>
    </row>
    <row r="191" ht="6.75" customHeight="1" s="7635">
      <c r="A191" s="1277" t="n"/>
      <c r="B191" s="2263" t="n"/>
      <c r="C191" s="2263" t="n"/>
      <c r="D191" s="2263" t="n"/>
      <c r="E191" s="2263" t="n"/>
      <c r="F191" s="2263" t="n"/>
      <c r="G191" s="2263" t="n"/>
      <c r="H191" s="2263" t="n"/>
      <c r="I191" s="2263" t="n"/>
      <c r="J191" s="2263" t="n"/>
      <c r="K191" s="2263" t="n"/>
      <c r="L191" s="2263" t="n"/>
      <c r="M191" s="2263" t="n"/>
      <c r="N191" s="2263" t="n"/>
      <c r="O191" s="2263" t="n"/>
      <c r="P191" s="2263" t="n"/>
      <c r="Q191" s="2263" t="n"/>
      <c r="R191" s="2263" t="n"/>
      <c r="S191" s="2263" t="n"/>
      <c r="T191" s="2263" t="n"/>
      <c r="U191" s="2263" t="n"/>
      <c r="V191" s="2263" t="n"/>
      <c r="W191" s="2263" t="n"/>
      <c r="X191" s="2263" t="n"/>
      <c r="Y191" s="2263" t="n"/>
      <c r="Z191" s="2263" t="n"/>
      <c r="AA191" s="2263" t="n"/>
      <c r="AB191" s="2263" t="n"/>
      <c r="AC191" s="2263" t="n"/>
      <c r="AD191" s="2263" t="n"/>
      <c r="AE191" s="2263" t="n"/>
      <c r="AF191" s="2263" t="n"/>
      <c r="AG191" s="2263" t="n"/>
      <c r="AH191" s="2263" t="n"/>
      <c r="AI191" s="2263" t="n"/>
      <c r="AJ191" s="2263" t="n"/>
      <c r="AK191" s="2263" t="n"/>
      <c r="AL191" s="2263" t="n"/>
      <c r="AM191" s="2263" t="n"/>
      <c r="AN191" s="2263" t="n"/>
      <c r="AO191" s="2263" t="n"/>
      <c r="AP191" s="2263" t="n"/>
      <c r="AQ191" s="1277" t="n"/>
      <c r="AR191" s="1277" t="n"/>
      <c r="AS191" s="1277" t="n"/>
      <c r="AT191" s="1277" t="n"/>
      <c r="AU191" s="1277" t="n"/>
    </row>
    <row r="192" ht="21.75" customHeight="1" s="7635" thickBot="1">
      <c r="A192" s="1277" t="n"/>
      <c r="B192" s="7299" t="n"/>
      <c r="C192" s="2277" t="inlineStr">
        <is>
          <t>Credit Limit Worksheet B—Continued</t>
        </is>
      </c>
      <c r="D192" s="7299" t="n"/>
      <c r="E192" s="7299" t="n"/>
      <c r="F192" s="7299" t="n"/>
      <c r="G192" s="7299" t="n"/>
      <c r="H192" s="7299" t="n"/>
      <c r="I192" s="7299" t="n"/>
      <c r="J192" s="7299" t="n"/>
      <c r="K192" s="7299" t="n"/>
      <c r="L192" s="7299" t="n"/>
      <c r="M192" s="7299" t="n"/>
      <c r="N192" s="7299" t="n"/>
      <c r="O192" s="7299" t="n"/>
      <c r="P192" s="7299" t="n"/>
      <c r="Q192" s="7299" t="n"/>
      <c r="R192" s="7299" t="n"/>
      <c r="S192" s="7299" t="n"/>
      <c r="T192" s="7299" t="n"/>
      <c r="U192" s="7299" t="n"/>
      <c r="V192" s="7299" t="n"/>
      <c r="W192" s="7299" t="n"/>
      <c r="X192" s="7299" t="n"/>
      <c r="Y192" s="7299" t="n"/>
      <c r="Z192" s="7299" t="n"/>
      <c r="AA192" s="7299" t="n"/>
      <c r="AB192" s="7299" t="n"/>
      <c r="AC192" s="7299" t="n"/>
      <c r="AD192" s="7299" t="n"/>
      <c r="AE192" s="7299" t="n"/>
      <c r="AF192" s="7299" t="n"/>
      <c r="AG192" s="7299" t="n"/>
      <c r="AH192" s="7299" t="n"/>
      <c r="AI192" s="7299" t="n"/>
      <c r="AJ192" s="7299" t="n"/>
      <c r="AK192" s="7299" t="n"/>
      <c r="AL192" s="7299" t="n"/>
      <c r="AM192" s="7299" t="n"/>
      <c r="AN192" s="7299" t="n"/>
      <c r="AO192" s="7299" t="n"/>
      <c r="AP192" s="7299" t="n"/>
      <c r="AQ192" s="1277" t="n"/>
      <c r="AR192" s="1277" t="n"/>
      <c r="AS192" s="1277" t="n"/>
      <c r="AT192" s="1277" t="n"/>
      <c r="AU192" s="1277" t="n"/>
    </row>
    <row r="193" ht="10.5" customHeight="1" s="7635" thickTop="1">
      <c r="A193" s="1277" t="n"/>
      <c r="B193" s="7299" t="n"/>
      <c r="C193" s="2278" t="n"/>
      <c r="D193" s="2279" t="n"/>
      <c r="E193" s="2279" t="n"/>
      <c r="F193" s="2279" t="n"/>
      <c r="G193" s="2279" t="n"/>
      <c r="H193" s="2279" t="n"/>
      <c r="I193" s="2279" t="n"/>
      <c r="J193" s="2279" t="n"/>
      <c r="K193" s="2279" t="n"/>
      <c r="L193" s="2279" t="n"/>
      <c r="M193" s="2279" t="n"/>
      <c r="N193" s="2279" t="n"/>
      <c r="O193" s="2279" t="n"/>
      <c r="P193" s="2279" t="n"/>
      <c r="Q193" s="2279" t="n"/>
      <c r="R193" s="2279" t="n"/>
      <c r="S193" s="2279" t="n"/>
      <c r="T193" s="2279" t="n"/>
      <c r="U193" s="2279" t="n"/>
      <c r="V193" s="2279" t="n"/>
      <c r="W193" s="2279" t="n"/>
      <c r="X193" s="2279" t="n"/>
      <c r="Y193" s="2279" t="n"/>
      <c r="Z193" s="2279" t="n"/>
      <c r="AA193" s="2279" t="n"/>
      <c r="AB193" s="2279" t="n"/>
      <c r="AC193" s="2279" t="n"/>
      <c r="AD193" s="2279" t="n"/>
      <c r="AE193" s="2279" t="n"/>
      <c r="AF193" s="2279" t="n"/>
      <c r="AG193" s="2279" t="n"/>
      <c r="AH193" s="2279" t="n"/>
      <c r="AI193" s="2279" t="n"/>
      <c r="AJ193" s="2279" t="n"/>
      <c r="AK193" s="2279" t="n"/>
      <c r="AL193" s="2279" t="n"/>
      <c r="AM193" s="2279" t="n"/>
      <c r="AN193" s="2279" t="n"/>
      <c r="AO193" s="2279" t="n"/>
      <c r="AP193" s="7299" t="n"/>
      <c r="AQ193" s="1277" t="n"/>
      <c r="AR193" s="1277" t="n"/>
      <c r="AS193" s="1277" t="n"/>
      <c r="AT193" s="1277" t="n"/>
      <c r="AU193" s="1277" t="n"/>
    </row>
    <row r="194">
      <c r="A194" s="1277" t="n"/>
      <c r="B194" s="7299" t="n"/>
      <c r="C194" s="7299" t="n"/>
      <c r="D194" s="7299" t="n"/>
      <c r="E194" s="7299" t="n"/>
      <c r="F194" s="2272" t="inlineStr">
        <is>
          <t>10.</t>
        </is>
      </c>
      <c r="G194" s="7121" t="inlineStr">
        <is>
          <t>1040 and 1040-SR filers. Enter the total of the amounts</t>
        </is>
      </c>
      <c r="H194" s="7299" t="n"/>
      <c r="I194" s="7299" t="n"/>
      <c r="J194" s="7299" t="n"/>
      <c r="K194" s="7299" t="n"/>
      <c r="L194" s="7299" t="n"/>
      <c r="M194" s="7299" t="n"/>
      <c r="N194" s="7299" t="n"/>
      <c r="O194" s="7299" t="n"/>
      <c r="P194" s="7299" t="n"/>
      <c r="Q194" s="7299" t="n"/>
      <c r="R194" s="7299" t="n"/>
      <c r="S194" s="7299" t="n"/>
      <c r="T194" s="7299" t="n"/>
      <c r="U194" s="7299" t="n"/>
      <c r="V194" s="7299" t="n"/>
      <c r="W194" s="7299" t="n"/>
      <c r="X194" s="7299" t="n"/>
      <c r="Y194" s="7299" t="n"/>
      <c r="Z194" s="7299" t="n"/>
      <c r="AA194" s="7299" t="n"/>
      <c r="AB194" s="7299" t="n"/>
      <c r="AC194" s="7299" t="n"/>
      <c r="AD194" s="7299" t="n"/>
      <c r="AE194" s="7299" t="n"/>
      <c r="AF194" s="7299" t="n"/>
      <c r="AG194" s="7299" t="n"/>
      <c r="AH194" s="7299" t="n"/>
      <c r="AI194" s="7299" t="n"/>
      <c r="AJ194" s="7299" t="n"/>
      <c r="AK194" s="7299" t="n"/>
      <c r="AL194" s="7299" t="n"/>
      <c r="AM194" s="7299" t="n"/>
      <c r="AN194" s="7299" t="n"/>
      <c r="AO194" s="7299" t="n"/>
      <c r="AP194" s="7299" t="n"/>
      <c r="AQ194" s="1277" t="n"/>
      <c r="AR194" s="1277" t="n"/>
      <c r="AS194" s="1277" t="n"/>
      <c r="AT194" s="1277" t="n"/>
      <c r="AU194" s="1277" t="n"/>
    </row>
    <row r="195">
      <c r="A195" s="1277" t="n"/>
      <c r="B195" s="7299" t="n"/>
      <c r="C195" s="7299" t="n"/>
      <c r="D195" s="7299" t="n"/>
      <c r="E195" s="7299" t="n"/>
      <c r="F195" s="2272" t="n"/>
      <c r="G195" s="7121" t="inlineStr">
        <is>
          <t xml:space="preserve">from Form 1040 or 1040-SR, line 27a, and </t>
        </is>
      </c>
      <c r="H195" s="7299" t="n"/>
      <c r="I195" s="7299" t="n"/>
      <c r="J195" s="7299" t="n"/>
      <c r="K195" s="7299" t="n"/>
      <c r="L195" s="7299" t="n"/>
      <c r="M195" s="7299" t="n"/>
      <c r="N195" s="7299" t="n"/>
      <c r="O195" s="7299" t="n"/>
      <c r="P195" s="7299" t="n"/>
      <c r="Q195" s="7299" t="n"/>
      <c r="R195" s="7299" t="n"/>
      <c r="S195" s="7299" t="n"/>
      <c r="T195" s="7299" t="n"/>
      <c r="U195" s="7299" t="n"/>
      <c r="V195" s="7299" t="n"/>
      <c r="W195" s="7299" t="n"/>
      <c r="X195" s="7299" t="n"/>
      <c r="Y195" s="7299" t="n"/>
      <c r="Z195" s="7299" t="n"/>
      <c r="AA195" s="7299" t="n"/>
      <c r="AB195" s="7299" t="n"/>
      <c r="AC195" s="7299" t="n"/>
      <c r="AD195" s="12710" t="inlineStr">
        <is>
          <t>10</t>
        </is>
      </c>
      <c r="AE195" s="7094">
        <f>IF(NOT(AL170),"",SUM('1040'!AF113,'Sch. 3'!AC39))</f>
        <v/>
      </c>
      <c r="AJ195" s="7299" t="n"/>
      <c r="AK195" s="7299" t="n"/>
      <c r="AL195" s="7299" t="n"/>
      <c r="AM195" s="7299" t="n"/>
      <c r="AN195" s="7299" t="n"/>
      <c r="AO195" s="7299" t="n"/>
      <c r="AP195" s="7299" t="n"/>
      <c r="AQ195" s="1277" t="n"/>
      <c r="AR195" s="1277" t="n"/>
      <c r="AS195" s="1277" t="n"/>
      <c r="AT195" s="1277" t="n"/>
      <c r="AU195" s="1277" t="n"/>
    </row>
    <row r="196">
      <c r="A196" s="1277" t="n"/>
      <c r="B196" s="7299" t="n"/>
      <c r="C196" s="7299" t="n"/>
      <c r="D196" s="7299" t="n"/>
      <c r="E196" s="7299" t="n"/>
      <c r="F196" s="2272" t="n"/>
      <c r="G196" s="7121" t="inlineStr">
        <is>
          <t>Schedule 3, line 11.</t>
        </is>
      </c>
      <c r="H196" s="7299" t="n"/>
      <c r="I196" s="7299" t="n"/>
      <c r="J196" s="7299" t="n"/>
      <c r="K196" s="7299" t="n"/>
      <c r="L196" s="7299" t="n"/>
      <c r="M196" s="7299" t="n"/>
      <c r="N196" s="7299" t="n"/>
      <c r="O196" s="7299" t="n"/>
      <c r="P196" s="7299" t="n"/>
      <c r="Q196" s="7299" t="n"/>
      <c r="R196" s="7299" t="n"/>
      <c r="S196" s="7299" t="n"/>
      <c r="T196" s="7299" t="n"/>
      <c r="U196" s="7299" t="n"/>
      <c r="V196" s="7299" t="n"/>
      <c r="W196" s="7299" t="n"/>
      <c r="X196" s="7299" t="n"/>
      <c r="Y196" s="7299" t="n"/>
      <c r="Z196" s="7299" t="n"/>
      <c r="AA196" s="7299" t="n"/>
      <c r="AB196" s="1989" t="inlineStr">
        <is>
          <t>.   .   .   .   .   .   .   .   .   .   .   .</t>
        </is>
      </c>
      <c r="AC196" s="7299" t="n"/>
      <c r="AD196" s="3614" t="n"/>
      <c r="AE196" s="3614" t="n"/>
      <c r="AF196" s="7637" t="n"/>
      <c r="AG196" s="7637" t="n"/>
      <c r="AH196" s="7637" t="n"/>
      <c r="AI196" s="7637" t="n"/>
      <c r="AJ196" s="7299" t="n"/>
      <c r="AK196" s="7299" t="n"/>
      <c r="AL196" s="7299" t="n"/>
      <c r="AM196" s="7299" t="n"/>
      <c r="AN196" s="7299" t="n"/>
      <c r="AO196" s="7299" t="n"/>
      <c r="AP196" s="7299" t="n"/>
      <c r="AQ196" s="1277" t="n"/>
      <c r="AR196" s="1277" t="n"/>
      <c r="AS196" s="1277" t="n"/>
      <c r="AT196" s="1277" t="n"/>
      <c r="AU196" s="1277" t="n"/>
    </row>
    <row r="197">
      <c r="A197" s="1277" t="n"/>
      <c r="B197" s="7299" t="n"/>
      <c r="C197" s="7299" t="n"/>
      <c r="D197" s="7299" t="n"/>
      <c r="E197" s="7299" t="n"/>
      <c r="F197" s="2272" t="n"/>
      <c r="G197" s="7121" t="inlineStr">
        <is>
          <t>1040-NR filers. Enter the amount from Schedule 3,</t>
        </is>
      </c>
      <c r="H197" s="7299" t="n"/>
      <c r="I197" s="7299" t="n"/>
      <c r="J197" s="7299" t="n"/>
      <c r="K197" s="7299" t="n"/>
      <c r="L197" s="7299" t="n"/>
      <c r="M197" s="7299" t="n"/>
      <c r="N197" s="7299" t="n"/>
      <c r="O197" s="7299" t="n"/>
      <c r="P197" s="7299" t="n"/>
      <c r="Q197" s="7299" t="n"/>
      <c r="R197" s="7299" t="n"/>
      <c r="S197" s="7299" t="n"/>
      <c r="T197" s="7299" t="n"/>
      <c r="U197" s="7299" t="n"/>
      <c r="V197" s="7299" t="n"/>
      <c r="W197" s="7299" t="n"/>
      <c r="X197" s="7299" t="n"/>
      <c r="Y197" s="7299" t="n"/>
      <c r="Z197" s="7299" t="n"/>
      <c r="AA197" s="7299" t="n"/>
      <c r="AB197" s="7299" t="n"/>
      <c r="AC197" s="7299" t="n"/>
      <c r="AD197" s="7299" t="n"/>
      <c r="AE197" s="7299" t="n"/>
      <c r="AF197" s="7299" t="n"/>
      <c r="AG197" s="7299" t="n"/>
      <c r="AH197" s="7299" t="n"/>
      <c r="AI197" s="7299" t="n"/>
      <c r="AJ197" s="7299" t="n"/>
      <c r="AK197" s="7299" t="n"/>
      <c r="AL197" s="7299" t="n"/>
      <c r="AM197" s="7299" t="n"/>
      <c r="AN197" s="7299" t="n"/>
      <c r="AO197" s="7299" t="n"/>
      <c r="AP197" s="7299" t="n"/>
      <c r="AQ197" s="1277" t="n"/>
      <c r="AR197" s="1277" t="n"/>
      <c r="AS197" s="1277" t="n"/>
      <c r="AT197" s="1277" t="n"/>
      <c r="AU197" s="1277" t="n"/>
    </row>
    <row r="198">
      <c r="A198" s="1277" t="n"/>
      <c r="B198" s="7299" t="n"/>
      <c r="C198" s="7299" t="n"/>
      <c r="D198" s="7299" t="n"/>
      <c r="E198" s="7299" t="n"/>
      <c r="F198" s="2272" t="n"/>
      <c r="G198" s="7121" t="inlineStr">
        <is>
          <t>line 11.</t>
        </is>
      </c>
      <c r="H198" s="7299" t="n"/>
      <c r="I198" s="7299" t="n"/>
      <c r="J198" s="7299" t="n"/>
      <c r="K198" s="7299" t="n"/>
      <c r="L198" s="7299" t="n"/>
      <c r="M198" s="7299" t="n"/>
      <c r="N198" s="7299" t="n"/>
      <c r="O198" s="7299" t="n"/>
      <c r="P198" s="7299" t="n"/>
      <c r="Q198" s="7299" t="n"/>
      <c r="R198" s="7299" t="n"/>
      <c r="S198" s="7299" t="n"/>
      <c r="T198" s="7299" t="n"/>
      <c r="U198" s="7299" t="n"/>
      <c r="V198" s="7299" t="n"/>
      <c r="W198" s="2280" t="n"/>
      <c r="X198" s="2280" t="n"/>
      <c r="Y198" s="2280" t="n"/>
      <c r="Z198" s="2280" t="n"/>
      <c r="AA198" s="2280" t="n"/>
      <c r="AB198" s="2280" t="n"/>
      <c r="AC198" s="2280" t="n"/>
      <c r="AD198" s="2280" t="n"/>
      <c r="AE198" s="2280" t="n"/>
      <c r="AF198" s="2280" t="n"/>
      <c r="AG198" s="2280" t="n"/>
      <c r="AH198" s="2280" t="n"/>
      <c r="AI198" s="7299" t="n"/>
      <c r="AJ198" s="7299" t="n"/>
      <c r="AK198" s="7299" t="n"/>
      <c r="AL198" s="7299" t="n"/>
      <c r="AM198" s="7299" t="n"/>
      <c r="AN198" s="7299" t="n"/>
      <c r="AO198" s="7299" t="n"/>
      <c r="AP198" s="7299" t="n"/>
      <c r="AQ198" s="1277" t="n"/>
      <c r="AR198" s="1277" t="n"/>
      <c r="AS198" s="1277" t="n"/>
      <c r="AT198" s="1277" t="n"/>
      <c r="AU198" s="1277" t="n"/>
    </row>
    <row r="199" ht="6" customHeight="1" s="7635">
      <c r="A199" s="1277" t="n"/>
      <c r="B199" s="7299" t="n"/>
      <c r="C199" s="7299" t="n"/>
      <c r="D199" s="7299" t="n"/>
      <c r="E199" s="7299" t="n"/>
      <c r="F199" s="7299" t="n"/>
      <c r="G199" s="7299" t="n"/>
      <c r="H199" s="7299" t="n"/>
      <c r="I199" s="7299" t="n"/>
      <c r="J199" s="7299" t="n"/>
      <c r="K199" s="7299" t="n"/>
      <c r="L199" s="7299" t="n"/>
      <c r="M199" s="7299" t="n"/>
      <c r="N199" s="7299" t="n"/>
      <c r="O199" s="7299" t="n"/>
      <c r="P199" s="7299" t="n"/>
      <c r="Q199" s="7299" t="n"/>
      <c r="R199" s="7299" t="n"/>
      <c r="S199" s="7299" t="n"/>
      <c r="T199" s="7299" t="n"/>
      <c r="U199" s="7299" t="n"/>
      <c r="V199" s="7299" t="n"/>
      <c r="W199" s="2280" t="n"/>
      <c r="X199" s="2280" t="n"/>
      <c r="Y199" s="2280" t="n"/>
      <c r="Z199" s="2280" t="n"/>
      <c r="AA199" s="2280" t="n"/>
      <c r="AB199" s="2280" t="n"/>
      <c r="AC199" s="2280" t="n"/>
      <c r="AD199" s="2280" t="n"/>
      <c r="AE199" s="2280" t="n"/>
      <c r="AF199" s="2280" t="n"/>
      <c r="AG199" s="2280" t="n"/>
      <c r="AH199" s="2280" t="n"/>
      <c r="AI199" s="7299" t="n"/>
      <c r="AJ199" s="7299" t="n"/>
      <c r="AK199" s="7299" t="n"/>
      <c r="AL199" s="7299" t="n"/>
      <c r="AM199" s="7299" t="n"/>
      <c r="AN199" s="7299" t="n"/>
      <c r="AO199" s="7299" t="n"/>
      <c r="AP199" s="7299" t="n"/>
      <c r="AQ199" s="1277" t="n"/>
      <c r="AR199" s="1277" t="n"/>
      <c r="AS199" s="1277" t="n"/>
      <c r="AT199" s="1277" t="n"/>
      <c r="AU199" s="1277" t="n"/>
    </row>
    <row r="200" ht="15.75" customHeight="1" s="7635">
      <c r="A200" s="1277" t="n"/>
      <c r="B200" s="7299" t="n"/>
      <c r="C200" s="7299" t="n"/>
      <c r="D200" s="7299" t="n"/>
      <c r="E200" s="7299" t="n"/>
      <c r="F200" s="2248" t="inlineStr">
        <is>
          <t>11.</t>
        </is>
      </c>
      <c r="G200" s="7299" t="inlineStr">
        <is>
          <t>Subtract line 10 from line 9. If the result is zero or less, enter -0-</t>
        </is>
      </c>
      <c r="H200" s="7299" t="n"/>
      <c r="I200" s="7299" t="n"/>
      <c r="J200" s="7299" t="n"/>
      <c r="K200" s="7299" t="n"/>
      <c r="L200" s="7299" t="n"/>
      <c r="M200" s="7299" t="n"/>
      <c r="N200" s="7299" t="n"/>
      <c r="O200" s="7299" t="n"/>
      <c r="P200" s="7299" t="n"/>
      <c r="Q200" s="7299" t="n"/>
      <c r="R200" s="7299" t="n"/>
      <c r="S200" s="7299" t="n"/>
      <c r="T200" s="7299" t="n"/>
      <c r="U200" s="7299" t="n"/>
      <c r="V200" s="7299" t="n"/>
      <c r="W200" s="2280" t="n"/>
      <c r="X200" s="2280" t="n"/>
      <c r="Y200" s="2280" t="n"/>
      <c r="Z200" s="2280" t="n"/>
      <c r="AA200" s="2280" t="n"/>
      <c r="AB200" s="2280" t="n"/>
      <c r="AC200" s="2280" t="n"/>
      <c r="AD200" s="2280" t="n"/>
      <c r="AE200" s="2280" t="n"/>
      <c r="AF200" s="2280" t="n"/>
      <c r="AG200" s="2280" t="n"/>
      <c r="AH200" s="2281" t="inlineStr">
        <is>
          <t>.   .   .   .   .   .   .   .   .   .   .   .   .   .   .   .   .   .   .</t>
        </is>
      </c>
      <c r="AI200" s="7299" t="n"/>
      <c r="AJ200" s="2270" t="inlineStr">
        <is>
          <t>11</t>
        </is>
      </c>
      <c r="AK200" s="7062">
        <f>IF(NOT(C107),"",IF(C163,0,IF(C168,0,SUM(AK186,-AE195))))</f>
        <v/>
      </c>
      <c r="AL200" s="7637" t="n"/>
      <c r="AM200" s="7637" t="n"/>
      <c r="AN200" s="7637" t="n"/>
      <c r="AO200" s="7637" t="n"/>
      <c r="AP200" s="7299" t="n"/>
      <c r="AQ200" s="1277" t="n"/>
      <c r="AR200" s="1277" t="n"/>
      <c r="AS200" s="1277" t="n"/>
      <c r="AT200" s="1277" t="n"/>
      <c r="AU200" s="1277" t="n"/>
    </row>
    <row r="201" ht="8.25" customHeight="1" s="7635">
      <c r="A201" s="1277" t="n"/>
      <c r="B201" s="7299" t="n"/>
      <c r="C201" s="7299" t="n"/>
      <c r="D201" s="7299" t="n"/>
      <c r="E201" s="7299" t="n"/>
      <c r="F201" s="7299" t="n"/>
      <c r="G201" s="7299" t="n"/>
      <c r="H201" s="7299" t="n"/>
      <c r="I201" s="7299" t="n"/>
      <c r="J201" s="7299" t="n"/>
      <c r="K201" s="7299" t="n"/>
      <c r="L201" s="7299" t="n"/>
      <c r="M201" s="7299" t="n"/>
      <c r="N201" s="7299" t="n"/>
      <c r="O201" s="7299" t="n"/>
      <c r="P201" s="7299" t="n"/>
      <c r="Q201" s="7299" t="n"/>
      <c r="R201" s="7299" t="n"/>
      <c r="S201" s="7299" t="n"/>
      <c r="T201" s="7299" t="n"/>
      <c r="U201" s="7299" t="n"/>
      <c r="V201" s="7299" t="n"/>
      <c r="W201" s="2280" t="n"/>
      <c r="X201" s="2280" t="n"/>
      <c r="Y201" s="2280" t="n"/>
      <c r="Z201" s="2280" t="n"/>
      <c r="AA201" s="2280" t="n"/>
      <c r="AB201" s="2280" t="n"/>
      <c r="AC201" s="2280" t="n"/>
      <c r="AD201" s="2280" t="n"/>
      <c r="AE201" s="2280" t="n"/>
      <c r="AF201" s="2280" t="n"/>
      <c r="AG201" s="2280" t="n"/>
      <c r="AH201" s="2280" t="n"/>
      <c r="AI201" s="7299" t="n"/>
      <c r="AJ201" s="7299" t="n"/>
      <c r="AK201" s="7299" t="n"/>
      <c r="AL201" s="7299" t="n"/>
      <c r="AM201" s="7299" t="n"/>
      <c r="AN201" s="7299" t="n"/>
      <c r="AO201" s="7299" t="n"/>
      <c r="AP201" s="7299" t="n"/>
      <c r="AQ201" s="1277" t="n"/>
      <c r="AR201" s="1277" t="n"/>
      <c r="AS201" s="1277" t="n"/>
      <c r="AT201" s="1277" t="n"/>
      <c r="AU201" s="1277" t="n"/>
    </row>
    <row r="202" ht="15.75" customHeight="1" s="7635">
      <c r="A202" s="1277" t="n"/>
      <c r="B202" s="7299" t="n"/>
      <c r="C202" s="7299" t="n"/>
      <c r="D202" s="7299" t="n"/>
      <c r="E202" s="7299" t="n"/>
      <c r="F202" s="2248" t="inlineStr">
        <is>
          <t>12.</t>
        </is>
      </c>
      <c r="G202" s="7299" t="inlineStr">
        <is>
          <t>Enter the larger of line 5 or line 11</t>
        </is>
      </c>
      <c r="H202" s="7299" t="n"/>
      <c r="I202" s="7299" t="n"/>
      <c r="J202" s="7299" t="n"/>
      <c r="K202" s="7299" t="n"/>
      <c r="L202" s="7299" t="n"/>
      <c r="M202" s="7299" t="n"/>
      <c r="N202" s="7299" t="n"/>
      <c r="O202" s="7299" t="n"/>
      <c r="P202" s="7299" t="n"/>
      <c r="Q202" s="7299" t="n"/>
      <c r="R202" s="7299" t="n"/>
      <c r="S202" s="7299" t="n"/>
      <c r="T202" s="7299" t="n"/>
      <c r="U202" s="7299" t="n"/>
      <c r="V202" s="7299" t="n"/>
      <c r="W202" s="2280" t="n"/>
      <c r="X202" s="2280" t="n"/>
      <c r="Y202" s="2280" t="n"/>
      <c r="Z202" s="2280" t="n"/>
      <c r="AA202" s="2280" t="n"/>
      <c r="AB202" s="2280" t="n"/>
      <c r="AC202" s="2280" t="n"/>
      <c r="AD202" s="2280" t="n"/>
      <c r="AE202" s="2280" t="n"/>
      <c r="AF202" s="2280" t="n"/>
      <c r="AG202" s="2280" t="n"/>
      <c r="AH202" s="1989" t="inlineStr">
        <is>
          <t>.   .   .   .   .   .   .   .   .   .   .   .   .   .   .   .   .   .   .   .   .   .   .   .   .   .   .   .   .   .</t>
        </is>
      </c>
      <c r="AI202" s="7299" t="n"/>
      <c r="AJ202" s="2270" t="inlineStr">
        <is>
          <t>12</t>
        </is>
      </c>
      <c r="AK202" s="7062">
        <f>IF(NOT(C107),"",MAX(AK158,AK200))</f>
        <v/>
      </c>
      <c r="AL202" s="7637" t="n"/>
      <c r="AM202" s="7637" t="n"/>
      <c r="AN202" s="7637" t="n"/>
      <c r="AO202" s="7637" t="n"/>
      <c r="AP202" s="7299" t="n"/>
      <c r="AQ202" s="1277" t="n"/>
      <c r="AR202" s="1277" t="n"/>
      <c r="AS202" s="1277" t="n"/>
      <c r="AT202" s="1277" t="n"/>
      <c r="AU202" s="1277" t="n"/>
    </row>
    <row r="203" ht="8.25" customHeight="1" s="7635">
      <c r="A203" s="1277" t="n"/>
      <c r="B203" s="7299" t="n"/>
      <c r="C203" s="7299" t="n"/>
      <c r="D203" s="7299" t="n"/>
      <c r="E203" s="7299" t="n"/>
      <c r="F203" s="7299" t="n"/>
      <c r="G203" s="7299" t="n"/>
      <c r="H203" s="7299" t="n"/>
      <c r="I203" s="7299" t="n"/>
      <c r="J203" s="7299" t="n"/>
      <c r="K203" s="7299" t="n"/>
      <c r="L203" s="7299" t="n"/>
      <c r="M203" s="7299" t="n"/>
      <c r="N203" s="7299" t="n"/>
      <c r="O203" s="7299" t="n"/>
      <c r="P203" s="2199" t="n"/>
      <c r="Q203" s="2199" t="n"/>
      <c r="R203" s="2199" t="n"/>
      <c r="S203" s="2199" t="n"/>
      <c r="T203" s="2199" t="n"/>
      <c r="U203" s="2199" t="n"/>
      <c r="V203" s="2199" t="n"/>
      <c r="W203" s="2199" t="n"/>
      <c r="X203" s="2199" t="n"/>
      <c r="Y203" s="2199" t="n"/>
      <c r="Z203" s="2199" t="n"/>
      <c r="AA203" s="2199" t="n"/>
      <c r="AB203" s="2199" t="n"/>
      <c r="AC203" s="2199" t="n"/>
      <c r="AD203" s="2199" t="n"/>
      <c r="AE203" s="2199" t="n"/>
      <c r="AF203" s="2199" t="n"/>
      <c r="AG203" s="2199" t="n"/>
      <c r="AH203" s="2199" t="n"/>
      <c r="AI203" s="7299" t="n"/>
      <c r="AJ203" s="7299" t="n"/>
      <c r="AK203" s="7299" t="n"/>
      <c r="AL203" s="7299" t="n"/>
      <c r="AM203" s="7299" t="n"/>
      <c r="AN203" s="7299" t="n"/>
      <c r="AO203" s="7299" t="n"/>
      <c r="AP203" s="7299" t="n"/>
      <c r="AQ203" s="1277" t="n"/>
      <c r="AR203" s="1277" t="n"/>
      <c r="AS203" s="1277" t="n"/>
      <c r="AT203" s="1277" t="n"/>
      <c r="AU203" s="1277" t="n"/>
    </row>
    <row r="204">
      <c r="A204" s="1277" t="n"/>
      <c r="B204" s="7299" t="n"/>
      <c r="C204" s="7299" t="n"/>
      <c r="D204" s="7299" t="n"/>
      <c r="E204" s="7299" t="n"/>
      <c r="F204" s="2248" t="inlineStr">
        <is>
          <t>13.</t>
        </is>
      </c>
      <c r="G204" s="7299" t="inlineStr">
        <is>
          <t>Enter the smaller of line 2 or line 12</t>
        </is>
      </c>
      <c r="H204" s="7299" t="n"/>
      <c r="I204" s="7299" t="n"/>
      <c r="J204" s="7299" t="n"/>
      <c r="K204" s="7299" t="n"/>
      <c r="L204" s="7299" t="n"/>
      <c r="M204" s="7299" t="n"/>
      <c r="N204" s="7299" t="n"/>
      <c r="O204" s="7299" t="n"/>
      <c r="P204" s="2199" t="n"/>
      <c r="Q204" s="2199" t="n"/>
      <c r="R204" s="2199" t="n"/>
      <c r="S204" s="2199" t="n"/>
      <c r="T204" s="2199" t="n"/>
      <c r="U204" s="2199" t="n"/>
      <c r="V204" s="2199" t="n"/>
      <c r="W204" s="2199" t="n"/>
      <c r="X204" s="2199" t="n"/>
      <c r="Y204" s="2199" t="n"/>
      <c r="Z204" s="2199" t="n"/>
      <c r="AA204" s="2199" t="n"/>
      <c r="AB204" s="2199" t="n"/>
      <c r="AC204" s="2199" t="n"/>
      <c r="AD204" s="2199" t="n"/>
      <c r="AE204" s="2199" t="n"/>
      <c r="AF204" s="2199" t="n"/>
      <c r="AG204" s="2199" t="n"/>
      <c r="AH204" s="1989" t="inlineStr">
        <is>
          <t>.   .   .   .   .   .   .   .   .   .   .   .   .   .   .   .   .   .   .   .   .   .   .   .   .   .   .   .   .   .</t>
        </is>
      </c>
      <c r="AI204" s="7299" t="n"/>
      <c r="AJ204" s="2270" t="inlineStr">
        <is>
          <t>13</t>
        </is>
      </c>
      <c r="AK204" s="7062">
        <f>IF(NOT(C107),"",MIN(AK142,AK202))</f>
        <v/>
      </c>
      <c r="AL204" s="7637" t="n"/>
      <c r="AM204" s="7637" t="n"/>
      <c r="AN204" s="7637" t="n"/>
      <c r="AO204" s="7637" t="n"/>
      <c r="AP204" s="7299" t="n"/>
      <c r="AQ204" s="1277" t="n"/>
      <c r="AR204" s="1277" t="n"/>
      <c r="AS204" s="1277" t="n"/>
      <c r="AT204" s="1277" t="n"/>
      <c r="AU204" s="1277" t="n"/>
    </row>
    <row r="205" ht="8.25" customHeight="1" s="7635">
      <c r="A205" s="1277" t="n"/>
      <c r="B205" s="7299" t="n"/>
      <c r="C205" s="7299" t="n"/>
      <c r="D205" s="7299" t="n"/>
      <c r="E205" s="7299" t="n"/>
      <c r="F205" s="7299" t="n"/>
      <c r="G205" s="7299" t="n"/>
      <c r="H205" s="7299" t="n"/>
      <c r="I205" s="7299" t="n"/>
      <c r="J205" s="7299" t="n"/>
      <c r="K205" s="7299" t="n"/>
      <c r="L205" s="7299" t="n"/>
      <c r="M205" s="7299" t="n"/>
      <c r="N205" s="7299" t="n"/>
      <c r="O205" s="7299" t="n"/>
      <c r="P205" s="2199" t="n"/>
      <c r="Q205" s="2199" t="n"/>
      <c r="R205" s="2199" t="n"/>
      <c r="S205" s="2199" t="n"/>
      <c r="T205" s="2199" t="n"/>
      <c r="U205" s="2199" t="n"/>
      <c r="V205" s="2199" t="n"/>
      <c r="W205" s="2199" t="n"/>
      <c r="X205" s="2199" t="n"/>
      <c r="Y205" s="2199" t="n"/>
      <c r="Z205" s="2199" t="n"/>
      <c r="AA205" s="2199" t="n"/>
      <c r="AB205" s="2199" t="n"/>
      <c r="AC205" s="2199" t="n"/>
      <c r="AD205" s="2199" t="n"/>
      <c r="AE205" s="2199" t="n"/>
      <c r="AF205" s="2199" t="n"/>
      <c r="AG205" s="2199" t="n"/>
      <c r="AH205" s="2199" t="n"/>
      <c r="AI205" s="7299" t="n"/>
      <c r="AJ205" s="7299" t="n"/>
      <c r="AK205" s="7299" t="n"/>
      <c r="AL205" s="7299" t="n"/>
      <c r="AM205" s="7299" t="n"/>
      <c r="AN205" s="7299" t="n"/>
      <c r="AO205" s="7299" t="n"/>
      <c r="AP205" s="7299" t="n"/>
      <c r="AQ205" s="1277" t="n"/>
      <c r="AR205" s="1277" t="n"/>
      <c r="AS205" s="1277" t="n"/>
      <c r="AT205" s="1277" t="n"/>
      <c r="AU205" s="1277" t="n"/>
    </row>
    <row r="206" ht="15.75" customHeight="1" s="7635">
      <c r="A206" s="1277" t="n"/>
      <c r="B206" s="7299" t="n"/>
      <c r="C206" s="7299" t="n"/>
      <c r="D206" s="7299" t="n"/>
      <c r="E206" s="7299" t="n"/>
      <c r="F206" s="2248" t="inlineStr">
        <is>
          <t>14.</t>
        </is>
      </c>
      <c r="G206" s="7299" t="inlineStr">
        <is>
          <t>Is the amount on line 13 of this worksheet more than the amount on line 1?</t>
        </is>
      </c>
      <c r="H206" s="7299" t="n"/>
      <c r="I206" s="7299" t="n"/>
      <c r="J206" s="7299" t="n"/>
      <c r="K206" s="7299" t="n"/>
      <c r="L206" s="7299" t="n"/>
      <c r="M206" s="7299" t="n"/>
      <c r="N206" s="7299" t="n"/>
      <c r="O206" s="7299" t="n"/>
      <c r="P206" s="7299" t="n"/>
      <c r="Q206" s="7299" t="n"/>
      <c r="R206" s="7299" t="n"/>
      <c r="S206" s="7299" t="n"/>
      <c r="T206" s="7299" t="n"/>
      <c r="U206" s="7299" t="n"/>
      <c r="V206" s="7299" t="n"/>
      <c r="W206" s="7299" t="n"/>
      <c r="X206" s="7299" t="n"/>
      <c r="Y206" s="7299" t="n"/>
      <c r="Z206" s="7299" t="n"/>
      <c r="AA206" s="7299" t="n"/>
      <c r="AB206" s="7299" t="n"/>
      <c r="AC206" s="7299" t="n"/>
      <c r="AD206" s="7299" t="n"/>
      <c r="AE206" s="7299" t="n"/>
      <c r="AF206" s="2199" t="n"/>
      <c r="AG206" s="2199" t="n"/>
      <c r="AH206" s="1989" t="n"/>
      <c r="AI206" s="7299" t="n"/>
      <c r="AJ206" s="7299" t="n"/>
      <c r="AK206" s="7299" t="n"/>
      <c r="AL206" s="7299" t="n"/>
      <c r="AM206" s="7299" t="n"/>
      <c r="AN206" s="7299" t="n"/>
      <c r="AO206" s="7299" t="n"/>
      <c r="AP206" s="7299" t="n"/>
      <c r="AQ206" s="1277" t="n"/>
      <c r="AR206" s="1277" t="n"/>
      <c r="AS206" s="1277" t="n"/>
      <c r="AT206" s="1277" t="n"/>
      <c r="AU206" s="1277" t="n"/>
    </row>
    <row r="207" ht="6.75" customHeight="1" s="7635" thickBot="1">
      <c r="A207" s="1277" t="n"/>
      <c r="B207" s="7299" t="n"/>
      <c r="C207" s="7299" t="n"/>
      <c r="D207" s="7299" t="n"/>
      <c r="E207" s="7299" t="n"/>
      <c r="F207" s="7299" t="n"/>
      <c r="G207" s="7299" t="n"/>
      <c r="H207" s="7299" t="n"/>
      <c r="I207" s="7299" t="n"/>
      <c r="J207" s="7299" t="n"/>
      <c r="K207" s="7299" t="n"/>
      <c r="L207" s="7299" t="n"/>
      <c r="M207" s="7299" t="n"/>
      <c r="N207" s="7299" t="n"/>
      <c r="O207" s="7299" t="n"/>
      <c r="P207" s="7299" t="n"/>
      <c r="Q207" s="7299" t="n"/>
      <c r="R207" s="7299" t="n"/>
      <c r="S207" s="7299" t="n"/>
      <c r="T207" s="7299" t="n"/>
      <c r="U207" s="7299" t="n"/>
      <c r="V207" s="7299" t="n"/>
      <c r="W207" s="7299" t="n"/>
      <c r="X207" s="7299" t="n"/>
      <c r="Y207" s="7299" t="n"/>
      <c r="Z207" s="7299" t="n"/>
      <c r="AA207" s="7299" t="n"/>
      <c r="AB207" s="7299" t="n"/>
      <c r="AC207" s="7299" t="n"/>
      <c r="AD207" s="7299" t="n"/>
      <c r="AE207" s="7299" t="n"/>
      <c r="AF207" s="7299" t="n"/>
      <c r="AG207" s="7299" t="n"/>
      <c r="AH207" s="7299" t="n"/>
      <c r="AI207" s="7299" t="n"/>
      <c r="AJ207" s="7299" t="n"/>
      <c r="AK207" s="7299" t="n"/>
      <c r="AL207" s="7299" t="n"/>
      <c r="AM207" s="7299" t="n"/>
      <c r="AN207" s="7299" t="n"/>
      <c r="AO207" s="7299" t="n"/>
      <c r="AP207" s="7299" t="n"/>
      <c r="AQ207" s="1277" t="n"/>
      <c r="AR207" s="1277" t="n"/>
      <c r="AS207" s="1277" t="n"/>
      <c r="AT207" s="1277" t="n"/>
      <c r="AU207" s="1277" t="n"/>
    </row>
    <row r="208" ht="12" customHeight="1" s="7635" thickBot="1">
      <c r="A208" s="1277" t="n"/>
      <c r="B208" s="7299" t="n"/>
      <c r="C208" s="10940">
        <f>(G208&lt;&gt;"")</f>
        <v/>
      </c>
      <c r="F208" s="7299" t="n"/>
      <c r="G208" s="2282">
        <f>IF(OR(NOT(AL136),C163),"",IF(AK204&gt;AK140,"","X"))</f>
        <v/>
      </c>
      <c r="H208" s="7299" t="n"/>
      <c r="I208" s="807" t="inlineStr">
        <is>
          <t>No.</t>
        </is>
      </c>
      <c r="J208" s="7299" t="n"/>
      <c r="K208" s="7299" t="inlineStr">
        <is>
          <t>Subtract line 13 from line 1. Enter the result.</t>
        </is>
      </c>
      <c r="L208" s="7299" t="n"/>
      <c r="M208" s="7299" t="n"/>
      <c r="N208" s="7299" t="n"/>
      <c r="O208" s="7299" t="n"/>
      <c r="P208" s="7299" t="n"/>
      <c r="Q208" s="7299" t="n"/>
      <c r="R208" s="7299" t="n"/>
      <c r="S208" s="7299" t="n"/>
      <c r="T208" s="7299" t="n"/>
      <c r="U208" s="7299" t="n"/>
      <c r="V208" s="7299" t="n"/>
      <c r="W208" s="7299" t="n"/>
      <c r="X208" s="7299" t="n"/>
      <c r="Y208" s="7299" t="n"/>
      <c r="Z208" s="7299" t="n"/>
      <c r="AA208" s="7299" t="n"/>
      <c r="AB208" s="7299" t="n"/>
      <c r="AC208" s="7299" t="n"/>
      <c r="AD208" s="7299" t="n"/>
      <c r="AE208" s="7299" t="n"/>
      <c r="AF208" s="7299" t="n"/>
      <c r="AG208" s="7299" t="n"/>
      <c r="AH208" s="1989" t="inlineStr">
        <is>
          <t>.   .   .   .   .   .   .   .   .   .   .   .   .</t>
        </is>
      </c>
      <c r="AI208" s="7299" t="n"/>
      <c r="AJ208" s="2270" t="inlineStr">
        <is>
          <t>14</t>
        </is>
      </c>
      <c r="AK208" s="8196">
        <f>IF(NOT(C107),"",IF(C163,AK140,IF(C208,SUM(AK140,-AK204),0)))</f>
        <v/>
      </c>
      <c r="AP208" s="7299" t="n"/>
      <c r="AQ208" s="1277" t="n"/>
      <c r="AR208" s="1277" t="n"/>
      <c r="AS208" s="1277" t="n"/>
      <c r="AT208" s="1277" t="n"/>
      <c r="AU208" s="1277" t="n"/>
    </row>
    <row r="209" ht="6.75" customHeight="1" s="7635" thickBot="1">
      <c r="A209" s="1277" t="n"/>
      <c r="B209" s="7299" t="n"/>
      <c r="C209" s="7299" t="n"/>
      <c r="D209" s="7299" t="n"/>
      <c r="E209" s="7299" t="n"/>
      <c r="F209" s="7299" t="n"/>
      <c r="G209" s="7299" t="n"/>
      <c r="H209" s="7299" t="n"/>
      <c r="I209" s="7299" t="n"/>
      <c r="J209" s="7299" t="n"/>
      <c r="K209" s="7299" t="n"/>
      <c r="L209" s="7299" t="n"/>
      <c r="M209" s="7299" t="n"/>
      <c r="N209" s="7299" t="n"/>
      <c r="O209" s="7299" t="n"/>
      <c r="P209" s="7299" t="n"/>
      <c r="Q209" s="7299" t="n"/>
      <c r="R209" s="7299" t="n"/>
      <c r="S209" s="7299" t="n"/>
      <c r="T209" s="7299" t="n"/>
      <c r="U209" s="7299" t="n"/>
      <c r="V209" s="7299" t="n"/>
      <c r="W209" s="7299" t="n"/>
      <c r="X209" s="7299" t="n"/>
      <c r="Y209" s="7299" t="n"/>
      <c r="Z209" s="7299" t="n"/>
      <c r="AA209" s="7299" t="n"/>
      <c r="AB209" s="7299" t="n"/>
      <c r="AC209" s="7299" t="n"/>
      <c r="AD209" s="7299" t="n"/>
      <c r="AE209" s="7299" t="n"/>
      <c r="AF209" s="7299" t="n"/>
      <c r="AG209" s="7299" t="n"/>
      <c r="AH209" s="7299" t="n"/>
      <c r="AI209" s="7299" t="n"/>
      <c r="AJ209" s="11934" t="n"/>
      <c r="AK209" s="3614" t="n"/>
      <c r="AL209" s="7637" t="n"/>
      <c r="AM209" s="7637" t="n"/>
      <c r="AN209" s="7637" t="n"/>
      <c r="AO209" s="7637" t="n"/>
      <c r="AP209" s="7299" t="n"/>
      <c r="AQ209" s="1277" t="n"/>
      <c r="AR209" s="1277" t="n"/>
      <c r="AS209" s="1277" t="n"/>
      <c r="AT209" s="1277" t="n"/>
      <c r="AU209" s="1277" t="n"/>
    </row>
    <row r="210" ht="12" customHeight="1" s="7635" thickBot="1">
      <c r="A210" s="1277" t="n"/>
      <c r="B210" s="7299" t="n"/>
      <c r="C210" s="10940">
        <f>(G210&lt;&gt;"")</f>
        <v/>
      </c>
      <c r="F210" s="7299" t="n"/>
      <c r="G210" s="2282">
        <f>IF(OR(NOT(AL136),C163),"",IF(AK204&gt;AK140,"X",""))</f>
        <v/>
      </c>
      <c r="H210" s="7299" t="n"/>
      <c r="I210" s="807" t="inlineStr">
        <is>
          <t>Yes.</t>
        </is>
      </c>
      <c r="J210" s="7299" t="n"/>
      <c r="K210" s="7299" t="inlineStr">
        <is>
          <t>Enter -0-.</t>
        </is>
      </c>
      <c r="L210" s="7299" t="n"/>
      <c r="M210" s="7299" t="n"/>
      <c r="N210" s="7299" t="n"/>
      <c r="O210" s="7299" t="n"/>
      <c r="P210" s="7299" t="n"/>
      <c r="Q210" s="7299" t="n"/>
      <c r="R210" s="7299" t="n"/>
      <c r="S210" s="7299" t="n"/>
      <c r="T210" s="7299" t="n"/>
      <c r="U210" s="7299" t="n"/>
      <c r="V210" s="7299" t="n"/>
      <c r="W210" s="7299" t="n"/>
      <c r="X210" s="7299" t="n"/>
      <c r="Y210" s="7299" t="n"/>
      <c r="Z210" s="7299" t="n"/>
      <c r="AA210" s="7299" t="n"/>
      <c r="AB210" s="7299" t="n"/>
      <c r="AC210" s="7299" t="n"/>
      <c r="AD210" s="7299" t="n"/>
      <c r="AE210" s="7299" t="n"/>
      <c r="AF210" s="7299" t="n"/>
      <c r="AG210" s="7299" t="n"/>
      <c r="AH210" s="7299" t="n"/>
      <c r="AI210" s="7299" t="n"/>
      <c r="AJ210" s="7299" t="n"/>
      <c r="AK210" s="7299" t="n"/>
      <c r="AL210" s="7299" t="n"/>
      <c r="AM210" s="7299" t="n"/>
      <c r="AN210" s="7299" t="n"/>
      <c r="AO210" s="7299" t="n"/>
      <c r="AP210" s="7299" t="n"/>
      <c r="AQ210" s="1277" t="n"/>
      <c r="AR210" s="1277" t="n"/>
      <c r="AS210" s="1277" t="n"/>
      <c r="AT210" s="1277" t="n"/>
      <c r="AU210" s="1277" t="n"/>
    </row>
    <row r="211" ht="6" customHeight="1" s="7635">
      <c r="A211" s="1277" t="n"/>
      <c r="B211" s="7299" t="n"/>
      <c r="C211" s="7299" t="n"/>
      <c r="D211" s="7299" t="n"/>
      <c r="E211" s="7299" t="n"/>
      <c r="F211" s="7299" t="n"/>
      <c r="G211" s="2271" t="n"/>
      <c r="H211" s="2271" t="n"/>
      <c r="I211" s="2271" t="n"/>
      <c r="J211" s="2271" t="n"/>
      <c r="K211" s="2271" t="n"/>
      <c r="L211" s="2271" t="n"/>
      <c r="M211" s="2271" t="n"/>
      <c r="N211" s="2271" t="n"/>
      <c r="O211" s="2271" t="n"/>
      <c r="P211" s="2271" t="n"/>
      <c r="Q211" s="2271" t="n"/>
      <c r="R211" s="2271" t="n"/>
      <c r="S211" s="2271" t="n"/>
      <c r="T211" s="2271" t="n"/>
      <c r="U211" s="2271" t="n"/>
      <c r="V211" s="2271" t="n"/>
      <c r="W211" s="2271" t="n"/>
      <c r="X211" s="2271" t="n"/>
      <c r="Y211" s="2271" t="n"/>
      <c r="Z211" s="2271" t="n"/>
      <c r="AA211" s="2271" t="n"/>
      <c r="AB211" s="2271" t="n"/>
      <c r="AC211" s="2271" t="n"/>
      <c r="AD211" s="2271" t="n"/>
      <c r="AE211" s="2271" t="n"/>
      <c r="AF211" s="2271" t="n"/>
      <c r="AG211" s="2271" t="n"/>
      <c r="AH211" s="2271" t="n"/>
      <c r="AI211" s="2271" t="n"/>
      <c r="AJ211" s="7299" t="n"/>
      <c r="AK211" s="7299" t="n"/>
      <c r="AL211" s="7299" t="n"/>
      <c r="AM211" s="7299" t="n"/>
      <c r="AN211" s="7299" t="n"/>
      <c r="AO211" s="7299" t="n"/>
      <c r="AP211" s="7299" t="n"/>
      <c r="AQ211" s="1277" t="n"/>
      <c r="AR211" s="1277" t="n"/>
      <c r="AS211" s="1277" t="n"/>
      <c r="AT211" s="1277" t="n"/>
      <c r="AU211" s="1277" t="n"/>
    </row>
    <row r="212" ht="6" customHeight="1" s="7635">
      <c r="A212" s="1277" t="n"/>
      <c r="B212" s="7299" t="n"/>
      <c r="C212" s="7299" t="n"/>
      <c r="D212" s="7299" t="n"/>
      <c r="E212" s="7299" t="n"/>
      <c r="F212" s="7299" t="n"/>
      <c r="G212" s="7299" t="n"/>
      <c r="H212" s="7299" t="n"/>
      <c r="I212" s="7299" t="n"/>
      <c r="J212" s="7299" t="n"/>
      <c r="K212" s="7299" t="n"/>
      <c r="L212" s="7299" t="n"/>
      <c r="M212" s="7299" t="n"/>
      <c r="N212" s="7299" t="n"/>
      <c r="O212" s="7299" t="n"/>
      <c r="P212" s="7299" t="n"/>
      <c r="Q212" s="7299" t="n"/>
      <c r="R212" s="7299" t="n"/>
      <c r="S212" s="7299" t="n"/>
      <c r="T212" s="7299" t="n"/>
      <c r="U212" s="7299" t="n"/>
      <c r="V212" s="7299" t="n"/>
      <c r="W212" s="7299" t="n"/>
      <c r="X212" s="7299" t="n"/>
      <c r="Y212" s="7299" t="n"/>
      <c r="Z212" s="7299" t="n"/>
      <c r="AA212" s="7299" t="n"/>
      <c r="AB212" s="7299" t="n"/>
      <c r="AC212" s="7299" t="n"/>
      <c r="AD212" s="7299" t="n"/>
      <c r="AE212" s="7299" t="n"/>
      <c r="AF212" s="7299" t="n"/>
      <c r="AG212" s="7299" t="n"/>
      <c r="AH212" s="7299" t="n"/>
      <c r="AI212" s="7299" t="n"/>
      <c r="AJ212" s="7299" t="n"/>
      <c r="AK212" s="7299" t="n"/>
      <c r="AL212" s="7299" t="n"/>
      <c r="AM212" s="7299" t="n"/>
      <c r="AN212" s="7299" t="n"/>
      <c r="AO212" s="7299" t="n"/>
      <c r="AP212" s="7299" t="n"/>
      <c r="AQ212" s="1277" t="n"/>
      <c r="AR212" s="1277" t="n"/>
      <c r="AS212" s="1277" t="n"/>
      <c r="AT212" s="1277" t="n"/>
      <c r="AU212" s="1277" t="n"/>
    </row>
    <row r="213">
      <c r="A213" s="1277" t="n"/>
      <c r="B213" s="7299" t="n"/>
      <c r="C213" s="7299" t="n"/>
      <c r="D213" s="7299" t="n"/>
      <c r="E213" s="7299" t="n"/>
      <c r="F213" s="2248" t="n"/>
      <c r="G213" s="7299" t="inlineStr">
        <is>
          <t>Next, figure the amount of any of the following credits that you are claiming.</t>
        </is>
      </c>
      <c r="H213" s="7299" t="n"/>
      <c r="I213" s="7299" t="n"/>
      <c r="J213" s="7299" t="n"/>
      <c r="K213" s="7299" t="n"/>
      <c r="L213" s="7299" t="n"/>
      <c r="M213" s="7299" t="n"/>
      <c r="N213" s="7299" t="n"/>
      <c r="O213" s="7299" t="n"/>
      <c r="P213" s="7299" t="n"/>
      <c r="Q213" s="7299" t="n"/>
      <c r="R213" s="7299" t="n"/>
      <c r="S213" s="7299" t="n"/>
      <c r="T213" s="7299" t="n"/>
      <c r="U213" s="7299" t="n"/>
      <c r="V213" s="7299" t="n"/>
      <c r="W213" s="7299" t="n"/>
      <c r="X213" s="7299" t="n"/>
      <c r="Y213" s="7299" t="n"/>
      <c r="Z213" s="7299" t="n"/>
      <c r="AA213" s="7299" t="n"/>
      <c r="AB213" s="7299" t="n"/>
      <c r="AC213" s="7299" t="n"/>
      <c r="AD213" s="7299" t="n"/>
      <c r="AE213" s="7299" t="n"/>
      <c r="AF213" s="7299" t="n"/>
      <c r="AG213" s="7299" t="n"/>
      <c r="AH213" s="7299" t="n"/>
      <c r="AI213" s="7299" t="n"/>
      <c r="AJ213" s="7299" t="n"/>
      <c r="AK213" s="7299" t="n"/>
      <c r="AL213" s="7299" t="n"/>
      <c r="AM213" s="7299" t="n"/>
      <c r="AN213" s="7299" t="n"/>
      <c r="AO213" s="7299" t="n"/>
      <c r="AP213" s="7299" t="n"/>
      <c r="AQ213" s="1277" t="n"/>
      <c r="AR213" s="1277" t="n"/>
      <c r="AS213" s="1277" t="n"/>
      <c r="AT213" s="1277" t="n"/>
      <c r="AU213" s="1277" t="n"/>
    </row>
    <row r="214" ht="12.75" customHeight="1" s="7635">
      <c r="A214" s="1277" t="n"/>
      <c r="B214" s="7299" t="n"/>
      <c r="C214" s="7299" t="n"/>
      <c r="D214" s="7299" t="n"/>
      <c r="E214" s="7299" t="n"/>
      <c r="F214" s="2248" t="n"/>
      <c r="G214" s="10615" t="inlineStr">
        <is>
          <t>•</t>
        </is>
      </c>
      <c r="H214" s="7299" t="inlineStr">
        <is>
          <t>Mortgage interest credit, Form 8396.</t>
        </is>
      </c>
      <c r="I214" s="7299" t="n"/>
      <c r="J214" s="7299" t="n"/>
      <c r="K214" s="7299" t="n"/>
      <c r="L214" s="7299" t="n"/>
      <c r="M214" s="7299" t="n"/>
      <c r="N214" s="7299" t="n"/>
      <c r="O214" s="7299" t="n"/>
      <c r="P214" s="7299" t="n"/>
      <c r="Q214" s="7299" t="n"/>
      <c r="R214" s="7299" t="n"/>
      <c r="S214" s="7299" t="n"/>
      <c r="T214" s="7299" t="n"/>
      <c r="U214" s="7299" t="n"/>
      <c r="V214" s="7299" t="n"/>
      <c r="W214" s="7299" t="n"/>
      <c r="X214" s="7299" t="n"/>
      <c r="Y214" s="7299" t="n"/>
      <c r="Z214" s="7299" t="n"/>
      <c r="AA214" s="7299" t="n"/>
      <c r="AB214" s="7299" t="n"/>
      <c r="AC214" s="7299" t="n"/>
      <c r="AD214" s="7299" t="n"/>
      <c r="AE214" s="7299" t="n"/>
      <c r="AF214" s="7299" t="n"/>
      <c r="AG214" s="7299" t="n"/>
      <c r="AH214" s="7299" t="n"/>
      <c r="AI214" s="7299" t="n"/>
      <c r="AJ214" s="7299" t="n"/>
      <c r="AK214" s="7299" t="n"/>
      <c r="AL214" s="7299" t="n"/>
      <c r="AM214" s="7299" t="n"/>
      <c r="AN214" s="7299" t="n"/>
      <c r="AO214" s="7299" t="n"/>
      <c r="AP214" s="7299" t="n"/>
      <c r="AQ214" s="1277" t="n"/>
      <c r="AR214" s="1277" t="n"/>
      <c r="AS214" s="1277" t="n"/>
      <c r="AT214" s="1277" t="n"/>
      <c r="AU214" s="1277" t="n"/>
    </row>
    <row r="215" ht="12.75" customHeight="1" s="7635">
      <c r="A215" s="1277" t="n"/>
      <c r="B215" s="7299" t="n"/>
      <c r="C215" s="7299" t="n"/>
      <c r="D215" s="7299" t="n"/>
      <c r="E215" s="7299" t="n"/>
      <c r="F215" s="2248" t="n"/>
      <c r="G215" s="10615" t="inlineStr">
        <is>
          <t>•</t>
        </is>
      </c>
      <c r="H215" s="7299" t="inlineStr">
        <is>
          <t>Adoption credit, Form 8839.</t>
        </is>
      </c>
      <c r="I215" s="7299" t="n"/>
      <c r="J215" s="7299" t="n"/>
      <c r="K215" s="7299" t="n"/>
      <c r="L215" s="7299" t="n"/>
      <c r="M215" s="7299" t="n"/>
      <c r="N215" s="7299" t="n"/>
      <c r="O215" s="7299" t="n"/>
      <c r="P215" s="7299" t="n"/>
      <c r="Q215" s="7299" t="n"/>
      <c r="R215" s="7299" t="n"/>
      <c r="S215" s="7299" t="n"/>
      <c r="T215" s="7299" t="n"/>
      <c r="U215" s="7299" t="n"/>
      <c r="V215" s="7299" t="n"/>
      <c r="W215" s="7299" t="n"/>
      <c r="X215" s="7299" t="n"/>
      <c r="Y215" s="7299" t="n"/>
      <c r="Z215" s="7299" t="n"/>
      <c r="AA215" s="7299" t="n"/>
      <c r="AB215" s="7299" t="n"/>
      <c r="AC215" s="7299" t="n"/>
      <c r="AD215" s="7299" t="n"/>
      <c r="AE215" s="7299" t="n"/>
      <c r="AF215" s="7299" t="n"/>
      <c r="AG215" s="7299" t="n"/>
      <c r="AH215" s="7299" t="n"/>
      <c r="AI215" s="7299" t="n"/>
      <c r="AJ215" s="7299" t="n"/>
      <c r="AK215" s="7299" t="n"/>
      <c r="AL215" s="7299" t="n"/>
      <c r="AM215" s="7299" t="n"/>
      <c r="AN215" s="7299" t="n"/>
      <c r="AO215" s="7299" t="n"/>
      <c r="AP215" s="7299" t="n"/>
      <c r="AQ215" s="1277" t="n"/>
      <c r="AR215" s="1277" t="n"/>
      <c r="AS215" s="1277" t="n"/>
      <c r="AT215" s="1277" t="n"/>
      <c r="AU215" s="1277" t="n"/>
    </row>
    <row r="216" ht="12.75" customHeight="1" s="7635">
      <c r="A216" s="1277" t="n"/>
      <c r="B216" s="7299" t="n"/>
      <c r="C216" s="7299" t="n"/>
      <c r="D216" s="7299" t="n"/>
      <c r="E216" s="7299" t="n"/>
      <c r="F216" s="2248" t="n"/>
      <c r="G216" s="10615" t="inlineStr">
        <is>
          <t>•</t>
        </is>
      </c>
      <c r="H216" s="7299" t="inlineStr">
        <is>
          <t>Residential clean energy credit, Form 5695, Part I.</t>
        </is>
      </c>
      <c r="I216" s="7299" t="n"/>
      <c r="J216" s="7299" t="n"/>
      <c r="K216" s="7299" t="n"/>
      <c r="L216" s="7299" t="n"/>
      <c r="M216" s="7299" t="n"/>
      <c r="N216" s="7299" t="n"/>
      <c r="O216" s="7299" t="n"/>
      <c r="P216" s="7299" t="n"/>
      <c r="Q216" s="7299" t="n"/>
      <c r="R216" s="7299" t="n"/>
      <c r="S216" s="7299" t="n"/>
      <c r="T216" s="7299" t="n"/>
      <c r="U216" s="7299" t="n"/>
      <c r="V216" s="7299" t="n"/>
      <c r="W216" s="7299" t="n"/>
      <c r="X216" s="7299" t="n"/>
      <c r="Y216" s="7299" t="n"/>
      <c r="Z216" s="7299" t="n"/>
      <c r="AA216" s="7299" t="n"/>
      <c r="AB216" s="7299" t="n"/>
      <c r="AC216" s="7299" t="n"/>
      <c r="AD216" s="7299" t="n"/>
      <c r="AE216" s="7299" t="n"/>
      <c r="AF216" s="7299" t="n"/>
      <c r="AG216" s="7299" t="n"/>
      <c r="AH216" s="7299" t="n"/>
      <c r="AI216" s="7299" t="n"/>
      <c r="AJ216" s="7299" t="n"/>
      <c r="AK216" s="7299" t="n"/>
      <c r="AL216" s="7299" t="n"/>
      <c r="AM216" s="7299" t="n"/>
      <c r="AN216" s="7299" t="n"/>
      <c r="AO216" s="7299" t="n"/>
      <c r="AP216" s="7299" t="n"/>
      <c r="AQ216" s="1277" t="n"/>
      <c r="AR216" s="1277" t="n"/>
      <c r="AS216" s="1277" t="n"/>
      <c r="AT216" s="1277" t="n"/>
      <c r="AU216" s="1277" t="n"/>
    </row>
    <row r="217" ht="12.75" customHeight="1" s="7635">
      <c r="A217" s="1277" t="n"/>
      <c r="B217" s="7299" t="n"/>
      <c r="C217" s="7299" t="n"/>
      <c r="D217" s="7299" t="n"/>
      <c r="E217" s="7299" t="n"/>
      <c r="F217" s="2248" t="n"/>
      <c r="G217" s="10615" t="inlineStr">
        <is>
          <t>•</t>
        </is>
      </c>
      <c r="H217" s="7299" t="inlineStr">
        <is>
          <t>District of Columbia first-time homebuyer credit, Form 8859.</t>
        </is>
      </c>
      <c r="I217" s="7299" t="n"/>
      <c r="J217" s="7299" t="n"/>
      <c r="K217" s="7299" t="n"/>
      <c r="L217" s="7299" t="n"/>
      <c r="M217" s="7299" t="n"/>
      <c r="N217" s="7299" t="n"/>
      <c r="O217" s="7299" t="n"/>
      <c r="P217" s="7299" t="n"/>
      <c r="Q217" s="7299" t="n"/>
      <c r="R217" s="7299" t="n"/>
      <c r="S217" s="7299" t="n"/>
      <c r="T217" s="7299" t="n"/>
      <c r="U217" s="7299" t="n"/>
      <c r="V217" s="7299" t="n"/>
      <c r="W217" s="7299" t="n"/>
      <c r="X217" s="7299" t="n"/>
      <c r="Y217" s="7299" t="n"/>
      <c r="Z217" s="7299" t="n"/>
      <c r="AA217" s="7299" t="n"/>
      <c r="AB217" s="7299" t="n"/>
      <c r="AC217" s="7299" t="n"/>
      <c r="AD217" s="7299" t="n"/>
      <c r="AE217" s="7299" t="n"/>
      <c r="AF217" s="7299" t="n"/>
      <c r="AG217" s="7299" t="n"/>
      <c r="AH217" s="7299" t="n"/>
      <c r="AI217" s="7299" t="n"/>
      <c r="AJ217" s="7299" t="n"/>
      <c r="AK217" s="7299" t="n"/>
      <c r="AL217" s="7299" t="n"/>
      <c r="AM217" s="7299" t="n"/>
      <c r="AN217" s="7299" t="n"/>
      <c r="AO217" s="7299" t="n"/>
      <c r="AP217" s="7299" t="n"/>
      <c r="AQ217" s="1277" t="n"/>
      <c r="AR217" s="1277" t="n"/>
      <c r="AS217" s="1277" t="n"/>
      <c r="AT217" s="1277" t="n"/>
      <c r="AU217" s="1277" t="n"/>
    </row>
    <row r="218" ht="15.75" customHeight="1" s="7635">
      <c r="A218" s="1277" t="n"/>
      <c r="B218" s="7299" t="n"/>
      <c r="C218" s="7299" t="n"/>
      <c r="D218" s="7299" t="n"/>
      <c r="E218" s="7299" t="n"/>
      <c r="F218" s="2248" t="n"/>
      <c r="G218" s="2269" t="inlineStr">
        <is>
          <t>Then, go to line 15.</t>
        </is>
      </c>
      <c r="H218" s="7299" t="n"/>
      <c r="I218" s="7299" t="n"/>
      <c r="J218" s="7299" t="n"/>
      <c r="K218" s="7299" t="n"/>
      <c r="L218" s="7299" t="n"/>
      <c r="M218" s="7299" t="n"/>
      <c r="N218" s="7299" t="n"/>
      <c r="O218" s="7299" t="n"/>
      <c r="P218" s="7299" t="n"/>
      <c r="Q218" s="7299" t="n"/>
      <c r="R218" s="7299" t="n"/>
      <c r="S218" s="7299" t="n"/>
      <c r="T218" s="7299" t="n"/>
      <c r="U218" s="7299" t="n"/>
      <c r="V218" s="7299" t="n"/>
      <c r="W218" s="7299" t="n"/>
      <c r="X218" s="7299" t="n"/>
      <c r="Y218" s="7299" t="n"/>
      <c r="Z218" s="7299" t="n"/>
      <c r="AA218" s="7299" t="n"/>
      <c r="AB218" s="7299" t="n"/>
      <c r="AC218" s="7299" t="n"/>
      <c r="AD218" s="7299" t="n"/>
      <c r="AE218" s="7299" t="n"/>
      <c r="AF218" s="7299" t="n"/>
      <c r="AG218" s="7299" t="n"/>
      <c r="AH218" s="7299" t="n"/>
      <c r="AI218" s="7299" t="n"/>
      <c r="AJ218" s="7299" t="n"/>
      <c r="AK218" s="7299" t="n"/>
      <c r="AL218" s="7299" t="n"/>
      <c r="AM218" s="7299" t="n"/>
      <c r="AN218" s="7299" t="n"/>
      <c r="AO218" s="7299" t="n"/>
      <c r="AP218" s="7299" t="n"/>
      <c r="AQ218" s="1277" t="n"/>
      <c r="AR218" s="1277" t="n"/>
      <c r="AS218" s="1277" t="n"/>
      <c r="AT218" s="1277" t="n"/>
      <c r="AU218" s="1277" t="n"/>
    </row>
    <row r="219" ht="6" customHeight="1" s="7635">
      <c r="A219" s="1277" t="n"/>
      <c r="B219" s="7299" t="n"/>
      <c r="C219" s="7299" t="n"/>
      <c r="D219" s="7299" t="n"/>
      <c r="E219" s="7299" t="n"/>
      <c r="F219" s="7299" t="n"/>
      <c r="G219" s="2271" t="n"/>
      <c r="H219" s="2271" t="n"/>
      <c r="I219" s="2271" t="n"/>
      <c r="J219" s="2271" t="n"/>
      <c r="K219" s="2271" t="n"/>
      <c r="L219" s="2271" t="n"/>
      <c r="M219" s="2271" t="n"/>
      <c r="N219" s="2271" t="n"/>
      <c r="O219" s="2271" t="n"/>
      <c r="P219" s="2271" t="n"/>
      <c r="Q219" s="2271" t="n"/>
      <c r="R219" s="2271" t="n"/>
      <c r="S219" s="2271" t="n"/>
      <c r="T219" s="2271" t="n"/>
      <c r="U219" s="2271" t="n"/>
      <c r="V219" s="2271" t="n"/>
      <c r="W219" s="2271" t="n"/>
      <c r="X219" s="2271" t="n"/>
      <c r="Y219" s="2271" t="n"/>
      <c r="Z219" s="2271" t="n"/>
      <c r="AA219" s="2271" t="n"/>
      <c r="AB219" s="2271" t="n"/>
      <c r="AC219" s="2271" t="n"/>
      <c r="AD219" s="2271" t="n"/>
      <c r="AE219" s="2271" t="n"/>
      <c r="AF219" s="2271" t="n"/>
      <c r="AG219" s="2271" t="n"/>
      <c r="AH219" s="2271" t="n"/>
      <c r="AI219" s="2271" t="n"/>
      <c r="AJ219" s="7299" t="n"/>
      <c r="AK219" s="7299" t="n"/>
      <c r="AL219" s="7299" t="n"/>
      <c r="AM219" s="7299" t="n"/>
      <c r="AN219" s="7299" t="n"/>
      <c r="AO219" s="7299" t="n"/>
      <c r="AP219" s="7299" t="n"/>
      <c r="AQ219" s="1277" t="n"/>
      <c r="AR219" s="1277" t="n"/>
      <c r="AS219" s="1277" t="n"/>
      <c r="AT219" s="1277" t="n"/>
      <c r="AU219" s="1277" t="n"/>
    </row>
    <row r="220" ht="6" customHeight="1" s="7635">
      <c r="A220" s="1277" t="n"/>
      <c r="B220" s="7299" t="n"/>
      <c r="C220" s="7299" t="n"/>
      <c r="D220" s="7299" t="n"/>
      <c r="E220" s="7299" t="n"/>
      <c r="F220" s="7299" t="n"/>
      <c r="G220" s="7299" t="n"/>
      <c r="H220" s="7299" t="n"/>
      <c r="I220" s="7299" t="n"/>
      <c r="J220" s="7299" t="n"/>
      <c r="K220" s="7299" t="n"/>
      <c r="L220" s="7299" t="n"/>
      <c r="M220" s="7299" t="n"/>
      <c r="N220" s="7299" t="n"/>
      <c r="O220" s="7299" t="n"/>
      <c r="P220" s="7299" t="n"/>
      <c r="Q220" s="7299" t="n"/>
      <c r="R220" s="7299" t="n"/>
      <c r="S220" s="7299" t="n"/>
      <c r="T220" s="7299" t="n"/>
      <c r="U220" s="7299" t="n"/>
      <c r="V220" s="7299" t="n"/>
      <c r="W220" s="7299" t="n"/>
      <c r="X220" s="7299" t="n"/>
      <c r="Y220" s="7299" t="n"/>
      <c r="Z220" s="7299" t="n"/>
      <c r="AA220" s="7299" t="n"/>
      <c r="AB220" s="7299" t="n"/>
      <c r="AC220" s="7299" t="n"/>
      <c r="AD220" s="7299" t="n"/>
      <c r="AE220" s="7299" t="n"/>
      <c r="AF220" s="7299" t="n"/>
      <c r="AG220" s="7299" t="n"/>
      <c r="AH220" s="7299" t="n"/>
      <c r="AI220" s="7299" t="n"/>
      <c r="AJ220" s="7299" t="n"/>
      <c r="AK220" s="7299" t="n"/>
      <c r="AL220" s="7299" t="n"/>
      <c r="AM220" s="7299" t="n"/>
      <c r="AN220" s="7299" t="n"/>
      <c r="AO220" s="7299" t="n"/>
      <c r="AP220" s="7299" t="n"/>
      <c r="AQ220" s="1277" t="n"/>
      <c r="AR220" s="1277" t="n"/>
      <c r="AS220" s="1277" t="n"/>
      <c r="AT220" s="1277" t="n"/>
      <c r="AU220" s="1277" t="n"/>
    </row>
    <row r="221" ht="15.75" customHeight="1" s="7635">
      <c r="A221" s="1277" t="n"/>
      <c r="B221" s="7299" t="n"/>
      <c r="C221" s="7299" t="n"/>
      <c r="D221" s="7299" t="n"/>
      <c r="E221" s="7299" t="n"/>
      <c r="F221" s="2248" t="inlineStr">
        <is>
          <t>15.</t>
        </is>
      </c>
      <c r="G221" s="7299" t="inlineStr">
        <is>
          <t>Enter the total of the amounts from—</t>
        </is>
      </c>
      <c r="H221" s="7299" t="n"/>
      <c r="I221" s="7299" t="n"/>
      <c r="J221" s="7299" t="n"/>
      <c r="K221" s="7299" t="n"/>
      <c r="L221" s="7299" t="n"/>
      <c r="M221" s="7299" t="n"/>
      <c r="N221" s="7299" t="n"/>
      <c r="O221" s="7299" t="n"/>
      <c r="P221" s="7299" t="n"/>
      <c r="Q221" s="7299" t="n"/>
      <c r="R221" s="7299" t="n"/>
      <c r="S221" s="7299" t="n"/>
      <c r="T221" s="7299" t="n"/>
      <c r="U221" s="7299" t="n"/>
      <c r="V221" s="7299" t="n"/>
      <c r="W221" s="7299" t="n"/>
      <c r="X221" s="7299" t="n"/>
      <c r="Y221" s="7299" t="n"/>
      <c r="Z221" s="7299" t="n"/>
      <c r="AA221" s="7299" t="n"/>
      <c r="AB221" s="7299" t="n"/>
      <c r="AC221" s="7299" t="n"/>
      <c r="AD221" s="7299" t="n"/>
      <c r="AE221" s="7299" t="n"/>
      <c r="AF221" s="7299" t="n"/>
      <c r="AG221" s="7299" t="n"/>
      <c r="AH221" s="7299" t="n"/>
      <c r="AI221" s="7299" t="n"/>
      <c r="AJ221" s="7299" t="n"/>
      <c r="AK221" s="7299" t="n"/>
      <c r="AL221" s="7299" t="n"/>
      <c r="AM221" s="7299" t="n"/>
      <c r="AN221" s="7299" t="n"/>
      <c r="AO221" s="7299" t="n"/>
      <c r="AP221" s="7299" t="n"/>
      <c r="AQ221" s="1277" t="n"/>
      <c r="AR221" s="1277" t="n"/>
      <c r="AS221" s="2195" t="inlineStr">
        <is>
          <t>Override</t>
        </is>
      </c>
      <c r="AT221" s="1277" t="n"/>
      <c r="AU221" s="1277" t="n"/>
    </row>
    <row r="222" ht="13.5" customHeight="1" s="7635" thickBot="1">
      <c r="A222" s="1277" t="n"/>
      <c r="B222" s="7299" t="n"/>
      <c r="C222" s="7299" t="n"/>
      <c r="D222" s="7299" t="n"/>
      <c r="E222" s="10942">
        <f>IF(F109&lt;&gt;"","→","")</f>
        <v/>
      </c>
      <c r="G222" s="10615" t="inlineStr">
        <is>
          <t>•</t>
        </is>
      </c>
      <c r="H222" s="1680" t="inlineStr">
        <is>
          <t>Schedule 3, line 5a</t>
        </is>
      </c>
      <c r="I222" s="7299" t="n"/>
      <c r="J222" s="7299" t="n"/>
      <c r="K222" s="7299" t="n"/>
      <c r="L222" s="7299" t="n"/>
      <c r="M222" s="7299" t="n"/>
      <c r="N222" s="7299" t="n"/>
      <c r="O222" s="7299" t="n"/>
      <c r="P222" s="7299" t="n"/>
      <c r="Q222" s="10955">
        <f>IF(OR(NOT(C107),'Sch. 3'!AC15=0),"",'Sch. 3'!AC15)</f>
        <v/>
      </c>
      <c r="R222" s="7637" t="n"/>
      <c r="S222" s="7637" t="n"/>
      <c r="T222" s="7637" t="n"/>
      <c r="U222" s="7299" t="n"/>
      <c r="V222" s="7299" t="n"/>
      <c r="W222" s="7299" t="n"/>
      <c r="X222" s="7299" t="n"/>
      <c r="Y222" s="7299" t="n"/>
      <c r="Z222" s="7299" t="n"/>
      <c r="AA222" s="7299" t="n"/>
      <c r="AB222" s="7299" t="n"/>
      <c r="AC222" s="7299" t="n"/>
      <c r="AD222" s="7299" t="n"/>
      <c r="AE222" s="7299" t="n"/>
      <c r="AF222" s="7299" t="n"/>
      <c r="AG222" s="7299" t="n"/>
      <c r="AH222" s="7299" t="n"/>
      <c r="AI222" s="7299" t="n"/>
      <c r="AJ222" s="7299" t="n"/>
      <c r="AK222" s="7299" t="n"/>
      <c r="AL222" s="7299" t="n"/>
      <c r="AM222" s="7299" t="n"/>
      <c r="AN222" s="7299" t="n"/>
      <c r="AO222" s="7299" t="n"/>
      <c r="AP222" s="7299" t="n"/>
      <c r="AQ222" s="1277" t="n"/>
      <c r="AR222" s="1277" t="n"/>
      <c r="AS222" s="1277" t="n"/>
      <c r="AT222" s="1277" t="n"/>
      <c r="AU222" s="1277" t="n"/>
    </row>
    <row r="223" ht="13.5" customHeight="1" s="7635" thickTop="1">
      <c r="A223" s="1277" t="n"/>
      <c r="B223" s="7299" t="n"/>
      <c r="C223" s="7299" t="n"/>
      <c r="D223" s="7299" t="n"/>
      <c r="E223" s="10942">
        <f>IF(F110&lt;&gt;"","→","")</f>
        <v/>
      </c>
      <c r="G223" s="10615" t="inlineStr">
        <is>
          <t>•</t>
        </is>
      </c>
      <c r="H223" s="1052" t="inlineStr">
        <is>
          <t>Schedule 3, line 6c</t>
        </is>
      </c>
      <c r="I223" s="7299" t="n"/>
      <c r="J223" s="7299" t="n"/>
      <c r="K223" s="7299" t="n"/>
      <c r="L223" s="7299" t="n"/>
      <c r="M223" s="7299" t="n"/>
      <c r="N223" s="7299" t="n"/>
      <c r="O223" s="7299" t="n"/>
      <c r="P223" s="7299" t="n"/>
      <c r="Q223" s="10955">
        <f>IF(OR(NOT(C107),'Sch. 3'!AC20=0),"",'Sch. 3'!AC20)</f>
        <v/>
      </c>
      <c r="R223" s="7637" t="n"/>
      <c r="S223" s="7637" t="n"/>
      <c r="T223" s="7637" t="n"/>
      <c r="U223" s="7299" t="n"/>
      <c r="V223" s="7299" t="n"/>
      <c r="W223" s="7299" t="n"/>
      <c r="X223" s="7299" t="n"/>
      <c r="Y223" s="7299" t="n"/>
      <c r="Z223" s="7299" t="n"/>
      <c r="AA223" s="7299" t="n"/>
      <c r="AB223" s="7299" t="n"/>
      <c r="AC223" s="7299" t="n"/>
      <c r="AD223" s="7299" t="n"/>
      <c r="AE223" s="7299" t="n"/>
      <c r="AF223" s="7299" t="n"/>
      <c r="AG223" s="7299" t="n"/>
      <c r="AH223" s="1989" t="inlineStr">
        <is>
          <t>.   .   .   .   .   .   .   .   .   .   .   .   .</t>
        </is>
      </c>
      <c r="AI223" s="7299" t="n"/>
      <c r="AJ223" s="12711" t="inlineStr">
        <is>
          <t>15</t>
        </is>
      </c>
      <c r="AK223" s="12712">
        <f>IF(AS223&lt;&gt;"",ROUND(AS223,0),IF(NOT(C107),"",SUM(Q222,Q223,Q224,Q225,0)))</f>
        <v/>
      </c>
      <c r="AL223" s="9668" t="n"/>
      <c r="AM223" s="9668" t="n"/>
      <c r="AN223" s="9668" t="n"/>
      <c r="AO223" s="9669" t="n"/>
      <c r="AP223" s="7299" t="n"/>
      <c r="AQ223" s="1277" t="n"/>
      <c r="AR223" s="1277" t="n"/>
      <c r="AS223" s="11043" t="n"/>
      <c r="AT223" s="1277" t="n"/>
      <c r="AU223" s="1277" t="n"/>
    </row>
    <row r="224" ht="13.5" customHeight="1" s="7635" thickBot="1">
      <c r="A224" s="1277" t="n"/>
      <c r="B224" s="7299" t="n"/>
      <c r="C224" s="7299" t="n"/>
      <c r="D224" s="7299" t="n"/>
      <c r="E224" s="10942">
        <f>IF(F111&lt;&gt;"","→","")</f>
        <v/>
      </c>
      <c r="G224" s="10615" t="inlineStr">
        <is>
          <t>•</t>
        </is>
      </c>
      <c r="H224" s="1052" t="inlineStr">
        <is>
          <t>Schedule 3, line 6g, and</t>
        </is>
      </c>
      <c r="I224" s="7299" t="n"/>
      <c r="J224" s="7299" t="n"/>
      <c r="K224" s="7299" t="n"/>
      <c r="L224" s="7299" t="n"/>
      <c r="M224" s="7299" t="n"/>
      <c r="N224" s="7299" t="n"/>
      <c r="O224" s="7299" t="n"/>
      <c r="P224" s="7299" t="n"/>
      <c r="Q224" s="10955">
        <f>IF(OR(NOT(C107),'Sch. 3'!AC24=0),"",'Sch. 3'!AC24)</f>
        <v/>
      </c>
      <c r="R224" s="7637" t="n"/>
      <c r="S224" s="7637" t="n"/>
      <c r="T224" s="7637" t="n"/>
      <c r="U224" s="7299" t="n"/>
      <c r="V224" s="7299" t="n"/>
      <c r="W224" s="7299" t="n"/>
      <c r="X224" s="7299" t="n"/>
      <c r="Y224" s="7299" t="n"/>
      <c r="Z224" s="7299" t="n"/>
      <c r="AA224" s="7299" t="n"/>
      <c r="AB224" s="7299" t="n"/>
      <c r="AC224" s="7299" t="n"/>
      <c r="AD224" s="7299" t="n"/>
      <c r="AE224" s="7299" t="n"/>
      <c r="AF224" s="7299" t="n"/>
      <c r="AG224" s="7299" t="n"/>
      <c r="AH224" s="7299" t="n"/>
      <c r="AI224" s="7299" t="n"/>
      <c r="AJ224" s="12713" t="n"/>
      <c r="AK224" s="12152" t="n"/>
      <c r="AL224" s="11705" t="n"/>
      <c r="AM224" s="11705" t="n"/>
      <c r="AN224" s="11705" t="n"/>
      <c r="AO224" s="12151" t="n"/>
      <c r="AP224" s="7299" t="n"/>
      <c r="AQ224" s="1277" t="n"/>
      <c r="AR224" s="1277" t="n"/>
      <c r="AS224" s="11717" t="n"/>
      <c r="AT224" s="1277" t="n"/>
      <c r="AU224" s="1277" t="n"/>
    </row>
    <row r="225" ht="13.5" customHeight="1" s="7635" thickTop="1">
      <c r="A225" s="1277" t="n"/>
      <c r="B225" s="7299" t="n"/>
      <c r="C225" s="7299" t="n"/>
      <c r="D225" s="7299" t="n"/>
      <c r="E225" s="10942">
        <f>IF(F112&lt;&gt;"","→","")</f>
        <v/>
      </c>
      <c r="G225" s="2283" t="inlineStr">
        <is>
          <t>•</t>
        </is>
      </c>
      <c r="H225" s="1052" t="inlineStr">
        <is>
          <t>Schedule 3, line 6h</t>
        </is>
      </c>
      <c r="I225" s="7299" t="n"/>
      <c r="J225" s="7299" t="n"/>
      <c r="K225" s="7299" t="n"/>
      <c r="L225" s="7299" t="n"/>
      <c r="M225" s="7299" t="n"/>
      <c r="N225" s="7299" t="n"/>
      <c r="O225" s="7299" t="n"/>
      <c r="P225" s="7299" t="n"/>
      <c r="Q225" s="10955">
        <f>IF(OR(NOT(C107),'Sch. 3'!AC25=0),"",'Sch. 3'!AC25)</f>
        <v/>
      </c>
      <c r="R225" s="7637" t="n"/>
      <c r="S225" s="7637" t="n"/>
      <c r="T225" s="7637" t="n"/>
      <c r="U225" s="7299" t="n"/>
      <c r="V225" s="7299" t="n"/>
      <c r="W225" s="7299" t="n"/>
      <c r="X225" s="7299" t="n"/>
      <c r="Y225" s="7299" t="n"/>
      <c r="Z225" s="7299" t="n"/>
      <c r="AA225" s="7299" t="n"/>
      <c r="AB225" s="7299" t="n"/>
      <c r="AC225" s="7299" t="n"/>
      <c r="AD225" s="7299" t="n"/>
      <c r="AE225" s="7299" t="n"/>
      <c r="AF225" s="7299" t="n"/>
      <c r="AG225" s="7299" t="n"/>
      <c r="AH225" s="7299" t="n"/>
      <c r="AI225" s="7299" t="n"/>
      <c r="AJ225" s="2269" t="inlineStr">
        <is>
          <t>Enter this amount on</t>
        </is>
      </c>
      <c r="AK225" s="7299" t="n"/>
      <c r="AL225" s="7299" t="n"/>
      <c r="AM225" s="7299" t="n"/>
      <c r="AN225" s="7299" t="n"/>
      <c r="AO225" s="7299" t="n"/>
      <c r="AP225" s="7299" t="n"/>
      <c r="AQ225" s="1277" t="n"/>
      <c r="AR225" s="1277" t="n"/>
      <c r="AS225" s="1277" t="n"/>
      <c r="AT225" s="1277" t="n"/>
      <c r="AU225" s="1277" t="n"/>
    </row>
    <row r="226">
      <c r="A226" s="1277" t="n"/>
      <c r="B226" s="7299" t="n"/>
      <c r="C226" s="7299" t="n"/>
      <c r="D226" s="7299" t="n"/>
      <c r="E226" s="7299" t="n"/>
      <c r="F226" s="2248" t="n"/>
      <c r="G226" s="7299" t="n"/>
      <c r="H226" s="7299" t="n"/>
      <c r="I226" s="7299" t="n"/>
      <c r="J226" s="7299" t="n"/>
      <c r="K226" s="7299" t="n"/>
      <c r="L226" s="7299" t="n"/>
      <c r="M226" s="7299" t="n"/>
      <c r="N226" s="7299" t="n"/>
      <c r="O226" s="7299" t="n"/>
      <c r="P226" s="7299" t="n"/>
      <c r="Q226" s="7299" t="n"/>
      <c r="R226" s="7299" t="n"/>
      <c r="S226" s="7299" t="n"/>
      <c r="T226" s="7299" t="n"/>
      <c r="U226" s="7299" t="n"/>
      <c r="V226" s="7299" t="n"/>
      <c r="W226" s="7299" t="n"/>
      <c r="X226" s="7299" t="n"/>
      <c r="Y226" s="7299" t="n"/>
      <c r="Z226" s="7299" t="n"/>
      <c r="AA226" s="7299" t="n"/>
      <c r="AB226" s="7299" t="n"/>
      <c r="AC226" s="7299" t="n"/>
      <c r="AD226" s="7299" t="n"/>
      <c r="AE226" s="7299" t="n"/>
      <c r="AF226" s="7299" t="n"/>
      <c r="AG226" s="7299" t="n"/>
      <c r="AH226" s="7299" t="n"/>
      <c r="AI226" s="7299" t="n"/>
      <c r="AJ226" s="2284" t="inlineStr">
        <is>
          <t>line 4 of Credit Limit</t>
        </is>
      </c>
      <c r="AK226" s="7299" t="n"/>
      <c r="AL226" s="7299" t="n"/>
      <c r="AM226" s="7299" t="n"/>
      <c r="AN226" s="7299" t="n"/>
      <c r="AO226" s="7299" t="n"/>
      <c r="AP226" s="7299" t="n"/>
      <c r="AQ226" s="1277" t="n"/>
      <c r="AR226" s="1277" t="n"/>
      <c r="AS226" s="1277" t="n"/>
      <c r="AT226" s="1277" t="n"/>
      <c r="AU226" s="1277" t="n"/>
    </row>
    <row r="227" ht="21.75" customHeight="1" s="7635">
      <c r="A227" s="1277" t="n"/>
      <c r="B227" s="7299" t="n"/>
      <c r="C227" s="7299" t="n"/>
      <c r="D227" s="7299" t="n"/>
      <c r="E227" s="7299" t="n"/>
      <c r="F227" s="2248" t="n"/>
      <c r="G227" s="7299" t="n"/>
      <c r="H227" s="7299" t="n"/>
      <c r="I227" s="7299" t="n"/>
      <c r="J227" s="7299" t="n"/>
      <c r="K227" s="7299" t="n"/>
      <c r="L227" s="7299" t="n"/>
      <c r="M227" s="7299" t="n"/>
      <c r="N227" s="7299" t="n"/>
      <c r="O227" s="7299" t="n"/>
      <c r="P227" s="7299" t="n"/>
      <c r="Q227" s="7299" t="n"/>
      <c r="R227" s="7299" t="n"/>
      <c r="S227" s="7299" t="n"/>
      <c r="T227" s="7299" t="n"/>
      <c r="U227" s="7299" t="n"/>
      <c r="V227" s="7299" t="n"/>
      <c r="W227" s="7299" t="n"/>
      <c r="X227" s="7299" t="n"/>
      <c r="Y227" s="7299" t="n"/>
      <c r="Z227" s="7299" t="n"/>
      <c r="AA227" s="7299" t="n"/>
      <c r="AB227" s="7299" t="n"/>
      <c r="AC227" s="7299" t="n"/>
      <c r="AD227" s="7299" t="n"/>
      <c r="AE227" s="7299" t="n"/>
      <c r="AF227" s="7299" t="n"/>
      <c r="AG227" s="7299" t="n"/>
      <c r="AH227" s="7299" t="n"/>
      <c r="AI227" s="7299" t="n"/>
      <c r="AJ227" s="2284" t="inlineStr">
        <is>
          <t>Worksheet A.</t>
        </is>
      </c>
      <c r="AK227" s="7299" t="n"/>
      <c r="AL227" s="7299" t="n"/>
      <c r="AM227" s="7299" t="n"/>
      <c r="AN227" s="7299" t="n"/>
      <c r="AO227" s="7299" t="n"/>
      <c r="AP227" s="7299" t="n"/>
      <c r="AQ227" s="1277" t="n"/>
      <c r="AR227" s="1277" t="n"/>
      <c r="AS227" s="1277" t="n"/>
      <c r="AT227" s="1277" t="n"/>
      <c r="AU227" s="1277" t="n"/>
    </row>
    <row r="228" ht="10.5" customHeight="1" s="7635">
      <c r="A228" s="1277" t="n"/>
      <c r="B228" s="7299" t="n"/>
      <c r="C228" s="2277" t="n"/>
      <c r="D228" s="7299" t="n"/>
      <c r="E228" s="7299" t="n"/>
      <c r="F228" s="7299" t="n"/>
      <c r="G228" s="7299" t="n"/>
      <c r="H228" s="7299" t="n"/>
      <c r="I228" s="7299" t="n"/>
      <c r="J228" s="7299" t="n"/>
      <c r="K228" s="7299" t="n"/>
      <c r="L228" s="7299" t="n"/>
      <c r="M228" s="7299" t="n"/>
      <c r="N228" s="7299" t="n"/>
      <c r="O228" s="7299" t="n"/>
      <c r="P228" s="7299" t="n"/>
      <c r="Q228" s="7299" t="n"/>
      <c r="R228" s="7299" t="n"/>
      <c r="S228" s="7299" t="n"/>
      <c r="T228" s="7299" t="n"/>
      <c r="U228" s="7299" t="n"/>
      <c r="V228" s="7299" t="n"/>
      <c r="W228" s="7299" t="n"/>
      <c r="X228" s="7299" t="n"/>
      <c r="Y228" s="7299" t="n"/>
      <c r="Z228" s="7299" t="n"/>
      <c r="AA228" s="7299" t="n"/>
      <c r="AB228" s="7299" t="n"/>
      <c r="AC228" s="7299" t="n"/>
      <c r="AD228" s="7299" t="n"/>
      <c r="AE228" s="7299" t="n"/>
      <c r="AF228" s="7299" t="n"/>
      <c r="AG228" s="7299" t="n"/>
      <c r="AH228" s="7299" t="n"/>
      <c r="AI228" s="7299" t="n"/>
      <c r="AJ228" s="7299" t="n"/>
      <c r="AK228" s="7299" t="n"/>
      <c r="AL228" s="7299" t="n"/>
      <c r="AM228" s="7299" t="n"/>
      <c r="AN228" s="7299" t="n"/>
      <c r="AO228" s="7299" t="n"/>
      <c r="AP228" s="7299" t="n"/>
      <c r="AQ228" s="1277" t="n"/>
      <c r="AR228" s="1277" t="n"/>
      <c r="AS228" s="1277" t="n"/>
      <c r="AT228" s="1277" t="n"/>
      <c r="AU228" s="1277" t="n"/>
    </row>
    <row r="229" ht="27" customHeight="1" s="7635">
      <c r="A229" s="1277" t="n"/>
      <c r="B229" s="1277" t="n"/>
      <c r="C229" s="1277" t="n"/>
      <c r="D229" s="1277" t="n"/>
      <c r="E229" s="1277" t="n"/>
      <c r="F229" s="1277" t="n"/>
      <c r="G229" s="1277" t="n"/>
      <c r="H229" s="1277" t="n"/>
      <c r="I229" s="1277" t="n"/>
      <c r="J229" s="1277" t="n"/>
      <c r="K229" s="1277" t="n"/>
      <c r="L229" s="1277" t="n"/>
      <c r="M229" s="1277" t="n"/>
      <c r="N229" s="1277" t="n"/>
      <c r="O229" s="1277" t="n"/>
      <c r="P229" s="1277" t="n"/>
      <c r="Q229" s="1277" t="n"/>
      <c r="R229" s="1277" t="n"/>
      <c r="S229" s="1277" t="n"/>
      <c r="T229" s="1277" t="n"/>
      <c r="U229" s="1277" t="n"/>
      <c r="V229" s="1277" t="n"/>
      <c r="W229" s="1277" t="n"/>
      <c r="X229" s="1277" t="n"/>
      <c r="Y229" s="1277" t="n"/>
      <c r="Z229" s="1277" t="n"/>
      <c r="AA229" s="1277" t="n"/>
      <c r="AB229" s="1277" t="n"/>
      <c r="AC229" s="1277" t="n"/>
      <c r="AD229" s="1277" t="n"/>
      <c r="AE229" s="1277" t="n"/>
      <c r="AF229" s="1277" t="n"/>
      <c r="AG229" s="1277" t="n"/>
      <c r="AH229" s="1277" t="n"/>
      <c r="AI229" s="1277" t="n"/>
      <c r="AJ229" s="1277" t="n"/>
      <c r="AK229" s="1277" t="n"/>
      <c r="AL229" s="1277" t="n"/>
      <c r="AM229" s="1277" t="n"/>
      <c r="AN229" s="1277" t="n"/>
      <c r="AO229" s="1277" t="n"/>
      <c r="AP229" s="1277" t="n"/>
      <c r="AQ229" s="1277" t="n"/>
      <c r="AR229" s="1277" t="n"/>
      <c r="AS229" s="1277" t="n"/>
      <c r="AT229" s="1277" t="n"/>
      <c r="AU229" s="1277" t="n"/>
    </row>
  </sheetData>
  <sheetProtection selectLockedCells="0" selectUnlockedCells="0" algorithmName="SHA-512" sheet="1" objects="0" insertRows="1" insertHyperlinks="1" autoFilter="1" scenarios="0" formatColumns="0" deleteColumns="1" insertColumns="1" pivotTables="1" deleteRows="1" formatCells="0" saltValue="Fx/Bd+kMYV0SBlOFt28lFg==" formatRows="0" sort="1" spinCount="100000" hashValue="wS7Qv+HcmQjGmpW7MPCeKVyzOr9A5az+CyJ1C388dWPqOsoTkIFwjGG+mtFLtpTtyuxU/T98lUcVIN1piVHVpQ=="/>
  <mergeCells count="192">
    <mergeCell ref="AL40:AP40"/>
    <mergeCell ref="AE20:AI20"/>
    <mergeCell ref="AD172:AD173"/>
    <mergeCell ref="P184:S184"/>
    <mergeCell ref="N10:Z10"/>
    <mergeCell ref="AE100:AI100"/>
    <mergeCell ref="AL81:AP81"/>
    <mergeCell ref="AC96:AD96"/>
    <mergeCell ref="V58:W58"/>
    <mergeCell ref="AK150:AO150"/>
    <mergeCell ref="AJ4:AP4"/>
    <mergeCell ref="AJ11:AP12"/>
    <mergeCell ref="D155:E155"/>
    <mergeCell ref="AK119:AO120"/>
    <mergeCell ref="AC62:AD62"/>
    <mergeCell ref="AJ116:AJ117"/>
    <mergeCell ref="AE102:AI102"/>
    <mergeCell ref="AL26:AP26"/>
    <mergeCell ref="AC15:AD15"/>
    <mergeCell ref="B84:D84"/>
    <mergeCell ref="B67:C67"/>
    <mergeCell ref="AC76:AD76"/>
    <mergeCell ref="AL170:AN170"/>
    <mergeCell ref="AE62:AI62"/>
    <mergeCell ref="AB53:AD53"/>
    <mergeCell ref="AK142:AO142"/>
    <mergeCell ref="AS104:AS106"/>
    <mergeCell ref="AE23:AI23"/>
    <mergeCell ref="AC73:AD73"/>
    <mergeCell ref="AL18:AP18"/>
    <mergeCell ref="AL53:AP53"/>
    <mergeCell ref="AE64:AI64"/>
    <mergeCell ref="E222:F222"/>
    <mergeCell ref="AJ30:AK30"/>
    <mergeCell ref="X58:AB58"/>
    <mergeCell ref="I4:AI6"/>
    <mergeCell ref="AL50:AP51"/>
    <mergeCell ref="AC102:AD102"/>
    <mergeCell ref="AL52:AP52"/>
    <mergeCell ref="C158:D158"/>
    <mergeCell ref="AT51:AU51"/>
    <mergeCell ref="AL20:AP20"/>
    <mergeCell ref="AE104:AI104"/>
    <mergeCell ref="AL85:AP85"/>
    <mergeCell ref="AJ54:AK54"/>
    <mergeCell ref="AK186:AO186"/>
    <mergeCell ref="AJ3:AP3"/>
    <mergeCell ref="C113:E113"/>
    <mergeCell ref="AL84:AP84"/>
    <mergeCell ref="C168:E168"/>
    <mergeCell ref="AJ81:AK81"/>
    <mergeCell ref="AJ56:AK56"/>
    <mergeCell ref="AK91:AO91"/>
    <mergeCell ref="I8:AI9"/>
    <mergeCell ref="AE76:AI76"/>
    <mergeCell ref="I7:AI7"/>
    <mergeCell ref="C167:E167"/>
    <mergeCell ref="AJ40:AK40"/>
    <mergeCell ref="AK106:AO106"/>
    <mergeCell ref="C114:E114"/>
    <mergeCell ref="AJ27:AK27"/>
    <mergeCell ref="AE75:AI75"/>
    <mergeCell ref="AJ5:AP7"/>
    <mergeCell ref="AL70:AP70"/>
    <mergeCell ref="AJ82:AK82"/>
    <mergeCell ref="AL41:AP41"/>
    <mergeCell ref="AE182:AI183"/>
    <mergeCell ref="AC23:AD23"/>
    <mergeCell ref="AD66:AF66"/>
    <mergeCell ref="AJ19:AK19"/>
    <mergeCell ref="AE150:AI150"/>
    <mergeCell ref="AL56:AP56"/>
    <mergeCell ref="AJ34:AK34"/>
    <mergeCell ref="AJ50:AK51"/>
    <mergeCell ref="Q225:T225"/>
    <mergeCell ref="AL33:AP33"/>
    <mergeCell ref="AJ36:AK36"/>
    <mergeCell ref="D152:E152"/>
    <mergeCell ref="AL35:AP35"/>
    <mergeCell ref="L30:O30"/>
    <mergeCell ref="AE15:AI15"/>
    <mergeCell ref="AO8:AO9"/>
    <mergeCell ref="AE80:AI80"/>
    <mergeCell ref="AE95:AI95"/>
    <mergeCell ref="AE147:AI147"/>
    <mergeCell ref="AL19:AP19"/>
    <mergeCell ref="B48:D48"/>
    <mergeCell ref="E223:F223"/>
    <mergeCell ref="AL60:AP60"/>
    <mergeCell ref="AC17:AD17"/>
    <mergeCell ref="AK200:AO200"/>
    <mergeCell ref="AJ21:AK21"/>
    <mergeCell ref="AE94:AI94"/>
    <mergeCell ref="AL30:AP30"/>
    <mergeCell ref="Q222:T222"/>
    <mergeCell ref="AE16:AI16"/>
    <mergeCell ref="B13:D13"/>
    <mergeCell ref="C163:E163"/>
    <mergeCell ref="AC75:AD75"/>
    <mergeCell ref="AE195:AI196"/>
    <mergeCell ref="B5:H5"/>
    <mergeCell ref="AJ14:AK14"/>
    <mergeCell ref="AK202:AO202"/>
    <mergeCell ref="E224:F224"/>
    <mergeCell ref="AS223:AS224"/>
    <mergeCell ref="B4:H4"/>
    <mergeCell ref="AO86:AP86"/>
    <mergeCell ref="AK208:AO209"/>
    <mergeCell ref="Q223:T223"/>
    <mergeCell ref="AL32:AP32"/>
    <mergeCell ref="AD195:AD196"/>
    <mergeCell ref="AE172:AI173"/>
    <mergeCell ref="AC97:AD97"/>
    <mergeCell ref="AE17:AI17"/>
    <mergeCell ref="AQ52:AR52"/>
    <mergeCell ref="B6:H7"/>
    <mergeCell ref="AJ18:AK18"/>
    <mergeCell ref="AC100:AD100"/>
    <mergeCell ref="C208:E208"/>
    <mergeCell ref="K29:N29"/>
    <mergeCell ref="AK116:AO117"/>
    <mergeCell ref="AL173:AN173"/>
    <mergeCell ref="AE99:AI99"/>
    <mergeCell ref="AG55:AI55"/>
    <mergeCell ref="Q224:T224"/>
    <mergeCell ref="AE60:AI60"/>
    <mergeCell ref="AC98:AD98"/>
    <mergeCell ref="C210:E210"/>
    <mergeCell ref="AD68:AF68"/>
    <mergeCell ref="AJ35:AK35"/>
    <mergeCell ref="AK158:AO158"/>
    <mergeCell ref="M142:O142"/>
    <mergeCell ref="C107:E107"/>
    <mergeCell ref="AC95:AD95"/>
    <mergeCell ref="J142:K142"/>
    <mergeCell ref="AL82:AP82"/>
    <mergeCell ref="AJ85:AK85"/>
    <mergeCell ref="AL54:AP54"/>
    <mergeCell ref="AL63:AP63"/>
    <mergeCell ref="AF53:AH53"/>
    <mergeCell ref="C162:E162"/>
    <mergeCell ref="AD182:AD183"/>
    <mergeCell ref="AJ223:AJ224"/>
    <mergeCell ref="AK223:AO224"/>
    <mergeCell ref="AL34:AP34"/>
    <mergeCell ref="AJ119:AJ120"/>
    <mergeCell ref="AC16:AD16"/>
    <mergeCell ref="P181:S181"/>
    <mergeCell ref="AQ54:AR54"/>
    <mergeCell ref="B8:H9"/>
    <mergeCell ref="AC57:AD57"/>
    <mergeCell ref="AL49:AP49"/>
    <mergeCell ref="AK8:AM9"/>
    <mergeCell ref="AE97:AI97"/>
    <mergeCell ref="AL27:AP27"/>
    <mergeCell ref="P183:S183"/>
    <mergeCell ref="B69:D69"/>
    <mergeCell ref="AJ52:AK52"/>
    <mergeCell ref="AL36:AP36"/>
    <mergeCell ref="AC101:AD101"/>
    <mergeCell ref="AE96:AI96"/>
    <mergeCell ref="B11:AI12"/>
    <mergeCell ref="AL136:AN136"/>
    <mergeCell ref="AG66:AI66"/>
    <mergeCell ref="P182:S182"/>
    <mergeCell ref="AJ208:AJ209"/>
    <mergeCell ref="AE98:AI98"/>
    <mergeCell ref="AG68:AI68"/>
    <mergeCell ref="AE73:AI73"/>
    <mergeCell ref="AC20:AD20"/>
    <mergeCell ref="AN8:AN9"/>
    <mergeCell ref="AJ15:AK15"/>
    <mergeCell ref="AL21:AP21"/>
    <mergeCell ref="AC94:AD94"/>
    <mergeCell ref="AE57:AI57"/>
    <mergeCell ref="E225:F225"/>
    <mergeCell ref="C108:E108"/>
    <mergeCell ref="AL14:AP14"/>
    <mergeCell ref="B65:C65"/>
    <mergeCell ref="AL23:AP23"/>
    <mergeCell ref="AK140:AO140"/>
    <mergeCell ref="AJ26:AK26"/>
    <mergeCell ref="AC99:AD99"/>
    <mergeCell ref="AA160:AB160"/>
    <mergeCell ref="AJ63:AK63"/>
    <mergeCell ref="AC80:AD80"/>
    <mergeCell ref="AJ16:AK16"/>
    <mergeCell ref="AJ41:AK41"/>
    <mergeCell ref="AR4:AT9"/>
    <mergeCell ref="AK204:AO204"/>
    <mergeCell ref="AL48:AP48"/>
    <mergeCell ref="AE101:AI101"/>
  </mergeCells>
  <conditionalFormatting sqref="B2">
    <cfRule type="expression" priority="27" dxfId="135">
      <formula>$AS$2</formula>
    </cfRule>
  </conditionalFormatting>
  <conditionalFormatting sqref="B11:AP12 AC94:AC102 AE94:AE102 AJ52">
    <cfRule type="expression" priority="438" dxfId="6">
      <formula>NoColor</formula>
    </cfRule>
  </conditionalFormatting>
  <conditionalFormatting sqref="D29:K30">
    <cfRule type="expression" priority="133" dxfId="6">
      <formula>NoColor</formula>
    </cfRule>
  </conditionalFormatting>
  <conditionalFormatting sqref="D21:M27">
    <cfRule type="expression" priority="263" dxfId="6">
      <formula>NoColor</formula>
    </cfRule>
  </conditionalFormatting>
  <conditionalFormatting sqref="D16:AA16 D17:M19">
    <cfRule type="expression" priority="506" dxfId="6">
      <formula>NoColor</formula>
    </cfRule>
  </conditionalFormatting>
  <conditionalFormatting sqref="D28:AI28">
    <cfRule type="expression" priority="502" dxfId="6">
      <formula>NoColor</formula>
    </cfRule>
  </conditionalFormatting>
  <conditionalFormatting sqref="D31:AI31">
    <cfRule type="expression" priority="501" dxfId="6">
      <formula>NoColor</formula>
    </cfRule>
  </conditionalFormatting>
  <conditionalFormatting sqref="E37">
    <cfRule type="expression" priority="31" dxfId="0">
      <formula>$C$37&lt;&gt;""</formula>
    </cfRule>
  </conditionalFormatting>
  <conditionalFormatting sqref="F109:F112">
    <cfRule type="expression" priority="21" dxfId="6">
      <formula>NoColor</formula>
    </cfRule>
  </conditionalFormatting>
  <conditionalFormatting sqref="F38:M38">
    <cfRule type="expression" priority="430" dxfId="6">
      <formula>NoColor</formula>
    </cfRule>
  </conditionalFormatting>
  <conditionalFormatting sqref="G38">
    <cfRule type="expression" priority="292" dxfId="14">
      <formula>AND(NOT(NoColor),$AV$36)</formula>
    </cfRule>
  </conditionalFormatting>
  <conditionalFormatting sqref="I163:I164">
    <cfRule type="expression" priority="22" dxfId="34">
      <formula>AND(NOT(NoColor),$C$163)</formula>
    </cfRule>
  </conditionalFormatting>
  <conditionalFormatting sqref="J142:K142">
    <cfRule type="expression" priority="57" dxfId="6">
      <formula>NoColor</formula>
    </cfRule>
  </conditionalFormatting>
  <conditionalFormatting sqref="K19">
    <cfRule type="expression" priority="312" dxfId="14">
      <formula>AND($AV$19,NOT(NoColor))</formula>
    </cfRule>
  </conditionalFormatting>
  <conditionalFormatting sqref="K54">
    <cfRule type="expression" priority="20" dxfId="40">
      <formula>$AQ$54</formula>
    </cfRule>
  </conditionalFormatting>
  <conditionalFormatting sqref="L30">
    <cfRule type="expression" priority="134" dxfId="6">
      <formula>NoColor</formula>
    </cfRule>
  </conditionalFormatting>
  <conditionalFormatting sqref="L54">
    <cfRule type="expression" priority="33" dxfId="40">
      <formula>$AG$54</formula>
    </cfRule>
  </conditionalFormatting>
  <conditionalFormatting sqref="L52:M52">
    <cfRule type="expression" priority="6797" dxfId="898">
      <formula>#REF!</formula>
    </cfRule>
  </conditionalFormatting>
  <conditionalFormatting sqref="N52">
    <cfRule type="expression" priority="28" dxfId="0">
      <formula>$AQ$52</formula>
    </cfRule>
  </conditionalFormatting>
  <conditionalFormatting sqref="N23:AA23 N24:AI25">
    <cfRule type="expression" priority="503" dxfId="6">
      <formula>NoColor</formula>
    </cfRule>
  </conditionalFormatting>
  <conditionalFormatting sqref="Q107:R107">
    <cfRule type="expression" priority="26" dxfId="781">
      <formula>$C$107</formula>
    </cfRule>
  </conditionalFormatting>
  <conditionalFormatting sqref="S107">
    <cfRule type="expression" priority="25" dxfId="34">
      <formula>$C$107</formula>
    </cfRule>
  </conditionalFormatting>
  <conditionalFormatting sqref="U19">
    <cfRule type="expression" priority="498" dxfId="6">
      <formula>NoColor</formula>
    </cfRule>
  </conditionalFormatting>
  <conditionalFormatting sqref="U26:U27">
    <cfRule type="expression" priority="262" dxfId="6">
      <formula>NoColor</formula>
    </cfRule>
  </conditionalFormatting>
  <conditionalFormatting sqref="U30">
    <cfRule type="expression" priority="496" dxfId="6">
      <formula>NoColor</formula>
    </cfRule>
  </conditionalFormatting>
  <conditionalFormatting sqref="V58">
    <cfRule type="expression" priority="160" dxfId="6">
      <formula>NoColor</formula>
    </cfRule>
  </conditionalFormatting>
  <conditionalFormatting sqref="X58">
    <cfRule type="expression" priority="137" dxfId="6">
      <formula>NoColor</formula>
    </cfRule>
  </conditionalFormatting>
  <conditionalFormatting sqref="AC15:AC17">
    <cfRule type="expression" priority="276" dxfId="6">
      <formula>NoColor</formula>
    </cfRule>
  </conditionalFormatting>
  <conditionalFormatting sqref="AC20">
    <cfRule type="expression" priority="268" dxfId="6">
      <formula>NoColor</formula>
    </cfRule>
  </conditionalFormatting>
  <conditionalFormatting sqref="AC23">
    <cfRule type="expression" priority="414" dxfId="6">
      <formula>NoColor</formula>
    </cfRule>
  </conditionalFormatting>
  <conditionalFormatting sqref="AC57">
    <cfRule type="expression" priority="162" dxfId="6">
      <formula>NoColor</formula>
    </cfRule>
  </conditionalFormatting>
  <conditionalFormatting sqref="AC62">
    <cfRule type="expression" priority="157" dxfId="6">
      <formula>NoColor</formula>
    </cfRule>
  </conditionalFormatting>
  <conditionalFormatting sqref="AC73">
    <cfRule type="expression" priority="151" dxfId="6">
      <formula>NoColor</formula>
    </cfRule>
  </conditionalFormatting>
  <conditionalFormatting sqref="AC75:AC76">
    <cfRule type="expression" priority="145" dxfId="6">
      <formula>NoColor</formula>
    </cfRule>
  </conditionalFormatting>
  <conditionalFormatting sqref="AC80">
    <cfRule type="expression" priority="143" dxfId="6">
      <formula>NoColor</formula>
    </cfRule>
  </conditionalFormatting>
  <conditionalFormatting sqref="AD104:AE104">
    <cfRule type="expression" priority="190" dxfId="6">
      <formula>NoColor</formula>
    </cfRule>
  </conditionalFormatting>
  <conditionalFormatting sqref="AE15">
    <cfRule type="expression" priority="279" dxfId="6">
      <formula>NoColor</formula>
    </cfRule>
  </conditionalFormatting>
  <conditionalFormatting sqref="AE20">
    <cfRule type="expression" priority="269" dxfId="6">
      <formula>NoColor</formula>
    </cfRule>
  </conditionalFormatting>
  <conditionalFormatting sqref="AE23">
    <cfRule type="expression" priority="267" dxfId="6">
      <formula>NoColor</formula>
    </cfRule>
  </conditionalFormatting>
  <conditionalFormatting sqref="AE57">
    <cfRule type="expression" priority="158" dxfId="6">
      <formula>NoColor</formula>
    </cfRule>
  </conditionalFormatting>
  <conditionalFormatting sqref="AE172">
    <cfRule type="expression" priority="14" dxfId="6">
      <formula>NoColor</formula>
    </cfRule>
  </conditionalFormatting>
  <conditionalFormatting sqref="AE182">
    <cfRule type="expression" priority="70" dxfId="6">
      <formula>NoColor</formula>
    </cfRule>
  </conditionalFormatting>
  <conditionalFormatting sqref="AE195">
    <cfRule type="expression" priority="68" dxfId="6">
      <formula>NoColor</formula>
    </cfRule>
  </conditionalFormatting>
  <conditionalFormatting sqref="AE38:AG38">
    <cfRule type="expression" priority="427" dxfId="6">
      <formula>NoColor</formula>
    </cfRule>
  </conditionalFormatting>
  <conditionalFormatting sqref="AE16:AI17">
    <cfRule type="expression" priority="275" dxfId="6">
      <formula>NoColor</formula>
    </cfRule>
  </conditionalFormatting>
  <conditionalFormatting sqref="AE62:AI62">
    <cfRule type="expression" priority="156" dxfId="6">
      <formula>NoColor</formula>
    </cfRule>
  </conditionalFormatting>
  <conditionalFormatting sqref="AE73:AI73">
    <cfRule type="expression" priority="150" dxfId="6">
      <formula>NoColor</formula>
    </cfRule>
  </conditionalFormatting>
  <conditionalFormatting sqref="AE75:AI76">
    <cfRule type="expression" priority="144" dxfId="6">
      <formula>NoColor</formula>
    </cfRule>
  </conditionalFormatting>
  <conditionalFormatting sqref="AE80:AI80">
    <cfRule type="expression" priority="142" dxfId="6">
      <formula>NoColor</formula>
    </cfRule>
  </conditionalFormatting>
  <conditionalFormatting sqref="AE147:AI147">
    <cfRule type="expression" priority="61" dxfId="6">
      <formula>NoColor</formula>
    </cfRule>
  </conditionalFormatting>
  <conditionalFormatting sqref="AE150:AI150">
    <cfRule type="expression" priority="16" dxfId="6">
      <formula>NoColor</formula>
    </cfRule>
  </conditionalFormatting>
  <conditionalFormatting sqref="AJ18:AJ19">
    <cfRule type="expression" priority="416" dxfId="6">
      <formula>NoColor</formula>
    </cfRule>
  </conditionalFormatting>
  <conditionalFormatting sqref="AJ34:AJ36">
    <cfRule type="expression" priority="132" dxfId="6">
      <formula>NoColor</formula>
    </cfRule>
  </conditionalFormatting>
  <conditionalFormatting sqref="AJ40:AJ41">
    <cfRule type="expression" priority="39" dxfId="6">
      <formula>NoColor</formula>
    </cfRule>
  </conditionalFormatting>
  <conditionalFormatting sqref="AJ50">
    <cfRule type="expression" priority="3" dxfId="6">
      <formula>NoColor</formula>
    </cfRule>
  </conditionalFormatting>
  <conditionalFormatting sqref="AJ54">
    <cfRule type="expression" priority="166" dxfId="6">
      <formula>NoColor</formula>
    </cfRule>
  </conditionalFormatting>
  <conditionalFormatting sqref="AJ56">
    <cfRule type="expression" priority="164" dxfId="6">
      <formula>NoColor</formula>
    </cfRule>
  </conditionalFormatting>
  <conditionalFormatting sqref="AJ63">
    <cfRule type="expression" priority="155" dxfId="6">
      <formula>NoColor</formula>
    </cfRule>
  </conditionalFormatting>
  <conditionalFormatting sqref="AJ81:AJ82">
    <cfRule type="expression" priority="139" dxfId="6">
      <formula>NoColor</formula>
    </cfRule>
  </conditionalFormatting>
  <conditionalFormatting sqref="AJ85">
    <cfRule type="expression" priority="136" dxfId="6">
      <formula>NoColor</formula>
    </cfRule>
  </conditionalFormatting>
  <conditionalFormatting sqref="AK116">
    <cfRule type="expression" priority="30" dxfId="6">
      <formula>NoColor</formula>
    </cfRule>
  </conditionalFormatting>
  <conditionalFormatting sqref="AK119">
    <cfRule type="expression" priority="29" dxfId="6">
      <formula>NoColor</formula>
    </cfRule>
  </conditionalFormatting>
  <conditionalFormatting sqref="AK208">
    <cfRule type="expression" priority="64" dxfId="6">
      <formula>NoColor</formula>
    </cfRule>
  </conditionalFormatting>
  <conditionalFormatting sqref="AK223">
    <cfRule type="expression" priority="62" dxfId="6">
      <formula>NoColor</formula>
    </cfRule>
  </conditionalFormatting>
  <conditionalFormatting sqref="AK91:AO91">
    <cfRule type="expression" priority="221" dxfId="6">
      <formula>NoColor</formula>
    </cfRule>
  </conditionalFormatting>
  <conditionalFormatting sqref="AK106:AO106">
    <cfRule type="expression" priority="189" dxfId="6">
      <formula>NoColor</formula>
    </cfRule>
  </conditionalFormatting>
  <conditionalFormatting sqref="AK140:AO140">
    <cfRule type="expression" priority="79" dxfId="6">
      <formula>NoColor</formula>
    </cfRule>
  </conditionalFormatting>
  <conditionalFormatting sqref="AK142:AO142">
    <cfRule type="expression" priority="58" dxfId="6">
      <formula>NoColor</formula>
    </cfRule>
  </conditionalFormatting>
  <conditionalFormatting sqref="AK158:AO158">
    <cfRule type="expression" priority="15" dxfId="6">
      <formula>NoColor</formula>
    </cfRule>
  </conditionalFormatting>
  <conditionalFormatting sqref="AK186:AO186">
    <cfRule type="expression" priority="69" dxfId="6">
      <formula>NoColor</formula>
    </cfRule>
  </conditionalFormatting>
  <conditionalFormatting sqref="AK200:AO200">
    <cfRule type="expression" priority="67" dxfId="6">
      <formula>NoColor</formula>
    </cfRule>
  </conditionalFormatting>
  <conditionalFormatting sqref="AK202:AO202">
    <cfRule type="expression" priority="13" dxfId="6">
      <formula>NoColor</formula>
    </cfRule>
  </conditionalFormatting>
  <conditionalFormatting sqref="AK204:AO204">
    <cfRule type="expression" priority="12" dxfId="6">
      <formula>NoColor</formula>
    </cfRule>
  </conditionalFormatting>
  <conditionalFormatting sqref="AL20">
    <cfRule type="expression" priority="333" dxfId="6">
      <formula>NoColor</formula>
    </cfRule>
  </conditionalFormatting>
  <conditionalFormatting sqref="AL14:AP14">
    <cfRule type="expression" priority="234" dxfId="6">
      <formula>NoColor</formula>
    </cfRule>
  </conditionalFormatting>
  <conditionalFormatting sqref="AL16:AP16">
    <cfRule type="expression" priority="334" dxfId="6">
      <formula>NoColor</formula>
    </cfRule>
  </conditionalFormatting>
  <conditionalFormatting sqref="AL18:AP19">
    <cfRule type="expression" priority="332" dxfId="6">
      <formula>NoColor</formula>
    </cfRule>
  </conditionalFormatting>
  <conditionalFormatting sqref="AL21:AP21">
    <cfRule type="expression" priority="297" dxfId="6">
      <formula>NoColor</formula>
    </cfRule>
  </conditionalFormatting>
  <conditionalFormatting sqref="AL26:AP27">
    <cfRule type="expression" priority="261" dxfId="6">
      <formula>NoColor</formula>
    </cfRule>
  </conditionalFormatting>
  <conditionalFormatting sqref="AL30:AP30">
    <cfRule type="expression" priority="32" dxfId="6">
      <formula>NoColor</formula>
    </cfRule>
  </conditionalFormatting>
  <conditionalFormatting sqref="AL34:AP36">
    <cfRule type="expression" priority="131" dxfId="6">
      <formula>NoColor</formula>
    </cfRule>
  </conditionalFormatting>
  <conditionalFormatting sqref="AL40:AP41">
    <cfRule type="expression" priority="37" dxfId="6">
      <formula>NoColor</formula>
    </cfRule>
  </conditionalFormatting>
  <conditionalFormatting sqref="AL52:AP52">
    <cfRule type="expression" priority="1" dxfId="6">
      <formula>NoColor</formula>
    </cfRule>
  </conditionalFormatting>
  <conditionalFormatting sqref="AL54:AP54">
    <cfRule type="expression" priority="165" dxfId="6">
      <formula>NoColor</formula>
    </cfRule>
  </conditionalFormatting>
  <conditionalFormatting sqref="AL56:AP56">
    <cfRule type="expression" priority="163" dxfId="6">
      <formula>NoColor</formula>
    </cfRule>
  </conditionalFormatting>
  <conditionalFormatting sqref="AL63:AP63">
    <cfRule type="expression" priority="154" dxfId="6">
      <formula>NoColor</formula>
    </cfRule>
  </conditionalFormatting>
  <conditionalFormatting sqref="AL81:AP82">
    <cfRule type="expression" priority="138" dxfId="6">
      <formula>NoColor</formula>
    </cfRule>
  </conditionalFormatting>
  <conditionalFormatting sqref="AL85:AP85">
    <cfRule type="expression" priority="135" dxfId="6">
      <formula>NoColor</formula>
    </cfRule>
  </conditionalFormatting>
  <conditionalFormatting sqref="AS18:AS19">
    <cfRule type="expression" priority="229" dxfId="6">
      <formula>(#REF!&lt;&gt;"")</formula>
    </cfRule>
  </conditionalFormatting>
  <conditionalFormatting sqref="AS21:AS22">
    <cfRule type="expression" priority="129" dxfId="6">
      <formula>(#REF!&lt;&gt;"")</formula>
    </cfRule>
  </conditionalFormatting>
  <conditionalFormatting sqref="AS24:AS25">
    <cfRule type="expression" priority="18" dxfId="6">
      <formula>(#REF!&lt;&gt;"")</formula>
    </cfRule>
  </conditionalFormatting>
  <conditionalFormatting sqref="AS28:AS38 AS40 AS42:AS45">
    <cfRule type="expression" priority="4399" dxfId="6">
      <formula>(#REF!&lt;&gt;"")</formula>
    </cfRule>
  </conditionalFormatting>
  <conditionalFormatting sqref="AS51">
    <cfRule type="expression" priority="6" dxfId="6">
      <formula>(#REF!&lt;&gt;"")</formula>
    </cfRule>
  </conditionalFormatting>
  <conditionalFormatting sqref="AS174">
    <cfRule type="expression" priority="11" dxfId="819">
      <formula>$AL$173</formula>
    </cfRule>
  </conditionalFormatting>
  <conditionalFormatting sqref="AS176">
    <cfRule type="expression" priority="9" dxfId="819">
      <formula>$AL$173</formula>
    </cfRule>
  </conditionalFormatting>
  <pageMargins left="0.75" right="0.25" top="0.36" bottom="0.29" header="0.36" footer="0.21"/>
  <pageSetup orientation="portrait" scale="76" fitToHeight="0"/>
  <rowBreaks count="4" manualBreakCount="4">
    <brk id="46" min="1" max="41" man="1"/>
    <brk id="86" min="1" max="41" man="1"/>
    <brk id="124" min="0" max="16383" man="1"/>
    <brk id="190" min="1" max="41" man="1"/>
  </rowBreaks>
</worksheet>
</file>

<file path=xl/worksheets/sheet51.xml><?xml version="1.0" encoding="utf-8"?>
<worksheet xmlns="http://schemas.openxmlformats.org/spreadsheetml/2006/main">
  <sheetPr>
    <outlinePr summaryBelow="1" summaryRight="1"/>
    <pageSetUpPr fitToPage="1"/>
  </sheetPr>
  <dimension ref="A1:CC85"/>
  <sheetViews>
    <sheetView zoomScaleNormal="100" zoomScaleSheetLayoutView="100" workbookViewId="0">
      <selection activeCell="A1" sqref="A1"/>
    </sheetView>
  </sheetViews>
  <sheetFormatPr baseColWidth="8" defaultColWidth="9.140625" defaultRowHeight="12.75"/>
  <cols>
    <col width="3.7109375" customWidth="1" style="7635" min="1" max="1"/>
    <col width="5.140625" customWidth="1" style="7635" min="2" max="2"/>
    <col width="5.5703125" customWidth="1" style="7635" min="3" max="3"/>
    <col width="3.7109375" customWidth="1" style="7635" min="4" max="8"/>
    <col width="4.7109375" customWidth="1" style="7635" min="9" max="9"/>
    <col width="3.7109375" customWidth="1" style="7635" min="10" max="10"/>
    <col width="4.85546875" customWidth="1" style="7635" min="11" max="11"/>
    <col width="3.7109375" customWidth="1" style="7635" min="12" max="12"/>
    <col width="4.7109375" customWidth="1" style="7635" min="13" max="13"/>
    <col width="4.42578125" customWidth="1" style="7635" min="14" max="14"/>
    <col width="3.7109375" customWidth="1" style="7635" min="15" max="15"/>
    <col width="5.42578125" customWidth="1" style="7635" min="16" max="16"/>
    <col width="5.140625" customWidth="1" style="7635" min="17" max="17"/>
    <col width="3.7109375" customWidth="1" style="7635" min="18" max="29"/>
    <col width="5.5703125" customWidth="1" style="7635" min="30" max="30"/>
    <col width="3.7109375" customWidth="1" style="7635" min="31" max="32"/>
    <col width="4.42578125" customWidth="1" style="7635" min="33" max="33"/>
    <col width="3.7109375" customWidth="1" style="7635" min="34" max="36"/>
    <col width="4.5703125" customWidth="1" style="7635" min="37" max="37"/>
    <col width="4.42578125" customWidth="1" style="7635" min="38" max="38"/>
    <col width="12.5703125" customWidth="1" style="7635" min="39" max="39"/>
    <col width="2" customWidth="1" style="7635" min="40" max="40"/>
    <col width="5.140625" customWidth="1" style="7635" min="41" max="41"/>
    <col width="7.28515625" customWidth="1" style="7635" min="42" max="42"/>
    <col width="37.5703125" customWidth="1" style="7635" min="43" max="43"/>
    <col width="4.5703125" customWidth="1" style="7635" min="44" max="44"/>
    <col width="9" customWidth="1" style="7635" min="45" max="45"/>
    <col width="6.85546875" customWidth="1" style="7635" min="46" max="46"/>
    <col width="6.42578125" customWidth="1" style="7635" min="47" max="47"/>
    <col width="13.140625" customWidth="1" style="12490" min="48" max="48"/>
    <col width="10.7109375" customWidth="1" style="815" min="49" max="56"/>
  </cols>
  <sheetData>
    <row r="1" ht="23.25" customHeight="1" s="763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7431">
        <f>IF('Table of Contents'!A56="D","DRAFT","")</f>
        <v/>
      </c>
      <c r="AK1" s="2013" t="n"/>
      <c r="AL1" s="11602" t="n"/>
      <c r="AM1" s="11602" t="n"/>
      <c r="AN1" s="11602" t="n"/>
      <c r="AO1" s="11602" t="n"/>
      <c r="AP1" s="11602" t="n"/>
      <c r="AQ1" s="11602" t="n"/>
      <c r="AR1" s="11602" t="n"/>
      <c r="AS1" s="11602" t="n"/>
      <c r="AT1" s="11602" t="n"/>
      <c r="AU1" s="11602" t="n"/>
      <c r="AV1" s="11881" t="n"/>
      <c r="AW1" s="658" t="n"/>
      <c r="AX1" s="658" t="n"/>
      <c r="AY1" s="658" t="n"/>
      <c r="AZ1" s="658" t="n"/>
      <c r="BA1" s="658" t="n"/>
      <c r="BB1" s="658" t="n"/>
      <c r="BC1" s="658" t="n"/>
      <c r="BD1" s="658" t="n"/>
    </row>
    <row r="2" ht="18" customHeight="1" s="7635">
      <c r="A2" s="2013" t="n"/>
      <c r="B2" s="11602" t="n"/>
      <c r="C2" s="11602" t="n"/>
      <c r="D2" s="9882" t="inlineStr">
        <is>
          <t>8829</t>
        </is>
      </c>
      <c r="H2" s="379" t="n"/>
      <c r="I2" s="2741" t="n"/>
      <c r="J2" s="11602" t="n"/>
      <c r="K2" s="11602" t="n"/>
      <c r="L2" s="11602" t="n"/>
      <c r="M2" s="11602" t="n"/>
      <c r="N2" s="11602" t="n"/>
      <c r="O2" s="11602" t="n"/>
      <c r="P2" s="11602" t="n"/>
      <c r="Q2" s="11602" t="n"/>
      <c r="R2" s="11602" t="n"/>
      <c r="S2" s="11602" t="n"/>
      <c r="T2" s="11602" t="n"/>
      <c r="U2" s="11602" t="n"/>
      <c r="V2" s="11602" t="n"/>
      <c r="W2" s="11602" t="n"/>
      <c r="X2" s="11602" t="n"/>
      <c r="Y2" s="11602" t="n"/>
      <c r="Z2" s="11602" t="n"/>
      <c r="AA2" s="11602" t="n"/>
      <c r="AB2" s="2910" t="n"/>
      <c r="AC2" s="11089">
        <f>IF(AND(AK2="",'Table of Contents'!A56="D"),"DRAFT","OMB No. 1545-0074")</f>
        <v/>
      </c>
      <c r="AD2" s="7637" t="n"/>
      <c r="AE2" s="7637" t="n"/>
      <c r="AF2" s="7637" t="n"/>
      <c r="AG2" s="7637" t="n"/>
      <c r="AH2" s="7637" t="n"/>
      <c r="AI2" s="7637" t="n"/>
      <c r="AJ2" s="7637" t="n"/>
      <c r="AK2" s="2389" t="n"/>
      <c r="AL2" s="11602" t="n"/>
      <c r="AM2" s="11602" t="n"/>
      <c r="AN2" s="11602" t="n"/>
      <c r="AO2" s="11602" t="n"/>
      <c r="AP2" s="11602" t="n"/>
      <c r="AQ2" s="11602" t="n"/>
      <c r="AR2" s="11602" t="n"/>
      <c r="AS2" s="11602" t="n"/>
      <c r="AT2" s="11602" t="n"/>
      <c r="AU2" s="11602" t="n"/>
      <c r="AV2" s="11881" t="inlineStr">
        <is>
          <t>Notes</t>
        </is>
      </c>
      <c r="AW2" s="658" t="n"/>
      <c r="AX2" s="658" t="n"/>
      <c r="AY2" s="658" t="n"/>
      <c r="AZ2" s="658" t="n"/>
      <c r="BA2" s="658" t="n"/>
      <c r="BB2" s="658" t="n"/>
      <c r="BC2" s="658" t="n"/>
      <c r="BD2" s="658" t="n"/>
    </row>
    <row r="3" ht="24" customHeight="1" s="7635">
      <c r="A3" s="2013" t="n"/>
      <c r="B3" s="9886" t="inlineStr">
        <is>
          <t>Form</t>
        </is>
      </c>
      <c r="H3" s="379" t="n"/>
      <c r="I3" s="11993" t="inlineStr">
        <is>
          <t>Expenses for Business Use of Your Home</t>
        </is>
      </c>
      <c r="AB3" s="1066" t="n"/>
      <c r="AC3" s="9887">
        <f>TaxYear</f>
        <v/>
      </c>
      <c r="AD3" s="7839" t="n"/>
      <c r="AE3" s="7839" t="n"/>
      <c r="AF3" s="7839" t="n"/>
      <c r="AG3" s="7839" t="n"/>
      <c r="AH3" s="7839" t="n"/>
      <c r="AI3" s="7839" t="n"/>
      <c r="AJ3" s="7839" t="n"/>
      <c r="AK3" s="2013" t="n"/>
      <c r="AL3" s="11602" t="n"/>
      <c r="AM3" s="11602" t="n"/>
      <c r="AN3" s="11602" t="n"/>
      <c r="AO3" s="11602" t="n"/>
      <c r="AP3" s="11602" t="n"/>
      <c r="AQ3" s="11602" t="n"/>
      <c r="AR3" s="11602" t="n"/>
      <c r="AS3" s="11602" t="n"/>
      <c r="AT3" s="11602" t="n"/>
      <c r="AU3" s="11602" t="n"/>
      <c r="AV3" s="12714" t="inlineStr">
        <is>
          <t>Date</t>
        </is>
      </c>
      <c r="AW3" s="658" t="n"/>
      <c r="AX3" s="658" t="n"/>
      <c r="AY3" s="658" t="n"/>
      <c r="AZ3" s="658" t="n"/>
      <c r="BA3" s="658" t="n"/>
      <c r="BB3" s="658" t="n"/>
      <c r="BC3" s="658" t="n"/>
      <c r="BD3" s="658" t="n"/>
    </row>
    <row r="4" ht="12.75" customHeight="1" s="7635">
      <c r="A4" s="2013" t="n"/>
      <c r="B4" s="11602" t="n"/>
      <c r="C4" s="11602" t="n"/>
      <c r="D4" s="11602" t="n"/>
      <c r="E4" s="11602" t="n"/>
      <c r="F4" s="11602" t="n"/>
      <c r="G4" s="11602" t="n"/>
      <c r="H4" s="379" t="n"/>
      <c r="I4" s="12715" t="inlineStr">
        <is>
          <t>File only with Schedule C (Form 1040). Use a separate Form 8829 for each home you used</t>
        </is>
      </c>
      <c r="AB4" s="1066" t="n"/>
      <c r="AC4" s="11741" t="n"/>
      <c r="AK4" s="2013" t="n"/>
      <c r="AL4" s="11602" t="n"/>
      <c r="AM4" s="11602" t="n"/>
      <c r="AN4" s="11602" t="n"/>
      <c r="AO4" s="11602" t="n"/>
      <c r="AP4" s="11602" t="n"/>
      <c r="AQ4" s="11602" t="n"/>
      <c r="AR4" s="11602" t="n"/>
      <c r="AS4" s="11602" t="n"/>
      <c r="AT4" s="11602" t="n"/>
      <c r="AU4" s="11602" t="n"/>
      <c r="AV4" s="11880" t="n"/>
      <c r="AW4" s="658" t="n"/>
      <c r="AX4" s="658" t="n"/>
      <c r="AY4" s="658" t="n"/>
      <c r="AZ4" s="658" t="n"/>
      <c r="BA4" s="658" t="n"/>
      <c r="BB4" s="658" t="n"/>
      <c r="BC4" s="658" t="n"/>
      <c r="BD4" s="658" t="n"/>
    </row>
    <row r="5" ht="12.75" customHeight="1" s="7635">
      <c r="A5" s="2013" t="n"/>
      <c r="B5" s="11602" t="inlineStr">
        <is>
          <t>Department of the Treasury</t>
        </is>
      </c>
      <c r="C5" s="11602" t="n"/>
      <c r="D5" s="11602" t="n"/>
      <c r="E5" s="11602" t="n"/>
      <c r="F5" s="11602" t="n"/>
      <c r="G5" s="11602" t="n"/>
      <c r="H5" s="379" t="n"/>
      <c r="I5" s="12716" t="inlineStr">
        <is>
          <t>for business during the year.</t>
        </is>
      </c>
      <c r="AB5" s="1066" t="n"/>
      <c r="AC5" s="341" t="n"/>
      <c r="AD5" s="9237" t="inlineStr">
        <is>
          <t xml:space="preserve">   Attachment</t>
        </is>
      </c>
      <c r="AH5" s="9918" t="n">
        <v>176</v>
      </c>
      <c r="AJ5" s="11602" t="n"/>
      <c r="AK5" s="2013" t="n"/>
      <c r="AL5" s="11602" t="n"/>
      <c r="AM5" s="11602" t="n"/>
      <c r="AN5" s="11602" t="n"/>
      <c r="AO5" s="11602" t="n"/>
      <c r="AP5" s="11602" t="n"/>
      <c r="AQ5" s="11602" t="n"/>
      <c r="AR5" s="11602" t="n"/>
      <c r="AS5" s="11602" t="n"/>
      <c r="AT5" s="11602" t="n"/>
      <c r="AU5" s="11602" t="n"/>
      <c r="AV5" s="11880" t="n"/>
      <c r="AW5" s="658" t="n"/>
      <c r="AX5" s="658" t="n"/>
      <c r="AY5" s="658" t="n"/>
      <c r="AZ5" s="658" t="n"/>
      <c r="BA5" s="658" t="n"/>
      <c r="BB5" s="658" t="n"/>
      <c r="BC5" s="658" t="n"/>
      <c r="BD5" s="658" t="n"/>
    </row>
    <row r="6" ht="13.5" customHeight="1" s="7635" thickBot="1">
      <c r="A6" s="2013" t="n"/>
      <c r="B6" s="380" t="inlineStr">
        <is>
          <t>Internal Revenue Service</t>
        </is>
      </c>
      <c r="C6" s="380" t="n"/>
      <c r="D6" s="380" t="n"/>
      <c r="E6" s="380" t="n"/>
      <c r="F6" s="380" t="n"/>
      <c r="G6" s="380" t="n"/>
      <c r="H6" s="381" t="n"/>
      <c r="I6" s="12717" t="inlineStr">
        <is>
          <t>Go to www.irs.gov/Form8962 for instructions and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21" t="inlineStr">
        <is>
          <t xml:space="preserve">Sequence No.  </t>
        </is>
      </c>
      <c r="AE6" s="8848" t="n"/>
      <c r="AF6" s="8848" t="n"/>
      <c r="AG6" s="8848" t="n"/>
      <c r="AH6" s="8848" t="n"/>
      <c r="AI6" s="8848" t="n"/>
      <c r="AJ6" s="380" t="n"/>
      <c r="AK6" s="2013" t="n"/>
      <c r="AL6" s="11602" t="n"/>
      <c r="AM6" s="11602" t="n"/>
      <c r="AN6" s="11602" t="n"/>
      <c r="AO6" s="11602" t="n"/>
      <c r="AP6" s="11602" t="n"/>
      <c r="AQ6" s="11602" t="n"/>
      <c r="AR6" s="11602" t="n"/>
      <c r="AS6" s="11602" t="n"/>
      <c r="AT6" s="11602" t="n"/>
      <c r="AU6" s="11602" t="n"/>
      <c r="AV6" s="11880" t="n"/>
      <c r="AW6" s="658" t="n"/>
      <c r="AX6" s="658" t="n"/>
      <c r="AY6" s="658" t="n"/>
      <c r="AZ6" s="658" t="n"/>
      <c r="BA6" s="658" t="n"/>
      <c r="BB6" s="658" t="n"/>
      <c r="BC6" s="658" t="n"/>
      <c r="BD6" s="658" t="n"/>
    </row>
    <row r="7">
      <c r="A7" s="2013" t="n"/>
      <c r="B7" s="339" t="inlineStr">
        <is>
          <t>Name(s) of proprietor(s)</t>
        </is>
      </c>
      <c r="C7" s="339" t="n"/>
      <c r="D7" s="339" t="n"/>
      <c r="E7" s="339" t="n"/>
      <c r="F7" s="339" t="n"/>
      <c r="G7" s="339" t="n"/>
      <c r="H7" s="339" t="n"/>
      <c r="I7" s="339" t="n"/>
      <c r="J7" s="339" t="n"/>
      <c r="K7" s="339" t="n"/>
      <c r="L7" s="339" t="n"/>
      <c r="M7" s="339" t="n"/>
      <c r="N7" s="339" t="n"/>
      <c r="O7" s="339" t="n"/>
      <c r="P7" s="339" t="n"/>
      <c r="Q7" s="339" t="n"/>
      <c r="R7" s="339" t="n"/>
      <c r="S7" s="339" t="n"/>
      <c r="T7" s="339" t="n"/>
      <c r="U7" s="339" t="n"/>
      <c r="V7" s="339" t="n"/>
      <c r="W7" s="339" t="n"/>
      <c r="X7" s="339" t="n"/>
      <c r="Y7" s="2913" t="inlineStr">
        <is>
          <t>Your social security number</t>
        </is>
      </c>
      <c r="Z7" s="377" t="n"/>
      <c r="AA7" s="377" t="n"/>
      <c r="AB7" s="377" t="n"/>
      <c r="AC7" s="408" t="n"/>
      <c r="AD7" s="2019" t="n"/>
      <c r="AE7" s="2019" t="n"/>
      <c r="AF7" s="2019" t="n"/>
      <c r="AG7" s="2019" t="n"/>
      <c r="AH7" s="2019" t="n"/>
      <c r="AI7" s="2019" t="n"/>
      <c r="AJ7" s="2019" t="n"/>
      <c r="AK7" s="2013" t="n"/>
      <c r="AL7" s="11602" t="n"/>
      <c r="AM7" s="11602" t="n"/>
      <c r="AN7" s="11602" t="n"/>
      <c r="AO7" s="11602" t="n"/>
      <c r="AP7" s="11602" t="n"/>
      <c r="AQ7" s="11602" t="n"/>
      <c r="AR7" s="11602" t="n"/>
      <c r="AS7" s="11602" t="n"/>
      <c r="AT7" s="11602" t="n"/>
      <c r="AU7" s="11602" t="n"/>
      <c r="AV7" s="11880" t="n"/>
      <c r="AW7" s="658" t="n"/>
      <c r="AX7" s="658" t="n"/>
      <c r="AY7" s="658" t="n"/>
      <c r="AZ7" s="658" t="n"/>
      <c r="BA7" s="658" t="n"/>
      <c r="BB7" s="658" t="n"/>
      <c r="BC7" s="658" t="n"/>
      <c r="BD7" s="658" t="n"/>
    </row>
    <row r="8" ht="13.5" customHeight="1" s="7635">
      <c r="A8" s="2013" t="n"/>
      <c r="B8" s="12718">
        <f>IF(Names="","",Names)</f>
        <v/>
      </c>
      <c r="C8" s="194" t="n"/>
      <c r="D8" s="194" t="n"/>
      <c r="E8" s="194" t="n"/>
      <c r="F8" s="194" t="n"/>
      <c r="G8" s="194" t="n"/>
      <c r="H8" s="194" t="n"/>
      <c r="I8" s="194" t="n"/>
      <c r="J8" s="194" t="n"/>
      <c r="K8" s="194" t="n"/>
      <c r="L8" s="194" t="n"/>
      <c r="M8" s="194" t="n"/>
      <c r="N8" s="194" t="n"/>
      <c r="O8" s="194" t="n"/>
      <c r="P8" s="194" t="n"/>
      <c r="Q8" s="194" t="n"/>
      <c r="R8" s="194" t="n"/>
      <c r="S8" s="194" t="n"/>
      <c r="T8" s="194" t="n"/>
      <c r="U8" s="194" t="n"/>
      <c r="V8" s="194" t="n"/>
      <c r="W8" s="194" t="n"/>
      <c r="X8" s="11726" t="n"/>
      <c r="Y8" s="12719">
        <f>IF(OR(NoSSN,SS_Yours=""),"",SS_Yours)</f>
        <v/>
      </c>
      <c r="Z8" s="194" t="n"/>
      <c r="AA8" s="194" t="n"/>
      <c r="AB8" s="194" t="n"/>
      <c r="AC8" s="194" t="n"/>
      <c r="AD8" s="194" t="n"/>
      <c r="AE8" s="194" t="n"/>
      <c r="AF8" s="194" t="n"/>
      <c r="AG8" s="194" t="n"/>
      <c r="AH8" s="194" t="n"/>
      <c r="AI8" s="194" t="n"/>
      <c r="AJ8" s="194" t="n"/>
      <c r="AK8" s="2013" t="n"/>
      <c r="AL8" s="11602" t="n"/>
      <c r="AM8" s="11602" t="n"/>
      <c r="AN8" s="11602" t="n"/>
      <c r="AO8" s="11602" t="n"/>
      <c r="AP8" s="11602" t="n"/>
      <c r="AQ8" s="11602" t="n"/>
      <c r="AR8" s="11602" t="n"/>
      <c r="AS8" s="11602" t="n"/>
      <c r="AT8" s="11602" t="n"/>
      <c r="AU8" s="11602" t="n"/>
      <c r="AV8" s="11880" t="n"/>
      <c r="AW8" s="658" t="n"/>
      <c r="AX8" s="658" t="n"/>
      <c r="AY8" s="658" t="n"/>
      <c r="AZ8" s="658" t="n"/>
      <c r="BA8" s="658" t="n"/>
      <c r="BB8" s="658" t="n"/>
      <c r="BC8" s="658" t="n"/>
      <c r="BD8" s="658" t="n"/>
    </row>
    <row r="9" ht="5.25" customHeight="1" s="7635">
      <c r="A9" s="2013" t="n"/>
      <c r="B9" s="11717" t="n"/>
      <c r="C9" s="11717" t="n"/>
      <c r="D9" s="11717" t="n"/>
      <c r="E9" s="11717" t="n"/>
      <c r="F9" s="11717" t="n"/>
      <c r="G9" s="11717" t="n"/>
      <c r="H9" s="11717" t="n"/>
      <c r="I9" s="11717" t="n"/>
      <c r="J9" s="11717" t="n"/>
      <c r="K9" s="11717" t="n"/>
      <c r="L9" s="11717" t="n"/>
      <c r="M9" s="11717" t="n"/>
      <c r="N9" s="11717" t="n"/>
      <c r="O9" s="11717" t="n"/>
      <c r="P9" s="11717" t="n"/>
      <c r="Q9" s="11717" t="n"/>
      <c r="R9" s="11717" t="n"/>
      <c r="S9" s="11717" t="n"/>
      <c r="T9" s="11717" t="n"/>
      <c r="U9" s="11717" t="n"/>
      <c r="V9" s="11717" t="n"/>
      <c r="W9" s="11717" t="n"/>
      <c r="X9" s="11718" t="n"/>
      <c r="Y9" s="11728" t="n"/>
      <c r="Z9" s="11717" t="n"/>
      <c r="AA9" s="11717" t="n"/>
      <c r="AB9" s="11717" t="n"/>
      <c r="AC9" s="11717" t="n"/>
      <c r="AD9" s="11717" t="n"/>
      <c r="AE9" s="11717" t="n"/>
      <c r="AF9" s="11717" t="n"/>
      <c r="AG9" s="11717" t="n"/>
      <c r="AH9" s="11717" t="n"/>
      <c r="AI9" s="11717" t="n"/>
      <c r="AJ9" s="11717" t="n"/>
      <c r="AK9" s="2013" t="n"/>
      <c r="AL9" s="11602" t="n"/>
      <c r="AM9" s="11602" t="n"/>
      <c r="AN9" s="11602" t="n"/>
      <c r="AO9" s="11602" t="n"/>
      <c r="AP9" s="11602" t="n"/>
      <c r="AQ9" s="11602" t="n"/>
      <c r="AR9" s="11602" t="n"/>
      <c r="AS9" s="11602" t="n"/>
      <c r="AT9" s="11602" t="n"/>
      <c r="AU9" s="11602" t="n"/>
      <c r="AV9" s="11880" t="n"/>
      <c r="AW9" s="658" t="n"/>
      <c r="AX9" s="658" t="n"/>
      <c r="AY9" s="658" t="n"/>
      <c r="AZ9" s="658" t="n"/>
      <c r="BA9" s="658" t="n"/>
      <c r="BB9" s="658" t="n"/>
      <c r="BC9" s="658" t="n"/>
      <c r="BD9" s="658" t="n"/>
    </row>
    <row r="10" ht="5.25" customHeight="1" s="7635">
      <c r="A10" s="2013" t="n"/>
      <c r="B10" s="1320" t="n"/>
      <c r="C10" s="1320" t="n"/>
      <c r="D10" s="1320" t="n"/>
      <c r="E10" s="1320" t="n"/>
      <c r="F10" s="1320" t="n"/>
      <c r="G10" s="1320" t="n"/>
      <c r="H10" s="1320" t="n"/>
      <c r="I10" s="1320" t="n"/>
      <c r="J10" s="1320" t="n"/>
      <c r="K10" s="1320" t="n"/>
      <c r="L10" s="1320" t="n"/>
      <c r="M10" s="1320" t="n"/>
      <c r="N10" s="1320" t="n"/>
      <c r="O10" s="1320" t="n"/>
      <c r="P10" s="1320" t="n"/>
      <c r="Q10" s="1320" t="n"/>
      <c r="R10" s="1320" t="n"/>
      <c r="S10" s="1320" t="n"/>
      <c r="T10" s="1320" t="n"/>
      <c r="U10" s="1320" t="n"/>
      <c r="V10" s="1320" t="n"/>
      <c r="W10" s="1320" t="n"/>
      <c r="X10" s="1320" t="n"/>
      <c r="Y10" s="1320" t="n"/>
      <c r="Z10" s="1320" t="n"/>
      <c r="AA10" s="1320" t="n"/>
      <c r="AB10" s="1320" t="n"/>
      <c r="AC10" s="1320" t="n"/>
      <c r="AD10" s="1320" t="n"/>
      <c r="AE10" s="1320" t="n"/>
      <c r="AF10" s="1320" t="n"/>
      <c r="AG10" s="1320" t="n"/>
      <c r="AH10" s="1320" t="n"/>
      <c r="AI10" s="11602" t="n"/>
      <c r="AJ10" s="11602" t="n"/>
      <c r="AK10" s="2013" t="n"/>
      <c r="AL10" s="11602" t="n"/>
      <c r="AM10" s="11602" t="n"/>
      <c r="AN10" s="11602" t="n"/>
      <c r="AO10" s="11602" t="n"/>
      <c r="AP10" s="11602" t="n"/>
      <c r="AQ10" s="11602" t="n"/>
      <c r="AR10" s="11602" t="n"/>
      <c r="AS10" s="11602" t="n"/>
      <c r="AT10" s="11602" t="n"/>
      <c r="AU10" s="11602" t="n"/>
      <c r="AV10" s="11880" t="n"/>
      <c r="AW10" s="658" t="n"/>
      <c r="AX10" s="658" t="n"/>
      <c r="AY10" s="658" t="n"/>
      <c r="AZ10" s="658" t="n"/>
      <c r="BA10" s="658" t="n"/>
      <c r="BB10" s="658" t="n"/>
      <c r="BC10" s="658" t="n"/>
      <c r="BD10" s="658" t="n"/>
    </row>
    <row r="11" ht="18" customFormat="1" customHeight="1" s="658">
      <c r="A11" s="2013" t="n"/>
      <c r="B11" s="7938" t="inlineStr">
        <is>
          <t>Part I</t>
        </is>
      </c>
      <c r="C11" s="8412" t="n"/>
      <c r="D11" s="2085" t="n"/>
      <c r="E11" s="3376" t="inlineStr">
        <is>
          <t>Part of Your Home Used for Business</t>
        </is>
      </c>
      <c r="F11" s="773" t="n"/>
      <c r="G11" s="773" t="n"/>
      <c r="H11" s="773" t="n"/>
      <c r="I11" s="3376" t="n"/>
      <c r="J11" s="773" t="n"/>
      <c r="K11" s="773" t="n"/>
      <c r="L11" s="773" t="n"/>
      <c r="M11" s="773" t="n"/>
      <c r="N11" s="773" t="n"/>
      <c r="O11" s="773" t="n"/>
      <c r="P11" s="773" t="n"/>
      <c r="Q11" s="773" t="n"/>
      <c r="R11" s="773" t="n"/>
      <c r="S11" s="773" t="n"/>
      <c r="T11" s="773" t="n"/>
      <c r="U11" s="773" t="n"/>
      <c r="V11" s="773" t="n"/>
      <c r="W11" s="773" t="n"/>
      <c r="X11" s="773" t="n"/>
      <c r="Y11" s="773" t="n"/>
      <c r="Z11" s="773" t="n"/>
      <c r="AA11" s="773" t="n"/>
      <c r="AB11" s="773" t="n"/>
      <c r="AC11" s="773" t="n"/>
      <c r="AD11" s="773" t="n"/>
      <c r="AE11" s="773" t="n"/>
      <c r="AF11" s="773" t="n"/>
      <c r="AG11" s="773" t="n"/>
      <c r="AH11" s="773" t="n"/>
      <c r="AI11" s="773" t="n"/>
      <c r="AJ11" s="773" t="n"/>
      <c r="AK11" s="2013" t="n"/>
      <c r="AL11" s="712" t="n"/>
      <c r="AM11" s="11602" t="n"/>
      <c r="AN11" s="11602" t="n"/>
      <c r="AO11" s="11602" t="n"/>
      <c r="AP11" s="11602" t="n"/>
      <c r="AQ11" s="11602" t="n"/>
      <c r="AR11" s="11602" t="n"/>
      <c r="AS11" s="11602" t="n"/>
      <c r="AT11" s="11602" t="n"/>
      <c r="AU11" s="11602" t="n"/>
      <c r="AV11" s="11880" t="n"/>
    </row>
    <row r="12" ht="18" customFormat="1" customHeight="1" s="658">
      <c r="A12" s="2013" t="n"/>
      <c r="B12" s="11602" t="n"/>
      <c r="C12" s="7861" t="inlineStr">
        <is>
          <t>1</t>
        </is>
      </c>
      <c r="D12" s="7772" t="inlineStr">
        <is>
          <t>Area used regularly and exclusively for business, regularly for daycare, or for storage of inventory</t>
        </is>
      </c>
      <c r="E12" s="11602" t="n"/>
      <c r="F12" s="11602" t="n"/>
      <c r="G12" s="11602" t="n"/>
      <c r="H12" s="11602" t="n"/>
      <c r="I12" s="11602" t="n"/>
      <c r="J12" s="11602" t="n"/>
      <c r="K12" s="11602" t="n"/>
      <c r="L12" s="11602" t="n"/>
      <c r="M12" s="11602" t="n"/>
      <c r="N12" s="11602" t="n"/>
      <c r="O12" s="11602" t="n"/>
      <c r="P12" s="11602" t="n"/>
      <c r="Q12" s="11602" t="n"/>
      <c r="R12" s="11602" t="n"/>
      <c r="S12" s="11602" t="n"/>
      <c r="T12" s="11602" t="n"/>
      <c r="U12" s="11602" t="n"/>
      <c r="V12" s="11602" t="n"/>
      <c r="W12" s="11602" t="n"/>
      <c r="X12" s="11602" t="n"/>
      <c r="Y12" s="11602" t="n"/>
      <c r="Z12" s="11602" t="n"/>
      <c r="AA12" s="11602" t="n"/>
      <c r="AB12" s="11602" t="n"/>
      <c r="AC12" s="11602" t="n"/>
      <c r="AD12" s="2890" t="n"/>
      <c r="AE12" s="11602" t="n"/>
      <c r="AF12" s="11602" t="n"/>
      <c r="AG12" s="11602" t="n"/>
      <c r="AH12" s="11602" t="n"/>
      <c r="AI12" s="11602" t="n"/>
      <c r="AJ12" s="11602" t="n"/>
      <c r="AK12" s="2013" t="n"/>
      <c r="AL12" s="712" t="n"/>
      <c r="AM12" s="11602" t="n"/>
      <c r="AN12" s="11602" t="n"/>
      <c r="AO12" s="11602" t="n"/>
      <c r="AP12" s="11602" t="n"/>
      <c r="AQ12" s="11602" t="n"/>
      <c r="AR12" s="11602" t="n"/>
      <c r="AS12" s="11602" t="n"/>
      <c r="AT12" s="11602" t="n"/>
      <c r="AU12" s="11602" t="n"/>
      <c r="AV12" s="11880" t="n"/>
    </row>
    <row r="13" ht="15" customFormat="1" customHeight="1" s="658">
      <c r="A13" s="2013" t="n"/>
      <c r="B13" s="11602" t="n"/>
      <c r="C13" s="7861" t="n"/>
      <c r="D13" s="7772" t="inlineStr">
        <is>
          <t>or product samples (see instructions)</t>
        </is>
      </c>
      <c r="E13" s="11602" t="n"/>
      <c r="F13" s="11602" t="n"/>
      <c r="G13" s="11602" t="n"/>
      <c r="H13" s="11602" t="n"/>
      <c r="I13" s="11602" t="n"/>
      <c r="J13" s="11602" t="n"/>
      <c r="K13" s="11602" t="n"/>
      <c r="L13" s="11602" t="n"/>
      <c r="M13" s="11602" t="n"/>
      <c r="N13" s="11602" t="n"/>
      <c r="O13" s="11602" t="n"/>
      <c r="P13" s="11602" t="n"/>
      <c r="Q13" s="11602" t="n"/>
      <c r="R13" s="11602" t="n"/>
      <c r="S13" s="11602" t="n"/>
      <c r="T13" s="11602" t="n"/>
      <c r="U13" s="11602" t="n"/>
      <c r="V13" s="11602" t="n"/>
      <c r="W13" s="11602" t="n"/>
      <c r="X13" s="11602" t="n"/>
      <c r="Y13" s="11602" t="n"/>
      <c r="Z13" s="11602" t="n"/>
      <c r="AA13" s="11602" t="n"/>
      <c r="AB13" s="11602" t="n"/>
      <c r="AC13" s="1401" t="inlineStr">
        <is>
          <t xml:space="preserve">.   .   .   .   .   .   .   .   .   .   .   .   .   .   .   .   .   .   .   .   .   .   .   .   .   .   . </t>
        </is>
      </c>
      <c r="AD13" s="2895" t="n">
        <v>1</v>
      </c>
      <c r="AE13" s="10799" t="n"/>
      <c r="AF13" s="11717" t="n"/>
      <c r="AG13" s="11717" t="n"/>
      <c r="AH13" s="11717" t="n"/>
      <c r="AI13" s="11717" t="n"/>
      <c r="AJ13" s="11717" t="n"/>
      <c r="AK13" s="2013" t="n"/>
      <c r="AL13" s="712" t="n"/>
      <c r="AM13" s="11602" t="n"/>
      <c r="AN13" s="11602" t="n"/>
      <c r="AO13" s="11602" t="n"/>
      <c r="AP13" s="11602" t="n"/>
      <c r="AQ13" s="11602" t="n"/>
      <c r="AR13" s="11602" t="n"/>
      <c r="AS13" s="11602" t="n"/>
      <c r="AT13" s="11602" t="n"/>
      <c r="AU13" s="11602" t="n"/>
      <c r="AV13" s="11880" t="n"/>
    </row>
    <row r="14" ht="15" customFormat="1" customHeight="1" s="658">
      <c r="A14" s="2013" t="n"/>
      <c r="B14" s="11602" t="n"/>
      <c r="C14" s="7861" t="n">
        <v>2</v>
      </c>
      <c r="D14" s="7772" t="inlineStr">
        <is>
          <t>Total area of home</t>
        </is>
      </c>
      <c r="E14" s="11602" t="n"/>
      <c r="F14" s="11602" t="n"/>
      <c r="G14" s="11602" t="n"/>
      <c r="H14" s="11602" t="n"/>
      <c r="I14" s="11602" t="n"/>
      <c r="J14" s="11602" t="n"/>
      <c r="K14" s="11602" t="n"/>
      <c r="L14" s="11602" t="n"/>
      <c r="M14" s="11602" t="n"/>
      <c r="N14" s="11602" t="n"/>
      <c r="O14" s="11602" t="n"/>
      <c r="P14" s="11602" t="n"/>
      <c r="Q14" s="11602" t="n"/>
      <c r="R14" s="11602" t="n"/>
      <c r="S14" s="11602" t="n"/>
      <c r="T14" s="11602" t="n"/>
      <c r="U14" s="11602" t="n"/>
      <c r="V14" s="11602" t="n"/>
      <c r="W14" s="11602" t="n"/>
      <c r="X14" s="11602" t="n"/>
      <c r="Y14" s="11602" t="n"/>
      <c r="Z14" s="11602" t="n"/>
      <c r="AA14" s="11602" t="n"/>
      <c r="AB14" s="11602" t="n"/>
      <c r="AC14" s="1401" t="inlineStr">
        <is>
          <t xml:space="preserve">.   .   .   .   .   .   .   .   .   .   .   .   .   .   .   .   .   .   .   .   .   .   .   .   .   .   .   .   .   .   .   .   .   .   .   . </t>
        </is>
      </c>
      <c r="AD14" s="2895" t="n">
        <v>2</v>
      </c>
      <c r="AE14" s="10799" t="n"/>
      <c r="AF14" s="11717" t="n"/>
      <c r="AG14" s="11717" t="n"/>
      <c r="AH14" s="11717" t="n"/>
      <c r="AI14" s="11717" t="n"/>
      <c r="AJ14" s="11717" t="n"/>
      <c r="AK14" s="2013" t="n"/>
      <c r="AL14" s="712" t="n"/>
      <c r="AM14" s="11602" t="n"/>
      <c r="AN14" s="11602" t="n"/>
      <c r="AO14" s="11602" t="n"/>
      <c r="AP14" s="11602" t="n"/>
      <c r="AQ14" s="11602" t="n"/>
      <c r="AR14" s="11602" t="n"/>
      <c r="AS14" s="11602" t="n"/>
      <c r="AT14" s="11602" t="n"/>
      <c r="AU14" s="11602" t="n"/>
      <c r="AV14" s="11880" t="n"/>
    </row>
    <row r="15" ht="15" customFormat="1" customHeight="1" s="658">
      <c r="A15" s="2013" t="n"/>
      <c r="B15" s="11602" t="n"/>
      <c r="C15" s="7861" t="n">
        <v>3</v>
      </c>
      <c r="D15" s="7772" t="inlineStr">
        <is>
          <t>Divide line 1 by line 2. Enter the result as a percentage</t>
        </is>
      </c>
      <c r="E15" s="11602" t="n"/>
      <c r="F15" s="11602" t="n"/>
      <c r="G15" s="11602" t="n"/>
      <c r="H15" s="11602" t="n"/>
      <c r="I15" s="11602" t="n"/>
      <c r="J15" s="11602" t="n"/>
      <c r="K15" s="11602" t="n"/>
      <c r="L15" s="11602" t="n"/>
      <c r="M15" s="11602" t="n"/>
      <c r="N15" s="11602" t="n"/>
      <c r="O15" s="11602" t="n"/>
      <c r="P15" s="11602" t="n"/>
      <c r="Q15" s="11602" t="n"/>
      <c r="R15" s="11602" t="n"/>
      <c r="S15" s="11602" t="n"/>
      <c r="T15" s="11602" t="n"/>
      <c r="U15" s="11602" t="n"/>
      <c r="V15" s="11602" t="n"/>
      <c r="W15" s="11602" t="n"/>
      <c r="X15" s="11602" t="n"/>
      <c r="Y15" s="11602" t="n"/>
      <c r="Z15" s="11602" t="n"/>
      <c r="AA15" s="11602" t="n"/>
      <c r="AB15" s="11602" t="n"/>
      <c r="AC15" s="1401" t="inlineStr">
        <is>
          <t xml:space="preserve">.   .   .   .   .   .   .   .   .   .   .   .   .   .   .   .   .   .   .   . </t>
        </is>
      </c>
      <c r="AD15" s="2895" t="n">
        <v>3</v>
      </c>
      <c r="AE15" s="12720">
        <f>IF(NOT(AM15),"",IF(AE13&gt;AE14,1,ROUND(AE13/AE14*100,3)))</f>
        <v/>
      </c>
      <c r="AF15" s="8412" t="n"/>
      <c r="AG15" s="8412" t="n"/>
      <c r="AH15" s="8412" t="n"/>
      <c r="AI15" s="8412" t="n"/>
      <c r="AJ15" s="6714">
        <f>"%"</f>
        <v/>
      </c>
      <c r="AK15" s="2013" t="n"/>
      <c r="AL15" s="712" t="n"/>
      <c r="AM15" s="512">
        <f>AND(AE13&lt;&gt;"",AE14&lt;&gt;"",AE14&lt;&gt;0)</f>
        <v/>
      </c>
      <c r="AN15" s="11602" t="n"/>
      <c r="AO15" s="11602" t="n"/>
      <c r="AP15" s="11602" t="n"/>
      <c r="AQ15" s="11602" t="n"/>
      <c r="AR15" s="11602" t="n"/>
      <c r="AS15" s="11602" t="n"/>
      <c r="AT15" s="11602" t="n"/>
      <c r="AU15" s="11602" t="n"/>
      <c r="AV15" s="11880" t="n"/>
    </row>
    <row r="16" ht="16.5" customFormat="1" customHeight="1" s="658" thickBot="1">
      <c r="A16" s="2013" t="n"/>
      <c r="B16" s="11602" t="n"/>
      <c r="C16" s="11602" t="n"/>
      <c r="D16" s="514" t="inlineStr">
        <is>
          <t>For daycare facilities not used exclusively for business, go to line 4. All others, go to line 7.</t>
        </is>
      </c>
      <c r="E16" s="11602" t="n"/>
      <c r="F16" s="11602" t="n"/>
      <c r="G16" s="11602" t="n"/>
      <c r="H16" s="11602" t="n"/>
      <c r="I16" s="11602" t="n"/>
      <c r="J16" s="11602" t="n"/>
      <c r="K16" s="11602" t="n"/>
      <c r="L16" s="11602" t="n"/>
      <c r="M16" s="11602" t="n"/>
      <c r="N16" s="11602" t="n"/>
      <c r="O16" s="11602" t="n"/>
      <c r="P16" s="11602" t="n"/>
      <c r="Q16" s="11602" t="n"/>
      <c r="R16" s="11602" t="n"/>
      <c r="S16" s="11602" t="n"/>
      <c r="T16" s="11602" t="n"/>
      <c r="U16" s="11602" t="n"/>
      <c r="V16" s="11602" t="n"/>
      <c r="W16" s="11602" t="n"/>
      <c r="X16" s="11602" t="n"/>
      <c r="Y16" s="11602" t="n"/>
      <c r="Z16" s="11602" t="n"/>
      <c r="AA16" s="11602" t="n"/>
      <c r="AB16" s="11602" t="n"/>
      <c r="AC16" s="409" t="n"/>
      <c r="AD16" s="2924" t="n"/>
      <c r="AE16" s="8650" t="n"/>
      <c r="AF16" s="8650" t="n"/>
      <c r="AG16" s="8650" t="n"/>
      <c r="AH16" s="8650" t="n"/>
      <c r="AI16" s="8650" t="n"/>
      <c r="AJ16" s="8650" t="n"/>
      <c r="AK16" s="2013" t="n"/>
      <c r="AL16" s="712" t="n"/>
      <c r="AM16" s="11602" t="n"/>
      <c r="AN16" s="11602" t="n"/>
      <c r="AO16" s="11602" t="n"/>
      <c r="AP16" s="11602" t="n"/>
      <c r="AQ16" s="11602" t="n"/>
      <c r="AR16" s="11602" t="n"/>
      <c r="AS16" s="11602" t="n"/>
      <c r="AT16" s="11602" t="n"/>
      <c r="AU16" s="11602" t="n"/>
      <c r="AV16" s="11880" t="n"/>
    </row>
    <row r="17" ht="16.5" customFormat="1" customHeight="1" s="658" thickBot="1">
      <c r="A17" s="2013" t="n"/>
      <c r="B17" s="11602" t="n"/>
      <c r="C17" s="7861" t="n">
        <v>4</v>
      </c>
      <c r="D17" s="7772" t="inlineStr">
        <is>
          <t>Multiply days used for daycare during year by hours used per day</t>
        </is>
      </c>
      <c r="E17" s="11602" t="n"/>
      <c r="F17" s="11602" t="n"/>
      <c r="G17" s="11602" t="n"/>
      <c r="H17" s="11602" t="n"/>
      <c r="I17" s="11602" t="n"/>
      <c r="J17" s="11602" t="n"/>
      <c r="K17" s="11602" t="n"/>
      <c r="L17" s="11602" t="n"/>
      <c r="M17" s="11602" t="n"/>
      <c r="N17" s="11602" t="n"/>
      <c r="O17" s="11602" t="n"/>
      <c r="P17" s="11602" t="n"/>
      <c r="Q17" s="11602" t="n"/>
      <c r="R17" s="11602" t="n"/>
      <c r="S17" s="7861" t="n"/>
      <c r="T17" s="11602" t="n"/>
      <c r="U17" s="11602" t="n"/>
      <c r="V17" s="1401" t="inlineStr">
        <is>
          <t xml:space="preserve">.   .   . </t>
        </is>
      </c>
      <c r="W17" s="2895" t="n">
        <v>4</v>
      </c>
      <c r="X17" s="10787" t="n"/>
      <c r="Y17" s="11717" t="n"/>
      <c r="Z17" s="11717" t="n"/>
      <c r="AA17" s="11717" t="n"/>
      <c r="AB17" s="11717" t="n"/>
      <c r="AC17" s="1452" t="inlineStr">
        <is>
          <t>hr.</t>
        </is>
      </c>
      <c r="AD17" s="2924" t="n"/>
      <c r="AE17" s="8650" t="n"/>
      <c r="AF17" s="8650" t="n"/>
      <c r="AG17" s="8650" t="n"/>
      <c r="AH17" s="8650" t="n"/>
      <c r="AI17" s="8650" t="n"/>
      <c r="AJ17" s="8650" t="n"/>
      <c r="AK17" s="2013" t="n"/>
      <c r="AL17" s="277" t="n"/>
      <c r="AM17" s="8650" t="inlineStr">
        <is>
          <t>Check here if your busines was for 'daycare'.</t>
        </is>
      </c>
      <c r="AN17" s="11602" t="n"/>
      <c r="AO17" s="11602" t="n"/>
      <c r="AP17" s="11602" t="n"/>
      <c r="AQ17" s="11602" t="n"/>
      <c r="AR17" s="11602" t="n"/>
      <c r="AS17" s="11602" t="n"/>
      <c r="AT17" s="11602" t="n"/>
      <c r="AU17" s="11602" t="n"/>
      <c r="AV17" s="11880" t="n"/>
    </row>
    <row r="18" ht="15.75" customFormat="1" customHeight="1" s="658">
      <c r="A18" s="2013" t="n"/>
      <c r="B18" s="11602" t="n"/>
      <c r="C18" s="7861" t="n">
        <v>5</v>
      </c>
      <c r="D18" s="7772" t="inlineStr">
        <is>
          <t>If you started or stopped using your home for daycare during the year,</t>
        </is>
      </c>
      <c r="E18" s="11602" t="n"/>
      <c r="F18" s="11602" t="n"/>
      <c r="G18" s="11602" t="n"/>
      <c r="H18" s="11602" t="n"/>
      <c r="I18" s="11602" t="n"/>
      <c r="J18" s="11602" t="n"/>
      <c r="K18" s="11602" t="n"/>
      <c r="L18" s="11602" t="n"/>
      <c r="M18" s="11602" t="n"/>
      <c r="N18" s="11602" t="n"/>
      <c r="O18" s="11602" t="n"/>
      <c r="P18" s="11602" t="n"/>
      <c r="Q18" s="1401" t="n"/>
      <c r="R18" s="1401" t="n"/>
      <c r="S18" s="11602" t="n"/>
      <c r="T18" s="11602" t="n"/>
      <c r="U18" s="11602" t="n"/>
      <c r="V18" s="11602" t="n"/>
      <c r="W18" s="2898" t="n"/>
      <c r="X18" s="6715" t="n"/>
      <c r="Y18" s="6716" t="n"/>
      <c r="Z18" s="6716" t="n"/>
      <c r="AA18" s="6716" t="n"/>
      <c r="AB18" s="11117">
        <f>DaysInTaxYear*24</f>
        <v/>
      </c>
      <c r="AC18" s="10091" t="n"/>
      <c r="AD18" s="2924" t="n"/>
      <c r="AE18" s="8650" t="n"/>
      <c r="AF18" s="8650" t="n"/>
      <c r="AG18" s="8650" t="n"/>
      <c r="AH18" s="8650" t="n"/>
      <c r="AI18" s="8650" t="n"/>
      <c r="AJ18" s="8650" t="n"/>
      <c r="AK18" s="2013" t="n"/>
      <c r="AL18" s="712" t="n"/>
      <c r="AM18" s="512">
        <f>AL17&lt;&gt;""</f>
        <v/>
      </c>
      <c r="AN18" s="11602" t="n"/>
      <c r="AO18" s="11602" t="n"/>
      <c r="AP18" s="11602" t="n"/>
      <c r="AQ18" s="11602" t="n"/>
      <c r="AR18" s="11602" t="n"/>
      <c r="AS18" s="11602" t="n"/>
      <c r="AT18" s="11602" t="n"/>
      <c r="AU18" s="11602" t="n"/>
      <c r="AV18" s="11880" t="n"/>
    </row>
    <row r="19" ht="16.5" customFormat="1" customHeight="1" s="658" thickBot="1">
      <c r="A19" s="2013" t="inlineStr">
        <is>
          <t>`</t>
        </is>
      </c>
      <c r="B19" s="11602" t="n"/>
      <c r="C19" s="3827" t="n"/>
      <c r="D19" s="7772">
        <f>"see instructions; otherwise, enter "&amp;TEXT(AB18,"0,000")</f>
        <v/>
      </c>
      <c r="E19" s="11602" t="n"/>
      <c r="F19" s="11602" t="n"/>
      <c r="G19" s="11602" t="n"/>
      <c r="H19" s="11602" t="n"/>
      <c r="I19" s="11602" t="n"/>
      <c r="J19" s="11602" t="n"/>
      <c r="K19" s="11602" t="n"/>
      <c r="L19" s="11602" t="n"/>
      <c r="M19" s="11602" t="n"/>
      <c r="N19" s="11602" t="n"/>
      <c r="O19" s="11602" t="n"/>
      <c r="P19" s="11602" t="n"/>
      <c r="Q19" s="1401" t="n"/>
      <c r="R19" s="1401" t="n"/>
      <c r="S19" s="11602" t="n"/>
      <c r="T19" s="11602" t="n"/>
      <c r="U19" s="11602" t="n"/>
      <c r="V19" s="1401" t="inlineStr">
        <is>
          <t xml:space="preserve">.   .   .   .   .   .   .   .   .   .   .   .   .   . </t>
        </is>
      </c>
      <c r="W19" s="3840" t="n">
        <v>5</v>
      </c>
      <c r="X19" s="11082" t="n"/>
      <c r="Y19" s="11795" t="n"/>
      <c r="Z19" s="11795" t="n"/>
      <c r="AA19" s="11795" t="n"/>
      <c r="AB19" s="11795" t="n"/>
      <c r="AC19" s="1452" t="inlineStr">
        <is>
          <t>hr.</t>
        </is>
      </c>
      <c r="AD19" s="2924" t="n"/>
      <c r="AE19" s="8650" t="n"/>
      <c r="AF19" s="8650" t="n"/>
      <c r="AG19" s="8650" t="n"/>
      <c r="AH19" s="8650" t="n"/>
      <c r="AI19" s="8650" t="n"/>
      <c r="AJ19" s="8650" t="n"/>
      <c r="AK19" s="2013" t="n"/>
      <c r="AL19" s="712" t="n"/>
      <c r="AM19" s="512">
        <f>OR(AND(AM15,NOT(AM18)),AND(AM15,AM18,X17&lt;&gt;"",X19&lt;&gt;""))</f>
        <v/>
      </c>
      <c r="AN19" s="11602" t="n"/>
      <c r="AO19" s="11602" t="n"/>
      <c r="AP19" s="11602" t="n"/>
      <c r="AQ19" s="11602" t="n"/>
      <c r="AR19" s="11602" t="n"/>
      <c r="AS19" s="11602" t="n"/>
      <c r="AT19" s="11602" t="n"/>
      <c r="AU19" s="11602" t="n"/>
      <c r="AV19" s="11880" t="n"/>
    </row>
    <row r="20" ht="15.75" customFormat="1" customHeight="1" s="658">
      <c r="A20" s="2013" t="n"/>
      <c r="B20" s="11602" t="n"/>
      <c r="C20" s="7861" t="n">
        <v>6</v>
      </c>
      <c r="D20" s="7772" t="inlineStr">
        <is>
          <t>Divide line 4 by line 5. Enter the result as a decimal amount</t>
        </is>
      </c>
      <c r="E20" s="11602" t="n"/>
      <c r="F20" s="11602" t="n"/>
      <c r="G20" s="11602" t="n"/>
      <c r="H20" s="11602" t="n"/>
      <c r="I20" s="11602" t="n"/>
      <c r="J20" s="11602" t="n"/>
      <c r="K20" s="11602" t="n"/>
      <c r="L20" s="11602" t="n"/>
      <c r="M20" s="11602" t="n"/>
      <c r="N20" s="11602" t="n"/>
      <c r="O20" s="11602" t="n"/>
      <c r="P20" s="11602" t="n"/>
      <c r="Q20" s="11602" t="n"/>
      <c r="R20" s="11602" t="n"/>
      <c r="S20" s="7861" t="n"/>
      <c r="T20" s="11602" t="n"/>
      <c r="U20" s="11602" t="n"/>
      <c r="V20" s="1401" t="inlineStr">
        <is>
          <t xml:space="preserve">.   .   .   .   .   . </t>
        </is>
      </c>
      <c r="W20" s="2895" t="n">
        <v>6</v>
      </c>
      <c r="X20" s="12721">
        <f>IF(OR(NOT(AM19),AE13="",AE14="",X19=""),"",ROUND(X17/X19,3))</f>
        <v/>
      </c>
      <c r="Y20" s="12097" t="n"/>
      <c r="Z20" s="12097" t="n"/>
      <c r="AA20" s="12097" t="n"/>
      <c r="AB20" s="12097" t="n"/>
      <c r="AC20" s="12523" t="n"/>
      <c r="AD20" s="2924" t="n"/>
      <c r="AE20" s="8650" t="n"/>
      <c r="AF20" s="8650" t="n"/>
      <c r="AG20" s="8650" t="n"/>
      <c r="AH20" s="8650" t="n"/>
      <c r="AI20" s="8650" t="n"/>
      <c r="AJ20" s="8650" t="n"/>
      <c r="AK20" s="2013" t="n"/>
      <c r="AL20" s="712" t="n"/>
      <c r="AM20" s="11602" t="n"/>
      <c r="AN20" s="11602" t="n"/>
      <c r="AO20" s="11602" t="n"/>
      <c r="AP20" s="11602" t="n"/>
      <c r="AQ20" s="11602" t="n"/>
      <c r="AR20" s="11602" t="n"/>
      <c r="AS20" s="11602" t="n"/>
      <c r="AT20" s="11602" t="n"/>
      <c r="AU20" s="11602" t="n"/>
      <c r="AV20" s="11880" t="n"/>
    </row>
    <row r="21" ht="15.75" customFormat="1" customHeight="1" s="658">
      <c r="A21" s="2013" t="n"/>
      <c r="B21" s="11602" t="n"/>
      <c r="C21" s="7861" t="n">
        <v>7</v>
      </c>
      <c r="D21" s="7772" t="inlineStr">
        <is>
          <t>Business percentage. For daycare facilities not used exclusively for business, multiply line 6 by</t>
        </is>
      </c>
      <c r="E21" s="11602" t="n"/>
      <c r="F21" s="11602" t="n"/>
      <c r="G21" s="11602" t="n"/>
      <c r="H21" s="11602" t="n"/>
      <c r="I21" s="11602" t="n"/>
      <c r="J21" s="11602" t="n"/>
      <c r="K21" s="11602" t="n"/>
      <c r="L21" s="11602" t="n"/>
      <c r="M21" s="11602" t="n"/>
      <c r="N21" s="11602" t="n"/>
      <c r="O21" s="11602" t="n"/>
      <c r="P21" s="11602" t="n"/>
      <c r="Q21" s="11602" t="n"/>
      <c r="R21" s="11602" t="n"/>
      <c r="S21" s="11602" t="n"/>
      <c r="T21" s="11602" t="n"/>
      <c r="U21" s="11602" t="n"/>
      <c r="V21" s="11602" t="n"/>
      <c r="W21" s="11602" t="n"/>
      <c r="X21" s="11602" t="n"/>
      <c r="Y21" s="11602" t="n"/>
      <c r="Z21" s="11602" t="n"/>
      <c r="AA21" s="11602" t="n"/>
      <c r="AB21" s="11602" t="n"/>
      <c r="AC21" s="11602" t="n"/>
      <c r="AD21" s="2924" t="n"/>
      <c r="AE21" s="8650" t="n"/>
      <c r="AF21" s="8650" t="n"/>
      <c r="AG21" s="8650" t="n"/>
      <c r="AH21" s="8650" t="n"/>
      <c r="AI21" s="8650" t="n"/>
      <c r="AJ21" s="8650" t="n"/>
      <c r="AK21" s="2013" t="n"/>
      <c r="AL21" s="712" t="n"/>
      <c r="AM21" s="11602" t="n"/>
      <c r="AN21" s="11602" t="n"/>
      <c r="AO21" s="11602" t="n"/>
      <c r="AP21" s="11602" t="n"/>
      <c r="AQ21" s="11602" t="n"/>
      <c r="AR21" s="11602" t="n"/>
      <c r="AS21" s="11602" t="n"/>
      <c r="AT21" s="11602" t="n"/>
      <c r="AU21" s="11602" t="n"/>
      <c r="AV21" s="11880" t="n"/>
    </row>
    <row r="22" ht="15" customFormat="1" customHeight="1" s="658" thickBot="1">
      <c r="A22" s="2013" t="n"/>
      <c r="B22" s="380" t="n"/>
      <c r="C22" s="6717" t="n"/>
      <c r="D22" s="5003" t="inlineStr">
        <is>
          <t>line 3 (enter the result as a percentage). All others, enter the amount from line 3</t>
        </is>
      </c>
      <c r="E22" s="380" t="n"/>
      <c r="F22" s="380" t="n"/>
      <c r="G22" s="380" t="n"/>
      <c r="H22" s="380" t="n"/>
      <c r="I22" s="380" t="n"/>
      <c r="J22" s="380" t="n"/>
      <c r="K22" s="380" t="n"/>
      <c r="L22" s="380" t="n"/>
      <c r="M22" s="380" t="n"/>
      <c r="N22" s="380" t="n"/>
      <c r="O22" s="380" t="n"/>
      <c r="P22" s="380" t="n"/>
      <c r="Q22" s="380" t="n"/>
      <c r="R22" s="380" t="n"/>
      <c r="S22" s="380" t="n"/>
      <c r="T22" s="380" t="n"/>
      <c r="U22" s="380" t="n"/>
      <c r="V22" s="380" t="n"/>
      <c r="W22" s="380" t="n"/>
      <c r="X22" s="380" t="n"/>
      <c r="Y22" s="380" t="n"/>
      <c r="Z22" s="380" t="n"/>
      <c r="AA22" s="380" t="n"/>
      <c r="AB22" s="380" t="n"/>
      <c r="AC22" s="10735" t="inlineStr">
        <is>
          <t xml:space="preserve">.   .   .   .   .   .   .   . </t>
        </is>
      </c>
      <c r="AD22" s="3840" t="n">
        <v>7</v>
      </c>
      <c r="AE22" s="12722">
        <f>IF(NOT(AM19),"",IF(AM18,ROUND(X20*AE15,3),AE15))</f>
        <v/>
      </c>
      <c r="AF22" s="8848" t="n"/>
      <c r="AG22" s="8848" t="n"/>
      <c r="AH22" s="8848" t="n"/>
      <c r="AI22" s="8848" t="n"/>
      <c r="AJ22" s="6718">
        <f>"%"</f>
        <v/>
      </c>
      <c r="AK22" s="2013" t="n"/>
      <c r="AL22" s="712" t="n"/>
      <c r="AM22" s="11602" t="n"/>
      <c r="AN22" s="11602" t="n"/>
      <c r="AO22" s="344" t="n"/>
      <c r="AP22" s="11602" t="n"/>
      <c r="AQ22" s="11602" t="n"/>
      <c r="AR22" s="11602" t="n"/>
      <c r="AS22" s="11602" t="n"/>
      <c r="AT22" s="11602" t="n"/>
      <c r="AU22" s="11602" t="n"/>
      <c r="AV22" s="11880" t="n"/>
    </row>
    <row r="23" ht="18" customFormat="1" customHeight="1" s="658">
      <c r="A23" s="2013" t="n"/>
      <c r="B23" s="8876" t="inlineStr">
        <is>
          <t>Part II</t>
        </is>
      </c>
      <c r="C23" s="7637" t="n"/>
      <c r="D23" s="4534" t="n"/>
      <c r="E23" s="5388" t="inlineStr">
        <is>
          <t>Figure Your Allowable Deduction</t>
        </is>
      </c>
      <c r="F23" s="413" t="n"/>
      <c r="G23" s="413" t="n"/>
      <c r="H23" s="413" t="n"/>
      <c r="I23" s="5388" t="n"/>
      <c r="J23" s="413" t="n"/>
      <c r="K23" s="413" t="n"/>
      <c r="L23" s="413" t="n"/>
      <c r="M23" s="413" t="n"/>
      <c r="N23" s="413" t="n"/>
      <c r="O23" s="413" t="n"/>
      <c r="P23" s="413" t="n"/>
      <c r="Q23" s="413" t="n"/>
      <c r="R23" s="413" t="n"/>
      <c r="S23" s="413" t="n"/>
      <c r="T23" s="413" t="n"/>
      <c r="U23" s="413" t="n"/>
      <c r="V23" s="413" t="n"/>
      <c r="W23" s="413" t="n"/>
      <c r="X23" s="413" t="n"/>
      <c r="Y23" s="413" t="n"/>
      <c r="Z23" s="413" t="n"/>
      <c r="AA23" s="413" t="n"/>
      <c r="AB23" s="413" t="n"/>
      <c r="AC23" s="413" t="n"/>
      <c r="AD23" s="413" t="n"/>
      <c r="AE23" s="413" t="n"/>
      <c r="AF23" s="413" t="n"/>
      <c r="AG23" s="413" t="n"/>
      <c r="AH23" s="413" t="n"/>
      <c r="AI23" s="413" t="n"/>
      <c r="AJ23" s="413" t="n"/>
      <c r="AK23" s="2013" t="n"/>
      <c r="AL23" s="712" t="n"/>
      <c r="AM23" s="7886" t="inlineStr">
        <is>
          <t>Sch. C Line 29</t>
        </is>
      </c>
      <c r="AN23" s="11602" t="n"/>
      <c r="AO23" s="344" t="inlineStr">
        <is>
          <t>Sch. C Form</t>
        </is>
      </c>
      <c r="AP23" s="344" t="n"/>
      <c r="AQ23" s="344" t="n"/>
      <c r="AR23" s="344" t="n"/>
      <c r="AS23" s="344" t="n"/>
      <c r="AT23" s="344" t="n"/>
      <c r="AU23" s="344" t="n"/>
      <c r="AV23" s="11880" t="n"/>
    </row>
    <row r="24" ht="15" customFormat="1" customHeight="1" s="658">
      <c r="A24" s="2013" t="n"/>
      <c r="B24" s="11602" t="n"/>
      <c r="C24" s="7861" t="n">
        <v>8</v>
      </c>
      <c r="D24" s="8650" t="inlineStr">
        <is>
          <t>Enter the amount from Schedule C, line 29, plus any gain derived from the business use of your home,</t>
        </is>
      </c>
      <c r="E24" s="11602" t="n"/>
      <c r="F24" s="11602" t="n"/>
      <c r="G24" s="11602" t="n"/>
      <c r="H24" s="11602" t="n"/>
      <c r="I24" s="11602" t="n"/>
      <c r="J24" s="11602" t="n"/>
      <c r="K24" s="11602" t="n"/>
      <c r="L24" s="11602" t="n"/>
      <c r="M24" s="11602" t="n"/>
      <c r="N24" s="11602" t="n"/>
      <c r="O24" s="11602" t="n"/>
      <c r="P24" s="11602" t="n"/>
      <c r="Q24" s="11602" t="n"/>
      <c r="R24" s="11602" t="n"/>
      <c r="S24" s="11602" t="n"/>
      <c r="T24" s="11602" t="n"/>
      <c r="U24" s="11602" t="n"/>
      <c r="V24" s="11602" t="n"/>
      <c r="W24" s="11602" t="n"/>
      <c r="X24" s="11602" t="n"/>
      <c r="Y24" s="11602" t="n"/>
      <c r="Z24" s="11602" t="n"/>
      <c r="AA24" s="11602" t="n"/>
      <c r="AB24" s="11602" t="n"/>
      <c r="AC24" s="11602" t="n"/>
      <c r="AD24" s="726" t="n"/>
      <c r="AE24" s="11602" t="n"/>
      <c r="AF24" s="11602" t="n"/>
      <c r="AG24" s="11602" t="n"/>
      <c r="AH24" s="11602" t="n"/>
      <c r="AI24" s="11602" t="n"/>
      <c r="AJ24" s="11602" t="n"/>
      <c r="AK24" s="2013" t="n"/>
      <c r="AL24" s="1846">
        <f>IF(AL25="","X","")</f>
        <v/>
      </c>
      <c r="AM24" s="6719">
        <f>IF(SchC_TentativeProfit1="",0,SchC_TentativeProfit1)</f>
        <v/>
      </c>
      <c r="AN24" s="11602" t="n"/>
      <c r="AO24" s="2927" t="n">
        <v>1</v>
      </c>
      <c r="AP24" s="6996" t="n"/>
      <c r="AQ24" s="6996" t="n"/>
      <c r="AR24" s="6996" t="n"/>
      <c r="AS24" s="8914">
        <f>AE22&lt;&gt;""</f>
        <v/>
      </c>
      <c r="AU24" s="6996" t="n"/>
      <c r="AV24" s="11880" t="n"/>
    </row>
    <row r="25" ht="14.25" customFormat="1" customHeight="1" s="658">
      <c r="A25" s="2013" t="n"/>
      <c r="B25" s="8650" t="n"/>
      <c r="C25" s="8650" t="n"/>
      <c r="D25" s="8650" t="inlineStr">
        <is>
          <t>minus any loss from the trade or business not derived from the business use of your home. See instructions.</t>
        </is>
      </c>
      <c r="E25" s="8650" t="n"/>
      <c r="F25" s="8650" t="n"/>
      <c r="G25" s="8650" t="n"/>
      <c r="H25" s="8650" t="n"/>
      <c r="I25" s="8650" t="n"/>
      <c r="J25" s="8650" t="n"/>
      <c r="K25" s="8650" t="n"/>
      <c r="L25" s="8650" t="n"/>
      <c r="M25" s="8650" t="n"/>
      <c r="N25" s="8650" t="n"/>
      <c r="O25" s="8650" t="n"/>
      <c r="P25" s="8650" t="n"/>
      <c r="Q25" s="8650" t="n"/>
      <c r="R25" s="8650" t="n"/>
      <c r="S25" s="8650" t="n"/>
      <c r="T25" s="8650" t="n"/>
      <c r="U25" s="8650" t="n"/>
      <c r="V25" s="8650" t="n"/>
      <c r="W25" s="8650" t="n"/>
      <c r="X25" s="8650" t="n"/>
      <c r="Y25" s="8650" t="n"/>
      <c r="Z25" s="8650" t="n"/>
      <c r="AA25" s="8650" t="n"/>
      <c r="AB25" s="8650" t="n"/>
      <c r="AC25" s="8650" t="n"/>
      <c r="AD25" s="2895" t="n">
        <v>8</v>
      </c>
      <c r="AE25" s="10805">
        <f>IF(AM26&lt;&gt;"",ROUND(AM26,0),IF(AND($AM$19,AL24&lt;&gt;""),ROUND(AM24,0),IF(AND($AM$19,AL25&lt;&gt;""),ROUND(AM25,0),"")))</f>
        <v/>
      </c>
      <c r="AF25" s="7637" t="n"/>
      <c r="AG25" s="7637" t="n"/>
      <c r="AH25" s="7637" t="n"/>
      <c r="AI25" s="7637" t="n"/>
      <c r="AJ25" s="7637" t="n"/>
      <c r="AK25" s="2013" t="n"/>
      <c r="AL25" s="276" t="n"/>
      <c r="AM25" s="6719">
        <f>IF(SchC_TentativeProfit2="",0,SchC_TentativeProfit2)</f>
        <v/>
      </c>
      <c r="AN25" s="11602" t="n"/>
      <c r="AO25" s="2927" t="n">
        <v>2</v>
      </c>
      <c r="AP25" s="9237" t="inlineStr">
        <is>
          <t>Check if applicable.</t>
        </is>
      </c>
      <c r="AQ25" s="6996" t="n"/>
      <c r="AR25" s="6996" t="n"/>
      <c r="AS25" s="8914">
        <f>AL25&lt;&gt;""</f>
        <v/>
      </c>
      <c r="AT25" s="6996" t="n"/>
      <c r="AU25" s="6996" t="n"/>
      <c r="AV25" s="11880" t="n"/>
    </row>
    <row r="26" ht="15" customFormat="1" customHeight="1" s="658">
      <c r="A26" s="2013" t="n"/>
      <c r="B26" s="3827" t="n"/>
      <c r="C26" s="7861" t="n"/>
      <c r="D26" s="807" t="inlineStr">
        <is>
          <t>See instructions for columns (a) and (b) before completing lines 9–22.</t>
        </is>
      </c>
      <c r="E26" s="8650" t="n"/>
      <c r="F26" s="8650" t="n"/>
      <c r="G26" s="8650" t="n"/>
      <c r="H26" s="8650" t="n"/>
      <c r="I26" s="8650" t="n"/>
      <c r="J26" s="8650" t="n"/>
      <c r="K26" s="8650" t="n"/>
      <c r="L26" s="8650" t="n"/>
      <c r="M26" s="8650" t="n"/>
      <c r="N26" s="8650" t="n"/>
      <c r="O26" s="8650" t="n"/>
      <c r="P26" s="8650" t="n"/>
      <c r="Q26" s="8650" t="n"/>
      <c r="R26" s="12723" t="inlineStr">
        <is>
          <t>(a) Direct expenses</t>
        </is>
      </c>
      <c r="S26" s="8412" t="n"/>
      <c r="T26" s="8412" t="n"/>
      <c r="U26" s="8412" t="n"/>
      <c r="V26" s="8412" t="n"/>
      <c r="W26" s="11734" t="n"/>
      <c r="X26" s="12723" t="inlineStr">
        <is>
          <t>(b) Indirect expenses</t>
        </is>
      </c>
      <c r="Y26" s="8412" t="n"/>
      <c r="Z26" s="8412" t="n"/>
      <c r="AA26" s="8412" t="n"/>
      <c r="AB26" s="8412" t="n"/>
      <c r="AC26" s="11734" t="n"/>
      <c r="AD26" s="2924" t="n"/>
      <c r="AE26" s="11602" t="n"/>
      <c r="AF26" s="11602" t="n"/>
      <c r="AG26" s="11602" t="n"/>
      <c r="AH26" s="11602" t="n"/>
      <c r="AI26" s="11602" t="n"/>
      <c r="AJ26" s="11602" t="n"/>
      <c r="AK26" s="2013" t="n"/>
      <c r="AL26" s="1373" t="n"/>
      <c r="AM26" s="1374" t="n"/>
      <c r="AN26" s="1373" t="n"/>
      <c r="AO26" s="1373" t="n"/>
      <c r="AP26" s="11602" t="n"/>
      <c r="AQ26" s="11602" t="n"/>
      <c r="AR26" s="11602" t="n"/>
      <c r="AS26" s="11602" t="n"/>
      <c r="AT26" s="11602" t="n"/>
      <c r="AU26" s="11602" t="n"/>
      <c r="AV26" s="11880" t="n"/>
    </row>
    <row r="27" ht="15.75" customFormat="1" customHeight="1" s="658">
      <c r="A27" s="2013" t="n"/>
      <c r="B27" s="8650" t="n"/>
      <c r="C27" s="7861" t="n">
        <v>9</v>
      </c>
      <c r="D27" s="7772" t="inlineStr">
        <is>
          <t>Casualty losses (see instructions)</t>
        </is>
      </c>
      <c r="E27" s="8650" t="n"/>
      <c r="F27" s="8650" t="n"/>
      <c r="G27" s="8650" t="n"/>
      <c r="H27" s="8650" t="n"/>
      <c r="I27" s="8650" t="n"/>
      <c r="J27" s="8650" t="n"/>
      <c r="K27" s="8650" t="n"/>
      <c r="L27" s="8650" t="n"/>
      <c r="M27" s="8650" t="n"/>
      <c r="N27" s="8650" t="n"/>
      <c r="O27" s="8650" t="n"/>
      <c r="P27" s="1401" t="inlineStr">
        <is>
          <t xml:space="preserve">.   .   .   .   .   .  </t>
        </is>
      </c>
      <c r="Q27" s="2926" t="n">
        <v>9</v>
      </c>
      <c r="R27" s="11092" t="n"/>
      <c r="S27" s="8007" t="n"/>
      <c r="T27" s="8007" t="n"/>
      <c r="U27" s="8007" t="n"/>
      <c r="V27" s="8007" t="n"/>
      <c r="W27" s="8008" t="n"/>
      <c r="X27" s="11092" t="n"/>
      <c r="Y27" s="8007" t="n"/>
      <c r="Z27" s="8007" t="n"/>
      <c r="AA27" s="8007" t="n"/>
      <c r="AB27" s="8007" t="n"/>
      <c r="AC27" s="8008" t="n"/>
      <c r="AD27" s="2924" t="n"/>
      <c r="AE27" s="11602" t="n"/>
      <c r="AF27" s="11602" t="n"/>
      <c r="AG27" s="11602" t="n"/>
      <c r="AH27" s="11602" t="n"/>
      <c r="AI27" s="11602" t="n"/>
      <c r="AJ27" s="11602" t="n"/>
      <c r="AK27" s="2013" t="n"/>
      <c r="AL27" s="712" t="n"/>
      <c r="AM27" s="6720" t="inlineStr">
        <is>
          <t>Override</t>
        </is>
      </c>
      <c r="AN27" s="11602" t="n"/>
      <c r="AO27" s="11602" t="n"/>
      <c r="AP27" s="3541" t="inlineStr">
        <is>
          <t>NOTE:  Use this worksheet only if the total of your attributable state and</t>
        </is>
      </c>
      <c r="AQ27" s="1371" t="n"/>
      <c r="AR27" s="1371" t="n"/>
      <c r="AS27" s="1371" t="n"/>
      <c r="AT27" s="1372" t="n"/>
      <c r="AU27" s="6996" t="n"/>
      <c r="AV27" s="11880" t="n"/>
    </row>
    <row r="28" ht="15.75" customFormat="1" customHeight="1" s="658">
      <c r="A28" s="2013" t="n"/>
      <c r="B28" s="8650" t="n"/>
      <c r="C28" s="7861" t="n">
        <v>10</v>
      </c>
      <c r="D28" s="7772" t="inlineStr">
        <is>
          <t>Deductible mortgage interest (see instructions)</t>
        </is>
      </c>
      <c r="E28" s="8650" t="n"/>
      <c r="F28" s="8650" t="n"/>
      <c r="G28" s="8650" t="n"/>
      <c r="H28" s="8650" t="n"/>
      <c r="I28" s="8650" t="n"/>
      <c r="J28" s="8650" t="n"/>
      <c r="K28" s="8650" t="n"/>
      <c r="L28" s="8650" t="n"/>
      <c r="M28" s="8650" t="n"/>
      <c r="N28" s="8650" t="n"/>
      <c r="O28" s="8650" t="n"/>
      <c r="P28" s="1401" t="inlineStr">
        <is>
          <t xml:space="preserve"> .  </t>
        </is>
      </c>
      <c r="Q28" s="2895" t="n">
        <v>10</v>
      </c>
      <c r="R28" s="11092" t="n"/>
      <c r="S28" s="8007" t="n"/>
      <c r="T28" s="8007" t="n"/>
      <c r="U28" s="8007" t="n"/>
      <c r="V28" s="8007" t="n"/>
      <c r="W28" s="8008" t="n"/>
      <c r="X28" s="11092" t="n"/>
      <c r="Y28" s="8007" t="n"/>
      <c r="Z28" s="8007" t="n"/>
      <c r="AA28" s="8007" t="n"/>
      <c r="AB28" s="8007" t="n"/>
      <c r="AC28" s="8008" t="n"/>
      <c r="AD28" s="2924" t="n"/>
      <c r="AE28" s="11602" t="n"/>
      <c r="AF28" s="11602" t="n"/>
      <c r="AG28" s="11602" t="n"/>
      <c r="AH28" s="11602" t="n"/>
      <c r="AI28" s="11602" t="n"/>
      <c r="AJ28" s="11602" t="n"/>
      <c r="AK28" s="2013" t="n"/>
      <c r="AL28" s="712" t="n"/>
      <c r="AM28" s="11602" t="n"/>
      <c r="AN28" s="11602" t="n"/>
      <c r="AO28" s="11602" t="n"/>
      <c r="AP28" s="566">
        <f>"  local taxes are more than "&amp;TEXT(AM45,"$0,000")&amp;" ("&amp;TEXT(AM46,"$0,000")&amp;" if married filing separately)."</f>
        <v/>
      </c>
      <c r="AQ28" s="344" t="n"/>
      <c r="AR28" s="11602" t="n"/>
      <c r="AS28" s="11602" t="n"/>
      <c r="AT28" s="409" t="n"/>
      <c r="AU28" s="1367" t="n"/>
      <c r="AV28" s="11880" t="n"/>
    </row>
    <row r="29" ht="15.75" customFormat="1" customHeight="1" s="658">
      <c r="A29" s="2013" t="n"/>
      <c r="B29" s="8650" t="n"/>
      <c r="C29" s="7861" t="n">
        <v>11</v>
      </c>
      <c r="D29" s="7772" t="inlineStr">
        <is>
          <t>Real estate taxes (see instructions)</t>
        </is>
      </c>
      <c r="E29" s="8650" t="n"/>
      <c r="F29" s="8650" t="n"/>
      <c r="G29" s="8650" t="n"/>
      <c r="H29" s="8650" t="n"/>
      <c r="I29" s="8650" t="n"/>
      <c r="J29" s="8650" t="n"/>
      <c r="K29" s="8650" t="n"/>
      <c r="L29" s="8650" t="n"/>
      <c r="M29" s="8650" t="n"/>
      <c r="N29" s="8650" t="n"/>
      <c r="O29" s="8650" t="n"/>
      <c r="P29" s="1401" t="inlineStr">
        <is>
          <t xml:space="preserve">.   .   .   .   .  </t>
        </is>
      </c>
      <c r="Q29" s="2895" t="n">
        <v>11</v>
      </c>
      <c r="R29" s="11090">
        <f>IF(AM29&lt;&gt;"",ROUND(AM29,0),AS51)</f>
        <v/>
      </c>
      <c r="S29" s="8412" t="n"/>
      <c r="T29" s="8412" t="n"/>
      <c r="U29" s="8412" t="n"/>
      <c r="V29" s="8412" t="n"/>
      <c r="W29" s="11734" t="n"/>
      <c r="X29" s="11092" t="n"/>
      <c r="Y29" s="8007" t="n"/>
      <c r="Z29" s="8007" t="n"/>
      <c r="AA29" s="8007" t="n"/>
      <c r="AB29" s="8007" t="n"/>
      <c r="AC29" s="8008" t="n"/>
      <c r="AD29" s="2924" t="n"/>
      <c r="AE29" s="11122">
        <f>IF(R29="",0,R29)</f>
        <v/>
      </c>
      <c r="AH29" s="11602" t="n"/>
      <c r="AI29" s="11602" t="n"/>
      <c r="AJ29" s="11602" t="n"/>
      <c r="AK29" s="2013" t="n"/>
      <c r="AL29" s="712" t="n"/>
      <c r="AM29" s="1374" t="n"/>
      <c r="AN29" s="11602" t="n"/>
      <c r="AO29" s="11602" t="n"/>
      <c r="AP29" s="566" t="n"/>
      <c r="AQ29" s="344" t="n"/>
      <c r="AR29" s="11602" t="n"/>
      <c r="AS29" s="11602" t="n"/>
      <c r="AT29" s="409" t="n"/>
      <c r="AU29" s="11602" t="n"/>
      <c r="AV29" s="11880" t="n"/>
    </row>
    <row r="30" ht="15.75" customFormat="1" customHeight="1" s="658">
      <c r="A30" s="2013" t="n"/>
      <c r="B30" s="8650" t="n"/>
      <c r="C30" s="7861" t="n">
        <v>12</v>
      </c>
      <c r="D30" s="7772" t="inlineStr">
        <is>
          <t>Add lines 9, 10, and 11</t>
        </is>
      </c>
      <c r="E30" s="8650" t="n"/>
      <c r="F30" s="8650" t="n"/>
      <c r="G30" s="8650" t="n"/>
      <c r="H30" s="8650" t="n"/>
      <c r="I30" s="8650" t="n"/>
      <c r="J30" s="8650" t="n"/>
      <c r="K30" s="8650" t="n"/>
      <c r="L30" s="8650" t="n"/>
      <c r="M30" s="8650" t="n"/>
      <c r="N30" s="8650" t="n"/>
      <c r="O30" s="8650" t="n"/>
      <c r="P30" s="1401" t="inlineStr">
        <is>
          <t xml:space="preserve"> .   .   .   .   .   .   .   .   .   .   .  </t>
        </is>
      </c>
      <c r="Q30" s="2895" t="n">
        <v>12</v>
      </c>
      <c r="R30" s="11090">
        <f>IF(OR(NOT($AM$19),AND(R27="",R28="",R29="")),"",SUM(ROUND(R27,0),ROUND(R28,0),AE29))</f>
        <v/>
      </c>
      <c r="S30" s="8412" t="n"/>
      <c r="T30" s="8412" t="n"/>
      <c r="U30" s="8412" t="n"/>
      <c r="V30" s="8412" t="n"/>
      <c r="W30" s="11734" t="n"/>
      <c r="X30" s="11090">
        <f>IF(OR(NOT($AM$19),AND(X27="",X28="",X29="")),"",SUM(ROUND(X27,0),ROUND(X28,0),ROUND(X29,0)))</f>
        <v/>
      </c>
      <c r="Y30" s="8412" t="n"/>
      <c r="Z30" s="8412" t="n"/>
      <c r="AA30" s="8412" t="n"/>
      <c r="AB30" s="8412" t="n"/>
      <c r="AC30" s="11734" t="n"/>
      <c r="AD30" s="2924" t="n"/>
      <c r="AE30" s="11602" t="n"/>
      <c r="AF30" s="11602" t="n"/>
      <c r="AG30" s="11602" t="n"/>
      <c r="AH30" s="11602" t="n"/>
      <c r="AI30" s="11602" t="n"/>
      <c r="AJ30" s="11602" t="n"/>
      <c r="AK30" s="2013" t="n"/>
      <c r="AL30" s="712" t="n"/>
      <c r="AM30" s="6720" t="inlineStr">
        <is>
          <t>Override</t>
        </is>
      </c>
      <c r="AN30" s="11602" t="n"/>
      <c r="AO30" s="11602" t="n"/>
      <c r="AP30" s="408" t="n"/>
      <c r="AQ30" s="514" t="inlineStr">
        <is>
          <t>Line 11 Worksheet</t>
        </is>
      </c>
      <c r="AR30" s="11602" t="n"/>
      <c r="AS30" s="11602" t="n"/>
      <c r="AT30" s="409" t="n"/>
      <c r="AU30" s="11602" t="n"/>
      <c r="AV30" s="11880" t="n"/>
    </row>
    <row r="31" ht="15.75" customFormat="1" customHeight="1" s="658">
      <c r="A31" s="2013" t="n"/>
      <c r="B31" s="8650" t="n"/>
      <c r="C31" s="7861" t="n">
        <v>13</v>
      </c>
      <c r="D31" s="7772" t="inlineStr">
        <is>
          <t>Multiply line 12, column (b), by line 7</t>
        </is>
      </c>
      <c r="E31" s="8650" t="n"/>
      <c r="F31" s="8650" t="n"/>
      <c r="G31" s="8650" t="n"/>
      <c r="H31" s="8650" t="n"/>
      <c r="I31" s="8650" t="n"/>
      <c r="J31" s="8650" t="n"/>
      <c r="K31" s="8650" t="n"/>
      <c r="L31" s="8650" t="n"/>
      <c r="M31" s="8650" t="n"/>
      <c r="N31" s="8650" t="n"/>
      <c r="O31" s="8650" t="n"/>
      <c r="P31" s="8650" t="n"/>
      <c r="Q31" s="8650" t="n"/>
      <c r="R31" s="8650" t="n"/>
      <c r="S31" s="8650" t="n"/>
      <c r="T31" s="8650" t="n"/>
      <c r="U31" s="8650" t="n"/>
      <c r="V31" s="1401" t="inlineStr">
        <is>
          <t xml:space="preserve">.   .   .   .   .   .   .   .   .   .   .   .   .   .   .   .  </t>
        </is>
      </c>
      <c r="W31" s="2895" t="n">
        <v>13</v>
      </c>
      <c r="X31" s="11090">
        <f>IF(OR(NOT($AM$19),X30=""),"",ROUND(X30*$AE$22/100,0))</f>
        <v/>
      </c>
      <c r="Y31" s="8412" t="n"/>
      <c r="Z31" s="8412" t="n"/>
      <c r="AA31" s="8412" t="n"/>
      <c r="AB31" s="8412" t="n"/>
      <c r="AC31" s="11734" t="n"/>
      <c r="AD31" s="2924" t="n"/>
      <c r="AE31" s="11602" t="n"/>
      <c r="AF31" s="11602" t="n"/>
      <c r="AG31" s="11602" t="n"/>
      <c r="AH31" s="11602" t="n"/>
      <c r="AI31" s="11602" t="n"/>
      <c r="AJ31" s="11602" t="n"/>
      <c r="AK31" s="2013" t="n"/>
      <c r="AL31" s="712" t="n"/>
      <c r="AM31" s="11602" t="n"/>
      <c r="AN31" s="11602" t="n"/>
      <c r="AO31" s="11602" t="n"/>
      <c r="AP31" s="9748" t="inlineStr">
        <is>
          <t>1.</t>
        </is>
      </c>
      <c r="AQ31" s="344" t="inlineStr">
        <is>
          <t>Enter your state and local income taxes</t>
        </is>
      </c>
      <c r="AR31" s="11602" t="n"/>
      <c r="AS31" s="11602" t="n"/>
      <c r="AT31" s="409" t="n"/>
      <c r="AU31" s="11602" t="n"/>
      <c r="AV31" s="11880" t="n"/>
    </row>
    <row r="32" ht="14.25" customFormat="1" customHeight="1" s="658">
      <c r="A32" s="2013" t="n"/>
      <c r="B32" s="11602" t="n"/>
      <c r="C32" s="7861" t="n">
        <v>14</v>
      </c>
      <c r="D32" s="7772" t="inlineStr">
        <is>
          <t>Add line 12, column (a), and line 13</t>
        </is>
      </c>
      <c r="E32" s="11602" t="n"/>
      <c r="F32" s="11602" t="n"/>
      <c r="G32" s="11602" t="n"/>
      <c r="H32" s="11602" t="n"/>
      <c r="I32" s="11602" t="n"/>
      <c r="J32" s="11602" t="n"/>
      <c r="K32" s="11602" t="n"/>
      <c r="L32" s="11602" t="n"/>
      <c r="M32" s="11602" t="n"/>
      <c r="N32" s="11602" t="n"/>
      <c r="O32" s="11602" t="n"/>
      <c r="P32" s="11602" t="n"/>
      <c r="Q32" s="11602" t="n"/>
      <c r="R32" s="11602" t="n"/>
      <c r="S32" s="11602" t="n"/>
      <c r="T32" s="11602" t="n"/>
      <c r="U32" s="11602" t="n"/>
      <c r="V32" s="11602" t="n"/>
      <c r="W32" s="11602" t="n"/>
      <c r="X32" s="11602" t="n"/>
      <c r="Y32" s="11602" t="n"/>
      <c r="Z32" s="11602" t="n"/>
      <c r="AA32" s="11602" t="n"/>
      <c r="AB32" s="11602" t="n"/>
      <c r="AC32" s="1401" t="inlineStr">
        <is>
          <t xml:space="preserve">.   .   .   .   .   .   .   .   .   .   .   .   .   .   .   .   .   .   .   .   .   .   .   .   .   .   .   .   . </t>
        </is>
      </c>
      <c r="AD32" s="2895" t="n">
        <v>14</v>
      </c>
      <c r="AE32" s="10805">
        <f>IF(OR(NOT($AM$19),AND(R30="",X31="")),"",SUM(R30,X31))</f>
        <v/>
      </c>
      <c r="AF32" s="7637" t="n"/>
      <c r="AG32" s="7637" t="n"/>
      <c r="AH32" s="7637" t="n"/>
      <c r="AI32" s="7637" t="n"/>
      <c r="AJ32" s="7637" t="n"/>
      <c r="AK32" s="2013" t="n"/>
      <c r="AL32" s="712" t="n"/>
      <c r="AM32" s="11602" t="n"/>
      <c r="AN32" s="11602" t="n"/>
      <c r="AO32" s="11602" t="n"/>
      <c r="AP32" s="6721" t="n"/>
      <c r="AQ32" s="344" t="inlineStr">
        <is>
          <t xml:space="preserve"> (or, if you elect on Schedule A, your state</t>
        </is>
      </c>
      <c r="AR32" s="11602" t="n"/>
      <c r="AS32" s="11602" t="n"/>
      <c r="AT32" s="409" t="n"/>
      <c r="AU32" s="11602" t="n"/>
      <c r="AV32" s="11880" t="n"/>
    </row>
    <row r="33" ht="14.25" customFormat="1" customHeight="1" s="658">
      <c r="A33" s="2013" t="n"/>
      <c r="B33" s="11602" t="n"/>
      <c r="C33" s="7861" t="n">
        <v>15</v>
      </c>
      <c r="D33" s="7772" t="inlineStr">
        <is>
          <t>Subtract line 14 from line 8. If zero or less, enter -0-</t>
        </is>
      </c>
      <c r="E33" s="11602" t="n"/>
      <c r="F33" s="11602" t="n"/>
      <c r="G33" s="11602" t="n"/>
      <c r="H33" s="11602" t="n"/>
      <c r="I33" s="11602" t="n"/>
      <c r="J33" s="11602" t="n"/>
      <c r="K33" s="11602" t="n"/>
      <c r="L33" s="11602" t="n"/>
      <c r="M33" s="11602" t="n"/>
      <c r="N33" s="11602" t="n"/>
      <c r="O33" s="11602" t="n"/>
      <c r="P33" s="11602" t="n"/>
      <c r="Q33" s="11602" t="n"/>
      <c r="R33" s="11602" t="n"/>
      <c r="S33" s="11602" t="n"/>
      <c r="T33" s="11602" t="n"/>
      <c r="U33" s="11602" t="n"/>
      <c r="V33" s="11602" t="n"/>
      <c r="W33" s="11602" t="n"/>
      <c r="X33" s="11602" t="n"/>
      <c r="Y33" s="11602" t="n"/>
      <c r="Z33" s="11602" t="n"/>
      <c r="AA33" s="11602" t="n"/>
      <c r="AB33" s="11602" t="n"/>
      <c r="AC33" s="1401" t="inlineStr">
        <is>
          <t xml:space="preserve">.   .   .   .   .   .   .   .   .   .   .   .   .   .   .   .   .   .   .   .   . </t>
        </is>
      </c>
      <c r="AD33" s="2895" t="n">
        <v>15</v>
      </c>
      <c r="AE33" s="10805">
        <f>IF(OR(NOT($AM$19),AND(AE25="",AE32="")),"",IF(AE32="",MAX(0,AE25),MAX(0,SUM(AE25,-AE32))))</f>
        <v/>
      </c>
      <c r="AF33" s="7637" t="n"/>
      <c r="AG33" s="7637" t="n"/>
      <c r="AH33" s="7637" t="n"/>
      <c r="AI33" s="7637" t="n"/>
      <c r="AJ33" s="7637" t="n"/>
      <c r="AK33" s="2013" t="n"/>
      <c r="AL33" s="712" t="n"/>
      <c r="AM33" s="11602" t="n"/>
      <c r="AN33" s="11602" t="n"/>
      <c r="AO33" s="11602" t="n"/>
      <c r="AP33" s="6721" t="n"/>
      <c r="AQ33" s="344" t="inlineStr">
        <is>
          <t>and local general sales taxes) that are</t>
        </is>
      </c>
      <c r="AR33" s="11602" t="n"/>
      <c r="AS33" s="11602" t="n"/>
      <c r="AT33" s="409" t="n"/>
      <c r="AU33" s="11602" t="n"/>
      <c r="AV33" s="11880" t="n"/>
    </row>
    <row r="34" ht="15.75" customFormat="1" customHeight="1" s="658">
      <c r="A34" s="2013" t="n"/>
      <c r="B34" s="8650" t="n"/>
      <c r="C34" s="7861" t="n">
        <v>16</v>
      </c>
      <c r="D34" s="7772" t="inlineStr">
        <is>
          <t>Excess mortgage interest (see instructions)</t>
        </is>
      </c>
      <c r="E34" s="8650" t="n"/>
      <c r="F34" s="8650" t="n"/>
      <c r="G34" s="8650" t="n"/>
      <c r="H34" s="8650" t="n"/>
      <c r="I34" s="8650" t="n"/>
      <c r="J34" s="8650" t="n"/>
      <c r="K34" s="8650" t="n"/>
      <c r="L34" s="8650" t="n"/>
      <c r="M34" s="8650" t="n"/>
      <c r="N34" s="8650" t="n"/>
      <c r="O34" s="8650" t="n"/>
      <c r="P34" s="1401" t="inlineStr">
        <is>
          <t xml:space="preserve"> .   .  </t>
        </is>
      </c>
      <c r="Q34" s="2926" t="n">
        <v>16</v>
      </c>
      <c r="R34" s="11092" t="n"/>
      <c r="S34" s="8007" t="n"/>
      <c r="T34" s="8007" t="n"/>
      <c r="U34" s="8007" t="n"/>
      <c r="V34" s="8007" t="n"/>
      <c r="W34" s="8008" t="n"/>
      <c r="X34" s="11092" t="n"/>
      <c r="Y34" s="8007" t="n"/>
      <c r="Z34" s="8007" t="n"/>
      <c r="AA34" s="8007" t="n"/>
      <c r="AB34" s="8007" t="n"/>
      <c r="AC34" s="8008" t="n"/>
      <c r="AD34" s="2924" t="n"/>
      <c r="AE34" s="11602" t="n"/>
      <c r="AF34" s="11602" t="n"/>
      <c r="AG34" s="11602" t="n"/>
      <c r="AH34" s="11602" t="n"/>
      <c r="AI34" s="11602" t="n"/>
      <c r="AJ34" s="11602" t="n"/>
      <c r="AK34" s="2013" t="n"/>
      <c r="AL34" s="712" t="n"/>
      <c r="AM34" s="11602" t="n"/>
      <c r="AN34" s="11602" t="n"/>
      <c r="AO34" s="11602" t="n"/>
      <c r="AP34" s="6721" t="n"/>
      <c r="AQ34" s="344" t="inlineStr">
        <is>
          <t>personal expenses</t>
        </is>
      </c>
      <c r="AR34" s="11602" t="n"/>
      <c r="AS34" s="7843" t="n"/>
      <c r="AT34" s="6722">
        <f>IF(AS34&lt;&gt;"",ROUND(AS34,0),0)</f>
        <v/>
      </c>
      <c r="AU34" s="11602" t="n"/>
      <c r="AV34" s="11880" t="n"/>
    </row>
    <row r="35" ht="15.75" customFormat="1" customHeight="1" s="658">
      <c r="A35" s="2013" t="n"/>
      <c r="B35" s="8650" t="n"/>
      <c r="C35" s="7861" t="n">
        <v>17</v>
      </c>
      <c r="D35" s="7772" t="inlineStr">
        <is>
          <t>Excess real estate taxes (see instructions)</t>
        </is>
      </c>
      <c r="E35" s="8650" t="n"/>
      <c r="F35" s="8650" t="n"/>
      <c r="G35" s="8650" t="n"/>
      <c r="H35" s="8650" t="n"/>
      <c r="I35" s="8650" t="n"/>
      <c r="J35" s="8650" t="n"/>
      <c r="K35" s="8650" t="n"/>
      <c r="L35" s="8650" t="n"/>
      <c r="M35" s="8650" t="n"/>
      <c r="N35" s="8650" t="n"/>
      <c r="O35" s="8650" t="n"/>
      <c r="P35" s="1401" t="inlineStr">
        <is>
          <t xml:space="preserve"> .   .   .  </t>
        </is>
      </c>
      <c r="Q35" s="2895" t="n">
        <v>17</v>
      </c>
      <c r="R35" s="11092">
        <f>IF(AT43,AS53,0)</f>
        <v/>
      </c>
      <c r="S35" s="8007" t="n"/>
      <c r="T35" s="8007" t="n"/>
      <c r="U35" s="8007" t="n"/>
      <c r="V35" s="8007" t="n"/>
      <c r="W35" s="8008" t="n"/>
      <c r="X35" s="11092" t="n"/>
      <c r="Y35" s="8007" t="n"/>
      <c r="Z35" s="8007" t="n"/>
      <c r="AA35" s="8007" t="n"/>
      <c r="AB35" s="8007" t="n"/>
      <c r="AC35" s="8008" t="n"/>
      <c r="AD35" s="2924" t="n"/>
      <c r="AE35" s="11602" t="n"/>
      <c r="AF35" s="11602" t="n"/>
      <c r="AG35" s="11602" t="n"/>
      <c r="AH35" s="11602" t="n"/>
      <c r="AI35" s="11602" t="n"/>
      <c r="AJ35" s="11602" t="n"/>
      <c r="AK35" s="2013" t="n"/>
      <c r="AL35" s="712" t="n"/>
      <c r="AM35" s="11602" t="n"/>
      <c r="AN35" s="11602" t="n"/>
      <c r="AO35" s="11602" t="n"/>
      <c r="AP35" s="9748" t="inlineStr">
        <is>
          <t>2.</t>
        </is>
      </c>
      <c r="AQ35" s="344" t="inlineStr">
        <is>
          <t>Enter all the state and local real estate</t>
        </is>
      </c>
      <c r="AR35" s="11602" t="n"/>
      <c r="AS35" s="11602" t="n"/>
      <c r="AT35" s="5943" t="n"/>
      <c r="AU35" s="11602" t="n"/>
      <c r="AV35" s="11880" t="n"/>
    </row>
    <row r="36" ht="15.75" customFormat="1" customHeight="1" s="658">
      <c r="A36" s="2013" t="n"/>
      <c r="B36" s="8650" t="n"/>
      <c r="C36" s="7861" t="n">
        <v>18</v>
      </c>
      <c r="D36" s="7772" t="inlineStr">
        <is>
          <t>Insurance</t>
        </is>
      </c>
      <c r="E36" s="8650" t="n"/>
      <c r="F36" s="8650" t="n"/>
      <c r="G36" s="8650" t="n"/>
      <c r="H36" s="8650" t="n"/>
      <c r="I36" s="8650" t="n"/>
      <c r="J36" s="8650" t="n"/>
      <c r="K36" s="8650" t="n"/>
      <c r="L36" s="8650" t="n"/>
      <c r="M36" s="8650" t="n"/>
      <c r="N36" s="8650" t="n"/>
      <c r="O36" s="8650" t="n"/>
      <c r="P36" s="1401" t="inlineStr">
        <is>
          <t xml:space="preserve">.   .   .   .   .   .   .   .   .   .   .   .   .   .   .   .   .   .  </t>
        </is>
      </c>
      <c r="Q36" s="2895" t="n">
        <v>18</v>
      </c>
      <c r="R36" s="11092" t="n"/>
      <c r="S36" s="8007" t="n"/>
      <c r="T36" s="8007" t="n"/>
      <c r="U36" s="8007" t="n"/>
      <c r="V36" s="8007" t="n"/>
      <c r="W36" s="8008" t="n"/>
      <c r="X36" s="11092" t="n"/>
      <c r="Y36" s="8007" t="n"/>
      <c r="Z36" s="8007" t="n"/>
      <c r="AA36" s="8007" t="n"/>
      <c r="AB36" s="8007" t="n"/>
      <c r="AC36" s="8008" t="n"/>
      <c r="AD36" s="2924" t="n"/>
      <c r="AE36" s="11602" t="n"/>
      <c r="AF36" s="11602" t="n"/>
      <c r="AG36" s="11602" t="n"/>
      <c r="AH36" s="11602" t="n"/>
      <c r="AI36" s="11602" t="n"/>
      <c r="AJ36" s="11602" t="n"/>
      <c r="AK36" s="2013" t="n"/>
      <c r="AL36" s="712" t="n"/>
      <c r="AM36" s="11602" t="n"/>
      <c r="AN36" s="11602" t="n"/>
      <c r="AO36" s="11602" t="n"/>
      <c r="AP36" s="6721" t="n"/>
      <c r="AQ36" s="344" t="inlineStr">
        <is>
          <t>taxes you paid on the home in which you</t>
        </is>
      </c>
      <c r="AR36" s="11602" t="n"/>
      <c r="AS36" s="11602" t="n"/>
      <c r="AT36" s="5943" t="n"/>
      <c r="AU36" s="11602" t="n"/>
      <c r="AV36" s="11880" t="n"/>
    </row>
    <row r="37" ht="15.75" customFormat="1" customHeight="1" s="658">
      <c r="A37" s="2013" t="n"/>
      <c r="B37" s="8650" t="n"/>
      <c r="C37" s="7861" t="n">
        <v>19</v>
      </c>
      <c r="D37" s="7772" t="inlineStr">
        <is>
          <t>Rent</t>
        </is>
      </c>
      <c r="E37" s="8650" t="n"/>
      <c r="F37" s="8650" t="n"/>
      <c r="G37" s="8650" t="n"/>
      <c r="H37" s="8650" t="n"/>
      <c r="I37" s="8650" t="n"/>
      <c r="J37" s="8650" t="n"/>
      <c r="K37" s="8650" t="n"/>
      <c r="L37" s="8650" t="n"/>
      <c r="M37" s="8650" t="n"/>
      <c r="N37" s="8650" t="n"/>
      <c r="O37" s="8650" t="n"/>
      <c r="P37" s="1401" t="inlineStr">
        <is>
          <t xml:space="preserve">.   .   .   .   .   .   .   .   .   .   .   .   .   .   .   .   .   .   .   .  </t>
        </is>
      </c>
      <c r="Q37" s="2895" t="n">
        <v>19</v>
      </c>
      <c r="R37" s="11092" t="n"/>
      <c r="S37" s="8007" t="n"/>
      <c r="T37" s="8007" t="n"/>
      <c r="U37" s="8007" t="n"/>
      <c r="V37" s="8007" t="n"/>
      <c r="W37" s="8008" t="n"/>
      <c r="X37" s="11092" t="n"/>
      <c r="Y37" s="8007" t="n"/>
      <c r="Z37" s="8007" t="n"/>
      <c r="AA37" s="8007" t="n"/>
      <c r="AB37" s="8007" t="n"/>
      <c r="AC37" s="8008" t="n"/>
      <c r="AD37" s="2924" t="n"/>
      <c r="AE37" s="11602" t="n"/>
      <c r="AF37" s="11602" t="n"/>
      <c r="AG37" s="11602" t="n"/>
      <c r="AH37" s="11602" t="n"/>
      <c r="AI37" s="11602" t="n"/>
      <c r="AJ37" s="11602" t="n"/>
      <c r="AK37" s="2013" t="n"/>
      <c r="AL37" s="712" t="n"/>
      <c r="AM37" s="11602" t="n"/>
      <c r="AN37" s="11602" t="n"/>
      <c r="AO37" s="11602" t="n"/>
      <c r="AP37" s="6721" t="n"/>
      <c r="AQ37" s="344" t="inlineStr">
        <is>
          <t>conducted business</t>
        </is>
      </c>
      <c r="AR37" s="11602" t="n"/>
      <c r="AS37" s="7843" t="n"/>
      <c r="AT37" s="6722">
        <f>IF(AS37&lt;&gt;"",ROUND(AS37,0),0)</f>
        <v/>
      </c>
      <c r="AU37" s="11602" t="n"/>
      <c r="AV37" s="11880" t="n"/>
    </row>
    <row r="38" ht="15.75" customFormat="1" customHeight="1" s="658">
      <c r="A38" s="2013" t="n"/>
      <c r="B38" s="8650" t="n"/>
      <c r="C38" s="7861" t="n">
        <v>20</v>
      </c>
      <c r="D38" s="7772" t="inlineStr">
        <is>
          <t>Repairs and maintenance</t>
        </is>
      </c>
      <c r="E38" s="8650" t="n"/>
      <c r="F38" s="8650" t="n"/>
      <c r="G38" s="8650" t="n"/>
      <c r="H38" s="8650" t="n"/>
      <c r="I38" s="8650" t="n"/>
      <c r="J38" s="8650" t="n"/>
      <c r="K38" s="8650" t="n"/>
      <c r="L38" s="8650" t="n"/>
      <c r="M38" s="8650" t="n"/>
      <c r="N38" s="8650" t="n"/>
      <c r="O38" s="8650" t="n"/>
      <c r="P38" s="1401" t="inlineStr">
        <is>
          <t xml:space="preserve">.   .   .   .   .   .   .   .   .   .   .  </t>
        </is>
      </c>
      <c r="Q38" s="2926" t="n">
        <v>20</v>
      </c>
      <c r="R38" s="11092" t="n"/>
      <c r="S38" s="8007" t="n"/>
      <c r="T38" s="8007" t="n"/>
      <c r="U38" s="8007" t="n"/>
      <c r="V38" s="8007" t="n"/>
      <c r="W38" s="8008" t="n"/>
      <c r="X38" s="11092" t="n"/>
      <c r="Y38" s="8007" t="n"/>
      <c r="Z38" s="8007" t="n"/>
      <c r="AA38" s="8007" t="n"/>
      <c r="AB38" s="8007" t="n"/>
      <c r="AC38" s="8008" t="n"/>
      <c r="AD38" s="2924" t="n"/>
      <c r="AE38" s="11602" t="n"/>
      <c r="AF38" s="11602" t="n"/>
      <c r="AG38" s="11602" t="n"/>
      <c r="AH38" s="11602" t="n"/>
      <c r="AI38" s="11602" t="n"/>
      <c r="AJ38" s="11602" t="n"/>
      <c r="AK38" s="2013" t="n"/>
      <c r="AL38" s="712" t="n"/>
      <c r="AM38" s="11602" t="n"/>
      <c r="AN38" s="11602" t="n"/>
      <c r="AO38" s="11602" t="n"/>
      <c r="AP38" s="9748" t="inlineStr">
        <is>
          <t>3.</t>
        </is>
      </c>
      <c r="AQ38" s="344" t="inlineStr">
        <is>
          <t>Enter any other state and local real estate</t>
        </is>
      </c>
      <c r="AR38" s="11602" t="n"/>
      <c r="AS38" s="11602" t="n"/>
      <c r="AT38" s="5943" t="n"/>
      <c r="AU38" s="11602" t="n"/>
      <c r="AV38" s="11880" t="n"/>
    </row>
    <row r="39" ht="15.75" customFormat="1" customHeight="1" s="658">
      <c r="A39" s="2013" t="n"/>
      <c r="B39" s="8650" t="n"/>
      <c r="C39" s="7861" t="n">
        <v>21</v>
      </c>
      <c r="D39" s="7772" t="inlineStr">
        <is>
          <t>Utilities</t>
        </is>
      </c>
      <c r="E39" s="8650" t="n"/>
      <c r="F39" s="8650" t="n"/>
      <c r="G39" s="8650" t="n"/>
      <c r="H39" s="8650" t="n"/>
      <c r="I39" s="8650" t="n"/>
      <c r="J39" s="8650" t="n"/>
      <c r="K39" s="8650" t="n"/>
      <c r="L39" s="8650" t="n"/>
      <c r="M39" s="8650" t="n"/>
      <c r="N39" s="8650" t="n"/>
      <c r="O39" s="8650" t="n"/>
      <c r="P39" s="1401" t="inlineStr">
        <is>
          <t xml:space="preserve">.   .   .   .   .   .   .   .   .   .   .   .   .   .   .   .   .   .   .  </t>
        </is>
      </c>
      <c r="Q39" s="2895" t="n">
        <v>21</v>
      </c>
      <c r="R39" s="11092" t="n"/>
      <c r="S39" s="8007" t="n"/>
      <c r="T39" s="8007" t="n"/>
      <c r="U39" s="8007" t="n"/>
      <c r="V39" s="8007" t="n"/>
      <c r="W39" s="8008" t="n"/>
      <c r="X39" s="11092" t="n"/>
      <c r="Y39" s="8007" t="n"/>
      <c r="Z39" s="8007" t="n"/>
      <c r="AA39" s="8007" t="n"/>
      <c r="AB39" s="8007" t="n"/>
      <c r="AC39" s="8008" t="n"/>
      <c r="AD39" s="2924" t="n"/>
      <c r="AE39" s="11602" t="n"/>
      <c r="AF39" s="11602" t="n"/>
      <c r="AG39" s="11602" t="n"/>
      <c r="AH39" s="11602" t="n"/>
      <c r="AI39" s="11602" t="n"/>
      <c r="AJ39" s="11602" t="n"/>
      <c r="AK39" s="2013" t="n"/>
      <c r="AL39" s="712" t="n"/>
      <c r="AM39" s="11602" t="n"/>
      <c r="AN39" s="11602" t="n"/>
      <c r="AO39" s="11602" t="n"/>
      <c r="AP39" s="6721" t="n"/>
      <c r="AQ39" s="344" t="inlineStr">
        <is>
          <t>taxes you paid that are a personal expense</t>
        </is>
      </c>
      <c r="AR39" s="11602" t="n"/>
      <c r="AS39" s="11602" t="n"/>
      <c r="AT39" s="5943" t="n"/>
      <c r="AU39" s="11602" t="n"/>
      <c r="AV39" s="11880" t="n"/>
    </row>
    <row r="40" ht="15.75" customFormat="1" customHeight="1" s="658">
      <c r="A40" s="2013" t="n"/>
      <c r="B40" s="8650" t="n"/>
      <c r="C40" s="7861" t="n">
        <v>22</v>
      </c>
      <c r="D40" s="7772" t="inlineStr">
        <is>
          <t>Other expenses (see instructions)</t>
        </is>
      </c>
      <c r="E40" s="8650" t="n"/>
      <c r="F40" s="8650" t="n"/>
      <c r="G40" s="8650" t="n"/>
      <c r="H40" s="8650" t="n"/>
      <c r="I40" s="8650" t="n"/>
      <c r="J40" s="8650" t="n"/>
      <c r="K40" s="8650" t="n"/>
      <c r="L40" s="8650" t="n"/>
      <c r="M40" s="8650" t="n"/>
      <c r="N40" s="8650" t="n"/>
      <c r="O40" s="8650" t="n"/>
      <c r="P40" s="1401" t="inlineStr">
        <is>
          <t xml:space="preserve">.   .   .   .   .   .   .  </t>
        </is>
      </c>
      <c r="Q40" s="2895" t="n">
        <v>22</v>
      </c>
      <c r="R40" s="11092" t="n"/>
      <c r="S40" s="8007" t="n"/>
      <c r="T40" s="8007" t="n"/>
      <c r="U40" s="8007" t="n"/>
      <c r="V40" s="8007" t="n"/>
      <c r="W40" s="8008" t="n"/>
      <c r="X40" s="11092" t="n"/>
      <c r="Y40" s="8007" t="n"/>
      <c r="Z40" s="8007" t="n"/>
      <c r="AA40" s="8007" t="n"/>
      <c r="AB40" s="8007" t="n"/>
      <c r="AC40" s="8008" t="n"/>
      <c r="AD40" s="2924" t="n"/>
      <c r="AE40" s="11602" t="n"/>
      <c r="AF40" s="11602" t="n"/>
      <c r="AG40" s="11602" t="n"/>
      <c r="AH40" s="11602" t="n"/>
      <c r="AI40" s="11602" t="n"/>
      <c r="AJ40" s="11602" t="n"/>
      <c r="AK40" s="2013" t="n"/>
      <c r="AL40" s="712" t="n"/>
      <c r="AM40" s="11602" t="n"/>
      <c r="AN40" s="11602" t="n"/>
      <c r="AO40" s="11602" t="n"/>
      <c r="AP40" s="6721" t="n"/>
      <c r="AQ40" s="344" t="inlineStr">
        <is>
          <t>and not included in line 2</t>
        </is>
      </c>
      <c r="AR40" s="11602" t="n"/>
      <c r="AS40" s="7843" t="n"/>
      <c r="AT40" s="6722">
        <f>IF(AS40&lt;&gt;"",ROUND(AS40,0),0)</f>
        <v/>
      </c>
      <c r="AU40" s="11602" t="n"/>
      <c r="AV40" s="11880" t="n"/>
    </row>
    <row r="41" ht="15.75" customFormat="1" customHeight="1" s="658">
      <c r="A41" s="2013" t="n"/>
      <c r="B41" s="8650" t="n"/>
      <c r="C41" s="7861" t="n">
        <v>23</v>
      </c>
      <c r="D41" s="7772" t="inlineStr">
        <is>
          <t>Add lines 16 through 22</t>
        </is>
      </c>
      <c r="E41" s="8650" t="n"/>
      <c r="F41" s="8650" t="n"/>
      <c r="G41" s="8650" t="n"/>
      <c r="H41" s="8650" t="n"/>
      <c r="I41" s="8650" t="n"/>
      <c r="J41" s="8650" t="n"/>
      <c r="K41" s="8650" t="n"/>
      <c r="L41" s="8650" t="n"/>
      <c r="M41" s="8650" t="n"/>
      <c r="N41" s="8650" t="n"/>
      <c r="O41" s="8650" t="n"/>
      <c r="P41" s="1401" t="inlineStr">
        <is>
          <t xml:space="preserve">.   .   .   .   .   .   .   .   .   .   .   .  </t>
        </is>
      </c>
      <c r="Q41" s="2895" t="n">
        <v>23</v>
      </c>
      <c r="R41" s="11090">
        <f>IF(OR(NOT($AM$19),AND(R34="",R35="",R36="",R37="",R38="",R39="",R40="")),"",SUM(ROUND(R34,0),ROUND(R35,0),ROUND(R36,0),ROUND(R37,0),ROUND(R38,0),ROUND(R39,0),ROUND(R40,0)))</f>
        <v/>
      </c>
      <c r="S41" s="8412" t="n"/>
      <c r="T41" s="8412" t="n"/>
      <c r="U41" s="8412" t="n"/>
      <c r="V41" s="8412" t="n"/>
      <c r="W41" s="11734" t="n"/>
      <c r="X41" s="11090">
        <f>IF(OR(NOT($AM$19),AND(X34="",X35="",X36="",X37="",X38="",X39="",X40="")),"",SUM(ROUND(X34,0),ROUND(X35,0),ROUND(X36,0),ROUND(X37,0),ROUND(X38,0),ROUND(X39,0),ROUND(X40,0)))</f>
        <v/>
      </c>
      <c r="Y41" s="8412" t="n"/>
      <c r="Z41" s="8412" t="n"/>
      <c r="AA41" s="8412" t="n"/>
      <c r="AB41" s="8412" t="n"/>
      <c r="AC41" s="11734" t="n"/>
      <c r="AD41" s="2924" t="n"/>
      <c r="AE41" s="11602" t="n"/>
      <c r="AF41" s="11602" t="n"/>
      <c r="AG41" s="11602" t="n"/>
      <c r="AH41" s="11602" t="n"/>
      <c r="AI41" s="11602" t="n"/>
      <c r="AJ41" s="11602" t="n"/>
      <c r="AK41" s="2013" t="n"/>
      <c r="AL41" s="712" t="n"/>
      <c r="AM41" s="11602" t="n"/>
      <c r="AN41" s="11602" t="n"/>
      <c r="AO41" s="11602" t="n"/>
      <c r="AP41" s="9748" t="inlineStr">
        <is>
          <t>4.</t>
        </is>
      </c>
      <c r="AQ41" s="344" t="inlineStr">
        <is>
          <t>Enter your state and local personal property</t>
        </is>
      </c>
      <c r="AR41" s="11602" t="n"/>
      <c r="AS41" s="11602" t="n"/>
      <c r="AT41" s="5943" t="n"/>
      <c r="AU41" s="11602" t="n"/>
      <c r="AV41" s="11880" t="n"/>
    </row>
    <row r="42" ht="15.75" customFormat="1" customHeight="1" s="658">
      <c r="A42" s="2013" t="n"/>
      <c r="B42" s="8650" t="n"/>
      <c r="C42" s="7861" t="n">
        <v>24</v>
      </c>
      <c r="D42" s="7772" t="inlineStr">
        <is>
          <t>Multiply line 23, column (b), by line 7</t>
        </is>
      </c>
      <c r="E42" s="8650" t="n"/>
      <c r="F42" s="8650" t="n"/>
      <c r="G42" s="8650" t="n"/>
      <c r="H42" s="8650" t="n"/>
      <c r="I42" s="8650" t="n"/>
      <c r="J42" s="8650" t="n"/>
      <c r="K42" s="8650" t="n"/>
      <c r="L42" s="8650" t="n"/>
      <c r="M42" s="8650" t="n"/>
      <c r="N42" s="8650" t="n"/>
      <c r="O42" s="8650" t="n"/>
      <c r="P42" s="8650" t="n"/>
      <c r="Q42" s="8650" t="n"/>
      <c r="R42" s="8650" t="n"/>
      <c r="S42" s="8650" t="n"/>
      <c r="T42" s="8650" t="n"/>
      <c r="U42" s="8650" t="n"/>
      <c r="V42" s="1401" t="inlineStr">
        <is>
          <t xml:space="preserve">.   .   .   .   .   .   .   .   .   .   .   .   .   .   .   .  </t>
        </is>
      </c>
      <c r="W42" s="2895" t="n">
        <v>24</v>
      </c>
      <c r="X42" s="11090">
        <f>IF(OR(NOT($AM$19),X41=""),"",ROUND(X41*$AE$22/100,0))</f>
        <v/>
      </c>
      <c r="Y42" s="8412" t="n"/>
      <c r="Z42" s="8412" t="n"/>
      <c r="AA42" s="8412" t="n"/>
      <c r="AB42" s="8412" t="n"/>
      <c r="AC42" s="11734" t="n"/>
      <c r="AD42" s="2924" t="n"/>
      <c r="AE42" s="11602" t="n"/>
      <c r="AF42" s="11602" t="n"/>
      <c r="AG42" s="11602" t="n"/>
      <c r="AH42" s="11602" t="n"/>
      <c r="AI42" s="11602" t="n"/>
      <c r="AJ42" s="11602" t="n"/>
      <c r="AK42" s="2013" t="n"/>
      <c r="AL42" s="712" t="n"/>
      <c r="AM42" s="11602" t="n"/>
      <c r="AN42" s="11602" t="n"/>
      <c r="AO42" s="11602" t="n"/>
      <c r="AP42" s="6721" t="n"/>
      <c r="AQ42" s="344" t="inlineStr">
        <is>
          <t>taxes that are a personal expense</t>
        </is>
      </c>
      <c r="AR42" s="11602" t="n"/>
      <c r="AS42" s="7843" t="n"/>
      <c r="AT42" s="6722">
        <f>IF(AS42&lt;&gt;"",ROUND(AS42,0),0)</f>
        <v/>
      </c>
      <c r="AU42" s="11602" t="n"/>
      <c r="AV42" s="11880" t="n"/>
    </row>
    <row r="43" ht="15.75" customFormat="1" customHeight="1" s="658">
      <c r="A43" s="2013" t="n"/>
      <c r="B43" s="8650" t="n"/>
      <c r="C43" s="7861" t="n">
        <v>25</v>
      </c>
      <c r="D43" s="7772" t="inlineStr">
        <is>
          <t>Carryover of prior year operating expenses (see instructions)</t>
        </is>
      </c>
      <c r="E43" s="8650" t="n"/>
      <c r="F43" s="8650" t="n"/>
      <c r="G43" s="8650" t="n"/>
      <c r="H43" s="8650" t="n"/>
      <c r="I43" s="8650" t="n"/>
      <c r="J43" s="8650" t="n"/>
      <c r="K43" s="8650" t="n"/>
      <c r="L43" s="8650" t="n"/>
      <c r="M43" s="8650" t="n"/>
      <c r="N43" s="8650" t="n"/>
      <c r="O43" s="8650" t="n"/>
      <c r="P43" s="8650" t="n"/>
      <c r="Q43" s="8650" t="n"/>
      <c r="R43" s="8650" t="n"/>
      <c r="S43" s="8650" t="n"/>
      <c r="T43" s="8650" t="n"/>
      <c r="U43" s="8650" t="n"/>
      <c r="V43" s="1401" t="inlineStr">
        <is>
          <t xml:space="preserve">.   .   .   .   .  </t>
        </is>
      </c>
      <c r="W43" s="2895" t="n">
        <v>25</v>
      </c>
      <c r="X43" s="11092" t="n"/>
      <c r="Y43" s="8007" t="n"/>
      <c r="Z43" s="8007" t="n"/>
      <c r="AA43" s="8007" t="n"/>
      <c r="AB43" s="8007" t="n"/>
      <c r="AC43" s="8008" t="n"/>
      <c r="AD43" s="2924" t="n"/>
      <c r="AE43" s="11602" t="n"/>
      <c r="AF43" s="11602" t="n"/>
      <c r="AG43" s="11602" t="n"/>
      <c r="AH43" s="11602" t="n"/>
      <c r="AI43" s="11602" t="n"/>
      <c r="AJ43" s="11602" t="n"/>
      <c r="AK43" s="2013" t="n"/>
      <c r="AL43" s="712" t="n"/>
      <c r="AM43" s="11602" t="n"/>
      <c r="AN43" s="11602" t="n"/>
      <c r="AO43" s="11602" t="n"/>
      <c r="AP43" s="9748" t="inlineStr">
        <is>
          <t>5.</t>
        </is>
      </c>
      <c r="AQ43" s="11602" t="inlineStr">
        <is>
          <t>Add lines 1 through 4</t>
        </is>
      </c>
      <c r="AR43" s="11602" t="n"/>
      <c r="AS43" s="7842">
        <f>IF(AT43,AU43,"")</f>
        <v/>
      </c>
      <c r="AT43" s="6722">
        <f>OR(AS34&lt;&gt;"",AS37&lt;&gt;"",AS40&lt;&gt;"",AS42&lt;&gt;"")</f>
        <v/>
      </c>
      <c r="AU43" s="990">
        <f>SUM(AS34,AS37,AS40,AS42)</f>
        <v/>
      </c>
      <c r="AV43" s="11880" t="n"/>
    </row>
    <row r="44" ht="14.25" customFormat="1" customHeight="1" s="658">
      <c r="A44" s="2013" t="n"/>
      <c r="B44" s="11602" t="n"/>
      <c r="C44" s="7861" t="n">
        <v>26</v>
      </c>
      <c r="D44" s="7772" t="inlineStr">
        <is>
          <t>Add line 23, column (a), line 24, and line 25</t>
        </is>
      </c>
      <c r="E44" s="11602" t="n"/>
      <c r="F44" s="11602" t="n"/>
      <c r="G44" s="11602" t="n"/>
      <c r="H44" s="11602" t="n"/>
      <c r="I44" s="11602" t="n"/>
      <c r="J44" s="11602" t="n"/>
      <c r="K44" s="11602" t="n"/>
      <c r="L44" s="11602" t="n"/>
      <c r="M44" s="11602" t="n"/>
      <c r="N44" s="11602" t="n"/>
      <c r="O44" s="11602" t="n"/>
      <c r="P44" s="11602" t="n"/>
      <c r="Q44" s="11602" t="n"/>
      <c r="R44" s="11602" t="n"/>
      <c r="S44" s="11602" t="n"/>
      <c r="T44" s="11602" t="n"/>
      <c r="U44" s="11602" t="n"/>
      <c r="V44" s="11602" t="n"/>
      <c r="W44" s="11602" t="n"/>
      <c r="X44" s="11602" t="n"/>
      <c r="Y44" s="11602" t="n"/>
      <c r="Z44" s="11602" t="n"/>
      <c r="AA44" s="11602" t="n"/>
      <c r="AB44" s="11602" t="n"/>
      <c r="AC44" s="1401" t="inlineStr">
        <is>
          <t xml:space="preserve">.   .   .   .   .   .   .   .   .   .   .   .   .   .   .   .   .   .   .   .   .   .   .   . </t>
        </is>
      </c>
      <c r="AD44" s="2895" t="n">
        <v>26</v>
      </c>
      <c r="AE44" s="10805">
        <f>IF($AM$19,SUM(R41,X42,X43),"")</f>
        <v/>
      </c>
      <c r="AF44" s="7637" t="n"/>
      <c r="AG44" s="7637" t="n"/>
      <c r="AH44" s="7637" t="n"/>
      <c r="AI44" s="7637" t="n"/>
      <c r="AJ44" s="7637" t="n"/>
      <c r="AK44" s="2013" t="n"/>
      <c r="AL44" s="712" t="n"/>
      <c r="AM44" s="11602" t="n"/>
      <c r="AN44" s="11602" t="n"/>
      <c r="AO44" s="11602" t="n"/>
      <c r="AP44" s="9748" t="inlineStr">
        <is>
          <t>6.</t>
        </is>
      </c>
      <c r="AQ44" s="344" t="inlineStr">
        <is>
          <t>Multiply line 2 by the percentage on</t>
        </is>
      </c>
      <c r="AR44" s="11602" t="n"/>
      <c r="AS44" s="4982">
        <f>IF(AND(AT43,AT45),"Must be &gt;" &amp;TEXT(AM47,"$0,000")&amp;".","")</f>
        <v/>
      </c>
      <c r="AT44" s="5870" t="n"/>
      <c r="AU44" s="11602" t="n"/>
      <c r="AV44" s="11880" t="n"/>
    </row>
    <row r="45" ht="14.25" customFormat="1" customHeight="1" s="658">
      <c r="A45" s="2013" t="n"/>
      <c r="B45" s="11602" t="n"/>
      <c r="C45" s="7861" t="n">
        <v>27</v>
      </c>
      <c r="D45" s="7772" t="inlineStr">
        <is>
          <t>Allowable operating expenses. Enter the smaller of line 15 or line 26</t>
        </is>
      </c>
      <c r="E45" s="11602" t="n"/>
      <c r="F45" s="11602" t="n"/>
      <c r="G45" s="11602" t="n"/>
      <c r="H45" s="11602" t="n"/>
      <c r="I45" s="11602" t="n"/>
      <c r="J45" s="11602" t="n"/>
      <c r="K45" s="11602" t="n"/>
      <c r="L45" s="11602" t="n"/>
      <c r="M45" s="11602" t="n"/>
      <c r="N45" s="11602" t="n"/>
      <c r="O45" s="11602" t="n"/>
      <c r="P45" s="11602" t="n"/>
      <c r="Q45" s="11602" t="n"/>
      <c r="R45" s="11602" t="n"/>
      <c r="S45" s="11602" t="n"/>
      <c r="T45" s="11602" t="n"/>
      <c r="U45" s="11602" t="n"/>
      <c r="V45" s="11602" t="n"/>
      <c r="W45" s="11602" t="n"/>
      <c r="X45" s="11602" t="n"/>
      <c r="Y45" s="11602" t="n"/>
      <c r="Z45" s="11602" t="n"/>
      <c r="AA45" s="11602" t="n"/>
      <c r="AB45" s="11602" t="n"/>
      <c r="AC45" s="1401" t="inlineStr">
        <is>
          <t xml:space="preserve">.   .   .   .   .   .   .   .   .   .   .   .   .   . </t>
        </is>
      </c>
      <c r="AD45" s="2895" t="n">
        <v>27</v>
      </c>
      <c r="AE45" s="10805">
        <f>IF($AM$19,MIN(AE33,AE44),"")</f>
        <v/>
      </c>
      <c r="AF45" s="7637" t="n"/>
      <c r="AG45" s="7637" t="n"/>
      <c r="AH45" s="7637" t="n"/>
      <c r="AI45" s="7637" t="n"/>
      <c r="AJ45" s="7637" t="n"/>
      <c r="AK45" s="2013" t="n"/>
      <c r="AL45" s="712" t="n"/>
      <c r="AM45" s="512" t="n">
        <v>10000</v>
      </c>
      <c r="AN45" s="11602" t="n"/>
      <c r="AO45" s="11602" t="n"/>
      <c r="AP45" s="6721" t="n"/>
      <c r="AQ45" s="344" t="inlineStr">
        <is>
          <t>Form 8829, line 7</t>
        </is>
      </c>
      <c r="AR45" s="11602" t="n"/>
      <c r="AS45" s="7842">
        <f>IF(OR(NOT(AT43),AT45,AE22=""),"",IF(AS37="",0,ROUND(ROUND(AS37,0)*AE22/100,0)))</f>
        <v/>
      </c>
      <c r="AT45" s="6722">
        <f>AS43&lt;AM47</f>
        <v/>
      </c>
      <c r="AU45" s="11602" t="n"/>
      <c r="AV45" s="11880" t="n"/>
    </row>
    <row r="46" ht="14.25" customFormat="1" customHeight="1" s="658">
      <c r="A46" s="2013" t="n"/>
      <c r="B46" s="11602" t="n"/>
      <c r="C46" s="7861" t="n">
        <v>28</v>
      </c>
      <c r="D46" s="7772" t="inlineStr">
        <is>
          <t>Limit on excess casualty losses and depreciation. Subtract line 27 from line 15</t>
        </is>
      </c>
      <c r="E46" s="11602" t="n"/>
      <c r="F46" s="11602" t="n"/>
      <c r="G46" s="11602" t="n"/>
      <c r="H46" s="11602" t="n"/>
      <c r="I46" s="11602" t="n"/>
      <c r="J46" s="11602" t="n"/>
      <c r="K46" s="11602" t="n"/>
      <c r="L46" s="11602" t="n"/>
      <c r="M46" s="11602" t="n"/>
      <c r="N46" s="11602" t="n"/>
      <c r="O46" s="11602" t="n"/>
      <c r="P46" s="11602" t="n"/>
      <c r="Q46" s="11602" t="n"/>
      <c r="R46" s="11602" t="n"/>
      <c r="S46" s="11602" t="n"/>
      <c r="T46" s="11602" t="n"/>
      <c r="U46" s="11602" t="n"/>
      <c r="V46" s="11602" t="n"/>
      <c r="W46" s="11602" t="n"/>
      <c r="X46" s="11602" t="n"/>
      <c r="Y46" s="11602" t="n"/>
      <c r="Z46" s="11602" t="n"/>
      <c r="AA46" s="11602" t="n"/>
      <c r="AB46" s="11602" t="n"/>
      <c r="AC46" s="1401" t="inlineStr">
        <is>
          <t xml:space="preserve">.   .   .   .   .   .   .   .   . </t>
        </is>
      </c>
      <c r="AD46" s="2895" t="n">
        <v>28</v>
      </c>
      <c r="AE46" s="10805">
        <f>IF(AND($AM$19,AE45=""),AE33,IF($AM$19,SUM(AE33,-AE45),""))</f>
        <v/>
      </c>
      <c r="AF46" s="7637" t="n"/>
      <c r="AG46" s="7637" t="n"/>
      <c r="AH46" s="7637" t="n"/>
      <c r="AI46" s="7637" t="n"/>
      <c r="AJ46" s="7637" t="n"/>
      <c r="AK46" s="2013" t="n"/>
      <c r="AL46" s="712" t="n"/>
      <c r="AM46" s="512" t="n">
        <v>5000</v>
      </c>
      <c r="AN46" s="11602" t="n"/>
      <c r="AO46" s="11602" t="n"/>
      <c r="AP46" s="9748" t="inlineStr">
        <is>
          <t>7.</t>
        </is>
      </c>
      <c r="AQ46" s="344" t="inlineStr">
        <is>
          <t>Subtract line 6 from line 5</t>
        </is>
      </c>
      <c r="AR46" s="11602" t="n"/>
      <c r="AS46" s="7842">
        <f>IF(OR(NOT(AT43),AND(AS43="",AS45=""),AT45),"",IF(AS45="",AS43,SUM(AS43,-AS45)))</f>
        <v/>
      </c>
      <c r="AT46" s="409" t="n"/>
      <c r="AU46" s="11602" t="n"/>
      <c r="AV46" s="11880" t="n"/>
    </row>
    <row r="47" ht="15.75" customFormat="1" customHeight="1" s="658">
      <c r="A47" s="2013" t="n"/>
      <c r="B47" s="8650" t="n"/>
      <c r="C47" s="7861" t="n">
        <v>29</v>
      </c>
      <c r="D47" s="7772" t="inlineStr">
        <is>
          <t>Excess casualty losses (see instructions)</t>
        </is>
      </c>
      <c r="E47" s="8650" t="n"/>
      <c r="F47" s="8650" t="n"/>
      <c r="G47" s="8650" t="n"/>
      <c r="H47" s="8650" t="n"/>
      <c r="I47" s="8650" t="n"/>
      <c r="J47" s="8650" t="n"/>
      <c r="K47" s="8650" t="n"/>
      <c r="L47" s="8650" t="n"/>
      <c r="M47" s="8650" t="n"/>
      <c r="N47" s="8650" t="n"/>
      <c r="O47" s="8650" t="n"/>
      <c r="P47" s="8650" t="n"/>
      <c r="Q47" s="8650" t="n"/>
      <c r="R47" s="8650" t="n"/>
      <c r="S47" s="8650" t="n"/>
      <c r="T47" s="8650" t="n"/>
      <c r="U47" s="8650" t="n"/>
      <c r="V47" s="1401" t="inlineStr">
        <is>
          <t xml:space="preserve">.   .   .   .   .   .   .   .   .   .   .   .   .   .  </t>
        </is>
      </c>
      <c r="W47" s="2895" t="n">
        <v>29</v>
      </c>
      <c r="X47" s="11092" t="n"/>
      <c r="Y47" s="8007" t="n"/>
      <c r="Z47" s="8007" t="n"/>
      <c r="AA47" s="8007" t="n"/>
      <c r="AB47" s="8007" t="n"/>
      <c r="AC47" s="8008" t="n"/>
      <c r="AD47" s="2924" t="n"/>
      <c r="AE47" s="11602" t="n"/>
      <c r="AF47" s="11602" t="n"/>
      <c r="AG47" s="11602" t="n"/>
      <c r="AH47" s="11602" t="n"/>
      <c r="AI47" s="11602" t="n"/>
      <c r="AJ47" s="11602" t="n"/>
      <c r="AK47" s="2013" t="n"/>
      <c r="AL47" s="712" t="n"/>
      <c r="AM47" s="512">
        <f>IF(File_Marr_Sep&lt;&gt;"",AM46,AM45)</f>
        <v/>
      </c>
      <c r="AN47" s="11602" t="n"/>
      <c r="AO47" s="11602" t="n"/>
      <c r="AP47" s="9748" t="inlineStr">
        <is>
          <t>8.</t>
        </is>
      </c>
      <c r="AQ47" s="344">
        <f>"Subtract line 7 from "&amp;TEXT(AM45,"$0,000")&amp;" ("&amp;TEXT(AM46,"$0,000")&amp;" if married"</f>
        <v/>
      </c>
      <c r="AR47" s="11602" t="n"/>
      <c r="AS47" s="11602" t="n"/>
      <c r="AT47" s="409" t="n"/>
      <c r="AU47" s="11602" t="n"/>
      <c r="AV47" s="11880" t="n"/>
    </row>
    <row r="48" ht="15.75" customFormat="1" customHeight="1" s="658">
      <c r="A48" s="2013" t="n"/>
      <c r="B48" s="8650" t="n"/>
      <c r="C48" s="7861" t="n">
        <v>30</v>
      </c>
      <c r="D48" s="7772" t="inlineStr">
        <is>
          <t>Depreciation of your home from line 42 below</t>
        </is>
      </c>
      <c r="E48" s="8650" t="n"/>
      <c r="F48" s="8650" t="n"/>
      <c r="G48" s="8650" t="n"/>
      <c r="H48" s="8650" t="n"/>
      <c r="I48" s="8650" t="n"/>
      <c r="J48" s="8650" t="n"/>
      <c r="K48" s="8650" t="n"/>
      <c r="L48" s="8650" t="n"/>
      <c r="M48" s="8650" t="n"/>
      <c r="N48" s="8650" t="n"/>
      <c r="O48" s="8650" t="n"/>
      <c r="P48" s="8650" t="n"/>
      <c r="Q48" s="8650" t="n"/>
      <c r="R48" s="8650" t="n"/>
      <c r="S48" s="8650" t="n"/>
      <c r="T48" s="8650" t="n"/>
      <c r="U48" s="8650" t="n"/>
      <c r="V48" s="1401" t="inlineStr">
        <is>
          <t xml:space="preserve">.   .   .   .   .   .   .   .   .   .   .   .   .   .   .  </t>
        </is>
      </c>
      <c r="W48" s="2895" t="n">
        <v>30</v>
      </c>
      <c r="X48" s="11090">
        <f>IF(AND($AM$19,AE57&lt;&gt;"",AE61&lt;&gt;""),AE62,"")</f>
        <v/>
      </c>
      <c r="Y48" s="8412" t="n"/>
      <c r="Z48" s="8412" t="n"/>
      <c r="AA48" s="8412" t="n"/>
      <c r="AB48" s="8412" t="n"/>
      <c r="AC48" s="11734" t="n"/>
      <c r="AD48" s="2924" t="n"/>
      <c r="AE48" s="11602" t="n"/>
      <c r="AF48" s="11602" t="n"/>
      <c r="AG48" s="11602" t="n"/>
      <c r="AH48" s="11602" t="n"/>
      <c r="AI48" s="11602" t="n"/>
      <c r="AJ48" s="11602" t="n"/>
      <c r="AK48" s="2013" t="n"/>
      <c r="AL48" s="712" t="n"/>
      <c r="AM48" s="11602" t="n"/>
      <c r="AN48" s="11602" t="n"/>
      <c r="AO48" s="11602" t="n"/>
      <c r="AP48" s="6721" t="n"/>
      <c r="AQ48" s="344" t="inlineStr">
        <is>
          <t>filing separately). If zero or less, enter -0-</t>
        </is>
      </c>
      <c r="AR48" s="11602" t="n"/>
      <c r="AS48" s="7842">
        <f>IF(OR(NOT(AT43),AT45),"",MAX(0,SUM(AM47,-AS46)))</f>
        <v/>
      </c>
      <c r="AT48" s="409" t="n"/>
      <c r="AU48" s="11602" t="n"/>
      <c r="AV48" s="11880" t="n"/>
    </row>
    <row r="49" ht="15" customFormat="1" customHeight="1" s="658">
      <c r="A49" s="2013" t="n"/>
      <c r="B49" s="8650" t="n"/>
      <c r="C49" s="7861" t="n">
        <v>31</v>
      </c>
      <c r="D49" s="8650" t="inlineStr">
        <is>
          <t>Carryover of prior year excess casualty losses and depreciation (see instructions)</t>
        </is>
      </c>
      <c r="E49" s="8650" t="n"/>
      <c r="F49" s="8650" t="n"/>
      <c r="G49" s="8650" t="n"/>
      <c r="H49" s="8650" t="n"/>
      <c r="I49" s="8650" t="n"/>
      <c r="J49" s="8650" t="n"/>
      <c r="K49" s="8650" t="n"/>
      <c r="L49" s="8650" t="n"/>
      <c r="M49" s="8650" t="n"/>
      <c r="N49" s="8650" t="n"/>
      <c r="O49" s="8650" t="n"/>
      <c r="P49" s="8650" t="n"/>
      <c r="Q49" s="8650" t="n"/>
      <c r="R49" s="8650" t="n"/>
      <c r="S49" s="8650" t="n"/>
      <c r="T49" s="8650" t="n"/>
      <c r="U49" s="8650" t="n"/>
      <c r="V49" s="1401" t="n"/>
      <c r="W49" s="2895" t="n">
        <v>31</v>
      </c>
      <c r="X49" s="11092" t="n"/>
      <c r="Y49" s="8007" t="n"/>
      <c r="Z49" s="8007" t="n"/>
      <c r="AA49" s="8007" t="n"/>
      <c r="AB49" s="8007" t="n"/>
      <c r="AC49" s="8008" t="n"/>
      <c r="AD49" s="2924" t="n"/>
      <c r="AE49" s="11602" t="n"/>
      <c r="AF49" s="11602" t="n"/>
      <c r="AG49" s="11602" t="n"/>
      <c r="AH49" s="11602" t="n"/>
      <c r="AI49" s="11602" t="n"/>
      <c r="AJ49" s="11602" t="n"/>
      <c r="AK49" s="2013" t="n"/>
      <c r="AL49" s="712" t="n"/>
      <c r="AM49" s="11602" t="n"/>
      <c r="AN49" s="11602" t="n"/>
      <c r="AO49" s="11602" t="n"/>
      <c r="AP49" s="9748" t="inlineStr">
        <is>
          <t>9.</t>
        </is>
      </c>
      <c r="AQ49" s="7886" t="inlineStr">
        <is>
          <t>Real estate taxes reported on line 11.</t>
        </is>
      </c>
      <c r="AR49" s="11602" t="n"/>
      <c r="AS49" s="11602" t="n"/>
      <c r="AT49" s="409" t="n"/>
      <c r="AU49" s="11602" t="n"/>
      <c r="AV49" s="11880" t="n"/>
    </row>
    <row r="50" ht="14.25" customFormat="1" customHeight="1" s="658">
      <c r="A50" s="2013" t="n"/>
      <c r="B50" s="11602" t="n"/>
      <c r="C50" s="7861" t="n">
        <v>32</v>
      </c>
      <c r="D50" s="7772" t="inlineStr">
        <is>
          <t>Add lines 29 through 31</t>
        </is>
      </c>
      <c r="E50" s="11602" t="n"/>
      <c r="F50" s="11602" t="n"/>
      <c r="G50" s="11602" t="n"/>
      <c r="H50" s="11602" t="n"/>
      <c r="I50" s="11602" t="n"/>
      <c r="J50" s="11602" t="n"/>
      <c r="K50" s="11602" t="n"/>
      <c r="L50" s="11602" t="n"/>
      <c r="M50" s="11602" t="n"/>
      <c r="N50" s="11602" t="n"/>
      <c r="O50" s="11602" t="n"/>
      <c r="P50" s="11602" t="n"/>
      <c r="Q50" s="11602" t="n"/>
      <c r="R50" s="11602" t="n"/>
      <c r="S50" s="11602" t="n"/>
      <c r="T50" s="11602" t="n"/>
      <c r="U50" s="11602" t="n"/>
      <c r="V50" s="11602" t="n"/>
      <c r="W50" s="11602" t="n"/>
      <c r="X50" s="11602" t="n"/>
      <c r="Y50" s="11602" t="n"/>
      <c r="Z50" s="11602" t="n"/>
      <c r="AA50" s="11602" t="n"/>
      <c r="AB50" s="11602" t="n"/>
      <c r="AC50" s="1401" t="inlineStr">
        <is>
          <t xml:space="preserve">.   .   .   .   .   .   .   .   .   .   .   .   .   .   .   .   .   .   .   .   .   .   .   .   .   .   .   .   .   .   .   .   .   . </t>
        </is>
      </c>
      <c r="AD50" s="2895" t="n">
        <v>32</v>
      </c>
      <c r="AE50" s="10805">
        <f>IF(NOT($AM$19),"",IF(X48="",SUM(ROUND(X47,0),ROUND(X49,0)),SUM(ROUND(X47,0),ROUND(X48,0),ROUND(X49,0))))</f>
        <v/>
      </c>
      <c r="AF50" s="7637" t="n"/>
      <c r="AG50" s="7637" t="n"/>
      <c r="AH50" s="7637" t="n"/>
      <c r="AI50" s="7637" t="n"/>
      <c r="AJ50" s="7637" t="n"/>
      <c r="AK50" s="2013" t="n"/>
      <c r="AL50" s="712" t="n"/>
      <c r="AM50" s="11602" t="n"/>
      <c r="AN50" s="11602" t="n"/>
      <c r="AO50" s="11602" t="n"/>
      <c r="AP50" s="6721" t="n"/>
      <c r="AQ50" s="344" t="inlineStr">
        <is>
          <t>Enter the smaller of line 6 or line 8 here and in</t>
        </is>
      </c>
      <c r="AR50" s="11602" t="n"/>
      <c r="AS50" s="11602" t="n"/>
      <c r="AT50" s="409" t="n"/>
      <c r="AU50" s="11602" t="n"/>
      <c r="AV50" s="11880" t="n"/>
    </row>
    <row r="51" ht="14.25" customFormat="1" customHeight="1" s="658">
      <c r="A51" s="2013" t="n"/>
      <c r="B51" s="11602" t="n"/>
      <c r="C51" s="7861" t="n">
        <v>33</v>
      </c>
      <c r="D51" s="7772" t="inlineStr">
        <is>
          <t>Allowable excess casualty losses and depreciation. Enter the smaller of line 28 or line 32</t>
        </is>
      </c>
      <c r="E51" s="11602" t="n"/>
      <c r="F51" s="11602" t="n"/>
      <c r="G51" s="11602" t="n"/>
      <c r="H51" s="11602" t="n"/>
      <c r="I51" s="11602" t="n"/>
      <c r="J51" s="11602" t="n"/>
      <c r="K51" s="11602" t="n"/>
      <c r="L51" s="11602" t="n"/>
      <c r="M51" s="11602" t="n"/>
      <c r="N51" s="11602" t="n"/>
      <c r="O51" s="11602" t="n"/>
      <c r="P51" s="11602" t="n"/>
      <c r="Q51" s="11602" t="n"/>
      <c r="R51" s="11602" t="n"/>
      <c r="S51" s="11602" t="n"/>
      <c r="T51" s="11602" t="n"/>
      <c r="U51" s="11602" t="n"/>
      <c r="V51" s="11602" t="n"/>
      <c r="W51" s="11602" t="n"/>
      <c r="X51" s="11602" t="n"/>
      <c r="Y51" s="11602" t="n"/>
      <c r="Z51" s="11602" t="n"/>
      <c r="AA51" s="11602" t="n"/>
      <c r="AB51" s="11602" t="n"/>
      <c r="AC51" s="1401" t="inlineStr">
        <is>
          <t xml:space="preserve">.   .   .   .   .   .   . </t>
        </is>
      </c>
      <c r="AD51" s="2895" t="n">
        <v>33</v>
      </c>
      <c r="AE51" s="10805">
        <f>IF($AM$19,MIN(AE46,AE50),"")</f>
        <v/>
      </c>
      <c r="AF51" s="7637" t="n"/>
      <c r="AG51" s="7637" t="n"/>
      <c r="AH51" s="7637" t="n"/>
      <c r="AI51" s="7637" t="n"/>
      <c r="AJ51" s="7637" t="n"/>
      <c r="AK51" s="2013" t="n"/>
      <c r="AL51" s="712" t="n"/>
      <c r="AM51" s="11602" t="n"/>
      <c r="AN51" s="11602" t="n"/>
      <c r="AO51" s="11602" t="n"/>
      <c r="AP51" s="6721" t="n"/>
      <c r="AQ51" s="344" t="inlineStr">
        <is>
          <t>column (a) of Form 8829, line 11</t>
        </is>
      </c>
      <c r="AR51" s="11602" t="n"/>
      <c r="AS51" s="7842">
        <f>IF(OR(NOT(AT43),AT45),"",MIN(AS45,AS48))</f>
        <v/>
      </c>
      <c r="AT51" s="409" t="n"/>
      <c r="AU51" s="11602" t="n"/>
      <c r="AV51" s="11880" t="n"/>
    </row>
    <row r="52" ht="14.25" customFormat="1" customHeight="1" s="658">
      <c r="A52" s="2013" t="n"/>
      <c r="B52" s="11602" t="n"/>
      <c r="C52" s="7861" t="n">
        <v>34</v>
      </c>
      <c r="D52" s="7772" t="inlineStr">
        <is>
          <t>Add lines 14, 27, and 33</t>
        </is>
      </c>
      <c r="E52" s="11602" t="n"/>
      <c r="F52" s="11602" t="n"/>
      <c r="G52" s="11602" t="n"/>
      <c r="H52" s="11602" t="n"/>
      <c r="I52" s="11602" t="n"/>
      <c r="J52" s="11602" t="n"/>
      <c r="K52" s="11602" t="n"/>
      <c r="L52" s="11602" t="n"/>
      <c r="M52" s="11602" t="n"/>
      <c r="N52" s="11602" t="n"/>
      <c r="O52" s="11602" t="n"/>
      <c r="P52" s="11602" t="n"/>
      <c r="Q52" s="11602" t="n"/>
      <c r="R52" s="11602" t="n"/>
      <c r="S52" s="11602" t="n"/>
      <c r="T52" s="11602" t="n"/>
      <c r="U52" s="11602" t="n"/>
      <c r="V52" s="11602" t="n"/>
      <c r="W52" s="11602" t="n"/>
      <c r="X52" s="11602" t="n"/>
      <c r="Y52" s="11602" t="n"/>
      <c r="Z52" s="11602" t="n"/>
      <c r="AA52" s="11602" t="n"/>
      <c r="AB52" s="11602" t="n"/>
      <c r="AC52" s="1401" t="inlineStr">
        <is>
          <t xml:space="preserve">.   .   .   .   .   .   .   .   .   .   .   .   .   .   .   .   .   .   .   .   .   .   .   .   .   .   .   .   .   .   .   .   .   . </t>
        </is>
      </c>
      <c r="AD52" s="2895" t="n">
        <v>34</v>
      </c>
      <c r="AE52" s="10805">
        <f>IF($AM$19,SUM(AE32,AE45,AE51),"")</f>
        <v/>
      </c>
      <c r="AF52" s="7637" t="n"/>
      <c r="AG52" s="7637" t="n"/>
      <c r="AH52" s="7637" t="n"/>
      <c r="AI52" s="7637" t="n"/>
      <c r="AJ52" s="7637" t="n"/>
      <c r="AK52" s="2013" t="n"/>
      <c r="AL52" s="712" t="n"/>
      <c r="AM52" s="11602" t="n"/>
      <c r="AN52" s="11602" t="n"/>
      <c r="AO52" s="11602" t="n"/>
      <c r="AP52" s="9748" t="inlineStr">
        <is>
          <t>10.</t>
        </is>
      </c>
      <c r="AQ52" s="7886" t="inlineStr">
        <is>
          <t>Excess real estate taxes reported on line 17.</t>
        </is>
      </c>
      <c r="AR52" s="11602" t="n"/>
      <c r="AS52" s="11602" t="n"/>
      <c r="AT52" s="409" t="n"/>
      <c r="AU52" s="11602" t="n"/>
      <c r="AV52" s="11880" t="n"/>
    </row>
    <row r="53" ht="14.25" customFormat="1" customHeight="1" s="658">
      <c r="A53" s="2013" t="n"/>
      <c r="B53" s="11602" t="n"/>
      <c r="C53" s="7861" t="n">
        <v>35</v>
      </c>
      <c r="D53" s="7772" t="inlineStr">
        <is>
          <t>Casualty loss portion, if any, from lines 14 and 33. Carry amount to Form 4684. See instructions  .   .   .</t>
        </is>
      </c>
      <c r="E53" s="11602" t="n"/>
      <c r="F53" s="11602" t="n"/>
      <c r="G53" s="11602" t="n"/>
      <c r="H53" s="11602" t="n"/>
      <c r="I53" s="11602" t="n"/>
      <c r="J53" s="11602" t="n"/>
      <c r="K53" s="11602" t="n"/>
      <c r="L53" s="11602" t="n"/>
      <c r="M53" s="11602" t="n"/>
      <c r="N53" s="11602" t="n"/>
      <c r="O53" s="11602" t="n"/>
      <c r="P53" s="11602" t="n"/>
      <c r="Q53" s="11602" t="n"/>
      <c r="R53" s="11602" t="n"/>
      <c r="S53" s="11602" t="n"/>
      <c r="T53" s="11602" t="n"/>
      <c r="U53" s="11602" t="n"/>
      <c r="V53" s="11602" t="n"/>
      <c r="W53" s="11602" t="n"/>
      <c r="X53" s="11602" t="n"/>
      <c r="Y53" s="11602" t="n"/>
      <c r="Z53" s="11602" t="n"/>
      <c r="AA53" s="11602" t="n"/>
      <c r="AB53" s="11602" t="n"/>
      <c r="AC53" s="1401" t="n"/>
      <c r="AD53" s="2895" t="n">
        <v>35</v>
      </c>
      <c r="AE53" s="8170" t="n"/>
      <c r="AF53" s="11717" t="n"/>
      <c r="AG53" s="11717" t="n"/>
      <c r="AH53" s="11717" t="n"/>
      <c r="AI53" s="11717" t="n"/>
      <c r="AJ53" s="11717" t="n"/>
      <c r="AK53" s="2013" t="n"/>
      <c r="AL53" s="712" t="n"/>
      <c r="AM53" s="11602" t="n"/>
      <c r="AN53" s="11602" t="n"/>
      <c r="AO53" s="11602" t="n"/>
      <c r="AP53" s="408" t="n"/>
      <c r="AQ53" s="344" t="inlineStr">
        <is>
          <t>Subtract line 9 from line 6</t>
        </is>
      </c>
      <c r="AR53" s="11602" t="n"/>
      <c r="AS53" s="7842">
        <f>IF(OR(NOT(AT43),AT45),0,IF(AS51="",AS45,SUM(AS45,-AS51)))</f>
        <v/>
      </c>
      <c r="AT53" s="409" t="n"/>
      <c r="AU53" s="11602" t="n"/>
      <c r="AV53" s="11880" t="n"/>
    </row>
    <row r="54" ht="14.25" customFormat="1" customHeight="1" s="658">
      <c r="A54" s="2013" t="n"/>
      <c r="B54" s="11602" t="n"/>
      <c r="C54" s="7861" t="n">
        <v>36</v>
      </c>
      <c r="D54" s="7772" t="inlineStr">
        <is>
          <t>Allowable expenses for business use of your home. Subtract line 35 from line 34. Enter here</t>
        </is>
      </c>
      <c r="E54" s="11602" t="n"/>
      <c r="F54" s="11602" t="n"/>
      <c r="G54" s="11602" t="n"/>
      <c r="H54" s="11602" t="n"/>
      <c r="I54" s="11602" t="n"/>
      <c r="J54" s="11602" t="n"/>
      <c r="K54" s="11602" t="n"/>
      <c r="L54" s="11602" t="n"/>
      <c r="M54" s="11602" t="n"/>
      <c r="N54" s="11602" t="n"/>
      <c r="O54" s="11602" t="n"/>
      <c r="P54" s="11602" t="n"/>
      <c r="Q54" s="11602" t="n"/>
      <c r="R54" s="11602" t="n"/>
      <c r="S54" s="11602" t="n"/>
      <c r="T54" s="11602" t="n"/>
      <c r="U54" s="11602" t="n"/>
      <c r="V54" s="11602" t="n"/>
      <c r="W54" s="11602" t="n"/>
      <c r="X54" s="11602" t="n"/>
      <c r="Y54" s="11602" t="n"/>
      <c r="Z54" s="11602" t="n"/>
      <c r="AA54" s="11602" t="n"/>
      <c r="AB54" s="11602" t="n"/>
      <c r="AC54" s="11602" t="n"/>
      <c r="AD54" s="2890" t="n"/>
      <c r="AE54" s="11602" t="n"/>
      <c r="AF54" s="11602" t="n"/>
      <c r="AG54" s="11602" t="n"/>
      <c r="AH54" s="11602" t="n"/>
      <c r="AI54" s="11602" t="n"/>
      <c r="AJ54" s="11602" t="n"/>
      <c r="AK54" s="2013" t="n"/>
      <c r="AL54" s="712" t="n"/>
      <c r="AM54" s="11602" t="n"/>
      <c r="AN54" s="11602" t="n"/>
      <c r="AO54" s="11602" t="n"/>
      <c r="AP54" s="412" t="n"/>
      <c r="AQ54" s="413" t="n"/>
      <c r="AR54" s="413" t="n"/>
      <c r="AS54" s="413" t="n"/>
      <c r="AT54" s="414" t="n"/>
      <c r="AU54" s="11602" t="n"/>
      <c r="AV54" s="11880" t="n"/>
    </row>
    <row r="55" ht="16.5" customFormat="1" customHeight="1" s="658" thickBot="1">
      <c r="A55" s="2013" t="n"/>
      <c r="B55" s="380" t="n"/>
      <c r="C55" s="6717" t="n"/>
      <c r="D55" s="5003" t="inlineStr">
        <is>
          <t>and on Schedule C, line 30. If your home was used for more than one business, see instructions   .   .   .</t>
        </is>
      </c>
      <c r="E55" s="380" t="n"/>
      <c r="F55" s="380" t="n"/>
      <c r="G55" s="380" t="n"/>
      <c r="H55" s="380" t="n"/>
      <c r="I55" s="380" t="n"/>
      <c r="J55" s="380" t="n"/>
      <c r="K55" s="380" t="n"/>
      <c r="L55" s="380" t="n"/>
      <c r="M55" s="380" t="n"/>
      <c r="N55" s="380" t="n"/>
      <c r="O55" s="380" t="n"/>
      <c r="P55" s="380" t="n"/>
      <c r="Q55" s="380" t="n"/>
      <c r="R55" s="380" t="n"/>
      <c r="S55" s="380" t="n"/>
      <c r="T55" s="380" t="n"/>
      <c r="U55" s="380" t="n"/>
      <c r="V55" s="380" t="n"/>
      <c r="W55" s="380" t="n"/>
      <c r="X55" s="380" t="n"/>
      <c r="Y55" s="380" t="n"/>
      <c r="Z55" s="380" t="n"/>
      <c r="AA55" s="380" t="n"/>
      <c r="AB55" s="380" t="n"/>
      <c r="AC55" s="10735" t="n"/>
      <c r="AD55" s="3840" t="n">
        <v>36</v>
      </c>
      <c r="AE55" s="11112">
        <f>IF(AND($AM$19,AE53=""),AE52,IF($AM$19,SUM(AE52,-AE53),""))</f>
        <v/>
      </c>
      <c r="AF55" s="8848" t="n"/>
      <c r="AG55" s="8848" t="n"/>
      <c r="AH55" s="8848" t="n"/>
      <c r="AI55" s="8848" t="n"/>
      <c r="AJ55" s="8848" t="n"/>
      <c r="AK55" s="2013" t="n"/>
      <c r="AL55" s="712" t="n"/>
      <c r="AM55" s="11602" t="n"/>
      <c r="AN55" s="11602" t="n"/>
      <c r="AO55" s="11602" t="n"/>
      <c r="AP55" s="11602" t="n"/>
      <c r="AQ55" s="11602" t="n"/>
      <c r="AR55" s="11602" t="n"/>
      <c r="AS55" s="11602" t="n"/>
      <c r="AT55" s="11602" t="n"/>
      <c r="AU55" s="11602" t="n"/>
      <c r="AV55" s="11880" t="n"/>
    </row>
    <row r="56" ht="18" customFormat="1" customHeight="1" s="658">
      <c r="A56" s="2013" t="n"/>
      <c r="B56" s="8876" t="inlineStr">
        <is>
          <t>Part III</t>
        </is>
      </c>
      <c r="C56" s="7637" t="n"/>
      <c r="D56" s="4534" t="n"/>
      <c r="E56" s="5388" t="inlineStr">
        <is>
          <t>Depreciation of Your Home</t>
        </is>
      </c>
      <c r="F56" s="413" t="n"/>
      <c r="G56" s="413" t="n"/>
      <c r="H56" s="413" t="n"/>
      <c r="I56" s="5388" t="n"/>
      <c r="J56" s="413" t="n"/>
      <c r="K56" s="413" t="n"/>
      <c r="L56" s="413" t="n"/>
      <c r="M56" s="413" t="n"/>
      <c r="N56" s="413" t="n"/>
      <c r="O56" s="413" t="n"/>
      <c r="P56" s="413" t="n"/>
      <c r="Q56" s="413" t="n"/>
      <c r="R56" s="413" t="n"/>
      <c r="S56" s="413" t="n"/>
      <c r="T56" s="413" t="n"/>
      <c r="U56" s="413" t="n"/>
      <c r="V56" s="413" t="n"/>
      <c r="W56" s="413" t="n"/>
      <c r="X56" s="413" t="n"/>
      <c r="Y56" s="413" t="n"/>
      <c r="Z56" s="413" t="n"/>
      <c r="AA56" s="413" t="n"/>
      <c r="AB56" s="413" t="n"/>
      <c r="AC56" s="413" t="n"/>
      <c r="AD56" s="413" t="n"/>
      <c r="AE56" s="413" t="n"/>
      <c r="AF56" s="413" t="n"/>
      <c r="AG56" s="413" t="n"/>
      <c r="AH56" s="413" t="n"/>
      <c r="AI56" s="413" t="n"/>
      <c r="AJ56" s="413" t="n"/>
      <c r="AK56" s="2013" t="n"/>
      <c r="AL56" s="712" t="n"/>
      <c r="AM56" s="11602" t="n"/>
      <c r="AN56" s="11602" t="n"/>
      <c r="AO56" s="11602" t="n"/>
      <c r="AP56" s="11602" t="n"/>
      <c r="AQ56" s="11602" t="n"/>
      <c r="AR56" s="6723" t="n">
        <v>1</v>
      </c>
      <c r="AS56" s="12724">
        <f>(246.1/100)%</f>
        <v/>
      </c>
      <c r="AT56" s="11602" t="n"/>
      <c r="AU56" s="11602" t="n"/>
      <c r="AV56" s="11880" t="n"/>
    </row>
    <row r="57" ht="14.25" customFormat="1" customHeight="1" s="658">
      <c r="A57" s="2013" t="n"/>
      <c r="B57" s="11602" t="n"/>
      <c r="C57" s="7861" t="n">
        <v>37</v>
      </c>
      <c r="D57" s="7772" t="inlineStr">
        <is>
          <t>Enter the smaller of your home’s adjusted basis or its fair market value. See instructions</t>
        </is>
      </c>
      <c r="E57" s="11602" t="n"/>
      <c r="F57" s="11602" t="n"/>
      <c r="G57" s="11602" t="n"/>
      <c r="H57" s="11602" t="n"/>
      <c r="I57" s="11602" t="n"/>
      <c r="J57" s="11602" t="n"/>
      <c r="K57" s="11602" t="n"/>
      <c r="L57" s="11602" t="n"/>
      <c r="M57" s="11602" t="n"/>
      <c r="N57" s="11602" t="n"/>
      <c r="O57" s="11602" t="n"/>
      <c r="P57" s="11602" t="n"/>
      <c r="Q57" s="11602" t="n"/>
      <c r="R57" s="11602" t="n"/>
      <c r="S57" s="11602" t="n"/>
      <c r="T57" s="11602" t="n"/>
      <c r="U57" s="11602" t="n"/>
      <c r="V57" s="11602" t="n"/>
      <c r="W57" s="11602" t="n"/>
      <c r="X57" s="11602" t="n"/>
      <c r="Y57" s="11602" t="n"/>
      <c r="Z57" s="11602" t="n"/>
      <c r="AA57" s="11602" t="n"/>
      <c r="AB57" s="11602" t="n"/>
      <c r="AC57" s="1401" t="inlineStr">
        <is>
          <t xml:space="preserve">.   .   .   .   .   .   .   . </t>
        </is>
      </c>
      <c r="AD57" s="2895" t="n">
        <v>37</v>
      </c>
      <c r="AE57" s="10799" t="n"/>
      <c r="AF57" s="11717" t="n"/>
      <c r="AG57" s="11717" t="n"/>
      <c r="AH57" s="11717" t="n"/>
      <c r="AI57" s="11717" t="n"/>
      <c r="AJ57" s="11717" t="n"/>
      <c r="AK57" s="2013" t="n"/>
      <c r="AL57" s="712" t="n"/>
      <c r="AM57" s="11602" t="n"/>
      <c r="AN57" s="11602" t="n"/>
      <c r="AO57" s="11602" t="n"/>
      <c r="AP57" s="11602" t="n"/>
      <c r="AQ57" s="11602" t="n"/>
      <c r="AR57" s="6725" t="n">
        <v>2</v>
      </c>
      <c r="AS57" s="12725">
        <f>(224.7/100)%</f>
        <v/>
      </c>
      <c r="AT57" s="11602" t="n"/>
      <c r="AU57" s="11602" t="n"/>
      <c r="AV57" s="11880" t="n"/>
    </row>
    <row r="58" ht="14.25" customFormat="1" customHeight="1" s="658">
      <c r="A58" s="2013" t="n"/>
      <c r="B58" s="11602" t="n"/>
      <c r="C58" s="7861" t="n">
        <v>38</v>
      </c>
      <c r="D58" s="7772" t="inlineStr">
        <is>
          <t>Value of land included on line 37</t>
        </is>
      </c>
      <c r="E58" s="11602" t="n"/>
      <c r="F58" s="11602" t="n"/>
      <c r="G58" s="11602" t="n"/>
      <c r="H58" s="11602" t="n"/>
      <c r="I58" s="11602" t="n"/>
      <c r="J58" s="11602" t="n"/>
      <c r="K58" s="11602" t="n"/>
      <c r="L58" s="11602" t="n"/>
      <c r="M58" s="11602" t="n"/>
      <c r="N58" s="11602" t="n"/>
      <c r="O58" s="11602" t="n"/>
      <c r="P58" s="11602" t="n"/>
      <c r="Q58" s="11602" t="n"/>
      <c r="R58" s="11602" t="n"/>
      <c r="S58" s="11602" t="n"/>
      <c r="T58" s="11602" t="n"/>
      <c r="U58" s="11602" t="n"/>
      <c r="V58" s="11602" t="n"/>
      <c r="W58" s="11602" t="n"/>
      <c r="X58" s="11602" t="n"/>
      <c r="Y58" s="11602" t="n"/>
      <c r="Z58" s="11602" t="n"/>
      <c r="AA58" s="11602" t="n"/>
      <c r="AB58" s="11602" t="n"/>
      <c r="AC58" s="1401" t="inlineStr">
        <is>
          <t xml:space="preserve">.   .   .   .   .   .   .   .   .   .   .   .   .   .   .   .   .   .   .   .   .   .   .   .   .   .   .   .   .   .   . </t>
        </is>
      </c>
      <c r="AD58" s="2895" t="n">
        <v>38</v>
      </c>
      <c r="AE58" s="10799" t="n"/>
      <c r="AF58" s="11717" t="n"/>
      <c r="AG58" s="11717" t="n"/>
      <c r="AH58" s="11717" t="n"/>
      <c r="AI58" s="11717" t="n"/>
      <c r="AJ58" s="11717" t="n"/>
      <c r="AK58" s="2013" t="n"/>
      <c r="AL58" s="712" t="n"/>
      <c r="AM58" s="512">
        <f>IF(AE58="",ROUND(AE57,0),SUM(ROUND(AE57,0),-ROUND(AE58,0)))</f>
        <v/>
      </c>
      <c r="AN58" s="11602" t="n"/>
      <c r="AO58" s="11602" t="n"/>
      <c r="AP58" s="11602" t="n"/>
      <c r="AQ58" s="11602" t="n"/>
      <c r="AR58" s="6725" t="n">
        <v>3</v>
      </c>
      <c r="AS58" s="12726">
        <f>(203.3/100)%</f>
        <v/>
      </c>
      <c r="AT58" s="11602" t="n"/>
      <c r="AU58" s="11602" t="n"/>
      <c r="AV58" s="11880" t="n"/>
    </row>
    <row r="59" ht="14.25" customFormat="1" customHeight="1" s="658">
      <c r="A59" s="2013" t="n"/>
      <c r="B59" s="11602" t="n"/>
      <c r="C59" s="7861" t="n">
        <v>39</v>
      </c>
      <c r="D59" s="7772" t="inlineStr">
        <is>
          <t>Basis of building. Subtract line 38 from line 37</t>
        </is>
      </c>
      <c r="E59" s="11602" t="n"/>
      <c r="F59" s="11602" t="n"/>
      <c r="G59" s="11602" t="n"/>
      <c r="H59" s="11602" t="n"/>
      <c r="I59" s="11602" t="n"/>
      <c r="J59" s="11602" t="n"/>
      <c r="K59" s="11602" t="n"/>
      <c r="L59" s="11602" t="n"/>
      <c r="M59" s="11602" t="n"/>
      <c r="N59" s="11602" t="n"/>
      <c r="O59" s="11602" t="n"/>
      <c r="P59" s="11602" t="n"/>
      <c r="Q59" s="11602" t="n"/>
      <c r="R59" s="11602" t="n"/>
      <c r="S59" s="11602" t="n"/>
      <c r="T59" s="11602" t="n"/>
      <c r="U59" s="11602" t="n"/>
      <c r="V59" s="11602" t="n"/>
      <c r="W59" s="11602" t="n"/>
      <c r="X59" s="11602" t="n"/>
      <c r="Y59" s="11602" t="n"/>
      <c r="Z59" s="11602" t="n"/>
      <c r="AA59" s="11602" t="n"/>
      <c r="AB59" s="11602" t="n"/>
      <c r="AC59" s="1401" t="inlineStr">
        <is>
          <t xml:space="preserve">.   .   .   .   .   .   .   .   .   .   .   .   .   .   .   .   .   .   .   .   .   .   .   .   .   . </t>
        </is>
      </c>
      <c r="AD59" s="2895" t="n">
        <v>39</v>
      </c>
      <c r="AE59" s="10805">
        <f>IF(AE57&lt;&gt;"",AM58,"")</f>
        <v/>
      </c>
      <c r="AF59" s="7637" t="n"/>
      <c r="AG59" s="7637" t="n"/>
      <c r="AH59" s="7637" t="n"/>
      <c r="AI59" s="7637" t="n"/>
      <c r="AJ59" s="7637" t="n"/>
      <c r="AK59" s="2013" t="n"/>
      <c r="AL59" s="712" t="n"/>
      <c r="AM59" s="11602" t="n"/>
      <c r="AN59" s="11602" t="n"/>
      <c r="AO59" s="11602" t="n"/>
      <c r="AP59" s="11602" t="n"/>
      <c r="AQ59" s="11602" t="n"/>
      <c r="AR59" s="6725" t="n">
        <v>4</v>
      </c>
      <c r="AS59" s="12726">
        <f>(181.9/100)%</f>
        <v/>
      </c>
      <c r="AT59" s="11602" t="n"/>
      <c r="AU59" s="11602" t="n"/>
      <c r="AV59" s="11880" t="n"/>
    </row>
    <row r="60" ht="14.25" customFormat="1" customHeight="1" s="658">
      <c r="A60" s="2013" t="n"/>
      <c r="B60" s="11602" t="n"/>
      <c r="C60" s="7861" t="n">
        <v>40</v>
      </c>
      <c r="D60" s="7772" t="inlineStr">
        <is>
          <t>Business basis of building. Multiply line 39 by line 7</t>
        </is>
      </c>
      <c r="E60" s="11602" t="n"/>
      <c r="F60" s="11602" t="n"/>
      <c r="G60" s="11602" t="n"/>
      <c r="H60" s="11602" t="n"/>
      <c r="I60" s="11602" t="n"/>
      <c r="J60" s="11602" t="n"/>
      <c r="K60" s="11602" t="n"/>
      <c r="L60" s="11602" t="n"/>
      <c r="M60" s="11602" t="n"/>
      <c r="N60" s="11602" t="n"/>
      <c r="O60" s="11602" t="n"/>
      <c r="P60" s="11602" t="n"/>
      <c r="Q60" s="11602" t="n"/>
      <c r="R60" s="11602" t="n"/>
      <c r="S60" s="11602" t="n"/>
      <c r="T60" s="11602" t="n"/>
      <c r="U60" s="11602" t="n"/>
      <c r="V60" s="11602" t="n"/>
      <c r="W60" s="11602" t="n"/>
      <c r="X60" s="11602" t="n"/>
      <c r="Y60" s="11602" t="n"/>
      <c r="Z60" s="11602" t="n"/>
      <c r="AA60" s="11602" t="n"/>
      <c r="AB60" s="11602" t="n"/>
      <c r="AC60" s="1401" t="inlineStr">
        <is>
          <t xml:space="preserve">.   .   .   .   .   .   .   .   .   .   .   .   .   .   .   .   .   .   .   .   .   .   . </t>
        </is>
      </c>
      <c r="AD60" s="2895" t="n">
        <v>40</v>
      </c>
      <c r="AE60" s="10805">
        <f>IF(AND($AM$19,$AE$57&lt;&gt;""),ROUND(AE59*AE22/100,0),"")</f>
        <v/>
      </c>
      <c r="AF60" s="7637" t="n"/>
      <c r="AG60" s="7637" t="n"/>
      <c r="AH60" s="7637" t="n"/>
      <c r="AI60" s="7637" t="n"/>
      <c r="AJ60" s="7637" t="n"/>
      <c r="AK60" s="2013" t="n"/>
      <c r="AL60" s="712" t="n"/>
      <c r="AM60" s="11602" t="n"/>
      <c r="AN60" s="11602" t="n"/>
      <c r="AO60" s="11602" t="n"/>
      <c r="AP60" s="11602" t="n"/>
      <c r="AQ60" s="11602" t="n"/>
      <c r="AR60" s="6725" t="n">
        <v>5</v>
      </c>
      <c r="AS60" s="12725">
        <f>(160.5/100)%</f>
        <v/>
      </c>
      <c r="AT60" s="11602" t="n"/>
      <c r="AU60" s="11602" t="n"/>
      <c r="AV60" s="11880" t="n"/>
    </row>
    <row r="61" ht="14.25" customFormat="1" customHeight="1" s="658">
      <c r="A61" s="2013" t="n"/>
      <c r="B61" s="11602" t="n"/>
      <c r="C61" s="7861" t="n">
        <v>41</v>
      </c>
      <c r="D61" s="7772" t="inlineStr">
        <is>
          <t>Depreciation percentage (see instructions)</t>
        </is>
      </c>
      <c r="E61" s="11602" t="n"/>
      <c r="F61" s="11602" t="n"/>
      <c r="G61" s="11602" t="n"/>
      <c r="H61" s="11602" t="n"/>
      <c r="I61" s="11602" t="n"/>
      <c r="J61" s="11602" t="n"/>
      <c r="K61" s="11602" t="n"/>
      <c r="L61" s="11602" t="n"/>
      <c r="M61" s="11602" t="n"/>
      <c r="N61" s="11602" t="n"/>
      <c r="O61" s="11602" t="n"/>
      <c r="P61" s="11602" t="n"/>
      <c r="Q61" s="11602" t="n"/>
      <c r="R61" s="11602" t="n"/>
      <c r="S61" s="11602" t="n"/>
      <c r="T61" s="11602" t="n"/>
      <c r="U61" s="11602" t="n"/>
      <c r="V61" s="11602" t="n"/>
      <c r="W61" s="11602" t="n"/>
      <c r="X61" s="11602" t="n"/>
      <c r="Y61" s="11602" t="n"/>
      <c r="Z61" s="11602" t="n"/>
      <c r="AA61" s="11602" t="n"/>
      <c r="AB61" s="11602" t="n"/>
      <c r="AC61" s="1401" t="inlineStr">
        <is>
          <t xml:space="preserve">.   .   .   .   .   .   .   .   .   .   .   .   .   .   .   .   .   .   .   .   .   .   .   .   .   . </t>
        </is>
      </c>
      <c r="AD61" s="2895" t="n">
        <v>41</v>
      </c>
      <c r="AE61" s="12727">
        <f>IF(AM61="","",100*LOOKUP(AM64,AR56:AR68,AS56:AS68))</f>
        <v/>
      </c>
      <c r="AF61" s="8007" t="n"/>
      <c r="AG61" s="8007" t="n"/>
      <c r="AH61" s="8007" t="n"/>
      <c r="AI61" s="8007" t="n"/>
      <c r="AJ61" s="6714">
        <f>"%"</f>
        <v/>
      </c>
      <c r="AK61" s="2013" t="n"/>
      <c r="AL61" s="712" t="n"/>
      <c r="AM61" s="1645" t="n"/>
      <c r="AN61" s="11602" t="n"/>
      <c r="AO61" s="344">
        <f>IF(AM61="","Enter date you first used your home for business…",IF(YEAR(AM61)&lt;1987,"See Publication 534.",IF(AM61&lt;AM65,"See Publication 946.","")))</f>
        <v/>
      </c>
      <c r="AP61" s="11602" t="n"/>
      <c r="AQ61" s="11602" t="n"/>
      <c r="AR61" s="6725" t="n">
        <v>6</v>
      </c>
      <c r="AS61" s="12726">
        <f>(139.1/100)%</f>
        <v/>
      </c>
      <c r="AT61" s="11602" t="n"/>
      <c r="AU61" s="11602" t="n"/>
      <c r="AV61" s="11880" t="n"/>
    </row>
    <row r="62" ht="14.25" customFormat="1" customHeight="1" s="658" thickBot="1">
      <c r="A62" s="2013" t="n"/>
      <c r="B62" s="11602" t="n"/>
      <c r="C62" s="7861" t="n">
        <v>42</v>
      </c>
      <c r="D62" s="7772" t="inlineStr">
        <is>
          <t>Depreciation allowable (see instructions). Multiply line 40 by line 41. Enter here and on line 30 above   .</t>
        </is>
      </c>
      <c r="E62" s="11602" t="n"/>
      <c r="F62" s="11602" t="n"/>
      <c r="G62" s="11602" t="n"/>
      <c r="H62" s="11602" t="n"/>
      <c r="I62" s="11602" t="n"/>
      <c r="J62" s="11602" t="n"/>
      <c r="K62" s="11602" t="n"/>
      <c r="L62" s="11602" t="n"/>
      <c r="M62" s="11602" t="n"/>
      <c r="N62" s="11602" t="n"/>
      <c r="O62" s="11602" t="n"/>
      <c r="P62" s="11602" t="n"/>
      <c r="Q62" s="11602" t="n"/>
      <c r="R62" s="11602" t="n"/>
      <c r="S62" s="11602" t="n"/>
      <c r="T62" s="11602" t="n"/>
      <c r="U62" s="11602" t="n"/>
      <c r="V62" s="11602" t="n"/>
      <c r="W62" s="11602" t="n"/>
      <c r="X62" s="11602" t="n"/>
      <c r="Y62" s="11602" t="n"/>
      <c r="Z62" s="11602" t="n"/>
      <c r="AA62" s="11602" t="n"/>
      <c r="AB62" s="11602" t="n"/>
      <c r="AC62" s="1401" t="n"/>
      <c r="AD62" s="2921" t="n">
        <v>42</v>
      </c>
      <c r="AE62" s="11124">
        <f>IF(AM62&lt;&gt;"",ROUND(AM62,0),IF(AND(AE57&lt;&gt;"",$AM$19,AE61&lt;&gt;""),ROUND(AE60*AE61/100,0),""))</f>
        <v/>
      </c>
      <c r="AK62" s="2013" t="n"/>
      <c r="AL62" s="712" t="n"/>
      <c r="AM62" s="1521" t="n"/>
      <c r="AN62" s="11602" t="n"/>
      <c r="AO62" s="344" t="n"/>
      <c r="AP62" s="11602" t="n"/>
      <c r="AQ62" s="11602" t="n"/>
      <c r="AR62" s="6725" t="n">
        <v>7</v>
      </c>
      <c r="AS62" s="12726">
        <f>(117.7/100)%</f>
        <v/>
      </c>
      <c r="AT62" s="11602" t="n"/>
      <c r="AU62" s="11602" t="n"/>
      <c r="AV62" s="11880" t="n"/>
    </row>
    <row r="63" ht="18" customFormat="1" customHeight="1" s="658">
      <c r="A63" s="2013" t="n"/>
      <c r="B63" s="11126" t="inlineStr">
        <is>
          <t>Part IV</t>
        </is>
      </c>
      <c r="C63" s="12097" t="n"/>
      <c r="D63" s="2090" t="n"/>
      <c r="E63" s="6419">
        <f>"Carryover of Unallowed Expenses to "&amp;TaxYear+1</f>
        <v/>
      </c>
      <c r="F63" s="3927" t="n"/>
      <c r="G63" s="3927" t="n"/>
      <c r="H63" s="3927" t="n"/>
      <c r="I63" s="6419" t="n"/>
      <c r="J63" s="3927" t="n"/>
      <c r="K63" s="3927" t="n"/>
      <c r="L63" s="3927" t="n"/>
      <c r="M63" s="3927" t="n"/>
      <c r="N63" s="3927" t="n"/>
      <c r="O63" s="3927" t="n"/>
      <c r="P63" s="3927" t="n"/>
      <c r="Q63" s="3927" t="n"/>
      <c r="R63" s="3927" t="n"/>
      <c r="S63" s="3927" t="n"/>
      <c r="T63" s="3927" t="n"/>
      <c r="U63" s="3927" t="n"/>
      <c r="V63" s="3927" t="n"/>
      <c r="W63" s="3927" t="n"/>
      <c r="X63" s="3927" t="n"/>
      <c r="Y63" s="3927" t="n"/>
      <c r="Z63" s="3927" t="n"/>
      <c r="AA63" s="3927" t="n"/>
      <c r="AB63" s="3927" t="n"/>
      <c r="AC63" s="3927" t="n"/>
      <c r="AD63" s="3927" t="n"/>
      <c r="AE63" s="3927" t="n"/>
      <c r="AF63" s="3927" t="n"/>
      <c r="AG63" s="3927" t="n"/>
      <c r="AH63" s="3927" t="n"/>
      <c r="AI63" s="3927" t="n"/>
      <c r="AJ63" s="3927" t="n"/>
      <c r="AK63" s="2013" t="n"/>
      <c r="AL63" s="712" t="n"/>
      <c r="AM63" s="6720" t="inlineStr">
        <is>
          <t>Override (Line 42)</t>
        </is>
      </c>
      <c r="AN63" s="11602" t="n"/>
      <c r="AO63" s="11602" t="n"/>
      <c r="AP63" s="11602" t="n"/>
      <c r="AQ63" s="11602" t="n"/>
      <c r="AR63" s="6725" t="n">
        <v>8</v>
      </c>
      <c r="AS63" s="12726">
        <f>(96.3/100)%</f>
        <v/>
      </c>
      <c r="AT63" s="11602" t="n"/>
      <c r="AU63" s="11602" t="n"/>
      <c r="AV63" s="11880" t="n"/>
    </row>
    <row r="64" ht="14.25" customFormat="1" customHeight="1" s="658">
      <c r="A64" s="2013" t="n"/>
      <c r="B64" s="11602" t="n"/>
      <c r="C64" s="7861" t="n">
        <v>43</v>
      </c>
      <c r="D64" s="7772" t="inlineStr">
        <is>
          <t>Operating expenses. Subtract line 27 from line 26. If less than zero, enter -0-</t>
        </is>
      </c>
      <c r="E64" s="11602" t="n"/>
      <c r="F64" s="11602" t="n"/>
      <c r="G64" s="11602" t="n"/>
      <c r="H64" s="11602" t="n"/>
      <c r="I64" s="11602" t="n"/>
      <c r="J64" s="11602" t="n"/>
      <c r="K64" s="11602" t="n"/>
      <c r="L64" s="11602" t="n"/>
      <c r="M64" s="11602" t="n"/>
      <c r="N64" s="11602" t="n"/>
      <c r="O64" s="11602" t="n"/>
      <c r="P64" s="11602" t="n"/>
      <c r="Q64" s="11602" t="n"/>
      <c r="R64" s="11602" t="n"/>
      <c r="S64" s="11602" t="n"/>
      <c r="T64" s="11602" t="n"/>
      <c r="U64" s="11602" t="n"/>
      <c r="V64" s="11602" t="n"/>
      <c r="W64" s="11602" t="n"/>
      <c r="X64" s="11602" t="n"/>
      <c r="Y64" s="11602" t="n"/>
      <c r="Z64" s="11602" t="n"/>
      <c r="AA64" s="11602" t="n"/>
      <c r="AB64" s="11602" t="n"/>
      <c r="AC64" s="1401" t="inlineStr">
        <is>
          <t xml:space="preserve">.   .   .   .   .   .   .   .   .   .   . </t>
        </is>
      </c>
      <c r="AD64" s="2895" t="n">
        <v>43</v>
      </c>
      <c r="AE64" s="10805">
        <f>IF($AM$19,MAX(0,SUM(AE44,-AE45)),"")</f>
        <v/>
      </c>
      <c r="AF64" s="7637" t="n"/>
      <c r="AG64" s="7637" t="n"/>
      <c r="AH64" s="7637" t="n"/>
      <c r="AI64" s="7637" t="n"/>
      <c r="AJ64" s="7637" t="n"/>
      <c r="AK64" s="2013" t="n"/>
      <c r="AL64" s="712" t="n"/>
      <c r="AM64" s="512">
        <f>IF(YEAR(AM61)=TaxYear,MONTH(AM61),IF(AM61&gt;=AM65,13,14))</f>
        <v/>
      </c>
      <c r="AN64" s="11602" t="n"/>
      <c r="AO64" s="11602" t="n"/>
      <c r="AP64" s="11602" t="n"/>
      <c r="AQ64" s="11602" t="n"/>
      <c r="AR64" s="6725" t="n">
        <v>9</v>
      </c>
      <c r="AS64" s="12726">
        <f>(74.9/100)%</f>
        <v/>
      </c>
      <c r="AT64" s="11602" t="n"/>
      <c r="AU64" s="11602" t="n"/>
      <c r="AV64" s="11880" t="n"/>
    </row>
    <row r="65" ht="14.25" customFormat="1" customHeight="1" s="658" thickBot="1">
      <c r="A65" s="2013" t="n"/>
      <c r="B65" s="721" t="n"/>
      <c r="C65" s="6728" t="n">
        <v>44</v>
      </c>
      <c r="D65" s="4459" t="inlineStr">
        <is>
          <t>Excess casualty losses and depreciation. Subtract line 33 from line 32. If less than zero, enter -0-</t>
        </is>
      </c>
      <c r="E65" s="721" t="n"/>
      <c r="F65" s="721" t="n"/>
      <c r="G65" s="721" t="n"/>
      <c r="H65" s="721" t="n"/>
      <c r="I65" s="721" t="n"/>
      <c r="J65" s="721" t="n"/>
      <c r="K65" s="721" t="n"/>
      <c r="L65" s="721" t="n"/>
      <c r="M65" s="721" t="n"/>
      <c r="N65" s="721" t="n"/>
      <c r="O65" s="721" t="n"/>
      <c r="P65" s="721" t="n"/>
      <c r="Q65" s="721" t="n"/>
      <c r="R65" s="721" t="n"/>
      <c r="S65" s="721" t="n"/>
      <c r="T65" s="721" t="n"/>
      <c r="U65" s="721" t="n"/>
      <c r="V65" s="721" t="n"/>
      <c r="W65" s="721" t="n"/>
      <c r="X65" s="721" t="n"/>
      <c r="Y65" s="721" t="n"/>
      <c r="Z65" s="721" t="n"/>
      <c r="AA65" s="721" t="n"/>
      <c r="AB65" s="721" t="n"/>
      <c r="AC65" s="4462" t="inlineStr">
        <is>
          <t xml:space="preserve"> .   .   . </t>
        </is>
      </c>
      <c r="AD65" s="6729" t="n">
        <v>44</v>
      </c>
      <c r="AE65" s="11127">
        <f>IF(OR(NOT($AM$19),AE61=""),"",MAX(0,SUM(AE50,-AE51)))</f>
        <v/>
      </c>
      <c r="AF65" s="11705" t="n"/>
      <c r="AG65" s="11705" t="n"/>
      <c r="AH65" s="11705" t="n"/>
      <c r="AI65" s="11705" t="n"/>
      <c r="AJ65" s="11705" t="n"/>
      <c r="AK65" s="2013" t="n"/>
      <c r="AL65" s="712" t="n"/>
      <c r="AM65" s="12728" t="n">
        <v>34101</v>
      </c>
      <c r="AN65" s="11602" t="n"/>
      <c r="AO65" s="11602" t="n"/>
      <c r="AP65" s="11602" t="n"/>
      <c r="AQ65" s="11602" t="n"/>
      <c r="AR65" s="6725" t="n">
        <v>10</v>
      </c>
      <c r="AS65" s="12726">
        <f>(53.5/100)%</f>
        <v/>
      </c>
      <c r="AT65" s="11602" t="n"/>
      <c r="AU65" s="11602" t="n"/>
      <c r="AV65" s="11880" t="n"/>
    </row>
    <row r="66" ht="18" customHeight="1" s="7635" thickTop="1">
      <c r="A66" s="2013" t="n"/>
      <c r="B66" s="6731" t="inlineStr">
        <is>
          <t>For Paperwork Reduction Act Notice, see your tax return instructions.</t>
        </is>
      </c>
      <c r="C66" s="2933" t="n"/>
      <c r="D66" s="2933" t="n"/>
      <c r="E66" s="2933" t="n"/>
      <c r="F66" s="2933" t="n"/>
      <c r="G66" s="2933" t="n"/>
      <c r="H66" s="2933" t="n"/>
      <c r="I66" s="2933" t="n"/>
      <c r="J66" s="2933" t="n"/>
      <c r="K66" s="2933" t="n"/>
      <c r="L66" s="2933" t="n"/>
      <c r="M66" s="2933" t="n"/>
      <c r="N66" s="2933" t="n"/>
      <c r="O66" s="2933" t="n"/>
      <c r="P66" s="2933" t="n"/>
      <c r="Q66" s="257" t="n"/>
      <c r="R66" s="257" t="n"/>
      <c r="S66" s="257" t="n"/>
      <c r="T66" s="257" t="n"/>
      <c r="U66" s="2934" t="n"/>
      <c r="V66" s="257" t="n"/>
      <c r="W66" s="2244" t="inlineStr">
        <is>
          <t>Cat. No. 13232M</t>
        </is>
      </c>
      <c r="X66" s="257" t="n"/>
      <c r="Y66" s="257" t="n"/>
      <c r="Z66" s="257" t="n"/>
      <c r="AA66" s="257" t="n"/>
      <c r="AB66" s="257" t="n"/>
      <c r="AC66" s="257" t="n"/>
      <c r="AD66" s="257" t="n"/>
      <c r="AE66" s="257" t="n"/>
      <c r="AF66" s="257" t="n"/>
      <c r="AG66" s="257" t="n"/>
      <c r="AH66" s="6732" t="inlineStr">
        <is>
          <t>Form 8829</t>
        </is>
      </c>
      <c r="AI66" s="257" t="n"/>
      <c r="AJ66" s="6733">
        <f>"("&amp;TaxYear&amp;")"</f>
        <v/>
      </c>
      <c r="AK66" s="2013" t="n"/>
      <c r="AL66" s="712" t="n"/>
      <c r="AM66" s="11602" t="n"/>
      <c r="AN66" s="11602" t="n"/>
      <c r="AO66" s="11602" t="n"/>
      <c r="AP66" s="11602" t="n"/>
      <c r="AQ66" s="11602" t="n"/>
      <c r="AR66" s="6725" t="n">
        <v>11</v>
      </c>
      <c r="AS66" s="12726">
        <f>(32.1/100)%</f>
        <v/>
      </c>
      <c r="AT66" s="11602" t="n"/>
      <c r="AU66" s="11602" t="n"/>
      <c r="AV66" s="11880" t="n"/>
      <c r="AW66" s="658" t="n"/>
      <c r="AX66" s="658" t="n"/>
      <c r="AY66" s="658" t="n"/>
      <c r="AZ66" s="658" t="n"/>
      <c r="BA66" s="658" t="n"/>
      <c r="BB66" s="658" t="n"/>
      <c r="BC66" s="658" t="n"/>
      <c r="BD66" s="658" t="n"/>
      <c r="BF66" s="2936" t="n"/>
      <c r="BI66" s="12729" t="n"/>
      <c r="BJ66" s="421" t="n"/>
      <c r="BK66" s="421" t="n"/>
      <c r="BL66" s="690" t="n"/>
      <c r="BM66" s="421" t="n"/>
      <c r="BN66" s="421" t="n"/>
      <c r="BO66" s="421" t="n"/>
      <c r="BP66" s="421" t="n"/>
      <c r="BQ66" s="421" t="n"/>
      <c r="BS66" s="815" t="n"/>
      <c r="BT66" s="815" t="n"/>
      <c r="BU66" s="815" t="n"/>
      <c r="BV66" s="815" t="n"/>
      <c r="BW66" s="815" t="n"/>
      <c r="BX66" s="815" t="n"/>
      <c r="BY66" s="815" t="n"/>
      <c r="BZ66" s="815" t="n"/>
      <c r="CA66" s="815" t="n"/>
    </row>
    <row r="67" ht="18" customHeight="1" s="7635">
      <c r="A67" s="2013" t="n"/>
      <c r="B67" s="2013" t="n"/>
      <c r="C67" s="2013" t="n"/>
      <c r="D67" s="2013" t="n"/>
      <c r="E67" s="2013" t="n"/>
      <c r="F67" s="2013" t="n"/>
      <c r="G67" s="2013" t="n"/>
      <c r="H67" s="2013" t="n"/>
      <c r="I67" s="2013" t="n"/>
      <c r="J67" s="2013" t="n"/>
      <c r="K67" s="2013" t="n"/>
      <c r="L67" s="2013" t="n"/>
      <c r="M67" s="2013" t="n"/>
      <c r="N67" s="2013" t="n"/>
      <c r="O67" s="2013" t="n"/>
      <c r="P67" s="2013" t="n"/>
      <c r="Q67" s="2013" t="n"/>
      <c r="R67" s="2013" t="n"/>
      <c r="S67" s="2013" t="n"/>
      <c r="T67" s="2013" t="n"/>
      <c r="U67" s="2013" t="n"/>
      <c r="V67" s="2013" t="n"/>
      <c r="W67" s="2013" t="n"/>
      <c r="X67" s="2013" t="n"/>
      <c r="Y67" s="2013" t="n"/>
      <c r="Z67" s="2013" t="n"/>
      <c r="AA67" s="2013" t="n"/>
      <c r="AB67" s="2013" t="n"/>
      <c r="AC67" s="2013" t="n"/>
      <c r="AD67" s="2013" t="n"/>
      <c r="AE67" s="2013" t="n"/>
      <c r="AF67" s="2013" t="n"/>
      <c r="AG67" s="2013" t="n"/>
      <c r="AH67" s="2013" t="n"/>
      <c r="AI67" s="2013" t="n"/>
      <c r="AJ67" s="2013" t="n"/>
      <c r="AK67" s="2013" t="n"/>
      <c r="AL67" s="712" t="n"/>
      <c r="AM67" s="11602" t="n"/>
      <c r="AN67" s="11602" t="n"/>
      <c r="AO67" s="11602" t="n"/>
      <c r="AP67" s="11602" t="n"/>
      <c r="AQ67" s="11602" t="n"/>
      <c r="AR67" s="6734" t="n">
        <v>12</v>
      </c>
      <c r="AS67" s="12730">
        <f>(10.7/100)%</f>
        <v/>
      </c>
      <c r="AT67" s="11602" t="n"/>
      <c r="AU67" s="11602" t="n"/>
      <c r="AV67" s="11880" t="n"/>
      <c r="AW67" s="658" t="n"/>
      <c r="AX67" s="658" t="n"/>
      <c r="AY67" s="658" t="n"/>
      <c r="AZ67" s="658" t="n"/>
      <c r="BA67" s="658" t="n"/>
      <c r="BB67" s="658" t="n"/>
      <c r="BC67" s="658" t="n"/>
      <c r="BD67" s="658" t="n"/>
      <c r="BF67" s="2936" t="n"/>
      <c r="BI67" s="12729" t="n"/>
      <c r="BJ67" s="421" t="n"/>
      <c r="BK67" s="421" t="n"/>
      <c r="BL67" s="690" t="n"/>
      <c r="BM67" s="421" t="n"/>
      <c r="BN67" s="421" t="n"/>
      <c r="BO67" s="421" t="n"/>
      <c r="BP67" s="421" t="n"/>
      <c r="BQ67" s="421" t="n"/>
      <c r="BS67" s="815" t="n"/>
      <c r="BT67" s="815" t="n"/>
      <c r="BU67" s="815" t="n"/>
      <c r="BV67" s="815" t="n"/>
      <c r="BW67" s="815" t="n"/>
      <c r="BX67" s="815" t="n"/>
      <c r="BY67" s="815" t="n"/>
      <c r="BZ67" s="815" t="n"/>
      <c r="CA67" s="815" t="n"/>
    </row>
    <row r="68" ht="25.5" customFormat="1" customHeight="1" s="658" thickBot="1">
      <c r="B68" s="2938" t="n"/>
      <c r="C68" s="2938" t="n"/>
      <c r="D68" s="2939" t="n"/>
      <c r="E68" s="2939" t="n"/>
      <c r="F68" s="2939" t="n"/>
      <c r="G68" s="2939" t="n"/>
      <c r="H68" s="2939" t="n"/>
      <c r="I68" s="2939" t="n"/>
      <c r="AR68" s="6736" t="n">
        <v>13</v>
      </c>
      <c r="AS68" s="12731" t="n">
        <v>0.02564</v>
      </c>
      <c r="AV68" s="12490" t="n"/>
      <c r="AW68" s="815" t="n"/>
      <c r="AX68" s="815" t="n"/>
      <c r="AY68" s="815" t="n"/>
      <c r="AZ68" s="815" t="n"/>
      <c r="BA68" s="815" t="n"/>
      <c r="BB68" s="815" t="n"/>
      <c r="BC68" s="815" t="n"/>
      <c r="BD68" s="815" t="n"/>
    </row>
    <row r="69" ht="13.5" customFormat="1" customHeight="1" s="658" thickBot="1">
      <c r="B69" s="12202" t="inlineStr">
        <is>
          <t>Download Form 8829</t>
        </is>
      </c>
      <c r="C69" s="12137" t="n"/>
      <c r="D69" s="12137" t="n"/>
      <c r="E69" s="12137" t="n"/>
      <c r="F69" s="12137" t="n"/>
      <c r="G69" s="12137" t="n"/>
      <c r="H69" s="12137" t="n"/>
      <c r="I69" s="12137" t="n"/>
      <c r="J69" s="12137" t="n"/>
      <c r="K69" s="12137" t="n"/>
      <c r="L69" s="12203" t="n"/>
      <c r="AV69" s="12490" t="n"/>
      <c r="AW69" s="815" t="n"/>
      <c r="AX69" s="815" t="n"/>
      <c r="AY69" s="815" t="n"/>
      <c r="AZ69" s="815" t="n"/>
      <c r="BA69" s="815" t="n"/>
      <c r="BB69" s="815" t="n"/>
      <c r="BC69" s="815" t="n"/>
      <c r="BD69" s="815" t="n"/>
    </row>
    <row r="70" ht="27" customFormat="1" customHeight="1" s="658" thickBot="1">
      <c r="B70" s="2940" t="n"/>
      <c r="C70" s="2940" t="n"/>
      <c r="D70" s="2941" t="n"/>
      <c r="E70" s="2941" t="n"/>
      <c r="F70" s="2941" t="n"/>
      <c r="G70" s="2941" t="n"/>
      <c r="H70" s="2941" t="n"/>
      <c r="I70" s="2941" t="n"/>
      <c r="AV70" s="12490" t="n"/>
      <c r="AW70" s="815" t="n"/>
      <c r="AX70" s="815" t="n"/>
      <c r="AY70" s="815" t="n"/>
      <c r="AZ70" s="815" t="n"/>
      <c r="BA70" s="815" t="n"/>
      <c r="BB70" s="815" t="n"/>
      <c r="BC70" s="815" t="n"/>
      <c r="BD70" s="815" t="n"/>
    </row>
    <row r="71" ht="13.5" customFormat="1" customHeight="1" s="658" thickBot="1">
      <c r="B71" s="12204" t="inlineStr">
        <is>
          <t>Download Form 8829 Instructions</t>
        </is>
      </c>
      <c r="C71" s="12137" t="n"/>
      <c r="D71" s="12137" t="n"/>
      <c r="E71" s="12137" t="n"/>
      <c r="F71" s="12137" t="n"/>
      <c r="G71" s="12137" t="n"/>
      <c r="H71" s="12137" t="n"/>
      <c r="I71" s="12137" t="n"/>
      <c r="J71" s="12137" t="n"/>
      <c r="K71" s="12137" t="n"/>
      <c r="L71" s="12203" t="n"/>
      <c r="AV71" s="12490" t="n"/>
      <c r="AW71" s="815" t="n"/>
      <c r="AX71" s="815" t="n"/>
      <c r="AY71" s="815" t="n"/>
      <c r="AZ71" s="815" t="n"/>
      <c r="BA71" s="815" t="n"/>
      <c r="BB71" s="815" t="n"/>
      <c r="BC71" s="815" t="n"/>
      <c r="BD71" s="815" t="n"/>
    </row>
    <row r="72" ht="21.75" customFormat="1" customHeight="1" s="658">
      <c r="AV72" s="12490" t="n"/>
      <c r="AW72" s="815" t="n"/>
      <c r="AX72" s="815" t="n"/>
      <c r="AY72" s="815" t="n"/>
      <c r="AZ72" s="815" t="n"/>
      <c r="BA72" s="815" t="n"/>
      <c r="BB72" s="815" t="n"/>
      <c r="BC72" s="815" t="n"/>
      <c r="BD72" s="815" t="n"/>
    </row>
    <row r="73" ht="13.5" customFormat="1" customHeight="1" s="658" thickBot="1">
      <c r="AV73" s="12490" t="n"/>
      <c r="AW73" s="815" t="n"/>
      <c r="AX73" s="815" t="n"/>
      <c r="AY73" s="815" t="n"/>
      <c r="AZ73" s="815" t="n"/>
      <c r="BA73" s="815" t="n"/>
      <c r="BB73" s="815" t="n"/>
      <c r="BC73" s="815" t="n"/>
      <c r="BD73" s="815" t="n"/>
    </row>
    <row r="74" customFormat="1" s="658">
      <c r="B74" s="11827" t="inlineStr">
        <is>
          <t>Table of Contents</t>
        </is>
      </c>
      <c r="C74" s="2506" t="n"/>
      <c r="D74" s="2506" t="n"/>
      <c r="E74" s="2614" t="n"/>
      <c r="AV74" s="12490" t="n"/>
      <c r="AW74" s="815" t="n"/>
      <c r="AX74" s="815" t="n"/>
      <c r="AY74" s="815" t="n"/>
      <c r="AZ74" s="815" t="n"/>
      <c r="BA74" s="815" t="n"/>
      <c r="BB74" s="815" t="n"/>
      <c r="BC74" s="815" t="n"/>
      <c r="BD74" s="815" t="n"/>
    </row>
    <row r="75" customFormat="1" s="658">
      <c r="B75" s="11741" t="n"/>
      <c r="E75" s="1066" t="n"/>
      <c r="AV75" s="12490" t="n"/>
      <c r="AW75" s="815" t="n"/>
      <c r="AX75" s="815" t="n"/>
      <c r="AY75" s="815" t="n"/>
      <c r="AZ75" s="815" t="n"/>
      <c r="BA75" s="815" t="n"/>
      <c r="BB75" s="815" t="n"/>
      <c r="BC75" s="815" t="n"/>
      <c r="BD75" s="815" t="n"/>
    </row>
    <row r="76" ht="13.5" customFormat="1" customHeight="1" s="658" thickBot="1">
      <c r="B76" s="11743" t="n"/>
      <c r="C76" s="8848" t="n"/>
      <c r="D76" s="8848" t="n"/>
      <c r="E76" s="2627" t="n"/>
      <c r="AV76" s="12490" t="n"/>
      <c r="AW76" s="815" t="n"/>
      <c r="AX76" s="815" t="n"/>
      <c r="AY76" s="815" t="n"/>
      <c r="AZ76" s="815" t="n"/>
      <c r="BA76" s="815" t="n"/>
      <c r="BB76" s="815" t="n"/>
      <c r="BC76" s="815" t="n"/>
      <c r="BD76" s="815" t="n"/>
    </row>
    <row r="77" ht="13.5" customFormat="1" customHeight="1" s="658">
      <c r="AV77" s="12490" t="n"/>
      <c r="AW77" s="815" t="n"/>
      <c r="AX77" s="815" t="n"/>
      <c r="AY77" s="815" t="n"/>
      <c r="AZ77" s="815" t="n"/>
      <c r="BA77" s="815" t="n"/>
      <c r="BB77" s="815" t="n"/>
      <c r="BC77" s="815" t="n"/>
      <c r="BD77" s="815" t="n"/>
    </row>
    <row r="78" customFormat="1" s="658">
      <c r="AV78" s="12490" t="n"/>
      <c r="AW78" s="815" t="n"/>
      <c r="AX78" s="815" t="n"/>
      <c r="AY78" s="815" t="n"/>
      <c r="AZ78" s="815" t="n"/>
      <c r="BA78" s="815" t="n"/>
      <c r="BB78" s="815" t="n"/>
      <c r="BC78" s="815" t="n"/>
      <c r="BD78" s="815" t="n"/>
    </row>
    <row r="79" customFormat="1" s="658">
      <c r="AV79" s="12490" t="n"/>
      <c r="AW79" s="815" t="n"/>
      <c r="AX79" s="815" t="n"/>
      <c r="AY79" s="815" t="n"/>
      <c r="AZ79" s="815" t="n"/>
      <c r="BA79" s="815" t="n"/>
      <c r="BB79" s="815" t="n"/>
      <c r="BC79" s="815" t="n"/>
      <c r="BD79" s="815" t="n"/>
    </row>
    <row r="80" customFormat="1" s="658">
      <c r="AV80" s="12490" t="n"/>
      <c r="AW80" s="815" t="n"/>
      <c r="AX80" s="815" t="n"/>
      <c r="AY80" s="815" t="n"/>
      <c r="AZ80" s="815" t="n"/>
      <c r="BA80" s="815" t="n"/>
      <c r="BB80" s="815" t="n"/>
      <c r="BC80" s="815" t="n"/>
      <c r="BD80" s="815" t="n"/>
    </row>
    <row r="81" customFormat="1" s="658">
      <c r="AV81" s="12490" t="n"/>
      <c r="AW81" s="815" t="n"/>
      <c r="AX81" s="815" t="n"/>
      <c r="AY81" s="815" t="n"/>
      <c r="AZ81" s="815" t="n"/>
      <c r="BA81" s="815" t="n"/>
      <c r="BB81" s="815" t="n"/>
      <c r="BC81" s="815" t="n"/>
      <c r="BD81" s="815" t="n"/>
    </row>
    <row r="82" customFormat="1" s="658">
      <c r="AV82" s="12490" t="n"/>
      <c r="AW82" s="815" t="n"/>
      <c r="AX82" s="815" t="n"/>
      <c r="AY82" s="815" t="n"/>
      <c r="AZ82" s="815" t="n"/>
      <c r="BA82" s="815" t="n"/>
      <c r="BB82" s="815" t="n"/>
      <c r="BC82" s="815" t="n"/>
      <c r="BD82" s="815" t="n"/>
    </row>
    <row r="83" customFormat="1" s="658">
      <c r="AV83" s="12490" t="n"/>
      <c r="AW83" s="815" t="n"/>
      <c r="AX83" s="815" t="n"/>
      <c r="AY83" s="815" t="n"/>
      <c r="AZ83" s="815" t="n"/>
      <c r="BA83" s="815" t="n"/>
      <c r="BB83" s="815" t="n"/>
      <c r="BC83" s="815" t="n"/>
      <c r="BD83" s="815" t="n"/>
    </row>
    <row r="84" customFormat="1" s="658">
      <c r="AV84" s="12490" t="n"/>
      <c r="AW84" s="815" t="n"/>
      <c r="AX84" s="815" t="n"/>
      <c r="AY84" s="815" t="n"/>
      <c r="AZ84" s="815" t="n"/>
      <c r="BA84" s="815" t="n"/>
      <c r="BB84" s="815" t="n"/>
      <c r="BC84" s="815" t="n"/>
      <c r="BD84" s="815" t="n"/>
    </row>
    <row r="85" customFormat="1" s="658">
      <c r="AV85" s="12490" t="n"/>
      <c r="AW85" s="815" t="n"/>
      <c r="AX85" s="815" t="n"/>
      <c r="AY85" s="815" t="n"/>
      <c r="AZ85" s="815" t="n"/>
      <c r="BA85" s="815" t="n"/>
      <c r="BB85" s="815" t="n"/>
      <c r="BC85" s="815" t="n"/>
      <c r="BD85" s="815" t="n"/>
    </row>
  </sheetData>
  <sheetProtection selectLockedCells="0" selectUnlockedCells="0" algorithmName="SHA-512" sheet="1" objects="1" insertRows="1" insertHyperlinks="1" autoFilter="1" scenarios="1" formatColumns="0" deleteColumns="1" insertColumns="1" pivotTables="1" deleteRows="1" formatCells="0" saltValue="HfL5SvP1O2DlAIKJFV1vuQ==" formatRows="0" sort="1" spinCount="100000" hashValue="XFvmQxnb7TsYg2MJyU2cqe9HUpT6ORM+6l3R/Og1FNBcmIs+Cb4sTMv5glyzQzM/N6gLKTgufoNt8cPlqp0s1w=="/>
  <mergeCells count="82">
    <mergeCell ref="AE52:AJ52"/>
    <mergeCell ref="D2:G3"/>
    <mergeCell ref="X49:AC49"/>
    <mergeCell ref="R26:W26"/>
    <mergeCell ref="AE22:AI22"/>
    <mergeCell ref="AE44:AJ44"/>
    <mergeCell ref="R35:W35"/>
    <mergeCell ref="X17:AB17"/>
    <mergeCell ref="B74:E76"/>
    <mergeCell ref="AE13:AJ13"/>
    <mergeCell ref="X26:AC26"/>
    <mergeCell ref="X41:AC41"/>
    <mergeCell ref="X19:AB19"/>
    <mergeCell ref="X35:AC35"/>
    <mergeCell ref="AD5:AG5"/>
    <mergeCell ref="I3:AB3"/>
    <mergeCell ref="X27:AC27"/>
    <mergeCell ref="X36:AC36"/>
    <mergeCell ref="R39:W39"/>
    <mergeCell ref="AD6:AG6"/>
    <mergeCell ref="I5:AB5"/>
    <mergeCell ref="AE32:AJ32"/>
    <mergeCell ref="R29:W29"/>
    <mergeCell ref="B63:C63"/>
    <mergeCell ref="AB18:AC18"/>
    <mergeCell ref="X37:AC37"/>
    <mergeCell ref="B3:C3"/>
    <mergeCell ref="AE33:AJ33"/>
    <mergeCell ref="R37:W37"/>
    <mergeCell ref="I6:AB6"/>
    <mergeCell ref="X47:AC47"/>
    <mergeCell ref="AE29:AG29"/>
    <mergeCell ref="X29:AC29"/>
    <mergeCell ref="X38:AC38"/>
    <mergeCell ref="B11:C11"/>
    <mergeCell ref="R41:W41"/>
    <mergeCell ref="AE60:AJ60"/>
    <mergeCell ref="AE61:AI61"/>
    <mergeCell ref="B69:L69"/>
    <mergeCell ref="AE45:AJ45"/>
    <mergeCell ref="AE55:AJ55"/>
    <mergeCell ref="X43:AC43"/>
    <mergeCell ref="AH5:AI6"/>
    <mergeCell ref="X40:AC40"/>
    <mergeCell ref="AE50:AJ50"/>
    <mergeCell ref="AC3:AJ4"/>
    <mergeCell ref="AE59:AJ59"/>
    <mergeCell ref="AE15:AI15"/>
    <mergeCell ref="AE46:AJ46"/>
    <mergeCell ref="R28:W28"/>
    <mergeCell ref="R30:W30"/>
    <mergeCell ref="AE62:AJ62"/>
    <mergeCell ref="X34:AC34"/>
    <mergeCell ref="X28:AC28"/>
    <mergeCell ref="B56:C56"/>
    <mergeCell ref="AE64:AJ64"/>
    <mergeCell ref="X30:AC30"/>
    <mergeCell ref="B71:L71"/>
    <mergeCell ref="X42:AC42"/>
    <mergeCell ref="X20:AC20"/>
    <mergeCell ref="AE57:AJ57"/>
    <mergeCell ref="AE65:AJ65"/>
    <mergeCell ref="AC1:AJ1"/>
    <mergeCell ref="X39:AC39"/>
    <mergeCell ref="AE51:AJ51"/>
    <mergeCell ref="X48:AC48"/>
    <mergeCell ref="B8:X9"/>
    <mergeCell ref="AC2:AJ2"/>
    <mergeCell ref="AS24:AT24"/>
    <mergeCell ref="R34:W34"/>
    <mergeCell ref="R27:W27"/>
    <mergeCell ref="AE14:AJ14"/>
    <mergeCell ref="R36:W36"/>
    <mergeCell ref="Y8:AJ9"/>
    <mergeCell ref="AE53:AJ53"/>
    <mergeCell ref="B23:C23"/>
    <mergeCell ref="X31:AC31"/>
    <mergeCell ref="R38:W38"/>
    <mergeCell ref="AE25:AJ25"/>
    <mergeCell ref="I4:AB4"/>
    <mergeCell ref="AE58:AJ58"/>
    <mergeCell ref="R40:W40"/>
  </mergeCells>
  <conditionalFormatting sqref="B8:K8">
    <cfRule type="expression" priority="210" dxfId="6">
      <formula>IF(NoColor,1,0)</formula>
    </cfRule>
  </conditionalFormatting>
  <conditionalFormatting sqref="Q18:R19">
    <cfRule type="expression" priority="201" dxfId="6">
      <formula>IF(NoColor,1,0)</formula>
    </cfRule>
  </conditionalFormatting>
  <conditionalFormatting sqref="R26:R30">
    <cfRule type="expression" priority="6" dxfId="6">
      <formula>IF(NoColor,1,0)</formula>
    </cfRule>
  </conditionalFormatting>
  <conditionalFormatting sqref="R27:W30">
    <cfRule type="expression" priority="5" dxfId="6">
      <formula>IF(NoColor,1,0)</formula>
    </cfRule>
  </conditionalFormatting>
  <conditionalFormatting sqref="R34:W41">
    <cfRule type="expression" priority="12" dxfId="6">
      <formula>IF(NoColor,1,0)</formula>
    </cfRule>
  </conditionalFormatting>
  <conditionalFormatting sqref="R35:W35">
    <cfRule type="expression" priority="10" dxfId="20">
      <formula>AND(NoColor,R35=0)</formula>
    </cfRule>
    <cfRule type="expression" priority="11" dxfId="46">
      <formula>AND(NOT(NoColor),R35=0)</formula>
    </cfRule>
  </conditionalFormatting>
  <conditionalFormatting sqref="R26:AC26">
    <cfRule type="expression" priority="78" dxfId="6">
      <formula>IF(NoColor,1,0)</formula>
    </cfRule>
  </conditionalFormatting>
  <conditionalFormatting sqref="X17:X20">
    <cfRule type="expression" priority="41" dxfId="6">
      <formula>IF(NoColor,1,0)</formula>
    </cfRule>
  </conditionalFormatting>
  <conditionalFormatting sqref="X26:X31">
    <cfRule type="expression" priority="40" dxfId="6">
      <formula>IF(NoColor,1,0)</formula>
    </cfRule>
  </conditionalFormatting>
  <conditionalFormatting sqref="X18:AB18">
    <cfRule type="expression" priority="109" dxfId="6">
      <formula>IF(NoColor,1,0)</formula>
    </cfRule>
  </conditionalFormatting>
  <conditionalFormatting sqref="X20:AC20">
    <cfRule type="expression" priority="84" dxfId="6">
      <formula>IF(NoColor,1,0)</formula>
    </cfRule>
  </conditionalFormatting>
  <conditionalFormatting sqref="X27:AC31">
    <cfRule type="expression" priority="39" dxfId="6">
      <formula>IF(NoColor,1,0)</formula>
    </cfRule>
  </conditionalFormatting>
  <conditionalFormatting sqref="X34:AC43">
    <cfRule type="expression" priority="15" dxfId="6">
      <formula>IF(NoColor,1,0)</formula>
    </cfRule>
  </conditionalFormatting>
  <conditionalFormatting sqref="X47:AC49">
    <cfRule type="expression" priority="55" dxfId="6">
      <formula>IF(NoColor,1,0)</formula>
    </cfRule>
  </conditionalFormatting>
  <conditionalFormatting sqref="Y8">
    <cfRule type="expression" priority="141" dxfId="6">
      <formula>IF(NoColor,1,0)</formula>
    </cfRule>
  </conditionalFormatting>
  <conditionalFormatting sqref="AC17">
    <cfRule type="expression" priority="43" dxfId="6">
      <formula>IF(NoColor,1,0)</formula>
    </cfRule>
  </conditionalFormatting>
  <conditionalFormatting sqref="AC19">
    <cfRule type="expression" priority="14" dxfId="6">
      <formula>IF(NoColor,1,0)</formula>
    </cfRule>
  </conditionalFormatting>
  <conditionalFormatting sqref="AE13:AE15">
    <cfRule type="expression" priority="87" dxfId="6">
      <formula>IF(NoColor,1,0)</formula>
    </cfRule>
  </conditionalFormatting>
  <conditionalFormatting sqref="AE22">
    <cfRule type="expression" priority="70" dxfId="6">
      <formula>IF(NoColor,1,0)</formula>
    </cfRule>
  </conditionalFormatting>
  <conditionalFormatting sqref="AE55">
    <cfRule type="expression" priority="51" dxfId="6">
      <formula>IF(NoColor,1,0)</formula>
    </cfRule>
  </conditionalFormatting>
  <conditionalFormatting sqref="AE57:AE62">
    <cfRule type="expression" priority="20" dxfId="6">
      <formula>IF(NoColor,1,0)</formula>
    </cfRule>
  </conditionalFormatting>
  <conditionalFormatting sqref="AE13:AJ14">
    <cfRule type="expression" priority="45" dxfId="6">
      <formula>IF(NoColor,1,0)</formula>
    </cfRule>
  </conditionalFormatting>
  <conditionalFormatting sqref="AE25:AJ25">
    <cfRule type="expression" priority="80" dxfId="6">
      <formula>IF(NoColor,1,0)</formula>
    </cfRule>
  </conditionalFormatting>
  <conditionalFormatting sqref="AE32:AJ33">
    <cfRule type="expression" priority="197" dxfId="6">
      <formula>IF(NoColor,1,0)</formula>
    </cfRule>
  </conditionalFormatting>
  <conditionalFormatting sqref="AE44:AJ46">
    <cfRule type="expression" priority="22" dxfId="6">
      <formula>IF(NoColor,1,0)</formula>
    </cfRule>
  </conditionalFormatting>
  <conditionalFormatting sqref="AE50:AJ53">
    <cfRule type="expression" priority="53" dxfId="6">
      <formula>IF(NoColor,1,0)</formula>
    </cfRule>
  </conditionalFormatting>
  <conditionalFormatting sqref="AE57:AJ60 AE62:AJ62">
    <cfRule type="expression" priority="48" dxfId="6">
      <formula>IF(NoColor,1,0)</formula>
    </cfRule>
  </conditionalFormatting>
  <conditionalFormatting sqref="AE64:AJ65">
    <cfRule type="expression" priority="46" dxfId="6">
      <formula>IF(NoColor,1,0)</formula>
    </cfRule>
  </conditionalFormatting>
  <conditionalFormatting sqref="AJ15">
    <cfRule type="expression" priority="86" dxfId="6">
      <formula>IF(NoColor,1,0)</formula>
    </cfRule>
  </conditionalFormatting>
  <conditionalFormatting sqref="AJ22">
    <cfRule type="expression" priority="69" dxfId="6">
      <formula>IF(NoColor,1,0)</formula>
    </cfRule>
  </conditionalFormatting>
  <conditionalFormatting sqref="AJ61">
    <cfRule type="expression" priority="19" dxfId="6">
      <formula>IF(NoColor,1,0)</formula>
    </cfRule>
  </conditionalFormatting>
  <conditionalFormatting sqref="AL24:AM25">
    <cfRule type="expression" priority="18" dxfId="6">
      <formula>NoColor</formula>
    </cfRule>
  </conditionalFormatting>
  <conditionalFormatting sqref="AM26">
    <cfRule type="expression" priority="17" dxfId="6">
      <formula>NoColor</formula>
    </cfRule>
  </conditionalFormatting>
  <conditionalFormatting sqref="AM29">
    <cfRule type="expression" priority="7" dxfId="6">
      <formula>NoColor</formula>
    </cfRule>
  </conditionalFormatting>
  <conditionalFormatting sqref="AO61">
    <cfRule type="expression" priority="3" dxfId="781">
      <formula>$AM$61=""</formula>
    </cfRule>
    <cfRule type="expression" priority="4" dxfId="40">
      <formula>OR(YEAR(AM61)&lt;TaxYear,$AM$64=14)</formula>
    </cfRule>
  </conditionalFormatting>
  <conditionalFormatting sqref="AS53">
    <cfRule type="expression" priority="8" dxfId="20">
      <formula>AND(NoColor,AS53=0)</formula>
    </cfRule>
    <cfRule type="expression" priority="9" dxfId="778">
      <formula>AND(NOT(NoColor),AS53=0)</formula>
    </cfRule>
  </conditionalFormatting>
  <hyperlinks>
    <hyperlink xmlns:r="http://schemas.openxmlformats.org/officeDocument/2006/relationships" ref="B69" display="Download Form 8829" r:id="rId1"/>
    <hyperlink xmlns:r="http://schemas.openxmlformats.org/officeDocument/2006/relationships" ref="B71" display="Download Form 8829 Instructions" r:id="rId2"/>
  </hyperlinks>
  <pageMargins left="0.75" right="0.25" top="0.36" bottom="0.29" header="0.36" footer="0.21"/>
  <pageSetup orientation="portrait" scale="69" fitToHeight="0"/>
</worksheet>
</file>

<file path=xl/worksheets/sheet52.xml><?xml version="1.0" encoding="utf-8"?>
<worksheet xmlns="http://schemas.openxmlformats.org/spreadsheetml/2006/main">
  <sheetPr>
    <outlinePr summaryBelow="1" summaryRight="1"/>
    <pageSetUpPr fitToPage="1"/>
  </sheetPr>
  <dimension ref="A1:BB289"/>
  <sheetViews>
    <sheetView zoomScaleNormal="100" zoomScaleSheetLayoutView="100" workbookViewId="0">
      <selection activeCell="A1" sqref="A1"/>
    </sheetView>
  </sheetViews>
  <sheetFormatPr baseColWidth="8" defaultColWidth="9.140625" defaultRowHeight="12.75"/>
  <cols>
    <col width="2.7109375" customWidth="1" style="7635" min="1" max="1"/>
    <col width="4.7109375" customWidth="1" style="7635" min="2" max="2"/>
    <col width="4" customWidth="1" style="7635" min="3" max="3"/>
    <col width="3.7109375" customWidth="1" style="7635" min="4" max="10"/>
    <col width="4.42578125" customWidth="1" style="7635" min="11" max="11"/>
    <col width="3.7109375" customWidth="1" style="7635" min="12" max="16"/>
    <col width="4.28515625" customWidth="1" style="7635" min="17" max="17"/>
    <col width="3.7109375" customWidth="1" style="7635" min="18" max="19"/>
    <col width="4.42578125" customWidth="1" style="7635" min="20" max="20"/>
    <col width="3.7109375" customWidth="1" style="7635" min="21" max="23"/>
    <col width="4.42578125" customWidth="1" style="7635" min="24" max="24"/>
    <col width="3.7109375" customWidth="1" style="7635" min="25" max="32"/>
    <col width="4.42578125" customWidth="1" style="7635" min="33" max="33"/>
    <col width="3.7109375" customWidth="1" style="7635" min="34" max="36"/>
    <col width="2" customWidth="1" style="7635" min="37" max="37"/>
    <col width="3.28515625" customWidth="1" style="7635" min="38" max="38"/>
    <col width="2" customWidth="1" style="7635" min="39" max="39"/>
    <col width="2.85546875" customWidth="1" style="7635" min="40" max="40"/>
    <col width="14.42578125" customWidth="1" style="7635" min="41" max="41"/>
    <col width="3.28515625" customWidth="1" style="7635" min="42" max="42"/>
    <col width="10.7109375" customWidth="1" style="658" min="43" max="51"/>
    <col width="4.140625" customWidth="1" style="658" min="52" max="52"/>
  </cols>
  <sheetData>
    <row r="1" ht="12" customFormat="1" customHeight="1" s="81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2013" t="n"/>
      <c r="AM1" s="2013" t="n"/>
      <c r="AN1" s="11602" t="n"/>
      <c r="AO1" s="11602" t="n"/>
      <c r="AP1" s="11602" t="n"/>
      <c r="AQ1" s="658" t="n"/>
      <c r="AR1" s="658" t="n"/>
      <c r="AS1" s="658" t="n"/>
      <c r="AT1" s="658" t="n"/>
      <c r="AU1" s="658" t="n"/>
      <c r="AV1" s="658" t="n"/>
      <c r="AW1" s="658" t="n"/>
      <c r="AX1" s="658" t="n"/>
      <c r="AY1" s="658" t="n"/>
      <c r="AZ1" s="658" t="n"/>
    </row>
    <row r="2" ht="24" customFormat="1" customHeight="1" s="815">
      <c r="A2" s="2013" t="n"/>
      <c r="B2" s="11602" t="n"/>
      <c r="C2" s="11602" t="n"/>
      <c r="D2" s="9882" t="inlineStr">
        <is>
          <t>8863</t>
        </is>
      </c>
      <c r="H2" s="379" t="n"/>
      <c r="I2" s="12732" t="inlineStr">
        <is>
          <t>Education Credits
(American Opportunity and Lifetime Learning Credits)</t>
        </is>
      </c>
      <c r="AB2" s="1066" t="n"/>
      <c r="AC2" s="11089" t="inlineStr">
        <is>
          <t>OMB No. 1545-0074</t>
        </is>
      </c>
      <c r="AD2" s="7637" t="n"/>
      <c r="AE2" s="7637" t="n"/>
      <c r="AF2" s="7637" t="n"/>
      <c r="AG2" s="7637" t="n"/>
      <c r="AH2" s="7637" t="n"/>
      <c r="AI2" s="7637" t="n"/>
      <c r="AJ2" s="7637" t="n"/>
      <c r="AK2" s="2013" t="n"/>
      <c r="AL2" s="2013" t="n"/>
      <c r="AM2" s="2013" t="n"/>
      <c r="AN2" s="11602" t="n"/>
      <c r="AO2" s="11602" t="n"/>
      <c r="AP2" s="11602" t="n"/>
      <c r="AQ2" s="658" t="n"/>
      <c r="AR2" s="658" t="n"/>
      <c r="AS2" s="658" t="n"/>
      <c r="AT2" s="658" t="n"/>
      <c r="AU2" s="658" t="n"/>
      <c r="AV2" s="658" t="n"/>
      <c r="AW2" s="658" t="n"/>
      <c r="AX2" s="658" t="n"/>
      <c r="AY2" s="658" t="n"/>
      <c r="AZ2" s="658" t="n"/>
    </row>
    <row r="3" ht="24" customFormat="1" customHeight="1" s="815">
      <c r="A3" s="2013" t="n"/>
      <c r="B3" s="9886" t="inlineStr">
        <is>
          <t>Form</t>
        </is>
      </c>
      <c r="H3" s="379" t="n"/>
      <c r="I3" s="11741" t="n"/>
      <c r="AB3" s="1066" t="n"/>
      <c r="AC3" s="9887">
        <f>TaxYear</f>
        <v/>
      </c>
      <c r="AD3" s="7839" t="n"/>
      <c r="AE3" s="7839" t="n"/>
      <c r="AF3" s="7839" t="n"/>
      <c r="AG3" s="7839" t="n"/>
      <c r="AH3" s="7839" t="n"/>
      <c r="AI3" s="7839" t="n"/>
      <c r="AJ3" s="7839" t="n"/>
      <c r="AK3" s="2013" t="n"/>
      <c r="AL3" s="2013" t="n"/>
      <c r="AM3" s="2013" t="n"/>
      <c r="AN3" s="11602" t="n"/>
      <c r="AO3" s="11602" t="n"/>
      <c r="AP3" s="11602" t="n"/>
      <c r="AQ3" s="658" t="n"/>
      <c r="AR3" s="658" t="n"/>
      <c r="AS3" s="658" t="n"/>
      <c r="AT3" s="658" t="n"/>
      <c r="AU3" s="658" t="n"/>
      <c r="AV3" s="658" t="n"/>
      <c r="AW3" s="658" t="n"/>
      <c r="AX3" s="658" t="n"/>
      <c r="AY3" s="658" t="n"/>
      <c r="AZ3" s="658" t="n"/>
    </row>
    <row r="4" ht="6.75" customFormat="1" customHeight="1" s="815">
      <c r="A4" s="2013" t="n"/>
      <c r="B4" s="11602" t="n"/>
      <c r="C4" s="11602" t="n"/>
      <c r="D4" s="11602" t="n"/>
      <c r="E4" s="11602" t="n"/>
      <c r="F4" s="11602" t="n"/>
      <c r="G4" s="11602" t="n"/>
      <c r="H4" s="379" t="n"/>
      <c r="I4" s="2911" t="n"/>
      <c r="J4" s="9238" t="n"/>
      <c r="K4" s="9238" t="n"/>
      <c r="L4" s="9238" t="n"/>
      <c r="M4" s="9238" t="n"/>
      <c r="N4" s="9238" t="n"/>
      <c r="O4" s="9238" t="n"/>
      <c r="P4" s="9238" t="n"/>
      <c r="Q4" s="9238" t="n"/>
      <c r="R4" s="9238" t="n"/>
      <c r="S4" s="9238" t="n"/>
      <c r="T4" s="9238" t="n"/>
      <c r="U4" s="9238" t="n"/>
      <c r="V4" s="9238" t="n"/>
      <c r="W4" s="9238" t="n"/>
      <c r="X4" s="9238" t="n"/>
      <c r="Y4" s="9238" t="n"/>
      <c r="Z4" s="9238" t="n"/>
      <c r="AA4" s="9238" t="n"/>
      <c r="AB4" s="2912" t="n"/>
      <c r="AC4" s="11741" t="n"/>
      <c r="AK4" s="2013" t="n"/>
      <c r="AL4" s="2013" t="n"/>
      <c r="AM4" s="2013" t="n"/>
      <c r="AN4" s="11602" t="n"/>
      <c r="AO4" s="11602" t="n"/>
      <c r="AP4" s="11602" t="n"/>
      <c r="AQ4" s="658" t="n"/>
      <c r="AR4" s="658" t="n"/>
      <c r="AS4" s="658" t="n"/>
      <c r="AT4" s="658" t="n"/>
      <c r="AU4" s="658" t="n"/>
      <c r="AV4" s="658" t="n"/>
      <c r="AW4" s="658" t="n"/>
      <c r="AX4" s="658" t="n"/>
      <c r="AY4" s="658" t="n"/>
      <c r="AZ4" s="658" t="n"/>
    </row>
    <row r="5" ht="12.75" customFormat="1" customHeight="1" s="815">
      <c r="A5" s="2013" t="n"/>
      <c r="B5" s="11602" t="inlineStr">
        <is>
          <t>Department of the Treasury</t>
        </is>
      </c>
      <c r="C5" s="11602" t="n"/>
      <c r="D5" s="11602" t="n"/>
      <c r="E5" s="11602" t="n"/>
      <c r="F5" s="11602" t="n"/>
      <c r="G5" s="11602" t="n"/>
      <c r="H5" s="379" t="n"/>
      <c r="I5" s="12716" t="inlineStr">
        <is>
          <t>Attach to Form 1040 or 1040-SR.</t>
        </is>
      </c>
      <c r="AB5" s="1066" t="n"/>
      <c r="AC5" s="341" t="n"/>
      <c r="AD5" s="9237" t="inlineStr">
        <is>
          <t xml:space="preserve">   Attachment</t>
        </is>
      </c>
      <c r="AH5" s="9918" t="n">
        <v>50</v>
      </c>
      <c r="AJ5" s="11602" t="n"/>
      <c r="AK5" s="2013" t="n"/>
      <c r="AL5" s="2013" t="n"/>
      <c r="AM5" s="2013" t="n"/>
      <c r="AN5" s="11602" t="n"/>
      <c r="AO5" s="11602" t="n"/>
      <c r="AP5" s="11602" t="n"/>
      <c r="AQ5" s="658" t="n"/>
      <c r="AR5" s="658" t="n"/>
      <c r="AS5" s="658" t="n"/>
      <c r="AT5" s="658" t="n"/>
      <c r="AU5" s="658" t="n"/>
      <c r="AV5" s="658" t="n"/>
      <c r="AW5" s="658" t="n"/>
      <c r="AX5" s="658" t="n"/>
      <c r="AY5" s="658" t="n"/>
      <c r="AZ5" s="658" t="n"/>
    </row>
    <row r="6" ht="13.5" customFormat="1" customHeight="1" s="815" thickBot="1">
      <c r="A6" s="2013" t="n"/>
      <c r="B6" s="498" t="inlineStr">
        <is>
          <t>Internal Revenue Service</t>
        </is>
      </c>
      <c r="C6" s="380" t="n"/>
      <c r="D6" s="380" t="n"/>
      <c r="E6" s="380" t="n"/>
      <c r="F6" s="380" t="n"/>
      <c r="G6" s="380" t="n"/>
      <c r="H6" s="381" t="n"/>
      <c r="I6" s="12717" t="inlineStr">
        <is>
          <t>Go to www.irs.gov/Form8863 for instructions and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21" t="inlineStr">
        <is>
          <t xml:space="preserve">Sequence No.  </t>
        </is>
      </c>
      <c r="AE6" s="8848" t="n"/>
      <c r="AF6" s="8848" t="n"/>
      <c r="AG6" s="8848" t="n"/>
      <c r="AH6" s="8848" t="n"/>
      <c r="AI6" s="8848" t="n"/>
      <c r="AJ6" s="380" t="n"/>
      <c r="AK6" s="2013" t="n"/>
      <c r="AL6" s="2013" t="n"/>
      <c r="AM6" s="2013" t="n"/>
      <c r="AN6" s="11602" t="n"/>
      <c r="AO6" s="11602" t="n"/>
      <c r="AP6" s="11602" t="n"/>
      <c r="AQ6" s="658" t="n"/>
      <c r="AR6" s="658" t="n"/>
      <c r="AS6" s="658" t="n"/>
      <c r="AT6" s="658" t="n"/>
      <c r="AU6" s="658" t="n"/>
      <c r="AV6" s="658" t="n"/>
      <c r="AW6" s="658" t="n"/>
      <c r="AX6" s="658" t="n"/>
      <c r="AY6" s="658" t="n"/>
      <c r="AZ6" s="658" t="n"/>
    </row>
    <row r="7" customFormat="1" s="815">
      <c r="A7" s="2013" t="n"/>
      <c r="B7" s="339" t="inlineStr">
        <is>
          <t>Name(s) shown on return</t>
        </is>
      </c>
      <c r="C7" s="339" t="n"/>
      <c r="D7" s="339" t="n"/>
      <c r="E7" s="339" t="n"/>
      <c r="F7" s="339" t="n"/>
      <c r="G7" s="339" t="n"/>
      <c r="H7" s="339" t="n"/>
      <c r="I7" s="339" t="n"/>
      <c r="J7" s="339" t="n"/>
      <c r="K7" s="339" t="n"/>
      <c r="L7" s="339" t="n"/>
      <c r="M7" s="339" t="n"/>
      <c r="N7" s="339" t="n"/>
      <c r="O7" s="339" t="n"/>
      <c r="P7" s="339" t="n"/>
      <c r="Q7" s="339" t="n"/>
      <c r="R7" s="339" t="n"/>
      <c r="S7" s="339" t="n"/>
      <c r="T7" s="339" t="n"/>
      <c r="U7" s="339" t="n"/>
      <c r="V7" s="339" t="n"/>
      <c r="W7" s="339" t="n"/>
      <c r="X7" s="339" t="n"/>
      <c r="Y7" s="3816" t="inlineStr">
        <is>
          <t>Your social security number</t>
        </is>
      </c>
      <c r="Z7" s="377" t="n"/>
      <c r="AA7" s="377" t="n"/>
      <c r="AB7" s="377" t="n"/>
      <c r="AC7" s="408" t="n"/>
      <c r="AD7" s="2019" t="n"/>
      <c r="AE7" s="2019" t="n"/>
      <c r="AF7" s="2019" t="n"/>
      <c r="AG7" s="2019" t="n"/>
      <c r="AH7" s="2019" t="n"/>
      <c r="AI7" s="2019" t="n"/>
      <c r="AJ7" s="2019" t="n"/>
      <c r="AK7" s="2013" t="n"/>
      <c r="AL7" s="2013" t="n"/>
      <c r="AM7" s="2013" t="n"/>
      <c r="AN7" s="11602" t="n"/>
      <c r="AO7" s="11602" t="n"/>
      <c r="AP7" s="11602" t="n"/>
      <c r="AQ7" s="658" t="n"/>
      <c r="AR7" s="658" t="n"/>
      <c r="AS7" s="658" t="n"/>
      <c r="AT7" s="658" t="n"/>
      <c r="AU7" s="658" t="n"/>
      <c r="AV7" s="658" t="n"/>
      <c r="AW7" s="658" t="n"/>
      <c r="AX7" s="658" t="n"/>
      <c r="AY7" s="658" t="n"/>
      <c r="AZ7" s="658" t="n"/>
    </row>
    <row r="8" ht="13.5" customFormat="1" customHeight="1" s="815">
      <c r="A8" s="2013" t="n"/>
      <c r="B8" s="12733">
        <f>IF(Names="","",Names)</f>
        <v/>
      </c>
      <c r="X8" s="7636" t="n"/>
      <c r="Y8" s="12683">
        <f>IF(OR(NoSSN,SS_Yours=""),"",SS_Yours)</f>
        <v/>
      </c>
      <c r="AK8" s="2013" t="n"/>
      <c r="AL8" s="2013" t="n"/>
      <c r="AM8" s="2013" t="n"/>
      <c r="AN8" s="11602" t="n"/>
      <c r="AO8" s="8966" t="inlineStr">
        <is>
          <t>American Opportunity Credit</t>
        </is>
      </c>
      <c r="AP8" s="4521" t="n"/>
      <c r="AQ8" s="658" t="n"/>
      <c r="AR8" s="658" t="n"/>
      <c r="AS8" s="658" t="n"/>
      <c r="AT8" s="658" t="n"/>
      <c r="AU8" s="658" t="n"/>
      <c r="AV8" s="658" t="n"/>
      <c r="AW8" s="658" t="n"/>
      <c r="AX8" s="658" t="n"/>
      <c r="AY8" s="658" t="n"/>
      <c r="AZ8" s="658" t="n"/>
    </row>
    <row r="9" ht="5.25" customFormat="1" customHeight="1" s="815">
      <c r="A9" s="2013"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8" t="n"/>
      <c r="Y9" s="3614" t="n"/>
      <c r="Z9" s="7637" t="n"/>
      <c r="AA9" s="7637" t="n"/>
      <c r="AB9" s="7637" t="n"/>
      <c r="AC9" s="7637" t="n"/>
      <c r="AD9" s="7637" t="n"/>
      <c r="AE9" s="7637" t="n"/>
      <c r="AF9" s="7637" t="n"/>
      <c r="AG9" s="7637" t="n"/>
      <c r="AH9" s="7637" t="n"/>
      <c r="AI9" s="7637" t="n"/>
      <c r="AJ9" s="7637" t="n"/>
      <c r="AK9" s="2013" t="n"/>
      <c r="AL9" s="2013" t="n"/>
      <c r="AM9" s="2013" t="n"/>
      <c r="AN9" s="11156" t="inlineStr">
        <is>
          <t>Student</t>
        </is>
      </c>
      <c r="AP9" s="11602" t="n"/>
      <c r="AQ9" s="658" t="n"/>
      <c r="AR9" s="658" t="n"/>
      <c r="AS9" s="658" t="n"/>
      <c r="AT9" s="658" t="n"/>
      <c r="AU9" s="658" t="n"/>
      <c r="AV9" s="658" t="n"/>
      <c r="AW9" s="658" t="n"/>
      <c r="AX9" s="658" t="n"/>
      <c r="AY9" s="658" t="n"/>
      <c r="AZ9" s="658" t="n"/>
    </row>
    <row r="10" ht="25.5" customFormat="1" customHeight="1" s="1115">
      <c r="A10" s="2290" t="n"/>
      <c r="B10" s="6529" t="n"/>
      <c r="C10" s="4904" t="n"/>
      <c r="D10" s="6530" t="inlineStr">
        <is>
          <t>Caution:</t>
        </is>
      </c>
      <c r="E10" s="7772" t="inlineStr">
        <is>
          <t>Complete a separate Part III on page 2 for each student for whom you’re claiming either credit before you</t>
        </is>
      </c>
      <c r="F10" s="4524" t="n"/>
      <c r="G10" s="4524" t="n"/>
      <c r="H10" s="4524" t="n"/>
      <c r="I10" s="4524" t="n"/>
      <c r="J10" s="4524" t="n"/>
      <c r="K10" s="4524" t="n"/>
      <c r="L10" s="4524" t="n"/>
      <c r="M10" s="4524" t="n"/>
      <c r="N10" s="4524" t="n"/>
      <c r="O10" s="4524" t="n"/>
      <c r="P10" s="4524" t="n"/>
      <c r="Q10" s="4524" t="n"/>
      <c r="R10" s="4524" t="n"/>
      <c r="S10" s="4524" t="n"/>
      <c r="T10" s="4524" t="n"/>
      <c r="U10" s="4524" t="n"/>
      <c r="V10" s="4524" t="n"/>
      <c r="W10" s="4524" t="n"/>
      <c r="X10" s="4524" t="n"/>
      <c r="Y10" s="4524" t="n"/>
      <c r="Z10" s="4524" t="n"/>
      <c r="AA10" s="4524" t="n"/>
      <c r="AB10" s="4524" t="n"/>
      <c r="AC10" s="4524" t="n"/>
      <c r="AD10" s="4524" t="n"/>
      <c r="AE10" s="4524" t="n"/>
      <c r="AF10" s="4524" t="n"/>
      <c r="AG10" s="4524" t="n"/>
      <c r="AH10" s="4524" t="n"/>
      <c r="AI10" s="4521" t="n"/>
      <c r="AJ10" s="4521" t="n"/>
      <c r="AK10" s="2290" t="n"/>
      <c r="AL10" s="2290" t="n"/>
      <c r="AM10" s="2290" t="n"/>
      <c r="AP10" s="11602" t="n"/>
      <c r="AQ10" s="1114" t="n"/>
      <c r="AR10" s="1114" t="n"/>
      <c r="AS10" s="1114" t="n"/>
      <c r="AT10" s="1114" t="n"/>
      <c r="AU10" s="1114" t="n"/>
      <c r="AV10" s="1114" t="n"/>
      <c r="AW10" s="1114" t="n"/>
      <c r="AX10" s="1114" t="n"/>
      <c r="AY10" s="1114" t="n"/>
      <c r="AZ10" s="1114" t="n"/>
      <c r="BA10" s="2293" t="n"/>
      <c r="BB10" s="2293" t="n"/>
    </row>
    <row r="11" ht="25.5" customFormat="1" customHeight="1" s="1115">
      <c r="A11" s="2290" t="n"/>
      <c r="B11" s="4524" t="n"/>
      <c r="C11" s="4524" t="n"/>
      <c r="D11" s="6531" t="n"/>
      <c r="E11" s="6532" t="inlineStr">
        <is>
          <t>complete Parts I and II.</t>
        </is>
      </c>
      <c r="F11" s="4524" t="n"/>
      <c r="G11" s="4524" t="n"/>
      <c r="H11" s="4524" t="n"/>
      <c r="I11" s="4524" t="n"/>
      <c r="J11" s="4524" t="n"/>
      <c r="K11" s="4524" t="n"/>
      <c r="L11" s="4524" t="n"/>
      <c r="M11" s="4524" t="n"/>
      <c r="N11" s="4524" t="n"/>
      <c r="O11" s="4524" t="n"/>
      <c r="P11" s="4524" t="n"/>
      <c r="Q11" s="4524" t="n"/>
      <c r="R11" s="4524" t="n"/>
      <c r="S11" s="4524" t="n"/>
      <c r="T11" s="4524" t="n"/>
      <c r="U11" s="4524" t="n"/>
      <c r="V11" s="4524" t="n"/>
      <c r="W11" s="4524" t="n"/>
      <c r="X11" s="4524" t="n"/>
      <c r="Y11" s="4524" t="n"/>
      <c r="Z11" s="4524" t="n"/>
      <c r="AA11" s="4524" t="n"/>
      <c r="AB11" s="4524" t="n"/>
      <c r="AC11" s="4524" t="n"/>
      <c r="AD11" s="4524" t="n"/>
      <c r="AE11" s="4524" t="n"/>
      <c r="AF11" s="4524" t="n"/>
      <c r="AG11" s="4524" t="n"/>
      <c r="AH11" s="4524" t="n"/>
      <c r="AI11" s="4521" t="n"/>
      <c r="AJ11" s="4521" t="n"/>
      <c r="AK11" s="2290" t="n"/>
      <c r="AL11" s="2290" t="n"/>
      <c r="AM11" s="2290" t="n"/>
      <c r="AO11" s="7914" t="inlineStr">
        <is>
          <t>See below for</t>
        </is>
      </c>
      <c r="AP11" s="11602" t="n"/>
      <c r="AQ11" s="1114" t="n"/>
      <c r="AR11" s="1114" t="n"/>
      <c r="AS11" s="1114" t="n"/>
      <c r="AT11" s="1114" t="n"/>
      <c r="AU11" s="1114" t="n"/>
      <c r="AV11" s="1114" t="n"/>
      <c r="AW11" s="1114" t="n"/>
      <c r="AX11" s="1114" t="n"/>
      <c r="AY11" s="1114" t="n"/>
      <c r="AZ11" s="1114" t="n"/>
      <c r="BA11" s="2293" t="n"/>
      <c r="BB11" s="2293" t="n"/>
    </row>
    <row r="12" ht="18" customFormat="1" customHeight="1" s="815" thickBot="1">
      <c r="A12" s="2013" t="n"/>
      <c r="B12" s="9775" t="inlineStr">
        <is>
          <t>Part I</t>
        </is>
      </c>
      <c r="C12" s="8412" t="n"/>
      <c r="D12" s="10884" t="inlineStr">
        <is>
          <t>Refundable American Opportunity Credit</t>
        </is>
      </c>
      <c r="E12" s="773" t="n"/>
      <c r="F12" s="773" t="n"/>
      <c r="G12" s="773" t="n"/>
      <c r="H12" s="773" t="n"/>
      <c r="I12" s="773" t="n"/>
      <c r="J12" s="773" t="n"/>
      <c r="K12" s="773" t="n"/>
      <c r="L12" s="773" t="n"/>
      <c r="M12" s="773" t="n"/>
      <c r="N12" s="773" t="n"/>
      <c r="O12" s="773" t="n"/>
      <c r="P12" s="773" t="n"/>
      <c r="Q12" s="773" t="n"/>
      <c r="R12" s="773" t="n"/>
      <c r="S12" s="773" t="n"/>
      <c r="T12" s="773" t="n"/>
      <c r="U12" s="773" t="n"/>
      <c r="V12" s="773" t="n"/>
      <c r="W12" s="773" t="n"/>
      <c r="X12" s="773" t="n"/>
      <c r="Y12" s="773" t="n"/>
      <c r="Z12" s="773" t="n"/>
      <c r="AA12" s="773" t="n"/>
      <c r="AB12" s="773" t="n"/>
      <c r="AC12" s="773" t="n"/>
      <c r="AD12" s="773" t="n"/>
      <c r="AE12" s="773" t="n"/>
      <c r="AF12" s="773" t="n"/>
      <c r="AG12" s="773" t="n"/>
      <c r="AH12" s="11129">
        <f>AND(OR(AO17="",AO17=0),OR(AO46="",AO46=0))</f>
        <v/>
      </c>
      <c r="AI12" s="8412" t="n"/>
      <c r="AJ12" s="8412" t="n"/>
      <c r="AK12" s="2013" t="n"/>
      <c r="AL12" s="2013" t="n"/>
      <c r="AM12" s="2013" t="n"/>
      <c r="AO12" s="4525" t="inlineStr">
        <is>
          <t>Part III, Line 30</t>
        </is>
      </c>
      <c r="AP12" s="11602" t="n"/>
      <c r="AQ12" s="658" t="n"/>
      <c r="AR12" s="1114" t="n"/>
      <c r="AS12" s="658" t="n"/>
      <c r="AT12" s="658" t="n"/>
      <c r="AU12" s="658" t="n"/>
      <c r="AV12" s="658" t="n"/>
      <c r="AW12" s="658" t="n"/>
      <c r="AX12" s="658" t="n"/>
      <c r="AY12" s="658" t="n"/>
      <c r="AZ12" s="658" t="n"/>
    </row>
    <row r="13" customFormat="1" s="815">
      <c r="A13" s="2013" t="n"/>
      <c r="B13" s="11602" t="n"/>
      <c r="C13" s="9238" t="n"/>
      <c r="D13" s="11602" t="n"/>
      <c r="E13" s="11602" t="n"/>
      <c r="F13" s="11602" t="n"/>
      <c r="G13" s="11602" t="n"/>
      <c r="H13" s="11602" t="n"/>
      <c r="I13" s="11602" t="n"/>
      <c r="J13" s="11602" t="n"/>
      <c r="K13" s="11602" t="n"/>
      <c r="L13" s="11602" t="n"/>
      <c r="M13" s="11602" t="n"/>
      <c r="N13" s="11602" t="n"/>
      <c r="O13" s="11602" t="n"/>
      <c r="P13" s="11602" t="n"/>
      <c r="Q13" s="11602" t="n"/>
      <c r="R13" s="11602" t="n"/>
      <c r="S13" s="11602" t="n"/>
      <c r="T13" s="11602" t="n"/>
      <c r="U13" s="11602" t="n"/>
      <c r="V13" s="11602" t="n"/>
      <c r="W13" s="11602" t="n"/>
      <c r="X13" s="11602" t="n"/>
      <c r="Y13" s="11602" t="n"/>
      <c r="Z13" s="11602" t="n"/>
      <c r="AA13" s="11602" t="n"/>
      <c r="AB13" s="11602" t="n"/>
      <c r="AC13" s="11602" t="n"/>
      <c r="AD13" s="2890" t="n"/>
      <c r="AE13" s="11602" t="n"/>
      <c r="AF13" s="11602" t="n"/>
      <c r="AG13" s="11602" t="n"/>
      <c r="AH13" s="11602" t="n"/>
      <c r="AI13" s="11602" t="n"/>
      <c r="AJ13" s="11602" t="n"/>
      <c r="AK13" s="2013" t="n"/>
      <c r="AL13" s="2013" t="n"/>
      <c r="AM13" s="2013" t="n"/>
      <c r="AN13" s="7914" t="n">
        <v>1</v>
      </c>
      <c r="AO13" s="4526">
        <f>AOC_1</f>
        <v/>
      </c>
      <c r="AP13" s="11602" t="n"/>
      <c r="AQ13" s="658" t="n"/>
      <c r="AR13" s="1114" t="n"/>
      <c r="AS13" s="658" t="n"/>
      <c r="AT13" s="658" t="n"/>
      <c r="AU13" s="658" t="n"/>
      <c r="AV13" s="658" t="n"/>
      <c r="AW13" s="658" t="n"/>
      <c r="AX13" s="658" t="n"/>
      <c r="AY13" s="658" t="n"/>
      <c r="AZ13" s="658" t="n"/>
    </row>
    <row r="14" ht="15" customFormat="1" customHeight="1" s="815">
      <c r="A14" s="2013" t="n"/>
      <c r="B14" s="11602" t="n"/>
      <c r="C14" s="4527" t="inlineStr">
        <is>
          <t>1</t>
        </is>
      </c>
      <c r="D14" s="8650" t="inlineStr">
        <is>
          <t>After completing Part III for each student, enter the total of all amounts from all Parts III, line 30</t>
        </is>
      </c>
      <c r="E14" s="11602" t="n"/>
      <c r="F14" s="11602" t="n"/>
      <c r="G14" s="11602" t="n"/>
      <c r="H14" s="11602" t="n"/>
      <c r="I14" s="11602" t="n"/>
      <c r="J14" s="11602" t="n"/>
      <c r="K14" s="11602" t="n"/>
      <c r="L14" s="11602" t="n"/>
      <c r="M14" s="11602" t="n"/>
      <c r="N14" s="11602" t="n"/>
      <c r="O14" s="11602" t="n"/>
      <c r="P14" s="11602" t="n"/>
      <c r="Q14" s="11602" t="n"/>
      <c r="R14" s="11602" t="n"/>
      <c r="S14" s="11602" t="n"/>
      <c r="T14" s="11602" t="n"/>
      <c r="U14" s="11602" t="n"/>
      <c r="V14" s="11602" t="n"/>
      <c r="W14" s="11602" t="n"/>
      <c r="X14" s="11602" t="n"/>
      <c r="Y14" s="11602" t="n"/>
      <c r="Z14" s="11602" t="n"/>
      <c r="AA14" s="11602" t="n"/>
      <c r="AB14" s="11602" t="n"/>
      <c r="AC14" s="1401" t="inlineStr">
        <is>
          <t xml:space="preserve">.   .   .   .   . </t>
        </is>
      </c>
      <c r="AD14" s="2895" t="n">
        <v>1</v>
      </c>
      <c r="AE14" s="10785">
        <f>IF(AH12,"",AO17)</f>
        <v/>
      </c>
      <c r="AF14" s="7637" t="n"/>
      <c r="AG14" s="7637" t="n"/>
      <c r="AH14" s="7637" t="n"/>
      <c r="AI14" s="7637" t="n"/>
      <c r="AJ14" s="7637" t="n"/>
      <c r="AK14" s="2013" t="n"/>
      <c r="AL14" s="2013" t="n"/>
      <c r="AM14" s="2013" t="n"/>
      <c r="AN14" s="7914" t="n">
        <v>2</v>
      </c>
      <c r="AO14" s="4528">
        <f>AOC_2</f>
        <v/>
      </c>
      <c r="AP14" s="11602" t="n"/>
      <c r="AQ14" s="658" t="n"/>
      <c r="AR14" s="1114" t="n"/>
      <c r="AS14" s="658" t="n"/>
      <c r="AT14" s="658" t="n"/>
      <c r="AU14" s="658" t="n"/>
      <c r="AV14" s="658" t="n"/>
      <c r="AW14" s="658" t="n"/>
      <c r="AX14" s="658" t="n"/>
      <c r="AY14" s="658" t="n"/>
      <c r="AZ14" s="658" t="n"/>
    </row>
    <row r="15" ht="15" customFormat="1" customHeight="1" s="815">
      <c r="A15" s="2013" t="n"/>
      <c r="B15" s="11602" t="n"/>
      <c r="C15" s="4527" t="inlineStr">
        <is>
          <t>2</t>
        </is>
      </c>
      <c r="D15" s="8650">
        <f>"Enter: "&amp;TEXT(AE15,"$0,000")&amp;" if married filing jointly; "&amp;TEXT(AE16,"$0,000")&amp;" if single, head of household,"</f>
        <v/>
      </c>
      <c r="E15" s="11602" t="n"/>
      <c r="F15" s="11602" t="n"/>
      <c r="G15" s="11602" t="n"/>
      <c r="H15" s="11602" t="n"/>
      <c r="I15" s="11602" t="n"/>
      <c r="J15" s="11602" t="n"/>
      <c r="K15" s="11602" t="n"/>
      <c r="L15" s="11602" t="n"/>
      <c r="M15" s="11602" t="n"/>
      <c r="N15" s="11602" t="n"/>
      <c r="O15" s="11602" t="n"/>
      <c r="P15" s="11602" t="n"/>
      <c r="Q15" s="11602" t="n"/>
      <c r="R15" s="11602" t="n"/>
      <c r="S15" s="7861" t="n"/>
      <c r="T15" s="11602" t="n"/>
      <c r="U15" s="11602" t="n"/>
      <c r="V15" s="11602" t="n"/>
      <c r="W15" s="2922" t="n"/>
      <c r="X15" s="12734" t="n"/>
      <c r="AC15" s="7636" t="n"/>
      <c r="AD15" s="2924" t="n"/>
      <c r="AE15" s="9100" t="n">
        <v>180000</v>
      </c>
      <c r="AK15" s="2013" t="n"/>
      <c r="AL15" s="2013" t="n"/>
      <c r="AM15" s="2013" t="n"/>
      <c r="AN15" s="7914" t="n">
        <v>3</v>
      </c>
      <c r="AO15" s="4528">
        <f>AOC_3</f>
        <v/>
      </c>
      <c r="AP15" s="11602" t="n"/>
      <c r="AQ15" s="658" t="n"/>
      <c r="AR15" s="1114" t="n"/>
      <c r="AS15" s="658" t="n"/>
      <c r="AT15" s="658" t="n"/>
      <c r="AU15" s="658" t="n"/>
      <c r="AV15" s="658" t="n"/>
      <c r="AW15" s="658" t="n"/>
      <c r="AX15" s="658" t="n"/>
      <c r="AY15" s="658" t="n"/>
      <c r="AZ15" s="658" t="n"/>
    </row>
    <row r="16" ht="15.75" customFormat="1" customHeight="1" s="815" thickBot="1">
      <c r="A16" s="2013" t="n"/>
      <c r="B16" s="11602" t="n"/>
      <c r="C16" s="4527" t="n"/>
      <c r="D16" s="8650" t="inlineStr">
        <is>
          <t>or qualifying widow(er)</t>
        </is>
      </c>
      <c r="E16" s="11602" t="n"/>
      <c r="F16" s="11602" t="n"/>
      <c r="G16" s="11602" t="n"/>
      <c r="H16" s="11602" t="n"/>
      <c r="I16" s="11602" t="n"/>
      <c r="J16" s="11602" t="n"/>
      <c r="K16" s="1401" t="n"/>
      <c r="L16" s="7861" t="n"/>
      <c r="M16" s="4529" t="n"/>
      <c r="N16" s="1401" t="n"/>
      <c r="O16" s="1401" t="n"/>
      <c r="P16" s="1401" t="n"/>
      <c r="Q16" s="1401" t="n"/>
      <c r="R16" s="1401" t="n"/>
      <c r="S16" s="11602" t="n"/>
      <c r="T16" s="11602" t="n"/>
      <c r="U16" s="11602" t="n"/>
      <c r="V16" s="1401" t="inlineStr">
        <is>
          <t xml:space="preserve">.   .   .   .   .   .   .   .   .   .   .   .   .   .   .   .   .   .   .   .   .   . </t>
        </is>
      </c>
      <c r="W16" s="2918" t="inlineStr">
        <is>
          <t>2</t>
        </is>
      </c>
      <c r="X16" s="11213">
        <f>IF(AH12,"",IF(NumFileStatusBoxes=0,"Filing status?",IF(File_Marr_Joint&lt;&gt;"",AE15,AE16)))</f>
        <v/>
      </c>
      <c r="Y16" s="7637" t="n"/>
      <c r="Z16" s="7637" t="n"/>
      <c r="AA16" s="7637" t="n"/>
      <c r="AB16" s="7637" t="n"/>
      <c r="AC16" s="7638" t="n"/>
      <c r="AD16" s="2924" t="n"/>
      <c r="AE16" s="9100" t="n">
        <v>90000</v>
      </c>
      <c r="AK16" s="2013" t="n"/>
      <c r="AL16" s="2013" t="n"/>
      <c r="AM16" s="2013" t="n"/>
      <c r="AN16" s="7914" t="n">
        <v>4</v>
      </c>
      <c r="AO16" s="4530">
        <f>AOC_4</f>
        <v/>
      </c>
      <c r="AP16" s="11602" t="n"/>
      <c r="AQ16" s="658" t="n"/>
      <c r="AR16" s="658" t="n"/>
      <c r="AS16" s="658" t="n"/>
      <c r="AT16" s="658" t="n"/>
      <c r="AU16" s="658" t="n"/>
      <c r="AV16" s="658" t="n"/>
      <c r="AW16" s="658" t="n"/>
      <c r="AX16" s="658" t="n"/>
      <c r="AY16" s="658" t="n"/>
      <c r="AZ16" s="658" t="n"/>
    </row>
    <row r="17" ht="15" customFormat="1" customHeight="1" s="815" thickBot="1">
      <c r="A17" s="2013" t="n"/>
      <c r="B17" s="11602" t="n"/>
      <c r="C17" s="4527" t="inlineStr">
        <is>
          <t>3</t>
        </is>
      </c>
      <c r="D17" s="8650" t="inlineStr">
        <is>
          <t>Enter the amount from Form 1040 or 1040-SR, line 11b. If you’re filing Form</t>
        </is>
      </c>
      <c r="E17" s="11602" t="n"/>
      <c r="F17" s="11602" t="n"/>
      <c r="G17" s="11602" t="n"/>
      <c r="H17" s="11602" t="n"/>
      <c r="I17" s="11602" t="n"/>
      <c r="J17" s="11602" t="n"/>
      <c r="K17" s="11602" t="n"/>
      <c r="L17" s="11602" t="n"/>
      <c r="M17" s="11602" t="n"/>
      <c r="N17" s="11602" t="n"/>
      <c r="O17" s="11602" t="n"/>
      <c r="P17" s="11602" t="n"/>
      <c r="Q17" s="11602" t="n"/>
      <c r="R17" s="11602" t="n"/>
      <c r="S17" s="11602" t="n"/>
      <c r="T17" s="11602" t="n"/>
      <c r="U17" s="11602" t="n"/>
      <c r="V17" s="11602" t="n"/>
      <c r="W17" s="2922" t="n"/>
      <c r="X17" s="408" t="n"/>
      <c r="Y17" s="11602" t="n"/>
      <c r="Z17" s="11602" t="n"/>
      <c r="AA17" s="11602" t="n"/>
      <c r="AB17" s="11602" t="n"/>
      <c r="AC17" s="409" t="n"/>
      <c r="AD17" s="2924" t="n"/>
      <c r="AE17" s="512" t="n"/>
      <c r="AF17" s="512" t="n"/>
      <c r="AG17" s="512" t="n"/>
      <c r="AH17" s="512" t="n"/>
      <c r="AI17" s="512" t="n"/>
      <c r="AJ17" s="512" t="n"/>
      <c r="AK17" s="2013" t="n"/>
      <c r="AL17" s="2013" t="n"/>
      <c r="AM17" s="2013" t="n"/>
      <c r="AN17" s="7914" t="inlineStr">
        <is>
          <t>T</t>
        </is>
      </c>
      <c r="AO17" s="4531">
        <f>SUM(AO13:AO16)</f>
        <v/>
      </c>
      <c r="AP17" s="11602" t="n"/>
      <c r="AQ17" s="658" t="n"/>
      <c r="AR17" s="658" t="n"/>
      <c r="AS17" s="658" t="n"/>
      <c r="AT17" s="658" t="n"/>
      <c r="AU17" s="658" t="n"/>
      <c r="AV17" s="658" t="n"/>
      <c r="AW17" s="658" t="n"/>
      <c r="AX17" s="658" t="n"/>
      <c r="AY17" s="658" t="n"/>
      <c r="AZ17" s="658" t="n"/>
    </row>
    <row r="18" ht="15.75" customFormat="1" customHeight="1" s="815" thickBot="1">
      <c r="A18" s="2013" t="n"/>
      <c r="B18" s="3827" t="n"/>
      <c r="C18" s="4527" t="n"/>
      <c r="D18" s="8650" t="inlineStr">
        <is>
          <t>2555 or 4563, or you’re excluding income from Puerto Rico, see Pub. 970 for</t>
        </is>
      </c>
      <c r="E18" s="11602" t="n"/>
      <c r="F18" s="11602" t="n"/>
      <c r="G18" s="11602" t="n"/>
      <c r="H18" s="11602" t="n"/>
      <c r="I18" s="11602" t="n"/>
      <c r="J18" s="11602" t="n"/>
      <c r="K18" s="11602" t="n"/>
      <c r="L18" s="11602" t="n"/>
      <c r="M18" s="11602" t="n"/>
      <c r="N18" s="11602" t="n"/>
      <c r="O18" s="11602" t="n"/>
      <c r="P18" s="11602" t="n"/>
      <c r="Q18" s="11602" t="n"/>
      <c r="R18" s="11602" t="n"/>
      <c r="S18" s="11602" t="n"/>
      <c r="T18" s="11602" t="n"/>
      <c r="U18" s="11602" t="n"/>
      <c r="V18" s="11602" t="n"/>
      <c r="W18" s="2922" t="n"/>
      <c r="X18" s="408" t="n"/>
      <c r="Y18" s="11602" t="n"/>
      <c r="Z18" s="11602" t="n"/>
      <c r="AA18" s="11602" t="n"/>
      <c r="AB18" s="11602" t="n"/>
      <c r="AC18" s="409" t="n"/>
      <c r="AD18" s="2924" t="n"/>
      <c r="AE18" s="512" t="n"/>
      <c r="AF18" s="512" t="n"/>
      <c r="AG18" s="512" t="n"/>
      <c r="AH18" s="512" t="n"/>
      <c r="AI18" s="512" t="n"/>
      <c r="AJ18" s="512" t="n"/>
      <c r="AK18" s="2013" t="n"/>
      <c r="AL18" s="2013" t="n"/>
      <c r="AM18" s="2013" t="n"/>
      <c r="AN18" s="11602" t="n"/>
      <c r="AO18" s="11602" t="n"/>
      <c r="AP18" s="11602" t="n"/>
      <c r="AQ18" s="658" t="n"/>
      <c r="AR18" s="658" t="n"/>
      <c r="AS18" s="658" t="n"/>
      <c r="AT18" s="658" t="n"/>
      <c r="AU18" s="658" t="n"/>
      <c r="AV18" s="658" t="n"/>
      <c r="AW18" s="658" t="n"/>
      <c r="AX18" s="658" t="n"/>
      <c r="AY18" s="658" t="n"/>
      <c r="AZ18" s="658" t="n"/>
    </row>
    <row r="19" ht="15" customFormat="1" customHeight="1" s="815" thickBot="1">
      <c r="A19" s="2013" t="n"/>
      <c r="B19" s="11602" t="n"/>
      <c r="C19" s="9238" t="n"/>
      <c r="D19" s="8650" t="inlineStr">
        <is>
          <t>the amount to enter</t>
        </is>
      </c>
      <c r="E19" s="11602" t="n"/>
      <c r="F19" s="11602" t="n"/>
      <c r="G19" s="11602" t="n"/>
      <c r="H19" s="11602" t="n"/>
      <c r="I19" s="11602" t="n"/>
      <c r="J19" s="11602" t="n"/>
      <c r="K19" s="11602" t="n"/>
      <c r="L19" s="11602" t="n"/>
      <c r="M19" s="11602" t="n"/>
      <c r="N19" s="11602" t="n"/>
      <c r="O19" s="11602" t="n"/>
      <c r="P19" s="11602" t="n"/>
      <c r="Q19" s="11602" t="n"/>
      <c r="R19" s="11602" t="n"/>
      <c r="S19" s="11602" t="n"/>
      <c r="T19" s="11602" t="n"/>
      <c r="U19" s="11602" t="n"/>
      <c r="V19" s="1401" t="inlineStr">
        <is>
          <t xml:space="preserve">.   .   .   .   .   .   .   .   .   .   .   .   .   .   .   .   .   .   .   .   .   .   . </t>
        </is>
      </c>
      <c r="W19" s="2918" t="n">
        <v>3</v>
      </c>
      <c r="X19" s="11213">
        <f>IF(AH12,"",IF(AO19&lt;&gt;"",ROUND(AO19,0),Adj_Gross_Inc))</f>
        <v/>
      </c>
      <c r="Y19" s="7637" t="n"/>
      <c r="Z19" s="7637" t="n"/>
      <c r="AA19" s="7637" t="n"/>
      <c r="AB19" s="7637" t="n"/>
      <c r="AC19" s="7638" t="n"/>
      <c r="AD19" s="2924" t="n"/>
      <c r="AE19" s="512" t="n"/>
      <c r="AF19" s="512" t="n"/>
      <c r="AG19" s="512" t="n"/>
      <c r="AH19" s="512" t="n"/>
      <c r="AI19" s="512" t="n"/>
      <c r="AJ19" s="512" t="n"/>
      <c r="AK19" s="2013" t="n"/>
      <c r="AL19" s="2013" t="n"/>
      <c r="AM19" s="2013" t="n"/>
      <c r="AN19" s="11602" t="n"/>
      <c r="AO19" s="12735" t="n"/>
      <c r="AP19" s="11602" t="n"/>
      <c r="AQ19" s="658" t="n"/>
      <c r="AR19" s="658" t="n"/>
      <c r="AS19" s="658" t="n"/>
      <c r="AT19" s="658" t="n"/>
      <c r="AU19" s="658" t="n"/>
      <c r="AV19" s="658" t="n"/>
      <c r="AW19" s="658" t="n"/>
      <c r="AX19" s="658" t="n"/>
      <c r="AY19" s="658" t="n"/>
      <c r="AZ19" s="658" t="n"/>
    </row>
    <row r="20" ht="15" customFormat="1" customHeight="1" s="815">
      <c r="A20" s="2013" t="n"/>
      <c r="B20" s="11602" t="n"/>
      <c r="C20" s="4527" t="inlineStr">
        <is>
          <t>4</t>
        </is>
      </c>
      <c r="D20" s="8650" t="inlineStr">
        <is>
          <t xml:space="preserve">Subtract line 3 from line 2. </t>
        </is>
      </c>
      <c r="E20" s="11602" t="n"/>
      <c r="F20" s="11602" t="n"/>
      <c r="G20" s="11602" t="n"/>
      <c r="H20" s="11602" t="n"/>
      <c r="I20" s="11602" t="n"/>
      <c r="J20" s="11602" t="n"/>
      <c r="K20" s="11602" t="n"/>
      <c r="L20" s="11602" t="n"/>
      <c r="M20" s="11602" t="n"/>
      <c r="N20" s="9892" t="inlineStr">
        <is>
          <t>If zero or less,</t>
        </is>
      </c>
      <c r="O20" s="8650" t="inlineStr">
        <is>
          <t>stop; you can’t take any</t>
        </is>
      </c>
      <c r="P20" s="11602" t="n"/>
      <c r="Q20" s="11602" t="n"/>
      <c r="R20" s="11602" t="n"/>
      <c r="S20" s="11602" t="n"/>
      <c r="T20" s="11602" t="n"/>
      <c r="U20" s="11602" t="n"/>
      <c r="V20" s="11602" t="n"/>
      <c r="W20" s="2922" t="n"/>
      <c r="X20" s="12736" t="n"/>
      <c r="Y20" s="7839" t="n"/>
      <c r="Z20" s="7839" t="n"/>
      <c r="AA20" s="7839" t="n"/>
      <c r="AB20" s="7839" t="n"/>
      <c r="AC20" s="10091" t="n"/>
      <c r="AD20" s="2924" t="n"/>
      <c r="AE20" s="11130">
        <f>OR(X21="",X21&lt;=0)</f>
        <v/>
      </c>
      <c r="AK20" s="2013" t="n"/>
      <c r="AL20" s="2013" t="n"/>
      <c r="AM20" s="2013" t="n"/>
      <c r="AN20" s="11602" t="n"/>
      <c r="AO20" s="11602" t="n"/>
      <c r="AP20" s="4521" t="n"/>
      <c r="AQ20" s="658" t="n"/>
      <c r="AR20" s="658" t="n"/>
      <c r="AS20" s="658" t="n"/>
      <c r="AT20" s="658" t="n"/>
      <c r="AU20" s="658" t="n"/>
      <c r="AV20" s="658" t="n"/>
      <c r="AW20" s="658" t="n"/>
      <c r="AX20" s="658" t="n"/>
      <c r="AY20" s="658" t="n"/>
      <c r="AZ20" s="658" t="n"/>
    </row>
    <row r="21" ht="14.25" customFormat="1" customHeight="1" s="815">
      <c r="A21" s="2013" t="n"/>
      <c r="B21" s="11602" t="n"/>
      <c r="C21" s="9238" t="n"/>
      <c r="D21" s="8650" t="inlineStr">
        <is>
          <t>education credit</t>
        </is>
      </c>
      <c r="E21" s="11602" t="n"/>
      <c r="F21" s="11602" t="n"/>
      <c r="G21" s="11602" t="n"/>
      <c r="H21" s="11602" t="n"/>
      <c r="I21" s="11602" t="n"/>
      <c r="J21" s="11602" t="n"/>
      <c r="K21" s="11602" t="n"/>
      <c r="L21" s="11602" t="n"/>
      <c r="M21" s="11602" t="n"/>
      <c r="N21" s="11602" t="n"/>
      <c r="O21" s="11602" t="n"/>
      <c r="P21" s="11602" t="n"/>
      <c r="Q21" s="11602" t="n"/>
      <c r="R21" s="11602" t="n"/>
      <c r="S21" s="11602" t="n"/>
      <c r="T21" s="11602" t="n"/>
      <c r="U21" s="11602" t="n"/>
      <c r="V21" s="1401" t="inlineStr">
        <is>
          <t xml:space="preserve">.   .   .   .   .   .   .   .   .   .   .   .   .   .   .   .   .   .   .   .   .   .   . </t>
        </is>
      </c>
      <c r="W21" s="2918" t="n">
        <v>4</v>
      </c>
      <c r="X21" s="11213">
        <f>IF(AH12,"",SUM(X16,-X19))</f>
        <v/>
      </c>
      <c r="Y21" s="7637" t="n"/>
      <c r="Z21" s="7637" t="n"/>
      <c r="AA21" s="7637" t="n"/>
      <c r="AB21" s="7637" t="n"/>
      <c r="AC21" s="7638" t="n"/>
      <c r="AD21" s="2924" t="n"/>
      <c r="AE21" s="11130" t="n"/>
      <c r="AK21" s="2013" t="n"/>
      <c r="AL21" s="2013" t="n"/>
      <c r="AM21" s="2013" t="n"/>
      <c r="AN21" s="11602" t="n"/>
      <c r="AO21" s="11602" t="n"/>
      <c r="AP21" s="11602" t="n"/>
      <c r="AQ21" s="658" t="n"/>
      <c r="AR21" s="658" t="n"/>
      <c r="AS21" s="658" t="n"/>
      <c r="AT21" s="658" t="n"/>
      <c r="AU21" s="658" t="n"/>
      <c r="AV21" s="658" t="n"/>
      <c r="AW21" s="658" t="n"/>
      <c r="AX21" s="658" t="n"/>
      <c r="AY21" s="658" t="n"/>
      <c r="AZ21" s="658" t="n"/>
    </row>
    <row r="22" ht="6.75" customFormat="1" customHeight="1" s="815">
      <c r="A22" s="2013" t="n"/>
      <c r="B22" s="11602" t="n"/>
      <c r="C22" s="9238" t="n"/>
      <c r="D22" s="11602" t="n"/>
      <c r="E22" s="11602" t="n"/>
      <c r="F22" s="11602" t="n"/>
      <c r="G22" s="11602" t="n"/>
      <c r="H22" s="11602" t="n"/>
      <c r="I22" s="11602" t="n"/>
      <c r="J22" s="11602" t="n"/>
      <c r="K22" s="11602" t="n"/>
      <c r="L22" s="11602" t="n"/>
      <c r="M22" s="11602" t="n"/>
      <c r="N22" s="11602" t="n"/>
      <c r="O22" s="11602" t="n"/>
      <c r="P22" s="11602" t="n"/>
      <c r="Q22" s="11602" t="n"/>
      <c r="R22" s="11602" t="n"/>
      <c r="S22" s="11602" t="n"/>
      <c r="T22" s="11602" t="n"/>
      <c r="U22" s="11602" t="n"/>
      <c r="V22" s="11602" t="n"/>
      <c r="W22" s="2922" t="n"/>
      <c r="X22" s="11602" t="n"/>
      <c r="Y22" s="11602" t="n"/>
      <c r="Z22" s="11602" t="n"/>
      <c r="AA22" s="11602" t="n"/>
      <c r="AB22" s="11602" t="n"/>
      <c r="AC22" s="11602" t="n"/>
      <c r="AD22" s="2924" t="n"/>
      <c r="AE22" s="512" t="n"/>
      <c r="AF22" s="512" t="n"/>
      <c r="AG22" s="512" t="n"/>
      <c r="AH22" s="512" t="n"/>
      <c r="AI22" s="512" t="n"/>
      <c r="AJ22" s="512" t="n"/>
      <c r="AK22" s="2013" t="n"/>
      <c r="AL22" s="2013" t="n"/>
      <c r="AM22" s="2013" t="n"/>
      <c r="AN22" s="11602" t="n"/>
      <c r="AO22" s="11602" t="n"/>
      <c r="AP22" s="11602" t="n"/>
      <c r="AQ22" s="658" t="n"/>
      <c r="AR22" s="658" t="n"/>
      <c r="AS22" s="658" t="n"/>
      <c r="AT22" s="658" t="n"/>
      <c r="AU22" s="658" t="n"/>
      <c r="AV22" s="658" t="n"/>
      <c r="AW22" s="658" t="n"/>
      <c r="AX22" s="658" t="n"/>
      <c r="AY22" s="658" t="n"/>
      <c r="AZ22" s="658" t="n"/>
    </row>
    <row r="23" ht="15.75" customFormat="1" customHeight="1" s="815">
      <c r="A23" s="2013" t="n"/>
      <c r="B23" s="11602" t="n"/>
      <c r="C23" s="4527" t="inlineStr">
        <is>
          <t>5</t>
        </is>
      </c>
      <c r="D23" s="8650">
        <f>"Enter: "&amp;TEXT(AE23,"$0,000")&amp;" if married filing jointly; "&amp;TEXT(AE24,"$0,000")&amp;" if single, head of household, or"</f>
        <v/>
      </c>
      <c r="E23" s="11602" t="n"/>
      <c r="F23" s="11602" t="n"/>
      <c r="G23" s="11602" t="n"/>
      <c r="H23" s="11602" t="n"/>
      <c r="I23" s="11602" t="n"/>
      <c r="J23" s="11602" t="n"/>
      <c r="K23" s="11602" t="n"/>
      <c r="L23" s="11602" t="n"/>
      <c r="M23" s="11602" t="n"/>
      <c r="N23" s="11602" t="n"/>
      <c r="O23" s="11602" t="n"/>
      <c r="P23" s="11602" t="n"/>
      <c r="Q23" s="11602" t="n"/>
      <c r="R23" s="11602" t="n"/>
      <c r="S23" s="11602" t="n"/>
      <c r="T23" s="11602" t="n"/>
      <c r="U23" s="11602" t="n"/>
      <c r="V23" s="11602" t="n"/>
      <c r="W23" s="2922" t="n"/>
      <c r="X23" s="408" t="n"/>
      <c r="Y23" s="11602" t="n"/>
      <c r="Z23" s="11602" t="n"/>
      <c r="AA23" s="11602" t="n"/>
      <c r="AB23" s="11602" t="n"/>
      <c r="AC23" s="409" t="n"/>
      <c r="AD23" s="2924" t="n"/>
      <c r="AE23" s="9100" t="n">
        <v>20000</v>
      </c>
      <c r="AK23" s="2013" t="n"/>
      <c r="AL23" s="2013" t="n"/>
      <c r="AM23" s="2013" t="n"/>
      <c r="AN23" s="7914" t="n"/>
      <c r="AO23" s="7914" t="n"/>
      <c r="AP23" s="11602" t="n"/>
      <c r="AQ23" s="658" t="n"/>
      <c r="AR23" s="658" t="n"/>
      <c r="AS23" s="658" t="n"/>
      <c r="AT23" s="658" t="n"/>
      <c r="AU23" s="658" t="n"/>
      <c r="AV23" s="658" t="n"/>
      <c r="AW23" s="658" t="n"/>
      <c r="AX23" s="658" t="n"/>
      <c r="AY23" s="658" t="n"/>
      <c r="AZ23" s="658" t="n"/>
    </row>
    <row r="24" ht="15" customFormat="1" customHeight="1" s="815">
      <c r="A24" s="2013" t="n"/>
      <c r="B24" s="11602" t="n"/>
      <c r="C24" s="4527" t="n"/>
      <c r="D24" s="8650" t="inlineStr">
        <is>
          <t>qualifying widow(er)</t>
        </is>
      </c>
      <c r="E24" s="11602" t="n"/>
      <c r="F24" s="11602" t="n"/>
      <c r="G24" s="11602" t="n"/>
      <c r="H24" s="11602" t="n"/>
      <c r="I24" s="11602" t="n"/>
      <c r="J24" s="11602" t="n"/>
      <c r="K24" s="11602" t="n"/>
      <c r="L24" s="11602" t="n"/>
      <c r="M24" s="11602" t="n"/>
      <c r="N24" s="11602" t="n"/>
      <c r="O24" s="11602" t="n"/>
      <c r="P24" s="11602" t="n"/>
      <c r="Q24" s="11602" t="n"/>
      <c r="R24" s="11602" t="n"/>
      <c r="S24" s="11602" t="n"/>
      <c r="T24" s="11602" t="n"/>
      <c r="U24" s="11602" t="n"/>
      <c r="V24" s="1401" t="inlineStr">
        <is>
          <t xml:space="preserve">.   .   .   .   .   .   .   .   .   .   .   .   .   .   .   .   .   .   .   .   .   . </t>
        </is>
      </c>
      <c r="W24" s="2918" t="inlineStr">
        <is>
          <t>5</t>
        </is>
      </c>
      <c r="X24" s="11213">
        <f>IF(OR(AH12,AE20),"",IF(File_Marr_Joint&lt;&gt;"",AE23,AE24))</f>
        <v/>
      </c>
      <c r="Y24" s="7637" t="n"/>
      <c r="Z24" s="7637" t="n"/>
      <c r="AA24" s="7637" t="n"/>
      <c r="AB24" s="7637" t="n"/>
      <c r="AC24" s="7638" t="n"/>
      <c r="AD24" s="2924" t="n"/>
      <c r="AE24" s="9100" t="n">
        <v>10000</v>
      </c>
      <c r="AK24" s="2013" t="n"/>
      <c r="AL24" s="2013" t="n"/>
      <c r="AM24" s="2013" t="n"/>
      <c r="AN24" s="11602" t="n"/>
      <c r="AO24" s="11602" t="n"/>
      <c r="AP24" s="11602" t="n"/>
      <c r="AQ24" s="658" t="n"/>
      <c r="AR24" s="658" t="n"/>
      <c r="AS24" s="658" t="n"/>
      <c r="AT24" s="658" t="n"/>
      <c r="AU24" s="658" t="n"/>
      <c r="AV24" s="658" t="n"/>
      <c r="AW24" s="658" t="n"/>
      <c r="AX24" s="658" t="n"/>
      <c r="AY24" s="658" t="n"/>
      <c r="AZ24" s="658" t="n"/>
    </row>
    <row r="25" ht="17.25" customFormat="1" customHeight="1" s="815">
      <c r="A25" s="2013" t="n"/>
      <c r="B25" s="11602" t="n"/>
      <c r="C25" s="4527" t="inlineStr">
        <is>
          <t>6</t>
        </is>
      </c>
      <c r="D25" s="8650" t="inlineStr">
        <is>
          <t>If line 4 is:</t>
        </is>
      </c>
      <c r="E25" s="7886" t="n"/>
      <c r="F25" s="11602" t="n"/>
      <c r="G25" s="11602" t="n"/>
      <c r="H25" s="11602" t="n"/>
      <c r="I25" s="11602" t="n"/>
      <c r="J25" s="11602" t="n"/>
      <c r="K25" s="11602" t="n"/>
      <c r="L25" s="11602" t="n"/>
      <c r="M25" s="11602" t="n"/>
      <c r="N25" s="11602" t="n"/>
      <c r="O25" s="11602" t="n"/>
      <c r="P25" s="11602" t="n"/>
      <c r="Q25" s="11602" t="n"/>
      <c r="R25" s="11602" t="n"/>
      <c r="S25" s="11602" t="n"/>
      <c r="T25" s="11602" t="n"/>
      <c r="U25" s="11602" t="n"/>
      <c r="V25" s="11602" t="n"/>
      <c r="W25" s="11602" t="n"/>
      <c r="X25" s="11602" t="n"/>
      <c r="Y25" s="11602" t="n"/>
      <c r="Z25" s="11602" t="n"/>
      <c r="AA25" s="11602" t="n"/>
      <c r="AB25" s="11602" t="n"/>
      <c r="AC25" s="11602" t="n"/>
      <c r="AD25" s="2924" t="n"/>
      <c r="AE25" s="512" t="n"/>
      <c r="AF25" s="512" t="n"/>
      <c r="AG25" s="512" t="n"/>
      <c r="AH25" s="512" t="n"/>
      <c r="AI25" s="512" t="n"/>
      <c r="AJ25" s="512" t="n"/>
      <c r="AK25" s="2013" t="n"/>
      <c r="AL25" s="2013" t="n"/>
      <c r="AM25" s="2013" t="n"/>
      <c r="AN25" s="11602" t="n"/>
      <c r="AO25" s="11602" t="n"/>
      <c r="AP25" s="11602" t="n"/>
      <c r="AQ25" s="658" t="n"/>
      <c r="AR25" s="658" t="n"/>
      <c r="AS25" s="658" t="n"/>
      <c r="AT25" s="658" t="n"/>
      <c r="AU25" s="658" t="n"/>
      <c r="AV25" s="658" t="n"/>
      <c r="AW25" s="658" t="n"/>
      <c r="AX25" s="658" t="n"/>
      <c r="AY25" s="658" t="n"/>
      <c r="AZ25" s="658" t="n"/>
    </row>
    <row r="26" ht="14.25" customFormat="1" customHeight="1" s="815" thickBot="1">
      <c r="A26" s="2013" t="n"/>
      <c r="B26" s="11602" t="n"/>
      <c r="C26" s="9238" t="n"/>
      <c r="D26" s="873" t="inlineStr">
        <is>
          <t>●</t>
        </is>
      </c>
      <c r="E26" s="8650" t="inlineStr">
        <is>
          <t>Equal to or more than line 5, enter 1.000 on line 6</t>
        </is>
      </c>
      <c r="F26" s="11602" t="n"/>
      <c r="G26" s="11602" t="n"/>
      <c r="H26" s="11602" t="n"/>
      <c r="I26" s="11602" t="n"/>
      <c r="J26" s="11602" t="n"/>
      <c r="K26" s="11602" t="n"/>
      <c r="L26" s="11602" t="n"/>
      <c r="M26" s="11602" t="n"/>
      <c r="N26" s="11602" t="n"/>
      <c r="O26" s="11602" t="n"/>
      <c r="P26" s="11602" t="n"/>
      <c r="Q26" s="11602" t="n"/>
      <c r="R26" s="11602" t="n"/>
      <c r="S26" s="11602" t="n"/>
      <c r="T26" s="11602" t="n"/>
      <c r="U26" s="11602" t="n"/>
      <c r="V26" s="11602" t="n"/>
      <c r="W26" s="1401" t="inlineStr">
        <is>
          <t xml:space="preserve"> .   .   .   .   .   .   .   .   .   .   . </t>
        </is>
      </c>
      <c r="X26" s="11602" t="n"/>
      <c r="Y26" s="11602" t="n"/>
      <c r="Z26" s="11602" t="n"/>
      <c r="AA26" s="11602" t="n"/>
      <c r="AB26" s="11602" t="n"/>
      <c r="AC26" s="11602" t="n"/>
      <c r="AD26" s="2924" t="n"/>
      <c r="AE26" s="512" t="n"/>
      <c r="AF26" s="512" t="n"/>
      <c r="AG26" s="512" t="n"/>
      <c r="AH26" s="512" t="n"/>
      <c r="AI26" s="512" t="n"/>
      <c r="AJ26" s="512" t="n"/>
      <c r="AK26" s="2013" t="n"/>
      <c r="AL26" s="2013" t="n"/>
      <c r="AM26" s="2013" t="n"/>
      <c r="AN26" s="11602" t="n"/>
      <c r="AO26" s="11602" t="n"/>
      <c r="AP26" s="11602" t="n"/>
      <c r="AQ26" s="658" t="n"/>
      <c r="AR26" s="658" t="n"/>
      <c r="AS26" s="658" t="n"/>
      <c r="AT26" s="658" t="n"/>
      <c r="AU26" s="658" t="n"/>
      <c r="AV26" s="658" t="n"/>
      <c r="AW26" s="658" t="n"/>
      <c r="AX26" s="658" t="n"/>
      <c r="AY26" s="658" t="n"/>
      <c r="AZ26" s="658" t="n"/>
    </row>
    <row r="27" ht="17.25" customFormat="1" customHeight="1" s="815" thickBot="1">
      <c r="A27" s="2013" t="n"/>
      <c r="B27" s="11602" t="n"/>
      <c r="C27" s="9238" t="n"/>
      <c r="D27" s="873" t="inlineStr">
        <is>
          <t>●</t>
        </is>
      </c>
      <c r="E27" s="8650" t="inlineStr">
        <is>
          <t>Less than line 5, divide line 4 by line 5. Enter the result as a decimal (rounded to</t>
        </is>
      </c>
      <c r="F27" s="11602" t="n"/>
      <c r="G27" s="11602" t="n"/>
      <c r="H27" s="11602" t="n"/>
      <c r="I27" s="11602" t="n"/>
      <c r="J27" s="11602" t="n"/>
      <c r="K27" s="11602" t="n"/>
      <c r="L27" s="11602" t="n"/>
      <c r="M27" s="11602" t="n"/>
      <c r="N27" s="11602" t="n"/>
      <c r="O27" s="11602" t="n"/>
      <c r="P27" s="11602" t="n"/>
      <c r="Q27" s="11602" t="n"/>
      <c r="R27" s="11602" t="n"/>
      <c r="S27" s="11602" t="n"/>
      <c r="T27" s="11602" t="n"/>
      <c r="U27" s="11602" t="n"/>
      <c r="V27" s="11602" t="n"/>
      <c r="W27" s="11602" t="n"/>
      <c r="X27" s="11602" t="n"/>
      <c r="Y27" s="11602" t="n"/>
      <c r="Z27" s="11602" t="n"/>
      <c r="AA27" s="11602" t="n"/>
      <c r="AB27" s="11602" t="n"/>
      <c r="AC27" s="1401" t="inlineStr">
        <is>
          <t xml:space="preserve">.   .   .   .   .   .   .   . </t>
        </is>
      </c>
      <c r="AD27" s="2918" t="inlineStr">
        <is>
          <t>6</t>
        </is>
      </c>
      <c r="AE27" s="12737">
        <f>IF(OR(AH12,AE20),"",IF(AO27&lt;&gt;"",ROUND(AO27,3),IF(X21&gt;=X24,1,ROUND(X21/X24,3))))</f>
        <v/>
      </c>
      <c r="AF27" s="7637" t="n"/>
      <c r="AG27" s="7637" t="n"/>
      <c r="AH27" s="7637" t="n"/>
      <c r="AI27" s="7637" t="n"/>
      <c r="AJ27" s="7637" t="n"/>
      <c r="AK27" s="2013" t="n"/>
      <c r="AL27" s="2013" t="n"/>
      <c r="AM27" s="2013" t="n"/>
      <c r="AN27" s="11602" t="n"/>
      <c r="AO27" s="12735" t="n"/>
      <c r="AP27" s="11602" t="n"/>
      <c r="AQ27" s="658" t="n"/>
      <c r="AR27" s="658" t="n"/>
      <c r="AS27" s="658" t="n"/>
      <c r="AT27" s="658" t="n"/>
      <c r="AU27" s="658" t="n"/>
      <c r="AV27" s="658" t="n"/>
      <c r="AW27" s="658" t="n"/>
      <c r="AX27" s="658" t="n"/>
      <c r="AY27" s="658" t="n"/>
      <c r="AZ27" s="658" t="n"/>
    </row>
    <row r="28" ht="13.5" customFormat="1" customHeight="1" s="815">
      <c r="A28" s="2013" t="n"/>
      <c r="B28" s="11602" t="n"/>
      <c r="C28" s="9238" t="n"/>
      <c r="D28" s="8650" t="n"/>
      <c r="E28" s="8650" t="inlineStr">
        <is>
          <t>at least three places)</t>
        </is>
      </c>
      <c r="F28" s="11602" t="n"/>
      <c r="G28" s="11602" t="n"/>
      <c r="H28" s="11602" t="n"/>
      <c r="I28" s="11602" t="n"/>
      <c r="J28" s="11602" t="n"/>
      <c r="K28" s="11602" t="n"/>
      <c r="L28" s="11602" t="n"/>
      <c r="M28" s="11602" t="n"/>
      <c r="N28" s="11602" t="n"/>
      <c r="O28" s="11602" t="n"/>
      <c r="P28" s="11602" t="n"/>
      <c r="Q28" s="11602" t="n"/>
      <c r="R28" s="11602" t="n"/>
      <c r="S28" s="11602" t="n"/>
      <c r="T28" s="11602" t="n"/>
      <c r="U28" s="11602" t="n"/>
      <c r="V28" s="11602" t="n"/>
      <c r="W28" s="1401" t="inlineStr">
        <is>
          <t xml:space="preserve">.   .   .   .   .    .   .   .   .   .   .   .   .   .   .   .   .   .   .   .   .   . </t>
        </is>
      </c>
      <c r="X28" s="11602" t="n"/>
      <c r="Y28" s="11602" t="n"/>
      <c r="Z28" s="11602" t="n"/>
      <c r="AA28" s="11602" t="n"/>
      <c r="AB28" s="11602" t="n"/>
      <c r="AC28" s="11602" t="n"/>
      <c r="AD28" s="2924" t="n"/>
      <c r="AE28" s="11602" t="n"/>
      <c r="AF28" s="11602" t="n"/>
      <c r="AG28" s="11602" t="n"/>
      <c r="AH28" s="11602" t="n"/>
      <c r="AI28" s="11602" t="n"/>
      <c r="AJ28" s="11602" t="n"/>
      <c r="AK28" s="2013" t="n"/>
      <c r="AL28" s="2013" t="n"/>
      <c r="AM28" s="2013" t="n"/>
      <c r="AN28" s="11602" t="n"/>
      <c r="AO28" s="11602" t="n"/>
      <c r="AP28" s="11602" t="n"/>
      <c r="AQ28" s="658" t="n"/>
      <c r="AR28" s="658" t="n"/>
      <c r="AS28" s="658" t="n"/>
      <c r="AT28" s="658" t="n"/>
      <c r="AU28" s="658" t="n"/>
      <c r="AV28" s="658" t="n"/>
      <c r="AW28" s="658" t="n"/>
      <c r="AX28" s="658" t="n"/>
      <c r="AY28" s="658" t="n"/>
      <c r="AZ28" s="658" t="n"/>
    </row>
    <row r="29" ht="13.5" customFormat="1" customHeight="1" s="815">
      <c r="A29" s="2013" t="n"/>
      <c r="B29" s="11602" t="n"/>
      <c r="C29" s="4527" t="inlineStr">
        <is>
          <t>7</t>
        </is>
      </c>
      <c r="D29" s="8650" t="inlineStr">
        <is>
          <t>Multiply line 1 by line 6. Caution: If you were under age 24 at the end of the year and meet the</t>
        </is>
      </c>
      <c r="E29" s="11602" t="n"/>
      <c r="F29" s="11602" t="n"/>
      <c r="G29" s="11602" t="n"/>
      <c r="H29" s="11602" t="n"/>
      <c r="I29" s="11602" t="n"/>
      <c r="J29" s="11602" t="n"/>
      <c r="K29" s="11602" t="n"/>
      <c r="L29" s="11602" t="n"/>
      <c r="M29" s="11602" t="n"/>
      <c r="N29" s="11602" t="n"/>
      <c r="O29" s="11602" t="n"/>
      <c r="P29" s="11602" t="n"/>
      <c r="Q29" s="11602" t="n"/>
      <c r="R29" s="11602" t="n"/>
      <c r="S29" s="11602" t="n"/>
      <c r="T29" s="11602" t="n"/>
      <c r="U29" s="11602" t="n"/>
      <c r="V29" s="11602" t="n"/>
      <c r="W29" s="11602" t="n"/>
      <c r="X29" s="11602" t="n"/>
      <c r="Y29" s="11602" t="n"/>
      <c r="Z29" s="11602" t="n"/>
      <c r="AA29" s="11602" t="n"/>
      <c r="AB29" s="11602" t="n"/>
      <c r="AC29" s="11602" t="n"/>
      <c r="AD29" s="2924" t="n"/>
      <c r="AE29" s="11602" t="n"/>
      <c r="AF29" s="11602" t="n"/>
      <c r="AG29" s="11602" t="n"/>
      <c r="AH29" s="11602" t="n"/>
      <c r="AI29" s="11602" t="n"/>
      <c r="AJ29" s="11602" t="n"/>
      <c r="AK29" s="2013" t="n"/>
      <c r="AL29" s="2013" t="n"/>
      <c r="AM29" s="2013" t="n"/>
      <c r="AN29" s="11602" t="n"/>
      <c r="AO29" s="11602" t="n"/>
      <c r="AP29" s="11602" t="n"/>
      <c r="AQ29" s="658" t="n"/>
      <c r="AR29" s="658" t="n"/>
      <c r="AS29" s="658" t="n"/>
      <c r="AT29" s="658" t="n"/>
      <c r="AU29" s="658" t="n"/>
      <c r="AV29" s="658" t="n"/>
      <c r="AW29" s="658" t="n"/>
      <c r="AX29" s="658" t="n"/>
      <c r="AY29" s="658" t="n"/>
      <c r="AZ29" s="658" t="n"/>
    </row>
    <row r="30" ht="15" customFormat="1" customHeight="1" s="815" thickBot="1">
      <c r="A30" s="2013" t="n"/>
      <c r="B30" s="11602" t="n"/>
      <c r="C30" s="9238" t="n"/>
      <c r="D30" s="8650" t="inlineStr">
        <is>
          <t>conditions described in the instructions, you can’t take the refundable American opportunity credit;</t>
        </is>
      </c>
      <c r="E30" s="11602" t="n"/>
      <c r="F30" s="11602" t="n"/>
      <c r="G30" s="11602" t="n"/>
      <c r="H30" s="11602" t="n"/>
      <c r="I30" s="11602" t="n"/>
      <c r="J30" s="11602" t="n"/>
      <c r="K30" s="11602" t="n"/>
      <c r="L30" s="11602" t="n"/>
      <c r="M30" s="11602" t="n"/>
      <c r="N30" s="11602" t="n"/>
      <c r="O30" s="11602" t="n"/>
      <c r="P30" s="11602" t="n"/>
      <c r="Q30" s="11602" t="n"/>
      <c r="R30" s="11602" t="n"/>
      <c r="S30" s="11602" t="n"/>
      <c r="T30" s="11602" t="n"/>
      <c r="U30" s="11602" t="n"/>
      <c r="V30" s="11602" t="n"/>
      <c r="W30" s="11602" t="n"/>
      <c r="X30" s="11602" t="n"/>
      <c r="Y30" s="11602" t="n"/>
      <c r="Z30" s="11602" t="n"/>
      <c r="AA30" s="11602" t="n"/>
      <c r="AB30" s="11602" t="n"/>
      <c r="AC30" s="11602" t="n"/>
      <c r="AD30" s="2924" t="n"/>
      <c r="AE30" s="11130">
        <f>AB31&lt;&gt;""</f>
        <v/>
      </c>
      <c r="AK30" s="2013" t="n"/>
      <c r="AL30" s="2013" t="n"/>
      <c r="AM30" s="2013" t="n"/>
      <c r="AN30" s="11602" t="n"/>
      <c r="AO30" s="11602" t="n"/>
      <c r="AP30" s="11602" t="n"/>
      <c r="AQ30" s="658" t="n"/>
      <c r="AR30" s="658" t="n"/>
      <c r="AS30" s="658" t="n"/>
      <c r="AT30" s="658" t="n"/>
      <c r="AU30" s="658" t="n"/>
      <c r="AV30" s="658" t="n"/>
      <c r="AW30" s="658" t="n"/>
      <c r="AX30" s="658" t="n"/>
      <c r="AY30" s="658" t="n"/>
      <c r="AZ30" s="658" t="n"/>
    </row>
    <row r="31" ht="15" customFormat="1" customHeight="1" s="815" thickBot="1">
      <c r="A31" s="2013" t="n"/>
      <c r="B31" s="11602" t="n"/>
      <c r="C31" s="9238" t="n"/>
      <c r="D31" s="8650" t="inlineStr">
        <is>
          <t>skip line 8, enter the amount from line 7 on line 9, and check this box</t>
        </is>
      </c>
      <c r="E31" s="11602" t="n"/>
      <c r="F31" s="11602" t="n"/>
      <c r="G31" s="11602" t="n"/>
      <c r="H31" s="11602" t="n"/>
      <c r="I31" s="11602" t="n"/>
      <c r="J31" s="11602" t="n"/>
      <c r="K31" s="11602" t="n"/>
      <c r="L31" s="11602" t="n"/>
      <c r="M31" s="11602" t="n"/>
      <c r="N31" s="11602" t="n"/>
      <c r="O31" s="11602" t="n"/>
      <c r="P31" s="11602" t="n"/>
      <c r="Q31" s="11602" t="n"/>
      <c r="R31" s="11602" t="n"/>
      <c r="S31" s="11602" t="n"/>
      <c r="T31" s="11602" t="n"/>
      <c r="U31" s="11602" t="n"/>
      <c r="V31" s="11602" t="n"/>
      <c r="W31" s="11602" t="n"/>
      <c r="X31" s="11602" t="n"/>
      <c r="Y31" s="11602" t="n"/>
      <c r="Z31" s="1401" t="inlineStr">
        <is>
          <t xml:space="preserve">.   .   .   .   .   .   .   .   .   . </t>
        </is>
      </c>
      <c r="AA31" s="1401" t="n"/>
      <c r="AB31" s="277" t="n"/>
      <c r="AC31" s="11602" t="n"/>
      <c r="AD31" s="2895" t="n">
        <v>7</v>
      </c>
      <c r="AE31" s="10785">
        <f>IF(OR(AH12,AE20),"",ROUND(AE14*AE27,0))</f>
        <v/>
      </c>
      <c r="AF31" s="7637" t="n"/>
      <c r="AG31" s="7637" t="n"/>
      <c r="AH31" s="7637" t="n"/>
      <c r="AI31" s="7637" t="n"/>
      <c r="AJ31" s="7637" t="n"/>
      <c r="AK31" s="2013" t="n"/>
      <c r="AL31" s="2013" t="n"/>
      <c r="AM31" s="2013" t="n"/>
      <c r="AN31" s="11602" t="n"/>
      <c r="AO31" s="11602" t="n"/>
      <c r="AP31" s="11602" t="n"/>
      <c r="AQ31" s="658" t="n"/>
      <c r="AR31" s="658" t="n"/>
      <c r="AS31" s="658" t="n"/>
      <c r="AT31" s="658" t="n"/>
      <c r="AU31" s="658" t="n"/>
      <c r="AV31" s="658" t="n"/>
      <c r="AW31" s="658" t="n"/>
      <c r="AX31" s="658" t="n"/>
      <c r="AY31" s="658" t="n"/>
      <c r="AZ31" s="658" t="n"/>
    </row>
    <row r="32" ht="15" customFormat="1" customHeight="1" s="815" thickBot="1">
      <c r="A32" s="2013" t="n"/>
      <c r="B32" s="11602" t="n"/>
      <c r="C32" s="4527" t="inlineStr">
        <is>
          <t>8</t>
        </is>
      </c>
      <c r="D32" s="810" t="inlineStr">
        <is>
          <t>Refundable American opportunity credit.</t>
        </is>
      </c>
      <c r="E32" s="11602" t="n"/>
      <c r="F32" s="11602" t="n"/>
      <c r="G32" s="11602" t="n"/>
      <c r="H32" s="11602" t="n"/>
      <c r="I32" s="11602" t="n"/>
      <c r="J32" s="11602" t="n"/>
      <c r="K32" s="11602" t="n"/>
      <c r="L32" s="11602" t="n"/>
      <c r="M32" s="11602" t="n"/>
      <c r="N32" s="8650" t="n"/>
      <c r="O32" s="8650">
        <f>"Multiply line 7 by "&amp;TEXT(AE32,"0%")&amp;" ("&amp;TEXT(AE32,"0.00")&amp;"). Enter the amount here and"</f>
        <v/>
      </c>
      <c r="P32" s="11602" t="n"/>
      <c r="Q32" s="11602" t="n"/>
      <c r="R32" s="11602" t="n"/>
      <c r="S32" s="11602" t="n"/>
      <c r="T32" s="11602" t="n"/>
      <c r="U32" s="11602" t="n"/>
      <c r="V32" s="11602" t="n"/>
      <c r="W32" s="11602" t="n"/>
      <c r="X32" s="11602" t="n"/>
      <c r="Y32" s="11602" t="n"/>
      <c r="Z32" s="11602" t="n"/>
      <c r="AA32" s="11602" t="n"/>
      <c r="AB32" s="11602" t="n"/>
      <c r="AC32" s="11602" t="n"/>
      <c r="AD32" s="726" t="n"/>
      <c r="AE32" s="10844" t="n">
        <v>0.4</v>
      </c>
      <c r="AF32" s="7839" t="n"/>
      <c r="AG32" s="7839" t="n"/>
      <c r="AH32" s="7839" t="n"/>
      <c r="AI32" s="7839" t="n"/>
      <c r="AJ32" s="7839" t="n"/>
      <c r="AK32" s="2013" t="n"/>
      <c r="AL32" s="2013" t="n"/>
      <c r="AM32" s="2013" t="n"/>
      <c r="AN32" s="7914" t="n"/>
      <c r="AO32" s="7914" t="n"/>
      <c r="AP32" s="11602" t="n"/>
      <c r="AQ32" s="658" t="n"/>
      <c r="AR32" s="658" t="n"/>
      <c r="AS32" s="658" t="n"/>
      <c r="AT32" s="658" t="n"/>
      <c r="AU32" s="658" t="n"/>
      <c r="AV32" s="658" t="n"/>
      <c r="AW32" s="658" t="n"/>
      <c r="AX32" s="658" t="n"/>
      <c r="AY32" s="658" t="n"/>
      <c r="AZ32" s="658" t="n"/>
    </row>
    <row r="33" ht="18.75" customFormat="1" customHeight="1" s="815" thickBot="1">
      <c r="A33" s="2013" t="n"/>
      <c r="B33" s="380" t="n"/>
      <c r="C33" s="380" t="n"/>
      <c r="D33" s="4532" t="inlineStr">
        <is>
          <t>on Form 1040 or 1040-SR, line 29. Then go to line 9 below</t>
        </is>
      </c>
      <c r="E33" s="380" t="n"/>
      <c r="F33" s="380" t="n"/>
      <c r="G33" s="380" t="n"/>
      <c r="H33" s="380" t="n"/>
      <c r="I33" s="380" t="n"/>
      <c r="J33" s="380" t="n"/>
      <c r="K33" s="380" t="n"/>
      <c r="L33" s="380" t="n"/>
      <c r="M33" s="380" t="n"/>
      <c r="N33" s="380" t="n"/>
      <c r="O33" s="380" t="n"/>
      <c r="P33" s="380" t="n"/>
      <c r="Q33" s="380" t="n"/>
      <c r="R33" s="380" t="n"/>
      <c r="S33" s="380" t="n"/>
      <c r="T33" s="380" t="n"/>
      <c r="U33" s="380" t="n"/>
      <c r="V33" s="380" t="n"/>
      <c r="W33" s="380" t="n"/>
      <c r="X33" s="380" t="n"/>
      <c r="Y33" s="380" t="n"/>
      <c r="Z33" s="380" t="n"/>
      <c r="AA33" s="380" t="n"/>
      <c r="AB33" s="380" t="n"/>
      <c r="AC33" s="4533" t="inlineStr">
        <is>
          <t xml:space="preserve">.   .   .   .   .   .   .   .   .   .   .   .   .   .   .   .   .   .   . </t>
        </is>
      </c>
      <c r="AD33" s="3840" t="n">
        <v>8</v>
      </c>
      <c r="AE33" s="11113">
        <f>IF(AO33&lt;&gt;"",ROUND(AO33,0),IF(OR(AH12,AE20,AE30),"",ROUND(AE31*AE32,0)))</f>
        <v/>
      </c>
      <c r="AF33" s="8848" t="n"/>
      <c r="AG33" s="8848" t="n"/>
      <c r="AH33" s="8848" t="n"/>
      <c r="AI33" s="8848" t="n"/>
      <c r="AJ33" s="8848" t="n"/>
      <c r="AK33" s="2013" t="n"/>
      <c r="AL33" s="2013" t="n"/>
      <c r="AM33" s="2013" t="n"/>
      <c r="AN33" s="344" t="n"/>
      <c r="AO33" s="12735" t="n"/>
      <c r="AP33" s="11602" t="n"/>
      <c r="AQ33" s="658" t="n"/>
      <c r="AR33" s="658" t="n"/>
      <c r="AS33" s="658" t="n"/>
      <c r="AT33" s="658" t="n"/>
      <c r="AU33" s="658" t="n"/>
      <c r="AV33" s="658" t="n"/>
      <c r="AW33" s="658" t="n"/>
      <c r="AX33" s="658" t="n"/>
      <c r="AY33" s="658" t="n"/>
      <c r="AZ33" s="658" t="n"/>
    </row>
    <row r="34" ht="18.75" customFormat="1" customHeight="1" s="815">
      <c r="A34" s="2013" t="n"/>
      <c r="B34" s="11175" t="inlineStr">
        <is>
          <t>Part II</t>
        </is>
      </c>
      <c r="C34" s="12097" t="n"/>
      <c r="D34" s="4534" t="inlineStr">
        <is>
          <t>Nonrefundable Education Credits</t>
        </is>
      </c>
      <c r="E34" s="413" t="n"/>
      <c r="F34" s="413" t="n"/>
      <c r="G34" s="773" t="n"/>
      <c r="H34" s="773" t="n"/>
      <c r="I34" s="773" t="n"/>
      <c r="J34" s="773" t="n"/>
      <c r="K34" s="773" t="n"/>
      <c r="L34" s="773" t="n"/>
      <c r="M34" s="413" t="n"/>
      <c r="N34" s="413" t="n"/>
      <c r="O34" s="413" t="n"/>
      <c r="P34" s="413" t="n"/>
      <c r="Q34" s="413" t="n"/>
      <c r="R34" s="413" t="n"/>
      <c r="S34" s="773" t="n"/>
      <c r="T34" s="773" t="n"/>
      <c r="U34" s="773" t="n"/>
      <c r="V34" s="773" t="n"/>
      <c r="W34" s="773" t="n"/>
      <c r="X34" s="773" t="n"/>
      <c r="Y34" s="773" t="n"/>
      <c r="Z34" s="773" t="n"/>
      <c r="AA34" s="773" t="n"/>
      <c r="AB34" s="773" t="n"/>
      <c r="AC34" s="413" t="n"/>
      <c r="AD34" s="773" t="n"/>
      <c r="AE34" s="773" t="n"/>
      <c r="AF34" s="773" t="n"/>
      <c r="AG34" s="773" t="n"/>
      <c r="AH34" s="773" t="n"/>
      <c r="AI34" s="773" t="n"/>
      <c r="AJ34" s="773" t="n"/>
      <c r="AK34" s="2013" t="n"/>
      <c r="AL34" s="2013" t="n"/>
      <c r="AM34" s="2013" t="n"/>
      <c r="AN34" s="11602" t="n"/>
      <c r="AO34" s="11602" t="n"/>
      <c r="AP34" s="11602" t="n"/>
      <c r="AQ34" s="658" t="n"/>
      <c r="AR34" s="658" t="n"/>
      <c r="AS34" s="658" t="n"/>
      <c r="AT34" s="658" t="n"/>
      <c r="AU34" s="658" t="n"/>
      <c r="AV34" s="658" t="n"/>
      <c r="AW34" s="658" t="n"/>
      <c r="AX34" s="658" t="n"/>
      <c r="AY34" s="658" t="n"/>
      <c r="AZ34" s="658" t="n"/>
    </row>
    <row r="35" ht="16.5" customFormat="1" customHeight="1" s="815">
      <c r="A35" s="2013" t="n"/>
      <c r="B35" s="11602" t="n"/>
      <c r="C35" s="7861" t="inlineStr">
        <is>
          <t>9</t>
        </is>
      </c>
      <c r="D35" s="8650" t="inlineStr">
        <is>
          <t>Subtract line 8 from line 7. Enter here and on line 2 of the Credit Limit Worksheet (see instructions)</t>
        </is>
      </c>
      <c r="E35" s="8650" t="n"/>
      <c r="F35" s="11602" t="n"/>
      <c r="G35" s="11602" t="n"/>
      <c r="H35" s="11602" t="n"/>
      <c r="I35" s="11602" t="n"/>
      <c r="J35" s="11602" t="n"/>
      <c r="K35" s="11602" t="n"/>
      <c r="L35" s="11602" t="n"/>
      <c r="M35" s="11602" t="n"/>
      <c r="N35" s="11602" t="n"/>
      <c r="O35" s="11602" t="n"/>
      <c r="P35" s="11602" t="n"/>
      <c r="Q35" s="11602" t="n"/>
      <c r="R35" s="11602" t="n"/>
      <c r="S35" s="11602" t="n"/>
      <c r="T35" s="11602" t="n"/>
      <c r="U35" s="11602" t="n"/>
      <c r="V35" s="11602" t="n"/>
      <c r="W35" s="11602" t="n"/>
      <c r="X35" s="11602" t="n"/>
      <c r="Y35" s="11602" t="n"/>
      <c r="Z35" s="11602" t="n"/>
      <c r="AA35" s="11602" t="n"/>
      <c r="AB35" s="11602" t="n"/>
      <c r="AC35" s="2198" t="inlineStr">
        <is>
          <t xml:space="preserve">.   .   . </t>
        </is>
      </c>
      <c r="AD35" s="2918" t="n">
        <v>9</v>
      </c>
      <c r="AE35" s="10805">
        <f>IF(OR(AH12,AE20),"",IF(AE30,AE31,ROUND(SUM(AE31,-AE33),0)))</f>
        <v/>
      </c>
      <c r="AF35" s="7637" t="n"/>
      <c r="AG35" s="7637" t="n"/>
      <c r="AH35" s="7637" t="n"/>
      <c r="AI35" s="7637" t="n"/>
      <c r="AJ35" s="7637" t="n"/>
      <c r="AK35" s="2013" t="n"/>
      <c r="AL35" s="2013" t="n"/>
      <c r="AM35" s="2013" t="n"/>
      <c r="AN35" s="11602" t="n"/>
      <c r="AO35" s="11602" t="n"/>
      <c r="AP35" s="11602" t="n"/>
      <c r="AQ35" s="658" t="n"/>
      <c r="AR35" s="658" t="n"/>
      <c r="AS35" s="658" t="n"/>
      <c r="AT35" s="658" t="n"/>
      <c r="AU35" s="658" t="n"/>
      <c r="AV35" s="658" t="n"/>
      <c r="AW35" s="658" t="n"/>
      <c r="AX35" s="658" t="n"/>
      <c r="AY35" s="658" t="n"/>
      <c r="AZ35" s="658" t="n"/>
    </row>
    <row r="36" ht="16.5" customFormat="1" customHeight="1" s="815">
      <c r="A36" s="2013" t="n"/>
      <c r="B36" s="11602" t="n"/>
      <c r="C36" s="7861" t="inlineStr">
        <is>
          <t>10</t>
        </is>
      </c>
      <c r="D36" s="7772" t="inlineStr">
        <is>
          <t>After completing Part III for each student, enter the total of all amounts from all Parts III, line 31. If</t>
        </is>
      </c>
      <c r="E36" s="8650" t="n"/>
      <c r="F36" s="11602" t="n"/>
      <c r="G36" s="11602" t="n"/>
      <c r="H36" s="11602" t="n"/>
      <c r="I36" s="11602" t="n"/>
      <c r="J36" s="11602" t="n"/>
      <c r="K36" s="11602" t="n"/>
      <c r="L36" s="11602" t="n"/>
      <c r="M36" s="11602" t="n"/>
      <c r="N36" s="11602" t="n"/>
      <c r="O36" s="11602" t="n"/>
      <c r="P36" s="11602" t="n"/>
      <c r="Q36" s="11602" t="n"/>
      <c r="R36" s="11602" t="n"/>
      <c r="S36" s="11602" t="n"/>
      <c r="T36" s="11602" t="n"/>
      <c r="U36" s="11602" t="n"/>
      <c r="V36" s="11602" t="n"/>
      <c r="W36" s="11602" t="n"/>
      <c r="X36" s="11602" t="n"/>
      <c r="Y36" s="11602" t="n"/>
      <c r="Z36" s="11602" t="n"/>
      <c r="AA36" s="11602" t="n"/>
      <c r="AB36" s="11602" t="n"/>
      <c r="AC36" s="11602" t="n"/>
      <c r="AD36" s="726" t="n"/>
      <c r="AE36" s="10796">
        <f>OR(AO46="",AO46=0)</f>
        <v/>
      </c>
      <c r="AF36" s="7839" t="n"/>
      <c r="AG36" s="7839" t="n"/>
      <c r="AH36" s="7839" t="n"/>
      <c r="AI36" s="7839" t="n"/>
      <c r="AJ36" s="7839" t="n"/>
      <c r="AK36" s="2013" t="n"/>
      <c r="AL36" s="2013" t="n"/>
      <c r="AM36" s="2013" t="n"/>
      <c r="AN36" s="11602" t="n"/>
      <c r="AO36" s="3790" t="n"/>
      <c r="AP36" s="11602" t="n"/>
      <c r="AQ36" s="658" t="n"/>
      <c r="AR36" s="658" t="n"/>
      <c r="AS36" s="658" t="n"/>
      <c r="AT36" s="658" t="n"/>
      <c r="AU36" s="658" t="n"/>
      <c r="AV36" s="658" t="n"/>
      <c r="AW36" s="658" t="n"/>
      <c r="AX36" s="658" t="n"/>
      <c r="AY36" s="658" t="n"/>
      <c r="AZ36" s="658" t="n"/>
    </row>
    <row r="37" ht="16.5" customFormat="1" customHeight="1" s="815">
      <c r="A37" s="2013" t="n"/>
      <c r="B37" s="11602" t="n"/>
      <c r="C37" s="11602" t="n"/>
      <c r="D37" s="2006" t="inlineStr">
        <is>
          <t>zero, skip lines 11 through 17, enter -0- on line 18, and go to line 19</t>
        </is>
      </c>
      <c r="E37" s="8650" t="n"/>
      <c r="F37" s="11602" t="n"/>
      <c r="G37" s="11602" t="n"/>
      <c r="H37" s="11602" t="n"/>
      <c r="I37" s="11602" t="n"/>
      <c r="J37" s="11602" t="n"/>
      <c r="K37" s="11602" t="n"/>
      <c r="L37" s="11602" t="n"/>
      <c r="M37" s="11602" t="n"/>
      <c r="N37" s="11602" t="n"/>
      <c r="O37" s="11602" t="n"/>
      <c r="P37" s="11602" t="n"/>
      <c r="Q37" s="11602" t="n"/>
      <c r="R37" s="11602" t="n"/>
      <c r="S37" s="11602" t="n"/>
      <c r="T37" s="11602" t="n"/>
      <c r="U37" s="11602" t="n"/>
      <c r="V37" s="11602" t="n"/>
      <c r="W37" s="11602" t="n"/>
      <c r="X37" s="11602" t="n"/>
      <c r="Y37" s="11602" t="n"/>
      <c r="Z37" s="11602" t="n"/>
      <c r="AA37" s="11602" t="n"/>
      <c r="AB37" s="11602" t="n"/>
      <c r="AC37" s="2198" t="inlineStr">
        <is>
          <t xml:space="preserve">.   .   .   .   .   .   .   .   .   .   .   .   . </t>
        </is>
      </c>
      <c r="AD37" s="2918" t="n">
        <v>10</v>
      </c>
      <c r="AE37" s="10805">
        <f>IF(AH12,"",IF(OR(AO46="",AO46=0),0,AO46))</f>
        <v/>
      </c>
      <c r="AF37" s="7637" t="n"/>
      <c r="AG37" s="7637" t="n"/>
      <c r="AH37" s="7637" t="n"/>
      <c r="AI37" s="7637" t="n"/>
      <c r="AJ37" s="7637" t="n"/>
      <c r="AK37" s="2013" t="n"/>
      <c r="AL37" s="2013" t="n"/>
      <c r="AM37" s="2013" t="n"/>
      <c r="AN37" s="11602" t="n"/>
      <c r="AO37" s="8966" t="inlineStr">
        <is>
          <t>Lifetime Learning Credit</t>
        </is>
      </c>
      <c r="AP37" s="11602" t="n"/>
      <c r="AQ37" s="658" t="n"/>
      <c r="AR37" s="658" t="n"/>
      <c r="AS37" s="658" t="n"/>
      <c r="AT37" s="658" t="n"/>
      <c r="AU37" s="658" t="n"/>
      <c r="AV37" s="658" t="n"/>
      <c r="AW37" s="658" t="n"/>
      <c r="AX37" s="658" t="n"/>
      <c r="AY37" s="658" t="n"/>
      <c r="AZ37" s="658" t="n"/>
    </row>
    <row r="38" ht="16.5" customFormat="1" customHeight="1" s="815">
      <c r="A38" s="2013" t="n"/>
      <c r="B38" s="11602" t="n"/>
      <c r="C38" s="7861" t="inlineStr">
        <is>
          <t>11</t>
        </is>
      </c>
      <c r="D38" s="8650">
        <f>"Enter the smaller of line 10 or "&amp;TEXT(Z40,"$0,000")</f>
        <v/>
      </c>
      <c r="E38" s="8650" t="n"/>
      <c r="F38" s="11602" t="n"/>
      <c r="G38" s="11602" t="n"/>
      <c r="H38" s="11602" t="n"/>
      <c r="I38" s="11602" t="n"/>
      <c r="J38" s="11602" t="n"/>
      <c r="K38" s="11602" t="n"/>
      <c r="L38" s="11602" t="n"/>
      <c r="M38" s="11602" t="n"/>
      <c r="N38" s="1900" t="n"/>
      <c r="O38" s="1900" t="n"/>
      <c r="P38" s="1900" t="n"/>
      <c r="Q38" s="1900" t="n"/>
      <c r="R38" s="1900" t="n"/>
      <c r="S38" s="1900" t="n"/>
      <c r="T38" s="1900" t="n"/>
      <c r="U38" s="1900" t="n"/>
      <c r="V38" s="1900" t="n"/>
      <c r="W38" s="1900" t="n"/>
      <c r="X38" s="1900" t="n"/>
      <c r="Y38" s="1900" t="n"/>
      <c r="Z38" s="1900" t="n"/>
      <c r="AA38" s="1900" t="n"/>
      <c r="AB38" s="1900" t="n"/>
      <c r="AC38" s="1938" t="inlineStr">
        <is>
          <t xml:space="preserve">.   .   .   .   .   .   .   .   .   .   .   .   .   .   .   .   .   .   .   .   .   .   .   .   .   .   . </t>
        </is>
      </c>
      <c r="AD38" s="2918" t="n">
        <v>11</v>
      </c>
      <c r="AE38" s="10805">
        <f>IF(OR($AE$20,$AE$36),"",MIN(AE37,Z40))</f>
        <v/>
      </c>
      <c r="AF38" s="7637" t="n"/>
      <c r="AG38" s="7637" t="n"/>
      <c r="AH38" s="7637" t="n"/>
      <c r="AI38" s="7637" t="n"/>
      <c r="AJ38" s="7637" t="n"/>
      <c r="AK38" s="2013" t="n"/>
      <c r="AL38" s="2013" t="n"/>
      <c r="AM38" s="2013" t="n"/>
      <c r="AN38" s="11156" t="inlineStr">
        <is>
          <t>Student</t>
        </is>
      </c>
      <c r="AP38" s="11602" t="n"/>
      <c r="AQ38" s="658" t="n"/>
      <c r="AR38" s="658" t="n"/>
      <c r="AS38" s="658" t="n"/>
      <c r="AT38" s="658" t="n"/>
      <c r="AU38" s="658" t="n"/>
      <c r="AV38" s="658" t="n"/>
      <c r="AW38" s="658" t="n"/>
      <c r="AX38" s="658" t="n"/>
      <c r="AY38" s="658" t="n"/>
      <c r="AZ38" s="658" t="n"/>
    </row>
    <row r="39" ht="16.5" customFormat="1" customHeight="1" s="815">
      <c r="A39" s="2013" t="n"/>
      <c r="B39" s="11602" t="n"/>
      <c r="C39" s="7861" t="inlineStr">
        <is>
          <t>12</t>
        </is>
      </c>
      <c r="D39" s="8650">
        <f>"Multiply line 11 by "&amp;TEXT(AB40,"0%")&amp;" ("&amp;TEXT(AB40,"0.00")&amp;")"</f>
        <v/>
      </c>
      <c r="E39" s="8650" t="n"/>
      <c r="F39" s="11602" t="n"/>
      <c r="G39" s="11602" t="n"/>
      <c r="H39" s="11602" t="n"/>
      <c r="I39" s="11602" t="n"/>
      <c r="J39" s="11602" t="n"/>
      <c r="K39" s="11602" t="n"/>
      <c r="L39" s="11602" t="n"/>
      <c r="M39" s="11602" t="n"/>
      <c r="N39" s="11602" t="n"/>
      <c r="O39" s="11602" t="n"/>
      <c r="P39" s="11602" t="n"/>
      <c r="Q39" s="11602" t="n"/>
      <c r="R39" s="11602" t="n"/>
      <c r="S39" s="11602" t="n"/>
      <c r="T39" s="11602" t="n"/>
      <c r="U39" s="11602" t="n"/>
      <c r="V39" s="11602" t="n"/>
      <c r="W39" s="1400" t="n"/>
      <c r="X39" s="11602" t="n"/>
      <c r="Y39" s="11602" t="n"/>
      <c r="Z39" s="4474" t="n"/>
      <c r="AA39" s="4474" t="n"/>
      <c r="AB39" s="4474" t="n"/>
      <c r="AC39" s="1938" t="inlineStr">
        <is>
          <t xml:space="preserve">.   .   .   .   .   .   .   .   .   .   .   .   .   .   .   .   .   .   .   .   .   .   .   .   .   .   .   .   .   .   . </t>
        </is>
      </c>
      <c r="AD39" s="2918" t="n">
        <v>12</v>
      </c>
      <c r="AE39" s="10805">
        <f>IF(OR($AE$20,$AE$36),"",ROUND(AE38*AB40,0))</f>
        <v/>
      </c>
      <c r="AF39" s="7637" t="n"/>
      <c r="AG39" s="7637" t="n"/>
      <c r="AH39" s="7637" t="n"/>
      <c r="AI39" s="7637" t="n"/>
      <c r="AJ39" s="7637" t="n"/>
      <c r="AK39" s="2013" t="n"/>
      <c r="AL39" s="2013" t="n"/>
      <c r="AM39" s="2013" t="n"/>
      <c r="AP39" s="11602" t="n"/>
      <c r="AQ39" s="658" t="n"/>
      <c r="AR39" s="658" t="n"/>
      <c r="AS39" s="658" t="n"/>
      <c r="AT39" s="658" t="n"/>
      <c r="AU39" s="658" t="n"/>
      <c r="AV39" s="658" t="n"/>
      <c r="AW39" s="658" t="n"/>
      <c r="AX39" s="658" t="n"/>
      <c r="AY39" s="658" t="n"/>
      <c r="AZ39" s="658" t="n"/>
    </row>
    <row r="40" ht="16.5" customFormat="1" customHeight="1" s="815">
      <c r="A40" s="2013" t="n"/>
      <c r="B40" s="11602" t="n"/>
      <c r="C40" s="7861" t="inlineStr">
        <is>
          <t>13</t>
        </is>
      </c>
      <c r="D40" s="8650">
        <f>"Enter: "&amp;TEXT(AE40,"$0,000")&amp;" if married filing jointly; "&amp;TEXT(AE41,"$0,000")&amp;" if single, head of household, or"</f>
        <v/>
      </c>
      <c r="E40" s="8650" t="n"/>
      <c r="F40" s="11602" t="n"/>
      <c r="G40" s="11602" t="n"/>
      <c r="H40" s="11602" t="n"/>
      <c r="I40" s="11602" t="n"/>
      <c r="J40" s="11602" t="n"/>
      <c r="K40" s="11602" t="n"/>
      <c r="L40" s="11602" t="n"/>
      <c r="M40" s="11602" t="n"/>
      <c r="N40" s="11602" t="n"/>
      <c r="O40" s="11602" t="n"/>
      <c r="P40" s="11602" t="n"/>
      <c r="Q40" s="11602" t="n"/>
      <c r="R40" s="11602" t="n"/>
      <c r="S40" s="11602" t="n"/>
      <c r="T40" s="11602" t="n"/>
      <c r="U40" s="11602" t="n"/>
      <c r="V40" s="11602" t="n"/>
      <c r="W40" s="2922" t="n"/>
      <c r="X40" s="408" t="n"/>
      <c r="Y40" s="11602" t="n"/>
      <c r="Z40" s="8914" t="n">
        <v>10000</v>
      </c>
      <c r="AB40" s="10789" t="n">
        <v>0.2</v>
      </c>
      <c r="AC40" s="7636" t="n"/>
      <c r="AD40" s="2924" t="n"/>
      <c r="AE40" s="10874" t="n">
        <v>180000</v>
      </c>
      <c r="AF40" s="7839" t="n"/>
      <c r="AG40" s="7839" t="n"/>
      <c r="AH40" s="7839" t="n"/>
      <c r="AI40" s="7839" t="n"/>
      <c r="AJ40" s="7839" t="n"/>
      <c r="AK40" s="2013" t="n"/>
      <c r="AL40" s="2013" t="n"/>
      <c r="AM40" s="2013" t="n"/>
      <c r="AO40" s="7914" t="inlineStr">
        <is>
          <t>See below for</t>
        </is>
      </c>
      <c r="AP40" s="11602" t="n"/>
      <c r="AQ40" s="658" t="n"/>
      <c r="AR40" s="658" t="n"/>
      <c r="AS40" s="658" t="n"/>
      <c r="AT40" s="658" t="n"/>
      <c r="AU40" s="658" t="n"/>
      <c r="AV40" s="658" t="n"/>
      <c r="AW40" s="658" t="n"/>
      <c r="AX40" s="658" t="n"/>
      <c r="AY40" s="658" t="n"/>
      <c r="AZ40" s="658" t="n"/>
    </row>
    <row r="41" ht="16.5" customFormat="1" customHeight="1" s="815" thickBot="1">
      <c r="A41" s="2013" t="n"/>
      <c r="B41" s="11602" t="n"/>
      <c r="C41" s="11602" t="n"/>
      <c r="D41" s="8650" t="inlineStr">
        <is>
          <t>qualifying widow(er)</t>
        </is>
      </c>
      <c r="E41" s="8650" t="n"/>
      <c r="F41" s="11602" t="n"/>
      <c r="G41" s="11602" t="n"/>
      <c r="H41" s="11602" t="n"/>
      <c r="I41" s="11602" t="n"/>
      <c r="J41" s="11602" t="n"/>
      <c r="K41" s="11602" t="n"/>
      <c r="L41" s="11602" t="n"/>
      <c r="M41" s="11602" t="n"/>
      <c r="N41" s="11602" t="n"/>
      <c r="O41" s="11602" t="n"/>
      <c r="P41" s="11602" t="n"/>
      <c r="Q41" s="11602" t="n"/>
      <c r="R41" s="11602" t="n"/>
      <c r="S41" s="11602" t="n"/>
      <c r="T41" s="11602" t="n"/>
      <c r="U41" s="11602" t="n"/>
      <c r="V41" s="2198" t="inlineStr">
        <is>
          <t xml:space="preserve">.   .   .   .   .   .   .   .   .   .   .   .   .   .   .   .   .   .   .   .   .   .   . </t>
        </is>
      </c>
      <c r="W41" s="2918" t="inlineStr">
        <is>
          <t>13</t>
        </is>
      </c>
      <c r="X41" s="11213">
        <f>IF(OR($AE$20,$AE$36),"",IF(File_Marr_Joint&lt;&gt;"",AE40,AE41))</f>
        <v/>
      </c>
      <c r="Y41" s="7637" t="n"/>
      <c r="Z41" s="7637" t="n"/>
      <c r="AA41" s="7637" t="n"/>
      <c r="AB41" s="7637" t="n"/>
      <c r="AC41" s="7638" t="n"/>
      <c r="AD41" s="2924" t="n"/>
      <c r="AE41" s="9100" t="n">
        <v>90000</v>
      </c>
      <c r="AK41" s="2013" t="n"/>
      <c r="AL41" s="2013" t="n"/>
      <c r="AM41" s="2013" t="n"/>
      <c r="AO41" s="4525" t="inlineStr">
        <is>
          <t>Part III, Line 31</t>
        </is>
      </c>
      <c r="AP41" s="11602" t="n"/>
      <c r="AQ41" s="658" t="n"/>
      <c r="AR41" s="658" t="n"/>
      <c r="AS41" s="658" t="n"/>
      <c r="AT41" s="658" t="n"/>
      <c r="AU41" s="658" t="n"/>
      <c r="AV41" s="658" t="n"/>
      <c r="AW41" s="658" t="n"/>
      <c r="AX41" s="658" t="n"/>
      <c r="AY41" s="658" t="n"/>
      <c r="AZ41" s="658" t="n"/>
    </row>
    <row r="42" ht="16.5" customFormat="1" customHeight="1" s="815">
      <c r="A42" s="2013" t="n"/>
      <c r="B42" s="11602" t="n"/>
      <c r="C42" s="7861" t="inlineStr">
        <is>
          <t>14</t>
        </is>
      </c>
      <c r="D42" s="8650" t="inlineStr">
        <is>
          <t>Enter the amount from Form 1040 or 1040-SR, line 11. If you're filing Form</t>
        </is>
      </c>
      <c r="E42" s="8650" t="n"/>
      <c r="F42" s="11602" t="n"/>
      <c r="G42" s="11602" t="n"/>
      <c r="H42" s="11602" t="n"/>
      <c r="I42" s="11602" t="n"/>
      <c r="J42" s="11602" t="n"/>
      <c r="K42" s="11602" t="n"/>
      <c r="L42" s="11602" t="n"/>
      <c r="M42" s="11602" t="n"/>
      <c r="N42" s="11602" t="n"/>
      <c r="O42" s="11602" t="n"/>
      <c r="P42" s="11602" t="n"/>
      <c r="Q42" s="11602" t="n"/>
      <c r="R42" s="11602" t="n"/>
      <c r="S42" s="11602" t="n"/>
      <c r="T42" s="11602" t="n"/>
      <c r="U42" s="11602" t="n"/>
      <c r="V42" s="11602" t="n"/>
      <c r="W42" s="2922" t="n"/>
      <c r="X42" s="11602" t="n"/>
      <c r="Y42" s="11602" t="n"/>
      <c r="Z42" s="11602" t="n"/>
      <c r="AA42" s="11602" t="n"/>
      <c r="AB42" s="11602" t="n"/>
      <c r="AC42" s="11602" t="n"/>
      <c r="AD42" s="2924" t="n"/>
      <c r="AE42" s="11602" t="n"/>
      <c r="AF42" s="11602" t="n"/>
      <c r="AG42" s="11602" t="n"/>
      <c r="AH42" s="11602" t="n"/>
      <c r="AI42" s="11602" t="n"/>
      <c r="AJ42" s="11602" t="n"/>
      <c r="AK42" s="2013" t="n"/>
      <c r="AL42" s="2013" t="n"/>
      <c r="AM42" s="2013" t="n"/>
      <c r="AN42" s="7914" t="n">
        <v>1</v>
      </c>
      <c r="AO42" s="4526">
        <f>LLC_1</f>
        <v/>
      </c>
      <c r="AP42" s="11602" t="n"/>
      <c r="AQ42" s="658" t="n"/>
      <c r="AR42" s="658" t="n"/>
      <c r="AS42" s="658" t="n"/>
      <c r="AT42" s="658" t="n"/>
      <c r="AU42" s="658" t="n"/>
      <c r="AV42" s="658" t="n"/>
      <c r="AW42" s="658" t="n"/>
      <c r="AX42" s="658" t="n"/>
      <c r="AY42" s="658" t="n"/>
      <c r="AZ42" s="658" t="n"/>
    </row>
    <row r="43" ht="14.25" customFormat="1" customHeight="1" s="815">
      <c r="A43" s="2013" t="n"/>
      <c r="B43" s="11602" t="n"/>
      <c r="C43" s="11602" t="n"/>
      <c r="D43" s="8650" t="inlineStr">
        <is>
          <t>2555 or 4563, or you’re excluding income from Puerto Rico, see Pub. 970 for</t>
        </is>
      </c>
      <c r="E43" s="8650" t="n"/>
      <c r="F43" s="11602" t="n"/>
      <c r="G43" s="11602" t="n"/>
      <c r="H43" s="11602" t="n"/>
      <c r="I43" s="11602" t="n"/>
      <c r="J43" s="11602" t="n"/>
      <c r="K43" s="11602" t="n"/>
      <c r="L43" s="11602" t="n"/>
      <c r="M43" s="11602" t="n"/>
      <c r="N43" s="11602" t="n"/>
      <c r="O43" s="11602" t="n"/>
      <c r="P43" s="11602" t="n"/>
      <c r="Q43" s="11602" t="n"/>
      <c r="R43" s="11602" t="n"/>
      <c r="S43" s="11602" t="n"/>
      <c r="T43" s="11602" t="n"/>
      <c r="U43" s="11602" t="n"/>
      <c r="V43" s="11602" t="n"/>
      <c r="W43" s="2922" t="n"/>
      <c r="X43" s="408" t="n"/>
      <c r="Y43" s="11602" t="n"/>
      <c r="Z43" s="11602" t="n"/>
      <c r="AA43" s="11602" t="n"/>
      <c r="AB43" s="11602" t="n"/>
      <c r="AC43" s="409" t="n"/>
      <c r="AD43" s="2924" t="n"/>
      <c r="AE43" s="11602" t="n"/>
      <c r="AF43" s="11602" t="n"/>
      <c r="AG43" s="11602" t="n"/>
      <c r="AH43" s="11602" t="n"/>
      <c r="AI43" s="11602" t="n"/>
      <c r="AJ43" s="11602" t="n"/>
      <c r="AK43" s="2013" t="n"/>
      <c r="AL43" s="2013" t="n"/>
      <c r="AM43" s="2013" t="n"/>
      <c r="AN43" s="7914" t="n">
        <v>2</v>
      </c>
      <c r="AO43" s="4528">
        <f>LLC_2</f>
        <v/>
      </c>
      <c r="AP43" s="11602" t="n"/>
      <c r="AQ43" s="658" t="n"/>
      <c r="AR43" s="658" t="n"/>
      <c r="AS43" s="658" t="n"/>
      <c r="AT43" s="658" t="n"/>
      <c r="AU43" s="658" t="n"/>
      <c r="AV43" s="658" t="n"/>
      <c r="AW43" s="658" t="n"/>
      <c r="AX43" s="658" t="n"/>
      <c r="AY43" s="658" t="n"/>
      <c r="AZ43" s="658" t="n"/>
    </row>
    <row r="44" ht="15.75" customFormat="1" customHeight="1" s="815" thickBot="1">
      <c r="A44" s="2013" t="n"/>
      <c r="B44" s="11602" t="n"/>
      <c r="C44" s="11602" t="n"/>
      <c r="D44" s="8650" t="inlineStr">
        <is>
          <t>the amount to enter</t>
        </is>
      </c>
      <c r="E44" s="8650" t="n"/>
      <c r="F44" s="11602" t="n"/>
      <c r="G44" s="11602" t="n"/>
      <c r="H44" s="11602" t="n"/>
      <c r="I44" s="11602" t="n"/>
      <c r="J44" s="11602" t="n"/>
      <c r="K44" s="11602" t="n"/>
      <c r="L44" s="11602" t="n"/>
      <c r="M44" s="11602" t="n"/>
      <c r="N44" s="11602" t="n"/>
      <c r="O44" s="11602" t="n"/>
      <c r="P44" s="11602" t="n"/>
      <c r="Q44" s="11602" t="n"/>
      <c r="R44" s="11602" t="n"/>
      <c r="S44" s="11602" t="n"/>
      <c r="T44" s="11602" t="n"/>
      <c r="U44" s="11602" t="n"/>
      <c r="V44" s="2198" t="inlineStr">
        <is>
          <t xml:space="preserve">.   .   .   .   .   .   .   .   .   .   .   .   .   .   .   .   .   .   .   .   .   .   . </t>
        </is>
      </c>
      <c r="W44" s="2918" t="n">
        <v>14</v>
      </c>
      <c r="X44" s="11213">
        <f>IF(OR($AE$20,$AE$36),"",Adj_Gross_Inc)</f>
        <v/>
      </c>
      <c r="Y44" s="7637" t="n"/>
      <c r="Z44" s="7637" t="n"/>
      <c r="AA44" s="7637" t="n"/>
      <c r="AB44" s="7637" t="n"/>
      <c r="AC44" s="7638" t="n"/>
      <c r="AD44" s="2924" t="n"/>
      <c r="AE44" s="11602" t="n"/>
      <c r="AF44" s="11602" t="n"/>
      <c r="AG44" s="11602" t="n"/>
      <c r="AH44" s="11602" t="n"/>
      <c r="AI44" s="11602" t="n"/>
      <c r="AJ44" s="11602" t="n"/>
      <c r="AK44" s="2013" t="n"/>
      <c r="AL44" s="2013" t="n"/>
      <c r="AM44" s="2013" t="n"/>
      <c r="AN44" s="7914" t="n">
        <v>3</v>
      </c>
      <c r="AO44" s="4528">
        <f>LLC_3</f>
        <v/>
      </c>
      <c r="AP44" s="11602" t="n"/>
      <c r="AQ44" s="658" t="n"/>
      <c r="AR44" s="658" t="n"/>
      <c r="AS44" s="658" t="n"/>
      <c r="AT44" s="658" t="n"/>
      <c r="AU44" s="658" t="n"/>
      <c r="AV44" s="658" t="n"/>
      <c r="AW44" s="658" t="n"/>
      <c r="AX44" s="658" t="n"/>
      <c r="AY44" s="658" t="n"/>
      <c r="AZ44" s="658" t="n"/>
    </row>
    <row r="45" ht="16.5" customHeight="1" s="7635" thickBot="1">
      <c r="A45" s="2013" t="n"/>
      <c r="B45" s="11602" t="n"/>
      <c r="C45" s="7861" t="inlineStr">
        <is>
          <t>15</t>
        </is>
      </c>
      <c r="D45" s="8650" t="inlineStr">
        <is>
          <t>Subtract line 14 from line 13. If zero or less, skip lines 16 and 17, enter -0- on</t>
        </is>
      </c>
      <c r="E45" s="8650" t="n"/>
      <c r="F45" s="11602" t="n"/>
      <c r="G45" s="11602" t="n"/>
      <c r="H45" s="11602" t="n"/>
      <c r="I45" s="11602" t="n"/>
      <c r="J45" s="11602" t="n"/>
      <c r="K45" s="11602" t="n"/>
      <c r="L45" s="11602" t="n"/>
      <c r="M45" s="11602" t="n"/>
      <c r="N45" s="11602" t="n"/>
      <c r="O45" s="11602" t="n"/>
      <c r="P45" s="11602" t="n"/>
      <c r="Q45" s="11602" t="n"/>
      <c r="R45" s="11602" t="n"/>
      <c r="S45" s="11602" t="n"/>
      <c r="T45" s="11602" t="n"/>
      <c r="U45" s="11602" t="n"/>
      <c r="V45" s="11602" t="n"/>
      <c r="W45" s="2922" t="n"/>
      <c r="X45" s="12673">
        <f>X46&lt;=0</f>
        <v/>
      </c>
      <c r="Y45" s="7839" t="n"/>
      <c r="Z45" s="7839" t="n"/>
      <c r="AA45" s="7839" t="n"/>
      <c r="AB45" s="7839" t="n"/>
      <c r="AC45" s="10091" t="n"/>
      <c r="AD45" s="2924" t="n"/>
      <c r="AE45" s="11602" t="n"/>
      <c r="AF45" s="11602" t="n"/>
      <c r="AG45" s="11602" t="n"/>
      <c r="AH45" s="11602" t="n"/>
      <c r="AI45" s="11602" t="n"/>
      <c r="AJ45" s="11602" t="n"/>
      <c r="AK45" s="2013" t="n"/>
      <c r="AL45" s="2013" t="n"/>
      <c r="AM45" s="2013" t="n"/>
      <c r="AN45" s="7914" t="n">
        <v>4</v>
      </c>
      <c r="AO45" s="4530">
        <f>LLC_4</f>
        <v/>
      </c>
      <c r="AP45" s="11602" t="n"/>
      <c r="AQ45" s="12738" t="inlineStr">
        <is>
          <t>Credit Limit Worksheet from Instructions for Form 8863</t>
        </is>
      </c>
      <c r="AR45" s="2506" t="n"/>
      <c r="AS45" s="2506" t="n"/>
      <c r="AT45" s="2506" t="n"/>
      <c r="AU45" s="2506" t="n"/>
      <c r="AV45" s="2506" t="n"/>
      <c r="AW45" s="2506" t="n"/>
      <c r="AX45" s="2506" t="n"/>
      <c r="AY45" s="2614" t="n"/>
      <c r="BA45" s="421" t="n"/>
      <c r="BB45" s="421" t="n"/>
    </row>
    <row r="46" ht="16.5" customHeight="1" s="7635" thickBot="1">
      <c r="A46" s="2013" t="n"/>
      <c r="B46" s="11602" t="n"/>
      <c r="C46" s="11602" t="n"/>
      <c r="D46" s="8650" t="inlineStr">
        <is>
          <t>line 18, and go to line 19</t>
        </is>
      </c>
      <c r="E46" s="8650" t="n"/>
      <c r="F46" s="11602" t="n"/>
      <c r="G46" s="11602" t="n"/>
      <c r="H46" s="11602" t="n"/>
      <c r="I46" s="11602" t="n"/>
      <c r="J46" s="11602" t="n"/>
      <c r="K46" s="11602" t="n"/>
      <c r="L46" s="11602" t="n"/>
      <c r="M46" s="11602" t="n"/>
      <c r="N46" s="11602" t="n"/>
      <c r="O46" s="11602" t="n"/>
      <c r="P46" s="11602" t="n"/>
      <c r="Q46" s="11602" t="n"/>
      <c r="R46" s="11602" t="n"/>
      <c r="S46" s="11602" t="n"/>
      <c r="T46" s="11602" t="n"/>
      <c r="U46" s="11602" t="n"/>
      <c r="V46" s="2198" t="inlineStr">
        <is>
          <t xml:space="preserve">.   .   .   .   .   .   .   .   .   .   .   .   .   .   .   .   .   .   .   .   .   . </t>
        </is>
      </c>
      <c r="W46" s="2918" t="inlineStr">
        <is>
          <t>15</t>
        </is>
      </c>
      <c r="X46" s="11213">
        <f>IF(OR($AE$20,$AE$36),"",SUM(X41,-X44))</f>
        <v/>
      </c>
      <c r="Y46" s="7637" t="n"/>
      <c r="Z46" s="7637" t="n"/>
      <c r="AA46" s="7637" t="n"/>
      <c r="AB46" s="7637" t="n"/>
      <c r="AC46" s="7638" t="n"/>
      <c r="AD46" s="2924" t="n"/>
      <c r="AE46" s="11602" t="n"/>
      <c r="AF46" s="11602" t="n"/>
      <c r="AG46" s="11602" t="n"/>
      <c r="AH46" s="11602" t="n"/>
      <c r="AI46" s="11602" t="n"/>
      <c r="AJ46" s="11602" t="n"/>
      <c r="AK46" s="2013" t="n"/>
      <c r="AL46" s="2013" t="n"/>
      <c r="AM46" s="2013" t="n"/>
      <c r="AN46" s="7914" t="inlineStr">
        <is>
          <t>T</t>
        </is>
      </c>
      <c r="AO46" s="4531">
        <f>SUM(AO42:AO45)</f>
        <v/>
      </c>
      <c r="AP46" s="11602" t="n"/>
      <c r="AQ46" s="4535" t="inlineStr">
        <is>
          <t>Complete this worksheet to figure the amount to enter on line 19.</t>
        </is>
      </c>
      <c r="AR46" s="4536" t="n"/>
      <c r="AS46" s="4536" t="n"/>
      <c r="AT46" s="4536" t="n"/>
      <c r="AU46" s="4536" t="n"/>
      <c r="AV46" s="4536" t="n"/>
      <c r="AW46" s="4536" t="n"/>
      <c r="AX46" s="4536" t="n"/>
      <c r="AY46" s="4537" t="n"/>
      <c r="BA46" s="421" t="n"/>
      <c r="BB46" s="421" t="n"/>
    </row>
    <row r="47" ht="16.5" customHeight="1" s="7635">
      <c r="A47" s="2013" t="n"/>
      <c r="B47" s="11602" t="n"/>
      <c r="C47" s="7861" t="inlineStr">
        <is>
          <t>16</t>
        </is>
      </c>
      <c r="D47" s="8650">
        <f>"Enter: "&amp;TEXT(AE23,"$0,000")&amp;" if married filing jointly; "&amp;TEXT(AE24,"$0,000")&amp;" if single, head of household, or"</f>
        <v/>
      </c>
      <c r="E47" s="8650" t="n"/>
      <c r="F47" s="11602" t="n"/>
      <c r="G47" s="11602" t="n"/>
      <c r="H47" s="11602" t="n"/>
      <c r="I47" s="11602" t="n"/>
      <c r="J47" s="11602" t="n"/>
      <c r="K47" s="11602" t="n"/>
      <c r="L47" s="11602" t="n"/>
      <c r="M47" s="11602" t="n"/>
      <c r="N47" s="11602" t="n"/>
      <c r="O47" s="11602" t="n"/>
      <c r="P47" s="11602" t="n"/>
      <c r="Q47" s="11602" t="n"/>
      <c r="R47" s="11602" t="n"/>
      <c r="S47" s="11602" t="n"/>
      <c r="T47" s="11602" t="n"/>
      <c r="U47" s="11602" t="n"/>
      <c r="V47" s="11602" t="n"/>
      <c r="W47" s="2922" t="n"/>
      <c r="X47" s="408" t="n"/>
      <c r="Y47" s="11602" t="n"/>
      <c r="Z47" s="11602" t="n"/>
      <c r="AA47" s="11602" t="n"/>
      <c r="AB47" s="11602" t="n"/>
      <c r="AC47" s="409" t="n"/>
      <c r="AD47" s="2924" t="n"/>
      <c r="AE47" s="11602" t="n"/>
      <c r="AF47" s="11602" t="n"/>
      <c r="AG47" s="11602" t="n"/>
      <c r="AH47" s="11602" t="n"/>
      <c r="AI47" s="11602" t="n"/>
      <c r="AJ47" s="11602" t="n"/>
      <c r="AK47" s="2013" t="n"/>
      <c r="AL47" s="2013" t="n"/>
      <c r="AM47" s="2013" t="n"/>
      <c r="AN47" s="11602" t="n"/>
      <c r="AO47" s="11602" t="n"/>
      <c r="AP47" s="11602" t="n"/>
      <c r="AQ47" s="4538" t="inlineStr">
        <is>
          <t>1.  Enter the amount from Form 8863, line 18.</t>
        </is>
      </c>
      <c r="AR47" s="4536" t="n"/>
      <c r="AS47" s="4536" t="n"/>
      <c r="AT47" s="4536" t="n"/>
      <c r="AU47" s="4536" t="n"/>
      <c r="AV47" s="4536" t="n"/>
      <c r="AW47" s="4539" t="inlineStr">
        <is>
          <t>1.</t>
        </is>
      </c>
      <c r="AX47" s="7842">
        <f>AE53</f>
        <v/>
      </c>
      <c r="AY47" s="4537" t="n"/>
      <c r="BA47" s="421" t="n"/>
      <c r="BB47" s="421" t="n"/>
    </row>
    <row r="48" ht="16.5" customHeight="1" s="7635">
      <c r="A48" s="2013" t="n"/>
      <c r="B48" s="11602" t="n"/>
      <c r="C48" s="11602" t="n"/>
      <c r="D48" s="1672" t="inlineStr">
        <is>
          <t>qualifying widow(er)</t>
        </is>
      </c>
      <c r="E48" s="8650" t="n"/>
      <c r="F48" s="11602" t="n"/>
      <c r="G48" s="11602" t="n"/>
      <c r="H48" s="11602" t="n"/>
      <c r="I48" s="11602" t="n"/>
      <c r="J48" s="11602" t="n"/>
      <c r="K48" s="11602" t="n"/>
      <c r="L48" s="11602" t="n"/>
      <c r="M48" s="11602" t="n"/>
      <c r="N48" s="11602" t="n"/>
      <c r="O48" s="11602" t="n"/>
      <c r="P48" s="11602" t="n"/>
      <c r="Q48" s="11602" t="n"/>
      <c r="R48" s="11602" t="n"/>
      <c r="S48" s="11602" t="n"/>
      <c r="T48" s="11602" t="n"/>
      <c r="U48" s="11602" t="n"/>
      <c r="V48" s="2198" t="inlineStr">
        <is>
          <t xml:space="preserve">.   .   .   .   .   .   .   .   .   .   .   .   .   .   .   .   .   .   .   .   .   .   . </t>
        </is>
      </c>
      <c r="W48" s="2918" t="inlineStr">
        <is>
          <t>16</t>
        </is>
      </c>
      <c r="X48" s="11213">
        <f>IF(OR($AE$20,$AE$36,$X$45),"",IF(File_Marr_Joint&lt;&gt;"",AE23,AE24))</f>
        <v/>
      </c>
      <c r="Y48" s="7637" t="n"/>
      <c r="Z48" s="7637" t="n"/>
      <c r="AA48" s="7637" t="n"/>
      <c r="AB48" s="7637" t="n"/>
      <c r="AC48" s="7638" t="n"/>
      <c r="AD48" s="2924" t="n"/>
      <c r="AE48" s="11602" t="n"/>
      <c r="AF48" s="11602" t="n"/>
      <c r="AG48" s="11602" t="n"/>
      <c r="AH48" s="11602" t="n"/>
      <c r="AI48" s="11602" t="n"/>
      <c r="AJ48" s="11602" t="n"/>
      <c r="AK48" s="2013" t="n"/>
      <c r="AL48" s="2013" t="n"/>
      <c r="AM48" s="2013" t="n"/>
      <c r="AN48" s="344" t="n"/>
      <c r="AO48" s="344" t="n"/>
      <c r="AP48" s="11602" t="n"/>
      <c r="AQ48" s="4538" t="inlineStr">
        <is>
          <t>2.  Enter the amount from Form 8863, line 9.</t>
        </is>
      </c>
      <c r="AR48" s="4536" t="n"/>
      <c r="AS48" s="4536" t="n"/>
      <c r="AT48" s="4536" t="n"/>
      <c r="AU48" s="4536" t="n"/>
      <c r="AV48" s="4536" t="n"/>
      <c r="AW48" s="4539" t="inlineStr">
        <is>
          <t>2.</t>
        </is>
      </c>
      <c r="AX48" s="7842">
        <f>AE35</f>
        <v/>
      </c>
      <c r="AY48" s="4537" t="n"/>
      <c r="BA48" s="421" t="n"/>
      <c r="BB48" s="421" t="n"/>
    </row>
    <row r="49" ht="16.5" customHeight="1" s="7635">
      <c r="A49" s="2013" t="n"/>
      <c r="B49" s="11602" t="n"/>
      <c r="C49" s="7861" t="inlineStr">
        <is>
          <t>17</t>
        </is>
      </c>
      <c r="D49" s="8650" t="inlineStr">
        <is>
          <t>If line 15 is:</t>
        </is>
      </c>
      <c r="E49" s="8650" t="n"/>
      <c r="F49" s="11602" t="n"/>
      <c r="G49" s="11602" t="n"/>
      <c r="H49" s="11602" t="n"/>
      <c r="I49" s="11602" t="n"/>
      <c r="J49" s="11602" t="n"/>
      <c r="K49" s="11602" t="n"/>
      <c r="L49" s="11602" t="n"/>
      <c r="M49" s="11602" t="n"/>
      <c r="N49" s="11602" t="n"/>
      <c r="O49" s="11602" t="n"/>
      <c r="P49" s="11602" t="n"/>
      <c r="Q49" s="11602" t="n"/>
      <c r="R49" s="11602" t="n"/>
      <c r="S49" s="11602" t="n"/>
      <c r="T49" s="11602" t="n"/>
      <c r="U49" s="11602" t="n"/>
      <c r="V49" s="11602" t="n"/>
      <c r="W49" s="11602" t="n"/>
      <c r="X49" s="11602" t="n"/>
      <c r="Y49" s="11602" t="n"/>
      <c r="Z49" s="11602" t="n"/>
      <c r="AA49" s="11602" t="n"/>
      <c r="AB49" s="11602" t="n"/>
      <c r="AC49" s="11602" t="n"/>
      <c r="AD49" s="2924" t="n"/>
      <c r="AE49" s="11602" t="n"/>
      <c r="AF49" s="11602" t="n"/>
      <c r="AG49" s="11602" t="n"/>
      <c r="AH49" s="11602" t="n"/>
      <c r="AI49" s="11602" t="n"/>
      <c r="AJ49" s="11602" t="n"/>
      <c r="AK49" s="2013" t="n"/>
      <c r="AL49" s="2013" t="n"/>
      <c r="AM49" s="2013" t="n"/>
      <c r="AN49" s="11602" t="n"/>
      <c r="AO49" s="226" t="inlineStr">
        <is>
          <t>Manual</t>
        </is>
      </c>
      <c r="AP49" s="11602" t="n"/>
      <c r="AQ49" s="4538" t="inlineStr">
        <is>
          <t>3.  Add lines 1 and 2.</t>
        </is>
      </c>
      <c r="AR49" s="4536" t="n"/>
      <c r="AS49" s="4536" t="n"/>
      <c r="AT49" s="4536" t="n"/>
      <c r="AU49" s="4536" t="n"/>
      <c r="AV49" s="4536" t="n"/>
      <c r="AW49" s="4539" t="inlineStr">
        <is>
          <t>3.</t>
        </is>
      </c>
      <c r="AX49" s="7842">
        <f>SUM(AX47,AX48)</f>
        <v/>
      </c>
      <c r="AY49" s="4537" t="n"/>
    </row>
    <row r="50" ht="16.5" customHeight="1" s="7635" thickBot="1">
      <c r="A50" s="2013" t="n"/>
      <c r="B50" s="11602" t="n"/>
      <c r="C50" s="11602" t="n"/>
      <c r="D50" s="873" t="inlineStr">
        <is>
          <t>●</t>
        </is>
      </c>
      <c r="E50" s="8650" t="inlineStr">
        <is>
          <t>Equal to or more than line 16, enter 1.000 on line 17 and go to line 18</t>
        </is>
      </c>
      <c r="F50" s="11602" t="n"/>
      <c r="G50" s="11602" t="n"/>
      <c r="H50" s="11602" t="n"/>
      <c r="I50" s="11602" t="n"/>
      <c r="J50" s="11602" t="n"/>
      <c r="K50" s="11602" t="n"/>
      <c r="L50" s="11602" t="n"/>
      <c r="M50" s="11602" t="n"/>
      <c r="N50" s="11602" t="n"/>
      <c r="O50" s="11602" t="n"/>
      <c r="P50" s="11602" t="n"/>
      <c r="Q50" s="11602" t="n"/>
      <c r="R50" s="11602" t="n"/>
      <c r="S50" s="11602" t="n"/>
      <c r="T50" s="11602" t="n"/>
      <c r="U50" s="11602" t="n"/>
      <c r="V50" s="11602" t="n"/>
      <c r="W50" s="11602" t="n"/>
      <c r="X50" s="11602" t="n"/>
      <c r="Y50" s="11602" t="n"/>
      <c r="Z50" s="11602" t="n"/>
      <c r="AA50" s="11602" t="n"/>
      <c r="AB50" s="11602" t="n"/>
      <c r="AC50" s="11602" t="n"/>
      <c r="AD50" s="2924" t="n"/>
      <c r="AE50" s="11602" t="n"/>
      <c r="AF50" s="11602" t="n"/>
      <c r="AG50" s="11602" t="n"/>
      <c r="AH50" s="11602" t="n"/>
      <c r="AI50" s="11602" t="n"/>
      <c r="AJ50" s="11602" t="n"/>
      <c r="AK50" s="2013" t="n"/>
      <c r="AL50" s="2013" t="n"/>
      <c r="AM50" s="2013" t="n"/>
      <c r="AN50" s="11602" t="n"/>
      <c r="AO50" s="226" t="inlineStr">
        <is>
          <t>Override ê</t>
        </is>
      </c>
      <c r="AP50" s="11602" t="n"/>
      <c r="AQ50" s="4538" t="inlineStr">
        <is>
          <t>4.  Enter the amount from Form 1040 or 1040-SR, line 18</t>
        </is>
      </c>
      <c r="AR50" s="4536" t="n"/>
      <c r="AS50" s="4536" t="n"/>
      <c r="AT50" s="4536" t="n"/>
      <c r="AU50" s="4536" t="n"/>
      <c r="AV50" s="4536" t="n"/>
      <c r="AW50" s="4539" t="inlineStr">
        <is>
          <t>4.</t>
        </is>
      </c>
      <c r="AX50" s="7842">
        <f>Tax</f>
        <v/>
      </c>
      <c r="AY50" s="4537" t="n"/>
    </row>
    <row r="51" ht="16.5" customHeight="1" s="7635" thickBot="1">
      <c r="A51" s="2013" t="n"/>
      <c r="B51" s="11602" t="n"/>
      <c r="C51" s="11602" t="n"/>
      <c r="D51" s="873" t="inlineStr">
        <is>
          <t>●</t>
        </is>
      </c>
      <c r="E51" s="8650" t="inlineStr">
        <is>
          <t>Less than line 16, divide line 15 by line 16. Enter the result as a decimal (rounded to at</t>
        </is>
      </c>
      <c r="F51" s="11602" t="n"/>
      <c r="G51" s="11602" t="n"/>
      <c r="H51" s="11602" t="n"/>
      <c r="I51" s="11602" t="n"/>
      <c r="J51" s="11602" t="n"/>
      <c r="K51" s="11602" t="n"/>
      <c r="L51" s="11602" t="n"/>
      <c r="M51" s="11602" t="n"/>
      <c r="N51" s="11602" t="n"/>
      <c r="O51" s="11602" t="n"/>
      <c r="P51" s="11602" t="n"/>
      <c r="Q51" s="11602" t="n"/>
      <c r="R51" s="11602" t="n"/>
      <c r="S51" s="11602" t="n"/>
      <c r="T51" s="11602" t="n"/>
      <c r="U51" s="11602" t="n"/>
      <c r="V51" s="11602" t="n"/>
      <c r="W51" s="11602" t="n"/>
      <c r="X51" s="11602" t="n"/>
      <c r="Y51" s="11602" t="n"/>
      <c r="Z51" s="11602" t="n"/>
      <c r="AA51" s="11602" t="n"/>
      <c r="AB51" s="11602" t="n"/>
      <c r="AC51" s="1321" t="inlineStr">
        <is>
          <t xml:space="preserve"> .   .   .   .   . </t>
        </is>
      </c>
      <c r="AD51" s="2895" t="n">
        <v>17</v>
      </c>
      <c r="AE51" s="12737">
        <f>IF(AO51&lt;&gt;"",ROUND(AO51,3),IF(OR($AE$20,$AE$36,$X$45),"",IF(X46&gt;=X48,1,ROUND(X46/X48,3))))</f>
        <v/>
      </c>
      <c r="AF51" s="7637" t="n"/>
      <c r="AG51" s="7637" t="n"/>
      <c r="AH51" s="7637" t="n"/>
      <c r="AI51" s="7637" t="n"/>
      <c r="AJ51" s="7637" t="n"/>
      <c r="AK51" s="2013" t="n"/>
      <c r="AL51" s="2013" t="n"/>
      <c r="AM51" s="2013" t="n"/>
      <c r="AN51" s="7914" t="n"/>
      <c r="AO51" s="12739" t="n"/>
      <c r="AP51" s="11602" t="n"/>
      <c r="AQ51" s="4538" t="inlineStr">
        <is>
          <t>5.  Enter the total of your credits from:</t>
        </is>
      </c>
      <c r="AR51" s="4536" t="n"/>
      <c r="AS51" s="4536" t="n"/>
      <c r="AT51" s="4536" t="n"/>
      <c r="AU51" s="4536" t="n"/>
      <c r="AV51" s="4536" t="n"/>
      <c r="AW51" s="4536" t="n"/>
      <c r="AX51" s="4536" t="n"/>
      <c r="AY51" s="4537" t="n"/>
    </row>
    <row r="52" ht="16.5" customHeight="1" s="7635">
      <c r="A52" s="2013" t="n"/>
      <c r="B52" s="11602" t="n"/>
      <c r="C52" s="11602" t="n"/>
      <c r="D52" s="8650" t="n"/>
      <c r="E52" s="8650" t="inlineStr">
        <is>
          <t>least three places)</t>
        </is>
      </c>
      <c r="F52" s="11602" t="n"/>
      <c r="G52" s="11602" t="n"/>
      <c r="H52" s="11602" t="n"/>
      <c r="I52" s="11602" t="n"/>
      <c r="J52" s="11602" t="n"/>
      <c r="K52" s="11602" t="n"/>
      <c r="L52" s="11602" t="n"/>
      <c r="M52" s="11602" t="n"/>
      <c r="N52" s="11602" t="n"/>
      <c r="O52" s="11602" t="n"/>
      <c r="P52" s="11602" t="n"/>
      <c r="Q52" s="11602" t="n"/>
      <c r="R52" s="11602" t="n"/>
      <c r="S52" s="11602" t="n"/>
      <c r="T52" s="11602" t="n"/>
      <c r="U52" s="11602" t="n"/>
      <c r="V52" s="11602" t="n"/>
      <c r="W52" s="11602" t="n"/>
      <c r="X52" s="11602" t="n"/>
      <c r="Y52" s="11602" t="n"/>
      <c r="Z52" s="11602" t="n"/>
      <c r="AA52" s="11602" t="n"/>
      <c r="AB52" s="11602" t="n"/>
      <c r="AC52" s="1321" t="n"/>
      <c r="AD52" s="2924" t="n"/>
      <c r="AE52" s="11602" t="n"/>
      <c r="AF52" s="11602" t="n"/>
      <c r="AG52" s="11602" t="n"/>
      <c r="AH52" s="11602" t="n"/>
      <c r="AI52" s="11602" t="n"/>
      <c r="AJ52" s="11602" t="n"/>
      <c r="AK52" s="2013" t="n"/>
      <c r="AL52" s="2013" t="n"/>
      <c r="AM52" s="2013" t="n"/>
      <c r="AN52" s="7914" t="n"/>
      <c r="AO52" s="7914" t="n"/>
      <c r="AP52" s="11602" t="n"/>
      <c r="AQ52" s="11187" t="inlineStr">
        <is>
          <t xml:space="preserve">           Schedule 3 (Form 1040), lines 1, 2, 6d and 6l</t>
        </is>
      </c>
      <c r="AW52" s="4539" t="inlineStr">
        <is>
          <t>5.</t>
        </is>
      </c>
      <c r="AX52" s="7842">
        <f>SUM(Foreign_Tax_Credit,Care_Expenses,Elderly_Credit,F8978_Credit)</f>
        <v/>
      </c>
      <c r="AY52" s="4537" t="n"/>
    </row>
    <row r="53" ht="16.5" customHeight="1" s="7635">
      <c r="A53" s="2013" t="n"/>
      <c r="B53" s="11602" t="n"/>
      <c r="C53" s="7861" t="inlineStr">
        <is>
          <t>18</t>
        </is>
      </c>
      <c r="D53" s="8650" t="inlineStr">
        <is>
          <t>Multiply line 12 by line 17. Enter here and on line 1 of the Credit Limit Worksheet (see instructions)</t>
        </is>
      </c>
      <c r="E53" s="8650" t="n"/>
      <c r="F53" s="11602" t="n"/>
      <c r="G53" s="11602" t="n"/>
      <c r="H53" s="11602" t="n"/>
      <c r="I53" s="11602" t="n"/>
      <c r="J53" s="11602" t="n"/>
      <c r="K53" s="11602" t="n"/>
      <c r="L53" s="11602" t="n"/>
      <c r="M53" s="11602" t="n"/>
      <c r="N53" s="11602" t="n"/>
      <c r="O53" s="11602" t="n"/>
      <c r="P53" s="11602" t="n"/>
      <c r="Q53" s="11602" t="n"/>
      <c r="R53" s="11602" t="n"/>
      <c r="S53" s="11602" t="n"/>
      <c r="T53" s="11602" t="n"/>
      <c r="U53" s="11602" t="n"/>
      <c r="V53" s="11602" t="n"/>
      <c r="W53" s="11602" t="n"/>
      <c r="X53" s="11602" t="n"/>
      <c r="Y53" s="11602" t="n"/>
      <c r="Z53" s="11602" t="n"/>
      <c r="AA53" s="11602" t="n"/>
      <c r="AB53" s="11602" t="n"/>
      <c r="AC53" s="2198" t="inlineStr">
        <is>
          <t xml:space="preserve">  .   .   .   . </t>
        </is>
      </c>
      <c r="AD53" s="2895" t="n">
        <v>18</v>
      </c>
      <c r="AE53" s="10805">
        <f>IF($AE$20,"",IF($AE$36,0,IF($X$45,0,ROUND(AE39*AE51,0))))</f>
        <v/>
      </c>
      <c r="AF53" s="7637" t="n"/>
      <c r="AG53" s="7637" t="n"/>
      <c r="AH53" s="7637" t="n"/>
      <c r="AI53" s="7637" t="n"/>
      <c r="AJ53" s="7637" t="n"/>
      <c r="AK53" s="2013" t="n"/>
      <c r="AL53" s="2013" t="n"/>
      <c r="AM53" s="2013" t="n"/>
      <c r="AN53" s="7914" t="n"/>
      <c r="AO53" s="226" t="inlineStr">
        <is>
          <t>Manual</t>
        </is>
      </c>
      <c r="AP53" s="11602" t="n"/>
      <c r="AQ53" s="4538" t="inlineStr">
        <is>
          <t>6.  Subtract line 5 from line 4.</t>
        </is>
      </c>
      <c r="AR53" s="4536" t="n"/>
      <c r="AS53" s="4536" t="n"/>
      <c r="AT53" s="4536" t="n"/>
      <c r="AU53" s="4536" t="n"/>
      <c r="AV53" s="4536" t="n"/>
      <c r="AW53" s="4539" t="inlineStr">
        <is>
          <t>6.</t>
        </is>
      </c>
      <c r="AX53" s="7842">
        <f>SUM(AX50,-AX52)</f>
        <v/>
      </c>
      <c r="AY53" s="4537" t="n"/>
    </row>
    <row r="54" ht="16.5" customHeight="1" s="7635" thickBot="1">
      <c r="A54" s="2013" t="n"/>
      <c r="B54" s="11602" t="n"/>
      <c r="C54" s="7861" t="inlineStr">
        <is>
          <t>19</t>
        </is>
      </c>
      <c r="D54" s="8650" t="inlineStr">
        <is>
          <t>Nonrefundable education credits. Enter the amount from line 7 of the Credit Limit Worksheet (see</t>
        </is>
      </c>
      <c r="E54" s="8650" t="n"/>
      <c r="F54" s="11602" t="n"/>
      <c r="G54" s="11602" t="n"/>
      <c r="H54" s="11602" t="n"/>
      <c r="I54" s="11602" t="n"/>
      <c r="J54" s="11602" t="n"/>
      <c r="K54" s="11602" t="n"/>
      <c r="L54" s="11602" t="n"/>
      <c r="M54" s="11602" t="n"/>
      <c r="N54" s="11602" t="n"/>
      <c r="O54" s="11602" t="n"/>
      <c r="P54" s="11602" t="n"/>
      <c r="Q54" s="11602" t="n"/>
      <c r="R54" s="11602" t="n"/>
      <c r="S54" s="11602" t="n"/>
      <c r="T54" s="11602" t="n"/>
      <c r="U54" s="11602" t="n"/>
      <c r="V54" s="11602" t="n"/>
      <c r="W54" s="11602" t="n"/>
      <c r="X54" s="11602" t="n"/>
      <c r="Y54" s="11602" t="n"/>
      <c r="Z54" s="11602" t="n"/>
      <c r="AA54" s="11602" t="n"/>
      <c r="AB54" s="11602" t="n"/>
      <c r="AC54" s="11602" t="n"/>
      <c r="AD54" s="726" t="n"/>
      <c r="AE54" s="11602" t="n"/>
      <c r="AF54" s="11602" t="n"/>
      <c r="AG54" s="11602" t="n"/>
      <c r="AH54" s="11602" t="n"/>
      <c r="AI54" s="11602" t="n"/>
      <c r="AJ54" s="11602" t="n"/>
      <c r="AK54" s="2013" t="n"/>
      <c r="AL54" s="2013" t="n"/>
      <c r="AM54" s="2013" t="n"/>
      <c r="AN54" s="7914" t="n"/>
      <c r="AO54" s="226" t="inlineStr">
        <is>
          <t>Override ê</t>
        </is>
      </c>
      <c r="AP54" s="11602" t="n"/>
      <c r="AQ54" s="4538" t="inlineStr">
        <is>
          <t>7.  Enter the smaller of line 3 or line 6 here and on Form 8863, line 19.</t>
        </is>
      </c>
      <c r="AR54" s="4536" t="n"/>
      <c r="AS54" s="4536" t="n"/>
      <c r="AT54" s="4536" t="n"/>
      <c r="AU54" s="4536" t="n"/>
      <c r="AV54" s="4536" t="n"/>
      <c r="AW54" s="4539" t="inlineStr">
        <is>
          <t>7.</t>
        </is>
      </c>
      <c r="AX54" s="7842">
        <f>MIN(AX49,AX53)</f>
        <v/>
      </c>
      <c r="AY54" s="4537" t="n"/>
    </row>
    <row r="55" ht="16.5" customHeight="1" s="7635" thickBot="1">
      <c r="A55" s="2013" t="n"/>
      <c r="B55" s="11602" t="n"/>
      <c r="C55" s="11602" t="n"/>
      <c r="D55" s="2046" t="inlineStr">
        <is>
          <t>instructions) here and on Schedule 3 (Form 1040), line 3</t>
        </is>
      </c>
      <c r="E55" s="8650" t="n"/>
      <c r="F55" s="11602" t="n"/>
      <c r="G55" s="11602" t="n"/>
      <c r="H55" s="11602" t="n"/>
      <c r="I55" s="11602" t="n"/>
      <c r="J55" s="11602" t="n"/>
      <c r="K55" s="11602" t="n"/>
      <c r="L55" s="11602" t="n"/>
      <c r="M55" s="11602" t="n"/>
      <c r="N55" s="11602" t="n"/>
      <c r="O55" s="11602" t="n"/>
      <c r="P55" s="11602" t="n"/>
      <c r="Q55" s="11602" t="n"/>
      <c r="R55" s="11602" t="n"/>
      <c r="S55" s="11602" t="n"/>
      <c r="T55" s="11602" t="n"/>
      <c r="U55" s="11602" t="n"/>
      <c r="V55" s="11602" t="n"/>
      <c r="W55" s="11602" t="n"/>
      <c r="X55" s="11602" t="n"/>
      <c r="Y55" s="11602" t="n"/>
      <c r="Z55" s="11602" t="n"/>
      <c r="AA55" s="11602" t="n"/>
      <c r="AB55" s="11602" t="n"/>
      <c r="AC55" s="2198" t="inlineStr">
        <is>
          <t xml:space="preserve">.   .   .   .   .   .   .   .   .   .   .   .   .   .   . </t>
        </is>
      </c>
      <c r="AD55" s="2895" t="n">
        <v>19</v>
      </c>
      <c r="AE55" s="10805">
        <f>IF(AO55&lt;&gt;"",ROUND(AO55,0),IF($AE$20,"",AX54))</f>
        <v/>
      </c>
      <c r="AF55" s="7637" t="n"/>
      <c r="AG55" s="7637" t="n"/>
      <c r="AH55" s="7637" t="n"/>
      <c r="AI55" s="7637" t="n"/>
      <c r="AJ55" s="7637" t="n"/>
      <c r="AK55" s="2013" t="n"/>
      <c r="AL55" s="2013" t="n"/>
      <c r="AM55" s="2013" t="n"/>
      <c r="AN55" s="7914" t="n"/>
      <c r="AO55" s="1113" t="n"/>
      <c r="AP55" s="11602" t="n"/>
      <c r="AQ55" s="4540" t="n"/>
      <c r="AR55" s="4541" t="n"/>
      <c r="AS55" s="4541" t="n"/>
      <c r="AT55" s="4541" t="n"/>
      <c r="AU55" s="4541" t="n"/>
      <c r="AV55" s="4541" t="n"/>
      <c r="AW55" s="4541" t="n"/>
      <c r="AX55" s="4541" t="n"/>
      <c r="AY55" s="4542" t="n"/>
    </row>
    <row r="56" ht="15.75" customFormat="1" customHeight="1" s="815">
      <c r="A56" s="3888" t="n"/>
      <c r="B56" s="3889" t="inlineStr">
        <is>
          <t>For Paperwork Reduction Act Notice, see your tax return instructions.</t>
        </is>
      </c>
      <c r="C56" s="2344" t="n"/>
      <c r="D56" s="2344" t="n"/>
      <c r="E56" s="2344" t="n"/>
      <c r="F56" s="2344" t="n"/>
      <c r="G56" s="2344" t="n"/>
      <c r="H56" s="2344" t="n"/>
      <c r="I56" s="2344" t="n"/>
      <c r="J56" s="2344" t="n"/>
      <c r="K56" s="2344" t="n"/>
      <c r="L56" s="2344" t="n"/>
      <c r="M56" s="2344" t="n"/>
      <c r="N56" s="2344" t="n"/>
      <c r="O56" s="2344" t="n"/>
      <c r="P56" s="2344" t="n"/>
      <c r="Q56" s="89" t="n"/>
      <c r="R56" s="89" t="n"/>
      <c r="S56" s="89" t="n"/>
      <c r="T56" s="89" t="n"/>
      <c r="U56" s="3890" t="n"/>
      <c r="V56" s="89" t="n"/>
      <c r="W56" s="3890" t="inlineStr">
        <is>
          <t>Cat. No. 25379M</t>
        </is>
      </c>
      <c r="X56" s="89" t="n"/>
      <c r="Y56" s="89" t="n"/>
      <c r="Z56" s="89" t="n"/>
      <c r="AA56" s="89" t="n"/>
      <c r="AB56" s="89" t="n"/>
      <c r="AC56" s="89" t="n"/>
      <c r="AD56" s="2345" t="inlineStr">
        <is>
          <t>Form 8863</t>
        </is>
      </c>
      <c r="AE56" s="2345" t="n"/>
      <c r="AF56" s="89" t="n"/>
      <c r="AG56" s="89" t="n"/>
      <c r="AH56" s="2345" t="n"/>
      <c r="AI56" s="89" t="n"/>
      <c r="AJ56" s="2345">
        <f>"("&amp;TaxYear&amp;")   Created 9/23/25"</f>
        <v/>
      </c>
      <c r="AK56" s="2013" t="n"/>
      <c r="AL56" s="2013" t="n"/>
      <c r="AM56" s="2013" t="n"/>
      <c r="AN56" s="11602" t="n"/>
      <c r="AO56" s="11602" t="n"/>
      <c r="AP56" s="11602" t="n"/>
      <c r="AQ56" s="658" t="n"/>
      <c r="AR56" s="658" t="n"/>
      <c r="AS56" s="658" t="n"/>
      <c r="AT56" s="658" t="n"/>
      <c r="AU56" s="658" t="n"/>
      <c r="AV56" s="658" t="n"/>
      <c r="AW56" s="658" t="n"/>
      <c r="AX56" s="658" t="n"/>
      <c r="AY56" s="658" t="n"/>
      <c r="AZ56" s="658" t="n"/>
    </row>
    <row r="57" ht="18" customFormat="1" customHeight="1" s="815" thickBot="1">
      <c r="A57" s="2013" t="n"/>
      <c r="B57" s="721">
        <f>"Form 8863 ("&amp;TaxYear&amp;")"</f>
        <v/>
      </c>
      <c r="C57" s="721" t="n"/>
      <c r="D57" s="721" t="n"/>
      <c r="E57" s="721" t="n"/>
      <c r="F57" s="721" t="n"/>
      <c r="G57" s="721" t="n"/>
      <c r="H57" s="721" t="n"/>
      <c r="I57" s="721" t="n"/>
      <c r="J57" s="721" t="n"/>
      <c r="K57" s="721" t="n"/>
      <c r="L57" s="721" t="n"/>
      <c r="M57" s="721" t="n"/>
      <c r="N57" s="721" t="n"/>
      <c r="O57" s="721" t="n"/>
      <c r="P57" s="721" t="n"/>
      <c r="Q57" s="721" t="n"/>
      <c r="R57" s="721" t="n"/>
      <c r="S57" s="721" t="n"/>
      <c r="T57" s="721" t="n"/>
      <c r="U57" s="721" t="n"/>
      <c r="V57" s="721" t="n"/>
      <c r="W57" s="721" t="n"/>
      <c r="X57" s="721" t="n"/>
      <c r="Y57" s="721" t="n"/>
      <c r="Z57" s="721" t="n"/>
      <c r="AA57" s="721" t="n"/>
      <c r="AB57" s="721" t="n"/>
      <c r="AC57" s="721" t="n"/>
      <c r="AD57" s="721" t="n"/>
      <c r="AE57" s="721" t="n"/>
      <c r="AF57" s="721" t="n"/>
      <c r="AG57" s="721" t="n"/>
      <c r="AH57" s="721" t="n"/>
      <c r="AI57" s="2053" t="inlineStr">
        <is>
          <t>Page</t>
        </is>
      </c>
      <c r="AJ57" s="2054" t="n">
        <v>2</v>
      </c>
      <c r="AK57" s="2013" t="n"/>
      <c r="AL57" s="2013" t="n"/>
      <c r="AM57" s="2013" t="n"/>
      <c r="AN57" s="11602" t="n"/>
      <c r="AO57" s="11602" t="n"/>
      <c r="AP57" s="11602" t="n"/>
      <c r="AQ57" s="658" t="n"/>
      <c r="AR57" s="658" t="n"/>
      <c r="AS57" s="658" t="n"/>
      <c r="AT57" s="658" t="n"/>
      <c r="AU57" s="658" t="n"/>
      <c r="AV57" s="658" t="n"/>
      <c r="AW57" s="658" t="n"/>
      <c r="AX57" s="658" t="n"/>
      <c r="AY57" s="658" t="n"/>
      <c r="AZ57" s="658" t="n"/>
    </row>
    <row r="58" ht="16.5" customFormat="1" customHeight="1" s="815" thickTop="1">
      <c r="A58" s="2013" t="n"/>
      <c r="B58" s="2002" t="inlineStr">
        <is>
          <t>Name(s) shown on return</t>
        </is>
      </c>
      <c r="C58" s="413" t="n"/>
      <c r="D58" s="413" t="n"/>
      <c r="E58" s="413" t="n"/>
      <c r="F58" s="413" t="n"/>
      <c r="G58" s="413" t="n"/>
      <c r="H58" s="413" t="n"/>
      <c r="I58" s="413" t="n"/>
      <c r="J58" s="413" t="n"/>
      <c r="K58" s="413" t="n"/>
      <c r="L58" s="413" t="n"/>
      <c r="M58" s="413" t="n"/>
      <c r="N58" s="413" t="n"/>
      <c r="O58" s="413" t="n"/>
      <c r="P58" s="413" t="n"/>
      <c r="Q58" s="413" t="n"/>
      <c r="R58" s="413" t="n"/>
      <c r="S58" s="413" t="n"/>
      <c r="T58" s="413" t="n"/>
      <c r="U58" s="413" t="n"/>
      <c r="V58" s="413" t="n"/>
      <c r="W58" s="413" t="n"/>
      <c r="X58" s="413" t="n"/>
      <c r="Y58" s="413" t="n"/>
      <c r="Z58" s="413" t="n"/>
      <c r="AA58" s="413" t="n"/>
      <c r="AB58" s="413" t="n"/>
      <c r="AC58" s="11176" t="inlineStr">
        <is>
          <t>Your social security number</t>
        </is>
      </c>
      <c r="AD58" s="11713" t="n"/>
      <c r="AE58" s="11713" t="n"/>
      <c r="AF58" s="11713" t="n"/>
      <c r="AG58" s="11713" t="n"/>
      <c r="AH58" s="11713" t="n"/>
      <c r="AI58" s="11713" t="n"/>
      <c r="AJ58" s="11713" t="n"/>
      <c r="AK58" s="2013" t="n"/>
      <c r="AL58" s="2013" t="n"/>
      <c r="AM58" s="2013" t="n"/>
      <c r="AN58" s="11602" t="n"/>
      <c r="AO58" s="11602" t="n"/>
      <c r="AP58" s="11602" t="n"/>
      <c r="AQ58" s="658" t="n"/>
      <c r="AR58" s="658" t="n"/>
      <c r="AS58" s="658" t="n"/>
      <c r="AT58" s="658" t="n"/>
      <c r="AU58" s="658" t="n"/>
      <c r="AV58" s="658" t="n"/>
      <c r="AW58" s="658" t="n"/>
      <c r="AX58" s="658" t="n"/>
      <c r="AY58" s="658" t="n"/>
      <c r="AZ58" s="658" t="n"/>
    </row>
    <row r="59" ht="21.75" customFormat="1" customHeight="1" s="815">
      <c r="A59" s="2013" t="n"/>
      <c r="B59" s="12740">
        <f>Names</f>
        <v/>
      </c>
      <c r="C59" s="8412" t="n"/>
      <c r="D59" s="8412" t="n"/>
      <c r="E59" s="8412" t="n"/>
      <c r="F59" s="8412" t="n"/>
      <c r="G59" s="8412" t="n"/>
      <c r="H59" s="8412" t="n"/>
      <c r="I59" s="8412" t="n"/>
      <c r="J59" s="8412" t="n"/>
      <c r="K59" s="8412" t="n"/>
      <c r="L59" s="8412" t="n"/>
      <c r="M59" s="8412" t="n"/>
      <c r="N59" s="8412" t="n"/>
      <c r="O59" s="8412" t="n"/>
      <c r="P59" s="8412" t="n"/>
      <c r="Q59" s="8412" t="n"/>
      <c r="R59" s="8412" t="n"/>
      <c r="S59" s="8412" t="n"/>
      <c r="T59" s="8412" t="n"/>
      <c r="U59" s="8412" t="n"/>
      <c r="V59" s="8412" t="n"/>
      <c r="W59" s="8412" t="n"/>
      <c r="X59" s="8412" t="n"/>
      <c r="Y59" s="8412" t="n"/>
      <c r="Z59" s="8412" t="n"/>
      <c r="AA59" s="8412" t="n"/>
      <c r="AB59" s="11734" t="n"/>
      <c r="AC59" s="12741">
        <f>IF(OR(NoSSN,SS_Yours=""),"",SS_Yours)</f>
        <v/>
      </c>
      <c r="AD59" s="8412" t="n"/>
      <c r="AE59" s="8412" t="n"/>
      <c r="AF59" s="8412" t="n"/>
      <c r="AG59" s="8412" t="n"/>
      <c r="AH59" s="8412" t="n"/>
      <c r="AI59" s="8412" t="n"/>
      <c r="AJ59" s="8412" t="n"/>
      <c r="AK59" s="2013" t="n"/>
      <c r="AL59" s="2013" t="n"/>
      <c r="AM59" s="2013" t="n"/>
      <c r="AN59" s="11602" t="n"/>
      <c r="AO59" s="11602" t="n"/>
      <c r="AP59" s="11602" t="n"/>
      <c r="AQ59" s="658" t="n"/>
      <c r="AR59" s="658" t="n"/>
      <c r="AS59" s="658" t="n"/>
      <c r="AT59" s="658" t="n"/>
      <c r="AU59" s="658" t="n"/>
      <c r="AV59" s="658" t="n"/>
      <c r="AW59" s="658" t="n"/>
      <c r="AX59" s="658" t="n"/>
      <c r="AY59" s="658" t="n"/>
      <c r="AZ59" s="658" t="n"/>
    </row>
    <row r="60" ht="6" customFormat="1" customHeight="1" s="815">
      <c r="A60" s="2013" t="n"/>
      <c r="B60" s="4543" t="n"/>
      <c r="C60" s="4543" t="n"/>
      <c r="D60" s="4543" t="inlineStr">
        <is>
          <t xml:space="preserve">
</t>
        </is>
      </c>
      <c r="E60" s="4543" t="n"/>
      <c r="F60" s="4543" t="n"/>
      <c r="G60" s="4543" t="n"/>
      <c r="H60" s="4543" t="n"/>
      <c r="I60" s="4543" t="n"/>
      <c r="J60" s="4543" t="n"/>
      <c r="K60" s="4543" t="n"/>
      <c r="L60" s="4543" t="n"/>
      <c r="M60" s="4543" t="n"/>
      <c r="N60" s="4543" t="n"/>
      <c r="O60" s="4543" t="n"/>
      <c r="P60" s="4543" t="n"/>
      <c r="Q60" s="4543" t="n"/>
      <c r="R60" s="4543" t="n"/>
      <c r="S60" s="4543" t="n"/>
      <c r="T60" s="4543" t="n"/>
      <c r="U60" s="4543" t="n"/>
      <c r="V60" s="4543" t="n"/>
      <c r="W60" s="4543" t="n"/>
      <c r="X60" s="4543" t="n"/>
      <c r="Y60" s="4543" t="n"/>
      <c r="Z60" s="4543" t="n"/>
      <c r="AA60" s="4543" t="n"/>
      <c r="AB60" s="4543" t="n"/>
      <c r="AC60" s="4543" t="n"/>
      <c r="AD60" s="4543" t="n"/>
      <c r="AE60" s="4543" t="n"/>
      <c r="AF60" s="4543" t="n"/>
      <c r="AG60" s="4543" t="n"/>
      <c r="AH60" s="4543" t="n"/>
      <c r="AI60" s="4543" t="n"/>
      <c r="AJ60" s="4543" t="n"/>
      <c r="AK60" s="2013" t="n"/>
      <c r="AL60" s="2013" t="n"/>
      <c r="AM60" s="2013" t="n"/>
      <c r="AN60" s="11602" t="n"/>
      <c r="AO60" s="11602" t="n"/>
      <c r="AP60" s="11602" t="n"/>
      <c r="AQ60" s="658" t="n"/>
      <c r="AR60" s="658" t="n"/>
      <c r="AS60" s="658" t="n"/>
      <c r="AT60" s="658" t="n"/>
      <c r="AU60" s="658" t="n"/>
      <c r="AV60" s="658" t="n"/>
      <c r="AW60" s="658" t="n"/>
      <c r="AX60" s="658" t="n"/>
      <c r="AY60" s="658" t="n"/>
      <c r="AZ60" s="658" t="n"/>
    </row>
    <row r="61" ht="15.75" customFormat="1" customHeight="1" s="1115">
      <c r="A61" s="2290" t="n"/>
      <c r="B61" s="5969" t="inlineStr">
        <is>
          <t>Caution:  Complete Part III for each student for whom you’re claiming either the American opportunity credit or lifetime</t>
        </is>
      </c>
      <c r="C61" s="4492" t="n"/>
      <c r="D61" s="6534" t="n"/>
      <c r="E61" s="2325" t="n"/>
      <c r="F61" s="2325" t="n"/>
      <c r="G61" s="2325" t="n"/>
      <c r="H61" s="2325" t="n"/>
      <c r="I61" s="2325" t="n"/>
      <c r="J61" s="2325" t="n"/>
      <c r="K61" s="2325" t="n"/>
      <c r="L61" s="2325" t="n"/>
      <c r="M61" s="2325" t="n"/>
      <c r="N61" s="2325" t="n"/>
      <c r="O61" s="2325" t="n"/>
      <c r="P61" s="2325" t="n"/>
      <c r="Q61" s="2325" t="n"/>
      <c r="R61" s="2325" t="n"/>
      <c r="S61" s="2325" t="n"/>
      <c r="T61" s="2325" t="n"/>
      <c r="U61" s="2325" t="n"/>
      <c r="V61" s="2325" t="n"/>
      <c r="W61" s="2325" t="n"/>
      <c r="X61" s="2325" t="n"/>
      <c r="Y61" s="2325" t="n"/>
      <c r="Z61" s="2325" t="n"/>
      <c r="AA61" s="2325" t="n"/>
      <c r="AB61" s="2325" t="n"/>
      <c r="AC61" s="2325" t="n"/>
      <c r="AD61" s="2325" t="n"/>
      <c r="AE61" s="2325" t="n"/>
      <c r="AF61" s="2325" t="n"/>
      <c r="AG61" s="2325" t="n"/>
      <c r="AH61" s="2325" t="n"/>
      <c r="AI61" s="2325" t="n"/>
      <c r="AJ61" s="2325" t="n"/>
      <c r="AK61" s="2290" t="n"/>
      <c r="AL61" s="2290" t="n"/>
      <c r="AM61" s="2290" t="n"/>
      <c r="AN61" s="4520" t="n"/>
      <c r="AO61" s="4520" t="n"/>
      <c r="AP61" s="4521" t="n"/>
      <c r="AQ61" s="1114" t="n"/>
      <c r="AR61" s="1114" t="n"/>
      <c r="AS61" s="1114" t="n"/>
      <c r="AT61" s="1114" t="n"/>
      <c r="AU61" s="1114" t="n"/>
      <c r="AV61" s="1114" t="n"/>
      <c r="AW61" s="1114" t="n"/>
      <c r="AX61" s="1114" t="n"/>
      <c r="AY61" s="1114" t="n"/>
      <c r="AZ61" s="1114" t="n"/>
      <c r="BA61" s="2293" t="n"/>
      <c r="BB61" s="2293" t="n"/>
    </row>
    <row r="62" ht="15.75" customFormat="1" customHeight="1" s="1115">
      <c r="A62" s="2290" t="n"/>
      <c r="B62" s="5969" t="inlineStr">
        <is>
          <t>learning credit. Use additional copies of page 2 as needed for each student.</t>
        </is>
      </c>
      <c r="C62" s="4492" t="n"/>
      <c r="D62" s="2325" t="n"/>
      <c r="E62" s="2325" t="n"/>
      <c r="F62" s="2325" t="n"/>
      <c r="G62" s="2325" t="n"/>
      <c r="H62" s="2325" t="n"/>
      <c r="I62" s="2325" t="n"/>
      <c r="J62" s="2325" t="n"/>
      <c r="K62" s="2325" t="n"/>
      <c r="L62" s="2325" t="n"/>
      <c r="M62" s="2325" t="n"/>
      <c r="N62" s="2325" t="n"/>
      <c r="O62" s="2325" t="n"/>
      <c r="P62" s="2325" t="n"/>
      <c r="Q62" s="2325" t="n"/>
      <c r="R62" s="2325" t="n"/>
      <c r="S62" s="2325" t="n"/>
      <c r="T62" s="2325" t="n"/>
      <c r="U62" s="2325" t="n"/>
      <c r="V62" s="2325" t="n"/>
      <c r="W62" s="2325" t="n"/>
      <c r="X62" s="2325" t="n"/>
      <c r="Y62" s="2325" t="n"/>
      <c r="Z62" s="2325" t="n"/>
      <c r="AA62" s="2325" t="n"/>
      <c r="AB62" s="2325" t="n"/>
      <c r="AC62" s="2325" t="n"/>
      <c r="AD62" s="2325" t="n"/>
      <c r="AE62" s="2325" t="n"/>
      <c r="AF62" s="2325" t="n"/>
      <c r="AG62" s="2325" t="n"/>
      <c r="AH62" s="2325" t="n"/>
      <c r="AI62" s="2325" t="n"/>
      <c r="AJ62" s="2325" t="n"/>
      <c r="AK62" s="2290" t="n"/>
      <c r="AL62" s="2290" t="n"/>
      <c r="AM62" s="2290" t="n"/>
      <c r="AN62" s="4520" t="n"/>
      <c r="AO62" s="4520" t="n"/>
      <c r="AP62" s="4521" t="n"/>
      <c r="AQ62" s="1114" t="n"/>
      <c r="AR62" s="1114" t="n"/>
      <c r="AS62" s="1114" t="n"/>
      <c r="AT62" s="1114" t="n"/>
      <c r="AU62" s="1114" t="n"/>
      <c r="AV62" s="1114" t="n"/>
      <c r="AW62" s="1114" t="n"/>
      <c r="AX62" s="1114" t="n"/>
      <c r="AY62" s="1114" t="n"/>
      <c r="AZ62" s="1114" t="n"/>
      <c r="BA62" s="2293" t="n"/>
      <c r="BB62" s="2293" t="n"/>
    </row>
    <row r="63" ht="7.5" customFormat="1" customHeight="1" s="815">
      <c r="A63" s="2013" t="n"/>
      <c r="B63" s="4544" t="n"/>
      <c r="C63" s="4544" t="n"/>
      <c r="D63" s="4544" t="n"/>
      <c r="E63" s="4544" t="n"/>
      <c r="F63" s="4544" t="n"/>
      <c r="G63" s="4544" t="n"/>
      <c r="H63" s="4544" t="n"/>
      <c r="I63" s="4544" t="n"/>
      <c r="J63" s="4544" t="n"/>
      <c r="K63" s="4544" t="n"/>
      <c r="L63" s="4544" t="n"/>
      <c r="M63" s="4544" t="n"/>
      <c r="N63" s="4544" t="n"/>
      <c r="O63" s="4544" t="n"/>
      <c r="P63" s="4544" t="n"/>
      <c r="Q63" s="4544" t="n"/>
      <c r="R63" s="4544" t="n"/>
      <c r="S63" s="4544" t="n"/>
      <c r="T63" s="4544" t="n"/>
      <c r="U63" s="4544" t="n"/>
      <c r="V63" s="4544" t="n"/>
      <c r="W63" s="4544" t="n"/>
      <c r="X63" s="4544" t="n"/>
      <c r="Y63" s="4544" t="n"/>
      <c r="Z63" s="4544" t="n"/>
      <c r="AA63" s="4544" t="n"/>
      <c r="AB63" s="4544" t="n"/>
      <c r="AC63" s="4544" t="n"/>
      <c r="AD63" s="4544" t="n"/>
      <c r="AE63" s="4544" t="n"/>
      <c r="AF63" s="4544" t="n"/>
      <c r="AG63" s="4544" t="n"/>
      <c r="AH63" s="4544" t="n"/>
      <c r="AI63" s="4544" t="n"/>
      <c r="AJ63" s="4544" t="n"/>
      <c r="AK63" s="2013" t="n"/>
      <c r="AL63" s="2013" t="n"/>
      <c r="AM63" s="2013" t="n"/>
      <c r="AN63" s="11602" t="n"/>
      <c r="AO63" s="11602" t="n"/>
      <c r="AP63" s="11602" t="n"/>
      <c r="AQ63" s="658" t="n"/>
      <c r="AR63" s="658" t="n"/>
      <c r="AS63" s="658" t="n"/>
      <c r="AT63" s="658" t="n"/>
      <c r="AU63" s="658" t="n"/>
      <c r="AV63" s="658" t="n"/>
      <c r="AW63" s="658" t="n"/>
      <c r="AX63" s="658" t="n"/>
      <c r="AY63" s="658" t="n"/>
      <c r="AZ63" s="658" t="n"/>
    </row>
    <row r="64" ht="19.5" customFormat="1" customHeight="1" s="815">
      <c r="A64" s="2013" t="n"/>
      <c r="B64" s="7938" t="inlineStr">
        <is>
          <t>Part III</t>
        </is>
      </c>
      <c r="C64" s="8412" t="n"/>
      <c r="D64" s="3879" t="n"/>
      <c r="E64" s="2873" t="inlineStr">
        <is>
          <t>Student and Educational Institution Information. See instructions.</t>
        </is>
      </c>
      <c r="F64" s="413" t="n"/>
      <c r="G64" s="413" t="n"/>
      <c r="H64" s="413" t="n"/>
      <c r="I64" s="413" t="n"/>
      <c r="J64" s="413" t="n"/>
      <c r="K64" s="413" t="n"/>
      <c r="L64" s="413" t="n"/>
      <c r="M64" s="413" t="n"/>
      <c r="N64" s="413" t="n"/>
      <c r="O64" s="413" t="n"/>
      <c r="P64" s="413" t="n"/>
      <c r="Q64" s="413" t="n"/>
      <c r="R64" s="413" t="n"/>
      <c r="S64" s="413" t="n"/>
      <c r="T64" s="413" t="n"/>
      <c r="U64" s="413" t="n"/>
      <c r="V64" s="413" t="n"/>
      <c r="W64" s="413" t="n"/>
      <c r="X64" s="413" t="n"/>
      <c r="Y64" s="413" t="n"/>
      <c r="Z64" s="413" t="n"/>
      <c r="AA64" s="413" t="n"/>
      <c r="AB64" s="413" t="n"/>
      <c r="AC64" s="413" t="n"/>
      <c r="AD64" s="413" t="n"/>
      <c r="AE64" s="413" t="n"/>
      <c r="AF64" s="413" t="n"/>
      <c r="AG64" s="413" t="n"/>
      <c r="AH64" s="413" t="n"/>
      <c r="AI64" s="413" t="n"/>
      <c r="AJ64" s="413" t="n"/>
      <c r="AK64" s="2013" t="n"/>
      <c r="AL64" s="2013" t="n"/>
      <c r="AM64" s="2013" t="n"/>
      <c r="AN64" s="11602" t="n"/>
      <c r="AO64" s="11602" t="n"/>
      <c r="AP64" s="11602" t="n"/>
      <c r="AQ64" s="658" t="n"/>
      <c r="AR64" s="658" t="n"/>
      <c r="AS64" s="658" t="n"/>
      <c r="AT64" s="658" t="n"/>
      <c r="AU64" s="658" t="n"/>
      <c r="AV64" s="658" t="n"/>
      <c r="AW64" s="658" t="n"/>
      <c r="AX64" s="658" t="n"/>
      <c r="AY64" s="658" t="n"/>
      <c r="AZ64" s="658" t="n"/>
    </row>
    <row r="65" ht="16.5" customFormat="1" customHeight="1" s="815">
      <c r="A65" s="2013" t="n"/>
      <c r="B65" s="3827" t="inlineStr">
        <is>
          <t>20</t>
        </is>
      </c>
      <c r="C65" s="11602" t="n"/>
      <c r="D65" s="4545" t="inlineStr">
        <is>
          <t>Student name (as shown on page 1 of your tax return)</t>
        </is>
      </c>
      <c r="E65" s="406" t="n"/>
      <c r="F65" s="406" t="n"/>
      <c r="G65" s="406" t="n"/>
      <c r="H65" s="406" t="n"/>
      <c r="I65" s="406" t="n"/>
      <c r="J65" s="406" t="n"/>
      <c r="K65" s="406" t="n"/>
      <c r="L65" s="406" t="n"/>
      <c r="M65" s="407" t="n"/>
      <c r="N65" s="9764" t="n"/>
      <c r="O65" s="565" t="n"/>
      <c r="P65" s="406" t="n"/>
      <c r="Q65" s="406" t="n"/>
      <c r="R65" s="565" t="n"/>
      <c r="S65" s="565" t="n"/>
      <c r="T65" s="9764" t="n">
        <v>21</v>
      </c>
      <c r="U65" s="4545" t="inlineStr">
        <is>
          <t>Student social security number (as shown on page 1 of</t>
        </is>
      </c>
      <c r="V65" s="565" t="n"/>
      <c r="W65" s="565" t="n"/>
      <c r="X65" s="565" t="n"/>
      <c r="Y65" s="565" t="n"/>
      <c r="Z65" s="565" t="n"/>
      <c r="AA65" s="565" t="n"/>
      <c r="AB65" s="4546" t="n"/>
      <c r="AC65" s="565" t="n"/>
      <c r="AD65" s="565" t="n"/>
      <c r="AE65" s="565" t="n"/>
      <c r="AF65" s="565" t="n"/>
      <c r="AG65" s="406" t="n"/>
      <c r="AH65" s="565" t="n"/>
      <c r="AI65" s="565" t="n"/>
      <c r="AJ65" s="565" t="n"/>
      <c r="AK65" s="2013" t="n"/>
      <c r="AL65" s="2013" t="n"/>
      <c r="AM65" s="2013" t="n"/>
      <c r="AN65" s="11602" t="n"/>
      <c r="AO65" s="11602" t="n"/>
      <c r="AP65" s="11602" t="n"/>
      <c r="AQ65" s="658" t="n"/>
      <c r="AR65" s="658" t="n"/>
      <c r="AS65" s="658" t="n"/>
      <c r="AT65" s="658" t="n"/>
      <c r="AU65" s="658" t="n"/>
      <c r="AV65" s="658" t="n"/>
      <c r="AW65" s="658" t="n"/>
      <c r="AX65" s="658" t="n"/>
      <c r="AY65" s="658" t="n"/>
      <c r="AZ65" s="658" t="n"/>
    </row>
    <row r="66" ht="15" customFormat="1" customHeight="1" s="815">
      <c r="A66" s="2013" t="n"/>
      <c r="B66" s="3827" t="n"/>
      <c r="C66" s="11602" t="n"/>
      <c r="D66" s="11181" t="n"/>
      <c r="E66" s="194" t="n"/>
      <c r="F66" s="194" t="n"/>
      <c r="G66" s="194" t="n"/>
      <c r="H66" s="194" t="n"/>
      <c r="I66" s="194" t="n"/>
      <c r="J66" s="194" t="n"/>
      <c r="K66" s="194" t="n"/>
      <c r="L66" s="194" t="n"/>
      <c r="M66" s="194" t="n"/>
      <c r="N66" s="194" t="n"/>
      <c r="O66" s="194" t="n"/>
      <c r="P66" s="194" t="n"/>
      <c r="Q66" s="194" t="n"/>
      <c r="R66" s="194" t="n"/>
      <c r="S66" s="11726" t="n"/>
      <c r="T66" s="12742" t="n"/>
      <c r="U66" s="2100" t="inlineStr">
        <is>
          <t>your tax return)</t>
        </is>
      </c>
      <c r="V66" s="12743" t="n"/>
      <c r="W66" s="12743" t="n"/>
      <c r="X66" s="12743" t="n"/>
      <c r="Y66" s="12743" t="n"/>
      <c r="Z66" s="12743" t="n"/>
      <c r="AA66" s="12743" t="n"/>
      <c r="AB66" s="12743" t="n"/>
      <c r="AC66" s="12743" t="n"/>
      <c r="AD66" s="12743" t="n"/>
      <c r="AE66" s="12743" t="n"/>
      <c r="AF66" s="12743" t="n"/>
      <c r="AG66" s="12743" t="n"/>
      <c r="AH66" s="12743" t="n"/>
      <c r="AI66" s="12743" t="n"/>
      <c r="AJ66" s="12743" t="n"/>
      <c r="AK66" s="2013" t="n"/>
      <c r="AL66" s="2013" t="n"/>
      <c r="AM66" s="2013" t="n"/>
      <c r="AN66" s="11602" t="n"/>
      <c r="AO66" s="11602" t="n"/>
      <c r="AP66" s="11602" t="n"/>
      <c r="AQ66" s="658" t="n"/>
      <c r="AR66" s="658" t="n"/>
      <c r="AS66" s="658" t="n"/>
      <c r="AT66" s="658" t="n"/>
      <c r="AU66" s="658" t="n"/>
      <c r="AV66" s="658" t="n"/>
      <c r="AW66" s="658" t="n"/>
      <c r="AX66" s="658" t="n"/>
      <c r="AY66" s="658" t="n"/>
      <c r="AZ66" s="658" t="n"/>
    </row>
    <row r="67" ht="18" customFormat="1" customHeight="1" s="815">
      <c r="A67" s="2013" t="n"/>
      <c r="B67" s="3827" t="n"/>
      <c r="C67" s="11602" t="n"/>
      <c r="D67" s="11717" t="n"/>
      <c r="E67" s="11717" t="n"/>
      <c r="F67" s="11717" t="n"/>
      <c r="G67" s="11717" t="n"/>
      <c r="H67" s="11717" t="n"/>
      <c r="I67" s="11717" t="n"/>
      <c r="J67" s="11717" t="n"/>
      <c r="K67" s="11717" t="n"/>
      <c r="L67" s="11717" t="n"/>
      <c r="M67" s="11717" t="n"/>
      <c r="N67" s="11717" t="n"/>
      <c r="O67" s="11717" t="n"/>
      <c r="P67" s="11717" t="n"/>
      <c r="Q67" s="11717" t="n"/>
      <c r="R67" s="11717" t="n"/>
      <c r="S67" s="11718" t="n"/>
      <c r="T67" s="12744" t="n"/>
      <c r="U67" s="12745" t="n"/>
      <c r="V67" s="11717" t="n"/>
      <c r="W67" s="11717" t="n"/>
      <c r="X67" s="11717" t="n"/>
      <c r="Y67" s="11717" t="n"/>
      <c r="Z67" s="11717" t="n"/>
      <c r="AA67" s="11717" t="n"/>
      <c r="AB67" s="11717" t="n"/>
      <c r="AC67" s="11717" t="n"/>
      <c r="AD67" s="11717" t="n"/>
      <c r="AE67" s="11717" t="n"/>
      <c r="AF67" s="11717" t="n"/>
      <c r="AG67" s="11717" t="n"/>
      <c r="AH67" s="11717" t="n"/>
      <c r="AI67" s="11717" t="n"/>
      <c r="AJ67" s="11717" t="n"/>
      <c r="AK67" s="2013" t="n"/>
      <c r="AL67" s="2013" t="n"/>
      <c r="AM67" s="2013" t="n"/>
      <c r="AN67" s="11602" t="n"/>
      <c r="AO67" s="11602" t="n"/>
      <c r="AP67" s="11602" t="n"/>
      <c r="AQ67" s="658" t="n"/>
      <c r="AR67" s="658" t="n"/>
      <c r="AS67" s="658" t="n"/>
      <c r="AT67" s="658" t="n"/>
      <c r="AU67" s="658" t="n"/>
      <c r="AV67" s="658" t="n"/>
      <c r="AW67" s="658" t="n"/>
      <c r="AX67" s="658" t="n"/>
      <c r="AY67" s="658" t="n"/>
      <c r="AZ67" s="658" t="n"/>
    </row>
    <row r="68" ht="16.5" customFormat="1" customHeight="1" s="815">
      <c r="A68" s="2013" t="n"/>
      <c r="B68" s="3844" t="n">
        <v>22</v>
      </c>
      <c r="C68" s="773" t="n"/>
      <c r="D68" s="1996" t="inlineStr">
        <is>
          <t>Educational institution information (see instructions)</t>
        </is>
      </c>
      <c r="E68" s="413" t="n"/>
      <c r="F68" s="413" t="n"/>
      <c r="G68" s="413" t="n"/>
      <c r="H68" s="413" t="n"/>
      <c r="I68" s="413" t="n"/>
      <c r="J68" s="413" t="n"/>
      <c r="K68" s="413" t="n"/>
      <c r="L68" s="413" t="n"/>
      <c r="M68" s="413" t="n"/>
      <c r="N68" s="413" t="n"/>
      <c r="O68" s="413" t="n"/>
      <c r="P68" s="413" t="n"/>
      <c r="Q68" s="413" t="n"/>
      <c r="R68" s="413" t="n"/>
      <c r="S68" s="413" t="n"/>
      <c r="T68" s="413" t="n"/>
      <c r="U68" s="413" t="n"/>
      <c r="V68" s="413" t="n"/>
      <c r="W68" s="413" t="n"/>
      <c r="X68" s="413" t="n"/>
      <c r="Y68" s="413" t="n"/>
      <c r="Z68" s="413" t="n"/>
      <c r="AA68" s="413" t="n"/>
      <c r="AB68" s="413" t="n"/>
      <c r="AC68" s="413" t="n"/>
      <c r="AD68" s="413" t="n"/>
      <c r="AE68" s="413" t="n"/>
      <c r="AF68" s="413" t="n"/>
      <c r="AG68" s="413" t="n"/>
      <c r="AH68" s="413" t="n"/>
      <c r="AI68" s="413" t="n"/>
      <c r="AJ68" s="413" t="n"/>
      <c r="AK68" s="2013" t="n"/>
      <c r="AL68" s="2013" t="n"/>
      <c r="AM68" s="2013" t="n"/>
      <c r="AN68" s="11602" t="n"/>
      <c r="AO68" s="11602" t="n"/>
      <c r="AP68" s="11602" t="n"/>
      <c r="AQ68" s="658" t="n"/>
      <c r="AR68" s="658" t="n"/>
      <c r="AS68" s="658" t="n"/>
      <c r="AT68" s="658" t="n"/>
      <c r="AU68" s="658" t="n"/>
      <c r="AV68" s="658" t="n"/>
      <c r="AW68" s="658" t="n"/>
      <c r="AX68" s="658" t="n"/>
      <c r="AY68" s="658" t="n"/>
      <c r="AZ68" s="658" t="n"/>
    </row>
    <row r="69" ht="16.5" customFormat="1" customHeight="1" s="815">
      <c r="A69" s="2013" t="n"/>
      <c r="B69" s="3827" t="n"/>
      <c r="C69" s="11602" t="n"/>
      <c r="D69" s="8384" t="inlineStr">
        <is>
          <t>a.</t>
        </is>
      </c>
      <c r="E69" s="565" t="inlineStr">
        <is>
          <t>Name of first educational institution</t>
        </is>
      </c>
      <c r="F69" s="406" t="n"/>
      <c r="G69" s="406" t="n"/>
      <c r="H69" s="406" t="n"/>
      <c r="I69" s="406" t="n"/>
      <c r="J69" s="406" t="n"/>
      <c r="K69" s="406" t="n"/>
      <c r="L69" s="406" t="n"/>
      <c r="M69" s="406" t="n"/>
      <c r="N69" s="8384" t="n"/>
      <c r="O69" s="565" t="n"/>
      <c r="P69" s="406" t="n"/>
      <c r="Q69" s="406" t="n"/>
      <c r="R69" s="565" t="n"/>
      <c r="S69" s="3542" t="n"/>
      <c r="T69" s="9764" t="n"/>
      <c r="U69" s="8384" t="inlineStr">
        <is>
          <t>b.</t>
        </is>
      </c>
      <c r="V69" s="565" t="inlineStr">
        <is>
          <t>Name of second educational institution (if any)</t>
        </is>
      </c>
      <c r="W69" s="565" t="n"/>
      <c r="X69" s="565" t="n"/>
      <c r="Y69" s="565" t="n"/>
      <c r="Z69" s="565" t="n"/>
      <c r="AA69" s="565" t="n"/>
      <c r="AB69" s="4546" t="n"/>
      <c r="AC69" s="565" t="n"/>
      <c r="AD69" s="565" t="n"/>
      <c r="AE69" s="565" t="n"/>
      <c r="AF69" s="406" t="n"/>
      <c r="AG69" s="565" t="n"/>
      <c r="AH69" s="565" t="n"/>
      <c r="AI69" s="565" t="n"/>
      <c r="AJ69" s="565" t="n"/>
      <c r="AK69" s="2013" t="n"/>
      <c r="AL69" s="2013" t="n"/>
      <c r="AM69" s="2013" t="n"/>
      <c r="AN69" s="11602" t="n"/>
      <c r="AO69" s="11602" t="n"/>
      <c r="AP69" s="11602" t="n"/>
      <c r="AQ69" s="658" t="n"/>
      <c r="AR69" s="658" t="n"/>
      <c r="AS69" s="658" t="n"/>
      <c r="AT69" s="658" t="n"/>
      <c r="AU69" s="658" t="n"/>
      <c r="AV69" s="658" t="n"/>
      <c r="AW69" s="658" t="n"/>
      <c r="AX69" s="658" t="n"/>
      <c r="AY69" s="658" t="n"/>
      <c r="AZ69" s="658" t="n"/>
    </row>
    <row r="70" ht="18" customFormat="1" customHeight="1" s="815">
      <c r="A70" s="2013" t="n"/>
      <c r="B70" s="3827" t="n"/>
      <c r="D70" s="11183" t="n"/>
      <c r="E70" s="11717" t="n"/>
      <c r="F70" s="11717" t="n"/>
      <c r="G70" s="11717" t="n"/>
      <c r="H70" s="11717" t="n"/>
      <c r="I70" s="11717" t="n"/>
      <c r="J70" s="11717" t="n"/>
      <c r="K70" s="11717" t="n"/>
      <c r="L70" s="11717" t="n"/>
      <c r="M70" s="11717" t="n"/>
      <c r="N70" s="11717" t="n"/>
      <c r="O70" s="11717" t="n"/>
      <c r="P70" s="11717" t="n"/>
      <c r="Q70" s="11717" t="n"/>
      <c r="R70" s="11717" t="n"/>
      <c r="S70" s="11718" t="n"/>
      <c r="T70" s="11168" t="n"/>
      <c r="U70" s="11717" t="n"/>
      <c r="V70" s="11717" t="n"/>
      <c r="W70" s="11717" t="n"/>
      <c r="X70" s="11717" t="n"/>
      <c r="Y70" s="11717" t="n"/>
      <c r="Z70" s="11717" t="n"/>
      <c r="AA70" s="11717" t="n"/>
      <c r="AB70" s="11717" t="n"/>
      <c r="AC70" s="11717" t="n"/>
      <c r="AD70" s="11717" t="n"/>
      <c r="AE70" s="11717" t="n"/>
      <c r="AF70" s="11717" t="n"/>
      <c r="AG70" s="11717" t="n"/>
      <c r="AH70" s="11717" t="n"/>
      <c r="AI70" s="11717" t="n"/>
      <c r="AJ70" s="11717" t="n"/>
      <c r="AK70" s="2013" t="n"/>
      <c r="AL70" s="2013" t="n"/>
      <c r="AM70" s="2013" t="n"/>
      <c r="AN70" s="11602" t="n"/>
      <c r="AO70" s="11602" t="n"/>
      <c r="AP70" s="11602" t="n"/>
      <c r="AQ70" s="658" t="n"/>
      <c r="AR70" s="658" t="n"/>
      <c r="AS70" s="658" t="n"/>
      <c r="AT70" s="658" t="n"/>
      <c r="AU70" s="658" t="n"/>
      <c r="AV70" s="658" t="n"/>
      <c r="AW70" s="658" t="n"/>
      <c r="AX70" s="658" t="n"/>
      <c r="AY70" s="658" t="n"/>
      <c r="AZ70" s="658" t="n"/>
    </row>
    <row r="71" ht="12.75" customFormat="1" customHeight="1" s="815">
      <c r="A71" s="2013" t="n"/>
      <c r="B71" s="11602" t="n"/>
      <c r="C71" s="11602" t="n"/>
      <c r="D71" s="1400" t="inlineStr">
        <is>
          <t>(1)</t>
        </is>
      </c>
      <c r="E71" s="8650" t="inlineStr">
        <is>
          <t>Address. Number and street (or P.O. box). City, town or</t>
        </is>
      </c>
      <c r="F71" s="11602" t="n"/>
      <c r="G71" s="11602" t="n"/>
      <c r="H71" s="11602" t="n"/>
      <c r="I71" s="11602" t="n"/>
      <c r="J71" s="11602" t="n"/>
      <c r="K71" s="11602" t="n"/>
      <c r="L71" s="11602" t="n"/>
      <c r="M71" s="11602" t="n"/>
      <c r="N71" s="11602" t="n"/>
      <c r="O71" s="11602" t="n"/>
      <c r="P71" s="11602" t="n"/>
      <c r="Q71" s="11602" t="n"/>
      <c r="R71" s="11602" t="n"/>
      <c r="S71" s="407" t="n"/>
      <c r="T71" s="11602" t="n"/>
      <c r="U71" s="1400" t="inlineStr">
        <is>
          <t>(1)</t>
        </is>
      </c>
      <c r="V71" s="8650" t="inlineStr">
        <is>
          <t>Address. Number and street (or P.O. box). City, town or</t>
        </is>
      </c>
      <c r="W71" s="11602" t="n"/>
      <c r="X71" s="11602" t="n"/>
      <c r="Y71" s="11602" t="n"/>
      <c r="Z71" s="11602" t="n"/>
      <c r="AA71" s="11602" t="n"/>
      <c r="AB71" s="11602" t="n"/>
      <c r="AC71" s="11602" t="n"/>
      <c r="AD71" s="11602" t="n"/>
      <c r="AE71" s="11602" t="n"/>
      <c r="AF71" s="11602" t="n"/>
      <c r="AG71" s="11602" t="n"/>
      <c r="AH71" s="11602" t="n"/>
      <c r="AI71" s="11602" t="n"/>
      <c r="AJ71" s="11602" t="n"/>
      <c r="AK71" s="2013" t="n"/>
      <c r="AL71" s="2013" t="n"/>
      <c r="AM71" s="2013" t="n"/>
      <c r="AN71" s="11602" t="n"/>
      <c r="AO71" s="11602" t="n"/>
      <c r="AP71" s="11602" t="n"/>
      <c r="AQ71" s="658" t="n"/>
      <c r="AR71" s="658" t="n"/>
      <c r="AS71" s="658" t="n"/>
      <c r="AT71" s="658" t="n"/>
      <c r="AU71" s="658" t="n"/>
      <c r="AV71" s="658" t="n"/>
      <c r="AW71" s="658" t="n"/>
      <c r="AX71" s="658" t="n"/>
      <c r="AY71" s="658" t="n"/>
      <c r="AZ71" s="658" t="n"/>
    </row>
    <row r="72" ht="14.25" customFormat="1" customHeight="1" s="815">
      <c r="A72" s="2013" t="n"/>
      <c r="B72" s="11602" t="n"/>
      <c r="C72" s="11602" t="n"/>
      <c r="D72" s="11602" t="n"/>
      <c r="E72" s="8650" t="inlineStr">
        <is>
          <t>post office, state, and ZIP code. If a foreign address, see</t>
        </is>
      </c>
      <c r="F72" s="11602" t="n"/>
      <c r="G72" s="11602" t="n"/>
      <c r="H72" s="11602" t="n"/>
      <c r="I72" s="11602" t="n"/>
      <c r="J72" s="11602" t="n"/>
      <c r="K72" s="11602" t="n"/>
      <c r="L72" s="11602" t="n"/>
      <c r="M72" s="11602" t="n"/>
      <c r="N72" s="11602" t="n"/>
      <c r="O72" s="11602" t="n"/>
      <c r="P72" s="11602" t="n"/>
      <c r="Q72" s="11602" t="n"/>
      <c r="R72" s="11602" t="n"/>
      <c r="S72" s="409" t="n"/>
      <c r="T72" s="11602" t="n"/>
      <c r="U72" s="11602" t="n"/>
      <c r="V72" s="8650" t="inlineStr">
        <is>
          <t>post office, state, and ZIP code. If a foreign address, see</t>
        </is>
      </c>
      <c r="W72" s="11602" t="n"/>
      <c r="X72" s="11602" t="n"/>
      <c r="Y72" s="11602" t="n"/>
      <c r="Z72" s="11602" t="n"/>
      <c r="AA72" s="11602" t="n"/>
      <c r="AB72" s="11602" t="n"/>
      <c r="AC72" s="11602" t="n"/>
      <c r="AD72" s="11602" t="n"/>
      <c r="AE72" s="11602" t="n"/>
      <c r="AF72" s="11602" t="n"/>
      <c r="AG72" s="11602" t="n"/>
      <c r="AH72" s="11602" t="n"/>
      <c r="AI72" s="11602" t="n"/>
      <c r="AJ72" s="11602" t="n"/>
      <c r="AK72" s="2013" t="n"/>
      <c r="AL72" s="2013" t="n"/>
      <c r="AM72" s="2013" t="n"/>
      <c r="AN72" s="11602" t="n"/>
      <c r="AO72" s="11602" t="n"/>
      <c r="AP72" s="11602" t="n"/>
      <c r="AQ72" s="658" t="n"/>
      <c r="AR72" s="658" t="n"/>
      <c r="AS72" s="658" t="n"/>
      <c r="AT72" s="658" t="n"/>
      <c r="AU72" s="658" t="n"/>
      <c r="AV72" s="658" t="n"/>
      <c r="AW72" s="658" t="n"/>
      <c r="AX72" s="658" t="n"/>
      <c r="AY72" s="658" t="n"/>
      <c r="AZ72" s="658" t="n"/>
    </row>
    <row r="73" ht="14.25" customFormat="1" customHeight="1" s="815">
      <c r="A73" s="2013" t="n"/>
      <c r="B73" s="11602" t="n"/>
      <c r="C73" s="11602" t="n"/>
      <c r="D73" s="11602" t="n"/>
      <c r="E73" s="8650" t="inlineStr">
        <is>
          <t>instructions.</t>
        </is>
      </c>
      <c r="F73" s="11602" t="n"/>
      <c r="G73" s="11602" t="n"/>
      <c r="H73" s="11602" t="n"/>
      <c r="I73" s="11602" t="n"/>
      <c r="J73" s="11602" t="n"/>
      <c r="K73" s="11602" t="n"/>
      <c r="L73" s="11602" t="n"/>
      <c r="M73" s="11602" t="n"/>
      <c r="N73" s="11602" t="n"/>
      <c r="O73" s="11602" t="n"/>
      <c r="P73" s="11602" t="n"/>
      <c r="Q73" s="11602" t="n"/>
      <c r="R73" s="11602" t="n"/>
      <c r="S73" s="409" t="n"/>
      <c r="T73" s="11602" t="n"/>
      <c r="U73" s="11602" t="n"/>
      <c r="V73" s="8650" t="inlineStr">
        <is>
          <t>instructions.</t>
        </is>
      </c>
      <c r="W73" s="11602" t="n"/>
      <c r="X73" s="11602" t="n"/>
      <c r="Y73" s="11602" t="n"/>
      <c r="Z73" s="11602" t="n"/>
      <c r="AA73" s="11602" t="n"/>
      <c r="AB73" s="11602" t="n"/>
      <c r="AC73" s="11602" t="n"/>
      <c r="AD73" s="11602" t="n"/>
      <c r="AE73" s="11602" t="n"/>
      <c r="AF73" s="11602" t="n"/>
      <c r="AG73" s="11602" t="n"/>
      <c r="AH73" s="11602" t="n"/>
      <c r="AI73" s="11602" t="n"/>
      <c r="AJ73" s="11602" t="n"/>
      <c r="AK73" s="2013" t="n"/>
      <c r="AL73" s="2013" t="n"/>
      <c r="AM73" s="2013" t="n"/>
      <c r="AN73" s="11602" t="n"/>
      <c r="AO73" s="11602" t="n"/>
      <c r="AP73" s="11602" t="n"/>
      <c r="AQ73" s="658" t="n"/>
      <c r="AR73" s="658" t="n"/>
      <c r="AS73" s="658" t="n"/>
      <c r="AT73" s="658" t="n"/>
      <c r="AU73" s="658" t="n"/>
      <c r="AV73" s="658" t="n"/>
      <c r="AW73" s="658" t="n"/>
      <c r="AX73" s="658" t="n"/>
      <c r="AY73" s="658" t="n"/>
      <c r="AZ73" s="658" t="n"/>
    </row>
    <row r="74" ht="15.75" customFormat="1" customHeight="1" s="815">
      <c r="A74" s="2013" t="n"/>
      <c r="B74" s="3827" t="n"/>
      <c r="D74" s="7357" t="n"/>
      <c r="E74" s="11717" t="n"/>
      <c r="F74" s="11717" t="n"/>
      <c r="G74" s="11717" t="n"/>
      <c r="H74" s="11717" t="n"/>
      <c r="I74" s="11717" t="n"/>
      <c r="J74" s="11717" t="n"/>
      <c r="K74" s="11717" t="n"/>
      <c r="L74" s="11717" t="n"/>
      <c r="M74" s="11717" t="n"/>
      <c r="N74" s="11717" t="n"/>
      <c r="O74" s="11717" t="n"/>
      <c r="P74" s="11717" t="n"/>
      <c r="Q74" s="11717" t="n"/>
      <c r="R74" s="11717" t="n"/>
      <c r="S74" s="11718" t="n"/>
      <c r="T74" s="11137" t="n"/>
      <c r="U74" s="11717" t="n"/>
      <c r="V74" s="11717" t="n"/>
      <c r="W74" s="11717" t="n"/>
      <c r="X74" s="11717" t="n"/>
      <c r="Y74" s="11717" t="n"/>
      <c r="Z74" s="11717" t="n"/>
      <c r="AA74" s="11717" t="n"/>
      <c r="AB74" s="11717" t="n"/>
      <c r="AC74" s="11717" t="n"/>
      <c r="AD74" s="11717" t="n"/>
      <c r="AE74" s="11717" t="n"/>
      <c r="AF74" s="11717" t="n"/>
      <c r="AG74" s="11717" t="n"/>
      <c r="AH74" s="11717" t="n"/>
      <c r="AI74" s="11717" t="n"/>
      <c r="AJ74" s="11717" t="n"/>
      <c r="AK74" s="2013" t="n"/>
      <c r="AL74" s="2013" t="n"/>
      <c r="AM74" s="2013" t="n"/>
      <c r="AN74" s="11602" t="n"/>
      <c r="AO74" s="11602" t="n"/>
      <c r="AP74" s="11602" t="n"/>
      <c r="AQ74" s="658" t="n"/>
      <c r="AR74" s="658" t="n"/>
      <c r="AS74" s="658" t="n"/>
      <c r="AT74" s="658" t="n"/>
      <c r="AU74" s="658" t="n"/>
      <c r="AV74" s="658" t="n"/>
      <c r="AW74" s="658" t="n"/>
      <c r="AX74" s="658" t="n"/>
      <c r="AY74" s="658" t="n"/>
      <c r="AZ74" s="658" t="n"/>
    </row>
    <row r="75" ht="16.5" customFormat="1" customHeight="1" s="815">
      <c r="A75" s="2013" t="n"/>
      <c r="B75" s="11602" t="n"/>
      <c r="C75" s="11602" t="n"/>
      <c r="D75" s="1400" t="inlineStr">
        <is>
          <t>(2)</t>
        </is>
      </c>
      <c r="E75" s="12746">
        <f>"Did the student receive Form 1098-T"&amp;CHAR(10)&amp;"from this institution for "&amp;TaxYear&amp;"?"</f>
        <v/>
      </c>
      <c r="F75" s="7839" t="n"/>
      <c r="G75" s="7839" t="n"/>
      <c r="H75" s="7839" t="n"/>
      <c r="I75" s="7839" t="n"/>
      <c r="J75" s="7839" t="n"/>
      <c r="K75" s="7839" t="n"/>
      <c r="L75" s="7839" t="n"/>
      <c r="M75" s="7839" t="n"/>
      <c r="N75" s="7839" t="n"/>
      <c r="O75" s="11602" t="n"/>
      <c r="P75" s="11602" t="n"/>
      <c r="Q75" s="11602" t="n"/>
      <c r="R75" s="11602" t="n"/>
      <c r="S75" s="11602" t="n"/>
      <c r="T75" s="405" t="n"/>
      <c r="U75" s="1400" t="inlineStr">
        <is>
          <t>(2)</t>
        </is>
      </c>
      <c r="V75" s="12746">
        <f>"Did the student receive Form 1098-T"&amp;CHAR(10)&amp;"from this institution for "&amp;TaxYear&amp;"?"</f>
        <v/>
      </c>
      <c r="W75" s="7839" t="n"/>
      <c r="X75" s="7839" t="n"/>
      <c r="Y75" s="7839" t="n"/>
      <c r="Z75" s="7839" t="n"/>
      <c r="AA75" s="7839" t="n"/>
      <c r="AB75" s="7839" t="n"/>
      <c r="AC75" s="7839" t="n"/>
      <c r="AD75" s="7839" t="n"/>
      <c r="AE75" s="7839" t="n"/>
      <c r="AF75" s="11602" t="n"/>
      <c r="AG75" s="11602" t="n"/>
      <c r="AH75" s="11602" t="n"/>
      <c r="AI75" s="11602" t="n"/>
      <c r="AJ75" s="11602" t="n"/>
      <c r="AK75" s="2013" t="n"/>
      <c r="AL75" s="2013" t="n"/>
      <c r="AM75" s="2013" t="n"/>
      <c r="AN75" s="11602" t="n"/>
      <c r="AO75" s="11602" t="n"/>
      <c r="AP75" s="11602" t="n"/>
      <c r="AQ75" s="658" t="n"/>
      <c r="AR75" s="658" t="n"/>
      <c r="AS75" s="658" t="n"/>
      <c r="AT75" s="658" t="n"/>
      <c r="AU75" s="658" t="n"/>
      <c r="AV75" s="658" t="n"/>
      <c r="AW75" s="658" t="n"/>
      <c r="AX75" s="658" t="n"/>
      <c r="AY75" s="658" t="n"/>
      <c r="AZ75" s="658" t="n"/>
    </row>
    <row r="76" ht="14.25" customFormat="1" customHeight="1" s="815">
      <c r="A76" s="2013" t="n"/>
      <c r="B76" s="11602" t="n"/>
      <c r="C76" s="11602" t="n"/>
      <c r="D76" s="11602" t="n"/>
      <c r="O76" s="1111" t="n"/>
      <c r="P76" s="7886" t="inlineStr">
        <is>
          <t xml:space="preserve"> Yes</t>
        </is>
      </c>
      <c r="Q76" s="11602" t="n"/>
      <c r="R76" s="1111" t="n"/>
      <c r="S76" s="7886" t="inlineStr">
        <is>
          <t xml:space="preserve"> No</t>
        </is>
      </c>
      <c r="T76" s="2018" t="n"/>
      <c r="U76" s="11602" t="n"/>
      <c r="AF76" s="1111" t="n"/>
      <c r="AG76" s="7886" t="inlineStr">
        <is>
          <t xml:space="preserve"> Yes</t>
        </is>
      </c>
      <c r="AH76" s="11602" t="n"/>
      <c r="AI76" s="1111" t="n"/>
      <c r="AJ76" s="7886" t="inlineStr">
        <is>
          <t xml:space="preserve"> No</t>
        </is>
      </c>
      <c r="AK76" s="2013" t="n"/>
      <c r="AL76" s="2013" t="n"/>
      <c r="AM76" s="2013" t="n"/>
      <c r="AN76" s="11602" t="n"/>
      <c r="AO76" s="11602" t="n"/>
      <c r="AP76" s="11602" t="n"/>
      <c r="AQ76" s="658" t="n"/>
      <c r="AR76" s="658" t="n"/>
      <c r="AS76" s="658" t="n"/>
      <c r="AT76" s="658" t="n"/>
      <c r="AU76" s="658" t="n"/>
      <c r="AV76" s="658" t="n"/>
      <c r="AW76" s="658" t="n"/>
      <c r="AX76" s="658" t="n"/>
      <c r="AY76" s="658" t="n"/>
      <c r="AZ76" s="658" t="n"/>
    </row>
    <row r="77" ht="7.5" customFormat="1" customHeight="1" s="815">
      <c r="A77" s="2013" t="n"/>
      <c r="B77" s="413" t="n"/>
      <c r="C77" s="413" t="n"/>
      <c r="D77" s="413" t="n"/>
      <c r="E77" s="7637" t="n"/>
      <c r="F77" s="7637" t="n"/>
      <c r="G77" s="7637" t="n"/>
      <c r="H77" s="7637" t="n"/>
      <c r="I77" s="7637" t="n"/>
      <c r="J77" s="7637" t="n"/>
      <c r="K77" s="7637" t="n"/>
      <c r="L77" s="7637" t="n"/>
      <c r="M77" s="7637" t="n"/>
      <c r="N77" s="7637" t="n"/>
      <c r="O77" s="413" t="n"/>
      <c r="P77" s="413" t="n"/>
      <c r="Q77" s="413" t="n"/>
      <c r="R77" s="413" t="n"/>
      <c r="S77" s="413" t="n"/>
      <c r="T77" s="412" t="n"/>
      <c r="U77" s="413" t="n"/>
      <c r="V77" s="7637" t="n"/>
      <c r="W77" s="7637" t="n"/>
      <c r="X77" s="7637" t="n"/>
      <c r="Y77" s="7637" t="n"/>
      <c r="Z77" s="7637" t="n"/>
      <c r="AA77" s="7637" t="n"/>
      <c r="AB77" s="7637" t="n"/>
      <c r="AC77" s="7637" t="n"/>
      <c r="AD77" s="7637" t="n"/>
      <c r="AE77" s="7637" t="n"/>
      <c r="AF77" s="413" t="n"/>
      <c r="AG77" s="413" t="n"/>
      <c r="AH77" s="413" t="n"/>
      <c r="AI77" s="413" t="n"/>
      <c r="AJ77" s="413" t="n"/>
      <c r="AK77" s="2013" t="n"/>
      <c r="AL77" s="2013" t="n"/>
      <c r="AM77" s="2013" t="n"/>
      <c r="AN77" s="11602" t="n"/>
      <c r="AO77" s="11602" t="n"/>
      <c r="AP77" s="11602" t="n"/>
      <c r="AQ77" s="662" t="n"/>
      <c r="AR77" s="662" t="n"/>
      <c r="AS77" s="662" t="n"/>
      <c r="AT77" s="662" t="n"/>
      <c r="AU77" s="662" t="n"/>
      <c r="AV77" s="662" t="n"/>
      <c r="AW77" s="662" t="n"/>
      <c r="AX77" s="662" t="n"/>
      <c r="AY77" s="662" t="n"/>
      <c r="AZ77" s="662" t="n"/>
    </row>
    <row r="78" ht="16.5" customFormat="1" customHeight="1" s="815">
      <c r="A78" s="2013" t="n"/>
      <c r="B78" s="11602" t="n"/>
      <c r="C78" s="11602" t="n"/>
      <c r="D78" s="10946" t="inlineStr">
        <is>
          <t>(3)</t>
        </is>
      </c>
      <c r="E78" s="12746">
        <f>"Did the student receive Form 1098-T"&amp;CHAR(10)&amp;"from this institution for "&amp;TaxYear-1&amp;" with box"&amp;CHAR(10)&amp;"7 checked?"</f>
        <v/>
      </c>
      <c r="F78" s="7839" t="n"/>
      <c r="G78" s="7839" t="n"/>
      <c r="H78" s="7839" t="n"/>
      <c r="I78" s="7839" t="n"/>
      <c r="J78" s="7839" t="n"/>
      <c r="K78" s="7839" t="n"/>
      <c r="L78" s="7839" t="n"/>
      <c r="M78" s="7839" t="n"/>
      <c r="N78" s="7839" t="n"/>
      <c r="O78" s="11602" t="n"/>
      <c r="P78" s="11602" t="n"/>
      <c r="Q78" s="11602" t="n"/>
      <c r="R78" s="11602" t="n"/>
      <c r="S78" s="11602" t="n"/>
      <c r="T78" s="408" t="n"/>
      <c r="U78" s="10946" t="inlineStr">
        <is>
          <t>(3)</t>
        </is>
      </c>
      <c r="V78" s="12746">
        <f>"Did the student receive Form 1098-T"&amp;CHAR(10)&amp;"from this institution for "&amp;TaxYear-1&amp;" with box"&amp;CHAR(10)&amp;"7 checked?"</f>
        <v/>
      </c>
      <c r="W78" s="7839" t="n"/>
      <c r="X78" s="7839" t="n"/>
      <c r="Y78" s="7839" t="n"/>
      <c r="Z78" s="7839" t="n"/>
      <c r="AA78" s="7839" t="n"/>
      <c r="AB78" s="7839" t="n"/>
      <c r="AC78" s="7839" t="n"/>
      <c r="AD78" s="7839" t="n"/>
      <c r="AE78" s="7839" t="n"/>
      <c r="AF78" s="11602" t="n"/>
      <c r="AG78" s="11602" t="n"/>
      <c r="AH78" s="11602" t="n"/>
      <c r="AI78" s="11602" t="n"/>
      <c r="AJ78" s="11602" t="n"/>
      <c r="AK78" s="2013" t="n"/>
      <c r="AL78" s="2013" t="n"/>
      <c r="AM78" s="2013" t="n"/>
      <c r="AN78" s="11602" t="n"/>
      <c r="AO78" s="11602" t="n"/>
      <c r="AP78" s="11602" t="n"/>
      <c r="AQ78" s="658" t="n"/>
      <c r="AR78" s="658" t="n"/>
      <c r="AS78" s="658" t="n"/>
      <c r="AT78" s="658" t="n"/>
      <c r="AU78" s="658" t="n"/>
      <c r="AV78" s="658" t="n"/>
      <c r="AW78" s="658" t="n"/>
      <c r="AX78" s="658" t="n"/>
      <c r="AY78" s="658" t="n"/>
      <c r="AZ78" s="658" t="n"/>
    </row>
    <row r="79" ht="14.25" customFormat="1" customHeight="1" s="815">
      <c r="A79" s="2013" t="n"/>
      <c r="B79" s="11602" t="n"/>
      <c r="C79" s="11602" t="n"/>
      <c r="D79" s="11602" t="n"/>
      <c r="O79" s="1111" t="n"/>
      <c r="P79" s="7886" t="inlineStr">
        <is>
          <t xml:space="preserve"> Yes</t>
        </is>
      </c>
      <c r="Q79" s="11602" t="n"/>
      <c r="R79" s="1111" t="n"/>
      <c r="S79" s="7886" t="inlineStr">
        <is>
          <t xml:space="preserve"> No</t>
        </is>
      </c>
      <c r="T79" s="2018" t="n"/>
      <c r="U79" s="11602" t="n"/>
      <c r="AF79" s="1111" t="n"/>
      <c r="AG79" s="7886" t="inlineStr">
        <is>
          <t xml:space="preserve"> Yes</t>
        </is>
      </c>
      <c r="AH79" s="11602" t="n"/>
      <c r="AI79" s="1111" t="n"/>
      <c r="AJ79" s="7886" t="inlineStr">
        <is>
          <t xml:space="preserve"> No</t>
        </is>
      </c>
      <c r="AK79" s="2013" t="n"/>
      <c r="AL79" s="2013" t="n"/>
      <c r="AM79" s="2013" t="n"/>
      <c r="AN79" s="11602" t="n"/>
      <c r="AO79" s="11602" t="n"/>
      <c r="AP79" s="11602" t="n"/>
      <c r="AQ79" s="658" t="n"/>
      <c r="AR79" s="658" t="n"/>
      <c r="AS79" s="658" t="n"/>
      <c r="AT79" s="658" t="n"/>
      <c r="AU79" s="658" t="n"/>
      <c r="AV79" s="658" t="n"/>
      <c r="AW79" s="658" t="n"/>
      <c r="AX79" s="658" t="n"/>
      <c r="AY79" s="658" t="n"/>
      <c r="AZ79" s="658" t="n"/>
    </row>
    <row r="80" ht="13.5" customFormat="1" customHeight="1" s="815">
      <c r="A80" s="2013" t="n"/>
      <c r="B80" s="413" t="n"/>
      <c r="C80" s="413" t="n"/>
      <c r="D80" s="413" t="n"/>
      <c r="E80" s="7637" t="n"/>
      <c r="F80" s="7637" t="n"/>
      <c r="G80" s="7637" t="n"/>
      <c r="H80" s="7637" t="n"/>
      <c r="I80" s="7637" t="n"/>
      <c r="J80" s="7637" t="n"/>
      <c r="K80" s="7637" t="n"/>
      <c r="L80" s="7637" t="n"/>
      <c r="M80" s="7637" t="n"/>
      <c r="N80" s="7637" t="n"/>
      <c r="O80" s="413" t="n"/>
      <c r="P80" s="413" t="n"/>
      <c r="Q80" s="413" t="n"/>
      <c r="R80" s="413" t="n"/>
      <c r="S80" s="413" t="n"/>
      <c r="T80" s="412" t="n"/>
      <c r="U80" s="413" t="n"/>
      <c r="V80" s="7637" t="n"/>
      <c r="W80" s="7637" t="n"/>
      <c r="X80" s="7637" t="n"/>
      <c r="Y80" s="7637" t="n"/>
      <c r="Z80" s="7637" t="n"/>
      <c r="AA80" s="7637" t="n"/>
      <c r="AB80" s="7637" t="n"/>
      <c r="AC80" s="7637" t="n"/>
      <c r="AD80" s="7637" t="n"/>
      <c r="AE80" s="7637" t="n"/>
      <c r="AF80" s="413" t="n"/>
      <c r="AG80" s="413" t="n"/>
      <c r="AH80" s="413" t="n"/>
      <c r="AI80" s="413" t="n"/>
      <c r="AJ80" s="413" t="n"/>
      <c r="AK80" s="2013" t="n"/>
      <c r="AL80" s="2013" t="n"/>
      <c r="AM80" s="2013" t="n"/>
      <c r="AN80" s="11602" t="n"/>
      <c r="AO80" s="11602" t="n"/>
      <c r="AP80" s="11602" t="n"/>
      <c r="AQ80" s="658" t="n"/>
      <c r="AR80" s="658" t="n"/>
      <c r="AS80" s="658" t="n"/>
      <c r="AT80" s="658" t="n"/>
      <c r="AU80" s="658" t="n"/>
      <c r="AV80" s="658" t="n"/>
      <c r="AW80" s="658" t="n"/>
      <c r="AX80" s="658" t="n"/>
      <c r="AY80" s="658" t="n"/>
      <c r="AZ80" s="658" t="n"/>
    </row>
    <row r="81" ht="21" customFormat="1" customHeight="1" s="815" thickBot="1">
      <c r="A81" s="2013" t="n"/>
      <c r="B81" s="11602" t="n"/>
      <c r="C81" s="11602" t="n"/>
      <c r="D81" s="10946" t="inlineStr">
        <is>
          <t>(4)</t>
        </is>
      </c>
      <c r="E81" s="11185" t="inlineStr">
        <is>
          <t>Enter the institution’s employer identification number (EIN)
if you’re claiming the American opportunity credit or if you
checked “Yes” in (2) or (3). You can get the EIN from Form
1098-T or from the institution.</t>
        </is>
      </c>
      <c r="F81" s="7839" t="n"/>
      <c r="G81" s="7839" t="n"/>
      <c r="H81" s="7839" t="n"/>
      <c r="I81" s="7839" t="n"/>
      <c r="J81" s="7839" t="n"/>
      <c r="K81" s="7839" t="n"/>
      <c r="L81" s="7839" t="n"/>
      <c r="M81" s="7839" t="n"/>
      <c r="N81" s="7839" t="n"/>
      <c r="O81" s="7839" t="n"/>
      <c r="P81" s="7839" t="n"/>
      <c r="Q81" s="7839" t="n"/>
      <c r="R81" s="7839" t="n"/>
      <c r="S81" s="10091" t="n"/>
      <c r="T81" s="408" t="n"/>
      <c r="U81" s="10946" t="inlineStr">
        <is>
          <t>(4)</t>
        </is>
      </c>
      <c r="V81" s="11138" t="inlineStr">
        <is>
          <t>Enter the institution’s employer identification number (EIN)
if you’re claiming the American opportunity credit or if you
checked “Yes” in (2) or (3). You can get the EIN from Form
1098-T or from the institution.</t>
        </is>
      </c>
      <c r="W81" s="7839" t="n"/>
      <c r="X81" s="7839" t="n"/>
      <c r="Y81" s="7839" t="n"/>
      <c r="Z81" s="7839" t="n"/>
      <c r="AA81" s="7839" t="n"/>
      <c r="AB81" s="7839" t="n"/>
      <c r="AC81" s="7839" t="n"/>
      <c r="AD81" s="7839" t="n"/>
      <c r="AE81" s="7839" t="n"/>
      <c r="AF81" s="7839" t="n"/>
      <c r="AG81" s="7839" t="n"/>
      <c r="AH81" s="7839" t="n"/>
      <c r="AI81" s="7839" t="n"/>
      <c r="AJ81" s="7839" t="n"/>
      <c r="AK81" s="2013" t="n"/>
      <c r="AL81" s="2013" t="n"/>
      <c r="AM81" s="2013" t="n"/>
      <c r="AN81" s="11602" t="n"/>
      <c r="AO81" s="11602" t="n"/>
      <c r="AP81" s="11602" t="n"/>
      <c r="AQ81" s="658" t="n"/>
      <c r="AR81" s="658" t="n"/>
      <c r="AS81" s="658" t="n"/>
      <c r="AT81" s="658" t="n"/>
      <c r="AU81" s="658" t="n"/>
      <c r="AV81" s="658" t="n"/>
      <c r="AW81" s="658" t="n"/>
      <c r="AX81" s="658" t="n"/>
      <c r="AY81" s="658" t="n"/>
      <c r="AZ81" s="658" t="n"/>
    </row>
    <row r="82" ht="14.25" customFormat="1" customHeight="1" s="815">
      <c r="A82" s="2013" t="n"/>
      <c r="B82" s="11602" t="n"/>
      <c r="C82" s="11602" t="n"/>
      <c r="D82" s="11602" t="n"/>
      <c r="S82" s="7636" t="n"/>
      <c r="T82" s="2018" t="n"/>
      <c r="U82" s="11602" t="n"/>
      <c r="AK82" s="2013" t="n"/>
      <c r="AL82" s="2013" t="n"/>
      <c r="AM82" s="2013" t="n"/>
      <c r="AN82" s="11602" t="n"/>
      <c r="AO82" s="11602" t="n"/>
      <c r="AP82" s="11602" t="n"/>
      <c r="AQ82" s="1126" t="inlineStr">
        <is>
          <t>Adjusted Qualified Education Expenses Worksheet</t>
        </is>
      </c>
      <c r="AR82" s="1127" t="n"/>
      <c r="AS82" s="1127" t="n"/>
      <c r="AT82" s="1127" t="n"/>
      <c r="AU82" s="1127" t="n"/>
      <c r="AV82" s="1127" t="n"/>
      <c r="AW82" s="1127" t="n"/>
      <c r="AX82" s="1127" t="n"/>
      <c r="AY82" s="1127" t="n"/>
      <c r="AZ82" s="1128" t="n"/>
    </row>
    <row r="83" ht="26.25" customFormat="1" customHeight="1" s="815">
      <c r="A83" s="2013" t="n"/>
      <c r="B83" s="11602" t="n"/>
      <c r="C83" s="11602" t="n"/>
      <c r="D83" s="11602" t="n"/>
      <c r="S83" s="7636" t="n"/>
      <c r="T83" s="408" t="n"/>
      <c r="U83" s="11602" t="n"/>
      <c r="AK83" s="2013" t="n"/>
      <c r="AL83" s="2013" t="n"/>
      <c r="AM83" s="2013" t="n"/>
      <c r="AN83" s="11602" t="n"/>
      <c r="AO83" s="11602" t="n"/>
      <c r="AP83" s="11602" t="n"/>
      <c r="AQ83" s="1129" t="inlineStr">
        <is>
          <t>Complete a separate worksheet for each student for each academic period beginning or treated as beginning</t>
        </is>
      </c>
      <c r="AR83" s="1130" t="n"/>
      <c r="AS83" s="1130" t="n"/>
      <c r="AT83" s="1130" t="n"/>
      <c r="AU83" s="1130" t="n"/>
      <c r="AV83" s="1130" t="n"/>
      <c r="AW83" s="1130" t="n"/>
      <c r="AX83" s="1130" t="n"/>
      <c r="AY83" s="1130" t="n"/>
      <c r="AZ83" s="1131" t="n"/>
    </row>
    <row r="84" ht="17.25" customFormat="1" customHeight="1" s="815">
      <c r="A84" s="2013" t="n"/>
      <c r="B84" s="11602" t="n"/>
      <c r="C84" s="11602" t="n"/>
      <c r="D84" s="11602" t="n"/>
      <c r="E84" s="1111" t="n"/>
      <c r="F84" s="1111" t="n"/>
      <c r="G84" s="10627" t="inlineStr">
        <is>
          <t>-</t>
        </is>
      </c>
      <c r="H84" s="1111" t="n"/>
      <c r="I84" s="1111" t="n"/>
      <c r="J84" s="1111" t="n"/>
      <c r="K84" s="1111" t="n"/>
      <c r="L84" s="1111" t="n"/>
      <c r="M84" s="1111" t="n"/>
      <c r="N84" s="1111" t="n"/>
      <c r="O84" s="11139" t="n"/>
      <c r="P84" s="11139" t="n"/>
      <c r="Q84" s="11139" t="n"/>
      <c r="R84" s="11139" t="n"/>
      <c r="S84" s="11186" t="n"/>
      <c r="T84" s="408" t="n"/>
      <c r="U84" s="11602" t="n"/>
      <c r="V84" s="1111" t="n"/>
      <c r="W84" s="1111" t="n"/>
      <c r="X84" s="10627" t="inlineStr">
        <is>
          <t>-</t>
        </is>
      </c>
      <c r="Y84" s="1111" t="n"/>
      <c r="Z84" s="1111" t="n"/>
      <c r="AA84" s="1111" t="n"/>
      <c r="AB84" s="1111" t="n"/>
      <c r="AC84" s="1111" t="n"/>
      <c r="AD84" s="1111" t="n"/>
      <c r="AE84" s="1111" t="n"/>
      <c r="AF84" s="11602" t="n"/>
      <c r="AG84" s="11602" t="n"/>
      <c r="AH84" s="11602" t="n"/>
      <c r="AI84" s="11602" t="n"/>
      <c r="AJ84" s="11602" t="n"/>
      <c r="AK84" s="2013" t="n"/>
      <c r="AL84" s="2013" t="n"/>
      <c r="AM84" s="2013" t="n"/>
      <c r="AN84" s="11602" t="n"/>
      <c r="AO84" s="11602" t="n"/>
      <c r="AP84" s="11602" t="n"/>
      <c r="AQ84" s="1132">
        <f>"(see below) in "&amp;TaxYear&amp;" for which you paid (or are treated as having paid) qualified education expenses in "&amp;TaxYear&amp;"."</f>
        <v/>
      </c>
      <c r="AR84" s="1133" t="n"/>
      <c r="AS84" s="1133" t="n"/>
      <c r="AT84" s="1133" t="n"/>
      <c r="AU84" s="1133" t="n"/>
      <c r="AV84" s="1133" t="n"/>
      <c r="AW84" s="1133" t="n"/>
      <c r="AX84" s="1133" t="n"/>
      <c r="AY84" s="1133" t="n"/>
      <c r="AZ84" s="1134" t="n"/>
    </row>
    <row r="85" ht="14.25" customFormat="1" customHeight="1" s="815">
      <c r="A85" s="2013" t="n"/>
      <c r="B85" s="413" t="n"/>
      <c r="C85" s="413" t="n"/>
      <c r="D85" s="413" t="n"/>
      <c r="E85" s="1996" t="n"/>
      <c r="F85" s="413" t="n"/>
      <c r="G85" s="413" t="n"/>
      <c r="H85" s="413" t="n"/>
      <c r="I85" s="413" t="n"/>
      <c r="J85" s="413" t="n"/>
      <c r="K85" s="413" t="n"/>
      <c r="L85" s="413" t="n"/>
      <c r="M85" s="413" t="n"/>
      <c r="N85" s="413" t="n"/>
      <c r="O85" s="413" t="n"/>
      <c r="P85" s="413" t="n"/>
      <c r="Q85" s="413" t="n"/>
      <c r="R85" s="413" t="n"/>
      <c r="S85" s="414" t="n"/>
      <c r="T85" s="412" t="n"/>
      <c r="U85" s="413" t="n"/>
      <c r="V85" s="413" t="n"/>
      <c r="W85" s="413" t="n"/>
      <c r="X85" s="413" t="n"/>
      <c r="Y85" s="413" t="n"/>
      <c r="Z85" s="413" t="n"/>
      <c r="AA85" s="413" t="n"/>
      <c r="AB85" s="413" t="n"/>
      <c r="AC85" s="413" t="n"/>
      <c r="AD85" s="413" t="n"/>
      <c r="AE85" s="413" t="n"/>
      <c r="AF85" s="413" t="n"/>
      <c r="AG85" s="413" t="n"/>
      <c r="AH85" s="413" t="n"/>
      <c r="AI85" s="413" t="n"/>
      <c r="AJ85" s="413" t="n"/>
      <c r="AK85" s="2013" t="n"/>
      <c r="AL85" s="2013" t="n"/>
      <c r="AM85" s="2013" t="n"/>
      <c r="AN85" s="11602" t="n"/>
      <c r="AO85" s="11602" t="n"/>
      <c r="AP85" s="11602" t="n"/>
      <c r="AQ85" s="1135" t="n"/>
      <c r="AR85" s="946" t="n"/>
      <c r="AS85" s="946" t="n"/>
      <c r="AT85" s="946" t="n"/>
      <c r="AU85" s="946" t="n"/>
      <c r="AV85" s="946" t="n"/>
      <c r="AW85" s="946" t="n"/>
      <c r="AX85" s="946" t="n"/>
      <c r="AY85" s="946" t="n"/>
      <c r="AZ85" s="1136" t="n"/>
    </row>
    <row r="86" ht="15" customFormat="1" customHeight="1" s="815">
      <c r="A86" s="2013" t="n"/>
      <c r="B86" s="3827" t="n">
        <v>23</v>
      </c>
      <c r="C86" s="11602" t="n"/>
      <c r="D86" s="11602" t="n"/>
      <c r="E86" s="8650" t="inlineStr">
        <is>
          <t>Has the American opportunity credit been claimed for this</t>
        </is>
      </c>
      <c r="F86" s="11602" t="n"/>
      <c r="G86" s="11602" t="n"/>
      <c r="H86" s="11602" t="n"/>
      <c r="I86" s="11602" t="n"/>
      <c r="J86" s="11602" t="n"/>
      <c r="K86" s="11602" t="n"/>
      <c r="L86" s="11602" t="n"/>
      <c r="M86" s="11602" t="n"/>
      <c r="N86" s="11602" t="n"/>
      <c r="O86" s="11602" t="n"/>
      <c r="P86" s="11602" t="n"/>
      <c r="Q86" s="11602" t="n"/>
      <c r="R86" s="11602" t="n"/>
      <c r="S86" s="11602" t="n"/>
      <c r="T86" s="11602" t="n"/>
      <c r="U86" s="11602" t="n"/>
      <c r="V86" s="11602" t="n"/>
      <c r="W86" s="11602" t="n"/>
      <c r="X86" s="11602" t="n"/>
      <c r="Y86" s="11602" t="n"/>
      <c r="Z86" s="11602" t="n"/>
      <c r="AA86" s="11602" t="n"/>
      <c r="AB86" s="11602" t="n"/>
      <c r="AC86" s="11602" t="n"/>
      <c r="AD86" s="11602" t="n"/>
      <c r="AE86" s="11602" t="n"/>
      <c r="AF86" s="11602" t="n"/>
      <c r="AG86" s="11602" t="n"/>
      <c r="AH86" s="11602" t="n"/>
      <c r="AI86" s="11602" t="n"/>
      <c r="AJ86" s="11602" t="n"/>
      <c r="AK86" s="2013" t="n"/>
      <c r="AL86" s="2013" t="n"/>
      <c r="AM86" s="2013" t="n"/>
      <c r="AN86" s="11602" t="n"/>
      <c r="AO86" s="11602" t="n"/>
      <c r="AP86" s="11602" t="n"/>
      <c r="AQ86" s="4552" t="inlineStr">
        <is>
          <t>1.  Total qualified education expenses paid for or on behalf of the student in</t>
        </is>
      </c>
      <c r="AR86" s="946" t="n"/>
      <c r="AS86" s="946" t="n"/>
      <c r="AT86" s="946" t="n"/>
      <c r="AU86" s="946" t="n"/>
      <c r="AV86" s="946" t="n"/>
      <c r="AW86" s="946" t="n"/>
      <c r="AX86" s="946" t="n"/>
      <c r="AY86" s="946" t="n"/>
      <c r="AZ86" s="1136" t="n"/>
    </row>
    <row r="87" ht="15" customFormat="1" customHeight="1" s="815">
      <c r="A87" s="2013" t="n"/>
      <c r="B87" s="11602" t="n"/>
      <c r="C87" s="11602" t="n"/>
      <c r="D87" s="11602" t="n"/>
      <c r="E87" s="1672" t="inlineStr">
        <is>
          <t>student for any 4 prior tax years?</t>
        </is>
      </c>
      <c r="F87" s="11602" t="n"/>
      <c r="G87" s="11602" t="n"/>
      <c r="H87" s="11602" t="n"/>
      <c r="I87" s="11602" t="n"/>
      <c r="J87" s="11602" t="n"/>
      <c r="K87" s="11602" t="n"/>
      <c r="L87" s="11602" t="n"/>
      <c r="M87" s="11602" t="n"/>
      <c r="N87" s="11602" t="n"/>
      <c r="O87" s="11602" t="n"/>
      <c r="P87" s="11602" t="n"/>
      <c r="Q87" s="11602" t="n"/>
      <c r="R87" s="11602" t="n"/>
      <c r="S87" s="11602" t="n"/>
      <c r="T87" s="1111" t="n"/>
      <c r="U87" s="344" t="inlineStr">
        <is>
          <t>Yes -- Stop!</t>
        </is>
      </c>
      <c r="V87" s="11602" t="n"/>
      <c r="W87" s="11602" t="n"/>
      <c r="X87" s="11602" t="n"/>
      <c r="Y87" s="11602" t="n"/>
      <c r="Z87" s="11602" t="n"/>
      <c r="AA87" s="11602" t="n"/>
      <c r="AB87" s="11602" t="n"/>
      <c r="AC87" s="1963">
        <f>IF(T87&lt;&gt;"","","X")</f>
        <v/>
      </c>
      <c r="AD87" s="344" t="inlineStr">
        <is>
          <t>No -- Go to line 24.</t>
        </is>
      </c>
      <c r="AE87" s="11602" t="n"/>
      <c r="AF87" s="11602" t="n"/>
      <c r="AG87" s="11602" t="n"/>
      <c r="AH87" s="11602" t="n"/>
      <c r="AI87" s="11602" t="n"/>
      <c r="AJ87" s="11602" t="n"/>
      <c r="AK87" s="2013" t="n"/>
      <c r="AL87" s="2013" t="n"/>
      <c r="AM87" s="2013" t="n"/>
      <c r="AN87" s="11602" t="n"/>
      <c r="AO87" s="11602" t="n"/>
      <c r="AP87" s="11602" t="n"/>
      <c r="AQ87" s="4553">
        <f>TaxYear&amp;" for the academic period"</f>
        <v/>
      </c>
      <c r="AR87" s="4536" t="n"/>
      <c r="AS87" s="4536" t="n"/>
      <c r="AT87" s="4536" t="n"/>
      <c r="AU87" s="4536" t="n"/>
      <c r="AV87" s="4536" t="n"/>
      <c r="AW87" s="4539" t="n"/>
      <c r="AX87" s="4539" t="inlineStr">
        <is>
          <t>1.</t>
        </is>
      </c>
      <c r="AY87" s="7843" t="n"/>
      <c r="AZ87" s="4537" t="n"/>
    </row>
    <row r="88" ht="16.5" customFormat="1" customHeight="1" s="1116">
      <c r="A88" s="2067" t="n"/>
      <c r="B88" s="571" t="n"/>
      <c r="C88" s="571" t="n"/>
      <c r="D88" s="571" t="n"/>
      <c r="E88" s="2046" t="n"/>
      <c r="F88" s="571" t="n"/>
      <c r="G88" s="571" t="n"/>
      <c r="H88" s="571" t="n"/>
      <c r="I88" s="571" t="n"/>
      <c r="J88" s="571" t="n"/>
      <c r="K88" s="571" t="n"/>
      <c r="L88" s="571" t="n"/>
      <c r="M88" s="571" t="n"/>
      <c r="N88" s="571" t="n"/>
      <c r="O88" s="571" t="n"/>
      <c r="P88" s="571" t="n"/>
      <c r="Q88" s="571" t="n"/>
      <c r="R88" s="571" t="n"/>
      <c r="S88" s="571" t="n"/>
      <c r="T88" s="571" t="n"/>
      <c r="U88" s="571" t="inlineStr">
        <is>
          <t>Go to line 31 for this student.</t>
        </is>
      </c>
      <c r="V88" s="571" t="n"/>
      <c r="W88" s="571" t="n"/>
      <c r="X88" s="571" t="n"/>
      <c r="Y88" s="571" t="n"/>
      <c r="Z88" s="571" t="n"/>
      <c r="AA88" s="571" t="n"/>
      <c r="AB88" s="571" t="n"/>
      <c r="AC88" s="571" t="n"/>
      <c r="AD88" s="571" t="n"/>
      <c r="AE88" s="571" t="n"/>
      <c r="AF88" s="571" t="n"/>
      <c r="AG88" s="571" t="n"/>
      <c r="AH88" s="571" t="n"/>
      <c r="AI88" s="571" t="n"/>
      <c r="AJ88" s="571" t="n"/>
      <c r="AK88" s="2067" t="n"/>
      <c r="AL88" s="2067" t="n"/>
      <c r="AM88" s="2067" t="n"/>
      <c r="AN88" s="571" t="n"/>
      <c r="AO88" s="571" t="n"/>
      <c r="AP88" s="571" t="n"/>
      <c r="AQ88" s="4554" t="n"/>
      <c r="AR88" s="4536" t="n"/>
      <c r="AS88" s="4536" t="n"/>
      <c r="AT88" s="4536" t="n"/>
      <c r="AU88" s="4536" t="n"/>
      <c r="AV88" s="4536" t="n"/>
      <c r="AW88" s="4539" t="n"/>
      <c r="AX88" s="4539" t="n"/>
      <c r="AY88" s="4539" t="n"/>
      <c r="AZ88" s="4537" t="n"/>
      <c r="BA88" s="138" t="n"/>
      <c r="BB88" s="138" t="n"/>
    </row>
    <row r="89" ht="15" customFormat="1" customHeight="1" s="815">
      <c r="A89" s="2013" t="n"/>
      <c r="B89" s="4555" t="n">
        <v>24</v>
      </c>
      <c r="C89" s="406" t="n"/>
      <c r="D89" s="406" t="n"/>
      <c r="E89" s="2354" t="inlineStr">
        <is>
          <t>Was the student enrolled at least half-time for at least one</t>
        </is>
      </c>
      <c r="F89" s="406" t="n"/>
      <c r="G89" s="406" t="n"/>
      <c r="H89" s="406" t="n"/>
      <c r="I89" s="406" t="n"/>
      <c r="J89" s="406" t="n"/>
      <c r="K89" s="406" t="n"/>
      <c r="L89" s="406" t="n"/>
      <c r="M89" s="406" t="n"/>
      <c r="N89" s="406" t="n"/>
      <c r="O89" s="406" t="n"/>
      <c r="P89" s="406" t="n"/>
      <c r="Q89" s="406" t="n"/>
      <c r="R89" s="406" t="n"/>
      <c r="S89" s="406" t="n"/>
      <c r="T89" s="406" t="n"/>
      <c r="U89" s="406" t="n"/>
      <c r="V89" s="406" t="n"/>
      <c r="W89" s="406" t="n"/>
      <c r="X89" s="406" t="n"/>
      <c r="Y89" s="406" t="n"/>
      <c r="Z89" s="406" t="n"/>
      <c r="AA89" s="406" t="n"/>
      <c r="AB89" s="406" t="n"/>
      <c r="AC89" s="406" t="n"/>
      <c r="AD89" s="406" t="n"/>
      <c r="AE89" s="406" t="n"/>
      <c r="AF89" s="406" t="n"/>
      <c r="AG89" s="406" t="n"/>
      <c r="AH89" s="406" t="n"/>
      <c r="AI89" s="406" t="n"/>
      <c r="AJ89" s="406" t="n"/>
      <c r="AK89" s="2013" t="n"/>
      <c r="AL89" s="2013" t="n"/>
      <c r="AM89" s="2013" t="n"/>
      <c r="AN89" s="11602" t="n"/>
      <c r="AO89" s="11602" t="n"/>
      <c r="AP89" s="11602" t="n"/>
      <c r="AQ89" s="4552" t="inlineStr">
        <is>
          <t>2.  Less adjustments</t>
        </is>
      </c>
      <c r="AR89" s="1130" t="n"/>
      <c r="AS89" s="1130" t="n"/>
      <c r="AT89" s="1130" t="n"/>
      <c r="AU89" s="1130" t="n"/>
      <c r="AV89" s="1130" t="n"/>
      <c r="AW89" s="1130" t="n"/>
      <c r="AX89" s="1130" t="n"/>
      <c r="AY89" s="946" t="n"/>
      <c r="AZ89" s="1131" t="n"/>
    </row>
    <row r="90" ht="15" customFormat="1" customHeight="1" s="815">
      <c r="A90" s="2013" t="n"/>
      <c r="B90" s="3827" t="n"/>
      <c r="C90" s="11602" t="n"/>
      <c r="D90" s="11602" t="n"/>
      <c r="E90" s="8650" t="inlineStr">
        <is>
          <t>academic period that began or is treated as having begun</t>
        </is>
      </c>
      <c r="F90" s="11602" t="n"/>
      <c r="G90" s="11602" t="n"/>
      <c r="H90" s="11602" t="n"/>
      <c r="I90" s="11602" t="n"/>
      <c r="J90" s="11602" t="n"/>
      <c r="K90" s="11602" t="n"/>
      <c r="L90" s="11602" t="n"/>
      <c r="M90" s="11602" t="n"/>
      <c r="N90" s="11602" t="n"/>
      <c r="O90" s="11602" t="n"/>
      <c r="P90" s="11602" t="n"/>
      <c r="Q90" s="11602" t="n"/>
      <c r="R90" s="11602" t="n"/>
      <c r="S90" s="11602" t="n"/>
      <c r="T90" s="11602" t="n"/>
      <c r="U90" s="11602" t="n"/>
      <c r="V90" s="11602" t="n"/>
      <c r="W90" s="11602" t="n"/>
      <c r="X90" s="11602" t="n"/>
      <c r="Y90" s="11602" t="n"/>
      <c r="Z90" s="11602" t="n"/>
      <c r="AA90" s="11602" t="n"/>
      <c r="AB90" s="11602" t="n"/>
      <c r="AC90" s="11602" t="n"/>
      <c r="AD90" s="11602" t="n"/>
      <c r="AE90" s="11602" t="n"/>
      <c r="AF90" s="11602" t="n"/>
      <c r="AG90" s="11602" t="n"/>
      <c r="AH90" s="11602" t="n"/>
      <c r="AI90" s="11602" t="n"/>
      <c r="AJ90" s="11602" t="n"/>
      <c r="AK90" s="2013" t="n"/>
      <c r="AL90" s="2013" t="n"/>
      <c r="AM90" s="2013" t="n"/>
      <c r="AN90" s="11602" t="n"/>
      <c r="AO90" s="11602" t="n"/>
      <c r="AP90" s="11602" t="n"/>
      <c r="AQ90" s="1137" t="inlineStr">
        <is>
          <t>a.</t>
        </is>
      </c>
      <c r="AR90" s="1138">
        <f>"Tax-free educational assistance received in "&amp;TaxYear&amp;" allocable to"</f>
        <v/>
      </c>
      <c r="AS90" s="946" t="n"/>
      <c r="AT90" s="946" t="n"/>
      <c r="AU90" s="946" t="n"/>
      <c r="AV90" s="946" t="n"/>
      <c r="AW90" s="946" t="n"/>
      <c r="AX90" s="946" t="n"/>
      <c r="AY90" s="946" t="n"/>
      <c r="AZ90" s="1136" t="n"/>
    </row>
    <row r="91" ht="15" customFormat="1" customHeight="1" s="815">
      <c r="A91" s="2013" t="n"/>
      <c r="B91" s="3827" t="n"/>
      <c r="C91" s="11602" t="n"/>
      <c r="D91" s="11602" t="n"/>
      <c r="E91" s="8650">
        <f>"in "&amp;TaxYear&amp;" at an eligible educational institution in a program"</f>
        <v/>
      </c>
      <c r="F91" s="11602" t="n"/>
      <c r="G91" s="11602" t="n"/>
      <c r="H91" s="11602" t="n"/>
      <c r="I91" s="11602" t="n"/>
      <c r="J91" s="11602" t="n"/>
      <c r="K91" s="11602" t="n"/>
      <c r="L91" s="11602" t="n"/>
      <c r="M91" s="11602" t="n"/>
      <c r="N91" s="11602" t="n"/>
      <c r="O91" s="11602" t="n"/>
      <c r="P91" s="11602" t="n"/>
      <c r="Q91" s="11602" t="n"/>
      <c r="R91" s="11602" t="n"/>
      <c r="S91" s="11602" t="n"/>
      <c r="T91" s="11602" t="n"/>
      <c r="U91" s="11602" t="n"/>
      <c r="V91" s="11602" t="n"/>
      <c r="W91" s="11602" t="n"/>
      <c r="X91" s="11602" t="n"/>
      <c r="Y91" s="11602" t="n"/>
      <c r="Z91" s="11602" t="n"/>
      <c r="AA91" s="11602" t="n"/>
      <c r="AB91" s="11602" t="n"/>
      <c r="AC91" s="11602" t="n"/>
      <c r="AD91" s="11602" t="n"/>
      <c r="AE91" s="11602" t="n"/>
      <c r="AF91" s="11602" t="n"/>
      <c r="AG91" s="11602" t="n"/>
      <c r="AH91" s="11602" t="n"/>
      <c r="AI91" s="11602" t="n"/>
      <c r="AJ91" s="11602" t="n"/>
      <c r="AK91" s="2013" t="n"/>
      <c r="AL91" s="2013" t="n"/>
      <c r="AM91" s="2013" t="n"/>
      <c r="AN91" s="11602" t="n"/>
      <c r="AO91" s="11602" t="n"/>
      <c r="AP91" s="11602" t="n"/>
      <c r="AQ91" s="1140" t="n"/>
      <c r="AR91" s="1138" t="inlineStr">
        <is>
          <t>the academic period</t>
        </is>
      </c>
      <c r="AS91" s="1141" t="n"/>
      <c r="AT91" s="1141" t="n"/>
      <c r="AU91" s="1141" t="n"/>
      <c r="AV91" s="1141" t="n"/>
      <c r="AW91" s="4539" t="inlineStr">
        <is>
          <t>2a.</t>
        </is>
      </c>
      <c r="AX91" s="7843" t="n"/>
      <c r="AY91" s="946" t="n"/>
      <c r="AZ91" s="1139" t="n"/>
    </row>
    <row r="92" ht="15" customFormat="1" customHeight="1" s="815">
      <c r="A92" s="2013" t="n"/>
      <c r="B92" s="11602" t="n"/>
      <c r="C92" s="11602" t="n"/>
      <c r="D92" s="11602" t="n"/>
      <c r="E92" s="1672" t="inlineStr">
        <is>
          <t>leading towards a postsecondary degree, certificate, or</t>
        </is>
      </c>
      <c r="F92" s="11602" t="n"/>
      <c r="G92" s="11602" t="n"/>
      <c r="H92" s="11602" t="n"/>
      <c r="I92" s="11602" t="n"/>
      <c r="J92" s="11602" t="n"/>
      <c r="K92" s="11602" t="n"/>
      <c r="L92" s="11602" t="n"/>
      <c r="M92" s="11602" t="n"/>
      <c r="N92" s="11602" t="n"/>
      <c r="O92" s="11602" t="n"/>
      <c r="P92" s="11602" t="n"/>
      <c r="Q92" s="11602" t="n"/>
      <c r="R92" s="11602" t="n"/>
      <c r="S92" s="11602" t="n"/>
      <c r="T92" s="1963">
        <f>IF(AC92&lt;&gt;"","","X")</f>
        <v/>
      </c>
      <c r="U92" s="344" t="inlineStr">
        <is>
          <t>Yes -- Go to line 25.</t>
        </is>
      </c>
      <c r="V92" s="11602" t="n"/>
      <c r="W92" s="11602" t="n"/>
      <c r="X92" s="11602" t="n"/>
      <c r="Y92" s="11602" t="n"/>
      <c r="Z92" s="11602" t="n"/>
      <c r="AA92" s="11602" t="n"/>
      <c r="AB92" s="11602" t="n"/>
      <c r="AC92" s="1111" t="n"/>
      <c r="AD92" s="344" t="inlineStr">
        <is>
          <t>No -- Stop!  Go to Line 31.</t>
        </is>
      </c>
      <c r="AE92" s="11602" t="n"/>
      <c r="AF92" s="11602" t="n"/>
      <c r="AG92" s="11602" t="n"/>
      <c r="AH92" s="11602" t="n"/>
      <c r="AI92" s="11602" t="n"/>
      <c r="AJ92" s="11602" t="n"/>
      <c r="AK92" s="2013" t="n"/>
      <c r="AL92" s="2013" t="n"/>
      <c r="AM92" s="2013" t="n"/>
      <c r="AN92" s="11602" t="n"/>
      <c r="AO92" s="11602" t="n"/>
      <c r="AP92" s="11602" t="n"/>
      <c r="AQ92" s="1137" t="inlineStr">
        <is>
          <t>b.</t>
        </is>
      </c>
      <c r="AR92" s="1138">
        <f>"Tax-free educational assistance received in "&amp;TaxYear+1&amp;" (and before you"</f>
        <v/>
      </c>
      <c r="AS92" s="946" t="n"/>
      <c r="AT92" s="946" t="n"/>
      <c r="AU92" s="946" t="n"/>
      <c r="AV92" s="946" t="n"/>
      <c r="AW92" s="946" t="n"/>
      <c r="AX92" s="946" t="n"/>
      <c r="AY92" s="946" t="n"/>
      <c r="AZ92" s="1136" t="n"/>
    </row>
    <row r="93" ht="14.25" customFormat="1" customHeight="1" s="815">
      <c r="A93" s="2013" t="n"/>
      <c r="B93" s="11602" t="n"/>
      <c r="C93" s="11602" t="n"/>
      <c r="D93" s="11602" t="n"/>
      <c r="E93" s="1672" t="inlineStr">
        <is>
          <t>other recognized postsecondary educational credential?</t>
        </is>
      </c>
      <c r="F93" s="11602" t="n"/>
      <c r="G93" s="11602" t="n"/>
      <c r="H93" s="11602" t="n"/>
      <c r="I93" s="11602" t="n"/>
      <c r="J93" s="11602" t="n"/>
      <c r="K93" s="11602" t="n"/>
      <c r="L93" s="11602" t="n"/>
      <c r="M93" s="11602" t="n"/>
      <c r="N93" s="11602" t="n"/>
      <c r="O93" s="11602" t="n"/>
      <c r="P93" s="11602" t="n"/>
      <c r="Q93" s="11602" t="n"/>
      <c r="R93" s="11602" t="n"/>
      <c r="S93" s="11602" t="n"/>
      <c r="T93" s="11602" t="n"/>
      <c r="U93" s="11602" t="n"/>
      <c r="V93" s="11602" t="n"/>
      <c r="W93" s="11602" t="n"/>
      <c r="X93" s="11602" t="n"/>
      <c r="Y93" s="11602" t="n"/>
      <c r="Z93" s="11602" t="n"/>
      <c r="AA93" s="11602" t="n"/>
      <c r="AB93" s="11602" t="n"/>
      <c r="AC93" s="11602" t="n"/>
      <c r="AD93" s="344" t="inlineStr">
        <is>
          <t>for this student</t>
        </is>
      </c>
      <c r="AE93" s="11602" t="n"/>
      <c r="AF93" s="11602" t="n"/>
      <c r="AG93" s="11602" t="n"/>
      <c r="AH93" s="11602" t="n"/>
      <c r="AI93" s="11602" t="n"/>
      <c r="AJ93" s="11602" t="n"/>
      <c r="AK93" s="2013" t="n"/>
      <c r="AL93" s="2013" t="n"/>
      <c r="AM93" s="2013" t="n"/>
      <c r="AN93" s="11602" t="n"/>
      <c r="AO93" s="11602" t="n"/>
      <c r="AP93" s="11602" t="n"/>
      <c r="AQ93" s="1140" t="n"/>
      <c r="AR93" s="1138">
        <f>"file your "&amp;TaxYear&amp;" tax return) allocable to the academic period"</f>
        <v/>
      </c>
      <c r="AS93" s="1141" t="n"/>
      <c r="AT93" s="1141" t="n"/>
      <c r="AU93" s="1141" t="n"/>
      <c r="AV93" s="1141" t="n"/>
      <c r="AW93" s="4539" t="inlineStr">
        <is>
          <t>2b.</t>
        </is>
      </c>
      <c r="AX93" s="7843" t="n"/>
      <c r="AY93" s="946" t="n"/>
      <c r="AZ93" s="1139" t="n"/>
    </row>
    <row r="94" ht="16.5" customFormat="1" customHeight="1" s="1116">
      <c r="A94" s="2067" t="n"/>
      <c r="B94" s="571" t="n"/>
      <c r="C94" s="571" t="n"/>
      <c r="D94" s="571" t="n"/>
      <c r="E94" s="2046" t="inlineStr">
        <is>
          <t>See instructions.</t>
        </is>
      </c>
      <c r="F94" s="571" t="n"/>
      <c r="G94" s="571" t="n"/>
      <c r="H94" s="571" t="n"/>
      <c r="I94" s="571" t="n"/>
      <c r="J94" s="571" t="n"/>
      <c r="K94" s="571" t="n"/>
      <c r="L94" s="571" t="n"/>
      <c r="M94" s="571" t="n"/>
      <c r="N94" s="571" t="n"/>
      <c r="O94" s="571" t="n"/>
      <c r="P94" s="571" t="n"/>
      <c r="Q94" s="571" t="n"/>
      <c r="R94" s="571" t="n"/>
      <c r="S94" s="571" t="n"/>
      <c r="T94" s="571" t="n"/>
      <c r="U94" s="571" t="n"/>
      <c r="V94" s="571" t="n"/>
      <c r="W94" s="571" t="n"/>
      <c r="X94" s="571" t="n"/>
      <c r="Y94" s="571" t="n"/>
      <c r="Z94" s="571" t="n"/>
      <c r="AA94" s="571" t="n"/>
      <c r="AB94" s="571" t="n"/>
      <c r="AC94" s="571" t="n"/>
      <c r="AD94" s="571" t="n"/>
      <c r="AE94" s="571" t="n"/>
      <c r="AF94" s="571" t="n"/>
      <c r="AG94" s="571" t="n"/>
      <c r="AH94" s="571" t="n"/>
      <c r="AI94" s="571" t="n"/>
      <c r="AJ94" s="571" t="n"/>
      <c r="AK94" s="2067" t="n"/>
      <c r="AL94" s="2067" t="n"/>
      <c r="AM94" s="2067" t="n"/>
      <c r="AN94" s="571" t="n"/>
      <c r="AO94" s="571" t="n"/>
      <c r="AP94" s="571" t="n"/>
      <c r="AQ94" s="1137" t="inlineStr">
        <is>
          <t>c.</t>
        </is>
      </c>
      <c r="AR94" s="1138">
        <f>"Refunds of qualified education expenses paid in "&amp;TaxYear&amp;" if the refund"</f>
        <v/>
      </c>
      <c r="AS94" s="946" t="n"/>
      <c r="AT94" s="946" t="n"/>
      <c r="AU94" s="946" t="n"/>
      <c r="AV94" s="946" t="n"/>
      <c r="AW94" s="946" t="n"/>
      <c r="AX94" s="946" t="n"/>
      <c r="AY94" s="946" t="n"/>
      <c r="AZ94" s="1136" t="n"/>
      <c r="BA94" s="138" t="n"/>
      <c r="BB94" s="138" t="n"/>
    </row>
    <row r="95" ht="15" customFormat="1" customHeight="1" s="815">
      <c r="A95" s="2013" t="n"/>
      <c r="B95" s="4555" t="n">
        <v>25</v>
      </c>
      <c r="C95" s="406" t="n"/>
      <c r="D95" s="406" t="n"/>
      <c r="E95" s="2354" t="inlineStr">
        <is>
          <t>Did the student complete the first 4 years of post secondary</t>
        </is>
      </c>
      <c r="F95" s="406" t="n"/>
      <c r="G95" s="406" t="n"/>
      <c r="H95" s="406" t="n"/>
      <c r="I95" s="406" t="n"/>
      <c r="J95" s="406" t="n"/>
      <c r="K95" s="406" t="n"/>
      <c r="L95" s="406" t="n"/>
      <c r="M95" s="406" t="n"/>
      <c r="N95" s="406" t="n"/>
      <c r="O95" s="406" t="n"/>
      <c r="P95" s="406" t="n"/>
      <c r="Q95" s="406" t="n"/>
      <c r="R95" s="406" t="n"/>
      <c r="S95" s="406" t="n"/>
      <c r="T95" s="406" t="n"/>
      <c r="U95" s="406" t="n"/>
      <c r="V95" s="406" t="n"/>
      <c r="W95" s="406" t="n"/>
      <c r="X95" s="406" t="n"/>
      <c r="Y95" s="406" t="n"/>
      <c r="Z95" s="406" t="n"/>
      <c r="AA95" s="406" t="n"/>
      <c r="AB95" s="406" t="n"/>
      <c r="AC95" s="406" t="n"/>
      <c r="AD95" s="406" t="n"/>
      <c r="AE95" s="406" t="n"/>
      <c r="AF95" s="406" t="n"/>
      <c r="AG95" s="406" t="n"/>
      <c r="AH95" s="406" t="n"/>
      <c r="AI95" s="406" t="n"/>
      <c r="AJ95" s="406" t="n"/>
      <c r="AK95" s="2013" t="n"/>
      <c r="AL95" s="2013" t="n"/>
      <c r="AM95" s="2013" t="n"/>
      <c r="AN95" s="11602" t="n"/>
      <c r="AO95" s="11602" t="n"/>
      <c r="AP95" s="11602" t="n"/>
      <c r="AQ95" s="1140" t="n"/>
      <c r="AR95" s="1138">
        <f>"is received in "&amp;TaxYear&amp;" or in "&amp;TaxYear+1&amp;" before you file your "&amp;TaxYear&amp;" tax return."</f>
        <v/>
      </c>
      <c r="AS95" s="1141" t="n"/>
      <c r="AT95" s="1141" t="n"/>
      <c r="AU95" s="1141" t="n"/>
      <c r="AV95" s="1141" t="n"/>
      <c r="AW95" s="4539" t="inlineStr">
        <is>
          <t>2c.</t>
        </is>
      </c>
      <c r="AX95" s="7843" t="n"/>
      <c r="AY95" s="946" t="n"/>
      <c r="AZ95" s="1139" t="n"/>
    </row>
    <row r="96" ht="15" customFormat="1" customHeight="1" s="815">
      <c r="A96" s="2013" t="n"/>
      <c r="B96" s="11602" t="n"/>
      <c r="C96" s="11602" t="n"/>
      <c r="D96" s="11602" t="n"/>
      <c r="E96" s="1672">
        <f>"education before "&amp;TaxYear&amp;"? See instructions."</f>
        <v/>
      </c>
      <c r="F96" s="11602" t="n"/>
      <c r="G96" s="11602" t="n"/>
      <c r="H96" s="11602" t="n"/>
      <c r="I96" s="11602" t="n"/>
      <c r="J96" s="11602" t="n"/>
      <c r="K96" s="11602" t="n"/>
      <c r="L96" s="11602" t="n"/>
      <c r="M96" s="11602" t="n"/>
      <c r="N96" s="11602" t="n"/>
      <c r="O96" s="11602" t="n"/>
      <c r="P96" s="11602" t="n"/>
      <c r="Q96" s="11602" t="n"/>
      <c r="R96" s="11602" t="n"/>
      <c r="S96" s="11602" t="n"/>
      <c r="T96" s="1111" t="n"/>
      <c r="U96" s="344" t="inlineStr">
        <is>
          <t>Yes -- Stop!</t>
        </is>
      </c>
      <c r="V96" s="11602" t="n"/>
      <c r="W96" s="11602" t="n"/>
      <c r="X96" s="11602" t="n"/>
      <c r="Y96" s="11602" t="n"/>
      <c r="Z96" s="11602" t="n"/>
      <c r="AA96" s="11602" t="n"/>
      <c r="AB96" s="11602" t="n"/>
      <c r="AC96" s="1963">
        <f>IF(T96&lt;&gt;"","","X")</f>
        <v/>
      </c>
      <c r="AD96" s="344" t="inlineStr">
        <is>
          <t>No -- Go to line 26.</t>
        </is>
      </c>
      <c r="AE96" s="11602" t="n"/>
      <c r="AF96" s="11602" t="n"/>
      <c r="AG96" s="11602" t="n"/>
      <c r="AH96" s="11602" t="n"/>
      <c r="AI96" s="11602" t="n"/>
      <c r="AJ96" s="11602" t="n"/>
      <c r="AK96" s="2013" t="n"/>
      <c r="AL96" s="2013" t="n"/>
      <c r="AM96" s="2013" t="n"/>
      <c r="AN96" s="11602" t="n"/>
      <c r="AO96" s="11602" t="n"/>
      <c r="AP96" s="11602" t="n"/>
      <c r="AQ96" s="1140" t="n"/>
      <c r="AR96" s="1138" t="n"/>
      <c r="AS96" s="1141" t="n"/>
      <c r="AT96" s="1141" t="n"/>
      <c r="AU96" s="1141" t="n"/>
      <c r="AV96" s="1141" t="n"/>
      <c r="AW96" s="1141" t="n"/>
      <c r="AX96" s="1141" t="n"/>
      <c r="AY96" s="946" t="n"/>
      <c r="AZ96" s="1139" t="n"/>
    </row>
    <row r="97" ht="16.5" customFormat="1" customHeight="1" s="1116">
      <c r="A97" s="2067" t="n"/>
      <c r="B97" s="571" t="n"/>
      <c r="C97" s="571" t="n"/>
      <c r="D97" s="571" t="n"/>
      <c r="E97" s="2046" t="n"/>
      <c r="F97" s="571" t="n"/>
      <c r="G97" s="571" t="n"/>
      <c r="H97" s="571" t="n"/>
      <c r="I97" s="571" t="n"/>
      <c r="J97" s="571" t="n"/>
      <c r="K97" s="571" t="n"/>
      <c r="L97" s="571" t="n"/>
      <c r="M97" s="571" t="n"/>
      <c r="N97" s="571" t="n"/>
      <c r="O97" s="571" t="n"/>
      <c r="P97" s="571" t="n"/>
      <c r="Q97" s="571" t="n"/>
      <c r="R97" s="571" t="n"/>
      <c r="S97" s="571" t="n"/>
      <c r="T97" s="571" t="n"/>
      <c r="U97" s="571" t="inlineStr">
        <is>
          <t>Go to line 31 for this student.</t>
        </is>
      </c>
      <c r="V97" s="571" t="n"/>
      <c r="W97" s="571" t="n"/>
      <c r="X97" s="571" t="n"/>
      <c r="Y97" s="571" t="n"/>
      <c r="Z97" s="571" t="n"/>
      <c r="AA97" s="571" t="n"/>
      <c r="AB97" s="571" t="n"/>
      <c r="AC97" s="571" t="n"/>
      <c r="AD97" s="571" t="n"/>
      <c r="AE97" s="571" t="n"/>
      <c r="AF97" s="571" t="n"/>
      <c r="AG97" s="571" t="n"/>
      <c r="AH97" s="571" t="n"/>
      <c r="AI97" s="571" t="n"/>
      <c r="AJ97" s="571" t="n"/>
      <c r="AK97" s="2067" t="n"/>
      <c r="AL97" s="2067" t="n"/>
      <c r="AM97" s="2067" t="n"/>
      <c r="AN97" s="571" t="n"/>
      <c r="AO97" s="571" t="n"/>
      <c r="AP97" s="571" t="n"/>
      <c r="AQ97" s="4552" t="inlineStr">
        <is>
          <t>3.  Total adjustments (add lines 2a, 2b, and 2c)</t>
        </is>
      </c>
      <c r="AR97" s="4536" t="n"/>
      <c r="AS97" s="4536" t="n"/>
      <c r="AT97" s="4536" t="n"/>
      <c r="AU97" s="4536" t="n"/>
      <c r="AV97" s="4536" t="n"/>
      <c r="AW97" s="4539" t="n"/>
      <c r="AX97" s="4539" t="inlineStr">
        <is>
          <t>3.</t>
        </is>
      </c>
      <c r="AY97" s="7842">
        <f>SUM(AX91,AX93,AX95)</f>
        <v/>
      </c>
      <c r="AZ97" s="4537" t="n"/>
      <c r="BA97" s="138" t="n"/>
      <c r="BB97" s="138" t="n"/>
    </row>
    <row r="98" ht="15" customFormat="1" customHeight="1" s="815">
      <c r="A98" s="2013" t="n"/>
      <c r="B98" s="4555" t="n">
        <v>26</v>
      </c>
      <c r="C98" s="406" t="n"/>
      <c r="D98" s="406" t="n"/>
      <c r="E98" s="2354">
        <f>"Was the student convicted, before the end of "&amp;TaxYear&amp;", of a"</f>
        <v/>
      </c>
      <c r="F98" s="406" t="n"/>
      <c r="G98" s="406" t="n"/>
      <c r="H98" s="406" t="n"/>
      <c r="I98" s="406" t="n"/>
      <c r="J98" s="406" t="n"/>
      <c r="K98" s="406" t="n"/>
      <c r="L98" s="406" t="n"/>
      <c r="M98" s="406" t="n"/>
      <c r="N98" s="406" t="n"/>
      <c r="O98" s="406" t="n"/>
      <c r="P98" s="406" t="n"/>
      <c r="Q98" s="406" t="n"/>
      <c r="R98" s="406" t="n"/>
      <c r="S98" s="406" t="n"/>
      <c r="T98" s="406" t="n"/>
      <c r="U98" s="406" t="n"/>
      <c r="V98" s="406" t="n"/>
      <c r="W98" s="406" t="n"/>
      <c r="X98" s="406" t="n"/>
      <c r="Y98" s="406" t="n"/>
      <c r="Z98" s="406" t="n"/>
      <c r="AA98" s="406" t="n"/>
      <c r="AB98" s="406" t="n"/>
      <c r="AC98" s="406" t="n"/>
      <c r="AD98" s="406" t="n"/>
      <c r="AE98" s="406" t="n"/>
      <c r="AF98" s="406" t="n"/>
      <c r="AG98" s="406" t="n"/>
      <c r="AH98" s="406" t="n"/>
      <c r="AI98" s="406" t="n"/>
      <c r="AJ98" s="406" t="n"/>
      <c r="AK98" s="2013" t="n"/>
      <c r="AL98" s="2013" t="n"/>
      <c r="AM98" s="2013" t="n"/>
      <c r="AN98" s="11602" t="n"/>
      <c r="AO98" s="11602" t="n"/>
      <c r="AP98" s="11602" t="n"/>
      <c r="AQ98" s="1140" t="n"/>
      <c r="AR98" s="1138" t="n"/>
      <c r="AS98" s="1141" t="n"/>
      <c r="AT98" s="1141" t="n"/>
      <c r="AU98" s="1141" t="n"/>
      <c r="AV98" s="1141" t="n"/>
      <c r="AW98" s="1141" t="n"/>
      <c r="AX98" s="1141" t="n"/>
      <c r="AY98" s="946" t="n"/>
      <c r="AZ98" s="1139" t="n"/>
    </row>
    <row r="99" ht="15" customFormat="1" customHeight="1" s="815">
      <c r="A99" s="2013" t="n"/>
      <c r="B99" s="11602" t="n"/>
      <c r="C99" s="11602" t="n"/>
      <c r="D99" s="11602" t="n"/>
      <c r="E99" s="1672" t="inlineStr">
        <is>
          <t>felony for possession or distribution of a controlled</t>
        </is>
      </c>
      <c r="F99" s="11602" t="n"/>
      <c r="G99" s="11602" t="n"/>
      <c r="H99" s="11602" t="n"/>
      <c r="I99" s="11602" t="n"/>
      <c r="J99" s="11602" t="n"/>
      <c r="K99" s="11602" t="n"/>
      <c r="L99" s="11602" t="n"/>
      <c r="M99" s="11602" t="n"/>
      <c r="N99" s="11602" t="n"/>
      <c r="O99" s="11602" t="n"/>
      <c r="P99" s="11602" t="n"/>
      <c r="Q99" s="11602" t="n"/>
      <c r="R99" s="11602" t="n"/>
      <c r="S99" s="11602" t="n"/>
      <c r="T99" s="1111" t="n"/>
      <c r="U99" s="344" t="inlineStr">
        <is>
          <t>Yes -- Stop!</t>
        </is>
      </c>
      <c r="V99" s="11602" t="n"/>
      <c r="W99" s="11602" t="n"/>
      <c r="X99" s="11602" t="n"/>
      <c r="Y99" s="11602" t="n"/>
      <c r="Z99" s="11602" t="n"/>
      <c r="AA99" s="11602" t="n"/>
      <c r="AB99" s="11602" t="n"/>
      <c r="AC99" s="1963">
        <f>IF(T99&lt;&gt;"","","X")</f>
        <v/>
      </c>
      <c r="AD99" s="344" t="inlineStr">
        <is>
          <t>No -- Complete lines 27</t>
        </is>
      </c>
      <c r="AE99" s="11602" t="n"/>
      <c r="AF99" s="11602" t="n"/>
      <c r="AG99" s="11602" t="n"/>
      <c r="AH99" s="11602" t="n"/>
      <c r="AI99" s="11602" t="n"/>
      <c r="AJ99" s="11602" t="n"/>
      <c r="AK99" s="2013" t="n"/>
      <c r="AL99" s="2013" t="n"/>
      <c r="AM99" s="2013" t="n"/>
      <c r="AN99" s="11602" t="n"/>
      <c r="AO99" s="226" t="inlineStr">
        <is>
          <t>Manual</t>
        </is>
      </c>
      <c r="AP99" s="11602" t="n"/>
      <c r="AQ99" s="4552" t="inlineStr">
        <is>
          <t>4.  Adjusted qualified education expenses. Subtract line 3 from line 1</t>
        </is>
      </c>
      <c r="AR99" s="1138" t="n"/>
      <c r="AS99" s="1141" t="n"/>
      <c r="AT99" s="1141" t="n"/>
      <c r="AU99" s="1141" t="n"/>
      <c r="AV99" s="1141" t="n"/>
      <c r="AW99" s="1141" t="n"/>
      <c r="AX99" s="1141" t="n"/>
      <c r="AY99" s="946" t="n"/>
      <c r="AZ99" s="1139" t="n"/>
    </row>
    <row r="100" ht="16.5" customFormat="1" customHeight="1" s="1116">
      <c r="A100" s="2067" t="n"/>
      <c r="B100" s="2068" t="n"/>
      <c r="C100" s="2068" t="n"/>
      <c r="D100" s="2068" t="n"/>
      <c r="E100" s="4556" t="inlineStr">
        <is>
          <t>substance?</t>
        </is>
      </c>
      <c r="F100" s="2068" t="n"/>
      <c r="G100" s="2068" t="n"/>
      <c r="H100" s="2068" t="n"/>
      <c r="I100" s="2068" t="n"/>
      <c r="J100" s="2068" t="n"/>
      <c r="K100" s="2068" t="n"/>
      <c r="L100" s="2068" t="n"/>
      <c r="M100" s="2068" t="n"/>
      <c r="N100" s="2068" t="n"/>
      <c r="O100" s="2068" t="n"/>
      <c r="P100" s="2068" t="n"/>
      <c r="Q100" s="2068" t="n"/>
      <c r="R100" s="2068" t="n"/>
      <c r="S100" s="2068" t="n"/>
      <c r="T100" s="2068" t="n"/>
      <c r="U100" s="2068" t="inlineStr">
        <is>
          <t>Go to line 31 for this student.</t>
        </is>
      </c>
      <c r="V100" s="2068" t="n"/>
      <c r="W100" s="2068" t="n"/>
      <c r="X100" s="2068" t="n"/>
      <c r="Y100" s="2068" t="n"/>
      <c r="Z100" s="2068" t="n"/>
      <c r="AA100" s="2068" t="n"/>
      <c r="AB100" s="2068" t="n"/>
      <c r="AC100" s="2068" t="n"/>
      <c r="AD100" s="4162" t="inlineStr">
        <is>
          <t>through 30 for this student.</t>
        </is>
      </c>
      <c r="AE100" s="2068" t="n"/>
      <c r="AF100" s="2068" t="n"/>
      <c r="AG100" s="2068" t="n"/>
      <c r="AH100" s="2068" t="n"/>
      <c r="AI100" s="2068" t="n"/>
      <c r="AJ100" s="2068" t="n"/>
      <c r="AK100" s="2067" t="n"/>
      <c r="AL100" s="2067" t="n"/>
      <c r="AM100" s="2067" t="n"/>
      <c r="AN100" s="571" t="n"/>
      <c r="AO100" s="226" t="inlineStr">
        <is>
          <t>Override ê</t>
        </is>
      </c>
      <c r="AP100" s="571" t="n"/>
      <c r="AQ100" s="4554" t="inlineStr">
        <is>
          <t>If zero or less, enter -0-</t>
        </is>
      </c>
      <c r="AR100" s="4536" t="n"/>
      <c r="AS100" s="4536" t="n"/>
      <c r="AT100" s="4557" t="inlineStr">
        <is>
          <t>Enter result into Part III, line 27  OR  line 31.</t>
        </is>
      </c>
      <c r="AU100" s="4536" t="n"/>
      <c r="AV100" s="4536" t="n"/>
      <c r="AW100" s="4539" t="n"/>
      <c r="AX100" s="4539" t="inlineStr">
        <is>
          <t>4.</t>
        </is>
      </c>
      <c r="AY100" s="7842">
        <f>IF(AY87="","",MAX(0,SUM(AY87,-AY97)))</f>
        <v/>
      </c>
      <c r="AZ100" s="4537" t="n"/>
      <c r="BA100" s="138" t="n"/>
      <c r="BB100" s="138" t="n"/>
    </row>
    <row r="101" ht="9.75" customFormat="1" customHeight="1" s="815" thickBot="1">
      <c r="A101" s="2013" t="n"/>
      <c r="B101" s="4558" t="n"/>
      <c r="C101" s="4558" t="n"/>
      <c r="D101" s="4558" t="n"/>
      <c r="E101" s="4558" t="n"/>
      <c r="F101" s="4558" t="n"/>
      <c r="G101" s="4558" t="n"/>
      <c r="H101" s="4558" t="n"/>
      <c r="I101" s="4558" t="n"/>
      <c r="J101" s="4558" t="n"/>
      <c r="K101" s="4558" t="n"/>
      <c r="L101" s="4558" t="n"/>
      <c r="M101" s="4558" t="n"/>
      <c r="N101" s="4558" t="n"/>
      <c r="O101" s="4558" t="n"/>
      <c r="P101" s="4558" t="n"/>
      <c r="Q101" s="4558" t="n"/>
      <c r="R101" s="4558" t="n"/>
      <c r="S101" s="4558" t="n"/>
      <c r="T101" s="4558" t="n"/>
      <c r="U101" s="4558" t="n"/>
      <c r="V101" s="4558" t="n"/>
      <c r="W101" s="4558" t="n"/>
      <c r="X101" s="4558" t="n"/>
      <c r="Y101" s="4558" t="n"/>
      <c r="Z101" s="4558" t="n"/>
      <c r="AA101" s="4558" t="n"/>
      <c r="AB101" s="4558" t="n"/>
      <c r="AC101" s="4558" t="n"/>
      <c r="AD101" s="4558" t="n"/>
      <c r="AE101" s="4558" t="n"/>
      <c r="AF101" s="4558" t="n"/>
      <c r="AG101" s="4558" t="n"/>
      <c r="AH101" s="4558" t="n"/>
      <c r="AI101" s="4558" t="n"/>
      <c r="AJ101" s="4558" t="n"/>
      <c r="AK101" s="2013" t="n"/>
      <c r="AL101" s="2013" t="n"/>
      <c r="AM101" s="2013" t="n"/>
      <c r="AN101" s="11602" t="n"/>
      <c r="AO101" s="11602" t="n"/>
      <c r="AP101" s="11602" t="n"/>
      <c r="AQ101" s="1142" t="n"/>
      <c r="AR101" s="1143" t="n"/>
      <c r="AS101" s="1144" t="n"/>
      <c r="AT101" s="1144" t="n"/>
      <c r="AU101" s="1144" t="n"/>
      <c r="AV101" s="1144" t="n"/>
      <c r="AW101" s="1144" t="n"/>
      <c r="AX101" s="1144" t="n"/>
      <c r="AY101" s="1144" t="n"/>
      <c r="AZ101" s="1145" t="n"/>
    </row>
    <row r="102" ht="14.25" customFormat="1" customHeight="1" s="1115">
      <c r="A102" s="2290" t="n"/>
      <c r="B102" s="342" t="inlineStr">
        <is>
          <t>Caution:</t>
        </is>
      </c>
      <c r="C102" s="2319" t="n"/>
      <c r="D102" s="2319" t="n"/>
      <c r="E102" s="1117" t="inlineStr">
        <is>
          <t>You can't take the American opportunity credit and the lifetime learning credit for the same student in the same year.</t>
        </is>
      </c>
      <c r="F102" s="2319" t="n"/>
      <c r="G102" s="2319" t="n"/>
      <c r="H102" s="2319" t="n"/>
      <c r="I102" s="2319" t="n"/>
      <c r="J102" s="2319" t="n"/>
      <c r="K102" s="2319" t="n"/>
      <c r="L102" s="2319" t="n"/>
      <c r="M102" s="2319" t="n"/>
      <c r="N102" s="2319" t="n"/>
      <c r="O102" s="2319" t="n"/>
      <c r="P102" s="2319" t="n"/>
      <c r="Q102" s="2319" t="n"/>
      <c r="R102" s="2319" t="n"/>
      <c r="S102" s="2319" t="n"/>
      <c r="T102" s="2319" t="n"/>
      <c r="U102" s="2319" t="n"/>
      <c r="V102" s="2319" t="n"/>
      <c r="W102" s="2319" t="n"/>
      <c r="X102" s="2319" t="n"/>
      <c r="Y102" s="2319" t="n"/>
      <c r="Z102" s="2319" t="n"/>
      <c r="AA102" s="2319" t="n"/>
      <c r="AB102" s="2319" t="n"/>
      <c r="AC102" s="2319" t="n"/>
      <c r="AD102" s="2319" t="n"/>
      <c r="AE102" s="2319" t="n"/>
      <c r="AF102" s="2319" t="n"/>
      <c r="AG102" s="2319" t="n"/>
      <c r="AH102" s="2319" t="n"/>
      <c r="AI102" s="2319" t="n"/>
      <c r="AJ102" s="2319" t="n"/>
      <c r="AK102" s="2290" t="n"/>
      <c r="AL102" s="2290" t="n"/>
      <c r="AM102" s="2290" t="n"/>
      <c r="AN102" s="4520" t="n"/>
      <c r="AO102" s="2158">
        <f>OR(AND(AH105,AO113&lt;&gt;""),AND(NOT(AH105),AO110&lt;&gt;""))</f>
        <v/>
      </c>
      <c r="AP102" s="4521" t="n"/>
      <c r="AQ102" s="658" t="n"/>
      <c r="AR102" s="664" t="n"/>
      <c r="AS102" s="658" t="n"/>
      <c r="AT102" s="658" t="n"/>
      <c r="AU102" s="658" t="n"/>
      <c r="AV102" s="658" t="n"/>
      <c r="AW102" s="658" t="n"/>
      <c r="AX102" s="658" t="n"/>
      <c r="AY102" s="658" t="n"/>
      <c r="AZ102" s="658" t="n"/>
      <c r="BA102" s="2293" t="n"/>
      <c r="BB102" s="2293" t="n"/>
    </row>
    <row r="103" ht="16.5" customFormat="1" customHeight="1" s="1115">
      <c r="A103" s="2290" t="n"/>
      <c r="B103" s="2319" t="n"/>
      <c r="C103" s="2319" t="n"/>
      <c r="D103" s="2319" t="n"/>
      <c r="E103" s="1118" t="inlineStr">
        <is>
          <t>If you complete lines 27 through 30 for this student, don’t complete line 31.</t>
        </is>
      </c>
      <c r="F103" s="2319" t="n"/>
      <c r="G103" s="2319" t="n"/>
      <c r="H103" s="2319" t="n"/>
      <c r="I103" s="2319" t="n"/>
      <c r="J103" s="2319" t="n"/>
      <c r="K103" s="2319" t="n"/>
      <c r="L103" s="2319" t="n"/>
      <c r="M103" s="2319" t="n"/>
      <c r="N103" s="2319" t="n"/>
      <c r="O103" s="2319" t="n"/>
      <c r="P103" s="2319" t="n"/>
      <c r="Q103" s="2319" t="n"/>
      <c r="R103" s="2319" t="n"/>
      <c r="S103" s="2319" t="n"/>
      <c r="T103" s="2319" t="n"/>
      <c r="U103" s="2319" t="n"/>
      <c r="V103" s="2319" t="n"/>
      <c r="W103" s="2319" t="n"/>
      <c r="X103" s="2319" t="n"/>
      <c r="Y103" s="2319" t="n"/>
      <c r="Z103" s="2319" t="n"/>
      <c r="AA103" s="2319" t="n"/>
      <c r="AB103" s="2319" t="n"/>
      <c r="AC103" s="2319" t="n"/>
      <c r="AD103" s="2319" t="n"/>
      <c r="AE103" s="2319" t="n"/>
      <c r="AF103" s="2319" t="n"/>
      <c r="AG103" s="2319" t="n"/>
      <c r="AH103" s="2319" t="n"/>
      <c r="AI103" s="2319" t="n"/>
      <c r="AJ103" s="2319" t="n"/>
      <c r="AK103" s="2290" t="n"/>
      <c r="AL103" s="1245" t="n"/>
      <c r="AM103" s="2290" t="n"/>
      <c r="AN103" s="11189" t="inlineStr">
        <is>
          <t>&lt;&lt;&lt; Check here to use Lifetime Learnng Credit.</t>
        </is>
      </c>
      <c r="AQ103" s="658" t="n"/>
      <c r="AR103" s="664" t="n"/>
      <c r="AS103" s="658" t="n"/>
      <c r="AT103" s="658" t="n"/>
      <c r="AU103" s="658" t="n"/>
      <c r="AV103" s="658" t="n"/>
      <c r="AW103" s="658" t="n"/>
      <c r="AX103" s="658" t="n"/>
      <c r="AY103" s="658" t="n"/>
      <c r="AZ103" s="658" t="n"/>
      <c r="BA103" s="2293" t="n"/>
      <c r="BB103" s="2293" t="n"/>
    </row>
    <row r="104" ht="6" customFormat="1" customHeight="1" s="815">
      <c r="A104" s="2013" t="n"/>
      <c r="B104" s="4559" t="n"/>
      <c r="C104" s="4559" t="n"/>
      <c r="D104" s="4559" t="n"/>
      <c r="E104" s="4559" t="n"/>
      <c r="F104" s="4559" t="n"/>
      <c r="G104" s="4559" t="n"/>
      <c r="H104" s="4559" t="n"/>
      <c r="I104" s="4559" t="n"/>
      <c r="J104" s="4559" t="n"/>
      <c r="K104" s="4559" t="n"/>
      <c r="L104" s="4559" t="n"/>
      <c r="M104" s="4559" t="n"/>
      <c r="N104" s="4559" t="n"/>
      <c r="O104" s="4559" t="n"/>
      <c r="P104" s="4559" t="n"/>
      <c r="Q104" s="4559" t="n"/>
      <c r="R104" s="4559" t="n"/>
      <c r="S104" s="4559" t="n"/>
      <c r="T104" s="4559" t="n"/>
      <c r="U104" s="4559" t="n"/>
      <c r="V104" s="4559" t="n"/>
      <c r="W104" s="4559" t="n"/>
      <c r="X104" s="4559" t="n"/>
      <c r="Y104" s="4559" t="n"/>
      <c r="Z104" s="4559" t="n"/>
      <c r="AA104" s="4559" t="n"/>
      <c r="AB104" s="4559" t="n"/>
      <c r="AC104" s="4559" t="n"/>
      <c r="AD104" s="4559" t="n"/>
      <c r="AE104" s="4559" t="n"/>
      <c r="AF104" s="4559" t="n"/>
      <c r="AG104" s="4559" t="n"/>
      <c r="AH104" s="4559" t="n"/>
      <c r="AI104" s="4559" t="n"/>
      <c r="AJ104" s="4559" t="n"/>
      <c r="AK104" s="2013" t="n"/>
      <c r="AL104" s="2013" t="n"/>
      <c r="AM104" s="2013" t="n"/>
      <c r="AQ104" s="658" t="n"/>
      <c r="AR104" s="658" t="n"/>
      <c r="AS104" s="658" t="n"/>
      <c r="AT104" s="658" t="n"/>
      <c r="AU104" s="658" t="n"/>
      <c r="AV104" s="658" t="n"/>
      <c r="AW104" s="658" t="n"/>
      <c r="AX104" s="658" t="n"/>
      <c r="AY104" s="658" t="n"/>
      <c r="AZ104" s="658" t="n"/>
    </row>
    <row r="105" ht="16.5" customFormat="1" customHeight="1" s="815" thickBot="1">
      <c r="A105" s="2013" t="n"/>
      <c r="B105" s="3844" t="n"/>
      <c r="C105" s="4560" t="inlineStr">
        <is>
          <t>American Opportunity Credit</t>
        </is>
      </c>
      <c r="D105" s="413" t="n"/>
      <c r="E105" s="413" t="n"/>
      <c r="F105" s="413" t="n"/>
      <c r="G105" s="413" t="n"/>
      <c r="H105" s="413" t="n"/>
      <c r="I105" s="413" t="n"/>
      <c r="J105" s="413" t="n"/>
      <c r="K105" s="413" t="n"/>
      <c r="L105" s="413" t="n"/>
      <c r="M105" s="413" t="n"/>
      <c r="N105" s="413" t="n"/>
      <c r="O105" s="413" t="n"/>
      <c r="P105" s="413" t="n"/>
      <c r="Q105" s="413" t="n"/>
      <c r="R105" s="413" t="n"/>
      <c r="S105" s="413" t="n"/>
      <c r="T105" s="413" t="n"/>
      <c r="U105" s="413" t="n"/>
      <c r="V105" s="413" t="n"/>
      <c r="W105" s="413" t="n"/>
      <c r="X105" s="413" t="n"/>
      <c r="Y105" s="413" t="n"/>
      <c r="Z105" s="413" t="n"/>
      <c r="AA105" s="413" t="n"/>
      <c r="AB105" s="11129">
        <f>AND(AE106&lt;&gt;"",AE106&gt;AO107)</f>
        <v/>
      </c>
      <c r="AC105" s="8412" t="n"/>
      <c r="AD105" s="413" t="n"/>
      <c r="AE105" s="413" t="n"/>
      <c r="AF105" s="413" t="n"/>
      <c r="AG105" s="413" t="n"/>
      <c r="AH105" s="11129">
        <f>AND(T87="",AC92="",T96="",T99="")</f>
        <v/>
      </c>
      <c r="AI105" s="8412" t="n"/>
      <c r="AJ105" s="8412" t="n"/>
      <c r="AK105" s="2013" t="n"/>
      <c r="AL105" s="2013" t="n"/>
      <c r="AM105" s="2013" t="n"/>
      <c r="AQ105" s="658" t="n"/>
      <c r="AR105" s="658" t="n"/>
      <c r="AS105" s="658" t="n"/>
      <c r="AT105" s="658" t="n"/>
      <c r="AU105" s="658" t="n"/>
      <c r="AV105" s="658" t="n"/>
      <c r="AW105" s="658" t="n"/>
      <c r="AX105" s="658" t="n"/>
      <c r="AY105" s="658" t="n"/>
      <c r="AZ105" s="658" t="n"/>
    </row>
    <row r="106" ht="16.5" customFormat="1" customHeight="1" s="815" thickBot="1">
      <c r="A106" s="2013" t="n"/>
      <c r="B106" s="4555" t="n">
        <v>27</v>
      </c>
      <c r="C106" s="11602" t="n"/>
      <c r="D106" s="8650" t="inlineStr">
        <is>
          <t>Adjusted qualified education expenses (see instructions).</t>
        </is>
      </c>
      <c r="E106" s="8650" t="n"/>
      <c r="F106" s="11602" t="n"/>
      <c r="G106" s="11602" t="n"/>
      <c r="H106" s="11602" t="n"/>
      <c r="I106" s="11602" t="n"/>
      <c r="J106" s="11602" t="n"/>
      <c r="K106" s="11602" t="n"/>
      <c r="L106" s="11602" t="n"/>
      <c r="M106" s="11602" t="n"/>
      <c r="N106" s="11602" t="n"/>
      <c r="O106" s="11602" t="n"/>
      <c r="P106" s="11602" t="n"/>
      <c r="Q106" s="11602" t="n"/>
      <c r="R106" s="4561">
        <f>"Don't enter more than "&amp;TEXT(AO107,"$0,000")&amp;"."</f>
        <v/>
      </c>
      <c r="S106" s="11602" t="n"/>
      <c r="T106" s="11602" t="n"/>
      <c r="U106" s="11602" t="n"/>
      <c r="V106" s="11602" t="n"/>
      <c r="W106" s="11602" t="n"/>
      <c r="X106" s="11602" t="n"/>
      <c r="Y106" s="11602" t="n"/>
      <c r="Z106" s="4562" t="n"/>
      <c r="AA106" s="4562" t="n"/>
      <c r="AB106" s="9788" t="n"/>
      <c r="AC106" s="4563" t="n"/>
      <c r="AD106" s="2918" t="n">
        <v>27</v>
      </c>
      <c r="AE106" s="10786">
        <f>IF(AO106&lt;&gt;"",ROUND(AO106,0),IF(OR(NOT(AH105),AY100=""),"",MIN(AO107,AY100)))</f>
        <v/>
      </c>
      <c r="AF106" s="7637" t="n"/>
      <c r="AG106" s="7637" t="n"/>
      <c r="AH106" s="7637" t="n"/>
      <c r="AI106" s="7637" t="n"/>
      <c r="AJ106" s="7637" t="n"/>
      <c r="AK106" s="2013" t="n"/>
      <c r="AL106" s="2013" t="n"/>
      <c r="AM106" s="2013" t="n"/>
      <c r="AN106" s="11602" t="n"/>
      <c r="AO106" s="1113" t="n"/>
      <c r="AP106" s="11602" t="n"/>
      <c r="AQ106" s="658" t="n"/>
      <c r="AR106" s="658" t="n"/>
      <c r="AS106" s="658" t="n"/>
      <c r="AT106" s="658" t="n"/>
      <c r="AU106" s="658" t="n"/>
      <c r="AV106" s="658" t="n"/>
      <c r="AW106" s="658" t="n"/>
      <c r="AX106" s="658" t="n"/>
      <c r="AY106" s="658" t="n"/>
      <c r="AZ106" s="658" t="n"/>
    </row>
    <row r="107" ht="17.25" customFormat="1" customHeight="1" s="815">
      <c r="A107" s="2013" t="n"/>
      <c r="B107" s="3827" t="n">
        <v>28</v>
      </c>
      <c r="C107" s="11602" t="n"/>
      <c r="D107" s="8650">
        <f>"Subtract "&amp;TEXT(AO108,"$0,000")&amp;" from line 27. If zero or less, enter -0-"</f>
        <v/>
      </c>
      <c r="E107" s="11602" t="n"/>
      <c r="F107" s="11602" t="n"/>
      <c r="G107" s="11602" t="n"/>
      <c r="H107" s="11602" t="n"/>
      <c r="I107" s="11602" t="n"/>
      <c r="J107" s="11602" t="n"/>
      <c r="K107" s="11602" t="n"/>
      <c r="L107" s="11602" t="n"/>
      <c r="M107" s="11602" t="n"/>
      <c r="N107" s="11602" t="n"/>
      <c r="O107" s="11602" t="n"/>
      <c r="P107" s="11602" t="n"/>
      <c r="Q107" s="11602" t="n"/>
      <c r="R107" s="11602" t="n"/>
      <c r="S107" s="11602" t="n"/>
      <c r="T107" s="11602" t="n"/>
      <c r="U107" s="11602" t="n"/>
      <c r="V107" s="11602" t="n"/>
      <c r="W107" s="11602" t="n"/>
      <c r="X107" s="11602" t="n"/>
      <c r="Y107" s="11602" t="n"/>
      <c r="Z107" s="3830" t="n"/>
      <c r="AA107" s="3830" t="n"/>
      <c r="AB107" s="11602" t="n"/>
      <c r="AC107" s="1401" t="inlineStr">
        <is>
          <t xml:space="preserve">.   .   .   .    .   .   .   .   .   .   .   .   .   .   .   .   .   .   .   .   . </t>
        </is>
      </c>
      <c r="AD107" s="2918" t="n">
        <v>28</v>
      </c>
      <c r="AE107" s="10786">
        <f>IF(OR(NOT(AH105),AY100=""),"",MAX(0,SUM(AE106,-AO108)))</f>
        <v/>
      </c>
      <c r="AF107" s="7637" t="n"/>
      <c r="AG107" s="7637" t="n"/>
      <c r="AH107" s="7637" t="n"/>
      <c r="AI107" s="7637" t="n"/>
      <c r="AJ107" s="7637" t="n"/>
      <c r="AK107" s="2013" t="n"/>
      <c r="AL107" s="2013" t="n"/>
      <c r="AM107" s="2013" t="n"/>
      <c r="AN107" s="11602" t="n"/>
      <c r="AO107" s="512" t="n">
        <v>4000</v>
      </c>
      <c r="AP107" s="11602" t="n"/>
      <c r="AQ107" s="658" t="n"/>
      <c r="AR107" s="658" t="n"/>
      <c r="AS107" s="658" t="n"/>
      <c r="AT107" s="658" t="n"/>
      <c r="AU107" s="658" t="n"/>
      <c r="AV107" s="658" t="n"/>
      <c r="AW107" s="658" t="n"/>
      <c r="AX107" s="658" t="n"/>
      <c r="AY107" s="658" t="n"/>
      <c r="AZ107" s="658" t="n"/>
    </row>
    <row r="108" ht="17.25" customFormat="1" customHeight="1" s="815">
      <c r="A108" s="2013" t="n"/>
      <c r="B108" s="3827" t="n">
        <v>29</v>
      </c>
      <c r="C108" s="11602" t="n"/>
      <c r="D108" s="8650">
        <f>"Multiply line 28 by "&amp;TEXT(AB109,"0%")&amp;" ("&amp;TEXT(AB109,"0.00")&amp;")"</f>
        <v/>
      </c>
      <c r="E108" s="8650" t="n"/>
      <c r="F108" s="8650" t="n"/>
      <c r="G108" s="11602" t="n"/>
      <c r="H108" s="11602" t="n"/>
      <c r="I108" s="11602" t="n"/>
      <c r="J108" s="11602" t="n"/>
      <c r="K108" s="11602" t="n"/>
      <c r="L108" s="7886" t="n"/>
      <c r="M108" s="7886" t="n"/>
      <c r="N108" s="7886" t="n"/>
      <c r="O108" s="7886" t="n"/>
      <c r="P108" s="7886" t="n"/>
      <c r="Q108" s="7886" t="n"/>
      <c r="R108" s="7886" t="n"/>
      <c r="S108" s="7886" t="n"/>
      <c r="T108" s="7886" t="n"/>
      <c r="U108" s="7886" t="n"/>
      <c r="V108" s="7886" t="n"/>
      <c r="W108" s="7886" t="n"/>
      <c r="X108" s="7886" t="n"/>
      <c r="Y108" s="7886" t="n"/>
      <c r="Z108" s="7886" t="n"/>
      <c r="AA108" s="7886" t="n"/>
      <c r="AB108" s="7886" t="n"/>
      <c r="AC108" s="1401" t="inlineStr">
        <is>
          <t xml:space="preserve">.   .   .   .   .    .   .   .   .   .   .   .   .    .   .   .   .   .   .   .   .   .   .   .   .   .   .   .   .   . </t>
        </is>
      </c>
      <c r="AD108" s="2918" t="n">
        <v>29</v>
      </c>
      <c r="AE108" s="10786">
        <f>IF(OR(NOT(AH105),AY100=""),"",ROUND(AE107*AB109,0))</f>
        <v/>
      </c>
      <c r="AF108" s="7637" t="n"/>
      <c r="AG108" s="7637" t="n"/>
      <c r="AH108" s="7637" t="n"/>
      <c r="AI108" s="7637" t="n"/>
      <c r="AJ108" s="7637" t="n"/>
      <c r="AK108" s="2013" t="n"/>
      <c r="AL108" s="2013" t="n"/>
      <c r="AM108" s="2013" t="n"/>
      <c r="AN108" s="11602" t="n"/>
      <c r="AO108" s="512" t="n">
        <v>2000</v>
      </c>
      <c r="AP108" s="11602" t="n"/>
      <c r="AQ108" s="658" t="n"/>
      <c r="AR108" s="658" t="n"/>
      <c r="AS108" s="658" t="n"/>
      <c r="AT108" s="658" t="n"/>
      <c r="AU108" s="658" t="n"/>
      <c r="AV108" s="658" t="n"/>
      <c r="AW108" s="658" t="n"/>
      <c r="AX108" s="658" t="n"/>
      <c r="AY108" s="658" t="n"/>
      <c r="AZ108" s="658" t="n"/>
    </row>
    <row r="109" ht="15.75" customFormat="1" customHeight="1" s="815" thickBot="1">
      <c r="A109" s="2013" t="n"/>
      <c r="B109" s="3827" t="n">
        <v>30</v>
      </c>
      <c r="C109" s="11602" t="n"/>
      <c r="D109" s="8650" t="inlineStr">
        <is>
          <t>If line 28 is zero, enter the amount from line 27. Otherwise, add $2,000 to the amount on line 29 and</t>
        </is>
      </c>
      <c r="E109" s="8650" t="n"/>
      <c r="F109" s="8650" t="n"/>
      <c r="G109" s="11602" t="n"/>
      <c r="H109" s="11602" t="n"/>
      <c r="I109" s="11602" t="n"/>
      <c r="J109" s="11602" t="n"/>
      <c r="K109" s="11602" t="n"/>
      <c r="L109" s="11602" t="n"/>
      <c r="M109" s="11602" t="n"/>
      <c r="N109" s="11602" t="n"/>
      <c r="O109" s="11602" t="n"/>
      <c r="P109" s="11602" t="n"/>
      <c r="Q109" s="11602" t="n"/>
      <c r="R109" s="11602" t="n"/>
      <c r="S109" s="11602" t="n"/>
      <c r="T109" s="11602" t="n"/>
      <c r="U109" s="11602" t="n"/>
      <c r="V109" s="11602" t="n"/>
      <c r="W109" s="11602" t="n"/>
      <c r="X109" s="11602" t="n"/>
      <c r="Y109" s="11602" t="n"/>
      <c r="Z109" s="11602" t="n"/>
      <c r="AA109" s="11602" t="n"/>
      <c r="AB109" s="10789" t="n">
        <v>0.25</v>
      </c>
      <c r="AC109" s="7636" t="n"/>
      <c r="AD109" s="2890" t="n"/>
      <c r="AE109" s="11602" t="n"/>
      <c r="AF109" s="11602" t="n"/>
      <c r="AG109" s="11602" t="n"/>
      <c r="AH109" s="11602" t="n"/>
      <c r="AI109" s="11602" t="n"/>
      <c r="AJ109" s="11602" t="n"/>
      <c r="AK109" s="2013" t="n"/>
      <c r="AL109" s="2013" t="n"/>
      <c r="AM109" s="2013" t="n"/>
      <c r="AN109" s="11602" t="n"/>
      <c r="AO109" s="11602" t="n"/>
      <c r="AP109" s="11602" t="n"/>
      <c r="AQ109" s="658" t="n"/>
      <c r="AR109" s="658" t="n"/>
      <c r="AS109" s="658" t="n"/>
      <c r="AT109" s="658" t="n"/>
      <c r="AU109" s="658" t="n"/>
      <c r="AV109" s="658" t="n"/>
      <c r="AW109" s="658" t="n"/>
      <c r="AX109" s="658" t="n"/>
      <c r="AY109" s="658" t="n"/>
      <c r="AZ109" s="658" t="n"/>
    </row>
    <row r="110" ht="15.75" customFormat="1" customHeight="1" s="815" thickBot="1">
      <c r="A110" s="2013" t="n"/>
      <c r="B110" s="11602" t="n"/>
      <c r="C110" s="11602" t="n"/>
      <c r="D110" s="8650" t="inlineStr">
        <is>
          <t>enter the result. Skip line 31. Include the total of all amounts from all Parts III, line 30, on Part I, line 1.</t>
        </is>
      </c>
      <c r="E110" s="8650" t="n"/>
      <c r="F110" s="8650" t="n"/>
      <c r="G110" s="11602" t="n"/>
      <c r="H110" s="11602" t="n"/>
      <c r="I110" s="11602" t="n"/>
      <c r="J110" s="11602" t="n"/>
      <c r="K110" s="11602" t="n"/>
      <c r="L110" s="11602" t="n"/>
      <c r="M110" s="11602" t="n"/>
      <c r="N110" s="11602" t="n"/>
      <c r="O110" s="11602" t="n"/>
      <c r="P110" s="11602" t="n"/>
      <c r="Q110" s="11602" t="n"/>
      <c r="R110" s="11602" t="n"/>
      <c r="S110" s="11602" t="n"/>
      <c r="T110" s="11602" t="n"/>
      <c r="U110" s="11602" t="n"/>
      <c r="V110" s="11602" t="n"/>
      <c r="W110" s="11602" t="n"/>
      <c r="X110" s="11602" t="n"/>
      <c r="Y110" s="11602" t="n"/>
      <c r="Z110" s="11602" t="n"/>
      <c r="AA110" s="11602" t="n"/>
      <c r="AB110" s="11602" t="n"/>
      <c r="AC110" s="1401" t="inlineStr">
        <is>
          <t xml:space="preserve">.   .   . </t>
        </is>
      </c>
      <c r="AD110" s="2922" t="n">
        <v>30</v>
      </c>
      <c r="AE110" s="11134">
        <f>IF(AO110&lt;&gt;"",ROUND(AO110,0),IF(OR(NOT(AH105),AE106=0,AE106="",AY100=""),"",IF(OR(AE107=0,AE107=""),AE106,SUM(AE108,AO108))))</f>
        <v/>
      </c>
      <c r="AK110" s="2013" t="n"/>
      <c r="AL110" s="2013" t="n"/>
      <c r="AM110" s="2013" t="n"/>
      <c r="AN110" s="11602" t="n"/>
      <c r="AO110" s="1113" t="n"/>
      <c r="AP110" s="11602" t="n"/>
      <c r="AQ110" s="658" t="n"/>
      <c r="AR110" s="658" t="n"/>
      <c r="AS110" s="658" t="n"/>
      <c r="AT110" s="658" t="n"/>
      <c r="AU110" s="658" t="n"/>
      <c r="AV110" s="658" t="n"/>
      <c r="AW110" s="658" t="n"/>
      <c r="AX110" s="658" t="n"/>
      <c r="AY110" s="658" t="n"/>
      <c r="AZ110" s="658" t="n"/>
    </row>
    <row r="111" ht="16.5" customFormat="1" customHeight="1" s="815">
      <c r="A111" s="2013" t="n"/>
      <c r="B111" s="3844" t="n"/>
      <c r="C111" s="4560" t="inlineStr">
        <is>
          <t>Lifetime Learning Credit</t>
        </is>
      </c>
      <c r="D111" s="773" t="n"/>
      <c r="E111" s="773" t="n"/>
      <c r="F111" s="773" t="n"/>
      <c r="G111" s="773" t="n"/>
      <c r="H111" s="773" t="n"/>
      <c r="I111" s="773" t="n"/>
      <c r="J111" s="773" t="n"/>
      <c r="K111" s="773" t="n"/>
      <c r="L111" s="773" t="n"/>
      <c r="M111" s="773" t="n"/>
      <c r="N111" s="773" t="n"/>
      <c r="O111" s="773" t="n"/>
      <c r="P111" s="773" t="n"/>
      <c r="Q111" s="773" t="n"/>
      <c r="R111" s="773" t="n"/>
      <c r="S111" s="773" t="n"/>
      <c r="T111" s="773" t="n"/>
      <c r="U111" s="773" t="n"/>
      <c r="V111" s="773" t="n"/>
      <c r="W111" s="773" t="n"/>
      <c r="X111" s="773" t="n"/>
      <c r="Y111" s="773" t="n"/>
      <c r="Z111" s="773" t="n"/>
      <c r="AA111" s="773" t="n"/>
      <c r="AB111" s="773" t="n"/>
      <c r="AC111" s="773" t="n"/>
      <c r="AD111" s="773" t="n"/>
      <c r="AE111" s="773" t="n"/>
      <c r="AF111" s="773" t="n"/>
      <c r="AG111" s="773" t="n"/>
      <c r="AH111" s="773" t="n"/>
      <c r="AI111" s="773" t="n"/>
      <c r="AJ111" s="773" t="n"/>
      <c r="AK111" s="2013" t="n"/>
      <c r="AL111" s="2013" t="n"/>
      <c r="AM111" s="2013" t="n"/>
      <c r="AN111" s="11602" t="n"/>
      <c r="AO111" s="11602" t="n"/>
      <c r="AP111" s="11602" t="n"/>
      <c r="AQ111" s="658" t="n"/>
      <c r="AR111" s="658" t="n"/>
      <c r="AS111" s="658" t="n"/>
      <c r="AT111" s="658" t="n"/>
      <c r="AU111" s="658" t="n"/>
      <c r="AV111" s="658" t="n"/>
      <c r="AW111" s="658" t="n"/>
      <c r="AX111" s="658" t="n"/>
      <c r="AY111" s="658" t="n"/>
      <c r="AZ111" s="658" t="n"/>
    </row>
    <row r="112" ht="15.75" customFormat="1" customHeight="1" s="815" thickBot="1">
      <c r="A112" s="2013" t="n"/>
      <c r="B112" s="3827" t="n">
        <v>31</v>
      </c>
      <c r="C112" s="11602" t="n"/>
      <c r="D112" s="8650" t="inlineStr">
        <is>
          <t>Adjusted qualified education expenses (see instructions). Include the total of all amounts from all</t>
        </is>
      </c>
      <c r="E112" s="8650" t="n"/>
      <c r="F112" s="8650" t="n"/>
      <c r="G112" s="11602" t="n"/>
      <c r="H112" s="11602" t="n"/>
      <c r="I112" s="11602" t="n"/>
      <c r="J112" s="11602" t="n"/>
      <c r="K112" s="11602" t="n"/>
      <c r="L112" s="11602" t="n"/>
      <c r="M112" s="11602" t="n"/>
      <c r="N112" s="11602" t="n"/>
      <c r="O112" s="11602" t="n"/>
      <c r="P112" s="11602" t="n"/>
      <c r="Q112" s="11602" t="n"/>
      <c r="R112" s="11602" t="n"/>
      <c r="S112" s="11602" t="n"/>
      <c r="T112" s="11602" t="n"/>
      <c r="U112" s="11602" t="n"/>
      <c r="V112" s="11602" t="n"/>
      <c r="W112" s="11602" t="n"/>
      <c r="X112" s="11602" t="n"/>
      <c r="Y112" s="11602" t="n"/>
      <c r="Z112" s="11602" t="n"/>
      <c r="AA112" s="11602" t="n"/>
      <c r="AB112" s="11602" t="n"/>
      <c r="AC112" s="11602" t="n"/>
      <c r="AD112" s="2890" t="n"/>
      <c r="AE112" s="11602" t="n"/>
      <c r="AF112" s="11602" t="n"/>
      <c r="AG112" s="11602" t="n"/>
      <c r="AH112" s="11602" t="n"/>
      <c r="AI112" s="11602" t="n"/>
      <c r="AJ112" s="11602" t="n"/>
      <c r="AK112" s="2013" t="n"/>
      <c r="AL112" s="2013" t="n"/>
      <c r="AM112" s="2013" t="n"/>
      <c r="AN112" s="11602" t="n"/>
      <c r="AO112" s="11602" t="n"/>
      <c r="AP112" s="11602" t="n"/>
      <c r="AQ112" s="658" t="n"/>
      <c r="AR112" s="658" t="n"/>
      <c r="AS112" s="658" t="n"/>
      <c r="AT112" s="658" t="n"/>
      <c r="AU112" s="658" t="n"/>
      <c r="AV112" s="658" t="n"/>
      <c r="AW112" s="658" t="n"/>
      <c r="AX112" s="658" t="n"/>
      <c r="AY112" s="658" t="n"/>
      <c r="AZ112" s="658" t="n"/>
    </row>
    <row r="113" ht="15.75" customFormat="1" customHeight="1" s="815" thickBot="1">
      <c r="A113" s="2013" t="n"/>
      <c r="B113" s="380" t="n"/>
      <c r="C113" s="380" t="n"/>
      <c r="D113" s="2015" t="inlineStr">
        <is>
          <t>Parts III, line 31, on Part II, line 10</t>
        </is>
      </c>
      <c r="E113" s="2015" t="n"/>
      <c r="F113" s="2015" t="n"/>
      <c r="G113" s="380" t="n"/>
      <c r="H113" s="380" t="n"/>
      <c r="I113" s="380" t="n"/>
      <c r="J113" s="380" t="n"/>
      <c r="K113" s="380" t="n"/>
      <c r="L113" s="380" t="n"/>
      <c r="M113" s="380" t="n"/>
      <c r="N113" s="380" t="n"/>
      <c r="O113" s="380" t="n"/>
      <c r="P113" s="380" t="n"/>
      <c r="Q113" s="380" t="n"/>
      <c r="R113" s="380" t="n"/>
      <c r="S113" s="380" t="n"/>
      <c r="T113" s="380" t="n"/>
      <c r="U113" s="380" t="n"/>
      <c r="V113" s="380" t="n"/>
      <c r="W113" s="380" t="n"/>
      <c r="X113" s="380" t="n"/>
      <c r="Y113" s="380" t="n"/>
      <c r="Z113" s="380" t="n"/>
      <c r="AA113" s="380" t="n"/>
      <c r="AB113" s="380" t="n"/>
      <c r="AC113" s="10736" t="inlineStr">
        <is>
          <t xml:space="preserve">.   .   .   .   .    .   .   .   .   .   .   .   .    .   .   .   .   .   .   .   .   .   .   .   .   .   .   .   .   . </t>
        </is>
      </c>
      <c r="AD113" s="2919" t="n">
        <v>31</v>
      </c>
      <c r="AE113" s="10767">
        <f>IF(AO113&lt;&gt;"",ROUND(AO113,0),IF(OR(AH105,AY100=""),"",AY100))</f>
        <v/>
      </c>
      <c r="AF113" s="8848" t="n"/>
      <c r="AG113" s="8848" t="n"/>
      <c r="AH113" s="8848" t="n"/>
      <c r="AI113" s="8848" t="n"/>
      <c r="AJ113" s="8848" t="n"/>
      <c r="AK113" s="2013" t="n"/>
      <c r="AL113" s="2013" t="n"/>
      <c r="AM113" s="2013" t="n"/>
      <c r="AN113" s="11602" t="n"/>
      <c r="AO113" s="1125" t="n"/>
      <c r="AP113" s="11602" t="n"/>
      <c r="AQ113" s="658" t="n"/>
      <c r="AR113" s="658" t="n"/>
      <c r="AS113" s="658" t="n"/>
      <c r="AT113" s="658" t="n"/>
      <c r="AU113" s="658" t="n"/>
      <c r="AV113" s="658" t="n"/>
      <c r="AW113" s="658" t="n"/>
      <c r="AX113" s="658" t="n"/>
      <c r="AY113" s="658" t="n"/>
      <c r="AZ113" s="658" t="n"/>
    </row>
    <row r="114" ht="15.75" customFormat="1" customHeight="1" s="815">
      <c r="A114" s="2013" t="n"/>
      <c r="B114" s="2447" t="n"/>
      <c r="C114" s="11403" t="n"/>
      <c r="D114" s="11403" t="n"/>
      <c r="E114" s="11403" t="n"/>
      <c r="F114" s="11403" t="n"/>
      <c r="G114" s="11403" t="n"/>
      <c r="H114" s="11403" t="n"/>
      <c r="I114" s="11403" t="n"/>
      <c r="J114" s="11403" t="n"/>
      <c r="K114" s="11403" t="n"/>
      <c r="L114" s="11403" t="n"/>
      <c r="M114" s="11403" t="n"/>
      <c r="N114" s="11403" t="n"/>
      <c r="O114" s="11403" t="n"/>
      <c r="P114" s="11403" t="n"/>
      <c r="Q114" s="88" t="n"/>
      <c r="R114" s="88" t="n"/>
      <c r="S114" s="88" t="n"/>
      <c r="T114" s="88" t="n"/>
      <c r="U114" s="3931" t="n"/>
      <c r="V114" s="88" t="n"/>
      <c r="W114" s="3931" t="n"/>
      <c r="X114" s="88" t="n"/>
      <c r="Y114" s="88" t="n"/>
      <c r="Z114" s="88" t="n"/>
      <c r="AA114" s="88" t="n"/>
      <c r="AB114" s="88" t="n"/>
      <c r="AC114" s="88" t="n"/>
      <c r="AD114" s="88" t="n"/>
      <c r="AE114" s="88" t="n"/>
      <c r="AF114" s="88" t="n"/>
      <c r="AG114" s="88" t="n"/>
      <c r="AH114" s="2052" t="inlineStr">
        <is>
          <t>Form 8863</t>
        </is>
      </c>
      <c r="AI114" s="88" t="n"/>
      <c r="AJ114" s="2052">
        <f>"("&amp;TaxYear&amp;")"</f>
        <v/>
      </c>
      <c r="AK114" s="2013" t="n"/>
      <c r="AL114" s="2013" t="n"/>
      <c r="AM114" s="2013" t="n"/>
      <c r="AN114" s="6996" t="n"/>
      <c r="AO114" s="6996" t="n"/>
      <c r="AP114" s="11602" t="n"/>
      <c r="AQ114" s="658" t="n"/>
      <c r="AR114" s="658" t="n"/>
      <c r="AS114" s="658" t="n"/>
      <c r="AT114" s="658" t="n"/>
      <c r="AU114" s="658" t="n"/>
      <c r="AV114" s="658" t="n"/>
      <c r="AW114" s="658" t="n"/>
      <c r="AX114" s="658" t="n"/>
      <c r="AY114" s="658" t="n"/>
      <c r="AZ114" s="658" t="n"/>
    </row>
    <row r="115" ht="18" customFormat="1" customHeight="1" s="815" thickBot="1">
      <c r="A115" s="2013" t="n"/>
      <c r="B115" s="721">
        <f>"Form 8863 ("&amp;TaxYear&amp;")"</f>
        <v/>
      </c>
      <c r="C115" s="721" t="n"/>
      <c r="D115" s="721" t="n"/>
      <c r="E115" s="721" t="n"/>
      <c r="F115" s="721" t="n"/>
      <c r="G115" s="721" t="n"/>
      <c r="H115" s="721" t="n"/>
      <c r="I115" s="721" t="n"/>
      <c r="J115" s="721" t="n"/>
      <c r="K115" s="721" t="n"/>
      <c r="L115" s="721" t="n"/>
      <c r="M115" s="721" t="n"/>
      <c r="N115" s="721" t="n"/>
      <c r="O115" s="721" t="n"/>
      <c r="P115" s="721" t="n"/>
      <c r="Q115" s="721" t="n"/>
      <c r="R115" s="721" t="n"/>
      <c r="S115" s="721" t="n"/>
      <c r="T115" s="721" t="n"/>
      <c r="U115" s="721" t="n"/>
      <c r="V115" s="721" t="n"/>
      <c r="W115" s="721" t="n"/>
      <c r="X115" s="721" t="n"/>
      <c r="Y115" s="721" t="n"/>
      <c r="Z115" s="721" t="n"/>
      <c r="AA115" s="721" t="n"/>
      <c r="AB115" s="721" t="n"/>
      <c r="AC115" s="721" t="n"/>
      <c r="AD115" s="721" t="n"/>
      <c r="AE115" s="721" t="n"/>
      <c r="AF115" s="721" t="n"/>
      <c r="AG115" s="721" t="n"/>
      <c r="AH115" s="721" t="n"/>
      <c r="AI115" s="2053" t="inlineStr">
        <is>
          <t>Page</t>
        </is>
      </c>
      <c r="AJ115" s="2054" t="n">
        <v>2</v>
      </c>
      <c r="AK115" s="2013" t="n"/>
      <c r="AL115" s="2013" t="n"/>
      <c r="AM115" s="2013" t="n"/>
      <c r="AN115" s="11602" t="n"/>
      <c r="AO115" s="11602" t="n"/>
      <c r="AP115" s="11602" t="n"/>
      <c r="AQ115" s="658" t="n"/>
      <c r="AR115" s="658" t="n"/>
      <c r="AS115" s="658" t="n"/>
      <c r="AT115" s="658" t="n"/>
      <c r="AU115" s="658" t="n"/>
      <c r="AV115" s="658" t="n"/>
      <c r="AW115" s="658" t="n"/>
      <c r="AX115" s="658" t="n"/>
      <c r="AY115" s="658" t="n"/>
      <c r="AZ115" s="658" t="n"/>
    </row>
    <row r="116" ht="16.5" customFormat="1" customHeight="1" s="815" thickTop="1">
      <c r="A116" s="2013" t="n"/>
      <c r="B116" s="2002" t="inlineStr">
        <is>
          <t>Name(s) shown on return</t>
        </is>
      </c>
      <c r="C116" s="413" t="n"/>
      <c r="D116" s="413" t="n"/>
      <c r="E116" s="413" t="n"/>
      <c r="F116" s="413" t="n"/>
      <c r="G116" s="413" t="n"/>
      <c r="H116" s="413" t="n"/>
      <c r="I116" s="413" t="n"/>
      <c r="J116" s="413" t="n"/>
      <c r="K116" s="413" t="n"/>
      <c r="L116" s="413" t="n"/>
      <c r="M116" s="413" t="n"/>
      <c r="N116" s="413" t="n"/>
      <c r="O116" s="413" t="n"/>
      <c r="P116" s="413" t="n"/>
      <c r="Q116" s="413" t="n"/>
      <c r="R116" s="413" t="n"/>
      <c r="S116" s="413" t="n"/>
      <c r="T116" s="413" t="n"/>
      <c r="U116" s="413" t="n"/>
      <c r="V116" s="413" t="n"/>
      <c r="W116" s="413" t="n"/>
      <c r="X116" s="413" t="n"/>
      <c r="Y116" s="413" t="n"/>
      <c r="Z116" s="413" t="n"/>
      <c r="AA116" s="413" t="n"/>
      <c r="AB116" s="413" t="n"/>
      <c r="AC116" s="11176" t="inlineStr">
        <is>
          <t>Your social security number</t>
        </is>
      </c>
      <c r="AD116" s="11713" t="n"/>
      <c r="AE116" s="11713" t="n"/>
      <c r="AF116" s="11713" t="n"/>
      <c r="AG116" s="11713" t="n"/>
      <c r="AH116" s="11713" t="n"/>
      <c r="AI116" s="11713" t="n"/>
      <c r="AJ116" s="11713" t="n"/>
      <c r="AK116" s="2013" t="n"/>
      <c r="AL116" s="2013" t="n"/>
      <c r="AM116" s="2013" t="n"/>
      <c r="AN116" s="11602" t="n"/>
      <c r="AO116" s="11602" t="n"/>
      <c r="AP116" s="11602" t="n"/>
      <c r="AQ116" s="658" t="n"/>
      <c r="AR116" s="658" t="n"/>
      <c r="AS116" s="658" t="n"/>
      <c r="AT116" s="658" t="n"/>
      <c r="AU116" s="658" t="n"/>
      <c r="AV116" s="658" t="n"/>
      <c r="AW116" s="658" t="n"/>
      <c r="AX116" s="658" t="n"/>
      <c r="AY116" s="658" t="n"/>
      <c r="AZ116" s="658" t="n"/>
    </row>
    <row r="117" ht="21.75" customFormat="1" customHeight="1" s="815">
      <c r="A117" s="2013" t="n"/>
      <c r="B117" s="12740">
        <f>Names</f>
        <v/>
      </c>
      <c r="C117" s="8412" t="n"/>
      <c r="D117" s="8412" t="n"/>
      <c r="E117" s="8412" t="n"/>
      <c r="F117" s="8412" t="n"/>
      <c r="G117" s="8412" t="n"/>
      <c r="H117" s="8412" t="n"/>
      <c r="I117" s="8412" t="n"/>
      <c r="J117" s="8412" t="n"/>
      <c r="K117" s="8412" t="n"/>
      <c r="L117" s="8412" t="n"/>
      <c r="M117" s="8412" t="n"/>
      <c r="N117" s="8412" t="n"/>
      <c r="O117" s="8412" t="n"/>
      <c r="P117" s="8412" t="n"/>
      <c r="Q117" s="8412" t="n"/>
      <c r="R117" s="8412" t="n"/>
      <c r="S117" s="8412" t="n"/>
      <c r="T117" s="8412" t="n"/>
      <c r="U117" s="8412" t="n"/>
      <c r="V117" s="8412" t="n"/>
      <c r="W117" s="8412" t="n"/>
      <c r="X117" s="8412" t="n"/>
      <c r="Y117" s="8412" t="n"/>
      <c r="Z117" s="8412" t="n"/>
      <c r="AA117" s="8412" t="n"/>
      <c r="AB117" s="11734" t="n"/>
      <c r="AC117" s="12741">
        <f>IF(OR(NoSSN,SS_Yours=""),"",SS_Yours)</f>
        <v/>
      </c>
      <c r="AD117" s="8412" t="n"/>
      <c r="AE117" s="8412" t="n"/>
      <c r="AF117" s="8412" t="n"/>
      <c r="AG117" s="8412" t="n"/>
      <c r="AH117" s="8412" t="n"/>
      <c r="AI117" s="8412" t="n"/>
      <c r="AJ117" s="8412" t="n"/>
      <c r="AK117" s="2013" t="n"/>
      <c r="AL117" s="2013" t="n"/>
      <c r="AM117" s="2013" t="n"/>
      <c r="AN117" s="11602" t="n"/>
      <c r="AO117" s="11602" t="n"/>
      <c r="AP117" s="11602" t="n"/>
      <c r="AQ117" s="658" t="n"/>
      <c r="AR117" s="658" t="n"/>
      <c r="AS117" s="658" t="n"/>
      <c r="AT117" s="658" t="n"/>
      <c r="AU117" s="658" t="n"/>
      <c r="AV117" s="658" t="n"/>
      <c r="AW117" s="658" t="n"/>
      <c r="AX117" s="658" t="n"/>
      <c r="AY117" s="658" t="n"/>
      <c r="AZ117" s="658" t="n"/>
    </row>
    <row r="118" ht="6" customFormat="1" customHeight="1" s="815">
      <c r="A118" s="2013" t="n"/>
      <c r="B118" s="4543" t="n"/>
      <c r="C118" s="4543" t="n"/>
      <c r="D118" s="4543" t="inlineStr">
        <is>
          <t xml:space="preserve">
</t>
        </is>
      </c>
      <c r="E118" s="4543" t="n"/>
      <c r="F118" s="4543" t="n"/>
      <c r="G118" s="4543" t="n"/>
      <c r="H118" s="4543" t="n"/>
      <c r="I118" s="4543" t="n"/>
      <c r="J118" s="4543" t="n"/>
      <c r="K118" s="4543" t="n"/>
      <c r="L118" s="4543" t="n"/>
      <c r="M118" s="4543" t="n"/>
      <c r="N118" s="4543" t="n"/>
      <c r="O118" s="4543" t="n"/>
      <c r="P118" s="4543" t="n"/>
      <c r="Q118" s="4543" t="n"/>
      <c r="R118" s="4543" t="n"/>
      <c r="S118" s="4543" t="n"/>
      <c r="T118" s="4543" t="n"/>
      <c r="U118" s="4543" t="n"/>
      <c r="V118" s="4543" t="n"/>
      <c r="W118" s="4543" t="n"/>
      <c r="X118" s="4543" t="n"/>
      <c r="Y118" s="4543" t="n"/>
      <c r="Z118" s="4543" t="n"/>
      <c r="AA118" s="4543" t="n"/>
      <c r="AB118" s="4543" t="n"/>
      <c r="AC118" s="4543" t="n"/>
      <c r="AD118" s="4543" t="n"/>
      <c r="AE118" s="4543" t="n"/>
      <c r="AF118" s="4543" t="n"/>
      <c r="AG118" s="4543" t="n"/>
      <c r="AH118" s="4543" t="n"/>
      <c r="AI118" s="4543" t="n"/>
      <c r="AJ118" s="4543" t="n"/>
      <c r="AK118" s="2013" t="n"/>
      <c r="AL118" s="2013" t="n"/>
      <c r="AM118" s="2013" t="n"/>
      <c r="AN118" s="11602" t="n"/>
      <c r="AO118" s="11602" t="n"/>
      <c r="AP118" s="11602" t="n"/>
      <c r="AQ118" s="658" t="n"/>
      <c r="AR118" s="658" t="n"/>
      <c r="AS118" s="658" t="n"/>
      <c r="AT118" s="658" t="n"/>
      <c r="AU118" s="658" t="n"/>
      <c r="AV118" s="658" t="n"/>
      <c r="AW118" s="658" t="n"/>
      <c r="AX118" s="658" t="n"/>
      <c r="AY118" s="658" t="n"/>
      <c r="AZ118" s="658" t="n"/>
    </row>
    <row r="119" ht="15.75" customFormat="1" customHeight="1" s="1115">
      <c r="A119" s="2290" t="n"/>
      <c r="B119" s="5969" t="inlineStr">
        <is>
          <t>Caution:  Complete Part III for each student for whom you’re claiming either the American opportunity credit or lifetime</t>
        </is>
      </c>
      <c r="C119" s="4492" t="n"/>
      <c r="D119" s="6534" t="n"/>
      <c r="E119" s="2325" t="n"/>
      <c r="F119" s="2325" t="n"/>
      <c r="G119" s="2325" t="n"/>
      <c r="H119" s="2325" t="n"/>
      <c r="I119" s="2325" t="n"/>
      <c r="J119" s="2325" t="n"/>
      <c r="K119" s="2325" t="n"/>
      <c r="L119" s="2325" t="n"/>
      <c r="M119" s="2325" t="n"/>
      <c r="N119" s="2325" t="n"/>
      <c r="O119" s="2325" t="n"/>
      <c r="P119" s="2325" t="n"/>
      <c r="Q119" s="2325" t="n"/>
      <c r="R119" s="2325" t="n"/>
      <c r="S119" s="2325" t="n"/>
      <c r="T119" s="2325" t="n"/>
      <c r="U119" s="2325" t="n"/>
      <c r="V119" s="2325" t="n"/>
      <c r="W119" s="2325" t="n"/>
      <c r="X119" s="2325" t="n"/>
      <c r="Y119" s="2325" t="n"/>
      <c r="Z119" s="2325" t="n"/>
      <c r="AA119" s="2325" t="n"/>
      <c r="AB119" s="2325" t="n"/>
      <c r="AC119" s="2325" t="n"/>
      <c r="AD119" s="2325" t="n"/>
      <c r="AE119" s="2325" t="n"/>
      <c r="AF119" s="2325" t="n"/>
      <c r="AG119" s="2325" t="n"/>
      <c r="AH119" s="2325" t="n"/>
      <c r="AI119" s="2325" t="n"/>
      <c r="AJ119" s="2325" t="n"/>
      <c r="AK119" s="2290" t="n"/>
      <c r="AL119" s="2290" t="n"/>
      <c r="AM119" s="2290" t="n"/>
      <c r="AN119" s="4520" t="n"/>
      <c r="AO119" s="4520" t="n"/>
      <c r="AP119" s="4521" t="n"/>
      <c r="AQ119" s="1114" t="n"/>
      <c r="AR119" s="1114" t="n"/>
      <c r="AS119" s="1114" t="n"/>
      <c r="AT119" s="1114" t="n"/>
      <c r="AU119" s="1114" t="n"/>
      <c r="AV119" s="1114" t="n"/>
      <c r="AW119" s="1114" t="n"/>
      <c r="AX119" s="1114" t="n"/>
      <c r="AY119" s="1114" t="n"/>
      <c r="AZ119" s="1114" t="n"/>
      <c r="BA119" s="2293" t="n"/>
      <c r="BB119" s="2293" t="n"/>
    </row>
    <row r="120" ht="15.75" customFormat="1" customHeight="1" s="1115">
      <c r="A120" s="2290" t="n"/>
      <c r="B120" s="5969" t="inlineStr">
        <is>
          <t>learning credit. Use additional copies of page 2 as needed for each student.</t>
        </is>
      </c>
      <c r="C120" s="4492" t="n"/>
      <c r="D120" s="2325" t="n"/>
      <c r="E120" s="2325" t="n"/>
      <c r="F120" s="2325" t="n"/>
      <c r="G120" s="2325" t="n"/>
      <c r="H120" s="2325" t="n"/>
      <c r="I120" s="2325" t="n"/>
      <c r="J120" s="2325" t="n"/>
      <c r="K120" s="2325" t="n"/>
      <c r="L120" s="2325" t="n"/>
      <c r="M120" s="2325" t="n"/>
      <c r="N120" s="2325" t="n"/>
      <c r="O120" s="2325" t="n"/>
      <c r="P120" s="2325" t="n"/>
      <c r="Q120" s="2325" t="n"/>
      <c r="R120" s="2325" t="n"/>
      <c r="S120" s="2325" t="n"/>
      <c r="T120" s="2325" t="n"/>
      <c r="U120" s="2325" t="n"/>
      <c r="V120" s="2325" t="n"/>
      <c r="W120" s="2325" t="n"/>
      <c r="X120" s="2325" t="n"/>
      <c r="Y120" s="2325" t="n"/>
      <c r="Z120" s="2325" t="n"/>
      <c r="AA120" s="2325" t="n"/>
      <c r="AB120" s="2325" t="n"/>
      <c r="AC120" s="2325" t="n"/>
      <c r="AD120" s="2325" t="n"/>
      <c r="AE120" s="2325" t="n"/>
      <c r="AF120" s="2325" t="n"/>
      <c r="AG120" s="2325" t="n"/>
      <c r="AH120" s="2325" t="n"/>
      <c r="AI120" s="2325" t="n"/>
      <c r="AJ120" s="2325" t="n"/>
      <c r="AK120" s="2290" t="n"/>
      <c r="AL120" s="2290" t="n"/>
      <c r="AM120" s="2290" t="n"/>
      <c r="AN120" s="4520" t="n"/>
      <c r="AO120" s="4520" t="n"/>
      <c r="AP120" s="4521" t="n"/>
      <c r="AQ120" s="1114" t="n"/>
      <c r="AR120" s="1114" t="n"/>
      <c r="AS120" s="1114" t="n"/>
      <c r="AT120" s="1114" t="n"/>
      <c r="AU120" s="1114" t="n"/>
      <c r="AV120" s="1114" t="n"/>
      <c r="AW120" s="1114" t="n"/>
      <c r="AX120" s="1114" t="n"/>
      <c r="AY120" s="1114" t="n"/>
      <c r="AZ120" s="1114" t="n"/>
      <c r="BA120" s="2293" t="n"/>
      <c r="BB120" s="2293" t="n"/>
    </row>
    <row r="121" ht="7.5" customFormat="1" customHeight="1" s="815">
      <c r="A121" s="2013" t="n"/>
      <c r="B121" s="4544" t="n"/>
      <c r="C121" s="4544" t="n"/>
      <c r="D121" s="4544" t="n"/>
      <c r="E121" s="4544" t="n"/>
      <c r="F121" s="4544" t="n"/>
      <c r="G121" s="4544" t="n"/>
      <c r="H121" s="4544" t="n"/>
      <c r="I121" s="4544" t="n"/>
      <c r="J121" s="4544" t="n"/>
      <c r="K121" s="4544" t="n"/>
      <c r="L121" s="4544" t="n"/>
      <c r="M121" s="4544" t="n"/>
      <c r="N121" s="4544" t="n"/>
      <c r="O121" s="4544" t="n"/>
      <c r="P121" s="4544" t="n"/>
      <c r="Q121" s="4544" t="n"/>
      <c r="R121" s="4544" t="n"/>
      <c r="S121" s="4544" t="n"/>
      <c r="T121" s="4544" t="n"/>
      <c r="U121" s="4544" t="n"/>
      <c r="V121" s="4544" t="n"/>
      <c r="W121" s="4544" t="n"/>
      <c r="X121" s="4544" t="n"/>
      <c r="Y121" s="4544" t="n"/>
      <c r="Z121" s="4544" t="n"/>
      <c r="AA121" s="4544" t="n"/>
      <c r="AB121" s="4544" t="n"/>
      <c r="AC121" s="4544" t="n"/>
      <c r="AD121" s="4544" t="n"/>
      <c r="AE121" s="4544" t="n"/>
      <c r="AF121" s="4544" t="n"/>
      <c r="AG121" s="4544" t="n"/>
      <c r="AH121" s="4544" t="n"/>
      <c r="AI121" s="4544" t="n"/>
      <c r="AJ121" s="4544" t="n"/>
      <c r="AK121" s="2013" t="n"/>
      <c r="AL121" s="2013" t="n"/>
      <c r="AM121" s="2013" t="n"/>
      <c r="AN121" s="11602" t="n"/>
      <c r="AO121" s="11602" t="n"/>
      <c r="AP121" s="11602" t="n"/>
      <c r="AQ121" s="658" t="n"/>
      <c r="AR121" s="658" t="n"/>
      <c r="AS121" s="658" t="n"/>
      <c r="AT121" s="658" t="n"/>
      <c r="AU121" s="658" t="n"/>
      <c r="AV121" s="658" t="n"/>
      <c r="AW121" s="658" t="n"/>
      <c r="AX121" s="658" t="n"/>
      <c r="AY121" s="658" t="n"/>
      <c r="AZ121" s="658" t="n"/>
    </row>
    <row r="122" ht="19.5" customFormat="1" customHeight="1" s="815">
      <c r="A122" s="2013" t="n"/>
      <c r="B122" s="7938" t="inlineStr">
        <is>
          <t>Part III</t>
        </is>
      </c>
      <c r="C122" s="8412" t="n"/>
      <c r="D122" s="3879" t="n"/>
      <c r="E122" s="2873" t="inlineStr">
        <is>
          <t>Student and Educational Institution Information. See instructions.</t>
        </is>
      </c>
      <c r="F122" s="413" t="n"/>
      <c r="G122" s="413" t="n"/>
      <c r="H122" s="413" t="n"/>
      <c r="I122" s="413" t="n"/>
      <c r="J122" s="413" t="n"/>
      <c r="K122" s="413" t="n"/>
      <c r="L122" s="413" t="n"/>
      <c r="M122" s="413" t="n"/>
      <c r="N122" s="413" t="n"/>
      <c r="O122" s="413" t="n"/>
      <c r="P122" s="413" t="n"/>
      <c r="Q122" s="413" t="n"/>
      <c r="R122" s="413" t="n"/>
      <c r="S122" s="413" t="n"/>
      <c r="T122" s="413" t="n"/>
      <c r="U122" s="413" t="n"/>
      <c r="V122" s="413" t="n"/>
      <c r="W122" s="413" t="n"/>
      <c r="X122" s="413" t="n"/>
      <c r="Y122" s="413" t="n"/>
      <c r="Z122" s="413" t="n"/>
      <c r="AA122" s="413" t="n"/>
      <c r="AB122" s="413" t="n"/>
      <c r="AC122" s="413" t="n"/>
      <c r="AD122" s="413" t="n"/>
      <c r="AE122" s="413" t="n"/>
      <c r="AF122" s="413" t="n"/>
      <c r="AG122" s="413" t="n"/>
      <c r="AH122" s="413" t="n"/>
      <c r="AI122" s="413" t="n"/>
      <c r="AJ122" s="413" t="n"/>
      <c r="AK122" s="2013" t="n"/>
      <c r="AL122" s="2013" t="n"/>
      <c r="AM122" s="2013" t="n"/>
      <c r="AN122" s="11602" t="n"/>
      <c r="AO122" s="11602" t="n"/>
      <c r="AP122" s="11602" t="n"/>
      <c r="AQ122" s="658" t="n"/>
      <c r="AR122" s="658" t="n"/>
      <c r="AS122" s="658" t="n"/>
      <c r="AT122" s="658" t="n"/>
      <c r="AU122" s="658" t="n"/>
      <c r="AV122" s="658" t="n"/>
      <c r="AW122" s="658" t="n"/>
      <c r="AX122" s="658" t="n"/>
      <c r="AY122" s="658" t="n"/>
      <c r="AZ122" s="658" t="n"/>
    </row>
    <row r="123" ht="16.5" customFormat="1" customHeight="1" s="815">
      <c r="A123" s="2013" t="n"/>
      <c r="B123" s="3827" t="inlineStr">
        <is>
          <t>20</t>
        </is>
      </c>
      <c r="C123" s="11602" t="n"/>
      <c r="D123" s="4545" t="inlineStr">
        <is>
          <t>Student name (as shown on page 1 of your tax return)</t>
        </is>
      </c>
      <c r="E123" s="406" t="n"/>
      <c r="F123" s="406" t="n"/>
      <c r="G123" s="406" t="n"/>
      <c r="H123" s="406" t="n"/>
      <c r="I123" s="406" t="n"/>
      <c r="J123" s="406" t="n"/>
      <c r="K123" s="406" t="n"/>
      <c r="L123" s="406" t="n"/>
      <c r="M123" s="407" t="n"/>
      <c r="N123" s="9764" t="n"/>
      <c r="O123" s="565" t="n"/>
      <c r="P123" s="406" t="n"/>
      <c r="Q123" s="406" t="n"/>
      <c r="R123" s="565" t="n"/>
      <c r="S123" s="565" t="n"/>
      <c r="T123" s="9764" t="n">
        <v>21</v>
      </c>
      <c r="U123" s="4545" t="inlineStr">
        <is>
          <t>Student social security number (as shown on page 1 of</t>
        </is>
      </c>
      <c r="V123" s="565" t="n"/>
      <c r="W123" s="565" t="n"/>
      <c r="X123" s="565" t="n"/>
      <c r="Y123" s="565" t="n"/>
      <c r="Z123" s="565" t="n"/>
      <c r="AA123" s="565" t="n"/>
      <c r="AB123" s="4546" t="n"/>
      <c r="AC123" s="565" t="n"/>
      <c r="AD123" s="565" t="n"/>
      <c r="AE123" s="565" t="n"/>
      <c r="AF123" s="565" t="n"/>
      <c r="AG123" s="406" t="n"/>
      <c r="AH123" s="565" t="n"/>
      <c r="AI123" s="565" t="n"/>
      <c r="AJ123" s="565" t="n"/>
      <c r="AK123" s="2013" t="n"/>
      <c r="AL123" s="2013" t="n"/>
      <c r="AM123" s="2013" t="n"/>
      <c r="AN123" s="11602" t="n"/>
      <c r="AO123" s="11602" t="n"/>
      <c r="AP123" s="11602" t="n"/>
      <c r="AQ123" s="658" t="n"/>
      <c r="AR123" s="658" t="n"/>
      <c r="AS123" s="658" t="n"/>
      <c r="AT123" s="658" t="n"/>
      <c r="AU123" s="658" t="n"/>
      <c r="AV123" s="658" t="n"/>
      <c r="AW123" s="658" t="n"/>
      <c r="AX123" s="658" t="n"/>
      <c r="AY123" s="658" t="n"/>
      <c r="AZ123" s="658" t="n"/>
    </row>
    <row r="124" ht="15" customFormat="1" customHeight="1" s="815">
      <c r="A124" s="2013" t="n"/>
      <c r="B124" s="3827" t="n"/>
      <c r="C124" s="11602" t="n"/>
      <c r="D124" s="11181" t="n"/>
      <c r="E124" s="194" t="n"/>
      <c r="F124" s="194" t="n"/>
      <c r="G124" s="194" t="n"/>
      <c r="H124" s="194" t="n"/>
      <c r="I124" s="194" t="n"/>
      <c r="J124" s="194" t="n"/>
      <c r="K124" s="194" t="n"/>
      <c r="L124" s="194" t="n"/>
      <c r="M124" s="194" t="n"/>
      <c r="N124" s="194" t="n"/>
      <c r="O124" s="194" t="n"/>
      <c r="P124" s="194" t="n"/>
      <c r="Q124" s="194" t="n"/>
      <c r="R124" s="194" t="n"/>
      <c r="S124" s="11726" t="n"/>
      <c r="T124" s="12742" t="n"/>
      <c r="U124" s="2100" t="inlineStr">
        <is>
          <t>your tax return)</t>
        </is>
      </c>
      <c r="V124" s="12743" t="n"/>
      <c r="W124" s="12743" t="n"/>
      <c r="X124" s="12743" t="n"/>
      <c r="Y124" s="12743" t="n"/>
      <c r="Z124" s="12743" t="n"/>
      <c r="AA124" s="12743" t="n"/>
      <c r="AB124" s="12743" t="n"/>
      <c r="AC124" s="12743" t="n"/>
      <c r="AD124" s="12743" t="n"/>
      <c r="AE124" s="12743" t="n"/>
      <c r="AF124" s="12743" t="n"/>
      <c r="AG124" s="12743" t="n"/>
      <c r="AH124" s="12743" t="n"/>
      <c r="AI124" s="12743" t="n"/>
      <c r="AJ124" s="12743" t="n"/>
      <c r="AK124" s="2013" t="n"/>
      <c r="AL124" s="2013" t="n"/>
      <c r="AM124" s="2013" t="n"/>
      <c r="AN124" s="11602" t="n"/>
      <c r="AO124" s="11602" t="n"/>
      <c r="AP124" s="11602" t="n"/>
      <c r="AQ124" s="658" t="n"/>
      <c r="AR124" s="658" t="n"/>
      <c r="AS124" s="658" t="n"/>
      <c r="AT124" s="658" t="n"/>
      <c r="AU124" s="658" t="n"/>
      <c r="AV124" s="658" t="n"/>
      <c r="AW124" s="658" t="n"/>
      <c r="AX124" s="658" t="n"/>
      <c r="AY124" s="658" t="n"/>
      <c r="AZ124" s="658" t="n"/>
    </row>
    <row r="125" ht="18" customFormat="1" customHeight="1" s="815">
      <c r="A125" s="2013" t="n"/>
      <c r="B125" s="3827" t="n"/>
      <c r="C125" s="11602" t="n"/>
      <c r="D125" s="11717" t="n"/>
      <c r="E125" s="11717" t="n"/>
      <c r="F125" s="11717" t="n"/>
      <c r="G125" s="11717" t="n"/>
      <c r="H125" s="11717" t="n"/>
      <c r="I125" s="11717" t="n"/>
      <c r="J125" s="11717" t="n"/>
      <c r="K125" s="11717" t="n"/>
      <c r="L125" s="11717" t="n"/>
      <c r="M125" s="11717" t="n"/>
      <c r="N125" s="11717" t="n"/>
      <c r="O125" s="11717" t="n"/>
      <c r="P125" s="11717" t="n"/>
      <c r="Q125" s="11717" t="n"/>
      <c r="R125" s="11717" t="n"/>
      <c r="S125" s="11718" t="n"/>
      <c r="T125" s="12744" t="n"/>
      <c r="U125" s="12745" t="n"/>
      <c r="V125" s="11717" t="n"/>
      <c r="W125" s="11717" t="n"/>
      <c r="X125" s="11717" t="n"/>
      <c r="Y125" s="11717" t="n"/>
      <c r="Z125" s="11717" t="n"/>
      <c r="AA125" s="11717" t="n"/>
      <c r="AB125" s="11717" t="n"/>
      <c r="AC125" s="11717" t="n"/>
      <c r="AD125" s="11717" t="n"/>
      <c r="AE125" s="11717" t="n"/>
      <c r="AF125" s="11717" t="n"/>
      <c r="AG125" s="11717" t="n"/>
      <c r="AH125" s="11717" t="n"/>
      <c r="AI125" s="11717" t="n"/>
      <c r="AJ125" s="11717" t="n"/>
      <c r="AK125" s="2013" t="n"/>
      <c r="AL125" s="2013" t="n"/>
      <c r="AM125" s="2013" t="n"/>
      <c r="AN125" s="11602" t="n"/>
      <c r="AO125" s="11602" t="n"/>
      <c r="AP125" s="11602" t="n"/>
      <c r="AQ125" s="658" t="n"/>
      <c r="AR125" s="658" t="n"/>
      <c r="AS125" s="658" t="n"/>
      <c r="AT125" s="658" t="n"/>
      <c r="AU125" s="658" t="n"/>
      <c r="AV125" s="658" t="n"/>
      <c r="AW125" s="658" t="n"/>
      <c r="AX125" s="658" t="n"/>
      <c r="AY125" s="658" t="n"/>
      <c r="AZ125" s="658" t="n"/>
    </row>
    <row r="126" ht="16.5" customFormat="1" customHeight="1" s="815">
      <c r="A126" s="2013" t="n"/>
      <c r="B126" s="3844" t="n">
        <v>22</v>
      </c>
      <c r="C126" s="773" t="n"/>
      <c r="D126" s="1996" t="inlineStr">
        <is>
          <t>Educational institution information (see instructions)</t>
        </is>
      </c>
      <c r="E126" s="413" t="n"/>
      <c r="F126" s="413" t="n"/>
      <c r="G126" s="413" t="n"/>
      <c r="H126" s="413" t="n"/>
      <c r="I126" s="413" t="n"/>
      <c r="J126" s="413" t="n"/>
      <c r="K126" s="413" t="n"/>
      <c r="L126" s="413" t="n"/>
      <c r="M126" s="413" t="n"/>
      <c r="N126" s="413" t="n"/>
      <c r="O126" s="413" t="n"/>
      <c r="P126" s="413" t="n"/>
      <c r="Q126" s="413" t="n"/>
      <c r="R126" s="413" t="n"/>
      <c r="S126" s="413" t="n"/>
      <c r="T126" s="413" t="n"/>
      <c r="U126" s="413" t="n"/>
      <c r="V126" s="413" t="n"/>
      <c r="W126" s="413" t="n"/>
      <c r="X126" s="413" t="n"/>
      <c r="Y126" s="413" t="n"/>
      <c r="Z126" s="413" t="n"/>
      <c r="AA126" s="413" t="n"/>
      <c r="AB126" s="413" t="n"/>
      <c r="AC126" s="413" t="n"/>
      <c r="AD126" s="413" t="n"/>
      <c r="AE126" s="413" t="n"/>
      <c r="AF126" s="413" t="n"/>
      <c r="AG126" s="413" t="n"/>
      <c r="AH126" s="413" t="n"/>
      <c r="AI126" s="413" t="n"/>
      <c r="AJ126" s="413" t="n"/>
      <c r="AK126" s="2013" t="n"/>
      <c r="AL126" s="2013" t="n"/>
      <c r="AM126" s="2013" t="n"/>
      <c r="AN126" s="11602" t="n"/>
      <c r="AO126" s="11602" t="n"/>
      <c r="AP126" s="11602" t="n"/>
      <c r="AQ126" s="658" t="n"/>
      <c r="AR126" s="658" t="n"/>
      <c r="AS126" s="658" t="n"/>
      <c r="AT126" s="658" t="n"/>
      <c r="AU126" s="658" t="n"/>
      <c r="AV126" s="658" t="n"/>
      <c r="AW126" s="658" t="n"/>
      <c r="AX126" s="658" t="n"/>
      <c r="AY126" s="658" t="n"/>
      <c r="AZ126" s="658" t="n"/>
    </row>
    <row r="127" ht="16.5" customFormat="1" customHeight="1" s="815">
      <c r="A127" s="2013" t="n"/>
      <c r="B127" s="3827" t="n"/>
      <c r="C127" s="11602" t="n"/>
      <c r="D127" s="8384" t="inlineStr">
        <is>
          <t>a.</t>
        </is>
      </c>
      <c r="E127" s="565" t="inlineStr">
        <is>
          <t>Name of first educational institution</t>
        </is>
      </c>
      <c r="F127" s="406" t="n"/>
      <c r="G127" s="406" t="n"/>
      <c r="H127" s="406" t="n"/>
      <c r="I127" s="406" t="n"/>
      <c r="J127" s="406" t="n"/>
      <c r="K127" s="406" t="n"/>
      <c r="L127" s="406" t="n"/>
      <c r="M127" s="406" t="n"/>
      <c r="N127" s="8384" t="n"/>
      <c r="O127" s="565" t="n"/>
      <c r="P127" s="406" t="n"/>
      <c r="Q127" s="406" t="n"/>
      <c r="R127" s="565" t="n"/>
      <c r="S127" s="3542" t="n"/>
      <c r="T127" s="9764" t="n"/>
      <c r="U127" s="8384" t="inlineStr">
        <is>
          <t>b.</t>
        </is>
      </c>
      <c r="V127" s="565" t="inlineStr">
        <is>
          <t>Name of second educational institution (if any)</t>
        </is>
      </c>
      <c r="W127" s="565" t="n"/>
      <c r="X127" s="565" t="n"/>
      <c r="Y127" s="565" t="n"/>
      <c r="Z127" s="565" t="n"/>
      <c r="AA127" s="565" t="n"/>
      <c r="AB127" s="4546" t="n"/>
      <c r="AC127" s="565" t="n"/>
      <c r="AD127" s="565" t="n"/>
      <c r="AE127" s="565" t="n"/>
      <c r="AF127" s="406" t="n"/>
      <c r="AG127" s="565" t="n"/>
      <c r="AH127" s="565" t="n"/>
      <c r="AI127" s="565" t="n"/>
      <c r="AJ127" s="565" t="n"/>
      <c r="AK127" s="2013" t="n"/>
      <c r="AL127" s="2013" t="n"/>
      <c r="AM127" s="2013" t="n"/>
      <c r="AN127" s="11602" t="n"/>
      <c r="AO127" s="11602" t="n"/>
      <c r="AP127" s="11602" t="n"/>
      <c r="AQ127" s="658" t="n"/>
      <c r="AR127" s="658" t="n"/>
      <c r="AS127" s="658" t="n"/>
      <c r="AT127" s="658" t="n"/>
      <c r="AU127" s="658" t="n"/>
      <c r="AV127" s="658" t="n"/>
      <c r="AW127" s="658" t="n"/>
      <c r="AX127" s="658" t="n"/>
      <c r="AY127" s="658" t="n"/>
      <c r="AZ127" s="658" t="n"/>
    </row>
    <row r="128" ht="18" customFormat="1" customHeight="1" s="815">
      <c r="A128" s="2013" t="n"/>
      <c r="B128" s="3827" t="n"/>
      <c r="D128" s="11183" t="n"/>
      <c r="E128" s="11717" t="n"/>
      <c r="F128" s="11717" t="n"/>
      <c r="G128" s="11717" t="n"/>
      <c r="H128" s="11717" t="n"/>
      <c r="I128" s="11717" t="n"/>
      <c r="J128" s="11717" t="n"/>
      <c r="K128" s="11717" t="n"/>
      <c r="L128" s="11717" t="n"/>
      <c r="M128" s="11717" t="n"/>
      <c r="N128" s="11717" t="n"/>
      <c r="O128" s="11717" t="n"/>
      <c r="P128" s="11717" t="n"/>
      <c r="Q128" s="11717" t="n"/>
      <c r="R128" s="11717" t="n"/>
      <c r="S128" s="11718" t="n"/>
      <c r="T128" s="11168" t="n"/>
      <c r="U128" s="11717" t="n"/>
      <c r="V128" s="11717" t="n"/>
      <c r="W128" s="11717" t="n"/>
      <c r="X128" s="11717" t="n"/>
      <c r="Y128" s="11717" t="n"/>
      <c r="Z128" s="11717" t="n"/>
      <c r="AA128" s="11717" t="n"/>
      <c r="AB128" s="11717" t="n"/>
      <c r="AC128" s="11717" t="n"/>
      <c r="AD128" s="11717" t="n"/>
      <c r="AE128" s="11717" t="n"/>
      <c r="AF128" s="11717" t="n"/>
      <c r="AG128" s="11717" t="n"/>
      <c r="AH128" s="11717" t="n"/>
      <c r="AI128" s="11717" t="n"/>
      <c r="AJ128" s="11717" t="n"/>
      <c r="AK128" s="2013" t="n"/>
      <c r="AL128" s="2013" t="n"/>
      <c r="AM128" s="2013" t="n"/>
      <c r="AN128" s="11602" t="n"/>
      <c r="AO128" s="11602" t="n"/>
      <c r="AP128" s="11602" t="n"/>
      <c r="AQ128" s="658" t="n"/>
      <c r="AR128" s="658" t="n"/>
      <c r="AS128" s="658" t="n"/>
      <c r="AT128" s="658" t="n"/>
      <c r="AU128" s="658" t="n"/>
      <c r="AV128" s="658" t="n"/>
      <c r="AW128" s="658" t="n"/>
      <c r="AX128" s="658" t="n"/>
      <c r="AY128" s="658" t="n"/>
      <c r="AZ128" s="658" t="n"/>
    </row>
    <row r="129" ht="12.75" customFormat="1" customHeight="1" s="815">
      <c r="A129" s="2013" t="n"/>
      <c r="B129" s="11602" t="n"/>
      <c r="C129" s="11602" t="n"/>
      <c r="D129" s="1400" t="inlineStr">
        <is>
          <t>(1)</t>
        </is>
      </c>
      <c r="E129" s="8650" t="inlineStr">
        <is>
          <t>Address. Number and street (or P.O. box). City, town or</t>
        </is>
      </c>
      <c r="F129" s="11602" t="n"/>
      <c r="G129" s="11602" t="n"/>
      <c r="H129" s="11602" t="n"/>
      <c r="I129" s="11602" t="n"/>
      <c r="J129" s="11602" t="n"/>
      <c r="K129" s="11602" t="n"/>
      <c r="L129" s="11602" t="n"/>
      <c r="M129" s="11602" t="n"/>
      <c r="N129" s="11602" t="n"/>
      <c r="O129" s="11602" t="n"/>
      <c r="P129" s="11602" t="n"/>
      <c r="Q129" s="11602" t="n"/>
      <c r="R129" s="11602" t="n"/>
      <c r="S129" s="407" t="n"/>
      <c r="T129" s="11602" t="n"/>
      <c r="U129" s="1400" t="inlineStr">
        <is>
          <t>(1)</t>
        </is>
      </c>
      <c r="V129" s="8650" t="inlineStr">
        <is>
          <t>Address. Number and street (or P.O. box). City, town or</t>
        </is>
      </c>
      <c r="W129" s="11602" t="n"/>
      <c r="X129" s="11602" t="n"/>
      <c r="Y129" s="11602" t="n"/>
      <c r="Z129" s="11602" t="n"/>
      <c r="AA129" s="11602" t="n"/>
      <c r="AB129" s="11602" t="n"/>
      <c r="AC129" s="11602" t="n"/>
      <c r="AD129" s="11602" t="n"/>
      <c r="AE129" s="11602" t="n"/>
      <c r="AF129" s="11602" t="n"/>
      <c r="AG129" s="11602" t="n"/>
      <c r="AH129" s="11602" t="n"/>
      <c r="AI129" s="11602" t="n"/>
      <c r="AJ129" s="11602" t="n"/>
      <c r="AK129" s="2013" t="n"/>
      <c r="AL129" s="2013" t="n"/>
      <c r="AM129" s="2013" t="n"/>
      <c r="AN129" s="11602" t="n"/>
      <c r="AO129" s="11602" t="n"/>
      <c r="AP129" s="11602" t="n"/>
      <c r="AQ129" s="658" t="n"/>
      <c r="AR129" s="658" t="n"/>
      <c r="AS129" s="658" t="n"/>
      <c r="AT129" s="658" t="n"/>
      <c r="AU129" s="658" t="n"/>
      <c r="AV129" s="658" t="n"/>
      <c r="AW129" s="658" t="n"/>
      <c r="AX129" s="658" t="n"/>
      <c r="AY129" s="658" t="n"/>
      <c r="AZ129" s="658" t="n"/>
    </row>
    <row r="130" ht="14.25" customFormat="1" customHeight="1" s="815">
      <c r="A130" s="2013" t="n"/>
      <c r="B130" s="11602" t="n"/>
      <c r="C130" s="11602" t="n"/>
      <c r="D130" s="11602" t="n"/>
      <c r="E130" s="8650" t="inlineStr">
        <is>
          <t>post office, state, and ZIP code. If a foreign address, see</t>
        </is>
      </c>
      <c r="F130" s="11602" t="n"/>
      <c r="G130" s="11602" t="n"/>
      <c r="H130" s="11602" t="n"/>
      <c r="I130" s="11602" t="n"/>
      <c r="J130" s="11602" t="n"/>
      <c r="K130" s="11602" t="n"/>
      <c r="L130" s="11602" t="n"/>
      <c r="M130" s="11602" t="n"/>
      <c r="N130" s="11602" t="n"/>
      <c r="O130" s="11602" t="n"/>
      <c r="P130" s="11602" t="n"/>
      <c r="Q130" s="11602" t="n"/>
      <c r="R130" s="11602" t="n"/>
      <c r="S130" s="409" t="n"/>
      <c r="T130" s="11602" t="n"/>
      <c r="U130" s="11602" t="n"/>
      <c r="V130" s="8650" t="inlineStr">
        <is>
          <t>post office, state, and ZIP code. If a foreign address, see</t>
        </is>
      </c>
      <c r="W130" s="11602" t="n"/>
      <c r="X130" s="11602" t="n"/>
      <c r="Y130" s="11602" t="n"/>
      <c r="Z130" s="11602" t="n"/>
      <c r="AA130" s="11602" t="n"/>
      <c r="AB130" s="11602" t="n"/>
      <c r="AC130" s="11602" t="n"/>
      <c r="AD130" s="11602" t="n"/>
      <c r="AE130" s="11602" t="n"/>
      <c r="AF130" s="11602" t="n"/>
      <c r="AG130" s="11602" t="n"/>
      <c r="AH130" s="11602" t="n"/>
      <c r="AI130" s="11602" t="n"/>
      <c r="AJ130" s="11602" t="n"/>
      <c r="AK130" s="2013" t="n"/>
      <c r="AL130" s="2013" t="n"/>
      <c r="AM130" s="2013" t="n"/>
      <c r="AN130" s="11602" t="n"/>
      <c r="AO130" s="11602" t="n"/>
      <c r="AP130" s="11602" t="n"/>
      <c r="AQ130" s="658" t="n"/>
      <c r="AR130" s="658" t="n"/>
      <c r="AS130" s="658" t="n"/>
      <c r="AT130" s="658" t="n"/>
      <c r="AU130" s="658" t="n"/>
      <c r="AV130" s="658" t="n"/>
      <c r="AW130" s="658" t="n"/>
      <c r="AX130" s="658" t="n"/>
      <c r="AY130" s="658" t="n"/>
      <c r="AZ130" s="658" t="n"/>
    </row>
    <row r="131" ht="14.25" customFormat="1" customHeight="1" s="815">
      <c r="A131" s="2013" t="n"/>
      <c r="B131" s="11602" t="n"/>
      <c r="C131" s="11602" t="n"/>
      <c r="D131" s="11602" t="n"/>
      <c r="E131" s="8650" t="inlineStr">
        <is>
          <t>instructions.</t>
        </is>
      </c>
      <c r="F131" s="11602" t="n"/>
      <c r="G131" s="11602" t="n"/>
      <c r="H131" s="11602" t="n"/>
      <c r="I131" s="11602" t="n"/>
      <c r="J131" s="11602" t="n"/>
      <c r="K131" s="11602" t="n"/>
      <c r="L131" s="11602" t="n"/>
      <c r="M131" s="11602" t="n"/>
      <c r="N131" s="11602" t="n"/>
      <c r="O131" s="11602" t="n"/>
      <c r="P131" s="11602" t="n"/>
      <c r="Q131" s="11602" t="n"/>
      <c r="R131" s="11602" t="n"/>
      <c r="S131" s="409" t="n"/>
      <c r="T131" s="11602" t="n"/>
      <c r="U131" s="11602" t="n"/>
      <c r="V131" s="8650" t="inlineStr">
        <is>
          <t>instructions.</t>
        </is>
      </c>
      <c r="W131" s="11602" t="n"/>
      <c r="X131" s="11602" t="n"/>
      <c r="Y131" s="11602" t="n"/>
      <c r="Z131" s="11602" t="n"/>
      <c r="AA131" s="11602" t="n"/>
      <c r="AB131" s="11602" t="n"/>
      <c r="AC131" s="11602" t="n"/>
      <c r="AD131" s="11602" t="n"/>
      <c r="AE131" s="11602" t="n"/>
      <c r="AF131" s="11602" t="n"/>
      <c r="AG131" s="11602" t="n"/>
      <c r="AH131" s="11602" t="n"/>
      <c r="AI131" s="11602" t="n"/>
      <c r="AJ131" s="11602" t="n"/>
      <c r="AK131" s="2013" t="n"/>
      <c r="AL131" s="2013" t="n"/>
      <c r="AM131" s="2013" t="n"/>
      <c r="AN131" s="11602" t="n"/>
      <c r="AO131" s="11602" t="n"/>
      <c r="AP131" s="11602" t="n"/>
      <c r="AQ131" s="658" t="n"/>
      <c r="AR131" s="658" t="n"/>
      <c r="AS131" s="658" t="n"/>
      <c r="AT131" s="658" t="n"/>
      <c r="AU131" s="658" t="n"/>
      <c r="AV131" s="658" t="n"/>
      <c r="AW131" s="658" t="n"/>
      <c r="AX131" s="658" t="n"/>
      <c r="AY131" s="658" t="n"/>
      <c r="AZ131" s="658" t="n"/>
    </row>
    <row r="132" ht="15.75" customFormat="1" customHeight="1" s="815">
      <c r="A132" s="2013" t="n"/>
      <c r="B132" s="3827" t="n"/>
      <c r="D132" s="7357" t="n"/>
      <c r="E132" s="11717" t="n"/>
      <c r="F132" s="11717" t="n"/>
      <c r="G132" s="11717" t="n"/>
      <c r="H132" s="11717" t="n"/>
      <c r="I132" s="11717" t="n"/>
      <c r="J132" s="11717" t="n"/>
      <c r="K132" s="11717" t="n"/>
      <c r="L132" s="11717" t="n"/>
      <c r="M132" s="11717" t="n"/>
      <c r="N132" s="11717" t="n"/>
      <c r="O132" s="11717" t="n"/>
      <c r="P132" s="11717" t="n"/>
      <c r="Q132" s="11717" t="n"/>
      <c r="R132" s="11717" t="n"/>
      <c r="S132" s="11718" t="n"/>
      <c r="T132" s="11137" t="n"/>
      <c r="U132" s="11717" t="n"/>
      <c r="V132" s="11717" t="n"/>
      <c r="W132" s="11717" t="n"/>
      <c r="X132" s="11717" t="n"/>
      <c r="Y132" s="11717" t="n"/>
      <c r="Z132" s="11717" t="n"/>
      <c r="AA132" s="11717" t="n"/>
      <c r="AB132" s="11717" t="n"/>
      <c r="AC132" s="11717" t="n"/>
      <c r="AD132" s="11717" t="n"/>
      <c r="AE132" s="11717" t="n"/>
      <c r="AF132" s="11717" t="n"/>
      <c r="AG132" s="11717" t="n"/>
      <c r="AH132" s="11717" t="n"/>
      <c r="AI132" s="11717" t="n"/>
      <c r="AJ132" s="11717" t="n"/>
      <c r="AK132" s="2013" t="n"/>
      <c r="AL132" s="2013" t="n"/>
      <c r="AM132" s="2013" t="n"/>
      <c r="AN132" s="11602" t="n"/>
      <c r="AO132" s="11602" t="n"/>
      <c r="AP132" s="11602" t="n"/>
      <c r="AQ132" s="658" t="n"/>
      <c r="AR132" s="658" t="n"/>
      <c r="AS132" s="658" t="n"/>
      <c r="AT132" s="658" t="n"/>
      <c r="AU132" s="658" t="n"/>
      <c r="AV132" s="658" t="n"/>
      <c r="AW132" s="658" t="n"/>
      <c r="AX132" s="658" t="n"/>
      <c r="AY132" s="658" t="n"/>
      <c r="AZ132" s="658" t="n"/>
    </row>
    <row r="133" ht="16.5" customFormat="1" customHeight="1" s="815">
      <c r="A133" s="2013" t="n"/>
      <c r="B133" s="11602" t="n"/>
      <c r="C133" s="11602" t="n"/>
      <c r="D133" s="1400" t="inlineStr">
        <is>
          <t>(2)</t>
        </is>
      </c>
      <c r="E133" s="12746">
        <f>"Did the student receive Form 1098-T"&amp;CHAR(10)&amp;"from this institution for "&amp;TaxYear&amp;"?"</f>
        <v/>
      </c>
      <c r="F133" s="7839" t="n"/>
      <c r="G133" s="7839" t="n"/>
      <c r="H133" s="7839" t="n"/>
      <c r="I133" s="7839" t="n"/>
      <c r="J133" s="7839" t="n"/>
      <c r="K133" s="7839" t="n"/>
      <c r="L133" s="7839" t="n"/>
      <c r="M133" s="7839" t="n"/>
      <c r="N133" s="7839" t="n"/>
      <c r="O133" s="11602" t="n"/>
      <c r="P133" s="11602" t="n"/>
      <c r="Q133" s="11602" t="n"/>
      <c r="R133" s="11602" t="n"/>
      <c r="S133" s="11602" t="n"/>
      <c r="T133" s="405" t="n"/>
      <c r="U133" s="1400" t="inlineStr">
        <is>
          <t>(2)</t>
        </is>
      </c>
      <c r="V133" s="12746">
        <f>"Did the student receive Form 1098-T"&amp;CHAR(10)&amp;"from this institution for "&amp;TaxYear&amp;"?"</f>
        <v/>
      </c>
      <c r="W133" s="7839" t="n"/>
      <c r="X133" s="7839" t="n"/>
      <c r="Y133" s="7839" t="n"/>
      <c r="Z133" s="7839" t="n"/>
      <c r="AA133" s="7839" t="n"/>
      <c r="AB133" s="7839" t="n"/>
      <c r="AC133" s="7839" t="n"/>
      <c r="AD133" s="7839" t="n"/>
      <c r="AE133" s="7839" t="n"/>
      <c r="AF133" s="11602" t="n"/>
      <c r="AG133" s="11602" t="n"/>
      <c r="AH133" s="11602" t="n"/>
      <c r="AI133" s="11602" t="n"/>
      <c r="AJ133" s="11602" t="n"/>
      <c r="AK133" s="2013" t="n"/>
      <c r="AL133" s="2013" t="n"/>
      <c r="AM133" s="2013" t="n"/>
      <c r="AN133" s="11602" t="n"/>
      <c r="AO133" s="11602" t="n"/>
      <c r="AP133" s="11602" t="n"/>
      <c r="AQ133" s="658" t="n"/>
      <c r="AR133" s="658" t="n"/>
      <c r="AS133" s="658" t="n"/>
      <c r="AT133" s="658" t="n"/>
      <c r="AU133" s="658" t="n"/>
      <c r="AV133" s="658" t="n"/>
      <c r="AW133" s="658" t="n"/>
      <c r="AX133" s="658" t="n"/>
      <c r="AY133" s="658" t="n"/>
      <c r="AZ133" s="658" t="n"/>
    </row>
    <row r="134" ht="14.25" customFormat="1" customHeight="1" s="815">
      <c r="A134" s="2013" t="n"/>
      <c r="B134" s="11602" t="n"/>
      <c r="C134" s="11602" t="n"/>
      <c r="D134" s="11602" t="n"/>
      <c r="O134" s="1111" t="n"/>
      <c r="P134" s="7886" t="inlineStr">
        <is>
          <t xml:space="preserve"> Yes</t>
        </is>
      </c>
      <c r="Q134" s="11602" t="n"/>
      <c r="R134" s="1111" t="n"/>
      <c r="S134" s="7886" t="inlineStr">
        <is>
          <t xml:space="preserve"> No</t>
        </is>
      </c>
      <c r="T134" s="2018" t="n"/>
      <c r="U134" s="11602" t="n"/>
      <c r="AF134" s="1111" t="n"/>
      <c r="AG134" s="7886" t="inlineStr">
        <is>
          <t xml:space="preserve"> Yes</t>
        </is>
      </c>
      <c r="AH134" s="11602" t="n"/>
      <c r="AI134" s="1111" t="n"/>
      <c r="AJ134" s="7886" t="inlineStr">
        <is>
          <t xml:space="preserve"> No</t>
        </is>
      </c>
      <c r="AK134" s="2013" t="n"/>
      <c r="AL134" s="2013" t="n"/>
      <c r="AM134" s="2013" t="n"/>
      <c r="AN134" s="11602" t="n"/>
      <c r="AO134" s="11602" t="n"/>
      <c r="AP134" s="11602" t="n"/>
      <c r="AQ134" s="658" t="n"/>
      <c r="AR134" s="658" t="n"/>
      <c r="AS134" s="658" t="n"/>
      <c r="AT134" s="658" t="n"/>
      <c r="AU134" s="658" t="n"/>
      <c r="AV134" s="658" t="n"/>
      <c r="AW134" s="658" t="n"/>
      <c r="AX134" s="658" t="n"/>
      <c r="AY134" s="658" t="n"/>
      <c r="AZ134" s="658" t="n"/>
    </row>
    <row r="135" ht="7.5" customFormat="1" customHeight="1" s="815">
      <c r="A135" s="2013" t="n"/>
      <c r="B135" s="413" t="n"/>
      <c r="C135" s="413" t="n"/>
      <c r="D135" s="413" t="n"/>
      <c r="E135" s="7637" t="n"/>
      <c r="F135" s="7637" t="n"/>
      <c r="G135" s="7637" t="n"/>
      <c r="H135" s="7637" t="n"/>
      <c r="I135" s="7637" t="n"/>
      <c r="J135" s="7637" t="n"/>
      <c r="K135" s="7637" t="n"/>
      <c r="L135" s="7637" t="n"/>
      <c r="M135" s="7637" t="n"/>
      <c r="N135" s="7637" t="n"/>
      <c r="O135" s="413" t="n"/>
      <c r="P135" s="413" t="n"/>
      <c r="Q135" s="413" t="n"/>
      <c r="R135" s="413" t="n"/>
      <c r="S135" s="413" t="n"/>
      <c r="T135" s="412" t="n"/>
      <c r="U135" s="413" t="n"/>
      <c r="V135" s="7637" t="n"/>
      <c r="W135" s="7637" t="n"/>
      <c r="X135" s="7637" t="n"/>
      <c r="Y135" s="7637" t="n"/>
      <c r="Z135" s="7637" t="n"/>
      <c r="AA135" s="7637" t="n"/>
      <c r="AB135" s="7637" t="n"/>
      <c r="AC135" s="7637" t="n"/>
      <c r="AD135" s="7637" t="n"/>
      <c r="AE135" s="7637" t="n"/>
      <c r="AF135" s="413" t="n"/>
      <c r="AG135" s="413" t="n"/>
      <c r="AH135" s="413" t="n"/>
      <c r="AI135" s="413" t="n"/>
      <c r="AJ135" s="413" t="n"/>
      <c r="AK135" s="2013" t="n"/>
      <c r="AL135" s="2013" t="n"/>
      <c r="AM135" s="2013" t="n"/>
      <c r="AN135" s="11602" t="n"/>
      <c r="AO135" s="11602" t="n"/>
      <c r="AP135" s="11602" t="n"/>
      <c r="AQ135" s="662" t="n"/>
      <c r="AR135" s="662" t="n"/>
      <c r="AS135" s="662" t="n"/>
      <c r="AT135" s="662" t="n"/>
      <c r="AU135" s="662" t="n"/>
      <c r="AV135" s="662" t="n"/>
      <c r="AW135" s="662" t="n"/>
      <c r="AX135" s="662" t="n"/>
      <c r="AY135" s="662" t="n"/>
      <c r="AZ135" s="662" t="n"/>
    </row>
    <row r="136" ht="16.5" customFormat="1" customHeight="1" s="815">
      <c r="A136" s="2013" t="n"/>
      <c r="B136" s="11602" t="n"/>
      <c r="C136" s="11602" t="n"/>
      <c r="D136" s="10946" t="inlineStr">
        <is>
          <t>(3)</t>
        </is>
      </c>
      <c r="E136" s="12746">
        <f>"Did the student receive Form 1098-T"&amp;CHAR(10)&amp;"from this institution for "&amp;TaxYear-1&amp;" with box"&amp;CHAR(10)&amp;"7 checked?"</f>
        <v/>
      </c>
      <c r="F136" s="7839" t="n"/>
      <c r="G136" s="7839" t="n"/>
      <c r="H136" s="7839" t="n"/>
      <c r="I136" s="7839" t="n"/>
      <c r="J136" s="7839" t="n"/>
      <c r="K136" s="7839" t="n"/>
      <c r="L136" s="7839" t="n"/>
      <c r="M136" s="7839" t="n"/>
      <c r="N136" s="7839" t="n"/>
      <c r="O136" s="11602" t="n"/>
      <c r="P136" s="11602" t="n"/>
      <c r="Q136" s="11602" t="n"/>
      <c r="R136" s="11602" t="n"/>
      <c r="S136" s="11602" t="n"/>
      <c r="T136" s="408" t="n"/>
      <c r="U136" s="10946" t="inlineStr">
        <is>
          <t>(3)</t>
        </is>
      </c>
      <c r="V136" s="12746">
        <f>"Did the student receive Form 1098-T"&amp;CHAR(10)&amp;"from this institution for "&amp;TaxYear-1&amp;" with box"&amp;CHAR(10)&amp;"7 checked?"</f>
        <v/>
      </c>
      <c r="W136" s="7839" t="n"/>
      <c r="X136" s="7839" t="n"/>
      <c r="Y136" s="7839" t="n"/>
      <c r="Z136" s="7839" t="n"/>
      <c r="AA136" s="7839" t="n"/>
      <c r="AB136" s="7839" t="n"/>
      <c r="AC136" s="7839" t="n"/>
      <c r="AD136" s="7839" t="n"/>
      <c r="AE136" s="7839" t="n"/>
      <c r="AF136" s="11602" t="n"/>
      <c r="AG136" s="11602" t="n"/>
      <c r="AH136" s="11602" t="n"/>
      <c r="AI136" s="11602" t="n"/>
      <c r="AJ136" s="11602" t="n"/>
      <c r="AK136" s="2013" t="n"/>
      <c r="AL136" s="2013" t="n"/>
      <c r="AM136" s="2013" t="n"/>
      <c r="AN136" s="11602" t="n"/>
      <c r="AO136" s="11602" t="n"/>
      <c r="AP136" s="11602" t="n"/>
      <c r="AQ136" s="658" t="n"/>
      <c r="AR136" s="658" t="n"/>
      <c r="AS136" s="658" t="n"/>
      <c r="AT136" s="658" t="n"/>
      <c r="AU136" s="658" t="n"/>
      <c r="AV136" s="658" t="n"/>
      <c r="AW136" s="658" t="n"/>
      <c r="AX136" s="658" t="n"/>
      <c r="AY136" s="658" t="n"/>
      <c r="AZ136" s="658" t="n"/>
    </row>
    <row r="137" ht="14.25" customFormat="1" customHeight="1" s="815">
      <c r="A137" s="2013" t="n"/>
      <c r="B137" s="11602" t="n"/>
      <c r="C137" s="11602" t="n"/>
      <c r="D137" s="11602" t="n"/>
      <c r="O137" s="1111" t="n"/>
      <c r="P137" s="7886" t="inlineStr">
        <is>
          <t xml:space="preserve"> Yes</t>
        </is>
      </c>
      <c r="Q137" s="11602" t="n"/>
      <c r="R137" s="1111" t="n"/>
      <c r="S137" s="7886" t="inlineStr">
        <is>
          <t xml:space="preserve"> No</t>
        </is>
      </c>
      <c r="T137" s="2018" t="n"/>
      <c r="U137" s="11602" t="n"/>
      <c r="AF137" s="1111" t="n"/>
      <c r="AG137" s="7886" t="inlineStr">
        <is>
          <t xml:space="preserve"> Yes</t>
        </is>
      </c>
      <c r="AH137" s="11602" t="n"/>
      <c r="AI137" s="1111" t="n"/>
      <c r="AJ137" s="7886" t="inlineStr">
        <is>
          <t xml:space="preserve"> No</t>
        </is>
      </c>
      <c r="AK137" s="2013" t="n"/>
      <c r="AL137" s="2013" t="n"/>
      <c r="AM137" s="2013" t="n"/>
      <c r="AN137" s="11602" t="n"/>
      <c r="AO137" s="11602" t="n"/>
      <c r="AP137" s="11602" t="n"/>
      <c r="AQ137" s="658" t="n"/>
      <c r="AR137" s="658" t="n"/>
      <c r="AS137" s="658" t="n"/>
      <c r="AT137" s="658" t="n"/>
      <c r="AU137" s="658" t="n"/>
      <c r="AV137" s="658" t="n"/>
      <c r="AW137" s="658" t="n"/>
      <c r="AX137" s="658" t="n"/>
      <c r="AY137" s="658" t="n"/>
      <c r="AZ137" s="658" t="n"/>
    </row>
    <row r="138" ht="13.5" customFormat="1" customHeight="1" s="815">
      <c r="A138" s="2013" t="n"/>
      <c r="B138" s="413" t="n"/>
      <c r="C138" s="413" t="n"/>
      <c r="D138" s="413" t="n"/>
      <c r="E138" s="7637" t="n"/>
      <c r="F138" s="7637" t="n"/>
      <c r="G138" s="7637" t="n"/>
      <c r="H138" s="7637" t="n"/>
      <c r="I138" s="7637" t="n"/>
      <c r="J138" s="7637" t="n"/>
      <c r="K138" s="7637" t="n"/>
      <c r="L138" s="7637" t="n"/>
      <c r="M138" s="7637" t="n"/>
      <c r="N138" s="7637" t="n"/>
      <c r="O138" s="413" t="n"/>
      <c r="P138" s="413" t="n"/>
      <c r="Q138" s="413" t="n"/>
      <c r="R138" s="413" t="n"/>
      <c r="S138" s="413" t="n"/>
      <c r="T138" s="412" t="n"/>
      <c r="U138" s="413" t="n"/>
      <c r="V138" s="7637" t="n"/>
      <c r="W138" s="7637" t="n"/>
      <c r="X138" s="7637" t="n"/>
      <c r="Y138" s="7637" t="n"/>
      <c r="Z138" s="7637" t="n"/>
      <c r="AA138" s="7637" t="n"/>
      <c r="AB138" s="7637" t="n"/>
      <c r="AC138" s="7637" t="n"/>
      <c r="AD138" s="7637" t="n"/>
      <c r="AE138" s="7637" t="n"/>
      <c r="AF138" s="413" t="n"/>
      <c r="AG138" s="413" t="n"/>
      <c r="AH138" s="413" t="n"/>
      <c r="AI138" s="413" t="n"/>
      <c r="AJ138" s="413" t="n"/>
      <c r="AK138" s="2013" t="n"/>
      <c r="AL138" s="2013" t="n"/>
      <c r="AM138" s="2013" t="n"/>
      <c r="AN138" s="11602" t="n"/>
      <c r="AO138" s="11602" t="n"/>
      <c r="AP138" s="11602" t="n"/>
      <c r="AQ138" s="658" t="n"/>
      <c r="AR138" s="658" t="n"/>
      <c r="AS138" s="658" t="n"/>
      <c r="AT138" s="658" t="n"/>
      <c r="AU138" s="658" t="n"/>
      <c r="AV138" s="658" t="n"/>
      <c r="AW138" s="658" t="n"/>
      <c r="AX138" s="658" t="n"/>
      <c r="AY138" s="658" t="n"/>
      <c r="AZ138" s="658" t="n"/>
    </row>
    <row r="139" ht="21" customFormat="1" customHeight="1" s="815" thickBot="1">
      <c r="A139" s="2013" t="n"/>
      <c r="B139" s="11602" t="n"/>
      <c r="C139" s="11602" t="n"/>
      <c r="D139" s="10946" t="inlineStr">
        <is>
          <t>(4)</t>
        </is>
      </c>
      <c r="E139" s="11185" t="inlineStr">
        <is>
          <t>Enter the institution’s employer identification number (EIN)
if you’re claiming the American opportunity credit or if you
checked “Yes” in (2) or (3). You can get the EIN from Form
1098-T or from the institution.</t>
        </is>
      </c>
      <c r="F139" s="7839" t="n"/>
      <c r="G139" s="7839" t="n"/>
      <c r="H139" s="7839" t="n"/>
      <c r="I139" s="7839" t="n"/>
      <c r="J139" s="7839" t="n"/>
      <c r="K139" s="7839" t="n"/>
      <c r="L139" s="7839" t="n"/>
      <c r="M139" s="7839" t="n"/>
      <c r="N139" s="7839" t="n"/>
      <c r="O139" s="7839" t="n"/>
      <c r="P139" s="7839" t="n"/>
      <c r="Q139" s="7839" t="n"/>
      <c r="R139" s="7839" t="n"/>
      <c r="S139" s="10091" t="n"/>
      <c r="T139" s="408" t="n"/>
      <c r="U139" s="10946" t="inlineStr">
        <is>
          <t>(4)</t>
        </is>
      </c>
      <c r="V139" s="11138" t="inlineStr">
        <is>
          <t>Enter the institution’s employer identification number (EIN)
if you’re claiming the American opportunity credit or if you
checked “Yes” in (2) or (3). You can get the EIN from Form
1098-T or from the institution.</t>
        </is>
      </c>
      <c r="W139" s="7839" t="n"/>
      <c r="X139" s="7839" t="n"/>
      <c r="Y139" s="7839" t="n"/>
      <c r="Z139" s="7839" t="n"/>
      <c r="AA139" s="7839" t="n"/>
      <c r="AB139" s="7839" t="n"/>
      <c r="AC139" s="7839" t="n"/>
      <c r="AD139" s="7839" t="n"/>
      <c r="AE139" s="7839" t="n"/>
      <c r="AF139" s="7839" t="n"/>
      <c r="AG139" s="7839" t="n"/>
      <c r="AH139" s="7839" t="n"/>
      <c r="AI139" s="7839" t="n"/>
      <c r="AJ139" s="7839" t="n"/>
      <c r="AK139" s="2013" t="n"/>
      <c r="AL139" s="2013" t="n"/>
      <c r="AM139" s="2013" t="n"/>
      <c r="AN139" s="11602" t="n"/>
      <c r="AO139" s="11602" t="n"/>
      <c r="AP139" s="11602" t="n"/>
      <c r="AQ139" s="658" t="n"/>
      <c r="AR139" s="658" t="n"/>
      <c r="AS139" s="658" t="n"/>
      <c r="AT139" s="658" t="n"/>
      <c r="AU139" s="658" t="n"/>
      <c r="AV139" s="658" t="n"/>
      <c r="AW139" s="658" t="n"/>
      <c r="AX139" s="658" t="n"/>
      <c r="AY139" s="658" t="n"/>
      <c r="AZ139" s="658" t="n"/>
    </row>
    <row r="140" ht="14.25" customFormat="1" customHeight="1" s="815">
      <c r="A140" s="2013" t="n"/>
      <c r="B140" s="11602" t="n"/>
      <c r="C140" s="11602" t="n"/>
      <c r="D140" s="11602" t="n"/>
      <c r="S140" s="7636" t="n"/>
      <c r="T140" s="2018" t="n"/>
      <c r="U140" s="11602" t="n"/>
      <c r="AK140" s="2013" t="n"/>
      <c r="AL140" s="2013" t="n"/>
      <c r="AM140" s="2013" t="n"/>
      <c r="AN140" s="11602" t="n"/>
      <c r="AO140" s="11602" t="n"/>
      <c r="AP140" s="11602" t="n"/>
      <c r="AQ140" s="1126" t="inlineStr">
        <is>
          <t>Adjusted Qualified Education Expenses Worksheet</t>
        </is>
      </c>
      <c r="AR140" s="1127" t="n"/>
      <c r="AS140" s="1127" t="n"/>
      <c r="AT140" s="1127" t="n"/>
      <c r="AU140" s="1127" t="n"/>
      <c r="AV140" s="1127" t="n"/>
      <c r="AW140" s="1127" t="n"/>
      <c r="AX140" s="1127" t="n"/>
      <c r="AY140" s="1127" t="n"/>
      <c r="AZ140" s="1128" t="n"/>
    </row>
    <row r="141" ht="26.25" customFormat="1" customHeight="1" s="815">
      <c r="A141" s="2013" t="n"/>
      <c r="B141" s="11602" t="n"/>
      <c r="C141" s="11602" t="n"/>
      <c r="D141" s="11602" t="n"/>
      <c r="S141" s="7636" t="n"/>
      <c r="T141" s="408" t="n"/>
      <c r="U141" s="11602" t="n"/>
      <c r="AK141" s="2013" t="n"/>
      <c r="AL141" s="2013" t="n"/>
      <c r="AM141" s="2013" t="n"/>
      <c r="AN141" s="11602" t="n"/>
      <c r="AO141" s="11602" t="n"/>
      <c r="AP141" s="11602" t="n"/>
      <c r="AQ141" s="1129" t="inlineStr">
        <is>
          <t>Complete a separate worksheet for each student for each academic period beginning or treated as beginning</t>
        </is>
      </c>
      <c r="AR141" s="1130" t="n"/>
      <c r="AS141" s="1130" t="n"/>
      <c r="AT141" s="1130" t="n"/>
      <c r="AU141" s="1130" t="n"/>
      <c r="AV141" s="1130" t="n"/>
      <c r="AW141" s="1130" t="n"/>
      <c r="AX141" s="1130" t="n"/>
      <c r="AY141" s="1130" t="n"/>
      <c r="AZ141" s="1131" t="n"/>
    </row>
    <row r="142" ht="17.25" customFormat="1" customHeight="1" s="815">
      <c r="A142" s="2013" t="n"/>
      <c r="B142" s="11602" t="n"/>
      <c r="C142" s="11602" t="n"/>
      <c r="D142" s="11602" t="n"/>
      <c r="E142" s="1111" t="n"/>
      <c r="F142" s="1111" t="n"/>
      <c r="G142" s="10627" t="inlineStr">
        <is>
          <t>-</t>
        </is>
      </c>
      <c r="H142" s="1111" t="n"/>
      <c r="I142" s="1111" t="n"/>
      <c r="J142" s="1111" t="n"/>
      <c r="K142" s="1111" t="n"/>
      <c r="L142" s="1111" t="n"/>
      <c r="M142" s="1111" t="n"/>
      <c r="N142" s="1111" t="n"/>
      <c r="O142" s="11139" t="n"/>
      <c r="P142" s="11139" t="n"/>
      <c r="Q142" s="11139" t="n"/>
      <c r="R142" s="11139" t="n"/>
      <c r="S142" s="11186" t="n"/>
      <c r="T142" s="408" t="n"/>
      <c r="U142" s="11602" t="n"/>
      <c r="V142" s="1111" t="n"/>
      <c r="W142" s="1111" t="n"/>
      <c r="X142" s="10627" t="inlineStr">
        <is>
          <t>-</t>
        </is>
      </c>
      <c r="Y142" s="1111" t="n"/>
      <c r="Z142" s="1111" t="n"/>
      <c r="AA142" s="1111" t="n"/>
      <c r="AB142" s="1111" t="n"/>
      <c r="AC142" s="1111" t="n"/>
      <c r="AD142" s="1111" t="n"/>
      <c r="AE142" s="1111" t="n"/>
      <c r="AF142" s="11602" t="n"/>
      <c r="AG142" s="11602" t="n"/>
      <c r="AH142" s="11602" t="n"/>
      <c r="AI142" s="11602" t="n"/>
      <c r="AJ142" s="11602" t="n"/>
      <c r="AK142" s="2013" t="n"/>
      <c r="AL142" s="2013" t="n"/>
      <c r="AM142" s="2013" t="n"/>
      <c r="AN142" s="11602" t="n"/>
      <c r="AO142" s="11602" t="n"/>
      <c r="AP142" s="11602" t="n"/>
      <c r="AQ142" s="1132">
        <f>"(see below) in "&amp;TaxYear&amp;" for which you paid (or are treated as having paid) qualified education expenses in "&amp;TaxYear&amp;"."</f>
        <v/>
      </c>
      <c r="AR142" s="1133" t="n"/>
      <c r="AS142" s="1133" t="n"/>
      <c r="AT142" s="1133" t="n"/>
      <c r="AU142" s="1133" t="n"/>
      <c r="AV142" s="1133" t="n"/>
      <c r="AW142" s="1133" t="n"/>
      <c r="AX142" s="1133" t="n"/>
      <c r="AY142" s="1133" t="n"/>
      <c r="AZ142" s="1134" t="n"/>
    </row>
    <row r="143" ht="14.25" customFormat="1" customHeight="1" s="815">
      <c r="A143" s="2013" t="n"/>
      <c r="B143" s="413" t="n"/>
      <c r="C143" s="413" t="n"/>
      <c r="D143" s="413" t="n"/>
      <c r="E143" s="1996" t="n"/>
      <c r="F143" s="413" t="n"/>
      <c r="G143" s="413" t="n"/>
      <c r="H143" s="413" t="n"/>
      <c r="I143" s="413" t="n"/>
      <c r="J143" s="413" t="n"/>
      <c r="K143" s="413" t="n"/>
      <c r="L143" s="413" t="n"/>
      <c r="M143" s="413" t="n"/>
      <c r="N143" s="413" t="n"/>
      <c r="O143" s="413" t="n"/>
      <c r="P143" s="413" t="n"/>
      <c r="Q143" s="413" t="n"/>
      <c r="R143" s="413" t="n"/>
      <c r="S143" s="414" t="n"/>
      <c r="T143" s="412" t="n"/>
      <c r="U143" s="413" t="n"/>
      <c r="V143" s="413" t="n"/>
      <c r="W143" s="413" t="n"/>
      <c r="X143" s="413" t="n"/>
      <c r="Y143" s="413" t="n"/>
      <c r="Z143" s="413" t="n"/>
      <c r="AA143" s="413" t="n"/>
      <c r="AB143" s="413" t="n"/>
      <c r="AC143" s="413" t="n"/>
      <c r="AD143" s="413" t="n"/>
      <c r="AE143" s="413" t="n"/>
      <c r="AF143" s="413" t="n"/>
      <c r="AG143" s="413" t="n"/>
      <c r="AH143" s="413" t="n"/>
      <c r="AI143" s="413" t="n"/>
      <c r="AJ143" s="413" t="n"/>
      <c r="AK143" s="2013" t="n"/>
      <c r="AL143" s="2013" t="n"/>
      <c r="AM143" s="2013" t="n"/>
      <c r="AN143" s="11602" t="n"/>
      <c r="AO143" s="11602" t="n"/>
      <c r="AP143" s="11602" t="n"/>
      <c r="AQ143" s="1135" t="n"/>
      <c r="AR143" s="946" t="n"/>
      <c r="AS143" s="946" t="n"/>
      <c r="AT143" s="946" t="n"/>
      <c r="AU143" s="946" t="n"/>
      <c r="AV143" s="946" t="n"/>
      <c r="AW143" s="946" t="n"/>
      <c r="AX143" s="946" t="n"/>
      <c r="AY143" s="946" t="n"/>
      <c r="AZ143" s="1136" t="n"/>
    </row>
    <row r="144" ht="15" customFormat="1" customHeight="1" s="815">
      <c r="A144" s="2013" t="n"/>
      <c r="B144" s="3827" t="n">
        <v>23</v>
      </c>
      <c r="C144" s="11602" t="n"/>
      <c r="D144" s="11602" t="n"/>
      <c r="E144" s="8650" t="inlineStr">
        <is>
          <t>Has the American opportunity credit been claimed for this</t>
        </is>
      </c>
      <c r="F144" s="11602" t="n"/>
      <c r="G144" s="11602" t="n"/>
      <c r="H144" s="11602" t="n"/>
      <c r="I144" s="11602" t="n"/>
      <c r="J144" s="11602" t="n"/>
      <c r="K144" s="11602" t="n"/>
      <c r="L144" s="11602" t="n"/>
      <c r="M144" s="11602" t="n"/>
      <c r="N144" s="11602" t="n"/>
      <c r="O144" s="11602" t="n"/>
      <c r="P144" s="11602" t="n"/>
      <c r="Q144" s="11602" t="n"/>
      <c r="R144" s="11602" t="n"/>
      <c r="S144" s="11602" t="n"/>
      <c r="T144" s="11602" t="n"/>
      <c r="U144" s="11602" t="n"/>
      <c r="V144" s="11602" t="n"/>
      <c r="W144" s="11602" t="n"/>
      <c r="X144" s="11602" t="n"/>
      <c r="Y144" s="11602" t="n"/>
      <c r="Z144" s="11602" t="n"/>
      <c r="AA144" s="11602" t="n"/>
      <c r="AB144" s="11602" t="n"/>
      <c r="AC144" s="11602" t="n"/>
      <c r="AD144" s="11602" t="n"/>
      <c r="AE144" s="11602" t="n"/>
      <c r="AF144" s="11602" t="n"/>
      <c r="AG144" s="11602" t="n"/>
      <c r="AH144" s="11602" t="n"/>
      <c r="AI144" s="11602" t="n"/>
      <c r="AJ144" s="11602" t="n"/>
      <c r="AK144" s="2013" t="n"/>
      <c r="AL144" s="2013" t="n"/>
      <c r="AM144" s="2013" t="n"/>
      <c r="AN144" s="11602" t="n"/>
      <c r="AO144" s="11602" t="n"/>
      <c r="AP144" s="11602" t="n"/>
      <c r="AQ144" s="4552" t="inlineStr">
        <is>
          <t>1.  Total qualified education expenses paid for or on behalf of the student in</t>
        </is>
      </c>
      <c r="AR144" s="946" t="n"/>
      <c r="AS144" s="946" t="n"/>
      <c r="AT144" s="946" t="n"/>
      <c r="AU144" s="946" t="n"/>
      <c r="AV144" s="946" t="n"/>
      <c r="AW144" s="946" t="n"/>
      <c r="AX144" s="946" t="n"/>
      <c r="AY144" s="946" t="n"/>
      <c r="AZ144" s="1136" t="n"/>
    </row>
    <row r="145" ht="15" customFormat="1" customHeight="1" s="815">
      <c r="A145" s="2013" t="n"/>
      <c r="B145" s="11602" t="n"/>
      <c r="C145" s="11602" t="n"/>
      <c r="D145" s="11602" t="n"/>
      <c r="E145" s="1672" t="inlineStr">
        <is>
          <t>student for any 4 prior tax years?</t>
        </is>
      </c>
      <c r="F145" s="11602" t="n"/>
      <c r="G145" s="11602" t="n"/>
      <c r="H145" s="11602" t="n"/>
      <c r="I145" s="11602" t="n"/>
      <c r="J145" s="11602" t="n"/>
      <c r="K145" s="11602" t="n"/>
      <c r="L145" s="11602" t="n"/>
      <c r="M145" s="11602" t="n"/>
      <c r="N145" s="11602" t="n"/>
      <c r="O145" s="11602" t="n"/>
      <c r="P145" s="11602" t="n"/>
      <c r="Q145" s="11602" t="n"/>
      <c r="R145" s="11602" t="n"/>
      <c r="S145" s="11602" t="n"/>
      <c r="T145" s="1111" t="n"/>
      <c r="U145" s="344" t="inlineStr">
        <is>
          <t>Yes -- Stop!</t>
        </is>
      </c>
      <c r="V145" s="11602" t="n"/>
      <c r="W145" s="11602" t="n"/>
      <c r="X145" s="11602" t="n"/>
      <c r="Y145" s="11602" t="n"/>
      <c r="Z145" s="11602" t="n"/>
      <c r="AA145" s="11602" t="n"/>
      <c r="AB145" s="11602" t="n"/>
      <c r="AC145" s="1963">
        <f>IF(T145&lt;&gt;"","","X")</f>
        <v/>
      </c>
      <c r="AD145" s="344" t="inlineStr">
        <is>
          <t>No -- Go to line 24.</t>
        </is>
      </c>
      <c r="AE145" s="11602" t="n"/>
      <c r="AF145" s="11602" t="n"/>
      <c r="AG145" s="11602" t="n"/>
      <c r="AH145" s="11602" t="n"/>
      <c r="AI145" s="11602" t="n"/>
      <c r="AJ145" s="11602" t="n"/>
      <c r="AK145" s="2013" t="n"/>
      <c r="AL145" s="2013" t="n"/>
      <c r="AM145" s="2013" t="n"/>
      <c r="AN145" s="11602" t="n"/>
      <c r="AO145" s="11602" t="n"/>
      <c r="AP145" s="11602" t="n"/>
      <c r="AQ145" s="4553">
        <f>TaxYear&amp;" for the academic period"</f>
        <v/>
      </c>
      <c r="AR145" s="4536" t="n"/>
      <c r="AS145" s="4536" t="n"/>
      <c r="AT145" s="4536" t="n"/>
      <c r="AU145" s="4536" t="n"/>
      <c r="AV145" s="4536" t="n"/>
      <c r="AW145" s="4539" t="n"/>
      <c r="AX145" s="4539" t="inlineStr">
        <is>
          <t>1.</t>
        </is>
      </c>
      <c r="AY145" s="7843" t="n"/>
      <c r="AZ145" s="4537" t="n"/>
    </row>
    <row r="146" ht="16.5" customFormat="1" customHeight="1" s="1116">
      <c r="A146" s="2067" t="n"/>
      <c r="B146" s="571" t="n"/>
      <c r="C146" s="571" t="n"/>
      <c r="D146" s="571" t="n"/>
      <c r="E146" s="2046" t="n"/>
      <c r="F146" s="571" t="n"/>
      <c r="G146" s="571" t="n"/>
      <c r="H146" s="571" t="n"/>
      <c r="I146" s="571" t="n"/>
      <c r="J146" s="571" t="n"/>
      <c r="K146" s="571" t="n"/>
      <c r="L146" s="571" t="n"/>
      <c r="M146" s="571" t="n"/>
      <c r="N146" s="571" t="n"/>
      <c r="O146" s="571" t="n"/>
      <c r="P146" s="571" t="n"/>
      <c r="Q146" s="571" t="n"/>
      <c r="R146" s="571" t="n"/>
      <c r="S146" s="571" t="n"/>
      <c r="T146" s="571" t="n"/>
      <c r="U146" s="571" t="inlineStr">
        <is>
          <t>Go to line 31 for this student.</t>
        </is>
      </c>
      <c r="V146" s="571" t="n"/>
      <c r="W146" s="571" t="n"/>
      <c r="X146" s="571" t="n"/>
      <c r="Y146" s="571" t="n"/>
      <c r="Z146" s="571" t="n"/>
      <c r="AA146" s="571" t="n"/>
      <c r="AB146" s="571" t="n"/>
      <c r="AC146" s="571" t="n"/>
      <c r="AD146" s="571" t="n"/>
      <c r="AE146" s="571" t="n"/>
      <c r="AF146" s="571" t="n"/>
      <c r="AG146" s="571" t="n"/>
      <c r="AH146" s="571" t="n"/>
      <c r="AI146" s="571" t="n"/>
      <c r="AJ146" s="571" t="n"/>
      <c r="AK146" s="2067" t="n"/>
      <c r="AL146" s="2067" t="n"/>
      <c r="AM146" s="2067" t="n"/>
      <c r="AN146" s="571" t="n"/>
      <c r="AO146" s="571" t="n"/>
      <c r="AP146" s="571" t="n"/>
      <c r="AQ146" s="4554" t="n"/>
      <c r="AR146" s="4536" t="n"/>
      <c r="AS146" s="4536" t="n"/>
      <c r="AT146" s="4536" t="n"/>
      <c r="AU146" s="4536" t="n"/>
      <c r="AV146" s="4536" t="n"/>
      <c r="AW146" s="4539" t="n"/>
      <c r="AX146" s="4539" t="n"/>
      <c r="AY146" s="4539" t="n"/>
      <c r="AZ146" s="4537" t="n"/>
      <c r="BA146" s="138" t="n"/>
      <c r="BB146" s="138" t="n"/>
    </row>
    <row r="147" ht="15" customFormat="1" customHeight="1" s="815">
      <c r="A147" s="2013" t="n"/>
      <c r="B147" s="4555" t="n">
        <v>24</v>
      </c>
      <c r="C147" s="406" t="n"/>
      <c r="D147" s="406" t="n"/>
      <c r="E147" s="2354" t="inlineStr">
        <is>
          <t>Was the student enrolled at least half-time for at least one</t>
        </is>
      </c>
      <c r="F147" s="406" t="n"/>
      <c r="G147" s="406" t="n"/>
      <c r="H147" s="406" t="n"/>
      <c r="I147" s="406" t="n"/>
      <c r="J147" s="406" t="n"/>
      <c r="K147" s="406" t="n"/>
      <c r="L147" s="406" t="n"/>
      <c r="M147" s="406" t="n"/>
      <c r="N147" s="406" t="n"/>
      <c r="O147" s="406" t="n"/>
      <c r="P147" s="406" t="n"/>
      <c r="Q147" s="406" t="n"/>
      <c r="R147" s="406" t="n"/>
      <c r="S147" s="406" t="n"/>
      <c r="T147" s="406" t="n"/>
      <c r="U147" s="406" t="n"/>
      <c r="V147" s="406" t="n"/>
      <c r="W147" s="406" t="n"/>
      <c r="X147" s="406" t="n"/>
      <c r="Y147" s="406" t="n"/>
      <c r="Z147" s="406" t="n"/>
      <c r="AA147" s="406" t="n"/>
      <c r="AB147" s="406" t="n"/>
      <c r="AC147" s="406" t="n"/>
      <c r="AD147" s="406" t="n"/>
      <c r="AE147" s="406" t="n"/>
      <c r="AF147" s="406" t="n"/>
      <c r="AG147" s="406" t="n"/>
      <c r="AH147" s="406" t="n"/>
      <c r="AI147" s="406" t="n"/>
      <c r="AJ147" s="406" t="n"/>
      <c r="AK147" s="2013" t="n"/>
      <c r="AL147" s="2013" t="n"/>
      <c r="AM147" s="2013" t="n"/>
      <c r="AN147" s="11602" t="n"/>
      <c r="AO147" s="11602" t="n"/>
      <c r="AP147" s="11602" t="n"/>
      <c r="AQ147" s="4552" t="inlineStr">
        <is>
          <t>2.  Less adjustments</t>
        </is>
      </c>
      <c r="AR147" s="1130" t="n"/>
      <c r="AS147" s="1130" t="n"/>
      <c r="AT147" s="1130" t="n"/>
      <c r="AU147" s="1130" t="n"/>
      <c r="AV147" s="1130" t="n"/>
      <c r="AW147" s="1130" t="n"/>
      <c r="AX147" s="1130" t="n"/>
      <c r="AY147" s="946" t="n"/>
      <c r="AZ147" s="1131" t="n"/>
    </row>
    <row r="148" ht="15" customFormat="1" customHeight="1" s="815">
      <c r="A148" s="2013" t="n"/>
      <c r="B148" s="3827" t="n"/>
      <c r="C148" s="11602" t="n"/>
      <c r="D148" s="11602" t="n"/>
      <c r="E148" s="8650" t="inlineStr">
        <is>
          <t>academic period that began or is treated as having begun</t>
        </is>
      </c>
      <c r="F148" s="11602" t="n"/>
      <c r="G148" s="11602" t="n"/>
      <c r="H148" s="11602" t="n"/>
      <c r="I148" s="11602" t="n"/>
      <c r="J148" s="11602" t="n"/>
      <c r="K148" s="11602" t="n"/>
      <c r="L148" s="11602" t="n"/>
      <c r="M148" s="11602" t="n"/>
      <c r="N148" s="11602" t="n"/>
      <c r="O148" s="11602" t="n"/>
      <c r="P148" s="11602" t="n"/>
      <c r="Q148" s="11602" t="n"/>
      <c r="R148" s="11602" t="n"/>
      <c r="S148" s="11602" t="n"/>
      <c r="T148" s="11602" t="n"/>
      <c r="U148" s="11602" t="n"/>
      <c r="V148" s="11602" t="n"/>
      <c r="W148" s="11602" t="n"/>
      <c r="X148" s="11602" t="n"/>
      <c r="Y148" s="11602" t="n"/>
      <c r="Z148" s="11602" t="n"/>
      <c r="AA148" s="11602" t="n"/>
      <c r="AB148" s="11602" t="n"/>
      <c r="AC148" s="11602" t="n"/>
      <c r="AD148" s="11602" t="n"/>
      <c r="AE148" s="11602" t="n"/>
      <c r="AF148" s="11602" t="n"/>
      <c r="AG148" s="11602" t="n"/>
      <c r="AH148" s="11602" t="n"/>
      <c r="AI148" s="11602" t="n"/>
      <c r="AJ148" s="11602" t="n"/>
      <c r="AK148" s="2013" t="n"/>
      <c r="AL148" s="2013" t="n"/>
      <c r="AM148" s="2013" t="n"/>
      <c r="AN148" s="11602" t="n"/>
      <c r="AO148" s="11602" t="n"/>
      <c r="AP148" s="11602" t="n"/>
      <c r="AQ148" s="1137" t="inlineStr">
        <is>
          <t>a.</t>
        </is>
      </c>
      <c r="AR148" s="1138">
        <f>"Tax-free educational assistance received in "&amp;TaxYear&amp;" allocable to"</f>
        <v/>
      </c>
      <c r="AS148" s="946" t="n"/>
      <c r="AT148" s="946" t="n"/>
      <c r="AU148" s="946" t="n"/>
      <c r="AV148" s="946" t="n"/>
      <c r="AW148" s="946" t="n"/>
      <c r="AX148" s="946" t="n"/>
      <c r="AY148" s="946" t="n"/>
      <c r="AZ148" s="1136" t="n"/>
    </row>
    <row r="149" ht="15" customFormat="1" customHeight="1" s="815">
      <c r="A149" s="2013" t="n"/>
      <c r="B149" s="3827" t="n"/>
      <c r="C149" s="11602" t="n"/>
      <c r="D149" s="11602" t="n"/>
      <c r="E149" s="8650">
        <f>"in "&amp;TaxYear&amp;" at an eligible educational institution in a program"</f>
        <v/>
      </c>
      <c r="F149" s="11602" t="n"/>
      <c r="G149" s="11602" t="n"/>
      <c r="H149" s="11602" t="n"/>
      <c r="I149" s="11602" t="n"/>
      <c r="J149" s="11602" t="n"/>
      <c r="K149" s="11602" t="n"/>
      <c r="L149" s="11602" t="n"/>
      <c r="M149" s="11602" t="n"/>
      <c r="N149" s="11602" t="n"/>
      <c r="O149" s="11602" t="n"/>
      <c r="P149" s="11602" t="n"/>
      <c r="Q149" s="11602" t="n"/>
      <c r="R149" s="11602" t="n"/>
      <c r="S149" s="11602" t="n"/>
      <c r="T149" s="11602" t="n"/>
      <c r="U149" s="11602" t="n"/>
      <c r="V149" s="11602" t="n"/>
      <c r="W149" s="11602" t="n"/>
      <c r="X149" s="11602" t="n"/>
      <c r="Y149" s="11602" t="n"/>
      <c r="Z149" s="11602" t="n"/>
      <c r="AA149" s="11602" t="n"/>
      <c r="AB149" s="11602" t="n"/>
      <c r="AC149" s="11602" t="n"/>
      <c r="AD149" s="11602" t="n"/>
      <c r="AE149" s="11602" t="n"/>
      <c r="AF149" s="11602" t="n"/>
      <c r="AG149" s="11602" t="n"/>
      <c r="AH149" s="11602" t="n"/>
      <c r="AI149" s="11602" t="n"/>
      <c r="AJ149" s="11602" t="n"/>
      <c r="AK149" s="2013" t="n"/>
      <c r="AL149" s="2013" t="n"/>
      <c r="AM149" s="2013" t="n"/>
      <c r="AN149" s="11602" t="n"/>
      <c r="AO149" s="11602" t="n"/>
      <c r="AP149" s="11602" t="n"/>
      <c r="AQ149" s="1140" t="n"/>
      <c r="AR149" s="1138" t="inlineStr">
        <is>
          <t>the academic period</t>
        </is>
      </c>
      <c r="AS149" s="1141" t="n"/>
      <c r="AT149" s="1141" t="n"/>
      <c r="AU149" s="1141" t="n"/>
      <c r="AV149" s="1141" t="n"/>
      <c r="AW149" s="4539" t="inlineStr">
        <is>
          <t>2a.</t>
        </is>
      </c>
      <c r="AX149" s="7843" t="n"/>
      <c r="AY149" s="946" t="n"/>
      <c r="AZ149" s="1139" t="n"/>
    </row>
    <row r="150" ht="15" customFormat="1" customHeight="1" s="815">
      <c r="A150" s="2013" t="n"/>
      <c r="B150" s="11602" t="n"/>
      <c r="C150" s="11602" t="n"/>
      <c r="D150" s="11602" t="n"/>
      <c r="E150" s="1672" t="inlineStr">
        <is>
          <t>leading towards a postsecondary degree, certificate, or</t>
        </is>
      </c>
      <c r="F150" s="11602" t="n"/>
      <c r="G150" s="11602" t="n"/>
      <c r="H150" s="11602" t="n"/>
      <c r="I150" s="11602" t="n"/>
      <c r="J150" s="11602" t="n"/>
      <c r="K150" s="11602" t="n"/>
      <c r="L150" s="11602" t="n"/>
      <c r="M150" s="11602" t="n"/>
      <c r="N150" s="11602" t="n"/>
      <c r="O150" s="11602" t="n"/>
      <c r="P150" s="11602" t="n"/>
      <c r="Q150" s="11602" t="n"/>
      <c r="R150" s="11602" t="n"/>
      <c r="S150" s="11602" t="n"/>
      <c r="T150" s="1963">
        <f>IF(AC150&lt;&gt;"","","X")</f>
        <v/>
      </c>
      <c r="U150" s="344" t="inlineStr">
        <is>
          <t>Yes -- Go to line 25.</t>
        </is>
      </c>
      <c r="V150" s="11602" t="n"/>
      <c r="W150" s="11602" t="n"/>
      <c r="X150" s="11602" t="n"/>
      <c r="Y150" s="11602" t="n"/>
      <c r="Z150" s="11602" t="n"/>
      <c r="AA150" s="11602" t="n"/>
      <c r="AB150" s="11602" t="n"/>
      <c r="AC150" s="1111" t="n"/>
      <c r="AD150" s="344" t="inlineStr">
        <is>
          <t>No -- Stop!  Go to Line 31.</t>
        </is>
      </c>
      <c r="AE150" s="11602" t="n"/>
      <c r="AF150" s="11602" t="n"/>
      <c r="AG150" s="11602" t="n"/>
      <c r="AH150" s="11602" t="n"/>
      <c r="AI150" s="11602" t="n"/>
      <c r="AJ150" s="11602" t="n"/>
      <c r="AK150" s="2013" t="n"/>
      <c r="AL150" s="2013" t="n"/>
      <c r="AM150" s="2013" t="n"/>
      <c r="AN150" s="11602" t="n"/>
      <c r="AO150" s="11602" t="n"/>
      <c r="AP150" s="11602" t="n"/>
      <c r="AQ150" s="1137" t="inlineStr">
        <is>
          <t>b.</t>
        </is>
      </c>
      <c r="AR150" s="1138">
        <f>"Tax-free educational assistance received in "&amp;TaxYear+1&amp;" (and before you"</f>
        <v/>
      </c>
      <c r="AS150" s="946" t="n"/>
      <c r="AT150" s="946" t="n"/>
      <c r="AU150" s="946" t="n"/>
      <c r="AV150" s="946" t="n"/>
      <c r="AW150" s="946" t="n"/>
      <c r="AX150" s="946" t="n"/>
      <c r="AY150" s="946" t="n"/>
      <c r="AZ150" s="1136" t="n"/>
    </row>
    <row r="151" ht="14.25" customFormat="1" customHeight="1" s="815">
      <c r="A151" s="2013" t="n"/>
      <c r="B151" s="11602" t="n"/>
      <c r="C151" s="11602" t="n"/>
      <c r="D151" s="11602" t="n"/>
      <c r="E151" s="1672" t="inlineStr">
        <is>
          <t>other recognized postsecondary educational credential?</t>
        </is>
      </c>
      <c r="F151" s="11602" t="n"/>
      <c r="G151" s="11602" t="n"/>
      <c r="H151" s="11602" t="n"/>
      <c r="I151" s="11602" t="n"/>
      <c r="J151" s="11602" t="n"/>
      <c r="K151" s="11602" t="n"/>
      <c r="L151" s="11602" t="n"/>
      <c r="M151" s="11602" t="n"/>
      <c r="N151" s="11602" t="n"/>
      <c r="O151" s="11602" t="n"/>
      <c r="P151" s="11602" t="n"/>
      <c r="Q151" s="11602" t="n"/>
      <c r="R151" s="11602" t="n"/>
      <c r="S151" s="11602" t="n"/>
      <c r="T151" s="11602" t="n"/>
      <c r="U151" s="11602" t="n"/>
      <c r="V151" s="11602" t="n"/>
      <c r="W151" s="11602" t="n"/>
      <c r="X151" s="11602" t="n"/>
      <c r="Y151" s="11602" t="n"/>
      <c r="Z151" s="11602" t="n"/>
      <c r="AA151" s="11602" t="n"/>
      <c r="AB151" s="11602" t="n"/>
      <c r="AC151" s="11602" t="n"/>
      <c r="AD151" s="344" t="inlineStr">
        <is>
          <t>for this student</t>
        </is>
      </c>
      <c r="AE151" s="11602" t="n"/>
      <c r="AF151" s="11602" t="n"/>
      <c r="AG151" s="11602" t="n"/>
      <c r="AH151" s="11602" t="n"/>
      <c r="AI151" s="11602" t="n"/>
      <c r="AJ151" s="11602" t="n"/>
      <c r="AK151" s="2013" t="n"/>
      <c r="AL151" s="2013" t="n"/>
      <c r="AM151" s="2013" t="n"/>
      <c r="AN151" s="11602" t="n"/>
      <c r="AO151" s="11602" t="n"/>
      <c r="AP151" s="11602" t="n"/>
      <c r="AQ151" s="1140" t="n"/>
      <c r="AR151" s="1138">
        <f>"file your "&amp;TaxYear&amp;" tax return) allocable to the academic period"</f>
        <v/>
      </c>
      <c r="AS151" s="1141" t="n"/>
      <c r="AT151" s="1141" t="n"/>
      <c r="AU151" s="1141" t="n"/>
      <c r="AV151" s="1141" t="n"/>
      <c r="AW151" s="4539" t="inlineStr">
        <is>
          <t>2b.</t>
        </is>
      </c>
      <c r="AX151" s="7843" t="n"/>
      <c r="AY151" s="946" t="n"/>
      <c r="AZ151" s="1139" t="n"/>
    </row>
    <row r="152" ht="16.5" customFormat="1" customHeight="1" s="1116">
      <c r="A152" s="2067" t="n"/>
      <c r="B152" s="571" t="n"/>
      <c r="C152" s="571" t="n"/>
      <c r="D152" s="571" t="n"/>
      <c r="E152" s="2046" t="inlineStr">
        <is>
          <t>See instructions.</t>
        </is>
      </c>
      <c r="F152" s="571" t="n"/>
      <c r="G152" s="571" t="n"/>
      <c r="H152" s="571" t="n"/>
      <c r="I152" s="571" t="n"/>
      <c r="J152" s="571" t="n"/>
      <c r="K152" s="571" t="n"/>
      <c r="L152" s="571" t="n"/>
      <c r="M152" s="571" t="n"/>
      <c r="N152" s="571" t="n"/>
      <c r="O152" s="571" t="n"/>
      <c r="P152" s="571" t="n"/>
      <c r="Q152" s="571" t="n"/>
      <c r="R152" s="571" t="n"/>
      <c r="S152" s="571" t="n"/>
      <c r="T152" s="571" t="n"/>
      <c r="U152" s="571" t="n"/>
      <c r="V152" s="571" t="n"/>
      <c r="W152" s="571" t="n"/>
      <c r="X152" s="571" t="n"/>
      <c r="Y152" s="571" t="n"/>
      <c r="Z152" s="571" t="n"/>
      <c r="AA152" s="571" t="n"/>
      <c r="AB152" s="571" t="n"/>
      <c r="AC152" s="571" t="n"/>
      <c r="AD152" s="571" t="n"/>
      <c r="AE152" s="571" t="n"/>
      <c r="AF152" s="571" t="n"/>
      <c r="AG152" s="571" t="n"/>
      <c r="AH152" s="571" t="n"/>
      <c r="AI152" s="571" t="n"/>
      <c r="AJ152" s="571" t="n"/>
      <c r="AK152" s="2067" t="n"/>
      <c r="AL152" s="2067" t="n"/>
      <c r="AM152" s="2067" t="n"/>
      <c r="AN152" s="571" t="n"/>
      <c r="AO152" s="571" t="n"/>
      <c r="AP152" s="571" t="n"/>
      <c r="AQ152" s="1137" t="inlineStr">
        <is>
          <t>c.</t>
        </is>
      </c>
      <c r="AR152" s="1138">
        <f>"Refunds of qualified education expenses paid in "&amp;TaxYear&amp;" if the refund"</f>
        <v/>
      </c>
      <c r="AS152" s="946" t="n"/>
      <c r="AT152" s="946" t="n"/>
      <c r="AU152" s="946" t="n"/>
      <c r="AV152" s="946" t="n"/>
      <c r="AW152" s="946" t="n"/>
      <c r="AX152" s="946" t="n"/>
      <c r="AY152" s="946" t="n"/>
      <c r="AZ152" s="1136" t="n"/>
      <c r="BA152" s="138" t="n"/>
      <c r="BB152" s="138" t="n"/>
    </row>
    <row r="153" ht="15" customFormat="1" customHeight="1" s="815">
      <c r="A153" s="2013" t="n"/>
      <c r="B153" s="4555" t="n">
        <v>25</v>
      </c>
      <c r="C153" s="406" t="n"/>
      <c r="D153" s="406" t="n"/>
      <c r="E153" s="2354" t="inlineStr">
        <is>
          <t>Did the student complete the first 4 years of post secondary</t>
        </is>
      </c>
      <c r="F153" s="406" t="n"/>
      <c r="G153" s="406" t="n"/>
      <c r="H153" s="406" t="n"/>
      <c r="I153" s="406" t="n"/>
      <c r="J153" s="406" t="n"/>
      <c r="K153" s="406" t="n"/>
      <c r="L153" s="406" t="n"/>
      <c r="M153" s="406" t="n"/>
      <c r="N153" s="406" t="n"/>
      <c r="O153" s="406" t="n"/>
      <c r="P153" s="406" t="n"/>
      <c r="Q153" s="406" t="n"/>
      <c r="R153" s="406" t="n"/>
      <c r="S153" s="406" t="n"/>
      <c r="T153" s="406" t="n"/>
      <c r="U153" s="406" t="n"/>
      <c r="V153" s="406" t="n"/>
      <c r="W153" s="406" t="n"/>
      <c r="X153" s="406" t="n"/>
      <c r="Y153" s="406" t="n"/>
      <c r="Z153" s="406" t="n"/>
      <c r="AA153" s="406" t="n"/>
      <c r="AB153" s="406" t="n"/>
      <c r="AC153" s="406" t="n"/>
      <c r="AD153" s="406" t="n"/>
      <c r="AE153" s="406" t="n"/>
      <c r="AF153" s="406" t="n"/>
      <c r="AG153" s="406" t="n"/>
      <c r="AH153" s="406" t="n"/>
      <c r="AI153" s="406" t="n"/>
      <c r="AJ153" s="406" t="n"/>
      <c r="AK153" s="2013" t="n"/>
      <c r="AL153" s="2013" t="n"/>
      <c r="AM153" s="2013" t="n"/>
      <c r="AN153" s="11602" t="n"/>
      <c r="AO153" s="11602" t="n"/>
      <c r="AP153" s="11602" t="n"/>
      <c r="AQ153" s="1140" t="n"/>
      <c r="AR153" s="1138">
        <f>"is received in "&amp;TaxYear&amp;" or in "&amp;TaxYear+1&amp;" before you file your "&amp;TaxYear&amp;" tax return."</f>
        <v/>
      </c>
      <c r="AS153" s="1141" t="n"/>
      <c r="AT153" s="1141" t="n"/>
      <c r="AU153" s="1141" t="n"/>
      <c r="AV153" s="1141" t="n"/>
      <c r="AW153" s="4539" t="inlineStr">
        <is>
          <t>2c.</t>
        </is>
      </c>
      <c r="AX153" s="7843" t="n"/>
      <c r="AY153" s="946" t="n"/>
      <c r="AZ153" s="1139" t="n"/>
    </row>
    <row r="154" ht="15" customFormat="1" customHeight="1" s="815">
      <c r="A154" s="2013" t="n"/>
      <c r="B154" s="11602" t="n"/>
      <c r="C154" s="11602" t="n"/>
      <c r="D154" s="11602" t="n"/>
      <c r="E154" s="1672">
        <f>"education before "&amp;TaxYear&amp;"? See instructions."</f>
        <v/>
      </c>
      <c r="F154" s="11602" t="n"/>
      <c r="G154" s="11602" t="n"/>
      <c r="H154" s="11602" t="n"/>
      <c r="I154" s="11602" t="n"/>
      <c r="J154" s="11602" t="n"/>
      <c r="K154" s="11602" t="n"/>
      <c r="L154" s="11602" t="n"/>
      <c r="M154" s="11602" t="n"/>
      <c r="N154" s="11602" t="n"/>
      <c r="O154" s="11602" t="n"/>
      <c r="P154" s="11602" t="n"/>
      <c r="Q154" s="11602" t="n"/>
      <c r="R154" s="11602" t="n"/>
      <c r="S154" s="11602" t="n"/>
      <c r="T154" s="1111" t="n"/>
      <c r="U154" s="344" t="inlineStr">
        <is>
          <t>Yes -- Stop!</t>
        </is>
      </c>
      <c r="V154" s="11602" t="n"/>
      <c r="W154" s="11602" t="n"/>
      <c r="X154" s="11602" t="n"/>
      <c r="Y154" s="11602" t="n"/>
      <c r="Z154" s="11602" t="n"/>
      <c r="AA154" s="11602" t="n"/>
      <c r="AB154" s="11602" t="n"/>
      <c r="AC154" s="1963">
        <f>IF(T154&lt;&gt;"","","X")</f>
        <v/>
      </c>
      <c r="AD154" s="344" t="inlineStr">
        <is>
          <t>No -- Go to line 26.</t>
        </is>
      </c>
      <c r="AE154" s="11602" t="n"/>
      <c r="AF154" s="11602" t="n"/>
      <c r="AG154" s="11602" t="n"/>
      <c r="AH154" s="11602" t="n"/>
      <c r="AI154" s="11602" t="n"/>
      <c r="AJ154" s="11602" t="n"/>
      <c r="AK154" s="2013" t="n"/>
      <c r="AL154" s="2013" t="n"/>
      <c r="AM154" s="2013" t="n"/>
      <c r="AN154" s="11602" t="n"/>
      <c r="AO154" s="11602" t="n"/>
      <c r="AP154" s="11602" t="n"/>
      <c r="AQ154" s="1140" t="n"/>
      <c r="AR154" s="1138" t="n"/>
      <c r="AS154" s="1141" t="n"/>
      <c r="AT154" s="1141" t="n"/>
      <c r="AU154" s="1141" t="n"/>
      <c r="AV154" s="1141" t="n"/>
      <c r="AW154" s="1141" t="n"/>
      <c r="AX154" s="1141" t="n"/>
      <c r="AY154" s="946" t="n"/>
      <c r="AZ154" s="1139" t="n"/>
    </row>
    <row r="155" ht="16.5" customFormat="1" customHeight="1" s="1116">
      <c r="A155" s="2067" t="n"/>
      <c r="B155" s="571" t="n"/>
      <c r="C155" s="571" t="n"/>
      <c r="D155" s="571" t="n"/>
      <c r="E155" s="2046" t="n"/>
      <c r="F155" s="571" t="n"/>
      <c r="G155" s="571" t="n"/>
      <c r="H155" s="571" t="n"/>
      <c r="I155" s="571" t="n"/>
      <c r="J155" s="571" t="n"/>
      <c r="K155" s="571" t="n"/>
      <c r="L155" s="571" t="n"/>
      <c r="M155" s="571" t="n"/>
      <c r="N155" s="571" t="n"/>
      <c r="O155" s="571" t="n"/>
      <c r="P155" s="571" t="n"/>
      <c r="Q155" s="571" t="n"/>
      <c r="R155" s="571" t="n"/>
      <c r="S155" s="571" t="n"/>
      <c r="T155" s="571" t="n"/>
      <c r="U155" s="571" t="inlineStr">
        <is>
          <t>Go to line 31 for this student.</t>
        </is>
      </c>
      <c r="V155" s="571" t="n"/>
      <c r="W155" s="571" t="n"/>
      <c r="X155" s="571" t="n"/>
      <c r="Y155" s="571" t="n"/>
      <c r="Z155" s="571" t="n"/>
      <c r="AA155" s="571" t="n"/>
      <c r="AB155" s="571" t="n"/>
      <c r="AC155" s="571" t="n"/>
      <c r="AD155" s="571" t="n"/>
      <c r="AE155" s="571" t="n"/>
      <c r="AF155" s="571" t="n"/>
      <c r="AG155" s="571" t="n"/>
      <c r="AH155" s="571" t="n"/>
      <c r="AI155" s="571" t="n"/>
      <c r="AJ155" s="571" t="n"/>
      <c r="AK155" s="2067" t="n"/>
      <c r="AL155" s="2067" t="n"/>
      <c r="AM155" s="2067" t="n"/>
      <c r="AN155" s="571" t="n"/>
      <c r="AO155" s="571" t="n"/>
      <c r="AP155" s="571" t="n"/>
      <c r="AQ155" s="4552" t="inlineStr">
        <is>
          <t>3.  Total adjustments (add lines 2a, 2b, and 2c)</t>
        </is>
      </c>
      <c r="AR155" s="4536" t="n"/>
      <c r="AS155" s="4536" t="n"/>
      <c r="AT155" s="4536" t="n"/>
      <c r="AU155" s="4536" t="n"/>
      <c r="AV155" s="4536" t="n"/>
      <c r="AW155" s="4539" t="n"/>
      <c r="AX155" s="4539" t="inlineStr">
        <is>
          <t>3.</t>
        </is>
      </c>
      <c r="AY155" s="7842">
        <f>SUM(AX149,AX151,AX153)</f>
        <v/>
      </c>
      <c r="AZ155" s="4537" t="n"/>
      <c r="BA155" s="138" t="n"/>
      <c r="BB155" s="138" t="n"/>
    </row>
    <row r="156" ht="15" customFormat="1" customHeight="1" s="815">
      <c r="A156" s="2013" t="n"/>
      <c r="B156" s="4555" t="n">
        <v>26</v>
      </c>
      <c r="C156" s="406" t="n"/>
      <c r="D156" s="406" t="n"/>
      <c r="E156" s="2354">
        <f>"Was the student convicted, before the end of "&amp;TaxYear&amp;", of a"</f>
        <v/>
      </c>
      <c r="F156" s="406" t="n"/>
      <c r="G156" s="406" t="n"/>
      <c r="H156" s="406" t="n"/>
      <c r="I156" s="406" t="n"/>
      <c r="J156" s="406" t="n"/>
      <c r="K156" s="406" t="n"/>
      <c r="L156" s="406" t="n"/>
      <c r="M156" s="406" t="n"/>
      <c r="N156" s="406" t="n"/>
      <c r="O156" s="406" t="n"/>
      <c r="P156" s="406" t="n"/>
      <c r="Q156" s="406" t="n"/>
      <c r="R156" s="406" t="n"/>
      <c r="S156" s="406" t="n"/>
      <c r="T156" s="406" t="n"/>
      <c r="U156" s="406" t="n"/>
      <c r="V156" s="406" t="n"/>
      <c r="W156" s="406" t="n"/>
      <c r="X156" s="406" t="n"/>
      <c r="Y156" s="406" t="n"/>
      <c r="Z156" s="406" t="n"/>
      <c r="AA156" s="406" t="n"/>
      <c r="AB156" s="406" t="n"/>
      <c r="AC156" s="406" t="n"/>
      <c r="AD156" s="406" t="n"/>
      <c r="AE156" s="406" t="n"/>
      <c r="AF156" s="406" t="n"/>
      <c r="AG156" s="406" t="n"/>
      <c r="AH156" s="406" t="n"/>
      <c r="AI156" s="406" t="n"/>
      <c r="AJ156" s="406" t="n"/>
      <c r="AK156" s="2013" t="n"/>
      <c r="AL156" s="2013" t="n"/>
      <c r="AM156" s="2013" t="n"/>
      <c r="AN156" s="11602" t="n"/>
      <c r="AO156" s="11602" t="n"/>
      <c r="AP156" s="11602" t="n"/>
      <c r="AQ156" s="1140" t="n"/>
      <c r="AR156" s="1138" t="n"/>
      <c r="AS156" s="1141" t="n"/>
      <c r="AT156" s="1141" t="n"/>
      <c r="AU156" s="1141" t="n"/>
      <c r="AV156" s="1141" t="n"/>
      <c r="AW156" s="1141" t="n"/>
      <c r="AX156" s="1141" t="n"/>
      <c r="AY156" s="946" t="n"/>
      <c r="AZ156" s="1139" t="n"/>
    </row>
    <row r="157" ht="15" customFormat="1" customHeight="1" s="815">
      <c r="A157" s="2013" t="n"/>
      <c r="B157" s="11602" t="n"/>
      <c r="C157" s="11602" t="n"/>
      <c r="D157" s="11602" t="n"/>
      <c r="E157" s="1672" t="inlineStr">
        <is>
          <t>felony for possession or distribution of a controlled</t>
        </is>
      </c>
      <c r="F157" s="11602" t="n"/>
      <c r="G157" s="11602" t="n"/>
      <c r="H157" s="11602" t="n"/>
      <c r="I157" s="11602" t="n"/>
      <c r="J157" s="11602" t="n"/>
      <c r="K157" s="11602" t="n"/>
      <c r="L157" s="11602" t="n"/>
      <c r="M157" s="11602" t="n"/>
      <c r="N157" s="11602" t="n"/>
      <c r="O157" s="11602" t="n"/>
      <c r="P157" s="11602" t="n"/>
      <c r="Q157" s="11602" t="n"/>
      <c r="R157" s="11602" t="n"/>
      <c r="S157" s="11602" t="n"/>
      <c r="T157" s="1111" t="n"/>
      <c r="U157" s="344" t="inlineStr">
        <is>
          <t>Yes -- Stop!</t>
        </is>
      </c>
      <c r="V157" s="11602" t="n"/>
      <c r="W157" s="11602" t="n"/>
      <c r="X157" s="11602" t="n"/>
      <c r="Y157" s="11602" t="n"/>
      <c r="Z157" s="11602" t="n"/>
      <c r="AA157" s="11602" t="n"/>
      <c r="AB157" s="11602" t="n"/>
      <c r="AC157" s="1963">
        <f>IF(T157&lt;&gt;"","","X")</f>
        <v/>
      </c>
      <c r="AD157" s="344" t="inlineStr">
        <is>
          <t>No -- Complete lines 27</t>
        </is>
      </c>
      <c r="AE157" s="11602" t="n"/>
      <c r="AF157" s="11602" t="n"/>
      <c r="AG157" s="11602" t="n"/>
      <c r="AH157" s="11602" t="n"/>
      <c r="AI157" s="11602" t="n"/>
      <c r="AJ157" s="11602" t="n"/>
      <c r="AK157" s="2013" t="n"/>
      <c r="AL157" s="2013" t="n"/>
      <c r="AM157" s="2013" t="n"/>
      <c r="AN157" s="11602" t="n"/>
      <c r="AO157" s="226" t="inlineStr">
        <is>
          <t>Manual</t>
        </is>
      </c>
      <c r="AP157" s="11602" t="n"/>
      <c r="AQ157" s="4552" t="inlineStr">
        <is>
          <t>4.  Adjusted qualified education expenses. Subtract line 3 from line 1.</t>
        </is>
      </c>
      <c r="AR157" s="1138" t="n"/>
      <c r="AS157" s="1141" t="n"/>
      <c r="AT157" s="1141" t="n"/>
      <c r="AU157" s="1141" t="n"/>
      <c r="AV157" s="1141" t="n"/>
      <c r="AW157" s="1141" t="n"/>
      <c r="AX157" s="1141" t="n"/>
      <c r="AY157" s="946" t="n"/>
      <c r="AZ157" s="1139" t="n"/>
    </row>
    <row r="158" ht="16.5" customFormat="1" customHeight="1" s="1116">
      <c r="A158" s="2067" t="n"/>
      <c r="B158" s="2068" t="n"/>
      <c r="C158" s="2068" t="n"/>
      <c r="D158" s="2068" t="n"/>
      <c r="E158" s="4556" t="inlineStr">
        <is>
          <t>substance?</t>
        </is>
      </c>
      <c r="F158" s="2068" t="n"/>
      <c r="G158" s="2068" t="n"/>
      <c r="H158" s="2068" t="n"/>
      <c r="I158" s="2068" t="n"/>
      <c r="J158" s="2068" t="n"/>
      <c r="K158" s="2068" t="n"/>
      <c r="L158" s="2068" t="n"/>
      <c r="M158" s="2068" t="n"/>
      <c r="N158" s="2068" t="n"/>
      <c r="O158" s="2068" t="n"/>
      <c r="P158" s="2068" t="n"/>
      <c r="Q158" s="2068" t="n"/>
      <c r="R158" s="2068" t="n"/>
      <c r="S158" s="2068" t="n"/>
      <c r="T158" s="2068" t="n"/>
      <c r="U158" s="2068" t="inlineStr">
        <is>
          <t>Go to line 31 for this student.</t>
        </is>
      </c>
      <c r="V158" s="2068" t="n"/>
      <c r="W158" s="2068" t="n"/>
      <c r="X158" s="2068" t="n"/>
      <c r="Y158" s="2068" t="n"/>
      <c r="Z158" s="2068" t="n"/>
      <c r="AA158" s="2068" t="n"/>
      <c r="AB158" s="2068" t="n"/>
      <c r="AC158" s="2068" t="n"/>
      <c r="AD158" s="4162" t="inlineStr">
        <is>
          <t>through 30 for this student.</t>
        </is>
      </c>
      <c r="AE158" s="2068" t="n"/>
      <c r="AF158" s="2068" t="n"/>
      <c r="AG158" s="2068" t="n"/>
      <c r="AH158" s="2068" t="n"/>
      <c r="AI158" s="2068" t="n"/>
      <c r="AJ158" s="2068" t="n"/>
      <c r="AK158" s="2067" t="n"/>
      <c r="AL158" s="2067" t="n"/>
      <c r="AM158" s="2067" t="n"/>
      <c r="AN158" s="571" t="n"/>
      <c r="AO158" s="226" t="inlineStr">
        <is>
          <t>Override ê</t>
        </is>
      </c>
      <c r="AP158" s="571" t="n"/>
      <c r="AQ158" s="4554" t="inlineStr">
        <is>
          <t>If zero or less, enter -0-</t>
        </is>
      </c>
      <c r="AR158" s="4536" t="n"/>
      <c r="AS158" s="4536" t="n"/>
      <c r="AT158" s="4557" t="inlineStr">
        <is>
          <t>Enter result into Part III, line 27  OR  line 31.</t>
        </is>
      </c>
      <c r="AU158" s="4536" t="n"/>
      <c r="AV158" s="4536" t="n"/>
      <c r="AW158" s="4539" t="n"/>
      <c r="AX158" s="4539" t="inlineStr">
        <is>
          <t>4.</t>
        </is>
      </c>
      <c r="AY158" s="7842">
        <f>IF(AY145="","",MAX(0,SUM(AY145,-AY155)))</f>
        <v/>
      </c>
      <c r="AZ158" s="4537" t="n"/>
      <c r="BA158" s="138" t="n"/>
      <c r="BB158" s="138" t="n"/>
    </row>
    <row r="159" ht="9.75" customFormat="1" customHeight="1" s="815" thickBot="1">
      <c r="A159" s="2013" t="n"/>
      <c r="B159" s="4558" t="n"/>
      <c r="C159" s="4558" t="n"/>
      <c r="D159" s="4558" t="n"/>
      <c r="E159" s="4558" t="n"/>
      <c r="F159" s="4558" t="n"/>
      <c r="G159" s="4558" t="n"/>
      <c r="H159" s="4558" t="n"/>
      <c r="I159" s="4558" t="n"/>
      <c r="J159" s="4558" t="n"/>
      <c r="K159" s="4558" t="n"/>
      <c r="L159" s="4558" t="n"/>
      <c r="M159" s="4558" t="n"/>
      <c r="N159" s="4558" t="n"/>
      <c r="O159" s="4558" t="n"/>
      <c r="P159" s="4558" t="n"/>
      <c r="Q159" s="4558" t="n"/>
      <c r="R159" s="4558" t="n"/>
      <c r="S159" s="4558" t="n"/>
      <c r="T159" s="4558" t="n"/>
      <c r="U159" s="4558" t="n"/>
      <c r="V159" s="4558" t="n"/>
      <c r="W159" s="4558" t="n"/>
      <c r="X159" s="4558" t="n"/>
      <c r="Y159" s="4558" t="n"/>
      <c r="Z159" s="4558" t="n"/>
      <c r="AA159" s="4558" t="n"/>
      <c r="AB159" s="4558" t="n"/>
      <c r="AC159" s="4558" t="n"/>
      <c r="AD159" s="4558" t="n"/>
      <c r="AE159" s="4558" t="n"/>
      <c r="AF159" s="4558" t="n"/>
      <c r="AG159" s="4558" t="n"/>
      <c r="AH159" s="4558" t="n"/>
      <c r="AI159" s="4558" t="n"/>
      <c r="AJ159" s="4558" t="n"/>
      <c r="AK159" s="2013" t="n"/>
      <c r="AL159" s="2013" t="n"/>
      <c r="AM159" s="2013" t="n"/>
      <c r="AN159" s="11602" t="n"/>
      <c r="AO159" s="11602" t="n"/>
      <c r="AP159" s="11602" t="n"/>
      <c r="AQ159" s="1142" t="n"/>
      <c r="AR159" s="1143" t="n"/>
      <c r="AS159" s="1144" t="n"/>
      <c r="AT159" s="1144" t="n"/>
      <c r="AU159" s="1144" t="n"/>
      <c r="AV159" s="1144" t="n"/>
      <c r="AW159" s="1144" t="n"/>
      <c r="AX159" s="1144" t="n"/>
      <c r="AY159" s="1144" t="n"/>
      <c r="AZ159" s="1145" t="n"/>
    </row>
    <row r="160" ht="14.25" customFormat="1" customHeight="1" s="1115">
      <c r="A160" s="2290" t="n"/>
      <c r="B160" s="342" t="inlineStr">
        <is>
          <t>Caution:</t>
        </is>
      </c>
      <c r="C160" s="2319" t="n"/>
      <c r="D160" s="2319" t="n"/>
      <c r="E160" s="1117" t="inlineStr">
        <is>
          <t>You can't take the American opportunity credit and the lifetime learning credit for the same student in the same year.</t>
        </is>
      </c>
      <c r="F160" s="2319" t="n"/>
      <c r="G160" s="2319" t="n"/>
      <c r="H160" s="2319" t="n"/>
      <c r="I160" s="2319" t="n"/>
      <c r="J160" s="2319" t="n"/>
      <c r="K160" s="2319" t="n"/>
      <c r="L160" s="2319" t="n"/>
      <c r="M160" s="2319" t="n"/>
      <c r="N160" s="2319" t="n"/>
      <c r="O160" s="2319" t="n"/>
      <c r="P160" s="2319" t="n"/>
      <c r="Q160" s="2319" t="n"/>
      <c r="R160" s="2319" t="n"/>
      <c r="S160" s="2319" t="n"/>
      <c r="T160" s="2319" t="n"/>
      <c r="U160" s="2319" t="n"/>
      <c r="V160" s="2319" t="n"/>
      <c r="W160" s="2319" t="n"/>
      <c r="X160" s="2319" t="n"/>
      <c r="Y160" s="2319" t="n"/>
      <c r="Z160" s="2319" t="n"/>
      <c r="AA160" s="2319" t="n"/>
      <c r="AB160" s="2319" t="n"/>
      <c r="AC160" s="2319" t="n"/>
      <c r="AD160" s="2319" t="n"/>
      <c r="AE160" s="2319" t="n"/>
      <c r="AF160" s="2319" t="n"/>
      <c r="AG160" s="2319" t="n"/>
      <c r="AH160" s="2319" t="n"/>
      <c r="AI160" s="2319" t="n"/>
      <c r="AJ160" s="2319" t="n"/>
      <c r="AK160" s="2290" t="n"/>
      <c r="AL160" s="2290" t="n"/>
      <c r="AM160" s="2290" t="n"/>
      <c r="AN160" s="4520" t="n"/>
      <c r="AO160" s="2158">
        <f>OR(AND(AH163,AO171&lt;&gt;""),AND(NOT(AH163),AO168&lt;&gt;""))</f>
        <v/>
      </c>
      <c r="AP160" s="4521" t="n"/>
      <c r="AQ160" s="658" t="n"/>
      <c r="AR160" s="664" t="n"/>
      <c r="AS160" s="658" t="n"/>
      <c r="AT160" s="658" t="n"/>
      <c r="AU160" s="658" t="n"/>
      <c r="AV160" s="658" t="n"/>
      <c r="AW160" s="658" t="n"/>
      <c r="AX160" s="658" t="n"/>
      <c r="AY160" s="658" t="n"/>
      <c r="AZ160" s="658" t="n"/>
      <c r="BA160" s="2293" t="n"/>
      <c r="BB160" s="2293" t="n"/>
    </row>
    <row r="161" ht="16.5" customFormat="1" customHeight="1" s="1115">
      <c r="A161" s="2290" t="n"/>
      <c r="B161" s="2319" t="n"/>
      <c r="C161" s="2319" t="n"/>
      <c r="D161" s="2319" t="n"/>
      <c r="E161" s="1118" t="inlineStr">
        <is>
          <t>If you complete lines 27 through 30 for this student, don’t complete line 31.</t>
        </is>
      </c>
      <c r="F161" s="2319" t="n"/>
      <c r="G161" s="2319" t="n"/>
      <c r="H161" s="2319" t="n"/>
      <c r="I161" s="2319" t="n"/>
      <c r="J161" s="2319" t="n"/>
      <c r="K161" s="2319" t="n"/>
      <c r="L161" s="2319" t="n"/>
      <c r="M161" s="2319" t="n"/>
      <c r="N161" s="2319" t="n"/>
      <c r="O161" s="2319" t="n"/>
      <c r="P161" s="2319" t="n"/>
      <c r="Q161" s="2319" t="n"/>
      <c r="R161" s="2319" t="n"/>
      <c r="S161" s="2319" t="n"/>
      <c r="T161" s="2319" t="n"/>
      <c r="U161" s="2319" t="n"/>
      <c r="V161" s="2319" t="n"/>
      <c r="W161" s="2319" t="n"/>
      <c r="X161" s="2319" t="n"/>
      <c r="Y161" s="2319" t="n"/>
      <c r="Z161" s="2319" t="n"/>
      <c r="AA161" s="2319" t="n"/>
      <c r="AB161" s="2319" t="n"/>
      <c r="AC161" s="2319" t="n"/>
      <c r="AD161" s="2319" t="n"/>
      <c r="AE161" s="2319" t="n"/>
      <c r="AF161" s="2319" t="n"/>
      <c r="AG161" s="2319" t="n"/>
      <c r="AH161" s="2319" t="n"/>
      <c r="AI161" s="2319" t="n"/>
      <c r="AJ161" s="2319" t="n"/>
      <c r="AK161" s="2290" t="n"/>
      <c r="AL161" s="2290" t="n"/>
      <c r="AM161" s="2290" t="n"/>
      <c r="AN161" s="4520" t="n"/>
      <c r="AO161" s="2158">
        <f>OR(AND(AH163,AO171&lt;&gt;""),AND(NOT(AH163),AO168&lt;&gt;""))</f>
        <v/>
      </c>
      <c r="AP161" s="4521" t="n"/>
      <c r="AQ161" s="658" t="n"/>
      <c r="AR161" s="664" t="n"/>
      <c r="AS161" s="658" t="n"/>
      <c r="AT161" s="658" t="n"/>
      <c r="AU161" s="658" t="n"/>
      <c r="AV161" s="658" t="n"/>
      <c r="AW161" s="658" t="n"/>
      <c r="AX161" s="658" t="n"/>
      <c r="AY161" s="658" t="n"/>
      <c r="AZ161" s="658" t="n"/>
      <c r="BA161" s="2293" t="n"/>
      <c r="BB161" s="2293" t="n"/>
    </row>
    <row r="162" ht="6" customFormat="1" customHeight="1" s="815">
      <c r="A162" s="2013" t="n"/>
      <c r="B162" s="4559" t="n"/>
      <c r="C162" s="4559" t="n"/>
      <c r="D162" s="4559" t="n"/>
      <c r="E162" s="4559" t="n"/>
      <c r="F162" s="4559" t="n"/>
      <c r="G162" s="4559" t="n"/>
      <c r="H162" s="4559" t="n"/>
      <c r="I162" s="4559" t="n"/>
      <c r="J162" s="4559" t="n"/>
      <c r="K162" s="4559" t="n"/>
      <c r="L162" s="4559" t="n"/>
      <c r="M162" s="4559" t="n"/>
      <c r="N162" s="4559" t="n"/>
      <c r="O162" s="4559" t="n"/>
      <c r="P162" s="4559" t="n"/>
      <c r="Q162" s="4559" t="n"/>
      <c r="R162" s="4559" t="n"/>
      <c r="S162" s="4559" t="n"/>
      <c r="T162" s="4559" t="n"/>
      <c r="U162" s="4559" t="n"/>
      <c r="V162" s="4559" t="n"/>
      <c r="W162" s="4559" t="n"/>
      <c r="X162" s="4559" t="n"/>
      <c r="Y162" s="4559" t="n"/>
      <c r="Z162" s="4559" t="n"/>
      <c r="AA162" s="4559" t="n"/>
      <c r="AB162" s="4559" t="n"/>
      <c r="AC162" s="4559" t="n"/>
      <c r="AD162" s="4559" t="n"/>
      <c r="AE162" s="4559" t="n"/>
      <c r="AF162" s="4559" t="n"/>
      <c r="AG162" s="4559" t="n"/>
      <c r="AH162" s="4559" t="n"/>
      <c r="AI162" s="4559" t="n"/>
      <c r="AJ162" s="4559" t="n"/>
      <c r="AK162" s="2013" t="n"/>
      <c r="AL162" s="2013" t="n"/>
      <c r="AM162" s="2013" t="n"/>
      <c r="AN162" s="11602" t="n"/>
      <c r="AO162" s="11602" t="n"/>
      <c r="AP162" s="11602" t="n"/>
      <c r="AQ162" s="658" t="n"/>
      <c r="AR162" s="658" t="n"/>
      <c r="AS162" s="658" t="n"/>
      <c r="AT162" s="658" t="n"/>
      <c r="AU162" s="658" t="n"/>
      <c r="AV162" s="658" t="n"/>
      <c r="AW162" s="658" t="n"/>
      <c r="AX162" s="658" t="n"/>
      <c r="AY162" s="658" t="n"/>
      <c r="AZ162" s="658" t="n"/>
    </row>
    <row r="163" ht="16.5" customFormat="1" customHeight="1" s="815" thickBot="1">
      <c r="A163" s="2013" t="n"/>
      <c r="B163" s="3844" t="n"/>
      <c r="C163" s="4560" t="inlineStr">
        <is>
          <t>American Opportunity Credit</t>
        </is>
      </c>
      <c r="D163" s="413" t="n"/>
      <c r="E163" s="413" t="n"/>
      <c r="F163" s="413" t="n"/>
      <c r="G163" s="413" t="n"/>
      <c r="H163" s="413" t="n"/>
      <c r="I163" s="413" t="n"/>
      <c r="J163" s="413" t="n"/>
      <c r="K163" s="413" t="n"/>
      <c r="L163" s="413" t="n"/>
      <c r="M163" s="413" t="n"/>
      <c r="N163" s="413" t="n"/>
      <c r="O163" s="413" t="n"/>
      <c r="P163" s="413" t="n"/>
      <c r="Q163" s="413" t="n"/>
      <c r="R163" s="413" t="n"/>
      <c r="S163" s="413" t="n"/>
      <c r="T163" s="413" t="n"/>
      <c r="U163" s="413" t="n"/>
      <c r="V163" s="413" t="n"/>
      <c r="W163" s="413" t="n"/>
      <c r="X163" s="413" t="n"/>
      <c r="Y163" s="413" t="n"/>
      <c r="Z163" s="413" t="n"/>
      <c r="AA163" s="413" t="n"/>
      <c r="AB163" s="11129">
        <f>AND(AE164&lt;&gt;"",AE164&gt;AO165)</f>
        <v/>
      </c>
      <c r="AC163" s="8412" t="n"/>
      <c r="AD163" s="413" t="n"/>
      <c r="AE163" s="413" t="n"/>
      <c r="AF163" s="413" t="n"/>
      <c r="AG163" s="413" t="n"/>
      <c r="AH163" s="11129">
        <f>AND(T145="",AC150="",T154="",T157="")</f>
        <v/>
      </c>
      <c r="AI163" s="8412" t="n"/>
      <c r="AJ163" s="8412" t="n"/>
      <c r="AK163" s="2013" t="n"/>
      <c r="AL163" s="2013" t="n"/>
      <c r="AM163" s="2013" t="n"/>
      <c r="AN163" s="11602" t="n"/>
      <c r="AO163" s="11602" t="n"/>
      <c r="AP163" s="11602" t="n"/>
      <c r="AQ163" s="658" t="n"/>
      <c r="AR163" s="658" t="n"/>
      <c r="AS163" s="658" t="n"/>
      <c r="AT163" s="658" t="n"/>
      <c r="AU163" s="658" t="n"/>
      <c r="AV163" s="658" t="n"/>
      <c r="AW163" s="658" t="n"/>
      <c r="AX163" s="658" t="n"/>
      <c r="AY163" s="658" t="n"/>
      <c r="AZ163" s="658" t="n"/>
    </row>
    <row r="164" ht="16.5" customFormat="1" customHeight="1" s="815" thickBot="1">
      <c r="A164" s="2013" t="n"/>
      <c r="B164" s="4555" t="n">
        <v>27</v>
      </c>
      <c r="C164" s="11602" t="n"/>
      <c r="D164" s="8650" t="inlineStr">
        <is>
          <t>Adjusted qualified education expenses (see instructions).</t>
        </is>
      </c>
      <c r="E164" s="8650" t="n"/>
      <c r="F164" s="11602" t="n"/>
      <c r="G164" s="11602" t="n"/>
      <c r="H164" s="11602" t="n"/>
      <c r="I164" s="11602" t="n"/>
      <c r="J164" s="11602" t="n"/>
      <c r="K164" s="11602" t="n"/>
      <c r="L164" s="11602" t="n"/>
      <c r="M164" s="11602" t="n"/>
      <c r="N164" s="11602" t="n"/>
      <c r="O164" s="11602" t="n"/>
      <c r="P164" s="11602" t="n"/>
      <c r="Q164" s="11602" t="n"/>
      <c r="R164" s="4561">
        <f>"Don't enter more than "&amp;TEXT(AO165,"$0,000")&amp;"."</f>
        <v/>
      </c>
      <c r="S164" s="11602" t="n"/>
      <c r="T164" s="11602" t="n"/>
      <c r="U164" s="11602" t="n"/>
      <c r="V164" s="11602" t="n"/>
      <c r="W164" s="11602" t="n"/>
      <c r="X164" s="11602" t="n"/>
      <c r="Y164" s="11602" t="n"/>
      <c r="Z164" s="4562" t="n"/>
      <c r="AA164" s="4562" t="n"/>
      <c r="AB164" s="9788" t="n"/>
      <c r="AC164" s="4563" t="n"/>
      <c r="AD164" s="2918" t="n">
        <v>27</v>
      </c>
      <c r="AE164" s="10786">
        <f>IF(AO164&lt;&gt;"",ROUND(AO164,0),IF(OR(NOT(AH163),AY158=""),"",MIN(AO165,AY158)))</f>
        <v/>
      </c>
      <c r="AF164" s="7637" t="n"/>
      <c r="AG164" s="7637" t="n"/>
      <c r="AH164" s="7637" t="n"/>
      <c r="AI164" s="7637" t="n"/>
      <c r="AJ164" s="7637" t="n"/>
      <c r="AK164" s="2013" t="n"/>
      <c r="AL164" s="2013" t="n"/>
      <c r="AM164" s="2013" t="n"/>
      <c r="AN164" s="11602" t="n"/>
      <c r="AO164" s="1113" t="n"/>
      <c r="AP164" s="11602" t="n"/>
      <c r="AQ164" s="658" t="n"/>
      <c r="AR164" s="658" t="n"/>
      <c r="AS164" s="658" t="n"/>
      <c r="AT164" s="658" t="n"/>
      <c r="AU164" s="658" t="n"/>
      <c r="AV164" s="658" t="n"/>
      <c r="AW164" s="658" t="n"/>
      <c r="AX164" s="658" t="n"/>
      <c r="AY164" s="658" t="n"/>
      <c r="AZ164" s="658" t="n"/>
    </row>
    <row r="165" ht="17.25" customFormat="1" customHeight="1" s="815">
      <c r="A165" s="2013" t="n"/>
      <c r="B165" s="3827" t="n">
        <v>28</v>
      </c>
      <c r="C165" s="11602" t="n"/>
      <c r="D165" s="8650">
        <f>"Subtract "&amp;TEXT(AO166,"$0,000")&amp;" from line 27. If zero or less, enter -0-"</f>
        <v/>
      </c>
      <c r="E165" s="11602" t="n"/>
      <c r="F165" s="11602" t="n"/>
      <c r="G165" s="11602" t="n"/>
      <c r="H165" s="11602" t="n"/>
      <c r="I165" s="11602" t="n"/>
      <c r="J165" s="11602" t="n"/>
      <c r="K165" s="11602" t="n"/>
      <c r="L165" s="11602" t="n"/>
      <c r="M165" s="11602" t="n"/>
      <c r="N165" s="11602" t="n"/>
      <c r="O165" s="11602" t="n"/>
      <c r="P165" s="11602" t="n"/>
      <c r="Q165" s="11602" t="n"/>
      <c r="R165" s="11602" t="n"/>
      <c r="S165" s="11602" t="n"/>
      <c r="T165" s="11602" t="n"/>
      <c r="U165" s="11602" t="n"/>
      <c r="V165" s="11602" t="n"/>
      <c r="W165" s="11602" t="n"/>
      <c r="X165" s="11602" t="n"/>
      <c r="Y165" s="11602" t="n"/>
      <c r="Z165" s="3830" t="n"/>
      <c r="AA165" s="3830" t="n"/>
      <c r="AB165" s="11602" t="n"/>
      <c r="AC165" s="1401" t="inlineStr">
        <is>
          <t xml:space="preserve">.   .   .   .    .   .   .   .   .   .   .   .   .   .   .   .   .   .   .   .   . </t>
        </is>
      </c>
      <c r="AD165" s="2918" t="n">
        <v>28</v>
      </c>
      <c r="AE165" s="10786">
        <f>IF(OR(NOT(AH163),AY158=""),"",MAX(0,SUM(AE164,-AO166)))</f>
        <v/>
      </c>
      <c r="AF165" s="7637" t="n"/>
      <c r="AG165" s="7637" t="n"/>
      <c r="AH165" s="7637" t="n"/>
      <c r="AI165" s="7637" t="n"/>
      <c r="AJ165" s="7637" t="n"/>
      <c r="AK165" s="2013" t="n"/>
      <c r="AL165" s="2013" t="n"/>
      <c r="AM165" s="2013" t="n"/>
      <c r="AN165" s="11602" t="n"/>
      <c r="AO165" s="512" t="n">
        <v>4000</v>
      </c>
      <c r="AP165" s="11602" t="n"/>
      <c r="AQ165" s="658" t="n"/>
      <c r="AR165" s="658" t="n"/>
      <c r="AS165" s="658" t="n"/>
      <c r="AT165" s="658" t="n"/>
      <c r="AU165" s="658" t="n"/>
      <c r="AV165" s="658" t="n"/>
      <c r="AW165" s="658" t="n"/>
      <c r="AX165" s="658" t="n"/>
      <c r="AY165" s="658" t="n"/>
      <c r="AZ165" s="658" t="n"/>
    </row>
    <row r="166" ht="17.25" customFormat="1" customHeight="1" s="815">
      <c r="A166" s="2013" t="n"/>
      <c r="B166" s="3827" t="n">
        <v>29</v>
      </c>
      <c r="C166" s="11602" t="n"/>
      <c r="D166" s="8650">
        <f>"Multiply line 28 by "&amp;TEXT(AB167,"0%")&amp;" ("&amp;TEXT(AB167,"0.00")&amp;")"</f>
        <v/>
      </c>
      <c r="E166" s="8650" t="n"/>
      <c r="F166" s="8650" t="n"/>
      <c r="G166" s="11602" t="n"/>
      <c r="H166" s="11602" t="n"/>
      <c r="I166" s="11602" t="n"/>
      <c r="J166" s="11602" t="n"/>
      <c r="K166" s="11602" t="n"/>
      <c r="L166" s="7886" t="n"/>
      <c r="M166" s="7886" t="n"/>
      <c r="N166" s="7886" t="n"/>
      <c r="O166" s="7886" t="n"/>
      <c r="P166" s="7886" t="n"/>
      <c r="Q166" s="7886" t="n"/>
      <c r="R166" s="7886" t="n"/>
      <c r="S166" s="7886" t="n"/>
      <c r="T166" s="7886" t="n"/>
      <c r="U166" s="7886" t="n"/>
      <c r="V166" s="7886" t="n"/>
      <c r="W166" s="7886" t="n"/>
      <c r="X166" s="7886" t="n"/>
      <c r="Y166" s="7886" t="n"/>
      <c r="Z166" s="7886" t="n"/>
      <c r="AA166" s="7886" t="n"/>
      <c r="AB166" s="7886" t="n"/>
      <c r="AC166" s="1401" t="inlineStr">
        <is>
          <t xml:space="preserve">.   .   .   .   .    .   .   .   .   .   .   .   .    .   .   .   .   .   .   .   .   .   .   .   .   .   .   .   .   . </t>
        </is>
      </c>
      <c r="AD166" s="2918" t="n">
        <v>29</v>
      </c>
      <c r="AE166" s="10786">
        <f>IF(OR(NOT(AH163),AY158=""),"",ROUND(AE165*AB167,0))</f>
        <v/>
      </c>
      <c r="AF166" s="7637" t="n"/>
      <c r="AG166" s="7637" t="n"/>
      <c r="AH166" s="7637" t="n"/>
      <c r="AI166" s="7637" t="n"/>
      <c r="AJ166" s="7637" t="n"/>
      <c r="AK166" s="2013" t="n"/>
      <c r="AL166" s="2013" t="n"/>
      <c r="AM166" s="2013" t="n"/>
      <c r="AN166" s="11602" t="n"/>
      <c r="AO166" s="512" t="n">
        <v>2000</v>
      </c>
      <c r="AP166" s="11602" t="n"/>
      <c r="AQ166" s="658" t="n"/>
      <c r="AR166" s="658" t="n"/>
      <c r="AS166" s="658" t="n"/>
      <c r="AT166" s="658" t="n"/>
      <c r="AU166" s="658" t="n"/>
      <c r="AV166" s="658" t="n"/>
      <c r="AW166" s="658" t="n"/>
      <c r="AX166" s="658" t="n"/>
      <c r="AY166" s="658" t="n"/>
      <c r="AZ166" s="658" t="n"/>
    </row>
    <row r="167" ht="15.75" customFormat="1" customHeight="1" s="815" thickBot="1">
      <c r="A167" s="2013" t="n"/>
      <c r="B167" s="3827" t="n">
        <v>30</v>
      </c>
      <c r="C167" s="11602" t="n"/>
      <c r="D167" s="8650" t="inlineStr">
        <is>
          <t>If line 28 is zero, enter the amount from line 27. Otherwise, add $2,000 to the amount on line 29 and</t>
        </is>
      </c>
      <c r="E167" s="8650" t="n"/>
      <c r="F167" s="8650" t="n"/>
      <c r="G167" s="11602" t="n"/>
      <c r="H167" s="11602" t="n"/>
      <c r="I167" s="11602" t="n"/>
      <c r="J167" s="11602" t="n"/>
      <c r="K167" s="11602" t="n"/>
      <c r="L167" s="11602" t="n"/>
      <c r="M167" s="11602" t="n"/>
      <c r="N167" s="11602" t="n"/>
      <c r="O167" s="11602" t="n"/>
      <c r="P167" s="11602" t="n"/>
      <c r="Q167" s="11602" t="n"/>
      <c r="R167" s="11602" t="n"/>
      <c r="S167" s="11602" t="n"/>
      <c r="T167" s="11602" t="n"/>
      <c r="U167" s="11602" t="n"/>
      <c r="V167" s="11602" t="n"/>
      <c r="W167" s="11602" t="n"/>
      <c r="X167" s="11602" t="n"/>
      <c r="Y167" s="11602" t="n"/>
      <c r="Z167" s="11602" t="n"/>
      <c r="AA167" s="11602" t="n"/>
      <c r="AB167" s="10789" t="n">
        <v>0.25</v>
      </c>
      <c r="AC167" s="7636" t="n"/>
      <c r="AD167" s="2890" t="n"/>
      <c r="AE167" s="11602" t="n"/>
      <c r="AF167" s="11602" t="n"/>
      <c r="AG167" s="11602" t="n"/>
      <c r="AH167" s="11602" t="n"/>
      <c r="AI167" s="11602" t="n"/>
      <c r="AJ167" s="11602" t="n"/>
      <c r="AK167" s="2013" t="n"/>
      <c r="AL167" s="2013" t="n"/>
      <c r="AM167" s="2013" t="n"/>
      <c r="AN167" s="11602" t="n"/>
      <c r="AO167" s="11602" t="n"/>
      <c r="AP167" s="11602" t="n"/>
      <c r="AQ167" s="658" t="n"/>
      <c r="AR167" s="658" t="n"/>
      <c r="AS167" s="658" t="n"/>
      <c r="AT167" s="658" t="n"/>
      <c r="AU167" s="658" t="n"/>
      <c r="AV167" s="658" t="n"/>
      <c r="AW167" s="658" t="n"/>
      <c r="AX167" s="658" t="n"/>
      <c r="AY167" s="658" t="n"/>
      <c r="AZ167" s="658" t="n"/>
    </row>
    <row r="168" ht="15.75" customFormat="1" customHeight="1" s="815" thickBot="1">
      <c r="A168" s="2013" t="n"/>
      <c r="B168" s="11602" t="n"/>
      <c r="C168" s="11602" t="n"/>
      <c r="D168" s="8650" t="inlineStr">
        <is>
          <t>enter the result. Skip line 31. Include the total of all amounts from all Parts III, line 30, on Part I, line 1.</t>
        </is>
      </c>
      <c r="E168" s="8650" t="n"/>
      <c r="F168" s="8650" t="n"/>
      <c r="G168" s="11602" t="n"/>
      <c r="H168" s="11602" t="n"/>
      <c r="I168" s="11602" t="n"/>
      <c r="J168" s="11602" t="n"/>
      <c r="K168" s="11602" t="n"/>
      <c r="L168" s="11602" t="n"/>
      <c r="M168" s="11602" t="n"/>
      <c r="N168" s="11602" t="n"/>
      <c r="O168" s="11602" t="n"/>
      <c r="P168" s="11602" t="n"/>
      <c r="Q168" s="11602" t="n"/>
      <c r="R168" s="11602" t="n"/>
      <c r="S168" s="11602" t="n"/>
      <c r="T168" s="11602" t="n"/>
      <c r="U168" s="11602" t="n"/>
      <c r="V168" s="11602" t="n"/>
      <c r="W168" s="11602" t="n"/>
      <c r="X168" s="11602" t="n"/>
      <c r="Y168" s="11602" t="n"/>
      <c r="Z168" s="11602" t="n"/>
      <c r="AA168" s="11602" t="n"/>
      <c r="AB168" s="11602" t="n"/>
      <c r="AC168" s="1401" t="inlineStr">
        <is>
          <t xml:space="preserve">.   .   . </t>
        </is>
      </c>
      <c r="AD168" s="2922" t="n">
        <v>30</v>
      </c>
      <c r="AE168" s="11134">
        <f>IF(AO168&lt;&gt;"",ROUND(AO168,0),IF(OR(NOT(AH163),AE164=0,AE164="",AY158=""),"",IF(OR(AE165=0,AE165=""),AE164,SUM(AE166,AO166))))</f>
        <v/>
      </c>
      <c r="AK168" s="2013" t="n"/>
      <c r="AL168" s="2013" t="n"/>
      <c r="AM168" s="2013" t="n"/>
      <c r="AN168" s="11602" t="n"/>
      <c r="AO168" s="1113" t="n"/>
      <c r="AP168" s="11602" t="n"/>
      <c r="AQ168" s="658" t="n"/>
      <c r="AR168" s="658" t="n"/>
      <c r="AS168" s="658" t="n"/>
      <c r="AT168" s="658" t="n"/>
      <c r="AU168" s="658" t="n"/>
      <c r="AV168" s="658" t="n"/>
      <c r="AW168" s="658" t="n"/>
      <c r="AX168" s="658" t="n"/>
      <c r="AY168" s="658" t="n"/>
      <c r="AZ168" s="658" t="n"/>
    </row>
    <row r="169" ht="16.5" customFormat="1" customHeight="1" s="815">
      <c r="A169" s="2013" t="n"/>
      <c r="B169" s="3844" t="n"/>
      <c r="C169" s="4560" t="inlineStr">
        <is>
          <t>Lifetime Learning Credit</t>
        </is>
      </c>
      <c r="D169" s="773" t="n"/>
      <c r="E169" s="773" t="n"/>
      <c r="F169" s="773" t="n"/>
      <c r="G169" s="773" t="n"/>
      <c r="H169" s="773" t="n"/>
      <c r="I169" s="773" t="n"/>
      <c r="J169" s="773" t="n"/>
      <c r="K169" s="773" t="n"/>
      <c r="L169" s="773" t="n"/>
      <c r="M169" s="773" t="n"/>
      <c r="N169" s="773" t="n"/>
      <c r="O169" s="773" t="n"/>
      <c r="P169" s="773" t="n"/>
      <c r="Q169" s="773" t="n"/>
      <c r="R169" s="773" t="n"/>
      <c r="S169" s="773" t="n"/>
      <c r="T169" s="773" t="n"/>
      <c r="U169" s="773" t="n"/>
      <c r="V169" s="773" t="n"/>
      <c r="W169" s="773" t="n"/>
      <c r="X169" s="773" t="n"/>
      <c r="Y169" s="773" t="n"/>
      <c r="Z169" s="773" t="n"/>
      <c r="AA169" s="773" t="n"/>
      <c r="AB169" s="773" t="n"/>
      <c r="AC169" s="773" t="n"/>
      <c r="AD169" s="773" t="n"/>
      <c r="AE169" s="773" t="n"/>
      <c r="AF169" s="773" t="n"/>
      <c r="AG169" s="773" t="n"/>
      <c r="AH169" s="773" t="n"/>
      <c r="AI169" s="773" t="n"/>
      <c r="AJ169" s="773" t="n"/>
      <c r="AK169" s="2013" t="n"/>
      <c r="AL169" s="2013" t="n"/>
      <c r="AM169" s="2013" t="n"/>
      <c r="AN169" s="11602" t="n"/>
      <c r="AO169" s="11602" t="n"/>
      <c r="AP169" s="11602" t="n"/>
      <c r="AQ169" s="658" t="n"/>
      <c r="AR169" s="658" t="n"/>
      <c r="AS169" s="658" t="n"/>
      <c r="AT169" s="658" t="n"/>
      <c r="AU169" s="658" t="n"/>
      <c r="AV169" s="658" t="n"/>
      <c r="AW169" s="658" t="n"/>
      <c r="AX169" s="658" t="n"/>
      <c r="AY169" s="658" t="n"/>
      <c r="AZ169" s="658" t="n"/>
    </row>
    <row r="170" ht="15.75" customFormat="1" customHeight="1" s="815" thickBot="1">
      <c r="A170" s="2013" t="n"/>
      <c r="B170" s="3827" t="n">
        <v>31</v>
      </c>
      <c r="C170" s="11602" t="n"/>
      <c r="D170" s="8650" t="inlineStr">
        <is>
          <t>Adjusted qualified education expenses (see instructions). Include the total of all amounts from all</t>
        </is>
      </c>
      <c r="E170" s="8650" t="n"/>
      <c r="F170" s="8650" t="n"/>
      <c r="G170" s="11602" t="n"/>
      <c r="H170" s="11602" t="n"/>
      <c r="I170" s="11602" t="n"/>
      <c r="J170" s="11602" t="n"/>
      <c r="K170" s="11602" t="n"/>
      <c r="L170" s="11602" t="n"/>
      <c r="M170" s="11602" t="n"/>
      <c r="N170" s="11602" t="n"/>
      <c r="O170" s="11602" t="n"/>
      <c r="P170" s="11602" t="n"/>
      <c r="Q170" s="11602" t="n"/>
      <c r="R170" s="11602" t="n"/>
      <c r="S170" s="11602" t="n"/>
      <c r="T170" s="11602" t="n"/>
      <c r="U170" s="11602" t="n"/>
      <c r="V170" s="11602" t="n"/>
      <c r="W170" s="11602" t="n"/>
      <c r="X170" s="11602" t="n"/>
      <c r="Y170" s="11602" t="n"/>
      <c r="Z170" s="11602" t="n"/>
      <c r="AA170" s="11602" t="n"/>
      <c r="AB170" s="11602" t="n"/>
      <c r="AC170" s="11602" t="n"/>
      <c r="AD170" s="2890" t="n"/>
      <c r="AE170" s="11602" t="n"/>
      <c r="AF170" s="11602" t="n"/>
      <c r="AG170" s="11602" t="n"/>
      <c r="AH170" s="11602" t="n"/>
      <c r="AI170" s="11602" t="n"/>
      <c r="AJ170" s="11602" t="n"/>
      <c r="AK170" s="2013" t="n"/>
      <c r="AL170" s="2013" t="n"/>
      <c r="AM170" s="2013" t="n"/>
      <c r="AN170" s="11602" t="n"/>
      <c r="AO170" s="11602" t="n"/>
      <c r="AP170" s="11602" t="n"/>
      <c r="AQ170" s="658" t="n"/>
      <c r="AR170" s="658" t="n"/>
      <c r="AS170" s="658" t="n"/>
      <c r="AT170" s="658" t="n"/>
      <c r="AU170" s="658" t="n"/>
      <c r="AV170" s="658" t="n"/>
      <c r="AW170" s="658" t="n"/>
      <c r="AX170" s="658" t="n"/>
      <c r="AY170" s="658" t="n"/>
      <c r="AZ170" s="658" t="n"/>
    </row>
    <row r="171" ht="15.75" customFormat="1" customHeight="1" s="815" thickBot="1">
      <c r="A171" s="2013" t="n"/>
      <c r="B171" s="380" t="n"/>
      <c r="C171" s="380" t="n"/>
      <c r="D171" s="2015" t="inlineStr">
        <is>
          <t>Parts III, line 31, on Part II, line 10</t>
        </is>
      </c>
      <c r="E171" s="2015" t="n"/>
      <c r="F171" s="2015" t="n"/>
      <c r="G171" s="380" t="n"/>
      <c r="H171" s="380" t="n"/>
      <c r="I171" s="380" t="n"/>
      <c r="J171" s="380" t="n"/>
      <c r="K171" s="380" t="n"/>
      <c r="L171" s="380" t="n"/>
      <c r="M171" s="380" t="n"/>
      <c r="N171" s="380" t="n"/>
      <c r="O171" s="380" t="n"/>
      <c r="P171" s="380" t="n"/>
      <c r="Q171" s="380" t="n"/>
      <c r="R171" s="380" t="n"/>
      <c r="S171" s="380" t="n"/>
      <c r="T171" s="380" t="n"/>
      <c r="U171" s="380" t="n"/>
      <c r="V171" s="380" t="n"/>
      <c r="W171" s="380" t="n"/>
      <c r="X171" s="380" t="n"/>
      <c r="Y171" s="380" t="n"/>
      <c r="Z171" s="380" t="n"/>
      <c r="AA171" s="380" t="n"/>
      <c r="AB171" s="380" t="n"/>
      <c r="AC171" s="10736" t="inlineStr">
        <is>
          <t xml:space="preserve">.   .   .   .   .    .   .   .   .   .   .   .   .    .   .   .   .   .   .   .   .   .   .   .   .   .   .   .   .   . </t>
        </is>
      </c>
      <c r="AD171" s="2919" t="n">
        <v>31</v>
      </c>
      <c r="AE171" s="10767">
        <f>IF(AO171&lt;&gt;"",ROUND(AO171,0),IF(OR(AH163,AY158=""),"",AY158))</f>
        <v/>
      </c>
      <c r="AF171" s="8848" t="n"/>
      <c r="AG171" s="8848" t="n"/>
      <c r="AH171" s="8848" t="n"/>
      <c r="AI171" s="8848" t="n"/>
      <c r="AJ171" s="8848" t="n"/>
      <c r="AK171" s="2013" t="n"/>
      <c r="AL171" s="2013" t="n"/>
      <c r="AM171" s="2013" t="n"/>
      <c r="AN171" s="11602" t="n"/>
      <c r="AO171" s="1113" t="n"/>
      <c r="AP171" s="11602" t="n"/>
      <c r="AQ171" s="658" t="n"/>
      <c r="AR171" s="658" t="n"/>
      <c r="AS171" s="658" t="n"/>
      <c r="AT171" s="658" t="n"/>
      <c r="AU171" s="658" t="n"/>
      <c r="AV171" s="658" t="n"/>
      <c r="AW171" s="658" t="n"/>
      <c r="AX171" s="658" t="n"/>
      <c r="AY171" s="658" t="n"/>
      <c r="AZ171" s="658" t="n"/>
    </row>
    <row r="172" ht="15.75" customFormat="1" customHeight="1" s="815">
      <c r="A172" s="2013" t="n"/>
      <c r="B172" s="2447" t="n"/>
      <c r="C172" s="11403" t="n"/>
      <c r="D172" s="11403" t="n"/>
      <c r="E172" s="11403" t="n"/>
      <c r="F172" s="11403" t="n"/>
      <c r="G172" s="11403" t="n"/>
      <c r="H172" s="11403" t="n"/>
      <c r="I172" s="11403" t="n"/>
      <c r="J172" s="11403" t="n"/>
      <c r="K172" s="11403" t="n"/>
      <c r="L172" s="11403" t="n"/>
      <c r="M172" s="11403" t="n"/>
      <c r="N172" s="11403" t="n"/>
      <c r="O172" s="11403" t="n"/>
      <c r="P172" s="11403" t="n"/>
      <c r="Q172" s="88" t="n"/>
      <c r="R172" s="88" t="n"/>
      <c r="S172" s="88" t="n"/>
      <c r="T172" s="88" t="n"/>
      <c r="U172" s="3931" t="n"/>
      <c r="V172" s="88" t="n"/>
      <c r="W172" s="3931" t="n"/>
      <c r="X172" s="88" t="n"/>
      <c r="Y172" s="88" t="n"/>
      <c r="Z172" s="88" t="n"/>
      <c r="AA172" s="88" t="n"/>
      <c r="AB172" s="88" t="n"/>
      <c r="AC172" s="88" t="n"/>
      <c r="AD172" s="88" t="n"/>
      <c r="AE172" s="88" t="n"/>
      <c r="AF172" s="88" t="n"/>
      <c r="AG172" s="88" t="n"/>
      <c r="AH172" s="2052" t="inlineStr">
        <is>
          <t>Form 8863</t>
        </is>
      </c>
      <c r="AI172" s="88" t="n"/>
      <c r="AJ172" s="2052">
        <f>"("&amp;TaxYear&amp;")"</f>
        <v/>
      </c>
      <c r="AK172" s="2013" t="n"/>
      <c r="AL172" s="2013" t="n"/>
      <c r="AM172" s="2013" t="n"/>
      <c r="AN172" s="6996" t="n"/>
      <c r="AO172" s="6996" t="n"/>
      <c r="AP172" s="11602" t="n"/>
      <c r="AQ172" s="658" t="n"/>
      <c r="AR172" s="658" t="n"/>
      <c r="AS172" s="658" t="n"/>
      <c r="AT172" s="658" t="n"/>
      <c r="AU172" s="658" t="n"/>
      <c r="AV172" s="658" t="n"/>
      <c r="AW172" s="658" t="n"/>
      <c r="AX172" s="658" t="n"/>
      <c r="AY172" s="658" t="n"/>
      <c r="AZ172" s="658" t="n"/>
    </row>
    <row r="173" ht="18" customFormat="1" customHeight="1" s="815" thickBot="1">
      <c r="A173" s="2013" t="n"/>
      <c r="B173" s="721">
        <f>"Form 8863 ("&amp;TaxYear&amp;")"</f>
        <v/>
      </c>
      <c r="C173" s="721" t="n"/>
      <c r="D173" s="721" t="n"/>
      <c r="E173" s="721" t="n"/>
      <c r="F173" s="721" t="n"/>
      <c r="G173" s="721" t="n"/>
      <c r="H173" s="721" t="n"/>
      <c r="I173" s="721" t="n"/>
      <c r="J173" s="721" t="n"/>
      <c r="K173" s="721" t="n"/>
      <c r="L173" s="721" t="n"/>
      <c r="M173" s="721" t="n"/>
      <c r="N173" s="721" t="n"/>
      <c r="O173" s="721" t="n"/>
      <c r="P173" s="721" t="n"/>
      <c r="Q173" s="721" t="n"/>
      <c r="R173" s="721" t="n"/>
      <c r="S173" s="721" t="n"/>
      <c r="T173" s="721" t="n"/>
      <c r="U173" s="721" t="n"/>
      <c r="V173" s="721" t="n"/>
      <c r="W173" s="721" t="n"/>
      <c r="X173" s="721" t="n"/>
      <c r="Y173" s="721" t="n"/>
      <c r="Z173" s="721" t="n"/>
      <c r="AA173" s="721" t="n"/>
      <c r="AB173" s="721" t="n"/>
      <c r="AC173" s="721" t="n"/>
      <c r="AD173" s="721" t="n"/>
      <c r="AE173" s="721" t="n"/>
      <c r="AF173" s="721" t="n"/>
      <c r="AG173" s="721" t="n"/>
      <c r="AH173" s="721" t="n"/>
      <c r="AI173" s="2053" t="inlineStr">
        <is>
          <t>Page</t>
        </is>
      </c>
      <c r="AJ173" s="2054" t="n">
        <v>2</v>
      </c>
      <c r="AK173" s="2013" t="n"/>
      <c r="AL173" s="2013" t="n"/>
      <c r="AM173" s="2013" t="n"/>
      <c r="AN173" s="11602" t="n"/>
      <c r="AO173" s="11602" t="n"/>
      <c r="AP173" s="11602" t="n"/>
      <c r="AQ173" s="658" t="n"/>
      <c r="AR173" s="658" t="n"/>
      <c r="AS173" s="658" t="n"/>
      <c r="AT173" s="658" t="n"/>
      <c r="AU173" s="658" t="n"/>
      <c r="AV173" s="658" t="n"/>
      <c r="AW173" s="658" t="n"/>
      <c r="AX173" s="658" t="n"/>
      <c r="AY173" s="658" t="n"/>
      <c r="AZ173" s="658" t="n"/>
    </row>
    <row r="174" ht="16.5" customFormat="1" customHeight="1" s="815" thickTop="1">
      <c r="A174" s="2013" t="n"/>
      <c r="B174" s="2002" t="inlineStr">
        <is>
          <t>Name(s) shown on return</t>
        </is>
      </c>
      <c r="C174" s="413" t="n"/>
      <c r="D174" s="413" t="n"/>
      <c r="E174" s="413" t="n"/>
      <c r="F174" s="413" t="n"/>
      <c r="G174" s="413" t="n"/>
      <c r="H174" s="413" t="n"/>
      <c r="I174" s="413" t="n"/>
      <c r="J174" s="413" t="n"/>
      <c r="K174" s="413" t="n"/>
      <c r="L174" s="413" t="n"/>
      <c r="M174" s="413" t="n"/>
      <c r="N174" s="413" t="n"/>
      <c r="O174" s="413" t="n"/>
      <c r="P174" s="413" t="n"/>
      <c r="Q174" s="413" t="n"/>
      <c r="R174" s="413" t="n"/>
      <c r="S174" s="413" t="n"/>
      <c r="T174" s="413" t="n"/>
      <c r="U174" s="413" t="n"/>
      <c r="V174" s="413" t="n"/>
      <c r="W174" s="413" t="n"/>
      <c r="X174" s="413" t="n"/>
      <c r="Y174" s="413" t="n"/>
      <c r="Z174" s="413" t="n"/>
      <c r="AA174" s="413" t="n"/>
      <c r="AB174" s="413" t="n"/>
      <c r="AC174" s="11176" t="inlineStr">
        <is>
          <t>Your social security number</t>
        </is>
      </c>
      <c r="AD174" s="11713" t="n"/>
      <c r="AE174" s="11713" t="n"/>
      <c r="AF174" s="11713" t="n"/>
      <c r="AG174" s="11713" t="n"/>
      <c r="AH174" s="11713" t="n"/>
      <c r="AI174" s="11713" t="n"/>
      <c r="AJ174" s="11713" t="n"/>
      <c r="AK174" s="2013" t="n"/>
      <c r="AL174" s="2013" t="n"/>
      <c r="AM174" s="2013" t="n"/>
      <c r="AN174" s="11602" t="n"/>
      <c r="AO174" s="11602" t="n"/>
      <c r="AP174" s="11602" t="n"/>
      <c r="AQ174" s="658" t="n"/>
      <c r="AR174" s="658" t="n"/>
      <c r="AS174" s="658" t="n"/>
      <c r="AT174" s="658" t="n"/>
      <c r="AU174" s="658" t="n"/>
      <c r="AV174" s="658" t="n"/>
      <c r="AW174" s="658" t="n"/>
      <c r="AX174" s="658" t="n"/>
      <c r="AY174" s="658" t="n"/>
      <c r="AZ174" s="658" t="n"/>
    </row>
    <row r="175" ht="21.75" customFormat="1" customHeight="1" s="815">
      <c r="A175" s="2013" t="n"/>
      <c r="B175" s="12740">
        <f>Names</f>
        <v/>
      </c>
      <c r="C175" s="8412" t="n"/>
      <c r="D175" s="8412" t="n"/>
      <c r="E175" s="8412" t="n"/>
      <c r="F175" s="8412" t="n"/>
      <c r="G175" s="8412" t="n"/>
      <c r="H175" s="8412" t="n"/>
      <c r="I175" s="8412" t="n"/>
      <c r="J175" s="8412" t="n"/>
      <c r="K175" s="8412" t="n"/>
      <c r="L175" s="8412" t="n"/>
      <c r="M175" s="8412" t="n"/>
      <c r="N175" s="8412" t="n"/>
      <c r="O175" s="8412" t="n"/>
      <c r="P175" s="8412" t="n"/>
      <c r="Q175" s="8412" t="n"/>
      <c r="R175" s="8412" t="n"/>
      <c r="S175" s="8412" t="n"/>
      <c r="T175" s="8412" t="n"/>
      <c r="U175" s="8412" t="n"/>
      <c r="V175" s="8412" t="n"/>
      <c r="W175" s="8412" t="n"/>
      <c r="X175" s="8412" t="n"/>
      <c r="Y175" s="8412" t="n"/>
      <c r="Z175" s="8412" t="n"/>
      <c r="AA175" s="8412" t="n"/>
      <c r="AB175" s="11734" t="n"/>
      <c r="AC175" s="12741">
        <f>IF(OR(NoSSN,SS_Yours=""),"",SS_Yours)</f>
        <v/>
      </c>
      <c r="AD175" s="8412" t="n"/>
      <c r="AE175" s="8412" t="n"/>
      <c r="AF175" s="8412" t="n"/>
      <c r="AG175" s="8412" t="n"/>
      <c r="AH175" s="8412" t="n"/>
      <c r="AI175" s="8412" t="n"/>
      <c r="AJ175" s="8412" t="n"/>
      <c r="AK175" s="2013" t="n"/>
      <c r="AL175" s="2013" t="n"/>
      <c r="AM175" s="2013" t="n"/>
      <c r="AN175" s="11602" t="n"/>
      <c r="AO175" s="11602" t="n"/>
      <c r="AP175" s="11602" t="n"/>
      <c r="AQ175" s="658" t="n"/>
      <c r="AR175" s="658" t="n"/>
      <c r="AS175" s="658" t="n"/>
      <c r="AT175" s="658" t="n"/>
      <c r="AU175" s="658" t="n"/>
      <c r="AV175" s="658" t="n"/>
      <c r="AW175" s="658" t="n"/>
      <c r="AX175" s="658" t="n"/>
      <c r="AY175" s="658" t="n"/>
      <c r="AZ175" s="658" t="n"/>
    </row>
    <row r="176" ht="6" customFormat="1" customHeight="1" s="815">
      <c r="A176" s="2013" t="n"/>
      <c r="B176" s="4543" t="n"/>
      <c r="C176" s="4543" t="n"/>
      <c r="D176" s="4543" t="inlineStr">
        <is>
          <t xml:space="preserve">
</t>
        </is>
      </c>
      <c r="E176" s="4543" t="n"/>
      <c r="F176" s="4543" t="n"/>
      <c r="G176" s="4543" t="n"/>
      <c r="H176" s="4543" t="n"/>
      <c r="I176" s="4543" t="n"/>
      <c r="J176" s="4543" t="n"/>
      <c r="K176" s="4543" t="n"/>
      <c r="L176" s="4543" t="n"/>
      <c r="M176" s="4543" t="n"/>
      <c r="N176" s="4543" t="n"/>
      <c r="O176" s="4543" t="n"/>
      <c r="P176" s="4543" t="n"/>
      <c r="Q176" s="4543" t="n"/>
      <c r="R176" s="4543" t="n"/>
      <c r="S176" s="4543" t="n"/>
      <c r="T176" s="4543" t="n"/>
      <c r="U176" s="4543" t="n"/>
      <c r="V176" s="4543" t="n"/>
      <c r="W176" s="4543" t="n"/>
      <c r="X176" s="4543" t="n"/>
      <c r="Y176" s="4543" t="n"/>
      <c r="Z176" s="4543" t="n"/>
      <c r="AA176" s="4543" t="n"/>
      <c r="AB176" s="4543" t="n"/>
      <c r="AC176" s="4543" t="n"/>
      <c r="AD176" s="4543" t="n"/>
      <c r="AE176" s="4543" t="n"/>
      <c r="AF176" s="4543" t="n"/>
      <c r="AG176" s="4543" t="n"/>
      <c r="AH176" s="4543" t="n"/>
      <c r="AI176" s="4543" t="n"/>
      <c r="AJ176" s="4543" t="n"/>
      <c r="AK176" s="2013" t="n"/>
      <c r="AL176" s="2013" t="n"/>
      <c r="AM176" s="2013" t="n"/>
      <c r="AN176" s="11602" t="n"/>
      <c r="AO176" s="11602" t="n"/>
      <c r="AP176" s="11602" t="n"/>
      <c r="AQ176" s="658" t="n"/>
      <c r="AR176" s="658" t="n"/>
      <c r="AS176" s="658" t="n"/>
      <c r="AT176" s="658" t="n"/>
      <c r="AU176" s="658" t="n"/>
      <c r="AV176" s="658" t="n"/>
      <c r="AW176" s="658" t="n"/>
      <c r="AX176" s="658" t="n"/>
      <c r="AY176" s="658" t="n"/>
      <c r="AZ176" s="658" t="n"/>
    </row>
    <row r="177" ht="15.75" customFormat="1" customHeight="1" s="1115">
      <c r="A177" s="2290" t="n"/>
      <c r="B177" s="5969" t="inlineStr">
        <is>
          <t>Caution:  Complete Part III for each student for whom you’re claiming either the American opportunity credit or lifetime</t>
        </is>
      </c>
      <c r="C177" s="4492" t="n"/>
      <c r="D177" s="6534" t="n"/>
      <c r="E177" s="2325" t="n"/>
      <c r="F177" s="2325" t="n"/>
      <c r="G177" s="2325" t="n"/>
      <c r="H177" s="2325" t="n"/>
      <c r="I177" s="2325" t="n"/>
      <c r="J177" s="2325" t="n"/>
      <c r="K177" s="2325" t="n"/>
      <c r="L177" s="2325" t="n"/>
      <c r="M177" s="2325" t="n"/>
      <c r="N177" s="2325" t="n"/>
      <c r="O177" s="2325" t="n"/>
      <c r="P177" s="2325" t="n"/>
      <c r="Q177" s="2325" t="n"/>
      <c r="R177" s="2325" t="n"/>
      <c r="S177" s="2325" t="n"/>
      <c r="T177" s="2325" t="n"/>
      <c r="U177" s="2325" t="n"/>
      <c r="V177" s="2325" t="n"/>
      <c r="W177" s="2325" t="n"/>
      <c r="X177" s="2325" t="n"/>
      <c r="Y177" s="2325" t="n"/>
      <c r="Z177" s="2325" t="n"/>
      <c r="AA177" s="2325" t="n"/>
      <c r="AB177" s="2325" t="n"/>
      <c r="AC177" s="2325" t="n"/>
      <c r="AD177" s="2325" t="n"/>
      <c r="AE177" s="2325" t="n"/>
      <c r="AF177" s="2325" t="n"/>
      <c r="AG177" s="2325" t="n"/>
      <c r="AH177" s="2325" t="n"/>
      <c r="AI177" s="2325" t="n"/>
      <c r="AJ177" s="2325" t="n"/>
      <c r="AK177" s="2290" t="n"/>
      <c r="AL177" s="2290" t="n"/>
      <c r="AM177" s="2290" t="n"/>
      <c r="AN177" s="4520" t="n"/>
      <c r="AO177" s="4520" t="n"/>
      <c r="AP177" s="4521" t="n"/>
      <c r="AQ177" s="1114" t="n"/>
      <c r="AR177" s="1114" t="n"/>
      <c r="AS177" s="1114" t="n"/>
      <c r="AT177" s="1114" t="n"/>
      <c r="AU177" s="1114" t="n"/>
      <c r="AV177" s="1114" t="n"/>
      <c r="AW177" s="1114" t="n"/>
      <c r="AX177" s="1114" t="n"/>
      <c r="AY177" s="1114" t="n"/>
      <c r="AZ177" s="1114" t="n"/>
      <c r="BA177" s="2293" t="n"/>
      <c r="BB177" s="2293" t="n"/>
    </row>
    <row r="178" ht="15.75" customFormat="1" customHeight="1" s="1115">
      <c r="A178" s="2290" t="n"/>
      <c r="B178" s="5969" t="inlineStr">
        <is>
          <t>learning credit. Use additional copies of page 2 as needed for each student.</t>
        </is>
      </c>
      <c r="C178" s="4492" t="n"/>
      <c r="D178" s="2325" t="n"/>
      <c r="E178" s="2325" t="n"/>
      <c r="F178" s="2325" t="n"/>
      <c r="G178" s="2325" t="n"/>
      <c r="H178" s="2325" t="n"/>
      <c r="I178" s="2325" t="n"/>
      <c r="J178" s="2325" t="n"/>
      <c r="K178" s="2325" t="n"/>
      <c r="L178" s="2325" t="n"/>
      <c r="M178" s="2325" t="n"/>
      <c r="N178" s="2325" t="n"/>
      <c r="O178" s="2325" t="n"/>
      <c r="P178" s="2325" t="n"/>
      <c r="Q178" s="2325" t="n"/>
      <c r="R178" s="2325" t="n"/>
      <c r="S178" s="2325" t="n"/>
      <c r="T178" s="2325" t="n"/>
      <c r="U178" s="2325" t="n"/>
      <c r="V178" s="2325" t="n"/>
      <c r="W178" s="2325" t="n"/>
      <c r="X178" s="2325" t="n"/>
      <c r="Y178" s="2325" t="n"/>
      <c r="Z178" s="2325" t="n"/>
      <c r="AA178" s="2325" t="n"/>
      <c r="AB178" s="2325" t="n"/>
      <c r="AC178" s="2325" t="n"/>
      <c r="AD178" s="2325" t="n"/>
      <c r="AE178" s="2325" t="n"/>
      <c r="AF178" s="2325" t="n"/>
      <c r="AG178" s="2325" t="n"/>
      <c r="AH178" s="2325" t="n"/>
      <c r="AI178" s="2325" t="n"/>
      <c r="AJ178" s="2325" t="n"/>
      <c r="AK178" s="2290" t="n"/>
      <c r="AL178" s="2290" t="n"/>
      <c r="AM178" s="2290" t="n"/>
      <c r="AN178" s="4520" t="n"/>
      <c r="AO178" s="4520" t="n"/>
      <c r="AP178" s="4521" t="n"/>
      <c r="AQ178" s="1114" t="n"/>
      <c r="AR178" s="1114" t="n"/>
      <c r="AS178" s="1114" t="n"/>
      <c r="AT178" s="1114" t="n"/>
      <c r="AU178" s="1114" t="n"/>
      <c r="AV178" s="1114" t="n"/>
      <c r="AW178" s="1114" t="n"/>
      <c r="AX178" s="1114" t="n"/>
      <c r="AY178" s="1114" t="n"/>
      <c r="AZ178" s="1114" t="n"/>
      <c r="BA178" s="2293" t="n"/>
      <c r="BB178" s="2293" t="n"/>
    </row>
    <row r="179" ht="7.5" customFormat="1" customHeight="1" s="815">
      <c r="A179" s="2013" t="n"/>
      <c r="B179" s="4544" t="n"/>
      <c r="C179" s="4544" t="n"/>
      <c r="D179" s="4544" t="n"/>
      <c r="E179" s="4544" t="n"/>
      <c r="F179" s="4544" t="n"/>
      <c r="G179" s="4544" t="n"/>
      <c r="H179" s="4544" t="n"/>
      <c r="I179" s="4544" t="n"/>
      <c r="J179" s="4544" t="n"/>
      <c r="K179" s="4544" t="n"/>
      <c r="L179" s="4544" t="n"/>
      <c r="M179" s="4544" t="n"/>
      <c r="N179" s="4544" t="n"/>
      <c r="O179" s="4544" t="n"/>
      <c r="P179" s="4544" t="n"/>
      <c r="Q179" s="4544" t="n"/>
      <c r="R179" s="4544" t="n"/>
      <c r="S179" s="4544" t="n"/>
      <c r="T179" s="4544" t="n"/>
      <c r="U179" s="4544" t="n"/>
      <c r="V179" s="4544" t="n"/>
      <c r="W179" s="4544" t="n"/>
      <c r="X179" s="4544" t="n"/>
      <c r="Y179" s="4544" t="n"/>
      <c r="Z179" s="4544" t="n"/>
      <c r="AA179" s="4544" t="n"/>
      <c r="AB179" s="4544" t="n"/>
      <c r="AC179" s="4544" t="n"/>
      <c r="AD179" s="4544" t="n"/>
      <c r="AE179" s="4544" t="n"/>
      <c r="AF179" s="4544" t="n"/>
      <c r="AG179" s="4544" t="n"/>
      <c r="AH179" s="4544" t="n"/>
      <c r="AI179" s="4544" t="n"/>
      <c r="AJ179" s="4544" t="n"/>
      <c r="AK179" s="2013" t="n"/>
      <c r="AL179" s="2013" t="n"/>
      <c r="AM179" s="2013" t="n"/>
      <c r="AN179" s="11602" t="n"/>
      <c r="AO179" s="11602" t="n"/>
      <c r="AP179" s="11602" t="n"/>
      <c r="AQ179" s="658" t="n"/>
      <c r="AR179" s="658" t="n"/>
      <c r="AS179" s="658" t="n"/>
      <c r="AT179" s="658" t="n"/>
      <c r="AU179" s="658" t="n"/>
      <c r="AV179" s="658" t="n"/>
      <c r="AW179" s="658" t="n"/>
      <c r="AX179" s="658" t="n"/>
      <c r="AY179" s="658" t="n"/>
      <c r="AZ179" s="658" t="n"/>
    </row>
    <row r="180" ht="19.5" customFormat="1" customHeight="1" s="815">
      <c r="A180" s="2013" t="n"/>
      <c r="B180" s="7938" t="inlineStr">
        <is>
          <t>Part III</t>
        </is>
      </c>
      <c r="C180" s="8412" t="n"/>
      <c r="D180" s="3879" t="n"/>
      <c r="E180" s="2873" t="inlineStr">
        <is>
          <t>Student and Educational Institution Information. See instructions.</t>
        </is>
      </c>
      <c r="F180" s="413" t="n"/>
      <c r="G180" s="413" t="n"/>
      <c r="H180" s="413" t="n"/>
      <c r="I180" s="413" t="n"/>
      <c r="J180" s="413" t="n"/>
      <c r="K180" s="413" t="n"/>
      <c r="L180" s="413" t="n"/>
      <c r="M180" s="413" t="n"/>
      <c r="N180" s="413" t="n"/>
      <c r="O180" s="413" t="n"/>
      <c r="P180" s="413" t="n"/>
      <c r="Q180" s="413" t="n"/>
      <c r="R180" s="413" t="n"/>
      <c r="S180" s="413" t="n"/>
      <c r="T180" s="413" t="n"/>
      <c r="U180" s="413" t="n"/>
      <c r="V180" s="413" t="n"/>
      <c r="W180" s="413" t="n"/>
      <c r="X180" s="413" t="n"/>
      <c r="Y180" s="413" t="n"/>
      <c r="Z180" s="413" t="n"/>
      <c r="AA180" s="413" t="n"/>
      <c r="AB180" s="413" t="n"/>
      <c r="AC180" s="413" t="n"/>
      <c r="AD180" s="413" t="n"/>
      <c r="AE180" s="413" t="n"/>
      <c r="AF180" s="413" t="n"/>
      <c r="AG180" s="413" t="n"/>
      <c r="AH180" s="413" t="n"/>
      <c r="AI180" s="413" t="n"/>
      <c r="AJ180" s="413" t="n"/>
      <c r="AK180" s="2013" t="n"/>
      <c r="AL180" s="2013" t="n"/>
      <c r="AM180" s="2013" t="n"/>
      <c r="AN180" s="11602" t="n"/>
      <c r="AO180" s="11602" t="n"/>
      <c r="AP180" s="11602" t="n"/>
      <c r="AQ180" s="658" t="n"/>
      <c r="AR180" s="658" t="n"/>
      <c r="AS180" s="658" t="n"/>
      <c r="AT180" s="658" t="n"/>
      <c r="AU180" s="658" t="n"/>
      <c r="AV180" s="658" t="n"/>
      <c r="AW180" s="658" t="n"/>
      <c r="AX180" s="658" t="n"/>
      <c r="AY180" s="658" t="n"/>
      <c r="AZ180" s="658" t="n"/>
    </row>
    <row r="181" ht="16.5" customFormat="1" customHeight="1" s="815">
      <c r="A181" s="2013" t="n"/>
      <c r="B181" s="3827" t="inlineStr">
        <is>
          <t>20</t>
        </is>
      </c>
      <c r="C181" s="11602" t="n"/>
      <c r="D181" s="4545" t="inlineStr">
        <is>
          <t>Student name (as shown on page 1 of your tax return)</t>
        </is>
      </c>
      <c r="E181" s="406" t="n"/>
      <c r="F181" s="406" t="n"/>
      <c r="G181" s="406" t="n"/>
      <c r="H181" s="406" t="n"/>
      <c r="I181" s="406" t="n"/>
      <c r="J181" s="406" t="n"/>
      <c r="K181" s="406" t="n"/>
      <c r="L181" s="406" t="n"/>
      <c r="M181" s="407" t="n"/>
      <c r="N181" s="9764" t="n"/>
      <c r="O181" s="565" t="n"/>
      <c r="P181" s="406" t="n"/>
      <c r="Q181" s="406" t="n"/>
      <c r="R181" s="565" t="n"/>
      <c r="S181" s="565" t="n"/>
      <c r="T181" s="9764" t="n">
        <v>21</v>
      </c>
      <c r="U181" s="4545" t="inlineStr">
        <is>
          <t>Student social security number (as shown on page 1 of</t>
        </is>
      </c>
      <c r="V181" s="565" t="n"/>
      <c r="W181" s="565" t="n"/>
      <c r="X181" s="565" t="n"/>
      <c r="Y181" s="565" t="n"/>
      <c r="Z181" s="565" t="n"/>
      <c r="AA181" s="565" t="n"/>
      <c r="AB181" s="4546" t="n"/>
      <c r="AC181" s="565" t="n"/>
      <c r="AD181" s="565" t="n"/>
      <c r="AE181" s="565" t="n"/>
      <c r="AF181" s="565" t="n"/>
      <c r="AG181" s="406" t="n"/>
      <c r="AH181" s="565" t="n"/>
      <c r="AI181" s="565" t="n"/>
      <c r="AJ181" s="565" t="n"/>
      <c r="AK181" s="2013" t="n"/>
      <c r="AL181" s="2013" t="n"/>
      <c r="AM181" s="2013" t="n"/>
      <c r="AN181" s="11602" t="n"/>
      <c r="AO181" s="11602" t="n"/>
      <c r="AP181" s="11602" t="n"/>
      <c r="AQ181" s="658" t="n"/>
      <c r="AR181" s="658" t="n"/>
      <c r="AS181" s="658" t="n"/>
      <c r="AT181" s="658" t="n"/>
      <c r="AU181" s="658" t="n"/>
      <c r="AV181" s="658" t="n"/>
      <c r="AW181" s="658" t="n"/>
      <c r="AX181" s="658" t="n"/>
      <c r="AY181" s="658" t="n"/>
      <c r="AZ181" s="658" t="n"/>
    </row>
    <row r="182" ht="15" customFormat="1" customHeight="1" s="815">
      <c r="A182" s="2013" t="n"/>
      <c r="B182" s="3827" t="n"/>
      <c r="C182" s="11602" t="n"/>
      <c r="D182" s="11181" t="n"/>
      <c r="E182" s="194" t="n"/>
      <c r="F182" s="194" t="n"/>
      <c r="G182" s="194" t="n"/>
      <c r="H182" s="194" t="n"/>
      <c r="I182" s="194" t="n"/>
      <c r="J182" s="194" t="n"/>
      <c r="K182" s="194" t="n"/>
      <c r="L182" s="194" t="n"/>
      <c r="M182" s="194" t="n"/>
      <c r="N182" s="194" t="n"/>
      <c r="O182" s="194" t="n"/>
      <c r="P182" s="194" t="n"/>
      <c r="Q182" s="194" t="n"/>
      <c r="R182" s="194" t="n"/>
      <c r="S182" s="11726" t="n"/>
      <c r="T182" s="12742" t="n"/>
      <c r="U182" s="2100" t="inlineStr">
        <is>
          <t>your tax return)</t>
        </is>
      </c>
      <c r="V182" s="12743" t="n"/>
      <c r="W182" s="12743" t="n"/>
      <c r="X182" s="12743" t="n"/>
      <c r="Y182" s="12743" t="n"/>
      <c r="Z182" s="12743" t="n"/>
      <c r="AA182" s="12743" t="n"/>
      <c r="AB182" s="12743" t="n"/>
      <c r="AC182" s="12743" t="n"/>
      <c r="AD182" s="12743" t="n"/>
      <c r="AE182" s="12743" t="n"/>
      <c r="AF182" s="12743" t="n"/>
      <c r="AG182" s="12743" t="n"/>
      <c r="AH182" s="12743" t="n"/>
      <c r="AI182" s="12743" t="n"/>
      <c r="AJ182" s="12743" t="n"/>
      <c r="AK182" s="2013" t="n"/>
      <c r="AL182" s="2013" t="n"/>
      <c r="AM182" s="2013" t="n"/>
      <c r="AN182" s="11602" t="n"/>
      <c r="AO182" s="11602" t="n"/>
      <c r="AP182" s="11602" t="n"/>
      <c r="AQ182" s="658" t="n"/>
      <c r="AR182" s="658" t="n"/>
      <c r="AS182" s="658" t="n"/>
      <c r="AT182" s="658" t="n"/>
      <c r="AU182" s="658" t="n"/>
      <c r="AV182" s="658" t="n"/>
      <c r="AW182" s="658" t="n"/>
      <c r="AX182" s="658" t="n"/>
      <c r="AY182" s="658" t="n"/>
      <c r="AZ182" s="658" t="n"/>
    </row>
    <row r="183" ht="18" customFormat="1" customHeight="1" s="815">
      <c r="A183" s="2013" t="n"/>
      <c r="B183" s="3827" t="n"/>
      <c r="C183" s="11602" t="n"/>
      <c r="D183" s="11717" t="n"/>
      <c r="E183" s="11717" t="n"/>
      <c r="F183" s="11717" t="n"/>
      <c r="G183" s="11717" t="n"/>
      <c r="H183" s="11717" t="n"/>
      <c r="I183" s="11717" t="n"/>
      <c r="J183" s="11717" t="n"/>
      <c r="K183" s="11717" t="n"/>
      <c r="L183" s="11717" t="n"/>
      <c r="M183" s="11717" t="n"/>
      <c r="N183" s="11717" t="n"/>
      <c r="O183" s="11717" t="n"/>
      <c r="P183" s="11717" t="n"/>
      <c r="Q183" s="11717" t="n"/>
      <c r="R183" s="11717" t="n"/>
      <c r="S183" s="11718" t="n"/>
      <c r="T183" s="12744" t="n"/>
      <c r="U183" s="12745" t="n"/>
      <c r="V183" s="11717" t="n"/>
      <c r="W183" s="11717" t="n"/>
      <c r="X183" s="11717" t="n"/>
      <c r="Y183" s="11717" t="n"/>
      <c r="Z183" s="11717" t="n"/>
      <c r="AA183" s="11717" t="n"/>
      <c r="AB183" s="11717" t="n"/>
      <c r="AC183" s="11717" t="n"/>
      <c r="AD183" s="11717" t="n"/>
      <c r="AE183" s="11717" t="n"/>
      <c r="AF183" s="11717" t="n"/>
      <c r="AG183" s="11717" t="n"/>
      <c r="AH183" s="11717" t="n"/>
      <c r="AI183" s="11717" t="n"/>
      <c r="AJ183" s="11717" t="n"/>
      <c r="AK183" s="2013" t="n"/>
      <c r="AL183" s="2013" t="n"/>
      <c r="AM183" s="2013" t="n"/>
      <c r="AN183" s="11602" t="n"/>
      <c r="AO183" s="11602" t="n"/>
      <c r="AP183" s="11602" t="n"/>
      <c r="AQ183" s="658" t="n"/>
      <c r="AR183" s="658" t="n"/>
      <c r="AS183" s="658" t="n"/>
      <c r="AT183" s="658" t="n"/>
      <c r="AU183" s="658" t="n"/>
      <c r="AV183" s="658" t="n"/>
      <c r="AW183" s="658" t="n"/>
      <c r="AX183" s="658" t="n"/>
      <c r="AY183" s="658" t="n"/>
      <c r="AZ183" s="658" t="n"/>
    </row>
    <row r="184" ht="16.5" customFormat="1" customHeight="1" s="815">
      <c r="A184" s="2013" t="n"/>
      <c r="B184" s="3844" t="n">
        <v>22</v>
      </c>
      <c r="C184" s="773" t="n"/>
      <c r="D184" s="1996" t="inlineStr">
        <is>
          <t>Educational institution information (see instructions)</t>
        </is>
      </c>
      <c r="E184" s="413" t="n"/>
      <c r="F184" s="413" t="n"/>
      <c r="G184" s="413" t="n"/>
      <c r="H184" s="413" t="n"/>
      <c r="I184" s="413" t="n"/>
      <c r="J184" s="413" t="n"/>
      <c r="K184" s="413" t="n"/>
      <c r="L184" s="413" t="n"/>
      <c r="M184" s="413" t="n"/>
      <c r="N184" s="413" t="n"/>
      <c r="O184" s="413" t="n"/>
      <c r="P184" s="413" t="n"/>
      <c r="Q184" s="413" t="n"/>
      <c r="R184" s="413" t="n"/>
      <c r="S184" s="413" t="n"/>
      <c r="T184" s="413" t="n"/>
      <c r="U184" s="413" t="n"/>
      <c r="V184" s="413" t="n"/>
      <c r="W184" s="413" t="n"/>
      <c r="X184" s="413" t="n"/>
      <c r="Y184" s="413" t="n"/>
      <c r="Z184" s="413" t="n"/>
      <c r="AA184" s="413" t="n"/>
      <c r="AB184" s="413" t="n"/>
      <c r="AC184" s="413" t="n"/>
      <c r="AD184" s="413" t="n"/>
      <c r="AE184" s="413" t="n"/>
      <c r="AF184" s="413" t="n"/>
      <c r="AG184" s="413" t="n"/>
      <c r="AH184" s="413" t="n"/>
      <c r="AI184" s="413" t="n"/>
      <c r="AJ184" s="413" t="n"/>
      <c r="AK184" s="2013" t="n"/>
      <c r="AL184" s="2013" t="n"/>
      <c r="AM184" s="2013" t="n"/>
      <c r="AN184" s="11602" t="n"/>
      <c r="AO184" s="11602" t="n"/>
      <c r="AP184" s="11602" t="n"/>
      <c r="AQ184" s="658" t="n"/>
      <c r="AR184" s="658" t="n"/>
      <c r="AS184" s="658" t="n"/>
      <c r="AT184" s="658" t="n"/>
      <c r="AU184" s="658" t="n"/>
      <c r="AV184" s="658" t="n"/>
      <c r="AW184" s="658" t="n"/>
      <c r="AX184" s="658" t="n"/>
      <c r="AY184" s="658" t="n"/>
      <c r="AZ184" s="658" t="n"/>
    </row>
    <row r="185" ht="16.5" customFormat="1" customHeight="1" s="815">
      <c r="A185" s="2013" t="n"/>
      <c r="B185" s="3827" t="n"/>
      <c r="C185" s="11602" t="n"/>
      <c r="D185" s="8384" t="inlineStr">
        <is>
          <t>a.</t>
        </is>
      </c>
      <c r="E185" s="565" t="inlineStr">
        <is>
          <t>Name of first educational institution</t>
        </is>
      </c>
      <c r="F185" s="406" t="n"/>
      <c r="G185" s="406" t="n"/>
      <c r="H185" s="406" t="n"/>
      <c r="I185" s="406" t="n"/>
      <c r="J185" s="406" t="n"/>
      <c r="K185" s="406" t="n"/>
      <c r="L185" s="406" t="n"/>
      <c r="M185" s="406" t="n"/>
      <c r="N185" s="8384" t="n"/>
      <c r="O185" s="565" t="n"/>
      <c r="P185" s="406" t="n"/>
      <c r="Q185" s="406" t="n"/>
      <c r="R185" s="565" t="n"/>
      <c r="S185" s="3542" t="n"/>
      <c r="T185" s="9764" t="n"/>
      <c r="U185" s="8384" t="inlineStr">
        <is>
          <t>b.</t>
        </is>
      </c>
      <c r="V185" s="565" t="inlineStr">
        <is>
          <t>Name of second educational institution (if any)</t>
        </is>
      </c>
      <c r="W185" s="565" t="n"/>
      <c r="X185" s="565" t="n"/>
      <c r="Y185" s="565" t="n"/>
      <c r="Z185" s="565" t="n"/>
      <c r="AA185" s="565" t="n"/>
      <c r="AB185" s="4546" t="n"/>
      <c r="AC185" s="565" t="n"/>
      <c r="AD185" s="565" t="n"/>
      <c r="AE185" s="565" t="n"/>
      <c r="AF185" s="406" t="n"/>
      <c r="AG185" s="565" t="n"/>
      <c r="AH185" s="565" t="n"/>
      <c r="AI185" s="565" t="n"/>
      <c r="AJ185" s="565" t="n"/>
      <c r="AK185" s="2013" t="n"/>
      <c r="AL185" s="2013" t="n"/>
      <c r="AM185" s="2013" t="n"/>
      <c r="AN185" s="11602" t="n"/>
      <c r="AO185" s="11602" t="n"/>
      <c r="AP185" s="11602" t="n"/>
      <c r="AQ185" s="658" t="n"/>
      <c r="AR185" s="658" t="n"/>
      <c r="AS185" s="658" t="n"/>
      <c r="AT185" s="658" t="n"/>
      <c r="AU185" s="658" t="n"/>
      <c r="AV185" s="658" t="n"/>
      <c r="AW185" s="658" t="n"/>
      <c r="AX185" s="658" t="n"/>
      <c r="AY185" s="658" t="n"/>
      <c r="AZ185" s="658" t="n"/>
    </row>
    <row r="186" ht="18" customFormat="1" customHeight="1" s="815">
      <c r="A186" s="2013" t="n"/>
      <c r="B186" s="3827" t="n"/>
      <c r="D186" s="11183" t="n"/>
      <c r="E186" s="11717" t="n"/>
      <c r="F186" s="11717" t="n"/>
      <c r="G186" s="11717" t="n"/>
      <c r="H186" s="11717" t="n"/>
      <c r="I186" s="11717" t="n"/>
      <c r="J186" s="11717" t="n"/>
      <c r="K186" s="11717" t="n"/>
      <c r="L186" s="11717" t="n"/>
      <c r="M186" s="11717" t="n"/>
      <c r="N186" s="11717" t="n"/>
      <c r="O186" s="11717" t="n"/>
      <c r="P186" s="11717" t="n"/>
      <c r="Q186" s="11717" t="n"/>
      <c r="R186" s="11717" t="n"/>
      <c r="S186" s="11718" t="n"/>
      <c r="T186" s="11168" t="n"/>
      <c r="U186" s="11717" t="n"/>
      <c r="V186" s="11717" t="n"/>
      <c r="W186" s="11717" t="n"/>
      <c r="X186" s="11717" t="n"/>
      <c r="Y186" s="11717" t="n"/>
      <c r="Z186" s="11717" t="n"/>
      <c r="AA186" s="11717" t="n"/>
      <c r="AB186" s="11717" t="n"/>
      <c r="AC186" s="11717" t="n"/>
      <c r="AD186" s="11717" t="n"/>
      <c r="AE186" s="11717" t="n"/>
      <c r="AF186" s="11717" t="n"/>
      <c r="AG186" s="11717" t="n"/>
      <c r="AH186" s="11717" t="n"/>
      <c r="AI186" s="11717" t="n"/>
      <c r="AJ186" s="11717" t="n"/>
      <c r="AK186" s="2013" t="n"/>
      <c r="AL186" s="2013" t="n"/>
      <c r="AM186" s="2013" t="n"/>
      <c r="AN186" s="11602" t="n"/>
      <c r="AO186" s="11602" t="n"/>
      <c r="AP186" s="11602" t="n"/>
      <c r="AQ186" s="658" t="n"/>
      <c r="AR186" s="658" t="n"/>
      <c r="AS186" s="658" t="n"/>
      <c r="AT186" s="658" t="n"/>
      <c r="AU186" s="658" t="n"/>
      <c r="AV186" s="658" t="n"/>
      <c r="AW186" s="658" t="n"/>
      <c r="AX186" s="658" t="n"/>
      <c r="AY186" s="658" t="n"/>
      <c r="AZ186" s="658" t="n"/>
    </row>
    <row r="187" ht="12.75" customFormat="1" customHeight="1" s="815">
      <c r="A187" s="2013" t="n"/>
      <c r="B187" s="11602" t="n"/>
      <c r="C187" s="11602" t="n"/>
      <c r="D187" s="1400" t="inlineStr">
        <is>
          <t>(1)</t>
        </is>
      </c>
      <c r="E187" s="8650" t="inlineStr">
        <is>
          <t>Address. Number and street (or P.O. box). City, town or</t>
        </is>
      </c>
      <c r="F187" s="11602" t="n"/>
      <c r="G187" s="11602" t="n"/>
      <c r="H187" s="11602" t="n"/>
      <c r="I187" s="11602" t="n"/>
      <c r="J187" s="11602" t="n"/>
      <c r="K187" s="11602" t="n"/>
      <c r="L187" s="11602" t="n"/>
      <c r="M187" s="11602" t="n"/>
      <c r="N187" s="11602" t="n"/>
      <c r="O187" s="11602" t="n"/>
      <c r="P187" s="11602" t="n"/>
      <c r="Q187" s="11602" t="n"/>
      <c r="R187" s="11602" t="n"/>
      <c r="S187" s="407" t="n"/>
      <c r="T187" s="11602" t="n"/>
      <c r="U187" s="1400" t="inlineStr">
        <is>
          <t>(1)</t>
        </is>
      </c>
      <c r="V187" s="8650" t="inlineStr">
        <is>
          <t>Address. Number and street (or P.O. box). City, town or</t>
        </is>
      </c>
      <c r="W187" s="11602" t="n"/>
      <c r="X187" s="11602" t="n"/>
      <c r="Y187" s="11602" t="n"/>
      <c r="Z187" s="11602" t="n"/>
      <c r="AA187" s="11602" t="n"/>
      <c r="AB187" s="11602" t="n"/>
      <c r="AC187" s="11602" t="n"/>
      <c r="AD187" s="11602" t="n"/>
      <c r="AE187" s="11602" t="n"/>
      <c r="AF187" s="11602" t="n"/>
      <c r="AG187" s="11602" t="n"/>
      <c r="AH187" s="11602" t="n"/>
      <c r="AI187" s="11602" t="n"/>
      <c r="AJ187" s="11602" t="n"/>
      <c r="AK187" s="2013" t="n"/>
      <c r="AL187" s="2013" t="n"/>
      <c r="AM187" s="2013" t="n"/>
      <c r="AN187" s="11602" t="n"/>
      <c r="AO187" s="11602" t="n"/>
      <c r="AP187" s="11602" t="n"/>
      <c r="AQ187" s="658" t="n"/>
      <c r="AR187" s="658" t="n"/>
      <c r="AS187" s="658" t="n"/>
      <c r="AT187" s="658" t="n"/>
      <c r="AU187" s="658" t="n"/>
      <c r="AV187" s="658" t="n"/>
      <c r="AW187" s="658" t="n"/>
      <c r="AX187" s="658" t="n"/>
      <c r="AY187" s="658" t="n"/>
      <c r="AZ187" s="658" t="n"/>
    </row>
    <row r="188" ht="14.25" customFormat="1" customHeight="1" s="815">
      <c r="A188" s="2013" t="n"/>
      <c r="B188" s="11602" t="n"/>
      <c r="C188" s="11602" t="n"/>
      <c r="D188" s="11602" t="n"/>
      <c r="E188" s="8650" t="inlineStr">
        <is>
          <t>post office, state, and ZIP code. If a foreign address, see</t>
        </is>
      </c>
      <c r="F188" s="11602" t="n"/>
      <c r="G188" s="11602" t="n"/>
      <c r="H188" s="11602" t="n"/>
      <c r="I188" s="11602" t="n"/>
      <c r="J188" s="11602" t="n"/>
      <c r="K188" s="11602" t="n"/>
      <c r="L188" s="11602" t="n"/>
      <c r="M188" s="11602" t="n"/>
      <c r="N188" s="11602" t="n"/>
      <c r="O188" s="11602" t="n"/>
      <c r="P188" s="11602" t="n"/>
      <c r="Q188" s="11602" t="n"/>
      <c r="R188" s="11602" t="n"/>
      <c r="S188" s="409" t="n"/>
      <c r="T188" s="11602" t="n"/>
      <c r="U188" s="11602" t="n"/>
      <c r="V188" s="8650" t="inlineStr">
        <is>
          <t>post office, state, and ZIP code. If a foreign address, see</t>
        </is>
      </c>
      <c r="W188" s="11602" t="n"/>
      <c r="X188" s="11602" t="n"/>
      <c r="Y188" s="11602" t="n"/>
      <c r="Z188" s="11602" t="n"/>
      <c r="AA188" s="11602" t="n"/>
      <c r="AB188" s="11602" t="n"/>
      <c r="AC188" s="11602" t="n"/>
      <c r="AD188" s="11602" t="n"/>
      <c r="AE188" s="11602" t="n"/>
      <c r="AF188" s="11602" t="n"/>
      <c r="AG188" s="11602" t="n"/>
      <c r="AH188" s="11602" t="n"/>
      <c r="AI188" s="11602" t="n"/>
      <c r="AJ188" s="11602" t="n"/>
      <c r="AK188" s="2013" t="n"/>
      <c r="AL188" s="2013" t="n"/>
      <c r="AM188" s="2013" t="n"/>
      <c r="AN188" s="11602" t="n"/>
      <c r="AO188" s="11602" t="n"/>
      <c r="AP188" s="11602" t="n"/>
      <c r="AQ188" s="658" t="n"/>
      <c r="AR188" s="658" t="n"/>
      <c r="AS188" s="658" t="n"/>
      <c r="AT188" s="658" t="n"/>
      <c r="AU188" s="658" t="n"/>
      <c r="AV188" s="658" t="n"/>
      <c r="AW188" s="658" t="n"/>
      <c r="AX188" s="658" t="n"/>
      <c r="AY188" s="658" t="n"/>
      <c r="AZ188" s="658" t="n"/>
    </row>
    <row r="189" ht="14.25" customFormat="1" customHeight="1" s="815">
      <c r="A189" s="2013" t="n"/>
      <c r="B189" s="11602" t="n"/>
      <c r="C189" s="11602" t="n"/>
      <c r="D189" s="11602" t="n"/>
      <c r="E189" s="8650" t="inlineStr">
        <is>
          <t>instructions.</t>
        </is>
      </c>
      <c r="F189" s="11602" t="n"/>
      <c r="G189" s="11602" t="n"/>
      <c r="H189" s="11602" t="n"/>
      <c r="I189" s="11602" t="n"/>
      <c r="J189" s="11602" t="n"/>
      <c r="K189" s="11602" t="n"/>
      <c r="L189" s="11602" t="n"/>
      <c r="M189" s="11602" t="n"/>
      <c r="N189" s="11602" t="n"/>
      <c r="O189" s="11602" t="n"/>
      <c r="P189" s="11602" t="n"/>
      <c r="Q189" s="11602" t="n"/>
      <c r="R189" s="11602" t="n"/>
      <c r="S189" s="409" t="n"/>
      <c r="T189" s="11602" t="n"/>
      <c r="U189" s="11602" t="n"/>
      <c r="V189" s="8650" t="inlineStr">
        <is>
          <t>instructions.</t>
        </is>
      </c>
      <c r="W189" s="11602" t="n"/>
      <c r="X189" s="11602" t="n"/>
      <c r="Y189" s="11602" t="n"/>
      <c r="Z189" s="11602" t="n"/>
      <c r="AA189" s="11602" t="n"/>
      <c r="AB189" s="11602" t="n"/>
      <c r="AC189" s="11602" t="n"/>
      <c r="AD189" s="11602" t="n"/>
      <c r="AE189" s="11602" t="n"/>
      <c r="AF189" s="11602" t="n"/>
      <c r="AG189" s="11602" t="n"/>
      <c r="AH189" s="11602" t="n"/>
      <c r="AI189" s="11602" t="n"/>
      <c r="AJ189" s="11602" t="n"/>
      <c r="AK189" s="2013" t="n"/>
      <c r="AL189" s="2013" t="n"/>
      <c r="AM189" s="2013" t="n"/>
      <c r="AN189" s="11602" t="n"/>
      <c r="AO189" s="11602" t="n"/>
      <c r="AP189" s="11602" t="n"/>
      <c r="AQ189" s="658" t="n"/>
      <c r="AR189" s="658" t="n"/>
      <c r="AS189" s="658" t="n"/>
      <c r="AT189" s="658" t="n"/>
      <c r="AU189" s="658" t="n"/>
      <c r="AV189" s="658" t="n"/>
      <c r="AW189" s="658" t="n"/>
      <c r="AX189" s="658" t="n"/>
      <c r="AY189" s="658" t="n"/>
      <c r="AZ189" s="658" t="n"/>
    </row>
    <row r="190" ht="15.75" customFormat="1" customHeight="1" s="815">
      <c r="A190" s="2013" t="n"/>
      <c r="B190" s="3827" t="n"/>
      <c r="D190" s="7357" t="n"/>
      <c r="E190" s="11717" t="n"/>
      <c r="F190" s="11717" t="n"/>
      <c r="G190" s="11717" t="n"/>
      <c r="H190" s="11717" t="n"/>
      <c r="I190" s="11717" t="n"/>
      <c r="J190" s="11717" t="n"/>
      <c r="K190" s="11717" t="n"/>
      <c r="L190" s="11717" t="n"/>
      <c r="M190" s="11717" t="n"/>
      <c r="N190" s="11717" t="n"/>
      <c r="O190" s="11717" t="n"/>
      <c r="P190" s="11717" t="n"/>
      <c r="Q190" s="11717" t="n"/>
      <c r="R190" s="11717" t="n"/>
      <c r="S190" s="11718" t="n"/>
      <c r="T190" s="11137" t="n"/>
      <c r="U190" s="11717" t="n"/>
      <c r="V190" s="11717" t="n"/>
      <c r="W190" s="11717" t="n"/>
      <c r="X190" s="11717" t="n"/>
      <c r="Y190" s="11717" t="n"/>
      <c r="Z190" s="11717" t="n"/>
      <c r="AA190" s="11717" t="n"/>
      <c r="AB190" s="11717" t="n"/>
      <c r="AC190" s="11717" t="n"/>
      <c r="AD190" s="11717" t="n"/>
      <c r="AE190" s="11717" t="n"/>
      <c r="AF190" s="11717" t="n"/>
      <c r="AG190" s="11717" t="n"/>
      <c r="AH190" s="11717" t="n"/>
      <c r="AI190" s="11717" t="n"/>
      <c r="AJ190" s="11717" t="n"/>
      <c r="AK190" s="2013" t="n"/>
      <c r="AL190" s="2013" t="n"/>
      <c r="AM190" s="2013" t="n"/>
      <c r="AN190" s="11602" t="n"/>
      <c r="AO190" s="11602" t="n"/>
      <c r="AP190" s="11602" t="n"/>
      <c r="AQ190" s="658" t="n"/>
      <c r="AR190" s="658" t="n"/>
      <c r="AS190" s="658" t="n"/>
      <c r="AT190" s="658" t="n"/>
      <c r="AU190" s="658" t="n"/>
      <c r="AV190" s="658" t="n"/>
      <c r="AW190" s="658" t="n"/>
      <c r="AX190" s="658" t="n"/>
      <c r="AY190" s="658" t="n"/>
      <c r="AZ190" s="658" t="n"/>
    </row>
    <row r="191" ht="16.5" customFormat="1" customHeight="1" s="815">
      <c r="A191" s="2013" t="n"/>
      <c r="B191" s="11602" t="n"/>
      <c r="C191" s="11602" t="n"/>
      <c r="D191" s="1400" t="inlineStr">
        <is>
          <t>(2)</t>
        </is>
      </c>
      <c r="E191" s="12746">
        <f>"Did the student receive Form 1098-T"&amp;CHAR(10)&amp;"from this institution for "&amp;TaxYear&amp;"?"</f>
        <v/>
      </c>
      <c r="F191" s="7839" t="n"/>
      <c r="G191" s="7839" t="n"/>
      <c r="H191" s="7839" t="n"/>
      <c r="I191" s="7839" t="n"/>
      <c r="J191" s="7839" t="n"/>
      <c r="K191" s="7839" t="n"/>
      <c r="L191" s="7839" t="n"/>
      <c r="M191" s="7839" t="n"/>
      <c r="N191" s="7839" t="n"/>
      <c r="O191" s="11602" t="n"/>
      <c r="P191" s="11602" t="n"/>
      <c r="Q191" s="11602" t="n"/>
      <c r="R191" s="11602" t="n"/>
      <c r="S191" s="11602" t="n"/>
      <c r="T191" s="405" t="n"/>
      <c r="U191" s="1400" t="inlineStr">
        <is>
          <t>(2)</t>
        </is>
      </c>
      <c r="V191" s="12746">
        <f>"Did the student receive Form 1098-T"&amp;CHAR(10)&amp;"from this institution for "&amp;TaxYear&amp;"?"</f>
        <v/>
      </c>
      <c r="W191" s="7839" t="n"/>
      <c r="X191" s="7839" t="n"/>
      <c r="Y191" s="7839" t="n"/>
      <c r="Z191" s="7839" t="n"/>
      <c r="AA191" s="7839" t="n"/>
      <c r="AB191" s="7839" t="n"/>
      <c r="AC191" s="7839" t="n"/>
      <c r="AD191" s="7839" t="n"/>
      <c r="AE191" s="7839" t="n"/>
      <c r="AF191" s="11602" t="n"/>
      <c r="AG191" s="11602" t="n"/>
      <c r="AH191" s="11602" t="n"/>
      <c r="AI191" s="11602" t="n"/>
      <c r="AJ191" s="11602" t="n"/>
      <c r="AK191" s="2013" t="n"/>
      <c r="AL191" s="2013" t="n"/>
      <c r="AM191" s="2013" t="n"/>
      <c r="AN191" s="11602" t="n"/>
      <c r="AO191" s="11602" t="n"/>
      <c r="AP191" s="11602" t="n"/>
      <c r="AQ191" s="658" t="n"/>
      <c r="AR191" s="658" t="n"/>
      <c r="AS191" s="658" t="n"/>
      <c r="AT191" s="658" t="n"/>
      <c r="AU191" s="658" t="n"/>
      <c r="AV191" s="658" t="n"/>
      <c r="AW191" s="658" t="n"/>
      <c r="AX191" s="658" t="n"/>
      <c r="AY191" s="658" t="n"/>
      <c r="AZ191" s="658" t="n"/>
    </row>
    <row r="192" ht="14.25" customFormat="1" customHeight="1" s="815">
      <c r="A192" s="2013" t="n"/>
      <c r="B192" s="11602" t="n"/>
      <c r="C192" s="11602" t="n"/>
      <c r="D192" s="11602" t="n"/>
      <c r="O192" s="1111" t="n"/>
      <c r="P192" s="7886" t="inlineStr">
        <is>
          <t xml:space="preserve"> Yes</t>
        </is>
      </c>
      <c r="Q192" s="11602" t="n"/>
      <c r="R192" s="1111" t="n"/>
      <c r="S192" s="7886" t="inlineStr">
        <is>
          <t xml:space="preserve"> No</t>
        </is>
      </c>
      <c r="T192" s="2018" t="n"/>
      <c r="U192" s="11602" t="n"/>
      <c r="AF192" s="1111" t="n"/>
      <c r="AG192" s="7886" t="inlineStr">
        <is>
          <t xml:space="preserve"> Yes</t>
        </is>
      </c>
      <c r="AH192" s="11602" t="n"/>
      <c r="AI192" s="1111" t="n"/>
      <c r="AJ192" s="7886" t="inlineStr">
        <is>
          <t xml:space="preserve"> No</t>
        </is>
      </c>
      <c r="AK192" s="2013" t="n"/>
      <c r="AL192" s="2013" t="n"/>
      <c r="AM192" s="2013" t="n"/>
      <c r="AN192" s="11602" t="n"/>
      <c r="AO192" s="11602" t="n"/>
      <c r="AP192" s="11602" t="n"/>
      <c r="AQ192" s="658" t="n"/>
      <c r="AR192" s="658" t="n"/>
      <c r="AS192" s="658" t="n"/>
      <c r="AT192" s="658" t="n"/>
      <c r="AU192" s="658" t="n"/>
      <c r="AV192" s="658" t="n"/>
      <c r="AW192" s="658" t="n"/>
      <c r="AX192" s="658" t="n"/>
      <c r="AY192" s="658" t="n"/>
      <c r="AZ192" s="658" t="n"/>
    </row>
    <row r="193" ht="7.5" customFormat="1" customHeight="1" s="815">
      <c r="A193" s="2013" t="n"/>
      <c r="B193" s="413" t="n"/>
      <c r="C193" s="413" t="n"/>
      <c r="D193" s="413" t="n"/>
      <c r="E193" s="7637" t="n"/>
      <c r="F193" s="7637" t="n"/>
      <c r="G193" s="7637" t="n"/>
      <c r="H193" s="7637" t="n"/>
      <c r="I193" s="7637" t="n"/>
      <c r="J193" s="7637" t="n"/>
      <c r="K193" s="7637" t="n"/>
      <c r="L193" s="7637" t="n"/>
      <c r="M193" s="7637" t="n"/>
      <c r="N193" s="7637" t="n"/>
      <c r="O193" s="413" t="n"/>
      <c r="P193" s="413" t="n"/>
      <c r="Q193" s="413" t="n"/>
      <c r="R193" s="413" t="n"/>
      <c r="S193" s="413" t="n"/>
      <c r="T193" s="412" t="n"/>
      <c r="U193" s="413" t="n"/>
      <c r="V193" s="7637" t="n"/>
      <c r="W193" s="7637" t="n"/>
      <c r="X193" s="7637" t="n"/>
      <c r="Y193" s="7637" t="n"/>
      <c r="Z193" s="7637" t="n"/>
      <c r="AA193" s="7637" t="n"/>
      <c r="AB193" s="7637" t="n"/>
      <c r="AC193" s="7637" t="n"/>
      <c r="AD193" s="7637" t="n"/>
      <c r="AE193" s="7637" t="n"/>
      <c r="AF193" s="413" t="n"/>
      <c r="AG193" s="413" t="n"/>
      <c r="AH193" s="413" t="n"/>
      <c r="AI193" s="413" t="n"/>
      <c r="AJ193" s="413" t="n"/>
      <c r="AK193" s="2013" t="n"/>
      <c r="AL193" s="2013" t="n"/>
      <c r="AM193" s="2013" t="n"/>
      <c r="AN193" s="11602" t="n"/>
      <c r="AO193" s="11602" t="n"/>
      <c r="AP193" s="11602" t="n"/>
      <c r="AQ193" s="662" t="n"/>
      <c r="AR193" s="662" t="n"/>
      <c r="AS193" s="662" t="n"/>
      <c r="AT193" s="662" t="n"/>
      <c r="AU193" s="662" t="n"/>
      <c r="AV193" s="662" t="n"/>
      <c r="AW193" s="662" t="n"/>
      <c r="AX193" s="662" t="n"/>
      <c r="AY193" s="662" t="n"/>
      <c r="AZ193" s="662" t="n"/>
    </row>
    <row r="194" ht="16.5" customFormat="1" customHeight="1" s="815">
      <c r="A194" s="2013" t="n"/>
      <c r="B194" s="11602" t="n"/>
      <c r="C194" s="11602" t="n"/>
      <c r="D194" s="10946" t="inlineStr">
        <is>
          <t>(3)</t>
        </is>
      </c>
      <c r="E194" s="12746">
        <f>"Did the student receive Form 1098-T"&amp;CHAR(10)&amp;"from this institution for "&amp;TaxYear-1&amp;" with box"&amp;CHAR(10)&amp;"7 checked?"</f>
        <v/>
      </c>
      <c r="F194" s="7839" t="n"/>
      <c r="G194" s="7839" t="n"/>
      <c r="H194" s="7839" t="n"/>
      <c r="I194" s="7839" t="n"/>
      <c r="J194" s="7839" t="n"/>
      <c r="K194" s="7839" t="n"/>
      <c r="L194" s="7839" t="n"/>
      <c r="M194" s="7839" t="n"/>
      <c r="N194" s="7839" t="n"/>
      <c r="O194" s="11602" t="n"/>
      <c r="P194" s="11602" t="n"/>
      <c r="Q194" s="11602" t="n"/>
      <c r="R194" s="11602" t="n"/>
      <c r="S194" s="11602" t="n"/>
      <c r="T194" s="408" t="n"/>
      <c r="U194" s="10946" t="inlineStr">
        <is>
          <t>(3)</t>
        </is>
      </c>
      <c r="V194" s="12746">
        <f>"Did the student receive Form 1098-T"&amp;CHAR(10)&amp;"from this institution for "&amp;TaxYear-1&amp;" with box"&amp;CHAR(10)&amp;"7 checked?"</f>
        <v/>
      </c>
      <c r="W194" s="7839" t="n"/>
      <c r="X194" s="7839" t="n"/>
      <c r="Y194" s="7839" t="n"/>
      <c r="Z194" s="7839" t="n"/>
      <c r="AA194" s="7839" t="n"/>
      <c r="AB194" s="7839" t="n"/>
      <c r="AC194" s="7839" t="n"/>
      <c r="AD194" s="7839" t="n"/>
      <c r="AE194" s="7839" t="n"/>
      <c r="AF194" s="11602" t="n"/>
      <c r="AG194" s="11602" t="n"/>
      <c r="AH194" s="11602" t="n"/>
      <c r="AI194" s="11602" t="n"/>
      <c r="AJ194" s="11602" t="n"/>
      <c r="AK194" s="2013" t="n"/>
      <c r="AL194" s="2013" t="n"/>
      <c r="AM194" s="2013" t="n"/>
      <c r="AN194" s="11602" t="n"/>
      <c r="AO194" s="11602" t="n"/>
      <c r="AP194" s="11602" t="n"/>
      <c r="AQ194" s="658" t="n"/>
      <c r="AR194" s="658" t="n"/>
      <c r="AS194" s="658" t="n"/>
      <c r="AT194" s="658" t="n"/>
      <c r="AU194" s="658" t="n"/>
      <c r="AV194" s="658" t="n"/>
      <c r="AW194" s="658" t="n"/>
      <c r="AX194" s="658" t="n"/>
      <c r="AY194" s="658" t="n"/>
      <c r="AZ194" s="658" t="n"/>
    </row>
    <row r="195" ht="14.25" customFormat="1" customHeight="1" s="815">
      <c r="A195" s="2013" t="n"/>
      <c r="B195" s="11602" t="n"/>
      <c r="C195" s="11602" t="n"/>
      <c r="D195" s="11602" t="n"/>
      <c r="O195" s="1111" t="n"/>
      <c r="P195" s="7886" t="inlineStr">
        <is>
          <t xml:space="preserve"> Yes</t>
        </is>
      </c>
      <c r="Q195" s="11602" t="n"/>
      <c r="R195" s="1111" t="n"/>
      <c r="S195" s="7886" t="inlineStr">
        <is>
          <t xml:space="preserve"> No</t>
        </is>
      </c>
      <c r="T195" s="2018" t="n"/>
      <c r="U195" s="11602" t="n"/>
      <c r="AF195" s="1111" t="n"/>
      <c r="AG195" s="7886" t="inlineStr">
        <is>
          <t xml:space="preserve"> Yes</t>
        </is>
      </c>
      <c r="AH195" s="11602" t="n"/>
      <c r="AI195" s="1111" t="n"/>
      <c r="AJ195" s="7886" t="inlineStr">
        <is>
          <t xml:space="preserve"> No</t>
        </is>
      </c>
      <c r="AK195" s="2013" t="n"/>
      <c r="AL195" s="2013" t="n"/>
      <c r="AM195" s="2013" t="n"/>
      <c r="AN195" s="11602" t="n"/>
      <c r="AO195" s="11602" t="n"/>
      <c r="AP195" s="11602" t="n"/>
      <c r="AQ195" s="658" t="n"/>
      <c r="AR195" s="658" t="n"/>
      <c r="AS195" s="658" t="n"/>
      <c r="AT195" s="658" t="n"/>
      <c r="AU195" s="658" t="n"/>
      <c r="AV195" s="658" t="n"/>
      <c r="AW195" s="658" t="n"/>
      <c r="AX195" s="658" t="n"/>
      <c r="AY195" s="658" t="n"/>
      <c r="AZ195" s="658" t="n"/>
    </row>
    <row r="196" ht="13.5" customFormat="1" customHeight="1" s="815">
      <c r="A196" s="2013" t="n"/>
      <c r="B196" s="413" t="n"/>
      <c r="C196" s="413" t="n"/>
      <c r="D196" s="413" t="n"/>
      <c r="E196" s="7637" t="n"/>
      <c r="F196" s="7637" t="n"/>
      <c r="G196" s="7637" t="n"/>
      <c r="H196" s="7637" t="n"/>
      <c r="I196" s="7637" t="n"/>
      <c r="J196" s="7637" t="n"/>
      <c r="K196" s="7637" t="n"/>
      <c r="L196" s="7637" t="n"/>
      <c r="M196" s="7637" t="n"/>
      <c r="N196" s="7637" t="n"/>
      <c r="O196" s="413" t="n"/>
      <c r="P196" s="413" t="n"/>
      <c r="Q196" s="413" t="n"/>
      <c r="R196" s="413" t="n"/>
      <c r="S196" s="413" t="n"/>
      <c r="T196" s="412" t="n"/>
      <c r="U196" s="413" t="n"/>
      <c r="V196" s="7637" t="n"/>
      <c r="W196" s="7637" t="n"/>
      <c r="X196" s="7637" t="n"/>
      <c r="Y196" s="7637" t="n"/>
      <c r="Z196" s="7637" t="n"/>
      <c r="AA196" s="7637" t="n"/>
      <c r="AB196" s="7637" t="n"/>
      <c r="AC196" s="7637" t="n"/>
      <c r="AD196" s="7637" t="n"/>
      <c r="AE196" s="7637" t="n"/>
      <c r="AF196" s="413" t="n"/>
      <c r="AG196" s="413" t="n"/>
      <c r="AH196" s="413" t="n"/>
      <c r="AI196" s="413" t="n"/>
      <c r="AJ196" s="413" t="n"/>
      <c r="AK196" s="2013" t="n"/>
      <c r="AL196" s="2013" t="n"/>
      <c r="AM196" s="2013" t="n"/>
      <c r="AN196" s="11602" t="n"/>
      <c r="AO196" s="11602" t="n"/>
      <c r="AP196" s="11602" t="n"/>
      <c r="AQ196" s="658" t="n"/>
      <c r="AR196" s="658" t="n"/>
      <c r="AS196" s="658" t="n"/>
      <c r="AT196" s="658" t="n"/>
      <c r="AU196" s="658" t="n"/>
      <c r="AV196" s="658" t="n"/>
      <c r="AW196" s="658" t="n"/>
      <c r="AX196" s="658" t="n"/>
      <c r="AY196" s="658" t="n"/>
      <c r="AZ196" s="658" t="n"/>
    </row>
    <row r="197" ht="21" customFormat="1" customHeight="1" s="815" thickBot="1">
      <c r="A197" s="2013" t="n"/>
      <c r="B197" s="11602" t="n"/>
      <c r="C197" s="11602" t="n"/>
      <c r="D197" s="10946" t="inlineStr">
        <is>
          <t>(4)</t>
        </is>
      </c>
      <c r="E197" s="11185" t="inlineStr">
        <is>
          <t>Enter the institution’s employer identification number (EIN)
if you’re claiming the American opportunity credit or if you
checked “Yes” in (2) or (3). You can get the EIN from Form
1098-T or from the institution.</t>
        </is>
      </c>
      <c r="F197" s="7839" t="n"/>
      <c r="G197" s="7839" t="n"/>
      <c r="H197" s="7839" t="n"/>
      <c r="I197" s="7839" t="n"/>
      <c r="J197" s="7839" t="n"/>
      <c r="K197" s="7839" t="n"/>
      <c r="L197" s="7839" t="n"/>
      <c r="M197" s="7839" t="n"/>
      <c r="N197" s="7839" t="n"/>
      <c r="O197" s="7839" t="n"/>
      <c r="P197" s="7839" t="n"/>
      <c r="Q197" s="7839" t="n"/>
      <c r="R197" s="7839" t="n"/>
      <c r="S197" s="10091" t="n"/>
      <c r="T197" s="408" t="n"/>
      <c r="U197" s="10946" t="inlineStr">
        <is>
          <t>(4)</t>
        </is>
      </c>
      <c r="V197" s="11138" t="inlineStr">
        <is>
          <t>Enter the institution’s employer identification number (EIN)
if you’re claiming the American opportunity credit or if you
checked “Yes” in (2) or (3). You can get the EIN from Form
1098-T or from the institution.</t>
        </is>
      </c>
      <c r="W197" s="7839" t="n"/>
      <c r="X197" s="7839" t="n"/>
      <c r="Y197" s="7839" t="n"/>
      <c r="Z197" s="7839" t="n"/>
      <c r="AA197" s="7839" t="n"/>
      <c r="AB197" s="7839" t="n"/>
      <c r="AC197" s="7839" t="n"/>
      <c r="AD197" s="7839" t="n"/>
      <c r="AE197" s="7839" t="n"/>
      <c r="AF197" s="7839" t="n"/>
      <c r="AG197" s="7839" t="n"/>
      <c r="AH197" s="7839" t="n"/>
      <c r="AI197" s="7839" t="n"/>
      <c r="AJ197" s="7839" t="n"/>
      <c r="AK197" s="2013" t="n"/>
      <c r="AL197" s="2013" t="n"/>
      <c r="AM197" s="2013" t="n"/>
      <c r="AN197" s="11602" t="n"/>
      <c r="AO197" s="11602" t="n"/>
      <c r="AP197" s="11602" t="n"/>
      <c r="AQ197" s="658" t="n"/>
      <c r="AR197" s="658" t="n"/>
      <c r="AS197" s="658" t="n"/>
      <c r="AT197" s="658" t="n"/>
      <c r="AU197" s="658" t="n"/>
      <c r="AV197" s="658" t="n"/>
      <c r="AW197" s="658" t="n"/>
      <c r="AX197" s="658" t="n"/>
      <c r="AY197" s="658" t="n"/>
      <c r="AZ197" s="658" t="n"/>
    </row>
    <row r="198" ht="14.25" customFormat="1" customHeight="1" s="815">
      <c r="A198" s="2013" t="n"/>
      <c r="B198" s="11602" t="n"/>
      <c r="C198" s="11602" t="n"/>
      <c r="D198" s="11602" t="n"/>
      <c r="S198" s="7636" t="n"/>
      <c r="T198" s="2018" t="n"/>
      <c r="U198" s="11602" t="n"/>
      <c r="AK198" s="2013" t="n"/>
      <c r="AL198" s="2013" t="n"/>
      <c r="AM198" s="2013" t="n"/>
      <c r="AN198" s="11602" t="n"/>
      <c r="AO198" s="11602" t="n"/>
      <c r="AP198" s="11602" t="n"/>
      <c r="AQ198" s="1126" t="inlineStr">
        <is>
          <t>Adjusted Qualified Education Expenses Worksheet</t>
        </is>
      </c>
      <c r="AR198" s="1127" t="n"/>
      <c r="AS198" s="1127" t="n"/>
      <c r="AT198" s="1127" t="n"/>
      <c r="AU198" s="1127" t="n"/>
      <c r="AV198" s="1127" t="n"/>
      <c r="AW198" s="1127" t="n"/>
      <c r="AX198" s="1127" t="n"/>
      <c r="AY198" s="1127" t="n"/>
      <c r="AZ198" s="1128" t="n"/>
    </row>
    <row r="199" ht="26.25" customFormat="1" customHeight="1" s="815">
      <c r="A199" s="2013" t="n"/>
      <c r="B199" s="11602" t="n"/>
      <c r="C199" s="11602" t="n"/>
      <c r="D199" s="11602" t="n"/>
      <c r="S199" s="7636" t="n"/>
      <c r="T199" s="408" t="n"/>
      <c r="U199" s="11602" t="n"/>
      <c r="AK199" s="2013" t="n"/>
      <c r="AL199" s="2013" t="n"/>
      <c r="AM199" s="2013" t="n"/>
      <c r="AN199" s="11602" t="n"/>
      <c r="AO199" s="11602" t="n"/>
      <c r="AP199" s="11602" t="n"/>
      <c r="AQ199" s="1129" t="inlineStr">
        <is>
          <t>Complete a separate worksheet for each student for each academic period beginning or treated as beginning</t>
        </is>
      </c>
      <c r="AR199" s="1130" t="n"/>
      <c r="AS199" s="1130" t="n"/>
      <c r="AT199" s="1130" t="n"/>
      <c r="AU199" s="1130" t="n"/>
      <c r="AV199" s="1130" t="n"/>
      <c r="AW199" s="1130" t="n"/>
      <c r="AX199" s="1130" t="n"/>
      <c r="AY199" s="1130" t="n"/>
      <c r="AZ199" s="1131" t="n"/>
    </row>
    <row r="200" ht="17.25" customFormat="1" customHeight="1" s="815">
      <c r="A200" s="2013" t="n"/>
      <c r="B200" s="11602" t="n"/>
      <c r="C200" s="11602" t="n"/>
      <c r="D200" s="11602" t="n"/>
      <c r="E200" s="1111" t="n"/>
      <c r="F200" s="1111" t="n"/>
      <c r="G200" s="10627" t="inlineStr">
        <is>
          <t>-</t>
        </is>
      </c>
      <c r="H200" s="1111" t="n"/>
      <c r="I200" s="1111" t="n"/>
      <c r="J200" s="1111" t="n"/>
      <c r="K200" s="1111" t="n"/>
      <c r="L200" s="1111" t="n"/>
      <c r="M200" s="1111" t="n"/>
      <c r="N200" s="1111" t="n"/>
      <c r="O200" s="11139" t="n"/>
      <c r="P200" s="11139" t="n"/>
      <c r="Q200" s="11139" t="n"/>
      <c r="R200" s="11139" t="n"/>
      <c r="S200" s="11186" t="n"/>
      <c r="T200" s="408" t="n"/>
      <c r="U200" s="11602" t="n"/>
      <c r="V200" s="1111" t="n"/>
      <c r="W200" s="1111" t="n"/>
      <c r="X200" s="10627" t="inlineStr">
        <is>
          <t>-</t>
        </is>
      </c>
      <c r="Y200" s="1111" t="n"/>
      <c r="Z200" s="1111" t="n"/>
      <c r="AA200" s="1111" t="n"/>
      <c r="AB200" s="1111" t="n"/>
      <c r="AC200" s="1111" t="n"/>
      <c r="AD200" s="1111" t="n"/>
      <c r="AE200" s="1111" t="n"/>
      <c r="AF200" s="11602" t="n"/>
      <c r="AG200" s="11602" t="n"/>
      <c r="AH200" s="11602" t="n"/>
      <c r="AI200" s="11602" t="n"/>
      <c r="AJ200" s="11602" t="n"/>
      <c r="AK200" s="2013" t="n"/>
      <c r="AL200" s="2013" t="n"/>
      <c r="AM200" s="2013" t="n"/>
      <c r="AN200" s="11602" t="n"/>
      <c r="AO200" s="11602" t="n"/>
      <c r="AP200" s="11602" t="n"/>
      <c r="AQ200" s="1132">
        <f>"(see below) in "&amp;TaxYear&amp;" for which you paid (or are treated as having paid) qualified education expenses in "&amp;TaxYear&amp;"."</f>
        <v/>
      </c>
      <c r="AR200" s="1133" t="n"/>
      <c r="AS200" s="1133" t="n"/>
      <c r="AT200" s="1133" t="n"/>
      <c r="AU200" s="1133" t="n"/>
      <c r="AV200" s="1133" t="n"/>
      <c r="AW200" s="1133" t="n"/>
      <c r="AX200" s="1133" t="n"/>
      <c r="AY200" s="1133" t="n"/>
      <c r="AZ200" s="1134" t="n"/>
    </row>
    <row r="201" ht="14.25" customFormat="1" customHeight="1" s="815">
      <c r="A201" s="2013" t="n"/>
      <c r="B201" s="413" t="n"/>
      <c r="C201" s="413" t="n"/>
      <c r="D201" s="413" t="n"/>
      <c r="E201" s="1996" t="n"/>
      <c r="F201" s="413" t="n"/>
      <c r="G201" s="413" t="n"/>
      <c r="H201" s="413" t="n"/>
      <c r="I201" s="413" t="n"/>
      <c r="J201" s="413" t="n"/>
      <c r="K201" s="413" t="n"/>
      <c r="L201" s="413" t="n"/>
      <c r="M201" s="413" t="n"/>
      <c r="N201" s="413" t="n"/>
      <c r="O201" s="413" t="n"/>
      <c r="P201" s="413" t="n"/>
      <c r="Q201" s="413" t="n"/>
      <c r="R201" s="413" t="n"/>
      <c r="S201" s="414" t="n"/>
      <c r="T201" s="412" t="n"/>
      <c r="U201" s="413" t="n"/>
      <c r="V201" s="413" t="n"/>
      <c r="W201" s="413" t="n"/>
      <c r="X201" s="413" t="n"/>
      <c r="Y201" s="413" t="n"/>
      <c r="Z201" s="413" t="n"/>
      <c r="AA201" s="413" t="n"/>
      <c r="AB201" s="413" t="n"/>
      <c r="AC201" s="413" t="n"/>
      <c r="AD201" s="413" t="n"/>
      <c r="AE201" s="413" t="n"/>
      <c r="AF201" s="413" t="n"/>
      <c r="AG201" s="413" t="n"/>
      <c r="AH201" s="413" t="n"/>
      <c r="AI201" s="413" t="n"/>
      <c r="AJ201" s="413" t="n"/>
      <c r="AK201" s="2013" t="n"/>
      <c r="AL201" s="2013" t="n"/>
      <c r="AM201" s="2013" t="n"/>
      <c r="AN201" s="11602" t="n"/>
      <c r="AO201" s="11602" t="n"/>
      <c r="AP201" s="11602" t="n"/>
      <c r="AQ201" s="1135" t="n"/>
      <c r="AR201" s="946" t="n"/>
      <c r="AS201" s="946" t="n"/>
      <c r="AT201" s="946" t="n"/>
      <c r="AU201" s="946" t="n"/>
      <c r="AV201" s="946" t="n"/>
      <c r="AW201" s="946" t="n"/>
      <c r="AX201" s="946" t="n"/>
      <c r="AY201" s="946" t="n"/>
      <c r="AZ201" s="1136" t="n"/>
    </row>
    <row r="202" ht="15" customFormat="1" customHeight="1" s="815">
      <c r="A202" s="2013" t="n"/>
      <c r="B202" s="3827" t="n">
        <v>23</v>
      </c>
      <c r="C202" s="11602" t="n"/>
      <c r="D202" s="11602" t="n"/>
      <c r="E202" s="8650" t="inlineStr">
        <is>
          <t>Has the American opportunity credit been claimed for this</t>
        </is>
      </c>
      <c r="F202" s="11602" t="n"/>
      <c r="G202" s="11602" t="n"/>
      <c r="H202" s="11602" t="n"/>
      <c r="I202" s="11602" t="n"/>
      <c r="J202" s="11602" t="n"/>
      <c r="K202" s="11602" t="n"/>
      <c r="L202" s="11602" t="n"/>
      <c r="M202" s="11602" t="n"/>
      <c r="N202" s="11602" t="n"/>
      <c r="O202" s="11602" t="n"/>
      <c r="P202" s="11602" t="n"/>
      <c r="Q202" s="11602" t="n"/>
      <c r="R202" s="11602" t="n"/>
      <c r="S202" s="11602" t="n"/>
      <c r="T202" s="11602" t="n"/>
      <c r="U202" s="11602" t="n"/>
      <c r="V202" s="11602" t="n"/>
      <c r="W202" s="11602" t="n"/>
      <c r="X202" s="11602" t="n"/>
      <c r="Y202" s="11602" t="n"/>
      <c r="Z202" s="11602" t="n"/>
      <c r="AA202" s="11602" t="n"/>
      <c r="AB202" s="11602" t="n"/>
      <c r="AC202" s="11602" t="n"/>
      <c r="AD202" s="11602" t="n"/>
      <c r="AE202" s="11602" t="n"/>
      <c r="AF202" s="11602" t="n"/>
      <c r="AG202" s="11602" t="n"/>
      <c r="AH202" s="11602" t="n"/>
      <c r="AI202" s="11602" t="n"/>
      <c r="AJ202" s="11602" t="n"/>
      <c r="AK202" s="2013" t="n"/>
      <c r="AL202" s="2013" t="n"/>
      <c r="AM202" s="2013" t="n"/>
      <c r="AN202" s="11602" t="n"/>
      <c r="AO202" s="11602" t="n"/>
      <c r="AP202" s="11602" t="n"/>
      <c r="AQ202" s="4552" t="inlineStr">
        <is>
          <t>1.  Total qualified education expenses paid for or on behalf of the student in</t>
        </is>
      </c>
      <c r="AR202" s="946" t="n"/>
      <c r="AS202" s="946" t="n"/>
      <c r="AT202" s="946" t="n"/>
      <c r="AU202" s="946" t="n"/>
      <c r="AV202" s="946" t="n"/>
      <c r="AW202" s="946" t="n"/>
      <c r="AX202" s="946" t="n"/>
      <c r="AY202" s="946" t="n"/>
      <c r="AZ202" s="1136" t="n"/>
    </row>
    <row r="203" ht="15" customFormat="1" customHeight="1" s="815">
      <c r="A203" s="2013" t="n"/>
      <c r="B203" s="11602" t="n"/>
      <c r="C203" s="11602" t="n"/>
      <c r="D203" s="11602" t="n"/>
      <c r="E203" s="1672" t="inlineStr">
        <is>
          <t>student for any 4 prior tax years?</t>
        </is>
      </c>
      <c r="F203" s="11602" t="n"/>
      <c r="G203" s="11602" t="n"/>
      <c r="H203" s="11602" t="n"/>
      <c r="I203" s="11602" t="n"/>
      <c r="J203" s="11602" t="n"/>
      <c r="K203" s="11602" t="n"/>
      <c r="L203" s="11602" t="n"/>
      <c r="M203" s="11602" t="n"/>
      <c r="N203" s="11602" t="n"/>
      <c r="O203" s="11602" t="n"/>
      <c r="P203" s="11602" t="n"/>
      <c r="Q203" s="11602" t="n"/>
      <c r="R203" s="11602" t="n"/>
      <c r="S203" s="11602" t="n"/>
      <c r="T203" s="1111" t="n"/>
      <c r="U203" s="344" t="inlineStr">
        <is>
          <t>Yes -- Stop!</t>
        </is>
      </c>
      <c r="V203" s="11602" t="n"/>
      <c r="W203" s="11602" t="n"/>
      <c r="X203" s="11602" t="n"/>
      <c r="Y203" s="11602" t="n"/>
      <c r="Z203" s="11602" t="n"/>
      <c r="AA203" s="11602" t="n"/>
      <c r="AB203" s="11602" t="n"/>
      <c r="AC203" s="1963">
        <f>IF(T203&lt;&gt;"","","X")</f>
        <v/>
      </c>
      <c r="AD203" s="344" t="inlineStr">
        <is>
          <t>No -- Go to line 24.</t>
        </is>
      </c>
      <c r="AE203" s="11602" t="n"/>
      <c r="AF203" s="11602" t="n"/>
      <c r="AG203" s="11602" t="n"/>
      <c r="AH203" s="11602" t="n"/>
      <c r="AI203" s="11602" t="n"/>
      <c r="AJ203" s="11602" t="n"/>
      <c r="AK203" s="2013" t="n"/>
      <c r="AL203" s="2013" t="n"/>
      <c r="AM203" s="2013" t="n"/>
      <c r="AN203" s="11602" t="n"/>
      <c r="AO203" s="11602" t="n"/>
      <c r="AP203" s="11602" t="n"/>
      <c r="AQ203" s="4553">
        <f>TaxYear&amp;" for the academic period"</f>
        <v/>
      </c>
      <c r="AR203" s="4536" t="n"/>
      <c r="AS203" s="4536" t="n"/>
      <c r="AT203" s="4536" t="n"/>
      <c r="AU203" s="4536" t="n"/>
      <c r="AV203" s="4536" t="n"/>
      <c r="AW203" s="4539" t="n"/>
      <c r="AX203" s="4539" t="inlineStr">
        <is>
          <t>1.</t>
        </is>
      </c>
      <c r="AY203" s="7843" t="n"/>
      <c r="AZ203" s="4537" t="n"/>
    </row>
    <row r="204" ht="16.5" customFormat="1" customHeight="1" s="1116">
      <c r="A204" s="2067" t="n"/>
      <c r="B204" s="571" t="n"/>
      <c r="C204" s="571" t="n"/>
      <c r="D204" s="571" t="n"/>
      <c r="E204" s="2046" t="n"/>
      <c r="F204" s="571" t="n"/>
      <c r="G204" s="571" t="n"/>
      <c r="H204" s="571" t="n"/>
      <c r="I204" s="571" t="n"/>
      <c r="J204" s="571" t="n"/>
      <c r="K204" s="571" t="n"/>
      <c r="L204" s="571" t="n"/>
      <c r="M204" s="571" t="n"/>
      <c r="N204" s="571" t="n"/>
      <c r="O204" s="571" t="n"/>
      <c r="P204" s="571" t="n"/>
      <c r="Q204" s="571" t="n"/>
      <c r="R204" s="571" t="n"/>
      <c r="S204" s="571" t="n"/>
      <c r="T204" s="571" t="n"/>
      <c r="U204" s="571" t="inlineStr">
        <is>
          <t>Go to line 31 for this student.</t>
        </is>
      </c>
      <c r="V204" s="571" t="n"/>
      <c r="W204" s="571" t="n"/>
      <c r="X204" s="571" t="n"/>
      <c r="Y204" s="571" t="n"/>
      <c r="Z204" s="571" t="n"/>
      <c r="AA204" s="571" t="n"/>
      <c r="AB204" s="571" t="n"/>
      <c r="AC204" s="571" t="n"/>
      <c r="AD204" s="571" t="n"/>
      <c r="AE204" s="571" t="n"/>
      <c r="AF204" s="571" t="n"/>
      <c r="AG204" s="571" t="n"/>
      <c r="AH204" s="571" t="n"/>
      <c r="AI204" s="571" t="n"/>
      <c r="AJ204" s="571" t="n"/>
      <c r="AK204" s="2067" t="n"/>
      <c r="AL204" s="2067" t="n"/>
      <c r="AM204" s="2067" t="n"/>
      <c r="AN204" s="571" t="n"/>
      <c r="AO204" s="571" t="n"/>
      <c r="AP204" s="571" t="n"/>
      <c r="AQ204" s="4554" t="n"/>
      <c r="AR204" s="4536" t="n"/>
      <c r="AS204" s="4536" t="n"/>
      <c r="AT204" s="4536" t="n"/>
      <c r="AU204" s="4536" t="n"/>
      <c r="AV204" s="4536" t="n"/>
      <c r="AW204" s="4539" t="n"/>
      <c r="AX204" s="4539" t="n"/>
      <c r="AY204" s="4539" t="n"/>
      <c r="AZ204" s="4537" t="n"/>
      <c r="BA204" s="138" t="n"/>
      <c r="BB204" s="138" t="n"/>
    </row>
    <row r="205" ht="15" customFormat="1" customHeight="1" s="815">
      <c r="A205" s="2013" t="n"/>
      <c r="B205" s="4555" t="n">
        <v>24</v>
      </c>
      <c r="C205" s="406" t="n"/>
      <c r="D205" s="406" t="n"/>
      <c r="E205" s="2354" t="inlineStr">
        <is>
          <t>Was the student enrolled at least half-time for at least one</t>
        </is>
      </c>
      <c r="F205" s="406" t="n"/>
      <c r="G205" s="406" t="n"/>
      <c r="H205" s="406" t="n"/>
      <c r="I205" s="406" t="n"/>
      <c r="J205" s="406" t="n"/>
      <c r="K205" s="406" t="n"/>
      <c r="L205" s="406" t="n"/>
      <c r="M205" s="406" t="n"/>
      <c r="N205" s="406" t="n"/>
      <c r="O205" s="406" t="n"/>
      <c r="P205" s="406" t="n"/>
      <c r="Q205" s="406" t="n"/>
      <c r="R205" s="406" t="n"/>
      <c r="S205" s="406" t="n"/>
      <c r="T205" s="406" t="n"/>
      <c r="U205" s="406" t="n"/>
      <c r="V205" s="406" t="n"/>
      <c r="W205" s="406" t="n"/>
      <c r="X205" s="406" t="n"/>
      <c r="Y205" s="406" t="n"/>
      <c r="Z205" s="406" t="n"/>
      <c r="AA205" s="406" t="n"/>
      <c r="AB205" s="406" t="n"/>
      <c r="AC205" s="406" t="n"/>
      <c r="AD205" s="406" t="n"/>
      <c r="AE205" s="406" t="n"/>
      <c r="AF205" s="406" t="n"/>
      <c r="AG205" s="406" t="n"/>
      <c r="AH205" s="406" t="n"/>
      <c r="AI205" s="406" t="n"/>
      <c r="AJ205" s="406" t="n"/>
      <c r="AK205" s="2013" t="n"/>
      <c r="AL205" s="2013" t="n"/>
      <c r="AM205" s="2013" t="n"/>
      <c r="AN205" s="11602" t="n"/>
      <c r="AO205" s="11602" t="n"/>
      <c r="AP205" s="11602" t="n"/>
      <c r="AQ205" s="4552" t="inlineStr">
        <is>
          <t>2.  Less adjustments</t>
        </is>
      </c>
      <c r="AR205" s="1130" t="n"/>
      <c r="AS205" s="1130" t="n"/>
      <c r="AT205" s="1130" t="n"/>
      <c r="AU205" s="1130" t="n"/>
      <c r="AV205" s="1130" t="n"/>
      <c r="AW205" s="1130" t="n"/>
      <c r="AX205" s="1130" t="n"/>
      <c r="AY205" s="946" t="n"/>
      <c r="AZ205" s="1131" t="n"/>
    </row>
    <row r="206" ht="15" customFormat="1" customHeight="1" s="815">
      <c r="A206" s="2013" t="n"/>
      <c r="B206" s="3827" t="n"/>
      <c r="C206" s="11602" t="n"/>
      <c r="D206" s="11602" t="n"/>
      <c r="E206" s="8650" t="inlineStr">
        <is>
          <t>academic period that began or is treated as having begun</t>
        </is>
      </c>
      <c r="F206" s="11602" t="n"/>
      <c r="G206" s="11602" t="n"/>
      <c r="H206" s="11602" t="n"/>
      <c r="I206" s="11602" t="n"/>
      <c r="J206" s="11602" t="n"/>
      <c r="K206" s="11602" t="n"/>
      <c r="L206" s="11602" t="n"/>
      <c r="M206" s="11602" t="n"/>
      <c r="N206" s="11602" t="n"/>
      <c r="O206" s="11602" t="n"/>
      <c r="P206" s="11602" t="n"/>
      <c r="Q206" s="11602" t="n"/>
      <c r="R206" s="11602" t="n"/>
      <c r="S206" s="11602" t="n"/>
      <c r="T206" s="11602" t="n"/>
      <c r="U206" s="11602" t="n"/>
      <c r="V206" s="11602" t="n"/>
      <c r="W206" s="11602" t="n"/>
      <c r="X206" s="11602" t="n"/>
      <c r="Y206" s="11602" t="n"/>
      <c r="Z206" s="11602" t="n"/>
      <c r="AA206" s="11602" t="n"/>
      <c r="AB206" s="11602" t="n"/>
      <c r="AC206" s="11602" t="n"/>
      <c r="AD206" s="11602" t="n"/>
      <c r="AE206" s="11602" t="n"/>
      <c r="AF206" s="11602" t="n"/>
      <c r="AG206" s="11602" t="n"/>
      <c r="AH206" s="11602" t="n"/>
      <c r="AI206" s="11602" t="n"/>
      <c r="AJ206" s="11602" t="n"/>
      <c r="AK206" s="2013" t="n"/>
      <c r="AL206" s="2013" t="n"/>
      <c r="AM206" s="2013" t="n"/>
      <c r="AN206" s="11602" t="n"/>
      <c r="AO206" s="11602" t="n"/>
      <c r="AP206" s="11602" t="n"/>
      <c r="AQ206" s="1137" t="inlineStr">
        <is>
          <t>a.</t>
        </is>
      </c>
      <c r="AR206" s="1138">
        <f>"Tax-free educational assistance received in "&amp;TaxYear&amp;" allocable to"</f>
        <v/>
      </c>
      <c r="AS206" s="946" t="n"/>
      <c r="AT206" s="946" t="n"/>
      <c r="AU206" s="946" t="n"/>
      <c r="AV206" s="946" t="n"/>
      <c r="AW206" s="946" t="n"/>
      <c r="AX206" s="946" t="n"/>
      <c r="AY206" s="946" t="n"/>
      <c r="AZ206" s="1136" t="n"/>
    </row>
    <row r="207" ht="15" customFormat="1" customHeight="1" s="815">
      <c r="A207" s="2013" t="n"/>
      <c r="B207" s="3827" t="n"/>
      <c r="C207" s="11602" t="n"/>
      <c r="D207" s="11602" t="n"/>
      <c r="E207" s="8650">
        <f>"in "&amp;TaxYear&amp;" at an eligible educational institution in a program"</f>
        <v/>
      </c>
      <c r="F207" s="11602" t="n"/>
      <c r="G207" s="11602" t="n"/>
      <c r="H207" s="11602" t="n"/>
      <c r="I207" s="11602" t="n"/>
      <c r="J207" s="11602" t="n"/>
      <c r="K207" s="11602" t="n"/>
      <c r="L207" s="11602" t="n"/>
      <c r="M207" s="11602" t="n"/>
      <c r="N207" s="11602" t="n"/>
      <c r="O207" s="11602" t="n"/>
      <c r="P207" s="11602" t="n"/>
      <c r="Q207" s="11602" t="n"/>
      <c r="R207" s="11602" t="n"/>
      <c r="S207" s="11602" t="n"/>
      <c r="T207" s="11602" t="n"/>
      <c r="U207" s="11602" t="n"/>
      <c r="V207" s="11602" t="n"/>
      <c r="W207" s="11602" t="n"/>
      <c r="X207" s="11602" t="n"/>
      <c r="Y207" s="11602" t="n"/>
      <c r="Z207" s="11602" t="n"/>
      <c r="AA207" s="11602" t="n"/>
      <c r="AB207" s="11602" t="n"/>
      <c r="AC207" s="11602" t="n"/>
      <c r="AD207" s="11602" t="n"/>
      <c r="AE207" s="11602" t="n"/>
      <c r="AF207" s="11602" t="n"/>
      <c r="AG207" s="11602" t="n"/>
      <c r="AH207" s="11602" t="n"/>
      <c r="AI207" s="11602" t="n"/>
      <c r="AJ207" s="11602" t="n"/>
      <c r="AK207" s="2013" t="n"/>
      <c r="AL207" s="2013" t="n"/>
      <c r="AM207" s="2013" t="n"/>
      <c r="AN207" s="11602" t="n"/>
      <c r="AO207" s="11602" t="n"/>
      <c r="AP207" s="11602" t="n"/>
      <c r="AQ207" s="1140" t="n"/>
      <c r="AR207" s="1138" t="inlineStr">
        <is>
          <t>the academic period</t>
        </is>
      </c>
      <c r="AS207" s="1141" t="n"/>
      <c r="AT207" s="1141" t="n"/>
      <c r="AU207" s="1141" t="n"/>
      <c r="AV207" s="1141" t="n"/>
      <c r="AW207" s="4539" t="inlineStr">
        <is>
          <t>2a.</t>
        </is>
      </c>
      <c r="AX207" s="7843" t="n"/>
      <c r="AY207" s="946" t="n"/>
      <c r="AZ207" s="1139" t="n"/>
    </row>
    <row r="208" ht="15" customFormat="1" customHeight="1" s="815">
      <c r="A208" s="2013" t="n"/>
      <c r="B208" s="11602" t="n"/>
      <c r="C208" s="11602" t="n"/>
      <c r="D208" s="11602" t="n"/>
      <c r="E208" s="1672" t="inlineStr">
        <is>
          <t>leading towards a postsecondary degree, certificate, or</t>
        </is>
      </c>
      <c r="F208" s="11602" t="n"/>
      <c r="G208" s="11602" t="n"/>
      <c r="H208" s="11602" t="n"/>
      <c r="I208" s="11602" t="n"/>
      <c r="J208" s="11602" t="n"/>
      <c r="K208" s="11602" t="n"/>
      <c r="L208" s="11602" t="n"/>
      <c r="M208" s="11602" t="n"/>
      <c r="N208" s="11602" t="n"/>
      <c r="O208" s="11602" t="n"/>
      <c r="P208" s="11602" t="n"/>
      <c r="Q208" s="11602" t="n"/>
      <c r="R208" s="11602" t="n"/>
      <c r="S208" s="11602" t="n"/>
      <c r="T208" s="1963">
        <f>IF(AC208&lt;&gt;"","","X")</f>
        <v/>
      </c>
      <c r="U208" s="344" t="inlineStr">
        <is>
          <t>Yes -- Go to line 25.</t>
        </is>
      </c>
      <c r="V208" s="11602" t="n"/>
      <c r="W208" s="11602" t="n"/>
      <c r="X208" s="11602" t="n"/>
      <c r="Y208" s="11602" t="n"/>
      <c r="Z208" s="11602" t="n"/>
      <c r="AA208" s="11602" t="n"/>
      <c r="AB208" s="11602" t="n"/>
      <c r="AC208" s="1111" t="n"/>
      <c r="AD208" s="344" t="inlineStr">
        <is>
          <t>No -- Stop!  Go to Line 31.</t>
        </is>
      </c>
      <c r="AE208" s="11602" t="n"/>
      <c r="AF208" s="11602" t="n"/>
      <c r="AG208" s="11602" t="n"/>
      <c r="AH208" s="11602" t="n"/>
      <c r="AI208" s="11602" t="n"/>
      <c r="AJ208" s="11602" t="n"/>
      <c r="AK208" s="2013" t="n"/>
      <c r="AL208" s="2013" t="n"/>
      <c r="AM208" s="2013" t="n"/>
      <c r="AN208" s="11602" t="n"/>
      <c r="AO208" s="11602" t="n"/>
      <c r="AP208" s="11602" t="n"/>
      <c r="AQ208" s="1137" t="inlineStr">
        <is>
          <t>b.</t>
        </is>
      </c>
      <c r="AR208" s="1138">
        <f>"Tax-free educational assistance received in "&amp;TaxYear+1&amp;" (and before you"</f>
        <v/>
      </c>
      <c r="AS208" s="946" t="n"/>
      <c r="AT208" s="946" t="n"/>
      <c r="AU208" s="946" t="n"/>
      <c r="AV208" s="946" t="n"/>
      <c r="AW208" s="946" t="n"/>
      <c r="AX208" s="946" t="n"/>
      <c r="AY208" s="946" t="n"/>
      <c r="AZ208" s="1136" t="n"/>
    </row>
    <row r="209" ht="14.25" customFormat="1" customHeight="1" s="815">
      <c r="A209" s="2013" t="n"/>
      <c r="B209" s="11602" t="n"/>
      <c r="C209" s="11602" t="n"/>
      <c r="D209" s="11602" t="n"/>
      <c r="E209" s="1672" t="inlineStr">
        <is>
          <t>other recognized postsecondary educational credential?</t>
        </is>
      </c>
      <c r="F209" s="11602" t="n"/>
      <c r="G209" s="11602" t="n"/>
      <c r="H209" s="11602" t="n"/>
      <c r="I209" s="11602" t="n"/>
      <c r="J209" s="11602" t="n"/>
      <c r="K209" s="11602" t="n"/>
      <c r="L209" s="11602" t="n"/>
      <c r="M209" s="11602" t="n"/>
      <c r="N209" s="11602" t="n"/>
      <c r="O209" s="11602" t="n"/>
      <c r="P209" s="11602" t="n"/>
      <c r="Q209" s="11602" t="n"/>
      <c r="R209" s="11602" t="n"/>
      <c r="S209" s="11602" t="n"/>
      <c r="T209" s="11602" t="n"/>
      <c r="U209" s="11602" t="n"/>
      <c r="V209" s="11602" t="n"/>
      <c r="W209" s="11602" t="n"/>
      <c r="X209" s="11602" t="n"/>
      <c r="Y209" s="11602" t="n"/>
      <c r="Z209" s="11602" t="n"/>
      <c r="AA209" s="11602" t="n"/>
      <c r="AB209" s="11602" t="n"/>
      <c r="AC209" s="11602" t="n"/>
      <c r="AD209" s="344" t="inlineStr">
        <is>
          <t>for this student</t>
        </is>
      </c>
      <c r="AE209" s="11602" t="n"/>
      <c r="AF209" s="11602" t="n"/>
      <c r="AG209" s="11602" t="n"/>
      <c r="AH209" s="11602" t="n"/>
      <c r="AI209" s="11602" t="n"/>
      <c r="AJ209" s="11602" t="n"/>
      <c r="AK209" s="2013" t="n"/>
      <c r="AL209" s="2013" t="n"/>
      <c r="AM209" s="2013" t="n"/>
      <c r="AN209" s="11602" t="n"/>
      <c r="AO209" s="11602" t="n"/>
      <c r="AP209" s="11602" t="n"/>
      <c r="AQ209" s="1140" t="n"/>
      <c r="AR209" s="1138">
        <f>"file your "&amp;TaxYear&amp;" tax return) allocable to the academic period"</f>
        <v/>
      </c>
      <c r="AS209" s="1141" t="n"/>
      <c r="AT209" s="1141" t="n"/>
      <c r="AU209" s="1141" t="n"/>
      <c r="AV209" s="1141" t="n"/>
      <c r="AW209" s="4539" t="inlineStr">
        <is>
          <t>2b.</t>
        </is>
      </c>
      <c r="AX209" s="7843" t="n"/>
      <c r="AY209" s="946" t="n"/>
      <c r="AZ209" s="1139" t="n"/>
    </row>
    <row r="210" ht="16.5" customFormat="1" customHeight="1" s="1116">
      <c r="A210" s="2067" t="n"/>
      <c r="B210" s="571" t="n"/>
      <c r="C210" s="571" t="n"/>
      <c r="D210" s="571" t="n"/>
      <c r="E210" s="2046" t="inlineStr">
        <is>
          <t>See instructions.</t>
        </is>
      </c>
      <c r="F210" s="571" t="n"/>
      <c r="G210" s="571" t="n"/>
      <c r="H210" s="571" t="n"/>
      <c r="I210" s="571" t="n"/>
      <c r="J210" s="571" t="n"/>
      <c r="K210" s="571" t="n"/>
      <c r="L210" s="571" t="n"/>
      <c r="M210" s="571" t="n"/>
      <c r="N210" s="571" t="n"/>
      <c r="O210" s="571" t="n"/>
      <c r="P210" s="571" t="n"/>
      <c r="Q210" s="571" t="n"/>
      <c r="R210" s="571" t="n"/>
      <c r="S210" s="571" t="n"/>
      <c r="T210" s="571" t="n"/>
      <c r="U210" s="571" t="n"/>
      <c r="V210" s="571" t="n"/>
      <c r="W210" s="571" t="n"/>
      <c r="X210" s="571" t="n"/>
      <c r="Y210" s="571" t="n"/>
      <c r="Z210" s="571" t="n"/>
      <c r="AA210" s="571" t="n"/>
      <c r="AB210" s="571" t="n"/>
      <c r="AC210" s="571" t="n"/>
      <c r="AD210" s="571" t="n"/>
      <c r="AE210" s="571" t="n"/>
      <c r="AF210" s="571" t="n"/>
      <c r="AG210" s="571" t="n"/>
      <c r="AH210" s="571" t="n"/>
      <c r="AI210" s="571" t="n"/>
      <c r="AJ210" s="571" t="n"/>
      <c r="AK210" s="2067" t="n"/>
      <c r="AL210" s="2067" t="n"/>
      <c r="AM210" s="2067" t="n"/>
      <c r="AN210" s="571" t="n"/>
      <c r="AO210" s="571" t="n"/>
      <c r="AP210" s="571" t="n"/>
      <c r="AQ210" s="1137" t="inlineStr">
        <is>
          <t>c.</t>
        </is>
      </c>
      <c r="AR210" s="1138">
        <f>"Refunds of qualified education expenses paid in "&amp;TaxYear&amp;" if the refund"</f>
        <v/>
      </c>
      <c r="AS210" s="946" t="n"/>
      <c r="AT210" s="946" t="n"/>
      <c r="AU210" s="946" t="n"/>
      <c r="AV210" s="946" t="n"/>
      <c r="AW210" s="946" t="n"/>
      <c r="AX210" s="946" t="n"/>
      <c r="AY210" s="946" t="n"/>
      <c r="AZ210" s="1136" t="n"/>
      <c r="BA210" s="138" t="n"/>
      <c r="BB210" s="138" t="n"/>
    </row>
    <row r="211" ht="15" customFormat="1" customHeight="1" s="815">
      <c r="A211" s="2013" t="n"/>
      <c r="B211" s="4555" t="n">
        <v>25</v>
      </c>
      <c r="C211" s="406" t="n"/>
      <c r="D211" s="406" t="n"/>
      <c r="E211" s="2354" t="inlineStr">
        <is>
          <t>Did the student complete the first 4 years of post secondary</t>
        </is>
      </c>
      <c r="F211" s="406" t="n"/>
      <c r="G211" s="406" t="n"/>
      <c r="H211" s="406" t="n"/>
      <c r="I211" s="406" t="n"/>
      <c r="J211" s="406" t="n"/>
      <c r="K211" s="406" t="n"/>
      <c r="L211" s="406" t="n"/>
      <c r="M211" s="406" t="n"/>
      <c r="N211" s="406" t="n"/>
      <c r="O211" s="406" t="n"/>
      <c r="P211" s="406" t="n"/>
      <c r="Q211" s="406" t="n"/>
      <c r="R211" s="406" t="n"/>
      <c r="S211" s="406" t="n"/>
      <c r="T211" s="406" t="n"/>
      <c r="U211" s="406" t="n"/>
      <c r="V211" s="406" t="n"/>
      <c r="W211" s="406" t="n"/>
      <c r="X211" s="406" t="n"/>
      <c r="Y211" s="406" t="n"/>
      <c r="Z211" s="406" t="n"/>
      <c r="AA211" s="406" t="n"/>
      <c r="AB211" s="406" t="n"/>
      <c r="AC211" s="406" t="n"/>
      <c r="AD211" s="406" t="n"/>
      <c r="AE211" s="406" t="n"/>
      <c r="AF211" s="406" t="n"/>
      <c r="AG211" s="406" t="n"/>
      <c r="AH211" s="406" t="n"/>
      <c r="AI211" s="406" t="n"/>
      <c r="AJ211" s="406" t="n"/>
      <c r="AK211" s="2013" t="n"/>
      <c r="AL211" s="2013" t="n"/>
      <c r="AM211" s="2013" t="n"/>
      <c r="AN211" s="11602" t="n"/>
      <c r="AO211" s="11602" t="n"/>
      <c r="AP211" s="11602" t="n"/>
      <c r="AQ211" s="1140" t="n"/>
      <c r="AR211" s="1138">
        <f>"is received in "&amp;TaxYear&amp;" or in "&amp;TaxYear+1&amp;" before you file your "&amp;TaxYear&amp;" tax return."</f>
        <v/>
      </c>
      <c r="AS211" s="1141" t="n"/>
      <c r="AT211" s="1141" t="n"/>
      <c r="AU211" s="1141" t="n"/>
      <c r="AV211" s="1141" t="n"/>
      <c r="AW211" s="4539" t="inlineStr">
        <is>
          <t>2c.</t>
        </is>
      </c>
      <c r="AX211" s="7843" t="n"/>
      <c r="AY211" s="946" t="n"/>
      <c r="AZ211" s="1139" t="n"/>
    </row>
    <row r="212" ht="15" customFormat="1" customHeight="1" s="815">
      <c r="A212" s="2013" t="n"/>
      <c r="B212" s="11602" t="n"/>
      <c r="C212" s="11602" t="n"/>
      <c r="D212" s="11602" t="n"/>
      <c r="E212" s="1672">
        <f>"education before "&amp;TaxYear&amp;"? See instructions."</f>
        <v/>
      </c>
      <c r="F212" s="11602" t="n"/>
      <c r="G212" s="11602" t="n"/>
      <c r="H212" s="11602" t="n"/>
      <c r="I212" s="11602" t="n"/>
      <c r="J212" s="11602" t="n"/>
      <c r="K212" s="11602" t="n"/>
      <c r="L212" s="11602" t="n"/>
      <c r="M212" s="11602" t="n"/>
      <c r="N212" s="11602" t="n"/>
      <c r="O212" s="11602" t="n"/>
      <c r="P212" s="11602" t="n"/>
      <c r="Q212" s="11602" t="n"/>
      <c r="R212" s="11602" t="n"/>
      <c r="S212" s="11602" t="n"/>
      <c r="T212" s="1111" t="n"/>
      <c r="U212" s="344" t="inlineStr">
        <is>
          <t>Yes -- Stop!</t>
        </is>
      </c>
      <c r="V212" s="11602" t="n"/>
      <c r="W212" s="11602" t="n"/>
      <c r="X212" s="11602" t="n"/>
      <c r="Y212" s="11602" t="n"/>
      <c r="Z212" s="11602" t="n"/>
      <c r="AA212" s="11602" t="n"/>
      <c r="AB212" s="11602" t="n"/>
      <c r="AC212" s="1963">
        <f>IF(T212&lt;&gt;"","","X")</f>
        <v/>
      </c>
      <c r="AD212" s="344" t="inlineStr">
        <is>
          <t>No -- Go to line 26.</t>
        </is>
      </c>
      <c r="AE212" s="11602" t="n"/>
      <c r="AF212" s="11602" t="n"/>
      <c r="AG212" s="11602" t="n"/>
      <c r="AH212" s="11602" t="n"/>
      <c r="AI212" s="11602" t="n"/>
      <c r="AJ212" s="11602" t="n"/>
      <c r="AK212" s="2013" t="n"/>
      <c r="AL212" s="2013" t="n"/>
      <c r="AM212" s="2013" t="n"/>
      <c r="AN212" s="11602" t="n"/>
      <c r="AO212" s="11602" t="n"/>
      <c r="AP212" s="11602" t="n"/>
      <c r="AQ212" s="1140" t="n"/>
      <c r="AR212" s="1138" t="n"/>
      <c r="AS212" s="1141" t="n"/>
      <c r="AT212" s="1141" t="n"/>
      <c r="AU212" s="1141" t="n"/>
      <c r="AV212" s="1141" t="n"/>
      <c r="AW212" s="1141" t="n"/>
      <c r="AX212" s="1141" t="n"/>
      <c r="AY212" s="946" t="n"/>
      <c r="AZ212" s="1139" t="n"/>
    </row>
    <row r="213" ht="16.5" customFormat="1" customHeight="1" s="1116">
      <c r="A213" s="2067" t="n"/>
      <c r="B213" s="571" t="n"/>
      <c r="C213" s="571" t="n"/>
      <c r="D213" s="571" t="n"/>
      <c r="E213" s="2046" t="n"/>
      <c r="F213" s="571" t="n"/>
      <c r="G213" s="571" t="n"/>
      <c r="H213" s="571" t="n"/>
      <c r="I213" s="571" t="n"/>
      <c r="J213" s="571" t="n"/>
      <c r="K213" s="571" t="n"/>
      <c r="L213" s="571" t="n"/>
      <c r="M213" s="571" t="n"/>
      <c r="N213" s="571" t="n"/>
      <c r="O213" s="571" t="n"/>
      <c r="P213" s="571" t="n"/>
      <c r="Q213" s="571" t="n"/>
      <c r="R213" s="571" t="n"/>
      <c r="S213" s="571" t="n"/>
      <c r="T213" s="571" t="n"/>
      <c r="U213" s="571" t="inlineStr">
        <is>
          <t>Go to line 31 for this student.</t>
        </is>
      </c>
      <c r="V213" s="571" t="n"/>
      <c r="W213" s="571" t="n"/>
      <c r="X213" s="571" t="n"/>
      <c r="Y213" s="571" t="n"/>
      <c r="Z213" s="571" t="n"/>
      <c r="AA213" s="571" t="n"/>
      <c r="AB213" s="571" t="n"/>
      <c r="AC213" s="571" t="n"/>
      <c r="AD213" s="571" t="n"/>
      <c r="AE213" s="571" t="n"/>
      <c r="AF213" s="571" t="n"/>
      <c r="AG213" s="571" t="n"/>
      <c r="AH213" s="571" t="n"/>
      <c r="AI213" s="571" t="n"/>
      <c r="AJ213" s="571" t="n"/>
      <c r="AK213" s="2067" t="n"/>
      <c r="AL213" s="2067" t="n"/>
      <c r="AM213" s="2067" t="n"/>
      <c r="AN213" s="571" t="n"/>
      <c r="AO213" s="571" t="n"/>
      <c r="AP213" s="571" t="n"/>
      <c r="AQ213" s="4552" t="inlineStr">
        <is>
          <t>3.  Total adjustments (add lines 2a, 2b, and 2c)</t>
        </is>
      </c>
      <c r="AR213" s="4536" t="n"/>
      <c r="AS213" s="4536" t="n"/>
      <c r="AT213" s="4536" t="n"/>
      <c r="AU213" s="4536" t="n"/>
      <c r="AV213" s="4536" t="n"/>
      <c r="AW213" s="4539" t="n"/>
      <c r="AX213" s="4539" t="inlineStr">
        <is>
          <t>3.</t>
        </is>
      </c>
      <c r="AY213" s="7842">
        <f>SUM(AX207,AX209,AX211)</f>
        <v/>
      </c>
      <c r="AZ213" s="4537" t="n"/>
      <c r="BA213" s="138" t="n"/>
      <c r="BB213" s="138" t="n"/>
    </row>
    <row r="214" ht="15" customFormat="1" customHeight="1" s="815">
      <c r="A214" s="2013" t="n"/>
      <c r="B214" s="4555" t="n">
        <v>26</v>
      </c>
      <c r="C214" s="406" t="n"/>
      <c r="D214" s="406" t="n"/>
      <c r="E214" s="2354">
        <f>"Was the student convicted, before the end of "&amp;TaxYear&amp;", of a"</f>
        <v/>
      </c>
      <c r="F214" s="406" t="n"/>
      <c r="G214" s="406" t="n"/>
      <c r="H214" s="406" t="n"/>
      <c r="I214" s="406" t="n"/>
      <c r="J214" s="406" t="n"/>
      <c r="K214" s="406" t="n"/>
      <c r="L214" s="406" t="n"/>
      <c r="M214" s="406" t="n"/>
      <c r="N214" s="406" t="n"/>
      <c r="O214" s="406" t="n"/>
      <c r="P214" s="406" t="n"/>
      <c r="Q214" s="406" t="n"/>
      <c r="R214" s="406" t="n"/>
      <c r="S214" s="406" t="n"/>
      <c r="T214" s="406" t="n"/>
      <c r="U214" s="406" t="n"/>
      <c r="V214" s="406" t="n"/>
      <c r="W214" s="406" t="n"/>
      <c r="X214" s="406" t="n"/>
      <c r="Y214" s="406" t="n"/>
      <c r="Z214" s="406" t="n"/>
      <c r="AA214" s="406" t="n"/>
      <c r="AB214" s="406" t="n"/>
      <c r="AC214" s="406" t="n"/>
      <c r="AD214" s="406" t="n"/>
      <c r="AE214" s="406" t="n"/>
      <c r="AF214" s="406" t="n"/>
      <c r="AG214" s="406" t="n"/>
      <c r="AH214" s="406" t="n"/>
      <c r="AI214" s="406" t="n"/>
      <c r="AJ214" s="406" t="n"/>
      <c r="AK214" s="2013" t="n"/>
      <c r="AL214" s="2013" t="n"/>
      <c r="AM214" s="2013" t="n"/>
      <c r="AN214" s="11602" t="n"/>
      <c r="AO214" s="11602" t="n"/>
      <c r="AP214" s="11602" t="n"/>
      <c r="AQ214" s="1140" t="n"/>
      <c r="AR214" s="1138" t="n"/>
      <c r="AS214" s="1141" t="n"/>
      <c r="AT214" s="1141" t="n"/>
      <c r="AU214" s="1141" t="n"/>
      <c r="AV214" s="1141" t="n"/>
      <c r="AW214" s="1141" t="n"/>
      <c r="AX214" s="1141" t="n"/>
      <c r="AY214" s="946" t="n"/>
      <c r="AZ214" s="1139" t="n"/>
    </row>
    <row r="215" ht="15" customFormat="1" customHeight="1" s="815">
      <c r="A215" s="2013" t="n"/>
      <c r="B215" s="11602" t="n"/>
      <c r="C215" s="11602" t="n"/>
      <c r="D215" s="11602" t="n"/>
      <c r="E215" s="1672" t="inlineStr">
        <is>
          <t>felony for possession or distribution of a controlled</t>
        </is>
      </c>
      <c r="F215" s="11602" t="n"/>
      <c r="G215" s="11602" t="n"/>
      <c r="H215" s="11602" t="n"/>
      <c r="I215" s="11602" t="n"/>
      <c r="J215" s="11602" t="n"/>
      <c r="K215" s="11602" t="n"/>
      <c r="L215" s="11602" t="n"/>
      <c r="M215" s="11602" t="n"/>
      <c r="N215" s="11602" t="n"/>
      <c r="O215" s="11602" t="n"/>
      <c r="P215" s="11602" t="n"/>
      <c r="Q215" s="11602" t="n"/>
      <c r="R215" s="11602" t="n"/>
      <c r="S215" s="11602" t="n"/>
      <c r="T215" s="1111" t="n"/>
      <c r="U215" s="344" t="inlineStr">
        <is>
          <t>Yes -- Stop!</t>
        </is>
      </c>
      <c r="V215" s="11602" t="n"/>
      <c r="W215" s="11602" t="n"/>
      <c r="X215" s="11602" t="n"/>
      <c r="Y215" s="11602" t="n"/>
      <c r="Z215" s="11602" t="n"/>
      <c r="AA215" s="11602" t="n"/>
      <c r="AB215" s="11602" t="n"/>
      <c r="AC215" s="1963">
        <f>IF(T215&lt;&gt;"","","X")</f>
        <v/>
      </c>
      <c r="AD215" s="344" t="inlineStr">
        <is>
          <t>No -- Complete lines 27</t>
        </is>
      </c>
      <c r="AE215" s="11602" t="n"/>
      <c r="AF215" s="11602" t="n"/>
      <c r="AG215" s="11602" t="n"/>
      <c r="AH215" s="11602" t="n"/>
      <c r="AI215" s="11602" t="n"/>
      <c r="AJ215" s="11602" t="n"/>
      <c r="AK215" s="2013" t="n"/>
      <c r="AL215" s="2013" t="n"/>
      <c r="AM215" s="2013" t="n"/>
      <c r="AN215" s="11602" t="n"/>
      <c r="AO215" s="226" t="inlineStr">
        <is>
          <t>Manual</t>
        </is>
      </c>
      <c r="AP215" s="11602" t="n"/>
      <c r="AQ215" s="4552" t="inlineStr">
        <is>
          <t xml:space="preserve">4.  Adjusted qualified education expenses. Subtract line 3 from line 1. </t>
        </is>
      </c>
      <c r="AR215" s="1138" t="n"/>
      <c r="AS215" s="1141" t="n"/>
      <c r="AT215" s="1141" t="n"/>
      <c r="AU215" s="1141" t="n"/>
      <c r="AV215" s="1141" t="n"/>
      <c r="AW215" s="1141" t="n"/>
      <c r="AX215" s="1141" t="n"/>
      <c r="AY215" s="946" t="n"/>
      <c r="AZ215" s="1139" t="n"/>
    </row>
    <row r="216" ht="16.5" customFormat="1" customHeight="1" s="1116">
      <c r="A216" s="2067" t="n"/>
      <c r="B216" s="2068" t="n"/>
      <c r="C216" s="2068" t="n"/>
      <c r="D216" s="2068" t="n"/>
      <c r="E216" s="4556" t="inlineStr">
        <is>
          <t>substance?</t>
        </is>
      </c>
      <c r="F216" s="2068" t="n"/>
      <c r="G216" s="2068" t="n"/>
      <c r="H216" s="2068" t="n"/>
      <c r="I216" s="2068" t="n"/>
      <c r="J216" s="2068" t="n"/>
      <c r="K216" s="2068" t="n"/>
      <c r="L216" s="2068" t="n"/>
      <c r="M216" s="2068" t="n"/>
      <c r="N216" s="2068" t="n"/>
      <c r="O216" s="2068" t="n"/>
      <c r="P216" s="2068" t="n"/>
      <c r="Q216" s="2068" t="n"/>
      <c r="R216" s="2068" t="n"/>
      <c r="S216" s="2068" t="n"/>
      <c r="T216" s="2068" t="n"/>
      <c r="U216" s="2068" t="inlineStr">
        <is>
          <t>Go to line 31 for this student.</t>
        </is>
      </c>
      <c r="V216" s="2068" t="n"/>
      <c r="W216" s="2068" t="n"/>
      <c r="X216" s="2068" t="n"/>
      <c r="Y216" s="2068" t="n"/>
      <c r="Z216" s="2068" t="n"/>
      <c r="AA216" s="2068" t="n"/>
      <c r="AB216" s="2068" t="n"/>
      <c r="AC216" s="2068" t="n"/>
      <c r="AD216" s="4162" t="inlineStr">
        <is>
          <t>through 30 for this student.</t>
        </is>
      </c>
      <c r="AE216" s="2068" t="n"/>
      <c r="AF216" s="2068" t="n"/>
      <c r="AG216" s="2068" t="n"/>
      <c r="AH216" s="2068" t="n"/>
      <c r="AI216" s="2068" t="n"/>
      <c r="AJ216" s="2068" t="n"/>
      <c r="AK216" s="2067" t="n"/>
      <c r="AL216" s="2067" t="n"/>
      <c r="AM216" s="2067" t="n"/>
      <c r="AN216" s="571" t="n"/>
      <c r="AO216" s="226" t="inlineStr">
        <is>
          <t>Override ê</t>
        </is>
      </c>
      <c r="AP216" s="571" t="n"/>
      <c r="AQ216" s="4554" t="inlineStr">
        <is>
          <t>If zero or less, enter -0-</t>
        </is>
      </c>
      <c r="AR216" s="4536" t="n"/>
      <c r="AS216" s="4536" t="n"/>
      <c r="AT216" s="4557" t="inlineStr">
        <is>
          <t>Enter result into Part III, line 27  OR  line 31.</t>
        </is>
      </c>
      <c r="AU216" s="4536" t="n"/>
      <c r="AV216" s="4536" t="n"/>
      <c r="AW216" s="4539" t="n"/>
      <c r="AX216" s="4539" t="inlineStr">
        <is>
          <t>4.</t>
        </is>
      </c>
      <c r="AY216" s="7842">
        <f>IF(AY203="","",MAX(0,SUM(AY203,-AY213)))</f>
        <v/>
      </c>
      <c r="AZ216" s="4537" t="n"/>
      <c r="BA216" s="138" t="n"/>
      <c r="BB216" s="138" t="n"/>
    </row>
    <row r="217" ht="9.75" customFormat="1" customHeight="1" s="815" thickBot="1">
      <c r="A217" s="2013" t="n"/>
      <c r="B217" s="4558" t="n"/>
      <c r="C217" s="4558" t="n"/>
      <c r="D217" s="4558" t="n"/>
      <c r="E217" s="4558" t="n"/>
      <c r="F217" s="4558" t="n"/>
      <c r="G217" s="4558" t="n"/>
      <c r="H217" s="4558" t="n"/>
      <c r="I217" s="4558" t="n"/>
      <c r="J217" s="4558" t="n"/>
      <c r="K217" s="4558" t="n"/>
      <c r="L217" s="4558" t="n"/>
      <c r="M217" s="4558" t="n"/>
      <c r="N217" s="4558" t="n"/>
      <c r="O217" s="4558" t="n"/>
      <c r="P217" s="4558" t="n"/>
      <c r="Q217" s="4558" t="n"/>
      <c r="R217" s="4558" t="n"/>
      <c r="S217" s="4558" t="n"/>
      <c r="T217" s="4558" t="n"/>
      <c r="U217" s="4558" t="n"/>
      <c r="V217" s="4558" t="n"/>
      <c r="W217" s="4558" t="n"/>
      <c r="X217" s="4558" t="n"/>
      <c r="Y217" s="4558" t="n"/>
      <c r="Z217" s="4558" t="n"/>
      <c r="AA217" s="4558" t="n"/>
      <c r="AB217" s="4558" t="n"/>
      <c r="AC217" s="4558" t="n"/>
      <c r="AD217" s="4558" t="n"/>
      <c r="AE217" s="4558" t="n"/>
      <c r="AF217" s="4558" t="n"/>
      <c r="AG217" s="4558" t="n"/>
      <c r="AH217" s="4558" t="n"/>
      <c r="AI217" s="4558" t="n"/>
      <c r="AJ217" s="4558" t="n"/>
      <c r="AK217" s="2013" t="n"/>
      <c r="AL217" s="2013" t="n"/>
      <c r="AM217" s="2013" t="n"/>
      <c r="AN217" s="11602" t="n"/>
      <c r="AO217" s="11602" t="n"/>
      <c r="AP217" s="11602" t="n"/>
      <c r="AQ217" s="1142" t="n"/>
      <c r="AR217" s="1143" t="n"/>
      <c r="AS217" s="1144" t="n"/>
      <c r="AT217" s="1144" t="n"/>
      <c r="AU217" s="1144" t="n"/>
      <c r="AV217" s="1144" t="n"/>
      <c r="AW217" s="1144" t="n"/>
      <c r="AX217" s="1144" t="n"/>
      <c r="AY217" s="1144" t="n"/>
      <c r="AZ217" s="1145" t="n"/>
    </row>
    <row r="218" ht="14.25" customFormat="1" customHeight="1" s="1115">
      <c r="A218" s="2290" t="n"/>
      <c r="B218" s="342" t="inlineStr">
        <is>
          <t>Caution:</t>
        </is>
      </c>
      <c r="C218" s="2319" t="n"/>
      <c r="D218" s="2319" t="n"/>
      <c r="E218" s="1117" t="inlineStr">
        <is>
          <t>You can't take the American opportunity credit and the lifetime learning credit for the same student in the same year.</t>
        </is>
      </c>
      <c r="F218" s="2319" t="n"/>
      <c r="G218" s="2319" t="n"/>
      <c r="H218" s="2319" t="n"/>
      <c r="I218" s="2319" t="n"/>
      <c r="J218" s="2319" t="n"/>
      <c r="K218" s="2319" t="n"/>
      <c r="L218" s="2319" t="n"/>
      <c r="M218" s="2319" t="n"/>
      <c r="N218" s="2319" t="n"/>
      <c r="O218" s="2319" t="n"/>
      <c r="P218" s="2319" t="n"/>
      <c r="Q218" s="2319" t="n"/>
      <c r="R218" s="2319" t="n"/>
      <c r="S218" s="2319" t="n"/>
      <c r="T218" s="2319" t="n"/>
      <c r="U218" s="2319" t="n"/>
      <c r="V218" s="2319" t="n"/>
      <c r="W218" s="2319" t="n"/>
      <c r="X218" s="2319" t="n"/>
      <c r="Y218" s="2319" t="n"/>
      <c r="Z218" s="2319" t="n"/>
      <c r="AA218" s="2319" t="n"/>
      <c r="AB218" s="2319" t="n"/>
      <c r="AC218" s="2319" t="n"/>
      <c r="AD218" s="2319" t="n"/>
      <c r="AE218" s="2319" t="n"/>
      <c r="AF218" s="2319" t="n"/>
      <c r="AG218" s="2319" t="n"/>
      <c r="AH218" s="2319" t="n"/>
      <c r="AI218" s="2319" t="n"/>
      <c r="AJ218" s="2319" t="n"/>
      <c r="AK218" s="2290" t="n"/>
      <c r="AL218" s="2290" t="n"/>
      <c r="AM218" s="2290" t="n"/>
      <c r="AN218" s="4520" t="n"/>
      <c r="AO218" s="2158">
        <f>OR(AND(AH221,AO229&lt;&gt;""),AND(NOT(AH221),AO226&lt;&gt;""))</f>
        <v/>
      </c>
      <c r="AP218" s="4521" t="n"/>
      <c r="AQ218" s="658" t="n"/>
      <c r="AR218" s="664" t="n"/>
      <c r="AS218" s="658" t="n"/>
      <c r="AT218" s="658" t="n"/>
      <c r="AU218" s="658" t="n"/>
      <c r="AV218" s="658" t="n"/>
      <c r="AW218" s="658" t="n"/>
      <c r="AX218" s="658" t="n"/>
      <c r="AY218" s="658" t="n"/>
      <c r="AZ218" s="658" t="n"/>
      <c r="BA218" s="2293" t="n"/>
      <c r="BB218" s="2293" t="n"/>
    </row>
    <row r="219" ht="16.5" customFormat="1" customHeight="1" s="1115">
      <c r="A219" s="2290" t="n"/>
      <c r="B219" s="2319" t="n"/>
      <c r="C219" s="2319" t="n"/>
      <c r="D219" s="2319" t="n"/>
      <c r="E219" s="1118" t="inlineStr">
        <is>
          <t>If you complete lines 27 through 30 for this student, don’t complete line 31.</t>
        </is>
      </c>
      <c r="F219" s="2319" t="n"/>
      <c r="G219" s="2319" t="n"/>
      <c r="H219" s="2319" t="n"/>
      <c r="I219" s="2319" t="n"/>
      <c r="J219" s="2319" t="n"/>
      <c r="K219" s="2319" t="n"/>
      <c r="L219" s="2319" t="n"/>
      <c r="M219" s="2319" t="n"/>
      <c r="N219" s="2319" t="n"/>
      <c r="O219" s="2319" t="n"/>
      <c r="P219" s="2319" t="n"/>
      <c r="Q219" s="2319" t="n"/>
      <c r="R219" s="2319" t="n"/>
      <c r="S219" s="2319" t="n"/>
      <c r="T219" s="2319" t="n"/>
      <c r="U219" s="2319" t="n"/>
      <c r="V219" s="2319" t="n"/>
      <c r="W219" s="2319" t="n"/>
      <c r="X219" s="2319" t="n"/>
      <c r="Y219" s="2319" t="n"/>
      <c r="Z219" s="2319" t="n"/>
      <c r="AA219" s="2319" t="n"/>
      <c r="AB219" s="2319" t="n"/>
      <c r="AC219" s="2319" t="n"/>
      <c r="AD219" s="2319" t="n"/>
      <c r="AE219" s="2319" t="n"/>
      <c r="AF219" s="2319" t="n"/>
      <c r="AG219" s="2319" t="n"/>
      <c r="AH219" s="2319" t="n"/>
      <c r="AI219" s="2319" t="n"/>
      <c r="AJ219" s="2319" t="n"/>
      <c r="AK219" s="2290" t="n"/>
      <c r="AL219" s="2290" t="n"/>
      <c r="AM219" s="2290" t="n"/>
      <c r="AN219" s="4520" t="n"/>
      <c r="AO219" s="2158">
        <f>OR(AND(AH221,AO229&lt;&gt;""),AND(NOT(AH221),AO226&lt;&gt;""))</f>
        <v/>
      </c>
      <c r="AP219" s="4521" t="n"/>
      <c r="AQ219" s="658" t="n"/>
      <c r="AR219" s="664" t="n"/>
      <c r="AS219" s="658" t="n"/>
      <c r="AT219" s="658" t="n"/>
      <c r="AU219" s="658" t="n"/>
      <c r="AV219" s="658" t="n"/>
      <c r="AW219" s="658" t="n"/>
      <c r="AX219" s="658" t="n"/>
      <c r="AY219" s="658" t="n"/>
      <c r="AZ219" s="658" t="n"/>
      <c r="BA219" s="2293" t="n"/>
      <c r="BB219" s="2293" t="n"/>
    </row>
    <row r="220" ht="6" customFormat="1" customHeight="1" s="815">
      <c r="A220" s="2013" t="n"/>
      <c r="B220" s="4559" t="n"/>
      <c r="C220" s="4559" t="n"/>
      <c r="D220" s="4559" t="n"/>
      <c r="E220" s="4559" t="n"/>
      <c r="F220" s="4559" t="n"/>
      <c r="G220" s="4559" t="n"/>
      <c r="H220" s="4559" t="n"/>
      <c r="I220" s="4559" t="n"/>
      <c r="J220" s="4559" t="n"/>
      <c r="K220" s="4559" t="n"/>
      <c r="L220" s="4559" t="n"/>
      <c r="M220" s="4559" t="n"/>
      <c r="N220" s="4559" t="n"/>
      <c r="O220" s="4559" t="n"/>
      <c r="P220" s="4559" t="n"/>
      <c r="Q220" s="4559" t="n"/>
      <c r="R220" s="4559" t="n"/>
      <c r="S220" s="4559" t="n"/>
      <c r="T220" s="4559" t="n"/>
      <c r="U220" s="4559" t="n"/>
      <c r="V220" s="4559" t="n"/>
      <c r="W220" s="4559" t="n"/>
      <c r="X220" s="4559" t="n"/>
      <c r="Y220" s="4559" t="n"/>
      <c r="Z220" s="4559" t="n"/>
      <c r="AA220" s="4559" t="n"/>
      <c r="AB220" s="4559" t="n"/>
      <c r="AC220" s="4559" t="n"/>
      <c r="AD220" s="4559" t="n"/>
      <c r="AE220" s="4559" t="n"/>
      <c r="AF220" s="4559" t="n"/>
      <c r="AG220" s="4559" t="n"/>
      <c r="AH220" s="4559" t="n"/>
      <c r="AI220" s="4559" t="n"/>
      <c r="AJ220" s="4559" t="n"/>
      <c r="AK220" s="2013" t="n"/>
      <c r="AL220" s="2013" t="n"/>
      <c r="AM220" s="2013" t="n"/>
      <c r="AN220" s="11602" t="n"/>
      <c r="AO220" s="11602" t="n"/>
      <c r="AP220" s="11602" t="n"/>
      <c r="AQ220" s="658" t="n"/>
      <c r="AR220" s="658" t="n"/>
      <c r="AS220" s="658" t="n"/>
      <c r="AT220" s="658" t="n"/>
      <c r="AU220" s="658" t="n"/>
      <c r="AV220" s="658" t="n"/>
      <c r="AW220" s="658" t="n"/>
      <c r="AX220" s="658" t="n"/>
      <c r="AY220" s="658" t="n"/>
      <c r="AZ220" s="658" t="n"/>
    </row>
    <row r="221" ht="16.5" customFormat="1" customHeight="1" s="815" thickBot="1">
      <c r="A221" s="2013" t="n"/>
      <c r="B221" s="3844" t="n"/>
      <c r="C221" s="4560" t="inlineStr">
        <is>
          <t>American Opportunity Credit</t>
        </is>
      </c>
      <c r="D221" s="413" t="n"/>
      <c r="E221" s="413" t="n"/>
      <c r="F221" s="413" t="n"/>
      <c r="G221" s="413" t="n"/>
      <c r="H221" s="413" t="n"/>
      <c r="I221" s="413" t="n"/>
      <c r="J221" s="413" t="n"/>
      <c r="K221" s="413" t="n"/>
      <c r="L221" s="413" t="n"/>
      <c r="M221" s="413" t="n"/>
      <c r="N221" s="413" t="n"/>
      <c r="O221" s="413" t="n"/>
      <c r="P221" s="413" t="n"/>
      <c r="Q221" s="413" t="n"/>
      <c r="R221" s="413" t="n"/>
      <c r="S221" s="413" t="n"/>
      <c r="T221" s="413" t="n"/>
      <c r="U221" s="413" t="n"/>
      <c r="V221" s="413" t="n"/>
      <c r="W221" s="413" t="n"/>
      <c r="X221" s="413" t="n"/>
      <c r="Y221" s="413" t="n"/>
      <c r="Z221" s="413" t="n"/>
      <c r="AA221" s="413" t="n"/>
      <c r="AB221" s="11129">
        <f>AND(AE222&lt;&gt;"",AE222&gt;AO223)</f>
        <v/>
      </c>
      <c r="AC221" s="8412" t="n"/>
      <c r="AD221" s="413" t="n"/>
      <c r="AE221" s="413" t="n"/>
      <c r="AF221" s="413" t="n"/>
      <c r="AG221" s="413" t="n"/>
      <c r="AH221" s="11129">
        <f>AND(T203="",AC208="",T212="",T215="")</f>
        <v/>
      </c>
      <c r="AI221" s="8412" t="n"/>
      <c r="AJ221" s="8412" t="n"/>
      <c r="AK221" s="2013" t="n"/>
      <c r="AL221" s="2013" t="n"/>
      <c r="AM221" s="2013" t="n"/>
      <c r="AN221" s="11602" t="n"/>
      <c r="AO221" s="11602" t="n"/>
      <c r="AP221" s="11602" t="n"/>
      <c r="AQ221" s="658" t="n"/>
      <c r="AR221" s="658" t="n"/>
      <c r="AS221" s="658" t="n"/>
      <c r="AT221" s="658" t="n"/>
      <c r="AU221" s="658" t="n"/>
      <c r="AV221" s="658" t="n"/>
      <c r="AW221" s="658" t="n"/>
      <c r="AX221" s="658" t="n"/>
      <c r="AY221" s="658" t="n"/>
      <c r="AZ221" s="658" t="n"/>
    </row>
    <row r="222" ht="16.5" customFormat="1" customHeight="1" s="815" thickBot="1">
      <c r="A222" s="2013" t="n"/>
      <c r="B222" s="4555" t="n">
        <v>27</v>
      </c>
      <c r="C222" s="11602" t="n"/>
      <c r="D222" s="8650" t="inlineStr">
        <is>
          <t>Adjusted qualified education expenses (see instructions).</t>
        </is>
      </c>
      <c r="E222" s="8650" t="n"/>
      <c r="F222" s="11602" t="n"/>
      <c r="G222" s="11602" t="n"/>
      <c r="H222" s="11602" t="n"/>
      <c r="I222" s="11602" t="n"/>
      <c r="J222" s="11602" t="n"/>
      <c r="K222" s="11602" t="n"/>
      <c r="L222" s="11602" t="n"/>
      <c r="M222" s="11602" t="n"/>
      <c r="N222" s="11602" t="n"/>
      <c r="O222" s="11602" t="n"/>
      <c r="P222" s="11602" t="n"/>
      <c r="Q222" s="11602" t="n"/>
      <c r="R222" s="4561">
        <f>"Don't enter more than "&amp;TEXT(AO223,"$0,000")&amp;"."</f>
        <v/>
      </c>
      <c r="S222" s="11602" t="n"/>
      <c r="T222" s="11602" t="n"/>
      <c r="U222" s="11602" t="n"/>
      <c r="V222" s="11602" t="n"/>
      <c r="W222" s="11602" t="n"/>
      <c r="X222" s="11602" t="n"/>
      <c r="Y222" s="11602" t="n"/>
      <c r="Z222" s="4562" t="n"/>
      <c r="AA222" s="4562" t="n"/>
      <c r="AB222" s="9788" t="n"/>
      <c r="AC222" s="4563" t="n"/>
      <c r="AD222" s="2918" t="n">
        <v>27</v>
      </c>
      <c r="AE222" s="10786">
        <f>IF(AO222&lt;&gt;"",ROUND(AO222,0),IF(OR(NOT(AH221),AY216=""),"",MIN(AO223,AY216)))</f>
        <v/>
      </c>
      <c r="AF222" s="7637" t="n"/>
      <c r="AG222" s="7637" t="n"/>
      <c r="AH222" s="7637" t="n"/>
      <c r="AI222" s="7637" t="n"/>
      <c r="AJ222" s="7637" t="n"/>
      <c r="AK222" s="2013" t="n"/>
      <c r="AL222" s="2013" t="n"/>
      <c r="AM222" s="2013" t="n"/>
      <c r="AN222" s="11602" t="n"/>
      <c r="AO222" s="1113" t="n"/>
      <c r="AP222" s="11602" t="n"/>
      <c r="AQ222" s="658" t="n"/>
      <c r="AR222" s="658" t="n"/>
      <c r="AS222" s="658" t="n"/>
      <c r="AT222" s="658" t="n"/>
      <c r="AU222" s="658" t="n"/>
      <c r="AV222" s="658" t="n"/>
      <c r="AW222" s="658" t="n"/>
      <c r="AX222" s="658" t="n"/>
      <c r="AY222" s="658" t="n"/>
      <c r="AZ222" s="658" t="n"/>
    </row>
    <row r="223" ht="17.25" customFormat="1" customHeight="1" s="815">
      <c r="A223" s="2013" t="n"/>
      <c r="B223" s="3827" t="n">
        <v>28</v>
      </c>
      <c r="C223" s="11602" t="n"/>
      <c r="D223" s="8650">
        <f>"Subtract "&amp;TEXT(AO224,"$0,000")&amp;" from line 27. If zero or less, enter -0-"</f>
        <v/>
      </c>
      <c r="E223" s="11602" t="n"/>
      <c r="F223" s="11602" t="n"/>
      <c r="G223" s="11602" t="n"/>
      <c r="H223" s="11602" t="n"/>
      <c r="I223" s="11602" t="n"/>
      <c r="J223" s="11602" t="n"/>
      <c r="K223" s="11602" t="n"/>
      <c r="L223" s="11602" t="n"/>
      <c r="M223" s="11602" t="n"/>
      <c r="N223" s="11602" t="n"/>
      <c r="O223" s="11602" t="n"/>
      <c r="P223" s="11602" t="n"/>
      <c r="Q223" s="11602" t="n"/>
      <c r="R223" s="11602" t="n"/>
      <c r="S223" s="11602" t="n"/>
      <c r="T223" s="11602" t="n"/>
      <c r="U223" s="11602" t="n"/>
      <c r="V223" s="11602" t="n"/>
      <c r="W223" s="11602" t="n"/>
      <c r="X223" s="11602" t="n"/>
      <c r="Y223" s="11602" t="n"/>
      <c r="Z223" s="3830" t="n"/>
      <c r="AA223" s="3830" t="n"/>
      <c r="AB223" s="11602" t="n"/>
      <c r="AC223" s="1401" t="inlineStr">
        <is>
          <t xml:space="preserve">.   .   .   .    .   .   .   .   .   .   .   .   .   .   .   .   .   .   .   .   . </t>
        </is>
      </c>
      <c r="AD223" s="2918" t="n">
        <v>28</v>
      </c>
      <c r="AE223" s="10786">
        <f>IF(OR(NOT(AH221),AY216=""),"",MAX(0,SUM(AE222,-AO224)))</f>
        <v/>
      </c>
      <c r="AF223" s="7637" t="n"/>
      <c r="AG223" s="7637" t="n"/>
      <c r="AH223" s="7637" t="n"/>
      <c r="AI223" s="7637" t="n"/>
      <c r="AJ223" s="7637" t="n"/>
      <c r="AK223" s="2013" t="n"/>
      <c r="AL223" s="2013" t="n"/>
      <c r="AM223" s="2013" t="n"/>
      <c r="AN223" s="11602" t="n"/>
      <c r="AO223" s="512" t="n">
        <v>4000</v>
      </c>
      <c r="AP223" s="11602" t="n"/>
      <c r="AQ223" s="658" t="n"/>
      <c r="AR223" s="658" t="n"/>
      <c r="AS223" s="658" t="n"/>
      <c r="AT223" s="658" t="n"/>
      <c r="AU223" s="658" t="n"/>
      <c r="AV223" s="658" t="n"/>
      <c r="AW223" s="658" t="n"/>
      <c r="AX223" s="658" t="n"/>
      <c r="AY223" s="658" t="n"/>
      <c r="AZ223" s="658" t="n"/>
    </row>
    <row r="224" ht="17.25" customFormat="1" customHeight="1" s="815">
      <c r="A224" s="2013" t="n"/>
      <c r="B224" s="3827" t="n">
        <v>29</v>
      </c>
      <c r="C224" s="11602" t="n"/>
      <c r="D224" s="8650">
        <f>"Multiply line 28 by "&amp;TEXT(AB225,"0%")&amp;" ("&amp;TEXT(AB225,"0.00")&amp;")"</f>
        <v/>
      </c>
      <c r="E224" s="8650" t="n"/>
      <c r="F224" s="8650" t="n"/>
      <c r="G224" s="11602" t="n"/>
      <c r="H224" s="11602" t="n"/>
      <c r="I224" s="11602" t="n"/>
      <c r="J224" s="11602" t="n"/>
      <c r="K224" s="11602" t="n"/>
      <c r="L224" s="7886" t="n"/>
      <c r="M224" s="7886" t="n"/>
      <c r="N224" s="7886" t="n"/>
      <c r="O224" s="7886" t="n"/>
      <c r="P224" s="7886" t="n"/>
      <c r="Q224" s="7886" t="n"/>
      <c r="R224" s="7886" t="n"/>
      <c r="S224" s="7886" t="n"/>
      <c r="T224" s="7886" t="n"/>
      <c r="U224" s="7886" t="n"/>
      <c r="V224" s="7886" t="n"/>
      <c r="W224" s="7886" t="n"/>
      <c r="X224" s="7886" t="n"/>
      <c r="Y224" s="7886" t="n"/>
      <c r="Z224" s="7886" t="n"/>
      <c r="AA224" s="7886" t="n"/>
      <c r="AB224" s="7886" t="n"/>
      <c r="AC224" s="1401" t="inlineStr">
        <is>
          <t xml:space="preserve">.   .   .   .   .    .   .   .   .   .   .   .   .    .   .   .   .   .   .   .   .   .   .   .   .   .   .   .   .   . </t>
        </is>
      </c>
      <c r="AD224" s="2918" t="n">
        <v>29</v>
      </c>
      <c r="AE224" s="10786">
        <f>IF(OR(NOT(AH221),AY216=""),"",ROUND(AE223*AB225,0))</f>
        <v/>
      </c>
      <c r="AF224" s="7637" t="n"/>
      <c r="AG224" s="7637" t="n"/>
      <c r="AH224" s="7637" t="n"/>
      <c r="AI224" s="7637" t="n"/>
      <c r="AJ224" s="7637" t="n"/>
      <c r="AK224" s="2013" t="n"/>
      <c r="AL224" s="2013" t="n"/>
      <c r="AM224" s="2013" t="n"/>
      <c r="AN224" s="11602" t="n"/>
      <c r="AO224" s="512" t="n">
        <v>2000</v>
      </c>
      <c r="AP224" s="11602" t="n"/>
      <c r="AQ224" s="658" t="n"/>
      <c r="AR224" s="658" t="n"/>
      <c r="AS224" s="658" t="n"/>
      <c r="AT224" s="658" t="n"/>
      <c r="AU224" s="658" t="n"/>
      <c r="AV224" s="658" t="n"/>
      <c r="AW224" s="658" t="n"/>
      <c r="AX224" s="658" t="n"/>
      <c r="AY224" s="658" t="n"/>
      <c r="AZ224" s="658" t="n"/>
    </row>
    <row r="225" ht="15.75" customFormat="1" customHeight="1" s="815" thickBot="1">
      <c r="A225" s="2013" t="n"/>
      <c r="B225" s="3827" t="n">
        <v>30</v>
      </c>
      <c r="C225" s="11602" t="n"/>
      <c r="D225" s="8650" t="inlineStr">
        <is>
          <t>If line 28 is zero, enter the amount from line 27. Otherwise, add $2,000 to the amount on line 29 and</t>
        </is>
      </c>
      <c r="E225" s="8650" t="n"/>
      <c r="F225" s="8650" t="n"/>
      <c r="G225" s="11602" t="n"/>
      <c r="H225" s="11602" t="n"/>
      <c r="I225" s="11602" t="n"/>
      <c r="J225" s="11602" t="n"/>
      <c r="K225" s="11602" t="n"/>
      <c r="L225" s="11602" t="n"/>
      <c r="M225" s="11602" t="n"/>
      <c r="N225" s="11602" t="n"/>
      <c r="O225" s="11602" t="n"/>
      <c r="P225" s="11602" t="n"/>
      <c r="Q225" s="11602" t="n"/>
      <c r="R225" s="11602" t="n"/>
      <c r="S225" s="11602" t="n"/>
      <c r="T225" s="11602" t="n"/>
      <c r="U225" s="11602" t="n"/>
      <c r="V225" s="11602" t="n"/>
      <c r="W225" s="11602" t="n"/>
      <c r="X225" s="11602" t="n"/>
      <c r="Y225" s="11602" t="n"/>
      <c r="Z225" s="11602" t="n"/>
      <c r="AA225" s="11602" t="n"/>
      <c r="AB225" s="10789" t="n">
        <v>0.25</v>
      </c>
      <c r="AC225" s="7636" t="n"/>
      <c r="AD225" s="2890" t="n"/>
      <c r="AE225" s="11602" t="n"/>
      <c r="AF225" s="11602" t="n"/>
      <c r="AG225" s="11602" t="n"/>
      <c r="AH225" s="11602" t="n"/>
      <c r="AI225" s="11602" t="n"/>
      <c r="AJ225" s="11602" t="n"/>
      <c r="AK225" s="2013" t="n"/>
      <c r="AL225" s="2013" t="n"/>
      <c r="AM225" s="2013" t="n"/>
      <c r="AN225" s="11602" t="n"/>
      <c r="AO225" s="11602" t="n"/>
      <c r="AP225" s="11602" t="n"/>
      <c r="AQ225" s="658" t="n"/>
      <c r="AR225" s="658" t="n"/>
      <c r="AS225" s="658" t="n"/>
      <c r="AT225" s="658" t="n"/>
      <c r="AU225" s="658" t="n"/>
      <c r="AV225" s="658" t="n"/>
      <c r="AW225" s="658" t="n"/>
      <c r="AX225" s="658" t="n"/>
      <c r="AY225" s="658" t="n"/>
      <c r="AZ225" s="658" t="n"/>
    </row>
    <row r="226" ht="15.75" customFormat="1" customHeight="1" s="815" thickBot="1">
      <c r="A226" s="2013" t="n"/>
      <c r="B226" s="11602" t="n"/>
      <c r="C226" s="11602" t="n"/>
      <c r="D226" s="8650" t="inlineStr">
        <is>
          <t>enter the result. Skip line 31. Include the total of all amounts from all Parts III, line 30, on Part I, line 1.</t>
        </is>
      </c>
      <c r="E226" s="8650" t="n"/>
      <c r="F226" s="8650" t="n"/>
      <c r="G226" s="11602" t="n"/>
      <c r="H226" s="11602" t="n"/>
      <c r="I226" s="11602" t="n"/>
      <c r="J226" s="11602" t="n"/>
      <c r="K226" s="11602" t="n"/>
      <c r="L226" s="11602" t="n"/>
      <c r="M226" s="11602" t="n"/>
      <c r="N226" s="11602" t="n"/>
      <c r="O226" s="11602" t="n"/>
      <c r="P226" s="11602" t="n"/>
      <c r="Q226" s="11602" t="n"/>
      <c r="R226" s="11602" t="n"/>
      <c r="S226" s="11602" t="n"/>
      <c r="T226" s="11602" t="n"/>
      <c r="U226" s="11602" t="n"/>
      <c r="V226" s="11602" t="n"/>
      <c r="W226" s="11602" t="n"/>
      <c r="X226" s="11602" t="n"/>
      <c r="Y226" s="11602" t="n"/>
      <c r="Z226" s="11602" t="n"/>
      <c r="AA226" s="11602" t="n"/>
      <c r="AB226" s="11602" t="n"/>
      <c r="AC226" s="1401" t="inlineStr">
        <is>
          <t xml:space="preserve">.   .   . </t>
        </is>
      </c>
      <c r="AD226" s="2922" t="n">
        <v>30</v>
      </c>
      <c r="AE226" s="11134">
        <f>IF(AO226&lt;&gt;"",ROUND(AO226,0),IF(OR(NOT(AH221),AE222=0,AE222="",AY216=""),"",IF(OR(AE223=0,AE223=""),AE222,SUM(AE224,AO224))))</f>
        <v/>
      </c>
      <c r="AK226" s="2013" t="n"/>
      <c r="AL226" s="2013" t="n"/>
      <c r="AM226" s="2013" t="n"/>
      <c r="AN226" s="11602" t="n"/>
      <c r="AO226" s="1113" t="n"/>
      <c r="AP226" s="11602" t="n"/>
      <c r="AQ226" s="658" t="n"/>
      <c r="AR226" s="658" t="n"/>
      <c r="AS226" s="658" t="n"/>
      <c r="AT226" s="658" t="n"/>
      <c r="AU226" s="658" t="n"/>
      <c r="AV226" s="658" t="n"/>
      <c r="AW226" s="658" t="n"/>
      <c r="AX226" s="658" t="n"/>
      <c r="AY226" s="658" t="n"/>
      <c r="AZ226" s="658" t="n"/>
    </row>
    <row r="227" ht="16.5" customFormat="1" customHeight="1" s="815">
      <c r="A227" s="2013" t="n"/>
      <c r="B227" s="3844" t="n"/>
      <c r="C227" s="4560" t="inlineStr">
        <is>
          <t>Lifetime Learning Credit</t>
        </is>
      </c>
      <c r="D227" s="773" t="n"/>
      <c r="E227" s="773" t="n"/>
      <c r="F227" s="773" t="n"/>
      <c r="G227" s="773" t="n"/>
      <c r="H227" s="773" t="n"/>
      <c r="I227" s="773" t="n"/>
      <c r="J227" s="773" t="n"/>
      <c r="K227" s="773" t="n"/>
      <c r="L227" s="773" t="n"/>
      <c r="M227" s="773" t="n"/>
      <c r="N227" s="773" t="n"/>
      <c r="O227" s="773" t="n"/>
      <c r="P227" s="773" t="n"/>
      <c r="Q227" s="773" t="n"/>
      <c r="R227" s="773" t="n"/>
      <c r="S227" s="773" t="n"/>
      <c r="T227" s="773" t="n"/>
      <c r="U227" s="773" t="n"/>
      <c r="V227" s="773" t="n"/>
      <c r="W227" s="773" t="n"/>
      <c r="X227" s="773" t="n"/>
      <c r="Y227" s="773" t="n"/>
      <c r="Z227" s="773" t="n"/>
      <c r="AA227" s="773" t="n"/>
      <c r="AB227" s="773" t="n"/>
      <c r="AC227" s="773" t="n"/>
      <c r="AD227" s="773" t="n"/>
      <c r="AE227" s="773" t="n"/>
      <c r="AF227" s="773" t="n"/>
      <c r="AG227" s="773" t="n"/>
      <c r="AH227" s="773" t="n"/>
      <c r="AI227" s="773" t="n"/>
      <c r="AJ227" s="773" t="n"/>
      <c r="AK227" s="2013" t="n"/>
      <c r="AL227" s="2013" t="n"/>
      <c r="AM227" s="2013" t="n"/>
      <c r="AN227" s="11602" t="n"/>
      <c r="AO227" s="11602" t="n"/>
      <c r="AP227" s="11602" t="n"/>
      <c r="AQ227" s="658" t="n"/>
      <c r="AR227" s="658" t="n"/>
      <c r="AS227" s="658" t="n"/>
      <c r="AT227" s="658" t="n"/>
      <c r="AU227" s="658" t="n"/>
      <c r="AV227" s="658" t="n"/>
      <c r="AW227" s="658" t="n"/>
      <c r="AX227" s="658" t="n"/>
      <c r="AY227" s="658" t="n"/>
      <c r="AZ227" s="658" t="n"/>
    </row>
    <row r="228" ht="15.75" customFormat="1" customHeight="1" s="815" thickBot="1">
      <c r="A228" s="2013" t="n"/>
      <c r="B228" s="3827" t="n">
        <v>31</v>
      </c>
      <c r="C228" s="11602" t="n"/>
      <c r="D228" s="8650" t="inlineStr">
        <is>
          <t>Adjusted qualified education expenses (see instructions). Include the total of all amounts from all</t>
        </is>
      </c>
      <c r="E228" s="8650" t="n"/>
      <c r="F228" s="8650" t="n"/>
      <c r="G228" s="11602" t="n"/>
      <c r="H228" s="11602" t="n"/>
      <c r="I228" s="11602" t="n"/>
      <c r="J228" s="11602" t="n"/>
      <c r="K228" s="11602" t="n"/>
      <c r="L228" s="11602" t="n"/>
      <c r="M228" s="11602" t="n"/>
      <c r="N228" s="11602" t="n"/>
      <c r="O228" s="11602" t="n"/>
      <c r="P228" s="11602" t="n"/>
      <c r="Q228" s="11602" t="n"/>
      <c r="R228" s="11602" t="n"/>
      <c r="S228" s="11602" t="n"/>
      <c r="T228" s="11602" t="n"/>
      <c r="U228" s="11602" t="n"/>
      <c r="V228" s="11602" t="n"/>
      <c r="W228" s="11602" t="n"/>
      <c r="X228" s="11602" t="n"/>
      <c r="Y228" s="11602" t="n"/>
      <c r="Z228" s="11602" t="n"/>
      <c r="AA228" s="11602" t="n"/>
      <c r="AB228" s="11602" t="n"/>
      <c r="AC228" s="11602" t="n"/>
      <c r="AD228" s="2890" t="n"/>
      <c r="AE228" s="11602" t="n"/>
      <c r="AF228" s="11602" t="n"/>
      <c r="AG228" s="11602" t="n"/>
      <c r="AH228" s="11602" t="n"/>
      <c r="AI228" s="11602" t="n"/>
      <c r="AJ228" s="11602" t="n"/>
      <c r="AK228" s="2013" t="n"/>
      <c r="AL228" s="2013" t="n"/>
      <c r="AM228" s="2013" t="n"/>
      <c r="AN228" s="11602" t="n"/>
      <c r="AO228" s="11602" t="n"/>
      <c r="AP228" s="11602" t="n"/>
      <c r="AQ228" s="658" t="n"/>
      <c r="AR228" s="658" t="n"/>
      <c r="AS228" s="658" t="n"/>
      <c r="AT228" s="658" t="n"/>
      <c r="AU228" s="658" t="n"/>
      <c r="AV228" s="658" t="n"/>
      <c r="AW228" s="658" t="n"/>
      <c r="AX228" s="658" t="n"/>
      <c r="AY228" s="658" t="n"/>
      <c r="AZ228" s="658" t="n"/>
    </row>
    <row r="229" ht="15.75" customFormat="1" customHeight="1" s="815" thickBot="1">
      <c r="A229" s="2013" t="n"/>
      <c r="B229" s="380" t="n"/>
      <c r="C229" s="380" t="n"/>
      <c r="D229" s="2015" t="inlineStr">
        <is>
          <t>Parts III, line 31, on Part II, line 10</t>
        </is>
      </c>
      <c r="E229" s="2015" t="n"/>
      <c r="F229" s="2015" t="n"/>
      <c r="G229" s="380" t="n"/>
      <c r="H229" s="380" t="n"/>
      <c r="I229" s="380" t="n"/>
      <c r="J229" s="380" t="n"/>
      <c r="K229" s="380" t="n"/>
      <c r="L229" s="380" t="n"/>
      <c r="M229" s="380" t="n"/>
      <c r="N229" s="380" t="n"/>
      <c r="O229" s="380" t="n"/>
      <c r="P229" s="380" t="n"/>
      <c r="Q229" s="380" t="n"/>
      <c r="R229" s="380" t="n"/>
      <c r="S229" s="380" t="n"/>
      <c r="T229" s="380" t="n"/>
      <c r="U229" s="380" t="n"/>
      <c r="V229" s="380" t="n"/>
      <c r="W229" s="380" t="n"/>
      <c r="X229" s="380" t="n"/>
      <c r="Y229" s="380" t="n"/>
      <c r="Z229" s="380" t="n"/>
      <c r="AA229" s="380" t="n"/>
      <c r="AB229" s="380" t="n"/>
      <c r="AC229" s="10736" t="inlineStr">
        <is>
          <t xml:space="preserve">.   .   .   .   .    .   .   .   .   .   .   .   .    .   .   .   .   .   .   .   .   .   .   .   .   .   .   .   .   . </t>
        </is>
      </c>
      <c r="AD229" s="2919" t="n">
        <v>31</v>
      </c>
      <c r="AE229" s="10767">
        <f>IF(AO229&lt;&gt;"",ROUND(AO229,0),IF(OR(AH221,AY216=""),"",AY216))</f>
        <v/>
      </c>
      <c r="AF229" s="8848" t="n"/>
      <c r="AG229" s="8848" t="n"/>
      <c r="AH229" s="8848" t="n"/>
      <c r="AI229" s="8848" t="n"/>
      <c r="AJ229" s="8848" t="n"/>
      <c r="AK229" s="2013" t="n"/>
      <c r="AL229" s="2013" t="n"/>
      <c r="AM229" s="2013" t="n"/>
      <c r="AN229" s="11602" t="n"/>
      <c r="AO229" s="1113" t="n"/>
      <c r="AP229" s="11602" t="n"/>
      <c r="AQ229" s="658" t="n"/>
      <c r="AR229" s="658" t="n"/>
      <c r="AS229" s="658" t="n"/>
      <c r="AT229" s="658" t="n"/>
      <c r="AU229" s="658" t="n"/>
      <c r="AV229" s="658" t="n"/>
      <c r="AW229" s="658" t="n"/>
      <c r="AX229" s="658" t="n"/>
      <c r="AY229" s="658" t="n"/>
      <c r="AZ229" s="658" t="n"/>
    </row>
    <row r="230" ht="15.75" customFormat="1" customHeight="1" s="815">
      <c r="A230" s="2013" t="n"/>
      <c r="B230" s="2447" t="n"/>
      <c r="C230" s="11403" t="n"/>
      <c r="D230" s="11403" t="n"/>
      <c r="E230" s="11403" t="n"/>
      <c r="F230" s="11403" t="n"/>
      <c r="G230" s="11403" t="n"/>
      <c r="H230" s="11403" t="n"/>
      <c r="I230" s="11403" t="n"/>
      <c r="J230" s="11403" t="n"/>
      <c r="K230" s="11403" t="n"/>
      <c r="L230" s="11403" t="n"/>
      <c r="M230" s="11403" t="n"/>
      <c r="N230" s="11403" t="n"/>
      <c r="O230" s="11403" t="n"/>
      <c r="P230" s="11403" t="n"/>
      <c r="Q230" s="88" t="n"/>
      <c r="R230" s="88" t="n"/>
      <c r="S230" s="88" t="n"/>
      <c r="T230" s="88" t="n"/>
      <c r="U230" s="3931" t="n"/>
      <c r="V230" s="88" t="n"/>
      <c r="W230" s="3931" t="n"/>
      <c r="X230" s="88" t="n"/>
      <c r="Y230" s="88" t="n"/>
      <c r="Z230" s="88" t="n"/>
      <c r="AA230" s="88" t="n"/>
      <c r="AB230" s="88" t="n"/>
      <c r="AC230" s="88" t="n"/>
      <c r="AD230" s="88" t="n"/>
      <c r="AE230" s="88" t="n"/>
      <c r="AF230" s="88" t="n"/>
      <c r="AG230" s="88" t="n"/>
      <c r="AH230" s="2052" t="inlineStr">
        <is>
          <t>Form 8863</t>
        </is>
      </c>
      <c r="AI230" s="88" t="n"/>
      <c r="AJ230" s="2052">
        <f>"("&amp;TaxYear&amp;")"</f>
        <v/>
      </c>
      <c r="AK230" s="2013" t="n"/>
      <c r="AL230" s="2013" t="n"/>
      <c r="AM230" s="2013" t="n"/>
      <c r="AN230" s="6996" t="n"/>
      <c r="AO230" s="6996" t="n"/>
      <c r="AP230" s="11602" t="n"/>
      <c r="AQ230" s="658" t="n"/>
      <c r="AR230" s="658" t="n"/>
      <c r="AS230" s="658" t="n"/>
      <c r="AT230" s="658" t="n"/>
      <c r="AU230" s="658" t="n"/>
      <c r="AV230" s="658" t="n"/>
      <c r="AW230" s="658" t="n"/>
      <c r="AX230" s="658" t="n"/>
      <c r="AY230" s="658" t="n"/>
      <c r="AZ230" s="658" t="n"/>
    </row>
    <row r="231" ht="18" customFormat="1" customHeight="1" s="815" thickBot="1">
      <c r="A231" s="2013" t="n"/>
      <c r="B231" s="721">
        <f>"Form 8863 ("&amp;TaxYear&amp;")"</f>
        <v/>
      </c>
      <c r="C231" s="721" t="n"/>
      <c r="D231" s="721" t="n"/>
      <c r="E231" s="721" t="n"/>
      <c r="F231" s="721" t="n"/>
      <c r="G231" s="721" t="n"/>
      <c r="H231" s="721" t="n"/>
      <c r="I231" s="721" t="n"/>
      <c r="J231" s="721" t="n"/>
      <c r="K231" s="721" t="n"/>
      <c r="L231" s="721" t="n"/>
      <c r="M231" s="721" t="n"/>
      <c r="N231" s="721" t="n"/>
      <c r="O231" s="721" t="n"/>
      <c r="P231" s="721" t="n"/>
      <c r="Q231" s="721" t="n"/>
      <c r="R231" s="721" t="n"/>
      <c r="S231" s="721" t="n"/>
      <c r="T231" s="721" t="n"/>
      <c r="U231" s="721" t="n"/>
      <c r="V231" s="721" t="n"/>
      <c r="W231" s="721" t="n"/>
      <c r="X231" s="721" t="n"/>
      <c r="Y231" s="721" t="n"/>
      <c r="Z231" s="721" t="n"/>
      <c r="AA231" s="721" t="n"/>
      <c r="AB231" s="721" t="n"/>
      <c r="AC231" s="721" t="n"/>
      <c r="AD231" s="721" t="n"/>
      <c r="AE231" s="721" t="n"/>
      <c r="AF231" s="721" t="n"/>
      <c r="AG231" s="721" t="n"/>
      <c r="AH231" s="721" t="n"/>
      <c r="AI231" s="2053" t="inlineStr">
        <is>
          <t>Page</t>
        </is>
      </c>
      <c r="AJ231" s="2054" t="n">
        <v>2</v>
      </c>
      <c r="AK231" s="2013" t="n"/>
      <c r="AL231" s="2013" t="n"/>
      <c r="AM231" s="2013" t="n"/>
      <c r="AN231" s="11602" t="n"/>
      <c r="AO231" s="11602" t="n"/>
      <c r="AP231" s="11602" t="n"/>
      <c r="AQ231" s="658" t="n"/>
      <c r="AR231" s="658" t="n"/>
      <c r="AS231" s="658" t="n"/>
      <c r="AT231" s="658" t="n"/>
      <c r="AU231" s="658" t="n"/>
      <c r="AV231" s="658" t="n"/>
      <c r="AW231" s="658" t="n"/>
      <c r="AX231" s="658" t="n"/>
      <c r="AY231" s="658" t="n"/>
      <c r="AZ231" s="658" t="n"/>
    </row>
    <row r="232" ht="16.5" customFormat="1" customHeight="1" s="815" thickTop="1">
      <c r="A232" s="2013" t="n"/>
      <c r="B232" s="2002" t="inlineStr">
        <is>
          <t>Name(s) shown on return</t>
        </is>
      </c>
      <c r="C232" s="413" t="n"/>
      <c r="D232" s="413" t="n"/>
      <c r="E232" s="413" t="n"/>
      <c r="F232" s="413" t="n"/>
      <c r="G232" s="413" t="n"/>
      <c r="H232" s="413" t="n"/>
      <c r="I232" s="413" t="n"/>
      <c r="J232" s="413" t="n"/>
      <c r="K232" s="413" t="n"/>
      <c r="L232" s="413" t="n"/>
      <c r="M232" s="413" t="n"/>
      <c r="N232" s="413" t="n"/>
      <c r="O232" s="413" t="n"/>
      <c r="P232" s="413" t="n"/>
      <c r="Q232" s="413" t="n"/>
      <c r="R232" s="413" t="n"/>
      <c r="S232" s="413" t="n"/>
      <c r="T232" s="413" t="n"/>
      <c r="U232" s="413" t="n"/>
      <c r="V232" s="413" t="n"/>
      <c r="W232" s="413" t="n"/>
      <c r="X232" s="413" t="n"/>
      <c r="Y232" s="413" t="n"/>
      <c r="Z232" s="413" t="n"/>
      <c r="AA232" s="413" t="n"/>
      <c r="AB232" s="413" t="n"/>
      <c r="AC232" s="11176" t="inlineStr">
        <is>
          <t>Your social security number</t>
        </is>
      </c>
      <c r="AD232" s="11713" t="n"/>
      <c r="AE232" s="11713" t="n"/>
      <c r="AF232" s="11713" t="n"/>
      <c r="AG232" s="11713" t="n"/>
      <c r="AH232" s="11713" t="n"/>
      <c r="AI232" s="11713" t="n"/>
      <c r="AJ232" s="11713" t="n"/>
      <c r="AK232" s="2013" t="n"/>
      <c r="AL232" s="2013" t="n"/>
      <c r="AM232" s="2013" t="n"/>
      <c r="AN232" s="11602" t="n"/>
      <c r="AO232" s="11602" t="n"/>
      <c r="AP232" s="11602" t="n"/>
      <c r="AQ232" s="658" t="n"/>
      <c r="AR232" s="658" t="n"/>
      <c r="AS232" s="658" t="n"/>
      <c r="AT232" s="658" t="n"/>
      <c r="AU232" s="658" t="n"/>
      <c r="AV232" s="658" t="n"/>
      <c r="AW232" s="658" t="n"/>
      <c r="AX232" s="658" t="n"/>
      <c r="AY232" s="658" t="n"/>
      <c r="AZ232" s="658" t="n"/>
    </row>
    <row r="233" ht="21.75" customFormat="1" customHeight="1" s="815">
      <c r="A233" s="2013" t="n"/>
      <c r="B233" s="12740">
        <f>Names</f>
        <v/>
      </c>
      <c r="C233" s="8412" t="n"/>
      <c r="D233" s="8412" t="n"/>
      <c r="E233" s="8412" t="n"/>
      <c r="F233" s="8412" t="n"/>
      <c r="G233" s="8412" t="n"/>
      <c r="H233" s="8412" t="n"/>
      <c r="I233" s="8412" t="n"/>
      <c r="J233" s="8412" t="n"/>
      <c r="K233" s="8412" t="n"/>
      <c r="L233" s="8412" t="n"/>
      <c r="M233" s="8412" t="n"/>
      <c r="N233" s="8412" t="n"/>
      <c r="O233" s="8412" t="n"/>
      <c r="P233" s="8412" t="n"/>
      <c r="Q233" s="8412" t="n"/>
      <c r="R233" s="8412" t="n"/>
      <c r="S233" s="8412" t="n"/>
      <c r="T233" s="8412" t="n"/>
      <c r="U233" s="8412" t="n"/>
      <c r="V233" s="8412" t="n"/>
      <c r="W233" s="8412" t="n"/>
      <c r="X233" s="8412" t="n"/>
      <c r="Y233" s="8412" t="n"/>
      <c r="Z233" s="8412" t="n"/>
      <c r="AA233" s="8412" t="n"/>
      <c r="AB233" s="11734" t="n"/>
      <c r="AC233" s="12741">
        <f>IF(OR(NoSSN,SS_Yours=""),"",SS_Yours)</f>
        <v/>
      </c>
      <c r="AD233" s="8412" t="n"/>
      <c r="AE233" s="8412" t="n"/>
      <c r="AF233" s="8412" t="n"/>
      <c r="AG233" s="8412" t="n"/>
      <c r="AH233" s="8412" t="n"/>
      <c r="AI233" s="8412" t="n"/>
      <c r="AJ233" s="8412" t="n"/>
      <c r="AK233" s="2013" t="n"/>
      <c r="AL233" s="2013" t="n"/>
      <c r="AM233" s="2013" t="n"/>
      <c r="AN233" s="11602" t="n"/>
      <c r="AO233" s="11602" t="n"/>
      <c r="AP233" s="11602" t="n"/>
      <c r="AQ233" s="658" t="n"/>
      <c r="AR233" s="658" t="n"/>
      <c r="AS233" s="658" t="n"/>
      <c r="AT233" s="658" t="n"/>
      <c r="AU233" s="658" t="n"/>
      <c r="AV233" s="658" t="n"/>
      <c r="AW233" s="658" t="n"/>
      <c r="AX233" s="658" t="n"/>
      <c r="AY233" s="658" t="n"/>
      <c r="AZ233" s="658" t="n"/>
    </row>
    <row r="234" ht="6" customFormat="1" customHeight="1" s="815">
      <c r="A234" s="2013" t="n"/>
      <c r="B234" s="4543" t="n"/>
      <c r="C234" s="4543" t="n"/>
      <c r="D234" s="4543" t="inlineStr">
        <is>
          <t xml:space="preserve">
</t>
        </is>
      </c>
      <c r="E234" s="4543" t="n"/>
      <c r="F234" s="4543" t="n"/>
      <c r="G234" s="4543" t="n"/>
      <c r="H234" s="4543" t="n"/>
      <c r="I234" s="4543" t="n"/>
      <c r="J234" s="4543" t="n"/>
      <c r="K234" s="4543" t="n"/>
      <c r="L234" s="4543" t="n"/>
      <c r="M234" s="4543" t="n"/>
      <c r="N234" s="4543" t="n"/>
      <c r="O234" s="4543" t="n"/>
      <c r="P234" s="4543" t="n"/>
      <c r="Q234" s="4543" t="n"/>
      <c r="R234" s="4543" t="n"/>
      <c r="S234" s="4543" t="n"/>
      <c r="T234" s="4543" t="n"/>
      <c r="U234" s="4543" t="n"/>
      <c r="V234" s="4543" t="n"/>
      <c r="W234" s="4543" t="n"/>
      <c r="X234" s="4543" t="n"/>
      <c r="Y234" s="4543" t="n"/>
      <c r="Z234" s="4543" t="n"/>
      <c r="AA234" s="4543" t="n"/>
      <c r="AB234" s="4543" t="n"/>
      <c r="AC234" s="4543" t="n"/>
      <c r="AD234" s="4543" t="n"/>
      <c r="AE234" s="4543" t="n"/>
      <c r="AF234" s="4543" t="n"/>
      <c r="AG234" s="4543" t="n"/>
      <c r="AH234" s="4543" t="n"/>
      <c r="AI234" s="4543" t="n"/>
      <c r="AJ234" s="4543" t="n"/>
      <c r="AK234" s="2013" t="n"/>
      <c r="AL234" s="2013" t="n"/>
      <c r="AM234" s="2013" t="n"/>
      <c r="AN234" s="11602" t="n"/>
      <c r="AO234" s="11602" t="n"/>
      <c r="AP234" s="11602" t="n"/>
      <c r="AQ234" s="658" t="n"/>
      <c r="AR234" s="658" t="n"/>
      <c r="AS234" s="658" t="n"/>
      <c r="AT234" s="658" t="n"/>
      <c r="AU234" s="658" t="n"/>
      <c r="AV234" s="658" t="n"/>
      <c r="AW234" s="658" t="n"/>
      <c r="AX234" s="658" t="n"/>
      <c r="AY234" s="658" t="n"/>
      <c r="AZ234" s="658" t="n"/>
    </row>
    <row r="235" ht="15.75" customFormat="1" customHeight="1" s="1115">
      <c r="A235" s="2290" t="n"/>
      <c r="B235" s="5969" t="inlineStr">
        <is>
          <t>Caution:  Complete Part III for each student for whom you’re claiming either the American opportunity credit or lifetime</t>
        </is>
      </c>
      <c r="C235" s="4492" t="n"/>
      <c r="D235" s="6534" t="n"/>
      <c r="E235" s="2325" t="n"/>
      <c r="F235" s="2325" t="n"/>
      <c r="G235" s="2325" t="n"/>
      <c r="H235" s="2325" t="n"/>
      <c r="I235" s="2325" t="n"/>
      <c r="J235" s="2325" t="n"/>
      <c r="K235" s="2325" t="n"/>
      <c r="L235" s="2325" t="n"/>
      <c r="M235" s="2325" t="n"/>
      <c r="N235" s="2325" t="n"/>
      <c r="O235" s="2325" t="n"/>
      <c r="P235" s="2325" t="n"/>
      <c r="Q235" s="2325" t="n"/>
      <c r="R235" s="2325" t="n"/>
      <c r="S235" s="2325" t="n"/>
      <c r="T235" s="2325" t="n"/>
      <c r="U235" s="2325" t="n"/>
      <c r="V235" s="2325" t="n"/>
      <c r="W235" s="2325" t="n"/>
      <c r="X235" s="2325" t="n"/>
      <c r="Y235" s="2325" t="n"/>
      <c r="Z235" s="2325" t="n"/>
      <c r="AA235" s="2325" t="n"/>
      <c r="AB235" s="2325" t="n"/>
      <c r="AC235" s="2325" t="n"/>
      <c r="AD235" s="2325" t="n"/>
      <c r="AE235" s="2325" t="n"/>
      <c r="AF235" s="2325" t="n"/>
      <c r="AG235" s="2325" t="n"/>
      <c r="AH235" s="2325" t="n"/>
      <c r="AI235" s="2325" t="n"/>
      <c r="AJ235" s="2325" t="n"/>
      <c r="AK235" s="2290" t="n"/>
      <c r="AL235" s="2290" t="n"/>
      <c r="AM235" s="2290" t="n"/>
      <c r="AN235" s="4520" t="n"/>
      <c r="AO235" s="4520" t="n"/>
      <c r="AP235" s="4521" t="n"/>
      <c r="AQ235" s="1114" t="n"/>
      <c r="AR235" s="1114" t="n"/>
      <c r="AS235" s="1114" t="n"/>
      <c r="AT235" s="1114" t="n"/>
      <c r="AU235" s="1114" t="n"/>
      <c r="AV235" s="1114" t="n"/>
      <c r="AW235" s="1114" t="n"/>
      <c r="AX235" s="1114" t="n"/>
      <c r="AY235" s="1114" t="n"/>
      <c r="AZ235" s="1114" t="n"/>
      <c r="BA235" s="2293" t="n"/>
      <c r="BB235" s="2293" t="n"/>
    </row>
    <row r="236" ht="15.75" customFormat="1" customHeight="1" s="1115">
      <c r="A236" s="2290" t="n"/>
      <c r="B236" s="5969" t="inlineStr">
        <is>
          <t>learning credit. Use additional copies of page 2 as needed for each student.</t>
        </is>
      </c>
      <c r="C236" s="4492" t="n"/>
      <c r="D236" s="2325" t="n"/>
      <c r="E236" s="2325" t="n"/>
      <c r="F236" s="2325" t="n"/>
      <c r="G236" s="2325" t="n"/>
      <c r="H236" s="2325" t="n"/>
      <c r="I236" s="2325" t="n"/>
      <c r="J236" s="2325" t="n"/>
      <c r="K236" s="2325" t="n"/>
      <c r="L236" s="2325" t="n"/>
      <c r="M236" s="2325" t="n"/>
      <c r="N236" s="2325" t="n"/>
      <c r="O236" s="2325" t="n"/>
      <c r="P236" s="2325" t="n"/>
      <c r="Q236" s="2325" t="n"/>
      <c r="R236" s="2325" t="n"/>
      <c r="S236" s="2325" t="n"/>
      <c r="T236" s="2325" t="n"/>
      <c r="U236" s="2325" t="n"/>
      <c r="V236" s="2325" t="n"/>
      <c r="W236" s="2325" t="n"/>
      <c r="X236" s="2325" t="n"/>
      <c r="Y236" s="2325" t="n"/>
      <c r="Z236" s="2325" t="n"/>
      <c r="AA236" s="2325" t="n"/>
      <c r="AB236" s="2325" t="n"/>
      <c r="AC236" s="2325" t="n"/>
      <c r="AD236" s="2325" t="n"/>
      <c r="AE236" s="2325" t="n"/>
      <c r="AF236" s="2325" t="n"/>
      <c r="AG236" s="2325" t="n"/>
      <c r="AH236" s="2325" t="n"/>
      <c r="AI236" s="2325" t="n"/>
      <c r="AJ236" s="2325" t="n"/>
      <c r="AK236" s="2290" t="n"/>
      <c r="AL236" s="2290" t="n"/>
      <c r="AM236" s="2290" t="n"/>
      <c r="AN236" s="4520" t="n"/>
      <c r="AO236" s="4520" t="n"/>
      <c r="AP236" s="4521" t="n"/>
      <c r="AQ236" s="1114" t="n"/>
      <c r="AR236" s="1114" t="n"/>
      <c r="AS236" s="1114" t="n"/>
      <c r="AT236" s="1114" t="n"/>
      <c r="AU236" s="1114" t="n"/>
      <c r="AV236" s="1114" t="n"/>
      <c r="AW236" s="1114" t="n"/>
      <c r="AX236" s="1114" t="n"/>
      <c r="AY236" s="1114" t="n"/>
      <c r="AZ236" s="1114" t="n"/>
      <c r="BA236" s="2293" t="n"/>
      <c r="BB236" s="2293" t="n"/>
    </row>
    <row r="237" ht="7.5" customFormat="1" customHeight="1" s="815">
      <c r="A237" s="2013" t="n"/>
      <c r="B237" s="4544" t="n"/>
      <c r="C237" s="4544" t="n"/>
      <c r="D237" s="4544" t="n"/>
      <c r="E237" s="4544" t="n"/>
      <c r="F237" s="4544" t="n"/>
      <c r="G237" s="4544" t="n"/>
      <c r="H237" s="4544" t="n"/>
      <c r="I237" s="4544" t="n"/>
      <c r="J237" s="4544" t="n"/>
      <c r="K237" s="4544" t="n"/>
      <c r="L237" s="4544" t="n"/>
      <c r="M237" s="4544" t="n"/>
      <c r="N237" s="4544" t="n"/>
      <c r="O237" s="4544" t="n"/>
      <c r="P237" s="4544" t="n"/>
      <c r="Q237" s="4544" t="n"/>
      <c r="R237" s="4544" t="n"/>
      <c r="S237" s="4544" t="n"/>
      <c r="T237" s="4544" t="n"/>
      <c r="U237" s="4544" t="n"/>
      <c r="V237" s="4544" t="n"/>
      <c r="W237" s="4544" t="n"/>
      <c r="X237" s="4544" t="n"/>
      <c r="Y237" s="4544" t="n"/>
      <c r="Z237" s="4544" t="n"/>
      <c r="AA237" s="4544" t="n"/>
      <c r="AB237" s="4544" t="n"/>
      <c r="AC237" s="4544" t="n"/>
      <c r="AD237" s="4544" t="n"/>
      <c r="AE237" s="4544" t="n"/>
      <c r="AF237" s="4544" t="n"/>
      <c r="AG237" s="4544" t="n"/>
      <c r="AH237" s="4544" t="n"/>
      <c r="AI237" s="4544" t="n"/>
      <c r="AJ237" s="4544" t="n"/>
      <c r="AK237" s="2013" t="n"/>
      <c r="AL237" s="2013" t="n"/>
      <c r="AM237" s="2013" t="n"/>
      <c r="AN237" s="11602" t="n"/>
      <c r="AO237" s="11602" t="n"/>
      <c r="AP237" s="11602" t="n"/>
      <c r="AQ237" s="658" t="n"/>
      <c r="AR237" s="658" t="n"/>
      <c r="AS237" s="658" t="n"/>
      <c r="AT237" s="658" t="n"/>
      <c r="AU237" s="658" t="n"/>
      <c r="AV237" s="658" t="n"/>
      <c r="AW237" s="658" t="n"/>
      <c r="AX237" s="658" t="n"/>
      <c r="AY237" s="658" t="n"/>
      <c r="AZ237" s="658" t="n"/>
    </row>
    <row r="238" ht="19.5" customFormat="1" customHeight="1" s="815">
      <c r="A238" s="2013" t="n"/>
      <c r="B238" s="7938" t="inlineStr">
        <is>
          <t>Part III</t>
        </is>
      </c>
      <c r="C238" s="8412" t="n"/>
      <c r="D238" s="3879" t="n"/>
      <c r="E238" s="2873" t="inlineStr">
        <is>
          <t>Student and Educational Institution Information. See instructions.</t>
        </is>
      </c>
      <c r="F238" s="413" t="n"/>
      <c r="G238" s="413" t="n"/>
      <c r="H238" s="413" t="n"/>
      <c r="I238" s="413" t="n"/>
      <c r="J238" s="413" t="n"/>
      <c r="K238" s="413" t="n"/>
      <c r="L238" s="413" t="n"/>
      <c r="M238" s="413" t="n"/>
      <c r="N238" s="413" t="n"/>
      <c r="O238" s="413" t="n"/>
      <c r="P238" s="413" t="n"/>
      <c r="Q238" s="413" t="n"/>
      <c r="R238" s="413" t="n"/>
      <c r="S238" s="413" t="n"/>
      <c r="T238" s="413" t="n"/>
      <c r="U238" s="413" t="n"/>
      <c r="V238" s="413" t="n"/>
      <c r="W238" s="413" t="n"/>
      <c r="X238" s="413" t="n"/>
      <c r="Y238" s="413" t="n"/>
      <c r="Z238" s="413" t="n"/>
      <c r="AA238" s="413" t="n"/>
      <c r="AB238" s="413" t="n"/>
      <c r="AC238" s="413" t="n"/>
      <c r="AD238" s="413" t="n"/>
      <c r="AE238" s="413" t="n"/>
      <c r="AF238" s="413" t="n"/>
      <c r="AG238" s="413" t="n"/>
      <c r="AH238" s="413" t="n"/>
      <c r="AI238" s="413" t="n"/>
      <c r="AJ238" s="413" t="n"/>
      <c r="AK238" s="2013" t="n"/>
      <c r="AL238" s="2013" t="n"/>
      <c r="AM238" s="2013" t="n"/>
      <c r="AN238" s="11602" t="n"/>
      <c r="AO238" s="11602" t="n"/>
      <c r="AP238" s="11602" t="n"/>
      <c r="AQ238" s="658" t="n"/>
      <c r="AR238" s="658" t="n"/>
      <c r="AS238" s="658" t="n"/>
      <c r="AT238" s="658" t="n"/>
      <c r="AU238" s="658" t="n"/>
      <c r="AV238" s="658" t="n"/>
      <c r="AW238" s="658" t="n"/>
      <c r="AX238" s="658" t="n"/>
      <c r="AY238" s="658" t="n"/>
      <c r="AZ238" s="658" t="n"/>
    </row>
    <row r="239" ht="16.5" customFormat="1" customHeight="1" s="815">
      <c r="A239" s="2013" t="n"/>
      <c r="B239" s="3827" t="inlineStr">
        <is>
          <t>20</t>
        </is>
      </c>
      <c r="C239" s="11602" t="n"/>
      <c r="D239" s="4545" t="inlineStr">
        <is>
          <t>Student name (as shown on page 1 of your tax return)</t>
        </is>
      </c>
      <c r="E239" s="406" t="n"/>
      <c r="F239" s="406" t="n"/>
      <c r="G239" s="406" t="n"/>
      <c r="H239" s="406" t="n"/>
      <c r="I239" s="406" t="n"/>
      <c r="J239" s="406" t="n"/>
      <c r="K239" s="406" t="n"/>
      <c r="L239" s="406" t="n"/>
      <c r="M239" s="407" t="n"/>
      <c r="N239" s="9764" t="n"/>
      <c r="O239" s="565" t="n"/>
      <c r="P239" s="406" t="n"/>
      <c r="Q239" s="406" t="n"/>
      <c r="R239" s="565" t="n"/>
      <c r="S239" s="565" t="n"/>
      <c r="T239" s="9764" t="n">
        <v>21</v>
      </c>
      <c r="U239" s="4545" t="inlineStr">
        <is>
          <t>Student social security number (as shown on page 1 of</t>
        </is>
      </c>
      <c r="V239" s="565" t="n"/>
      <c r="W239" s="565" t="n"/>
      <c r="X239" s="565" t="n"/>
      <c r="Y239" s="565" t="n"/>
      <c r="Z239" s="565" t="n"/>
      <c r="AA239" s="565" t="n"/>
      <c r="AB239" s="4546" t="n"/>
      <c r="AC239" s="565" t="n"/>
      <c r="AD239" s="565" t="n"/>
      <c r="AE239" s="565" t="n"/>
      <c r="AF239" s="565" t="n"/>
      <c r="AG239" s="406" t="n"/>
      <c r="AH239" s="565" t="n"/>
      <c r="AI239" s="565" t="n"/>
      <c r="AJ239" s="565" t="n"/>
      <c r="AK239" s="2013" t="n"/>
      <c r="AL239" s="2013" t="n"/>
      <c r="AM239" s="2013" t="n"/>
      <c r="AN239" s="11602" t="n"/>
      <c r="AO239" s="11602" t="n"/>
      <c r="AP239" s="11602" t="n"/>
      <c r="AQ239" s="658" t="n"/>
      <c r="AR239" s="658" t="n"/>
      <c r="AS239" s="658" t="n"/>
      <c r="AT239" s="658" t="n"/>
      <c r="AU239" s="658" t="n"/>
      <c r="AV239" s="658" t="n"/>
      <c r="AW239" s="658" t="n"/>
      <c r="AX239" s="658" t="n"/>
      <c r="AY239" s="658" t="n"/>
      <c r="AZ239" s="658" t="n"/>
    </row>
    <row r="240" ht="15" customFormat="1" customHeight="1" s="815">
      <c r="A240" s="2013" t="n"/>
      <c r="B240" s="3827" t="n"/>
      <c r="C240" s="11602" t="n"/>
      <c r="D240" s="11181" t="n"/>
      <c r="E240" s="194" t="n"/>
      <c r="F240" s="194" t="n"/>
      <c r="G240" s="194" t="n"/>
      <c r="H240" s="194" t="n"/>
      <c r="I240" s="194" t="n"/>
      <c r="J240" s="194" t="n"/>
      <c r="K240" s="194" t="n"/>
      <c r="L240" s="194" t="n"/>
      <c r="M240" s="194" t="n"/>
      <c r="N240" s="194" t="n"/>
      <c r="O240" s="194" t="n"/>
      <c r="P240" s="194" t="n"/>
      <c r="Q240" s="194" t="n"/>
      <c r="R240" s="194" t="n"/>
      <c r="S240" s="11726" t="n"/>
      <c r="T240" s="12742" t="n"/>
      <c r="U240" s="2100" t="inlineStr">
        <is>
          <t>your tax return)</t>
        </is>
      </c>
      <c r="V240" s="12743" t="n"/>
      <c r="W240" s="12743" t="n"/>
      <c r="X240" s="12743" t="n"/>
      <c r="Y240" s="12743" t="n"/>
      <c r="Z240" s="12743" t="n"/>
      <c r="AA240" s="12743" t="n"/>
      <c r="AB240" s="12743" t="n"/>
      <c r="AC240" s="12743" t="n"/>
      <c r="AD240" s="12743" t="n"/>
      <c r="AE240" s="12743" t="n"/>
      <c r="AF240" s="12743" t="n"/>
      <c r="AG240" s="12743" t="n"/>
      <c r="AH240" s="12743" t="n"/>
      <c r="AI240" s="12743" t="n"/>
      <c r="AJ240" s="12743" t="n"/>
      <c r="AK240" s="2013" t="n"/>
      <c r="AL240" s="2013" t="n"/>
      <c r="AM240" s="2013" t="n"/>
      <c r="AN240" s="11602" t="n"/>
      <c r="AO240" s="11602" t="n"/>
      <c r="AP240" s="11602" t="n"/>
      <c r="AQ240" s="658" t="n"/>
      <c r="AR240" s="658" t="n"/>
      <c r="AS240" s="658" t="n"/>
      <c r="AT240" s="658" t="n"/>
      <c r="AU240" s="658" t="n"/>
      <c r="AV240" s="658" t="n"/>
      <c r="AW240" s="658" t="n"/>
      <c r="AX240" s="658" t="n"/>
      <c r="AY240" s="658" t="n"/>
      <c r="AZ240" s="658" t="n"/>
    </row>
    <row r="241" ht="18" customFormat="1" customHeight="1" s="815">
      <c r="A241" s="2013" t="n"/>
      <c r="B241" s="3827" t="n"/>
      <c r="C241" s="11602" t="n"/>
      <c r="D241" s="11717" t="n"/>
      <c r="E241" s="11717" t="n"/>
      <c r="F241" s="11717" t="n"/>
      <c r="G241" s="11717" t="n"/>
      <c r="H241" s="11717" t="n"/>
      <c r="I241" s="11717" t="n"/>
      <c r="J241" s="11717" t="n"/>
      <c r="K241" s="11717" t="n"/>
      <c r="L241" s="11717" t="n"/>
      <c r="M241" s="11717" t="n"/>
      <c r="N241" s="11717" t="n"/>
      <c r="O241" s="11717" t="n"/>
      <c r="P241" s="11717" t="n"/>
      <c r="Q241" s="11717" t="n"/>
      <c r="R241" s="11717" t="n"/>
      <c r="S241" s="11718" t="n"/>
      <c r="T241" s="12744" t="n"/>
      <c r="U241" s="12745" t="n"/>
      <c r="V241" s="11717" t="n"/>
      <c r="W241" s="11717" t="n"/>
      <c r="X241" s="11717" t="n"/>
      <c r="Y241" s="11717" t="n"/>
      <c r="Z241" s="11717" t="n"/>
      <c r="AA241" s="11717" t="n"/>
      <c r="AB241" s="11717" t="n"/>
      <c r="AC241" s="11717" t="n"/>
      <c r="AD241" s="11717" t="n"/>
      <c r="AE241" s="11717" t="n"/>
      <c r="AF241" s="11717" t="n"/>
      <c r="AG241" s="11717" t="n"/>
      <c r="AH241" s="11717" t="n"/>
      <c r="AI241" s="11717" t="n"/>
      <c r="AJ241" s="11717" t="n"/>
      <c r="AK241" s="2013" t="n"/>
      <c r="AL241" s="2013" t="n"/>
      <c r="AM241" s="2013" t="n"/>
      <c r="AN241" s="11602" t="n"/>
      <c r="AO241" s="11602" t="n"/>
      <c r="AP241" s="11602" t="n"/>
      <c r="AQ241" s="658" t="n"/>
      <c r="AR241" s="658" t="n"/>
      <c r="AS241" s="658" t="n"/>
      <c r="AT241" s="658" t="n"/>
      <c r="AU241" s="658" t="n"/>
      <c r="AV241" s="658" t="n"/>
      <c r="AW241" s="658" t="n"/>
      <c r="AX241" s="658" t="n"/>
      <c r="AY241" s="658" t="n"/>
      <c r="AZ241" s="658" t="n"/>
    </row>
    <row r="242" ht="16.5" customFormat="1" customHeight="1" s="815">
      <c r="A242" s="2013" t="n"/>
      <c r="B242" s="3844" t="n">
        <v>22</v>
      </c>
      <c r="C242" s="773" t="n"/>
      <c r="D242" s="1996" t="inlineStr">
        <is>
          <t>Educational institution information (see instructions)</t>
        </is>
      </c>
      <c r="E242" s="413" t="n"/>
      <c r="F242" s="413" t="n"/>
      <c r="G242" s="413" t="n"/>
      <c r="H242" s="413" t="n"/>
      <c r="I242" s="413" t="n"/>
      <c r="J242" s="413" t="n"/>
      <c r="K242" s="413" t="n"/>
      <c r="L242" s="413" t="n"/>
      <c r="M242" s="413" t="n"/>
      <c r="N242" s="413" t="n"/>
      <c r="O242" s="413" t="n"/>
      <c r="P242" s="413" t="n"/>
      <c r="Q242" s="413" t="n"/>
      <c r="R242" s="413" t="n"/>
      <c r="S242" s="413" t="n"/>
      <c r="T242" s="413" t="n"/>
      <c r="U242" s="413" t="n"/>
      <c r="V242" s="413" t="n"/>
      <c r="W242" s="413" t="n"/>
      <c r="X242" s="413" t="n"/>
      <c r="Y242" s="413" t="n"/>
      <c r="Z242" s="413" t="n"/>
      <c r="AA242" s="413" t="n"/>
      <c r="AB242" s="413" t="n"/>
      <c r="AC242" s="413" t="n"/>
      <c r="AD242" s="413" t="n"/>
      <c r="AE242" s="413" t="n"/>
      <c r="AF242" s="413" t="n"/>
      <c r="AG242" s="413" t="n"/>
      <c r="AH242" s="413" t="n"/>
      <c r="AI242" s="413" t="n"/>
      <c r="AJ242" s="413" t="n"/>
      <c r="AK242" s="2013" t="n"/>
      <c r="AL242" s="2013" t="n"/>
      <c r="AM242" s="2013" t="n"/>
      <c r="AN242" s="11602" t="n"/>
      <c r="AO242" s="11602" t="n"/>
      <c r="AP242" s="11602" t="n"/>
      <c r="AQ242" s="658" t="n"/>
      <c r="AR242" s="658" t="n"/>
      <c r="AS242" s="658" t="n"/>
      <c r="AT242" s="658" t="n"/>
      <c r="AU242" s="658" t="n"/>
      <c r="AV242" s="658" t="n"/>
      <c r="AW242" s="658" t="n"/>
      <c r="AX242" s="658" t="n"/>
      <c r="AY242" s="658" t="n"/>
      <c r="AZ242" s="658" t="n"/>
    </row>
    <row r="243" ht="16.5" customFormat="1" customHeight="1" s="815">
      <c r="A243" s="2013" t="n"/>
      <c r="B243" s="3827" t="n"/>
      <c r="C243" s="11602" t="n"/>
      <c r="D243" s="8384" t="inlineStr">
        <is>
          <t>a.</t>
        </is>
      </c>
      <c r="E243" s="565" t="inlineStr">
        <is>
          <t>Name of first educational institution</t>
        </is>
      </c>
      <c r="F243" s="406" t="n"/>
      <c r="G243" s="406" t="n"/>
      <c r="H243" s="406" t="n"/>
      <c r="I243" s="406" t="n"/>
      <c r="J243" s="406" t="n"/>
      <c r="K243" s="406" t="n"/>
      <c r="L243" s="406" t="n"/>
      <c r="M243" s="406" t="n"/>
      <c r="N243" s="8384" t="n"/>
      <c r="O243" s="565" t="n"/>
      <c r="P243" s="406" t="n"/>
      <c r="Q243" s="406" t="n"/>
      <c r="R243" s="565" t="n"/>
      <c r="S243" s="3542" t="n"/>
      <c r="T243" s="9764" t="n"/>
      <c r="U243" s="8384" t="inlineStr">
        <is>
          <t>b.</t>
        </is>
      </c>
      <c r="V243" s="565" t="inlineStr">
        <is>
          <t>Name of second educational institution (if any)</t>
        </is>
      </c>
      <c r="W243" s="565" t="n"/>
      <c r="X243" s="565" t="n"/>
      <c r="Y243" s="565" t="n"/>
      <c r="Z243" s="565" t="n"/>
      <c r="AA243" s="565" t="n"/>
      <c r="AB243" s="4546" t="n"/>
      <c r="AC243" s="565" t="n"/>
      <c r="AD243" s="565" t="n"/>
      <c r="AE243" s="565" t="n"/>
      <c r="AF243" s="406" t="n"/>
      <c r="AG243" s="565" t="n"/>
      <c r="AH243" s="565" t="n"/>
      <c r="AI243" s="565" t="n"/>
      <c r="AJ243" s="565" t="n"/>
      <c r="AK243" s="2013" t="n"/>
      <c r="AL243" s="2013" t="n"/>
      <c r="AM243" s="2013" t="n"/>
      <c r="AN243" s="11602" t="n"/>
      <c r="AO243" s="11602" t="n"/>
      <c r="AP243" s="11602" t="n"/>
      <c r="AQ243" s="658" t="n"/>
      <c r="AR243" s="658" t="n"/>
      <c r="AS243" s="658" t="n"/>
      <c r="AT243" s="658" t="n"/>
      <c r="AU243" s="658" t="n"/>
      <c r="AV243" s="658" t="n"/>
      <c r="AW243" s="658" t="n"/>
      <c r="AX243" s="658" t="n"/>
      <c r="AY243" s="658" t="n"/>
      <c r="AZ243" s="658" t="n"/>
    </row>
    <row r="244" ht="18" customFormat="1" customHeight="1" s="815">
      <c r="A244" s="2013" t="n"/>
      <c r="B244" s="3827" t="n"/>
      <c r="D244" s="11183" t="n"/>
      <c r="E244" s="11717" t="n"/>
      <c r="F244" s="11717" t="n"/>
      <c r="G244" s="11717" t="n"/>
      <c r="H244" s="11717" t="n"/>
      <c r="I244" s="11717" t="n"/>
      <c r="J244" s="11717" t="n"/>
      <c r="K244" s="11717" t="n"/>
      <c r="L244" s="11717" t="n"/>
      <c r="M244" s="11717" t="n"/>
      <c r="N244" s="11717" t="n"/>
      <c r="O244" s="11717" t="n"/>
      <c r="P244" s="11717" t="n"/>
      <c r="Q244" s="11717" t="n"/>
      <c r="R244" s="11717" t="n"/>
      <c r="S244" s="11718" t="n"/>
      <c r="T244" s="11168" t="n"/>
      <c r="U244" s="11717" t="n"/>
      <c r="V244" s="11717" t="n"/>
      <c r="W244" s="11717" t="n"/>
      <c r="X244" s="11717" t="n"/>
      <c r="Y244" s="11717" t="n"/>
      <c r="Z244" s="11717" t="n"/>
      <c r="AA244" s="11717" t="n"/>
      <c r="AB244" s="11717" t="n"/>
      <c r="AC244" s="11717" t="n"/>
      <c r="AD244" s="11717" t="n"/>
      <c r="AE244" s="11717" t="n"/>
      <c r="AF244" s="11717" t="n"/>
      <c r="AG244" s="11717" t="n"/>
      <c r="AH244" s="11717" t="n"/>
      <c r="AI244" s="11717" t="n"/>
      <c r="AJ244" s="11717" t="n"/>
      <c r="AK244" s="2013" t="n"/>
      <c r="AL244" s="2013" t="n"/>
      <c r="AM244" s="2013" t="n"/>
      <c r="AN244" s="11602" t="n"/>
      <c r="AO244" s="11602" t="n"/>
      <c r="AP244" s="11602" t="n"/>
      <c r="AQ244" s="658" t="n"/>
      <c r="AR244" s="658" t="n"/>
      <c r="AS244" s="658" t="n"/>
      <c r="AT244" s="658" t="n"/>
      <c r="AU244" s="658" t="n"/>
      <c r="AV244" s="658" t="n"/>
      <c r="AW244" s="658" t="n"/>
      <c r="AX244" s="658" t="n"/>
      <c r="AY244" s="658" t="n"/>
      <c r="AZ244" s="658" t="n"/>
    </row>
    <row r="245" ht="12.75" customFormat="1" customHeight="1" s="815">
      <c r="A245" s="2013" t="n"/>
      <c r="B245" s="11602" t="n"/>
      <c r="C245" s="11602" t="n"/>
      <c r="D245" s="1400" t="inlineStr">
        <is>
          <t>(1)</t>
        </is>
      </c>
      <c r="E245" s="8650" t="inlineStr">
        <is>
          <t>Address. Number and street (or P.O. box). City, town or</t>
        </is>
      </c>
      <c r="F245" s="11602" t="n"/>
      <c r="G245" s="11602" t="n"/>
      <c r="H245" s="11602" t="n"/>
      <c r="I245" s="11602" t="n"/>
      <c r="J245" s="11602" t="n"/>
      <c r="K245" s="11602" t="n"/>
      <c r="L245" s="11602" t="n"/>
      <c r="M245" s="11602" t="n"/>
      <c r="N245" s="11602" t="n"/>
      <c r="O245" s="11602" t="n"/>
      <c r="P245" s="11602" t="n"/>
      <c r="Q245" s="11602" t="n"/>
      <c r="R245" s="11602" t="n"/>
      <c r="S245" s="407" t="n"/>
      <c r="T245" s="11602" t="n"/>
      <c r="U245" s="1400" t="inlineStr">
        <is>
          <t>(1)</t>
        </is>
      </c>
      <c r="V245" s="8650" t="inlineStr">
        <is>
          <t>Address. Number and street (or P.O. box). City, town or</t>
        </is>
      </c>
      <c r="W245" s="11602" t="n"/>
      <c r="X245" s="11602" t="n"/>
      <c r="Y245" s="11602" t="n"/>
      <c r="Z245" s="11602" t="n"/>
      <c r="AA245" s="11602" t="n"/>
      <c r="AB245" s="11602" t="n"/>
      <c r="AC245" s="11602" t="n"/>
      <c r="AD245" s="11602" t="n"/>
      <c r="AE245" s="11602" t="n"/>
      <c r="AF245" s="11602" t="n"/>
      <c r="AG245" s="11602" t="n"/>
      <c r="AH245" s="11602" t="n"/>
      <c r="AI245" s="11602" t="n"/>
      <c r="AJ245" s="11602" t="n"/>
      <c r="AK245" s="2013" t="n"/>
      <c r="AL245" s="2013" t="n"/>
      <c r="AM245" s="2013" t="n"/>
      <c r="AN245" s="11602" t="n"/>
      <c r="AO245" s="11602" t="n"/>
      <c r="AP245" s="11602" t="n"/>
      <c r="AQ245" s="658" t="n"/>
      <c r="AR245" s="658" t="n"/>
      <c r="AS245" s="658" t="n"/>
      <c r="AT245" s="658" t="n"/>
      <c r="AU245" s="658" t="n"/>
      <c r="AV245" s="658" t="n"/>
      <c r="AW245" s="658" t="n"/>
      <c r="AX245" s="658" t="n"/>
      <c r="AY245" s="658" t="n"/>
      <c r="AZ245" s="658" t="n"/>
    </row>
    <row r="246" ht="14.25" customFormat="1" customHeight="1" s="815">
      <c r="A246" s="2013" t="n"/>
      <c r="B246" s="11602" t="n"/>
      <c r="C246" s="11602" t="n"/>
      <c r="D246" s="11602" t="n"/>
      <c r="E246" s="8650" t="inlineStr">
        <is>
          <t>post office, state, and ZIP code. If a foreign address, see</t>
        </is>
      </c>
      <c r="F246" s="11602" t="n"/>
      <c r="G246" s="11602" t="n"/>
      <c r="H246" s="11602" t="n"/>
      <c r="I246" s="11602" t="n"/>
      <c r="J246" s="11602" t="n"/>
      <c r="K246" s="11602" t="n"/>
      <c r="L246" s="11602" t="n"/>
      <c r="M246" s="11602" t="n"/>
      <c r="N246" s="11602" t="n"/>
      <c r="O246" s="11602" t="n"/>
      <c r="P246" s="11602" t="n"/>
      <c r="Q246" s="11602" t="n"/>
      <c r="R246" s="11602" t="n"/>
      <c r="S246" s="409" t="n"/>
      <c r="T246" s="11602" t="n"/>
      <c r="U246" s="11602" t="n"/>
      <c r="V246" s="8650" t="inlineStr">
        <is>
          <t>post office, state, and ZIP code. If a foreign address, see</t>
        </is>
      </c>
      <c r="W246" s="11602" t="n"/>
      <c r="X246" s="11602" t="n"/>
      <c r="Y246" s="11602" t="n"/>
      <c r="Z246" s="11602" t="n"/>
      <c r="AA246" s="11602" t="n"/>
      <c r="AB246" s="11602" t="n"/>
      <c r="AC246" s="11602" t="n"/>
      <c r="AD246" s="11602" t="n"/>
      <c r="AE246" s="11602" t="n"/>
      <c r="AF246" s="11602" t="n"/>
      <c r="AG246" s="11602" t="n"/>
      <c r="AH246" s="11602" t="n"/>
      <c r="AI246" s="11602" t="n"/>
      <c r="AJ246" s="11602" t="n"/>
      <c r="AK246" s="2013" t="n"/>
      <c r="AL246" s="2013" t="n"/>
      <c r="AM246" s="2013" t="n"/>
      <c r="AN246" s="11602" t="n"/>
      <c r="AO246" s="11602" t="n"/>
      <c r="AP246" s="11602" t="n"/>
      <c r="AQ246" s="658" t="n"/>
      <c r="AR246" s="658" t="n"/>
      <c r="AS246" s="658" t="n"/>
      <c r="AT246" s="658" t="n"/>
      <c r="AU246" s="658" t="n"/>
      <c r="AV246" s="658" t="n"/>
      <c r="AW246" s="658" t="n"/>
      <c r="AX246" s="658" t="n"/>
      <c r="AY246" s="658" t="n"/>
      <c r="AZ246" s="658" t="n"/>
    </row>
    <row r="247" ht="14.25" customFormat="1" customHeight="1" s="815">
      <c r="A247" s="2013" t="n"/>
      <c r="B247" s="11602" t="n"/>
      <c r="C247" s="11602" t="n"/>
      <c r="D247" s="11602" t="n"/>
      <c r="E247" s="8650" t="inlineStr">
        <is>
          <t>instructions.</t>
        </is>
      </c>
      <c r="F247" s="11602" t="n"/>
      <c r="G247" s="11602" t="n"/>
      <c r="H247" s="11602" t="n"/>
      <c r="I247" s="11602" t="n"/>
      <c r="J247" s="11602" t="n"/>
      <c r="K247" s="11602" t="n"/>
      <c r="L247" s="11602" t="n"/>
      <c r="M247" s="11602" t="n"/>
      <c r="N247" s="11602" t="n"/>
      <c r="O247" s="11602" t="n"/>
      <c r="P247" s="11602" t="n"/>
      <c r="Q247" s="11602" t="n"/>
      <c r="R247" s="11602" t="n"/>
      <c r="S247" s="409" t="n"/>
      <c r="T247" s="11602" t="n"/>
      <c r="U247" s="11602" t="n"/>
      <c r="V247" s="8650" t="inlineStr">
        <is>
          <t>instructions.</t>
        </is>
      </c>
      <c r="W247" s="11602" t="n"/>
      <c r="X247" s="11602" t="n"/>
      <c r="Y247" s="11602" t="n"/>
      <c r="Z247" s="11602" t="n"/>
      <c r="AA247" s="11602" t="n"/>
      <c r="AB247" s="11602" t="n"/>
      <c r="AC247" s="11602" t="n"/>
      <c r="AD247" s="11602" t="n"/>
      <c r="AE247" s="11602" t="n"/>
      <c r="AF247" s="11602" t="n"/>
      <c r="AG247" s="11602" t="n"/>
      <c r="AH247" s="11602" t="n"/>
      <c r="AI247" s="11602" t="n"/>
      <c r="AJ247" s="11602" t="n"/>
      <c r="AK247" s="2013" t="n"/>
      <c r="AL247" s="2013" t="n"/>
      <c r="AM247" s="2013" t="n"/>
      <c r="AN247" s="11602" t="n"/>
      <c r="AO247" s="11602" t="n"/>
      <c r="AP247" s="11602" t="n"/>
      <c r="AQ247" s="658" t="n"/>
      <c r="AR247" s="658" t="n"/>
      <c r="AS247" s="658" t="n"/>
      <c r="AT247" s="658" t="n"/>
      <c r="AU247" s="658" t="n"/>
      <c r="AV247" s="658" t="n"/>
      <c r="AW247" s="658" t="n"/>
      <c r="AX247" s="658" t="n"/>
      <c r="AY247" s="658" t="n"/>
      <c r="AZ247" s="658" t="n"/>
    </row>
    <row r="248" ht="15.75" customFormat="1" customHeight="1" s="815">
      <c r="A248" s="2013" t="n"/>
      <c r="B248" s="3827" t="n"/>
      <c r="D248" s="7357" t="n"/>
      <c r="E248" s="11717" t="n"/>
      <c r="F248" s="11717" t="n"/>
      <c r="G248" s="11717" t="n"/>
      <c r="H248" s="11717" t="n"/>
      <c r="I248" s="11717" t="n"/>
      <c r="J248" s="11717" t="n"/>
      <c r="K248" s="11717" t="n"/>
      <c r="L248" s="11717" t="n"/>
      <c r="M248" s="11717" t="n"/>
      <c r="N248" s="11717" t="n"/>
      <c r="O248" s="11717" t="n"/>
      <c r="P248" s="11717" t="n"/>
      <c r="Q248" s="11717" t="n"/>
      <c r="R248" s="11717" t="n"/>
      <c r="S248" s="11718" t="n"/>
      <c r="T248" s="11137" t="n"/>
      <c r="U248" s="11717" t="n"/>
      <c r="V248" s="11717" t="n"/>
      <c r="W248" s="11717" t="n"/>
      <c r="X248" s="11717" t="n"/>
      <c r="Y248" s="11717" t="n"/>
      <c r="Z248" s="11717" t="n"/>
      <c r="AA248" s="11717" t="n"/>
      <c r="AB248" s="11717" t="n"/>
      <c r="AC248" s="11717" t="n"/>
      <c r="AD248" s="11717" t="n"/>
      <c r="AE248" s="11717" t="n"/>
      <c r="AF248" s="11717" t="n"/>
      <c r="AG248" s="11717" t="n"/>
      <c r="AH248" s="11717" t="n"/>
      <c r="AI248" s="11717" t="n"/>
      <c r="AJ248" s="11717" t="n"/>
      <c r="AK248" s="2013" t="n"/>
      <c r="AL248" s="2013" t="n"/>
      <c r="AM248" s="2013" t="n"/>
      <c r="AN248" s="11602" t="n"/>
      <c r="AO248" s="11602" t="n"/>
      <c r="AP248" s="11602" t="n"/>
      <c r="AQ248" s="658" t="n"/>
      <c r="AR248" s="658" t="n"/>
      <c r="AS248" s="658" t="n"/>
      <c r="AT248" s="658" t="n"/>
      <c r="AU248" s="658" t="n"/>
      <c r="AV248" s="658" t="n"/>
      <c r="AW248" s="658" t="n"/>
      <c r="AX248" s="658" t="n"/>
      <c r="AY248" s="658" t="n"/>
      <c r="AZ248" s="658" t="n"/>
    </row>
    <row r="249" ht="16.5" customFormat="1" customHeight="1" s="815">
      <c r="A249" s="2013" t="n"/>
      <c r="B249" s="11602" t="n"/>
      <c r="C249" s="11602" t="n"/>
      <c r="D249" s="1400" t="inlineStr">
        <is>
          <t>(2)</t>
        </is>
      </c>
      <c r="E249" s="12746">
        <f>"Did the student receive Form 1098-T"&amp;CHAR(10)&amp;"from this institution for "&amp;TaxYear&amp;"?"</f>
        <v/>
      </c>
      <c r="F249" s="7839" t="n"/>
      <c r="G249" s="7839" t="n"/>
      <c r="H249" s="7839" t="n"/>
      <c r="I249" s="7839" t="n"/>
      <c r="J249" s="7839" t="n"/>
      <c r="K249" s="7839" t="n"/>
      <c r="L249" s="7839" t="n"/>
      <c r="M249" s="7839" t="n"/>
      <c r="N249" s="7839" t="n"/>
      <c r="O249" s="11602" t="n"/>
      <c r="P249" s="11602" t="n"/>
      <c r="Q249" s="11602" t="n"/>
      <c r="R249" s="11602" t="n"/>
      <c r="S249" s="11602" t="n"/>
      <c r="T249" s="405" t="n"/>
      <c r="U249" s="1400" t="inlineStr">
        <is>
          <t>(2)</t>
        </is>
      </c>
      <c r="V249" s="12746">
        <f>"Did the student receive Form 1098-T"&amp;CHAR(10)&amp;"from this institution for "&amp;TaxYear&amp;"?"</f>
        <v/>
      </c>
      <c r="W249" s="7839" t="n"/>
      <c r="X249" s="7839" t="n"/>
      <c r="Y249" s="7839" t="n"/>
      <c r="Z249" s="7839" t="n"/>
      <c r="AA249" s="7839" t="n"/>
      <c r="AB249" s="7839" t="n"/>
      <c r="AC249" s="7839" t="n"/>
      <c r="AD249" s="7839" t="n"/>
      <c r="AE249" s="7839" t="n"/>
      <c r="AF249" s="11602" t="n"/>
      <c r="AG249" s="11602" t="n"/>
      <c r="AH249" s="11602" t="n"/>
      <c r="AI249" s="11602" t="n"/>
      <c r="AJ249" s="11602" t="n"/>
      <c r="AK249" s="2013" t="n"/>
      <c r="AL249" s="2013" t="n"/>
      <c r="AM249" s="2013" t="n"/>
      <c r="AN249" s="11602" t="n"/>
      <c r="AO249" s="11602" t="n"/>
      <c r="AP249" s="11602" t="n"/>
      <c r="AQ249" s="658" t="n"/>
      <c r="AR249" s="658" t="n"/>
      <c r="AS249" s="658" t="n"/>
      <c r="AT249" s="658" t="n"/>
      <c r="AU249" s="658" t="n"/>
      <c r="AV249" s="658" t="n"/>
      <c r="AW249" s="658" t="n"/>
      <c r="AX249" s="658" t="n"/>
      <c r="AY249" s="658" t="n"/>
      <c r="AZ249" s="658" t="n"/>
    </row>
    <row r="250" ht="14.25" customFormat="1" customHeight="1" s="815">
      <c r="A250" s="2013" t="n"/>
      <c r="B250" s="11602" t="n"/>
      <c r="C250" s="11602" t="n"/>
      <c r="D250" s="11602" t="n"/>
      <c r="O250" s="1111" t="n"/>
      <c r="P250" s="7886" t="inlineStr">
        <is>
          <t xml:space="preserve"> Yes</t>
        </is>
      </c>
      <c r="Q250" s="11602" t="n"/>
      <c r="R250" s="1111" t="n"/>
      <c r="S250" s="7886" t="inlineStr">
        <is>
          <t xml:space="preserve"> No</t>
        </is>
      </c>
      <c r="T250" s="2018" t="n"/>
      <c r="U250" s="11602" t="n"/>
      <c r="AF250" s="1111" t="n"/>
      <c r="AG250" s="7886" t="inlineStr">
        <is>
          <t xml:space="preserve"> Yes</t>
        </is>
      </c>
      <c r="AH250" s="11602" t="n"/>
      <c r="AI250" s="1111" t="n"/>
      <c r="AJ250" s="7886" t="inlineStr">
        <is>
          <t xml:space="preserve"> No</t>
        </is>
      </c>
      <c r="AK250" s="2013" t="n"/>
      <c r="AL250" s="2013" t="n"/>
      <c r="AM250" s="2013" t="n"/>
      <c r="AN250" s="11602" t="n"/>
      <c r="AO250" s="11602" t="n"/>
      <c r="AP250" s="11602" t="n"/>
      <c r="AQ250" s="658" t="n"/>
      <c r="AR250" s="658" t="n"/>
      <c r="AS250" s="658" t="n"/>
      <c r="AT250" s="658" t="n"/>
      <c r="AU250" s="658" t="n"/>
      <c r="AV250" s="658" t="n"/>
      <c r="AW250" s="658" t="n"/>
      <c r="AX250" s="658" t="n"/>
      <c r="AY250" s="658" t="n"/>
      <c r="AZ250" s="658" t="n"/>
    </row>
    <row r="251" ht="7.5" customFormat="1" customHeight="1" s="815">
      <c r="A251" s="2013" t="n"/>
      <c r="B251" s="413" t="n"/>
      <c r="C251" s="413" t="n"/>
      <c r="D251" s="413" t="n"/>
      <c r="E251" s="7637" t="n"/>
      <c r="F251" s="7637" t="n"/>
      <c r="G251" s="7637" t="n"/>
      <c r="H251" s="7637" t="n"/>
      <c r="I251" s="7637" t="n"/>
      <c r="J251" s="7637" t="n"/>
      <c r="K251" s="7637" t="n"/>
      <c r="L251" s="7637" t="n"/>
      <c r="M251" s="7637" t="n"/>
      <c r="N251" s="7637" t="n"/>
      <c r="O251" s="413" t="n"/>
      <c r="P251" s="413" t="n"/>
      <c r="Q251" s="413" t="n"/>
      <c r="R251" s="413" t="n"/>
      <c r="S251" s="413" t="n"/>
      <c r="T251" s="412" t="n"/>
      <c r="U251" s="413" t="n"/>
      <c r="V251" s="7637" t="n"/>
      <c r="W251" s="7637" t="n"/>
      <c r="X251" s="7637" t="n"/>
      <c r="Y251" s="7637" t="n"/>
      <c r="Z251" s="7637" t="n"/>
      <c r="AA251" s="7637" t="n"/>
      <c r="AB251" s="7637" t="n"/>
      <c r="AC251" s="7637" t="n"/>
      <c r="AD251" s="7637" t="n"/>
      <c r="AE251" s="7637" t="n"/>
      <c r="AF251" s="413" t="n"/>
      <c r="AG251" s="413" t="n"/>
      <c r="AH251" s="413" t="n"/>
      <c r="AI251" s="413" t="n"/>
      <c r="AJ251" s="413" t="n"/>
      <c r="AK251" s="2013" t="n"/>
      <c r="AL251" s="2013" t="n"/>
      <c r="AM251" s="2013" t="n"/>
      <c r="AN251" s="11602" t="n"/>
      <c r="AO251" s="11602" t="n"/>
      <c r="AP251" s="11602" t="n"/>
      <c r="AQ251" s="662" t="n"/>
      <c r="AR251" s="662" t="n"/>
      <c r="AS251" s="662" t="n"/>
      <c r="AT251" s="662" t="n"/>
      <c r="AU251" s="662" t="n"/>
      <c r="AV251" s="662" t="n"/>
      <c r="AW251" s="662" t="n"/>
      <c r="AX251" s="662" t="n"/>
      <c r="AY251" s="662" t="n"/>
      <c r="AZ251" s="662" t="n"/>
    </row>
    <row r="252" ht="16.5" customFormat="1" customHeight="1" s="815">
      <c r="A252" s="2013" t="n"/>
      <c r="B252" s="11602" t="n"/>
      <c r="C252" s="11602" t="n"/>
      <c r="D252" s="10946" t="inlineStr">
        <is>
          <t>(3)</t>
        </is>
      </c>
      <c r="E252" s="12746">
        <f>"Did the student receive Form 1098-T"&amp;CHAR(10)&amp;"from this institution for "&amp;TaxYear-1&amp;" with box"&amp;CHAR(10)&amp;"7 checked?"</f>
        <v/>
      </c>
      <c r="F252" s="7839" t="n"/>
      <c r="G252" s="7839" t="n"/>
      <c r="H252" s="7839" t="n"/>
      <c r="I252" s="7839" t="n"/>
      <c r="J252" s="7839" t="n"/>
      <c r="K252" s="7839" t="n"/>
      <c r="L252" s="7839" t="n"/>
      <c r="M252" s="7839" t="n"/>
      <c r="N252" s="7839" t="n"/>
      <c r="O252" s="11602" t="n"/>
      <c r="P252" s="11602" t="n"/>
      <c r="Q252" s="11602" t="n"/>
      <c r="R252" s="11602" t="n"/>
      <c r="S252" s="11602" t="n"/>
      <c r="T252" s="408" t="n"/>
      <c r="U252" s="10946" t="inlineStr">
        <is>
          <t>(3)</t>
        </is>
      </c>
      <c r="V252" s="12746">
        <f>"Did the student receive Form 1098-T"&amp;CHAR(10)&amp;"from this institution for "&amp;TaxYear-1&amp;" with box"&amp;CHAR(10)&amp;"7 checked?"</f>
        <v/>
      </c>
      <c r="W252" s="7839" t="n"/>
      <c r="X252" s="7839" t="n"/>
      <c r="Y252" s="7839" t="n"/>
      <c r="Z252" s="7839" t="n"/>
      <c r="AA252" s="7839" t="n"/>
      <c r="AB252" s="7839" t="n"/>
      <c r="AC252" s="7839" t="n"/>
      <c r="AD252" s="7839" t="n"/>
      <c r="AE252" s="7839" t="n"/>
      <c r="AF252" s="11602" t="n"/>
      <c r="AG252" s="11602" t="n"/>
      <c r="AH252" s="11602" t="n"/>
      <c r="AI252" s="11602" t="n"/>
      <c r="AJ252" s="11602" t="n"/>
      <c r="AK252" s="2013" t="n"/>
      <c r="AL252" s="2013" t="n"/>
      <c r="AM252" s="2013" t="n"/>
      <c r="AN252" s="11602" t="n"/>
      <c r="AO252" s="11602" t="n"/>
      <c r="AP252" s="11602" t="n"/>
      <c r="AQ252" s="658" t="n"/>
      <c r="AR252" s="658" t="n"/>
      <c r="AS252" s="658" t="n"/>
      <c r="AT252" s="658" t="n"/>
      <c r="AU252" s="658" t="n"/>
      <c r="AV252" s="658" t="n"/>
      <c r="AW252" s="658" t="n"/>
      <c r="AX252" s="658" t="n"/>
      <c r="AY252" s="658" t="n"/>
      <c r="AZ252" s="658" t="n"/>
    </row>
    <row r="253" ht="14.25" customFormat="1" customHeight="1" s="815">
      <c r="A253" s="2013" t="n"/>
      <c r="B253" s="11602" t="n"/>
      <c r="C253" s="11602" t="n"/>
      <c r="D253" s="11602" t="n"/>
      <c r="O253" s="1111" t="n"/>
      <c r="P253" s="7886" t="inlineStr">
        <is>
          <t xml:space="preserve"> Yes</t>
        </is>
      </c>
      <c r="Q253" s="11602" t="n"/>
      <c r="R253" s="1111" t="n"/>
      <c r="S253" s="7886" t="inlineStr">
        <is>
          <t xml:space="preserve"> No</t>
        </is>
      </c>
      <c r="T253" s="2018" t="n"/>
      <c r="U253" s="11602" t="n"/>
      <c r="AF253" s="1111" t="n"/>
      <c r="AG253" s="7886" t="inlineStr">
        <is>
          <t xml:space="preserve"> Yes</t>
        </is>
      </c>
      <c r="AH253" s="11602" t="n"/>
      <c r="AI253" s="1111" t="n"/>
      <c r="AJ253" s="7886" t="inlineStr">
        <is>
          <t xml:space="preserve"> No</t>
        </is>
      </c>
      <c r="AK253" s="2013" t="n"/>
      <c r="AL253" s="2013" t="n"/>
      <c r="AM253" s="2013" t="n"/>
      <c r="AN253" s="11602" t="n"/>
      <c r="AO253" s="11602" t="n"/>
      <c r="AP253" s="11602" t="n"/>
      <c r="AQ253" s="658" t="n"/>
      <c r="AR253" s="658" t="n"/>
      <c r="AS253" s="658" t="n"/>
      <c r="AT253" s="658" t="n"/>
      <c r="AU253" s="658" t="n"/>
      <c r="AV253" s="658" t="n"/>
      <c r="AW253" s="658" t="n"/>
      <c r="AX253" s="658" t="n"/>
      <c r="AY253" s="658" t="n"/>
      <c r="AZ253" s="658" t="n"/>
    </row>
    <row r="254" ht="13.5" customFormat="1" customHeight="1" s="815">
      <c r="A254" s="2013" t="n"/>
      <c r="B254" s="413" t="n"/>
      <c r="C254" s="413" t="n"/>
      <c r="D254" s="413" t="n"/>
      <c r="E254" s="7637" t="n"/>
      <c r="F254" s="7637" t="n"/>
      <c r="G254" s="7637" t="n"/>
      <c r="H254" s="7637" t="n"/>
      <c r="I254" s="7637" t="n"/>
      <c r="J254" s="7637" t="n"/>
      <c r="K254" s="7637" t="n"/>
      <c r="L254" s="7637" t="n"/>
      <c r="M254" s="7637" t="n"/>
      <c r="N254" s="7637" t="n"/>
      <c r="O254" s="413" t="n"/>
      <c r="P254" s="413" t="n"/>
      <c r="Q254" s="413" t="n"/>
      <c r="R254" s="413" t="n"/>
      <c r="S254" s="413" t="n"/>
      <c r="T254" s="412" t="n"/>
      <c r="U254" s="413" t="n"/>
      <c r="V254" s="7637" t="n"/>
      <c r="W254" s="7637" t="n"/>
      <c r="X254" s="7637" t="n"/>
      <c r="Y254" s="7637" t="n"/>
      <c r="Z254" s="7637" t="n"/>
      <c r="AA254" s="7637" t="n"/>
      <c r="AB254" s="7637" t="n"/>
      <c r="AC254" s="7637" t="n"/>
      <c r="AD254" s="7637" t="n"/>
      <c r="AE254" s="7637" t="n"/>
      <c r="AF254" s="413" t="n"/>
      <c r="AG254" s="413" t="n"/>
      <c r="AH254" s="413" t="n"/>
      <c r="AI254" s="413" t="n"/>
      <c r="AJ254" s="413" t="n"/>
      <c r="AK254" s="2013" t="n"/>
      <c r="AL254" s="2013" t="n"/>
      <c r="AM254" s="2013" t="n"/>
      <c r="AN254" s="11602" t="n"/>
      <c r="AO254" s="11602" t="n"/>
      <c r="AP254" s="11602" t="n"/>
      <c r="AQ254" s="658" t="n"/>
      <c r="AR254" s="658" t="n"/>
      <c r="AS254" s="658" t="n"/>
      <c r="AT254" s="658" t="n"/>
      <c r="AU254" s="658" t="n"/>
      <c r="AV254" s="658" t="n"/>
      <c r="AW254" s="658" t="n"/>
      <c r="AX254" s="658" t="n"/>
      <c r="AY254" s="658" t="n"/>
      <c r="AZ254" s="658" t="n"/>
    </row>
    <row r="255" ht="21" customFormat="1" customHeight="1" s="815" thickBot="1">
      <c r="A255" s="2013" t="n"/>
      <c r="B255" s="11602" t="n"/>
      <c r="C255" s="11602" t="n"/>
      <c r="D255" s="10946" t="inlineStr">
        <is>
          <t>(4)</t>
        </is>
      </c>
      <c r="E255" s="11185" t="inlineStr">
        <is>
          <t>Enter the institution’s employer identification number (EIN)
if you’re claiming the American opportunity credit or if you
checked “Yes” in (2) or (3). You can get the EIN from Form
1098-T or from the institution.</t>
        </is>
      </c>
      <c r="F255" s="7839" t="n"/>
      <c r="G255" s="7839" t="n"/>
      <c r="H255" s="7839" t="n"/>
      <c r="I255" s="7839" t="n"/>
      <c r="J255" s="7839" t="n"/>
      <c r="K255" s="7839" t="n"/>
      <c r="L255" s="7839" t="n"/>
      <c r="M255" s="7839" t="n"/>
      <c r="N255" s="7839" t="n"/>
      <c r="O255" s="7839" t="n"/>
      <c r="P255" s="7839" t="n"/>
      <c r="Q255" s="7839" t="n"/>
      <c r="R255" s="7839" t="n"/>
      <c r="S255" s="10091" t="n"/>
      <c r="T255" s="408" t="n"/>
      <c r="U255" s="10946" t="inlineStr">
        <is>
          <t>(4)</t>
        </is>
      </c>
      <c r="V255" s="11138" t="inlineStr">
        <is>
          <t>Enter the institution’s employer identification number (EIN)
if you’re claiming the American opportunity credit or if you
checked “Yes” in (2) or (3). You can get the EIN from Form
1098-T or from the institution.</t>
        </is>
      </c>
      <c r="W255" s="7839" t="n"/>
      <c r="X255" s="7839" t="n"/>
      <c r="Y255" s="7839" t="n"/>
      <c r="Z255" s="7839" t="n"/>
      <c r="AA255" s="7839" t="n"/>
      <c r="AB255" s="7839" t="n"/>
      <c r="AC255" s="7839" t="n"/>
      <c r="AD255" s="7839" t="n"/>
      <c r="AE255" s="7839" t="n"/>
      <c r="AF255" s="7839" t="n"/>
      <c r="AG255" s="7839" t="n"/>
      <c r="AH255" s="7839" t="n"/>
      <c r="AI255" s="7839" t="n"/>
      <c r="AJ255" s="7839" t="n"/>
      <c r="AK255" s="2013" t="n"/>
      <c r="AL255" s="2013" t="n"/>
      <c r="AM255" s="2013" t="n"/>
      <c r="AN255" s="11602" t="n"/>
      <c r="AO255" s="11602" t="n"/>
      <c r="AP255" s="11602" t="n"/>
      <c r="AQ255" s="658" t="n"/>
      <c r="AR255" s="658" t="n"/>
      <c r="AS255" s="658" t="n"/>
      <c r="AT255" s="658" t="n"/>
      <c r="AU255" s="658" t="n"/>
      <c r="AV255" s="658" t="n"/>
      <c r="AW255" s="658" t="n"/>
      <c r="AX255" s="658" t="n"/>
      <c r="AY255" s="658" t="n"/>
      <c r="AZ255" s="658" t="n"/>
    </row>
    <row r="256" ht="14.25" customFormat="1" customHeight="1" s="815">
      <c r="A256" s="2013" t="n"/>
      <c r="B256" s="11602" t="n"/>
      <c r="C256" s="11602" t="n"/>
      <c r="D256" s="11602" t="n"/>
      <c r="S256" s="7636" t="n"/>
      <c r="T256" s="2018" t="n"/>
      <c r="U256" s="11602" t="n"/>
      <c r="AK256" s="2013" t="n"/>
      <c r="AL256" s="2013" t="n"/>
      <c r="AM256" s="2013" t="n"/>
      <c r="AN256" s="11602" t="n"/>
      <c r="AO256" s="11602" t="n"/>
      <c r="AP256" s="11602" t="n"/>
      <c r="AQ256" s="1126" t="inlineStr">
        <is>
          <t>Adjusted Qualified Education Expenses Worksheet</t>
        </is>
      </c>
      <c r="AR256" s="1127" t="n"/>
      <c r="AS256" s="1127" t="n"/>
      <c r="AT256" s="1127" t="n"/>
      <c r="AU256" s="1127" t="n"/>
      <c r="AV256" s="1127" t="n"/>
      <c r="AW256" s="1127" t="n"/>
      <c r="AX256" s="1127" t="n"/>
      <c r="AY256" s="1127" t="n"/>
      <c r="AZ256" s="1128" t="n"/>
    </row>
    <row r="257" ht="26.25" customFormat="1" customHeight="1" s="815">
      <c r="A257" s="2013" t="n"/>
      <c r="B257" s="11602" t="n"/>
      <c r="C257" s="11602" t="n"/>
      <c r="D257" s="11602" t="n"/>
      <c r="S257" s="7636" t="n"/>
      <c r="T257" s="408" t="n"/>
      <c r="U257" s="11602" t="n"/>
      <c r="AK257" s="2013" t="n"/>
      <c r="AL257" s="2013" t="n"/>
      <c r="AM257" s="2013" t="n"/>
      <c r="AN257" s="11602" t="n"/>
      <c r="AO257" s="11602" t="n"/>
      <c r="AP257" s="11602" t="n"/>
      <c r="AQ257" s="1129" t="inlineStr">
        <is>
          <t>Complete a separate worksheet for each student for each academic period beginning or treated as beginning</t>
        </is>
      </c>
      <c r="AR257" s="1130" t="n"/>
      <c r="AS257" s="1130" t="n"/>
      <c r="AT257" s="1130" t="n"/>
      <c r="AU257" s="1130" t="n"/>
      <c r="AV257" s="1130" t="n"/>
      <c r="AW257" s="1130" t="n"/>
      <c r="AX257" s="1130" t="n"/>
      <c r="AY257" s="1130" t="n"/>
      <c r="AZ257" s="1131" t="n"/>
    </row>
    <row r="258" ht="17.25" customFormat="1" customHeight="1" s="815">
      <c r="A258" s="2013" t="n"/>
      <c r="B258" s="11602" t="n"/>
      <c r="C258" s="11602" t="n"/>
      <c r="D258" s="11602" t="n"/>
      <c r="E258" s="1111" t="n"/>
      <c r="F258" s="1111" t="n"/>
      <c r="G258" s="10627" t="inlineStr">
        <is>
          <t>-</t>
        </is>
      </c>
      <c r="H258" s="1111" t="n"/>
      <c r="I258" s="1111" t="n"/>
      <c r="J258" s="1111" t="n"/>
      <c r="K258" s="1111" t="n"/>
      <c r="L258" s="1111" t="n"/>
      <c r="M258" s="1111" t="n"/>
      <c r="N258" s="1111" t="n"/>
      <c r="O258" s="11139" t="n"/>
      <c r="P258" s="11139" t="n"/>
      <c r="Q258" s="11139" t="n"/>
      <c r="R258" s="11139" t="n"/>
      <c r="S258" s="11186" t="n"/>
      <c r="T258" s="408" t="n"/>
      <c r="U258" s="11602" t="n"/>
      <c r="V258" s="1111" t="n"/>
      <c r="W258" s="1111" t="n"/>
      <c r="X258" s="10627" t="inlineStr">
        <is>
          <t>-</t>
        </is>
      </c>
      <c r="Y258" s="1111" t="n"/>
      <c r="Z258" s="1111" t="n"/>
      <c r="AA258" s="1111" t="n"/>
      <c r="AB258" s="1111" t="n"/>
      <c r="AC258" s="1111" t="n"/>
      <c r="AD258" s="1111" t="n"/>
      <c r="AE258" s="1111" t="n"/>
      <c r="AF258" s="11602" t="n"/>
      <c r="AG258" s="11602" t="n"/>
      <c r="AH258" s="11602" t="n"/>
      <c r="AI258" s="11602" t="n"/>
      <c r="AJ258" s="11602" t="n"/>
      <c r="AK258" s="2013" t="n"/>
      <c r="AL258" s="2013" t="n"/>
      <c r="AM258" s="2013" t="n"/>
      <c r="AN258" s="11602" t="n"/>
      <c r="AO258" s="11602" t="n"/>
      <c r="AP258" s="11602" t="n"/>
      <c r="AQ258" s="1132">
        <f>"(see below) in "&amp;TaxYear&amp;" for which you paid (or are treated as having paid) qualified education expenses in "&amp;TaxYear&amp;"."</f>
        <v/>
      </c>
      <c r="AR258" s="1133" t="n"/>
      <c r="AS258" s="1133" t="n"/>
      <c r="AT258" s="1133" t="n"/>
      <c r="AU258" s="1133" t="n"/>
      <c r="AV258" s="1133" t="n"/>
      <c r="AW258" s="1133" t="n"/>
      <c r="AX258" s="1133" t="n"/>
      <c r="AY258" s="1133" t="n"/>
      <c r="AZ258" s="1134" t="n"/>
    </row>
    <row r="259" ht="14.25" customFormat="1" customHeight="1" s="815">
      <c r="A259" s="2013" t="n"/>
      <c r="B259" s="413" t="n"/>
      <c r="C259" s="413" t="n"/>
      <c r="D259" s="413" t="n"/>
      <c r="E259" s="1996" t="n"/>
      <c r="F259" s="413" t="n"/>
      <c r="G259" s="413" t="n"/>
      <c r="H259" s="413" t="n"/>
      <c r="I259" s="413" t="n"/>
      <c r="J259" s="413" t="n"/>
      <c r="K259" s="413" t="n"/>
      <c r="L259" s="413" t="n"/>
      <c r="M259" s="413" t="n"/>
      <c r="N259" s="413" t="n"/>
      <c r="O259" s="413" t="n"/>
      <c r="P259" s="413" t="n"/>
      <c r="Q259" s="413" t="n"/>
      <c r="R259" s="413" t="n"/>
      <c r="S259" s="414" t="n"/>
      <c r="T259" s="412" t="n"/>
      <c r="U259" s="413" t="n"/>
      <c r="V259" s="413" t="n"/>
      <c r="W259" s="413" t="n"/>
      <c r="X259" s="413" t="n"/>
      <c r="Y259" s="413" t="n"/>
      <c r="Z259" s="413" t="n"/>
      <c r="AA259" s="413" t="n"/>
      <c r="AB259" s="413" t="n"/>
      <c r="AC259" s="413" t="n"/>
      <c r="AD259" s="413" t="n"/>
      <c r="AE259" s="413" t="n"/>
      <c r="AF259" s="413" t="n"/>
      <c r="AG259" s="413" t="n"/>
      <c r="AH259" s="413" t="n"/>
      <c r="AI259" s="413" t="n"/>
      <c r="AJ259" s="413" t="n"/>
      <c r="AK259" s="2013" t="n"/>
      <c r="AL259" s="2013" t="n"/>
      <c r="AM259" s="2013" t="n"/>
      <c r="AN259" s="11602" t="n"/>
      <c r="AO259" s="11602" t="n"/>
      <c r="AP259" s="11602" t="n"/>
      <c r="AQ259" s="1135" t="n"/>
      <c r="AR259" s="946" t="n"/>
      <c r="AS259" s="946" t="n"/>
      <c r="AT259" s="946" t="n"/>
      <c r="AU259" s="946" t="n"/>
      <c r="AV259" s="946" t="n"/>
      <c r="AW259" s="946" t="n"/>
      <c r="AX259" s="946" t="n"/>
      <c r="AY259" s="946" t="n"/>
      <c r="AZ259" s="1136" t="n"/>
    </row>
    <row r="260" ht="15" customFormat="1" customHeight="1" s="815">
      <c r="A260" s="2013" t="n"/>
      <c r="B260" s="3827" t="n">
        <v>23</v>
      </c>
      <c r="C260" s="11602" t="n"/>
      <c r="D260" s="11602" t="n"/>
      <c r="E260" s="8650" t="inlineStr">
        <is>
          <t>Has the American opportunity credit been claimed for this</t>
        </is>
      </c>
      <c r="F260" s="11602" t="n"/>
      <c r="G260" s="11602" t="n"/>
      <c r="H260" s="11602" t="n"/>
      <c r="I260" s="11602" t="n"/>
      <c r="J260" s="11602" t="n"/>
      <c r="K260" s="11602" t="n"/>
      <c r="L260" s="11602" t="n"/>
      <c r="M260" s="11602" t="n"/>
      <c r="N260" s="11602" t="n"/>
      <c r="O260" s="11602" t="n"/>
      <c r="P260" s="11602" t="n"/>
      <c r="Q260" s="11602" t="n"/>
      <c r="R260" s="11602" t="n"/>
      <c r="S260" s="11602" t="n"/>
      <c r="T260" s="11602" t="n"/>
      <c r="U260" s="11602" t="n"/>
      <c r="V260" s="11602" t="n"/>
      <c r="W260" s="11602" t="n"/>
      <c r="X260" s="11602" t="n"/>
      <c r="Y260" s="11602" t="n"/>
      <c r="Z260" s="11602" t="n"/>
      <c r="AA260" s="11602" t="n"/>
      <c r="AB260" s="11602" t="n"/>
      <c r="AC260" s="11602" t="n"/>
      <c r="AD260" s="11602" t="n"/>
      <c r="AE260" s="11602" t="n"/>
      <c r="AF260" s="11602" t="n"/>
      <c r="AG260" s="11602" t="n"/>
      <c r="AH260" s="11602" t="n"/>
      <c r="AI260" s="11602" t="n"/>
      <c r="AJ260" s="11602" t="n"/>
      <c r="AK260" s="2013" t="n"/>
      <c r="AL260" s="2013" t="n"/>
      <c r="AM260" s="2013" t="n"/>
      <c r="AN260" s="11602" t="n"/>
      <c r="AO260" s="11602" t="n"/>
      <c r="AP260" s="11602" t="n"/>
      <c r="AQ260" s="4552" t="inlineStr">
        <is>
          <t>1.  Total qualified education expenses paid for or on behalf of the student in</t>
        </is>
      </c>
      <c r="AR260" s="946" t="n"/>
      <c r="AS260" s="946" t="n"/>
      <c r="AT260" s="946" t="n"/>
      <c r="AU260" s="946" t="n"/>
      <c r="AV260" s="946" t="n"/>
      <c r="AW260" s="946" t="n"/>
      <c r="AX260" s="946" t="n"/>
      <c r="AY260" s="946" t="n"/>
      <c r="AZ260" s="1136" t="n"/>
    </row>
    <row r="261" ht="15" customFormat="1" customHeight="1" s="815">
      <c r="A261" s="2013" t="n"/>
      <c r="B261" s="11602" t="n"/>
      <c r="C261" s="11602" t="n"/>
      <c r="D261" s="11602" t="n"/>
      <c r="E261" s="1672" t="inlineStr">
        <is>
          <t>student for any 4 prior tax years?</t>
        </is>
      </c>
      <c r="F261" s="11602" t="n"/>
      <c r="G261" s="11602" t="n"/>
      <c r="H261" s="11602" t="n"/>
      <c r="I261" s="11602" t="n"/>
      <c r="J261" s="11602" t="n"/>
      <c r="K261" s="11602" t="n"/>
      <c r="L261" s="11602" t="n"/>
      <c r="M261" s="11602" t="n"/>
      <c r="N261" s="11602" t="n"/>
      <c r="O261" s="11602" t="n"/>
      <c r="P261" s="11602" t="n"/>
      <c r="Q261" s="11602" t="n"/>
      <c r="R261" s="11602" t="n"/>
      <c r="S261" s="11602" t="n"/>
      <c r="T261" s="1111" t="n"/>
      <c r="U261" s="344" t="inlineStr">
        <is>
          <t>Yes -- Stop!</t>
        </is>
      </c>
      <c r="V261" s="11602" t="n"/>
      <c r="W261" s="11602" t="n"/>
      <c r="X261" s="11602" t="n"/>
      <c r="Y261" s="11602" t="n"/>
      <c r="Z261" s="11602" t="n"/>
      <c r="AA261" s="11602" t="n"/>
      <c r="AB261" s="11602" t="n"/>
      <c r="AC261" s="1963">
        <f>IF(T261&lt;&gt;"","","X")</f>
        <v/>
      </c>
      <c r="AD261" s="344" t="inlineStr">
        <is>
          <t>No -- Go to line 24.</t>
        </is>
      </c>
      <c r="AE261" s="11602" t="n"/>
      <c r="AF261" s="11602" t="n"/>
      <c r="AG261" s="11602" t="n"/>
      <c r="AH261" s="11602" t="n"/>
      <c r="AI261" s="11602" t="n"/>
      <c r="AJ261" s="11602" t="n"/>
      <c r="AK261" s="2013" t="n"/>
      <c r="AL261" s="2013" t="n"/>
      <c r="AM261" s="2013" t="n"/>
      <c r="AN261" s="11602" t="n"/>
      <c r="AO261" s="11602" t="n"/>
      <c r="AP261" s="11602" t="n"/>
      <c r="AQ261" s="4553">
        <f>TaxYear&amp;" for the academic period"</f>
        <v/>
      </c>
      <c r="AR261" s="4536" t="n"/>
      <c r="AS261" s="4536" t="n"/>
      <c r="AT261" s="4536" t="n"/>
      <c r="AU261" s="4536" t="n"/>
      <c r="AV261" s="4536" t="n"/>
      <c r="AW261" s="4539" t="n"/>
      <c r="AX261" s="4539" t="inlineStr">
        <is>
          <t>1.</t>
        </is>
      </c>
      <c r="AY261" s="7843" t="n"/>
      <c r="AZ261" s="4537" t="n"/>
    </row>
    <row r="262" ht="16.5" customFormat="1" customHeight="1" s="1116">
      <c r="A262" s="2067" t="n"/>
      <c r="B262" s="571" t="n"/>
      <c r="C262" s="571" t="n"/>
      <c r="D262" s="571" t="n"/>
      <c r="E262" s="2046" t="n"/>
      <c r="F262" s="571" t="n"/>
      <c r="G262" s="571" t="n"/>
      <c r="H262" s="571" t="n"/>
      <c r="I262" s="571" t="n"/>
      <c r="J262" s="571" t="n"/>
      <c r="K262" s="571" t="n"/>
      <c r="L262" s="571" t="n"/>
      <c r="M262" s="571" t="n"/>
      <c r="N262" s="571" t="n"/>
      <c r="O262" s="571" t="n"/>
      <c r="P262" s="571" t="n"/>
      <c r="Q262" s="571" t="n"/>
      <c r="R262" s="571" t="n"/>
      <c r="S262" s="571" t="n"/>
      <c r="T262" s="571" t="n"/>
      <c r="U262" s="571" t="inlineStr">
        <is>
          <t>Go to line 31 for this student.</t>
        </is>
      </c>
      <c r="V262" s="571" t="n"/>
      <c r="W262" s="571" t="n"/>
      <c r="X262" s="571" t="n"/>
      <c r="Y262" s="571" t="n"/>
      <c r="Z262" s="571" t="n"/>
      <c r="AA262" s="571" t="n"/>
      <c r="AB262" s="571" t="n"/>
      <c r="AC262" s="571" t="n"/>
      <c r="AD262" s="571" t="n"/>
      <c r="AE262" s="571" t="n"/>
      <c r="AF262" s="571" t="n"/>
      <c r="AG262" s="571" t="n"/>
      <c r="AH262" s="571" t="n"/>
      <c r="AI262" s="571" t="n"/>
      <c r="AJ262" s="571" t="n"/>
      <c r="AK262" s="2067" t="n"/>
      <c r="AL262" s="2067" t="n"/>
      <c r="AM262" s="2067" t="n"/>
      <c r="AN262" s="571" t="n"/>
      <c r="AO262" s="571" t="n"/>
      <c r="AP262" s="571" t="n"/>
      <c r="AQ262" s="4554" t="n"/>
      <c r="AR262" s="4536" t="n"/>
      <c r="AS262" s="4536" t="n"/>
      <c r="AT262" s="4536" t="n"/>
      <c r="AU262" s="4536" t="n"/>
      <c r="AV262" s="4536" t="n"/>
      <c r="AW262" s="4539" t="n"/>
      <c r="AX262" s="4539" t="n"/>
      <c r="AY262" s="4539" t="n"/>
      <c r="AZ262" s="4537" t="n"/>
      <c r="BA262" s="138" t="n"/>
      <c r="BB262" s="138" t="n"/>
    </row>
    <row r="263" ht="15" customFormat="1" customHeight="1" s="815">
      <c r="A263" s="2013" t="n"/>
      <c r="B263" s="4555" t="n">
        <v>24</v>
      </c>
      <c r="C263" s="406" t="n"/>
      <c r="D263" s="406" t="n"/>
      <c r="E263" s="2354" t="inlineStr">
        <is>
          <t>Was the student enrolled at least half-time for at least one</t>
        </is>
      </c>
      <c r="F263" s="406" t="n"/>
      <c r="G263" s="406" t="n"/>
      <c r="H263" s="406" t="n"/>
      <c r="I263" s="406" t="n"/>
      <c r="J263" s="406" t="n"/>
      <c r="K263" s="406" t="n"/>
      <c r="L263" s="406" t="n"/>
      <c r="M263" s="406" t="n"/>
      <c r="N263" s="406" t="n"/>
      <c r="O263" s="406" t="n"/>
      <c r="P263" s="406" t="n"/>
      <c r="Q263" s="406" t="n"/>
      <c r="R263" s="406" t="n"/>
      <c r="S263" s="406" t="n"/>
      <c r="T263" s="406" t="n"/>
      <c r="U263" s="406" t="n"/>
      <c r="V263" s="406" t="n"/>
      <c r="W263" s="406" t="n"/>
      <c r="X263" s="406" t="n"/>
      <c r="Y263" s="406" t="n"/>
      <c r="Z263" s="406" t="n"/>
      <c r="AA263" s="406" t="n"/>
      <c r="AB263" s="406" t="n"/>
      <c r="AC263" s="406" t="n"/>
      <c r="AD263" s="406" t="n"/>
      <c r="AE263" s="406" t="n"/>
      <c r="AF263" s="406" t="n"/>
      <c r="AG263" s="406" t="n"/>
      <c r="AH263" s="406" t="n"/>
      <c r="AI263" s="406" t="n"/>
      <c r="AJ263" s="406" t="n"/>
      <c r="AK263" s="2013" t="n"/>
      <c r="AL263" s="2013" t="n"/>
      <c r="AM263" s="2013" t="n"/>
      <c r="AN263" s="11602" t="n"/>
      <c r="AO263" s="11602" t="n"/>
      <c r="AP263" s="11602" t="n"/>
      <c r="AQ263" s="4552" t="inlineStr">
        <is>
          <t>2.  Less adjustments</t>
        </is>
      </c>
      <c r="AR263" s="1130" t="n"/>
      <c r="AS263" s="1130" t="n"/>
      <c r="AT263" s="1130" t="n"/>
      <c r="AU263" s="1130" t="n"/>
      <c r="AV263" s="1130" t="n"/>
      <c r="AW263" s="1130" t="n"/>
      <c r="AX263" s="1130" t="n"/>
      <c r="AY263" s="946" t="n"/>
      <c r="AZ263" s="1131" t="n"/>
    </row>
    <row r="264" ht="15" customFormat="1" customHeight="1" s="815">
      <c r="A264" s="2013" t="n"/>
      <c r="B264" s="3827" t="n"/>
      <c r="C264" s="11602" t="n"/>
      <c r="D264" s="11602" t="n"/>
      <c r="E264" s="8650" t="inlineStr">
        <is>
          <t>academic period that began or is treated as having begun</t>
        </is>
      </c>
      <c r="F264" s="11602" t="n"/>
      <c r="G264" s="11602" t="n"/>
      <c r="H264" s="11602" t="n"/>
      <c r="I264" s="11602" t="n"/>
      <c r="J264" s="11602" t="n"/>
      <c r="K264" s="11602" t="n"/>
      <c r="L264" s="11602" t="n"/>
      <c r="M264" s="11602" t="n"/>
      <c r="N264" s="11602" t="n"/>
      <c r="O264" s="11602" t="n"/>
      <c r="P264" s="11602" t="n"/>
      <c r="Q264" s="11602" t="n"/>
      <c r="R264" s="11602" t="n"/>
      <c r="S264" s="11602" t="n"/>
      <c r="T264" s="11602" t="n"/>
      <c r="U264" s="11602" t="n"/>
      <c r="V264" s="11602" t="n"/>
      <c r="W264" s="11602" t="n"/>
      <c r="X264" s="11602" t="n"/>
      <c r="Y264" s="11602" t="n"/>
      <c r="Z264" s="11602" t="n"/>
      <c r="AA264" s="11602" t="n"/>
      <c r="AB264" s="11602" t="n"/>
      <c r="AC264" s="11602" t="n"/>
      <c r="AD264" s="11602" t="n"/>
      <c r="AE264" s="11602" t="n"/>
      <c r="AF264" s="11602" t="n"/>
      <c r="AG264" s="11602" t="n"/>
      <c r="AH264" s="11602" t="n"/>
      <c r="AI264" s="11602" t="n"/>
      <c r="AJ264" s="11602" t="n"/>
      <c r="AK264" s="2013" t="n"/>
      <c r="AL264" s="2013" t="n"/>
      <c r="AM264" s="2013" t="n"/>
      <c r="AN264" s="11602" t="n"/>
      <c r="AO264" s="11602" t="n"/>
      <c r="AP264" s="11602" t="n"/>
      <c r="AQ264" s="1137" t="inlineStr">
        <is>
          <t>a.</t>
        </is>
      </c>
      <c r="AR264" s="1138">
        <f>"Tax-free educational assistance received in "&amp;TaxYear&amp;" allocable to"</f>
        <v/>
      </c>
      <c r="AS264" s="946" t="n"/>
      <c r="AT264" s="946" t="n"/>
      <c r="AU264" s="946" t="n"/>
      <c r="AV264" s="946" t="n"/>
      <c r="AW264" s="946" t="n"/>
      <c r="AX264" s="946" t="n"/>
      <c r="AY264" s="946" t="n"/>
      <c r="AZ264" s="1136" t="n"/>
    </row>
    <row r="265" ht="15" customFormat="1" customHeight="1" s="815">
      <c r="A265" s="2013" t="n"/>
      <c r="B265" s="3827" t="n"/>
      <c r="C265" s="11602" t="n"/>
      <c r="D265" s="11602" t="n"/>
      <c r="E265" s="8650">
        <f>"in "&amp;TaxYear&amp;" at an eligible educational institution in a program"</f>
        <v/>
      </c>
      <c r="F265" s="11602" t="n"/>
      <c r="G265" s="11602" t="n"/>
      <c r="H265" s="11602" t="n"/>
      <c r="I265" s="11602" t="n"/>
      <c r="J265" s="11602" t="n"/>
      <c r="K265" s="11602" t="n"/>
      <c r="L265" s="11602" t="n"/>
      <c r="M265" s="11602" t="n"/>
      <c r="N265" s="11602" t="n"/>
      <c r="O265" s="11602" t="n"/>
      <c r="P265" s="11602" t="n"/>
      <c r="Q265" s="11602" t="n"/>
      <c r="R265" s="11602" t="n"/>
      <c r="S265" s="11602" t="n"/>
      <c r="T265" s="11602" t="n"/>
      <c r="U265" s="11602" t="n"/>
      <c r="V265" s="11602" t="n"/>
      <c r="W265" s="11602" t="n"/>
      <c r="X265" s="11602" t="n"/>
      <c r="Y265" s="11602" t="n"/>
      <c r="Z265" s="11602" t="n"/>
      <c r="AA265" s="11602" t="n"/>
      <c r="AB265" s="11602" t="n"/>
      <c r="AC265" s="11602" t="n"/>
      <c r="AD265" s="11602" t="n"/>
      <c r="AE265" s="11602" t="n"/>
      <c r="AF265" s="11602" t="n"/>
      <c r="AG265" s="11602" t="n"/>
      <c r="AH265" s="11602" t="n"/>
      <c r="AI265" s="11602" t="n"/>
      <c r="AJ265" s="11602" t="n"/>
      <c r="AK265" s="2013" t="n"/>
      <c r="AL265" s="2013" t="n"/>
      <c r="AM265" s="2013" t="n"/>
      <c r="AN265" s="11602" t="n"/>
      <c r="AO265" s="11602" t="n"/>
      <c r="AP265" s="11602" t="n"/>
      <c r="AQ265" s="1140" t="n"/>
      <c r="AR265" s="1138" t="inlineStr">
        <is>
          <t>the academic period</t>
        </is>
      </c>
      <c r="AS265" s="1141" t="n"/>
      <c r="AT265" s="1141" t="n"/>
      <c r="AU265" s="1141" t="n"/>
      <c r="AV265" s="1141" t="n"/>
      <c r="AW265" s="4539" t="inlineStr">
        <is>
          <t>2a.</t>
        </is>
      </c>
      <c r="AX265" s="7843" t="n"/>
      <c r="AY265" s="946" t="n"/>
      <c r="AZ265" s="1139" t="n"/>
    </row>
    <row r="266" ht="15" customFormat="1" customHeight="1" s="815">
      <c r="A266" s="2013" t="n"/>
      <c r="B266" s="11602" t="n"/>
      <c r="C266" s="11602" t="n"/>
      <c r="D266" s="11602" t="n"/>
      <c r="E266" s="1672" t="inlineStr">
        <is>
          <t>leading towards a postsecondary degree, certificate, or</t>
        </is>
      </c>
      <c r="F266" s="11602" t="n"/>
      <c r="G266" s="11602" t="n"/>
      <c r="H266" s="11602" t="n"/>
      <c r="I266" s="11602" t="n"/>
      <c r="J266" s="11602" t="n"/>
      <c r="K266" s="11602" t="n"/>
      <c r="L266" s="11602" t="n"/>
      <c r="M266" s="11602" t="n"/>
      <c r="N266" s="11602" t="n"/>
      <c r="O266" s="11602" t="n"/>
      <c r="P266" s="11602" t="n"/>
      <c r="Q266" s="11602" t="n"/>
      <c r="R266" s="11602" t="n"/>
      <c r="S266" s="11602" t="n"/>
      <c r="T266" s="1963">
        <f>IF(AC266&lt;&gt;"","","X")</f>
        <v/>
      </c>
      <c r="U266" s="344" t="inlineStr">
        <is>
          <t>Yes -- Go to line 25.</t>
        </is>
      </c>
      <c r="V266" s="11602" t="n"/>
      <c r="W266" s="11602" t="n"/>
      <c r="X266" s="11602" t="n"/>
      <c r="Y266" s="11602" t="n"/>
      <c r="Z266" s="11602" t="n"/>
      <c r="AA266" s="11602" t="n"/>
      <c r="AB266" s="11602" t="n"/>
      <c r="AC266" s="1111" t="n"/>
      <c r="AD266" s="344" t="inlineStr">
        <is>
          <t>No -- Stop!  Go to Line 31.</t>
        </is>
      </c>
      <c r="AE266" s="11602" t="n"/>
      <c r="AF266" s="11602" t="n"/>
      <c r="AG266" s="11602" t="n"/>
      <c r="AH266" s="11602" t="n"/>
      <c r="AI266" s="11602" t="n"/>
      <c r="AJ266" s="11602" t="n"/>
      <c r="AK266" s="2013" t="n"/>
      <c r="AL266" s="2013" t="n"/>
      <c r="AM266" s="2013" t="n"/>
      <c r="AN266" s="11602" t="n"/>
      <c r="AO266" s="11602" t="n"/>
      <c r="AP266" s="11602" t="n"/>
      <c r="AQ266" s="1137" t="inlineStr">
        <is>
          <t>b.</t>
        </is>
      </c>
      <c r="AR266" s="1138">
        <f>"Tax-free educational assistance received in "&amp;TaxYear+1&amp;" (and before you"</f>
        <v/>
      </c>
      <c r="AS266" s="946" t="n"/>
      <c r="AT266" s="946" t="n"/>
      <c r="AU266" s="946" t="n"/>
      <c r="AV266" s="946" t="n"/>
      <c r="AW266" s="946" t="n"/>
      <c r="AX266" s="946" t="n"/>
      <c r="AY266" s="946" t="n"/>
      <c r="AZ266" s="1136" t="n"/>
    </row>
    <row r="267" ht="14.25" customFormat="1" customHeight="1" s="815">
      <c r="A267" s="2013" t="n"/>
      <c r="B267" s="11602" t="n"/>
      <c r="C267" s="11602" t="n"/>
      <c r="D267" s="11602" t="n"/>
      <c r="E267" s="1672" t="inlineStr">
        <is>
          <t>other recognized postsecondary educational credential?</t>
        </is>
      </c>
      <c r="F267" s="11602" t="n"/>
      <c r="G267" s="11602" t="n"/>
      <c r="H267" s="11602" t="n"/>
      <c r="I267" s="11602" t="n"/>
      <c r="J267" s="11602" t="n"/>
      <c r="K267" s="11602" t="n"/>
      <c r="L267" s="11602" t="n"/>
      <c r="M267" s="11602" t="n"/>
      <c r="N267" s="11602" t="n"/>
      <c r="O267" s="11602" t="n"/>
      <c r="P267" s="11602" t="n"/>
      <c r="Q267" s="11602" t="n"/>
      <c r="R267" s="11602" t="n"/>
      <c r="S267" s="11602" t="n"/>
      <c r="T267" s="11602" t="n"/>
      <c r="U267" s="11602" t="n"/>
      <c r="V267" s="11602" t="n"/>
      <c r="W267" s="11602" t="n"/>
      <c r="X267" s="11602" t="n"/>
      <c r="Y267" s="11602" t="n"/>
      <c r="Z267" s="11602" t="n"/>
      <c r="AA267" s="11602" t="n"/>
      <c r="AB267" s="11602" t="n"/>
      <c r="AC267" s="11602" t="n"/>
      <c r="AD267" s="344" t="inlineStr">
        <is>
          <t>for this student</t>
        </is>
      </c>
      <c r="AE267" s="11602" t="n"/>
      <c r="AF267" s="11602" t="n"/>
      <c r="AG267" s="11602" t="n"/>
      <c r="AH267" s="11602" t="n"/>
      <c r="AI267" s="11602" t="n"/>
      <c r="AJ267" s="11602" t="n"/>
      <c r="AK267" s="2013" t="n"/>
      <c r="AL267" s="2013" t="n"/>
      <c r="AM267" s="2013" t="n"/>
      <c r="AN267" s="11602" t="n"/>
      <c r="AO267" s="11602" t="n"/>
      <c r="AP267" s="11602" t="n"/>
      <c r="AQ267" s="1140" t="n"/>
      <c r="AR267" s="1138">
        <f>"file your "&amp;TaxYear&amp;" tax return) allocable to the academic period"</f>
        <v/>
      </c>
      <c r="AS267" s="1141" t="n"/>
      <c r="AT267" s="1141" t="n"/>
      <c r="AU267" s="1141" t="n"/>
      <c r="AV267" s="1141" t="n"/>
      <c r="AW267" s="4539" t="inlineStr">
        <is>
          <t>2b.</t>
        </is>
      </c>
      <c r="AX267" s="7843" t="n"/>
      <c r="AY267" s="946" t="n"/>
      <c r="AZ267" s="1139" t="n"/>
    </row>
    <row r="268" ht="16.5" customFormat="1" customHeight="1" s="1116">
      <c r="A268" s="2067" t="n"/>
      <c r="B268" s="571" t="n"/>
      <c r="C268" s="571" t="n"/>
      <c r="D268" s="571" t="n"/>
      <c r="E268" s="2046" t="inlineStr">
        <is>
          <t>See instructions.</t>
        </is>
      </c>
      <c r="F268" s="571" t="n"/>
      <c r="G268" s="571" t="n"/>
      <c r="H268" s="571" t="n"/>
      <c r="I268" s="571" t="n"/>
      <c r="J268" s="571" t="n"/>
      <c r="K268" s="571" t="n"/>
      <c r="L268" s="571" t="n"/>
      <c r="M268" s="571" t="n"/>
      <c r="N268" s="571" t="n"/>
      <c r="O268" s="571" t="n"/>
      <c r="P268" s="571" t="n"/>
      <c r="Q268" s="571" t="n"/>
      <c r="R268" s="571" t="n"/>
      <c r="S268" s="571" t="n"/>
      <c r="T268" s="571" t="n"/>
      <c r="U268" s="571" t="n"/>
      <c r="V268" s="571" t="n"/>
      <c r="W268" s="571" t="n"/>
      <c r="X268" s="571" t="n"/>
      <c r="Y268" s="571" t="n"/>
      <c r="Z268" s="571" t="n"/>
      <c r="AA268" s="571" t="n"/>
      <c r="AB268" s="571" t="n"/>
      <c r="AC268" s="571" t="n"/>
      <c r="AD268" s="571" t="n"/>
      <c r="AE268" s="571" t="n"/>
      <c r="AF268" s="571" t="n"/>
      <c r="AG268" s="571" t="n"/>
      <c r="AH268" s="571" t="n"/>
      <c r="AI268" s="571" t="n"/>
      <c r="AJ268" s="571" t="n"/>
      <c r="AK268" s="2067" t="n"/>
      <c r="AL268" s="2067" t="n"/>
      <c r="AM268" s="2067" t="n"/>
      <c r="AN268" s="571" t="n"/>
      <c r="AO268" s="571" t="n"/>
      <c r="AP268" s="571" t="n"/>
      <c r="AQ268" s="1137" t="inlineStr">
        <is>
          <t>c.</t>
        </is>
      </c>
      <c r="AR268" s="1138">
        <f>"Refunds of qualified education expenses paid in "&amp;TaxYear&amp;" if the refund"</f>
        <v/>
      </c>
      <c r="AS268" s="946" t="n"/>
      <c r="AT268" s="946" t="n"/>
      <c r="AU268" s="946" t="n"/>
      <c r="AV268" s="946" t="n"/>
      <c r="AW268" s="946" t="n"/>
      <c r="AX268" s="946" t="n"/>
      <c r="AY268" s="946" t="n"/>
      <c r="AZ268" s="1136" t="n"/>
      <c r="BA268" s="138" t="n"/>
      <c r="BB268" s="138" t="n"/>
    </row>
    <row r="269" ht="15" customFormat="1" customHeight="1" s="815">
      <c r="A269" s="2013" t="n"/>
      <c r="B269" s="4555" t="n">
        <v>25</v>
      </c>
      <c r="C269" s="406" t="n"/>
      <c r="D269" s="406" t="n"/>
      <c r="E269" s="2354" t="inlineStr">
        <is>
          <t>Did the student complete the first 4 years of post secondary</t>
        </is>
      </c>
      <c r="F269" s="406" t="n"/>
      <c r="G269" s="406" t="n"/>
      <c r="H269" s="406" t="n"/>
      <c r="I269" s="406" t="n"/>
      <c r="J269" s="406" t="n"/>
      <c r="K269" s="406" t="n"/>
      <c r="L269" s="406" t="n"/>
      <c r="M269" s="406" t="n"/>
      <c r="N269" s="406" t="n"/>
      <c r="O269" s="406" t="n"/>
      <c r="P269" s="406" t="n"/>
      <c r="Q269" s="406" t="n"/>
      <c r="R269" s="406" t="n"/>
      <c r="S269" s="406" t="n"/>
      <c r="T269" s="406" t="n"/>
      <c r="U269" s="406" t="n"/>
      <c r="V269" s="406" t="n"/>
      <c r="W269" s="406" t="n"/>
      <c r="X269" s="406" t="n"/>
      <c r="Y269" s="406" t="n"/>
      <c r="Z269" s="406" t="n"/>
      <c r="AA269" s="406" t="n"/>
      <c r="AB269" s="406" t="n"/>
      <c r="AC269" s="406" t="n"/>
      <c r="AD269" s="406" t="n"/>
      <c r="AE269" s="406" t="n"/>
      <c r="AF269" s="406" t="n"/>
      <c r="AG269" s="406" t="n"/>
      <c r="AH269" s="406" t="n"/>
      <c r="AI269" s="406" t="n"/>
      <c r="AJ269" s="406" t="n"/>
      <c r="AK269" s="2013" t="n"/>
      <c r="AL269" s="2013" t="n"/>
      <c r="AM269" s="2013" t="n"/>
      <c r="AN269" s="11602" t="n"/>
      <c r="AO269" s="11602" t="n"/>
      <c r="AP269" s="11602" t="n"/>
      <c r="AQ269" s="1140" t="n"/>
      <c r="AR269" s="1138">
        <f>"is received in "&amp;TaxYear&amp;" or in "&amp;TaxYear+1&amp;" before you file your "&amp;TaxYear&amp;" tax return."</f>
        <v/>
      </c>
      <c r="AS269" s="1141" t="n"/>
      <c r="AT269" s="1141" t="n"/>
      <c r="AU269" s="1141" t="n"/>
      <c r="AV269" s="1141" t="n"/>
      <c r="AW269" s="4539" t="inlineStr">
        <is>
          <t>2c.</t>
        </is>
      </c>
      <c r="AX269" s="7843" t="n"/>
      <c r="AY269" s="946" t="n"/>
      <c r="AZ269" s="1139" t="n"/>
    </row>
    <row r="270" ht="15" customFormat="1" customHeight="1" s="815">
      <c r="A270" s="2013" t="n"/>
      <c r="B270" s="11602" t="n"/>
      <c r="C270" s="11602" t="n"/>
      <c r="D270" s="11602" t="n"/>
      <c r="E270" s="1672">
        <f>"education before "&amp;TaxYear&amp;"? See instructions."</f>
        <v/>
      </c>
      <c r="F270" s="11602" t="n"/>
      <c r="G270" s="11602" t="n"/>
      <c r="H270" s="11602" t="n"/>
      <c r="I270" s="11602" t="n"/>
      <c r="J270" s="11602" t="n"/>
      <c r="K270" s="11602" t="n"/>
      <c r="L270" s="11602" t="n"/>
      <c r="M270" s="11602" t="n"/>
      <c r="N270" s="11602" t="n"/>
      <c r="O270" s="11602" t="n"/>
      <c r="P270" s="11602" t="n"/>
      <c r="Q270" s="11602" t="n"/>
      <c r="R270" s="11602" t="n"/>
      <c r="S270" s="11602" t="n"/>
      <c r="T270" s="1111" t="n"/>
      <c r="U270" s="344" t="inlineStr">
        <is>
          <t>Yes -- Stop!</t>
        </is>
      </c>
      <c r="V270" s="11602" t="n"/>
      <c r="W270" s="11602" t="n"/>
      <c r="X270" s="11602" t="n"/>
      <c r="Y270" s="11602" t="n"/>
      <c r="Z270" s="11602" t="n"/>
      <c r="AA270" s="11602" t="n"/>
      <c r="AB270" s="11602" t="n"/>
      <c r="AC270" s="1963">
        <f>IF(T270&lt;&gt;"","","X")</f>
        <v/>
      </c>
      <c r="AD270" s="344" t="inlineStr">
        <is>
          <t>No -- Go to line 26.</t>
        </is>
      </c>
      <c r="AE270" s="11602" t="n"/>
      <c r="AF270" s="11602" t="n"/>
      <c r="AG270" s="11602" t="n"/>
      <c r="AH270" s="11602" t="n"/>
      <c r="AI270" s="11602" t="n"/>
      <c r="AJ270" s="11602" t="n"/>
      <c r="AK270" s="2013" t="n"/>
      <c r="AL270" s="2013" t="n"/>
      <c r="AM270" s="2013" t="n"/>
      <c r="AN270" s="11602" t="n"/>
      <c r="AO270" s="11602" t="n"/>
      <c r="AP270" s="11602" t="n"/>
      <c r="AQ270" s="1140" t="n"/>
      <c r="AR270" s="1138" t="n"/>
      <c r="AS270" s="1141" t="n"/>
      <c r="AT270" s="1141" t="n"/>
      <c r="AU270" s="1141" t="n"/>
      <c r="AV270" s="1141" t="n"/>
      <c r="AW270" s="1141" t="n"/>
      <c r="AX270" s="1141" t="n"/>
      <c r="AY270" s="946" t="n"/>
      <c r="AZ270" s="1139" t="n"/>
    </row>
    <row r="271" ht="16.5" customFormat="1" customHeight="1" s="1116">
      <c r="A271" s="2067" t="n"/>
      <c r="B271" s="571" t="n"/>
      <c r="C271" s="571" t="n"/>
      <c r="D271" s="571" t="n"/>
      <c r="E271" s="2046" t="n"/>
      <c r="F271" s="571" t="n"/>
      <c r="G271" s="571" t="n"/>
      <c r="H271" s="571" t="n"/>
      <c r="I271" s="571" t="n"/>
      <c r="J271" s="571" t="n"/>
      <c r="K271" s="571" t="n"/>
      <c r="L271" s="571" t="n"/>
      <c r="M271" s="571" t="n"/>
      <c r="N271" s="571" t="n"/>
      <c r="O271" s="571" t="n"/>
      <c r="P271" s="571" t="n"/>
      <c r="Q271" s="571" t="n"/>
      <c r="R271" s="571" t="n"/>
      <c r="S271" s="571" t="n"/>
      <c r="T271" s="571" t="n"/>
      <c r="U271" s="571" t="inlineStr">
        <is>
          <t>Go to line 31 for this student.</t>
        </is>
      </c>
      <c r="V271" s="571" t="n"/>
      <c r="W271" s="571" t="n"/>
      <c r="X271" s="571" t="n"/>
      <c r="Y271" s="571" t="n"/>
      <c r="Z271" s="571" t="n"/>
      <c r="AA271" s="571" t="n"/>
      <c r="AB271" s="571" t="n"/>
      <c r="AC271" s="571" t="n"/>
      <c r="AD271" s="571" t="n"/>
      <c r="AE271" s="571" t="n"/>
      <c r="AF271" s="571" t="n"/>
      <c r="AG271" s="571" t="n"/>
      <c r="AH271" s="571" t="n"/>
      <c r="AI271" s="571" t="n"/>
      <c r="AJ271" s="571" t="n"/>
      <c r="AK271" s="2067" t="n"/>
      <c r="AL271" s="2067" t="n"/>
      <c r="AM271" s="2067" t="n"/>
      <c r="AN271" s="571" t="n"/>
      <c r="AO271" s="571" t="n"/>
      <c r="AP271" s="571" t="n"/>
      <c r="AQ271" s="4552" t="inlineStr">
        <is>
          <t>3.  Total adjustments (add lines 2a, 2b, and 2c)</t>
        </is>
      </c>
      <c r="AR271" s="4536" t="n"/>
      <c r="AS271" s="4536" t="n"/>
      <c r="AT271" s="4536" t="n"/>
      <c r="AU271" s="4536" t="n"/>
      <c r="AV271" s="4536" t="n"/>
      <c r="AW271" s="4539" t="n"/>
      <c r="AX271" s="4539" t="inlineStr">
        <is>
          <t>3.</t>
        </is>
      </c>
      <c r="AY271" s="7842">
        <f>SUM(AX265,AX267,AX269)</f>
        <v/>
      </c>
      <c r="AZ271" s="4537" t="n"/>
      <c r="BA271" s="138" t="n"/>
      <c r="BB271" s="138" t="n"/>
    </row>
    <row r="272" ht="15" customFormat="1" customHeight="1" s="815">
      <c r="A272" s="2013" t="n"/>
      <c r="B272" s="4555" t="n">
        <v>26</v>
      </c>
      <c r="C272" s="406" t="n"/>
      <c r="D272" s="406" t="n"/>
      <c r="E272" s="2354">
        <f>"Was the student convicted, before the end of "&amp;TaxYear&amp;", of a"</f>
        <v/>
      </c>
      <c r="F272" s="406" t="n"/>
      <c r="G272" s="406" t="n"/>
      <c r="H272" s="406" t="n"/>
      <c r="I272" s="406" t="n"/>
      <c r="J272" s="406" t="n"/>
      <c r="K272" s="406" t="n"/>
      <c r="L272" s="406" t="n"/>
      <c r="M272" s="406" t="n"/>
      <c r="N272" s="406" t="n"/>
      <c r="O272" s="406" t="n"/>
      <c r="P272" s="406" t="n"/>
      <c r="Q272" s="406" t="n"/>
      <c r="R272" s="406" t="n"/>
      <c r="S272" s="406" t="n"/>
      <c r="T272" s="406" t="n"/>
      <c r="U272" s="406" t="n"/>
      <c r="V272" s="406" t="n"/>
      <c r="W272" s="406" t="n"/>
      <c r="X272" s="406" t="n"/>
      <c r="Y272" s="406" t="n"/>
      <c r="Z272" s="406" t="n"/>
      <c r="AA272" s="406" t="n"/>
      <c r="AB272" s="406" t="n"/>
      <c r="AC272" s="406" t="n"/>
      <c r="AD272" s="406" t="n"/>
      <c r="AE272" s="406" t="n"/>
      <c r="AF272" s="406" t="n"/>
      <c r="AG272" s="406" t="n"/>
      <c r="AH272" s="406" t="n"/>
      <c r="AI272" s="406" t="n"/>
      <c r="AJ272" s="406" t="n"/>
      <c r="AK272" s="2013" t="n"/>
      <c r="AL272" s="2013" t="n"/>
      <c r="AM272" s="2013" t="n"/>
      <c r="AN272" s="11602" t="n"/>
      <c r="AO272" s="11602" t="n"/>
      <c r="AP272" s="11602" t="n"/>
      <c r="AQ272" s="1140" t="n"/>
      <c r="AR272" s="1138" t="n"/>
      <c r="AS272" s="1141" t="n"/>
      <c r="AT272" s="1141" t="n"/>
      <c r="AU272" s="1141" t="n"/>
      <c r="AV272" s="1141" t="n"/>
      <c r="AW272" s="1141" t="n"/>
      <c r="AX272" s="1141" t="n"/>
      <c r="AY272" s="946" t="n"/>
      <c r="AZ272" s="1139" t="n"/>
    </row>
    <row r="273" ht="15" customFormat="1" customHeight="1" s="815">
      <c r="A273" s="2013" t="n"/>
      <c r="B273" s="11602" t="n"/>
      <c r="C273" s="11602" t="n"/>
      <c r="D273" s="11602" t="n"/>
      <c r="E273" s="1672" t="inlineStr">
        <is>
          <t>felony for possession or distribution of a controlled</t>
        </is>
      </c>
      <c r="F273" s="11602" t="n"/>
      <c r="G273" s="11602" t="n"/>
      <c r="H273" s="11602" t="n"/>
      <c r="I273" s="11602" t="n"/>
      <c r="J273" s="11602" t="n"/>
      <c r="K273" s="11602" t="n"/>
      <c r="L273" s="11602" t="n"/>
      <c r="M273" s="11602" t="n"/>
      <c r="N273" s="11602" t="n"/>
      <c r="O273" s="11602" t="n"/>
      <c r="P273" s="11602" t="n"/>
      <c r="Q273" s="11602" t="n"/>
      <c r="R273" s="11602" t="n"/>
      <c r="S273" s="11602" t="n"/>
      <c r="T273" s="1111" t="n"/>
      <c r="U273" s="344" t="inlineStr">
        <is>
          <t>Yes -- Stop!</t>
        </is>
      </c>
      <c r="V273" s="11602" t="n"/>
      <c r="W273" s="11602" t="n"/>
      <c r="X273" s="11602" t="n"/>
      <c r="Y273" s="11602" t="n"/>
      <c r="Z273" s="11602" t="n"/>
      <c r="AA273" s="11602" t="n"/>
      <c r="AB273" s="11602" t="n"/>
      <c r="AC273" s="1963">
        <f>IF(T273&lt;&gt;"","","X")</f>
        <v/>
      </c>
      <c r="AD273" s="344" t="inlineStr">
        <is>
          <t>No -- Complete lines 27</t>
        </is>
      </c>
      <c r="AE273" s="11602" t="n"/>
      <c r="AF273" s="11602" t="n"/>
      <c r="AG273" s="11602" t="n"/>
      <c r="AH273" s="11602" t="n"/>
      <c r="AI273" s="11602" t="n"/>
      <c r="AJ273" s="11602" t="n"/>
      <c r="AK273" s="2013" t="n"/>
      <c r="AL273" s="2013" t="n"/>
      <c r="AM273" s="2013" t="n"/>
      <c r="AN273" s="11602" t="n"/>
      <c r="AO273" s="226" t="inlineStr">
        <is>
          <t>Manual</t>
        </is>
      </c>
      <c r="AP273" s="11602" t="n"/>
      <c r="AQ273" s="4552" t="inlineStr">
        <is>
          <t>4.  Adjusted qualified education expenses. Subtract line 3 from line 1.</t>
        </is>
      </c>
      <c r="AR273" s="1138" t="n"/>
      <c r="AS273" s="1141" t="n"/>
      <c r="AT273" s="1141" t="n"/>
      <c r="AU273" s="1141" t="n"/>
      <c r="AV273" s="1141" t="n"/>
      <c r="AW273" s="1141" t="n"/>
      <c r="AX273" s="1141" t="n"/>
      <c r="AY273" s="946" t="n"/>
      <c r="AZ273" s="1139" t="n"/>
    </row>
    <row r="274" ht="16.5" customFormat="1" customHeight="1" s="1116">
      <c r="A274" s="2067" t="n"/>
      <c r="B274" s="2068" t="n"/>
      <c r="C274" s="2068" t="n"/>
      <c r="D274" s="2068" t="n"/>
      <c r="E274" s="4556" t="inlineStr">
        <is>
          <t>substance?</t>
        </is>
      </c>
      <c r="F274" s="2068" t="n"/>
      <c r="G274" s="2068" t="n"/>
      <c r="H274" s="2068" t="n"/>
      <c r="I274" s="2068" t="n"/>
      <c r="J274" s="2068" t="n"/>
      <c r="K274" s="2068" t="n"/>
      <c r="L274" s="2068" t="n"/>
      <c r="M274" s="2068" t="n"/>
      <c r="N274" s="2068" t="n"/>
      <c r="O274" s="2068" t="n"/>
      <c r="P274" s="2068" t="n"/>
      <c r="Q274" s="2068" t="n"/>
      <c r="R274" s="2068" t="n"/>
      <c r="S274" s="2068" t="n"/>
      <c r="T274" s="2068" t="n"/>
      <c r="U274" s="2068" t="inlineStr">
        <is>
          <t>Go to line 31 for this student.</t>
        </is>
      </c>
      <c r="V274" s="2068" t="n"/>
      <c r="W274" s="2068" t="n"/>
      <c r="X274" s="2068" t="n"/>
      <c r="Y274" s="2068" t="n"/>
      <c r="Z274" s="2068" t="n"/>
      <c r="AA274" s="2068" t="n"/>
      <c r="AB274" s="2068" t="n"/>
      <c r="AC274" s="2068" t="n"/>
      <c r="AD274" s="4162" t="inlineStr">
        <is>
          <t>through 30 for this student.</t>
        </is>
      </c>
      <c r="AE274" s="2068" t="n"/>
      <c r="AF274" s="2068" t="n"/>
      <c r="AG274" s="2068" t="n"/>
      <c r="AH274" s="2068" t="n"/>
      <c r="AI274" s="2068" t="n"/>
      <c r="AJ274" s="2068" t="n"/>
      <c r="AK274" s="2067" t="n"/>
      <c r="AL274" s="2067" t="n"/>
      <c r="AM274" s="2067" t="n"/>
      <c r="AN274" s="571" t="n"/>
      <c r="AO274" s="226" t="inlineStr">
        <is>
          <t>Override ê</t>
        </is>
      </c>
      <c r="AP274" s="571" t="n"/>
      <c r="AQ274" s="4554" t="inlineStr">
        <is>
          <t>If zero or less, enter -0-</t>
        </is>
      </c>
      <c r="AR274" s="4536" t="n"/>
      <c r="AS274" s="4536" t="n"/>
      <c r="AT274" s="4557" t="inlineStr">
        <is>
          <t>Enter result into Part III, line 27  OR  line 31.</t>
        </is>
      </c>
      <c r="AU274" s="4536" t="n"/>
      <c r="AV274" s="4536" t="n"/>
      <c r="AW274" s="4539" t="n"/>
      <c r="AX274" s="4539" t="inlineStr">
        <is>
          <t>4.</t>
        </is>
      </c>
      <c r="AY274" s="7842">
        <f>IF(AY261="","",MAX(0,SUM(AY261,-AY271)))</f>
        <v/>
      </c>
      <c r="AZ274" s="4537" t="n"/>
      <c r="BA274" s="138" t="n"/>
      <c r="BB274" s="138" t="n"/>
    </row>
    <row r="275" ht="9.75" customFormat="1" customHeight="1" s="815" thickBot="1">
      <c r="A275" s="2013" t="n"/>
      <c r="B275" s="4558" t="n"/>
      <c r="C275" s="4558" t="n"/>
      <c r="D275" s="4558" t="n"/>
      <c r="E275" s="4558" t="n"/>
      <c r="F275" s="4558" t="n"/>
      <c r="G275" s="4558" t="n"/>
      <c r="H275" s="4558" t="n"/>
      <c r="I275" s="4558" t="n"/>
      <c r="J275" s="4558" t="n"/>
      <c r="K275" s="4558" t="n"/>
      <c r="L275" s="4558" t="n"/>
      <c r="M275" s="4558" t="n"/>
      <c r="N275" s="4558" t="n"/>
      <c r="O275" s="4558" t="n"/>
      <c r="P275" s="4558" t="n"/>
      <c r="Q275" s="4558" t="n"/>
      <c r="R275" s="4558" t="n"/>
      <c r="S275" s="4558" t="n"/>
      <c r="T275" s="4558" t="n"/>
      <c r="U275" s="4558" t="n"/>
      <c r="V275" s="4558" t="n"/>
      <c r="W275" s="4558" t="n"/>
      <c r="X275" s="4558" t="n"/>
      <c r="Y275" s="4558" t="n"/>
      <c r="Z275" s="4558" t="n"/>
      <c r="AA275" s="4558" t="n"/>
      <c r="AB275" s="4558" t="n"/>
      <c r="AC275" s="4558" t="n"/>
      <c r="AD275" s="4558" t="n"/>
      <c r="AE275" s="4558" t="n"/>
      <c r="AF275" s="4558" t="n"/>
      <c r="AG275" s="4558" t="n"/>
      <c r="AH275" s="4558" t="n"/>
      <c r="AI275" s="4558" t="n"/>
      <c r="AJ275" s="4558" t="n"/>
      <c r="AK275" s="2013" t="n"/>
      <c r="AL275" s="2013" t="n"/>
      <c r="AM275" s="2013" t="n"/>
      <c r="AN275" s="11602" t="n"/>
      <c r="AO275" s="11602" t="n"/>
      <c r="AP275" s="11602" t="n"/>
      <c r="AQ275" s="1142" t="n"/>
      <c r="AR275" s="1143" t="n"/>
      <c r="AS275" s="1144" t="n"/>
      <c r="AT275" s="1144" t="n"/>
      <c r="AU275" s="1144" t="n"/>
      <c r="AV275" s="1144" t="n"/>
      <c r="AW275" s="1144" t="n"/>
      <c r="AX275" s="1144" t="n"/>
      <c r="AY275" s="1144" t="n"/>
      <c r="AZ275" s="1145" t="n"/>
    </row>
    <row r="276" ht="14.25" customFormat="1" customHeight="1" s="1115">
      <c r="A276" s="2290" t="n"/>
      <c r="B276" s="342" t="inlineStr">
        <is>
          <t>Caution:</t>
        </is>
      </c>
      <c r="C276" s="2319" t="n"/>
      <c r="D276" s="2319" t="n"/>
      <c r="E276" s="1117" t="inlineStr">
        <is>
          <t>You can't take the American opportunity credit and the lifetime learning credit for the same student in the same year.</t>
        </is>
      </c>
      <c r="F276" s="2319" t="n"/>
      <c r="G276" s="2319" t="n"/>
      <c r="H276" s="2319" t="n"/>
      <c r="I276" s="2319" t="n"/>
      <c r="J276" s="2319" t="n"/>
      <c r="K276" s="2319" t="n"/>
      <c r="L276" s="2319" t="n"/>
      <c r="M276" s="2319" t="n"/>
      <c r="N276" s="2319" t="n"/>
      <c r="O276" s="2319" t="n"/>
      <c r="P276" s="2319" t="n"/>
      <c r="Q276" s="2319" t="n"/>
      <c r="R276" s="2319" t="n"/>
      <c r="S276" s="2319" t="n"/>
      <c r="T276" s="2319" t="n"/>
      <c r="U276" s="2319" t="n"/>
      <c r="V276" s="2319" t="n"/>
      <c r="W276" s="2319" t="n"/>
      <c r="X276" s="2319" t="n"/>
      <c r="Y276" s="2319" t="n"/>
      <c r="Z276" s="2319" t="n"/>
      <c r="AA276" s="2319" t="n"/>
      <c r="AB276" s="2319" t="n"/>
      <c r="AC276" s="2319" t="n"/>
      <c r="AD276" s="2319" t="n"/>
      <c r="AE276" s="2319" t="n"/>
      <c r="AF276" s="2319" t="n"/>
      <c r="AG276" s="2319" t="n"/>
      <c r="AH276" s="2319" t="n"/>
      <c r="AI276" s="2319" t="n"/>
      <c r="AJ276" s="2319" t="n"/>
      <c r="AK276" s="2290" t="n"/>
      <c r="AL276" s="2290" t="n"/>
      <c r="AM276" s="2290" t="n"/>
      <c r="AN276" s="4520" t="n"/>
      <c r="AO276" s="2158">
        <f>OR(AND(AH279,AO287&lt;&gt;""),AND(NOT(AH279),AO284&lt;&gt;""))</f>
        <v/>
      </c>
      <c r="AP276" s="4521" t="n"/>
      <c r="AQ276" s="658" t="n"/>
      <c r="AR276" s="664" t="n"/>
      <c r="AS276" s="658" t="n"/>
      <c r="AT276" s="658" t="n"/>
      <c r="AU276" s="658" t="n"/>
      <c r="AV276" s="658" t="n"/>
      <c r="AW276" s="658" t="n"/>
      <c r="AX276" s="658" t="n"/>
      <c r="AY276" s="658" t="n"/>
      <c r="AZ276" s="658" t="n"/>
      <c r="BA276" s="2293" t="n"/>
      <c r="BB276" s="2293" t="n"/>
    </row>
    <row r="277" ht="16.5" customFormat="1" customHeight="1" s="1115">
      <c r="A277" s="2290" t="n"/>
      <c r="B277" s="2319" t="n"/>
      <c r="C277" s="2319" t="n"/>
      <c r="D277" s="2319" t="n"/>
      <c r="E277" s="1118" t="inlineStr">
        <is>
          <t>If you complete lines 27 through 30 for this student, don’t complete line 31.</t>
        </is>
      </c>
      <c r="F277" s="2319" t="n"/>
      <c r="G277" s="2319" t="n"/>
      <c r="H277" s="2319" t="n"/>
      <c r="I277" s="2319" t="n"/>
      <c r="J277" s="2319" t="n"/>
      <c r="K277" s="2319" t="n"/>
      <c r="L277" s="2319" t="n"/>
      <c r="M277" s="2319" t="n"/>
      <c r="N277" s="2319" t="n"/>
      <c r="O277" s="2319" t="n"/>
      <c r="P277" s="2319" t="n"/>
      <c r="Q277" s="2319" t="n"/>
      <c r="R277" s="2319" t="n"/>
      <c r="S277" s="2319" t="n"/>
      <c r="T277" s="2319" t="n"/>
      <c r="U277" s="2319" t="n"/>
      <c r="V277" s="2319" t="n"/>
      <c r="W277" s="2319" t="n"/>
      <c r="X277" s="2319" t="n"/>
      <c r="Y277" s="2319" t="n"/>
      <c r="Z277" s="2319" t="n"/>
      <c r="AA277" s="2319" t="n"/>
      <c r="AB277" s="2319" t="n"/>
      <c r="AC277" s="2319" t="n"/>
      <c r="AD277" s="2319" t="n"/>
      <c r="AE277" s="2319" t="n"/>
      <c r="AF277" s="2319" t="n"/>
      <c r="AG277" s="2319" t="n"/>
      <c r="AH277" s="2319" t="n"/>
      <c r="AI277" s="2319" t="n"/>
      <c r="AJ277" s="2319" t="n"/>
      <c r="AK277" s="2290" t="n"/>
      <c r="AL277" s="2290" t="n"/>
      <c r="AM277" s="2290" t="n"/>
      <c r="AN277" s="4520" t="n"/>
      <c r="AO277" s="2158">
        <f>OR(AND(AH279,AO287&lt;&gt;""),AND(NOT(AH279),AO284&lt;&gt;""))</f>
        <v/>
      </c>
      <c r="AP277" s="4521" t="n"/>
      <c r="AQ277" s="658" t="n"/>
      <c r="AR277" s="664" t="n"/>
      <c r="AS277" s="658" t="n"/>
      <c r="AT277" s="658" t="n"/>
      <c r="AU277" s="658" t="n"/>
      <c r="AV277" s="658" t="n"/>
      <c r="AW277" s="658" t="n"/>
      <c r="AX277" s="658" t="n"/>
      <c r="AY277" s="658" t="n"/>
      <c r="AZ277" s="658" t="n"/>
      <c r="BA277" s="2293" t="n"/>
      <c r="BB277" s="2293" t="n"/>
    </row>
    <row r="278" ht="6" customFormat="1" customHeight="1" s="815">
      <c r="A278" s="2013" t="n"/>
      <c r="B278" s="4559" t="n"/>
      <c r="C278" s="4559" t="n"/>
      <c r="D278" s="4559" t="n"/>
      <c r="E278" s="4559" t="n"/>
      <c r="F278" s="4559" t="n"/>
      <c r="G278" s="4559" t="n"/>
      <c r="H278" s="4559" t="n"/>
      <c r="I278" s="4559" t="n"/>
      <c r="J278" s="4559" t="n"/>
      <c r="K278" s="4559" t="n"/>
      <c r="L278" s="4559" t="n"/>
      <c r="M278" s="4559" t="n"/>
      <c r="N278" s="4559" t="n"/>
      <c r="O278" s="4559" t="n"/>
      <c r="P278" s="4559" t="n"/>
      <c r="Q278" s="4559" t="n"/>
      <c r="R278" s="4559" t="n"/>
      <c r="S278" s="4559" t="n"/>
      <c r="T278" s="4559" t="n"/>
      <c r="U278" s="4559" t="n"/>
      <c r="V278" s="4559" t="n"/>
      <c r="W278" s="4559" t="n"/>
      <c r="X278" s="4559" t="n"/>
      <c r="Y278" s="4559" t="n"/>
      <c r="Z278" s="4559" t="n"/>
      <c r="AA278" s="4559" t="n"/>
      <c r="AB278" s="4559" t="n"/>
      <c r="AC278" s="4559" t="n"/>
      <c r="AD278" s="4559" t="n"/>
      <c r="AE278" s="4559" t="n"/>
      <c r="AF278" s="4559" t="n"/>
      <c r="AG278" s="4559" t="n"/>
      <c r="AH278" s="4559" t="n"/>
      <c r="AI278" s="4559" t="n"/>
      <c r="AJ278" s="4559" t="n"/>
      <c r="AK278" s="2013" t="n"/>
      <c r="AL278" s="2013" t="n"/>
      <c r="AM278" s="2013" t="n"/>
      <c r="AN278" s="11602" t="n"/>
      <c r="AO278" s="11602" t="n"/>
      <c r="AP278" s="11602" t="n"/>
      <c r="AQ278" s="658" t="n"/>
      <c r="AR278" s="658" t="n"/>
      <c r="AS278" s="658" t="n"/>
      <c r="AT278" s="658" t="n"/>
      <c r="AU278" s="658" t="n"/>
      <c r="AV278" s="658" t="n"/>
      <c r="AW278" s="658" t="n"/>
      <c r="AX278" s="658" t="n"/>
      <c r="AY278" s="658" t="n"/>
      <c r="AZ278" s="658" t="n"/>
    </row>
    <row r="279" ht="16.5" customFormat="1" customHeight="1" s="815" thickBot="1">
      <c r="A279" s="2013" t="n"/>
      <c r="B279" s="3844" t="n"/>
      <c r="C279" s="4560" t="inlineStr">
        <is>
          <t>American Opportunity Credit</t>
        </is>
      </c>
      <c r="D279" s="413" t="n"/>
      <c r="E279" s="413" t="n"/>
      <c r="F279" s="413" t="n"/>
      <c r="G279" s="413" t="n"/>
      <c r="H279" s="413" t="n"/>
      <c r="I279" s="413" t="n"/>
      <c r="J279" s="413" t="n"/>
      <c r="K279" s="413" t="n"/>
      <c r="L279" s="413" t="n"/>
      <c r="M279" s="413" t="n"/>
      <c r="N279" s="413" t="n"/>
      <c r="O279" s="413" t="n"/>
      <c r="P279" s="413" t="n"/>
      <c r="Q279" s="413" t="n"/>
      <c r="R279" s="413" t="n"/>
      <c r="S279" s="413" t="n"/>
      <c r="T279" s="413" t="n"/>
      <c r="U279" s="413" t="n"/>
      <c r="V279" s="413" t="n"/>
      <c r="W279" s="413" t="n"/>
      <c r="X279" s="413" t="n"/>
      <c r="Y279" s="413" t="n"/>
      <c r="Z279" s="413" t="n"/>
      <c r="AA279" s="413" t="n"/>
      <c r="AB279" s="11129">
        <f>AND(AE280&lt;&gt;"",AE280&gt;AO281)</f>
        <v/>
      </c>
      <c r="AC279" s="8412" t="n"/>
      <c r="AD279" s="413" t="n"/>
      <c r="AE279" s="413" t="n"/>
      <c r="AF279" s="413" t="n"/>
      <c r="AG279" s="413" t="n"/>
      <c r="AH279" s="11129">
        <f>AND(T261="",AC266="",T270="",T273="")</f>
        <v/>
      </c>
      <c r="AI279" s="8412" t="n"/>
      <c r="AJ279" s="8412" t="n"/>
      <c r="AK279" s="2013" t="n"/>
      <c r="AL279" s="2013" t="n"/>
      <c r="AM279" s="2013" t="n"/>
      <c r="AN279" s="11602" t="n"/>
      <c r="AO279" s="11602" t="n"/>
      <c r="AP279" s="11602" t="n"/>
      <c r="AQ279" s="658" t="n"/>
      <c r="AR279" s="658" t="n"/>
      <c r="AS279" s="658" t="n"/>
      <c r="AT279" s="658" t="n"/>
      <c r="AU279" s="658" t="n"/>
      <c r="AV279" s="658" t="n"/>
      <c r="AW279" s="658" t="n"/>
      <c r="AX279" s="658" t="n"/>
      <c r="AY279" s="658" t="n"/>
      <c r="AZ279" s="658" t="n"/>
    </row>
    <row r="280" ht="16.5" customFormat="1" customHeight="1" s="815" thickBot="1">
      <c r="A280" s="2013" t="n"/>
      <c r="B280" s="4555" t="n">
        <v>27</v>
      </c>
      <c r="C280" s="11602" t="n"/>
      <c r="D280" s="8650" t="inlineStr">
        <is>
          <t>Adjusted qualified education expenses (see instructions).</t>
        </is>
      </c>
      <c r="E280" s="8650" t="n"/>
      <c r="F280" s="11602" t="n"/>
      <c r="G280" s="11602" t="n"/>
      <c r="H280" s="11602" t="n"/>
      <c r="I280" s="11602" t="n"/>
      <c r="J280" s="11602" t="n"/>
      <c r="K280" s="11602" t="n"/>
      <c r="L280" s="11602" t="n"/>
      <c r="M280" s="11602" t="n"/>
      <c r="N280" s="11602" t="n"/>
      <c r="O280" s="11602" t="n"/>
      <c r="P280" s="11602" t="n"/>
      <c r="Q280" s="11602" t="n"/>
      <c r="R280" s="4561">
        <f>"Don't enter more than "&amp;TEXT(AO281,"$0,000")&amp;"."</f>
        <v/>
      </c>
      <c r="S280" s="11602" t="n"/>
      <c r="T280" s="11602" t="n"/>
      <c r="U280" s="11602" t="n"/>
      <c r="V280" s="11602" t="n"/>
      <c r="W280" s="11602" t="n"/>
      <c r="X280" s="11602" t="n"/>
      <c r="Y280" s="11602" t="n"/>
      <c r="Z280" s="4562" t="n"/>
      <c r="AA280" s="4562" t="n"/>
      <c r="AB280" s="9788" t="n"/>
      <c r="AC280" s="4563" t="n"/>
      <c r="AD280" s="2918" t="n">
        <v>27</v>
      </c>
      <c r="AE280" s="10786">
        <f>IF(AO280&lt;&gt;"",ROUND(AO280,0),IF(OR(NOT(AH279),AY274=""),"",MIN(AO281,AY274)))</f>
        <v/>
      </c>
      <c r="AF280" s="7637" t="n"/>
      <c r="AG280" s="7637" t="n"/>
      <c r="AH280" s="7637" t="n"/>
      <c r="AI280" s="7637" t="n"/>
      <c r="AJ280" s="7637" t="n"/>
      <c r="AK280" s="2013" t="n"/>
      <c r="AL280" s="2013" t="n"/>
      <c r="AM280" s="2013" t="n"/>
      <c r="AN280" s="11602" t="n"/>
      <c r="AO280" s="1113" t="n"/>
      <c r="AP280" s="11602" t="n"/>
      <c r="AQ280" s="658" t="n"/>
      <c r="AR280" s="658" t="n"/>
      <c r="AS280" s="658" t="n"/>
      <c r="AT280" s="658" t="n"/>
      <c r="AU280" s="658" t="n"/>
      <c r="AV280" s="658" t="n"/>
      <c r="AW280" s="658" t="n"/>
      <c r="AX280" s="658" t="n"/>
      <c r="AY280" s="658" t="n"/>
      <c r="AZ280" s="658" t="n"/>
    </row>
    <row r="281" ht="17.25" customFormat="1" customHeight="1" s="815">
      <c r="A281" s="2013" t="n"/>
      <c r="B281" s="3827" t="n">
        <v>28</v>
      </c>
      <c r="C281" s="11602" t="n"/>
      <c r="D281" s="8650">
        <f>"Subtract "&amp;TEXT(AO282,"$0,000")&amp;" from line 27. If zero or less, enter -0-"</f>
        <v/>
      </c>
      <c r="E281" s="11602" t="n"/>
      <c r="F281" s="11602" t="n"/>
      <c r="G281" s="11602" t="n"/>
      <c r="H281" s="11602" t="n"/>
      <c r="I281" s="11602" t="n"/>
      <c r="J281" s="11602" t="n"/>
      <c r="K281" s="11602" t="n"/>
      <c r="L281" s="11602" t="n"/>
      <c r="M281" s="11602" t="n"/>
      <c r="N281" s="11602" t="n"/>
      <c r="O281" s="11602" t="n"/>
      <c r="P281" s="11602" t="n"/>
      <c r="Q281" s="11602" t="n"/>
      <c r="R281" s="11602" t="n"/>
      <c r="S281" s="11602" t="n"/>
      <c r="T281" s="11602" t="n"/>
      <c r="U281" s="11602" t="n"/>
      <c r="V281" s="11602" t="n"/>
      <c r="W281" s="11602" t="n"/>
      <c r="X281" s="11602" t="n"/>
      <c r="Y281" s="11602" t="n"/>
      <c r="Z281" s="3830" t="n"/>
      <c r="AA281" s="3830" t="n"/>
      <c r="AB281" s="11602" t="n"/>
      <c r="AC281" s="1401" t="inlineStr">
        <is>
          <t xml:space="preserve">.   .   .   .    .   .   .   .   .   .   .   .   .   .   .   .   .   .   .   .   . </t>
        </is>
      </c>
      <c r="AD281" s="2918" t="n">
        <v>28</v>
      </c>
      <c r="AE281" s="10786">
        <f>IF(OR(NOT(AH279),AY274=""),"",MAX(0,SUM(AE280,-AO282)))</f>
        <v/>
      </c>
      <c r="AF281" s="7637" t="n"/>
      <c r="AG281" s="7637" t="n"/>
      <c r="AH281" s="7637" t="n"/>
      <c r="AI281" s="7637" t="n"/>
      <c r="AJ281" s="7637" t="n"/>
      <c r="AK281" s="2013" t="n"/>
      <c r="AL281" s="2013" t="n"/>
      <c r="AM281" s="2013" t="n"/>
      <c r="AN281" s="11602" t="n"/>
      <c r="AO281" s="512" t="n">
        <v>4000</v>
      </c>
      <c r="AP281" s="11602" t="n"/>
      <c r="AQ281" s="658" t="n"/>
      <c r="AR281" s="658" t="n"/>
      <c r="AS281" s="658" t="n"/>
      <c r="AT281" s="658" t="n"/>
      <c r="AU281" s="658" t="n"/>
      <c r="AV281" s="658" t="n"/>
      <c r="AW281" s="658" t="n"/>
      <c r="AX281" s="658" t="n"/>
      <c r="AY281" s="658" t="n"/>
      <c r="AZ281" s="658" t="n"/>
    </row>
    <row r="282" ht="17.25" customFormat="1" customHeight="1" s="815">
      <c r="A282" s="2013" t="n"/>
      <c r="B282" s="3827" t="n">
        <v>29</v>
      </c>
      <c r="C282" s="11602" t="n"/>
      <c r="D282" s="8650">
        <f>"Multiply line 28 by "&amp;TEXT(AB283,"0%")&amp;" ("&amp;TEXT(AB283,"0.00")&amp;")"</f>
        <v/>
      </c>
      <c r="E282" s="8650" t="n"/>
      <c r="F282" s="8650" t="n"/>
      <c r="G282" s="11602" t="n"/>
      <c r="H282" s="11602" t="n"/>
      <c r="I282" s="11602" t="n"/>
      <c r="J282" s="11602" t="n"/>
      <c r="K282" s="11602" t="n"/>
      <c r="L282" s="7886" t="n"/>
      <c r="M282" s="7886" t="n"/>
      <c r="N282" s="7886" t="n"/>
      <c r="O282" s="7886" t="n"/>
      <c r="P282" s="7886" t="n"/>
      <c r="Q282" s="7886" t="n"/>
      <c r="R282" s="7886" t="n"/>
      <c r="S282" s="7886" t="n"/>
      <c r="T282" s="7886" t="n"/>
      <c r="U282" s="7886" t="n"/>
      <c r="V282" s="7886" t="n"/>
      <c r="W282" s="7886" t="n"/>
      <c r="X282" s="7886" t="n"/>
      <c r="Y282" s="7886" t="n"/>
      <c r="Z282" s="7886" t="n"/>
      <c r="AA282" s="7886" t="n"/>
      <c r="AB282" s="7886" t="n"/>
      <c r="AC282" s="1401" t="inlineStr">
        <is>
          <t xml:space="preserve">.   .   .   .   .    .   .   .   .   .   .   .   .    .   .   .   .   .   .   .   .   .   .   .   .   .   .   .   .   . </t>
        </is>
      </c>
      <c r="AD282" s="2918" t="n">
        <v>29</v>
      </c>
      <c r="AE282" s="10786">
        <f>IF(OR(NOT(AH279),AY274=""),"",ROUND(AE281*AB283,0))</f>
        <v/>
      </c>
      <c r="AF282" s="7637" t="n"/>
      <c r="AG282" s="7637" t="n"/>
      <c r="AH282" s="7637" t="n"/>
      <c r="AI282" s="7637" t="n"/>
      <c r="AJ282" s="7637" t="n"/>
      <c r="AK282" s="2013" t="n"/>
      <c r="AL282" s="2013" t="n"/>
      <c r="AM282" s="2013" t="n"/>
      <c r="AN282" s="11602" t="n"/>
      <c r="AO282" s="512" t="n">
        <v>2000</v>
      </c>
      <c r="AP282" s="11602" t="n"/>
      <c r="AQ282" s="658" t="n"/>
      <c r="AR282" s="658" t="n"/>
      <c r="AS282" s="658" t="n"/>
      <c r="AT282" s="658" t="n"/>
      <c r="AU282" s="658" t="n"/>
      <c r="AV282" s="658" t="n"/>
      <c r="AW282" s="658" t="n"/>
      <c r="AX282" s="658" t="n"/>
      <c r="AY282" s="658" t="n"/>
      <c r="AZ282" s="658" t="n"/>
    </row>
    <row r="283" ht="15.75" customFormat="1" customHeight="1" s="815" thickBot="1">
      <c r="A283" s="2013" t="n"/>
      <c r="B283" s="3827" t="n">
        <v>30</v>
      </c>
      <c r="C283" s="11602" t="n"/>
      <c r="D283" s="8650" t="inlineStr">
        <is>
          <t>If line 28 is zero, enter the amount from line 27. Otherwise, add $2,000 to the amount on line 29 and</t>
        </is>
      </c>
      <c r="E283" s="8650" t="n"/>
      <c r="F283" s="8650" t="n"/>
      <c r="G283" s="11602" t="n"/>
      <c r="H283" s="11602" t="n"/>
      <c r="I283" s="11602" t="n"/>
      <c r="J283" s="11602" t="n"/>
      <c r="K283" s="11602" t="n"/>
      <c r="L283" s="11602" t="n"/>
      <c r="M283" s="11602" t="n"/>
      <c r="N283" s="11602" t="n"/>
      <c r="O283" s="11602" t="n"/>
      <c r="P283" s="11602" t="n"/>
      <c r="Q283" s="11602" t="n"/>
      <c r="R283" s="11602" t="n"/>
      <c r="S283" s="11602" t="n"/>
      <c r="T283" s="11602" t="n"/>
      <c r="U283" s="11602" t="n"/>
      <c r="V283" s="11602" t="n"/>
      <c r="W283" s="11602" t="n"/>
      <c r="X283" s="11602" t="n"/>
      <c r="Y283" s="11602" t="n"/>
      <c r="Z283" s="11602" t="n"/>
      <c r="AA283" s="11602" t="n"/>
      <c r="AB283" s="10789" t="n">
        <v>0.25</v>
      </c>
      <c r="AC283" s="7636" t="n"/>
      <c r="AD283" s="2890" t="n"/>
      <c r="AE283" s="11602" t="n"/>
      <c r="AF283" s="11602" t="n"/>
      <c r="AG283" s="11602" t="n"/>
      <c r="AH283" s="11602" t="n"/>
      <c r="AI283" s="11602" t="n"/>
      <c r="AJ283" s="11602" t="n"/>
      <c r="AK283" s="2013" t="n"/>
      <c r="AL283" s="2013" t="n"/>
      <c r="AM283" s="2013" t="n"/>
      <c r="AN283" s="11602" t="n"/>
      <c r="AO283" s="11602" t="n"/>
      <c r="AP283" s="11602" t="n"/>
      <c r="AQ283" s="658" t="n"/>
      <c r="AR283" s="658" t="n"/>
      <c r="AS283" s="658" t="n"/>
      <c r="AT283" s="658" t="n"/>
      <c r="AU283" s="658" t="n"/>
      <c r="AV283" s="658" t="n"/>
      <c r="AW283" s="658" t="n"/>
      <c r="AX283" s="658" t="n"/>
      <c r="AY283" s="658" t="n"/>
      <c r="AZ283" s="658" t="n"/>
    </row>
    <row r="284" ht="15.75" customFormat="1" customHeight="1" s="815" thickBot="1">
      <c r="A284" s="2013" t="n"/>
      <c r="B284" s="11602" t="n"/>
      <c r="C284" s="11602" t="n"/>
      <c r="D284" s="8650" t="inlineStr">
        <is>
          <t>enter the result. Skip line 31. Include the total of all amounts from all Parts III, line 30, on Part I, line 1</t>
        </is>
      </c>
      <c r="E284" s="8650" t="n"/>
      <c r="F284" s="8650" t="n"/>
      <c r="G284" s="11602" t="n"/>
      <c r="H284" s="11602" t="n"/>
      <c r="I284" s="11602" t="n"/>
      <c r="J284" s="11602" t="n"/>
      <c r="K284" s="11602" t="n"/>
      <c r="L284" s="11602" t="n"/>
      <c r="M284" s="11602" t="n"/>
      <c r="N284" s="11602" t="n"/>
      <c r="O284" s="11602" t="n"/>
      <c r="P284" s="11602" t="n"/>
      <c r="Q284" s="11602" t="n"/>
      <c r="R284" s="11602" t="n"/>
      <c r="S284" s="11602" t="n"/>
      <c r="T284" s="11602" t="n"/>
      <c r="U284" s="11602" t="n"/>
      <c r="V284" s="11602" t="n"/>
      <c r="W284" s="11602" t="n"/>
      <c r="X284" s="11602" t="n"/>
      <c r="Y284" s="11602" t="n"/>
      <c r="Z284" s="11602" t="n"/>
      <c r="AA284" s="11602" t="n"/>
      <c r="AB284" s="11602" t="n"/>
      <c r="AC284" s="1401" t="inlineStr">
        <is>
          <t xml:space="preserve">.   . </t>
        </is>
      </c>
      <c r="AD284" s="2922" t="n">
        <v>30</v>
      </c>
      <c r="AE284" s="11134">
        <f>IF(AO284&lt;&gt;"",ROUND(AO284,0),IF(OR(NOT(AH279),AE280=0,AE280="",AY274=""),"",IF(OR(AE281=0,AE281=""),AE280,SUM(AE282,AO282))))</f>
        <v/>
      </c>
      <c r="AK284" s="2013" t="n"/>
      <c r="AL284" s="2013" t="n"/>
      <c r="AM284" s="2013" t="n"/>
      <c r="AN284" s="11602" t="n"/>
      <c r="AO284" s="1113" t="n"/>
      <c r="AP284" s="11602" t="n"/>
      <c r="AQ284" s="658" t="n"/>
      <c r="AR284" s="658" t="n"/>
      <c r="AS284" s="658" t="n"/>
      <c r="AT284" s="658" t="n"/>
      <c r="AU284" s="658" t="n"/>
      <c r="AV284" s="658" t="n"/>
      <c r="AW284" s="658" t="n"/>
      <c r="AX284" s="658" t="n"/>
      <c r="AY284" s="658" t="n"/>
      <c r="AZ284" s="658" t="n"/>
    </row>
    <row r="285" ht="16.5" customFormat="1" customHeight="1" s="815">
      <c r="A285" s="2013" t="n"/>
      <c r="B285" s="3844" t="n"/>
      <c r="C285" s="4560" t="inlineStr">
        <is>
          <t>Lifetime Learning Credit</t>
        </is>
      </c>
      <c r="D285" s="773" t="n"/>
      <c r="E285" s="773" t="n"/>
      <c r="F285" s="773" t="n"/>
      <c r="G285" s="773" t="n"/>
      <c r="H285" s="773" t="n"/>
      <c r="I285" s="773" t="n"/>
      <c r="J285" s="773" t="n"/>
      <c r="K285" s="773" t="n"/>
      <c r="L285" s="773" t="n"/>
      <c r="M285" s="773" t="n"/>
      <c r="N285" s="773" t="n"/>
      <c r="O285" s="773" t="n"/>
      <c r="P285" s="773" t="n"/>
      <c r="Q285" s="773" t="n"/>
      <c r="R285" s="773" t="n"/>
      <c r="S285" s="773" t="n"/>
      <c r="T285" s="773" t="n"/>
      <c r="U285" s="773" t="n"/>
      <c r="V285" s="773" t="n"/>
      <c r="W285" s="773" t="n"/>
      <c r="X285" s="773" t="n"/>
      <c r="Y285" s="773" t="n"/>
      <c r="Z285" s="773" t="n"/>
      <c r="AA285" s="773" t="n"/>
      <c r="AB285" s="773" t="n"/>
      <c r="AC285" s="773" t="n"/>
      <c r="AD285" s="773" t="n"/>
      <c r="AE285" s="773" t="n"/>
      <c r="AF285" s="773" t="n"/>
      <c r="AG285" s="773" t="n"/>
      <c r="AH285" s="773" t="n"/>
      <c r="AI285" s="773" t="n"/>
      <c r="AJ285" s="773" t="n"/>
      <c r="AK285" s="2013" t="n"/>
      <c r="AL285" s="2013" t="n"/>
      <c r="AM285" s="2013" t="n"/>
      <c r="AN285" s="11602" t="n"/>
      <c r="AO285" s="11602" t="n"/>
      <c r="AP285" s="11602" t="n"/>
      <c r="AQ285" s="658" t="n"/>
      <c r="AR285" s="658" t="n"/>
      <c r="AS285" s="658" t="n"/>
      <c r="AT285" s="658" t="n"/>
      <c r="AU285" s="658" t="n"/>
      <c r="AV285" s="658" t="n"/>
      <c r="AW285" s="658" t="n"/>
      <c r="AX285" s="658" t="n"/>
      <c r="AY285" s="658" t="n"/>
      <c r="AZ285" s="658" t="n"/>
    </row>
    <row r="286" ht="15.75" customFormat="1" customHeight="1" s="815" thickBot="1">
      <c r="A286" s="2013" t="n"/>
      <c r="B286" s="3827" t="n">
        <v>31</v>
      </c>
      <c r="C286" s="11602" t="n"/>
      <c r="D286" s="8650" t="inlineStr">
        <is>
          <t>Adjusted qualified education expenses (see instructions). Include the total of all amounts from all</t>
        </is>
      </c>
      <c r="E286" s="8650" t="n"/>
      <c r="F286" s="8650" t="n"/>
      <c r="G286" s="11602" t="n"/>
      <c r="H286" s="11602" t="n"/>
      <c r="I286" s="11602" t="n"/>
      <c r="J286" s="11602" t="n"/>
      <c r="K286" s="11602" t="n"/>
      <c r="L286" s="11602" t="n"/>
      <c r="M286" s="11602" t="n"/>
      <c r="N286" s="11602" t="n"/>
      <c r="O286" s="11602" t="n"/>
      <c r="P286" s="11602" t="n"/>
      <c r="Q286" s="11602" t="n"/>
      <c r="R286" s="11602" t="n"/>
      <c r="S286" s="11602" t="n"/>
      <c r="T286" s="11602" t="n"/>
      <c r="U286" s="11602" t="n"/>
      <c r="V286" s="11602" t="n"/>
      <c r="W286" s="11602" t="n"/>
      <c r="X286" s="11602" t="n"/>
      <c r="Y286" s="11602" t="n"/>
      <c r="Z286" s="11602" t="n"/>
      <c r="AA286" s="11602" t="n"/>
      <c r="AB286" s="11602" t="n"/>
      <c r="AC286" s="11602" t="n"/>
      <c r="AD286" s="2890" t="n"/>
      <c r="AE286" s="11602" t="n"/>
      <c r="AF286" s="11602" t="n"/>
      <c r="AG286" s="11602" t="n"/>
      <c r="AH286" s="11602" t="n"/>
      <c r="AI286" s="11602" t="n"/>
      <c r="AJ286" s="11602" t="n"/>
      <c r="AK286" s="2013" t="n"/>
      <c r="AL286" s="2013" t="n"/>
      <c r="AM286" s="2013" t="n"/>
      <c r="AN286" s="11602" t="n"/>
      <c r="AO286" s="11602" t="n"/>
      <c r="AP286" s="11602" t="n"/>
      <c r="AQ286" s="658" t="n"/>
      <c r="AR286" s="658" t="n"/>
      <c r="AS286" s="658" t="n"/>
      <c r="AT286" s="658" t="n"/>
      <c r="AU286" s="658" t="n"/>
      <c r="AV286" s="658" t="n"/>
      <c r="AW286" s="658" t="n"/>
      <c r="AX286" s="658" t="n"/>
      <c r="AY286" s="658" t="n"/>
      <c r="AZ286" s="658" t="n"/>
    </row>
    <row r="287" ht="15.75" customFormat="1" customHeight="1" s="815" thickBot="1">
      <c r="A287" s="2013" t="n"/>
      <c r="B287" s="380" t="n"/>
      <c r="C287" s="380" t="n"/>
      <c r="D287" s="2015" t="inlineStr">
        <is>
          <t>Parts III, line 31, on Part II, line 10</t>
        </is>
      </c>
      <c r="E287" s="2015" t="n"/>
      <c r="F287" s="2015" t="n"/>
      <c r="G287" s="380" t="n"/>
      <c r="H287" s="380" t="n"/>
      <c r="I287" s="380" t="n"/>
      <c r="J287" s="380" t="n"/>
      <c r="K287" s="380" t="n"/>
      <c r="L287" s="380" t="n"/>
      <c r="M287" s="380" t="n"/>
      <c r="N287" s="380" t="n"/>
      <c r="O287" s="380" t="n"/>
      <c r="P287" s="380" t="n"/>
      <c r="Q287" s="380" t="n"/>
      <c r="R287" s="380" t="n"/>
      <c r="S287" s="380" t="n"/>
      <c r="T287" s="380" t="n"/>
      <c r="U287" s="380" t="n"/>
      <c r="V287" s="380" t="n"/>
      <c r="W287" s="380" t="n"/>
      <c r="X287" s="380" t="n"/>
      <c r="Y287" s="380" t="n"/>
      <c r="Z287" s="380" t="n"/>
      <c r="AA287" s="380" t="n"/>
      <c r="AB287" s="380" t="n"/>
      <c r="AC287" s="10736" t="inlineStr">
        <is>
          <t xml:space="preserve">.   .   .   .   .    .   .   .   .   .   .   .   .    .   .   .   .   .   .   .   .   .   .   .   .   .   .   .   .   . </t>
        </is>
      </c>
      <c r="AD287" s="2919" t="n">
        <v>31</v>
      </c>
      <c r="AE287" s="10767">
        <f>IF(AO287&lt;&gt;"",ROUND(AO287,0),IF(OR(AH279,AY274=""),"",AY274))</f>
        <v/>
      </c>
      <c r="AF287" s="8848" t="n"/>
      <c r="AG287" s="8848" t="n"/>
      <c r="AH287" s="8848" t="n"/>
      <c r="AI287" s="8848" t="n"/>
      <c r="AJ287" s="8848" t="n"/>
      <c r="AK287" s="2013" t="n"/>
      <c r="AL287" s="2013" t="n"/>
      <c r="AM287" s="2013" t="n"/>
      <c r="AN287" s="11602" t="n"/>
      <c r="AO287" s="1113" t="n"/>
      <c r="AP287" s="11602" t="n"/>
      <c r="AQ287" s="658" t="n"/>
      <c r="AR287" s="658" t="n"/>
      <c r="AS287" s="658" t="n"/>
      <c r="AT287" s="658" t="n"/>
      <c r="AU287" s="658" t="n"/>
      <c r="AV287" s="658" t="n"/>
      <c r="AW287" s="658" t="n"/>
      <c r="AX287" s="658" t="n"/>
      <c r="AY287" s="658" t="n"/>
      <c r="AZ287" s="658" t="n"/>
    </row>
    <row r="288" ht="15.75" customFormat="1" customHeight="1" s="815">
      <c r="A288" s="2013" t="n"/>
      <c r="B288" s="2447" t="n"/>
      <c r="C288" s="11403" t="n"/>
      <c r="D288" s="11403" t="n"/>
      <c r="E288" s="11403" t="n"/>
      <c r="F288" s="11403" t="n"/>
      <c r="G288" s="11403" t="n"/>
      <c r="H288" s="11403" t="n"/>
      <c r="I288" s="11403" t="n"/>
      <c r="J288" s="11403" t="n"/>
      <c r="K288" s="11403" t="n"/>
      <c r="L288" s="11403" t="n"/>
      <c r="M288" s="11403" t="n"/>
      <c r="N288" s="11403" t="n"/>
      <c r="O288" s="11403" t="n"/>
      <c r="P288" s="11403" t="n"/>
      <c r="Q288" s="88" t="n"/>
      <c r="R288" s="88" t="n"/>
      <c r="S288" s="88" t="n"/>
      <c r="T288" s="88" t="n"/>
      <c r="U288" s="3931" t="n"/>
      <c r="V288" s="88" t="n"/>
      <c r="W288" s="3931" t="n"/>
      <c r="X288" s="88" t="n"/>
      <c r="Y288" s="88" t="n"/>
      <c r="Z288" s="88" t="n"/>
      <c r="AA288" s="88" t="n"/>
      <c r="AB288" s="88" t="n"/>
      <c r="AC288" s="88" t="n"/>
      <c r="AD288" s="88" t="n"/>
      <c r="AE288" s="88" t="n"/>
      <c r="AF288" s="88" t="n"/>
      <c r="AG288" s="88" t="n"/>
      <c r="AH288" s="2052" t="inlineStr">
        <is>
          <t>Form 8863</t>
        </is>
      </c>
      <c r="AI288" s="88" t="n"/>
      <c r="AJ288" s="2052">
        <f>"("&amp;TaxYear&amp;")"</f>
        <v/>
      </c>
      <c r="AK288" s="2013" t="n"/>
      <c r="AL288" s="2013" t="n"/>
      <c r="AM288" s="2013" t="n"/>
      <c r="AN288" s="6996" t="n"/>
      <c r="AO288" s="6996" t="n"/>
      <c r="AP288" s="11602" t="n"/>
      <c r="AQ288" s="658" t="n"/>
      <c r="AR288" s="658" t="n"/>
      <c r="AS288" s="658" t="n"/>
      <c r="AT288" s="658" t="n"/>
      <c r="AU288" s="658" t="n"/>
      <c r="AV288" s="658" t="n"/>
      <c r="AW288" s="658" t="n"/>
      <c r="AX288" s="658" t="n"/>
      <c r="AY288" s="658" t="n"/>
      <c r="AZ288" s="658" t="n"/>
    </row>
    <row r="289">
      <c r="A289" s="6996" t="n"/>
      <c r="B289" s="6996" t="n"/>
      <c r="C289" s="6996" t="n"/>
      <c r="D289" s="6996" t="n"/>
      <c r="E289" s="6996" t="n"/>
      <c r="F289" s="6996" t="n"/>
      <c r="G289" s="6996" t="n"/>
      <c r="H289" s="6996" t="n"/>
      <c r="I289" s="6996" t="n"/>
      <c r="J289" s="6996" t="n"/>
      <c r="K289" s="6996" t="n"/>
      <c r="L289" s="6996" t="n"/>
      <c r="M289" s="6996" t="n"/>
      <c r="N289" s="6996" t="n"/>
      <c r="O289" s="6996" t="n"/>
      <c r="P289" s="6996" t="n"/>
      <c r="Q289" s="6996" t="n"/>
      <c r="R289" s="6996" t="n"/>
      <c r="S289" s="6996" t="n"/>
      <c r="T289" s="6996" t="n"/>
      <c r="U289" s="6996" t="n"/>
      <c r="V289" s="6996" t="n"/>
      <c r="W289" s="6996" t="n"/>
      <c r="X289" s="6996" t="n"/>
      <c r="Y289" s="6996" t="n"/>
      <c r="Z289" s="6996" t="n"/>
      <c r="AA289" s="6996" t="n"/>
      <c r="AB289" s="6996" t="n"/>
      <c r="AC289" s="6996" t="n"/>
      <c r="AD289" s="6996" t="n"/>
      <c r="AE289" s="6996" t="n"/>
      <c r="AF289" s="6996" t="n"/>
      <c r="AG289" s="6996" t="n"/>
      <c r="AH289" s="6996" t="n"/>
      <c r="AI289" s="6996" t="n"/>
      <c r="AJ289" s="6996" t="n"/>
      <c r="AK289" s="6996" t="n"/>
      <c r="AL289" s="6996" t="n"/>
      <c r="AM289" s="6996" t="n"/>
      <c r="AN289" s="6996" t="n"/>
      <c r="AO289" s="6996" t="n"/>
      <c r="AP289" s="11602" t="n"/>
    </row>
  </sheetData>
  <sheetProtection selectLockedCells="0" selectUnlockedCells="0" algorithmName="SHA-512" sheet="1" objects="1" insertRows="1" insertHyperlinks="1" autoFilter="1" scenarios="1" formatColumns="1" deleteColumns="1" insertColumns="1" pivotTables="1" deleteRows="1" formatCells="1" saltValue="JVAoTYP5V6HeSL2KzBQ7ww==" formatRows="1" sort="1" spinCount="100000" hashValue="fJ0nE3DgyPlxMmsY9AGX3jI4kJK30fGGHpuF9F5eh4oKfMUOJBw8IMQR8QCE/owcOM272/0o6kFIDc8C6w2BUg=="/>
  <mergeCells count="153">
    <mergeCell ref="T248:AJ248"/>
    <mergeCell ref="AN9:AN12"/>
    <mergeCell ref="V81:AJ83"/>
    <mergeCell ref="AE287:AJ287"/>
    <mergeCell ref="AC174:AJ174"/>
    <mergeCell ref="D2:G3"/>
    <mergeCell ref="AE39:AJ39"/>
    <mergeCell ref="X24:AC24"/>
    <mergeCell ref="B12:C12"/>
    <mergeCell ref="AE107:AJ107"/>
    <mergeCell ref="U67:AJ67"/>
    <mergeCell ref="AE224:AJ224"/>
    <mergeCell ref="AB109:AC109"/>
    <mergeCell ref="V75:AE77"/>
    <mergeCell ref="X41:AC41"/>
    <mergeCell ref="AC58:AJ58"/>
    <mergeCell ref="AE30:AJ30"/>
    <mergeCell ref="AD5:AG5"/>
    <mergeCell ref="AE108:AJ108"/>
    <mergeCell ref="T74:AJ74"/>
    <mergeCell ref="AE15:AJ15"/>
    <mergeCell ref="U183:AJ183"/>
    <mergeCell ref="E255:S257"/>
    <mergeCell ref="AH12:AJ12"/>
    <mergeCell ref="AE171:AJ171"/>
    <mergeCell ref="AD6:AG6"/>
    <mergeCell ref="AN38:AN41"/>
    <mergeCell ref="AN103:AP105"/>
    <mergeCell ref="B64:C64"/>
    <mergeCell ref="I5:AB5"/>
    <mergeCell ref="AE32:AJ32"/>
    <mergeCell ref="AE41:AJ41"/>
    <mergeCell ref="V249:AE251"/>
    <mergeCell ref="V136:AE138"/>
    <mergeCell ref="V78:AE80"/>
    <mergeCell ref="AE164:AJ164"/>
    <mergeCell ref="D240:S241"/>
    <mergeCell ref="B3:C3"/>
    <mergeCell ref="AE33:AJ33"/>
    <mergeCell ref="B117:AB117"/>
    <mergeCell ref="I6:AB6"/>
    <mergeCell ref="AE165:AJ165"/>
    <mergeCell ref="E191:N193"/>
    <mergeCell ref="B238:C238"/>
    <mergeCell ref="AB163:AC163"/>
    <mergeCell ref="B180:C180"/>
    <mergeCell ref="X15:AC15"/>
    <mergeCell ref="V133:AE135"/>
    <mergeCell ref="D128:S128"/>
    <mergeCell ref="D186:S186"/>
    <mergeCell ref="AE281:AJ281"/>
    <mergeCell ref="AE168:AJ168"/>
    <mergeCell ref="AC117:AJ117"/>
    <mergeCell ref="AE55:AJ55"/>
    <mergeCell ref="T128:AJ128"/>
    <mergeCell ref="AH5:AI6"/>
    <mergeCell ref="AE280:AJ280"/>
    <mergeCell ref="I2:AB3"/>
    <mergeCell ref="V139:AJ141"/>
    <mergeCell ref="AC3:AJ4"/>
    <mergeCell ref="AC232:AJ232"/>
    <mergeCell ref="AC59:AJ59"/>
    <mergeCell ref="AB283:AC283"/>
    <mergeCell ref="AE31:AJ31"/>
    <mergeCell ref="AE282:AJ282"/>
    <mergeCell ref="D244:S244"/>
    <mergeCell ref="U125:AJ125"/>
    <mergeCell ref="AE21:AJ21"/>
    <mergeCell ref="Z40:AA40"/>
    <mergeCell ref="AB167:AC167"/>
    <mergeCell ref="V191:AE193"/>
    <mergeCell ref="X19:AC19"/>
    <mergeCell ref="AC233:AJ233"/>
    <mergeCell ref="D124:S125"/>
    <mergeCell ref="AE23:AJ23"/>
    <mergeCell ref="T244:AJ244"/>
    <mergeCell ref="B122:C122"/>
    <mergeCell ref="AB40:AC40"/>
    <mergeCell ref="X20:AC20"/>
    <mergeCell ref="E75:N77"/>
    <mergeCell ref="X45:AC45"/>
    <mergeCell ref="AE226:AJ226"/>
    <mergeCell ref="V252:AE254"/>
    <mergeCell ref="AE229:AJ229"/>
    <mergeCell ref="AC116:AJ116"/>
    <mergeCell ref="V194:AE196"/>
    <mergeCell ref="AE284:AJ284"/>
    <mergeCell ref="AE166:AJ166"/>
    <mergeCell ref="AE222:AJ222"/>
    <mergeCell ref="D190:S190"/>
    <mergeCell ref="X46:AC46"/>
    <mergeCell ref="B34:C34"/>
    <mergeCell ref="AE27:AJ27"/>
    <mergeCell ref="AE36:AJ36"/>
    <mergeCell ref="V255:AJ257"/>
    <mergeCell ref="D248:S248"/>
    <mergeCell ref="AE51:AJ51"/>
    <mergeCell ref="E194:N196"/>
    <mergeCell ref="AH163:AJ163"/>
    <mergeCell ref="AE20:AJ20"/>
    <mergeCell ref="X48:AC48"/>
    <mergeCell ref="AO37:AO39"/>
    <mergeCell ref="AE113:AJ113"/>
    <mergeCell ref="E252:N254"/>
    <mergeCell ref="T70:AJ70"/>
    <mergeCell ref="B233:AB233"/>
    <mergeCell ref="E249:N251"/>
    <mergeCell ref="AE35:AJ35"/>
    <mergeCell ref="AE106:AJ106"/>
    <mergeCell ref="AB221:AC221"/>
    <mergeCell ref="B8:X9"/>
    <mergeCell ref="AE223:AJ223"/>
    <mergeCell ref="AB279:AC279"/>
    <mergeCell ref="AC2:AJ2"/>
    <mergeCell ref="X16:AC16"/>
    <mergeCell ref="AH221:AJ221"/>
    <mergeCell ref="T186:AJ186"/>
    <mergeCell ref="AE14:AJ14"/>
    <mergeCell ref="AQ52:AV52"/>
    <mergeCell ref="D74:S74"/>
    <mergeCell ref="Y8:AJ9"/>
    <mergeCell ref="AH279:AJ279"/>
    <mergeCell ref="AE38:AJ38"/>
    <mergeCell ref="B175:AB175"/>
    <mergeCell ref="D132:S132"/>
    <mergeCell ref="AE53:AJ53"/>
    <mergeCell ref="AC175:AJ175"/>
    <mergeCell ref="D66:S67"/>
    <mergeCell ref="E136:N138"/>
    <mergeCell ref="AE40:AJ40"/>
    <mergeCell ref="V197:AJ199"/>
    <mergeCell ref="AE37:AJ37"/>
    <mergeCell ref="AE24:AJ24"/>
    <mergeCell ref="AB105:AC105"/>
    <mergeCell ref="AO8:AO10"/>
    <mergeCell ref="T132:AJ132"/>
    <mergeCell ref="X44:AC44"/>
    <mergeCell ref="U241:AJ241"/>
    <mergeCell ref="E197:S199"/>
    <mergeCell ref="AB225:AC225"/>
    <mergeCell ref="AH105:AJ105"/>
    <mergeCell ref="X21:AC21"/>
    <mergeCell ref="E81:S83"/>
    <mergeCell ref="AE16:AJ16"/>
    <mergeCell ref="E139:S141"/>
    <mergeCell ref="D182:S183"/>
    <mergeCell ref="D70:S70"/>
    <mergeCell ref="AQ45:AY45"/>
    <mergeCell ref="E78:N80"/>
    <mergeCell ref="T190:AJ190"/>
    <mergeCell ref="B59:AB59"/>
    <mergeCell ref="AE110:AJ110"/>
    <mergeCell ref="E133:N135"/>
  </mergeCells>
  <conditionalFormatting sqref="B60">
    <cfRule type="expression" priority="548" dxfId="14">
      <formula>IF(AND(File_Marr_Sep&lt;&gt;"",$AI$10=""),1,0)</formula>
    </cfRule>
  </conditionalFormatting>
  <conditionalFormatting sqref="B101">
    <cfRule type="expression" priority="526" dxfId="14">
      <formula>IF(AND(File_Marr_Sep&lt;&gt;"",$AI$10=""),1,0)</formula>
    </cfRule>
  </conditionalFormatting>
  <conditionalFormatting sqref="B118">
    <cfRule type="expression" priority="12" dxfId="14">
      <formula>IF(AND(File_Marr_Sep&lt;&gt;"",$AI$10=""),1,0)</formula>
    </cfRule>
  </conditionalFormatting>
  <conditionalFormatting sqref="B159">
    <cfRule type="expression" priority="418" dxfId="14">
      <formula>IF(AND(File_Marr_Sep&lt;&gt;"",$AI$10=""),1,0)</formula>
    </cfRule>
  </conditionalFormatting>
  <conditionalFormatting sqref="B176">
    <cfRule type="expression" priority="8" dxfId="14">
      <formula>IF(AND(File_Marr_Sep&lt;&gt;"",$AI$10=""),1,0)</formula>
    </cfRule>
  </conditionalFormatting>
  <conditionalFormatting sqref="B217">
    <cfRule type="expression" priority="339" dxfId="14">
      <formula>IF(AND(File_Marr_Sep&lt;&gt;"",$AI$10=""),1,0)</formula>
    </cfRule>
  </conditionalFormatting>
  <conditionalFormatting sqref="B234">
    <cfRule type="expression" priority="4" dxfId="14">
      <formula>IF(AND(File_Marr_Sep&lt;&gt;"",$AI$10=""),1,0)</formula>
    </cfRule>
  </conditionalFormatting>
  <conditionalFormatting sqref="B275">
    <cfRule type="expression" priority="260" dxfId="14">
      <formula>IF(AND(File_Marr_Sep&lt;&gt;"",$AI$10=""),1,0)</formula>
    </cfRule>
  </conditionalFormatting>
  <conditionalFormatting sqref="B160:D161 B162:AJ162 B218:D219 B220:AJ220 B276:D277 B278:AJ278">
    <cfRule type="expression" priority="486" dxfId="14">
      <formula>$AO$102</formula>
    </cfRule>
  </conditionalFormatting>
  <conditionalFormatting sqref="B8:K8">
    <cfRule type="expression" priority="707" dxfId="6">
      <formula>IF(NoColor,1,0)</formula>
    </cfRule>
  </conditionalFormatting>
  <conditionalFormatting sqref="B59:AJ59 D74">
    <cfRule type="expression" priority="549" dxfId="6">
      <formula>NoColor</formula>
    </cfRule>
  </conditionalFormatting>
  <conditionalFormatting sqref="B101:AJ104">
    <cfRule type="expression" priority="438" dxfId="14">
      <formula>$AO$102</formula>
    </cfRule>
  </conditionalFormatting>
  <conditionalFormatting sqref="B117:AJ117">
    <cfRule type="expression" priority="431" dxfId="6">
      <formula>NoColor</formula>
    </cfRule>
  </conditionalFormatting>
  <conditionalFormatting sqref="B159:AJ159">
    <cfRule type="expression" priority="405" dxfId="14">
      <formula>$AO$102</formula>
    </cfRule>
  </conditionalFormatting>
  <conditionalFormatting sqref="B175:AJ175">
    <cfRule type="expression" priority="352" dxfId="6">
      <formula>NoColor</formula>
    </cfRule>
  </conditionalFormatting>
  <conditionalFormatting sqref="B217:AJ217">
    <cfRule type="expression" priority="326" dxfId="14">
      <formula>$AO$102</formula>
    </cfRule>
  </conditionalFormatting>
  <conditionalFormatting sqref="B233:AJ233">
    <cfRule type="expression" priority="273" dxfId="6">
      <formula>NoColor</formula>
    </cfRule>
  </conditionalFormatting>
  <conditionalFormatting sqref="B275:AJ275">
    <cfRule type="expression" priority="247" dxfId="14">
      <formula>$AO$102</formula>
    </cfRule>
  </conditionalFormatting>
  <conditionalFormatting sqref="D21">
    <cfRule type="expression" priority="505" dxfId="14">
      <formula>X20</formula>
    </cfRule>
  </conditionalFormatting>
  <conditionalFormatting sqref="D60">
    <cfRule type="expression" priority="513" dxfId="14">
      <formula>IF(AND(File_Marr_Sep&lt;&gt;"",$AI$10=""),1,0)</formula>
    </cfRule>
  </conditionalFormatting>
  <conditionalFormatting sqref="D66">
    <cfRule type="expression" priority="681" dxfId="6">
      <formula>IF(NoColor,1,0)</formula>
    </cfRule>
  </conditionalFormatting>
  <conditionalFormatting sqref="D70">
    <cfRule type="expression" priority="531" dxfId="6">
      <formula>IF(NoColor,1,0)</formula>
    </cfRule>
  </conditionalFormatting>
  <conditionalFormatting sqref="D118">
    <cfRule type="expression" priority="11" dxfId="14">
      <formula>IF(AND(File_Marr_Sep&lt;&gt;"",$AI$10=""),1,0)</formula>
    </cfRule>
  </conditionalFormatting>
  <conditionalFormatting sqref="D124">
    <cfRule type="expression" priority="72" dxfId="6">
      <formula>IF(NoColor,1,0)</formula>
    </cfRule>
  </conditionalFormatting>
  <conditionalFormatting sqref="D128">
    <cfRule type="expression" priority="33" dxfId="6">
      <formula>IF(NoColor,1,0)</formula>
    </cfRule>
  </conditionalFormatting>
  <conditionalFormatting sqref="D132">
    <cfRule type="expression" priority="34" dxfId="6">
      <formula>NoColor</formula>
    </cfRule>
  </conditionalFormatting>
  <conditionalFormatting sqref="D176">
    <cfRule type="expression" priority="7" dxfId="14">
      <formula>IF(AND(File_Marr_Sep&lt;&gt;"",$AI$10=""),1,0)</formula>
    </cfRule>
  </conditionalFormatting>
  <conditionalFormatting sqref="D182">
    <cfRule type="expression" priority="60" dxfId="6">
      <formula>IF(NoColor,1,0)</formula>
    </cfRule>
  </conditionalFormatting>
  <conditionalFormatting sqref="D186">
    <cfRule type="expression" priority="29" dxfId="6">
      <formula>IF(NoColor,1,0)</formula>
    </cfRule>
  </conditionalFormatting>
  <conditionalFormatting sqref="D190">
    <cfRule type="expression" priority="30" dxfId="6">
      <formula>NoColor</formula>
    </cfRule>
  </conditionalFormatting>
  <conditionalFormatting sqref="D234">
    <cfRule type="expression" priority="3" dxfId="14">
      <formula>IF(AND(File_Marr_Sep&lt;&gt;"",$AI$10=""),1,0)</formula>
    </cfRule>
  </conditionalFormatting>
  <conditionalFormatting sqref="D240">
    <cfRule type="expression" priority="48" dxfId="6">
      <formula>IF(NoColor,1,0)</formula>
    </cfRule>
  </conditionalFormatting>
  <conditionalFormatting sqref="D244">
    <cfRule type="expression" priority="25" dxfId="6">
      <formula>IF(NoColor,1,0)</formula>
    </cfRule>
  </conditionalFormatting>
  <conditionalFormatting sqref="D248">
    <cfRule type="expression" priority="26" dxfId="6">
      <formula>NoColor</formula>
    </cfRule>
  </conditionalFormatting>
  <conditionalFormatting sqref="E160:E161">
    <cfRule type="expression" priority="181" dxfId="14">
      <formula>AO160</formula>
    </cfRule>
  </conditionalFormatting>
  <conditionalFormatting sqref="E218:E219">
    <cfRule type="expression" priority="175" dxfId="14">
      <formula>AO218</formula>
    </cfRule>
  </conditionalFormatting>
  <conditionalFormatting sqref="E276:E277">
    <cfRule type="expression" priority="169" dxfId="14">
      <formula>AO276</formula>
    </cfRule>
  </conditionalFormatting>
  <conditionalFormatting sqref="E84:F84">
    <cfRule type="expression" priority="473" dxfId="6">
      <formula>NoColor</formula>
    </cfRule>
  </conditionalFormatting>
  <conditionalFormatting sqref="E142:F142">
    <cfRule type="expression" priority="394" dxfId="6">
      <formula>NoColor</formula>
    </cfRule>
  </conditionalFormatting>
  <conditionalFormatting sqref="E200:F200">
    <cfRule type="expression" priority="315" dxfId="6">
      <formula>NoColor</formula>
    </cfRule>
  </conditionalFormatting>
  <conditionalFormatting sqref="E258:F258">
    <cfRule type="expression" priority="236" dxfId="6">
      <formula>NoColor</formula>
    </cfRule>
  </conditionalFormatting>
  <conditionalFormatting sqref="F160:AJ161">
    <cfRule type="expression" priority="182" dxfId="14">
      <formula>$AO$102</formula>
    </cfRule>
  </conditionalFormatting>
  <conditionalFormatting sqref="F218:AJ219">
    <cfRule type="expression" priority="176" dxfId="14">
      <formula>$AO$102</formula>
    </cfRule>
  </conditionalFormatting>
  <conditionalFormatting sqref="F276:AJ277">
    <cfRule type="expression" priority="170" dxfId="14">
      <formula>$AO$102</formula>
    </cfRule>
  </conditionalFormatting>
  <conditionalFormatting sqref="H84:N84">
    <cfRule type="expression" priority="466" dxfId="6">
      <formula>NoColor</formula>
    </cfRule>
  </conditionalFormatting>
  <conditionalFormatting sqref="H142:N142">
    <cfRule type="expression" priority="387" dxfId="6">
      <formula>NoColor</formula>
    </cfRule>
  </conditionalFormatting>
  <conditionalFormatting sqref="H200:N200">
    <cfRule type="expression" priority="308" dxfId="6">
      <formula>NoColor</formula>
    </cfRule>
  </conditionalFormatting>
  <conditionalFormatting sqref="H258:N258">
    <cfRule type="expression" priority="229" dxfId="6">
      <formula>NoColor</formula>
    </cfRule>
  </conditionalFormatting>
  <conditionalFormatting sqref="M16:R16">
    <cfRule type="expression" priority="698" dxfId="6">
      <formula>IF(NoColor,1,0)</formula>
    </cfRule>
  </conditionalFormatting>
  <conditionalFormatting sqref="N20:O20">
    <cfRule type="expression" priority="506" dxfId="14">
      <formula>X20</formula>
    </cfRule>
  </conditionalFormatting>
  <conditionalFormatting sqref="O76">
    <cfRule type="expression" priority="482" dxfId="6">
      <formula>NoColor</formula>
    </cfRule>
  </conditionalFormatting>
  <conditionalFormatting sqref="O79">
    <cfRule type="expression" priority="480" dxfId="6">
      <formula>NoColor</formula>
    </cfRule>
  </conditionalFormatting>
  <conditionalFormatting sqref="O134">
    <cfRule type="expression" priority="403" dxfId="6">
      <formula>NoColor</formula>
    </cfRule>
  </conditionalFormatting>
  <conditionalFormatting sqref="O137">
    <cfRule type="expression" priority="401" dxfId="6">
      <formula>NoColor</formula>
    </cfRule>
  </conditionalFormatting>
  <conditionalFormatting sqref="O192">
    <cfRule type="expression" priority="324" dxfId="6">
      <formula>NoColor</formula>
    </cfRule>
  </conditionalFormatting>
  <conditionalFormatting sqref="O195">
    <cfRule type="expression" priority="322" dxfId="6">
      <formula>NoColor</formula>
    </cfRule>
  </conditionalFormatting>
  <conditionalFormatting sqref="O250">
    <cfRule type="expression" priority="245" dxfId="6">
      <formula>NoColor</formula>
    </cfRule>
  </conditionalFormatting>
  <conditionalFormatting sqref="O253">
    <cfRule type="expression" priority="243" dxfId="6">
      <formula>NoColor</formula>
    </cfRule>
  </conditionalFormatting>
  <conditionalFormatting sqref="R76">
    <cfRule type="expression" priority="481" dxfId="6">
      <formula>NoColor</formula>
    </cfRule>
  </conditionalFormatting>
  <conditionalFormatting sqref="R79">
    <cfRule type="expression" priority="479" dxfId="6">
      <formula>NoColor</formula>
    </cfRule>
  </conditionalFormatting>
  <conditionalFormatting sqref="R106">
    <cfRule type="expression" priority="489" dxfId="158">
      <formula>AND($AH$105,$AB$105)</formula>
    </cfRule>
  </conditionalFormatting>
  <conditionalFormatting sqref="R134">
    <cfRule type="expression" priority="402" dxfId="6">
      <formula>NoColor</formula>
    </cfRule>
  </conditionalFormatting>
  <conditionalFormatting sqref="R137">
    <cfRule type="expression" priority="400" dxfId="6">
      <formula>NoColor</formula>
    </cfRule>
  </conditionalFormatting>
  <conditionalFormatting sqref="R164">
    <cfRule type="expression" priority="408" dxfId="158">
      <formula>AND($AH$105,$AB$105)</formula>
    </cfRule>
  </conditionalFormatting>
  <conditionalFormatting sqref="R192">
    <cfRule type="expression" priority="323" dxfId="6">
      <formula>NoColor</formula>
    </cfRule>
  </conditionalFormatting>
  <conditionalFormatting sqref="R195">
    <cfRule type="expression" priority="321" dxfId="6">
      <formula>NoColor</formula>
    </cfRule>
  </conditionalFormatting>
  <conditionalFormatting sqref="R222">
    <cfRule type="expression" priority="329" dxfId="158">
      <formula>AND($AH$105,$AB$105)</formula>
    </cfRule>
  </conditionalFormatting>
  <conditionalFormatting sqref="R250">
    <cfRule type="expression" priority="244" dxfId="6">
      <formula>NoColor</formula>
    </cfRule>
  </conditionalFormatting>
  <conditionalFormatting sqref="R253">
    <cfRule type="expression" priority="242" dxfId="6">
      <formula>NoColor</formula>
    </cfRule>
  </conditionalFormatting>
  <conditionalFormatting sqref="R280">
    <cfRule type="expression" priority="250" dxfId="158">
      <formula>AND($AH$105,$AB$105)</formula>
    </cfRule>
  </conditionalFormatting>
  <conditionalFormatting sqref="T74">
    <cfRule type="expression" priority="529" dxfId="6">
      <formula>IF(NoColor,1,0)</formula>
    </cfRule>
  </conditionalFormatting>
  <conditionalFormatting sqref="T87">
    <cfRule type="expression" priority="455" dxfId="6">
      <formula>NoColor</formula>
    </cfRule>
  </conditionalFormatting>
  <conditionalFormatting sqref="T92">
    <cfRule type="expression" priority="450" dxfId="6">
      <formula>NoColor</formula>
    </cfRule>
  </conditionalFormatting>
  <conditionalFormatting sqref="T96">
    <cfRule type="expression" priority="453" dxfId="6">
      <formula>NoColor</formula>
    </cfRule>
  </conditionalFormatting>
  <conditionalFormatting sqref="T99">
    <cfRule type="expression" priority="452" dxfId="6">
      <formula>NoColor</formula>
    </cfRule>
  </conditionalFormatting>
  <conditionalFormatting sqref="T132">
    <cfRule type="expression" priority="19" dxfId="6">
      <formula>IF(NoColor,1,0)</formula>
    </cfRule>
  </conditionalFormatting>
  <conditionalFormatting sqref="T145">
    <cfRule type="expression" priority="376" dxfId="6">
      <formula>NoColor</formula>
    </cfRule>
  </conditionalFormatting>
  <conditionalFormatting sqref="T150">
    <cfRule type="expression" priority="371" dxfId="6">
      <formula>NoColor</formula>
    </cfRule>
  </conditionalFormatting>
  <conditionalFormatting sqref="T154">
    <cfRule type="expression" priority="374" dxfId="6">
      <formula>NoColor</formula>
    </cfRule>
  </conditionalFormatting>
  <conditionalFormatting sqref="T157">
    <cfRule type="expression" priority="373" dxfId="6">
      <formula>NoColor</formula>
    </cfRule>
  </conditionalFormatting>
  <conditionalFormatting sqref="T190">
    <cfRule type="expression" priority="18" dxfId="6">
      <formula>IF(NoColor,1,0)</formula>
    </cfRule>
  </conditionalFormatting>
  <conditionalFormatting sqref="T203">
    <cfRule type="expression" priority="297" dxfId="6">
      <formula>NoColor</formula>
    </cfRule>
  </conditionalFormatting>
  <conditionalFormatting sqref="T208">
    <cfRule type="expression" priority="292" dxfId="6">
      <formula>NoColor</formula>
    </cfRule>
  </conditionalFormatting>
  <conditionalFormatting sqref="T212">
    <cfRule type="expression" priority="295" dxfId="6">
      <formula>NoColor</formula>
    </cfRule>
  </conditionalFormatting>
  <conditionalFormatting sqref="T215">
    <cfRule type="expression" priority="294" dxfId="6">
      <formula>NoColor</formula>
    </cfRule>
  </conditionalFormatting>
  <conditionalFormatting sqref="T248">
    <cfRule type="expression" priority="17" dxfId="6">
      <formula>IF(NoColor,1,0)</formula>
    </cfRule>
  </conditionalFormatting>
  <conditionalFormatting sqref="T261">
    <cfRule type="expression" priority="218" dxfId="6">
      <formula>NoColor</formula>
    </cfRule>
  </conditionalFormatting>
  <conditionalFormatting sqref="T266">
    <cfRule type="expression" priority="213" dxfId="6">
      <formula>NoColor</formula>
    </cfRule>
  </conditionalFormatting>
  <conditionalFormatting sqref="T270">
    <cfRule type="expression" priority="216" dxfId="6">
      <formula>NoColor</formula>
    </cfRule>
  </conditionalFormatting>
  <conditionalFormatting sqref="T273">
    <cfRule type="expression" priority="215" dxfId="6">
      <formula>NoColor</formula>
    </cfRule>
  </conditionalFormatting>
  <conditionalFormatting sqref="T67:U67">
    <cfRule type="expression" priority="541" dxfId="46">
      <formula>AND(NOT(NoColor),NoSSN)</formula>
    </cfRule>
    <cfRule type="expression" priority="540" dxfId="6">
      <formula>IF(NoColor,1,0)</formula>
    </cfRule>
  </conditionalFormatting>
  <conditionalFormatting sqref="T125:U125">
    <cfRule type="expression" priority="67" dxfId="6">
      <formula>IF(NoColor,1,0)</formula>
    </cfRule>
    <cfRule type="expression" priority="68" dxfId="46">
      <formula>AND(NOT(NoColor),NoSSN)</formula>
    </cfRule>
  </conditionalFormatting>
  <conditionalFormatting sqref="T183:U183">
    <cfRule type="expression" priority="55" dxfId="6">
      <formula>IF(NoColor,1,0)</formula>
    </cfRule>
    <cfRule type="expression" priority="56" dxfId="46">
      <formula>AND(NOT(NoColor),NoSSN)</formula>
    </cfRule>
  </conditionalFormatting>
  <conditionalFormatting sqref="T241:U241">
    <cfRule type="expression" priority="43" dxfId="6">
      <formula>IF(NoColor,1,0)</formula>
    </cfRule>
    <cfRule type="expression" priority="44" dxfId="46">
      <formula>AND(NOT(NoColor),NoSSN)</formula>
    </cfRule>
  </conditionalFormatting>
  <conditionalFormatting sqref="T70:AJ70">
    <cfRule type="expression" priority="456" dxfId="6">
      <formula>NoColor</formula>
    </cfRule>
  </conditionalFormatting>
  <conditionalFormatting sqref="T128:AJ128">
    <cfRule type="expression" priority="22" dxfId="6">
      <formula>NoColor</formula>
    </cfRule>
  </conditionalFormatting>
  <conditionalFormatting sqref="T186:AJ186">
    <cfRule type="expression" priority="21" dxfId="6">
      <formula>NoColor</formula>
    </cfRule>
  </conditionalFormatting>
  <conditionalFormatting sqref="T244:AJ244">
    <cfRule type="expression" priority="20" dxfId="6">
      <formula>NoColor</formula>
    </cfRule>
  </conditionalFormatting>
  <conditionalFormatting sqref="U67:AJ67">
    <cfRule type="expression" priority="441" dxfId="20">
      <formula>AND(NoColor,NoSSN)</formula>
    </cfRule>
  </conditionalFormatting>
  <conditionalFormatting sqref="U125:AJ125">
    <cfRule type="expression" priority="61" dxfId="20">
      <formula>AND(NoColor,NoSSN)</formula>
    </cfRule>
  </conditionalFormatting>
  <conditionalFormatting sqref="U183:AJ183">
    <cfRule type="expression" priority="49" dxfId="20">
      <formula>AND(NoColor,NoSSN)</formula>
    </cfRule>
  </conditionalFormatting>
  <conditionalFormatting sqref="U241:AJ241">
    <cfRule type="expression" priority="37" dxfId="20">
      <formula>AND(NoColor,NoSSN)</formula>
    </cfRule>
  </conditionalFormatting>
  <conditionalFormatting sqref="V84:W84">
    <cfRule type="expression" priority="457" dxfId="6">
      <formula>NoColor</formula>
    </cfRule>
  </conditionalFormatting>
  <conditionalFormatting sqref="V142:W142">
    <cfRule type="expression" priority="378" dxfId="6">
      <formula>NoColor</formula>
    </cfRule>
  </conditionalFormatting>
  <conditionalFormatting sqref="V200:W200">
    <cfRule type="expression" priority="299" dxfId="6">
      <formula>NoColor</formula>
    </cfRule>
  </conditionalFormatting>
  <conditionalFormatting sqref="V258:W258">
    <cfRule type="expression" priority="220" dxfId="6">
      <formula>NoColor</formula>
    </cfRule>
  </conditionalFormatting>
  <conditionalFormatting sqref="V66:Y66">
    <cfRule type="expression" priority="679" dxfId="6">
      <formula>IF(NoColor,1,0)</formula>
    </cfRule>
  </conditionalFormatting>
  <conditionalFormatting sqref="V124:Y124">
    <cfRule type="expression" priority="71" dxfId="6">
      <formula>IF(NoColor,1,0)</formula>
    </cfRule>
  </conditionalFormatting>
  <conditionalFormatting sqref="V182:Y182">
    <cfRule type="expression" priority="59" dxfId="6">
      <formula>IF(NoColor,1,0)</formula>
    </cfRule>
  </conditionalFormatting>
  <conditionalFormatting sqref="V240:Y240">
    <cfRule type="expression" priority="47" dxfId="6">
      <formula>IF(NoColor,1,0)</formula>
    </cfRule>
  </conditionalFormatting>
  <conditionalFormatting sqref="X16:AC16">
    <cfRule type="expression" priority="601" dxfId="6">
      <formula>IF(NoColor,1,0)</formula>
    </cfRule>
  </conditionalFormatting>
  <conditionalFormatting sqref="X19:AC19">
    <cfRule type="expression" priority="511" dxfId="6">
      <formula>IF(NoColor,1,0)</formula>
    </cfRule>
  </conditionalFormatting>
  <conditionalFormatting sqref="X21:AC21">
    <cfRule type="expression" priority="509" dxfId="6">
      <formula>IF(NoColor,1,0)</formula>
    </cfRule>
  </conditionalFormatting>
  <conditionalFormatting sqref="X24:AC24">
    <cfRule type="expression" priority="507" dxfId="6">
      <formula>IF(NoColor,1,0)</formula>
    </cfRule>
  </conditionalFormatting>
  <conditionalFormatting sqref="X41:AC41">
    <cfRule type="expression" priority="576" dxfId="6">
      <formula>IF(NoColor,1,0)</formula>
    </cfRule>
  </conditionalFormatting>
  <conditionalFormatting sqref="X44:AC44">
    <cfRule type="expression" priority="566" dxfId="6">
      <formula>IF(NoColor,1,0)</formula>
    </cfRule>
  </conditionalFormatting>
  <conditionalFormatting sqref="X46:AC46">
    <cfRule type="expression" priority="495" dxfId="6">
      <formula>IF(NoColor,1,0)</formula>
    </cfRule>
  </conditionalFormatting>
  <conditionalFormatting sqref="X48:AC48">
    <cfRule type="expression" priority="562" dxfId="6">
      <formula>IF(NoColor,1,0)</formula>
    </cfRule>
  </conditionalFormatting>
  <conditionalFormatting sqref="Y8">
    <cfRule type="expression" priority="634" dxfId="6">
      <formula>IF(NoColor,1,0)</formula>
    </cfRule>
  </conditionalFormatting>
  <conditionalFormatting sqref="Y84:AE84">
    <cfRule type="expression" priority="459" dxfId="6">
      <formula>NoColor</formula>
    </cfRule>
  </conditionalFormatting>
  <conditionalFormatting sqref="Y142:AE142">
    <cfRule type="expression" priority="380" dxfId="6">
      <formula>NoColor</formula>
    </cfRule>
  </conditionalFormatting>
  <conditionalFormatting sqref="Y200:AE200">
    <cfRule type="expression" priority="301" dxfId="6">
      <formula>NoColor</formula>
    </cfRule>
  </conditionalFormatting>
  <conditionalFormatting sqref="Y258:AE258">
    <cfRule type="expression" priority="222" dxfId="6">
      <formula>NoColor</formula>
    </cfRule>
  </conditionalFormatting>
  <conditionalFormatting sqref="AB31">
    <cfRule type="expression" priority="485" dxfId="6">
      <formula>NoColor</formula>
    </cfRule>
  </conditionalFormatting>
  <conditionalFormatting sqref="AC87">
    <cfRule type="expression" priority="451" dxfId="6">
      <formula>NoColor</formula>
    </cfRule>
  </conditionalFormatting>
  <conditionalFormatting sqref="AC92">
    <cfRule type="expression" priority="454" dxfId="6">
      <formula>NoColor</formula>
    </cfRule>
  </conditionalFormatting>
  <conditionalFormatting sqref="AC96">
    <cfRule type="expression" priority="449" dxfId="6">
      <formula>NoColor</formula>
    </cfRule>
  </conditionalFormatting>
  <conditionalFormatting sqref="AC99">
    <cfRule type="expression" priority="448" dxfId="6">
      <formula>NoColor</formula>
    </cfRule>
  </conditionalFormatting>
  <conditionalFormatting sqref="AC145">
    <cfRule type="expression" priority="372" dxfId="6">
      <formula>NoColor</formula>
    </cfRule>
  </conditionalFormatting>
  <conditionalFormatting sqref="AC150">
    <cfRule type="expression" priority="375" dxfId="6">
      <formula>NoColor</formula>
    </cfRule>
  </conditionalFormatting>
  <conditionalFormatting sqref="AC154">
    <cfRule type="expression" priority="370" dxfId="6">
      <formula>NoColor</formula>
    </cfRule>
  </conditionalFormatting>
  <conditionalFormatting sqref="AC157">
    <cfRule type="expression" priority="369" dxfId="6">
      <formula>NoColor</formula>
    </cfRule>
  </conditionalFormatting>
  <conditionalFormatting sqref="AC203">
    <cfRule type="expression" priority="293" dxfId="6">
      <formula>NoColor</formula>
    </cfRule>
  </conditionalFormatting>
  <conditionalFormatting sqref="AC208">
    <cfRule type="expression" priority="296" dxfId="6">
      <formula>NoColor</formula>
    </cfRule>
  </conditionalFormatting>
  <conditionalFormatting sqref="AC212">
    <cfRule type="expression" priority="291" dxfId="6">
      <formula>NoColor</formula>
    </cfRule>
  </conditionalFormatting>
  <conditionalFormatting sqref="AC215">
    <cfRule type="expression" priority="290" dxfId="6">
      <formula>NoColor</formula>
    </cfRule>
  </conditionalFormatting>
  <conditionalFormatting sqref="AC261">
    <cfRule type="expression" priority="214" dxfId="6">
      <formula>NoColor</formula>
    </cfRule>
  </conditionalFormatting>
  <conditionalFormatting sqref="AC266">
    <cfRule type="expression" priority="217" dxfId="6">
      <formula>NoColor</formula>
    </cfRule>
  </conditionalFormatting>
  <conditionalFormatting sqref="AC270">
    <cfRule type="expression" priority="212" dxfId="6">
      <formula>NoColor</formula>
    </cfRule>
  </conditionalFormatting>
  <conditionalFormatting sqref="AC273">
    <cfRule type="expression" priority="211" dxfId="6">
      <formula>NoColor</formula>
    </cfRule>
  </conditionalFormatting>
  <conditionalFormatting sqref="AC59:AJ59">
    <cfRule type="expression" priority="551" dxfId="46">
      <formula>NoSSN</formula>
    </cfRule>
  </conditionalFormatting>
  <conditionalFormatting sqref="AC117:AJ117">
    <cfRule type="expression" priority="433" dxfId="46">
      <formula>NoSSN</formula>
    </cfRule>
  </conditionalFormatting>
  <conditionalFormatting sqref="AC175:AJ175">
    <cfRule type="expression" priority="354" dxfId="46">
      <formula>NoSSN</formula>
    </cfRule>
  </conditionalFormatting>
  <conditionalFormatting sqref="AC233:AJ233">
    <cfRule type="expression" priority="275" dxfId="46">
      <formula>NoSSN</formula>
    </cfRule>
  </conditionalFormatting>
  <conditionalFormatting sqref="AE14:AJ14">
    <cfRule type="expression" priority="501" dxfId="6">
      <formula>IF(NoColor,1,0)</formula>
    </cfRule>
  </conditionalFormatting>
  <conditionalFormatting sqref="AE27:AJ27">
    <cfRule type="expression" priority="580" dxfId="6">
      <formula>IF(NoColor,1,0)</formula>
    </cfRule>
  </conditionalFormatting>
  <conditionalFormatting sqref="AE31:AJ31">
    <cfRule type="expression" priority="499" dxfId="6">
      <formula>IF(NoColor,1,0)</formula>
    </cfRule>
  </conditionalFormatting>
  <conditionalFormatting sqref="AE33:AJ33">
    <cfRule type="expression" priority="702" dxfId="6">
      <formula>IF(NoColor,1,0)</formula>
    </cfRule>
  </conditionalFormatting>
  <conditionalFormatting sqref="AE35:AJ35">
    <cfRule type="expression" priority="574" dxfId="6">
      <formula>IF(NoColor,1,0)</formula>
    </cfRule>
  </conditionalFormatting>
  <conditionalFormatting sqref="AE37:AJ39">
    <cfRule type="expression" priority="497" dxfId="6">
      <formula>IF(NoColor,1,0)</formula>
    </cfRule>
  </conditionalFormatting>
  <conditionalFormatting sqref="AE51:AJ51">
    <cfRule type="expression" priority="13" dxfId="6">
      <formula>IF(NoColor,1,0)</formula>
    </cfRule>
  </conditionalFormatting>
  <conditionalFormatting sqref="AE53:AJ53">
    <cfRule type="expression" priority="491" dxfId="6">
      <formula>IF(NoColor,1,0)</formula>
    </cfRule>
  </conditionalFormatting>
  <conditionalFormatting sqref="AE55:AJ55">
    <cfRule type="expression" priority="556" dxfId="6">
      <formula>IF(NoColor,1,0)</formula>
    </cfRule>
  </conditionalFormatting>
  <conditionalFormatting sqref="AE106:AJ108">
    <cfRule type="expression" priority="518" dxfId="6">
      <formula>IF(NoColor,1,0)</formula>
    </cfRule>
  </conditionalFormatting>
  <conditionalFormatting sqref="AE110:AJ110">
    <cfRule type="expression" priority="91" dxfId="6">
      <formula>IF(NoColor,1,0)</formula>
    </cfRule>
  </conditionalFormatting>
  <conditionalFormatting sqref="AE113:AJ113">
    <cfRule type="expression" priority="487" dxfId="6">
      <formula>IF(NoColor,1,0)</formula>
    </cfRule>
  </conditionalFormatting>
  <conditionalFormatting sqref="AE164:AJ166">
    <cfRule type="expression" priority="127" dxfId="6">
      <formula>IF(NoColor,1,0)</formula>
    </cfRule>
  </conditionalFormatting>
  <conditionalFormatting sqref="AE168:AJ168">
    <cfRule type="expression" priority="93" dxfId="6">
      <formula>IF(NoColor,1,0)</formula>
    </cfRule>
  </conditionalFormatting>
  <conditionalFormatting sqref="AE171:AJ171">
    <cfRule type="expression" priority="101" dxfId="6">
      <formula>IF(NoColor,1,0)</formula>
    </cfRule>
  </conditionalFormatting>
  <conditionalFormatting sqref="AE222:AJ224">
    <cfRule type="expression" priority="117" dxfId="6">
      <formula>IF(NoColor,1,0)</formula>
    </cfRule>
  </conditionalFormatting>
  <conditionalFormatting sqref="AE226:AJ226">
    <cfRule type="expression" priority="95" dxfId="6">
      <formula>IF(NoColor,1,0)</formula>
    </cfRule>
  </conditionalFormatting>
  <conditionalFormatting sqref="AE229:AJ229">
    <cfRule type="expression" priority="99" dxfId="6">
      <formula>IF(NoColor,1,0)</formula>
    </cfRule>
  </conditionalFormatting>
  <conditionalFormatting sqref="AE280:AJ282">
    <cfRule type="expression" priority="107" dxfId="6">
      <formula>IF(NoColor,1,0)</formula>
    </cfRule>
  </conditionalFormatting>
  <conditionalFormatting sqref="AE284:AJ284">
    <cfRule type="expression" priority="103" dxfId="6">
      <formula>IF(NoColor,1,0)</formula>
    </cfRule>
  </conditionalFormatting>
  <conditionalFormatting sqref="AE287:AJ287">
    <cfRule type="expression" priority="97" dxfId="6">
      <formula>IF(NoColor,1,0)</formula>
    </cfRule>
  </conditionalFormatting>
  <conditionalFormatting sqref="AF76">
    <cfRule type="expression" priority="478" dxfId="6">
      <formula>NoColor</formula>
    </cfRule>
  </conditionalFormatting>
  <conditionalFormatting sqref="AF79">
    <cfRule type="expression" priority="476" dxfId="6">
      <formula>NoColor</formula>
    </cfRule>
  </conditionalFormatting>
  <conditionalFormatting sqref="AF134">
    <cfRule type="expression" priority="399" dxfId="6">
      <formula>NoColor</formula>
    </cfRule>
  </conditionalFormatting>
  <conditionalFormatting sqref="AF137">
    <cfRule type="expression" priority="397" dxfId="6">
      <formula>NoColor</formula>
    </cfRule>
  </conditionalFormatting>
  <conditionalFormatting sqref="AF192">
    <cfRule type="expression" priority="320" dxfId="6">
      <formula>NoColor</formula>
    </cfRule>
  </conditionalFormatting>
  <conditionalFormatting sqref="AF195">
    <cfRule type="expression" priority="318" dxfId="6">
      <formula>NoColor</formula>
    </cfRule>
  </conditionalFormatting>
  <conditionalFormatting sqref="AF250">
    <cfRule type="expression" priority="241" dxfId="6">
      <formula>NoColor</formula>
    </cfRule>
  </conditionalFormatting>
  <conditionalFormatting sqref="AF253">
    <cfRule type="expression" priority="239" dxfId="6">
      <formula>NoColor</formula>
    </cfRule>
  </conditionalFormatting>
  <conditionalFormatting sqref="AI76">
    <cfRule type="expression" priority="477" dxfId="6">
      <formula>NoColor</formula>
    </cfRule>
  </conditionalFormatting>
  <conditionalFormatting sqref="AI79">
    <cfRule type="expression" priority="475" dxfId="6">
      <formula>NoColor</formula>
    </cfRule>
  </conditionalFormatting>
  <conditionalFormatting sqref="AI134">
    <cfRule type="expression" priority="398" dxfId="6">
      <formula>NoColor</formula>
    </cfRule>
  </conditionalFormatting>
  <conditionalFormatting sqref="AI137">
    <cfRule type="expression" priority="396" dxfId="6">
      <formula>NoColor</formula>
    </cfRule>
  </conditionalFormatting>
  <conditionalFormatting sqref="AI192">
    <cfRule type="expression" priority="319" dxfId="6">
      <formula>NoColor</formula>
    </cfRule>
  </conditionalFormatting>
  <conditionalFormatting sqref="AI195">
    <cfRule type="expression" priority="317" dxfId="6">
      <formula>NoColor</formula>
    </cfRule>
  </conditionalFormatting>
  <conditionalFormatting sqref="AI250">
    <cfRule type="expression" priority="240" dxfId="6">
      <formula>NoColor</formula>
    </cfRule>
  </conditionalFormatting>
  <conditionalFormatting sqref="AI253">
    <cfRule type="expression" priority="238" dxfId="6">
      <formula>NoColor</formula>
    </cfRule>
  </conditionalFormatting>
  <conditionalFormatting sqref="AN61:AO62 AN103">
    <cfRule type="expression" priority="15" dxfId="41">
      <formula>IF(AND(File_Marr_Sep&lt;&gt;"",$AI$10&lt;&gt;""),TRUE,FALSE)</formula>
    </cfRule>
    <cfRule type="expression" priority="16" dxfId="158">
      <formula>OR(File_Marr_Sep&lt;&gt;"",AND(File_Marr_Sep="",AI61&lt;&gt;""))</formula>
    </cfRule>
  </conditionalFormatting>
  <conditionalFormatting sqref="AN102:AO102">
    <cfRule type="expression" priority="597" dxfId="41">
      <formula>IF(AND(File_Marr_Sep&lt;&gt;"",$AI$10&lt;&gt;""),TRUE,FALSE)</formula>
    </cfRule>
    <cfRule type="expression" priority="598" dxfId="158">
      <formula>OR(File_Marr_Sep&lt;&gt;"",AND(File_Marr_Sep="",AI102&lt;&gt;""))</formula>
    </cfRule>
  </conditionalFormatting>
  <conditionalFormatting sqref="AN119:AO120">
    <cfRule type="expression" priority="9" dxfId="41">
      <formula>IF(AND(File_Marr_Sep&lt;&gt;"",$AI$10&lt;&gt;""),TRUE,FALSE)</formula>
    </cfRule>
    <cfRule type="expression" priority="10" dxfId="158">
      <formula>OR(File_Marr_Sep&lt;&gt;"",AND(File_Marr_Sep="",AI119&lt;&gt;""))</formula>
    </cfRule>
  </conditionalFormatting>
  <conditionalFormatting sqref="AN160:AO161">
    <cfRule type="expression" priority="183" dxfId="41">
      <formula>IF(AND(File_Marr_Sep&lt;&gt;"",$AI$10&lt;&gt;""),TRUE,FALSE)</formula>
    </cfRule>
    <cfRule type="expression" priority="184" dxfId="158">
      <formula>OR(File_Marr_Sep&lt;&gt;"",AND(File_Marr_Sep="",AI160&lt;&gt;""))</formula>
    </cfRule>
  </conditionalFormatting>
  <conditionalFormatting sqref="AN177:AO178">
    <cfRule type="expression" priority="6" dxfId="158">
      <formula>OR(File_Marr_Sep&lt;&gt;"",AND(File_Marr_Sep="",AI177&lt;&gt;""))</formula>
    </cfRule>
    <cfRule type="expression" priority="5" dxfId="41">
      <formula>IF(AND(File_Marr_Sep&lt;&gt;"",$AI$10&lt;&gt;""),TRUE,FALSE)</formula>
    </cfRule>
  </conditionalFormatting>
  <conditionalFormatting sqref="AN218:AO219">
    <cfRule type="expression" priority="177" dxfId="41">
      <formula>IF(AND(File_Marr_Sep&lt;&gt;"",$AI$10&lt;&gt;""),TRUE,FALSE)</formula>
    </cfRule>
    <cfRule type="expression" priority="178" dxfId="158">
      <formula>OR(File_Marr_Sep&lt;&gt;"",AND(File_Marr_Sep="",AI218&lt;&gt;""))</formula>
    </cfRule>
  </conditionalFormatting>
  <conditionalFormatting sqref="AN235:AO236">
    <cfRule type="expression" priority="1" dxfId="41">
      <formula>IF(AND(File_Marr_Sep&lt;&gt;"",$AI$10&lt;&gt;""),TRUE,FALSE)</formula>
    </cfRule>
    <cfRule type="expression" priority="2" dxfId="158">
      <formula>OR(File_Marr_Sep&lt;&gt;"",AND(File_Marr_Sep="",AI235&lt;&gt;""))</formula>
    </cfRule>
  </conditionalFormatting>
  <conditionalFormatting sqref="AN276:AO277">
    <cfRule type="expression" priority="172" dxfId="158">
      <formula>OR(File_Marr_Sep&lt;&gt;"",AND(File_Marr_Sep="",AI276&lt;&gt;""))</formula>
    </cfRule>
    <cfRule type="expression" priority="171" dxfId="41">
      <formula>IF(AND(File_Marr_Sep&lt;&gt;"",$AI$10&lt;&gt;""),TRUE,FALSE)</formula>
    </cfRule>
  </conditionalFormatting>
  <conditionalFormatting sqref="AO13:AO17">
    <cfRule type="expression" priority="199" dxfId="6">
      <formula>NoColor</formula>
    </cfRule>
  </conditionalFormatting>
  <conditionalFormatting sqref="AO42:AO46">
    <cfRule type="expression" priority="484" dxfId="6">
      <formula>NoColor</formula>
    </cfRule>
  </conditionalFormatting>
  <conditionalFormatting sqref="AX47:AX50">
    <cfRule type="expression" priority="36" dxfId="6">
      <formula>NoColor</formula>
    </cfRule>
  </conditionalFormatting>
  <conditionalFormatting sqref="AX52:AX54">
    <cfRule type="expression" priority="35" dxfId="6">
      <formula>NoColor</formula>
    </cfRule>
  </conditionalFormatting>
  <conditionalFormatting sqref="AX91">
    <cfRule type="expression" priority="444" dxfId="6">
      <formula>NoColor</formula>
    </cfRule>
  </conditionalFormatting>
  <conditionalFormatting sqref="AX93">
    <cfRule type="expression" priority="443" dxfId="6">
      <formula>NoColor</formula>
    </cfRule>
  </conditionalFormatting>
  <conditionalFormatting sqref="AX95">
    <cfRule type="expression" priority="442" dxfId="6">
      <formula>NoColor</formula>
    </cfRule>
  </conditionalFormatting>
  <conditionalFormatting sqref="AX149">
    <cfRule type="expression" priority="87" dxfId="6">
      <formula>NoColor</formula>
    </cfRule>
  </conditionalFormatting>
  <conditionalFormatting sqref="AX151">
    <cfRule type="expression" priority="86" dxfId="6">
      <formula>NoColor</formula>
    </cfRule>
  </conditionalFormatting>
  <conditionalFormatting sqref="AX153">
    <cfRule type="expression" priority="85" dxfId="6">
      <formula>NoColor</formula>
    </cfRule>
  </conditionalFormatting>
  <conditionalFormatting sqref="AX207">
    <cfRule type="expression" priority="81" dxfId="6">
      <formula>NoColor</formula>
    </cfRule>
  </conditionalFormatting>
  <conditionalFormatting sqref="AX209">
    <cfRule type="expression" priority="80" dxfId="6">
      <formula>NoColor</formula>
    </cfRule>
  </conditionalFormatting>
  <conditionalFormatting sqref="AX211">
    <cfRule type="expression" priority="79" dxfId="6">
      <formula>NoColor</formula>
    </cfRule>
  </conditionalFormatting>
  <conditionalFormatting sqref="AX265">
    <cfRule type="expression" priority="75" dxfId="6">
      <formula>NoColor</formula>
    </cfRule>
  </conditionalFormatting>
  <conditionalFormatting sqref="AX267">
    <cfRule type="expression" priority="74" dxfId="6">
      <formula>NoColor</formula>
    </cfRule>
  </conditionalFormatting>
  <conditionalFormatting sqref="AX269">
    <cfRule type="expression" priority="73" dxfId="6">
      <formula>NoColor</formula>
    </cfRule>
  </conditionalFormatting>
  <conditionalFormatting sqref="AY87">
    <cfRule type="expression" priority="447" dxfId="6">
      <formula>NoColor</formula>
    </cfRule>
  </conditionalFormatting>
  <conditionalFormatting sqref="AY97">
    <cfRule type="expression" priority="446" dxfId="6">
      <formula>NoColor</formula>
    </cfRule>
  </conditionalFormatting>
  <conditionalFormatting sqref="AY100">
    <cfRule type="expression" priority="445" dxfId="6">
      <formula>NoColor</formula>
    </cfRule>
  </conditionalFormatting>
  <conditionalFormatting sqref="AY145">
    <cfRule type="expression" priority="90" dxfId="6">
      <formula>NoColor</formula>
    </cfRule>
  </conditionalFormatting>
  <conditionalFormatting sqref="AY155">
    <cfRule type="expression" priority="89" dxfId="6">
      <formula>NoColor</formula>
    </cfRule>
  </conditionalFormatting>
  <conditionalFormatting sqref="AY158">
    <cfRule type="expression" priority="88" dxfId="6">
      <formula>NoColor</formula>
    </cfRule>
  </conditionalFormatting>
  <conditionalFormatting sqref="AY203">
    <cfRule type="expression" priority="84" dxfId="6">
      <formula>NoColor</formula>
    </cfRule>
  </conditionalFormatting>
  <conditionalFormatting sqref="AY213">
    <cfRule type="expression" priority="83" dxfId="6">
      <formula>NoColor</formula>
    </cfRule>
  </conditionalFormatting>
  <conditionalFormatting sqref="AY216">
    <cfRule type="expression" priority="82" dxfId="6">
      <formula>NoColor</formula>
    </cfRule>
  </conditionalFormatting>
  <conditionalFormatting sqref="AY261">
    <cfRule type="expression" priority="78" dxfId="6">
      <formula>NoColor</formula>
    </cfRule>
  </conditionalFormatting>
  <conditionalFormatting sqref="AY271">
    <cfRule type="expression" priority="77" dxfId="6">
      <formula>NoColor</formula>
    </cfRule>
  </conditionalFormatting>
  <conditionalFormatting sqref="AY274">
    <cfRule type="expression" priority="76" dxfId="6">
      <formula>NoColor</formula>
    </cfRule>
  </conditionalFormatting>
  <pageMargins left="0.75" right="0.25" top="0.36" bottom="0.29" header="0.36" footer="0.21"/>
  <pageSetup orientation="portrait" scale="72" fitToHeight="0"/>
  <rowBreaks count="4" manualBreakCount="4">
    <brk id="56" min="1" max="35" man="1"/>
    <brk id="114" min="1" max="35" man="1"/>
    <brk id="172" min="1" max="35" man="1"/>
    <brk id="230" min="1" max="35" man="1"/>
  </rowBreaks>
</worksheet>
</file>

<file path=xl/worksheets/sheet53.xml><?xml version="1.0" encoding="utf-8"?>
<worksheet xmlns="http://schemas.openxmlformats.org/spreadsheetml/2006/main">
  <sheetPr>
    <outlinePr summaryBelow="1" summaryRight="1"/>
    <pageSetUpPr fitToPage="1"/>
  </sheetPr>
  <dimension ref="A1:CF69"/>
  <sheetViews>
    <sheetView zoomScaleNormal="100" zoomScaleSheetLayoutView="100" workbookViewId="0">
      <selection activeCell="A1" sqref="A1"/>
    </sheetView>
  </sheetViews>
  <sheetFormatPr baseColWidth="8" defaultColWidth="9.140625" defaultRowHeight="12.75"/>
  <cols>
    <col width="3.7109375" customWidth="1" style="7635" min="1" max="1"/>
    <col width="5.140625" customWidth="1" style="7635" min="2" max="2"/>
    <col width="6.140625" customWidth="1" style="7635" min="3" max="3"/>
    <col width="4" customWidth="1" style="7635" min="4" max="11"/>
    <col width="3.7109375" customWidth="1" style="7635" min="12" max="12"/>
    <col width="4.7109375" customWidth="1" style="7635" min="13" max="13"/>
    <col width="4.42578125" customWidth="1" style="7635" min="14" max="14"/>
    <col width="3.7109375" customWidth="1" style="7635" min="15" max="16"/>
    <col width="5.140625" customWidth="1" style="7635" min="17" max="17"/>
    <col width="3.7109375" customWidth="1" style="7635" min="18" max="22"/>
    <col width="4.85546875" customWidth="1" style="7635" min="23" max="23"/>
    <col width="3.7109375" customWidth="1" style="7635" min="24" max="29"/>
    <col width="5.5703125" customWidth="1" style="7635" min="30" max="30"/>
    <col width="3.7109375" customWidth="1" style="7635" min="31" max="32"/>
    <col width="4.42578125" customWidth="1" style="7635" min="33" max="33"/>
    <col width="3.7109375" customWidth="1" style="7635" min="34" max="36"/>
    <col width="4.5703125" customWidth="1" style="7635" min="37" max="37"/>
    <col width="7.140625" customWidth="1" style="7635" min="38" max="38"/>
    <col width="2.42578125" customWidth="1" style="7635" min="39" max="39"/>
    <col width="4.5703125" customWidth="1" style="7635" min="40" max="40"/>
    <col width="43.28515625" customWidth="1" style="7635" min="41" max="41"/>
    <col width="5.140625" customWidth="1" style="7635" min="42" max="42"/>
    <col width="10.140625" customWidth="1" style="7635" min="43" max="43"/>
    <col width="3.140625" customWidth="1" style="7635" min="44" max="44"/>
    <col width="4.5703125" customWidth="1" style="7635" min="45" max="45"/>
    <col hidden="1" width="12.85546875" customWidth="1" style="7635" min="46" max="49"/>
    <col width="4.85546875" customWidth="1" style="7635" min="50" max="50"/>
    <col width="13.140625" customWidth="1" style="12490" min="51" max="51"/>
    <col width="10.7109375" customWidth="1" style="815" min="52" max="59"/>
  </cols>
  <sheetData>
    <row r="1" ht="16.5" customHeight="1" s="763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602" t="n"/>
      <c r="AM1" s="11602" t="n"/>
      <c r="AN1" s="11602" t="n"/>
      <c r="AO1" s="11602" t="n"/>
      <c r="AP1" s="11602" t="n"/>
      <c r="AQ1" s="11602" t="n"/>
      <c r="AR1" s="11602" t="n"/>
      <c r="AS1" s="11602" t="n"/>
      <c r="AT1" s="11602" t="n"/>
      <c r="AU1" s="11602" t="n"/>
      <c r="AV1" s="11602" t="n"/>
      <c r="AW1" s="11602" t="n"/>
      <c r="AX1" s="11602" t="n"/>
      <c r="AY1" s="11881" t="n"/>
      <c r="AZ1" s="658" t="n"/>
      <c r="BA1" s="658" t="n"/>
      <c r="BB1" s="658" t="n"/>
      <c r="BC1" s="658" t="n"/>
      <c r="BD1" s="658" t="n"/>
      <c r="BE1" s="658" t="n"/>
      <c r="BF1" s="658" t="n"/>
      <c r="BG1" s="658" t="n"/>
    </row>
    <row r="2" ht="18" customHeight="1" s="7635">
      <c r="A2" s="2013" t="n"/>
      <c r="B2" s="11602" t="n"/>
      <c r="C2" s="11602" t="n"/>
      <c r="D2" s="9882" t="inlineStr">
        <is>
          <t>8880</t>
        </is>
      </c>
      <c r="H2" s="379" t="n"/>
      <c r="I2" s="2741" t="n"/>
      <c r="J2" s="11602" t="n"/>
      <c r="K2" s="11602" t="n"/>
      <c r="L2" s="11602" t="n"/>
      <c r="M2" s="11602" t="n"/>
      <c r="N2" s="11602" t="n"/>
      <c r="O2" s="11602" t="n"/>
      <c r="P2" s="11602" t="n"/>
      <c r="Q2" s="11602" t="n"/>
      <c r="R2" s="11602" t="n"/>
      <c r="S2" s="11602" t="n"/>
      <c r="T2" s="11602" t="n"/>
      <c r="U2" s="11602" t="n"/>
      <c r="V2" s="11602" t="n"/>
      <c r="W2" s="11602" t="n"/>
      <c r="X2" s="11602" t="n"/>
      <c r="Y2" s="11602" t="n"/>
      <c r="Z2" s="11602" t="n"/>
      <c r="AA2" s="11602" t="n"/>
      <c r="AB2" s="2910" t="n"/>
      <c r="AC2" s="11089" t="inlineStr">
        <is>
          <t>OMB No. 1545-0074</t>
        </is>
      </c>
      <c r="AD2" s="7637" t="n"/>
      <c r="AE2" s="7637" t="n"/>
      <c r="AF2" s="7637" t="n"/>
      <c r="AG2" s="7637" t="n"/>
      <c r="AH2" s="7637" t="n"/>
      <c r="AI2" s="7637" t="n"/>
      <c r="AJ2" s="7637" t="n"/>
      <c r="AK2" s="2013" t="n"/>
      <c r="AL2" s="11602" t="n"/>
      <c r="AM2" s="11602" t="n"/>
      <c r="AN2" s="11602" t="n"/>
      <c r="AO2" s="11602" t="n"/>
      <c r="AP2" s="11602" t="n"/>
      <c r="AQ2" s="11602" t="n"/>
      <c r="AR2" s="11602" t="n"/>
      <c r="AS2" s="11602" t="n"/>
      <c r="AT2" s="11602" t="n"/>
      <c r="AU2" s="11602" t="n"/>
      <c r="AV2" s="11602" t="n"/>
      <c r="AW2" s="11602" t="n"/>
      <c r="AX2" s="11602" t="n"/>
      <c r="AY2" s="11881" t="inlineStr">
        <is>
          <t>Notes</t>
        </is>
      </c>
      <c r="AZ2" s="658" t="n"/>
      <c r="BA2" s="658" t="n"/>
      <c r="BB2" s="658" t="n"/>
      <c r="BC2" s="658" t="n"/>
      <c r="BD2" s="658" t="n"/>
      <c r="BE2" s="658" t="n"/>
      <c r="BF2" s="658" t="n"/>
      <c r="BG2" s="658" t="n"/>
    </row>
    <row r="3" ht="24" customHeight="1" s="7635">
      <c r="A3" s="2013" t="n"/>
      <c r="B3" s="9886" t="inlineStr">
        <is>
          <t>Form</t>
        </is>
      </c>
      <c r="H3" s="379" t="n"/>
      <c r="I3" s="12747" t="inlineStr">
        <is>
          <t>Credit for Qualified Retirement Savings Contributions</t>
        </is>
      </c>
      <c r="AB3" s="1066" t="n"/>
      <c r="AC3" s="9887">
        <f>TaxYear</f>
        <v/>
      </c>
      <c r="AD3" s="7839" t="n"/>
      <c r="AE3" s="7839" t="n"/>
      <c r="AF3" s="7839" t="n"/>
      <c r="AG3" s="7839" t="n"/>
      <c r="AH3" s="7839" t="n"/>
      <c r="AI3" s="7839" t="n"/>
      <c r="AJ3" s="7839" t="n"/>
      <c r="AK3" s="2013" t="n"/>
      <c r="AL3" s="11602" t="n"/>
      <c r="AM3" s="11602" t="n"/>
      <c r="AN3" s="11602" t="n"/>
      <c r="AO3" s="11602" t="n"/>
      <c r="AP3" s="11602" t="n"/>
      <c r="AQ3" s="11602" t="n"/>
      <c r="AR3" s="11602" t="n"/>
      <c r="AS3" s="11602" t="n"/>
      <c r="AT3" s="11602" t="n"/>
      <c r="AU3" s="11602" t="n"/>
      <c r="AV3" s="11602" t="n"/>
      <c r="AW3" s="11602" t="n"/>
      <c r="AX3" s="11602" t="n"/>
      <c r="AY3" s="12714" t="inlineStr">
        <is>
          <t>Date</t>
        </is>
      </c>
      <c r="AZ3" s="658" t="n"/>
      <c r="BA3" s="658" t="n"/>
      <c r="BB3" s="658" t="n"/>
      <c r="BC3" s="658" t="n"/>
      <c r="BD3" s="658" t="n"/>
      <c r="BE3" s="658" t="n"/>
      <c r="BF3" s="658" t="n"/>
      <c r="BG3" s="658" t="n"/>
    </row>
    <row r="4" ht="6.75" customHeight="1" s="7635">
      <c r="A4" s="2013" t="n"/>
      <c r="B4" s="11602" t="n"/>
      <c r="C4" s="11602" t="n"/>
      <c r="D4" s="11602" t="n"/>
      <c r="E4" s="11602" t="n"/>
      <c r="F4" s="11602" t="n"/>
      <c r="G4" s="11602" t="n"/>
      <c r="H4" s="379" t="n"/>
      <c r="I4" s="2911" t="n"/>
      <c r="J4" s="9238" t="n"/>
      <c r="K4" s="9238" t="n"/>
      <c r="L4" s="9238" t="n"/>
      <c r="M4" s="9238" t="n"/>
      <c r="N4" s="9238" t="n"/>
      <c r="O4" s="9238" t="n"/>
      <c r="P4" s="9238" t="n"/>
      <c r="Q4" s="9238" t="n"/>
      <c r="R4" s="9238" t="n"/>
      <c r="S4" s="9238" t="n"/>
      <c r="T4" s="9238" t="n"/>
      <c r="U4" s="9238" t="n"/>
      <c r="V4" s="9238" t="n"/>
      <c r="W4" s="9238" t="n"/>
      <c r="X4" s="9238" t="n"/>
      <c r="Y4" s="9238" t="n"/>
      <c r="Z4" s="9238" t="n"/>
      <c r="AA4" s="9238" t="n"/>
      <c r="AB4" s="2912" t="n"/>
      <c r="AC4" s="11741" t="n"/>
      <c r="AK4" s="2013" t="n"/>
      <c r="AL4" s="11602" t="n"/>
      <c r="AM4" s="11602" t="n"/>
      <c r="AN4" s="11602" t="n"/>
      <c r="AO4" s="11602" t="n"/>
      <c r="AP4" s="11602" t="n"/>
      <c r="AQ4" s="11602" t="n"/>
      <c r="AR4" s="11602" t="n"/>
      <c r="AS4" s="11602" t="n"/>
      <c r="AT4" s="11602" t="n"/>
      <c r="AU4" s="11602" t="n"/>
      <c r="AV4" s="11602" t="n"/>
      <c r="AW4" s="11602" t="n"/>
      <c r="AX4" s="11602" t="n"/>
      <c r="AY4" s="11880" t="n"/>
      <c r="AZ4" s="658" t="n"/>
      <c r="BA4" s="658" t="n"/>
      <c r="BB4" s="658" t="n"/>
      <c r="BC4" s="658" t="n"/>
      <c r="BD4" s="658" t="n"/>
      <c r="BE4" s="658" t="n"/>
      <c r="BF4" s="658" t="n"/>
      <c r="BG4" s="658" t="n"/>
    </row>
    <row r="5" ht="12.75" customHeight="1" s="7635">
      <c r="A5" s="2013" t="n"/>
      <c r="B5" s="11602" t="inlineStr">
        <is>
          <t>Department of the Treasury</t>
        </is>
      </c>
      <c r="C5" s="11602" t="n"/>
      <c r="D5" s="11602" t="n"/>
      <c r="E5" s="11602" t="n"/>
      <c r="F5" s="11602" t="n"/>
      <c r="G5" s="11602" t="n"/>
      <c r="H5" s="379" t="n"/>
      <c r="I5" s="12716" t="inlineStr">
        <is>
          <t>Attach to Form 1040, 1040-SR, or 1040-NR.</t>
        </is>
      </c>
      <c r="AB5" s="1066" t="n"/>
      <c r="AC5" s="341" t="n"/>
      <c r="AD5" s="9237" t="inlineStr">
        <is>
          <t xml:space="preserve">   Attachment</t>
        </is>
      </c>
      <c r="AH5" s="9918" t="n">
        <v>54</v>
      </c>
      <c r="AJ5" s="11602" t="n"/>
      <c r="AK5" s="2013" t="n"/>
      <c r="AL5" s="11602" t="n"/>
      <c r="AM5" s="11602" t="n"/>
      <c r="AN5" s="11602" t="n"/>
      <c r="AO5" s="11602" t="n"/>
      <c r="AP5" s="11602" t="n"/>
      <c r="AQ5" s="11602" t="n"/>
      <c r="AR5" s="11602" t="n"/>
      <c r="AS5" s="11602" t="n"/>
      <c r="AT5" s="11602" t="n"/>
      <c r="AU5" s="11602" t="n"/>
      <c r="AV5" s="11602" t="n"/>
      <c r="AW5" s="11602" t="n"/>
      <c r="AX5" s="11602" t="n"/>
      <c r="AY5" s="11880" t="n"/>
      <c r="AZ5" s="658" t="n"/>
      <c r="BA5" s="658" t="n"/>
      <c r="BB5" s="658" t="n"/>
      <c r="BC5" s="658" t="n"/>
      <c r="BD5" s="658" t="n"/>
      <c r="BE5" s="658" t="n"/>
      <c r="BF5" s="658" t="n"/>
      <c r="BG5" s="658" t="n"/>
    </row>
    <row r="6" ht="13.5" customHeight="1" s="7635" thickBot="1">
      <c r="A6" s="2013" t="n"/>
      <c r="B6" s="380" t="inlineStr">
        <is>
          <t>Internal Revenue Service</t>
        </is>
      </c>
      <c r="C6" s="380" t="n"/>
      <c r="D6" s="380" t="n"/>
      <c r="E6" s="380" t="n"/>
      <c r="F6" s="380" t="n"/>
      <c r="G6" s="380" t="n"/>
      <c r="H6" s="381" t="n"/>
      <c r="I6" s="12717" t="inlineStr">
        <is>
          <t>Go to www.irs.gov/Form8880 for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21" t="inlineStr">
        <is>
          <t xml:space="preserve">Sequence No.  </t>
        </is>
      </c>
      <c r="AE6" s="8848" t="n"/>
      <c r="AF6" s="8848" t="n"/>
      <c r="AG6" s="8848" t="n"/>
      <c r="AH6" s="8848" t="n"/>
      <c r="AI6" s="8848" t="n"/>
      <c r="AJ6" s="380" t="n"/>
      <c r="AK6" s="2013" t="n"/>
      <c r="AL6" s="11602" t="n"/>
      <c r="AM6" s="11602" t="n"/>
      <c r="AN6" s="11602" t="n"/>
      <c r="AO6" s="11602" t="n"/>
      <c r="AP6" s="11602" t="n"/>
      <c r="AQ6" s="11602" t="n"/>
      <c r="AR6" s="11602" t="n"/>
      <c r="AS6" s="11602" t="n"/>
      <c r="AT6" s="11602" t="n"/>
      <c r="AU6" s="11602" t="n"/>
      <c r="AV6" s="11602" t="n"/>
      <c r="AW6" s="11602" t="n"/>
      <c r="AX6" s="11602" t="n"/>
      <c r="AY6" s="11880" t="n"/>
      <c r="AZ6" s="658" t="n"/>
      <c r="BA6" s="658" t="n"/>
      <c r="BB6" s="658" t="n"/>
      <c r="BC6" s="658" t="n"/>
      <c r="BD6" s="658" t="n"/>
      <c r="BE6" s="658" t="n"/>
      <c r="BF6" s="658" t="n"/>
      <c r="BG6" s="658" t="n"/>
    </row>
    <row r="7">
      <c r="A7" s="2013" t="n"/>
      <c r="B7" s="339" t="inlineStr">
        <is>
          <t>Name(s) shown on return</t>
        </is>
      </c>
      <c r="C7" s="339" t="n"/>
      <c r="D7" s="339" t="n"/>
      <c r="E7" s="339" t="n"/>
      <c r="F7" s="339" t="n"/>
      <c r="G7" s="339" t="n"/>
      <c r="H7" s="339" t="n"/>
      <c r="I7" s="339" t="n"/>
      <c r="J7" s="339" t="n"/>
      <c r="K7" s="339" t="n"/>
      <c r="L7" s="339" t="n"/>
      <c r="M7" s="339" t="n"/>
      <c r="N7" s="339" t="n"/>
      <c r="O7" s="339" t="n"/>
      <c r="P7" s="339" t="n"/>
      <c r="Q7" s="339" t="n"/>
      <c r="R7" s="339" t="n"/>
      <c r="S7" s="339" t="n"/>
      <c r="T7" s="339" t="n"/>
      <c r="U7" s="339" t="n"/>
      <c r="V7" s="339" t="n"/>
      <c r="W7" s="339" t="n"/>
      <c r="X7" s="339" t="n"/>
      <c r="Y7" s="2913" t="inlineStr">
        <is>
          <t>Your social security number</t>
        </is>
      </c>
      <c r="Z7" s="377" t="n"/>
      <c r="AA7" s="377" t="n"/>
      <c r="AB7" s="377" t="n"/>
      <c r="AC7" s="408" t="n"/>
      <c r="AD7" s="2019" t="n"/>
      <c r="AE7" s="2019" t="n"/>
      <c r="AF7" s="2019" t="n"/>
      <c r="AG7" s="2019" t="n"/>
      <c r="AH7" s="2019" t="n"/>
      <c r="AI7" s="2019" t="n"/>
      <c r="AJ7" s="2019" t="n"/>
      <c r="AK7" s="2013" t="n"/>
      <c r="AL7" s="11602" t="n"/>
      <c r="AM7" s="11602" t="n"/>
      <c r="AN7" s="11602" t="n"/>
      <c r="AO7" s="11602" t="n"/>
      <c r="AP7" s="11602" t="n"/>
      <c r="AQ7" s="11602" t="n"/>
      <c r="AR7" s="11602" t="n"/>
      <c r="AS7" s="11602" t="n"/>
      <c r="AT7" s="11602" t="n"/>
      <c r="AU7" s="11602" t="n"/>
      <c r="AV7" s="11602" t="n"/>
      <c r="AW7" s="11602" t="n"/>
      <c r="AX7" s="11602" t="n"/>
      <c r="AY7" s="11880" t="n"/>
      <c r="AZ7" s="658" t="n"/>
      <c r="BA7" s="658" t="n"/>
      <c r="BB7" s="658" t="n"/>
      <c r="BC7" s="658" t="n"/>
      <c r="BD7" s="658" t="n"/>
      <c r="BE7" s="658" t="n"/>
      <c r="BF7" s="658" t="n"/>
      <c r="BG7" s="658" t="n"/>
    </row>
    <row r="8">
      <c r="A8" s="2013" t="n"/>
      <c r="B8" s="12428">
        <f>IF(Names="","",Names)</f>
        <v/>
      </c>
      <c r="X8" s="7636" t="n"/>
      <c r="Y8" s="12429">
        <f>IF(OR(NoSSN,SS_Yours=""),"",SS_Yours)</f>
        <v/>
      </c>
      <c r="AK8" s="2013" t="n"/>
      <c r="AL8" s="11602" t="n"/>
      <c r="AM8" s="11602" t="n"/>
      <c r="AN8" s="11602" t="n"/>
      <c r="AO8" s="11602" t="n"/>
      <c r="AP8" s="11602" t="n"/>
      <c r="AQ8" s="11602" t="n"/>
      <c r="AR8" s="11602" t="n"/>
      <c r="AS8" s="11602" t="n"/>
      <c r="AT8" s="11602" t="n"/>
      <c r="AU8" s="11602" t="n"/>
      <c r="AV8" s="11602" t="n"/>
      <c r="AW8" s="11602" t="n"/>
      <c r="AX8" s="11602" t="n"/>
      <c r="AY8" s="11880" t="n"/>
      <c r="AZ8" s="658" t="n"/>
      <c r="BA8" s="658" t="n"/>
      <c r="BB8" s="658" t="n"/>
      <c r="BC8" s="658" t="n"/>
      <c r="BD8" s="658" t="n"/>
      <c r="BE8" s="658" t="n"/>
      <c r="BF8" s="658" t="n"/>
      <c r="BG8" s="658" t="n"/>
    </row>
    <row r="9">
      <c r="A9" s="2013" t="n"/>
      <c r="B9" s="7637" t="n"/>
      <c r="C9" s="7637" t="n"/>
      <c r="D9" s="7637" t="n"/>
      <c r="E9" s="7637" t="n"/>
      <c r="F9" s="7637" t="n"/>
      <c r="G9" s="7637" t="n"/>
      <c r="H9" s="7637" t="n"/>
      <c r="I9" s="7637" t="n"/>
      <c r="J9" s="7637" t="n"/>
      <c r="K9" s="7637" t="n"/>
      <c r="L9" s="7637" t="n"/>
      <c r="M9" s="7637" t="n"/>
      <c r="N9" s="7637" t="n"/>
      <c r="O9" s="7637" t="n"/>
      <c r="P9" s="7637" t="n"/>
      <c r="Q9" s="7637" t="n"/>
      <c r="R9" s="7637" t="n"/>
      <c r="S9" s="7637" t="n"/>
      <c r="T9" s="7637" t="n"/>
      <c r="U9" s="7637" t="n"/>
      <c r="V9" s="7637" t="n"/>
      <c r="W9" s="7637" t="n"/>
      <c r="X9" s="7638" t="n"/>
      <c r="Y9" s="3614" t="n"/>
      <c r="Z9" s="7637" t="n"/>
      <c r="AA9" s="7637" t="n"/>
      <c r="AB9" s="7637" t="n"/>
      <c r="AC9" s="7637" t="n"/>
      <c r="AD9" s="7637" t="n"/>
      <c r="AE9" s="7637" t="n"/>
      <c r="AF9" s="7637" t="n"/>
      <c r="AG9" s="7637" t="n"/>
      <c r="AH9" s="7637" t="n"/>
      <c r="AI9" s="7637" t="n"/>
      <c r="AJ9" s="7637" t="n"/>
      <c r="AK9" s="2013" t="n"/>
      <c r="AL9" s="11602" t="n"/>
      <c r="AM9" s="11602" t="n"/>
      <c r="AN9" s="11602" t="n"/>
      <c r="AO9" s="11602" t="n"/>
      <c r="AP9" s="11602" t="n"/>
      <c r="AQ9" s="11602" t="n"/>
      <c r="AR9" s="11602" t="n"/>
      <c r="AS9" s="11602" t="n"/>
      <c r="AT9" s="11602" t="n"/>
      <c r="AU9" s="11602" t="n"/>
      <c r="AV9" s="11602" t="n"/>
      <c r="AW9" s="11602" t="n"/>
      <c r="AX9" s="11602" t="n"/>
      <c r="AY9" s="11880" t="n"/>
      <c r="AZ9" s="658" t="n"/>
      <c r="BA9" s="658" t="n"/>
      <c r="BB9" s="658" t="n"/>
      <c r="BC9" s="658" t="n"/>
      <c r="BD9" s="658" t="n"/>
      <c r="BE9" s="658" t="n"/>
      <c r="BF9" s="658" t="n"/>
      <c r="BG9" s="658" t="n"/>
    </row>
    <row r="10" ht="16.5" customHeight="1" s="7635">
      <c r="A10" s="2013" t="n"/>
      <c r="B10" s="1320" t="n"/>
      <c r="C10" s="1320" t="n"/>
      <c r="D10" s="1320" t="n"/>
      <c r="E10" s="1405" t="inlineStr">
        <is>
          <t>You cannot take this credit if either of the following applies.</t>
        </is>
      </c>
      <c r="F10" s="1320" t="n"/>
      <c r="G10" s="1320" t="n"/>
      <c r="H10" s="1320" t="n"/>
      <c r="I10" s="1320" t="n"/>
      <c r="J10" s="1320" t="n"/>
      <c r="K10" s="1320" t="n"/>
      <c r="L10" s="1320" t="n"/>
      <c r="M10" s="1320" t="n"/>
      <c r="N10" s="1320" t="n"/>
      <c r="O10" s="1320" t="n"/>
      <c r="P10" s="1320" t="n"/>
      <c r="Q10" s="1320" t="n"/>
      <c r="R10" s="1320" t="n"/>
      <c r="S10" s="1320" t="n"/>
      <c r="T10" s="1320" t="n"/>
      <c r="U10" s="1320" t="n"/>
      <c r="V10" s="1320" t="n"/>
      <c r="W10" s="1320" t="n"/>
      <c r="X10" s="1320" t="n"/>
      <c r="Y10" s="1320" t="n"/>
      <c r="Z10" s="1320" t="n"/>
      <c r="AA10" s="1320" t="n"/>
      <c r="AB10" s="1320" t="n"/>
      <c r="AC10" s="1320" t="n"/>
      <c r="AD10" s="1320" t="n"/>
      <c r="AE10" s="1320" t="n"/>
      <c r="AF10" s="1320" t="n"/>
      <c r="AG10" s="1320" t="n"/>
      <c r="AH10" s="1320" t="n"/>
      <c r="AI10" s="11602" t="n"/>
      <c r="AJ10" s="11602" t="n"/>
      <c r="AK10" s="2013" t="n"/>
      <c r="AL10" s="11602" t="n"/>
      <c r="AM10" s="11602" t="n"/>
      <c r="AN10" s="11602" t="n"/>
      <c r="AO10" s="11602" t="n"/>
      <c r="AP10" s="11602" t="n"/>
      <c r="AQ10" s="11602" t="n"/>
      <c r="AR10" s="11602" t="n"/>
      <c r="AS10" s="11602" t="n"/>
      <c r="AT10" s="11602" t="n"/>
      <c r="AU10" s="11602" t="n"/>
      <c r="AV10" s="11602" t="n"/>
      <c r="AW10" s="11602" t="n"/>
      <c r="AX10" s="11602" t="n"/>
      <c r="AY10" s="11880" t="n"/>
      <c r="AZ10" s="658" t="n"/>
      <c r="BA10" s="658" t="n"/>
      <c r="BB10" s="658" t="n"/>
      <c r="BC10" s="658" t="n"/>
      <c r="BD10" s="658" t="n"/>
      <c r="BE10" s="658" t="n"/>
      <c r="BF10" s="658" t="n"/>
      <c r="BG10" s="658" t="n"/>
    </row>
    <row r="11" ht="15" customHeight="1" s="7635">
      <c r="A11" s="2013" t="n"/>
      <c r="B11" s="1052" t="n"/>
      <c r="C11" s="1052" t="n"/>
      <c r="D11" s="1052" t="n"/>
      <c r="E11" s="873" t="inlineStr">
        <is>
          <t>●</t>
        </is>
      </c>
      <c r="F11" s="2914">
        <f>"The amount on Form 1040, 1040-SR, or 1040-NR, line 11, is more than "&amp;TEXT(AB12,"$0,000")&amp;" ("&amp;TEXT(AE12,"$0,000")&amp;" if head of household; "&amp;TEXT(AH12,"$0,000")&amp;" if"</f>
        <v/>
      </c>
      <c r="G11" s="1052" t="n"/>
      <c r="H11" s="1052" t="n"/>
      <c r="I11" s="1052" t="n"/>
      <c r="J11" s="1052" t="n"/>
      <c r="K11" s="1052" t="n"/>
      <c r="L11" s="1052" t="n"/>
      <c r="M11" s="1052" t="n"/>
      <c r="N11" s="1052" t="n"/>
      <c r="O11" s="1052" t="n"/>
      <c r="P11" s="1052" t="n"/>
      <c r="Q11" s="1052" t="n"/>
      <c r="R11" s="1052" t="n"/>
      <c r="S11" s="1052" t="n"/>
      <c r="T11" s="1052" t="n"/>
      <c r="U11" s="1052" t="n"/>
      <c r="V11" s="1052" t="n"/>
      <c r="W11" s="1052" t="n"/>
      <c r="X11" s="1052" t="n"/>
      <c r="Y11" s="1052" t="n"/>
      <c r="Z11" s="1052" t="n"/>
      <c r="AA11" s="1052" t="n"/>
      <c r="AB11" s="1052" t="n"/>
      <c r="AC11" s="1052" t="n"/>
      <c r="AD11" s="1052" t="n"/>
      <c r="AE11" s="1052" t="n"/>
      <c r="AF11" s="1052" t="n"/>
      <c r="AG11" s="1052" t="n"/>
      <c r="AH11" s="1052" t="n"/>
      <c r="AI11" s="11602" t="n"/>
      <c r="AJ11" s="11602" t="n"/>
      <c r="AK11" s="1796" t="n"/>
      <c r="AL11" s="11602">
        <f>IF(OR(V12,R15)," Hide emphasis.","")</f>
        <v/>
      </c>
      <c r="AM11" s="11602" t="n"/>
      <c r="AN11" s="11602" t="n"/>
      <c r="AO11" s="11602" t="n"/>
      <c r="AP11" s="11602" t="n"/>
      <c r="AQ11" s="11602" t="n"/>
      <c r="AR11" s="11602" t="n"/>
      <c r="AS11" s="11602" t="n"/>
      <c r="AT11" s="11602" t="n"/>
      <c r="AU11" s="11602" t="n"/>
      <c r="AV11" s="11602" t="n"/>
      <c r="AW11" s="11602" t="n"/>
      <c r="AX11" s="11602" t="n"/>
      <c r="AY11" s="11880" t="n"/>
      <c r="AZ11" s="658" t="n"/>
      <c r="BA11" s="658" t="n"/>
      <c r="BB11" s="658" t="n"/>
      <c r="BC11" s="658" t="n"/>
      <c r="BD11" s="658" t="n"/>
      <c r="BE11" s="658" t="n"/>
      <c r="BF11" s="658" t="n"/>
      <c r="BG11" s="658" t="n"/>
    </row>
    <row r="12" ht="15" customHeight="1" s="7635">
      <c r="A12" s="2013" t="n"/>
      <c r="B12" s="1052" t="n"/>
      <c r="C12" s="1052" t="n"/>
      <c r="D12" s="1052" t="n"/>
      <c r="E12" s="2914" t="inlineStr">
        <is>
          <t>married filing jointly.</t>
        </is>
      </c>
      <c r="F12" s="1052" t="n"/>
      <c r="G12" s="1052" t="n"/>
      <c r="H12" s="1052" t="n"/>
      <c r="I12" s="1052" t="n"/>
      <c r="J12" s="1052" t="n"/>
      <c r="K12" s="1052" t="n"/>
      <c r="L12" s="1052" t="n"/>
      <c r="M12" s="1052" t="n"/>
      <c r="N12" s="1052" t="n"/>
      <c r="O12" s="1052" t="n"/>
      <c r="P12" s="1052" t="n"/>
      <c r="Q12" s="1052" t="n"/>
      <c r="R12" s="1052" t="n"/>
      <c r="S12" s="1052" t="n"/>
      <c r="T12" s="1052" t="n"/>
      <c r="U12" s="1052" t="n"/>
      <c r="V12" s="11193">
        <f>AND(NumFileStatusBoxes=1,Adj_Gross_Inc&gt;Y12)</f>
        <v/>
      </c>
      <c r="Y12" s="11199">
        <f>IF(File_Marr_Joint&lt;&gt;"",AH12,IF(File_Head&lt;&gt;"",AE12,IF(NumFileStatusBoxes=1,AB12,"")))</f>
        <v/>
      </c>
      <c r="AB12" s="11199">
        <f>AW32</f>
        <v/>
      </c>
      <c r="AE12" s="11199">
        <f>AV32</f>
        <v/>
      </c>
      <c r="AH12" s="11199">
        <f>AU32</f>
        <v/>
      </c>
      <c r="AK12" s="1796" t="n"/>
      <c r="AL12" s="9238">
        <f>IF(OR(V12,R15)," Override CAUTION.","")</f>
        <v/>
      </c>
      <c r="AM12" s="11602" t="n"/>
      <c r="AN12" s="11602" t="n"/>
      <c r="AO12" s="11602" t="n"/>
      <c r="AP12" s="11602" t="n"/>
      <c r="AQ12" s="11602" t="n"/>
      <c r="AR12" s="11602" t="n"/>
      <c r="AS12" s="11602" t="n"/>
      <c r="AT12" s="11602" t="n"/>
      <c r="AU12" s="11602" t="n"/>
      <c r="AV12" s="11602" t="n"/>
      <c r="AW12" s="11602" t="n"/>
      <c r="AX12" s="11602" t="n"/>
      <c r="AY12" s="11880" t="n"/>
      <c r="AZ12" s="658" t="n"/>
      <c r="BA12" s="658" t="n"/>
      <c r="BB12" s="658" t="n"/>
      <c r="BC12" s="658" t="n"/>
      <c r="BD12" s="658" t="n"/>
      <c r="BE12" s="658" t="n"/>
      <c r="BF12" s="658" t="n"/>
      <c r="BG12" s="658" t="n"/>
    </row>
    <row r="13" ht="15" customHeight="1" s="7635">
      <c r="A13" s="2013" t="n"/>
      <c r="B13" s="1052" t="n"/>
      <c r="C13" s="1052" t="n"/>
      <c r="D13" s="1052" t="n"/>
      <c r="E13" s="873" t="inlineStr">
        <is>
          <t>●</t>
        </is>
      </c>
      <c r="F13" s="2914" t="inlineStr">
        <is>
          <t>The person(s) who made the qualified contribution or elective deferral  (a) was</t>
        </is>
      </c>
      <c r="G13" s="1052" t="n"/>
      <c r="H13" s="1052" t="n"/>
      <c r="I13" s="1052" t="n"/>
      <c r="J13" s="1052" t="n"/>
      <c r="K13" s="1052" t="n"/>
      <c r="L13" s="1052" t="n"/>
      <c r="M13" s="1052" t="n"/>
      <c r="N13" s="1052" t="n"/>
      <c r="O13" s="1052" t="n"/>
      <c r="P13" s="1052" t="n"/>
      <c r="Q13" s="1052" t="n"/>
      <c r="R13" s="1052" t="n"/>
      <c r="S13" s="1052" t="n"/>
      <c r="T13" s="1052" t="n"/>
      <c r="U13" s="1052" t="n"/>
      <c r="V13" s="2914" t="n"/>
      <c r="W13" s="2914" t="n"/>
      <c r="X13" s="2914" t="n"/>
      <c r="Y13" s="2914">
        <f>"born after January 1, "&amp;TaxYear-17&amp;";"</f>
        <v/>
      </c>
      <c r="Z13" s="1052" t="n"/>
      <c r="AA13" s="1052" t="n"/>
      <c r="AB13" s="1052" t="n"/>
      <c r="AC13" s="1052" t="n"/>
      <c r="AD13" s="1052" t="n"/>
      <c r="AE13" s="2914" t="n"/>
      <c r="AF13" s="2914" t="inlineStr">
        <is>
          <t>(b) is claimed as a</t>
        </is>
      </c>
      <c r="AG13" s="1052" t="n"/>
      <c r="AH13" s="1052" t="n"/>
      <c r="AI13" s="11602" t="n"/>
      <c r="AJ13" s="11602" t="n"/>
      <c r="AK13" s="2013" t="n"/>
      <c r="AL13" s="11602" t="n"/>
      <c r="AM13" s="11602" t="n"/>
      <c r="AN13" s="11602" t="n"/>
      <c r="AO13" s="11602" t="n"/>
      <c r="AP13" s="11602" t="n"/>
      <c r="AQ13" s="11602" t="n"/>
      <c r="AR13" s="11602" t="n"/>
      <c r="AS13" s="11602" t="n"/>
      <c r="AT13" s="11602" t="n"/>
      <c r="AU13" s="11602" t="n"/>
      <c r="AV13" s="11602" t="n"/>
      <c r="AW13" s="11602" t="n"/>
      <c r="AX13" s="11602" t="n"/>
      <c r="AY13" s="11880" t="n"/>
      <c r="AZ13" s="658" t="n"/>
      <c r="BA13" s="658" t="n"/>
      <c r="BB13" s="658" t="n"/>
      <c r="BC13" s="658" t="n"/>
      <c r="BD13" s="658" t="n"/>
      <c r="BE13" s="658" t="n"/>
      <c r="BF13" s="658" t="n"/>
      <c r="BG13" s="658" t="n"/>
    </row>
    <row r="14" ht="15" customHeight="1" s="7635" thickBot="1">
      <c r="A14" s="2013" t="n"/>
      <c r="B14" s="1052" t="n"/>
      <c r="C14" s="1052" t="n"/>
      <c r="D14" s="1052" t="n"/>
      <c r="E14" s="2914">
        <f>"dependent on someone else’s "&amp;TaxYear&amp;" tax return;"</f>
        <v/>
      </c>
      <c r="F14" s="1052" t="n"/>
      <c r="G14" s="1052" t="n"/>
      <c r="H14" s="1052" t="n"/>
      <c r="I14" s="1052" t="n"/>
      <c r="J14" s="1052" t="n"/>
      <c r="K14" s="1052" t="n"/>
      <c r="L14" s="1052" t="n"/>
      <c r="M14" s="1052" t="n"/>
      <c r="N14" s="1052" t="n"/>
      <c r="O14" s="1052" t="n"/>
      <c r="P14" s="2915" t="inlineStr">
        <is>
          <t>or (c) was a student (see instructions).</t>
        </is>
      </c>
      <c r="Q14" s="1052" t="n"/>
      <c r="R14" s="1052" t="n"/>
      <c r="S14" s="1052" t="n"/>
      <c r="T14" s="1052" t="n"/>
      <c r="U14" s="1052" t="n"/>
      <c r="V14" s="1052" t="n"/>
      <c r="W14" s="1052" t="n"/>
      <c r="X14" s="1052" t="n"/>
      <c r="Y14" s="1052" t="n"/>
      <c r="Z14" s="1052" t="n"/>
      <c r="AA14" s="1052" t="n"/>
      <c r="AB14" s="1052" t="n"/>
      <c r="AC14" s="11204">
        <f>OR(AE14,AH14)</f>
        <v/>
      </c>
      <c r="AD14" s="8848" t="n"/>
      <c r="AE14" s="11204">
        <f>YourAge&lt;=17</f>
        <v/>
      </c>
      <c r="AF14" s="8848" t="n"/>
      <c r="AG14" s="8848" t="n"/>
      <c r="AH14" s="11204">
        <f>SpouseAge&lt;=17</f>
        <v/>
      </c>
      <c r="AI14" s="8848" t="n"/>
      <c r="AJ14" s="8848" t="n"/>
      <c r="AK14" s="2013" t="n"/>
      <c r="AL14" s="11602" t="n"/>
      <c r="AM14" s="11602" t="n"/>
      <c r="AN14" s="11602" t="n"/>
      <c r="AO14" s="11602" t="n"/>
      <c r="AP14" s="11602" t="n"/>
      <c r="AQ14" s="11602" t="n"/>
      <c r="AR14" s="11602" t="n"/>
      <c r="AS14" s="11602" t="n"/>
      <c r="AT14" s="11602" t="n"/>
      <c r="AU14" s="11602" t="n"/>
      <c r="AV14" s="11602" t="n"/>
      <c r="AW14" s="11602" t="n"/>
      <c r="AX14" s="11602" t="n"/>
      <c r="AY14" s="11880" t="n"/>
      <c r="AZ14" s="658" t="n"/>
      <c r="BA14" s="658" t="n"/>
      <c r="BB14" s="658" t="n"/>
      <c r="BC14" s="658" t="n"/>
      <c r="BD14" s="658" t="n"/>
      <c r="BE14" s="658" t="n"/>
      <c r="BF14" s="658" t="n"/>
      <c r="BG14" s="658" t="n"/>
    </row>
    <row r="15" ht="15" customHeight="1" s="7635">
      <c r="A15" s="2013" t="n"/>
      <c r="B15" s="1052" t="n"/>
      <c r="C15" s="1052" t="n"/>
      <c r="D15" s="1052" t="n"/>
      <c r="E15" s="1052" t="n"/>
      <c r="F15" s="1052" t="n"/>
      <c r="G15" s="1052" t="n"/>
      <c r="H15" s="1052" t="n"/>
      <c r="I15" s="1052" t="n"/>
      <c r="J15" s="1052" t="n"/>
      <c r="K15" s="1052" t="n"/>
      <c r="L15" s="1052" t="n"/>
      <c r="M15" s="1052" t="n"/>
      <c r="N15" s="1052" t="n"/>
      <c r="O15" s="1052" t="n"/>
      <c r="P15" s="1052" t="n"/>
      <c r="Q15" s="1052" t="n"/>
      <c r="R15" s="11193">
        <f>OR(T15,V15)</f>
        <v/>
      </c>
      <c r="T15" s="11193">
        <f>DependentYOU&lt;&gt;""</f>
        <v/>
      </c>
      <c r="V15" s="11194">
        <f>DependentSPOUSE&lt;&gt;""</f>
        <v/>
      </c>
      <c r="W15" s="7636" t="n"/>
      <c r="X15" s="2916" t="n"/>
      <c r="Y15" s="12748" t="inlineStr">
        <is>
          <t>(a) You</t>
        </is>
      </c>
      <c r="Z15" s="12097" t="n"/>
      <c r="AA15" s="12097" t="n"/>
      <c r="AB15" s="12097" t="n"/>
      <c r="AC15" s="12097" t="n"/>
      <c r="AD15" s="12523" t="n"/>
      <c r="AE15" s="12749" t="inlineStr">
        <is>
          <t>(b) Your spouse</t>
        </is>
      </c>
      <c r="AF15" s="12097" t="n"/>
      <c r="AG15" s="12097" t="n"/>
      <c r="AH15" s="12097" t="n"/>
      <c r="AI15" s="12097" t="n"/>
      <c r="AJ15" s="12523" t="n"/>
      <c r="AK15" s="2013" t="n"/>
      <c r="AL15" s="11602" t="n"/>
      <c r="AM15" s="11602" t="n"/>
      <c r="AN15" s="11602" t="n"/>
      <c r="AO15" s="11602" t="n"/>
      <c r="AP15" s="11602" t="n"/>
      <c r="AQ15" s="11602" t="n"/>
      <c r="AR15" s="11602" t="n"/>
      <c r="AS15" s="11602" t="n"/>
      <c r="AT15" s="11602" t="n"/>
      <c r="AU15" s="11602" t="n"/>
      <c r="AV15" s="11602" t="n"/>
      <c r="AW15" s="11602" t="n"/>
      <c r="AX15" s="11602" t="n"/>
      <c r="AY15" s="11880" t="n"/>
      <c r="AZ15" s="658" t="n"/>
      <c r="BA15" s="658" t="n"/>
      <c r="BB15" s="658" t="n"/>
      <c r="BC15" s="658" t="n"/>
      <c r="BD15" s="658" t="n"/>
      <c r="BE15" s="658" t="n"/>
      <c r="BF15" s="658" t="n"/>
      <c r="BG15" s="658" t="n"/>
    </row>
    <row r="16" ht="18" customFormat="1" customHeight="1" s="658">
      <c r="A16" s="2013" t="n"/>
      <c r="B16" s="11602" t="n"/>
      <c r="C16" s="2917" t="inlineStr">
        <is>
          <t>1</t>
        </is>
      </c>
      <c r="D16" s="7772" t="inlineStr">
        <is>
          <t>Traditional and Roth IRA contributions, and ABLE account contributions by the</t>
        </is>
      </c>
      <c r="E16" s="11602" t="n"/>
      <c r="F16" s="11602" t="n"/>
      <c r="G16" s="11602" t="n"/>
      <c r="H16" s="11602" t="n"/>
      <c r="I16" s="11602" t="n"/>
      <c r="J16" s="11602" t="n"/>
      <c r="K16" s="11602" t="n"/>
      <c r="L16" s="11602" t="n"/>
      <c r="M16" s="11602" t="n"/>
      <c r="N16" s="11602" t="n"/>
      <c r="O16" s="11602" t="n"/>
      <c r="P16" s="11602" t="n"/>
      <c r="Q16" s="11602" t="n"/>
      <c r="R16" s="11602" t="n"/>
      <c r="S16" s="11602" t="n"/>
      <c r="T16" s="11602" t="n"/>
      <c r="U16" s="11602" t="n"/>
      <c r="V16" s="11602" t="n"/>
      <c r="W16" s="9774" t="n"/>
      <c r="X16" s="726" t="n"/>
      <c r="Y16" s="405" t="n"/>
      <c r="Z16" s="406" t="n"/>
      <c r="AA16" s="406" t="n"/>
      <c r="AB16" s="406" t="n"/>
      <c r="AC16" s="10797">
        <f>AND(AK12="",OR(V12,T15,AE14))</f>
        <v/>
      </c>
      <c r="AD16" s="10091" t="n"/>
      <c r="AE16" s="11602" t="n"/>
      <c r="AF16" s="11602" t="n"/>
      <c r="AG16" s="11602" t="n"/>
      <c r="AH16" s="11602" t="n"/>
      <c r="AI16" s="10732">
        <f>AND(AK12="",OR(V12,V15,AH14))</f>
        <v/>
      </c>
      <c r="AJ16" s="7839" t="n"/>
      <c r="AK16" s="2013" t="n"/>
      <c r="AL16" s="11602" t="n"/>
      <c r="AM16" s="11602" t="n"/>
      <c r="AN16" s="11602" t="n"/>
      <c r="AO16" s="11602" t="n"/>
      <c r="AP16" s="11602" t="n"/>
      <c r="AQ16" s="11602" t="n"/>
      <c r="AR16" s="11602" t="n"/>
      <c r="AS16" s="11602" t="n"/>
      <c r="AT16" s="11602" t="n"/>
      <c r="AU16" s="11602" t="n"/>
      <c r="AV16" s="11602" t="n"/>
      <c r="AW16" s="11602" t="n"/>
      <c r="AX16" s="11602" t="n"/>
      <c r="AY16" s="11880" t="n"/>
    </row>
    <row r="17" ht="15" customFormat="1" customHeight="1" s="658">
      <c r="A17" s="2013" t="n"/>
      <c r="B17" s="11602" t="n"/>
      <c r="C17" s="2917" t="n"/>
      <c r="D17" s="7772">
        <f>"designated beneficiary for "&amp;TaxYear&amp;"."</f>
        <v/>
      </c>
      <c r="E17" s="11602" t="n"/>
      <c r="F17" s="11602" t="n"/>
      <c r="G17" s="11602" t="n"/>
      <c r="H17" s="11602" t="n"/>
      <c r="I17" s="11602" t="n"/>
      <c r="J17" s="11602" t="n"/>
      <c r="K17" s="11602" t="n"/>
      <c r="L17" s="11602" t="n"/>
      <c r="M17" s="7772" t="inlineStr">
        <is>
          <t>Do not include rollover contributions</t>
        </is>
      </c>
      <c r="N17" s="11602" t="n"/>
      <c r="O17" s="11602" t="n"/>
      <c r="P17" s="11602" t="n"/>
      <c r="Q17" s="11602" t="n"/>
      <c r="R17" s="11602" t="n"/>
      <c r="S17" s="11602" t="n"/>
      <c r="T17" s="11602" t="n"/>
      <c r="U17" s="11602" t="n"/>
      <c r="V17" s="11602" t="n"/>
      <c r="W17" s="9774" t="n"/>
      <c r="X17" s="2918" t="inlineStr">
        <is>
          <t>1</t>
        </is>
      </c>
      <c r="Y17" s="11200" t="n"/>
      <c r="Z17" s="11717" t="n"/>
      <c r="AA17" s="11717" t="n"/>
      <c r="AB17" s="11717" t="n"/>
      <c r="AC17" s="11717" t="n"/>
      <c r="AD17" s="11718" t="n"/>
      <c r="AE17" s="11200" t="n"/>
      <c r="AF17" s="11717" t="n"/>
      <c r="AG17" s="11717" t="n"/>
      <c r="AH17" s="11717" t="n"/>
      <c r="AI17" s="11717" t="n"/>
      <c r="AJ17" s="11718" t="n"/>
      <c r="AK17" s="2013" t="n"/>
      <c r="AL17" s="7914" t="inlineStr">
        <is>
          <t>Override</t>
        </is>
      </c>
      <c r="AO17" s="11602" t="n"/>
      <c r="AP17" s="11602" t="n"/>
      <c r="AQ17" s="11602" t="n"/>
      <c r="AR17" s="11602" t="n"/>
      <c r="AS17" s="11602" t="n"/>
      <c r="AT17" s="11602" t="n"/>
      <c r="AU17" s="11602" t="n"/>
      <c r="AV17" s="11602" t="n"/>
      <c r="AW17" s="11602" t="n"/>
      <c r="AX17" s="11602" t="n"/>
      <c r="AY17" s="11880" t="n"/>
    </row>
    <row r="18" ht="15" customFormat="1" customHeight="1" s="658">
      <c r="A18" s="2013" t="n"/>
      <c r="B18" s="11602" t="n"/>
      <c r="C18" s="2917" t="inlineStr">
        <is>
          <t>2</t>
        </is>
      </c>
      <c r="D18" s="7772" t="inlineStr">
        <is>
          <t>Elective deferrals to 401(k) or other qualified employer plan, voluntary employee</t>
        </is>
      </c>
      <c r="E18" s="11602" t="n"/>
      <c r="F18" s="344" t="n"/>
      <c r="G18" s="11602" t="n"/>
      <c r="H18" s="11602" t="n"/>
      <c r="I18" s="11602" t="n"/>
      <c r="J18" s="11602" t="n"/>
      <c r="K18" s="11602" t="n"/>
      <c r="L18" s="11602" t="n"/>
      <c r="M18" s="11602" t="n"/>
      <c r="N18" s="11602" t="n"/>
      <c r="O18" s="11602" t="n"/>
      <c r="P18" s="11602" t="n"/>
      <c r="Q18" s="11602" t="n"/>
      <c r="R18" s="11602" t="n"/>
      <c r="S18" s="11602" t="n"/>
      <c r="T18" s="11602" t="n"/>
      <c r="U18" s="11602" t="n"/>
      <c r="V18" s="11602" t="n"/>
      <c r="W18" s="9774" t="n"/>
      <c r="X18" s="726" t="n"/>
      <c r="Y18" s="405" t="n"/>
      <c r="Z18" s="406" t="n"/>
      <c r="AA18" s="406" t="n"/>
      <c r="AB18" s="406" t="n"/>
      <c r="AC18" s="406" t="n"/>
      <c r="AD18" s="407" t="n"/>
      <c r="AE18" s="11602" t="n"/>
      <c r="AF18" s="11602" t="n"/>
      <c r="AG18" s="11602" t="n"/>
      <c r="AH18" s="11602" t="n"/>
      <c r="AI18" s="11602" t="n"/>
      <c r="AJ18" s="11602" t="n"/>
      <c r="AK18" s="2013" t="n"/>
      <c r="AL18" s="10800" t="n"/>
      <c r="AM18" s="11717" t="n"/>
      <c r="AN18" s="11717" t="n"/>
      <c r="AO18" s="7886" t="inlineStr">
        <is>
          <t>(a) You</t>
        </is>
      </c>
      <c r="AP18" s="11602" t="n"/>
      <c r="AQ18" s="11602" t="n"/>
      <c r="AR18" s="11602" t="n"/>
      <c r="AS18" s="11602" t="n"/>
      <c r="AT18" s="11602" t="n"/>
      <c r="AU18" s="11602" t="n"/>
      <c r="AV18" s="11602" t="n"/>
      <c r="AW18" s="11602" t="n"/>
      <c r="AX18" s="11602" t="n"/>
      <c r="AY18" s="11880" t="n"/>
    </row>
    <row r="19" ht="15" customFormat="1" customHeight="1" s="658" thickBot="1">
      <c r="A19" s="2013" t="n"/>
      <c r="B19" s="11602" t="n"/>
      <c r="C19" s="2917" t="n"/>
      <c r="D19" s="7772">
        <f>"contributions, and 501(c)(18)(D) plan contributions for "&amp;TaxYear&amp;" (see instructions)"</f>
        <v/>
      </c>
      <c r="E19" s="11602" t="n"/>
      <c r="F19" s="11602" t="n"/>
      <c r="G19" s="11602" t="n"/>
      <c r="H19" s="11602" t="n"/>
      <c r="I19" s="11602" t="n"/>
      <c r="J19" s="11602" t="n"/>
      <c r="K19" s="11602" t="n"/>
      <c r="L19" s="11602" t="n"/>
      <c r="M19" s="11602" t="n"/>
      <c r="N19" s="11602" t="n"/>
      <c r="O19" s="11602" t="n"/>
      <c r="P19" s="11602" t="n"/>
      <c r="Q19" s="11602" t="n"/>
      <c r="R19" s="11602" t="n"/>
      <c r="S19" s="11602" t="n"/>
      <c r="T19" s="11602" t="n"/>
      <c r="U19" s="11602" t="n"/>
      <c r="V19" s="11602" t="n"/>
      <c r="W19" s="9774" t="n"/>
      <c r="X19" s="2919" t="inlineStr">
        <is>
          <t>2</t>
        </is>
      </c>
      <c r="Y19" s="11202">
        <f>IF(AL18&lt;&gt;"",ROUND(AL18,0),SUM(Elect_Def_to_501c18D_You,Elect_Def_to_SIMPLE_You))</f>
        <v/>
      </c>
      <c r="Z19" s="8848" t="n"/>
      <c r="AA19" s="8848" t="n"/>
      <c r="AB19" s="8848" t="n"/>
      <c r="AC19" s="8848" t="n"/>
      <c r="AD19" s="12121" t="n"/>
      <c r="AE19" s="11202">
        <f>IF(AL19&lt;&gt;"",ROUND(AL19,0),SUM(Elect_Def_to_501c18D_Spouse,Elect_Def_to_SIMPLE_Spouse))</f>
        <v/>
      </c>
      <c r="AF19" s="8848" t="n"/>
      <c r="AG19" s="8848" t="n"/>
      <c r="AH19" s="8848" t="n"/>
      <c r="AI19" s="8848" t="n"/>
      <c r="AJ19" s="12121" t="n"/>
      <c r="AK19" s="2013" t="n"/>
      <c r="AL19" s="10800" t="n"/>
      <c r="AM19" s="11717" t="n"/>
      <c r="AN19" s="11717" t="n"/>
      <c r="AO19" s="7886" t="inlineStr">
        <is>
          <t>(b) Your spouse</t>
        </is>
      </c>
      <c r="AP19" s="11602" t="n"/>
      <c r="AQ19" s="11602" t="n"/>
      <c r="AR19" s="11602" t="n"/>
      <c r="AS19" s="11602" t="n"/>
      <c r="AT19" s="11602" t="n"/>
      <c r="AU19" s="11602" t="n"/>
      <c r="AV19" s="11602" t="n"/>
      <c r="AW19" s="11602" t="n"/>
      <c r="AX19" s="11602" t="n"/>
      <c r="AY19" s="11880" t="n"/>
    </row>
    <row r="20" ht="15.75" customFormat="1" customHeight="1" s="658">
      <c r="A20" s="2013" t="n"/>
      <c r="B20" s="11602" t="n"/>
      <c r="C20" s="2917" t="inlineStr">
        <is>
          <t>3</t>
        </is>
      </c>
      <c r="D20" s="7772" t="inlineStr">
        <is>
          <t>Add lines 1 and 2</t>
        </is>
      </c>
      <c r="E20" s="11602" t="n"/>
      <c r="F20" s="11602" t="n"/>
      <c r="G20" s="11602" t="n"/>
      <c r="H20" s="11602" t="n"/>
      <c r="I20" s="11602" t="n"/>
      <c r="J20" s="11602" t="n"/>
      <c r="K20" s="11602" t="n"/>
      <c r="L20" s="11602" t="n"/>
      <c r="M20" s="11602" t="n"/>
      <c r="N20" s="11602" t="n"/>
      <c r="O20" s="11602" t="n"/>
      <c r="P20" s="11602" t="n"/>
      <c r="Q20" s="11602" t="n"/>
      <c r="R20" s="11602" t="n"/>
      <c r="S20" s="11602" t="n"/>
      <c r="T20" s="11602" t="n"/>
      <c r="U20" s="11602" t="n"/>
      <c r="V20" s="11602" t="n"/>
      <c r="W20" s="9774" t="n"/>
      <c r="X20" s="2920" t="inlineStr">
        <is>
          <t>3</t>
        </is>
      </c>
      <c r="Y20" s="11210">
        <f>IF(AC16,"",SUM(ROUND(Y17,0),ROUND(Y19,0)))</f>
        <v/>
      </c>
      <c r="Z20" s="12097" t="n"/>
      <c r="AA20" s="12097" t="n"/>
      <c r="AB20" s="12097" t="n"/>
      <c r="AC20" s="12097" t="n"/>
      <c r="AD20" s="12523" t="n"/>
      <c r="AE20" s="11210">
        <f>IF(AI16,"",SUM(ROUND(AE17,0),ROUND(AE19,0)))</f>
        <v/>
      </c>
      <c r="AF20" s="12097" t="n"/>
      <c r="AG20" s="12097" t="n"/>
      <c r="AH20" s="12097" t="n"/>
      <c r="AI20" s="12097" t="n"/>
      <c r="AJ20" s="12523" t="n"/>
      <c r="AK20" s="2013" t="n"/>
      <c r="AL20" s="11602" t="n"/>
      <c r="AM20" s="11602" t="n"/>
      <c r="AN20" s="11602" t="n"/>
      <c r="AO20" s="11602" t="n"/>
      <c r="AP20" s="11602" t="n"/>
      <c r="AQ20" s="11602" t="n"/>
      <c r="AR20" s="11602" t="n"/>
      <c r="AS20" s="11602" t="n"/>
      <c r="AT20" s="11602" t="n"/>
      <c r="AU20" s="11602" t="n"/>
      <c r="AV20" s="11602" t="n"/>
      <c r="AW20" s="11602" t="n"/>
      <c r="AX20" s="11602" t="n"/>
      <c r="AY20" s="11880" t="n"/>
    </row>
    <row r="21" ht="15.75" customFormat="1" customHeight="1" s="658">
      <c r="A21" s="2013" t="n"/>
      <c r="B21" s="11602" t="n"/>
      <c r="C21" s="2917" t="inlineStr">
        <is>
          <t>4</t>
        </is>
      </c>
      <c r="D21" s="7772" t="inlineStr">
        <is>
          <t>Certain distributions received  after</t>
        </is>
      </c>
      <c r="E21" s="11602" t="n"/>
      <c r="F21" s="11602" t="n"/>
      <c r="G21" s="11602" t="n"/>
      <c r="H21" s="11602" t="n"/>
      <c r="I21" s="11602" t="n"/>
      <c r="J21" s="11602" t="n"/>
      <c r="K21" s="11602" t="n"/>
      <c r="L21" s="11602" t="n"/>
      <c r="M21" s="11216">
        <f>TaxYear-3</f>
        <v/>
      </c>
      <c r="O21" s="7772" t="inlineStr">
        <is>
          <t>and before the due date (including</t>
        </is>
      </c>
      <c r="P21" s="11602" t="n"/>
      <c r="Q21" s="11602" t="n"/>
      <c r="R21" s="11602" t="n"/>
      <c r="S21" s="7861" t="n"/>
      <c r="T21" s="11602" t="n"/>
      <c r="U21" s="11602" t="n"/>
      <c r="V21" s="1401" t="n"/>
      <c r="W21" s="9774" t="n"/>
      <c r="X21" s="2898" t="n"/>
      <c r="Y21" s="1406" t="n"/>
      <c r="Z21" s="1407" t="n"/>
      <c r="AA21" s="1407" t="n"/>
      <c r="AB21" s="1407" t="n"/>
      <c r="AC21" s="1407" t="n"/>
      <c r="AD21" s="407" t="n"/>
      <c r="AE21" s="2354" t="n"/>
      <c r="AF21" s="2354" t="n"/>
      <c r="AG21" s="2354" t="n"/>
      <c r="AH21" s="2354" t="n"/>
      <c r="AI21" s="2354" t="n"/>
      <c r="AJ21" s="2354" t="n"/>
      <c r="AK21" s="2013" t="n"/>
      <c r="AL21" s="11602" t="n"/>
      <c r="AM21" s="11602" t="n"/>
      <c r="AN21" s="11602" t="n"/>
      <c r="AO21" s="11602" t="n"/>
      <c r="AP21" s="11602" t="n"/>
      <c r="AQ21" s="11602" t="n"/>
      <c r="AR21" s="11602" t="n"/>
      <c r="AS21" s="11602" t="n"/>
      <c r="AT21" s="11602" t="n"/>
      <c r="AU21" s="11602" t="n"/>
      <c r="AV21" s="11602" t="n"/>
      <c r="AW21" s="11602" t="n"/>
      <c r="AX21" s="11602" t="n"/>
      <c r="AY21" s="11880" t="n"/>
    </row>
    <row r="22" ht="15.75" customFormat="1" customHeight="1" s="658">
      <c r="A22" s="2013" t="n"/>
      <c r="B22" s="11602" t="n"/>
      <c r="C22" s="2917" t="n"/>
      <c r="D22" s="7772">
        <f>"extensions) of your "&amp;TaxYear&amp;" tax return (see instructions). If married filing jointly,"</f>
        <v/>
      </c>
      <c r="E22" s="11602" t="n"/>
      <c r="F22" s="11602" t="n"/>
      <c r="G22" s="11602" t="n"/>
      <c r="H22" s="11602" t="n"/>
      <c r="I22" s="11602" t="n"/>
      <c r="J22" s="11602" t="n"/>
      <c r="K22" s="11602" t="n"/>
      <c r="L22" s="11602" t="n"/>
      <c r="M22" s="11602" t="n"/>
      <c r="N22" s="11602" t="n"/>
      <c r="O22" s="11602" t="n"/>
      <c r="P22" s="11602" t="n"/>
      <c r="Q22" s="1401" t="n"/>
      <c r="R22" s="1401" t="n"/>
      <c r="S22" s="11602" t="n"/>
      <c r="T22" s="11602" t="n"/>
      <c r="U22" s="11602" t="n"/>
      <c r="V22" s="11602" t="n"/>
      <c r="W22" s="9774" t="n"/>
      <c r="X22" s="2921" t="n"/>
      <c r="Y22" s="1408" t="n"/>
      <c r="Z22" s="1409" t="n"/>
      <c r="AA22" s="1409" t="n"/>
      <c r="AB22" s="1409" t="n"/>
      <c r="AC22" s="1409" t="n"/>
      <c r="AD22" s="409" t="n"/>
      <c r="AE22" s="8650" t="n"/>
      <c r="AF22" s="8650" t="n"/>
      <c r="AG22" s="8650" t="n"/>
      <c r="AH22" s="8650" t="n"/>
      <c r="AI22" s="8650" t="n"/>
      <c r="AJ22" s="8650" t="n"/>
      <c r="AK22" s="2013" t="n"/>
      <c r="AL22" s="11602" t="n"/>
      <c r="AM22" s="11602" t="n"/>
      <c r="AN22" s="11602" t="n"/>
      <c r="AO22" s="11602" t="n"/>
      <c r="AP22" s="11602" t="n"/>
      <c r="AQ22" s="11602" t="n"/>
      <c r="AR22" s="11602" t="n"/>
      <c r="AS22" s="11602" t="n"/>
      <c r="AT22" s="11602" t="n"/>
      <c r="AU22" s="11602" t="n"/>
      <c r="AV22" s="11602" t="n"/>
      <c r="AW22" s="11602" t="n"/>
      <c r="AX22" s="11602" t="n"/>
      <c r="AY22" s="11880" t="n"/>
    </row>
    <row r="23" ht="16.5" customFormat="1" customHeight="1" s="658" thickBot="1">
      <c r="A23" s="2013" t="inlineStr">
        <is>
          <t>`</t>
        </is>
      </c>
      <c r="B23" s="11602" t="n"/>
      <c r="C23" s="2917" t="n"/>
      <c r="D23" s="7772" t="inlineStr">
        <is>
          <t>include both spouses’ amounts in both columns. See instructions for exceptions</t>
        </is>
      </c>
      <c r="E23" s="11602" t="n"/>
      <c r="F23" s="11602" t="n"/>
      <c r="G23" s="11602" t="n"/>
      <c r="H23" s="11602" t="n"/>
      <c r="I23" s="11602" t="n"/>
      <c r="J23" s="11602" t="n"/>
      <c r="K23" s="11602" t="n"/>
      <c r="L23" s="11602" t="n"/>
      <c r="M23" s="11602" t="n"/>
      <c r="N23" s="11602" t="n"/>
      <c r="O23" s="11602" t="n"/>
      <c r="P23" s="11602" t="n"/>
      <c r="Q23" s="1401" t="n"/>
      <c r="R23" s="1401" t="n"/>
      <c r="S23" s="11602" t="n"/>
      <c r="T23" s="11602" t="n"/>
      <c r="U23" s="11602" t="n"/>
      <c r="V23" s="1401" t="n"/>
      <c r="W23" s="9774" t="n"/>
      <c r="X23" s="2922" t="inlineStr">
        <is>
          <t>4</t>
        </is>
      </c>
      <c r="Y23" s="12510" t="n"/>
      <c r="Z23" s="11795" t="n"/>
      <c r="AA23" s="11795" t="n"/>
      <c r="AB23" s="11795" t="n"/>
      <c r="AC23" s="11795" t="n"/>
      <c r="AD23" s="12145" t="n"/>
      <c r="AE23" s="12510" t="n"/>
      <c r="AF23" s="11795" t="n"/>
      <c r="AG23" s="11795" t="n"/>
      <c r="AH23" s="11795" t="n"/>
      <c r="AI23" s="11795" t="n"/>
      <c r="AJ23" s="12145" t="n"/>
      <c r="AK23" s="2013" t="n"/>
      <c r="AL23" s="11602" t="n"/>
      <c r="AM23" s="11602" t="n"/>
      <c r="AN23" s="11602" t="n"/>
      <c r="AO23" s="11602" t="n"/>
      <c r="AP23" s="11602" t="n"/>
      <c r="AQ23" s="11602" t="n"/>
      <c r="AR23" s="11602" t="n"/>
      <c r="AS23" s="11602" t="n"/>
      <c r="AT23" s="11602" t="n"/>
      <c r="AU23" s="11602" t="n"/>
      <c r="AV23" s="11602" t="n"/>
      <c r="AW23" s="11602" t="n"/>
      <c r="AX23" s="11602" t="n"/>
      <c r="AY23" s="11880" t="n"/>
    </row>
    <row r="24" ht="15.75" customFormat="1" customHeight="1" s="658">
      <c r="A24" s="2013" t="inlineStr">
        <is>
          <t>`</t>
        </is>
      </c>
      <c r="B24" s="11602" t="n"/>
      <c r="C24" s="2917" t="inlineStr">
        <is>
          <t>5</t>
        </is>
      </c>
      <c r="D24" s="7772" t="inlineStr">
        <is>
          <t>Subtract line 4 from line 3. If zero or less, enter -0-</t>
        </is>
      </c>
      <c r="E24" s="11602" t="n"/>
      <c r="F24" s="11602" t="n"/>
      <c r="G24" s="11602" t="n"/>
      <c r="H24" s="11602" t="n"/>
      <c r="I24" s="11602" t="n"/>
      <c r="J24" s="11602" t="n"/>
      <c r="K24" s="11602" t="n"/>
      <c r="L24" s="11602" t="n"/>
      <c r="M24" s="11602" t="n"/>
      <c r="N24" s="11602" t="n"/>
      <c r="O24" s="11602" t="n"/>
      <c r="P24" s="11602" t="n"/>
      <c r="Q24" s="1401" t="n"/>
      <c r="R24" s="1401" t="n"/>
      <c r="S24" s="11602" t="n"/>
      <c r="T24" s="11602" t="n"/>
      <c r="U24" s="11602" t="n"/>
      <c r="V24" s="1401" t="n"/>
      <c r="W24" s="9774" t="n"/>
      <c r="X24" s="2920" t="inlineStr">
        <is>
          <t>5</t>
        </is>
      </c>
      <c r="Y24" s="11215">
        <f>IF(AC16,"",IF(Y23="",MAX(0,Y20),MAX(0,SUM(Y20,-ROUND(Y23,0)))))</f>
        <v/>
      </c>
      <c r="Z24" s="12097" t="n"/>
      <c r="AA24" s="12097" t="n"/>
      <c r="AB24" s="12097" t="n"/>
      <c r="AC24" s="12097" t="n"/>
      <c r="AD24" s="12523" t="n"/>
      <c r="AE24" s="11215">
        <f>IF(AI16,"",IF(AE23="",MAX(0,AE20),MAX(0,SUM(AE20,-ROUND(AE23,0)))))</f>
        <v/>
      </c>
      <c r="AF24" s="12097" t="n"/>
      <c r="AG24" s="12097" t="n"/>
      <c r="AH24" s="12097" t="n"/>
      <c r="AI24" s="12097" t="n"/>
      <c r="AJ24" s="12523" t="n"/>
      <c r="AK24" s="2013" t="n"/>
      <c r="AL24" s="11602" t="n"/>
      <c r="AM24" s="11602" t="n"/>
      <c r="AN24" s="11602" t="n"/>
      <c r="AO24" s="11602" t="n"/>
      <c r="AP24" s="11602" t="n"/>
      <c r="AQ24" s="11602" t="n"/>
      <c r="AR24" s="11602" t="n"/>
      <c r="AS24" s="11602" t="n"/>
      <c r="AT24" s="11602" t="n"/>
      <c r="AU24" s="11602" t="n"/>
      <c r="AV24" s="11602" t="n"/>
      <c r="AW24" s="11602" t="n"/>
      <c r="AX24" s="11602" t="n"/>
      <c r="AY24" s="11880" t="n"/>
    </row>
    <row r="25" ht="16.5" customFormat="1" customHeight="1" s="658" thickBot="1">
      <c r="A25" s="2013" t="n"/>
      <c r="B25" s="11602" t="n"/>
      <c r="C25" s="2917" t="inlineStr">
        <is>
          <t>6</t>
        </is>
      </c>
      <c r="D25" s="7772" t="inlineStr">
        <is>
          <t>In each column,  enter the  smaller of  line  5  or</t>
        </is>
      </c>
      <c r="E25" s="11602" t="n"/>
      <c r="F25" s="11602" t="n"/>
      <c r="G25" s="11602" t="n"/>
      <c r="H25" s="11602" t="n"/>
      <c r="I25" s="11602" t="n"/>
      <c r="J25" s="11602" t="n"/>
      <c r="K25" s="11602" t="n"/>
      <c r="L25" s="11602" t="n"/>
      <c r="M25" s="7772" t="n"/>
      <c r="N25" s="7772" t="n"/>
      <c r="O25" s="11602" t="n"/>
      <c r="P25" s="7772" t="n"/>
      <c r="Q25" s="7772">
        <f>TEXT($V$25,"$0,000")</f>
        <v/>
      </c>
      <c r="R25" s="11602" t="n"/>
      <c r="S25" s="7861" t="n"/>
      <c r="T25" s="11602" t="n"/>
      <c r="U25" s="11602" t="n"/>
      <c r="V25" s="11205" t="n">
        <v>2000</v>
      </c>
      <c r="W25" s="7636" t="n"/>
      <c r="X25" s="2923" t="inlineStr">
        <is>
          <t>6</t>
        </is>
      </c>
      <c r="Y25" s="12750">
        <f>IF(AC16,"",MIN(Y24,$V$25))</f>
        <v/>
      </c>
      <c r="Z25" s="11811" t="n"/>
      <c r="AA25" s="11811" t="n"/>
      <c r="AB25" s="11811" t="n"/>
      <c r="AC25" s="11811" t="n"/>
      <c r="AD25" s="12143" t="n"/>
      <c r="AE25" s="12750">
        <f>IF(AI16,"",MIN(AE24,$V$25))</f>
        <v/>
      </c>
      <c r="AF25" s="11811" t="n"/>
      <c r="AG25" s="11811" t="n"/>
      <c r="AH25" s="11811" t="n"/>
      <c r="AI25" s="11811" t="n"/>
      <c r="AJ25" s="12143" t="n"/>
      <c r="AK25" s="2013" t="n"/>
      <c r="AL25" s="7914" t="n"/>
      <c r="AO25" s="11602" t="n"/>
      <c r="AP25" s="11602" t="n"/>
      <c r="AQ25" s="11602" t="n"/>
      <c r="AR25" s="11602" t="n"/>
      <c r="AS25" s="11602" t="n"/>
      <c r="AT25" s="11602" t="n"/>
      <c r="AU25" s="11602" t="n"/>
      <c r="AV25" s="11602" t="n"/>
      <c r="AW25" s="11602" t="n"/>
      <c r="AX25" s="11602" t="n"/>
      <c r="AY25" s="11880" t="n"/>
    </row>
    <row r="26" ht="15.75" customFormat="1" customHeight="1" s="658">
      <c r="A26" s="2013" t="n"/>
      <c r="B26" s="11602" t="n"/>
      <c r="C26" s="2917" t="inlineStr">
        <is>
          <t>7</t>
        </is>
      </c>
      <c r="D26" s="7772" t="inlineStr">
        <is>
          <t>Add the amounts on line 6.</t>
        </is>
      </c>
      <c r="E26" s="11602" t="n"/>
      <c r="F26" s="11602" t="n"/>
      <c r="G26" s="11602" t="n"/>
      <c r="H26" s="11602" t="n"/>
      <c r="I26" s="11602" t="n"/>
      <c r="J26" s="11602" t="n"/>
      <c r="K26" s="7772" t="inlineStr">
        <is>
          <t>If zero, stop; you can’t take this credit</t>
        </is>
      </c>
      <c r="L26" s="11602" t="n"/>
      <c r="M26" s="11602" t="n"/>
      <c r="N26" s="11602" t="n"/>
      <c r="O26" s="11602" t="n"/>
      <c r="P26" s="11602" t="n"/>
      <c r="Q26" s="11602" t="n"/>
      <c r="R26" s="11602" t="n"/>
      <c r="S26" s="11602" t="n"/>
      <c r="T26" s="11602" t="n"/>
      <c r="U26" s="11602" t="n"/>
      <c r="V26" s="11602" t="n"/>
      <c r="W26" s="11602" t="n"/>
      <c r="X26" s="11602" t="n"/>
      <c r="Y26" s="11602" t="n"/>
      <c r="Z26" s="11602" t="n"/>
      <c r="AA26" s="11602" t="n"/>
      <c r="AB26" s="11209">
        <f>AE26=0</f>
        <v/>
      </c>
      <c r="AC26" s="11716" t="n"/>
      <c r="AD26" s="2920" t="inlineStr">
        <is>
          <t>7</t>
        </is>
      </c>
      <c r="AE26" s="11210">
        <f>SUM(Y25,AE25)</f>
        <v/>
      </c>
      <c r="AF26" s="12097" t="n"/>
      <c r="AG26" s="12097" t="n"/>
      <c r="AH26" s="12097" t="n"/>
      <c r="AI26" s="12097" t="n"/>
      <c r="AJ26" s="12523" t="n"/>
      <c r="AK26" s="2013" t="n"/>
      <c r="AL26" s="7914" t="inlineStr">
        <is>
          <t>Override</t>
        </is>
      </c>
      <c r="AO26" s="11602" t="n"/>
      <c r="AP26" s="11602" t="n"/>
      <c r="AQ26" s="11602" t="n"/>
      <c r="AR26" s="11602" t="n"/>
      <c r="AS26" s="11602" t="n"/>
      <c r="AT26" s="11602" t="n"/>
      <c r="AU26" s="11602" t="n"/>
      <c r="AV26" s="11602" t="n"/>
      <c r="AW26" s="11602" t="n"/>
      <c r="AX26" s="11602" t="n"/>
      <c r="AY26" s="11880" t="n"/>
    </row>
    <row r="27" ht="15.75" customFormat="1" customHeight="1" s="658">
      <c r="A27" s="2013" t="n"/>
      <c r="B27" s="11602" t="n"/>
      <c r="C27" s="2917" t="inlineStr">
        <is>
          <t>8</t>
        </is>
      </c>
      <c r="D27" s="7772" t="inlineStr">
        <is>
          <t>Enter the amount from Form 1040, 1040-SR, or 1040-NR, line 11*</t>
        </is>
      </c>
      <c r="E27" s="11602" t="n"/>
      <c r="F27" s="11602" t="n"/>
      <c r="G27" s="11602" t="n"/>
      <c r="H27" s="11602" t="n"/>
      <c r="I27" s="11602" t="n"/>
      <c r="J27" s="11602" t="n"/>
      <c r="K27" s="11602" t="n"/>
      <c r="L27" s="11602" t="n"/>
      <c r="M27" s="11602" t="n"/>
      <c r="N27" s="11602" t="n"/>
      <c r="O27" s="11602" t="n"/>
      <c r="P27" s="11602" t="n"/>
      <c r="Q27" s="11602" t="n"/>
      <c r="R27" s="11602" t="n"/>
      <c r="S27" s="11602" t="n"/>
      <c r="T27" s="11602" t="n"/>
      <c r="U27" s="11602" t="n"/>
      <c r="V27" s="11602" t="n"/>
      <c r="W27" s="2895" t="n">
        <v>8</v>
      </c>
      <c r="X27" s="11213">
        <f>IF(AL27&lt;&gt;"",ROUND(AL27,0),IF(OR(AB26,AND(V12,AK12="")),"",Adj_Gross_Inc))</f>
        <v/>
      </c>
      <c r="Y27" s="7637" t="n"/>
      <c r="Z27" s="7637" t="n"/>
      <c r="AA27" s="7637" t="n"/>
      <c r="AB27" s="7637" t="n"/>
      <c r="AC27" s="7638" t="n"/>
      <c r="AD27" s="2924" t="n"/>
      <c r="AE27" s="8650" t="n"/>
      <c r="AF27" s="8650" t="n"/>
      <c r="AG27" s="8650" t="n"/>
      <c r="AH27" s="8650" t="n"/>
      <c r="AI27" s="8650" t="n"/>
      <c r="AJ27" s="8650" t="n"/>
      <c r="AK27" s="2013" t="n"/>
      <c r="AL27" s="10800" t="n"/>
      <c r="AM27" s="11717" t="n"/>
      <c r="AN27" s="11717" t="n"/>
      <c r="AO27" s="11602" t="n"/>
      <c r="AP27" s="11602" t="n"/>
      <c r="AQ27" s="11602" t="n"/>
      <c r="AR27" s="11602" t="n"/>
      <c r="AS27" s="11602" t="n"/>
      <c r="AT27" s="11602" t="n"/>
      <c r="AU27" s="11602" t="n"/>
      <c r="AV27" s="11602" t="n"/>
      <c r="AW27" s="11602" t="n"/>
      <c r="AX27" s="11602" t="n"/>
      <c r="AY27" s="11880" t="n"/>
    </row>
    <row r="28" ht="15.75" customFormat="1" customHeight="1" s="658">
      <c r="A28" s="2013" t="n"/>
      <c r="B28" s="11602" t="n"/>
      <c r="C28" s="2917" t="inlineStr">
        <is>
          <t>9</t>
        </is>
      </c>
      <c r="D28" s="7772" t="inlineStr">
        <is>
          <t>Enter the applicable decimal amount from the table below</t>
        </is>
      </c>
      <c r="E28" s="11602" t="n"/>
      <c r="F28" s="11602" t="n"/>
      <c r="G28" s="11602" t="n"/>
      <c r="H28" s="11602" t="n"/>
      <c r="I28" s="11602" t="n"/>
      <c r="J28" s="11602" t="n"/>
      <c r="K28" s="11602" t="n"/>
      <c r="L28" s="11602" t="n"/>
      <c r="M28" s="11602" t="n"/>
      <c r="N28" s="11602" t="n"/>
      <c r="O28" s="11602" t="n"/>
      <c r="P28" s="11602" t="n"/>
      <c r="Q28" s="11602" t="n"/>
      <c r="R28" s="11602" t="n"/>
      <c r="S28" s="11602" t="n"/>
      <c r="T28" s="11602" t="n"/>
      <c r="U28" s="11602" t="n"/>
      <c r="V28" s="11602" t="n"/>
      <c r="W28" s="11602" t="n"/>
      <c r="X28" s="11602" t="n"/>
      <c r="Y28" s="11602" t="n"/>
      <c r="Z28" s="11602" t="n"/>
      <c r="AA28" s="11602" t="n"/>
      <c r="AB28" s="11602" t="n"/>
      <c r="AC28" s="11602" t="n"/>
      <c r="AD28" s="2924" t="n"/>
      <c r="AE28" s="8650" t="n"/>
      <c r="AF28" s="8650" t="n"/>
      <c r="AG28" s="8650" t="n"/>
      <c r="AH28" s="8650" t="n"/>
      <c r="AI28" s="8650" t="n"/>
      <c r="AJ28" s="8650" t="n"/>
      <c r="AK28" s="2013" t="n"/>
      <c r="AL28" s="11602" t="n"/>
      <c r="AM28" s="11602" t="n"/>
      <c r="AN28" s="11602" t="n"/>
      <c r="AO28" s="11602" t="n"/>
      <c r="AP28" s="11602" t="n"/>
      <c r="AQ28" s="11602" t="n"/>
      <c r="AR28" s="11602" t="n"/>
      <c r="AS28" s="11602" t="n"/>
      <c r="AT28" s="11602" t="n"/>
      <c r="AU28" s="11602" t="n"/>
      <c r="AV28" s="11602" t="n"/>
      <c r="AW28" s="11602" t="n"/>
      <c r="AX28" s="11602" t="n"/>
      <c r="AY28" s="11880" t="n"/>
    </row>
    <row r="29" ht="15.75" customFormat="1" customHeight="1" s="658">
      <c r="A29" s="2013" t="n"/>
      <c r="B29" s="11602" t="n"/>
      <c r="C29" s="2917" t="n"/>
      <c r="D29" s="7772" t="n"/>
      <c r="E29" s="11602" t="n"/>
      <c r="F29" s="11602" t="n"/>
      <c r="G29" s="11602" t="n"/>
      <c r="H29" s="11602" t="n"/>
      <c r="I29" s="11602" t="n"/>
      <c r="J29" s="11602" t="n"/>
      <c r="K29" s="11602" t="n"/>
      <c r="L29" s="12751">
        <f>IF($X$27-1&lt;$D35,L34,LOOKUP($X$27-1,$D35:$D43,L35:L43))</f>
        <v/>
      </c>
      <c r="M29" s="7637" t="n"/>
      <c r="N29" s="7637" t="n"/>
      <c r="O29" s="7637" t="n"/>
      <c r="P29" s="12751">
        <f>IF($X$27-1&lt;$D35,P34,LOOKUP($X$27-1,$D35:$D43,P35:P43))</f>
        <v/>
      </c>
      <c r="Q29" s="7637" t="n"/>
      <c r="R29" s="7637" t="n"/>
      <c r="S29" s="7637" t="n"/>
      <c r="T29" s="2925" t="n"/>
      <c r="U29" s="2925" t="n"/>
      <c r="V29" s="2925" t="n"/>
      <c r="W29" s="12751">
        <f>IF($X$27-1&lt;$D35,T34,LOOKUP($X$27-1,$D35:$D43,T35:T43))</f>
        <v/>
      </c>
      <c r="X29" s="7637" t="n"/>
      <c r="Y29" s="7637" t="n"/>
      <c r="Z29" s="7637" t="n"/>
      <c r="AA29" s="11602" t="n"/>
      <c r="AB29" s="11602" t="n"/>
      <c r="AC29" s="11602" t="n"/>
      <c r="AD29" s="2924" t="n"/>
      <c r="AE29" s="8650" t="n"/>
      <c r="AF29" s="8650" t="n"/>
      <c r="AG29" s="8650" t="n"/>
      <c r="AH29" s="8650" t="n"/>
      <c r="AI29" s="8650" t="n"/>
      <c r="AJ29" s="8650" t="n"/>
      <c r="AK29" s="2013" t="n"/>
      <c r="AL29" s="11602" t="n"/>
      <c r="AM29" s="514" t="inlineStr">
        <is>
          <t>Line 11</t>
        </is>
      </c>
      <c r="AN29" s="11602" t="n"/>
      <c r="AO29" s="11602" t="n"/>
      <c r="AP29" s="11602" t="n"/>
      <c r="AQ29" s="11602" t="n"/>
      <c r="AR29" s="11602" t="n"/>
      <c r="AS29" s="11602" t="n"/>
      <c r="AT29" s="2926" t="inlineStr">
        <is>
          <t>Credit Rate</t>
        </is>
      </c>
      <c r="AU29" s="2926" t="inlineStr">
        <is>
          <t>MFJ</t>
        </is>
      </c>
      <c r="AV29" s="2926" t="inlineStr">
        <is>
          <t>HOH</t>
        </is>
      </c>
      <c r="AW29" s="2926" t="inlineStr">
        <is>
          <t>Single</t>
        </is>
      </c>
      <c r="AX29" s="11602" t="n"/>
      <c r="AY29" s="11880" t="n"/>
    </row>
    <row r="30" ht="15.75" customFormat="1" customHeight="1" s="658">
      <c r="A30" s="2013" t="n"/>
      <c r="B30" s="11602" t="n"/>
      <c r="C30" s="2917" t="n"/>
      <c r="D30" s="10008" t="inlineStr">
        <is>
          <t>If line 8 is —</t>
        </is>
      </c>
      <c r="E30" s="8412" t="n"/>
      <c r="F30" s="8412" t="n"/>
      <c r="G30" s="8412" t="n"/>
      <c r="H30" s="8412" t="n"/>
      <c r="I30" s="8412" t="n"/>
      <c r="J30" s="8412" t="n"/>
      <c r="K30" s="11734" t="n"/>
      <c r="L30" s="10008" t="inlineStr">
        <is>
          <t>And your filing status is—</t>
        </is>
      </c>
      <c r="M30" s="8412" t="n"/>
      <c r="N30" s="8412" t="n"/>
      <c r="O30" s="8412" t="n"/>
      <c r="P30" s="8412" t="n"/>
      <c r="Q30" s="8412" t="n"/>
      <c r="R30" s="8412" t="n"/>
      <c r="S30" s="8412" t="n"/>
      <c r="T30" s="8412" t="n"/>
      <c r="U30" s="8412" t="n"/>
      <c r="V30" s="8412" t="n"/>
      <c r="W30" s="8412" t="n"/>
      <c r="X30" s="8412" t="n"/>
      <c r="Y30" s="8412" t="n"/>
      <c r="Z30" s="11734" t="n"/>
      <c r="AA30" s="11602" t="n"/>
      <c r="AB30" s="11602" t="n"/>
      <c r="AC30" s="11602" t="n"/>
      <c r="AD30" s="2924" t="n"/>
      <c r="AE30" s="8650" t="n"/>
      <c r="AF30" s="8650" t="n"/>
      <c r="AG30" s="8650" t="n"/>
      <c r="AH30" s="8650" t="n"/>
      <c r="AI30" s="8650" t="n"/>
      <c r="AJ30" s="8650" t="n"/>
      <c r="AK30" s="2013" t="n"/>
      <c r="AL30" s="11602" t="n"/>
      <c r="AM30" s="8650" t="inlineStr">
        <is>
          <t>Before you complete the following worksheet, figure the amount of any</t>
        </is>
      </c>
      <c r="AN30" s="11602" t="n"/>
      <c r="AO30" s="11602" t="n"/>
      <c r="AP30" s="11602" t="n"/>
      <c r="AQ30" s="11602" t="n"/>
      <c r="AR30" s="11602" t="n"/>
      <c r="AS30" s="11602" t="n"/>
      <c r="AT30" s="2927" t="n">
        <v>0.5</v>
      </c>
      <c r="AU30" s="2928" t="n">
        <v>47500</v>
      </c>
      <c r="AV30" s="2928" t="n">
        <v>35625</v>
      </c>
      <c r="AW30" s="2928" t="n">
        <v>23750</v>
      </c>
      <c r="AX30" s="11602" t="n"/>
      <c r="AY30" s="11880" t="n"/>
    </row>
    <row r="31" ht="15.75" customFormat="1" customHeight="1" s="658">
      <c r="A31" s="2013" t="n"/>
      <c r="B31" s="11602" t="n"/>
      <c r="C31" s="2917" t="n"/>
      <c r="D31" s="12653" t="inlineStr">
        <is>
          <t>Over ---</t>
        </is>
      </c>
      <c r="E31" s="7839" t="n"/>
      <c r="F31" s="7839" t="n"/>
      <c r="G31" s="10091" t="n"/>
      <c r="H31" s="12653" t="inlineStr">
        <is>
          <t>But not
over ---</t>
        </is>
      </c>
      <c r="I31" s="7839" t="n"/>
      <c r="J31" s="7839" t="n"/>
      <c r="K31" s="10091" t="n"/>
      <c r="L31" s="12752" t="inlineStr">
        <is>
          <t>Married
filing jointly</t>
        </is>
      </c>
      <c r="M31" s="7839" t="n"/>
      <c r="N31" s="7839" t="n"/>
      <c r="O31" s="10091" t="n"/>
      <c r="P31" s="12752" t="inlineStr">
        <is>
          <t>Head of
household</t>
        </is>
      </c>
      <c r="Q31" s="7839" t="n"/>
      <c r="R31" s="7839" t="n"/>
      <c r="S31" s="10091" t="n"/>
      <c r="T31" s="12535" t="inlineStr">
        <is>
          <t>Single, Married filing separately, or 
Qualifying widow(er)</t>
        </is>
      </c>
      <c r="U31" s="7839" t="n"/>
      <c r="V31" s="7839" t="n"/>
      <c r="W31" s="7839" t="n"/>
      <c r="X31" s="7839" t="n"/>
      <c r="Y31" s="7839" t="n"/>
      <c r="Z31" s="10091" t="n"/>
      <c r="AA31" s="11602" t="n"/>
      <c r="AB31" s="11602" t="n"/>
      <c r="AC31" s="11602" t="n"/>
      <c r="AD31" s="2924" t="n"/>
      <c r="AE31" s="8650" t="n"/>
      <c r="AF31" s="8650" t="n"/>
      <c r="AG31" s="8650" t="n"/>
      <c r="AH31" s="8650" t="n"/>
      <c r="AI31" s="8650" t="n"/>
      <c r="AJ31" s="8650" t="n"/>
      <c r="AK31" s="2013" t="n"/>
      <c r="AL31" s="11602" t="n"/>
      <c r="AM31" s="8650" t="inlineStr">
        <is>
          <t>credit for the elderly or the disabled you’re claiming on Schedule 3</t>
        </is>
      </c>
      <c r="AN31" s="11602" t="n"/>
      <c r="AO31" s="11602" t="n"/>
      <c r="AP31" s="11602" t="n"/>
      <c r="AQ31" s="11602" t="n"/>
      <c r="AR31" s="11602" t="n"/>
      <c r="AS31" s="11602" t="n"/>
      <c r="AT31" s="2927" t="n">
        <v>0.2</v>
      </c>
      <c r="AU31" s="2928" t="n">
        <v>51000</v>
      </c>
      <c r="AV31" s="2928" t="n">
        <v>38250</v>
      </c>
      <c r="AW31" s="2928" t="n">
        <v>25500</v>
      </c>
      <c r="AX31" s="11602" t="n"/>
      <c r="AY31" s="11880" t="n"/>
    </row>
    <row r="32" ht="15.75" customFormat="1" customHeight="1" s="658">
      <c r="A32" s="2013" t="n"/>
      <c r="B32" s="11602" t="n"/>
      <c r="C32" s="2917" t="n"/>
      <c r="D32" s="4772" t="n"/>
      <c r="G32" s="7636" t="n"/>
      <c r="H32" s="4772" t="n"/>
      <c r="K32" s="7636" t="n"/>
      <c r="L32" s="4772" t="n"/>
      <c r="O32" s="7636" t="n"/>
      <c r="P32" s="4772" t="n"/>
      <c r="S32" s="7636" t="n"/>
      <c r="T32" s="4772" t="n"/>
      <c r="Z32" s="7636" t="n"/>
      <c r="AA32" s="11602" t="n"/>
      <c r="AB32" s="11602" t="n"/>
      <c r="AC32" s="11602" t="n"/>
      <c r="AD32" s="2924" t="n"/>
      <c r="AE32" s="8650" t="n"/>
      <c r="AF32" s="8650" t="n"/>
      <c r="AG32" s="8650" t="n"/>
      <c r="AH32" s="8650" t="n"/>
      <c r="AI32" s="8650" t="n"/>
      <c r="AJ32" s="8650" t="n"/>
      <c r="AK32" s="2013" t="n"/>
      <c r="AL32" s="11602" t="n"/>
      <c r="AM32" s="8650" t="inlineStr">
        <is>
          <t>(Form 1040), line 6d. See Schedule R (Form 1040) to figure the credit.</t>
        </is>
      </c>
      <c r="AN32" s="11602" t="n"/>
      <c r="AO32" s="11602" t="n"/>
      <c r="AP32" s="11602" t="n"/>
      <c r="AQ32" s="11602" t="n"/>
      <c r="AR32" s="11602" t="n"/>
      <c r="AS32" s="11602" t="n"/>
      <c r="AT32" s="2927" t="n">
        <v>0.1</v>
      </c>
      <c r="AU32" s="2942" t="n">
        <v>79000</v>
      </c>
      <c r="AV32" s="2942" t="n">
        <v>59250</v>
      </c>
      <c r="AW32" s="2942" t="n">
        <v>39500</v>
      </c>
      <c r="AX32" s="11602" t="n"/>
      <c r="AY32" s="11880" t="n"/>
    </row>
    <row r="33" ht="15.75" customFormat="1" customHeight="1" s="658">
      <c r="A33" s="2013" t="n"/>
      <c r="B33" s="11602" t="n"/>
      <c r="C33" s="2917" t="n"/>
      <c r="D33" s="3614" t="n"/>
      <c r="E33" s="7637" t="n"/>
      <c r="F33" s="7637" t="n"/>
      <c r="G33" s="7638" t="n"/>
      <c r="H33" s="3614" t="n"/>
      <c r="I33" s="7637" t="n"/>
      <c r="J33" s="7637" t="n"/>
      <c r="K33" s="7638" t="n"/>
      <c r="L33" s="5372" t="inlineStr">
        <is>
          <t>Enter on line 9 --</t>
        </is>
      </c>
      <c r="M33" s="7637" t="n"/>
      <c r="N33" s="7637" t="n"/>
      <c r="O33" s="7637" t="n"/>
      <c r="P33" s="7637" t="n"/>
      <c r="Q33" s="7637" t="n"/>
      <c r="R33" s="7637" t="n"/>
      <c r="S33" s="7638" t="n"/>
      <c r="T33" s="3614" t="n"/>
      <c r="U33" s="7637" t="n"/>
      <c r="V33" s="7637" t="n"/>
      <c r="W33" s="7637" t="n"/>
      <c r="X33" s="7637" t="n"/>
      <c r="Y33" s="7637" t="n"/>
      <c r="Z33" s="7638" t="n"/>
      <c r="AA33" s="11602" t="n"/>
      <c r="AB33" s="11602" t="n"/>
      <c r="AC33" s="11602" t="n"/>
      <c r="AD33" s="2924" t="n"/>
      <c r="AE33" s="8650" t="n"/>
      <c r="AF33" s="8650" t="n"/>
      <c r="AG33" s="8650" t="n"/>
      <c r="AH33" s="8650" t="n"/>
      <c r="AI33" s="8650" t="n"/>
      <c r="AJ33" s="8650" t="n"/>
      <c r="AK33" s="2013" t="n"/>
      <c r="AL33" s="11602" t="n"/>
      <c r="AM33" s="11602" t="n"/>
      <c r="AN33" s="11602" t="n"/>
      <c r="AO33" s="11602" t="n"/>
      <c r="AP33" s="11602" t="n"/>
      <c r="AQ33" s="11602" t="n"/>
      <c r="AR33" s="11602" t="n"/>
      <c r="AS33" s="11602" t="n"/>
      <c r="AT33" s="11602" t="n"/>
      <c r="AU33" s="11602" t="n"/>
      <c r="AV33" s="11602" t="n"/>
      <c r="AW33" s="11602" t="n"/>
      <c r="AX33" s="11602" t="n"/>
      <c r="AY33" s="11880" t="n"/>
    </row>
    <row r="34" ht="15.75" customFormat="1" customHeight="1" s="658">
      <c r="A34" s="2013" t="n"/>
      <c r="B34" s="11602" t="n"/>
      <c r="C34" s="2917" t="n"/>
      <c r="D34" s="12753" t="inlineStr">
        <is>
          <t>---</t>
        </is>
      </c>
      <c r="E34" s="7839" t="n"/>
      <c r="F34" s="7839" t="n"/>
      <c r="G34" s="10091" t="n"/>
      <c r="H34" s="12754">
        <f>AW30</f>
        <v/>
      </c>
      <c r="I34" s="7839" t="n"/>
      <c r="J34" s="7839" t="n"/>
      <c r="K34" s="10091" t="n"/>
      <c r="L34" s="12755">
        <f>$AT$30</f>
        <v/>
      </c>
      <c r="M34" s="7839" t="n"/>
      <c r="N34" s="7839" t="n"/>
      <c r="O34" s="7839" t="n"/>
      <c r="P34" s="12756">
        <f>$AT$30</f>
        <v/>
      </c>
      <c r="Q34" s="7839" t="n"/>
      <c r="R34" s="7839" t="n"/>
      <c r="S34" s="7839" t="n"/>
      <c r="T34" s="12757">
        <f>$AT$30</f>
        <v/>
      </c>
      <c r="U34" s="7839" t="n"/>
      <c r="V34" s="7839" t="n"/>
      <c r="W34" s="7839" t="n"/>
      <c r="X34" s="7839" t="n"/>
      <c r="Y34" s="7839" t="n"/>
      <c r="Z34" s="10091" t="n"/>
      <c r="AA34" s="11602" t="n"/>
      <c r="AB34" s="11602" t="n"/>
      <c r="AC34" s="11602" t="n"/>
      <c r="AD34" s="2924" t="n"/>
      <c r="AE34" s="8650" t="n"/>
      <c r="AF34" s="8650" t="n"/>
      <c r="AG34" s="8650" t="n"/>
      <c r="AH34" s="8650" t="n"/>
      <c r="AI34" s="8650" t="n"/>
      <c r="AJ34" s="8650" t="n"/>
      <c r="AK34" s="2013" t="n"/>
      <c r="AL34" s="11602" t="n"/>
      <c r="AM34" s="405" t="n"/>
      <c r="AN34" s="2929" t="inlineStr">
        <is>
          <t>Credit Limit Worksheet</t>
        </is>
      </c>
      <c r="AO34" s="406" t="n"/>
      <c r="AP34" s="406" t="n"/>
      <c r="AQ34" s="406" t="n"/>
      <c r="AR34" s="407" t="n"/>
      <c r="AS34" s="11602" t="n"/>
      <c r="AT34" s="11602" t="n"/>
      <c r="AU34" s="11602" t="n"/>
      <c r="AV34" s="11602" t="n"/>
      <c r="AW34" s="11602" t="n"/>
      <c r="AX34" s="11602" t="n"/>
      <c r="AY34" s="11880" t="n"/>
    </row>
    <row r="35" ht="15.75" customFormat="1" customHeight="1" s="658">
      <c r="A35" s="2013" t="n"/>
      <c r="B35" s="11602" t="n"/>
      <c r="C35" s="2917" t="n"/>
      <c r="D35" s="12758">
        <f>H34</f>
        <v/>
      </c>
      <c r="G35" s="7636" t="n"/>
      <c r="H35" s="12758">
        <f>AW31</f>
        <v/>
      </c>
      <c r="K35" s="7636" t="n"/>
      <c r="L35" s="12759">
        <f>$AT$30</f>
        <v/>
      </c>
      <c r="P35" s="12760">
        <f>$AT$30</f>
        <v/>
      </c>
      <c r="T35" s="12761">
        <f>$AT$31</f>
        <v/>
      </c>
      <c r="Z35" s="7636" t="n"/>
      <c r="AA35" s="11602" t="n"/>
      <c r="AB35" s="11602" t="n"/>
      <c r="AC35" s="11602" t="n"/>
      <c r="AD35" s="2924" t="n"/>
      <c r="AE35" s="8650" t="n"/>
      <c r="AF35" s="8650" t="n"/>
      <c r="AG35" s="8650" t="n"/>
      <c r="AH35" s="8650" t="n"/>
      <c r="AI35" s="11245">
        <f>IF(AB26,0,IF(File_Marr_Joint&lt;&gt;"",L29,IF(File_Head&lt;&gt;"",P29,W29)))</f>
        <v/>
      </c>
      <c r="AK35" s="2013" t="n"/>
      <c r="AL35" s="11602" t="n"/>
      <c r="AM35" s="408" t="n"/>
      <c r="AN35" s="8650" t="inlineStr">
        <is>
          <t>Complete this worksheet to figure the amount to enter on line 11.</t>
        </is>
      </c>
      <c r="AO35" s="11602" t="n"/>
      <c r="AP35" s="11602" t="n"/>
      <c r="AQ35" s="11602" t="n"/>
      <c r="AR35" s="409" t="n"/>
      <c r="AS35" s="11602" t="n"/>
      <c r="AT35" s="11602" t="n"/>
      <c r="AU35" s="11602" t="n"/>
      <c r="AV35" s="11602" t="n"/>
      <c r="AW35" s="11602" t="n"/>
      <c r="AX35" s="11602" t="n"/>
      <c r="AY35" s="11880" t="n"/>
    </row>
    <row r="36" ht="15.75" customFormat="1" customHeight="1" s="658">
      <c r="A36" s="2013" t="n"/>
      <c r="B36" s="11602" t="n"/>
      <c r="C36" s="2917" t="n"/>
      <c r="D36" s="12758">
        <f>H35</f>
        <v/>
      </c>
      <c r="G36" s="7636" t="n"/>
      <c r="H36" s="12758">
        <f>AV30</f>
        <v/>
      </c>
      <c r="K36" s="7636" t="n"/>
      <c r="L36" s="12759">
        <f>$AT$30</f>
        <v/>
      </c>
      <c r="P36" s="12760">
        <f>$AT$30</f>
        <v/>
      </c>
      <c r="T36" s="12761">
        <f>AT32</f>
        <v/>
      </c>
      <c r="Z36" s="7636" t="n"/>
      <c r="AA36" s="11602" t="n"/>
      <c r="AB36" s="11602" t="n"/>
      <c r="AC36" s="11602" t="n"/>
      <c r="AD36" s="2895" t="n">
        <v>9</v>
      </c>
      <c r="AE36" s="2930" t="n"/>
      <c r="AF36" s="1996" t="n"/>
      <c r="AG36" s="2931" t="n"/>
      <c r="AH36" s="2931" t="inlineStr">
        <is>
          <t>x 0.</t>
        </is>
      </c>
      <c r="AI36" s="11244">
        <f>IF(AB26,"",AI35*10)</f>
        <v/>
      </c>
      <c r="AJ36" s="7637" t="n"/>
      <c r="AK36" s="2013" t="n"/>
      <c r="AL36" s="11602" t="n"/>
      <c r="AM36" s="408" t="n"/>
      <c r="AN36" s="11602" t="n"/>
      <c r="AO36" s="11602" t="n"/>
      <c r="AP36" s="11602" t="n"/>
      <c r="AQ36" s="11602" t="n"/>
      <c r="AR36" s="409" t="n"/>
      <c r="AS36" s="11602" t="n"/>
      <c r="AT36" s="11602" t="n"/>
      <c r="AU36" s="11602" t="n"/>
      <c r="AV36" s="11602" t="n"/>
      <c r="AW36" s="11602" t="n"/>
      <c r="AX36" s="11602" t="n"/>
      <c r="AY36" s="11880" t="n"/>
    </row>
    <row r="37" ht="15.75" customFormat="1" customHeight="1" s="658">
      <c r="A37" s="2013" t="n"/>
      <c r="B37" s="11602" t="n"/>
      <c r="C37" s="2917" t="n"/>
      <c r="D37" s="12758">
        <f>H36</f>
        <v/>
      </c>
      <c r="G37" s="7636" t="n"/>
      <c r="H37" s="12758">
        <f>AV31</f>
        <v/>
      </c>
      <c r="K37" s="7636" t="n"/>
      <c r="L37" s="12759">
        <f>$AT$30</f>
        <v/>
      </c>
      <c r="P37" s="12760">
        <f>AT31</f>
        <v/>
      </c>
      <c r="T37" s="12761">
        <f>AT32</f>
        <v/>
      </c>
      <c r="Z37" s="7636" t="n"/>
      <c r="AA37" s="11602" t="n"/>
      <c r="AB37" s="11602" t="n"/>
      <c r="AC37" s="11602" t="n"/>
      <c r="AD37" s="726" t="n"/>
      <c r="AE37" s="8650" t="n"/>
      <c r="AF37" s="8650" t="n"/>
      <c r="AG37" s="8650" t="n"/>
      <c r="AH37" s="8650" t="n"/>
      <c r="AI37" s="8650" t="n"/>
      <c r="AJ37" s="8650" t="n"/>
      <c r="AK37" s="2013" t="n"/>
      <c r="AL37" s="11602" t="n"/>
      <c r="AM37" s="408" t="n"/>
      <c r="AN37" s="350" t="inlineStr">
        <is>
          <t>1.</t>
        </is>
      </c>
      <c r="AO37" s="344" t="inlineStr">
        <is>
          <t>Enter the amount from Form 1040, 1040-SR, or</t>
        </is>
      </c>
      <c r="AP37" s="11602" t="n"/>
      <c r="AQ37" s="11602" t="n"/>
      <c r="AR37" s="409" t="n"/>
      <c r="AS37" s="11602" t="n"/>
      <c r="AT37" s="11602" t="n"/>
      <c r="AU37" s="11602" t="n"/>
      <c r="AV37" s="11602" t="n"/>
      <c r="AW37" s="11602" t="n"/>
      <c r="AX37" s="11602" t="n"/>
      <c r="AY37" s="11880" t="n"/>
    </row>
    <row r="38" ht="15.75" customFormat="1" customHeight="1" s="658">
      <c r="A38" s="2013" t="n"/>
      <c r="B38" s="11602" t="n"/>
      <c r="C38" s="2917" t="n"/>
      <c r="D38" s="12758">
        <f>H37</f>
        <v/>
      </c>
      <c r="G38" s="7636" t="n"/>
      <c r="H38" s="12758">
        <f>AW32</f>
        <v/>
      </c>
      <c r="K38" s="7636" t="n"/>
      <c r="L38" s="12759">
        <f>$AT$30</f>
        <v/>
      </c>
      <c r="P38" s="12760">
        <f>AT31</f>
        <v/>
      </c>
      <c r="T38" s="12761">
        <f>AT32</f>
        <v/>
      </c>
      <c r="Z38" s="7636" t="n"/>
      <c r="AA38" s="11602" t="n"/>
      <c r="AB38" s="11602" t="n"/>
      <c r="AC38" s="11602" t="n"/>
      <c r="AD38" s="726" t="n"/>
      <c r="AE38" s="8650" t="n"/>
      <c r="AF38" s="8650" t="n"/>
      <c r="AG38" s="8650" t="n"/>
      <c r="AH38" s="8650" t="n"/>
      <c r="AI38" s="8650" t="n"/>
      <c r="AJ38" s="8650" t="n"/>
      <c r="AK38" s="2013" t="n"/>
      <c r="AL38" s="11602" t="n"/>
      <c r="AM38" s="408" t="n"/>
      <c r="AN38" s="11602" t="n"/>
      <c r="AO38" s="344" t="inlineStr">
        <is>
          <t>1040-NR, line 18</t>
        </is>
      </c>
      <c r="AP38" s="350" t="inlineStr">
        <is>
          <t>1.</t>
        </is>
      </c>
      <c r="AQ38" s="1644">
        <f>IF(AA44,"",Tax)</f>
        <v/>
      </c>
      <c r="AR38" s="409" t="n"/>
      <c r="AS38" s="11602" t="n"/>
      <c r="AT38" s="11602" t="n"/>
      <c r="AU38" s="11602" t="n"/>
      <c r="AV38" s="11602" t="n"/>
      <c r="AW38" s="11602" t="n"/>
      <c r="AX38" s="11602" t="n"/>
      <c r="AY38" s="11880" t="n"/>
    </row>
    <row r="39" ht="15.75" customFormat="1" customHeight="1" s="658">
      <c r="A39" s="2013" t="n"/>
      <c r="B39" s="11602" t="n"/>
      <c r="C39" s="2917" t="n"/>
      <c r="D39" s="12758">
        <f>H38</f>
        <v/>
      </c>
      <c r="G39" s="7636" t="n"/>
      <c r="H39" s="12758">
        <f>AU30</f>
        <v/>
      </c>
      <c r="K39" s="7636" t="n"/>
      <c r="L39" s="12759">
        <f>$AT$30</f>
        <v/>
      </c>
      <c r="P39" s="12760">
        <f>AT32</f>
        <v/>
      </c>
      <c r="T39" s="12761" t="n">
        <v>0</v>
      </c>
      <c r="Z39" s="7636" t="n"/>
      <c r="AA39" s="11602" t="n"/>
      <c r="AB39" s="11602" t="n"/>
      <c r="AC39" s="11602" t="n"/>
      <c r="AD39" s="726" t="n"/>
      <c r="AE39" s="8650" t="n"/>
      <c r="AF39" s="8650" t="n"/>
      <c r="AG39" s="8650" t="n"/>
      <c r="AH39" s="8650" t="n"/>
      <c r="AI39" s="8650" t="n"/>
      <c r="AJ39" s="8650" t="n"/>
      <c r="AK39" s="2013" t="n"/>
      <c r="AL39" s="11602" t="n"/>
      <c r="AM39" s="408" t="n"/>
      <c r="AN39" s="350" t="n"/>
      <c r="AO39" s="344" t="n"/>
      <c r="AP39" s="11602" t="n"/>
      <c r="AQ39" s="11602" t="n"/>
      <c r="AR39" s="409" t="n"/>
      <c r="AS39" s="11602" t="n"/>
      <c r="AT39" s="11602" t="n"/>
      <c r="AU39" s="11602" t="n"/>
      <c r="AV39" s="11602" t="n"/>
      <c r="AW39" s="11602" t="n"/>
      <c r="AX39" s="11602" t="n"/>
      <c r="AY39" s="11880" t="n"/>
    </row>
    <row r="40" ht="15.75" customFormat="1" customHeight="1" s="658">
      <c r="A40" s="2013" t="n"/>
      <c r="B40" s="11602" t="n"/>
      <c r="C40" s="2917" t="n"/>
      <c r="D40" s="12758">
        <f>H39</f>
        <v/>
      </c>
      <c r="G40" s="7636" t="n"/>
      <c r="H40" s="12758">
        <f>AU31</f>
        <v/>
      </c>
      <c r="K40" s="7636" t="n"/>
      <c r="L40" s="12759">
        <f>AT31</f>
        <v/>
      </c>
      <c r="P40" s="12760">
        <f>AT32</f>
        <v/>
      </c>
      <c r="T40" s="12761" t="n">
        <v>0</v>
      </c>
      <c r="Z40" s="7636" t="n"/>
      <c r="AA40" s="11602" t="n"/>
      <c r="AB40" s="11602" t="n"/>
      <c r="AC40" s="11602" t="n"/>
      <c r="AD40" s="726" t="n"/>
      <c r="AE40" s="8650" t="n"/>
      <c r="AF40" s="8650" t="n"/>
      <c r="AG40" s="8650" t="n"/>
      <c r="AH40" s="8650" t="n"/>
      <c r="AI40" s="8650" t="n"/>
      <c r="AJ40" s="8650" t="n"/>
      <c r="AK40" s="2013" t="n"/>
      <c r="AL40" s="11602" t="n"/>
      <c r="AM40" s="408" t="n"/>
      <c r="AN40" s="350" t="inlineStr">
        <is>
          <t>2.</t>
        </is>
      </c>
      <c r="AO40" s="344" t="inlineStr">
        <is>
          <t>Enter the total of your credits from Schedule 3,</t>
        </is>
      </c>
      <c r="AP40" s="11602" t="n"/>
      <c r="AQ40" s="11602" t="n"/>
      <c r="AR40" s="409" t="n"/>
      <c r="AS40" s="11602" t="n"/>
      <c r="AT40" s="11602" t="n"/>
      <c r="AU40" s="11602" t="n"/>
      <c r="AV40" s="11602" t="n"/>
      <c r="AW40" s="11602" t="n"/>
      <c r="AX40" s="11602" t="n"/>
      <c r="AY40" s="11880" t="n"/>
    </row>
    <row r="41" ht="15.75" customFormat="1" customHeight="1" s="658">
      <c r="A41" s="2013" t="n"/>
      <c r="B41" s="11602" t="n"/>
      <c r="C41" s="2917" t="n"/>
      <c r="D41" s="12758">
        <f>H40</f>
        <v/>
      </c>
      <c r="G41" s="7636" t="n"/>
      <c r="H41" s="12758">
        <f>AV32</f>
        <v/>
      </c>
      <c r="K41" s="7636" t="n"/>
      <c r="L41" s="12759">
        <f>AT32</f>
        <v/>
      </c>
      <c r="P41" s="12760">
        <f>AT32</f>
        <v/>
      </c>
      <c r="T41" s="12761" t="n">
        <v>0</v>
      </c>
      <c r="Z41" s="7636" t="n"/>
      <c r="AA41" s="11602" t="n"/>
      <c r="AB41" s="11602" t="n"/>
      <c r="AC41" s="11602" t="n"/>
      <c r="AD41" s="726" t="n"/>
      <c r="AE41" s="8650" t="n"/>
      <c r="AF41" s="8650" t="n"/>
      <c r="AG41" s="8650" t="n"/>
      <c r="AH41" s="8650" t="n"/>
      <c r="AI41" s="8650" t="n"/>
      <c r="AJ41" s="8650" t="n"/>
      <c r="AK41" s="2013" t="n"/>
      <c r="AL41" s="11602" t="n"/>
      <c r="AM41" s="408" t="n"/>
      <c r="AN41" s="11602" t="n"/>
      <c r="AO41" s="344" t="inlineStr">
        <is>
          <t xml:space="preserve"> lines 1 through 3, 6d, and 6l</t>
        </is>
      </c>
      <c r="AP41" s="350" t="inlineStr">
        <is>
          <t>2.</t>
        </is>
      </c>
      <c r="AQ41" s="1644">
        <f>IF(OR(AB26,AA44),"",SUM(Foreign_Tax_Credit,Care_Expenses,Education,Elderly_Credit,ROUND(F8978_Credit,0)))</f>
        <v/>
      </c>
      <c r="AR41" s="409" t="n"/>
      <c r="AS41" s="11602" t="n"/>
      <c r="AT41" s="11602" t="n"/>
      <c r="AU41" s="11602" t="n"/>
      <c r="AV41" s="11602" t="n"/>
      <c r="AW41" s="11602" t="n"/>
      <c r="AX41" s="11602" t="n"/>
      <c r="AY41" s="11880" t="n"/>
    </row>
    <row r="42" ht="15.75" customFormat="1" customHeight="1" s="658">
      <c r="A42" s="2013" t="n"/>
      <c r="B42" s="11602" t="n"/>
      <c r="C42" s="2917" t="n"/>
      <c r="D42" s="12758">
        <f>H41</f>
        <v/>
      </c>
      <c r="G42" s="7636" t="n"/>
      <c r="H42" s="12758">
        <f>AU32</f>
        <v/>
      </c>
      <c r="K42" s="7636" t="n"/>
      <c r="L42" s="12759">
        <f>AT32</f>
        <v/>
      </c>
      <c r="P42" s="12760" t="n">
        <v>0</v>
      </c>
      <c r="T42" s="12761" t="n">
        <v>0</v>
      </c>
      <c r="Z42" s="7636" t="n"/>
      <c r="AA42" s="11602" t="n"/>
      <c r="AB42" s="11602" t="n"/>
      <c r="AC42" s="11602" t="n"/>
      <c r="AD42" s="726" t="n"/>
      <c r="AE42" s="8650" t="n"/>
      <c r="AF42" s="8650" t="n"/>
      <c r="AG42" s="8650" t="n"/>
      <c r="AH42" s="8650" t="n"/>
      <c r="AI42" s="8650" t="n"/>
      <c r="AJ42" s="8650" t="n"/>
      <c r="AK42" s="2013" t="n"/>
      <c r="AL42" s="11602" t="n"/>
      <c r="AM42" s="408" t="n"/>
      <c r="AN42" s="11602" t="n"/>
      <c r="AO42" s="11602" t="n"/>
      <c r="AP42" s="11602" t="n"/>
      <c r="AQ42" s="11602" t="n"/>
      <c r="AR42" s="409" t="n"/>
      <c r="AS42" s="11602" t="n"/>
      <c r="AT42" s="11602" t="n"/>
      <c r="AU42" s="11602" t="n"/>
      <c r="AV42" s="11602" t="n"/>
      <c r="AW42" s="11602" t="n"/>
      <c r="AX42" s="11602" t="n"/>
      <c r="AY42" s="11880" t="n"/>
    </row>
    <row r="43" ht="15.75" customFormat="1" customHeight="1" s="658">
      <c r="A43" s="2013" t="n"/>
      <c r="B43" s="11602" t="n"/>
      <c r="C43" s="2917" t="n"/>
      <c r="D43" s="12762">
        <f>H42</f>
        <v/>
      </c>
      <c r="E43" s="7637" t="n"/>
      <c r="F43" s="7637" t="n"/>
      <c r="G43" s="7638" t="n"/>
      <c r="H43" s="12763" t="inlineStr">
        <is>
          <t>---</t>
        </is>
      </c>
      <c r="I43" s="7637" t="n"/>
      <c r="J43" s="7637" t="n"/>
      <c r="K43" s="7638" t="n"/>
      <c r="L43" s="12764" t="n">
        <v>0</v>
      </c>
      <c r="M43" s="7637" t="n"/>
      <c r="N43" s="7637" t="n"/>
      <c r="O43" s="7637" t="n"/>
      <c r="P43" s="12765" t="n">
        <v>0</v>
      </c>
      <c r="Q43" s="7637" t="n"/>
      <c r="R43" s="7637" t="n"/>
      <c r="S43" s="7637" t="n"/>
      <c r="T43" s="12766" t="n">
        <v>0</v>
      </c>
      <c r="U43" s="7637" t="n"/>
      <c r="V43" s="7637" t="n"/>
      <c r="W43" s="7637" t="n"/>
      <c r="X43" s="7637" t="n"/>
      <c r="Y43" s="7637" t="n"/>
      <c r="Z43" s="7638" t="n"/>
      <c r="AA43" s="11602" t="n"/>
      <c r="AB43" s="11602" t="n"/>
      <c r="AC43" s="11602" t="n"/>
      <c r="AD43" s="726" t="n"/>
      <c r="AE43" s="8650" t="n"/>
      <c r="AF43" s="8650" t="n"/>
      <c r="AG43" s="8650" t="n"/>
      <c r="AH43" s="8650" t="n"/>
      <c r="AI43" s="8650" t="n"/>
      <c r="AJ43" s="8650" t="n"/>
      <c r="AK43" s="2013" t="n"/>
      <c r="AL43" s="11602" t="n"/>
      <c r="AM43" s="408" t="n"/>
      <c r="AN43" s="350" t="inlineStr">
        <is>
          <t>3.</t>
        </is>
      </c>
      <c r="AO43" s="344" t="inlineStr">
        <is>
          <t>Subtract line 2 from line 1. Also enter this amount</t>
        </is>
      </c>
      <c r="AP43" s="11602" t="n"/>
      <c r="AQ43" s="11602" t="n"/>
      <c r="AR43" s="409" t="n"/>
      <c r="AS43" s="11602" t="n"/>
      <c r="AT43" s="11602" t="n"/>
      <c r="AU43" s="11602" t="n"/>
      <c r="AV43" s="11602" t="n"/>
      <c r="AW43" s="11602" t="n"/>
      <c r="AX43" s="11602" t="n"/>
      <c r="AY43" s="11880" t="n"/>
    </row>
    <row r="44" ht="15.75" customFormat="1" customHeight="1" s="658">
      <c r="A44" s="2013" t="n"/>
      <c r="B44" s="11602" t="n"/>
      <c r="C44" s="7772" t="n"/>
      <c r="D44" s="11222" t="inlineStr">
        <is>
          <t>Note: If line 9 is zero, stop; you can’t take this credit.</t>
        </is>
      </c>
      <c r="E44" s="7839" t="n"/>
      <c r="F44" s="7839" t="n"/>
      <c r="G44" s="7839" t="n"/>
      <c r="H44" s="7839" t="n"/>
      <c r="I44" s="7839" t="n"/>
      <c r="J44" s="7839" t="n"/>
      <c r="K44" s="7839" t="n"/>
      <c r="L44" s="7839" t="n"/>
      <c r="M44" s="7839" t="n"/>
      <c r="N44" s="7839" t="n"/>
      <c r="O44" s="7839" t="n"/>
      <c r="P44" s="7839" t="n"/>
      <c r="Q44" s="7839" t="n"/>
      <c r="R44" s="7839" t="n"/>
      <c r="S44" s="7839" t="n"/>
      <c r="T44" s="7839" t="n"/>
      <c r="U44" s="7839" t="n"/>
      <c r="V44" s="7839" t="n"/>
      <c r="W44" s="7839" t="n"/>
      <c r="X44" s="7839" t="n"/>
      <c r="Y44" s="7839" t="n"/>
      <c r="Z44" s="7839" t="n"/>
      <c r="AA44" s="10789">
        <f>AI35=0</f>
        <v/>
      </c>
      <c r="AC44" s="7636" t="n"/>
      <c r="AD44" s="726" t="n"/>
      <c r="AE44" s="8650" t="n"/>
      <c r="AF44" s="8650" t="n"/>
      <c r="AG44" s="8650" t="n"/>
      <c r="AH44" s="8650" t="n"/>
      <c r="AI44" s="8650" t="n"/>
      <c r="AJ44" s="8650" t="n"/>
      <c r="AK44" s="2013" t="n"/>
      <c r="AL44" s="11602" t="n"/>
      <c r="AM44" s="408" t="n"/>
      <c r="AN44" s="11602" t="n"/>
      <c r="AO44" s="344" t="inlineStr">
        <is>
          <t>on Form 8880, line 11.  But if zero or less, stop;</t>
        </is>
      </c>
      <c r="AP44" s="11602" t="n"/>
      <c r="AQ44" s="512">
        <f>OR(AA44,AND(AQ41="",AQ38&lt;=0),AND(AQ41&lt;&gt;"",AQ38&lt;=AQ41))</f>
        <v/>
      </c>
      <c r="AR44" s="409" t="n"/>
      <c r="AS44" s="11602" t="n"/>
      <c r="AT44" s="11602" t="n"/>
      <c r="AU44" s="11602" t="n"/>
      <c r="AV44" s="11602" t="n"/>
      <c r="AW44" s="11602" t="n"/>
      <c r="AX44" s="11602" t="n"/>
      <c r="AY44" s="11880" t="n"/>
    </row>
    <row r="45" ht="15" customFormat="1" customHeight="1" s="658">
      <c r="A45" s="2013" t="n"/>
      <c r="B45" s="11602" t="n"/>
      <c r="C45" s="2917" t="n">
        <v>10</v>
      </c>
      <c r="D45" s="7772" t="inlineStr">
        <is>
          <t>Multiply line 7 by line 9</t>
        </is>
      </c>
      <c r="E45" s="11602" t="n"/>
      <c r="F45" s="11602" t="n"/>
      <c r="G45" s="11602" t="n"/>
      <c r="H45" s="11602" t="n"/>
      <c r="I45" s="11602" t="n"/>
      <c r="J45" s="11602" t="n"/>
      <c r="K45" s="11602" t="n"/>
      <c r="L45" s="11602" t="n"/>
      <c r="M45" s="11602" t="n"/>
      <c r="N45" s="11602" t="n"/>
      <c r="O45" s="11602" t="n"/>
      <c r="P45" s="11602" t="n"/>
      <c r="Q45" s="11602" t="n"/>
      <c r="R45" s="11602" t="n"/>
      <c r="S45" s="11602" t="n"/>
      <c r="T45" s="11602" t="n"/>
      <c r="U45" s="11602" t="n"/>
      <c r="V45" s="11602" t="n"/>
      <c r="W45" s="11602" t="n"/>
      <c r="X45" s="11602" t="n"/>
      <c r="Y45" s="11602" t="n"/>
      <c r="Z45" s="11602" t="n"/>
      <c r="AA45" s="11602" t="n"/>
      <c r="AB45" s="11602" t="n"/>
      <c r="AC45" s="1657" t="n"/>
      <c r="AD45" s="2895" t="n">
        <v>10</v>
      </c>
      <c r="AE45" s="11213">
        <f>IF(OR(AB26,AA44),"",ROUND(AE26*AI35,0))</f>
        <v/>
      </c>
      <c r="AF45" s="7637" t="n"/>
      <c r="AG45" s="7637" t="n"/>
      <c r="AH45" s="7637" t="n"/>
      <c r="AI45" s="7637" t="n"/>
      <c r="AJ45" s="7638" t="n"/>
      <c r="AK45" s="2013" t="n"/>
      <c r="AL45" s="11602" t="n"/>
      <c r="AM45" s="408" t="n"/>
      <c r="AN45" s="11602" t="n"/>
      <c r="AO45" s="344" t="inlineStr">
        <is>
          <t>you can’t take the credit—don’t file this form</t>
        </is>
      </c>
      <c r="AP45" s="350" t="inlineStr">
        <is>
          <t>3.</t>
        </is>
      </c>
      <c r="AQ45" s="1644">
        <f>IF(AA44,"",IF(AQ41="",MAX(0,AQ38),SUM(AQ38,-AQ41)))</f>
        <v/>
      </c>
      <c r="AR45" s="409" t="n"/>
      <c r="AS45" s="11602" t="n"/>
      <c r="AT45" s="11602" t="n"/>
      <c r="AU45" s="11602" t="n"/>
      <c r="AV45" s="11602" t="n"/>
      <c r="AW45" s="11602" t="n"/>
      <c r="AX45" s="11602" t="n"/>
      <c r="AY45" s="11880" t="n"/>
    </row>
    <row r="46" ht="15.75" customFormat="1" customHeight="1" s="658">
      <c r="A46" s="2013" t="n"/>
      <c r="B46" s="11602" t="n"/>
      <c r="C46" s="2917" t="n">
        <v>11</v>
      </c>
      <c r="D46" s="7772" t="inlineStr">
        <is>
          <t>Limitation based on tax liability. Enter the amount from the Credit Limit Worksheet in the instructions</t>
        </is>
      </c>
      <c r="E46" s="11602" t="n"/>
      <c r="F46" s="11602" t="n"/>
      <c r="G46" s="11602" t="n"/>
      <c r="H46" s="11602" t="n"/>
      <c r="I46" s="11602" t="n"/>
      <c r="J46" s="11602" t="n"/>
      <c r="K46" s="11602" t="n"/>
      <c r="L46" s="11602" t="n"/>
      <c r="M46" s="11602" t="n"/>
      <c r="N46" s="11602" t="n"/>
      <c r="O46" s="11602" t="n"/>
      <c r="P46" s="11602" t="n"/>
      <c r="Q46" s="11602" t="n"/>
      <c r="R46" s="11602" t="n"/>
      <c r="S46" s="11602" t="n"/>
      <c r="T46" s="11602" t="n"/>
      <c r="U46" s="11602" t="n"/>
      <c r="V46" s="11602" t="n"/>
      <c r="W46" s="11602" t="n"/>
      <c r="X46" s="11602" t="n"/>
      <c r="Y46" s="11602" t="n"/>
      <c r="Z46" s="11602" t="n"/>
      <c r="AA46" s="11602" t="n"/>
      <c r="AB46" s="11602" t="n"/>
      <c r="AC46" s="409" t="n"/>
      <c r="AD46" s="2895" t="n">
        <v>11</v>
      </c>
      <c r="AE46" s="11213">
        <f>IF(OR(AA44,AQ44),"",AQ45)</f>
        <v/>
      </c>
      <c r="AF46" s="7637" t="n"/>
      <c r="AG46" s="7637" t="n"/>
      <c r="AH46" s="7637" t="n"/>
      <c r="AI46" s="7637" t="n"/>
      <c r="AJ46" s="7638" t="n"/>
      <c r="AK46" s="2013" t="n"/>
      <c r="AL46" s="11602" t="n"/>
      <c r="AM46" s="412" t="n"/>
      <c r="AN46" s="413" t="n"/>
      <c r="AO46" s="413" t="n"/>
      <c r="AP46" s="413" t="n"/>
      <c r="AQ46" s="413" t="n"/>
      <c r="AR46" s="414" t="n"/>
      <c r="AS46" s="11602" t="n"/>
      <c r="AT46" s="11602" t="n"/>
      <c r="AU46" s="11602" t="n"/>
      <c r="AV46" s="11602" t="n"/>
      <c r="AW46" s="11602" t="n"/>
      <c r="AX46" s="11602" t="n"/>
      <c r="AY46" s="11880" t="n"/>
    </row>
    <row r="47" ht="15.75" customFormat="1" customHeight="1" s="658">
      <c r="A47" s="2013" t="n"/>
      <c r="B47" s="11602" t="n"/>
      <c r="C47" s="2917" t="n">
        <v>12</v>
      </c>
      <c r="D47" s="7772" t="inlineStr">
        <is>
          <t>Credit for qualified retirement savings contributions. Enter the smaller of line 10 or line 11 here</t>
        </is>
      </c>
      <c r="E47" s="11602" t="n"/>
      <c r="F47" s="11602" t="n"/>
      <c r="G47" s="11602" t="n"/>
      <c r="H47" s="11602" t="n"/>
      <c r="I47" s="11602" t="n"/>
      <c r="J47" s="11602" t="n"/>
      <c r="K47" s="11602" t="n"/>
      <c r="L47" s="11602" t="n"/>
      <c r="M47" s="11602" t="n"/>
      <c r="N47" s="11602" t="n"/>
      <c r="O47" s="11602" t="n"/>
      <c r="P47" s="11602" t="n"/>
      <c r="Q47" s="11602" t="n"/>
      <c r="R47" s="11602" t="n"/>
      <c r="S47" s="11602" t="n"/>
      <c r="T47" s="11602" t="n"/>
      <c r="U47" s="11602" t="n"/>
      <c r="V47" s="11602" t="n"/>
      <c r="W47" s="11602" t="n"/>
      <c r="X47" s="11602" t="n"/>
      <c r="Y47" s="11602" t="n"/>
      <c r="Z47" s="11602" t="n"/>
      <c r="AA47" s="11602" t="n"/>
      <c r="AB47" s="11602" t="n"/>
      <c r="AC47" s="409" t="n"/>
      <c r="AD47" s="726" t="n"/>
      <c r="AE47" s="11602" t="n"/>
      <c r="AF47" s="11602" t="n"/>
      <c r="AG47" s="11602" t="n"/>
      <c r="AH47" s="11602" t="n"/>
      <c r="AI47" s="11602" t="n"/>
      <c r="AJ47" s="11602" t="n"/>
      <c r="AK47" s="2013" t="n"/>
      <c r="AL47" s="7914" t="n"/>
      <c r="AO47" s="11602" t="n"/>
      <c r="AP47" s="11602" t="n"/>
      <c r="AQ47" s="11602" t="n"/>
      <c r="AR47" s="11602" t="n"/>
      <c r="AS47" s="11602" t="n"/>
      <c r="AT47" s="11602" t="n"/>
      <c r="AU47" s="11602" t="n"/>
      <c r="AV47" s="11602" t="n"/>
      <c r="AW47" s="11602" t="n"/>
      <c r="AX47" s="11602" t="n"/>
      <c r="AY47" s="11880" t="n"/>
    </row>
    <row r="48" ht="15" customFormat="1" customHeight="1" s="658">
      <c r="A48" s="2013" t="n"/>
      <c r="B48" s="11602" t="n"/>
      <c r="C48" s="7861" t="n"/>
      <c r="D48" s="8650" t="inlineStr">
        <is>
          <t>and on Schedule 3 (Form 1040), line 4</t>
        </is>
      </c>
      <c r="E48" s="11602" t="n"/>
      <c r="F48" s="11602" t="n"/>
      <c r="G48" s="11602" t="n"/>
      <c r="H48" s="11602" t="n"/>
      <c r="I48" s="11602" t="n"/>
      <c r="J48" s="11602" t="n"/>
      <c r="K48" s="11602" t="n"/>
      <c r="L48" s="11602" t="n"/>
      <c r="M48" s="11602" t="n"/>
      <c r="N48" s="11602" t="n"/>
      <c r="O48" s="11602" t="n"/>
      <c r="P48" s="11602" t="n"/>
      <c r="Q48" s="11602" t="n"/>
      <c r="R48" s="11602" t="n"/>
      <c r="S48" s="11602" t="n"/>
      <c r="T48" s="11602" t="n"/>
      <c r="U48" s="11602" t="n"/>
      <c r="V48" s="11602" t="n"/>
      <c r="W48" s="11602" t="n"/>
      <c r="X48" s="11602" t="n"/>
      <c r="Y48" s="11602" t="n"/>
      <c r="Z48" s="11602" t="n"/>
      <c r="AA48" s="11602" t="n"/>
      <c r="AB48" s="11602" t="n"/>
      <c r="AC48" s="409" t="n"/>
      <c r="AD48" s="2895" t="n">
        <v>12</v>
      </c>
      <c r="AE48" s="11213">
        <f>IF(AL48&lt;&gt;"",ROUND(AL48,0),IF(OR(AA44,AQ44),"",MIN(AE45,AE46)))</f>
        <v/>
      </c>
      <c r="AF48" s="7637" t="n"/>
      <c r="AG48" s="7637" t="n"/>
      <c r="AH48" s="7637" t="n"/>
      <c r="AI48" s="7637" t="n"/>
      <c r="AJ48" s="7638" t="n"/>
      <c r="AK48" s="2013" t="n"/>
      <c r="AL48" s="10800" t="n"/>
      <c r="AM48" s="11717" t="n"/>
      <c r="AN48" s="11717" t="n"/>
      <c r="AO48" s="11602" t="n"/>
      <c r="AP48" s="11602" t="n"/>
      <c r="AQ48" s="11602" t="n"/>
      <c r="AR48" s="11602" t="n"/>
      <c r="AS48" s="11602" t="n"/>
      <c r="AT48" s="11602" t="n"/>
      <c r="AU48" s="11602" t="n"/>
      <c r="AV48" s="11602" t="n"/>
      <c r="AW48" s="11602" t="n"/>
      <c r="AX48" s="11602" t="n"/>
      <c r="AY48" s="11880" t="n"/>
    </row>
    <row r="49" ht="15" customFormat="1" customHeight="1" s="658">
      <c r="A49" s="2013" t="n"/>
      <c r="B49" s="11602" t="n"/>
      <c r="C49" s="7861" t="n"/>
      <c r="D49" s="8650" t="n"/>
      <c r="E49" s="11602" t="n"/>
      <c r="F49" s="11602" t="n"/>
      <c r="G49" s="11602" t="n"/>
      <c r="H49" s="11602" t="n"/>
      <c r="I49" s="11602" t="n"/>
      <c r="J49" s="11602" t="n"/>
      <c r="K49" s="11602" t="n"/>
      <c r="L49" s="11602" t="n"/>
      <c r="M49" s="11602" t="n"/>
      <c r="N49" s="11602" t="n"/>
      <c r="O49" s="11602" t="n"/>
      <c r="P49" s="11602" t="n"/>
      <c r="Q49" s="11602" t="n"/>
      <c r="R49" s="11602" t="n"/>
      <c r="S49" s="11602" t="n"/>
      <c r="T49" s="11602" t="n"/>
      <c r="U49" s="11602" t="n"/>
      <c r="V49" s="11602" t="n"/>
      <c r="W49" s="11602" t="n"/>
      <c r="X49" s="11602" t="n"/>
      <c r="Y49" s="11602" t="n"/>
      <c r="Z49" s="11602" t="n"/>
      <c r="AA49" s="11602" t="n"/>
      <c r="AB49" s="11602" t="n"/>
      <c r="AC49" s="11602" t="n"/>
      <c r="AD49" s="11602" t="n"/>
      <c r="AE49" s="11602" t="n"/>
      <c r="AF49" s="11602" t="n"/>
      <c r="AG49" s="11602" t="n"/>
      <c r="AH49" s="11602" t="n"/>
      <c r="AI49" s="11602" t="n"/>
      <c r="AJ49" s="11602" t="n"/>
      <c r="AK49" s="2013" t="n"/>
      <c r="AL49" s="11602" t="n"/>
      <c r="AM49" s="11602" t="n"/>
      <c r="AN49" s="11602" t="n"/>
      <c r="AO49" s="11602" t="n"/>
      <c r="AP49" s="11602" t="n"/>
      <c r="AQ49" s="11602" t="n"/>
      <c r="AR49" s="11602" t="n"/>
      <c r="AS49" s="11602" t="n"/>
      <c r="AT49" s="11602" t="n"/>
      <c r="AU49" s="11602" t="n"/>
      <c r="AV49" s="11602" t="n"/>
      <c r="AW49" s="11602" t="n"/>
      <c r="AX49" s="11602" t="n"/>
      <c r="AY49" s="11880" t="n"/>
    </row>
    <row r="50" ht="15" customFormat="1" customHeight="1" s="658">
      <c r="A50" s="2013" t="n"/>
      <c r="B50" s="11602" t="n"/>
      <c r="C50" s="7861" t="n"/>
      <c r="D50" s="8650" t="inlineStr">
        <is>
          <t>*See Pub. 590-A for the amount to enter if you claim any exclusion or deduction for foreign earned income, foreign housing, or income from</t>
        </is>
      </c>
      <c r="E50" s="11602" t="n"/>
      <c r="F50" s="11602" t="n"/>
      <c r="G50" s="11602" t="n"/>
      <c r="H50" s="11602" t="n"/>
      <c r="I50" s="11602" t="n"/>
      <c r="J50" s="11602" t="n"/>
      <c r="K50" s="11602" t="n"/>
      <c r="L50" s="11602" t="n"/>
      <c r="M50" s="11602" t="n"/>
      <c r="N50" s="11602" t="n"/>
      <c r="O50" s="11602" t="n"/>
      <c r="P50" s="11602" t="n"/>
      <c r="Q50" s="11602" t="n"/>
      <c r="R50" s="11602" t="n"/>
      <c r="S50" s="11602" t="n"/>
      <c r="T50" s="11602" t="n"/>
      <c r="U50" s="11602" t="n"/>
      <c r="V50" s="11602" t="n"/>
      <c r="W50" s="11602" t="n"/>
      <c r="X50" s="11602" t="n"/>
      <c r="Y50" s="11602" t="n"/>
      <c r="Z50" s="11602" t="n"/>
      <c r="AA50" s="11602" t="n"/>
      <c r="AB50" s="11602" t="n"/>
      <c r="AC50" s="11602" t="n"/>
      <c r="AD50" s="11602" t="n"/>
      <c r="AE50" s="11602" t="n"/>
      <c r="AF50" s="11602" t="n"/>
      <c r="AG50" s="11602" t="n"/>
      <c r="AH50" s="11602" t="n"/>
      <c r="AI50" s="11602" t="n"/>
      <c r="AJ50" s="11602" t="n"/>
      <c r="AK50" s="2013" t="n"/>
      <c r="AL50" s="11602" t="n"/>
      <c r="AM50" s="11602" t="n"/>
      <c r="AN50" s="11602" t="n"/>
      <c r="AO50" s="11602" t="n"/>
      <c r="AP50" s="11602" t="n"/>
      <c r="AQ50" s="11602" t="n"/>
      <c r="AR50" s="11602" t="n"/>
      <c r="AS50" s="11602" t="n"/>
      <c r="AT50" s="11602" t="n"/>
      <c r="AU50" s="11602" t="n"/>
      <c r="AV50" s="11602" t="n"/>
      <c r="AW50" s="11602" t="n"/>
      <c r="AX50" s="11602" t="n"/>
      <c r="AY50" s="11880" t="n"/>
    </row>
    <row r="51" ht="19.5" customFormat="1" customHeight="1" s="658" thickBot="1">
      <c r="A51" s="2013" t="n"/>
      <c r="B51" s="11602" t="n"/>
      <c r="C51" s="7861" t="n"/>
      <c r="D51" s="2046" t="inlineStr">
        <is>
          <t>Puerto Rico or for bona fide residents of American Samoa.</t>
        </is>
      </c>
      <c r="E51" s="11602" t="n"/>
      <c r="F51" s="11602" t="n"/>
      <c r="G51" s="11602" t="n"/>
      <c r="H51" s="11602" t="n"/>
      <c r="I51" s="11602" t="n"/>
      <c r="J51" s="11602" t="n"/>
      <c r="K51" s="11602" t="n"/>
      <c r="L51" s="11602" t="n"/>
      <c r="M51" s="11602" t="n"/>
      <c r="N51" s="11602" t="n"/>
      <c r="O51" s="11602" t="n"/>
      <c r="P51" s="11602" t="n"/>
      <c r="Q51" s="11602" t="n"/>
      <c r="R51" s="11602" t="n"/>
      <c r="S51" s="11602" t="n"/>
      <c r="T51" s="11602" t="n"/>
      <c r="U51" s="11602" t="n"/>
      <c r="V51" s="11602" t="n"/>
      <c r="W51" s="11602" t="n"/>
      <c r="X51" s="11602" t="n"/>
      <c r="Y51" s="11602" t="n"/>
      <c r="Z51" s="11602" t="n"/>
      <c r="AA51" s="11602" t="n"/>
      <c r="AB51" s="11602" t="n"/>
      <c r="AC51" s="11602" t="n"/>
      <c r="AD51" s="11602" t="n"/>
      <c r="AE51" s="11602" t="n"/>
      <c r="AF51" s="11602" t="n"/>
      <c r="AG51" s="11602" t="n"/>
      <c r="AH51" s="11602" t="n"/>
      <c r="AI51" s="11602" t="n"/>
      <c r="AJ51" s="11602" t="n"/>
      <c r="AK51" s="2013" t="n"/>
      <c r="AL51" s="11602" t="n"/>
      <c r="AM51" s="11602" t="n"/>
      <c r="AN51" s="11602" t="n"/>
      <c r="AO51" s="11602" t="n"/>
      <c r="AP51" s="11602" t="n"/>
      <c r="AQ51" s="11602" t="n"/>
      <c r="AR51" s="11602" t="n"/>
      <c r="AS51" s="11602" t="n"/>
      <c r="AT51" s="11602" t="n"/>
      <c r="AU51" s="11602" t="n"/>
      <c r="AV51" s="11602" t="n"/>
      <c r="AW51" s="11602" t="n"/>
      <c r="AX51" s="11602" t="n"/>
      <c r="AY51" s="11880" t="n"/>
    </row>
    <row r="52" ht="18" customHeight="1" s="7635" thickTop="1">
      <c r="A52" s="2013" t="n"/>
      <c r="B52" s="2932" t="inlineStr">
        <is>
          <t>For Paperwork Reduction Act Notice, see your tax return instructions.</t>
        </is>
      </c>
      <c r="C52" s="2933" t="n"/>
      <c r="D52" s="2933" t="n"/>
      <c r="E52" s="2933" t="n"/>
      <c r="F52" s="2933" t="n"/>
      <c r="G52" s="2933" t="n"/>
      <c r="H52" s="2933" t="n"/>
      <c r="I52" s="2933" t="n"/>
      <c r="J52" s="2933" t="n"/>
      <c r="K52" s="2933" t="n"/>
      <c r="L52" s="2933" t="n"/>
      <c r="M52" s="2933" t="n"/>
      <c r="N52" s="2933" t="n"/>
      <c r="O52" s="2933" t="n"/>
      <c r="P52" s="2933" t="n"/>
      <c r="Q52" s="257" t="n"/>
      <c r="R52" s="257" t="n"/>
      <c r="S52" s="257" t="n"/>
      <c r="T52" s="257" t="n"/>
      <c r="U52" s="2934" t="n"/>
      <c r="V52" s="257" t="n"/>
      <c r="W52" s="2244" t="inlineStr">
        <is>
          <t>Cat. No. 33394D</t>
        </is>
      </c>
      <c r="X52" s="257" t="n"/>
      <c r="Y52" s="257" t="n"/>
      <c r="Z52" s="257" t="n"/>
      <c r="AA52" s="257" t="n"/>
      <c r="AB52" s="257" t="n"/>
      <c r="AC52" s="257" t="n"/>
      <c r="AD52" s="257" t="n"/>
      <c r="AE52" s="257" t="n"/>
      <c r="AF52" s="257" t="n"/>
      <c r="AG52" s="257" t="n"/>
      <c r="AH52" s="2935" t="inlineStr">
        <is>
          <t>Form 8880</t>
        </is>
      </c>
      <c r="AI52" s="257" t="n"/>
      <c r="AJ52" s="2935">
        <f>"("&amp;TaxYear&amp;")"</f>
        <v/>
      </c>
      <c r="AK52" s="2013" t="n"/>
      <c r="AL52" s="712" t="n"/>
      <c r="AM52" s="712" t="n"/>
      <c r="AN52" s="11602" t="n"/>
      <c r="AO52" s="11602" t="n"/>
      <c r="AP52" s="11602" t="n"/>
      <c r="AQ52" s="11602" t="n"/>
      <c r="AR52" s="11602" t="n"/>
      <c r="AS52" s="344" t="n"/>
      <c r="AT52" s="344" t="n"/>
      <c r="AU52" s="344" t="n"/>
      <c r="AV52" s="344" t="n"/>
      <c r="AW52" s="344" t="n"/>
      <c r="AX52" s="344" t="n"/>
      <c r="AY52" s="11880" t="n"/>
      <c r="AZ52" s="658" t="n"/>
      <c r="BA52" s="658" t="n"/>
      <c r="BB52" s="658" t="n"/>
      <c r="BC52" s="658" t="n"/>
      <c r="BD52" s="658" t="n"/>
      <c r="BE52" s="658" t="n"/>
      <c r="BF52" s="658" t="n"/>
      <c r="BG52" s="658" t="n"/>
      <c r="BI52" s="2936" t="n"/>
      <c r="BL52" s="12729" t="n"/>
      <c r="BM52" s="421" t="n"/>
      <c r="BN52" s="421" t="n"/>
      <c r="BO52" s="690" t="n"/>
      <c r="BP52" s="421" t="n"/>
      <c r="BQ52" s="421" t="n"/>
      <c r="BR52" s="421" t="n"/>
      <c r="BS52" s="421" t="n"/>
      <c r="BT52" s="421" t="n"/>
      <c r="BV52" s="815" t="n"/>
      <c r="BW52" s="815" t="n"/>
      <c r="BX52" s="815" t="n"/>
      <c r="BY52" s="815" t="n"/>
      <c r="BZ52" s="815" t="n"/>
      <c r="CA52" s="815" t="n"/>
      <c r="CB52" s="815" t="n"/>
      <c r="CC52" s="815" t="n"/>
      <c r="CD52" s="815" t="n"/>
    </row>
    <row r="53" ht="18" customHeight="1" s="7635">
      <c r="A53" s="2013" t="n"/>
      <c r="B53" s="2013" t="n"/>
      <c r="C53" s="2013" t="n"/>
      <c r="D53" s="2013" t="n"/>
      <c r="E53" s="2013" t="n"/>
      <c r="F53" s="2013" t="n"/>
      <c r="G53" s="2013" t="n"/>
      <c r="H53" s="2013" t="n"/>
      <c r="I53" s="2013" t="n"/>
      <c r="J53" s="2013" t="n"/>
      <c r="K53" s="2013" t="n"/>
      <c r="L53" s="2013" t="n"/>
      <c r="M53" s="2013" t="n"/>
      <c r="N53" s="2013" t="n"/>
      <c r="O53" s="2013" t="n"/>
      <c r="P53" s="2013" t="n"/>
      <c r="Q53" s="2013" t="n"/>
      <c r="R53" s="2013" t="n"/>
      <c r="S53" s="2013" t="n"/>
      <c r="T53" s="2013" t="n"/>
      <c r="U53" s="2013" t="n"/>
      <c r="V53" s="2013" t="n"/>
      <c r="W53" s="2013" t="n"/>
      <c r="X53" s="2013" t="n"/>
      <c r="Y53" s="2013" t="n"/>
      <c r="Z53" s="2013" t="n"/>
      <c r="AA53" s="2013" t="n"/>
      <c r="AB53" s="2013" t="n"/>
      <c r="AC53" s="2013" t="n"/>
      <c r="AD53" s="2013" t="n"/>
      <c r="AE53" s="2013" t="n"/>
      <c r="AF53" s="2013" t="n"/>
      <c r="AG53" s="2013" t="n"/>
      <c r="AH53" s="2013" t="n"/>
      <c r="AI53" s="2013" t="n"/>
      <c r="AJ53" s="2013" t="n"/>
      <c r="AK53" s="2013" t="n"/>
      <c r="AL53" s="712" t="n"/>
      <c r="AM53" s="712" t="n"/>
      <c r="AN53" s="11602" t="n"/>
      <c r="AO53" s="11602" t="n"/>
      <c r="AP53" s="11602" t="n"/>
      <c r="AQ53" s="11602" t="n"/>
      <c r="AR53" s="11602" t="n"/>
      <c r="AS53" s="344" t="n"/>
      <c r="AT53" s="344" t="n"/>
      <c r="AU53" s="344" t="n"/>
      <c r="AV53" s="344" t="n"/>
      <c r="AW53" s="344" t="n"/>
      <c r="AX53" s="344" t="n"/>
      <c r="AY53" s="11880" t="n"/>
      <c r="AZ53" s="658" t="n"/>
      <c r="BA53" s="658" t="n"/>
      <c r="BB53" s="658" t="n"/>
      <c r="BC53" s="658" t="n"/>
      <c r="BD53" s="658" t="n"/>
      <c r="BE53" s="658" t="n"/>
      <c r="BF53" s="658" t="n"/>
      <c r="BG53" s="658" t="n"/>
      <c r="BI53" s="2936" t="n"/>
      <c r="BL53" s="12729" t="n"/>
      <c r="BM53" s="421" t="n"/>
      <c r="BN53" s="421" t="n"/>
      <c r="BO53" s="690" t="n"/>
      <c r="BP53" s="421" t="n"/>
      <c r="BQ53" s="421" t="n"/>
      <c r="BR53" s="421" t="n"/>
      <c r="BS53" s="421" t="n"/>
      <c r="BT53" s="421" t="n"/>
      <c r="BV53" s="815" t="n"/>
      <c r="BW53" s="815" t="n"/>
      <c r="BX53" s="815" t="n"/>
      <c r="BY53" s="815" t="n"/>
      <c r="BZ53" s="815" t="n"/>
      <c r="CA53" s="815" t="n"/>
      <c r="CB53" s="815" t="n"/>
      <c r="CC53" s="815" t="n"/>
      <c r="CD53" s="815" t="n"/>
    </row>
    <row r="54" ht="25.5" customFormat="1" customHeight="1" s="658" thickBot="1">
      <c r="B54" s="2938" t="n"/>
      <c r="C54" s="2938" t="n"/>
      <c r="D54" s="2939" t="n"/>
      <c r="E54" s="2939" t="n"/>
      <c r="F54" s="2939" t="n"/>
      <c r="G54" s="2939" t="n"/>
      <c r="H54" s="2939" t="n"/>
      <c r="I54" s="2939" t="n"/>
      <c r="AY54" s="12490" t="n"/>
      <c r="AZ54" s="815" t="n"/>
      <c r="BA54" s="815" t="n"/>
      <c r="BB54" s="815" t="n"/>
      <c r="BC54" s="815" t="n"/>
      <c r="BD54" s="815" t="n"/>
      <c r="BE54" s="815" t="n"/>
      <c r="BF54" s="815" t="n"/>
      <c r="BG54" s="815" t="n"/>
    </row>
    <row r="55" ht="13.5" customFormat="1" customHeight="1" s="658" thickBot="1">
      <c r="B55" s="12202" t="inlineStr">
        <is>
          <t>Download Form 8880 &amp; Instructions</t>
        </is>
      </c>
      <c r="C55" s="12137" t="n"/>
      <c r="D55" s="12137" t="n"/>
      <c r="E55" s="12137" t="n"/>
      <c r="F55" s="12137" t="n"/>
      <c r="G55" s="12137" t="n"/>
      <c r="H55" s="12137" t="n"/>
      <c r="I55" s="12137" t="n"/>
      <c r="J55" s="12137" t="n"/>
      <c r="K55" s="12137" t="n"/>
      <c r="L55" s="12203" t="n"/>
      <c r="AY55" s="12490" t="n"/>
      <c r="AZ55" s="815" t="n"/>
      <c r="BA55" s="815" t="n"/>
      <c r="BB55" s="815" t="n"/>
      <c r="BC55" s="815" t="n"/>
      <c r="BD55" s="815" t="n"/>
      <c r="BE55" s="815" t="n"/>
      <c r="BF55" s="815" t="n"/>
      <c r="BG55" s="815" t="n"/>
    </row>
    <row r="56" ht="27" customFormat="1" customHeight="1" s="658">
      <c r="B56" s="2940" t="n"/>
      <c r="C56" s="2940" t="n"/>
      <c r="D56" s="2941" t="n"/>
      <c r="E56" s="2941" t="n"/>
      <c r="F56" s="2941" t="n"/>
      <c r="G56" s="2941" t="n"/>
      <c r="H56" s="2941" t="n"/>
      <c r="I56" s="2941" t="n"/>
      <c r="AY56" s="12490" t="n"/>
      <c r="AZ56" s="815" t="n"/>
      <c r="BA56" s="815" t="n"/>
      <c r="BB56" s="815" t="n"/>
      <c r="BC56" s="815" t="n"/>
      <c r="BD56" s="815" t="n"/>
      <c r="BE56" s="815" t="n"/>
      <c r="BF56" s="815" t="n"/>
      <c r="BG56" s="815" t="n"/>
    </row>
    <row r="57" ht="13.5" customFormat="1" customHeight="1" s="658" thickBot="1">
      <c r="AY57" s="12490" t="n"/>
      <c r="AZ57" s="815" t="n"/>
      <c r="BA57" s="815" t="n"/>
      <c r="BB57" s="815" t="n"/>
      <c r="BC57" s="815" t="n"/>
      <c r="BD57" s="815" t="n"/>
      <c r="BE57" s="815" t="n"/>
      <c r="BF57" s="815" t="n"/>
      <c r="BG57" s="815" t="n"/>
    </row>
    <row r="58" customFormat="1" s="658">
      <c r="B58" s="11827" t="inlineStr">
        <is>
          <t>Table of Contents</t>
        </is>
      </c>
      <c r="C58" s="2506" t="n"/>
      <c r="D58" s="2506" t="n"/>
      <c r="E58" s="2614" t="n"/>
      <c r="AY58" s="12490" t="n"/>
      <c r="AZ58" s="815" t="n"/>
      <c r="BA58" s="815" t="n"/>
      <c r="BB58" s="815" t="n"/>
      <c r="BC58" s="815" t="n"/>
      <c r="BD58" s="815" t="n"/>
      <c r="BE58" s="815" t="n"/>
      <c r="BF58" s="815" t="n"/>
      <c r="BG58" s="815" t="n"/>
    </row>
    <row r="59" customFormat="1" s="658">
      <c r="B59" s="11741" t="n"/>
      <c r="E59" s="1066" t="n"/>
      <c r="AY59" s="12490" t="n"/>
      <c r="AZ59" s="815" t="n"/>
      <c r="BA59" s="815" t="n"/>
      <c r="BB59" s="815" t="n"/>
      <c r="BC59" s="815" t="n"/>
      <c r="BD59" s="815" t="n"/>
      <c r="BE59" s="815" t="n"/>
      <c r="BF59" s="815" t="n"/>
      <c r="BG59" s="815" t="n"/>
    </row>
    <row r="60" ht="13.5" customFormat="1" customHeight="1" s="658" thickBot="1">
      <c r="B60" s="11743" t="n"/>
      <c r="C60" s="8848" t="n"/>
      <c r="D60" s="8848" t="n"/>
      <c r="E60" s="2627" t="n"/>
      <c r="AY60" s="12490" t="n"/>
      <c r="AZ60" s="815" t="n"/>
      <c r="BA60" s="815" t="n"/>
      <c r="BB60" s="815" t="n"/>
      <c r="BC60" s="815" t="n"/>
      <c r="BD60" s="815" t="n"/>
      <c r="BE60" s="815" t="n"/>
      <c r="BF60" s="815" t="n"/>
      <c r="BG60" s="815" t="n"/>
    </row>
    <row r="61" ht="13.5" customFormat="1" customHeight="1" s="658">
      <c r="AY61" s="12490" t="n"/>
      <c r="AZ61" s="815" t="n"/>
      <c r="BA61" s="815" t="n"/>
      <c r="BB61" s="815" t="n"/>
      <c r="BC61" s="815" t="n"/>
      <c r="BD61" s="815" t="n"/>
      <c r="BE61" s="815" t="n"/>
      <c r="BF61" s="815" t="n"/>
      <c r="BG61" s="815" t="n"/>
    </row>
    <row r="62" customFormat="1" s="658">
      <c r="AY62" s="12490" t="n"/>
      <c r="AZ62" s="815" t="n"/>
      <c r="BA62" s="815" t="n"/>
      <c r="BB62" s="815" t="n"/>
      <c r="BC62" s="815" t="n"/>
      <c r="BD62" s="815" t="n"/>
      <c r="BE62" s="815" t="n"/>
      <c r="BF62" s="815" t="n"/>
      <c r="BG62" s="815" t="n"/>
    </row>
    <row r="63" customFormat="1" s="658">
      <c r="AY63" s="12490" t="n"/>
      <c r="AZ63" s="815" t="n"/>
      <c r="BA63" s="815" t="n"/>
      <c r="BB63" s="815" t="n"/>
      <c r="BC63" s="815" t="n"/>
      <c r="BD63" s="815" t="n"/>
      <c r="BE63" s="815" t="n"/>
      <c r="BF63" s="815" t="n"/>
      <c r="BG63" s="815" t="n"/>
    </row>
    <row r="64" customFormat="1" s="658">
      <c r="AY64" s="12490" t="n"/>
      <c r="AZ64" s="815" t="n"/>
      <c r="BA64" s="815" t="n"/>
      <c r="BB64" s="815" t="n"/>
      <c r="BC64" s="815" t="n"/>
      <c r="BD64" s="815" t="n"/>
      <c r="BE64" s="815" t="n"/>
      <c r="BF64" s="815" t="n"/>
      <c r="BG64" s="815" t="n"/>
    </row>
    <row r="65" customFormat="1" s="658">
      <c r="AY65" s="12490" t="n"/>
      <c r="AZ65" s="815" t="n"/>
      <c r="BA65" s="815" t="n"/>
      <c r="BB65" s="815" t="n"/>
      <c r="BC65" s="815" t="n"/>
      <c r="BD65" s="815" t="n"/>
      <c r="BE65" s="815" t="n"/>
      <c r="BF65" s="815" t="n"/>
      <c r="BG65" s="815" t="n"/>
    </row>
    <row r="66" customFormat="1" s="658">
      <c r="AY66" s="12490" t="n"/>
      <c r="AZ66" s="815" t="n"/>
      <c r="BA66" s="815" t="n"/>
      <c r="BB66" s="815" t="n"/>
      <c r="BC66" s="815" t="n"/>
      <c r="BD66" s="815" t="n"/>
      <c r="BE66" s="815" t="n"/>
      <c r="BF66" s="815" t="n"/>
      <c r="BG66" s="815" t="n"/>
    </row>
    <row r="67" customFormat="1" s="658">
      <c r="AY67" s="12490" t="n"/>
      <c r="AZ67" s="815" t="n"/>
      <c r="BA67" s="815" t="n"/>
      <c r="BB67" s="815" t="n"/>
      <c r="BC67" s="815" t="n"/>
      <c r="BD67" s="815" t="n"/>
      <c r="BE67" s="815" t="n"/>
      <c r="BF67" s="815" t="n"/>
      <c r="BG67" s="815" t="n"/>
    </row>
    <row r="68" customFormat="1" s="658">
      <c r="AY68" s="12490" t="n"/>
      <c r="AZ68" s="815" t="n"/>
      <c r="BA68" s="815" t="n"/>
      <c r="BB68" s="815" t="n"/>
      <c r="BC68" s="815" t="n"/>
      <c r="BD68" s="815" t="n"/>
      <c r="BE68" s="815" t="n"/>
      <c r="BF68" s="815" t="n"/>
      <c r="BG68" s="815" t="n"/>
    </row>
    <row r="69" customFormat="1" s="658">
      <c r="AY69" s="12490" t="n"/>
      <c r="AZ69" s="815" t="n"/>
      <c r="BA69" s="815" t="n"/>
      <c r="BB69" s="815" t="n"/>
      <c r="BC69" s="815" t="n"/>
      <c r="BD69" s="815" t="n"/>
      <c r="BE69" s="815" t="n"/>
      <c r="BF69" s="815" t="n"/>
      <c r="BG69" s="815" t="n"/>
    </row>
  </sheetData>
  <sheetProtection selectLockedCells="0" selectUnlockedCells="0" algorithmName="SHA-512" sheet="1" objects="1" insertRows="1" insertHyperlinks="1" autoFilter="1" scenarios="1" formatColumns="0" deleteColumns="1" insertColumns="1" pivotTables="1" deleteRows="1" formatCells="0" saltValue="HH0tA8BA+6tdnpnSgnIrwQ==" formatRows="0" sort="1" spinCount="100000" hashValue="TqBWd5kIC0RSELoaT2zDcfk3iO89uP/NNcjMwO4UaN9uhtKjMX4FxzwKBXtwvcCmLNExLp1m+pllFfAvyereLg=="/>
  <mergeCells count="122">
    <mergeCell ref="Y20:AD20"/>
    <mergeCell ref="AL25:AN25"/>
    <mergeCell ref="AE14:AG14"/>
    <mergeCell ref="L34:O34"/>
    <mergeCell ref="D44:Z44"/>
    <mergeCell ref="Y17:AD17"/>
    <mergeCell ref="D2:G3"/>
    <mergeCell ref="AL18:AN18"/>
    <mergeCell ref="W29:Z29"/>
    <mergeCell ref="P42:S42"/>
    <mergeCell ref="H42:K42"/>
    <mergeCell ref="L36:O36"/>
    <mergeCell ref="H35:K35"/>
    <mergeCell ref="AI35:AJ35"/>
    <mergeCell ref="AD5:AG5"/>
    <mergeCell ref="AE15:AJ15"/>
    <mergeCell ref="V15:W15"/>
    <mergeCell ref="H39:K39"/>
    <mergeCell ref="T35:Z35"/>
    <mergeCell ref="I3:AB3"/>
    <mergeCell ref="X27:AC27"/>
    <mergeCell ref="V12:X12"/>
    <mergeCell ref="AH12:AJ12"/>
    <mergeCell ref="AD6:AG6"/>
    <mergeCell ref="I5:AB5"/>
    <mergeCell ref="P39:S39"/>
    <mergeCell ref="Y24:AD24"/>
    <mergeCell ref="AH14:AJ14"/>
    <mergeCell ref="L38:O38"/>
    <mergeCell ref="H37:K37"/>
    <mergeCell ref="L40:O40"/>
    <mergeCell ref="B3:C3"/>
    <mergeCell ref="Y19:AD19"/>
    <mergeCell ref="P43:S43"/>
    <mergeCell ref="I6:AB6"/>
    <mergeCell ref="AE17:AJ17"/>
    <mergeCell ref="T34:Z34"/>
    <mergeCell ref="D42:G42"/>
    <mergeCell ref="T37:Z37"/>
    <mergeCell ref="Y25:AD25"/>
    <mergeCell ref="T31:Z33"/>
    <mergeCell ref="D35:G35"/>
    <mergeCell ref="AE19:AJ19"/>
    <mergeCell ref="P35:S35"/>
    <mergeCell ref="AC14:AD14"/>
    <mergeCell ref="Y12:AA12"/>
    <mergeCell ref="AL17:AN17"/>
    <mergeCell ref="D34:G34"/>
    <mergeCell ref="H41:K41"/>
    <mergeCell ref="T38:Z38"/>
    <mergeCell ref="M21:N21"/>
    <mergeCell ref="AL19:AN19"/>
    <mergeCell ref="D36:G36"/>
    <mergeCell ref="H34:K34"/>
    <mergeCell ref="AE45:AJ45"/>
    <mergeCell ref="AI16:AJ16"/>
    <mergeCell ref="L42:O42"/>
    <mergeCell ref="AH5:AI6"/>
    <mergeCell ref="H36:K36"/>
    <mergeCell ref="AC3:AJ4"/>
    <mergeCell ref="L39:O39"/>
    <mergeCell ref="B55:L55"/>
    <mergeCell ref="AE46:AJ46"/>
    <mergeCell ref="Y15:AD15"/>
    <mergeCell ref="T40:Z40"/>
    <mergeCell ref="L29:O29"/>
    <mergeCell ref="D37:G37"/>
    <mergeCell ref="P37:S37"/>
    <mergeCell ref="T15:U15"/>
    <mergeCell ref="D39:G39"/>
    <mergeCell ref="AE23:AJ23"/>
    <mergeCell ref="AL47:AN47"/>
    <mergeCell ref="D38:G38"/>
    <mergeCell ref="L30:Z30"/>
    <mergeCell ref="AB26:AC26"/>
    <mergeCell ref="P31:S32"/>
    <mergeCell ref="AE48:AJ48"/>
    <mergeCell ref="T39:Z39"/>
    <mergeCell ref="H38:K38"/>
    <mergeCell ref="H43:K43"/>
    <mergeCell ref="P41:S41"/>
    <mergeCell ref="AL48:AN48"/>
    <mergeCell ref="H40:K40"/>
    <mergeCell ref="L43:O43"/>
    <mergeCell ref="P34:S34"/>
    <mergeCell ref="AE20:AJ20"/>
    <mergeCell ref="B58:E60"/>
    <mergeCell ref="P36:S36"/>
    <mergeCell ref="AL27:AN27"/>
    <mergeCell ref="AA44:AC44"/>
    <mergeCell ref="L35:O35"/>
    <mergeCell ref="B8:X9"/>
    <mergeCell ref="AC2:AJ2"/>
    <mergeCell ref="T41:Z41"/>
    <mergeCell ref="AC16:AD16"/>
    <mergeCell ref="T43:Z43"/>
    <mergeCell ref="Y8:AJ9"/>
    <mergeCell ref="AB12:AD12"/>
    <mergeCell ref="T36:Z36"/>
    <mergeCell ref="R15:S15"/>
    <mergeCell ref="L33:S33"/>
    <mergeCell ref="P29:S29"/>
    <mergeCell ref="P38:S38"/>
    <mergeCell ref="AI36:AJ36"/>
    <mergeCell ref="D40:G40"/>
    <mergeCell ref="L37:O37"/>
    <mergeCell ref="AE24:AJ24"/>
    <mergeCell ref="D31:G33"/>
    <mergeCell ref="P40:S40"/>
    <mergeCell ref="Y23:AD23"/>
    <mergeCell ref="T42:Z42"/>
    <mergeCell ref="AE26:AJ26"/>
    <mergeCell ref="L31:O32"/>
    <mergeCell ref="H31:K33"/>
    <mergeCell ref="D41:G41"/>
    <mergeCell ref="D30:K30"/>
    <mergeCell ref="AE25:AJ25"/>
    <mergeCell ref="V25:W25"/>
    <mergeCell ref="AL26:AN26"/>
    <mergeCell ref="D43:G43"/>
    <mergeCell ref="AE12:AG12"/>
    <mergeCell ref="L41:O41"/>
  </mergeCells>
  <conditionalFormatting sqref="B8:K8">
    <cfRule type="expression" priority="40" dxfId="6">
      <formula>IF(NoColor,1,0)</formula>
    </cfRule>
  </conditionalFormatting>
  <conditionalFormatting sqref="D44:Z44">
    <cfRule type="expression" priority="8" dxfId="0">
      <formula>$AA$44</formula>
    </cfRule>
  </conditionalFormatting>
  <conditionalFormatting sqref="E12">
    <cfRule type="expression" priority="15" dxfId="0">
      <formula>AND($V$12,$AK$11="")</formula>
    </cfRule>
  </conditionalFormatting>
  <conditionalFormatting sqref="E14">
    <cfRule type="expression" priority="13" dxfId="0">
      <formula>AND($R$15,$AK$11="")</formula>
    </cfRule>
  </conditionalFormatting>
  <conditionalFormatting sqref="F11">
    <cfRule type="expression" priority="16" dxfId="0">
      <formula>AND($V$12,$AK$11="")</formula>
    </cfRule>
  </conditionalFormatting>
  <conditionalFormatting sqref="K26">
    <cfRule type="expression" priority="9" dxfId="0">
      <formula>$AB$26</formula>
    </cfRule>
  </conditionalFormatting>
  <conditionalFormatting sqref="Q22:R24">
    <cfRule type="expression" priority="39" dxfId="6">
      <formula>IF(NoColor,1,0)</formula>
    </cfRule>
  </conditionalFormatting>
  <conditionalFormatting sqref="V13:Y13">
    <cfRule type="expression" priority="12" dxfId="0">
      <formula>AND($AC$14,$AK$11="")</formula>
    </cfRule>
  </conditionalFormatting>
  <conditionalFormatting sqref="X27:AC27">
    <cfRule type="expression" priority="22" dxfId="6">
      <formula>IF(NoColor,1,0)</formula>
    </cfRule>
  </conditionalFormatting>
  <conditionalFormatting sqref="Y8">
    <cfRule type="expression" priority="36" dxfId="6">
      <formula>IF(NoColor,1,0)</formula>
    </cfRule>
  </conditionalFormatting>
  <conditionalFormatting sqref="Y22:Y25">
    <cfRule type="expression" priority="30" dxfId="6">
      <formula>IF(NoColor,1,0)</formula>
    </cfRule>
  </conditionalFormatting>
  <conditionalFormatting sqref="Y21:AC22">
    <cfRule type="expression" priority="28" dxfId="6">
      <formula>IF(NoColor,1,0)</formula>
    </cfRule>
  </conditionalFormatting>
  <conditionalFormatting sqref="Y17:AJ17">
    <cfRule type="expression" priority="34" dxfId="6">
      <formula>IF(NoColor,1,0)</formula>
    </cfRule>
  </conditionalFormatting>
  <conditionalFormatting sqref="Y19:AJ20">
    <cfRule type="expression" priority="11" dxfId="6">
      <formula>IF(NoColor,1,0)</formula>
    </cfRule>
  </conditionalFormatting>
  <conditionalFormatting sqref="AE22:AE26">
    <cfRule type="expression" priority="6" dxfId="6">
      <formula>IF(NoColor,1,0)</formula>
    </cfRule>
  </conditionalFormatting>
  <conditionalFormatting sqref="AE13:AF13">
    <cfRule type="expression" priority="14" dxfId="0">
      <formula>AND($R$15,$AK$11="")</formula>
    </cfRule>
  </conditionalFormatting>
  <conditionalFormatting sqref="AE26:AJ26">
    <cfRule type="expression" priority="24" dxfId="6">
      <formula>IF(NoColor,1,0)</formula>
    </cfRule>
  </conditionalFormatting>
  <conditionalFormatting sqref="AE45:AJ46">
    <cfRule type="expression" priority="21" dxfId="6">
      <formula>IF(NoColor,1,0)</formula>
    </cfRule>
  </conditionalFormatting>
  <conditionalFormatting sqref="AE48:AJ48">
    <cfRule type="expression" priority="19" dxfId="6">
      <formula>IF(NoColor,1,0)</formula>
    </cfRule>
  </conditionalFormatting>
  <conditionalFormatting sqref="AK11:AK12">
    <cfRule type="expression" priority="17" dxfId="5">
      <formula>OR($V$12,$R$15)</formula>
    </cfRule>
  </conditionalFormatting>
  <conditionalFormatting sqref="AL18:AN19">
    <cfRule type="expression" priority="1" dxfId="6">
      <formula>NoColor</formula>
    </cfRule>
  </conditionalFormatting>
  <conditionalFormatting sqref="AL27:AN27">
    <cfRule type="expression" priority="4" dxfId="6">
      <formula>NoColor</formula>
    </cfRule>
  </conditionalFormatting>
  <conditionalFormatting sqref="AL48:AN48">
    <cfRule type="expression" priority="3" dxfId="6">
      <formula>NoColor</formula>
    </cfRule>
  </conditionalFormatting>
  <conditionalFormatting sqref="AO45">
    <cfRule type="expression" priority="7" dxfId="0">
      <formula>$AQ$44</formula>
    </cfRule>
  </conditionalFormatting>
  <hyperlinks>
    <hyperlink xmlns:r="http://schemas.openxmlformats.org/officeDocument/2006/relationships" ref="B55" display="Download Form 8880 &amp; Instructions" r:id="rId1"/>
  </hyperlinks>
  <pageMargins left="0.75" right="0.25" top="0.36" bottom="0.29" header="0.36" footer="0.21"/>
  <pageSetup orientation="portrait" scale="68" fitToHeight="0"/>
  <drawing xmlns:r="http://schemas.openxmlformats.org/officeDocument/2006/relationships" r:id="rId2"/>
</worksheet>
</file>

<file path=xl/worksheets/sheet54.xml><?xml version="1.0" encoding="utf-8"?>
<worksheet xmlns="http://schemas.openxmlformats.org/spreadsheetml/2006/main">
  <sheetPr>
    <outlinePr summaryBelow="1" summaryRight="1"/>
    <pageSetUpPr fitToPage="1"/>
  </sheetPr>
  <dimension ref="A1:AW160"/>
  <sheetViews>
    <sheetView zoomScaleNormal="100" zoomScaleSheetLayoutView="130" workbookViewId="0">
      <selection activeCell="A1" sqref="A1"/>
    </sheetView>
  </sheetViews>
  <sheetFormatPr baseColWidth="8" defaultRowHeight="12.75"/>
  <cols>
    <col width="2.42578125" customWidth="1" style="7635" min="1" max="1"/>
    <col width="7.7109375" customWidth="1" style="7635" min="2" max="2"/>
    <col width="10" customWidth="1" style="7635" min="3" max="3"/>
    <col width="4.28515625" customWidth="1" style="7635" min="4" max="4"/>
    <col width="8.42578125" customWidth="1" style="7635" min="5" max="5"/>
    <col width="19.42578125" customWidth="1" style="7635" min="6" max="6"/>
    <col width="8" customWidth="1" style="7635" min="7" max="7"/>
    <col width="7" customWidth="1" style="7635" min="8" max="8"/>
    <col width="8" customWidth="1" style="7635" min="9" max="9"/>
    <col width="3.140625" customWidth="1" style="7635" min="10" max="10"/>
    <col width="15.7109375" customWidth="1" style="7635" min="11" max="11"/>
    <col width="3.7109375" customWidth="1" style="7635" min="12" max="12"/>
    <col width="14.140625" customWidth="1" style="7635" min="13" max="13"/>
    <col width="2.5703125" customWidth="1" style="7635" min="14" max="14"/>
    <col width="3" customWidth="1" style="7635" min="15" max="15"/>
    <col width="9.7109375" customWidth="1" style="7453" min="16" max="16"/>
    <col width="15.42578125" customWidth="1" style="7635" min="17" max="17"/>
    <col width="2.28515625" customWidth="1" style="7635" min="18" max="18"/>
    <col hidden="1" width="6.7109375" customWidth="1" style="4359" min="19" max="19"/>
    <col hidden="1" width="6.28515625" customWidth="1" style="4359" min="20" max="20"/>
    <col hidden="1" width="8.7109375" customWidth="1" style="4359" min="21" max="21"/>
    <col hidden="1" width="7.42578125" customWidth="1" style="4359" min="22" max="22"/>
    <col width="3.28515625" customWidth="1" style="4359" min="23" max="23"/>
    <col width="13.42578125" customWidth="1" style="80" min="24" max="24"/>
    <col width="1.28515625" customWidth="1" style="8648" min="25" max="25"/>
    <col width="3.85546875" customWidth="1" style="688" min="26" max="26"/>
    <col width="1.28515625" customWidth="1" style="8648" min="27" max="27"/>
    <col width="4.28515625" customWidth="1" style="688" min="28" max="28"/>
    <col width="1.28515625" customWidth="1" style="8648" min="29" max="29"/>
    <col width="2.7109375" customWidth="1" style="688" min="30" max="30"/>
    <col width="1.28515625" customWidth="1" style="8648" min="31" max="31"/>
    <col width="9.140625" customWidth="1" style="4354" min="32" max="32"/>
    <col width="3" customWidth="1" style="8648" min="33" max="34"/>
    <col hidden="1" width="7" customWidth="1" style="8648" min="35" max="36"/>
    <col hidden="1" width="6.28515625" customWidth="1" style="8648" min="37" max="37"/>
    <col hidden="1" width="2.42578125" customWidth="1" style="8648" min="38" max="38"/>
    <col hidden="1" width="8.42578125" customWidth="1" style="8648" min="39" max="39"/>
    <col width="3" customWidth="1" style="8648" min="40" max="40"/>
    <col width="3.42578125" customWidth="1" style="658" min="41" max="41"/>
    <col width="10.7109375" customWidth="1" style="658" min="42" max="49"/>
  </cols>
  <sheetData>
    <row r="1" ht="12" customHeight="1" s="7635">
      <c r="A1" s="2945" t="n"/>
      <c r="B1" s="210" t="n"/>
      <c r="C1" s="210" t="n"/>
      <c r="D1" s="210" t="n"/>
      <c r="E1" s="210" t="n"/>
      <c r="F1" s="210" t="n"/>
      <c r="G1" s="210" t="n"/>
      <c r="H1" s="210" t="n"/>
      <c r="I1" s="210" t="n"/>
      <c r="J1" s="210" t="n"/>
      <c r="K1" s="210" t="n"/>
      <c r="L1" s="211" t="n"/>
      <c r="M1" s="139" t="n"/>
      <c r="N1" s="139" t="n"/>
      <c r="O1" s="11602" t="n"/>
      <c r="P1" s="729" t="n"/>
      <c r="Q1" s="2013" t="n"/>
      <c r="R1" s="11602" t="n"/>
      <c r="S1" s="314" t="n"/>
      <c r="T1" s="314" t="n"/>
      <c r="U1" s="314" t="n"/>
      <c r="V1" s="314" t="n"/>
      <c r="W1" s="7957" t="n"/>
      <c r="X1" s="344" t="n"/>
      <c r="Y1" s="344" t="n"/>
      <c r="Z1" s="689" t="n"/>
      <c r="AA1" s="344" t="n"/>
      <c r="AB1" s="689" t="n"/>
      <c r="AC1" s="344" t="n"/>
      <c r="AD1" s="689" t="n"/>
      <c r="AE1" s="344" t="n"/>
      <c r="AF1" s="4232" t="n"/>
      <c r="AG1" s="344" t="n"/>
      <c r="AH1" s="344" t="n"/>
      <c r="AI1" s="344" t="n"/>
      <c r="AJ1" s="344" t="n"/>
      <c r="AK1" s="344" t="n"/>
      <c r="AL1" s="344" t="n"/>
      <c r="AM1" s="344" t="n"/>
      <c r="AN1" s="344" t="n"/>
      <c r="AO1" s="657" t="inlineStr">
        <is>
          <t>Notes</t>
        </is>
      </c>
      <c r="AP1" s="657" t="n"/>
    </row>
    <row r="2" ht="17.25" customHeight="1" s="7635">
      <c r="A2" s="2945" t="n"/>
      <c r="B2" s="4233" t="n"/>
      <c r="C2" s="4233" t="n"/>
      <c r="D2" s="4233" t="n"/>
      <c r="E2" s="4234">
        <f>IF(T5,"You can't deduct contributions if you are someone else's dependent.",IF(U5,"Your spouse can't deduct contributions if you are someone else's dependent.",IF(AND(File_Marr_Joint&lt;&gt;"",O7="",O8=""),"  Indicate in cells O7 &amp; O8 which taxpayer(s) are beneficiaries of an HSA",IF(O7="","  Indicate in cell O7 that you are the beneficiary of an HSA.",IF(AND(O7&lt;&gt;"",O8&lt;&gt;""),"  A separate Form 8889, for your spouse, is available below.","")))))</f>
        <v/>
      </c>
      <c r="F2" s="210" t="n"/>
      <c r="G2" s="210" t="n"/>
      <c r="H2" s="210" t="n"/>
      <c r="I2" s="210" t="n"/>
      <c r="J2" s="210" t="n"/>
      <c r="K2" s="210" t="n"/>
      <c r="L2" s="211" t="n"/>
      <c r="M2" s="139" t="n"/>
      <c r="N2" s="139" t="n"/>
      <c r="O2" s="4235" t="n"/>
      <c r="P2" s="4235" t="n"/>
      <c r="Q2" s="2013" t="n"/>
      <c r="R2" s="11602" t="n"/>
      <c r="S2" s="314" t="n"/>
      <c r="T2" s="314" t="n"/>
      <c r="U2" s="314" t="n"/>
      <c r="V2" s="314" t="n"/>
      <c r="W2" s="7957" t="n"/>
      <c r="X2" s="344" t="n"/>
      <c r="Y2" s="344" t="n"/>
      <c r="Z2" s="689" t="n"/>
      <c r="AA2" s="344" t="n"/>
      <c r="AB2" s="689" t="n"/>
      <c r="AC2" s="344" t="n"/>
      <c r="AD2" s="689" t="n"/>
      <c r="AE2" s="344" t="n"/>
      <c r="AF2" s="4232" t="n"/>
      <c r="AG2" s="344" t="n"/>
      <c r="AH2" s="344" t="n"/>
      <c r="AI2" s="344" t="n"/>
      <c r="AJ2" s="344" t="n"/>
      <c r="AK2" s="344" t="n"/>
      <c r="AL2" s="344" t="n"/>
      <c r="AM2" s="344" t="n"/>
      <c r="AN2" s="344" t="n"/>
    </row>
    <row r="3" ht="13.5" customHeight="1" s="7635">
      <c r="A3" s="2948" t="n"/>
      <c r="B3" s="206" t="n"/>
      <c r="C3" s="139" t="n"/>
      <c r="D3" s="139" t="n"/>
      <c r="E3" s="139" t="n"/>
      <c r="F3" s="139" t="n"/>
      <c r="G3" s="200" t="n"/>
      <c r="H3" s="139" t="n"/>
      <c r="I3" s="139" t="n"/>
      <c r="J3" s="139" t="n"/>
      <c r="K3" s="139" t="n"/>
      <c r="L3" s="7431">
        <f>IF('Table of Contents'!A59="D","DRAFT","")</f>
        <v/>
      </c>
      <c r="N3" s="139" t="n"/>
      <c r="O3" s="4236" t="n"/>
      <c r="P3" s="729" t="n"/>
      <c r="Q3" s="2013" t="n"/>
      <c r="R3" s="11602" t="n"/>
      <c r="S3" s="314" t="n"/>
      <c r="T3" s="11286" t="inlineStr">
        <is>
          <t>Dependent?</t>
        </is>
      </c>
      <c r="V3" s="314" t="n"/>
      <c r="W3" s="7957" t="n"/>
      <c r="X3" s="344" t="n"/>
      <c r="Y3" s="344" t="n"/>
      <c r="Z3" s="689" t="n"/>
      <c r="AA3" s="344" t="n"/>
      <c r="AB3" s="689" t="n"/>
      <c r="AC3" s="344" t="n"/>
      <c r="AD3" s="689" t="n"/>
      <c r="AE3" s="344" t="n"/>
      <c r="AF3" s="4232" t="n"/>
      <c r="AG3" s="344" t="n"/>
      <c r="AH3" s="344" t="n"/>
      <c r="AI3" s="344" t="n"/>
      <c r="AJ3" s="344" t="n"/>
      <c r="AK3" s="344" t="n"/>
      <c r="AL3" s="344" t="n"/>
      <c r="AM3" s="344" t="n"/>
      <c r="AN3" s="344" t="n"/>
    </row>
    <row r="4" ht="18" customHeight="1" s="7635">
      <c r="A4" s="139" t="n"/>
      <c r="B4" s="4237" t="n"/>
      <c r="C4" s="88" t="n"/>
      <c r="D4" s="90" t="n"/>
      <c r="E4" s="88" t="n"/>
      <c r="F4" s="88" t="n"/>
      <c r="G4" s="3437" t="n"/>
      <c r="H4" s="4238" t="n"/>
      <c r="I4" s="88" t="n"/>
      <c r="J4" s="88" t="n"/>
      <c r="K4" s="88" t="n"/>
      <c r="L4" s="11310">
        <f>IF(AND(N4="", 'Table of Contents'!A59="D"),"DRAFT","OMB No. 1545-0074")</f>
        <v/>
      </c>
      <c r="M4" s="7637" t="n"/>
      <c r="N4" s="1796" t="n"/>
      <c r="O4" s="7299" t="n"/>
      <c r="P4" s="4240" t="n"/>
      <c r="Q4" s="2013" t="n"/>
      <c r="R4" s="11602" t="n"/>
      <c r="S4" s="314" t="n"/>
      <c r="T4" s="688" t="inlineStr">
        <is>
          <t>You</t>
        </is>
      </c>
      <c r="U4" s="688" t="inlineStr">
        <is>
          <t>Spouse</t>
        </is>
      </c>
      <c r="V4" s="314" t="n"/>
      <c r="W4" s="7957" t="n"/>
      <c r="X4" s="344" t="n"/>
      <c r="Y4" s="344" t="n"/>
      <c r="Z4" s="689" t="n"/>
      <c r="AA4" s="344" t="n"/>
      <c r="AB4" s="689" t="n"/>
      <c r="AC4" s="344" t="n"/>
      <c r="AD4" s="689" t="n"/>
      <c r="AE4" s="344" t="n"/>
      <c r="AF4" s="4232" t="n"/>
      <c r="AG4" s="344" t="n"/>
      <c r="AH4" s="344" t="n"/>
      <c r="AI4" s="344" t="n"/>
      <c r="AJ4" s="344" t="n"/>
      <c r="AK4" s="344" t="n"/>
      <c r="AL4" s="344" t="n"/>
      <c r="AM4" s="344" t="n"/>
      <c r="AN4" s="344" t="n"/>
    </row>
    <row r="5" ht="21.75" customHeight="1" s="7635">
      <c r="A5" s="139" t="n"/>
      <c r="B5" s="11255" t="inlineStr">
        <is>
          <t>Form</t>
        </is>
      </c>
      <c r="C5" s="12767" t="n">
        <v>8889</v>
      </c>
      <c r="D5" s="1066" t="n"/>
      <c r="E5" s="12372" t="inlineStr">
        <is>
          <t>Health Savings Accounts (HSAs)</t>
        </is>
      </c>
      <c r="K5" s="1066" t="n"/>
      <c r="L5" s="11314">
        <f>TaxYear</f>
        <v/>
      </c>
      <c r="M5" s="7839" t="n"/>
      <c r="N5" s="2746" t="n"/>
      <c r="O5" s="11256" t="inlineStr">
        <is>
          <t>HSA</t>
        </is>
      </c>
      <c r="Q5" s="7168" t="inlineStr">
        <is>
          <t>Manual
Override ê</t>
        </is>
      </c>
      <c r="R5" s="344" t="n"/>
      <c r="S5" s="4241" t="n"/>
      <c r="T5" s="9317">
        <f>(DependentYOU&lt;&gt;"")</f>
        <v/>
      </c>
      <c r="U5" s="9317">
        <f>(DependentSPOUSE&lt;&gt;"")</f>
        <v/>
      </c>
      <c r="V5" s="4241" t="n"/>
      <c r="W5" s="8439" t="n"/>
      <c r="X5" s="514" t="n"/>
      <c r="Y5" s="344" t="n"/>
      <c r="Z5" s="689" t="n"/>
      <c r="AA5" s="344" t="n"/>
      <c r="AB5" s="689" t="n"/>
      <c r="AC5" s="344" t="n"/>
      <c r="AD5" s="689" t="n"/>
      <c r="AE5" s="344" t="n"/>
      <c r="AF5" s="4232" t="n"/>
      <c r="AG5" s="344" t="n"/>
      <c r="AH5" s="344" t="n"/>
      <c r="AI5" s="344" t="n"/>
      <c r="AJ5" s="344" t="n"/>
      <c r="AK5" s="344" t="n"/>
      <c r="AL5" s="344" t="n"/>
      <c r="AM5" s="344" t="n"/>
      <c r="AN5" s="344" t="n"/>
    </row>
    <row r="6" ht="9.75" customHeight="1" s="7635">
      <c r="A6" s="139" t="n"/>
      <c r="D6" s="1066" t="n"/>
      <c r="E6" s="12086" t="n"/>
      <c r="K6" s="1066" t="n"/>
      <c r="L6" s="11741" t="n"/>
      <c r="N6" s="2749" t="n"/>
      <c r="O6" s="11256" t="inlineStr">
        <is>
          <t>Beneficiary</t>
        </is>
      </c>
      <c r="R6" s="7299" t="n"/>
      <c r="S6" s="8000" t="n"/>
      <c r="T6" s="8000" t="n"/>
      <c r="U6" s="8000" t="n"/>
      <c r="V6" s="8000" t="n"/>
      <c r="W6" s="10978" t="n"/>
      <c r="X6" s="7299" t="n"/>
      <c r="Y6" s="344" t="n"/>
      <c r="Z6" s="689" t="n"/>
      <c r="AA6" s="344" t="n"/>
      <c r="AB6" s="689" t="n"/>
      <c r="AC6" s="344" t="n"/>
      <c r="AD6" s="689" t="n"/>
      <c r="AE6" s="344" t="n"/>
      <c r="AF6" s="4232" t="n"/>
      <c r="AG6" s="344" t="n"/>
      <c r="AH6" s="344" t="n"/>
      <c r="AI6" s="344" t="n"/>
      <c r="AJ6" s="344" t="n"/>
      <c r="AK6" s="344" t="n"/>
      <c r="AL6" s="344" t="n"/>
      <c r="AM6" s="344" t="n"/>
      <c r="AN6" s="344" t="n"/>
    </row>
    <row r="7" ht="12.75" customHeight="1" s="7635">
      <c r="A7" s="139" t="n"/>
      <c r="B7" s="3546" t="inlineStr">
        <is>
          <t>Department of the Treasury</t>
        </is>
      </c>
      <c r="D7" s="1066" t="n"/>
      <c r="E7" s="12086" t="inlineStr">
        <is>
          <t>Attach to Form 1040 or 1040-SR or Form 1040-NR.</t>
        </is>
      </c>
      <c r="K7" s="1066" t="n"/>
      <c r="L7" s="11264" t="inlineStr">
        <is>
          <t xml:space="preserve">      Attachment</t>
        </is>
      </c>
      <c r="N7" s="2746" t="n"/>
      <c r="O7" s="6741" t="inlineStr">
        <is>
          <t>X</t>
        </is>
      </c>
      <c r="P7" s="4243" t="inlineStr">
        <is>
          <t>You</t>
        </is>
      </c>
      <c r="Q7" s="4244">
        <f>AND(O7&lt;&gt;"",O8&lt;&gt;"")</f>
        <v/>
      </c>
      <c r="R7" s="7299" t="n"/>
      <c r="S7" s="3342" t="n"/>
      <c r="T7" s="3342" t="n"/>
      <c r="U7" s="3342" t="n"/>
      <c r="V7" s="3342" t="n"/>
      <c r="W7" s="9750" t="n"/>
      <c r="X7" s="4245" t="inlineStr">
        <is>
          <t>Coverage Type?</t>
        </is>
      </c>
      <c r="Y7" s="344" t="n"/>
      <c r="Z7" s="689" t="n"/>
      <c r="AA7" s="344" t="n"/>
      <c r="AB7" s="689" t="n"/>
      <c r="AC7" s="344" t="n"/>
      <c r="AD7" s="689" t="n"/>
      <c r="AE7" s="344" t="n"/>
      <c r="AF7" s="4232" t="n"/>
      <c r="AG7" s="344" t="n"/>
      <c r="AH7" s="344" t="n"/>
      <c r="AI7" s="344" t="n"/>
      <c r="AJ7" s="344" t="n"/>
      <c r="AK7" s="344" t="n"/>
      <c r="AL7" s="344" t="n"/>
      <c r="AM7" s="344" t="n"/>
      <c r="AN7" s="344" t="n"/>
    </row>
    <row r="8" ht="12.75" customHeight="1" s="7635" thickBot="1">
      <c r="A8" s="139" t="n"/>
      <c r="B8" s="12768" t="inlineStr">
        <is>
          <t>Internal Revenue Service</t>
        </is>
      </c>
      <c r="C8" s="8848" t="n"/>
      <c r="D8" s="2627" t="n"/>
      <c r="E8" s="12769" t="inlineStr">
        <is>
          <t>Go to www.irs.gov/Form8889 for instructions and the latest information.</t>
        </is>
      </c>
      <c r="F8" s="8848" t="n"/>
      <c r="G8" s="8848" t="n"/>
      <c r="H8" s="8848" t="n"/>
      <c r="I8" s="8848" t="n"/>
      <c r="J8" s="8848" t="n"/>
      <c r="K8" s="2627" t="n"/>
      <c r="L8" s="11271" t="inlineStr">
        <is>
          <t>Sequence No. 52</t>
        </is>
      </c>
      <c r="M8" s="8848" t="n"/>
      <c r="N8" s="2746" t="n"/>
      <c r="O8" s="6742" t="n"/>
      <c r="P8" s="4243" t="inlineStr">
        <is>
          <t>Spouse</t>
        </is>
      </c>
      <c r="Q8" s="11288">
        <f>IF(AND(O7="",O8=""),"Indicate HSA beneficiary here.",IF($Q$7,"A separate "&amp;CHAR(10)&amp;"Form 8889 is available below.",""))</f>
        <v/>
      </c>
      <c r="R8" s="344" t="n"/>
      <c r="S8" s="3342" t="n"/>
      <c r="T8" s="3342" t="n"/>
      <c r="U8" s="3342" t="n"/>
      <c r="V8" s="3342" t="n"/>
      <c r="W8" s="9750" t="n"/>
      <c r="X8" s="12770" t="inlineStr">
        <is>
          <t>What coverage type did your HDHP provide on the 1st day of the month?</t>
        </is>
      </c>
      <c r="AH8" s="7039" t="n"/>
      <c r="AI8" s="344" t="n"/>
      <c r="AJ8" s="344" t="n"/>
      <c r="AK8" s="344" t="n"/>
      <c r="AL8" s="344" t="n"/>
      <c r="AM8" s="344" t="n"/>
      <c r="AN8" s="344" t="n"/>
    </row>
    <row r="9" ht="27" customHeight="1" s="7635" thickBot="1">
      <c r="A9" s="139" t="n"/>
      <c r="B9" s="4246" t="inlineStr">
        <is>
          <t>Name(s) shown on Form 1040, 1040-SR, or Form 1040-NR</t>
        </is>
      </c>
      <c r="C9" s="2827" t="n"/>
      <c r="D9" s="2827" t="n"/>
      <c r="E9" s="2755" t="n"/>
      <c r="F9" s="2756" t="n"/>
      <c r="G9" s="2753" t="n"/>
      <c r="H9" s="2756" t="n"/>
      <c r="I9" s="2756" t="n"/>
      <c r="J9" s="11284" t="inlineStr">
        <is>
          <t>Social security number of HSA beneficiary. 
If both spouses have HSAs, see instructions</t>
        </is>
      </c>
      <c r="K9" s="2506" t="n"/>
      <c r="L9" s="2506" t="n"/>
      <c r="M9" s="2506" t="n"/>
      <c r="N9" s="2746" t="n"/>
      <c r="O9" s="11602" t="n"/>
      <c r="P9" s="4247" t="n"/>
      <c r="R9" s="344" t="n"/>
      <c r="S9" s="4248" t="n"/>
      <c r="T9" s="4248" t="n"/>
      <c r="U9" s="4248" t="n"/>
      <c r="V9" s="4248" t="n"/>
      <c r="W9" s="4249" t="n"/>
      <c r="X9" s="8848" t="n"/>
      <c r="Y9" s="8848" t="n"/>
      <c r="Z9" s="8848" t="n"/>
      <c r="AA9" s="8848" t="n"/>
      <c r="AB9" s="8848" t="n"/>
      <c r="AC9" s="8848" t="n"/>
      <c r="AD9" s="8848" t="n"/>
      <c r="AE9" s="8848" t="n"/>
      <c r="AF9" s="8848" t="n"/>
      <c r="AG9" s="8848" t="n"/>
      <c r="AH9" s="7039" t="n"/>
      <c r="AI9" s="344" t="n"/>
      <c r="AJ9" s="344" t="n"/>
      <c r="AK9" s="344" t="n"/>
      <c r="AL9" s="344" t="n"/>
      <c r="AM9" s="344" t="n"/>
      <c r="AN9" s="344" t="n"/>
    </row>
    <row r="10" ht="15" customHeight="1" s="7635">
      <c r="A10" s="139" t="n"/>
      <c r="B10" s="10302">
        <f>IF(O7&lt;&gt;"",NameYours,IF(O8&lt;&gt;"",NameSpouse,Names))</f>
        <v/>
      </c>
      <c r="C10" s="7637" t="n"/>
      <c r="D10" s="7637" t="n"/>
      <c r="E10" s="7637" t="n"/>
      <c r="F10" s="7637" t="n"/>
      <c r="G10" s="7637" t="n"/>
      <c r="H10" s="7637" t="n"/>
      <c r="I10" s="7637" t="n"/>
      <c r="J10" s="12025">
        <f>IF(NoSSN,"",IF(O7&lt;&gt;"",SS_Yours,IF(O8&lt;&gt;"",SS_Spouse,SS_Yours)))</f>
        <v/>
      </c>
      <c r="K10" s="7637" t="n"/>
      <c r="L10" s="7637" t="n"/>
      <c r="M10" s="7637" t="n"/>
      <c r="N10" s="2746" t="n"/>
      <c r="O10" s="344" t="n"/>
      <c r="P10" s="4250" t="n"/>
      <c r="R10" s="344" t="n"/>
      <c r="S10" s="4248" t="n"/>
      <c r="T10" s="4248" t="n"/>
      <c r="U10" s="4248" t="n"/>
      <c r="V10" s="4248" t="n"/>
      <c r="W10" s="4249" t="n"/>
      <c r="X10" s="12771" t="inlineStr">
        <is>
          <t>Line 3 Limitation Chart and Worksheet</t>
        </is>
      </c>
      <c r="Y10" s="12097" t="n"/>
      <c r="Z10" s="12097" t="n"/>
      <c r="AA10" s="12097" t="n"/>
      <c r="AB10" s="12097" t="n"/>
      <c r="AC10" s="12097" t="n"/>
      <c r="AD10" s="12097" t="n"/>
      <c r="AE10" s="12097" t="n"/>
      <c r="AF10" s="12097" t="n"/>
      <c r="AG10" s="12525" t="n"/>
      <c r="AH10" s="4251" t="n"/>
      <c r="AI10" s="344" t="n"/>
      <c r="AJ10" s="344" t="n"/>
      <c r="AK10" s="344" t="n"/>
      <c r="AL10" s="344" t="n"/>
      <c r="AM10" s="344" t="n"/>
      <c r="AN10" s="344" t="n"/>
    </row>
    <row r="11" ht="24.75" customHeight="1" s="7635">
      <c r="A11" s="139" t="n"/>
      <c r="B11" s="4252" t="inlineStr">
        <is>
          <t xml:space="preserve">  Before you begin:  Complete Form 8853, Archer MSAs and Long-Term Care Insurance Contracts, if required.</t>
        </is>
      </c>
      <c r="C11" s="413" t="n"/>
      <c r="D11" s="413" t="n"/>
      <c r="E11" s="413" t="n"/>
      <c r="F11" s="413" t="n"/>
      <c r="G11" s="413" t="n"/>
      <c r="H11" s="413" t="n"/>
      <c r="I11" s="413" t="n"/>
      <c r="J11" s="4253" t="n"/>
      <c r="K11" s="4253" t="n"/>
      <c r="L11" s="413" t="n"/>
      <c r="M11" s="413" t="n"/>
      <c r="N11" s="2749" t="n"/>
      <c r="O11" s="344" t="n"/>
      <c r="P11" s="4254" t="n"/>
      <c r="Q11" s="4255" t="n"/>
      <c r="R11" s="344" t="n"/>
      <c r="S11" s="4248" t="n"/>
      <c r="T11" s="4248" t="n"/>
      <c r="U11" s="4248" t="n"/>
      <c r="V11" s="4248" t="n"/>
      <c r="W11" s="4249" t="n"/>
      <c r="X11" s="4256" t="n"/>
      <c r="Y11" s="344" t="n"/>
      <c r="Z11" s="11295" t="inlineStr">
        <is>
          <t>Enrolled in Medicare? (Y/N)</t>
        </is>
      </c>
      <c r="AA11" s="344" t="n"/>
      <c r="AB11" s="11295" t="inlineStr">
        <is>
          <t>Eligible on 1st of Month? (Y/N)</t>
        </is>
      </c>
      <c r="AC11" s="344" t="n"/>
      <c r="AD11" s="11295" t="inlineStr">
        <is>
          <t>Coverage Type?  (Self/Family)</t>
        </is>
      </c>
      <c r="AE11" s="344" t="n"/>
      <c r="AF11" s="4232" t="n"/>
      <c r="AG11" s="346" t="n"/>
      <c r="AH11" s="344" t="n"/>
      <c r="AI11" s="344" t="n"/>
      <c r="AJ11" s="344" t="n"/>
      <c r="AK11" s="344" t="n"/>
      <c r="AL11" s="344" t="n"/>
      <c r="AM11" s="344" t="n"/>
      <c r="AN11" s="344" t="n"/>
    </row>
    <row r="12" ht="15" customHeight="1" s="7635">
      <c r="A12" s="139" t="n"/>
      <c r="B12" s="4257" t="inlineStr">
        <is>
          <t xml:space="preserve">Part I </t>
        </is>
      </c>
      <c r="C12" s="11330" t="inlineStr">
        <is>
          <t xml:space="preserve"> HSA Contributions and Deduction. See the instructions before completing this part. If you are filing jointly</t>
        </is>
      </c>
      <c r="D12" s="7839" t="n"/>
      <c r="E12" s="7839" t="n"/>
      <c r="F12" s="7839" t="n"/>
      <c r="G12" s="7839" t="n"/>
      <c r="H12" s="7839" t="n"/>
      <c r="I12" s="7839" t="n"/>
      <c r="J12" s="7839" t="n"/>
      <c r="K12" s="7839" t="n"/>
      <c r="L12" s="7839" t="n"/>
      <c r="M12" s="7839" t="n"/>
      <c r="N12" s="2762" t="n"/>
      <c r="O12" s="344" t="n"/>
      <c r="P12" s="4258" t="n"/>
      <c r="Q12" s="2013" t="n"/>
      <c r="R12" s="344" t="n"/>
      <c r="S12" s="314" t="n"/>
      <c r="T12" s="314" t="n"/>
      <c r="U12" s="314" t="n"/>
      <c r="V12" s="314" t="n"/>
      <c r="W12" s="7957" t="n"/>
      <c r="X12" s="1073" t="n"/>
      <c r="Y12" s="344" t="n"/>
      <c r="AA12" s="344" t="n"/>
      <c r="AC12" s="344" t="n"/>
      <c r="AE12" s="344" t="n"/>
      <c r="AF12" s="4232" t="n"/>
      <c r="AG12" s="346" t="n"/>
      <c r="AH12" s="344" t="n"/>
      <c r="AI12" s="344" t="n"/>
      <c r="AJ12" s="344" t="n"/>
      <c r="AK12" s="344" t="n"/>
      <c r="AL12" s="344" t="n"/>
      <c r="AM12" s="344" t="n"/>
      <c r="AN12" s="344" t="n"/>
    </row>
    <row r="13" ht="12" customHeight="1" s="7635">
      <c r="A13" s="139" t="n"/>
      <c r="B13" s="4259" t="n"/>
      <c r="C13" s="11260" t="inlineStr">
        <is>
          <t xml:space="preserve"> and both you and your spouse each have separate HSAs, complete a separate Part I for each spouse.</t>
        </is>
      </c>
      <c r="D13" s="7637" t="n"/>
      <c r="E13" s="7637" t="n"/>
      <c r="F13" s="7637" t="n"/>
      <c r="G13" s="7637" t="n"/>
      <c r="H13" s="7637" t="n"/>
      <c r="I13" s="7637" t="n"/>
      <c r="J13" s="7637" t="n"/>
      <c r="K13" s="7637" t="n"/>
      <c r="L13" s="7637" t="n"/>
      <c r="M13" s="7637" t="n"/>
      <c r="N13" s="2762" t="n"/>
      <c r="O13" s="344" t="n"/>
      <c r="P13" s="12772" t="n"/>
      <c r="Q13" s="2785" t="n"/>
      <c r="R13" s="344" t="n"/>
      <c r="S13" s="314" t="n"/>
      <c r="T13" s="314" t="n"/>
      <c r="U13" s="314" t="n"/>
      <c r="V13" s="314" t="n"/>
      <c r="W13" s="7957" t="n"/>
      <c r="X13" s="1073" t="n"/>
      <c r="Y13" s="344" t="n"/>
      <c r="AA13" s="344" t="n"/>
      <c r="AC13" s="344" t="n"/>
      <c r="AE13" s="344" t="n"/>
      <c r="AF13" s="4232" t="n"/>
      <c r="AG13" s="346" t="n"/>
      <c r="AH13" s="344" t="n"/>
      <c r="AI13" s="344" t="n"/>
      <c r="AJ13" s="344" t="n"/>
      <c r="AK13" s="344" t="n"/>
      <c r="AL13" s="344" t="n"/>
      <c r="AM13" s="344" t="n"/>
      <c r="AN13" s="344" t="n"/>
    </row>
    <row r="14" ht="6" customHeight="1" s="7635">
      <c r="A14" s="139" t="n"/>
      <c r="B14" s="4261" t="n"/>
      <c r="C14" s="4262" t="n"/>
      <c r="D14" s="4262" t="n"/>
      <c r="E14" s="4263" t="n"/>
      <c r="F14" s="4263" t="n"/>
      <c r="G14" s="4263" t="n"/>
      <c r="H14" s="4263" t="n"/>
      <c r="I14" s="4263" t="n"/>
      <c r="J14" s="4263" t="n"/>
      <c r="K14" s="4263" t="n"/>
      <c r="L14" s="4263" t="n"/>
      <c r="M14" s="4263" t="n"/>
      <c r="N14" s="2762" t="n"/>
      <c r="O14" s="344" t="n"/>
      <c r="P14" s="4264" t="n"/>
      <c r="Q14" s="4265" t="n"/>
      <c r="R14" s="344" t="n"/>
      <c r="S14" s="314" t="n"/>
      <c r="T14" s="314" t="n"/>
      <c r="U14" s="314" t="n"/>
      <c r="V14" s="314" t="n"/>
      <c r="W14" s="7957" t="n"/>
      <c r="X14" s="1073" t="n"/>
      <c r="Y14" s="344" t="n"/>
      <c r="AA14" s="344" t="n"/>
      <c r="AC14" s="344" t="n"/>
      <c r="AE14" s="344" t="n"/>
      <c r="AF14" s="4232" t="n"/>
      <c r="AG14" s="346" t="n"/>
      <c r="AH14" s="344" t="n"/>
      <c r="AI14" s="344" t="n"/>
      <c r="AJ14" s="344" t="n"/>
      <c r="AK14" s="344" t="n"/>
      <c r="AL14" s="344" t="n"/>
      <c r="AM14" s="344" t="n"/>
      <c r="AN14" s="344" t="n"/>
    </row>
    <row r="15" ht="12" customFormat="1" customHeight="1" s="214">
      <c r="A15" s="139" t="n"/>
      <c r="B15" s="8374" t="n">
        <v>1</v>
      </c>
      <c r="C15" s="2769">
        <f>"Check the box to indicate your coverage under a high-deductible health plan (HDHP) during "&amp;TaxYear</f>
        <v/>
      </c>
      <c r="D15" s="2770" t="n"/>
      <c r="E15" s="11262" t="n"/>
      <c r="F15" s="11262" t="n"/>
      <c r="G15" s="2771" t="n"/>
      <c r="H15" s="2771" t="n"/>
      <c r="I15" s="2771" t="n"/>
      <c r="J15" s="2771" t="n"/>
      <c r="K15" s="8374" t="n"/>
      <c r="L15" s="572" t="n"/>
      <c r="M15" s="4266" t="inlineStr">
        <is>
          <t xml:space="preserve"> Self-only</t>
        </is>
      </c>
      <c r="N15" s="2783" t="n"/>
      <c r="O15" s="689" t="n"/>
      <c r="P15" s="12175">
        <f>IF(L15&lt;&gt;"",1,0)</f>
        <v/>
      </c>
      <c r="Q15" s="4268">
        <f>IF(P19=0,"Check one box.",IF(P19=2,"Check only one box.",""))</f>
        <v/>
      </c>
      <c r="R15" s="689" t="n"/>
      <c r="S15" s="688" t="n"/>
      <c r="T15" s="688" t="n"/>
      <c r="U15" s="688" t="n"/>
      <c r="V15" s="688" t="n"/>
      <c r="W15" s="689" t="n"/>
      <c r="X15" s="4269" t="n"/>
      <c r="Y15" s="344" t="n"/>
      <c r="AA15" s="344" t="n"/>
      <c r="AC15" s="344" t="n"/>
      <c r="AE15" s="344" t="n"/>
      <c r="AF15" s="4232" t="n"/>
      <c r="AG15" s="346" t="n"/>
      <c r="AH15" s="344" t="n"/>
      <c r="AI15" s="343" t="n"/>
      <c r="AJ15" s="343" t="n"/>
      <c r="AK15" s="343" t="n"/>
      <c r="AL15" s="343" t="n"/>
      <c r="AM15" s="343" t="n"/>
      <c r="AN15" s="343" t="n"/>
      <c r="AO15" s="658" t="n"/>
      <c r="AP15" s="658" t="n"/>
      <c r="AQ15" s="658" t="n"/>
      <c r="AR15" s="658" t="n"/>
      <c r="AS15" s="658" t="n"/>
      <c r="AT15" s="658" t="n"/>
      <c r="AU15" s="658" t="n"/>
      <c r="AV15" s="658" t="n"/>
      <c r="AW15" s="658" t="n"/>
    </row>
    <row r="16" ht="5.25" customFormat="1" customHeight="1" s="214">
      <c r="A16" s="139" t="n"/>
      <c r="B16" s="8374" t="n"/>
      <c r="C16" s="11254" t="inlineStr">
        <is>
          <t>See instructions</t>
        </is>
      </c>
      <c r="F16" s="571" t="n"/>
      <c r="G16" s="571" t="n"/>
      <c r="H16" s="571" t="n"/>
      <c r="I16" s="571" t="n"/>
      <c r="J16" s="571" t="n"/>
      <c r="K16" s="571" t="n"/>
      <c r="L16" s="8374" t="n"/>
      <c r="M16" s="3197" t="n"/>
      <c r="N16" s="2783" t="n"/>
      <c r="O16" s="689" t="n"/>
      <c r="P16" s="12175" t="n"/>
      <c r="Q16" s="2013" t="n"/>
      <c r="R16" s="689" t="n"/>
      <c r="S16" s="688" t="n"/>
      <c r="T16" s="688" t="n"/>
      <c r="U16" s="688" t="n"/>
      <c r="V16" s="688" t="n"/>
      <c r="W16" s="689" t="n"/>
      <c r="X16" s="4269" t="n"/>
      <c r="Y16" s="344" t="n"/>
      <c r="AA16" s="344" t="n"/>
      <c r="AC16" s="344" t="n"/>
      <c r="AE16" s="344" t="n"/>
      <c r="AF16" s="4232" t="n"/>
      <c r="AG16" s="346" t="n"/>
      <c r="AH16" s="344" t="n"/>
      <c r="AI16" s="343" t="n"/>
      <c r="AJ16" s="343" t="n"/>
      <c r="AK16" s="343" t="n"/>
      <c r="AL16" s="343" t="n"/>
      <c r="AM16" s="343" t="n"/>
      <c r="AN16" s="343" t="n"/>
      <c r="AO16" s="658" t="n"/>
      <c r="AP16" s="658" t="n"/>
      <c r="AQ16" s="658" t="n"/>
      <c r="AR16" s="658" t="n"/>
      <c r="AS16" s="658" t="n"/>
      <c r="AT16" s="658" t="n"/>
      <c r="AU16" s="658" t="n"/>
      <c r="AV16" s="658" t="n"/>
      <c r="AW16" s="658" t="n"/>
    </row>
    <row r="17" ht="10.5" customFormat="1" customHeight="1" s="214">
      <c r="A17" s="139" t="n"/>
      <c r="B17" s="8374" t="n"/>
      <c r="F17" s="571" t="n"/>
      <c r="G17" s="571" t="n"/>
      <c r="H17" s="571" t="n"/>
      <c r="I17" s="571" t="n"/>
      <c r="J17" s="571" t="n"/>
      <c r="K17" s="4270" t="inlineStr">
        <is>
          <t xml:space="preserve">.   .   .   .   .   .   .   .   .   .   .   .   .   .   .   .   .   .   .   .   .   .   .   .   .   .   .   .   .   .   .   .   .   .   .   .   .   .   .   .   .   .   .   .   .   . </t>
        </is>
      </c>
      <c r="L17" s="572" t="n"/>
      <c r="M17" s="4266" t="inlineStr">
        <is>
          <t xml:space="preserve"> Family</t>
        </is>
      </c>
      <c r="N17" s="2783" t="n"/>
      <c r="O17" s="689" t="n"/>
      <c r="P17" s="12175">
        <f>IF(L17&lt;&gt;"",1,0)</f>
        <v/>
      </c>
      <c r="Q17" s="4271">
        <f>IF(P19=1,TRUE,FALSE)</f>
        <v/>
      </c>
      <c r="R17" s="689" t="n"/>
      <c r="S17" s="688" t="n"/>
      <c r="T17" s="688" t="n"/>
      <c r="U17" s="688" t="n"/>
      <c r="V17" s="688" t="n"/>
      <c r="W17" s="689" t="n"/>
      <c r="X17" s="4269" t="n"/>
      <c r="Y17" s="344" t="n"/>
      <c r="AA17" s="344" t="n"/>
      <c r="AC17" s="344" t="n"/>
      <c r="AE17" s="344" t="n"/>
      <c r="AF17" s="4232" t="n"/>
      <c r="AG17" s="346" t="n"/>
      <c r="AH17" s="344" t="n"/>
      <c r="AI17" s="343" t="n"/>
      <c r="AJ17" s="343" t="n"/>
      <c r="AK17" s="343" t="n"/>
      <c r="AL17" s="343" t="n"/>
      <c r="AM17" s="343" t="n"/>
      <c r="AN17" s="343" t="n"/>
      <c r="AO17" s="658" t="n"/>
      <c r="AP17" s="658" t="n"/>
      <c r="AQ17" s="658" t="n"/>
      <c r="AR17" s="658" t="n"/>
      <c r="AS17" s="658" t="n"/>
      <c r="AT17" s="658" t="n"/>
      <c r="AU17" s="658" t="n"/>
      <c r="AV17" s="658" t="n"/>
      <c r="AW17" s="658" t="n"/>
    </row>
    <row r="18" ht="4.5" customFormat="1" customHeight="1" s="214">
      <c r="A18" s="139" t="n"/>
      <c r="B18" s="8374" t="n"/>
      <c r="C18" s="9864" t="n"/>
      <c r="D18" s="9864" t="n"/>
      <c r="E18" s="9864" t="n"/>
      <c r="F18" s="571" t="n"/>
      <c r="G18" s="571" t="n"/>
      <c r="H18" s="571" t="n"/>
      <c r="I18" s="571" t="n"/>
      <c r="J18" s="571" t="n"/>
      <c r="K18" s="2075" t="n"/>
      <c r="L18" s="573" t="n"/>
      <c r="M18" s="4266" t="n"/>
      <c r="N18" s="2783" t="n"/>
      <c r="O18" s="689" t="n"/>
      <c r="P18" s="3256" t="n"/>
      <c r="Q18" s="2013" t="n"/>
      <c r="R18" s="689" t="n"/>
      <c r="S18" s="688" t="n"/>
      <c r="T18" s="688" t="n"/>
      <c r="U18" s="688" t="n"/>
      <c r="V18" s="688" t="n"/>
      <c r="W18" s="689" t="n"/>
      <c r="X18" s="4269" t="n"/>
      <c r="Y18" s="344" t="n"/>
      <c r="AA18" s="344" t="n"/>
      <c r="AC18" s="344" t="n"/>
      <c r="AE18" s="344" t="n"/>
      <c r="AF18" s="4232" t="n"/>
      <c r="AG18" s="346" t="n"/>
      <c r="AH18" s="344" t="n"/>
      <c r="AI18" s="343" t="n"/>
      <c r="AJ18" s="343" t="n"/>
      <c r="AK18" s="343" t="n"/>
      <c r="AL18" s="343" t="n"/>
      <c r="AM18" s="343" t="n"/>
      <c r="AN18" s="343" t="n"/>
      <c r="AO18" s="658" t="n"/>
      <c r="AP18" s="658" t="n"/>
      <c r="AQ18" s="658" t="n"/>
      <c r="AR18" s="658" t="n"/>
      <c r="AS18" s="658" t="n"/>
      <c r="AT18" s="658" t="n"/>
      <c r="AU18" s="658" t="n"/>
      <c r="AV18" s="658" t="n"/>
      <c r="AW18" s="658" t="n"/>
    </row>
    <row r="19" ht="12" customFormat="1" customHeight="1" s="214">
      <c r="A19" s="139" t="n"/>
      <c r="B19" s="8374" t="n">
        <v>2</v>
      </c>
      <c r="C19" s="2769">
        <f>"HSA contributions you made for "&amp;TaxYear&amp;" (or those made on your behalf), including those made by the"</f>
        <v/>
      </c>
      <c r="D19" s="2770" t="n"/>
      <c r="E19" s="11262" t="n"/>
      <c r="F19" s="11262" t="n"/>
      <c r="G19" s="2771" t="n"/>
      <c r="H19" s="2771" t="n"/>
      <c r="I19" s="2771" t="n"/>
      <c r="J19" s="2771" t="n"/>
      <c r="K19" s="8374" t="n"/>
      <c r="L19" s="3215" t="n"/>
      <c r="M19" s="2799" t="n"/>
      <c r="N19" s="2783" t="n"/>
      <c r="O19" s="689" t="n"/>
      <c r="P19" s="12175">
        <f>SUM(P15,P17)</f>
        <v/>
      </c>
      <c r="Q19" s="2785" t="n"/>
      <c r="R19" s="689" t="n"/>
      <c r="S19" s="688" t="n"/>
      <c r="T19" s="688" t="n"/>
      <c r="U19" s="688" t="n"/>
      <c r="V19" s="688" t="n"/>
      <c r="W19" s="689" t="n"/>
      <c r="X19" s="4269" t="n"/>
      <c r="Y19" s="344" t="n"/>
      <c r="AA19" s="344" t="n"/>
      <c r="AC19" s="344" t="n"/>
      <c r="AE19" s="344" t="n"/>
      <c r="AF19" s="4232" t="n"/>
      <c r="AG19" s="346" t="n"/>
      <c r="AH19" s="344" t="n"/>
      <c r="AI19" s="343" t="n"/>
      <c r="AJ19" s="343" t="n"/>
      <c r="AK19" s="343" t="n"/>
      <c r="AL19" s="343" t="n"/>
      <c r="AM19" s="343" t="n"/>
      <c r="AN19" s="343" t="n"/>
      <c r="AO19" s="658" t="n"/>
      <c r="AP19" s="658" t="n"/>
      <c r="AQ19" s="658" t="n"/>
      <c r="AR19" s="658" t="n"/>
      <c r="AS19" s="658" t="n"/>
      <c r="AT19" s="658" t="n"/>
      <c r="AU19" s="658" t="n"/>
      <c r="AV19" s="658" t="n"/>
      <c r="AW19" s="658" t="n"/>
    </row>
    <row r="20" ht="12" customHeight="1" s="7635">
      <c r="A20" s="139" t="n"/>
      <c r="B20" s="8374" t="n"/>
      <c r="C20" s="2769">
        <f>"unextended due date of your tax return that were for "&amp;TaxYear&amp;"."</f>
        <v/>
      </c>
      <c r="D20" s="2769" t="n"/>
      <c r="E20" s="11262" t="n"/>
      <c r="F20" s="11262" t="n"/>
      <c r="G20" s="2771" t="n"/>
      <c r="H20" s="2769" t="inlineStr">
        <is>
          <t>Do not include employer contributions,</t>
        </is>
      </c>
      <c r="I20" s="2770" t="n"/>
      <c r="J20" s="2771" t="n"/>
      <c r="K20" s="2771" t="n"/>
      <c r="L20" s="2805" t="n"/>
      <c r="M20" s="2989">
        <f>IF(M21="",0,ROUND(M21,0))</f>
        <v/>
      </c>
      <c r="N20" s="2775" t="n"/>
      <c r="O20" s="343" t="n"/>
      <c r="P20" s="3256" t="n"/>
      <c r="Q20" s="2785" t="n"/>
      <c r="R20" s="343" t="n"/>
      <c r="S20" s="688" t="n"/>
      <c r="T20" s="688" t="n"/>
      <c r="U20" s="688" t="n"/>
      <c r="V20" s="688" t="n"/>
      <c r="W20" s="689" t="n"/>
      <c r="X20" s="2846" t="n"/>
      <c r="Y20" s="344" t="n"/>
      <c r="AA20" s="344" t="n"/>
      <c r="AC20" s="344" t="n"/>
      <c r="AE20" s="344" t="n"/>
      <c r="AF20" s="4232" t="n"/>
      <c r="AG20" s="346" t="n"/>
      <c r="AH20" s="344" t="n"/>
      <c r="AI20" s="344" t="n"/>
      <c r="AJ20" s="689" t="inlineStr">
        <is>
          <t>You</t>
        </is>
      </c>
      <c r="AK20" s="689" t="inlineStr">
        <is>
          <t>Y or S</t>
        </is>
      </c>
      <c r="AL20" s="689" t="n"/>
      <c r="AM20" s="689" t="n"/>
      <c r="AN20" s="689" t="n"/>
    </row>
    <row r="21" ht="12" customHeight="1" s="7635">
      <c r="A21" s="139" t="n"/>
      <c r="B21" s="8374" t="n"/>
      <c r="C21" s="2769" t="inlineStr">
        <is>
          <t>contributions through a cafeteria plan, or rollovers.  See instructions</t>
        </is>
      </c>
      <c r="D21" s="2769" t="n"/>
      <c r="E21" s="11262" t="n"/>
      <c r="F21" s="11262" t="n"/>
      <c r="G21" s="2771" t="n"/>
      <c r="H21" s="8374" t="n"/>
      <c r="I21" s="8374" t="n"/>
      <c r="J21" s="8374" t="n"/>
      <c r="K21" s="8374" t="inlineStr">
        <is>
          <t xml:space="preserve">.   .   .   .   .   .   .   .   .   .   . </t>
        </is>
      </c>
      <c r="L21" s="2773">
        <f>B19</f>
        <v/>
      </c>
      <c r="M21" s="335" t="n"/>
      <c r="N21" s="2775" t="n"/>
      <c r="O21" s="343" t="n"/>
      <c r="P21" s="3256" t="n"/>
      <c r="Q21" s="2785" t="n"/>
      <c r="R21" s="343" t="n"/>
      <c r="S21" s="688" t="inlineStr">
        <is>
          <t>Age</t>
        </is>
      </c>
      <c r="T21" s="688" t="n"/>
      <c r="U21" s="688" t="inlineStr">
        <is>
          <t>Self</t>
        </is>
      </c>
      <c r="V21" s="688" t="inlineStr">
        <is>
          <t>Family</t>
        </is>
      </c>
      <c r="W21" s="689" t="n"/>
      <c r="X21" s="2118">
        <f>TaxYear</f>
        <v/>
      </c>
      <c r="Y21" s="344" t="n"/>
      <c r="AA21" s="344" t="n"/>
      <c r="AC21" s="344" t="n"/>
      <c r="AE21" s="344" t="n"/>
      <c r="AF21" s="4232" t="n"/>
      <c r="AG21" s="346" t="n"/>
      <c r="AH21" s="344" t="n"/>
      <c r="AI21" s="689" t="inlineStr">
        <is>
          <t>Self</t>
        </is>
      </c>
      <c r="AJ21" s="689" t="inlineStr">
        <is>
          <t>Family</t>
        </is>
      </c>
      <c r="AK21" s="689" t="inlineStr">
        <is>
          <t>Family</t>
        </is>
      </c>
      <c r="AL21" s="689" t="n"/>
      <c r="AM21" s="689" t="n"/>
      <c r="AN21" s="689" t="n"/>
    </row>
    <row r="22" ht="12" customFormat="1" customHeight="1" s="214">
      <c r="A22" s="139" t="n"/>
      <c r="B22" s="8374" t="n">
        <v>3</v>
      </c>
      <c r="C22" s="2770">
        <f>"If  you  were  under age "&amp;P22&amp;" at  the  end of  "&amp;TaxYear&amp;"  and,"</f>
        <v/>
      </c>
      <c r="D22" s="2770" t="n"/>
      <c r="E22" s="11262" t="n"/>
      <c r="F22" s="11262" t="n"/>
      <c r="G22" s="2770" t="inlineStr">
        <is>
          <t>on  the  first day of  every  month</t>
        </is>
      </c>
      <c r="H22" s="4272" t="n"/>
      <c r="I22" s="4272" t="n"/>
      <c r="J22" s="3002" t="n"/>
      <c r="K22" s="2770">
        <f>"during "&amp;TaxYear&amp;", you"</f>
        <v/>
      </c>
      <c r="L22" s="4273" t="n"/>
      <c r="M22" s="4274" t="n"/>
      <c r="N22" s="2783" t="n"/>
      <c r="O22" s="689" t="n"/>
      <c r="P22" s="12175" t="n">
        <v>55</v>
      </c>
      <c r="Q22" s="2785" t="n"/>
      <c r="R22" s="689" t="n"/>
      <c r="S22" s="250" t="inlineStr">
        <is>
          <t>&lt;55</t>
        </is>
      </c>
      <c r="T22" s="4275" t="inlineStr">
        <is>
          <t>---</t>
        </is>
      </c>
      <c r="U22" s="4276" t="n">
        <v>4300</v>
      </c>
      <c r="V22" s="4276" t="n">
        <v>8550</v>
      </c>
      <c r="W22" s="4277" t="n"/>
      <c r="X22" s="4278" t="inlineStr">
        <is>
          <t>January</t>
        </is>
      </c>
      <c r="Y22" s="344" t="n"/>
      <c r="Z22" s="4279" t="inlineStr">
        <is>
          <t>N</t>
        </is>
      </c>
      <c r="AA22" s="344" t="n"/>
      <c r="AB22" s="4279" t="inlineStr">
        <is>
          <t>Y</t>
        </is>
      </c>
      <c r="AC22" s="344" t="n"/>
      <c r="AD22" s="4279">
        <f>IF(L17&lt;&gt;"","F","S")</f>
        <v/>
      </c>
      <c r="AE22" s="344" t="n"/>
      <c r="AF22" s="4232">
        <f>IF(OR(Z22="Y",Z22="y",AB22="N",AB22="n"),0,IF(OR(AD22="S",AD22="s"),$U$25,$V$25))</f>
        <v/>
      </c>
      <c r="AG22" s="346" t="n"/>
      <c r="AH22" s="344" t="n"/>
      <c r="AI22" s="343">
        <f>IF(AD22="S",1,0)</f>
        <v/>
      </c>
      <c r="AJ22" s="343">
        <f>IF(AND(OR(AB22="y",AB22="Y"),OR(AD22="f",AD22="F")),1,0)</f>
        <v/>
      </c>
      <c r="AK22" s="343">
        <f>MIN(1,SUM(AJ22,AJ84))</f>
        <v/>
      </c>
      <c r="AL22" s="343" t="n"/>
      <c r="AM22" s="6743">
        <f>AK22*AF22</f>
        <v/>
      </c>
      <c r="AN22" s="343" t="n"/>
      <c r="AO22" s="658" t="n"/>
      <c r="AP22" s="658" t="n"/>
      <c r="AQ22" s="658" t="n"/>
      <c r="AR22" s="658" t="n"/>
      <c r="AS22" s="658" t="n"/>
      <c r="AT22" s="658" t="n"/>
      <c r="AU22" s="658" t="n"/>
      <c r="AV22" s="658" t="n"/>
      <c r="AW22" s="658" t="n"/>
    </row>
    <row r="23" ht="12" customHeight="1" s="7635">
      <c r="A23" s="139" t="n"/>
      <c r="B23" s="8374" t="n"/>
      <c r="C23" s="2770" t="inlineStr">
        <is>
          <t xml:space="preserve">were,  or  were  considered,  an  eligible  individual  with  the  same  coverage, </t>
        </is>
      </c>
      <c r="D23" s="2769" t="n"/>
      <c r="E23" s="11262" t="n"/>
      <c r="F23" s="11262" t="n"/>
      <c r="G23" s="2771" t="n"/>
      <c r="H23" s="2771" t="n"/>
      <c r="I23" s="2771" t="n"/>
      <c r="J23" s="2770" t="n"/>
      <c r="K23" s="4280">
        <f>"enter "&amp;TEXT($U$22,"$0,000")&amp; " ("&amp;TEXT($V$22,"$0,000")&amp;" for"</f>
        <v/>
      </c>
      <c r="L23" s="2805" t="n"/>
      <c r="M23" s="4281" t="n"/>
      <c r="N23" s="2775" t="n"/>
      <c r="O23" s="343" t="n"/>
      <c r="P23" s="4282" t="n"/>
      <c r="Q23" s="2785" t="n"/>
      <c r="R23" s="343" t="n"/>
      <c r="S23" s="250" t="inlineStr">
        <is>
          <t>&gt;=55</t>
        </is>
      </c>
      <c r="T23" s="4275" t="inlineStr">
        <is>
          <t>Single*</t>
        </is>
      </c>
      <c r="U23" s="4283">
        <f>SUM(U22,$S$33)</f>
        <v/>
      </c>
      <c r="V23" s="4283">
        <f>SUM(V22,$S$33)</f>
        <v/>
      </c>
      <c r="W23" s="4277" t="n"/>
      <c r="X23" s="4278" t="inlineStr">
        <is>
          <t>February</t>
        </is>
      </c>
      <c r="Y23" s="344" t="n"/>
      <c r="Z23" s="4279">
        <f>Z22</f>
        <v/>
      </c>
      <c r="AA23" s="344" t="n"/>
      <c r="AB23" s="4279">
        <f>AB22</f>
        <v/>
      </c>
      <c r="AC23" s="344" t="n"/>
      <c r="AD23" s="4279">
        <f>AD22</f>
        <v/>
      </c>
      <c r="AE23" s="344" t="n"/>
      <c r="AF23" s="4232">
        <f>IF(OR(Z23="Y",Z23="y",AB23="N",AB23="n"),0,IF(OR(AD23="S",AD23="s"),$U$25,$V$25))</f>
        <v/>
      </c>
      <c r="AG23" s="346" t="n"/>
      <c r="AH23" s="344" t="n"/>
      <c r="AI23" s="343">
        <f>IF(AD23="S",1,0)</f>
        <v/>
      </c>
      <c r="AJ23" s="343">
        <f>IF(AND(OR(AB23="y",AB23="Y"),OR(AD23="f",AD23="F")),1,0)</f>
        <v/>
      </c>
      <c r="AK23" s="343">
        <f>MIN(1,SUM(AJ23,AJ85))</f>
        <v/>
      </c>
      <c r="AL23" s="343" t="n"/>
      <c r="AM23" s="6743">
        <f>AK23*AF23</f>
        <v/>
      </c>
      <c r="AN23" s="343" t="n"/>
    </row>
    <row r="24" ht="12" customHeight="1" s="7635">
      <c r="A24" s="139" t="n"/>
      <c r="B24" s="8374" t="n"/>
      <c r="C24" s="2770" t="inlineStr">
        <is>
          <t>family coverage).   All others, see instructions for the amount to enter</t>
        </is>
      </c>
      <c r="D24" s="2769" t="n"/>
      <c r="E24" s="11262" t="n"/>
      <c r="F24" s="2770" t="n"/>
      <c r="G24" s="2771" t="n"/>
      <c r="H24" s="8374" t="n"/>
      <c r="I24" s="8374" t="n"/>
      <c r="J24" s="8374" t="n"/>
      <c r="K24" s="8374" t="inlineStr">
        <is>
          <t xml:space="preserve">.   .   .   .   .   .   .   .   .   .   .   .   . </t>
        </is>
      </c>
      <c r="L24" s="2773">
        <f>B22</f>
        <v/>
      </c>
      <c r="M24" s="2816">
        <f>IF(Q24&lt;&gt;"",ROUND(Q24,0),IF(OR(NOT(F8889_Line1),AND(M21="",K34="",M27="")),"",AF35))</f>
        <v/>
      </c>
      <c r="N24" s="2775" t="n"/>
      <c r="O24" s="343" t="n"/>
      <c r="P24" s="2990" t="n"/>
      <c r="Q24" s="118" t="n"/>
      <c r="R24" s="343" t="n"/>
      <c r="S24" s="250" t="inlineStr">
        <is>
          <t>&gt;=55</t>
        </is>
      </c>
      <c r="T24" s="250" t="inlineStr">
        <is>
          <t>Married</t>
        </is>
      </c>
      <c r="U24" s="4283">
        <f>SUM(U22,S33)</f>
        <v/>
      </c>
      <c r="V24" s="4283">
        <f>V22</f>
        <v/>
      </c>
      <c r="W24" s="4277" t="n"/>
      <c r="X24" s="4278" t="inlineStr">
        <is>
          <t>March</t>
        </is>
      </c>
      <c r="Y24" s="344" t="n"/>
      <c r="Z24" s="4279">
        <f>Z23</f>
        <v/>
      </c>
      <c r="AA24" s="344" t="n"/>
      <c r="AB24" s="4279">
        <f>AB23</f>
        <v/>
      </c>
      <c r="AC24" s="344" t="n"/>
      <c r="AD24" s="4279">
        <f>AD23</f>
        <v/>
      </c>
      <c r="AE24" s="344" t="n"/>
      <c r="AF24" s="4232">
        <f>IF(OR(Z24="Y",Z24="y",AB24="N",AB24="n"),0,IF(OR(AD24="S",AD24="s"),$U$25,$V$25))</f>
        <v/>
      </c>
      <c r="AG24" s="346" t="n"/>
      <c r="AH24" s="344" t="n"/>
      <c r="AI24" s="343">
        <f>IF(AD24="S",1,0)</f>
        <v/>
      </c>
      <c r="AJ24" s="343">
        <f>IF(AND(OR(AB24="y",AB24="Y"),OR(AD24="f",AD24="F")),1,0)</f>
        <v/>
      </c>
      <c r="AK24" s="343">
        <f>MIN(1,SUM(AJ24,AJ86))</f>
        <v/>
      </c>
      <c r="AL24" s="343" t="n"/>
      <c r="AM24" s="6743">
        <f>AK24*AF24</f>
        <v/>
      </c>
      <c r="AN24" s="343" t="n"/>
    </row>
    <row r="25" ht="12" customFormat="1" customHeight="1" s="214">
      <c r="A25" s="139" t="n"/>
      <c r="B25" s="8374" t="n">
        <v>4</v>
      </c>
      <c r="C25" s="2770">
        <f>"Enter the amount you and your employer contributed to your Archer MSAs for "&amp;TaxYear&amp;" from Form 8853,"</f>
        <v/>
      </c>
      <c r="D25" s="2770" t="n"/>
      <c r="E25" s="11262" t="n"/>
      <c r="F25" s="11262" t="n"/>
      <c r="G25" s="2771" t="n"/>
      <c r="H25" s="2771" t="n"/>
      <c r="I25" s="2771" t="n"/>
      <c r="J25" s="2771" t="n"/>
      <c r="K25" s="8374" t="n"/>
      <c r="L25" s="4273" t="n"/>
      <c r="M25" s="4274" t="n"/>
      <c r="N25" s="2783" t="n"/>
      <c r="O25" s="689" t="n"/>
      <c r="P25" s="3256" t="n"/>
      <c r="Q25" s="2785" t="n"/>
      <c r="R25" s="689" t="n"/>
      <c r="S25" s="250">
        <f>YourAge</f>
        <v/>
      </c>
      <c r="T25" s="4283">
        <f>IF($S$25&lt;$P$22,T22,IF($AI$36,T23,T24))</f>
        <v/>
      </c>
      <c r="U25" s="4283">
        <f>IF($S$25&lt;$P$22,U22,IF($AI$36,U23,U24))</f>
        <v/>
      </c>
      <c r="V25" s="4283">
        <f>IF($S$25&lt;$P$22,V22,IF($AI$36,V23,V24))</f>
        <v/>
      </c>
      <c r="W25" s="689" t="n"/>
      <c r="X25" s="4278" t="inlineStr">
        <is>
          <t>April</t>
        </is>
      </c>
      <c r="Y25" s="344" t="n"/>
      <c r="Z25" s="4279">
        <f>Z24</f>
        <v/>
      </c>
      <c r="AA25" s="344" t="n"/>
      <c r="AB25" s="4279">
        <f>AB24</f>
        <v/>
      </c>
      <c r="AC25" s="344" t="n"/>
      <c r="AD25" s="4279">
        <f>AD24</f>
        <v/>
      </c>
      <c r="AE25" s="344" t="n"/>
      <c r="AF25" s="4232">
        <f>IF(OR(Z25="Y",Z25="y",AB25="N",AB25="n"),0,IF(OR(AD25="S",AD25="s"),$U$25,$V$25))</f>
        <v/>
      </c>
      <c r="AG25" s="346" t="n"/>
      <c r="AH25" s="344" t="n"/>
      <c r="AI25" s="343">
        <f>IF(AD25="S",1,0)</f>
        <v/>
      </c>
      <c r="AJ25" s="343">
        <f>IF(AND(OR(AB25="y",AB25="Y"),OR(AD25="f",AD25="F")),1,0)</f>
        <v/>
      </c>
      <c r="AK25" s="343">
        <f>MIN(1,SUM(AJ25,AJ87))</f>
        <v/>
      </c>
      <c r="AL25" s="343" t="n"/>
      <c r="AM25" s="6743">
        <f>AK25*AF25</f>
        <v/>
      </c>
      <c r="AN25" s="343" t="n"/>
      <c r="AO25" s="658" t="n"/>
      <c r="AP25" s="658" t="n"/>
      <c r="AQ25" s="658" t="n"/>
      <c r="AR25" s="658" t="n"/>
      <c r="AS25" s="658" t="n"/>
      <c r="AT25" s="658" t="n"/>
      <c r="AU25" s="658" t="n"/>
      <c r="AV25" s="658" t="n"/>
      <c r="AW25" s="658" t="n"/>
    </row>
    <row r="26" ht="12" customHeight="1" s="7635">
      <c r="A26" s="139" t="n"/>
      <c r="B26" s="8374" t="n"/>
      <c r="C26" s="2770">
        <f>"lines 1 and 2. If you or your spouse had family coverage under an HDHP at any time during "&amp;TaxYear&amp;", also"</f>
        <v/>
      </c>
      <c r="D26" s="2769" t="n"/>
      <c r="E26" s="11262" t="n"/>
      <c r="F26" s="11262" t="n"/>
      <c r="G26" s="2771" t="n"/>
      <c r="H26" s="2771" t="n"/>
      <c r="I26" s="2771" t="n"/>
      <c r="J26" s="2771" t="n"/>
      <c r="K26" s="2771" t="n"/>
      <c r="L26" s="2805" t="n"/>
      <c r="M26" s="4281" t="n"/>
      <c r="N26" s="2775" t="n"/>
      <c r="O26" s="343" t="n"/>
      <c r="P26" s="2990" t="n"/>
      <c r="Q26" s="2785" t="n"/>
      <c r="R26" s="343" t="n"/>
      <c r="S26" s="3105" t="inlineStr">
        <is>
          <t>*Or Married with Self Only Coverage Type</t>
        </is>
      </c>
      <c r="T26" s="688" t="n"/>
      <c r="U26" s="688" t="n"/>
      <c r="V26" s="688" t="n"/>
      <c r="W26" s="689" t="n"/>
      <c r="X26" s="4278" t="inlineStr">
        <is>
          <t>May</t>
        </is>
      </c>
      <c r="Y26" s="344" t="n"/>
      <c r="Z26" s="4279">
        <f>Z25</f>
        <v/>
      </c>
      <c r="AA26" s="344" t="n"/>
      <c r="AB26" s="4279">
        <f>AB25</f>
        <v/>
      </c>
      <c r="AC26" s="344" t="n"/>
      <c r="AD26" s="4279">
        <f>AD25</f>
        <v/>
      </c>
      <c r="AE26" s="344" t="n"/>
      <c r="AF26" s="4232">
        <f>IF(OR(Z26="Y",Z26="y",AB26="N",AB26="n"),0,IF(OR(AD26="S",AD26="s"),$U$25,$V$25))</f>
        <v/>
      </c>
      <c r="AG26" s="346" t="n"/>
      <c r="AH26" s="344" t="n"/>
      <c r="AI26" s="343">
        <f>IF(AD26="S",1,0)</f>
        <v/>
      </c>
      <c r="AJ26" s="343">
        <f>IF(AND(OR(AB26="y",AB26="Y"),OR(AD26="f",AD26="F")),1,0)</f>
        <v/>
      </c>
      <c r="AK26" s="343">
        <f>MIN(1,SUM(AJ26,AJ88))</f>
        <v/>
      </c>
      <c r="AL26" s="343" t="n"/>
      <c r="AM26" s="6743">
        <f>AK26*AF26</f>
        <v/>
      </c>
      <c r="AN26" s="343" t="n"/>
    </row>
    <row r="27" ht="12" customHeight="1" s="7635" thickBot="1">
      <c r="A27" s="139" t="n"/>
      <c r="B27" s="8374" t="n"/>
      <c r="C27" s="2770" t="inlineStr">
        <is>
          <t>include any amount contributed to your spouse’s Archer MSAs</t>
        </is>
      </c>
      <c r="D27" s="2769" t="n"/>
      <c r="E27" s="11262" t="n"/>
      <c r="F27" s="11262" t="n"/>
      <c r="G27" s="2771" t="n"/>
      <c r="H27" s="8374" t="n"/>
      <c r="I27" s="8374" t="n"/>
      <c r="J27" s="8374" t="n"/>
      <c r="K27" s="8374" t="inlineStr">
        <is>
          <t xml:space="preserve">.   .   .   .   .   .   .   .   .   .   .   .   .   .   . </t>
        </is>
      </c>
      <c r="L27" s="3742">
        <f>B25</f>
        <v/>
      </c>
      <c r="M27" s="1454" t="n"/>
      <c r="N27" s="2775" t="n"/>
      <c r="O27" s="343" t="n"/>
      <c r="P27" s="2990" t="n"/>
      <c r="Q27" s="2785" t="n"/>
      <c r="R27" s="343" t="n"/>
      <c r="S27" s="3105" t="n"/>
      <c r="T27" s="688" t="n"/>
      <c r="U27" s="688" t="n"/>
      <c r="V27" s="688" t="n"/>
      <c r="W27" s="689" t="n"/>
      <c r="X27" s="4278" t="inlineStr">
        <is>
          <t>June</t>
        </is>
      </c>
      <c r="Y27" s="344" t="n"/>
      <c r="Z27" s="4279">
        <f>Z26</f>
        <v/>
      </c>
      <c r="AA27" s="344" t="n"/>
      <c r="AB27" s="4279">
        <f>AB26</f>
        <v/>
      </c>
      <c r="AC27" s="344" t="n"/>
      <c r="AD27" s="4279">
        <f>AD26</f>
        <v/>
      </c>
      <c r="AE27" s="344" t="n"/>
      <c r="AF27" s="4232">
        <f>IF(OR(Z27="Y",Z27="y",AB27="N",AB27="n"),0,IF(OR(AD27="S",AD27="s"),$U$25,$V$25))</f>
        <v/>
      </c>
      <c r="AG27" s="346" t="n"/>
      <c r="AH27" s="344" t="n"/>
      <c r="AI27" s="343">
        <f>IF(AD27="S",1,0)</f>
        <v/>
      </c>
      <c r="AJ27" s="343">
        <f>IF(AND(OR(AB27="y",AB27="Y"),OR(AD27="f",AD27="F")),1,0)</f>
        <v/>
      </c>
      <c r="AK27" s="343">
        <f>MIN(1,SUM(AJ27,AJ89))</f>
        <v/>
      </c>
      <c r="AL27" s="343" t="n"/>
      <c r="AM27" s="6743">
        <f>AK27*AF27</f>
        <v/>
      </c>
      <c r="AN27" s="343" t="n"/>
    </row>
    <row r="28" ht="12.75" customHeight="1" s="7635" thickBot="1">
      <c r="A28" s="139" t="n"/>
      <c r="B28" s="8374" t="n">
        <v>5</v>
      </c>
      <c r="C28" s="2770" t="inlineStr">
        <is>
          <t>Subtract line 4 from line 3. If zero or less, enter -0-</t>
        </is>
      </c>
      <c r="D28" s="2770" t="n"/>
      <c r="E28" s="11262" t="n"/>
      <c r="F28" s="11262" t="n"/>
      <c r="G28" s="2771" t="n"/>
      <c r="H28" s="2771" t="n"/>
      <c r="I28" s="2771" t="n"/>
      <c r="J28" s="2771" t="n"/>
      <c r="K28" s="2031" t="inlineStr">
        <is>
          <t xml:space="preserve">.   .   .   .   .   .   .   .   .   .   .   .   .   .   .   .   .   .   . </t>
        </is>
      </c>
      <c r="L28" s="4284">
        <f>B28</f>
        <v/>
      </c>
      <c r="M28" s="4285">
        <f>MAX(0,SUM(M24,-M27))</f>
        <v/>
      </c>
      <c r="N28" s="2775" t="n"/>
      <c r="O28" s="343" t="n"/>
      <c r="P28" s="2990" t="n"/>
      <c r="Q28" s="2785" t="n"/>
      <c r="R28" s="344" t="n"/>
      <c r="S28" s="3105" t="n"/>
      <c r="T28" s="251" t="n"/>
      <c r="U28" s="251" t="inlineStr">
        <is>
          <t>Family coverage at any time?</t>
        </is>
      </c>
      <c r="V28" s="9123">
        <f>AK34&gt;1</f>
        <v/>
      </c>
      <c r="W28" s="689" t="n"/>
      <c r="X28" s="4278" t="inlineStr">
        <is>
          <t>July</t>
        </is>
      </c>
      <c r="Y28" s="344" t="n"/>
      <c r="Z28" s="4279">
        <f>Z27</f>
        <v/>
      </c>
      <c r="AA28" s="344" t="n"/>
      <c r="AB28" s="4279">
        <f>AB27</f>
        <v/>
      </c>
      <c r="AC28" s="344" t="n"/>
      <c r="AD28" s="4279">
        <f>AD27</f>
        <v/>
      </c>
      <c r="AE28" s="344" t="n"/>
      <c r="AF28" s="4232">
        <f>IF(OR(Z28="Y",Z28="y",AB28="N",AB28="n"),0,IF(OR(AD28="S",AD28="s"),$U$25,$V$25))</f>
        <v/>
      </c>
      <c r="AG28" s="346" t="n"/>
      <c r="AH28" s="344" t="n"/>
      <c r="AI28" s="343">
        <f>IF(AD28="S",1,0)</f>
        <v/>
      </c>
      <c r="AJ28" s="343">
        <f>IF(AND(OR(AB28="y",AB28="Y"),OR(AD28="f",AD28="F")),1,0)</f>
        <v/>
      </c>
      <c r="AK28" s="343">
        <f>MIN(1,SUM(AJ28,AJ90))</f>
        <v/>
      </c>
      <c r="AL28" s="343" t="n"/>
      <c r="AM28" s="6743">
        <f>AK28*AF28</f>
        <v/>
      </c>
      <c r="AN28" s="343" t="n"/>
    </row>
    <row r="29" ht="12" customFormat="1" customHeight="1" s="214">
      <c r="A29" s="139" t="n"/>
      <c r="B29" s="8374" t="n">
        <v>6</v>
      </c>
      <c r="C29" s="2770" t="inlineStr">
        <is>
          <t>Enter the amount from line 5. But if you and your spouse each have separate HSAs and had family</t>
        </is>
      </c>
      <c r="D29" s="2770" t="n"/>
      <c r="E29" s="11262" t="n"/>
      <c r="F29" s="11262" t="n"/>
      <c r="G29" s="2771" t="n"/>
      <c r="H29" s="2771" t="n"/>
      <c r="I29" s="2771" t="n"/>
      <c r="J29" s="2771" t="n"/>
      <c r="K29" s="8374" t="n"/>
      <c r="L29" s="4273" t="n"/>
      <c r="M29" s="4286" t="n"/>
      <c r="N29" s="2783" t="n"/>
      <c r="O29" s="343" t="n"/>
      <c r="P29" s="2990" t="n"/>
      <c r="Q29" s="2785" t="n"/>
      <c r="R29" s="344" t="n"/>
      <c r="S29" s="688" t="n"/>
      <c r="T29" s="688" t="n"/>
      <c r="U29" s="11302" t="inlineStr">
        <is>
          <t>Allocation</t>
        </is>
      </c>
      <c r="V29" s="7637" t="n"/>
      <c r="W29" s="689" t="n"/>
      <c r="X29" s="4278" t="inlineStr">
        <is>
          <t>August</t>
        </is>
      </c>
      <c r="Y29" s="344" t="n"/>
      <c r="Z29" s="4279">
        <f>Z28</f>
        <v/>
      </c>
      <c r="AA29" s="344" t="n"/>
      <c r="AB29" s="4279">
        <f>AB28</f>
        <v/>
      </c>
      <c r="AC29" s="344" t="n"/>
      <c r="AD29" s="4279">
        <f>AD28</f>
        <v/>
      </c>
      <c r="AE29" s="344" t="n"/>
      <c r="AF29" s="4232">
        <f>IF(OR(Z29="Y",Z29="y",AB29="N",AB29="n"),0,IF(OR(AD29="S",AD29="s"),$U$25,$V$25))</f>
        <v/>
      </c>
      <c r="AG29" s="346" t="n"/>
      <c r="AH29" s="344" t="n"/>
      <c r="AI29" s="343">
        <f>IF(AD29="S",1,0)</f>
        <v/>
      </c>
      <c r="AJ29" s="343">
        <f>IF(AND(OR(AB29="y",AB29="Y"),OR(AD29="f",AD29="F")),1,0)</f>
        <v/>
      </c>
      <c r="AK29" s="343">
        <f>MIN(1,SUM(AJ29,AJ91))</f>
        <v/>
      </c>
      <c r="AL29" s="343" t="n"/>
      <c r="AM29" s="6743">
        <f>AK29*AF29</f>
        <v/>
      </c>
      <c r="AN29" s="343" t="n"/>
      <c r="AO29" s="658" t="n"/>
      <c r="AP29" s="12773" t="inlineStr">
        <is>
          <t>Line 13
Generally, enter the smaller of line 2 or line 12 on line 13 and
on Schedule 1 (Form 1040), Part II, line 13. However, if the
amount on line 2 is more than the amount on line 13, you or
someone on your behalf (or your employer) contributed more
to your HSA than is allowable and you may have to pay an
additional tax on the excess contributions. Figure the excess
contributions using the following instructions. See Form
5329, Additional Taxes on Qualified Plans (Including IRAs)
and Other Tax-Favored Accounts, to figure the additional tax.
Note. If the amount on line 2 is less than the amount on
line 12 and you have prior year excess contributions, see
instructions.
See instructions for Form 8889 for more regarding line 13.</t>
        </is>
      </c>
      <c r="AQ29" s="12284" t="n"/>
      <c r="AR29" s="12284" t="n"/>
      <c r="AS29" s="12020" t="n"/>
      <c r="AT29" s="658" t="n"/>
      <c r="AU29" s="658" t="n"/>
      <c r="AV29" s="658" t="n"/>
      <c r="AW29" s="658" t="n"/>
    </row>
    <row r="30" ht="12" customHeight="1" s="7635">
      <c r="A30" s="139" t="n"/>
      <c r="B30" s="8374" t="n"/>
      <c r="C30" s="2770">
        <f>"coverage under an HDHP at any time during "&amp;TaxYear&amp;", see the instructions for the amount to"</f>
        <v/>
      </c>
      <c r="D30" s="2769" t="n"/>
      <c r="E30" s="11262" t="n"/>
      <c r="F30" s="11262" t="n"/>
      <c r="G30" s="2771" t="n"/>
      <c r="H30" s="8374" t="n"/>
      <c r="I30" s="8374" t="n"/>
      <c r="J30" s="8374" t="n"/>
      <c r="K30" s="2995" t="inlineStr">
        <is>
          <t xml:space="preserve">enter   .   .   .   .   .  </t>
        </is>
      </c>
      <c r="L30" s="2773">
        <f>B29</f>
        <v/>
      </c>
      <c r="M30" s="2774">
        <f>IF(Q30&lt;&gt;"",ROUND(Q30,0),IF(NOT(Q17),"",IF(T31,U31,IF(T32,U32,M28))))</f>
        <v/>
      </c>
      <c r="N30" s="2775" t="n"/>
      <c r="O30" s="343" t="n"/>
      <c r="P30" s="2990" t="n"/>
      <c r="Q30" s="118" t="n"/>
      <c r="R30" s="689" t="n"/>
      <c r="S30" s="11311" t="inlineStr">
        <is>
          <t>Line 6</t>
        </is>
      </c>
      <c r="T30" s="11311" t="inlineStr">
        <is>
          <t>Family?</t>
        </is>
      </c>
      <c r="U30" s="250" t="inlineStr">
        <is>
          <t>You</t>
        </is>
      </c>
      <c r="V30" s="4287" t="inlineStr">
        <is>
          <t>Spouse</t>
        </is>
      </c>
      <c r="W30" s="689" t="n"/>
      <c r="X30" s="4278" t="inlineStr">
        <is>
          <t>September</t>
        </is>
      </c>
      <c r="Y30" s="344" t="n"/>
      <c r="Z30" s="4279">
        <f>Z29</f>
        <v/>
      </c>
      <c r="AA30" s="344" t="n"/>
      <c r="AB30" s="4279">
        <f>AB29</f>
        <v/>
      </c>
      <c r="AC30" s="344" t="n"/>
      <c r="AD30" s="4279">
        <f>AD29</f>
        <v/>
      </c>
      <c r="AE30" s="344" t="n"/>
      <c r="AF30" s="4232">
        <f>IF(OR(Z30="Y",Z30="y",AB30="N",AB30="n"),0,IF(OR(AD30="S",AD30="s"),$U$25,$V$25))</f>
        <v/>
      </c>
      <c r="AG30" s="346" t="n"/>
      <c r="AH30" s="344" t="n"/>
      <c r="AI30" s="343">
        <f>IF(AD30="S",1,0)</f>
        <v/>
      </c>
      <c r="AJ30" s="343">
        <f>IF(AND(OR(AB30="y",AB30="Y"),OR(AD30="f",AD30="F")),1,0)</f>
        <v/>
      </c>
      <c r="AK30" s="343">
        <f>MIN(1,SUM(AJ30,AJ92))</f>
        <v/>
      </c>
      <c r="AL30" s="343" t="n"/>
      <c r="AM30" s="6743">
        <f>AK30*AF30</f>
        <v/>
      </c>
      <c r="AN30" s="343" t="n"/>
      <c r="AP30" s="12774" t="n"/>
      <c r="AQ30" s="194" t="n"/>
      <c r="AR30" s="194" t="n"/>
      <c r="AS30" s="11952" t="n"/>
    </row>
    <row r="31" ht="12" customHeight="1" s="7635">
      <c r="A31" s="139" t="n"/>
      <c r="B31" s="8374" t="n">
        <v>7</v>
      </c>
      <c r="C31" s="2769">
        <f>"If you were age 55 or older at the end of "&amp;TaxYear&amp;", married, and you or your spouse had family coverage"</f>
        <v/>
      </c>
      <c r="D31" s="2770" t="n"/>
      <c r="E31" s="11262" t="n"/>
      <c r="F31" s="11262" t="n"/>
      <c r="G31" s="2771" t="n"/>
      <c r="H31" s="2771" t="n"/>
      <c r="I31" s="2771" t="n"/>
      <c r="J31" s="2771" t="n"/>
      <c r="K31" s="8374" t="n"/>
      <c r="L31" s="4273" t="n"/>
      <c r="M31" s="2799" t="n"/>
      <c r="N31" s="2783" t="n"/>
      <c r="O31" s="689" t="n"/>
      <c r="P31" s="3256" t="n"/>
      <c r="Q31" s="2785" t="n"/>
      <c r="R31" s="343" t="n"/>
      <c r="S31" s="688" t="inlineStr">
        <is>
          <t>Rule 1</t>
        </is>
      </c>
      <c r="T31" s="688">
        <f>AND($Q$7,$V$28,$AK$34=12)</f>
        <v/>
      </c>
      <c r="U31" s="4288">
        <f>IF(T31,ROUND(M28*$Z$40/100,0),"---")</f>
        <v/>
      </c>
      <c r="V31" s="4289">
        <f>V91</f>
        <v/>
      </c>
      <c r="W31" s="689" t="n"/>
      <c r="X31" s="4278" t="inlineStr">
        <is>
          <t>October</t>
        </is>
      </c>
      <c r="Y31" s="344" t="n"/>
      <c r="Z31" s="4279">
        <f>Z30</f>
        <v/>
      </c>
      <c r="AA31" s="344" t="n"/>
      <c r="AB31" s="4279">
        <f>AB30</f>
        <v/>
      </c>
      <c r="AC31" s="344" t="n"/>
      <c r="AD31" s="4279">
        <f>AD30</f>
        <v/>
      </c>
      <c r="AE31" s="344" t="n"/>
      <c r="AF31" s="4232">
        <f>IF(OR(Z31="Y",Z31="y",AB31="N",AB31="n"),0,IF(OR(AD31="S",AD31="s"),$U$25,$V$25))</f>
        <v/>
      </c>
      <c r="AG31" s="346" t="n"/>
      <c r="AH31" s="344" t="n"/>
      <c r="AI31" s="343">
        <f>IF(AD31="S",1,0)</f>
        <v/>
      </c>
      <c r="AJ31" s="343">
        <f>IF(AND(OR(AB31="y",AB31="Y"),OR(AD31="f",AD31="F")),1,0)</f>
        <v/>
      </c>
      <c r="AK31" s="343">
        <f>MIN(1,SUM(AJ31,AJ93))</f>
        <v/>
      </c>
      <c r="AL31" s="343" t="n"/>
      <c r="AM31" s="6743">
        <f>AK31*AF31</f>
        <v/>
      </c>
      <c r="AN31" s="343" t="n"/>
      <c r="AP31" s="12774" t="n"/>
      <c r="AQ31" s="194" t="n"/>
      <c r="AR31" s="194" t="n"/>
      <c r="AS31" s="11952" t="n"/>
    </row>
    <row r="32" ht="12" customFormat="1" customHeight="1" s="214">
      <c r="A32" s="139" t="n"/>
      <c r="B32" s="8374" t="n"/>
      <c r="C32" s="2769">
        <f>"under an HDHP at any time during "&amp;TaxYear&amp;", enter your additional contribution amount. See instructions"</f>
        <v/>
      </c>
      <c r="D32" s="2769" t="n"/>
      <c r="E32" s="11262" t="n"/>
      <c r="F32" s="11262" t="n"/>
      <c r="G32" s="2771" t="n"/>
      <c r="H32" s="8374" t="n"/>
      <c r="I32" s="8374" t="n"/>
      <c r="J32" s="8374" t="n"/>
      <c r="K32" s="2031" t="n"/>
      <c r="L32" s="2773">
        <f>B31</f>
        <v/>
      </c>
      <c r="M32" s="2774">
        <f>IF(Q32&lt;&gt;"",ROUND(Q32,0),IF(AND(F8889_Line1,OR(AJ35,AJ97),AJ36),ROUND((S33*AJ34)/12,0),""))</f>
        <v/>
      </c>
      <c r="N32" s="2775" t="n"/>
      <c r="O32" s="343" t="n"/>
      <c r="P32" s="2990" t="n"/>
      <c r="Q32" s="118" t="n"/>
      <c r="R32" s="689" t="n"/>
      <c r="S32" s="688" t="inlineStr">
        <is>
          <t>Rule 2</t>
        </is>
      </c>
      <c r="T32" s="688">
        <f>AND($Q$7,$V$28,$AK$34&gt;0,$AK$34&lt;12)</f>
        <v/>
      </c>
      <c r="U32" s="3104">
        <f>IF(T32,ROUND(U37,0),"---")</f>
        <v/>
      </c>
      <c r="V32" s="4289">
        <f>V92</f>
        <v/>
      </c>
      <c r="W32" s="689" t="n"/>
      <c r="X32" s="4278" t="inlineStr">
        <is>
          <t>November</t>
        </is>
      </c>
      <c r="Y32" s="344" t="n"/>
      <c r="Z32" s="4279">
        <f>Z31</f>
        <v/>
      </c>
      <c r="AA32" s="344" t="n"/>
      <c r="AB32" s="4279">
        <f>AB31</f>
        <v/>
      </c>
      <c r="AC32" s="344" t="n"/>
      <c r="AD32" s="4279">
        <f>AD31</f>
        <v/>
      </c>
      <c r="AE32" s="344" t="n"/>
      <c r="AF32" s="4232">
        <f>IF(OR(Z32="Y",Z32="y",AB32="N",AB32="n"),0,IF(OR(AD32="S",AD32="s"),$U$25,$V$25))</f>
        <v/>
      </c>
      <c r="AG32" s="346" t="n"/>
      <c r="AH32" s="344" t="n"/>
      <c r="AI32" s="343">
        <f>IF(AD32="S",1,0)</f>
        <v/>
      </c>
      <c r="AJ32" s="343">
        <f>IF(AND(OR(AB32="y",AB32="Y"),OR(AD32="f",AD32="F")),1,0)</f>
        <v/>
      </c>
      <c r="AK32" s="343">
        <f>MIN(1,SUM(AJ32,AJ94))</f>
        <v/>
      </c>
      <c r="AL32" s="343" t="n"/>
      <c r="AM32" s="6743">
        <f>AK32*AF32</f>
        <v/>
      </c>
      <c r="AN32" s="343" t="n"/>
      <c r="AO32" s="658" t="n"/>
      <c r="AP32" s="12774" t="n"/>
      <c r="AQ32" s="194" t="n"/>
      <c r="AR32" s="194" t="n"/>
      <c r="AS32" s="11952" t="n"/>
      <c r="AT32" s="658" t="n"/>
      <c r="AU32" s="658" t="n"/>
      <c r="AV32" s="658" t="n"/>
      <c r="AW32" s="658" t="n"/>
    </row>
    <row r="33" ht="12" customHeight="1" s="7635" thickBot="1">
      <c r="A33" s="139" t="n"/>
      <c r="B33" s="8374" t="n">
        <v>8</v>
      </c>
      <c r="C33" s="2770" t="inlineStr">
        <is>
          <t>Add lines 6 and 7</t>
        </is>
      </c>
      <c r="D33" s="2770" t="n"/>
      <c r="E33" s="11262" t="n"/>
      <c r="F33" s="11262" t="n"/>
      <c r="G33" s="2771" t="n"/>
      <c r="H33" s="2771" t="n"/>
      <c r="I33" s="2771" t="n"/>
      <c r="J33" s="2771" t="n"/>
      <c r="K33" s="2031" t="inlineStr">
        <is>
          <t xml:space="preserve">.   .   .   .   .   .   .   .   .   .   .   .   .   .   .   .   .   .   .   .   .   .   .   .   .   .   .   .   .   .   .   . </t>
        </is>
      </c>
      <c r="L33" s="2773">
        <f>B33</f>
        <v/>
      </c>
      <c r="M33" s="2774">
        <f>SUM(M30,M32)</f>
        <v/>
      </c>
      <c r="N33" s="2775" t="n"/>
      <c r="O33" s="689" t="n"/>
      <c r="P33" s="2990" t="n"/>
      <c r="Q33" s="962" t="n"/>
      <c r="R33" s="343" t="n"/>
      <c r="S33" s="3104" t="n">
        <v>1000</v>
      </c>
      <c r="T33" s="688" t="n"/>
      <c r="U33" s="11286" t="n"/>
      <c r="V33" s="688" t="n"/>
      <c r="W33" s="689" t="n"/>
      <c r="X33" s="4278" t="inlineStr">
        <is>
          <t>December</t>
        </is>
      </c>
      <c r="Y33" s="344" t="n"/>
      <c r="Z33" s="4279">
        <f>Z32</f>
        <v/>
      </c>
      <c r="AA33" s="344" t="n"/>
      <c r="AB33" s="4279">
        <f>AB32</f>
        <v/>
      </c>
      <c r="AC33" s="344" t="n"/>
      <c r="AD33" s="4279">
        <f>AD32</f>
        <v/>
      </c>
      <c r="AE33" s="344" t="n"/>
      <c r="AF33" s="4290">
        <f>IF(OR(Z33="Y",Z33="y",AB33="N",AB33="n"),0,IF(OR(AD33="S",AD33="s"),$U$25,$V$25))</f>
        <v/>
      </c>
      <c r="AG33" s="346" t="n"/>
      <c r="AH33" s="344" t="n"/>
      <c r="AI33" s="4291">
        <f>IF(AD33="S",1,0)</f>
        <v/>
      </c>
      <c r="AJ33" s="4291">
        <f>IF(AND(OR(AB33="y",AB33="Y"),OR(AD33="f",AD33="F")),1,0)</f>
        <v/>
      </c>
      <c r="AK33" s="4291">
        <f>MIN(1,SUM(AJ33,AJ95))</f>
        <v/>
      </c>
      <c r="AL33" s="343" t="n"/>
      <c r="AM33" s="6744">
        <f>AK33*AF33</f>
        <v/>
      </c>
      <c r="AN33" s="343" t="n"/>
      <c r="AP33" s="12774" t="n"/>
      <c r="AQ33" s="194" t="n"/>
      <c r="AR33" s="194" t="n"/>
      <c r="AS33" s="11952" t="n"/>
    </row>
    <row r="34" ht="12" customHeight="1" s="7635" thickTop="1">
      <c r="A34" s="139" t="n"/>
      <c r="B34" s="8374" t="n">
        <v>9</v>
      </c>
      <c r="C34" s="2770">
        <f>"Employer contributions made to your HSAs for "&amp;TaxYear</f>
        <v/>
      </c>
      <c r="D34" s="2769" t="n"/>
      <c r="E34" s="11262" t="n"/>
      <c r="F34" s="11262" t="n"/>
      <c r="G34" s="12573" t="n"/>
      <c r="H34" s="8374" t="n"/>
      <c r="I34" s="8374" t="inlineStr">
        <is>
          <t xml:space="preserve">.   .   .   .   .   .   .   .   .   .   . </t>
        </is>
      </c>
      <c r="J34" s="2773">
        <f>B34</f>
        <v/>
      </c>
      <c r="K34" s="2816">
        <f>IF(Q34&lt;&gt;"",ROUND(Q34,0),IF(OR(Emp_Contr_HSA_You="",Emp_Contr_HSA_You=0),"",Emp_Contr_HSA_You))</f>
        <v/>
      </c>
      <c r="L34" s="4292" t="n"/>
      <c r="M34" s="3159">
        <f>IF(File_Marr_Joint&lt;&gt;"",G32,IF(File_Marr_Sep&lt;&gt;"",G33,IF(OR(File_Single&lt;&gt;"",File_Head&lt;&gt;"",File_Qual_Widow&lt;&gt;""),G34,"---")))</f>
        <v/>
      </c>
      <c r="N34" s="2775" t="n"/>
      <c r="O34" s="11259" t="inlineStr">
        <is>
          <t>(W-2, Box 12W)</t>
        </is>
      </c>
      <c r="Q34" s="118" t="n"/>
      <c r="R34" s="343" t="n"/>
      <c r="S34" s="688" t="inlineStr">
        <is>
          <t>Step 1</t>
        </is>
      </c>
      <c r="T34" s="3104" t="n"/>
      <c r="U34" s="4293">
        <f>IF($AJ$35,SUM(ROUND(AM34/AJ34,0),-M27),"")</f>
        <v/>
      </c>
      <c r="V34" s="4294">
        <f>V94</f>
        <v/>
      </c>
      <c r="W34" s="689" t="n"/>
      <c r="X34" s="11292" t="inlineStr">
        <is>
          <t>Total for all months</t>
        </is>
      </c>
      <c r="AF34" s="4232">
        <f>SUM(AF22:AF33)</f>
        <v/>
      </c>
      <c r="AG34" s="346" t="n"/>
      <c r="AH34" s="344" t="n"/>
      <c r="AI34" s="343">
        <f>SUM(AI22:AI33)</f>
        <v/>
      </c>
      <c r="AJ34" s="343">
        <f>SUM(AJ22:AJ33)</f>
        <v/>
      </c>
      <c r="AK34" s="343">
        <f>SUM(AK22:AK33)</f>
        <v/>
      </c>
      <c r="AL34" s="343" t="n"/>
      <c r="AM34" s="4232">
        <f>SUM(AM22:AM33)</f>
        <v/>
      </c>
      <c r="AN34" s="343" t="n"/>
      <c r="AP34" s="12774" t="n"/>
      <c r="AQ34" s="194" t="n"/>
      <c r="AR34" s="194" t="n"/>
      <c r="AS34" s="11952" t="n"/>
    </row>
    <row r="35" ht="12.75" customHeight="1" s="7635" thickBot="1">
      <c r="A35" s="139" t="n"/>
      <c r="B35" s="8374" t="n">
        <v>10</v>
      </c>
      <c r="C35" s="2770" t="inlineStr">
        <is>
          <t>Qualified HSA funding distributions</t>
        </is>
      </c>
      <c r="D35" s="2769" t="n"/>
      <c r="E35" s="11262" t="n"/>
      <c r="F35" s="11262" t="n"/>
      <c r="G35" s="12573" t="n"/>
      <c r="H35" s="8374" t="n"/>
      <c r="I35" s="8374" t="inlineStr">
        <is>
          <t xml:space="preserve">.   .   .   .   .   .   .   .   .   .   .   .   .   .   .   . </t>
        </is>
      </c>
      <c r="J35" s="4295">
        <f>B35</f>
        <v/>
      </c>
      <c r="K35" s="1226" t="n"/>
      <c r="L35" s="4292" t="n"/>
      <c r="M35" s="3159">
        <f>IF(File_Marr_Joint&lt;&gt;"",G33,IF(File_Marr_Sep&lt;&gt;"",G34,IF(OR(File_Single&lt;&gt;"",File_Head&lt;&gt;"",File_Qual_Widow&lt;&gt;""),G35,"---")))</f>
        <v/>
      </c>
      <c r="N35" s="2775" t="n"/>
      <c r="O35" s="343" t="n"/>
      <c r="P35" s="2990" t="n"/>
      <c r="Q35" s="962" t="n"/>
      <c r="R35" s="689" t="n"/>
      <c r="S35" s="688" t="inlineStr">
        <is>
          <t>Step 2</t>
        </is>
      </c>
      <c r="T35" s="688" t="n"/>
      <c r="U35" s="4293">
        <f>IF($AJ$35,U34*Z40/100,"")</f>
        <v/>
      </c>
      <c r="V35" s="4294">
        <f>V95</f>
        <v/>
      </c>
      <c r="W35" s="689" t="n"/>
      <c r="X35" s="341" t="n"/>
      <c r="Y35" s="11602" t="n"/>
      <c r="Z35" s="11602" t="n"/>
      <c r="AA35" s="11602" t="n"/>
      <c r="AB35" s="11602" t="n"/>
      <c r="AC35" s="11602" t="n"/>
      <c r="AD35" s="11602" t="n"/>
      <c r="AE35" s="4296" t="inlineStr">
        <is>
          <t>Limitation. Divide the total by 12.</t>
        </is>
      </c>
      <c r="AF35" s="4232">
        <f>ROUND(AF34/12,0)</f>
        <v/>
      </c>
      <c r="AG35" s="346" t="n"/>
      <c r="AH35" s="344" t="n"/>
      <c r="AI35" s="343">
        <f>IF(AI34=12,TRUE,FALSE)</f>
        <v/>
      </c>
      <c r="AJ35" s="343">
        <f>IF(AJ34&gt;0,TRUE,FALSE)</f>
        <v/>
      </c>
      <c r="AK35" s="344" t="n"/>
      <c r="AL35" s="344" t="n"/>
      <c r="AM35" s="344" t="n"/>
      <c r="AN35" s="344" t="n"/>
      <c r="AP35" s="12774" t="n"/>
      <c r="AQ35" s="194" t="n"/>
      <c r="AR35" s="194" t="n"/>
      <c r="AS35" s="11952" t="n"/>
    </row>
    <row r="36" ht="12" customHeight="1" s="7635" thickBot="1">
      <c r="A36" s="139" t="n"/>
      <c r="B36" s="8374" t="n">
        <v>11</v>
      </c>
      <c r="C36" s="2770" t="inlineStr">
        <is>
          <t>Add lines 9 and 10</t>
        </is>
      </c>
      <c r="D36" s="2770" t="n"/>
      <c r="E36" s="11262" t="n"/>
      <c r="F36" s="11262" t="n"/>
      <c r="G36" s="2771" t="n"/>
      <c r="H36" s="2771" t="n"/>
      <c r="I36" s="2771" t="n"/>
      <c r="J36" s="2771" t="n"/>
      <c r="K36" s="2031" t="inlineStr">
        <is>
          <t xml:space="preserve">.    .   .   .   .   .   .   .   .   .   .   .   .   .   .   .   .   .   .   .   .   .   .   .   .   .   .   .   .   . </t>
        </is>
      </c>
      <c r="L36" s="3742">
        <f>B36</f>
        <v/>
      </c>
      <c r="M36" s="2774">
        <f>SUM(K34,K35)</f>
        <v/>
      </c>
      <c r="N36" s="2775" t="n"/>
      <c r="O36" s="11327" t="inlineStr">
        <is>
          <t>See instructions at right     &gt;&gt;&gt;</t>
        </is>
      </c>
      <c r="Q36" s="962" t="n"/>
      <c r="R36" s="343" t="n"/>
      <c r="S36" s="688" t="inlineStr">
        <is>
          <t>Step 3</t>
        </is>
      </c>
      <c r="T36" s="688" t="n"/>
      <c r="U36" s="4293">
        <f>IF($AJ$35,SUM(U34,-V35),"")</f>
        <v/>
      </c>
      <c r="V36" s="4294">
        <f>V96</f>
        <v/>
      </c>
      <c r="W36" s="689" t="n"/>
      <c r="X36" s="12775">
        <f>IF(YourAge="?","Enter your birthdate on sheet '1040'.","")</f>
        <v/>
      </c>
      <c r="Y36" s="8848" t="n"/>
      <c r="Z36" s="8848" t="n"/>
      <c r="AA36" s="8848" t="n"/>
      <c r="AB36" s="8848" t="n"/>
      <c r="AC36" s="8848" t="n"/>
      <c r="AD36" s="8848" t="n"/>
      <c r="AE36" s="8848" t="n"/>
      <c r="AF36" s="8848" t="n"/>
      <c r="AG36" s="2627" t="n"/>
      <c r="AH36" s="4297" t="n"/>
      <c r="AI36" s="343">
        <f>IF(AND(YourAge&gt;=P22,OR(AND(File_Marr_Joint&lt;&gt;"",AI35),File_Marr_Joint="")),TRUE,FALSE)</f>
        <v/>
      </c>
      <c r="AJ36" s="343">
        <f>IF(AND(YourAge&gt;=P22,File_Marr_Joint&lt;&gt;""),TRUE,FALSE)</f>
        <v/>
      </c>
      <c r="AK36" s="344" t="n"/>
      <c r="AL36" s="344" t="n"/>
      <c r="AM36" s="344" t="n"/>
      <c r="AN36" s="344" t="n"/>
      <c r="AP36" s="12774" t="n"/>
      <c r="AQ36" s="194" t="n"/>
      <c r="AR36" s="194" t="n"/>
      <c r="AS36" s="11952" t="n"/>
    </row>
    <row r="37" ht="12" customHeight="1" s="7635" thickBot="1">
      <c r="A37" s="139" t="n"/>
      <c r="B37" s="8374" t="n">
        <v>12</v>
      </c>
      <c r="C37" s="2770" t="inlineStr">
        <is>
          <t>Subtract line 11 from line 8. If zero or less, enter -0-</t>
        </is>
      </c>
      <c r="D37" s="2770" t="n"/>
      <c r="E37" s="11262" t="n"/>
      <c r="F37" s="11262" t="n"/>
      <c r="G37" s="2771" t="n"/>
      <c r="H37" s="2771" t="n"/>
      <c r="I37" s="2771" t="n"/>
      <c r="J37" s="2771" t="n"/>
      <c r="K37" s="2031" t="inlineStr">
        <is>
          <t xml:space="preserve">.   .   .   .   .   .   .   .   .   .   .   .   .   .   .   .   .   .   .   . </t>
        </is>
      </c>
      <c r="L37" s="2773">
        <f>B37</f>
        <v/>
      </c>
      <c r="M37" s="2774">
        <f>MAX(0,SUM(M33,-M36))</f>
        <v/>
      </c>
      <c r="N37" s="2775" t="n"/>
      <c r="Q37" s="962" t="n"/>
      <c r="R37" s="343" t="n"/>
      <c r="S37" s="688" t="inlineStr">
        <is>
          <t>Step 4</t>
        </is>
      </c>
      <c r="T37" s="688" t="n"/>
      <c r="U37" s="4293">
        <f>U36</f>
        <v/>
      </c>
      <c r="V37" s="4294">
        <f>V97</f>
        <v/>
      </c>
      <c r="W37" s="689" t="n"/>
      <c r="X37" s="689" t="n"/>
      <c r="Y37" s="344" t="n"/>
      <c r="Z37" s="689" t="n"/>
      <c r="AA37" s="344" t="n"/>
      <c r="AB37" s="689" t="n"/>
      <c r="AC37" s="344" t="n"/>
      <c r="AD37" s="689" t="n"/>
      <c r="AE37" s="344" t="n"/>
      <c r="AF37" s="4232" t="n"/>
      <c r="AG37" s="344" t="n"/>
      <c r="AH37" s="344" t="n"/>
      <c r="AI37" s="344" t="n"/>
      <c r="AJ37" s="344" t="n"/>
      <c r="AK37" s="344" t="n"/>
      <c r="AL37" s="344" t="n"/>
      <c r="AM37" s="344" t="n"/>
      <c r="AN37" s="344" t="n"/>
      <c r="AP37" s="12774" t="n"/>
      <c r="AQ37" s="194" t="n"/>
      <c r="AR37" s="194" t="n"/>
      <c r="AS37" s="11952" t="n"/>
    </row>
    <row r="38" ht="12.75" customHeight="1" s="7635" thickBot="1">
      <c r="A38" s="139" t="n"/>
      <c r="B38" s="3741" t="n">
        <v>13</v>
      </c>
      <c r="C38" s="4298" t="inlineStr">
        <is>
          <t>HSA deduction. (see instructions)</t>
        </is>
      </c>
      <c r="D38" s="4299" t="n"/>
      <c r="E38" s="4300" t="n"/>
      <c r="F38" s="4300" t="n"/>
      <c r="G38" s="4301" t="n"/>
      <c r="H38" s="4301" t="n"/>
      <c r="I38" s="4301" t="n"/>
      <c r="J38" s="4301" t="n"/>
      <c r="K38" s="4302" t="inlineStr">
        <is>
          <t xml:space="preserve">.   .   .   .   .   .   .   .   .   .   .   .   .   .   .   .   .   .   .   .   .   .   .   .   .   .   . </t>
        </is>
      </c>
      <c r="L38" s="4303">
        <f>B38</f>
        <v/>
      </c>
      <c r="M38" s="3067">
        <f>IF(Q38&lt;&gt;"",ROUND(Q38,0),IF(F8889_Line1,MIN(M20,M37),""))</f>
        <v/>
      </c>
      <c r="N38" s="2775" t="n"/>
      <c r="Q38" s="118" t="n"/>
      <c r="R38" s="689" t="n"/>
      <c r="S38" s="314" t="n"/>
      <c r="T38" s="314" t="n"/>
      <c r="U38" s="314" t="n"/>
      <c r="V38" s="314" t="n"/>
      <c r="W38" s="689" t="n"/>
      <c r="X38" s="4304" t="n"/>
      <c r="Y38" s="339" t="n"/>
      <c r="Z38" s="11301" t="inlineStr">
        <is>
          <t>Allocation</t>
        </is>
      </c>
      <c r="AA38" s="2506" t="n"/>
      <c r="AB38" s="2506" t="n"/>
      <c r="AC38" s="4305" t="n"/>
      <c r="AD38" s="339" t="n"/>
      <c r="AE38" s="4306" t="n"/>
      <c r="AF38" s="339" t="n"/>
      <c r="AG38" s="340" t="n"/>
      <c r="AH38" s="344" t="n"/>
      <c r="AI38" s="344" t="n"/>
      <c r="AJ38" s="344" t="n"/>
      <c r="AK38" s="344" t="n"/>
      <c r="AL38" s="344" t="n"/>
      <c r="AM38" s="344" t="n"/>
      <c r="AN38" s="344" t="n"/>
      <c r="AP38" s="12774" t="n"/>
      <c r="AQ38" s="194" t="n"/>
      <c r="AR38" s="194" t="n"/>
      <c r="AS38" s="11952" t="n"/>
    </row>
    <row r="39" ht="12" customFormat="1" customHeight="1" s="214">
      <c r="A39" s="139" t="n"/>
      <c r="B39" s="4307" t="inlineStr">
        <is>
          <t>Part II</t>
        </is>
      </c>
      <c r="C39" s="11258" t="inlineStr">
        <is>
          <t xml:space="preserve"> HSA Distributions. If you are filing jointly and both you and your spouse each have separate HSAs, complete
a separate Part II for each spouse.</t>
        </is>
      </c>
      <c r="N39" s="2762" t="n"/>
      <c r="O39" s="4308" t="n"/>
      <c r="P39" s="2763" t="n"/>
      <c r="Q39" s="4309" t="n"/>
      <c r="R39" s="689" t="n"/>
      <c r="S39" s="688" t="n"/>
      <c r="T39" s="688" t="n"/>
      <c r="U39" s="688" t="n"/>
      <c r="V39" s="688" t="n"/>
      <c r="W39" s="689" t="n"/>
      <c r="X39" s="2846" t="n"/>
      <c r="Y39" s="344" t="n"/>
      <c r="Z39" s="689" t="inlineStr">
        <is>
          <t>%</t>
        </is>
      </c>
      <c r="AA39" s="344" t="n"/>
      <c r="AB39" s="689" t="inlineStr">
        <is>
          <t>%</t>
        </is>
      </c>
      <c r="AC39" s="344" t="n"/>
      <c r="AD39" s="689" t="n"/>
      <c r="AE39" s="344" t="n"/>
      <c r="AF39" s="4232" t="n"/>
      <c r="AG39" s="346" t="n"/>
      <c r="AH39" s="344" t="n"/>
      <c r="AI39" s="344" t="n"/>
      <c r="AJ39" s="344" t="n"/>
      <c r="AK39" s="344" t="n"/>
      <c r="AL39" s="344" t="n"/>
      <c r="AM39" s="344" t="n"/>
      <c r="AN39" s="344" t="n"/>
      <c r="AO39" s="658" t="n"/>
      <c r="AP39" s="12774" t="n"/>
      <c r="AQ39" s="194" t="n"/>
      <c r="AR39" s="194" t="n"/>
      <c r="AS39" s="11952" t="n"/>
      <c r="AT39" s="658" t="n"/>
      <c r="AU39" s="658" t="n"/>
      <c r="AV39" s="658" t="n"/>
      <c r="AW39" s="658" t="n"/>
    </row>
    <row r="40" ht="11.25" customHeight="1" s="7635">
      <c r="A40" s="139" t="n"/>
      <c r="B40" s="4310" t="n"/>
      <c r="N40" s="2762" t="n"/>
      <c r="O40" s="4308" t="n"/>
      <c r="P40" s="2763" t="n"/>
      <c r="Q40" s="4309" t="n"/>
      <c r="R40" s="689" t="n"/>
      <c r="S40" s="688" t="n"/>
      <c r="T40" s="688" t="n"/>
      <c r="U40" s="688" t="n"/>
      <c r="V40" s="688" t="n"/>
      <c r="W40" s="4311" t="n"/>
      <c r="X40" s="4312" t="inlineStr">
        <is>
          <t>You</t>
        </is>
      </c>
      <c r="Y40" s="344" t="n"/>
      <c r="Z40" s="12776" t="n">
        <v>50</v>
      </c>
      <c r="AA40" s="344" t="n"/>
      <c r="AB40" s="12777">
        <f>100-Z40</f>
        <v/>
      </c>
      <c r="AC40" s="344" t="n"/>
      <c r="AD40" s="4315" t="inlineStr">
        <is>
          <t>Spouse</t>
        </is>
      </c>
      <c r="AE40" s="344" t="n"/>
      <c r="AF40" s="4232" t="n"/>
      <c r="AG40" s="346" t="n"/>
      <c r="AH40" s="344" t="n"/>
      <c r="AI40" s="344" t="n"/>
      <c r="AJ40" s="344" t="n"/>
      <c r="AK40" s="344" t="n"/>
      <c r="AL40" s="344" t="n"/>
      <c r="AM40" s="344" t="n"/>
      <c r="AN40" s="344" t="n"/>
      <c r="AP40" s="12774" t="n"/>
      <c r="AQ40" s="194" t="n"/>
      <c r="AR40" s="194" t="n"/>
      <c r="AS40" s="11952" t="n"/>
    </row>
    <row r="41" ht="13.5" customHeight="1" s="7635" thickBot="1">
      <c r="A41" s="139" t="n"/>
      <c r="B41" s="4316" t="n"/>
      <c r="C41" s="7637" t="n"/>
      <c r="D41" s="7637" t="n"/>
      <c r="E41" s="7637" t="n"/>
      <c r="F41" s="7637" t="n"/>
      <c r="G41" s="7637" t="n"/>
      <c r="H41" s="7637" t="n"/>
      <c r="I41" s="7637" t="n"/>
      <c r="J41" s="7637" t="n"/>
      <c r="K41" s="7637" t="n"/>
      <c r="L41" s="7637" t="n"/>
      <c r="M41" s="7637" t="n"/>
      <c r="N41" s="2762" t="n"/>
      <c r="O41" s="4308" t="n"/>
      <c r="P41" s="4317" t="n"/>
      <c r="Q41" s="2013" t="n"/>
      <c r="R41" s="689" t="n"/>
      <c r="S41" s="688" t="n"/>
      <c r="T41" s="688" t="n"/>
      <c r="U41" s="688" t="n"/>
      <c r="V41" s="688" t="n"/>
      <c r="W41" s="4311" t="n"/>
      <c r="X41" s="4318" t="n"/>
      <c r="Y41" s="498" t="n"/>
      <c r="Z41" s="4319" t="n"/>
      <c r="AA41" s="498" t="n"/>
      <c r="AB41" s="4319" t="n"/>
      <c r="AC41" s="498" t="n"/>
      <c r="AD41" s="4320" t="n"/>
      <c r="AE41" s="498" t="n"/>
      <c r="AF41" s="4321" t="n"/>
      <c r="AG41" s="499" t="n"/>
      <c r="AH41" s="344" t="n"/>
      <c r="AI41" s="344" t="n"/>
      <c r="AJ41" s="344" t="n"/>
      <c r="AK41" s="344" t="n"/>
      <c r="AL41" s="344" t="n"/>
      <c r="AM41" s="344" t="n"/>
      <c r="AN41" s="344" t="n"/>
      <c r="AP41" s="12774" t="n"/>
      <c r="AQ41" s="194" t="n"/>
      <c r="AR41" s="194" t="n"/>
      <c r="AS41" s="11952" t="n"/>
    </row>
    <row r="42">
      <c r="A42" s="139" t="n"/>
      <c r="B42" s="8374" t="inlineStr">
        <is>
          <t>14a</t>
        </is>
      </c>
      <c r="C42" s="2770">
        <f>"Total distributions you received in "&amp;TaxYear&amp;" from all HSAs (see instructions)"</f>
        <v/>
      </c>
      <c r="D42" s="2770" t="n"/>
      <c r="E42" s="11262" t="n"/>
      <c r="F42" s="11262" t="n"/>
      <c r="G42" s="2771" t="n"/>
      <c r="H42" s="2771" t="n"/>
      <c r="I42" s="2771" t="n"/>
      <c r="J42" s="2771" t="n"/>
      <c r="K42" s="2031" t="inlineStr">
        <is>
          <t xml:space="preserve"> .   .   .   .   .   .   .   .   .   .   .   . </t>
        </is>
      </c>
      <c r="L42" s="3039">
        <f>B42</f>
        <v/>
      </c>
      <c r="M42" s="335" t="n"/>
      <c r="N42" s="2775" t="n"/>
      <c r="O42" s="4308" t="n"/>
      <c r="P42" s="2990" t="n"/>
      <c r="Q42" s="962" t="n"/>
      <c r="R42" s="689" t="n"/>
      <c r="S42" s="688" t="n"/>
      <c r="T42" s="688" t="n"/>
      <c r="U42" s="688" t="n"/>
      <c r="V42" s="688" t="n"/>
      <c r="W42" s="689" t="n"/>
      <c r="X42" s="4305" t="n"/>
      <c r="Y42" s="339" t="n"/>
      <c r="Z42" s="4322" t="n"/>
      <c r="AA42" s="339" t="n"/>
      <c r="AB42" s="4322" t="n"/>
      <c r="AC42" s="339" t="n"/>
      <c r="AD42" s="4305" t="n"/>
      <c r="AE42" s="339" t="n"/>
      <c r="AF42" s="4306" t="n"/>
      <c r="AG42" s="339" t="n"/>
      <c r="AH42" s="344" t="n"/>
      <c r="AI42" s="344" t="n"/>
      <c r="AJ42" s="344" t="n"/>
      <c r="AK42" s="344" t="n"/>
      <c r="AL42" s="344" t="n"/>
      <c r="AM42" s="344" t="n"/>
      <c r="AN42" s="344" t="n"/>
      <c r="AP42" s="12774" t="n"/>
      <c r="AQ42" s="194" t="n"/>
      <c r="AR42" s="194" t="n"/>
      <c r="AS42" s="11952" t="n"/>
    </row>
    <row r="43" ht="12" customHeight="1" s="7635">
      <c r="A43" s="139" t="n"/>
      <c r="B43" s="8374" t="inlineStr">
        <is>
          <t>b</t>
        </is>
      </c>
      <c r="C43" s="2769" t="inlineStr">
        <is>
          <t>Distributions included on line 14a that you rolled over to another HSA. Also include any excess</t>
        </is>
      </c>
      <c r="D43" s="2770" t="n"/>
      <c r="E43" s="11262" t="n"/>
      <c r="F43" s="11262" t="n"/>
      <c r="G43" s="2771" t="n"/>
      <c r="H43" s="2771" t="n"/>
      <c r="I43" s="2771" t="n"/>
      <c r="J43" s="2771" t="n"/>
      <c r="K43" s="8374" t="n"/>
      <c r="L43" s="3215" t="n"/>
      <c r="M43" s="2799" t="n"/>
      <c r="N43" s="2783" t="n"/>
      <c r="O43" s="689" t="n"/>
      <c r="P43" s="3256" t="n"/>
      <c r="Q43" s="2785" t="n"/>
      <c r="R43" s="689" t="n"/>
      <c r="S43" s="688" t="n"/>
      <c r="T43" s="688" t="n"/>
      <c r="U43" s="688" t="n"/>
      <c r="V43" s="688" t="n"/>
      <c r="W43" s="1318" t="n"/>
      <c r="X43" s="512" t="n"/>
      <c r="Y43" s="512" t="n"/>
      <c r="Z43" s="1318" t="n"/>
      <c r="AA43" s="512" t="n"/>
      <c r="AB43" s="1318" t="n"/>
      <c r="AC43" s="512" t="n"/>
      <c r="AD43" s="1318" t="n"/>
      <c r="AE43" s="512" t="n"/>
      <c r="AF43" s="4323" t="n"/>
      <c r="AG43" s="512" t="n"/>
      <c r="AH43" s="512" t="n"/>
      <c r="AI43" s="512" t="n"/>
      <c r="AJ43" s="512" t="n"/>
      <c r="AK43" s="512" t="n"/>
      <c r="AL43" s="512" t="n"/>
      <c r="AM43" s="512" t="n"/>
      <c r="AN43" s="512" t="n"/>
      <c r="AP43" s="12774" t="n"/>
      <c r="AQ43" s="194" t="n"/>
      <c r="AR43" s="194" t="n"/>
      <c r="AS43" s="11952" t="n"/>
    </row>
    <row r="44" ht="12.75" customHeight="1" s="7635" thickBot="1">
      <c r="A44" s="139" t="n"/>
      <c r="B44" s="8374" t="n"/>
      <c r="C44" s="2769" t="inlineStr">
        <is>
          <t>contributions (and the earnings on those excess contributions) included on line 14a that were</t>
        </is>
      </c>
      <c r="D44" s="2769" t="n"/>
      <c r="E44" s="11262" t="n"/>
      <c r="F44" s="11262" t="n"/>
      <c r="G44" s="2771" t="n"/>
      <c r="H44" s="2771" t="n"/>
      <c r="I44" s="2771" t="n"/>
      <c r="J44" s="2771" t="n"/>
      <c r="K44" s="2771" t="n"/>
      <c r="L44" s="2802" t="n"/>
      <c r="M44" s="2791" t="n"/>
      <c r="N44" s="2775" t="n"/>
      <c r="O44" s="343" t="n"/>
      <c r="P44" s="2990" t="n"/>
      <c r="Q44" s="2785" t="n"/>
      <c r="R44" s="689" t="n"/>
      <c r="S44" s="688" t="n"/>
      <c r="T44" s="688" t="n"/>
      <c r="U44" s="688" t="n"/>
      <c r="V44" s="688" t="n"/>
      <c r="W44" s="1318" t="n"/>
      <c r="X44" s="512" t="n"/>
      <c r="Y44" s="512" t="n"/>
      <c r="Z44" s="1318" t="n"/>
      <c r="AA44" s="512" t="n"/>
      <c r="AB44" s="1318" t="n"/>
      <c r="AC44" s="512" t="n"/>
      <c r="AD44" s="1318" t="n"/>
      <c r="AE44" s="512" t="n"/>
      <c r="AF44" s="4323" t="n"/>
      <c r="AG44" s="512" t="n"/>
      <c r="AH44" s="512" t="n"/>
      <c r="AI44" s="512" t="n"/>
      <c r="AJ44" s="512" t="n"/>
      <c r="AK44" s="512" t="n"/>
      <c r="AL44" s="512" t="n"/>
      <c r="AM44" s="512" t="n"/>
      <c r="AN44" s="512" t="n"/>
      <c r="AP44" s="12288" t="n"/>
      <c r="AQ44" s="11795" t="n"/>
      <c r="AR44" s="11795" t="n"/>
      <c r="AS44" s="12289" t="n"/>
    </row>
    <row r="45" ht="12" customFormat="1" customHeight="1" s="214" thickBot="1">
      <c r="A45" s="139" t="n"/>
      <c r="B45" s="8374" t="n"/>
      <c r="C45" s="2769" t="inlineStr">
        <is>
          <t>withdrawn by the due date of your return (see instructions)</t>
        </is>
      </c>
      <c r="D45" s="2769" t="n"/>
      <c r="E45" s="11262" t="n"/>
      <c r="F45" s="11262" t="n"/>
      <c r="G45" s="2771" t="n"/>
      <c r="H45" s="8374" t="n"/>
      <c r="I45" s="8374" t="n"/>
      <c r="J45" s="8374" t="n"/>
      <c r="K45" s="2031" t="inlineStr">
        <is>
          <t xml:space="preserve"> .   .   .   .   .   .   .   .   .   .   .   .   .   .   .   . </t>
        </is>
      </c>
      <c r="L45" s="4324" t="inlineStr">
        <is>
          <t>14b</t>
        </is>
      </c>
      <c r="M45" s="335" t="n"/>
      <c r="N45" s="2775" t="n"/>
      <c r="O45" s="343" t="n"/>
      <c r="P45" s="2990" t="n"/>
      <c r="Q45" s="2785" t="n"/>
      <c r="R45" s="343" t="n"/>
      <c r="S45" s="4325" t="n"/>
      <c r="T45" s="4325" t="n"/>
      <c r="U45" s="4325" t="n"/>
      <c r="V45" s="4325" t="n"/>
      <c r="W45" s="1318" t="n"/>
      <c r="X45" s="512" t="n"/>
      <c r="Y45" s="512" t="n"/>
      <c r="Z45" s="1318" t="n"/>
      <c r="AA45" s="512" t="n"/>
      <c r="AB45" s="1318" t="n"/>
      <c r="AC45" s="512" t="n"/>
      <c r="AD45" s="1318" t="n"/>
      <c r="AE45" s="512" t="n"/>
      <c r="AF45" s="4323" t="n"/>
      <c r="AG45" s="512" t="n"/>
      <c r="AH45" s="512" t="n"/>
      <c r="AI45" s="512" t="n"/>
      <c r="AJ45" s="512" t="n"/>
      <c r="AK45" s="512" t="n"/>
      <c r="AL45" s="512" t="n"/>
      <c r="AM45" s="512" t="n"/>
      <c r="AN45" s="512" t="n"/>
      <c r="AO45" s="658" t="n"/>
      <c r="AP45" s="658" t="n"/>
      <c r="AQ45" s="658" t="n"/>
      <c r="AR45" s="658" t="n"/>
      <c r="AS45" s="658" t="n"/>
      <c r="AT45" s="658" t="n"/>
      <c r="AU45" s="658" t="n"/>
      <c r="AV45" s="658" t="n"/>
      <c r="AW45" s="658" t="n"/>
    </row>
    <row r="46" ht="12" customHeight="1" s="7635">
      <c r="A46" s="139" t="n"/>
      <c r="B46" s="8374" t="inlineStr">
        <is>
          <t>c</t>
        </is>
      </c>
      <c r="C46" s="2769" t="inlineStr">
        <is>
          <t>Subtract line 14b from line 14a</t>
        </is>
      </c>
      <c r="D46" s="2770" t="n"/>
      <c r="E46" s="11262" t="n"/>
      <c r="F46" s="11262" t="n"/>
      <c r="G46" s="2771" t="n"/>
      <c r="H46" s="2771" t="n"/>
      <c r="I46" s="2771" t="n"/>
      <c r="J46" s="2771" t="n"/>
      <c r="K46" s="2031" t="inlineStr">
        <is>
          <t xml:space="preserve"> .   .   .   .   .   .   .   .   .   .   .   .   .   .   .   .   .   .   .   .   .   .   .   .   .   . </t>
        </is>
      </c>
      <c r="L46" s="3039" t="inlineStr">
        <is>
          <t>14c</t>
        </is>
      </c>
      <c r="M46" s="2774">
        <f>SUM(M42,-M45)</f>
        <v/>
      </c>
      <c r="N46" s="2775" t="n"/>
      <c r="O46" s="689" t="n"/>
      <c r="P46" s="2990" t="n"/>
      <c r="Q46" s="2785" t="n"/>
      <c r="R46" s="343" t="n"/>
      <c r="S46" s="4325" t="n"/>
      <c r="T46" s="4325" t="n"/>
      <c r="U46" s="4325" t="n"/>
      <c r="V46" s="4325" t="n"/>
      <c r="W46" s="1318" t="n"/>
      <c r="X46" s="512" t="n"/>
      <c r="Y46" s="512" t="n"/>
      <c r="Z46" s="1318" t="n"/>
      <c r="AA46" s="512" t="n"/>
      <c r="AB46" s="1318" t="n"/>
      <c r="AC46" s="512" t="n"/>
      <c r="AD46" s="1318" t="n"/>
      <c r="AE46" s="512" t="n"/>
      <c r="AF46" s="4323" t="n"/>
      <c r="AG46" s="512" t="n"/>
      <c r="AH46" s="512" t="n"/>
      <c r="AI46" s="512" t="n"/>
      <c r="AJ46" s="512" t="n"/>
      <c r="AK46" s="512" t="n"/>
      <c r="AL46" s="512" t="n"/>
      <c r="AM46" s="512" t="n"/>
      <c r="AN46" s="512" t="n"/>
    </row>
    <row r="47" ht="12" customHeight="1" s="7635" thickBot="1">
      <c r="A47" s="139" t="n"/>
      <c r="B47" s="8374" t="n">
        <v>15</v>
      </c>
      <c r="C47" s="2769" t="inlineStr">
        <is>
          <t>Qualified medical expenses paid using HSA distributions (see instructions)</t>
        </is>
      </c>
      <c r="D47" s="2770" t="n"/>
      <c r="E47" s="11262" t="n"/>
      <c r="F47" s="11262" t="n"/>
      <c r="G47" s="2771" t="n"/>
      <c r="H47" s="2771" t="n"/>
      <c r="I47" s="2771" t="n"/>
      <c r="J47" s="2771" t="n"/>
      <c r="K47" s="2031" t="inlineStr">
        <is>
          <t xml:space="preserve"> .   .   .   .   .   .   .   .   .   . </t>
        </is>
      </c>
      <c r="L47" s="4295">
        <f>B47</f>
        <v/>
      </c>
      <c r="M47" s="1227" t="n"/>
      <c r="N47" s="2775" t="n"/>
      <c r="O47" s="689" t="n"/>
      <c r="P47" s="2990" t="n"/>
      <c r="Q47" s="962" t="n"/>
      <c r="R47" s="689" t="n"/>
      <c r="S47" s="314" t="n"/>
      <c r="T47" s="314" t="n"/>
      <c r="U47" s="314" t="n"/>
      <c r="V47" s="314" t="n"/>
      <c r="W47" s="1318" t="n"/>
      <c r="X47" s="512" t="n"/>
      <c r="Y47" s="512" t="n"/>
      <c r="Z47" s="1318" t="n"/>
      <c r="AA47" s="512" t="n"/>
      <c r="AB47" s="1318" t="n"/>
      <c r="AC47" s="512" t="n"/>
      <c r="AD47" s="1318" t="n"/>
      <c r="AE47" s="512" t="n"/>
      <c r="AF47" s="4323" t="n"/>
      <c r="AG47" s="512" t="n"/>
      <c r="AH47" s="512" t="n"/>
      <c r="AI47" s="512" t="n"/>
      <c r="AJ47" s="512" t="n"/>
      <c r="AK47" s="512" t="n"/>
      <c r="AL47" s="512" t="n"/>
      <c r="AM47" s="512" t="n"/>
      <c r="AN47" s="512" t="n"/>
    </row>
    <row r="48" ht="12.75" customHeight="1" s="7635">
      <c r="A48" s="139" t="n"/>
      <c r="B48" s="8374" t="n">
        <v>16</v>
      </c>
      <c r="C48" s="2769" t="inlineStr">
        <is>
          <t>Taxable HSA distributions.  Subtract line 15 from line 14c. If zero or less, enter -0-. Also, include</t>
        </is>
      </c>
      <c r="D48" s="2770" t="n"/>
      <c r="E48" s="11262" t="n"/>
      <c r="F48" s="11262" t="n"/>
      <c r="G48" s="2771" t="n"/>
      <c r="H48" s="2771" t="n"/>
      <c r="I48" s="2771" t="n"/>
      <c r="J48" s="2771" t="n"/>
      <c r="K48" s="8374" t="n"/>
      <c r="L48" s="2802" t="n"/>
      <c r="M48" s="2791" t="n"/>
      <c r="N48" s="2783" t="n"/>
      <c r="O48" s="689" t="n"/>
      <c r="P48" s="3256" t="n"/>
      <c r="Q48" s="2785" t="n"/>
      <c r="R48" s="689" t="n"/>
      <c r="S48" s="314" t="n"/>
      <c r="T48" s="314" t="n"/>
      <c r="U48" s="314" t="n"/>
      <c r="V48" s="314" t="n"/>
      <c r="W48" s="1318" t="n"/>
      <c r="X48" s="512" t="n"/>
      <c r="Y48" s="512" t="n"/>
      <c r="Z48" s="1318" t="n"/>
      <c r="AA48" s="512" t="n"/>
      <c r="AB48" s="1318" t="n"/>
      <c r="AC48" s="512" t="n"/>
      <c r="AD48" s="1318" t="n"/>
      <c r="AE48" s="512" t="n"/>
      <c r="AF48" s="4323" t="n"/>
      <c r="AG48" s="512" t="n"/>
      <c r="AH48" s="512" t="n"/>
      <c r="AI48" s="512" t="n"/>
      <c r="AJ48" s="512" t="n"/>
      <c r="AK48" s="512" t="n"/>
      <c r="AL48" s="512" t="n"/>
      <c r="AM48" s="512" t="n"/>
      <c r="AN48" s="512" t="n"/>
    </row>
    <row r="49" ht="13.5" customHeight="1" s="7635">
      <c r="A49" s="139" t="n"/>
      <c r="B49" s="8374" t="n"/>
      <c r="C49" s="2769" t="inlineStr">
        <is>
          <t>this amount in the total on Schedule 1 (Form 1040), Part I, line 8f</t>
        </is>
      </c>
      <c r="D49" s="2769" t="n"/>
      <c r="E49" s="11262" t="n"/>
      <c r="F49" s="11262" t="n"/>
      <c r="G49" s="2771" t="n"/>
      <c r="H49" s="8374" t="n"/>
      <c r="I49" s="8374" t="n"/>
      <c r="J49" s="8374" t="n"/>
      <c r="K49" s="2031" t="inlineStr">
        <is>
          <t xml:space="preserve">.   .   .   .   .   .   .   .   .   .   .   . </t>
        </is>
      </c>
      <c r="L49" s="2773">
        <f>B48</f>
        <v/>
      </c>
      <c r="M49" s="2774">
        <f>IF(Q49&lt;&gt;"",ROUND(Q49,0),IF(SUM(M46,-M47)&lt;0,0,SUM(M46,-M47)))</f>
        <v/>
      </c>
      <c r="N49" s="2775" t="n"/>
      <c r="O49" s="343" t="n"/>
      <c r="P49" s="2990" t="n"/>
      <c r="Q49" s="118" t="n"/>
      <c r="R49" s="689" t="n"/>
      <c r="S49" s="688" t="n"/>
      <c r="T49" s="688" t="n"/>
      <c r="U49" s="688" t="n"/>
      <c r="V49" s="688" t="n"/>
      <c r="W49" s="1318" t="n"/>
      <c r="X49" s="512" t="n"/>
      <c r="Y49" s="512" t="n"/>
      <c r="Z49" s="1318" t="n"/>
      <c r="AA49" s="512" t="n"/>
      <c r="AB49" s="1318" t="n"/>
      <c r="AC49" s="512" t="n"/>
      <c r="AD49" s="1318" t="n"/>
      <c r="AE49" s="512" t="n"/>
      <c r="AF49" s="4323" t="n"/>
      <c r="AG49" s="512" t="n"/>
      <c r="AH49" s="512" t="n"/>
      <c r="AI49" s="512" t="n"/>
      <c r="AJ49" s="512" t="n"/>
      <c r="AK49" s="512" t="n"/>
      <c r="AL49" s="512" t="n"/>
      <c r="AM49" s="512" t="n"/>
      <c r="AN49" s="512" t="n"/>
    </row>
    <row r="50" ht="12" customHeight="1" s="7635" thickBot="1">
      <c r="A50" s="139" t="n"/>
      <c r="B50" s="8374" t="inlineStr">
        <is>
          <t>17a</t>
        </is>
      </c>
      <c r="C50" s="2769" t="inlineStr">
        <is>
          <t>If any of the distributions included on line 16 meet any of the</t>
        </is>
      </c>
      <c r="D50" s="2770" t="n"/>
      <c r="E50" s="11262" t="n"/>
      <c r="F50" s="11262" t="n"/>
      <c r="G50" s="2771" t="n"/>
      <c r="H50" s="2826" t="n"/>
      <c r="I50" s="2771" t="n"/>
      <c r="J50" s="2771" t="n"/>
      <c r="K50" s="3632">
        <f>"Exceptions to the Additional "&amp;TEXT($M$52,"0%")</f>
        <v/>
      </c>
      <c r="L50" s="4292" t="n"/>
      <c r="M50" s="2799" t="n"/>
      <c r="N50" s="2783" t="n"/>
      <c r="O50" s="689" t="n"/>
      <c r="P50" s="3256" t="n"/>
      <c r="Q50" s="4326">
        <f>IF($J$51&lt;&gt;"","Enter distributions","")</f>
        <v/>
      </c>
      <c r="R50" s="343" t="n"/>
      <c r="S50" s="688" t="n"/>
      <c r="T50" s="688" t="n"/>
      <c r="U50" s="688" t="n"/>
      <c r="V50" s="688" t="n"/>
      <c r="W50" s="1318" t="n"/>
      <c r="X50" s="512" t="n"/>
      <c r="Y50" s="512" t="n"/>
      <c r="Z50" s="1318" t="n"/>
      <c r="AA50" s="512" t="n"/>
      <c r="AB50" s="1318" t="n"/>
      <c r="AC50" s="512" t="n"/>
      <c r="AD50" s="1318" t="n"/>
      <c r="AE50" s="512" t="n"/>
      <c r="AF50" s="4323" t="n"/>
      <c r="AG50" s="512" t="n"/>
      <c r="AH50" s="512" t="n"/>
      <c r="AI50" s="512" t="n"/>
      <c r="AJ50" s="512" t="n"/>
      <c r="AK50" s="512" t="n"/>
      <c r="AL50" s="512" t="n"/>
      <c r="AM50" s="512" t="n"/>
      <c r="AN50" s="512" t="n"/>
    </row>
    <row r="51" ht="15.75" customHeight="1" s="7635" thickBot="1">
      <c r="A51" s="139" t="n"/>
      <c r="B51" s="8374" t="n"/>
      <c r="C51" s="4327" t="inlineStr">
        <is>
          <t>Tax (see instructions), check here</t>
        </is>
      </c>
      <c r="D51" s="3214" t="n"/>
      <c r="E51" s="11262" t="n"/>
      <c r="F51" s="11262" t="n"/>
      <c r="G51" s="2771" t="n"/>
      <c r="H51" s="2771" t="n"/>
      <c r="I51" s="2031" t="inlineStr">
        <is>
          <t xml:space="preserve">.   .   .   .   .   .   .   .   .   .   .   .   .   .   .   .   .  </t>
        </is>
      </c>
      <c r="J51" s="282" t="n"/>
      <c r="K51" s="2771" t="n"/>
      <c r="L51" s="4292" t="n"/>
      <c r="M51" s="2791" t="n"/>
      <c r="N51" s="2775" t="n"/>
      <c r="O51" s="343" t="n"/>
      <c r="P51" s="2990" t="n"/>
      <c r="Q51" s="4326">
        <f>IF($J$51&lt;&gt;"","subject to","")</f>
        <v/>
      </c>
      <c r="R51" s="689" t="n"/>
      <c r="S51" s="688" t="n"/>
      <c r="T51" s="688" t="n"/>
      <c r="U51" s="688" t="n"/>
      <c r="V51" s="688" t="n"/>
      <c r="W51" s="1318" t="n"/>
      <c r="X51" s="512" t="n"/>
      <c r="Y51" s="512" t="n"/>
      <c r="Z51" s="1318" t="n"/>
      <c r="AA51" s="512" t="n"/>
      <c r="AB51" s="1318" t="n"/>
      <c r="AC51" s="512" t="n"/>
      <c r="AD51" s="1318" t="n"/>
      <c r="AE51" s="512" t="n"/>
      <c r="AF51" s="4323" t="n"/>
      <c r="AG51" s="512" t="n"/>
      <c r="AH51" s="512" t="n"/>
      <c r="AI51" s="512" t="n"/>
      <c r="AJ51" s="512" t="n"/>
      <c r="AK51" s="512" t="n"/>
      <c r="AL51" s="512" t="n"/>
      <c r="AM51" s="512" t="n"/>
      <c r="AN51" s="512" t="n"/>
    </row>
    <row r="52" ht="14.25" customFormat="1" customHeight="1" s="214">
      <c r="A52" s="139" t="n"/>
      <c r="B52" s="8374" t="inlineStr">
        <is>
          <t>b</t>
        </is>
      </c>
      <c r="C52" s="2826">
        <f>"Additional "&amp;TEXT(M52,"0%")&amp;" tax"</f>
        <v/>
      </c>
      <c r="D52" s="2770" t="n"/>
      <c r="E52" s="11262" t="n"/>
      <c r="F52" s="2769" t="n"/>
      <c r="G52" s="2771" t="n"/>
      <c r="H52" s="2771" t="n"/>
      <c r="I52" s="2771" t="n"/>
      <c r="J52" s="2771" t="n"/>
      <c r="K52" s="3065">
        <f>"(see instructions). Enter "&amp;TEXT($M$52,"0%")&amp;" ("&amp;TEXT($M$52,".00")&amp;") of the distributions included on line 16     "</f>
        <v/>
      </c>
      <c r="L52" s="4292" t="n"/>
      <c r="M52" s="3159" t="n">
        <v>0.2</v>
      </c>
      <c r="N52" s="2783" t="n"/>
      <c r="O52" s="689" t="n"/>
      <c r="P52" s="3256" t="n"/>
      <c r="Q52" s="4326">
        <f>IF($J$51&lt;&gt;"","additional tax here:","")</f>
        <v/>
      </c>
      <c r="R52" s="343" t="n"/>
      <c r="S52" s="688" t="n"/>
      <c r="T52" s="688" t="n"/>
      <c r="U52" s="688" t="n"/>
      <c r="V52" s="688" t="n"/>
      <c r="W52" s="1318" t="n"/>
      <c r="X52" s="512" t="n"/>
      <c r="Y52" s="512" t="n"/>
      <c r="Z52" s="1318" t="n"/>
      <c r="AA52" s="512" t="n"/>
      <c r="AB52" s="1318" t="n"/>
      <c r="AC52" s="512" t="n"/>
      <c r="AD52" s="1318" t="n"/>
      <c r="AE52" s="512" t="n"/>
      <c r="AF52" s="4323" t="n"/>
      <c r="AG52" s="512" t="n"/>
      <c r="AH52" s="512" t="n"/>
      <c r="AI52" s="512" t="n"/>
      <c r="AJ52" s="512" t="n"/>
      <c r="AK52" s="512" t="n"/>
      <c r="AL52" s="512" t="n"/>
      <c r="AM52" s="512" t="n"/>
      <c r="AN52" s="512" t="n"/>
      <c r="AO52" s="658" t="n"/>
      <c r="AP52" s="658" t="n"/>
      <c r="AQ52" s="658" t="n"/>
      <c r="AR52" s="658" t="n"/>
      <c r="AS52" s="658" t="n"/>
      <c r="AT52" s="658" t="n"/>
      <c r="AU52" s="658" t="n"/>
      <c r="AV52" s="658" t="n"/>
      <c r="AW52" s="658" t="n"/>
    </row>
    <row r="53" ht="12" customHeight="1" s="7635">
      <c r="A53" s="139" t="n"/>
      <c r="B53" s="8374" t="n"/>
      <c r="C53" s="2769">
        <f>"that are subject to the additional "&amp;TEXT($M$52,"0%")&amp;" tax. Also include this amount in the total on Schedule 2"</f>
        <v/>
      </c>
      <c r="D53" s="2769" t="n"/>
      <c r="E53" s="11262" t="n"/>
      <c r="F53" s="11262" t="n"/>
      <c r="G53" s="2771" t="n"/>
      <c r="H53" s="2771" t="n"/>
      <c r="I53" s="2771" t="n"/>
      <c r="J53" s="2771" t="n"/>
      <c r="K53" s="2771" t="n"/>
      <c r="L53" s="4292" t="n"/>
      <c r="M53" s="2791" t="n"/>
      <c r="N53" s="2775" t="n"/>
      <c r="O53" s="343" t="n"/>
      <c r="P53" s="2990" t="n"/>
      <c r="Q53" s="4328" t="n"/>
      <c r="R53" s="689" t="n"/>
      <c r="S53" s="688" t="n"/>
      <c r="T53" s="688" t="n"/>
      <c r="U53" s="688" t="n"/>
      <c r="V53" s="688" t="n"/>
      <c r="W53" s="1318" t="n"/>
      <c r="X53" s="512" t="n"/>
      <c r="Y53" s="512" t="n"/>
      <c r="Z53" s="1318" t="n"/>
      <c r="AA53" s="512" t="n"/>
      <c r="AB53" s="1318" t="n"/>
      <c r="AC53" s="512" t="n"/>
      <c r="AD53" s="1318" t="n"/>
      <c r="AE53" s="512" t="n"/>
      <c r="AF53" s="4323" t="n"/>
      <c r="AG53" s="512" t="n"/>
      <c r="AH53" s="512" t="n"/>
      <c r="AI53" s="512" t="n"/>
      <c r="AJ53" s="512" t="n"/>
      <c r="AK53" s="512" t="n"/>
      <c r="AL53" s="512" t="n"/>
      <c r="AM53" s="512" t="n"/>
      <c r="AN53" s="512" t="n"/>
    </row>
    <row r="54" ht="12" customFormat="1" customHeight="1" s="214" thickBot="1">
      <c r="A54" s="139" t="n"/>
      <c r="B54" s="3741" t="n"/>
      <c r="C54" s="4361" t="inlineStr">
        <is>
          <t>(Form 1040), Part II, line 17c</t>
        </is>
      </c>
      <c r="D54" s="4299" t="n"/>
      <c r="E54" s="4300" t="n"/>
      <c r="F54" s="4300" t="n"/>
      <c r="G54" s="4301" t="n"/>
      <c r="H54" s="4301" t="n"/>
      <c r="I54" s="4301" t="n"/>
      <c r="J54" s="4301" t="n"/>
      <c r="K54" s="4302" t="n"/>
      <c r="L54" s="3742" t="inlineStr">
        <is>
          <t>17b</t>
        </is>
      </c>
      <c r="M54" s="3067">
        <f>IF(Q54&lt;&gt;"",ROUND(Q54,0),IF($J$51&lt;&gt;"",ROUND($M$52*$Q$53,0),ROUND($M$52*M49,0)))</f>
        <v/>
      </c>
      <c r="N54" s="2775" t="n"/>
      <c r="O54" s="689" t="n"/>
      <c r="P54" s="3225" t="n"/>
      <c r="Q54" s="118" t="n"/>
      <c r="R54" s="343" t="n"/>
      <c r="S54" s="688" t="n"/>
      <c r="T54" s="688" t="n"/>
      <c r="U54" s="688" t="n"/>
      <c r="V54" s="688" t="n"/>
      <c r="W54" s="1318" t="n"/>
      <c r="X54" s="512" t="n"/>
      <c r="Y54" s="512" t="n"/>
      <c r="Z54" s="1318" t="n"/>
      <c r="AA54" s="512" t="n"/>
      <c r="AB54" s="1318" t="n"/>
      <c r="AC54" s="512" t="n"/>
      <c r="AD54" s="1318" t="n"/>
      <c r="AE54" s="512" t="n"/>
      <c r="AF54" s="4323" t="n"/>
      <c r="AG54" s="512" t="n"/>
      <c r="AH54" s="512" t="n"/>
      <c r="AI54" s="512" t="n"/>
      <c r="AJ54" s="512" t="n"/>
      <c r="AK54" s="512" t="n"/>
      <c r="AL54" s="512" t="n"/>
      <c r="AM54" s="512" t="n"/>
      <c r="AN54" s="512" t="n"/>
      <c r="AO54" s="658" t="n"/>
      <c r="AP54" s="658" t="n"/>
      <c r="AQ54" s="658" t="n"/>
      <c r="AR54" s="658" t="n"/>
      <c r="AS54" s="658" t="n"/>
      <c r="AT54" s="658" t="n"/>
      <c r="AU54" s="658" t="n"/>
      <c r="AV54" s="658" t="n"/>
      <c r="AW54" s="658" t="n"/>
    </row>
    <row r="55" ht="16.5" customHeight="1" s="7635" thickBot="1">
      <c r="A55" s="139" t="n"/>
      <c r="B55" s="4360" t="inlineStr">
        <is>
          <t>Part III</t>
        </is>
      </c>
      <c r="C55" s="11331" t="inlineStr">
        <is>
          <t xml:space="preserve"> Income and Additional Tax for Failure To Maintain HDHP Coverage. See the instructions before</t>
        </is>
      </c>
      <c r="N55" s="2762" t="n"/>
      <c r="O55" s="344" t="n"/>
      <c r="P55" s="2763" t="n"/>
      <c r="Q55" s="2013" t="n"/>
      <c r="R55" s="689" t="n"/>
      <c r="S55" s="688" t="n"/>
      <c r="T55" s="688" t="n"/>
      <c r="U55" s="688" t="n"/>
      <c r="V55" s="688" t="n"/>
      <c r="W55" s="1318" t="n"/>
      <c r="X55" s="512" t="n"/>
      <c r="Y55" s="512" t="n"/>
      <c r="Z55" s="1318" t="n"/>
      <c r="AA55" s="512" t="n"/>
      <c r="AB55" s="1318" t="n"/>
      <c r="AC55" s="512" t="n"/>
      <c r="AD55" s="1318" t="n"/>
      <c r="AE55" s="512" t="n"/>
      <c r="AF55" s="4323" t="n"/>
      <c r="AG55" s="512" t="n"/>
      <c r="AH55" s="512" t="n"/>
      <c r="AI55" s="512" t="n"/>
      <c r="AJ55" s="512" t="n"/>
      <c r="AK55" s="512" t="n"/>
      <c r="AL55" s="512" t="n"/>
      <c r="AM55" s="512" t="n"/>
      <c r="AN55" s="512" t="n"/>
    </row>
    <row r="56" ht="13.5" customFormat="1" customHeight="1" s="80" thickBot="1">
      <c r="A56" s="139" t="n"/>
      <c r="B56" s="4261" t="n"/>
      <c r="C56" s="11305" t="inlineStr">
        <is>
          <t xml:space="preserve"> completing this part. If you are filing jointly and both you and your spouse each have separate HSAs,</t>
        </is>
      </c>
      <c r="N56" s="2762" t="n"/>
      <c r="O56" s="344" t="n"/>
      <c r="P56" s="4317" t="n"/>
      <c r="Q56" s="2013" t="n"/>
      <c r="R56" s="344" t="n"/>
      <c r="S56" s="688" t="n"/>
      <c r="T56" s="688" t="n"/>
      <c r="U56" s="688" t="n"/>
      <c r="V56" s="688" t="n"/>
      <c r="W56" s="1318" t="n"/>
      <c r="X56" s="512" t="n"/>
      <c r="Y56" s="512" t="n"/>
      <c r="Z56" s="1318" t="n"/>
      <c r="AA56" s="512" t="n"/>
      <c r="AB56" s="1318" t="n"/>
      <c r="AC56" s="512" t="n"/>
      <c r="AD56" s="1318" t="n"/>
      <c r="AE56" s="512" t="n"/>
      <c r="AF56" s="4323" t="n"/>
      <c r="AG56" s="512" t="n"/>
      <c r="AH56" s="512" t="n"/>
      <c r="AI56" s="512" t="n"/>
      <c r="AJ56" s="512" t="n"/>
      <c r="AK56" s="6607" t="n"/>
      <c r="AL56" s="512" t="n"/>
      <c r="AM56" s="512" t="n"/>
      <c r="AN56" s="512" t="n"/>
      <c r="AO56" s="658" t="n"/>
      <c r="AP56" s="658" t="n"/>
      <c r="AQ56" s="658" t="n"/>
      <c r="AR56" s="658" t="n"/>
      <c r="AS56" s="658" t="n"/>
      <c r="AT56" s="658" t="n"/>
      <c r="AU56" s="658" t="n"/>
      <c r="AV56" s="658" t="n"/>
      <c r="AW56" s="658" t="n"/>
    </row>
    <row r="57" customFormat="1" s="80">
      <c r="A57" s="139" t="n"/>
      <c r="B57" s="4316" t="n"/>
      <c r="C57" s="11307" t="inlineStr">
        <is>
          <t xml:space="preserve"> complete a separate Part III for each spouse.</t>
        </is>
      </c>
      <c r="D57" s="7637" t="n"/>
      <c r="E57" s="7637" t="n"/>
      <c r="F57" s="7637" t="n"/>
      <c r="G57" s="7637" t="n"/>
      <c r="H57" s="7637" t="n"/>
      <c r="I57" s="7637" t="n"/>
      <c r="J57" s="7637" t="n"/>
      <c r="K57" s="7637" t="n"/>
      <c r="L57" s="7637" t="n"/>
      <c r="M57" s="7637" t="n"/>
      <c r="N57" s="2762" t="n"/>
      <c r="O57" s="344" t="n"/>
      <c r="P57" s="4317" t="n"/>
      <c r="Q57" s="2013" t="n"/>
      <c r="R57" s="344" t="n"/>
      <c r="S57" s="688" t="n"/>
      <c r="T57" s="688" t="n"/>
      <c r="U57" s="688" t="n"/>
      <c r="V57" s="688" t="n"/>
      <c r="W57" s="1318" t="n"/>
      <c r="X57" s="512" t="n"/>
      <c r="Y57" s="512" t="n"/>
      <c r="Z57" s="1318" t="n"/>
      <c r="AA57" s="512" t="n"/>
      <c r="AB57" s="1318" t="n"/>
      <c r="AC57" s="512" t="n"/>
      <c r="AD57" s="1318" t="n"/>
      <c r="AE57" s="512" t="n"/>
      <c r="AF57" s="4323" t="n"/>
      <c r="AG57" s="512" t="n"/>
      <c r="AH57" s="512" t="n"/>
      <c r="AI57" s="512" t="n"/>
      <c r="AJ57" s="512" t="n"/>
      <c r="AK57" s="512" t="n"/>
      <c r="AL57" s="512" t="n"/>
      <c r="AM57" s="512" t="n"/>
      <c r="AN57" s="512" t="n"/>
      <c r="AO57" s="658" t="n"/>
      <c r="AP57" s="658" t="n"/>
      <c r="AQ57" s="658" t="n"/>
      <c r="AR57" s="658" t="n"/>
      <c r="AS57" s="658" t="n"/>
      <c r="AT57" s="658" t="n"/>
      <c r="AU57" s="658" t="n"/>
      <c r="AV57" s="658" t="n"/>
      <c r="AW57" s="658" t="n"/>
    </row>
    <row r="58" ht="12.75" customHeight="1" s="7635">
      <c r="A58" s="139" t="n"/>
      <c r="B58" s="8374" t="n">
        <v>18</v>
      </c>
      <c r="C58" s="2769" t="inlineStr">
        <is>
          <t>Last month rule</t>
        </is>
      </c>
      <c r="D58" s="2770" t="n"/>
      <c r="E58" s="11262" t="n"/>
      <c r="F58" s="11262" t="n"/>
      <c r="G58" s="2771" t="n"/>
      <c r="H58" s="2771" t="n"/>
      <c r="I58" s="2771" t="n"/>
      <c r="J58" s="2771" t="n"/>
      <c r="K58" s="2031" t="inlineStr">
        <is>
          <t xml:space="preserve">.   .   .   .   .   .   .   .   .   .   .   .   .   .   .   .   .   .   .   .   .   .   .   .   .   .   .   .   .  </t>
        </is>
      </c>
      <c r="L58" s="2773">
        <f>B58</f>
        <v/>
      </c>
      <c r="M58" s="335" t="n"/>
      <c r="N58" s="2783" t="n"/>
      <c r="O58" s="689" t="n"/>
      <c r="P58" s="3256" t="n"/>
      <c r="Q58" s="962" t="n"/>
      <c r="R58" s="344" t="n"/>
      <c r="S58" s="688" t="n"/>
      <c r="T58" s="688" t="n"/>
      <c r="U58" s="688" t="n"/>
      <c r="V58" s="688" t="n"/>
      <c r="W58" s="1318" t="n"/>
      <c r="X58" s="512" t="n"/>
      <c r="Y58" s="512" t="n"/>
      <c r="Z58" s="1318" t="n"/>
      <c r="AA58" s="512" t="n"/>
      <c r="AB58" s="1318" t="n"/>
      <c r="AC58" s="512" t="n"/>
      <c r="AD58" s="1318" t="n"/>
      <c r="AE58" s="512" t="n"/>
      <c r="AF58" s="4323" t="n"/>
      <c r="AG58" s="512" t="n"/>
      <c r="AH58" s="512" t="n"/>
      <c r="AI58" s="512" t="n"/>
      <c r="AJ58" s="512" t="n"/>
      <c r="AK58" s="512" t="n"/>
      <c r="AL58" s="512" t="n"/>
      <c r="AM58" s="512" t="n"/>
      <c r="AN58" s="512" t="n"/>
    </row>
    <row r="59" ht="12" customHeight="1" s="7635">
      <c r="A59" s="139" t="n"/>
      <c r="B59" s="8374" t="n">
        <v>19</v>
      </c>
      <c r="C59" s="2769" t="inlineStr">
        <is>
          <t>Qualified HSA funding distribution</t>
        </is>
      </c>
      <c r="D59" s="2770" t="n"/>
      <c r="E59" s="11262" t="n"/>
      <c r="F59" s="11262" t="n"/>
      <c r="G59" s="2771" t="n"/>
      <c r="H59" s="2771" t="n"/>
      <c r="I59" s="2771" t="n"/>
      <c r="J59" s="2771" t="n"/>
      <c r="K59" s="2031" t="inlineStr">
        <is>
          <t xml:space="preserve">.   .   .   .   .   .   .   .   .   .   .   .   .   .   .   .   .   .   .   .   .   .   . </t>
        </is>
      </c>
      <c r="L59" s="2773">
        <f>B59</f>
        <v/>
      </c>
      <c r="M59" s="335" t="n"/>
      <c r="N59" s="2783" t="n"/>
      <c r="O59" s="689" t="n"/>
      <c r="P59" s="3256" t="n"/>
      <c r="Q59" s="962" t="n"/>
      <c r="R59" s="689" t="n"/>
      <c r="S59" s="688" t="n"/>
      <c r="T59" s="688" t="n"/>
      <c r="U59" s="688" t="n"/>
      <c r="V59" s="688" t="n"/>
      <c r="W59" s="1318" t="n"/>
      <c r="X59" s="512" t="n"/>
      <c r="Y59" s="512" t="n"/>
      <c r="Z59" s="1318" t="n"/>
      <c r="AA59" s="512" t="n"/>
      <c r="AB59" s="1318" t="n"/>
      <c r="AC59" s="512" t="n"/>
      <c r="AD59" s="1318" t="n"/>
      <c r="AE59" s="512" t="n"/>
      <c r="AF59" s="4323" t="n"/>
      <c r="AG59" s="512" t="n"/>
      <c r="AH59" s="512" t="n"/>
      <c r="AI59" s="512" t="n"/>
      <c r="AJ59" s="512" t="n"/>
      <c r="AK59" s="512" t="n"/>
      <c r="AL59" s="512" t="n"/>
      <c r="AM59" s="512" t="n"/>
      <c r="AN59" s="512" t="n"/>
    </row>
    <row r="60" ht="12" customFormat="1" customHeight="1" s="214">
      <c r="A60" s="139" t="n"/>
      <c r="B60" s="8374" t="n">
        <v>20</v>
      </c>
      <c r="C60" s="2826" t="inlineStr">
        <is>
          <t>Total income. Add lines 18 and 19. Include this amount on Schedule 1 (Form 1040), Part I, line 8f</t>
        </is>
      </c>
      <c r="D60" s="2769" t="n"/>
      <c r="E60" s="11262" t="n"/>
      <c r="F60" s="11262" t="n"/>
      <c r="G60" s="2771" t="n"/>
      <c r="H60" s="8374" t="n"/>
      <c r="I60" s="8374" t="n"/>
      <c r="J60" s="8374" t="n"/>
      <c r="K60" s="2031" t="n"/>
      <c r="L60" s="2773">
        <f>B60</f>
        <v/>
      </c>
      <c r="M60" s="2774">
        <f>IF(Q60&lt;&gt;"",ROUND(Q60,0),SUM(M58,M59))</f>
        <v/>
      </c>
      <c r="N60" s="2775" t="n"/>
      <c r="O60" s="343" t="n"/>
      <c r="P60" s="2990" t="n"/>
      <c r="Q60" s="118" t="n"/>
      <c r="R60" s="689" t="n"/>
      <c r="S60" s="314" t="n"/>
      <c r="T60" s="314" t="n"/>
      <c r="U60" s="314" t="n"/>
      <c r="V60" s="314" t="n"/>
      <c r="W60" s="1318" t="n"/>
      <c r="X60" s="512" t="n"/>
      <c r="Y60" s="512" t="n"/>
      <c r="Z60" s="1318" t="n"/>
      <c r="AA60" s="512" t="n"/>
      <c r="AB60" s="1318" t="n"/>
      <c r="AC60" s="512" t="n"/>
      <c r="AD60" s="1318" t="n"/>
      <c r="AE60" s="512" t="n"/>
      <c r="AF60" s="4323" t="n"/>
      <c r="AG60" s="512" t="n"/>
      <c r="AH60" s="512" t="n"/>
      <c r="AI60" s="512" t="n"/>
      <c r="AJ60" s="512" t="n"/>
      <c r="AK60" s="512" t="n"/>
      <c r="AL60" s="512" t="n"/>
      <c r="AM60" s="512" t="n"/>
      <c r="AN60" s="512" t="n"/>
      <c r="AO60" s="658" t="n"/>
      <c r="AP60" s="658" t="n"/>
      <c r="AQ60" s="658" t="n"/>
      <c r="AR60" s="658" t="n"/>
      <c r="AS60" s="658" t="n"/>
      <c r="AT60" s="658" t="n"/>
      <c r="AU60" s="658" t="n"/>
      <c r="AV60" s="658" t="n"/>
      <c r="AW60" s="658" t="n"/>
    </row>
    <row r="61" ht="12" customFormat="1" customHeight="1" s="214">
      <c r="A61" s="139" t="n"/>
      <c r="B61" s="8374" t="n">
        <v>21</v>
      </c>
      <c r="C61" s="2826" t="inlineStr">
        <is>
          <t>Additional tax.</t>
        </is>
      </c>
      <c r="D61" s="2770" t="n"/>
      <c r="E61" s="2769">
        <f>"Multiply line 20 by "&amp;TEXT(M61,"0%")&amp;" ("&amp;TEXT(M61,".00")&amp;"). Include this amount in the total on Schedule 2"</f>
        <v/>
      </c>
      <c r="F61" s="11262" t="n"/>
      <c r="G61" s="2771" t="n"/>
      <c r="H61" s="2771" t="n"/>
      <c r="I61" s="2771" t="n"/>
      <c r="J61" s="2771" t="n"/>
      <c r="K61" s="8374" t="n"/>
      <c r="L61" s="4273" t="n"/>
      <c r="M61" s="4330" t="n">
        <v>0.1</v>
      </c>
      <c r="N61" s="2783" t="n"/>
      <c r="O61" s="689" t="n"/>
      <c r="P61" s="3256" t="n"/>
      <c r="Q61" s="2785" t="n"/>
      <c r="R61" s="343" t="n"/>
      <c r="S61" s="688" t="n"/>
      <c r="T61" s="688" t="n"/>
      <c r="U61" s="688" t="n"/>
      <c r="V61" s="688" t="n"/>
      <c r="W61" s="689" t="n"/>
      <c r="X61" s="343" t="n"/>
      <c r="Y61" s="344" t="n"/>
      <c r="Z61" s="689" t="n"/>
      <c r="AA61" s="344" t="n"/>
      <c r="AB61" s="689" t="n"/>
      <c r="AC61" s="344" t="n"/>
      <c r="AD61" s="689" t="n"/>
      <c r="AE61" s="344" t="n"/>
      <c r="AF61" s="4232" t="n"/>
      <c r="AG61" s="344" t="n"/>
      <c r="AH61" s="344" t="n"/>
      <c r="AI61" s="343" t="n"/>
      <c r="AJ61" s="343" t="n"/>
      <c r="AK61" s="343" t="n"/>
      <c r="AL61" s="343" t="n"/>
      <c r="AM61" s="343" t="n"/>
      <c r="AN61" s="343" t="n"/>
      <c r="AO61" s="658" t="n"/>
      <c r="AP61" s="658" t="n"/>
      <c r="AQ61" s="658" t="n"/>
      <c r="AR61" s="658" t="n"/>
      <c r="AS61" s="658" t="n"/>
      <c r="AT61" s="658" t="n"/>
      <c r="AU61" s="658" t="n"/>
      <c r="AV61" s="658" t="n"/>
      <c r="AW61" s="658" t="n"/>
    </row>
    <row r="62" ht="12" customHeight="1" s="7635" thickBot="1">
      <c r="A62" s="144" t="n"/>
      <c r="B62" s="3676" t="n"/>
      <c r="C62" s="3019" t="inlineStr">
        <is>
          <t>(Form 1040), Part II, line 17d</t>
        </is>
      </c>
      <c r="D62" s="3019" t="n"/>
      <c r="E62" s="4331" t="n"/>
      <c r="F62" s="4331" t="n"/>
      <c r="G62" s="4332" t="n"/>
      <c r="H62" s="3676" t="n"/>
      <c r="I62" s="3676" t="n"/>
      <c r="J62" s="3676" t="n"/>
      <c r="K62" s="4333" t="n"/>
      <c r="L62" s="4334">
        <f>B61</f>
        <v/>
      </c>
      <c r="M62" s="4335">
        <f>IF(Q62&lt;&gt;"",ROUND(Q62,0),M60*M61)</f>
        <v/>
      </c>
      <c r="N62" s="4336" t="n"/>
      <c r="O62" s="505" t="n"/>
      <c r="P62" s="4337" t="n"/>
      <c r="Q62" s="849" t="n"/>
      <c r="R62" s="689" t="n"/>
      <c r="S62" s="688" t="n"/>
      <c r="T62" s="688" t="n"/>
      <c r="U62" s="688" t="n"/>
      <c r="V62" s="688" t="n"/>
      <c r="W62" s="7957" t="n"/>
      <c r="X62" s="343" t="n"/>
      <c r="Y62" s="344" t="n"/>
      <c r="Z62" s="689" t="n"/>
      <c r="AA62" s="344" t="n"/>
      <c r="AB62" s="689" t="n"/>
      <c r="AC62" s="344" t="n"/>
      <c r="AD62" s="689" t="n"/>
      <c r="AE62" s="344" t="n"/>
      <c r="AF62" s="4232" t="n"/>
      <c r="AG62" s="344" t="n"/>
      <c r="AH62" s="344" t="n"/>
      <c r="AI62" s="344" t="n"/>
      <c r="AJ62" s="344" t="n"/>
      <c r="AK62" s="344" t="n"/>
      <c r="AL62" s="344" t="n"/>
      <c r="AM62" s="344" t="n"/>
      <c r="AN62" s="344" t="n"/>
    </row>
    <row r="63" ht="12" customFormat="1" customHeight="1" s="214">
      <c r="A63" s="139" t="n"/>
      <c r="B63" s="2827" t="inlineStr">
        <is>
          <t>For Paperwork Reduction Act Notice, see your tax return instructions.</t>
        </is>
      </c>
      <c r="C63" s="2828" t="n"/>
      <c r="D63" s="2828" t="n"/>
      <c r="E63" s="2828" t="n"/>
      <c r="F63" s="2828" t="n"/>
      <c r="G63" s="2829" t="n"/>
      <c r="H63" s="2830" t="n"/>
      <c r="I63" s="3085" t="inlineStr">
        <is>
          <t>Cat. No. 37621P</t>
        </is>
      </c>
      <c r="J63" s="3085" t="n"/>
      <c r="K63" s="2832" t="inlineStr">
        <is>
          <t>Form 8889</t>
        </is>
      </c>
      <c r="L63" s="2832" t="n"/>
      <c r="M63" s="6697">
        <f>"  ("&amp;TaxYear&amp;") Created 3/28/25"</f>
        <v/>
      </c>
      <c r="N63" s="2834" t="n"/>
      <c r="O63" s="343" t="n"/>
      <c r="P63" s="3256" t="n"/>
      <c r="Q63" s="962" t="n"/>
      <c r="R63" s="505" t="n"/>
      <c r="S63" s="9317" t="n"/>
      <c r="T63" s="9317" t="n"/>
      <c r="U63" s="9317" t="n"/>
      <c r="V63" s="9317" t="n"/>
      <c r="W63" s="9988" t="n"/>
      <c r="X63" s="343" t="n"/>
      <c r="Y63" s="344" t="n"/>
      <c r="Z63" s="689" t="n"/>
      <c r="AA63" s="344" t="n"/>
      <c r="AB63" s="689" t="n"/>
      <c r="AC63" s="344" t="n"/>
      <c r="AD63" s="689" t="n"/>
      <c r="AE63" s="344" t="n"/>
      <c r="AF63" s="4232" t="n"/>
      <c r="AG63" s="344" t="n"/>
      <c r="AH63" s="344" t="n"/>
      <c r="AI63" s="344" t="n"/>
      <c r="AJ63" s="344" t="n"/>
      <c r="AK63" s="344" t="n"/>
      <c r="AL63" s="344" t="n"/>
      <c r="AM63" s="344" t="n"/>
      <c r="AN63" s="344" t="n"/>
      <c r="AO63" s="658" t="n"/>
      <c r="AP63" s="658" t="n"/>
      <c r="AQ63" s="658" t="n"/>
      <c r="AR63" s="658" t="n"/>
      <c r="AS63" s="658" t="n"/>
      <c r="AT63" s="658" t="n"/>
      <c r="AU63" s="658" t="n"/>
      <c r="AV63" s="658" t="n"/>
      <c r="AW63" s="658" t="n"/>
    </row>
    <row r="64" ht="15" customHeight="1" s="7635">
      <c r="A64" s="139" t="n"/>
      <c r="B64" s="88" t="n"/>
      <c r="C64" s="88" t="n"/>
      <c r="D64" s="90" t="n"/>
      <c r="E64" s="4338" t="n"/>
      <c r="F64" s="4339" t="n"/>
      <c r="G64" s="3437" t="n"/>
      <c r="H64" s="4339" t="n"/>
      <c r="I64" s="4339" t="n"/>
      <c r="J64" s="4339" t="n"/>
      <c r="K64" s="4340" t="n"/>
      <c r="L64" s="10325">
        <f>IF(AND(N64="",'Table of Contents'!A59="D"),"DRAFT","OMB No. 1545-0074")</f>
        <v/>
      </c>
      <c r="M64" s="7637" t="n"/>
      <c r="N64" s="1796" t="n"/>
      <c r="O64" s="11602" t="n"/>
      <c r="P64" s="729" t="n"/>
      <c r="Q64" s="7831" t="n"/>
      <c r="R64" s="343" t="n"/>
      <c r="S64" s="688" t="n"/>
      <c r="T64" s="688" t="n"/>
      <c r="U64" s="688" t="n"/>
      <c r="V64" s="688" t="n"/>
      <c r="W64" s="10978" t="n"/>
      <c r="X64" s="343" t="n"/>
      <c r="Y64" s="344" t="n"/>
      <c r="Z64" s="689" t="n"/>
      <c r="AA64" s="344" t="n"/>
      <c r="AB64" s="689" t="n"/>
      <c r="AC64" s="344" t="n"/>
      <c r="AD64" s="689" t="n"/>
      <c r="AE64" s="344" t="n"/>
      <c r="AF64" s="4232" t="n"/>
      <c r="AG64" s="344" t="n"/>
      <c r="AH64" s="344" t="n"/>
      <c r="AI64" s="344" t="n"/>
      <c r="AJ64" s="344" t="n"/>
      <c r="AK64" s="344" t="n"/>
      <c r="AL64" s="344" t="n"/>
      <c r="AM64" s="344" t="n"/>
      <c r="AN64" s="344" t="n"/>
    </row>
    <row r="65" ht="5.25" customFormat="1" customHeight="1" s="80">
      <c r="A65" s="139" t="n"/>
      <c r="B65" s="11255" t="inlineStr">
        <is>
          <t>Form</t>
        </is>
      </c>
      <c r="C65" s="12767" t="n">
        <v>8889</v>
      </c>
      <c r="D65" s="1066" t="n"/>
      <c r="E65" s="4338" t="n"/>
      <c r="F65" s="4339" t="n"/>
      <c r="G65" s="4339" t="n"/>
      <c r="H65" s="4339" t="n"/>
      <c r="I65" s="4339" t="n"/>
      <c r="J65" s="4339" t="n"/>
      <c r="K65" s="4340" t="n"/>
      <c r="L65" s="11314">
        <f>TaxYear</f>
        <v/>
      </c>
      <c r="M65" s="7839" t="n"/>
      <c r="N65" s="2746" t="n"/>
      <c r="O65" s="344" t="n"/>
      <c r="P65" s="11256" t="n"/>
      <c r="R65" s="11602" t="n"/>
      <c r="S65" s="314" t="n"/>
      <c r="T65" s="314" t="n"/>
      <c r="U65" s="314" t="n"/>
      <c r="V65" s="314" t="n"/>
      <c r="W65" s="9750" t="n"/>
      <c r="X65" s="344" t="n"/>
      <c r="Y65" s="344" t="n"/>
      <c r="Z65" s="689" t="n"/>
      <c r="AA65" s="344" t="n"/>
      <c r="AB65" s="689" t="n"/>
      <c r="AC65" s="344" t="n"/>
      <c r="AD65" s="689" t="n"/>
      <c r="AE65" s="344" t="n"/>
      <c r="AF65" s="4232" t="n"/>
      <c r="AG65" s="344" t="n"/>
      <c r="AH65" s="344" t="n"/>
      <c r="AI65" s="344" t="n"/>
      <c r="AJ65" s="344" t="n"/>
      <c r="AK65" s="344" t="n"/>
      <c r="AL65" s="344" t="n"/>
      <c r="AM65" s="344" t="n"/>
      <c r="AN65" s="344" t="n"/>
      <c r="AO65" s="658" t="n"/>
      <c r="AP65" s="658" t="n"/>
      <c r="AQ65" s="658" t="n"/>
      <c r="AR65" s="658" t="n"/>
      <c r="AS65" s="658" t="n"/>
      <c r="AT65" s="658" t="n"/>
      <c r="AU65" s="658" t="n"/>
      <c r="AV65" s="658" t="n"/>
      <c r="AW65" s="658" t="n"/>
    </row>
    <row r="66" ht="20.25" customHeight="1" s="7635">
      <c r="A66" s="139" t="n"/>
      <c r="D66" s="1066" t="n"/>
      <c r="E66" s="12778" t="inlineStr">
        <is>
          <t>Health Savings Accounts (HSAs)</t>
        </is>
      </c>
      <c r="K66" s="1066" t="n"/>
      <c r="L66" s="11741" t="n"/>
      <c r="N66" s="2749" t="n"/>
      <c r="O66" s="7299" t="n"/>
      <c r="P66" s="4240" t="n"/>
      <c r="Q66" s="7168" t="inlineStr">
        <is>
          <t>Manual
Override ê</t>
        </is>
      </c>
      <c r="R66" s="344" t="n"/>
      <c r="S66" s="314" t="n"/>
      <c r="T66" s="314" t="n"/>
      <c r="U66" s="314" t="n"/>
      <c r="V66" s="314" t="n"/>
      <c r="W66" s="4249" t="n"/>
      <c r="X66" s="344" t="n"/>
      <c r="Y66" s="344" t="n"/>
      <c r="Z66" s="689" t="n"/>
      <c r="AA66" s="344" t="n"/>
      <c r="AB66" s="689" t="n"/>
      <c r="AC66" s="344" t="n"/>
      <c r="AD66" s="689" t="n"/>
      <c r="AE66" s="344" t="n"/>
      <c r="AF66" s="4232" t="n"/>
      <c r="AG66" s="344" t="n"/>
      <c r="AH66" s="344" t="n"/>
      <c r="AI66" s="344" t="n"/>
      <c r="AJ66" s="344" t="n"/>
      <c r="AK66" s="344" t="n"/>
      <c r="AL66" s="344" t="n"/>
      <c r="AM66" s="344" t="n"/>
      <c r="AN66" s="344" t="n"/>
    </row>
    <row r="67" ht="15.75" customHeight="1" s="7635">
      <c r="A67" s="139" t="n"/>
      <c r="B67" s="3546" t="inlineStr">
        <is>
          <t>Department of the Treasury</t>
        </is>
      </c>
      <c r="D67" s="1066" t="n"/>
      <c r="E67" s="12086" t="inlineStr">
        <is>
          <t xml:space="preserve">  4  Attach to Form 1040 or 1040-SR or Form 1040-NR.</t>
        </is>
      </c>
      <c r="K67" s="1066" t="n"/>
      <c r="L67" s="11264" t="inlineStr">
        <is>
          <t xml:space="preserve">      Attachment</t>
        </is>
      </c>
      <c r="N67" s="2746" t="n"/>
      <c r="O67" s="7299" t="n"/>
      <c r="P67" s="11256" t="n"/>
      <c r="R67" s="7299" t="n"/>
      <c r="S67" s="4241" t="n"/>
      <c r="T67" s="4241" t="n"/>
      <c r="U67" s="4241" t="n"/>
      <c r="V67" s="4241" t="n"/>
      <c r="W67" s="4249" t="n"/>
      <c r="X67" s="514" t="n"/>
      <c r="Y67" s="344" t="n"/>
      <c r="Z67" s="689" t="n"/>
      <c r="AA67" s="344" t="n"/>
      <c r="AB67" s="689" t="n"/>
      <c r="AC67" s="344" t="n"/>
      <c r="AD67" s="689" t="n"/>
      <c r="AE67" s="344" t="n"/>
      <c r="AF67" s="4232" t="n"/>
      <c r="AG67" s="344" t="n"/>
      <c r="AH67" s="344" t="n"/>
      <c r="AI67" s="344" t="n"/>
      <c r="AJ67" s="344" t="n"/>
      <c r="AK67" s="344" t="n"/>
      <c r="AL67" s="344" t="n"/>
      <c r="AM67" s="344" t="n"/>
      <c r="AN67" s="344" t="n"/>
    </row>
    <row r="68" ht="13.5" customHeight="1" s="7635" thickBot="1">
      <c r="A68" s="139" t="n"/>
      <c r="B68" s="12768" t="inlineStr">
        <is>
          <t>Internal Revenue Service</t>
        </is>
      </c>
      <c r="C68" s="8848" t="n"/>
      <c r="D68" s="2627" t="n"/>
      <c r="E68" s="12779" t="inlineStr">
        <is>
          <t>4 Go to www.irs.gov/Form8889 for instructions and the latest information.</t>
        </is>
      </c>
      <c r="F68" s="8848" t="n"/>
      <c r="G68" s="8848" t="n"/>
      <c r="H68" s="8848" t="n"/>
      <c r="I68" s="8848" t="n"/>
      <c r="J68" s="8848" t="n"/>
      <c r="K68" s="2627" t="n"/>
      <c r="L68" s="11271" t="inlineStr">
        <is>
          <t>Sequence No. 52</t>
        </is>
      </c>
      <c r="M68" s="8848" t="n"/>
      <c r="N68" s="2749" t="n"/>
      <c r="O68" s="344" t="n"/>
      <c r="P68" s="4240" t="n"/>
      <c r="Q68" s="2013" t="n"/>
      <c r="R68" s="7299" t="n"/>
      <c r="S68" s="8000" t="n"/>
      <c r="T68" s="8000" t="n"/>
      <c r="U68" s="8000" t="n"/>
      <c r="V68" s="8000" t="n"/>
      <c r="W68" s="4249" t="n"/>
      <c r="X68" s="7299" t="n"/>
      <c r="Y68" s="344" t="n"/>
      <c r="Z68" s="689" t="n"/>
      <c r="AA68" s="344" t="n"/>
      <c r="AB68" s="689" t="n"/>
      <c r="AC68" s="344" t="n"/>
      <c r="AD68" s="689" t="n"/>
      <c r="AE68" s="344" t="n"/>
      <c r="AF68" s="4232" t="n"/>
      <c r="AG68" s="344" t="n"/>
      <c r="AH68" s="344" t="n"/>
      <c r="AI68" s="344" t="n"/>
      <c r="AJ68" s="344" t="n"/>
      <c r="AK68" s="344" t="n"/>
      <c r="AL68" s="344" t="n"/>
      <c r="AM68" s="344" t="n"/>
      <c r="AN68" s="344" t="n"/>
    </row>
    <row r="69" ht="27" customHeight="1" s="7635">
      <c r="A69" s="139" t="n"/>
      <c r="B69" s="2753" t="inlineStr">
        <is>
          <t>Name(s) shown on Form 1040, 1040-SR, or Form 1040-NR</t>
        </is>
      </c>
      <c r="C69" s="2754" t="n"/>
      <c r="D69" s="2754" t="n"/>
      <c r="E69" s="2755" t="n"/>
      <c r="F69" s="2756" t="n"/>
      <c r="G69" s="2753" t="n"/>
      <c r="H69" s="2756" t="n"/>
      <c r="I69" s="2756" t="n"/>
      <c r="J69" s="11284" t="inlineStr">
        <is>
          <t>Social security number of HSA beneficiary. If both spouses have HSAs, see instructions</t>
        </is>
      </c>
      <c r="K69" s="2506" t="n"/>
      <c r="L69" s="2506" t="n"/>
      <c r="M69" s="2506" t="n"/>
      <c r="N69" s="2746" t="n"/>
      <c r="O69" s="344" t="n"/>
      <c r="P69" s="11256" t="n"/>
      <c r="Q69" s="2013" t="n"/>
      <c r="R69" s="344" t="n"/>
      <c r="S69" s="3342" t="n"/>
      <c r="T69" s="3342" t="n"/>
      <c r="U69" s="3342" t="n"/>
      <c r="V69" s="3342" t="n"/>
      <c r="W69" s="7957" t="n"/>
      <c r="X69" s="351" t="n"/>
      <c r="Y69" s="344" t="n"/>
      <c r="Z69" s="689" t="n"/>
      <c r="AA69" s="344" t="n"/>
      <c r="AB69" s="689" t="n"/>
      <c r="AC69" s="344" t="n"/>
      <c r="AD69" s="689" t="n"/>
      <c r="AE69" s="344" t="n"/>
      <c r="AF69" s="4232" t="n"/>
      <c r="AG69" s="344" t="n"/>
      <c r="AH69" s="344" t="n"/>
      <c r="AI69" s="344" t="n"/>
      <c r="AJ69" s="344" t="n"/>
      <c r="AK69" s="344" t="n"/>
      <c r="AL69" s="344" t="n"/>
      <c r="AM69" s="344" t="n"/>
      <c r="AN69" s="344" t="n"/>
    </row>
    <row r="70" ht="15" customHeight="1" s="7635">
      <c r="A70" s="139" t="n"/>
      <c r="B70" s="10302">
        <f>IF(AND($Q$7,$O$8),NameSpouse,"")</f>
        <v/>
      </c>
      <c r="C70" s="7637" t="n"/>
      <c r="D70" s="7637" t="n"/>
      <c r="E70" s="7637" t="n"/>
      <c r="F70" s="7637" t="n"/>
      <c r="G70" s="7637" t="n"/>
      <c r="H70" s="7637" t="n"/>
      <c r="I70" s="7637" t="n"/>
      <c r="J70" s="12025">
        <f>IF(NoSSN,"",IF(AND($Q$7,$O$8&lt;&gt;""),SS_Spouse,""))</f>
        <v/>
      </c>
      <c r="K70" s="7637" t="n"/>
      <c r="L70" s="7637" t="n"/>
      <c r="M70" s="7637" t="n"/>
      <c r="N70" s="2749" t="n"/>
      <c r="O70" s="344" t="n"/>
      <c r="P70" s="4240" t="n"/>
      <c r="Q70" s="2013" t="n"/>
      <c r="R70" s="344" t="n"/>
      <c r="S70" s="3342" t="n"/>
      <c r="T70" s="3342" t="n"/>
      <c r="U70" s="3342" t="n"/>
      <c r="V70" s="3342" t="n"/>
      <c r="W70" s="7957" t="n"/>
      <c r="X70" s="351" t="n"/>
      <c r="Y70" s="344" t="n"/>
      <c r="Z70" s="689" t="n"/>
      <c r="AA70" s="344" t="n"/>
      <c r="AB70" s="689" t="n"/>
      <c r="AC70" s="344" t="n"/>
      <c r="AD70" s="689" t="n"/>
      <c r="AE70" s="344" t="n"/>
      <c r="AF70" s="4232" t="n"/>
      <c r="AG70" s="344" t="n"/>
      <c r="AH70" s="344" t="n"/>
      <c r="AI70" s="344" t="n"/>
      <c r="AJ70" s="344" t="n"/>
      <c r="AK70" s="344" t="n"/>
      <c r="AL70" s="344" t="n"/>
      <c r="AM70" s="344" t="n"/>
      <c r="AN70" s="344" t="n"/>
    </row>
    <row r="71" ht="12.75" customHeight="1" s="7635" thickBot="1">
      <c r="A71" s="139" t="n"/>
      <c r="B71" s="507" t="inlineStr">
        <is>
          <t xml:space="preserve">  Before you begin:  Complete Form 8853, Archer MSAs and Long-Term Care Insurance Contracts, if required.</t>
        </is>
      </c>
      <c r="C71" s="413" t="n"/>
      <c r="D71" s="413" t="n"/>
      <c r="E71" s="413" t="n"/>
      <c r="F71" s="413" t="n"/>
      <c r="G71" s="413" t="n"/>
      <c r="H71" s="413" t="n"/>
      <c r="I71" s="413" t="n"/>
      <c r="J71" s="4253" t="n"/>
      <c r="K71" s="4253" t="n"/>
      <c r="L71" s="413" t="n"/>
      <c r="M71" s="413" t="n"/>
      <c r="N71" s="2749" t="n"/>
      <c r="O71" s="344" t="n"/>
      <c r="P71" s="4240" t="n"/>
      <c r="Q71" s="2013" t="n"/>
      <c r="R71" s="344" t="n"/>
      <c r="S71" s="4248" t="n"/>
      <c r="T71" s="4248" t="n"/>
      <c r="U71" s="4248" t="n"/>
      <c r="V71" s="4248" t="n"/>
      <c r="W71" s="7957" t="n"/>
      <c r="X71" s="2758" t="n"/>
      <c r="Y71" s="344" t="n"/>
      <c r="Z71" s="689" t="n"/>
      <c r="AA71" s="344" t="n"/>
      <c r="AB71" s="689" t="n"/>
      <c r="AC71" s="344" t="n"/>
      <c r="AD71" s="689" t="n"/>
      <c r="AE71" s="344" t="n"/>
      <c r="AF71" s="4232" t="n"/>
      <c r="AG71" s="344" t="n"/>
      <c r="AH71" s="344" t="n"/>
      <c r="AI71" s="344" t="n"/>
      <c r="AJ71" s="344" t="n"/>
      <c r="AK71" s="344" t="n"/>
      <c r="AL71" s="344" t="n"/>
      <c r="AM71" s="344" t="n"/>
      <c r="AN71" s="344" t="n"/>
    </row>
    <row r="72" ht="15" customHeight="1" s="7635">
      <c r="A72" s="139" t="n"/>
      <c r="B72" s="4257" t="inlineStr">
        <is>
          <t xml:space="preserve">Part I </t>
        </is>
      </c>
      <c r="C72" s="11278" t="inlineStr">
        <is>
          <t xml:space="preserve"> HSA Contributions and Deduction. See the instructions before completing this part. If you are filing jointly</t>
        </is>
      </c>
      <c r="D72" s="7839" t="n"/>
      <c r="E72" s="7839" t="n"/>
      <c r="F72" s="7839" t="n"/>
      <c r="G72" s="7839" t="n"/>
      <c r="H72" s="7839" t="n"/>
      <c r="I72" s="7839" t="n"/>
      <c r="J72" s="7839" t="n"/>
      <c r="K72" s="7839" t="n"/>
      <c r="L72" s="7839" t="n"/>
      <c r="M72" s="7839" t="n"/>
      <c r="N72" s="2762" t="n"/>
      <c r="O72" s="344" t="n"/>
      <c r="P72" s="2763" t="n"/>
      <c r="Q72" s="2013" t="n"/>
      <c r="R72" s="344" t="n"/>
      <c r="S72" s="4248" t="n"/>
      <c r="T72" s="4248" t="n"/>
      <c r="U72" s="4248" t="n"/>
      <c r="V72" s="4248" t="n"/>
      <c r="W72" s="689" t="n"/>
      <c r="X72" s="12771" t="inlineStr">
        <is>
          <t>Line 3 Limitation Chart and Worksheet</t>
        </is>
      </c>
      <c r="Y72" s="12097" t="n"/>
      <c r="Z72" s="12097" t="n"/>
      <c r="AA72" s="12097" t="n"/>
      <c r="AB72" s="12097" t="n"/>
      <c r="AC72" s="12097" t="n"/>
      <c r="AD72" s="12097" t="n"/>
      <c r="AE72" s="12097" t="n"/>
      <c r="AF72" s="12097" t="n"/>
      <c r="AG72" s="12525" t="n"/>
      <c r="AH72" s="4251" t="n"/>
      <c r="AI72" s="344" t="n"/>
      <c r="AJ72" s="344" t="n"/>
      <c r="AK72" s="344" t="n"/>
      <c r="AL72" s="344" t="n"/>
      <c r="AM72" s="344" t="n"/>
      <c r="AN72" s="344" t="n"/>
    </row>
    <row r="73" ht="15" customHeight="1" s="7635">
      <c r="A73" s="139" t="n"/>
      <c r="B73" s="4259" t="n"/>
      <c r="C73" s="11273" t="inlineStr">
        <is>
          <t xml:space="preserve"> and both you and your spouse each have separate HSAs, complete a separate Part I for each spouse.</t>
        </is>
      </c>
      <c r="D73" s="7637" t="n"/>
      <c r="E73" s="7637" t="n"/>
      <c r="F73" s="7637" t="n"/>
      <c r="G73" s="7637" t="n"/>
      <c r="H73" s="7637" t="n"/>
      <c r="I73" s="7637" t="n"/>
      <c r="J73" s="7637" t="n"/>
      <c r="K73" s="7637" t="n"/>
      <c r="L73" s="7637" t="n"/>
      <c r="M73" s="7637" t="n"/>
      <c r="N73" s="2762" t="n"/>
      <c r="O73" s="344" t="n"/>
      <c r="P73" s="4341">
        <f>SUM(P75,P77)</f>
        <v/>
      </c>
      <c r="Q73" s="4271">
        <f>(P73=1)</f>
        <v/>
      </c>
      <c r="R73" s="344" t="n"/>
      <c r="S73" s="4248" t="n"/>
      <c r="T73" s="4248" t="n"/>
      <c r="U73" s="4248" t="n"/>
      <c r="V73" s="4248" t="n"/>
      <c r="W73" s="689" t="n"/>
      <c r="X73" s="4256" t="n"/>
      <c r="Y73" s="344" t="n"/>
      <c r="Z73" s="11295" t="inlineStr">
        <is>
          <t>Enrolled in Medicare? (Y/N)</t>
        </is>
      </c>
      <c r="AA73" s="344" t="n"/>
      <c r="AB73" s="11295" t="inlineStr">
        <is>
          <t>Eligible on 1st of Month? (Y/N)</t>
        </is>
      </c>
      <c r="AC73" s="344" t="n"/>
      <c r="AD73" s="11295" t="inlineStr">
        <is>
          <t>Coverage Type?  (Self/Family)</t>
        </is>
      </c>
      <c r="AE73" s="344" t="n"/>
      <c r="AF73" s="4232" t="n"/>
      <c r="AG73" s="346" t="n"/>
      <c r="AH73" s="344" t="n"/>
      <c r="AI73" s="344" t="n"/>
      <c r="AJ73" s="344" t="n"/>
      <c r="AK73" s="344" t="n"/>
      <c r="AL73" s="344" t="n"/>
      <c r="AM73" s="344" t="n"/>
      <c r="AN73" s="344" t="n"/>
    </row>
    <row r="74" ht="4.5" customHeight="1" s="7635">
      <c r="A74" s="139" t="n"/>
      <c r="B74" s="4261" t="n"/>
      <c r="C74" s="4262" t="n"/>
      <c r="D74" s="4262" t="n"/>
      <c r="E74" s="4263" t="n"/>
      <c r="F74" s="4263" t="n"/>
      <c r="G74" s="4263" t="n"/>
      <c r="H74" s="4263" t="n"/>
      <c r="I74" s="4263" t="n"/>
      <c r="J74" s="4263" t="n"/>
      <c r="K74" s="4263" t="n"/>
      <c r="L74" s="4263" t="n"/>
      <c r="M74" s="4263" t="n"/>
      <c r="N74" s="2762" t="n"/>
      <c r="O74" s="344" t="n"/>
      <c r="P74" s="3201" t="n"/>
      <c r="Q74" s="2013" t="n"/>
      <c r="R74" s="344" t="n"/>
      <c r="S74" s="314" t="n"/>
      <c r="T74" s="314" t="n"/>
      <c r="U74" s="314" t="n"/>
      <c r="V74" s="314" t="n"/>
      <c r="W74" s="689" t="n"/>
      <c r="X74" s="1073" t="n"/>
      <c r="Y74" s="344" t="n"/>
      <c r="AA74" s="344" t="n"/>
      <c r="AC74" s="344" t="n"/>
      <c r="AE74" s="344" t="n"/>
      <c r="AF74" s="4232" t="n"/>
      <c r="AG74" s="346" t="n"/>
      <c r="AH74" s="344" t="n"/>
      <c r="AI74" s="344" t="n"/>
      <c r="AJ74" s="344" t="n"/>
      <c r="AK74" s="344" t="n"/>
      <c r="AL74" s="344" t="n"/>
      <c r="AM74" s="344" t="n"/>
      <c r="AN74" s="344" t="n"/>
    </row>
    <row r="75">
      <c r="A75" s="139" t="n"/>
      <c r="B75" s="8374" t="n">
        <v>1</v>
      </c>
      <c r="C75" s="2770">
        <f>"Check the box to indicate your coverage under a high-deductible health plan (HDHP) during "&amp;TaxYear</f>
        <v/>
      </c>
      <c r="D75" s="2770" t="n"/>
      <c r="E75" s="11262" t="n"/>
      <c r="F75" s="11262" t="n"/>
      <c r="G75" s="2771" t="n"/>
      <c r="H75" s="2771" t="n"/>
      <c r="I75" s="2771" t="n"/>
      <c r="J75" s="2771" t="n"/>
      <c r="K75" s="8374" t="n"/>
      <c r="L75" s="572" t="n"/>
      <c r="M75" s="4266" t="inlineStr">
        <is>
          <t xml:space="preserve"> Self-only</t>
        </is>
      </c>
      <c r="N75" s="2783" t="n"/>
      <c r="O75" s="689" t="n"/>
      <c r="P75" s="4342">
        <f>IF(L75&lt;&gt;"",1,0)</f>
        <v/>
      </c>
      <c r="Q75" s="11303">
        <f>IF(P73=0,"Check one box.",IF(P73=2,"Check only one box.",""))</f>
        <v/>
      </c>
      <c r="R75" s="344" t="n"/>
      <c r="S75" s="314" t="n"/>
      <c r="T75" s="314" t="n"/>
      <c r="U75" s="314" t="n"/>
      <c r="V75" s="314" t="n"/>
      <c r="W75" s="689" t="n"/>
      <c r="X75" s="1073" t="n"/>
      <c r="Y75" s="344" t="n"/>
      <c r="AA75" s="344" t="n"/>
      <c r="AC75" s="344" t="n"/>
      <c r="AE75" s="344" t="n"/>
      <c r="AF75" s="4232" t="n"/>
      <c r="AG75" s="346" t="n"/>
      <c r="AH75" s="344" t="n"/>
      <c r="AI75" s="344" t="n"/>
      <c r="AJ75" s="344" t="n"/>
      <c r="AK75" s="344" t="n"/>
      <c r="AL75" s="344" t="n"/>
      <c r="AM75" s="344" t="n"/>
      <c r="AN75" s="344" t="n"/>
    </row>
    <row r="76" ht="4.5" customHeight="1" s="7635">
      <c r="A76" s="139" t="n"/>
      <c r="B76" s="8374" t="n"/>
      <c r="C76" s="11309" t="inlineStr">
        <is>
          <t>See instructions</t>
        </is>
      </c>
      <c r="F76" s="571" t="n"/>
      <c r="G76" s="571" t="n"/>
      <c r="H76" s="571" t="n"/>
      <c r="I76" s="571" t="n"/>
      <c r="J76" s="571" t="n"/>
      <c r="K76" s="571" t="n"/>
      <c r="L76" s="8374" t="n"/>
      <c r="M76" s="3197" t="n"/>
      <c r="N76" s="2783" t="n"/>
      <c r="O76" s="689" t="n"/>
      <c r="P76" s="4342" t="n"/>
      <c r="R76" s="689" t="n"/>
      <c r="S76" s="314" t="n"/>
      <c r="T76" s="314" t="n"/>
      <c r="U76" s="314" t="n"/>
      <c r="V76" s="314" t="n"/>
      <c r="W76" s="689" t="n"/>
      <c r="X76" s="1073" t="n"/>
      <c r="Y76" s="344" t="n"/>
      <c r="AA76" s="344" t="n"/>
      <c r="AC76" s="344" t="n"/>
      <c r="AE76" s="344" t="n"/>
      <c r="AF76" s="4232" t="n"/>
      <c r="AG76" s="346" t="n"/>
      <c r="AH76" s="344" t="n"/>
      <c r="AI76" s="344" t="n"/>
      <c r="AJ76" s="344" t="n"/>
      <c r="AK76" s="344" t="n"/>
      <c r="AL76" s="344" t="n"/>
      <c r="AM76" s="344" t="n"/>
      <c r="AN76" s="344" t="n"/>
    </row>
    <row r="77">
      <c r="A77" s="139" t="n"/>
      <c r="B77" s="8374" t="n"/>
      <c r="F77" s="571" t="n"/>
      <c r="G77" s="571" t="n"/>
      <c r="H77" s="571" t="n"/>
      <c r="I77" s="571" t="n"/>
      <c r="J77" s="571" t="n"/>
      <c r="K77" s="4333" t="inlineStr">
        <is>
          <t xml:space="preserve">.   .   .   .   .   .   .   .   .   .   .   .   .   .   .   .   .   .   .   .   .   .   .   .   .   .   .   .   .   .   .   .   .   .   .   .   .   .   .   .   .   .   .   .   .   .   .   .   .   .   .   .   .   .   .   .   .   .   .   .   .   .   .    </t>
        </is>
      </c>
      <c r="L77" s="572" t="n"/>
      <c r="M77" s="4266" t="inlineStr">
        <is>
          <t xml:space="preserve"> Family</t>
        </is>
      </c>
      <c r="N77" s="2783" t="n"/>
      <c r="O77" s="689" t="n"/>
      <c r="P77" s="4342">
        <f>IF(L77&lt;&gt;"",1,0)</f>
        <v/>
      </c>
      <c r="R77" s="689" t="n"/>
      <c r="S77" s="688" t="n"/>
      <c r="T77" s="688" t="n"/>
      <c r="U77" s="688" t="n"/>
      <c r="V77" s="688" t="n"/>
      <c r="W77" s="689" t="n"/>
      <c r="X77" s="4269" t="n"/>
      <c r="Y77" s="344" t="n"/>
      <c r="AA77" s="344" t="n"/>
      <c r="AC77" s="344" t="n"/>
      <c r="AE77" s="344" t="n"/>
      <c r="AF77" s="4232" t="n"/>
      <c r="AG77" s="346" t="n"/>
      <c r="AH77" s="344" t="n"/>
      <c r="AI77" s="344" t="n"/>
      <c r="AJ77" s="344" t="n"/>
      <c r="AK77" s="344" t="n"/>
      <c r="AL77" s="344" t="n"/>
      <c r="AM77" s="344" t="n"/>
      <c r="AN77" s="344" t="n"/>
    </row>
    <row r="78" ht="6.75" customFormat="1" customHeight="1" s="214">
      <c r="A78" s="139" t="n"/>
      <c r="B78" s="8374" t="n"/>
      <c r="C78" s="8374" t="n"/>
      <c r="D78" s="8374" t="n"/>
      <c r="E78" s="8374" t="n"/>
      <c r="F78" s="571" t="n"/>
      <c r="G78" s="571" t="n"/>
      <c r="H78" s="571" t="n"/>
      <c r="I78" s="571" t="n"/>
      <c r="J78" s="571" t="n"/>
      <c r="K78" s="2075" t="n"/>
      <c r="L78" s="573" t="n"/>
      <c r="M78" s="4266" t="n"/>
      <c r="N78" s="2783" t="n"/>
      <c r="O78" s="689" t="n"/>
      <c r="P78" s="3256" t="n"/>
      <c r="Q78" s="2785" t="n"/>
      <c r="R78" s="689" t="n"/>
      <c r="S78" s="688" t="n"/>
      <c r="T78" s="688" t="n"/>
      <c r="U78" s="688" t="n"/>
      <c r="V78" s="688" t="n"/>
      <c r="W78" s="689" t="n"/>
      <c r="X78" s="4269" t="n"/>
      <c r="Y78" s="344" t="n"/>
      <c r="AA78" s="344" t="n"/>
      <c r="AC78" s="344" t="n"/>
      <c r="AE78" s="344" t="n"/>
      <c r="AF78" s="4232" t="n"/>
      <c r="AG78" s="346" t="n"/>
      <c r="AH78" s="344" t="n"/>
      <c r="AI78" s="343" t="n"/>
      <c r="AJ78" s="343" t="n"/>
      <c r="AK78" s="343" t="n"/>
      <c r="AL78" s="343" t="n"/>
      <c r="AM78" s="343" t="n"/>
      <c r="AN78" s="343" t="n"/>
      <c r="AO78" s="658" t="n"/>
      <c r="AP78" s="658" t="n"/>
      <c r="AQ78" s="658" t="n"/>
      <c r="AR78" s="658" t="n"/>
      <c r="AS78" s="658" t="n"/>
      <c r="AT78" s="658" t="n"/>
      <c r="AU78" s="658" t="n"/>
      <c r="AV78" s="658" t="n"/>
      <c r="AW78" s="658" t="n"/>
    </row>
    <row r="79" customFormat="1" s="214">
      <c r="A79" s="139" t="n"/>
      <c r="B79" s="8374" t="n">
        <v>2</v>
      </c>
      <c r="C79" s="2770">
        <f>"HSA contributions you made for "&amp;TaxYear&amp;" (or those made on your behalf), including those made"</f>
        <v/>
      </c>
      <c r="D79" s="2770" t="n"/>
      <c r="E79" s="11262" t="n"/>
      <c r="F79" s="11262" t="n"/>
      <c r="G79" s="2771" t="n"/>
      <c r="H79" s="2771" t="n"/>
      <c r="I79" s="2771" t="n"/>
      <c r="J79" s="2771" t="n"/>
      <c r="K79" s="8374" t="n"/>
      <c r="L79" s="3215" t="n"/>
      <c r="M79" s="2799" t="n"/>
      <c r="N79" s="2783" t="n"/>
      <c r="O79" s="689" t="n"/>
      <c r="P79" s="3256" t="n"/>
      <c r="Q79" s="2785" t="n"/>
      <c r="R79" s="689" t="n"/>
      <c r="S79" s="688" t="n"/>
      <c r="T79" s="688" t="n"/>
      <c r="U79" s="688" t="n"/>
      <c r="V79" s="688" t="n"/>
      <c r="W79" s="689" t="n"/>
      <c r="X79" s="4269" t="n"/>
      <c r="Y79" s="344" t="n"/>
      <c r="AA79" s="344" t="n"/>
      <c r="AC79" s="344" t="n"/>
      <c r="AE79" s="344" t="n"/>
      <c r="AF79" s="4232" t="n"/>
      <c r="AG79" s="346" t="n"/>
      <c r="AH79" s="344" t="n"/>
      <c r="AI79" s="343" t="n"/>
      <c r="AJ79" s="343" t="n"/>
      <c r="AK79" s="343" t="n"/>
      <c r="AL79" s="343" t="n"/>
      <c r="AM79" s="343" t="n"/>
      <c r="AN79" s="343" t="n"/>
      <c r="AO79" s="658" t="n"/>
      <c r="AP79" s="658" t="n"/>
      <c r="AQ79" s="658" t="n"/>
      <c r="AR79" s="658" t="n"/>
      <c r="AS79" s="658" t="n"/>
      <c r="AT79" s="658" t="n"/>
      <c r="AU79" s="658" t="n"/>
      <c r="AV79" s="658" t="n"/>
      <c r="AW79" s="658" t="n"/>
    </row>
    <row r="80" ht="12" customFormat="1" customHeight="1" s="214">
      <c r="A80" s="139" t="n"/>
      <c r="B80" s="8374" t="n"/>
      <c r="C80" s="2770">
        <f>"from  January  1, "&amp;TaxYear+1&amp;",  through  April 15, "&amp;TaxYear+1&amp;"  that  were  for  "&amp;TaxYear&amp;"."</f>
        <v/>
      </c>
      <c r="D80" s="2769" t="n"/>
      <c r="E80" s="11262" t="n"/>
      <c r="F80" s="11262" t="n"/>
      <c r="G80" s="2771" t="n"/>
      <c r="H80" s="2770" t="n"/>
      <c r="I80" s="2770" t="inlineStr">
        <is>
          <t>Do not include employer</t>
        </is>
      </c>
      <c r="J80" s="2771" t="n"/>
      <c r="K80" s="2771" t="n"/>
      <c r="L80" s="2805" t="n"/>
      <c r="M80" s="2791" t="n"/>
      <c r="N80" s="2775" t="n"/>
      <c r="O80" s="343" t="n"/>
      <c r="P80" s="2990" t="n"/>
      <c r="Q80" s="2785" t="n"/>
      <c r="R80" s="689" t="n"/>
      <c r="S80" s="688" t="inlineStr">
        <is>
          <t>Age</t>
        </is>
      </c>
      <c r="T80" s="688" t="n"/>
      <c r="U80" s="688" t="inlineStr">
        <is>
          <t>Self</t>
        </is>
      </c>
      <c r="V80" s="688" t="inlineStr">
        <is>
          <t>Family</t>
        </is>
      </c>
      <c r="W80" s="689" t="n"/>
      <c r="X80" s="4269" t="n"/>
      <c r="Y80" s="344" t="n"/>
      <c r="AA80" s="344" t="n"/>
      <c r="AC80" s="344" t="n"/>
      <c r="AE80" s="344" t="n"/>
      <c r="AF80" s="4232" t="n"/>
      <c r="AG80" s="346" t="n"/>
      <c r="AH80" s="344" t="n"/>
      <c r="AI80" s="343" t="n"/>
      <c r="AJ80" s="343" t="n"/>
      <c r="AK80" s="343" t="n"/>
      <c r="AL80" s="343" t="n"/>
      <c r="AM80" s="343" t="n"/>
      <c r="AN80" s="343" t="n"/>
      <c r="AO80" s="658" t="n"/>
      <c r="AP80" s="658" t="n"/>
      <c r="AQ80" s="658" t="n"/>
      <c r="AR80" s="658" t="n"/>
      <c r="AS80" s="658" t="n"/>
      <c r="AT80" s="658" t="n"/>
      <c r="AU80" s="658" t="n"/>
      <c r="AV80" s="658" t="n"/>
      <c r="AW80" s="658" t="n"/>
    </row>
    <row r="81" customFormat="1" s="214">
      <c r="A81" s="139" t="n"/>
      <c r="B81" s="8374" t="n"/>
      <c r="C81" s="2770" t="inlineStr">
        <is>
          <t>contributions, contributions through a cafeteria plan, or rollovers (see instructions)</t>
        </is>
      </c>
      <c r="D81" s="2769" t="n"/>
      <c r="E81" s="11262" t="n"/>
      <c r="F81" s="11262" t="n"/>
      <c r="G81" s="2771" t="n"/>
      <c r="H81" s="8374" t="n"/>
      <c r="I81" s="8374" t="n"/>
      <c r="J81" s="8374" t="n"/>
      <c r="K81" s="8374" t="inlineStr">
        <is>
          <t xml:space="preserve">.   .   .   .   .   .   . </t>
        </is>
      </c>
      <c r="L81" s="2773">
        <f>B79</f>
        <v/>
      </c>
      <c r="M81" s="335" t="n"/>
      <c r="N81" s="2775" t="n"/>
      <c r="O81" s="343" t="n"/>
      <c r="P81" s="2990" t="n"/>
      <c r="Q81" s="2785" t="n"/>
      <c r="R81" s="343" t="n"/>
      <c r="S81" s="250" t="inlineStr">
        <is>
          <t>&lt;55</t>
        </is>
      </c>
      <c r="T81" s="4275" t="inlineStr">
        <is>
          <t>---</t>
        </is>
      </c>
      <c r="U81" s="4283">
        <f>U22</f>
        <v/>
      </c>
      <c r="V81" s="4283">
        <f>V22</f>
        <v/>
      </c>
      <c r="W81" s="689" t="n"/>
      <c r="X81" s="4269" t="n"/>
      <c r="Y81" s="344" t="n"/>
      <c r="AA81" s="344" t="n"/>
      <c r="AC81" s="344" t="n"/>
      <c r="AE81" s="344" t="n"/>
      <c r="AF81" s="4232" t="n"/>
      <c r="AG81" s="346" t="n"/>
      <c r="AH81" s="344" t="n"/>
      <c r="AI81" s="343" t="n"/>
      <c r="AJ81" s="343" t="n"/>
      <c r="AK81" s="343" t="n"/>
      <c r="AL81" s="343" t="n"/>
      <c r="AM81" s="343" t="n"/>
      <c r="AN81" s="343" t="n"/>
      <c r="AO81" s="658" t="n"/>
      <c r="AP81" s="658" t="n"/>
      <c r="AQ81" s="658" t="n"/>
      <c r="AR81" s="658" t="n"/>
      <c r="AS81" s="658" t="n"/>
      <c r="AT81" s="658" t="n"/>
      <c r="AU81" s="658" t="n"/>
      <c r="AV81" s="658" t="n"/>
      <c r="AW81" s="658" t="n"/>
    </row>
    <row r="82" ht="12" customFormat="1" customHeight="1" s="214">
      <c r="A82" s="139" t="n"/>
      <c r="B82" s="8374" t="n">
        <v>3</v>
      </c>
      <c r="C82" s="2770">
        <f>"If  you  were  under age "&amp;P82&amp;" at  the  end of  "&amp;TaxYear&amp;"  and,"</f>
        <v/>
      </c>
      <c r="D82" s="2770" t="n"/>
      <c r="E82" s="11262" t="n"/>
      <c r="F82" s="11262" t="n"/>
      <c r="G82" s="2770" t="inlineStr">
        <is>
          <t>on  the  first day of  every  month</t>
        </is>
      </c>
      <c r="H82" s="4272" t="n"/>
      <c r="I82" s="4272" t="n"/>
      <c r="J82" s="3002" t="n"/>
      <c r="K82" s="2770">
        <f>"during "&amp;TaxYear&amp;", you"</f>
        <v/>
      </c>
      <c r="L82" s="4273" t="n"/>
      <c r="M82" s="9616" t="n"/>
      <c r="N82" s="2783" t="n"/>
      <c r="O82" s="689" t="n"/>
      <c r="P82" s="12175">
        <f>P22</f>
        <v/>
      </c>
      <c r="Q82" s="2785" t="n"/>
      <c r="R82" s="343" t="n"/>
      <c r="S82" s="250" t="inlineStr">
        <is>
          <t>&gt;=55</t>
        </is>
      </c>
      <c r="T82" s="4275" t="inlineStr">
        <is>
          <t>Single*</t>
        </is>
      </c>
      <c r="U82" s="4283">
        <f>U23</f>
        <v/>
      </c>
      <c r="V82" s="4283">
        <f>V23</f>
        <v/>
      </c>
      <c r="W82" s="689" t="n"/>
      <c r="X82" s="2846" t="n"/>
      <c r="Y82" s="344" t="n"/>
      <c r="AA82" s="344" t="n"/>
      <c r="AC82" s="344" t="n"/>
      <c r="AE82" s="344" t="n"/>
      <c r="AF82" s="4232" t="n"/>
      <c r="AG82" s="346" t="n"/>
      <c r="AH82" s="344" t="n"/>
      <c r="AI82" s="344" t="n"/>
      <c r="AJ82" s="689" t="inlineStr">
        <is>
          <t>You</t>
        </is>
      </c>
      <c r="AK82" s="343" t="n"/>
      <c r="AL82" s="343" t="n"/>
      <c r="AM82" s="343" t="n"/>
      <c r="AN82" s="343" t="n"/>
      <c r="AO82" s="658" t="n"/>
      <c r="AP82" s="658" t="n"/>
      <c r="AQ82" s="658" t="n"/>
      <c r="AR82" s="658" t="n"/>
      <c r="AS82" s="658" t="n"/>
      <c r="AT82" s="658" t="n"/>
      <c r="AU82" s="658" t="n"/>
      <c r="AV82" s="658" t="n"/>
      <c r="AW82" s="658" t="n"/>
    </row>
    <row r="83" ht="12" customHeight="1" s="7635">
      <c r="A83" s="139" t="n"/>
      <c r="B83" s="8374" t="n"/>
      <c r="C83" s="2770" t="inlineStr">
        <is>
          <t xml:space="preserve">were,  or  were  considered,  an  eligible  individual  with  the  same  coverage, </t>
        </is>
      </c>
      <c r="D83" s="2769" t="n"/>
      <c r="E83" s="11262" t="n"/>
      <c r="F83" s="11262" t="n"/>
      <c r="G83" s="2771" t="n"/>
      <c r="H83" s="2771" t="n"/>
      <c r="I83" s="2771" t="n"/>
      <c r="J83" s="2770" t="n"/>
      <c r="K83" s="4343">
        <f>"enter "&amp;TEXT($U$22,"$0,000")&amp;" ("&amp;TEXT($V$22,"$0,000")&amp;" for"</f>
        <v/>
      </c>
      <c r="L83" s="2805" t="n"/>
      <c r="M83" s="9618" t="n"/>
      <c r="N83" s="2775" t="n"/>
      <c r="O83" s="343" t="n"/>
      <c r="P83" s="2990" t="n"/>
      <c r="Q83" s="2785" t="n"/>
      <c r="R83" s="689" t="n"/>
      <c r="S83" s="250" t="inlineStr">
        <is>
          <t>&gt;=55</t>
        </is>
      </c>
      <c r="T83" s="250" t="inlineStr">
        <is>
          <t>Married</t>
        </is>
      </c>
      <c r="U83" s="4283">
        <f>U24</f>
        <v/>
      </c>
      <c r="V83" s="4283">
        <f>V24</f>
        <v/>
      </c>
      <c r="W83" s="689" t="n"/>
      <c r="X83" s="2118">
        <f>TaxYear</f>
        <v/>
      </c>
      <c r="Y83" s="344" t="n"/>
      <c r="AA83" s="344" t="n"/>
      <c r="AC83" s="344" t="n"/>
      <c r="AE83" s="344" t="n"/>
      <c r="AF83" s="4232" t="n"/>
      <c r="AG83" s="346" t="n"/>
      <c r="AH83" s="344" t="n"/>
      <c r="AI83" s="689" t="inlineStr">
        <is>
          <t>Self</t>
        </is>
      </c>
      <c r="AJ83" s="689" t="inlineStr">
        <is>
          <t>Family</t>
        </is>
      </c>
      <c r="AK83" s="344" t="n"/>
      <c r="AL83" s="344" t="n"/>
      <c r="AM83" s="344" t="n"/>
      <c r="AN83" s="344" t="n"/>
    </row>
    <row r="84" ht="12" customHeight="1" s="7635">
      <c r="A84" s="139" t="n"/>
      <c r="B84" s="8374" t="n"/>
      <c r="C84" s="2770" t="inlineStr">
        <is>
          <t>family coverage). All others, see the instructions for the amount to enter</t>
        </is>
      </c>
      <c r="D84" s="2769" t="n"/>
      <c r="E84" s="11262" t="n"/>
      <c r="F84" s="2770" t="n"/>
      <c r="G84" s="2771" t="n"/>
      <c r="H84" s="8374" t="n"/>
      <c r="I84" s="8374" t="n"/>
      <c r="J84" s="8374" t="n"/>
      <c r="K84" s="8374" t="inlineStr">
        <is>
          <t xml:space="preserve">.   .   .   .   .   .   .   .   .   .   .   . </t>
        </is>
      </c>
      <c r="L84" s="2773">
        <f>B82</f>
        <v/>
      </c>
      <c r="M84" s="2816">
        <f>IF(Q84&lt;&gt;"",ROUND(Q84,0),IF(OR(NOT(Q73),M81=""),"",AF97))</f>
        <v/>
      </c>
      <c r="N84" s="2775" t="n"/>
      <c r="O84" s="343" t="n"/>
      <c r="P84" s="2990" t="n"/>
      <c r="Q84" s="118" t="n"/>
      <c r="R84" s="343" t="n"/>
      <c r="S84" s="250">
        <f>SpouseAge</f>
        <v/>
      </c>
      <c r="T84" s="4283">
        <f>IF($S$84&lt;$P$82,T81,IF($AI$98,T82,T83))</f>
        <v/>
      </c>
      <c r="U84" s="4283">
        <f>IF($S$84&lt;$P$82,U81,IF($AI$98,U82,U83))</f>
        <v/>
      </c>
      <c r="V84" s="4283">
        <f>IF($S$84&lt;$P$82,V81,IF($AI$98,V82,V83))</f>
        <v/>
      </c>
      <c r="W84" s="689" t="n"/>
      <c r="X84" s="4278" t="inlineStr">
        <is>
          <t>January</t>
        </is>
      </c>
      <c r="Y84" s="344" t="n"/>
      <c r="Z84" s="4279" t="inlineStr">
        <is>
          <t>N</t>
        </is>
      </c>
      <c r="AA84" s="344" t="n"/>
      <c r="AB84" s="4279" t="inlineStr">
        <is>
          <t>Y</t>
        </is>
      </c>
      <c r="AC84" s="344" t="n"/>
      <c r="AD84" s="4279">
        <f>IF(L77&lt;&gt;"","F","S")</f>
        <v/>
      </c>
      <c r="AE84" s="344" t="n"/>
      <c r="AF84" s="4232">
        <f>IF(OR(Z84="Y",Z84="y"),0,IF(OR(AB84="N",AB84="n"),0,IF(AND(OR(AD84="F",AD84="f")),$V$84,$U$84)))</f>
        <v/>
      </c>
      <c r="AG84" s="346" t="n"/>
      <c r="AH84" s="344" t="n"/>
      <c r="AI84" s="343">
        <f>IF(AD84="S",1,0)</f>
        <v/>
      </c>
      <c r="AJ84" s="343">
        <f>IF(AND(OR(AB84="y",AB84="Y"),OR(AD84="f",AD84="F")),1,0)</f>
        <v/>
      </c>
      <c r="AK84" s="344" t="n"/>
      <c r="AL84" s="344" t="n"/>
      <c r="AM84" s="4232">
        <f>AF84*AJ84</f>
        <v/>
      </c>
      <c r="AN84" s="344" t="n"/>
    </row>
    <row r="85" ht="12" customFormat="1" customHeight="1" s="214">
      <c r="A85" s="139" t="n"/>
      <c r="B85" s="8374" t="n">
        <v>4</v>
      </c>
      <c r="C85" s="2770">
        <f>"Enter the amount you and your employer contributed to your Archer MSAs for "&amp;TaxYear&amp;" from Form 8853,"</f>
        <v/>
      </c>
      <c r="D85" s="2770" t="n"/>
      <c r="E85" s="11262" t="n"/>
      <c r="F85" s="11262" t="n"/>
      <c r="G85" s="2771" t="n"/>
      <c r="H85" s="2771" t="n"/>
      <c r="I85" s="2771" t="n"/>
      <c r="J85" s="2771" t="n"/>
      <c r="K85" s="8374" t="n"/>
      <c r="L85" s="4273" t="n"/>
      <c r="M85" s="2799" t="n"/>
      <c r="N85" s="2783" t="n"/>
      <c r="O85" s="689" t="n"/>
      <c r="P85" s="3256" t="n"/>
      <c r="Q85" s="2785" t="n"/>
      <c r="R85" s="343" t="n"/>
      <c r="S85" s="3105" t="inlineStr">
        <is>
          <t>*Or Married with Self Only Coverage Type</t>
        </is>
      </c>
      <c r="T85" s="688" t="n"/>
      <c r="U85" s="688" t="n"/>
      <c r="V85" s="688" t="n"/>
      <c r="W85" s="689" t="n"/>
      <c r="X85" s="4278" t="inlineStr">
        <is>
          <t>February</t>
        </is>
      </c>
      <c r="Y85" s="344" t="n"/>
      <c r="Z85" s="4279">
        <f>Z84</f>
        <v/>
      </c>
      <c r="AA85" s="344" t="n"/>
      <c r="AB85" s="4279">
        <f>AB84</f>
        <v/>
      </c>
      <c r="AC85" s="344" t="n"/>
      <c r="AD85" s="4279">
        <f>AD84</f>
        <v/>
      </c>
      <c r="AE85" s="344" t="n"/>
      <c r="AF85" s="4232">
        <f>IF(OR(Z85="Y",Z85="y"),0,IF(OR(AB85="N",AB85="n"),0,IF(AND(OR(AD85="F",AD85="f")),$V$84,$U$84)))</f>
        <v/>
      </c>
      <c r="AG85" s="346" t="n"/>
      <c r="AH85" s="344" t="n"/>
      <c r="AI85" s="343">
        <f>IF(AD85="S",1,0)</f>
        <v/>
      </c>
      <c r="AJ85" s="343">
        <f>IF(AND(OR(AB85="y",AB85="Y"),OR(AD85="f",AD85="F")),1,0)</f>
        <v/>
      </c>
      <c r="AK85" s="343" t="n"/>
      <c r="AL85" s="343" t="n"/>
      <c r="AM85" s="4232">
        <f>AF85*AJ85</f>
        <v/>
      </c>
      <c r="AN85" s="343" t="n"/>
      <c r="AO85" s="658" t="n"/>
      <c r="AP85" s="658" t="n"/>
      <c r="AQ85" s="658" t="n"/>
      <c r="AR85" s="658" t="n"/>
      <c r="AS85" s="658" t="n"/>
      <c r="AT85" s="658" t="n"/>
      <c r="AU85" s="658" t="n"/>
      <c r="AV85" s="658" t="n"/>
      <c r="AW85" s="658" t="n"/>
    </row>
    <row r="86" ht="12" customHeight="1" s="7635">
      <c r="A86" s="139" t="n"/>
      <c r="B86" s="8374" t="n"/>
      <c r="C86" s="2770">
        <f>"lines 1 and 2. If you or your spouse had family coverage under an HDHP at any time during "&amp;TaxYear&amp;", also"</f>
        <v/>
      </c>
      <c r="D86" s="2769" t="n"/>
      <c r="E86" s="11262" t="n"/>
      <c r="F86" s="11262" t="n"/>
      <c r="G86" s="2771" t="n"/>
      <c r="H86" s="2771" t="n"/>
      <c r="I86" s="2771" t="n"/>
      <c r="J86" s="2771" t="n"/>
      <c r="K86" s="2771" t="n"/>
      <c r="L86" s="2805" t="n"/>
      <c r="M86" s="2791" t="n"/>
      <c r="N86" s="2775" t="n"/>
      <c r="O86" s="343" t="n"/>
      <c r="P86" s="2990" t="n"/>
      <c r="Q86" s="2785" t="n"/>
      <c r="R86" s="689" t="n"/>
      <c r="S86" s="688" t="n"/>
      <c r="T86" s="688" t="n"/>
      <c r="U86" s="688" t="n"/>
      <c r="V86" s="688" t="n"/>
      <c r="W86" s="689" t="n"/>
      <c r="X86" s="4278" t="inlineStr">
        <is>
          <t>March</t>
        </is>
      </c>
      <c r="Y86" s="344" t="n"/>
      <c r="Z86" s="4279">
        <f>Z85</f>
        <v/>
      </c>
      <c r="AA86" s="344" t="n"/>
      <c r="AB86" s="4279">
        <f>AB85</f>
        <v/>
      </c>
      <c r="AC86" s="344" t="n"/>
      <c r="AD86" s="4279">
        <f>AD85</f>
        <v/>
      </c>
      <c r="AE86" s="344" t="n"/>
      <c r="AF86" s="4232">
        <f>IF(OR(Z86="Y",Z86="y"),0,IF(OR(AB86="N",AB86="n"),0,IF(AND(OR(AD86="F",AD86="f")),$V$84,$U$84)))</f>
        <v/>
      </c>
      <c r="AG86" s="346" t="n"/>
      <c r="AH86" s="344" t="n"/>
      <c r="AI86" s="343">
        <f>IF(AD86="S",1,0)</f>
        <v/>
      </c>
      <c r="AJ86" s="343">
        <f>IF(AND(OR(AB86="y",AB86="Y"),OR(AD86="f",AD86="F")),1,0)</f>
        <v/>
      </c>
      <c r="AK86" s="344" t="n"/>
      <c r="AL86" s="344" t="n"/>
      <c r="AM86" s="4232">
        <f>AF86*AJ86</f>
        <v/>
      </c>
      <c r="AN86" s="344" t="n"/>
    </row>
    <row r="87" ht="12" customHeight="1" s="7635">
      <c r="A87" s="139" t="n"/>
      <c r="B87" s="8374" t="n"/>
      <c r="C87" s="2770" t="inlineStr">
        <is>
          <t>include any amount contributed to your spouse’s Archer MSAs</t>
        </is>
      </c>
      <c r="D87" s="2769" t="n"/>
      <c r="E87" s="11262" t="n"/>
      <c r="F87" s="11262" t="n"/>
      <c r="G87" s="2771" t="n"/>
      <c r="H87" s="8374" t="n"/>
      <c r="I87" s="8374" t="n"/>
      <c r="J87" s="8374" t="n"/>
      <c r="K87" s="8374" t="inlineStr">
        <is>
          <t xml:space="preserve">.   .   .   .   .   .   .   .   .   .   .   .   .   .   . </t>
        </is>
      </c>
      <c r="L87" s="2773">
        <f>B85</f>
        <v/>
      </c>
      <c r="M87" s="335" t="n"/>
      <c r="N87" s="2775" t="n"/>
      <c r="O87" s="343" t="n"/>
      <c r="P87" s="2990" t="n"/>
      <c r="Q87" s="2785" t="n"/>
      <c r="R87" s="344" t="n"/>
      <c r="S87" s="688" t="n"/>
      <c r="T87" s="688" t="n"/>
      <c r="U87" s="688" t="n"/>
      <c r="V87" s="688" t="n"/>
      <c r="W87" s="689" t="n"/>
      <c r="X87" s="4278" t="inlineStr">
        <is>
          <t>April</t>
        </is>
      </c>
      <c r="Y87" s="344" t="n"/>
      <c r="Z87" s="4279">
        <f>Z86</f>
        <v/>
      </c>
      <c r="AA87" s="344" t="n"/>
      <c r="AB87" s="4279">
        <f>AB86</f>
        <v/>
      </c>
      <c r="AC87" s="344" t="n"/>
      <c r="AD87" s="4279">
        <f>AD86</f>
        <v/>
      </c>
      <c r="AE87" s="344" t="n"/>
      <c r="AF87" s="4232">
        <f>IF(OR(Z87="Y",Z87="y"),0,IF(OR(AB87="N",AB87="n"),0,IF(AND(OR(AD87="F",AD87="f")),$V$84,$U$84)))</f>
        <v/>
      </c>
      <c r="AG87" s="346" t="n"/>
      <c r="AH87" s="344" t="n"/>
      <c r="AI87" s="343">
        <f>IF(AD87="S",1,0)</f>
        <v/>
      </c>
      <c r="AJ87" s="343">
        <f>IF(AND(OR(AB87="y",AB87="Y"),OR(AD87="f",AD87="F")),1,0)</f>
        <v/>
      </c>
      <c r="AK87" s="344" t="n"/>
      <c r="AL87" s="344" t="n"/>
      <c r="AM87" s="4232">
        <f>AF87*AJ87</f>
        <v/>
      </c>
      <c r="AN87" s="344" t="n"/>
    </row>
    <row r="88" ht="12" customFormat="1" customHeight="1" s="214" thickBot="1">
      <c r="A88" s="139" t="n"/>
      <c r="B88" s="8374" t="n">
        <v>5</v>
      </c>
      <c r="C88" s="2770" t="inlineStr">
        <is>
          <t>Subtract line 4 from line 3. If zero or less, enter -0-</t>
        </is>
      </c>
      <c r="D88" s="2770" t="n"/>
      <c r="E88" s="11262" t="n"/>
      <c r="F88" s="11262" t="n"/>
      <c r="G88" s="2771" t="n"/>
      <c r="H88" s="2771" t="n"/>
      <c r="I88" s="2771" t="n"/>
      <c r="J88" s="2771" t="n"/>
      <c r="K88" s="2031" t="inlineStr">
        <is>
          <t xml:space="preserve">.   .   .   .   .   .   .   .   .   .   .   .   .   .   .   .   .   .   . </t>
        </is>
      </c>
      <c r="L88" s="2773">
        <f>B88</f>
        <v/>
      </c>
      <c r="M88" s="2774">
        <f>MAX(0,SUM(M84,-M87))</f>
        <v/>
      </c>
      <c r="N88" s="2775" t="n"/>
      <c r="O88" s="689" t="n"/>
      <c r="P88" s="2990" t="n"/>
      <c r="Q88" s="2785" t="n"/>
      <c r="R88" s="689" t="n"/>
      <c r="S88" s="688" t="n"/>
      <c r="T88" s="688" t="n"/>
      <c r="U88" s="11302" t="inlineStr">
        <is>
          <t>Allocation</t>
        </is>
      </c>
      <c r="V88" s="7637" t="n"/>
      <c r="W88" s="689" t="n"/>
      <c r="X88" s="4278" t="inlineStr">
        <is>
          <t>May</t>
        </is>
      </c>
      <c r="Y88" s="344" t="n"/>
      <c r="Z88" s="4279">
        <f>Z87</f>
        <v/>
      </c>
      <c r="AA88" s="344" t="n"/>
      <c r="AB88" s="4279">
        <f>AB87</f>
        <v/>
      </c>
      <c r="AC88" s="344" t="n"/>
      <c r="AD88" s="4279">
        <f>AD87</f>
        <v/>
      </c>
      <c r="AE88" s="344" t="n"/>
      <c r="AF88" s="4232">
        <f>IF(OR(Z88="Y",Z88="y"),0,IF(OR(AB88="N",AB88="n"),0,IF(AND(OR(AD88="F",AD88="f")),$V$84,$U$84)))</f>
        <v/>
      </c>
      <c r="AG88" s="346" t="n"/>
      <c r="AH88" s="344" t="n"/>
      <c r="AI88" s="343">
        <f>IF(AD88="S",1,0)</f>
        <v/>
      </c>
      <c r="AJ88" s="343">
        <f>IF(AND(OR(AB88="y",AB88="Y"),OR(AD88="f",AD88="F")),1,0)</f>
        <v/>
      </c>
      <c r="AK88" s="343" t="n"/>
      <c r="AL88" s="343" t="n"/>
      <c r="AM88" s="4232">
        <f>AF88*AJ88</f>
        <v/>
      </c>
      <c r="AN88" s="343" t="n"/>
      <c r="AO88" s="658" t="n"/>
      <c r="AP88" s="658" t="n"/>
      <c r="AQ88" s="658" t="n"/>
      <c r="AR88" s="658" t="n"/>
      <c r="AS88" s="658" t="n"/>
      <c r="AT88" s="658" t="n"/>
      <c r="AU88" s="658" t="n"/>
      <c r="AV88" s="658" t="n"/>
      <c r="AW88" s="658" t="n"/>
    </row>
    <row r="89" ht="12" customHeight="1" s="7635" thickBot="1">
      <c r="A89" s="139" t="n"/>
      <c r="B89" s="8374" t="n">
        <v>6</v>
      </c>
      <c r="C89" s="2770" t="inlineStr">
        <is>
          <t>Enter the amount from line 5. But if you and your spouse each have separate HSAs and had family</t>
        </is>
      </c>
      <c r="D89" s="2770" t="n"/>
      <c r="E89" s="11262" t="n"/>
      <c r="F89" s="11262" t="n"/>
      <c r="G89" s="2771" t="n"/>
      <c r="H89" s="2771" t="n"/>
      <c r="I89" s="2771" t="n"/>
      <c r="J89" s="2771" t="n"/>
      <c r="K89" s="8374" t="n"/>
      <c r="L89" s="4273" t="n"/>
      <c r="M89" s="4286" t="n"/>
      <c r="N89" s="2783" t="n"/>
      <c r="O89" s="689" t="n"/>
      <c r="P89" s="3256" t="n"/>
      <c r="Q89" s="2785" t="n"/>
      <c r="R89" s="689" t="n"/>
      <c r="S89" s="4344" t="inlineStr">
        <is>
          <t>Spouse</t>
        </is>
      </c>
      <c r="T89" s="688" t="n"/>
      <c r="U89" s="4345">
        <f>$Z$40/100</f>
        <v/>
      </c>
      <c r="V89" s="4346">
        <f>$AB$40/100</f>
        <v/>
      </c>
      <c r="W89" s="689" t="n"/>
      <c r="X89" s="4278" t="inlineStr">
        <is>
          <t>June</t>
        </is>
      </c>
      <c r="Y89" s="344" t="n"/>
      <c r="Z89" s="4279">
        <f>Z88</f>
        <v/>
      </c>
      <c r="AA89" s="344" t="n"/>
      <c r="AB89" s="4279">
        <f>AB88</f>
        <v/>
      </c>
      <c r="AC89" s="344" t="n"/>
      <c r="AD89" s="4279">
        <f>AD88</f>
        <v/>
      </c>
      <c r="AE89" s="344" t="n"/>
      <c r="AF89" s="4232">
        <f>IF(OR(Z89="Y",Z89="y"),0,IF(OR(AB89="N",AB89="n"),0,IF(AND(OR(AD89="F",AD89="f")),$V$84,$U$84)))</f>
        <v/>
      </c>
      <c r="AG89" s="346" t="n"/>
      <c r="AH89" s="344" t="n"/>
      <c r="AI89" s="343">
        <f>IF(AD89="S",1,0)</f>
        <v/>
      </c>
      <c r="AJ89" s="343">
        <f>IF(AND(OR(AB89="y",AB89="Y"),OR(AD89="f",AD89="F")),1,0)</f>
        <v/>
      </c>
      <c r="AK89" s="344" t="n"/>
      <c r="AL89" s="344" t="n"/>
      <c r="AM89" s="4232">
        <f>AF89*AJ89</f>
        <v/>
      </c>
      <c r="AN89" s="344" t="n"/>
      <c r="AP89" s="12773" t="inlineStr">
        <is>
          <t>Line 13
Generally, enter the smaller of line 2 or line 12 on line 13 and
on Schedule 1 (Form 1040), Part II, line 13. However, if the
amount on line 2 is more than the amount on line 13, you or
someone on your behalf (or your employer) contributed more
to your HSA than is allowable and you may have to pay an
additional tax on the excess contributions. Figure the excess
contributions using the following instructions. See Form
5329, Additional Taxes on Qualified Plans (Including IRAs)
and Other Tax-Favored Accounts, to figure the additional tax.
Note. If the amount on line 2 is less than the amount on
line 12 and you have prior year excess contributions, see
instructions.
See instructions for Form 8889 for more regarding line 13.</t>
        </is>
      </c>
      <c r="AQ89" s="12284" t="n"/>
      <c r="AR89" s="12284" t="n"/>
      <c r="AS89" s="12020" t="n"/>
    </row>
    <row r="90" ht="12.75" customHeight="1" s="7635">
      <c r="A90" s="139" t="n"/>
      <c r="B90" s="8374" t="n"/>
      <c r="C90" s="2770">
        <f>"coverage under an HDHP at any time during "&amp;TaxYear&amp;", see the instructions for the  amount  to"</f>
        <v/>
      </c>
      <c r="D90" s="2769" t="n"/>
      <c r="E90" s="11262" t="n"/>
      <c r="F90" s="11262" t="n"/>
      <c r="G90" s="2771" t="n"/>
      <c r="H90" s="8374" t="n"/>
      <c r="I90" s="8374" t="n"/>
      <c r="J90" s="8374" t="n"/>
      <c r="K90" s="3016" t="inlineStr">
        <is>
          <t xml:space="preserve">enter      .   .   .   .   .   </t>
        </is>
      </c>
      <c r="L90" s="2773">
        <f>B89</f>
        <v/>
      </c>
      <c r="M90" s="2774">
        <f>IF(Q90&lt;&gt;"",ROUND(Q90,0),IF(NOT(Q73),"",IF(T91,V91,IF(T92,V92,M88))))</f>
        <v/>
      </c>
      <c r="N90" s="2775" t="n"/>
      <c r="O90" s="343" t="n"/>
      <c r="P90" s="2990" t="n"/>
      <c r="Q90" s="118" t="n"/>
      <c r="R90" s="343" t="n"/>
      <c r="S90" s="11311" t="inlineStr">
        <is>
          <t>Line 6</t>
        </is>
      </c>
      <c r="T90" s="11311" t="inlineStr">
        <is>
          <t>Family?</t>
        </is>
      </c>
      <c r="U90" s="4287" t="inlineStr">
        <is>
          <t>You</t>
        </is>
      </c>
      <c r="V90" s="250" t="inlineStr">
        <is>
          <t>Spouse</t>
        </is>
      </c>
      <c r="W90" s="689" t="n"/>
      <c r="X90" s="4278" t="inlineStr">
        <is>
          <t>July</t>
        </is>
      </c>
      <c r="Y90" s="344" t="n"/>
      <c r="Z90" s="4279">
        <f>Z89</f>
        <v/>
      </c>
      <c r="AA90" s="344" t="n"/>
      <c r="AB90" s="4279">
        <f>AB89</f>
        <v/>
      </c>
      <c r="AC90" s="344" t="n"/>
      <c r="AD90" s="4279">
        <f>AD89</f>
        <v/>
      </c>
      <c r="AE90" s="344" t="n"/>
      <c r="AF90" s="4232">
        <f>IF(OR(Z90="Y",Z90="y"),0,IF(OR(AB90="N",AB90="n"),0,IF(AND(OR(AD90="F",AD90="f")),$V$84,$U$84)))</f>
        <v/>
      </c>
      <c r="AG90" s="346" t="n"/>
      <c r="AH90" s="344" t="n"/>
      <c r="AI90" s="343">
        <f>IF(AD90="S",1,0)</f>
        <v/>
      </c>
      <c r="AJ90" s="343">
        <f>IF(AND(OR(AB90="y",AB90="Y"),OR(AD90="f",AD90="F")),1,0)</f>
        <v/>
      </c>
      <c r="AK90" s="344" t="n"/>
      <c r="AL90" s="344" t="n"/>
      <c r="AM90" s="4232">
        <f>AF90*AJ90</f>
        <v/>
      </c>
      <c r="AN90" s="344" t="n"/>
      <c r="AP90" s="12774" t="n"/>
      <c r="AQ90" s="194" t="n"/>
      <c r="AR90" s="194" t="n"/>
      <c r="AS90" s="11952" t="n"/>
    </row>
    <row r="91" ht="12" customFormat="1" customHeight="1" s="214">
      <c r="A91" s="139" t="n"/>
      <c r="B91" s="8374" t="n">
        <v>7</v>
      </c>
      <c r="C91" s="2769">
        <f>"If you were age 55 or older at the end of "&amp;TaxYear&amp;", married, and you or your spouse had family coverage"</f>
        <v/>
      </c>
      <c r="D91" s="2770" t="n"/>
      <c r="E91" s="11262" t="n"/>
      <c r="F91" s="11262" t="n"/>
      <c r="G91" s="2771" t="n"/>
      <c r="H91" s="2771" t="n"/>
      <c r="I91" s="2771" t="n"/>
      <c r="J91" s="2771" t="n"/>
      <c r="K91" s="8374" t="n"/>
      <c r="L91" s="4273" t="n"/>
      <c r="M91" s="2799" t="n"/>
      <c r="N91" s="2783" t="n"/>
      <c r="O91" s="689" t="n"/>
      <c r="P91" s="3256" t="n"/>
      <c r="Q91" s="2785" t="n"/>
      <c r="R91" s="343" t="n"/>
      <c r="S91" s="688" t="inlineStr">
        <is>
          <t>Rule 1</t>
        </is>
      </c>
      <c r="T91" s="688">
        <f>AND($Q$7,$V$28,$AK$34=12)</f>
        <v/>
      </c>
      <c r="U91" s="4289">
        <f>U31</f>
        <v/>
      </c>
      <c r="V91" s="4288">
        <f>IF(T91,ROUND(M28*$AB$40/100,0),"---")</f>
        <v/>
      </c>
      <c r="W91" s="689" t="n"/>
      <c r="X91" s="4278" t="inlineStr">
        <is>
          <t>August</t>
        </is>
      </c>
      <c r="Y91" s="344" t="n"/>
      <c r="Z91" s="4279">
        <f>Z90</f>
        <v/>
      </c>
      <c r="AA91" s="344" t="n"/>
      <c r="AB91" s="4279">
        <f>AB90</f>
        <v/>
      </c>
      <c r="AC91" s="344" t="n"/>
      <c r="AD91" s="4279">
        <f>AD90</f>
        <v/>
      </c>
      <c r="AE91" s="344" t="n"/>
      <c r="AF91" s="4232">
        <f>IF(OR(Z91="Y",Z91="y"),0,IF(OR(AB91="N",AB91="n"),0,IF(AND(OR(AD91="F",AD91="f")),$V$84,$U$84)))</f>
        <v/>
      </c>
      <c r="AG91" s="346" t="n"/>
      <c r="AH91" s="344" t="n"/>
      <c r="AI91" s="343">
        <f>IF(AD91="S",1,0)</f>
        <v/>
      </c>
      <c r="AJ91" s="343">
        <f>IF(AND(OR(AB91="y",AB91="Y"),OR(AD91="f",AD91="F")),1,0)</f>
        <v/>
      </c>
      <c r="AK91" s="344" t="n"/>
      <c r="AL91" s="344" t="n"/>
      <c r="AM91" s="4232">
        <f>AF91*AJ91</f>
        <v/>
      </c>
      <c r="AN91" s="344" t="n"/>
      <c r="AO91" s="658" t="n"/>
      <c r="AP91" s="12774" t="n"/>
      <c r="AQ91" s="194" t="n"/>
      <c r="AR91" s="194" t="n"/>
      <c r="AS91" s="11952" t="n"/>
      <c r="AT91" s="658" t="n"/>
      <c r="AU91" s="658" t="n"/>
      <c r="AV91" s="658" t="n"/>
      <c r="AW91" s="658" t="n"/>
    </row>
    <row r="92" ht="12" customHeight="1" s="7635">
      <c r="A92" s="139" t="n"/>
      <c r="B92" s="8374" t="n"/>
      <c r="C92" s="2769">
        <f>"under an HDHP at any time during "&amp;TaxYear&amp;", enter your additional contribution amount. See instructions"</f>
        <v/>
      </c>
      <c r="D92" s="2769" t="n"/>
      <c r="E92" s="11262" t="n"/>
      <c r="F92" s="11262" t="n"/>
      <c r="G92" s="2771" t="n"/>
      <c r="H92" s="8374" t="n"/>
      <c r="I92" s="8374" t="n"/>
      <c r="J92" s="8374" t="n"/>
      <c r="K92" s="2031" t="n"/>
      <c r="L92" s="2773">
        <f>B91</f>
        <v/>
      </c>
      <c r="M92" s="2774">
        <f>IF(Q92&lt;&gt;"",ROUND(Q92,0),IF(AND(Q73,OR(AJ35,AJ97),AJ98),ROUND((S93*AJ96)/12,0),""))</f>
        <v/>
      </c>
      <c r="N92" s="2775" t="n"/>
      <c r="O92" s="343" t="n"/>
      <c r="P92" s="2990" t="n"/>
      <c r="Q92" s="118" t="n"/>
      <c r="R92" s="689" t="n"/>
      <c r="S92" s="688" t="inlineStr">
        <is>
          <t>Rule 2</t>
        </is>
      </c>
      <c r="T92" s="688">
        <f>AND($Q$7,$V$28,$AK$34&gt;0,$AK$34&lt;12)</f>
        <v/>
      </c>
      <c r="U92" s="4289">
        <f>U32</f>
        <v/>
      </c>
      <c r="V92" s="4288">
        <f>IF(T92,ROUND(V97,0),"---")</f>
        <v/>
      </c>
      <c r="W92" s="689" t="n"/>
      <c r="X92" s="4278" t="inlineStr">
        <is>
          <t>September</t>
        </is>
      </c>
      <c r="Y92" s="344" t="n"/>
      <c r="Z92" s="4279">
        <f>Z91</f>
        <v/>
      </c>
      <c r="AA92" s="344" t="n"/>
      <c r="AB92" s="4279">
        <f>AB91</f>
        <v/>
      </c>
      <c r="AC92" s="344" t="n"/>
      <c r="AD92" s="4279">
        <f>AD91</f>
        <v/>
      </c>
      <c r="AE92" s="344" t="n"/>
      <c r="AF92" s="4232">
        <f>IF(OR(Z92="Y",Z92="y"),0,IF(OR(AB92="N",AB92="n"),0,IF(AND(OR(AD92="F",AD92="f")),$V$84,$U$84)))</f>
        <v/>
      </c>
      <c r="AG92" s="346" t="n"/>
      <c r="AH92" s="344" t="n"/>
      <c r="AI92" s="343">
        <f>IF(AD92="S",1,0)</f>
        <v/>
      </c>
      <c r="AJ92" s="343">
        <f>IF(AND(OR(AB92="y",AB92="Y"),OR(AD92="f",AD92="F")),1,0)</f>
        <v/>
      </c>
      <c r="AK92" s="343" t="n"/>
      <c r="AL92" s="343" t="n"/>
      <c r="AM92" s="4232">
        <f>AF92*AJ92</f>
        <v/>
      </c>
      <c r="AN92" s="343" t="n"/>
      <c r="AP92" s="12774" t="n"/>
      <c r="AQ92" s="194" t="n"/>
      <c r="AR92" s="194" t="n"/>
      <c r="AS92" s="11952" t="n"/>
    </row>
    <row r="93" ht="12" customHeight="1" s="7635">
      <c r="A93" s="139" t="n"/>
      <c r="B93" s="8374" t="n">
        <v>8</v>
      </c>
      <c r="C93" s="2770" t="inlineStr">
        <is>
          <t>Add lines 6 and 7</t>
        </is>
      </c>
      <c r="D93" s="2770" t="n"/>
      <c r="E93" s="11262" t="n"/>
      <c r="F93" s="11262" t="n"/>
      <c r="G93" s="2771" t="n"/>
      <c r="H93" s="2771" t="n"/>
      <c r="I93" s="2771" t="n"/>
      <c r="J93" s="2771" t="n"/>
      <c r="K93" s="2031" t="inlineStr">
        <is>
          <t xml:space="preserve">.   .   .   .   .   .   .   .   .   .   .   .   .   .   .   .   .   .   .   .   .   .   .   .   .   .   .   .   . </t>
        </is>
      </c>
      <c r="L93" s="2773">
        <f>B93</f>
        <v/>
      </c>
      <c r="M93" s="2774">
        <f>SUM(M90,M92)</f>
        <v/>
      </c>
      <c r="N93" s="2775" t="n"/>
      <c r="O93" s="689" t="n"/>
      <c r="P93" s="2990" t="n"/>
      <c r="Q93" s="962" t="n"/>
      <c r="R93" s="343" t="n"/>
      <c r="S93" s="3104">
        <f>S33</f>
        <v/>
      </c>
      <c r="T93" s="688" t="n"/>
      <c r="U93" s="688" t="n"/>
      <c r="V93" s="688" t="n"/>
      <c r="W93" s="689" t="n"/>
      <c r="X93" s="4278" t="inlineStr">
        <is>
          <t>October</t>
        </is>
      </c>
      <c r="Y93" s="344" t="n"/>
      <c r="Z93" s="4279">
        <f>Z92</f>
        <v/>
      </c>
      <c r="AA93" s="344" t="n"/>
      <c r="AB93" s="4279">
        <f>AB92</f>
        <v/>
      </c>
      <c r="AC93" s="344" t="n"/>
      <c r="AD93" s="4279">
        <f>AD92</f>
        <v/>
      </c>
      <c r="AE93" s="344" t="n"/>
      <c r="AF93" s="4232">
        <f>IF(OR(Z93="Y",Z93="y"),0,IF(OR(AB93="N",AB93="n"),0,IF(AND(OR(AD93="F",AD93="f")),$V$84,$U$84)))</f>
        <v/>
      </c>
      <c r="AG93" s="346" t="n"/>
      <c r="AH93" s="344" t="n"/>
      <c r="AI93" s="343">
        <f>IF(AD93="S",1,0)</f>
        <v/>
      </c>
      <c r="AJ93" s="343">
        <f>IF(AND(OR(AB93="y",AB93="Y"),OR(AD93="f",AD93="F")),1,0)</f>
        <v/>
      </c>
      <c r="AK93" s="344" t="n"/>
      <c r="AL93" s="344" t="n"/>
      <c r="AM93" s="4232">
        <f>AF93*AJ93</f>
        <v/>
      </c>
      <c r="AN93" s="344" t="n"/>
      <c r="AP93" s="12774" t="n"/>
      <c r="AQ93" s="194" t="n"/>
      <c r="AR93" s="194" t="n"/>
      <c r="AS93" s="11952" t="n"/>
    </row>
    <row r="94" ht="12" customFormat="1" customHeight="1" s="214">
      <c r="A94" s="139" t="n"/>
      <c r="B94" s="8374" t="n">
        <v>9</v>
      </c>
      <c r="C94" s="2770">
        <f>"Employer contributions made to your HSAs for "&amp;TaxYear</f>
        <v/>
      </c>
      <c r="D94" s="2769" t="n"/>
      <c r="E94" s="11262" t="n"/>
      <c r="F94" s="11262" t="n"/>
      <c r="G94" s="12573" t="n"/>
      <c r="H94" s="8374" t="n"/>
      <c r="I94" s="8374" t="inlineStr">
        <is>
          <t xml:space="preserve">.   .   .   .   .   .   .   .   .   . </t>
        </is>
      </c>
      <c r="J94" s="2773">
        <f>B94</f>
        <v/>
      </c>
      <c r="K94" s="2816">
        <f>IF(Q94&lt;&gt;"",ROUND(Q94,0),IF(OR(Emp_Contr_HSA_Spouse="",Emp_Contr_HSA_Spouse=0),"",Emp_Contr_HSA_Spouse))</f>
        <v/>
      </c>
      <c r="L94" s="4292" t="n"/>
      <c r="M94" s="3159">
        <f>IF(File_Marr_Joint&lt;&gt;"",G92,IF(File_Marr_Sep&lt;&gt;"",G93,IF(OR(File_Single&lt;&gt;"",File_Head&lt;&gt;"",File_Qual_Widow&lt;&gt;""),G94,"---")))</f>
        <v/>
      </c>
      <c r="N94" s="2775" t="n"/>
      <c r="O94" s="11259" t="inlineStr">
        <is>
          <t>(W-2, Box 12W)</t>
        </is>
      </c>
      <c r="Q94" s="118" t="n"/>
      <c r="R94" s="689" t="n"/>
      <c r="S94" s="688" t="inlineStr">
        <is>
          <t>Step 1</t>
        </is>
      </c>
      <c r="T94" s="3104" t="n"/>
      <c r="U94" s="4347">
        <f>U34</f>
        <v/>
      </c>
      <c r="V94" s="4293">
        <f>IF($AJ$97,SUM(ROUND(AM96/AJ96,0),-M87),0)</f>
        <v/>
      </c>
      <c r="W94" s="689" t="n"/>
      <c r="X94" s="4278" t="inlineStr">
        <is>
          <t>November</t>
        </is>
      </c>
      <c r="Y94" s="344" t="n"/>
      <c r="Z94" s="4279">
        <f>Z93</f>
        <v/>
      </c>
      <c r="AA94" s="344" t="n"/>
      <c r="AB94" s="4279">
        <f>AB93</f>
        <v/>
      </c>
      <c r="AC94" s="344" t="n"/>
      <c r="AD94" s="4279">
        <f>AD93</f>
        <v/>
      </c>
      <c r="AE94" s="344" t="n"/>
      <c r="AF94" s="4232">
        <f>IF(OR(Z94="Y",Z94="y"),0,IF(OR(AB94="N",AB94="n"),0,IF(AND(OR(AD94="F",AD94="f")),$V$84,$U$84)))</f>
        <v/>
      </c>
      <c r="AG94" s="346" t="n"/>
      <c r="AH94" s="344" t="n"/>
      <c r="AI94" s="343">
        <f>IF(AD94="S",1,0)</f>
        <v/>
      </c>
      <c r="AJ94" s="343">
        <f>IF(AND(OR(AB94="y",AB94="Y"),OR(AD94="f",AD94="F")),1,0)</f>
        <v/>
      </c>
      <c r="AK94" s="344" t="n"/>
      <c r="AL94" s="344" t="n"/>
      <c r="AM94" s="4232">
        <f>AF94*AJ94</f>
        <v/>
      </c>
      <c r="AN94" s="344" t="n"/>
      <c r="AO94" s="658" t="n"/>
      <c r="AP94" s="12774" t="n"/>
      <c r="AQ94" s="194" t="n"/>
      <c r="AR94" s="194" t="n"/>
      <c r="AS94" s="11952" t="n"/>
      <c r="AT94" s="658" t="n"/>
      <c r="AU94" s="658" t="n"/>
      <c r="AV94" s="658" t="n"/>
      <c r="AW94" s="658" t="n"/>
    </row>
    <row r="95" ht="12" customHeight="1" s="7635" thickBot="1">
      <c r="A95" s="139" t="n"/>
      <c r="B95" s="8374" t="n">
        <v>10</v>
      </c>
      <c r="C95" s="2770" t="inlineStr">
        <is>
          <t>Qualified HSA funding distributions</t>
        </is>
      </c>
      <c r="D95" s="2769" t="n"/>
      <c r="E95" s="11262" t="n"/>
      <c r="F95" s="11262" t="n"/>
      <c r="G95" s="12573" t="n"/>
      <c r="H95" s="8374" t="n"/>
      <c r="I95" s="8374" t="inlineStr">
        <is>
          <t xml:space="preserve">.   .   .   .   .   .   .   .   .   .   .   .   .   .   . </t>
        </is>
      </c>
      <c r="J95" s="2773">
        <f>B95</f>
        <v/>
      </c>
      <c r="K95" s="335" t="n"/>
      <c r="L95" s="4292" t="n"/>
      <c r="M95" s="3159">
        <f>IF(File_Marr_Joint&lt;&gt;"",G93,IF(File_Marr_Sep&lt;&gt;"",G94,IF(OR(File_Single&lt;&gt;"",File_Head&lt;&gt;"",File_Qual_Widow&lt;&gt;""),G95,"---")))</f>
        <v/>
      </c>
      <c r="N95" s="2775" t="n"/>
      <c r="O95" s="343" t="n"/>
      <c r="P95" s="2990" t="n"/>
      <c r="Q95" s="962" t="n"/>
      <c r="R95" s="343" t="n"/>
      <c r="S95" s="688" t="inlineStr">
        <is>
          <t>Step 2</t>
        </is>
      </c>
      <c r="T95" s="688" t="n"/>
      <c r="U95" s="4347">
        <f>U35</f>
        <v/>
      </c>
      <c r="V95" s="4293">
        <f>IF($AJ$97,V94*AB40/100,0)</f>
        <v/>
      </c>
      <c r="W95" s="689" t="n"/>
      <c r="X95" s="4278" t="inlineStr">
        <is>
          <t>December</t>
        </is>
      </c>
      <c r="Y95" s="344" t="n"/>
      <c r="Z95" s="4279">
        <f>Z94</f>
        <v/>
      </c>
      <c r="AA95" s="344" t="n"/>
      <c r="AB95" s="4279">
        <f>AB94</f>
        <v/>
      </c>
      <c r="AC95" s="344" t="n"/>
      <c r="AD95" s="4279">
        <f>AD94</f>
        <v/>
      </c>
      <c r="AE95" s="344" t="n"/>
      <c r="AF95" s="4290">
        <f>IF(OR(Z95="Y",Z95="y"),0,IF(OR(AB95="N",AB95="n"),0,IF(AND(OR(AD95="F",AD95="f")),$V$84,$U$84)))</f>
        <v/>
      </c>
      <c r="AG95" s="346" t="n"/>
      <c r="AH95" s="344" t="n"/>
      <c r="AI95" s="4291">
        <f>IF(AD95="S",1,0)</f>
        <v/>
      </c>
      <c r="AJ95" s="4291">
        <f>IF(AND(OR(AB95="y",AB95="Y"),OR(AD95="f",AD95="F")),1,0)</f>
        <v/>
      </c>
      <c r="AK95" s="343" t="n"/>
      <c r="AL95" s="343" t="n"/>
      <c r="AM95" s="4290">
        <f>AF95*AJ95</f>
        <v/>
      </c>
      <c r="AN95" s="343" t="n"/>
      <c r="AP95" s="12774" t="n"/>
      <c r="AQ95" s="194" t="n"/>
      <c r="AR95" s="194" t="n"/>
      <c r="AS95" s="11952" t="n"/>
    </row>
    <row r="96" ht="12" customHeight="1" s="7635" thickTop="1">
      <c r="A96" s="139" t="n"/>
      <c r="B96" s="8374" t="n">
        <v>11</v>
      </c>
      <c r="C96" s="2770" t="inlineStr">
        <is>
          <t>Add lines 9 and 10</t>
        </is>
      </c>
      <c r="D96" s="2770" t="n"/>
      <c r="E96" s="11262" t="n"/>
      <c r="F96" s="11262" t="n"/>
      <c r="G96" s="2771" t="n"/>
      <c r="H96" s="2771" t="n"/>
      <c r="I96" s="2771" t="n"/>
      <c r="J96" s="2771" t="n"/>
      <c r="K96" s="2031" t="inlineStr">
        <is>
          <t xml:space="preserve">.   .   .   .   .   .   .   .   .   .   .   .   .   .   .   .   .   .   .   .   .   .   .   .   .   .   .   . </t>
        </is>
      </c>
      <c r="L96" s="2773">
        <f>B96</f>
        <v/>
      </c>
      <c r="M96" s="2774">
        <f>SUM(K94,K95)</f>
        <v/>
      </c>
      <c r="N96" s="2775" t="n"/>
      <c r="O96" s="11327" t="inlineStr">
        <is>
          <t>See instructions at right     &gt;&gt;&gt;</t>
        </is>
      </c>
      <c r="Q96" s="962" t="n"/>
      <c r="R96" s="343" t="n"/>
      <c r="S96" s="688" t="inlineStr">
        <is>
          <t>Step 3</t>
        </is>
      </c>
      <c r="T96" s="688" t="n"/>
      <c r="U96" s="4347">
        <f>U36</f>
        <v/>
      </c>
      <c r="V96" s="4293">
        <f>IF($AJ$97,SUM(V94,-U95),0)</f>
        <v/>
      </c>
      <c r="W96" s="689" t="n"/>
      <c r="X96" s="11292" t="inlineStr">
        <is>
          <t>Total for all months</t>
        </is>
      </c>
      <c r="AF96" s="4232">
        <f>SUM(AF84:AF95)</f>
        <v/>
      </c>
      <c r="AG96" s="346" t="n"/>
      <c r="AH96" s="344" t="n"/>
      <c r="AI96" s="343">
        <f>SUM(AI84:AI95)</f>
        <v/>
      </c>
      <c r="AJ96" s="343">
        <f>SUM(AJ84:AJ95)</f>
        <v/>
      </c>
      <c r="AK96" s="344" t="n"/>
      <c r="AL96" s="344" t="n"/>
      <c r="AM96" s="4232">
        <f>SUM(AM84:AM95)</f>
        <v/>
      </c>
      <c r="AN96" s="344" t="n"/>
      <c r="AP96" s="12774" t="n"/>
      <c r="AQ96" s="194" t="n"/>
      <c r="AR96" s="194" t="n"/>
      <c r="AS96" s="11952" t="n"/>
    </row>
    <row r="97" ht="12.75" customHeight="1" s="7635">
      <c r="A97" s="139" t="n"/>
      <c r="B97" s="8374" t="n">
        <v>12</v>
      </c>
      <c r="C97" s="2770" t="inlineStr">
        <is>
          <t>Subtract line 11 from line 8. If zero or less, enter -0-</t>
        </is>
      </c>
      <c r="D97" s="2770" t="n"/>
      <c r="E97" s="11262" t="n"/>
      <c r="F97" s="11262" t="n"/>
      <c r="G97" s="2771" t="n"/>
      <c r="H97" s="2771" t="n"/>
      <c r="I97" s="2771" t="n"/>
      <c r="J97" s="2771" t="n"/>
      <c r="K97" s="2031" t="inlineStr">
        <is>
          <t xml:space="preserve"> .   .   .   .   .   .   .   .   .   .   .   .   .   .   .   .   .   . </t>
        </is>
      </c>
      <c r="L97" s="2773">
        <f>B97</f>
        <v/>
      </c>
      <c r="M97" s="2774">
        <f>MAX(0,SUM(M93,-M96))</f>
        <v/>
      </c>
      <c r="N97" s="2775" t="n"/>
      <c r="Q97" s="962" t="n"/>
      <c r="R97" s="689" t="n"/>
      <c r="S97" s="688" t="inlineStr">
        <is>
          <t>Step 4</t>
        </is>
      </c>
      <c r="T97" s="688" t="n"/>
      <c r="U97" s="4347">
        <f>U37</f>
        <v/>
      </c>
      <c r="V97" s="4293">
        <f>V96</f>
        <v/>
      </c>
      <c r="W97" s="689" t="n"/>
      <c r="X97" s="341" t="n"/>
      <c r="Y97" s="11602" t="n"/>
      <c r="Z97" s="11602" t="n"/>
      <c r="AA97" s="11602" t="n"/>
      <c r="AB97" s="11602" t="n"/>
      <c r="AC97" s="11602" t="n"/>
      <c r="AD97" s="11602" t="n"/>
      <c r="AE97" s="4296" t="inlineStr">
        <is>
          <t>Limitation. Divide the total by 12.</t>
        </is>
      </c>
      <c r="AF97" s="4232">
        <f>ROUND(AF96/12,0)</f>
        <v/>
      </c>
      <c r="AG97" s="346" t="n"/>
      <c r="AH97" s="344" t="n"/>
      <c r="AI97" s="343">
        <f>(AI96=12)</f>
        <v/>
      </c>
      <c r="AJ97" s="343">
        <f>AND(AJ96&gt;0,AJ96&lt;12)</f>
        <v/>
      </c>
      <c r="AK97" s="344" t="n"/>
      <c r="AL97" s="344" t="n"/>
      <c r="AM97" s="344" t="n"/>
      <c r="AN97" s="344" t="n"/>
      <c r="AP97" s="12774" t="n"/>
      <c r="AQ97" s="194" t="n"/>
      <c r="AR97" s="194" t="n"/>
      <c r="AS97" s="11952" t="n"/>
    </row>
    <row r="98" ht="12" customHeight="1" s="7635" thickBot="1">
      <c r="A98" s="139" t="n"/>
      <c r="B98" s="3741" t="n">
        <v>13</v>
      </c>
      <c r="C98" s="4298" t="inlineStr">
        <is>
          <t>HSA deduction. (see instructions)</t>
        </is>
      </c>
      <c r="D98" s="4299" t="n"/>
      <c r="E98" s="4300" t="n"/>
      <c r="F98" s="4300" t="n"/>
      <c r="G98" s="4301" t="n"/>
      <c r="H98" s="4301" t="n"/>
      <c r="I98" s="4301" t="n"/>
      <c r="J98" s="4301" t="n"/>
      <c r="K98" s="4302" t="inlineStr">
        <is>
          <t xml:space="preserve"> .   .   .   .   .   .   .   .   .   .   .   .   .   .   .   .   .   .   .   .   .   .   .   . </t>
        </is>
      </c>
      <c r="L98" s="4303">
        <f>B98</f>
        <v/>
      </c>
      <c r="M98" s="3067">
        <f>IF(Q98&lt;&gt;"",ROUND(Q98,0),IF(M81="",0,IF(Q73,MIN(M81,M97),"")))</f>
        <v/>
      </c>
      <c r="N98" s="2775" t="n"/>
      <c r="Q98" s="118" t="n"/>
      <c r="R98" s="689" t="n"/>
      <c r="S98" s="688" t="n"/>
      <c r="T98" s="688" t="n"/>
      <c r="U98" s="688" t="n"/>
      <c r="V98" s="688" t="n"/>
      <c r="W98" s="4311" t="n"/>
      <c r="X98" s="4348" t="n"/>
      <c r="Y98" s="498" t="n"/>
      <c r="Z98" s="4320" t="n"/>
      <c r="AA98" s="498" t="n"/>
      <c r="AB98" s="4320" t="n"/>
      <c r="AC98" s="498" t="n"/>
      <c r="AD98" s="4320" t="n"/>
      <c r="AE98" s="498" t="n"/>
      <c r="AF98" s="4321" t="n"/>
      <c r="AG98" s="499" t="n"/>
      <c r="AH98" s="344" t="n"/>
      <c r="AI98" s="343">
        <f>AND(YourAge&gt;=P82,OR(AND(File_Marr_Joint&lt;&gt;"",AI97),File_Marr_Joint=""))</f>
        <v/>
      </c>
      <c r="AJ98" s="343">
        <f>AND(SpouseAge&gt;=P82,File_Marr_Joint&lt;&gt;"")</f>
        <v/>
      </c>
      <c r="AK98" s="344" t="n"/>
      <c r="AL98" s="344" t="n"/>
      <c r="AM98" s="344" t="n"/>
      <c r="AN98" s="344" t="n"/>
      <c r="AP98" s="12774" t="n"/>
      <c r="AQ98" s="194" t="n"/>
      <c r="AR98" s="194" t="n"/>
      <c r="AS98" s="11952" t="n"/>
    </row>
    <row r="99" ht="12" customHeight="1" s="7635">
      <c r="A99" s="139" t="n"/>
      <c r="B99" s="4307" t="inlineStr">
        <is>
          <t>Part II</t>
        </is>
      </c>
      <c r="C99" s="11258" t="inlineStr">
        <is>
          <t xml:space="preserve"> HSA Distributions. If you are filing jointly and both you and your spouse each have separate HSAs, complete
a separate Part II for each spouse.</t>
        </is>
      </c>
      <c r="N99" s="2762" t="n"/>
      <c r="O99" s="4308" t="n"/>
      <c r="P99" s="2763" t="n"/>
      <c r="Q99" s="4309" t="n"/>
      <c r="R99" s="689" t="n"/>
      <c r="S99" s="688" t="n"/>
      <c r="T99" s="688" t="n"/>
      <c r="U99" s="688" t="n"/>
      <c r="V99" s="688" t="n"/>
      <c r="W99" s="4311" t="n"/>
      <c r="X99" s="343" t="n"/>
      <c r="Y99" s="344" t="n"/>
      <c r="Z99" s="689" t="n"/>
      <c r="AA99" s="344" t="n"/>
      <c r="AB99" s="689" t="n"/>
      <c r="AC99" s="344" t="n"/>
      <c r="AD99" s="689" t="n"/>
      <c r="AE99" s="344" t="n"/>
      <c r="AF99" s="4232" t="n"/>
      <c r="AG99" s="344" t="n"/>
      <c r="AH99" s="344" t="n"/>
      <c r="AI99" s="344" t="n"/>
      <c r="AJ99" s="344" t="n"/>
      <c r="AK99" s="344" t="n"/>
      <c r="AL99" s="344" t="n"/>
      <c r="AM99" s="344" t="n"/>
      <c r="AN99" s="344" t="n"/>
      <c r="AP99" s="12774" t="n"/>
      <c r="AQ99" s="194" t="n"/>
      <c r="AR99" s="194" t="n"/>
      <c r="AS99" s="11952" t="n"/>
    </row>
    <row r="100" ht="12.75" customHeight="1" s="7635">
      <c r="A100" s="139" t="n"/>
      <c r="B100" s="4349" t="n"/>
      <c r="N100" s="2762" t="n"/>
      <c r="O100" s="4308" t="n"/>
      <c r="P100" s="2763" t="n"/>
      <c r="Q100" s="4309" t="n"/>
      <c r="R100" s="689" t="n"/>
      <c r="S100" s="688" t="n"/>
      <c r="T100" s="688" t="n"/>
      <c r="U100" s="688" t="n"/>
      <c r="V100" s="688" t="n"/>
      <c r="W100" s="7957" t="n"/>
      <c r="X100" s="343" t="n"/>
      <c r="Y100" s="344" t="n"/>
      <c r="Z100" s="689" t="n"/>
      <c r="AA100" s="344" t="n"/>
      <c r="AB100" s="689" t="n"/>
      <c r="AC100" s="344" t="n"/>
      <c r="AD100" s="689" t="n"/>
      <c r="AE100" s="344" t="n"/>
      <c r="AF100" s="4232" t="n"/>
      <c r="AG100" s="344" t="n"/>
      <c r="AH100" s="344" t="n"/>
      <c r="AI100" s="344" t="n"/>
      <c r="AJ100" s="344" t="n"/>
      <c r="AK100" s="344" t="n"/>
      <c r="AL100" s="344" t="n"/>
      <c r="AM100" s="344" t="n"/>
      <c r="AN100" s="344" t="n"/>
      <c r="AP100" s="12774" t="n"/>
      <c r="AQ100" s="194" t="n"/>
      <c r="AR100" s="194" t="n"/>
      <c r="AS100" s="11952" t="n"/>
    </row>
    <row r="101" ht="12" customFormat="1" customHeight="1" s="214">
      <c r="A101" s="139" t="n"/>
      <c r="B101" s="4316" t="n"/>
      <c r="C101" s="7637" t="n"/>
      <c r="D101" s="7637" t="n"/>
      <c r="E101" s="7637" t="n"/>
      <c r="F101" s="7637" t="n"/>
      <c r="G101" s="7637" t="n"/>
      <c r="H101" s="7637" t="n"/>
      <c r="I101" s="7637" t="n"/>
      <c r="J101" s="7637" t="n"/>
      <c r="K101" s="7637" t="n"/>
      <c r="L101" s="7637" t="n"/>
      <c r="M101" s="7637" t="n"/>
      <c r="N101" s="2762" t="n"/>
      <c r="O101" s="4308" t="n"/>
      <c r="P101" s="4317" t="n"/>
      <c r="Q101" s="2013" t="n"/>
      <c r="R101" s="689" t="n"/>
      <c r="S101" s="688" t="n"/>
      <c r="T101" s="688" t="n"/>
      <c r="U101" s="688" t="n"/>
      <c r="V101" s="688" t="n"/>
      <c r="W101" s="689" t="n"/>
      <c r="X101" s="343" t="n"/>
      <c r="Y101" s="344" t="n"/>
      <c r="Z101" s="689" t="n"/>
      <c r="AA101" s="344" t="n"/>
      <c r="AB101" s="689" t="n"/>
      <c r="AC101" s="344" t="n"/>
      <c r="AD101" s="689" t="n"/>
      <c r="AE101" s="344" t="n"/>
      <c r="AF101" s="4232" t="n"/>
      <c r="AG101" s="344" t="n"/>
      <c r="AH101" s="344" t="n"/>
      <c r="AI101" s="344" t="n"/>
      <c r="AJ101" s="344" t="n"/>
      <c r="AK101" s="344" t="n"/>
      <c r="AL101" s="689" t="n"/>
      <c r="AM101" s="689" t="n"/>
      <c r="AN101" s="689" t="n"/>
      <c r="AO101" s="658" t="n"/>
      <c r="AP101" s="12774" t="n"/>
      <c r="AQ101" s="194" t="n"/>
      <c r="AR101" s="194" t="n"/>
      <c r="AS101" s="11952" t="n"/>
      <c r="AT101" s="658" t="n"/>
      <c r="AU101" s="658" t="n"/>
      <c r="AV101" s="658" t="n"/>
      <c r="AW101" s="658" t="n"/>
    </row>
    <row r="102" customFormat="1" s="214">
      <c r="A102" s="139" t="n"/>
      <c r="B102" s="8374" t="inlineStr">
        <is>
          <t>14a</t>
        </is>
      </c>
      <c r="C102" s="2770">
        <f>"Total distributions you received in "&amp;TaxYear&amp;" from all HSAs (see instructions)"</f>
        <v/>
      </c>
      <c r="D102" s="2770" t="n"/>
      <c r="E102" s="11262" t="n"/>
      <c r="F102" s="11262" t="n"/>
      <c r="G102" s="2771" t="n"/>
      <c r="H102" s="2771" t="n"/>
      <c r="I102" s="2771" t="n"/>
      <c r="J102" s="2771" t="n"/>
      <c r="K102" s="2031" t="inlineStr">
        <is>
          <t xml:space="preserve"> .   .   .   .   .   .   .   .   .   .   .   . </t>
        </is>
      </c>
      <c r="L102" s="3039">
        <f>B102</f>
        <v/>
      </c>
      <c r="M102" s="335" t="n"/>
      <c r="N102" s="2775" t="n"/>
      <c r="O102" s="4308" t="n"/>
      <c r="P102" s="2990" t="n"/>
      <c r="Q102" s="962" t="n"/>
      <c r="R102" s="689" t="n"/>
      <c r="S102" s="4325" t="n"/>
      <c r="T102" s="4325" t="n"/>
      <c r="U102" s="4325" t="n"/>
      <c r="V102" s="4325" t="n"/>
      <c r="W102" s="689" t="n"/>
      <c r="X102" s="343" t="n"/>
      <c r="Y102" s="344" t="n"/>
      <c r="Z102" s="689" t="n"/>
      <c r="AA102" s="344" t="n"/>
      <c r="AB102" s="689" t="n"/>
      <c r="AC102" s="344" t="n"/>
      <c r="AD102" s="689" t="n"/>
      <c r="AE102" s="344" t="n"/>
      <c r="AF102" s="4232" t="n"/>
      <c r="AG102" s="344" t="n"/>
      <c r="AH102" s="344" t="n"/>
      <c r="AI102" s="344" t="n"/>
      <c r="AJ102" s="344" t="n"/>
      <c r="AK102" s="344" t="n"/>
      <c r="AL102" s="343" t="n"/>
      <c r="AM102" s="343" t="n"/>
      <c r="AN102" s="343" t="n"/>
      <c r="AO102" s="658" t="n"/>
      <c r="AP102" s="12774" t="n"/>
      <c r="AQ102" s="194" t="n"/>
      <c r="AR102" s="194" t="n"/>
      <c r="AS102" s="11952" t="n"/>
      <c r="AT102" s="658" t="n"/>
      <c r="AU102" s="658" t="n"/>
      <c r="AV102" s="658" t="n"/>
      <c r="AW102" s="658" t="n"/>
    </row>
    <row r="103">
      <c r="A103" s="139" t="n"/>
      <c r="B103" s="8374" t="inlineStr">
        <is>
          <t>b</t>
        </is>
      </c>
      <c r="C103" s="2769" t="inlineStr">
        <is>
          <t>Distributions included on line 14a that you rolled over to another HSA. Also include any excess</t>
        </is>
      </c>
      <c r="D103" s="2770" t="n"/>
      <c r="E103" s="11262" t="n"/>
      <c r="F103" s="11262" t="n"/>
      <c r="G103" s="2771" t="n"/>
      <c r="H103" s="2771" t="n"/>
      <c r="I103" s="2771" t="n"/>
      <c r="J103" s="2771" t="n"/>
      <c r="K103" s="8374" t="n"/>
      <c r="L103" s="3215" t="n"/>
      <c r="M103" s="2799" t="n"/>
      <c r="N103" s="2783" t="n"/>
      <c r="O103" s="689" t="n"/>
      <c r="P103" s="3256" t="n"/>
      <c r="Q103" s="2785" t="n"/>
      <c r="R103" s="689" t="n"/>
      <c r="S103" s="4325" t="n"/>
      <c r="T103" s="4325" t="n"/>
      <c r="U103" s="4325" t="n"/>
      <c r="V103" s="4325" t="n"/>
      <c r="W103" s="689" t="n"/>
      <c r="X103" s="343" t="n"/>
      <c r="Y103" s="344" t="n"/>
      <c r="Z103" s="689" t="n"/>
      <c r="AA103" s="344" t="n"/>
      <c r="AB103" s="689" t="n"/>
      <c r="AC103" s="344" t="n"/>
      <c r="AD103" s="689" t="n"/>
      <c r="AE103" s="344" t="n"/>
      <c r="AF103" s="4232" t="n"/>
      <c r="AG103" s="344" t="n"/>
      <c r="AH103" s="344" t="n"/>
      <c r="AI103" s="344" t="n"/>
      <c r="AJ103" s="344" t="n"/>
      <c r="AK103" s="344" t="n"/>
      <c r="AL103" s="343" t="n"/>
      <c r="AM103" s="343" t="n"/>
      <c r="AN103" s="343" t="n"/>
      <c r="AP103" s="12774" t="n"/>
      <c r="AQ103" s="194" t="n"/>
      <c r="AR103" s="194" t="n"/>
      <c r="AS103" s="11952" t="n"/>
    </row>
    <row r="104" ht="13.5" customHeight="1" s="7635" thickBot="1">
      <c r="A104" s="139" t="n"/>
      <c r="B104" s="8374" t="n"/>
      <c r="C104" s="2769" t="inlineStr">
        <is>
          <t>contributions (and the earnings on those excess contributions) included on line 14a that were</t>
        </is>
      </c>
      <c r="D104" s="2769" t="n"/>
      <c r="E104" s="11262" t="n"/>
      <c r="F104" s="11262" t="n"/>
      <c r="G104" s="2771" t="n"/>
      <c r="H104" s="2771" t="n"/>
      <c r="I104" s="2771" t="n"/>
      <c r="J104" s="2771" t="n"/>
      <c r="K104" s="2771" t="n"/>
      <c r="L104" s="2802" t="n"/>
      <c r="M104" s="2791" t="n"/>
      <c r="N104" s="2775" t="n"/>
      <c r="O104" s="343" t="n"/>
      <c r="P104" s="2990" t="n"/>
      <c r="Q104" s="2785" t="n"/>
      <c r="R104" s="689" t="n"/>
      <c r="S104" s="688" t="n"/>
      <c r="T104" s="688" t="n"/>
      <c r="U104" s="688" t="n"/>
      <c r="V104" s="688" t="n"/>
      <c r="W104" s="10978" t="n"/>
      <c r="X104" s="343" t="n"/>
      <c r="Y104" s="344" t="n"/>
      <c r="Z104" s="689" t="n"/>
      <c r="AA104" s="344" t="n"/>
      <c r="AB104" s="689" t="n"/>
      <c r="AC104" s="344" t="n"/>
      <c r="AD104" s="689" t="n"/>
      <c r="AE104" s="344" t="n"/>
      <c r="AF104" s="4232" t="n"/>
      <c r="AG104" s="344" t="n"/>
      <c r="AH104" s="344" t="n"/>
      <c r="AI104" s="344" t="n"/>
      <c r="AJ104" s="344" t="n"/>
      <c r="AK104" s="344" t="n"/>
      <c r="AL104" s="344" t="n"/>
      <c r="AM104" s="344" t="n"/>
      <c r="AN104" s="344" t="n"/>
      <c r="AP104" s="12288" t="n"/>
      <c r="AQ104" s="11795" t="n"/>
      <c r="AR104" s="11795" t="n"/>
      <c r="AS104" s="12289" t="n"/>
    </row>
    <row r="105">
      <c r="A105" s="139" t="n"/>
      <c r="B105" s="8374" t="n"/>
      <c r="C105" s="2769" t="inlineStr">
        <is>
          <t>withdrawn by the due date of your return (see instructions)</t>
        </is>
      </c>
      <c r="D105" s="2769" t="n"/>
      <c r="E105" s="11262" t="n"/>
      <c r="F105" s="11262" t="n"/>
      <c r="G105" s="2771" t="n"/>
      <c r="H105" s="8374" t="n"/>
      <c r="I105" s="8374" t="n"/>
      <c r="J105" s="8374" t="n"/>
      <c r="K105" s="2031" t="inlineStr">
        <is>
          <t xml:space="preserve"> .   .   .   .   .   .   .   .   .   .   .   .   .   .   .   . </t>
        </is>
      </c>
      <c r="L105" s="3039" t="inlineStr">
        <is>
          <t>14b</t>
        </is>
      </c>
      <c r="M105" s="335" t="n"/>
      <c r="N105" s="2775" t="n"/>
      <c r="O105" s="343" t="n"/>
      <c r="P105" s="2990" t="n"/>
      <c r="Q105" s="2785" t="n"/>
      <c r="R105" s="689" t="n"/>
      <c r="S105" s="688" t="n"/>
      <c r="T105" s="688" t="n"/>
      <c r="U105" s="688" t="n"/>
      <c r="V105" s="688" t="n"/>
      <c r="W105" s="689" t="n"/>
      <c r="X105" s="343" t="n"/>
      <c r="Y105" s="344" t="n"/>
      <c r="Z105" s="689" t="n"/>
      <c r="AA105" s="344" t="n"/>
      <c r="AB105" s="689" t="n"/>
      <c r="AC105" s="344" t="n"/>
      <c r="AD105" s="689" t="n"/>
      <c r="AE105" s="344" t="n"/>
      <c r="AF105" s="4232" t="n"/>
      <c r="AG105" s="344" t="n"/>
      <c r="AH105" s="344" t="n"/>
      <c r="AI105" s="344" t="n"/>
      <c r="AJ105" s="344" t="n"/>
      <c r="AK105" s="344" t="n"/>
      <c r="AL105" s="344" t="n"/>
      <c r="AM105" s="344" t="n"/>
      <c r="AN105" s="344" t="n"/>
    </row>
    <row r="106" ht="12" customHeight="1" s="7635">
      <c r="A106" s="139" t="n"/>
      <c r="B106" s="8374" t="inlineStr">
        <is>
          <t>c</t>
        </is>
      </c>
      <c r="C106" s="2769" t="inlineStr">
        <is>
          <t>Subtract line 14b from line 14a</t>
        </is>
      </c>
      <c r="D106" s="2770" t="n"/>
      <c r="E106" s="11262" t="n"/>
      <c r="F106" s="11262" t="n"/>
      <c r="G106" s="2771" t="n"/>
      <c r="H106" s="2771" t="n"/>
      <c r="I106" s="2771" t="n"/>
      <c r="J106" s="2771" t="n"/>
      <c r="K106" s="2031" t="inlineStr">
        <is>
          <t xml:space="preserve"> .   .   .   .   .   .   .   .   .   .   .   .   .   .   .   .   .   .   .   .   .   .   .   .   .   . </t>
        </is>
      </c>
      <c r="L106" s="3039" t="inlineStr">
        <is>
          <t>14c</t>
        </is>
      </c>
      <c r="M106" s="2774">
        <f>SUM(M102,-M105)</f>
        <v/>
      </c>
      <c r="N106" s="2775" t="n"/>
      <c r="O106" s="689" t="n"/>
      <c r="P106" s="2990" t="n"/>
      <c r="Q106" s="2785" t="n"/>
      <c r="R106" s="343" t="n"/>
      <c r="S106" s="314" t="n"/>
      <c r="T106" s="314" t="n"/>
      <c r="U106" s="314" t="n"/>
      <c r="V106" s="314" t="n"/>
      <c r="W106" s="689" t="n"/>
      <c r="X106" s="343" t="n"/>
      <c r="Y106" s="344" t="n"/>
      <c r="Z106" s="689" t="n"/>
      <c r="AA106" s="344" t="n"/>
      <c r="AB106" s="689" t="n"/>
      <c r="AC106" s="344" t="n"/>
      <c r="AD106" s="689" t="n"/>
      <c r="AE106" s="344" t="n"/>
      <c r="AF106" s="4232" t="n"/>
      <c r="AG106" s="344" t="n"/>
      <c r="AH106" s="344" t="n"/>
      <c r="AI106" s="344" t="n"/>
      <c r="AJ106" s="344" t="n"/>
      <c r="AK106" s="344" t="n"/>
      <c r="AL106" s="343" t="n"/>
      <c r="AM106" s="343" t="n"/>
      <c r="AN106" s="343" t="n"/>
    </row>
    <row r="107" ht="12.75" customHeight="1" s="7635">
      <c r="A107" s="139" t="n"/>
      <c r="B107" s="8374" t="n">
        <v>15</v>
      </c>
      <c r="C107" s="2769" t="inlineStr">
        <is>
          <t>Qualified medical expenses paid using HSA distributions (see instructions)</t>
        </is>
      </c>
      <c r="D107" s="2770" t="n"/>
      <c r="E107" s="11262" t="n"/>
      <c r="F107" s="11262" t="n"/>
      <c r="G107" s="2771" t="n"/>
      <c r="H107" s="2771" t="n"/>
      <c r="I107" s="2771" t="n"/>
      <c r="J107" s="2771" t="n"/>
      <c r="K107" s="2031" t="inlineStr">
        <is>
          <t xml:space="preserve"> .   .   .   .   .   .   .   .   .   . </t>
        </is>
      </c>
      <c r="L107" s="2773">
        <f>B107</f>
        <v/>
      </c>
      <c r="M107" s="335" t="n"/>
      <c r="N107" s="2775" t="n"/>
      <c r="O107" s="689" t="n"/>
      <c r="P107" s="2990" t="n"/>
      <c r="Q107" s="962" t="n"/>
      <c r="R107" s="343" t="n"/>
      <c r="S107" s="688" t="n"/>
      <c r="T107" s="688" t="n"/>
      <c r="U107" s="688" t="n"/>
      <c r="V107" s="688" t="n"/>
      <c r="W107" s="689" t="n"/>
      <c r="X107" s="343" t="n"/>
      <c r="Y107" s="344" t="n"/>
      <c r="Z107" s="689" t="n"/>
      <c r="AA107" s="344" t="n"/>
      <c r="AB107" s="689" t="n"/>
      <c r="AC107" s="344" t="n"/>
      <c r="AD107" s="689" t="n"/>
      <c r="AE107" s="344" t="n"/>
      <c r="AF107" s="4232" t="n"/>
      <c r="AG107" s="344" t="n"/>
      <c r="AH107" s="344" t="n"/>
      <c r="AI107" s="344" t="n"/>
      <c r="AJ107" s="344" t="n"/>
      <c r="AK107" s="344" t="n"/>
      <c r="AL107" s="343" t="n"/>
      <c r="AM107" s="343" t="n"/>
      <c r="AN107" s="343" t="n"/>
    </row>
    <row r="108" ht="12" customFormat="1" customHeight="1" s="214">
      <c r="A108" s="139" t="n"/>
      <c r="B108" s="8374" t="n">
        <v>16</v>
      </c>
      <c r="C108" s="2769" t="inlineStr">
        <is>
          <t>Taxable HSA distributions.  Subtract line 15 from line 14c. If zero or less, enter -0-. Also, include</t>
        </is>
      </c>
      <c r="D108" s="2770" t="n"/>
      <c r="E108" s="11262" t="n"/>
      <c r="F108" s="11262" t="n"/>
      <c r="G108" s="2771" t="n"/>
      <c r="H108" s="2771" t="n"/>
      <c r="I108" s="2771" t="n"/>
      <c r="J108" s="2771" t="n"/>
      <c r="K108" s="8374" t="n"/>
      <c r="L108" s="3215" t="n"/>
      <c r="M108" s="2799" t="n"/>
      <c r="N108" s="2783" t="n"/>
      <c r="O108" s="689" t="n"/>
      <c r="P108" s="3256" t="n"/>
      <c r="Q108" s="2785" t="n"/>
      <c r="R108" s="689" t="n"/>
      <c r="S108" s="688" t="n"/>
      <c r="T108" s="688" t="n"/>
      <c r="U108" s="688" t="n"/>
      <c r="V108" s="688" t="n"/>
      <c r="W108" s="689" t="n"/>
      <c r="X108" s="343" t="n"/>
      <c r="Y108" s="344" t="n"/>
      <c r="Z108" s="689" t="n"/>
      <c r="AA108" s="344" t="n"/>
      <c r="AB108" s="689" t="n"/>
      <c r="AC108" s="344" t="n"/>
      <c r="AD108" s="689" t="n"/>
      <c r="AE108" s="344" t="n"/>
      <c r="AF108" s="4232" t="n"/>
      <c r="AG108" s="344" t="n"/>
      <c r="AH108" s="344" t="n"/>
      <c r="AI108" s="344" t="n"/>
      <c r="AJ108" s="344" t="n"/>
      <c r="AK108" s="344" t="n"/>
      <c r="AL108" s="343" t="n"/>
      <c r="AM108" s="343" t="n"/>
      <c r="AN108" s="343" t="n"/>
      <c r="AO108" s="658" t="n"/>
      <c r="AP108" s="658" t="n"/>
      <c r="AQ108" s="658" t="n"/>
      <c r="AR108" s="658" t="n"/>
      <c r="AS108" s="658" t="n"/>
      <c r="AT108" s="658" t="n"/>
      <c r="AU108" s="658" t="n"/>
      <c r="AV108" s="658" t="n"/>
      <c r="AW108" s="658" t="n"/>
    </row>
    <row r="109" ht="12" customHeight="1" s="7635">
      <c r="A109" s="139" t="n"/>
      <c r="B109" s="8374" t="n"/>
      <c r="C109" s="2769" t="inlineStr">
        <is>
          <t>this amount in the total on Schedule 1 (Form 1040), Part I, line 8f</t>
        </is>
      </c>
      <c r="D109" s="2769" t="n"/>
      <c r="E109" s="11262" t="n"/>
      <c r="F109" s="11262" t="n"/>
      <c r="G109" s="2771" t="n"/>
      <c r="H109" s="8374" t="n"/>
      <c r="I109" s="8374" t="n"/>
      <c r="J109" s="8374" t="n"/>
      <c r="K109" s="2031" t="inlineStr">
        <is>
          <t xml:space="preserve">.   .   .   .   .   .   .   .   .   .   .   . </t>
        </is>
      </c>
      <c r="L109" s="2773">
        <f>B108</f>
        <v/>
      </c>
      <c r="M109" s="2774">
        <f>IF(Q109&lt;&gt;"",ROUND(Q109,0),IF(SUM(M106,-M107)&lt;0,0,SUM(M106,-M107)))</f>
        <v/>
      </c>
      <c r="N109" s="2775" t="n"/>
      <c r="O109" s="343" t="n"/>
      <c r="P109" s="2990" t="n"/>
      <c r="Q109" s="118" t="n"/>
      <c r="R109" s="689" t="n"/>
      <c r="S109" s="688" t="n"/>
      <c r="T109" s="688" t="n"/>
      <c r="U109" s="688" t="n"/>
      <c r="V109" s="688" t="n"/>
      <c r="W109" s="689" t="n"/>
      <c r="X109" s="343" t="n"/>
      <c r="Y109" s="344" t="n"/>
      <c r="Z109" s="689" t="n"/>
      <c r="AA109" s="344" t="n"/>
      <c r="AB109" s="689" t="n"/>
      <c r="AC109" s="344" t="n"/>
      <c r="AD109" s="689" t="n"/>
      <c r="AE109" s="344" t="n"/>
      <c r="AF109" s="4232" t="n"/>
      <c r="AG109" s="344" t="n"/>
      <c r="AH109" s="344" t="n"/>
      <c r="AI109" s="344" t="n"/>
      <c r="AJ109" s="344" t="n"/>
      <c r="AK109" s="344" t="n"/>
      <c r="AL109" s="343" t="n"/>
      <c r="AM109" s="343" t="n"/>
      <c r="AN109" s="343" t="n"/>
    </row>
    <row r="110" ht="12" customHeight="1" s="7635" thickBot="1">
      <c r="A110" s="139" t="n"/>
      <c r="B110" s="8374" t="inlineStr">
        <is>
          <t>17a</t>
        </is>
      </c>
      <c r="C110" s="2769" t="inlineStr">
        <is>
          <t>If any of the distributions included on line 16 meet any of the</t>
        </is>
      </c>
      <c r="D110" s="2770" t="n"/>
      <c r="E110" s="11262" t="n"/>
      <c r="F110" s="11262" t="n"/>
      <c r="G110" s="2771" t="n"/>
      <c r="H110" s="2826" t="n"/>
      <c r="I110" s="2771" t="n"/>
      <c r="J110" s="2771" t="n"/>
      <c r="K110" s="3632">
        <f>"Exceptions to the Additional "&amp;TEXT($M$52,"0%")</f>
        <v/>
      </c>
      <c r="L110" s="4292" t="n"/>
      <c r="M110" s="2799" t="n"/>
      <c r="N110" s="2783" t="n"/>
      <c r="O110" s="689" t="n"/>
      <c r="P110" s="3256" t="n"/>
      <c r="Q110" s="4326">
        <f>IF(J111&lt;&gt;"","Enter distributions","")</f>
        <v/>
      </c>
      <c r="R110" s="689" t="n"/>
      <c r="S110" s="688" t="n"/>
      <c r="T110" s="688" t="n"/>
      <c r="U110" s="688" t="n"/>
      <c r="V110" s="688" t="n"/>
      <c r="W110" s="689" t="n"/>
      <c r="X110" s="343" t="n"/>
      <c r="Y110" s="344" t="n"/>
      <c r="Z110" s="689" t="n"/>
      <c r="AA110" s="344" t="n"/>
      <c r="AB110" s="689" t="n"/>
      <c r="AC110" s="344" t="n"/>
      <c r="AD110" s="689" t="n"/>
      <c r="AE110" s="344" t="n"/>
      <c r="AF110" s="4232" t="n"/>
      <c r="AG110" s="344" t="n"/>
      <c r="AH110" s="344" t="n"/>
      <c r="AI110" s="344" t="n"/>
      <c r="AJ110" s="344" t="n"/>
      <c r="AK110" s="344" t="n"/>
      <c r="AL110" s="343" t="n"/>
      <c r="AM110" s="343" t="n"/>
      <c r="AN110" s="343" t="n"/>
    </row>
    <row r="111" ht="12.75" customHeight="1" s="7635" thickBot="1">
      <c r="A111" s="139" t="n"/>
      <c r="B111" s="8374" t="n"/>
      <c r="C111" s="4327" t="inlineStr">
        <is>
          <t>Tax (see instructions), check here</t>
        </is>
      </c>
      <c r="D111" s="2769" t="n"/>
      <c r="E111" s="11262" t="n"/>
      <c r="F111" s="11262" t="n"/>
      <c r="G111" s="2771" t="n"/>
      <c r="H111" s="2771" t="n"/>
      <c r="I111" s="2031" t="inlineStr">
        <is>
          <t xml:space="preserve">.   .   .   .   .   .   .   .   .   .   .   .   .   .   .  </t>
        </is>
      </c>
      <c r="J111" s="282" t="n"/>
      <c r="K111" s="2771" t="n"/>
      <c r="L111" s="4292" t="n"/>
      <c r="M111" s="2791" t="n"/>
      <c r="N111" s="2775" t="n"/>
      <c r="O111" s="343" t="n"/>
      <c r="P111" s="2990" t="n"/>
      <c r="Q111" s="4326">
        <f>IF(J111&lt;&gt;"","subject to","")</f>
        <v/>
      </c>
      <c r="R111" s="343" t="n"/>
      <c r="S111" s="688" t="n"/>
      <c r="T111" s="688" t="n"/>
      <c r="U111" s="688" t="n"/>
      <c r="V111" s="688" t="n"/>
      <c r="W111" s="689" t="n"/>
      <c r="X111" s="343" t="n"/>
      <c r="Y111" s="344" t="n"/>
      <c r="Z111" s="689" t="n"/>
      <c r="AA111" s="344" t="n"/>
      <c r="AB111" s="689" t="n"/>
      <c r="AC111" s="344" t="n"/>
      <c r="AD111" s="689" t="n"/>
      <c r="AE111" s="344" t="n"/>
      <c r="AF111" s="4232" t="n"/>
      <c r="AG111" s="344" t="n"/>
      <c r="AH111" s="344" t="n"/>
      <c r="AI111" s="344" t="n"/>
      <c r="AJ111" s="344" t="n"/>
      <c r="AK111" s="344" t="n"/>
      <c r="AL111" s="343" t="n"/>
      <c r="AM111" s="343" t="n"/>
      <c r="AN111" s="343" t="n"/>
    </row>
    <row r="112" ht="12.75" customFormat="1" customHeight="1" s="214">
      <c r="A112" s="139" t="n"/>
      <c r="B112" s="8374" t="inlineStr">
        <is>
          <t>b</t>
        </is>
      </c>
      <c r="C112" s="2826">
        <f>"Additional "&amp;TEXT(M112,"0%")&amp;" tax"</f>
        <v/>
      </c>
      <c r="D112" s="2770" t="n"/>
      <c r="E112" s="11262" t="n"/>
      <c r="F112" s="2769" t="n"/>
      <c r="G112" s="2771" t="n"/>
      <c r="H112" s="2771" t="n"/>
      <c r="I112" s="2771" t="n"/>
      <c r="J112" s="2771" t="n"/>
      <c r="K112" s="3065">
        <f>"(see instructions). Enter "&amp;TEXT($M$52,"0%")&amp;" ("&amp;TEXT($M$52,".00")&amp;") of the distributions included on line 16     "</f>
        <v/>
      </c>
      <c r="L112" s="4292" t="n"/>
      <c r="M112" s="3159" t="n">
        <v>0.2</v>
      </c>
      <c r="N112" s="2783" t="n"/>
      <c r="O112" s="689" t="n"/>
      <c r="P112" s="3256" t="n"/>
      <c r="Q112" s="4326">
        <f>IF(J111&lt;&gt;"","additional tax here:","")</f>
        <v/>
      </c>
      <c r="R112" s="689" t="n"/>
      <c r="S112" s="688" t="n"/>
      <c r="T112" s="688" t="n"/>
      <c r="U112" s="688" t="n"/>
      <c r="V112" s="688" t="n"/>
      <c r="W112" s="689" t="n"/>
      <c r="X112" s="343" t="n"/>
      <c r="Y112" s="344" t="n"/>
      <c r="Z112" s="689" t="n"/>
      <c r="AA112" s="344" t="n"/>
      <c r="AB112" s="689" t="n"/>
      <c r="AC112" s="344" t="n"/>
      <c r="AD112" s="689" t="n"/>
      <c r="AE112" s="344" t="n"/>
      <c r="AF112" s="4232" t="n"/>
      <c r="AG112" s="344" t="n"/>
      <c r="AH112" s="344" t="n"/>
      <c r="AI112" s="344" t="n"/>
      <c r="AJ112" s="344" t="n"/>
      <c r="AK112" s="344" t="n"/>
      <c r="AL112" s="343" t="n"/>
      <c r="AM112" s="343" t="n"/>
      <c r="AN112" s="343" t="n"/>
      <c r="AO112" s="658" t="n"/>
      <c r="AP112" s="658" t="n"/>
      <c r="AQ112" s="658" t="n"/>
      <c r="AR112" s="658" t="n"/>
      <c r="AS112" s="658" t="n"/>
      <c r="AT112" s="658" t="n"/>
      <c r="AU112" s="658" t="n"/>
      <c r="AV112" s="658" t="n"/>
      <c r="AW112" s="658" t="n"/>
    </row>
    <row r="113" ht="15.75" customHeight="1" s="7635">
      <c r="A113" s="139" t="n"/>
      <c r="B113" s="8374" t="n"/>
      <c r="C113" s="2769">
        <f>"that are subject to the additional "&amp;TEXT($M$52,"0%")&amp;" tax. Also include this amount in the total on Schedule 2"</f>
        <v/>
      </c>
      <c r="D113" s="2769" t="n"/>
      <c r="E113" s="11262" t="n"/>
      <c r="F113" s="11262" t="n"/>
      <c r="G113" s="2771" t="n"/>
      <c r="H113" s="2771" t="n"/>
      <c r="I113" s="2771" t="n"/>
      <c r="J113" s="2771" t="n"/>
      <c r="K113" s="2771" t="n"/>
      <c r="L113" s="4292" t="n"/>
      <c r="M113" s="2791" t="n"/>
      <c r="N113" s="2775" t="n"/>
      <c r="O113" s="343" t="n"/>
      <c r="P113" s="2990" t="n"/>
      <c r="Q113" s="4328" t="n"/>
      <c r="R113" s="343" t="n"/>
      <c r="S113" s="688" t="n"/>
      <c r="T113" s="688" t="n"/>
      <c r="U113" s="688" t="n"/>
      <c r="V113" s="688" t="n"/>
      <c r="W113" s="689" t="n"/>
      <c r="X113" s="343" t="n"/>
      <c r="Y113" s="344" t="n"/>
      <c r="Z113" s="689" t="n"/>
      <c r="AA113" s="344" t="n"/>
      <c r="AB113" s="689" t="n"/>
      <c r="AC113" s="344" t="n"/>
      <c r="AD113" s="689" t="n"/>
      <c r="AE113" s="344" t="n"/>
      <c r="AF113" s="4232" t="n"/>
      <c r="AG113" s="344" t="n"/>
      <c r="AH113" s="344" t="n"/>
      <c r="AI113" s="344" t="n"/>
      <c r="AJ113" s="344" t="n"/>
      <c r="AK113" s="344" t="n"/>
      <c r="AL113" s="343" t="n"/>
      <c r="AM113" s="343" t="n"/>
      <c r="AN113" s="343" t="n"/>
    </row>
    <row r="114" ht="12" customHeight="1" s="7635">
      <c r="A114" s="139" t="n"/>
      <c r="B114" s="8374" t="n"/>
      <c r="C114" s="3019" t="inlineStr">
        <is>
          <t>(Form 1040), Part II, line 17c</t>
        </is>
      </c>
      <c r="D114" s="2769" t="n"/>
      <c r="E114" s="11262" t="n"/>
      <c r="F114" s="11262" t="n"/>
      <c r="G114" s="2771" t="n"/>
      <c r="H114" s="2771" t="n"/>
      <c r="I114" s="2771" t="n"/>
      <c r="J114" s="2771" t="n"/>
      <c r="K114" s="2031" t="inlineStr">
        <is>
          <t xml:space="preserve">.   .   .   .   .   .   .   .   .   .   .   .   .   .   .   .   .   .   .   .   .   .   .   . </t>
        </is>
      </c>
      <c r="L114" s="2773" t="inlineStr">
        <is>
          <t>17b</t>
        </is>
      </c>
      <c r="M114" s="2774">
        <f>IF(Q114&lt;&gt;"",ROUND(Q114,0),IF(J111&lt;&gt;"",ROUND(M112*Q113,0),ROUND($M$52*M109,0)))</f>
        <v/>
      </c>
      <c r="N114" s="2775" t="n"/>
      <c r="O114" s="689" t="n"/>
      <c r="P114" s="3225" t="n"/>
      <c r="Q114" s="118" t="n"/>
      <c r="R114" s="689" t="n"/>
      <c r="S114" s="688" t="n"/>
      <c r="T114" s="688" t="n"/>
      <c r="U114" s="688" t="n"/>
      <c r="V114" s="688" t="n"/>
      <c r="W114" s="689" t="n"/>
      <c r="X114" s="343" t="n"/>
      <c r="Y114" s="344" t="n"/>
      <c r="Z114" s="689" t="n"/>
      <c r="AA114" s="344" t="n"/>
      <c r="AB114" s="689" t="n"/>
      <c r="AC114" s="344" t="n"/>
      <c r="AD114" s="689" t="n"/>
      <c r="AE114" s="344" t="n"/>
      <c r="AF114" s="4232" t="n"/>
      <c r="AG114" s="344" t="n"/>
      <c r="AH114" s="344" t="n"/>
      <c r="AI114" s="344" t="n"/>
      <c r="AJ114" s="344" t="n"/>
      <c r="AK114" s="344" t="n"/>
      <c r="AL114" s="343" t="n"/>
      <c r="AM114" s="343" t="n"/>
      <c r="AN114" s="343" t="n"/>
    </row>
    <row r="115" ht="15.75" customFormat="1" customHeight="1" s="214">
      <c r="A115" s="139" t="n"/>
      <c r="B115" s="8743" t="inlineStr">
        <is>
          <t>Part III</t>
        </is>
      </c>
      <c r="C115" s="11278" t="inlineStr">
        <is>
          <t xml:space="preserve"> Income and Additional Tax for Failure To Maintain HDHP Coverage. See the instructions before</t>
        </is>
      </c>
      <c r="D115" s="7839" t="n"/>
      <c r="E115" s="7839" t="n"/>
      <c r="F115" s="7839" t="n"/>
      <c r="G115" s="7839" t="n"/>
      <c r="H115" s="7839" t="n"/>
      <c r="I115" s="7839" t="n"/>
      <c r="J115" s="7839" t="n"/>
      <c r="K115" s="7839" t="n"/>
      <c r="L115" s="7839" t="n"/>
      <c r="M115" s="7839" t="n"/>
      <c r="N115" s="2762" t="n"/>
      <c r="O115" s="344" t="n"/>
      <c r="P115" s="2763" t="n"/>
      <c r="Q115" s="2013" t="n"/>
      <c r="R115" s="343" t="n"/>
      <c r="S115" s="688" t="n"/>
      <c r="T115" s="688" t="n"/>
      <c r="U115" s="688" t="n"/>
      <c r="V115" s="688" t="n"/>
      <c r="W115" s="689" t="n"/>
      <c r="X115" s="343" t="n"/>
      <c r="Y115" s="344" t="n"/>
      <c r="Z115" s="689" t="n"/>
      <c r="AA115" s="344" t="n"/>
      <c r="AB115" s="689" t="n"/>
      <c r="AC115" s="344" t="n"/>
      <c r="AD115" s="689" t="n"/>
      <c r="AE115" s="344" t="n"/>
      <c r="AF115" s="4232" t="n"/>
      <c r="AG115" s="344" t="n"/>
      <c r="AH115" s="344" t="n"/>
      <c r="AI115" s="344" t="n"/>
      <c r="AJ115" s="344" t="n"/>
      <c r="AK115" s="344" t="n"/>
      <c r="AL115" s="343" t="n"/>
      <c r="AM115" s="343" t="n"/>
      <c r="AN115" s="343" t="n"/>
      <c r="AO115" s="658" t="n"/>
      <c r="AP115" s="658" t="n"/>
      <c r="AQ115" s="658" t="n"/>
      <c r="AR115" s="658" t="n"/>
      <c r="AS115" s="658" t="n"/>
      <c r="AT115" s="658" t="n"/>
      <c r="AU115" s="658" t="n"/>
      <c r="AV115" s="658" t="n"/>
      <c r="AW115" s="658" t="n"/>
    </row>
    <row r="116" ht="12" customHeight="1" s="7635">
      <c r="A116" s="139" t="n"/>
      <c r="B116" s="4261" t="n"/>
      <c r="C116" s="11305" t="inlineStr">
        <is>
          <t xml:space="preserve"> completing this part. If you are filing jointly and both you and your spouse each have separate HSAs,</t>
        </is>
      </c>
      <c r="N116" s="2762" t="n"/>
      <c r="O116" s="344" t="n"/>
      <c r="P116" s="4317" t="n"/>
      <c r="Q116" s="2013" t="n"/>
      <c r="R116" s="689" t="n"/>
      <c r="S116" s="688" t="n"/>
      <c r="T116" s="688" t="n"/>
      <c r="U116" s="688" t="n"/>
      <c r="V116" s="688" t="n"/>
      <c r="W116" s="10978" t="n"/>
      <c r="X116" s="343" t="n"/>
      <c r="Y116" s="344" t="n"/>
      <c r="Z116" s="689" t="n"/>
      <c r="AA116" s="344" t="n"/>
      <c r="AB116" s="689" t="n"/>
      <c r="AC116" s="344" t="n"/>
      <c r="AD116" s="689" t="n"/>
      <c r="AE116" s="344" t="n"/>
      <c r="AF116" s="4232" t="n"/>
      <c r="AG116" s="344" t="n"/>
      <c r="AH116" s="344" t="n"/>
      <c r="AI116" s="344" t="n"/>
      <c r="AJ116" s="344" t="n"/>
      <c r="AK116" s="344" t="n"/>
      <c r="AL116" s="344" t="n"/>
      <c r="AM116" s="344" t="n"/>
      <c r="AN116" s="344" t="n"/>
    </row>
    <row r="117" ht="12" customHeight="1" s="7635">
      <c r="A117" s="139" t="n"/>
      <c r="B117" s="4316" t="n"/>
      <c r="C117" s="11307" t="inlineStr">
        <is>
          <t xml:space="preserve"> complete a separate Part III for each spouse.</t>
        </is>
      </c>
      <c r="D117" s="7637" t="n"/>
      <c r="E117" s="7637" t="n"/>
      <c r="F117" s="7637" t="n"/>
      <c r="G117" s="7637" t="n"/>
      <c r="H117" s="7637" t="n"/>
      <c r="I117" s="7637" t="n"/>
      <c r="J117" s="7637" t="n"/>
      <c r="K117" s="7637" t="n"/>
      <c r="L117" s="7637" t="n"/>
      <c r="M117" s="7637" t="n"/>
      <c r="N117" s="2762" t="n"/>
      <c r="O117" s="344" t="n"/>
      <c r="P117" s="4317" t="n"/>
      <c r="Q117" s="2013" t="n"/>
      <c r="R117" s="344" t="n"/>
      <c r="S117" s="688" t="n"/>
      <c r="T117" s="688" t="n"/>
      <c r="U117" s="688" t="n"/>
      <c r="V117" s="688" t="n"/>
      <c r="W117" s="689" t="n"/>
      <c r="X117" s="343" t="n"/>
      <c r="Y117" s="344" t="n"/>
      <c r="Z117" s="689" t="n"/>
      <c r="AA117" s="344" t="n"/>
      <c r="AB117" s="689" t="n"/>
      <c r="AC117" s="344" t="n"/>
      <c r="AD117" s="689" t="n"/>
      <c r="AE117" s="344" t="n"/>
      <c r="AF117" s="4232" t="n"/>
      <c r="AG117" s="344" t="n"/>
      <c r="AH117" s="344" t="n"/>
      <c r="AI117" s="344" t="n"/>
      <c r="AJ117" s="344" t="n"/>
      <c r="AK117" s="344" t="n"/>
      <c r="AL117" s="344" t="n"/>
      <c r="AM117" s="344" t="n"/>
      <c r="AN117" s="344" t="n"/>
    </row>
    <row r="118" ht="15" customFormat="1" customHeight="1" s="80">
      <c r="A118" s="139" t="n"/>
      <c r="B118" s="8374" t="n">
        <v>18</v>
      </c>
      <c r="C118" s="2769" t="inlineStr">
        <is>
          <t>Last month rule</t>
        </is>
      </c>
      <c r="D118" s="2770" t="n"/>
      <c r="E118" s="11262" t="n"/>
      <c r="F118" s="11262" t="n"/>
      <c r="G118" s="2771" t="n"/>
      <c r="H118" s="2771" t="n"/>
      <c r="I118" s="2771" t="n"/>
      <c r="J118" s="2771" t="n"/>
      <c r="K118" s="2031" t="inlineStr">
        <is>
          <t xml:space="preserve">.   .   .   .   .   .   .   .   .   .   .   .   .   .   .   .   .   .   .   .   .   .   .   .   .   .   .   .   .  </t>
        </is>
      </c>
      <c r="L118" s="2773">
        <f>B118</f>
        <v/>
      </c>
      <c r="M118" s="335" t="n"/>
      <c r="N118" s="2783" t="n"/>
      <c r="O118" s="689" t="n"/>
      <c r="P118" s="3256" t="n"/>
      <c r="Q118" s="962" t="n"/>
      <c r="R118" s="344" t="n"/>
      <c r="S118" s="688" t="n"/>
      <c r="T118" s="688" t="n"/>
      <c r="U118" s="688" t="n"/>
      <c r="V118" s="688" t="n"/>
      <c r="W118" s="689" t="n"/>
      <c r="X118" s="343" t="n"/>
      <c r="Y118" s="344" t="n"/>
      <c r="Z118" s="689" t="n"/>
      <c r="AA118" s="344" t="n"/>
      <c r="AB118" s="689" t="n"/>
      <c r="AC118" s="344" t="n"/>
      <c r="AD118" s="689" t="n"/>
      <c r="AE118" s="344" t="n"/>
      <c r="AF118" s="4232" t="n"/>
      <c r="AG118" s="344" t="n"/>
      <c r="AH118" s="344" t="n"/>
      <c r="AI118" s="344" t="n"/>
      <c r="AJ118" s="344" t="n"/>
      <c r="AK118" s="344" t="n"/>
      <c r="AL118" s="344" t="n"/>
      <c r="AM118" s="344" t="n"/>
      <c r="AN118" s="344" t="n"/>
      <c r="AO118" s="658" t="n"/>
      <c r="AP118" s="658" t="n"/>
      <c r="AQ118" s="658" t="n"/>
      <c r="AR118" s="658" t="n"/>
      <c r="AS118" s="658" t="n"/>
      <c r="AT118" s="658" t="n"/>
      <c r="AU118" s="658" t="n"/>
      <c r="AV118" s="658" t="n"/>
      <c r="AW118" s="658" t="n"/>
    </row>
    <row r="119" customFormat="1" s="80">
      <c r="A119" s="139" t="n"/>
      <c r="B119" s="3676" t="n">
        <v>19</v>
      </c>
      <c r="C119" s="3019" t="inlineStr">
        <is>
          <t>Qualified HSA funding distribution</t>
        </is>
      </c>
      <c r="D119" s="2770" t="n"/>
      <c r="E119" s="11262" t="n"/>
      <c r="F119" s="11262" t="n"/>
      <c r="G119" s="2771" t="n"/>
      <c r="H119" s="2771" t="n"/>
      <c r="I119" s="2771" t="n"/>
      <c r="J119" s="2771" t="n"/>
      <c r="K119" s="2031" t="inlineStr">
        <is>
          <t xml:space="preserve">.   .   .   .   .   .   .   .   .   .   .   .   .   .   .   .   .   .   .   .   .   .   .   . </t>
        </is>
      </c>
      <c r="L119" s="2773">
        <f>B119</f>
        <v/>
      </c>
      <c r="M119" s="335" t="n"/>
      <c r="N119" s="2783" t="n"/>
      <c r="O119" s="689" t="n"/>
      <c r="P119" s="3256" t="n"/>
      <c r="Q119" s="962" t="n"/>
      <c r="R119" s="344" t="n"/>
      <c r="S119" s="314" t="n"/>
      <c r="T119" s="314" t="n"/>
      <c r="U119" s="314" t="n"/>
      <c r="V119" s="314" t="n"/>
      <c r="W119" s="689" t="n"/>
      <c r="X119" s="344" t="n"/>
      <c r="Y119" s="344" t="n"/>
      <c r="Z119" s="689" t="n"/>
      <c r="AA119" s="344" t="n"/>
      <c r="AB119" s="689" t="n"/>
      <c r="AC119" s="344" t="n"/>
      <c r="AD119" s="689" t="n"/>
      <c r="AE119" s="344" t="n"/>
      <c r="AF119" s="6696" t="n"/>
      <c r="AG119" s="344" t="n"/>
      <c r="AH119" s="344" t="n"/>
      <c r="AI119" s="344" t="n"/>
      <c r="AJ119" s="344" t="n"/>
      <c r="AK119" s="344" t="n"/>
      <c r="AL119" s="344" t="n"/>
      <c r="AM119" s="344" t="n"/>
      <c r="AN119" s="344" t="n"/>
      <c r="AO119" s="658" t="n"/>
      <c r="AP119" s="658" t="n"/>
      <c r="AQ119" s="658" t="n"/>
      <c r="AR119" s="658" t="n"/>
      <c r="AS119" s="658" t="n"/>
      <c r="AT119" s="658" t="n"/>
      <c r="AU119" s="658" t="n"/>
      <c r="AV119" s="658" t="n"/>
      <c r="AW119" s="658" t="n"/>
    </row>
    <row r="120">
      <c r="A120" s="139" t="n"/>
      <c r="B120" s="8374" t="n">
        <v>20</v>
      </c>
      <c r="C120" s="2826" t="inlineStr">
        <is>
          <t>Total income. Add lines 18 and 19. Include this amount on Schedule 1 (Form 1040), Part I, line 8f</t>
        </is>
      </c>
      <c r="D120" s="2770" t="n"/>
      <c r="E120" s="2769" t="n"/>
      <c r="F120" s="11262" t="n"/>
      <c r="G120" s="2771" t="n"/>
      <c r="H120" s="2771" t="n"/>
      <c r="I120" s="2771" t="n"/>
      <c r="J120" s="2771" t="n"/>
      <c r="K120" s="2031" t="n"/>
      <c r="L120" s="2773">
        <f>B120</f>
        <v/>
      </c>
      <c r="M120" s="2774">
        <f>IF(Q120&lt;&gt;"",ROUND(Q120,0),SUM(M118,M119))</f>
        <v/>
      </c>
      <c r="N120" s="2775" t="n"/>
      <c r="O120" s="343" t="n"/>
      <c r="P120" s="2990" t="n"/>
      <c r="Q120" s="118" t="n"/>
      <c r="R120" s="689" t="n"/>
      <c r="S120" s="314" t="n"/>
      <c r="T120" s="314" t="n"/>
      <c r="U120" s="314" t="n"/>
      <c r="V120" s="314" t="n"/>
      <c r="W120" s="689" t="n"/>
      <c r="X120" s="344" t="n"/>
      <c r="Y120" s="344" t="n"/>
      <c r="Z120" s="689" t="n"/>
      <c r="AA120" s="344" t="n"/>
      <c r="AB120" s="689" t="n"/>
      <c r="AC120" s="344" t="n"/>
      <c r="AD120" s="689" t="n"/>
      <c r="AE120" s="344" t="n"/>
      <c r="AF120" s="6696" t="n"/>
      <c r="AG120" s="344" t="n"/>
      <c r="AH120" s="344" t="n"/>
      <c r="AI120" s="344" t="n"/>
      <c r="AJ120" s="344" t="n"/>
      <c r="AK120" s="344" t="n"/>
      <c r="AL120" s="344" t="n"/>
      <c r="AM120" s="344" t="n"/>
      <c r="AN120" s="344" t="n"/>
    </row>
    <row r="121" ht="12" customHeight="1" s="7635">
      <c r="A121" s="139" t="n"/>
      <c r="B121" s="8374" t="n">
        <v>21</v>
      </c>
      <c r="C121" s="2826" t="inlineStr">
        <is>
          <t>Additional tax.</t>
        </is>
      </c>
      <c r="D121" s="3019" t="n"/>
      <c r="E121" s="2769">
        <f>"Multiply line 20 by "&amp;TEXT(M121,"0%")&amp;" ("&amp;TEXT(M121,".00")&amp;"). Include this amount in the total on Schedule 2"</f>
        <v/>
      </c>
      <c r="F121" s="4331" t="n"/>
      <c r="G121" s="4332" t="n"/>
      <c r="H121" s="3676" t="n"/>
      <c r="I121" s="3676" t="n"/>
      <c r="J121" s="3676" t="n"/>
      <c r="K121" s="4333" t="n"/>
      <c r="L121" s="4273" t="n"/>
      <c r="M121" s="4330" t="n">
        <v>0.1</v>
      </c>
      <c r="N121" s="2783" t="n"/>
      <c r="O121" s="689" t="n"/>
      <c r="P121" s="3256" t="n"/>
      <c r="Q121" s="2785" t="n"/>
      <c r="R121" s="689" t="n"/>
      <c r="S121" s="688" t="n"/>
      <c r="T121" s="688" t="n"/>
      <c r="U121" s="688" t="n"/>
      <c r="V121" s="688" t="n"/>
      <c r="W121" s="689" t="n"/>
      <c r="X121" s="343" t="n"/>
      <c r="Y121" s="344" t="n"/>
      <c r="Z121" s="689" t="n"/>
      <c r="AA121" s="344" t="n"/>
      <c r="AB121" s="689" t="n"/>
      <c r="AC121" s="344" t="n"/>
      <c r="AD121" s="689" t="n"/>
      <c r="AE121" s="344" t="n"/>
      <c r="AF121" s="4232" t="n"/>
      <c r="AG121" s="344" t="n"/>
      <c r="AH121" s="344" t="n"/>
      <c r="AI121" s="343" t="n"/>
      <c r="AJ121" s="343" t="n"/>
      <c r="AK121" s="343" t="n"/>
      <c r="AL121" s="344" t="n"/>
      <c r="AM121" s="344" t="n"/>
      <c r="AN121" s="344" t="n"/>
    </row>
    <row r="122" ht="15.75" customFormat="1" customHeight="1" s="214" thickBot="1">
      <c r="A122" s="139" t="n"/>
      <c r="B122" s="8374" t="n"/>
      <c r="C122" s="3019" t="inlineStr">
        <is>
          <t>(Form 1040), Part II, line 17d</t>
        </is>
      </c>
      <c r="D122" s="2769" t="n"/>
      <c r="E122" s="11262" t="n"/>
      <c r="F122" s="11262" t="n"/>
      <c r="G122" s="2771" t="n"/>
      <c r="H122" s="8374" t="n"/>
      <c r="I122" s="8374" t="n"/>
      <c r="J122" s="8374" t="n"/>
      <c r="K122" s="2031" t="n"/>
      <c r="L122" s="2773">
        <f>B121</f>
        <v/>
      </c>
      <c r="M122" s="2774">
        <f>IF(Q122&lt;&gt;"",ROUND(Q122,0),M120*M121)</f>
        <v/>
      </c>
      <c r="N122" s="2775" t="n"/>
      <c r="O122" s="343" t="n"/>
      <c r="P122" s="2990" t="n"/>
      <c r="Q122" s="118" t="n"/>
      <c r="R122" s="343" t="n"/>
      <c r="S122" s="688" t="n"/>
      <c r="T122" s="688" t="n"/>
      <c r="U122" s="688" t="n"/>
      <c r="V122" s="688" t="n"/>
      <c r="W122" s="689" t="n"/>
      <c r="X122" s="689" t="n"/>
      <c r="Y122" s="344" t="n"/>
      <c r="Z122" s="689" t="n"/>
      <c r="AA122" s="344" t="n"/>
      <c r="AB122" s="689" t="n"/>
      <c r="AC122" s="344" t="n"/>
      <c r="AD122" s="689" t="n"/>
      <c r="AE122" s="344" t="n"/>
      <c r="AF122" s="4232" t="n"/>
      <c r="AG122" s="344" t="n"/>
      <c r="AH122" s="344" t="n"/>
      <c r="AI122" s="344" t="n"/>
      <c r="AJ122" s="344" t="n"/>
      <c r="AK122" s="344" t="n"/>
      <c r="AL122" s="344" t="n"/>
      <c r="AM122" s="344" t="n"/>
      <c r="AN122" s="344" t="n"/>
      <c r="AO122" s="658" t="n"/>
      <c r="AP122" s="658" t="n"/>
      <c r="AQ122" s="658" t="n"/>
      <c r="AR122" s="658" t="n"/>
      <c r="AS122" s="658" t="n"/>
      <c r="AT122" s="658" t="n"/>
      <c r="AU122" s="658" t="n"/>
      <c r="AV122" s="658" t="n"/>
      <c r="AW122" s="658" t="n"/>
    </row>
    <row r="123" ht="12" customFormat="1" customHeight="1" s="214">
      <c r="A123" s="139" t="n"/>
      <c r="B123" s="2827" t="inlineStr">
        <is>
          <t>For Paperwork Reduction Act Notice, see your tax return instructions.</t>
        </is>
      </c>
      <c r="C123" s="2828" t="n"/>
      <c r="D123" s="2828" t="n"/>
      <c r="E123" s="2828" t="n"/>
      <c r="F123" s="2828" t="n"/>
      <c r="G123" s="2829" t="n"/>
      <c r="H123" s="2830" t="n"/>
      <c r="I123" s="3085" t="inlineStr">
        <is>
          <t>Cat. No. 37621P</t>
        </is>
      </c>
      <c r="J123" s="3085" t="n"/>
      <c r="K123" s="2832" t="inlineStr">
        <is>
          <t>Form 8889</t>
        </is>
      </c>
      <c r="L123" s="2832" t="n"/>
      <c r="M123" s="6697">
        <f>"  ("&amp;TaxYear&amp;") Created 3/28/25"</f>
        <v/>
      </c>
      <c r="N123" s="2834" t="n"/>
      <c r="O123" s="343" t="n"/>
      <c r="P123" s="3256" t="n"/>
      <c r="Q123" s="962" t="n"/>
      <c r="R123" s="689" t="n"/>
      <c r="S123" s="688" t="n"/>
      <c r="T123" s="688" t="n"/>
      <c r="U123" s="688" t="n"/>
      <c r="V123" s="688" t="n"/>
      <c r="W123" s="689" t="n"/>
      <c r="X123" s="343" t="n"/>
      <c r="Y123" s="344" t="n"/>
      <c r="Z123" s="689" t="n"/>
      <c r="AA123" s="344" t="n"/>
      <c r="AB123" s="689" t="n"/>
      <c r="AC123" s="344" t="n"/>
      <c r="AD123" s="689" t="n"/>
      <c r="AE123" s="344" t="n"/>
      <c r="AF123" s="4232" t="n"/>
      <c r="AG123" s="344" t="n"/>
      <c r="AH123" s="344" t="n"/>
      <c r="AI123" s="343" t="n"/>
      <c r="AJ123" s="343" t="n"/>
      <c r="AK123" s="343" t="n"/>
      <c r="AL123" s="344" t="n"/>
      <c r="AM123" s="344" t="n"/>
      <c r="AN123" s="344" t="n"/>
      <c r="AO123" s="658" t="n"/>
      <c r="AP123" s="658" t="n"/>
      <c r="AQ123" s="658" t="n"/>
      <c r="AR123" s="658" t="n"/>
      <c r="AS123" s="658" t="n"/>
      <c r="AT123" s="658" t="n"/>
      <c r="AU123" s="658" t="n"/>
      <c r="AV123" s="658" t="n"/>
      <c r="AW123" s="658" t="n"/>
    </row>
    <row r="124" ht="12" customHeight="1" s="7635">
      <c r="A124" s="139" t="n"/>
      <c r="B124" s="148" t="n"/>
      <c r="C124" s="2733" t="n"/>
      <c r="D124" s="2733" t="n"/>
      <c r="E124" s="139" t="n"/>
      <c r="F124" s="139" t="n"/>
      <c r="G124" s="139" t="n"/>
      <c r="H124" s="139" t="n"/>
      <c r="I124" s="139" t="n"/>
      <c r="J124" s="150" t="n"/>
      <c r="K124" s="150" t="n"/>
      <c r="L124" s="150" t="n"/>
      <c r="M124" s="150" t="n"/>
      <c r="N124" s="2836" t="n"/>
      <c r="O124" s="343" t="n"/>
      <c r="P124" s="3256" t="n"/>
      <c r="Q124" s="962" t="n"/>
      <c r="R124" s="343" t="n"/>
      <c r="S124" s="688" t="n"/>
      <c r="T124" s="688" t="n"/>
      <c r="U124" s="688" t="n"/>
      <c r="V124" s="688" t="n"/>
      <c r="W124" s="689" t="n"/>
      <c r="X124" s="343" t="n"/>
      <c r="Y124" s="344" t="n"/>
      <c r="Z124" s="689" t="n"/>
      <c r="AA124" s="344" t="n"/>
      <c r="AB124" s="689" t="n"/>
      <c r="AC124" s="344" t="n"/>
      <c r="AD124" s="689" t="n"/>
      <c r="AE124" s="344" t="n"/>
      <c r="AF124" s="4232" t="n"/>
      <c r="AG124" s="344" t="n"/>
      <c r="AH124" s="689" t="n"/>
      <c r="AI124" s="688" t="n"/>
      <c r="AJ124" s="688" t="n"/>
      <c r="AK124" s="688" t="n"/>
      <c r="AL124" s="343" t="n"/>
      <c r="AM124" s="343" t="n"/>
      <c r="AN124" s="343" t="n"/>
    </row>
    <row r="125" ht="12" customFormat="1" customHeight="1" s="214" thickBot="1">
      <c r="B125" s="8043" t="n"/>
      <c r="C125" s="7301" t="n"/>
      <c r="D125" s="7301" t="n"/>
      <c r="J125" s="4" t="n"/>
      <c r="L125" s="4350" t="n"/>
      <c r="N125" s="987" t="n"/>
      <c r="O125" s="9123" t="n"/>
      <c r="P125" s="9649" t="n"/>
      <c r="Q125" s="8648" t="n"/>
      <c r="R125" s="343" t="n"/>
      <c r="S125" s="688" t="n"/>
      <c r="T125" s="688" t="n"/>
      <c r="U125" s="688" t="n"/>
      <c r="V125" s="688" t="n"/>
      <c r="W125" s="689" t="n"/>
      <c r="X125" s="343" t="n"/>
      <c r="Y125" s="344" t="n"/>
      <c r="Z125" s="689" t="n"/>
      <c r="AA125" s="344" t="n"/>
      <c r="AB125" s="689" t="n"/>
      <c r="AC125" s="344" t="n"/>
      <c r="AD125" s="689" t="n"/>
      <c r="AE125" s="344" t="n"/>
      <c r="AF125" s="4232" t="n"/>
      <c r="AG125" s="344" t="n"/>
      <c r="AH125" s="689" t="n"/>
      <c r="AI125" s="688" t="n"/>
      <c r="AJ125" s="688" t="n"/>
      <c r="AK125" s="688" t="n"/>
      <c r="AL125" s="344" t="n"/>
      <c r="AM125" s="344" t="n"/>
      <c r="AN125" s="344" t="n"/>
      <c r="AO125" s="658" t="n"/>
      <c r="AP125" s="658" t="n"/>
      <c r="AQ125" s="658" t="n"/>
      <c r="AR125" s="658" t="n"/>
      <c r="AS125" s="658" t="n"/>
      <c r="AT125" s="658" t="n"/>
      <c r="AU125" s="658" t="n"/>
      <c r="AV125" s="658" t="n"/>
      <c r="AW125" s="658" t="n"/>
    </row>
    <row r="126" ht="14.25" customHeight="1" s="7635" thickBot="1" thickTop="1">
      <c r="B126" s="8043" t="n"/>
      <c r="C126" s="11824" t="inlineStr">
        <is>
          <t>Download Form 8889</t>
        </is>
      </c>
      <c r="D126" s="11825" t="n"/>
      <c r="E126" s="11825" t="n"/>
      <c r="F126" s="11825" t="n"/>
      <c r="G126" s="11826" t="n"/>
      <c r="H126" s="4" t="n"/>
      <c r="I126" s="4" t="n"/>
      <c r="K126" s="4351" t="inlineStr">
        <is>
          <t>Line 13</t>
        </is>
      </c>
      <c r="L126" s="4351" t="n"/>
      <c r="M126" s="9649" t="inlineStr">
        <is>
          <t>Line 16</t>
        </is>
      </c>
      <c r="N126" s="4351" t="n"/>
      <c r="O126" s="9123" t="n"/>
      <c r="P126" s="9649" t="n"/>
      <c r="Q126" s="8648" t="n"/>
      <c r="R126" s="343" t="n"/>
      <c r="S126" s="688" t="n"/>
      <c r="T126" s="688" t="n"/>
      <c r="U126" s="688" t="n"/>
      <c r="V126" s="688" t="n"/>
      <c r="W126" s="689" t="n"/>
      <c r="X126" s="689" t="n"/>
      <c r="Y126" s="689" t="n"/>
      <c r="Z126" s="689" t="n"/>
      <c r="AA126" s="689" t="n"/>
      <c r="AB126" s="689" t="n"/>
      <c r="AC126" s="689" t="n"/>
      <c r="AD126" s="689" t="n"/>
      <c r="AE126" s="689" t="n"/>
      <c r="AF126" s="689" t="n"/>
      <c r="AG126" s="689" t="n"/>
      <c r="AH126" s="689" t="n"/>
      <c r="AI126" s="688" t="n"/>
      <c r="AJ126" s="688" t="n"/>
      <c r="AK126" s="688" t="n"/>
      <c r="AL126" s="343" t="n"/>
      <c r="AM126" s="343" t="n"/>
      <c r="AN126" s="343" t="n"/>
    </row>
    <row r="127" ht="12" customHeight="1" s="7635" thickBot="1" thickTop="1">
      <c r="B127" s="8043" t="n"/>
      <c r="C127" s="7301" t="n"/>
      <c r="D127" s="7301" t="n"/>
      <c r="G127" s="4" t="n"/>
      <c r="H127" s="4" t="n"/>
      <c r="I127" s="4" t="n"/>
      <c r="K127" s="7834" t="n"/>
      <c r="L127" s="987" t="n"/>
      <c r="M127" s="987" t="n"/>
      <c r="N127" s="987" t="n"/>
      <c r="O127" s="9123" t="n"/>
      <c r="P127" s="9649" t="n"/>
      <c r="Q127" s="8648" t="n"/>
      <c r="R127" s="9123" t="n"/>
      <c r="S127" s="688" t="n"/>
      <c r="T127" s="688" t="n"/>
      <c r="U127" s="688" t="n"/>
      <c r="V127" s="688" t="n"/>
      <c r="W127" s="689" t="n"/>
      <c r="X127" s="689" t="n"/>
      <c r="Y127" s="689" t="n"/>
      <c r="Z127" s="689" t="n"/>
      <c r="AA127" s="689" t="n"/>
      <c r="AB127" s="689" t="n"/>
      <c r="AC127" s="689" t="n"/>
      <c r="AD127" s="689" t="n"/>
      <c r="AE127" s="689" t="n"/>
      <c r="AF127" s="689" t="n"/>
      <c r="AG127" s="689" t="n"/>
      <c r="AH127" s="689" t="n"/>
      <c r="AI127" s="688" t="n"/>
      <c r="AJ127" s="688" t="n"/>
      <c r="AK127" s="688" t="n"/>
      <c r="AL127" s="688" t="n"/>
      <c r="AM127" s="688" t="n"/>
      <c r="AN127" s="688" t="n"/>
    </row>
    <row r="128" ht="15" customFormat="1" customHeight="1" s="80" thickBot="1" thickTop="1">
      <c r="B128" s="8043" t="n"/>
      <c r="C128" s="11824" t="inlineStr">
        <is>
          <t>Download Form 8889 Instructions</t>
        </is>
      </c>
      <c r="D128" s="11825" t="n"/>
      <c r="E128" s="11825" t="n"/>
      <c r="F128" s="11825" t="n"/>
      <c r="G128" s="11826" t="n"/>
      <c r="H128" s="4" t="n"/>
      <c r="I128" s="4" t="n"/>
      <c r="K128" s="9649" t="inlineStr">
        <is>
          <t>F1040 Line 25</t>
        </is>
      </c>
      <c r="L128" s="987" t="n"/>
      <c r="M128" s="987" t="inlineStr">
        <is>
          <t>F1040 Line 21</t>
        </is>
      </c>
      <c r="N128" s="987" t="n"/>
      <c r="O128" s="9123" t="n"/>
      <c r="P128" s="9649" t="n"/>
      <c r="Q128" s="8648" t="n"/>
      <c r="R128" s="9123" t="n"/>
      <c r="S128" s="688" t="n"/>
      <c r="T128" s="688" t="n"/>
      <c r="U128" s="688" t="n"/>
      <c r="V128" s="688" t="n"/>
      <c r="W128" s="689" t="n"/>
      <c r="X128" s="689" t="n"/>
      <c r="Y128" s="689" t="n"/>
      <c r="Z128" s="689" t="n"/>
      <c r="AA128" s="689" t="n"/>
      <c r="AB128" s="689" t="n"/>
      <c r="AC128" s="689" t="n"/>
      <c r="AD128" s="689" t="n"/>
      <c r="AE128" s="689" t="n"/>
      <c r="AF128" s="689" t="n"/>
      <c r="AG128" s="689" t="n"/>
      <c r="AH128" s="8648" t="n"/>
      <c r="AI128" s="8648" t="n"/>
      <c r="AJ128" s="8648" t="n"/>
      <c r="AK128" s="8648" t="n"/>
      <c r="AL128" s="688" t="n"/>
      <c r="AM128" s="688" t="n"/>
      <c r="AN128" s="688" t="n"/>
      <c r="AO128" s="658" t="n"/>
      <c r="AP128" s="658" t="n"/>
      <c r="AQ128" s="658" t="n"/>
      <c r="AR128" s="658" t="n"/>
      <c r="AS128" s="658" t="n"/>
      <c r="AT128" s="658" t="n"/>
      <c r="AU128" s="658" t="n"/>
      <c r="AV128" s="658" t="n"/>
      <c r="AW128" s="658" t="n"/>
    </row>
    <row r="129" ht="15" customFormat="1" customHeight="1" s="80" thickTop="1">
      <c r="O129" s="9123" t="n"/>
      <c r="P129" s="9649" t="n"/>
      <c r="Q129" s="8648" t="n"/>
      <c r="R129" s="9123" t="n"/>
      <c r="S129" s="688" t="n"/>
      <c r="T129" s="688" t="n"/>
      <c r="U129" s="688" t="n"/>
      <c r="V129" s="688" t="n"/>
      <c r="W129" s="688" t="n"/>
      <c r="X129" s="689" t="n"/>
      <c r="Y129" s="689" t="n"/>
      <c r="Z129" s="689" t="n"/>
      <c r="AA129" s="689" t="n"/>
      <c r="AB129" s="689" t="n"/>
      <c r="AC129" s="689" t="n"/>
      <c r="AD129" s="689" t="n"/>
      <c r="AE129" s="689" t="n"/>
      <c r="AF129" s="689" t="n"/>
      <c r="AG129" s="689" t="n"/>
      <c r="AH129" s="8648" t="n"/>
      <c r="AI129" s="8648" t="n"/>
      <c r="AJ129" s="8648" t="n"/>
      <c r="AK129" s="8648" t="n"/>
      <c r="AL129" s="688" t="n"/>
      <c r="AM129" s="688" t="n"/>
      <c r="AN129" s="688" t="n"/>
      <c r="AO129" s="658" t="n"/>
      <c r="AP129" s="658" t="n"/>
      <c r="AQ129" s="658" t="n"/>
      <c r="AR129" s="658" t="n"/>
      <c r="AS129" s="658" t="n"/>
      <c r="AT129" s="658" t="n"/>
      <c r="AU129" s="658" t="n"/>
      <c r="AV129" s="658" t="n"/>
      <c r="AW129" s="658" t="n"/>
    </row>
    <row r="130" ht="24" customFormat="1" customHeight="1" s="80">
      <c r="H130" s="405" t="n"/>
      <c r="I130" s="406" t="n"/>
      <c r="J130" s="406" t="n"/>
      <c r="K130" s="406" t="n"/>
      <c r="L130" s="406" t="n"/>
      <c r="M130" s="406" t="n"/>
      <c r="N130" s="406" t="n"/>
      <c r="O130" s="4352" t="n"/>
      <c r="P130" s="9649" t="n"/>
      <c r="Q130" s="8648" t="n"/>
      <c r="R130" s="9123" t="n"/>
      <c r="S130" s="688" t="n"/>
      <c r="T130" s="688" t="n"/>
      <c r="U130" s="688" t="n"/>
      <c r="V130" s="688" t="n"/>
      <c r="W130" s="688" t="n"/>
      <c r="X130" s="9123" t="n"/>
      <c r="Y130" s="8648" t="n"/>
      <c r="Z130" s="688" t="n"/>
      <c r="AA130" s="8648" t="n"/>
      <c r="AB130" s="688" t="n"/>
      <c r="AC130" s="8648" t="n"/>
      <c r="AD130" s="688" t="n"/>
      <c r="AE130" s="8648" t="n"/>
      <c r="AF130" s="4354" t="n"/>
      <c r="AG130" s="8648" t="n"/>
      <c r="AH130" s="8648" t="n"/>
      <c r="AI130" s="8648" t="n"/>
      <c r="AJ130" s="8648" t="n"/>
      <c r="AK130" s="8648" t="n"/>
      <c r="AL130" s="688" t="n"/>
      <c r="AM130" s="688" t="n"/>
      <c r="AN130" s="688" t="n"/>
      <c r="AO130" s="658" t="n"/>
      <c r="AP130" s="658" t="n"/>
      <c r="AQ130" s="658" t="n"/>
      <c r="AR130" s="658" t="n"/>
      <c r="AS130" s="658" t="n"/>
      <c r="AT130" s="658" t="n"/>
      <c r="AU130" s="658" t="n"/>
      <c r="AV130" s="658" t="n"/>
      <c r="AW130" s="658" t="n"/>
    </row>
    <row r="131" ht="15" customFormat="1" customHeight="1" s="80">
      <c r="H131" s="566" t="n"/>
      <c r="I131" s="11602" t="n"/>
      <c r="J131" s="11602" t="n"/>
      <c r="K131" s="10928" t="inlineStr">
        <is>
          <t>Total</t>
        </is>
      </c>
      <c r="L131" s="11602" t="n"/>
      <c r="M131" s="1060" t="inlineStr">
        <is>
          <t>Destination</t>
        </is>
      </c>
      <c r="N131" s="11602" t="n"/>
      <c r="O131" s="1966" t="n"/>
      <c r="P131" s="9649" t="n"/>
      <c r="Q131" s="8648" t="n"/>
      <c r="R131" s="9123" t="n"/>
      <c r="S131" s="688" t="n"/>
      <c r="T131" s="688" t="n"/>
      <c r="U131" s="688" t="n"/>
      <c r="V131" s="688" t="n"/>
      <c r="W131" s="688" t="n"/>
      <c r="X131" s="9123" t="n"/>
      <c r="Y131" s="8648" t="n"/>
      <c r="Z131" s="688" t="n"/>
      <c r="AA131" s="8648" t="n"/>
      <c r="AB131" s="688" t="n"/>
      <c r="AC131" s="8648" t="n"/>
      <c r="AD131" s="688" t="n"/>
      <c r="AE131" s="8648" t="n"/>
      <c r="AF131" s="4354" t="n"/>
      <c r="AG131" s="8648" t="n"/>
      <c r="AH131" s="8648" t="n"/>
      <c r="AI131" s="8648" t="n"/>
      <c r="AJ131" s="8648" t="n"/>
      <c r="AK131" s="8648" t="n"/>
      <c r="AL131" s="8648" t="n"/>
      <c r="AM131" s="8648" t="n"/>
      <c r="AN131" s="8648" t="n"/>
      <c r="AO131" s="658" t="n"/>
      <c r="AP131" s="658" t="n"/>
      <c r="AQ131" s="658" t="n"/>
      <c r="AR131" s="658" t="n"/>
      <c r="AS131" s="658" t="n"/>
      <c r="AT131" s="658" t="n"/>
      <c r="AU131" s="658" t="n"/>
      <c r="AV131" s="658" t="n"/>
      <c r="AW131" s="658" t="n"/>
    </row>
    <row r="132" ht="8.25" customFormat="1" customHeight="1" s="80">
      <c r="H132" s="566" t="n"/>
      <c r="I132" s="11602" t="n"/>
      <c r="J132" s="11602" t="n"/>
      <c r="K132" s="11602" t="n"/>
      <c r="L132" s="11602" t="n"/>
      <c r="M132" s="1060" t="n"/>
      <c r="N132" s="11602" t="n"/>
      <c r="O132" s="1966" t="n"/>
      <c r="P132" s="9649" t="n"/>
      <c r="Q132" s="8648" t="n"/>
      <c r="R132" s="9123" t="n"/>
      <c r="S132" s="688" t="n"/>
      <c r="T132" s="688" t="n"/>
      <c r="U132" s="688" t="n"/>
      <c r="V132" s="688" t="n"/>
      <c r="W132" s="688" t="n"/>
      <c r="X132" s="9123" t="n"/>
      <c r="Y132" s="8648" t="n"/>
      <c r="Z132" s="688" t="n"/>
      <c r="AA132" s="8648" t="n"/>
      <c r="AB132" s="688" t="n"/>
      <c r="AC132" s="8648" t="n"/>
      <c r="AD132" s="688" t="n"/>
      <c r="AE132" s="8648" t="n"/>
      <c r="AF132" s="4354" t="n"/>
      <c r="AG132" s="8648" t="n"/>
      <c r="AH132" s="8648" t="n"/>
      <c r="AI132" s="8648" t="n"/>
      <c r="AJ132" s="8648" t="n"/>
      <c r="AK132" s="8648" t="n"/>
      <c r="AL132" s="8648" t="n"/>
      <c r="AM132" s="8648" t="n"/>
      <c r="AN132" s="8648" t="n"/>
      <c r="AO132" s="658" t="n"/>
      <c r="AP132" s="658" t="n"/>
      <c r="AQ132" s="658" t="n"/>
      <c r="AR132" s="658" t="n"/>
      <c r="AS132" s="658" t="n"/>
      <c r="AT132" s="658" t="n"/>
      <c r="AU132" s="658" t="n"/>
      <c r="AV132" s="658" t="n"/>
      <c r="AW132" s="658" t="n"/>
    </row>
    <row r="133" ht="17.25" customFormat="1" customHeight="1" s="80">
      <c r="F133" s="8648" t="n"/>
      <c r="H133" s="408" t="n"/>
      <c r="I133" s="344" t="inlineStr">
        <is>
          <t>Form 8889</t>
        </is>
      </c>
      <c r="J133" s="1061" t="n"/>
      <c r="K133" s="4355">
        <f>ROUND(SUM(M38,M98),0)</f>
        <v/>
      </c>
      <c r="L133" s="11602" t="n"/>
      <c r="M133" s="9237" t="inlineStr">
        <is>
          <t>Schedule 1, Line 13</t>
        </is>
      </c>
      <c r="N133" s="11602" t="n"/>
      <c r="O133" s="1966" t="n"/>
      <c r="P133" s="9649" t="n"/>
      <c r="Q133" s="8648" t="n"/>
      <c r="R133" s="9123" t="n"/>
      <c r="S133" s="688" t="n"/>
      <c r="T133" s="688" t="n"/>
      <c r="U133" s="688" t="n"/>
      <c r="V133" s="688" t="n"/>
      <c r="W133" s="688" t="n"/>
      <c r="X133" s="9123" t="n"/>
      <c r="Y133" s="8648" t="n"/>
      <c r="Z133" s="688" t="n"/>
      <c r="AA133" s="8648" t="n"/>
      <c r="AB133" s="688" t="n"/>
      <c r="AC133" s="8648" t="n"/>
      <c r="AD133" s="688" t="n"/>
      <c r="AE133" s="8648" t="n"/>
      <c r="AF133" s="4354" t="n"/>
      <c r="AG133" s="8648" t="n"/>
      <c r="AH133" s="8648" t="n"/>
      <c r="AI133" s="8648" t="n"/>
      <c r="AJ133" s="8648" t="n"/>
      <c r="AK133" s="8648" t="n"/>
      <c r="AL133" s="8648" t="n"/>
      <c r="AM133" s="8648" t="n"/>
      <c r="AN133" s="8648" t="n"/>
      <c r="AO133" s="658" t="n"/>
      <c r="AP133" s="658" t="n"/>
      <c r="AQ133" s="658" t="n"/>
      <c r="AR133" s="658" t="n"/>
      <c r="AS133" s="658" t="n"/>
      <c r="AT133" s="658" t="n"/>
      <c r="AU133" s="658" t="n"/>
      <c r="AV133" s="658" t="n"/>
      <c r="AW133" s="658" t="n"/>
    </row>
    <row r="134" ht="12.75" customFormat="1" customHeight="1" s="80">
      <c r="H134" s="408" t="n"/>
      <c r="I134" s="11602" t="n"/>
      <c r="J134" s="11602" t="n"/>
      <c r="K134" s="4356" t="inlineStr">
        <is>
          <t>Line 13</t>
        </is>
      </c>
      <c r="L134" s="11602" t="n"/>
      <c r="M134" s="9237" t="n"/>
      <c r="N134" s="11602" t="n"/>
      <c r="O134" s="1966" t="n"/>
      <c r="P134" s="9649" t="n"/>
      <c r="Q134" s="8648" t="n"/>
      <c r="R134" s="9123" t="n"/>
      <c r="S134" s="688" t="n"/>
      <c r="T134" s="688" t="n"/>
      <c r="U134" s="688" t="n"/>
      <c r="V134" s="688" t="n"/>
      <c r="W134" s="688" t="n"/>
      <c r="X134" s="9123" t="n"/>
      <c r="Y134" s="8648" t="n"/>
      <c r="Z134" s="688" t="n"/>
      <c r="AA134" s="8648" t="n"/>
      <c r="AB134" s="688" t="n"/>
      <c r="AC134" s="8648" t="n"/>
      <c r="AD134" s="688" t="n"/>
      <c r="AE134" s="8648" t="n"/>
      <c r="AF134" s="4354" t="n"/>
      <c r="AG134" s="8648" t="n"/>
      <c r="AH134" s="8648" t="n"/>
      <c r="AI134" s="8648" t="n"/>
      <c r="AJ134" s="8648" t="n"/>
      <c r="AK134" s="8648" t="n"/>
      <c r="AL134" s="8648" t="n"/>
      <c r="AM134" s="8648" t="n"/>
      <c r="AN134" s="8648" t="n"/>
      <c r="AO134" s="658" t="n"/>
      <c r="AP134" s="658" t="n"/>
      <c r="AQ134" s="658" t="n"/>
      <c r="AR134" s="658" t="n"/>
      <c r="AS134" s="658" t="n"/>
      <c r="AT134" s="658" t="n"/>
      <c r="AU134" s="658" t="n"/>
      <c r="AV134" s="658" t="n"/>
      <c r="AW134" s="658" t="n"/>
    </row>
    <row r="135" ht="12.75" customFormat="1" customHeight="1" s="80">
      <c r="H135" s="408" t="n"/>
      <c r="I135" s="11602" t="n"/>
      <c r="J135" s="11602" t="n"/>
      <c r="K135" s="11602" t="n"/>
      <c r="L135" s="11602" t="n"/>
      <c r="M135" s="9237" t="n"/>
      <c r="N135" s="11602" t="n"/>
      <c r="O135" s="1966" t="n"/>
      <c r="P135" s="9649" t="n"/>
      <c r="Q135" s="8648" t="n"/>
      <c r="R135" s="9123" t="n"/>
      <c r="S135" s="688" t="n"/>
      <c r="T135" s="688" t="n"/>
      <c r="U135" s="688" t="n"/>
      <c r="V135" s="688" t="n"/>
      <c r="W135" s="688" t="n"/>
      <c r="X135" s="9123" t="n"/>
      <c r="Y135" s="8648" t="n"/>
      <c r="Z135" s="688" t="n"/>
      <c r="AA135" s="8648" t="n"/>
      <c r="AB135" s="688" t="n"/>
      <c r="AC135" s="8648" t="n"/>
      <c r="AD135" s="688" t="n"/>
      <c r="AE135" s="8648" t="n"/>
      <c r="AF135" s="4354" t="n"/>
      <c r="AG135" s="8648" t="n"/>
      <c r="AH135" s="8648" t="n"/>
      <c r="AI135" s="8648" t="n"/>
      <c r="AJ135" s="8648" t="n"/>
      <c r="AK135" s="8648" t="n"/>
      <c r="AL135" s="8648" t="n"/>
      <c r="AM135" s="8648" t="n"/>
      <c r="AN135" s="8648" t="n"/>
      <c r="AO135" s="658" t="n"/>
      <c r="AP135" s="658" t="n"/>
      <c r="AQ135" s="658" t="n"/>
      <c r="AR135" s="658" t="n"/>
      <c r="AS135" s="658" t="n"/>
      <c r="AT135" s="658" t="n"/>
      <c r="AU135" s="658" t="n"/>
      <c r="AV135" s="658" t="n"/>
      <c r="AW135" s="658" t="n"/>
    </row>
    <row r="136" ht="12.75" customFormat="1" customHeight="1" s="80">
      <c r="H136" s="408" t="n"/>
      <c r="I136" s="344" t="inlineStr">
        <is>
          <t>Form 8889</t>
        </is>
      </c>
      <c r="J136" s="1061" t="n"/>
      <c r="K136" s="4355">
        <f>ROUND(SUM(M49,M109),0)</f>
        <v/>
      </c>
      <c r="L136" s="11602" t="n"/>
      <c r="M136" s="9237" t="inlineStr">
        <is>
          <t>Schedule 1, Line 8f</t>
        </is>
      </c>
      <c r="N136" s="11602" t="n"/>
      <c r="O136" s="1966" t="n"/>
      <c r="P136" s="9649" t="n"/>
      <c r="Q136" s="8648" t="n"/>
      <c r="R136" s="9123" t="n"/>
      <c r="S136" s="688" t="n"/>
      <c r="T136" s="688" t="n"/>
      <c r="U136" s="688" t="n"/>
      <c r="V136" s="688" t="n"/>
      <c r="W136" s="688" t="n"/>
      <c r="X136" s="9123" t="n"/>
      <c r="Y136" s="8648" t="n"/>
      <c r="Z136" s="688" t="n"/>
      <c r="AA136" s="8648" t="n"/>
      <c r="AB136" s="688" t="n"/>
      <c r="AC136" s="8648" t="n"/>
      <c r="AD136" s="688" t="n"/>
      <c r="AE136" s="8648" t="n"/>
      <c r="AF136" s="4354" t="n"/>
      <c r="AG136" s="8648" t="n"/>
      <c r="AH136" s="8648" t="n"/>
      <c r="AI136" s="8648" t="n"/>
      <c r="AJ136" s="8648" t="n"/>
      <c r="AK136" s="8648" t="n"/>
      <c r="AL136" s="8648" t="n"/>
      <c r="AM136" s="8648" t="n"/>
      <c r="AN136" s="8648" t="n"/>
      <c r="AO136" s="658" t="n"/>
      <c r="AP136" s="658" t="n"/>
      <c r="AQ136" s="658" t="n"/>
      <c r="AR136" s="658" t="n"/>
      <c r="AS136" s="658" t="n"/>
      <c r="AT136" s="658" t="n"/>
      <c r="AU136" s="658" t="n"/>
      <c r="AV136" s="658" t="n"/>
      <c r="AW136" s="658" t="n"/>
    </row>
    <row r="137" ht="12.75" customFormat="1" customHeight="1" s="80">
      <c r="A137" s="8648" t="n"/>
      <c r="B137" s="8648" t="n"/>
      <c r="C137" s="8648" t="n"/>
      <c r="D137" s="8648" t="n"/>
      <c r="E137" s="8648" t="n"/>
      <c r="F137" s="8648" t="n"/>
      <c r="G137" s="8648" t="n"/>
      <c r="H137" s="566" t="n"/>
      <c r="I137" s="344" t="n"/>
      <c r="J137" s="344" t="n"/>
      <c r="K137" s="4356" t="inlineStr">
        <is>
          <t>Line 16</t>
        </is>
      </c>
      <c r="L137" s="11602" t="n"/>
      <c r="M137" s="9237" t="n"/>
      <c r="N137" s="4357" t="n"/>
      <c r="O137" s="567" t="n"/>
      <c r="P137" s="9649" t="n"/>
      <c r="Q137" s="8648" t="n"/>
      <c r="R137" s="9123" t="n"/>
      <c r="S137" s="688" t="n"/>
      <c r="T137" s="688" t="n"/>
      <c r="U137" s="688" t="n"/>
      <c r="V137" s="688" t="n"/>
      <c r="W137" s="314" t="n"/>
      <c r="X137" s="9123" t="n"/>
      <c r="Y137" s="8648" t="n"/>
      <c r="Z137" s="688" t="n"/>
      <c r="AA137" s="8648" t="n"/>
      <c r="AB137" s="688" t="n"/>
      <c r="AC137" s="8648" t="n"/>
      <c r="AD137" s="688" t="n"/>
      <c r="AE137" s="8648" t="n"/>
      <c r="AF137" s="4354" t="n"/>
      <c r="AG137" s="8648" t="n"/>
      <c r="AH137" s="8648" t="n"/>
      <c r="AI137" s="8648" t="n"/>
      <c r="AJ137" s="8648" t="n"/>
      <c r="AK137" s="8648" t="n"/>
      <c r="AL137" s="8648" t="n"/>
      <c r="AM137" s="8648" t="n"/>
      <c r="AN137" s="8648" t="n"/>
      <c r="AO137" s="658" t="n"/>
      <c r="AP137" s="658" t="n"/>
      <c r="AQ137" s="658" t="n"/>
      <c r="AR137" s="658" t="n"/>
      <c r="AS137" s="658" t="n"/>
      <c r="AT137" s="658" t="n"/>
      <c r="AU137" s="658" t="n"/>
      <c r="AV137" s="658" t="n"/>
      <c r="AW137" s="658" t="n"/>
    </row>
    <row r="138" ht="12.75" customFormat="1" customHeight="1" s="80">
      <c r="A138" s="8648" t="n"/>
      <c r="B138" s="8648" t="n"/>
      <c r="C138" s="8648" t="n"/>
      <c r="D138" s="8648" t="n"/>
      <c r="E138" s="8648" t="n"/>
      <c r="F138" s="8648" t="n"/>
      <c r="G138" s="8648" t="n"/>
      <c r="H138" s="566" t="n"/>
      <c r="I138" s="344" t="n"/>
      <c r="J138" s="344" t="n"/>
      <c r="K138" s="11602" t="n"/>
      <c r="L138" s="11602" t="n"/>
      <c r="M138" s="9237" t="n"/>
      <c r="N138" s="7957" t="n"/>
      <c r="O138" s="567" t="n"/>
      <c r="P138" s="9649" t="n"/>
      <c r="Q138" s="8648" t="n"/>
      <c r="R138" s="9123" t="n"/>
      <c r="S138" s="688" t="n"/>
      <c r="T138" s="688" t="n"/>
      <c r="U138" s="688" t="n"/>
      <c r="V138" s="688" t="n"/>
      <c r="W138" s="314" t="n"/>
      <c r="X138" s="9123" t="n"/>
      <c r="Y138" s="8648" t="n"/>
      <c r="Z138" s="688" t="n"/>
      <c r="AA138" s="8648" t="n"/>
      <c r="AB138" s="688" t="n"/>
      <c r="AC138" s="8648" t="n"/>
      <c r="AD138" s="688" t="n"/>
      <c r="AE138" s="8648" t="n"/>
      <c r="AF138" s="4354" t="n"/>
      <c r="AG138" s="8648" t="n"/>
      <c r="AH138" s="8648" t="n"/>
      <c r="AI138" s="8648" t="n"/>
      <c r="AJ138" s="8648" t="n"/>
      <c r="AK138" s="8648" t="n"/>
      <c r="AL138" s="8648" t="n"/>
      <c r="AM138" s="8648" t="n"/>
      <c r="AN138" s="8648" t="n"/>
      <c r="AO138" s="658" t="n"/>
      <c r="AP138" s="658" t="n"/>
      <c r="AQ138" s="658" t="n"/>
      <c r="AR138" s="658" t="n"/>
      <c r="AS138" s="658" t="n"/>
      <c r="AT138" s="658" t="n"/>
      <c r="AU138" s="658" t="n"/>
      <c r="AV138" s="658" t="n"/>
      <c r="AW138" s="658" t="n"/>
    </row>
    <row r="139" ht="12.75" customFormat="1" customHeight="1" s="80">
      <c r="A139" s="8648" t="n"/>
      <c r="B139" s="8648" t="n"/>
      <c r="C139" s="8648" t="n"/>
      <c r="D139" s="8648" t="n"/>
      <c r="E139" s="8648" t="n"/>
      <c r="F139" s="8648" t="n"/>
      <c r="G139" s="8648" t="n"/>
      <c r="H139" s="566" t="n"/>
      <c r="I139" s="344" t="inlineStr">
        <is>
          <t>Form 8889</t>
        </is>
      </c>
      <c r="J139" s="1061" t="n"/>
      <c r="K139" s="4355">
        <f>SUM(M54,M114)</f>
        <v/>
      </c>
      <c r="L139" s="11602" t="n"/>
      <c r="M139" s="9237" t="inlineStr">
        <is>
          <t>Schedule 2, Line 17c</t>
        </is>
      </c>
      <c r="N139" s="344" t="n"/>
      <c r="O139" s="567" t="n"/>
      <c r="P139" s="9649" t="n"/>
      <c r="Q139" s="8648" t="n"/>
      <c r="R139" s="8648" t="n"/>
      <c r="S139" s="688" t="n"/>
      <c r="T139" s="688" t="n"/>
      <c r="U139" s="688" t="n"/>
      <c r="V139" s="688" t="n"/>
      <c r="W139" s="314" t="n"/>
      <c r="X139" s="9123" t="n"/>
      <c r="Y139" s="8648" t="n"/>
      <c r="Z139" s="688" t="n"/>
      <c r="AA139" s="8648" t="n"/>
      <c r="AB139" s="688" t="n"/>
      <c r="AC139" s="8648" t="n"/>
      <c r="AD139" s="688" t="n"/>
      <c r="AE139" s="8648" t="n"/>
      <c r="AF139" s="4354" t="n"/>
      <c r="AG139" s="8648" t="n"/>
      <c r="AH139" s="8648" t="n"/>
      <c r="AI139" s="8648" t="n"/>
      <c r="AJ139" s="8648" t="n"/>
      <c r="AK139" s="8648" t="n"/>
      <c r="AL139" s="8648" t="n"/>
      <c r="AM139" s="8648" t="n"/>
      <c r="AN139" s="8648" t="n"/>
      <c r="AO139" s="658" t="n"/>
      <c r="AP139" s="658" t="n"/>
      <c r="AQ139" s="658" t="n"/>
      <c r="AR139" s="658" t="n"/>
      <c r="AS139" s="658" t="n"/>
      <c r="AT139" s="658" t="n"/>
      <c r="AU139" s="658" t="n"/>
      <c r="AV139" s="658" t="n"/>
      <c r="AW139" s="658" t="n"/>
    </row>
    <row r="140" ht="12.75" customFormat="1" customHeight="1" s="80">
      <c r="A140" s="8648" t="n"/>
      <c r="B140" s="8648" t="n"/>
      <c r="C140" s="8648" t="n"/>
      <c r="D140" s="8648" t="n"/>
      <c r="E140" s="8648" t="n"/>
      <c r="F140" s="8648" t="n"/>
      <c r="G140" s="8648" t="n"/>
      <c r="H140" s="566" t="n"/>
      <c r="I140" s="344" t="n"/>
      <c r="J140" s="344" t="n"/>
      <c r="K140" s="4356" t="inlineStr">
        <is>
          <t>Line 17b</t>
        </is>
      </c>
      <c r="L140" s="11602" t="n"/>
      <c r="M140" s="9237" t="n"/>
      <c r="N140" s="344" t="n"/>
      <c r="O140" s="567" t="n"/>
      <c r="P140" s="9649" t="n"/>
      <c r="Q140" s="8648" t="n"/>
      <c r="R140" s="8648" t="n"/>
      <c r="S140" s="688" t="n"/>
      <c r="T140" s="688" t="n"/>
      <c r="U140" s="688" t="n"/>
      <c r="V140" s="688" t="n"/>
      <c r="W140" s="314" t="n"/>
      <c r="X140" s="9123" t="n"/>
      <c r="Y140" s="8648" t="n"/>
      <c r="Z140" s="688" t="n"/>
      <c r="AA140" s="8648" t="n"/>
      <c r="AB140" s="688" t="n"/>
      <c r="AC140" s="8648" t="n"/>
      <c r="AD140" s="688" t="n"/>
      <c r="AE140" s="8648" t="n"/>
      <c r="AF140" s="4354" t="n"/>
      <c r="AG140" s="8648" t="n"/>
      <c r="AH140" s="8648" t="n"/>
      <c r="AI140" s="8648" t="n"/>
      <c r="AJ140" s="8648" t="n"/>
      <c r="AK140" s="8648" t="n"/>
      <c r="AL140" s="8648" t="n"/>
      <c r="AM140" s="8648" t="n"/>
      <c r="AN140" s="8648" t="n"/>
      <c r="AO140" s="658" t="n"/>
      <c r="AP140" s="658" t="n"/>
      <c r="AQ140" s="658" t="n"/>
      <c r="AR140" s="658" t="n"/>
      <c r="AS140" s="658" t="n"/>
      <c r="AT140" s="658" t="n"/>
      <c r="AU140" s="658" t="n"/>
      <c r="AV140" s="658" t="n"/>
      <c r="AW140" s="658" t="n"/>
    </row>
    <row r="141" ht="12.75" customFormat="1" customHeight="1" s="80">
      <c r="A141" s="8648" t="n"/>
      <c r="B141" s="8648" t="n"/>
      <c r="C141" s="8648" t="n"/>
      <c r="D141" s="8648" t="n"/>
      <c r="E141" s="8648" t="n"/>
      <c r="F141" s="8648" t="n"/>
      <c r="G141" s="8648" t="n"/>
      <c r="H141" s="566" t="n"/>
      <c r="I141" s="344" t="n"/>
      <c r="J141" s="344" t="n"/>
      <c r="K141" s="4356" t="n"/>
      <c r="L141" s="11602" t="n"/>
      <c r="M141" s="9237" t="n"/>
      <c r="N141" s="344" t="n"/>
      <c r="O141" s="567" t="n"/>
      <c r="P141" s="9649" t="n"/>
      <c r="Q141" s="8648" t="n"/>
      <c r="R141" s="8648" t="n"/>
      <c r="S141" s="314" t="n"/>
      <c r="T141" s="314" t="n"/>
      <c r="U141" s="314" t="n"/>
      <c r="V141" s="314" t="n"/>
      <c r="W141" s="314" t="n"/>
      <c r="X141" s="8648" t="n"/>
      <c r="Y141" s="8648" t="n"/>
      <c r="Z141" s="314" t="n"/>
      <c r="AA141" s="8648" t="n"/>
      <c r="AB141" s="314" t="n"/>
      <c r="AC141" s="8648" t="n"/>
      <c r="AD141" s="314" t="n"/>
      <c r="AE141" s="8648" t="n"/>
      <c r="AF141" s="4354" t="n"/>
      <c r="AG141" s="8648" t="n"/>
      <c r="AH141" s="8648" t="n"/>
      <c r="AI141" s="8648" t="n"/>
      <c r="AJ141" s="8648" t="n"/>
      <c r="AK141" s="8648" t="n"/>
      <c r="AL141" s="8648" t="n"/>
      <c r="AM141" s="8648" t="n"/>
      <c r="AN141" s="8648" t="n"/>
      <c r="AO141" s="658" t="n"/>
      <c r="AP141" s="658" t="n"/>
      <c r="AQ141" s="658" t="n"/>
      <c r="AR141" s="658" t="n"/>
      <c r="AS141" s="658" t="n"/>
      <c r="AT141" s="658" t="n"/>
      <c r="AU141" s="658" t="n"/>
      <c r="AV141" s="658" t="n"/>
      <c r="AW141" s="658" t="n"/>
    </row>
    <row r="142" customFormat="1" s="8648">
      <c r="H142" s="408" t="n"/>
      <c r="I142" s="344" t="inlineStr">
        <is>
          <t>Form 8889</t>
        </is>
      </c>
      <c r="J142" s="1061" t="n"/>
      <c r="K142" s="4355">
        <f>ROUND(SUM(M60,M120),0)</f>
        <v/>
      </c>
      <c r="L142" s="11602" t="n"/>
      <c r="M142" s="9237" t="inlineStr">
        <is>
          <t>Schedule 1, Line 8f</t>
        </is>
      </c>
      <c r="N142" s="11602" t="n"/>
      <c r="O142" s="1966" t="n"/>
      <c r="P142" s="9649" t="n"/>
      <c r="S142" s="314" t="n"/>
      <c r="T142" s="314" t="n"/>
      <c r="U142" s="314" t="n"/>
      <c r="V142" s="314" t="n"/>
      <c r="W142" s="314" t="n"/>
      <c r="Z142" s="314" t="n"/>
      <c r="AB142" s="314" t="n"/>
      <c r="AD142" s="314" t="n"/>
      <c r="AF142" s="4354" t="n"/>
      <c r="AO142" s="664" t="n"/>
      <c r="AP142" s="664" t="n"/>
      <c r="AQ142" s="664" t="n"/>
      <c r="AR142" s="664" t="n"/>
      <c r="AS142" s="664" t="n"/>
      <c r="AT142" s="664" t="n"/>
      <c r="AU142" s="664" t="n"/>
      <c r="AV142" s="664" t="n"/>
      <c r="AW142" s="664" t="n"/>
    </row>
    <row r="143" customFormat="1" s="8648">
      <c r="H143" s="566" t="n"/>
      <c r="I143" s="344" t="n"/>
      <c r="J143" s="344" t="n"/>
      <c r="K143" s="4356" t="inlineStr">
        <is>
          <t>Line 20</t>
        </is>
      </c>
      <c r="L143" s="11602" t="n"/>
      <c r="M143" s="9237" t="n"/>
      <c r="N143" s="4357" t="n"/>
      <c r="O143" s="567" t="n"/>
      <c r="P143" s="9649" t="n"/>
      <c r="S143" s="314" t="n"/>
      <c r="T143" s="314" t="n"/>
      <c r="U143" s="314" t="n"/>
      <c r="V143" s="314" t="n"/>
      <c r="W143" s="314" t="n"/>
      <c r="Z143" s="314" t="n"/>
      <c r="AB143" s="314" t="n"/>
      <c r="AD143" s="314" t="n"/>
      <c r="AF143" s="4354" t="n"/>
      <c r="AO143" s="664" t="n"/>
      <c r="AP143" s="664" t="n"/>
      <c r="AQ143" s="664" t="n"/>
      <c r="AR143" s="664" t="n"/>
      <c r="AS143" s="664" t="n"/>
      <c r="AT143" s="664" t="n"/>
      <c r="AU143" s="664" t="n"/>
      <c r="AV143" s="664" t="n"/>
      <c r="AW143" s="664" t="n"/>
    </row>
    <row r="144" ht="12.75" customFormat="1" customHeight="1" s="8648">
      <c r="H144" s="566" t="n"/>
      <c r="I144" s="344" t="n"/>
      <c r="J144" s="344" t="n"/>
      <c r="K144" s="11602" t="n"/>
      <c r="L144" s="11602" t="n"/>
      <c r="M144" s="9237" t="n"/>
      <c r="N144" s="7957" t="n"/>
      <c r="O144" s="567" t="n"/>
      <c r="P144" s="9649" t="n"/>
      <c r="R144" s="9123" t="n"/>
      <c r="S144" s="314" t="n"/>
      <c r="T144" s="314" t="n"/>
      <c r="U144" s="314" t="n"/>
      <c r="V144" s="314" t="n"/>
      <c r="W144" s="314" t="n"/>
      <c r="Z144" s="314" t="n"/>
      <c r="AB144" s="314" t="n"/>
      <c r="AD144" s="314" t="n"/>
      <c r="AF144" s="4354" t="n"/>
      <c r="AO144" s="664" t="n"/>
      <c r="AP144" s="664" t="n"/>
      <c r="AQ144" s="664" t="n"/>
      <c r="AR144" s="664" t="n"/>
      <c r="AS144" s="664" t="n"/>
      <c r="AT144" s="664" t="n"/>
      <c r="AU144" s="664" t="n"/>
      <c r="AV144" s="664" t="n"/>
      <c r="AW144" s="664" t="n"/>
    </row>
    <row r="145" ht="12.75" customFormat="1" customHeight="1" s="80">
      <c r="A145" s="8648" t="n"/>
      <c r="B145" s="8648" t="n"/>
      <c r="C145" s="8648" t="n"/>
      <c r="D145" s="8648" t="n"/>
      <c r="E145" s="8648" t="n"/>
      <c r="F145" s="8648" t="n"/>
      <c r="G145" s="8648" t="n"/>
      <c r="H145" s="566" t="n"/>
      <c r="I145" s="344" t="inlineStr">
        <is>
          <t>Form 8889</t>
        </is>
      </c>
      <c r="J145" s="1061" t="n"/>
      <c r="K145" s="4355">
        <f>SUM(M62,M122)</f>
        <v/>
      </c>
      <c r="L145" s="11602" t="n"/>
      <c r="M145" s="9237" t="inlineStr">
        <is>
          <t>Schedule 2, Line 17d</t>
        </is>
      </c>
      <c r="N145" s="344" t="n"/>
      <c r="O145" s="567" t="n"/>
      <c r="P145" s="9649" t="n"/>
      <c r="Q145" s="8648" t="n"/>
      <c r="R145" s="8648" t="n"/>
      <c r="S145" s="688" t="n"/>
      <c r="T145" s="688" t="n"/>
      <c r="U145" s="688" t="n"/>
      <c r="V145" s="688" t="n"/>
      <c r="W145" s="314" t="n"/>
      <c r="X145" s="9123" t="n"/>
      <c r="Y145" s="8648" t="n"/>
      <c r="Z145" s="688" t="n"/>
      <c r="AA145" s="8648" t="n"/>
      <c r="AB145" s="688" t="n"/>
      <c r="AC145" s="8648" t="n"/>
      <c r="AD145" s="688" t="n"/>
      <c r="AE145" s="8648" t="n"/>
      <c r="AF145" s="4354" t="n"/>
      <c r="AG145" s="8648" t="n"/>
      <c r="AH145" s="8648" t="n"/>
      <c r="AI145" s="8648" t="n"/>
      <c r="AJ145" s="8648" t="n"/>
      <c r="AK145" s="8648" t="n"/>
      <c r="AL145" s="8648" t="n"/>
      <c r="AM145" s="8648" t="n"/>
      <c r="AN145" s="8648" t="n"/>
      <c r="AO145" s="658" t="n"/>
      <c r="AP145" s="658" t="n"/>
      <c r="AQ145" s="658" t="n"/>
      <c r="AR145" s="658" t="n"/>
      <c r="AS145" s="658" t="n"/>
      <c r="AT145" s="658" t="n"/>
      <c r="AU145" s="658" t="n"/>
      <c r="AV145" s="658" t="n"/>
      <c r="AW145" s="658" t="n"/>
    </row>
    <row r="146" ht="12.75" customFormat="1" customHeight="1" s="80">
      <c r="A146" s="8648" t="n"/>
      <c r="B146" s="8648" t="n"/>
      <c r="C146" s="8648" t="n"/>
      <c r="D146" s="8648" t="n"/>
      <c r="E146" s="8648" t="n"/>
      <c r="F146" s="8648" t="n"/>
      <c r="G146" s="8648" t="n"/>
      <c r="H146" s="566" t="n"/>
      <c r="I146" s="344" t="n"/>
      <c r="J146" s="344" t="n"/>
      <c r="K146" s="7957" t="inlineStr">
        <is>
          <t>Line 21</t>
        </is>
      </c>
      <c r="L146" s="11602" t="n"/>
      <c r="M146" s="11602" t="n"/>
      <c r="N146" s="344" t="n"/>
      <c r="O146" s="567" t="n"/>
      <c r="P146" s="9649" t="n"/>
      <c r="Q146" s="8648" t="n"/>
      <c r="R146" s="8648" t="n"/>
      <c r="S146" s="688" t="n"/>
      <c r="T146" s="688" t="n"/>
      <c r="U146" s="688" t="n"/>
      <c r="V146" s="688" t="n"/>
      <c r="W146" s="314" t="n"/>
      <c r="X146" s="9123" t="n"/>
      <c r="Y146" s="8648" t="n"/>
      <c r="Z146" s="688" t="n"/>
      <c r="AA146" s="8648" t="n"/>
      <c r="AB146" s="688" t="n"/>
      <c r="AC146" s="8648" t="n"/>
      <c r="AD146" s="688" t="n"/>
      <c r="AE146" s="8648" t="n"/>
      <c r="AF146" s="4354" t="n"/>
      <c r="AG146" s="8648" t="n"/>
      <c r="AH146" s="8648" t="n"/>
      <c r="AI146" s="8648" t="n"/>
      <c r="AJ146" s="8648" t="n"/>
      <c r="AK146" s="8648" t="n"/>
      <c r="AL146" s="8648" t="n"/>
      <c r="AM146" s="8648" t="n"/>
      <c r="AN146" s="8648" t="n"/>
      <c r="AO146" s="658" t="n"/>
      <c r="AP146" s="658" t="n"/>
      <c r="AQ146" s="658" t="n"/>
      <c r="AR146" s="658" t="n"/>
      <c r="AS146" s="658" t="n"/>
      <c r="AT146" s="658" t="n"/>
      <c r="AU146" s="658" t="n"/>
      <c r="AV146" s="658" t="n"/>
      <c r="AW146" s="658" t="n"/>
    </row>
    <row r="147" ht="12.75" customFormat="1" customHeight="1" s="80">
      <c r="A147" s="8648" t="n"/>
      <c r="B147" s="8648" t="n"/>
      <c r="C147" s="8648" t="n"/>
      <c r="D147" s="8648" t="n"/>
      <c r="E147" s="8648" t="n"/>
      <c r="F147" s="8648" t="n"/>
      <c r="G147" s="8648" t="n"/>
      <c r="H147" s="568" t="n"/>
      <c r="I147" s="569" t="n"/>
      <c r="J147" s="569" t="n"/>
      <c r="K147" s="4358" t="n"/>
      <c r="L147" s="413" t="n"/>
      <c r="M147" s="413" t="n"/>
      <c r="N147" s="569" t="n"/>
      <c r="O147" s="570" t="n"/>
      <c r="P147" s="9649" t="n"/>
      <c r="Q147" s="8648" t="n"/>
      <c r="R147" s="8648" t="n"/>
      <c r="S147" s="314" t="n"/>
      <c r="T147" s="314" t="n"/>
      <c r="U147" s="314" t="n"/>
      <c r="V147" s="314" t="n"/>
      <c r="W147" s="314" t="n"/>
      <c r="X147" s="8648" t="n"/>
      <c r="Y147" s="8648" t="n"/>
      <c r="Z147" s="314" t="n"/>
      <c r="AA147" s="8648" t="n"/>
      <c r="AB147" s="314" t="n"/>
      <c r="AC147" s="8648" t="n"/>
      <c r="AD147" s="314" t="n"/>
      <c r="AE147" s="8648" t="n"/>
      <c r="AF147" s="4354" t="n"/>
      <c r="AG147" s="8648" t="n"/>
      <c r="AH147" s="8648" t="n"/>
      <c r="AI147" s="8648" t="n"/>
      <c r="AJ147" s="8648" t="n"/>
      <c r="AK147" s="8648" t="n"/>
      <c r="AL147" s="8648" t="n"/>
      <c r="AM147" s="8648" t="n"/>
      <c r="AN147" s="8648" t="n"/>
      <c r="AO147" s="658" t="n"/>
      <c r="AP147" s="658" t="n"/>
      <c r="AQ147" s="658" t="n"/>
      <c r="AR147" s="658" t="n"/>
      <c r="AS147" s="658" t="n"/>
      <c r="AT147" s="658" t="n"/>
      <c r="AU147" s="658" t="n"/>
      <c r="AV147" s="658" t="n"/>
      <c r="AW147" s="658" t="n"/>
    </row>
    <row r="148" customFormat="1" s="8648">
      <c r="P148" s="9649" t="n"/>
      <c r="S148" s="314" t="n"/>
      <c r="T148" s="314" t="n"/>
      <c r="U148" s="314" t="n"/>
      <c r="V148" s="314" t="n"/>
      <c r="W148" s="314" t="n"/>
      <c r="Z148" s="314" t="n"/>
      <c r="AB148" s="314" t="n"/>
      <c r="AD148" s="314" t="n"/>
      <c r="AF148" s="4354" t="n"/>
      <c r="AO148" s="664" t="n"/>
      <c r="AP148" s="664" t="n"/>
      <c r="AQ148" s="664" t="n"/>
      <c r="AR148" s="664" t="n"/>
      <c r="AS148" s="664" t="n"/>
      <c r="AT148" s="664" t="n"/>
      <c r="AU148" s="664" t="n"/>
      <c r="AV148" s="664" t="n"/>
      <c r="AW148" s="664" t="n"/>
    </row>
    <row r="149" customFormat="1" s="8648">
      <c r="P149" s="9649" t="n"/>
      <c r="S149" s="314" t="n"/>
      <c r="T149" s="314" t="n"/>
      <c r="U149" s="314" t="n"/>
      <c r="V149" s="314" t="n"/>
      <c r="W149" s="314" t="n"/>
      <c r="Z149" s="314" t="n"/>
      <c r="AB149" s="314" t="n"/>
      <c r="AD149" s="314" t="n"/>
      <c r="AF149" s="4354" t="n"/>
      <c r="AO149" s="664" t="n"/>
      <c r="AP149" s="664" t="n"/>
      <c r="AQ149" s="664" t="n"/>
      <c r="AR149" s="664" t="n"/>
      <c r="AS149" s="664" t="n"/>
      <c r="AT149" s="664" t="n"/>
      <c r="AU149" s="664" t="n"/>
      <c r="AV149" s="664" t="n"/>
      <c r="AW149" s="664" t="n"/>
    </row>
    <row r="150" ht="12.75" customFormat="1" customHeight="1" s="8648">
      <c r="P150" s="314" t="n"/>
      <c r="S150" s="314" t="n"/>
      <c r="T150" s="314" t="n"/>
      <c r="U150" s="314" t="n"/>
      <c r="V150" s="314" t="n"/>
      <c r="W150" s="314" t="n"/>
      <c r="Z150" s="314" t="n"/>
      <c r="AB150" s="314" t="n"/>
      <c r="AD150" s="314" t="n"/>
      <c r="AF150" s="4354" t="n"/>
      <c r="AO150" s="664" t="n"/>
      <c r="AP150" s="664" t="n"/>
      <c r="AQ150" s="664" t="n"/>
      <c r="AR150" s="664" t="n"/>
      <c r="AS150" s="664" t="n"/>
      <c r="AT150" s="664" t="n"/>
      <c r="AU150" s="664" t="n"/>
      <c r="AV150" s="664" t="n"/>
      <c r="AW150" s="664" t="n"/>
    </row>
    <row r="151" ht="12.75" customFormat="1" customHeight="1" s="8648">
      <c r="P151" s="314" t="n"/>
      <c r="S151" s="314" t="n"/>
      <c r="T151" s="314" t="n"/>
      <c r="U151" s="314" t="n"/>
      <c r="V151" s="314" t="n"/>
      <c r="W151" s="314" t="n"/>
      <c r="Z151" s="314" t="n"/>
      <c r="AB151" s="314" t="n"/>
      <c r="AD151" s="314" t="n"/>
      <c r="AF151" s="4354" t="n"/>
      <c r="AO151" s="664" t="n"/>
      <c r="AP151" s="664" t="n"/>
      <c r="AQ151" s="664" t="n"/>
      <c r="AR151" s="664" t="n"/>
      <c r="AS151" s="664" t="n"/>
      <c r="AT151" s="664" t="n"/>
      <c r="AU151" s="664" t="n"/>
      <c r="AV151" s="664" t="n"/>
      <c r="AW151" s="664" t="n"/>
    </row>
    <row r="152" customFormat="1" s="8648">
      <c r="P152" s="314" t="n"/>
      <c r="S152" s="314" t="n"/>
      <c r="T152" s="314" t="n"/>
      <c r="U152" s="314" t="n"/>
      <c r="V152" s="314" t="n"/>
      <c r="W152" s="314" t="n"/>
      <c r="Z152" s="314" t="n"/>
      <c r="AB152" s="314" t="n"/>
      <c r="AD152" s="314" t="n"/>
      <c r="AF152" s="4354" t="n"/>
      <c r="AO152" s="664" t="n"/>
      <c r="AP152" s="664" t="n"/>
      <c r="AQ152" s="664" t="n"/>
      <c r="AR152" s="664" t="n"/>
      <c r="AS152" s="664" t="n"/>
      <c r="AT152" s="664" t="n"/>
      <c r="AU152" s="664" t="n"/>
      <c r="AV152" s="664" t="n"/>
      <c r="AW152" s="664" t="n"/>
    </row>
    <row r="153" ht="14.25" customFormat="1" customHeight="1" s="8648">
      <c r="P153" s="7453" t="n"/>
      <c r="S153" s="314" t="n"/>
      <c r="T153" s="314" t="n"/>
      <c r="U153" s="314" t="n"/>
      <c r="V153" s="314" t="n"/>
      <c r="W153" s="314" t="n"/>
      <c r="Z153" s="314" t="n"/>
      <c r="AB153" s="314" t="n"/>
      <c r="AD153" s="314" t="n"/>
      <c r="AF153" s="4354" t="n"/>
      <c r="AO153" s="664" t="n"/>
      <c r="AP153" s="664" t="n"/>
      <c r="AQ153" s="664" t="n"/>
      <c r="AR153" s="664" t="n"/>
      <c r="AS153" s="664" t="n"/>
      <c r="AT153" s="664" t="n"/>
      <c r="AU153" s="664" t="n"/>
      <c r="AV153" s="664" t="n"/>
      <c r="AW153" s="664" t="n"/>
    </row>
    <row r="154" customFormat="1" s="8648">
      <c r="P154" s="7453" t="n"/>
      <c r="S154" s="314" t="n"/>
      <c r="T154" s="314" t="n"/>
      <c r="U154" s="314" t="n"/>
      <c r="V154" s="314" t="n"/>
      <c r="W154" s="314" t="n"/>
      <c r="Z154" s="314" t="n"/>
      <c r="AB154" s="314" t="n"/>
      <c r="AD154" s="314" t="n"/>
      <c r="AF154" s="4354" t="n"/>
      <c r="AO154" s="664" t="n"/>
      <c r="AP154" s="664" t="n"/>
      <c r="AQ154" s="664" t="n"/>
      <c r="AR154" s="664" t="n"/>
      <c r="AS154" s="664" t="n"/>
      <c r="AT154" s="664" t="n"/>
      <c r="AU154" s="664" t="n"/>
      <c r="AV154" s="664" t="n"/>
      <c r="AW154" s="664" t="n"/>
    </row>
    <row r="155" customFormat="1" s="8648">
      <c r="P155" s="7453" t="n"/>
      <c r="S155" s="314" t="n"/>
      <c r="T155" s="314" t="n"/>
      <c r="U155" s="314" t="n"/>
      <c r="V155" s="314" t="n"/>
      <c r="W155" s="314" t="n"/>
      <c r="Z155" s="314" t="n"/>
      <c r="AB155" s="314" t="n"/>
      <c r="AD155" s="314" t="n"/>
      <c r="AF155" s="4354" t="n"/>
      <c r="AO155" s="664" t="n"/>
      <c r="AP155" s="664" t="n"/>
      <c r="AQ155" s="664" t="n"/>
      <c r="AR155" s="664" t="n"/>
      <c r="AS155" s="664" t="n"/>
      <c r="AT155" s="664" t="n"/>
      <c r="AU155" s="664" t="n"/>
      <c r="AV155" s="664" t="n"/>
      <c r="AW155" s="664" t="n"/>
    </row>
    <row r="156" customFormat="1" s="8648">
      <c r="P156" s="7453" t="n"/>
      <c r="S156" s="314" t="n"/>
      <c r="T156" s="314" t="n"/>
      <c r="U156" s="314" t="n"/>
      <c r="V156" s="314" t="n"/>
      <c r="W156" s="314" t="n"/>
      <c r="Z156" s="314" t="n"/>
      <c r="AB156" s="314" t="n"/>
      <c r="AD156" s="314" t="n"/>
      <c r="AF156" s="4354" t="n"/>
      <c r="AO156" s="664" t="n"/>
      <c r="AP156" s="664" t="n"/>
      <c r="AQ156" s="664" t="n"/>
      <c r="AR156" s="664" t="n"/>
      <c r="AS156" s="664" t="n"/>
      <c r="AT156" s="664" t="n"/>
      <c r="AU156" s="664" t="n"/>
      <c r="AV156" s="664" t="n"/>
      <c r="AW156" s="664" t="n"/>
    </row>
    <row r="157" customFormat="1" s="8648">
      <c r="P157" s="7453" t="n"/>
      <c r="S157" s="314" t="n"/>
      <c r="T157" s="314" t="n"/>
      <c r="U157" s="314" t="n"/>
      <c r="V157" s="314" t="n"/>
      <c r="W157" s="314" t="n"/>
      <c r="Z157" s="314" t="n"/>
      <c r="AB157" s="314" t="n"/>
      <c r="AD157" s="314" t="n"/>
      <c r="AF157" s="4354" t="n"/>
      <c r="AO157" s="664" t="n"/>
      <c r="AP157" s="664" t="n"/>
      <c r="AQ157" s="664" t="n"/>
      <c r="AR157" s="664" t="n"/>
      <c r="AS157" s="664" t="n"/>
      <c r="AT157" s="664" t="n"/>
      <c r="AU157" s="664" t="n"/>
      <c r="AV157" s="664" t="n"/>
      <c r="AW157" s="664" t="n"/>
    </row>
    <row r="158" customFormat="1" s="80">
      <c r="K158" s="8648" t="n"/>
      <c r="L158" s="8648" t="n"/>
      <c r="M158" s="8648" t="n"/>
      <c r="P158" s="7453" t="n"/>
      <c r="S158" s="314" t="n"/>
      <c r="T158" s="314" t="n"/>
      <c r="U158" s="314" t="n"/>
      <c r="V158" s="314" t="n"/>
      <c r="W158" s="314" t="n"/>
      <c r="X158" s="8648" t="n"/>
      <c r="Y158" s="8648" t="n"/>
      <c r="Z158" s="688" t="n"/>
      <c r="AA158" s="8648" t="n"/>
      <c r="AB158" s="688" t="n"/>
      <c r="AC158" s="8648" t="n"/>
      <c r="AD158" s="688" t="n"/>
      <c r="AE158" s="8648" t="n"/>
      <c r="AF158" s="4354" t="n"/>
      <c r="AG158" s="8648" t="n"/>
      <c r="AH158" s="8648" t="n"/>
      <c r="AI158" s="8648" t="n"/>
      <c r="AJ158" s="8648" t="n"/>
      <c r="AK158" s="8648" t="n"/>
      <c r="AL158" s="8648" t="n"/>
      <c r="AM158" s="8648" t="n"/>
      <c r="AN158" s="8648" t="n"/>
      <c r="AO158" s="658" t="n"/>
      <c r="AP158" s="658" t="n"/>
      <c r="AQ158" s="658" t="n"/>
      <c r="AR158" s="658" t="n"/>
      <c r="AS158" s="658" t="n"/>
      <c r="AT158" s="658" t="n"/>
      <c r="AU158" s="658" t="n"/>
      <c r="AV158" s="658" t="n"/>
      <c r="AW158" s="658" t="n"/>
    </row>
    <row r="159" customFormat="1" s="80">
      <c r="K159" s="8648" t="n"/>
      <c r="M159" s="8648" t="n"/>
      <c r="P159" s="7453" t="n"/>
      <c r="S159" s="314" t="n"/>
      <c r="T159" s="314" t="n"/>
      <c r="U159" s="314" t="n"/>
      <c r="V159" s="314" t="n"/>
      <c r="W159" s="314" t="n"/>
      <c r="X159" s="8648" t="n"/>
      <c r="Y159" s="8648" t="n"/>
      <c r="Z159" s="688" t="n"/>
      <c r="AA159" s="8648" t="n"/>
      <c r="AB159" s="688" t="n"/>
      <c r="AC159" s="8648" t="n"/>
      <c r="AD159" s="688" t="n"/>
      <c r="AE159" s="8648" t="n"/>
      <c r="AF159" s="4354" t="n"/>
      <c r="AG159" s="8648" t="n"/>
      <c r="AH159" s="8648" t="n"/>
      <c r="AI159" s="8648" t="n"/>
      <c r="AJ159" s="8648" t="n"/>
      <c r="AK159" s="8648" t="n"/>
      <c r="AL159" s="8648" t="n"/>
      <c r="AM159" s="8648" t="n"/>
      <c r="AN159" s="8648" t="n"/>
      <c r="AO159" s="658" t="n"/>
      <c r="AP159" s="658" t="n"/>
      <c r="AQ159" s="658" t="n"/>
      <c r="AR159" s="658" t="n"/>
      <c r="AS159" s="658" t="n"/>
      <c r="AT159" s="658" t="n"/>
      <c r="AU159" s="658" t="n"/>
      <c r="AV159" s="658" t="n"/>
      <c r="AW159" s="658" t="n"/>
    </row>
    <row r="160">
      <c r="S160" s="314" t="n"/>
      <c r="T160" s="314" t="n"/>
      <c r="U160" s="314" t="n"/>
      <c r="V160" s="314" t="n"/>
      <c r="W160" s="314" t="n"/>
    </row>
  </sheetData>
  <sheetProtection selectLockedCells="0" selectUnlockedCells="0" algorithmName="SHA-512" sheet="1" objects="0" insertRows="1" insertHyperlinks="1" autoFilter="1" scenarios="0" formatColumns="0" deleteColumns="1" insertColumns="1" pivotTables="1" deleteRows="1" formatCells="0" saltValue="ENk4Lco7cqB3LwGWktzA9g==" formatRows="0" sort="1" spinCount="100000" hashValue="INa6C0MZZ9teEObXQMZuViaQ/7oNeBvPR8GNvzcdETgjUTlWQxURdf/6b/4WIfKkRQaJvDXvBMolBcriCtva+Q=="/>
  <mergeCells count="75">
    <mergeCell ref="Q5:Q6"/>
    <mergeCell ref="X96:AE96"/>
    <mergeCell ref="B67:D67"/>
    <mergeCell ref="O96:P98"/>
    <mergeCell ref="L7:M7"/>
    <mergeCell ref="L67:M67"/>
    <mergeCell ref="O34:P34"/>
    <mergeCell ref="L5:M6"/>
    <mergeCell ref="B8:D8"/>
    <mergeCell ref="O6:P6"/>
    <mergeCell ref="Q64:Q65"/>
    <mergeCell ref="E7:K7"/>
    <mergeCell ref="C116:M116"/>
    <mergeCell ref="X10:AG10"/>
    <mergeCell ref="C126:G126"/>
    <mergeCell ref="AP89:AS104"/>
    <mergeCell ref="C128:G128"/>
    <mergeCell ref="L3:M3"/>
    <mergeCell ref="AB11:AB21"/>
    <mergeCell ref="X72:AG72"/>
    <mergeCell ref="E66:K66"/>
    <mergeCell ref="L65:M66"/>
    <mergeCell ref="C73:M73"/>
    <mergeCell ref="Z38:AB38"/>
    <mergeCell ref="L68:M68"/>
    <mergeCell ref="O5:P5"/>
    <mergeCell ref="B70:I70"/>
    <mergeCell ref="X36:AG36"/>
    <mergeCell ref="X34:AE34"/>
    <mergeCell ref="C117:M117"/>
    <mergeCell ref="AD73:AD83"/>
    <mergeCell ref="O36:P38"/>
    <mergeCell ref="C55:M55"/>
    <mergeCell ref="AD11:AD21"/>
    <mergeCell ref="Z73:Z83"/>
    <mergeCell ref="Q75:Q77"/>
    <mergeCell ref="B68:D68"/>
    <mergeCell ref="E68:K68"/>
    <mergeCell ref="L8:M8"/>
    <mergeCell ref="E67:K67"/>
    <mergeCell ref="T3:U3"/>
    <mergeCell ref="C56:M56"/>
    <mergeCell ref="J10:M10"/>
    <mergeCell ref="E5:K5"/>
    <mergeCell ref="C16:E17"/>
    <mergeCell ref="L64:M64"/>
    <mergeCell ref="E8:K8"/>
    <mergeCell ref="L4:M4"/>
    <mergeCell ref="C12:M12"/>
    <mergeCell ref="B65:B66"/>
    <mergeCell ref="J9:M9"/>
    <mergeCell ref="C115:M115"/>
    <mergeCell ref="C99:M101"/>
    <mergeCell ref="J69:M69"/>
    <mergeCell ref="B10:I10"/>
    <mergeCell ref="C5:D6"/>
    <mergeCell ref="O94:P94"/>
    <mergeCell ref="B7:D7"/>
    <mergeCell ref="B5:B6"/>
    <mergeCell ref="Q8:Q10"/>
    <mergeCell ref="AP29:AS44"/>
    <mergeCell ref="C39:M41"/>
    <mergeCell ref="Q66:Q67"/>
    <mergeCell ref="C76:E77"/>
    <mergeCell ref="J70:M70"/>
    <mergeCell ref="U29:V29"/>
    <mergeCell ref="C72:M72"/>
    <mergeCell ref="C57:M57"/>
    <mergeCell ref="E6:K6"/>
    <mergeCell ref="Z11:Z21"/>
    <mergeCell ref="AB73:AB83"/>
    <mergeCell ref="U88:V88"/>
    <mergeCell ref="C13:M13"/>
    <mergeCell ref="X8:AG9"/>
    <mergeCell ref="C65:D66"/>
  </mergeCells>
  <conditionalFormatting sqref="B10">
    <cfRule type="expression" priority="138" dxfId="6">
      <formula>IF(NoColor,1,0)</formula>
    </cfRule>
  </conditionalFormatting>
  <conditionalFormatting sqref="B70">
    <cfRule type="expression" priority="69" dxfId="6">
      <formula>IF(NoColor,1,0)</formula>
    </cfRule>
  </conditionalFormatting>
  <conditionalFormatting sqref="J10">
    <cfRule type="expression" priority="7" dxfId="6">
      <formula>IF(NoColor,1,0)</formula>
    </cfRule>
  </conditionalFormatting>
  <conditionalFormatting sqref="J51">
    <cfRule type="expression" priority="93" dxfId="6">
      <formula>IF(NoColor,1,0)</formula>
    </cfRule>
  </conditionalFormatting>
  <conditionalFormatting sqref="J70">
    <cfRule type="expression" priority="1" dxfId="6">
      <formula>IF(NoColor,1,0)</formula>
    </cfRule>
  </conditionalFormatting>
  <conditionalFormatting sqref="J111">
    <cfRule type="expression" priority="59" dxfId="6">
      <formula>IF(NoColor,1,0)</formula>
    </cfRule>
  </conditionalFormatting>
  <conditionalFormatting sqref="K34:K35">
    <cfRule type="expression" priority="81" dxfId="6">
      <formula>IF(NoColor,1,0)</formula>
    </cfRule>
  </conditionalFormatting>
  <conditionalFormatting sqref="K94:K95">
    <cfRule type="expression" priority="51" dxfId="6">
      <formula>IF(NoColor,1,0)</formula>
    </cfRule>
  </conditionalFormatting>
  <conditionalFormatting sqref="L15">
    <cfRule type="expression" priority="95" dxfId="6">
      <formula>IF(NoColor,1,0)</formula>
    </cfRule>
  </conditionalFormatting>
  <conditionalFormatting sqref="L17">
    <cfRule type="expression" priority="94" dxfId="6">
      <formula>IF(NoColor,1,0)</formula>
    </cfRule>
  </conditionalFormatting>
  <conditionalFormatting sqref="L75">
    <cfRule type="expression" priority="61" dxfId="6">
      <formula>IF(NoColor,1,0)</formula>
    </cfRule>
  </conditionalFormatting>
  <conditionalFormatting sqref="L77">
    <cfRule type="expression" priority="60" dxfId="6">
      <formula>IF(NoColor,1,0)</formula>
    </cfRule>
  </conditionalFormatting>
  <conditionalFormatting sqref="M21">
    <cfRule type="expression" priority="112" dxfId="6">
      <formula>IF(NoColor,1,0)</formula>
    </cfRule>
  </conditionalFormatting>
  <conditionalFormatting sqref="M24">
    <cfRule type="expression" priority="87" dxfId="6">
      <formula>IF(NoColor,1,0)</formula>
    </cfRule>
  </conditionalFormatting>
  <conditionalFormatting sqref="M27:M28">
    <cfRule type="expression" priority="86" dxfId="6">
      <formula>IF(NoColor,1,0)</formula>
    </cfRule>
  </conditionalFormatting>
  <conditionalFormatting sqref="M30">
    <cfRule type="expression" priority="84" dxfId="6">
      <formula>IF(NoColor,1,0)</formula>
    </cfRule>
  </conditionalFormatting>
  <conditionalFormatting sqref="M32:M33">
    <cfRule type="expression" priority="37" dxfId="6">
      <formula>IF(NoColor,1,0)</formula>
    </cfRule>
  </conditionalFormatting>
  <conditionalFormatting sqref="M36:M38">
    <cfRule type="expression" priority="80" dxfId="6">
      <formula>IF(NoColor,1,0)</formula>
    </cfRule>
  </conditionalFormatting>
  <conditionalFormatting sqref="M42">
    <cfRule type="expression" priority="78" dxfId="6">
      <formula>IF(NoColor,1,0)</formula>
    </cfRule>
  </conditionalFormatting>
  <conditionalFormatting sqref="M45:M47">
    <cfRule type="expression" priority="75" dxfId="6">
      <formula>IF(NoColor,1,0)</formula>
    </cfRule>
  </conditionalFormatting>
  <conditionalFormatting sqref="M49">
    <cfRule type="expression" priority="96" dxfId="6">
      <formula>IF(NoColor,1,0)</formula>
    </cfRule>
  </conditionalFormatting>
  <conditionalFormatting sqref="M54">
    <cfRule type="expression" priority="73" dxfId="6">
      <formula>IF(NoColor,1,0)</formula>
    </cfRule>
  </conditionalFormatting>
  <conditionalFormatting sqref="M58:M60">
    <cfRule type="expression" priority="70" dxfId="6">
      <formula>IF(NoColor,1,0)</formula>
    </cfRule>
  </conditionalFormatting>
  <conditionalFormatting sqref="M62">
    <cfRule type="expression" priority="88" dxfId="6">
      <formula>IF(NoColor,1,0)</formula>
    </cfRule>
  </conditionalFormatting>
  <conditionalFormatting sqref="M81">
    <cfRule type="expression" priority="67" dxfId="6">
      <formula>IF(NoColor,1,0)</formula>
    </cfRule>
  </conditionalFormatting>
  <conditionalFormatting sqref="M84">
    <cfRule type="expression" priority="38" dxfId="6">
      <formula>IF(NoColor,1,0)</formula>
    </cfRule>
  </conditionalFormatting>
  <conditionalFormatting sqref="M87:M88">
    <cfRule type="expression" priority="55" dxfId="6">
      <formula>IF(NoColor,1,0)</formula>
    </cfRule>
  </conditionalFormatting>
  <conditionalFormatting sqref="M90">
    <cfRule type="expression" priority="22" dxfId="6">
      <formula>IF(NoColor,1,0)</formula>
    </cfRule>
    <cfRule type="expression" priority="21" dxfId="494">
      <formula>NOT($Q$7)</formula>
    </cfRule>
  </conditionalFormatting>
  <conditionalFormatting sqref="M92:M93">
    <cfRule type="expression" priority="35" dxfId="6">
      <formula>IF(NoColor,1,0)</formula>
    </cfRule>
  </conditionalFormatting>
  <conditionalFormatting sqref="M96:M98">
    <cfRule type="expression" priority="50" dxfId="6">
      <formula>IF(NoColor,1,0)</formula>
    </cfRule>
  </conditionalFormatting>
  <conditionalFormatting sqref="M102">
    <cfRule type="expression" priority="48" dxfId="6">
      <formula>IF(NoColor,1,0)</formula>
    </cfRule>
  </conditionalFormatting>
  <conditionalFormatting sqref="M105:M107">
    <cfRule type="expression" priority="45" dxfId="6">
      <formula>IF(NoColor,1,0)</formula>
    </cfRule>
  </conditionalFormatting>
  <conditionalFormatting sqref="M109">
    <cfRule type="expression" priority="62" dxfId="6">
      <formula>IF(NoColor,1,0)</formula>
    </cfRule>
  </conditionalFormatting>
  <conditionalFormatting sqref="M114">
    <cfRule type="expression" priority="44" dxfId="6">
      <formula>IF(NoColor,1,0)</formula>
    </cfRule>
  </conditionalFormatting>
  <conditionalFormatting sqref="M118:M120">
    <cfRule type="expression" priority="41" dxfId="6">
      <formula>IF(NoColor,1,0)</formula>
    </cfRule>
  </conditionalFormatting>
  <conditionalFormatting sqref="M122">
    <cfRule type="expression" priority="57" dxfId="6">
      <formula>IF(NoColor,1,0)</formula>
    </cfRule>
  </conditionalFormatting>
  <conditionalFormatting sqref="O8:P10">
    <cfRule type="expression" priority="26" dxfId="483">
      <formula>NOT(File_Marr_Joint&lt;&gt;"")</formula>
    </cfRule>
  </conditionalFormatting>
  <conditionalFormatting sqref="Q53">
    <cfRule type="expression" priority="72" dxfId="135">
      <formula>IF(J51&lt;&gt;"",1,0)</formula>
    </cfRule>
  </conditionalFormatting>
  <conditionalFormatting sqref="Q113">
    <cfRule type="expression" priority="43" dxfId="135">
      <formula>IF(J111&lt;&gt;"",1,0)</formula>
    </cfRule>
  </conditionalFormatting>
  <conditionalFormatting sqref="U94:U97">
    <cfRule type="expression" priority="24" dxfId="480">
      <formula>NOT($Q$7)</formula>
    </cfRule>
  </conditionalFormatting>
  <conditionalFormatting sqref="X38:AH42">
    <cfRule type="expression" priority="8" dxfId="478">
      <formula>NOT($Q$7)</formula>
    </cfRule>
  </conditionalFormatting>
  <conditionalFormatting sqref="AH101:AH114">
    <cfRule type="expression" priority="14" dxfId="478">
      <formula>NOT($Q$7)</formula>
    </cfRule>
  </conditionalFormatting>
  <hyperlinks>
    <hyperlink xmlns:r="http://schemas.openxmlformats.org/officeDocument/2006/relationships" ref="C126" display="Download Form 8889" r:id="rId1"/>
    <hyperlink xmlns:r="http://schemas.openxmlformats.org/officeDocument/2006/relationships" ref="C128" display="Download Form 8889 Instructions" r:id="rId2"/>
  </hyperlinks>
  <pageMargins left="0.75" right="0.25" top="0.36" bottom="0.29" header="0.36" footer="0.21"/>
  <pageSetup orientation="portrait" scale="89" fitToHeight="0"/>
  <rowBreaks count="1" manualBreakCount="1">
    <brk id="63" min="1" max="12" man="1"/>
  </rowBreaks>
</worksheet>
</file>

<file path=xl/worksheets/sheet55.xml><?xml version="1.0" encoding="utf-8"?>
<worksheet xmlns="http://schemas.openxmlformats.org/spreadsheetml/2006/main">
  <sheetPr>
    <outlinePr summaryBelow="1" summaryRight="1"/>
    <pageSetUpPr fitToPage="1"/>
  </sheetPr>
  <dimension ref="A1:AZ126"/>
  <sheetViews>
    <sheetView zoomScaleNormal="100" zoomScaleSheetLayoutView="100" workbookViewId="0">
      <selection activeCell="A1" sqref="A1"/>
    </sheetView>
  </sheetViews>
  <sheetFormatPr baseColWidth="8" defaultColWidth="9.140625" defaultRowHeight="15"/>
  <cols>
    <col width="2.7109375" customWidth="1" style="7635" min="1" max="1"/>
    <col width="5.140625" customWidth="1" style="8648" min="2" max="2"/>
    <col width="3.28515625" customWidth="1" style="7635" min="3" max="3"/>
    <col width="5.140625" customWidth="1" style="7635" min="4" max="4"/>
    <col width="3.85546875" customWidth="1" style="7635" min="5" max="8"/>
    <col width="4" customWidth="1" style="7635" min="9" max="15"/>
    <col width="3.85546875" customWidth="1" style="7635" min="16" max="17"/>
    <col width="3.140625" customWidth="1" style="7635" min="18" max="18"/>
    <col width="3.5703125" customWidth="1" style="7635" min="19" max="19"/>
    <col width="6.42578125" customWidth="1" style="7635" min="20" max="20"/>
    <col width="3.5703125" customWidth="1" style="7635" min="21" max="21"/>
    <col width="5.7109375" customWidth="1" style="7635" min="22" max="22"/>
    <col width="4.7109375" customWidth="1" style="7635" min="23" max="24"/>
    <col width="3.85546875" customWidth="1" style="7635" min="25" max="27"/>
    <col width="5.7109375" customWidth="1" style="7635" min="28" max="28"/>
    <col width="3.42578125" customWidth="1" style="7635" min="29" max="29"/>
    <col width="5.5703125" customWidth="1" style="1405" min="30" max="30"/>
    <col width="4" customWidth="1" style="7635" min="31" max="31"/>
    <col width="3.85546875" customWidth="1" style="7635" min="32" max="32"/>
    <col width="6.5703125" customWidth="1" style="7635" min="33" max="33"/>
    <col width="3.140625" customWidth="1" style="7635" min="34" max="34"/>
    <col width="4" customWidth="1" style="7635" min="35" max="35"/>
    <col width="2.7109375" customWidth="1" style="7635" min="36" max="36"/>
    <col width="2.85546875" customWidth="1" style="7635" min="38" max="38"/>
    <col width="14.42578125" customWidth="1" style="7635" min="39" max="39"/>
    <col width="13.7109375" customWidth="1" style="7635" min="40" max="40"/>
    <col width="4.140625" customWidth="1" style="7635" min="41" max="41"/>
    <col width="10.7109375" customWidth="1" style="658" min="42" max="50"/>
    <col width="4.140625" customWidth="1" style="658" min="51" max="51"/>
  </cols>
  <sheetData>
    <row r="1" ht="12" customFormat="1" customHeight="1" s="815">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326" t="n"/>
      <c r="AE1" s="2013" t="n"/>
      <c r="AF1" s="2013" t="n"/>
      <c r="AG1" s="2013" t="n"/>
      <c r="AH1" s="2013" t="n"/>
      <c r="AI1" s="2013" t="n"/>
      <c r="AJ1" s="2013" t="n"/>
      <c r="AK1" s="2013" t="n"/>
      <c r="AL1" s="11602" t="n"/>
      <c r="AM1" s="11602" t="n"/>
      <c r="AN1" s="11602" t="n"/>
      <c r="AP1" s="658" t="n"/>
      <c r="AQ1" s="658" t="n"/>
      <c r="AR1" s="658" t="n"/>
      <c r="AS1" s="658" t="n"/>
      <c r="AT1" s="658" t="n"/>
      <c r="AU1" s="658" t="n"/>
      <c r="AV1" s="658" t="n"/>
      <c r="AW1" s="658" t="n"/>
      <c r="AX1" s="658" t="n"/>
      <c r="AY1" s="658" t="n"/>
    </row>
    <row r="2" ht="24" customFormat="1" customHeight="1" s="815">
      <c r="A2" s="2013" t="n"/>
      <c r="B2" s="9935">
        <f>IF('Table of Contents'!A48="D","DRAFT","")</f>
        <v/>
      </c>
      <c r="D2" s="9936" t="n">
        <v>8919</v>
      </c>
      <c r="H2" s="379" t="n"/>
      <c r="I2" s="12457" t="inlineStr">
        <is>
          <t>Uncollected Social Security and  
Medicare Tax on Wages</t>
        </is>
      </c>
      <c r="AB2" s="1066" t="n"/>
      <c r="AC2" s="9942">
        <f>IF('Table of Contents'!A48="D","DRAFT","OMB No. 1545-0074")</f>
        <v/>
      </c>
      <c r="AD2" s="7637" t="n"/>
      <c r="AE2" s="7637" t="n"/>
      <c r="AF2" s="7637" t="n"/>
      <c r="AG2" s="7637" t="n"/>
      <c r="AH2" s="7637" t="n"/>
      <c r="AI2" s="7637" t="n"/>
      <c r="AJ2" s="7637" t="n"/>
      <c r="AK2" s="2013" t="n"/>
      <c r="AL2" s="11602" t="n"/>
      <c r="AM2" s="11602" t="n"/>
      <c r="AN2" s="11602" t="n"/>
      <c r="AP2" s="658" t="n"/>
      <c r="AQ2" s="658" t="n"/>
      <c r="AR2" s="658" t="n"/>
      <c r="AS2" s="658" t="n"/>
      <c r="AT2" s="658" t="n"/>
      <c r="AU2" s="658" t="n"/>
      <c r="AV2" s="658" t="n"/>
      <c r="AW2" s="658" t="n"/>
      <c r="AX2" s="658" t="n"/>
      <c r="AY2" s="658" t="n"/>
    </row>
    <row r="3" ht="24" customFormat="1" customHeight="1" s="815">
      <c r="A3" s="2013" t="n"/>
      <c r="B3" s="9886" t="inlineStr">
        <is>
          <t>Form</t>
        </is>
      </c>
      <c r="H3" s="379" t="n"/>
      <c r="I3" s="11741" t="n"/>
      <c r="AB3" s="1066" t="n"/>
      <c r="AC3" s="9887">
        <f>TaxYear</f>
        <v/>
      </c>
      <c r="AD3" s="7839" t="n"/>
      <c r="AE3" s="7839" t="n"/>
      <c r="AF3" s="7839" t="n"/>
      <c r="AG3" s="7839" t="n"/>
      <c r="AH3" s="7839" t="n"/>
      <c r="AI3" s="7839" t="n"/>
      <c r="AJ3" s="7839" t="n"/>
      <c r="AK3" s="2013" t="n"/>
      <c r="AL3" s="344" t="inlineStr">
        <is>
          <t>This form is for:</t>
        </is>
      </c>
      <c r="AM3" s="344" t="n"/>
      <c r="AN3" s="11602" t="n"/>
      <c r="AP3" s="658" t="n"/>
      <c r="AQ3" s="658" t="n"/>
      <c r="AR3" s="658" t="n"/>
      <c r="AS3" s="658" t="n"/>
      <c r="AT3" s="658" t="n"/>
      <c r="AU3" s="658" t="n"/>
      <c r="AV3" s="658" t="n"/>
      <c r="AW3" s="658" t="n"/>
      <c r="AX3" s="658" t="n"/>
      <c r="AY3" s="658" t="n"/>
    </row>
    <row r="4" ht="6.75" customFormat="1" customHeight="1" s="815" thickBot="1">
      <c r="A4" s="2013" t="n"/>
      <c r="B4" s="344" t="n"/>
      <c r="C4" s="11602" t="n"/>
      <c r="D4" s="11602" t="n"/>
      <c r="E4" s="11602" t="n"/>
      <c r="F4" s="11602" t="n"/>
      <c r="G4" s="11602" t="n"/>
      <c r="H4" s="379" t="n"/>
      <c r="I4" s="11930" t="inlineStr">
        <is>
          <t>Attach to Form 1040, 1040-SR, 1040-NR, or 1040-SS.</t>
        </is>
      </c>
      <c r="AB4" s="1066" t="n"/>
      <c r="AC4" s="11741" t="n"/>
      <c r="AK4" s="2013" t="n"/>
      <c r="AL4" s="11602" t="n"/>
      <c r="AM4" s="11602" t="n"/>
      <c r="AN4" s="11602" t="n"/>
      <c r="AP4" s="658" t="n"/>
      <c r="AQ4" s="658" t="n"/>
      <c r="AR4" s="658" t="n"/>
      <c r="AS4" s="658" t="n"/>
      <c r="AT4" s="658" t="n"/>
      <c r="AU4" s="658" t="n"/>
      <c r="AV4" s="658" t="n"/>
      <c r="AW4" s="658" t="n"/>
      <c r="AX4" s="658" t="n"/>
      <c r="AY4" s="658" t="n"/>
    </row>
    <row r="5" ht="16.5" customFormat="1" customHeight="1" s="815" thickBot="1">
      <c r="A5" s="2013" t="n"/>
      <c r="B5" s="344" t="inlineStr">
        <is>
          <t>Department of the Treasury</t>
        </is>
      </c>
      <c r="C5" s="11602" t="n"/>
      <c r="D5" s="11602" t="n"/>
      <c r="E5" s="11602" t="n"/>
      <c r="F5" s="11602" t="n"/>
      <c r="G5" s="11602" t="n"/>
      <c r="H5" s="379" t="n"/>
      <c r="I5" s="11741" t="n"/>
      <c r="AB5" s="1066" t="n"/>
      <c r="AC5" s="341" t="n"/>
      <c r="AD5" s="9237" t="inlineStr">
        <is>
          <t xml:space="preserve">   Attachment</t>
        </is>
      </c>
      <c r="AH5" s="9918" t="n">
        <v>61</v>
      </c>
      <c r="AJ5" s="11602" t="n"/>
      <c r="AK5" s="2013" t="n"/>
      <c r="AL5" s="6647" t="inlineStr">
        <is>
          <t>X</t>
        </is>
      </c>
      <c r="AM5" s="344" t="inlineStr">
        <is>
          <t>You</t>
        </is>
      </c>
      <c r="AN5" s="11602" t="n"/>
      <c r="AP5" s="658" t="n"/>
      <c r="AQ5" s="658" t="n"/>
      <c r="AR5" s="658" t="n"/>
      <c r="AS5" s="658" t="n"/>
      <c r="AT5" s="658" t="n"/>
      <c r="AU5" s="658" t="n"/>
      <c r="AV5" s="658" t="n"/>
      <c r="AW5" s="658" t="n"/>
      <c r="AX5" s="658" t="n"/>
      <c r="AY5" s="658" t="n"/>
    </row>
    <row r="6" ht="15.75" customFormat="1" customHeight="1" s="815" thickBot="1">
      <c r="A6" s="2013" t="n"/>
      <c r="B6" s="498" t="inlineStr">
        <is>
          <t>Internal Revenue Service</t>
        </is>
      </c>
      <c r="C6" s="380" t="n"/>
      <c r="D6" s="380" t="n"/>
      <c r="E6" s="380" t="n"/>
      <c r="F6" s="380" t="n"/>
      <c r="G6" s="380" t="n"/>
      <c r="H6" s="381" t="n"/>
      <c r="I6" s="12458" t="inlineStr">
        <is>
          <t>Go to www.irs.gov/Form8919 for the latest information.</t>
        </is>
      </c>
      <c r="J6" s="8848" t="n"/>
      <c r="K6" s="8848" t="n"/>
      <c r="L6" s="8848" t="n"/>
      <c r="M6" s="8848" t="n"/>
      <c r="N6" s="8848" t="n"/>
      <c r="O6" s="8848" t="n"/>
      <c r="P6" s="8848" t="n"/>
      <c r="Q6" s="8848" t="n"/>
      <c r="R6" s="8848" t="n"/>
      <c r="S6" s="8848" t="n"/>
      <c r="T6" s="8848" t="n"/>
      <c r="U6" s="8848" t="n"/>
      <c r="V6" s="8848" t="n"/>
      <c r="W6" s="8848" t="n"/>
      <c r="X6" s="8848" t="n"/>
      <c r="Y6" s="8848" t="n"/>
      <c r="Z6" s="8848" t="n"/>
      <c r="AA6" s="8848" t="n"/>
      <c r="AB6" s="2627" t="n"/>
      <c r="AC6" s="1197" t="n"/>
      <c r="AD6" s="9921" t="inlineStr">
        <is>
          <t xml:space="preserve">Sequence No.  </t>
        </is>
      </c>
      <c r="AE6" s="8848" t="n"/>
      <c r="AF6" s="8848" t="n"/>
      <c r="AG6" s="8848" t="n"/>
      <c r="AH6" s="8848" t="n"/>
      <c r="AI6" s="8848" t="n"/>
      <c r="AJ6" s="380" t="n"/>
      <c r="AK6" s="2013" t="n"/>
      <c r="AL6" s="6647" t="n"/>
      <c r="AM6" s="344" t="inlineStr">
        <is>
          <t>Your spouse</t>
        </is>
      </c>
      <c r="AN6" s="11602" t="n"/>
      <c r="AP6" s="658" t="n"/>
      <c r="AQ6" s="658" t="n"/>
      <c r="AR6" s="658" t="n"/>
      <c r="AS6" s="658" t="n"/>
      <c r="AT6" s="658" t="n"/>
      <c r="AU6" s="658" t="n"/>
      <c r="AV6" s="658" t="n"/>
      <c r="AW6" s="658" t="n"/>
      <c r="AX6" s="658" t="n"/>
      <c r="AY6" s="658" t="n"/>
    </row>
    <row r="7" customFormat="1" s="815">
      <c r="A7" s="2013" t="n"/>
      <c r="B7" s="9924" t="inlineStr">
        <is>
          <t>Name of person who must file this form. If married, complete a separate Form 8919 for each spouse who must file this form.</t>
        </is>
      </c>
      <c r="C7" s="2506" t="n"/>
      <c r="D7" s="2506" t="n"/>
      <c r="E7" s="2506" t="n"/>
      <c r="F7" s="2506" t="n"/>
      <c r="G7" s="2506" t="n"/>
      <c r="H7" s="2506" t="n"/>
      <c r="I7" s="2506" t="n"/>
      <c r="J7" s="2506" t="n"/>
      <c r="K7" s="2506" t="n"/>
      <c r="L7" s="2506" t="n"/>
      <c r="M7" s="2506" t="n"/>
      <c r="N7" s="2506" t="n"/>
      <c r="O7" s="2506" t="n"/>
      <c r="P7" s="2506" t="n"/>
      <c r="Q7" s="2506" t="n"/>
      <c r="R7" s="2506" t="n"/>
      <c r="S7" s="2506" t="n"/>
      <c r="T7" s="2506" t="n"/>
      <c r="U7" s="2506" t="n"/>
      <c r="V7" s="2506" t="n"/>
      <c r="W7" s="2506" t="n"/>
      <c r="X7" s="2506" t="n"/>
      <c r="Y7" s="2506" t="n"/>
      <c r="Z7" s="2506" t="n"/>
      <c r="AA7" s="11716" t="n"/>
      <c r="AB7" s="6623" t="inlineStr">
        <is>
          <t xml:space="preserve"> Social security number</t>
        </is>
      </c>
      <c r="AC7" s="377" t="n"/>
      <c r="AD7" s="6632" t="n"/>
      <c r="AE7" s="2289" t="n"/>
      <c r="AF7" s="2289" t="n"/>
      <c r="AG7" s="2289" t="n"/>
      <c r="AH7" s="2289" t="n"/>
      <c r="AI7" s="2289" t="n"/>
      <c r="AJ7" s="2289" t="n"/>
      <c r="AK7" s="2013" t="n"/>
      <c r="AL7" s="2741">
        <f>IF(AND(AL5="",AL6=""),"Choose one.",IF(AND(AL5&lt;&gt;"",AL6&lt;&gt;""),"Chose ONLY one.",""))</f>
        <v/>
      </c>
      <c r="AM7" s="11602" t="n"/>
      <c r="AN7" s="11602" t="n"/>
      <c r="AP7" s="658" t="n"/>
      <c r="AQ7" s="658" t="n"/>
      <c r="AR7" s="658" t="n"/>
      <c r="AS7" s="658" t="n"/>
      <c r="AT7" s="658" t="n"/>
      <c r="AU7" s="658" t="n"/>
      <c r="AV7" s="658" t="n"/>
      <c r="AW7" s="658" t="n"/>
      <c r="AX7" s="658" t="n"/>
      <c r="AY7" s="658" t="n"/>
    </row>
    <row r="8" ht="18" customFormat="1" customHeight="1" s="815">
      <c r="A8" s="2013" t="n"/>
      <c r="B8" s="9926">
        <f>IF(AND(AL5&lt;&gt;"",AL6&lt;&gt;""),"",IF(AL5&lt;&gt;"",NameYours,IF(AL6&lt;&gt;"",NameSpouse,"")))</f>
        <v/>
      </c>
      <c r="C8" s="7637" t="n"/>
      <c r="D8" s="7637" t="n"/>
      <c r="E8" s="7637" t="n"/>
      <c r="F8" s="7637" t="n"/>
      <c r="G8" s="7637" t="n"/>
      <c r="H8" s="7637" t="n"/>
      <c r="I8" s="7637" t="n"/>
      <c r="J8" s="7637" t="n"/>
      <c r="K8" s="7637" t="n"/>
      <c r="L8" s="7637" t="n"/>
      <c r="M8" s="7637" t="n"/>
      <c r="N8" s="7637" t="n"/>
      <c r="O8" s="7637" t="n"/>
      <c r="P8" s="7637" t="n"/>
      <c r="Q8" s="7637" t="n"/>
      <c r="R8" s="7637" t="n"/>
      <c r="S8" s="7637" t="n"/>
      <c r="T8" s="7637" t="n"/>
      <c r="U8" s="7637" t="n"/>
      <c r="V8" s="7637" t="n"/>
      <c r="W8" s="7637" t="n"/>
      <c r="X8" s="7637" t="n"/>
      <c r="Y8" s="7637" t="n"/>
      <c r="Z8" s="7637" t="n"/>
      <c r="AA8" s="7638" t="n"/>
      <c r="AB8" s="11933">
        <f>IF(AND(AL5&lt;&gt;"",AL6&lt;&gt;""),"",IF(AL5&lt;&gt;"",SS_Yours,IF(AL6&lt;&gt;"",SS_Spouse,"")))</f>
        <v/>
      </c>
      <c r="AC8" s="7637" t="n"/>
      <c r="AD8" s="7637" t="n"/>
      <c r="AE8" s="7637" t="n"/>
      <c r="AF8" s="7637" t="n"/>
      <c r="AG8" s="7637" t="n"/>
      <c r="AH8" s="7637" t="n"/>
      <c r="AI8" s="7637" t="n"/>
      <c r="AJ8" s="7637" t="n"/>
      <c r="AK8" s="2013" t="n"/>
      <c r="AL8" s="11602" t="n"/>
      <c r="AM8" s="11602" t="n"/>
      <c r="AN8" s="11602" t="n"/>
      <c r="AP8" s="658" t="n"/>
      <c r="AQ8" s="658" t="n"/>
      <c r="AR8" s="658" t="n"/>
      <c r="AS8" s="658" t="n"/>
      <c r="AT8" s="658" t="n"/>
      <c r="AU8" s="658" t="n"/>
      <c r="AV8" s="658" t="n"/>
      <c r="AW8" s="658" t="n"/>
      <c r="AX8" s="658" t="n"/>
      <c r="AY8" s="658" t="n"/>
    </row>
    <row r="9" ht="15.75" customFormat="1" customHeight="1" s="1115">
      <c r="A9" s="2290" t="n"/>
      <c r="B9" s="5218" t="inlineStr">
        <is>
          <t>Who must file.</t>
        </is>
      </c>
      <c r="C9" s="2291" t="n"/>
      <c r="D9" s="2291" t="n"/>
      <c r="E9" s="2291" t="n"/>
      <c r="F9" s="7772" t="inlineStr">
        <is>
          <t>You must file Form 8919 if all of the following apply.</t>
        </is>
      </c>
      <c r="G9" s="2291" t="n"/>
      <c r="H9" s="2291" t="n"/>
      <c r="I9" s="2291" t="n"/>
      <c r="J9" s="2291" t="n"/>
      <c r="K9" s="2291" t="n"/>
      <c r="L9" s="2291" t="n"/>
      <c r="M9" s="2291" t="n"/>
      <c r="N9" s="2291" t="n"/>
      <c r="O9" s="2291" t="n"/>
      <c r="P9" s="2291" t="n"/>
      <c r="Q9" s="2291" t="n"/>
      <c r="R9" s="2291" t="n"/>
      <c r="S9" s="2291" t="n"/>
      <c r="T9" s="2291" t="n"/>
      <c r="U9" s="2291" t="n"/>
      <c r="V9" s="2291" t="n"/>
      <c r="W9" s="2291" t="n"/>
      <c r="X9" s="2291" t="n"/>
      <c r="Y9" s="2291" t="n"/>
      <c r="Z9" s="2291" t="n"/>
      <c r="AA9" s="2291" t="n"/>
      <c r="AB9" s="2291" t="n"/>
      <c r="AC9" s="2291" t="n"/>
      <c r="AD9" s="4558" t="n"/>
      <c r="AE9" s="2291" t="n"/>
      <c r="AF9" s="2291" t="n"/>
      <c r="AG9" s="2291" t="n"/>
      <c r="AH9" s="2291" t="n"/>
      <c r="AI9" s="2292" t="n"/>
      <c r="AJ9" s="2292" t="n"/>
      <c r="AK9" s="2290" t="n"/>
      <c r="AL9" s="11602" t="n"/>
      <c r="AM9" s="11602" t="n"/>
      <c r="AN9" s="11602" t="n"/>
      <c r="AP9" s="658" t="n"/>
      <c r="AQ9" s="658" t="n"/>
      <c r="AR9" s="658" t="n"/>
      <c r="AS9" s="658" t="n"/>
      <c r="AT9" s="658" t="n"/>
      <c r="AU9" s="658" t="n"/>
      <c r="AV9" s="658" t="n"/>
      <c r="AW9" s="658" t="n"/>
      <c r="AX9" s="658" t="n"/>
      <c r="AY9" s="658" t="n"/>
      <c r="AZ9" s="2293" t="n"/>
    </row>
    <row r="10" ht="15.75" customFormat="1" customHeight="1" s="1115">
      <c r="A10" s="2290" t="n"/>
      <c r="B10" s="4904" t="n"/>
      <c r="C10" s="4524" t="n"/>
      <c r="D10" s="4524" t="n"/>
      <c r="E10" s="4524" t="n"/>
      <c r="F10" s="6659" t="inlineStr">
        <is>
          <t xml:space="preserve">• </t>
        </is>
      </c>
      <c r="G10" s="7772" t="inlineStr">
        <is>
          <t>You performed services for a firm.</t>
        </is>
      </c>
      <c r="H10" s="4524" t="n"/>
      <c r="I10" s="4524" t="n"/>
      <c r="J10" s="4524" t="n"/>
      <c r="K10" s="4524" t="n"/>
      <c r="L10" s="4524" t="n"/>
      <c r="M10" s="4524" t="n"/>
      <c r="N10" s="4524" t="n"/>
      <c r="O10" s="4524" t="n"/>
      <c r="P10" s="4524" t="n"/>
      <c r="Q10" s="4524" t="n"/>
      <c r="R10" s="4524" t="n"/>
      <c r="S10" s="4524" t="n"/>
      <c r="T10" s="4524" t="n"/>
      <c r="U10" s="4524" t="n"/>
      <c r="V10" s="4524" t="n"/>
      <c r="W10" s="4524" t="n"/>
      <c r="X10" s="4524" t="n"/>
      <c r="Y10" s="4524" t="n"/>
      <c r="Z10" s="4524" t="n"/>
      <c r="AA10" s="4524" t="n"/>
      <c r="AB10" s="4524" t="n"/>
      <c r="AC10" s="4524" t="n"/>
      <c r="AD10" s="2319" t="n"/>
      <c r="AE10" s="4524" t="n"/>
      <c r="AF10" s="4524" t="n"/>
      <c r="AG10" s="4524" t="n"/>
      <c r="AH10" s="4524" t="n"/>
      <c r="AI10" s="4521" t="n"/>
      <c r="AJ10" s="4521" t="n"/>
      <c r="AK10" s="2290" t="n"/>
      <c r="AL10" s="11602" t="n"/>
      <c r="AM10" s="11602" t="n"/>
      <c r="AN10" s="11602" t="n"/>
      <c r="AP10" s="658" t="n"/>
      <c r="AQ10" s="658" t="n"/>
      <c r="AR10" s="658" t="n"/>
      <c r="AS10" s="658" t="n"/>
      <c r="AT10" s="658" t="n"/>
      <c r="AU10" s="658" t="n"/>
      <c r="AV10" s="658" t="n"/>
      <c r="AW10" s="658" t="n"/>
      <c r="AX10" s="658" t="n"/>
      <c r="AY10" s="658" t="n"/>
      <c r="AZ10" s="2293" t="n"/>
    </row>
    <row r="11" ht="15.75" customFormat="1" customHeight="1" s="1115">
      <c r="A11" s="2290" t="n"/>
      <c r="B11" s="4904" t="n"/>
      <c r="C11" s="4524" t="n"/>
      <c r="D11" s="4524" t="n"/>
      <c r="E11" s="4524" t="n"/>
      <c r="F11" s="6659" t="inlineStr">
        <is>
          <t xml:space="preserve">• </t>
        </is>
      </c>
      <c r="G11" s="7772" t="inlineStr">
        <is>
          <t>You believe your pay from the firm wasn’t for services as an independent contractor.</t>
        </is>
      </c>
      <c r="H11" s="4524" t="n"/>
      <c r="I11" s="4524" t="n"/>
      <c r="J11" s="4524" t="n"/>
      <c r="K11" s="4524" t="n"/>
      <c r="L11" s="4524" t="n"/>
      <c r="M11" s="4524" t="n"/>
      <c r="N11" s="4524" t="n"/>
      <c r="O11" s="4524" t="n"/>
      <c r="P11" s="4524" t="n"/>
      <c r="Q11" s="4524" t="n"/>
      <c r="R11" s="4524" t="n"/>
      <c r="S11" s="4524" t="n"/>
      <c r="T11" s="4524" t="n"/>
      <c r="U11" s="4524" t="n"/>
      <c r="V11" s="4524" t="n"/>
      <c r="W11" s="4524" t="n"/>
      <c r="X11" s="4524" t="n"/>
      <c r="Y11" s="4524" t="n"/>
      <c r="Z11" s="4524" t="n"/>
      <c r="AA11" s="4524" t="n"/>
      <c r="AB11" s="4524" t="n"/>
      <c r="AC11" s="4524" t="n"/>
      <c r="AD11" s="2319" t="n"/>
      <c r="AE11" s="4524" t="n"/>
      <c r="AF11" s="4524" t="n"/>
      <c r="AG11" s="4524" t="n"/>
      <c r="AH11" s="4524" t="n"/>
      <c r="AI11" s="4521" t="n"/>
      <c r="AJ11" s="4521" t="n"/>
      <c r="AK11" s="2290" t="n"/>
      <c r="AL11" s="11602" t="n"/>
      <c r="AM11" s="11602" t="n"/>
      <c r="AN11" s="11602" t="n"/>
      <c r="AP11" s="658" t="n"/>
      <c r="AQ11" s="658" t="n"/>
      <c r="AR11" s="658" t="n"/>
      <c r="AS11" s="658" t="n"/>
      <c r="AT11" s="658" t="n"/>
      <c r="AU11" s="658" t="n"/>
      <c r="AV11" s="658" t="n"/>
      <c r="AW11" s="658" t="n"/>
      <c r="AX11" s="658" t="n"/>
      <c r="AY11" s="658" t="n"/>
      <c r="AZ11" s="2293" t="n"/>
    </row>
    <row r="12" ht="15.75" customFormat="1" customHeight="1" s="1115">
      <c r="A12" s="2290" t="n"/>
      <c r="B12" s="4904" t="n"/>
      <c r="C12" s="4524" t="n"/>
      <c r="D12" s="4524" t="n"/>
      <c r="E12" s="4524" t="n"/>
      <c r="F12" s="6659" t="inlineStr">
        <is>
          <t xml:space="preserve">• </t>
        </is>
      </c>
      <c r="G12" s="1405" t="inlineStr">
        <is>
          <t>The firm didn’t withhold your share of social security and Medicare taxes from your pay.</t>
        </is>
      </c>
      <c r="H12" s="4524" t="n"/>
      <c r="I12" s="4524" t="n"/>
      <c r="J12" s="4524" t="n"/>
      <c r="K12" s="4524" t="n"/>
      <c r="L12" s="4524" t="n"/>
      <c r="M12" s="4524" t="n"/>
      <c r="N12" s="4524" t="n"/>
      <c r="O12" s="4524" t="n"/>
      <c r="P12" s="4524" t="n"/>
      <c r="Q12" s="4524" t="n"/>
      <c r="R12" s="4524" t="n"/>
      <c r="S12" s="4524" t="n"/>
      <c r="T12" s="4524" t="n"/>
      <c r="U12" s="4524" t="n"/>
      <c r="V12" s="4524" t="n"/>
      <c r="W12" s="4524" t="n"/>
      <c r="X12" s="4524" t="n"/>
      <c r="Y12" s="4524" t="n"/>
      <c r="Z12" s="4524" t="n"/>
      <c r="AA12" s="4524" t="n"/>
      <c r="AB12" s="4524" t="n"/>
      <c r="AC12" s="4524" t="n"/>
      <c r="AD12" s="2319" t="n"/>
      <c r="AE12" s="4524" t="n"/>
      <c r="AF12" s="4524" t="n"/>
      <c r="AG12" s="4524" t="n"/>
      <c r="AH12" s="4524" t="n"/>
      <c r="AI12" s="4521" t="n"/>
      <c r="AJ12" s="4521" t="n"/>
      <c r="AK12" s="2290" t="n"/>
      <c r="AL12" s="11602" t="n"/>
      <c r="AM12" s="11602" t="n"/>
      <c r="AN12" s="11602" t="n"/>
      <c r="AP12" s="658" t="n"/>
      <c r="AQ12" s="658" t="n"/>
      <c r="AR12" s="658" t="n"/>
      <c r="AS12" s="658" t="n"/>
      <c r="AT12" s="658" t="n"/>
      <c r="AU12" s="658" t="n"/>
      <c r="AV12" s="658" t="n"/>
      <c r="AW12" s="658" t="n"/>
      <c r="AX12" s="658" t="n"/>
      <c r="AY12" s="658" t="n"/>
      <c r="AZ12" s="2293" t="n"/>
    </row>
    <row r="13" ht="15.75" customFormat="1" customHeight="1" s="1115">
      <c r="A13" s="2290" t="n"/>
      <c r="B13" s="2296" t="n"/>
      <c r="C13" s="2294" t="n"/>
      <c r="D13" s="2295" t="n"/>
      <c r="E13" s="2296" t="n"/>
      <c r="F13" s="6660" t="inlineStr">
        <is>
          <t xml:space="preserve">• </t>
        </is>
      </c>
      <c r="G13" s="1998" t="inlineStr">
        <is>
          <t>One of the reasons listed below under Reason codes applies to you</t>
        </is>
      </c>
      <c r="H13" s="2294" t="n"/>
      <c r="I13" s="2294" t="n"/>
      <c r="J13" s="2294" t="n"/>
      <c r="K13" s="2294" t="n"/>
      <c r="L13" s="2294" t="n"/>
      <c r="M13" s="2294" t="n"/>
      <c r="N13" s="2294" t="n"/>
      <c r="O13" s="2294" t="n"/>
      <c r="P13" s="2294" t="n"/>
      <c r="Q13" s="2294" t="n"/>
      <c r="R13" s="2294" t="n"/>
      <c r="S13" s="2294" t="n"/>
      <c r="T13" s="2294" t="n"/>
      <c r="U13" s="2294" t="n"/>
      <c r="V13" s="2294" t="n"/>
      <c r="W13" s="2294" t="n"/>
      <c r="X13" s="2294" t="n"/>
      <c r="Y13" s="2294" t="n"/>
      <c r="Z13" s="2294" t="n"/>
      <c r="AA13" s="2294" t="n"/>
      <c r="AB13" s="2294" t="n"/>
      <c r="AC13" s="2294" t="n"/>
      <c r="AD13" s="4559" t="n"/>
      <c r="AE13" s="2294" t="n"/>
      <c r="AF13" s="2294" t="n"/>
      <c r="AG13" s="2294" t="n"/>
      <c r="AH13" s="2294" t="n"/>
      <c r="AI13" s="2297" t="n"/>
      <c r="AJ13" s="2297" t="n"/>
      <c r="AK13" s="2290" t="n"/>
      <c r="AL13" s="11602" t="n"/>
      <c r="AM13" s="11602" t="n"/>
      <c r="AN13" s="11602" t="n"/>
      <c r="AP13" s="658" t="n"/>
      <c r="AQ13" s="658" t="n"/>
      <c r="AR13" s="658" t="n"/>
      <c r="AS13" s="658" t="n"/>
      <c r="AT13" s="658" t="n"/>
      <c r="AU13" s="658" t="n"/>
      <c r="AV13" s="658" t="n"/>
      <c r="AW13" s="658" t="n"/>
      <c r="AX13" s="658" t="n"/>
      <c r="AY13" s="658" t="n"/>
      <c r="AZ13" s="2293" t="n"/>
    </row>
    <row r="14" ht="15.75" customFormat="1" customHeight="1" s="1115">
      <c r="A14" s="2290" t="n"/>
      <c r="B14" s="514" t="inlineStr">
        <is>
          <t>Reason codes.</t>
        </is>
      </c>
      <c r="C14" s="2291" t="n"/>
      <c r="D14" s="2291" t="n"/>
      <c r="E14" s="2291" t="n"/>
      <c r="F14" s="7772" t="inlineStr">
        <is>
          <t xml:space="preserve">For each firm listed below, enter in column (c) the applicable reason code for filing this form. If none of the reason </t>
        </is>
      </c>
      <c r="G14" s="2291" t="n"/>
      <c r="H14" s="2291" t="n"/>
      <c r="I14" s="2291" t="n"/>
      <c r="J14" s="2291" t="n"/>
      <c r="K14" s="2291" t="n"/>
      <c r="L14" s="2291" t="n"/>
      <c r="M14" s="2291" t="n"/>
      <c r="N14" s="2291" t="n"/>
      <c r="O14" s="2291" t="n"/>
      <c r="P14" s="2291" t="n"/>
      <c r="Q14" s="2291" t="n"/>
      <c r="R14" s="2291" t="n"/>
      <c r="S14" s="2291" t="n"/>
      <c r="T14" s="2291" t="n"/>
      <c r="U14" s="2291" t="n"/>
      <c r="V14" s="2291" t="n"/>
      <c r="W14" s="2291" t="n"/>
      <c r="X14" s="2291" t="n"/>
      <c r="Y14" s="2291" t="n"/>
      <c r="Z14" s="2291" t="n"/>
      <c r="AA14" s="2291" t="n"/>
      <c r="AB14" s="2291" t="n"/>
      <c r="AC14" s="2291" t="n"/>
      <c r="AD14" s="4558" t="n"/>
      <c r="AE14" s="2291" t="n"/>
      <c r="AF14" s="2291" t="n"/>
      <c r="AG14" s="2291" t="n"/>
      <c r="AH14" s="2291" t="n"/>
      <c r="AI14" s="2292" t="n"/>
      <c r="AJ14" s="2292" t="n"/>
      <c r="AK14" s="2290" t="n"/>
      <c r="AL14" s="11602" t="n"/>
      <c r="AM14" s="11602" t="n"/>
      <c r="AN14" s="11602" t="n"/>
      <c r="AP14" s="658" t="n"/>
      <c r="AQ14" s="658" t="n"/>
      <c r="AR14" s="658" t="n"/>
      <c r="AS14" s="658" t="n"/>
      <c r="AT14" s="658" t="n"/>
      <c r="AU14" s="658" t="n"/>
      <c r="AV14" s="658" t="n"/>
      <c r="AW14" s="658" t="n"/>
      <c r="AX14" s="658" t="n"/>
      <c r="AY14" s="658" t="n"/>
      <c r="AZ14" s="2293" t="n"/>
    </row>
    <row r="15" ht="15.75" customFormat="1" customHeight="1" s="1115">
      <c r="A15" s="2290" t="n"/>
      <c r="B15" s="4904" t="n"/>
      <c r="C15" s="4524" t="n"/>
      <c r="D15" s="4524" t="n"/>
      <c r="E15" s="4524" t="n"/>
      <c r="F15" s="7772" t="inlineStr">
        <is>
          <t>codes apply to you, but you believe you should have been treated as an employee, enter reason code G and file</t>
        </is>
      </c>
      <c r="G15" s="7772" t="n"/>
      <c r="H15" s="4524" t="n"/>
      <c r="I15" s="4524" t="n"/>
      <c r="J15" s="4524" t="n"/>
      <c r="K15" s="4524" t="n"/>
      <c r="L15" s="4524" t="n"/>
      <c r="M15" s="4524" t="n"/>
      <c r="N15" s="4524" t="n"/>
      <c r="O15" s="4524" t="n"/>
      <c r="P15" s="4524" t="n"/>
      <c r="Q15" s="4524" t="n"/>
      <c r="R15" s="4524" t="n"/>
      <c r="S15" s="4524" t="n"/>
      <c r="T15" s="4524" t="n"/>
      <c r="U15" s="4524" t="n"/>
      <c r="V15" s="4524" t="n"/>
      <c r="W15" s="4524" t="n"/>
      <c r="X15" s="4524" t="n"/>
      <c r="Y15" s="4524" t="n"/>
      <c r="Z15" s="4524" t="n"/>
      <c r="AA15" s="4524" t="n"/>
      <c r="AB15" s="4524" t="n"/>
      <c r="AC15" s="4524" t="n"/>
      <c r="AD15" s="2319" t="n"/>
      <c r="AE15" s="4524" t="n"/>
      <c r="AF15" s="4524" t="n"/>
      <c r="AG15" s="4524" t="n"/>
      <c r="AH15" s="4524" t="n"/>
      <c r="AI15" s="4521" t="n"/>
      <c r="AJ15" s="4521" t="n"/>
      <c r="AK15" s="2290" t="n"/>
      <c r="AL15" s="11602" t="n"/>
      <c r="AM15" s="11602" t="n"/>
      <c r="AN15" s="11602" t="n"/>
      <c r="AP15" s="658" t="n"/>
      <c r="AQ15" s="658" t="n"/>
      <c r="AR15" s="658" t="n"/>
      <c r="AS15" s="658" t="n"/>
      <c r="AT15" s="658" t="n"/>
      <c r="AU15" s="658" t="n"/>
      <c r="AV15" s="658" t="n"/>
      <c r="AW15" s="658" t="n"/>
      <c r="AX15" s="658" t="n"/>
      <c r="AY15" s="658" t="n"/>
      <c r="AZ15" s="2293" t="n"/>
    </row>
    <row r="16" ht="15.75" customFormat="1" customHeight="1" s="1115">
      <c r="A16" s="2290" t="n"/>
      <c r="B16" s="4904" t="n"/>
      <c r="C16" s="4524" t="n"/>
      <c r="D16" s="4524" t="n"/>
      <c r="E16" s="4524" t="n"/>
      <c r="F16" s="514" t="inlineStr">
        <is>
          <t>Form SS-8 on or before the date you file your tax return.</t>
        </is>
      </c>
      <c r="G16" s="7772" t="n"/>
      <c r="H16" s="4524" t="n"/>
      <c r="I16" s="4524" t="n"/>
      <c r="J16" s="4524" t="n"/>
      <c r="K16" s="4524" t="n"/>
      <c r="L16" s="4524" t="n"/>
      <c r="M16" s="4524" t="n"/>
      <c r="N16" s="4524" t="n"/>
      <c r="O16" s="4524" t="n"/>
      <c r="P16" s="4524" t="n"/>
      <c r="Q16" s="4524" t="n"/>
      <c r="R16" s="4524" t="n"/>
      <c r="S16" s="4524" t="n"/>
      <c r="T16" s="4524" t="n"/>
      <c r="U16" s="4524" t="n"/>
      <c r="V16" s="4524" t="n"/>
      <c r="W16" s="4524" t="n"/>
      <c r="X16" s="4524" t="n"/>
      <c r="Y16" s="4524" t="n"/>
      <c r="Z16" s="4524" t="n"/>
      <c r="AA16" s="4524" t="n"/>
      <c r="AB16" s="4524" t="n"/>
      <c r="AC16" s="4524" t="n"/>
      <c r="AD16" s="2319" t="n"/>
      <c r="AE16" s="4524" t="n"/>
      <c r="AF16" s="4524" t="n"/>
      <c r="AG16" s="4524" t="n"/>
      <c r="AH16" s="4524" t="n"/>
      <c r="AI16" s="4521" t="n"/>
      <c r="AJ16" s="4521" t="n"/>
      <c r="AK16" s="2290" t="n"/>
      <c r="AL16" s="11602" t="n"/>
      <c r="AM16" s="11602" t="n"/>
      <c r="AN16" s="11602" t="n"/>
      <c r="AP16" s="658" t="n"/>
      <c r="AQ16" s="658" t="n"/>
      <c r="AR16" s="658" t="n"/>
      <c r="AS16" s="658" t="n"/>
      <c r="AT16" s="658" t="n"/>
      <c r="AU16" s="658" t="n"/>
      <c r="AV16" s="658" t="n"/>
      <c r="AW16" s="658" t="n"/>
      <c r="AX16" s="658" t="n"/>
      <c r="AY16" s="658" t="n"/>
      <c r="AZ16" s="2293" t="n"/>
    </row>
    <row r="17" ht="15.75" customFormat="1" customHeight="1" s="1115">
      <c r="A17" s="2290" t="n"/>
      <c r="B17" s="4904" t="n"/>
      <c r="C17" s="4524" t="n"/>
      <c r="D17" s="4524" t="n"/>
      <c r="E17" s="4524" t="n"/>
      <c r="F17" s="514" t="n"/>
      <c r="G17" s="7772" t="n"/>
      <c r="H17" s="4524" t="n"/>
      <c r="I17" s="4524" t="n"/>
      <c r="J17" s="4524" t="n"/>
      <c r="K17" s="4524" t="n"/>
      <c r="L17" s="4524" t="n"/>
      <c r="M17" s="4524" t="n"/>
      <c r="N17" s="4524" t="n"/>
      <c r="O17" s="4524" t="n"/>
      <c r="P17" s="4524" t="n"/>
      <c r="Q17" s="4524" t="n"/>
      <c r="R17" s="4524" t="n"/>
      <c r="S17" s="4524" t="n"/>
      <c r="T17" s="4524" t="n"/>
      <c r="U17" s="4524" t="n"/>
      <c r="V17" s="4524" t="n"/>
      <c r="W17" s="4524" t="n"/>
      <c r="X17" s="4524" t="n"/>
      <c r="Y17" s="4524" t="n"/>
      <c r="Z17" s="4524" t="n"/>
      <c r="AA17" s="4524" t="n"/>
      <c r="AB17" s="4524" t="n"/>
      <c r="AC17" s="4524" t="n"/>
      <c r="AD17" s="2319" t="n"/>
      <c r="AE17" s="4524" t="n"/>
      <c r="AF17" s="4524" t="n"/>
      <c r="AG17" s="4524" t="n"/>
      <c r="AH17" s="4524" t="n"/>
      <c r="AI17" s="4521" t="n"/>
      <c r="AJ17" s="4521" t="n"/>
      <c r="AK17" s="2290" t="n"/>
      <c r="AL17" s="11602" t="n"/>
      <c r="AM17" s="11602" t="n"/>
      <c r="AN17" s="11602" t="n"/>
      <c r="AP17" s="658" t="n"/>
      <c r="AQ17" s="658" t="n"/>
      <c r="AR17" s="658" t="n"/>
      <c r="AS17" s="658" t="n"/>
      <c r="AT17" s="658" t="n"/>
      <c r="AU17" s="658" t="n"/>
      <c r="AV17" s="658" t="n"/>
      <c r="AW17" s="658" t="n"/>
      <c r="AX17" s="658" t="n"/>
      <c r="AY17" s="658" t="n"/>
      <c r="AZ17" s="2293" t="n"/>
    </row>
    <row r="18" ht="15.75" customFormat="1" customHeight="1" s="1115">
      <c r="A18" s="2290" t="n"/>
      <c r="B18" s="4904" t="n"/>
      <c r="C18" s="4524" t="n"/>
      <c r="D18" s="6625" t="n"/>
      <c r="E18" s="6661" t="inlineStr">
        <is>
          <t>A</t>
        </is>
      </c>
      <c r="F18" s="1405" t="inlineStr">
        <is>
          <t>I filed Form SS-8 and received a determination letter stating that I am an employee of this firm.</t>
        </is>
      </c>
      <c r="G18" s="7772" t="n"/>
      <c r="H18" s="4524" t="n"/>
      <c r="I18" s="4524" t="n"/>
      <c r="J18" s="4524" t="n"/>
      <c r="K18" s="4524" t="n"/>
      <c r="L18" s="4524" t="n"/>
      <c r="M18" s="4524" t="n"/>
      <c r="N18" s="4524" t="n"/>
      <c r="O18" s="4524" t="n"/>
      <c r="P18" s="4524" t="n"/>
      <c r="Q18" s="4524" t="n"/>
      <c r="R18" s="4524" t="n"/>
      <c r="S18" s="4524" t="n"/>
      <c r="T18" s="4524" t="n"/>
      <c r="U18" s="4524" t="n"/>
      <c r="V18" s="4524" t="n"/>
      <c r="W18" s="4524" t="n"/>
      <c r="X18" s="4524" t="n"/>
      <c r="Y18" s="4524" t="n"/>
      <c r="Z18" s="4524" t="n"/>
      <c r="AA18" s="4524" t="n"/>
      <c r="AB18" s="4524" t="n"/>
      <c r="AC18" s="4524" t="n"/>
      <c r="AD18" s="2319" t="n"/>
      <c r="AE18" s="4524" t="n"/>
      <c r="AF18" s="4524" t="n"/>
      <c r="AG18" s="4524" t="n"/>
      <c r="AH18" s="4524" t="n"/>
      <c r="AI18" s="4521" t="n"/>
      <c r="AJ18" s="4521" t="n"/>
      <c r="AK18" s="2290" t="n"/>
      <c r="AL18" s="11602" t="n"/>
      <c r="AM18" s="11602" t="n"/>
      <c r="AN18" s="11602" t="n"/>
      <c r="AP18" s="658" t="n"/>
      <c r="AQ18" s="658" t="n"/>
      <c r="AR18" s="658" t="n"/>
      <c r="AS18" s="658" t="n"/>
      <c r="AT18" s="658" t="n"/>
      <c r="AU18" s="658" t="n"/>
      <c r="AV18" s="658" t="n"/>
      <c r="AW18" s="658" t="n"/>
      <c r="AX18" s="658" t="n"/>
      <c r="AY18" s="658" t="n"/>
      <c r="AZ18" s="2293" t="n"/>
    </row>
    <row r="19" ht="15.75" customFormat="1" customHeight="1" s="1115">
      <c r="A19" s="2290" t="n"/>
      <c r="B19" s="4904" t="n"/>
      <c r="C19" s="4524" t="n"/>
      <c r="D19" s="6662" t="n"/>
      <c r="E19" s="6663" t="n"/>
      <c r="F19" s="514" t="n"/>
      <c r="G19" s="7772" t="n"/>
      <c r="H19" s="4524" t="n"/>
      <c r="I19" s="4524" t="n"/>
      <c r="J19" s="4524" t="n"/>
      <c r="K19" s="4524" t="n"/>
      <c r="L19" s="4524" t="n"/>
      <c r="M19" s="4524" t="n"/>
      <c r="N19" s="4524" t="n"/>
      <c r="O19" s="4524" t="n"/>
      <c r="P19" s="4524" t="n"/>
      <c r="Q19" s="4524" t="n"/>
      <c r="R19" s="4524" t="n"/>
      <c r="S19" s="4524" t="n"/>
      <c r="T19" s="4524" t="n"/>
      <c r="U19" s="4524" t="n"/>
      <c r="V19" s="4524" t="n"/>
      <c r="W19" s="4524" t="n"/>
      <c r="X19" s="4524" t="n"/>
      <c r="Y19" s="4524" t="n"/>
      <c r="Z19" s="4524" t="n"/>
      <c r="AA19" s="4524" t="n"/>
      <c r="AB19" s="4524" t="n"/>
      <c r="AC19" s="4524" t="n"/>
      <c r="AD19" s="2319" t="n"/>
      <c r="AE19" s="4524" t="n"/>
      <c r="AF19" s="4524" t="n"/>
      <c r="AG19" s="4524" t="n"/>
      <c r="AH19" s="4524" t="n"/>
      <c r="AI19" s="4521" t="n"/>
      <c r="AJ19" s="4521" t="n"/>
      <c r="AK19" s="2290" t="n"/>
      <c r="AL19" s="11602" t="n"/>
      <c r="AM19" s="11602" t="n"/>
      <c r="AN19" s="11602" t="n"/>
      <c r="AP19" s="658" t="n"/>
      <c r="AQ19" s="658" t="n"/>
      <c r="AR19" s="658" t="n"/>
      <c r="AS19" s="658" t="n"/>
      <c r="AT19" s="658" t="n"/>
      <c r="AU19" s="658" t="n"/>
      <c r="AV19" s="658" t="n"/>
      <c r="AW19" s="658" t="n"/>
      <c r="AX19" s="658" t="n"/>
      <c r="AY19" s="658" t="n"/>
      <c r="AZ19" s="2293" t="n"/>
    </row>
    <row r="20" ht="15.75" customFormat="1" customHeight="1" s="1115">
      <c r="A20" s="2290" t="n"/>
      <c r="B20" s="4904" t="n"/>
      <c r="C20" s="4524" t="n"/>
      <c r="D20" s="6625" t="n"/>
      <c r="E20" s="6661" t="inlineStr">
        <is>
          <t>C</t>
        </is>
      </c>
      <c r="F20" s="1405" t="inlineStr">
        <is>
          <t>I received other correspondence from the IRS stating that I am an employee.</t>
        </is>
      </c>
      <c r="G20" s="7772" t="n"/>
      <c r="H20" s="4524" t="n"/>
      <c r="I20" s="4524" t="n"/>
      <c r="J20" s="4524" t="n"/>
      <c r="K20" s="4524" t="n"/>
      <c r="L20" s="4524" t="n"/>
      <c r="M20" s="4524" t="n"/>
      <c r="N20" s="4524" t="n"/>
      <c r="O20" s="4524" t="n"/>
      <c r="P20" s="4524" t="n"/>
      <c r="Q20" s="4524" t="n"/>
      <c r="R20" s="4524" t="n"/>
      <c r="S20" s="4524" t="n"/>
      <c r="T20" s="4524" t="n"/>
      <c r="U20" s="4524" t="n"/>
      <c r="V20" s="4524" t="n"/>
      <c r="W20" s="4524" t="n"/>
      <c r="X20" s="4524" t="n"/>
      <c r="Y20" s="4524" t="n"/>
      <c r="Z20" s="4524" t="n"/>
      <c r="AA20" s="4524" t="n"/>
      <c r="AB20" s="4524" t="n"/>
      <c r="AC20" s="4524" t="n"/>
      <c r="AD20" s="2319" t="n"/>
      <c r="AE20" s="4524" t="n"/>
      <c r="AF20" s="4524" t="n"/>
      <c r="AG20" s="4524" t="n"/>
      <c r="AH20" s="4524" t="n"/>
      <c r="AI20" s="4521" t="n"/>
      <c r="AJ20" s="4521" t="n"/>
      <c r="AK20" s="2290" t="n"/>
      <c r="AL20" s="11602" t="n"/>
      <c r="AM20" s="11602" t="n"/>
      <c r="AN20" s="11602" t="n"/>
      <c r="AP20" s="658" t="n"/>
      <c r="AQ20" s="658" t="n"/>
      <c r="AR20" s="658" t="n"/>
      <c r="AS20" s="658" t="n"/>
      <c r="AT20" s="658" t="n"/>
      <c r="AU20" s="658" t="n"/>
      <c r="AV20" s="658" t="n"/>
      <c r="AW20" s="658" t="n"/>
      <c r="AX20" s="658" t="n"/>
      <c r="AY20" s="658" t="n"/>
      <c r="AZ20" s="2293" t="n"/>
    </row>
    <row r="21" ht="15.75" customFormat="1" customHeight="1" s="1115">
      <c r="A21" s="2290" t="n"/>
      <c r="B21" s="4904" t="n"/>
      <c r="C21" s="4524" t="n"/>
      <c r="D21" s="6662" t="n"/>
      <c r="E21" s="6663" t="n"/>
      <c r="F21" s="514" t="n"/>
      <c r="G21" s="7772" t="n"/>
      <c r="H21" s="4524" t="n"/>
      <c r="I21" s="4524" t="n"/>
      <c r="J21" s="4524" t="n"/>
      <c r="K21" s="4524" t="n"/>
      <c r="L21" s="4524" t="n"/>
      <c r="M21" s="4524" t="n"/>
      <c r="N21" s="4524" t="n"/>
      <c r="O21" s="4524" t="n"/>
      <c r="P21" s="4524" t="n"/>
      <c r="Q21" s="4524" t="n"/>
      <c r="R21" s="4524" t="n"/>
      <c r="S21" s="4524" t="n"/>
      <c r="T21" s="4524" t="n"/>
      <c r="U21" s="4524" t="n"/>
      <c r="V21" s="4524" t="n"/>
      <c r="W21" s="4524" t="n"/>
      <c r="X21" s="4524" t="n"/>
      <c r="Y21" s="4524" t="n"/>
      <c r="Z21" s="4524" t="n"/>
      <c r="AA21" s="4524" t="n"/>
      <c r="AB21" s="4524" t="n"/>
      <c r="AC21" s="4524" t="n"/>
      <c r="AD21" s="2319" t="n"/>
      <c r="AE21" s="4524" t="n"/>
      <c r="AF21" s="4524" t="n"/>
      <c r="AG21" s="4524" t="n"/>
      <c r="AH21" s="4524" t="n"/>
      <c r="AI21" s="4521" t="n"/>
      <c r="AJ21" s="4521" t="n"/>
      <c r="AK21" s="2290" t="n"/>
      <c r="AL21" s="11602" t="n"/>
      <c r="AM21" s="11602" t="n"/>
      <c r="AN21" s="11602" t="n"/>
      <c r="AP21" s="658" t="n"/>
      <c r="AQ21" s="658" t="n"/>
      <c r="AR21" s="658" t="n"/>
      <c r="AS21" s="658" t="n"/>
      <c r="AT21" s="658" t="n"/>
      <c r="AU21" s="658" t="n"/>
      <c r="AV21" s="658" t="n"/>
      <c r="AW21" s="658" t="n"/>
      <c r="AX21" s="658" t="n"/>
      <c r="AY21" s="658" t="n"/>
      <c r="AZ21" s="2293" t="n"/>
    </row>
    <row r="22" ht="15.75" customFormat="1" customHeight="1" s="1115">
      <c r="A22" s="2290" t="n"/>
      <c r="B22" s="4904" t="n"/>
      <c r="C22" s="4524" t="n"/>
      <c r="D22" s="6625" t="n"/>
      <c r="E22" s="6661" t="inlineStr">
        <is>
          <t>G</t>
        </is>
      </c>
      <c r="F22" s="1405" t="inlineStr">
        <is>
          <t>I filed Form SS-8 with the IRS and haven’t received a reply.</t>
        </is>
      </c>
      <c r="G22" s="7772" t="n"/>
      <c r="H22" s="4524" t="n"/>
      <c r="I22" s="4524" t="n"/>
      <c r="J22" s="4524" t="n"/>
      <c r="K22" s="4524" t="n"/>
      <c r="L22" s="4524" t="n"/>
      <c r="M22" s="4524" t="n"/>
      <c r="N22" s="4524" t="n"/>
      <c r="O22" s="4524" t="n"/>
      <c r="P22" s="4524" t="n"/>
      <c r="Q22" s="4524" t="n"/>
      <c r="R22" s="4524" t="n"/>
      <c r="S22" s="4524" t="n"/>
      <c r="T22" s="4524" t="n"/>
      <c r="U22" s="4524" t="n"/>
      <c r="V22" s="4524" t="n"/>
      <c r="W22" s="4524" t="n"/>
      <c r="X22" s="4524" t="n"/>
      <c r="Y22" s="4524" t="n"/>
      <c r="Z22" s="4524" t="n"/>
      <c r="AA22" s="4524" t="n"/>
      <c r="AB22" s="4524" t="n"/>
      <c r="AC22" s="4524" t="n"/>
      <c r="AD22" s="2319" t="n"/>
      <c r="AE22" s="4524" t="n"/>
      <c r="AF22" s="4524" t="n"/>
      <c r="AG22" s="4524" t="n"/>
      <c r="AH22" s="4524" t="n"/>
      <c r="AI22" s="4521" t="n"/>
      <c r="AJ22" s="4521" t="n"/>
      <c r="AK22" s="2290" t="n"/>
      <c r="AL22" s="11602" t="n"/>
      <c r="AM22" s="11602" t="n"/>
      <c r="AN22" s="11602" t="n"/>
      <c r="AP22" s="658" t="n"/>
      <c r="AQ22" s="658" t="n"/>
      <c r="AR22" s="658" t="n"/>
      <c r="AS22" s="658" t="n"/>
      <c r="AT22" s="658" t="n"/>
      <c r="AU22" s="658" t="n"/>
      <c r="AV22" s="658" t="n"/>
      <c r="AW22" s="658" t="n"/>
      <c r="AX22" s="658" t="n"/>
      <c r="AY22" s="658" t="n"/>
      <c r="AZ22" s="2293" t="n"/>
    </row>
    <row r="23" ht="15.75" customFormat="1" customHeight="1" s="1115">
      <c r="A23" s="2290" t="n"/>
      <c r="B23" s="4904" t="n"/>
      <c r="C23" s="4524" t="n"/>
      <c r="D23" s="6662" t="n"/>
      <c r="E23" s="6663" t="n"/>
      <c r="F23" s="514" t="n"/>
      <c r="G23" s="7772" t="n"/>
      <c r="H23" s="4524" t="n"/>
      <c r="I23" s="4524" t="n"/>
      <c r="J23" s="4524" t="n"/>
      <c r="K23" s="4524" t="n"/>
      <c r="L23" s="4524" t="n"/>
      <c r="M23" s="4524" t="n"/>
      <c r="N23" s="4524" t="n"/>
      <c r="O23" s="4524" t="n"/>
      <c r="P23" s="4524" t="n"/>
      <c r="Q23" s="4524" t="n"/>
      <c r="R23" s="4524" t="n"/>
      <c r="S23" s="4524" t="n"/>
      <c r="T23" s="4524" t="n"/>
      <c r="U23" s="4524" t="n"/>
      <c r="V23" s="4524" t="n"/>
      <c r="W23" s="4524" t="n"/>
      <c r="X23" s="4524" t="n"/>
      <c r="Y23" s="4524" t="n"/>
      <c r="Z23" s="4524" t="n"/>
      <c r="AA23" s="4524" t="n"/>
      <c r="AB23" s="4524" t="n"/>
      <c r="AC23" s="4524" t="n"/>
      <c r="AD23" s="2319" t="n"/>
      <c r="AE23" s="4524" t="n"/>
      <c r="AF23" s="4524" t="n"/>
      <c r="AG23" s="4524" t="n"/>
      <c r="AH23" s="4524" t="n"/>
      <c r="AI23" s="4521" t="n"/>
      <c r="AJ23" s="4521" t="n"/>
      <c r="AK23" s="2290" t="n"/>
      <c r="AL23" s="11602" t="n"/>
      <c r="AM23" s="11602" t="n"/>
      <c r="AN23" s="11602" t="n"/>
      <c r="AP23" s="658" t="n"/>
      <c r="AQ23" s="658" t="n"/>
      <c r="AR23" s="658" t="n"/>
      <c r="AS23" s="658" t="n"/>
      <c r="AT23" s="658" t="n"/>
      <c r="AU23" s="658" t="n"/>
      <c r="AV23" s="658" t="n"/>
      <c r="AW23" s="658" t="n"/>
      <c r="AX23" s="658" t="n"/>
      <c r="AY23" s="658" t="n"/>
      <c r="AZ23" s="2293" t="n"/>
    </row>
    <row r="24" ht="15.75" customFormat="1" customHeight="1" s="1115">
      <c r="A24" s="2290" t="n"/>
      <c r="B24" s="4904" t="n"/>
      <c r="C24" s="4524" t="n"/>
      <c r="D24" s="6625" t="n"/>
      <c r="E24" s="6661" t="inlineStr">
        <is>
          <t>H</t>
        </is>
      </c>
      <c r="F24" s="7772">
        <f>"I received a Form W-2 and a Form 1099-MISC and/or 1099-NEC from this firm for "&amp;TaxYear&amp;". The amount on Form"</f>
        <v/>
      </c>
      <c r="G24" s="7772" t="n"/>
      <c r="H24" s="4524" t="n"/>
      <c r="I24" s="4524" t="n"/>
      <c r="J24" s="4524" t="n"/>
      <c r="K24" s="4524" t="n"/>
      <c r="L24" s="4524" t="n"/>
      <c r="M24" s="4524" t="n"/>
      <c r="N24" s="4524" t="n"/>
      <c r="O24" s="4524" t="n"/>
      <c r="P24" s="4524" t="n"/>
      <c r="Q24" s="4524" t="n"/>
      <c r="R24" s="4524" t="n"/>
      <c r="S24" s="4524" t="n"/>
      <c r="T24" s="4524" t="n"/>
      <c r="U24" s="4524" t="n"/>
      <c r="V24" s="4524" t="n"/>
      <c r="W24" s="4524" t="n"/>
      <c r="X24" s="4524" t="n"/>
      <c r="Y24" s="4524" t="n"/>
      <c r="Z24" s="4524" t="n"/>
      <c r="AA24" s="4524" t="n"/>
      <c r="AB24" s="4524" t="n"/>
      <c r="AC24" s="4524" t="n"/>
      <c r="AD24" s="2319" t="n"/>
      <c r="AE24" s="4524" t="n"/>
      <c r="AF24" s="4524" t="n"/>
      <c r="AG24" s="4524" t="n"/>
      <c r="AH24" s="4524" t="n"/>
      <c r="AI24" s="4521" t="n"/>
      <c r="AJ24" s="4521" t="n"/>
      <c r="AK24" s="2290" t="n"/>
      <c r="AL24" s="11602" t="n"/>
      <c r="AM24" s="11602" t="n"/>
      <c r="AN24" s="11602" t="n"/>
      <c r="AP24" s="658" t="n"/>
      <c r="AQ24" s="658" t="n"/>
      <c r="AR24" s="658" t="n"/>
      <c r="AS24" s="658" t="n"/>
      <c r="AT24" s="658" t="n"/>
      <c r="AU24" s="658" t="n"/>
      <c r="AV24" s="658" t="n"/>
      <c r="AW24" s="658" t="n"/>
      <c r="AX24" s="658" t="n"/>
      <c r="AY24" s="658" t="n"/>
      <c r="AZ24" s="2293" t="n"/>
    </row>
    <row r="25" ht="15.75" customFormat="1" customHeight="1" s="1115">
      <c r="A25" s="2290" t="n"/>
      <c r="B25" s="4904" t="n"/>
      <c r="C25" s="4524" t="n"/>
      <c r="D25" s="4524" t="n"/>
      <c r="E25" s="4524" t="n"/>
      <c r="F25" s="7772" t="inlineStr">
        <is>
          <t xml:space="preserve">1099-MISC and/or 1099-NEC should have been included as wages on Form W-2. (Don’t file Form SS-8 if you </t>
        </is>
      </c>
      <c r="G25" s="7772" t="n"/>
      <c r="H25" s="4524" t="n"/>
      <c r="I25" s="4524" t="n"/>
      <c r="J25" s="4524" t="n"/>
      <c r="K25" s="4524" t="n"/>
      <c r="L25" s="4524" t="n"/>
      <c r="M25" s="4524" t="n"/>
      <c r="N25" s="4524" t="n"/>
      <c r="O25" s="4524" t="n"/>
      <c r="P25" s="4524" t="n"/>
      <c r="Q25" s="4524" t="n"/>
      <c r="R25" s="4524" t="n"/>
      <c r="S25" s="4524" t="n"/>
      <c r="T25" s="4524" t="n"/>
      <c r="U25" s="4524" t="n"/>
      <c r="V25" s="4524" t="n"/>
      <c r="W25" s="4524" t="n"/>
      <c r="X25" s="4524" t="n"/>
      <c r="Y25" s="4524" t="n"/>
      <c r="Z25" s="4524" t="n"/>
      <c r="AA25" s="4524" t="n"/>
      <c r="AB25" s="4524" t="n"/>
      <c r="AC25" s="4524" t="n"/>
      <c r="AD25" s="2319" t="n"/>
      <c r="AE25" s="4524" t="n"/>
      <c r="AF25" s="4524" t="n"/>
      <c r="AG25" s="4524" t="n"/>
      <c r="AH25" s="4524" t="n"/>
      <c r="AI25" s="4521" t="n"/>
      <c r="AJ25" s="4521" t="n"/>
      <c r="AK25" s="2290" t="n"/>
      <c r="AL25" s="11602" t="n"/>
      <c r="AM25" s="11602" t="n"/>
      <c r="AN25" s="11602" t="n"/>
      <c r="AP25" s="658" t="n"/>
      <c r="AQ25" s="658" t="n"/>
      <c r="AR25" s="658" t="n"/>
      <c r="AS25" s="658" t="n"/>
      <c r="AT25" s="658" t="n"/>
      <c r="AU25" s="658" t="n"/>
      <c r="AV25" s="658" t="n"/>
      <c r="AW25" s="658" t="n"/>
      <c r="AX25" s="658" t="n"/>
      <c r="AY25" s="658" t="n"/>
      <c r="AZ25" s="2293" t="n"/>
    </row>
    <row r="26" ht="19.5" customFormat="1" customHeight="1" s="1115">
      <c r="A26" s="2290" t="n"/>
      <c r="B26" s="4904" t="n"/>
      <c r="C26" s="4524" t="n"/>
      <c r="D26" s="4524" t="n"/>
      <c r="E26" s="4524" t="n"/>
      <c r="F26" s="6664" t="inlineStr">
        <is>
          <t>select reason code H.)</t>
        </is>
      </c>
      <c r="G26" s="7772" t="n"/>
      <c r="H26" s="4524" t="n"/>
      <c r="I26" s="4524" t="n"/>
      <c r="J26" s="4524" t="n"/>
      <c r="K26" s="4524" t="n"/>
      <c r="L26" s="4524" t="n"/>
      <c r="M26" s="4524" t="n"/>
      <c r="N26" s="4524" t="n"/>
      <c r="O26" s="4524" t="n"/>
      <c r="P26" s="4524" t="n"/>
      <c r="Q26" s="4524" t="n"/>
      <c r="R26" s="4524" t="n"/>
      <c r="S26" s="4524" t="n"/>
      <c r="T26" s="4524" t="n"/>
      <c r="U26" s="4524" t="n"/>
      <c r="V26" s="4524" t="n"/>
      <c r="W26" s="4524" t="n"/>
      <c r="X26" s="4524" t="n"/>
      <c r="Y26" s="4524" t="n"/>
      <c r="Z26" s="4524" t="n"/>
      <c r="AA26" s="4524" t="n"/>
      <c r="AB26" s="4524" t="n"/>
      <c r="AC26" s="4524" t="n"/>
      <c r="AD26" s="2319" t="n"/>
      <c r="AE26" s="4524" t="n"/>
      <c r="AF26" s="4524" t="n"/>
      <c r="AG26" s="4524" t="n"/>
      <c r="AH26" s="4524" t="n"/>
      <c r="AI26" s="4521" t="n"/>
      <c r="AJ26" s="4521" t="n"/>
      <c r="AK26" s="2290" t="n"/>
      <c r="AL26" s="11602" t="n"/>
      <c r="AM26" s="11602" t="n"/>
      <c r="AN26" s="11602" t="n"/>
      <c r="AP26" s="658" t="n"/>
      <c r="AQ26" s="658" t="n"/>
      <c r="AR26" s="658" t="n"/>
      <c r="AS26" s="658" t="n"/>
      <c r="AT26" s="658" t="n"/>
      <c r="AU26" s="658" t="n"/>
      <c r="AV26" s="658" t="n"/>
      <c r="AW26" s="658" t="n"/>
      <c r="AX26" s="658" t="n"/>
      <c r="AY26" s="658" t="n"/>
      <c r="AZ26" s="2293" t="n"/>
    </row>
    <row r="27" ht="15.75" customFormat="1" customHeight="1" s="1115">
      <c r="A27" s="2290" t="n"/>
      <c r="B27" s="2310" t="n"/>
      <c r="C27" s="2291" t="n"/>
      <c r="D27" s="2317" t="n"/>
      <c r="E27" s="2310" t="n"/>
      <c r="F27" s="6665" t="n"/>
      <c r="G27" s="2761" t="n"/>
      <c r="H27" s="2291" t="n"/>
      <c r="I27" s="2291" t="n"/>
      <c r="J27" s="2291" t="n"/>
      <c r="K27" s="2291" t="n"/>
      <c r="L27" s="2291" t="n"/>
      <c r="M27" s="6666" t="n"/>
      <c r="N27" s="12780" t="inlineStr">
        <is>
          <t>(b) Firm's federal
identification
number
(see instructions)</t>
        </is>
      </c>
      <c r="O27" s="7839" t="n"/>
      <c r="P27" s="7839" t="n"/>
      <c r="Q27" s="7839" t="n"/>
      <c r="R27" s="7839" t="n"/>
      <c r="S27" s="10091" t="n"/>
      <c r="T27" s="12780" t="inlineStr">
        <is>
          <t>(c) Enter
reason code
from above.</t>
        </is>
      </c>
      <c r="U27" s="7839" t="n"/>
      <c r="V27" s="10091" t="n"/>
      <c r="W27" s="12780" t="inlineStr">
        <is>
          <t>(d) Date of IRS 
determination or 
correspondence  
(MM/DD/YYYY) 
(see instructions)</t>
        </is>
      </c>
      <c r="X27" s="7839" t="n"/>
      <c r="Y27" s="7839" t="n"/>
      <c r="Z27" s="7839" t="n"/>
      <c r="AA27" s="10091" t="n"/>
      <c r="AB27" s="12461" t="inlineStr">
        <is>
          <t>(e) Check  
if Form 
1099-MISC 
and/or 
1099-NEC 
was received.</t>
        </is>
      </c>
      <c r="AC27" s="7839" t="n"/>
      <c r="AD27" s="10091" t="n"/>
      <c r="AE27" s="12462" t="inlineStr">
        <is>
          <t xml:space="preserve">(f) Total wages 
received with 
no social security 
or Medicare tax 
withholding and not 
reported on Form W-2 </t>
        </is>
      </c>
      <c r="AF27" s="7839" t="n"/>
      <c r="AG27" s="7839" t="n"/>
      <c r="AH27" s="7839" t="n"/>
      <c r="AI27" s="7839" t="n"/>
      <c r="AJ27" s="7839" t="n"/>
      <c r="AK27" s="2290" t="n"/>
      <c r="AL27" s="11602" t="n"/>
      <c r="AM27" s="11602" t="n"/>
      <c r="AN27" s="11602" t="n"/>
      <c r="AP27" s="658" t="n"/>
      <c r="AQ27" s="658" t="n"/>
      <c r="AR27" s="658" t="n"/>
      <c r="AS27" s="658" t="n"/>
      <c r="AT27" s="658" t="n"/>
      <c r="AU27" s="658" t="n"/>
      <c r="AV27" s="658" t="n"/>
      <c r="AW27" s="658" t="n"/>
      <c r="AX27" s="658" t="n"/>
      <c r="AY27" s="658" t="n"/>
      <c r="AZ27" s="2293" t="n"/>
    </row>
    <row r="28" ht="15.75" customFormat="1" customHeight="1" s="1115">
      <c r="A28" s="2290" t="n"/>
      <c r="B28" s="4904" t="n"/>
      <c r="C28" s="4524" t="n"/>
      <c r="D28" s="6624" t="n"/>
      <c r="E28" s="4904" t="n"/>
      <c r="F28" s="6667" t="n"/>
      <c r="G28" s="7772" t="n"/>
      <c r="H28" s="4524" t="n"/>
      <c r="I28" s="4524" t="n"/>
      <c r="J28" s="4524" t="n"/>
      <c r="K28" s="4524" t="n"/>
      <c r="L28" s="4524" t="n"/>
      <c r="M28" s="6668" t="n"/>
      <c r="N28" s="4772" t="n"/>
      <c r="S28" s="7636" t="n"/>
      <c r="T28" s="4772" t="n"/>
      <c r="V28" s="7636" t="n"/>
      <c r="W28" s="4772" t="n"/>
      <c r="AA28" s="7636" t="n"/>
      <c r="AB28" s="4772" t="n"/>
      <c r="AD28" s="7636" t="n"/>
      <c r="AE28" s="4772" t="n"/>
      <c r="AK28" s="2290" t="n"/>
      <c r="AL28" s="11602" t="n"/>
      <c r="AM28" s="11602" t="n"/>
      <c r="AN28" s="11602" t="n"/>
      <c r="AP28" s="658" t="n"/>
      <c r="AQ28" s="658" t="n"/>
      <c r="AR28" s="658" t="n"/>
      <c r="AS28" s="658" t="n"/>
      <c r="AT28" s="658" t="n"/>
      <c r="AU28" s="658" t="n"/>
      <c r="AV28" s="658" t="n"/>
      <c r="AW28" s="658" t="n"/>
      <c r="AX28" s="658" t="n"/>
      <c r="AY28" s="658" t="n"/>
      <c r="AZ28" s="2293" t="n"/>
    </row>
    <row r="29" ht="15.75" customFormat="1" customHeight="1" s="1115">
      <c r="A29" s="2290" t="n"/>
      <c r="B29" s="4904" t="n"/>
      <c r="C29" s="4524" t="n"/>
      <c r="D29" s="6627" t="inlineStr">
        <is>
          <t>(a) Name of firm</t>
        </is>
      </c>
      <c r="E29" s="4904" t="n"/>
      <c r="F29" s="6667" t="n"/>
      <c r="G29" s="7772" t="n"/>
      <c r="H29" s="2914" t="n"/>
      <c r="I29" s="4524" t="n"/>
      <c r="J29" s="4524" t="n"/>
      <c r="K29" s="4524" t="n"/>
      <c r="L29" s="4524" t="n"/>
      <c r="M29" s="6668" t="n"/>
      <c r="N29" s="4772" t="n"/>
      <c r="S29" s="7636" t="n"/>
      <c r="T29" s="4772" t="n"/>
      <c r="V29" s="7636" t="n"/>
      <c r="W29" s="4772" t="n"/>
      <c r="AA29" s="7636" t="n"/>
      <c r="AB29" s="4772" t="n"/>
      <c r="AD29" s="7636" t="n"/>
      <c r="AE29" s="4772" t="n"/>
      <c r="AK29" s="2290" t="n"/>
      <c r="AL29" s="11602" t="n"/>
      <c r="AM29" s="11602" t="n"/>
      <c r="AN29" s="11602" t="n"/>
      <c r="AP29" s="658" t="n"/>
      <c r="AQ29" s="658" t="n"/>
      <c r="AR29" s="658" t="n"/>
      <c r="AS29" s="658" t="n"/>
      <c r="AT29" s="658" t="n"/>
      <c r="AU29" s="658" t="n"/>
      <c r="AV29" s="658" t="n"/>
      <c r="AW29" s="658" t="n"/>
      <c r="AX29" s="658" t="n"/>
      <c r="AY29" s="658" t="n"/>
      <c r="AZ29" s="2293" t="n"/>
    </row>
    <row r="30" ht="15.75" customFormat="1" customHeight="1" s="1115">
      <c r="A30" s="2290" t="n"/>
      <c r="B30" s="4904" t="n"/>
      <c r="C30" s="4524" t="n"/>
      <c r="D30" s="6624" t="n"/>
      <c r="E30" s="4904" t="n"/>
      <c r="F30" s="6667" t="n"/>
      <c r="G30" s="7772" t="n"/>
      <c r="H30" s="4524" t="n"/>
      <c r="I30" s="4524" t="n"/>
      <c r="J30" s="4524" t="n"/>
      <c r="K30" s="4524" t="n"/>
      <c r="L30" s="4524" t="n"/>
      <c r="M30" s="6668" t="n"/>
      <c r="N30" s="4772" t="n"/>
      <c r="S30" s="7636" t="n"/>
      <c r="T30" s="4772" t="n"/>
      <c r="V30" s="7636" t="n"/>
      <c r="W30" s="4772" t="n"/>
      <c r="AA30" s="7636" t="n"/>
      <c r="AB30" s="4772" t="n"/>
      <c r="AD30" s="7636" t="n"/>
      <c r="AE30" s="4772" t="n"/>
      <c r="AK30" s="2290" t="n"/>
      <c r="AL30" s="11602" t="n"/>
      <c r="AM30" s="11602" t="n"/>
      <c r="AN30" s="11602" t="n"/>
      <c r="AP30" s="658" t="n"/>
      <c r="AQ30" s="658" t="n"/>
      <c r="AR30" s="658" t="n"/>
      <c r="AS30" s="658" t="n"/>
      <c r="AT30" s="658" t="n"/>
      <c r="AU30" s="658" t="n"/>
      <c r="AV30" s="658" t="n"/>
      <c r="AW30" s="658" t="n"/>
      <c r="AX30" s="658" t="n"/>
      <c r="AY30" s="658" t="n"/>
      <c r="AZ30" s="2293" t="n"/>
    </row>
    <row r="31" ht="21" customFormat="1" customHeight="1" s="1115">
      <c r="A31" s="2290" t="n"/>
      <c r="B31" s="2296" t="n"/>
      <c r="C31" s="2294" t="n"/>
      <c r="D31" s="2295" t="n"/>
      <c r="E31" s="2296" t="n"/>
      <c r="F31" s="6669" t="n"/>
      <c r="G31" s="1998" t="n"/>
      <c r="H31" s="2294" t="n"/>
      <c r="I31" s="2294" t="n"/>
      <c r="J31" s="2294" t="n"/>
      <c r="K31" s="2294" t="n"/>
      <c r="L31" s="2294" t="n"/>
      <c r="M31" s="6670" t="n"/>
      <c r="N31" s="3614" t="n"/>
      <c r="O31" s="7637" t="n"/>
      <c r="P31" s="7637" t="n"/>
      <c r="Q31" s="7637" t="n"/>
      <c r="R31" s="7637" t="n"/>
      <c r="S31" s="7638" t="n"/>
      <c r="T31" s="3614" t="n"/>
      <c r="U31" s="7637" t="n"/>
      <c r="V31" s="7638" t="n"/>
      <c r="W31" s="3614" t="n"/>
      <c r="X31" s="7637" t="n"/>
      <c r="Y31" s="7637" t="n"/>
      <c r="Z31" s="7637" t="n"/>
      <c r="AA31" s="7638" t="n"/>
      <c r="AB31" s="3614" t="n"/>
      <c r="AC31" s="7637" t="n"/>
      <c r="AD31" s="7638" t="n"/>
      <c r="AE31" s="3614" t="n"/>
      <c r="AF31" s="7637" t="n"/>
      <c r="AG31" s="7637" t="n"/>
      <c r="AH31" s="7637" t="n"/>
      <c r="AI31" s="7637" t="n"/>
      <c r="AJ31" s="7637" t="n"/>
      <c r="AK31" s="2290" t="n"/>
      <c r="AL31" s="11602" t="n"/>
      <c r="AM31" s="11602" t="n"/>
      <c r="AN31" s="11602" t="n"/>
      <c r="AP31" s="658" t="n"/>
      <c r="AQ31" s="658" t="n"/>
      <c r="AR31" s="658" t="n"/>
      <c r="AS31" s="658" t="n"/>
      <c r="AT31" s="658" t="n"/>
      <c r="AU31" s="658" t="n"/>
      <c r="AV31" s="658" t="n"/>
      <c r="AW31" s="658" t="n"/>
      <c r="AX31" s="658" t="n"/>
      <c r="AY31" s="658" t="n"/>
      <c r="AZ31" s="2293" t="n"/>
    </row>
    <row r="32" ht="15.75" customFormat="1" customHeight="1" s="1115">
      <c r="A32" s="2290" t="n"/>
      <c r="B32" s="12463" t="n">
        <v>1</v>
      </c>
      <c r="C32" s="12464">
        <f>IF(N32,'W-2s'!D2,"")</f>
        <v/>
      </c>
      <c r="D32" s="11745" t="n"/>
      <c r="E32" s="11745" t="n"/>
      <c r="F32" s="11745" t="n"/>
      <c r="G32" s="11745" t="n"/>
      <c r="H32" s="11745" t="n"/>
      <c r="I32" s="11745" t="n"/>
      <c r="J32" s="11745" t="n"/>
      <c r="K32" s="11745" t="n"/>
      <c r="L32" s="11745" t="n"/>
      <c r="M32" s="11948" t="n"/>
      <c r="N32" s="12781">
        <f>OR('W-2s'!D13&lt;&gt;"",'W-2s'!D14&lt;&gt;"")</f>
        <v/>
      </c>
      <c r="O32" s="7839" t="n"/>
      <c r="P32" s="7839" t="n"/>
      <c r="Q32" s="7839" t="n"/>
      <c r="R32" s="7839" t="n"/>
      <c r="S32" s="10091" t="n"/>
      <c r="T32" s="12782">
        <f>IF(OR(T33="A",T33="a",T33="C",T33="c",T33="G",T33="g",T33="H",T33="h",T33=""),"","Wrong code.")</f>
        <v/>
      </c>
      <c r="U32" s="7839" t="n"/>
      <c r="V32" s="10091" t="n"/>
      <c r="W32" s="6628" t="n"/>
      <c r="X32" s="2291" t="n"/>
      <c r="Y32" s="2291" t="n"/>
      <c r="Z32" s="2291" t="n"/>
      <c r="AA32" s="6666" t="n"/>
      <c r="AB32" s="6628" t="n"/>
      <c r="AC32" s="2291" t="n"/>
      <c r="AD32" s="6671" t="n"/>
      <c r="AE32" s="11335" t="n"/>
      <c r="AF32" s="7839" t="n"/>
      <c r="AG32" s="7839" t="n"/>
      <c r="AH32" s="7839" t="n"/>
      <c r="AI32" s="7839" t="n"/>
      <c r="AJ32" s="7839" t="n"/>
      <c r="AK32" s="2290" t="n"/>
      <c r="AL32" s="11602" t="n"/>
      <c r="AM32" s="11602" t="n"/>
      <c r="AN32" s="11602" t="n"/>
      <c r="AP32" s="658" t="n"/>
      <c r="AQ32" s="658" t="n"/>
      <c r="AR32" s="658" t="n"/>
      <c r="AS32" s="658" t="n"/>
      <c r="AT32" s="658" t="n"/>
      <c r="AU32" s="658" t="n"/>
      <c r="AV32" s="658" t="n"/>
      <c r="AW32" s="658" t="n"/>
      <c r="AX32" s="658" t="n"/>
      <c r="AY32" s="658" t="n"/>
      <c r="AZ32" s="2293" t="n"/>
    </row>
    <row r="33" ht="12.75" customFormat="1" customHeight="1" s="1115">
      <c r="A33" s="2290" t="n"/>
      <c r="B33" s="194" t="n"/>
      <c r="C33" s="194" t="n"/>
      <c r="D33" s="194" t="n"/>
      <c r="E33" s="194" t="n"/>
      <c r="F33" s="194" t="n"/>
      <c r="G33" s="194" t="n"/>
      <c r="H33" s="194" t="n"/>
      <c r="I33" s="194" t="n"/>
      <c r="J33" s="194" t="n"/>
      <c r="K33" s="194" t="n"/>
      <c r="L33" s="194" t="n"/>
      <c r="M33" s="11726" t="n"/>
      <c r="N33" s="12783" t="n"/>
      <c r="O33" s="194" t="n"/>
      <c r="P33" s="194" t="n"/>
      <c r="Q33" s="194" t="n"/>
      <c r="R33" s="194" t="n"/>
      <c r="S33" s="11726" t="n"/>
      <c r="T33" s="12784">
        <f>IF(N32,"H","")</f>
        <v/>
      </c>
      <c r="U33" s="194" t="n"/>
      <c r="V33" s="11726" t="n"/>
      <c r="W33" s="12785" t="n"/>
      <c r="X33" s="194" t="n"/>
      <c r="Y33" s="194" t="n"/>
      <c r="Z33" s="194" t="n"/>
      <c r="AA33" s="11726" t="n"/>
      <c r="AB33" s="6672" t="n"/>
      <c r="AC33" s="2355" t="n"/>
      <c r="AD33" s="6673" t="n"/>
      <c r="AE33" s="9969">
        <f>IF(AM33&lt;&gt;"",ROUND(AM33,0),IF(N32,SUM('W-2s'!D13:D14),""))</f>
        <v/>
      </c>
      <c r="AK33" s="2290" t="n"/>
      <c r="AL33" s="11602" t="n"/>
      <c r="AM33" s="12786" t="n"/>
      <c r="AN33" s="11602" t="n"/>
      <c r="AP33" s="658" t="n"/>
      <c r="AQ33" s="658" t="n"/>
      <c r="AR33" s="658" t="n"/>
      <c r="AS33" s="658" t="n"/>
      <c r="AT33" s="658" t="n"/>
      <c r="AU33" s="658" t="n"/>
      <c r="AV33" s="658" t="n"/>
      <c r="AW33" s="658" t="n"/>
      <c r="AX33" s="658" t="n"/>
      <c r="AY33" s="658" t="n"/>
      <c r="AZ33" s="2293" t="n"/>
    </row>
    <row r="34" ht="6.75" customFormat="1" customHeight="1" s="1115">
      <c r="A34" s="2290" t="n"/>
      <c r="B34" s="11717" t="n"/>
      <c r="C34" s="11717" t="n"/>
      <c r="D34" s="11717" t="n"/>
      <c r="E34" s="11717" t="n"/>
      <c r="F34" s="11717" t="n"/>
      <c r="G34" s="11717" t="n"/>
      <c r="H34" s="11717" t="n"/>
      <c r="I34" s="11717" t="n"/>
      <c r="J34" s="11717" t="n"/>
      <c r="K34" s="11717" t="n"/>
      <c r="L34" s="11717" t="n"/>
      <c r="M34" s="11718" t="n"/>
      <c r="N34" s="11728" t="n"/>
      <c r="O34" s="11717" t="n"/>
      <c r="P34" s="11717" t="n"/>
      <c r="Q34" s="11717" t="n"/>
      <c r="R34" s="11717" t="n"/>
      <c r="S34" s="11718" t="n"/>
      <c r="T34" s="11728" t="n"/>
      <c r="U34" s="11717" t="n"/>
      <c r="V34" s="11718" t="n"/>
      <c r="W34" s="11728" t="n"/>
      <c r="X34" s="11717" t="n"/>
      <c r="Y34" s="11717" t="n"/>
      <c r="Z34" s="11717" t="n"/>
      <c r="AA34" s="11718" t="n"/>
      <c r="AB34" s="6674" t="n"/>
      <c r="AC34" s="2294" t="n"/>
      <c r="AD34" s="6675" t="n"/>
      <c r="AE34" s="3614" t="n"/>
      <c r="AF34" s="7637" t="n"/>
      <c r="AG34" s="7637" t="n"/>
      <c r="AH34" s="7637" t="n"/>
      <c r="AI34" s="7637" t="n"/>
      <c r="AJ34" s="7637" t="n"/>
      <c r="AK34" s="2290" t="n"/>
      <c r="AL34" s="11602" t="n"/>
      <c r="AM34" s="11969" t="n"/>
      <c r="AN34" s="11602" t="n"/>
      <c r="AP34" s="658" t="n"/>
      <c r="AQ34" s="658" t="n"/>
      <c r="AR34" s="658" t="n"/>
      <c r="AS34" s="658" t="n"/>
      <c r="AT34" s="658" t="n"/>
      <c r="AU34" s="658" t="n"/>
      <c r="AV34" s="658" t="n"/>
      <c r="AW34" s="658" t="n"/>
      <c r="AX34" s="658" t="n"/>
      <c r="AY34" s="658" t="n"/>
      <c r="AZ34" s="2293" t="n"/>
    </row>
    <row r="35" ht="15.75" customFormat="1" customHeight="1" s="1115">
      <c r="A35" s="2290" t="n"/>
      <c r="B35" s="12463" t="n">
        <v>2</v>
      </c>
      <c r="C35" s="12464">
        <f>IF(N35,'W-2s'!E2,"")</f>
        <v/>
      </c>
      <c r="D35" s="11745" t="n"/>
      <c r="E35" s="11745" t="n"/>
      <c r="F35" s="11745" t="n"/>
      <c r="G35" s="11745" t="n"/>
      <c r="H35" s="11745" t="n"/>
      <c r="I35" s="11745" t="n"/>
      <c r="J35" s="11745" t="n"/>
      <c r="K35" s="11745" t="n"/>
      <c r="L35" s="11745" t="n"/>
      <c r="M35" s="11948" t="n"/>
      <c r="N35" s="12781">
        <f>OR('W-2s'!E13&lt;&gt;"",'W-2s'!E14&lt;&gt;"")</f>
        <v/>
      </c>
      <c r="O35" s="7839" t="n"/>
      <c r="P35" s="7839" t="n"/>
      <c r="Q35" s="7839" t="n"/>
      <c r="R35" s="7839" t="n"/>
      <c r="S35" s="10091" t="n"/>
      <c r="T35" s="12782">
        <f>IF(OR(T36="A",T36="a",T36="C",T36="c",T36="G",T36="g",T36="H",T36="h",T36=""),"","Wrong code.")</f>
        <v/>
      </c>
      <c r="U35" s="7839" t="n"/>
      <c r="V35" s="10091" t="n"/>
      <c r="W35" s="6628" t="n"/>
      <c r="X35" s="2291" t="n"/>
      <c r="Y35" s="2291" t="n"/>
      <c r="Z35" s="2291" t="n"/>
      <c r="AA35" s="6666" t="n"/>
      <c r="AB35" s="6628" t="n"/>
      <c r="AC35" s="2291" t="n"/>
      <c r="AD35" s="6671" t="n"/>
      <c r="AE35" s="11337" t="n"/>
      <c r="AF35" s="7839" t="n"/>
      <c r="AG35" s="7839" t="n"/>
      <c r="AH35" s="7839" t="n"/>
      <c r="AI35" s="7839" t="n"/>
      <c r="AJ35" s="7839" t="n"/>
      <c r="AK35" s="2290" t="n"/>
      <c r="AL35" s="11602" t="n"/>
      <c r="AM35" s="11602" t="n"/>
      <c r="AN35" s="11602" t="n"/>
      <c r="AP35" s="658" t="n"/>
      <c r="AQ35" s="658" t="n"/>
      <c r="AR35" s="658" t="n"/>
      <c r="AS35" s="658" t="n"/>
      <c r="AT35" s="658" t="n"/>
      <c r="AU35" s="658" t="n"/>
      <c r="AV35" s="658" t="n"/>
      <c r="AW35" s="658" t="n"/>
      <c r="AX35" s="658" t="n"/>
      <c r="AY35" s="658" t="n"/>
      <c r="AZ35" s="2293" t="n"/>
    </row>
    <row r="36" ht="12.75" customFormat="1" customHeight="1" s="1115">
      <c r="A36" s="2290" t="n"/>
      <c r="B36" s="194" t="n"/>
      <c r="C36" s="194" t="n"/>
      <c r="D36" s="194" t="n"/>
      <c r="E36" s="194" t="n"/>
      <c r="F36" s="194" t="n"/>
      <c r="G36" s="194" t="n"/>
      <c r="H36" s="194" t="n"/>
      <c r="I36" s="194" t="n"/>
      <c r="J36" s="194" t="n"/>
      <c r="K36" s="194" t="n"/>
      <c r="L36" s="194" t="n"/>
      <c r="M36" s="11726" t="n"/>
      <c r="N36" s="12783" t="n"/>
      <c r="O36" s="194" t="n"/>
      <c r="P36" s="194" t="n"/>
      <c r="Q36" s="194" t="n"/>
      <c r="R36" s="194" t="n"/>
      <c r="S36" s="11726" t="n"/>
      <c r="T36" s="12784">
        <f>IF(N35,"H","")</f>
        <v/>
      </c>
      <c r="U36" s="194" t="n"/>
      <c r="V36" s="11726" t="n"/>
      <c r="W36" s="12785" t="n"/>
      <c r="X36" s="194" t="n"/>
      <c r="Y36" s="194" t="n"/>
      <c r="Z36" s="194" t="n"/>
      <c r="AA36" s="11726" t="n"/>
      <c r="AB36" s="6672" t="n"/>
      <c r="AC36" s="2355" t="n"/>
      <c r="AD36" s="6673" t="n"/>
      <c r="AE36" s="9969">
        <f>IF(AM36&lt;&gt;"",ROUND(AM36,0),IF(N35,SUM('W-2s'!E13:E14),""))</f>
        <v/>
      </c>
      <c r="AK36" s="2290" t="n"/>
      <c r="AL36" s="11602" t="n"/>
      <c r="AM36" s="12786" t="n"/>
      <c r="AN36" s="11602" t="n"/>
      <c r="AP36" s="658" t="n"/>
      <c r="AQ36" s="658" t="n"/>
      <c r="AR36" s="658" t="n"/>
      <c r="AS36" s="658" t="n"/>
      <c r="AT36" s="658" t="n"/>
      <c r="AU36" s="658" t="n"/>
      <c r="AV36" s="658" t="n"/>
      <c r="AW36" s="658" t="n"/>
      <c r="AX36" s="658" t="n"/>
      <c r="AY36" s="658" t="n"/>
      <c r="AZ36" s="2293" t="n"/>
    </row>
    <row r="37" ht="6.75" customFormat="1" customHeight="1" s="1115">
      <c r="A37" s="2290" t="n"/>
      <c r="B37" s="11717" t="n"/>
      <c r="C37" s="11717" t="n"/>
      <c r="D37" s="11717" t="n"/>
      <c r="E37" s="11717" t="n"/>
      <c r="F37" s="11717" t="n"/>
      <c r="G37" s="11717" t="n"/>
      <c r="H37" s="11717" t="n"/>
      <c r="I37" s="11717" t="n"/>
      <c r="J37" s="11717" t="n"/>
      <c r="K37" s="11717" t="n"/>
      <c r="L37" s="11717" t="n"/>
      <c r="M37" s="11718" t="n"/>
      <c r="N37" s="11728" t="n"/>
      <c r="O37" s="11717" t="n"/>
      <c r="P37" s="11717" t="n"/>
      <c r="Q37" s="11717" t="n"/>
      <c r="R37" s="11717" t="n"/>
      <c r="S37" s="11718" t="n"/>
      <c r="T37" s="11728" t="n"/>
      <c r="U37" s="11717" t="n"/>
      <c r="V37" s="11718" t="n"/>
      <c r="W37" s="11728" t="n"/>
      <c r="X37" s="11717" t="n"/>
      <c r="Y37" s="11717" t="n"/>
      <c r="Z37" s="11717" t="n"/>
      <c r="AA37" s="11718" t="n"/>
      <c r="AB37" s="6674" t="n"/>
      <c r="AC37" s="2294" t="n"/>
      <c r="AD37" s="6675" t="n"/>
      <c r="AE37" s="3614" t="n"/>
      <c r="AF37" s="7637" t="n"/>
      <c r="AG37" s="7637" t="n"/>
      <c r="AH37" s="7637" t="n"/>
      <c r="AI37" s="7637" t="n"/>
      <c r="AJ37" s="7637" t="n"/>
      <c r="AK37" s="2290" t="n"/>
      <c r="AL37" s="11602" t="n"/>
      <c r="AM37" s="11969" t="n"/>
      <c r="AN37" s="11602" t="n"/>
      <c r="AP37" s="658" t="n"/>
      <c r="AQ37" s="658" t="n"/>
      <c r="AR37" s="658" t="n"/>
      <c r="AS37" s="658" t="n"/>
      <c r="AT37" s="658" t="n"/>
      <c r="AU37" s="658" t="n"/>
      <c r="AV37" s="658" t="n"/>
      <c r="AW37" s="658" t="n"/>
      <c r="AX37" s="658" t="n"/>
      <c r="AY37" s="658" t="n"/>
      <c r="AZ37" s="2293" t="n"/>
    </row>
    <row r="38" ht="15.75" customFormat="1" customHeight="1" s="1115">
      <c r="A38" s="2290" t="n"/>
      <c r="B38" s="12463" t="n">
        <v>3</v>
      </c>
      <c r="C38" s="12464">
        <f>IF(N38,'W-2s'!F2,"")</f>
        <v/>
      </c>
      <c r="D38" s="11745" t="n"/>
      <c r="E38" s="11745" t="n"/>
      <c r="F38" s="11745" t="n"/>
      <c r="G38" s="11745" t="n"/>
      <c r="H38" s="11745" t="n"/>
      <c r="I38" s="11745" t="n"/>
      <c r="J38" s="11745" t="n"/>
      <c r="K38" s="11745" t="n"/>
      <c r="L38" s="11745" t="n"/>
      <c r="M38" s="11948" t="n"/>
      <c r="N38" s="12781">
        <f>OR('W-2s'!F13&lt;&gt;"",'W-2s'!F14&lt;&gt;"")</f>
        <v/>
      </c>
      <c r="O38" s="7839" t="n"/>
      <c r="P38" s="7839" t="n"/>
      <c r="Q38" s="7839" t="n"/>
      <c r="R38" s="7839" t="n"/>
      <c r="S38" s="10091" t="n"/>
      <c r="T38" s="12782">
        <f>IF(OR(T39="A",T39="a",T39="C",T39="c",T39="G",T39="g",T39="H",T39="h",T39=""),"","Wrong code.")</f>
        <v/>
      </c>
      <c r="U38" s="7839" t="n"/>
      <c r="V38" s="10091" t="n"/>
      <c r="W38" s="6628" t="n"/>
      <c r="X38" s="2291" t="n"/>
      <c r="Y38" s="2291" t="n"/>
      <c r="Z38" s="2291" t="n"/>
      <c r="AA38" s="6666" t="n"/>
      <c r="AB38" s="6628" t="n"/>
      <c r="AC38" s="2291" t="n"/>
      <c r="AD38" s="6671" t="n"/>
      <c r="AE38" s="11337" t="n"/>
      <c r="AF38" s="7839" t="n"/>
      <c r="AG38" s="7839" t="n"/>
      <c r="AH38" s="7839" t="n"/>
      <c r="AI38" s="7839" t="n"/>
      <c r="AJ38" s="7839" t="n"/>
      <c r="AK38" s="2290" t="n"/>
      <c r="AL38" s="11602" t="n"/>
      <c r="AM38" s="11602" t="n"/>
      <c r="AN38" s="11602" t="n"/>
      <c r="AP38" s="658" t="n"/>
      <c r="AQ38" s="658" t="n"/>
      <c r="AR38" s="658" t="n"/>
      <c r="AS38" s="658" t="n"/>
      <c r="AT38" s="658" t="n"/>
      <c r="AU38" s="658" t="n"/>
      <c r="AV38" s="658" t="n"/>
      <c r="AW38" s="658" t="n"/>
      <c r="AX38" s="658" t="n"/>
      <c r="AY38" s="658" t="n"/>
      <c r="AZ38" s="2293" t="n"/>
    </row>
    <row r="39" ht="12.75" customFormat="1" customHeight="1" s="1115">
      <c r="A39" s="2290" t="n"/>
      <c r="B39" s="194" t="n"/>
      <c r="C39" s="194" t="n"/>
      <c r="D39" s="194" t="n"/>
      <c r="E39" s="194" t="n"/>
      <c r="F39" s="194" t="n"/>
      <c r="G39" s="194" t="n"/>
      <c r="H39" s="194" t="n"/>
      <c r="I39" s="194" t="n"/>
      <c r="J39" s="194" t="n"/>
      <c r="K39" s="194" t="n"/>
      <c r="L39" s="194" t="n"/>
      <c r="M39" s="11726" t="n"/>
      <c r="N39" s="12783" t="n"/>
      <c r="O39" s="194" t="n"/>
      <c r="P39" s="194" t="n"/>
      <c r="Q39" s="194" t="n"/>
      <c r="R39" s="194" t="n"/>
      <c r="S39" s="11726" t="n"/>
      <c r="T39" s="12784">
        <f>IF(N38,"H","")</f>
        <v/>
      </c>
      <c r="U39" s="194" t="n"/>
      <c r="V39" s="11726" t="n"/>
      <c r="W39" s="12785" t="n"/>
      <c r="X39" s="194" t="n"/>
      <c r="Y39" s="194" t="n"/>
      <c r="Z39" s="194" t="n"/>
      <c r="AA39" s="11726" t="n"/>
      <c r="AB39" s="6672" t="n"/>
      <c r="AC39" s="2355" t="n"/>
      <c r="AD39" s="6673" t="n"/>
      <c r="AE39" s="9969">
        <f>IF(AM39&lt;&gt;"",ROUND(AM39,0),IF(N38,SUM('W-2s'!F13:F14),""))</f>
        <v/>
      </c>
      <c r="AK39" s="2290" t="n"/>
      <c r="AL39" s="11602" t="n"/>
      <c r="AM39" s="12786" t="n"/>
      <c r="AN39" s="11602" t="n"/>
      <c r="AP39" s="658" t="n"/>
      <c r="AQ39" s="658" t="n"/>
      <c r="AR39" s="658" t="n"/>
      <c r="AS39" s="658" t="n"/>
      <c r="AT39" s="658" t="n"/>
      <c r="AU39" s="658" t="n"/>
      <c r="AV39" s="658" t="n"/>
      <c r="AW39" s="658" t="n"/>
      <c r="AX39" s="658" t="n"/>
      <c r="AY39" s="658" t="n"/>
      <c r="AZ39" s="2293" t="n"/>
    </row>
    <row r="40" ht="6.75" customFormat="1" customHeight="1" s="1115">
      <c r="A40" s="2290" t="n"/>
      <c r="B40" s="11717" t="n"/>
      <c r="C40" s="11717" t="n"/>
      <c r="D40" s="11717" t="n"/>
      <c r="E40" s="11717" t="n"/>
      <c r="F40" s="11717" t="n"/>
      <c r="G40" s="11717" t="n"/>
      <c r="H40" s="11717" t="n"/>
      <c r="I40" s="11717" t="n"/>
      <c r="J40" s="11717" t="n"/>
      <c r="K40" s="11717" t="n"/>
      <c r="L40" s="11717" t="n"/>
      <c r="M40" s="11718" t="n"/>
      <c r="N40" s="11728" t="n"/>
      <c r="O40" s="11717" t="n"/>
      <c r="P40" s="11717" t="n"/>
      <c r="Q40" s="11717" t="n"/>
      <c r="R40" s="11717" t="n"/>
      <c r="S40" s="11718" t="n"/>
      <c r="T40" s="11728" t="n"/>
      <c r="U40" s="11717" t="n"/>
      <c r="V40" s="11718" t="n"/>
      <c r="W40" s="11728" t="n"/>
      <c r="X40" s="11717" t="n"/>
      <c r="Y40" s="11717" t="n"/>
      <c r="Z40" s="11717" t="n"/>
      <c r="AA40" s="11718" t="n"/>
      <c r="AB40" s="6674" t="n"/>
      <c r="AC40" s="2294" t="n"/>
      <c r="AD40" s="6675" t="n"/>
      <c r="AE40" s="3614" t="n"/>
      <c r="AF40" s="7637" t="n"/>
      <c r="AG40" s="7637" t="n"/>
      <c r="AH40" s="7637" t="n"/>
      <c r="AI40" s="7637" t="n"/>
      <c r="AJ40" s="7637" t="n"/>
      <c r="AK40" s="2290" t="n"/>
      <c r="AL40" s="11602" t="n"/>
      <c r="AM40" s="11969" t="n"/>
      <c r="AN40" s="11602" t="n"/>
      <c r="AP40" s="658" t="n"/>
      <c r="AQ40" s="658" t="n"/>
      <c r="AR40" s="658" t="n"/>
      <c r="AS40" s="658" t="n"/>
      <c r="AT40" s="658" t="n"/>
      <c r="AU40" s="658" t="n"/>
      <c r="AV40" s="658" t="n"/>
      <c r="AW40" s="658" t="n"/>
      <c r="AX40" s="658" t="n"/>
      <c r="AY40" s="658" t="n"/>
      <c r="AZ40" s="2293" t="n"/>
    </row>
    <row r="41" ht="15.75" customFormat="1" customHeight="1" s="1115">
      <c r="A41" s="2290" t="n"/>
      <c r="B41" s="12463" t="n">
        <v>4</v>
      </c>
      <c r="C41" s="12464">
        <f>IF(N41,'W-2s'!G2,"")</f>
        <v/>
      </c>
      <c r="D41" s="11745" t="n"/>
      <c r="E41" s="11745" t="n"/>
      <c r="F41" s="11745" t="n"/>
      <c r="G41" s="11745" t="n"/>
      <c r="H41" s="11745" t="n"/>
      <c r="I41" s="11745" t="n"/>
      <c r="J41" s="11745" t="n"/>
      <c r="K41" s="11745" t="n"/>
      <c r="L41" s="11745" t="n"/>
      <c r="M41" s="11948" t="n"/>
      <c r="N41" s="12781">
        <f>OR('W-2s'!G13&lt;&gt;"",'W-2s'!G14&lt;&gt;"")</f>
        <v/>
      </c>
      <c r="O41" s="7839" t="n"/>
      <c r="P41" s="7839" t="n"/>
      <c r="Q41" s="7839" t="n"/>
      <c r="R41" s="7839" t="n"/>
      <c r="S41" s="10091" t="n"/>
      <c r="T41" s="12782">
        <f>IF(OR(T42="A",T42="a",T42="C",T42="c",T42="G",T42="g",T42="H",T42="h",T42=""),"","Wrong code.")</f>
        <v/>
      </c>
      <c r="U41" s="7839" t="n"/>
      <c r="V41" s="10091" t="n"/>
      <c r="W41" s="6628" t="n"/>
      <c r="X41" s="2291" t="n"/>
      <c r="Y41" s="2291" t="n"/>
      <c r="Z41" s="2291" t="n"/>
      <c r="AA41" s="6666" t="n"/>
      <c r="AB41" s="6628" t="n"/>
      <c r="AC41" s="2291" t="n"/>
      <c r="AD41" s="6671" t="n"/>
      <c r="AE41" s="11337" t="n"/>
      <c r="AF41" s="7839" t="n"/>
      <c r="AG41" s="7839" t="n"/>
      <c r="AH41" s="7839" t="n"/>
      <c r="AI41" s="7839" t="n"/>
      <c r="AJ41" s="7839" t="n"/>
      <c r="AK41" s="2290" t="n"/>
      <c r="AL41" s="11602" t="n"/>
      <c r="AM41" s="11602" t="n"/>
      <c r="AN41" s="11602" t="n"/>
      <c r="AP41" s="658" t="n"/>
      <c r="AQ41" s="658" t="n"/>
      <c r="AR41" s="658" t="n"/>
      <c r="AS41" s="658" t="n"/>
      <c r="AT41" s="658" t="n"/>
      <c r="AU41" s="658" t="n"/>
      <c r="AV41" s="658" t="n"/>
      <c r="AW41" s="658" t="n"/>
      <c r="AX41" s="658" t="n"/>
      <c r="AY41" s="658" t="n"/>
      <c r="AZ41" s="2293" t="n"/>
    </row>
    <row r="42" ht="12.75" customFormat="1" customHeight="1" s="1115">
      <c r="A42" s="2290" t="n"/>
      <c r="B42" s="194" t="n"/>
      <c r="C42" s="194" t="n"/>
      <c r="D42" s="194" t="n"/>
      <c r="E42" s="194" t="n"/>
      <c r="F42" s="194" t="n"/>
      <c r="G42" s="194" t="n"/>
      <c r="H42" s="194" t="n"/>
      <c r="I42" s="194" t="n"/>
      <c r="J42" s="194" t="n"/>
      <c r="K42" s="194" t="n"/>
      <c r="L42" s="194" t="n"/>
      <c r="M42" s="11726" t="n"/>
      <c r="N42" s="12783" t="n"/>
      <c r="O42" s="194" t="n"/>
      <c r="P42" s="194" t="n"/>
      <c r="Q42" s="194" t="n"/>
      <c r="R42" s="194" t="n"/>
      <c r="S42" s="11726" t="n"/>
      <c r="T42" s="12784">
        <f>IF(N41,"H","")</f>
        <v/>
      </c>
      <c r="U42" s="194" t="n"/>
      <c r="V42" s="11726" t="n"/>
      <c r="W42" s="12785" t="n"/>
      <c r="X42" s="194" t="n"/>
      <c r="Y42" s="194" t="n"/>
      <c r="Z42" s="194" t="n"/>
      <c r="AA42" s="11726" t="n"/>
      <c r="AB42" s="6672" t="n"/>
      <c r="AC42" s="2355" t="n"/>
      <c r="AD42" s="6673" t="n"/>
      <c r="AE42" s="9969">
        <f>IF(AM42&lt;&gt;"",ROUND(AM42,0),IF(N41,SUM('W-2s'!G13:G14),""))</f>
        <v/>
      </c>
      <c r="AK42" s="2290" t="n"/>
      <c r="AL42" s="11602" t="n"/>
      <c r="AM42" s="12786" t="n"/>
      <c r="AN42" s="11602" t="n"/>
      <c r="AP42" s="658" t="n"/>
      <c r="AQ42" s="658" t="n"/>
      <c r="AR42" s="658" t="n"/>
      <c r="AS42" s="658" t="n"/>
      <c r="AT42" s="658" t="n"/>
      <c r="AU42" s="658" t="n"/>
      <c r="AV42" s="658" t="n"/>
      <c r="AW42" s="658" t="n"/>
      <c r="AX42" s="658" t="n"/>
      <c r="AY42" s="658" t="n"/>
      <c r="AZ42" s="2293" t="n"/>
    </row>
    <row r="43" ht="6.75" customFormat="1" customHeight="1" s="1115">
      <c r="A43" s="2290" t="n"/>
      <c r="B43" s="11717" t="n"/>
      <c r="C43" s="11717" t="n"/>
      <c r="D43" s="11717" t="n"/>
      <c r="E43" s="11717" t="n"/>
      <c r="F43" s="11717" t="n"/>
      <c r="G43" s="11717" t="n"/>
      <c r="H43" s="11717" t="n"/>
      <c r="I43" s="11717" t="n"/>
      <c r="J43" s="11717" t="n"/>
      <c r="K43" s="11717" t="n"/>
      <c r="L43" s="11717" t="n"/>
      <c r="M43" s="11718" t="n"/>
      <c r="N43" s="11728" t="n"/>
      <c r="O43" s="11717" t="n"/>
      <c r="P43" s="11717" t="n"/>
      <c r="Q43" s="11717" t="n"/>
      <c r="R43" s="11717" t="n"/>
      <c r="S43" s="11718" t="n"/>
      <c r="T43" s="11728" t="n"/>
      <c r="U43" s="11717" t="n"/>
      <c r="V43" s="11718" t="n"/>
      <c r="W43" s="11728" t="n"/>
      <c r="X43" s="11717" t="n"/>
      <c r="Y43" s="11717" t="n"/>
      <c r="Z43" s="11717" t="n"/>
      <c r="AA43" s="11718" t="n"/>
      <c r="AB43" s="6674" t="n"/>
      <c r="AC43" s="2294" t="n"/>
      <c r="AD43" s="6675" t="n"/>
      <c r="AE43" s="3614" t="n"/>
      <c r="AF43" s="7637" t="n"/>
      <c r="AG43" s="7637" t="n"/>
      <c r="AH43" s="7637" t="n"/>
      <c r="AI43" s="7637" t="n"/>
      <c r="AJ43" s="7637" t="n"/>
      <c r="AK43" s="2290" t="n"/>
      <c r="AL43" s="11602" t="n"/>
      <c r="AM43" s="11969" t="n"/>
      <c r="AN43" s="11602" t="n"/>
      <c r="AP43" s="658" t="n"/>
      <c r="AQ43" s="658" t="n"/>
      <c r="AR43" s="658" t="n"/>
      <c r="AS43" s="658" t="n"/>
      <c r="AT43" s="658" t="n"/>
      <c r="AU43" s="658" t="n"/>
      <c r="AV43" s="658" t="n"/>
      <c r="AW43" s="658" t="n"/>
      <c r="AX43" s="658" t="n"/>
      <c r="AY43" s="658" t="n"/>
      <c r="AZ43" s="2293" t="n"/>
    </row>
    <row r="44" ht="15.75" customFormat="1" customHeight="1" s="1115">
      <c r="A44" s="2290" t="n"/>
      <c r="B44" s="12463" t="n">
        <v>5</v>
      </c>
      <c r="C44" s="12464">
        <f>IF(N44,'W-2s'!H2,"")</f>
        <v/>
      </c>
      <c r="D44" s="11745" t="n"/>
      <c r="E44" s="11745" t="n"/>
      <c r="F44" s="11745" t="n"/>
      <c r="G44" s="11745" t="n"/>
      <c r="H44" s="11745" t="n"/>
      <c r="I44" s="11745" t="n"/>
      <c r="J44" s="11745" t="n"/>
      <c r="K44" s="11745" t="n"/>
      <c r="L44" s="11745" t="n"/>
      <c r="M44" s="11948" t="n"/>
      <c r="N44" s="12781">
        <f>OR('W-2s'!H13&lt;&gt;"",'W-2s'!H14&lt;&gt;"")</f>
        <v/>
      </c>
      <c r="O44" s="7839" t="n"/>
      <c r="P44" s="7839" t="n"/>
      <c r="Q44" s="7839" t="n"/>
      <c r="R44" s="7839" t="n"/>
      <c r="S44" s="10091" t="n"/>
      <c r="T44" s="12782">
        <f>IF(OR(T45="A",T45="a",T45="C",T45="c",T45="G",T45="g",T45="H",T45="h",T45=""),"","Wrong code.")</f>
        <v/>
      </c>
      <c r="U44" s="7839" t="n"/>
      <c r="V44" s="10091" t="n"/>
      <c r="W44" s="6628" t="n"/>
      <c r="X44" s="2291" t="n"/>
      <c r="Y44" s="2291" t="n"/>
      <c r="Z44" s="2291" t="n"/>
      <c r="AA44" s="6666" t="n"/>
      <c r="AB44" s="6628" t="n"/>
      <c r="AC44" s="2291" t="n"/>
      <c r="AD44" s="6671" t="n"/>
      <c r="AE44" s="11337" t="n"/>
      <c r="AF44" s="7839" t="n"/>
      <c r="AG44" s="7839" t="n"/>
      <c r="AH44" s="7839" t="n"/>
      <c r="AI44" s="7839" t="n"/>
      <c r="AJ44" s="7839" t="n"/>
      <c r="AK44" s="2290" t="n"/>
      <c r="AL44" s="11602" t="n"/>
      <c r="AM44" s="11602" t="n"/>
      <c r="AN44" s="11602" t="n"/>
      <c r="AP44" s="658" t="n"/>
      <c r="AQ44" s="658" t="n"/>
      <c r="AR44" s="658" t="n"/>
      <c r="AS44" s="658" t="n"/>
      <c r="AT44" s="658" t="n"/>
      <c r="AU44" s="658" t="n"/>
      <c r="AV44" s="658" t="n"/>
      <c r="AW44" s="658" t="n"/>
      <c r="AX44" s="658" t="n"/>
      <c r="AY44" s="658" t="n"/>
      <c r="AZ44" s="2293" t="n"/>
    </row>
    <row r="45" ht="12.75" customFormat="1" customHeight="1" s="1115">
      <c r="A45" s="2290" t="n"/>
      <c r="B45" s="194" t="n"/>
      <c r="C45" s="194" t="n"/>
      <c r="D45" s="194" t="n"/>
      <c r="E45" s="194" t="n"/>
      <c r="F45" s="194" t="n"/>
      <c r="G45" s="194" t="n"/>
      <c r="H45" s="194" t="n"/>
      <c r="I45" s="194" t="n"/>
      <c r="J45" s="194" t="n"/>
      <c r="K45" s="194" t="n"/>
      <c r="L45" s="194" t="n"/>
      <c r="M45" s="11726" t="n"/>
      <c r="N45" s="12783" t="n"/>
      <c r="O45" s="194" t="n"/>
      <c r="P45" s="194" t="n"/>
      <c r="Q45" s="194" t="n"/>
      <c r="R45" s="194" t="n"/>
      <c r="S45" s="11726" t="n"/>
      <c r="T45" s="12784">
        <f>IF(N44,"H","")</f>
        <v/>
      </c>
      <c r="U45" s="194" t="n"/>
      <c r="V45" s="11726" t="n"/>
      <c r="W45" s="12785" t="n"/>
      <c r="X45" s="194" t="n"/>
      <c r="Y45" s="194" t="n"/>
      <c r="Z45" s="194" t="n"/>
      <c r="AA45" s="11726" t="n"/>
      <c r="AB45" s="6672" t="n"/>
      <c r="AC45" s="2355" t="n"/>
      <c r="AD45" s="6673" t="n"/>
      <c r="AE45" s="9969">
        <f>IF(AM45&lt;&gt;"",ROUND(AM45,0),IF(N44,SUM('W-2s'!H13:H14),""))</f>
        <v/>
      </c>
      <c r="AK45" s="2290" t="n"/>
      <c r="AL45" s="11602" t="n"/>
      <c r="AM45" s="12786" t="n"/>
      <c r="AN45" s="11602" t="n"/>
      <c r="AP45" s="658" t="n"/>
      <c r="AQ45" s="658" t="n"/>
      <c r="AR45" s="658" t="n"/>
      <c r="AS45" s="658" t="n"/>
      <c r="AT45" s="658" t="n"/>
      <c r="AU45" s="658" t="n"/>
      <c r="AV45" s="658" t="n"/>
      <c r="AW45" s="658" t="n"/>
      <c r="AX45" s="658" t="n"/>
      <c r="AY45" s="658" t="n"/>
      <c r="AZ45" s="2293" t="n"/>
    </row>
    <row r="46" ht="6.75" customFormat="1" customHeight="1" s="1115">
      <c r="A46" s="2290" t="n"/>
      <c r="B46" s="11717" t="n"/>
      <c r="C46" s="11717" t="n"/>
      <c r="D46" s="11717" t="n"/>
      <c r="E46" s="11717" t="n"/>
      <c r="F46" s="11717" t="n"/>
      <c r="G46" s="11717" t="n"/>
      <c r="H46" s="11717" t="n"/>
      <c r="I46" s="11717" t="n"/>
      <c r="J46" s="11717" t="n"/>
      <c r="K46" s="11717" t="n"/>
      <c r="L46" s="11717" t="n"/>
      <c r="M46" s="11718" t="n"/>
      <c r="N46" s="11728" t="n"/>
      <c r="O46" s="11717" t="n"/>
      <c r="P46" s="11717" t="n"/>
      <c r="Q46" s="11717" t="n"/>
      <c r="R46" s="11717" t="n"/>
      <c r="S46" s="11718" t="n"/>
      <c r="T46" s="11728" t="n"/>
      <c r="U46" s="11717" t="n"/>
      <c r="V46" s="11718" t="n"/>
      <c r="W46" s="11728" t="n"/>
      <c r="X46" s="11717" t="n"/>
      <c r="Y46" s="11717" t="n"/>
      <c r="Z46" s="11717" t="n"/>
      <c r="AA46" s="11718" t="n"/>
      <c r="AB46" s="6674" t="n"/>
      <c r="AC46" s="2294" t="n"/>
      <c r="AD46" s="6675" t="n"/>
      <c r="AE46" s="3614" t="n"/>
      <c r="AF46" s="7637" t="n"/>
      <c r="AG46" s="7637" t="n"/>
      <c r="AH46" s="7637" t="n"/>
      <c r="AI46" s="7637" t="n"/>
      <c r="AJ46" s="7637" t="n"/>
      <c r="AK46" s="2290" t="n"/>
      <c r="AL46" s="11602" t="n"/>
      <c r="AM46" s="11969" t="n"/>
      <c r="AN46" s="11602" t="n"/>
      <c r="AP46" s="658" t="n"/>
      <c r="AQ46" s="658" t="n"/>
      <c r="AR46" s="658" t="n"/>
      <c r="AS46" s="658" t="n"/>
      <c r="AT46" s="658" t="n"/>
      <c r="AU46" s="658" t="n"/>
      <c r="AV46" s="658" t="n"/>
      <c r="AW46" s="658" t="n"/>
      <c r="AX46" s="658" t="n"/>
      <c r="AY46" s="658" t="n"/>
      <c r="AZ46" s="2293" t="n"/>
    </row>
    <row r="47" ht="15.75" customFormat="1" customHeight="1" s="1115">
      <c r="A47" s="2290" t="n"/>
      <c r="B47" s="9988" t="n">
        <v>6</v>
      </c>
      <c r="C47" s="7772" t="inlineStr">
        <is>
          <t>Total wages. Combine lines 1 through 5 in column (f). Enter here and on Form 1040, 1040-SR, or</t>
        </is>
      </c>
      <c r="D47" s="6624" t="n"/>
      <c r="E47" s="4904" t="n"/>
      <c r="F47" s="6667" t="n"/>
      <c r="G47" s="7772" t="n"/>
      <c r="H47" s="4524" t="n"/>
      <c r="I47" s="4524" t="n"/>
      <c r="J47" s="4524" t="n"/>
      <c r="K47" s="4524" t="n"/>
      <c r="L47" s="4524" t="n"/>
      <c r="M47" s="4524" t="n"/>
      <c r="N47" s="4524" t="n"/>
      <c r="O47" s="4524" t="n"/>
      <c r="P47" s="4524" t="n"/>
      <c r="Q47" s="4524" t="n"/>
      <c r="R47" s="4524" t="n"/>
      <c r="S47" s="4524" t="n"/>
      <c r="T47" s="4524" t="n"/>
      <c r="U47" s="4524" t="n"/>
      <c r="V47" s="4524" t="n"/>
      <c r="W47" s="4524" t="n"/>
      <c r="X47" s="4524" t="n"/>
      <c r="Y47" s="4524" t="n"/>
      <c r="Z47" s="4524" t="n"/>
      <c r="AA47" s="4524" t="n"/>
      <c r="AB47" s="4524" t="n"/>
      <c r="AC47" s="4524" t="n"/>
      <c r="AD47" s="6676" t="n"/>
      <c r="AE47" s="9984" t="n"/>
      <c r="AF47" s="7839" t="n"/>
      <c r="AG47" s="7839" t="n"/>
      <c r="AH47" s="7839" t="n"/>
      <c r="AI47" s="7839" t="n"/>
      <c r="AJ47" s="7839" t="n"/>
      <c r="AK47" s="2290" t="n"/>
      <c r="AL47" s="11602" t="n"/>
      <c r="AM47" s="11602" t="n"/>
      <c r="AN47" s="11602" t="n"/>
      <c r="AP47" s="658" t="n"/>
      <c r="AQ47" s="658" t="n"/>
      <c r="AR47" s="658" t="n"/>
      <c r="AS47" s="658" t="n"/>
      <c r="AT47" s="658" t="n"/>
      <c r="AU47" s="658" t="n"/>
      <c r="AV47" s="658" t="n"/>
      <c r="AW47" s="658" t="n"/>
      <c r="AX47" s="658" t="n"/>
      <c r="AY47" s="658" t="n"/>
      <c r="AZ47" s="2293" t="n"/>
    </row>
    <row r="48" ht="15.75" customFormat="1" customHeight="1" s="1115">
      <c r="A48" s="2290" t="n"/>
      <c r="B48" s="4904" t="n"/>
      <c r="C48" s="7772" t="inlineStr">
        <is>
          <t>1040-NR, line 1g</t>
        </is>
      </c>
      <c r="D48" s="6624" t="n"/>
      <c r="E48" s="4904" t="n"/>
      <c r="F48" s="6667" t="n"/>
      <c r="G48" s="7772" t="n"/>
      <c r="H48" s="4524" t="n"/>
      <c r="I48" s="4524" t="n"/>
      <c r="J48" s="4524" t="n"/>
      <c r="K48" s="4524" t="n"/>
      <c r="L48" s="4524" t="n"/>
      <c r="M48" s="4524" t="n"/>
      <c r="N48" s="4524" t="n"/>
      <c r="O48" s="4524" t="n"/>
      <c r="P48" s="4524" t="n"/>
      <c r="Q48" s="4524" t="n"/>
      <c r="R48" s="4524" t="n"/>
      <c r="S48" s="4524" t="n"/>
      <c r="T48" s="4524" t="n"/>
      <c r="U48" s="4524" t="n"/>
      <c r="V48" s="4524" t="n"/>
      <c r="W48" s="4524" t="n"/>
      <c r="X48" s="4524" t="n"/>
      <c r="Y48" s="4524" t="n"/>
      <c r="Z48" s="4524" t="n"/>
      <c r="AA48" s="4524" t="n"/>
      <c r="AB48" s="4524" t="n"/>
      <c r="AC48" s="6651" t="inlineStr">
        <is>
          <t xml:space="preserve">.   .   .   .   .   .   .   .   .   .   .   .   .   .   .   .   .   .   .   .   .   .   .   .   .   .   .   . </t>
        </is>
      </c>
      <c r="AD48" s="6633" t="n">
        <v>6</v>
      </c>
      <c r="AE48" s="9969">
        <f>IF(AM48&lt;&gt;"",ROUND(AM48,0),IF(AN48,"",SUM(AE33,AE36,AE39,AE42,AE45)))</f>
        <v/>
      </c>
      <c r="AF48" s="7637" t="n"/>
      <c r="AG48" s="7637" t="n"/>
      <c r="AH48" s="7637" t="n"/>
      <c r="AI48" s="7637" t="n"/>
      <c r="AJ48" s="7637" t="n"/>
      <c r="AK48" s="2290" t="n"/>
      <c r="AL48" s="11602" t="n"/>
      <c r="AM48" s="6642" t="n"/>
      <c r="AN48" s="512">
        <f>AND(AM48="",AE33="",AE36="",AE39="",AE42="",AE45="")</f>
        <v/>
      </c>
      <c r="AP48" s="658" t="n"/>
      <c r="AQ48" s="658" t="n"/>
      <c r="AR48" s="658" t="n"/>
      <c r="AS48" s="658" t="n"/>
      <c r="AT48" s="658" t="n"/>
      <c r="AU48" s="658" t="n"/>
      <c r="AV48" s="658" t="n"/>
      <c r="AW48" s="658" t="n"/>
      <c r="AX48" s="658" t="n"/>
      <c r="AY48" s="658" t="n"/>
      <c r="AZ48" s="2293" t="n"/>
    </row>
    <row r="49" ht="15.75" customFormat="1" customHeight="1" s="1115">
      <c r="A49" s="2290" t="n"/>
      <c r="B49" s="9988" t="n">
        <v>7</v>
      </c>
      <c r="C49" s="7772" t="inlineStr">
        <is>
          <t>Maximum amount of wages subject to social security tax</t>
        </is>
      </c>
      <c r="D49" s="7772" t="n"/>
      <c r="E49" s="4904" t="n"/>
      <c r="F49" s="6667" t="n"/>
      <c r="G49" s="7772" t="n"/>
      <c r="H49" s="4524" t="n"/>
      <c r="I49" s="4524" t="n"/>
      <c r="J49" s="4524" t="n"/>
      <c r="K49" s="4524" t="n"/>
      <c r="L49" s="4524" t="n"/>
      <c r="M49" s="4524" t="n"/>
      <c r="N49" s="4524" t="n"/>
      <c r="O49" s="4524" t="n"/>
      <c r="P49" s="4524" t="n"/>
      <c r="Q49" s="4524" t="n"/>
      <c r="R49" s="4524" t="n"/>
      <c r="S49" s="4524" t="n"/>
      <c r="T49" s="4524" t="n"/>
      <c r="U49" s="4524" t="n"/>
      <c r="V49" s="4524" t="n"/>
      <c r="W49" s="4524" t="n"/>
      <c r="X49" s="6651" t="inlineStr">
        <is>
          <t xml:space="preserve">.   .   .   .   .   .   .   .   .   . </t>
        </is>
      </c>
      <c r="Y49" s="6634" t="n">
        <v>7</v>
      </c>
      <c r="Z49" s="12787">
        <f>MaxSSTaxEarnings</f>
        <v/>
      </c>
      <c r="AA49" s="8412" t="n"/>
      <c r="AB49" s="8412" t="n"/>
      <c r="AC49" s="11734" t="n"/>
      <c r="AD49" s="6635" t="n"/>
      <c r="AE49" s="4524" t="n"/>
      <c r="AF49" s="4524" t="n"/>
      <c r="AG49" s="4524" t="n"/>
      <c r="AH49" s="4524" t="n"/>
      <c r="AI49" s="4521" t="n"/>
      <c r="AJ49" s="4521" t="n"/>
      <c r="AK49" s="2290" t="n"/>
      <c r="AL49" s="11602" t="n"/>
      <c r="AM49" s="11602" t="n"/>
      <c r="AN49" s="11602" t="n"/>
      <c r="AP49" s="658" t="n"/>
      <c r="AQ49" s="658" t="n"/>
      <c r="AR49" s="658" t="n"/>
      <c r="AS49" s="658" t="n"/>
      <c r="AT49" s="658" t="n"/>
      <c r="AU49" s="658" t="n"/>
      <c r="AV49" s="658" t="n"/>
      <c r="AW49" s="658" t="n"/>
      <c r="AX49" s="658" t="n"/>
      <c r="AY49" s="658" t="n"/>
      <c r="AZ49" s="2293" t="n"/>
    </row>
    <row r="50" ht="15.75" customFormat="1" customHeight="1" s="1115">
      <c r="A50" s="2290" t="n"/>
      <c r="B50" s="9988" t="n">
        <v>8</v>
      </c>
      <c r="C50" s="7772" t="inlineStr">
        <is>
          <t>Total social security wages and social security tips (total of boxes 3 and 7 on</t>
        </is>
      </c>
      <c r="D50" s="7772" t="n"/>
      <c r="E50" s="4904" t="n"/>
      <c r="F50" s="6667" t="n"/>
      <c r="G50" s="7772" t="n"/>
      <c r="H50" s="4524" t="n"/>
      <c r="I50" s="4524" t="n"/>
      <c r="J50" s="4524" t="n"/>
      <c r="K50" s="4524" t="n"/>
      <c r="L50" s="4524" t="n"/>
      <c r="M50" s="4524" t="n"/>
      <c r="N50" s="4524" t="n"/>
      <c r="O50" s="4524" t="n"/>
      <c r="P50" s="4524" t="n"/>
      <c r="Q50" s="4524" t="n"/>
      <c r="R50" s="4524" t="n"/>
      <c r="S50" s="4524" t="n"/>
      <c r="T50" s="4524" t="n"/>
      <c r="U50" s="4524" t="n"/>
      <c r="V50" s="4524" t="n"/>
      <c r="W50" s="4524" t="n"/>
      <c r="X50" s="4524" t="n"/>
      <c r="Y50" s="6630" t="n"/>
      <c r="Z50" s="4904" t="n"/>
      <c r="AA50" s="4904" t="n"/>
      <c r="AB50" s="4904" t="n"/>
      <c r="AC50" s="4904" t="n"/>
      <c r="AD50" s="6636" t="n"/>
      <c r="AE50" s="4524" t="n"/>
      <c r="AF50" s="4524" t="n"/>
      <c r="AG50" s="4524" t="n"/>
      <c r="AH50" s="4524" t="n"/>
      <c r="AI50" s="4521" t="n"/>
      <c r="AJ50" s="4521" t="n"/>
      <c r="AK50" s="2290" t="n"/>
      <c r="AL50" s="11602" t="n"/>
      <c r="AM50" s="11602" t="n"/>
      <c r="AN50" s="11602" t="n"/>
      <c r="AP50" s="658" t="n"/>
      <c r="AQ50" s="658" t="n"/>
      <c r="AR50" s="658" t="n"/>
      <c r="AS50" s="658" t="n"/>
      <c r="AT50" s="658" t="n"/>
      <c r="AU50" s="658" t="n"/>
      <c r="AV50" s="658" t="n"/>
      <c r="AW50" s="658" t="n"/>
      <c r="AX50" s="658" t="n"/>
      <c r="AY50" s="658" t="n"/>
      <c r="AZ50" s="2293" t="n"/>
    </row>
    <row r="51" ht="15.75" customFormat="1" customHeight="1" s="1115">
      <c r="A51" s="2290" t="n"/>
      <c r="B51" s="9988" t="n"/>
      <c r="C51" s="7772" t="inlineStr">
        <is>
          <t>Form(s) W-2), railroad retirement (RRTA) compensation (subject to the 6.2%</t>
        </is>
      </c>
      <c r="D51" s="7772" t="n"/>
      <c r="E51" s="4904" t="n"/>
      <c r="F51" s="6667" t="n"/>
      <c r="G51" s="7772" t="n"/>
      <c r="H51" s="4524" t="n"/>
      <c r="I51" s="4524" t="n"/>
      <c r="J51" s="4524" t="n"/>
      <c r="K51" s="4524" t="n"/>
      <c r="L51" s="6629" t="n"/>
      <c r="M51" s="4524" t="n"/>
      <c r="N51" s="4524" t="n"/>
      <c r="O51" s="4524" t="n"/>
      <c r="P51" s="4524" t="n"/>
      <c r="Q51" s="4524" t="n"/>
      <c r="R51" s="4524" t="n"/>
      <c r="S51" s="4524" t="n"/>
      <c r="T51" s="4524" t="n"/>
      <c r="U51" s="4524" t="n"/>
      <c r="V51" s="4524" t="n"/>
      <c r="W51" s="4524" t="n"/>
      <c r="X51" s="4524" t="n"/>
      <c r="Y51" s="6631" t="n"/>
      <c r="Z51" s="12788">
        <f>SUM('W-2s'!J5,'W-2s'!J9)</f>
        <v/>
      </c>
      <c r="AC51" s="7636" t="n"/>
      <c r="AD51" s="6636" t="n"/>
      <c r="AE51" s="4524" t="n"/>
      <c r="AF51" s="4524" t="n"/>
      <c r="AG51" s="4524" t="n"/>
      <c r="AH51" s="4524" t="n"/>
      <c r="AI51" s="4521" t="n"/>
      <c r="AJ51" s="4521" t="n"/>
      <c r="AK51" s="2290" t="n"/>
      <c r="AL51" s="11602" t="n"/>
      <c r="AM51" s="11602" t="n"/>
      <c r="AN51" s="11602" t="n"/>
      <c r="AP51" s="658" t="n"/>
      <c r="AQ51" s="658" t="n"/>
      <c r="AR51" s="658" t="n"/>
      <c r="AS51" s="658" t="n"/>
      <c r="AT51" s="658" t="n"/>
      <c r="AU51" s="658" t="n"/>
      <c r="AV51" s="658" t="n"/>
      <c r="AW51" s="658" t="n"/>
      <c r="AX51" s="658" t="n"/>
      <c r="AY51" s="658" t="n"/>
      <c r="AZ51" s="2293" t="n"/>
    </row>
    <row r="52" ht="15.75" customFormat="1" customHeight="1" s="1115">
      <c r="A52" s="2290" t="n"/>
      <c r="B52" s="9988" t="n"/>
      <c r="C52" s="7772" t="inlineStr">
        <is>
          <t>rate), and unreported tips subject to social security tax from Form 4137, line</t>
        </is>
      </c>
      <c r="D52" s="7772" t="n"/>
      <c r="E52" s="4904" t="n"/>
      <c r="F52" s="6667" t="n"/>
      <c r="G52" s="7772" t="n"/>
      <c r="H52" s="4524" t="n"/>
      <c r="I52" s="4524" t="n"/>
      <c r="J52" s="4524" t="n"/>
      <c r="K52" s="4524" t="n"/>
      <c r="L52" s="4524" t="n"/>
      <c r="M52" s="4524" t="n"/>
      <c r="N52" s="4524" t="n"/>
      <c r="O52" s="4524" t="n"/>
      <c r="P52" s="4524" t="n"/>
      <c r="Q52" s="4524" t="n"/>
      <c r="R52" s="4524" t="n"/>
      <c r="S52" s="4524" t="n"/>
      <c r="T52" s="4524" t="n"/>
      <c r="U52" s="4524" t="n"/>
      <c r="V52" s="4524" t="n"/>
      <c r="W52" s="4524" t="n"/>
      <c r="X52" s="4524" t="n"/>
      <c r="Y52" s="6631" t="n"/>
      <c r="Z52" s="12788">
        <f>IF(OR('4137'!AE39="",'4137'!AE39=0),0,'4137'!AE39)</f>
        <v/>
      </c>
      <c r="AC52" s="7636" t="n"/>
      <c r="AD52" s="6636" t="n"/>
      <c r="AE52" s="4524" t="n"/>
      <c r="AF52" s="4524" t="n"/>
      <c r="AG52" s="4524" t="n"/>
      <c r="AH52" s="4524" t="n"/>
      <c r="AI52" s="4521" t="n"/>
      <c r="AJ52" s="4521" t="n"/>
      <c r="AK52" s="2290" t="n"/>
      <c r="AL52" s="11602" t="n"/>
      <c r="AM52" s="11602" t="n"/>
      <c r="AN52" s="11602" t="n"/>
      <c r="AP52" s="658" t="n"/>
      <c r="AQ52" s="658" t="n"/>
      <c r="AR52" s="658" t="n"/>
      <c r="AS52" s="658" t="n"/>
      <c r="AT52" s="658" t="n"/>
      <c r="AU52" s="658" t="n"/>
      <c r="AV52" s="658" t="n"/>
      <c r="AW52" s="658" t="n"/>
      <c r="AX52" s="658" t="n"/>
      <c r="AY52" s="658" t="n"/>
      <c r="AZ52" s="2293" t="n"/>
    </row>
    <row r="53" ht="15.75" customFormat="1" customHeight="1" s="1115">
      <c r="A53" s="2290" t="n"/>
      <c r="B53" s="9988" t="n"/>
      <c r="C53" s="7772" t="inlineStr">
        <is>
          <t>10. See instructions</t>
        </is>
      </c>
      <c r="D53" s="7772" t="n"/>
      <c r="E53" s="4904" t="n"/>
      <c r="F53" s="6667" t="n"/>
      <c r="G53" s="7772" t="n"/>
      <c r="H53" s="4524" t="n"/>
      <c r="I53" s="4524" t="n"/>
      <c r="J53" s="4524" t="n"/>
      <c r="K53" s="4524" t="n"/>
      <c r="L53" s="4524" t="n"/>
      <c r="M53" s="4524" t="n"/>
      <c r="N53" s="4524" t="n"/>
      <c r="O53" s="4524" t="n"/>
      <c r="P53" s="4524" t="n"/>
      <c r="Q53" s="4524" t="n"/>
      <c r="R53" s="4524" t="n"/>
      <c r="S53" s="4524" t="n"/>
      <c r="T53" s="4524" t="n"/>
      <c r="U53" s="4524" t="n"/>
      <c r="V53" s="4524" t="n"/>
      <c r="W53" s="4524" t="n"/>
      <c r="X53" s="6651" t="inlineStr">
        <is>
          <t xml:space="preserve">.   .   .   .   .   .   .   .   .   .   .   .   .   .   .   .   .   .   .   . </t>
        </is>
      </c>
      <c r="Y53" s="6633" t="n">
        <v>8</v>
      </c>
      <c r="Z53" s="12471">
        <f>IF(OR(AN48,AND(OR(Z51="",Z51=0),OR(Z52="",Z52=0))),"",SUM(Z51,Z52))</f>
        <v/>
      </c>
      <c r="AA53" s="7637" t="n"/>
      <c r="AB53" s="7637" t="n"/>
      <c r="AC53" s="7638" t="n"/>
      <c r="AD53" s="6637" t="n"/>
      <c r="AE53" s="4524" t="n"/>
      <c r="AF53" s="4524" t="n"/>
      <c r="AG53" s="4524" t="n"/>
      <c r="AH53" s="4524" t="n"/>
      <c r="AI53" s="4521" t="n"/>
      <c r="AJ53" s="4521" t="n"/>
      <c r="AK53" s="2290" t="n"/>
      <c r="AL53" s="11602" t="n"/>
      <c r="AM53" s="11602" t="n"/>
      <c r="AN53" s="11602" t="n"/>
      <c r="AP53" s="658" t="n"/>
      <c r="AQ53" s="658" t="n"/>
      <c r="AR53" s="658" t="n"/>
      <c r="AS53" s="658" t="n"/>
      <c r="AT53" s="658" t="n"/>
      <c r="AU53" s="658" t="n"/>
      <c r="AV53" s="658" t="n"/>
      <c r="AW53" s="658" t="n"/>
      <c r="AX53" s="658" t="n"/>
      <c r="AY53" s="658" t="n"/>
      <c r="AZ53" s="2293" t="n"/>
    </row>
    <row r="54" ht="15.75" customFormat="1" customHeight="1" s="1115">
      <c r="A54" s="2290" t="n"/>
      <c r="B54" s="9988" t="n">
        <v>9</v>
      </c>
      <c r="C54" s="7772" t="inlineStr">
        <is>
          <t>Subtract line 8 from line 7. If line 8 is more than line 7, enter -0- here and on line 10</t>
        </is>
      </c>
      <c r="D54" s="7772" t="n"/>
      <c r="E54" s="4904" t="n"/>
      <c r="F54" s="6667" t="n"/>
      <c r="G54" s="7772" t="n"/>
      <c r="H54" s="4524" t="n"/>
      <c r="I54" s="4524" t="n"/>
      <c r="J54" s="4524" t="n"/>
      <c r="K54" s="4524" t="n"/>
      <c r="L54" s="4524" t="n"/>
      <c r="M54" s="4524" t="n"/>
      <c r="N54" s="4524" t="n"/>
      <c r="O54" s="4524" t="n"/>
      <c r="P54" s="4524" t="n"/>
      <c r="Q54" s="4524" t="n"/>
      <c r="R54" s="4524" t="n"/>
      <c r="S54" s="4524" t="n"/>
      <c r="T54" s="4524" t="n"/>
      <c r="U54" s="4524" t="n"/>
      <c r="V54" s="4524" t="n"/>
      <c r="W54" s="4524" t="n"/>
      <c r="X54" s="4524" t="n"/>
      <c r="Y54" s="4524" t="n"/>
      <c r="Z54" s="6652" t="n"/>
      <c r="AA54" s="6652" t="n"/>
      <c r="AB54" s="6652" t="n"/>
      <c r="AC54" s="6677" t="n"/>
      <c r="AD54" s="6633" t="n">
        <v>9</v>
      </c>
      <c r="AE54" s="9969">
        <f>IF(AN48,"",IF(AM54,0,SUM(Z49,-Z53)))</f>
        <v/>
      </c>
      <c r="AF54" s="7637" t="n"/>
      <c r="AG54" s="7637" t="n"/>
      <c r="AH54" s="7637" t="n"/>
      <c r="AI54" s="7637" t="n"/>
      <c r="AJ54" s="7637" t="n"/>
      <c r="AK54" s="2290" t="n"/>
      <c r="AL54" s="11602" t="n"/>
      <c r="AM54" s="512">
        <f>Z53&gt;Z49</f>
        <v/>
      </c>
      <c r="AN54" s="11602" t="n"/>
      <c r="AP54" s="658" t="n"/>
      <c r="AQ54" s="658" t="n"/>
      <c r="AR54" s="658" t="n"/>
      <c r="AS54" s="658" t="n"/>
      <c r="AT54" s="658" t="n"/>
      <c r="AU54" s="658" t="n"/>
      <c r="AV54" s="658" t="n"/>
      <c r="AW54" s="658" t="n"/>
      <c r="AX54" s="658" t="n"/>
      <c r="AY54" s="658" t="n"/>
      <c r="AZ54" s="2293" t="n"/>
    </row>
    <row r="55" ht="15.75" customFormat="1" customHeight="1" s="1115">
      <c r="A55" s="2290" t="n"/>
      <c r="B55" s="9988" t="n">
        <v>10</v>
      </c>
      <c r="C55" s="7772" t="inlineStr">
        <is>
          <t>Wages subject to social security tax. Enter the smaller of line 6 or line 9</t>
        </is>
      </c>
      <c r="D55" s="7772" t="n"/>
      <c r="E55" s="4904" t="n"/>
      <c r="F55" s="6667" t="n"/>
      <c r="G55" s="7772" t="n"/>
      <c r="H55" s="4524" t="n"/>
      <c r="I55" s="4524" t="n"/>
      <c r="J55" s="4524" t="n"/>
      <c r="K55" s="4524" t="n"/>
      <c r="L55" s="4524" t="n"/>
      <c r="M55" s="4524" t="n"/>
      <c r="N55" s="4524" t="n"/>
      <c r="O55" s="4524" t="n"/>
      <c r="P55" s="4524" t="n"/>
      <c r="Q55" s="4524" t="n"/>
      <c r="R55" s="4524" t="n"/>
      <c r="S55" s="4524" t="n"/>
      <c r="T55" s="4524" t="n"/>
      <c r="U55" s="4524" t="n"/>
      <c r="V55" s="4524" t="n"/>
      <c r="W55" s="4524" t="n"/>
      <c r="X55" s="4524" t="n"/>
      <c r="Y55" s="4524" t="n"/>
      <c r="Z55" s="4524" t="n"/>
      <c r="AA55" s="4524" t="n"/>
      <c r="AB55" s="4524" t="n"/>
      <c r="AC55" s="4524" t="n"/>
      <c r="AD55" s="6633" t="n">
        <v>10</v>
      </c>
      <c r="AE55" s="9969">
        <f>IF(AN48,"",IF(AM54,0,MIN(AE48,AE54)))</f>
        <v/>
      </c>
      <c r="AF55" s="7637" t="n"/>
      <c r="AG55" s="7637" t="n"/>
      <c r="AH55" s="7637" t="n"/>
      <c r="AI55" s="7637" t="n"/>
      <c r="AJ55" s="7637" t="n"/>
      <c r="AK55" s="2290" t="n"/>
      <c r="AL55" s="11602" t="n"/>
      <c r="AM55" s="11602" t="n"/>
      <c r="AN55" s="11602" t="n"/>
      <c r="AP55" s="658" t="n"/>
      <c r="AQ55" s="658" t="n"/>
      <c r="AR55" s="658" t="n"/>
      <c r="AS55" s="658" t="n"/>
      <c r="AT55" s="658" t="n"/>
      <c r="AU55" s="658" t="n"/>
      <c r="AV55" s="658" t="n"/>
      <c r="AW55" s="658" t="n"/>
      <c r="AX55" s="658" t="n"/>
      <c r="AY55" s="658" t="n"/>
      <c r="AZ55" s="2293" t="n"/>
    </row>
    <row r="56" ht="15.75" customFormat="1" customHeight="1" s="1115">
      <c r="A56" s="2290" t="n"/>
      <c r="B56" s="9988" t="n">
        <v>11</v>
      </c>
      <c r="C56" s="7772" t="inlineStr">
        <is>
          <t>Multiply line 10 by 0.062 (social security tax rate)</t>
        </is>
      </c>
      <c r="D56" s="7772" t="n"/>
      <c r="E56" s="4904" t="n"/>
      <c r="F56" s="6667" t="n"/>
      <c r="G56" s="7772" t="n"/>
      <c r="H56" s="4524" t="n"/>
      <c r="I56" s="4524" t="n"/>
      <c r="J56" s="4524" t="n"/>
      <c r="K56" s="4524" t="n"/>
      <c r="L56" s="6629" t="n"/>
      <c r="M56" s="4524" t="n"/>
      <c r="N56" s="4524" t="n"/>
      <c r="O56" s="4524" t="n"/>
      <c r="P56" s="4524" t="n"/>
      <c r="Q56" s="4524" t="n"/>
      <c r="R56" s="4524" t="n"/>
      <c r="S56" s="4524" t="n"/>
      <c r="T56" s="4524" t="n"/>
      <c r="U56" s="4524" t="n"/>
      <c r="V56" s="4524" t="n"/>
      <c r="W56" s="4524" t="n"/>
      <c r="X56" s="4524" t="n"/>
      <c r="Y56" s="4524" t="n"/>
      <c r="Z56" s="4524" t="n"/>
      <c r="AA56" s="4524" t="n"/>
      <c r="AB56" s="4524" t="n"/>
      <c r="AC56" s="4524" t="n"/>
      <c r="AD56" s="6633" t="n">
        <v>11</v>
      </c>
      <c r="AE56" s="9969">
        <f>IF(AN48,"",ROUND(AE55*SSTaxRate,0))</f>
        <v/>
      </c>
      <c r="AF56" s="7637" t="n"/>
      <c r="AG56" s="7637" t="n"/>
      <c r="AH56" s="7637" t="n"/>
      <c r="AI56" s="7637" t="n"/>
      <c r="AJ56" s="7637" t="n"/>
      <c r="AK56" s="2290" t="n"/>
      <c r="AL56" s="11602" t="n"/>
      <c r="AM56" s="11602" t="n"/>
      <c r="AN56" s="11602" t="n"/>
      <c r="AP56" s="658" t="n"/>
      <c r="AQ56" s="658" t="n"/>
      <c r="AR56" s="658" t="n"/>
      <c r="AS56" s="658" t="n"/>
      <c r="AT56" s="658" t="n"/>
      <c r="AU56" s="658" t="n"/>
      <c r="AV56" s="658" t="n"/>
      <c r="AW56" s="658" t="n"/>
      <c r="AX56" s="658" t="n"/>
      <c r="AY56" s="658" t="n"/>
      <c r="AZ56" s="2293" t="n"/>
    </row>
    <row r="57" ht="15.75" customFormat="1" customHeight="1" s="1115">
      <c r="A57" s="2290" t="n"/>
      <c r="B57" s="9988" t="n">
        <v>12</v>
      </c>
      <c r="C57" s="7772" t="inlineStr">
        <is>
          <t>Multiply line 6 by 0.0145 (Medicare tax rate)</t>
        </is>
      </c>
      <c r="D57" s="7772" t="n"/>
      <c r="E57" s="4904" t="n"/>
      <c r="F57" s="6667" t="n"/>
      <c r="G57" s="7772" t="n"/>
      <c r="H57" s="4524" t="n"/>
      <c r="I57" s="4524" t="n"/>
      <c r="J57" s="4524" t="n"/>
      <c r="K57" s="4524" t="n"/>
      <c r="L57" s="4524" t="n"/>
      <c r="M57" s="4524" t="n"/>
      <c r="N57" s="4524" t="n"/>
      <c r="O57" s="4524" t="n"/>
      <c r="P57" s="4524" t="n"/>
      <c r="Q57" s="4524" t="n"/>
      <c r="R57" s="4524" t="n"/>
      <c r="S57" s="4524" t="n"/>
      <c r="T57" s="4524" t="n"/>
      <c r="U57" s="4524" t="n"/>
      <c r="V57" s="4524" t="n"/>
      <c r="W57" s="4524" t="n"/>
      <c r="X57" s="4524" t="n"/>
      <c r="Y57" s="4524" t="n"/>
      <c r="Z57" s="4524" t="n"/>
      <c r="AA57" s="4524" t="n"/>
      <c r="AB57" s="4524" t="n"/>
      <c r="AC57" s="4524" t="n"/>
      <c r="AD57" s="6633" t="n">
        <v>12</v>
      </c>
      <c r="AE57" s="9969">
        <f>IF(AN48,"",ROUND(AE48*MedicareTaxRate,0))</f>
        <v/>
      </c>
      <c r="AF57" s="7637" t="n"/>
      <c r="AG57" s="7637" t="n"/>
      <c r="AH57" s="7637" t="n"/>
      <c r="AI57" s="7637" t="n"/>
      <c r="AJ57" s="7637" t="n"/>
      <c r="AK57" s="2290" t="n"/>
      <c r="AL57" s="11602" t="n"/>
      <c r="AM57" s="11602" t="n"/>
      <c r="AN57" s="11602" t="n"/>
      <c r="AP57" s="658" t="n"/>
      <c r="AQ57" s="658" t="n"/>
      <c r="AR57" s="658" t="n"/>
      <c r="AS57" s="658" t="n"/>
      <c r="AT57" s="658" t="n"/>
      <c r="AU57" s="658" t="n"/>
      <c r="AV57" s="658" t="n"/>
      <c r="AW57" s="658" t="n"/>
      <c r="AX57" s="658" t="n"/>
      <c r="AY57" s="658" t="n"/>
      <c r="AZ57" s="2293" t="n"/>
    </row>
    <row r="58" ht="15.75" customFormat="1" customHeight="1" s="1115">
      <c r="A58" s="2290" t="n"/>
      <c r="B58" s="9988" t="n">
        <v>13</v>
      </c>
      <c r="C58" s="7772" t="inlineStr">
        <is>
          <t xml:space="preserve">Add lines 11 and 12. Enter here. Include as tax on your annual tax return (Schedule 2 (Form 1040), line 6, </t>
        </is>
      </c>
      <c r="D58" s="7772" t="n"/>
      <c r="E58" s="4904" t="n"/>
      <c r="F58" s="6667" t="n"/>
      <c r="G58" s="7772" t="n"/>
      <c r="H58" s="4524" t="n"/>
      <c r="I58" s="4524" t="n"/>
      <c r="J58" s="4524" t="n"/>
      <c r="K58" s="4524" t="n"/>
      <c r="L58" s="4524" t="n"/>
      <c r="M58" s="4524" t="n"/>
      <c r="N58" s="4524" t="n"/>
      <c r="O58" s="4524" t="n"/>
      <c r="P58" s="4524" t="n"/>
      <c r="Q58" s="4524" t="n"/>
      <c r="R58" s="4524" t="n"/>
      <c r="S58" s="4524" t="n"/>
      <c r="T58" s="4524" t="n"/>
      <c r="U58" s="4524" t="n"/>
      <c r="V58" s="4524" t="n"/>
      <c r="W58" s="4524" t="n"/>
      <c r="X58" s="4524" t="n"/>
      <c r="Y58" s="4524" t="n"/>
      <c r="Z58" s="4524" t="n"/>
      <c r="AA58" s="4524" t="n"/>
      <c r="AB58" s="4524" t="n"/>
      <c r="AC58" s="4524" t="n"/>
      <c r="AD58" s="6643" t="n"/>
      <c r="AE58" s="6645" t="n"/>
      <c r="AF58" s="6645" t="n"/>
      <c r="AG58" s="6645" t="n"/>
      <c r="AH58" s="6645" t="n"/>
      <c r="AI58" s="6646" t="n"/>
      <c r="AJ58" s="6646" t="n"/>
      <c r="AK58" s="2290" t="n"/>
      <c r="AL58" s="11602" t="n"/>
      <c r="AM58" s="11602" t="n"/>
      <c r="AN58" s="11602" t="n"/>
      <c r="AP58" s="658" t="n"/>
      <c r="AQ58" s="658" t="n"/>
      <c r="AR58" s="658" t="n"/>
      <c r="AS58" s="658" t="n"/>
      <c r="AT58" s="658" t="n"/>
      <c r="AU58" s="658" t="n"/>
      <c r="AV58" s="658" t="n"/>
      <c r="AW58" s="658" t="n"/>
      <c r="AX58" s="658" t="n"/>
      <c r="AY58" s="658" t="n"/>
      <c r="AZ58" s="2293" t="n"/>
    </row>
    <row r="59" ht="15.75" customFormat="1" customHeight="1" s="1115" thickBot="1">
      <c r="A59" s="2290" t="n"/>
      <c r="B59" s="4817" t="n"/>
      <c r="C59" s="5003" t="inlineStr">
        <is>
          <t xml:space="preserve">or Form 1040-SS, Part I, line 6c). See the instructions there </t>
        </is>
      </c>
      <c r="D59" s="5003" t="n"/>
      <c r="E59" s="6638" t="n"/>
      <c r="F59" s="6678" t="n"/>
      <c r="G59" s="5003" t="n"/>
      <c r="H59" s="6640" t="n"/>
      <c r="I59" s="6640" t="n"/>
      <c r="J59" s="6640" t="n"/>
      <c r="K59" s="6640" t="n"/>
      <c r="L59" s="6640" t="n"/>
      <c r="M59" s="6640" t="n"/>
      <c r="N59" s="6640" t="n"/>
      <c r="O59" s="6640" t="n"/>
      <c r="P59" s="6640" t="n"/>
      <c r="Q59" s="6640" t="n"/>
      <c r="R59" s="6640" t="n"/>
      <c r="S59" s="6640" t="n"/>
      <c r="T59" s="6640" t="n"/>
      <c r="U59" s="6640" t="n"/>
      <c r="V59" s="6640" t="n"/>
      <c r="W59" s="6640" t="n"/>
      <c r="X59" s="6640" t="n"/>
      <c r="Y59" s="6640" t="n"/>
      <c r="Z59" s="6640" t="n"/>
      <c r="AA59" s="6640" t="n"/>
      <c r="AB59" s="6640" t="n"/>
      <c r="AC59" s="6640" t="n"/>
      <c r="AD59" s="6644" t="n">
        <v>13</v>
      </c>
      <c r="AE59" s="9986">
        <f>IF(AM59&lt;&gt;"",ROUND(AM59,0),IF(AN48,"",SUM(AE56,AE57)))</f>
        <v/>
      </c>
      <c r="AF59" s="8848" t="n"/>
      <c r="AG59" s="8848" t="n"/>
      <c r="AH59" s="8848" t="n"/>
      <c r="AI59" s="8848" t="n"/>
      <c r="AJ59" s="8848" t="n"/>
      <c r="AK59" s="2290" t="n"/>
      <c r="AL59" s="11602" t="n"/>
      <c r="AM59" s="6642" t="n"/>
      <c r="AN59" s="11602" t="n"/>
      <c r="AP59" s="658" t="n"/>
      <c r="AQ59" s="658" t="n"/>
      <c r="AR59" s="658" t="n"/>
      <c r="AS59" s="658" t="n"/>
      <c r="AT59" s="658" t="n"/>
      <c r="AU59" s="658" t="n"/>
      <c r="AV59" s="658" t="n"/>
      <c r="AW59" s="658" t="n"/>
      <c r="AX59" s="658" t="n"/>
      <c r="AY59" s="658" t="n"/>
      <c r="AZ59" s="2293" t="n"/>
    </row>
    <row r="60" ht="15.75" customFormat="1" customHeight="1" s="1115">
      <c r="A60" s="2290" t="n"/>
      <c r="B60" s="7372" t="inlineStr">
        <is>
          <t>For Paperwork Reduction Act Notice, see your tax return instructions.</t>
        </is>
      </c>
      <c r="C60" s="7772" t="n"/>
      <c r="D60" s="7772" t="n"/>
      <c r="E60" s="4904" t="n"/>
      <c r="F60" s="6667" t="n"/>
      <c r="G60" s="7772" t="n"/>
      <c r="H60" s="4524" t="n"/>
      <c r="I60" s="4524" t="n"/>
      <c r="J60" s="4524" t="n"/>
      <c r="K60" s="4524" t="n"/>
      <c r="L60" s="4524" t="n"/>
      <c r="M60" s="4524" t="n"/>
      <c r="N60" s="4524" t="n"/>
      <c r="O60" s="4524" t="n"/>
      <c r="P60" s="4524" t="n"/>
      <c r="Q60" s="4524" t="n"/>
      <c r="R60" s="4524" t="n"/>
      <c r="S60" s="4524" t="n"/>
      <c r="T60" s="4524" t="n"/>
      <c r="U60" s="4524" t="n"/>
      <c r="V60" s="1672" t="inlineStr">
        <is>
          <t>Cat. No. 37730B</t>
        </is>
      </c>
      <c r="W60" s="4524" t="n"/>
      <c r="X60" s="4524" t="n"/>
      <c r="Y60" s="4524" t="n"/>
      <c r="Z60" s="4524" t="n"/>
      <c r="AA60" s="4524" t="n"/>
      <c r="AB60" s="4524" t="n"/>
      <c r="AC60" s="4901" t="n"/>
      <c r="AD60" s="6641" t="inlineStr">
        <is>
          <t>Form 8919</t>
        </is>
      </c>
      <c r="AE60" s="9237">
        <f>"("&amp;TaxYear&amp;")"</f>
        <v/>
      </c>
      <c r="AG60" s="4524" t="n"/>
      <c r="AH60" s="4524" t="n"/>
      <c r="AI60" s="4521" t="n"/>
      <c r="AJ60" s="1061" t="inlineStr">
        <is>
          <t>Created 10/22/25</t>
        </is>
      </c>
      <c r="AK60" s="2290" t="n"/>
      <c r="AL60" s="11602" t="n"/>
      <c r="AM60" s="11602" t="n"/>
      <c r="AN60" s="11602" t="n"/>
      <c r="AP60" s="658" t="n"/>
      <c r="AQ60" s="658" t="n"/>
      <c r="AR60" s="658" t="n"/>
      <c r="AS60" s="658" t="n"/>
      <c r="AT60" s="658" t="n"/>
      <c r="AU60" s="658" t="n"/>
      <c r="AV60" s="658" t="n"/>
      <c r="AW60" s="658" t="n"/>
      <c r="AX60" s="658" t="n"/>
      <c r="AY60" s="658" t="n"/>
      <c r="AZ60" s="2293" t="n"/>
    </row>
    <row r="61" ht="24" customFormat="1" customHeight="1" s="815">
      <c r="A61" s="2013" t="n"/>
      <c r="B61" s="9935">
        <f>IF('Table of Contents'!A108="D","DRAFT","")</f>
        <v/>
      </c>
      <c r="D61" s="9936" t="n">
        <v>8919</v>
      </c>
      <c r="H61" s="379" t="n"/>
      <c r="I61" s="12457" t="inlineStr">
        <is>
          <t>Uncollected Social Security and  
Medicare Tax on Wages</t>
        </is>
      </c>
      <c r="AB61" s="1066" t="n"/>
      <c r="AC61" s="9942">
        <f>IF('Table of Contents'!A108="D","DRAFT","OMB No. 1545-0074")</f>
        <v/>
      </c>
      <c r="AD61" s="7637" t="n"/>
      <c r="AE61" s="7637" t="n"/>
      <c r="AF61" s="7637" t="n"/>
      <c r="AG61" s="7637" t="n"/>
      <c r="AH61" s="7637" t="n"/>
      <c r="AI61" s="7637" t="n"/>
      <c r="AJ61" s="7637" t="n"/>
      <c r="AK61" s="2013" t="n"/>
      <c r="AL61" s="11602" t="n"/>
      <c r="AM61" s="11602" t="n"/>
      <c r="AN61" s="11602" t="n"/>
      <c r="AP61" s="658" t="n"/>
      <c r="AQ61" s="658" t="n"/>
      <c r="AR61" s="658" t="n"/>
      <c r="AS61" s="658" t="n"/>
      <c r="AT61" s="658" t="n"/>
      <c r="AU61" s="658" t="n"/>
      <c r="AV61" s="658" t="n"/>
      <c r="AW61" s="658" t="n"/>
      <c r="AX61" s="658" t="n"/>
      <c r="AY61" s="658" t="n"/>
    </row>
    <row r="62" ht="24" customFormat="1" customHeight="1" s="815">
      <c r="A62" s="2013" t="n"/>
      <c r="B62" s="9886" t="inlineStr">
        <is>
          <t>Form</t>
        </is>
      </c>
      <c r="H62" s="379" t="n"/>
      <c r="I62" s="11741" t="n"/>
      <c r="AB62" s="1066" t="n"/>
      <c r="AC62" s="9887">
        <f>TaxYear</f>
        <v/>
      </c>
      <c r="AD62" s="7839" t="n"/>
      <c r="AE62" s="7839" t="n"/>
      <c r="AF62" s="7839" t="n"/>
      <c r="AG62" s="7839" t="n"/>
      <c r="AH62" s="7839" t="n"/>
      <c r="AI62" s="7839" t="n"/>
      <c r="AJ62" s="7839" t="n"/>
      <c r="AK62" s="2013" t="n"/>
      <c r="AL62" s="344" t="inlineStr">
        <is>
          <t>This form is for:</t>
        </is>
      </c>
      <c r="AM62" s="344" t="n"/>
      <c r="AN62" s="11602" t="n"/>
      <c r="AP62" s="658" t="n"/>
      <c r="AQ62" s="658" t="n"/>
      <c r="AR62" s="658" t="n"/>
      <c r="AS62" s="658" t="n"/>
      <c r="AT62" s="658" t="n"/>
      <c r="AU62" s="658" t="n"/>
      <c r="AV62" s="658" t="n"/>
      <c r="AW62" s="658" t="n"/>
      <c r="AX62" s="658" t="n"/>
      <c r="AY62" s="658" t="n"/>
    </row>
    <row r="63" ht="6.75" customFormat="1" customHeight="1" s="815" thickBot="1">
      <c r="A63" s="2013" t="n"/>
      <c r="B63" s="344" t="n"/>
      <c r="C63" s="11602" t="n"/>
      <c r="D63" s="11602" t="n"/>
      <c r="E63" s="11602" t="n"/>
      <c r="F63" s="11602" t="n"/>
      <c r="G63" s="11602" t="n"/>
      <c r="H63" s="379" t="n"/>
      <c r="I63" s="11930" t="inlineStr">
        <is>
          <t>Attach to Form 1040, 1040-SR, 1040-NR, or 1040-SS.</t>
        </is>
      </c>
      <c r="AB63" s="1066" t="n"/>
      <c r="AC63" s="11741" t="n"/>
      <c r="AK63" s="2013" t="n"/>
      <c r="AL63" s="11602" t="n"/>
      <c r="AM63" s="11602" t="n"/>
      <c r="AN63" s="11602" t="n"/>
      <c r="AP63" s="658" t="n"/>
      <c r="AQ63" s="658" t="n"/>
      <c r="AR63" s="658" t="n"/>
      <c r="AS63" s="658" t="n"/>
      <c r="AT63" s="658" t="n"/>
      <c r="AU63" s="658" t="n"/>
      <c r="AV63" s="658" t="n"/>
      <c r="AW63" s="658" t="n"/>
      <c r="AX63" s="658" t="n"/>
      <c r="AY63" s="658" t="n"/>
    </row>
    <row r="64" ht="16.5" customFormat="1" customHeight="1" s="815" thickBot="1">
      <c r="A64" s="2013" t="n"/>
      <c r="B64" s="344" t="inlineStr">
        <is>
          <t>Department of the Treasury</t>
        </is>
      </c>
      <c r="C64" s="11602" t="n"/>
      <c r="D64" s="11602" t="n"/>
      <c r="E64" s="11602" t="n"/>
      <c r="F64" s="11602" t="n"/>
      <c r="G64" s="11602" t="n"/>
      <c r="H64" s="379" t="n"/>
      <c r="I64" s="11741" t="n"/>
      <c r="AB64" s="1066" t="n"/>
      <c r="AC64" s="341" t="n"/>
      <c r="AD64" s="9237" t="inlineStr">
        <is>
          <t xml:space="preserve">   Attachment</t>
        </is>
      </c>
      <c r="AH64" s="9918" t="n">
        <v>61</v>
      </c>
      <c r="AJ64" s="11602" t="n"/>
      <c r="AK64" s="2013" t="n"/>
      <c r="AL64" s="6647" t="n"/>
      <c r="AM64" s="344" t="inlineStr">
        <is>
          <t>You</t>
        </is>
      </c>
      <c r="AN64" s="11602" t="n"/>
      <c r="AP64" s="658" t="n"/>
      <c r="AQ64" s="658" t="n"/>
      <c r="AR64" s="658" t="n"/>
      <c r="AS64" s="658" t="n"/>
      <c r="AT64" s="658" t="n"/>
      <c r="AU64" s="658" t="n"/>
      <c r="AV64" s="658" t="n"/>
      <c r="AW64" s="658" t="n"/>
      <c r="AX64" s="658" t="n"/>
      <c r="AY64" s="658" t="n"/>
    </row>
    <row r="65" ht="15.75" customFormat="1" customHeight="1" s="815" thickBot="1">
      <c r="A65" s="2013" t="n"/>
      <c r="B65" s="498" t="inlineStr">
        <is>
          <t>Internal Revenue Service</t>
        </is>
      </c>
      <c r="C65" s="380" t="n"/>
      <c r="D65" s="380" t="n"/>
      <c r="E65" s="380" t="n"/>
      <c r="F65" s="380" t="n"/>
      <c r="G65" s="380" t="n"/>
      <c r="H65" s="381" t="n"/>
      <c r="I65" s="12458" t="inlineStr">
        <is>
          <t>Go to www.irs.gov/Form8919 for the latest information.</t>
        </is>
      </c>
      <c r="J65" s="8848" t="n"/>
      <c r="K65" s="8848" t="n"/>
      <c r="L65" s="8848" t="n"/>
      <c r="M65" s="8848" t="n"/>
      <c r="N65" s="8848" t="n"/>
      <c r="O65" s="8848" t="n"/>
      <c r="P65" s="8848" t="n"/>
      <c r="Q65" s="8848" t="n"/>
      <c r="R65" s="8848" t="n"/>
      <c r="S65" s="8848" t="n"/>
      <c r="T65" s="8848" t="n"/>
      <c r="U65" s="8848" t="n"/>
      <c r="V65" s="8848" t="n"/>
      <c r="W65" s="8848" t="n"/>
      <c r="X65" s="8848" t="n"/>
      <c r="Y65" s="8848" t="n"/>
      <c r="Z65" s="8848" t="n"/>
      <c r="AA65" s="8848" t="n"/>
      <c r="AB65" s="2627" t="n"/>
      <c r="AC65" s="1197" t="n"/>
      <c r="AD65" s="9921" t="inlineStr">
        <is>
          <t xml:space="preserve">Sequence No.  </t>
        </is>
      </c>
      <c r="AE65" s="8848" t="n"/>
      <c r="AF65" s="8848" t="n"/>
      <c r="AG65" s="8848" t="n"/>
      <c r="AH65" s="8848" t="n"/>
      <c r="AI65" s="8848" t="n"/>
      <c r="AJ65" s="380" t="n"/>
      <c r="AK65" s="2013" t="n"/>
      <c r="AL65" s="6647" t="inlineStr">
        <is>
          <t>X</t>
        </is>
      </c>
      <c r="AM65" s="344" t="inlineStr">
        <is>
          <t>Your spouse</t>
        </is>
      </c>
      <c r="AN65" s="11602" t="n"/>
      <c r="AP65" s="658" t="n"/>
      <c r="AQ65" s="658" t="n"/>
      <c r="AR65" s="658" t="n"/>
      <c r="AS65" s="658" t="n"/>
      <c r="AT65" s="658" t="n"/>
      <c r="AU65" s="658" t="n"/>
      <c r="AV65" s="658" t="n"/>
      <c r="AW65" s="658" t="n"/>
      <c r="AX65" s="658" t="n"/>
      <c r="AY65" s="658" t="n"/>
    </row>
    <row r="66" customFormat="1" s="815">
      <c r="A66" s="2013" t="n"/>
      <c r="B66" s="9924" t="inlineStr">
        <is>
          <t>Name of person who must file this form. If married, complete a separate Form 8919 for each spouse who must file this form.</t>
        </is>
      </c>
      <c r="C66" s="2506" t="n"/>
      <c r="D66" s="2506" t="n"/>
      <c r="E66" s="2506" t="n"/>
      <c r="F66" s="2506" t="n"/>
      <c r="G66" s="2506" t="n"/>
      <c r="H66" s="2506" t="n"/>
      <c r="I66" s="2506" t="n"/>
      <c r="J66" s="2506" t="n"/>
      <c r="K66" s="2506" t="n"/>
      <c r="L66" s="2506" t="n"/>
      <c r="M66" s="2506" t="n"/>
      <c r="N66" s="2506" t="n"/>
      <c r="O66" s="2506" t="n"/>
      <c r="P66" s="2506" t="n"/>
      <c r="Q66" s="2506" t="n"/>
      <c r="R66" s="2506" t="n"/>
      <c r="S66" s="2506" t="n"/>
      <c r="T66" s="2506" t="n"/>
      <c r="U66" s="2506" t="n"/>
      <c r="V66" s="2506" t="n"/>
      <c r="W66" s="2506" t="n"/>
      <c r="X66" s="2506" t="n"/>
      <c r="Y66" s="2506" t="n"/>
      <c r="Z66" s="2506" t="n"/>
      <c r="AA66" s="11716" t="n"/>
      <c r="AB66" s="6623" t="inlineStr">
        <is>
          <t xml:space="preserve"> Social security number</t>
        </is>
      </c>
      <c r="AC66" s="377" t="n"/>
      <c r="AD66" s="6632" t="n"/>
      <c r="AE66" s="2289" t="n"/>
      <c r="AF66" s="2289" t="n"/>
      <c r="AG66" s="2289" t="n"/>
      <c r="AH66" s="2289" t="n"/>
      <c r="AI66" s="2289" t="n"/>
      <c r="AJ66" s="2289" t="n"/>
      <c r="AK66" s="2013" t="n"/>
      <c r="AL66" s="2741">
        <f>IF(AND(AL64="",AL65=""),"Choose one.",IF(AND(AL64&lt;&gt;"",AL65&lt;&gt;""),"Chose ONLY one.",""))</f>
        <v/>
      </c>
      <c r="AM66" s="11602" t="n"/>
      <c r="AN66" s="11602" t="n"/>
      <c r="AP66" s="658" t="n"/>
      <c r="AQ66" s="658" t="n"/>
      <c r="AR66" s="658" t="n"/>
      <c r="AS66" s="658" t="n"/>
      <c r="AT66" s="658" t="n"/>
      <c r="AU66" s="658" t="n"/>
      <c r="AV66" s="658" t="n"/>
      <c r="AW66" s="658" t="n"/>
      <c r="AX66" s="658" t="n"/>
      <c r="AY66" s="658" t="n"/>
    </row>
    <row r="67" ht="18" customFormat="1" customHeight="1" s="815">
      <c r="A67" s="2013" t="n"/>
      <c r="B67" s="9926">
        <f>IF(AND(AL64&lt;&gt;"",AL65&lt;&gt;""),"",IF(AL64&lt;&gt;"",NameYours,IF(AL65&lt;&gt;"",NameSpouse,"")))</f>
        <v/>
      </c>
      <c r="C67" s="7637" t="n"/>
      <c r="D67" s="7637" t="n"/>
      <c r="E67" s="7637" t="n"/>
      <c r="F67" s="7637" t="n"/>
      <c r="G67" s="7637" t="n"/>
      <c r="H67" s="7637" t="n"/>
      <c r="I67" s="7637" t="n"/>
      <c r="J67" s="7637" t="n"/>
      <c r="K67" s="7637" t="n"/>
      <c r="L67" s="7637" t="n"/>
      <c r="M67" s="7637" t="n"/>
      <c r="N67" s="7637" t="n"/>
      <c r="O67" s="7637" t="n"/>
      <c r="P67" s="7637" t="n"/>
      <c r="Q67" s="7637" t="n"/>
      <c r="R67" s="7637" t="n"/>
      <c r="S67" s="7637" t="n"/>
      <c r="T67" s="7637" t="n"/>
      <c r="U67" s="7637" t="n"/>
      <c r="V67" s="7637" t="n"/>
      <c r="W67" s="7637" t="n"/>
      <c r="X67" s="7637" t="n"/>
      <c r="Y67" s="7637" t="n"/>
      <c r="Z67" s="7637" t="n"/>
      <c r="AA67" s="7638" t="n"/>
      <c r="AB67" s="11933">
        <f>IF(AND(AL64&lt;&gt;"",AL65&lt;&gt;""),"",IF(AL64&lt;&gt;"",SS_Yours,IF(AL65&lt;&gt;"",SS_Spouse,"")))</f>
        <v/>
      </c>
      <c r="AC67" s="7637" t="n"/>
      <c r="AD67" s="7637" t="n"/>
      <c r="AE67" s="7637" t="n"/>
      <c r="AF67" s="7637" t="n"/>
      <c r="AG67" s="7637" t="n"/>
      <c r="AH67" s="7637" t="n"/>
      <c r="AI67" s="7637" t="n"/>
      <c r="AJ67" s="7637" t="n"/>
      <c r="AK67" s="2013" t="n"/>
      <c r="AL67" s="11602" t="n"/>
      <c r="AM67" s="11602" t="n"/>
      <c r="AN67" s="11602" t="n"/>
      <c r="AP67" s="658" t="n"/>
      <c r="AQ67" s="658" t="n"/>
      <c r="AR67" s="658" t="n"/>
      <c r="AS67" s="658" t="n"/>
      <c r="AT67" s="658" t="n"/>
      <c r="AU67" s="658" t="n"/>
      <c r="AV67" s="658" t="n"/>
      <c r="AW67" s="658" t="n"/>
      <c r="AX67" s="658" t="n"/>
      <c r="AY67" s="658" t="n"/>
    </row>
    <row r="68" ht="15.75" customFormat="1" customHeight="1" s="1115">
      <c r="A68" s="2290" t="n"/>
      <c r="B68" s="5218" t="inlineStr">
        <is>
          <t>Who must file.</t>
        </is>
      </c>
      <c r="C68" s="2291" t="n"/>
      <c r="D68" s="2291" t="n"/>
      <c r="E68" s="2291" t="n"/>
      <c r="F68" s="7772" t="inlineStr">
        <is>
          <t>You must file Form 8919 if all of the following apply.</t>
        </is>
      </c>
      <c r="G68" s="2291" t="n"/>
      <c r="H68" s="2291" t="n"/>
      <c r="I68" s="2291" t="n"/>
      <c r="J68" s="2291" t="n"/>
      <c r="K68" s="2291" t="n"/>
      <c r="L68" s="2291" t="n"/>
      <c r="M68" s="2291" t="n"/>
      <c r="N68" s="2291" t="n"/>
      <c r="O68" s="2291" t="n"/>
      <c r="P68" s="2291" t="n"/>
      <c r="Q68" s="2291" t="n"/>
      <c r="R68" s="2291" t="n"/>
      <c r="S68" s="2291" t="n"/>
      <c r="T68" s="2291" t="n"/>
      <c r="U68" s="2291" t="n"/>
      <c r="V68" s="2291" t="n"/>
      <c r="W68" s="2291" t="n"/>
      <c r="X68" s="2291" t="n"/>
      <c r="Y68" s="2291" t="n"/>
      <c r="Z68" s="2291" t="n"/>
      <c r="AA68" s="2291" t="n"/>
      <c r="AB68" s="2291" t="n"/>
      <c r="AC68" s="2291" t="n"/>
      <c r="AD68" s="4558" t="n"/>
      <c r="AE68" s="2291" t="n"/>
      <c r="AF68" s="2291" t="n"/>
      <c r="AG68" s="2291" t="n"/>
      <c r="AH68" s="2291" t="n"/>
      <c r="AI68" s="2292" t="n"/>
      <c r="AJ68" s="2292" t="n"/>
      <c r="AK68" s="2290" t="n"/>
      <c r="AL68" s="11602" t="n"/>
      <c r="AM68" s="11602" t="n"/>
      <c r="AN68" s="11602" t="n"/>
      <c r="AP68" s="658" t="n"/>
      <c r="AQ68" s="658" t="n"/>
      <c r="AR68" s="658" t="n"/>
      <c r="AS68" s="658" t="n"/>
      <c r="AT68" s="658" t="n"/>
      <c r="AU68" s="658" t="n"/>
      <c r="AV68" s="658" t="n"/>
      <c r="AW68" s="658" t="n"/>
      <c r="AX68" s="658" t="n"/>
      <c r="AY68" s="658" t="n"/>
      <c r="AZ68" s="2293" t="n"/>
    </row>
    <row r="69" ht="15.75" customFormat="1" customHeight="1" s="1115">
      <c r="A69" s="2290" t="n"/>
      <c r="B69" s="4904" t="n"/>
      <c r="C69" s="4524" t="n"/>
      <c r="D69" s="4524" t="n"/>
      <c r="E69" s="4524" t="n"/>
      <c r="F69" s="6659" t="inlineStr">
        <is>
          <t xml:space="preserve">• </t>
        </is>
      </c>
      <c r="G69" s="7772" t="inlineStr">
        <is>
          <t>You performed services for a firm.</t>
        </is>
      </c>
      <c r="H69" s="4524" t="n"/>
      <c r="I69" s="4524" t="n"/>
      <c r="J69" s="4524" t="n"/>
      <c r="K69" s="4524" t="n"/>
      <c r="L69" s="4524" t="n"/>
      <c r="M69" s="4524" t="n"/>
      <c r="N69" s="4524" t="n"/>
      <c r="O69" s="4524" t="n"/>
      <c r="P69" s="4524" t="n"/>
      <c r="Q69" s="4524" t="n"/>
      <c r="R69" s="4524" t="n"/>
      <c r="S69" s="4524" t="n"/>
      <c r="T69" s="4524" t="n"/>
      <c r="U69" s="4524" t="n"/>
      <c r="V69" s="4524" t="n"/>
      <c r="W69" s="4524" t="n"/>
      <c r="X69" s="4524" t="n"/>
      <c r="Y69" s="4524" t="n"/>
      <c r="Z69" s="4524" t="n"/>
      <c r="AA69" s="4524" t="n"/>
      <c r="AB69" s="4524" t="n"/>
      <c r="AC69" s="4524" t="n"/>
      <c r="AD69" s="2319" t="n"/>
      <c r="AE69" s="4524" t="n"/>
      <c r="AF69" s="4524" t="n"/>
      <c r="AG69" s="4524" t="n"/>
      <c r="AH69" s="4524" t="n"/>
      <c r="AI69" s="4521" t="n"/>
      <c r="AJ69" s="4521" t="n"/>
      <c r="AK69" s="2290" t="n"/>
      <c r="AL69" s="11602" t="n"/>
      <c r="AM69" s="11602" t="n"/>
      <c r="AN69" s="11602" t="n"/>
      <c r="AP69" s="658" t="n"/>
      <c r="AQ69" s="658" t="n"/>
      <c r="AR69" s="658" t="n"/>
      <c r="AS69" s="658" t="n"/>
      <c r="AT69" s="658" t="n"/>
      <c r="AU69" s="658" t="n"/>
      <c r="AV69" s="658" t="n"/>
      <c r="AW69" s="658" t="n"/>
      <c r="AX69" s="658" t="n"/>
      <c r="AY69" s="658" t="n"/>
      <c r="AZ69" s="2293" t="n"/>
    </row>
    <row r="70" ht="15.75" customFormat="1" customHeight="1" s="1115">
      <c r="A70" s="2290" t="n"/>
      <c r="B70" s="4904" t="n"/>
      <c r="C70" s="4524" t="n"/>
      <c r="D70" s="4524" t="n"/>
      <c r="E70" s="4524" t="n"/>
      <c r="F70" s="6659" t="inlineStr">
        <is>
          <t xml:space="preserve">• </t>
        </is>
      </c>
      <c r="G70" s="7772" t="inlineStr">
        <is>
          <t>You believe your pay from the firm wasn’t for services as an independent contractor.</t>
        </is>
      </c>
      <c r="H70" s="4524" t="n"/>
      <c r="I70" s="4524" t="n"/>
      <c r="J70" s="4524" t="n"/>
      <c r="K70" s="4524" t="n"/>
      <c r="L70" s="4524" t="n"/>
      <c r="M70" s="4524" t="n"/>
      <c r="N70" s="4524" t="n"/>
      <c r="O70" s="4524" t="n"/>
      <c r="P70" s="4524" t="n"/>
      <c r="Q70" s="4524" t="n"/>
      <c r="R70" s="4524" t="n"/>
      <c r="S70" s="4524" t="n"/>
      <c r="T70" s="4524" t="n"/>
      <c r="U70" s="4524" t="n"/>
      <c r="V70" s="4524" t="n"/>
      <c r="W70" s="4524" t="n"/>
      <c r="X70" s="4524" t="n"/>
      <c r="Y70" s="4524" t="n"/>
      <c r="Z70" s="4524" t="n"/>
      <c r="AA70" s="4524" t="n"/>
      <c r="AB70" s="4524" t="n"/>
      <c r="AC70" s="4524" t="n"/>
      <c r="AD70" s="2319" t="n"/>
      <c r="AE70" s="4524" t="n"/>
      <c r="AF70" s="4524" t="n"/>
      <c r="AG70" s="4524" t="n"/>
      <c r="AH70" s="4524" t="n"/>
      <c r="AI70" s="4521" t="n"/>
      <c r="AJ70" s="4521" t="n"/>
      <c r="AK70" s="2290" t="n"/>
      <c r="AL70" s="11602" t="n"/>
      <c r="AM70" s="11602" t="n"/>
      <c r="AN70" s="11602" t="n"/>
      <c r="AP70" s="658" t="n"/>
      <c r="AQ70" s="658" t="n"/>
      <c r="AR70" s="658" t="n"/>
      <c r="AS70" s="658" t="n"/>
      <c r="AT70" s="658" t="n"/>
      <c r="AU70" s="658" t="n"/>
      <c r="AV70" s="658" t="n"/>
      <c r="AW70" s="658" t="n"/>
      <c r="AX70" s="658" t="n"/>
      <c r="AY70" s="658" t="n"/>
      <c r="AZ70" s="2293" t="n"/>
    </row>
    <row r="71" ht="15.75" customFormat="1" customHeight="1" s="1115">
      <c r="A71" s="2290" t="n"/>
      <c r="B71" s="4904" t="n"/>
      <c r="C71" s="4524" t="n"/>
      <c r="D71" s="4524" t="n"/>
      <c r="E71" s="4524" t="n"/>
      <c r="F71" s="6659" t="inlineStr">
        <is>
          <t xml:space="preserve">• </t>
        </is>
      </c>
      <c r="G71" s="1405" t="inlineStr">
        <is>
          <t>The firm didn’t withhold your share of social security and Medicare taxes from your pay.</t>
        </is>
      </c>
      <c r="H71" s="4524" t="n"/>
      <c r="I71" s="4524" t="n"/>
      <c r="J71" s="4524" t="n"/>
      <c r="K71" s="4524" t="n"/>
      <c r="L71" s="4524" t="n"/>
      <c r="M71" s="4524" t="n"/>
      <c r="N71" s="4524" t="n"/>
      <c r="O71" s="4524" t="n"/>
      <c r="P71" s="4524" t="n"/>
      <c r="Q71" s="4524" t="n"/>
      <c r="R71" s="4524" t="n"/>
      <c r="S71" s="4524" t="n"/>
      <c r="T71" s="4524" t="n"/>
      <c r="U71" s="4524" t="n"/>
      <c r="V71" s="4524" t="n"/>
      <c r="W71" s="4524" t="n"/>
      <c r="X71" s="4524" t="n"/>
      <c r="Y71" s="4524" t="n"/>
      <c r="Z71" s="4524" t="n"/>
      <c r="AA71" s="4524" t="n"/>
      <c r="AB71" s="4524" t="n"/>
      <c r="AC71" s="4524" t="n"/>
      <c r="AD71" s="2319" t="n"/>
      <c r="AE71" s="4524" t="n"/>
      <c r="AF71" s="4524" t="n"/>
      <c r="AG71" s="4524" t="n"/>
      <c r="AH71" s="4524" t="n"/>
      <c r="AI71" s="4521" t="n"/>
      <c r="AJ71" s="4521" t="n"/>
      <c r="AK71" s="2290" t="n"/>
      <c r="AL71" s="11602" t="n"/>
      <c r="AM71" s="11602" t="n"/>
      <c r="AN71" s="11602" t="n"/>
      <c r="AP71" s="658" t="n"/>
      <c r="AQ71" s="658" t="n"/>
      <c r="AR71" s="658" t="n"/>
      <c r="AS71" s="658" t="n"/>
      <c r="AT71" s="658" t="n"/>
      <c r="AU71" s="658" t="n"/>
      <c r="AV71" s="658" t="n"/>
      <c r="AW71" s="658" t="n"/>
      <c r="AX71" s="658" t="n"/>
      <c r="AY71" s="658" t="n"/>
      <c r="AZ71" s="2293" t="n"/>
    </row>
    <row r="72" ht="15.75" customFormat="1" customHeight="1" s="1115">
      <c r="A72" s="2290" t="n"/>
      <c r="B72" s="2296" t="n"/>
      <c r="C72" s="2294" t="n"/>
      <c r="D72" s="2295" t="n"/>
      <c r="E72" s="2296" t="n"/>
      <c r="F72" s="6660" t="inlineStr">
        <is>
          <t xml:space="preserve">• </t>
        </is>
      </c>
      <c r="G72" s="1998" t="inlineStr">
        <is>
          <t>One of the reasons listed below under Reason codes applies to you</t>
        </is>
      </c>
      <c r="H72" s="2294" t="n"/>
      <c r="I72" s="2294" t="n"/>
      <c r="J72" s="2294" t="n"/>
      <c r="K72" s="2294" t="n"/>
      <c r="L72" s="2294" t="n"/>
      <c r="M72" s="2294" t="n"/>
      <c r="N72" s="2294" t="n"/>
      <c r="O72" s="2294" t="n"/>
      <c r="P72" s="2294" t="n"/>
      <c r="Q72" s="2294" t="n"/>
      <c r="R72" s="2294" t="n"/>
      <c r="S72" s="2294" t="n"/>
      <c r="T72" s="2294" t="n"/>
      <c r="U72" s="2294" t="n"/>
      <c r="V72" s="2294" t="n"/>
      <c r="W72" s="2294" t="n"/>
      <c r="X72" s="2294" t="n"/>
      <c r="Y72" s="2294" t="n"/>
      <c r="Z72" s="2294" t="n"/>
      <c r="AA72" s="2294" t="n"/>
      <c r="AB72" s="2294" t="n"/>
      <c r="AC72" s="2294" t="n"/>
      <c r="AD72" s="4559" t="n"/>
      <c r="AE72" s="2294" t="n"/>
      <c r="AF72" s="2294" t="n"/>
      <c r="AG72" s="2294" t="n"/>
      <c r="AH72" s="2294" t="n"/>
      <c r="AI72" s="2297" t="n"/>
      <c r="AJ72" s="2297" t="n"/>
      <c r="AK72" s="2290" t="n"/>
      <c r="AL72" s="11602" t="n"/>
      <c r="AM72" s="11602" t="n"/>
      <c r="AN72" s="11602" t="n"/>
      <c r="AP72" s="658" t="n"/>
      <c r="AQ72" s="658" t="n"/>
      <c r="AR72" s="658" t="n"/>
      <c r="AS72" s="658" t="n"/>
      <c r="AT72" s="658" t="n"/>
      <c r="AU72" s="658" t="n"/>
      <c r="AV72" s="658" t="n"/>
      <c r="AW72" s="658" t="n"/>
      <c r="AX72" s="658" t="n"/>
      <c r="AY72" s="658" t="n"/>
      <c r="AZ72" s="2293" t="n"/>
    </row>
    <row r="73" ht="15.75" customFormat="1" customHeight="1" s="1115">
      <c r="A73" s="2290" t="n"/>
      <c r="B73" s="514" t="inlineStr">
        <is>
          <t>Reason codes.</t>
        </is>
      </c>
      <c r="C73" s="2291" t="n"/>
      <c r="D73" s="2291" t="n"/>
      <c r="E73" s="2291" t="n"/>
      <c r="F73" s="7772" t="inlineStr">
        <is>
          <t xml:space="preserve">For each firm listed below, enter in column (c) the applicable reason code for filing this form. If none of the reason </t>
        </is>
      </c>
      <c r="G73" s="2291" t="n"/>
      <c r="H73" s="2291" t="n"/>
      <c r="I73" s="2291" t="n"/>
      <c r="J73" s="2291" t="n"/>
      <c r="K73" s="2291" t="n"/>
      <c r="L73" s="2291" t="n"/>
      <c r="M73" s="2291" t="n"/>
      <c r="N73" s="2291" t="n"/>
      <c r="O73" s="2291" t="n"/>
      <c r="P73" s="2291" t="n"/>
      <c r="Q73" s="2291" t="n"/>
      <c r="R73" s="2291" t="n"/>
      <c r="S73" s="2291" t="n"/>
      <c r="T73" s="2291" t="n"/>
      <c r="U73" s="2291" t="n"/>
      <c r="V73" s="2291" t="n"/>
      <c r="W73" s="2291" t="n"/>
      <c r="X73" s="2291" t="n"/>
      <c r="Y73" s="2291" t="n"/>
      <c r="Z73" s="2291" t="n"/>
      <c r="AA73" s="2291" t="n"/>
      <c r="AB73" s="2291" t="n"/>
      <c r="AC73" s="2291" t="n"/>
      <c r="AD73" s="4558" t="n"/>
      <c r="AE73" s="2291" t="n"/>
      <c r="AF73" s="2291" t="n"/>
      <c r="AG73" s="2291" t="n"/>
      <c r="AH73" s="2291" t="n"/>
      <c r="AI73" s="2292" t="n"/>
      <c r="AJ73" s="2292" t="n"/>
      <c r="AK73" s="2290" t="n"/>
      <c r="AL73" s="11602" t="n"/>
      <c r="AM73" s="11602" t="n"/>
      <c r="AN73" s="11602" t="n"/>
      <c r="AP73" s="658" t="n"/>
      <c r="AQ73" s="658" t="n"/>
      <c r="AR73" s="658" t="n"/>
      <c r="AS73" s="658" t="n"/>
      <c r="AT73" s="658" t="n"/>
      <c r="AU73" s="658" t="n"/>
      <c r="AV73" s="658" t="n"/>
      <c r="AW73" s="658" t="n"/>
      <c r="AX73" s="658" t="n"/>
      <c r="AY73" s="658" t="n"/>
      <c r="AZ73" s="2293" t="n"/>
    </row>
    <row r="74" ht="15.75" customFormat="1" customHeight="1" s="1115">
      <c r="A74" s="2290" t="n"/>
      <c r="B74" s="4904" t="n"/>
      <c r="C74" s="4524" t="n"/>
      <c r="D74" s="4524" t="n"/>
      <c r="E74" s="4524" t="n"/>
      <c r="F74" s="7772" t="inlineStr">
        <is>
          <t>codes apply to you, but you believe you should have been treated as an employee, enter reason code G and file</t>
        </is>
      </c>
      <c r="G74" s="7772" t="n"/>
      <c r="H74" s="4524" t="n"/>
      <c r="I74" s="4524" t="n"/>
      <c r="J74" s="4524" t="n"/>
      <c r="K74" s="4524" t="n"/>
      <c r="L74" s="4524" t="n"/>
      <c r="M74" s="4524" t="n"/>
      <c r="N74" s="4524" t="n"/>
      <c r="O74" s="4524" t="n"/>
      <c r="P74" s="4524" t="n"/>
      <c r="Q74" s="4524" t="n"/>
      <c r="R74" s="4524" t="n"/>
      <c r="S74" s="4524" t="n"/>
      <c r="T74" s="4524" t="n"/>
      <c r="U74" s="4524" t="n"/>
      <c r="V74" s="4524" t="n"/>
      <c r="W74" s="4524" t="n"/>
      <c r="X74" s="4524" t="n"/>
      <c r="Y74" s="4524" t="n"/>
      <c r="Z74" s="4524" t="n"/>
      <c r="AA74" s="4524" t="n"/>
      <c r="AB74" s="4524" t="n"/>
      <c r="AC74" s="4524" t="n"/>
      <c r="AD74" s="2319" t="n"/>
      <c r="AE74" s="4524" t="n"/>
      <c r="AF74" s="4524" t="n"/>
      <c r="AG74" s="4524" t="n"/>
      <c r="AH74" s="4524" t="n"/>
      <c r="AI74" s="4521" t="n"/>
      <c r="AJ74" s="4521" t="n"/>
      <c r="AK74" s="2290" t="n"/>
      <c r="AL74" s="11602" t="n"/>
      <c r="AM74" s="11602" t="n"/>
      <c r="AN74" s="11602" t="n"/>
      <c r="AP74" s="658" t="n"/>
      <c r="AQ74" s="658" t="n"/>
      <c r="AR74" s="658" t="n"/>
      <c r="AS74" s="658" t="n"/>
      <c r="AT74" s="658" t="n"/>
      <c r="AU74" s="658" t="n"/>
      <c r="AV74" s="658" t="n"/>
      <c r="AW74" s="658" t="n"/>
      <c r="AX74" s="658" t="n"/>
      <c r="AY74" s="658" t="n"/>
      <c r="AZ74" s="2293" t="n"/>
    </row>
    <row r="75" ht="15.75" customFormat="1" customHeight="1" s="1115">
      <c r="A75" s="2290" t="n"/>
      <c r="B75" s="4904" t="n"/>
      <c r="C75" s="4524" t="n"/>
      <c r="D75" s="4524" t="n"/>
      <c r="E75" s="4524" t="n"/>
      <c r="F75" s="514" t="inlineStr">
        <is>
          <t>Form SS-8 on or before the date you file your tax return.</t>
        </is>
      </c>
      <c r="G75" s="7772" t="n"/>
      <c r="H75" s="4524" t="n"/>
      <c r="I75" s="4524" t="n"/>
      <c r="J75" s="4524" t="n"/>
      <c r="K75" s="4524" t="n"/>
      <c r="L75" s="4524" t="n"/>
      <c r="M75" s="4524" t="n"/>
      <c r="N75" s="4524" t="n"/>
      <c r="O75" s="4524" t="n"/>
      <c r="P75" s="4524" t="n"/>
      <c r="Q75" s="4524" t="n"/>
      <c r="R75" s="4524" t="n"/>
      <c r="S75" s="4524" t="n"/>
      <c r="T75" s="4524" t="n"/>
      <c r="U75" s="4524" t="n"/>
      <c r="V75" s="4524" t="n"/>
      <c r="W75" s="4524" t="n"/>
      <c r="X75" s="4524" t="n"/>
      <c r="Y75" s="4524" t="n"/>
      <c r="Z75" s="4524" t="n"/>
      <c r="AA75" s="4524" t="n"/>
      <c r="AB75" s="4524" t="n"/>
      <c r="AC75" s="4524" t="n"/>
      <c r="AD75" s="2319" t="n"/>
      <c r="AE75" s="4524" t="n"/>
      <c r="AF75" s="4524" t="n"/>
      <c r="AG75" s="4524" t="n"/>
      <c r="AH75" s="4524" t="n"/>
      <c r="AI75" s="4521" t="n"/>
      <c r="AJ75" s="4521" t="n"/>
      <c r="AK75" s="2290" t="n"/>
      <c r="AL75" s="11602" t="n"/>
      <c r="AM75" s="11602" t="n"/>
      <c r="AN75" s="11602" t="n"/>
      <c r="AP75" s="658" t="n"/>
      <c r="AQ75" s="658" t="n"/>
      <c r="AR75" s="658" t="n"/>
      <c r="AS75" s="658" t="n"/>
      <c r="AT75" s="658" t="n"/>
      <c r="AU75" s="658" t="n"/>
      <c r="AV75" s="658" t="n"/>
      <c r="AW75" s="658" t="n"/>
      <c r="AX75" s="658" t="n"/>
      <c r="AY75" s="658" t="n"/>
      <c r="AZ75" s="2293" t="n"/>
    </row>
    <row r="76" ht="15.75" customFormat="1" customHeight="1" s="1115">
      <c r="A76" s="2290" t="n"/>
      <c r="B76" s="4904" t="n"/>
      <c r="C76" s="4524" t="n"/>
      <c r="D76" s="4524" t="n"/>
      <c r="E76" s="4524" t="n"/>
      <c r="F76" s="514" t="n"/>
      <c r="G76" s="7772" t="n"/>
      <c r="H76" s="4524" t="n"/>
      <c r="I76" s="4524" t="n"/>
      <c r="J76" s="4524" t="n"/>
      <c r="K76" s="4524" t="n"/>
      <c r="L76" s="4524" t="n"/>
      <c r="M76" s="4524" t="n"/>
      <c r="N76" s="4524" t="n"/>
      <c r="O76" s="4524" t="n"/>
      <c r="P76" s="4524" t="n"/>
      <c r="Q76" s="4524" t="n"/>
      <c r="R76" s="4524" t="n"/>
      <c r="S76" s="4524" t="n"/>
      <c r="T76" s="4524" t="n"/>
      <c r="U76" s="4524" t="n"/>
      <c r="V76" s="4524" t="n"/>
      <c r="W76" s="4524" t="n"/>
      <c r="X76" s="4524" t="n"/>
      <c r="Y76" s="4524" t="n"/>
      <c r="Z76" s="4524" t="n"/>
      <c r="AA76" s="4524" t="n"/>
      <c r="AB76" s="4524" t="n"/>
      <c r="AC76" s="4524" t="n"/>
      <c r="AD76" s="2319" t="n"/>
      <c r="AE76" s="4524" t="n"/>
      <c r="AF76" s="4524" t="n"/>
      <c r="AG76" s="4524" t="n"/>
      <c r="AH76" s="4524" t="n"/>
      <c r="AI76" s="4521" t="n"/>
      <c r="AJ76" s="4521" t="n"/>
      <c r="AK76" s="2290" t="n"/>
      <c r="AL76" s="11602" t="n"/>
      <c r="AM76" s="11602" t="n"/>
      <c r="AN76" s="11602" t="n"/>
      <c r="AP76" s="658" t="n"/>
      <c r="AQ76" s="658" t="n"/>
      <c r="AR76" s="658" t="n"/>
      <c r="AS76" s="658" t="n"/>
      <c r="AT76" s="658" t="n"/>
      <c r="AU76" s="658" t="n"/>
      <c r="AV76" s="658" t="n"/>
      <c r="AW76" s="658" t="n"/>
      <c r="AX76" s="658" t="n"/>
      <c r="AY76" s="658" t="n"/>
      <c r="AZ76" s="2293" t="n"/>
    </row>
    <row r="77" ht="15.75" customFormat="1" customHeight="1" s="1115">
      <c r="A77" s="2290" t="n"/>
      <c r="B77" s="4904" t="n"/>
      <c r="C77" s="4524" t="n"/>
      <c r="D77" s="6625" t="n"/>
      <c r="E77" s="6661" t="inlineStr">
        <is>
          <t>A</t>
        </is>
      </c>
      <c r="F77" s="1405" t="inlineStr">
        <is>
          <t>I filed Form SS-8 and received a determination letter stating that I am an employee of this firm.</t>
        </is>
      </c>
      <c r="G77" s="7772" t="n"/>
      <c r="H77" s="4524" t="n"/>
      <c r="I77" s="4524" t="n"/>
      <c r="J77" s="4524" t="n"/>
      <c r="K77" s="4524" t="n"/>
      <c r="L77" s="4524" t="n"/>
      <c r="M77" s="4524" t="n"/>
      <c r="N77" s="4524" t="n"/>
      <c r="O77" s="4524" t="n"/>
      <c r="P77" s="4524" t="n"/>
      <c r="Q77" s="4524" t="n"/>
      <c r="R77" s="4524" t="n"/>
      <c r="S77" s="4524" t="n"/>
      <c r="T77" s="4524" t="n"/>
      <c r="U77" s="4524" t="n"/>
      <c r="V77" s="4524" t="n"/>
      <c r="W77" s="4524" t="n"/>
      <c r="X77" s="4524" t="n"/>
      <c r="Y77" s="4524" t="n"/>
      <c r="Z77" s="4524" t="n"/>
      <c r="AA77" s="4524" t="n"/>
      <c r="AB77" s="4524" t="n"/>
      <c r="AC77" s="4524" t="n"/>
      <c r="AD77" s="2319" t="n"/>
      <c r="AE77" s="4524" t="n"/>
      <c r="AF77" s="4524" t="n"/>
      <c r="AG77" s="4524" t="n"/>
      <c r="AH77" s="4524" t="n"/>
      <c r="AI77" s="4521" t="n"/>
      <c r="AJ77" s="4521" t="n"/>
      <c r="AK77" s="2290" t="n"/>
      <c r="AL77" s="11602" t="n"/>
      <c r="AM77" s="11602" t="n"/>
      <c r="AN77" s="11602" t="n"/>
      <c r="AP77" s="658" t="n"/>
      <c r="AQ77" s="658" t="n"/>
      <c r="AR77" s="658" t="n"/>
      <c r="AS77" s="658" t="n"/>
      <c r="AT77" s="658" t="n"/>
      <c r="AU77" s="658" t="n"/>
      <c r="AV77" s="658" t="n"/>
      <c r="AW77" s="658" t="n"/>
      <c r="AX77" s="658" t="n"/>
      <c r="AY77" s="658" t="n"/>
      <c r="AZ77" s="2293" t="n"/>
    </row>
    <row r="78" ht="15.75" customFormat="1" customHeight="1" s="1115">
      <c r="A78" s="2290" t="n"/>
      <c r="B78" s="4904" t="n"/>
      <c r="C78" s="4524" t="n"/>
      <c r="D78" s="6662" t="n"/>
      <c r="E78" s="6663" t="n"/>
      <c r="F78" s="514" t="n"/>
      <c r="G78" s="7772" t="n"/>
      <c r="H78" s="4524" t="n"/>
      <c r="I78" s="4524" t="n"/>
      <c r="J78" s="4524" t="n"/>
      <c r="K78" s="4524" t="n"/>
      <c r="L78" s="4524" t="n"/>
      <c r="M78" s="4524" t="n"/>
      <c r="N78" s="4524" t="n"/>
      <c r="O78" s="4524" t="n"/>
      <c r="P78" s="4524" t="n"/>
      <c r="Q78" s="4524" t="n"/>
      <c r="R78" s="4524" t="n"/>
      <c r="S78" s="4524" t="n"/>
      <c r="T78" s="4524" t="n"/>
      <c r="U78" s="4524" t="n"/>
      <c r="V78" s="4524" t="n"/>
      <c r="W78" s="4524" t="n"/>
      <c r="X78" s="4524" t="n"/>
      <c r="Y78" s="4524" t="n"/>
      <c r="Z78" s="4524" t="n"/>
      <c r="AA78" s="4524" t="n"/>
      <c r="AB78" s="4524" t="n"/>
      <c r="AC78" s="4524" t="n"/>
      <c r="AD78" s="2319" t="n"/>
      <c r="AE78" s="4524" t="n"/>
      <c r="AF78" s="4524" t="n"/>
      <c r="AG78" s="4524" t="n"/>
      <c r="AH78" s="4524" t="n"/>
      <c r="AI78" s="4521" t="n"/>
      <c r="AJ78" s="4521" t="n"/>
      <c r="AK78" s="2290" t="n"/>
      <c r="AL78" s="11602" t="n"/>
      <c r="AM78" s="11602" t="n"/>
      <c r="AN78" s="11602" t="n"/>
      <c r="AP78" s="658" t="n"/>
      <c r="AQ78" s="658" t="n"/>
      <c r="AR78" s="658" t="n"/>
      <c r="AS78" s="658" t="n"/>
      <c r="AT78" s="658" t="n"/>
      <c r="AU78" s="658" t="n"/>
      <c r="AV78" s="658" t="n"/>
      <c r="AW78" s="658" t="n"/>
      <c r="AX78" s="658" t="n"/>
      <c r="AY78" s="658" t="n"/>
      <c r="AZ78" s="2293" t="n"/>
    </row>
    <row r="79" ht="15.75" customFormat="1" customHeight="1" s="1115">
      <c r="A79" s="2290" t="n"/>
      <c r="B79" s="4904" t="n"/>
      <c r="C79" s="4524" t="n"/>
      <c r="D79" s="6625" t="n"/>
      <c r="E79" s="6661" t="inlineStr">
        <is>
          <t>C</t>
        </is>
      </c>
      <c r="F79" s="1405" t="inlineStr">
        <is>
          <t>I received other correspondence from the IRS stating that I am an employee.</t>
        </is>
      </c>
      <c r="G79" s="7772" t="n"/>
      <c r="H79" s="4524" t="n"/>
      <c r="I79" s="4524" t="n"/>
      <c r="J79" s="4524" t="n"/>
      <c r="K79" s="4524" t="n"/>
      <c r="L79" s="4524" t="n"/>
      <c r="M79" s="4524" t="n"/>
      <c r="N79" s="4524" t="n"/>
      <c r="O79" s="4524" t="n"/>
      <c r="P79" s="4524" t="n"/>
      <c r="Q79" s="4524" t="n"/>
      <c r="R79" s="4524" t="n"/>
      <c r="S79" s="4524" t="n"/>
      <c r="T79" s="4524" t="n"/>
      <c r="U79" s="4524" t="n"/>
      <c r="V79" s="4524" t="n"/>
      <c r="W79" s="4524" t="n"/>
      <c r="X79" s="4524" t="n"/>
      <c r="Y79" s="4524" t="n"/>
      <c r="Z79" s="4524" t="n"/>
      <c r="AA79" s="4524" t="n"/>
      <c r="AB79" s="4524" t="n"/>
      <c r="AC79" s="4524" t="n"/>
      <c r="AD79" s="2319" t="n"/>
      <c r="AE79" s="4524" t="n"/>
      <c r="AF79" s="4524" t="n"/>
      <c r="AG79" s="4524" t="n"/>
      <c r="AH79" s="4524" t="n"/>
      <c r="AI79" s="4521" t="n"/>
      <c r="AJ79" s="4521" t="n"/>
      <c r="AK79" s="2290" t="n"/>
      <c r="AL79" s="11602" t="n"/>
      <c r="AM79" s="11602" t="n"/>
      <c r="AN79" s="11602" t="n"/>
      <c r="AP79" s="658" t="n"/>
      <c r="AQ79" s="658" t="n"/>
      <c r="AR79" s="658" t="n"/>
      <c r="AS79" s="658" t="n"/>
      <c r="AT79" s="658" t="n"/>
      <c r="AU79" s="658" t="n"/>
      <c r="AV79" s="658" t="n"/>
      <c r="AW79" s="658" t="n"/>
      <c r="AX79" s="658" t="n"/>
      <c r="AY79" s="658" t="n"/>
      <c r="AZ79" s="2293" t="n"/>
    </row>
    <row r="80" ht="15.75" customFormat="1" customHeight="1" s="1115">
      <c r="A80" s="2290" t="n"/>
      <c r="B80" s="4904" t="n"/>
      <c r="C80" s="4524" t="n"/>
      <c r="D80" s="6662" t="n"/>
      <c r="E80" s="6663" t="n"/>
      <c r="F80" s="514" t="n"/>
      <c r="G80" s="7772" t="n"/>
      <c r="H80" s="4524" t="n"/>
      <c r="I80" s="4524" t="n"/>
      <c r="J80" s="4524" t="n"/>
      <c r="K80" s="4524" t="n"/>
      <c r="L80" s="4524" t="n"/>
      <c r="M80" s="4524" t="n"/>
      <c r="N80" s="4524" t="n"/>
      <c r="O80" s="4524" t="n"/>
      <c r="P80" s="4524" t="n"/>
      <c r="Q80" s="4524" t="n"/>
      <c r="R80" s="4524" t="n"/>
      <c r="S80" s="4524" t="n"/>
      <c r="T80" s="4524" t="n"/>
      <c r="U80" s="4524" t="n"/>
      <c r="V80" s="4524" t="n"/>
      <c r="W80" s="4524" t="n"/>
      <c r="X80" s="4524" t="n"/>
      <c r="Y80" s="4524" t="n"/>
      <c r="Z80" s="4524" t="n"/>
      <c r="AA80" s="4524" t="n"/>
      <c r="AB80" s="4524" t="n"/>
      <c r="AC80" s="4524" t="n"/>
      <c r="AD80" s="2319" t="n"/>
      <c r="AE80" s="4524" t="n"/>
      <c r="AF80" s="4524" t="n"/>
      <c r="AG80" s="4524" t="n"/>
      <c r="AH80" s="4524" t="n"/>
      <c r="AI80" s="4521" t="n"/>
      <c r="AJ80" s="4521" t="n"/>
      <c r="AK80" s="2290" t="n"/>
      <c r="AL80" s="11602" t="n"/>
      <c r="AM80" s="11602" t="n"/>
      <c r="AN80" s="11602" t="n"/>
      <c r="AP80" s="658" t="n"/>
      <c r="AQ80" s="658" t="n"/>
      <c r="AR80" s="658" t="n"/>
      <c r="AS80" s="658" t="n"/>
      <c r="AT80" s="658" t="n"/>
      <c r="AU80" s="658" t="n"/>
      <c r="AV80" s="658" t="n"/>
      <c r="AW80" s="658" t="n"/>
      <c r="AX80" s="658" t="n"/>
      <c r="AY80" s="658" t="n"/>
      <c r="AZ80" s="2293" t="n"/>
    </row>
    <row r="81" ht="15.75" customFormat="1" customHeight="1" s="1115">
      <c r="A81" s="2290" t="n"/>
      <c r="B81" s="4904" t="n"/>
      <c r="C81" s="4524" t="n"/>
      <c r="D81" s="6625" t="n"/>
      <c r="E81" s="6661" t="inlineStr">
        <is>
          <t>G</t>
        </is>
      </c>
      <c r="F81" s="1405" t="inlineStr">
        <is>
          <t>I filed Form SS-8 with the IRS and haven’t received a reply.</t>
        </is>
      </c>
      <c r="G81" s="7772" t="n"/>
      <c r="H81" s="4524" t="n"/>
      <c r="I81" s="4524" t="n"/>
      <c r="J81" s="4524" t="n"/>
      <c r="K81" s="4524" t="n"/>
      <c r="L81" s="4524" t="n"/>
      <c r="M81" s="4524" t="n"/>
      <c r="N81" s="4524" t="n"/>
      <c r="O81" s="4524" t="n"/>
      <c r="P81" s="4524" t="n"/>
      <c r="Q81" s="4524" t="n"/>
      <c r="R81" s="4524" t="n"/>
      <c r="S81" s="4524" t="n"/>
      <c r="T81" s="4524" t="n"/>
      <c r="U81" s="4524" t="n"/>
      <c r="V81" s="4524" t="n"/>
      <c r="W81" s="4524" t="n"/>
      <c r="X81" s="4524" t="n"/>
      <c r="Y81" s="4524" t="n"/>
      <c r="Z81" s="4524" t="n"/>
      <c r="AA81" s="4524" t="n"/>
      <c r="AB81" s="4524" t="n"/>
      <c r="AC81" s="4524" t="n"/>
      <c r="AD81" s="2319" t="n"/>
      <c r="AE81" s="4524" t="n"/>
      <c r="AF81" s="4524" t="n"/>
      <c r="AG81" s="4524" t="n"/>
      <c r="AH81" s="4524" t="n"/>
      <c r="AI81" s="4521" t="n"/>
      <c r="AJ81" s="4521" t="n"/>
      <c r="AK81" s="2290" t="n"/>
      <c r="AL81" s="11602" t="n"/>
      <c r="AM81" s="11602" t="n"/>
      <c r="AN81" s="11602" t="n"/>
      <c r="AP81" s="658" t="n"/>
      <c r="AQ81" s="658" t="n"/>
      <c r="AR81" s="658" t="n"/>
      <c r="AS81" s="658" t="n"/>
      <c r="AT81" s="658" t="n"/>
      <c r="AU81" s="658" t="n"/>
      <c r="AV81" s="658" t="n"/>
      <c r="AW81" s="658" t="n"/>
      <c r="AX81" s="658" t="n"/>
      <c r="AY81" s="658" t="n"/>
      <c r="AZ81" s="2293" t="n"/>
    </row>
    <row r="82" ht="15.75" customFormat="1" customHeight="1" s="1115">
      <c r="A82" s="2290" t="n"/>
      <c r="B82" s="4904" t="n"/>
      <c r="C82" s="4524" t="n"/>
      <c r="D82" s="6662" t="n"/>
      <c r="E82" s="6663" t="n"/>
      <c r="F82" s="514" t="n"/>
      <c r="G82" s="7772" t="n"/>
      <c r="H82" s="4524" t="n"/>
      <c r="I82" s="4524" t="n"/>
      <c r="J82" s="4524" t="n"/>
      <c r="K82" s="4524" t="n"/>
      <c r="L82" s="4524" t="n"/>
      <c r="M82" s="4524" t="n"/>
      <c r="N82" s="4524" t="n"/>
      <c r="O82" s="4524" t="n"/>
      <c r="P82" s="4524" t="n"/>
      <c r="Q82" s="4524" t="n"/>
      <c r="R82" s="4524" t="n"/>
      <c r="S82" s="4524" t="n"/>
      <c r="T82" s="4524" t="n"/>
      <c r="U82" s="4524" t="n"/>
      <c r="V82" s="4524" t="n"/>
      <c r="W82" s="4524" t="n"/>
      <c r="X82" s="4524" t="n"/>
      <c r="Y82" s="4524" t="n"/>
      <c r="Z82" s="4524" t="n"/>
      <c r="AA82" s="4524" t="n"/>
      <c r="AB82" s="4524" t="n"/>
      <c r="AC82" s="4524" t="n"/>
      <c r="AD82" s="2319" t="n"/>
      <c r="AE82" s="4524" t="n"/>
      <c r="AF82" s="4524" t="n"/>
      <c r="AG82" s="4524" t="n"/>
      <c r="AH82" s="4524" t="n"/>
      <c r="AI82" s="4521" t="n"/>
      <c r="AJ82" s="4521" t="n"/>
      <c r="AK82" s="2290" t="n"/>
      <c r="AL82" s="11602" t="n"/>
      <c r="AM82" s="11602" t="n"/>
      <c r="AN82" s="11602" t="n"/>
      <c r="AP82" s="658" t="n"/>
      <c r="AQ82" s="658" t="n"/>
      <c r="AR82" s="658" t="n"/>
      <c r="AS82" s="658" t="n"/>
      <c r="AT82" s="658" t="n"/>
      <c r="AU82" s="658" t="n"/>
      <c r="AV82" s="658" t="n"/>
      <c r="AW82" s="658" t="n"/>
      <c r="AX82" s="658" t="n"/>
      <c r="AY82" s="658" t="n"/>
      <c r="AZ82" s="2293" t="n"/>
    </row>
    <row r="83" ht="15.75" customFormat="1" customHeight="1" s="1115">
      <c r="A83" s="2290" t="n"/>
      <c r="B83" s="4904" t="n"/>
      <c r="C83" s="4524" t="n"/>
      <c r="D83" s="6625" t="n"/>
      <c r="E83" s="6661" t="inlineStr">
        <is>
          <t>H</t>
        </is>
      </c>
      <c r="F83" s="7772" t="inlineStr">
        <is>
          <t xml:space="preserve">I received a Form W-2 and a Form 1099-MISC and/or 1099-NEC from this firm for 2025. The amount on Form </t>
        </is>
      </c>
      <c r="G83" s="7772" t="n"/>
      <c r="H83" s="4524" t="n"/>
      <c r="I83" s="4524" t="n"/>
      <c r="J83" s="4524" t="n"/>
      <c r="K83" s="4524" t="n"/>
      <c r="L83" s="4524" t="n"/>
      <c r="M83" s="4524" t="n"/>
      <c r="N83" s="4524" t="n"/>
      <c r="O83" s="4524" t="n"/>
      <c r="P83" s="4524" t="n"/>
      <c r="Q83" s="4524" t="n"/>
      <c r="R83" s="4524" t="n"/>
      <c r="S83" s="4524" t="n"/>
      <c r="T83" s="4524" t="n"/>
      <c r="U83" s="4524" t="n"/>
      <c r="V83" s="4524" t="n"/>
      <c r="W83" s="4524" t="n"/>
      <c r="X83" s="4524" t="n"/>
      <c r="Y83" s="4524" t="n"/>
      <c r="Z83" s="4524" t="n"/>
      <c r="AA83" s="4524" t="n"/>
      <c r="AB83" s="4524" t="n"/>
      <c r="AC83" s="4524" t="n"/>
      <c r="AD83" s="2319" t="n"/>
      <c r="AE83" s="4524" t="n"/>
      <c r="AF83" s="4524" t="n"/>
      <c r="AG83" s="4524" t="n"/>
      <c r="AH83" s="4524" t="n"/>
      <c r="AI83" s="4521" t="n"/>
      <c r="AJ83" s="4521" t="n"/>
      <c r="AK83" s="2290" t="n"/>
      <c r="AL83" s="11602" t="n"/>
      <c r="AM83" s="11602" t="n"/>
      <c r="AN83" s="11602" t="n"/>
      <c r="AP83" s="658" t="n"/>
      <c r="AQ83" s="658" t="n"/>
      <c r="AR83" s="658" t="n"/>
      <c r="AS83" s="658" t="n"/>
      <c r="AT83" s="658" t="n"/>
      <c r="AU83" s="658" t="n"/>
      <c r="AV83" s="658" t="n"/>
      <c r="AW83" s="658" t="n"/>
      <c r="AX83" s="658" t="n"/>
      <c r="AY83" s="658" t="n"/>
      <c r="AZ83" s="2293" t="n"/>
    </row>
    <row r="84" ht="15.75" customFormat="1" customHeight="1" s="1115">
      <c r="A84" s="2290" t="n"/>
      <c r="B84" s="4904" t="n"/>
      <c r="C84" s="4524" t="n"/>
      <c r="D84" s="4524" t="n"/>
      <c r="E84" s="4524" t="n"/>
      <c r="F84" s="7772" t="inlineStr">
        <is>
          <t xml:space="preserve">1099-MISC and/or 1099-NEC should have been included as wages on Form W-2. (Don’t file Form SS-8 if you </t>
        </is>
      </c>
      <c r="G84" s="7772" t="n"/>
      <c r="H84" s="4524" t="n"/>
      <c r="I84" s="4524" t="n"/>
      <c r="J84" s="4524" t="n"/>
      <c r="K84" s="4524" t="n"/>
      <c r="L84" s="4524" t="n"/>
      <c r="M84" s="4524" t="n"/>
      <c r="N84" s="4524" t="n"/>
      <c r="O84" s="4524" t="n"/>
      <c r="P84" s="4524" t="n"/>
      <c r="Q84" s="4524" t="n"/>
      <c r="R84" s="4524" t="n"/>
      <c r="S84" s="4524" t="n"/>
      <c r="T84" s="4524" t="n"/>
      <c r="U84" s="4524" t="n"/>
      <c r="V84" s="4524" t="n"/>
      <c r="W84" s="4524" t="n"/>
      <c r="X84" s="4524" t="n"/>
      <c r="Y84" s="4524" t="n"/>
      <c r="Z84" s="4524" t="n"/>
      <c r="AA84" s="4524" t="n"/>
      <c r="AB84" s="4524" t="n"/>
      <c r="AC84" s="4524" t="n"/>
      <c r="AD84" s="2319" t="n"/>
      <c r="AE84" s="4524" t="n"/>
      <c r="AF84" s="4524" t="n"/>
      <c r="AG84" s="4524" t="n"/>
      <c r="AH84" s="4524" t="n"/>
      <c r="AI84" s="4521" t="n"/>
      <c r="AJ84" s="4521" t="n"/>
      <c r="AK84" s="2290" t="n"/>
      <c r="AL84" s="11602" t="n"/>
      <c r="AM84" s="11602" t="n"/>
      <c r="AN84" s="11602" t="n"/>
      <c r="AP84" s="658" t="n"/>
      <c r="AQ84" s="658" t="n"/>
      <c r="AR84" s="658" t="n"/>
      <c r="AS84" s="658" t="n"/>
      <c r="AT84" s="658" t="n"/>
      <c r="AU84" s="658" t="n"/>
      <c r="AV84" s="658" t="n"/>
      <c r="AW84" s="658" t="n"/>
      <c r="AX84" s="658" t="n"/>
      <c r="AY84" s="658" t="n"/>
      <c r="AZ84" s="2293" t="n"/>
    </row>
    <row r="85" ht="19.5" customFormat="1" customHeight="1" s="1115">
      <c r="A85" s="2290" t="n"/>
      <c r="B85" s="4904" t="n"/>
      <c r="C85" s="4524" t="n"/>
      <c r="D85" s="4524" t="n"/>
      <c r="E85" s="4524" t="n"/>
      <c r="F85" s="6664" t="inlineStr">
        <is>
          <t>select reason code H.)</t>
        </is>
      </c>
      <c r="G85" s="7772" t="n"/>
      <c r="H85" s="4524" t="n"/>
      <c r="I85" s="4524" t="n"/>
      <c r="J85" s="4524" t="n"/>
      <c r="K85" s="4524" t="n"/>
      <c r="L85" s="4524" t="n"/>
      <c r="M85" s="4524" t="n"/>
      <c r="N85" s="4524" t="n"/>
      <c r="O85" s="4524" t="n"/>
      <c r="P85" s="4524" t="n"/>
      <c r="Q85" s="4524" t="n"/>
      <c r="R85" s="4524" t="n"/>
      <c r="S85" s="4524" t="n"/>
      <c r="T85" s="4524" t="n"/>
      <c r="U85" s="4524" t="n"/>
      <c r="V85" s="4524" t="n"/>
      <c r="W85" s="4524" t="n"/>
      <c r="X85" s="4524" t="n"/>
      <c r="Y85" s="4524" t="n"/>
      <c r="Z85" s="4524" t="n"/>
      <c r="AA85" s="4524" t="n"/>
      <c r="AB85" s="4524" t="n"/>
      <c r="AC85" s="4524" t="n"/>
      <c r="AD85" s="2319" t="n"/>
      <c r="AE85" s="4524" t="n"/>
      <c r="AF85" s="4524" t="n"/>
      <c r="AG85" s="4524" t="n"/>
      <c r="AH85" s="4524" t="n"/>
      <c r="AI85" s="4521" t="n"/>
      <c r="AJ85" s="4521" t="n"/>
      <c r="AK85" s="2290" t="n"/>
      <c r="AL85" s="11602" t="n"/>
      <c r="AM85" s="11602" t="n"/>
      <c r="AN85" s="11602" t="n"/>
      <c r="AP85" s="658" t="n"/>
      <c r="AQ85" s="658" t="n"/>
      <c r="AR85" s="658" t="n"/>
      <c r="AS85" s="658" t="n"/>
      <c r="AT85" s="658" t="n"/>
      <c r="AU85" s="658" t="n"/>
      <c r="AV85" s="658" t="n"/>
      <c r="AW85" s="658" t="n"/>
      <c r="AX85" s="658" t="n"/>
      <c r="AY85" s="658" t="n"/>
      <c r="AZ85" s="2293" t="n"/>
    </row>
    <row r="86" ht="15.75" customFormat="1" customHeight="1" s="1115">
      <c r="A86" s="2290" t="n"/>
      <c r="B86" s="2310" t="n"/>
      <c r="C86" s="2291" t="n"/>
      <c r="D86" s="2317" t="n"/>
      <c r="E86" s="2310" t="n"/>
      <c r="F86" s="6665" t="n"/>
      <c r="G86" s="2761" t="n"/>
      <c r="H86" s="2291" t="n"/>
      <c r="I86" s="2291" t="n"/>
      <c r="J86" s="2291" t="n"/>
      <c r="K86" s="2291" t="n"/>
      <c r="L86" s="2291" t="n"/>
      <c r="M86" s="6666" t="n"/>
      <c r="N86" s="12780" t="inlineStr">
        <is>
          <t>(b) Firm's federal
identification
number
(see instructions)</t>
        </is>
      </c>
      <c r="O86" s="7839" t="n"/>
      <c r="P86" s="7839" t="n"/>
      <c r="Q86" s="7839" t="n"/>
      <c r="R86" s="7839" t="n"/>
      <c r="S86" s="10091" t="n"/>
      <c r="T86" s="12780" t="inlineStr">
        <is>
          <t>(c) Enter
reason code
from above.</t>
        </is>
      </c>
      <c r="U86" s="7839" t="n"/>
      <c r="V86" s="10091" t="n"/>
      <c r="W86" s="12780" t="inlineStr">
        <is>
          <t>(d) Date of IRS 
determination or 
correspondence  
(MM/DD/YYYY) 
(see instructions)</t>
        </is>
      </c>
      <c r="X86" s="7839" t="n"/>
      <c r="Y86" s="7839" t="n"/>
      <c r="Z86" s="7839" t="n"/>
      <c r="AA86" s="10091" t="n"/>
      <c r="AB86" s="12461" t="inlineStr">
        <is>
          <t>(e) Check  
if Form 
1099-MISC 
and/or 
1099-NEC 
was received.</t>
        </is>
      </c>
      <c r="AC86" s="7839" t="n"/>
      <c r="AD86" s="10091" t="n"/>
      <c r="AE86" s="12462" t="inlineStr">
        <is>
          <t xml:space="preserve">(f) Total wages 
received with 
no social security 
or Medicare tax 
withholding and not 
reported on Form W-2 </t>
        </is>
      </c>
      <c r="AF86" s="7839" t="n"/>
      <c r="AG86" s="7839" t="n"/>
      <c r="AH86" s="7839" t="n"/>
      <c r="AI86" s="7839" t="n"/>
      <c r="AJ86" s="7839" t="n"/>
      <c r="AK86" s="2290" t="n"/>
      <c r="AL86" s="11602" t="n"/>
      <c r="AM86" s="11602" t="n"/>
      <c r="AN86" s="11602" t="n"/>
      <c r="AP86" s="658" t="n"/>
      <c r="AQ86" s="658" t="n"/>
      <c r="AR86" s="658" t="n"/>
      <c r="AS86" s="658" t="n"/>
      <c r="AT86" s="658" t="n"/>
      <c r="AU86" s="658" t="n"/>
      <c r="AV86" s="658" t="n"/>
      <c r="AW86" s="658" t="n"/>
      <c r="AX86" s="658" t="n"/>
      <c r="AY86" s="658" t="n"/>
      <c r="AZ86" s="2293" t="n"/>
    </row>
    <row r="87" ht="15.75" customFormat="1" customHeight="1" s="1115">
      <c r="A87" s="2290" t="n"/>
      <c r="B87" s="4904" t="n"/>
      <c r="C87" s="4524" t="n"/>
      <c r="D87" s="6624" t="n"/>
      <c r="E87" s="4904" t="n"/>
      <c r="F87" s="6667" t="n"/>
      <c r="G87" s="7772" t="n"/>
      <c r="H87" s="4524" t="n"/>
      <c r="I87" s="4524" t="n"/>
      <c r="J87" s="4524" t="n"/>
      <c r="K87" s="4524" t="n"/>
      <c r="L87" s="4524" t="n"/>
      <c r="M87" s="6668" t="n"/>
      <c r="N87" s="4772" t="n"/>
      <c r="S87" s="7636" t="n"/>
      <c r="T87" s="4772" t="n"/>
      <c r="V87" s="7636" t="n"/>
      <c r="W87" s="4772" t="n"/>
      <c r="AA87" s="7636" t="n"/>
      <c r="AB87" s="4772" t="n"/>
      <c r="AD87" s="7636" t="n"/>
      <c r="AE87" s="4772" t="n"/>
      <c r="AK87" s="2290" t="n"/>
      <c r="AL87" s="11602" t="n"/>
      <c r="AM87" s="11602" t="n"/>
      <c r="AN87" s="11602" t="n"/>
      <c r="AP87" s="658" t="n"/>
      <c r="AQ87" s="658" t="n"/>
      <c r="AR87" s="658" t="n"/>
      <c r="AS87" s="658" t="n"/>
      <c r="AT87" s="658" t="n"/>
      <c r="AU87" s="658" t="n"/>
      <c r="AV87" s="658" t="n"/>
      <c r="AW87" s="658" t="n"/>
      <c r="AX87" s="658" t="n"/>
      <c r="AY87" s="658" t="n"/>
      <c r="AZ87" s="2293" t="n"/>
    </row>
    <row r="88" ht="15.75" customFormat="1" customHeight="1" s="1115">
      <c r="A88" s="2290" t="n"/>
      <c r="B88" s="4904" t="n"/>
      <c r="C88" s="4524" t="n"/>
      <c r="D88" s="6627" t="inlineStr">
        <is>
          <t>(a) Name of firm</t>
        </is>
      </c>
      <c r="E88" s="4904" t="n"/>
      <c r="F88" s="6667" t="n"/>
      <c r="G88" s="7772" t="n"/>
      <c r="H88" s="2914" t="n"/>
      <c r="I88" s="4524" t="n"/>
      <c r="J88" s="4524" t="n"/>
      <c r="K88" s="4524" t="n"/>
      <c r="L88" s="4524" t="n"/>
      <c r="M88" s="6668" t="n"/>
      <c r="N88" s="4772" t="n"/>
      <c r="S88" s="7636" t="n"/>
      <c r="T88" s="4772" t="n"/>
      <c r="V88" s="7636" t="n"/>
      <c r="W88" s="4772" t="n"/>
      <c r="AA88" s="7636" t="n"/>
      <c r="AB88" s="4772" t="n"/>
      <c r="AD88" s="7636" t="n"/>
      <c r="AE88" s="4772" t="n"/>
      <c r="AK88" s="2290" t="n"/>
      <c r="AL88" s="11602" t="n"/>
      <c r="AM88" s="11602" t="n"/>
      <c r="AN88" s="11602" t="n"/>
      <c r="AP88" s="658" t="n"/>
      <c r="AQ88" s="658" t="n"/>
      <c r="AR88" s="658" t="n"/>
      <c r="AS88" s="658" t="n"/>
      <c r="AT88" s="658" t="n"/>
      <c r="AU88" s="658" t="n"/>
      <c r="AV88" s="658" t="n"/>
      <c r="AW88" s="658" t="n"/>
      <c r="AX88" s="658" t="n"/>
      <c r="AY88" s="658" t="n"/>
      <c r="AZ88" s="2293" t="n"/>
    </row>
    <row r="89" ht="15.75" customFormat="1" customHeight="1" s="1115">
      <c r="A89" s="2290" t="n"/>
      <c r="B89" s="4904" t="n"/>
      <c r="C89" s="4524" t="n"/>
      <c r="D89" s="6624" t="n"/>
      <c r="E89" s="4904" t="n"/>
      <c r="F89" s="6667" t="n"/>
      <c r="G89" s="7772" t="n"/>
      <c r="H89" s="4524" t="n"/>
      <c r="I89" s="4524" t="n"/>
      <c r="J89" s="4524" t="n"/>
      <c r="K89" s="4524" t="n"/>
      <c r="L89" s="4524" t="n"/>
      <c r="M89" s="6668" t="n"/>
      <c r="N89" s="4772" t="n"/>
      <c r="S89" s="7636" t="n"/>
      <c r="T89" s="4772" t="n"/>
      <c r="V89" s="7636" t="n"/>
      <c r="W89" s="4772" t="n"/>
      <c r="AA89" s="7636" t="n"/>
      <c r="AB89" s="4772" t="n"/>
      <c r="AD89" s="7636" t="n"/>
      <c r="AE89" s="4772" t="n"/>
      <c r="AK89" s="2290" t="n"/>
      <c r="AL89" s="11602" t="n"/>
      <c r="AM89" s="11602" t="n"/>
      <c r="AN89" s="11602" t="n"/>
      <c r="AP89" s="658" t="n"/>
      <c r="AQ89" s="658" t="n"/>
      <c r="AR89" s="658" t="n"/>
      <c r="AS89" s="658" t="n"/>
      <c r="AT89" s="658" t="n"/>
      <c r="AU89" s="658" t="n"/>
      <c r="AV89" s="658" t="n"/>
      <c r="AW89" s="658" t="n"/>
      <c r="AX89" s="658" t="n"/>
      <c r="AY89" s="658" t="n"/>
      <c r="AZ89" s="2293" t="n"/>
    </row>
    <row r="90" ht="21" customFormat="1" customHeight="1" s="1115">
      <c r="A90" s="2290" t="n"/>
      <c r="B90" s="2296" t="n"/>
      <c r="C90" s="2294" t="n"/>
      <c r="D90" s="2295" t="n"/>
      <c r="E90" s="2296" t="n"/>
      <c r="F90" s="6669" t="n"/>
      <c r="G90" s="1998" t="n"/>
      <c r="H90" s="2294" t="n"/>
      <c r="I90" s="2294" t="n"/>
      <c r="J90" s="2294" t="n"/>
      <c r="K90" s="2294" t="n"/>
      <c r="L90" s="2294" t="n"/>
      <c r="M90" s="6670" t="n"/>
      <c r="N90" s="3614" t="n"/>
      <c r="O90" s="7637" t="n"/>
      <c r="P90" s="7637" t="n"/>
      <c r="Q90" s="7637" t="n"/>
      <c r="R90" s="7637" t="n"/>
      <c r="S90" s="7638" t="n"/>
      <c r="T90" s="3614" t="n"/>
      <c r="U90" s="7637" t="n"/>
      <c r="V90" s="7638" t="n"/>
      <c r="W90" s="3614" t="n"/>
      <c r="X90" s="7637" t="n"/>
      <c r="Y90" s="7637" t="n"/>
      <c r="Z90" s="7637" t="n"/>
      <c r="AA90" s="7638" t="n"/>
      <c r="AB90" s="3614" t="n"/>
      <c r="AC90" s="7637" t="n"/>
      <c r="AD90" s="7638" t="n"/>
      <c r="AE90" s="3614" t="n"/>
      <c r="AF90" s="7637" t="n"/>
      <c r="AG90" s="7637" t="n"/>
      <c r="AH90" s="7637" t="n"/>
      <c r="AI90" s="7637" t="n"/>
      <c r="AJ90" s="7637" t="n"/>
      <c r="AK90" s="2290" t="n"/>
      <c r="AL90" s="11602" t="n"/>
      <c r="AM90" s="11602" t="n"/>
      <c r="AN90" s="11602" t="n"/>
      <c r="AP90" s="658" t="n"/>
      <c r="AQ90" s="658" t="n"/>
      <c r="AR90" s="658" t="n"/>
      <c r="AS90" s="658" t="n"/>
      <c r="AT90" s="658" t="n"/>
      <c r="AU90" s="658" t="n"/>
      <c r="AV90" s="658" t="n"/>
      <c r="AW90" s="658" t="n"/>
      <c r="AX90" s="658" t="n"/>
      <c r="AY90" s="658" t="n"/>
      <c r="AZ90" s="2293" t="n"/>
    </row>
    <row r="91" ht="15.75" customFormat="1" customHeight="1" s="1115">
      <c r="A91" s="2290" t="n"/>
      <c r="B91" s="12463" t="n">
        <v>1</v>
      </c>
      <c r="C91" s="12464">
        <f>IF(N91,'W-2s'!D39,"")</f>
        <v/>
      </c>
      <c r="D91" s="11745" t="n"/>
      <c r="E91" s="11745" t="n"/>
      <c r="F91" s="11745" t="n"/>
      <c r="G91" s="11745" t="n"/>
      <c r="H91" s="11745" t="n"/>
      <c r="I91" s="11745" t="n"/>
      <c r="J91" s="11745" t="n"/>
      <c r="K91" s="11745" t="n"/>
      <c r="L91" s="11745" t="n"/>
      <c r="M91" s="11948" t="n"/>
      <c r="N91" s="12781">
        <f>OR('W-2s'!D51&lt;&gt;"",'W-2s'!D52&lt;&gt;"")</f>
        <v/>
      </c>
      <c r="O91" s="7839" t="n"/>
      <c r="P91" s="7839" t="n"/>
      <c r="Q91" s="7839" t="n"/>
      <c r="R91" s="7839" t="n"/>
      <c r="S91" s="10091" t="n"/>
      <c r="T91" s="12782">
        <f>IF(OR(T92="A",T92="a",T92="C",T92="c",T92="G",T92="g",T92="H",T92="h",T92=""),"","Wrong code.")</f>
        <v/>
      </c>
      <c r="U91" s="7839" t="n"/>
      <c r="V91" s="10091" t="n"/>
      <c r="W91" s="6628" t="n"/>
      <c r="X91" s="2291" t="n"/>
      <c r="Y91" s="2291" t="n"/>
      <c r="Z91" s="2291" t="n"/>
      <c r="AA91" s="6666" t="n"/>
      <c r="AB91" s="6628" t="n"/>
      <c r="AC91" s="2291" t="n"/>
      <c r="AD91" s="6671" t="n"/>
      <c r="AE91" s="11335" t="n"/>
      <c r="AF91" s="7839" t="n"/>
      <c r="AG91" s="7839" t="n"/>
      <c r="AH91" s="7839" t="n"/>
      <c r="AI91" s="7839" t="n"/>
      <c r="AJ91" s="7839" t="n"/>
      <c r="AK91" s="2290" t="n"/>
      <c r="AL91" s="11602" t="n"/>
      <c r="AM91" s="11602" t="n"/>
      <c r="AN91" s="11602" t="n"/>
      <c r="AP91" s="658" t="n"/>
      <c r="AQ91" s="658" t="n"/>
      <c r="AR91" s="658" t="n"/>
      <c r="AS91" s="658" t="n"/>
      <c r="AT91" s="658" t="n"/>
      <c r="AU91" s="658" t="n"/>
      <c r="AV91" s="658" t="n"/>
      <c r="AW91" s="658" t="n"/>
      <c r="AX91" s="658" t="n"/>
      <c r="AY91" s="658" t="n"/>
      <c r="AZ91" s="2293" t="n"/>
    </row>
    <row r="92" ht="12.75" customFormat="1" customHeight="1" s="1115">
      <c r="A92" s="2290" t="n"/>
      <c r="B92" s="194" t="n"/>
      <c r="C92" s="194" t="n"/>
      <c r="D92" s="194" t="n"/>
      <c r="E92" s="194" t="n"/>
      <c r="F92" s="194" t="n"/>
      <c r="G92" s="194" t="n"/>
      <c r="H92" s="194" t="n"/>
      <c r="I92" s="194" t="n"/>
      <c r="J92" s="194" t="n"/>
      <c r="K92" s="194" t="n"/>
      <c r="L92" s="194" t="n"/>
      <c r="M92" s="11726" t="n"/>
      <c r="N92" s="12783" t="n"/>
      <c r="O92" s="194" t="n"/>
      <c r="P92" s="194" t="n"/>
      <c r="Q92" s="194" t="n"/>
      <c r="R92" s="194" t="n"/>
      <c r="S92" s="11726" t="n"/>
      <c r="T92" s="12784">
        <f>IF(N91,"H","")</f>
        <v/>
      </c>
      <c r="U92" s="194" t="n"/>
      <c r="V92" s="11726" t="n"/>
      <c r="W92" s="12785" t="n"/>
      <c r="X92" s="194" t="n"/>
      <c r="Y92" s="194" t="n"/>
      <c r="Z92" s="194" t="n"/>
      <c r="AA92" s="11726" t="n"/>
      <c r="AB92" s="6672" t="n"/>
      <c r="AC92" s="2355" t="n"/>
      <c r="AD92" s="6673" t="n"/>
      <c r="AE92" s="9969">
        <f>IF(AM92&lt;&gt;"",ROUND(AM92,0),IF(N91,SUM('W-2s'!D50:D51),""))</f>
        <v/>
      </c>
      <c r="AK92" s="2290" t="n"/>
      <c r="AL92" s="11602" t="n"/>
      <c r="AM92" s="12786" t="n"/>
      <c r="AN92" s="11602" t="n"/>
      <c r="AP92" s="658" t="n"/>
      <c r="AQ92" s="658" t="n"/>
      <c r="AR92" s="658" t="n"/>
      <c r="AS92" s="658" t="n"/>
      <c r="AT92" s="658" t="n"/>
      <c r="AU92" s="658" t="n"/>
      <c r="AV92" s="658" t="n"/>
      <c r="AW92" s="658" t="n"/>
      <c r="AX92" s="658" t="n"/>
      <c r="AY92" s="658" t="n"/>
      <c r="AZ92" s="2293" t="n"/>
    </row>
    <row r="93" ht="6.75" customFormat="1" customHeight="1" s="1115">
      <c r="A93" s="2290" t="n"/>
      <c r="B93" s="11717" t="n"/>
      <c r="C93" s="11717" t="n"/>
      <c r="D93" s="11717" t="n"/>
      <c r="E93" s="11717" t="n"/>
      <c r="F93" s="11717" t="n"/>
      <c r="G93" s="11717" t="n"/>
      <c r="H93" s="11717" t="n"/>
      <c r="I93" s="11717" t="n"/>
      <c r="J93" s="11717" t="n"/>
      <c r="K93" s="11717" t="n"/>
      <c r="L93" s="11717" t="n"/>
      <c r="M93" s="11718" t="n"/>
      <c r="N93" s="11728" t="n"/>
      <c r="O93" s="11717" t="n"/>
      <c r="P93" s="11717" t="n"/>
      <c r="Q93" s="11717" t="n"/>
      <c r="R93" s="11717" t="n"/>
      <c r="S93" s="11718" t="n"/>
      <c r="T93" s="11728" t="n"/>
      <c r="U93" s="11717" t="n"/>
      <c r="V93" s="11718" t="n"/>
      <c r="W93" s="11728" t="n"/>
      <c r="X93" s="11717" t="n"/>
      <c r="Y93" s="11717" t="n"/>
      <c r="Z93" s="11717" t="n"/>
      <c r="AA93" s="11718" t="n"/>
      <c r="AB93" s="6674" t="n"/>
      <c r="AC93" s="2294" t="n"/>
      <c r="AD93" s="6675" t="n"/>
      <c r="AE93" s="3614" t="n"/>
      <c r="AF93" s="7637" t="n"/>
      <c r="AG93" s="7637" t="n"/>
      <c r="AH93" s="7637" t="n"/>
      <c r="AI93" s="7637" t="n"/>
      <c r="AJ93" s="7637" t="n"/>
      <c r="AK93" s="2290" t="n"/>
      <c r="AL93" s="11602" t="n"/>
      <c r="AM93" s="11969" t="n"/>
      <c r="AN93" s="11602" t="n"/>
      <c r="AP93" s="658" t="n"/>
      <c r="AQ93" s="658" t="n"/>
      <c r="AR93" s="658" t="n"/>
      <c r="AS93" s="658" t="n"/>
      <c r="AT93" s="658" t="n"/>
      <c r="AU93" s="658" t="n"/>
      <c r="AV93" s="658" t="n"/>
      <c r="AW93" s="658" t="n"/>
      <c r="AX93" s="658" t="n"/>
      <c r="AY93" s="658" t="n"/>
      <c r="AZ93" s="2293" t="n"/>
    </row>
    <row r="94" ht="15.75" customFormat="1" customHeight="1" s="1115">
      <c r="A94" s="2290" t="n"/>
      <c r="B94" s="12463" t="n">
        <v>2</v>
      </c>
      <c r="C94" s="12464">
        <f>IF(N94,'W-2s'!E39,"")</f>
        <v/>
      </c>
      <c r="D94" s="11745" t="n"/>
      <c r="E94" s="11745" t="n"/>
      <c r="F94" s="11745" t="n"/>
      <c r="G94" s="11745" t="n"/>
      <c r="H94" s="11745" t="n"/>
      <c r="I94" s="11745" t="n"/>
      <c r="J94" s="11745" t="n"/>
      <c r="K94" s="11745" t="n"/>
      <c r="L94" s="11745" t="n"/>
      <c r="M94" s="11948" t="n"/>
      <c r="N94" s="12781">
        <f>OR('W-2s'!E51&lt;&gt;"",'W-2s'!E52&lt;&gt;"")</f>
        <v/>
      </c>
      <c r="O94" s="7839" t="n"/>
      <c r="P94" s="7839" t="n"/>
      <c r="Q94" s="7839" t="n"/>
      <c r="R94" s="7839" t="n"/>
      <c r="S94" s="10091" t="n"/>
      <c r="T94" s="12782">
        <f>IF(OR(T95="A",T95="a",T95="C",T95="c",T95="G",T95="g",T95="H",T95="h",T95=""),"","Wrong code.")</f>
        <v/>
      </c>
      <c r="U94" s="7839" t="n"/>
      <c r="V94" s="10091" t="n"/>
      <c r="W94" s="6628" t="n"/>
      <c r="X94" s="2291" t="n"/>
      <c r="Y94" s="2291" t="n"/>
      <c r="Z94" s="2291" t="n"/>
      <c r="AA94" s="6666" t="n"/>
      <c r="AB94" s="6628" t="n"/>
      <c r="AC94" s="2291" t="n"/>
      <c r="AD94" s="6671" t="n"/>
      <c r="AE94" s="11337" t="n"/>
      <c r="AF94" s="7839" t="n"/>
      <c r="AG94" s="7839" t="n"/>
      <c r="AH94" s="7839" t="n"/>
      <c r="AI94" s="7839" t="n"/>
      <c r="AJ94" s="7839" t="n"/>
      <c r="AK94" s="2290" t="n"/>
      <c r="AL94" s="11602" t="n"/>
      <c r="AM94" s="11602" t="n"/>
      <c r="AN94" s="11602" t="n"/>
      <c r="AP94" s="658" t="n"/>
      <c r="AQ94" s="658" t="n"/>
      <c r="AR94" s="658" t="n"/>
      <c r="AS94" s="658" t="n"/>
      <c r="AT94" s="658" t="n"/>
      <c r="AU94" s="658" t="n"/>
      <c r="AV94" s="658" t="n"/>
      <c r="AW94" s="658" t="n"/>
      <c r="AX94" s="658" t="n"/>
      <c r="AY94" s="658" t="n"/>
      <c r="AZ94" s="2293" t="n"/>
    </row>
    <row r="95" ht="12.75" customFormat="1" customHeight="1" s="1115">
      <c r="A95" s="2290" t="n"/>
      <c r="B95" s="194" t="n"/>
      <c r="C95" s="194" t="n"/>
      <c r="D95" s="194" t="n"/>
      <c r="E95" s="194" t="n"/>
      <c r="F95" s="194" t="n"/>
      <c r="G95" s="194" t="n"/>
      <c r="H95" s="194" t="n"/>
      <c r="I95" s="194" t="n"/>
      <c r="J95" s="194" t="n"/>
      <c r="K95" s="194" t="n"/>
      <c r="L95" s="194" t="n"/>
      <c r="M95" s="11726" t="n"/>
      <c r="N95" s="12783" t="n"/>
      <c r="O95" s="194" t="n"/>
      <c r="P95" s="194" t="n"/>
      <c r="Q95" s="194" t="n"/>
      <c r="R95" s="194" t="n"/>
      <c r="S95" s="11726" t="n"/>
      <c r="T95" s="12784">
        <f>IF(N94,"H","")</f>
        <v/>
      </c>
      <c r="U95" s="194" t="n"/>
      <c r="V95" s="11726" t="n"/>
      <c r="W95" s="12785" t="n"/>
      <c r="X95" s="194" t="n"/>
      <c r="Y95" s="194" t="n"/>
      <c r="Z95" s="194" t="n"/>
      <c r="AA95" s="11726" t="n"/>
      <c r="AB95" s="6672" t="n"/>
      <c r="AC95" s="2355" t="n"/>
      <c r="AD95" s="6673" t="n"/>
      <c r="AE95" s="9969">
        <f>IF(AM95&lt;&gt;"",ROUND(AM95,0),IF(N94,SUM('W-2s'!E50:E51),""))</f>
        <v/>
      </c>
      <c r="AK95" s="2290" t="n"/>
      <c r="AL95" s="11602" t="n"/>
      <c r="AM95" s="12786" t="n"/>
      <c r="AN95" s="11602" t="n"/>
      <c r="AP95" s="658" t="n"/>
      <c r="AQ95" s="658" t="n"/>
      <c r="AR95" s="658" t="n"/>
      <c r="AS95" s="658" t="n"/>
      <c r="AT95" s="658" t="n"/>
      <c r="AU95" s="658" t="n"/>
      <c r="AV95" s="658" t="n"/>
      <c r="AW95" s="658" t="n"/>
      <c r="AX95" s="658" t="n"/>
      <c r="AY95" s="658" t="n"/>
      <c r="AZ95" s="2293" t="n"/>
    </row>
    <row r="96" ht="6.75" customFormat="1" customHeight="1" s="1115">
      <c r="A96" s="2290" t="n"/>
      <c r="B96" s="11717" t="n"/>
      <c r="C96" s="11717" t="n"/>
      <c r="D96" s="11717" t="n"/>
      <c r="E96" s="11717" t="n"/>
      <c r="F96" s="11717" t="n"/>
      <c r="G96" s="11717" t="n"/>
      <c r="H96" s="11717" t="n"/>
      <c r="I96" s="11717" t="n"/>
      <c r="J96" s="11717" t="n"/>
      <c r="K96" s="11717" t="n"/>
      <c r="L96" s="11717" t="n"/>
      <c r="M96" s="11718" t="n"/>
      <c r="N96" s="11728" t="n"/>
      <c r="O96" s="11717" t="n"/>
      <c r="P96" s="11717" t="n"/>
      <c r="Q96" s="11717" t="n"/>
      <c r="R96" s="11717" t="n"/>
      <c r="S96" s="11718" t="n"/>
      <c r="T96" s="11728" t="n"/>
      <c r="U96" s="11717" t="n"/>
      <c r="V96" s="11718" t="n"/>
      <c r="W96" s="11728" t="n"/>
      <c r="X96" s="11717" t="n"/>
      <c r="Y96" s="11717" t="n"/>
      <c r="Z96" s="11717" t="n"/>
      <c r="AA96" s="11718" t="n"/>
      <c r="AB96" s="6674" t="n"/>
      <c r="AC96" s="2294" t="n"/>
      <c r="AD96" s="6675" t="n"/>
      <c r="AE96" s="3614" t="n"/>
      <c r="AF96" s="7637" t="n"/>
      <c r="AG96" s="7637" t="n"/>
      <c r="AH96" s="7637" t="n"/>
      <c r="AI96" s="7637" t="n"/>
      <c r="AJ96" s="7637" t="n"/>
      <c r="AK96" s="2290" t="n"/>
      <c r="AL96" s="11602" t="n"/>
      <c r="AM96" s="11969" t="n"/>
      <c r="AN96" s="11602" t="n"/>
      <c r="AP96" s="658" t="n"/>
      <c r="AQ96" s="658" t="n"/>
      <c r="AR96" s="658" t="n"/>
      <c r="AS96" s="658" t="n"/>
      <c r="AT96" s="658" t="n"/>
      <c r="AU96" s="658" t="n"/>
      <c r="AV96" s="658" t="n"/>
      <c r="AW96" s="658" t="n"/>
      <c r="AX96" s="658" t="n"/>
      <c r="AY96" s="658" t="n"/>
      <c r="AZ96" s="2293" t="n"/>
    </row>
    <row r="97" ht="15.75" customFormat="1" customHeight="1" s="1115">
      <c r="A97" s="2290" t="n"/>
      <c r="B97" s="12463" t="n">
        <v>3</v>
      </c>
      <c r="C97" s="12464">
        <f>IF(N97,'W-2s'!F39,"")</f>
        <v/>
      </c>
      <c r="D97" s="11745" t="n"/>
      <c r="E97" s="11745" t="n"/>
      <c r="F97" s="11745" t="n"/>
      <c r="G97" s="11745" t="n"/>
      <c r="H97" s="11745" t="n"/>
      <c r="I97" s="11745" t="n"/>
      <c r="J97" s="11745" t="n"/>
      <c r="K97" s="11745" t="n"/>
      <c r="L97" s="11745" t="n"/>
      <c r="M97" s="11948" t="n"/>
      <c r="N97" s="12781">
        <f>OR('W-2s'!F51&lt;&gt;"",'W-2s'!F52&lt;&gt;"")</f>
        <v/>
      </c>
      <c r="O97" s="7839" t="n"/>
      <c r="P97" s="7839" t="n"/>
      <c r="Q97" s="7839" t="n"/>
      <c r="R97" s="7839" t="n"/>
      <c r="S97" s="10091" t="n"/>
      <c r="T97" s="12782">
        <f>IF(OR(T98="A",T98="a",T98="C",T98="c",T98="G",T98="g",T98="H",T98="h",T98=""),"","Wrong code.")</f>
        <v/>
      </c>
      <c r="U97" s="7839" t="n"/>
      <c r="V97" s="10091" t="n"/>
      <c r="W97" s="6628" t="n"/>
      <c r="X97" s="2291" t="n"/>
      <c r="Y97" s="2291" t="n"/>
      <c r="Z97" s="2291" t="n"/>
      <c r="AA97" s="6666" t="n"/>
      <c r="AB97" s="6628" t="n"/>
      <c r="AC97" s="2291" t="n"/>
      <c r="AD97" s="6671" t="n"/>
      <c r="AE97" s="11337" t="n"/>
      <c r="AF97" s="7839" t="n"/>
      <c r="AG97" s="7839" t="n"/>
      <c r="AH97" s="7839" t="n"/>
      <c r="AI97" s="7839" t="n"/>
      <c r="AJ97" s="7839" t="n"/>
      <c r="AK97" s="2290" t="n"/>
      <c r="AL97" s="11602" t="n"/>
      <c r="AM97" s="11602" t="n"/>
      <c r="AN97" s="11602" t="n"/>
      <c r="AP97" s="658" t="n"/>
      <c r="AQ97" s="658" t="n"/>
      <c r="AR97" s="658" t="n"/>
      <c r="AS97" s="658" t="n"/>
      <c r="AT97" s="658" t="n"/>
      <c r="AU97" s="658" t="n"/>
      <c r="AV97" s="658" t="n"/>
      <c r="AW97" s="658" t="n"/>
      <c r="AX97" s="658" t="n"/>
      <c r="AY97" s="658" t="n"/>
      <c r="AZ97" s="2293" t="n"/>
    </row>
    <row r="98" ht="12.75" customFormat="1" customHeight="1" s="1115">
      <c r="A98" s="2290" t="n"/>
      <c r="B98" s="194" t="n"/>
      <c r="C98" s="194" t="n"/>
      <c r="D98" s="194" t="n"/>
      <c r="E98" s="194" t="n"/>
      <c r="F98" s="194" t="n"/>
      <c r="G98" s="194" t="n"/>
      <c r="H98" s="194" t="n"/>
      <c r="I98" s="194" t="n"/>
      <c r="J98" s="194" t="n"/>
      <c r="K98" s="194" t="n"/>
      <c r="L98" s="194" t="n"/>
      <c r="M98" s="11726" t="n"/>
      <c r="N98" s="12783" t="n"/>
      <c r="O98" s="194" t="n"/>
      <c r="P98" s="194" t="n"/>
      <c r="Q98" s="194" t="n"/>
      <c r="R98" s="194" t="n"/>
      <c r="S98" s="11726" t="n"/>
      <c r="T98" s="12784">
        <f>IF(N97,"H","")</f>
        <v/>
      </c>
      <c r="U98" s="194" t="n"/>
      <c r="V98" s="11726" t="n"/>
      <c r="W98" s="12785" t="n"/>
      <c r="X98" s="194" t="n"/>
      <c r="Y98" s="194" t="n"/>
      <c r="Z98" s="194" t="n"/>
      <c r="AA98" s="11726" t="n"/>
      <c r="AB98" s="6672" t="n"/>
      <c r="AC98" s="2355" t="n"/>
      <c r="AD98" s="6673" t="n"/>
      <c r="AE98" s="9969">
        <f>IF(AM98&lt;&gt;"",ROUND(AM98,0),IF(N97,SUM('W-2s'!F50:F51),""))</f>
        <v/>
      </c>
      <c r="AK98" s="2290" t="n"/>
      <c r="AL98" s="11602" t="n"/>
      <c r="AM98" s="12786" t="n"/>
      <c r="AN98" s="11602" t="n"/>
      <c r="AP98" s="658" t="n"/>
      <c r="AQ98" s="658" t="n"/>
      <c r="AR98" s="658" t="n"/>
      <c r="AS98" s="658" t="n"/>
      <c r="AT98" s="658" t="n"/>
      <c r="AU98" s="658" t="n"/>
      <c r="AV98" s="658" t="n"/>
      <c r="AW98" s="658" t="n"/>
      <c r="AX98" s="658" t="n"/>
      <c r="AY98" s="658" t="n"/>
      <c r="AZ98" s="2293" t="n"/>
    </row>
    <row r="99" ht="6.75" customFormat="1" customHeight="1" s="1115">
      <c r="A99" s="2290" t="n"/>
      <c r="B99" s="11717" t="n"/>
      <c r="C99" s="11717" t="n"/>
      <c r="D99" s="11717" t="n"/>
      <c r="E99" s="11717" t="n"/>
      <c r="F99" s="11717" t="n"/>
      <c r="G99" s="11717" t="n"/>
      <c r="H99" s="11717" t="n"/>
      <c r="I99" s="11717" t="n"/>
      <c r="J99" s="11717" t="n"/>
      <c r="K99" s="11717" t="n"/>
      <c r="L99" s="11717" t="n"/>
      <c r="M99" s="11718" t="n"/>
      <c r="N99" s="11728" t="n"/>
      <c r="O99" s="11717" t="n"/>
      <c r="P99" s="11717" t="n"/>
      <c r="Q99" s="11717" t="n"/>
      <c r="R99" s="11717" t="n"/>
      <c r="S99" s="11718" t="n"/>
      <c r="T99" s="11728" t="n"/>
      <c r="U99" s="11717" t="n"/>
      <c r="V99" s="11718" t="n"/>
      <c r="W99" s="11728" t="n"/>
      <c r="X99" s="11717" t="n"/>
      <c r="Y99" s="11717" t="n"/>
      <c r="Z99" s="11717" t="n"/>
      <c r="AA99" s="11718" t="n"/>
      <c r="AB99" s="6674" t="n"/>
      <c r="AC99" s="2294" t="n"/>
      <c r="AD99" s="6675" t="n"/>
      <c r="AE99" s="3614" t="n"/>
      <c r="AF99" s="7637" t="n"/>
      <c r="AG99" s="7637" t="n"/>
      <c r="AH99" s="7637" t="n"/>
      <c r="AI99" s="7637" t="n"/>
      <c r="AJ99" s="7637" t="n"/>
      <c r="AK99" s="2290" t="n"/>
      <c r="AL99" s="11602" t="n"/>
      <c r="AM99" s="11969" t="n"/>
      <c r="AN99" s="11602" t="n"/>
      <c r="AP99" s="658" t="n"/>
      <c r="AQ99" s="658" t="n"/>
      <c r="AR99" s="658" t="n"/>
      <c r="AS99" s="658" t="n"/>
      <c r="AT99" s="658" t="n"/>
      <c r="AU99" s="658" t="n"/>
      <c r="AV99" s="658" t="n"/>
      <c r="AW99" s="658" t="n"/>
      <c r="AX99" s="658" t="n"/>
      <c r="AY99" s="658" t="n"/>
      <c r="AZ99" s="2293" t="n"/>
    </row>
    <row r="100" ht="15.75" customFormat="1" customHeight="1" s="1115">
      <c r="A100" s="2290" t="n"/>
      <c r="B100" s="12463" t="n">
        <v>4</v>
      </c>
      <c r="C100" s="12464">
        <f>IF(N100,'W-2s'!G39,"")</f>
        <v/>
      </c>
      <c r="D100" s="11745" t="n"/>
      <c r="E100" s="11745" t="n"/>
      <c r="F100" s="11745" t="n"/>
      <c r="G100" s="11745" t="n"/>
      <c r="H100" s="11745" t="n"/>
      <c r="I100" s="11745" t="n"/>
      <c r="J100" s="11745" t="n"/>
      <c r="K100" s="11745" t="n"/>
      <c r="L100" s="11745" t="n"/>
      <c r="M100" s="11948" t="n"/>
      <c r="N100" s="12781">
        <f>OR('W-2s'!G51&lt;&gt;"",'W-2s'!G52&lt;&gt;"")</f>
        <v/>
      </c>
      <c r="O100" s="7839" t="n"/>
      <c r="P100" s="7839" t="n"/>
      <c r="Q100" s="7839" t="n"/>
      <c r="R100" s="7839" t="n"/>
      <c r="S100" s="10091" t="n"/>
      <c r="T100" s="12782">
        <f>IF(OR(T101="A",T101="a",T101="C",T101="c",T101="G",T101="g",T101="H",T101="h",T101=""),"","Wrong code.")</f>
        <v/>
      </c>
      <c r="U100" s="7839" t="n"/>
      <c r="V100" s="10091" t="n"/>
      <c r="W100" s="6628" t="n"/>
      <c r="X100" s="2291" t="n"/>
      <c r="Y100" s="2291" t="n"/>
      <c r="Z100" s="2291" t="n"/>
      <c r="AA100" s="6666" t="n"/>
      <c r="AB100" s="6628" t="n"/>
      <c r="AC100" s="2291" t="n"/>
      <c r="AD100" s="6671" t="n"/>
      <c r="AE100" s="11337" t="n"/>
      <c r="AF100" s="7839" t="n"/>
      <c r="AG100" s="7839" t="n"/>
      <c r="AH100" s="7839" t="n"/>
      <c r="AI100" s="7839" t="n"/>
      <c r="AJ100" s="7839" t="n"/>
      <c r="AK100" s="2290" t="n"/>
      <c r="AL100" s="11602" t="n"/>
      <c r="AM100" s="11602" t="n"/>
      <c r="AN100" s="11602" t="n"/>
      <c r="AP100" s="658" t="n"/>
      <c r="AQ100" s="658" t="n"/>
      <c r="AR100" s="658" t="n"/>
      <c r="AS100" s="658" t="n"/>
      <c r="AT100" s="658" t="n"/>
      <c r="AU100" s="658" t="n"/>
      <c r="AV100" s="658" t="n"/>
      <c r="AW100" s="658" t="n"/>
      <c r="AX100" s="658" t="n"/>
      <c r="AY100" s="658" t="n"/>
      <c r="AZ100" s="2293" t="n"/>
    </row>
    <row r="101" ht="12.75" customFormat="1" customHeight="1" s="1115">
      <c r="A101" s="2290" t="n"/>
      <c r="B101" s="194" t="n"/>
      <c r="C101" s="194" t="n"/>
      <c r="D101" s="194" t="n"/>
      <c r="E101" s="194" t="n"/>
      <c r="F101" s="194" t="n"/>
      <c r="G101" s="194" t="n"/>
      <c r="H101" s="194" t="n"/>
      <c r="I101" s="194" t="n"/>
      <c r="J101" s="194" t="n"/>
      <c r="K101" s="194" t="n"/>
      <c r="L101" s="194" t="n"/>
      <c r="M101" s="11726" t="n"/>
      <c r="N101" s="12783" t="n"/>
      <c r="O101" s="194" t="n"/>
      <c r="P101" s="194" t="n"/>
      <c r="Q101" s="194" t="n"/>
      <c r="R101" s="194" t="n"/>
      <c r="S101" s="11726" t="n"/>
      <c r="T101" s="12784">
        <f>IF(N100,"H","")</f>
        <v/>
      </c>
      <c r="U101" s="194" t="n"/>
      <c r="V101" s="11726" t="n"/>
      <c r="W101" s="12785" t="n"/>
      <c r="X101" s="194" t="n"/>
      <c r="Y101" s="194" t="n"/>
      <c r="Z101" s="194" t="n"/>
      <c r="AA101" s="11726" t="n"/>
      <c r="AB101" s="6672" t="n"/>
      <c r="AC101" s="2355" t="n"/>
      <c r="AD101" s="6673" t="n"/>
      <c r="AE101" s="9969">
        <f>IF(AM101&lt;&gt;"",ROUND(AM101,0),IF(N100,SUM('W-2s'!G50:G51),""))</f>
        <v/>
      </c>
      <c r="AK101" s="2290" t="n"/>
      <c r="AL101" s="11602" t="n"/>
      <c r="AM101" s="12786" t="n"/>
      <c r="AN101" s="11602" t="n"/>
      <c r="AP101" s="658" t="n"/>
      <c r="AQ101" s="658" t="n"/>
      <c r="AR101" s="658" t="n"/>
      <c r="AS101" s="658" t="n"/>
      <c r="AT101" s="658" t="n"/>
      <c r="AU101" s="658" t="n"/>
      <c r="AV101" s="658" t="n"/>
      <c r="AW101" s="658" t="n"/>
      <c r="AX101" s="658" t="n"/>
      <c r="AY101" s="658" t="n"/>
      <c r="AZ101" s="2293" t="n"/>
    </row>
    <row r="102" ht="6.75" customFormat="1" customHeight="1" s="1115">
      <c r="A102" s="2290" t="n"/>
      <c r="B102" s="11717" t="n"/>
      <c r="C102" s="11717" t="n"/>
      <c r="D102" s="11717" t="n"/>
      <c r="E102" s="11717" t="n"/>
      <c r="F102" s="11717" t="n"/>
      <c r="G102" s="11717" t="n"/>
      <c r="H102" s="11717" t="n"/>
      <c r="I102" s="11717" t="n"/>
      <c r="J102" s="11717" t="n"/>
      <c r="K102" s="11717" t="n"/>
      <c r="L102" s="11717" t="n"/>
      <c r="M102" s="11718" t="n"/>
      <c r="N102" s="11728" t="n"/>
      <c r="O102" s="11717" t="n"/>
      <c r="P102" s="11717" t="n"/>
      <c r="Q102" s="11717" t="n"/>
      <c r="R102" s="11717" t="n"/>
      <c r="S102" s="11718" t="n"/>
      <c r="T102" s="11728" t="n"/>
      <c r="U102" s="11717" t="n"/>
      <c r="V102" s="11718" t="n"/>
      <c r="W102" s="11728" t="n"/>
      <c r="X102" s="11717" t="n"/>
      <c r="Y102" s="11717" t="n"/>
      <c r="Z102" s="11717" t="n"/>
      <c r="AA102" s="11718" t="n"/>
      <c r="AB102" s="6674" t="n"/>
      <c r="AC102" s="2294" t="n"/>
      <c r="AD102" s="6675" t="n"/>
      <c r="AE102" s="3614" t="n"/>
      <c r="AF102" s="7637" t="n"/>
      <c r="AG102" s="7637" t="n"/>
      <c r="AH102" s="7637" t="n"/>
      <c r="AI102" s="7637" t="n"/>
      <c r="AJ102" s="7637" t="n"/>
      <c r="AK102" s="2290" t="n"/>
      <c r="AL102" s="11602" t="n"/>
      <c r="AM102" s="11969" t="n"/>
      <c r="AN102" s="11602" t="n"/>
      <c r="AP102" s="658" t="n"/>
      <c r="AQ102" s="658" t="n"/>
      <c r="AR102" s="658" t="n"/>
      <c r="AS102" s="658" t="n"/>
      <c r="AT102" s="658" t="n"/>
      <c r="AU102" s="658" t="n"/>
      <c r="AV102" s="658" t="n"/>
      <c r="AW102" s="658" t="n"/>
      <c r="AX102" s="658" t="n"/>
      <c r="AY102" s="658" t="n"/>
      <c r="AZ102" s="2293" t="n"/>
    </row>
    <row r="103" ht="15.75" customFormat="1" customHeight="1" s="1115">
      <c r="A103" s="2290" t="n"/>
      <c r="B103" s="12463" t="n">
        <v>5</v>
      </c>
      <c r="C103" s="12464">
        <f>IF(N103,'W-2s'!H39,"")</f>
        <v/>
      </c>
      <c r="D103" s="11745" t="n"/>
      <c r="E103" s="11745" t="n"/>
      <c r="F103" s="11745" t="n"/>
      <c r="G103" s="11745" t="n"/>
      <c r="H103" s="11745" t="n"/>
      <c r="I103" s="11745" t="n"/>
      <c r="J103" s="11745" t="n"/>
      <c r="K103" s="11745" t="n"/>
      <c r="L103" s="11745" t="n"/>
      <c r="M103" s="11948" t="n"/>
      <c r="N103" s="12781">
        <f>OR('W-2s'!H51&lt;&gt;"",'W-2s'!H52&lt;&gt;"")</f>
        <v/>
      </c>
      <c r="O103" s="7839" t="n"/>
      <c r="P103" s="7839" t="n"/>
      <c r="Q103" s="7839" t="n"/>
      <c r="R103" s="7839" t="n"/>
      <c r="S103" s="10091" t="n"/>
      <c r="T103" s="12782">
        <f>IF(OR(T104="A",T104="a",T104="C",T104="c",T104="G",T104="g",T104="H",T104="h",T104=""),"","Wrong code.")</f>
        <v/>
      </c>
      <c r="U103" s="7839" t="n"/>
      <c r="V103" s="10091" t="n"/>
      <c r="W103" s="6628" t="n"/>
      <c r="X103" s="2291" t="n"/>
      <c r="Y103" s="2291" t="n"/>
      <c r="Z103" s="2291" t="n"/>
      <c r="AA103" s="6666" t="n"/>
      <c r="AB103" s="6628" t="n"/>
      <c r="AC103" s="2291" t="n"/>
      <c r="AD103" s="6671" t="n"/>
      <c r="AE103" s="11337" t="n"/>
      <c r="AF103" s="7839" t="n"/>
      <c r="AG103" s="7839" t="n"/>
      <c r="AH103" s="7839" t="n"/>
      <c r="AI103" s="7839" t="n"/>
      <c r="AJ103" s="7839" t="n"/>
      <c r="AK103" s="2290" t="n"/>
      <c r="AL103" s="11602" t="n"/>
      <c r="AM103" s="11602" t="n"/>
      <c r="AN103" s="11602" t="n"/>
      <c r="AP103" s="658" t="n"/>
      <c r="AQ103" s="658" t="n"/>
      <c r="AR103" s="658" t="n"/>
      <c r="AS103" s="658" t="n"/>
      <c r="AT103" s="658" t="n"/>
      <c r="AU103" s="658" t="n"/>
      <c r="AV103" s="658" t="n"/>
      <c r="AW103" s="658" t="n"/>
      <c r="AX103" s="658" t="n"/>
      <c r="AY103" s="658" t="n"/>
      <c r="AZ103" s="2293" t="n"/>
    </row>
    <row r="104" ht="12.75" customFormat="1" customHeight="1" s="1115">
      <c r="A104" s="2290" t="n"/>
      <c r="B104" s="194" t="n"/>
      <c r="C104" s="194" t="n"/>
      <c r="D104" s="194" t="n"/>
      <c r="E104" s="194" t="n"/>
      <c r="F104" s="194" t="n"/>
      <c r="G104" s="194" t="n"/>
      <c r="H104" s="194" t="n"/>
      <c r="I104" s="194" t="n"/>
      <c r="J104" s="194" t="n"/>
      <c r="K104" s="194" t="n"/>
      <c r="L104" s="194" t="n"/>
      <c r="M104" s="11726" t="n"/>
      <c r="N104" s="12783" t="n"/>
      <c r="O104" s="194" t="n"/>
      <c r="P104" s="194" t="n"/>
      <c r="Q104" s="194" t="n"/>
      <c r="R104" s="194" t="n"/>
      <c r="S104" s="11726" t="n"/>
      <c r="T104" s="12784">
        <f>IF(N103,"H","")</f>
        <v/>
      </c>
      <c r="U104" s="194" t="n"/>
      <c r="V104" s="11726" t="n"/>
      <c r="W104" s="12785" t="n"/>
      <c r="X104" s="194" t="n"/>
      <c r="Y104" s="194" t="n"/>
      <c r="Z104" s="194" t="n"/>
      <c r="AA104" s="11726" t="n"/>
      <c r="AB104" s="6672" t="n"/>
      <c r="AC104" s="2355" t="n"/>
      <c r="AD104" s="6673" t="n"/>
      <c r="AE104" s="9969">
        <f>IF(AM104&lt;&gt;"",ROUND(AM104,0),IF(N103,SUM('W-2s'!H50:H51),""))</f>
        <v/>
      </c>
      <c r="AK104" s="2290" t="n"/>
      <c r="AL104" s="11602" t="n"/>
      <c r="AM104" s="12786" t="n"/>
      <c r="AN104" s="11602" t="n"/>
      <c r="AP104" s="658" t="n"/>
      <c r="AQ104" s="658" t="n"/>
      <c r="AR104" s="658" t="n"/>
      <c r="AS104" s="658" t="n"/>
      <c r="AT104" s="658" t="n"/>
      <c r="AU104" s="658" t="n"/>
      <c r="AV104" s="658" t="n"/>
      <c r="AW104" s="658" t="n"/>
      <c r="AX104" s="658" t="n"/>
      <c r="AY104" s="658" t="n"/>
      <c r="AZ104" s="2293" t="n"/>
    </row>
    <row r="105" ht="6.75" customFormat="1" customHeight="1" s="1115">
      <c r="A105" s="2290" t="n"/>
      <c r="B105" s="11717" t="n"/>
      <c r="C105" s="11717" t="n"/>
      <c r="D105" s="11717" t="n"/>
      <c r="E105" s="11717" t="n"/>
      <c r="F105" s="11717" t="n"/>
      <c r="G105" s="11717" t="n"/>
      <c r="H105" s="11717" t="n"/>
      <c r="I105" s="11717" t="n"/>
      <c r="J105" s="11717" t="n"/>
      <c r="K105" s="11717" t="n"/>
      <c r="L105" s="11717" t="n"/>
      <c r="M105" s="11718" t="n"/>
      <c r="N105" s="11728" t="n"/>
      <c r="O105" s="11717" t="n"/>
      <c r="P105" s="11717" t="n"/>
      <c r="Q105" s="11717" t="n"/>
      <c r="R105" s="11717" t="n"/>
      <c r="S105" s="11718" t="n"/>
      <c r="T105" s="11728" t="n"/>
      <c r="U105" s="11717" t="n"/>
      <c r="V105" s="11718" t="n"/>
      <c r="W105" s="11728" t="n"/>
      <c r="X105" s="11717" t="n"/>
      <c r="Y105" s="11717" t="n"/>
      <c r="Z105" s="11717" t="n"/>
      <c r="AA105" s="11718" t="n"/>
      <c r="AB105" s="6674" t="n"/>
      <c r="AC105" s="2294" t="n"/>
      <c r="AD105" s="6675" t="n"/>
      <c r="AE105" s="3614" t="n"/>
      <c r="AF105" s="7637" t="n"/>
      <c r="AG105" s="7637" t="n"/>
      <c r="AH105" s="7637" t="n"/>
      <c r="AI105" s="7637" t="n"/>
      <c r="AJ105" s="7637" t="n"/>
      <c r="AK105" s="2290" t="n"/>
      <c r="AL105" s="11602" t="n"/>
      <c r="AM105" s="11969" t="n"/>
      <c r="AN105" s="11602" t="n"/>
      <c r="AP105" s="658" t="n"/>
      <c r="AQ105" s="658" t="n"/>
      <c r="AR105" s="658" t="n"/>
      <c r="AS105" s="658" t="n"/>
      <c r="AT105" s="658" t="n"/>
      <c r="AU105" s="658" t="n"/>
      <c r="AV105" s="658" t="n"/>
      <c r="AW105" s="658" t="n"/>
      <c r="AX105" s="658" t="n"/>
      <c r="AY105" s="658" t="n"/>
      <c r="AZ105" s="2293" t="n"/>
    </row>
    <row r="106" ht="15.75" customFormat="1" customHeight="1" s="1115">
      <c r="A106" s="2290" t="n"/>
      <c r="B106" s="9988" t="n">
        <v>6</v>
      </c>
      <c r="C106" s="7772" t="inlineStr">
        <is>
          <t>Total wages. Combine lines 1 through 5 in column (f). Enter here and on Form 1040, 1040-SR, or</t>
        </is>
      </c>
      <c r="D106" s="6624" t="n"/>
      <c r="E106" s="4904" t="n"/>
      <c r="F106" s="6667" t="n"/>
      <c r="G106" s="7772" t="n"/>
      <c r="H106" s="4524" t="n"/>
      <c r="I106" s="4524" t="n"/>
      <c r="J106" s="4524" t="n"/>
      <c r="K106" s="4524" t="n"/>
      <c r="L106" s="4524" t="n"/>
      <c r="M106" s="4524" t="n"/>
      <c r="N106" s="4524" t="n"/>
      <c r="O106" s="4524" t="n"/>
      <c r="P106" s="4524" t="n"/>
      <c r="Q106" s="4524" t="n"/>
      <c r="R106" s="4524" t="n"/>
      <c r="S106" s="4524" t="n"/>
      <c r="T106" s="4524" t="n"/>
      <c r="U106" s="4524" t="n"/>
      <c r="V106" s="4524" t="n"/>
      <c r="W106" s="4524" t="n"/>
      <c r="X106" s="4524" t="n"/>
      <c r="Y106" s="4524" t="n"/>
      <c r="Z106" s="4524" t="n"/>
      <c r="AA106" s="4524" t="n"/>
      <c r="AB106" s="4524" t="n"/>
      <c r="AC106" s="4524" t="n"/>
      <c r="AD106" s="6676" t="n"/>
      <c r="AE106" s="4524" t="n"/>
      <c r="AF106" s="4524" t="n"/>
      <c r="AG106" s="4524" t="n"/>
      <c r="AH106" s="4524" t="n"/>
      <c r="AI106" s="4521" t="n"/>
      <c r="AJ106" s="4521" t="n"/>
      <c r="AK106" s="2290" t="n"/>
      <c r="AL106" s="11602" t="n"/>
      <c r="AM106" s="11602" t="n"/>
      <c r="AN106" s="11602" t="n"/>
      <c r="AP106" s="658" t="n"/>
      <c r="AQ106" s="658" t="n"/>
      <c r="AR106" s="658" t="n"/>
      <c r="AS106" s="658" t="n"/>
      <c r="AT106" s="658" t="n"/>
      <c r="AU106" s="658" t="n"/>
      <c r="AV106" s="658" t="n"/>
      <c r="AW106" s="658" t="n"/>
      <c r="AX106" s="658" t="n"/>
      <c r="AY106" s="658" t="n"/>
      <c r="AZ106" s="2293" t="n"/>
    </row>
    <row r="107" ht="15.75" customFormat="1" customHeight="1" s="1115">
      <c r="A107" s="2290" t="n"/>
      <c r="B107" s="4904" t="n"/>
      <c r="C107" s="7772" t="inlineStr">
        <is>
          <t>1040-NR, line 1g</t>
        </is>
      </c>
      <c r="D107" s="6624" t="n"/>
      <c r="E107" s="4904" t="n"/>
      <c r="F107" s="6667" t="n"/>
      <c r="G107" s="7772" t="n"/>
      <c r="H107" s="4524" t="n"/>
      <c r="I107" s="4524" t="n"/>
      <c r="J107" s="4524" t="n"/>
      <c r="K107" s="4524" t="n"/>
      <c r="L107" s="4524" t="n"/>
      <c r="M107" s="4524" t="n"/>
      <c r="N107" s="4524" t="n"/>
      <c r="O107" s="4524" t="n"/>
      <c r="P107" s="4524" t="n"/>
      <c r="Q107" s="4524" t="n"/>
      <c r="R107" s="4524" t="n"/>
      <c r="S107" s="4524" t="n"/>
      <c r="T107" s="4524" t="n"/>
      <c r="U107" s="4524" t="n"/>
      <c r="V107" s="4524" t="n"/>
      <c r="W107" s="4524" t="n"/>
      <c r="X107" s="4524" t="n"/>
      <c r="Y107" s="4524" t="n"/>
      <c r="Z107" s="4524" t="n"/>
      <c r="AA107" s="4524" t="n"/>
      <c r="AB107" s="4524" t="n"/>
      <c r="AC107" s="4524" t="n"/>
      <c r="AD107" s="6633" t="n">
        <v>6</v>
      </c>
      <c r="AE107" s="9969">
        <f>IF(AM107&lt;&gt;"",ROUND(AM107,0),IF(AN107,"",SUM(AE92,AE95,AE98,AE101,AE104)))</f>
        <v/>
      </c>
      <c r="AF107" s="7637" t="n"/>
      <c r="AG107" s="7637" t="n"/>
      <c r="AH107" s="7637" t="n"/>
      <c r="AI107" s="7637" t="n"/>
      <c r="AJ107" s="7637" t="n"/>
      <c r="AK107" s="2290" t="n"/>
      <c r="AL107" s="11602" t="n"/>
      <c r="AM107" s="6642" t="n"/>
      <c r="AN107" s="512">
        <f>AND(AM107="",AE92="",AE95="",AE98="",AE101="",AE104="")</f>
        <v/>
      </c>
      <c r="AP107" s="658" t="n"/>
      <c r="AQ107" s="658" t="n"/>
      <c r="AR107" s="658" t="n"/>
      <c r="AS107" s="658" t="n"/>
      <c r="AT107" s="658" t="n"/>
      <c r="AU107" s="658" t="n"/>
      <c r="AV107" s="658" t="n"/>
      <c r="AW107" s="658" t="n"/>
      <c r="AX107" s="658" t="n"/>
      <c r="AY107" s="658" t="n"/>
      <c r="AZ107" s="2293" t="n"/>
    </row>
    <row r="108" ht="15.75" customFormat="1" customHeight="1" s="1115">
      <c r="A108" s="2290" t="n"/>
      <c r="B108" s="9988" t="n">
        <v>7</v>
      </c>
      <c r="C108" s="7772" t="inlineStr">
        <is>
          <t>Maximum amount of wages subject to social security tax</t>
        </is>
      </c>
      <c r="D108" s="7772" t="n"/>
      <c r="E108" s="4904" t="n"/>
      <c r="F108" s="6667" t="n"/>
      <c r="G108" s="7772" t="n"/>
      <c r="H108" s="4524" t="n"/>
      <c r="I108" s="4524" t="n"/>
      <c r="J108" s="4524" t="n"/>
      <c r="K108" s="4524" t="n"/>
      <c r="L108" s="4524" t="n"/>
      <c r="M108" s="4524" t="n"/>
      <c r="N108" s="4524" t="n"/>
      <c r="O108" s="4524" t="n"/>
      <c r="P108" s="4524" t="n"/>
      <c r="Q108" s="4524" t="n"/>
      <c r="R108" s="4524" t="n"/>
      <c r="S108" s="4524" t="n"/>
      <c r="T108" s="4524" t="n"/>
      <c r="U108" s="4524" t="n"/>
      <c r="V108" s="4524" t="n"/>
      <c r="W108" s="4524" t="n"/>
      <c r="X108" s="4524" t="n"/>
      <c r="Y108" s="6634" t="n">
        <v>7</v>
      </c>
      <c r="Z108" s="12787">
        <f>MaxSSTaxEarnings</f>
        <v/>
      </c>
      <c r="AA108" s="8412" t="n"/>
      <c r="AB108" s="8412" t="n"/>
      <c r="AC108" s="11734" t="n"/>
      <c r="AD108" s="6635" t="n"/>
      <c r="AE108" s="4524" t="n"/>
      <c r="AF108" s="4524" t="n"/>
      <c r="AG108" s="4524" t="n"/>
      <c r="AH108" s="4524" t="n"/>
      <c r="AI108" s="4521" t="n"/>
      <c r="AJ108" s="4521" t="n"/>
      <c r="AK108" s="2290" t="n"/>
      <c r="AL108" s="11602" t="n"/>
      <c r="AM108" s="11602" t="n"/>
      <c r="AN108" s="990">
        <f>SUM(AE48,AE107)</f>
        <v/>
      </c>
      <c r="AP108" s="658" t="n"/>
      <c r="AQ108" s="658" t="n"/>
      <c r="AR108" s="658" t="n"/>
      <c r="AS108" s="658" t="n"/>
      <c r="AT108" s="658" t="n"/>
      <c r="AU108" s="658" t="n"/>
      <c r="AV108" s="658" t="n"/>
      <c r="AW108" s="658" t="n"/>
      <c r="AX108" s="658" t="n"/>
      <c r="AY108" s="658" t="n"/>
      <c r="AZ108" s="2293" t="n"/>
    </row>
    <row r="109" ht="15.75" customFormat="1" customHeight="1" s="1115">
      <c r="A109" s="2290" t="n"/>
      <c r="B109" s="9988" t="n">
        <v>8</v>
      </c>
      <c r="C109" s="7772" t="inlineStr">
        <is>
          <t>Total social security wages and social security tips (total of boxes 3 and 7 on</t>
        </is>
      </c>
      <c r="D109" s="7772" t="n"/>
      <c r="E109" s="4904" t="n"/>
      <c r="F109" s="6667" t="n"/>
      <c r="G109" s="7772" t="n"/>
      <c r="H109" s="4524" t="n"/>
      <c r="I109" s="4524" t="n"/>
      <c r="J109" s="4524" t="n"/>
      <c r="K109" s="4524" t="n"/>
      <c r="L109" s="4524" t="n"/>
      <c r="M109" s="4524" t="n"/>
      <c r="N109" s="4524" t="n"/>
      <c r="O109" s="4524" t="n"/>
      <c r="P109" s="4524" t="n"/>
      <c r="Q109" s="4524" t="n"/>
      <c r="R109" s="4524" t="n"/>
      <c r="S109" s="4524" t="n"/>
      <c r="T109" s="4524" t="n"/>
      <c r="U109" s="4524" t="n"/>
      <c r="V109" s="4524" t="n"/>
      <c r="W109" s="4524" t="n"/>
      <c r="X109" s="4524" t="n"/>
      <c r="Y109" s="6630" t="n"/>
      <c r="Z109" s="4524" t="n"/>
      <c r="AA109" s="4524" t="n"/>
      <c r="AB109" s="4524" t="n"/>
      <c r="AC109" s="4524" t="n"/>
      <c r="AD109" s="6636" t="n"/>
      <c r="AE109" s="4524" t="n"/>
      <c r="AF109" s="4524" t="n"/>
      <c r="AG109" s="4524" t="n"/>
      <c r="AH109" s="4524" t="n"/>
      <c r="AI109" s="4521" t="n"/>
      <c r="AJ109" s="4521" t="n"/>
      <c r="AK109" s="2290" t="n"/>
      <c r="AL109" s="11602" t="n"/>
      <c r="AM109" s="11602" t="n"/>
      <c r="AN109" s="11602" t="n"/>
      <c r="AP109" s="658" t="n"/>
      <c r="AQ109" s="658" t="n"/>
      <c r="AR109" s="658" t="n"/>
      <c r="AS109" s="658" t="n"/>
      <c r="AT109" s="658" t="n"/>
      <c r="AU109" s="658" t="n"/>
      <c r="AV109" s="658" t="n"/>
      <c r="AW109" s="658" t="n"/>
      <c r="AX109" s="658" t="n"/>
      <c r="AY109" s="658" t="n"/>
      <c r="AZ109" s="2293" t="n"/>
    </row>
    <row r="110" ht="15.75" customFormat="1" customHeight="1" s="1115">
      <c r="A110" s="2290" t="n"/>
      <c r="B110" s="9988" t="n"/>
      <c r="C110" s="7772" t="inlineStr">
        <is>
          <t>Form(s) W-2), railroad retirement (RRTA) compensation (subject to the 6.2%</t>
        </is>
      </c>
      <c r="D110" s="7772" t="n"/>
      <c r="E110" s="4904" t="n"/>
      <c r="F110" s="6667" t="n"/>
      <c r="G110" s="7772" t="n"/>
      <c r="H110" s="4524" t="n"/>
      <c r="I110" s="4524" t="n"/>
      <c r="J110" s="4524" t="n"/>
      <c r="K110" s="4524" t="n"/>
      <c r="L110" s="6629" t="n"/>
      <c r="M110" s="4524" t="n"/>
      <c r="N110" s="4524" t="n"/>
      <c r="O110" s="4524" t="n"/>
      <c r="P110" s="4524" t="n"/>
      <c r="Q110" s="4524" t="n"/>
      <c r="R110" s="4524" t="n"/>
      <c r="S110" s="4524" t="n"/>
      <c r="T110" s="4524" t="n"/>
      <c r="U110" s="4524" t="n"/>
      <c r="V110" s="4524" t="n"/>
      <c r="W110" s="4524" t="n"/>
      <c r="X110" s="4524" t="n"/>
      <c r="Y110" s="6631" t="n"/>
      <c r="Z110" s="12788">
        <f>SUM('W-2s'!J42,'W-2s'!J46)</f>
        <v/>
      </c>
      <c r="AC110" s="7636" t="n"/>
      <c r="AD110" s="6636" t="n"/>
      <c r="AE110" s="4524" t="n"/>
      <c r="AF110" s="4524" t="n"/>
      <c r="AG110" s="4524" t="n"/>
      <c r="AH110" s="4524" t="n"/>
      <c r="AI110" s="4521" t="n"/>
      <c r="AJ110" s="4521" t="n"/>
      <c r="AK110" s="2290" t="n"/>
      <c r="AL110" s="11602" t="n"/>
      <c r="AM110" s="11602" t="n"/>
      <c r="AN110" s="11602" t="n"/>
      <c r="AP110" s="658" t="n"/>
      <c r="AQ110" s="658" t="n"/>
      <c r="AR110" s="658" t="n"/>
      <c r="AS110" s="658" t="n"/>
      <c r="AT110" s="658" t="n"/>
      <c r="AU110" s="658" t="n"/>
      <c r="AV110" s="658" t="n"/>
      <c r="AW110" s="658" t="n"/>
      <c r="AX110" s="658" t="n"/>
      <c r="AY110" s="658" t="n"/>
      <c r="AZ110" s="2293" t="n"/>
    </row>
    <row r="111" ht="15.75" customFormat="1" customHeight="1" s="1115">
      <c r="A111" s="2290" t="n"/>
      <c r="B111" s="9988" t="n"/>
      <c r="C111" s="7772" t="inlineStr">
        <is>
          <t>rate), and unreported tips subject to social security tax from Form 4137, line</t>
        </is>
      </c>
      <c r="D111" s="7772" t="n"/>
      <c r="E111" s="4904" t="n"/>
      <c r="F111" s="6667" t="n"/>
      <c r="G111" s="7772" t="n"/>
      <c r="H111" s="4524" t="n"/>
      <c r="I111" s="4524" t="n"/>
      <c r="J111" s="4524" t="n"/>
      <c r="K111" s="4524" t="n"/>
      <c r="L111" s="4524" t="n"/>
      <c r="M111" s="4524" t="n"/>
      <c r="N111" s="4524" t="n"/>
      <c r="O111" s="4524" t="n"/>
      <c r="P111" s="4524" t="n"/>
      <c r="Q111" s="4524" t="n"/>
      <c r="R111" s="4524" t="n"/>
      <c r="S111" s="4524" t="n"/>
      <c r="T111" s="4524" t="n"/>
      <c r="U111" s="4524" t="n"/>
      <c r="V111" s="4524" t="n"/>
      <c r="W111" s="4524" t="n"/>
      <c r="X111" s="4524" t="n"/>
      <c r="Y111" s="6631" t="n"/>
      <c r="Z111" s="12788">
        <f>IF(OR('4137'!AE82="",'4137'!AE82=0),0,'4137'!AE82)</f>
        <v/>
      </c>
      <c r="AC111" s="7636" t="n"/>
      <c r="AD111" s="6636" t="n"/>
      <c r="AE111" s="4524" t="n"/>
      <c r="AF111" s="4524" t="n"/>
      <c r="AG111" s="4524" t="n"/>
      <c r="AH111" s="4524" t="n"/>
      <c r="AI111" s="4521" t="n"/>
      <c r="AJ111" s="4521" t="n"/>
      <c r="AK111" s="2290" t="n"/>
      <c r="AL111" s="11602" t="n"/>
      <c r="AM111" s="11602" t="n"/>
      <c r="AN111" s="11602" t="n"/>
      <c r="AP111" s="658" t="n"/>
      <c r="AQ111" s="658" t="n"/>
      <c r="AR111" s="658" t="n"/>
      <c r="AS111" s="658" t="n"/>
      <c r="AT111" s="658" t="n"/>
      <c r="AU111" s="658" t="n"/>
      <c r="AV111" s="658" t="n"/>
      <c r="AW111" s="658" t="n"/>
      <c r="AX111" s="658" t="n"/>
      <c r="AY111" s="658" t="n"/>
      <c r="AZ111" s="2293" t="n"/>
    </row>
    <row r="112" ht="15.75" customFormat="1" customHeight="1" s="1115">
      <c r="A112" s="2290" t="n"/>
      <c r="B112" s="9988" t="n"/>
      <c r="C112" s="7772" t="inlineStr">
        <is>
          <t>10. See instructions</t>
        </is>
      </c>
      <c r="D112" s="7772" t="n"/>
      <c r="E112" s="4904" t="n"/>
      <c r="F112" s="6667" t="n"/>
      <c r="G112" s="7772" t="n"/>
      <c r="H112" s="4524" t="n"/>
      <c r="I112" s="4524" t="n"/>
      <c r="J112" s="4524" t="n"/>
      <c r="K112" s="4524" t="n"/>
      <c r="L112" s="4524" t="n"/>
      <c r="M112" s="4524" t="n"/>
      <c r="N112" s="4524" t="n"/>
      <c r="O112" s="4524" t="n"/>
      <c r="P112" s="4524" t="n"/>
      <c r="Q112" s="4524" t="n"/>
      <c r="R112" s="4524" t="n"/>
      <c r="S112" s="4524" t="n"/>
      <c r="T112" s="4524" t="n"/>
      <c r="U112" s="4524" t="n"/>
      <c r="V112" s="4524" t="n"/>
      <c r="W112" s="4524" t="n"/>
      <c r="X112" s="4524" t="n"/>
      <c r="Y112" s="6633" t="n">
        <v>8</v>
      </c>
      <c r="Z112" s="12471">
        <f>IF(OR(AN107,AND(OR(Z110="",Z110=0),OR(Z111="",Z111=0))),"",SUM(Z110,Z111))</f>
        <v/>
      </c>
      <c r="AA112" s="7637" t="n"/>
      <c r="AB112" s="7637" t="n"/>
      <c r="AC112" s="7638" t="n"/>
      <c r="AD112" s="6637" t="n"/>
      <c r="AE112" s="4524" t="n"/>
      <c r="AF112" s="4524" t="n"/>
      <c r="AG112" s="4524" t="n"/>
      <c r="AH112" s="4524" t="n"/>
      <c r="AI112" s="4521" t="n"/>
      <c r="AJ112" s="4521" t="n"/>
      <c r="AK112" s="2290" t="n"/>
      <c r="AL112" s="11602" t="n"/>
      <c r="AM112" s="11602" t="n"/>
      <c r="AN112" s="11602" t="n"/>
      <c r="AP112" s="658" t="n"/>
      <c r="AQ112" s="658" t="n"/>
      <c r="AR112" s="658" t="n"/>
      <c r="AS112" s="658" t="n"/>
      <c r="AT112" s="658" t="n"/>
      <c r="AU112" s="658" t="n"/>
      <c r="AV112" s="658" t="n"/>
      <c r="AW112" s="658" t="n"/>
      <c r="AX112" s="658" t="n"/>
      <c r="AY112" s="658" t="n"/>
      <c r="AZ112" s="2293" t="n"/>
    </row>
    <row r="113" ht="15.75" customFormat="1" customHeight="1" s="1115">
      <c r="A113" s="2290" t="n"/>
      <c r="B113" s="9988" t="n">
        <v>9</v>
      </c>
      <c r="C113" s="7772" t="inlineStr">
        <is>
          <t>Subtract line 8 from line 7. If line 8 is more than line 7, enter -0- here and on line 10</t>
        </is>
      </c>
      <c r="D113" s="7772" t="n"/>
      <c r="E113" s="4904" t="n"/>
      <c r="F113" s="6667" t="n"/>
      <c r="G113" s="7772" t="n"/>
      <c r="H113" s="4524" t="n"/>
      <c r="I113" s="4524" t="n"/>
      <c r="J113" s="4524" t="n"/>
      <c r="K113" s="4524" t="n"/>
      <c r="L113" s="4524" t="n"/>
      <c r="M113" s="4524" t="n"/>
      <c r="N113" s="4524" t="n"/>
      <c r="O113" s="4524" t="n"/>
      <c r="P113" s="4524" t="n"/>
      <c r="Q113" s="4524" t="n"/>
      <c r="R113" s="4524" t="n"/>
      <c r="S113" s="4524" t="n"/>
      <c r="T113" s="4524" t="n"/>
      <c r="U113" s="4524" t="n"/>
      <c r="V113" s="4524" t="n"/>
      <c r="W113" s="4524" t="n"/>
      <c r="X113" s="4524" t="n"/>
      <c r="Y113" s="4524" t="n"/>
      <c r="Z113" s="11346">
        <f>Z112&gt;Z108</f>
        <v/>
      </c>
      <c r="AA113" s="7839" t="n"/>
      <c r="AB113" s="7839" t="n"/>
      <c r="AC113" s="10091" t="n"/>
      <c r="AD113" s="6633" t="n">
        <v>9</v>
      </c>
      <c r="AE113" s="9969">
        <f>IF(AN107,"",IF(Z113,0,SUM(Z108,-Z112)))</f>
        <v/>
      </c>
      <c r="AF113" s="7637" t="n"/>
      <c r="AG113" s="7637" t="n"/>
      <c r="AH113" s="7637" t="n"/>
      <c r="AI113" s="7637" t="n"/>
      <c r="AJ113" s="7637" t="n"/>
      <c r="AK113" s="2290" t="n"/>
      <c r="AL113" s="11602" t="n"/>
      <c r="AM113" s="11602" t="n"/>
      <c r="AN113" s="11602" t="n"/>
      <c r="AP113" s="658" t="n"/>
      <c r="AQ113" s="658" t="n"/>
      <c r="AR113" s="658" t="n"/>
      <c r="AS113" s="658" t="n"/>
      <c r="AT113" s="658" t="n"/>
      <c r="AU113" s="658" t="n"/>
      <c r="AV113" s="658" t="n"/>
      <c r="AW113" s="658" t="n"/>
      <c r="AX113" s="658" t="n"/>
      <c r="AY113" s="658" t="n"/>
      <c r="AZ113" s="2293" t="n"/>
    </row>
    <row r="114" ht="15.75" customFormat="1" customHeight="1" s="1115">
      <c r="A114" s="2290" t="n"/>
      <c r="B114" s="9988" t="n">
        <v>10</v>
      </c>
      <c r="C114" s="7772" t="inlineStr">
        <is>
          <t>Wages subject to social security tax. Enter the smaller of line 6 or line 9</t>
        </is>
      </c>
      <c r="D114" s="7772" t="n"/>
      <c r="E114" s="4904" t="n"/>
      <c r="F114" s="6667" t="n"/>
      <c r="G114" s="7772" t="n"/>
      <c r="H114" s="4524" t="n"/>
      <c r="I114" s="4524" t="n"/>
      <c r="J114" s="4524" t="n"/>
      <c r="K114" s="4524" t="n"/>
      <c r="L114" s="4524" t="n"/>
      <c r="M114" s="4524" t="n"/>
      <c r="N114" s="4524" t="n"/>
      <c r="O114" s="4524" t="n"/>
      <c r="P114" s="4524" t="n"/>
      <c r="Q114" s="4524" t="n"/>
      <c r="R114" s="4524" t="n"/>
      <c r="S114" s="4524" t="n"/>
      <c r="T114" s="4524" t="n"/>
      <c r="U114" s="4524" t="n"/>
      <c r="V114" s="4524" t="n"/>
      <c r="W114" s="4524" t="n"/>
      <c r="X114" s="4524" t="n"/>
      <c r="Y114" s="4524" t="n"/>
      <c r="Z114" s="4524" t="n"/>
      <c r="AA114" s="4524" t="n"/>
      <c r="AB114" s="4524" t="n"/>
      <c r="AC114" s="4524" t="n"/>
      <c r="AD114" s="6633" t="n">
        <v>10</v>
      </c>
      <c r="AE114" s="9969">
        <f>IF(AN107,"",IF(Z113,0,MIN(AE107,AE113)))</f>
        <v/>
      </c>
      <c r="AF114" s="7637" t="n"/>
      <c r="AG114" s="7637" t="n"/>
      <c r="AH114" s="7637" t="n"/>
      <c r="AI114" s="7637" t="n"/>
      <c r="AJ114" s="7637" t="n"/>
      <c r="AK114" s="2290" t="n"/>
      <c r="AL114" s="11602" t="n"/>
      <c r="AM114" s="11602" t="n"/>
      <c r="AN114" s="11602" t="n"/>
      <c r="AP114" s="658" t="n"/>
      <c r="AQ114" s="658" t="n"/>
      <c r="AR114" s="658" t="n"/>
      <c r="AS114" s="658" t="n"/>
      <c r="AT114" s="658" t="n"/>
      <c r="AU114" s="658" t="n"/>
      <c r="AV114" s="658" t="n"/>
      <c r="AW114" s="658" t="n"/>
      <c r="AX114" s="658" t="n"/>
      <c r="AY114" s="658" t="n"/>
      <c r="AZ114" s="2293" t="n"/>
    </row>
    <row r="115" ht="15.75" customFormat="1" customHeight="1" s="1115">
      <c r="A115" s="2290" t="n"/>
      <c r="B115" s="9988" t="n">
        <v>11</v>
      </c>
      <c r="C115" s="7772" t="inlineStr">
        <is>
          <t>Multiply line 10 by 0.062 (social security tax rate)</t>
        </is>
      </c>
      <c r="D115" s="7772" t="n"/>
      <c r="E115" s="4904" t="n"/>
      <c r="F115" s="6667" t="n"/>
      <c r="G115" s="7772" t="n"/>
      <c r="H115" s="4524" t="n"/>
      <c r="I115" s="4524" t="n"/>
      <c r="J115" s="4524" t="n"/>
      <c r="K115" s="4524" t="n"/>
      <c r="L115" s="6629" t="n"/>
      <c r="M115" s="4524" t="n"/>
      <c r="N115" s="4524" t="n"/>
      <c r="O115" s="4524" t="n"/>
      <c r="P115" s="4524" t="n"/>
      <c r="Q115" s="4524" t="n"/>
      <c r="R115" s="4524" t="n"/>
      <c r="S115" s="4524" t="n"/>
      <c r="T115" s="4524" t="n"/>
      <c r="U115" s="4524" t="n"/>
      <c r="V115" s="4524" t="n"/>
      <c r="W115" s="4524" t="n"/>
      <c r="X115" s="4524" t="n"/>
      <c r="Y115" s="4524" t="n"/>
      <c r="Z115" s="4524" t="n"/>
      <c r="AA115" s="4524" t="n"/>
      <c r="AB115" s="4524" t="n"/>
      <c r="AC115" s="4524" t="n"/>
      <c r="AD115" s="6633" t="n">
        <v>11</v>
      </c>
      <c r="AE115" s="9969">
        <f>IF(AN107,"",ROUND(AE114*SSTaxRate,0))</f>
        <v/>
      </c>
      <c r="AF115" s="7637" t="n"/>
      <c r="AG115" s="7637" t="n"/>
      <c r="AH115" s="7637" t="n"/>
      <c r="AI115" s="7637" t="n"/>
      <c r="AJ115" s="7637" t="n"/>
      <c r="AK115" s="2290" t="n"/>
      <c r="AL115" s="11602" t="n"/>
      <c r="AM115" s="11602" t="n"/>
      <c r="AN115" s="11602" t="n"/>
      <c r="AP115" s="658" t="n"/>
      <c r="AQ115" s="658" t="n"/>
      <c r="AR115" s="658" t="n"/>
      <c r="AS115" s="658" t="n"/>
      <c r="AT115" s="658" t="n"/>
      <c r="AU115" s="658" t="n"/>
      <c r="AV115" s="658" t="n"/>
      <c r="AW115" s="658" t="n"/>
      <c r="AX115" s="658" t="n"/>
      <c r="AY115" s="658" t="n"/>
      <c r="AZ115" s="2293" t="n"/>
    </row>
    <row r="116" ht="15.75" customFormat="1" customHeight="1" s="1115">
      <c r="A116" s="2290" t="n"/>
      <c r="B116" s="9988" t="n">
        <v>12</v>
      </c>
      <c r="C116" s="7772" t="inlineStr">
        <is>
          <t>Multiply line 6 by 0.0145 (Medicare tax rate)</t>
        </is>
      </c>
      <c r="D116" s="7772" t="n"/>
      <c r="E116" s="4904" t="n"/>
      <c r="F116" s="6667" t="n"/>
      <c r="G116" s="7772" t="n"/>
      <c r="H116" s="4524" t="n"/>
      <c r="I116" s="4524" t="n"/>
      <c r="J116" s="4524" t="n"/>
      <c r="K116" s="4524" t="n"/>
      <c r="L116" s="4524" t="n"/>
      <c r="M116" s="4524" t="n"/>
      <c r="N116" s="4524" t="n"/>
      <c r="O116" s="4524" t="n"/>
      <c r="P116" s="4524" t="n"/>
      <c r="Q116" s="4524" t="n"/>
      <c r="R116" s="4524" t="n"/>
      <c r="S116" s="4524" t="n"/>
      <c r="T116" s="4524" t="n"/>
      <c r="U116" s="4524" t="n"/>
      <c r="V116" s="4524" t="n"/>
      <c r="W116" s="4524" t="n"/>
      <c r="X116" s="4524" t="n"/>
      <c r="Y116" s="4524" t="n"/>
      <c r="Z116" s="4524" t="n"/>
      <c r="AA116" s="4524" t="n"/>
      <c r="AB116" s="4524" t="n"/>
      <c r="AC116" s="4524" t="n"/>
      <c r="AD116" s="6633" t="n">
        <v>12</v>
      </c>
      <c r="AE116" s="9969">
        <f>IF(AN107,"",ROUND(AE107*MedicareTaxRate,0))</f>
        <v/>
      </c>
      <c r="AF116" s="7637" t="n"/>
      <c r="AG116" s="7637" t="n"/>
      <c r="AH116" s="7637" t="n"/>
      <c r="AI116" s="7637" t="n"/>
      <c r="AJ116" s="7637" t="n"/>
      <c r="AK116" s="2290" t="n"/>
      <c r="AL116" s="11602" t="n"/>
      <c r="AM116" s="11602" t="n"/>
      <c r="AN116" s="11602" t="n"/>
      <c r="AP116" s="658" t="n"/>
      <c r="AQ116" s="658" t="n"/>
      <c r="AR116" s="658" t="n"/>
      <c r="AS116" s="658" t="n"/>
      <c r="AT116" s="658" t="n"/>
      <c r="AU116" s="658" t="n"/>
      <c r="AV116" s="658" t="n"/>
      <c r="AW116" s="658" t="n"/>
      <c r="AX116" s="658" t="n"/>
      <c r="AY116" s="658" t="n"/>
      <c r="AZ116" s="2293" t="n"/>
    </row>
    <row r="117" ht="15.75" customFormat="1" customHeight="1" s="1115">
      <c r="A117" s="2290" t="n"/>
      <c r="B117" s="9988" t="n">
        <v>13</v>
      </c>
      <c r="C117" s="7772" t="inlineStr">
        <is>
          <t xml:space="preserve">Add lines 11 and 12. Enter here. Include as tax on your annual tax return (Schedule 2 (Form 1040), line 6, </t>
        </is>
      </c>
      <c r="D117" s="7772" t="n"/>
      <c r="E117" s="4904" t="n"/>
      <c r="F117" s="6667" t="n"/>
      <c r="G117" s="7772" t="n"/>
      <c r="H117" s="4524" t="n"/>
      <c r="I117" s="4524" t="n"/>
      <c r="J117" s="4524" t="n"/>
      <c r="K117" s="4524" t="n"/>
      <c r="L117" s="4524" t="n"/>
      <c r="M117" s="4524" t="n"/>
      <c r="N117" s="4524" t="n"/>
      <c r="O117" s="4524" t="n"/>
      <c r="P117" s="4524" t="n"/>
      <c r="Q117" s="4524" t="n"/>
      <c r="R117" s="4524" t="n"/>
      <c r="S117" s="4524" t="n"/>
      <c r="T117" s="4524" t="n"/>
      <c r="U117" s="4524" t="n"/>
      <c r="V117" s="4524" t="n"/>
      <c r="W117" s="4524" t="n"/>
      <c r="X117" s="4524" t="n"/>
      <c r="Y117" s="4524" t="n"/>
      <c r="Z117" s="4524" t="n"/>
      <c r="AA117" s="4524" t="n"/>
      <c r="AB117" s="4524" t="n"/>
      <c r="AC117" s="4524" t="n"/>
      <c r="AD117" s="6643" t="n"/>
      <c r="AE117" s="6645" t="n"/>
      <c r="AF117" s="6645" t="n"/>
      <c r="AG117" s="6645" t="n"/>
      <c r="AH117" s="6645" t="n"/>
      <c r="AI117" s="6646" t="n"/>
      <c r="AJ117" s="6646" t="n"/>
      <c r="AK117" s="2290" t="n"/>
      <c r="AL117" s="11602" t="n"/>
      <c r="AM117" s="11602" t="n"/>
      <c r="AN117" s="11602" t="n"/>
      <c r="AP117" s="658" t="n"/>
      <c r="AQ117" s="658" t="n"/>
      <c r="AR117" s="658" t="n"/>
      <c r="AS117" s="658" t="n"/>
      <c r="AT117" s="658" t="n"/>
      <c r="AU117" s="658" t="n"/>
      <c r="AV117" s="658" t="n"/>
      <c r="AW117" s="658" t="n"/>
      <c r="AX117" s="658" t="n"/>
      <c r="AY117" s="658" t="n"/>
      <c r="AZ117" s="2293" t="n"/>
    </row>
    <row r="118" ht="15.75" customFormat="1" customHeight="1" s="1115" thickBot="1">
      <c r="A118" s="2290" t="n"/>
      <c r="B118" s="4817" t="n"/>
      <c r="C118" s="5003" t="inlineStr">
        <is>
          <t xml:space="preserve">or Form 1040-SS, Part I, line 6c). See the instructions there </t>
        </is>
      </c>
      <c r="D118" s="5003" t="n"/>
      <c r="E118" s="6638" t="n"/>
      <c r="F118" s="6678" t="n"/>
      <c r="G118" s="5003" t="n"/>
      <c r="H118" s="6640" t="n"/>
      <c r="I118" s="6640" t="n"/>
      <c r="J118" s="6640" t="n"/>
      <c r="K118" s="6640" t="n"/>
      <c r="L118" s="6640" t="n"/>
      <c r="M118" s="6640" t="n"/>
      <c r="N118" s="6640" t="n"/>
      <c r="O118" s="6640" t="n"/>
      <c r="P118" s="6640" t="n"/>
      <c r="Q118" s="6640" t="n"/>
      <c r="R118" s="6640" t="n"/>
      <c r="S118" s="6640" t="n"/>
      <c r="T118" s="6640" t="n"/>
      <c r="U118" s="6640" t="n"/>
      <c r="V118" s="6640" t="n"/>
      <c r="W118" s="6640" t="n"/>
      <c r="X118" s="6640" t="n"/>
      <c r="Y118" s="6640" t="n"/>
      <c r="Z118" s="6640" t="n"/>
      <c r="AA118" s="6640" t="n"/>
      <c r="AB118" s="6640" t="n"/>
      <c r="AC118" s="6640" t="n"/>
      <c r="AD118" s="6644" t="n">
        <v>13</v>
      </c>
      <c r="AE118" s="9986">
        <f>IF(AM118&lt;&gt;"",ROUND(AM118,0),IF(AN107,"",SUM(AE115,AE116)))</f>
        <v/>
      </c>
      <c r="AF118" s="8848" t="n"/>
      <c r="AG118" s="8848" t="n"/>
      <c r="AH118" s="8848" t="n"/>
      <c r="AI118" s="8848" t="n"/>
      <c r="AJ118" s="8848" t="n"/>
      <c r="AK118" s="2290" t="n"/>
      <c r="AL118" s="11602" t="n"/>
      <c r="AM118" s="6642" t="n"/>
      <c r="AN118" s="11602" t="n"/>
      <c r="AP118" s="658" t="n"/>
      <c r="AQ118" s="658" t="n"/>
      <c r="AR118" s="658" t="n"/>
      <c r="AS118" s="658" t="n"/>
      <c r="AT118" s="658" t="n"/>
      <c r="AU118" s="658" t="n"/>
      <c r="AV118" s="658" t="n"/>
      <c r="AW118" s="658" t="n"/>
      <c r="AX118" s="658" t="n"/>
      <c r="AY118" s="658" t="n"/>
      <c r="AZ118" s="2293" t="n"/>
    </row>
    <row r="119" ht="15.75" customFormat="1" customHeight="1" s="1115">
      <c r="A119" s="2290" t="n"/>
      <c r="B119" s="7372" t="inlineStr">
        <is>
          <t>For Paperwork Reduction Act Notice, see your tax return instructions.</t>
        </is>
      </c>
      <c r="C119" s="7772" t="n"/>
      <c r="D119" s="7772" t="n"/>
      <c r="E119" s="4904" t="n"/>
      <c r="F119" s="6667" t="n"/>
      <c r="G119" s="7772" t="n"/>
      <c r="H119" s="4524" t="n"/>
      <c r="I119" s="4524" t="n"/>
      <c r="J119" s="4524" t="n"/>
      <c r="K119" s="4524" t="n"/>
      <c r="L119" s="4524" t="n"/>
      <c r="M119" s="4524" t="n"/>
      <c r="N119" s="4524" t="n"/>
      <c r="O119" s="4524" t="n"/>
      <c r="P119" s="4524" t="n"/>
      <c r="Q119" s="4524" t="n"/>
      <c r="R119" s="4524" t="n"/>
      <c r="S119" s="4524" t="n"/>
      <c r="T119" s="4524" t="n"/>
      <c r="U119" s="4524" t="n"/>
      <c r="V119" s="1672" t="inlineStr">
        <is>
          <t>Cat. No. 37730B</t>
        </is>
      </c>
      <c r="W119" s="4524" t="n"/>
      <c r="X119" s="4524" t="n"/>
      <c r="Y119" s="4524" t="n"/>
      <c r="Z119" s="4524" t="n"/>
      <c r="AA119" s="4524" t="n"/>
      <c r="AB119" s="4524" t="n"/>
      <c r="AC119" s="4901" t="n"/>
      <c r="AD119" s="6641" t="inlineStr">
        <is>
          <t>Form 8919</t>
        </is>
      </c>
      <c r="AE119" s="9237">
        <f>"("&amp;TaxYear&amp;")"</f>
        <v/>
      </c>
      <c r="AG119" s="4524" t="n"/>
      <c r="AH119" s="4524" t="n"/>
      <c r="AI119" s="4521" t="n"/>
      <c r="AJ119" s="1061" t="inlineStr">
        <is>
          <t>Created 10/22/25</t>
        </is>
      </c>
      <c r="AK119" s="2290" t="n"/>
      <c r="AL119" s="11602" t="n"/>
      <c r="AM119" s="11602" t="n"/>
      <c r="AN119" s="6649">
        <f>SUM(AE59,AE118)</f>
        <v/>
      </c>
      <c r="AP119" s="658" t="n"/>
      <c r="AQ119" s="658" t="n"/>
      <c r="AR119" s="658" t="n"/>
      <c r="AS119" s="658" t="n"/>
      <c r="AT119" s="658" t="n"/>
      <c r="AU119" s="658" t="n"/>
      <c r="AV119" s="658" t="n"/>
      <c r="AW119" s="658" t="n"/>
      <c r="AX119" s="658" t="n"/>
      <c r="AY119" s="658" t="n"/>
      <c r="AZ119" s="2293" t="n"/>
    </row>
    <row r="120">
      <c r="C120" s="1405" t="n"/>
      <c r="D120" s="1405" t="n"/>
    </row>
    <row r="121">
      <c r="C121" s="1405" t="n"/>
      <c r="D121" s="1405" t="n"/>
    </row>
    <row r="122">
      <c r="C122" s="1405" t="n"/>
      <c r="D122" s="1405" t="n"/>
    </row>
    <row r="123">
      <c r="C123" s="1405" t="n"/>
      <c r="D123" s="1405" t="n"/>
    </row>
    <row r="124">
      <c r="C124" s="1405" t="n"/>
      <c r="D124" s="1405" t="n"/>
    </row>
    <row r="125">
      <c r="C125" s="1405" t="n"/>
      <c r="D125" s="1405" t="n"/>
    </row>
    <row r="126">
      <c r="C126" s="1405" t="n"/>
      <c r="D126" s="1405" t="n"/>
    </row>
  </sheetData>
  <sheetProtection selectLockedCells="0" selectUnlockedCells="0" algorithmName="SHA-512" sheet="1" objects="0" insertRows="1" insertHyperlinks="1" autoFilter="1" scenarios="0" formatColumns="0" deleteColumns="1" insertColumns="1" pivotTables="1" deleteRows="1" formatCells="0" saltValue="w29zP6bZYX5BejIxXbfq8g==" formatRows="0" sort="1" spinCount="100000" hashValue="uDidjTBYcBxX33Y2GLcB+oPkchSM7LcRDPKH2jIzuqG7Fzq66Ket02LOCy+XxY03BBgDq8yhgoo8R3n8rjybjA=="/>
  <mergeCells count="162">
    <mergeCell ref="D2:G3"/>
    <mergeCell ref="B7:AA7"/>
    <mergeCell ref="AE44:AJ44"/>
    <mergeCell ref="T39:V40"/>
    <mergeCell ref="N95:S96"/>
    <mergeCell ref="AE107:AJ107"/>
    <mergeCell ref="T36:V37"/>
    <mergeCell ref="AE116:AJ116"/>
    <mergeCell ref="T100:V100"/>
    <mergeCell ref="AE36:AJ37"/>
    <mergeCell ref="T101:V102"/>
    <mergeCell ref="T94:V94"/>
    <mergeCell ref="B100:B102"/>
    <mergeCell ref="B61:C61"/>
    <mergeCell ref="B94:B96"/>
    <mergeCell ref="AM98:AM99"/>
    <mergeCell ref="AE118:AJ118"/>
    <mergeCell ref="W39:AA40"/>
    <mergeCell ref="AD5:AG5"/>
    <mergeCell ref="B8:AA8"/>
    <mergeCell ref="Z53:AC53"/>
    <mergeCell ref="T92:V93"/>
    <mergeCell ref="AE92:AJ93"/>
    <mergeCell ref="N92:S93"/>
    <mergeCell ref="N91:S91"/>
    <mergeCell ref="AE60:AF60"/>
    <mergeCell ref="AD6:AG6"/>
    <mergeCell ref="N42:S43"/>
    <mergeCell ref="N100:S100"/>
    <mergeCell ref="AE54:AJ54"/>
    <mergeCell ref="AE94:AJ94"/>
    <mergeCell ref="N94:S94"/>
    <mergeCell ref="AE32:AJ32"/>
    <mergeCell ref="Z52:AC52"/>
    <mergeCell ref="C91:M93"/>
    <mergeCell ref="AE41:AJ41"/>
    <mergeCell ref="I61:AB62"/>
    <mergeCell ref="AM101:AM102"/>
    <mergeCell ref="AE47:AJ47"/>
    <mergeCell ref="AM33:AM34"/>
    <mergeCell ref="AE56:AJ56"/>
    <mergeCell ref="AM42:AM43"/>
    <mergeCell ref="B3:C3"/>
    <mergeCell ref="T98:V99"/>
    <mergeCell ref="I6:AB6"/>
    <mergeCell ref="AE104:AJ105"/>
    <mergeCell ref="N38:S38"/>
    <mergeCell ref="B2:C2"/>
    <mergeCell ref="C97:M99"/>
    <mergeCell ref="B35:B37"/>
    <mergeCell ref="AM39:AM40"/>
    <mergeCell ref="AB67:AJ67"/>
    <mergeCell ref="W42:AA43"/>
    <mergeCell ref="W101:AA102"/>
    <mergeCell ref="C94:M96"/>
    <mergeCell ref="AM45:AM46"/>
    <mergeCell ref="Z49:AC49"/>
    <mergeCell ref="I63:AB64"/>
    <mergeCell ref="Z113:AC113"/>
    <mergeCell ref="N33:S34"/>
    <mergeCell ref="AE119:AF119"/>
    <mergeCell ref="AE55:AJ55"/>
    <mergeCell ref="N35:S35"/>
    <mergeCell ref="AH5:AI6"/>
    <mergeCell ref="I2:AB3"/>
    <mergeCell ref="W92:AA93"/>
    <mergeCell ref="AC3:AJ4"/>
    <mergeCell ref="N98:S99"/>
    <mergeCell ref="T27:V31"/>
    <mergeCell ref="AE59:AJ59"/>
    <mergeCell ref="AE27:AJ31"/>
    <mergeCell ref="T32:V32"/>
    <mergeCell ref="T103:V103"/>
    <mergeCell ref="T97:V97"/>
    <mergeCell ref="C38:M40"/>
    <mergeCell ref="AE97:AJ97"/>
    <mergeCell ref="B38:B40"/>
    <mergeCell ref="B103:B105"/>
    <mergeCell ref="W95:AA96"/>
    <mergeCell ref="W86:AA90"/>
    <mergeCell ref="AC61:AJ61"/>
    <mergeCell ref="W104:AA105"/>
    <mergeCell ref="T44:V44"/>
    <mergeCell ref="AH64:AI65"/>
    <mergeCell ref="D61:G62"/>
    <mergeCell ref="AE45:AJ46"/>
    <mergeCell ref="AM92:AM93"/>
    <mergeCell ref="T95:V96"/>
    <mergeCell ref="AE95:AJ96"/>
    <mergeCell ref="N36:S37"/>
    <mergeCell ref="AE48:AJ48"/>
    <mergeCell ref="N45:S46"/>
    <mergeCell ref="N103:S103"/>
    <mergeCell ref="N101:S102"/>
    <mergeCell ref="T41:V41"/>
    <mergeCell ref="T45:V46"/>
    <mergeCell ref="AE57:AJ57"/>
    <mergeCell ref="I4:AB5"/>
    <mergeCell ref="W98:AA99"/>
    <mergeCell ref="C103:M105"/>
    <mergeCell ref="B41:B43"/>
    <mergeCell ref="AB86:AD90"/>
    <mergeCell ref="AD64:AG64"/>
    <mergeCell ref="B67:AA67"/>
    <mergeCell ref="C100:M102"/>
    <mergeCell ref="B91:B93"/>
    <mergeCell ref="AE114:AJ114"/>
    <mergeCell ref="T91:V91"/>
    <mergeCell ref="AE113:AJ113"/>
    <mergeCell ref="T104:V105"/>
    <mergeCell ref="AE98:AJ99"/>
    <mergeCell ref="AE91:AJ91"/>
    <mergeCell ref="AE33:AJ34"/>
    <mergeCell ref="AE42:AJ43"/>
    <mergeCell ref="AE100:AJ100"/>
    <mergeCell ref="N32:S32"/>
    <mergeCell ref="N41:S41"/>
    <mergeCell ref="AE35:AJ35"/>
    <mergeCell ref="AM95:AM96"/>
    <mergeCell ref="B44:B46"/>
    <mergeCell ref="T35:V35"/>
    <mergeCell ref="AE115:AJ115"/>
    <mergeCell ref="AM104:AM105"/>
    <mergeCell ref="W27:AA31"/>
    <mergeCell ref="N86:S90"/>
    <mergeCell ref="C32:M34"/>
    <mergeCell ref="W45:AA46"/>
    <mergeCell ref="AC2:AJ2"/>
    <mergeCell ref="B62:C62"/>
    <mergeCell ref="Z110:AC110"/>
    <mergeCell ref="I65:AB65"/>
    <mergeCell ref="AE101:AJ102"/>
    <mergeCell ref="N104:S105"/>
    <mergeCell ref="T33:V34"/>
    <mergeCell ref="N44:S44"/>
    <mergeCell ref="AE103:AJ103"/>
    <mergeCell ref="T42:V43"/>
    <mergeCell ref="B66:AA66"/>
    <mergeCell ref="AE38:AJ38"/>
    <mergeCell ref="AB27:AD31"/>
    <mergeCell ref="AB8:AJ8"/>
    <mergeCell ref="Z108:AC108"/>
    <mergeCell ref="C41:M43"/>
    <mergeCell ref="B32:B34"/>
    <mergeCell ref="C35:M37"/>
    <mergeCell ref="C44:M46"/>
    <mergeCell ref="B97:B99"/>
    <mergeCell ref="AE39:AJ40"/>
    <mergeCell ref="Z112:AC112"/>
    <mergeCell ref="AC62:AJ63"/>
    <mergeCell ref="T86:V90"/>
    <mergeCell ref="AM36:AM37"/>
    <mergeCell ref="W36:AA37"/>
    <mergeCell ref="AE86:AJ90"/>
    <mergeCell ref="T38:V38"/>
    <mergeCell ref="W33:AA34"/>
    <mergeCell ref="N27:S31"/>
    <mergeCell ref="N39:S40"/>
    <mergeCell ref="AD65:AG65"/>
    <mergeCell ref="N97:S97"/>
    <mergeCell ref="Z111:AC111"/>
    <mergeCell ref="Z51:AC51"/>
  </mergeCells>
  <conditionalFormatting sqref="B8 AB8:AJ8">
    <cfRule type="expression" priority="128" dxfId="6">
      <formula>NoColor</formula>
    </cfRule>
  </conditionalFormatting>
  <conditionalFormatting sqref="B67 AB67:AJ67">
    <cfRule type="expression" priority="41" dxfId="6">
      <formula>NoColor</formula>
    </cfRule>
  </conditionalFormatting>
  <conditionalFormatting sqref="B32:C32">
    <cfRule type="expression" priority="62" dxfId="6">
      <formula>NoColor</formula>
    </cfRule>
  </conditionalFormatting>
  <conditionalFormatting sqref="B35:C35">
    <cfRule type="expression" priority="22" dxfId="6">
      <formula>NoColor</formula>
    </cfRule>
  </conditionalFormatting>
  <conditionalFormatting sqref="B38:C38">
    <cfRule type="expression" priority="21" dxfId="6">
      <formula>NoColor</formula>
    </cfRule>
  </conditionalFormatting>
  <conditionalFormatting sqref="B41:C41">
    <cfRule type="expression" priority="20" dxfId="6">
      <formula>NoColor</formula>
    </cfRule>
  </conditionalFormatting>
  <conditionalFormatting sqref="B44:C44">
    <cfRule type="expression" priority="19" dxfId="6">
      <formula>NoColor</formula>
    </cfRule>
  </conditionalFormatting>
  <conditionalFormatting sqref="B91:C91">
    <cfRule type="expression" priority="18" dxfId="6">
      <formula>NoColor</formula>
    </cfRule>
  </conditionalFormatting>
  <conditionalFormatting sqref="B94:C94">
    <cfRule type="expression" priority="10" dxfId="6">
      <formula>NoColor</formula>
    </cfRule>
  </conditionalFormatting>
  <conditionalFormatting sqref="B97:C97">
    <cfRule type="expression" priority="9" dxfId="6">
      <formula>NoColor</formula>
    </cfRule>
  </conditionalFormatting>
  <conditionalFormatting sqref="B100:C100">
    <cfRule type="expression" priority="8" dxfId="6">
      <formula>NoColor</formula>
    </cfRule>
  </conditionalFormatting>
  <conditionalFormatting sqref="B103:C103">
    <cfRule type="expression" priority="7" dxfId="6">
      <formula>NoColor</formula>
    </cfRule>
  </conditionalFormatting>
  <conditionalFormatting sqref="B10:E12 B13:C13 B15:E26 B27:C32 B35:C35 B38:C38 B41:C41 B44:C44 B47:B60 B69:E71 B72:C72 B74:E85 B86:C91 B94:C94 B97:C97 B100:C100 B103:C103 B106:B119 C9:E9 C14:E14 C68:E68 C73:E73 E13 E27:E31 E47:E60 E72 E86:E90 E106:E119 G9:AH9 G14:AH14 G68:AH68 G73:AH73 H10:AH13 H15:AH26 H27:N27 H28:M31 H47:AE48 H49:Z49 H50:AH50 H51:Z54 H55:AE60 H69:AH72 H74:AH85 H86:N86 H87:M90 H106:AH106 H107:AE107 H108:Z108 H109:AH109 H110:Z113 H114:AD118 H119:AE119 N32 N35 N38 N41 N44 N91 N94 N97 N100 N103 T27 T32 T35 T38 T41 T44 T86 T91 T94 T97 T100 T103 W27 W32 W35 W38 W41 W44 W86 W91 W94 W97 W100 W103 AB27 AB32:AE33 AB34:AD34 AB35:AE36 AB37:AD37 AB38:AE39 AB40:AD40 AB41:AE42 AB43:AD43 AB44:AE45 AB46:AD46 AB86 AB91:AE92 AB93:AD93 AB94:AE95 AB96:AD96 AB97:AE98 AB99:AD99 AB100:AE101 AB102:AD102 AB103:AE104 AB105:AD105 AD49:AH49 AD51:AH53 AD54:AE54 AD108:AH108 AD110:AH112 AD113 AE27 AE58:AH58 AE86 AE113:AE118 AE117:AH117 AG60:AH60 AG119:AH119">
    <cfRule type="expression" priority="169" dxfId="14">
      <formula>IF(AND(File_Marr_Sep&lt;&gt;"",$AI$9=""),1,0)</formula>
    </cfRule>
  </conditionalFormatting>
  <conditionalFormatting sqref="N33:AA34 N36:AA37 N39:AA40 N42:AA43 N45:AA46">
    <cfRule type="expression" priority="61" dxfId="6">
      <formula>NoColor</formula>
    </cfRule>
  </conditionalFormatting>
  <conditionalFormatting sqref="N92:AA93 N95:AA96 N98:AA99 N101:AA102 N104:AA105">
    <cfRule type="expression" priority="17" dxfId="6">
      <formula>NoColor</formula>
    </cfRule>
  </conditionalFormatting>
  <conditionalFormatting sqref="Z53:AC53">
    <cfRule type="expression" priority="5" dxfId="6">
      <formula>NoColor</formula>
    </cfRule>
  </conditionalFormatting>
  <conditionalFormatting sqref="Z112:AC112">
    <cfRule type="expression" priority="1" dxfId="6">
      <formula>NoColor</formula>
    </cfRule>
  </conditionalFormatting>
  <conditionalFormatting sqref="AB8:AJ8">
    <cfRule type="expression" priority="87" dxfId="20">
      <formula>NoSSN</formula>
    </cfRule>
    <cfRule type="expression" priority="126" dxfId="46">
      <formula>NoSSN</formula>
    </cfRule>
    <cfRule type="expression" priority="127" dxfId="20">
      <formula>AND(NoColor,NoSSN)</formula>
    </cfRule>
  </conditionalFormatting>
  <conditionalFormatting sqref="AB67:AJ67">
    <cfRule type="expression" priority="38" dxfId="20">
      <formula>NoSSN</formula>
    </cfRule>
    <cfRule type="expression" priority="39" dxfId="46">
      <formula>NoSSN</formula>
    </cfRule>
    <cfRule type="expression" priority="40" dxfId="20">
      <formula>AND(NoColor,NoSSN)</formula>
    </cfRule>
  </conditionalFormatting>
  <conditionalFormatting sqref="AC33">
    <cfRule type="expression" priority="60" dxfId="6">
      <formula>NoColor</formula>
    </cfRule>
  </conditionalFormatting>
  <conditionalFormatting sqref="AC36">
    <cfRule type="expression" priority="49" dxfId="6">
      <formula>NoColor</formula>
    </cfRule>
  </conditionalFormatting>
  <conditionalFormatting sqref="AC39">
    <cfRule type="expression" priority="47" dxfId="6">
      <formula>NoColor</formula>
    </cfRule>
  </conditionalFormatting>
  <conditionalFormatting sqref="AC42">
    <cfRule type="expression" priority="45" dxfId="6">
      <formula>NoColor</formula>
    </cfRule>
  </conditionalFormatting>
  <conditionalFormatting sqref="AC45">
    <cfRule type="expression" priority="43" dxfId="6">
      <formula>NoColor</formula>
    </cfRule>
  </conditionalFormatting>
  <conditionalFormatting sqref="AC92">
    <cfRule type="expression" priority="16" dxfId="6">
      <formula>NoColor</formula>
    </cfRule>
  </conditionalFormatting>
  <conditionalFormatting sqref="AC95">
    <cfRule type="expression" priority="14" dxfId="6">
      <formula>NoColor</formula>
    </cfRule>
  </conditionalFormatting>
  <conditionalFormatting sqref="AC98">
    <cfRule type="expression" priority="13" dxfId="6">
      <formula>NoColor</formula>
    </cfRule>
  </conditionalFormatting>
  <conditionalFormatting sqref="AC101">
    <cfRule type="expression" priority="12" dxfId="6">
      <formula>NoColor</formula>
    </cfRule>
  </conditionalFormatting>
  <conditionalFormatting sqref="AC104">
    <cfRule type="expression" priority="11" dxfId="6">
      <formula>NoColor</formula>
    </cfRule>
  </conditionalFormatting>
  <conditionalFormatting sqref="AE33:AJ34 AE36:AJ37 AE39:AJ40 AE42:AJ43 AE45:AJ46">
    <cfRule type="expression" priority="59" dxfId="6">
      <formula>NoColor</formula>
    </cfRule>
  </conditionalFormatting>
  <conditionalFormatting sqref="AE48:AJ48">
    <cfRule type="expression" priority="42" dxfId="6">
      <formula>NoColor</formula>
    </cfRule>
  </conditionalFormatting>
  <conditionalFormatting sqref="AE54:AJ59">
    <cfRule type="expression" priority="3" dxfId="6">
      <formula>NoColor</formula>
    </cfRule>
  </conditionalFormatting>
  <conditionalFormatting sqref="AE92:AJ93 AE95:AJ96 AE98:AJ99 AE101:AJ102 AE104:AJ105">
    <cfRule type="expression" priority="15" dxfId="6">
      <formula>NoColor</formula>
    </cfRule>
  </conditionalFormatting>
  <conditionalFormatting sqref="AE107:AJ107">
    <cfRule type="expression" priority="6" dxfId="6">
      <formula>NoColor</formula>
    </cfRule>
  </conditionalFormatting>
  <conditionalFormatting sqref="AE113:AJ118">
    <cfRule type="expression" priority="2" dxfId="6">
      <formula>NoColor</formula>
    </cfRule>
  </conditionalFormatting>
  <pageMargins left="0.75" right="0.25" top="0.36" bottom="0.29" header="0.36" footer="0.21"/>
  <pageSetup orientation="portrait" scale="66" fitToHeight="0"/>
  <rowBreaks count="1" manualBreakCount="1">
    <brk id="60" min="0" max="16383" man="1"/>
  </rowBreaks>
</worksheet>
</file>

<file path=xl/worksheets/sheet56.xml><?xml version="1.0" encoding="utf-8"?>
<worksheet xmlns="http://schemas.openxmlformats.org/spreadsheetml/2006/main">
  <sheetPr codeName="Sheet14">
    <outlinePr summaryBelow="1" summaryRight="1"/>
    <pageSetUpPr fitToPage="1"/>
  </sheetPr>
  <dimension ref="A1:BC109"/>
  <sheetViews>
    <sheetView zoomScaleNormal="100" zoomScaleSheetLayoutView="100" workbookViewId="0">
      <selection activeCell="A1" sqref="A1"/>
    </sheetView>
  </sheetViews>
  <sheetFormatPr baseColWidth="8" defaultColWidth="3.7109375" defaultRowHeight="12.75"/>
  <cols>
    <col width="3.7109375" customWidth="1" style="6021" min="1" max="1"/>
    <col width="4.140625" customWidth="1" style="7635" min="2" max="2"/>
    <col width="2.28515625" customWidth="1" style="7635" min="3" max="3"/>
    <col width="3.7109375" customWidth="1" style="7635" min="4" max="9"/>
    <col width="4" customWidth="1" style="7635" min="10" max="10"/>
    <col width="6.85546875" customWidth="1" style="7635" min="11" max="11"/>
    <col width="4" customWidth="1" style="7635" min="12" max="12"/>
    <col width="3.7109375" customWidth="1" style="7635" min="13" max="16"/>
    <col width="4.28515625" customWidth="1" style="7635" min="17" max="20"/>
    <col width="3.85546875" customWidth="1" style="7635" min="21" max="23"/>
    <col width="3.7109375" customWidth="1" style="7635" min="24" max="24"/>
    <col width="5.42578125" customWidth="1" style="7635" min="25" max="26"/>
    <col width="6.42578125" customWidth="1" style="7635" min="27" max="28"/>
    <col width="3.7109375" customWidth="1" style="7635" min="29" max="32"/>
    <col width="6" customWidth="1" style="6022" min="33" max="33"/>
    <col width="4.85546875" customWidth="1" style="7453" min="34" max="34"/>
    <col width="8.5703125" bestFit="1" customWidth="1" style="7453" min="35" max="35"/>
    <col width="29.28515625" customWidth="1" style="7635" min="36" max="36"/>
    <col width="13.7109375" customWidth="1" style="7635" min="37" max="40"/>
    <col width="10" customWidth="1" style="7635" min="41" max="41"/>
    <col width="15.5703125" customWidth="1" style="7635" min="42" max="42"/>
    <col width="15.42578125" customWidth="1" style="7635" min="43" max="43"/>
    <col width="8.5703125" customWidth="1" style="7635" min="44" max="44"/>
    <col hidden="1" width="8.5703125" customWidth="1" style="7635" min="45" max="55"/>
    <col width="8.5703125" customWidth="1" style="7635" min="56" max="58"/>
    <col width="3.7109375" customWidth="1" style="7635" min="59" max="68"/>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row>
    <row r="2">
      <c r="A2" s="139" t="n"/>
      <c r="B2" s="11401" t="inlineStr">
        <is>
          <t>Check here to hide red formatting.   &gt;</t>
        </is>
      </c>
      <c r="L2" s="264" t="n"/>
      <c r="M2" s="139" t="n"/>
      <c r="N2" s="139" t="n"/>
      <c r="O2" s="139" t="n"/>
      <c r="P2" s="139" t="n"/>
      <c r="Q2" s="139" t="n"/>
      <c r="R2" s="139" t="n"/>
      <c r="S2" s="139" t="n"/>
      <c r="T2" s="139" t="n"/>
      <c r="U2" s="139" t="n"/>
      <c r="V2" s="139" t="n"/>
      <c r="W2" s="139" t="n"/>
      <c r="X2" s="139" t="n"/>
      <c r="Y2" s="139" t="n"/>
      <c r="Z2" s="139" t="n"/>
      <c r="AA2" s="962" t="n"/>
      <c r="AB2" s="139" t="n"/>
      <c r="AC2" s="139" t="n"/>
      <c r="AD2" s="139" t="n"/>
      <c r="AE2" s="139" t="n"/>
      <c r="AF2" s="139" t="n"/>
      <c r="AG2" s="2013" t="n"/>
    </row>
    <row r="3">
      <c r="A3" s="2013" t="n"/>
      <c r="B3" s="2013" t="n"/>
      <c r="C3" s="2013" t="n"/>
      <c r="D3" s="2013" t="n"/>
      <c r="E3" s="2013" t="n"/>
      <c r="F3" s="2013" t="n"/>
      <c r="G3" s="2013" t="n"/>
      <c r="H3" s="2013" t="n"/>
      <c r="I3" s="2013" t="n"/>
      <c r="J3" s="2013" t="n"/>
      <c r="K3" s="2013" t="n"/>
      <c r="L3" s="2013" t="n"/>
      <c r="M3" s="2013" t="n"/>
      <c r="N3" s="2013" t="n"/>
      <c r="O3" s="2013" t="n"/>
      <c r="P3" s="2013" t="n"/>
      <c r="Q3" s="2013" t="n"/>
      <c r="R3" s="2013" t="n"/>
      <c r="S3" s="2013" t="n"/>
      <c r="T3" s="2013" t="n"/>
      <c r="U3" s="2013" t="n"/>
      <c r="V3" s="2013" t="n"/>
      <c r="W3" s="2013" t="n"/>
      <c r="X3" s="2013" t="n"/>
      <c r="Y3" s="2013" t="n"/>
      <c r="Z3" s="2013" t="n"/>
      <c r="AA3" s="2013" t="n"/>
      <c r="AB3" s="2013" t="n"/>
      <c r="AC3" s="2013" t="n"/>
      <c r="AD3" s="2013" t="n"/>
      <c r="AE3" s="2013" t="n"/>
      <c r="AF3" s="2013" t="n"/>
      <c r="AG3" s="2013" t="n"/>
      <c r="AI3" s="9649">
        <f>'Table of Contents'!A61="D"</f>
        <v/>
      </c>
    </row>
    <row r="4" ht="11.25" customHeight="1" s="7635">
      <c r="A4" s="2013" t="n"/>
      <c r="B4" s="11403" t="inlineStr">
        <is>
          <t>Form 8949</t>
        </is>
      </c>
      <c r="G4" s="88" t="n"/>
      <c r="H4" s="12789" t="inlineStr">
        <is>
          <t>Sales and Other Dispositions of Capital Assets</t>
        </is>
      </c>
      <c r="AA4" s="9671" t="n"/>
      <c r="AB4" s="8038">
        <f>IF(AND(AI3,AH4=""),"DRAFT","OMB No. 1545-0074")</f>
        <v/>
      </c>
      <c r="AC4" s="7637" t="n"/>
      <c r="AD4" s="7637" t="n"/>
      <c r="AE4" s="7637" t="n"/>
      <c r="AF4" s="7637" t="n"/>
      <c r="AG4" s="2013" t="n"/>
      <c r="AH4" s="12790" t="n"/>
      <c r="AI4" s="8696">
        <f>IF(AI3,"Hide 'DRAFT'.","")</f>
        <v/>
      </c>
    </row>
    <row r="5" ht="11.25" customHeight="1" s="7635">
      <c r="A5" s="2013" t="n"/>
      <c r="G5" s="88" t="n"/>
      <c r="H5" s="9670" t="n"/>
      <c r="AA5" s="9671" t="n"/>
      <c r="AB5" s="11404">
        <f>TaxYear</f>
        <v/>
      </c>
      <c r="AG5" s="2013" t="n"/>
      <c r="AH5" s="12791" t="n"/>
    </row>
    <row r="6" ht="11.25" customHeight="1" s="7635">
      <c r="A6" s="2013" t="n"/>
      <c r="G6" s="88" t="n"/>
      <c r="H6" s="9670" t="n"/>
      <c r="AA6" s="9671" t="n"/>
      <c r="AG6" s="2013" t="n"/>
      <c r="AH6" s="12792" t="n"/>
    </row>
    <row r="7" ht="11.25" customHeight="1" s="7635">
      <c r="A7" s="2013" t="n"/>
      <c r="B7" s="88" t="n"/>
      <c r="C7" s="88" t="n"/>
      <c r="D7" s="88" t="n"/>
      <c r="E7" s="88" t="n"/>
      <c r="F7" s="88" t="n"/>
      <c r="G7" s="88" t="n"/>
      <c r="H7" s="12793" t="inlineStr">
        <is>
          <t>File with your Schedule D to list your transactions for lines 1b, 2, 3, 8b, 9, and 10 of Schedule D.</t>
        </is>
      </c>
      <c r="AA7" s="9671" t="n"/>
      <c r="AG7" s="2013" t="n"/>
    </row>
    <row r="8" ht="10.5" customHeight="1" s="7635">
      <c r="A8" s="2013" t="n"/>
      <c r="B8" s="229" t="inlineStr">
        <is>
          <t>Department of the Treasury</t>
        </is>
      </c>
      <c r="C8" s="88" t="n"/>
      <c r="D8" s="88" t="n"/>
      <c r="E8" s="88" t="n"/>
      <c r="F8" s="88" t="n"/>
      <c r="G8" s="88" t="n"/>
      <c r="H8" s="12794" t="inlineStr">
        <is>
          <t>Go to www.irs.gov/Form8949 for instructions and the latest information.</t>
        </is>
      </c>
      <c r="AA8" s="9671" t="n"/>
      <c r="AB8" s="12795" t="inlineStr">
        <is>
          <t>Attachment
Sequence No.</t>
        </is>
      </c>
      <c r="AE8" s="11450" t="inlineStr">
        <is>
          <t>12A</t>
        </is>
      </c>
      <c r="AG8" s="2013" t="n"/>
    </row>
    <row r="9" ht="10.5" customHeight="1" s="7635" thickBot="1">
      <c r="A9" s="2013" t="n"/>
      <c r="B9" s="6502" t="inlineStr">
        <is>
          <t>Internal Revenue Service</t>
        </is>
      </c>
      <c r="C9" s="6503" t="n"/>
      <c r="D9" s="6503" t="n"/>
      <c r="E9" s="6503" t="n"/>
      <c r="F9" s="6503" t="n"/>
      <c r="G9" s="6504" t="n"/>
      <c r="H9" s="12152" t="n"/>
      <c r="I9" s="11705" t="n"/>
      <c r="J9" s="11705" t="n"/>
      <c r="K9" s="11705" t="n"/>
      <c r="L9" s="11705" t="n"/>
      <c r="M9" s="11705" t="n"/>
      <c r="N9" s="11705" t="n"/>
      <c r="O9" s="11705" t="n"/>
      <c r="P9" s="11705" t="n"/>
      <c r="Q9" s="11705" t="n"/>
      <c r="R9" s="11705" t="n"/>
      <c r="S9" s="11705" t="n"/>
      <c r="T9" s="11705" t="n"/>
      <c r="U9" s="11705" t="n"/>
      <c r="V9" s="11705" t="n"/>
      <c r="W9" s="11705" t="n"/>
      <c r="X9" s="11705" t="n"/>
      <c r="Y9" s="11705" t="n"/>
      <c r="Z9" s="11705" t="n"/>
      <c r="AA9" s="12151" t="n"/>
      <c r="AB9" s="12152" t="n"/>
      <c r="AC9" s="11705" t="n"/>
      <c r="AD9" s="11705" t="n"/>
      <c r="AE9" s="11705" t="n"/>
      <c r="AF9" s="11705" t="n"/>
      <c r="AG9" s="2013" t="n"/>
    </row>
    <row r="10" ht="13.5" customHeight="1" s="7635" thickTop="1">
      <c r="A10" s="2013" t="n"/>
      <c r="B10" s="229" t="inlineStr">
        <is>
          <t>Name(s) shown on return</t>
        </is>
      </c>
      <c r="C10" s="88" t="n"/>
      <c r="D10" s="88" t="n"/>
      <c r="E10" s="88" t="n"/>
      <c r="F10" s="88" t="n"/>
      <c r="G10" s="88" t="n"/>
      <c r="H10" s="88" t="n"/>
      <c r="I10" s="88" t="n"/>
      <c r="J10" s="88" t="n"/>
      <c r="K10" s="88" t="n"/>
      <c r="L10" s="88" t="n"/>
      <c r="M10" s="88" t="n"/>
      <c r="N10" s="88" t="n"/>
      <c r="O10" s="88" t="n"/>
      <c r="P10" s="88" t="n"/>
      <c r="Q10" s="88" t="n"/>
      <c r="R10" s="88" t="n"/>
      <c r="S10" s="88" t="n"/>
      <c r="T10" s="88" t="n"/>
      <c r="U10" s="88" t="n"/>
      <c r="V10" s="6006" t="inlineStr">
        <is>
          <t>Social security number or taxpayer identification number</t>
        </is>
      </c>
      <c r="W10" s="88" t="n"/>
      <c r="X10" s="88" t="n"/>
      <c r="Y10" s="88" t="n"/>
      <c r="Z10" s="2666" t="n"/>
      <c r="AA10" s="88" t="n"/>
      <c r="AB10" s="88" t="n"/>
      <c r="AC10" s="88" t="n"/>
      <c r="AD10" s="88" t="n"/>
      <c r="AE10" s="88" t="n"/>
      <c r="AF10" s="88" t="n"/>
      <c r="AG10" s="2013" t="n"/>
    </row>
    <row r="11" ht="16.5" customHeight="1" s="7635" thickBot="1">
      <c r="A11" s="2013" t="n"/>
      <c r="B11" s="12796">
        <f>Names</f>
        <v/>
      </c>
      <c r="C11" s="8848" t="n"/>
      <c r="D11" s="8848" t="n"/>
      <c r="E11" s="8848" t="n"/>
      <c r="F11" s="8848" t="n"/>
      <c r="G11" s="8848" t="n"/>
      <c r="H11" s="8848" t="n"/>
      <c r="I11" s="8848" t="n"/>
      <c r="J11" s="8848" t="n"/>
      <c r="K11" s="8848" t="n"/>
      <c r="L11" s="8848" t="n"/>
      <c r="M11" s="8848" t="n"/>
      <c r="N11" s="8848" t="n"/>
      <c r="O11" s="8848" t="n"/>
      <c r="P11" s="8848" t="n"/>
      <c r="Q11" s="8848" t="n"/>
      <c r="R11" s="8848" t="n"/>
      <c r="S11" s="8848" t="n"/>
      <c r="T11" s="8848" t="n"/>
      <c r="U11" s="12121" t="n"/>
      <c r="V11" s="12797">
        <f>IF(NoSSN,"",SS_Yours)</f>
        <v/>
      </c>
      <c r="W11" s="8848" t="n"/>
      <c r="X11" s="8848" t="n"/>
      <c r="Y11" s="8848" t="n"/>
      <c r="Z11" s="8848" t="n"/>
      <c r="AA11" s="8848" t="n"/>
      <c r="AB11" s="8848" t="n"/>
      <c r="AC11" s="8848" t="n"/>
      <c r="AD11" s="8848" t="n"/>
      <c r="AE11" s="8848" t="n"/>
      <c r="AF11" s="8848" t="n"/>
      <c r="AG11" s="2013" t="n"/>
    </row>
    <row r="12" ht="12.75" customHeight="1" s="7635">
      <c r="A12" s="2013" t="n"/>
      <c r="B12" s="12798" t="inlineStr">
        <is>
          <t>Before you check Box A, B, C, G, H, or I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12" s="2506" t="n"/>
      <c r="D12" s="2506" t="n"/>
      <c r="E12" s="2506" t="n"/>
      <c r="F12" s="2506" t="n"/>
      <c r="G12" s="2506" t="n"/>
      <c r="H12" s="2506" t="n"/>
      <c r="I12" s="2506" t="n"/>
      <c r="J12" s="2506" t="n"/>
      <c r="K12" s="2506" t="n"/>
      <c r="L12" s="2506" t="n"/>
      <c r="M12" s="2506" t="n"/>
      <c r="N12" s="2506" t="n"/>
      <c r="O12" s="2506" t="n"/>
      <c r="P12" s="2506" t="n"/>
      <c r="Q12" s="2506" t="n"/>
      <c r="R12" s="2506" t="n"/>
      <c r="S12" s="2506" t="n"/>
      <c r="T12" s="2506" t="n"/>
      <c r="U12" s="2506" t="n"/>
      <c r="V12" s="2506" t="n"/>
      <c r="W12" s="2506" t="n"/>
      <c r="X12" s="2506" t="n"/>
      <c r="Y12" s="2506" t="n"/>
      <c r="Z12" s="2506" t="n"/>
      <c r="AA12" s="2506" t="n"/>
      <c r="AB12" s="2506" t="n"/>
      <c r="AC12" s="2506" t="n"/>
      <c r="AD12" s="2506" t="n"/>
      <c r="AE12" s="2506" t="n"/>
      <c r="AF12" s="2506" t="n"/>
      <c r="AG12" s="2013" t="n"/>
    </row>
    <row r="13" ht="12.75" customHeight="1" s="7635">
      <c r="A13" s="2013" t="n"/>
      <c r="AG13" s="2013" t="n"/>
    </row>
    <row r="14" ht="12.75" customHeight="1" s="7635">
      <c r="A14" s="2013" t="n"/>
      <c r="B14" s="7637" t="n"/>
      <c r="C14" s="7637" t="n"/>
      <c r="D14" s="7637" t="n"/>
      <c r="E14" s="7637" t="n"/>
      <c r="F14" s="7637" t="n"/>
      <c r="G14" s="7637" t="n"/>
      <c r="H14" s="7637" t="n"/>
      <c r="I14" s="7637" t="n"/>
      <c r="J14" s="7637" t="n"/>
      <c r="K14" s="7637" t="n"/>
      <c r="L14" s="7637" t="n"/>
      <c r="M14" s="7637" t="n"/>
      <c r="N14" s="7637" t="n"/>
      <c r="O14" s="7637" t="n"/>
      <c r="P14" s="7637" t="n"/>
      <c r="Q14" s="7637" t="n"/>
      <c r="R14" s="7637" t="n"/>
      <c r="S14" s="7637" t="n"/>
      <c r="T14" s="7637" t="n"/>
      <c r="U14" s="7637" t="n"/>
      <c r="V14" s="7637" t="n"/>
      <c r="W14" s="7637" t="n"/>
      <c r="X14" s="7637" t="n"/>
      <c r="Y14" s="7637" t="n"/>
      <c r="Z14" s="7637" t="n"/>
      <c r="AA14" s="7637" t="n"/>
      <c r="AB14" s="7637" t="n"/>
      <c r="AC14" s="7637" t="n"/>
      <c r="AD14" s="7637" t="n"/>
      <c r="AE14" s="7637" t="n"/>
      <c r="AF14" s="7637" t="n"/>
      <c r="AG14" s="2013" t="n"/>
    </row>
    <row r="15" ht="3.75" customHeight="1" s="7635">
      <c r="A15" s="2013" t="n"/>
      <c r="B15" s="88" t="n"/>
      <c r="C15" s="88" t="n"/>
      <c r="D15" s="88" t="n"/>
      <c r="E15" s="88" t="n"/>
      <c r="F15" s="88" t="n"/>
      <c r="G15" s="88" t="n"/>
      <c r="H15" s="88" t="n"/>
      <c r="I15" s="88" t="n"/>
      <c r="J15" s="88" t="n"/>
      <c r="K15" s="88" t="n"/>
      <c r="L15" s="88" t="n"/>
      <c r="M15" s="88" t="n"/>
      <c r="N15" s="88" t="n"/>
      <c r="O15" s="88" t="n"/>
      <c r="P15" s="88" t="n"/>
      <c r="Q15" s="88" t="n"/>
      <c r="R15" s="88" t="n"/>
      <c r="S15" s="88" t="n"/>
      <c r="T15" s="88" t="n"/>
      <c r="U15" s="88" t="n"/>
      <c r="V15" s="88" t="n"/>
      <c r="W15" s="88" t="n"/>
      <c r="X15" s="88" t="n"/>
      <c r="Y15" s="88" t="n"/>
      <c r="Z15" s="88" t="n"/>
      <c r="AA15" s="88" t="n"/>
      <c r="AB15" s="88" t="n"/>
      <c r="AC15" s="88" t="n"/>
      <c r="AD15" s="88" t="n"/>
      <c r="AE15" s="88" t="n"/>
      <c r="AF15" s="88" t="n"/>
      <c r="AG15" s="2013" t="n"/>
    </row>
    <row r="16" ht="15" customHeight="1" s="7635">
      <c r="A16" s="2013" t="n"/>
      <c r="B16" s="11415" t="inlineStr">
        <is>
          <t>Part I</t>
        </is>
      </c>
      <c r="C16" s="7839" t="n"/>
      <c r="D16" s="88" t="n"/>
      <c r="E16" s="11417" t="inlineStr">
        <is>
          <t>Short-Term.</t>
        </is>
      </c>
      <c r="F16" s="88" t="n"/>
      <c r="G16" s="88" t="n"/>
      <c r="H16" s="88" t="n"/>
      <c r="I16" s="1836" t="inlineStr">
        <is>
          <t>Transactions involving capital assets you  held 1  year  or  less are generally short-term (see</t>
        </is>
      </c>
      <c r="J16" s="88" t="n"/>
      <c r="K16" s="88" t="n"/>
      <c r="L16" s="88" t="n"/>
      <c r="M16" s="88" t="n"/>
      <c r="N16" s="88" t="n"/>
      <c r="O16" s="88" t="n"/>
      <c r="P16" s="88" t="n"/>
      <c r="Q16" s="88" t="n"/>
      <c r="R16" s="88" t="n"/>
      <c r="S16" s="88" t="n"/>
      <c r="T16" s="1836" t="n"/>
      <c r="U16" s="88" t="n"/>
      <c r="V16" s="88" t="n"/>
      <c r="W16" s="88" t="n"/>
      <c r="X16" s="1836" t="n"/>
      <c r="Y16" s="88" t="n"/>
      <c r="Z16" s="88" t="n"/>
      <c r="AA16" s="88" t="n"/>
      <c r="AB16" s="88" t="n"/>
      <c r="AC16" s="88" t="n"/>
      <c r="AD16" s="88" t="n"/>
      <c r="AE16" s="88" t="n"/>
      <c r="AF16" s="88" t="n"/>
      <c r="AG16" s="4271">
        <f>IF(SUM(AG41:AG51)&gt;0,TRUE,FALSE)</f>
        <v/>
      </c>
    </row>
    <row r="17" ht="12.75" customHeight="1" s="7635">
      <c r="A17" s="2013" t="n"/>
      <c r="B17" s="88" t="n"/>
      <c r="C17" s="88" t="n"/>
      <c r="D17" s="88" t="n"/>
      <c r="E17" s="1836" t="inlineStr">
        <is>
          <t>instructions). For long-term transactions, see page 2.</t>
        </is>
      </c>
      <c r="F17" s="88" t="n"/>
      <c r="G17" s="88" t="n"/>
      <c r="H17" s="88" t="n"/>
      <c r="I17" s="88" t="n"/>
      <c r="J17" s="88" t="n"/>
      <c r="K17" s="88" t="n"/>
      <c r="L17" s="88" t="n"/>
      <c r="M17" s="88" t="n"/>
      <c r="N17" s="88" t="n"/>
      <c r="O17" s="88" t="n"/>
      <c r="P17" s="88" t="n"/>
      <c r="Q17" s="88" t="n"/>
      <c r="R17" s="88" t="n"/>
      <c r="S17" s="88" t="n"/>
      <c r="T17" s="1836" t="n"/>
      <c r="U17" s="88" t="n"/>
      <c r="V17" s="88" t="n"/>
      <c r="W17" s="88" t="n"/>
      <c r="X17" s="11403" t="n"/>
      <c r="Y17" s="88" t="n"/>
      <c r="Z17" s="88" t="n"/>
      <c r="AA17" s="88" t="n"/>
      <c r="AB17" s="88" t="n"/>
      <c r="AC17" s="88" t="n"/>
      <c r="AD17" s="88" t="n"/>
      <c r="AE17" s="88" t="n"/>
      <c r="AF17" s="88" t="n"/>
      <c r="AG17" s="2013" t="n"/>
    </row>
    <row r="18" ht="13.5" customFormat="1" customHeight="1" s="7779">
      <c r="A18" s="6007" t="n"/>
      <c r="B18" s="1836" t="n"/>
      <c r="C18" s="1836" t="n"/>
      <c r="D18" s="1836" t="n"/>
      <c r="E18" s="3440" t="inlineStr">
        <is>
          <t>Note. You may aggregate all short-term transactions reported on Form(s) 1099-B and Form(s) 1099-DA</t>
        </is>
      </c>
      <c r="F18" s="1836" t="n"/>
      <c r="G18" s="1836" t="n"/>
      <c r="H18" s="1836" t="n"/>
      <c r="I18" s="1836" t="n"/>
      <c r="J18" s="1836" t="n"/>
      <c r="K18" s="1836" t="n"/>
      <c r="L18" s="1836" t="n"/>
      <c r="M18" s="1836" t="n"/>
      <c r="N18" s="1836" t="n"/>
      <c r="O18" s="1836" t="n"/>
      <c r="P18" s="1836" t="n"/>
      <c r="Q18" s="1836" t="n"/>
      <c r="R18" s="1836" t="n"/>
      <c r="S18" s="1836" t="n"/>
      <c r="T18" s="1836" t="n"/>
      <c r="U18" s="1836" t="n"/>
      <c r="V18" s="1836" t="n"/>
      <c r="W18" s="1836" t="n"/>
      <c r="X18" s="1836" t="n"/>
      <c r="Y18" s="1836" t="n"/>
      <c r="Z18" s="1836" t="n"/>
      <c r="AA18" s="1836" t="n"/>
      <c r="AB18" s="1836" t="n"/>
      <c r="AC18" s="1836" t="n"/>
      <c r="AD18" s="1836" t="n"/>
      <c r="AE18" s="1836" t="n"/>
      <c r="AF18" s="1836" t="n"/>
      <c r="AG18" s="6007" t="n"/>
      <c r="AH18" s="3161" t="n"/>
      <c r="AI18" s="3161" t="n"/>
    </row>
    <row r="19" ht="13.5" customFormat="1" customHeight="1" s="7779">
      <c r="A19" s="6007" t="n"/>
      <c r="B19" s="1836" t="n"/>
      <c r="C19" s="1836" t="n"/>
      <c r="D19" s="1836" t="n"/>
      <c r="E19" s="1836" t="inlineStr">
        <is>
          <t>showing basis was reported to the IRS and for which no adjustments or codes are required. Enter the totals</t>
        </is>
      </c>
      <c r="F19" s="1836" t="n"/>
      <c r="G19" s="1836" t="n"/>
      <c r="H19" s="1836" t="n"/>
      <c r="I19" s="1836" t="n"/>
      <c r="J19" s="1836" t="n"/>
      <c r="K19" s="1836" t="n"/>
      <c r="L19" s="1836" t="n"/>
      <c r="M19" s="1836" t="n"/>
      <c r="N19" s="1836" t="n"/>
      <c r="O19" s="1836" t="n"/>
      <c r="P19" s="1836" t="n"/>
      <c r="Q19" s="1836" t="n"/>
      <c r="R19" s="1836" t="n"/>
      <c r="S19" s="1836" t="n"/>
      <c r="T19" s="1836" t="n"/>
      <c r="U19" s="1836" t="n"/>
      <c r="V19" s="1836" t="n"/>
      <c r="W19" s="1836" t="n"/>
      <c r="X19" s="1836" t="n"/>
      <c r="Y19" s="1836" t="n"/>
      <c r="Z19" s="1836" t="n"/>
      <c r="AA19" s="1836" t="n"/>
      <c r="AB19" s="1836" t="n"/>
      <c r="AC19" s="1836" t="n"/>
      <c r="AD19" s="1836" t="n"/>
      <c r="AE19" s="1836" t="n"/>
      <c r="AF19" s="1836" t="n"/>
      <c r="AG19" s="6007" t="n"/>
      <c r="AH19" s="3161" t="n"/>
      <c r="AI19" s="3161" t="n"/>
    </row>
    <row r="20" ht="13.5" customFormat="1" customHeight="1" s="7779">
      <c r="A20" s="6007" t="n"/>
      <c r="B20" s="6008" t="n"/>
      <c r="C20" s="6008" t="n"/>
      <c r="D20" s="6008" t="n"/>
      <c r="E20" s="6008" t="inlineStr">
        <is>
          <t>directly on Schedule D, line 1a; you aren’t required to report these transactions on Form 8949 (see instructions).</t>
        </is>
      </c>
      <c r="F20" s="6008" t="n"/>
      <c r="G20" s="6008" t="n"/>
      <c r="H20" s="6008" t="n"/>
      <c r="I20" s="6008" t="n"/>
      <c r="J20" s="6008" t="n"/>
      <c r="K20" s="6008" t="n"/>
      <c r="L20" s="6008" t="n"/>
      <c r="M20" s="6008" t="n"/>
      <c r="N20" s="6008" t="n"/>
      <c r="O20" s="6008" t="n"/>
      <c r="P20" s="6008" t="n"/>
      <c r="Q20" s="6008" t="n"/>
      <c r="R20" s="6008" t="n"/>
      <c r="S20" s="6008" t="n"/>
      <c r="T20" s="6008" t="n"/>
      <c r="U20" s="6008" t="n"/>
      <c r="V20" s="6008" t="n"/>
      <c r="W20" s="6008" t="n"/>
      <c r="X20" s="6008" t="n"/>
      <c r="Y20" s="6008" t="n"/>
      <c r="Z20" s="6008" t="n"/>
      <c r="AA20" s="6008" t="n"/>
      <c r="AB20" s="6008" t="n"/>
      <c r="AC20" s="6008" t="n"/>
      <c r="AD20" s="6008" t="n"/>
      <c r="AE20" s="6008" t="n"/>
      <c r="AF20" s="6008" t="n"/>
      <c r="AG20" s="6007" t="n"/>
      <c r="AH20" s="3161" t="n"/>
      <c r="AI20" s="3161" t="n"/>
    </row>
    <row r="21" ht="14.25" customHeight="1" s="7635">
      <c r="A21" s="2013" t="n"/>
      <c r="B21" s="226" t="inlineStr">
        <is>
          <t xml:space="preserve">You must check Box A, B, C, G, H, or I below. </t>
        </is>
      </c>
      <c r="C21" s="8922" t="n"/>
      <c r="D21" s="8922" t="n"/>
      <c r="E21" s="8922" t="n"/>
      <c r="F21" s="8922" t="n"/>
      <c r="G21" s="8922" t="n"/>
      <c r="H21" s="8922" t="n"/>
      <c r="I21" s="8922" t="n"/>
      <c r="J21" s="8922" t="n"/>
      <c r="K21" s="1183" t="n"/>
      <c r="L21" s="1183" t="n"/>
      <c r="M21" s="226">
        <f>IF($A$35&gt;1,"Check only ONE box.","Check only one box.")</f>
        <v/>
      </c>
      <c r="N21" s="226" t="n"/>
      <c r="O21" s="8922" t="n"/>
      <c r="P21" s="8922" t="n"/>
      <c r="Q21" s="11403" t="n"/>
      <c r="R21" s="8922" t="n"/>
      <c r="S21" s="1836" t="n"/>
      <c r="T21" s="1836" t="n"/>
      <c r="U21" s="8922" t="n"/>
      <c r="V21" s="8922" t="n"/>
      <c r="W21" s="8922" t="n"/>
      <c r="X21" s="8922" t="n"/>
      <c r="Y21" s="8922" t="n"/>
      <c r="Z21" s="8922" t="n"/>
      <c r="AA21" s="8922" t="n"/>
      <c r="AB21" s="8922" t="n"/>
      <c r="AC21" s="8922" t="n"/>
      <c r="AD21" s="8922" t="n"/>
      <c r="AE21" s="8922" t="n"/>
      <c r="AF21" s="6501" t="inlineStr">
        <is>
          <t>If more than one box applies for your short-term transactions,</t>
        </is>
      </c>
      <c r="AG21" s="2013" t="n"/>
    </row>
    <row r="22">
      <c r="A22" s="2013" t="n"/>
      <c r="B22" s="11403" t="inlineStr">
        <is>
          <t>complete a separate Form 8949, page 1, for each applicable box. If you have more short-term transactions than will fit on this page</t>
        </is>
      </c>
      <c r="C22" s="8922" t="n"/>
      <c r="D22" s="8922" t="n"/>
      <c r="E22" s="8922" t="n"/>
      <c r="F22" s="8922" t="n"/>
      <c r="G22" s="8922" t="n"/>
      <c r="H22" s="8922" t="n"/>
      <c r="I22" s="8922" t="n"/>
      <c r="J22" s="8922" t="n"/>
      <c r="K22" s="8922" t="n"/>
      <c r="L22" s="8922" t="n"/>
      <c r="M22" s="8922" t="n"/>
      <c r="N22" s="8922" t="n"/>
      <c r="O22" s="8922" t="n"/>
      <c r="P22" s="8922" t="n"/>
      <c r="Q22" s="8922" t="n"/>
      <c r="R22" s="8922" t="n"/>
      <c r="S22" s="8922" t="n"/>
      <c r="T22" s="8922" t="n"/>
      <c r="U22" s="8922" t="n"/>
      <c r="V22" s="8922" t="n"/>
      <c r="W22" s="8922" t="n"/>
      <c r="X22" s="8922" t="n"/>
      <c r="Y22" s="8922" t="n"/>
      <c r="Z22" s="8922" t="n"/>
      <c r="AA22" s="8922" t="n"/>
      <c r="AB22" s="8922" t="n"/>
      <c r="AC22" s="8922" t="n"/>
      <c r="AD22" s="8922" t="n"/>
      <c r="AE22" s="8922" t="n"/>
      <c r="AF22" s="8922" t="n"/>
      <c r="AG22" s="2013" t="n"/>
      <c r="BA22" s="12799" t="inlineStr">
        <is>
          <t>Less than One Year</t>
        </is>
      </c>
      <c r="BB22" s="8412" t="n"/>
      <c r="BC22" s="11734" t="n"/>
    </row>
    <row r="23" ht="12.75" customHeight="1" s="7635">
      <c r="A23" s="2013" t="n"/>
      <c r="B23" s="11403">
        <f>IF(SpaceUsed_8949A_ST,"ERROR: DO NOT use the space bar to uncheck a box. Use the 'Delete' key.","for one or more of the boxes, complete as many forms with the same box checked as you need.")</f>
        <v/>
      </c>
      <c r="C23" s="8922" t="n"/>
      <c r="D23" s="8922" t="n"/>
      <c r="E23" s="8922" t="n"/>
      <c r="F23" s="8922" t="n"/>
      <c r="G23" s="8922" t="n"/>
      <c r="H23" s="8922" t="n"/>
      <c r="I23" s="8922" t="n"/>
      <c r="J23" s="8922" t="n"/>
      <c r="K23" s="8922" t="n"/>
      <c r="L23" s="8922" t="n"/>
      <c r="M23" s="8922" t="n"/>
      <c r="N23" s="8922" t="n"/>
      <c r="O23" s="8922" t="n"/>
      <c r="P23" s="8922" t="n"/>
      <c r="Q23" s="8922" t="n"/>
      <c r="R23" s="8922" t="n"/>
      <c r="S23" s="8922" t="n"/>
      <c r="T23" s="8922" t="n"/>
      <c r="U23" s="8922" t="n"/>
      <c r="V23" s="8922" t="n"/>
      <c r="W23" s="8922" t="n"/>
      <c r="X23" s="8922" t="n"/>
      <c r="Y23" s="8922" t="n"/>
      <c r="Z23" s="8922" t="n"/>
      <c r="AA23" s="8922" t="n"/>
      <c r="AB23" s="8922" t="n"/>
      <c r="AC23" s="8922" t="n"/>
      <c r="AD23" s="8922" t="n"/>
      <c r="AE23" s="8922" t="n"/>
      <c r="AF23" s="8922" t="n"/>
      <c r="AG23" s="2013" t="n"/>
      <c r="AJ23" s="3809" t="n"/>
      <c r="AK23" s="3809" t="n"/>
      <c r="AL23" s="3809" t="n"/>
      <c r="AM23" s="3809" t="n"/>
      <c r="AN23" s="3809" t="n"/>
      <c r="AO23" s="3809" t="n"/>
      <c r="AP23" s="3809" t="n"/>
      <c r="AQ23" s="3809" t="n"/>
      <c r="BA23" s="11398" t="inlineStr">
        <is>
          <t>Calendar Year is SAME</t>
        </is>
      </c>
      <c r="BB23" s="11398" t="inlineStr">
        <is>
          <t>Before This Month (Last Year)</t>
        </is>
      </c>
      <c r="BC23" s="11398" t="inlineStr">
        <is>
          <t>Before This Day and Month (Last Year)</t>
        </is>
      </c>
    </row>
    <row r="24" ht="4.5" customHeight="1" s="7635" thickBot="1">
      <c r="A24" s="2013" t="n"/>
      <c r="B24" s="8922" t="n"/>
      <c r="C24" s="8922" t="n"/>
      <c r="D24" s="8922" t="n"/>
      <c r="E24" s="8922" t="n"/>
      <c r="F24" s="8922" t="n"/>
      <c r="G24" s="8922" t="n"/>
      <c r="H24" s="8922" t="n"/>
      <c r="I24" s="8922" t="n"/>
      <c r="J24" s="8922" t="n"/>
      <c r="K24" s="8922" t="n"/>
      <c r="L24" s="8922" t="n"/>
      <c r="M24" s="8922" t="n"/>
      <c r="N24" s="8922" t="n"/>
      <c r="O24" s="8922" t="n"/>
      <c r="P24" s="8922" t="n"/>
      <c r="Q24" s="8922" t="n"/>
      <c r="R24" s="8922" t="n"/>
      <c r="S24" s="8922" t="n"/>
      <c r="T24" s="8922" t="n"/>
      <c r="U24" s="8922" t="n"/>
      <c r="V24" s="8922" t="n"/>
      <c r="W24" s="8922" t="n"/>
      <c r="X24" s="8922" t="n"/>
      <c r="Y24" s="8922" t="n"/>
      <c r="Z24" s="8922" t="n"/>
      <c r="AA24" s="8922" t="n"/>
      <c r="AB24" s="8922" t="n"/>
      <c r="AC24" s="8922" t="n"/>
      <c r="AD24" s="8922" t="n"/>
      <c r="AE24" s="8922" t="n"/>
      <c r="AF24" s="8922" t="n"/>
      <c r="AG24" s="2013" t="n"/>
      <c r="BA24" s="11747" t="n"/>
      <c r="BB24" s="11747" t="n"/>
      <c r="BC24" s="11747" t="n"/>
    </row>
    <row r="25" ht="12" customHeight="1" s="7635" thickBot="1">
      <c r="A25" s="2013" t="n"/>
      <c r="B25" s="8914">
        <f>IF(C25&lt;&gt;"",1,0)</f>
        <v/>
      </c>
      <c r="C25" s="300" t="n"/>
      <c r="D25" s="3440" t="inlineStr">
        <is>
          <t xml:space="preserve"> (A) Short-term transactions reported on Form(s) 1099-B showing basis was reported to the IRS (see Note above)</t>
        </is>
      </c>
      <c r="E25" s="8922" t="n"/>
      <c r="F25" s="8922" t="n"/>
      <c r="G25" s="8922" t="n"/>
      <c r="H25" s="8922" t="n"/>
      <c r="I25" s="8922" t="n"/>
      <c r="J25" s="8922" t="n"/>
      <c r="K25" s="8922" t="n"/>
      <c r="L25" s="8922" t="n"/>
      <c r="M25" s="8922" t="n"/>
      <c r="N25" s="8922" t="n"/>
      <c r="O25" s="8922" t="n"/>
      <c r="P25" s="8922" t="n"/>
      <c r="Q25" s="8922" t="n"/>
      <c r="R25" s="8922" t="n"/>
      <c r="S25" s="8922" t="n"/>
      <c r="T25" s="8922" t="n"/>
      <c r="U25" s="8922" t="n"/>
      <c r="V25" s="8922" t="n"/>
      <c r="W25" s="8922" t="n"/>
      <c r="X25" s="8922" t="n"/>
      <c r="Y25" s="8922" t="n"/>
      <c r="Z25" s="8922" t="n"/>
      <c r="AA25" s="8922" t="n"/>
      <c r="AB25" s="8922" t="n"/>
      <c r="AC25" s="8922" t="n"/>
      <c r="AD25" s="8922" t="n"/>
      <c r="AE25" s="8922" t="n"/>
      <c r="AF25" s="8922" t="n"/>
      <c r="AG25" s="2013" t="n"/>
      <c r="AJ25" s="11392" t="n"/>
      <c r="BA25" s="11747" t="n"/>
      <c r="BB25" s="11747" t="n"/>
      <c r="BC25" s="11747" t="n"/>
    </row>
    <row r="26" ht="4.5" customHeight="1" s="7635" thickBot="1">
      <c r="A26" s="2013" t="n"/>
      <c r="B26" s="8914" t="n"/>
      <c r="C26" s="8922" t="n"/>
      <c r="D26" s="1836" t="n"/>
      <c r="E26" s="8922" t="n"/>
      <c r="F26" s="8922" t="n"/>
      <c r="G26" s="8922" t="n"/>
      <c r="H26" s="8922" t="n"/>
      <c r="I26" s="8922" t="n"/>
      <c r="J26" s="8922" t="n"/>
      <c r="K26" s="8922" t="n"/>
      <c r="L26" s="8922" t="n"/>
      <c r="M26" s="8922" t="n"/>
      <c r="N26" s="8922" t="n"/>
      <c r="O26" s="8922" t="n"/>
      <c r="P26" s="8922" t="n"/>
      <c r="Q26" s="8922" t="n"/>
      <c r="R26" s="8922" t="n"/>
      <c r="S26" s="8922" t="n"/>
      <c r="T26" s="8922" t="n"/>
      <c r="U26" s="8922" t="n"/>
      <c r="V26" s="8922" t="n"/>
      <c r="W26" s="8922" t="n"/>
      <c r="X26" s="8922" t="n"/>
      <c r="Y26" s="8922" t="n"/>
      <c r="Z26" s="8922" t="n"/>
      <c r="AA26" s="8922" t="n"/>
      <c r="AB26" s="8922" t="n"/>
      <c r="AC26" s="8922" t="n"/>
      <c r="AD26" s="8922" t="n"/>
      <c r="AE26" s="8922" t="n"/>
      <c r="AF26" s="8922" t="n"/>
      <c r="AG26" s="2013" t="n"/>
      <c r="BA26" s="11747" t="n"/>
      <c r="BB26" s="11747" t="n"/>
      <c r="BC26" s="11747" t="n"/>
    </row>
    <row r="27" ht="11.25" customHeight="1" s="7635" thickBot="1">
      <c r="A27" s="2013" t="n"/>
      <c r="B27" s="8914">
        <f>IF(C27&lt;&gt;"",1,0)</f>
        <v/>
      </c>
      <c r="C27" s="300" t="n"/>
      <c r="D27" s="3440" t="inlineStr">
        <is>
          <t xml:space="preserve"> (B) Short-term transactions reported on Form(s) 1099-B showing basis was not reported to the IRS</t>
        </is>
      </c>
      <c r="E27" s="8922" t="n"/>
      <c r="F27" s="8922" t="n"/>
      <c r="G27" s="8922" t="n"/>
      <c r="H27" s="8922" t="n"/>
      <c r="I27" s="8922" t="n"/>
      <c r="J27" s="8922" t="n"/>
      <c r="K27" s="8922" t="n"/>
      <c r="L27" s="8922" t="n"/>
      <c r="M27" s="8922" t="n"/>
      <c r="N27" s="8922" t="n"/>
      <c r="O27" s="8922" t="n"/>
      <c r="P27" s="8922" t="n"/>
      <c r="Q27" s="8922" t="n"/>
      <c r="R27" s="8922" t="n"/>
      <c r="S27" s="8922" t="n"/>
      <c r="T27" s="8922" t="n"/>
      <c r="U27" s="8922" t="n"/>
      <c r="V27" s="8922" t="n"/>
      <c r="W27" s="8922" t="n"/>
      <c r="X27" s="8922" t="n"/>
      <c r="Y27" s="8922" t="n"/>
      <c r="Z27" s="8922" t="n"/>
      <c r="AA27" s="8922" t="n"/>
      <c r="AB27" s="8922" t="n"/>
      <c r="AC27" s="8922" t="n"/>
      <c r="AD27" s="8922" t="n"/>
      <c r="AE27" s="8922" t="n"/>
      <c r="AF27" s="8922" t="n"/>
      <c r="AG27" s="2013" t="n"/>
      <c r="AJ27" s="11392" t="n"/>
      <c r="BA27" s="11747" t="n"/>
      <c r="BB27" s="11747" t="n"/>
      <c r="BC27" s="11747" t="n"/>
    </row>
    <row r="28" ht="4.5" customHeight="1" s="7635" thickBot="1">
      <c r="A28" s="2013" t="n"/>
      <c r="B28" s="8914" t="n"/>
      <c r="C28" s="8922" t="n"/>
      <c r="D28" s="1836" t="n"/>
      <c r="E28" s="8922" t="n"/>
      <c r="F28" s="8922" t="n"/>
      <c r="G28" s="8922" t="n"/>
      <c r="H28" s="8922" t="n"/>
      <c r="I28" s="8922" t="n"/>
      <c r="J28" s="8922" t="n"/>
      <c r="K28" s="8922" t="n"/>
      <c r="L28" s="8922" t="n"/>
      <c r="M28" s="8922" t="n"/>
      <c r="N28" s="8922" t="n"/>
      <c r="O28" s="8922" t="n"/>
      <c r="P28" s="8922" t="n"/>
      <c r="Q28" s="8922" t="n"/>
      <c r="R28" s="8922" t="n"/>
      <c r="S28" s="8922" t="n"/>
      <c r="T28" s="8922" t="n"/>
      <c r="U28" s="8922" t="n"/>
      <c r="V28" s="8922" t="n"/>
      <c r="W28" s="8922" t="n"/>
      <c r="X28" s="8922" t="n"/>
      <c r="Y28" s="8922" t="n"/>
      <c r="Z28" s="8922" t="n"/>
      <c r="AA28" s="8922" t="n"/>
      <c r="AB28" s="8922" t="n"/>
      <c r="AC28" s="8922" t="n"/>
      <c r="AD28" s="8922" t="n"/>
      <c r="AE28" s="8922" t="n"/>
      <c r="AF28" s="8922" t="n"/>
      <c r="AG28" s="2013" t="n"/>
      <c r="BA28" s="11747" t="n"/>
      <c r="BB28" s="11747" t="n"/>
      <c r="BC28" s="11747" t="n"/>
    </row>
    <row r="29" ht="12" customHeight="1" s="7635" thickBot="1">
      <c r="A29" s="2013">
        <f>SUM(B25:B29)</f>
        <v/>
      </c>
      <c r="B29" s="8914">
        <f>IF(C29&lt;&gt;"",1,0)</f>
        <v/>
      </c>
      <c r="C29" s="300" t="n"/>
      <c r="D29" s="3440" t="inlineStr">
        <is>
          <t xml:space="preserve"> (C) Short-term transactions, other than digital asset transactions, not reported to you on Form 1099-B or Form 1099-DA</t>
        </is>
      </c>
      <c r="E29" s="8922" t="n"/>
      <c r="F29" s="8922" t="n"/>
      <c r="G29" s="8922" t="n"/>
      <c r="H29" s="8922" t="n"/>
      <c r="I29" s="8922" t="n"/>
      <c r="J29" s="8922" t="n"/>
      <c r="K29" s="8922" t="n"/>
      <c r="L29" s="8922" t="n"/>
      <c r="M29" s="8922" t="n"/>
      <c r="N29" s="8922" t="n"/>
      <c r="O29" s="8922" t="n"/>
      <c r="P29" s="8922" t="n"/>
      <c r="Q29" s="8922" t="n"/>
      <c r="R29" s="8922" t="n"/>
      <c r="S29" s="8922" t="n"/>
      <c r="T29" s="8922" t="n"/>
      <c r="U29" s="8922" t="n"/>
      <c r="V29" s="8922" t="n"/>
      <c r="W29" s="8922" t="n"/>
      <c r="X29" s="8922" t="n"/>
      <c r="Y29" s="8922" t="n"/>
      <c r="Z29" s="8922" t="n"/>
      <c r="AA29" s="8922" t="n"/>
      <c r="AB29" s="8922" t="n"/>
      <c r="AC29" s="6009" t="n"/>
      <c r="AD29" s="6009" t="n"/>
      <c r="AE29" s="6010" t="n"/>
      <c r="AF29" s="8922" t="n"/>
      <c r="AG29" s="2013" t="n"/>
      <c r="AH29" s="9649">
        <f>OR(F8949ASBOXA=CHAR(32),F8949ASBOXB=CHAR(32),F8949ASBOXC=CHAR(32),F8949ASBOXG=CHAR(32),F8949ASBOXH=CHAR(32),F8949ASBOXI=CHAR(32))</f>
        <v/>
      </c>
      <c r="AJ29" s="11392" t="n"/>
      <c r="BA29" s="11747" t="n"/>
      <c r="BB29" s="11747" t="n"/>
      <c r="BC29" s="11747" t="n"/>
    </row>
    <row r="30" ht="4.5" customHeight="1" s="7635" thickBot="1">
      <c r="A30" s="2013" t="n"/>
      <c r="B30" s="8922" t="n"/>
      <c r="C30" s="8922" t="n"/>
      <c r="D30" s="1836" t="n"/>
      <c r="E30" s="8922" t="n"/>
      <c r="F30" s="8922" t="n"/>
      <c r="G30" s="8922" t="n"/>
      <c r="H30" s="8922" t="n"/>
      <c r="I30" s="8922" t="n"/>
      <c r="J30" s="8922" t="n"/>
      <c r="K30" s="8922" t="n"/>
      <c r="L30" s="8922" t="n"/>
      <c r="M30" s="8922" t="n"/>
      <c r="N30" s="8922" t="n"/>
      <c r="O30" s="8922" t="n"/>
      <c r="P30" s="8922" t="n"/>
      <c r="Q30" s="8922" t="n"/>
      <c r="R30" s="8922" t="n"/>
      <c r="S30" s="8922" t="n"/>
      <c r="T30" s="8922" t="n"/>
      <c r="U30" s="8922" t="n"/>
      <c r="V30" s="8922" t="n"/>
      <c r="W30" s="8922" t="n"/>
      <c r="X30" s="8922" t="n"/>
      <c r="Y30" s="8922" t="n"/>
      <c r="Z30" s="8922" t="n"/>
      <c r="AA30" s="8922" t="n"/>
      <c r="AB30" s="8922" t="n"/>
      <c r="AC30" s="8922" t="n"/>
      <c r="AD30" s="8922" t="n"/>
      <c r="AE30" s="8922" t="n"/>
      <c r="AF30" s="8922" t="n"/>
      <c r="AG30" s="2013" t="n"/>
      <c r="BA30" s="11747" t="n"/>
      <c r="BB30" s="11747" t="n"/>
      <c r="BC30" s="11747" t="n"/>
    </row>
    <row r="31" ht="12" customHeight="1" s="7635" thickBot="1">
      <c r="A31" s="2013" t="n"/>
      <c r="B31" s="8914">
        <f>IF(C31&lt;&gt;"",1,0)</f>
        <v/>
      </c>
      <c r="C31" s="300" t="n"/>
      <c r="D31" s="3440" t="inlineStr">
        <is>
          <t xml:space="preserve"> (G) Short-term transactions reported on Form(s) 1099-DA showing basis was reported to the IRS (see Note above)</t>
        </is>
      </c>
      <c r="E31" s="8922" t="n"/>
      <c r="F31" s="8922" t="n"/>
      <c r="G31" s="8922" t="n"/>
      <c r="H31" s="8922" t="n"/>
      <c r="I31" s="8922" t="n"/>
      <c r="J31" s="8922" t="n"/>
      <c r="K31" s="8922" t="n"/>
      <c r="L31" s="8922" t="n"/>
      <c r="M31" s="8922" t="n"/>
      <c r="N31" s="8922" t="n"/>
      <c r="O31" s="8922" t="n"/>
      <c r="P31" s="8922" t="n"/>
      <c r="Q31" s="8922" t="n"/>
      <c r="R31" s="8922" t="n"/>
      <c r="S31" s="8922" t="n"/>
      <c r="T31" s="8922" t="n"/>
      <c r="U31" s="8922" t="n"/>
      <c r="V31" s="8922" t="n"/>
      <c r="W31" s="8922" t="n"/>
      <c r="X31" s="8922" t="n"/>
      <c r="Y31" s="8922" t="n"/>
      <c r="Z31" s="8922" t="n"/>
      <c r="AA31" s="8922" t="n"/>
      <c r="AB31" s="8922" t="n"/>
      <c r="AC31" s="8922" t="n"/>
      <c r="AD31" s="8922" t="n"/>
      <c r="AE31" s="8922" t="n"/>
      <c r="AF31" s="8922" t="n"/>
      <c r="AG31" s="2013" t="n"/>
      <c r="AJ31" s="11392" t="n"/>
      <c r="BA31" s="11747" t="n"/>
      <c r="BB31" s="11747" t="n"/>
      <c r="BC31" s="11747" t="n"/>
    </row>
    <row r="32" ht="4.5" customHeight="1" s="7635" thickBot="1">
      <c r="A32" s="2013" t="n"/>
      <c r="B32" s="8914" t="n"/>
      <c r="C32" s="8922" t="n"/>
      <c r="D32" s="1836" t="n"/>
      <c r="E32" s="8922" t="n"/>
      <c r="F32" s="8922" t="n"/>
      <c r="G32" s="8922" t="n"/>
      <c r="H32" s="8922" t="n"/>
      <c r="I32" s="8922" t="n"/>
      <c r="J32" s="8922" t="n"/>
      <c r="K32" s="8922" t="n"/>
      <c r="L32" s="8922" t="n"/>
      <c r="M32" s="8922" t="n"/>
      <c r="N32" s="8922" t="n"/>
      <c r="O32" s="8922" t="n"/>
      <c r="P32" s="8922" t="n"/>
      <c r="Q32" s="8922" t="n"/>
      <c r="R32" s="8922" t="n"/>
      <c r="S32" s="8922" t="n"/>
      <c r="T32" s="8922" t="n"/>
      <c r="U32" s="8922" t="n"/>
      <c r="V32" s="8922" t="n"/>
      <c r="W32" s="8922" t="n"/>
      <c r="X32" s="8922" t="n"/>
      <c r="Y32" s="8922" t="n"/>
      <c r="Z32" s="8922" t="n"/>
      <c r="AA32" s="8922" t="n"/>
      <c r="AB32" s="8922" t="n"/>
      <c r="AC32" s="8922" t="n"/>
      <c r="AD32" s="8922" t="n"/>
      <c r="AE32" s="8922" t="n"/>
      <c r="AF32" s="8922" t="n"/>
      <c r="AG32" s="2013" t="n"/>
      <c r="BA32" s="11747" t="n"/>
      <c r="BB32" s="11747" t="n"/>
      <c r="BC32" s="11747" t="n"/>
    </row>
    <row r="33" ht="11.25" customHeight="1" s="7635" thickBot="1">
      <c r="A33" s="2013" t="n"/>
      <c r="B33" s="8914">
        <f>IF(C33&lt;&gt;"",1,0)</f>
        <v/>
      </c>
      <c r="C33" s="300" t="n"/>
      <c r="D33" s="3440" t="inlineStr">
        <is>
          <t xml:space="preserve"> (H) Short-term transactions reported on Form(s) 1099-DA showing basis was not reported to the IRS</t>
        </is>
      </c>
      <c r="E33" s="8922" t="n"/>
      <c r="F33" s="8922" t="n"/>
      <c r="G33" s="8922" t="n"/>
      <c r="H33" s="8922" t="n"/>
      <c r="I33" s="8922" t="n"/>
      <c r="J33" s="8922" t="n"/>
      <c r="K33" s="8922" t="n"/>
      <c r="L33" s="8922" t="n"/>
      <c r="M33" s="8922" t="n"/>
      <c r="N33" s="8922" t="n"/>
      <c r="O33" s="8922" t="n"/>
      <c r="P33" s="8922" t="n"/>
      <c r="Q33" s="8922" t="n"/>
      <c r="R33" s="8922" t="n"/>
      <c r="S33" s="8922" t="n"/>
      <c r="T33" s="8922" t="n"/>
      <c r="U33" s="8922" t="n"/>
      <c r="V33" s="8922" t="n"/>
      <c r="W33" s="8922" t="n"/>
      <c r="X33" s="8922" t="n"/>
      <c r="Y33" s="8922" t="n"/>
      <c r="Z33" s="8922" t="n"/>
      <c r="AA33" s="8922" t="n"/>
      <c r="AB33" s="8922" t="n"/>
      <c r="AC33" s="8922" t="n"/>
      <c r="AD33" s="8922" t="n"/>
      <c r="AE33" s="8922" t="n"/>
      <c r="AF33" s="8922" t="n"/>
      <c r="AG33" s="2013" t="n"/>
      <c r="AJ33" s="11392" t="n"/>
      <c r="BA33" s="11747" t="n"/>
      <c r="BB33" s="11747" t="n"/>
      <c r="BC33" s="11747" t="n"/>
    </row>
    <row r="34" ht="4.5" customHeight="1" s="7635" thickBot="1">
      <c r="A34" s="2013" t="n"/>
      <c r="B34" s="8914" t="n"/>
      <c r="C34" s="8922" t="n"/>
      <c r="D34" s="1836" t="n"/>
      <c r="E34" s="8922" t="n"/>
      <c r="F34" s="8922" t="n"/>
      <c r="G34" s="8922" t="n"/>
      <c r="H34" s="8922" t="n"/>
      <c r="I34" s="8922" t="n"/>
      <c r="J34" s="8922" t="n"/>
      <c r="K34" s="8922" t="n"/>
      <c r="L34" s="8922" t="n"/>
      <c r="M34" s="8922" t="n"/>
      <c r="N34" s="8922" t="n"/>
      <c r="O34" s="8922" t="n"/>
      <c r="P34" s="8922" t="n"/>
      <c r="Q34" s="8922" t="n"/>
      <c r="R34" s="8922" t="n"/>
      <c r="S34" s="8922" t="n"/>
      <c r="T34" s="8922" t="n"/>
      <c r="U34" s="8922" t="n"/>
      <c r="V34" s="8922" t="n"/>
      <c r="W34" s="8922" t="n"/>
      <c r="X34" s="8922" t="n"/>
      <c r="Y34" s="8922" t="n"/>
      <c r="Z34" s="8922" t="n"/>
      <c r="AA34" s="8922" t="n"/>
      <c r="AB34" s="8922" t="n"/>
      <c r="AC34" s="8922" t="n"/>
      <c r="AD34" s="8922" t="n"/>
      <c r="AE34" s="8922" t="n"/>
      <c r="AF34" s="8922" t="n"/>
      <c r="AG34" s="2013" t="n"/>
      <c r="BA34" s="11747" t="n"/>
      <c r="BB34" s="11747" t="n"/>
      <c r="BC34" s="11747" t="n"/>
    </row>
    <row r="35" ht="12" customHeight="1" s="7635" thickBot="1">
      <c r="A35" s="2013">
        <f>SUM(B25:B35)</f>
        <v/>
      </c>
      <c r="B35" s="8914">
        <f>IF(C35&lt;&gt;"",1,0)</f>
        <v/>
      </c>
      <c r="C35" s="300" t="n"/>
      <c r="D35" s="3440" t="inlineStr">
        <is>
          <t xml:space="preserve"> (I) Short-term digital asset transactions not reported to you on Form 1099-DA or Form 1099-B</t>
        </is>
      </c>
      <c r="E35" s="8922" t="n"/>
      <c r="F35" s="8922" t="n"/>
      <c r="G35" s="8922" t="n"/>
      <c r="H35" s="8922" t="n"/>
      <c r="I35" s="8922" t="n"/>
      <c r="J35" s="8922" t="n"/>
      <c r="K35" s="8922" t="n"/>
      <c r="L35" s="8922" t="n"/>
      <c r="M35" s="8922" t="n"/>
      <c r="N35" s="8922" t="n"/>
      <c r="O35" s="8922" t="n"/>
      <c r="P35" s="8922" t="n"/>
      <c r="Q35" s="8922" t="n"/>
      <c r="R35" s="3429" t="n"/>
      <c r="S35" s="794" t="n"/>
      <c r="T35" s="794" t="n"/>
      <c r="U35" s="794" t="n"/>
      <c r="V35" s="794" t="n"/>
      <c r="W35" s="794" t="n"/>
      <c r="X35" s="794" t="n"/>
      <c r="Y35" s="794" t="n"/>
      <c r="Z35" s="794" t="n"/>
      <c r="AA35" s="794" t="n"/>
      <c r="AB35" s="3429" t="n"/>
      <c r="AC35" s="794" t="n"/>
      <c r="AD35" s="794" t="n"/>
      <c r="AE35" s="794" t="n"/>
      <c r="AF35" s="6011" t="n"/>
      <c r="AG35" s="2013" t="n"/>
      <c r="AJ35" s="11392" t="inlineStr">
        <is>
          <t>Paste data from other spreadsheets, reports, etc. here.  (Use 'Paste Special, Values')</t>
        </is>
      </c>
      <c r="BA35" s="11747" t="n"/>
      <c r="BB35" s="11747" t="n"/>
      <c r="BC35" s="11747" t="n"/>
    </row>
    <row r="36" ht="5.25" customHeight="1" s="7635">
      <c r="A36" s="2013" t="n"/>
      <c r="B36" s="6012" t="n"/>
      <c r="C36" s="6013" t="n"/>
      <c r="D36" s="6012" t="n"/>
      <c r="E36" s="6012" t="n"/>
      <c r="F36" s="6012" t="n"/>
      <c r="G36" s="6012" t="n"/>
      <c r="H36" s="6012" t="n"/>
      <c r="I36" s="6012" t="n"/>
      <c r="J36" s="6012" t="n"/>
      <c r="K36" s="6012" t="n"/>
      <c r="L36" s="6012" t="n"/>
      <c r="M36" s="6012" t="n"/>
      <c r="N36" s="6013" t="n"/>
      <c r="O36" s="6012" t="n"/>
      <c r="P36" s="6012" t="n"/>
      <c r="Q36" s="6012" t="n"/>
      <c r="R36" s="6012" t="n"/>
      <c r="S36" s="6012" t="n"/>
      <c r="T36" s="6012" t="n"/>
      <c r="U36" s="6012" t="n"/>
      <c r="V36" s="6012" t="n"/>
      <c r="W36" s="6012" t="n"/>
      <c r="X36" s="6012" t="n"/>
      <c r="Y36" s="6013" t="n"/>
      <c r="Z36" s="6012" t="n"/>
      <c r="AA36" s="6012" t="n"/>
      <c r="AB36" s="6012" t="n"/>
      <c r="AC36" s="6012" t="n"/>
      <c r="AD36" s="6012" t="n"/>
      <c r="AE36" s="6012" t="n"/>
      <c r="AF36" s="6012" t="n"/>
      <c r="AG36" s="2013" t="n"/>
      <c r="BA36" s="11747" t="n"/>
      <c r="BB36" s="11747" t="n"/>
      <c r="BC36" s="11747" t="n"/>
    </row>
    <row r="37" ht="21" customHeight="1" s="7635">
      <c r="A37" s="2013" t="n"/>
      <c r="B37" s="12800" t="n">
        <v>1</v>
      </c>
      <c r="C37" s="12801" t="inlineStr">
        <is>
          <t>(a)
Description of property
(Example: 100 sh. XYZ Co.)</t>
        </is>
      </c>
      <c r="D37" s="7839" t="n"/>
      <c r="E37" s="7839" t="n"/>
      <c r="F37" s="7839" t="n"/>
      <c r="G37" s="7839" t="n"/>
      <c r="H37" s="7839" t="n"/>
      <c r="I37" s="10091" t="n"/>
      <c r="J37" s="11779" t="inlineStr">
        <is>
          <t>(b)
Date acquired
(Mo., day, yr.)</t>
        </is>
      </c>
      <c r="K37" s="7839" t="n"/>
      <c r="L37" s="10091" t="n"/>
      <c r="M37" s="11779" t="inlineStr">
        <is>
          <t>(c)
Date sold or
disposed of
(Mo., day, yr.)</t>
        </is>
      </c>
      <c r="N37" s="7839" t="n"/>
      <c r="O37" s="7839" t="n"/>
      <c r="P37" s="10091" t="n"/>
      <c r="Q37" s="11779" t="inlineStr">
        <is>
          <t>(d)
Proceeds 
(sales price) 
(see instructions)</t>
        </is>
      </c>
      <c r="R37" s="7839" t="n"/>
      <c r="S37" s="7839" t="n"/>
      <c r="T37" s="10091" t="n"/>
      <c r="U37" s="12802" t="inlineStr">
        <is>
          <t>(e)
Cost or other basis. 
See the Note below 
and see Column (e) 
in the separate 
instructions</t>
        </is>
      </c>
      <c r="V37" s="7839" t="n"/>
      <c r="W37" s="7839" t="n"/>
      <c r="X37" s="10091" t="n"/>
      <c r="Y37" s="12803" t="inlineStr">
        <is>
          <t>Adjustment, if any, to gain or loss. 
If you enter an amount in column (g), 
enter a code in column (f). 
See the separate instructions.</t>
        </is>
      </c>
      <c r="Z37" s="7839" t="n"/>
      <c r="AA37" s="7839" t="n"/>
      <c r="AB37" s="10091" t="n"/>
      <c r="AC37" s="12804" t="inlineStr">
        <is>
          <t>(h) 
Gain or (loss). 
Subtract column (e) 
from column (d) and 
combine the result 
with column (g)</t>
        </is>
      </c>
      <c r="AD37" s="7839" t="n"/>
      <c r="AE37" s="7839" t="n"/>
      <c r="AF37" s="7839" t="n"/>
      <c r="AG37" s="2013" t="n"/>
      <c r="AJ37" s="11391" t="inlineStr">
        <is>
          <t>(a)
Description of property
(Example: 100 sh. XYZ Co.)</t>
        </is>
      </c>
      <c r="AK37" s="11391" t="inlineStr">
        <is>
          <t>(b)
Date acquired 
(Mo., day, yr.)</t>
        </is>
      </c>
      <c r="AL37" s="11391" t="inlineStr">
        <is>
          <t>(c)
Date sold or disposed
(Mo., day, yr.)</t>
        </is>
      </c>
      <c r="AM37" s="11391" t="inlineStr">
        <is>
          <t>(d)
Proceeds (sales price)
(see instructions)</t>
        </is>
      </c>
      <c r="AN37" s="11400" t="inlineStr">
        <is>
          <t>(e)
Cost or other basis.
See the Note below 
and see Column (e)
in the separate instructions</t>
        </is>
      </c>
      <c r="AO37" s="12805" t="inlineStr">
        <is>
          <t>Adjustment, if any, to gain or loss. 
If you enter an amount in column (g), 
enter a code in column (f). 
See the separate instructions.</t>
        </is>
      </c>
      <c r="AP37" s="10091" t="n"/>
      <c r="AQ37" s="11391" t="inlineStr">
        <is>
          <t>(h) 
Gain or (loss). 
Subtract column (e) 
from column (d) and 
combine the result 
with column (g)</t>
        </is>
      </c>
      <c r="BA37" s="11747" t="n"/>
      <c r="BB37" s="11747" t="n"/>
      <c r="BC37" s="11747" t="n"/>
    </row>
    <row r="38" ht="21" customHeight="1" s="7635">
      <c r="A38" s="2013" t="n"/>
      <c r="I38" s="7636" t="n"/>
      <c r="J38" s="4772" t="n"/>
      <c r="L38" s="7636" t="n"/>
      <c r="M38" s="4772" t="n"/>
      <c r="P38" s="7636" t="n"/>
      <c r="Q38" s="4772" t="n"/>
      <c r="T38" s="7636" t="n"/>
      <c r="U38" s="4772" t="n"/>
      <c r="X38" s="7636" t="n"/>
      <c r="Y38" s="3614" t="n"/>
      <c r="Z38" s="7637" t="n"/>
      <c r="AA38" s="7637" t="n"/>
      <c r="AB38" s="7638" t="n"/>
      <c r="AC38" s="4772" t="n"/>
      <c r="AG38" s="2013" t="n"/>
      <c r="AJ38" s="11747" t="n"/>
      <c r="AK38" s="11747" t="n"/>
      <c r="AL38" s="11747" t="n"/>
      <c r="AM38" s="11747" t="n"/>
      <c r="AN38" s="11747" t="n"/>
      <c r="AO38" s="3614" t="n"/>
      <c r="AP38" s="7638" t="n"/>
      <c r="AQ38" s="11747" t="n"/>
      <c r="BA38" s="11747" t="n"/>
      <c r="BB38" s="11747" t="n"/>
      <c r="BC38" s="11747" t="n"/>
    </row>
    <row r="39" ht="18" customHeight="1" s="7635">
      <c r="A39" s="2013" t="n"/>
      <c r="I39" s="7636" t="n"/>
      <c r="J39" s="4772" t="n"/>
      <c r="L39" s="7636" t="n"/>
      <c r="M39" s="4772" t="n"/>
      <c r="P39" s="7636" t="n"/>
      <c r="Q39" s="4772" t="n"/>
      <c r="T39" s="7636" t="n"/>
      <c r="U39" s="4772" t="n"/>
      <c r="X39" s="7636" t="n"/>
      <c r="Y39" s="12122" t="inlineStr">
        <is>
          <t>(f) 
Code(s) from 
instructions</t>
        </is>
      </c>
      <c r="Z39" s="10091" t="n"/>
      <c r="AA39" s="12122" t="inlineStr">
        <is>
          <t>(g) 
Amount of 
adjustment</t>
        </is>
      </c>
      <c r="AB39" s="10091" t="n"/>
      <c r="AC39" s="4772" t="n"/>
      <c r="AG39" s="2013" t="n"/>
      <c r="AJ39" s="11747" t="n"/>
      <c r="AK39" s="11747" t="n"/>
      <c r="AL39" s="11747" t="n"/>
      <c r="AM39" s="11747" t="n"/>
      <c r="AN39" s="11747" t="n"/>
      <c r="AO39" s="12122" t="inlineStr">
        <is>
          <t>(f) 
Code(s) from 
instructions</t>
        </is>
      </c>
      <c r="AP39" s="12122" t="inlineStr">
        <is>
          <t>(g) 
Amount of 
adjustment</t>
        </is>
      </c>
      <c r="AQ39" s="11747" t="n"/>
      <c r="BA39" s="11747" t="n"/>
      <c r="BB39" s="11747" t="n"/>
      <c r="BC39" s="11747" t="n"/>
    </row>
    <row r="40" ht="18" customHeight="1" s="7635">
      <c r="A40" s="2013" t="n"/>
      <c r="B40" s="7637" t="n"/>
      <c r="C40" s="7637" t="n"/>
      <c r="D40" s="7637" t="n"/>
      <c r="E40" s="7637" t="n"/>
      <c r="F40" s="7637" t="n"/>
      <c r="G40" s="7637" t="n"/>
      <c r="H40" s="7637" t="n"/>
      <c r="I40" s="7638" t="n"/>
      <c r="J40" s="3614" t="n"/>
      <c r="K40" s="7637" t="n"/>
      <c r="L40" s="7638" t="n"/>
      <c r="M40" s="3614" t="n"/>
      <c r="N40" s="7637" t="n"/>
      <c r="O40" s="7637" t="n"/>
      <c r="P40" s="7638" t="n"/>
      <c r="Q40" s="3614" t="n"/>
      <c r="R40" s="7637" t="n"/>
      <c r="S40" s="7637" t="n"/>
      <c r="T40" s="7638" t="n"/>
      <c r="U40" s="3614" t="n"/>
      <c r="V40" s="7637" t="n"/>
      <c r="W40" s="7637" t="n"/>
      <c r="X40" s="7638" t="n"/>
      <c r="Y40" s="3614" t="n"/>
      <c r="Z40" s="7638" t="n"/>
      <c r="AA40" s="3614" t="n"/>
      <c r="AB40" s="7638" t="n"/>
      <c r="AC40" s="3614" t="n"/>
      <c r="AD40" s="7637" t="n"/>
      <c r="AE40" s="7637" t="n"/>
      <c r="AF40" s="7637" t="n"/>
      <c r="AG40" s="2013" t="n"/>
      <c r="AJ40" s="11934" t="n"/>
      <c r="AK40" s="11934" t="n"/>
      <c r="AL40" s="11934" t="n"/>
      <c r="AM40" s="11934" t="n"/>
      <c r="AN40" s="11934" t="n"/>
      <c r="AO40" s="11934" t="n"/>
      <c r="AP40" s="11934" t="n"/>
      <c r="AQ40" s="11934" t="n"/>
      <c r="AZ40" s="8788" t="inlineStr">
        <is>
          <t>LTOY</t>
        </is>
      </c>
      <c r="BA40" s="11934" t="n"/>
      <c r="BB40" s="11934" t="n"/>
      <c r="BC40" s="11934" t="n"/>
    </row>
    <row r="41" ht="26.25" customHeight="1" s="7635">
      <c r="A41" s="2013">
        <f>IF(OR(Q41&lt;&gt;"",U41&lt;&gt;"",AC41&lt;&gt;""),1,0)</f>
        <v/>
      </c>
      <c r="B41" s="12806">
        <f>IF(AJ41="","",AJ41)</f>
        <v/>
      </c>
      <c r="C41" s="8007" t="n"/>
      <c r="D41" s="8007" t="n"/>
      <c r="E41" s="8007" t="n"/>
      <c r="F41" s="8007" t="n"/>
      <c r="G41" s="8007" t="n"/>
      <c r="H41" s="8007" t="n"/>
      <c r="I41" s="8008" t="n"/>
      <c r="J41" s="12807">
        <f>IF(AK41="","",AK41)</f>
        <v/>
      </c>
      <c r="K41" s="8007" t="n"/>
      <c r="L41" s="8007" t="n"/>
      <c r="M41" s="12808">
        <f>IF(AL41="","",AL41)</f>
        <v/>
      </c>
      <c r="N41" s="8007" t="n"/>
      <c r="O41" s="8007" t="n"/>
      <c r="P41" s="8008" t="n"/>
      <c r="Q41" s="12809">
        <f>IF(AM41="","",AM41)</f>
        <v/>
      </c>
      <c r="R41" s="8007" t="n"/>
      <c r="S41" s="8007" t="n"/>
      <c r="T41" s="8008" t="n"/>
      <c r="U41" s="12809">
        <f>IF(AN41="","",AN41)</f>
        <v/>
      </c>
      <c r="V41" s="8007" t="n"/>
      <c r="W41" s="8007" t="n"/>
      <c r="X41" s="8008" t="n"/>
      <c r="Y41" s="12810">
        <f>IF(AO41&lt;&gt;"",AO41,"")</f>
        <v/>
      </c>
      <c r="Z41" s="8008" t="n"/>
      <c r="AA41" s="12809">
        <f>IF(AP41="","",AP41)</f>
        <v/>
      </c>
      <c r="AB41" s="8008" t="n"/>
      <c r="AC41" s="11389">
        <f>IF(AQ41&lt;&gt;"",AQ41,IF(AND(Q41="",U41=""),"",IF(AND(Q41&lt;&gt;"",U41=""),SUM(Q41,AA41),SUM(Q41,-U41,AA41))))</f>
        <v/>
      </c>
      <c r="AD41" s="8412" t="n"/>
      <c r="AE41" s="8412" t="n"/>
      <c r="AF41" s="8412" t="n"/>
      <c r="AG41" s="4271">
        <f>IF(OR(J41="",M41=""),0,IF(OR(BA41,BB41,BC41),0,1))</f>
        <v/>
      </c>
      <c r="AH41" s="6014" t="n"/>
      <c r="AI41" s="6014">
        <f>M41-J41</f>
        <v/>
      </c>
      <c r="AJ41" s="293" t="n"/>
      <c r="AK41" s="12811" t="n"/>
      <c r="AL41" s="12811" t="n"/>
      <c r="AM41" s="295" t="n"/>
      <c r="AN41" s="295" t="n"/>
      <c r="AO41" s="296" t="n"/>
      <c r="AP41" s="295" t="n"/>
      <c r="AQ41" s="294" t="n"/>
      <c r="AS41">
        <f>YEAR(J41)</f>
        <v/>
      </c>
      <c r="AT41">
        <f>MONTH(J41)</f>
        <v/>
      </c>
      <c r="AU41">
        <f>DAY(J41)</f>
        <v/>
      </c>
      <c r="AW41">
        <f>YEAR(M41)</f>
        <v/>
      </c>
      <c r="AX41">
        <f>MONTH(M41)</f>
        <v/>
      </c>
      <c r="AY41">
        <f>DAY(M41)</f>
        <v/>
      </c>
      <c r="AZ41">
        <f>OR(BA41,BB41,BC41)</f>
        <v/>
      </c>
      <c r="BA41">
        <f>AW41=AS41</f>
        <v/>
      </c>
      <c r="BB41">
        <f>AND(AW41=AS41+1,AX41&lt;AT41)</f>
        <v/>
      </c>
      <c r="BC41">
        <f>AND(AW41=AS41+1,AX41=AT41,AY41&lt;=AU41)</f>
        <v/>
      </c>
    </row>
    <row r="42" ht="26.25" customHeight="1" s="7635">
      <c r="A42" s="2013">
        <f>IF(OR(Q42&lt;&gt;"",U42&lt;&gt;"",AC42&lt;&gt;""),1,0)</f>
        <v/>
      </c>
      <c r="B42" s="12806">
        <f>IF(AJ42="","",AJ42)</f>
        <v/>
      </c>
      <c r="C42" s="8007" t="n"/>
      <c r="D42" s="8007" t="n"/>
      <c r="E42" s="8007" t="n"/>
      <c r="F42" s="8007" t="n"/>
      <c r="G42" s="8007" t="n"/>
      <c r="H42" s="8007" t="n"/>
      <c r="I42" s="8008" t="n"/>
      <c r="J42" s="12807">
        <f>IF(AK42="","",AK42)</f>
        <v/>
      </c>
      <c r="K42" s="8007" t="n"/>
      <c r="L42" s="8007" t="n"/>
      <c r="M42" s="12808">
        <f>IF(AL42="","",AL42)</f>
        <v/>
      </c>
      <c r="N42" s="8007" t="n"/>
      <c r="O42" s="8007" t="n"/>
      <c r="P42" s="8008" t="n"/>
      <c r="Q42" s="12809">
        <f>IF(AM42="","",AM42)</f>
        <v/>
      </c>
      <c r="R42" s="8007" t="n"/>
      <c r="S42" s="8007" t="n"/>
      <c r="T42" s="8008" t="n"/>
      <c r="U42" s="12809">
        <f>IF(AN42="","",AN42)</f>
        <v/>
      </c>
      <c r="V42" s="8007" t="n"/>
      <c r="W42" s="8007" t="n"/>
      <c r="X42" s="8008" t="n"/>
      <c r="Y42" s="12810">
        <f>IF(AO42&lt;&gt;"",AO42,"")</f>
        <v/>
      </c>
      <c r="Z42" s="8008" t="n"/>
      <c r="AA42" s="12809">
        <f>IF(AP42="","",AP42)</f>
        <v/>
      </c>
      <c r="AB42" s="8008" t="n"/>
      <c r="AC42" s="11389">
        <f>IF(AQ42&lt;&gt;"",AQ42,IF(AND(Q42="",U42=""),"",IF(AND(Q42&lt;&gt;"",U42=""),SUM(Q42,AA42),SUM(Q42,-U42,AA42))))</f>
        <v/>
      </c>
      <c r="AD42" s="8412" t="n"/>
      <c r="AE42" s="8412" t="n"/>
      <c r="AF42" s="8412" t="n"/>
      <c r="AG42" s="4271">
        <f>IF(OR(J42="",M42=""),0,IF(OR(BA42,BB42,BC42),0,1))</f>
        <v/>
      </c>
      <c r="AH42" s="6014" t="n"/>
      <c r="AI42" s="6014">
        <f>M42-J42</f>
        <v/>
      </c>
      <c r="AJ42" s="293" t="n"/>
      <c r="AK42" s="12811" t="n"/>
      <c r="AL42" s="12811" t="n"/>
      <c r="AM42" s="295" t="n"/>
      <c r="AN42" s="295" t="n"/>
      <c r="AO42" s="296" t="n"/>
      <c r="AP42" s="295" t="n"/>
      <c r="AQ42" s="294" t="n"/>
      <c r="AS42">
        <f>YEAR(J42)</f>
        <v/>
      </c>
      <c r="AT42">
        <f>MONTH(J42)</f>
        <v/>
      </c>
      <c r="AU42">
        <f>DAY(J42)</f>
        <v/>
      </c>
      <c r="AW42">
        <f>YEAR(M42)</f>
        <v/>
      </c>
      <c r="AX42">
        <f>MONTH(M42)</f>
        <v/>
      </c>
      <c r="AY42">
        <f>DAY(M42)</f>
        <v/>
      </c>
      <c r="AZ42">
        <f>OR(BA42,BB42,BC42)</f>
        <v/>
      </c>
      <c r="BA42">
        <f>AW42=AS42</f>
        <v/>
      </c>
      <c r="BB42">
        <f>AND(AW42=AS42+1,AX42&lt;AT42)</f>
        <v/>
      </c>
      <c r="BC42">
        <f>AND(AW42=AS42+1,AX42=AT42,AY42&lt;=AU42)</f>
        <v/>
      </c>
    </row>
    <row r="43" ht="26.25" customHeight="1" s="7635">
      <c r="A43" s="2013">
        <f>IF(OR(Q43&lt;&gt;"",U43&lt;&gt;"",AC43&lt;&gt;""),1,0)</f>
        <v/>
      </c>
      <c r="B43" s="12806">
        <f>IF(AJ43="","",AJ43)</f>
        <v/>
      </c>
      <c r="C43" s="8007" t="n"/>
      <c r="D43" s="8007" t="n"/>
      <c r="E43" s="8007" t="n"/>
      <c r="F43" s="8007" t="n"/>
      <c r="G43" s="8007" t="n"/>
      <c r="H43" s="8007" t="n"/>
      <c r="I43" s="8008" t="n"/>
      <c r="J43" s="12807">
        <f>IF(AK43="","",AK43)</f>
        <v/>
      </c>
      <c r="K43" s="8007" t="n"/>
      <c r="L43" s="8007" t="n"/>
      <c r="M43" s="12808">
        <f>IF(AL43="","",AL43)</f>
        <v/>
      </c>
      <c r="N43" s="8007" t="n"/>
      <c r="O43" s="8007" t="n"/>
      <c r="P43" s="8008" t="n"/>
      <c r="Q43" s="12809">
        <f>IF(AM43="","",AM43)</f>
        <v/>
      </c>
      <c r="R43" s="8007" t="n"/>
      <c r="S43" s="8007" t="n"/>
      <c r="T43" s="8008" t="n"/>
      <c r="U43" s="12809">
        <f>IF(AN43="","",AN43)</f>
        <v/>
      </c>
      <c r="V43" s="8007" t="n"/>
      <c r="W43" s="8007" t="n"/>
      <c r="X43" s="8008" t="n"/>
      <c r="Y43" s="12810">
        <f>IF(AO43&lt;&gt;"",AO43,"")</f>
        <v/>
      </c>
      <c r="Z43" s="8008" t="n"/>
      <c r="AA43" s="12809">
        <f>IF(AP43="","",AP43)</f>
        <v/>
      </c>
      <c r="AB43" s="8008" t="n"/>
      <c r="AC43" s="11389">
        <f>IF(AQ43&lt;&gt;"",AQ43,IF(AND(Q43="",U43=""),"",IF(AND(Q43&lt;&gt;"",U43=""),SUM(Q43,AA43),SUM(Q43,-U43,AA43))))</f>
        <v/>
      </c>
      <c r="AD43" s="8412" t="n"/>
      <c r="AE43" s="8412" t="n"/>
      <c r="AF43" s="8412" t="n"/>
      <c r="AG43" s="4271">
        <f>IF(OR(J43="",M43=""),0,IF(OR(BA43,BB43,BC43),0,1))</f>
        <v/>
      </c>
      <c r="AH43" s="6014" t="n"/>
      <c r="AI43" s="6014">
        <f>M43-J43</f>
        <v/>
      </c>
      <c r="AJ43" s="293" t="n"/>
      <c r="AK43" s="12811" t="n"/>
      <c r="AL43" s="12811" t="n"/>
      <c r="AM43" s="295" t="n"/>
      <c r="AN43" s="295" t="n"/>
      <c r="AO43" s="296" t="n"/>
      <c r="AP43" s="295" t="n"/>
      <c r="AQ43" s="294" t="n"/>
      <c r="AS43">
        <f>YEAR(J43)</f>
        <v/>
      </c>
      <c r="AT43">
        <f>MONTH(J43)</f>
        <v/>
      </c>
      <c r="AU43">
        <f>DAY(J43)</f>
        <v/>
      </c>
      <c r="AW43">
        <f>YEAR(M43)</f>
        <v/>
      </c>
      <c r="AX43">
        <f>MONTH(M43)</f>
        <v/>
      </c>
      <c r="AY43">
        <f>DAY(M43)</f>
        <v/>
      </c>
      <c r="AZ43">
        <f>OR(BA43,BB43,BC43)</f>
        <v/>
      </c>
      <c r="BA43">
        <f>AW43=AS43</f>
        <v/>
      </c>
      <c r="BB43">
        <f>AND(AW43=AS43+1,AX43&lt;AT43)</f>
        <v/>
      </c>
      <c r="BC43">
        <f>AND(AW43=AS43+1,AX43=AT43,AY43&lt;=AU43)</f>
        <v/>
      </c>
    </row>
    <row r="44" ht="26.25" customHeight="1" s="7635">
      <c r="A44" s="2013">
        <f>IF(OR(Q44&lt;&gt;"",U44&lt;&gt;"",AC44&lt;&gt;""),1,0)</f>
        <v/>
      </c>
      <c r="B44" s="12806">
        <f>IF(AJ44="","",AJ44)</f>
        <v/>
      </c>
      <c r="C44" s="8007" t="n"/>
      <c r="D44" s="8007" t="n"/>
      <c r="E44" s="8007" t="n"/>
      <c r="F44" s="8007" t="n"/>
      <c r="G44" s="8007" t="n"/>
      <c r="H44" s="8007" t="n"/>
      <c r="I44" s="8008" t="n"/>
      <c r="J44" s="12807">
        <f>IF(AK44="","",AK44)</f>
        <v/>
      </c>
      <c r="K44" s="8007" t="n"/>
      <c r="L44" s="8007" t="n"/>
      <c r="M44" s="12808">
        <f>IF(AL44="","",AL44)</f>
        <v/>
      </c>
      <c r="N44" s="8007" t="n"/>
      <c r="O44" s="8007" t="n"/>
      <c r="P44" s="8008" t="n"/>
      <c r="Q44" s="12809">
        <f>IF(AM44="","",AM44)</f>
        <v/>
      </c>
      <c r="R44" s="8007" t="n"/>
      <c r="S44" s="8007" t="n"/>
      <c r="T44" s="8008" t="n"/>
      <c r="U44" s="12809">
        <f>IF(AN44="","",AN44)</f>
        <v/>
      </c>
      <c r="V44" s="8007" t="n"/>
      <c r="W44" s="8007" t="n"/>
      <c r="X44" s="8008" t="n"/>
      <c r="Y44" s="12810">
        <f>IF(AO44&lt;&gt;"",AO44,"")</f>
        <v/>
      </c>
      <c r="Z44" s="8008" t="n"/>
      <c r="AA44" s="12809">
        <f>IF(AP44="","",AP44)</f>
        <v/>
      </c>
      <c r="AB44" s="8008" t="n"/>
      <c r="AC44" s="11389">
        <f>IF(AQ44&lt;&gt;"",AQ44,IF(AND(Q44="",U44=""),"",IF(AND(Q44&lt;&gt;"",U44=""),SUM(Q44,AA44),SUM(Q44,-U44,AA44))))</f>
        <v/>
      </c>
      <c r="AD44" s="8412" t="n"/>
      <c r="AE44" s="8412" t="n"/>
      <c r="AF44" s="8412" t="n"/>
      <c r="AG44" s="4271">
        <f>IF(OR(J44="",M44=""),0,IF(OR(BA44,BB44,BC44),0,1))</f>
        <v/>
      </c>
      <c r="AH44" s="6014" t="n"/>
      <c r="AI44" s="6014">
        <f>M44-J44</f>
        <v/>
      </c>
      <c r="AJ44" s="293" t="n"/>
      <c r="AK44" s="12811" t="n"/>
      <c r="AL44" s="12811" t="n"/>
      <c r="AM44" s="295" t="n"/>
      <c r="AN44" s="295" t="n"/>
      <c r="AO44" s="296" t="n"/>
      <c r="AP44" s="295" t="n"/>
      <c r="AQ44" s="294" t="n"/>
      <c r="AS44">
        <f>YEAR(J44)</f>
        <v/>
      </c>
      <c r="AT44">
        <f>MONTH(J44)</f>
        <v/>
      </c>
      <c r="AU44">
        <f>DAY(J44)</f>
        <v/>
      </c>
      <c r="AW44">
        <f>YEAR(M44)</f>
        <v/>
      </c>
      <c r="AX44">
        <f>MONTH(M44)</f>
        <v/>
      </c>
      <c r="AY44">
        <f>DAY(M44)</f>
        <v/>
      </c>
      <c r="AZ44">
        <f>OR(BA44,BB44,BC44)</f>
        <v/>
      </c>
      <c r="BA44">
        <f>AW44=AS44</f>
        <v/>
      </c>
      <c r="BB44">
        <f>AND(AW44=AS44+1,AX44&lt;AT44)</f>
        <v/>
      </c>
      <c r="BC44">
        <f>AND(AW44=AS44+1,AX44=AT44,AY44&lt;=AU44)</f>
        <v/>
      </c>
    </row>
    <row r="45" ht="26.25" customHeight="1" s="7635">
      <c r="A45" s="2013">
        <f>IF(OR(Q45&lt;&gt;"",U45&lt;&gt;"",AC45&lt;&gt;""),1,0)</f>
        <v/>
      </c>
      <c r="B45" s="12806">
        <f>IF(AJ45="","",AJ45)</f>
        <v/>
      </c>
      <c r="C45" s="8007" t="n"/>
      <c r="D45" s="8007" t="n"/>
      <c r="E45" s="8007" t="n"/>
      <c r="F45" s="8007" t="n"/>
      <c r="G45" s="8007" t="n"/>
      <c r="H45" s="8007" t="n"/>
      <c r="I45" s="8008" t="n"/>
      <c r="J45" s="12807">
        <f>IF(AK45="","",AK45)</f>
        <v/>
      </c>
      <c r="K45" s="8007" t="n"/>
      <c r="L45" s="8007" t="n"/>
      <c r="M45" s="12808">
        <f>IF(AL45="","",AL45)</f>
        <v/>
      </c>
      <c r="N45" s="8007" t="n"/>
      <c r="O45" s="8007" t="n"/>
      <c r="P45" s="8008" t="n"/>
      <c r="Q45" s="12809">
        <f>IF(AM45="","",AM45)</f>
        <v/>
      </c>
      <c r="R45" s="8007" t="n"/>
      <c r="S45" s="8007" t="n"/>
      <c r="T45" s="8008" t="n"/>
      <c r="U45" s="12809">
        <f>IF(AN45="","",AN45)</f>
        <v/>
      </c>
      <c r="V45" s="8007" t="n"/>
      <c r="W45" s="8007" t="n"/>
      <c r="X45" s="8008" t="n"/>
      <c r="Y45" s="12810">
        <f>IF(AO45&lt;&gt;"",AO45,"")</f>
        <v/>
      </c>
      <c r="Z45" s="8008" t="n"/>
      <c r="AA45" s="12809">
        <f>IF(AP45="","",AP45)</f>
        <v/>
      </c>
      <c r="AB45" s="8008" t="n"/>
      <c r="AC45" s="11389">
        <f>IF(AQ45&lt;&gt;"",AQ45,IF(AND(Q45="",U45=""),"",IF(AND(Q45&lt;&gt;"",U45=""),SUM(Q45,AA45),SUM(Q45,-U45,AA45))))</f>
        <v/>
      </c>
      <c r="AD45" s="8412" t="n"/>
      <c r="AE45" s="8412" t="n"/>
      <c r="AF45" s="8412" t="n"/>
      <c r="AG45" s="4271">
        <f>IF(OR(J45="",M45=""),0,IF(OR(BA45,BB45,BC45),0,1))</f>
        <v/>
      </c>
      <c r="AH45" s="6014" t="n"/>
      <c r="AI45" s="6014">
        <f>M45-J45</f>
        <v/>
      </c>
      <c r="AJ45" s="293" t="n"/>
      <c r="AK45" s="12811" t="n"/>
      <c r="AL45" s="12811" t="n"/>
      <c r="AM45" s="295" t="n"/>
      <c r="AN45" s="295" t="n"/>
      <c r="AO45" s="296" t="n"/>
      <c r="AP45" s="295" t="n"/>
      <c r="AQ45" s="294" t="n"/>
      <c r="AS45">
        <f>YEAR(J45)</f>
        <v/>
      </c>
      <c r="AT45">
        <f>MONTH(J45)</f>
        <v/>
      </c>
      <c r="AU45">
        <f>DAY(J45)</f>
        <v/>
      </c>
      <c r="AW45">
        <f>YEAR(M45)</f>
        <v/>
      </c>
      <c r="AX45">
        <f>MONTH(M45)</f>
        <v/>
      </c>
      <c r="AY45">
        <f>DAY(M45)</f>
        <v/>
      </c>
      <c r="AZ45">
        <f>OR(BA45,BB45,BC45)</f>
        <v/>
      </c>
      <c r="BA45">
        <f>AW45=AS45</f>
        <v/>
      </c>
      <c r="BB45">
        <f>AND(AW45=AS45+1,AX45&lt;AT45)</f>
        <v/>
      </c>
      <c r="BC45">
        <f>AND(AW45=AS45+1,AX45=AT45,AY45&lt;=AU45)</f>
        <v/>
      </c>
    </row>
    <row r="46" ht="26.25" customHeight="1" s="7635">
      <c r="A46" s="2013">
        <f>IF(OR(Q46&lt;&gt;"",U46&lt;&gt;"",AC46&lt;&gt;""),1,0)</f>
        <v/>
      </c>
      <c r="B46" s="12806">
        <f>IF(AJ46="","",AJ46)</f>
        <v/>
      </c>
      <c r="C46" s="8007" t="n"/>
      <c r="D46" s="8007" t="n"/>
      <c r="E46" s="8007" t="n"/>
      <c r="F46" s="8007" t="n"/>
      <c r="G46" s="8007" t="n"/>
      <c r="H46" s="8007" t="n"/>
      <c r="I46" s="8008" t="n"/>
      <c r="J46" s="12807">
        <f>IF(AK46="","",AK46)</f>
        <v/>
      </c>
      <c r="K46" s="8007" t="n"/>
      <c r="L46" s="8007" t="n"/>
      <c r="M46" s="12808">
        <f>IF(AL46="","",AL46)</f>
        <v/>
      </c>
      <c r="N46" s="8007" t="n"/>
      <c r="O46" s="8007" t="n"/>
      <c r="P46" s="8008" t="n"/>
      <c r="Q46" s="12809">
        <f>IF(AM46="","",AM46)</f>
        <v/>
      </c>
      <c r="R46" s="8007" t="n"/>
      <c r="S46" s="8007" t="n"/>
      <c r="T46" s="8008" t="n"/>
      <c r="U46" s="12809">
        <f>IF(AN46="","",AN46)</f>
        <v/>
      </c>
      <c r="V46" s="8007" t="n"/>
      <c r="W46" s="8007" t="n"/>
      <c r="X46" s="8008" t="n"/>
      <c r="Y46" s="12810">
        <f>IF(AO46&lt;&gt;"",AO46,"")</f>
        <v/>
      </c>
      <c r="Z46" s="8008" t="n"/>
      <c r="AA46" s="12809">
        <f>IF(AP46="","",AP46)</f>
        <v/>
      </c>
      <c r="AB46" s="8008" t="n"/>
      <c r="AC46" s="11389">
        <f>IF(AQ46&lt;&gt;"",AQ46,IF(AND(Q46="",U46=""),"",IF(AND(Q46&lt;&gt;"",U46=""),SUM(Q46,AA46),SUM(Q46,-U46,AA46))))</f>
        <v/>
      </c>
      <c r="AD46" s="8412" t="n"/>
      <c r="AE46" s="8412" t="n"/>
      <c r="AF46" s="8412" t="n"/>
      <c r="AG46" s="4271">
        <f>IF(OR(J46="",M46=""),0,IF(OR(BA46,BB46,BC46),0,1))</f>
        <v/>
      </c>
      <c r="AH46" s="6014" t="n"/>
      <c r="AI46" s="6014">
        <f>M46-J46</f>
        <v/>
      </c>
      <c r="AJ46" s="293" t="n"/>
      <c r="AK46" s="12811" t="n"/>
      <c r="AL46" s="12811" t="n"/>
      <c r="AM46" s="295" t="n"/>
      <c r="AN46" s="295" t="n"/>
      <c r="AO46" s="296" t="n"/>
      <c r="AP46" s="295" t="n"/>
      <c r="AQ46" s="294" t="n"/>
      <c r="AS46">
        <f>YEAR(J46)</f>
        <v/>
      </c>
      <c r="AT46">
        <f>MONTH(J46)</f>
        <v/>
      </c>
      <c r="AU46">
        <f>DAY(J46)</f>
        <v/>
      </c>
      <c r="AW46">
        <f>YEAR(M46)</f>
        <v/>
      </c>
      <c r="AX46">
        <f>MONTH(M46)</f>
        <v/>
      </c>
      <c r="AY46">
        <f>DAY(M46)</f>
        <v/>
      </c>
      <c r="AZ46">
        <f>OR(BA46,BB46,BC46)</f>
        <v/>
      </c>
      <c r="BA46">
        <f>AW46=AS46</f>
        <v/>
      </c>
      <c r="BB46">
        <f>AND(AW46=AS46+1,AX46&lt;AT46)</f>
        <v/>
      </c>
      <c r="BC46">
        <f>AND(AW46=AS46+1,AX46=AT46,AY46&lt;=AU46)</f>
        <v/>
      </c>
    </row>
    <row r="47" ht="26.25" customHeight="1" s="7635">
      <c r="A47" s="2013">
        <f>IF(OR(Q47&lt;&gt;"",U47&lt;&gt;"",AC47&lt;&gt;""),1,0)</f>
        <v/>
      </c>
      <c r="B47" s="12806">
        <f>IF(AJ47="","",AJ47)</f>
        <v/>
      </c>
      <c r="C47" s="8007" t="n"/>
      <c r="D47" s="8007" t="n"/>
      <c r="E47" s="8007" t="n"/>
      <c r="F47" s="8007" t="n"/>
      <c r="G47" s="8007" t="n"/>
      <c r="H47" s="8007" t="n"/>
      <c r="I47" s="8008" t="n"/>
      <c r="J47" s="12807">
        <f>IF(AK47="","",AK47)</f>
        <v/>
      </c>
      <c r="K47" s="8007" t="n"/>
      <c r="L47" s="8007" t="n"/>
      <c r="M47" s="12808">
        <f>IF(AL47="","",AL47)</f>
        <v/>
      </c>
      <c r="N47" s="8007" t="n"/>
      <c r="O47" s="8007" t="n"/>
      <c r="P47" s="8008" t="n"/>
      <c r="Q47" s="12809">
        <f>IF(AM47="","",AM47)</f>
        <v/>
      </c>
      <c r="R47" s="8007" t="n"/>
      <c r="S47" s="8007" t="n"/>
      <c r="T47" s="8008" t="n"/>
      <c r="U47" s="12809">
        <f>IF(AN47="","",AN47)</f>
        <v/>
      </c>
      <c r="V47" s="8007" t="n"/>
      <c r="W47" s="8007" t="n"/>
      <c r="X47" s="8008" t="n"/>
      <c r="Y47" s="12810">
        <f>IF(AO47&lt;&gt;"",AO47,"")</f>
        <v/>
      </c>
      <c r="Z47" s="8008" t="n"/>
      <c r="AA47" s="12809">
        <f>IF(AP47="","",AP47)</f>
        <v/>
      </c>
      <c r="AB47" s="8008" t="n"/>
      <c r="AC47" s="11389">
        <f>IF(AQ47&lt;&gt;"",AQ47,IF(AND(Q47="",U47=""),"",IF(AND(Q47&lt;&gt;"",U47=""),SUM(Q47,AA47),SUM(Q47,-U47,AA47))))</f>
        <v/>
      </c>
      <c r="AD47" s="8412" t="n"/>
      <c r="AE47" s="8412" t="n"/>
      <c r="AF47" s="8412" t="n"/>
      <c r="AG47" s="4271">
        <f>IF(OR(J47="",M47=""),0,IF(OR(BA47,BB47,BC47),0,1))</f>
        <v/>
      </c>
      <c r="AH47" s="6014" t="n"/>
      <c r="AI47" s="6014">
        <f>M47-J47</f>
        <v/>
      </c>
      <c r="AJ47" s="293" t="n"/>
      <c r="AK47" s="12811" t="n"/>
      <c r="AL47" s="12811" t="n"/>
      <c r="AM47" s="295" t="n"/>
      <c r="AN47" s="295" t="n"/>
      <c r="AO47" s="296" t="n"/>
      <c r="AP47" s="295" t="n"/>
      <c r="AQ47" s="294" t="n"/>
      <c r="AS47">
        <f>YEAR(J47)</f>
        <v/>
      </c>
      <c r="AT47">
        <f>MONTH(J47)</f>
        <v/>
      </c>
      <c r="AU47">
        <f>DAY(J47)</f>
        <v/>
      </c>
      <c r="AW47">
        <f>YEAR(M47)</f>
        <v/>
      </c>
      <c r="AX47">
        <f>MONTH(M47)</f>
        <v/>
      </c>
      <c r="AY47">
        <f>DAY(M47)</f>
        <v/>
      </c>
      <c r="AZ47">
        <f>OR(BA47,BB47,BC47)</f>
        <v/>
      </c>
      <c r="BA47">
        <f>AW47=AS47</f>
        <v/>
      </c>
      <c r="BB47">
        <f>AND(AW47=AS47+1,AX47&lt;AT47)</f>
        <v/>
      </c>
      <c r="BC47">
        <f>AND(AW47=AS47+1,AX47=AT47,AY47&lt;=AU47)</f>
        <v/>
      </c>
    </row>
    <row r="48" ht="26.25" customHeight="1" s="7635">
      <c r="A48" s="2013">
        <f>IF(OR(Q48&lt;&gt;"",U48&lt;&gt;"",AC48&lt;&gt;""),1,0)</f>
        <v/>
      </c>
      <c r="B48" s="12806">
        <f>IF(AJ48="","",AJ48)</f>
        <v/>
      </c>
      <c r="C48" s="8007" t="n"/>
      <c r="D48" s="8007" t="n"/>
      <c r="E48" s="8007" t="n"/>
      <c r="F48" s="8007" t="n"/>
      <c r="G48" s="8007" t="n"/>
      <c r="H48" s="8007" t="n"/>
      <c r="I48" s="8008" t="n"/>
      <c r="J48" s="12807">
        <f>IF(AK48="","",AK48)</f>
        <v/>
      </c>
      <c r="K48" s="8007" t="n"/>
      <c r="L48" s="8007" t="n"/>
      <c r="M48" s="12808">
        <f>IF(AL48="","",AL48)</f>
        <v/>
      </c>
      <c r="N48" s="8007" t="n"/>
      <c r="O48" s="8007" t="n"/>
      <c r="P48" s="8008" t="n"/>
      <c r="Q48" s="12809">
        <f>IF(AM48="","",AM48)</f>
        <v/>
      </c>
      <c r="R48" s="8007" t="n"/>
      <c r="S48" s="8007" t="n"/>
      <c r="T48" s="8008" t="n"/>
      <c r="U48" s="12809">
        <f>IF(AN48="","",AN48)</f>
        <v/>
      </c>
      <c r="V48" s="8007" t="n"/>
      <c r="W48" s="8007" t="n"/>
      <c r="X48" s="8008" t="n"/>
      <c r="Y48" s="12810">
        <f>IF(AO48&lt;&gt;"",AO48,"")</f>
        <v/>
      </c>
      <c r="Z48" s="8008" t="n"/>
      <c r="AA48" s="12809">
        <f>IF(AP48="","",AP48)</f>
        <v/>
      </c>
      <c r="AB48" s="8008" t="n"/>
      <c r="AC48" s="11389">
        <f>IF(AQ48&lt;&gt;"",AQ48,IF(AND(Q48="",U48=""),"",IF(AND(Q48&lt;&gt;"",U48=""),SUM(Q48,AA48),SUM(Q48,-U48,AA48))))</f>
        <v/>
      </c>
      <c r="AD48" s="8412" t="n"/>
      <c r="AE48" s="8412" t="n"/>
      <c r="AF48" s="8412" t="n"/>
      <c r="AG48" s="4271">
        <f>IF(OR(J48="",M48=""),0,IF(OR(BA48,BB48,BC48),0,1))</f>
        <v/>
      </c>
      <c r="AH48" s="6014" t="n"/>
      <c r="AI48" s="6014">
        <f>M48-J48</f>
        <v/>
      </c>
      <c r="AJ48" s="293" t="n"/>
      <c r="AK48" s="12811" t="n"/>
      <c r="AL48" s="12811" t="n"/>
      <c r="AM48" s="295" t="n"/>
      <c r="AN48" s="295" t="n"/>
      <c r="AO48" s="296" t="n"/>
      <c r="AP48" s="295" t="n"/>
      <c r="AQ48" s="294" t="n"/>
      <c r="AS48">
        <f>YEAR(J48)</f>
        <v/>
      </c>
      <c r="AT48">
        <f>MONTH(J48)</f>
        <v/>
      </c>
      <c r="AU48">
        <f>DAY(J48)</f>
        <v/>
      </c>
      <c r="AW48">
        <f>YEAR(M48)</f>
        <v/>
      </c>
      <c r="AX48">
        <f>MONTH(M48)</f>
        <v/>
      </c>
      <c r="AY48">
        <f>DAY(M48)</f>
        <v/>
      </c>
      <c r="AZ48">
        <f>OR(BA48,BB48,BC48)</f>
        <v/>
      </c>
      <c r="BA48">
        <f>AW48=AS48</f>
        <v/>
      </c>
      <c r="BB48">
        <f>AND(AW48=AS48+1,AX48&lt;AT48)</f>
        <v/>
      </c>
      <c r="BC48">
        <f>AND(AW48=AS48+1,AX48=AT48,AY48&lt;=AU48)</f>
        <v/>
      </c>
    </row>
    <row r="49" ht="26.25" customHeight="1" s="7635">
      <c r="A49" s="2013">
        <f>IF(OR(Q49&lt;&gt;"",U49&lt;&gt;"",AC49&lt;&gt;""),1,0)</f>
        <v/>
      </c>
      <c r="B49" s="12806">
        <f>IF(AJ49="","",AJ49)</f>
        <v/>
      </c>
      <c r="C49" s="8007" t="n"/>
      <c r="D49" s="8007" t="n"/>
      <c r="E49" s="8007" t="n"/>
      <c r="F49" s="8007" t="n"/>
      <c r="G49" s="8007" t="n"/>
      <c r="H49" s="8007" t="n"/>
      <c r="I49" s="8008" t="n"/>
      <c r="J49" s="12807">
        <f>IF(AK49="","",AK49)</f>
        <v/>
      </c>
      <c r="K49" s="8007" t="n"/>
      <c r="L49" s="8007" t="n"/>
      <c r="M49" s="12808">
        <f>IF(AL49="","",AL49)</f>
        <v/>
      </c>
      <c r="N49" s="8007" t="n"/>
      <c r="O49" s="8007" t="n"/>
      <c r="P49" s="8008" t="n"/>
      <c r="Q49" s="12809">
        <f>IF(AM49="","",AM49)</f>
        <v/>
      </c>
      <c r="R49" s="8007" t="n"/>
      <c r="S49" s="8007" t="n"/>
      <c r="T49" s="8008" t="n"/>
      <c r="U49" s="12809">
        <f>IF(AN49="","",AN49)</f>
        <v/>
      </c>
      <c r="V49" s="8007" t="n"/>
      <c r="W49" s="8007" t="n"/>
      <c r="X49" s="8008" t="n"/>
      <c r="Y49" s="12810">
        <f>IF(AO49&lt;&gt;"",AO49,"")</f>
        <v/>
      </c>
      <c r="Z49" s="8008" t="n"/>
      <c r="AA49" s="12809">
        <f>IF(AP49="","",AP49)</f>
        <v/>
      </c>
      <c r="AB49" s="8008" t="n"/>
      <c r="AC49" s="11389">
        <f>IF(AQ49&lt;&gt;"",AQ49,IF(AND(Q49="",U49=""),"",IF(AND(Q49&lt;&gt;"",U49=""),SUM(Q49,AA49),SUM(Q49,-U49,AA49))))</f>
        <v/>
      </c>
      <c r="AD49" s="8412" t="n"/>
      <c r="AE49" s="8412" t="n"/>
      <c r="AF49" s="8412" t="n"/>
      <c r="AG49" s="4271">
        <f>IF(OR(J49="",M49=""),0,IF(OR(BA49,BB49,BC49),0,1))</f>
        <v/>
      </c>
      <c r="AH49" s="6014" t="n"/>
      <c r="AI49" s="6014">
        <f>M49-J49</f>
        <v/>
      </c>
      <c r="AJ49" s="293" t="n"/>
      <c r="AK49" s="12811" t="n"/>
      <c r="AL49" s="12811" t="n"/>
      <c r="AM49" s="295" t="n"/>
      <c r="AN49" s="295" t="n"/>
      <c r="AO49" s="296" t="n"/>
      <c r="AP49" s="295" t="n"/>
      <c r="AQ49" s="294" t="n"/>
      <c r="AS49">
        <f>YEAR(J49)</f>
        <v/>
      </c>
      <c r="AT49">
        <f>MONTH(J49)</f>
        <v/>
      </c>
      <c r="AU49">
        <f>DAY(J49)</f>
        <v/>
      </c>
      <c r="AW49">
        <f>YEAR(M49)</f>
        <v/>
      </c>
      <c r="AX49">
        <f>MONTH(M49)</f>
        <v/>
      </c>
      <c r="AY49">
        <f>DAY(M49)</f>
        <v/>
      </c>
      <c r="AZ49">
        <f>OR(BA49,BB49,BC49)</f>
        <v/>
      </c>
      <c r="BA49">
        <f>AW49=AS49</f>
        <v/>
      </c>
      <c r="BB49">
        <f>AND(AW49=AS49+1,AX49&lt;AT49)</f>
        <v/>
      </c>
      <c r="BC49">
        <f>AND(AW49=AS49+1,AX49=AT49,AY49&lt;=AU49)</f>
        <v/>
      </c>
    </row>
    <row r="50" ht="26.25" customHeight="1" s="7635">
      <c r="A50" s="2013">
        <f>IF(OR(Q50&lt;&gt;"",U50&lt;&gt;"",AC50&lt;&gt;""),1,0)</f>
        <v/>
      </c>
      <c r="B50" s="12806">
        <f>IF(AJ50="","",AJ50)</f>
        <v/>
      </c>
      <c r="C50" s="8007" t="n"/>
      <c r="D50" s="8007" t="n"/>
      <c r="E50" s="8007" t="n"/>
      <c r="F50" s="8007" t="n"/>
      <c r="G50" s="8007" t="n"/>
      <c r="H50" s="8007" t="n"/>
      <c r="I50" s="8008" t="n"/>
      <c r="J50" s="12807">
        <f>IF(AK50="","",AK50)</f>
        <v/>
      </c>
      <c r="K50" s="8007" t="n"/>
      <c r="L50" s="8007" t="n"/>
      <c r="M50" s="12808">
        <f>IF(AL50="","",AL50)</f>
        <v/>
      </c>
      <c r="N50" s="8007" t="n"/>
      <c r="O50" s="8007" t="n"/>
      <c r="P50" s="8008" t="n"/>
      <c r="Q50" s="12809">
        <f>IF(AM50="","",AM50)</f>
        <v/>
      </c>
      <c r="R50" s="8007" t="n"/>
      <c r="S50" s="8007" t="n"/>
      <c r="T50" s="8008" t="n"/>
      <c r="U50" s="12809">
        <f>IF(AN50="","",AN50)</f>
        <v/>
      </c>
      <c r="V50" s="8007" t="n"/>
      <c r="W50" s="8007" t="n"/>
      <c r="X50" s="8008" t="n"/>
      <c r="Y50" s="12810">
        <f>IF(AO50&lt;&gt;"",AO50,"")</f>
        <v/>
      </c>
      <c r="Z50" s="8008" t="n"/>
      <c r="AA50" s="12809">
        <f>IF(AP50="","",AP50)</f>
        <v/>
      </c>
      <c r="AB50" s="8008" t="n"/>
      <c r="AC50" s="11389">
        <f>IF(AQ50&lt;&gt;"",AQ50,IF(AND(Q50="",U50=""),"",IF(AND(Q50&lt;&gt;"",U50=""),SUM(Q50,AA50),SUM(Q50,-U50,AA50))))</f>
        <v/>
      </c>
      <c r="AD50" s="8412" t="n"/>
      <c r="AE50" s="8412" t="n"/>
      <c r="AF50" s="8412" t="n"/>
      <c r="AG50" s="4271">
        <f>IF(OR(J50="",M50=""),0,IF(OR(BA50,BB50,BC50),0,1))</f>
        <v/>
      </c>
      <c r="AH50" s="6014" t="n"/>
      <c r="AI50" s="6014">
        <f>M50-J50</f>
        <v/>
      </c>
      <c r="AJ50" s="293" t="n"/>
      <c r="AK50" s="12811" t="n"/>
      <c r="AL50" s="12811" t="n"/>
      <c r="AM50" s="295" t="n"/>
      <c r="AN50" s="295" t="n"/>
      <c r="AO50" s="296" t="n"/>
      <c r="AP50" s="295" t="n"/>
      <c r="AQ50" s="294" t="n"/>
      <c r="AS50">
        <f>YEAR(J50)</f>
        <v/>
      </c>
      <c r="AT50">
        <f>MONTH(J50)</f>
        <v/>
      </c>
      <c r="AU50">
        <f>DAY(J50)</f>
        <v/>
      </c>
      <c r="AW50">
        <f>YEAR(M50)</f>
        <v/>
      </c>
      <c r="AX50">
        <f>MONTH(M50)</f>
        <v/>
      </c>
      <c r="AY50">
        <f>DAY(M50)</f>
        <v/>
      </c>
      <c r="AZ50">
        <f>OR(BA50,BB50,BC50)</f>
        <v/>
      </c>
      <c r="BA50">
        <f>AW50=AS50</f>
        <v/>
      </c>
      <c r="BB50">
        <f>AND(AW50=AS50+1,AX50&lt;AT50)</f>
        <v/>
      </c>
      <c r="BC50">
        <f>AND(AW50=AS50+1,AX50=AT50,AY50&lt;=AU50)</f>
        <v/>
      </c>
    </row>
    <row r="51" ht="26.25" customHeight="1" s="7635">
      <c r="A51" s="2013">
        <f>IF(OR(Q51&lt;&gt;"",U51&lt;&gt;"",AC51&lt;&gt;""),1,0)</f>
        <v/>
      </c>
      <c r="B51" s="12806">
        <f>IF(AJ51="","",AJ51)</f>
        <v/>
      </c>
      <c r="C51" s="8007" t="n"/>
      <c r="D51" s="8007" t="n"/>
      <c r="E51" s="8007" t="n"/>
      <c r="F51" s="8007" t="n"/>
      <c r="G51" s="8007" t="n"/>
      <c r="H51" s="8007" t="n"/>
      <c r="I51" s="8008" t="n"/>
      <c r="J51" s="12807">
        <f>IF(AK51="","",AK51)</f>
        <v/>
      </c>
      <c r="K51" s="8007" t="n"/>
      <c r="L51" s="8007" t="n"/>
      <c r="M51" s="12808">
        <f>IF(AL51="","",AL51)</f>
        <v/>
      </c>
      <c r="N51" s="8007" t="n"/>
      <c r="O51" s="8007" t="n"/>
      <c r="P51" s="8008" t="n"/>
      <c r="Q51" s="12809">
        <f>IF(AM51="","",AM51)</f>
        <v/>
      </c>
      <c r="R51" s="8007" t="n"/>
      <c r="S51" s="8007" t="n"/>
      <c r="T51" s="8008" t="n"/>
      <c r="U51" s="12809">
        <f>IF(AN51="","",AN51)</f>
        <v/>
      </c>
      <c r="V51" s="8007" t="n"/>
      <c r="W51" s="8007" t="n"/>
      <c r="X51" s="8008" t="n"/>
      <c r="Y51" s="12810">
        <f>IF(AO51&lt;&gt;"",AO51,"")</f>
        <v/>
      </c>
      <c r="Z51" s="8008" t="n"/>
      <c r="AA51" s="12809">
        <f>IF(AP51="","",AP51)</f>
        <v/>
      </c>
      <c r="AB51" s="8008" t="n"/>
      <c r="AC51" s="11389">
        <f>IF(AQ51&lt;&gt;"",AQ51,IF(AND(Q51="",U51=""),"",IF(AND(Q51&lt;&gt;"",U51=""),SUM(Q51,AA51),SUM(Q51,-U51,AA51))))</f>
        <v/>
      </c>
      <c r="AD51" s="8412" t="n"/>
      <c r="AE51" s="8412" t="n"/>
      <c r="AF51" s="8412" t="n"/>
      <c r="AG51" s="4271">
        <f>IF(OR(J51="",M51=""),0,IF(OR(BA51,BB51,BC51),0,1))</f>
        <v/>
      </c>
      <c r="AH51" s="6014" t="n"/>
      <c r="AI51" s="6014">
        <f>M51-J51</f>
        <v/>
      </c>
      <c r="AJ51" s="293" t="n"/>
      <c r="AK51" s="12811" t="n"/>
      <c r="AL51" s="12811" t="n"/>
      <c r="AM51" s="295" t="n"/>
      <c r="AN51" s="295" t="n"/>
      <c r="AO51" s="296" t="n"/>
      <c r="AP51" s="295" t="n"/>
      <c r="AQ51" s="294" t="n"/>
      <c r="AS51">
        <f>YEAR(J51)</f>
        <v/>
      </c>
      <c r="AT51">
        <f>MONTH(J51)</f>
        <v/>
      </c>
      <c r="AU51">
        <f>DAY(J51)</f>
        <v/>
      </c>
      <c r="AW51">
        <f>YEAR(M51)</f>
        <v/>
      </c>
      <c r="AX51">
        <f>MONTH(M51)</f>
        <v/>
      </c>
      <c r="AY51">
        <f>DAY(M51)</f>
        <v/>
      </c>
      <c r="AZ51">
        <f>OR(BA51,BB51,BC51)</f>
        <v/>
      </c>
      <c r="BA51">
        <f>AW51=AS51</f>
        <v/>
      </c>
      <c r="BB51">
        <f>AND(AW51=AS51+1,AX51&lt;AT51)</f>
        <v/>
      </c>
      <c r="BC51">
        <f>AND(AW51=AS51+1,AX51=AT51,AY51&lt;=AU51)</f>
        <v/>
      </c>
    </row>
    <row r="52" ht="12" customHeight="1" s="7635">
      <c r="A52" s="2013">
        <f>SUM(A41:A51)</f>
        <v/>
      </c>
      <c r="B52" s="11482" t="n">
        <v>2</v>
      </c>
      <c r="C52" s="11484" t="inlineStr">
        <is>
          <t>Totals. Add the amounts in columns (d), (e), (g), and (h)
(subtract negative amounts). Enter each total here and
include on your Schedule D, line 1b (if Box A or Box G
above is checked), line 2 (if Box B or Box H above is
checked), or line 3 (if Box C or Box I above is checked)</t>
        </is>
      </c>
      <c r="D52" s="7839" t="n"/>
      <c r="E52" s="7839" t="n"/>
      <c r="F52" s="7839" t="n"/>
      <c r="G52" s="7839" t="n"/>
      <c r="H52" s="7839" t="n"/>
      <c r="I52" s="7839" t="n"/>
      <c r="J52" s="7839" t="n"/>
      <c r="K52" s="7839" t="n"/>
      <c r="L52" s="7839" t="n"/>
      <c r="M52" s="7839" t="n"/>
      <c r="N52" s="7839" t="n"/>
      <c r="O52" s="7839" t="n"/>
      <c r="P52" s="7839" t="n"/>
      <c r="Q52" s="12812">
        <f>IF(A52=0,"",ROUND(SUM(Q41:Q51),0))</f>
        <v/>
      </c>
      <c r="R52" s="7839" t="n"/>
      <c r="S52" s="7839" t="n"/>
      <c r="T52" s="10091" t="n"/>
      <c r="U52" s="12812">
        <f>IF(A52=0,"",ROUND(SUM(U41:U51),0))</f>
        <v/>
      </c>
      <c r="V52" s="7839" t="n"/>
      <c r="W52" s="7839" t="n"/>
      <c r="X52" s="10091" t="n"/>
      <c r="Y52" s="12813" t="n"/>
      <c r="Z52" s="10091" t="n"/>
      <c r="AA52" s="12812">
        <f>IF(A52=0,"",ROUND(SUM(AA41:AA51),0))</f>
        <v/>
      </c>
      <c r="AB52" s="10091" t="n"/>
      <c r="AC52" s="11459">
        <f>IF(A52=0,"",ROUND(SUM(AC41:AC51),0))</f>
        <v/>
      </c>
      <c r="AD52" s="7839" t="n"/>
      <c r="AE52" s="7839" t="n"/>
      <c r="AF52" s="7839" t="n"/>
      <c r="AG52" s="2013" t="n"/>
    </row>
    <row r="53" ht="12" customHeight="1" s="7635">
      <c r="A53" s="2013" t="n"/>
      <c r="Q53" s="4772" t="n"/>
      <c r="T53" s="7636" t="n"/>
      <c r="U53" s="4772" t="n"/>
      <c r="X53" s="7636" t="n"/>
      <c r="Y53" s="4772" t="n"/>
      <c r="Z53" s="7636" t="n"/>
      <c r="AA53" s="4772" t="n"/>
      <c r="AB53" s="7636" t="n"/>
      <c r="AC53" s="4772" t="n"/>
      <c r="AG53" s="2013" t="n"/>
    </row>
    <row r="54" ht="12" customHeight="1" s="7635">
      <c r="A54" s="2013" t="n"/>
      <c r="Q54" s="4772" t="n"/>
      <c r="T54" s="7636" t="n"/>
      <c r="U54" s="4772" t="n"/>
      <c r="X54" s="7636" t="n"/>
      <c r="Y54" s="4772" t="n"/>
      <c r="Z54" s="7636" t="n"/>
      <c r="AA54" s="4772" t="n"/>
      <c r="AB54" s="7636" t="n"/>
      <c r="AC54" s="4772" t="n"/>
      <c r="AG54" s="2013" t="n"/>
    </row>
    <row r="55" ht="12" customHeight="1" s="7635">
      <c r="A55" s="2013" t="n"/>
      <c r="Q55" s="4772" t="n"/>
      <c r="T55" s="7636" t="n"/>
      <c r="U55" s="4772" t="n"/>
      <c r="X55" s="7636" t="n"/>
      <c r="Y55" s="4772" t="n"/>
      <c r="Z55" s="7636" t="n"/>
      <c r="AA55" s="4772" t="n"/>
      <c r="AB55" s="7636" t="n"/>
      <c r="AC55" s="4772" t="n"/>
      <c r="AG55" s="2013" t="n"/>
    </row>
    <row r="56" ht="12" customHeight="1" s="7635">
      <c r="A56" s="2013" t="n"/>
      <c r="Q56" s="3614" t="n"/>
      <c r="R56" s="7637" t="n"/>
      <c r="S56" s="7637" t="n"/>
      <c r="T56" s="7638" t="n"/>
      <c r="U56" s="3614" t="n"/>
      <c r="V56" s="7637" t="n"/>
      <c r="W56" s="7637" t="n"/>
      <c r="X56" s="7638" t="n"/>
      <c r="Y56" s="3614" t="n"/>
      <c r="Z56" s="7638" t="n"/>
      <c r="AA56" s="3614" t="n"/>
      <c r="AB56" s="7638" t="n"/>
      <c r="AC56" s="4772" t="n"/>
      <c r="AG56" s="2013" t="n"/>
    </row>
    <row r="57" ht="25.5" customHeight="1" s="7635" thickBot="1">
      <c r="A57" s="2013" t="n"/>
      <c r="B57" s="11479" t="inlineStr">
        <is>
          <t>Note: If you checked Box A or Box G above but the basis reported to the IRS was incorrect, enter in column (e) the basis as reported to the IRS, and
enter an adjustment in column (g) to correct the basis. See Column (g) in the separate instructions for how to figure the amount of the adjustment.</t>
        </is>
      </c>
      <c r="C57" s="11822" t="n"/>
      <c r="D57" s="11822" t="n"/>
      <c r="E57" s="11822" t="n"/>
      <c r="F57" s="11822" t="n"/>
      <c r="G57" s="11822" t="n"/>
      <c r="H57" s="11822" t="n"/>
      <c r="I57" s="11822" t="n"/>
      <c r="J57" s="11822" t="n"/>
      <c r="K57" s="11822" t="n"/>
      <c r="L57" s="11822" t="n"/>
      <c r="M57" s="11822" t="n"/>
      <c r="N57" s="11822" t="n"/>
      <c r="O57" s="11822" t="n"/>
      <c r="P57" s="11822" t="n"/>
      <c r="Q57" s="11822" t="n"/>
      <c r="R57" s="11822" t="n"/>
      <c r="S57" s="11822" t="n"/>
      <c r="T57" s="11822" t="n"/>
      <c r="U57" s="11822" t="n"/>
      <c r="V57" s="11822" t="n"/>
      <c r="W57" s="11822" t="n"/>
      <c r="X57" s="11822" t="n"/>
      <c r="Y57" s="11822" t="n"/>
      <c r="Z57" s="11822" t="n"/>
      <c r="AA57" s="11822" t="n"/>
      <c r="AB57" s="11822" t="n"/>
      <c r="AC57" s="11822" t="n"/>
      <c r="AD57" s="11822" t="n"/>
      <c r="AE57" s="11822" t="n"/>
      <c r="AF57" s="11822" t="n"/>
      <c r="AG57" s="2013" t="n"/>
      <c r="AJ57" s="8648" t="n"/>
    </row>
    <row r="58" ht="16.5" customHeight="1" s="7635" thickTop="1">
      <c r="A58" s="2013" t="n"/>
      <c r="B58" s="6015" t="inlineStr">
        <is>
          <t>For Paperwork Reduction Act Notice, see your tax return instructions.</t>
        </is>
      </c>
      <c r="C58" s="88" t="n"/>
      <c r="D58" s="88" t="n"/>
      <c r="E58" s="88" t="n"/>
      <c r="F58" s="88" t="n"/>
      <c r="G58" s="88" t="n"/>
      <c r="H58" s="88" t="n"/>
      <c r="I58" s="88" t="n"/>
      <c r="J58" s="88" t="n"/>
      <c r="K58" s="88" t="n"/>
      <c r="L58" s="88" t="n"/>
      <c r="M58" s="88" t="n"/>
      <c r="N58" s="88" t="n"/>
      <c r="O58" s="88" t="n"/>
      <c r="P58" s="88" t="n"/>
      <c r="Q58" s="88" t="n"/>
      <c r="R58" s="88" t="n"/>
      <c r="S58" s="88" t="n"/>
      <c r="T58" s="88" t="n"/>
      <c r="U58" s="3931" t="inlineStr">
        <is>
          <t>Cat. No. 37768Z</t>
        </is>
      </c>
      <c r="V58" s="88" t="n"/>
      <c r="W58" s="88" t="n"/>
      <c r="X58" s="88" t="n"/>
      <c r="Y58" s="88" t="n"/>
      <c r="Z58" s="88" t="n"/>
      <c r="AA58" s="2052" t="inlineStr">
        <is>
          <t>Form 8949</t>
        </is>
      </c>
      <c r="AB58" s="6016">
        <f>"("&amp;TaxYear&amp;")"</f>
        <v/>
      </c>
      <c r="AC58" s="88" t="n"/>
      <c r="AD58" s="2052" t="n"/>
      <c r="AE58" s="88" t="n"/>
      <c r="AF58" s="6016" t="inlineStr">
        <is>
          <t>Created 5/5/25</t>
        </is>
      </c>
      <c r="AG58" s="2013" t="n"/>
    </row>
    <row r="59" ht="15.75" customHeight="1" s="7635">
      <c r="A59" s="2013" t="n"/>
      <c r="B59" s="1931">
        <f>"Form 8949 ("&amp;TaxYear&amp;")"</f>
        <v/>
      </c>
      <c r="C59" s="2432" t="n"/>
      <c r="D59" s="2432" t="n"/>
      <c r="E59" s="2432" t="n"/>
      <c r="F59" s="2432" t="n"/>
      <c r="G59" s="2432" t="n"/>
      <c r="H59" s="2432" t="n"/>
      <c r="I59" s="2432" t="n"/>
      <c r="J59" s="2432" t="n"/>
      <c r="K59" s="2432" t="n"/>
      <c r="L59" s="2432" t="n"/>
      <c r="M59" s="2432" t="n"/>
      <c r="N59" s="2432" t="n"/>
      <c r="O59" s="2432" t="n"/>
      <c r="P59" s="2432" t="n"/>
      <c r="Q59" s="2432" t="n"/>
      <c r="R59" s="2432" t="n"/>
      <c r="S59" s="2432" t="n"/>
      <c r="T59" s="2432" t="n"/>
      <c r="U59" s="2432" t="n"/>
      <c r="V59" s="1931" t="inlineStr">
        <is>
          <t>Attachment Sequence No. 12A</t>
        </is>
      </c>
      <c r="W59" s="2432" t="n"/>
      <c r="X59" s="2432" t="n"/>
      <c r="Y59" s="2432" t="n"/>
      <c r="Z59" s="2432" t="n"/>
      <c r="AA59" s="2432" t="n"/>
      <c r="AB59" s="2432" t="n"/>
      <c r="AC59" s="2432" t="n"/>
      <c r="AD59" s="2432" t="n"/>
      <c r="AE59" s="2432" t="n"/>
      <c r="AF59" s="5730" t="inlineStr">
        <is>
          <t>Page 2</t>
        </is>
      </c>
      <c r="AG59" s="2013" t="n"/>
    </row>
    <row r="60">
      <c r="A60" s="2013" t="n"/>
      <c r="B60" s="229" t="inlineStr">
        <is>
          <t>Name(s) shown on return. Name and SSN or taxpayer identification no. not required if shown on other side</t>
        </is>
      </c>
      <c r="C60" s="88" t="n"/>
      <c r="D60" s="88" t="n"/>
      <c r="E60" s="88" t="n"/>
      <c r="F60" s="88" t="n"/>
      <c r="G60" s="88" t="n"/>
      <c r="H60" s="88" t="n"/>
      <c r="I60" s="88" t="n"/>
      <c r="J60" s="88" t="n"/>
      <c r="K60" s="88" t="n"/>
      <c r="L60" s="88" t="n"/>
      <c r="M60" s="88" t="n"/>
      <c r="N60" s="88" t="n"/>
      <c r="O60" s="88" t="n"/>
      <c r="P60" s="88" t="n"/>
      <c r="Q60" s="88" t="n"/>
      <c r="R60" s="88" t="n"/>
      <c r="S60" s="88" t="n"/>
      <c r="T60" s="88" t="n"/>
      <c r="U60" s="88" t="n"/>
      <c r="V60" s="6006" t="inlineStr">
        <is>
          <t>Social security number or taxpayer identification number</t>
        </is>
      </c>
      <c r="W60" s="88" t="n"/>
      <c r="X60" s="88" t="n"/>
      <c r="Y60" s="88" t="n"/>
      <c r="Z60" s="2666" t="n"/>
      <c r="AA60" s="88" t="n"/>
      <c r="AB60" s="88" t="n"/>
      <c r="AC60" s="88" t="n"/>
      <c r="AD60" s="88" t="n"/>
      <c r="AE60" s="88" t="n"/>
      <c r="AF60" s="88" t="n"/>
      <c r="AG60" s="2013" t="n"/>
    </row>
    <row r="61" ht="16.5" customHeight="1" s="7635" thickBot="1">
      <c r="A61" s="2013" t="n"/>
      <c r="B61" s="12796">
        <f>Names</f>
        <v/>
      </c>
      <c r="C61" s="8848" t="n"/>
      <c r="D61" s="8848" t="n"/>
      <c r="E61" s="8848" t="n"/>
      <c r="F61" s="8848" t="n"/>
      <c r="G61" s="8848" t="n"/>
      <c r="H61" s="8848" t="n"/>
      <c r="I61" s="8848" t="n"/>
      <c r="J61" s="8848" t="n"/>
      <c r="K61" s="8848" t="n"/>
      <c r="L61" s="8848" t="n"/>
      <c r="M61" s="8848" t="n"/>
      <c r="N61" s="8848" t="n"/>
      <c r="O61" s="8848" t="n"/>
      <c r="P61" s="8848" t="n"/>
      <c r="Q61" s="8848" t="n"/>
      <c r="R61" s="8848" t="n"/>
      <c r="S61" s="8848" t="n"/>
      <c r="T61" s="8848" t="n"/>
      <c r="U61" s="12121" t="n"/>
      <c r="V61" s="12797">
        <f>IF(NoSSN,"",SS_Yours)</f>
        <v/>
      </c>
      <c r="W61" s="8848" t="n"/>
      <c r="X61" s="8848" t="n"/>
      <c r="Y61" s="8848" t="n"/>
      <c r="Z61" s="8848" t="n"/>
      <c r="AA61" s="8848" t="n"/>
      <c r="AB61" s="8848" t="n"/>
      <c r="AC61" s="8848" t="n"/>
      <c r="AD61" s="8848" t="n"/>
      <c r="AE61" s="8848" t="n"/>
      <c r="AF61" s="8848" t="n"/>
      <c r="AG61" s="2013" t="n"/>
    </row>
    <row r="62" ht="12.75" customHeight="1" s="7635">
      <c r="A62" s="2013" t="n"/>
      <c r="B62" s="12798" t="inlineStr">
        <is>
          <t>Before you check Box D, E, F, J, K, or L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62" s="2506" t="n"/>
      <c r="D62" s="2506" t="n"/>
      <c r="E62" s="2506" t="n"/>
      <c r="F62" s="2506" t="n"/>
      <c r="G62" s="2506" t="n"/>
      <c r="H62" s="2506" t="n"/>
      <c r="I62" s="2506" t="n"/>
      <c r="J62" s="2506" t="n"/>
      <c r="K62" s="2506" t="n"/>
      <c r="L62" s="2506" t="n"/>
      <c r="M62" s="2506" t="n"/>
      <c r="N62" s="2506" t="n"/>
      <c r="O62" s="2506" t="n"/>
      <c r="P62" s="2506" t="n"/>
      <c r="Q62" s="2506" t="n"/>
      <c r="R62" s="2506" t="n"/>
      <c r="S62" s="2506" t="n"/>
      <c r="T62" s="2506" t="n"/>
      <c r="U62" s="2506" t="n"/>
      <c r="V62" s="2506" t="n"/>
      <c r="W62" s="2506" t="n"/>
      <c r="X62" s="2506" t="n"/>
      <c r="Y62" s="2506" t="n"/>
      <c r="Z62" s="2506" t="n"/>
      <c r="AA62" s="2506" t="n"/>
      <c r="AB62" s="2506" t="n"/>
      <c r="AC62" s="2506" t="n"/>
      <c r="AD62" s="2506" t="n"/>
      <c r="AE62" s="2506" t="n"/>
      <c r="AF62" s="2506" t="n"/>
      <c r="AG62" s="2013" t="n"/>
    </row>
    <row r="63" ht="12.75" customHeight="1" s="7635">
      <c r="A63" s="2013" t="n"/>
      <c r="AG63" s="2013" t="n"/>
    </row>
    <row r="64" ht="12.75" customHeight="1" s="7635">
      <c r="A64" s="2013" t="n"/>
      <c r="B64" s="7637" t="n"/>
      <c r="C64" s="7637" t="n"/>
      <c r="D64" s="7637" t="n"/>
      <c r="E64" s="7637" t="n"/>
      <c r="F64" s="7637" t="n"/>
      <c r="G64" s="7637" t="n"/>
      <c r="H64" s="7637" t="n"/>
      <c r="I64" s="7637" t="n"/>
      <c r="J64" s="7637" t="n"/>
      <c r="K64" s="7637" t="n"/>
      <c r="L64" s="7637" t="n"/>
      <c r="M64" s="7637" t="n"/>
      <c r="N64" s="7637" t="n"/>
      <c r="O64" s="7637" t="n"/>
      <c r="P64" s="7637" t="n"/>
      <c r="Q64" s="7637" t="n"/>
      <c r="R64" s="7637" t="n"/>
      <c r="S64" s="7637" t="n"/>
      <c r="T64" s="7637" t="n"/>
      <c r="U64" s="7637" t="n"/>
      <c r="V64" s="7637" t="n"/>
      <c r="W64" s="7637" t="n"/>
      <c r="X64" s="7637" t="n"/>
      <c r="Y64" s="7637" t="n"/>
      <c r="Z64" s="7637" t="n"/>
      <c r="AA64" s="7637" t="n"/>
      <c r="AB64" s="7637" t="n"/>
      <c r="AC64" s="7637" t="n"/>
      <c r="AD64" s="7637" t="n"/>
      <c r="AE64" s="7637" t="n"/>
      <c r="AF64" s="7637" t="n"/>
      <c r="AG64" s="2013" t="n"/>
    </row>
    <row r="65" ht="3.75" customHeight="1" s="7635">
      <c r="A65" s="2013" t="n"/>
      <c r="B65" s="88" t="n"/>
      <c r="C65" s="88" t="n"/>
      <c r="D65" s="88" t="n"/>
      <c r="E65" s="88" t="n"/>
      <c r="F65" s="88" t="n"/>
      <c r="G65" s="88" t="n"/>
      <c r="H65" s="88" t="n"/>
      <c r="I65" s="88" t="n"/>
      <c r="J65" s="88" t="n"/>
      <c r="K65" s="88" t="n"/>
      <c r="L65" s="88"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2013" t="n"/>
    </row>
    <row r="66" ht="15" customHeight="1" s="7635">
      <c r="A66" s="2013" t="n"/>
      <c r="B66" s="11415" t="inlineStr">
        <is>
          <t>Part II</t>
        </is>
      </c>
      <c r="C66" s="7839" t="n"/>
      <c r="D66" s="88" t="n"/>
      <c r="E66" s="11417" t="inlineStr">
        <is>
          <t>Long-Term.</t>
        </is>
      </c>
      <c r="F66" s="1836" t="n"/>
      <c r="G66" s="1836" t="n"/>
      <c r="H66" s="1836" t="n"/>
      <c r="I66" s="1836" t="inlineStr">
        <is>
          <t>Transactions involving capital assets  you  held more  than  1  year are generally long-term (see</t>
        </is>
      </c>
      <c r="J66" s="1836" t="n"/>
      <c r="K66" s="1836" t="n"/>
      <c r="L66" s="1836" t="n"/>
      <c r="M66" s="1836" t="n"/>
      <c r="N66" s="1836" t="n"/>
      <c r="O66" s="1836" t="n"/>
      <c r="P66" s="11417" t="n"/>
      <c r="Q66" s="1836" t="n"/>
      <c r="R66" s="1836" t="n"/>
      <c r="S66" s="1836" t="n"/>
      <c r="T66" s="1836" t="n"/>
      <c r="U66" s="1836" t="n"/>
      <c r="V66" s="1836" t="n"/>
      <c r="W66" s="1836" t="n"/>
      <c r="X66" s="1836" t="n"/>
      <c r="Y66" s="1836" t="n"/>
      <c r="Z66" s="1836" t="n"/>
      <c r="AA66" s="1836" t="n"/>
      <c r="AB66" s="1836" t="n"/>
      <c r="AC66" s="1836" t="n"/>
      <c r="AD66" s="1836" t="n"/>
      <c r="AE66" s="1836" t="n"/>
      <c r="AF66" s="1836" t="n"/>
      <c r="AG66" s="2013">
        <f>IF(SUM(AG91:AG101)&gt;0,TRUE,FALSE)</f>
        <v/>
      </c>
    </row>
    <row r="67" ht="12.75" customHeight="1" s="7635">
      <c r="A67" s="2013" t="n"/>
      <c r="B67" s="88" t="n"/>
      <c r="C67" s="88" t="n"/>
      <c r="D67" s="88" t="n"/>
      <c r="E67" s="1836" t="inlineStr">
        <is>
          <t>instructions). For short-term transactions, see page 1.</t>
        </is>
      </c>
      <c r="F67" s="1836" t="n"/>
      <c r="G67" s="1836" t="n"/>
      <c r="H67" s="1836" t="n"/>
      <c r="I67" s="1836" t="n"/>
      <c r="J67" s="1836" t="n"/>
      <c r="K67" s="1836" t="n"/>
      <c r="L67" s="1836" t="n"/>
      <c r="M67" s="1836" t="n"/>
      <c r="N67" s="1836" t="n"/>
      <c r="O67" s="1836" t="n"/>
      <c r="P67" s="1836" t="n"/>
      <c r="Q67" s="1836" t="n"/>
      <c r="R67" s="1836" t="n"/>
      <c r="S67" s="1836" t="n"/>
      <c r="T67" s="1836" t="n"/>
      <c r="U67" s="1836" t="n"/>
      <c r="V67" s="1836" t="n"/>
      <c r="W67" s="1836" t="n"/>
      <c r="X67" s="1836" t="n"/>
      <c r="Y67" s="1836" t="n"/>
      <c r="Z67" s="1836" t="n"/>
      <c r="AA67" s="1836" t="n"/>
      <c r="AB67" s="1836" t="n"/>
      <c r="AC67" s="1836" t="n"/>
      <c r="AD67" s="1836" t="n"/>
      <c r="AE67" s="1836" t="n"/>
      <c r="AF67" s="1836" t="n"/>
      <c r="AG67" s="2013" t="n"/>
    </row>
    <row r="68" ht="13.5" customHeight="1" s="7635">
      <c r="A68" s="2013" t="n"/>
      <c r="B68" s="88" t="n"/>
      <c r="C68" s="88" t="n"/>
      <c r="D68" s="88" t="n"/>
      <c r="E68" s="3440" t="inlineStr">
        <is>
          <t>Note. You may aggregate all long-term transactions reported on Form(s) 1099-B and Form(s) 1099-DA</t>
        </is>
      </c>
      <c r="F68" s="88" t="n"/>
      <c r="G68" s="88" t="n"/>
      <c r="H68" s="88" t="n"/>
      <c r="I68" s="88" t="n"/>
      <c r="J68" s="88" t="n"/>
      <c r="K68" s="88" t="n"/>
      <c r="L68" s="88" t="n"/>
      <c r="M68" s="88" t="n"/>
      <c r="N68" s="88" t="n"/>
      <c r="O68" s="88" t="n"/>
      <c r="P68" s="88" t="n"/>
      <c r="Q68" s="88" t="n"/>
      <c r="R68" s="88" t="n"/>
      <c r="S68" s="88" t="n"/>
      <c r="T68" s="1836" t="n"/>
      <c r="U68" s="88" t="n"/>
      <c r="V68" s="88" t="n"/>
      <c r="W68" s="88" t="n"/>
      <c r="X68" s="11403" t="n"/>
      <c r="Y68" s="88" t="n"/>
      <c r="Z68" s="88" t="n"/>
      <c r="AA68" s="88" t="n"/>
      <c r="AB68" s="88" t="n"/>
      <c r="AC68" s="88" t="n"/>
      <c r="AD68" s="88" t="n"/>
      <c r="AE68" s="88" t="n"/>
      <c r="AF68" s="88" t="n"/>
      <c r="AG68" s="2013" t="n"/>
      <c r="AS68" s="7779" t="n"/>
      <c r="AT68" s="7779" t="n"/>
      <c r="AU68" s="7779" t="n"/>
      <c r="AV68" s="7779" t="n"/>
      <c r="AW68" s="7779" t="n"/>
      <c r="AX68" s="7779" t="n"/>
      <c r="AY68" s="7779" t="n"/>
      <c r="AZ68" s="7779" t="n"/>
      <c r="BA68" s="7779" t="n"/>
      <c r="BB68" s="7779" t="n"/>
      <c r="BC68" s="7779" t="n"/>
    </row>
    <row r="69" ht="13.5" customHeight="1" s="7635">
      <c r="A69" s="2013" t="n"/>
      <c r="B69" s="88" t="n"/>
      <c r="C69" s="88" t="n"/>
      <c r="D69" s="88" t="n"/>
      <c r="E69" s="1836" t="inlineStr">
        <is>
          <t>showing basis was reported to the IRS and for which no adjustments or codes are required. Enter the totals</t>
        </is>
      </c>
      <c r="F69" s="88" t="n"/>
      <c r="G69" s="88" t="n"/>
      <c r="H69" s="88" t="n"/>
      <c r="I69" s="88" t="n"/>
      <c r="J69" s="88" t="n"/>
      <c r="K69" s="88" t="n"/>
      <c r="L69" s="88" t="n"/>
      <c r="M69" s="88" t="n"/>
      <c r="N69" s="88" t="n"/>
      <c r="O69" s="88" t="n"/>
      <c r="P69" s="88" t="n"/>
      <c r="Q69" s="88" t="n"/>
      <c r="R69" s="88" t="n"/>
      <c r="S69" s="88" t="n"/>
      <c r="T69" s="1836" t="n"/>
      <c r="U69" s="88" t="n"/>
      <c r="V69" s="88" t="n"/>
      <c r="W69" s="88" t="n"/>
      <c r="X69" s="11403" t="n"/>
      <c r="Y69" s="88" t="n"/>
      <c r="Z69" s="88" t="n"/>
      <c r="AA69" s="88" t="n"/>
      <c r="AB69" s="88" t="n"/>
      <c r="AC69" s="88" t="n"/>
      <c r="AD69" s="88" t="n"/>
      <c r="AE69" s="88" t="n"/>
      <c r="AF69" s="88" t="n"/>
      <c r="AG69" s="2013" t="n"/>
      <c r="AS69" s="7779" t="n"/>
      <c r="AT69" s="7779" t="n"/>
      <c r="AU69" s="7779" t="n"/>
      <c r="AV69" s="7779" t="n"/>
      <c r="AW69" s="7779" t="n"/>
      <c r="AX69" s="7779" t="n"/>
      <c r="AY69" s="7779" t="n"/>
      <c r="AZ69" s="7779" t="n"/>
      <c r="BA69" s="7779" t="n"/>
      <c r="BB69" s="7779" t="n"/>
      <c r="BC69" s="7779" t="n"/>
    </row>
    <row r="70" ht="13.5" customHeight="1" s="7635">
      <c r="A70" s="2013" t="n"/>
      <c r="B70" s="2432" t="n"/>
      <c r="C70" s="2432" t="n"/>
      <c r="D70" s="2432" t="n"/>
      <c r="E70" s="6008" t="inlineStr">
        <is>
          <t>directly on Schedule D, line 8a; you aren’t required to report these transactions on Form 8949 (see instructions).</t>
        </is>
      </c>
      <c r="F70" s="2432" t="n"/>
      <c r="G70" s="2432" t="n"/>
      <c r="H70" s="2432" t="n"/>
      <c r="I70" s="2432" t="n"/>
      <c r="J70" s="2432" t="n"/>
      <c r="K70" s="2432" t="n"/>
      <c r="L70" s="2432" t="n"/>
      <c r="M70" s="2432" t="n"/>
      <c r="N70" s="2432" t="n"/>
      <c r="O70" s="2432" t="n"/>
      <c r="P70" s="2432" t="n"/>
      <c r="Q70" s="2432" t="n"/>
      <c r="R70" s="2432" t="n"/>
      <c r="S70" s="2432" t="n"/>
      <c r="T70" s="2432" t="n"/>
      <c r="U70" s="2432" t="n"/>
      <c r="V70" s="2432" t="n"/>
      <c r="W70" s="2432" t="n"/>
      <c r="X70" s="2432" t="n"/>
      <c r="Y70" s="2432" t="n"/>
      <c r="Z70" s="2432" t="n"/>
      <c r="AA70" s="2432" t="n"/>
      <c r="AB70" s="2432" t="n"/>
      <c r="AC70" s="2432" t="n"/>
      <c r="AD70" s="2432" t="n"/>
      <c r="AE70" s="2432" t="n"/>
      <c r="AF70" s="2432" t="n"/>
      <c r="AG70" s="2013" t="n"/>
      <c r="AS70" s="7779" t="n"/>
      <c r="AT70" s="7779" t="n"/>
      <c r="AU70" s="7779" t="n"/>
      <c r="AV70" s="7779" t="n"/>
      <c r="AW70" s="7779" t="n"/>
      <c r="AX70" s="7779" t="n"/>
      <c r="AY70" s="7779" t="n"/>
      <c r="AZ70" s="7779" t="n"/>
      <c r="BA70" s="7779" t="n"/>
      <c r="BB70" s="7779" t="n"/>
      <c r="BC70" s="7779" t="n"/>
    </row>
    <row r="71" ht="14.25" customHeight="1" s="7635">
      <c r="A71" s="2013" t="n"/>
      <c r="B71" s="226" t="inlineStr">
        <is>
          <t xml:space="preserve">You must check Box D, E, F, J, K, or L below. </t>
        </is>
      </c>
      <c r="C71" s="8922" t="n"/>
      <c r="D71" s="8922" t="n"/>
      <c r="E71" s="8922" t="n"/>
      <c r="F71" s="8922" t="n"/>
      <c r="G71" s="8922" t="n"/>
      <c r="H71" s="8922" t="n"/>
      <c r="I71" s="8922" t="n"/>
      <c r="J71" s="8922" t="n"/>
      <c r="K71" s="1183" t="n"/>
      <c r="L71" s="8922" t="n"/>
      <c r="M71" s="226" t="inlineStr">
        <is>
          <t xml:space="preserve"> Check only one box. </t>
        </is>
      </c>
      <c r="N71" s="226" t="n"/>
      <c r="O71" s="8922" t="n"/>
      <c r="P71" s="11403" t="n"/>
      <c r="Q71" s="8922" t="n"/>
      <c r="R71" s="8922" t="n"/>
      <c r="S71" s="8922" t="n"/>
      <c r="T71" s="1836" t="n"/>
      <c r="U71" s="8922" t="n"/>
      <c r="V71" s="8922" t="n"/>
      <c r="W71" s="8922" t="n"/>
      <c r="X71" s="8922" t="n"/>
      <c r="Y71" s="8922" t="n"/>
      <c r="Z71" s="8922" t="n"/>
      <c r="AA71" s="8922" t="n"/>
      <c r="AB71" s="8922" t="n"/>
      <c r="AC71" s="8922" t="n"/>
      <c r="AD71" s="8922" t="n"/>
      <c r="AE71" s="8922" t="n"/>
      <c r="AF71" s="6501" t="inlineStr">
        <is>
          <t>If more than one box applies for your long-term transactions,</t>
        </is>
      </c>
      <c r="AG71" s="2013" t="n"/>
    </row>
    <row r="72">
      <c r="A72" s="2013" t="n"/>
      <c r="B72" s="11403" t="inlineStr">
        <is>
          <t xml:space="preserve">complete a separate Form 8949, page 2, for each applicable box. If you have more long-term transactions than will fit on this page for </t>
        </is>
      </c>
      <c r="C72" s="8922" t="n"/>
      <c r="D72" s="8922" t="n"/>
      <c r="E72" s="8922" t="n"/>
      <c r="F72" s="8922" t="n"/>
      <c r="G72" s="8922" t="n"/>
      <c r="H72" s="8922" t="n"/>
      <c r="I72" s="8922" t="n"/>
      <c r="J72" s="8922" t="n"/>
      <c r="K72" s="8922" t="n"/>
      <c r="L72" s="8922" t="n"/>
      <c r="M72" s="8922" t="n"/>
      <c r="N72" s="8922" t="n"/>
      <c r="O72" s="8922" t="n"/>
      <c r="P72" s="8922" t="n"/>
      <c r="Q72" s="8922" t="n"/>
      <c r="R72" s="8922" t="n"/>
      <c r="S72" s="8922" t="n"/>
      <c r="T72" s="8922" t="n"/>
      <c r="U72" s="8922" t="n"/>
      <c r="V72" s="8922" t="n"/>
      <c r="W72" s="8922" t="n"/>
      <c r="X72" s="8922" t="n"/>
      <c r="Y72" s="8922" t="n"/>
      <c r="Z72" s="8922" t="n"/>
      <c r="AA72" s="8922" t="n"/>
      <c r="AB72" s="8922" t="n"/>
      <c r="AC72" s="8922" t="n"/>
      <c r="AD72" s="8922" t="n"/>
      <c r="AE72" s="8922" t="n"/>
      <c r="AF72" s="8922" t="n"/>
      <c r="AG72" s="2013" t="n"/>
      <c r="BA72" s="12799" t="inlineStr">
        <is>
          <t>Less than One Year</t>
        </is>
      </c>
      <c r="BB72" s="8412" t="n"/>
      <c r="BC72" s="11734" t="n"/>
    </row>
    <row r="73" ht="12.75" customHeight="1" s="7635">
      <c r="A73" s="2013" t="n"/>
      <c r="B73" s="11403">
        <f>IF(SpaceUsed_8949A_LT,"ERROR: DO NOT use the space bar to uncheck a box. Use the 'Delete' key.","one or more of the boxes, complete as many forms with the same box checked as you need.")</f>
        <v/>
      </c>
      <c r="C73" s="8922" t="n"/>
      <c r="D73" s="8922" t="n"/>
      <c r="E73" s="8922" t="n"/>
      <c r="F73" s="8922" t="n"/>
      <c r="G73" s="8922" t="n"/>
      <c r="H73" s="8922" t="n"/>
      <c r="I73" s="8922" t="n"/>
      <c r="J73" s="8922" t="n"/>
      <c r="K73" s="8922" t="n"/>
      <c r="L73" s="8922" t="n"/>
      <c r="M73" s="8922" t="n"/>
      <c r="N73" s="8922" t="n"/>
      <c r="O73" s="8922" t="n"/>
      <c r="P73" s="8922" t="n"/>
      <c r="Q73" s="8922" t="n"/>
      <c r="R73" s="8922" t="n"/>
      <c r="S73" s="8922" t="n"/>
      <c r="T73" s="8922" t="n"/>
      <c r="U73" s="8922" t="n"/>
      <c r="V73" s="8922" t="n"/>
      <c r="W73" s="8922" t="n"/>
      <c r="X73" s="8922" t="n"/>
      <c r="Y73" s="8922" t="n"/>
      <c r="Z73" s="8922" t="n"/>
      <c r="AA73" s="8922" t="n"/>
      <c r="AB73" s="8922" t="n"/>
      <c r="AC73" s="8922" t="n"/>
      <c r="AD73" s="8922" t="n"/>
      <c r="AE73" s="8922" t="n"/>
      <c r="AF73" s="8922" t="n"/>
      <c r="AG73" s="2013" t="n"/>
      <c r="AJ73" s="3809" t="n"/>
      <c r="AK73" s="3809" t="n"/>
      <c r="AL73" s="3809" t="n"/>
      <c r="AM73" s="3809" t="n"/>
      <c r="AN73" s="3809" t="n"/>
      <c r="AO73" s="3809" t="n"/>
      <c r="AP73" s="3809" t="n"/>
      <c r="AQ73" s="3809" t="n"/>
      <c r="BA73" s="11398" t="inlineStr">
        <is>
          <t>Calendar Year is SAME</t>
        </is>
      </c>
      <c r="BB73" s="11398" t="inlineStr">
        <is>
          <t>Before This Month (Last Year)</t>
        </is>
      </c>
      <c r="BC73" s="11398" t="inlineStr">
        <is>
          <t>Before This Day and Month (Last Year)</t>
        </is>
      </c>
    </row>
    <row r="74" ht="4.5" customHeight="1" s="7635" thickBot="1">
      <c r="A74" s="2013" t="n"/>
      <c r="B74" s="8922" t="n"/>
      <c r="C74" s="8922" t="n"/>
      <c r="D74" s="8922" t="n"/>
      <c r="E74" s="8922" t="n"/>
      <c r="F74" s="8922" t="n"/>
      <c r="G74" s="8922" t="n"/>
      <c r="H74" s="8922" t="n"/>
      <c r="I74" s="8922" t="n"/>
      <c r="J74" s="8922" t="n"/>
      <c r="K74" s="8922" t="n"/>
      <c r="L74" s="8922" t="n"/>
      <c r="M74" s="8922" t="n"/>
      <c r="N74" s="8922" t="n"/>
      <c r="O74" s="8922" t="n"/>
      <c r="P74" s="8922" t="n"/>
      <c r="Q74" s="8922" t="n"/>
      <c r="R74" s="8922" t="n"/>
      <c r="S74" s="8922" t="n"/>
      <c r="T74" s="8922" t="n"/>
      <c r="U74" s="8922" t="n"/>
      <c r="V74" s="8922" t="n"/>
      <c r="W74" s="8922" t="n"/>
      <c r="X74" s="8922" t="n"/>
      <c r="Y74" s="8922" t="n"/>
      <c r="Z74" s="8922" t="n"/>
      <c r="AA74" s="8922" t="n"/>
      <c r="AB74" s="8922" t="n"/>
      <c r="AC74" s="8922" t="n"/>
      <c r="AD74" s="8922" t="n"/>
      <c r="AE74" s="8922" t="n"/>
      <c r="AF74" s="8922" t="n"/>
      <c r="AG74" s="2013" t="n"/>
      <c r="BA74" s="11747" t="n"/>
      <c r="BB74" s="11747" t="n"/>
      <c r="BC74" s="11747" t="n"/>
    </row>
    <row r="75" ht="12" customHeight="1" s="7635" thickBot="1">
      <c r="A75" s="2013" t="n"/>
      <c r="B75" s="8914">
        <f>IF(C75&lt;&gt;"",1,0)</f>
        <v/>
      </c>
      <c r="C75" s="300" t="n"/>
      <c r="D75" s="3440" t="inlineStr">
        <is>
          <t xml:space="preserve"> (D) Long-term transactions reported on Form(s) 1099-B showing basis was reported to the IRS (see Note above)</t>
        </is>
      </c>
      <c r="E75" s="8922" t="n"/>
      <c r="F75" s="8922" t="n"/>
      <c r="G75" s="8922" t="n"/>
      <c r="H75" s="8922" t="n"/>
      <c r="I75" s="8922" t="n"/>
      <c r="J75" s="8922" t="n"/>
      <c r="K75" s="8922" t="n"/>
      <c r="L75" s="8922" t="n"/>
      <c r="M75" s="8922" t="n"/>
      <c r="N75" s="8922" t="n"/>
      <c r="O75" s="8922" t="n"/>
      <c r="P75" s="8922" t="n"/>
      <c r="Q75" s="8922" t="n"/>
      <c r="R75" s="8922" t="n"/>
      <c r="S75" s="8922" t="n"/>
      <c r="T75" s="8922" t="n"/>
      <c r="U75" s="8922" t="n"/>
      <c r="V75" s="8922" t="n"/>
      <c r="W75" s="8922" t="n"/>
      <c r="X75" s="8922" t="n"/>
      <c r="Y75" s="8922" t="n"/>
      <c r="Z75" s="8922" t="n"/>
      <c r="AA75" s="8922" t="n"/>
      <c r="AB75" s="8922" t="n"/>
      <c r="AC75" s="8922" t="n"/>
      <c r="AD75" s="8922" t="n"/>
      <c r="AE75" s="8922" t="n"/>
      <c r="AF75" s="8922" t="n"/>
      <c r="AG75" s="2013" t="n"/>
      <c r="AJ75" s="11392" t="n"/>
      <c r="BA75" s="11747" t="n"/>
      <c r="BB75" s="11747" t="n"/>
      <c r="BC75" s="11747" t="n"/>
    </row>
    <row r="76" ht="4.5" customHeight="1" s="7635" thickBot="1">
      <c r="A76" s="2013" t="n"/>
      <c r="B76" s="6017" t="n"/>
      <c r="C76" s="8922" t="n"/>
      <c r="D76" s="1836" t="n"/>
      <c r="E76" s="8922" t="n"/>
      <c r="F76" s="8922" t="n"/>
      <c r="G76" s="8922" t="n"/>
      <c r="H76" s="8922" t="n"/>
      <c r="I76" s="8922" t="n"/>
      <c r="J76" s="8922" t="n"/>
      <c r="K76" s="8922" t="n"/>
      <c r="L76" s="8922" t="n"/>
      <c r="M76" s="8922" t="n"/>
      <c r="N76" s="8922" t="n"/>
      <c r="O76" s="8922" t="n"/>
      <c r="P76" s="8922" t="n"/>
      <c r="Q76" s="8922" t="n"/>
      <c r="R76" s="8922" t="n"/>
      <c r="S76" s="8922" t="n"/>
      <c r="T76" s="8922" t="n"/>
      <c r="U76" s="8922" t="n"/>
      <c r="V76" s="8922" t="n"/>
      <c r="W76" s="8922" t="n"/>
      <c r="X76" s="8922" t="n"/>
      <c r="Y76" s="8922" t="n"/>
      <c r="Z76" s="8922" t="n"/>
      <c r="AA76" s="8922" t="n"/>
      <c r="AB76" s="8922" t="n"/>
      <c r="AC76" s="8922" t="n"/>
      <c r="AD76" s="8922" t="n"/>
      <c r="AE76" s="8922" t="n"/>
      <c r="AF76" s="8922" t="n"/>
      <c r="AG76" s="2013" t="n"/>
      <c r="BA76" s="11747" t="n"/>
      <c r="BB76" s="11747" t="n"/>
      <c r="BC76" s="11747" t="n"/>
    </row>
    <row r="77" ht="11.25" customHeight="1" s="7635" thickBot="1">
      <c r="A77" s="2013" t="n"/>
      <c r="B77" s="8914">
        <f>IF(C77&lt;&gt;"",1,0)</f>
        <v/>
      </c>
      <c r="C77" s="300" t="n"/>
      <c r="D77" s="3440" t="inlineStr">
        <is>
          <t xml:space="preserve"> (E) Long-term transactions reported on Form(s) 1099-B showing basis was not reported to the IRS</t>
        </is>
      </c>
      <c r="E77" s="8922" t="n"/>
      <c r="F77" s="8922" t="n"/>
      <c r="G77" s="8922" t="n"/>
      <c r="H77" s="8922" t="n"/>
      <c r="I77" s="8922" t="n"/>
      <c r="J77" s="8922" t="n"/>
      <c r="K77" s="8922" t="n"/>
      <c r="L77" s="8922" t="n"/>
      <c r="M77" s="8922" t="n"/>
      <c r="N77" s="8922" t="n"/>
      <c r="O77" s="8922" t="n"/>
      <c r="P77" s="8922" t="n"/>
      <c r="Q77" s="7299" t="n"/>
      <c r="R77" s="7299" t="n"/>
      <c r="S77" s="7299" t="n"/>
      <c r="T77" s="7299" t="n"/>
      <c r="U77" s="7299" t="n"/>
      <c r="V77" s="7299" t="n"/>
      <c r="W77" s="7299" t="n"/>
      <c r="X77" s="7299" t="n"/>
      <c r="Y77" s="7299" t="n"/>
      <c r="Z77" s="7299" t="n"/>
      <c r="AA77" s="7299" t="n"/>
      <c r="AB77" s="7299" t="n"/>
      <c r="AC77" s="7299" t="n"/>
      <c r="AD77" s="7299" t="n"/>
      <c r="AE77" s="8922" t="n"/>
      <c r="AF77" s="8922" t="n"/>
      <c r="AG77" s="2013" t="n"/>
      <c r="AJ77" s="11392" t="n"/>
      <c r="BA77" s="11747" t="n"/>
      <c r="BB77" s="11747" t="n"/>
      <c r="BC77" s="11747" t="n"/>
    </row>
    <row r="78" ht="4.5" customHeight="1" s="7635" thickBot="1">
      <c r="A78" s="2013" t="n"/>
      <c r="B78" s="6017" t="n"/>
      <c r="C78" s="8922" t="n"/>
      <c r="D78" s="1836" t="n"/>
      <c r="E78" s="8922" t="n"/>
      <c r="F78" s="8922" t="n"/>
      <c r="G78" s="8922" t="n"/>
      <c r="H78" s="8922" t="n"/>
      <c r="I78" s="8922" t="n"/>
      <c r="J78" s="8922" t="n"/>
      <c r="K78" s="8922" t="n"/>
      <c r="L78" s="8922" t="n"/>
      <c r="M78" s="8922" t="n"/>
      <c r="N78" s="8922" t="n"/>
      <c r="O78" s="8922" t="n"/>
      <c r="P78" s="8922" t="n"/>
      <c r="Q78" s="7299" t="n"/>
      <c r="R78" s="7299" t="n"/>
      <c r="S78" s="7299" t="n"/>
      <c r="T78" s="7299" t="n"/>
      <c r="U78" s="7299" t="n"/>
      <c r="V78" s="7299" t="n"/>
      <c r="W78" s="7299" t="n"/>
      <c r="X78" s="7299" t="n"/>
      <c r="Y78" s="7299" t="n"/>
      <c r="Z78" s="7299" t="n"/>
      <c r="AA78" s="7299" t="n"/>
      <c r="AB78" s="7299" t="n"/>
      <c r="AC78" s="7299" t="n"/>
      <c r="AD78" s="7299" t="n"/>
      <c r="AE78" s="8922" t="n"/>
      <c r="AF78" s="8922" t="n"/>
      <c r="AG78" s="2013" t="n"/>
      <c r="BA78" s="11747" t="n"/>
      <c r="BB78" s="11747" t="n"/>
      <c r="BC78" s="11747" t="n"/>
    </row>
    <row r="79" ht="12" customHeight="1" s="7635" thickBot="1">
      <c r="A79" s="2013">
        <f>SUM(B75:B79)</f>
        <v/>
      </c>
      <c r="B79" s="8914">
        <f>IF(C79&lt;&gt;"",1,0)</f>
        <v/>
      </c>
      <c r="C79" s="300" t="n"/>
      <c r="D79" s="3440" t="inlineStr">
        <is>
          <t xml:space="preserve"> (F) Long-term transactions, other than digital asset transactions, not reported to you on Form 1099-B or Form 1099-DA</t>
        </is>
      </c>
      <c r="E79" s="8922" t="n"/>
      <c r="F79" s="8922" t="n"/>
      <c r="G79" s="8922" t="n"/>
      <c r="H79" s="8922" t="n"/>
      <c r="I79" s="8922" t="n"/>
      <c r="J79" s="8922" t="n"/>
      <c r="K79" s="8922" t="n"/>
      <c r="L79" s="8922" t="n"/>
      <c r="M79" s="8922" t="n"/>
      <c r="N79" s="8922" t="n"/>
      <c r="O79" s="8922" t="n"/>
      <c r="P79" s="8922" t="n"/>
      <c r="Q79" s="6018" t="n"/>
      <c r="R79" s="6019" t="n"/>
      <c r="S79" s="3823" t="n"/>
      <c r="T79" s="3823" t="n"/>
      <c r="U79" s="3823" t="n"/>
      <c r="V79" s="3823" t="n"/>
      <c r="W79" s="3823" t="n"/>
      <c r="X79" s="3823" t="n"/>
      <c r="Y79" s="3823" t="n"/>
      <c r="Z79" s="3823" t="n"/>
      <c r="AA79" s="3823" t="n"/>
      <c r="AB79" s="3823" t="n"/>
      <c r="AC79" s="3823" t="n"/>
      <c r="AD79" s="3823" t="n"/>
      <c r="AE79" s="3823" t="n"/>
      <c r="AF79" s="8922" t="n"/>
      <c r="AG79" s="2013" t="n"/>
      <c r="AH79" s="9649">
        <f>OR(F8949ALBOXD=CHAR(32),F8949ALBOXE=CHAR(32),F8949ALBOXF=CHAR(32),F8949ALBOXJ=CHAR(32),F8949ALBOXK=CHAR(32),F8949ALBOXL=CHAR(32))</f>
        <v/>
      </c>
      <c r="AJ79" s="3809" t="n"/>
      <c r="AK79" s="3809" t="n"/>
      <c r="AL79" s="3809" t="n"/>
      <c r="AM79" s="3809" t="n"/>
      <c r="AN79" s="3809" t="n"/>
      <c r="AO79" s="3809" t="n"/>
      <c r="AP79" s="3809" t="n"/>
      <c r="AQ79" s="3809" t="n"/>
      <c r="BA79" s="11747" t="n"/>
      <c r="BB79" s="11747" t="n"/>
      <c r="BC79" s="11747" t="n"/>
    </row>
    <row r="80" ht="4.5" customHeight="1" s="7635" thickBot="1">
      <c r="A80" s="2013" t="n"/>
      <c r="B80" s="8922" t="n"/>
      <c r="C80" s="8922" t="n"/>
      <c r="D80" s="1836" t="n"/>
      <c r="E80" s="8922" t="n"/>
      <c r="F80" s="8922" t="n"/>
      <c r="G80" s="8922" t="n"/>
      <c r="H80" s="8922" t="n"/>
      <c r="I80" s="8922" t="n"/>
      <c r="J80" s="8922" t="n"/>
      <c r="K80" s="8922" t="n"/>
      <c r="L80" s="8922" t="n"/>
      <c r="M80" s="8922" t="n"/>
      <c r="N80" s="8922" t="n"/>
      <c r="O80" s="8922" t="n"/>
      <c r="P80" s="8922" t="n"/>
      <c r="Q80" s="8922" t="n"/>
      <c r="R80" s="8922" t="n"/>
      <c r="S80" s="8922" t="n"/>
      <c r="T80" s="8922" t="n"/>
      <c r="U80" s="8922" t="n"/>
      <c r="V80" s="8922" t="n"/>
      <c r="W80" s="8922" t="n"/>
      <c r="X80" s="8922" t="n"/>
      <c r="Y80" s="8922" t="n"/>
      <c r="Z80" s="8922" t="n"/>
      <c r="AA80" s="8922" t="n"/>
      <c r="AB80" s="8922" t="n"/>
      <c r="AC80" s="8922" t="n"/>
      <c r="AD80" s="8922" t="n"/>
      <c r="AE80" s="8922" t="n"/>
      <c r="AF80" s="8922" t="n"/>
      <c r="AG80" s="2013" t="n"/>
      <c r="BA80" s="11747" t="n"/>
      <c r="BB80" s="11747" t="n"/>
      <c r="BC80" s="11747" t="n"/>
    </row>
    <row r="81" ht="12" customHeight="1" s="7635" thickBot="1">
      <c r="A81" s="2013" t="n"/>
      <c r="B81" s="8914">
        <f>IF(C81&lt;&gt;"",1,0)</f>
        <v/>
      </c>
      <c r="C81" s="300" t="n"/>
      <c r="D81" s="3440" t="inlineStr">
        <is>
          <t xml:space="preserve"> (J) Long-term transactions reported on Form(s) 1099-DA showing basis was reported to the IRS (see Note above)</t>
        </is>
      </c>
      <c r="E81" s="8922" t="n"/>
      <c r="F81" s="8922" t="n"/>
      <c r="G81" s="8922" t="n"/>
      <c r="H81" s="8922" t="n"/>
      <c r="I81" s="8922" t="n"/>
      <c r="J81" s="8922" t="n"/>
      <c r="K81" s="8922" t="n"/>
      <c r="L81" s="8922" t="n"/>
      <c r="M81" s="8922" t="n"/>
      <c r="N81" s="8922" t="n"/>
      <c r="O81" s="8922" t="n"/>
      <c r="P81" s="8922" t="n"/>
      <c r="Q81" s="8922" t="n"/>
      <c r="R81" s="8922" t="n"/>
      <c r="S81" s="8922" t="n"/>
      <c r="T81" s="8922" t="n"/>
      <c r="U81" s="8922" t="n"/>
      <c r="V81" s="8922" t="n"/>
      <c r="W81" s="8922" t="n"/>
      <c r="X81" s="8922" t="n"/>
      <c r="Y81" s="8922" t="n"/>
      <c r="Z81" s="8922" t="n"/>
      <c r="AA81" s="8922" t="n"/>
      <c r="AB81" s="8922" t="n"/>
      <c r="AC81" s="8922" t="n"/>
      <c r="AD81" s="8922" t="n"/>
      <c r="AE81" s="8922" t="n"/>
      <c r="AF81" s="8922" t="n"/>
      <c r="AG81" s="2013" t="n"/>
      <c r="AJ81" s="11392" t="n"/>
      <c r="BA81" s="11747" t="n"/>
      <c r="BB81" s="11747" t="n"/>
      <c r="BC81" s="11747" t="n"/>
    </row>
    <row r="82" ht="4.5" customHeight="1" s="7635" thickBot="1">
      <c r="A82" s="2013" t="n"/>
      <c r="B82" s="6017" t="n"/>
      <c r="C82" s="8922" t="n"/>
      <c r="D82" s="1836" t="n"/>
      <c r="E82" s="8922" t="n"/>
      <c r="F82" s="8922" t="n"/>
      <c r="G82" s="8922" t="n"/>
      <c r="H82" s="8922" t="n"/>
      <c r="I82" s="8922" t="n"/>
      <c r="J82" s="8922" t="n"/>
      <c r="K82" s="8922" t="n"/>
      <c r="L82" s="8922" t="n"/>
      <c r="M82" s="8922" t="n"/>
      <c r="N82" s="8922" t="n"/>
      <c r="O82" s="8922" t="n"/>
      <c r="P82" s="8922" t="n"/>
      <c r="Q82" s="8922" t="n"/>
      <c r="R82" s="8922" t="n"/>
      <c r="S82" s="8922" t="n"/>
      <c r="T82" s="8922" t="n"/>
      <c r="U82" s="8922" t="n"/>
      <c r="V82" s="8922" t="n"/>
      <c r="W82" s="8922" t="n"/>
      <c r="X82" s="8922" t="n"/>
      <c r="Y82" s="8922" t="n"/>
      <c r="Z82" s="8922" t="n"/>
      <c r="AA82" s="8922" t="n"/>
      <c r="AB82" s="8922" t="n"/>
      <c r="AC82" s="8922" t="n"/>
      <c r="AD82" s="8922" t="n"/>
      <c r="AE82" s="8922" t="n"/>
      <c r="AF82" s="8922" t="n"/>
      <c r="AG82" s="2013" t="n"/>
      <c r="BA82" s="11747" t="n"/>
      <c r="BB82" s="11747" t="n"/>
      <c r="BC82" s="11747" t="n"/>
    </row>
    <row r="83" ht="11.25" customHeight="1" s="7635" thickBot="1">
      <c r="A83" s="2013" t="n"/>
      <c r="B83" s="8914">
        <f>IF(C83&lt;&gt;"",1,0)</f>
        <v/>
      </c>
      <c r="C83" s="300" t="n"/>
      <c r="D83" s="3440" t="inlineStr">
        <is>
          <t xml:space="preserve"> (K) Long-term transactions reported on Form(s) 1099-DA showing basis was not reported to the IRS</t>
        </is>
      </c>
      <c r="E83" s="8922" t="n"/>
      <c r="F83" s="8922" t="n"/>
      <c r="G83" s="8922" t="n"/>
      <c r="H83" s="8922" t="n"/>
      <c r="I83" s="8922" t="n"/>
      <c r="J83" s="8922" t="n"/>
      <c r="K83" s="8922" t="n"/>
      <c r="L83" s="8922" t="n"/>
      <c r="M83" s="8922" t="n"/>
      <c r="N83" s="8922" t="n"/>
      <c r="O83" s="8922" t="n"/>
      <c r="P83" s="8922" t="n"/>
      <c r="Q83" s="7299" t="n"/>
      <c r="R83" s="7299" t="n"/>
      <c r="S83" s="7299" t="n"/>
      <c r="T83" s="7299" t="n"/>
      <c r="U83" s="7299" t="n"/>
      <c r="V83" s="7299" t="n"/>
      <c r="W83" s="7299" t="n"/>
      <c r="X83" s="7299" t="n"/>
      <c r="Y83" s="7299" t="n"/>
      <c r="Z83" s="7299" t="n"/>
      <c r="AA83" s="7299" t="n"/>
      <c r="AB83" s="7299" t="n"/>
      <c r="AC83" s="7299" t="n"/>
      <c r="AD83" s="7299" t="n"/>
      <c r="AE83" s="8922" t="n"/>
      <c r="AF83" s="8922" t="n"/>
      <c r="AG83" s="2013" t="n"/>
      <c r="AJ83" s="11392" t="n"/>
      <c r="BA83" s="11747" t="n"/>
      <c r="BB83" s="11747" t="n"/>
      <c r="BC83" s="11747" t="n"/>
    </row>
    <row r="84" ht="4.5" customHeight="1" s="7635" thickBot="1">
      <c r="A84" s="2013" t="n"/>
      <c r="B84" s="6017" t="n"/>
      <c r="C84" s="8922" t="n"/>
      <c r="D84" s="1836" t="n"/>
      <c r="E84" s="8922" t="n"/>
      <c r="F84" s="8922" t="n"/>
      <c r="G84" s="8922" t="n"/>
      <c r="H84" s="8922" t="n"/>
      <c r="I84" s="8922" t="n"/>
      <c r="J84" s="8922" t="n"/>
      <c r="K84" s="8922" t="n"/>
      <c r="L84" s="8922" t="n"/>
      <c r="M84" s="8922" t="n"/>
      <c r="N84" s="8922" t="n"/>
      <c r="O84" s="8922" t="n"/>
      <c r="P84" s="8922" t="n"/>
      <c r="Q84" s="7299" t="n"/>
      <c r="R84" s="7299" t="n"/>
      <c r="S84" s="7299" t="n"/>
      <c r="T84" s="7299" t="n"/>
      <c r="U84" s="7299" t="n"/>
      <c r="V84" s="7299" t="n"/>
      <c r="W84" s="7299" t="n"/>
      <c r="X84" s="7299" t="n"/>
      <c r="Y84" s="7299" t="n"/>
      <c r="Z84" s="7299" t="n"/>
      <c r="AA84" s="7299" t="n"/>
      <c r="AB84" s="7299" t="n"/>
      <c r="AC84" s="7299" t="n"/>
      <c r="AD84" s="7299" t="n"/>
      <c r="AE84" s="8922" t="n"/>
      <c r="AF84" s="8922" t="n"/>
      <c r="AG84" s="2013" t="n"/>
      <c r="BA84" s="11747" t="n"/>
      <c r="BB84" s="11747" t="n"/>
      <c r="BC84" s="11747" t="n"/>
    </row>
    <row r="85" ht="12" customHeight="1" s="7635" thickBot="1">
      <c r="A85" s="2013">
        <f>SUM(B75:B85)</f>
        <v/>
      </c>
      <c r="B85" s="8914">
        <f>IF(C85&lt;&gt;"",1,0)</f>
        <v/>
      </c>
      <c r="C85" s="300" t="n"/>
      <c r="D85" s="3440" t="inlineStr">
        <is>
          <t xml:space="preserve"> (L) Long-term digital asset transactions not reported to you on Form 1099-DA or Form 1099-B</t>
        </is>
      </c>
      <c r="E85" s="8922" t="n"/>
      <c r="F85" s="8922" t="n"/>
      <c r="G85" s="8922" t="n"/>
      <c r="H85" s="8922" t="n"/>
      <c r="I85" s="8922" t="n"/>
      <c r="J85" s="8922" t="n"/>
      <c r="K85" s="8922" t="n"/>
      <c r="L85" s="8922" t="n"/>
      <c r="M85" s="8922" t="n"/>
      <c r="N85" s="8922" t="n"/>
      <c r="O85" s="8922" t="n"/>
      <c r="P85" s="8922" t="n"/>
      <c r="Q85" s="6018" t="n"/>
      <c r="R85" s="3823" t="n"/>
      <c r="S85" s="3823" t="n"/>
      <c r="T85" s="3823" t="n"/>
      <c r="U85" s="3823" t="n"/>
      <c r="V85" s="3823" t="n"/>
      <c r="W85" s="3823" t="n"/>
      <c r="X85" s="3823" t="n"/>
      <c r="Y85" s="3823" t="n"/>
      <c r="Z85" s="3823" t="n"/>
      <c r="AA85" s="3823" t="n"/>
      <c r="AB85" s="3823" t="n"/>
      <c r="AC85" s="3823" t="n"/>
      <c r="AD85" s="3823" t="n"/>
      <c r="AE85" s="3823" t="n"/>
      <c r="AF85" s="6020" t="n"/>
      <c r="AG85" s="2013" t="n"/>
      <c r="AH85" s="9649" t="n"/>
      <c r="AJ85" s="11392" t="inlineStr">
        <is>
          <t>Paste data from other spreadsheets, reports, etc. here.  (Use 'Paste Special, Values')</t>
        </is>
      </c>
      <c r="BA85" s="11747" t="n"/>
      <c r="BB85" s="11747" t="n"/>
      <c r="BC85" s="11747" t="n"/>
    </row>
    <row r="86" ht="5.25" customHeight="1" s="7635">
      <c r="A86" s="2013" t="n"/>
      <c r="B86" s="6012" t="n"/>
      <c r="C86" s="6013" t="n"/>
      <c r="D86" s="6012" t="n"/>
      <c r="E86" s="6012" t="n"/>
      <c r="F86" s="6012" t="n"/>
      <c r="G86" s="6012" t="n"/>
      <c r="H86" s="6012" t="n"/>
      <c r="I86" s="6012" t="n"/>
      <c r="J86" s="6012" t="n"/>
      <c r="K86" s="6012" t="n"/>
      <c r="L86" s="6012" t="n"/>
      <c r="M86" s="6012" t="n"/>
      <c r="N86" s="6013" t="n"/>
      <c r="O86" s="6012" t="n"/>
      <c r="P86" s="6012" t="n"/>
      <c r="Q86" s="6012" t="n"/>
      <c r="R86" s="6012" t="n"/>
      <c r="S86" s="6012" t="n"/>
      <c r="T86" s="6012" t="n"/>
      <c r="U86" s="6012" t="n"/>
      <c r="V86" s="6012" t="n"/>
      <c r="W86" s="6012" t="n"/>
      <c r="X86" s="6012" t="n"/>
      <c r="Y86" s="6013" t="n"/>
      <c r="Z86" s="6012" t="n"/>
      <c r="AA86" s="6012" t="n"/>
      <c r="AB86" s="6012" t="n"/>
      <c r="AC86" s="6012" t="n"/>
      <c r="AD86" s="6012" t="n"/>
      <c r="AE86" s="6012" t="n"/>
      <c r="AF86" s="6012" t="n"/>
      <c r="AG86" s="2013" t="n"/>
      <c r="BA86" s="11747" t="n"/>
      <c r="BB86" s="11747" t="n"/>
      <c r="BC86" s="11747" t="n"/>
    </row>
    <row r="87" ht="21" customHeight="1" s="7635">
      <c r="A87" s="2013" t="n"/>
      <c r="B87" s="12800" t="n">
        <v>1</v>
      </c>
      <c r="C87" s="12801" t="inlineStr">
        <is>
          <t>(a)
Description of property
(Example: 100 sh. XYZ Co.)</t>
        </is>
      </c>
      <c r="D87" s="7839" t="n"/>
      <c r="E87" s="7839" t="n"/>
      <c r="F87" s="7839" t="n"/>
      <c r="G87" s="7839" t="n"/>
      <c r="H87" s="7839" t="n"/>
      <c r="I87" s="10091" t="n"/>
      <c r="J87" s="11779" t="inlineStr">
        <is>
          <t>(b)
Date acquired
(Mo., day, yr.)</t>
        </is>
      </c>
      <c r="K87" s="7839" t="n"/>
      <c r="L87" s="10091" t="n"/>
      <c r="M87" s="11779" t="inlineStr">
        <is>
          <t>(c)
Date sold or
disposed of
(Mo., day, yr.)</t>
        </is>
      </c>
      <c r="N87" s="7839" t="n"/>
      <c r="O87" s="7839" t="n"/>
      <c r="P87" s="10091" t="n"/>
      <c r="Q87" s="11779" t="inlineStr">
        <is>
          <t>(d)
Proceeds 
(sales price) 
(see instructions)</t>
        </is>
      </c>
      <c r="R87" s="7839" t="n"/>
      <c r="S87" s="7839" t="n"/>
      <c r="T87" s="10091" t="n"/>
      <c r="U87" s="12802" t="inlineStr">
        <is>
          <t>(e)
Cost or other basis. 
See the Note below 
and see Column (e) 
in the separate 
instructions</t>
        </is>
      </c>
      <c r="V87" s="7839" t="n"/>
      <c r="W87" s="7839" t="n"/>
      <c r="X87" s="10091" t="n"/>
      <c r="Y87" s="12803" t="inlineStr">
        <is>
          <t>Adjustment, if any, to gain or loss. 
If you enter an amount in column (g), 
enter a code in column (f). 
See the separate instructions.</t>
        </is>
      </c>
      <c r="Z87" s="7839" t="n"/>
      <c r="AA87" s="7839" t="n"/>
      <c r="AB87" s="10091" t="n"/>
      <c r="AC87" s="12804" t="inlineStr">
        <is>
          <t>(h) 
Gain or (loss). 
Subtract column (e) 
from column (d) and 
combine the result 
with column (g)</t>
        </is>
      </c>
      <c r="AD87" s="7839" t="n"/>
      <c r="AE87" s="7839" t="n"/>
      <c r="AF87" s="7839" t="n"/>
      <c r="AG87" s="2013" t="n"/>
      <c r="AJ87" s="11391" t="inlineStr">
        <is>
          <t>(a)
Description of property
(Example: 100 sh. XYZ Co.)</t>
        </is>
      </c>
      <c r="AK87" s="11391" t="inlineStr">
        <is>
          <t>(b)
Date acquired 
(Mo., day, yr.)</t>
        </is>
      </c>
      <c r="AL87" s="11391" t="inlineStr">
        <is>
          <t>(c)
Date sold or disposed
(Mo., day, yr.)</t>
        </is>
      </c>
      <c r="AM87" s="11391" t="inlineStr">
        <is>
          <t>(d)
Proceeds (sales price)
(see instructions)</t>
        </is>
      </c>
      <c r="AN87" s="11400" t="inlineStr">
        <is>
          <t>(e)
Cost or other basis.
See the Note below 
and see Column (e)
in the separate instructions</t>
        </is>
      </c>
      <c r="AO87" s="12805" t="inlineStr">
        <is>
          <t>Adjustment, if any, to gain or loss. 
If you enter an amount in column (g), 
enter a code in column (f). 
See the separate instructions.</t>
        </is>
      </c>
      <c r="AP87" s="10091" t="n"/>
      <c r="AQ87" s="11391" t="inlineStr">
        <is>
          <t>(h) 
Gain or (loss). 
Subtract column (e) 
from column (d) and 
combine the result 
with column (g)</t>
        </is>
      </c>
      <c r="BA87" s="11747" t="n"/>
      <c r="BB87" s="11747" t="n"/>
      <c r="BC87" s="11747" t="n"/>
    </row>
    <row r="88" ht="21" customHeight="1" s="7635">
      <c r="A88" s="2013" t="n"/>
      <c r="I88" s="7636" t="n"/>
      <c r="J88" s="4772" t="n"/>
      <c r="L88" s="7636" t="n"/>
      <c r="M88" s="4772" t="n"/>
      <c r="P88" s="7636" t="n"/>
      <c r="Q88" s="4772" t="n"/>
      <c r="T88" s="7636" t="n"/>
      <c r="U88" s="4772" t="n"/>
      <c r="X88" s="7636" t="n"/>
      <c r="Y88" s="3614" t="n"/>
      <c r="Z88" s="7637" t="n"/>
      <c r="AA88" s="7637" t="n"/>
      <c r="AB88" s="7638" t="n"/>
      <c r="AC88" s="4772" t="n"/>
      <c r="AG88" s="2013" t="n"/>
      <c r="AJ88" s="11747" t="n"/>
      <c r="AK88" s="11747" t="n"/>
      <c r="AL88" s="11747" t="n"/>
      <c r="AM88" s="11747" t="n"/>
      <c r="AN88" s="11747" t="n"/>
      <c r="AO88" s="3614" t="n"/>
      <c r="AP88" s="7638" t="n"/>
      <c r="AQ88" s="11747" t="n"/>
      <c r="BA88" s="11747" t="n"/>
      <c r="BB88" s="11747" t="n"/>
      <c r="BC88" s="11747" t="n"/>
    </row>
    <row r="89" ht="18" customHeight="1" s="7635">
      <c r="A89" s="2013" t="n"/>
      <c r="I89" s="7636" t="n"/>
      <c r="J89" s="4772" t="n"/>
      <c r="L89" s="7636" t="n"/>
      <c r="M89" s="4772" t="n"/>
      <c r="P89" s="7636" t="n"/>
      <c r="Q89" s="4772" t="n"/>
      <c r="T89" s="7636" t="n"/>
      <c r="U89" s="4772" t="n"/>
      <c r="X89" s="7636" t="n"/>
      <c r="Y89" s="12122" t="inlineStr">
        <is>
          <t>(f) 
Code(s) from 
instructions</t>
        </is>
      </c>
      <c r="Z89" s="10091" t="n"/>
      <c r="AA89" s="12122" t="inlineStr">
        <is>
          <t>(g) 
Amount of 
adjustment</t>
        </is>
      </c>
      <c r="AB89" s="10091" t="n"/>
      <c r="AC89" s="4772" t="n"/>
      <c r="AG89" s="2013" t="n"/>
      <c r="AJ89" s="11747" t="n"/>
      <c r="AK89" s="11747" t="n"/>
      <c r="AL89" s="11747" t="n"/>
      <c r="AM89" s="11747" t="n"/>
      <c r="AN89" s="11747" t="n"/>
      <c r="AO89" s="12122" t="inlineStr">
        <is>
          <t>(f) 
Code(s) from 
instructions</t>
        </is>
      </c>
      <c r="AP89" s="12122" t="inlineStr">
        <is>
          <t>(g) 
Amount of 
adjustment</t>
        </is>
      </c>
      <c r="AQ89" s="11747" t="n"/>
      <c r="BA89" s="11747" t="n"/>
      <c r="BB89" s="11747" t="n"/>
      <c r="BC89" s="11747" t="n"/>
    </row>
    <row r="90" ht="18" customHeight="1" s="7635">
      <c r="A90" s="2013" t="n"/>
      <c r="B90" s="7637" t="n"/>
      <c r="C90" s="7637" t="n"/>
      <c r="D90" s="7637" t="n"/>
      <c r="E90" s="7637" t="n"/>
      <c r="F90" s="7637" t="n"/>
      <c r="G90" s="7637" t="n"/>
      <c r="H90" s="7637" t="n"/>
      <c r="I90" s="7638" t="n"/>
      <c r="J90" s="3614" t="n"/>
      <c r="K90" s="7637" t="n"/>
      <c r="L90" s="7638" t="n"/>
      <c r="M90" s="3614" t="n"/>
      <c r="N90" s="7637" t="n"/>
      <c r="O90" s="7637" t="n"/>
      <c r="P90" s="7638" t="n"/>
      <c r="Q90" s="3614" t="n"/>
      <c r="R90" s="7637" t="n"/>
      <c r="S90" s="7637" t="n"/>
      <c r="T90" s="7638" t="n"/>
      <c r="U90" s="3614" t="n"/>
      <c r="V90" s="7637" t="n"/>
      <c r="W90" s="7637" t="n"/>
      <c r="X90" s="7638" t="n"/>
      <c r="Y90" s="3614" t="n"/>
      <c r="Z90" s="7638" t="n"/>
      <c r="AA90" s="3614" t="n"/>
      <c r="AB90" s="7638" t="n"/>
      <c r="AC90" s="3614" t="n"/>
      <c r="AD90" s="7637" t="n"/>
      <c r="AE90" s="7637" t="n"/>
      <c r="AF90" s="7637" t="n"/>
      <c r="AG90" s="2013" t="n"/>
      <c r="AJ90" s="11934" t="n"/>
      <c r="AK90" s="11934" t="n"/>
      <c r="AL90" s="11934" t="n"/>
      <c r="AM90" s="11934" t="n"/>
      <c r="AN90" s="11934" t="n"/>
      <c r="AO90" s="11934" t="n"/>
      <c r="AP90" s="11934" t="n"/>
      <c r="AQ90" s="11934" t="n"/>
      <c r="AZ90" s="8788" t="inlineStr">
        <is>
          <t>LTOY</t>
        </is>
      </c>
      <c r="BA90" s="11934" t="n"/>
      <c r="BB90" s="11934" t="n"/>
      <c r="BC90" s="11934" t="n"/>
    </row>
    <row r="91" ht="26.25" customHeight="1" s="7635">
      <c r="A91" s="2013">
        <f>IF(OR(Q91&lt;&gt;"",U91&lt;&gt;"",AC91&lt;&gt;""),1,0)</f>
        <v/>
      </c>
      <c r="B91" s="12806">
        <f>IF(AJ91="","",AJ91)</f>
        <v/>
      </c>
      <c r="C91" s="8007" t="n"/>
      <c r="D91" s="8007" t="n"/>
      <c r="E91" s="8007" t="n"/>
      <c r="F91" s="8007" t="n"/>
      <c r="G91" s="8007" t="n"/>
      <c r="H91" s="8007" t="n"/>
      <c r="I91" s="8008" t="n"/>
      <c r="J91" s="12807">
        <f>IF(AK91="","",AK91)</f>
        <v/>
      </c>
      <c r="K91" s="8007" t="n"/>
      <c r="L91" s="8007" t="n"/>
      <c r="M91" s="12808">
        <f>IF(AL91="","",AL91)</f>
        <v/>
      </c>
      <c r="N91" s="8007" t="n"/>
      <c r="O91" s="8007" t="n"/>
      <c r="P91" s="8008" t="n"/>
      <c r="Q91" s="12809">
        <f>IF(AM91="","",AM91)</f>
        <v/>
      </c>
      <c r="R91" s="8007" t="n"/>
      <c r="S91" s="8007" t="n"/>
      <c r="T91" s="8008" t="n"/>
      <c r="U91" s="12809">
        <f>IF(AN91="","",AN91)</f>
        <v/>
      </c>
      <c r="V91" s="8007" t="n"/>
      <c r="W91" s="8007" t="n"/>
      <c r="X91" s="8008" t="n"/>
      <c r="Y91" s="12810">
        <f>IF(AO91&lt;&gt;"",AO91,"")</f>
        <v/>
      </c>
      <c r="Z91" s="8008" t="n"/>
      <c r="AA91" s="12809">
        <f>IF(AP91="","",AP91)</f>
        <v/>
      </c>
      <c r="AB91" s="8008" t="n"/>
      <c r="AC91" s="11389">
        <f>IF(AQ91&lt;&gt;"",AQ91,IF(AND(Q91="",U91=""),"",IF(AND(Q91&lt;&gt;"",U91=""),SUM(Q91,AA91),SUM(Q91,-U91,AA91))))</f>
        <v/>
      </c>
      <c r="AD91" s="8412" t="n"/>
      <c r="AE91" s="8412" t="n"/>
      <c r="AF91" s="8412" t="n"/>
      <c r="AG91" s="4271">
        <f>IF(OR(J91="",M91=""),0,IF(OR(BA91,BB91,BC91),0,1))</f>
        <v/>
      </c>
      <c r="AH91" s="6014" t="n"/>
      <c r="AI91" s="6014">
        <f>M91-J91</f>
        <v/>
      </c>
      <c r="AJ91" s="293" t="n"/>
      <c r="AK91" s="12811" t="n"/>
      <c r="AL91" s="12811" t="n"/>
      <c r="AM91" s="295" t="n"/>
      <c r="AN91" s="295" t="n"/>
      <c r="AO91" s="296" t="n"/>
      <c r="AP91" s="295" t="n"/>
      <c r="AQ91" s="294" t="n"/>
      <c r="AS91">
        <f>YEAR(J91)</f>
        <v/>
      </c>
      <c r="AT91">
        <f>MONTH(J91)</f>
        <v/>
      </c>
      <c r="AU91">
        <f>DAY(J91)</f>
        <v/>
      </c>
      <c r="AW91">
        <f>YEAR(M91)</f>
        <v/>
      </c>
      <c r="AX91">
        <f>MONTH(M91)</f>
        <v/>
      </c>
      <c r="AY91">
        <f>DAY(M91)</f>
        <v/>
      </c>
      <c r="AZ91">
        <f>OR(BA91,BB91,BC91)</f>
        <v/>
      </c>
      <c r="BA91">
        <f>AW91=AS91</f>
        <v/>
      </c>
      <c r="BB91">
        <f>AND(AW91=AS91+1,AX91&lt;AT91)</f>
        <v/>
      </c>
      <c r="BC91">
        <f>AND(AW91=AS91+1,AX91=AT91,AY91&lt;=AU91)</f>
        <v/>
      </c>
    </row>
    <row r="92" ht="26.25" customHeight="1" s="7635">
      <c r="A92" s="2013">
        <f>IF(OR(Q92&lt;&gt;"",U92&lt;&gt;"",AC92&lt;&gt;""),1,0)</f>
        <v/>
      </c>
      <c r="B92" s="12806">
        <f>IF(AJ92="","",AJ92)</f>
        <v/>
      </c>
      <c r="C92" s="8007" t="n"/>
      <c r="D92" s="8007" t="n"/>
      <c r="E92" s="8007" t="n"/>
      <c r="F92" s="8007" t="n"/>
      <c r="G92" s="8007" t="n"/>
      <c r="H92" s="8007" t="n"/>
      <c r="I92" s="8008" t="n"/>
      <c r="J92" s="12807">
        <f>IF(AK92="","",AK92)</f>
        <v/>
      </c>
      <c r="K92" s="8007" t="n"/>
      <c r="L92" s="8007" t="n"/>
      <c r="M92" s="12808">
        <f>IF(AL92="","",AL92)</f>
        <v/>
      </c>
      <c r="N92" s="8007" t="n"/>
      <c r="O92" s="8007" t="n"/>
      <c r="P92" s="8008" t="n"/>
      <c r="Q92" s="12809">
        <f>IF(AM92="","",AM92)</f>
        <v/>
      </c>
      <c r="R92" s="8007" t="n"/>
      <c r="S92" s="8007" t="n"/>
      <c r="T92" s="8008" t="n"/>
      <c r="U92" s="12809">
        <f>IF(AN92="","",AN92)</f>
        <v/>
      </c>
      <c r="V92" s="8007" t="n"/>
      <c r="W92" s="8007" t="n"/>
      <c r="X92" s="8008" t="n"/>
      <c r="Y92" s="12810">
        <f>IF(AO92&lt;&gt;"",AO92,"")</f>
        <v/>
      </c>
      <c r="Z92" s="8008" t="n"/>
      <c r="AA92" s="12809">
        <f>IF(AP92="","",AP92)</f>
        <v/>
      </c>
      <c r="AB92" s="8008" t="n"/>
      <c r="AC92" s="11389">
        <f>IF(AQ92&lt;&gt;"",AQ92,IF(AND(Q92="",U92=""),"",IF(AND(Q92&lt;&gt;"",U92=""),SUM(Q92,AA92),SUM(Q92,-U92,AA92))))</f>
        <v/>
      </c>
      <c r="AD92" s="8412" t="n"/>
      <c r="AE92" s="8412" t="n"/>
      <c r="AF92" s="8412" t="n"/>
      <c r="AG92" s="4271">
        <f>IF(OR(J92="",M92=""),0,IF(OR(BA92,BB92,BC92),0,1))</f>
        <v/>
      </c>
      <c r="AH92" s="6014" t="n"/>
      <c r="AI92" s="6014">
        <f>M92-J92</f>
        <v/>
      </c>
      <c r="AJ92" s="293" t="n"/>
      <c r="AK92" s="12811" t="n"/>
      <c r="AL92" s="12811" t="n"/>
      <c r="AM92" s="295" t="n"/>
      <c r="AN92" s="295" t="n"/>
      <c r="AO92" s="296" t="n"/>
      <c r="AP92" s="295" t="n"/>
      <c r="AQ92" s="294" t="n"/>
      <c r="AS92">
        <f>YEAR(J92)</f>
        <v/>
      </c>
      <c r="AT92">
        <f>MONTH(J92)</f>
        <v/>
      </c>
      <c r="AU92">
        <f>DAY(J92)</f>
        <v/>
      </c>
      <c r="AW92">
        <f>YEAR(M92)</f>
        <v/>
      </c>
      <c r="AX92">
        <f>MONTH(M92)</f>
        <v/>
      </c>
      <c r="AY92">
        <f>DAY(M92)</f>
        <v/>
      </c>
      <c r="AZ92">
        <f>OR(BA92,BB92,BC92)</f>
        <v/>
      </c>
      <c r="BA92">
        <f>AW92=AS92</f>
        <v/>
      </c>
      <c r="BB92">
        <f>AND(AW92=AS92+1,AX92&lt;AT92)</f>
        <v/>
      </c>
      <c r="BC92">
        <f>AND(AW92=AS92+1,AX92=AT92,AY92&lt;=AU92)</f>
        <v/>
      </c>
    </row>
    <row r="93" ht="26.25" customHeight="1" s="7635">
      <c r="A93" s="2013">
        <f>IF(OR(Q93&lt;&gt;"",U93&lt;&gt;"",AC93&lt;&gt;""),1,0)</f>
        <v/>
      </c>
      <c r="B93" s="12806">
        <f>IF(AJ93="","",AJ93)</f>
        <v/>
      </c>
      <c r="C93" s="8007" t="n"/>
      <c r="D93" s="8007" t="n"/>
      <c r="E93" s="8007" t="n"/>
      <c r="F93" s="8007" t="n"/>
      <c r="G93" s="8007" t="n"/>
      <c r="H93" s="8007" t="n"/>
      <c r="I93" s="8008" t="n"/>
      <c r="J93" s="12807">
        <f>IF(AK93="","",AK93)</f>
        <v/>
      </c>
      <c r="K93" s="8007" t="n"/>
      <c r="L93" s="8007" t="n"/>
      <c r="M93" s="12808">
        <f>IF(AL93="","",AL93)</f>
        <v/>
      </c>
      <c r="N93" s="8007" t="n"/>
      <c r="O93" s="8007" t="n"/>
      <c r="P93" s="8008" t="n"/>
      <c r="Q93" s="12809">
        <f>IF(AM93="","",AM93)</f>
        <v/>
      </c>
      <c r="R93" s="8007" t="n"/>
      <c r="S93" s="8007" t="n"/>
      <c r="T93" s="8008" t="n"/>
      <c r="U93" s="12809">
        <f>IF(AN93="","",AN93)</f>
        <v/>
      </c>
      <c r="V93" s="8007" t="n"/>
      <c r="W93" s="8007" t="n"/>
      <c r="X93" s="8008" t="n"/>
      <c r="Y93" s="12810">
        <f>IF(AO93&lt;&gt;"",AO93,"")</f>
        <v/>
      </c>
      <c r="Z93" s="8008" t="n"/>
      <c r="AA93" s="12809">
        <f>IF(AP93="","",AP93)</f>
        <v/>
      </c>
      <c r="AB93" s="8008" t="n"/>
      <c r="AC93" s="11389">
        <f>IF(AQ93&lt;&gt;"",AQ93,IF(AND(Q93="",U93=""),"",IF(AND(Q93&lt;&gt;"",U93=""),SUM(Q93,AA93),SUM(Q93,-U93,AA93))))</f>
        <v/>
      </c>
      <c r="AD93" s="8412" t="n"/>
      <c r="AE93" s="8412" t="n"/>
      <c r="AF93" s="8412" t="n"/>
      <c r="AG93" s="4271">
        <f>IF(OR(J93="",M93=""),0,IF(OR(BA93,BB93,BC93),0,1))</f>
        <v/>
      </c>
      <c r="AH93" s="6014" t="n"/>
      <c r="AI93" s="6014">
        <f>M93-J93</f>
        <v/>
      </c>
      <c r="AJ93" s="293" t="n"/>
      <c r="AK93" s="12811" t="n"/>
      <c r="AL93" s="12811" t="n"/>
      <c r="AM93" s="295" t="n"/>
      <c r="AN93" s="295" t="n"/>
      <c r="AO93" s="296" t="n"/>
      <c r="AP93" s="295" t="n"/>
      <c r="AQ93" s="294" t="n"/>
      <c r="AS93">
        <f>YEAR(J93)</f>
        <v/>
      </c>
      <c r="AT93">
        <f>MONTH(J93)</f>
        <v/>
      </c>
      <c r="AU93">
        <f>DAY(J93)</f>
        <v/>
      </c>
      <c r="AW93">
        <f>YEAR(M93)</f>
        <v/>
      </c>
      <c r="AX93">
        <f>MONTH(M93)</f>
        <v/>
      </c>
      <c r="AY93">
        <f>DAY(M93)</f>
        <v/>
      </c>
      <c r="AZ93">
        <f>OR(BA93,BB93,BC93)</f>
        <v/>
      </c>
      <c r="BA93">
        <f>AW93=AS93</f>
        <v/>
      </c>
      <c r="BB93">
        <f>AND(AW93=AS93+1,AX93&lt;AT93)</f>
        <v/>
      </c>
      <c r="BC93">
        <f>AND(AW93=AS93+1,AX93=AT93,AY93&lt;=AU93)</f>
        <v/>
      </c>
    </row>
    <row r="94" ht="26.25" customHeight="1" s="7635">
      <c r="A94" s="2013">
        <f>IF(OR(Q94&lt;&gt;"",U94&lt;&gt;"",AC94&lt;&gt;""),1,0)</f>
        <v/>
      </c>
      <c r="B94" s="12806">
        <f>IF(AJ94="","",AJ94)</f>
        <v/>
      </c>
      <c r="C94" s="8007" t="n"/>
      <c r="D94" s="8007" t="n"/>
      <c r="E94" s="8007" t="n"/>
      <c r="F94" s="8007" t="n"/>
      <c r="G94" s="8007" t="n"/>
      <c r="H94" s="8007" t="n"/>
      <c r="I94" s="8008" t="n"/>
      <c r="J94" s="12807">
        <f>IF(AK94="","",AK94)</f>
        <v/>
      </c>
      <c r="K94" s="8007" t="n"/>
      <c r="L94" s="8007" t="n"/>
      <c r="M94" s="12808">
        <f>IF(AL94="","",AL94)</f>
        <v/>
      </c>
      <c r="N94" s="8007" t="n"/>
      <c r="O94" s="8007" t="n"/>
      <c r="P94" s="8008" t="n"/>
      <c r="Q94" s="12809">
        <f>IF(AM94="","",AM94)</f>
        <v/>
      </c>
      <c r="R94" s="8007" t="n"/>
      <c r="S94" s="8007" t="n"/>
      <c r="T94" s="8008" t="n"/>
      <c r="U94" s="12809">
        <f>IF(AN94="","",AN94)</f>
        <v/>
      </c>
      <c r="V94" s="8007" t="n"/>
      <c r="W94" s="8007" t="n"/>
      <c r="X94" s="8008" t="n"/>
      <c r="Y94" s="12810">
        <f>IF(AO94&lt;&gt;"",AO94,"")</f>
        <v/>
      </c>
      <c r="Z94" s="8008" t="n"/>
      <c r="AA94" s="12809">
        <f>IF(AP94="","",AP94)</f>
        <v/>
      </c>
      <c r="AB94" s="8008" t="n"/>
      <c r="AC94" s="11389">
        <f>IF(AQ94&lt;&gt;"",AQ94,IF(AND(Q94="",U94=""),"",IF(AND(Q94&lt;&gt;"",U94=""),SUM(Q94,AA94),SUM(Q94,-U94,AA94))))</f>
        <v/>
      </c>
      <c r="AD94" s="8412" t="n"/>
      <c r="AE94" s="8412" t="n"/>
      <c r="AF94" s="8412" t="n"/>
      <c r="AG94" s="4271">
        <f>IF(OR(J94="",M94=""),0,IF(OR(BA94,BB94,BC94),0,1))</f>
        <v/>
      </c>
      <c r="AH94" s="6014" t="n"/>
      <c r="AI94" s="6014">
        <f>M94-J94</f>
        <v/>
      </c>
      <c r="AJ94" s="293" t="n"/>
      <c r="AK94" s="12811" t="n"/>
      <c r="AL94" s="12811" t="n"/>
      <c r="AM94" s="295" t="n"/>
      <c r="AN94" s="295" t="n"/>
      <c r="AO94" s="296" t="n"/>
      <c r="AP94" s="295" t="n"/>
      <c r="AQ94" s="294" t="n"/>
      <c r="AS94">
        <f>YEAR(J94)</f>
        <v/>
      </c>
      <c r="AT94">
        <f>MONTH(J94)</f>
        <v/>
      </c>
      <c r="AU94">
        <f>DAY(J94)</f>
        <v/>
      </c>
      <c r="AW94">
        <f>YEAR(M94)</f>
        <v/>
      </c>
      <c r="AX94">
        <f>MONTH(M94)</f>
        <v/>
      </c>
      <c r="AY94">
        <f>DAY(M94)</f>
        <v/>
      </c>
      <c r="AZ94">
        <f>OR(BA94,BB94,BC94)</f>
        <v/>
      </c>
      <c r="BA94">
        <f>AW94=AS94</f>
        <v/>
      </c>
      <c r="BB94">
        <f>AND(AW94=AS94+1,AX94&lt;AT94)</f>
        <v/>
      </c>
      <c r="BC94">
        <f>AND(AW94=AS94+1,AX94=AT94,AY94&lt;=AU94)</f>
        <v/>
      </c>
    </row>
    <row r="95" ht="26.25" customHeight="1" s="7635">
      <c r="A95" s="2013">
        <f>IF(OR(Q95&lt;&gt;"",U95&lt;&gt;"",AC95&lt;&gt;""),1,0)</f>
        <v/>
      </c>
      <c r="B95" s="12806">
        <f>IF(AJ95="","",AJ95)</f>
        <v/>
      </c>
      <c r="C95" s="8007" t="n"/>
      <c r="D95" s="8007" t="n"/>
      <c r="E95" s="8007" t="n"/>
      <c r="F95" s="8007" t="n"/>
      <c r="G95" s="8007" t="n"/>
      <c r="H95" s="8007" t="n"/>
      <c r="I95" s="8008" t="n"/>
      <c r="J95" s="12807">
        <f>IF(AK95="","",AK95)</f>
        <v/>
      </c>
      <c r="K95" s="8007" t="n"/>
      <c r="L95" s="8007" t="n"/>
      <c r="M95" s="12808">
        <f>IF(AL95="","",AL95)</f>
        <v/>
      </c>
      <c r="N95" s="8007" t="n"/>
      <c r="O95" s="8007" t="n"/>
      <c r="P95" s="8008" t="n"/>
      <c r="Q95" s="12809">
        <f>IF(AM95="","",AM95)</f>
        <v/>
      </c>
      <c r="R95" s="8007" t="n"/>
      <c r="S95" s="8007" t="n"/>
      <c r="T95" s="8008" t="n"/>
      <c r="U95" s="12809">
        <f>IF(AN95="","",AN95)</f>
        <v/>
      </c>
      <c r="V95" s="8007" t="n"/>
      <c r="W95" s="8007" t="n"/>
      <c r="X95" s="8008" t="n"/>
      <c r="Y95" s="12810">
        <f>IF(AO95&lt;&gt;"",AO95,"")</f>
        <v/>
      </c>
      <c r="Z95" s="8008" t="n"/>
      <c r="AA95" s="12809">
        <f>IF(AP95="","",AP95)</f>
        <v/>
      </c>
      <c r="AB95" s="8008" t="n"/>
      <c r="AC95" s="11389">
        <f>IF(AQ95&lt;&gt;"",AQ95,IF(AND(Q95="",U95=""),"",IF(AND(Q95&lt;&gt;"",U95=""),SUM(Q95,AA95),SUM(Q95,-U95,AA95))))</f>
        <v/>
      </c>
      <c r="AD95" s="8412" t="n"/>
      <c r="AE95" s="8412" t="n"/>
      <c r="AF95" s="8412" t="n"/>
      <c r="AG95" s="4271">
        <f>IF(OR(J95="",M95=""),0,IF(OR(BA95,BB95,BC95),0,1))</f>
        <v/>
      </c>
      <c r="AH95" s="6014" t="n"/>
      <c r="AI95" s="6014">
        <f>M95-J95</f>
        <v/>
      </c>
      <c r="AJ95" s="293" t="n"/>
      <c r="AK95" s="12811" t="n"/>
      <c r="AL95" s="12811" t="n"/>
      <c r="AM95" s="295" t="n"/>
      <c r="AN95" s="295" t="n"/>
      <c r="AO95" s="296" t="n"/>
      <c r="AP95" s="295" t="n"/>
      <c r="AQ95" s="294" t="n"/>
      <c r="AS95">
        <f>YEAR(J95)</f>
        <v/>
      </c>
      <c r="AT95">
        <f>MONTH(J95)</f>
        <v/>
      </c>
      <c r="AU95">
        <f>DAY(J95)</f>
        <v/>
      </c>
      <c r="AW95">
        <f>YEAR(M95)</f>
        <v/>
      </c>
      <c r="AX95">
        <f>MONTH(M95)</f>
        <v/>
      </c>
      <c r="AY95">
        <f>DAY(M95)</f>
        <v/>
      </c>
      <c r="AZ95">
        <f>OR(BA95,BB95,BC95)</f>
        <v/>
      </c>
      <c r="BA95">
        <f>AW95=AS95</f>
        <v/>
      </c>
      <c r="BB95">
        <f>AND(AW95=AS95+1,AX95&lt;AT95)</f>
        <v/>
      </c>
      <c r="BC95">
        <f>AND(AW95=AS95+1,AX95=AT95,AY95&lt;=AU95)</f>
        <v/>
      </c>
    </row>
    <row r="96" ht="26.25" customHeight="1" s="7635">
      <c r="A96" s="2013">
        <f>IF(OR(Q96&lt;&gt;"",U96&lt;&gt;"",AC96&lt;&gt;""),1,0)</f>
        <v/>
      </c>
      <c r="B96" s="12806">
        <f>IF(AJ96="","",AJ96)</f>
        <v/>
      </c>
      <c r="C96" s="8007" t="n"/>
      <c r="D96" s="8007" t="n"/>
      <c r="E96" s="8007" t="n"/>
      <c r="F96" s="8007" t="n"/>
      <c r="G96" s="8007" t="n"/>
      <c r="H96" s="8007" t="n"/>
      <c r="I96" s="8008" t="n"/>
      <c r="J96" s="12807">
        <f>IF(AK96="","",AK96)</f>
        <v/>
      </c>
      <c r="K96" s="8007" t="n"/>
      <c r="L96" s="8007" t="n"/>
      <c r="M96" s="12808">
        <f>IF(AL96="","",AL96)</f>
        <v/>
      </c>
      <c r="N96" s="8007" t="n"/>
      <c r="O96" s="8007" t="n"/>
      <c r="P96" s="8008" t="n"/>
      <c r="Q96" s="12809">
        <f>IF(AM96="","",AM96)</f>
        <v/>
      </c>
      <c r="R96" s="8007" t="n"/>
      <c r="S96" s="8007" t="n"/>
      <c r="T96" s="8008" t="n"/>
      <c r="U96" s="12809">
        <f>IF(AN96="","",AN96)</f>
        <v/>
      </c>
      <c r="V96" s="8007" t="n"/>
      <c r="W96" s="8007" t="n"/>
      <c r="X96" s="8008" t="n"/>
      <c r="Y96" s="12810">
        <f>IF(AO96&lt;&gt;"",AO96,"")</f>
        <v/>
      </c>
      <c r="Z96" s="8008" t="n"/>
      <c r="AA96" s="12809">
        <f>IF(AP96="","",AP96)</f>
        <v/>
      </c>
      <c r="AB96" s="8008" t="n"/>
      <c r="AC96" s="11389">
        <f>IF(AQ96&lt;&gt;"",AQ96,IF(AND(Q96="",U96=""),"",IF(AND(Q96&lt;&gt;"",U96=""),SUM(Q96,AA96),SUM(Q96,-U96,AA96))))</f>
        <v/>
      </c>
      <c r="AD96" s="8412" t="n"/>
      <c r="AE96" s="8412" t="n"/>
      <c r="AF96" s="8412" t="n"/>
      <c r="AG96" s="4271">
        <f>IF(OR(J96="",M96=""),0,IF(OR(BA96,BB96,BC96),0,1))</f>
        <v/>
      </c>
      <c r="AH96" s="6014" t="n"/>
      <c r="AI96" s="6014">
        <f>M96-J96</f>
        <v/>
      </c>
      <c r="AJ96" s="293" t="n"/>
      <c r="AK96" s="12811" t="n"/>
      <c r="AL96" s="12811" t="n"/>
      <c r="AM96" s="295" t="n"/>
      <c r="AN96" s="295" t="n"/>
      <c r="AO96" s="296" t="n"/>
      <c r="AP96" s="295" t="n"/>
      <c r="AQ96" s="294" t="n"/>
      <c r="AS96">
        <f>YEAR(J96)</f>
        <v/>
      </c>
      <c r="AT96">
        <f>MONTH(J96)</f>
        <v/>
      </c>
      <c r="AU96">
        <f>DAY(J96)</f>
        <v/>
      </c>
      <c r="AW96">
        <f>YEAR(M96)</f>
        <v/>
      </c>
      <c r="AX96">
        <f>MONTH(M96)</f>
        <v/>
      </c>
      <c r="AY96">
        <f>DAY(M96)</f>
        <v/>
      </c>
      <c r="AZ96">
        <f>OR(BA96,BB96,BC96)</f>
        <v/>
      </c>
      <c r="BA96">
        <f>AW96=AS96</f>
        <v/>
      </c>
      <c r="BB96">
        <f>AND(AW96=AS96+1,AX96&lt;AT96)</f>
        <v/>
      </c>
      <c r="BC96">
        <f>AND(AW96=AS96+1,AX96=AT96,AY96&lt;=AU96)</f>
        <v/>
      </c>
    </row>
    <row r="97" ht="26.25" customHeight="1" s="7635">
      <c r="A97" s="2013">
        <f>IF(OR(Q97&lt;&gt;"",U97&lt;&gt;"",AC97&lt;&gt;""),1,0)</f>
        <v/>
      </c>
      <c r="B97" s="12806">
        <f>IF(AJ97="","",AJ97)</f>
        <v/>
      </c>
      <c r="C97" s="8007" t="n"/>
      <c r="D97" s="8007" t="n"/>
      <c r="E97" s="8007" t="n"/>
      <c r="F97" s="8007" t="n"/>
      <c r="G97" s="8007" t="n"/>
      <c r="H97" s="8007" t="n"/>
      <c r="I97" s="8008" t="n"/>
      <c r="J97" s="12807">
        <f>IF(AK97="","",AK97)</f>
        <v/>
      </c>
      <c r="K97" s="8007" t="n"/>
      <c r="L97" s="8007" t="n"/>
      <c r="M97" s="12808">
        <f>IF(AL97="","",AL97)</f>
        <v/>
      </c>
      <c r="N97" s="8007" t="n"/>
      <c r="O97" s="8007" t="n"/>
      <c r="P97" s="8008" t="n"/>
      <c r="Q97" s="12809">
        <f>IF(AM97="","",AM97)</f>
        <v/>
      </c>
      <c r="R97" s="8007" t="n"/>
      <c r="S97" s="8007" t="n"/>
      <c r="T97" s="8008" t="n"/>
      <c r="U97" s="12809">
        <f>IF(AN97="","",AN97)</f>
        <v/>
      </c>
      <c r="V97" s="8007" t="n"/>
      <c r="W97" s="8007" t="n"/>
      <c r="X97" s="8008" t="n"/>
      <c r="Y97" s="12810">
        <f>IF(AO97&lt;&gt;"",AO97,"")</f>
        <v/>
      </c>
      <c r="Z97" s="8008" t="n"/>
      <c r="AA97" s="12809">
        <f>IF(AP97="","",AP97)</f>
        <v/>
      </c>
      <c r="AB97" s="8008" t="n"/>
      <c r="AC97" s="11389">
        <f>IF(AQ97&lt;&gt;"",AQ97,IF(AND(Q97="",U97=""),"",IF(AND(Q97&lt;&gt;"",U97=""),SUM(Q97,AA97),SUM(Q97,-U97,AA97))))</f>
        <v/>
      </c>
      <c r="AD97" s="8412" t="n"/>
      <c r="AE97" s="8412" t="n"/>
      <c r="AF97" s="8412" t="n"/>
      <c r="AG97" s="4271">
        <f>IF(OR(J97="",M97=""),0,IF(OR(BA97,BB97,BC97),0,1))</f>
        <v/>
      </c>
      <c r="AH97" s="6014" t="n"/>
      <c r="AI97" s="6014">
        <f>M97-J97</f>
        <v/>
      </c>
      <c r="AJ97" s="293" t="n"/>
      <c r="AK97" s="12811" t="n"/>
      <c r="AL97" s="12811" t="n"/>
      <c r="AM97" s="295" t="n"/>
      <c r="AN97" s="295" t="n"/>
      <c r="AO97" s="296" t="n"/>
      <c r="AP97" s="295" t="n"/>
      <c r="AQ97" s="294" t="n"/>
      <c r="AS97">
        <f>YEAR(J97)</f>
        <v/>
      </c>
      <c r="AT97">
        <f>MONTH(J97)</f>
        <v/>
      </c>
      <c r="AU97">
        <f>DAY(J97)</f>
        <v/>
      </c>
      <c r="AW97">
        <f>YEAR(M97)</f>
        <v/>
      </c>
      <c r="AX97">
        <f>MONTH(M97)</f>
        <v/>
      </c>
      <c r="AY97">
        <f>DAY(M97)</f>
        <v/>
      </c>
      <c r="AZ97">
        <f>OR(BA97,BB97,BC97)</f>
        <v/>
      </c>
      <c r="BA97">
        <f>AW97=AS97</f>
        <v/>
      </c>
      <c r="BB97">
        <f>AND(AW97=AS97+1,AX97&lt;AT97)</f>
        <v/>
      </c>
      <c r="BC97">
        <f>AND(AW97=AS97+1,AX97=AT97,AY97&lt;=AU97)</f>
        <v/>
      </c>
    </row>
    <row r="98" ht="26.25" customHeight="1" s="7635">
      <c r="A98" s="2013">
        <f>IF(OR(Q98&lt;&gt;"",U98&lt;&gt;"",AC98&lt;&gt;""),1,0)</f>
        <v/>
      </c>
      <c r="B98" s="12806">
        <f>IF(AJ98="","",AJ98)</f>
        <v/>
      </c>
      <c r="C98" s="8007" t="n"/>
      <c r="D98" s="8007" t="n"/>
      <c r="E98" s="8007" t="n"/>
      <c r="F98" s="8007" t="n"/>
      <c r="G98" s="8007" t="n"/>
      <c r="H98" s="8007" t="n"/>
      <c r="I98" s="8008" t="n"/>
      <c r="J98" s="12807">
        <f>IF(AK98="","",AK98)</f>
        <v/>
      </c>
      <c r="K98" s="8007" t="n"/>
      <c r="L98" s="8007" t="n"/>
      <c r="M98" s="12808">
        <f>IF(AL98="","",AL98)</f>
        <v/>
      </c>
      <c r="N98" s="8007" t="n"/>
      <c r="O98" s="8007" t="n"/>
      <c r="P98" s="8008" t="n"/>
      <c r="Q98" s="12809">
        <f>IF(AM98="","",AM98)</f>
        <v/>
      </c>
      <c r="R98" s="8007" t="n"/>
      <c r="S98" s="8007" t="n"/>
      <c r="T98" s="8008" t="n"/>
      <c r="U98" s="12809">
        <f>IF(AN98="","",AN98)</f>
        <v/>
      </c>
      <c r="V98" s="8007" t="n"/>
      <c r="W98" s="8007" t="n"/>
      <c r="X98" s="8008" t="n"/>
      <c r="Y98" s="12810">
        <f>IF(AO98&lt;&gt;"",AO98,"")</f>
        <v/>
      </c>
      <c r="Z98" s="8008" t="n"/>
      <c r="AA98" s="12809">
        <f>IF(AP98="","",AP98)</f>
        <v/>
      </c>
      <c r="AB98" s="8008" t="n"/>
      <c r="AC98" s="11389">
        <f>IF(AQ98&lt;&gt;"",AQ98,IF(AND(Q98="",U98=""),"",IF(AND(Q98&lt;&gt;"",U98=""),SUM(Q98,AA98),SUM(Q98,-U98,AA98))))</f>
        <v/>
      </c>
      <c r="AD98" s="8412" t="n"/>
      <c r="AE98" s="8412" t="n"/>
      <c r="AF98" s="8412" t="n"/>
      <c r="AG98" s="4271">
        <f>IF(OR(J98="",M98=""),0,IF(OR(BA98,BB98,BC98),0,1))</f>
        <v/>
      </c>
      <c r="AH98" s="6014" t="n"/>
      <c r="AI98" s="6014">
        <f>M98-J98</f>
        <v/>
      </c>
      <c r="AJ98" s="293" t="n"/>
      <c r="AK98" s="12811" t="n"/>
      <c r="AL98" s="12811" t="n"/>
      <c r="AM98" s="295" t="n"/>
      <c r="AN98" s="295" t="n"/>
      <c r="AO98" s="296" t="n"/>
      <c r="AP98" s="295" t="n"/>
      <c r="AQ98" s="294" t="n"/>
      <c r="AS98">
        <f>YEAR(J98)</f>
        <v/>
      </c>
      <c r="AT98">
        <f>MONTH(J98)</f>
        <v/>
      </c>
      <c r="AU98">
        <f>DAY(J98)</f>
        <v/>
      </c>
      <c r="AW98">
        <f>YEAR(M98)</f>
        <v/>
      </c>
      <c r="AX98">
        <f>MONTH(M98)</f>
        <v/>
      </c>
      <c r="AY98">
        <f>DAY(M98)</f>
        <v/>
      </c>
      <c r="AZ98">
        <f>OR(BA98,BB98,BC98)</f>
        <v/>
      </c>
      <c r="BA98">
        <f>AW98=AS98</f>
        <v/>
      </c>
      <c r="BB98">
        <f>AND(AW98=AS98+1,AX98&lt;AT98)</f>
        <v/>
      </c>
      <c r="BC98">
        <f>AND(AW98=AS98+1,AX98=AT98,AY98&lt;=AU98)</f>
        <v/>
      </c>
    </row>
    <row r="99" ht="26.25" customHeight="1" s="7635">
      <c r="A99" s="2013">
        <f>IF(OR(Q99&lt;&gt;"",U99&lt;&gt;"",AC99&lt;&gt;""),1,0)</f>
        <v/>
      </c>
      <c r="B99" s="12806">
        <f>IF(AJ99="","",AJ99)</f>
        <v/>
      </c>
      <c r="C99" s="8007" t="n"/>
      <c r="D99" s="8007" t="n"/>
      <c r="E99" s="8007" t="n"/>
      <c r="F99" s="8007" t="n"/>
      <c r="G99" s="8007" t="n"/>
      <c r="H99" s="8007" t="n"/>
      <c r="I99" s="8008" t="n"/>
      <c r="J99" s="12807">
        <f>IF(AK99="","",AK99)</f>
        <v/>
      </c>
      <c r="K99" s="8007" t="n"/>
      <c r="L99" s="8007" t="n"/>
      <c r="M99" s="12808">
        <f>IF(AL99="","",AL99)</f>
        <v/>
      </c>
      <c r="N99" s="8007" t="n"/>
      <c r="O99" s="8007" t="n"/>
      <c r="P99" s="8008" t="n"/>
      <c r="Q99" s="12809">
        <f>IF(AM99="","",AM99)</f>
        <v/>
      </c>
      <c r="R99" s="8007" t="n"/>
      <c r="S99" s="8007" t="n"/>
      <c r="T99" s="8008" t="n"/>
      <c r="U99" s="12809">
        <f>IF(AN99="","",AN99)</f>
        <v/>
      </c>
      <c r="V99" s="8007" t="n"/>
      <c r="W99" s="8007" t="n"/>
      <c r="X99" s="8008" t="n"/>
      <c r="Y99" s="12810">
        <f>IF(AO99&lt;&gt;"",AO99,"")</f>
        <v/>
      </c>
      <c r="Z99" s="8008" t="n"/>
      <c r="AA99" s="12809">
        <f>IF(AP99="","",AP99)</f>
        <v/>
      </c>
      <c r="AB99" s="8008" t="n"/>
      <c r="AC99" s="11389">
        <f>IF(AQ99&lt;&gt;"",AQ99,IF(AND(Q99="",U99=""),"",IF(AND(Q99&lt;&gt;"",U99=""),SUM(Q99,AA99),SUM(Q99,-U99,AA99))))</f>
        <v/>
      </c>
      <c r="AD99" s="8412" t="n"/>
      <c r="AE99" s="8412" t="n"/>
      <c r="AF99" s="8412" t="n"/>
      <c r="AG99" s="4271">
        <f>IF(OR(J99="",M99=""),0,IF(OR(BA99,BB99,BC99),0,1))</f>
        <v/>
      </c>
      <c r="AH99" s="6014" t="n"/>
      <c r="AI99" s="6014">
        <f>M99-J99</f>
        <v/>
      </c>
      <c r="AJ99" s="293" t="n"/>
      <c r="AK99" s="12811" t="n"/>
      <c r="AL99" s="12811" t="n"/>
      <c r="AM99" s="295" t="n"/>
      <c r="AN99" s="295" t="n"/>
      <c r="AO99" s="296" t="n"/>
      <c r="AP99" s="295" t="n"/>
      <c r="AQ99" s="294" t="n"/>
      <c r="AS99">
        <f>YEAR(J99)</f>
        <v/>
      </c>
      <c r="AT99">
        <f>MONTH(J99)</f>
        <v/>
      </c>
      <c r="AU99">
        <f>DAY(J99)</f>
        <v/>
      </c>
      <c r="AW99">
        <f>YEAR(M99)</f>
        <v/>
      </c>
      <c r="AX99">
        <f>MONTH(M99)</f>
        <v/>
      </c>
      <c r="AY99">
        <f>DAY(M99)</f>
        <v/>
      </c>
      <c r="AZ99">
        <f>OR(BA99,BB99,BC99)</f>
        <v/>
      </c>
      <c r="BA99">
        <f>AW99=AS99</f>
        <v/>
      </c>
      <c r="BB99">
        <f>AND(AW99=AS99+1,AX99&lt;AT99)</f>
        <v/>
      </c>
      <c r="BC99">
        <f>AND(AW99=AS99+1,AX99=AT99,AY99&lt;=AU99)</f>
        <v/>
      </c>
    </row>
    <row r="100" ht="26.25" customHeight="1" s="7635">
      <c r="A100" s="2013">
        <f>IF(OR(Q100&lt;&gt;"",U100&lt;&gt;"",AC100&lt;&gt;""),1,0)</f>
        <v/>
      </c>
      <c r="B100" s="12806">
        <f>IF(AJ100="","",AJ100)</f>
        <v/>
      </c>
      <c r="C100" s="8007" t="n"/>
      <c r="D100" s="8007" t="n"/>
      <c r="E100" s="8007" t="n"/>
      <c r="F100" s="8007" t="n"/>
      <c r="G100" s="8007" t="n"/>
      <c r="H100" s="8007" t="n"/>
      <c r="I100" s="8008" t="n"/>
      <c r="J100" s="12807">
        <f>IF(AK100="","",AK100)</f>
        <v/>
      </c>
      <c r="K100" s="8007" t="n"/>
      <c r="L100" s="8007" t="n"/>
      <c r="M100" s="12808">
        <f>IF(AL100="","",AL100)</f>
        <v/>
      </c>
      <c r="N100" s="8007" t="n"/>
      <c r="O100" s="8007" t="n"/>
      <c r="P100" s="8008" t="n"/>
      <c r="Q100" s="12809">
        <f>IF(AM100="","",AM100)</f>
        <v/>
      </c>
      <c r="R100" s="8007" t="n"/>
      <c r="S100" s="8007" t="n"/>
      <c r="T100" s="8008" t="n"/>
      <c r="U100" s="12809">
        <f>IF(AN100="","",AN100)</f>
        <v/>
      </c>
      <c r="V100" s="8007" t="n"/>
      <c r="W100" s="8007" t="n"/>
      <c r="X100" s="8008" t="n"/>
      <c r="Y100" s="12810">
        <f>IF(AO100&lt;&gt;"",AO100,"")</f>
        <v/>
      </c>
      <c r="Z100" s="8008" t="n"/>
      <c r="AA100" s="12809">
        <f>IF(AP100="","",AP100)</f>
        <v/>
      </c>
      <c r="AB100" s="8008" t="n"/>
      <c r="AC100" s="11389">
        <f>IF(AQ100&lt;&gt;"",AQ100,IF(AND(Q100="",U100=""),"",IF(AND(Q100&lt;&gt;"",U100=""),SUM(Q100,AA100),SUM(Q100,-U100,AA100))))</f>
        <v/>
      </c>
      <c r="AD100" s="8412" t="n"/>
      <c r="AE100" s="8412" t="n"/>
      <c r="AF100" s="8412" t="n"/>
      <c r="AG100" s="4271">
        <f>IF(OR(J100="",M100=""),0,IF(OR(BA100,BB100,BC100),0,1))</f>
        <v/>
      </c>
      <c r="AH100" s="6014" t="n"/>
      <c r="AI100" s="6014">
        <f>M100-J100</f>
        <v/>
      </c>
      <c r="AJ100" s="293" t="n"/>
      <c r="AK100" s="12811" t="n"/>
      <c r="AL100" s="12811" t="n"/>
      <c r="AM100" s="295" t="n"/>
      <c r="AN100" s="295" t="n"/>
      <c r="AO100" s="296" t="n"/>
      <c r="AP100" s="295" t="n"/>
      <c r="AQ100" s="294" t="n"/>
      <c r="AS100">
        <f>YEAR(J100)</f>
        <v/>
      </c>
      <c r="AT100">
        <f>MONTH(J100)</f>
        <v/>
      </c>
      <c r="AU100">
        <f>DAY(J100)</f>
        <v/>
      </c>
      <c r="AW100">
        <f>YEAR(M100)</f>
        <v/>
      </c>
      <c r="AX100">
        <f>MONTH(M100)</f>
        <v/>
      </c>
      <c r="AY100">
        <f>DAY(M100)</f>
        <v/>
      </c>
      <c r="AZ100">
        <f>OR(BA100,BB100,BC100)</f>
        <v/>
      </c>
      <c r="BA100">
        <f>AW100=AS100</f>
        <v/>
      </c>
      <c r="BB100">
        <f>AND(AW100=AS100+1,AX100&lt;AT100)</f>
        <v/>
      </c>
      <c r="BC100">
        <f>AND(AW100=AS100+1,AX100=AT100,AY100&lt;=AU100)</f>
        <v/>
      </c>
    </row>
    <row r="101" ht="26.25" customHeight="1" s="7635">
      <c r="A101" s="2013">
        <f>IF(OR(Q101&lt;&gt;"",U101&lt;&gt;"",AC101&lt;&gt;""),1,0)</f>
        <v/>
      </c>
      <c r="B101" s="12806">
        <f>IF(AJ101="","",AJ101)</f>
        <v/>
      </c>
      <c r="C101" s="8007" t="n"/>
      <c r="D101" s="8007" t="n"/>
      <c r="E101" s="8007" t="n"/>
      <c r="F101" s="8007" t="n"/>
      <c r="G101" s="8007" t="n"/>
      <c r="H101" s="8007" t="n"/>
      <c r="I101" s="8008" t="n"/>
      <c r="J101" s="12807">
        <f>IF(AK101="","",AK101)</f>
        <v/>
      </c>
      <c r="K101" s="8007" t="n"/>
      <c r="L101" s="8007" t="n"/>
      <c r="M101" s="12808">
        <f>IF(AL101="","",AL101)</f>
        <v/>
      </c>
      <c r="N101" s="8007" t="n"/>
      <c r="O101" s="8007" t="n"/>
      <c r="P101" s="8008" t="n"/>
      <c r="Q101" s="12809">
        <f>IF(AM101="","",AM101)</f>
        <v/>
      </c>
      <c r="R101" s="8007" t="n"/>
      <c r="S101" s="8007" t="n"/>
      <c r="T101" s="8008" t="n"/>
      <c r="U101" s="12809">
        <f>IF(AN101="","",AN101)</f>
        <v/>
      </c>
      <c r="V101" s="8007" t="n"/>
      <c r="W101" s="8007" t="n"/>
      <c r="X101" s="8008" t="n"/>
      <c r="Y101" s="12810">
        <f>IF(AO101&lt;&gt;"",AO101,"")</f>
        <v/>
      </c>
      <c r="Z101" s="8008" t="n"/>
      <c r="AA101" s="12809">
        <f>IF(AP101="","",AP101)</f>
        <v/>
      </c>
      <c r="AB101" s="8008" t="n"/>
      <c r="AC101" s="11389">
        <f>IF(AQ101&lt;&gt;"",AQ101,IF(AND(Q101="",U101=""),"",IF(AND(Q101&lt;&gt;"",U101=""),SUM(Q101,AA101),SUM(Q101,-U101,AA101))))</f>
        <v/>
      </c>
      <c r="AD101" s="8412" t="n"/>
      <c r="AE101" s="8412" t="n"/>
      <c r="AF101" s="8412" t="n"/>
      <c r="AG101" s="4271">
        <f>IF(OR(J101="",M101=""),0,IF(OR(BA101,BB101,BC101),0,1))</f>
        <v/>
      </c>
      <c r="AH101" s="6014" t="n"/>
      <c r="AI101" s="6014">
        <f>M101-J101</f>
        <v/>
      </c>
      <c r="AJ101" s="293" t="n"/>
      <c r="AK101" s="12811" t="n"/>
      <c r="AL101" s="12811" t="n"/>
      <c r="AM101" s="295" t="n"/>
      <c r="AN101" s="295" t="n"/>
      <c r="AO101" s="296" t="n"/>
      <c r="AP101" s="295" t="n"/>
      <c r="AQ101" s="294" t="n"/>
      <c r="AS101">
        <f>YEAR(J101)</f>
        <v/>
      </c>
      <c r="AT101">
        <f>MONTH(J101)</f>
        <v/>
      </c>
      <c r="AU101">
        <f>DAY(J101)</f>
        <v/>
      </c>
      <c r="AW101">
        <f>YEAR(M101)</f>
        <v/>
      </c>
      <c r="AX101">
        <f>MONTH(M101)</f>
        <v/>
      </c>
      <c r="AY101">
        <f>DAY(M101)</f>
        <v/>
      </c>
      <c r="AZ101">
        <f>OR(BA101,BB101,BC101)</f>
        <v/>
      </c>
      <c r="BA101">
        <f>AW101=AS101</f>
        <v/>
      </c>
      <c r="BB101">
        <f>AND(AW101=AS101+1,AX101&lt;AT101)</f>
        <v/>
      </c>
      <c r="BC101">
        <f>AND(AW101=AS101+1,AX101=AT101,AY101&lt;=AU101)</f>
        <v/>
      </c>
    </row>
    <row r="102" ht="12" customHeight="1" s="7635">
      <c r="A102" s="2013">
        <f>SUM(A91:A101)</f>
        <v/>
      </c>
      <c r="B102" s="11457" t="n">
        <v>2</v>
      </c>
      <c r="C102" s="11484" t="inlineStr">
        <is>
          <t>Totals. Add the amounts in columns (d), (e), (g), and (h)
(subtract negative amounts). Enter each total here and
include on your Schedule D, line 8b (if Box D or Box J
above is checked), line 9 (if Box E or Box K above is
checked), or line 10 (if Box F or Box L above is checked)</t>
        </is>
      </c>
      <c r="D102" s="7839" t="n"/>
      <c r="E102" s="7839" t="n"/>
      <c r="F102" s="7839" t="n"/>
      <c r="G102" s="7839" t="n"/>
      <c r="H102" s="7839" t="n"/>
      <c r="I102" s="7839" t="n"/>
      <c r="J102" s="7839" t="n"/>
      <c r="K102" s="7839" t="n"/>
      <c r="L102" s="7839" t="n"/>
      <c r="M102" s="7839" t="n"/>
      <c r="N102" s="7839" t="n"/>
      <c r="O102" s="7839" t="n"/>
      <c r="P102" s="7839" t="n"/>
      <c r="Q102" s="12814">
        <f>IF(A102=0,"",ROUND(SUM(Q91:Q101),0))</f>
        <v/>
      </c>
      <c r="R102" s="7839" t="n"/>
      <c r="S102" s="7839" t="n"/>
      <c r="T102" s="10091" t="n"/>
      <c r="U102" s="12815">
        <f>IF(A102=0,"",ROUND(SUM(U91:U101),0))</f>
        <v/>
      </c>
      <c r="V102" s="7839" t="n"/>
      <c r="W102" s="7839" t="n"/>
      <c r="X102" s="10091" t="n"/>
      <c r="Y102" s="12813" t="n"/>
      <c r="Z102" s="10091" t="n"/>
      <c r="AA102" s="12812">
        <f>IF(A102=0,"",ROUND(SUM(AA91:AA101),0))</f>
        <v/>
      </c>
      <c r="AB102" s="10091" t="n"/>
      <c r="AC102" s="11459">
        <f>IF(A102=0,"",ROUND(SUM(AC91:AC101),0))</f>
        <v/>
      </c>
      <c r="AD102" s="7839" t="n"/>
      <c r="AE102" s="7839" t="n"/>
      <c r="AF102" s="7839" t="n"/>
      <c r="AG102" s="2013" t="n"/>
    </row>
    <row r="103" ht="12" customHeight="1" s="7635">
      <c r="A103" s="2013" t="n"/>
      <c r="Q103" s="4772" t="n"/>
      <c r="T103" s="7636" t="n"/>
      <c r="U103" s="4772" t="n"/>
      <c r="X103" s="7636" t="n"/>
      <c r="Y103" s="4772" t="n"/>
      <c r="Z103" s="7636" t="n"/>
      <c r="AA103" s="4772" t="n"/>
      <c r="AB103" s="7636" t="n"/>
      <c r="AC103" s="4772" t="n"/>
      <c r="AG103" s="2013" t="n"/>
    </row>
    <row r="104" ht="12" customHeight="1" s="7635">
      <c r="A104" s="2013" t="n"/>
      <c r="Q104" s="4772" t="n"/>
      <c r="T104" s="7636" t="n"/>
      <c r="U104" s="4772" t="n"/>
      <c r="X104" s="7636" t="n"/>
      <c r="Y104" s="4772" t="n"/>
      <c r="Z104" s="7636" t="n"/>
      <c r="AA104" s="4772" t="n"/>
      <c r="AB104" s="7636" t="n"/>
      <c r="AC104" s="4772" t="n"/>
      <c r="AG104" s="2013" t="n"/>
    </row>
    <row r="105" ht="12" customHeight="1" s="7635">
      <c r="A105" s="2013" t="n"/>
      <c r="Q105" s="4772" t="n"/>
      <c r="T105" s="7636" t="n"/>
      <c r="U105" s="4772" t="n"/>
      <c r="X105" s="7636" t="n"/>
      <c r="Y105" s="4772" t="n"/>
      <c r="Z105" s="7636" t="n"/>
      <c r="AA105" s="4772" t="n"/>
      <c r="AB105" s="7636" t="n"/>
      <c r="AC105" s="4772" t="n"/>
      <c r="AG105" s="2013" t="n"/>
    </row>
    <row r="106" ht="12" customHeight="1" s="7635" thickBot="1">
      <c r="A106" s="2013" t="n"/>
      <c r="Q106" s="4772" t="n"/>
      <c r="T106" s="7636" t="n"/>
      <c r="U106" s="11950" t="n"/>
      <c r="V106" s="8848" t="n"/>
      <c r="W106" s="8848" t="n"/>
      <c r="X106" s="12121" t="n"/>
      <c r="Y106" s="3614" t="n"/>
      <c r="Z106" s="7638" t="n"/>
      <c r="AA106" s="3614" t="n"/>
      <c r="AB106" s="7638" t="n"/>
      <c r="AC106" s="4772" t="n"/>
      <c r="AG106" s="2013" t="n"/>
    </row>
    <row r="107" ht="25.5" customHeight="1" s="7635" thickBot="1">
      <c r="A107" s="2013" t="n"/>
      <c r="B107" s="11479" t="inlineStr">
        <is>
          <t>Note. If you checked Box D or Box J above but the basis reported to the IRS was incorrect, enter in column (e) the basis as reported to the IRS, and
enter an adjustment in column (g) to correct the basis. See Column (g) in the separate instructions for how to figure the amount of the adjustment.</t>
        </is>
      </c>
      <c r="C107" s="11822" t="n"/>
      <c r="D107" s="11822" t="n"/>
      <c r="E107" s="11822" t="n"/>
      <c r="F107" s="11822" t="n"/>
      <c r="G107" s="11822" t="n"/>
      <c r="H107" s="11822" t="n"/>
      <c r="I107" s="11822" t="n"/>
      <c r="J107" s="11822" t="n"/>
      <c r="K107" s="11822" t="n"/>
      <c r="L107" s="11822" t="n"/>
      <c r="M107" s="11822" t="n"/>
      <c r="N107" s="11822" t="n"/>
      <c r="O107" s="11822" t="n"/>
      <c r="P107" s="11822" t="n"/>
      <c r="Q107" s="11822" t="n"/>
      <c r="R107" s="11822" t="n"/>
      <c r="S107" s="11822" t="n"/>
      <c r="T107" s="11822" t="n"/>
      <c r="U107" s="11822" t="n"/>
      <c r="V107" s="11822" t="n"/>
      <c r="W107" s="11822" t="n"/>
      <c r="X107" s="11822" t="n"/>
      <c r="Y107" s="11822" t="n"/>
      <c r="Z107" s="11822" t="n"/>
      <c r="AA107" s="11822" t="n"/>
      <c r="AB107" s="11822" t="n"/>
      <c r="AC107" s="11822" t="n"/>
      <c r="AD107" s="11822" t="n"/>
      <c r="AE107" s="11822" t="n"/>
      <c r="AF107" s="11822" t="n"/>
      <c r="AG107" s="2013" t="n"/>
    </row>
    <row r="108" ht="14.25" customFormat="1" customHeight="1" s="9864" thickTop="1">
      <c r="A108" s="2306" t="n"/>
      <c r="B108" s="6015" t="n"/>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3931" t="n"/>
      <c r="V108" s="88" t="n"/>
      <c r="W108" s="88" t="n"/>
      <c r="X108" s="88" t="n"/>
      <c r="Y108" s="88" t="n"/>
      <c r="Z108" s="88" t="n"/>
      <c r="AA108" s="88" t="n"/>
      <c r="AB108" s="88" t="n"/>
      <c r="AC108" s="88" t="n"/>
      <c r="AD108" s="2052" t="inlineStr">
        <is>
          <t>Form 8949</t>
        </is>
      </c>
      <c r="AE108" s="88" t="n"/>
      <c r="AF108" s="6016">
        <f>"("&amp;TaxYear&amp;")"</f>
        <v/>
      </c>
      <c r="AG108" s="2306" t="n"/>
      <c r="AH108" s="7623" t="n"/>
      <c r="AI108" s="7623" t="n"/>
    </row>
    <row r="109">
      <c r="A109" s="2013" t="n"/>
      <c r="B109" s="2013" t="n"/>
      <c r="C109" s="2013" t="n"/>
      <c r="D109" s="2013" t="n"/>
      <c r="E109" s="2013" t="n"/>
      <c r="F109" s="2013" t="n"/>
      <c r="G109" s="2013" t="n"/>
      <c r="H109" s="2013" t="n"/>
      <c r="I109" s="2013" t="n"/>
      <c r="J109" s="2013" t="n"/>
      <c r="K109" s="2013" t="n"/>
      <c r="L109" s="2013" t="n"/>
      <c r="M109" s="2013" t="n"/>
      <c r="N109" s="2013" t="n"/>
      <c r="O109" s="2013" t="n"/>
      <c r="P109" s="2013" t="n"/>
      <c r="Q109" s="2013" t="n"/>
      <c r="R109" s="2013" t="n"/>
      <c r="S109" s="2013" t="n"/>
      <c r="T109" s="2013" t="n"/>
      <c r="U109" s="2013" t="n"/>
      <c r="V109" s="2013" t="n"/>
      <c r="W109" s="2013" t="n"/>
      <c r="X109" s="2013" t="n"/>
      <c r="Y109" s="2013" t="n"/>
      <c r="Z109" s="2013" t="n"/>
      <c r="AA109" s="2013" t="n"/>
      <c r="AB109" s="2013" t="n"/>
      <c r="AC109" s="2013" t="n"/>
      <c r="AD109" s="2013" t="n"/>
      <c r="AE109" s="2013" t="n"/>
      <c r="AF109" s="2013" t="n"/>
      <c r="AG109" s="2013" t="n"/>
    </row>
  </sheetData>
  <sheetProtection selectLockedCells="0" selectUnlockedCells="0" algorithmName="SHA-512" sheet="1" objects="0" insertRows="1" insertHyperlinks="1" autoFilter="1" scenarios="0" formatColumns="0" deleteColumns="1" insertColumns="1" pivotTables="1" deleteRows="1" formatCells="0" saltValue="iwszIJKeacbZ6a8jClWJnA==" formatRows="0" sort="1" spinCount="100000" hashValue="eFCT6Q1zlbccWfSvLSMChZhO2F6gq32/+CyYkULPwHBLYgkl02jqqJpOdVeesnB87ZFaApUzsANQC3GD/LI+xQ=="/>
  <mergeCells count="266">
    <mergeCell ref="J99:L99"/>
    <mergeCell ref="Y47:Z47"/>
    <mergeCell ref="BA72:BC72"/>
    <mergeCell ref="AA96:AB96"/>
    <mergeCell ref="U52:X56"/>
    <mergeCell ref="AK87:AK90"/>
    <mergeCell ref="AC99:AF99"/>
    <mergeCell ref="Q95:T95"/>
    <mergeCell ref="AA44:AB44"/>
    <mergeCell ref="J101:L101"/>
    <mergeCell ref="AC102:AF106"/>
    <mergeCell ref="AC51:AF51"/>
    <mergeCell ref="Q101:T101"/>
    <mergeCell ref="C102:P106"/>
    <mergeCell ref="B96:I96"/>
    <mergeCell ref="U102:X106"/>
    <mergeCell ref="M46:P46"/>
    <mergeCell ref="B48:I48"/>
    <mergeCell ref="M96:P96"/>
    <mergeCell ref="AC48:AF48"/>
    <mergeCell ref="AC52:AF56"/>
    <mergeCell ref="AA89:AB90"/>
    <mergeCell ref="M43:P43"/>
    <mergeCell ref="AC45:AF45"/>
    <mergeCell ref="B98:I98"/>
    <mergeCell ref="AQ37:AQ40"/>
    <mergeCell ref="J50:L50"/>
    <mergeCell ref="AC96:AF96"/>
    <mergeCell ref="Y50:Z50"/>
    <mergeCell ref="M98:P98"/>
    <mergeCell ref="AO89:AO90"/>
    <mergeCell ref="J46:L46"/>
    <mergeCell ref="AC47:AF47"/>
    <mergeCell ref="U96:X96"/>
    <mergeCell ref="B87:B90"/>
    <mergeCell ref="M42:P42"/>
    <mergeCell ref="J92:L92"/>
    <mergeCell ref="AC101:AF101"/>
    <mergeCell ref="Y49:Z49"/>
    <mergeCell ref="B37:B40"/>
    <mergeCell ref="J48:L48"/>
    <mergeCell ref="Q51:T51"/>
    <mergeCell ref="J97:L97"/>
    <mergeCell ref="M37:P40"/>
    <mergeCell ref="Y37:AB38"/>
    <mergeCell ref="B102:B106"/>
    <mergeCell ref="B62:AF64"/>
    <mergeCell ref="AJ33:AQ33"/>
    <mergeCell ref="Y45:Z45"/>
    <mergeCell ref="AC91:AF91"/>
    <mergeCell ref="M99:P99"/>
    <mergeCell ref="B12:AF14"/>
    <mergeCell ref="AA50:AB50"/>
    <mergeCell ref="Q93:T93"/>
    <mergeCell ref="Q50:T50"/>
    <mergeCell ref="AQ87:AQ90"/>
    <mergeCell ref="U91:X91"/>
    <mergeCell ref="AJ35:AQ35"/>
    <mergeCell ref="Y100:Z100"/>
    <mergeCell ref="U100:X100"/>
    <mergeCell ref="AA42:AB42"/>
    <mergeCell ref="AA94:AB94"/>
    <mergeCell ref="AA47:AB47"/>
    <mergeCell ref="Q87:T90"/>
    <mergeCell ref="AJ25:AQ25"/>
    <mergeCell ref="B45:I45"/>
    <mergeCell ref="Q99:T99"/>
    <mergeCell ref="AC50:AF50"/>
    <mergeCell ref="AN37:AN40"/>
    <mergeCell ref="AA92:AB92"/>
    <mergeCell ref="U93:X93"/>
    <mergeCell ref="M45:P45"/>
    <mergeCell ref="U42:X42"/>
    <mergeCell ref="Q49:T49"/>
    <mergeCell ref="Y42:Z42"/>
    <mergeCell ref="B100:I100"/>
    <mergeCell ref="B16:C16"/>
    <mergeCell ref="B47:I47"/>
    <mergeCell ref="AN87:AN90"/>
    <mergeCell ref="U92:X92"/>
    <mergeCell ref="B66:C66"/>
    <mergeCell ref="M47:P47"/>
    <mergeCell ref="AB5:AF7"/>
    <mergeCell ref="B46:I46"/>
    <mergeCell ref="U94:X94"/>
    <mergeCell ref="J41:L41"/>
    <mergeCell ref="Y98:Z98"/>
    <mergeCell ref="Y102:Z106"/>
    <mergeCell ref="AA98:AB98"/>
    <mergeCell ref="Y51:Z51"/>
    <mergeCell ref="J91:L91"/>
    <mergeCell ref="AA102:AB106"/>
    <mergeCell ref="B11:U11"/>
    <mergeCell ref="U37:X40"/>
    <mergeCell ref="J43:L43"/>
    <mergeCell ref="M44:P44"/>
    <mergeCell ref="U46:X46"/>
    <mergeCell ref="B61:U61"/>
    <mergeCell ref="J42:L42"/>
    <mergeCell ref="Q97:T97"/>
    <mergeCell ref="Q52:T56"/>
    <mergeCell ref="J87:L90"/>
    <mergeCell ref="U95:X95"/>
    <mergeCell ref="AC92:AF92"/>
    <mergeCell ref="AA41:AB41"/>
    <mergeCell ref="Y99:Z99"/>
    <mergeCell ref="M51:P51"/>
    <mergeCell ref="U48:X48"/>
    <mergeCell ref="AA99:AB99"/>
    <mergeCell ref="V11:AF11"/>
    <mergeCell ref="BA73:BA90"/>
    <mergeCell ref="B49:I49"/>
    <mergeCell ref="Q102:T106"/>
    <mergeCell ref="J44:L44"/>
    <mergeCell ref="U41:X41"/>
    <mergeCell ref="U97:X97"/>
    <mergeCell ref="Y101:Z101"/>
    <mergeCell ref="BA23:BA40"/>
    <mergeCell ref="U47:X47"/>
    <mergeCell ref="B51:I51"/>
    <mergeCell ref="Y89:Z90"/>
    <mergeCell ref="M87:P90"/>
    <mergeCell ref="AM37:AM40"/>
    <mergeCell ref="U43:X43"/>
    <mergeCell ref="B41:I41"/>
    <mergeCell ref="AO87:AP88"/>
    <mergeCell ref="B50:I50"/>
    <mergeCell ref="AA100:AB100"/>
    <mergeCell ref="AC93:AF93"/>
    <mergeCell ref="BB23:BB40"/>
    <mergeCell ref="V61:AF61"/>
    <mergeCell ref="B91:I91"/>
    <mergeCell ref="J98:L98"/>
    <mergeCell ref="M101:P101"/>
    <mergeCell ref="AP39:AP40"/>
    <mergeCell ref="M91:P91"/>
    <mergeCell ref="AC87:AF90"/>
    <mergeCell ref="Q37:T40"/>
    <mergeCell ref="M100:P100"/>
    <mergeCell ref="J95:L95"/>
    <mergeCell ref="AJ27:AQ27"/>
    <mergeCell ref="AO39:AO40"/>
    <mergeCell ref="AC37:AF40"/>
    <mergeCell ref="B93:I93"/>
    <mergeCell ref="AC49:AF49"/>
    <mergeCell ref="BC73:BC90"/>
    <mergeCell ref="Y92:Z92"/>
    <mergeCell ref="AB4:AF4"/>
    <mergeCell ref="U50:X50"/>
    <mergeCell ref="M93:P93"/>
    <mergeCell ref="M50:P50"/>
    <mergeCell ref="U44:X44"/>
    <mergeCell ref="Q91:T91"/>
    <mergeCell ref="AA52:AB56"/>
    <mergeCell ref="AA48:AB48"/>
    <mergeCell ref="H4:AA6"/>
    <mergeCell ref="Q100:T100"/>
    <mergeCell ref="Y94:Z94"/>
    <mergeCell ref="J47:L47"/>
    <mergeCell ref="AL87:AL90"/>
    <mergeCell ref="M92:P92"/>
    <mergeCell ref="AA45:AB45"/>
    <mergeCell ref="J96:L96"/>
    <mergeCell ref="B101:I101"/>
    <mergeCell ref="AJ37:AJ40"/>
    <mergeCell ref="AL37:AL40"/>
    <mergeCell ref="Q42:T42"/>
    <mergeCell ref="M49:P49"/>
    <mergeCell ref="J37:L40"/>
    <mergeCell ref="M48:P48"/>
    <mergeCell ref="U45:X45"/>
    <mergeCell ref="AJ87:AJ90"/>
    <mergeCell ref="Q92:T92"/>
    <mergeCell ref="AM87:AM90"/>
    <mergeCell ref="AA46:AB46"/>
    <mergeCell ref="Y96:Z96"/>
    <mergeCell ref="AB8:AD9"/>
    <mergeCell ref="Q94:T94"/>
    <mergeCell ref="B52:B56"/>
    <mergeCell ref="AC97:AF97"/>
    <mergeCell ref="AA51:AB51"/>
    <mergeCell ref="C52:P56"/>
    <mergeCell ref="AJ29:AQ29"/>
    <mergeCell ref="B95:I95"/>
    <mergeCell ref="AC100:AF100"/>
    <mergeCell ref="Y41:Z41"/>
    <mergeCell ref="AO37:AP38"/>
    <mergeCell ref="Y87:AB88"/>
    <mergeCell ref="M95:P95"/>
    <mergeCell ref="AK37:AK40"/>
    <mergeCell ref="Q46:T46"/>
    <mergeCell ref="AJ31:AQ31"/>
    <mergeCell ref="Q98:T98"/>
    <mergeCell ref="AE8:AF9"/>
    <mergeCell ref="Y91:Z91"/>
    <mergeCell ref="B97:I97"/>
    <mergeCell ref="AC44:AF44"/>
    <mergeCell ref="AA91:AB91"/>
    <mergeCell ref="J49:L49"/>
    <mergeCell ref="Y43:Z43"/>
    <mergeCell ref="AC46:AF46"/>
    <mergeCell ref="AC98:AF98"/>
    <mergeCell ref="M41:P41"/>
    <mergeCell ref="M97:P97"/>
    <mergeCell ref="AA43:AB43"/>
    <mergeCell ref="AJ81:AQ81"/>
    <mergeCell ref="J45:L45"/>
    <mergeCell ref="Q48:T48"/>
    <mergeCell ref="Y93:Z93"/>
    <mergeCell ref="U98:X98"/>
    <mergeCell ref="Q45:T45"/>
    <mergeCell ref="AA93:AB93"/>
    <mergeCell ref="U51:X51"/>
    <mergeCell ref="AC95:AF95"/>
    <mergeCell ref="J100:L100"/>
    <mergeCell ref="B43:I43"/>
    <mergeCell ref="J94:L94"/>
    <mergeCell ref="Q41:T41"/>
    <mergeCell ref="AC41:AF41"/>
    <mergeCell ref="Q47:T47"/>
    <mergeCell ref="Y44:Z44"/>
    <mergeCell ref="Q96:T96"/>
    <mergeCell ref="B42:I42"/>
    <mergeCell ref="AA49:AB49"/>
    <mergeCell ref="Q43:T43"/>
    <mergeCell ref="AA101:AB101"/>
    <mergeCell ref="BC23:BC40"/>
    <mergeCell ref="U87:X90"/>
    <mergeCell ref="U99:X99"/>
    <mergeCell ref="J51:L51"/>
    <mergeCell ref="U49:X49"/>
    <mergeCell ref="B44:I44"/>
    <mergeCell ref="H8:AA9"/>
    <mergeCell ref="Q44:T44"/>
    <mergeCell ref="AJ77:AQ77"/>
    <mergeCell ref="U101:X101"/>
    <mergeCell ref="B99:I99"/>
    <mergeCell ref="AP89:AP90"/>
    <mergeCell ref="Y46:Z46"/>
    <mergeCell ref="H7:AA7"/>
    <mergeCell ref="B2:K2"/>
    <mergeCell ref="M94:P94"/>
    <mergeCell ref="AJ83:AQ83"/>
    <mergeCell ref="AC43:AF43"/>
    <mergeCell ref="B92:I92"/>
    <mergeCell ref="Y97:Z97"/>
    <mergeCell ref="Y95:Z95"/>
    <mergeCell ref="AA95:AB95"/>
    <mergeCell ref="Y52:Z56"/>
    <mergeCell ref="Y48:Z48"/>
    <mergeCell ref="C87:I90"/>
    <mergeCell ref="J93:L93"/>
    <mergeCell ref="AJ85:AQ85"/>
    <mergeCell ref="B107:AF107"/>
    <mergeCell ref="AC42:AF42"/>
    <mergeCell ref="Y39:Z40"/>
    <mergeCell ref="B94:I94"/>
    <mergeCell ref="C37:I40"/>
    <mergeCell ref="AA39:AB40"/>
    <mergeCell ref="BB73:BB90"/>
    <mergeCell ref="B57:AF57"/>
    <mergeCell ref="BA22:BC22"/>
    <mergeCell ref="AC94:AF94"/>
    <mergeCell ref="AA97:AB97"/>
    <mergeCell ref="B4:F6"/>
    <mergeCell ref="AJ75:AQ75"/>
  </mergeCells>
  <conditionalFormatting sqref="B2">
    <cfRule type="expression" priority="6684" dxfId="244" stopIfTrue="1">
      <formula>IF(OR($AG$16,$AG$66),1,0)</formula>
    </cfRule>
  </conditionalFormatting>
  <conditionalFormatting sqref="B21">
    <cfRule type="expression" priority="60" dxfId="158">
      <formula>AND(NOT(NoColor),A35=0,AC52&lt;&gt;"")</formula>
    </cfRule>
  </conditionalFormatting>
  <conditionalFormatting sqref="B23">
    <cfRule type="expression" priority="38" dxfId="40">
      <formula>SpaceUsed_8949A_ST</formula>
    </cfRule>
  </conditionalFormatting>
  <conditionalFormatting sqref="B71">
    <cfRule type="expression" priority="61" dxfId="158">
      <formula>AND(NOT(NoColor),A85=0,AC102&lt;&gt;"")</formula>
    </cfRule>
  </conditionalFormatting>
  <conditionalFormatting sqref="B73">
    <cfRule type="expression" priority="32" dxfId="40">
      <formula>SpaceUsed_8949A_LT</formula>
    </cfRule>
  </conditionalFormatting>
  <conditionalFormatting sqref="B11:AF11">
    <cfRule type="expression" priority="90" dxfId="6">
      <formula>IF(NoColor,1,0)</formula>
    </cfRule>
  </conditionalFormatting>
  <conditionalFormatting sqref="B41:AF51">
    <cfRule type="expression" priority="3" dxfId="6">
      <formula>IF(NoColor,1,0)</formula>
    </cfRule>
  </conditionalFormatting>
  <conditionalFormatting sqref="B61:AF61">
    <cfRule type="expression" priority="83" dxfId="6">
      <formula>IF(NoColor,1,0)</formula>
    </cfRule>
  </conditionalFormatting>
  <conditionalFormatting sqref="B91:AF101">
    <cfRule type="expression" priority="1" dxfId="6">
      <formula>IF(NoColor,1,0)</formula>
    </cfRule>
  </conditionalFormatting>
  <conditionalFormatting sqref="C25">
    <cfRule type="expression" priority="48" dxfId="6">
      <formula>IF(NoColor,1,0)</formula>
    </cfRule>
    <cfRule type="expression" priority="47" dxfId="212">
      <formula>C25=CHAR(32)</formula>
    </cfRule>
  </conditionalFormatting>
  <conditionalFormatting sqref="C27">
    <cfRule type="expression" priority="46" dxfId="6">
      <formula>IF(NoColor,1,0)</formula>
    </cfRule>
    <cfRule type="expression" priority="45" dxfId="212">
      <formula>C27=CHAR(32)</formula>
    </cfRule>
  </conditionalFormatting>
  <conditionalFormatting sqref="C29">
    <cfRule type="expression" priority="44" dxfId="6">
      <formula>IF(NoColor,1,0)</formula>
    </cfRule>
    <cfRule type="expression" priority="43" dxfId="212">
      <formula>C29=CHAR(32)</formula>
    </cfRule>
  </conditionalFormatting>
  <conditionalFormatting sqref="C31">
    <cfRule type="expression" priority="41" dxfId="212">
      <formula>C31=CHAR(32)</formula>
    </cfRule>
    <cfRule type="expression" priority="42" dxfId="6">
      <formula>IF(NoColor,1,0)</formula>
    </cfRule>
  </conditionalFormatting>
  <conditionalFormatting sqref="C33">
    <cfRule type="expression" priority="56" dxfId="6">
      <formula>IF(NoColor,1,0)</formula>
    </cfRule>
    <cfRule type="expression" priority="49" dxfId="212">
      <formula>C33=CHAR(32)</formula>
    </cfRule>
  </conditionalFormatting>
  <conditionalFormatting sqref="C35">
    <cfRule type="expression" priority="39" dxfId="212">
      <formula>C35=CHAR(32)</formula>
    </cfRule>
    <cfRule type="expression" priority="40" dxfId="6">
      <formula>IF(NoColor,1,0)</formula>
    </cfRule>
  </conditionalFormatting>
  <conditionalFormatting sqref="C75">
    <cfRule type="expression" priority="28" dxfId="212">
      <formula>AND(SpaceUsed_8949A_LT,C75=CHAR(32))</formula>
    </cfRule>
    <cfRule type="expression" priority="29" dxfId="6">
      <formula>IF(NoColor,1,0)</formula>
    </cfRule>
  </conditionalFormatting>
  <conditionalFormatting sqref="C77">
    <cfRule type="expression" priority="69" dxfId="6">
      <formula>IF(NoColor,1,0)</formula>
    </cfRule>
    <cfRule type="expression" priority="30" dxfId="212">
      <formula>AND(SpaceUsed_8949A_LT,C77=CHAR(32))</formula>
    </cfRule>
  </conditionalFormatting>
  <conditionalFormatting sqref="C79">
    <cfRule type="expression" priority="26" dxfId="212">
      <formula>AND(SpaceUsed_8949A_LT,C79=CHAR(32))</formula>
    </cfRule>
    <cfRule type="expression" priority="27" dxfId="6">
      <formula>IF(NoColor,1,0)</formula>
    </cfRule>
  </conditionalFormatting>
  <conditionalFormatting sqref="C81">
    <cfRule type="expression" priority="24" dxfId="212">
      <formula>AND(SpaceUsed_8949A_LT,C81=CHAR(32))</formula>
    </cfRule>
    <cfRule type="expression" priority="25" dxfId="6">
      <formula>IF(NoColor,1,0)</formula>
    </cfRule>
  </conditionalFormatting>
  <conditionalFormatting sqref="C83">
    <cfRule type="expression" priority="23" dxfId="6">
      <formula>IF(NoColor,1,0)</formula>
    </cfRule>
    <cfRule type="expression" priority="22" dxfId="212">
      <formula>AND(SpaceUsed_8949A_LT,C83=CHAR(32))</formula>
    </cfRule>
  </conditionalFormatting>
  <conditionalFormatting sqref="C85">
    <cfRule type="expression" priority="21" dxfId="6">
      <formula>IF(NoColor,1,0)</formula>
    </cfRule>
    <cfRule type="expression" priority="20" dxfId="212">
      <formula>AND(SpaceUsed_8949A_LT,C85=CHAR(32))</formula>
    </cfRule>
  </conditionalFormatting>
  <conditionalFormatting sqref="D25">
    <cfRule type="expression" priority="55" dxfId="40">
      <formula>C25=CHAR(32)</formula>
    </cfRule>
  </conditionalFormatting>
  <conditionalFormatting sqref="D27">
    <cfRule type="expression" priority="54" dxfId="40">
      <formula>C27=CHAR(32)</formula>
    </cfRule>
  </conditionalFormatting>
  <conditionalFormatting sqref="D29">
    <cfRule type="expression" priority="53" dxfId="40">
      <formula>C29=CHAR(32)</formula>
    </cfRule>
  </conditionalFormatting>
  <conditionalFormatting sqref="D31">
    <cfRule type="expression" priority="52" dxfId="40">
      <formula>C31=CHAR(32)</formula>
    </cfRule>
  </conditionalFormatting>
  <conditionalFormatting sqref="D33">
    <cfRule type="expression" priority="51" dxfId="40">
      <formula>C33=CHAR(32)</formula>
    </cfRule>
  </conditionalFormatting>
  <conditionalFormatting sqref="D35">
    <cfRule type="expression" priority="50" dxfId="40">
      <formula>C35=CHAR(32)</formula>
    </cfRule>
  </conditionalFormatting>
  <conditionalFormatting sqref="D75">
    <cfRule type="expression" priority="19" dxfId="40">
      <formula>AND(SpaceUsed_8949A_LT,C75=CHAR(32))</formula>
    </cfRule>
  </conditionalFormatting>
  <conditionalFormatting sqref="D77">
    <cfRule type="expression" priority="18" dxfId="40">
      <formula>AND(SpaceUsed_8949A_LT,C77=CHAR(32))</formula>
    </cfRule>
  </conditionalFormatting>
  <conditionalFormatting sqref="D79">
    <cfRule type="expression" priority="17" dxfId="40">
      <formula>AND(SpaceUsed_8949A_LT,C79=CHAR(32))</formula>
    </cfRule>
  </conditionalFormatting>
  <conditionalFormatting sqref="D81">
    <cfRule type="expression" priority="16" dxfId="40">
      <formula>AND(SpaceUsed_8949A_LT,C81=CHAR(32))</formula>
    </cfRule>
  </conditionalFormatting>
  <conditionalFormatting sqref="D83">
    <cfRule type="expression" priority="15" dxfId="40">
      <formula>AND(SpaceUsed_8949A_LT,C83=CHAR(32))</formula>
    </cfRule>
  </conditionalFormatting>
  <conditionalFormatting sqref="D85">
    <cfRule type="expression" priority="14" dxfId="40">
      <formula>AND(SpaceUsed_8949A_LT,C85=CHAR(32))</formula>
    </cfRule>
  </conditionalFormatting>
  <conditionalFormatting sqref="J41:J51">
    <cfRule type="expression" priority="10" dxfId="158" stopIfTrue="1">
      <formula>AND($L$2="",NOT($AZ41))</formula>
    </cfRule>
  </conditionalFormatting>
  <conditionalFormatting sqref="J91:L101">
    <cfRule type="expression" priority="11" dxfId="14">
      <formula>AND($L$2="",$AZ91)</formula>
    </cfRule>
  </conditionalFormatting>
  <conditionalFormatting sqref="K71">
    <cfRule type="expression" priority="62" dxfId="158">
      <formula>IF($A$79&gt;1,1,0)</formula>
    </cfRule>
  </conditionalFormatting>
  <conditionalFormatting sqref="L2">
    <cfRule type="expression" priority="6685" dxfId="196" stopIfTrue="1">
      <formula>IF(OR($AG$16,$AG$66),1,0)</formula>
    </cfRule>
  </conditionalFormatting>
  <conditionalFormatting sqref="L21">
    <cfRule type="expression" priority="59" dxfId="158">
      <formula>(A29&gt;1)</formula>
    </cfRule>
  </conditionalFormatting>
  <conditionalFormatting sqref="M41:M51">
    <cfRule type="expression" priority="4" dxfId="158" stopIfTrue="1">
      <formula>AND($L$2="",NOT($AZ41))</formula>
    </cfRule>
  </conditionalFormatting>
  <conditionalFormatting sqref="M91:M101">
    <cfRule type="expression" priority="2" dxfId="158" stopIfTrue="1">
      <formula>AND($L$2="",$AZ91)</formula>
    </cfRule>
  </conditionalFormatting>
  <conditionalFormatting sqref="M21:N21">
    <cfRule type="expression" priority="36" dxfId="0">
      <formula>$A$35&gt;1</formula>
    </cfRule>
  </conditionalFormatting>
  <conditionalFormatting sqref="M71:N71">
    <cfRule type="expression" priority="31" dxfId="158">
      <formula>IF($A$85&gt;1,1,0)</formula>
    </cfRule>
  </conditionalFormatting>
  <conditionalFormatting sqref="P66">
    <cfRule type="expression" priority="594" dxfId="158" stopIfTrue="1">
      <formula>IF(AND($L$2="",$AG$66),TRUE,FALSE)</formula>
    </cfRule>
  </conditionalFormatting>
  <conditionalFormatting sqref="Q52:X56">
    <cfRule type="expression" priority="85" dxfId="6">
      <formula>IF(NoColor,1,0)</formula>
    </cfRule>
  </conditionalFormatting>
  <conditionalFormatting sqref="Q102:X106">
    <cfRule type="expression" priority="73" dxfId="6">
      <formula>IF(NoColor,1,0)</formula>
    </cfRule>
  </conditionalFormatting>
  <conditionalFormatting sqref="T16:T19">
    <cfRule type="expression" priority="186" dxfId="14" stopIfTrue="1">
      <formula>IF(AND($L$2="",$AG$16),TRUE,FALSE)</formula>
    </cfRule>
  </conditionalFormatting>
  <conditionalFormatting sqref="T66">
    <cfRule type="expression" priority="185" dxfId="14" stopIfTrue="1">
      <formula>IF(AND($L$2="",$AG$66),TRUE,FALSE)</formula>
    </cfRule>
  </conditionalFormatting>
  <conditionalFormatting sqref="T67:T69">
    <cfRule type="expression" priority="66" dxfId="14" stopIfTrue="1">
      <formula>IF(AND($L$2="",$AG$16),TRUE,FALSE)</formula>
    </cfRule>
  </conditionalFormatting>
  <conditionalFormatting sqref="AA52:AF56">
    <cfRule type="expression" priority="84" dxfId="6">
      <formula>IF(NoColor,1,0)</formula>
    </cfRule>
  </conditionalFormatting>
  <conditionalFormatting sqref="AA102:AF106">
    <cfRule type="expression" priority="72" dxfId="6">
      <formula>IF(NoColor,1,0)</formula>
    </cfRule>
  </conditionalFormatting>
  <conditionalFormatting sqref="AB4:AF4">
    <cfRule type="expression" priority="13" dxfId="40">
      <formula>AND(AI3,AH4="")</formula>
    </cfRule>
  </conditionalFormatting>
  <conditionalFormatting sqref="AH4">
    <cfRule type="expression" priority="12" dxfId="181">
      <formula>$AI$3</formula>
    </cfRule>
  </conditionalFormatting>
  <pageMargins left="0.75" right="0.25" top="0.36" bottom="0.29" header="0.36" footer="0.21"/>
  <pageSetup orientation="portrait" scale="75" fitToHeight="0"/>
  <rowBreaks count="1" manualBreakCount="1">
    <brk id="58" min="1" max="31" man="1"/>
  </rowBreaks>
</worksheet>
</file>

<file path=xl/worksheets/sheet57.xml><?xml version="1.0" encoding="utf-8"?>
<worksheet xmlns="http://schemas.openxmlformats.org/spreadsheetml/2006/main">
  <sheetPr>
    <outlinePr summaryBelow="1" summaryRight="1"/>
    <pageSetUpPr fitToPage="1"/>
  </sheetPr>
  <dimension ref="A1:BC109"/>
  <sheetViews>
    <sheetView zoomScaleNormal="100" zoomScaleSheetLayoutView="100" workbookViewId="0">
      <selection activeCell="AH38" sqref="AH38"/>
    </sheetView>
  </sheetViews>
  <sheetFormatPr baseColWidth="8" defaultColWidth="3.7109375" defaultRowHeight="12.75"/>
  <cols>
    <col width="3.7109375" customWidth="1" style="6021" min="1" max="1"/>
    <col width="4.140625" customWidth="1" style="7635" min="2" max="2"/>
    <col width="2.28515625" customWidth="1" style="7635" min="3" max="3"/>
    <col width="3.7109375" customWidth="1" style="7635" min="4" max="9"/>
    <col width="4" customWidth="1" style="7635" min="10" max="10"/>
    <col width="6.85546875" customWidth="1" style="7635" min="11" max="11"/>
    <col width="4" customWidth="1" style="7635" min="12" max="12"/>
    <col width="3.7109375" customWidth="1" style="7635" min="13" max="16"/>
    <col width="4.28515625" customWidth="1" style="7635" min="17" max="20"/>
    <col width="3.85546875" customWidth="1" style="7635" min="21" max="23"/>
    <col width="3.7109375" customWidth="1" style="7635" min="24" max="24"/>
    <col width="5.42578125" customWidth="1" style="7635" min="25" max="26"/>
    <col width="6.42578125" customWidth="1" style="7635" min="27" max="28"/>
    <col width="3.7109375" customWidth="1" style="7635" min="29" max="32"/>
    <col width="6" customWidth="1" style="6022" min="33" max="33"/>
    <col width="4.85546875" customWidth="1" style="7453" min="34" max="34"/>
    <col width="8.5703125" bestFit="1" customWidth="1" style="7453" min="35" max="35"/>
    <col width="29.28515625" customWidth="1" style="7635" min="36" max="36"/>
    <col width="13.7109375" customWidth="1" style="7635" min="37" max="40"/>
    <col width="10" customWidth="1" style="7635" min="41" max="41"/>
    <col width="15.5703125" customWidth="1" style="7635" min="42" max="42"/>
    <col width="15.42578125" customWidth="1" style="7635" min="43" max="43"/>
    <col width="13" customWidth="1" style="7635" min="44" max="44"/>
    <col hidden="1" width="13" customWidth="1" style="7635" min="45" max="47"/>
    <col hidden="1" width="3.85546875" customWidth="1" style="7635" min="48" max="48"/>
    <col hidden="1" width="13" customWidth="1" style="7635" min="49" max="51"/>
    <col hidden="1" width="8.5703125" customWidth="1" style="7635" min="52" max="52"/>
    <col hidden="1" width="13" customWidth="1" style="7635" min="53" max="55"/>
    <col width="3.7109375" customWidth="1" style="7635" min="56" max="68"/>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row>
    <row r="2">
      <c r="A2" s="139" t="n"/>
      <c r="B2" s="11401" t="inlineStr">
        <is>
          <t>Check here to hide red formatting.   &gt;</t>
        </is>
      </c>
      <c r="L2" s="264" t="n"/>
      <c r="M2" s="139" t="n"/>
      <c r="N2" s="139" t="n"/>
      <c r="O2" s="139" t="n"/>
      <c r="P2" s="139" t="n"/>
      <c r="Q2" s="139" t="n"/>
      <c r="R2" s="139" t="n"/>
      <c r="S2" s="139" t="n"/>
      <c r="T2" s="139" t="n"/>
      <c r="U2" s="139" t="n"/>
      <c r="V2" s="139" t="n"/>
      <c r="W2" s="139" t="n"/>
      <c r="X2" s="139" t="n"/>
      <c r="Y2" s="139" t="n"/>
      <c r="Z2" s="139" t="n"/>
      <c r="AA2" s="962" t="n"/>
      <c r="AB2" s="139" t="n"/>
      <c r="AC2" s="139" t="n"/>
      <c r="AD2" s="139" t="n"/>
      <c r="AE2" s="139" t="n"/>
      <c r="AF2" s="139" t="n"/>
      <c r="AG2" s="2013" t="n"/>
    </row>
    <row r="3">
      <c r="A3" s="2013" t="n"/>
      <c r="B3" s="2013" t="n"/>
      <c r="C3" s="2013" t="n"/>
      <c r="D3" s="2013" t="n"/>
      <c r="E3" s="2013" t="n"/>
      <c r="F3" s="2013" t="n"/>
      <c r="G3" s="2013" t="n"/>
      <c r="H3" s="2013" t="n"/>
      <c r="I3" s="2013" t="n"/>
      <c r="J3" s="2013" t="n"/>
      <c r="K3" s="2013" t="n"/>
      <c r="L3" s="2013" t="n"/>
      <c r="M3" s="2013" t="n"/>
      <c r="N3" s="2013" t="n"/>
      <c r="O3" s="2013" t="n"/>
      <c r="P3" s="2013" t="n"/>
      <c r="Q3" s="2013" t="n"/>
      <c r="R3" s="2013" t="n"/>
      <c r="S3" s="2013" t="n"/>
      <c r="T3" s="2013" t="n"/>
      <c r="U3" s="2013" t="n"/>
      <c r="V3" s="2013" t="n"/>
      <c r="W3" s="2013" t="n"/>
      <c r="X3" s="2013" t="n"/>
      <c r="Y3" s="2013" t="n"/>
      <c r="Z3" s="2013" t="n"/>
      <c r="AA3" s="2013" t="n"/>
      <c r="AB3" s="2013" t="n"/>
      <c r="AC3" s="2013" t="n"/>
      <c r="AD3" s="2013" t="n"/>
      <c r="AE3" s="2013" t="n"/>
      <c r="AF3" s="2013" t="n"/>
      <c r="AG3" s="2013" t="n"/>
      <c r="AI3" s="9649">
        <f>'Table of Contents'!A62="D"</f>
        <v/>
      </c>
    </row>
    <row r="4" ht="11.25" customHeight="1" s="7635">
      <c r="A4" s="2013" t="n"/>
      <c r="B4" s="11403" t="inlineStr">
        <is>
          <t>Form 8949</t>
        </is>
      </c>
      <c r="G4" s="88" t="n"/>
      <c r="H4" s="12789" t="inlineStr">
        <is>
          <t>Sales and Other Dispositions of Capital Assets</t>
        </is>
      </c>
      <c r="AA4" s="9671" t="n"/>
      <c r="AB4" s="8038">
        <f>IF(AND(AI3,AH4=""),"DRAFT","OMB No. 1545-0074")</f>
        <v/>
      </c>
      <c r="AC4" s="7637" t="n"/>
      <c r="AD4" s="7637" t="n"/>
      <c r="AE4" s="7637" t="n"/>
      <c r="AF4" s="7637" t="n"/>
      <c r="AG4" s="2013" t="n"/>
      <c r="AH4" s="12790" t="n"/>
      <c r="AI4" s="8696">
        <f>IF(AI3,"Hide 'DRAFT'.","")</f>
        <v/>
      </c>
    </row>
    <row r="5" ht="11.25" customHeight="1" s="7635">
      <c r="A5" s="2013" t="n"/>
      <c r="G5" s="88" t="n"/>
      <c r="H5" s="9670" t="n"/>
      <c r="AA5" s="9671" t="n"/>
      <c r="AB5" s="11404">
        <f>TaxYear</f>
        <v/>
      </c>
      <c r="AG5" s="2013" t="n"/>
      <c r="AH5" s="12791" t="n"/>
    </row>
    <row r="6" ht="11.25" customHeight="1" s="7635">
      <c r="A6" s="2013" t="n"/>
      <c r="G6" s="88" t="n"/>
      <c r="H6" s="9670" t="n"/>
      <c r="AA6" s="9671" t="n"/>
      <c r="AG6" s="2013" t="n"/>
      <c r="AH6" s="12792" t="n"/>
    </row>
    <row r="7" ht="11.25" customHeight="1" s="7635">
      <c r="A7" s="2013" t="n"/>
      <c r="B7" s="88" t="n"/>
      <c r="C7" s="88" t="n"/>
      <c r="D7" s="88" t="n"/>
      <c r="E7" s="88" t="n"/>
      <c r="F7" s="88" t="n"/>
      <c r="G7" s="88" t="n"/>
      <c r="H7" s="12793" t="inlineStr">
        <is>
          <t>File with your Schedule D to list your transactions for lines 1b, 2, 3, 8b, 9, and 10 of Schedule D.</t>
        </is>
      </c>
      <c r="AA7" s="9671" t="n"/>
      <c r="AG7" s="2013" t="n"/>
    </row>
    <row r="8" ht="10.5" customHeight="1" s="7635">
      <c r="A8" s="2013" t="n"/>
      <c r="B8" s="229" t="inlineStr">
        <is>
          <t>Department of the Treasury</t>
        </is>
      </c>
      <c r="C8" s="88" t="n"/>
      <c r="D8" s="88" t="n"/>
      <c r="E8" s="88" t="n"/>
      <c r="F8" s="88" t="n"/>
      <c r="G8" s="88" t="n"/>
      <c r="H8" s="12794" t="inlineStr">
        <is>
          <t>Go to www.irs.gov/Form8949 for instructions and the latest information.</t>
        </is>
      </c>
      <c r="AA8" s="9671" t="n"/>
      <c r="AB8" s="12795" t="inlineStr">
        <is>
          <t>Attachment
Sequence No.</t>
        </is>
      </c>
      <c r="AE8" s="11450" t="inlineStr">
        <is>
          <t>12A</t>
        </is>
      </c>
      <c r="AG8" s="2013" t="n"/>
    </row>
    <row r="9" ht="10.5" customHeight="1" s="7635" thickBot="1">
      <c r="A9" s="2013" t="n"/>
      <c r="B9" s="6502" t="inlineStr">
        <is>
          <t>Internal Revenue Service</t>
        </is>
      </c>
      <c r="C9" s="6503" t="n"/>
      <c r="D9" s="6503" t="n"/>
      <c r="E9" s="6503" t="n"/>
      <c r="F9" s="6503" t="n"/>
      <c r="G9" s="6503" t="n"/>
      <c r="H9" s="12152" t="n"/>
      <c r="I9" s="11705" t="n"/>
      <c r="J9" s="11705" t="n"/>
      <c r="K9" s="11705" t="n"/>
      <c r="L9" s="11705" t="n"/>
      <c r="M9" s="11705" t="n"/>
      <c r="N9" s="11705" t="n"/>
      <c r="O9" s="11705" t="n"/>
      <c r="P9" s="11705" t="n"/>
      <c r="Q9" s="11705" t="n"/>
      <c r="R9" s="11705" t="n"/>
      <c r="S9" s="11705" t="n"/>
      <c r="T9" s="11705" t="n"/>
      <c r="U9" s="11705" t="n"/>
      <c r="V9" s="11705" t="n"/>
      <c r="W9" s="11705" t="n"/>
      <c r="X9" s="11705" t="n"/>
      <c r="Y9" s="11705" t="n"/>
      <c r="Z9" s="11705" t="n"/>
      <c r="AA9" s="12151" t="n"/>
      <c r="AB9" s="12152" t="n"/>
      <c r="AC9" s="11705" t="n"/>
      <c r="AD9" s="11705" t="n"/>
      <c r="AE9" s="11705" t="n"/>
      <c r="AF9" s="11705" t="n"/>
      <c r="AG9" s="2013" t="n"/>
    </row>
    <row r="10" ht="13.5" customHeight="1" s="7635" thickTop="1">
      <c r="A10" s="2013" t="n"/>
      <c r="B10" s="229" t="inlineStr">
        <is>
          <t>Name(s) shown on return</t>
        </is>
      </c>
      <c r="C10" s="88" t="n"/>
      <c r="D10" s="88" t="n"/>
      <c r="E10" s="88" t="n"/>
      <c r="F10" s="88" t="n"/>
      <c r="G10" s="88" t="n"/>
      <c r="H10" s="88" t="n"/>
      <c r="I10" s="88" t="n"/>
      <c r="J10" s="88" t="n"/>
      <c r="K10" s="88" t="n"/>
      <c r="L10" s="88" t="n"/>
      <c r="M10" s="88" t="n"/>
      <c r="N10" s="88" t="n"/>
      <c r="O10" s="88" t="n"/>
      <c r="P10" s="88" t="n"/>
      <c r="Q10" s="88" t="n"/>
      <c r="R10" s="88" t="n"/>
      <c r="S10" s="88" t="n"/>
      <c r="T10" s="88" t="n"/>
      <c r="U10" s="88" t="n"/>
      <c r="V10" s="6006" t="inlineStr">
        <is>
          <t>Social security number or taxpayer identification number</t>
        </is>
      </c>
      <c r="W10" s="88" t="n"/>
      <c r="X10" s="88" t="n"/>
      <c r="Y10" s="88" t="n"/>
      <c r="Z10" s="2666" t="n"/>
      <c r="AA10" s="88" t="n"/>
      <c r="AB10" s="88" t="n"/>
      <c r="AC10" s="88" t="n"/>
      <c r="AD10" s="88" t="n"/>
      <c r="AE10" s="88" t="n"/>
      <c r="AF10" s="88" t="n"/>
      <c r="AG10" s="2013" t="n"/>
    </row>
    <row r="11" ht="16.5" customHeight="1" s="7635" thickBot="1">
      <c r="A11" s="2013" t="n"/>
      <c r="B11" s="12796">
        <f>Names</f>
        <v/>
      </c>
      <c r="C11" s="8848" t="n"/>
      <c r="D11" s="8848" t="n"/>
      <c r="E11" s="8848" t="n"/>
      <c r="F11" s="8848" t="n"/>
      <c r="G11" s="8848" t="n"/>
      <c r="H11" s="8848" t="n"/>
      <c r="I11" s="8848" t="n"/>
      <c r="J11" s="8848" t="n"/>
      <c r="K11" s="8848" t="n"/>
      <c r="L11" s="8848" t="n"/>
      <c r="M11" s="8848" t="n"/>
      <c r="N11" s="8848" t="n"/>
      <c r="O11" s="8848" t="n"/>
      <c r="P11" s="8848" t="n"/>
      <c r="Q11" s="8848" t="n"/>
      <c r="R11" s="8848" t="n"/>
      <c r="S11" s="8848" t="n"/>
      <c r="T11" s="8848" t="n"/>
      <c r="U11" s="12121" t="n"/>
      <c r="V11" s="12797">
        <f>IF(NoSSN,"",SS_Yours)</f>
        <v/>
      </c>
      <c r="W11" s="8848" t="n"/>
      <c r="X11" s="8848" t="n"/>
      <c r="Y11" s="8848" t="n"/>
      <c r="Z11" s="8848" t="n"/>
      <c r="AA11" s="8848" t="n"/>
      <c r="AB11" s="8848" t="n"/>
      <c r="AC11" s="8848" t="n"/>
      <c r="AD11" s="8848" t="n"/>
      <c r="AE11" s="8848" t="n"/>
      <c r="AF11" s="8848" t="n"/>
      <c r="AG11" s="2013" t="n"/>
    </row>
    <row r="12" ht="12.75" customHeight="1" s="7635">
      <c r="A12" s="2013" t="n"/>
      <c r="B12" s="12798" t="inlineStr">
        <is>
          <t>Before you check Box A, B, C, G, H, or I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12" s="2506" t="n"/>
      <c r="D12" s="2506" t="n"/>
      <c r="E12" s="2506" t="n"/>
      <c r="F12" s="2506" t="n"/>
      <c r="G12" s="2506" t="n"/>
      <c r="H12" s="2506" t="n"/>
      <c r="I12" s="2506" t="n"/>
      <c r="J12" s="2506" t="n"/>
      <c r="K12" s="2506" t="n"/>
      <c r="L12" s="2506" t="n"/>
      <c r="M12" s="2506" t="n"/>
      <c r="N12" s="2506" t="n"/>
      <c r="O12" s="2506" t="n"/>
      <c r="P12" s="2506" t="n"/>
      <c r="Q12" s="2506" t="n"/>
      <c r="R12" s="2506" t="n"/>
      <c r="S12" s="2506" t="n"/>
      <c r="T12" s="2506" t="n"/>
      <c r="U12" s="2506" t="n"/>
      <c r="V12" s="2506" t="n"/>
      <c r="W12" s="2506" t="n"/>
      <c r="X12" s="2506" t="n"/>
      <c r="Y12" s="2506" t="n"/>
      <c r="Z12" s="2506" t="n"/>
      <c r="AA12" s="2506" t="n"/>
      <c r="AB12" s="2506" t="n"/>
      <c r="AC12" s="2506" t="n"/>
      <c r="AD12" s="2506" t="n"/>
      <c r="AE12" s="2506" t="n"/>
      <c r="AF12" s="2506" t="n"/>
      <c r="AG12" s="2013" t="n"/>
    </row>
    <row r="13" ht="12.75" customHeight="1" s="7635">
      <c r="A13" s="2013" t="n"/>
      <c r="AG13" s="2013" t="n"/>
    </row>
    <row r="14" ht="12.75" customHeight="1" s="7635">
      <c r="A14" s="2013" t="n"/>
      <c r="B14" s="7637" t="n"/>
      <c r="C14" s="7637" t="n"/>
      <c r="D14" s="7637" t="n"/>
      <c r="E14" s="7637" t="n"/>
      <c r="F14" s="7637" t="n"/>
      <c r="G14" s="7637" t="n"/>
      <c r="H14" s="7637" t="n"/>
      <c r="I14" s="7637" t="n"/>
      <c r="J14" s="7637" t="n"/>
      <c r="K14" s="7637" t="n"/>
      <c r="L14" s="7637" t="n"/>
      <c r="M14" s="7637" t="n"/>
      <c r="N14" s="7637" t="n"/>
      <c r="O14" s="7637" t="n"/>
      <c r="P14" s="7637" t="n"/>
      <c r="Q14" s="7637" t="n"/>
      <c r="R14" s="7637" t="n"/>
      <c r="S14" s="7637" t="n"/>
      <c r="T14" s="7637" t="n"/>
      <c r="U14" s="7637" t="n"/>
      <c r="V14" s="7637" t="n"/>
      <c r="W14" s="7637" t="n"/>
      <c r="X14" s="7637" t="n"/>
      <c r="Y14" s="7637" t="n"/>
      <c r="Z14" s="7637" t="n"/>
      <c r="AA14" s="7637" t="n"/>
      <c r="AB14" s="7637" t="n"/>
      <c r="AC14" s="7637" t="n"/>
      <c r="AD14" s="7637" t="n"/>
      <c r="AE14" s="7637" t="n"/>
      <c r="AF14" s="7637" t="n"/>
      <c r="AG14" s="2013" t="n"/>
    </row>
    <row r="15" ht="3.75" customHeight="1" s="7635">
      <c r="A15" s="2013" t="n"/>
      <c r="B15" s="88" t="n"/>
      <c r="C15" s="88" t="n"/>
      <c r="D15" s="88" t="n"/>
      <c r="E15" s="88" t="n"/>
      <c r="F15" s="88" t="n"/>
      <c r="G15" s="88" t="n"/>
      <c r="H15" s="88" t="n"/>
      <c r="I15" s="88" t="n"/>
      <c r="J15" s="88" t="n"/>
      <c r="K15" s="88" t="n"/>
      <c r="L15" s="88" t="n"/>
      <c r="M15" s="88" t="n"/>
      <c r="N15" s="88" t="n"/>
      <c r="O15" s="88" t="n"/>
      <c r="P15" s="88" t="n"/>
      <c r="Q15" s="88" t="n"/>
      <c r="R15" s="88" t="n"/>
      <c r="S15" s="88" t="n"/>
      <c r="T15" s="88" t="n"/>
      <c r="U15" s="88" t="n"/>
      <c r="V15" s="88" t="n"/>
      <c r="W15" s="88" t="n"/>
      <c r="X15" s="88" t="n"/>
      <c r="Y15" s="88" t="n"/>
      <c r="Z15" s="88" t="n"/>
      <c r="AA15" s="88" t="n"/>
      <c r="AB15" s="88" t="n"/>
      <c r="AC15" s="88" t="n"/>
      <c r="AD15" s="88" t="n"/>
      <c r="AE15" s="88" t="n"/>
      <c r="AF15" s="88" t="n"/>
      <c r="AG15" s="2013" t="n"/>
    </row>
    <row r="16" ht="15" customHeight="1" s="7635">
      <c r="A16" s="2013" t="n"/>
      <c r="B16" s="11415" t="inlineStr">
        <is>
          <t>Part I</t>
        </is>
      </c>
      <c r="C16" s="7839" t="n"/>
      <c r="D16" s="88" t="n"/>
      <c r="E16" s="11417" t="inlineStr">
        <is>
          <t>Short-Term.</t>
        </is>
      </c>
      <c r="F16" s="88" t="n"/>
      <c r="G16" s="88" t="n"/>
      <c r="H16" s="88" t="n"/>
      <c r="I16" s="1836" t="inlineStr">
        <is>
          <t>Transactions involving capital assets you  held 1  year  or  less are generally short-term (see</t>
        </is>
      </c>
      <c r="J16" s="88" t="n"/>
      <c r="K16" s="88" t="n"/>
      <c r="L16" s="88" t="n"/>
      <c r="M16" s="88" t="n"/>
      <c r="N16" s="88" t="n"/>
      <c r="O16" s="88" t="n"/>
      <c r="P16" s="88" t="n"/>
      <c r="Q16" s="88" t="n"/>
      <c r="R16" s="88" t="n"/>
      <c r="S16" s="88" t="n"/>
      <c r="T16" s="1836" t="n"/>
      <c r="U16" s="88" t="n"/>
      <c r="V16" s="88" t="n"/>
      <c r="W16" s="88" t="n"/>
      <c r="X16" s="1836" t="n"/>
      <c r="Y16" s="88" t="n"/>
      <c r="Z16" s="88" t="n"/>
      <c r="AA16" s="88" t="n"/>
      <c r="AB16" s="88" t="n"/>
      <c r="AC16" s="88" t="n"/>
      <c r="AD16" s="88" t="n"/>
      <c r="AE16" s="88" t="n"/>
      <c r="AF16" s="88" t="n"/>
      <c r="AG16" s="2013">
        <f>IF(SUM(AG41:AG51)&gt;0,TRUE,FALSE)</f>
        <v/>
      </c>
    </row>
    <row r="17" ht="12.75" customHeight="1" s="7635">
      <c r="A17" s="2013" t="n"/>
      <c r="B17" s="88" t="n"/>
      <c r="C17" s="88" t="n"/>
      <c r="D17" s="88" t="n"/>
      <c r="E17" s="1836" t="inlineStr">
        <is>
          <t>instructions). For long-term transactions, see page 2.</t>
        </is>
      </c>
      <c r="F17" s="88" t="n"/>
      <c r="G17" s="88" t="n"/>
      <c r="H17" s="88" t="n"/>
      <c r="I17" s="88" t="n"/>
      <c r="J17" s="88" t="n"/>
      <c r="K17" s="88" t="n"/>
      <c r="L17" s="88" t="n"/>
      <c r="M17" s="88" t="n"/>
      <c r="N17" s="88" t="n"/>
      <c r="O17" s="88" t="n"/>
      <c r="P17" s="88" t="n"/>
      <c r="Q17" s="88" t="n"/>
      <c r="R17" s="88" t="n"/>
      <c r="S17" s="88" t="n"/>
      <c r="T17" s="1836" t="n"/>
      <c r="U17" s="88" t="n"/>
      <c r="V17" s="88" t="n"/>
      <c r="W17" s="88" t="n"/>
      <c r="X17" s="11403" t="n"/>
      <c r="Y17" s="88" t="n"/>
      <c r="Z17" s="88" t="n"/>
      <c r="AA17" s="88" t="n"/>
      <c r="AB17" s="88" t="n"/>
      <c r="AC17" s="88" t="n"/>
      <c r="AD17" s="88" t="n"/>
      <c r="AE17" s="88" t="n"/>
      <c r="AF17" s="88" t="n"/>
      <c r="AG17" s="2013" t="n"/>
    </row>
    <row r="18" ht="13.5" customFormat="1" customHeight="1" s="7779">
      <c r="A18" s="6007" t="n"/>
      <c r="B18" s="1836" t="n"/>
      <c r="C18" s="1836" t="n"/>
      <c r="D18" s="1836" t="n"/>
      <c r="E18" s="3440" t="inlineStr">
        <is>
          <t>Note. You may aggregate all short-term transactions reported on Form(s) 1099-B and Form(s) 1099-DA</t>
        </is>
      </c>
      <c r="F18" s="1836" t="n"/>
      <c r="G18" s="1836" t="n"/>
      <c r="H18" s="1836" t="n"/>
      <c r="I18" s="1836" t="n"/>
      <c r="J18" s="1836" t="n"/>
      <c r="K18" s="1836" t="n"/>
      <c r="L18" s="1836" t="n"/>
      <c r="M18" s="1836" t="n"/>
      <c r="N18" s="1836" t="n"/>
      <c r="O18" s="1836" t="n"/>
      <c r="P18" s="1836" t="n"/>
      <c r="Q18" s="1836" t="n"/>
      <c r="R18" s="1836" t="n"/>
      <c r="S18" s="1836" t="n"/>
      <c r="T18" s="1836" t="n"/>
      <c r="U18" s="1836" t="n"/>
      <c r="V18" s="1836" t="n"/>
      <c r="W18" s="1836" t="n"/>
      <c r="X18" s="1836" t="n"/>
      <c r="Y18" s="1836" t="n"/>
      <c r="Z18" s="1836" t="n"/>
      <c r="AA18" s="1836" t="n"/>
      <c r="AB18" s="1836" t="n"/>
      <c r="AC18" s="1836" t="n"/>
      <c r="AD18" s="1836" t="n"/>
      <c r="AE18" s="1836" t="n"/>
      <c r="AF18" s="1836" t="n"/>
      <c r="AG18" s="6007" t="n"/>
      <c r="AH18" s="3161" t="n"/>
      <c r="AI18" s="3161" t="n"/>
    </row>
    <row r="19" ht="13.5" customFormat="1" customHeight="1" s="7779">
      <c r="A19" s="6007" t="n"/>
      <c r="B19" s="1836" t="n"/>
      <c r="C19" s="1836" t="n"/>
      <c r="D19" s="1836" t="n"/>
      <c r="E19" s="1836" t="inlineStr">
        <is>
          <t>showing basis was reported to the IRS and for which no adjustments or codes are required. Enter the totals</t>
        </is>
      </c>
      <c r="F19" s="1836" t="n"/>
      <c r="G19" s="1836" t="n"/>
      <c r="H19" s="1836" t="n"/>
      <c r="I19" s="1836" t="n"/>
      <c r="J19" s="1836" t="n"/>
      <c r="K19" s="1836" t="n"/>
      <c r="L19" s="1836" t="n"/>
      <c r="M19" s="1836" t="n"/>
      <c r="N19" s="1836" t="n"/>
      <c r="O19" s="1836" t="n"/>
      <c r="P19" s="1836" t="n"/>
      <c r="Q19" s="1836" t="n"/>
      <c r="R19" s="1836" t="n"/>
      <c r="S19" s="1836" t="n"/>
      <c r="T19" s="1836" t="n"/>
      <c r="U19" s="1836" t="n"/>
      <c r="V19" s="1836" t="n"/>
      <c r="W19" s="1836" t="n"/>
      <c r="X19" s="1836" t="n"/>
      <c r="Y19" s="1836" t="n"/>
      <c r="Z19" s="1836" t="n"/>
      <c r="AA19" s="1836" t="n"/>
      <c r="AB19" s="1836" t="n"/>
      <c r="AC19" s="1836" t="n"/>
      <c r="AD19" s="1836" t="n"/>
      <c r="AE19" s="1836" t="n"/>
      <c r="AF19" s="1836" t="n"/>
      <c r="AG19" s="6007" t="n"/>
      <c r="AH19" s="3161" t="n"/>
      <c r="AI19" s="3161" t="n"/>
    </row>
    <row r="20" ht="13.5" customFormat="1" customHeight="1" s="7779">
      <c r="A20" s="6007" t="n"/>
      <c r="B20" s="6008" t="n"/>
      <c r="C20" s="6008" t="n"/>
      <c r="D20" s="6008" t="n"/>
      <c r="E20" s="6008" t="inlineStr">
        <is>
          <t>directly on Schedule D, line 1a; you aren’t required to report these transactions on Form 8949 (see instructions).</t>
        </is>
      </c>
      <c r="F20" s="6008" t="n"/>
      <c r="G20" s="6008" t="n"/>
      <c r="H20" s="6008" t="n"/>
      <c r="I20" s="6008" t="n"/>
      <c r="J20" s="6008" t="n"/>
      <c r="K20" s="6008" t="n"/>
      <c r="L20" s="6008" t="n"/>
      <c r="M20" s="6008" t="n"/>
      <c r="N20" s="6008" t="n"/>
      <c r="O20" s="6008" t="n"/>
      <c r="P20" s="6008" t="n"/>
      <c r="Q20" s="6008" t="n"/>
      <c r="R20" s="6008" t="n"/>
      <c r="S20" s="6008" t="n"/>
      <c r="T20" s="6008" t="n"/>
      <c r="U20" s="6008" t="n"/>
      <c r="V20" s="6008" t="n"/>
      <c r="W20" s="6008" t="n"/>
      <c r="X20" s="6008" t="n"/>
      <c r="Y20" s="6008" t="n"/>
      <c r="Z20" s="6008" t="n"/>
      <c r="AA20" s="6008" t="n"/>
      <c r="AB20" s="6008" t="n"/>
      <c r="AC20" s="6008" t="n"/>
      <c r="AD20" s="6008" t="n"/>
      <c r="AE20" s="6008" t="n"/>
      <c r="AF20" s="6008" t="n"/>
      <c r="AG20" s="6007" t="n"/>
      <c r="AH20" s="3161" t="n"/>
      <c r="AI20" s="3161" t="n"/>
    </row>
    <row r="21" ht="14.25" customHeight="1" s="7635">
      <c r="A21" s="2013" t="n"/>
      <c r="B21" s="226" t="inlineStr">
        <is>
          <t xml:space="preserve">You must check Box A, B, C, G, H, or I below. </t>
        </is>
      </c>
      <c r="C21" s="8922" t="n"/>
      <c r="D21" s="8922" t="n"/>
      <c r="E21" s="8922" t="n"/>
      <c r="F21" s="8922" t="n"/>
      <c r="G21" s="8922" t="n"/>
      <c r="H21" s="8922" t="n"/>
      <c r="I21" s="8922" t="n"/>
      <c r="J21" s="8922" t="n"/>
      <c r="K21" s="1183" t="n"/>
      <c r="L21" s="1183" t="n"/>
      <c r="M21" s="226">
        <f>IF($A$35&gt;1,"Check only ONE box.","Check only one box.")</f>
        <v/>
      </c>
      <c r="N21" s="226" t="n"/>
      <c r="O21" s="8922" t="n"/>
      <c r="P21" s="8922" t="n"/>
      <c r="Q21" s="11403" t="n"/>
      <c r="R21" s="8922" t="n"/>
      <c r="S21" s="1836" t="n"/>
      <c r="T21" s="1836" t="n"/>
      <c r="U21" s="8922" t="n"/>
      <c r="V21" s="8922" t="n"/>
      <c r="W21" s="8922" t="n"/>
      <c r="X21" s="8922" t="n"/>
      <c r="Y21" s="8922" t="n"/>
      <c r="Z21" s="8922" t="n"/>
      <c r="AA21" s="8922" t="n"/>
      <c r="AB21" s="8922" t="n"/>
      <c r="AC21" s="8922" t="n"/>
      <c r="AD21" s="8922" t="n"/>
      <c r="AE21" s="8922" t="n"/>
      <c r="AF21" s="6501" t="inlineStr">
        <is>
          <t>If more than one box applies for your short-term transactions,</t>
        </is>
      </c>
      <c r="AG21" s="2013" t="n"/>
    </row>
    <row r="22">
      <c r="A22" s="2013" t="n"/>
      <c r="B22" s="11403" t="inlineStr">
        <is>
          <t>complete a separate Form 8949, page 1, for each applicable box. If you have more short-term transactions than will fit on this page</t>
        </is>
      </c>
      <c r="C22" s="8922" t="n"/>
      <c r="D22" s="8922" t="n"/>
      <c r="E22" s="8922" t="n"/>
      <c r="F22" s="8922" t="n"/>
      <c r="G22" s="8922" t="n"/>
      <c r="H22" s="8922" t="n"/>
      <c r="I22" s="8922" t="n"/>
      <c r="J22" s="8922" t="n"/>
      <c r="K22" s="8922" t="n"/>
      <c r="L22" s="8922" t="n"/>
      <c r="M22" s="8922" t="n"/>
      <c r="N22" s="8922" t="n"/>
      <c r="O22" s="8922" t="n"/>
      <c r="P22" s="8922" t="n"/>
      <c r="Q22" s="8922" t="n"/>
      <c r="R22" s="8922" t="n"/>
      <c r="S22" s="8922" t="n"/>
      <c r="T22" s="8922" t="n"/>
      <c r="U22" s="8922" t="n"/>
      <c r="V22" s="8922" t="n"/>
      <c r="W22" s="8922" t="n"/>
      <c r="X22" s="8922" t="n"/>
      <c r="Y22" s="8922" t="n"/>
      <c r="Z22" s="8922" t="n"/>
      <c r="AA22" s="8922" t="n"/>
      <c r="AB22" s="8922" t="n"/>
      <c r="AC22" s="8922" t="n"/>
      <c r="AD22" s="8922" t="n"/>
      <c r="AE22" s="8922" t="n"/>
      <c r="AF22" s="8922" t="n"/>
      <c r="AG22" s="2013" t="n"/>
      <c r="BA22" s="12799" t="inlineStr">
        <is>
          <t>Less than One Year</t>
        </is>
      </c>
      <c r="BB22" s="8412" t="n"/>
      <c r="BC22" s="11734" t="n"/>
    </row>
    <row r="23" ht="12.75" customHeight="1" s="7635">
      <c r="A23" s="2013" t="n"/>
      <c r="B23" s="11403">
        <f>IF(SpaceUsed_8949A_ST,"ERROR: DO NOT use the space bar to uncheck a box. Use the 'Delete' key.","for one or more of the boxes, complete as many forms with the same box checked as you need.")</f>
        <v/>
      </c>
      <c r="C23" s="8922" t="n"/>
      <c r="D23" s="8922" t="n"/>
      <c r="E23" s="8922" t="n"/>
      <c r="F23" s="8922" t="n"/>
      <c r="G23" s="8922" t="n"/>
      <c r="H23" s="8922" t="n"/>
      <c r="I23" s="8922" t="n"/>
      <c r="J23" s="8922" t="n"/>
      <c r="K23" s="8922" t="n"/>
      <c r="L23" s="8922" t="n"/>
      <c r="M23" s="8922" t="n"/>
      <c r="N23" s="8922" t="n"/>
      <c r="O23" s="8922" t="n"/>
      <c r="P23" s="8922" t="n"/>
      <c r="Q23" s="8922" t="n"/>
      <c r="R23" s="8922" t="n"/>
      <c r="S23" s="8922" t="n"/>
      <c r="T23" s="8922" t="n"/>
      <c r="U23" s="8922" t="n"/>
      <c r="V23" s="8922" t="n"/>
      <c r="W23" s="8922" t="n"/>
      <c r="X23" s="8922" t="n"/>
      <c r="Y23" s="8922" t="n"/>
      <c r="Z23" s="8922" t="n"/>
      <c r="AA23" s="8922" t="n"/>
      <c r="AB23" s="8922" t="n"/>
      <c r="AC23" s="8922" t="n"/>
      <c r="AD23" s="8922" t="n"/>
      <c r="AE23" s="8922" t="n"/>
      <c r="AF23" s="8922" t="n"/>
      <c r="AG23" s="2013" t="n"/>
      <c r="AJ23" s="3809" t="n"/>
      <c r="AK23" s="3809" t="n"/>
      <c r="AL23" s="3809" t="n"/>
      <c r="AM23" s="3809" t="n"/>
      <c r="AN23" s="3809" t="n"/>
      <c r="AO23" s="3809" t="n"/>
      <c r="AP23" s="3809" t="n"/>
      <c r="AQ23" s="3809" t="n"/>
      <c r="BA23" s="11398" t="inlineStr">
        <is>
          <t>Calendar Year is SAME</t>
        </is>
      </c>
      <c r="BB23" s="11398" t="inlineStr">
        <is>
          <t>Before This Month (Last Year)</t>
        </is>
      </c>
      <c r="BC23" s="11398" t="inlineStr">
        <is>
          <t>Before This Day and Month (Last Year)</t>
        </is>
      </c>
    </row>
    <row r="24" ht="4.5" customHeight="1" s="7635" thickBot="1">
      <c r="A24" s="2013" t="n"/>
      <c r="B24" s="8922" t="n"/>
      <c r="C24" s="8922" t="n"/>
      <c r="D24" s="8922" t="n"/>
      <c r="E24" s="8922" t="n"/>
      <c r="F24" s="8922" t="n"/>
      <c r="G24" s="8922" t="n"/>
      <c r="H24" s="8922" t="n"/>
      <c r="I24" s="8922" t="n"/>
      <c r="J24" s="8922" t="n"/>
      <c r="K24" s="8922" t="n"/>
      <c r="L24" s="8922" t="n"/>
      <c r="M24" s="8922" t="n"/>
      <c r="N24" s="8922" t="n"/>
      <c r="O24" s="8922" t="n"/>
      <c r="P24" s="8922" t="n"/>
      <c r="Q24" s="8922" t="n"/>
      <c r="R24" s="8922" t="n"/>
      <c r="S24" s="8922" t="n"/>
      <c r="T24" s="8922" t="n"/>
      <c r="U24" s="8922" t="n"/>
      <c r="V24" s="8922" t="n"/>
      <c r="W24" s="8922" t="n"/>
      <c r="X24" s="8922" t="n"/>
      <c r="Y24" s="8922" t="n"/>
      <c r="Z24" s="8922" t="n"/>
      <c r="AA24" s="8922" t="n"/>
      <c r="AB24" s="8922" t="n"/>
      <c r="AC24" s="8922" t="n"/>
      <c r="AD24" s="8922" t="n"/>
      <c r="AE24" s="8922" t="n"/>
      <c r="AF24" s="8922" t="n"/>
      <c r="AG24" s="2013" t="n"/>
      <c r="BA24" s="11747" t="n"/>
      <c r="BB24" s="11747" t="n"/>
      <c r="BC24" s="11747" t="n"/>
    </row>
    <row r="25" ht="12" customHeight="1" s="7635" thickBot="1">
      <c r="A25" s="2013" t="n"/>
      <c r="B25" s="8914">
        <f>IF(C25&lt;&gt;"",1,0)</f>
        <v/>
      </c>
      <c r="C25" s="300" t="n"/>
      <c r="D25" s="3440" t="inlineStr">
        <is>
          <t xml:space="preserve"> (A) Short-term transactions reported on Form(s) 1099-B showing basis was reported to the IRS (see Note above)</t>
        </is>
      </c>
      <c r="E25" s="8922" t="n"/>
      <c r="F25" s="8922" t="n"/>
      <c r="G25" s="8922" t="n"/>
      <c r="H25" s="8922" t="n"/>
      <c r="I25" s="8922" t="n"/>
      <c r="J25" s="8922" t="n"/>
      <c r="K25" s="8922" t="n"/>
      <c r="L25" s="8922" t="n"/>
      <c r="M25" s="8922" t="n"/>
      <c r="N25" s="8922" t="n"/>
      <c r="O25" s="8922" t="n"/>
      <c r="P25" s="8922" t="n"/>
      <c r="Q25" s="8922" t="n"/>
      <c r="R25" s="8922" t="n"/>
      <c r="S25" s="8922" t="n"/>
      <c r="T25" s="8922" t="n"/>
      <c r="U25" s="8922" t="n"/>
      <c r="V25" s="8922" t="n"/>
      <c r="W25" s="8922" t="n"/>
      <c r="X25" s="8922" t="n"/>
      <c r="Y25" s="8922" t="n"/>
      <c r="Z25" s="8922" t="n"/>
      <c r="AA25" s="8922" t="n"/>
      <c r="AB25" s="8922" t="n"/>
      <c r="AC25" s="8922" t="n"/>
      <c r="AD25" s="8922" t="n"/>
      <c r="AE25" s="8922" t="n"/>
      <c r="AF25" s="8922" t="n"/>
      <c r="AG25" s="2013" t="n"/>
      <c r="AJ25" s="11392" t="n"/>
      <c r="BA25" s="11747" t="n"/>
      <c r="BB25" s="11747" t="n"/>
      <c r="BC25" s="11747" t="n"/>
    </row>
    <row r="26" ht="4.5" customHeight="1" s="7635" thickBot="1">
      <c r="A26" s="2013" t="n"/>
      <c r="B26" s="8914" t="n"/>
      <c r="C26" s="8922" t="n"/>
      <c r="D26" s="1836" t="n"/>
      <c r="E26" s="8922" t="n"/>
      <c r="F26" s="8922" t="n"/>
      <c r="G26" s="8922" t="n"/>
      <c r="H26" s="8922" t="n"/>
      <c r="I26" s="8922" t="n"/>
      <c r="J26" s="8922" t="n"/>
      <c r="K26" s="8922" t="n"/>
      <c r="L26" s="8922" t="n"/>
      <c r="M26" s="8922" t="n"/>
      <c r="N26" s="8922" t="n"/>
      <c r="O26" s="8922" t="n"/>
      <c r="P26" s="8922" t="n"/>
      <c r="Q26" s="8922" t="n"/>
      <c r="R26" s="8922" t="n"/>
      <c r="S26" s="8922" t="n"/>
      <c r="T26" s="8922" t="n"/>
      <c r="U26" s="8922" t="n"/>
      <c r="V26" s="8922" t="n"/>
      <c r="W26" s="8922" t="n"/>
      <c r="X26" s="8922" t="n"/>
      <c r="Y26" s="8922" t="n"/>
      <c r="Z26" s="8922" t="n"/>
      <c r="AA26" s="8922" t="n"/>
      <c r="AB26" s="8922" t="n"/>
      <c r="AC26" s="8922" t="n"/>
      <c r="AD26" s="8922" t="n"/>
      <c r="AE26" s="8922" t="n"/>
      <c r="AF26" s="8922" t="n"/>
      <c r="AG26" s="2013" t="n"/>
      <c r="BA26" s="11747" t="n"/>
      <c r="BB26" s="11747" t="n"/>
      <c r="BC26" s="11747" t="n"/>
    </row>
    <row r="27" ht="11.25" customHeight="1" s="7635" thickBot="1">
      <c r="A27" s="2013" t="n"/>
      <c r="B27" s="8914">
        <f>IF(C27&lt;&gt;"",1,0)</f>
        <v/>
      </c>
      <c r="C27" s="300" t="n"/>
      <c r="D27" s="3440" t="inlineStr">
        <is>
          <t xml:space="preserve"> (B) Short-term transactions reported on Form(s) 1099-B showing basis was not reported to the IRS</t>
        </is>
      </c>
      <c r="E27" s="8922" t="n"/>
      <c r="F27" s="8922" t="n"/>
      <c r="G27" s="8922" t="n"/>
      <c r="H27" s="8922" t="n"/>
      <c r="I27" s="8922" t="n"/>
      <c r="J27" s="8922" t="n"/>
      <c r="K27" s="8922" t="n"/>
      <c r="L27" s="8922" t="n"/>
      <c r="M27" s="8922" t="n"/>
      <c r="N27" s="8922" t="n"/>
      <c r="O27" s="8922" t="n"/>
      <c r="P27" s="8922" t="n"/>
      <c r="Q27" s="8922" t="n"/>
      <c r="R27" s="8922" t="n"/>
      <c r="S27" s="8922" t="n"/>
      <c r="T27" s="8922" t="n"/>
      <c r="U27" s="8922" t="n"/>
      <c r="V27" s="8922" t="n"/>
      <c r="W27" s="8922" t="n"/>
      <c r="X27" s="8922" t="n"/>
      <c r="Y27" s="8922" t="n"/>
      <c r="Z27" s="8922" t="n"/>
      <c r="AA27" s="8922" t="n"/>
      <c r="AB27" s="8922" t="n"/>
      <c r="AC27" s="8922" t="n"/>
      <c r="AD27" s="8922" t="n"/>
      <c r="AE27" s="8922" t="n"/>
      <c r="AF27" s="8922" t="n"/>
      <c r="AG27" s="2013" t="n"/>
      <c r="AJ27" s="11392" t="n"/>
      <c r="BA27" s="11747" t="n"/>
      <c r="BB27" s="11747" t="n"/>
      <c r="BC27" s="11747" t="n"/>
    </row>
    <row r="28" ht="4.5" customHeight="1" s="7635" thickBot="1">
      <c r="A28" s="2013" t="n"/>
      <c r="B28" s="8914" t="n"/>
      <c r="C28" s="8922" t="n"/>
      <c r="D28" s="1836" t="n"/>
      <c r="E28" s="8922" t="n"/>
      <c r="F28" s="8922" t="n"/>
      <c r="G28" s="8922" t="n"/>
      <c r="H28" s="8922" t="n"/>
      <c r="I28" s="8922" t="n"/>
      <c r="J28" s="8922" t="n"/>
      <c r="K28" s="8922" t="n"/>
      <c r="L28" s="8922" t="n"/>
      <c r="M28" s="8922" t="n"/>
      <c r="N28" s="8922" t="n"/>
      <c r="O28" s="8922" t="n"/>
      <c r="P28" s="8922" t="n"/>
      <c r="Q28" s="8922" t="n"/>
      <c r="R28" s="8922" t="n"/>
      <c r="S28" s="8922" t="n"/>
      <c r="T28" s="8922" t="n"/>
      <c r="U28" s="8922" t="n"/>
      <c r="V28" s="8922" t="n"/>
      <c r="W28" s="8922" t="n"/>
      <c r="X28" s="8922" t="n"/>
      <c r="Y28" s="8922" t="n"/>
      <c r="Z28" s="8922" t="n"/>
      <c r="AA28" s="8922" t="n"/>
      <c r="AB28" s="8922" t="n"/>
      <c r="AC28" s="8922" t="n"/>
      <c r="AD28" s="8922" t="n"/>
      <c r="AE28" s="8922" t="n"/>
      <c r="AF28" s="8922" t="n"/>
      <c r="AG28" s="2013" t="n"/>
      <c r="BA28" s="11747" t="n"/>
      <c r="BB28" s="11747" t="n"/>
      <c r="BC28" s="11747" t="n"/>
    </row>
    <row r="29" ht="12" customHeight="1" s="7635" thickBot="1">
      <c r="A29" s="2013">
        <f>SUM(B25:B29)</f>
        <v/>
      </c>
      <c r="B29" s="8914">
        <f>IF(C29&lt;&gt;"",1,0)</f>
        <v/>
      </c>
      <c r="C29" s="300" t="n"/>
      <c r="D29" s="3440" t="inlineStr">
        <is>
          <t xml:space="preserve"> (C) Short-term transactions, other than digital asset transactions, not reported to you on Form 1099-B or Form 1099-DA</t>
        </is>
      </c>
      <c r="E29" s="8922" t="n"/>
      <c r="F29" s="8922" t="n"/>
      <c r="G29" s="8922" t="n"/>
      <c r="H29" s="8922" t="n"/>
      <c r="I29" s="8922" t="n"/>
      <c r="J29" s="8922" t="n"/>
      <c r="K29" s="8922" t="n"/>
      <c r="L29" s="8922" t="n"/>
      <c r="M29" s="8922" t="n"/>
      <c r="N29" s="8922" t="n"/>
      <c r="O29" s="8922" t="n"/>
      <c r="P29" s="8922" t="n"/>
      <c r="Q29" s="8922" t="n"/>
      <c r="R29" s="8922" t="n"/>
      <c r="S29" s="8922" t="n"/>
      <c r="T29" s="8922" t="n"/>
      <c r="U29" s="8922" t="n"/>
      <c r="V29" s="8922" t="n"/>
      <c r="W29" s="8922" t="n"/>
      <c r="X29" s="8922" t="n"/>
      <c r="Y29" s="8922" t="n"/>
      <c r="Z29" s="8922" t="n"/>
      <c r="AA29" s="8922" t="n"/>
      <c r="AB29" s="8922" t="n"/>
      <c r="AC29" s="6009" t="n"/>
      <c r="AD29" s="6009" t="n"/>
      <c r="AE29" s="6010" t="n"/>
      <c r="AF29" s="8922" t="n"/>
      <c r="AG29" s="2013" t="n"/>
      <c r="AH29" s="9649">
        <f>OR(F8949BSBOXA=CHAR(32),F8949BSBOXB=CHAR(32),F8949BSBOXC=CHAR(32),F8949BSBOXG=CHAR(32),F8949BSBOXH=CHAR(32),F8949BSBOXI=CHAR(32))</f>
        <v/>
      </c>
      <c r="AJ29" s="11392" t="n"/>
      <c r="BA29" s="11747" t="n"/>
      <c r="BB29" s="11747" t="n"/>
      <c r="BC29" s="11747" t="n"/>
    </row>
    <row r="30" ht="4.5" customHeight="1" s="7635" thickBot="1">
      <c r="A30" s="2013" t="n"/>
      <c r="B30" s="8922" t="n"/>
      <c r="C30" s="8922" t="n"/>
      <c r="D30" s="1836" t="n"/>
      <c r="E30" s="8922" t="n"/>
      <c r="F30" s="8922" t="n"/>
      <c r="G30" s="8922" t="n"/>
      <c r="H30" s="8922" t="n"/>
      <c r="I30" s="8922" t="n"/>
      <c r="J30" s="8922" t="n"/>
      <c r="K30" s="8922" t="n"/>
      <c r="L30" s="8922" t="n"/>
      <c r="M30" s="8922" t="n"/>
      <c r="N30" s="8922" t="n"/>
      <c r="O30" s="8922" t="n"/>
      <c r="P30" s="8922" t="n"/>
      <c r="Q30" s="8922" t="n"/>
      <c r="R30" s="8922" t="n"/>
      <c r="S30" s="8922" t="n"/>
      <c r="T30" s="8922" t="n"/>
      <c r="U30" s="8922" t="n"/>
      <c r="V30" s="8922" t="n"/>
      <c r="W30" s="8922" t="n"/>
      <c r="X30" s="8922" t="n"/>
      <c r="Y30" s="8922" t="n"/>
      <c r="Z30" s="8922" t="n"/>
      <c r="AA30" s="8922" t="n"/>
      <c r="AB30" s="8922" t="n"/>
      <c r="AC30" s="8922" t="n"/>
      <c r="AD30" s="8922" t="n"/>
      <c r="AE30" s="8922" t="n"/>
      <c r="AF30" s="8922" t="n"/>
      <c r="AG30" s="2013" t="n"/>
      <c r="BA30" s="11747" t="n"/>
      <c r="BB30" s="11747" t="n"/>
      <c r="BC30" s="11747" t="n"/>
    </row>
    <row r="31" ht="12" customHeight="1" s="7635" thickBot="1">
      <c r="A31" s="2013" t="n"/>
      <c r="B31" s="8914">
        <f>IF(C31&lt;&gt;"",1,0)</f>
        <v/>
      </c>
      <c r="C31" s="300" t="n"/>
      <c r="D31" s="3440" t="inlineStr">
        <is>
          <t xml:space="preserve"> (G) Short-term transactions reported on Form(s) 1099-DA showing basis was reported to the IRS (see Note above)</t>
        </is>
      </c>
      <c r="E31" s="8922" t="n"/>
      <c r="F31" s="8922" t="n"/>
      <c r="G31" s="8922" t="n"/>
      <c r="H31" s="8922" t="n"/>
      <c r="I31" s="8922" t="n"/>
      <c r="J31" s="8922" t="n"/>
      <c r="K31" s="8922" t="n"/>
      <c r="L31" s="8922" t="n"/>
      <c r="M31" s="8922" t="n"/>
      <c r="N31" s="8922" t="n"/>
      <c r="O31" s="8922" t="n"/>
      <c r="P31" s="8922" t="n"/>
      <c r="Q31" s="8922" t="n"/>
      <c r="R31" s="8922" t="n"/>
      <c r="S31" s="8922" t="n"/>
      <c r="T31" s="8922" t="n"/>
      <c r="U31" s="8922" t="n"/>
      <c r="V31" s="8922" t="n"/>
      <c r="W31" s="8922" t="n"/>
      <c r="X31" s="8922" t="n"/>
      <c r="Y31" s="8922" t="n"/>
      <c r="Z31" s="8922" t="n"/>
      <c r="AA31" s="8922" t="n"/>
      <c r="AB31" s="8922" t="n"/>
      <c r="AC31" s="8922" t="n"/>
      <c r="AD31" s="8922" t="n"/>
      <c r="AE31" s="8922" t="n"/>
      <c r="AF31" s="8922" t="n"/>
      <c r="AG31" s="2013" t="n"/>
      <c r="AJ31" s="11392" t="n"/>
      <c r="BA31" s="11747" t="n"/>
      <c r="BB31" s="11747" t="n"/>
      <c r="BC31" s="11747" t="n"/>
    </row>
    <row r="32" ht="4.5" customHeight="1" s="7635" thickBot="1">
      <c r="A32" s="2013" t="n"/>
      <c r="B32" s="8914" t="n"/>
      <c r="C32" s="8922" t="n"/>
      <c r="D32" s="1836" t="n"/>
      <c r="E32" s="8922" t="n"/>
      <c r="F32" s="8922" t="n"/>
      <c r="G32" s="8922" t="n"/>
      <c r="H32" s="8922" t="n"/>
      <c r="I32" s="8922" t="n"/>
      <c r="J32" s="8922" t="n"/>
      <c r="K32" s="8922" t="n"/>
      <c r="L32" s="8922" t="n"/>
      <c r="M32" s="8922" t="n"/>
      <c r="N32" s="8922" t="n"/>
      <c r="O32" s="8922" t="n"/>
      <c r="P32" s="8922" t="n"/>
      <c r="Q32" s="8922" t="n"/>
      <c r="R32" s="8922" t="n"/>
      <c r="S32" s="8922" t="n"/>
      <c r="T32" s="8922" t="n"/>
      <c r="U32" s="8922" t="n"/>
      <c r="V32" s="8922" t="n"/>
      <c r="W32" s="8922" t="n"/>
      <c r="X32" s="8922" t="n"/>
      <c r="Y32" s="8922" t="n"/>
      <c r="Z32" s="8922" t="n"/>
      <c r="AA32" s="8922" t="n"/>
      <c r="AB32" s="8922" t="n"/>
      <c r="AC32" s="8922" t="n"/>
      <c r="AD32" s="8922" t="n"/>
      <c r="AE32" s="8922" t="n"/>
      <c r="AF32" s="8922" t="n"/>
      <c r="AG32" s="2013" t="n"/>
      <c r="BA32" s="11747" t="n"/>
      <c r="BB32" s="11747" t="n"/>
      <c r="BC32" s="11747" t="n"/>
    </row>
    <row r="33" ht="11.25" customHeight="1" s="7635" thickBot="1">
      <c r="A33" s="2013" t="n"/>
      <c r="B33" s="8914">
        <f>IF(C33&lt;&gt;"",1,0)</f>
        <v/>
      </c>
      <c r="C33" s="300" t="n"/>
      <c r="D33" s="3440" t="inlineStr">
        <is>
          <t xml:space="preserve"> (H) Short-term transactions reported on Form(s) 1099-DA showing basis was not reported to the IRS</t>
        </is>
      </c>
      <c r="E33" s="8922" t="n"/>
      <c r="F33" s="8922" t="n"/>
      <c r="G33" s="8922" t="n"/>
      <c r="H33" s="8922" t="n"/>
      <c r="I33" s="8922" t="n"/>
      <c r="J33" s="8922" t="n"/>
      <c r="K33" s="8922" t="n"/>
      <c r="L33" s="8922" t="n"/>
      <c r="M33" s="8922" t="n"/>
      <c r="N33" s="8922" t="n"/>
      <c r="O33" s="8922" t="n"/>
      <c r="P33" s="8922" t="n"/>
      <c r="Q33" s="8922" t="n"/>
      <c r="R33" s="8922" t="n"/>
      <c r="S33" s="8922" t="n"/>
      <c r="T33" s="8922" t="n"/>
      <c r="U33" s="8922" t="n"/>
      <c r="V33" s="8922" t="n"/>
      <c r="W33" s="8922" t="n"/>
      <c r="X33" s="8922" t="n"/>
      <c r="Y33" s="8922" t="n"/>
      <c r="Z33" s="8922" t="n"/>
      <c r="AA33" s="8922" t="n"/>
      <c r="AB33" s="8922" t="n"/>
      <c r="AC33" s="8922" t="n"/>
      <c r="AD33" s="8922" t="n"/>
      <c r="AE33" s="8922" t="n"/>
      <c r="AF33" s="8922" t="n"/>
      <c r="AG33" s="2013" t="n"/>
      <c r="AJ33" s="11392" t="n"/>
      <c r="BA33" s="11747" t="n"/>
      <c r="BB33" s="11747" t="n"/>
      <c r="BC33" s="11747" t="n"/>
    </row>
    <row r="34" ht="4.5" customHeight="1" s="7635" thickBot="1">
      <c r="A34" s="2013" t="n"/>
      <c r="B34" s="8914" t="n"/>
      <c r="C34" s="8922" t="n"/>
      <c r="D34" s="1836" t="n"/>
      <c r="E34" s="8922" t="n"/>
      <c r="F34" s="8922" t="n"/>
      <c r="G34" s="8922" t="n"/>
      <c r="H34" s="8922" t="n"/>
      <c r="I34" s="8922" t="n"/>
      <c r="J34" s="8922" t="n"/>
      <c r="K34" s="8922" t="n"/>
      <c r="L34" s="8922" t="n"/>
      <c r="M34" s="8922" t="n"/>
      <c r="N34" s="8922" t="n"/>
      <c r="O34" s="8922" t="n"/>
      <c r="P34" s="8922" t="n"/>
      <c r="Q34" s="8922" t="n"/>
      <c r="R34" s="8922" t="n"/>
      <c r="S34" s="8922" t="n"/>
      <c r="T34" s="8922" t="n"/>
      <c r="U34" s="8922" t="n"/>
      <c r="V34" s="8922" t="n"/>
      <c r="W34" s="8922" t="n"/>
      <c r="X34" s="8922" t="n"/>
      <c r="Y34" s="8922" t="n"/>
      <c r="Z34" s="8922" t="n"/>
      <c r="AA34" s="8922" t="n"/>
      <c r="AB34" s="8922" t="n"/>
      <c r="AC34" s="8922" t="n"/>
      <c r="AD34" s="8922" t="n"/>
      <c r="AE34" s="8922" t="n"/>
      <c r="AF34" s="8922" t="n"/>
      <c r="AG34" s="2013" t="n"/>
      <c r="BA34" s="11747" t="n"/>
      <c r="BB34" s="11747" t="n"/>
      <c r="BC34" s="11747" t="n"/>
    </row>
    <row r="35" ht="12" customHeight="1" s="7635" thickBot="1">
      <c r="A35" s="2013">
        <f>SUM(B25:B35)</f>
        <v/>
      </c>
      <c r="B35" s="8914">
        <f>IF(C35&lt;&gt;"",1,0)</f>
        <v/>
      </c>
      <c r="C35" s="300" t="n"/>
      <c r="D35" s="3440" t="inlineStr">
        <is>
          <t xml:space="preserve"> (I) Short-term digital asset transactions not reported to you on Form 1099-DA or Form 1099-B</t>
        </is>
      </c>
      <c r="E35" s="8922" t="n"/>
      <c r="F35" s="8922" t="n"/>
      <c r="G35" s="8922" t="n"/>
      <c r="H35" s="8922" t="n"/>
      <c r="I35" s="8922" t="n"/>
      <c r="J35" s="8922" t="n"/>
      <c r="K35" s="8922" t="n"/>
      <c r="L35" s="8922" t="n"/>
      <c r="M35" s="8922" t="n"/>
      <c r="N35" s="8922" t="n"/>
      <c r="O35" s="8922" t="n"/>
      <c r="P35" s="8922" t="n"/>
      <c r="Q35" s="8922" t="n"/>
      <c r="R35" s="3429" t="n"/>
      <c r="S35" s="794" t="n"/>
      <c r="T35" s="794" t="n"/>
      <c r="U35" s="794" t="n"/>
      <c r="V35" s="794" t="n"/>
      <c r="W35" s="794" t="n"/>
      <c r="X35" s="794" t="n"/>
      <c r="Y35" s="794" t="n"/>
      <c r="Z35" s="794" t="n"/>
      <c r="AA35" s="794" t="n"/>
      <c r="AB35" s="3429" t="n"/>
      <c r="AC35" s="794" t="n"/>
      <c r="AD35" s="794" t="n"/>
      <c r="AE35" s="794" t="n"/>
      <c r="AF35" s="6011" t="n"/>
      <c r="AG35" s="2013" t="n"/>
      <c r="AH35" s="9649" t="n"/>
      <c r="AJ35" s="11392" t="inlineStr">
        <is>
          <t>Paste data from other spreadsheets, reports, etc. here.  (Use 'Paste Special, Values')</t>
        </is>
      </c>
      <c r="BA35" s="11747" t="n"/>
      <c r="BB35" s="11747" t="n"/>
      <c r="BC35" s="11747" t="n"/>
    </row>
    <row r="36" ht="5.25" customHeight="1" s="7635">
      <c r="A36" s="2013" t="n"/>
      <c r="B36" s="6012" t="n"/>
      <c r="C36" s="6013" t="n"/>
      <c r="D36" s="6012" t="n"/>
      <c r="E36" s="6012" t="n"/>
      <c r="F36" s="6012" t="n"/>
      <c r="G36" s="6012" t="n"/>
      <c r="H36" s="6012" t="n"/>
      <c r="I36" s="6012" t="n"/>
      <c r="J36" s="6012" t="n"/>
      <c r="K36" s="6012" t="n"/>
      <c r="L36" s="6012" t="n"/>
      <c r="M36" s="6012" t="n"/>
      <c r="N36" s="6013" t="n"/>
      <c r="O36" s="6012" t="n"/>
      <c r="P36" s="6012" t="n"/>
      <c r="Q36" s="6012" t="n"/>
      <c r="R36" s="6012" t="n"/>
      <c r="S36" s="6012" t="n"/>
      <c r="T36" s="6012" t="n"/>
      <c r="U36" s="6012" t="n"/>
      <c r="V36" s="6012" t="n"/>
      <c r="W36" s="6012" t="n"/>
      <c r="X36" s="6012" t="n"/>
      <c r="Y36" s="6013" t="n"/>
      <c r="Z36" s="6012" t="n"/>
      <c r="AA36" s="6012" t="n"/>
      <c r="AB36" s="6012" t="n"/>
      <c r="AC36" s="6012" t="n"/>
      <c r="AD36" s="6012" t="n"/>
      <c r="AE36" s="6012" t="n"/>
      <c r="AF36" s="6012" t="n"/>
      <c r="AG36" s="2013" t="n"/>
      <c r="BA36" s="11747" t="n"/>
      <c r="BB36" s="11747" t="n"/>
      <c r="BC36" s="11747" t="n"/>
    </row>
    <row r="37" ht="21" customHeight="1" s="7635">
      <c r="A37" s="2013" t="n"/>
      <c r="B37" s="12800" t="n">
        <v>1</v>
      </c>
      <c r="C37" s="12801" t="inlineStr">
        <is>
          <t>(a)
Description of property
(Example: 100 sh. XYZ Co.)</t>
        </is>
      </c>
      <c r="D37" s="7839" t="n"/>
      <c r="E37" s="7839" t="n"/>
      <c r="F37" s="7839" t="n"/>
      <c r="G37" s="7839" t="n"/>
      <c r="H37" s="7839" t="n"/>
      <c r="I37" s="10091" t="n"/>
      <c r="J37" s="11779" t="inlineStr">
        <is>
          <t>(b)
Date acquired
(Mo., day, yr.)</t>
        </is>
      </c>
      <c r="K37" s="7839" t="n"/>
      <c r="L37" s="10091" t="n"/>
      <c r="M37" s="11779" t="inlineStr">
        <is>
          <t>(c)
Date sold or
disposed of
(Mo., day, yr.)</t>
        </is>
      </c>
      <c r="N37" s="7839" t="n"/>
      <c r="O37" s="7839" t="n"/>
      <c r="P37" s="10091" t="n"/>
      <c r="Q37" s="11779" t="inlineStr">
        <is>
          <t>(d)
Proceeds 
(sales price) 
(see instructions)</t>
        </is>
      </c>
      <c r="R37" s="7839" t="n"/>
      <c r="S37" s="7839" t="n"/>
      <c r="T37" s="10091" t="n"/>
      <c r="U37" s="12802" t="inlineStr">
        <is>
          <t>(e)
Cost or other basis. 
See the Note below 
and see Column (e) 
in the separate 
instructions</t>
        </is>
      </c>
      <c r="V37" s="7839" t="n"/>
      <c r="W37" s="7839" t="n"/>
      <c r="X37" s="10091" t="n"/>
      <c r="Y37" s="12803" t="inlineStr">
        <is>
          <t>Adjustment, if any, to gain or loss. 
If you enter an amount in column (g), 
enter a code in column (f). 
See the separate instructions.</t>
        </is>
      </c>
      <c r="Z37" s="7839" t="n"/>
      <c r="AA37" s="7839" t="n"/>
      <c r="AB37" s="10091" t="n"/>
      <c r="AC37" s="12804" t="inlineStr">
        <is>
          <t>(h) 
Gain or (loss). 
Subtract column (e) 
from column (d) and 
combine the result 
with column (g)</t>
        </is>
      </c>
      <c r="AD37" s="7839" t="n"/>
      <c r="AE37" s="7839" t="n"/>
      <c r="AF37" s="7839" t="n"/>
      <c r="AG37" s="2013" t="n"/>
      <c r="AJ37" s="11391" t="inlineStr">
        <is>
          <t>(a)
Description of property
(Example: 100 sh. XYZ Co.)</t>
        </is>
      </c>
      <c r="AK37" s="11391" t="inlineStr">
        <is>
          <t>(b)
Date acquired 
(Mo., day, yr.)</t>
        </is>
      </c>
      <c r="AL37" s="11391" t="inlineStr">
        <is>
          <t>(c)
Date sold or disposed
(Mo., day, yr.)</t>
        </is>
      </c>
      <c r="AM37" s="11391" t="inlineStr">
        <is>
          <t>(d)
Proceeds (sales price)
(see instructions)</t>
        </is>
      </c>
      <c r="AN37" s="11400" t="inlineStr">
        <is>
          <t>(e)
Cost or other basis.
See the Note below 
and see Column (e)
in the separate instructions</t>
        </is>
      </c>
      <c r="AO37" s="12805" t="inlineStr">
        <is>
          <t>Adjustment, if any, to gain or loss. 
If you enter an amount in column (g), 
enter a code in column (f). 
See the separate instructions.</t>
        </is>
      </c>
      <c r="AP37" s="10091" t="n"/>
      <c r="AQ37" s="11391" t="inlineStr">
        <is>
          <t>(h) 
Gain or (loss). 
Subtract column (e) 
from column (d) and 
combine the result 
with column (g)</t>
        </is>
      </c>
      <c r="BA37" s="11747" t="n"/>
      <c r="BB37" s="11747" t="n"/>
      <c r="BC37" s="11747" t="n"/>
    </row>
    <row r="38" ht="21" customHeight="1" s="7635">
      <c r="A38" s="2013" t="n"/>
      <c r="I38" s="7636" t="n"/>
      <c r="J38" s="4772" t="n"/>
      <c r="L38" s="7636" t="n"/>
      <c r="M38" s="4772" t="n"/>
      <c r="P38" s="7636" t="n"/>
      <c r="Q38" s="4772" t="n"/>
      <c r="T38" s="7636" t="n"/>
      <c r="U38" s="4772" t="n"/>
      <c r="X38" s="7636" t="n"/>
      <c r="Y38" s="3614" t="n"/>
      <c r="Z38" s="7637" t="n"/>
      <c r="AA38" s="7637" t="n"/>
      <c r="AB38" s="7638" t="n"/>
      <c r="AC38" s="4772" t="n"/>
      <c r="AG38" s="2013" t="n"/>
      <c r="AJ38" s="11747" t="n"/>
      <c r="AK38" s="11747" t="n"/>
      <c r="AL38" s="11747" t="n"/>
      <c r="AM38" s="11747" t="n"/>
      <c r="AN38" s="11747" t="n"/>
      <c r="AO38" s="3614" t="n"/>
      <c r="AP38" s="7638" t="n"/>
      <c r="AQ38" s="11747" t="n"/>
      <c r="BA38" s="11747" t="n"/>
      <c r="BB38" s="11747" t="n"/>
      <c r="BC38" s="11747" t="n"/>
    </row>
    <row r="39" ht="18" customHeight="1" s="7635">
      <c r="A39" s="2013" t="n"/>
      <c r="I39" s="7636" t="n"/>
      <c r="J39" s="4772" t="n"/>
      <c r="L39" s="7636" t="n"/>
      <c r="M39" s="4772" t="n"/>
      <c r="P39" s="7636" t="n"/>
      <c r="Q39" s="4772" t="n"/>
      <c r="T39" s="7636" t="n"/>
      <c r="U39" s="4772" t="n"/>
      <c r="X39" s="7636" t="n"/>
      <c r="Y39" s="12122" t="inlineStr">
        <is>
          <t>(f) 
Code(s) from 
instructions</t>
        </is>
      </c>
      <c r="Z39" s="10091" t="n"/>
      <c r="AA39" s="12122" t="inlineStr">
        <is>
          <t>(g) 
Amount of 
adjustment</t>
        </is>
      </c>
      <c r="AB39" s="10091" t="n"/>
      <c r="AC39" s="4772" t="n"/>
      <c r="AG39" s="2013" t="n"/>
      <c r="AJ39" s="11747" t="n"/>
      <c r="AK39" s="11747" t="n"/>
      <c r="AL39" s="11747" t="n"/>
      <c r="AM39" s="11747" t="n"/>
      <c r="AN39" s="11747" t="n"/>
      <c r="AO39" s="12122" t="inlineStr">
        <is>
          <t>(f) 
Code(s) from 
instructions</t>
        </is>
      </c>
      <c r="AP39" s="12122" t="inlineStr">
        <is>
          <t>(g) 
Amount of 
adjustment</t>
        </is>
      </c>
      <c r="AQ39" s="11747" t="n"/>
      <c r="BA39" s="11747" t="n"/>
      <c r="BB39" s="11747" t="n"/>
      <c r="BC39" s="11747" t="n"/>
    </row>
    <row r="40" ht="18" customHeight="1" s="7635">
      <c r="A40" s="2013" t="n"/>
      <c r="B40" s="7637" t="n"/>
      <c r="C40" s="7637" t="n"/>
      <c r="D40" s="7637" t="n"/>
      <c r="E40" s="7637" t="n"/>
      <c r="F40" s="7637" t="n"/>
      <c r="G40" s="7637" t="n"/>
      <c r="H40" s="7637" t="n"/>
      <c r="I40" s="7638" t="n"/>
      <c r="J40" s="3614" t="n"/>
      <c r="K40" s="7637" t="n"/>
      <c r="L40" s="7638" t="n"/>
      <c r="M40" s="3614" t="n"/>
      <c r="N40" s="7637" t="n"/>
      <c r="O40" s="7637" t="n"/>
      <c r="P40" s="7638" t="n"/>
      <c r="Q40" s="3614" t="n"/>
      <c r="R40" s="7637" t="n"/>
      <c r="S40" s="7637" t="n"/>
      <c r="T40" s="7638" t="n"/>
      <c r="U40" s="3614" t="n"/>
      <c r="V40" s="7637" t="n"/>
      <c r="W40" s="7637" t="n"/>
      <c r="X40" s="7638" t="n"/>
      <c r="Y40" s="3614" t="n"/>
      <c r="Z40" s="7638" t="n"/>
      <c r="AA40" s="3614" t="n"/>
      <c r="AB40" s="7638" t="n"/>
      <c r="AC40" s="3614" t="n"/>
      <c r="AD40" s="7637" t="n"/>
      <c r="AE40" s="7637" t="n"/>
      <c r="AF40" s="7637" t="n"/>
      <c r="AG40" s="2013" t="n"/>
      <c r="AJ40" s="11934" t="n"/>
      <c r="AK40" s="11934" t="n"/>
      <c r="AL40" s="11934" t="n"/>
      <c r="AM40" s="11934" t="n"/>
      <c r="AN40" s="11934" t="n"/>
      <c r="AO40" s="11934" t="n"/>
      <c r="AP40" s="11934" t="n"/>
      <c r="AQ40" s="11934" t="n"/>
      <c r="AZ40" s="8788" t="inlineStr">
        <is>
          <t>LTOY</t>
        </is>
      </c>
      <c r="BA40" s="11934" t="n"/>
      <c r="BB40" s="11934" t="n"/>
      <c r="BC40" s="11934" t="n"/>
    </row>
    <row r="41" ht="26.25" customHeight="1" s="7635">
      <c r="A41" s="2013">
        <f>IF(OR(Q41&lt;&gt;"",U41&lt;&gt;"",AC41&lt;&gt;""),1,0)</f>
        <v/>
      </c>
      <c r="B41" s="12806">
        <f>IF(AJ41="","",AJ41)</f>
        <v/>
      </c>
      <c r="C41" s="8007" t="n"/>
      <c r="D41" s="8007" t="n"/>
      <c r="E41" s="8007" t="n"/>
      <c r="F41" s="8007" t="n"/>
      <c r="G41" s="8007" t="n"/>
      <c r="H41" s="8007" t="n"/>
      <c r="I41" s="8008" t="n"/>
      <c r="J41" s="12807">
        <f>IF(AK41="","",AK41)</f>
        <v/>
      </c>
      <c r="K41" s="8007" t="n"/>
      <c r="L41" s="8007" t="n"/>
      <c r="M41" s="12808">
        <f>IF(AL41="","",AL41)</f>
        <v/>
      </c>
      <c r="N41" s="8007" t="n"/>
      <c r="O41" s="8007" t="n"/>
      <c r="P41" s="8008" t="n"/>
      <c r="Q41" s="12809">
        <f>IF(AM41="","",AM41)</f>
        <v/>
      </c>
      <c r="R41" s="8007" t="n"/>
      <c r="S41" s="8007" t="n"/>
      <c r="T41" s="8008" t="n"/>
      <c r="U41" s="12809">
        <f>IF(AN41="","",AN41)</f>
        <v/>
      </c>
      <c r="V41" s="8007" t="n"/>
      <c r="W41" s="8007" t="n"/>
      <c r="X41" s="8008" t="n"/>
      <c r="Y41" s="12810">
        <f>IF(AO41&lt;&gt;"",AO41,"")</f>
        <v/>
      </c>
      <c r="Z41" s="8008" t="n"/>
      <c r="AA41" s="12809">
        <f>IF(AP41="","",AP41)</f>
        <v/>
      </c>
      <c r="AB41" s="8008" t="n"/>
      <c r="AC41" s="11389">
        <f>IF(AQ41&lt;&gt;"",AQ41,IF(AND(Q41="",U41=""),"",IF(AND(Q41&lt;&gt;"",U41=""),SUM(Q41,AA41),SUM(Q41,-U41,AA41))))</f>
        <v/>
      </c>
      <c r="AD41" s="8412" t="n"/>
      <c r="AE41" s="8412" t="n"/>
      <c r="AF41" s="8412" t="n"/>
      <c r="AG41" s="4271">
        <f>IF(OR(J41="",M41=""),0,IF(OR(BA41,BB41,BC41),0,1))</f>
        <v/>
      </c>
      <c r="AH41" s="6014" t="n"/>
      <c r="AI41" s="6014">
        <f>M41-J41</f>
        <v/>
      </c>
      <c r="AJ41" s="293" t="n"/>
      <c r="AK41" s="12811" t="n"/>
      <c r="AL41" s="12811" t="n"/>
      <c r="AM41" s="295" t="n"/>
      <c r="AN41" s="295" t="n"/>
      <c r="AO41" s="296" t="n"/>
      <c r="AP41" s="295" t="n"/>
      <c r="AQ41" s="294" t="n"/>
      <c r="AS41">
        <f>YEAR(J41)</f>
        <v/>
      </c>
      <c r="AT41">
        <f>MONTH(J41)</f>
        <v/>
      </c>
      <c r="AU41">
        <f>DAY(J41)</f>
        <v/>
      </c>
      <c r="AW41">
        <f>YEAR(M41)</f>
        <v/>
      </c>
      <c r="AX41">
        <f>MONTH(M41)</f>
        <v/>
      </c>
      <c r="AY41">
        <f>DAY(M41)</f>
        <v/>
      </c>
      <c r="AZ41">
        <f>OR(BA41,BB41,BC41)</f>
        <v/>
      </c>
      <c r="BA41">
        <f>AW41=AS41</f>
        <v/>
      </c>
      <c r="BB41">
        <f>AND(AW41=AS41+1,AX41&lt;AT41)</f>
        <v/>
      </c>
      <c r="BC41">
        <f>AND(AW41=AS41+1,AX41=AT41,AY41&lt;=AU41)</f>
        <v/>
      </c>
    </row>
    <row r="42" ht="26.25" customHeight="1" s="7635">
      <c r="A42" s="2013">
        <f>IF(OR(Q42&lt;&gt;"",U42&lt;&gt;"",AC42&lt;&gt;""),1,0)</f>
        <v/>
      </c>
      <c r="B42" s="12806">
        <f>IF(AJ42="","",AJ42)</f>
        <v/>
      </c>
      <c r="C42" s="8007" t="n"/>
      <c r="D42" s="8007" t="n"/>
      <c r="E42" s="8007" t="n"/>
      <c r="F42" s="8007" t="n"/>
      <c r="G42" s="8007" t="n"/>
      <c r="H42" s="8007" t="n"/>
      <c r="I42" s="8008" t="n"/>
      <c r="J42" s="12807">
        <f>IF(AK42="","",AK42)</f>
        <v/>
      </c>
      <c r="K42" s="8007" t="n"/>
      <c r="L42" s="8007" t="n"/>
      <c r="M42" s="12808">
        <f>IF(AL42="","",AL42)</f>
        <v/>
      </c>
      <c r="N42" s="8007" t="n"/>
      <c r="O42" s="8007" t="n"/>
      <c r="P42" s="8008" t="n"/>
      <c r="Q42" s="12809">
        <f>IF(AM42="","",AM42)</f>
        <v/>
      </c>
      <c r="R42" s="8007" t="n"/>
      <c r="S42" s="8007" t="n"/>
      <c r="T42" s="8008" t="n"/>
      <c r="U42" s="12809">
        <f>IF(AN42="","",AN42)</f>
        <v/>
      </c>
      <c r="V42" s="8007" t="n"/>
      <c r="W42" s="8007" t="n"/>
      <c r="X42" s="8008" t="n"/>
      <c r="Y42" s="12810">
        <f>IF(AO42&lt;&gt;"",AO42,"")</f>
        <v/>
      </c>
      <c r="Z42" s="8008" t="n"/>
      <c r="AA42" s="12809">
        <f>IF(AP42="","",AP42)</f>
        <v/>
      </c>
      <c r="AB42" s="8008" t="n"/>
      <c r="AC42" s="11389">
        <f>IF(AQ42&lt;&gt;"",AQ42,IF(AND(Q42="",U42=""),"",IF(AND(Q42&lt;&gt;"",U42=""),SUM(Q42,AA42),SUM(Q42,-U42,AA42))))</f>
        <v/>
      </c>
      <c r="AD42" s="8412" t="n"/>
      <c r="AE42" s="8412" t="n"/>
      <c r="AF42" s="8412" t="n"/>
      <c r="AG42" s="4271">
        <f>IF(OR(J42="",M42=""),0,IF(OR(BA42,BB42,BC42),0,1))</f>
        <v/>
      </c>
      <c r="AH42" s="6014" t="n"/>
      <c r="AI42" s="6014">
        <f>M42-J42</f>
        <v/>
      </c>
      <c r="AJ42" s="293" t="n"/>
      <c r="AK42" s="12811" t="n"/>
      <c r="AL42" s="12811" t="n"/>
      <c r="AM42" s="295" t="n"/>
      <c r="AN42" s="295" t="n"/>
      <c r="AO42" s="296" t="n"/>
      <c r="AP42" s="295" t="n"/>
      <c r="AQ42" s="294" t="n"/>
      <c r="AS42">
        <f>YEAR(J42)</f>
        <v/>
      </c>
      <c r="AT42">
        <f>MONTH(J42)</f>
        <v/>
      </c>
      <c r="AU42">
        <f>DAY(J42)</f>
        <v/>
      </c>
      <c r="AW42">
        <f>YEAR(M42)</f>
        <v/>
      </c>
      <c r="AX42">
        <f>MONTH(M42)</f>
        <v/>
      </c>
      <c r="AY42">
        <f>DAY(M42)</f>
        <v/>
      </c>
      <c r="AZ42">
        <f>OR(BA42,BB42,BC42)</f>
        <v/>
      </c>
      <c r="BA42">
        <f>AW42=AS42</f>
        <v/>
      </c>
      <c r="BB42">
        <f>AND(AW42=AS42+1,AX42&lt;AT42)</f>
        <v/>
      </c>
      <c r="BC42">
        <f>AND(AW42=AS42+1,AX42=AT42,AY42&lt;=AU42)</f>
        <v/>
      </c>
    </row>
    <row r="43" ht="26.25" customHeight="1" s="7635">
      <c r="A43" s="2013">
        <f>IF(OR(Q43&lt;&gt;"",U43&lt;&gt;"",AC43&lt;&gt;""),1,0)</f>
        <v/>
      </c>
      <c r="B43" s="12806">
        <f>IF(AJ43="","",AJ43)</f>
        <v/>
      </c>
      <c r="C43" s="8007" t="n"/>
      <c r="D43" s="8007" t="n"/>
      <c r="E43" s="8007" t="n"/>
      <c r="F43" s="8007" t="n"/>
      <c r="G43" s="8007" t="n"/>
      <c r="H43" s="8007" t="n"/>
      <c r="I43" s="8008" t="n"/>
      <c r="J43" s="12807">
        <f>IF(AK43="","",AK43)</f>
        <v/>
      </c>
      <c r="K43" s="8007" t="n"/>
      <c r="L43" s="8007" t="n"/>
      <c r="M43" s="12808">
        <f>IF(AL43="","",AL43)</f>
        <v/>
      </c>
      <c r="N43" s="8007" t="n"/>
      <c r="O43" s="8007" t="n"/>
      <c r="P43" s="8008" t="n"/>
      <c r="Q43" s="12809">
        <f>IF(AM43="","",AM43)</f>
        <v/>
      </c>
      <c r="R43" s="8007" t="n"/>
      <c r="S43" s="8007" t="n"/>
      <c r="T43" s="8008" t="n"/>
      <c r="U43" s="12809">
        <f>IF(AN43="","",AN43)</f>
        <v/>
      </c>
      <c r="V43" s="8007" t="n"/>
      <c r="W43" s="8007" t="n"/>
      <c r="X43" s="8008" t="n"/>
      <c r="Y43" s="12810">
        <f>IF(AO43&lt;&gt;"",AO43,"")</f>
        <v/>
      </c>
      <c r="Z43" s="8008" t="n"/>
      <c r="AA43" s="12809">
        <f>IF(AP43="","",AP43)</f>
        <v/>
      </c>
      <c r="AB43" s="8008" t="n"/>
      <c r="AC43" s="11389">
        <f>IF(AQ43&lt;&gt;"",AQ43,IF(AND(Q43="",U43=""),"",IF(AND(Q43&lt;&gt;"",U43=""),SUM(Q43,AA43),SUM(Q43,-U43,AA43))))</f>
        <v/>
      </c>
      <c r="AD43" s="8412" t="n"/>
      <c r="AE43" s="8412" t="n"/>
      <c r="AF43" s="8412" t="n"/>
      <c r="AG43" s="4271">
        <f>IF(OR(J43="",M43=""),0,IF(OR(BA43,BB43,BC43),0,1))</f>
        <v/>
      </c>
      <c r="AH43" s="6014" t="n"/>
      <c r="AI43" s="6014">
        <f>M43-J43</f>
        <v/>
      </c>
      <c r="AJ43" s="293" t="n"/>
      <c r="AK43" s="12811" t="n"/>
      <c r="AL43" s="12811" t="n"/>
      <c r="AM43" s="295" t="n"/>
      <c r="AN43" s="295" t="n"/>
      <c r="AO43" s="296" t="n"/>
      <c r="AP43" s="295" t="n"/>
      <c r="AQ43" s="294" t="n"/>
      <c r="AS43">
        <f>YEAR(J43)</f>
        <v/>
      </c>
      <c r="AT43">
        <f>MONTH(J43)</f>
        <v/>
      </c>
      <c r="AU43">
        <f>DAY(J43)</f>
        <v/>
      </c>
      <c r="AW43">
        <f>YEAR(M43)</f>
        <v/>
      </c>
      <c r="AX43">
        <f>MONTH(M43)</f>
        <v/>
      </c>
      <c r="AY43">
        <f>DAY(M43)</f>
        <v/>
      </c>
      <c r="AZ43">
        <f>OR(BA43,BB43,BC43)</f>
        <v/>
      </c>
      <c r="BA43">
        <f>AW43=AS43</f>
        <v/>
      </c>
      <c r="BB43">
        <f>AND(AW43=AS43+1,AX43&lt;AT43)</f>
        <v/>
      </c>
      <c r="BC43">
        <f>AND(AW43=AS43+1,AX43=AT43,AY43&lt;=AU43)</f>
        <v/>
      </c>
    </row>
    <row r="44" ht="26.25" customHeight="1" s="7635">
      <c r="A44" s="2013">
        <f>IF(OR(Q44&lt;&gt;"",U44&lt;&gt;"",AC44&lt;&gt;""),1,0)</f>
        <v/>
      </c>
      <c r="B44" s="12806">
        <f>IF(AJ44="","",AJ44)</f>
        <v/>
      </c>
      <c r="C44" s="8007" t="n"/>
      <c r="D44" s="8007" t="n"/>
      <c r="E44" s="8007" t="n"/>
      <c r="F44" s="8007" t="n"/>
      <c r="G44" s="8007" t="n"/>
      <c r="H44" s="8007" t="n"/>
      <c r="I44" s="8008" t="n"/>
      <c r="J44" s="12807">
        <f>IF(AK44="","",AK44)</f>
        <v/>
      </c>
      <c r="K44" s="8007" t="n"/>
      <c r="L44" s="8007" t="n"/>
      <c r="M44" s="12808">
        <f>IF(AL44="","",AL44)</f>
        <v/>
      </c>
      <c r="N44" s="8007" t="n"/>
      <c r="O44" s="8007" t="n"/>
      <c r="P44" s="8008" t="n"/>
      <c r="Q44" s="12809">
        <f>IF(AM44="","",AM44)</f>
        <v/>
      </c>
      <c r="R44" s="8007" t="n"/>
      <c r="S44" s="8007" t="n"/>
      <c r="T44" s="8008" t="n"/>
      <c r="U44" s="12809">
        <f>IF(AN44="","",AN44)</f>
        <v/>
      </c>
      <c r="V44" s="8007" t="n"/>
      <c r="W44" s="8007" t="n"/>
      <c r="X44" s="8008" t="n"/>
      <c r="Y44" s="12810">
        <f>IF(AO44&lt;&gt;"",AO44,"")</f>
        <v/>
      </c>
      <c r="Z44" s="8008" t="n"/>
      <c r="AA44" s="12809">
        <f>IF(AP44="","",AP44)</f>
        <v/>
      </c>
      <c r="AB44" s="8008" t="n"/>
      <c r="AC44" s="11389">
        <f>IF(AQ44&lt;&gt;"",AQ44,IF(AND(Q44="",U44=""),"",IF(AND(Q44&lt;&gt;"",U44=""),SUM(Q44,AA44),SUM(Q44,-U44,AA44))))</f>
        <v/>
      </c>
      <c r="AD44" s="8412" t="n"/>
      <c r="AE44" s="8412" t="n"/>
      <c r="AF44" s="8412" t="n"/>
      <c r="AG44" s="4271">
        <f>IF(OR(J44="",M44=""),0,IF(OR(BA44,BB44,BC44),0,1))</f>
        <v/>
      </c>
      <c r="AH44" s="6014" t="n"/>
      <c r="AI44" s="6014">
        <f>M44-J44</f>
        <v/>
      </c>
      <c r="AJ44" s="293" t="n"/>
      <c r="AK44" s="12811" t="n"/>
      <c r="AL44" s="12811" t="n"/>
      <c r="AM44" s="295" t="n"/>
      <c r="AN44" s="295" t="n"/>
      <c r="AO44" s="296" t="n"/>
      <c r="AP44" s="295" t="n"/>
      <c r="AQ44" s="294" t="n"/>
      <c r="AS44">
        <f>YEAR(J44)</f>
        <v/>
      </c>
      <c r="AT44">
        <f>MONTH(J44)</f>
        <v/>
      </c>
      <c r="AU44">
        <f>DAY(J44)</f>
        <v/>
      </c>
      <c r="AW44">
        <f>YEAR(M44)</f>
        <v/>
      </c>
      <c r="AX44">
        <f>MONTH(M44)</f>
        <v/>
      </c>
      <c r="AY44">
        <f>DAY(M44)</f>
        <v/>
      </c>
      <c r="AZ44">
        <f>OR(BA44,BB44,BC44)</f>
        <v/>
      </c>
      <c r="BA44">
        <f>AW44=AS44</f>
        <v/>
      </c>
      <c r="BB44">
        <f>AND(AW44=AS44+1,AX44&lt;AT44)</f>
        <v/>
      </c>
      <c r="BC44">
        <f>AND(AW44=AS44+1,AX44=AT44,AY44&lt;=AU44)</f>
        <v/>
      </c>
    </row>
    <row r="45" ht="26.25" customHeight="1" s="7635">
      <c r="A45" s="2013">
        <f>IF(OR(Q45&lt;&gt;"",U45&lt;&gt;"",AC45&lt;&gt;""),1,0)</f>
        <v/>
      </c>
      <c r="B45" s="12806">
        <f>IF(AJ45="","",AJ45)</f>
        <v/>
      </c>
      <c r="C45" s="8007" t="n"/>
      <c r="D45" s="8007" t="n"/>
      <c r="E45" s="8007" t="n"/>
      <c r="F45" s="8007" t="n"/>
      <c r="G45" s="8007" t="n"/>
      <c r="H45" s="8007" t="n"/>
      <c r="I45" s="8008" t="n"/>
      <c r="J45" s="12807">
        <f>IF(AK45="","",AK45)</f>
        <v/>
      </c>
      <c r="K45" s="8007" t="n"/>
      <c r="L45" s="8007" t="n"/>
      <c r="M45" s="12808">
        <f>IF(AL45="","",AL45)</f>
        <v/>
      </c>
      <c r="N45" s="8007" t="n"/>
      <c r="O45" s="8007" t="n"/>
      <c r="P45" s="8008" t="n"/>
      <c r="Q45" s="12809">
        <f>IF(AM45="","",AM45)</f>
        <v/>
      </c>
      <c r="R45" s="8007" t="n"/>
      <c r="S45" s="8007" t="n"/>
      <c r="T45" s="8008" t="n"/>
      <c r="U45" s="12809">
        <f>IF(AN45="","",AN45)</f>
        <v/>
      </c>
      <c r="V45" s="8007" t="n"/>
      <c r="W45" s="8007" t="n"/>
      <c r="X45" s="8008" t="n"/>
      <c r="Y45" s="12810">
        <f>IF(AO45&lt;&gt;"",AO45,"")</f>
        <v/>
      </c>
      <c r="Z45" s="8008" t="n"/>
      <c r="AA45" s="12809">
        <f>IF(AP45="","",AP45)</f>
        <v/>
      </c>
      <c r="AB45" s="8008" t="n"/>
      <c r="AC45" s="11389">
        <f>IF(AQ45&lt;&gt;"",AQ45,IF(AND(Q45="",U45=""),"",IF(AND(Q45&lt;&gt;"",U45=""),SUM(Q45,AA45),SUM(Q45,-U45,AA45))))</f>
        <v/>
      </c>
      <c r="AD45" s="8412" t="n"/>
      <c r="AE45" s="8412" t="n"/>
      <c r="AF45" s="8412" t="n"/>
      <c r="AG45" s="4271">
        <f>IF(OR(J45="",M45=""),0,IF(OR(BA45,BB45,BC45),0,1))</f>
        <v/>
      </c>
      <c r="AH45" s="6014" t="n"/>
      <c r="AI45" s="6014">
        <f>M45-J45</f>
        <v/>
      </c>
      <c r="AJ45" s="293" t="n"/>
      <c r="AK45" s="12811" t="n"/>
      <c r="AL45" s="12811" t="n"/>
      <c r="AM45" s="295" t="n"/>
      <c r="AN45" s="295" t="n"/>
      <c r="AO45" s="296" t="n"/>
      <c r="AP45" s="295" t="n"/>
      <c r="AQ45" s="294" t="n"/>
      <c r="AS45">
        <f>YEAR(J45)</f>
        <v/>
      </c>
      <c r="AT45">
        <f>MONTH(J45)</f>
        <v/>
      </c>
      <c r="AU45">
        <f>DAY(J45)</f>
        <v/>
      </c>
      <c r="AW45">
        <f>YEAR(M45)</f>
        <v/>
      </c>
      <c r="AX45">
        <f>MONTH(M45)</f>
        <v/>
      </c>
      <c r="AY45">
        <f>DAY(M45)</f>
        <v/>
      </c>
      <c r="AZ45">
        <f>OR(BA45,BB45,BC45)</f>
        <v/>
      </c>
      <c r="BA45">
        <f>AW45=AS45</f>
        <v/>
      </c>
      <c r="BB45">
        <f>AND(AW45=AS45+1,AX45&lt;AT45)</f>
        <v/>
      </c>
      <c r="BC45">
        <f>AND(AW45=AS45+1,AX45=AT45,AY45&lt;=AU45)</f>
        <v/>
      </c>
    </row>
    <row r="46" ht="26.25" customHeight="1" s="7635">
      <c r="A46" s="2013">
        <f>IF(OR(Q46&lt;&gt;"",U46&lt;&gt;"",AC46&lt;&gt;""),1,0)</f>
        <v/>
      </c>
      <c r="B46" s="12806">
        <f>IF(AJ46="","",AJ46)</f>
        <v/>
      </c>
      <c r="C46" s="8007" t="n"/>
      <c r="D46" s="8007" t="n"/>
      <c r="E46" s="8007" t="n"/>
      <c r="F46" s="8007" t="n"/>
      <c r="G46" s="8007" t="n"/>
      <c r="H46" s="8007" t="n"/>
      <c r="I46" s="8008" t="n"/>
      <c r="J46" s="12807">
        <f>IF(AK46="","",AK46)</f>
        <v/>
      </c>
      <c r="K46" s="8007" t="n"/>
      <c r="L46" s="8007" t="n"/>
      <c r="M46" s="12808">
        <f>IF(AL46="","",AL46)</f>
        <v/>
      </c>
      <c r="N46" s="8007" t="n"/>
      <c r="O46" s="8007" t="n"/>
      <c r="P46" s="8008" t="n"/>
      <c r="Q46" s="12809">
        <f>IF(AM46="","",AM46)</f>
        <v/>
      </c>
      <c r="R46" s="8007" t="n"/>
      <c r="S46" s="8007" t="n"/>
      <c r="T46" s="8008" t="n"/>
      <c r="U46" s="12809">
        <f>IF(AN46="","",AN46)</f>
        <v/>
      </c>
      <c r="V46" s="8007" t="n"/>
      <c r="W46" s="8007" t="n"/>
      <c r="X46" s="8008" t="n"/>
      <c r="Y46" s="12810">
        <f>IF(AO46&lt;&gt;"",AO46,"")</f>
        <v/>
      </c>
      <c r="Z46" s="8008" t="n"/>
      <c r="AA46" s="12809">
        <f>IF(AP46="","",AP46)</f>
        <v/>
      </c>
      <c r="AB46" s="8008" t="n"/>
      <c r="AC46" s="11389">
        <f>IF(AQ46&lt;&gt;"",AQ46,IF(AND(Q46="",U46=""),"",IF(AND(Q46&lt;&gt;"",U46=""),SUM(Q46,AA46),SUM(Q46,-U46,AA46))))</f>
        <v/>
      </c>
      <c r="AD46" s="8412" t="n"/>
      <c r="AE46" s="8412" t="n"/>
      <c r="AF46" s="8412" t="n"/>
      <c r="AG46" s="4271">
        <f>IF(OR(J46="",M46=""),0,IF(OR(BA46,BB46,BC46),0,1))</f>
        <v/>
      </c>
      <c r="AH46" s="6014" t="n"/>
      <c r="AI46" s="6014">
        <f>M46-J46</f>
        <v/>
      </c>
      <c r="AJ46" s="293" t="n"/>
      <c r="AK46" s="12811" t="n"/>
      <c r="AL46" s="12811" t="n"/>
      <c r="AM46" s="295" t="n"/>
      <c r="AN46" s="295" t="n"/>
      <c r="AO46" s="296" t="n"/>
      <c r="AP46" s="295" t="n"/>
      <c r="AQ46" s="294" t="n"/>
      <c r="AS46">
        <f>YEAR(J46)</f>
        <v/>
      </c>
      <c r="AT46">
        <f>MONTH(J46)</f>
        <v/>
      </c>
      <c r="AU46">
        <f>DAY(J46)</f>
        <v/>
      </c>
      <c r="AW46">
        <f>YEAR(M46)</f>
        <v/>
      </c>
      <c r="AX46">
        <f>MONTH(M46)</f>
        <v/>
      </c>
      <c r="AY46">
        <f>DAY(M46)</f>
        <v/>
      </c>
      <c r="AZ46">
        <f>OR(BA46,BB46,BC46)</f>
        <v/>
      </c>
      <c r="BA46">
        <f>AW46=AS46</f>
        <v/>
      </c>
      <c r="BB46">
        <f>AND(AW46=AS46+1,AX46&lt;AT46)</f>
        <v/>
      </c>
      <c r="BC46">
        <f>AND(AW46=AS46+1,AX46=AT46,AY46&lt;=AU46)</f>
        <v/>
      </c>
    </row>
    <row r="47" ht="26.25" customHeight="1" s="7635">
      <c r="A47" s="2013">
        <f>IF(OR(Q47&lt;&gt;"",U47&lt;&gt;"",AC47&lt;&gt;""),1,0)</f>
        <v/>
      </c>
      <c r="B47" s="12806">
        <f>IF(AJ47="","",AJ47)</f>
        <v/>
      </c>
      <c r="C47" s="8007" t="n"/>
      <c r="D47" s="8007" t="n"/>
      <c r="E47" s="8007" t="n"/>
      <c r="F47" s="8007" t="n"/>
      <c r="G47" s="8007" t="n"/>
      <c r="H47" s="8007" t="n"/>
      <c r="I47" s="8008" t="n"/>
      <c r="J47" s="12807">
        <f>IF(AK47="","",AK47)</f>
        <v/>
      </c>
      <c r="K47" s="8007" t="n"/>
      <c r="L47" s="8007" t="n"/>
      <c r="M47" s="12808">
        <f>IF(AL47="","",AL47)</f>
        <v/>
      </c>
      <c r="N47" s="8007" t="n"/>
      <c r="O47" s="8007" t="n"/>
      <c r="P47" s="8008" t="n"/>
      <c r="Q47" s="12809">
        <f>IF(AM47="","",AM47)</f>
        <v/>
      </c>
      <c r="R47" s="8007" t="n"/>
      <c r="S47" s="8007" t="n"/>
      <c r="T47" s="8008" t="n"/>
      <c r="U47" s="12809">
        <f>IF(AN47="","",AN47)</f>
        <v/>
      </c>
      <c r="V47" s="8007" t="n"/>
      <c r="W47" s="8007" t="n"/>
      <c r="X47" s="8008" t="n"/>
      <c r="Y47" s="12810">
        <f>IF(AO47&lt;&gt;"",AO47,"")</f>
        <v/>
      </c>
      <c r="Z47" s="8008" t="n"/>
      <c r="AA47" s="12809">
        <f>IF(AP47="","",AP47)</f>
        <v/>
      </c>
      <c r="AB47" s="8008" t="n"/>
      <c r="AC47" s="11389">
        <f>IF(AQ47&lt;&gt;"",AQ47,IF(AND(Q47="",U47=""),"",IF(AND(Q47&lt;&gt;"",U47=""),SUM(Q47,AA47),SUM(Q47,-U47,AA47))))</f>
        <v/>
      </c>
      <c r="AD47" s="8412" t="n"/>
      <c r="AE47" s="8412" t="n"/>
      <c r="AF47" s="8412" t="n"/>
      <c r="AG47" s="4271">
        <f>IF(OR(J47="",M47=""),0,IF(OR(BA47,BB47,BC47),0,1))</f>
        <v/>
      </c>
      <c r="AH47" s="6014" t="n"/>
      <c r="AI47" s="6014">
        <f>M47-J47</f>
        <v/>
      </c>
      <c r="AJ47" s="293" t="n"/>
      <c r="AK47" s="12811" t="n"/>
      <c r="AL47" s="12811" t="n"/>
      <c r="AM47" s="295" t="n"/>
      <c r="AN47" s="295" t="n"/>
      <c r="AO47" s="296" t="n"/>
      <c r="AP47" s="295" t="n"/>
      <c r="AQ47" s="294" t="n"/>
      <c r="AS47">
        <f>YEAR(J47)</f>
        <v/>
      </c>
      <c r="AT47">
        <f>MONTH(J47)</f>
        <v/>
      </c>
      <c r="AU47">
        <f>DAY(J47)</f>
        <v/>
      </c>
      <c r="AW47">
        <f>YEAR(M47)</f>
        <v/>
      </c>
      <c r="AX47">
        <f>MONTH(M47)</f>
        <v/>
      </c>
      <c r="AY47">
        <f>DAY(M47)</f>
        <v/>
      </c>
      <c r="AZ47">
        <f>OR(BA47,BB47,BC47)</f>
        <v/>
      </c>
      <c r="BA47">
        <f>AW47=AS47</f>
        <v/>
      </c>
      <c r="BB47">
        <f>AND(AW47=AS47+1,AX47&lt;AT47)</f>
        <v/>
      </c>
      <c r="BC47">
        <f>AND(AW47=AS47+1,AX47=AT47,AY47&lt;=AU47)</f>
        <v/>
      </c>
    </row>
    <row r="48" ht="26.25" customHeight="1" s="7635">
      <c r="A48" s="2013">
        <f>IF(OR(Q48&lt;&gt;"",U48&lt;&gt;"",AC48&lt;&gt;""),1,0)</f>
        <v/>
      </c>
      <c r="B48" s="12806">
        <f>IF(AJ48="","",AJ48)</f>
        <v/>
      </c>
      <c r="C48" s="8007" t="n"/>
      <c r="D48" s="8007" t="n"/>
      <c r="E48" s="8007" t="n"/>
      <c r="F48" s="8007" t="n"/>
      <c r="G48" s="8007" t="n"/>
      <c r="H48" s="8007" t="n"/>
      <c r="I48" s="8008" t="n"/>
      <c r="J48" s="12807">
        <f>IF(AK48="","",AK48)</f>
        <v/>
      </c>
      <c r="K48" s="8007" t="n"/>
      <c r="L48" s="8007" t="n"/>
      <c r="M48" s="12808">
        <f>IF(AL48="","",AL48)</f>
        <v/>
      </c>
      <c r="N48" s="8007" t="n"/>
      <c r="O48" s="8007" t="n"/>
      <c r="P48" s="8008" t="n"/>
      <c r="Q48" s="12809">
        <f>IF(AM48="","",AM48)</f>
        <v/>
      </c>
      <c r="R48" s="8007" t="n"/>
      <c r="S48" s="8007" t="n"/>
      <c r="T48" s="8008" t="n"/>
      <c r="U48" s="12809">
        <f>IF(AN48="","",AN48)</f>
        <v/>
      </c>
      <c r="V48" s="8007" t="n"/>
      <c r="W48" s="8007" t="n"/>
      <c r="X48" s="8008" t="n"/>
      <c r="Y48" s="12810">
        <f>IF(AO48&lt;&gt;"",AO48,"")</f>
        <v/>
      </c>
      <c r="Z48" s="8008" t="n"/>
      <c r="AA48" s="12809">
        <f>IF(AP48="","",AP48)</f>
        <v/>
      </c>
      <c r="AB48" s="8008" t="n"/>
      <c r="AC48" s="11389">
        <f>IF(AQ48&lt;&gt;"",AQ48,IF(AND(Q48="",U48=""),"",IF(AND(Q48&lt;&gt;"",U48=""),SUM(Q48,AA48),SUM(Q48,-U48,AA48))))</f>
        <v/>
      </c>
      <c r="AD48" s="8412" t="n"/>
      <c r="AE48" s="8412" t="n"/>
      <c r="AF48" s="8412" t="n"/>
      <c r="AG48" s="4271">
        <f>IF(OR(J48="",M48=""),0,IF(OR(BA48,BB48,BC48),0,1))</f>
        <v/>
      </c>
      <c r="AH48" s="6014" t="n"/>
      <c r="AI48" s="6014">
        <f>M48-J48</f>
        <v/>
      </c>
      <c r="AJ48" s="293" t="n"/>
      <c r="AK48" s="12811" t="n"/>
      <c r="AL48" s="12811" t="n"/>
      <c r="AM48" s="295" t="n"/>
      <c r="AN48" s="295" t="n"/>
      <c r="AO48" s="296" t="n"/>
      <c r="AP48" s="295" t="n"/>
      <c r="AQ48" s="294" t="n"/>
      <c r="AS48">
        <f>YEAR(J48)</f>
        <v/>
      </c>
      <c r="AT48">
        <f>MONTH(J48)</f>
        <v/>
      </c>
      <c r="AU48">
        <f>DAY(J48)</f>
        <v/>
      </c>
      <c r="AW48">
        <f>YEAR(M48)</f>
        <v/>
      </c>
      <c r="AX48">
        <f>MONTH(M48)</f>
        <v/>
      </c>
      <c r="AY48">
        <f>DAY(M48)</f>
        <v/>
      </c>
      <c r="AZ48">
        <f>OR(BA48,BB48,BC48)</f>
        <v/>
      </c>
      <c r="BA48">
        <f>AW48=AS48</f>
        <v/>
      </c>
      <c r="BB48">
        <f>AND(AW48=AS48+1,AX48&lt;AT48)</f>
        <v/>
      </c>
      <c r="BC48">
        <f>AND(AW48=AS48+1,AX48=AT48,AY48&lt;=AU48)</f>
        <v/>
      </c>
    </row>
    <row r="49" ht="26.25" customHeight="1" s="7635">
      <c r="A49" s="2013">
        <f>IF(OR(Q49&lt;&gt;"",U49&lt;&gt;"",AC49&lt;&gt;""),1,0)</f>
        <v/>
      </c>
      <c r="B49" s="12806">
        <f>IF(AJ49="","",AJ49)</f>
        <v/>
      </c>
      <c r="C49" s="8007" t="n"/>
      <c r="D49" s="8007" t="n"/>
      <c r="E49" s="8007" t="n"/>
      <c r="F49" s="8007" t="n"/>
      <c r="G49" s="8007" t="n"/>
      <c r="H49" s="8007" t="n"/>
      <c r="I49" s="8008" t="n"/>
      <c r="J49" s="12807">
        <f>IF(AK49="","",AK49)</f>
        <v/>
      </c>
      <c r="K49" s="8007" t="n"/>
      <c r="L49" s="8007" t="n"/>
      <c r="M49" s="12808">
        <f>IF(AL49="","",AL49)</f>
        <v/>
      </c>
      <c r="N49" s="8007" t="n"/>
      <c r="O49" s="8007" t="n"/>
      <c r="P49" s="8008" t="n"/>
      <c r="Q49" s="12809">
        <f>IF(AM49="","",AM49)</f>
        <v/>
      </c>
      <c r="R49" s="8007" t="n"/>
      <c r="S49" s="8007" t="n"/>
      <c r="T49" s="8008" t="n"/>
      <c r="U49" s="12809">
        <f>IF(AN49="","",AN49)</f>
        <v/>
      </c>
      <c r="V49" s="8007" t="n"/>
      <c r="W49" s="8007" t="n"/>
      <c r="X49" s="8008" t="n"/>
      <c r="Y49" s="12810">
        <f>IF(AO49&lt;&gt;"",AO49,"")</f>
        <v/>
      </c>
      <c r="Z49" s="8008" t="n"/>
      <c r="AA49" s="12809">
        <f>IF(AP49="","",AP49)</f>
        <v/>
      </c>
      <c r="AB49" s="8008" t="n"/>
      <c r="AC49" s="11389">
        <f>IF(AQ49&lt;&gt;"",AQ49,IF(AND(Q49="",U49=""),"",IF(AND(Q49&lt;&gt;"",U49=""),SUM(Q49,AA49),SUM(Q49,-U49,AA49))))</f>
        <v/>
      </c>
      <c r="AD49" s="8412" t="n"/>
      <c r="AE49" s="8412" t="n"/>
      <c r="AF49" s="8412" t="n"/>
      <c r="AG49" s="4271">
        <f>IF(OR(J49="",M49=""),0,IF(OR(BA49,BB49,BC49),0,1))</f>
        <v/>
      </c>
      <c r="AH49" s="6014" t="n"/>
      <c r="AI49" s="6014">
        <f>M49-J49</f>
        <v/>
      </c>
      <c r="AJ49" s="293" t="n"/>
      <c r="AK49" s="12811" t="n"/>
      <c r="AL49" s="12811" t="n"/>
      <c r="AM49" s="295" t="n"/>
      <c r="AN49" s="295" t="n"/>
      <c r="AO49" s="296" t="n"/>
      <c r="AP49" s="295" t="n"/>
      <c r="AQ49" s="294" t="n"/>
      <c r="AS49">
        <f>YEAR(J49)</f>
        <v/>
      </c>
      <c r="AT49">
        <f>MONTH(J49)</f>
        <v/>
      </c>
      <c r="AU49">
        <f>DAY(J49)</f>
        <v/>
      </c>
      <c r="AW49">
        <f>YEAR(M49)</f>
        <v/>
      </c>
      <c r="AX49">
        <f>MONTH(M49)</f>
        <v/>
      </c>
      <c r="AY49">
        <f>DAY(M49)</f>
        <v/>
      </c>
      <c r="AZ49">
        <f>OR(BA49,BB49,BC49)</f>
        <v/>
      </c>
      <c r="BA49">
        <f>AW49=AS49</f>
        <v/>
      </c>
      <c r="BB49">
        <f>AND(AW49=AS49+1,AX49&lt;AT49)</f>
        <v/>
      </c>
      <c r="BC49">
        <f>AND(AW49=AS49+1,AX49=AT49,AY49&lt;=AU49)</f>
        <v/>
      </c>
    </row>
    <row r="50" ht="26.25" customHeight="1" s="7635">
      <c r="A50" s="2013">
        <f>IF(OR(Q50&lt;&gt;"",U50&lt;&gt;"",AC50&lt;&gt;""),1,0)</f>
        <v/>
      </c>
      <c r="B50" s="12806">
        <f>IF(AJ50="","",AJ50)</f>
        <v/>
      </c>
      <c r="C50" s="8007" t="n"/>
      <c r="D50" s="8007" t="n"/>
      <c r="E50" s="8007" t="n"/>
      <c r="F50" s="8007" t="n"/>
      <c r="G50" s="8007" t="n"/>
      <c r="H50" s="8007" t="n"/>
      <c r="I50" s="8008" t="n"/>
      <c r="J50" s="12807">
        <f>IF(AK50="","",AK50)</f>
        <v/>
      </c>
      <c r="K50" s="8007" t="n"/>
      <c r="L50" s="8007" t="n"/>
      <c r="M50" s="12808">
        <f>IF(AL50="","",AL50)</f>
        <v/>
      </c>
      <c r="N50" s="8007" t="n"/>
      <c r="O50" s="8007" t="n"/>
      <c r="P50" s="8008" t="n"/>
      <c r="Q50" s="12809">
        <f>IF(AM50="","",AM50)</f>
        <v/>
      </c>
      <c r="R50" s="8007" t="n"/>
      <c r="S50" s="8007" t="n"/>
      <c r="T50" s="8008" t="n"/>
      <c r="U50" s="12809">
        <f>IF(AN50="","",AN50)</f>
        <v/>
      </c>
      <c r="V50" s="8007" t="n"/>
      <c r="W50" s="8007" t="n"/>
      <c r="X50" s="8008" t="n"/>
      <c r="Y50" s="12810">
        <f>IF(AO50&lt;&gt;"",AO50,"")</f>
        <v/>
      </c>
      <c r="Z50" s="8008" t="n"/>
      <c r="AA50" s="12809">
        <f>IF(AP50="","",AP50)</f>
        <v/>
      </c>
      <c r="AB50" s="8008" t="n"/>
      <c r="AC50" s="11389">
        <f>IF(AQ50&lt;&gt;"",AQ50,IF(AND(Q50="",U50=""),"",IF(AND(Q50&lt;&gt;"",U50=""),SUM(Q50,AA50),SUM(Q50,-U50,AA50))))</f>
        <v/>
      </c>
      <c r="AD50" s="8412" t="n"/>
      <c r="AE50" s="8412" t="n"/>
      <c r="AF50" s="8412" t="n"/>
      <c r="AG50" s="4271">
        <f>IF(OR(J50="",M50=""),0,IF(OR(BA50,BB50,BC50),0,1))</f>
        <v/>
      </c>
      <c r="AH50" s="6014" t="n"/>
      <c r="AI50" s="6014">
        <f>M50-J50</f>
        <v/>
      </c>
      <c r="AJ50" s="293" t="n"/>
      <c r="AK50" s="12811" t="n"/>
      <c r="AL50" s="12811" t="n"/>
      <c r="AM50" s="295" t="n"/>
      <c r="AN50" s="295" t="n"/>
      <c r="AO50" s="296" t="n"/>
      <c r="AP50" s="295" t="n"/>
      <c r="AQ50" s="294" t="n"/>
      <c r="AS50">
        <f>YEAR(J50)</f>
        <v/>
      </c>
      <c r="AT50">
        <f>MONTH(J50)</f>
        <v/>
      </c>
      <c r="AU50">
        <f>DAY(J50)</f>
        <v/>
      </c>
      <c r="AW50">
        <f>YEAR(M50)</f>
        <v/>
      </c>
      <c r="AX50">
        <f>MONTH(M50)</f>
        <v/>
      </c>
      <c r="AY50">
        <f>DAY(M50)</f>
        <v/>
      </c>
      <c r="AZ50">
        <f>OR(BA50,BB50,BC50)</f>
        <v/>
      </c>
      <c r="BA50">
        <f>AW50=AS50</f>
        <v/>
      </c>
      <c r="BB50">
        <f>AND(AW50=AS50+1,AX50&lt;AT50)</f>
        <v/>
      </c>
      <c r="BC50">
        <f>AND(AW50=AS50+1,AX50=AT50,AY50&lt;=AU50)</f>
        <v/>
      </c>
    </row>
    <row r="51" ht="26.25" customHeight="1" s="7635">
      <c r="A51" s="2013">
        <f>IF(OR(Q51&lt;&gt;"",U51&lt;&gt;"",AC51&lt;&gt;""),1,0)</f>
        <v/>
      </c>
      <c r="B51" s="12806">
        <f>IF(AJ51="","",AJ51)</f>
        <v/>
      </c>
      <c r="C51" s="8007" t="n"/>
      <c r="D51" s="8007" t="n"/>
      <c r="E51" s="8007" t="n"/>
      <c r="F51" s="8007" t="n"/>
      <c r="G51" s="8007" t="n"/>
      <c r="H51" s="8007" t="n"/>
      <c r="I51" s="8008" t="n"/>
      <c r="J51" s="12807">
        <f>IF(AK51="","",AK51)</f>
        <v/>
      </c>
      <c r="K51" s="8007" t="n"/>
      <c r="L51" s="8007" t="n"/>
      <c r="M51" s="12808">
        <f>IF(AL51="","",AL51)</f>
        <v/>
      </c>
      <c r="N51" s="8007" t="n"/>
      <c r="O51" s="8007" t="n"/>
      <c r="P51" s="8008" t="n"/>
      <c r="Q51" s="12809">
        <f>IF(AM51="","",AM51)</f>
        <v/>
      </c>
      <c r="R51" s="8007" t="n"/>
      <c r="S51" s="8007" t="n"/>
      <c r="T51" s="8008" t="n"/>
      <c r="U51" s="12809">
        <f>IF(AN51="","",AN51)</f>
        <v/>
      </c>
      <c r="V51" s="8007" t="n"/>
      <c r="W51" s="8007" t="n"/>
      <c r="X51" s="8008" t="n"/>
      <c r="Y51" s="12810">
        <f>IF(AO51&lt;&gt;"",AO51,"")</f>
        <v/>
      </c>
      <c r="Z51" s="8008" t="n"/>
      <c r="AA51" s="12809">
        <f>IF(AP51="","",AP51)</f>
        <v/>
      </c>
      <c r="AB51" s="8008" t="n"/>
      <c r="AC51" s="11389">
        <f>IF(AQ51&lt;&gt;"",AQ51,IF(AND(Q51="",U51=""),"",IF(AND(Q51&lt;&gt;"",U51=""),SUM(Q51,AA51),SUM(Q51,-U51,AA51))))</f>
        <v/>
      </c>
      <c r="AD51" s="8412" t="n"/>
      <c r="AE51" s="8412" t="n"/>
      <c r="AF51" s="8412" t="n"/>
      <c r="AG51" s="4271">
        <f>IF(OR(J51="",M51=""),0,IF(OR(BA51,BB51,BC51),0,1))</f>
        <v/>
      </c>
      <c r="AH51" s="6014" t="n"/>
      <c r="AI51" s="6014">
        <f>M51-J51</f>
        <v/>
      </c>
      <c r="AJ51" s="293" t="n"/>
      <c r="AK51" s="12811" t="n"/>
      <c r="AL51" s="12811" t="n"/>
      <c r="AM51" s="295" t="n"/>
      <c r="AN51" s="295" t="n"/>
      <c r="AO51" s="296" t="n"/>
      <c r="AP51" s="295" t="n"/>
      <c r="AQ51" s="294" t="n"/>
      <c r="AS51">
        <f>YEAR(J51)</f>
        <v/>
      </c>
      <c r="AT51">
        <f>MONTH(J51)</f>
        <v/>
      </c>
      <c r="AU51">
        <f>DAY(J51)</f>
        <v/>
      </c>
      <c r="AW51">
        <f>YEAR(M51)</f>
        <v/>
      </c>
      <c r="AX51">
        <f>MONTH(M51)</f>
        <v/>
      </c>
      <c r="AY51">
        <f>DAY(M51)</f>
        <v/>
      </c>
      <c r="AZ51">
        <f>OR(BA51,BB51,BC51)</f>
        <v/>
      </c>
      <c r="BA51">
        <f>AW51=AS51</f>
        <v/>
      </c>
      <c r="BB51">
        <f>AND(AW51=AS51+1,AX51&lt;AT51)</f>
        <v/>
      </c>
      <c r="BC51">
        <f>AND(AW51=AS51+1,AX51=AT51,AY51&lt;=AU51)</f>
        <v/>
      </c>
    </row>
    <row r="52" ht="12" customHeight="1" s="7635">
      <c r="A52" s="2013">
        <f>SUM(A41:A51)</f>
        <v/>
      </c>
      <c r="B52" s="11482" t="n">
        <v>2</v>
      </c>
      <c r="C52" s="11484" t="inlineStr">
        <is>
          <t>Totals. Add the amounts in columns (d), (e), (g), and (h)
(subtract negative amounts). Enter each total here and
include on your Schedule D, line 1b (if Box A or Box G
above is checked), line 2 (if Box B or Box H above is
checked), or line 3 (if Box C or Box I above is checked)</t>
        </is>
      </c>
      <c r="D52" s="7839" t="n"/>
      <c r="E52" s="7839" t="n"/>
      <c r="F52" s="7839" t="n"/>
      <c r="G52" s="7839" t="n"/>
      <c r="H52" s="7839" t="n"/>
      <c r="I52" s="7839" t="n"/>
      <c r="J52" s="7839" t="n"/>
      <c r="K52" s="7839" t="n"/>
      <c r="L52" s="7839" t="n"/>
      <c r="M52" s="7839" t="n"/>
      <c r="N52" s="7839" t="n"/>
      <c r="O52" s="7839" t="n"/>
      <c r="P52" s="7839" t="n"/>
      <c r="Q52" s="12812">
        <f>IF(A52=0,"",ROUND(SUM(Q41:Q51),0))</f>
        <v/>
      </c>
      <c r="R52" s="7839" t="n"/>
      <c r="S52" s="7839" t="n"/>
      <c r="T52" s="10091" t="n"/>
      <c r="U52" s="12812">
        <f>IF(A52=0,"",ROUND(SUM(U41:U51),0))</f>
        <v/>
      </c>
      <c r="V52" s="7839" t="n"/>
      <c r="W52" s="7839" t="n"/>
      <c r="X52" s="10091" t="n"/>
      <c r="Y52" s="12813" t="n"/>
      <c r="Z52" s="10091" t="n"/>
      <c r="AA52" s="12812">
        <f>IF(A52=0,"",ROUND(SUM(AA41:AA51),0))</f>
        <v/>
      </c>
      <c r="AB52" s="10091" t="n"/>
      <c r="AC52" s="11459">
        <f>IF(A52=0,"",ROUND(SUM(AC41:AC51),0))</f>
        <v/>
      </c>
      <c r="AD52" s="7839" t="n"/>
      <c r="AE52" s="7839" t="n"/>
      <c r="AF52" s="7839" t="n"/>
      <c r="AG52" s="2013" t="n"/>
    </row>
    <row r="53" ht="12" customHeight="1" s="7635">
      <c r="A53" s="2013" t="n"/>
      <c r="Q53" s="4772" t="n"/>
      <c r="T53" s="7636" t="n"/>
      <c r="U53" s="4772" t="n"/>
      <c r="X53" s="7636" t="n"/>
      <c r="Y53" s="4772" t="n"/>
      <c r="Z53" s="7636" t="n"/>
      <c r="AA53" s="4772" t="n"/>
      <c r="AB53" s="7636" t="n"/>
      <c r="AC53" s="4772" t="n"/>
      <c r="AG53" s="2013" t="n"/>
    </row>
    <row r="54" ht="12" customHeight="1" s="7635">
      <c r="A54" s="2013" t="n"/>
      <c r="Q54" s="4772" t="n"/>
      <c r="T54" s="7636" t="n"/>
      <c r="U54" s="4772" t="n"/>
      <c r="X54" s="7636" t="n"/>
      <c r="Y54" s="4772" t="n"/>
      <c r="Z54" s="7636" t="n"/>
      <c r="AA54" s="4772" t="n"/>
      <c r="AB54" s="7636" t="n"/>
      <c r="AC54" s="4772" t="n"/>
      <c r="AG54" s="2013" t="n"/>
    </row>
    <row r="55" ht="12" customHeight="1" s="7635">
      <c r="A55" s="2013" t="n"/>
      <c r="Q55" s="4772" t="n"/>
      <c r="T55" s="7636" t="n"/>
      <c r="U55" s="4772" t="n"/>
      <c r="X55" s="7636" t="n"/>
      <c r="Y55" s="4772" t="n"/>
      <c r="Z55" s="7636" t="n"/>
      <c r="AA55" s="4772" t="n"/>
      <c r="AB55" s="7636" t="n"/>
      <c r="AC55" s="4772" t="n"/>
      <c r="AG55" s="2013" t="n"/>
    </row>
    <row r="56" ht="12" customHeight="1" s="7635">
      <c r="A56" s="2013" t="n"/>
      <c r="Q56" s="3614" t="n"/>
      <c r="R56" s="7637" t="n"/>
      <c r="S56" s="7637" t="n"/>
      <c r="T56" s="7638" t="n"/>
      <c r="U56" s="3614" t="n"/>
      <c r="V56" s="7637" t="n"/>
      <c r="W56" s="7637" t="n"/>
      <c r="X56" s="7638" t="n"/>
      <c r="Y56" s="3614" t="n"/>
      <c r="Z56" s="7638" t="n"/>
      <c r="AA56" s="3614" t="n"/>
      <c r="AB56" s="7638" t="n"/>
      <c r="AC56" s="4772" t="n"/>
      <c r="AG56" s="2013" t="n"/>
    </row>
    <row r="57" ht="25.5" customHeight="1" s="7635" thickBot="1">
      <c r="A57" s="2013" t="n"/>
      <c r="B57" s="11479" t="inlineStr">
        <is>
          <t>Note: If you checked Box A or Box G above but the basis reported to the IRS was incorrect, enter in column (e) the basis as reported to the IRS, and
enter an adjustment in column (g) to correct the basis. See Column (g) in the separate instructions for how to figure the amount of the adjustment.</t>
        </is>
      </c>
      <c r="C57" s="11822" t="n"/>
      <c r="D57" s="11822" t="n"/>
      <c r="E57" s="11822" t="n"/>
      <c r="F57" s="11822" t="n"/>
      <c r="G57" s="11822" t="n"/>
      <c r="H57" s="11822" t="n"/>
      <c r="I57" s="11822" t="n"/>
      <c r="J57" s="11822" t="n"/>
      <c r="K57" s="11822" t="n"/>
      <c r="L57" s="11822" t="n"/>
      <c r="M57" s="11822" t="n"/>
      <c r="N57" s="11822" t="n"/>
      <c r="O57" s="11822" t="n"/>
      <c r="P57" s="11822" t="n"/>
      <c r="Q57" s="11822" t="n"/>
      <c r="R57" s="11822" t="n"/>
      <c r="S57" s="11822" t="n"/>
      <c r="T57" s="11822" t="n"/>
      <c r="U57" s="11822" t="n"/>
      <c r="V57" s="11822" t="n"/>
      <c r="W57" s="11822" t="n"/>
      <c r="X57" s="11822" t="n"/>
      <c r="Y57" s="11822" t="n"/>
      <c r="Z57" s="11822" t="n"/>
      <c r="AA57" s="11822" t="n"/>
      <c r="AB57" s="11822" t="n"/>
      <c r="AC57" s="11822" t="n"/>
      <c r="AD57" s="11822" t="n"/>
      <c r="AE57" s="11822" t="n"/>
      <c r="AF57" s="11822" t="n"/>
      <c r="AG57" s="2013" t="n"/>
      <c r="AJ57" s="8648" t="n"/>
    </row>
    <row r="58" ht="16.5" customHeight="1" s="7635" thickTop="1">
      <c r="A58" s="2013" t="n"/>
      <c r="B58" s="6015" t="inlineStr">
        <is>
          <t>For Paperwork Reduction Act Notice, see your tax return instructions.</t>
        </is>
      </c>
      <c r="C58" s="88" t="n"/>
      <c r="D58" s="88" t="n"/>
      <c r="E58" s="88" t="n"/>
      <c r="F58" s="88" t="n"/>
      <c r="G58" s="88" t="n"/>
      <c r="H58" s="88" t="n"/>
      <c r="I58" s="88" t="n"/>
      <c r="J58" s="88" t="n"/>
      <c r="K58" s="88" t="n"/>
      <c r="L58" s="88" t="n"/>
      <c r="M58" s="88" t="n"/>
      <c r="N58" s="88" t="n"/>
      <c r="O58" s="88" t="n"/>
      <c r="P58" s="88" t="n"/>
      <c r="Q58" s="88" t="n"/>
      <c r="R58" s="88" t="n"/>
      <c r="S58" s="88" t="n"/>
      <c r="T58" s="88" t="n"/>
      <c r="U58" s="3931" t="inlineStr">
        <is>
          <t>Cat. No. 37768Z</t>
        </is>
      </c>
      <c r="V58" s="88" t="n"/>
      <c r="W58" s="88" t="n"/>
      <c r="X58" s="88" t="n"/>
      <c r="Y58" s="88" t="n"/>
      <c r="Z58" s="88" t="n"/>
      <c r="AA58" s="2052" t="inlineStr">
        <is>
          <t>Form 8949</t>
        </is>
      </c>
      <c r="AB58" s="6016">
        <f>"("&amp;TaxYear&amp;")"</f>
        <v/>
      </c>
      <c r="AC58" s="88" t="n"/>
      <c r="AD58" s="2052" t="n"/>
      <c r="AE58" s="88" t="n"/>
      <c r="AF58" s="6016" t="inlineStr">
        <is>
          <t>Created 5/5/25</t>
        </is>
      </c>
      <c r="AG58" s="2013" t="n"/>
    </row>
    <row r="59" ht="15.75" customHeight="1" s="7635">
      <c r="A59" s="2013" t="n"/>
      <c r="B59" s="1931">
        <f>"Form 8949 ("&amp;TaxYear&amp;")"</f>
        <v/>
      </c>
      <c r="C59" s="2432" t="n"/>
      <c r="D59" s="2432" t="n"/>
      <c r="E59" s="2432" t="n"/>
      <c r="F59" s="2432" t="n"/>
      <c r="G59" s="2432" t="n"/>
      <c r="H59" s="2432" t="n"/>
      <c r="I59" s="2432" t="n"/>
      <c r="J59" s="2432" t="n"/>
      <c r="K59" s="2432" t="n"/>
      <c r="L59" s="2432" t="n"/>
      <c r="M59" s="2432" t="n"/>
      <c r="N59" s="2432" t="n"/>
      <c r="O59" s="2432" t="n"/>
      <c r="P59" s="2432" t="n"/>
      <c r="Q59" s="2432" t="n"/>
      <c r="R59" s="2432" t="n"/>
      <c r="S59" s="2432" t="n"/>
      <c r="T59" s="2432" t="n"/>
      <c r="U59" s="2432" t="n"/>
      <c r="V59" s="1931" t="inlineStr">
        <is>
          <t>Attachment Sequence No. 12A</t>
        </is>
      </c>
      <c r="W59" s="2432" t="n"/>
      <c r="X59" s="2432" t="n"/>
      <c r="Y59" s="2432" t="n"/>
      <c r="Z59" s="2432" t="n"/>
      <c r="AA59" s="2432" t="n"/>
      <c r="AB59" s="2432" t="n"/>
      <c r="AC59" s="2432" t="n"/>
      <c r="AD59" s="2432" t="n"/>
      <c r="AE59" s="2432" t="n"/>
      <c r="AF59" s="5730" t="inlineStr">
        <is>
          <t>Page 2</t>
        </is>
      </c>
      <c r="AG59" s="2013" t="n"/>
    </row>
    <row r="60">
      <c r="A60" s="2013" t="n"/>
      <c r="B60" s="229" t="inlineStr">
        <is>
          <t>Name(s) shown on return. Name and SSN or taxpayer identification no. not required if shown on other side</t>
        </is>
      </c>
      <c r="C60" s="88" t="n"/>
      <c r="D60" s="88" t="n"/>
      <c r="E60" s="88" t="n"/>
      <c r="F60" s="88" t="n"/>
      <c r="G60" s="88" t="n"/>
      <c r="H60" s="88" t="n"/>
      <c r="I60" s="88" t="n"/>
      <c r="J60" s="88" t="n"/>
      <c r="K60" s="88" t="n"/>
      <c r="L60" s="88" t="n"/>
      <c r="M60" s="88" t="n"/>
      <c r="N60" s="88" t="n"/>
      <c r="O60" s="88" t="n"/>
      <c r="P60" s="88" t="n"/>
      <c r="Q60" s="88" t="n"/>
      <c r="R60" s="88" t="n"/>
      <c r="S60" s="88" t="n"/>
      <c r="T60" s="88" t="n"/>
      <c r="U60" s="88" t="n"/>
      <c r="V60" s="6006" t="inlineStr">
        <is>
          <t>Social security number or taxpayer identification number</t>
        </is>
      </c>
      <c r="W60" s="88" t="n"/>
      <c r="X60" s="88" t="n"/>
      <c r="Y60" s="88" t="n"/>
      <c r="Z60" s="2666" t="n"/>
      <c r="AA60" s="88" t="n"/>
      <c r="AB60" s="88" t="n"/>
      <c r="AC60" s="88" t="n"/>
      <c r="AD60" s="88" t="n"/>
      <c r="AE60" s="88" t="n"/>
      <c r="AF60" s="88" t="n"/>
      <c r="AG60" s="2013" t="n"/>
    </row>
    <row r="61" ht="16.5" customHeight="1" s="7635" thickBot="1">
      <c r="A61" s="2013" t="n"/>
      <c r="B61" s="12796">
        <f>Names</f>
        <v/>
      </c>
      <c r="C61" s="8848" t="n"/>
      <c r="D61" s="8848" t="n"/>
      <c r="E61" s="8848" t="n"/>
      <c r="F61" s="8848" t="n"/>
      <c r="G61" s="8848" t="n"/>
      <c r="H61" s="8848" t="n"/>
      <c r="I61" s="8848" t="n"/>
      <c r="J61" s="8848" t="n"/>
      <c r="K61" s="8848" t="n"/>
      <c r="L61" s="8848" t="n"/>
      <c r="M61" s="8848" t="n"/>
      <c r="N61" s="8848" t="n"/>
      <c r="O61" s="8848" t="n"/>
      <c r="P61" s="8848" t="n"/>
      <c r="Q61" s="8848" t="n"/>
      <c r="R61" s="8848" t="n"/>
      <c r="S61" s="8848" t="n"/>
      <c r="T61" s="8848" t="n"/>
      <c r="U61" s="12121" t="n"/>
      <c r="V61" s="12797">
        <f>IF(NoSSN,"",SS_Yours)</f>
        <v/>
      </c>
      <c r="W61" s="8848" t="n"/>
      <c r="X61" s="8848" t="n"/>
      <c r="Y61" s="8848" t="n"/>
      <c r="Z61" s="8848" t="n"/>
      <c r="AA61" s="8848" t="n"/>
      <c r="AB61" s="8848" t="n"/>
      <c r="AC61" s="8848" t="n"/>
      <c r="AD61" s="8848" t="n"/>
      <c r="AE61" s="8848" t="n"/>
      <c r="AF61" s="8848" t="n"/>
      <c r="AG61" s="2013" t="n"/>
    </row>
    <row r="62" ht="12.75" customHeight="1" s="7635">
      <c r="A62" s="2013" t="n"/>
      <c r="B62" s="12798" t="inlineStr">
        <is>
          <t>Before you check Box D, E, F, J, K, or L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62" s="2506" t="n"/>
      <c r="D62" s="2506" t="n"/>
      <c r="E62" s="2506" t="n"/>
      <c r="F62" s="2506" t="n"/>
      <c r="G62" s="2506" t="n"/>
      <c r="H62" s="2506" t="n"/>
      <c r="I62" s="2506" t="n"/>
      <c r="J62" s="2506" t="n"/>
      <c r="K62" s="2506" t="n"/>
      <c r="L62" s="2506" t="n"/>
      <c r="M62" s="2506" t="n"/>
      <c r="N62" s="2506" t="n"/>
      <c r="O62" s="2506" t="n"/>
      <c r="P62" s="2506" t="n"/>
      <c r="Q62" s="2506" t="n"/>
      <c r="R62" s="2506" t="n"/>
      <c r="S62" s="2506" t="n"/>
      <c r="T62" s="2506" t="n"/>
      <c r="U62" s="2506" t="n"/>
      <c r="V62" s="2506" t="n"/>
      <c r="W62" s="2506" t="n"/>
      <c r="X62" s="2506" t="n"/>
      <c r="Y62" s="2506" t="n"/>
      <c r="Z62" s="2506" t="n"/>
      <c r="AA62" s="2506" t="n"/>
      <c r="AB62" s="2506" t="n"/>
      <c r="AC62" s="2506" t="n"/>
      <c r="AD62" s="2506" t="n"/>
      <c r="AE62" s="2506" t="n"/>
      <c r="AF62" s="2506" t="n"/>
      <c r="AG62" s="2013" t="n"/>
    </row>
    <row r="63" ht="12.75" customHeight="1" s="7635">
      <c r="A63" s="2013" t="n"/>
      <c r="AG63" s="2013" t="n"/>
    </row>
    <row r="64" ht="12.75" customHeight="1" s="7635">
      <c r="A64" s="2013" t="n"/>
      <c r="B64" s="7637" t="n"/>
      <c r="C64" s="7637" t="n"/>
      <c r="D64" s="7637" t="n"/>
      <c r="E64" s="7637" t="n"/>
      <c r="F64" s="7637" t="n"/>
      <c r="G64" s="7637" t="n"/>
      <c r="H64" s="7637" t="n"/>
      <c r="I64" s="7637" t="n"/>
      <c r="J64" s="7637" t="n"/>
      <c r="K64" s="7637" t="n"/>
      <c r="L64" s="7637" t="n"/>
      <c r="M64" s="7637" t="n"/>
      <c r="N64" s="7637" t="n"/>
      <c r="O64" s="7637" t="n"/>
      <c r="P64" s="7637" t="n"/>
      <c r="Q64" s="7637" t="n"/>
      <c r="R64" s="7637" t="n"/>
      <c r="S64" s="7637" t="n"/>
      <c r="T64" s="7637" t="n"/>
      <c r="U64" s="7637" t="n"/>
      <c r="V64" s="7637" t="n"/>
      <c r="W64" s="7637" t="n"/>
      <c r="X64" s="7637" t="n"/>
      <c r="Y64" s="7637" t="n"/>
      <c r="Z64" s="7637" t="n"/>
      <c r="AA64" s="7637" t="n"/>
      <c r="AB64" s="7637" t="n"/>
      <c r="AC64" s="7637" t="n"/>
      <c r="AD64" s="7637" t="n"/>
      <c r="AE64" s="7637" t="n"/>
      <c r="AF64" s="7637" t="n"/>
      <c r="AG64" s="2013" t="n"/>
    </row>
    <row r="65" ht="3.75" customHeight="1" s="7635">
      <c r="A65" s="2013" t="n"/>
      <c r="B65" s="88" t="n"/>
      <c r="C65" s="88" t="n"/>
      <c r="D65" s="88" t="n"/>
      <c r="E65" s="88" t="n"/>
      <c r="F65" s="88" t="n"/>
      <c r="G65" s="88" t="n"/>
      <c r="H65" s="88" t="n"/>
      <c r="I65" s="88" t="n"/>
      <c r="J65" s="88" t="n"/>
      <c r="K65" s="88" t="n"/>
      <c r="L65" s="88"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2013" t="n"/>
    </row>
    <row r="66" ht="15" customHeight="1" s="7635">
      <c r="A66" s="2013" t="n"/>
      <c r="B66" s="11415" t="inlineStr">
        <is>
          <t>Part II</t>
        </is>
      </c>
      <c r="C66" s="7839" t="n"/>
      <c r="D66" s="88" t="n"/>
      <c r="E66" s="11417" t="inlineStr">
        <is>
          <t>Long-Term.</t>
        </is>
      </c>
      <c r="F66" s="1836" t="n"/>
      <c r="G66" s="1836" t="n"/>
      <c r="H66" s="1836" t="n"/>
      <c r="I66" s="1836" t="inlineStr">
        <is>
          <t>Transactions involving capital assets  you  held more  than  1  year are generally long-term (see</t>
        </is>
      </c>
      <c r="J66" s="1836" t="n"/>
      <c r="K66" s="1836" t="n"/>
      <c r="L66" s="1836" t="n"/>
      <c r="M66" s="1836" t="n"/>
      <c r="N66" s="1836" t="n"/>
      <c r="O66" s="1836" t="n"/>
      <c r="P66" s="11417" t="n"/>
      <c r="Q66" s="1836" t="n"/>
      <c r="R66" s="1836" t="n"/>
      <c r="S66" s="1836" t="n"/>
      <c r="T66" s="1836" t="n"/>
      <c r="U66" s="1836" t="n"/>
      <c r="V66" s="1836" t="n"/>
      <c r="W66" s="1836" t="n"/>
      <c r="X66" s="1836" t="n"/>
      <c r="Y66" s="1836" t="n"/>
      <c r="Z66" s="1836" t="n"/>
      <c r="AA66" s="1836" t="n"/>
      <c r="AB66" s="1836" t="n"/>
      <c r="AC66" s="1836" t="n"/>
      <c r="AD66" s="1836" t="n"/>
      <c r="AE66" s="1836" t="n"/>
      <c r="AF66" s="1836" t="n"/>
      <c r="AG66" s="2013">
        <f>IF(SUM(AG91:AG101)&gt;0,TRUE,FALSE)</f>
        <v/>
      </c>
    </row>
    <row r="67" ht="12.75" customHeight="1" s="7635">
      <c r="A67" s="2013" t="n"/>
      <c r="B67" s="88" t="n"/>
      <c r="C67" s="88" t="n"/>
      <c r="D67" s="88" t="n"/>
      <c r="E67" s="1836" t="inlineStr">
        <is>
          <t>instructions). For short-term transactions, see page 1.</t>
        </is>
      </c>
      <c r="F67" s="1836" t="n"/>
      <c r="G67" s="1836" t="n"/>
      <c r="H67" s="1836" t="n"/>
      <c r="I67" s="1836" t="n"/>
      <c r="J67" s="1836" t="n"/>
      <c r="K67" s="1836" t="n"/>
      <c r="L67" s="1836" t="n"/>
      <c r="M67" s="1836" t="n"/>
      <c r="N67" s="1836" t="n"/>
      <c r="O67" s="1836" t="n"/>
      <c r="P67" s="1836" t="n"/>
      <c r="Q67" s="1836" t="n"/>
      <c r="R67" s="1836" t="n"/>
      <c r="S67" s="1836" t="n"/>
      <c r="T67" s="1836" t="n"/>
      <c r="U67" s="1836" t="n"/>
      <c r="V67" s="1836" t="n"/>
      <c r="W67" s="1836" t="n"/>
      <c r="X67" s="1836" t="n"/>
      <c r="Y67" s="1836" t="n"/>
      <c r="Z67" s="1836" t="n"/>
      <c r="AA67" s="1836" t="n"/>
      <c r="AB67" s="1836" t="n"/>
      <c r="AC67" s="1836" t="n"/>
      <c r="AD67" s="1836" t="n"/>
      <c r="AE67" s="1836" t="n"/>
      <c r="AF67" s="1836" t="n"/>
      <c r="AG67" s="2013" t="n"/>
    </row>
    <row r="68" ht="13.5" customHeight="1" s="7635">
      <c r="A68" s="2013" t="n"/>
      <c r="B68" s="88" t="n"/>
      <c r="C68" s="88" t="n"/>
      <c r="D68" s="88" t="n"/>
      <c r="E68" s="3440" t="inlineStr">
        <is>
          <t>Note. You may aggregate all long-term transactions reported on Form(s) 1099-B and Form(s) 1099-DA</t>
        </is>
      </c>
      <c r="F68" s="88" t="n"/>
      <c r="G68" s="88" t="n"/>
      <c r="H68" s="88" t="n"/>
      <c r="I68" s="88" t="n"/>
      <c r="J68" s="88" t="n"/>
      <c r="K68" s="88" t="n"/>
      <c r="L68" s="88" t="n"/>
      <c r="M68" s="88" t="n"/>
      <c r="N68" s="88" t="n"/>
      <c r="O68" s="88" t="n"/>
      <c r="P68" s="88" t="n"/>
      <c r="Q68" s="88" t="n"/>
      <c r="R68" s="88" t="n"/>
      <c r="S68" s="88" t="n"/>
      <c r="T68" s="1836" t="n"/>
      <c r="U68" s="88" t="n"/>
      <c r="V68" s="88" t="n"/>
      <c r="W68" s="88" t="n"/>
      <c r="X68" s="11403" t="n"/>
      <c r="Y68" s="88" t="n"/>
      <c r="Z68" s="88" t="n"/>
      <c r="AA68" s="88" t="n"/>
      <c r="AB68" s="88" t="n"/>
      <c r="AC68" s="88" t="n"/>
      <c r="AD68" s="88" t="n"/>
      <c r="AE68" s="88" t="n"/>
      <c r="AF68" s="88" t="n"/>
      <c r="AG68" s="2013" t="n"/>
      <c r="AS68" s="7779" t="n"/>
      <c r="AT68" s="7779" t="n"/>
      <c r="AU68" s="7779" t="n"/>
      <c r="AV68" s="7779" t="n"/>
      <c r="AW68" s="7779" t="n"/>
      <c r="AX68" s="7779" t="n"/>
      <c r="AY68" s="7779" t="n"/>
      <c r="AZ68" s="7779" t="n"/>
      <c r="BA68" s="7779" t="n"/>
      <c r="BB68" s="7779" t="n"/>
      <c r="BC68" s="7779" t="n"/>
    </row>
    <row r="69" ht="13.5" customHeight="1" s="7635">
      <c r="A69" s="2013" t="n"/>
      <c r="B69" s="88" t="n"/>
      <c r="C69" s="88" t="n"/>
      <c r="D69" s="88" t="n"/>
      <c r="E69" s="1836" t="inlineStr">
        <is>
          <t>showing basis was reported to the IRS and for which no adjustments or codes are required. Enter the totals</t>
        </is>
      </c>
      <c r="F69" s="88" t="n"/>
      <c r="G69" s="88" t="n"/>
      <c r="H69" s="88" t="n"/>
      <c r="I69" s="88" t="n"/>
      <c r="J69" s="88" t="n"/>
      <c r="K69" s="88" t="n"/>
      <c r="L69" s="88" t="n"/>
      <c r="M69" s="88" t="n"/>
      <c r="N69" s="88" t="n"/>
      <c r="O69" s="88" t="n"/>
      <c r="P69" s="88" t="n"/>
      <c r="Q69" s="88" t="n"/>
      <c r="R69" s="88" t="n"/>
      <c r="S69" s="88" t="n"/>
      <c r="T69" s="1836" t="n"/>
      <c r="U69" s="88" t="n"/>
      <c r="V69" s="88" t="n"/>
      <c r="W69" s="88" t="n"/>
      <c r="X69" s="11403" t="n"/>
      <c r="Y69" s="88" t="n"/>
      <c r="Z69" s="88" t="n"/>
      <c r="AA69" s="88" t="n"/>
      <c r="AB69" s="88" t="n"/>
      <c r="AC69" s="88" t="n"/>
      <c r="AD69" s="88" t="n"/>
      <c r="AE69" s="88" t="n"/>
      <c r="AF69" s="88" t="n"/>
      <c r="AG69" s="2013" t="n"/>
      <c r="AS69" s="7779" t="n"/>
      <c r="AT69" s="7779" t="n"/>
      <c r="AU69" s="7779" t="n"/>
      <c r="AV69" s="7779" t="n"/>
      <c r="AW69" s="7779" t="n"/>
      <c r="AX69" s="7779" t="n"/>
      <c r="AY69" s="7779" t="n"/>
      <c r="AZ69" s="7779" t="n"/>
      <c r="BA69" s="7779" t="n"/>
      <c r="BB69" s="7779" t="n"/>
      <c r="BC69" s="7779" t="n"/>
    </row>
    <row r="70" ht="13.5" customHeight="1" s="7635">
      <c r="A70" s="2013" t="n"/>
      <c r="B70" s="2432" t="n"/>
      <c r="C70" s="2432" t="n"/>
      <c r="D70" s="2432" t="n"/>
      <c r="E70" s="6008" t="inlineStr">
        <is>
          <t>directly on Schedule D, line 8a; you aren’t required to report these transactions on Form 8949 (see instructions).</t>
        </is>
      </c>
      <c r="F70" s="2432" t="n"/>
      <c r="G70" s="2432" t="n"/>
      <c r="H70" s="2432" t="n"/>
      <c r="I70" s="2432" t="n"/>
      <c r="J70" s="2432" t="n"/>
      <c r="K70" s="2432" t="n"/>
      <c r="L70" s="2432" t="n"/>
      <c r="M70" s="2432" t="n"/>
      <c r="N70" s="2432" t="n"/>
      <c r="O70" s="2432" t="n"/>
      <c r="P70" s="2432" t="n"/>
      <c r="Q70" s="2432" t="n"/>
      <c r="R70" s="2432" t="n"/>
      <c r="S70" s="2432" t="n"/>
      <c r="T70" s="2432" t="n"/>
      <c r="U70" s="2432" t="n"/>
      <c r="V70" s="2432" t="n"/>
      <c r="W70" s="2432" t="n"/>
      <c r="X70" s="2432" t="n"/>
      <c r="Y70" s="2432" t="n"/>
      <c r="Z70" s="2432" t="n"/>
      <c r="AA70" s="2432" t="n"/>
      <c r="AB70" s="2432" t="n"/>
      <c r="AC70" s="2432" t="n"/>
      <c r="AD70" s="2432" t="n"/>
      <c r="AE70" s="2432" t="n"/>
      <c r="AF70" s="2432" t="n"/>
      <c r="AG70" s="2013" t="n"/>
      <c r="AS70" s="7779" t="n"/>
      <c r="AT70" s="7779" t="n"/>
      <c r="AU70" s="7779" t="n"/>
      <c r="AV70" s="7779" t="n"/>
      <c r="AW70" s="7779" t="n"/>
      <c r="AX70" s="7779" t="n"/>
      <c r="AY70" s="7779" t="n"/>
      <c r="AZ70" s="7779" t="n"/>
      <c r="BA70" s="7779" t="n"/>
      <c r="BB70" s="7779" t="n"/>
      <c r="BC70" s="7779" t="n"/>
    </row>
    <row r="71" ht="14.25" customHeight="1" s="7635">
      <c r="A71" s="2013" t="n"/>
      <c r="B71" s="226" t="inlineStr">
        <is>
          <t xml:space="preserve">You must check Box D, E, F, J, K, or L below. </t>
        </is>
      </c>
      <c r="C71" s="8922" t="n"/>
      <c r="D71" s="8922" t="n"/>
      <c r="E71" s="8922" t="n"/>
      <c r="F71" s="8922" t="n"/>
      <c r="G71" s="8922" t="n"/>
      <c r="H71" s="8922" t="n"/>
      <c r="I71" s="8922" t="n"/>
      <c r="J71" s="8922" t="n"/>
      <c r="K71" s="1183" t="n"/>
      <c r="L71" s="8922" t="n"/>
      <c r="M71" s="226" t="inlineStr">
        <is>
          <t xml:space="preserve"> Check only one box. </t>
        </is>
      </c>
      <c r="N71" s="226" t="n"/>
      <c r="O71" s="8922" t="n"/>
      <c r="P71" s="11403" t="n"/>
      <c r="Q71" s="8922" t="n"/>
      <c r="R71" s="8922" t="n"/>
      <c r="S71" s="8922" t="n"/>
      <c r="T71" s="1836" t="n"/>
      <c r="U71" s="8922" t="n"/>
      <c r="V71" s="8922" t="n"/>
      <c r="W71" s="8922" t="n"/>
      <c r="X71" s="8922" t="n"/>
      <c r="Y71" s="8922" t="n"/>
      <c r="Z71" s="8922" t="n"/>
      <c r="AA71" s="8922" t="n"/>
      <c r="AB71" s="8922" t="n"/>
      <c r="AC71" s="8922" t="n"/>
      <c r="AD71" s="8922" t="n"/>
      <c r="AE71" s="8922" t="n"/>
      <c r="AF71" s="6501" t="inlineStr">
        <is>
          <t>If more than one box applies for your long-term transactions,</t>
        </is>
      </c>
      <c r="AG71" s="2013" t="n"/>
    </row>
    <row r="72">
      <c r="A72" s="2013" t="n"/>
      <c r="B72" s="11403" t="inlineStr">
        <is>
          <t xml:space="preserve">complete a separate Form 8949, page 2, for each applicable box. If you have more long-term transactions than will fit on this page for </t>
        </is>
      </c>
      <c r="C72" s="8922" t="n"/>
      <c r="D72" s="8922" t="n"/>
      <c r="E72" s="8922" t="n"/>
      <c r="F72" s="8922" t="n"/>
      <c r="G72" s="8922" t="n"/>
      <c r="H72" s="8922" t="n"/>
      <c r="I72" s="8922" t="n"/>
      <c r="J72" s="8922" t="n"/>
      <c r="K72" s="8922" t="n"/>
      <c r="L72" s="8922" t="n"/>
      <c r="M72" s="8922" t="n"/>
      <c r="N72" s="8922" t="n"/>
      <c r="O72" s="8922" t="n"/>
      <c r="P72" s="8922" t="n"/>
      <c r="Q72" s="8922" t="n"/>
      <c r="R72" s="8922" t="n"/>
      <c r="S72" s="8922" t="n"/>
      <c r="T72" s="8922" t="n"/>
      <c r="U72" s="8922" t="n"/>
      <c r="V72" s="8922" t="n"/>
      <c r="W72" s="8922" t="n"/>
      <c r="X72" s="8922" t="n"/>
      <c r="Y72" s="8922" t="n"/>
      <c r="Z72" s="8922" t="n"/>
      <c r="AA72" s="8922" t="n"/>
      <c r="AB72" s="8922" t="n"/>
      <c r="AC72" s="8922" t="n"/>
      <c r="AD72" s="8922" t="n"/>
      <c r="AE72" s="8922" t="n"/>
      <c r="AF72" s="8922" t="n"/>
      <c r="AG72" s="2013" t="n"/>
      <c r="BA72" s="12799" t="inlineStr">
        <is>
          <t>Less than One Year</t>
        </is>
      </c>
      <c r="BB72" s="8412" t="n"/>
      <c r="BC72" s="11734" t="n"/>
    </row>
    <row r="73" ht="12.75" customHeight="1" s="7635">
      <c r="A73" s="2013" t="n"/>
      <c r="B73" s="11403">
        <f>IF(SpaceUsed_8949A_LT,"ERROR: DO NOT use the space bar to uncheck a box. Use the 'Delete' key.","one or more of the boxes, complete as many forms with the same box checked as you need.")</f>
        <v/>
      </c>
      <c r="C73" s="8922" t="n"/>
      <c r="D73" s="8922" t="n"/>
      <c r="E73" s="8922" t="n"/>
      <c r="F73" s="8922" t="n"/>
      <c r="G73" s="8922" t="n"/>
      <c r="H73" s="8922" t="n"/>
      <c r="I73" s="8922" t="n"/>
      <c r="J73" s="8922" t="n"/>
      <c r="K73" s="8922" t="n"/>
      <c r="L73" s="8922" t="n"/>
      <c r="M73" s="8922" t="n"/>
      <c r="N73" s="8922" t="n"/>
      <c r="O73" s="8922" t="n"/>
      <c r="P73" s="8922" t="n"/>
      <c r="Q73" s="8922" t="n"/>
      <c r="R73" s="8922" t="n"/>
      <c r="S73" s="8922" t="n"/>
      <c r="T73" s="8922" t="n"/>
      <c r="U73" s="8922" t="n"/>
      <c r="V73" s="8922" t="n"/>
      <c r="W73" s="8922" t="n"/>
      <c r="X73" s="8922" t="n"/>
      <c r="Y73" s="8922" t="n"/>
      <c r="Z73" s="8922" t="n"/>
      <c r="AA73" s="8922" t="n"/>
      <c r="AB73" s="8922" t="n"/>
      <c r="AC73" s="8922" t="n"/>
      <c r="AD73" s="8922" t="n"/>
      <c r="AE73" s="8922" t="n"/>
      <c r="AF73" s="8922" t="n"/>
      <c r="AG73" s="2013" t="n"/>
      <c r="AJ73" s="3809" t="n"/>
      <c r="AK73" s="3809" t="n"/>
      <c r="AL73" s="3809" t="n"/>
      <c r="AM73" s="3809" t="n"/>
      <c r="AN73" s="3809" t="n"/>
      <c r="AO73" s="3809" t="n"/>
      <c r="AP73" s="3809" t="n"/>
      <c r="AQ73" s="3809" t="n"/>
      <c r="BA73" s="11398" t="inlineStr">
        <is>
          <t>Calendar Year is SAME</t>
        </is>
      </c>
      <c r="BB73" s="11398" t="inlineStr">
        <is>
          <t>Before This Month (Last Year)</t>
        </is>
      </c>
      <c r="BC73" s="11398" t="inlineStr">
        <is>
          <t>Before This Day and Month (Last Year)</t>
        </is>
      </c>
    </row>
    <row r="74" ht="4.5" customHeight="1" s="7635" thickBot="1">
      <c r="A74" s="2013" t="n"/>
      <c r="B74" s="8922" t="n"/>
      <c r="C74" s="8922" t="n"/>
      <c r="D74" s="8922" t="n"/>
      <c r="E74" s="8922" t="n"/>
      <c r="F74" s="8922" t="n"/>
      <c r="G74" s="8922" t="n"/>
      <c r="H74" s="8922" t="n"/>
      <c r="I74" s="8922" t="n"/>
      <c r="J74" s="8922" t="n"/>
      <c r="K74" s="8922" t="n"/>
      <c r="L74" s="8922" t="n"/>
      <c r="M74" s="8922" t="n"/>
      <c r="N74" s="8922" t="n"/>
      <c r="O74" s="8922" t="n"/>
      <c r="P74" s="8922" t="n"/>
      <c r="Q74" s="8922" t="n"/>
      <c r="R74" s="8922" t="n"/>
      <c r="S74" s="8922" t="n"/>
      <c r="T74" s="8922" t="n"/>
      <c r="U74" s="8922" t="n"/>
      <c r="V74" s="8922" t="n"/>
      <c r="W74" s="8922" t="n"/>
      <c r="X74" s="8922" t="n"/>
      <c r="Y74" s="8922" t="n"/>
      <c r="Z74" s="8922" t="n"/>
      <c r="AA74" s="8922" t="n"/>
      <c r="AB74" s="8922" t="n"/>
      <c r="AC74" s="8922" t="n"/>
      <c r="AD74" s="8922" t="n"/>
      <c r="AE74" s="8922" t="n"/>
      <c r="AF74" s="8922" t="n"/>
      <c r="AG74" s="2013" t="n"/>
      <c r="BA74" s="11747" t="n"/>
      <c r="BB74" s="11747" t="n"/>
      <c r="BC74" s="11747" t="n"/>
    </row>
    <row r="75" ht="12" customHeight="1" s="7635" thickBot="1">
      <c r="A75" s="2013" t="n"/>
      <c r="B75" s="8914">
        <f>IF(C75&lt;&gt;"",1,0)</f>
        <v/>
      </c>
      <c r="C75" s="300" t="n"/>
      <c r="D75" s="3440" t="inlineStr">
        <is>
          <t xml:space="preserve"> (D) Long-term transactions reported on Form(s) 1099-B showing basis was reported to the IRS (see Note above)</t>
        </is>
      </c>
      <c r="E75" s="8922" t="n"/>
      <c r="F75" s="8922" t="n"/>
      <c r="G75" s="8922" t="n"/>
      <c r="H75" s="8922" t="n"/>
      <c r="I75" s="8922" t="n"/>
      <c r="J75" s="8922" t="n"/>
      <c r="K75" s="8922" t="n"/>
      <c r="L75" s="8922" t="n"/>
      <c r="M75" s="8922" t="n"/>
      <c r="N75" s="8922" t="n"/>
      <c r="O75" s="8922" t="n"/>
      <c r="P75" s="8922" t="n"/>
      <c r="Q75" s="8922" t="n"/>
      <c r="R75" s="8922" t="n"/>
      <c r="S75" s="8922" t="n"/>
      <c r="T75" s="8922" t="n"/>
      <c r="U75" s="8922" t="n"/>
      <c r="V75" s="8922" t="n"/>
      <c r="W75" s="8922" t="n"/>
      <c r="X75" s="8922" t="n"/>
      <c r="Y75" s="8922" t="n"/>
      <c r="Z75" s="8922" t="n"/>
      <c r="AA75" s="8922" t="n"/>
      <c r="AB75" s="8922" t="n"/>
      <c r="AC75" s="8922" t="n"/>
      <c r="AD75" s="8922" t="n"/>
      <c r="AE75" s="8922" t="n"/>
      <c r="AF75" s="8922" t="n"/>
      <c r="AG75" s="2013" t="n"/>
      <c r="AJ75" s="11392" t="n"/>
      <c r="BA75" s="11747" t="n"/>
      <c r="BB75" s="11747" t="n"/>
      <c r="BC75" s="11747" t="n"/>
    </row>
    <row r="76" ht="4.5" customHeight="1" s="7635" thickBot="1">
      <c r="A76" s="2013" t="n"/>
      <c r="B76" s="6017" t="n"/>
      <c r="C76" s="8922" t="n"/>
      <c r="D76" s="1836" t="n"/>
      <c r="E76" s="8922" t="n"/>
      <c r="F76" s="8922" t="n"/>
      <c r="G76" s="8922" t="n"/>
      <c r="H76" s="8922" t="n"/>
      <c r="I76" s="8922" t="n"/>
      <c r="J76" s="8922" t="n"/>
      <c r="K76" s="8922" t="n"/>
      <c r="L76" s="8922" t="n"/>
      <c r="M76" s="8922" t="n"/>
      <c r="N76" s="8922" t="n"/>
      <c r="O76" s="8922" t="n"/>
      <c r="P76" s="8922" t="n"/>
      <c r="Q76" s="8922" t="n"/>
      <c r="R76" s="8922" t="n"/>
      <c r="S76" s="8922" t="n"/>
      <c r="T76" s="8922" t="n"/>
      <c r="U76" s="8922" t="n"/>
      <c r="V76" s="8922" t="n"/>
      <c r="W76" s="8922" t="n"/>
      <c r="X76" s="8922" t="n"/>
      <c r="Y76" s="8922" t="n"/>
      <c r="Z76" s="8922" t="n"/>
      <c r="AA76" s="8922" t="n"/>
      <c r="AB76" s="8922" t="n"/>
      <c r="AC76" s="8922" t="n"/>
      <c r="AD76" s="8922" t="n"/>
      <c r="AE76" s="8922" t="n"/>
      <c r="AF76" s="8922" t="n"/>
      <c r="AG76" s="2013" t="n"/>
      <c r="BA76" s="11747" t="n"/>
      <c r="BB76" s="11747" t="n"/>
      <c r="BC76" s="11747" t="n"/>
    </row>
    <row r="77" ht="11.25" customHeight="1" s="7635" thickBot="1">
      <c r="A77" s="2013" t="n"/>
      <c r="B77" s="8914">
        <f>IF(C77&lt;&gt;"",1,0)</f>
        <v/>
      </c>
      <c r="C77" s="300" t="n"/>
      <c r="D77" s="3440" t="inlineStr">
        <is>
          <t xml:space="preserve"> (E) Long-term transactions reported on Form(s) 1099-B showing basis was not reported to the IRS</t>
        </is>
      </c>
      <c r="E77" s="8922" t="n"/>
      <c r="F77" s="8922" t="n"/>
      <c r="G77" s="8922" t="n"/>
      <c r="H77" s="8922" t="n"/>
      <c r="I77" s="8922" t="n"/>
      <c r="J77" s="8922" t="n"/>
      <c r="K77" s="8922" t="n"/>
      <c r="L77" s="8922" t="n"/>
      <c r="M77" s="8922" t="n"/>
      <c r="N77" s="8922" t="n"/>
      <c r="O77" s="8922" t="n"/>
      <c r="P77" s="8922" t="n"/>
      <c r="Q77" s="7299" t="n"/>
      <c r="R77" s="7299" t="n"/>
      <c r="S77" s="7299" t="n"/>
      <c r="T77" s="7299" t="n"/>
      <c r="U77" s="7299" t="n"/>
      <c r="V77" s="7299" t="n"/>
      <c r="W77" s="7299" t="n"/>
      <c r="X77" s="7299" t="n"/>
      <c r="Y77" s="7299" t="n"/>
      <c r="Z77" s="7299" t="n"/>
      <c r="AA77" s="7299" t="n"/>
      <c r="AB77" s="7299" t="n"/>
      <c r="AC77" s="7299" t="n"/>
      <c r="AD77" s="7299" t="n"/>
      <c r="AE77" s="8922" t="n"/>
      <c r="AF77" s="8922" t="n"/>
      <c r="AG77" s="2013" t="n"/>
      <c r="AJ77" s="11392" t="n"/>
      <c r="BA77" s="11747" t="n"/>
      <c r="BB77" s="11747" t="n"/>
      <c r="BC77" s="11747" t="n"/>
    </row>
    <row r="78" ht="4.5" customHeight="1" s="7635" thickBot="1">
      <c r="A78" s="2013" t="n"/>
      <c r="B78" s="6017" t="n"/>
      <c r="C78" s="8922" t="n"/>
      <c r="D78" s="1836" t="n"/>
      <c r="E78" s="8922" t="n"/>
      <c r="F78" s="8922" t="n"/>
      <c r="G78" s="8922" t="n"/>
      <c r="H78" s="8922" t="n"/>
      <c r="I78" s="8922" t="n"/>
      <c r="J78" s="8922" t="n"/>
      <c r="K78" s="8922" t="n"/>
      <c r="L78" s="8922" t="n"/>
      <c r="M78" s="8922" t="n"/>
      <c r="N78" s="8922" t="n"/>
      <c r="O78" s="8922" t="n"/>
      <c r="P78" s="8922" t="n"/>
      <c r="Q78" s="7299" t="n"/>
      <c r="R78" s="7299" t="n"/>
      <c r="S78" s="7299" t="n"/>
      <c r="T78" s="7299" t="n"/>
      <c r="U78" s="7299" t="n"/>
      <c r="V78" s="7299" t="n"/>
      <c r="W78" s="7299" t="n"/>
      <c r="X78" s="7299" t="n"/>
      <c r="Y78" s="7299" t="n"/>
      <c r="Z78" s="7299" t="n"/>
      <c r="AA78" s="7299" t="n"/>
      <c r="AB78" s="7299" t="n"/>
      <c r="AC78" s="7299" t="n"/>
      <c r="AD78" s="7299" t="n"/>
      <c r="AE78" s="8922" t="n"/>
      <c r="AF78" s="8922" t="n"/>
      <c r="AG78" s="2013" t="n"/>
      <c r="BA78" s="11747" t="n"/>
      <c r="BB78" s="11747" t="n"/>
      <c r="BC78" s="11747" t="n"/>
    </row>
    <row r="79" ht="12" customHeight="1" s="7635" thickBot="1">
      <c r="A79" s="2013">
        <f>SUM(B75:B79)</f>
        <v/>
      </c>
      <c r="B79" s="8914">
        <f>IF(C79&lt;&gt;"",1,0)</f>
        <v/>
      </c>
      <c r="C79" s="300" t="n"/>
      <c r="D79" s="3440" t="inlineStr">
        <is>
          <t xml:space="preserve"> (F) Long-term transactions, other than digital asset transactions, not reported to you on Form 1099-B or Form 1099-DA</t>
        </is>
      </c>
      <c r="E79" s="8922" t="n"/>
      <c r="F79" s="8922" t="n"/>
      <c r="G79" s="8922" t="n"/>
      <c r="H79" s="8922" t="n"/>
      <c r="I79" s="8922" t="n"/>
      <c r="J79" s="8922" t="n"/>
      <c r="K79" s="8922" t="n"/>
      <c r="L79" s="8922" t="n"/>
      <c r="M79" s="8922" t="n"/>
      <c r="N79" s="8922" t="n"/>
      <c r="O79" s="8922" t="n"/>
      <c r="P79" s="8922" t="n"/>
      <c r="Q79" s="6018" t="n"/>
      <c r="R79" s="6019" t="n"/>
      <c r="S79" s="3823" t="n"/>
      <c r="T79" s="3823" t="n"/>
      <c r="U79" s="3823" t="n"/>
      <c r="V79" s="3823" t="n"/>
      <c r="W79" s="3823" t="n"/>
      <c r="X79" s="3823" t="n"/>
      <c r="Y79" s="3823" t="n"/>
      <c r="Z79" s="3823" t="n"/>
      <c r="AA79" s="3823" t="n"/>
      <c r="AB79" s="3823" t="n"/>
      <c r="AC79" s="3823" t="n"/>
      <c r="AD79" s="3823" t="n"/>
      <c r="AE79" s="3823" t="n"/>
      <c r="AF79" s="8922" t="n"/>
      <c r="AG79" s="2013" t="n"/>
      <c r="AH79" s="9649">
        <f>OR(F8949BLBOXD=CHAR(32),F8949BLBOXE=CHAR(32),F8949BLBOXF=CHAR(32),F8949BLBOXJ=CHAR(32),F8949BLBOXK=CHAR(32),F8949BLBOXL=CHAR(32))</f>
        <v/>
      </c>
      <c r="AJ79" s="3809" t="n"/>
      <c r="AK79" s="3809" t="n"/>
      <c r="AL79" s="3809" t="n"/>
      <c r="AM79" s="3809" t="n"/>
      <c r="AN79" s="3809" t="n"/>
      <c r="AO79" s="3809" t="n"/>
      <c r="AP79" s="3809" t="n"/>
      <c r="AQ79" s="3809" t="n"/>
      <c r="BA79" s="11747" t="n"/>
      <c r="BB79" s="11747" t="n"/>
      <c r="BC79" s="11747" t="n"/>
    </row>
    <row r="80" ht="4.5" customHeight="1" s="7635" thickBot="1">
      <c r="A80" s="2013" t="n"/>
      <c r="B80" s="8922" t="n"/>
      <c r="C80" s="8922" t="n"/>
      <c r="D80" s="1836" t="n"/>
      <c r="E80" s="8922" t="n"/>
      <c r="F80" s="8922" t="n"/>
      <c r="G80" s="8922" t="n"/>
      <c r="H80" s="8922" t="n"/>
      <c r="I80" s="8922" t="n"/>
      <c r="J80" s="8922" t="n"/>
      <c r="K80" s="8922" t="n"/>
      <c r="L80" s="8922" t="n"/>
      <c r="M80" s="8922" t="n"/>
      <c r="N80" s="8922" t="n"/>
      <c r="O80" s="8922" t="n"/>
      <c r="P80" s="8922" t="n"/>
      <c r="Q80" s="8922" t="n"/>
      <c r="R80" s="8922" t="n"/>
      <c r="S80" s="8922" t="n"/>
      <c r="T80" s="8922" t="n"/>
      <c r="U80" s="8922" t="n"/>
      <c r="V80" s="8922" t="n"/>
      <c r="W80" s="8922" t="n"/>
      <c r="X80" s="8922" t="n"/>
      <c r="Y80" s="8922" t="n"/>
      <c r="Z80" s="8922" t="n"/>
      <c r="AA80" s="8922" t="n"/>
      <c r="AB80" s="8922" t="n"/>
      <c r="AC80" s="8922" t="n"/>
      <c r="AD80" s="8922" t="n"/>
      <c r="AE80" s="8922" t="n"/>
      <c r="AF80" s="8922" t="n"/>
      <c r="AG80" s="2013" t="n"/>
      <c r="BA80" s="11747" t="n"/>
      <c r="BB80" s="11747" t="n"/>
      <c r="BC80" s="11747" t="n"/>
    </row>
    <row r="81" ht="12" customHeight="1" s="7635" thickBot="1">
      <c r="A81" s="2013" t="n"/>
      <c r="B81" s="8914">
        <f>IF(C81&lt;&gt;"",1,0)</f>
        <v/>
      </c>
      <c r="C81" s="300" t="n"/>
      <c r="D81" s="3440" t="inlineStr">
        <is>
          <t xml:space="preserve"> (J) Long-term transactions reported on Form(s) 1099-DA showing basis was reported to the IRS (see Note above)</t>
        </is>
      </c>
      <c r="E81" s="8922" t="n"/>
      <c r="F81" s="8922" t="n"/>
      <c r="G81" s="8922" t="n"/>
      <c r="H81" s="8922" t="n"/>
      <c r="I81" s="8922" t="n"/>
      <c r="J81" s="8922" t="n"/>
      <c r="K81" s="8922" t="n"/>
      <c r="L81" s="8922" t="n"/>
      <c r="M81" s="8922" t="n"/>
      <c r="N81" s="8922" t="n"/>
      <c r="O81" s="8922" t="n"/>
      <c r="P81" s="8922" t="n"/>
      <c r="Q81" s="8922" t="n"/>
      <c r="R81" s="8922" t="n"/>
      <c r="S81" s="8922" t="n"/>
      <c r="T81" s="8922" t="n"/>
      <c r="U81" s="8922" t="n"/>
      <c r="V81" s="8922" t="n"/>
      <c r="W81" s="8922" t="n"/>
      <c r="X81" s="8922" t="n"/>
      <c r="Y81" s="8922" t="n"/>
      <c r="Z81" s="8922" t="n"/>
      <c r="AA81" s="8922" t="n"/>
      <c r="AB81" s="8922" t="n"/>
      <c r="AC81" s="8922" t="n"/>
      <c r="AD81" s="8922" t="n"/>
      <c r="AE81" s="8922" t="n"/>
      <c r="AF81" s="8922" t="n"/>
      <c r="AG81" s="2013" t="n"/>
      <c r="AJ81" s="11392" t="n"/>
      <c r="BA81" s="11747" t="n"/>
      <c r="BB81" s="11747" t="n"/>
      <c r="BC81" s="11747" t="n"/>
    </row>
    <row r="82" ht="4.5" customHeight="1" s="7635" thickBot="1">
      <c r="A82" s="2013" t="n"/>
      <c r="B82" s="6017" t="n"/>
      <c r="C82" s="8922" t="inlineStr">
        <is>
          <t>A</t>
        </is>
      </c>
      <c r="D82" s="1836" t="n"/>
      <c r="E82" s="8922" t="n"/>
      <c r="F82" s="8922" t="n"/>
      <c r="G82" s="8922" t="n"/>
      <c r="H82" s="8922" t="n"/>
      <c r="I82" s="8922" t="n"/>
      <c r="J82" s="8922" t="n"/>
      <c r="K82" s="8922" t="n"/>
      <c r="L82" s="8922" t="n"/>
      <c r="M82" s="8922" t="n"/>
      <c r="N82" s="8922" t="n"/>
      <c r="O82" s="8922" t="n"/>
      <c r="P82" s="8922" t="n"/>
      <c r="Q82" s="8922" t="n"/>
      <c r="R82" s="8922" t="n"/>
      <c r="S82" s="8922" t="n"/>
      <c r="T82" s="8922" t="n"/>
      <c r="U82" s="8922" t="n"/>
      <c r="V82" s="8922" t="n"/>
      <c r="W82" s="8922" t="n"/>
      <c r="X82" s="8922" t="n"/>
      <c r="Y82" s="8922" t="n"/>
      <c r="Z82" s="8922" t="n"/>
      <c r="AA82" s="8922" t="n"/>
      <c r="AB82" s="8922" t="n"/>
      <c r="AC82" s="8922" t="n"/>
      <c r="AD82" s="8922" t="n"/>
      <c r="AE82" s="8922" t="n"/>
      <c r="AF82" s="8922" t="n"/>
      <c r="AG82" s="2013" t="n"/>
      <c r="BA82" s="11747" t="n"/>
      <c r="BB82" s="11747" t="n"/>
      <c r="BC82" s="11747" t="n"/>
    </row>
    <row r="83" ht="11.25" customHeight="1" s="7635" thickBot="1">
      <c r="A83" s="2013" t="n"/>
      <c r="B83" s="8914">
        <f>IF(C83&lt;&gt;"",1,0)</f>
        <v/>
      </c>
      <c r="C83" s="300" t="n"/>
      <c r="D83" s="3440" t="inlineStr">
        <is>
          <t xml:space="preserve"> (K) Long-term transactions reported on Form(s) 1099-DA showing basis was not reported to the IRS</t>
        </is>
      </c>
      <c r="E83" s="8922" t="n"/>
      <c r="F83" s="8922" t="n"/>
      <c r="G83" s="8922" t="n"/>
      <c r="H83" s="8922" t="n"/>
      <c r="I83" s="8922" t="n"/>
      <c r="J83" s="8922" t="n"/>
      <c r="K83" s="8922" t="n"/>
      <c r="L83" s="8922" t="n"/>
      <c r="M83" s="8922" t="n"/>
      <c r="N83" s="8922" t="n"/>
      <c r="O83" s="8922" t="n"/>
      <c r="P83" s="8922" t="n"/>
      <c r="Q83" s="7299" t="n"/>
      <c r="R83" s="7299" t="n"/>
      <c r="S83" s="7299" t="n"/>
      <c r="T83" s="7299" t="n"/>
      <c r="U83" s="7299" t="n"/>
      <c r="V83" s="7299" t="n"/>
      <c r="W83" s="7299" t="n"/>
      <c r="X83" s="7299" t="n"/>
      <c r="Y83" s="7299" t="n"/>
      <c r="Z83" s="7299" t="n"/>
      <c r="AA83" s="7299" t="n"/>
      <c r="AB83" s="7299" t="n"/>
      <c r="AC83" s="7299" t="n"/>
      <c r="AD83" s="7299" t="n"/>
      <c r="AE83" s="8922" t="n"/>
      <c r="AF83" s="8922" t="n"/>
      <c r="AG83" s="2013" t="n"/>
      <c r="AJ83" s="11392" t="n"/>
      <c r="BA83" s="11747" t="n"/>
      <c r="BB83" s="11747" t="n"/>
      <c r="BC83" s="11747" t="n"/>
    </row>
    <row r="84" ht="4.5" customHeight="1" s="7635" thickBot="1">
      <c r="A84" s="2013" t="n"/>
      <c r="B84" s="6017" t="n"/>
      <c r="C84" s="8922" t="n"/>
      <c r="D84" s="1836" t="n"/>
      <c r="E84" s="8922" t="n"/>
      <c r="F84" s="8922" t="n"/>
      <c r="G84" s="8922" t="n"/>
      <c r="H84" s="8922" t="n"/>
      <c r="I84" s="8922" t="n"/>
      <c r="J84" s="8922" t="n"/>
      <c r="K84" s="8922" t="n"/>
      <c r="L84" s="8922" t="n"/>
      <c r="M84" s="8922" t="n"/>
      <c r="N84" s="8922" t="n"/>
      <c r="O84" s="8922" t="n"/>
      <c r="P84" s="8922" t="n"/>
      <c r="Q84" s="7299" t="n"/>
      <c r="R84" s="7299" t="n"/>
      <c r="S84" s="7299" t="n"/>
      <c r="T84" s="7299" t="n"/>
      <c r="U84" s="7299" t="n"/>
      <c r="V84" s="7299" t="n"/>
      <c r="W84" s="7299" t="n"/>
      <c r="X84" s="7299" t="n"/>
      <c r="Y84" s="7299" t="n"/>
      <c r="Z84" s="7299" t="n"/>
      <c r="AA84" s="7299" t="n"/>
      <c r="AB84" s="7299" t="n"/>
      <c r="AC84" s="7299" t="n"/>
      <c r="AD84" s="7299" t="n"/>
      <c r="AE84" s="8922" t="n"/>
      <c r="AF84" s="8922" t="n"/>
      <c r="AG84" s="2013" t="n"/>
      <c r="BA84" s="11747" t="n"/>
      <c r="BB84" s="11747" t="n"/>
      <c r="BC84" s="11747" t="n"/>
    </row>
    <row r="85" ht="12" customHeight="1" s="7635" thickBot="1">
      <c r="A85" s="2013">
        <f>SUM(B75:B85)</f>
        <v/>
      </c>
      <c r="B85" s="8914">
        <f>IF(C85&lt;&gt;"",1,0)</f>
        <v/>
      </c>
      <c r="C85" s="300" t="n"/>
      <c r="D85" s="3440" t="inlineStr">
        <is>
          <t xml:space="preserve"> (L) Long-term digital asset transactions not reported to you on Form 1099-DA or Form 1099-B</t>
        </is>
      </c>
      <c r="E85" s="8922" t="n"/>
      <c r="F85" s="8922" t="n"/>
      <c r="G85" s="8922" t="n"/>
      <c r="H85" s="8922" t="n"/>
      <c r="I85" s="8922" t="n"/>
      <c r="J85" s="8922" t="n"/>
      <c r="K85" s="8922" t="n"/>
      <c r="L85" s="8922" t="n"/>
      <c r="M85" s="8922" t="n"/>
      <c r="N85" s="8922" t="n"/>
      <c r="O85" s="8922" t="n"/>
      <c r="P85" s="8922" t="n"/>
      <c r="Q85" s="6018" t="n"/>
      <c r="R85" s="3823" t="n"/>
      <c r="S85" s="3823" t="n"/>
      <c r="T85" s="3823" t="n"/>
      <c r="U85" s="3823" t="n"/>
      <c r="V85" s="3823" t="n"/>
      <c r="W85" s="3823" t="n"/>
      <c r="X85" s="3823" t="n"/>
      <c r="Y85" s="3823" t="n"/>
      <c r="Z85" s="3823" t="n"/>
      <c r="AA85" s="3823" t="n"/>
      <c r="AB85" s="3823" t="n"/>
      <c r="AC85" s="3823" t="n"/>
      <c r="AD85" s="3823" t="n"/>
      <c r="AE85" s="3823" t="n"/>
      <c r="AF85" s="6020" t="n"/>
      <c r="AG85" s="2013" t="n"/>
      <c r="AH85" s="9649" t="n"/>
      <c r="AJ85" s="11392" t="inlineStr">
        <is>
          <t>Paste data from other spreadsheets, reports, etc. here.  (Use 'Paste Special, Values')</t>
        </is>
      </c>
      <c r="BA85" s="11747" t="n"/>
      <c r="BB85" s="11747" t="n"/>
      <c r="BC85" s="11747" t="n"/>
    </row>
    <row r="86" ht="5.25" customHeight="1" s="7635">
      <c r="A86" s="2013" t="n"/>
      <c r="B86" s="6012" t="n"/>
      <c r="C86" s="6013" t="n"/>
      <c r="D86" s="6012" t="n"/>
      <c r="E86" s="6012" t="n"/>
      <c r="F86" s="6012" t="n"/>
      <c r="G86" s="6012" t="n"/>
      <c r="H86" s="6012" t="n"/>
      <c r="I86" s="6012" t="n"/>
      <c r="J86" s="6012" t="n"/>
      <c r="K86" s="6012" t="n"/>
      <c r="L86" s="6012" t="n"/>
      <c r="M86" s="6012" t="n"/>
      <c r="N86" s="6013" t="n"/>
      <c r="O86" s="6012" t="n"/>
      <c r="P86" s="6012" t="n"/>
      <c r="Q86" s="6012" t="n"/>
      <c r="R86" s="6012" t="n"/>
      <c r="S86" s="6012" t="n"/>
      <c r="T86" s="6012" t="n"/>
      <c r="U86" s="6012" t="n"/>
      <c r="V86" s="6012" t="n"/>
      <c r="W86" s="6012" t="n"/>
      <c r="X86" s="6012" t="n"/>
      <c r="Y86" s="6013" t="n"/>
      <c r="Z86" s="6012" t="n"/>
      <c r="AA86" s="6012" t="n"/>
      <c r="AB86" s="6012" t="n"/>
      <c r="AC86" s="6012" t="n"/>
      <c r="AD86" s="6012" t="n"/>
      <c r="AE86" s="6012" t="n"/>
      <c r="AF86" s="6012" t="n"/>
      <c r="AG86" s="2013" t="n"/>
      <c r="BA86" s="11747" t="n"/>
      <c r="BB86" s="11747" t="n"/>
      <c r="BC86" s="11747" t="n"/>
    </row>
    <row r="87" ht="21" customHeight="1" s="7635">
      <c r="A87" s="2013" t="n"/>
      <c r="B87" s="12800" t="n">
        <v>1</v>
      </c>
      <c r="C87" s="12801" t="inlineStr">
        <is>
          <t>(a)
Description of property
(Example: 100 sh. XYZ Co.)</t>
        </is>
      </c>
      <c r="D87" s="7839" t="n"/>
      <c r="E87" s="7839" t="n"/>
      <c r="F87" s="7839" t="n"/>
      <c r="G87" s="7839" t="n"/>
      <c r="H87" s="7839" t="n"/>
      <c r="I87" s="10091" t="n"/>
      <c r="J87" s="11779" t="inlineStr">
        <is>
          <t>(b)
Date acquired
(Mo., day, yr.)</t>
        </is>
      </c>
      <c r="K87" s="7839" t="n"/>
      <c r="L87" s="10091" t="n"/>
      <c r="M87" s="11779" t="inlineStr">
        <is>
          <t>(c)
Date sold or
disposed of
(Mo., day, yr.)</t>
        </is>
      </c>
      <c r="N87" s="7839" t="n"/>
      <c r="O87" s="7839" t="n"/>
      <c r="P87" s="10091" t="n"/>
      <c r="Q87" s="11779" t="inlineStr">
        <is>
          <t>(d)
Proceeds 
(sales price) 
(see instructions)</t>
        </is>
      </c>
      <c r="R87" s="7839" t="n"/>
      <c r="S87" s="7839" t="n"/>
      <c r="T87" s="10091" t="n"/>
      <c r="U87" s="12802" t="inlineStr">
        <is>
          <t>(e)
Cost or other basis. 
See the Note below 
and see Column (e) 
in the separate 
instructions</t>
        </is>
      </c>
      <c r="V87" s="7839" t="n"/>
      <c r="W87" s="7839" t="n"/>
      <c r="X87" s="10091" t="n"/>
      <c r="Y87" s="12803" t="inlineStr">
        <is>
          <t>Adjustment, if any, to gain or loss. 
If you enter an amount in column (g), 
enter a code in column (f). 
See the separate instructions.</t>
        </is>
      </c>
      <c r="Z87" s="7839" t="n"/>
      <c r="AA87" s="7839" t="n"/>
      <c r="AB87" s="10091" t="n"/>
      <c r="AC87" s="12804" t="inlineStr">
        <is>
          <t>(h) 
Gain or (loss). 
Subtract column (e) 
from column (d) and 
combine the result 
with column (g)</t>
        </is>
      </c>
      <c r="AD87" s="7839" t="n"/>
      <c r="AE87" s="7839" t="n"/>
      <c r="AF87" s="7839" t="n"/>
      <c r="AG87" s="2013" t="n"/>
      <c r="AJ87" s="11391" t="inlineStr">
        <is>
          <t>(a)
Description of property
(Example: 100 sh. XYZ Co.)</t>
        </is>
      </c>
      <c r="AK87" s="11391" t="inlineStr">
        <is>
          <t>(b)
Date acquired 
(Mo., day, yr.)</t>
        </is>
      </c>
      <c r="AL87" s="11391" t="inlineStr">
        <is>
          <t>(c)
Date sold or disposed
(Mo., day, yr.)</t>
        </is>
      </c>
      <c r="AM87" s="11391" t="inlineStr">
        <is>
          <t>(d)
Proceeds (sales price)
(see instructions)</t>
        </is>
      </c>
      <c r="AN87" s="11400" t="inlineStr">
        <is>
          <t>(e)
Cost or other basis.
See the Note below 
and see Column (e)
in the separate instructions</t>
        </is>
      </c>
      <c r="AO87" s="12805" t="inlineStr">
        <is>
          <t>Adjustment, if any, to gain or loss. 
If you enter an amount in column (g), 
enter a code in column (f). 
See the separate instructions.</t>
        </is>
      </c>
      <c r="AP87" s="10091" t="n"/>
      <c r="AQ87" s="11391" t="inlineStr">
        <is>
          <t>(h) 
Gain or (loss). 
Subtract column (e) 
from column (d) and 
combine the result 
with column (g)</t>
        </is>
      </c>
      <c r="BA87" s="11747" t="n"/>
      <c r="BB87" s="11747" t="n"/>
      <c r="BC87" s="11747" t="n"/>
    </row>
    <row r="88" ht="21" customHeight="1" s="7635">
      <c r="A88" s="2013" t="n"/>
      <c r="I88" s="7636" t="n"/>
      <c r="J88" s="4772" t="n"/>
      <c r="L88" s="7636" t="n"/>
      <c r="M88" s="4772" t="n"/>
      <c r="P88" s="7636" t="n"/>
      <c r="Q88" s="4772" t="n"/>
      <c r="T88" s="7636" t="n"/>
      <c r="U88" s="4772" t="n"/>
      <c r="X88" s="7636" t="n"/>
      <c r="Y88" s="3614" t="n"/>
      <c r="Z88" s="7637" t="n"/>
      <c r="AA88" s="7637" t="n"/>
      <c r="AB88" s="7638" t="n"/>
      <c r="AC88" s="4772" t="n"/>
      <c r="AG88" s="2013" t="n"/>
      <c r="AJ88" s="11747" t="n"/>
      <c r="AK88" s="11747" t="n"/>
      <c r="AL88" s="11747" t="n"/>
      <c r="AM88" s="11747" t="n"/>
      <c r="AN88" s="11747" t="n"/>
      <c r="AO88" s="3614" t="n"/>
      <c r="AP88" s="7638" t="n"/>
      <c r="AQ88" s="11747" t="n"/>
      <c r="BA88" s="11747" t="n"/>
      <c r="BB88" s="11747" t="n"/>
      <c r="BC88" s="11747" t="n"/>
    </row>
    <row r="89" ht="18" customHeight="1" s="7635">
      <c r="A89" s="2013" t="n"/>
      <c r="I89" s="7636" t="n"/>
      <c r="J89" s="4772" t="n"/>
      <c r="L89" s="7636" t="n"/>
      <c r="M89" s="4772" t="n"/>
      <c r="P89" s="7636" t="n"/>
      <c r="Q89" s="4772" t="n"/>
      <c r="T89" s="7636" t="n"/>
      <c r="U89" s="4772" t="n"/>
      <c r="X89" s="7636" t="n"/>
      <c r="Y89" s="12122" t="inlineStr">
        <is>
          <t>(f) 
Code(s) from 
instructions</t>
        </is>
      </c>
      <c r="Z89" s="10091" t="n"/>
      <c r="AA89" s="12122" t="inlineStr">
        <is>
          <t>(g) 
Amount of 
adjustment</t>
        </is>
      </c>
      <c r="AB89" s="10091" t="n"/>
      <c r="AC89" s="4772" t="n"/>
      <c r="AG89" s="2013" t="n"/>
      <c r="AJ89" s="11747" t="n"/>
      <c r="AK89" s="11747" t="n"/>
      <c r="AL89" s="11747" t="n"/>
      <c r="AM89" s="11747" t="n"/>
      <c r="AN89" s="11747" t="n"/>
      <c r="AO89" s="12122" t="inlineStr">
        <is>
          <t>(f) 
Code(s) from 
instructions</t>
        </is>
      </c>
      <c r="AP89" s="12122" t="inlineStr">
        <is>
          <t>(g) 
Amount of 
adjustment</t>
        </is>
      </c>
      <c r="AQ89" s="11747" t="n"/>
      <c r="BA89" s="11747" t="n"/>
      <c r="BB89" s="11747" t="n"/>
      <c r="BC89" s="11747" t="n"/>
    </row>
    <row r="90" ht="18" customHeight="1" s="7635">
      <c r="A90" s="2013" t="n"/>
      <c r="B90" s="7637" t="n"/>
      <c r="C90" s="7637" t="n"/>
      <c r="D90" s="7637" t="n"/>
      <c r="E90" s="7637" t="n"/>
      <c r="F90" s="7637" t="n"/>
      <c r="G90" s="7637" t="n"/>
      <c r="H90" s="7637" t="n"/>
      <c r="I90" s="7638" t="n"/>
      <c r="J90" s="3614" t="n"/>
      <c r="K90" s="7637" t="n"/>
      <c r="L90" s="7638" t="n"/>
      <c r="M90" s="3614" t="n"/>
      <c r="N90" s="7637" t="n"/>
      <c r="O90" s="7637" t="n"/>
      <c r="P90" s="7638" t="n"/>
      <c r="Q90" s="3614" t="n"/>
      <c r="R90" s="7637" t="n"/>
      <c r="S90" s="7637" t="n"/>
      <c r="T90" s="7638" t="n"/>
      <c r="U90" s="3614" t="n"/>
      <c r="V90" s="7637" t="n"/>
      <c r="W90" s="7637" t="n"/>
      <c r="X90" s="7638" t="n"/>
      <c r="Y90" s="3614" t="n"/>
      <c r="Z90" s="7638" t="n"/>
      <c r="AA90" s="3614" t="n"/>
      <c r="AB90" s="7638" t="n"/>
      <c r="AC90" s="3614" t="n"/>
      <c r="AD90" s="7637" t="n"/>
      <c r="AE90" s="7637" t="n"/>
      <c r="AF90" s="7637" t="n"/>
      <c r="AG90" s="2013" t="n"/>
      <c r="AJ90" s="11934" t="n"/>
      <c r="AK90" s="11934" t="n"/>
      <c r="AL90" s="11934" t="n"/>
      <c r="AM90" s="11934" t="n"/>
      <c r="AN90" s="11934" t="n"/>
      <c r="AO90" s="11934" t="n"/>
      <c r="AP90" s="11934" t="n"/>
      <c r="AQ90" s="11934" t="n"/>
      <c r="AZ90" s="8788" t="inlineStr">
        <is>
          <t>LTOY</t>
        </is>
      </c>
      <c r="BA90" s="11934" t="n"/>
      <c r="BB90" s="11934" t="n"/>
      <c r="BC90" s="11934" t="n"/>
    </row>
    <row r="91" ht="26.25" customHeight="1" s="7635">
      <c r="A91" s="2013">
        <f>IF(OR(Q91&lt;&gt;"",U91&lt;&gt;"",AC91&lt;&gt;""),1,0)</f>
        <v/>
      </c>
      <c r="B91" s="12806">
        <f>IF(AJ91="","",AJ91)</f>
        <v/>
      </c>
      <c r="C91" s="8007" t="n"/>
      <c r="D91" s="8007" t="n"/>
      <c r="E91" s="8007" t="n"/>
      <c r="F91" s="8007" t="n"/>
      <c r="G91" s="8007" t="n"/>
      <c r="H91" s="8007" t="n"/>
      <c r="I91" s="8008" t="n"/>
      <c r="J91" s="12807">
        <f>IF(AK91="","",AK91)</f>
        <v/>
      </c>
      <c r="K91" s="8007" t="n"/>
      <c r="L91" s="8007" t="n"/>
      <c r="M91" s="12808">
        <f>IF(AL91="","",AL91)</f>
        <v/>
      </c>
      <c r="N91" s="8007" t="n"/>
      <c r="O91" s="8007" t="n"/>
      <c r="P91" s="8008" t="n"/>
      <c r="Q91" s="12809">
        <f>IF(AM91="","",AM91)</f>
        <v/>
      </c>
      <c r="R91" s="8007" t="n"/>
      <c r="S91" s="8007" t="n"/>
      <c r="T91" s="8008" t="n"/>
      <c r="U91" s="12809">
        <f>IF(AN91="","",AN91)</f>
        <v/>
      </c>
      <c r="V91" s="8007" t="n"/>
      <c r="W91" s="8007" t="n"/>
      <c r="X91" s="8008" t="n"/>
      <c r="Y91" s="12810">
        <f>IF(AO91&lt;&gt;"",AO91,"")</f>
        <v/>
      </c>
      <c r="Z91" s="8008" t="n"/>
      <c r="AA91" s="12809">
        <f>IF(AP91="","",AP91)</f>
        <v/>
      </c>
      <c r="AB91" s="8008" t="n"/>
      <c r="AC91" s="11389">
        <f>IF(AQ91&lt;&gt;"",AQ91,IF(AND(Q91="",U91=""),"",IF(AND(Q91&lt;&gt;"",U91=""),SUM(Q91,AA91),SUM(Q91,-U91,AA91))))</f>
        <v/>
      </c>
      <c r="AD91" s="8412" t="n"/>
      <c r="AE91" s="8412" t="n"/>
      <c r="AF91" s="8412" t="n"/>
      <c r="AG91" s="4271">
        <f>IF(OR(J91="",M91=""),0,IF(OR(BA91,BB91,BC91),0,1))</f>
        <v/>
      </c>
      <c r="AH91" s="6014" t="n"/>
      <c r="AI91" s="6014">
        <f>M91-J91</f>
        <v/>
      </c>
      <c r="AJ91" s="293" t="n"/>
      <c r="AK91" s="12811" t="n"/>
      <c r="AL91" s="12811" t="n"/>
      <c r="AM91" s="295" t="n"/>
      <c r="AN91" s="295" t="n"/>
      <c r="AO91" s="296" t="n"/>
      <c r="AP91" s="295" t="n"/>
      <c r="AQ91" s="294" t="n"/>
      <c r="AS91">
        <f>YEAR(J91)</f>
        <v/>
      </c>
      <c r="AT91">
        <f>MONTH(J91)</f>
        <v/>
      </c>
      <c r="AU91">
        <f>DAY(J91)</f>
        <v/>
      </c>
      <c r="AW91">
        <f>YEAR(M91)</f>
        <v/>
      </c>
      <c r="AX91">
        <f>MONTH(M91)</f>
        <v/>
      </c>
      <c r="AY91">
        <f>DAY(M91)</f>
        <v/>
      </c>
      <c r="AZ91">
        <f>OR(BA91,BB91,BC91)</f>
        <v/>
      </c>
      <c r="BA91">
        <f>AW91=AS91</f>
        <v/>
      </c>
      <c r="BB91">
        <f>AND(AW91=AS91+1,AX91&lt;AT91)</f>
        <v/>
      </c>
      <c r="BC91">
        <f>AND(AW91=AS91+1,AX91=AT91,AY91&lt;=AU91)</f>
        <v/>
      </c>
    </row>
    <row r="92" ht="26.25" customHeight="1" s="7635">
      <c r="A92" s="2013">
        <f>IF(OR(Q92&lt;&gt;"",U92&lt;&gt;"",AC92&lt;&gt;""),1,0)</f>
        <v/>
      </c>
      <c r="B92" s="12806">
        <f>IF(AJ92="","",AJ92)</f>
        <v/>
      </c>
      <c r="C92" s="8007" t="n"/>
      <c r="D92" s="8007" t="n"/>
      <c r="E92" s="8007" t="n"/>
      <c r="F92" s="8007" t="n"/>
      <c r="G92" s="8007" t="n"/>
      <c r="H92" s="8007" t="n"/>
      <c r="I92" s="8008" t="n"/>
      <c r="J92" s="12807">
        <f>IF(AK92="","",AK92)</f>
        <v/>
      </c>
      <c r="K92" s="8007" t="n"/>
      <c r="L92" s="8007" t="n"/>
      <c r="M92" s="12808">
        <f>IF(AL92="","",AL92)</f>
        <v/>
      </c>
      <c r="N92" s="8007" t="n"/>
      <c r="O92" s="8007" t="n"/>
      <c r="P92" s="8008" t="n"/>
      <c r="Q92" s="12809">
        <f>IF(AM92="","",AM92)</f>
        <v/>
      </c>
      <c r="R92" s="8007" t="n"/>
      <c r="S92" s="8007" t="n"/>
      <c r="T92" s="8008" t="n"/>
      <c r="U92" s="12809">
        <f>IF(AN92="","",AN92)</f>
        <v/>
      </c>
      <c r="V92" s="8007" t="n"/>
      <c r="W92" s="8007" t="n"/>
      <c r="X92" s="8008" t="n"/>
      <c r="Y92" s="12810">
        <f>IF(AO92&lt;&gt;"",AO92,"")</f>
        <v/>
      </c>
      <c r="Z92" s="8008" t="n"/>
      <c r="AA92" s="12809">
        <f>IF(AP92="","",AP92)</f>
        <v/>
      </c>
      <c r="AB92" s="8008" t="n"/>
      <c r="AC92" s="11389">
        <f>IF(AQ92&lt;&gt;"",AQ92,IF(AND(Q92="",U92=""),"",IF(AND(Q92&lt;&gt;"",U92=""),SUM(Q92,AA92),SUM(Q92,-U92,AA92))))</f>
        <v/>
      </c>
      <c r="AD92" s="8412" t="n"/>
      <c r="AE92" s="8412" t="n"/>
      <c r="AF92" s="8412" t="n"/>
      <c r="AG92" s="4271">
        <f>IF(OR(J92="",M92=""),0,IF(OR(BA92,BB92,BC92),0,1))</f>
        <v/>
      </c>
      <c r="AH92" s="6014" t="n"/>
      <c r="AI92" s="6014">
        <f>M92-J92</f>
        <v/>
      </c>
      <c r="AJ92" s="293" t="n"/>
      <c r="AK92" s="12811" t="n"/>
      <c r="AL92" s="12811" t="n"/>
      <c r="AM92" s="295" t="n"/>
      <c r="AN92" s="295" t="n"/>
      <c r="AO92" s="296" t="n"/>
      <c r="AP92" s="295" t="n"/>
      <c r="AQ92" s="294" t="n"/>
      <c r="AS92">
        <f>YEAR(J92)</f>
        <v/>
      </c>
      <c r="AT92">
        <f>MONTH(J92)</f>
        <v/>
      </c>
      <c r="AU92">
        <f>DAY(J92)</f>
        <v/>
      </c>
      <c r="AW92">
        <f>YEAR(M92)</f>
        <v/>
      </c>
      <c r="AX92">
        <f>MONTH(M92)</f>
        <v/>
      </c>
      <c r="AY92">
        <f>DAY(M92)</f>
        <v/>
      </c>
      <c r="AZ92">
        <f>OR(BA92,BB92,BC92)</f>
        <v/>
      </c>
      <c r="BA92">
        <f>AW92=AS92</f>
        <v/>
      </c>
      <c r="BB92">
        <f>AND(AW92=AS92+1,AX92&lt;AT92)</f>
        <v/>
      </c>
      <c r="BC92">
        <f>AND(AW92=AS92+1,AX92=AT92,AY92&lt;=AU92)</f>
        <v/>
      </c>
    </row>
    <row r="93" ht="26.25" customHeight="1" s="7635">
      <c r="A93" s="2013">
        <f>IF(OR(Q93&lt;&gt;"",U93&lt;&gt;"",AC93&lt;&gt;""),1,0)</f>
        <v/>
      </c>
      <c r="B93" s="12806">
        <f>IF(AJ93="","",AJ93)</f>
        <v/>
      </c>
      <c r="C93" s="8007" t="n"/>
      <c r="D93" s="8007" t="n"/>
      <c r="E93" s="8007" t="n"/>
      <c r="F93" s="8007" t="n"/>
      <c r="G93" s="8007" t="n"/>
      <c r="H93" s="8007" t="n"/>
      <c r="I93" s="8008" t="n"/>
      <c r="J93" s="12807">
        <f>IF(AK93="","",AK93)</f>
        <v/>
      </c>
      <c r="K93" s="8007" t="n"/>
      <c r="L93" s="8007" t="n"/>
      <c r="M93" s="12808">
        <f>IF(AL93="","",AL93)</f>
        <v/>
      </c>
      <c r="N93" s="8007" t="n"/>
      <c r="O93" s="8007" t="n"/>
      <c r="P93" s="8008" t="n"/>
      <c r="Q93" s="12809">
        <f>IF(AM93="","",AM93)</f>
        <v/>
      </c>
      <c r="R93" s="8007" t="n"/>
      <c r="S93" s="8007" t="n"/>
      <c r="T93" s="8008" t="n"/>
      <c r="U93" s="12809">
        <f>IF(AN93="","",AN93)</f>
        <v/>
      </c>
      <c r="V93" s="8007" t="n"/>
      <c r="W93" s="8007" t="n"/>
      <c r="X93" s="8008" t="n"/>
      <c r="Y93" s="12810">
        <f>IF(AO93&lt;&gt;"",AO93,"")</f>
        <v/>
      </c>
      <c r="Z93" s="8008" t="n"/>
      <c r="AA93" s="12809">
        <f>IF(AP93="","",AP93)</f>
        <v/>
      </c>
      <c r="AB93" s="8008" t="n"/>
      <c r="AC93" s="11389">
        <f>IF(AQ93&lt;&gt;"",AQ93,IF(AND(Q93="",U93=""),"",IF(AND(Q93&lt;&gt;"",U93=""),SUM(Q93,AA93),SUM(Q93,-U93,AA93))))</f>
        <v/>
      </c>
      <c r="AD93" s="8412" t="n"/>
      <c r="AE93" s="8412" t="n"/>
      <c r="AF93" s="8412" t="n"/>
      <c r="AG93" s="4271">
        <f>IF(OR(J93="",M93=""),0,IF(OR(BA93,BB93,BC93),0,1))</f>
        <v/>
      </c>
      <c r="AH93" s="6014" t="n"/>
      <c r="AI93" s="6014">
        <f>M93-J93</f>
        <v/>
      </c>
      <c r="AJ93" s="293" t="n"/>
      <c r="AK93" s="12811" t="n"/>
      <c r="AL93" s="12811" t="n"/>
      <c r="AM93" s="295" t="n"/>
      <c r="AN93" s="295" t="n"/>
      <c r="AO93" s="296" t="n"/>
      <c r="AP93" s="295" t="n"/>
      <c r="AQ93" s="294" t="n"/>
      <c r="AS93">
        <f>YEAR(J93)</f>
        <v/>
      </c>
      <c r="AT93">
        <f>MONTH(J93)</f>
        <v/>
      </c>
      <c r="AU93">
        <f>DAY(J93)</f>
        <v/>
      </c>
      <c r="AW93">
        <f>YEAR(M93)</f>
        <v/>
      </c>
      <c r="AX93">
        <f>MONTH(M93)</f>
        <v/>
      </c>
      <c r="AY93">
        <f>DAY(M93)</f>
        <v/>
      </c>
      <c r="AZ93">
        <f>OR(BA93,BB93,BC93)</f>
        <v/>
      </c>
      <c r="BA93">
        <f>AW93=AS93</f>
        <v/>
      </c>
      <c r="BB93">
        <f>AND(AW93=AS93+1,AX93&lt;AT93)</f>
        <v/>
      </c>
      <c r="BC93">
        <f>AND(AW93=AS93+1,AX93=AT93,AY93&lt;=AU93)</f>
        <v/>
      </c>
    </row>
    <row r="94" ht="26.25" customHeight="1" s="7635">
      <c r="A94" s="2013">
        <f>IF(OR(Q94&lt;&gt;"",U94&lt;&gt;"",AC94&lt;&gt;""),1,0)</f>
        <v/>
      </c>
      <c r="B94" s="12806">
        <f>IF(AJ94="","",AJ94)</f>
        <v/>
      </c>
      <c r="C94" s="8007" t="n"/>
      <c r="D94" s="8007" t="n"/>
      <c r="E94" s="8007" t="n"/>
      <c r="F94" s="8007" t="n"/>
      <c r="G94" s="8007" t="n"/>
      <c r="H94" s="8007" t="n"/>
      <c r="I94" s="8008" t="n"/>
      <c r="J94" s="12807">
        <f>IF(AK94="","",AK94)</f>
        <v/>
      </c>
      <c r="K94" s="8007" t="n"/>
      <c r="L94" s="8007" t="n"/>
      <c r="M94" s="12808">
        <f>IF(AL94="","",AL94)</f>
        <v/>
      </c>
      <c r="N94" s="8007" t="n"/>
      <c r="O94" s="8007" t="n"/>
      <c r="P94" s="8008" t="n"/>
      <c r="Q94" s="12809">
        <f>IF(AM94="","",AM94)</f>
        <v/>
      </c>
      <c r="R94" s="8007" t="n"/>
      <c r="S94" s="8007" t="n"/>
      <c r="T94" s="8008" t="n"/>
      <c r="U94" s="12809">
        <f>IF(AN94="","",AN94)</f>
        <v/>
      </c>
      <c r="V94" s="8007" t="n"/>
      <c r="W94" s="8007" t="n"/>
      <c r="X94" s="8008" t="n"/>
      <c r="Y94" s="12810">
        <f>IF(AO94&lt;&gt;"",AO94,"")</f>
        <v/>
      </c>
      <c r="Z94" s="8008" t="n"/>
      <c r="AA94" s="12809">
        <f>IF(AP94="","",AP94)</f>
        <v/>
      </c>
      <c r="AB94" s="8008" t="n"/>
      <c r="AC94" s="11389">
        <f>IF(AQ94&lt;&gt;"",AQ94,IF(AND(Q94="",U94=""),"",IF(AND(Q94&lt;&gt;"",U94=""),SUM(Q94,AA94),SUM(Q94,-U94,AA94))))</f>
        <v/>
      </c>
      <c r="AD94" s="8412" t="n"/>
      <c r="AE94" s="8412" t="n"/>
      <c r="AF94" s="8412" t="n"/>
      <c r="AG94" s="4271">
        <f>IF(OR(J94="",M94=""),0,IF(OR(BA94,BB94,BC94),0,1))</f>
        <v/>
      </c>
      <c r="AH94" s="6014" t="n"/>
      <c r="AI94" s="6014">
        <f>M94-J94</f>
        <v/>
      </c>
      <c r="AJ94" s="293" t="n"/>
      <c r="AK94" s="12811" t="n"/>
      <c r="AL94" s="12811" t="n"/>
      <c r="AM94" s="295" t="n"/>
      <c r="AN94" s="295" t="n"/>
      <c r="AO94" s="296" t="n"/>
      <c r="AP94" s="295" t="n"/>
      <c r="AQ94" s="294" t="n"/>
      <c r="AS94">
        <f>YEAR(J94)</f>
        <v/>
      </c>
      <c r="AT94">
        <f>MONTH(J94)</f>
        <v/>
      </c>
      <c r="AU94">
        <f>DAY(J94)</f>
        <v/>
      </c>
      <c r="AW94">
        <f>YEAR(M94)</f>
        <v/>
      </c>
      <c r="AX94">
        <f>MONTH(M94)</f>
        <v/>
      </c>
      <c r="AY94">
        <f>DAY(M94)</f>
        <v/>
      </c>
      <c r="AZ94">
        <f>OR(BA94,BB94,BC94)</f>
        <v/>
      </c>
      <c r="BA94">
        <f>AW94=AS94</f>
        <v/>
      </c>
      <c r="BB94">
        <f>AND(AW94=AS94+1,AX94&lt;AT94)</f>
        <v/>
      </c>
      <c r="BC94">
        <f>AND(AW94=AS94+1,AX94=AT94,AY94&lt;=AU94)</f>
        <v/>
      </c>
    </row>
    <row r="95" ht="26.25" customHeight="1" s="7635">
      <c r="A95" s="2013">
        <f>IF(OR(Q95&lt;&gt;"",U95&lt;&gt;"",AC95&lt;&gt;""),1,0)</f>
        <v/>
      </c>
      <c r="B95" s="12806">
        <f>IF(AJ95="","",AJ95)</f>
        <v/>
      </c>
      <c r="C95" s="8007" t="n"/>
      <c r="D95" s="8007" t="n"/>
      <c r="E95" s="8007" t="n"/>
      <c r="F95" s="8007" t="n"/>
      <c r="G95" s="8007" t="n"/>
      <c r="H95" s="8007" t="n"/>
      <c r="I95" s="8008" t="n"/>
      <c r="J95" s="12807">
        <f>IF(AK95="","",AK95)</f>
        <v/>
      </c>
      <c r="K95" s="8007" t="n"/>
      <c r="L95" s="8007" t="n"/>
      <c r="M95" s="12808">
        <f>IF(AL95="","",AL95)</f>
        <v/>
      </c>
      <c r="N95" s="8007" t="n"/>
      <c r="O95" s="8007" t="n"/>
      <c r="P95" s="8008" t="n"/>
      <c r="Q95" s="12809">
        <f>IF(AM95="","",AM95)</f>
        <v/>
      </c>
      <c r="R95" s="8007" t="n"/>
      <c r="S95" s="8007" t="n"/>
      <c r="T95" s="8008" t="n"/>
      <c r="U95" s="12809">
        <f>IF(AN95="","",AN95)</f>
        <v/>
      </c>
      <c r="V95" s="8007" t="n"/>
      <c r="W95" s="8007" t="n"/>
      <c r="X95" s="8008" t="n"/>
      <c r="Y95" s="12810">
        <f>IF(AO95&lt;&gt;"",AO95,"")</f>
        <v/>
      </c>
      <c r="Z95" s="8008" t="n"/>
      <c r="AA95" s="12809">
        <f>IF(AP95="","",AP95)</f>
        <v/>
      </c>
      <c r="AB95" s="8008" t="n"/>
      <c r="AC95" s="11389">
        <f>IF(AQ95&lt;&gt;"",AQ95,IF(AND(Q95="",U95=""),"",IF(AND(Q95&lt;&gt;"",U95=""),SUM(Q95,AA95),SUM(Q95,-U95,AA95))))</f>
        <v/>
      </c>
      <c r="AD95" s="8412" t="n"/>
      <c r="AE95" s="8412" t="n"/>
      <c r="AF95" s="8412" t="n"/>
      <c r="AG95" s="4271">
        <f>IF(OR(J95="",M95=""),0,IF(OR(BA95,BB95,BC95),0,1))</f>
        <v/>
      </c>
      <c r="AH95" s="6014" t="n"/>
      <c r="AI95" s="6014">
        <f>M95-J95</f>
        <v/>
      </c>
      <c r="AJ95" s="293" t="n"/>
      <c r="AK95" s="12811" t="n"/>
      <c r="AL95" s="12811" t="n"/>
      <c r="AM95" s="295" t="n"/>
      <c r="AN95" s="295" t="n"/>
      <c r="AO95" s="296" t="n"/>
      <c r="AP95" s="295" t="n"/>
      <c r="AQ95" s="294" t="n"/>
      <c r="AS95">
        <f>YEAR(J95)</f>
        <v/>
      </c>
      <c r="AT95">
        <f>MONTH(J95)</f>
        <v/>
      </c>
      <c r="AU95">
        <f>DAY(J95)</f>
        <v/>
      </c>
      <c r="AW95">
        <f>YEAR(M95)</f>
        <v/>
      </c>
      <c r="AX95">
        <f>MONTH(M95)</f>
        <v/>
      </c>
      <c r="AY95">
        <f>DAY(M95)</f>
        <v/>
      </c>
      <c r="AZ95">
        <f>OR(BA95,BB95,BC95)</f>
        <v/>
      </c>
      <c r="BA95">
        <f>AW95=AS95</f>
        <v/>
      </c>
      <c r="BB95">
        <f>AND(AW95=AS95+1,AX95&lt;AT95)</f>
        <v/>
      </c>
      <c r="BC95">
        <f>AND(AW95=AS95+1,AX95=AT95,AY95&lt;=AU95)</f>
        <v/>
      </c>
    </row>
    <row r="96" ht="26.25" customHeight="1" s="7635">
      <c r="A96" s="2013">
        <f>IF(OR(Q96&lt;&gt;"",U96&lt;&gt;"",AC96&lt;&gt;""),1,0)</f>
        <v/>
      </c>
      <c r="B96" s="12806">
        <f>IF(AJ96="","",AJ96)</f>
        <v/>
      </c>
      <c r="C96" s="8007" t="n"/>
      <c r="D96" s="8007" t="n"/>
      <c r="E96" s="8007" t="n"/>
      <c r="F96" s="8007" t="n"/>
      <c r="G96" s="8007" t="n"/>
      <c r="H96" s="8007" t="n"/>
      <c r="I96" s="8008" t="n"/>
      <c r="J96" s="12807">
        <f>IF(AK96="","",AK96)</f>
        <v/>
      </c>
      <c r="K96" s="8007" t="n"/>
      <c r="L96" s="8007" t="n"/>
      <c r="M96" s="12808">
        <f>IF(AL96="","",AL96)</f>
        <v/>
      </c>
      <c r="N96" s="8007" t="n"/>
      <c r="O96" s="8007" t="n"/>
      <c r="P96" s="8008" t="n"/>
      <c r="Q96" s="12809">
        <f>IF(AM96="","",AM96)</f>
        <v/>
      </c>
      <c r="R96" s="8007" t="n"/>
      <c r="S96" s="8007" t="n"/>
      <c r="T96" s="8008" t="n"/>
      <c r="U96" s="12809">
        <f>IF(AN96="","",AN96)</f>
        <v/>
      </c>
      <c r="V96" s="8007" t="n"/>
      <c r="W96" s="8007" t="n"/>
      <c r="X96" s="8008" t="n"/>
      <c r="Y96" s="12810">
        <f>IF(AO96&lt;&gt;"",AO96,"")</f>
        <v/>
      </c>
      <c r="Z96" s="8008" t="n"/>
      <c r="AA96" s="12809">
        <f>IF(AP96="","",AP96)</f>
        <v/>
      </c>
      <c r="AB96" s="8008" t="n"/>
      <c r="AC96" s="11389">
        <f>IF(AQ96&lt;&gt;"",AQ96,IF(AND(Q96="",U96=""),"",IF(AND(Q96&lt;&gt;"",U96=""),SUM(Q96,AA96),SUM(Q96,-U96,AA96))))</f>
        <v/>
      </c>
      <c r="AD96" s="8412" t="n"/>
      <c r="AE96" s="8412" t="n"/>
      <c r="AF96" s="8412" t="n"/>
      <c r="AG96" s="4271">
        <f>IF(OR(J96="",M96=""),0,IF(OR(BA96,BB96,BC96),0,1))</f>
        <v/>
      </c>
      <c r="AH96" s="6014" t="n"/>
      <c r="AI96" s="6014">
        <f>M96-J96</f>
        <v/>
      </c>
      <c r="AJ96" s="293" t="n"/>
      <c r="AK96" s="12811" t="n"/>
      <c r="AL96" s="12811" t="n"/>
      <c r="AM96" s="295" t="n"/>
      <c r="AN96" s="295" t="n"/>
      <c r="AO96" s="296" t="n"/>
      <c r="AP96" s="295" t="n"/>
      <c r="AQ96" s="294" t="n"/>
      <c r="AS96">
        <f>YEAR(J96)</f>
        <v/>
      </c>
      <c r="AT96">
        <f>MONTH(J96)</f>
        <v/>
      </c>
      <c r="AU96">
        <f>DAY(J96)</f>
        <v/>
      </c>
      <c r="AW96">
        <f>YEAR(M96)</f>
        <v/>
      </c>
      <c r="AX96">
        <f>MONTH(M96)</f>
        <v/>
      </c>
      <c r="AY96">
        <f>DAY(M96)</f>
        <v/>
      </c>
      <c r="AZ96">
        <f>OR(BA96,BB96,BC96)</f>
        <v/>
      </c>
      <c r="BA96">
        <f>AW96=AS96</f>
        <v/>
      </c>
      <c r="BB96">
        <f>AND(AW96=AS96+1,AX96&lt;AT96)</f>
        <v/>
      </c>
      <c r="BC96">
        <f>AND(AW96=AS96+1,AX96=AT96,AY96&lt;=AU96)</f>
        <v/>
      </c>
    </row>
    <row r="97" ht="26.25" customHeight="1" s="7635">
      <c r="A97" s="2013">
        <f>IF(OR(Q97&lt;&gt;"",U97&lt;&gt;"",AC97&lt;&gt;""),1,0)</f>
        <v/>
      </c>
      <c r="B97" s="12806">
        <f>IF(AJ97="","",AJ97)</f>
        <v/>
      </c>
      <c r="C97" s="8007" t="n"/>
      <c r="D97" s="8007" t="n"/>
      <c r="E97" s="8007" t="n"/>
      <c r="F97" s="8007" t="n"/>
      <c r="G97" s="8007" t="n"/>
      <c r="H97" s="8007" t="n"/>
      <c r="I97" s="8008" t="n"/>
      <c r="J97" s="12807">
        <f>IF(AK97="","",AK97)</f>
        <v/>
      </c>
      <c r="K97" s="8007" t="n"/>
      <c r="L97" s="8007" t="n"/>
      <c r="M97" s="12808">
        <f>IF(AL97="","",AL97)</f>
        <v/>
      </c>
      <c r="N97" s="8007" t="n"/>
      <c r="O97" s="8007" t="n"/>
      <c r="P97" s="8008" t="n"/>
      <c r="Q97" s="12809">
        <f>IF(AM97="","",AM97)</f>
        <v/>
      </c>
      <c r="R97" s="8007" t="n"/>
      <c r="S97" s="8007" t="n"/>
      <c r="T97" s="8008" t="n"/>
      <c r="U97" s="12809">
        <f>IF(AN97="","",AN97)</f>
        <v/>
      </c>
      <c r="V97" s="8007" t="n"/>
      <c r="W97" s="8007" t="n"/>
      <c r="X97" s="8008" t="n"/>
      <c r="Y97" s="12810">
        <f>IF(AO97&lt;&gt;"",AO97,"")</f>
        <v/>
      </c>
      <c r="Z97" s="8008" t="n"/>
      <c r="AA97" s="12809">
        <f>IF(AP97="","",AP97)</f>
        <v/>
      </c>
      <c r="AB97" s="8008" t="n"/>
      <c r="AC97" s="11389">
        <f>IF(AQ97&lt;&gt;"",AQ97,IF(AND(Q97="",U97=""),"",IF(AND(Q97&lt;&gt;"",U97=""),SUM(Q97,AA97),SUM(Q97,-U97,AA97))))</f>
        <v/>
      </c>
      <c r="AD97" s="8412" t="n"/>
      <c r="AE97" s="8412" t="n"/>
      <c r="AF97" s="8412" t="n"/>
      <c r="AG97" s="4271">
        <f>IF(OR(J97="",M97=""),0,IF(OR(BA97,BB97,BC97),0,1))</f>
        <v/>
      </c>
      <c r="AH97" s="6014" t="n"/>
      <c r="AI97" s="6014">
        <f>M97-J97</f>
        <v/>
      </c>
      <c r="AJ97" s="293" t="n"/>
      <c r="AK97" s="12811" t="n"/>
      <c r="AL97" s="12811" t="n"/>
      <c r="AM97" s="295" t="n"/>
      <c r="AN97" s="295" t="n"/>
      <c r="AO97" s="296" t="n"/>
      <c r="AP97" s="295" t="n"/>
      <c r="AQ97" s="294" t="n"/>
      <c r="AS97">
        <f>YEAR(J97)</f>
        <v/>
      </c>
      <c r="AT97">
        <f>MONTH(J97)</f>
        <v/>
      </c>
      <c r="AU97">
        <f>DAY(J97)</f>
        <v/>
      </c>
      <c r="AW97">
        <f>YEAR(M97)</f>
        <v/>
      </c>
      <c r="AX97">
        <f>MONTH(M97)</f>
        <v/>
      </c>
      <c r="AY97">
        <f>DAY(M97)</f>
        <v/>
      </c>
      <c r="AZ97">
        <f>OR(BA97,BB97,BC97)</f>
        <v/>
      </c>
      <c r="BA97">
        <f>AW97=AS97</f>
        <v/>
      </c>
      <c r="BB97">
        <f>AND(AW97=AS97+1,AX97&lt;AT97)</f>
        <v/>
      </c>
      <c r="BC97">
        <f>AND(AW97=AS97+1,AX97=AT97,AY97&lt;=AU97)</f>
        <v/>
      </c>
    </row>
    <row r="98" ht="26.25" customHeight="1" s="7635">
      <c r="A98" s="2013">
        <f>IF(OR(Q98&lt;&gt;"",U98&lt;&gt;"",AC98&lt;&gt;""),1,0)</f>
        <v/>
      </c>
      <c r="B98" s="12806">
        <f>IF(AJ98="","",AJ98)</f>
        <v/>
      </c>
      <c r="C98" s="8007" t="n"/>
      <c r="D98" s="8007" t="n"/>
      <c r="E98" s="8007" t="n"/>
      <c r="F98" s="8007" t="n"/>
      <c r="G98" s="8007" t="n"/>
      <c r="H98" s="8007" t="n"/>
      <c r="I98" s="8008" t="n"/>
      <c r="J98" s="12807">
        <f>IF(AK98="","",AK98)</f>
        <v/>
      </c>
      <c r="K98" s="8007" t="n"/>
      <c r="L98" s="8007" t="n"/>
      <c r="M98" s="12808">
        <f>IF(AL98="","",AL98)</f>
        <v/>
      </c>
      <c r="N98" s="8007" t="n"/>
      <c r="O98" s="8007" t="n"/>
      <c r="P98" s="8008" t="n"/>
      <c r="Q98" s="12809">
        <f>IF(AM98="","",AM98)</f>
        <v/>
      </c>
      <c r="R98" s="8007" t="n"/>
      <c r="S98" s="8007" t="n"/>
      <c r="T98" s="8008" t="n"/>
      <c r="U98" s="12809">
        <f>IF(AN98="","",AN98)</f>
        <v/>
      </c>
      <c r="V98" s="8007" t="n"/>
      <c r="W98" s="8007" t="n"/>
      <c r="X98" s="8008" t="n"/>
      <c r="Y98" s="12810">
        <f>IF(AO98&lt;&gt;"",AO98,"")</f>
        <v/>
      </c>
      <c r="Z98" s="8008" t="n"/>
      <c r="AA98" s="12809">
        <f>IF(AP98="","",AP98)</f>
        <v/>
      </c>
      <c r="AB98" s="8008" t="n"/>
      <c r="AC98" s="11389">
        <f>IF(AQ98&lt;&gt;"",AQ98,IF(AND(Q98="",U98=""),"",IF(AND(Q98&lt;&gt;"",U98=""),SUM(Q98,AA98),SUM(Q98,-U98,AA98))))</f>
        <v/>
      </c>
      <c r="AD98" s="8412" t="n"/>
      <c r="AE98" s="8412" t="n"/>
      <c r="AF98" s="8412" t="n"/>
      <c r="AG98" s="4271">
        <f>IF(OR(J98="",M98=""),0,IF(OR(BA98,BB98,BC98),0,1))</f>
        <v/>
      </c>
      <c r="AH98" s="6014" t="n"/>
      <c r="AI98" s="6014">
        <f>M98-J98</f>
        <v/>
      </c>
      <c r="AJ98" s="293" t="n"/>
      <c r="AK98" s="12811" t="n"/>
      <c r="AL98" s="12811" t="n"/>
      <c r="AM98" s="295" t="n"/>
      <c r="AN98" s="295" t="n"/>
      <c r="AO98" s="296" t="n"/>
      <c r="AP98" s="295" t="n"/>
      <c r="AQ98" s="294" t="n"/>
      <c r="AS98">
        <f>YEAR(J98)</f>
        <v/>
      </c>
      <c r="AT98">
        <f>MONTH(J98)</f>
        <v/>
      </c>
      <c r="AU98">
        <f>DAY(J98)</f>
        <v/>
      </c>
      <c r="AW98">
        <f>YEAR(M98)</f>
        <v/>
      </c>
      <c r="AX98">
        <f>MONTH(M98)</f>
        <v/>
      </c>
      <c r="AY98">
        <f>DAY(M98)</f>
        <v/>
      </c>
      <c r="AZ98">
        <f>OR(BA98,BB98,BC98)</f>
        <v/>
      </c>
      <c r="BA98">
        <f>AW98=AS98</f>
        <v/>
      </c>
      <c r="BB98">
        <f>AND(AW98=AS98+1,AX98&lt;AT98)</f>
        <v/>
      </c>
      <c r="BC98">
        <f>AND(AW98=AS98+1,AX98=AT98,AY98&lt;=AU98)</f>
        <v/>
      </c>
    </row>
    <row r="99" ht="26.25" customHeight="1" s="7635">
      <c r="A99" s="2013">
        <f>IF(OR(Q99&lt;&gt;"",U99&lt;&gt;"",AC99&lt;&gt;""),1,0)</f>
        <v/>
      </c>
      <c r="B99" s="12806">
        <f>IF(AJ99="","",AJ99)</f>
        <v/>
      </c>
      <c r="C99" s="8007" t="n"/>
      <c r="D99" s="8007" t="n"/>
      <c r="E99" s="8007" t="n"/>
      <c r="F99" s="8007" t="n"/>
      <c r="G99" s="8007" t="n"/>
      <c r="H99" s="8007" t="n"/>
      <c r="I99" s="8008" t="n"/>
      <c r="J99" s="12807">
        <f>IF(AK99="","",AK99)</f>
        <v/>
      </c>
      <c r="K99" s="8007" t="n"/>
      <c r="L99" s="8007" t="n"/>
      <c r="M99" s="12808">
        <f>IF(AL99="","",AL99)</f>
        <v/>
      </c>
      <c r="N99" s="8007" t="n"/>
      <c r="O99" s="8007" t="n"/>
      <c r="P99" s="8008" t="n"/>
      <c r="Q99" s="12809">
        <f>IF(AM99="","",AM99)</f>
        <v/>
      </c>
      <c r="R99" s="8007" t="n"/>
      <c r="S99" s="8007" t="n"/>
      <c r="T99" s="8008" t="n"/>
      <c r="U99" s="12809">
        <f>IF(AN99="","",AN99)</f>
        <v/>
      </c>
      <c r="V99" s="8007" t="n"/>
      <c r="W99" s="8007" t="n"/>
      <c r="X99" s="8008" t="n"/>
      <c r="Y99" s="12810">
        <f>IF(AO99&lt;&gt;"",AO99,"")</f>
        <v/>
      </c>
      <c r="Z99" s="8008" t="n"/>
      <c r="AA99" s="12809">
        <f>IF(AP99="","",AP99)</f>
        <v/>
      </c>
      <c r="AB99" s="8008" t="n"/>
      <c r="AC99" s="11389">
        <f>IF(AQ99&lt;&gt;"",AQ99,IF(AND(Q99="",U99=""),"",IF(AND(Q99&lt;&gt;"",U99=""),SUM(Q99,AA99),SUM(Q99,-U99,AA99))))</f>
        <v/>
      </c>
      <c r="AD99" s="8412" t="n"/>
      <c r="AE99" s="8412" t="n"/>
      <c r="AF99" s="8412" t="n"/>
      <c r="AG99" s="4271">
        <f>IF(OR(J99="",M99=""),0,IF(OR(BA99,BB99,BC99),0,1))</f>
        <v/>
      </c>
      <c r="AH99" s="6014" t="n"/>
      <c r="AI99" s="6014">
        <f>M99-J99</f>
        <v/>
      </c>
      <c r="AJ99" s="293" t="n"/>
      <c r="AK99" s="12811" t="n"/>
      <c r="AL99" s="12811" t="n"/>
      <c r="AM99" s="295" t="n"/>
      <c r="AN99" s="295" t="n"/>
      <c r="AO99" s="296" t="n"/>
      <c r="AP99" s="295" t="n"/>
      <c r="AQ99" s="294" t="n"/>
      <c r="AS99">
        <f>YEAR(J99)</f>
        <v/>
      </c>
      <c r="AT99">
        <f>MONTH(J99)</f>
        <v/>
      </c>
      <c r="AU99">
        <f>DAY(J99)</f>
        <v/>
      </c>
      <c r="AW99">
        <f>YEAR(M99)</f>
        <v/>
      </c>
      <c r="AX99">
        <f>MONTH(M99)</f>
        <v/>
      </c>
      <c r="AY99">
        <f>DAY(M99)</f>
        <v/>
      </c>
      <c r="AZ99">
        <f>OR(BA99,BB99,BC99)</f>
        <v/>
      </c>
      <c r="BA99">
        <f>AW99=AS99</f>
        <v/>
      </c>
      <c r="BB99">
        <f>AND(AW99=AS99+1,AX99&lt;AT99)</f>
        <v/>
      </c>
      <c r="BC99">
        <f>AND(AW99=AS99+1,AX99=AT99,AY99&lt;=AU99)</f>
        <v/>
      </c>
    </row>
    <row r="100" ht="26.25" customHeight="1" s="7635">
      <c r="A100" s="2013">
        <f>IF(OR(Q100&lt;&gt;"",U100&lt;&gt;"",AC100&lt;&gt;""),1,0)</f>
        <v/>
      </c>
      <c r="B100" s="12806">
        <f>IF(AJ100="","",AJ100)</f>
        <v/>
      </c>
      <c r="C100" s="8007" t="n"/>
      <c r="D100" s="8007" t="n"/>
      <c r="E100" s="8007" t="n"/>
      <c r="F100" s="8007" t="n"/>
      <c r="G100" s="8007" t="n"/>
      <c r="H100" s="8007" t="n"/>
      <c r="I100" s="8008" t="n"/>
      <c r="J100" s="12807">
        <f>IF(AK100="","",AK100)</f>
        <v/>
      </c>
      <c r="K100" s="8007" t="n"/>
      <c r="L100" s="8007" t="n"/>
      <c r="M100" s="12808">
        <f>IF(AL100="","",AL100)</f>
        <v/>
      </c>
      <c r="N100" s="8007" t="n"/>
      <c r="O100" s="8007" t="n"/>
      <c r="P100" s="8008" t="n"/>
      <c r="Q100" s="12809">
        <f>IF(AM100="","",AM100)</f>
        <v/>
      </c>
      <c r="R100" s="8007" t="n"/>
      <c r="S100" s="8007" t="n"/>
      <c r="T100" s="8008" t="n"/>
      <c r="U100" s="12809">
        <f>IF(AN100="","",AN100)</f>
        <v/>
      </c>
      <c r="V100" s="8007" t="n"/>
      <c r="W100" s="8007" t="n"/>
      <c r="X100" s="8008" t="n"/>
      <c r="Y100" s="12810">
        <f>IF(AO100&lt;&gt;"",AO100,"")</f>
        <v/>
      </c>
      <c r="Z100" s="8008" t="n"/>
      <c r="AA100" s="12809">
        <f>IF(AP100="","",AP100)</f>
        <v/>
      </c>
      <c r="AB100" s="8008" t="n"/>
      <c r="AC100" s="11389">
        <f>IF(AQ100&lt;&gt;"",AQ100,IF(AND(Q100="",U100=""),"",IF(AND(Q100&lt;&gt;"",U100=""),SUM(Q100,AA100),SUM(Q100,-U100,AA100))))</f>
        <v/>
      </c>
      <c r="AD100" s="8412" t="n"/>
      <c r="AE100" s="8412" t="n"/>
      <c r="AF100" s="8412" t="n"/>
      <c r="AG100" s="4271">
        <f>IF(OR(J100="",M100=""),0,IF(OR(BA100,BB100,BC100),0,1))</f>
        <v/>
      </c>
      <c r="AH100" s="6014" t="n"/>
      <c r="AI100" s="6014">
        <f>M100-J100</f>
        <v/>
      </c>
      <c r="AJ100" s="293" t="n"/>
      <c r="AK100" s="12811" t="n"/>
      <c r="AL100" s="12811" t="n"/>
      <c r="AM100" s="295" t="n"/>
      <c r="AN100" s="295" t="n"/>
      <c r="AO100" s="296" t="n"/>
      <c r="AP100" s="295" t="n"/>
      <c r="AQ100" s="294" t="n"/>
      <c r="AS100">
        <f>YEAR(J100)</f>
        <v/>
      </c>
      <c r="AT100">
        <f>MONTH(J100)</f>
        <v/>
      </c>
      <c r="AU100">
        <f>DAY(J100)</f>
        <v/>
      </c>
      <c r="AW100">
        <f>YEAR(M100)</f>
        <v/>
      </c>
      <c r="AX100">
        <f>MONTH(M100)</f>
        <v/>
      </c>
      <c r="AY100">
        <f>DAY(M100)</f>
        <v/>
      </c>
      <c r="AZ100">
        <f>OR(BA100,BB100,BC100)</f>
        <v/>
      </c>
      <c r="BA100">
        <f>AW100=AS100</f>
        <v/>
      </c>
      <c r="BB100">
        <f>AND(AW100=AS100+1,AX100&lt;AT100)</f>
        <v/>
      </c>
      <c r="BC100">
        <f>AND(AW100=AS100+1,AX100=AT100,AY100&lt;=AU100)</f>
        <v/>
      </c>
    </row>
    <row r="101" ht="26.25" customHeight="1" s="7635">
      <c r="A101" s="2013">
        <f>IF(OR(Q101&lt;&gt;"",U101&lt;&gt;"",AC101&lt;&gt;""),1,0)</f>
        <v/>
      </c>
      <c r="B101" s="12806">
        <f>IF(AJ101="","",AJ101)</f>
        <v/>
      </c>
      <c r="C101" s="8007" t="n"/>
      <c r="D101" s="8007" t="n"/>
      <c r="E101" s="8007" t="n"/>
      <c r="F101" s="8007" t="n"/>
      <c r="G101" s="8007" t="n"/>
      <c r="H101" s="8007" t="n"/>
      <c r="I101" s="8008" t="n"/>
      <c r="J101" s="12807">
        <f>IF(AK101="","",AK101)</f>
        <v/>
      </c>
      <c r="K101" s="8007" t="n"/>
      <c r="L101" s="8007" t="n"/>
      <c r="M101" s="12808">
        <f>IF(AL101="","",AL101)</f>
        <v/>
      </c>
      <c r="N101" s="8007" t="n"/>
      <c r="O101" s="8007" t="n"/>
      <c r="P101" s="8008" t="n"/>
      <c r="Q101" s="12809">
        <f>IF(AM101="","",AM101)</f>
        <v/>
      </c>
      <c r="R101" s="8007" t="n"/>
      <c r="S101" s="8007" t="n"/>
      <c r="T101" s="8008" t="n"/>
      <c r="U101" s="12809">
        <f>IF(AN101="","",AN101)</f>
        <v/>
      </c>
      <c r="V101" s="8007" t="n"/>
      <c r="W101" s="8007" t="n"/>
      <c r="X101" s="8008" t="n"/>
      <c r="Y101" s="12810">
        <f>IF(AO101&lt;&gt;"",AO101,"")</f>
        <v/>
      </c>
      <c r="Z101" s="8008" t="n"/>
      <c r="AA101" s="12809">
        <f>IF(AP101="","",AP101)</f>
        <v/>
      </c>
      <c r="AB101" s="8008" t="n"/>
      <c r="AC101" s="11389">
        <f>IF(AQ101&lt;&gt;"",AQ101,IF(AND(Q101="",U101=""),"",IF(AND(Q101&lt;&gt;"",U101=""),SUM(Q101,AA101),SUM(Q101,-U101,AA101))))</f>
        <v/>
      </c>
      <c r="AD101" s="8412" t="n"/>
      <c r="AE101" s="8412" t="n"/>
      <c r="AF101" s="8412" t="n"/>
      <c r="AG101" s="4271">
        <f>IF(OR(J101="",M101=""),0,IF(OR(BA101,BB101,BC101),0,1))</f>
        <v/>
      </c>
      <c r="AH101" s="6014" t="n"/>
      <c r="AI101" s="6014">
        <f>M101-J101</f>
        <v/>
      </c>
      <c r="AJ101" s="293" t="n"/>
      <c r="AK101" s="12811" t="n"/>
      <c r="AL101" s="12811" t="n"/>
      <c r="AM101" s="295" t="n"/>
      <c r="AN101" s="295" t="n"/>
      <c r="AO101" s="296" t="n"/>
      <c r="AP101" s="295" t="n"/>
      <c r="AQ101" s="294" t="n"/>
      <c r="AS101">
        <f>YEAR(J101)</f>
        <v/>
      </c>
      <c r="AT101">
        <f>MONTH(J101)</f>
        <v/>
      </c>
      <c r="AU101">
        <f>DAY(J101)</f>
        <v/>
      </c>
      <c r="AW101">
        <f>YEAR(M101)</f>
        <v/>
      </c>
      <c r="AX101">
        <f>MONTH(M101)</f>
        <v/>
      </c>
      <c r="AY101">
        <f>DAY(M101)</f>
        <v/>
      </c>
      <c r="AZ101">
        <f>OR(BA101,BB101,BC101)</f>
        <v/>
      </c>
      <c r="BA101">
        <f>AW101=AS101</f>
        <v/>
      </c>
      <c r="BB101">
        <f>AND(AW101=AS101+1,AX101&lt;AT101)</f>
        <v/>
      </c>
      <c r="BC101">
        <f>AND(AW101=AS101+1,AX101=AT101,AY101&lt;=AU101)</f>
        <v/>
      </c>
    </row>
    <row r="102" ht="12" customHeight="1" s="7635">
      <c r="A102" s="2013">
        <f>SUM(A91:A101)</f>
        <v/>
      </c>
      <c r="B102" s="11457" t="n">
        <v>2</v>
      </c>
      <c r="C102" s="11484" t="inlineStr">
        <is>
          <t>Totals. Add the amounts in columns (d), (e), (g), and (h)
(subtract negative amounts). Enter each total here and
include on your Schedule D, line 8b (if Box D or Box J
above is checked), line 9 (if Box E or Box K above is
checked), or line 10 (if Box F or Box L above is checked)</t>
        </is>
      </c>
      <c r="D102" s="7839" t="n"/>
      <c r="E102" s="7839" t="n"/>
      <c r="F102" s="7839" t="n"/>
      <c r="G102" s="7839" t="n"/>
      <c r="H102" s="7839" t="n"/>
      <c r="I102" s="7839" t="n"/>
      <c r="J102" s="7839" t="n"/>
      <c r="K102" s="7839" t="n"/>
      <c r="L102" s="7839" t="n"/>
      <c r="M102" s="7839" t="n"/>
      <c r="N102" s="7839" t="n"/>
      <c r="O102" s="7839" t="n"/>
      <c r="P102" s="7839" t="n"/>
      <c r="Q102" s="12814">
        <f>IF(A102=0,"",ROUND(SUM(Q91:Q101),0))</f>
        <v/>
      </c>
      <c r="R102" s="7839" t="n"/>
      <c r="S102" s="7839" t="n"/>
      <c r="T102" s="10091" t="n"/>
      <c r="U102" s="12815">
        <f>IF(A102=0,"",ROUND(SUM(U91:U101),0))</f>
        <v/>
      </c>
      <c r="V102" s="7839" t="n"/>
      <c r="W102" s="7839" t="n"/>
      <c r="X102" s="10091" t="n"/>
      <c r="Y102" s="12813" t="n"/>
      <c r="Z102" s="10091" t="n"/>
      <c r="AA102" s="12812">
        <f>IF(A102=0,"",ROUND(SUM(AA91:AA101),0))</f>
        <v/>
      </c>
      <c r="AB102" s="10091" t="n"/>
      <c r="AC102" s="11459">
        <f>IF(A102=0,"",ROUND(SUM(AC91:AC101),0))</f>
        <v/>
      </c>
      <c r="AD102" s="7839" t="n"/>
      <c r="AE102" s="7839" t="n"/>
      <c r="AF102" s="7839" t="n"/>
      <c r="AG102" s="2013" t="n"/>
    </row>
    <row r="103" ht="12" customHeight="1" s="7635">
      <c r="A103" s="2013" t="n"/>
      <c r="Q103" s="4772" t="n"/>
      <c r="T103" s="7636" t="n"/>
      <c r="U103" s="4772" t="n"/>
      <c r="X103" s="7636" t="n"/>
      <c r="Y103" s="4772" t="n"/>
      <c r="Z103" s="7636" t="n"/>
      <c r="AA103" s="4772" t="n"/>
      <c r="AB103" s="7636" t="n"/>
      <c r="AC103" s="4772" t="n"/>
      <c r="AG103" s="2013" t="n"/>
    </row>
    <row r="104" ht="12" customHeight="1" s="7635">
      <c r="A104" s="2013" t="n"/>
      <c r="Q104" s="4772" t="n"/>
      <c r="T104" s="7636" t="n"/>
      <c r="U104" s="4772" t="n"/>
      <c r="X104" s="7636" t="n"/>
      <c r="Y104" s="4772" t="n"/>
      <c r="Z104" s="7636" t="n"/>
      <c r="AA104" s="4772" t="n"/>
      <c r="AB104" s="7636" t="n"/>
      <c r="AC104" s="4772" t="n"/>
      <c r="AG104" s="2013" t="n"/>
    </row>
    <row r="105" ht="12" customHeight="1" s="7635">
      <c r="A105" s="2013" t="n"/>
      <c r="Q105" s="4772" t="n"/>
      <c r="T105" s="7636" t="n"/>
      <c r="U105" s="4772" t="n"/>
      <c r="X105" s="7636" t="n"/>
      <c r="Y105" s="4772" t="n"/>
      <c r="Z105" s="7636" t="n"/>
      <c r="AA105" s="4772" t="n"/>
      <c r="AB105" s="7636" t="n"/>
      <c r="AC105" s="4772" t="n"/>
      <c r="AG105" s="2013" t="n"/>
    </row>
    <row r="106" ht="12" customHeight="1" s="7635" thickBot="1">
      <c r="A106" s="2013" t="n"/>
      <c r="Q106" s="4772" t="n"/>
      <c r="T106" s="7636" t="n"/>
      <c r="U106" s="11950" t="n"/>
      <c r="V106" s="8848" t="n"/>
      <c r="W106" s="8848" t="n"/>
      <c r="X106" s="12121" t="n"/>
      <c r="Y106" s="3614" t="n"/>
      <c r="Z106" s="7638" t="n"/>
      <c r="AA106" s="3614" t="n"/>
      <c r="AB106" s="7638" t="n"/>
      <c r="AC106" s="4772" t="n"/>
      <c r="AG106" s="2013" t="n"/>
    </row>
    <row r="107" ht="25.5" customHeight="1" s="7635" thickBot="1">
      <c r="A107" s="2013" t="n"/>
      <c r="B107" s="11479" t="inlineStr">
        <is>
          <t>Note. If you checked Box D or Box J above but the basis reported to the IRS was incorrect, enter in column (e) the basis as reported to the IRS, and
enter an adjustment in column (g) to correct the basis. See Column (g) in the separate instructions for how to figure the amount of the adjustment.</t>
        </is>
      </c>
      <c r="C107" s="11822" t="n"/>
      <c r="D107" s="11822" t="n"/>
      <c r="E107" s="11822" t="n"/>
      <c r="F107" s="11822" t="n"/>
      <c r="G107" s="11822" t="n"/>
      <c r="H107" s="11822" t="n"/>
      <c r="I107" s="11822" t="n"/>
      <c r="J107" s="11822" t="n"/>
      <c r="K107" s="11822" t="n"/>
      <c r="L107" s="11822" t="n"/>
      <c r="M107" s="11822" t="n"/>
      <c r="N107" s="11822" t="n"/>
      <c r="O107" s="11822" t="n"/>
      <c r="P107" s="11822" t="n"/>
      <c r="Q107" s="11822" t="n"/>
      <c r="R107" s="11822" t="n"/>
      <c r="S107" s="11822" t="n"/>
      <c r="T107" s="11822" t="n"/>
      <c r="U107" s="11822" t="n"/>
      <c r="V107" s="11822" t="n"/>
      <c r="W107" s="11822" t="n"/>
      <c r="X107" s="11822" t="n"/>
      <c r="Y107" s="11822" t="n"/>
      <c r="Z107" s="11822" t="n"/>
      <c r="AA107" s="11822" t="n"/>
      <c r="AB107" s="11822" t="n"/>
      <c r="AC107" s="11822" t="n"/>
      <c r="AD107" s="11822" t="n"/>
      <c r="AE107" s="11822" t="n"/>
      <c r="AF107" s="11822" t="n"/>
      <c r="AG107" s="2013" t="n"/>
    </row>
    <row r="108" ht="14.25" customFormat="1" customHeight="1" s="9864" thickTop="1">
      <c r="A108" s="2306" t="n"/>
      <c r="B108" s="6015" t="n"/>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3931" t="n"/>
      <c r="V108" s="88" t="n"/>
      <c r="W108" s="88" t="n"/>
      <c r="X108" s="88" t="n"/>
      <c r="Y108" s="88" t="n"/>
      <c r="Z108" s="88" t="n"/>
      <c r="AA108" s="88" t="n"/>
      <c r="AB108" s="88" t="n"/>
      <c r="AC108" s="88" t="n"/>
      <c r="AD108" s="2052" t="inlineStr">
        <is>
          <t>Form 8949</t>
        </is>
      </c>
      <c r="AE108" s="88" t="n"/>
      <c r="AF108" s="6016">
        <f>"("&amp;TaxYear&amp;")"</f>
        <v/>
      </c>
      <c r="AG108" s="2306" t="n"/>
      <c r="AH108" s="7623" t="n"/>
      <c r="AI108" s="7623" t="n"/>
    </row>
    <row r="109">
      <c r="A109" s="2013" t="n"/>
      <c r="B109" s="2013" t="n"/>
      <c r="C109" s="2013" t="n"/>
      <c r="D109" s="2013" t="n"/>
      <c r="E109" s="2013" t="n"/>
      <c r="F109" s="2013" t="n"/>
      <c r="G109" s="2013" t="n"/>
      <c r="H109" s="2013" t="n"/>
      <c r="I109" s="2013" t="n"/>
      <c r="J109" s="2013" t="n"/>
      <c r="K109" s="2013" t="n"/>
      <c r="L109" s="2013" t="n"/>
      <c r="M109" s="2013" t="n"/>
      <c r="N109" s="2013" t="n"/>
      <c r="O109" s="2013" t="n"/>
      <c r="P109" s="2013" t="n"/>
      <c r="Q109" s="2013" t="n"/>
      <c r="R109" s="2013" t="n"/>
      <c r="S109" s="2013" t="n"/>
      <c r="T109" s="2013" t="n"/>
      <c r="U109" s="2013" t="n"/>
      <c r="V109" s="2013" t="n"/>
      <c r="W109" s="2013" t="n"/>
      <c r="X109" s="2013" t="n"/>
      <c r="Y109" s="2013" t="n"/>
      <c r="Z109" s="2013" t="n"/>
      <c r="AA109" s="2013" t="n"/>
      <c r="AB109" s="2013" t="n"/>
      <c r="AC109" s="2013" t="n"/>
      <c r="AD109" s="2013" t="n"/>
      <c r="AE109" s="2013" t="n"/>
      <c r="AF109" s="2013" t="n"/>
      <c r="AG109" s="2013" t="n"/>
    </row>
  </sheetData>
  <sheetProtection selectLockedCells="0" selectUnlockedCells="0" algorithmName="SHA-512" sheet="1" objects="1" insertRows="1" insertHyperlinks="1" autoFilter="1" scenarios="1" formatColumns="0" deleteColumns="1" insertColumns="1" pivotTables="1" deleteRows="1" formatCells="0" saltValue="RpIlmI0ohbtMXw0S1MnAAQ==" formatRows="0" sort="1" spinCount="100000" hashValue="xXD77Ni4e54/bfbe451fX1U+i+gnPjGPO40ob091by8LFwRlG8zOaF0BijfySOUcEZ+yEHSL5cPXfbbVJi3sFA=="/>
  <mergeCells count="266">
    <mergeCell ref="Y47:Z47"/>
    <mergeCell ref="J99:L99"/>
    <mergeCell ref="BA72:BC72"/>
    <mergeCell ref="AA96:AB96"/>
    <mergeCell ref="U52:X56"/>
    <mergeCell ref="AK87:AK90"/>
    <mergeCell ref="AC99:AF99"/>
    <mergeCell ref="Q95:T95"/>
    <mergeCell ref="AA44:AB44"/>
    <mergeCell ref="J101:L101"/>
    <mergeCell ref="AC102:AF106"/>
    <mergeCell ref="AC51:AF51"/>
    <mergeCell ref="U102:X106"/>
    <mergeCell ref="C102:P106"/>
    <mergeCell ref="B96:I96"/>
    <mergeCell ref="Q101:T101"/>
    <mergeCell ref="M46:P46"/>
    <mergeCell ref="B48:I48"/>
    <mergeCell ref="M96:P96"/>
    <mergeCell ref="AC48:AF48"/>
    <mergeCell ref="AC52:AF56"/>
    <mergeCell ref="AA89:AB90"/>
    <mergeCell ref="M43:P43"/>
    <mergeCell ref="AC45:AF45"/>
    <mergeCell ref="B98:I98"/>
    <mergeCell ref="AQ37:AQ40"/>
    <mergeCell ref="AC96:AF96"/>
    <mergeCell ref="J50:L50"/>
    <mergeCell ref="Y50:Z50"/>
    <mergeCell ref="M98:P98"/>
    <mergeCell ref="AO89:AO90"/>
    <mergeCell ref="J46:L46"/>
    <mergeCell ref="AC47:AF47"/>
    <mergeCell ref="U96:X96"/>
    <mergeCell ref="B87:B90"/>
    <mergeCell ref="J92:L92"/>
    <mergeCell ref="AC101:AF101"/>
    <mergeCell ref="Y49:Z49"/>
    <mergeCell ref="B37:B40"/>
    <mergeCell ref="J97:L97"/>
    <mergeCell ref="Q51:T51"/>
    <mergeCell ref="J48:L48"/>
    <mergeCell ref="AJ33:AQ33"/>
    <mergeCell ref="M37:P40"/>
    <mergeCell ref="B102:B106"/>
    <mergeCell ref="AC91:AF91"/>
    <mergeCell ref="B62:AF64"/>
    <mergeCell ref="Y45:Z45"/>
    <mergeCell ref="M99:P99"/>
    <mergeCell ref="B12:AF14"/>
    <mergeCell ref="AQ87:AQ90"/>
    <mergeCell ref="Q93:T93"/>
    <mergeCell ref="Q50:T50"/>
    <mergeCell ref="AA50:AB50"/>
    <mergeCell ref="U91:X91"/>
    <mergeCell ref="AJ35:AQ35"/>
    <mergeCell ref="Y100:Z100"/>
    <mergeCell ref="U100:X100"/>
    <mergeCell ref="AA42:AB42"/>
    <mergeCell ref="AA94:AB94"/>
    <mergeCell ref="AA47:AB47"/>
    <mergeCell ref="Q87:T90"/>
    <mergeCell ref="AJ25:AQ25"/>
    <mergeCell ref="B45:I45"/>
    <mergeCell ref="Q99:T99"/>
    <mergeCell ref="AN37:AN40"/>
    <mergeCell ref="AC50:AF50"/>
    <mergeCell ref="U93:X93"/>
    <mergeCell ref="AA92:AB92"/>
    <mergeCell ref="M45:P45"/>
    <mergeCell ref="U42:X42"/>
    <mergeCell ref="Q49:T49"/>
    <mergeCell ref="Y42:Z42"/>
    <mergeCell ref="B100:I100"/>
    <mergeCell ref="B16:C16"/>
    <mergeCell ref="AN87:AN90"/>
    <mergeCell ref="B47:I47"/>
    <mergeCell ref="U92:X92"/>
    <mergeCell ref="B66:C66"/>
    <mergeCell ref="M47:P47"/>
    <mergeCell ref="AB5:AF7"/>
    <mergeCell ref="B46:I46"/>
    <mergeCell ref="U94:X94"/>
    <mergeCell ref="J41:L41"/>
    <mergeCell ref="Y98:Z98"/>
    <mergeCell ref="Y102:Z106"/>
    <mergeCell ref="AA98:AB98"/>
    <mergeCell ref="AA102:AB106"/>
    <mergeCell ref="J91:L91"/>
    <mergeCell ref="Y51:Z51"/>
    <mergeCell ref="U37:X40"/>
    <mergeCell ref="B11:U11"/>
    <mergeCell ref="J43:L43"/>
    <mergeCell ref="M44:P44"/>
    <mergeCell ref="U46:X46"/>
    <mergeCell ref="B61:U61"/>
    <mergeCell ref="J42:L42"/>
    <mergeCell ref="Q97:T97"/>
    <mergeCell ref="J87:L90"/>
    <mergeCell ref="Q52:T56"/>
    <mergeCell ref="U95:X95"/>
    <mergeCell ref="AC92:AF92"/>
    <mergeCell ref="AA41:AB41"/>
    <mergeCell ref="Y99:Z99"/>
    <mergeCell ref="M51:P51"/>
    <mergeCell ref="U48:X48"/>
    <mergeCell ref="AA99:AB99"/>
    <mergeCell ref="BA73:BA90"/>
    <mergeCell ref="V11:AF11"/>
    <mergeCell ref="Q102:T106"/>
    <mergeCell ref="B49:I49"/>
    <mergeCell ref="J44:L44"/>
    <mergeCell ref="U41:X41"/>
    <mergeCell ref="U97:X97"/>
    <mergeCell ref="Y37:AB38"/>
    <mergeCell ref="Y101:Z101"/>
    <mergeCell ref="BA23:BA40"/>
    <mergeCell ref="B51:I51"/>
    <mergeCell ref="U47:X47"/>
    <mergeCell ref="Y89:Z90"/>
    <mergeCell ref="M87:P90"/>
    <mergeCell ref="AM37:AM40"/>
    <mergeCell ref="U43:X43"/>
    <mergeCell ref="B41:I41"/>
    <mergeCell ref="AO87:AP88"/>
    <mergeCell ref="B50:I50"/>
    <mergeCell ref="AA100:AB100"/>
    <mergeCell ref="AC93:AF93"/>
    <mergeCell ref="BB23:BB40"/>
    <mergeCell ref="V61:AF61"/>
    <mergeCell ref="M101:P101"/>
    <mergeCell ref="J98:L98"/>
    <mergeCell ref="B91:I91"/>
    <mergeCell ref="AP39:AP40"/>
    <mergeCell ref="M91:P91"/>
    <mergeCell ref="AC87:AF90"/>
    <mergeCell ref="Q37:T40"/>
    <mergeCell ref="M100:P100"/>
    <mergeCell ref="J95:L95"/>
    <mergeCell ref="AJ27:AQ27"/>
    <mergeCell ref="AC37:AF40"/>
    <mergeCell ref="AO39:AO40"/>
    <mergeCell ref="B93:I93"/>
    <mergeCell ref="BC73:BC90"/>
    <mergeCell ref="AC49:AF49"/>
    <mergeCell ref="Y92:Z92"/>
    <mergeCell ref="AB4:AF4"/>
    <mergeCell ref="U50:X50"/>
    <mergeCell ref="M93:P93"/>
    <mergeCell ref="M50:P50"/>
    <mergeCell ref="U44:X44"/>
    <mergeCell ref="Q91:T91"/>
    <mergeCell ref="AA52:AB56"/>
    <mergeCell ref="AA48:AB48"/>
    <mergeCell ref="H4:AA6"/>
    <mergeCell ref="Q100:T100"/>
    <mergeCell ref="Y94:Z94"/>
    <mergeCell ref="AL87:AL90"/>
    <mergeCell ref="J47:L47"/>
    <mergeCell ref="M92:P92"/>
    <mergeCell ref="AA45:AB45"/>
    <mergeCell ref="J96:L96"/>
    <mergeCell ref="B101:I101"/>
    <mergeCell ref="AJ37:AJ40"/>
    <mergeCell ref="AL37:AL40"/>
    <mergeCell ref="Q42:T42"/>
    <mergeCell ref="M49:P49"/>
    <mergeCell ref="J37:L40"/>
    <mergeCell ref="M48:P48"/>
    <mergeCell ref="U45:X45"/>
    <mergeCell ref="AJ87:AJ90"/>
    <mergeCell ref="Q92:T92"/>
    <mergeCell ref="AM87:AM90"/>
    <mergeCell ref="AA46:AB46"/>
    <mergeCell ref="Y96:Z96"/>
    <mergeCell ref="AB8:AD9"/>
    <mergeCell ref="Q94:T94"/>
    <mergeCell ref="B52:B56"/>
    <mergeCell ref="AC97:AF97"/>
    <mergeCell ref="AA51:AB51"/>
    <mergeCell ref="C52:P56"/>
    <mergeCell ref="AJ29:AQ29"/>
    <mergeCell ref="B95:I95"/>
    <mergeCell ref="AC100:AF100"/>
    <mergeCell ref="Y41:Z41"/>
    <mergeCell ref="AO37:AP38"/>
    <mergeCell ref="Y87:AB88"/>
    <mergeCell ref="M95:P95"/>
    <mergeCell ref="AK37:AK40"/>
    <mergeCell ref="Q46:T46"/>
    <mergeCell ref="AC94:AF94"/>
    <mergeCell ref="AC44:AF44"/>
    <mergeCell ref="Q98:T98"/>
    <mergeCell ref="AJ31:AQ31"/>
    <mergeCell ref="B97:I97"/>
    <mergeCell ref="Y91:Z91"/>
    <mergeCell ref="AE8:AF9"/>
    <mergeCell ref="AA91:AB91"/>
    <mergeCell ref="J49:L49"/>
    <mergeCell ref="AC46:AF46"/>
    <mergeCell ref="Y43:Z43"/>
    <mergeCell ref="AC98:AF98"/>
    <mergeCell ref="AA43:AB43"/>
    <mergeCell ref="M97:P97"/>
    <mergeCell ref="M41:P41"/>
    <mergeCell ref="AJ81:AQ81"/>
    <mergeCell ref="J45:L45"/>
    <mergeCell ref="Q48:T48"/>
    <mergeCell ref="Y93:Z93"/>
    <mergeCell ref="U98:X98"/>
    <mergeCell ref="AC95:AF95"/>
    <mergeCell ref="AA93:AB93"/>
    <mergeCell ref="U51:X51"/>
    <mergeCell ref="Q45:T45"/>
    <mergeCell ref="J100:L100"/>
    <mergeCell ref="B43:I43"/>
    <mergeCell ref="J94:L94"/>
    <mergeCell ref="Q41:T41"/>
    <mergeCell ref="AC41:AF41"/>
    <mergeCell ref="Q47:T47"/>
    <mergeCell ref="Y44:Z44"/>
    <mergeCell ref="Q96:T96"/>
    <mergeCell ref="B42:I42"/>
    <mergeCell ref="AA49:AB49"/>
    <mergeCell ref="Q43:T43"/>
    <mergeCell ref="AA101:AB101"/>
    <mergeCell ref="BC23:BC40"/>
    <mergeCell ref="U87:X90"/>
    <mergeCell ref="U99:X99"/>
    <mergeCell ref="J51:L51"/>
    <mergeCell ref="U49:X49"/>
    <mergeCell ref="B44:I44"/>
    <mergeCell ref="H8:AA9"/>
    <mergeCell ref="AJ77:AQ77"/>
    <mergeCell ref="Q44:T44"/>
    <mergeCell ref="U101:X101"/>
    <mergeCell ref="B99:I99"/>
    <mergeCell ref="AP89:AP90"/>
    <mergeCell ref="Y46:Z46"/>
    <mergeCell ref="H7:AA7"/>
    <mergeCell ref="B2:K2"/>
    <mergeCell ref="M94:P94"/>
    <mergeCell ref="AJ83:AQ83"/>
    <mergeCell ref="AC43:AF43"/>
    <mergeCell ref="B92:I92"/>
    <mergeCell ref="Y97:Z97"/>
    <mergeCell ref="Y95:Z95"/>
    <mergeCell ref="AA95:AB95"/>
    <mergeCell ref="Y52:Z56"/>
    <mergeCell ref="Y48:Z48"/>
    <mergeCell ref="C87:I90"/>
    <mergeCell ref="B107:AF107"/>
    <mergeCell ref="J93:L93"/>
    <mergeCell ref="AJ85:AQ85"/>
    <mergeCell ref="AC42:AF42"/>
    <mergeCell ref="Y39:Z40"/>
    <mergeCell ref="B94:I94"/>
    <mergeCell ref="C37:I40"/>
    <mergeCell ref="AA39:AB40"/>
    <mergeCell ref="BB73:BB90"/>
    <mergeCell ref="B57:AF57"/>
    <mergeCell ref="BA22:BC22"/>
    <mergeCell ref="M42:P42"/>
    <mergeCell ref="AA97:AB97"/>
    <mergeCell ref="B4:F6"/>
    <mergeCell ref="AJ75:AQ75"/>
  </mergeCells>
  <conditionalFormatting sqref="B2">
    <cfRule type="expression" priority="89" dxfId="244" stopIfTrue="1">
      <formula>IF(OR($AG$16,$AG$66),1,0)</formula>
    </cfRule>
  </conditionalFormatting>
  <conditionalFormatting sqref="B21">
    <cfRule type="expression" priority="28" dxfId="158">
      <formula>AND(NOT(NoColor),A35=0,AC52&lt;&gt;"")</formula>
    </cfRule>
  </conditionalFormatting>
  <conditionalFormatting sqref="B23">
    <cfRule type="expression" priority="25" dxfId="40">
      <formula>SpaceUsed_8949A_ST</formula>
    </cfRule>
  </conditionalFormatting>
  <conditionalFormatting sqref="B71">
    <cfRule type="expression" priority="23" dxfId="158">
      <formula>AND(NOT(NoColor),A85=0,AC102&lt;&gt;"")</formula>
    </cfRule>
  </conditionalFormatting>
  <conditionalFormatting sqref="B73">
    <cfRule type="expression" priority="22" dxfId="40">
      <formula>SpaceUsed_8949A_LT</formula>
    </cfRule>
  </conditionalFormatting>
  <conditionalFormatting sqref="B11:AF11">
    <cfRule type="expression" priority="83" dxfId="6">
      <formula>IF(NoColor,1,0)</formula>
    </cfRule>
  </conditionalFormatting>
  <conditionalFormatting sqref="B41:AF51">
    <cfRule type="expression" priority="5" dxfId="6">
      <formula>IF(NoColor,1,0)</formula>
    </cfRule>
  </conditionalFormatting>
  <conditionalFormatting sqref="B61:AF61">
    <cfRule type="expression" priority="80" dxfId="6">
      <formula>IF(NoColor,1,0)</formula>
    </cfRule>
  </conditionalFormatting>
  <conditionalFormatting sqref="B91:AF101">
    <cfRule type="expression" priority="1" dxfId="6">
      <formula>IF(NoColor,1,0)</formula>
    </cfRule>
  </conditionalFormatting>
  <conditionalFormatting sqref="C25">
    <cfRule type="expression" priority="63" dxfId="6">
      <formula>IF(NoColor,1,0)</formula>
    </cfRule>
    <cfRule type="expression" priority="62" dxfId="212">
      <formula>C25=CHAR(32)</formula>
    </cfRule>
  </conditionalFormatting>
  <conditionalFormatting sqref="C27">
    <cfRule type="expression" priority="61" dxfId="6">
      <formula>IF(NoColor,1,0)</formula>
    </cfRule>
    <cfRule type="expression" priority="60" dxfId="212">
      <formula>C27=CHAR(32)</formula>
    </cfRule>
  </conditionalFormatting>
  <conditionalFormatting sqref="C29">
    <cfRule type="expression" priority="59" dxfId="6">
      <formula>IF(NoColor,1,0)</formula>
    </cfRule>
    <cfRule type="expression" priority="58" dxfId="212">
      <formula>C29=CHAR(32)</formula>
    </cfRule>
  </conditionalFormatting>
  <conditionalFormatting sqref="C31">
    <cfRule type="expression" priority="57" dxfId="6">
      <formula>IF(NoColor,1,0)</formula>
    </cfRule>
    <cfRule type="expression" priority="56" dxfId="212">
      <formula>C31=CHAR(32)</formula>
    </cfRule>
  </conditionalFormatting>
  <conditionalFormatting sqref="C33">
    <cfRule type="expression" priority="71" dxfId="6">
      <formula>IF(NoColor,1,0)</formula>
    </cfRule>
    <cfRule type="expression" priority="64" dxfId="212">
      <formula>C33=CHAR(32)</formula>
    </cfRule>
  </conditionalFormatting>
  <conditionalFormatting sqref="C35">
    <cfRule type="expression" priority="55" dxfId="6">
      <formula>IF(NoColor,1,0)</formula>
    </cfRule>
    <cfRule type="expression" priority="54" dxfId="212">
      <formula>C35=CHAR(32)</formula>
    </cfRule>
  </conditionalFormatting>
  <conditionalFormatting sqref="C75">
    <cfRule type="expression" priority="47" dxfId="212">
      <formula>AND(SpaceUsed_8949A_LT,C75=CHAR(32))</formula>
    </cfRule>
    <cfRule type="expression" priority="48" dxfId="6">
      <formula>IF(NoColor,1,0)</formula>
    </cfRule>
  </conditionalFormatting>
  <conditionalFormatting sqref="C77">
    <cfRule type="expression" priority="77" dxfId="6">
      <formula>IF(NoColor,1,0)</formula>
    </cfRule>
    <cfRule type="expression" priority="49" dxfId="212">
      <formula>AND(SpaceUsed_8949A_LT,C77=CHAR(32))</formula>
    </cfRule>
  </conditionalFormatting>
  <conditionalFormatting sqref="C79">
    <cfRule type="expression" priority="45" dxfId="212">
      <formula>AND(SpaceUsed_8949A_LT,C79=CHAR(32))</formula>
    </cfRule>
    <cfRule type="expression" priority="46" dxfId="6">
      <formula>IF(NoColor,1,0)</formula>
    </cfRule>
  </conditionalFormatting>
  <conditionalFormatting sqref="C81">
    <cfRule type="expression" priority="44" dxfId="6">
      <formula>IF(NoColor,1,0)</formula>
    </cfRule>
    <cfRule type="expression" priority="43" dxfId="212">
      <formula>AND(SpaceUsed_8949A_LT,C81=CHAR(32))</formula>
    </cfRule>
  </conditionalFormatting>
  <conditionalFormatting sqref="C83">
    <cfRule type="expression" priority="42" dxfId="6">
      <formula>IF(NoColor,1,0)</formula>
    </cfRule>
    <cfRule type="expression" priority="41" dxfId="212">
      <formula>AND(SpaceUsed_8949A_LT,C83=CHAR(32))</formula>
    </cfRule>
  </conditionalFormatting>
  <conditionalFormatting sqref="C85">
    <cfRule type="expression" priority="40" dxfId="6">
      <formula>IF(NoColor,1,0)</formula>
    </cfRule>
    <cfRule type="expression" priority="39" dxfId="212">
      <formula>AND(SpaceUsed_8949A_LT,C85=CHAR(32))</formula>
    </cfRule>
  </conditionalFormatting>
  <conditionalFormatting sqref="D25">
    <cfRule type="expression" priority="70" dxfId="40">
      <formula>C25=CHAR(32)</formula>
    </cfRule>
  </conditionalFormatting>
  <conditionalFormatting sqref="D27">
    <cfRule type="expression" priority="69" dxfId="40">
      <formula>C27=CHAR(32)</formula>
    </cfRule>
  </conditionalFormatting>
  <conditionalFormatting sqref="D29">
    <cfRule type="expression" priority="68" dxfId="40">
      <formula>C29=CHAR(32)</formula>
    </cfRule>
  </conditionalFormatting>
  <conditionalFormatting sqref="D31">
    <cfRule type="expression" priority="67" dxfId="40">
      <formula>C31=CHAR(32)</formula>
    </cfRule>
  </conditionalFormatting>
  <conditionalFormatting sqref="D33">
    <cfRule type="expression" priority="66" dxfId="40">
      <formula>C33=CHAR(32)</formula>
    </cfRule>
  </conditionalFormatting>
  <conditionalFormatting sqref="D35">
    <cfRule type="expression" priority="65" dxfId="40">
      <formula>C35=CHAR(32)</formula>
    </cfRule>
  </conditionalFormatting>
  <conditionalFormatting sqref="D75">
    <cfRule type="expression" priority="38" dxfId="40">
      <formula>AND(SpaceUsed_8949A_LT,C75=CHAR(32))</formula>
    </cfRule>
  </conditionalFormatting>
  <conditionalFormatting sqref="D77">
    <cfRule type="expression" priority="37" dxfId="40">
      <formula>AND(SpaceUsed_8949A_LT,C77=CHAR(32))</formula>
    </cfRule>
  </conditionalFormatting>
  <conditionalFormatting sqref="D79">
    <cfRule type="expression" priority="36" dxfId="40">
      <formula>AND(SpaceUsed_8949A_LT,C79=CHAR(32))</formula>
    </cfRule>
  </conditionalFormatting>
  <conditionalFormatting sqref="D81">
    <cfRule type="expression" priority="35" dxfId="40">
      <formula>AND(SpaceUsed_8949A_LT,C81=CHAR(32))</formula>
    </cfRule>
  </conditionalFormatting>
  <conditionalFormatting sqref="D83">
    <cfRule type="expression" priority="34" dxfId="40">
      <formula>AND(SpaceUsed_8949A_LT,C83=CHAR(32))</formula>
    </cfRule>
  </conditionalFormatting>
  <conditionalFormatting sqref="D85">
    <cfRule type="expression" priority="33" dxfId="40">
      <formula>AND(SpaceUsed_8949A_LT,C85=CHAR(32))</formula>
    </cfRule>
  </conditionalFormatting>
  <conditionalFormatting sqref="J41:J51">
    <cfRule type="expression" priority="8" dxfId="158" stopIfTrue="1">
      <formula>AND($L$2="",NOT($AZ41))</formula>
    </cfRule>
  </conditionalFormatting>
  <conditionalFormatting sqref="J91:L101">
    <cfRule type="expression" priority="3" dxfId="14">
      <formula>AND($L$2="",$AZ91)</formula>
    </cfRule>
  </conditionalFormatting>
  <conditionalFormatting sqref="K71">
    <cfRule type="expression" priority="24" dxfId="158">
      <formula>IF($A$79&gt;1,1,0)</formula>
    </cfRule>
  </conditionalFormatting>
  <conditionalFormatting sqref="L2">
    <cfRule type="expression" priority="90" dxfId="196" stopIfTrue="1">
      <formula>IF(OR($AG$16,$AG$66),1,0)</formula>
    </cfRule>
  </conditionalFormatting>
  <conditionalFormatting sqref="L21">
    <cfRule type="expression" priority="27" dxfId="158">
      <formula>(A29&gt;1)</formula>
    </cfRule>
  </conditionalFormatting>
  <conditionalFormatting sqref="M41:M51">
    <cfRule type="expression" priority="6" dxfId="158" stopIfTrue="1">
      <formula>AND($L$2="",NOT($AZ41))</formula>
    </cfRule>
  </conditionalFormatting>
  <conditionalFormatting sqref="M91:M101">
    <cfRule type="expression" priority="2" dxfId="158" stopIfTrue="1">
      <formula>AND($L$2="",$AZ91)</formula>
    </cfRule>
  </conditionalFormatting>
  <conditionalFormatting sqref="M21:N21">
    <cfRule type="expression" priority="26" dxfId="0">
      <formula>$A$35&gt;1</formula>
    </cfRule>
  </conditionalFormatting>
  <conditionalFormatting sqref="M71:N71">
    <cfRule type="expression" priority="21" dxfId="158">
      <formula>IF($A$85&gt;1,1,0)</formula>
    </cfRule>
  </conditionalFormatting>
  <conditionalFormatting sqref="P66">
    <cfRule type="expression" priority="88" dxfId="158" stopIfTrue="1">
      <formula>IF(AND($L$2="",$AG$66),TRUE,FALSE)</formula>
    </cfRule>
  </conditionalFormatting>
  <conditionalFormatting sqref="Q52:X56">
    <cfRule type="expression" priority="82" dxfId="6">
      <formula>IF(NoColor,1,0)</formula>
    </cfRule>
  </conditionalFormatting>
  <conditionalFormatting sqref="Q102:X106">
    <cfRule type="expression" priority="79" dxfId="6">
      <formula>IF(NoColor,1,0)</formula>
    </cfRule>
  </conditionalFormatting>
  <conditionalFormatting sqref="T16:T19">
    <cfRule type="expression" priority="87" dxfId="14" stopIfTrue="1">
      <formula>IF(AND($L$2="",$AG$16),TRUE,FALSE)</formula>
    </cfRule>
  </conditionalFormatting>
  <conditionalFormatting sqref="T66">
    <cfRule type="expression" priority="86" dxfId="14" stopIfTrue="1">
      <formula>IF(AND($L$2="",$AG$66),TRUE,FALSE)</formula>
    </cfRule>
  </conditionalFormatting>
  <conditionalFormatting sqref="T67:T69">
    <cfRule type="expression" priority="76" dxfId="14" stopIfTrue="1">
      <formula>IF(AND($L$2="",$AG$16),TRUE,FALSE)</formula>
    </cfRule>
  </conditionalFormatting>
  <conditionalFormatting sqref="AA52:AF56">
    <cfRule type="expression" priority="81" dxfId="6">
      <formula>IF(NoColor,1,0)</formula>
    </cfRule>
  </conditionalFormatting>
  <conditionalFormatting sqref="AA102:AF106">
    <cfRule type="expression" priority="78" dxfId="6">
      <formula>IF(NoColor,1,0)</formula>
    </cfRule>
  </conditionalFormatting>
  <conditionalFormatting sqref="AB4:AF4">
    <cfRule type="expression" priority="30" dxfId="40">
      <formula>AND(AI3,AH4="")</formula>
    </cfRule>
  </conditionalFormatting>
  <conditionalFormatting sqref="AH4">
    <cfRule type="expression" priority="29" dxfId="181">
      <formula>$AI$3</formula>
    </cfRule>
  </conditionalFormatting>
  <pageMargins left="0.75" right="0.25" top="0.36" bottom="0.29" header="0.36" footer="0.21"/>
  <pageSetup orientation="portrait" scale="75" fitToHeight="0"/>
  <rowBreaks count="1" manualBreakCount="1">
    <brk id="58" min="1" max="31" man="1"/>
  </rowBreaks>
</worksheet>
</file>

<file path=xl/worksheets/sheet58.xml><?xml version="1.0" encoding="utf-8"?>
<worksheet xmlns="http://schemas.openxmlformats.org/spreadsheetml/2006/main">
  <sheetPr>
    <outlinePr summaryBelow="1" summaryRight="1"/>
    <pageSetUpPr fitToPage="1"/>
  </sheetPr>
  <dimension ref="A1:BC109"/>
  <sheetViews>
    <sheetView zoomScaleNormal="100" zoomScaleSheetLayoutView="100" workbookViewId="0">
      <selection activeCell="AH38" sqref="AH38"/>
    </sheetView>
  </sheetViews>
  <sheetFormatPr baseColWidth="8" defaultColWidth="3.7109375" defaultRowHeight="12.75"/>
  <cols>
    <col width="3.7109375" customWidth="1" style="6021" min="1" max="1"/>
    <col width="4.140625" customWidth="1" style="7635" min="2" max="2"/>
    <col width="2.28515625" customWidth="1" style="7635" min="3" max="3"/>
    <col width="3.7109375" customWidth="1" style="7635" min="4" max="9"/>
    <col width="4" customWidth="1" style="7635" min="10" max="10"/>
    <col width="6.85546875" customWidth="1" style="7635" min="11" max="11"/>
    <col width="4" customWidth="1" style="7635" min="12" max="12"/>
    <col width="3.7109375" customWidth="1" style="7635" min="13" max="16"/>
    <col width="4.28515625" customWidth="1" style="7635" min="17" max="20"/>
    <col width="3.85546875" customWidth="1" style="7635" min="21" max="23"/>
    <col width="3.7109375" customWidth="1" style="7635" min="24" max="24"/>
    <col width="5.42578125" customWidth="1" style="7635" min="25" max="26"/>
    <col width="6.42578125" customWidth="1" style="7635" min="27" max="28"/>
    <col width="3.7109375" customWidth="1" style="7635" min="29" max="32"/>
    <col width="6" customWidth="1" style="6022" min="33" max="33"/>
    <col width="4.85546875" customWidth="1" style="7453" min="34" max="34"/>
    <col width="8.5703125" bestFit="1" customWidth="1" style="7453" min="35" max="35"/>
    <col width="29.28515625" customWidth="1" style="7635" min="36" max="36"/>
    <col width="13.7109375" customWidth="1" style="7635" min="37" max="40"/>
    <col width="10" customWidth="1" style="7635" min="41" max="41"/>
    <col width="15.5703125" customWidth="1" style="7635" min="42" max="42"/>
    <col width="15.42578125" customWidth="1" style="7635" min="43" max="43"/>
    <col width="13" customWidth="1" style="7635" min="44" max="44"/>
    <col hidden="1" width="13" customWidth="1" style="7635" min="45" max="47"/>
    <col hidden="1" width="3.85546875" customWidth="1" style="7635" min="48" max="48"/>
    <col hidden="1" width="13" customWidth="1" style="7635" min="49" max="51"/>
    <col hidden="1" width="8.5703125" customWidth="1" style="7635" min="52" max="52"/>
    <col hidden="1" width="13" customWidth="1" style="7635" min="53" max="55"/>
    <col width="3.7109375" customWidth="1" style="7635" min="56" max="68"/>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row>
    <row r="2">
      <c r="A2" s="139" t="n"/>
      <c r="B2" s="11401" t="inlineStr">
        <is>
          <t>Check here to hide red formatting.   &gt;</t>
        </is>
      </c>
      <c r="L2" s="264" t="n"/>
      <c r="M2" s="139" t="n"/>
      <c r="N2" s="139" t="n"/>
      <c r="O2" s="139" t="n"/>
      <c r="P2" s="139" t="n"/>
      <c r="Q2" s="139" t="n"/>
      <c r="R2" s="139" t="n"/>
      <c r="S2" s="139" t="n"/>
      <c r="T2" s="139" t="n"/>
      <c r="U2" s="139" t="n"/>
      <c r="V2" s="139" t="n"/>
      <c r="W2" s="139" t="n"/>
      <c r="X2" s="139" t="n"/>
      <c r="Y2" s="139" t="n"/>
      <c r="Z2" s="139" t="n"/>
      <c r="AA2" s="962" t="n"/>
      <c r="AB2" s="139" t="n"/>
      <c r="AC2" s="139" t="n"/>
      <c r="AD2" s="139" t="n"/>
      <c r="AE2" s="139" t="n"/>
      <c r="AF2" s="139" t="n"/>
      <c r="AG2" s="2013" t="n"/>
    </row>
    <row r="3">
      <c r="A3" s="2013" t="n"/>
      <c r="B3" s="2013" t="n"/>
      <c r="C3" s="2013" t="n"/>
      <c r="D3" s="2013" t="n"/>
      <c r="E3" s="2013" t="n"/>
      <c r="F3" s="2013" t="n"/>
      <c r="G3" s="2013" t="n"/>
      <c r="H3" s="2013" t="n"/>
      <c r="I3" s="2013" t="n"/>
      <c r="J3" s="2013" t="n"/>
      <c r="K3" s="2013" t="n"/>
      <c r="L3" s="2013" t="n"/>
      <c r="M3" s="2013" t="n"/>
      <c r="N3" s="2013" t="n"/>
      <c r="O3" s="2013" t="n"/>
      <c r="P3" s="2013" t="n"/>
      <c r="Q3" s="2013" t="n"/>
      <c r="R3" s="2013" t="n"/>
      <c r="S3" s="2013" t="n"/>
      <c r="T3" s="2013" t="n"/>
      <c r="U3" s="2013" t="n"/>
      <c r="V3" s="2013" t="n"/>
      <c r="W3" s="2013" t="n"/>
      <c r="X3" s="2013" t="n"/>
      <c r="Y3" s="2013" t="n"/>
      <c r="Z3" s="2013" t="n"/>
      <c r="AA3" s="2013" t="n"/>
      <c r="AB3" s="2013" t="n"/>
      <c r="AC3" s="2013" t="n"/>
      <c r="AD3" s="2013" t="n"/>
      <c r="AE3" s="2013" t="n"/>
      <c r="AF3" s="2013" t="n"/>
      <c r="AG3" s="2013" t="n"/>
      <c r="AI3" s="9649">
        <f>'Table of Contents'!A63="D"</f>
        <v/>
      </c>
    </row>
    <row r="4" ht="11.25" customHeight="1" s="7635">
      <c r="A4" s="2013" t="n"/>
      <c r="B4" s="11403" t="inlineStr">
        <is>
          <t>Form 8949</t>
        </is>
      </c>
      <c r="G4" s="88" t="n"/>
      <c r="H4" s="12789" t="inlineStr">
        <is>
          <t>Sales and Other Dispositions of Capital Assets</t>
        </is>
      </c>
      <c r="AA4" s="9671" t="n"/>
      <c r="AB4" s="8038">
        <f>IF(AND(AI3,AH4=""),"DRAFT","OMB No. 1545-0074")</f>
        <v/>
      </c>
      <c r="AC4" s="7637" t="n"/>
      <c r="AD4" s="7637" t="n"/>
      <c r="AE4" s="7637" t="n"/>
      <c r="AF4" s="7637" t="n"/>
      <c r="AG4" s="2013" t="n"/>
      <c r="AH4" s="12790" t="n"/>
      <c r="AI4" s="8696">
        <f>IF(AI3,"Hide 'DRAFT'.","")</f>
        <v/>
      </c>
    </row>
    <row r="5" ht="11.25" customHeight="1" s="7635">
      <c r="A5" s="2013" t="n"/>
      <c r="G5" s="88" t="n"/>
      <c r="H5" s="9670" t="n"/>
      <c r="AA5" s="9671" t="n"/>
      <c r="AB5" s="11404">
        <f>TaxYear</f>
        <v/>
      </c>
      <c r="AG5" s="2013" t="n"/>
      <c r="AH5" s="12791" t="n"/>
    </row>
    <row r="6" ht="11.25" customHeight="1" s="7635">
      <c r="A6" s="2013" t="n"/>
      <c r="G6" s="88" t="n"/>
      <c r="H6" s="9670" t="n"/>
      <c r="AA6" s="9671" t="n"/>
      <c r="AG6" s="2013" t="n"/>
      <c r="AH6" s="12792" t="n"/>
    </row>
    <row r="7" ht="11.25" customHeight="1" s="7635">
      <c r="A7" s="2013" t="n"/>
      <c r="B7" s="88" t="n"/>
      <c r="C7" s="88" t="n"/>
      <c r="D7" s="88" t="n"/>
      <c r="E7" s="88" t="n"/>
      <c r="F7" s="88" t="n"/>
      <c r="G7" s="88" t="n"/>
      <c r="H7" s="12793" t="inlineStr">
        <is>
          <t>File with your Schedule D to list your transactions for lines 1b, 2, 3, 8b, 9, and 10 of Schedule D.</t>
        </is>
      </c>
      <c r="AA7" s="9671" t="n"/>
      <c r="AG7" s="2013" t="n"/>
    </row>
    <row r="8" ht="10.5" customHeight="1" s="7635">
      <c r="A8" s="2013" t="n"/>
      <c r="B8" s="229" t="inlineStr">
        <is>
          <t>Department of the Treasury</t>
        </is>
      </c>
      <c r="C8" s="88" t="n"/>
      <c r="D8" s="88" t="n"/>
      <c r="E8" s="88" t="n"/>
      <c r="F8" s="88" t="n"/>
      <c r="G8" s="88" t="n"/>
      <c r="H8" s="12794" t="inlineStr">
        <is>
          <t>Go to www.irs.gov/Form8949 for instructions and the latest information.</t>
        </is>
      </c>
      <c r="AA8" s="9671" t="n"/>
      <c r="AB8" s="12795" t="inlineStr">
        <is>
          <t>Attachment
Sequence No.</t>
        </is>
      </c>
      <c r="AE8" s="11450" t="inlineStr">
        <is>
          <t>12A</t>
        </is>
      </c>
      <c r="AG8" s="2013" t="n"/>
    </row>
    <row r="9" ht="10.5" customHeight="1" s="7635" thickBot="1">
      <c r="A9" s="2013" t="n"/>
      <c r="B9" s="6502" t="inlineStr">
        <is>
          <t>Internal Revenue Service</t>
        </is>
      </c>
      <c r="C9" s="6503" t="n"/>
      <c r="D9" s="6503" t="n"/>
      <c r="E9" s="6503" t="n"/>
      <c r="F9" s="6503" t="n"/>
      <c r="G9" s="6503" t="n"/>
      <c r="H9" s="12152" t="n"/>
      <c r="I9" s="11705" t="n"/>
      <c r="J9" s="11705" t="n"/>
      <c r="K9" s="11705" t="n"/>
      <c r="L9" s="11705" t="n"/>
      <c r="M9" s="11705" t="n"/>
      <c r="N9" s="11705" t="n"/>
      <c r="O9" s="11705" t="n"/>
      <c r="P9" s="11705" t="n"/>
      <c r="Q9" s="11705" t="n"/>
      <c r="R9" s="11705" t="n"/>
      <c r="S9" s="11705" t="n"/>
      <c r="T9" s="11705" t="n"/>
      <c r="U9" s="11705" t="n"/>
      <c r="V9" s="11705" t="n"/>
      <c r="W9" s="11705" t="n"/>
      <c r="X9" s="11705" t="n"/>
      <c r="Y9" s="11705" t="n"/>
      <c r="Z9" s="11705" t="n"/>
      <c r="AA9" s="12151" t="n"/>
      <c r="AB9" s="12152" t="n"/>
      <c r="AC9" s="11705" t="n"/>
      <c r="AD9" s="11705" t="n"/>
      <c r="AE9" s="11705" t="n"/>
      <c r="AF9" s="11705" t="n"/>
      <c r="AG9" s="2013" t="n"/>
    </row>
    <row r="10" ht="13.5" customHeight="1" s="7635" thickTop="1">
      <c r="A10" s="2013" t="n"/>
      <c r="B10" s="229" t="inlineStr">
        <is>
          <t>Name(s) shown on return</t>
        </is>
      </c>
      <c r="C10" s="88" t="n"/>
      <c r="D10" s="88" t="n"/>
      <c r="E10" s="88" t="n"/>
      <c r="F10" s="88" t="n"/>
      <c r="G10" s="88" t="n"/>
      <c r="H10" s="88" t="n"/>
      <c r="I10" s="88" t="n"/>
      <c r="J10" s="88" t="n"/>
      <c r="K10" s="88" t="n"/>
      <c r="L10" s="88" t="n"/>
      <c r="M10" s="88" t="n"/>
      <c r="N10" s="88" t="n"/>
      <c r="O10" s="88" t="n"/>
      <c r="P10" s="88" t="n"/>
      <c r="Q10" s="88" t="n"/>
      <c r="R10" s="88" t="n"/>
      <c r="S10" s="88" t="n"/>
      <c r="T10" s="88" t="n"/>
      <c r="U10" s="88" t="n"/>
      <c r="V10" s="6006" t="inlineStr">
        <is>
          <t>Social security number or taxpayer identification number</t>
        </is>
      </c>
      <c r="W10" s="88" t="n"/>
      <c r="X10" s="88" t="n"/>
      <c r="Y10" s="88" t="n"/>
      <c r="Z10" s="2666" t="n"/>
      <c r="AA10" s="88" t="n"/>
      <c r="AB10" s="88" t="n"/>
      <c r="AC10" s="88" t="n"/>
      <c r="AD10" s="88" t="n"/>
      <c r="AE10" s="88" t="n"/>
      <c r="AF10" s="88" t="n"/>
      <c r="AG10" s="2013" t="n"/>
    </row>
    <row r="11" ht="16.5" customHeight="1" s="7635" thickBot="1">
      <c r="A11" s="2013" t="n"/>
      <c r="B11" s="12796">
        <f>Names</f>
        <v/>
      </c>
      <c r="C11" s="8848" t="n"/>
      <c r="D11" s="8848" t="n"/>
      <c r="E11" s="8848" t="n"/>
      <c r="F11" s="8848" t="n"/>
      <c r="G11" s="8848" t="n"/>
      <c r="H11" s="8848" t="n"/>
      <c r="I11" s="8848" t="n"/>
      <c r="J11" s="8848" t="n"/>
      <c r="K11" s="8848" t="n"/>
      <c r="L11" s="8848" t="n"/>
      <c r="M11" s="8848" t="n"/>
      <c r="N11" s="8848" t="n"/>
      <c r="O11" s="8848" t="n"/>
      <c r="P11" s="8848" t="n"/>
      <c r="Q11" s="8848" t="n"/>
      <c r="R11" s="8848" t="n"/>
      <c r="S11" s="8848" t="n"/>
      <c r="T11" s="8848" t="n"/>
      <c r="U11" s="12121" t="n"/>
      <c r="V11" s="12797">
        <f>IF(NoSSN,"",SS_Yours)</f>
        <v/>
      </c>
      <c r="W11" s="8848" t="n"/>
      <c r="X11" s="8848" t="n"/>
      <c r="Y11" s="8848" t="n"/>
      <c r="Z11" s="8848" t="n"/>
      <c r="AA11" s="8848" t="n"/>
      <c r="AB11" s="8848" t="n"/>
      <c r="AC11" s="8848" t="n"/>
      <c r="AD11" s="8848" t="n"/>
      <c r="AE11" s="8848" t="n"/>
      <c r="AF11" s="8848" t="n"/>
      <c r="AG11" s="2013" t="n"/>
    </row>
    <row r="12" ht="12.75" customHeight="1" s="7635">
      <c r="A12" s="2013" t="n"/>
      <c r="B12" s="12798" t="inlineStr">
        <is>
          <t>Before you check Box A, B, C, G, H, or I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12" s="2506" t="n"/>
      <c r="D12" s="2506" t="n"/>
      <c r="E12" s="2506" t="n"/>
      <c r="F12" s="2506" t="n"/>
      <c r="G12" s="2506" t="n"/>
      <c r="H12" s="2506" t="n"/>
      <c r="I12" s="2506" t="n"/>
      <c r="J12" s="2506" t="n"/>
      <c r="K12" s="2506" t="n"/>
      <c r="L12" s="2506" t="n"/>
      <c r="M12" s="2506" t="n"/>
      <c r="N12" s="2506" t="n"/>
      <c r="O12" s="2506" t="n"/>
      <c r="P12" s="2506" t="n"/>
      <c r="Q12" s="2506" t="n"/>
      <c r="R12" s="2506" t="n"/>
      <c r="S12" s="2506" t="n"/>
      <c r="T12" s="2506" t="n"/>
      <c r="U12" s="2506" t="n"/>
      <c r="V12" s="2506" t="n"/>
      <c r="W12" s="2506" t="n"/>
      <c r="X12" s="2506" t="n"/>
      <c r="Y12" s="2506" t="n"/>
      <c r="Z12" s="2506" t="n"/>
      <c r="AA12" s="2506" t="n"/>
      <c r="AB12" s="2506" t="n"/>
      <c r="AC12" s="2506" t="n"/>
      <c r="AD12" s="2506" t="n"/>
      <c r="AE12" s="2506" t="n"/>
      <c r="AF12" s="2506" t="n"/>
      <c r="AG12" s="2013" t="n"/>
    </row>
    <row r="13" ht="12.75" customHeight="1" s="7635">
      <c r="A13" s="2013" t="n"/>
      <c r="AG13" s="2013" t="n"/>
    </row>
    <row r="14" ht="12.75" customHeight="1" s="7635">
      <c r="A14" s="2013" t="n"/>
      <c r="B14" s="7637" t="n"/>
      <c r="C14" s="7637" t="n"/>
      <c r="D14" s="7637" t="n"/>
      <c r="E14" s="7637" t="n"/>
      <c r="F14" s="7637" t="n"/>
      <c r="G14" s="7637" t="n"/>
      <c r="H14" s="7637" t="n"/>
      <c r="I14" s="7637" t="n"/>
      <c r="J14" s="7637" t="n"/>
      <c r="K14" s="7637" t="n"/>
      <c r="L14" s="7637" t="n"/>
      <c r="M14" s="7637" t="n"/>
      <c r="N14" s="7637" t="n"/>
      <c r="O14" s="7637" t="n"/>
      <c r="P14" s="7637" t="n"/>
      <c r="Q14" s="7637" t="n"/>
      <c r="R14" s="7637" t="n"/>
      <c r="S14" s="7637" t="n"/>
      <c r="T14" s="7637" t="n"/>
      <c r="U14" s="7637" t="n"/>
      <c r="V14" s="7637" t="n"/>
      <c r="W14" s="7637" t="n"/>
      <c r="X14" s="7637" t="n"/>
      <c r="Y14" s="7637" t="n"/>
      <c r="Z14" s="7637" t="n"/>
      <c r="AA14" s="7637" t="n"/>
      <c r="AB14" s="7637" t="n"/>
      <c r="AC14" s="7637" t="n"/>
      <c r="AD14" s="7637" t="n"/>
      <c r="AE14" s="7637" t="n"/>
      <c r="AF14" s="7637" t="n"/>
      <c r="AG14" s="2013" t="n"/>
    </row>
    <row r="15" ht="3.75" customHeight="1" s="7635">
      <c r="A15" s="2013" t="n"/>
      <c r="B15" s="88" t="n"/>
      <c r="C15" s="88" t="n"/>
      <c r="D15" s="88" t="n"/>
      <c r="E15" s="88" t="n"/>
      <c r="F15" s="88" t="n"/>
      <c r="G15" s="88" t="n"/>
      <c r="H15" s="88" t="n"/>
      <c r="I15" s="88" t="n"/>
      <c r="J15" s="88" t="n"/>
      <c r="K15" s="88" t="n"/>
      <c r="L15" s="88" t="n"/>
      <c r="M15" s="88" t="n"/>
      <c r="N15" s="88" t="n"/>
      <c r="O15" s="88" t="n"/>
      <c r="P15" s="88" t="n"/>
      <c r="Q15" s="88" t="n"/>
      <c r="R15" s="88" t="n"/>
      <c r="S15" s="88" t="n"/>
      <c r="T15" s="88" t="n"/>
      <c r="U15" s="88" t="n"/>
      <c r="V15" s="88" t="n"/>
      <c r="W15" s="88" t="n"/>
      <c r="X15" s="88" t="n"/>
      <c r="Y15" s="88" t="n"/>
      <c r="Z15" s="88" t="n"/>
      <c r="AA15" s="88" t="n"/>
      <c r="AB15" s="88" t="n"/>
      <c r="AC15" s="88" t="n"/>
      <c r="AD15" s="88" t="n"/>
      <c r="AE15" s="88" t="n"/>
      <c r="AF15" s="88" t="n"/>
      <c r="AG15" s="2013" t="n"/>
    </row>
    <row r="16" ht="15" customHeight="1" s="7635">
      <c r="A16" s="2013" t="n"/>
      <c r="B16" s="11415" t="inlineStr">
        <is>
          <t>Part I</t>
        </is>
      </c>
      <c r="C16" s="7839" t="n"/>
      <c r="D16" s="88" t="n"/>
      <c r="E16" s="11417" t="inlineStr">
        <is>
          <t>Short-Term.</t>
        </is>
      </c>
      <c r="F16" s="88" t="n"/>
      <c r="G16" s="88" t="n"/>
      <c r="H16" s="88" t="n"/>
      <c r="I16" s="1836" t="inlineStr">
        <is>
          <t>Transactions involving capital assets you  held 1  year  or  less are generally short-term (see</t>
        </is>
      </c>
      <c r="J16" s="88" t="n"/>
      <c r="K16" s="88" t="n"/>
      <c r="L16" s="88" t="n"/>
      <c r="M16" s="88" t="n"/>
      <c r="N16" s="88" t="n"/>
      <c r="O16" s="88" t="n"/>
      <c r="P16" s="88" t="n"/>
      <c r="Q16" s="88" t="n"/>
      <c r="R16" s="88" t="n"/>
      <c r="S16" s="88" t="n"/>
      <c r="T16" s="1836" t="n"/>
      <c r="U16" s="88" t="n"/>
      <c r="V16" s="88" t="n"/>
      <c r="W16" s="88" t="n"/>
      <c r="X16" s="1836" t="n"/>
      <c r="Y16" s="88" t="n"/>
      <c r="Z16" s="88" t="n"/>
      <c r="AA16" s="88" t="n"/>
      <c r="AB16" s="88" t="n"/>
      <c r="AC16" s="88" t="n"/>
      <c r="AD16" s="88" t="n"/>
      <c r="AE16" s="88" t="n"/>
      <c r="AF16" s="88" t="n"/>
      <c r="AG16" s="2013">
        <f>IF(SUM(AG41:AG51)&gt;0,TRUE,FALSE)</f>
        <v/>
      </c>
    </row>
    <row r="17" ht="12.75" customHeight="1" s="7635">
      <c r="A17" s="2013" t="n"/>
      <c r="B17" s="88" t="n"/>
      <c r="C17" s="88" t="n"/>
      <c r="D17" s="88" t="n"/>
      <c r="E17" s="1836" t="inlineStr">
        <is>
          <t>instructions). For long-term transactions, see page 2.</t>
        </is>
      </c>
      <c r="F17" s="88" t="n"/>
      <c r="G17" s="88" t="n"/>
      <c r="H17" s="88" t="n"/>
      <c r="I17" s="88" t="n"/>
      <c r="J17" s="88" t="n"/>
      <c r="K17" s="88" t="n"/>
      <c r="L17" s="88" t="n"/>
      <c r="M17" s="88" t="n"/>
      <c r="N17" s="88" t="n"/>
      <c r="O17" s="88" t="n"/>
      <c r="P17" s="88" t="n"/>
      <c r="Q17" s="88" t="n"/>
      <c r="R17" s="88" t="n"/>
      <c r="S17" s="88" t="n"/>
      <c r="T17" s="1836" t="n"/>
      <c r="U17" s="88" t="n"/>
      <c r="V17" s="88" t="n"/>
      <c r="W17" s="88" t="n"/>
      <c r="X17" s="11403" t="n"/>
      <c r="Y17" s="88" t="n"/>
      <c r="Z17" s="88" t="n"/>
      <c r="AA17" s="88" t="n"/>
      <c r="AB17" s="88" t="n"/>
      <c r="AC17" s="88" t="n"/>
      <c r="AD17" s="88" t="n"/>
      <c r="AE17" s="88" t="n"/>
      <c r="AF17" s="88" t="n"/>
      <c r="AG17" s="2013" t="n"/>
    </row>
    <row r="18" ht="13.5" customFormat="1" customHeight="1" s="7779">
      <c r="A18" s="6007" t="n"/>
      <c r="B18" s="1836" t="n"/>
      <c r="C18" s="1836" t="n"/>
      <c r="D18" s="1836" t="n"/>
      <c r="E18" s="3440" t="inlineStr">
        <is>
          <t>Note. You may aggregate all short-term transactions reported on Form(s) 1099-B and Form(s) 1099-DA</t>
        </is>
      </c>
      <c r="F18" s="1836" t="n"/>
      <c r="G18" s="1836" t="n"/>
      <c r="H18" s="1836" t="n"/>
      <c r="I18" s="1836" t="n"/>
      <c r="J18" s="1836" t="n"/>
      <c r="K18" s="1836" t="n"/>
      <c r="L18" s="1836" t="n"/>
      <c r="M18" s="1836" t="n"/>
      <c r="N18" s="1836" t="n"/>
      <c r="O18" s="1836" t="n"/>
      <c r="P18" s="1836" t="n"/>
      <c r="Q18" s="1836" t="n"/>
      <c r="R18" s="1836" t="n"/>
      <c r="S18" s="1836" t="n"/>
      <c r="T18" s="1836" t="n"/>
      <c r="U18" s="1836" t="n"/>
      <c r="V18" s="1836" t="n"/>
      <c r="W18" s="1836" t="n"/>
      <c r="X18" s="1836" t="n"/>
      <c r="Y18" s="1836" t="n"/>
      <c r="Z18" s="1836" t="n"/>
      <c r="AA18" s="1836" t="n"/>
      <c r="AB18" s="1836" t="n"/>
      <c r="AC18" s="1836" t="n"/>
      <c r="AD18" s="1836" t="n"/>
      <c r="AE18" s="1836" t="n"/>
      <c r="AF18" s="1836" t="n"/>
      <c r="AG18" s="6007" t="n"/>
      <c r="AH18" s="3161" t="n"/>
      <c r="AI18" s="3161" t="n"/>
    </row>
    <row r="19" ht="13.5" customFormat="1" customHeight="1" s="7779">
      <c r="A19" s="6007" t="n"/>
      <c r="B19" s="1836" t="n"/>
      <c r="C19" s="1836" t="n"/>
      <c r="D19" s="1836" t="n"/>
      <c r="E19" s="1836" t="inlineStr">
        <is>
          <t>showing basis was reported to the IRS and for which no adjustments or codes are required. Enter the totals</t>
        </is>
      </c>
      <c r="F19" s="1836" t="n"/>
      <c r="G19" s="1836" t="n"/>
      <c r="H19" s="1836" t="n"/>
      <c r="I19" s="1836" t="n"/>
      <c r="J19" s="1836" t="n"/>
      <c r="K19" s="1836" t="n"/>
      <c r="L19" s="1836" t="n"/>
      <c r="M19" s="1836" t="n"/>
      <c r="N19" s="1836" t="n"/>
      <c r="O19" s="1836" t="n"/>
      <c r="P19" s="1836" t="n"/>
      <c r="Q19" s="1836" t="n"/>
      <c r="R19" s="1836" t="n"/>
      <c r="S19" s="1836" t="n"/>
      <c r="T19" s="1836" t="n"/>
      <c r="U19" s="1836" t="n"/>
      <c r="V19" s="1836" t="n"/>
      <c r="W19" s="1836" t="n"/>
      <c r="X19" s="1836" t="n"/>
      <c r="Y19" s="1836" t="n"/>
      <c r="Z19" s="1836" t="n"/>
      <c r="AA19" s="1836" t="n"/>
      <c r="AB19" s="1836" t="n"/>
      <c r="AC19" s="1836" t="n"/>
      <c r="AD19" s="1836" t="n"/>
      <c r="AE19" s="1836" t="n"/>
      <c r="AF19" s="1836" t="n"/>
      <c r="AG19" s="6007" t="n"/>
      <c r="AH19" s="3161" t="n"/>
      <c r="AI19" s="3161" t="n"/>
    </row>
    <row r="20" ht="13.5" customFormat="1" customHeight="1" s="7779">
      <c r="A20" s="6007" t="n"/>
      <c r="B20" s="6008" t="n"/>
      <c r="C20" s="6008" t="n"/>
      <c r="D20" s="6008" t="n"/>
      <c r="E20" s="6008" t="inlineStr">
        <is>
          <t>directly on Schedule D, line 1a; you aren’t required to report these transactions on Form 8949 (see instructions).</t>
        </is>
      </c>
      <c r="F20" s="6008" t="n"/>
      <c r="G20" s="6008" t="n"/>
      <c r="H20" s="6008" t="n"/>
      <c r="I20" s="6008" t="n"/>
      <c r="J20" s="6008" t="n"/>
      <c r="K20" s="6008" t="n"/>
      <c r="L20" s="6008" t="n"/>
      <c r="M20" s="6008" t="n"/>
      <c r="N20" s="6008" t="n"/>
      <c r="O20" s="6008" t="n"/>
      <c r="P20" s="6008" t="n"/>
      <c r="Q20" s="6008" t="n"/>
      <c r="R20" s="6008" t="n"/>
      <c r="S20" s="6008" t="n"/>
      <c r="T20" s="6008" t="n"/>
      <c r="U20" s="6008" t="n"/>
      <c r="V20" s="6008" t="n"/>
      <c r="W20" s="6008" t="n"/>
      <c r="X20" s="6008" t="n"/>
      <c r="Y20" s="6008" t="n"/>
      <c r="Z20" s="6008" t="n"/>
      <c r="AA20" s="6008" t="n"/>
      <c r="AB20" s="6008" t="n"/>
      <c r="AC20" s="6008" t="n"/>
      <c r="AD20" s="6008" t="n"/>
      <c r="AE20" s="6008" t="n"/>
      <c r="AF20" s="6008" t="n"/>
      <c r="AG20" s="6007" t="n"/>
      <c r="AH20" s="3161" t="n"/>
      <c r="AI20" s="3161" t="n"/>
    </row>
    <row r="21" ht="14.25" customHeight="1" s="7635">
      <c r="A21" s="2013" t="n"/>
      <c r="B21" s="226" t="inlineStr">
        <is>
          <t xml:space="preserve">You must check Box A, B, C, G, H, or I below. </t>
        </is>
      </c>
      <c r="C21" s="8922" t="n"/>
      <c r="D21" s="8922" t="n"/>
      <c r="E21" s="8922" t="n"/>
      <c r="F21" s="8922" t="n"/>
      <c r="G21" s="8922" t="n"/>
      <c r="H21" s="8922" t="n"/>
      <c r="I21" s="8922" t="n"/>
      <c r="J21" s="8922" t="n"/>
      <c r="K21" s="1183" t="n"/>
      <c r="L21" s="1183" t="n"/>
      <c r="M21" s="226">
        <f>IF($A$35&gt;1,"Check only ONE box.","Check only one box.")</f>
        <v/>
      </c>
      <c r="N21" s="226" t="n"/>
      <c r="O21" s="8922" t="n"/>
      <c r="P21" s="8922" t="n"/>
      <c r="Q21" s="11403" t="n"/>
      <c r="R21" s="8922" t="n"/>
      <c r="S21" s="1836" t="n"/>
      <c r="T21" s="1836" t="n"/>
      <c r="U21" s="8922" t="n"/>
      <c r="V21" s="8922" t="n"/>
      <c r="W21" s="8922" t="n"/>
      <c r="X21" s="8922" t="n"/>
      <c r="Y21" s="8922" t="n"/>
      <c r="Z21" s="8922" t="n"/>
      <c r="AA21" s="8922" t="n"/>
      <c r="AB21" s="8922" t="n"/>
      <c r="AC21" s="8922" t="n"/>
      <c r="AD21" s="8922" t="n"/>
      <c r="AE21" s="8922" t="n"/>
      <c r="AF21" s="6501" t="inlineStr">
        <is>
          <t>If more than one box applies for your short-term transactions,</t>
        </is>
      </c>
      <c r="AG21" s="2013" t="n"/>
    </row>
    <row r="22">
      <c r="A22" s="2013" t="n"/>
      <c r="B22" s="11403" t="inlineStr">
        <is>
          <t>complete a separate Form 8949, page 1, for each applicable box. If you have more short-term transactions than will fit on this page</t>
        </is>
      </c>
      <c r="C22" s="8922" t="n"/>
      <c r="D22" s="8922" t="n"/>
      <c r="E22" s="8922" t="n"/>
      <c r="F22" s="8922" t="n"/>
      <c r="G22" s="8922" t="n"/>
      <c r="H22" s="8922" t="n"/>
      <c r="I22" s="8922" t="n"/>
      <c r="J22" s="8922" t="n"/>
      <c r="K22" s="8922" t="n"/>
      <c r="L22" s="8922" t="n"/>
      <c r="M22" s="8922" t="n"/>
      <c r="N22" s="8922" t="n"/>
      <c r="O22" s="8922" t="n"/>
      <c r="P22" s="8922" t="n"/>
      <c r="Q22" s="8922" t="n"/>
      <c r="R22" s="8922" t="n"/>
      <c r="S22" s="8922" t="n"/>
      <c r="T22" s="8922" t="n"/>
      <c r="U22" s="8922" t="n"/>
      <c r="V22" s="8922" t="n"/>
      <c r="W22" s="8922" t="n"/>
      <c r="X22" s="8922" t="n"/>
      <c r="Y22" s="8922" t="n"/>
      <c r="Z22" s="8922" t="n"/>
      <c r="AA22" s="8922" t="n"/>
      <c r="AB22" s="8922" t="n"/>
      <c r="AC22" s="8922" t="n"/>
      <c r="AD22" s="8922" t="n"/>
      <c r="AE22" s="8922" t="n"/>
      <c r="AF22" s="8922" t="n"/>
      <c r="AG22" s="2013" t="n"/>
      <c r="BA22" s="12799" t="inlineStr">
        <is>
          <t>Less than One Year</t>
        </is>
      </c>
      <c r="BB22" s="8412" t="n"/>
      <c r="BC22" s="11734" t="n"/>
    </row>
    <row r="23" ht="12.75" customHeight="1" s="7635">
      <c r="A23" s="2013" t="n"/>
      <c r="B23" s="11403">
        <f>IF(SpaceUsed_8949A_ST,"ERROR: DO NOT use the space bar to uncheck a box. Use the 'Delete' key.","for one or more of the boxes, complete as many forms with the same box checked as you need.")</f>
        <v/>
      </c>
      <c r="C23" s="8922" t="n"/>
      <c r="D23" s="8922" t="n"/>
      <c r="E23" s="8922" t="n"/>
      <c r="F23" s="8922" t="n"/>
      <c r="G23" s="8922" t="n"/>
      <c r="H23" s="8922" t="n"/>
      <c r="I23" s="8922" t="n"/>
      <c r="J23" s="8922" t="n"/>
      <c r="K23" s="8922" t="n"/>
      <c r="L23" s="8922" t="n"/>
      <c r="M23" s="8922" t="n"/>
      <c r="N23" s="8922" t="n"/>
      <c r="O23" s="8922" t="n"/>
      <c r="P23" s="8922" t="n"/>
      <c r="Q23" s="8922" t="n"/>
      <c r="R23" s="8922" t="n"/>
      <c r="S23" s="8922" t="n"/>
      <c r="T23" s="8922" t="n"/>
      <c r="U23" s="8922" t="n"/>
      <c r="V23" s="8922" t="n"/>
      <c r="W23" s="8922" t="n"/>
      <c r="X23" s="8922" t="n"/>
      <c r="Y23" s="8922" t="n"/>
      <c r="Z23" s="8922" t="n"/>
      <c r="AA23" s="8922" t="n"/>
      <c r="AB23" s="8922" t="n"/>
      <c r="AC23" s="8922" t="n"/>
      <c r="AD23" s="8922" t="n"/>
      <c r="AE23" s="8922" t="n"/>
      <c r="AF23" s="8922" t="n"/>
      <c r="AG23" s="2013" t="n"/>
      <c r="AJ23" s="3809" t="n"/>
      <c r="AK23" s="3809" t="n"/>
      <c r="AL23" s="3809" t="n"/>
      <c r="AM23" s="3809" t="n"/>
      <c r="AN23" s="3809" t="n"/>
      <c r="AO23" s="3809" t="n"/>
      <c r="AP23" s="3809" t="n"/>
      <c r="AQ23" s="3809" t="n"/>
      <c r="BA23" s="11398" t="inlineStr">
        <is>
          <t>Calendar Year is SAME</t>
        </is>
      </c>
      <c r="BB23" s="11398" t="inlineStr">
        <is>
          <t>Before This Month (Last Year)</t>
        </is>
      </c>
      <c r="BC23" s="11398" t="inlineStr">
        <is>
          <t>Before This Day and Month (Last Year)</t>
        </is>
      </c>
    </row>
    <row r="24" ht="4.5" customHeight="1" s="7635" thickBot="1">
      <c r="A24" s="2013" t="n"/>
      <c r="B24" s="8922" t="n"/>
      <c r="C24" s="8922" t="n"/>
      <c r="D24" s="8922" t="n"/>
      <c r="E24" s="8922" t="n"/>
      <c r="F24" s="8922" t="n"/>
      <c r="G24" s="8922" t="n"/>
      <c r="H24" s="8922" t="n"/>
      <c r="I24" s="8922" t="n"/>
      <c r="J24" s="8922" t="n"/>
      <c r="K24" s="8922" t="n"/>
      <c r="L24" s="8922" t="n"/>
      <c r="M24" s="8922" t="n"/>
      <c r="N24" s="8922" t="n"/>
      <c r="O24" s="8922" t="n"/>
      <c r="P24" s="8922" t="n"/>
      <c r="Q24" s="8922" t="n"/>
      <c r="R24" s="8922" t="n"/>
      <c r="S24" s="8922" t="n"/>
      <c r="T24" s="8922" t="n"/>
      <c r="U24" s="8922" t="n"/>
      <c r="V24" s="8922" t="n"/>
      <c r="W24" s="8922" t="n"/>
      <c r="X24" s="8922" t="n"/>
      <c r="Y24" s="8922" t="n"/>
      <c r="Z24" s="8922" t="n"/>
      <c r="AA24" s="8922" t="n"/>
      <c r="AB24" s="8922" t="n"/>
      <c r="AC24" s="8922" t="n"/>
      <c r="AD24" s="8922" t="n"/>
      <c r="AE24" s="8922" t="n"/>
      <c r="AF24" s="8922" t="n"/>
      <c r="AG24" s="2013" t="n"/>
      <c r="BA24" s="11747" t="n"/>
      <c r="BB24" s="11747" t="n"/>
      <c r="BC24" s="11747" t="n"/>
    </row>
    <row r="25" ht="12" customHeight="1" s="7635" thickBot="1">
      <c r="A25" s="2013" t="n"/>
      <c r="B25" s="8914">
        <f>IF(C25&lt;&gt;"",1,0)</f>
        <v/>
      </c>
      <c r="C25" s="300" t="n"/>
      <c r="D25" s="3440" t="inlineStr">
        <is>
          <t xml:space="preserve"> (A) Short-term transactions reported on Form(s) 1099-B showing basis was reported to the IRS (see Note above)</t>
        </is>
      </c>
      <c r="E25" s="8922" t="n"/>
      <c r="F25" s="8922" t="n"/>
      <c r="G25" s="8922" t="n"/>
      <c r="H25" s="8922" t="n"/>
      <c r="I25" s="8922" t="n"/>
      <c r="J25" s="8922" t="n"/>
      <c r="K25" s="8922" t="n"/>
      <c r="L25" s="8922" t="n"/>
      <c r="M25" s="8922" t="n"/>
      <c r="N25" s="8922" t="n"/>
      <c r="O25" s="8922" t="n"/>
      <c r="P25" s="8922" t="n"/>
      <c r="Q25" s="8922" t="n"/>
      <c r="R25" s="8922" t="n"/>
      <c r="S25" s="8922" t="n"/>
      <c r="T25" s="8922" t="n"/>
      <c r="U25" s="8922" t="n"/>
      <c r="V25" s="8922" t="n"/>
      <c r="W25" s="8922" t="n"/>
      <c r="X25" s="8922" t="n"/>
      <c r="Y25" s="8922" t="n"/>
      <c r="Z25" s="8922" t="n"/>
      <c r="AA25" s="8922" t="n"/>
      <c r="AB25" s="8922" t="n"/>
      <c r="AC25" s="8922" t="n"/>
      <c r="AD25" s="8922" t="n"/>
      <c r="AE25" s="8922" t="n"/>
      <c r="AF25" s="8922" t="n"/>
      <c r="AG25" s="2013" t="n"/>
      <c r="AJ25" s="11392" t="n"/>
      <c r="BA25" s="11747" t="n"/>
      <c r="BB25" s="11747" t="n"/>
      <c r="BC25" s="11747" t="n"/>
    </row>
    <row r="26" ht="4.5" customHeight="1" s="7635" thickBot="1">
      <c r="A26" s="2013" t="n"/>
      <c r="B26" s="8914" t="n"/>
      <c r="C26" s="8922" t="n"/>
      <c r="D26" s="1836" t="n"/>
      <c r="E26" s="8922" t="n"/>
      <c r="F26" s="8922" t="n"/>
      <c r="G26" s="8922" t="n"/>
      <c r="H26" s="8922" t="n"/>
      <c r="I26" s="8922" t="n"/>
      <c r="J26" s="8922" t="n"/>
      <c r="K26" s="8922" t="n"/>
      <c r="L26" s="8922" t="n"/>
      <c r="M26" s="8922" t="n"/>
      <c r="N26" s="8922" t="n"/>
      <c r="O26" s="8922" t="n"/>
      <c r="P26" s="8922" t="n"/>
      <c r="Q26" s="8922" t="n"/>
      <c r="R26" s="8922" t="n"/>
      <c r="S26" s="8922" t="n"/>
      <c r="T26" s="8922" t="n"/>
      <c r="U26" s="8922" t="n"/>
      <c r="V26" s="8922" t="n"/>
      <c r="W26" s="8922" t="n"/>
      <c r="X26" s="8922" t="n"/>
      <c r="Y26" s="8922" t="n"/>
      <c r="Z26" s="8922" t="n"/>
      <c r="AA26" s="8922" t="n"/>
      <c r="AB26" s="8922" t="n"/>
      <c r="AC26" s="8922" t="n"/>
      <c r="AD26" s="8922" t="n"/>
      <c r="AE26" s="8922" t="n"/>
      <c r="AF26" s="8922" t="n"/>
      <c r="AG26" s="2013" t="n"/>
      <c r="BA26" s="11747" t="n"/>
      <c r="BB26" s="11747" t="n"/>
      <c r="BC26" s="11747" t="n"/>
    </row>
    <row r="27" ht="11.25" customHeight="1" s="7635" thickBot="1">
      <c r="A27" s="2013" t="n"/>
      <c r="B27" s="8914">
        <f>IF(C27&lt;&gt;"",1,0)</f>
        <v/>
      </c>
      <c r="C27" s="300" t="n"/>
      <c r="D27" s="3440" t="inlineStr">
        <is>
          <t xml:space="preserve"> (B) Short-term transactions reported on Form(s) 1099-B showing basis was not reported to the IRS</t>
        </is>
      </c>
      <c r="E27" s="8922" t="n"/>
      <c r="F27" s="8922" t="n"/>
      <c r="G27" s="8922" t="n"/>
      <c r="H27" s="8922" t="n"/>
      <c r="I27" s="8922" t="n"/>
      <c r="J27" s="8922" t="n"/>
      <c r="K27" s="8922" t="n"/>
      <c r="L27" s="8922" t="n"/>
      <c r="M27" s="8922" t="n"/>
      <c r="N27" s="8922" t="n"/>
      <c r="O27" s="8922" t="n"/>
      <c r="P27" s="8922" t="n"/>
      <c r="Q27" s="8922" t="n"/>
      <c r="R27" s="8922" t="n"/>
      <c r="S27" s="8922" t="n"/>
      <c r="T27" s="8922" t="n"/>
      <c r="U27" s="8922" t="n"/>
      <c r="V27" s="8922" t="n"/>
      <c r="W27" s="8922" t="n"/>
      <c r="X27" s="8922" t="n"/>
      <c r="Y27" s="8922" t="n"/>
      <c r="Z27" s="8922" t="n"/>
      <c r="AA27" s="8922" t="n"/>
      <c r="AB27" s="8922" t="n"/>
      <c r="AC27" s="8922" t="n"/>
      <c r="AD27" s="8922" t="n"/>
      <c r="AE27" s="8922" t="n"/>
      <c r="AF27" s="8922" t="n"/>
      <c r="AG27" s="2013" t="n"/>
      <c r="AJ27" s="11392" t="n"/>
      <c r="BA27" s="11747" t="n"/>
      <c r="BB27" s="11747" t="n"/>
      <c r="BC27" s="11747" t="n"/>
    </row>
    <row r="28" ht="4.5" customHeight="1" s="7635" thickBot="1">
      <c r="A28" s="2013" t="n"/>
      <c r="B28" s="8914" t="n"/>
      <c r="C28" s="8922" t="n"/>
      <c r="D28" s="1836" t="n"/>
      <c r="E28" s="8922" t="n"/>
      <c r="F28" s="8922" t="n"/>
      <c r="G28" s="8922" t="n"/>
      <c r="H28" s="8922" t="n"/>
      <c r="I28" s="8922" t="n"/>
      <c r="J28" s="8922" t="n"/>
      <c r="K28" s="8922" t="n"/>
      <c r="L28" s="8922" t="n"/>
      <c r="M28" s="8922" t="n"/>
      <c r="N28" s="8922" t="n"/>
      <c r="O28" s="8922" t="n"/>
      <c r="P28" s="8922" t="n"/>
      <c r="Q28" s="8922" t="n"/>
      <c r="R28" s="8922" t="n"/>
      <c r="S28" s="8922" t="n"/>
      <c r="T28" s="8922" t="n"/>
      <c r="U28" s="8922" t="n"/>
      <c r="V28" s="8922" t="n"/>
      <c r="W28" s="8922" t="n"/>
      <c r="X28" s="8922" t="n"/>
      <c r="Y28" s="8922" t="n"/>
      <c r="Z28" s="8922" t="n"/>
      <c r="AA28" s="8922" t="n"/>
      <c r="AB28" s="8922" t="n"/>
      <c r="AC28" s="8922" t="n"/>
      <c r="AD28" s="8922" t="n"/>
      <c r="AE28" s="8922" t="n"/>
      <c r="AF28" s="8922" t="n"/>
      <c r="AG28" s="2013" t="n"/>
      <c r="BA28" s="11747" t="n"/>
      <c r="BB28" s="11747" t="n"/>
      <c r="BC28" s="11747" t="n"/>
    </row>
    <row r="29" ht="12" customHeight="1" s="7635" thickBot="1">
      <c r="A29" s="2013">
        <f>SUM(B25:B29)</f>
        <v/>
      </c>
      <c r="B29" s="8914">
        <f>IF(C29&lt;&gt;"",1,0)</f>
        <v/>
      </c>
      <c r="C29" s="300" t="n"/>
      <c r="D29" s="3440" t="inlineStr">
        <is>
          <t xml:space="preserve"> (C) Short-term transactions, other than digital asset transactions, not reported to you on Form 1099-B or Form 1099-DA</t>
        </is>
      </c>
      <c r="E29" s="8922" t="n"/>
      <c r="F29" s="8922" t="n"/>
      <c r="G29" s="8922" t="n"/>
      <c r="H29" s="8922" t="n"/>
      <c r="I29" s="8922" t="n"/>
      <c r="J29" s="8922" t="n"/>
      <c r="K29" s="8922" t="n"/>
      <c r="L29" s="8922" t="n"/>
      <c r="M29" s="8922" t="n"/>
      <c r="N29" s="8922" t="n"/>
      <c r="O29" s="8922" t="n"/>
      <c r="P29" s="8922" t="n"/>
      <c r="Q29" s="8922" t="n"/>
      <c r="R29" s="8922" t="n"/>
      <c r="S29" s="8922" t="n"/>
      <c r="T29" s="8922" t="n"/>
      <c r="U29" s="8922" t="n"/>
      <c r="V29" s="8922" t="n"/>
      <c r="W29" s="8922" t="n"/>
      <c r="X29" s="8922" t="n"/>
      <c r="Y29" s="8922" t="n"/>
      <c r="Z29" s="8922" t="n"/>
      <c r="AA29" s="8922" t="n"/>
      <c r="AB29" s="8922" t="n"/>
      <c r="AC29" s="6009" t="n"/>
      <c r="AD29" s="6009" t="n"/>
      <c r="AE29" s="6010" t="n"/>
      <c r="AF29" s="8922" t="n"/>
      <c r="AG29" s="2013" t="n"/>
      <c r="AH29" s="9649">
        <f>OR(F8949CSBOXA=CHAR(32),F8949CSBOXB=CHAR(32),F8949CSBOXC=CHAR(32),F8949CSBOXG=CHAR(32),F8949CSBOXH=CHAR(32),F8949CSBOXI=CHAR(32))</f>
        <v/>
      </c>
      <c r="AJ29" s="11392" t="n"/>
      <c r="BA29" s="11747" t="n"/>
      <c r="BB29" s="11747" t="n"/>
      <c r="BC29" s="11747" t="n"/>
    </row>
    <row r="30" ht="4.5" customHeight="1" s="7635" thickBot="1">
      <c r="A30" s="2013" t="n"/>
      <c r="B30" s="8922" t="n"/>
      <c r="C30" s="8922" t="n"/>
      <c r="D30" s="1836" t="n"/>
      <c r="E30" s="8922" t="n"/>
      <c r="F30" s="8922" t="n"/>
      <c r="G30" s="8922" t="n"/>
      <c r="H30" s="8922" t="n"/>
      <c r="I30" s="8922" t="n"/>
      <c r="J30" s="8922" t="n"/>
      <c r="K30" s="8922" t="n"/>
      <c r="L30" s="8922" t="n"/>
      <c r="M30" s="8922" t="n"/>
      <c r="N30" s="8922" t="n"/>
      <c r="O30" s="8922" t="n"/>
      <c r="P30" s="8922" t="n"/>
      <c r="Q30" s="8922" t="n"/>
      <c r="R30" s="8922" t="n"/>
      <c r="S30" s="8922" t="n"/>
      <c r="T30" s="8922" t="n"/>
      <c r="U30" s="8922" t="n"/>
      <c r="V30" s="8922" t="n"/>
      <c r="W30" s="8922" t="n"/>
      <c r="X30" s="8922" t="n"/>
      <c r="Y30" s="8922" t="n"/>
      <c r="Z30" s="8922" t="n"/>
      <c r="AA30" s="8922" t="n"/>
      <c r="AB30" s="8922" t="n"/>
      <c r="AC30" s="8922" t="n"/>
      <c r="AD30" s="8922" t="n"/>
      <c r="AE30" s="8922" t="n"/>
      <c r="AF30" s="8922" t="n"/>
      <c r="AG30" s="2013" t="n"/>
      <c r="BA30" s="11747" t="n"/>
      <c r="BB30" s="11747" t="n"/>
      <c r="BC30" s="11747" t="n"/>
    </row>
    <row r="31" ht="12" customHeight="1" s="7635" thickBot="1">
      <c r="A31" s="2013" t="n"/>
      <c r="B31" s="8914">
        <f>IF(C31&lt;&gt;"",1,0)</f>
        <v/>
      </c>
      <c r="C31" s="300" t="n"/>
      <c r="D31" s="3440" t="inlineStr">
        <is>
          <t xml:space="preserve"> (G) Short-term transactions reported on Form(s) 1099-DA showing basis was reported to the IRS (see Note above)</t>
        </is>
      </c>
      <c r="E31" s="8922" t="n"/>
      <c r="F31" s="8922" t="n"/>
      <c r="G31" s="8922" t="n"/>
      <c r="H31" s="8922" t="n"/>
      <c r="I31" s="8922" t="n"/>
      <c r="J31" s="8922" t="n"/>
      <c r="K31" s="8922" t="n"/>
      <c r="L31" s="8922" t="n"/>
      <c r="M31" s="8922" t="n"/>
      <c r="N31" s="8922" t="n"/>
      <c r="O31" s="8922" t="n"/>
      <c r="P31" s="8922" t="n"/>
      <c r="Q31" s="8922" t="n"/>
      <c r="R31" s="8922" t="n"/>
      <c r="S31" s="8922" t="n"/>
      <c r="T31" s="8922" t="n"/>
      <c r="U31" s="8922" t="n"/>
      <c r="V31" s="8922" t="n"/>
      <c r="W31" s="8922" t="n"/>
      <c r="X31" s="8922" t="n"/>
      <c r="Y31" s="8922" t="n"/>
      <c r="Z31" s="8922" t="n"/>
      <c r="AA31" s="8922" t="n"/>
      <c r="AB31" s="8922" t="n"/>
      <c r="AC31" s="8922" t="n"/>
      <c r="AD31" s="8922" t="n"/>
      <c r="AE31" s="8922" t="n"/>
      <c r="AF31" s="8922" t="n"/>
      <c r="AG31" s="2013" t="n"/>
      <c r="AJ31" s="11392" t="n"/>
      <c r="BA31" s="11747" t="n"/>
      <c r="BB31" s="11747" t="n"/>
      <c r="BC31" s="11747" t="n"/>
    </row>
    <row r="32" ht="4.5" customHeight="1" s="7635" thickBot="1">
      <c r="A32" s="2013" t="n"/>
      <c r="B32" s="8914" t="n"/>
      <c r="C32" s="8922" t="n"/>
      <c r="D32" s="1836" t="n"/>
      <c r="E32" s="8922" t="n"/>
      <c r="F32" s="8922" t="n"/>
      <c r="G32" s="8922" t="n"/>
      <c r="H32" s="8922" t="n"/>
      <c r="I32" s="8922" t="n"/>
      <c r="J32" s="8922" t="n"/>
      <c r="K32" s="8922" t="n"/>
      <c r="L32" s="8922" t="n"/>
      <c r="M32" s="8922" t="n"/>
      <c r="N32" s="8922" t="n"/>
      <c r="O32" s="8922" t="n"/>
      <c r="P32" s="8922" t="n"/>
      <c r="Q32" s="8922" t="n"/>
      <c r="R32" s="8922" t="n"/>
      <c r="S32" s="8922" t="n"/>
      <c r="T32" s="8922" t="n"/>
      <c r="U32" s="8922" t="n"/>
      <c r="V32" s="8922" t="n"/>
      <c r="W32" s="8922" t="n"/>
      <c r="X32" s="8922" t="n"/>
      <c r="Y32" s="8922" t="n"/>
      <c r="Z32" s="8922" t="n"/>
      <c r="AA32" s="8922" t="n"/>
      <c r="AB32" s="8922" t="n"/>
      <c r="AC32" s="8922" t="n"/>
      <c r="AD32" s="8922" t="n"/>
      <c r="AE32" s="8922" t="n"/>
      <c r="AF32" s="8922" t="n"/>
      <c r="AG32" s="2013" t="n"/>
      <c r="BA32" s="11747" t="n"/>
      <c r="BB32" s="11747" t="n"/>
      <c r="BC32" s="11747" t="n"/>
    </row>
    <row r="33" ht="11.25" customHeight="1" s="7635" thickBot="1">
      <c r="A33" s="2013" t="n"/>
      <c r="B33" s="8914">
        <f>IF(C33&lt;&gt;"",1,0)</f>
        <v/>
      </c>
      <c r="C33" s="300" t="n"/>
      <c r="D33" s="3440" t="inlineStr">
        <is>
          <t xml:space="preserve"> (H) Short-term transactions reported on Form(s) 1099-DA showing basis was not reported to the IRS</t>
        </is>
      </c>
      <c r="E33" s="8922" t="n"/>
      <c r="F33" s="8922" t="n"/>
      <c r="G33" s="8922" t="n"/>
      <c r="H33" s="8922" t="n"/>
      <c r="I33" s="8922" t="n"/>
      <c r="J33" s="8922" t="n"/>
      <c r="K33" s="8922" t="n"/>
      <c r="L33" s="8922" t="n"/>
      <c r="M33" s="8922" t="n"/>
      <c r="N33" s="8922" t="n"/>
      <c r="O33" s="8922" t="n"/>
      <c r="P33" s="8922" t="n"/>
      <c r="Q33" s="8922" t="n"/>
      <c r="R33" s="8922" t="n"/>
      <c r="S33" s="8922" t="n"/>
      <c r="T33" s="8922" t="n"/>
      <c r="U33" s="8922" t="n"/>
      <c r="V33" s="8922" t="n"/>
      <c r="W33" s="8922" t="n"/>
      <c r="X33" s="8922" t="n"/>
      <c r="Y33" s="8922" t="n"/>
      <c r="Z33" s="8922" t="n"/>
      <c r="AA33" s="8922" t="n"/>
      <c r="AB33" s="8922" t="n"/>
      <c r="AC33" s="8922" t="n"/>
      <c r="AD33" s="8922" t="n"/>
      <c r="AE33" s="8922" t="n"/>
      <c r="AF33" s="8922" t="n"/>
      <c r="AG33" s="2013" t="n"/>
      <c r="AJ33" s="11392" t="n"/>
      <c r="BA33" s="11747" t="n"/>
      <c r="BB33" s="11747" t="n"/>
      <c r="BC33" s="11747" t="n"/>
    </row>
    <row r="34" ht="4.5" customHeight="1" s="7635" thickBot="1">
      <c r="A34" s="2013" t="n"/>
      <c r="B34" s="8914" t="n"/>
      <c r="C34" s="8922" t="n"/>
      <c r="D34" s="1836" t="n"/>
      <c r="E34" s="8922" t="n"/>
      <c r="F34" s="8922" t="n"/>
      <c r="G34" s="8922" t="n"/>
      <c r="H34" s="8922" t="n"/>
      <c r="I34" s="8922" t="n"/>
      <c r="J34" s="8922" t="n"/>
      <c r="K34" s="8922" t="n"/>
      <c r="L34" s="8922" t="n"/>
      <c r="M34" s="8922" t="n"/>
      <c r="N34" s="8922" t="n"/>
      <c r="O34" s="8922" t="n"/>
      <c r="P34" s="8922" t="n"/>
      <c r="Q34" s="8922" t="n"/>
      <c r="R34" s="8922" t="n"/>
      <c r="S34" s="8922" t="n"/>
      <c r="T34" s="8922" t="n"/>
      <c r="U34" s="8922" t="n"/>
      <c r="V34" s="8922" t="n"/>
      <c r="W34" s="8922" t="n"/>
      <c r="X34" s="8922" t="n"/>
      <c r="Y34" s="8922" t="n"/>
      <c r="Z34" s="8922" t="n"/>
      <c r="AA34" s="8922" t="n"/>
      <c r="AB34" s="8922" t="n"/>
      <c r="AC34" s="8922" t="n"/>
      <c r="AD34" s="8922" t="n"/>
      <c r="AE34" s="8922" t="n"/>
      <c r="AF34" s="8922" t="n"/>
      <c r="AG34" s="2013" t="n"/>
      <c r="BA34" s="11747" t="n"/>
      <c r="BB34" s="11747" t="n"/>
      <c r="BC34" s="11747" t="n"/>
    </row>
    <row r="35" ht="12" customHeight="1" s="7635" thickBot="1">
      <c r="A35" s="2013">
        <f>SUM(B25:B35)</f>
        <v/>
      </c>
      <c r="B35" s="8914">
        <f>IF(C35&lt;&gt;"",1,0)</f>
        <v/>
      </c>
      <c r="C35" s="300" t="n"/>
      <c r="D35" s="3440" t="inlineStr">
        <is>
          <t xml:space="preserve"> (I) Short-term digital asset transactions not reported to you on Form 1099-DA or Form 1099-B</t>
        </is>
      </c>
      <c r="E35" s="8922" t="n"/>
      <c r="F35" s="8922" t="n"/>
      <c r="G35" s="8922" t="n"/>
      <c r="H35" s="8922" t="n"/>
      <c r="I35" s="8922" t="n"/>
      <c r="J35" s="8922" t="n"/>
      <c r="K35" s="8922" t="n"/>
      <c r="L35" s="8922" t="n"/>
      <c r="M35" s="8922" t="n"/>
      <c r="N35" s="8922" t="n"/>
      <c r="O35" s="8922" t="n"/>
      <c r="P35" s="8922" t="n"/>
      <c r="Q35" s="8922" t="n"/>
      <c r="R35" s="3429" t="n"/>
      <c r="S35" s="794" t="n"/>
      <c r="T35" s="794" t="n"/>
      <c r="U35" s="794" t="n"/>
      <c r="V35" s="794" t="n"/>
      <c r="W35" s="794" t="n"/>
      <c r="X35" s="794" t="n"/>
      <c r="Y35" s="794" t="n"/>
      <c r="Z35" s="794" t="n"/>
      <c r="AA35" s="794" t="n"/>
      <c r="AB35" s="3429" t="n"/>
      <c r="AC35" s="794" t="n"/>
      <c r="AD35" s="794" t="n"/>
      <c r="AE35" s="794" t="n"/>
      <c r="AF35" s="6011" t="n"/>
      <c r="AG35" s="2013" t="n"/>
      <c r="AH35" s="9649" t="n"/>
      <c r="AJ35" s="11392" t="inlineStr">
        <is>
          <t>Paste data from other spreadsheets, reports, etc. here.  (Use 'Paste Special, Values')</t>
        </is>
      </c>
      <c r="BA35" s="11747" t="n"/>
      <c r="BB35" s="11747" t="n"/>
      <c r="BC35" s="11747" t="n"/>
    </row>
    <row r="36" ht="5.25" customHeight="1" s="7635">
      <c r="A36" s="2013" t="n"/>
      <c r="B36" s="6012" t="n"/>
      <c r="C36" s="6013" t="n"/>
      <c r="D36" s="6012" t="n"/>
      <c r="E36" s="6012" t="n"/>
      <c r="F36" s="6012" t="n"/>
      <c r="G36" s="6012" t="n"/>
      <c r="H36" s="6012" t="n"/>
      <c r="I36" s="6012" t="n"/>
      <c r="J36" s="6012" t="n"/>
      <c r="K36" s="6012" t="n"/>
      <c r="L36" s="6012" t="n"/>
      <c r="M36" s="6012" t="n"/>
      <c r="N36" s="6013" t="n"/>
      <c r="O36" s="6012" t="n"/>
      <c r="P36" s="6012" t="n"/>
      <c r="Q36" s="6012" t="n"/>
      <c r="R36" s="6012" t="n"/>
      <c r="S36" s="6012" t="n"/>
      <c r="T36" s="6012" t="n"/>
      <c r="U36" s="6012" t="n"/>
      <c r="V36" s="6012" t="n"/>
      <c r="W36" s="6012" t="n"/>
      <c r="X36" s="6012" t="n"/>
      <c r="Y36" s="6013" t="n"/>
      <c r="Z36" s="6012" t="n"/>
      <c r="AA36" s="6012" t="n"/>
      <c r="AB36" s="6012" t="n"/>
      <c r="AC36" s="6012" t="n"/>
      <c r="AD36" s="6012" t="n"/>
      <c r="AE36" s="6012" t="n"/>
      <c r="AF36" s="6012" t="n"/>
      <c r="AG36" s="2013" t="n"/>
      <c r="BA36" s="11747" t="n"/>
      <c r="BB36" s="11747" t="n"/>
      <c r="BC36" s="11747" t="n"/>
    </row>
    <row r="37" ht="21" customHeight="1" s="7635">
      <c r="A37" s="2013" t="n"/>
      <c r="B37" s="12800" t="n">
        <v>1</v>
      </c>
      <c r="C37" s="12801" t="inlineStr">
        <is>
          <t>(a)
Description of property
(Example: 100 sh. XYZ Co.)</t>
        </is>
      </c>
      <c r="D37" s="7839" t="n"/>
      <c r="E37" s="7839" t="n"/>
      <c r="F37" s="7839" t="n"/>
      <c r="G37" s="7839" t="n"/>
      <c r="H37" s="7839" t="n"/>
      <c r="I37" s="10091" t="n"/>
      <c r="J37" s="11779" t="inlineStr">
        <is>
          <t>(b)
Date acquired
(Mo., day, yr.)</t>
        </is>
      </c>
      <c r="K37" s="7839" t="n"/>
      <c r="L37" s="10091" t="n"/>
      <c r="M37" s="11779" t="inlineStr">
        <is>
          <t>(c)
Date sold or
disposed of
(Mo., day, yr.)</t>
        </is>
      </c>
      <c r="N37" s="7839" t="n"/>
      <c r="O37" s="7839" t="n"/>
      <c r="P37" s="10091" t="n"/>
      <c r="Q37" s="11779" t="inlineStr">
        <is>
          <t>(d)
Proceeds 
(sales price) 
(see instructions)</t>
        </is>
      </c>
      <c r="R37" s="7839" t="n"/>
      <c r="S37" s="7839" t="n"/>
      <c r="T37" s="10091" t="n"/>
      <c r="U37" s="12802" t="inlineStr">
        <is>
          <t>(e)
Cost or other basis. 
See the Note below 
and see Column (e) 
in the separate 
instructions</t>
        </is>
      </c>
      <c r="V37" s="7839" t="n"/>
      <c r="W37" s="7839" t="n"/>
      <c r="X37" s="10091" t="n"/>
      <c r="Y37" s="12803" t="inlineStr">
        <is>
          <t>Adjustment, if any, to gain or loss. 
If you enter an amount in column (g), 
enter a code in column (f). 
See the separate instructions.</t>
        </is>
      </c>
      <c r="Z37" s="7839" t="n"/>
      <c r="AA37" s="7839" t="n"/>
      <c r="AB37" s="10091" t="n"/>
      <c r="AC37" s="12804" t="inlineStr">
        <is>
          <t>(h) 
Gain or (loss). 
Subtract column (e) 
from column (d) and 
combine the result 
with column (g)</t>
        </is>
      </c>
      <c r="AD37" s="7839" t="n"/>
      <c r="AE37" s="7839" t="n"/>
      <c r="AF37" s="7839" t="n"/>
      <c r="AG37" s="2013" t="n"/>
      <c r="AJ37" s="11391" t="inlineStr">
        <is>
          <t>(a)
Description of property
(Example: 100 sh. XYZ Co.)</t>
        </is>
      </c>
      <c r="AK37" s="11391" t="inlineStr">
        <is>
          <t>(b)
Date acquired 
(Mo., day, yr.)</t>
        </is>
      </c>
      <c r="AL37" s="11391" t="inlineStr">
        <is>
          <t>(c)
Date sold or disposed
(Mo., day, yr.)</t>
        </is>
      </c>
      <c r="AM37" s="11391" t="inlineStr">
        <is>
          <t>(d)
Proceeds (sales price)
(see instructions)</t>
        </is>
      </c>
      <c r="AN37" s="11400" t="inlineStr">
        <is>
          <t>(e)
Cost or other basis.
See the Note below 
and see Column (e)
in the separate instructions</t>
        </is>
      </c>
      <c r="AO37" s="12805" t="inlineStr">
        <is>
          <t>Adjustment, if any, to gain or loss. 
If you enter an amount in column (g), 
enter a code in column (f). 
See the separate instructions.</t>
        </is>
      </c>
      <c r="AP37" s="10091" t="n"/>
      <c r="AQ37" s="11391" t="inlineStr">
        <is>
          <t>(h) 
Gain or (loss). 
Subtract column (e) 
from column (d) and 
combine the result 
with column (g)</t>
        </is>
      </c>
      <c r="BA37" s="11747" t="n"/>
      <c r="BB37" s="11747" t="n"/>
      <c r="BC37" s="11747" t="n"/>
    </row>
    <row r="38" ht="21" customHeight="1" s="7635">
      <c r="A38" s="2013" t="n"/>
      <c r="I38" s="7636" t="n"/>
      <c r="J38" s="4772" t="n"/>
      <c r="L38" s="7636" t="n"/>
      <c r="M38" s="4772" t="n"/>
      <c r="P38" s="7636" t="n"/>
      <c r="Q38" s="4772" t="n"/>
      <c r="T38" s="7636" t="n"/>
      <c r="U38" s="4772" t="n"/>
      <c r="X38" s="7636" t="n"/>
      <c r="Y38" s="3614" t="n"/>
      <c r="Z38" s="7637" t="n"/>
      <c r="AA38" s="7637" t="n"/>
      <c r="AB38" s="7638" t="n"/>
      <c r="AC38" s="4772" t="n"/>
      <c r="AG38" s="2013" t="n"/>
      <c r="AJ38" s="11747" t="n"/>
      <c r="AK38" s="11747" t="n"/>
      <c r="AL38" s="11747" t="n"/>
      <c r="AM38" s="11747" t="n"/>
      <c r="AN38" s="11747" t="n"/>
      <c r="AO38" s="3614" t="n"/>
      <c r="AP38" s="7638" t="n"/>
      <c r="AQ38" s="11747" t="n"/>
      <c r="BA38" s="11747" t="n"/>
      <c r="BB38" s="11747" t="n"/>
      <c r="BC38" s="11747" t="n"/>
    </row>
    <row r="39" ht="18" customHeight="1" s="7635">
      <c r="A39" s="2013" t="n"/>
      <c r="I39" s="7636" t="n"/>
      <c r="J39" s="4772" t="n"/>
      <c r="L39" s="7636" t="n"/>
      <c r="M39" s="4772" t="n"/>
      <c r="P39" s="7636" t="n"/>
      <c r="Q39" s="4772" t="n"/>
      <c r="T39" s="7636" t="n"/>
      <c r="U39" s="4772" t="n"/>
      <c r="X39" s="7636" t="n"/>
      <c r="Y39" s="12122" t="inlineStr">
        <is>
          <t>(f) 
Code(s) from 
instructions</t>
        </is>
      </c>
      <c r="Z39" s="10091" t="n"/>
      <c r="AA39" s="12122" t="inlineStr">
        <is>
          <t>(g) 
Amount of 
adjustment</t>
        </is>
      </c>
      <c r="AB39" s="10091" t="n"/>
      <c r="AC39" s="4772" t="n"/>
      <c r="AG39" s="2013" t="n"/>
      <c r="AJ39" s="11747" t="n"/>
      <c r="AK39" s="11747" t="n"/>
      <c r="AL39" s="11747" t="n"/>
      <c r="AM39" s="11747" t="n"/>
      <c r="AN39" s="11747" t="n"/>
      <c r="AO39" s="12122" t="inlineStr">
        <is>
          <t>(f) 
Code(s) from 
instructions</t>
        </is>
      </c>
      <c r="AP39" s="12122" t="inlineStr">
        <is>
          <t>(g) 
Amount of 
adjustment</t>
        </is>
      </c>
      <c r="AQ39" s="11747" t="n"/>
      <c r="BA39" s="11747" t="n"/>
      <c r="BB39" s="11747" t="n"/>
      <c r="BC39" s="11747" t="n"/>
    </row>
    <row r="40" ht="18" customHeight="1" s="7635">
      <c r="A40" s="2013" t="n"/>
      <c r="B40" s="7637" t="n"/>
      <c r="C40" s="7637" t="n"/>
      <c r="D40" s="7637" t="n"/>
      <c r="E40" s="7637" t="n"/>
      <c r="F40" s="7637" t="n"/>
      <c r="G40" s="7637" t="n"/>
      <c r="H40" s="7637" t="n"/>
      <c r="I40" s="7638" t="n"/>
      <c r="J40" s="3614" t="n"/>
      <c r="K40" s="7637" t="n"/>
      <c r="L40" s="7638" t="n"/>
      <c r="M40" s="3614" t="n"/>
      <c r="N40" s="7637" t="n"/>
      <c r="O40" s="7637" t="n"/>
      <c r="P40" s="7638" t="n"/>
      <c r="Q40" s="3614" t="n"/>
      <c r="R40" s="7637" t="n"/>
      <c r="S40" s="7637" t="n"/>
      <c r="T40" s="7638" t="n"/>
      <c r="U40" s="3614" t="n"/>
      <c r="V40" s="7637" t="n"/>
      <c r="W40" s="7637" t="n"/>
      <c r="X40" s="7638" t="n"/>
      <c r="Y40" s="3614" t="n"/>
      <c r="Z40" s="7638" t="n"/>
      <c r="AA40" s="3614" t="n"/>
      <c r="AB40" s="7638" t="n"/>
      <c r="AC40" s="3614" t="n"/>
      <c r="AD40" s="7637" t="n"/>
      <c r="AE40" s="7637" t="n"/>
      <c r="AF40" s="7637" t="n"/>
      <c r="AG40" s="2013" t="n"/>
      <c r="AJ40" s="11934" t="n"/>
      <c r="AK40" s="11934" t="n"/>
      <c r="AL40" s="11934" t="n"/>
      <c r="AM40" s="11934" t="n"/>
      <c r="AN40" s="11934" t="n"/>
      <c r="AO40" s="11934" t="n"/>
      <c r="AP40" s="11934" t="n"/>
      <c r="AQ40" s="11934" t="n"/>
      <c r="AZ40" s="8788" t="inlineStr">
        <is>
          <t>LTOY</t>
        </is>
      </c>
      <c r="BA40" s="11934" t="n"/>
      <c r="BB40" s="11934" t="n"/>
      <c r="BC40" s="11934" t="n"/>
    </row>
    <row r="41" ht="26.25" customHeight="1" s="7635">
      <c r="A41" s="2013">
        <f>IF(OR(Q41&lt;&gt;"",U41&lt;&gt;"",AC41&lt;&gt;""),1,0)</f>
        <v/>
      </c>
      <c r="B41" s="12806">
        <f>IF(AJ41="","",AJ41)</f>
        <v/>
      </c>
      <c r="C41" s="8007" t="n"/>
      <c r="D41" s="8007" t="n"/>
      <c r="E41" s="8007" t="n"/>
      <c r="F41" s="8007" t="n"/>
      <c r="G41" s="8007" t="n"/>
      <c r="H41" s="8007" t="n"/>
      <c r="I41" s="8008" t="n"/>
      <c r="J41" s="12807">
        <f>IF(AK41="","",AK41)</f>
        <v/>
      </c>
      <c r="K41" s="8007" t="n"/>
      <c r="L41" s="8007" t="n"/>
      <c r="M41" s="12808">
        <f>IF(AL41="","",AL41)</f>
        <v/>
      </c>
      <c r="N41" s="8007" t="n"/>
      <c r="O41" s="8007" t="n"/>
      <c r="P41" s="8008" t="n"/>
      <c r="Q41" s="12809">
        <f>IF(AM41="","",AM41)</f>
        <v/>
      </c>
      <c r="R41" s="8007" t="n"/>
      <c r="S41" s="8007" t="n"/>
      <c r="T41" s="8008" t="n"/>
      <c r="U41" s="12809">
        <f>IF(AN41="","",AN41)</f>
        <v/>
      </c>
      <c r="V41" s="8007" t="n"/>
      <c r="W41" s="8007" t="n"/>
      <c r="X41" s="8008" t="n"/>
      <c r="Y41" s="12810">
        <f>IF(AO41&lt;&gt;"",AO41,"")</f>
        <v/>
      </c>
      <c r="Z41" s="8008" t="n"/>
      <c r="AA41" s="12809">
        <f>IF(AP41="","",AP41)</f>
        <v/>
      </c>
      <c r="AB41" s="8008" t="n"/>
      <c r="AC41" s="11389">
        <f>IF(AQ41&lt;&gt;"",AQ41,IF(AND(Q41="",U41=""),"",IF(AND(Q41&lt;&gt;"",U41=""),SUM(Q41,AA41),SUM(Q41,-U41,AA41))))</f>
        <v/>
      </c>
      <c r="AD41" s="8412" t="n"/>
      <c r="AE41" s="8412" t="n"/>
      <c r="AF41" s="8412" t="n"/>
      <c r="AG41" s="4271">
        <f>IF(OR(J41="",M41=""),0,IF(OR(BA41,BB41,BC41),0,1))</f>
        <v/>
      </c>
      <c r="AH41" s="6014" t="n"/>
      <c r="AI41" s="6014">
        <f>M41-J41</f>
        <v/>
      </c>
      <c r="AJ41" s="293" t="n"/>
      <c r="AK41" s="12811" t="n"/>
      <c r="AL41" s="12811" t="n"/>
      <c r="AM41" s="295" t="n"/>
      <c r="AN41" s="295" t="n"/>
      <c r="AO41" s="296" t="n"/>
      <c r="AP41" s="295" t="n"/>
      <c r="AQ41" s="294" t="n"/>
      <c r="AS41">
        <f>YEAR(J41)</f>
        <v/>
      </c>
      <c r="AT41">
        <f>MONTH(J41)</f>
        <v/>
      </c>
      <c r="AU41">
        <f>DAY(J41)</f>
        <v/>
      </c>
      <c r="AW41">
        <f>YEAR(M41)</f>
        <v/>
      </c>
      <c r="AX41">
        <f>MONTH(M41)</f>
        <v/>
      </c>
      <c r="AY41">
        <f>DAY(M41)</f>
        <v/>
      </c>
      <c r="AZ41">
        <f>OR(BA41,BB41,BC41)</f>
        <v/>
      </c>
      <c r="BA41">
        <f>AW41=AS41</f>
        <v/>
      </c>
      <c r="BB41">
        <f>AND(AW41=AS41+1,AX41&lt;AT41)</f>
        <v/>
      </c>
      <c r="BC41">
        <f>AND(AW41=AS41+1,AX41=AT41,AY41&lt;=AU41)</f>
        <v/>
      </c>
    </row>
    <row r="42" ht="26.25" customHeight="1" s="7635">
      <c r="A42" s="2013">
        <f>IF(OR(Q42&lt;&gt;"",U42&lt;&gt;"",AC42&lt;&gt;""),1,0)</f>
        <v/>
      </c>
      <c r="B42" s="12806">
        <f>IF(AJ42="","",AJ42)</f>
        <v/>
      </c>
      <c r="C42" s="8007" t="n"/>
      <c r="D42" s="8007" t="n"/>
      <c r="E42" s="8007" t="n"/>
      <c r="F42" s="8007" t="n"/>
      <c r="G42" s="8007" t="n"/>
      <c r="H42" s="8007" t="n"/>
      <c r="I42" s="8008" t="n"/>
      <c r="J42" s="12807">
        <f>IF(AK42="","",AK42)</f>
        <v/>
      </c>
      <c r="K42" s="8007" t="n"/>
      <c r="L42" s="8007" t="n"/>
      <c r="M42" s="12808">
        <f>IF(AL42="","",AL42)</f>
        <v/>
      </c>
      <c r="N42" s="8007" t="n"/>
      <c r="O42" s="8007" t="n"/>
      <c r="P42" s="8008" t="n"/>
      <c r="Q42" s="12809">
        <f>IF(AM42="","",AM42)</f>
        <v/>
      </c>
      <c r="R42" s="8007" t="n"/>
      <c r="S42" s="8007" t="n"/>
      <c r="T42" s="8008" t="n"/>
      <c r="U42" s="12809">
        <f>IF(AN42="","",AN42)</f>
        <v/>
      </c>
      <c r="V42" s="8007" t="n"/>
      <c r="W42" s="8007" t="n"/>
      <c r="X42" s="8008" t="n"/>
      <c r="Y42" s="12810">
        <f>IF(AO42&lt;&gt;"",AO42,"")</f>
        <v/>
      </c>
      <c r="Z42" s="8008" t="n"/>
      <c r="AA42" s="12809">
        <f>IF(AP42="","",AP42)</f>
        <v/>
      </c>
      <c r="AB42" s="8008" t="n"/>
      <c r="AC42" s="11389">
        <f>IF(AQ42&lt;&gt;"",AQ42,IF(AND(Q42="",U42=""),"",IF(AND(Q42&lt;&gt;"",U42=""),SUM(Q42,AA42),SUM(Q42,-U42,AA42))))</f>
        <v/>
      </c>
      <c r="AD42" s="8412" t="n"/>
      <c r="AE42" s="8412" t="n"/>
      <c r="AF42" s="8412" t="n"/>
      <c r="AG42" s="4271">
        <f>IF(OR(J42="",M42=""),0,IF(OR(BA42,BB42,BC42),0,1))</f>
        <v/>
      </c>
      <c r="AH42" s="6014" t="n"/>
      <c r="AI42" s="6014">
        <f>M42-J42</f>
        <v/>
      </c>
      <c r="AJ42" s="293" t="n"/>
      <c r="AK42" s="12811" t="n"/>
      <c r="AL42" s="12811" t="n"/>
      <c r="AM42" s="295" t="n"/>
      <c r="AN42" s="295" t="n"/>
      <c r="AO42" s="296" t="n"/>
      <c r="AP42" s="295" t="n"/>
      <c r="AQ42" s="294" t="n"/>
      <c r="AS42">
        <f>YEAR(J42)</f>
        <v/>
      </c>
      <c r="AT42">
        <f>MONTH(J42)</f>
        <v/>
      </c>
      <c r="AU42">
        <f>DAY(J42)</f>
        <v/>
      </c>
      <c r="AW42">
        <f>YEAR(M42)</f>
        <v/>
      </c>
      <c r="AX42">
        <f>MONTH(M42)</f>
        <v/>
      </c>
      <c r="AY42">
        <f>DAY(M42)</f>
        <v/>
      </c>
      <c r="AZ42">
        <f>OR(BA42,BB42,BC42)</f>
        <v/>
      </c>
      <c r="BA42">
        <f>AW42=AS42</f>
        <v/>
      </c>
      <c r="BB42">
        <f>AND(AW42=AS42+1,AX42&lt;AT42)</f>
        <v/>
      </c>
      <c r="BC42">
        <f>AND(AW42=AS42+1,AX42=AT42,AY42&lt;=AU42)</f>
        <v/>
      </c>
    </row>
    <row r="43" ht="26.25" customHeight="1" s="7635">
      <c r="A43" s="2013">
        <f>IF(OR(Q43&lt;&gt;"",U43&lt;&gt;"",AC43&lt;&gt;""),1,0)</f>
        <v/>
      </c>
      <c r="B43" s="12806">
        <f>IF(AJ43="","",AJ43)</f>
        <v/>
      </c>
      <c r="C43" s="8007" t="n"/>
      <c r="D43" s="8007" t="n"/>
      <c r="E43" s="8007" t="n"/>
      <c r="F43" s="8007" t="n"/>
      <c r="G43" s="8007" t="n"/>
      <c r="H43" s="8007" t="n"/>
      <c r="I43" s="8008" t="n"/>
      <c r="J43" s="12807">
        <f>IF(AK43="","",AK43)</f>
        <v/>
      </c>
      <c r="K43" s="8007" t="n"/>
      <c r="L43" s="8007" t="n"/>
      <c r="M43" s="12808">
        <f>IF(AL43="","",AL43)</f>
        <v/>
      </c>
      <c r="N43" s="8007" t="n"/>
      <c r="O43" s="8007" t="n"/>
      <c r="P43" s="8008" t="n"/>
      <c r="Q43" s="12809">
        <f>IF(AM43="","",AM43)</f>
        <v/>
      </c>
      <c r="R43" s="8007" t="n"/>
      <c r="S43" s="8007" t="n"/>
      <c r="T43" s="8008" t="n"/>
      <c r="U43" s="12809">
        <f>IF(AN43="","",AN43)</f>
        <v/>
      </c>
      <c r="V43" s="8007" t="n"/>
      <c r="W43" s="8007" t="n"/>
      <c r="X43" s="8008" t="n"/>
      <c r="Y43" s="12810">
        <f>IF(AO43&lt;&gt;"",AO43,"")</f>
        <v/>
      </c>
      <c r="Z43" s="8008" t="n"/>
      <c r="AA43" s="12809">
        <f>IF(AP43="","",AP43)</f>
        <v/>
      </c>
      <c r="AB43" s="8008" t="n"/>
      <c r="AC43" s="11389">
        <f>IF(AQ43&lt;&gt;"",AQ43,IF(AND(Q43="",U43=""),"",IF(AND(Q43&lt;&gt;"",U43=""),SUM(Q43,AA43),SUM(Q43,-U43,AA43))))</f>
        <v/>
      </c>
      <c r="AD43" s="8412" t="n"/>
      <c r="AE43" s="8412" t="n"/>
      <c r="AF43" s="8412" t="n"/>
      <c r="AG43" s="4271">
        <f>IF(OR(J43="",M43=""),0,IF(OR(BA43,BB43,BC43),0,1))</f>
        <v/>
      </c>
      <c r="AH43" s="6014" t="n"/>
      <c r="AI43" s="6014">
        <f>M43-J43</f>
        <v/>
      </c>
      <c r="AJ43" s="293" t="n"/>
      <c r="AK43" s="12811" t="n"/>
      <c r="AL43" s="12811" t="n"/>
      <c r="AM43" s="295" t="n"/>
      <c r="AN43" s="295" t="n"/>
      <c r="AO43" s="296" t="n"/>
      <c r="AP43" s="295" t="n"/>
      <c r="AQ43" s="294" t="n"/>
      <c r="AS43">
        <f>YEAR(J43)</f>
        <v/>
      </c>
      <c r="AT43">
        <f>MONTH(J43)</f>
        <v/>
      </c>
      <c r="AU43">
        <f>DAY(J43)</f>
        <v/>
      </c>
      <c r="AW43">
        <f>YEAR(M43)</f>
        <v/>
      </c>
      <c r="AX43">
        <f>MONTH(M43)</f>
        <v/>
      </c>
      <c r="AY43">
        <f>DAY(M43)</f>
        <v/>
      </c>
      <c r="AZ43">
        <f>OR(BA43,BB43,BC43)</f>
        <v/>
      </c>
      <c r="BA43">
        <f>AW43=AS43</f>
        <v/>
      </c>
      <c r="BB43">
        <f>AND(AW43=AS43+1,AX43&lt;AT43)</f>
        <v/>
      </c>
      <c r="BC43">
        <f>AND(AW43=AS43+1,AX43=AT43,AY43&lt;=AU43)</f>
        <v/>
      </c>
    </row>
    <row r="44" ht="26.25" customHeight="1" s="7635">
      <c r="A44" s="2013">
        <f>IF(OR(Q44&lt;&gt;"",U44&lt;&gt;"",AC44&lt;&gt;""),1,0)</f>
        <v/>
      </c>
      <c r="B44" s="12806">
        <f>IF(AJ44="","",AJ44)</f>
        <v/>
      </c>
      <c r="C44" s="8007" t="n"/>
      <c r="D44" s="8007" t="n"/>
      <c r="E44" s="8007" t="n"/>
      <c r="F44" s="8007" t="n"/>
      <c r="G44" s="8007" t="n"/>
      <c r="H44" s="8007" t="n"/>
      <c r="I44" s="8008" t="n"/>
      <c r="J44" s="12807">
        <f>IF(AK44="","",AK44)</f>
        <v/>
      </c>
      <c r="K44" s="8007" t="n"/>
      <c r="L44" s="8007" t="n"/>
      <c r="M44" s="12808">
        <f>IF(AL44="","",AL44)</f>
        <v/>
      </c>
      <c r="N44" s="8007" t="n"/>
      <c r="O44" s="8007" t="n"/>
      <c r="P44" s="8008" t="n"/>
      <c r="Q44" s="12809">
        <f>IF(AM44="","",AM44)</f>
        <v/>
      </c>
      <c r="R44" s="8007" t="n"/>
      <c r="S44" s="8007" t="n"/>
      <c r="T44" s="8008" t="n"/>
      <c r="U44" s="12809">
        <f>IF(AN44="","",AN44)</f>
        <v/>
      </c>
      <c r="V44" s="8007" t="n"/>
      <c r="W44" s="8007" t="n"/>
      <c r="X44" s="8008" t="n"/>
      <c r="Y44" s="12810">
        <f>IF(AO44&lt;&gt;"",AO44,"")</f>
        <v/>
      </c>
      <c r="Z44" s="8008" t="n"/>
      <c r="AA44" s="12809">
        <f>IF(AP44="","",AP44)</f>
        <v/>
      </c>
      <c r="AB44" s="8008" t="n"/>
      <c r="AC44" s="11389">
        <f>IF(AQ44&lt;&gt;"",AQ44,IF(AND(Q44="",U44=""),"",IF(AND(Q44&lt;&gt;"",U44=""),SUM(Q44,AA44),SUM(Q44,-U44,AA44))))</f>
        <v/>
      </c>
      <c r="AD44" s="8412" t="n"/>
      <c r="AE44" s="8412" t="n"/>
      <c r="AF44" s="8412" t="n"/>
      <c r="AG44" s="4271">
        <f>IF(OR(J44="",M44=""),0,IF(OR(BA44,BB44,BC44),0,1))</f>
        <v/>
      </c>
      <c r="AH44" s="6014" t="n"/>
      <c r="AI44" s="6014">
        <f>M44-J44</f>
        <v/>
      </c>
      <c r="AJ44" s="293" t="n"/>
      <c r="AK44" s="12811" t="n"/>
      <c r="AL44" s="12811" t="n"/>
      <c r="AM44" s="295" t="n"/>
      <c r="AN44" s="295" t="n"/>
      <c r="AO44" s="296" t="n"/>
      <c r="AP44" s="295" t="n"/>
      <c r="AQ44" s="294" t="n"/>
      <c r="AS44">
        <f>YEAR(J44)</f>
        <v/>
      </c>
      <c r="AT44">
        <f>MONTH(J44)</f>
        <v/>
      </c>
      <c r="AU44">
        <f>DAY(J44)</f>
        <v/>
      </c>
      <c r="AW44">
        <f>YEAR(M44)</f>
        <v/>
      </c>
      <c r="AX44">
        <f>MONTH(M44)</f>
        <v/>
      </c>
      <c r="AY44">
        <f>DAY(M44)</f>
        <v/>
      </c>
      <c r="AZ44">
        <f>OR(BA44,BB44,BC44)</f>
        <v/>
      </c>
      <c r="BA44">
        <f>AW44=AS44</f>
        <v/>
      </c>
      <c r="BB44">
        <f>AND(AW44=AS44+1,AX44&lt;AT44)</f>
        <v/>
      </c>
      <c r="BC44">
        <f>AND(AW44=AS44+1,AX44=AT44,AY44&lt;=AU44)</f>
        <v/>
      </c>
    </row>
    <row r="45" ht="26.25" customHeight="1" s="7635">
      <c r="A45" s="2013">
        <f>IF(OR(Q45&lt;&gt;"",U45&lt;&gt;"",AC45&lt;&gt;""),1,0)</f>
        <v/>
      </c>
      <c r="B45" s="12806">
        <f>IF(AJ45="","",AJ45)</f>
        <v/>
      </c>
      <c r="C45" s="8007" t="n"/>
      <c r="D45" s="8007" t="n"/>
      <c r="E45" s="8007" t="n"/>
      <c r="F45" s="8007" t="n"/>
      <c r="G45" s="8007" t="n"/>
      <c r="H45" s="8007" t="n"/>
      <c r="I45" s="8008" t="n"/>
      <c r="J45" s="12807">
        <f>IF(AK45="","",AK45)</f>
        <v/>
      </c>
      <c r="K45" s="8007" t="n"/>
      <c r="L45" s="8007" t="n"/>
      <c r="M45" s="12808">
        <f>IF(AL45="","",AL45)</f>
        <v/>
      </c>
      <c r="N45" s="8007" t="n"/>
      <c r="O45" s="8007" t="n"/>
      <c r="P45" s="8008" t="n"/>
      <c r="Q45" s="12809">
        <f>IF(AM45="","",AM45)</f>
        <v/>
      </c>
      <c r="R45" s="8007" t="n"/>
      <c r="S45" s="8007" t="n"/>
      <c r="T45" s="8008" t="n"/>
      <c r="U45" s="12809">
        <f>IF(AN45="","",AN45)</f>
        <v/>
      </c>
      <c r="V45" s="8007" t="n"/>
      <c r="W45" s="8007" t="n"/>
      <c r="X45" s="8008" t="n"/>
      <c r="Y45" s="12810">
        <f>IF(AO45&lt;&gt;"",AO45,"")</f>
        <v/>
      </c>
      <c r="Z45" s="8008" t="n"/>
      <c r="AA45" s="12809">
        <f>IF(AP45="","",AP45)</f>
        <v/>
      </c>
      <c r="AB45" s="8008" t="n"/>
      <c r="AC45" s="11389">
        <f>IF(AQ45&lt;&gt;"",AQ45,IF(AND(Q45="",U45=""),"",IF(AND(Q45&lt;&gt;"",U45=""),SUM(Q45,AA45),SUM(Q45,-U45,AA45))))</f>
        <v/>
      </c>
      <c r="AD45" s="8412" t="n"/>
      <c r="AE45" s="8412" t="n"/>
      <c r="AF45" s="8412" t="n"/>
      <c r="AG45" s="4271">
        <f>IF(OR(J45="",M45=""),0,IF(OR(BA45,BB45,BC45),0,1))</f>
        <v/>
      </c>
      <c r="AH45" s="6014" t="n"/>
      <c r="AI45" s="6014">
        <f>M45-J45</f>
        <v/>
      </c>
      <c r="AJ45" s="293" t="n"/>
      <c r="AK45" s="12811" t="n"/>
      <c r="AL45" s="12811" t="n"/>
      <c r="AM45" s="295" t="n"/>
      <c r="AN45" s="295" t="n"/>
      <c r="AO45" s="296" t="n"/>
      <c r="AP45" s="295" t="n"/>
      <c r="AQ45" s="294" t="n"/>
      <c r="AS45">
        <f>YEAR(J45)</f>
        <v/>
      </c>
      <c r="AT45">
        <f>MONTH(J45)</f>
        <v/>
      </c>
      <c r="AU45">
        <f>DAY(J45)</f>
        <v/>
      </c>
      <c r="AW45">
        <f>YEAR(M45)</f>
        <v/>
      </c>
      <c r="AX45">
        <f>MONTH(M45)</f>
        <v/>
      </c>
      <c r="AY45">
        <f>DAY(M45)</f>
        <v/>
      </c>
      <c r="AZ45">
        <f>OR(BA45,BB45,BC45)</f>
        <v/>
      </c>
      <c r="BA45">
        <f>AW45=AS45</f>
        <v/>
      </c>
      <c r="BB45">
        <f>AND(AW45=AS45+1,AX45&lt;AT45)</f>
        <v/>
      </c>
      <c r="BC45">
        <f>AND(AW45=AS45+1,AX45=AT45,AY45&lt;=AU45)</f>
        <v/>
      </c>
    </row>
    <row r="46" ht="26.25" customHeight="1" s="7635">
      <c r="A46" s="2013">
        <f>IF(OR(Q46&lt;&gt;"",U46&lt;&gt;"",AC46&lt;&gt;""),1,0)</f>
        <v/>
      </c>
      <c r="B46" s="12806">
        <f>IF(AJ46="","",AJ46)</f>
        <v/>
      </c>
      <c r="C46" s="8007" t="n"/>
      <c r="D46" s="8007" t="n"/>
      <c r="E46" s="8007" t="n"/>
      <c r="F46" s="8007" t="n"/>
      <c r="G46" s="8007" t="n"/>
      <c r="H46" s="8007" t="n"/>
      <c r="I46" s="8008" t="n"/>
      <c r="J46" s="12807">
        <f>IF(AK46="","",AK46)</f>
        <v/>
      </c>
      <c r="K46" s="8007" t="n"/>
      <c r="L46" s="8007" t="n"/>
      <c r="M46" s="12808">
        <f>IF(AL46="","",AL46)</f>
        <v/>
      </c>
      <c r="N46" s="8007" t="n"/>
      <c r="O46" s="8007" t="n"/>
      <c r="P46" s="8008" t="n"/>
      <c r="Q46" s="12809">
        <f>IF(AM46="","",AM46)</f>
        <v/>
      </c>
      <c r="R46" s="8007" t="n"/>
      <c r="S46" s="8007" t="n"/>
      <c r="T46" s="8008" t="n"/>
      <c r="U46" s="12809">
        <f>IF(AN46="","",AN46)</f>
        <v/>
      </c>
      <c r="V46" s="8007" t="n"/>
      <c r="W46" s="8007" t="n"/>
      <c r="X46" s="8008" t="n"/>
      <c r="Y46" s="12810">
        <f>IF(AO46&lt;&gt;"",AO46,"")</f>
        <v/>
      </c>
      <c r="Z46" s="8008" t="n"/>
      <c r="AA46" s="12809">
        <f>IF(AP46="","",AP46)</f>
        <v/>
      </c>
      <c r="AB46" s="8008" t="n"/>
      <c r="AC46" s="11389">
        <f>IF(AQ46&lt;&gt;"",AQ46,IF(AND(Q46="",U46=""),"",IF(AND(Q46&lt;&gt;"",U46=""),SUM(Q46,AA46),SUM(Q46,-U46,AA46))))</f>
        <v/>
      </c>
      <c r="AD46" s="8412" t="n"/>
      <c r="AE46" s="8412" t="n"/>
      <c r="AF46" s="8412" t="n"/>
      <c r="AG46" s="4271">
        <f>IF(OR(J46="",M46=""),0,IF(OR(BA46,BB46,BC46),0,1))</f>
        <v/>
      </c>
      <c r="AH46" s="6014" t="n"/>
      <c r="AI46" s="6014">
        <f>M46-J46</f>
        <v/>
      </c>
      <c r="AJ46" s="293" t="n"/>
      <c r="AK46" s="12811" t="n"/>
      <c r="AL46" s="12811" t="n"/>
      <c r="AM46" s="295" t="n"/>
      <c r="AN46" s="295" t="n"/>
      <c r="AO46" s="296" t="n"/>
      <c r="AP46" s="295" t="n"/>
      <c r="AQ46" s="294" t="n"/>
      <c r="AS46">
        <f>YEAR(J46)</f>
        <v/>
      </c>
      <c r="AT46">
        <f>MONTH(J46)</f>
        <v/>
      </c>
      <c r="AU46">
        <f>DAY(J46)</f>
        <v/>
      </c>
      <c r="AW46">
        <f>YEAR(M46)</f>
        <v/>
      </c>
      <c r="AX46">
        <f>MONTH(M46)</f>
        <v/>
      </c>
      <c r="AY46">
        <f>DAY(M46)</f>
        <v/>
      </c>
      <c r="AZ46">
        <f>OR(BA46,BB46,BC46)</f>
        <v/>
      </c>
      <c r="BA46">
        <f>AW46=AS46</f>
        <v/>
      </c>
      <c r="BB46">
        <f>AND(AW46=AS46+1,AX46&lt;AT46)</f>
        <v/>
      </c>
      <c r="BC46">
        <f>AND(AW46=AS46+1,AX46=AT46,AY46&lt;=AU46)</f>
        <v/>
      </c>
    </row>
    <row r="47" ht="26.25" customHeight="1" s="7635">
      <c r="A47" s="2013">
        <f>IF(OR(Q47&lt;&gt;"",U47&lt;&gt;"",AC47&lt;&gt;""),1,0)</f>
        <v/>
      </c>
      <c r="B47" s="12806">
        <f>IF(AJ47="","",AJ47)</f>
        <v/>
      </c>
      <c r="C47" s="8007" t="n"/>
      <c r="D47" s="8007" t="n"/>
      <c r="E47" s="8007" t="n"/>
      <c r="F47" s="8007" t="n"/>
      <c r="G47" s="8007" t="n"/>
      <c r="H47" s="8007" t="n"/>
      <c r="I47" s="8008" t="n"/>
      <c r="J47" s="12807">
        <f>IF(AK47="","",AK47)</f>
        <v/>
      </c>
      <c r="K47" s="8007" t="n"/>
      <c r="L47" s="8007" t="n"/>
      <c r="M47" s="12808">
        <f>IF(AL47="","",AL47)</f>
        <v/>
      </c>
      <c r="N47" s="8007" t="n"/>
      <c r="O47" s="8007" t="n"/>
      <c r="P47" s="8008" t="n"/>
      <c r="Q47" s="12809">
        <f>IF(AM47="","",AM47)</f>
        <v/>
      </c>
      <c r="R47" s="8007" t="n"/>
      <c r="S47" s="8007" t="n"/>
      <c r="T47" s="8008" t="n"/>
      <c r="U47" s="12809">
        <f>IF(AN47="","",AN47)</f>
        <v/>
      </c>
      <c r="V47" s="8007" t="n"/>
      <c r="W47" s="8007" t="n"/>
      <c r="X47" s="8008" t="n"/>
      <c r="Y47" s="12810">
        <f>IF(AO47&lt;&gt;"",AO47,"")</f>
        <v/>
      </c>
      <c r="Z47" s="8008" t="n"/>
      <c r="AA47" s="12809">
        <f>IF(AP47="","",AP47)</f>
        <v/>
      </c>
      <c r="AB47" s="8008" t="n"/>
      <c r="AC47" s="11389">
        <f>IF(AQ47&lt;&gt;"",AQ47,IF(AND(Q47="",U47=""),"",IF(AND(Q47&lt;&gt;"",U47=""),SUM(Q47,AA47),SUM(Q47,-U47,AA47))))</f>
        <v/>
      </c>
      <c r="AD47" s="8412" t="n"/>
      <c r="AE47" s="8412" t="n"/>
      <c r="AF47" s="8412" t="n"/>
      <c r="AG47" s="4271">
        <f>IF(OR(J47="",M47=""),0,IF(OR(BA47,BB47,BC47),0,1))</f>
        <v/>
      </c>
      <c r="AH47" s="6014" t="n"/>
      <c r="AI47" s="6014">
        <f>M47-J47</f>
        <v/>
      </c>
      <c r="AJ47" s="293" t="n"/>
      <c r="AK47" s="12811" t="n"/>
      <c r="AL47" s="12811" t="n"/>
      <c r="AM47" s="295" t="n"/>
      <c r="AN47" s="295" t="n"/>
      <c r="AO47" s="296" t="n"/>
      <c r="AP47" s="295" t="n"/>
      <c r="AQ47" s="294" t="n"/>
      <c r="AS47">
        <f>YEAR(J47)</f>
        <v/>
      </c>
      <c r="AT47">
        <f>MONTH(J47)</f>
        <v/>
      </c>
      <c r="AU47">
        <f>DAY(J47)</f>
        <v/>
      </c>
      <c r="AW47">
        <f>YEAR(M47)</f>
        <v/>
      </c>
      <c r="AX47">
        <f>MONTH(M47)</f>
        <v/>
      </c>
      <c r="AY47">
        <f>DAY(M47)</f>
        <v/>
      </c>
      <c r="AZ47">
        <f>OR(BA47,BB47,BC47)</f>
        <v/>
      </c>
      <c r="BA47">
        <f>AW47=AS47</f>
        <v/>
      </c>
      <c r="BB47">
        <f>AND(AW47=AS47+1,AX47&lt;AT47)</f>
        <v/>
      </c>
      <c r="BC47">
        <f>AND(AW47=AS47+1,AX47=AT47,AY47&lt;=AU47)</f>
        <v/>
      </c>
    </row>
    <row r="48" ht="26.25" customHeight="1" s="7635">
      <c r="A48" s="2013">
        <f>IF(OR(Q48&lt;&gt;"",U48&lt;&gt;"",AC48&lt;&gt;""),1,0)</f>
        <v/>
      </c>
      <c r="B48" s="12806">
        <f>IF(AJ48="","",AJ48)</f>
        <v/>
      </c>
      <c r="C48" s="8007" t="n"/>
      <c r="D48" s="8007" t="n"/>
      <c r="E48" s="8007" t="n"/>
      <c r="F48" s="8007" t="n"/>
      <c r="G48" s="8007" t="n"/>
      <c r="H48" s="8007" t="n"/>
      <c r="I48" s="8008" t="n"/>
      <c r="J48" s="12807">
        <f>IF(AK48="","",AK48)</f>
        <v/>
      </c>
      <c r="K48" s="8007" t="n"/>
      <c r="L48" s="8007" t="n"/>
      <c r="M48" s="12808">
        <f>IF(AL48="","",AL48)</f>
        <v/>
      </c>
      <c r="N48" s="8007" t="n"/>
      <c r="O48" s="8007" t="n"/>
      <c r="P48" s="8008" t="n"/>
      <c r="Q48" s="12809">
        <f>IF(AM48="","",AM48)</f>
        <v/>
      </c>
      <c r="R48" s="8007" t="n"/>
      <c r="S48" s="8007" t="n"/>
      <c r="T48" s="8008" t="n"/>
      <c r="U48" s="12809">
        <f>IF(AN48="","",AN48)</f>
        <v/>
      </c>
      <c r="V48" s="8007" t="n"/>
      <c r="W48" s="8007" t="n"/>
      <c r="X48" s="8008" t="n"/>
      <c r="Y48" s="12810">
        <f>IF(AO48&lt;&gt;"",AO48,"")</f>
        <v/>
      </c>
      <c r="Z48" s="8008" t="n"/>
      <c r="AA48" s="12809">
        <f>IF(AP48="","",AP48)</f>
        <v/>
      </c>
      <c r="AB48" s="8008" t="n"/>
      <c r="AC48" s="11389">
        <f>IF(AQ48&lt;&gt;"",AQ48,IF(AND(Q48="",U48=""),"",IF(AND(Q48&lt;&gt;"",U48=""),SUM(Q48,AA48),SUM(Q48,-U48,AA48))))</f>
        <v/>
      </c>
      <c r="AD48" s="8412" t="n"/>
      <c r="AE48" s="8412" t="n"/>
      <c r="AF48" s="8412" t="n"/>
      <c r="AG48" s="4271">
        <f>IF(OR(J48="",M48=""),0,IF(OR(BA48,BB48,BC48),0,1))</f>
        <v/>
      </c>
      <c r="AH48" s="6014" t="n"/>
      <c r="AI48" s="6014">
        <f>M48-J48</f>
        <v/>
      </c>
      <c r="AJ48" s="293" t="n"/>
      <c r="AK48" s="12811" t="n"/>
      <c r="AL48" s="12811" t="n"/>
      <c r="AM48" s="295" t="n"/>
      <c r="AN48" s="295" t="n"/>
      <c r="AO48" s="296" t="n"/>
      <c r="AP48" s="295" t="n"/>
      <c r="AQ48" s="294" t="n"/>
      <c r="AS48">
        <f>YEAR(J48)</f>
        <v/>
      </c>
      <c r="AT48">
        <f>MONTH(J48)</f>
        <v/>
      </c>
      <c r="AU48">
        <f>DAY(J48)</f>
        <v/>
      </c>
      <c r="AW48">
        <f>YEAR(M48)</f>
        <v/>
      </c>
      <c r="AX48">
        <f>MONTH(M48)</f>
        <v/>
      </c>
      <c r="AY48">
        <f>DAY(M48)</f>
        <v/>
      </c>
      <c r="AZ48">
        <f>OR(BA48,BB48,BC48)</f>
        <v/>
      </c>
      <c r="BA48">
        <f>AW48=AS48</f>
        <v/>
      </c>
      <c r="BB48">
        <f>AND(AW48=AS48+1,AX48&lt;AT48)</f>
        <v/>
      </c>
      <c r="BC48">
        <f>AND(AW48=AS48+1,AX48=AT48,AY48&lt;=AU48)</f>
        <v/>
      </c>
    </row>
    <row r="49" ht="26.25" customHeight="1" s="7635">
      <c r="A49" s="2013">
        <f>IF(OR(Q49&lt;&gt;"",U49&lt;&gt;"",AC49&lt;&gt;""),1,0)</f>
        <v/>
      </c>
      <c r="B49" s="12806">
        <f>IF(AJ49="","",AJ49)</f>
        <v/>
      </c>
      <c r="C49" s="8007" t="n"/>
      <c r="D49" s="8007" t="n"/>
      <c r="E49" s="8007" t="n"/>
      <c r="F49" s="8007" t="n"/>
      <c r="G49" s="8007" t="n"/>
      <c r="H49" s="8007" t="n"/>
      <c r="I49" s="8008" t="n"/>
      <c r="J49" s="12807">
        <f>IF(AK49="","",AK49)</f>
        <v/>
      </c>
      <c r="K49" s="8007" t="n"/>
      <c r="L49" s="8007" t="n"/>
      <c r="M49" s="12808">
        <f>IF(AL49="","",AL49)</f>
        <v/>
      </c>
      <c r="N49" s="8007" t="n"/>
      <c r="O49" s="8007" t="n"/>
      <c r="P49" s="8008" t="n"/>
      <c r="Q49" s="12809">
        <f>IF(AM49="","",AM49)</f>
        <v/>
      </c>
      <c r="R49" s="8007" t="n"/>
      <c r="S49" s="8007" t="n"/>
      <c r="T49" s="8008" t="n"/>
      <c r="U49" s="12809">
        <f>IF(AN49="","",AN49)</f>
        <v/>
      </c>
      <c r="V49" s="8007" t="n"/>
      <c r="W49" s="8007" t="n"/>
      <c r="X49" s="8008" t="n"/>
      <c r="Y49" s="12810">
        <f>IF(AO49&lt;&gt;"",AO49,"")</f>
        <v/>
      </c>
      <c r="Z49" s="8008" t="n"/>
      <c r="AA49" s="12809">
        <f>IF(AP49="","",AP49)</f>
        <v/>
      </c>
      <c r="AB49" s="8008" t="n"/>
      <c r="AC49" s="11389">
        <f>IF(AQ49&lt;&gt;"",AQ49,IF(AND(Q49="",U49=""),"",IF(AND(Q49&lt;&gt;"",U49=""),SUM(Q49,AA49),SUM(Q49,-U49,AA49))))</f>
        <v/>
      </c>
      <c r="AD49" s="8412" t="n"/>
      <c r="AE49" s="8412" t="n"/>
      <c r="AF49" s="8412" t="n"/>
      <c r="AG49" s="4271">
        <f>IF(OR(J49="",M49=""),0,IF(OR(BA49,BB49,BC49),0,1))</f>
        <v/>
      </c>
      <c r="AH49" s="6014" t="n"/>
      <c r="AI49" s="6014">
        <f>M49-J49</f>
        <v/>
      </c>
      <c r="AJ49" s="293" t="n"/>
      <c r="AK49" s="12811" t="n"/>
      <c r="AL49" s="12811" t="n"/>
      <c r="AM49" s="295" t="n"/>
      <c r="AN49" s="295" t="n"/>
      <c r="AO49" s="296" t="n"/>
      <c r="AP49" s="295" t="n"/>
      <c r="AQ49" s="294" t="n"/>
      <c r="AS49">
        <f>YEAR(J49)</f>
        <v/>
      </c>
      <c r="AT49">
        <f>MONTH(J49)</f>
        <v/>
      </c>
      <c r="AU49">
        <f>DAY(J49)</f>
        <v/>
      </c>
      <c r="AW49">
        <f>YEAR(M49)</f>
        <v/>
      </c>
      <c r="AX49">
        <f>MONTH(M49)</f>
        <v/>
      </c>
      <c r="AY49">
        <f>DAY(M49)</f>
        <v/>
      </c>
      <c r="AZ49">
        <f>OR(BA49,BB49,BC49)</f>
        <v/>
      </c>
      <c r="BA49">
        <f>AW49=AS49</f>
        <v/>
      </c>
      <c r="BB49">
        <f>AND(AW49=AS49+1,AX49&lt;AT49)</f>
        <v/>
      </c>
      <c r="BC49">
        <f>AND(AW49=AS49+1,AX49=AT49,AY49&lt;=AU49)</f>
        <v/>
      </c>
    </row>
    <row r="50" ht="26.25" customHeight="1" s="7635">
      <c r="A50" s="2013">
        <f>IF(OR(Q50&lt;&gt;"",U50&lt;&gt;"",AC50&lt;&gt;""),1,0)</f>
        <v/>
      </c>
      <c r="B50" s="12806">
        <f>IF(AJ50="","",AJ50)</f>
        <v/>
      </c>
      <c r="C50" s="8007" t="n"/>
      <c r="D50" s="8007" t="n"/>
      <c r="E50" s="8007" t="n"/>
      <c r="F50" s="8007" t="n"/>
      <c r="G50" s="8007" t="n"/>
      <c r="H50" s="8007" t="n"/>
      <c r="I50" s="8008" t="n"/>
      <c r="J50" s="12807">
        <f>IF(AK50="","",AK50)</f>
        <v/>
      </c>
      <c r="K50" s="8007" t="n"/>
      <c r="L50" s="8007" t="n"/>
      <c r="M50" s="12808">
        <f>IF(AL50="","",AL50)</f>
        <v/>
      </c>
      <c r="N50" s="8007" t="n"/>
      <c r="O50" s="8007" t="n"/>
      <c r="P50" s="8008" t="n"/>
      <c r="Q50" s="12809">
        <f>IF(AM50="","",AM50)</f>
        <v/>
      </c>
      <c r="R50" s="8007" t="n"/>
      <c r="S50" s="8007" t="n"/>
      <c r="T50" s="8008" t="n"/>
      <c r="U50" s="12809">
        <f>IF(AN50="","",AN50)</f>
        <v/>
      </c>
      <c r="V50" s="8007" t="n"/>
      <c r="W50" s="8007" t="n"/>
      <c r="X50" s="8008" t="n"/>
      <c r="Y50" s="12810">
        <f>IF(AO50&lt;&gt;"",AO50,"")</f>
        <v/>
      </c>
      <c r="Z50" s="8008" t="n"/>
      <c r="AA50" s="12809">
        <f>IF(AP50="","",AP50)</f>
        <v/>
      </c>
      <c r="AB50" s="8008" t="n"/>
      <c r="AC50" s="11389">
        <f>IF(AQ50&lt;&gt;"",AQ50,IF(AND(Q50="",U50=""),"",IF(AND(Q50&lt;&gt;"",U50=""),SUM(Q50,AA50),SUM(Q50,-U50,AA50))))</f>
        <v/>
      </c>
      <c r="AD50" s="8412" t="n"/>
      <c r="AE50" s="8412" t="n"/>
      <c r="AF50" s="8412" t="n"/>
      <c r="AG50" s="4271">
        <f>IF(OR(J50="",M50=""),0,IF(OR(BA50,BB50,BC50),0,1))</f>
        <v/>
      </c>
      <c r="AH50" s="6014" t="n"/>
      <c r="AI50" s="6014">
        <f>M50-J50</f>
        <v/>
      </c>
      <c r="AJ50" s="293" t="n"/>
      <c r="AK50" s="12811" t="n"/>
      <c r="AL50" s="12811" t="n"/>
      <c r="AM50" s="295" t="n"/>
      <c r="AN50" s="295" t="n"/>
      <c r="AO50" s="296" t="n"/>
      <c r="AP50" s="295" t="n"/>
      <c r="AQ50" s="294" t="n"/>
      <c r="AS50">
        <f>YEAR(J50)</f>
        <v/>
      </c>
      <c r="AT50">
        <f>MONTH(J50)</f>
        <v/>
      </c>
      <c r="AU50">
        <f>DAY(J50)</f>
        <v/>
      </c>
      <c r="AW50">
        <f>YEAR(M50)</f>
        <v/>
      </c>
      <c r="AX50">
        <f>MONTH(M50)</f>
        <v/>
      </c>
      <c r="AY50">
        <f>DAY(M50)</f>
        <v/>
      </c>
      <c r="AZ50">
        <f>OR(BA50,BB50,BC50)</f>
        <v/>
      </c>
      <c r="BA50">
        <f>AW50=AS50</f>
        <v/>
      </c>
      <c r="BB50">
        <f>AND(AW50=AS50+1,AX50&lt;AT50)</f>
        <v/>
      </c>
      <c r="BC50">
        <f>AND(AW50=AS50+1,AX50=AT50,AY50&lt;=AU50)</f>
        <v/>
      </c>
    </row>
    <row r="51" ht="26.25" customHeight="1" s="7635">
      <c r="A51" s="2013">
        <f>IF(OR(Q51&lt;&gt;"",U51&lt;&gt;"",AC51&lt;&gt;""),1,0)</f>
        <v/>
      </c>
      <c r="B51" s="12806">
        <f>IF(AJ51="","",AJ51)</f>
        <v/>
      </c>
      <c r="C51" s="8007" t="n"/>
      <c r="D51" s="8007" t="n"/>
      <c r="E51" s="8007" t="n"/>
      <c r="F51" s="8007" t="n"/>
      <c r="G51" s="8007" t="n"/>
      <c r="H51" s="8007" t="n"/>
      <c r="I51" s="8008" t="n"/>
      <c r="J51" s="12807">
        <f>IF(AK51="","",AK51)</f>
        <v/>
      </c>
      <c r="K51" s="8007" t="n"/>
      <c r="L51" s="8007" t="n"/>
      <c r="M51" s="12808">
        <f>IF(AL51="","",AL51)</f>
        <v/>
      </c>
      <c r="N51" s="8007" t="n"/>
      <c r="O51" s="8007" t="n"/>
      <c r="P51" s="8008" t="n"/>
      <c r="Q51" s="12809">
        <f>IF(AM51="","",AM51)</f>
        <v/>
      </c>
      <c r="R51" s="8007" t="n"/>
      <c r="S51" s="8007" t="n"/>
      <c r="T51" s="8008" t="n"/>
      <c r="U51" s="12809">
        <f>IF(AN51="","",AN51)</f>
        <v/>
      </c>
      <c r="V51" s="8007" t="n"/>
      <c r="W51" s="8007" t="n"/>
      <c r="X51" s="8008" t="n"/>
      <c r="Y51" s="12810">
        <f>IF(AO51&lt;&gt;"",AO51,"")</f>
        <v/>
      </c>
      <c r="Z51" s="8008" t="n"/>
      <c r="AA51" s="12809">
        <f>IF(AP51="","",AP51)</f>
        <v/>
      </c>
      <c r="AB51" s="8008" t="n"/>
      <c r="AC51" s="11389">
        <f>IF(AQ51&lt;&gt;"",AQ51,IF(AND(Q51="",U51=""),"",IF(AND(Q51&lt;&gt;"",U51=""),SUM(Q51,AA51),SUM(Q51,-U51,AA51))))</f>
        <v/>
      </c>
      <c r="AD51" s="8412" t="n"/>
      <c r="AE51" s="8412" t="n"/>
      <c r="AF51" s="8412" t="n"/>
      <c r="AG51" s="4271">
        <f>IF(OR(J51="",M51=""),0,IF(OR(BA51,BB51,BC51),0,1))</f>
        <v/>
      </c>
      <c r="AH51" s="6014" t="n"/>
      <c r="AI51" s="6014">
        <f>M51-J51</f>
        <v/>
      </c>
      <c r="AJ51" s="293" t="n"/>
      <c r="AK51" s="12811" t="n"/>
      <c r="AL51" s="12811" t="n"/>
      <c r="AM51" s="295" t="n"/>
      <c r="AN51" s="295" t="n"/>
      <c r="AO51" s="296" t="n"/>
      <c r="AP51" s="295" t="n"/>
      <c r="AQ51" s="294" t="n"/>
      <c r="AS51">
        <f>YEAR(J51)</f>
        <v/>
      </c>
      <c r="AT51">
        <f>MONTH(J51)</f>
        <v/>
      </c>
      <c r="AU51">
        <f>DAY(J51)</f>
        <v/>
      </c>
      <c r="AW51">
        <f>YEAR(M51)</f>
        <v/>
      </c>
      <c r="AX51">
        <f>MONTH(M51)</f>
        <v/>
      </c>
      <c r="AY51">
        <f>DAY(M51)</f>
        <v/>
      </c>
      <c r="AZ51">
        <f>OR(BA51,BB51,BC51)</f>
        <v/>
      </c>
      <c r="BA51">
        <f>AW51=AS51</f>
        <v/>
      </c>
      <c r="BB51">
        <f>AND(AW51=AS51+1,AX51&lt;AT51)</f>
        <v/>
      </c>
      <c r="BC51">
        <f>AND(AW51=AS51+1,AX51=AT51,AY51&lt;=AU51)</f>
        <v/>
      </c>
    </row>
    <row r="52" ht="12" customHeight="1" s="7635">
      <c r="A52" s="2013">
        <f>SUM(A41:A51)</f>
        <v/>
      </c>
      <c r="B52" s="11482" t="n">
        <v>2</v>
      </c>
      <c r="C52" s="11484" t="inlineStr">
        <is>
          <t>Totals. Add the amounts in columns (d), (e), (g), and (h)
(subtract negative amounts). Enter each total here and
include on your Schedule D, line 1b (if Box A or Box G
above is checked), line 2 (if Box B or Box H above is
checked), or line 3 (if Box C or Box I above is checked)</t>
        </is>
      </c>
      <c r="D52" s="7839" t="n"/>
      <c r="E52" s="7839" t="n"/>
      <c r="F52" s="7839" t="n"/>
      <c r="G52" s="7839" t="n"/>
      <c r="H52" s="7839" t="n"/>
      <c r="I52" s="7839" t="n"/>
      <c r="J52" s="7839" t="n"/>
      <c r="K52" s="7839" t="n"/>
      <c r="L52" s="7839" t="n"/>
      <c r="M52" s="7839" t="n"/>
      <c r="N52" s="7839" t="n"/>
      <c r="O52" s="7839" t="n"/>
      <c r="P52" s="7839" t="n"/>
      <c r="Q52" s="12812">
        <f>IF(A52=0,"",ROUND(SUM(Q41:Q51),0))</f>
        <v/>
      </c>
      <c r="R52" s="7839" t="n"/>
      <c r="S52" s="7839" t="n"/>
      <c r="T52" s="10091" t="n"/>
      <c r="U52" s="12812">
        <f>IF(A52=0,"",ROUND(SUM(U41:U51),0))</f>
        <v/>
      </c>
      <c r="V52" s="7839" t="n"/>
      <c r="W52" s="7839" t="n"/>
      <c r="X52" s="10091" t="n"/>
      <c r="Y52" s="12813" t="n"/>
      <c r="Z52" s="10091" t="n"/>
      <c r="AA52" s="12812">
        <f>IF(A52=0,"",ROUND(SUM(AA41:AA51),0))</f>
        <v/>
      </c>
      <c r="AB52" s="10091" t="n"/>
      <c r="AC52" s="11459">
        <f>IF(A52=0,"",ROUND(SUM(AC41:AC51),0))</f>
        <v/>
      </c>
      <c r="AD52" s="7839" t="n"/>
      <c r="AE52" s="7839" t="n"/>
      <c r="AF52" s="7839" t="n"/>
      <c r="AG52" s="2013" t="n"/>
    </row>
    <row r="53" ht="12" customHeight="1" s="7635">
      <c r="A53" s="2013" t="n"/>
      <c r="Q53" s="4772" t="n"/>
      <c r="T53" s="7636" t="n"/>
      <c r="U53" s="4772" t="n"/>
      <c r="X53" s="7636" t="n"/>
      <c r="Y53" s="4772" t="n"/>
      <c r="Z53" s="7636" t="n"/>
      <c r="AA53" s="4772" t="n"/>
      <c r="AB53" s="7636" t="n"/>
      <c r="AC53" s="4772" t="n"/>
      <c r="AG53" s="2013" t="n"/>
    </row>
    <row r="54" ht="12" customHeight="1" s="7635">
      <c r="A54" s="2013" t="n"/>
      <c r="Q54" s="4772" t="n"/>
      <c r="T54" s="7636" t="n"/>
      <c r="U54" s="4772" t="n"/>
      <c r="X54" s="7636" t="n"/>
      <c r="Y54" s="4772" t="n"/>
      <c r="Z54" s="7636" t="n"/>
      <c r="AA54" s="4772" t="n"/>
      <c r="AB54" s="7636" t="n"/>
      <c r="AC54" s="4772" t="n"/>
      <c r="AG54" s="2013" t="n"/>
    </row>
    <row r="55" ht="12" customHeight="1" s="7635">
      <c r="A55" s="2013" t="n"/>
      <c r="Q55" s="4772" t="n"/>
      <c r="T55" s="7636" t="n"/>
      <c r="U55" s="4772" t="n"/>
      <c r="X55" s="7636" t="n"/>
      <c r="Y55" s="4772" t="n"/>
      <c r="Z55" s="7636" t="n"/>
      <c r="AA55" s="4772" t="n"/>
      <c r="AB55" s="7636" t="n"/>
      <c r="AC55" s="4772" t="n"/>
      <c r="AG55" s="2013" t="n"/>
    </row>
    <row r="56" ht="12" customHeight="1" s="7635">
      <c r="A56" s="2013" t="n"/>
      <c r="Q56" s="3614" t="n"/>
      <c r="R56" s="7637" t="n"/>
      <c r="S56" s="7637" t="n"/>
      <c r="T56" s="7638" t="n"/>
      <c r="U56" s="3614" t="n"/>
      <c r="V56" s="7637" t="n"/>
      <c r="W56" s="7637" t="n"/>
      <c r="X56" s="7638" t="n"/>
      <c r="Y56" s="3614" t="n"/>
      <c r="Z56" s="7638" t="n"/>
      <c r="AA56" s="3614" t="n"/>
      <c r="AB56" s="7638" t="n"/>
      <c r="AC56" s="4772" t="n"/>
      <c r="AG56" s="2013" t="n"/>
    </row>
    <row r="57" ht="25.5" customHeight="1" s="7635" thickBot="1">
      <c r="A57" s="2013" t="n"/>
      <c r="B57" s="11479" t="inlineStr">
        <is>
          <t>Note: If you checked Box A or Box G above but the basis reported to the IRS was incorrect, enter in column (e) the basis as reported to the IRS, and
enter an adjustment in column (g) to correct the basis. See Column (g) in the separate instructions for how to figure the amount of the adjustment.</t>
        </is>
      </c>
      <c r="C57" s="11822" t="n"/>
      <c r="D57" s="11822" t="n"/>
      <c r="E57" s="11822" t="n"/>
      <c r="F57" s="11822" t="n"/>
      <c r="G57" s="11822" t="n"/>
      <c r="H57" s="11822" t="n"/>
      <c r="I57" s="11822" t="n"/>
      <c r="J57" s="11822" t="n"/>
      <c r="K57" s="11822" t="n"/>
      <c r="L57" s="11822" t="n"/>
      <c r="M57" s="11822" t="n"/>
      <c r="N57" s="11822" t="n"/>
      <c r="O57" s="11822" t="n"/>
      <c r="P57" s="11822" t="n"/>
      <c r="Q57" s="11822" t="n"/>
      <c r="R57" s="11822" t="n"/>
      <c r="S57" s="11822" t="n"/>
      <c r="T57" s="11822" t="n"/>
      <c r="U57" s="11822" t="n"/>
      <c r="V57" s="11822" t="n"/>
      <c r="W57" s="11822" t="n"/>
      <c r="X57" s="11822" t="n"/>
      <c r="Y57" s="11822" t="n"/>
      <c r="Z57" s="11822" t="n"/>
      <c r="AA57" s="11822" t="n"/>
      <c r="AB57" s="11822" t="n"/>
      <c r="AC57" s="11822" t="n"/>
      <c r="AD57" s="11822" t="n"/>
      <c r="AE57" s="11822" t="n"/>
      <c r="AF57" s="11822" t="n"/>
      <c r="AG57" s="2013" t="n"/>
      <c r="AJ57" s="8648" t="n"/>
    </row>
    <row r="58" ht="16.5" customHeight="1" s="7635" thickTop="1">
      <c r="A58" s="2013" t="n"/>
      <c r="B58" s="6015" t="inlineStr">
        <is>
          <t>For Paperwork Reduction Act Notice, see your tax return instructions.</t>
        </is>
      </c>
      <c r="C58" s="88" t="n"/>
      <c r="D58" s="88" t="n"/>
      <c r="E58" s="88" t="n"/>
      <c r="F58" s="88" t="n"/>
      <c r="G58" s="88" t="n"/>
      <c r="H58" s="88" t="n"/>
      <c r="I58" s="88" t="n"/>
      <c r="J58" s="88" t="n"/>
      <c r="K58" s="88" t="n"/>
      <c r="L58" s="88" t="n"/>
      <c r="M58" s="88" t="n"/>
      <c r="N58" s="88" t="n"/>
      <c r="O58" s="88" t="n"/>
      <c r="P58" s="88" t="n"/>
      <c r="Q58" s="88" t="n"/>
      <c r="R58" s="88" t="n"/>
      <c r="S58" s="88" t="n"/>
      <c r="T58" s="88" t="n"/>
      <c r="U58" s="3931" t="inlineStr">
        <is>
          <t>Cat. No. 37768Z</t>
        </is>
      </c>
      <c r="V58" s="88" t="n"/>
      <c r="W58" s="88" t="n"/>
      <c r="X58" s="88" t="n"/>
      <c r="Y58" s="88" t="n"/>
      <c r="Z58" s="88" t="n"/>
      <c r="AA58" s="2052" t="inlineStr">
        <is>
          <t>Form 8949</t>
        </is>
      </c>
      <c r="AB58" s="6016">
        <f>"("&amp;TaxYear&amp;")"</f>
        <v/>
      </c>
      <c r="AC58" s="88" t="n"/>
      <c r="AD58" s="2052" t="n"/>
      <c r="AE58" s="88" t="n"/>
      <c r="AF58" s="6016" t="inlineStr">
        <is>
          <t>Created 5/5/25</t>
        </is>
      </c>
      <c r="AG58" s="2013" t="n"/>
    </row>
    <row r="59" ht="15.75" customHeight="1" s="7635">
      <c r="A59" s="2013" t="n"/>
      <c r="B59" s="1931">
        <f>"Form 8949 ("&amp;TaxYear&amp;")"</f>
        <v/>
      </c>
      <c r="C59" s="2432" t="n"/>
      <c r="D59" s="2432" t="n"/>
      <c r="E59" s="2432" t="n"/>
      <c r="F59" s="2432" t="n"/>
      <c r="G59" s="2432" t="n"/>
      <c r="H59" s="2432" t="n"/>
      <c r="I59" s="2432" t="n"/>
      <c r="J59" s="2432" t="n"/>
      <c r="K59" s="2432" t="n"/>
      <c r="L59" s="2432" t="n"/>
      <c r="M59" s="2432" t="n"/>
      <c r="N59" s="2432" t="n"/>
      <c r="O59" s="2432" t="n"/>
      <c r="P59" s="2432" t="n"/>
      <c r="Q59" s="2432" t="n"/>
      <c r="R59" s="2432" t="n"/>
      <c r="S59" s="2432" t="n"/>
      <c r="T59" s="2432" t="n"/>
      <c r="U59" s="2432" t="n"/>
      <c r="V59" s="1931" t="inlineStr">
        <is>
          <t>Attachment Sequence No. 12A</t>
        </is>
      </c>
      <c r="W59" s="2432" t="n"/>
      <c r="X59" s="2432" t="n"/>
      <c r="Y59" s="2432" t="n"/>
      <c r="Z59" s="2432" t="n"/>
      <c r="AA59" s="2432" t="n"/>
      <c r="AB59" s="2432" t="n"/>
      <c r="AC59" s="2432" t="n"/>
      <c r="AD59" s="2432" t="n"/>
      <c r="AE59" s="2432" t="n"/>
      <c r="AF59" s="5730" t="inlineStr">
        <is>
          <t>Page 2</t>
        </is>
      </c>
      <c r="AG59" s="2013" t="n"/>
    </row>
    <row r="60">
      <c r="A60" s="2013" t="n"/>
      <c r="B60" s="229" t="inlineStr">
        <is>
          <t>Name(s) shown on return. Name and SSN or taxpayer identification no. not required if shown on other side</t>
        </is>
      </c>
      <c r="C60" s="88" t="n"/>
      <c r="D60" s="88" t="n"/>
      <c r="E60" s="88" t="n"/>
      <c r="F60" s="88" t="n"/>
      <c r="G60" s="88" t="n"/>
      <c r="H60" s="88" t="n"/>
      <c r="I60" s="88" t="n"/>
      <c r="J60" s="88" t="n"/>
      <c r="K60" s="88" t="n"/>
      <c r="L60" s="88" t="n"/>
      <c r="M60" s="88" t="n"/>
      <c r="N60" s="88" t="n"/>
      <c r="O60" s="88" t="n"/>
      <c r="P60" s="88" t="n"/>
      <c r="Q60" s="88" t="n"/>
      <c r="R60" s="88" t="n"/>
      <c r="S60" s="88" t="n"/>
      <c r="T60" s="88" t="n"/>
      <c r="U60" s="88" t="n"/>
      <c r="V60" s="6006" t="inlineStr">
        <is>
          <t>Social security number or taxpayer identification number</t>
        </is>
      </c>
      <c r="W60" s="88" t="n"/>
      <c r="X60" s="88" t="n"/>
      <c r="Y60" s="88" t="n"/>
      <c r="Z60" s="2666" t="n"/>
      <c r="AA60" s="88" t="n"/>
      <c r="AB60" s="88" t="n"/>
      <c r="AC60" s="88" t="n"/>
      <c r="AD60" s="88" t="n"/>
      <c r="AE60" s="88" t="n"/>
      <c r="AF60" s="88" t="n"/>
      <c r="AG60" s="2013" t="n"/>
    </row>
    <row r="61" ht="16.5" customHeight="1" s="7635" thickBot="1">
      <c r="A61" s="2013" t="n"/>
      <c r="B61" s="12796">
        <f>Names</f>
        <v/>
      </c>
      <c r="C61" s="8848" t="n"/>
      <c r="D61" s="8848" t="n"/>
      <c r="E61" s="8848" t="n"/>
      <c r="F61" s="8848" t="n"/>
      <c r="G61" s="8848" t="n"/>
      <c r="H61" s="8848" t="n"/>
      <c r="I61" s="8848" t="n"/>
      <c r="J61" s="8848" t="n"/>
      <c r="K61" s="8848" t="n"/>
      <c r="L61" s="8848" t="n"/>
      <c r="M61" s="8848" t="n"/>
      <c r="N61" s="8848" t="n"/>
      <c r="O61" s="8848" t="n"/>
      <c r="P61" s="8848" t="n"/>
      <c r="Q61" s="8848" t="n"/>
      <c r="R61" s="8848" t="n"/>
      <c r="S61" s="8848" t="n"/>
      <c r="T61" s="8848" t="n"/>
      <c r="U61" s="12121" t="n"/>
      <c r="V61" s="12797">
        <f>IF(NoSSN,"",SS_Yours)</f>
        <v/>
      </c>
      <c r="W61" s="8848" t="n"/>
      <c r="X61" s="8848" t="n"/>
      <c r="Y61" s="8848" t="n"/>
      <c r="Z61" s="8848" t="n"/>
      <c r="AA61" s="8848" t="n"/>
      <c r="AB61" s="8848" t="n"/>
      <c r="AC61" s="8848" t="n"/>
      <c r="AD61" s="8848" t="n"/>
      <c r="AE61" s="8848" t="n"/>
      <c r="AF61" s="8848" t="n"/>
      <c r="AG61" s="2013" t="n"/>
    </row>
    <row r="62" ht="12.75" customHeight="1" s="7635">
      <c r="A62" s="2013" t="n"/>
      <c r="B62" s="12798" t="inlineStr">
        <is>
          <t>Before you check Box D, E, F, J, K, or L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62" s="2506" t="n"/>
      <c r="D62" s="2506" t="n"/>
      <c r="E62" s="2506" t="n"/>
      <c r="F62" s="2506" t="n"/>
      <c r="G62" s="2506" t="n"/>
      <c r="H62" s="2506" t="n"/>
      <c r="I62" s="2506" t="n"/>
      <c r="J62" s="2506" t="n"/>
      <c r="K62" s="2506" t="n"/>
      <c r="L62" s="2506" t="n"/>
      <c r="M62" s="2506" t="n"/>
      <c r="N62" s="2506" t="n"/>
      <c r="O62" s="2506" t="n"/>
      <c r="P62" s="2506" t="n"/>
      <c r="Q62" s="2506" t="n"/>
      <c r="R62" s="2506" t="n"/>
      <c r="S62" s="2506" t="n"/>
      <c r="T62" s="2506" t="n"/>
      <c r="U62" s="2506" t="n"/>
      <c r="V62" s="2506" t="n"/>
      <c r="W62" s="2506" t="n"/>
      <c r="X62" s="2506" t="n"/>
      <c r="Y62" s="2506" t="n"/>
      <c r="Z62" s="2506" t="n"/>
      <c r="AA62" s="2506" t="n"/>
      <c r="AB62" s="2506" t="n"/>
      <c r="AC62" s="2506" t="n"/>
      <c r="AD62" s="2506" t="n"/>
      <c r="AE62" s="2506" t="n"/>
      <c r="AF62" s="2506" t="n"/>
      <c r="AG62" s="2013" t="n"/>
    </row>
    <row r="63" ht="12.75" customHeight="1" s="7635">
      <c r="A63" s="2013" t="n"/>
      <c r="AG63" s="2013" t="n"/>
    </row>
    <row r="64" ht="12.75" customHeight="1" s="7635">
      <c r="A64" s="2013" t="n"/>
      <c r="B64" s="7637" t="n"/>
      <c r="C64" s="7637" t="n"/>
      <c r="D64" s="7637" t="n"/>
      <c r="E64" s="7637" t="n"/>
      <c r="F64" s="7637" t="n"/>
      <c r="G64" s="7637" t="n"/>
      <c r="H64" s="7637" t="n"/>
      <c r="I64" s="7637" t="n"/>
      <c r="J64" s="7637" t="n"/>
      <c r="K64" s="7637" t="n"/>
      <c r="L64" s="7637" t="n"/>
      <c r="M64" s="7637" t="n"/>
      <c r="N64" s="7637" t="n"/>
      <c r="O64" s="7637" t="n"/>
      <c r="P64" s="7637" t="n"/>
      <c r="Q64" s="7637" t="n"/>
      <c r="R64" s="7637" t="n"/>
      <c r="S64" s="7637" t="n"/>
      <c r="T64" s="7637" t="n"/>
      <c r="U64" s="7637" t="n"/>
      <c r="V64" s="7637" t="n"/>
      <c r="W64" s="7637" t="n"/>
      <c r="X64" s="7637" t="n"/>
      <c r="Y64" s="7637" t="n"/>
      <c r="Z64" s="7637" t="n"/>
      <c r="AA64" s="7637" t="n"/>
      <c r="AB64" s="7637" t="n"/>
      <c r="AC64" s="7637" t="n"/>
      <c r="AD64" s="7637" t="n"/>
      <c r="AE64" s="7637" t="n"/>
      <c r="AF64" s="7637" t="n"/>
      <c r="AG64" s="2013" t="n"/>
    </row>
    <row r="65" ht="3.75" customHeight="1" s="7635">
      <c r="A65" s="2013" t="n"/>
      <c r="B65" s="88" t="n"/>
      <c r="C65" s="88" t="n"/>
      <c r="D65" s="88" t="n"/>
      <c r="E65" s="88" t="n"/>
      <c r="F65" s="88" t="n"/>
      <c r="G65" s="88" t="n"/>
      <c r="H65" s="88" t="n"/>
      <c r="I65" s="88" t="n"/>
      <c r="J65" s="88" t="n"/>
      <c r="K65" s="88" t="n"/>
      <c r="L65" s="88"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2013" t="n"/>
    </row>
    <row r="66" ht="15" customHeight="1" s="7635">
      <c r="A66" s="2013" t="n"/>
      <c r="B66" s="11415" t="inlineStr">
        <is>
          <t>Part II</t>
        </is>
      </c>
      <c r="C66" s="7839" t="n"/>
      <c r="D66" s="88" t="n"/>
      <c r="E66" s="11417" t="inlineStr">
        <is>
          <t>Long-Term.</t>
        </is>
      </c>
      <c r="F66" s="1836" t="n"/>
      <c r="G66" s="1836" t="n"/>
      <c r="H66" s="1836" t="n"/>
      <c r="I66" s="1836" t="inlineStr">
        <is>
          <t>Transactions involving capital assets  you  held more  than  1  year are generally long-term (see</t>
        </is>
      </c>
      <c r="J66" s="1836" t="n"/>
      <c r="K66" s="1836" t="n"/>
      <c r="L66" s="1836" t="n"/>
      <c r="M66" s="1836" t="n"/>
      <c r="N66" s="1836" t="n"/>
      <c r="O66" s="1836" t="n"/>
      <c r="P66" s="11417" t="n"/>
      <c r="Q66" s="1836" t="n"/>
      <c r="R66" s="1836" t="n"/>
      <c r="S66" s="1836" t="n"/>
      <c r="T66" s="1836" t="n"/>
      <c r="U66" s="1836" t="n"/>
      <c r="V66" s="1836" t="n"/>
      <c r="W66" s="1836" t="n"/>
      <c r="X66" s="1836" t="n"/>
      <c r="Y66" s="1836" t="n"/>
      <c r="Z66" s="1836" t="n"/>
      <c r="AA66" s="1836" t="n"/>
      <c r="AB66" s="1836" t="n"/>
      <c r="AC66" s="1836" t="n"/>
      <c r="AD66" s="1836" t="n"/>
      <c r="AE66" s="1836" t="n"/>
      <c r="AF66" s="1836" t="n"/>
      <c r="AG66" s="2013">
        <f>IF(SUM(AG91:AG101)&gt;0,TRUE,FALSE)</f>
        <v/>
      </c>
    </row>
    <row r="67" ht="12.75" customHeight="1" s="7635">
      <c r="A67" s="2013" t="n"/>
      <c r="B67" s="88" t="n"/>
      <c r="C67" s="88" t="n"/>
      <c r="D67" s="88" t="n"/>
      <c r="E67" s="1836" t="inlineStr">
        <is>
          <t>instructions). For short-term transactions, see page 1.</t>
        </is>
      </c>
      <c r="F67" s="1836" t="n"/>
      <c r="G67" s="1836" t="n"/>
      <c r="H67" s="1836" t="n"/>
      <c r="I67" s="1836" t="n"/>
      <c r="J67" s="1836" t="n"/>
      <c r="K67" s="1836" t="n"/>
      <c r="L67" s="1836" t="n"/>
      <c r="M67" s="1836" t="n"/>
      <c r="N67" s="1836" t="n"/>
      <c r="O67" s="1836" t="n"/>
      <c r="P67" s="1836" t="n"/>
      <c r="Q67" s="1836" t="n"/>
      <c r="R67" s="1836" t="n"/>
      <c r="S67" s="1836" t="n"/>
      <c r="T67" s="1836" t="n"/>
      <c r="U67" s="1836" t="n"/>
      <c r="V67" s="1836" t="n"/>
      <c r="W67" s="1836" t="n"/>
      <c r="X67" s="1836" t="n"/>
      <c r="Y67" s="1836" t="n"/>
      <c r="Z67" s="1836" t="n"/>
      <c r="AA67" s="1836" t="n"/>
      <c r="AB67" s="1836" t="n"/>
      <c r="AC67" s="1836" t="n"/>
      <c r="AD67" s="1836" t="n"/>
      <c r="AE67" s="1836" t="n"/>
      <c r="AF67" s="1836" t="n"/>
      <c r="AG67" s="2013" t="n"/>
    </row>
    <row r="68" ht="13.5" customHeight="1" s="7635">
      <c r="A68" s="2013" t="n"/>
      <c r="B68" s="88" t="n"/>
      <c r="C68" s="88" t="n"/>
      <c r="D68" s="88" t="n"/>
      <c r="E68" s="3440" t="inlineStr">
        <is>
          <t>Note. You may aggregate all long-term transactions reported on Form(s) 1099-B and Form(s) 1099-DA</t>
        </is>
      </c>
      <c r="F68" s="88" t="n"/>
      <c r="G68" s="88" t="n"/>
      <c r="H68" s="88" t="n"/>
      <c r="I68" s="88" t="n"/>
      <c r="J68" s="88" t="n"/>
      <c r="K68" s="88" t="n"/>
      <c r="L68" s="88" t="n"/>
      <c r="M68" s="88" t="n"/>
      <c r="N68" s="88" t="n"/>
      <c r="O68" s="88" t="n"/>
      <c r="P68" s="88" t="n"/>
      <c r="Q68" s="88" t="n"/>
      <c r="R68" s="88" t="n"/>
      <c r="S68" s="88" t="n"/>
      <c r="T68" s="1836" t="n"/>
      <c r="U68" s="88" t="n"/>
      <c r="V68" s="88" t="n"/>
      <c r="W68" s="88" t="n"/>
      <c r="X68" s="11403" t="n"/>
      <c r="Y68" s="88" t="n"/>
      <c r="Z68" s="88" t="n"/>
      <c r="AA68" s="88" t="n"/>
      <c r="AB68" s="88" t="n"/>
      <c r="AC68" s="88" t="n"/>
      <c r="AD68" s="88" t="n"/>
      <c r="AE68" s="88" t="n"/>
      <c r="AF68" s="88" t="n"/>
      <c r="AG68" s="2013" t="n"/>
      <c r="AS68" s="7779" t="n"/>
      <c r="AT68" s="7779" t="n"/>
      <c r="AU68" s="7779" t="n"/>
      <c r="AV68" s="7779" t="n"/>
      <c r="AW68" s="7779" t="n"/>
      <c r="AX68" s="7779" t="n"/>
      <c r="AY68" s="7779" t="n"/>
      <c r="AZ68" s="7779" t="n"/>
      <c r="BA68" s="7779" t="n"/>
      <c r="BB68" s="7779" t="n"/>
      <c r="BC68" s="7779" t="n"/>
    </row>
    <row r="69" ht="13.5" customHeight="1" s="7635">
      <c r="A69" s="2013" t="n"/>
      <c r="B69" s="88" t="n"/>
      <c r="C69" s="88" t="n"/>
      <c r="D69" s="88" t="n"/>
      <c r="E69" s="1836" t="inlineStr">
        <is>
          <t>showing basis was reported to the IRS and for which no adjustments or codes are required. Enter the totals</t>
        </is>
      </c>
      <c r="F69" s="88" t="n"/>
      <c r="G69" s="88" t="n"/>
      <c r="H69" s="88" t="n"/>
      <c r="I69" s="88" t="n"/>
      <c r="J69" s="88" t="n"/>
      <c r="K69" s="88" t="n"/>
      <c r="L69" s="88" t="n"/>
      <c r="M69" s="88" t="n"/>
      <c r="N69" s="88" t="n"/>
      <c r="O69" s="88" t="n"/>
      <c r="P69" s="88" t="n"/>
      <c r="Q69" s="88" t="n"/>
      <c r="R69" s="88" t="n"/>
      <c r="S69" s="88" t="n"/>
      <c r="T69" s="1836" t="n"/>
      <c r="U69" s="88" t="n"/>
      <c r="V69" s="88" t="n"/>
      <c r="W69" s="88" t="n"/>
      <c r="X69" s="11403" t="n"/>
      <c r="Y69" s="88" t="n"/>
      <c r="Z69" s="88" t="n"/>
      <c r="AA69" s="88" t="n"/>
      <c r="AB69" s="88" t="n"/>
      <c r="AC69" s="88" t="n"/>
      <c r="AD69" s="88" t="n"/>
      <c r="AE69" s="88" t="n"/>
      <c r="AF69" s="88" t="n"/>
      <c r="AG69" s="2013" t="n"/>
      <c r="AS69" s="7779" t="n"/>
      <c r="AT69" s="7779" t="n"/>
      <c r="AU69" s="7779" t="n"/>
      <c r="AV69" s="7779" t="n"/>
      <c r="AW69" s="7779" t="n"/>
      <c r="AX69" s="7779" t="n"/>
      <c r="AY69" s="7779" t="n"/>
      <c r="AZ69" s="7779" t="n"/>
      <c r="BA69" s="7779" t="n"/>
      <c r="BB69" s="7779" t="n"/>
      <c r="BC69" s="7779" t="n"/>
    </row>
    <row r="70" ht="13.5" customHeight="1" s="7635">
      <c r="A70" s="2013" t="n"/>
      <c r="B70" s="2432" t="n"/>
      <c r="C70" s="2432" t="n"/>
      <c r="D70" s="2432" t="n"/>
      <c r="E70" s="6008" t="inlineStr">
        <is>
          <t>directly on Schedule D, line 8a; you aren’t required to report these transactions on Form 8949 (see instructions).</t>
        </is>
      </c>
      <c r="F70" s="2432" t="n"/>
      <c r="G70" s="2432" t="n"/>
      <c r="H70" s="2432" t="n"/>
      <c r="I70" s="2432" t="n"/>
      <c r="J70" s="2432" t="n"/>
      <c r="K70" s="2432" t="n"/>
      <c r="L70" s="2432" t="n"/>
      <c r="M70" s="2432" t="n"/>
      <c r="N70" s="2432" t="n"/>
      <c r="O70" s="2432" t="n"/>
      <c r="P70" s="2432" t="n"/>
      <c r="Q70" s="2432" t="n"/>
      <c r="R70" s="2432" t="n"/>
      <c r="S70" s="2432" t="n"/>
      <c r="T70" s="2432" t="n"/>
      <c r="U70" s="2432" t="n"/>
      <c r="V70" s="2432" t="n"/>
      <c r="W70" s="2432" t="n"/>
      <c r="X70" s="2432" t="n"/>
      <c r="Y70" s="2432" t="n"/>
      <c r="Z70" s="2432" t="n"/>
      <c r="AA70" s="2432" t="n"/>
      <c r="AB70" s="2432" t="n"/>
      <c r="AC70" s="2432" t="n"/>
      <c r="AD70" s="2432" t="n"/>
      <c r="AE70" s="2432" t="n"/>
      <c r="AF70" s="2432" t="n"/>
      <c r="AG70" s="2013" t="n"/>
      <c r="AS70" s="7779" t="n"/>
      <c r="AT70" s="7779" t="n"/>
      <c r="AU70" s="7779" t="n"/>
      <c r="AV70" s="7779" t="n"/>
      <c r="AW70" s="7779" t="n"/>
      <c r="AX70" s="7779" t="n"/>
      <c r="AY70" s="7779" t="n"/>
      <c r="AZ70" s="7779" t="n"/>
      <c r="BA70" s="7779" t="n"/>
      <c r="BB70" s="7779" t="n"/>
      <c r="BC70" s="7779" t="n"/>
    </row>
    <row r="71" ht="14.25" customHeight="1" s="7635">
      <c r="A71" s="2013" t="n"/>
      <c r="B71" s="226" t="inlineStr">
        <is>
          <t xml:space="preserve">You must check Box D, E, F, J, K, or L below. </t>
        </is>
      </c>
      <c r="C71" s="8922" t="n"/>
      <c r="D71" s="8922" t="n"/>
      <c r="E71" s="8922" t="n"/>
      <c r="F71" s="8922" t="n"/>
      <c r="G71" s="8922" t="n"/>
      <c r="H71" s="8922" t="n"/>
      <c r="I71" s="8922" t="n"/>
      <c r="J71" s="8922" t="n"/>
      <c r="K71" s="1183" t="n"/>
      <c r="L71" s="8922" t="n"/>
      <c r="M71" s="226" t="inlineStr">
        <is>
          <t xml:space="preserve"> Check only one box. </t>
        </is>
      </c>
      <c r="N71" s="226" t="n"/>
      <c r="O71" s="8922" t="n"/>
      <c r="P71" s="11403" t="n"/>
      <c r="Q71" s="8922" t="n"/>
      <c r="R71" s="8922" t="n"/>
      <c r="S71" s="8922" t="n"/>
      <c r="T71" s="1836" t="n"/>
      <c r="U71" s="8922" t="n"/>
      <c r="V71" s="8922" t="n"/>
      <c r="W71" s="8922" t="n"/>
      <c r="X71" s="8922" t="n"/>
      <c r="Y71" s="8922" t="n"/>
      <c r="Z71" s="8922" t="n"/>
      <c r="AA71" s="8922" t="n"/>
      <c r="AB71" s="8922" t="n"/>
      <c r="AC71" s="8922" t="n"/>
      <c r="AD71" s="8922" t="n"/>
      <c r="AE71" s="8922" t="n"/>
      <c r="AF71" s="6501" t="inlineStr">
        <is>
          <t>If more than one box applies for your long-term transactions,</t>
        </is>
      </c>
      <c r="AG71" s="2013" t="n"/>
    </row>
    <row r="72">
      <c r="A72" s="2013" t="n"/>
      <c r="B72" s="11403" t="inlineStr">
        <is>
          <t xml:space="preserve">complete a separate Form 8949, page 2, for each applicable box. If you have more long-term transactions than will fit on this page for </t>
        </is>
      </c>
      <c r="C72" s="8922" t="n"/>
      <c r="D72" s="8922" t="n"/>
      <c r="E72" s="8922" t="n"/>
      <c r="F72" s="8922" t="n"/>
      <c r="G72" s="8922" t="n"/>
      <c r="H72" s="8922" t="n"/>
      <c r="I72" s="8922" t="n"/>
      <c r="J72" s="8922" t="n"/>
      <c r="K72" s="8922" t="n"/>
      <c r="L72" s="8922" t="n"/>
      <c r="M72" s="8922" t="n"/>
      <c r="N72" s="8922" t="n"/>
      <c r="O72" s="8922" t="n"/>
      <c r="P72" s="8922" t="n"/>
      <c r="Q72" s="8922" t="n"/>
      <c r="R72" s="8922" t="n"/>
      <c r="S72" s="8922" t="n"/>
      <c r="T72" s="8922" t="n"/>
      <c r="U72" s="8922" t="n"/>
      <c r="V72" s="8922" t="n"/>
      <c r="W72" s="8922" t="n"/>
      <c r="X72" s="8922" t="n"/>
      <c r="Y72" s="8922" t="n"/>
      <c r="Z72" s="8922" t="n"/>
      <c r="AA72" s="8922" t="n"/>
      <c r="AB72" s="8922" t="n"/>
      <c r="AC72" s="8922" t="n"/>
      <c r="AD72" s="8922" t="n"/>
      <c r="AE72" s="8922" t="n"/>
      <c r="AF72" s="8922" t="n"/>
      <c r="AG72" s="2013" t="n"/>
      <c r="BA72" s="12799" t="inlineStr">
        <is>
          <t>Less than One Year</t>
        </is>
      </c>
      <c r="BB72" s="8412" t="n"/>
      <c r="BC72" s="11734" t="n"/>
    </row>
    <row r="73" ht="12.75" customHeight="1" s="7635">
      <c r="A73" s="2013" t="n"/>
      <c r="B73" s="11403">
        <f>IF(SpaceUsed_8949A_LT,"ERROR: DO NOT use the space bar to uncheck a box. Use the 'Delete' key.","one or more of the boxes, complete as many forms with the same box checked as you need.")</f>
        <v/>
      </c>
      <c r="C73" s="8922" t="n"/>
      <c r="D73" s="8922" t="n"/>
      <c r="E73" s="8922" t="n"/>
      <c r="F73" s="8922" t="n"/>
      <c r="G73" s="8922" t="n"/>
      <c r="H73" s="8922" t="n"/>
      <c r="I73" s="8922" t="n"/>
      <c r="J73" s="8922" t="n"/>
      <c r="K73" s="8922" t="n"/>
      <c r="L73" s="8922" t="n"/>
      <c r="M73" s="8922" t="n"/>
      <c r="N73" s="8922" t="n"/>
      <c r="O73" s="8922" t="n"/>
      <c r="P73" s="8922" t="n"/>
      <c r="Q73" s="8922" t="n"/>
      <c r="R73" s="8922" t="n"/>
      <c r="S73" s="8922" t="n"/>
      <c r="T73" s="8922" t="n"/>
      <c r="U73" s="8922" t="n"/>
      <c r="V73" s="8922" t="n"/>
      <c r="W73" s="8922" t="n"/>
      <c r="X73" s="8922" t="n"/>
      <c r="Y73" s="8922" t="n"/>
      <c r="Z73" s="8922" t="n"/>
      <c r="AA73" s="8922" t="n"/>
      <c r="AB73" s="8922" t="n"/>
      <c r="AC73" s="8922" t="n"/>
      <c r="AD73" s="8922" t="n"/>
      <c r="AE73" s="8922" t="n"/>
      <c r="AF73" s="8922" t="n"/>
      <c r="AG73" s="2013" t="n"/>
      <c r="AJ73" s="3809" t="n"/>
      <c r="AK73" s="3809" t="n"/>
      <c r="AL73" s="3809" t="n"/>
      <c r="AM73" s="3809" t="n"/>
      <c r="AN73" s="3809" t="n"/>
      <c r="AO73" s="3809" t="n"/>
      <c r="AP73" s="3809" t="n"/>
      <c r="AQ73" s="3809" t="n"/>
      <c r="BA73" s="11398" t="inlineStr">
        <is>
          <t>Calendar Year is SAME</t>
        </is>
      </c>
      <c r="BB73" s="11398" t="inlineStr">
        <is>
          <t>Before This Month (Last Year)</t>
        </is>
      </c>
      <c r="BC73" s="11398" t="inlineStr">
        <is>
          <t>Before This Day and Month (Last Year)</t>
        </is>
      </c>
    </row>
    <row r="74" ht="4.5" customHeight="1" s="7635" thickBot="1">
      <c r="A74" s="2013" t="n"/>
      <c r="B74" s="8922" t="n"/>
      <c r="C74" s="8922" t="n"/>
      <c r="D74" s="8922" t="n"/>
      <c r="E74" s="8922" t="n"/>
      <c r="F74" s="8922" t="n"/>
      <c r="G74" s="8922" t="n"/>
      <c r="H74" s="8922" t="n"/>
      <c r="I74" s="8922" t="n"/>
      <c r="J74" s="8922" t="n"/>
      <c r="K74" s="8922" t="n"/>
      <c r="L74" s="8922" t="n"/>
      <c r="M74" s="8922" t="n"/>
      <c r="N74" s="8922" t="n"/>
      <c r="O74" s="8922" t="n"/>
      <c r="P74" s="8922" t="n"/>
      <c r="Q74" s="8922" t="n"/>
      <c r="R74" s="8922" t="n"/>
      <c r="S74" s="8922" t="n"/>
      <c r="T74" s="8922" t="n"/>
      <c r="U74" s="8922" t="n"/>
      <c r="V74" s="8922" t="n"/>
      <c r="W74" s="8922" t="n"/>
      <c r="X74" s="8922" t="n"/>
      <c r="Y74" s="8922" t="n"/>
      <c r="Z74" s="8922" t="n"/>
      <c r="AA74" s="8922" t="n"/>
      <c r="AB74" s="8922" t="n"/>
      <c r="AC74" s="8922" t="n"/>
      <c r="AD74" s="8922" t="n"/>
      <c r="AE74" s="8922" t="n"/>
      <c r="AF74" s="8922" t="n"/>
      <c r="AG74" s="2013" t="n"/>
      <c r="BA74" s="11747" t="n"/>
      <c r="BB74" s="11747" t="n"/>
      <c r="BC74" s="11747" t="n"/>
    </row>
    <row r="75" ht="12" customHeight="1" s="7635" thickBot="1">
      <c r="A75" s="2013" t="n"/>
      <c r="B75" s="8914">
        <f>IF(C75&lt;&gt;"",1,0)</f>
        <v/>
      </c>
      <c r="C75" s="300" t="n"/>
      <c r="D75" s="3440" t="inlineStr">
        <is>
          <t xml:space="preserve"> (D) Long-term transactions reported on Form(s) 1099-B showing basis was reported to the IRS (see Note above)</t>
        </is>
      </c>
      <c r="E75" s="8922" t="n"/>
      <c r="F75" s="8922" t="n"/>
      <c r="G75" s="8922" t="n"/>
      <c r="H75" s="8922" t="n"/>
      <c r="I75" s="8922" t="n"/>
      <c r="J75" s="8922" t="n"/>
      <c r="K75" s="8922" t="n"/>
      <c r="L75" s="8922" t="n"/>
      <c r="M75" s="8922" t="n"/>
      <c r="N75" s="8922" t="n"/>
      <c r="O75" s="8922" t="n"/>
      <c r="P75" s="8922" t="n"/>
      <c r="Q75" s="8922" t="n"/>
      <c r="R75" s="8922" t="n"/>
      <c r="S75" s="8922" t="n"/>
      <c r="T75" s="8922" t="n"/>
      <c r="U75" s="8922" t="n"/>
      <c r="V75" s="8922" t="n"/>
      <c r="W75" s="8922" t="n"/>
      <c r="X75" s="8922" t="n"/>
      <c r="Y75" s="8922" t="n"/>
      <c r="Z75" s="8922" t="n"/>
      <c r="AA75" s="8922" t="n"/>
      <c r="AB75" s="8922" t="n"/>
      <c r="AC75" s="8922" t="n"/>
      <c r="AD75" s="8922" t="n"/>
      <c r="AE75" s="8922" t="n"/>
      <c r="AF75" s="8922" t="n"/>
      <c r="AG75" s="2013" t="n"/>
      <c r="AJ75" s="11392" t="n"/>
      <c r="BA75" s="11747" t="n"/>
      <c r="BB75" s="11747" t="n"/>
      <c r="BC75" s="11747" t="n"/>
    </row>
    <row r="76" ht="4.5" customHeight="1" s="7635" thickBot="1">
      <c r="A76" s="2013" t="n"/>
      <c r="B76" s="6017" t="n"/>
      <c r="C76" s="8922" t="n"/>
      <c r="D76" s="1836" t="n"/>
      <c r="E76" s="8922" t="n"/>
      <c r="F76" s="8922" t="n"/>
      <c r="G76" s="8922" t="n"/>
      <c r="H76" s="8922" t="n"/>
      <c r="I76" s="8922" t="n"/>
      <c r="J76" s="8922" t="n"/>
      <c r="K76" s="8922" t="n"/>
      <c r="L76" s="8922" t="n"/>
      <c r="M76" s="8922" t="n"/>
      <c r="N76" s="8922" t="n"/>
      <c r="O76" s="8922" t="n"/>
      <c r="P76" s="8922" t="n"/>
      <c r="Q76" s="8922" t="n"/>
      <c r="R76" s="8922" t="n"/>
      <c r="S76" s="8922" t="n"/>
      <c r="T76" s="8922" t="n"/>
      <c r="U76" s="8922" t="n"/>
      <c r="V76" s="8922" t="n"/>
      <c r="W76" s="8922" t="n"/>
      <c r="X76" s="8922" t="n"/>
      <c r="Y76" s="8922" t="n"/>
      <c r="Z76" s="8922" t="n"/>
      <c r="AA76" s="8922" t="n"/>
      <c r="AB76" s="8922" t="n"/>
      <c r="AC76" s="8922" t="n"/>
      <c r="AD76" s="8922" t="n"/>
      <c r="AE76" s="8922" t="n"/>
      <c r="AF76" s="8922" t="n"/>
      <c r="AG76" s="2013" t="n"/>
      <c r="BA76" s="11747" t="n"/>
      <c r="BB76" s="11747" t="n"/>
      <c r="BC76" s="11747" t="n"/>
    </row>
    <row r="77" ht="11.25" customHeight="1" s="7635" thickBot="1">
      <c r="A77" s="2013" t="n"/>
      <c r="B77" s="8914">
        <f>IF(C77&lt;&gt;"",1,0)</f>
        <v/>
      </c>
      <c r="C77" s="300" t="n"/>
      <c r="D77" s="3440" t="inlineStr">
        <is>
          <t xml:space="preserve"> (E) Long-term transactions reported on Form(s) 1099-B showing basis was not reported to the IRS</t>
        </is>
      </c>
      <c r="E77" s="8922" t="n"/>
      <c r="F77" s="8922" t="n"/>
      <c r="G77" s="8922" t="n"/>
      <c r="H77" s="8922" t="n"/>
      <c r="I77" s="8922" t="n"/>
      <c r="J77" s="8922" t="n"/>
      <c r="K77" s="8922" t="n"/>
      <c r="L77" s="8922" t="n"/>
      <c r="M77" s="8922" t="n"/>
      <c r="N77" s="8922" t="n"/>
      <c r="O77" s="8922" t="n"/>
      <c r="P77" s="8922" t="n"/>
      <c r="Q77" s="7299" t="n"/>
      <c r="R77" s="7299" t="n"/>
      <c r="S77" s="7299" t="n"/>
      <c r="T77" s="7299" t="n"/>
      <c r="U77" s="7299" t="n"/>
      <c r="V77" s="7299" t="n"/>
      <c r="W77" s="7299" t="n"/>
      <c r="X77" s="7299" t="n"/>
      <c r="Y77" s="7299" t="n"/>
      <c r="Z77" s="7299" t="n"/>
      <c r="AA77" s="7299" t="n"/>
      <c r="AB77" s="7299" t="n"/>
      <c r="AC77" s="7299" t="n"/>
      <c r="AD77" s="7299" t="n"/>
      <c r="AE77" s="8922" t="n"/>
      <c r="AF77" s="8922" t="n"/>
      <c r="AG77" s="2013" t="n"/>
      <c r="AJ77" s="11392" t="n"/>
      <c r="BA77" s="11747" t="n"/>
      <c r="BB77" s="11747" t="n"/>
      <c r="BC77" s="11747" t="n"/>
    </row>
    <row r="78" ht="4.5" customHeight="1" s="7635" thickBot="1">
      <c r="A78" s="2013" t="n"/>
      <c r="B78" s="6017" t="n"/>
      <c r="C78" s="8922" t="n"/>
      <c r="D78" s="1836" t="n"/>
      <c r="E78" s="8922" t="n"/>
      <c r="F78" s="8922" t="n"/>
      <c r="G78" s="8922" t="n"/>
      <c r="H78" s="8922" t="n"/>
      <c r="I78" s="8922" t="n"/>
      <c r="J78" s="8922" t="n"/>
      <c r="K78" s="8922" t="n"/>
      <c r="L78" s="8922" t="n"/>
      <c r="M78" s="8922" t="n"/>
      <c r="N78" s="8922" t="n"/>
      <c r="O78" s="8922" t="n"/>
      <c r="P78" s="8922" t="n"/>
      <c r="Q78" s="7299" t="n"/>
      <c r="R78" s="7299" t="n"/>
      <c r="S78" s="7299" t="n"/>
      <c r="T78" s="7299" t="n"/>
      <c r="U78" s="7299" t="n"/>
      <c r="V78" s="7299" t="n"/>
      <c r="W78" s="7299" t="n"/>
      <c r="X78" s="7299" t="n"/>
      <c r="Y78" s="7299" t="n"/>
      <c r="Z78" s="7299" t="n"/>
      <c r="AA78" s="7299" t="n"/>
      <c r="AB78" s="7299" t="n"/>
      <c r="AC78" s="7299" t="n"/>
      <c r="AD78" s="7299" t="n"/>
      <c r="AE78" s="8922" t="n"/>
      <c r="AF78" s="8922" t="n"/>
      <c r="AG78" s="2013" t="n"/>
      <c r="BA78" s="11747" t="n"/>
      <c r="BB78" s="11747" t="n"/>
      <c r="BC78" s="11747" t="n"/>
    </row>
    <row r="79" ht="12" customHeight="1" s="7635" thickBot="1">
      <c r="A79" s="2013">
        <f>SUM(B75:B79)</f>
        <v/>
      </c>
      <c r="B79" s="8914">
        <f>IF(C79&lt;&gt;"",1,0)</f>
        <v/>
      </c>
      <c r="C79" s="300" t="n"/>
      <c r="D79" s="3440" t="inlineStr">
        <is>
          <t xml:space="preserve"> (F) Long-term transactions, other than digital asset transactions, not reported to you on Form 1099-B or Form 1099-DA</t>
        </is>
      </c>
      <c r="E79" s="8922" t="n"/>
      <c r="F79" s="8922" t="n"/>
      <c r="G79" s="8922" t="n"/>
      <c r="H79" s="8922" t="n"/>
      <c r="I79" s="8922" t="n"/>
      <c r="J79" s="8922" t="n"/>
      <c r="K79" s="8922" t="n"/>
      <c r="L79" s="8922" t="n"/>
      <c r="M79" s="8922" t="n"/>
      <c r="N79" s="8922" t="n"/>
      <c r="O79" s="8922" t="n"/>
      <c r="P79" s="8922" t="n"/>
      <c r="Q79" s="6018" t="n"/>
      <c r="R79" s="6019" t="n"/>
      <c r="S79" s="3823" t="n"/>
      <c r="T79" s="3823" t="n"/>
      <c r="U79" s="3823" t="n"/>
      <c r="V79" s="3823" t="n"/>
      <c r="W79" s="3823" t="n"/>
      <c r="X79" s="3823" t="n"/>
      <c r="Y79" s="3823" t="n"/>
      <c r="Z79" s="3823" t="n"/>
      <c r="AA79" s="3823" t="n"/>
      <c r="AB79" s="3823" t="n"/>
      <c r="AC79" s="3823" t="n"/>
      <c r="AD79" s="3823" t="n"/>
      <c r="AE79" s="3823" t="n"/>
      <c r="AF79" s="8922" t="n"/>
      <c r="AG79" s="2013" t="n"/>
      <c r="AH79" s="9649">
        <f>OR(F8949CLBOXD=CHAR(32),F8949CLBOXE=CHAR(32),F8949CLBOXF=CHAR(32),F8949CLBOXJ=CHAR(32),F8949CLBOXK=CHAR(32),F8949CLBOXL=CHAR(32))</f>
        <v/>
      </c>
      <c r="AJ79" s="3809" t="n"/>
      <c r="AK79" s="3809" t="n"/>
      <c r="AL79" s="3809" t="n"/>
      <c r="AM79" s="3809" t="n"/>
      <c r="AN79" s="3809" t="n"/>
      <c r="AO79" s="3809" t="n"/>
      <c r="AP79" s="3809" t="n"/>
      <c r="AQ79" s="3809" t="n"/>
      <c r="BA79" s="11747" t="n"/>
      <c r="BB79" s="11747" t="n"/>
      <c r="BC79" s="11747" t="n"/>
    </row>
    <row r="80" ht="4.5" customHeight="1" s="7635" thickBot="1">
      <c r="A80" s="2013" t="n"/>
      <c r="B80" s="8922" t="n"/>
      <c r="C80" s="8922" t="n"/>
      <c r="D80" s="1836" t="n"/>
      <c r="E80" s="8922" t="n"/>
      <c r="F80" s="8922" t="n"/>
      <c r="G80" s="8922" t="n"/>
      <c r="H80" s="8922" t="n"/>
      <c r="I80" s="8922" t="n"/>
      <c r="J80" s="8922" t="n"/>
      <c r="K80" s="8922" t="n"/>
      <c r="L80" s="8922" t="n"/>
      <c r="M80" s="8922" t="n"/>
      <c r="N80" s="8922" t="n"/>
      <c r="O80" s="8922" t="n"/>
      <c r="P80" s="8922" t="n"/>
      <c r="Q80" s="8922" t="n"/>
      <c r="R80" s="8922" t="n"/>
      <c r="S80" s="8922" t="n"/>
      <c r="T80" s="8922" t="n"/>
      <c r="U80" s="8922" t="n"/>
      <c r="V80" s="8922" t="n"/>
      <c r="W80" s="8922" t="n"/>
      <c r="X80" s="8922" t="n"/>
      <c r="Y80" s="8922" t="n"/>
      <c r="Z80" s="8922" t="n"/>
      <c r="AA80" s="8922" t="n"/>
      <c r="AB80" s="8922" t="n"/>
      <c r="AC80" s="8922" t="n"/>
      <c r="AD80" s="8922" t="n"/>
      <c r="AE80" s="8922" t="n"/>
      <c r="AF80" s="8922" t="n"/>
      <c r="AG80" s="2013" t="n"/>
      <c r="BA80" s="11747" t="n"/>
      <c r="BB80" s="11747" t="n"/>
      <c r="BC80" s="11747" t="n"/>
    </row>
    <row r="81" ht="12" customHeight="1" s="7635" thickBot="1">
      <c r="A81" s="2013" t="n"/>
      <c r="B81" s="8914">
        <f>IF(C81&lt;&gt;"",1,0)</f>
        <v/>
      </c>
      <c r="C81" s="300" t="n"/>
      <c r="D81" s="3440" t="inlineStr">
        <is>
          <t xml:space="preserve"> (J) Long-term transactions reported on Form(s) 1099-DA showing basis was reported to the IRS (see Note above)</t>
        </is>
      </c>
      <c r="E81" s="8922" t="n"/>
      <c r="F81" s="8922" t="n"/>
      <c r="G81" s="8922" t="n"/>
      <c r="H81" s="8922" t="n"/>
      <c r="I81" s="8922" t="n"/>
      <c r="J81" s="8922" t="n"/>
      <c r="K81" s="8922" t="n"/>
      <c r="L81" s="8922" t="n"/>
      <c r="M81" s="8922" t="n"/>
      <c r="N81" s="8922" t="n"/>
      <c r="O81" s="8922" t="n"/>
      <c r="P81" s="8922" t="n"/>
      <c r="Q81" s="8922" t="n"/>
      <c r="R81" s="8922" t="n"/>
      <c r="S81" s="8922" t="n"/>
      <c r="T81" s="8922" t="n"/>
      <c r="U81" s="8922" t="n"/>
      <c r="V81" s="8922" t="n"/>
      <c r="W81" s="8922" t="n"/>
      <c r="X81" s="8922" t="n"/>
      <c r="Y81" s="8922" t="n"/>
      <c r="Z81" s="8922" t="n"/>
      <c r="AA81" s="8922" t="n"/>
      <c r="AB81" s="8922" t="n"/>
      <c r="AC81" s="8922" t="n"/>
      <c r="AD81" s="8922" t="n"/>
      <c r="AE81" s="8922" t="n"/>
      <c r="AF81" s="8922" t="n"/>
      <c r="AG81" s="2013" t="n"/>
      <c r="AJ81" s="11392" t="n"/>
      <c r="BA81" s="11747" t="n"/>
      <c r="BB81" s="11747" t="n"/>
      <c r="BC81" s="11747" t="n"/>
    </row>
    <row r="82" ht="4.5" customHeight="1" s="7635" thickBot="1">
      <c r="A82" s="2013" t="n"/>
      <c r="B82" s="6017" t="n"/>
      <c r="C82" s="8922" t="inlineStr">
        <is>
          <t>A</t>
        </is>
      </c>
      <c r="D82" s="1836" t="n"/>
      <c r="E82" s="8922" t="n"/>
      <c r="F82" s="8922" t="n"/>
      <c r="G82" s="8922" t="n"/>
      <c r="H82" s="8922" t="n"/>
      <c r="I82" s="8922" t="n"/>
      <c r="J82" s="8922" t="n"/>
      <c r="K82" s="8922" t="n"/>
      <c r="L82" s="8922" t="n"/>
      <c r="M82" s="8922" t="n"/>
      <c r="N82" s="8922" t="n"/>
      <c r="O82" s="8922" t="n"/>
      <c r="P82" s="8922" t="n"/>
      <c r="Q82" s="8922" t="n"/>
      <c r="R82" s="8922" t="n"/>
      <c r="S82" s="8922" t="n"/>
      <c r="T82" s="8922" t="n"/>
      <c r="U82" s="8922" t="n"/>
      <c r="V82" s="8922" t="n"/>
      <c r="W82" s="8922" t="n"/>
      <c r="X82" s="8922" t="n"/>
      <c r="Y82" s="8922" t="n"/>
      <c r="Z82" s="8922" t="n"/>
      <c r="AA82" s="8922" t="n"/>
      <c r="AB82" s="8922" t="n"/>
      <c r="AC82" s="8922" t="n"/>
      <c r="AD82" s="8922" t="n"/>
      <c r="AE82" s="8922" t="n"/>
      <c r="AF82" s="8922" t="n"/>
      <c r="AG82" s="2013" t="n"/>
      <c r="BA82" s="11747" t="n"/>
      <c r="BB82" s="11747" t="n"/>
      <c r="BC82" s="11747" t="n"/>
    </row>
    <row r="83" ht="11.25" customHeight="1" s="7635" thickBot="1">
      <c r="A83" s="2013" t="n"/>
      <c r="B83" s="8914">
        <f>IF(C83&lt;&gt;"",1,0)</f>
        <v/>
      </c>
      <c r="C83" s="300" t="n"/>
      <c r="D83" s="3440" t="inlineStr">
        <is>
          <t xml:space="preserve"> (K) Long-term transactions reported on Form(s) 1099-DA showing basis was not reported to the IRS</t>
        </is>
      </c>
      <c r="E83" s="8922" t="n"/>
      <c r="F83" s="8922" t="n"/>
      <c r="G83" s="8922" t="n"/>
      <c r="H83" s="8922" t="n"/>
      <c r="I83" s="8922" t="n"/>
      <c r="J83" s="8922" t="n"/>
      <c r="K83" s="8922" t="n"/>
      <c r="L83" s="8922" t="n"/>
      <c r="M83" s="8922" t="n"/>
      <c r="N83" s="8922" t="n"/>
      <c r="O83" s="8922" t="n"/>
      <c r="P83" s="8922" t="n"/>
      <c r="Q83" s="7299" t="n"/>
      <c r="R83" s="7299" t="n"/>
      <c r="S83" s="7299" t="n"/>
      <c r="T83" s="7299" t="n"/>
      <c r="U83" s="7299" t="n"/>
      <c r="V83" s="7299" t="n"/>
      <c r="W83" s="7299" t="n"/>
      <c r="X83" s="7299" t="n"/>
      <c r="Y83" s="7299" t="n"/>
      <c r="Z83" s="7299" t="n"/>
      <c r="AA83" s="7299" t="n"/>
      <c r="AB83" s="7299" t="n"/>
      <c r="AC83" s="7299" t="n"/>
      <c r="AD83" s="7299" t="n"/>
      <c r="AE83" s="8922" t="n"/>
      <c r="AF83" s="8922" t="n"/>
      <c r="AG83" s="2013" t="n"/>
      <c r="AJ83" s="11392" t="n"/>
      <c r="BA83" s="11747" t="n"/>
      <c r="BB83" s="11747" t="n"/>
      <c r="BC83" s="11747" t="n"/>
    </row>
    <row r="84" ht="4.5" customHeight="1" s="7635" thickBot="1">
      <c r="A84" s="2013" t="n"/>
      <c r="B84" s="6017" t="n"/>
      <c r="C84" s="8922" t="n"/>
      <c r="D84" s="1836" t="n"/>
      <c r="E84" s="8922" t="n"/>
      <c r="F84" s="8922" t="n"/>
      <c r="G84" s="8922" t="n"/>
      <c r="H84" s="8922" t="n"/>
      <c r="I84" s="8922" t="n"/>
      <c r="J84" s="8922" t="n"/>
      <c r="K84" s="8922" t="n"/>
      <c r="L84" s="8922" t="n"/>
      <c r="M84" s="8922" t="n"/>
      <c r="N84" s="8922" t="n"/>
      <c r="O84" s="8922" t="n"/>
      <c r="P84" s="8922" t="n"/>
      <c r="Q84" s="7299" t="n"/>
      <c r="R84" s="7299" t="n"/>
      <c r="S84" s="7299" t="n"/>
      <c r="T84" s="7299" t="n"/>
      <c r="U84" s="7299" t="n"/>
      <c r="V84" s="7299" t="n"/>
      <c r="W84" s="7299" t="n"/>
      <c r="X84" s="7299" t="n"/>
      <c r="Y84" s="7299" t="n"/>
      <c r="Z84" s="7299" t="n"/>
      <c r="AA84" s="7299" t="n"/>
      <c r="AB84" s="7299" t="n"/>
      <c r="AC84" s="7299" t="n"/>
      <c r="AD84" s="7299" t="n"/>
      <c r="AE84" s="8922" t="n"/>
      <c r="AF84" s="8922" t="n"/>
      <c r="AG84" s="2013" t="n"/>
      <c r="BA84" s="11747" t="n"/>
      <c r="BB84" s="11747" t="n"/>
      <c r="BC84" s="11747" t="n"/>
    </row>
    <row r="85" ht="12" customHeight="1" s="7635" thickBot="1">
      <c r="A85" s="2013">
        <f>SUM(B75:B85)</f>
        <v/>
      </c>
      <c r="B85" s="8914">
        <f>IF(C85&lt;&gt;"",1,0)</f>
        <v/>
      </c>
      <c r="C85" s="300" t="n"/>
      <c r="D85" s="3440" t="inlineStr">
        <is>
          <t xml:space="preserve"> (L) Long-term digital asset transactions not reported to you on Form 1099-DA or Form 1099-B</t>
        </is>
      </c>
      <c r="E85" s="8922" t="n"/>
      <c r="F85" s="8922" t="n"/>
      <c r="G85" s="8922" t="n"/>
      <c r="H85" s="8922" t="n"/>
      <c r="I85" s="8922" t="n"/>
      <c r="J85" s="8922" t="n"/>
      <c r="K85" s="8922" t="n"/>
      <c r="L85" s="8922" t="n"/>
      <c r="M85" s="8922" t="n"/>
      <c r="N85" s="8922" t="n"/>
      <c r="O85" s="8922" t="n"/>
      <c r="P85" s="8922" t="n"/>
      <c r="Q85" s="6018" t="n"/>
      <c r="R85" s="3823" t="n"/>
      <c r="S85" s="3823" t="n"/>
      <c r="T85" s="3823" t="n"/>
      <c r="U85" s="3823" t="n"/>
      <c r="V85" s="3823" t="n"/>
      <c r="W85" s="3823" t="n"/>
      <c r="X85" s="3823" t="n"/>
      <c r="Y85" s="3823" t="n"/>
      <c r="Z85" s="3823" t="n"/>
      <c r="AA85" s="3823" t="n"/>
      <c r="AB85" s="3823" t="n"/>
      <c r="AC85" s="3823" t="n"/>
      <c r="AD85" s="3823" t="n"/>
      <c r="AE85" s="3823" t="n"/>
      <c r="AF85" s="6020" t="n"/>
      <c r="AG85" s="2013" t="n"/>
      <c r="AH85" s="9649" t="n"/>
      <c r="AJ85" s="11392" t="inlineStr">
        <is>
          <t>Paste data from other spreadsheets, reports, etc. here.  (Use 'Paste Special, Values')</t>
        </is>
      </c>
      <c r="BA85" s="11747" t="n"/>
      <c r="BB85" s="11747" t="n"/>
      <c r="BC85" s="11747" t="n"/>
    </row>
    <row r="86" ht="5.25" customHeight="1" s="7635">
      <c r="A86" s="2013" t="n"/>
      <c r="B86" s="6012" t="n"/>
      <c r="C86" s="6013" t="n"/>
      <c r="D86" s="6012" t="n"/>
      <c r="E86" s="6012" t="n"/>
      <c r="F86" s="6012" t="n"/>
      <c r="G86" s="6012" t="n"/>
      <c r="H86" s="6012" t="n"/>
      <c r="I86" s="6012" t="n"/>
      <c r="J86" s="6012" t="n"/>
      <c r="K86" s="6012" t="n"/>
      <c r="L86" s="6012" t="n"/>
      <c r="M86" s="6012" t="n"/>
      <c r="N86" s="6013" t="n"/>
      <c r="O86" s="6012" t="n"/>
      <c r="P86" s="6012" t="n"/>
      <c r="Q86" s="6012" t="n"/>
      <c r="R86" s="6012" t="n"/>
      <c r="S86" s="6012" t="n"/>
      <c r="T86" s="6012" t="n"/>
      <c r="U86" s="6012" t="n"/>
      <c r="V86" s="6012" t="n"/>
      <c r="W86" s="6012" t="n"/>
      <c r="X86" s="6012" t="n"/>
      <c r="Y86" s="6013" t="n"/>
      <c r="Z86" s="6012" t="n"/>
      <c r="AA86" s="6012" t="n"/>
      <c r="AB86" s="6012" t="n"/>
      <c r="AC86" s="6012" t="n"/>
      <c r="AD86" s="6012" t="n"/>
      <c r="AE86" s="6012" t="n"/>
      <c r="AF86" s="6012" t="n"/>
      <c r="AG86" s="2013" t="n"/>
      <c r="BA86" s="11747" t="n"/>
      <c r="BB86" s="11747" t="n"/>
      <c r="BC86" s="11747" t="n"/>
    </row>
    <row r="87" ht="21" customHeight="1" s="7635">
      <c r="A87" s="2013" t="n"/>
      <c r="B87" s="12800" t="n">
        <v>1</v>
      </c>
      <c r="C87" s="12801" t="inlineStr">
        <is>
          <t>(a)
Description of property
(Example: 100 sh. XYZ Co.)</t>
        </is>
      </c>
      <c r="D87" s="7839" t="n"/>
      <c r="E87" s="7839" t="n"/>
      <c r="F87" s="7839" t="n"/>
      <c r="G87" s="7839" t="n"/>
      <c r="H87" s="7839" t="n"/>
      <c r="I87" s="10091" t="n"/>
      <c r="J87" s="11779" t="inlineStr">
        <is>
          <t>(b)
Date acquired
(Mo., day, yr.)</t>
        </is>
      </c>
      <c r="K87" s="7839" t="n"/>
      <c r="L87" s="10091" t="n"/>
      <c r="M87" s="11779" t="inlineStr">
        <is>
          <t>(c)
Date sold or
disposed of
(Mo., day, yr.)</t>
        </is>
      </c>
      <c r="N87" s="7839" t="n"/>
      <c r="O87" s="7839" t="n"/>
      <c r="P87" s="10091" t="n"/>
      <c r="Q87" s="11779" t="inlineStr">
        <is>
          <t>(d)
Proceeds 
(sales price) 
(see instructions)</t>
        </is>
      </c>
      <c r="R87" s="7839" t="n"/>
      <c r="S87" s="7839" t="n"/>
      <c r="T87" s="10091" t="n"/>
      <c r="U87" s="12802" t="inlineStr">
        <is>
          <t>(e)
Cost or other basis. 
See the Note below 
and see Column (e) 
in the separate 
instructions</t>
        </is>
      </c>
      <c r="V87" s="7839" t="n"/>
      <c r="W87" s="7839" t="n"/>
      <c r="X87" s="10091" t="n"/>
      <c r="Y87" s="12803" t="inlineStr">
        <is>
          <t>Adjustment, if any, to gain or loss. 
If you enter an amount in column (g), 
enter a code in column (f). 
See the separate instructions.</t>
        </is>
      </c>
      <c r="Z87" s="7839" t="n"/>
      <c r="AA87" s="7839" t="n"/>
      <c r="AB87" s="10091" t="n"/>
      <c r="AC87" s="12804" t="inlineStr">
        <is>
          <t>(h) 
Gain or (loss). 
Subtract column (e) 
from column (d) and 
combine the result 
with column (g)</t>
        </is>
      </c>
      <c r="AD87" s="7839" t="n"/>
      <c r="AE87" s="7839" t="n"/>
      <c r="AF87" s="7839" t="n"/>
      <c r="AG87" s="2013" t="n"/>
      <c r="AJ87" s="11391" t="inlineStr">
        <is>
          <t>(a)
Description of property
(Example: 100 sh. XYZ Co.)</t>
        </is>
      </c>
      <c r="AK87" s="11391" t="inlineStr">
        <is>
          <t>(b)
Date acquired 
(Mo., day, yr.)</t>
        </is>
      </c>
      <c r="AL87" s="11391" t="inlineStr">
        <is>
          <t>(c)
Date sold or disposed
(Mo., day, yr.)</t>
        </is>
      </c>
      <c r="AM87" s="11391" t="inlineStr">
        <is>
          <t>(d)
Proceeds (sales price)
(see instructions)</t>
        </is>
      </c>
      <c r="AN87" s="11400" t="inlineStr">
        <is>
          <t>(e)
Cost or other basis.
See the Note below 
and see Column (e)
in the separate instructions</t>
        </is>
      </c>
      <c r="AO87" s="12805" t="inlineStr">
        <is>
          <t>Adjustment, if any, to gain or loss. 
If you enter an amount in column (g), 
enter a code in column (f). 
See the separate instructions.</t>
        </is>
      </c>
      <c r="AP87" s="10091" t="n"/>
      <c r="AQ87" s="11391" t="inlineStr">
        <is>
          <t>(h) 
Gain or (loss). 
Subtract column (e) 
from column (d) and 
combine the result 
with column (g)</t>
        </is>
      </c>
      <c r="BA87" s="11747" t="n"/>
      <c r="BB87" s="11747" t="n"/>
      <c r="BC87" s="11747" t="n"/>
    </row>
    <row r="88" ht="21" customHeight="1" s="7635">
      <c r="A88" s="2013" t="n"/>
      <c r="I88" s="7636" t="n"/>
      <c r="J88" s="4772" t="n"/>
      <c r="L88" s="7636" t="n"/>
      <c r="M88" s="4772" t="n"/>
      <c r="P88" s="7636" t="n"/>
      <c r="Q88" s="4772" t="n"/>
      <c r="T88" s="7636" t="n"/>
      <c r="U88" s="4772" t="n"/>
      <c r="X88" s="7636" t="n"/>
      <c r="Y88" s="3614" t="n"/>
      <c r="Z88" s="7637" t="n"/>
      <c r="AA88" s="7637" t="n"/>
      <c r="AB88" s="7638" t="n"/>
      <c r="AC88" s="4772" t="n"/>
      <c r="AG88" s="2013" t="n"/>
      <c r="AJ88" s="11747" t="n"/>
      <c r="AK88" s="11747" t="n"/>
      <c r="AL88" s="11747" t="n"/>
      <c r="AM88" s="11747" t="n"/>
      <c r="AN88" s="11747" t="n"/>
      <c r="AO88" s="3614" t="n"/>
      <c r="AP88" s="7638" t="n"/>
      <c r="AQ88" s="11747" t="n"/>
      <c r="BA88" s="11747" t="n"/>
      <c r="BB88" s="11747" t="n"/>
      <c r="BC88" s="11747" t="n"/>
    </row>
    <row r="89" ht="18" customHeight="1" s="7635">
      <c r="A89" s="2013" t="n"/>
      <c r="I89" s="7636" t="n"/>
      <c r="J89" s="4772" t="n"/>
      <c r="L89" s="7636" t="n"/>
      <c r="M89" s="4772" t="n"/>
      <c r="P89" s="7636" t="n"/>
      <c r="Q89" s="4772" t="n"/>
      <c r="T89" s="7636" t="n"/>
      <c r="U89" s="4772" t="n"/>
      <c r="X89" s="7636" t="n"/>
      <c r="Y89" s="12122" t="inlineStr">
        <is>
          <t>(f) 
Code(s) from 
instructions</t>
        </is>
      </c>
      <c r="Z89" s="10091" t="n"/>
      <c r="AA89" s="12122" t="inlineStr">
        <is>
          <t>(g) 
Amount of 
adjustment</t>
        </is>
      </c>
      <c r="AB89" s="10091" t="n"/>
      <c r="AC89" s="4772" t="n"/>
      <c r="AG89" s="2013" t="n"/>
      <c r="AJ89" s="11747" t="n"/>
      <c r="AK89" s="11747" t="n"/>
      <c r="AL89" s="11747" t="n"/>
      <c r="AM89" s="11747" t="n"/>
      <c r="AN89" s="11747" t="n"/>
      <c r="AO89" s="12122" t="inlineStr">
        <is>
          <t>(f) 
Code(s) from 
instructions</t>
        </is>
      </c>
      <c r="AP89" s="12122" t="inlineStr">
        <is>
          <t>(g) 
Amount of 
adjustment</t>
        </is>
      </c>
      <c r="AQ89" s="11747" t="n"/>
      <c r="BA89" s="11747" t="n"/>
      <c r="BB89" s="11747" t="n"/>
      <c r="BC89" s="11747" t="n"/>
    </row>
    <row r="90" ht="18" customHeight="1" s="7635">
      <c r="A90" s="2013" t="n"/>
      <c r="B90" s="7637" t="n"/>
      <c r="C90" s="7637" t="n"/>
      <c r="D90" s="7637" t="n"/>
      <c r="E90" s="7637" t="n"/>
      <c r="F90" s="7637" t="n"/>
      <c r="G90" s="7637" t="n"/>
      <c r="H90" s="7637" t="n"/>
      <c r="I90" s="7638" t="n"/>
      <c r="J90" s="3614" t="n"/>
      <c r="K90" s="7637" t="n"/>
      <c r="L90" s="7638" t="n"/>
      <c r="M90" s="3614" t="n"/>
      <c r="N90" s="7637" t="n"/>
      <c r="O90" s="7637" t="n"/>
      <c r="P90" s="7638" t="n"/>
      <c r="Q90" s="3614" t="n"/>
      <c r="R90" s="7637" t="n"/>
      <c r="S90" s="7637" t="n"/>
      <c r="T90" s="7638" t="n"/>
      <c r="U90" s="3614" t="n"/>
      <c r="V90" s="7637" t="n"/>
      <c r="W90" s="7637" t="n"/>
      <c r="X90" s="7638" t="n"/>
      <c r="Y90" s="3614" t="n"/>
      <c r="Z90" s="7638" t="n"/>
      <c r="AA90" s="3614" t="n"/>
      <c r="AB90" s="7638" t="n"/>
      <c r="AC90" s="3614" t="n"/>
      <c r="AD90" s="7637" t="n"/>
      <c r="AE90" s="7637" t="n"/>
      <c r="AF90" s="7637" t="n"/>
      <c r="AG90" s="2013" t="n"/>
      <c r="AJ90" s="11934" t="n"/>
      <c r="AK90" s="11934" t="n"/>
      <c r="AL90" s="11934" t="n"/>
      <c r="AM90" s="11934" t="n"/>
      <c r="AN90" s="11934" t="n"/>
      <c r="AO90" s="11934" t="n"/>
      <c r="AP90" s="11934" t="n"/>
      <c r="AQ90" s="11934" t="n"/>
      <c r="AZ90" s="8788" t="inlineStr">
        <is>
          <t>LTOY</t>
        </is>
      </c>
      <c r="BA90" s="11934" t="n"/>
      <c r="BB90" s="11934" t="n"/>
      <c r="BC90" s="11934" t="n"/>
    </row>
    <row r="91" ht="26.25" customHeight="1" s="7635">
      <c r="A91" s="2013">
        <f>IF(OR(Q91&lt;&gt;"",U91&lt;&gt;"",AC91&lt;&gt;""),1,0)</f>
        <v/>
      </c>
      <c r="B91" s="12806">
        <f>IF(AJ91="","",AJ91)</f>
        <v/>
      </c>
      <c r="C91" s="8007" t="n"/>
      <c r="D91" s="8007" t="n"/>
      <c r="E91" s="8007" t="n"/>
      <c r="F91" s="8007" t="n"/>
      <c r="G91" s="8007" t="n"/>
      <c r="H91" s="8007" t="n"/>
      <c r="I91" s="8008" t="n"/>
      <c r="J91" s="12807">
        <f>IF(AK91="","",AK91)</f>
        <v/>
      </c>
      <c r="K91" s="8007" t="n"/>
      <c r="L91" s="8007" t="n"/>
      <c r="M91" s="12808">
        <f>IF(AL91="","",AL91)</f>
        <v/>
      </c>
      <c r="N91" s="8007" t="n"/>
      <c r="O91" s="8007" t="n"/>
      <c r="P91" s="8008" t="n"/>
      <c r="Q91" s="12809">
        <f>IF(AM91="","",AM91)</f>
        <v/>
      </c>
      <c r="R91" s="8007" t="n"/>
      <c r="S91" s="8007" t="n"/>
      <c r="T91" s="8008" t="n"/>
      <c r="U91" s="12809">
        <f>IF(AN91="","",AN91)</f>
        <v/>
      </c>
      <c r="V91" s="8007" t="n"/>
      <c r="W91" s="8007" t="n"/>
      <c r="X91" s="8008" t="n"/>
      <c r="Y91" s="12810">
        <f>IF(AO91&lt;&gt;"",AO91,"")</f>
        <v/>
      </c>
      <c r="Z91" s="8008" t="n"/>
      <c r="AA91" s="12809">
        <f>IF(AP91="","",AP91)</f>
        <v/>
      </c>
      <c r="AB91" s="8008" t="n"/>
      <c r="AC91" s="11389">
        <f>IF(AQ91&lt;&gt;"",AQ91,IF(AND(Q91="",U91=""),"",IF(AND(Q91&lt;&gt;"",U91=""),SUM(Q91,AA91),SUM(Q91,-U91,AA91))))</f>
        <v/>
      </c>
      <c r="AD91" s="8412" t="n"/>
      <c r="AE91" s="8412" t="n"/>
      <c r="AF91" s="8412" t="n"/>
      <c r="AG91" s="4271">
        <f>IF(OR(J91="",M91=""),0,IF(OR(BA91,BB91,BC91),0,1))</f>
        <v/>
      </c>
      <c r="AH91" s="6014" t="n"/>
      <c r="AI91" s="6014">
        <f>M91-J91</f>
        <v/>
      </c>
      <c r="AJ91" s="293" t="n"/>
      <c r="AK91" s="12811" t="n"/>
      <c r="AL91" s="12811" t="n"/>
      <c r="AM91" s="295" t="n"/>
      <c r="AN91" s="295" t="n"/>
      <c r="AO91" s="296" t="n"/>
      <c r="AP91" s="295" t="n"/>
      <c r="AQ91" s="294" t="n"/>
      <c r="AS91">
        <f>YEAR(J91)</f>
        <v/>
      </c>
      <c r="AT91">
        <f>MONTH(J91)</f>
        <v/>
      </c>
      <c r="AU91">
        <f>DAY(J91)</f>
        <v/>
      </c>
      <c r="AW91">
        <f>YEAR(M91)</f>
        <v/>
      </c>
      <c r="AX91">
        <f>MONTH(M91)</f>
        <v/>
      </c>
      <c r="AY91">
        <f>DAY(M91)</f>
        <v/>
      </c>
      <c r="AZ91">
        <f>OR(BA91,BB91,BC91)</f>
        <v/>
      </c>
      <c r="BA91">
        <f>AW91=AS91</f>
        <v/>
      </c>
      <c r="BB91">
        <f>AND(AW91=AS91+1,AX91&lt;AT91)</f>
        <v/>
      </c>
      <c r="BC91">
        <f>AND(AW91=AS91+1,AX91=AT91,AY91&lt;=AU91)</f>
        <v/>
      </c>
    </row>
    <row r="92" ht="26.25" customHeight="1" s="7635">
      <c r="A92" s="2013">
        <f>IF(OR(Q92&lt;&gt;"",U92&lt;&gt;"",AC92&lt;&gt;""),1,0)</f>
        <v/>
      </c>
      <c r="B92" s="12806">
        <f>IF(AJ92="","",AJ92)</f>
        <v/>
      </c>
      <c r="C92" s="8007" t="n"/>
      <c r="D92" s="8007" t="n"/>
      <c r="E92" s="8007" t="n"/>
      <c r="F92" s="8007" t="n"/>
      <c r="G92" s="8007" t="n"/>
      <c r="H92" s="8007" t="n"/>
      <c r="I92" s="8008" t="n"/>
      <c r="J92" s="12807">
        <f>IF(AK92="","",AK92)</f>
        <v/>
      </c>
      <c r="K92" s="8007" t="n"/>
      <c r="L92" s="8007" t="n"/>
      <c r="M92" s="12808">
        <f>IF(AL92="","",AL92)</f>
        <v/>
      </c>
      <c r="N92" s="8007" t="n"/>
      <c r="O92" s="8007" t="n"/>
      <c r="P92" s="8008" t="n"/>
      <c r="Q92" s="12809">
        <f>IF(AM92="","",AM92)</f>
        <v/>
      </c>
      <c r="R92" s="8007" t="n"/>
      <c r="S92" s="8007" t="n"/>
      <c r="T92" s="8008" t="n"/>
      <c r="U92" s="12809">
        <f>IF(AN92="","",AN92)</f>
        <v/>
      </c>
      <c r="V92" s="8007" t="n"/>
      <c r="W92" s="8007" t="n"/>
      <c r="X92" s="8008" t="n"/>
      <c r="Y92" s="12810">
        <f>IF(AO92&lt;&gt;"",AO92,"")</f>
        <v/>
      </c>
      <c r="Z92" s="8008" t="n"/>
      <c r="AA92" s="12809">
        <f>IF(AP92="","",AP92)</f>
        <v/>
      </c>
      <c r="AB92" s="8008" t="n"/>
      <c r="AC92" s="11389">
        <f>IF(AQ92&lt;&gt;"",AQ92,IF(AND(Q92="",U92=""),"",IF(AND(Q92&lt;&gt;"",U92=""),SUM(Q92,AA92),SUM(Q92,-U92,AA92))))</f>
        <v/>
      </c>
      <c r="AD92" s="8412" t="n"/>
      <c r="AE92" s="8412" t="n"/>
      <c r="AF92" s="8412" t="n"/>
      <c r="AG92" s="4271">
        <f>IF(OR(J92="",M92=""),0,IF(OR(BA92,BB92,BC92),0,1))</f>
        <v/>
      </c>
      <c r="AH92" s="6014" t="n"/>
      <c r="AI92" s="6014">
        <f>M92-J92</f>
        <v/>
      </c>
      <c r="AJ92" s="293" t="n"/>
      <c r="AK92" s="12811" t="n"/>
      <c r="AL92" s="12811" t="n"/>
      <c r="AM92" s="295" t="n"/>
      <c r="AN92" s="295" t="n"/>
      <c r="AO92" s="296" t="n"/>
      <c r="AP92" s="295" t="n"/>
      <c r="AQ92" s="294" t="n"/>
      <c r="AS92">
        <f>YEAR(J92)</f>
        <v/>
      </c>
      <c r="AT92">
        <f>MONTH(J92)</f>
        <v/>
      </c>
      <c r="AU92">
        <f>DAY(J92)</f>
        <v/>
      </c>
      <c r="AW92">
        <f>YEAR(M92)</f>
        <v/>
      </c>
      <c r="AX92">
        <f>MONTH(M92)</f>
        <v/>
      </c>
      <c r="AY92">
        <f>DAY(M92)</f>
        <v/>
      </c>
      <c r="AZ92">
        <f>OR(BA92,BB92,BC92)</f>
        <v/>
      </c>
      <c r="BA92">
        <f>AW92=AS92</f>
        <v/>
      </c>
      <c r="BB92">
        <f>AND(AW92=AS92+1,AX92&lt;AT92)</f>
        <v/>
      </c>
      <c r="BC92">
        <f>AND(AW92=AS92+1,AX92=AT92,AY92&lt;=AU92)</f>
        <v/>
      </c>
    </row>
    <row r="93" ht="26.25" customHeight="1" s="7635">
      <c r="A93" s="2013">
        <f>IF(OR(Q93&lt;&gt;"",U93&lt;&gt;"",AC93&lt;&gt;""),1,0)</f>
        <v/>
      </c>
      <c r="B93" s="12806">
        <f>IF(AJ93="","",AJ93)</f>
        <v/>
      </c>
      <c r="C93" s="8007" t="n"/>
      <c r="D93" s="8007" t="n"/>
      <c r="E93" s="8007" t="n"/>
      <c r="F93" s="8007" t="n"/>
      <c r="G93" s="8007" t="n"/>
      <c r="H93" s="8007" t="n"/>
      <c r="I93" s="8008" t="n"/>
      <c r="J93" s="12807">
        <f>IF(AK93="","",AK93)</f>
        <v/>
      </c>
      <c r="K93" s="8007" t="n"/>
      <c r="L93" s="8007" t="n"/>
      <c r="M93" s="12808">
        <f>IF(AL93="","",AL93)</f>
        <v/>
      </c>
      <c r="N93" s="8007" t="n"/>
      <c r="O93" s="8007" t="n"/>
      <c r="P93" s="8008" t="n"/>
      <c r="Q93" s="12809">
        <f>IF(AM93="","",AM93)</f>
        <v/>
      </c>
      <c r="R93" s="8007" t="n"/>
      <c r="S93" s="8007" t="n"/>
      <c r="T93" s="8008" t="n"/>
      <c r="U93" s="12809">
        <f>IF(AN93="","",AN93)</f>
        <v/>
      </c>
      <c r="V93" s="8007" t="n"/>
      <c r="W93" s="8007" t="n"/>
      <c r="X93" s="8008" t="n"/>
      <c r="Y93" s="12810">
        <f>IF(AO93&lt;&gt;"",AO93,"")</f>
        <v/>
      </c>
      <c r="Z93" s="8008" t="n"/>
      <c r="AA93" s="12809">
        <f>IF(AP93="","",AP93)</f>
        <v/>
      </c>
      <c r="AB93" s="8008" t="n"/>
      <c r="AC93" s="11389">
        <f>IF(AQ93&lt;&gt;"",AQ93,IF(AND(Q93="",U93=""),"",IF(AND(Q93&lt;&gt;"",U93=""),SUM(Q93,AA93),SUM(Q93,-U93,AA93))))</f>
        <v/>
      </c>
      <c r="AD93" s="8412" t="n"/>
      <c r="AE93" s="8412" t="n"/>
      <c r="AF93" s="8412" t="n"/>
      <c r="AG93" s="4271">
        <f>IF(OR(J93="",M93=""),0,IF(OR(BA93,BB93,BC93),0,1))</f>
        <v/>
      </c>
      <c r="AH93" s="6014" t="n"/>
      <c r="AI93" s="6014">
        <f>M93-J93</f>
        <v/>
      </c>
      <c r="AJ93" s="293" t="n"/>
      <c r="AK93" s="12811" t="n"/>
      <c r="AL93" s="12811" t="n"/>
      <c r="AM93" s="295" t="n"/>
      <c r="AN93" s="295" t="n"/>
      <c r="AO93" s="296" t="n"/>
      <c r="AP93" s="295" t="n"/>
      <c r="AQ93" s="294" t="n"/>
      <c r="AS93">
        <f>YEAR(J93)</f>
        <v/>
      </c>
      <c r="AT93">
        <f>MONTH(J93)</f>
        <v/>
      </c>
      <c r="AU93">
        <f>DAY(J93)</f>
        <v/>
      </c>
      <c r="AW93">
        <f>YEAR(M93)</f>
        <v/>
      </c>
      <c r="AX93">
        <f>MONTH(M93)</f>
        <v/>
      </c>
      <c r="AY93">
        <f>DAY(M93)</f>
        <v/>
      </c>
      <c r="AZ93">
        <f>OR(BA93,BB93,BC93)</f>
        <v/>
      </c>
      <c r="BA93">
        <f>AW93=AS93</f>
        <v/>
      </c>
      <c r="BB93">
        <f>AND(AW93=AS93+1,AX93&lt;AT93)</f>
        <v/>
      </c>
      <c r="BC93">
        <f>AND(AW93=AS93+1,AX93=AT93,AY93&lt;=AU93)</f>
        <v/>
      </c>
    </row>
    <row r="94" ht="26.25" customHeight="1" s="7635">
      <c r="A94" s="2013">
        <f>IF(OR(Q94&lt;&gt;"",U94&lt;&gt;"",AC94&lt;&gt;""),1,0)</f>
        <v/>
      </c>
      <c r="B94" s="12806">
        <f>IF(AJ94="","",AJ94)</f>
        <v/>
      </c>
      <c r="C94" s="8007" t="n"/>
      <c r="D94" s="8007" t="n"/>
      <c r="E94" s="8007" t="n"/>
      <c r="F94" s="8007" t="n"/>
      <c r="G94" s="8007" t="n"/>
      <c r="H94" s="8007" t="n"/>
      <c r="I94" s="8008" t="n"/>
      <c r="J94" s="12807">
        <f>IF(AK94="","",AK94)</f>
        <v/>
      </c>
      <c r="K94" s="8007" t="n"/>
      <c r="L94" s="8007" t="n"/>
      <c r="M94" s="12808">
        <f>IF(AL94="","",AL94)</f>
        <v/>
      </c>
      <c r="N94" s="8007" t="n"/>
      <c r="O94" s="8007" t="n"/>
      <c r="P94" s="8008" t="n"/>
      <c r="Q94" s="12809">
        <f>IF(AM94="","",AM94)</f>
        <v/>
      </c>
      <c r="R94" s="8007" t="n"/>
      <c r="S94" s="8007" t="n"/>
      <c r="T94" s="8008" t="n"/>
      <c r="U94" s="12809">
        <f>IF(AN94="","",AN94)</f>
        <v/>
      </c>
      <c r="V94" s="8007" t="n"/>
      <c r="W94" s="8007" t="n"/>
      <c r="X94" s="8008" t="n"/>
      <c r="Y94" s="12810">
        <f>IF(AO94&lt;&gt;"",AO94,"")</f>
        <v/>
      </c>
      <c r="Z94" s="8008" t="n"/>
      <c r="AA94" s="12809">
        <f>IF(AP94="","",AP94)</f>
        <v/>
      </c>
      <c r="AB94" s="8008" t="n"/>
      <c r="AC94" s="11389">
        <f>IF(AQ94&lt;&gt;"",AQ94,IF(AND(Q94="",U94=""),"",IF(AND(Q94&lt;&gt;"",U94=""),SUM(Q94,AA94),SUM(Q94,-U94,AA94))))</f>
        <v/>
      </c>
      <c r="AD94" s="8412" t="n"/>
      <c r="AE94" s="8412" t="n"/>
      <c r="AF94" s="8412" t="n"/>
      <c r="AG94" s="4271">
        <f>IF(OR(J94="",M94=""),0,IF(OR(BA94,BB94,BC94),0,1))</f>
        <v/>
      </c>
      <c r="AH94" s="6014" t="n"/>
      <c r="AI94" s="6014">
        <f>M94-J94</f>
        <v/>
      </c>
      <c r="AJ94" s="293" t="n"/>
      <c r="AK94" s="12811" t="n"/>
      <c r="AL94" s="12811" t="n"/>
      <c r="AM94" s="295" t="n"/>
      <c r="AN94" s="295" t="n"/>
      <c r="AO94" s="296" t="n"/>
      <c r="AP94" s="295" t="n"/>
      <c r="AQ94" s="294" t="n"/>
      <c r="AS94">
        <f>YEAR(J94)</f>
        <v/>
      </c>
      <c r="AT94">
        <f>MONTH(J94)</f>
        <v/>
      </c>
      <c r="AU94">
        <f>DAY(J94)</f>
        <v/>
      </c>
      <c r="AW94">
        <f>YEAR(M94)</f>
        <v/>
      </c>
      <c r="AX94">
        <f>MONTH(M94)</f>
        <v/>
      </c>
      <c r="AY94">
        <f>DAY(M94)</f>
        <v/>
      </c>
      <c r="AZ94">
        <f>OR(BA94,BB94,BC94)</f>
        <v/>
      </c>
      <c r="BA94">
        <f>AW94=AS94</f>
        <v/>
      </c>
      <c r="BB94">
        <f>AND(AW94=AS94+1,AX94&lt;AT94)</f>
        <v/>
      </c>
      <c r="BC94">
        <f>AND(AW94=AS94+1,AX94=AT94,AY94&lt;=AU94)</f>
        <v/>
      </c>
    </row>
    <row r="95" ht="26.25" customHeight="1" s="7635">
      <c r="A95" s="2013">
        <f>IF(OR(Q95&lt;&gt;"",U95&lt;&gt;"",AC95&lt;&gt;""),1,0)</f>
        <v/>
      </c>
      <c r="B95" s="12806">
        <f>IF(AJ95="","",AJ95)</f>
        <v/>
      </c>
      <c r="C95" s="8007" t="n"/>
      <c r="D95" s="8007" t="n"/>
      <c r="E95" s="8007" t="n"/>
      <c r="F95" s="8007" t="n"/>
      <c r="G95" s="8007" t="n"/>
      <c r="H95" s="8007" t="n"/>
      <c r="I95" s="8008" t="n"/>
      <c r="J95" s="12807">
        <f>IF(AK95="","",AK95)</f>
        <v/>
      </c>
      <c r="K95" s="8007" t="n"/>
      <c r="L95" s="8007" t="n"/>
      <c r="M95" s="12808">
        <f>IF(AL95="","",AL95)</f>
        <v/>
      </c>
      <c r="N95" s="8007" t="n"/>
      <c r="O95" s="8007" t="n"/>
      <c r="P95" s="8008" t="n"/>
      <c r="Q95" s="12809">
        <f>IF(AM95="","",AM95)</f>
        <v/>
      </c>
      <c r="R95" s="8007" t="n"/>
      <c r="S95" s="8007" t="n"/>
      <c r="T95" s="8008" t="n"/>
      <c r="U95" s="12809">
        <f>IF(AN95="","",AN95)</f>
        <v/>
      </c>
      <c r="V95" s="8007" t="n"/>
      <c r="W95" s="8007" t="n"/>
      <c r="X95" s="8008" t="n"/>
      <c r="Y95" s="12810">
        <f>IF(AO95&lt;&gt;"",AO95,"")</f>
        <v/>
      </c>
      <c r="Z95" s="8008" t="n"/>
      <c r="AA95" s="12809">
        <f>IF(AP95="","",AP95)</f>
        <v/>
      </c>
      <c r="AB95" s="8008" t="n"/>
      <c r="AC95" s="11389">
        <f>IF(AQ95&lt;&gt;"",AQ95,IF(AND(Q95="",U95=""),"",IF(AND(Q95&lt;&gt;"",U95=""),SUM(Q95,AA95),SUM(Q95,-U95,AA95))))</f>
        <v/>
      </c>
      <c r="AD95" s="8412" t="n"/>
      <c r="AE95" s="8412" t="n"/>
      <c r="AF95" s="8412" t="n"/>
      <c r="AG95" s="4271">
        <f>IF(OR(J95="",M95=""),0,IF(OR(BA95,BB95,BC95),0,1))</f>
        <v/>
      </c>
      <c r="AH95" s="6014" t="n"/>
      <c r="AI95" s="6014">
        <f>M95-J95</f>
        <v/>
      </c>
      <c r="AJ95" s="293" t="n"/>
      <c r="AK95" s="12811" t="n"/>
      <c r="AL95" s="12811" t="n"/>
      <c r="AM95" s="295" t="n"/>
      <c r="AN95" s="295" t="n"/>
      <c r="AO95" s="296" t="n"/>
      <c r="AP95" s="295" t="n"/>
      <c r="AQ95" s="294" t="n"/>
      <c r="AS95">
        <f>YEAR(J95)</f>
        <v/>
      </c>
      <c r="AT95">
        <f>MONTH(J95)</f>
        <v/>
      </c>
      <c r="AU95">
        <f>DAY(J95)</f>
        <v/>
      </c>
      <c r="AW95">
        <f>YEAR(M95)</f>
        <v/>
      </c>
      <c r="AX95">
        <f>MONTH(M95)</f>
        <v/>
      </c>
      <c r="AY95">
        <f>DAY(M95)</f>
        <v/>
      </c>
      <c r="AZ95">
        <f>OR(BA95,BB95,BC95)</f>
        <v/>
      </c>
      <c r="BA95">
        <f>AW95=AS95</f>
        <v/>
      </c>
      <c r="BB95">
        <f>AND(AW95=AS95+1,AX95&lt;AT95)</f>
        <v/>
      </c>
      <c r="BC95">
        <f>AND(AW95=AS95+1,AX95=AT95,AY95&lt;=AU95)</f>
        <v/>
      </c>
    </row>
    <row r="96" ht="26.25" customHeight="1" s="7635">
      <c r="A96" s="2013">
        <f>IF(OR(Q96&lt;&gt;"",U96&lt;&gt;"",AC96&lt;&gt;""),1,0)</f>
        <v/>
      </c>
      <c r="B96" s="12806">
        <f>IF(AJ96="","",AJ96)</f>
        <v/>
      </c>
      <c r="C96" s="8007" t="n"/>
      <c r="D96" s="8007" t="n"/>
      <c r="E96" s="8007" t="n"/>
      <c r="F96" s="8007" t="n"/>
      <c r="G96" s="8007" t="n"/>
      <c r="H96" s="8007" t="n"/>
      <c r="I96" s="8008" t="n"/>
      <c r="J96" s="12807">
        <f>IF(AK96="","",AK96)</f>
        <v/>
      </c>
      <c r="K96" s="8007" t="n"/>
      <c r="L96" s="8007" t="n"/>
      <c r="M96" s="12808">
        <f>IF(AL96="","",AL96)</f>
        <v/>
      </c>
      <c r="N96" s="8007" t="n"/>
      <c r="O96" s="8007" t="n"/>
      <c r="P96" s="8008" t="n"/>
      <c r="Q96" s="12809">
        <f>IF(AM96="","",AM96)</f>
        <v/>
      </c>
      <c r="R96" s="8007" t="n"/>
      <c r="S96" s="8007" t="n"/>
      <c r="T96" s="8008" t="n"/>
      <c r="U96" s="12809">
        <f>IF(AN96="","",AN96)</f>
        <v/>
      </c>
      <c r="V96" s="8007" t="n"/>
      <c r="W96" s="8007" t="n"/>
      <c r="X96" s="8008" t="n"/>
      <c r="Y96" s="12810">
        <f>IF(AO96&lt;&gt;"",AO96,"")</f>
        <v/>
      </c>
      <c r="Z96" s="8008" t="n"/>
      <c r="AA96" s="12809">
        <f>IF(AP96="","",AP96)</f>
        <v/>
      </c>
      <c r="AB96" s="8008" t="n"/>
      <c r="AC96" s="11389">
        <f>IF(AQ96&lt;&gt;"",AQ96,IF(AND(Q96="",U96=""),"",IF(AND(Q96&lt;&gt;"",U96=""),SUM(Q96,AA96),SUM(Q96,-U96,AA96))))</f>
        <v/>
      </c>
      <c r="AD96" s="8412" t="n"/>
      <c r="AE96" s="8412" t="n"/>
      <c r="AF96" s="8412" t="n"/>
      <c r="AG96" s="4271">
        <f>IF(OR(J96="",M96=""),0,IF(OR(BA96,BB96,BC96),0,1))</f>
        <v/>
      </c>
      <c r="AH96" s="6014" t="n"/>
      <c r="AI96" s="6014">
        <f>M96-J96</f>
        <v/>
      </c>
      <c r="AJ96" s="293" t="n"/>
      <c r="AK96" s="12811" t="n"/>
      <c r="AL96" s="12811" t="n"/>
      <c r="AM96" s="295" t="n"/>
      <c r="AN96" s="295" t="n"/>
      <c r="AO96" s="296" t="n"/>
      <c r="AP96" s="295" t="n"/>
      <c r="AQ96" s="294" t="n"/>
      <c r="AS96">
        <f>YEAR(J96)</f>
        <v/>
      </c>
      <c r="AT96">
        <f>MONTH(J96)</f>
        <v/>
      </c>
      <c r="AU96">
        <f>DAY(J96)</f>
        <v/>
      </c>
      <c r="AW96">
        <f>YEAR(M96)</f>
        <v/>
      </c>
      <c r="AX96">
        <f>MONTH(M96)</f>
        <v/>
      </c>
      <c r="AY96">
        <f>DAY(M96)</f>
        <v/>
      </c>
      <c r="AZ96">
        <f>OR(BA96,BB96,BC96)</f>
        <v/>
      </c>
      <c r="BA96">
        <f>AW96=AS96</f>
        <v/>
      </c>
      <c r="BB96">
        <f>AND(AW96=AS96+1,AX96&lt;AT96)</f>
        <v/>
      </c>
      <c r="BC96">
        <f>AND(AW96=AS96+1,AX96=AT96,AY96&lt;=AU96)</f>
        <v/>
      </c>
    </row>
    <row r="97" ht="26.25" customHeight="1" s="7635">
      <c r="A97" s="2013">
        <f>IF(OR(Q97&lt;&gt;"",U97&lt;&gt;"",AC97&lt;&gt;""),1,0)</f>
        <v/>
      </c>
      <c r="B97" s="12806">
        <f>IF(AJ97="","",AJ97)</f>
        <v/>
      </c>
      <c r="C97" s="8007" t="n"/>
      <c r="D97" s="8007" t="n"/>
      <c r="E97" s="8007" t="n"/>
      <c r="F97" s="8007" t="n"/>
      <c r="G97" s="8007" t="n"/>
      <c r="H97" s="8007" t="n"/>
      <c r="I97" s="8008" t="n"/>
      <c r="J97" s="12807">
        <f>IF(AK97="","",AK97)</f>
        <v/>
      </c>
      <c r="K97" s="8007" t="n"/>
      <c r="L97" s="8007" t="n"/>
      <c r="M97" s="12808">
        <f>IF(AL97="","",AL97)</f>
        <v/>
      </c>
      <c r="N97" s="8007" t="n"/>
      <c r="O97" s="8007" t="n"/>
      <c r="P97" s="8008" t="n"/>
      <c r="Q97" s="12809">
        <f>IF(AM97="","",AM97)</f>
        <v/>
      </c>
      <c r="R97" s="8007" t="n"/>
      <c r="S97" s="8007" t="n"/>
      <c r="T97" s="8008" t="n"/>
      <c r="U97" s="12809">
        <f>IF(AN97="","",AN97)</f>
        <v/>
      </c>
      <c r="V97" s="8007" t="n"/>
      <c r="W97" s="8007" t="n"/>
      <c r="X97" s="8008" t="n"/>
      <c r="Y97" s="12810">
        <f>IF(AO97&lt;&gt;"",AO97,"")</f>
        <v/>
      </c>
      <c r="Z97" s="8008" t="n"/>
      <c r="AA97" s="12809">
        <f>IF(AP97="","",AP97)</f>
        <v/>
      </c>
      <c r="AB97" s="8008" t="n"/>
      <c r="AC97" s="11389">
        <f>IF(AQ97&lt;&gt;"",AQ97,IF(AND(Q97="",U97=""),"",IF(AND(Q97&lt;&gt;"",U97=""),SUM(Q97,AA97),SUM(Q97,-U97,AA97))))</f>
        <v/>
      </c>
      <c r="AD97" s="8412" t="n"/>
      <c r="AE97" s="8412" t="n"/>
      <c r="AF97" s="8412" t="n"/>
      <c r="AG97" s="4271">
        <f>IF(OR(J97="",M97=""),0,IF(OR(BA97,BB97,BC97),0,1))</f>
        <v/>
      </c>
      <c r="AH97" s="6014" t="n"/>
      <c r="AI97" s="6014">
        <f>M97-J97</f>
        <v/>
      </c>
      <c r="AJ97" s="293" t="n"/>
      <c r="AK97" s="12811" t="n"/>
      <c r="AL97" s="12811" t="n"/>
      <c r="AM97" s="295" t="n"/>
      <c r="AN97" s="295" t="n"/>
      <c r="AO97" s="296" t="n"/>
      <c r="AP97" s="295" t="n"/>
      <c r="AQ97" s="294" t="n"/>
      <c r="AS97">
        <f>YEAR(J97)</f>
        <v/>
      </c>
      <c r="AT97">
        <f>MONTH(J97)</f>
        <v/>
      </c>
      <c r="AU97">
        <f>DAY(J97)</f>
        <v/>
      </c>
      <c r="AW97">
        <f>YEAR(M97)</f>
        <v/>
      </c>
      <c r="AX97">
        <f>MONTH(M97)</f>
        <v/>
      </c>
      <c r="AY97">
        <f>DAY(M97)</f>
        <v/>
      </c>
      <c r="AZ97">
        <f>OR(BA97,BB97,BC97)</f>
        <v/>
      </c>
      <c r="BA97">
        <f>AW97=AS97</f>
        <v/>
      </c>
      <c r="BB97">
        <f>AND(AW97=AS97+1,AX97&lt;AT97)</f>
        <v/>
      </c>
      <c r="BC97">
        <f>AND(AW97=AS97+1,AX97=AT97,AY97&lt;=AU97)</f>
        <v/>
      </c>
    </row>
    <row r="98" ht="26.25" customHeight="1" s="7635">
      <c r="A98" s="2013">
        <f>IF(OR(Q98&lt;&gt;"",U98&lt;&gt;"",AC98&lt;&gt;""),1,0)</f>
        <v/>
      </c>
      <c r="B98" s="12806">
        <f>IF(AJ98="","",AJ98)</f>
        <v/>
      </c>
      <c r="C98" s="8007" t="n"/>
      <c r="D98" s="8007" t="n"/>
      <c r="E98" s="8007" t="n"/>
      <c r="F98" s="8007" t="n"/>
      <c r="G98" s="8007" t="n"/>
      <c r="H98" s="8007" t="n"/>
      <c r="I98" s="8008" t="n"/>
      <c r="J98" s="12807">
        <f>IF(AK98="","",AK98)</f>
        <v/>
      </c>
      <c r="K98" s="8007" t="n"/>
      <c r="L98" s="8007" t="n"/>
      <c r="M98" s="12808">
        <f>IF(AL98="","",AL98)</f>
        <v/>
      </c>
      <c r="N98" s="8007" t="n"/>
      <c r="O98" s="8007" t="n"/>
      <c r="P98" s="8008" t="n"/>
      <c r="Q98" s="12809">
        <f>IF(AM98="","",AM98)</f>
        <v/>
      </c>
      <c r="R98" s="8007" t="n"/>
      <c r="S98" s="8007" t="n"/>
      <c r="T98" s="8008" t="n"/>
      <c r="U98" s="12809">
        <f>IF(AN98="","",AN98)</f>
        <v/>
      </c>
      <c r="V98" s="8007" t="n"/>
      <c r="W98" s="8007" t="n"/>
      <c r="X98" s="8008" t="n"/>
      <c r="Y98" s="12810">
        <f>IF(AO98&lt;&gt;"",AO98,"")</f>
        <v/>
      </c>
      <c r="Z98" s="8008" t="n"/>
      <c r="AA98" s="12809">
        <f>IF(AP98="","",AP98)</f>
        <v/>
      </c>
      <c r="AB98" s="8008" t="n"/>
      <c r="AC98" s="11389">
        <f>IF(AQ98&lt;&gt;"",AQ98,IF(AND(Q98="",U98=""),"",IF(AND(Q98&lt;&gt;"",U98=""),SUM(Q98,AA98),SUM(Q98,-U98,AA98))))</f>
        <v/>
      </c>
      <c r="AD98" s="8412" t="n"/>
      <c r="AE98" s="8412" t="n"/>
      <c r="AF98" s="8412" t="n"/>
      <c r="AG98" s="4271">
        <f>IF(OR(J98="",M98=""),0,IF(OR(BA98,BB98,BC98),0,1))</f>
        <v/>
      </c>
      <c r="AH98" s="6014" t="n"/>
      <c r="AI98" s="6014">
        <f>M98-J98</f>
        <v/>
      </c>
      <c r="AJ98" s="293" t="n"/>
      <c r="AK98" s="12811" t="n"/>
      <c r="AL98" s="12811" t="n"/>
      <c r="AM98" s="295" t="n"/>
      <c r="AN98" s="295" t="n"/>
      <c r="AO98" s="296" t="n"/>
      <c r="AP98" s="295" t="n"/>
      <c r="AQ98" s="294" t="n"/>
      <c r="AS98">
        <f>YEAR(J98)</f>
        <v/>
      </c>
      <c r="AT98">
        <f>MONTH(J98)</f>
        <v/>
      </c>
      <c r="AU98">
        <f>DAY(J98)</f>
        <v/>
      </c>
      <c r="AW98">
        <f>YEAR(M98)</f>
        <v/>
      </c>
      <c r="AX98">
        <f>MONTH(M98)</f>
        <v/>
      </c>
      <c r="AY98">
        <f>DAY(M98)</f>
        <v/>
      </c>
      <c r="AZ98">
        <f>OR(BA98,BB98,BC98)</f>
        <v/>
      </c>
      <c r="BA98">
        <f>AW98=AS98</f>
        <v/>
      </c>
      <c r="BB98">
        <f>AND(AW98=AS98+1,AX98&lt;AT98)</f>
        <v/>
      </c>
      <c r="BC98">
        <f>AND(AW98=AS98+1,AX98=AT98,AY98&lt;=AU98)</f>
        <v/>
      </c>
    </row>
    <row r="99" ht="26.25" customHeight="1" s="7635">
      <c r="A99" s="2013">
        <f>IF(OR(Q99&lt;&gt;"",U99&lt;&gt;"",AC99&lt;&gt;""),1,0)</f>
        <v/>
      </c>
      <c r="B99" s="12806">
        <f>IF(AJ99="","",AJ99)</f>
        <v/>
      </c>
      <c r="C99" s="8007" t="n"/>
      <c r="D99" s="8007" t="n"/>
      <c r="E99" s="8007" t="n"/>
      <c r="F99" s="8007" t="n"/>
      <c r="G99" s="8007" t="n"/>
      <c r="H99" s="8007" t="n"/>
      <c r="I99" s="8008" t="n"/>
      <c r="J99" s="12807">
        <f>IF(AK99="","",AK99)</f>
        <v/>
      </c>
      <c r="K99" s="8007" t="n"/>
      <c r="L99" s="8007" t="n"/>
      <c r="M99" s="12808">
        <f>IF(AL99="","",AL99)</f>
        <v/>
      </c>
      <c r="N99" s="8007" t="n"/>
      <c r="O99" s="8007" t="n"/>
      <c r="P99" s="8008" t="n"/>
      <c r="Q99" s="12809">
        <f>IF(AM99="","",AM99)</f>
        <v/>
      </c>
      <c r="R99" s="8007" t="n"/>
      <c r="S99" s="8007" t="n"/>
      <c r="T99" s="8008" t="n"/>
      <c r="U99" s="12809">
        <f>IF(AN99="","",AN99)</f>
        <v/>
      </c>
      <c r="V99" s="8007" t="n"/>
      <c r="W99" s="8007" t="n"/>
      <c r="X99" s="8008" t="n"/>
      <c r="Y99" s="12810">
        <f>IF(AO99&lt;&gt;"",AO99,"")</f>
        <v/>
      </c>
      <c r="Z99" s="8008" t="n"/>
      <c r="AA99" s="12809">
        <f>IF(AP99="","",AP99)</f>
        <v/>
      </c>
      <c r="AB99" s="8008" t="n"/>
      <c r="AC99" s="11389">
        <f>IF(AQ99&lt;&gt;"",AQ99,IF(AND(Q99="",U99=""),"",IF(AND(Q99&lt;&gt;"",U99=""),SUM(Q99,AA99),SUM(Q99,-U99,AA99))))</f>
        <v/>
      </c>
      <c r="AD99" s="8412" t="n"/>
      <c r="AE99" s="8412" t="n"/>
      <c r="AF99" s="8412" t="n"/>
      <c r="AG99" s="4271">
        <f>IF(OR(J99="",M99=""),0,IF(OR(BA99,BB99,BC99),0,1))</f>
        <v/>
      </c>
      <c r="AH99" s="6014" t="n"/>
      <c r="AI99" s="6014">
        <f>M99-J99</f>
        <v/>
      </c>
      <c r="AJ99" s="293" t="n"/>
      <c r="AK99" s="12811" t="n"/>
      <c r="AL99" s="12811" t="n"/>
      <c r="AM99" s="295" t="n"/>
      <c r="AN99" s="295" t="n"/>
      <c r="AO99" s="296" t="n"/>
      <c r="AP99" s="295" t="n"/>
      <c r="AQ99" s="294" t="n"/>
      <c r="AS99">
        <f>YEAR(J99)</f>
        <v/>
      </c>
      <c r="AT99">
        <f>MONTH(J99)</f>
        <v/>
      </c>
      <c r="AU99">
        <f>DAY(J99)</f>
        <v/>
      </c>
      <c r="AW99">
        <f>YEAR(M99)</f>
        <v/>
      </c>
      <c r="AX99">
        <f>MONTH(M99)</f>
        <v/>
      </c>
      <c r="AY99">
        <f>DAY(M99)</f>
        <v/>
      </c>
      <c r="AZ99">
        <f>OR(BA99,BB99,BC99)</f>
        <v/>
      </c>
      <c r="BA99">
        <f>AW99=AS99</f>
        <v/>
      </c>
      <c r="BB99">
        <f>AND(AW99=AS99+1,AX99&lt;AT99)</f>
        <v/>
      </c>
      <c r="BC99">
        <f>AND(AW99=AS99+1,AX99=AT99,AY99&lt;=AU99)</f>
        <v/>
      </c>
    </row>
    <row r="100" ht="26.25" customHeight="1" s="7635">
      <c r="A100" s="2013">
        <f>IF(OR(Q100&lt;&gt;"",U100&lt;&gt;"",AC100&lt;&gt;""),1,0)</f>
        <v/>
      </c>
      <c r="B100" s="12806">
        <f>IF(AJ100="","",AJ100)</f>
        <v/>
      </c>
      <c r="C100" s="8007" t="n"/>
      <c r="D100" s="8007" t="n"/>
      <c r="E100" s="8007" t="n"/>
      <c r="F100" s="8007" t="n"/>
      <c r="G100" s="8007" t="n"/>
      <c r="H100" s="8007" t="n"/>
      <c r="I100" s="8008" t="n"/>
      <c r="J100" s="12807">
        <f>IF(AK100="","",AK100)</f>
        <v/>
      </c>
      <c r="K100" s="8007" t="n"/>
      <c r="L100" s="8007" t="n"/>
      <c r="M100" s="12808">
        <f>IF(AL100="","",AL100)</f>
        <v/>
      </c>
      <c r="N100" s="8007" t="n"/>
      <c r="O100" s="8007" t="n"/>
      <c r="P100" s="8008" t="n"/>
      <c r="Q100" s="12809">
        <f>IF(AM100="","",AM100)</f>
        <v/>
      </c>
      <c r="R100" s="8007" t="n"/>
      <c r="S100" s="8007" t="n"/>
      <c r="T100" s="8008" t="n"/>
      <c r="U100" s="12809">
        <f>IF(AN100="","",AN100)</f>
        <v/>
      </c>
      <c r="V100" s="8007" t="n"/>
      <c r="W100" s="8007" t="n"/>
      <c r="X100" s="8008" t="n"/>
      <c r="Y100" s="12810">
        <f>IF(AO100&lt;&gt;"",AO100,"")</f>
        <v/>
      </c>
      <c r="Z100" s="8008" t="n"/>
      <c r="AA100" s="12809">
        <f>IF(AP100="","",AP100)</f>
        <v/>
      </c>
      <c r="AB100" s="8008" t="n"/>
      <c r="AC100" s="11389">
        <f>IF(AQ100&lt;&gt;"",AQ100,IF(AND(Q100="",U100=""),"",IF(AND(Q100&lt;&gt;"",U100=""),SUM(Q100,AA100),SUM(Q100,-U100,AA100))))</f>
        <v/>
      </c>
      <c r="AD100" s="8412" t="n"/>
      <c r="AE100" s="8412" t="n"/>
      <c r="AF100" s="8412" t="n"/>
      <c r="AG100" s="4271">
        <f>IF(OR(J100="",M100=""),0,IF(OR(BA100,BB100,BC100),0,1))</f>
        <v/>
      </c>
      <c r="AH100" s="6014" t="n"/>
      <c r="AI100" s="6014">
        <f>M100-J100</f>
        <v/>
      </c>
      <c r="AJ100" s="293" t="n"/>
      <c r="AK100" s="12811" t="n"/>
      <c r="AL100" s="12811" t="n"/>
      <c r="AM100" s="295" t="n"/>
      <c r="AN100" s="295" t="n"/>
      <c r="AO100" s="296" t="n"/>
      <c r="AP100" s="295" t="n"/>
      <c r="AQ100" s="294" t="n"/>
      <c r="AS100">
        <f>YEAR(J100)</f>
        <v/>
      </c>
      <c r="AT100">
        <f>MONTH(J100)</f>
        <v/>
      </c>
      <c r="AU100">
        <f>DAY(J100)</f>
        <v/>
      </c>
      <c r="AW100">
        <f>YEAR(M100)</f>
        <v/>
      </c>
      <c r="AX100">
        <f>MONTH(M100)</f>
        <v/>
      </c>
      <c r="AY100">
        <f>DAY(M100)</f>
        <v/>
      </c>
      <c r="AZ100">
        <f>OR(BA100,BB100,BC100)</f>
        <v/>
      </c>
      <c r="BA100">
        <f>AW100=AS100</f>
        <v/>
      </c>
      <c r="BB100">
        <f>AND(AW100=AS100+1,AX100&lt;AT100)</f>
        <v/>
      </c>
      <c r="BC100">
        <f>AND(AW100=AS100+1,AX100=AT100,AY100&lt;=AU100)</f>
        <v/>
      </c>
    </row>
    <row r="101" ht="26.25" customHeight="1" s="7635">
      <c r="A101" s="2013">
        <f>IF(OR(Q101&lt;&gt;"",U101&lt;&gt;"",AC101&lt;&gt;""),1,0)</f>
        <v/>
      </c>
      <c r="B101" s="12806">
        <f>IF(AJ101="","",AJ101)</f>
        <v/>
      </c>
      <c r="C101" s="8007" t="n"/>
      <c r="D101" s="8007" t="n"/>
      <c r="E101" s="8007" t="n"/>
      <c r="F101" s="8007" t="n"/>
      <c r="G101" s="8007" t="n"/>
      <c r="H101" s="8007" t="n"/>
      <c r="I101" s="8008" t="n"/>
      <c r="J101" s="12807">
        <f>IF(AK101="","",AK101)</f>
        <v/>
      </c>
      <c r="K101" s="8007" t="n"/>
      <c r="L101" s="8007" t="n"/>
      <c r="M101" s="12808">
        <f>IF(AL101="","",AL101)</f>
        <v/>
      </c>
      <c r="N101" s="8007" t="n"/>
      <c r="O101" s="8007" t="n"/>
      <c r="P101" s="8008" t="n"/>
      <c r="Q101" s="12809">
        <f>IF(AM101="","",AM101)</f>
        <v/>
      </c>
      <c r="R101" s="8007" t="n"/>
      <c r="S101" s="8007" t="n"/>
      <c r="T101" s="8008" t="n"/>
      <c r="U101" s="12809">
        <f>IF(AN101="","",AN101)</f>
        <v/>
      </c>
      <c r="V101" s="8007" t="n"/>
      <c r="W101" s="8007" t="n"/>
      <c r="X101" s="8008" t="n"/>
      <c r="Y101" s="12810">
        <f>IF(AO101&lt;&gt;"",AO101,"")</f>
        <v/>
      </c>
      <c r="Z101" s="8008" t="n"/>
      <c r="AA101" s="12809">
        <f>IF(AP101="","",AP101)</f>
        <v/>
      </c>
      <c r="AB101" s="8008" t="n"/>
      <c r="AC101" s="11389">
        <f>IF(AQ101&lt;&gt;"",AQ101,IF(AND(Q101="",U101=""),"",IF(AND(Q101&lt;&gt;"",U101=""),SUM(Q101,AA101),SUM(Q101,-U101,AA101))))</f>
        <v/>
      </c>
      <c r="AD101" s="8412" t="n"/>
      <c r="AE101" s="8412" t="n"/>
      <c r="AF101" s="8412" t="n"/>
      <c r="AG101" s="4271">
        <f>IF(OR(J101="",M101=""),0,IF(OR(BA101,BB101,BC101),0,1))</f>
        <v/>
      </c>
      <c r="AH101" s="6014" t="n"/>
      <c r="AI101" s="6014">
        <f>M101-J101</f>
        <v/>
      </c>
      <c r="AJ101" s="293" t="n"/>
      <c r="AK101" s="12811" t="n"/>
      <c r="AL101" s="12811" t="n"/>
      <c r="AM101" s="295" t="n"/>
      <c r="AN101" s="295" t="n"/>
      <c r="AO101" s="296" t="n"/>
      <c r="AP101" s="295" t="n"/>
      <c r="AQ101" s="294" t="n"/>
      <c r="AS101">
        <f>YEAR(J101)</f>
        <v/>
      </c>
      <c r="AT101">
        <f>MONTH(J101)</f>
        <v/>
      </c>
      <c r="AU101">
        <f>DAY(J101)</f>
        <v/>
      </c>
      <c r="AW101">
        <f>YEAR(M101)</f>
        <v/>
      </c>
      <c r="AX101">
        <f>MONTH(M101)</f>
        <v/>
      </c>
      <c r="AY101">
        <f>DAY(M101)</f>
        <v/>
      </c>
      <c r="AZ101">
        <f>OR(BA101,BB101,BC101)</f>
        <v/>
      </c>
      <c r="BA101">
        <f>AW101=AS101</f>
        <v/>
      </c>
      <c r="BB101">
        <f>AND(AW101=AS101+1,AX101&lt;AT101)</f>
        <v/>
      </c>
      <c r="BC101">
        <f>AND(AW101=AS101+1,AX101=AT101,AY101&lt;=AU101)</f>
        <v/>
      </c>
    </row>
    <row r="102" ht="12" customHeight="1" s="7635">
      <c r="A102" s="2013">
        <f>SUM(A91:A101)</f>
        <v/>
      </c>
      <c r="B102" s="11457" t="n">
        <v>2</v>
      </c>
      <c r="C102" s="11484" t="inlineStr">
        <is>
          <t>Totals. Add the amounts in columns (d), (e), (g), and (h)
(subtract negative amounts). Enter each total here and
include on your Schedule D, line 8b (if Box D or Box J
above is checked), line 9 (if Box E or Box K above is
checked), or line 10 (if Box F or Box L above is checked)</t>
        </is>
      </c>
      <c r="D102" s="7839" t="n"/>
      <c r="E102" s="7839" t="n"/>
      <c r="F102" s="7839" t="n"/>
      <c r="G102" s="7839" t="n"/>
      <c r="H102" s="7839" t="n"/>
      <c r="I102" s="7839" t="n"/>
      <c r="J102" s="7839" t="n"/>
      <c r="K102" s="7839" t="n"/>
      <c r="L102" s="7839" t="n"/>
      <c r="M102" s="7839" t="n"/>
      <c r="N102" s="7839" t="n"/>
      <c r="O102" s="7839" t="n"/>
      <c r="P102" s="7839" t="n"/>
      <c r="Q102" s="12814">
        <f>IF(A102=0,"",ROUND(SUM(Q91:Q101),0))</f>
        <v/>
      </c>
      <c r="R102" s="7839" t="n"/>
      <c r="S102" s="7839" t="n"/>
      <c r="T102" s="10091" t="n"/>
      <c r="U102" s="12815">
        <f>IF(A102=0,"",ROUND(SUM(U91:U101),0))</f>
        <v/>
      </c>
      <c r="V102" s="7839" t="n"/>
      <c r="W102" s="7839" t="n"/>
      <c r="X102" s="10091" t="n"/>
      <c r="Y102" s="12813" t="n"/>
      <c r="Z102" s="10091" t="n"/>
      <c r="AA102" s="12812">
        <f>IF(A102=0,"",ROUND(SUM(AA91:AA101),0))</f>
        <v/>
      </c>
      <c r="AB102" s="10091" t="n"/>
      <c r="AC102" s="11459">
        <f>IF(A102=0,"",ROUND(SUM(AC91:AC101),0))</f>
        <v/>
      </c>
      <c r="AD102" s="7839" t="n"/>
      <c r="AE102" s="7839" t="n"/>
      <c r="AF102" s="7839" t="n"/>
      <c r="AG102" s="2013" t="n"/>
    </row>
    <row r="103" ht="12" customHeight="1" s="7635">
      <c r="A103" s="2013" t="n"/>
      <c r="Q103" s="4772" t="n"/>
      <c r="T103" s="7636" t="n"/>
      <c r="U103" s="4772" t="n"/>
      <c r="X103" s="7636" t="n"/>
      <c r="Y103" s="4772" t="n"/>
      <c r="Z103" s="7636" t="n"/>
      <c r="AA103" s="4772" t="n"/>
      <c r="AB103" s="7636" t="n"/>
      <c r="AC103" s="4772" t="n"/>
      <c r="AG103" s="2013" t="n"/>
    </row>
    <row r="104" ht="12" customHeight="1" s="7635">
      <c r="A104" s="2013" t="n"/>
      <c r="Q104" s="4772" t="n"/>
      <c r="T104" s="7636" t="n"/>
      <c r="U104" s="4772" t="n"/>
      <c r="X104" s="7636" t="n"/>
      <c r="Y104" s="4772" t="n"/>
      <c r="Z104" s="7636" t="n"/>
      <c r="AA104" s="4772" t="n"/>
      <c r="AB104" s="7636" t="n"/>
      <c r="AC104" s="4772" t="n"/>
      <c r="AG104" s="2013" t="n"/>
    </row>
    <row r="105" ht="12" customHeight="1" s="7635">
      <c r="A105" s="2013" t="n"/>
      <c r="Q105" s="4772" t="n"/>
      <c r="T105" s="7636" t="n"/>
      <c r="U105" s="4772" t="n"/>
      <c r="X105" s="7636" t="n"/>
      <c r="Y105" s="4772" t="n"/>
      <c r="Z105" s="7636" t="n"/>
      <c r="AA105" s="4772" t="n"/>
      <c r="AB105" s="7636" t="n"/>
      <c r="AC105" s="4772" t="n"/>
      <c r="AG105" s="2013" t="n"/>
    </row>
    <row r="106" ht="12" customHeight="1" s="7635" thickBot="1">
      <c r="A106" s="2013" t="n"/>
      <c r="Q106" s="4772" t="n"/>
      <c r="T106" s="7636" t="n"/>
      <c r="U106" s="11950" t="n"/>
      <c r="V106" s="8848" t="n"/>
      <c r="W106" s="8848" t="n"/>
      <c r="X106" s="12121" t="n"/>
      <c r="Y106" s="3614" t="n"/>
      <c r="Z106" s="7638" t="n"/>
      <c r="AA106" s="3614" t="n"/>
      <c r="AB106" s="7638" t="n"/>
      <c r="AC106" s="4772" t="n"/>
      <c r="AG106" s="2013" t="n"/>
    </row>
    <row r="107" ht="25.5" customHeight="1" s="7635" thickBot="1">
      <c r="A107" s="2013" t="n"/>
      <c r="B107" s="11479" t="inlineStr">
        <is>
          <t>Note. If you checked Box D or Box J above but the basis reported to the IRS was incorrect, enter in column (e) the basis as reported to the IRS, and
enter an adjustment in column (g) to correct the basis. See Column (g) in the separate instructions for how to figure the amount of the adjustment.</t>
        </is>
      </c>
      <c r="C107" s="11822" t="n"/>
      <c r="D107" s="11822" t="n"/>
      <c r="E107" s="11822" t="n"/>
      <c r="F107" s="11822" t="n"/>
      <c r="G107" s="11822" t="n"/>
      <c r="H107" s="11822" t="n"/>
      <c r="I107" s="11822" t="n"/>
      <c r="J107" s="11822" t="n"/>
      <c r="K107" s="11822" t="n"/>
      <c r="L107" s="11822" t="n"/>
      <c r="M107" s="11822" t="n"/>
      <c r="N107" s="11822" t="n"/>
      <c r="O107" s="11822" t="n"/>
      <c r="P107" s="11822" t="n"/>
      <c r="Q107" s="11822" t="n"/>
      <c r="R107" s="11822" t="n"/>
      <c r="S107" s="11822" t="n"/>
      <c r="T107" s="11822" t="n"/>
      <c r="U107" s="11822" t="n"/>
      <c r="V107" s="11822" t="n"/>
      <c r="W107" s="11822" t="n"/>
      <c r="X107" s="11822" t="n"/>
      <c r="Y107" s="11822" t="n"/>
      <c r="Z107" s="11822" t="n"/>
      <c r="AA107" s="11822" t="n"/>
      <c r="AB107" s="11822" t="n"/>
      <c r="AC107" s="11822" t="n"/>
      <c r="AD107" s="11822" t="n"/>
      <c r="AE107" s="11822" t="n"/>
      <c r="AF107" s="11822" t="n"/>
      <c r="AG107" s="2013" t="n"/>
    </row>
    <row r="108" ht="14.25" customFormat="1" customHeight="1" s="9864" thickTop="1">
      <c r="A108" s="2306" t="n"/>
      <c r="B108" s="6015" t="n"/>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3931" t="n"/>
      <c r="V108" s="88" t="n"/>
      <c r="W108" s="88" t="n"/>
      <c r="X108" s="88" t="n"/>
      <c r="Y108" s="88" t="n"/>
      <c r="Z108" s="88" t="n"/>
      <c r="AA108" s="88" t="n"/>
      <c r="AB108" s="88" t="n"/>
      <c r="AC108" s="88" t="n"/>
      <c r="AD108" s="2052" t="inlineStr">
        <is>
          <t>Form 8949</t>
        </is>
      </c>
      <c r="AE108" s="88" t="n"/>
      <c r="AF108" s="6016">
        <f>"("&amp;TaxYear&amp;")"</f>
        <v/>
      </c>
      <c r="AG108" s="2306" t="n"/>
      <c r="AH108" s="7623" t="n"/>
      <c r="AI108" s="7623" t="n"/>
    </row>
    <row r="109">
      <c r="A109" s="2013" t="n"/>
      <c r="B109" s="2013" t="n"/>
      <c r="C109" s="2013" t="n"/>
      <c r="D109" s="2013" t="n"/>
      <c r="E109" s="2013" t="n"/>
      <c r="F109" s="2013" t="n"/>
      <c r="G109" s="2013" t="n"/>
      <c r="H109" s="2013" t="n"/>
      <c r="I109" s="2013" t="n"/>
      <c r="J109" s="2013" t="n"/>
      <c r="K109" s="2013" t="n"/>
      <c r="L109" s="2013" t="n"/>
      <c r="M109" s="2013" t="n"/>
      <c r="N109" s="2013" t="n"/>
      <c r="O109" s="2013" t="n"/>
      <c r="P109" s="2013" t="n"/>
      <c r="Q109" s="2013" t="n"/>
      <c r="R109" s="2013" t="n"/>
      <c r="S109" s="2013" t="n"/>
      <c r="T109" s="2013" t="n"/>
      <c r="U109" s="2013" t="n"/>
      <c r="V109" s="2013" t="n"/>
      <c r="W109" s="2013" t="n"/>
      <c r="X109" s="2013" t="n"/>
      <c r="Y109" s="2013" t="n"/>
      <c r="Z109" s="2013" t="n"/>
      <c r="AA109" s="2013" t="n"/>
      <c r="AB109" s="2013" t="n"/>
      <c r="AC109" s="2013" t="n"/>
      <c r="AD109" s="2013" t="n"/>
      <c r="AE109" s="2013" t="n"/>
      <c r="AF109" s="2013" t="n"/>
      <c r="AG109" s="2013" t="n"/>
    </row>
  </sheetData>
  <sheetProtection selectLockedCells="0" selectUnlockedCells="0" algorithmName="SHA-512" sheet="1" objects="1" insertRows="1" insertHyperlinks="1" autoFilter="1" scenarios="1" formatColumns="0" deleteColumns="1" insertColumns="1" pivotTables="1" deleteRows="1" formatCells="0" saltValue="lFw2HTVBN4KoVJjj5Iv5yQ==" formatRows="0" sort="1" spinCount="100000" hashValue="ytPC/Y1Re/zTRNF47TD3VGTOLte1vJIU8uvEjAEw8XhROqD2UozLngJG3QZQVUQdTfY4zq+gNa0A9e+LuG9GqQ=="/>
  <mergeCells count="266">
    <mergeCell ref="Y47:Z47"/>
    <mergeCell ref="J99:L99"/>
    <mergeCell ref="BA72:BC72"/>
    <mergeCell ref="AA96:AB96"/>
    <mergeCell ref="U52:X56"/>
    <mergeCell ref="AK87:AK90"/>
    <mergeCell ref="AC99:AF99"/>
    <mergeCell ref="Q95:T95"/>
    <mergeCell ref="AA44:AB44"/>
    <mergeCell ref="J101:L101"/>
    <mergeCell ref="AC102:AF106"/>
    <mergeCell ref="AC51:AF51"/>
    <mergeCell ref="U102:X106"/>
    <mergeCell ref="C102:P106"/>
    <mergeCell ref="B96:I96"/>
    <mergeCell ref="Q101:T101"/>
    <mergeCell ref="M46:P46"/>
    <mergeCell ref="B48:I48"/>
    <mergeCell ref="M96:P96"/>
    <mergeCell ref="AC48:AF48"/>
    <mergeCell ref="AC52:AF56"/>
    <mergeCell ref="AA89:AB90"/>
    <mergeCell ref="M43:P43"/>
    <mergeCell ref="AC45:AF45"/>
    <mergeCell ref="B98:I98"/>
    <mergeCell ref="AQ37:AQ40"/>
    <mergeCell ref="AC96:AF96"/>
    <mergeCell ref="J50:L50"/>
    <mergeCell ref="Y50:Z50"/>
    <mergeCell ref="M98:P98"/>
    <mergeCell ref="AO89:AO90"/>
    <mergeCell ref="J46:L46"/>
    <mergeCell ref="AC47:AF47"/>
    <mergeCell ref="U96:X96"/>
    <mergeCell ref="B87:B90"/>
    <mergeCell ref="J92:L92"/>
    <mergeCell ref="AC101:AF101"/>
    <mergeCell ref="Y49:Z49"/>
    <mergeCell ref="B37:B40"/>
    <mergeCell ref="J97:L97"/>
    <mergeCell ref="Q51:T51"/>
    <mergeCell ref="J48:L48"/>
    <mergeCell ref="AJ33:AQ33"/>
    <mergeCell ref="M37:P40"/>
    <mergeCell ref="B102:B106"/>
    <mergeCell ref="AC91:AF91"/>
    <mergeCell ref="B62:AF64"/>
    <mergeCell ref="Y45:Z45"/>
    <mergeCell ref="M99:P99"/>
    <mergeCell ref="B12:AF14"/>
    <mergeCell ref="AQ87:AQ90"/>
    <mergeCell ref="Q93:T93"/>
    <mergeCell ref="Q50:T50"/>
    <mergeCell ref="AA50:AB50"/>
    <mergeCell ref="U91:X91"/>
    <mergeCell ref="AJ35:AQ35"/>
    <mergeCell ref="Y100:Z100"/>
    <mergeCell ref="U100:X100"/>
    <mergeCell ref="AA42:AB42"/>
    <mergeCell ref="AA94:AB94"/>
    <mergeCell ref="AA47:AB47"/>
    <mergeCell ref="Q87:T90"/>
    <mergeCell ref="AJ25:AQ25"/>
    <mergeCell ref="B45:I45"/>
    <mergeCell ref="Q99:T99"/>
    <mergeCell ref="AN37:AN40"/>
    <mergeCell ref="AC50:AF50"/>
    <mergeCell ref="U93:X93"/>
    <mergeCell ref="AA92:AB92"/>
    <mergeCell ref="M45:P45"/>
    <mergeCell ref="U42:X42"/>
    <mergeCell ref="Q49:T49"/>
    <mergeCell ref="Y42:Z42"/>
    <mergeCell ref="B100:I100"/>
    <mergeCell ref="B16:C16"/>
    <mergeCell ref="AN87:AN90"/>
    <mergeCell ref="B47:I47"/>
    <mergeCell ref="U92:X92"/>
    <mergeCell ref="B66:C66"/>
    <mergeCell ref="M47:P47"/>
    <mergeCell ref="AB5:AF7"/>
    <mergeCell ref="B46:I46"/>
    <mergeCell ref="U94:X94"/>
    <mergeCell ref="J41:L41"/>
    <mergeCell ref="Y98:Z98"/>
    <mergeCell ref="Y102:Z106"/>
    <mergeCell ref="AA98:AB98"/>
    <mergeCell ref="AA102:AB106"/>
    <mergeCell ref="J91:L91"/>
    <mergeCell ref="Y51:Z51"/>
    <mergeCell ref="U37:X40"/>
    <mergeCell ref="B11:U11"/>
    <mergeCell ref="J43:L43"/>
    <mergeCell ref="M44:P44"/>
    <mergeCell ref="U46:X46"/>
    <mergeCell ref="B61:U61"/>
    <mergeCell ref="J42:L42"/>
    <mergeCell ref="Q97:T97"/>
    <mergeCell ref="J87:L90"/>
    <mergeCell ref="Q52:T56"/>
    <mergeCell ref="U95:X95"/>
    <mergeCell ref="AC92:AF92"/>
    <mergeCell ref="AA41:AB41"/>
    <mergeCell ref="Y99:Z99"/>
    <mergeCell ref="M51:P51"/>
    <mergeCell ref="U48:X48"/>
    <mergeCell ref="AA99:AB99"/>
    <mergeCell ref="BA73:BA90"/>
    <mergeCell ref="V11:AF11"/>
    <mergeCell ref="Q102:T106"/>
    <mergeCell ref="B49:I49"/>
    <mergeCell ref="J44:L44"/>
    <mergeCell ref="U41:X41"/>
    <mergeCell ref="U97:X97"/>
    <mergeCell ref="Y37:AB38"/>
    <mergeCell ref="Y101:Z101"/>
    <mergeCell ref="BA23:BA40"/>
    <mergeCell ref="B51:I51"/>
    <mergeCell ref="U47:X47"/>
    <mergeCell ref="Y89:Z90"/>
    <mergeCell ref="M87:P90"/>
    <mergeCell ref="AM37:AM40"/>
    <mergeCell ref="U43:X43"/>
    <mergeCell ref="B41:I41"/>
    <mergeCell ref="AO87:AP88"/>
    <mergeCell ref="B50:I50"/>
    <mergeCell ref="AA100:AB100"/>
    <mergeCell ref="AC93:AF93"/>
    <mergeCell ref="BB23:BB40"/>
    <mergeCell ref="V61:AF61"/>
    <mergeCell ref="M101:P101"/>
    <mergeCell ref="J98:L98"/>
    <mergeCell ref="B91:I91"/>
    <mergeCell ref="AP39:AP40"/>
    <mergeCell ref="M91:P91"/>
    <mergeCell ref="AC87:AF90"/>
    <mergeCell ref="Q37:T40"/>
    <mergeCell ref="M100:P100"/>
    <mergeCell ref="J95:L95"/>
    <mergeCell ref="AJ27:AQ27"/>
    <mergeCell ref="AC37:AF40"/>
    <mergeCell ref="AO39:AO40"/>
    <mergeCell ref="B93:I93"/>
    <mergeCell ref="BC73:BC90"/>
    <mergeCell ref="AC49:AF49"/>
    <mergeCell ref="Y92:Z92"/>
    <mergeCell ref="AB4:AF4"/>
    <mergeCell ref="U50:X50"/>
    <mergeCell ref="M93:P93"/>
    <mergeCell ref="M50:P50"/>
    <mergeCell ref="U44:X44"/>
    <mergeCell ref="Q91:T91"/>
    <mergeCell ref="AA52:AB56"/>
    <mergeCell ref="AA48:AB48"/>
    <mergeCell ref="H4:AA6"/>
    <mergeCell ref="Q100:T100"/>
    <mergeCell ref="Y94:Z94"/>
    <mergeCell ref="AL87:AL90"/>
    <mergeCell ref="J47:L47"/>
    <mergeCell ref="M92:P92"/>
    <mergeCell ref="AA45:AB45"/>
    <mergeCell ref="J96:L96"/>
    <mergeCell ref="B101:I101"/>
    <mergeCell ref="AJ37:AJ40"/>
    <mergeCell ref="AL37:AL40"/>
    <mergeCell ref="Q42:T42"/>
    <mergeCell ref="M49:P49"/>
    <mergeCell ref="J37:L40"/>
    <mergeCell ref="M48:P48"/>
    <mergeCell ref="U45:X45"/>
    <mergeCell ref="AJ87:AJ90"/>
    <mergeCell ref="Q92:T92"/>
    <mergeCell ref="AM87:AM90"/>
    <mergeCell ref="AA46:AB46"/>
    <mergeCell ref="Y96:Z96"/>
    <mergeCell ref="AB8:AD9"/>
    <mergeCell ref="Q94:T94"/>
    <mergeCell ref="B52:B56"/>
    <mergeCell ref="AC97:AF97"/>
    <mergeCell ref="AA51:AB51"/>
    <mergeCell ref="C52:P56"/>
    <mergeCell ref="AJ29:AQ29"/>
    <mergeCell ref="B95:I95"/>
    <mergeCell ref="AC100:AF100"/>
    <mergeCell ref="Y41:Z41"/>
    <mergeCell ref="AO37:AP38"/>
    <mergeCell ref="Y87:AB88"/>
    <mergeCell ref="M95:P95"/>
    <mergeCell ref="AK37:AK40"/>
    <mergeCell ref="Q46:T46"/>
    <mergeCell ref="AC94:AF94"/>
    <mergeCell ref="AC44:AF44"/>
    <mergeCell ref="Q98:T98"/>
    <mergeCell ref="AJ31:AQ31"/>
    <mergeCell ref="B97:I97"/>
    <mergeCell ref="Y91:Z91"/>
    <mergeCell ref="AE8:AF9"/>
    <mergeCell ref="AA91:AB91"/>
    <mergeCell ref="J49:L49"/>
    <mergeCell ref="AC46:AF46"/>
    <mergeCell ref="Y43:Z43"/>
    <mergeCell ref="AC98:AF98"/>
    <mergeCell ref="AA43:AB43"/>
    <mergeCell ref="M97:P97"/>
    <mergeCell ref="M41:P41"/>
    <mergeCell ref="AJ81:AQ81"/>
    <mergeCell ref="J45:L45"/>
    <mergeCell ref="Q48:T48"/>
    <mergeCell ref="Y93:Z93"/>
    <mergeCell ref="U98:X98"/>
    <mergeCell ref="AC95:AF95"/>
    <mergeCell ref="AA93:AB93"/>
    <mergeCell ref="U51:X51"/>
    <mergeCell ref="Q45:T45"/>
    <mergeCell ref="J100:L100"/>
    <mergeCell ref="B43:I43"/>
    <mergeCell ref="J94:L94"/>
    <mergeCell ref="Q41:T41"/>
    <mergeCell ref="AC41:AF41"/>
    <mergeCell ref="Q47:T47"/>
    <mergeCell ref="Y44:Z44"/>
    <mergeCell ref="Q96:T96"/>
    <mergeCell ref="B42:I42"/>
    <mergeCell ref="AA49:AB49"/>
    <mergeCell ref="Q43:T43"/>
    <mergeCell ref="AA101:AB101"/>
    <mergeCell ref="BC23:BC40"/>
    <mergeCell ref="U87:X90"/>
    <mergeCell ref="U99:X99"/>
    <mergeCell ref="J51:L51"/>
    <mergeCell ref="U49:X49"/>
    <mergeCell ref="B44:I44"/>
    <mergeCell ref="H8:AA9"/>
    <mergeCell ref="AJ77:AQ77"/>
    <mergeCell ref="Q44:T44"/>
    <mergeCell ref="U101:X101"/>
    <mergeCell ref="B99:I99"/>
    <mergeCell ref="AP89:AP90"/>
    <mergeCell ref="Y46:Z46"/>
    <mergeCell ref="H7:AA7"/>
    <mergeCell ref="B2:K2"/>
    <mergeCell ref="M94:P94"/>
    <mergeCell ref="AJ83:AQ83"/>
    <mergeCell ref="AC43:AF43"/>
    <mergeCell ref="B92:I92"/>
    <mergeCell ref="Y97:Z97"/>
    <mergeCell ref="Y95:Z95"/>
    <mergeCell ref="AA95:AB95"/>
    <mergeCell ref="Y52:Z56"/>
    <mergeCell ref="Y48:Z48"/>
    <mergeCell ref="C87:I90"/>
    <mergeCell ref="B107:AF107"/>
    <mergeCell ref="J93:L93"/>
    <mergeCell ref="AJ85:AQ85"/>
    <mergeCell ref="AC42:AF42"/>
    <mergeCell ref="Y39:Z40"/>
    <mergeCell ref="B94:I94"/>
    <mergeCell ref="C37:I40"/>
    <mergeCell ref="AA39:AB40"/>
    <mergeCell ref="BB73:BB90"/>
    <mergeCell ref="B57:AF57"/>
    <mergeCell ref="BA22:BC22"/>
    <mergeCell ref="M42:P42"/>
    <mergeCell ref="AA97:AB97"/>
    <mergeCell ref="B4:F6"/>
    <mergeCell ref="AJ75:AQ75"/>
  </mergeCells>
  <conditionalFormatting sqref="B2">
    <cfRule type="expression" priority="89" dxfId="244" stopIfTrue="1">
      <formula>IF(OR($AG$16,$AG$66),1,0)</formula>
    </cfRule>
  </conditionalFormatting>
  <conditionalFormatting sqref="B21">
    <cfRule type="expression" priority="28" dxfId="158">
      <formula>AND(NOT(NoColor),A35=0,AC52&lt;&gt;"")</formula>
    </cfRule>
  </conditionalFormatting>
  <conditionalFormatting sqref="B23">
    <cfRule type="expression" priority="25" dxfId="40">
      <formula>SpaceUsed_8949A_ST</formula>
    </cfRule>
  </conditionalFormatting>
  <conditionalFormatting sqref="B71">
    <cfRule type="expression" priority="23" dxfId="158">
      <formula>AND(NOT(NoColor),A85=0,AC102&lt;&gt;"")</formula>
    </cfRule>
  </conditionalFormatting>
  <conditionalFormatting sqref="B73">
    <cfRule type="expression" priority="22" dxfId="40">
      <formula>SpaceUsed_8949A_LT</formula>
    </cfRule>
  </conditionalFormatting>
  <conditionalFormatting sqref="B11:AF11">
    <cfRule type="expression" priority="83" dxfId="6">
      <formula>IF(NoColor,1,0)</formula>
    </cfRule>
  </conditionalFormatting>
  <conditionalFormatting sqref="B41:AF51">
    <cfRule type="expression" priority="5" dxfId="6">
      <formula>IF(NoColor,1,0)</formula>
    </cfRule>
  </conditionalFormatting>
  <conditionalFormatting sqref="B61:AF61">
    <cfRule type="expression" priority="80" dxfId="6">
      <formula>IF(NoColor,1,0)</formula>
    </cfRule>
  </conditionalFormatting>
  <conditionalFormatting sqref="B91:AF101">
    <cfRule type="expression" priority="1" dxfId="6">
      <formula>IF(NoColor,1,0)</formula>
    </cfRule>
  </conditionalFormatting>
  <conditionalFormatting sqref="C25">
    <cfRule type="expression" priority="63" dxfId="6">
      <formula>IF(NoColor,1,0)</formula>
    </cfRule>
    <cfRule type="expression" priority="62" dxfId="212">
      <formula>C25=CHAR(32)</formula>
    </cfRule>
  </conditionalFormatting>
  <conditionalFormatting sqref="C27">
    <cfRule type="expression" priority="61" dxfId="6">
      <formula>IF(NoColor,1,0)</formula>
    </cfRule>
    <cfRule type="expression" priority="60" dxfId="212">
      <formula>C27=CHAR(32)</formula>
    </cfRule>
  </conditionalFormatting>
  <conditionalFormatting sqref="C29">
    <cfRule type="expression" priority="59" dxfId="6">
      <formula>IF(NoColor,1,0)</formula>
    </cfRule>
    <cfRule type="expression" priority="58" dxfId="212">
      <formula>C29=CHAR(32)</formula>
    </cfRule>
  </conditionalFormatting>
  <conditionalFormatting sqref="C31">
    <cfRule type="expression" priority="57" dxfId="6">
      <formula>IF(NoColor,1,0)</formula>
    </cfRule>
    <cfRule type="expression" priority="56" dxfId="212">
      <formula>C31=CHAR(32)</formula>
    </cfRule>
  </conditionalFormatting>
  <conditionalFormatting sqref="C33">
    <cfRule type="expression" priority="71" dxfId="6">
      <formula>IF(NoColor,1,0)</formula>
    </cfRule>
    <cfRule type="expression" priority="64" dxfId="212">
      <formula>C33=CHAR(32)</formula>
    </cfRule>
  </conditionalFormatting>
  <conditionalFormatting sqref="C35">
    <cfRule type="expression" priority="55" dxfId="6">
      <formula>IF(NoColor,1,0)</formula>
    </cfRule>
    <cfRule type="expression" priority="54" dxfId="212">
      <formula>C35=CHAR(32)</formula>
    </cfRule>
  </conditionalFormatting>
  <conditionalFormatting sqref="C75">
    <cfRule type="expression" priority="47" dxfId="212">
      <formula>AND(SpaceUsed_8949A_LT,C75=CHAR(32))</formula>
    </cfRule>
    <cfRule type="expression" priority="48" dxfId="6">
      <formula>IF(NoColor,1,0)</formula>
    </cfRule>
  </conditionalFormatting>
  <conditionalFormatting sqref="C77">
    <cfRule type="expression" priority="77" dxfId="6">
      <formula>IF(NoColor,1,0)</formula>
    </cfRule>
    <cfRule type="expression" priority="49" dxfId="212">
      <formula>AND(SpaceUsed_8949A_LT,C77=CHAR(32))</formula>
    </cfRule>
  </conditionalFormatting>
  <conditionalFormatting sqref="C79">
    <cfRule type="expression" priority="45" dxfId="212">
      <formula>AND(SpaceUsed_8949A_LT,C79=CHAR(32))</formula>
    </cfRule>
    <cfRule type="expression" priority="46" dxfId="6">
      <formula>IF(NoColor,1,0)</formula>
    </cfRule>
  </conditionalFormatting>
  <conditionalFormatting sqref="C81">
    <cfRule type="expression" priority="44" dxfId="6">
      <formula>IF(NoColor,1,0)</formula>
    </cfRule>
    <cfRule type="expression" priority="43" dxfId="212">
      <formula>AND(SpaceUsed_8949A_LT,C81=CHAR(32))</formula>
    </cfRule>
  </conditionalFormatting>
  <conditionalFormatting sqref="C83">
    <cfRule type="expression" priority="42" dxfId="6">
      <formula>IF(NoColor,1,0)</formula>
    </cfRule>
    <cfRule type="expression" priority="41" dxfId="212">
      <formula>AND(SpaceUsed_8949A_LT,C83=CHAR(32))</formula>
    </cfRule>
  </conditionalFormatting>
  <conditionalFormatting sqref="C85">
    <cfRule type="expression" priority="40" dxfId="6">
      <formula>IF(NoColor,1,0)</formula>
    </cfRule>
    <cfRule type="expression" priority="39" dxfId="212">
      <formula>AND(SpaceUsed_8949A_LT,C85=CHAR(32))</formula>
    </cfRule>
  </conditionalFormatting>
  <conditionalFormatting sqref="D25">
    <cfRule type="expression" priority="70" dxfId="40">
      <formula>C25=CHAR(32)</formula>
    </cfRule>
  </conditionalFormatting>
  <conditionalFormatting sqref="D27">
    <cfRule type="expression" priority="69" dxfId="40">
      <formula>C27=CHAR(32)</formula>
    </cfRule>
  </conditionalFormatting>
  <conditionalFormatting sqref="D29">
    <cfRule type="expression" priority="68" dxfId="40">
      <formula>C29=CHAR(32)</formula>
    </cfRule>
  </conditionalFormatting>
  <conditionalFormatting sqref="D31">
    <cfRule type="expression" priority="67" dxfId="40">
      <formula>C31=CHAR(32)</formula>
    </cfRule>
  </conditionalFormatting>
  <conditionalFormatting sqref="D33">
    <cfRule type="expression" priority="66" dxfId="40">
      <formula>C33=CHAR(32)</formula>
    </cfRule>
  </conditionalFormatting>
  <conditionalFormatting sqref="D35">
    <cfRule type="expression" priority="65" dxfId="40">
      <formula>C35=CHAR(32)</formula>
    </cfRule>
  </conditionalFormatting>
  <conditionalFormatting sqref="D75">
    <cfRule type="expression" priority="38" dxfId="40">
      <formula>AND(SpaceUsed_8949A_LT,C75=CHAR(32))</formula>
    </cfRule>
  </conditionalFormatting>
  <conditionalFormatting sqref="D77">
    <cfRule type="expression" priority="37" dxfId="40">
      <formula>AND(SpaceUsed_8949A_LT,C77=CHAR(32))</formula>
    </cfRule>
  </conditionalFormatting>
  <conditionalFormatting sqref="D79">
    <cfRule type="expression" priority="36" dxfId="40">
      <formula>AND(SpaceUsed_8949A_LT,C79=CHAR(32))</formula>
    </cfRule>
  </conditionalFormatting>
  <conditionalFormatting sqref="D81">
    <cfRule type="expression" priority="35" dxfId="40">
      <formula>AND(SpaceUsed_8949A_LT,C81=CHAR(32))</formula>
    </cfRule>
  </conditionalFormatting>
  <conditionalFormatting sqref="D83">
    <cfRule type="expression" priority="34" dxfId="40">
      <formula>AND(SpaceUsed_8949A_LT,C83=CHAR(32))</formula>
    </cfRule>
  </conditionalFormatting>
  <conditionalFormatting sqref="D85">
    <cfRule type="expression" priority="33" dxfId="40">
      <formula>AND(SpaceUsed_8949A_LT,C85=CHAR(32))</formula>
    </cfRule>
  </conditionalFormatting>
  <conditionalFormatting sqref="J41:J51">
    <cfRule type="expression" priority="8" dxfId="158" stopIfTrue="1">
      <formula>AND($L$2="",NOT($AZ41))</formula>
    </cfRule>
  </conditionalFormatting>
  <conditionalFormatting sqref="J91:L101">
    <cfRule type="expression" priority="3" dxfId="14">
      <formula>AND($L$2="",$AZ91)</formula>
    </cfRule>
  </conditionalFormatting>
  <conditionalFormatting sqref="K71">
    <cfRule type="expression" priority="24" dxfId="158">
      <formula>IF($A$79&gt;1,1,0)</formula>
    </cfRule>
  </conditionalFormatting>
  <conditionalFormatting sqref="L2">
    <cfRule type="expression" priority="90" dxfId="196" stopIfTrue="1">
      <formula>IF(OR($AG$16,$AG$66),1,0)</formula>
    </cfRule>
  </conditionalFormatting>
  <conditionalFormatting sqref="L21">
    <cfRule type="expression" priority="27" dxfId="158">
      <formula>(A29&gt;1)</formula>
    </cfRule>
  </conditionalFormatting>
  <conditionalFormatting sqref="M41:M51">
    <cfRule type="expression" priority="6" dxfId="158" stopIfTrue="1">
      <formula>AND($L$2="",NOT($AZ41))</formula>
    </cfRule>
  </conditionalFormatting>
  <conditionalFormatting sqref="M91:M101">
    <cfRule type="expression" priority="2" dxfId="158" stopIfTrue="1">
      <formula>AND($L$2="",$AZ91)</formula>
    </cfRule>
  </conditionalFormatting>
  <conditionalFormatting sqref="M21:N21">
    <cfRule type="expression" priority="26" dxfId="0">
      <formula>$A$35&gt;1</formula>
    </cfRule>
  </conditionalFormatting>
  <conditionalFormatting sqref="M71:N71">
    <cfRule type="expression" priority="21" dxfId="158">
      <formula>IF($A$85&gt;1,1,0)</formula>
    </cfRule>
  </conditionalFormatting>
  <conditionalFormatting sqref="P66">
    <cfRule type="expression" priority="88" dxfId="158" stopIfTrue="1">
      <formula>IF(AND($L$2="",$AG$66),TRUE,FALSE)</formula>
    </cfRule>
  </conditionalFormatting>
  <conditionalFormatting sqref="Q52:X56">
    <cfRule type="expression" priority="82" dxfId="6">
      <formula>IF(NoColor,1,0)</formula>
    </cfRule>
  </conditionalFormatting>
  <conditionalFormatting sqref="Q102:X106">
    <cfRule type="expression" priority="79" dxfId="6">
      <formula>IF(NoColor,1,0)</formula>
    </cfRule>
  </conditionalFormatting>
  <conditionalFormatting sqref="T16:T19">
    <cfRule type="expression" priority="87" dxfId="14" stopIfTrue="1">
      <formula>IF(AND($L$2="",$AG$16),TRUE,FALSE)</formula>
    </cfRule>
  </conditionalFormatting>
  <conditionalFormatting sqref="T66">
    <cfRule type="expression" priority="86" dxfId="14" stopIfTrue="1">
      <formula>IF(AND($L$2="",$AG$66),TRUE,FALSE)</formula>
    </cfRule>
  </conditionalFormatting>
  <conditionalFormatting sqref="T67:T69">
    <cfRule type="expression" priority="76" dxfId="14" stopIfTrue="1">
      <formula>IF(AND($L$2="",$AG$16),TRUE,FALSE)</formula>
    </cfRule>
  </conditionalFormatting>
  <conditionalFormatting sqref="AA52:AF56">
    <cfRule type="expression" priority="81" dxfId="6">
      <formula>IF(NoColor,1,0)</formula>
    </cfRule>
  </conditionalFormatting>
  <conditionalFormatting sqref="AA102:AF106">
    <cfRule type="expression" priority="78" dxfId="6">
      <formula>IF(NoColor,1,0)</formula>
    </cfRule>
  </conditionalFormatting>
  <conditionalFormatting sqref="AB4:AF4">
    <cfRule type="expression" priority="30" dxfId="40">
      <formula>AND(AI3,AH4="")</formula>
    </cfRule>
  </conditionalFormatting>
  <conditionalFormatting sqref="AH4">
    <cfRule type="expression" priority="29" dxfId="181">
      <formula>$AI$3</formula>
    </cfRule>
  </conditionalFormatting>
  <pageMargins left="0.75" right="0.25" top="0.36" bottom="0.29" header="0.36" footer="0.21"/>
  <pageSetup orientation="portrait" scale="75" fitToHeight="0"/>
  <rowBreaks count="1" manualBreakCount="1">
    <brk id="58" min="1" max="31" man="1"/>
  </rowBreaks>
</worksheet>
</file>

<file path=xl/worksheets/sheet59.xml><?xml version="1.0" encoding="utf-8"?>
<worksheet xmlns="http://schemas.openxmlformats.org/spreadsheetml/2006/main">
  <sheetPr>
    <outlinePr summaryBelow="1" summaryRight="1"/>
    <pageSetUpPr fitToPage="1"/>
  </sheetPr>
  <dimension ref="A1:BC109"/>
  <sheetViews>
    <sheetView zoomScaleNormal="100" zoomScaleSheetLayoutView="100" workbookViewId="0">
      <selection activeCell="AH38" sqref="AH38"/>
    </sheetView>
  </sheetViews>
  <sheetFormatPr baseColWidth="8" defaultColWidth="3.7109375" defaultRowHeight="12.75"/>
  <cols>
    <col width="3.7109375" customWidth="1" style="6021" min="1" max="1"/>
    <col width="4.140625" customWidth="1" style="7635" min="2" max="2"/>
    <col width="2.28515625" customWidth="1" style="7635" min="3" max="3"/>
    <col width="3.7109375" customWidth="1" style="7635" min="4" max="9"/>
    <col width="4" customWidth="1" style="7635" min="10" max="10"/>
    <col width="6.85546875" customWidth="1" style="7635" min="11" max="11"/>
    <col width="4" customWidth="1" style="7635" min="12" max="12"/>
    <col width="3.7109375" customWidth="1" style="7635" min="13" max="16"/>
    <col width="4.28515625" customWidth="1" style="7635" min="17" max="20"/>
    <col width="3.85546875" customWidth="1" style="7635" min="21" max="23"/>
    <col width="3.7109375" customWidth="1" style="7635" min="24" max="24"/>
    <col width="5.42578125" customWidth="1" style="7635" min="25" max="26"/>
    <col width="6.42578125" customWidth="1" style="7635" min="27" max="28"/>
    <col width="3.7109375" customWidth="1" style="7635" min="29" max="32"/>
    <col width="6" customWidth="1" style="6022" min="33" max="33"/>
    <col width="4.85546875" customWidth="1" style="7453" min="34" max="34"/>
    <col width="8.5703125" bestFit="1" customWidth="1" style="7453" min="35" max="35"/>
    <col width="29.28515625" customWidth="1" style="7635" min="36" max="36"/>
    <col width="13.7109375" customWidth="1" style="7635" min="37" max="40"/>
    <col width="10" customWidth="1" style="7635" min="41" max="41"/>
    <col width="15.5703125" customWidth="1" style="7635" min="42" max="42"/>
    <col width="15.42578125" customWidth="1" style="7635" min="43" max="43"/>
    <col width="13" customWidth="1" style="7635" min="44" max="44"/>
    <col hidden="1" width="13" customWidth="1" style="7635" min="45" max="47"/>
    <col hidden="1" width="3.85546875" customWidth="1" style="7635" min="48" max="48"/>
    <col hidden="1" width="13" customWidth="1" style="7635" min="49" max="51"/>
    <col hidden="1" width="8.5703125" customWidth="1" style="7635" min="52" max="52"/>
    <col hidden="1" width="13" customWidth="1" style="7635" min="53" max="55"/>
    <col width="3.7109375" customWidth="1" style="7635" min="56" max="68"/>
  </cols>
  <sheetData>
    <row r="1">
      <c r="A1" s="2013" t="n"/>
      <c r="B1" s="2013" t="n"/>
      <c r="C1" s="2013" t="n"/>
      <c r="D1" s="2013" t="n"/>
      <c r="E1" s="2013" t="n"/>
      <c r="F1" s="2013" t="n"/>
      <c r="G1" s="2013" t="n"/>
      <c r="H1" s="2013" t="n"/>
      <c r="I1" s="2013" t="n"/>
      <c r="J1" s="2013" t="n"/>
      <c r="K1" s="2013" t="n"/>
      <c r="L1" s="2013" t="n"/>
      <c r="M1" s="2013" t="n"/>
      <c r="N1" s="2013" t="n"/>
      <c r="O1" s="2013" t="n"/>
      <c r="P1" s="2013" t="n"/>
      <c r="Q1" s="2013" t="n"/>
      <c r="R1" s="2013" t="n"/>
      <c r="S1" s="2013" t="n"/>
      <c r="T1" s="2013" t="n"/>
      <c r="U1" s="2013" t="n"/>
      <c r="V1" s="2013" t="n"/>
      <c r="W1" s="2013" t="n"/>
      <c r="X1" s="2013" t="n"/>
      <c r="Y1" s="2013" t="n"/>
      <c r="Z1" s="2013" t="n"/>
      <c r="AA1" s="2013" t="n"/>
      <c r="AB1" s="2013" t="n"/>
      <c r="AC1" s="2013" t="n"/>
      <c r="AD1" s="2013" t="n"/>
      <c r="AE1" s="2013" t="n"/>
      <c r="AF1" s="2013" t="n"/>
      <c r="AG1" s="2013" t="n"/>
    </row>
    <row r="2">
      <c r="A2" s="139" t="n"/>
      <c r="B2" s="11401" t="inlineStr">
        <is>
          <t>Check here to hide red formatting.   &gt;</t>
        </is>
      </c>
      <c r="L2" s="264" t="n"/>
      <c r="M2" s="139" t="n"/>
      <c r="N2" s="139" t="n"/>
      <c r="O2" s="139" t="n"/>
      <c r="P2" s="139" t="n"/>
      <c r="Q2" s="139" t="n"/>
      <c r="R2" s="139" t="n"/>
      <c r="S2" s="139" t="n"/>
      <c r="T2" s="139" t="n"/>
      <c r="U2" s="139" t="n"/>
      <c r="V2" s="139" t="n"/>
      <c r="W2" s="139" t="n"/>
      <c r="X2" s="139" t="n"/>
      <c r="Y2" s="139" t="n"/>
      <c r="Z2" s="139" t="n"/>
      <c r="AA2" s="962" t="n"/>
      <c r="AB2" s="139" t="n"/>
      <c r="AC2" s="139" t="n"/>
      <c r="AD2" s="139" t="n"/>
      <c r="AE2" s="139" t="n"/>
      <c r="AF2" s="139" t="n"/>
      <c r="AG2" s="2013" t="n"/>
    </row>
    <row r="3">
      <c r="A3" s="2013" t="n"/>
      <c r="B3" s="2013" t="n"/>
      <c r="C3" s="2013" t="n"/>
      <c r="D3" s="2013" t="n"/>
      <c r="E3" s="2013" t="n"/>
      <c r="F3" s="2013" t="n"/>
      <c r="G3" s="2013" t="n"/>
      <c r="H3" s="2013" t="n"/>
      <c r="I3" s="2013" t="n"/>
      <c r="J3" s="2013" t="n"/>
      <c r="K3" s="2013" t="n"/>
      <c r="L3" s="2013" t="n"/>
      <c r="M3" s="2013" t="n"/>
      <c r="N3" s="2013" t="n"/>
      <c r="O3" s="2013" t="n"/>
      <c r="P3" s="2013" t="n"/>
      <c r="Q3" s="2013" t="n"/>
      <c r="R3" s="2013" t="n"/>
      <c r="S3" s="2013" t="n"/>
      <c r="T3" s="2013" t="n"/>
      <c r="U3" s="2013" t="n"/>
      <c r="V3" s="2013" t="n"/>
      <c r="W3" s="2013" t="n"/>
      <c r="X3" s="2013" t="n"/>
      <c r="Y3" s="2013" t="n"/>
      <c r="Z3" s="2013" t="n"/>
      <c r="AA3" s="2013" t="n"/>
      <c r="AB3" s="2013" t="n"/>
      <c r="AC3" s="2013" t="n"/>
      <c r="AD3" s="2013" t="n"/>
      <c r="AE3" s="2013" t="n"/>
      <c r="AF3" s="2013" t="n"/>
      <c r="AG3" s="2013" t="n"/>
      <c r="AI3" s="9649">
        <f>'Table of Contents'!A64="D"</f>
        <v/>
      </c>
    </row>
    <row r="4" ht="11.25" customHeight="1" s="7635">
      <c r="A4" s="2013" t="n"/>
      <c r="B4" s="11403" t="inlineStr">
        <is>
          <t>Form 8949</t>
        </is>
      </c>
      <c r="G4" s="88" t="n"/>
      <c r="H4" s="12789" t="inlineStr">
        <is>
          <t>Sales and Other Dispositions of Capital Assets</t>
        </is>
      </c>
      <c r="AA4" s="9671" t="n"/>
      <c r="AB4" s="8038">
        <f>IF(AND(AI3,AH4=""),"DRAFT","OMB No. 1545-0074")</f>
        <v/>
      </c>
      <c r="AC4" s="7637" t="n"/>
      <c r="AD4" s="7637" t="n"/>
      <c r="AE4" s="7637" t="n"/>
      <c r="AF4" s="7637" t="n"/>
      <c r="AG4" s="2013" t="n"/>
      <c r="AH4" s="12790" t="n"/>
      <c r="AI4" s="8696">
        <f>IF(AI3,"Hide 'DRAFT'.","")</f>
        <v/>
      </c>
    </row>
    <row r="5" ht="11.25" customHeight="1" s="7635">
      <c r="A5" s="2013" t="n"/>
      <c r="G5" s="88" t="n"/>
      <c r="H5" s="9670" t="n"/>
      <c r="AA5" s="9671" t="n"/>
      <c r="AB5" s="11404">
        <f>TaxYear</f>
        <v/>
      </c>
      <c r="AG5" s="2013" t="n"/>
      <c r="AH5" s="12791" t="n"/>
    </row>
    <row r="6" ht="11.25" customHeight="1" s="7635">
      <c r="A6" s="2013" t="n"/>
      <c r="G6" s="88" t="n"/>
      <c r="H6" s="9670" t="n"/>
      <c r="AA6" s="9671" t="n"/>
      <c r="AG6" s="2013" t="n"/>
      <c r="AH6" s="12792" t="n"/>
    </row>
    <row r="7" ht="11.25" customHeight="1" s="7635">
      <c r="A7" s="2013" t="n"/>
      <c r="B7" s="88" t="n"/>
      <c r="C7" s="88" t="n"/>
      <c r="D7" s="88" t="n"/>
      <c r="E7" s="88" t="n"/>
      <c r="F7" s="88" t="n"/>
      <c r="G7" s="88" t="n"/>
      <c r="H7" s="12793" t="inlineStr">
        <is>
          <t>File with your Schedule D to list your transactions for lines 1b, 2, 3, 8b, 9, and 10 of Schedule D.</t>
        </is>
      </c>
      <c r="AA7" s="9671" t="n"/>
      <c r="AG7" s="2013" t="n"/>
    </row>
    <row r="8" ht="10.5" customHeight="1" s="7635">
      <c r="A8" s="2013" t="n"/>
      <c r="B8" s="229" t="inlineStr">
        <is>
          <t>Department of the Treasury</t>
        </is>
      </c>
      <c r="C8" s="88" t="n"/>
      <c r="D8" s="88" t="n"/>
      <c r="E8" s="88" t="n"/>
      <c r="F8" s="88" t="n"/>
      <c r="G8" s="88" t="n"/>
      <c r="H8" s="12794" t="inlineStr">
        <is>
          <t>Go to www.irs.gov/Form8949 for instructions and the latest information.</t>
        </is>
      </c>
      <c r="AA8" s="9671" t="n"/>
      <c r="AB8" s="12795" t="inlineStr">
        <is>
          <t>Attachment
Sequence No.</t>
        </is>
      </c>
      <c r="AE8" s="11450" t="inlineStr">
        <is>
          <t>12A</t>
        </is>
      </c>
      <c r="AG8" s="2013" t="n"/>
    </row>
    <row r="9" ht="10.5" customHeight="1" s="7635" thickBot="1">
      <c r="A9" s="2013" t="n"/>
      <c r="B9" s="6502" t="inlineStr">
        <is>
          <t>Internal Revenue Service</t>
        </is>
      </c>
      <c r="C9" s="6503" t="n"/>
      <c r="D9" s="6503" t="n"/>
      <c r="E9" s="6503" t="n"/>
      <c r="F9" s="6503" t="n"/>
      <c r="G9" s="6503" t="n"/>
      <c r="H9" s="12152" t="n"/>
      <c r="I9" s="11705" t="n"/>
      <c r="J9" s="11705" t="n"/>
      <c r="K9" s="11705" t="n"/>
      <c r="L9" s="11705" t="n"/>
      <c r="M9" s="11705" t="n"/>
      <c r="N9" s="11705" t="n"/>
      <c r="O9" s="11705" t="n"/>
      <c r="P9" s="11705" t="n"/>
      <c r="Q9" s="11705" t="n"/>
      <c r="R9" s="11705" t="n"/>
      <c r="S9" s="11705" t="n"/>
      <c r="T9" s="11705" t="n"/>
      <c r="U9" s="11705" t="n"/>
      <c r="V9" s="11705" t="n"/>
      <c r="W9" s="11705" t="n"/>
      <c r="X9" s="11705" t="n"/>
      <c r="Y9" s="11705" t="n"/>
      <c r="Z9" s="11705" t="n"/>
      <c r="AA9" s="12151" t="n"/>
      <c r="AB9" s="12152" t="n"/>
      <c r="AC9" s="11705" t="n"/>
      <c r="AD9" s="11705" t="n"/>
      <c r="AE9" s="11705" t="n"/>
      <c r="AF9" s="11705" t="n"/>
      <c r="AG9" s="2013" t="n"/>
    </row>
    <row r="10" ht="13.5" customHeight="1" s="7635" thickTop="1">
      <c r="A10" s="2013" t="n"/>
      <c r="B10" s="229" t="inlineStr">
        <is>
          <t>Name(s) shown on return</t>
        </is>
      </c>
      <c r="C10" s="88" t="n"/>
      <c r="D10" s="88" t="n"/>
      <c r="E10" s="88" t="n"/>
      <c r="F10" s="88" t="n"/>
      <c r="G10" s="88" t="n"/>
      <c r="H10" s="88" t="n"/>
      <c r="I10" s="88" t="n"/>
      <c r="J10" s="88" t="n"/>
      <c r="K10" s="88" t="n"/>
      <c r="L10" s="88" t="n"/>
      <c r="M10" s="88" t="n"/>
      <c r="N10" s="88" t="n"/>
      <c r="O10" s="88" t="n"/>
      <c r="P10" s="88" t="n"/>
      <c r="Q10" s="88" t="n"/>
      <c r="R10" s="88" t="n"/>
      <c r="S10" s="88" t="n"/>
      <c r="T10" s="88" t="n"/>
      <c r="U10" s="88" t="n"/>
      <c r="V10" s="6006" t="inlineStr">
        <is>
          <t>Social security number or taxpayer identification number</t>
        </is>
      </c>
      <c r="W10" s="88" t="n"/>
      <c r="X10" s="88" t="n"/>
      <c r="Y10" s="88" t="n"/>
      <c r="Z10" s="2666" t="n"/>
      <c r="AA10" s="88" t="n"/>
      <c r="AB10" s="88" t="n"/>
      <c r="AC10" s="88" t="n"/>
      <c r="AD10" s="88" t="n"/>
      <c r="AE10" s="88" t="n"/>
      <c r="AF10" s="88" t="n"/>
      <c r="AG10" s="2013" t="n"/>
    </row>
    <row r="11" ht="16.5" customHeight="1" s="7635" thickBot="1">
      <c r="A11" s="2013" t="n"/>
      <c r="B11" s="12796">
        <f>Names</f>
        <v/>
      </c>
      <c r="C11" s="8848" t="n"/>
      <c r="D11" s="8848" t="n"/>
      <c r="E11" s="8848" t="n"/>
      <c r="F11" s="8848" t="n"/>
      <c r="G11" s="8848" t="n"/>
      <c r="H11" s="8848" t="n"/>
      <c r="I11" s="8848" t="n"/>
      <c r="J11" s="8848" t="n"/>
      <c r="K11" s="8848" t="n"/>
      <c r="L11" s="8848" t="n"/>
      <c r="M11" s="8848" t="n"/>
      <c r="N11" s="8848" t="n"/>
      <c r="O11" s="8848" t="n"/>
      <c r="P11" s="8848" t="n"/>
      <c r="Q11" s="8848" t="n"/>
      <c r="R11" s="8848" t="n"/>
      <c r="S11" s="8848" t="n"/>
      <c r="T11" s="8848" t="n"/>
      <c r="U11" s="12121" t="n"/>
      <c r="V11" s="12797">
        <f>IF(NoSSN,"",SS_Yours)</f>
        <v/>
      </c>
      <c r="W11" s="8848" t="n"/>
      <c r="X11" s="8848" t="n"/>
      <c r="Y11" s="8848" t="n"/>
      <c r="Z11" s="8848" t="n"/>
      <c r="AA11" s="8848" t="n"/>
      <c r="AB11" s="8848" t="n"/>
      <c r="AC11" s="8848" t="n"/>
      <c r="AD11" s="8848" t="n"/>
      <c r="AE11" s="8848" t="n"/>
      <c r="AF11" s="8848" t="n"/>
      <c r="AG11" s="2013" t="n"/>
    </row>
    <row r="12" ht="12.75" customHeight="1" s="7635">
      <c r="A12" s="2013" t="n"/>
      <c r="B12" s="12798" t="inlineStr">
        <is>
          <t>Before you check Box A, B, C, G, H, or I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12" s="2506" t="n"/>
      <c r="D12" s="2506" t="n"/>
      <c r="E12" s="2506" t="n"/>
      <c r="F12" s="2506" t="n"/>
      <c r="G12" s="2506" t="n"/>
      <c r="H12" s="2506" t="n"/>
      <c r="I12" s="2506" t="n"/>
      <c r="J12" s="2506" t="n"/>
      <c r="K12" s="2506" t="n"/>
      <c r="L12" s="2506" t="n"/>
      <c r="M12" s="2506" t="n"/>
      <c r="N12" s="2506" t="n"/>
      <c r="O12" s="2506" t="n"/>
      <c r="P12" s="2506" t="n"/>
      <c r="Q12" s="2506" t="n"/>
      <c r="R12" s="2506" t="n"/>
      <c r="S12" s="2506" t="n"/>
      <c r="T12" s="2506" t="n"/>
      <c r="U12" s="2506" t="n"/>
      <c r="V12" s="2506" t="n"/>
      <c r="W12" s="2506" t="n"/>
      <c r="X12" s="2506" t="n"/>
      <c r="Y12" s="2506" t="n"/>
      <c r="Z12" s="2506" t="n"/>
      <c r="AA12" s="2506" t="n"/>
      <c r="AB12" s="2506" t="n"/>
      <c r="AC12" s="2506" t="n"/>
      <c r="AD12" s="2506" t="n"/>
      <c r="AE12" s="2506" t="n"/>
      <c r="AF12" s="2506" t="n"/>
      <c r="AG12" s="2013" t="n"/>
    </row>
    <row r="13" ht="12.75" customHeight="1" s="7635">
      <c r="A13" s="2013" t="n"/>
      <c r="AG13" s="2013" t="n"/>
    </row>
    <row r="14" ht="12.75" customHeight="1" s="7635">
      <c r="A14" s="2013" t="n"/>
      <c r="B14" s="7637" t="n"/>
      <c r="C14" s="7637" t="n"/>
      <c r="D14" s="7637" t="n"/>
      <c r="E14" s="7637" t="n"/>
      <c r="F14" s="7637" t="n"/>
      <c r="G14" s="7637" t="n"/>
      <c r="H14" s="7637" t="n"/>
      <c r="I14" s="7637" t="n"/>
      <c r="J14" s="7637" t="n"/>
      <c r="K14" s="7637" t="n"/>
      <c r="L14" s="7637" t="n"/>
      <c r="M14" s="7637" t="n"/>
      <c r="N14" s="7637" t="n"/>
      <c r="O14" s="7637" t="n"/>
      <c r="P14" s="7637" t="n"/>
      <c r="Q14" s="7637" t="n"/>
      <c r="R14" s="7637" t="n"/>
      <c r="S14" s="7637" t="n"/>
      <c r="T14" s="7637" t="n"/>
      <c r="U14" s="7637" t="n"/>
      <c r="V14" s="7637" t="n"/>
      <c r="W14" s="7637" t="n"/>
      <c r="X14" s="7637" t="n"/>
      <c r="Y14" s="7637" t="n"/>
      <c r="Z14" s="7637" t="n"/>
      <c r="AA14" s="7637" t="n"/>
      <c r="AB14" s="7637" t="n"/>
      <c r="AC14" s="7637" t="n"/>
      <c r="AD14" s="7637" t="n"/>
      <c r="AE14" s="7637" t="n"/>
      <c r="AF14" s="7637" t="n"/>
      <c r="AG14" s="2013" t="n"/>
    </row>
    <row r="15" ht="3.75" customHeight="1" s="7635">
      <c r="A15" s="2013" t="n"/>
      <c r="B15" s="88" t="n"/>
      <c r="C15" s="88" t="n"/>
      <c r="D15" s="88" t="n"/>
      <c r="E15" s="88" t="n"/>
      <c r="F15" s="88" t="n"/>
      <c r="G15" s="88" t="n"/>
      <c r="H15" s="88" t="n"/>
      <c r="I15" s="88" t="n"/>
      <c r="J15" s="88" t="n"/>
      <c r="K15" s="88" t="n"/>
      <c r="L15" s="88" t="n"/>
      <c r="M15" s="88" t="n"/>
      <c r="N15" s="88" t="n"/>
      <c r="O15" s="88" t="n"/>
      <c r="P15" s="88" t="n"/>
      <c r="Q15" s="88" t="n"/>
      <c r="R15" s="88" t="n"/>
      <c r="S15" s="88" t="n"/>
      <c r="T15" s="88" t="n"/>
      <c r="U15" s="88" t="n"/>
      <c r="V15" s="88" t="n"/>
      <c r="W15" s="88" t="n"/>
      <c r="X15" s="88" t="n"/>
      <c r="Y15" s="88" t="n"/>
      <c r="Z15" s="88" t="n"/>
      <c r="AA15" s="88" t="n"/>
      <c r="AB15" s="88" t="n"/>
      <c r="AC15" s="88" t="n"/>
      <c r="AD15" s="88" t="n"/>
      <c r="AE15" s="88" t="n"/>
      <c r="AF15" s="88" t="n"/>
      <c r="AG15" s="2013" t="n"/>
    </row>
    <row r="16" ht="15" customHeight="1" s="7635">
      <c r="A16" s="2013" t="n"/>
      <c r="B16" s="11415" t="inlineStr">
        <is>
          <t>Part I</t>
        </is>
      </c>
      <c r="C16" s="7839" t="n"/>
      <c r="D16" s="88" t="n"/>
      <c r="E16" s="11417" t="inlineStr">
        <is>
          <t>Short-Term.</t>
        </is>
      </c>
      <c r="F16" s="88" t="n"/>
      <c r="G16" s="88" t="n"/>
      <c r="H16" s="88" t="n"/>
      <c r="I16" s="1836" t="inlineStr">
        <is>
          <t>Transactions involving capital assets you  held 1  year  or  less are generally short-term (see</t>
        </is>
      </c>
      <c r="J16" s="88" t="n"/>
      <c r="K16" s="88" t="n"/>
      <c r="L16" s="88" t="n"/>
      <c r="M16" s="88" t="n"/>
      <c r="N16" s="88" t="n"/>
      <c r="O16" s="88" t="n"/>
      <c r="P16" s="88" t="n"/>
      <c r="Q16" s="88" t="n"/>
      <c r="R16" s="88" t="n"/>
      <c r="S16" s="88" t="n"/>
      <c r="T16" s="1836" t="n"/>
      <c r="U16" s="88" t="n"/>
      <c r="V16" s="88" t="n"/>
      <c r="W16" s="88" t="n"/>
      <c r="X16" s="1836" t="n"/>
      <c r="Y16" s="88" t="n"/>
      <c r="Z16" s="88" t="n"/>
      <c r="AA16" s="88" t="n"/>
      <c r="AB16" s="88" t="n"/>
      <c r="AC16" s="88" t="n"/>
      <c r="AD16" s="88" t="n"/>
      <c r="AE16" s="88" t="n"/>
      <c r="AF16" s="88" t="n"/>
      <c r="AG16" s="2013">
        <f>IF(SUM(AG41:AG51)&gt;0,TRUE,FALSE)</f>
        <v/>
      </c>
    </row>
    <row r="17" ht="12.75" customHeight="1" s="7635">
      <c r="A17" s="2013" t="n"/>
      <c r="B17" s="88" t="n"/>
      <c r="C17" s="88" t="n"/>
      <c r="D17" s="88" t="n"/>
      <c r="E17" s="1836" t="inlineStr">
        <is>
          <t>instructions). For long-term transactions, see page 2.</t>
        </is>
      </c>
      <c r="F17" s="88" t="n"/>
      <c r="G17" s="88" t="n"/>
      <c r="H17" s="88" t="n"/>
      <c r="I17" s="88" t="n"/>
      <c r="J17" s="88" t="n"/>
      <c r="K17" s="88" t="n"/>
      <c r="L17" s="88" t="n"/>
      <c r="M17" s="88" t="n"/>
      <c r="N17" s="88" t="n"/>
      <c r="O17" s="88" t="n"/>
      <c r="P17" s="88" t="n"/>
      <c r="Q17" s="88" t="n"/>
      <c r="R17" s="88" t="n"/>
      <c r="S17" s="88" t="n"/>
      <c r="T17" s="1836" t="n"/>
      <c r="U17" s="88" t="n"/>
      <c r="V17" s="88" t="n"/>
      <c r="W17" s="88" t="n"/>
      <c r="X17" s="11403" t="n"/>
      <c r="Y17" s="88" t="n"/>
      <c r="Z17" s="88" t="n"/>
      <c r="AA17" s="88" t="n"/>
      <c r="AB17" s="88" t="n"/>
      <c r="AC17" s="88" t="n"/>
      <c r="AD17" s="88" t="n"/>
      <c r="AE17" s="88" t="n"/>
      <c r="AF17" s="88" t="n"/>
      <c r="AG17" s="2013" t="n"/>
    </row>
    <row r="18" ht="13.5" customFormat="1" customHeight="1" s="7779">
      <c r="A18" s="6007" t="n"/>
      <c r="B18" s="1836" t="n"/>
      <c r="C18" s="1836" t="n"/>
      <c r="D18" s="1836" t="n"/>
      <c r="E18" s="3440" t="inlineStr">
        <is>
          <t>Note. You may aggregate all short-term transactions reported on Form(s) 1099-B and Form(s) 1099-DA</t>
        </is>
      </c>
      <c r="F18" s="1836" t="n"/>
      <c r="G18" s="1836" t="n"/>
      <c r="H18" s="1836" t="n"/>
      <c r="I18" s="1836" t="n"/>
      <c r="J18" s="1836" t="n"/>
      <c r="K18" s="1836" t="n"/>
      <c r="L18" s="1836" t="n"/>
      <c r="M18" s="1836" t="n"/>
      <c r="N18" s="1836" t="n"/>
      <c r="O18" s="1836" t="n"/>
      <c r="P18" s="1836" t="n"/>
      <c r="Q18" s="1836" t="n"/>
      <c r="R18" s="1836" t="n"/>
      <c r="S18" s="1836" t="n"/>
      <c r="T18" s="1836" t="n"/>
      <c r="U18" s="1836" t="n"/>
      <c r="V18" s="1836" t="n"/>
      <c r="W18" s="1836" t="n"/>
      <c r="X18" s="1836" t="n"/>
      <c r="Y18" s="1836" t="n"/>
      <c r="Z18" s="1836" t="n"/>
      <c r="AA18" s="1836" t="n"/>
      <c r="AB18" s="1836" t="n"/>
      <c r="AC18" s="1836" t="n"/>
      <c r="AD18" s="1836" t="n"/>
      <c r="AE18" s="1836" t="n"/>
      <c r="AF18" s="1836" t="n"/>
      <c r="AG18" s="6007" t="n"/>
      <c r="AH18" s="3161" t="n"/>
      <c r="AI18" s="3161" t="n"/>
    </row>
    <row r="19" ht="13.5" customFormat="1" customHeight="1" s="7779">
      <c r="A19" s="6007" t="n"/>
      <c r="B19" s="1836" t="n"/>
      <c r="C19" s="1836" t="n"/>
      <c r="D19" s="1836" t="n"/>
      <c r="E19" s="1836" t="inlineStr">
        <is>
          <t>showing basis was reported to the IRS and for which no adjustments or codes are required. Enter the totals</t>
        </is>
      </c>
      <c r="F19" s="1836" t="n"/>
      <c r="G19" s="1836" t="n"/>
      <c r="H19" s="1836" t="n"/>
      <c r="I19" s="1836" t="n"/>
      <c r="J19" s="1836" t="n"/>
      <c r="K19" s="1836" t="n"/>
      <c r="L19" s="1836" t="n"/>
      <c r="M19" s="1836" t="n"/>
      <c r="N19" s="1836" t="n"/>
      <c r="O19" s="1836" t="n"/>
      <c r="P19" s="1836" t="n"/>
      <c r="Q19" s="1836" t="n"/>
      <c r="R19" s="1836" t="n"/>
      <c r="S19" s="1836" t="n"/>
      <c r="T19" s="1836" t="n"/>
      <c r="U19" s="1836" t="n"/>
      <c r="V19" s="1836" t="n"/>
      <c r="W19" s="1836" t="n"/>
      <c r="X19" s="1836" t="n"/>
      <c r="Y19" s="1836" t="n"/>
      <c r="Z19" s="1836" t="n"/>
      <c r="AA19" s="1836" t="n"/>
      <c r="AB19" s="1836" t="n"/>
      <c r="AC19" s="1836" t="n"/>
      <c r="AD19" s="1836" t="n"/>
      <c r="AE19" s="1836" t="n"/>
      <c r="AF19" s="1836" t="n"/>
      <c r="AG19" s="6007" t="n"/>
      <c r="AH19" s="3161" t="n"/>
      <c r="AI19" s="3161" t="n"/>
    </row>
    <row r="20" ht="13.5" customFormat="1" customHeight="1" s="7779">
      <c r="A20" s="6007" t="n"/>
      <c r="B20" s="6008" t="n"/>
      <c r="C20" s="6008" t="n"/>
      <c r="D20" s="6008" t="n"/>
      <c r="E20" s="6008" t="inlineStr">
        <is>
          <t>directly on Schedule D, line 1a; you aren’t required to report these transactions on Form 8949 (see instructions).</t>
        </is>
      </c>
      <c r="F20" s="6008" t="n"/>
      <c r="G20" s="6008" t="n"/>
      <c r="H20" s="6008" t="n"/>
      <c r="I20" s="6008" t="n"/>
      <c r="J20" s="6008" t="n"/>
      <c r="K20" s="6008" t="n"/>
      <c r="L20" s="6008" t="n"/>
      <c r="M20" s="6008" t="n"/>
      <c r="N20" s="6008" t="n"/>
      <c r="O20" s="6008" t="n"/>
      <c r="P20" s="6008" t="n"/>
      <c r="Q20" s="6008" t="n"/>
      <c r="R20" s="6008" t="n"/>
      <c r="S20" s="6008" t="n"/>
      <c r="T20" s="6008" t="n"/>
      <c r="U20" s="6008" t="n"/>
      <c r="V20" s="6008" t="n"/>
      <c r="W20" s="6008" t="n"/>
      <c r="X20" s="6008" t="n"/>
      <c r="Y20" s="6008" t="n"/>
      <c r="Z20" s="6008" t="n"/>
      <c r="AA20" s="6008" t="n"/>
      <c r="AB20" s="6008" t="n"/>
      <c r="AC20" s="6008" t="n"/>
      <c r="AD20" s="6008" t="n"/>
      <c r="AE20" s="6008" t="n"/>
      <c r="AF20" s="6008" t="n"/>
      <c r="AG20" s="6007" t="n"/>
      <c r="AH20" s="3161" t="n"/>
      <c r="AI20" s="3161" t="n"/>
    </row>
    <row r="21" ht="14.25" customHeight="1" s="7635">
      <c r="A21" s="2013" t="n"/>
      <c r="B21" s="226" t="inlineStr">
        <is>
          <t xml:space="preserve">You must check Box A, B, C, G, H, or I below. </t>
        </is>
      </c>
      <c r="C21" s="8922" t="n"/>
      <c r="D21" s="8922" t="n"/>
      <c r="E21" s="8922" t="n"/>
      <c r="F21" s="8922" t="n"/>
      <c r="G21" s="8922" t="n"/>
      <c r="H21" s="8922" t="n"/>
      <c r="I21" s="8922" t="n"/>
      <c r="J21" s="8922" t="n"/>
      <c r="K21" s="1183" t="n"/>
      <c r="L21" s="1183" t="n"/>
      <c r="M21" s="226">
        <f>IF($A$35&gt;1,"Check only ONE box.","Check only one box.")</f>
        <v/>
      </c>
      <c r="N21" s="226" t="n"/>
      <c r="O21" s="8922" t="n"/>
      <c r="P21" s="8922" t="n"/>
      <c r="Q21" s="11403" t="n"/>
      <c r="R21" s="8922" t="n"/>
      <c r="S21" s="1836" t="n"/>
      <c r="T21" s="1836" t="n"/>
      <c r="U21" s="8922" t="n"/>
      <c r="V21" s="8922" t="n"/>
      <c r="W21" s="8922" t="n"/>
      <c r="X21" s="8922" t="n"/>
      <c r="Y21" s="8922" t="n"/>
      <c r="Z21" s="8922" t="n"/>
      <c r="AA21" s="8922" t="n"/>
      <c r="AB21" s="8922" t="n"/>
      <c r="AC21" s="8922" t="n"/>
      <c r="AD21" s="8922" t="n"/>
      <c r="AE21" s="8922" t="n"/>
      <c r="AF21" s="6501" t="inlineStr">
        <is>
          <t>If more than one box applies for your short-term transactions,</t>
        </is>
      </c>
      <c r="AG21" s="2013" t="n"/>
    </row>
    <row r="22">
      <c r="A22" s="2013" t="n"/>
      <c r="B22" s="11403" t="inlineStr">
        <is>
          <t>complete a separate Form 8949, page 1, for each applicable box. If you have more short-term transactions than will fit on this page</t>
        </is>
      </c>
      <c r="C22" s="8922" t="n"/>
      <c r="D22" s="8922" t="n"/>
      <c r="E22" s="8922" t="n"/>
      <c r="F22" s="8922" t="n"/>
      <c r="G22" s="8922" t="n"/>
      <c r="H22" s="8922" t="n"/>
      <c r="I22" s="8922" t="n"/>
      <c r="J22" s="8922" t="n"/>
      <c r="K22" s="8922" t="n"/>
      <c r="L22" s="8922" t="n"/>
      <c r="M22" s="8922" t="n"/>
      <c r="N22" s="8922" t="n"/>
      <c r="O22" s="8922" t="n"/>
      <c r="P22" s="8922" t="n"/>
      <c r="Q22" s="8922" t="n"/>
      <c r="R22" s="8922" t="n"/>
      <c r="S22" s="8922" t="n"/>
      <c r="T22" s="8922" t="n"/>
      <c r="U22" s="8922" t="n"/>
      <c r="V22" s="8922" t="n"/>
      <c r="W22" s="8922" t="n"/>
      <c r="X22" s="8922" t="n"/>
      <c r="Y22" s="8922" t="n"/>
      <c r="Z22" s="8922" t="n"/>
      <c r="AA22" s="8922" t="n"/>
      <c r="AB22" s="8922" t="n"/>
      <c r="AC22" s="8922" t="n"/>
      <c r="AD22" s="8922" t="n"/>
      <c r="AE22" s="8922" t="n"/>
      <c r="AF22" s="8922" t="n"/>
      <c r="AG22" s="2013" t="n"/>
      <c r="BA22" s="12799" t="inlineStr">
        <is>
          <t>Less than One Year</t>
        </is>
      </c>
      <c r="BB22" s="8412" t="n"/>
      <c r="BC22" s="11734" t="n"/>
    </row>
    <row r="23" ht="12.75" customHeight="1" s="7635">
      <c r="A23" s="2013" t="n"/>
      <c r="B23" s="11403">
        <f>IF(SpaceUsed_8949A_ST,"ERROR: DO NOT use the space bar to uncheck a box. Use the 'Delete' key.","for one or more of the boxes, complete as many forms with the same box checked as you need.")</f>
        <v/>
      </c>
      <c r="C23" s="8922" t="n"/>
      <c r="D23" s="8922" t="n"/>
      <c r="E23" s="8922" t="n"/>
      <c r="F23" s="8922" t="n"/>
      <c r="G23" s="8922" t="n"/>
      <c r="H23" s="8922" t="n"/>
      <c r="I23" s="8922" t="n"/>
      <c r="J23" s="8922" t="n"/>
      <c r="K23" s="8922" t="n"/>
      <c r="L23" s="8922" t="n"/>
      <c r="M23" s="8922" t="n"/>
      <c r="N23" s="8922" t="n"/>
      <c r="O23" s="8922" t="n"/>
      <c r="P23" s="8922" t="n"/>
      <c r="Q23" s="8922" t="n"/>
      <c r="R23" s="8922" t="n"/>
      <c r="S23" s="8922" t="n"/>
      <c r="T23" s="8922" t="n"/>
      <c r="U23" s="8922" t="n"/>
      <c r="V23" s="8922" t="n"/>
      <c r="W23" s="8922" t="n"/>
      <c r="X23" s="8922" t="n"/>
      <c r="Y23" s="8922" t="n"/>
      <c r="Z23" s="8922" t="n"/>
      <c r="AA23" s="8922" t="n"/>
      <c r="AB23" s="8922" t="n"/>
      <c r="AC23" s="8922" t="n"/>
      <c r="AD23" s="8922" t="n"/>
      <c r="AE23" s="8922" t="n"/>
      <c r="AF23" s="8922" t="n"/>
      <c r="AG23" s="2013" t="n"/>
      <c r="AJ23" s="3809" t="n"/>
      <c r="AK23" s="3809" t="n"/>
      <c r="AL23" s="3809" t="n"/>
      <c r="AM23" s="3809" t="n"/>
      <c r="AN23" s="3809" t="n"/>
      <c r="AO23" s="3809" t="n"/>
      <c r="AP23" s="3809" t="n"/>
      <c r="AQ23" s="3809" t="n"/>
      <c r="BA23" s="11398" t="inlineStr">
        <is>
          <t>Calendar Year is SAME</t>
        </is>
      </c>
      <c r="BB23" s="11398" t="inlineStr">
        <is>
          <t>Before This Month (Last Year)</t>
        </is>
      </c>
      <c r="BC23" s="11398" t="inlineStr">
        <is>
          <t>Before This Day and Month (Last Year)</t>
        </is>
      </c>
    </row>
    <row r="24" ht="4.5" customHeight="1" s="7635" thickBot="1">
      <c r="A24" s="2013" t="n"/>
      <c r="B24" s="8922" t="n"/>
      <c r="C24" s="8922" t="n"/>
      <c r="D24" s="8922" t="n"/>
      <c r="E24" s="8922" t="n"/>
      <c r="F24" s="8922" t="n"/>
      <c r="G24" s="8922" t="n"/>
      <c r="H24" s="8922" t="n"/>
      <c r="I24" s="8922" t="n"/>
      <c r="J24" s="8922" t="n"/>
      <c r="K24" s="8922" t="n"/>
      <c r="L24" s="8922" t="n"/>
      <c r="M24" s="8922" t="n"/>
      <c r="N24" s="8922" t="n"/>
      <c r="O24" s="8922" t="n"/>
      <c r="P24" s="8922" t="n"/>
      <c r="Q24" s="8922" t="n"/>
      <c r="R24" s="8922" t="n"/>
      <c r="S24" s="8922" t="n"/>
      <c r="T24" s="8922" t="n"/>
      <c r="U24" s="8922" t="n"/>
      <c r="V24" s="8922" t="n"/>
      <c r="W24" s="8922" t="n"/>
      <c r="X24" s="8922" t="n"/>
      <c r="Y24" s="8922" t="n"/>
      <c r="Z24" s="8922" t="n"/>
      <c r="AA24" s="8922" t="n"/>
      <c r="AB24" s="8922" t="n"/>
      <c r="AC24" s="8922" t="n"/>
      <c r="AD24" s="8922" t="n"/>
      <c r="AE24" s="8922" t="n"/>
      <c r="AF24" s="8922" t="n"/>
      <c r="AG24" s="2013" t="n"/>
      <c r="BA24" s="11747" t="n"/>
      <c r="BB24" s="11747" t="n"/>
      <c r="BC24" s="11747" t="n"/>
    </row>
    <row r="25" ht="12" customHeight="1" s="7635" thickBot="1">
      <c r="A25" s="2013" t="n"/>
      <c r="B25" s="8914">
        <f>IF(C25&lt;&gt;"",1,0)</f>
        <v/>
      </c>
      <c r="C25" s="300" t="n"/>
      <c r="D25" s="3440" t="inlineStr">
        <is>
          <t xml:space="preserve"> (A) Short-term transactions reported on Form(s) 1099-B showing basis was reported to the IRS (see Note above)</t>
        </is>
      </c>
      <c r="E25" s="8922" t="n"/>
      <c r="F25" s="8922" t="n"/>
      <c r="G25" s="8922" t="n"/>
      <c r="H25" s="8922" t="n"/>
      <c r="I25" s="8922" t="n"/>
      <c r="J25" s="8922" t="n"/>
      <c r="K25" s="8922" t="n"/>
      <c r="L25" s="8922" t="n"/>
      <c r="M25" s="8922" t="n"/>
      <c r="N25" s="8922" t="n"/>
      <c r="O25" s="8922" t="n"/>
      <c r="P25" s="8922" t="n"/>
      <c r="Q25" s="8922" t="n"/>
      <c r="R25" s="8922" t="n"/>
      <c r="S25" s="8922" t="n"/>
      <c r="T25" s="8922" t="n"/>
      <c r="U25" s="8922" t="n"/>
      <c r="V25" s="8922" t="n"/>
      <c r="W25" s="8922" t="n"/>
      <c r="X25" s="8922" t="n"/>
      <c r="Y25" s="8922" t="n"/>
      <c r="Z25" s="8922" t="n"/>
      <c r="AA25" s="8922" t="n"/>
      <c r="AB25" s="8922" t="n"/>
      <c r="AC25" s="8922" t="n"/>
      <c r="AD25" s="8922" t="n"/>
      <c r="AE25" s="8922" t="n"/>
      <c r="AF25" s="8922" t="n"/>
      <c r="AG25" s="2013" t="n"/>
      <c r="AJ25" s="11392" t="n"/>
      <c r="BA25" s="11747" t="n"/>
      <c r="BB25" s="11747" t="n"/>
      <c r="BC25" s="11747" t="n"/>
    </row>
    <row r="26" ht="4.5" customHeight="1" s="7635" thickBot="1">
      <c r="A26" s="2013" t="n"/>
      <c r="B26" s="8914" t="n"/>
      <c r="C26" s="8922" t="n"/>
      <c r="D26" s="1836" t="n"/>
      <c r="E26" s="8922" t="n"/>
      <c r="F26" s="8922" t="n"/>
      <c r="G26" s="8922" t="n"/>
      <c r="H26" s="8922" t="n"/>
      <c r="I26" s="8922" t="n"/>
      <c r="J26" s="8922" t="n"/>
      <c r="K26" s="8922" t="n"/>
      <c r="L26" s="8922" t="n"/>
      <c r="M26" s="8922" t="n"/>
      <c r="N26" s="8922" t="n"/>
      <c r="O26" s="8922" t="n"/>
      <c r="P26" s="8922" t="n"/>
      <c r="Q26" s="8922" t="n"/>
      <c r="R26" s="8922" t="n"/>
      <c r="S26" s="8922" t="n"/>
      <c r="T26" s="8922" t="n"/>
      <c r="U26" s="8922" t="n"/>
      <c r="V26" s="8922" t="n"/>
      <c r="W26" s="8922" t="n"/>
      <c r="X26" s="8922" t="n"/>
      <c r="Y26" s="8922" t="n"/>
      <c r="Z26" s="8922" t="n"/>
      <c r="AA26" s="8922" t="n"/>
      <c r="AB26" s="8922" t="n"/>
      <c r="AC26" s="8922" t="n"/>
      <c r="AD26" s="8922" t="n"/>
      <c r="AE26" s="8922" t="n"/>
      <c r="AF26" s="8922" t="n"/>
      <c r="AG26" s="2013" t="n"/>
      <c r="BA26" s="11747" t="n"/>
      <c r="BB26" s="11747" t="n"/>
      <c r="BC26" s="11747" t="n"/>
    </row>
    <row r="27" ht="11.25" customHeight="1" s="7635" thickBot="1">
      <c r="A27" s="2013" t="n"/>
      <c r="B27" s="8914">
        <f>IF(C27&lt;&gt;"",1,0)</f>
        <v/>
      </c>
      <c r="C27" s="300" t="n"/>
      <c r="D27" s="3440" t="inlineStr">
        <is>
          <t xml:space="preserve"> (B) Short-term transactions reported on Form(s) 1099-B showing basis was not reported to the IRS</t>
        </is>
      </c>
      <c r="E27" s="8922" t="n"/>
      <c r="F27" s="8922" t="n"/>
      <c r="G27" s="8922" t="n"/>
      <c r="H27" s="8922" t="n"/>
      <c r="I27" s="8922" t="n"/>
      <c r="J27" s="8922" t="n"/>
      <c r="K27" s="8922" t="n"/>
      <c r="L27" s="8922" t="n"/>
      <c r="M27" s="8922" t="n"/>
      <c r="N27" s="8922" t="n"/>
      <c r="O27" s="8922" t="n"/>
      <c r="P27" s="8922" t="n"/>
      <c r="Q27" s="8922" t="n"/>
      <c r="R27" s="8922" t="n"/>
      <c r="S27" s="8922" t="n"/>
      <c r="T27" s="8922" t="n"/>
      <c r="U27" s="8922" t="n"/>
      <c r="V27" s="8922" t="n"/>
      <c r="W27" s="8922" t="n"/>
      <c r="X27" s="8922" t="n"/>
      <c r="Y27" s="8922" t="n"/>
      <c r="Z27" s="8922" t="n"/>
      <c r="AA27" s="8922" t="n"/>
      <c r="AB27" s="8922" t="n"/>
      <c r="AC27" s="8922" t="n"/>
      <c r="AD27" s="8922" t="n"/>
      <c r="AE27" s="8922" t="n"/>
      <c r="AF27" s="8922" t="n"/>
      <c r="AG27" s="2013" t="n"/>
      <c r="AJ27" s="11392" t="n"/>
      <c r="BA27" s="11747" t="n"/>
      <c r="BB27" s="11747" t="n"/>
      <c r="BC27" s="11747" t="n"/>
    </row>
    <row r="28" ht="4.5" customHeight="1" s="7635" thickBot="1">
      <c r="A28" s="2013" t="n"/>
      <c r="B28" s="8914" t="n"/>
      <c r="C28" s="8922" t="n"/>
      <c r="D28" s="1836" t="n"/>
      <c r="E28" s="8922" t="n"/>
      <c r="F28" s="8922" t="n"/>
      <c r="G28" s="8922" t="n"/>
      <c r="H28" s="8922" t="n"/>
      <c r="I28" s="8922" t="n"/>
      <c r="J28" s="8922" t="n"/>
      <c r="K28" s="8922" t="n"/>
      <c r="L28" s="8922" t="n"/>
      <c r="M28" s="8922" t="n"/>
      <c r="N28" s="8922" t="n"/>
      <c r="O28" s="8922" t="n"/>
      <c r="P28" s="8922" t="n"/>
      <c r="Q28" s="8922" t="n"/>
      <c r="R28" s="8922" t="n"/>
      <c r="S28" s="8922" t="n"/>
      <c r="T28" s="8922" t="n"/>
      <c r="U28" s="8922" t="n"/>
      <c r="V28" s="8922" t="n"/>
      <c r="W28" s="8922" t="n"/>
      <c r="X28" s="8922" t="n"/>
      <c r="Y28" s="8922" t="n"/>
      <c r="Z28" s="8922" t="n"/>
      <c r="AA28" s="8922" t="n"/>
      <c r="AB28" s="8922" t="n"/>
      <c r="AC28" s="8922" t="n"/>
      <c r="AD28" s="8922" t="n"/>
      <c r="AE28" s="8922" t="n"/>
      <c r="AF28" s="8922" t="n"/>
      <c r="AG28" s="2013" t="n"/>
      <c r="BA28" s="11747" t="n"/>
      <c r="BB28" s="11747" t="n"/>
      <c r="BC28" s="11747" t="n"/>
    </row>
    <row r="29" ht="12" customHeight="1" s="7635" thickBot="1">
      <c r="A29" s="2013">
        <f>SUM(B25:B29)</f>
        <v/>
      </c>
      <c r="B29" s="8914">
        <f>IF(C29&lt;&gt;"",1,0)</f>
        <v/>
      </c>
      <c r="C29" s="300" t="n"/>
      <c r="D29" s="3440" t="inlineStr">
        <is>
          <t xml:space="preserve"> (C) Short-term transactions, other than digital asset transactions, not reported to you on Form 1099-B or Form 1099-DA</t>
        </is>
      </c>
      <c r="E29" s="8922" t="n"/>
      <c r="F29" s="8922" t="n"/>
      <c r="G29" s="8922" t="n"/>
      <c r="H29" s="8922" t="n"/>
      <c r="I29" s="8922" t="n"/>
      <c r="J29" s="8922" t="n"/>
      <c r="K29" s="8922" t="n"/>
      <c r="L29" s="8922" t="n"/>
      <c r="M29" s="8922" t="n"/>
      <c r="N29" s="8922" t="n"/>
      <c r="O29" s="8922" t="n"/>
      <c r="P29" s="8922" t="n"/>
      <c r="Q29" s="8922" t="n"/>
      <c r="R29" s="8922" t="n"/>
      <c r="S29" s="8922" t="n"/>
      <c r="T29" s="8922" t="n"/>
      <c r="U29" s="8922" t="n"/>
      <c r="V29" s="8922" t="n"/>
      <c r="W29" s="8922" t="n"/>
      <c r="X29" s="8922" t="n"/>
      <c r="Y29" s="8922" t="n"/>
      <c r="Z29" s="8922" t="n"/>
      <c r="AA29" s="8922" t="n"/>
      <c r="AB29" s="8922" t="n"/>
      <c r="AC29" s="6009" t="n"/>
      <c r="AD29" s="6009" t="n"/>
      <c r="AE29" s="6010" t="n"/>
      <c r="AF29" s="8922" t="n"/>
      <c r="AG29" s="2013" t="n"/>
      <c r="AH29" s="9649">
        <f>OR(F8949DSBOXA=CHAR(32),F8949DSBOXB=CHAR(32),F8949DSBOXC=CHAR(32),F8949DSBOXG=CHAR(32),F8949DSBOXH=CHAR(32),F8949DSBOXI=CHAR(32))</f>
        <v/>
      </c>
      <c r="AJ29" s="11392" t="n"/>
      <c r="BA29" s="11747" t="n"/>
      <c r="BB29" s="11747" t="n"/>
      <c r="BC29" s="11747" t="n"/>
    </row>
    <row r="30" ht="4.5" customHeight="1" s="7635" thickBot="1">
      <c r="A30" s="2013" t="n"/>
      <c r="B30" s="8922" t="n"/>
      <c r="C30" s="8922" t="n"/>
      <c r="D30" s="1836" t="n"/>
      <c r="E30" s="8922" t="n"/>
      <c r="F30" s="8922" t="n"/>
      <c r="G30" s="8922" t="n"/>
      <c r="H30" s="8922" t="n"/>
      <c r="I30" s="8922" t="n"/>
      <c r="J30" s="8922" t="n"/>
      <c r="K30" s="8922" t="n"/>
      <c r="L30" s="8922" t="n"/>
      <c r="M30" s="8922" t="n"/>
      <c r="N30" s="8922" t="n"/>
      <c r="O30" s="8922" t="n"/>
      <c r="P30" s="8922" t="n"/>
      <c r="Q30" s="8922" t="n"/>
      <c r="R30" s="8922" t="n"/>
      <c r="S30" s="8922" t="n"/>
      <c r="T30" s="8922" t="n"/>
      <c r="U30" s="8922" t="n"/>
      <c r="V30" s="8922" t="n"/>
      <c r="W30" s="8922" t="n"/>
      <c r="X30" s="8922" t="n"/>
      <c r="Y30" s="8922" t="n"/>
      <c r="Z30" s="8922" t="n"/>
      <c r="AA30" s="8922" t="n"/>
      <c r="AB30" s="8922" t="n"/>
      <c r="AC30" s="8922" t="n"/>
      <c r="AD30" s="8922" t="n"/>
      <c r="AE30" s="8922" t="n"/>
      <c r="AF30" s="8922" t="n"/>
      <c r="AG30" s="2013" t="n"/>
      <c r="BA30" s="11747" t="n"/>
      <c r="BB30" s="11747" t="n"/>
      <c r="BC30" s="11747" t="n"/>
    </row>
    <row r="31" ht="12" customHeight="1" s="7635" thickBot="1">
      <c r="A31" s="2013" t="n"/>
      <c r="B31" s="8914">
        <f>IF(C31&lt;&gt;"",1,0)</f>
        <v/>
      </c>
      <c r="C31" s="300" t="n"/>
      <c r="D31" s="3440" t="inlineStr">
        <is>
          <t xml:space="preserve"> (G) Short-term transactions reported on Form(s) 1099-DA showing basis was reported to the IRS (see Note above)</t>
        </is>
      </c>
      <c r="E31" s="8922" t="n"/>
      <c r="F31" s="8922" t="n"/>
      <c r="G31" s="8922" t="n"/>
      <c r="H31" s="8922" t="n"/>
      <c r="I31" s="8922" t="n"/>
      <c r="J31" s="8922" t="n"/>
      <c r="K31" s="8922" t="n"/>
      <c r="L31" s="8922" t="n"/>
      <c r="M31" s="8922" t="n"/>
      <c r="N31" s="8922" t="n"/>
      <c r="O31" s="8922" t="n"/>
      <c r="P31" s="8922" t="n"/>
      <c r="Q31" s="8922" t="n"/>
      <c r="R31" s="8922" t="n"/>
      <c r="S31" s="8922" t="n"/>
      <c r="T31" s="8922" t="n"/>
      <c r="U31" s="8922" t="n"/>
      <c r="V31" s="8922" t="n"/>
      <c r="W31" s="8922" t="n"/>
      <c r="X31" s="8922" t="n"/>
      <c r="Y31" s="8922" t="n"/>
      <c r="Z31" s="8922" t="n"/>
      <c r="AA31" s="8922" t="n"/>
      <c r="AB31" s="8922" t="n"/>
      <c r="AC31" s="8922" t="n"/>
      <c r="AD31" s="8922" t="n"/>
      <c r="AE31" s="8922" t="n"/>
      <c r="AF31" s="8922" t="n"/>
      <c r="AG31" s="2013" t="n"/>
      <c r="AJ31" s="11392" t="n"/>
      <c r="BA31" s="11747" t="n"/>
      <c r="BB31" s="11747" t="n"/>
      <c r="BC31" s="11747" t="n"/>
    </row>
    <row r="32" ht="4.5" customHeight="1" s="7635" thickBot="1">
      <c r="A32" s="2013" t="n"/>
      <c r="B32" s="8914" t="n"/>
      <c r="C32" s="8922" t="n"/>
      <c r="D32" s="1836" t="n"/>
      <c r="E32" s="8922" t="n"/>
      <c r="F32" s="8922" t="n"/>
      <c r="G32" s="8922" t="n"/>
      <c r="H32" s="8922" t="n"/>
      <c r="I32" s="8922" t="n"/>
      <c r="J32" s="8922" t="n"/>
      <c r="K32" s="8922" t="n"/>
      <c r="L32" s="8922" t="n"/>
      <c r="M32" s="8922" t="n"/>
      <c r="N32" s="8922" t="n"/>
      <c r="O32" s="8922" t="n"/>
      <c r="P32" s="8922" t="n"/>
      <c r="Q32" s="8922" t="n"/>
      <c r="R32" s="8922" t="n"/>
      <c r="S32" s="8922" t="n"/>
      <c r="T32" s="8922" t="n"/>
      <c r="U32" s="8922" t="n"/>
      <c r="V32" s="8922" t="n"/>
      <c r="W32" s="8922" t="n"/>
      <c r="X32" s="8922" t="n"/>
      <c r="Y32" s="8922" t="n"/>
      <c r="Z32" s="8922" t="n"/>
      <c r="AA32" s="8922" t="n"/>
      <c r="AB32" s="8922" t="n"/>
      <c r="AC32" s="8922" t="n"/>
      <c r="AD32" s="8922" t="n"/>
      <c r="AE32" s="8922" t="n"/>
      <c r="AF32" s="8922" t="n"/>
      <c r="AG32" s="2013" t="n"/>
      <c r="BA32" s="11747" t="n"/>
      <c r="BB32" s="11747" t="n"/>
      <c r="BC32" s="11747" t="n"/>
    </row>
    <row r="33" ht="11.25" customHeight="1" s="7635" thickBot="1">
      <c r="A33" s="2013" t="n"/>
      <c r="B33" s="8914">
        <f>IF(C33&lt;&gt;"",1,0)</f>
        <v/>
      </c>
      <c r="C33" s="300" t="n"/>
      <c r="D33" s="3440" t="inlineStr">
        <is>
          <t xml:space="preserve"> (H) Short-term transactions reported on Form(s) 1099-DA showing basis was not reported to the IRS</t>
        </is>
      </c>
      <c r="E33" s="8922" t="n"/>
      <c r="F33" s="8922" t="n"/>
      <c r="G33" s="8922" t="n"/>
      <c r="H33" s="8922" t="n"/>
      <c r="I33" s="8922" t="n"/>
      <c r="J33" s="8922" t="n"/>
      <c r="K33" s="8922" t="n"/>
      <c r="L33" s="8922" t="n"/>
      <c r="M33" s="8922" t="n"/>
      <c r="N33" s="8922" t="n"/>
      <c r="O33" s="8922" t="n"/>
      <c r="P33" s="8922" t="n"/>
      <c r="Q33" s="8922" t="n"/>
      <c r="R33" s="8922" t="n"/>
      <c r="S33" s="8922" t="n"/>
      <c r="T33" s="8922" t="n"/>
      <c r="U33" s="8922" t="n"/>
      <c r="V33" s="8922" t="n"/>
      <c r="W33" s="8922" t="n"/>
      <c r="X33" s="8922" t="n"/>
      <c r="Y33" s="8922" t="n"/>
      <c r="Z33" s="8922" t="n"/>
      <c r="AA33" s="8922" t="n"/>
      <c r="AB33" s="8922" t="n"/>
      <c r="AC33" s="8922" t="n"/>
      <c r="AD33" s="8922" t="n"/>
      <c r="AE33" s="8922" t="n"/>
      <c r="AF33" s="8922" t="n"/>
      <c r="AG33" s="2013" t="n"/>
      <c r="AJ33" s="11392" t="n"/>
      <c r="BA33" s="11747" t="n"/>
      <c r="BB33" s="11747" t="n"/>
      <c r="BC33" s="11747" t="n"/>
    </row>
    <row r="34" ht="4.5" customHeight="1" s="7635" thickBot="1">
      <c r="A34" s="2013" t="n"/>
      <c r="B34" s="8914" t="n"/>
      <c r="C34" s="8922" t="n"/>
      <c r="D34" s="1836" t="n"/>
      <c r="E34" s="8922" t="n"/>
      <c r="F34" s="8922" t="n"/>
      <c r="G34" s="8922" t="n"/>
      <c r="H34" s="8922" t="n"/>
      <c r="I34" s="8922" t="n"/>
      <c r="J34" s="8922" t="n"/>
      <c r="K34" s="8922" t="n"/>
      <c r="L34" s="8922" t="n"/>
      <c r="M34" s="8922" t="n"/>
      <c r="N34" s="8922" t="n"/>
      <c r="O34" s="8922" t="n"/>
      <c r="P34" s="8922" t="n"/>
      <c r="Q34" s="8922" t="n"/>
      <c r="R34" s="8922" t="n"/>
      <c r="S34" s="8922" t="n"/>
      <c r="T34" s="8922" t="n"/>
      <c r="U34" s="8922" t="n"/>
      <c r="V34" s="8922" t="n"/>
      <c r="W34" s="8922" t="n"/>
      <c r="X34" s="8922" t="n"/>
      <c r="Y34" s="8922" t="n"/>
      <c r="Z34" s="8922" t="n"/>
      <c r="AA34" s="8922" t="n"/>
      <c r="AB34" s="8922" t="n"/>
      <c r="AC34" s="8922" t="n"/>
      <c r="AD34" s="8922" t="n"/>
      <c r="AE34" s="8922" t="n"/>
      <c r="AF34" s="8922" t="n"/>
      <c r="AG34" s="2013" t="n"/>
      <c r="BA34" s="11747" t="n"/>
      <c r="BB34" s="11747" t="n"/>
      <c r="BC34" s="11747" t="n"/>
    </row>
    <row r="35" ht="12" customHeight="1" s="7635" thickBot="1">
      <c r="A35" s="2013">
        <f>SUM(B25:B35)</f>
        <v/>
      </c>
      <c r="B35" s="8914">
        <f>IF(C35&lt;&gt;"",1,0)</f>
        <v/>
      </c>
      <c r="C35" s="300" t="n"/>
      <c r="D35" s="3440" t="inlineStr">
        <is>
          <t xml:space="preserve"> (I) Short-term digital asset transactions not reported to you on Form 1099-DA or Form 1099-B</t>
        </is>
      </c>
      <c r="E35" s="8922" t="n"/>
      <c r="F35" s="8922" t="n"/>
      <c r="G35" s="8922" t="n"/>
      <c r="H35" s="8922" t="n"/>
      <c r="I35" s="8922" t="n"/>
      <c r="J35" s="8922" t="n"/>
      <c r="K35" s="8922" t="n"/>
      <c r="L35" s="8922" t="n"/>
      <c r="M35" s="8922" t="n"/>
      <c r="N35" s="8922" t="n"/>
      <c r="O35" s="8922" t="n"/>
      <c r="P35" s="8922" t="n"/>
      <c r="Q35" s="8922" t="n"/>
      <c r="R35" s="3429" t="n"/>
      <c r="S35" s="794" t="n"/>
      <c r="T35" s="794" t="n"/>
      <c r="U35" s="794" t="n"/>
      <c r="V35" s="794" t="n"/>
      <c r="W35" s="794" t="n"/>
      <c r="X35" s="794" t="n"/>
      <c r="Y35" s="794" t="n"/>
      <c r="Z35" s="794" t="n"/>
      <c r="AA35" s="794" t="n"/>
      <c r="AB35" s="3429" t="n"/>
      <c r="AC35" s="794" t="n"/>
      <c r="AD35" s="794" t="n"/>
      <c r="AE35" s="794" t="n"/>
      <c r="AF35" s="6011" t="n"/>
      <c r="AG35" s="2013" t="n"/>
      <c r="AH35" s="9649" t="n"/>
      <c r="AJ35" s="11392" t="inlineStr">
        <is>
          <t>Paste data from other spreadsheets, reports, etc. here.  (Use 'Paste Special, Values')</t>
        </is>
      </c>
      <c r="BA35" s="11747" t="n"/>
      <c r="BB35" s="11747" t="n"/>
      <c r="BC35" s="11747" t="n"/>
    </row>
    <row r="36" ht="5.25" customHeight="1" s="7635">
      <c r="A36" s="2013" t="n"/>
      <c r="B36" s="6012" t="n"/>
      <c r="C36" s="6013" t="n"/>
      <c r="D36" s="6012" t="n"/>
      <c r="E36" s="6012" t="n"/>
      <c r="F36" s="6012" t="n"/>
      <c r="G36" s="6012" t="n"/>
      <c r="H36" s="6012" t="n"/>
      <c r="I36" s="6012" t="n"/>
      <c r="J36" s="6012" t="n"/>
      <c r="K36" s="6012" t="n"/>
      <c r="L36" s="6012" t="n"/>
      <c r="M36" s="6012" t="n"/>
      <c r="N36" s="6013" t="n"/>
      <c r="O36" s="6012" t="n"/>
      <c r="P36" s="6012" t="n"/>
      <c r="Q36" s="6012" t="n"/>
      <c r="R36" s="6012" t="n"/>
      <c r="S36" s="6012" t="n"/>
      <c r="T36" s="6012" t="n"/>
      <c r="U36" s="6012" t="n"/>
      <c r="V36" s="6012" t="n"/>
      <c r="W36" s="6012" t="n"/>
      <c r="X36" s="6012" t="n"/>
      <c r="Y36" s="6013" t="n"/>
      <c r="Z36" s="6012" t="n"/>
      <c r="AA36" s="6012" t="n"/>
      <c r="AB36" s="6012" t="n"/>
      <c r="AC36" s="6012" t="n"/>
      <c r="AD36" s="6012" t="n"/>
      <c r="AE36" s="6012" t="n"/>
      <c r="AF36" s="6012" t="n"/>
      <c r="AG36" s="2013" t="n"/>
      <c r="BA36" s="11747" t="n"/>
      <c r="BB36" s="11747" t="n"/>
      <c r="BC36" s="11747" t="n"/>
    </row>
    <row r="37" ht="21" customHeight="1" s="7635">
      <c r="A37" s="2013" t="n"/>
      <c r="B37" s="12800" t="n">
        <v>1</v>
      </c>
      <c r="C37" s="12801" t="inlineStr">
        <is>
          <t>(a)
Description of property
(Example: 100 sh. XYZ Co.)</t>
        </is>
      </c>
      <c r="D37" s="7839" t="n"/>
      <c r="E37" s="7839" t="n"/>
      <c r="F37" s="7839" t="n"/>
      <c r="G37" s="7839" t="n"/>
      <c r="H37" s="7839" t="n"/>
      <c r="I37" s="10091" t="n"/>
      <c r="J37" s="11779" t="inlineStr">
        <is>
          <t>(b)
Date acquired
(Mo., day, yr.)</t>
        </is>
      </c>
      <c r="K37" s="7839" t="n"/>
      <c r="L37" s="10091" t="n"/>
      <c r="M37" s="11779" t="inlineStr">
        <is>
          <t>(c)
Date sold or
disposed of
(Mo., day, yr.)</t>
        </is>
      </c>
      <c r="N37" s="7839" t="n"/>
      <c r="O37" s="7839" t="n"/>
      <c r="P37" s="10091" t="n"/>
      <c r="Q37" s="11779" t="inlineStr">
        <is>
          <t>(d)
Proceeds 
(sales price) 
(see instructions)</t>
        </is>
      </c>
      <c r="R37" s="7839" t="n"/>
      <c r="S37" s="7839" t="n"/>
      <c r="T37" s="10091" t="n"/>
      <c r="U37" s="12802" t="inlineStr">
        <is>
          <t>(e)
Cost or other basis. 
See the Note below 
and see Column (e) 
in the separate 
instructions</t>
        </is>
      </c>
      <c r="V37" s="7839" t="n"/>
      <c r="W37" s="7839" t="n"/>
      <c r="X37" s="10091" t="n"/>
      <c r="Y37" s="12803" t="inlineStr">
        <is>
          <t>Adjustment, if any, to gain or loss. 
If you enter an amount in column (g), 
enter a code in column (f). 
See the separate instructions.</t>
        </is>
      </c>
      <c r="Z37" s="7839" t="n"/>
      <c r="AA37" s="7839" t="n"/>
      <c r="AB37" s="10091" t="n"/>
      <c r="AC37" s="12804" t="inlineStr">
        <is>
          <t>(h) 
Gain or (loss). 
Subtract column (e) 
from column (d) and 
combine the result 
with column (g)</t>
        </is>
      </c>
      <c r="AD37" s="7839" t="n"/>
      <c r="AE37" s="7839" t="n"/>
      <c r="AF37" s="7839" t="n"/>
      <c r="AG37" s="2013" t="n"/>
      <c r="AJ37" s="11391" t="inlineStr">
        <is>
          <t>(a)
Description of property
(Example: 100 sh. XYZ Co.)</t>
        </is>
      </c>
      <c r="AK37" s="11391" t="inlineStr">
        <is>
          <t>(b)
Date acquired 
(Mo., day, yr.)</t>
        </is>
      </c>
      <c r="AL37" s="11391" t="inlineStr">
        <is>
          <t>(c)
Date sold or disposed
(Mo., day, yr.)</t>
        </is>
      </c>
      <c r="AM37" s="11391" t="inlineStr">
        <is>
          <t>(d)
Proceeds (sales price)
(see instructions)</t>
        </is>
      </c>
      <c r="AN37" s="11400" t="inlineStr">
        <is>
          <t>(e)
Cost or other basis.
See the Note below 
and see Column (e)
in the separate instructions</t>
        </is>
      </c>
      <c r="AO37" s="12805" t="inlineStr">
        <is>
          <t>Adjustment, if any, to gain or loss. 
If you enter an amount in column (g), 
enter a code in column (f). 
See the separate instructions.</t>
        </is>
      </c>
      <c r="AP37" s="10091" t="n"/>
      <c r="AQ37" s="11391" t="inlineStr">
        <is>
          <t>(h) 
Gain or (loss). 
Subtract column (e) 
from column (d) and 
combine the result 
with column (g)</t>
        </is>
      </c>
      <c r="BA37" s="11747" t="n"/>
      <c r="BB37" s="11747" t="n"/>
      <c r="BC37" s="11747" t="n"/>
    </row>
    <row r="38" ht="21" customHeight="1" s="7635">
      <c r="A38" s="2013" t="n"/>
      <c r="I38" s="7636" t="n"/>
      <c r="J38" s="4772" t="n"/>
      <c r="L38" s="7636" t="n"/>
      <c r="M38" s="4772" t="n"/>
      <c r="P38" s="7636" t="n"/>
      <c r="Q38" s="4772" t="n"/>
      <c r="T38" s="7636" t="n"/>
      <c r="U38" s="4772" t="n"/>
      <c r="X38" s="7636" t="n"/>
      <c r="Y38" s="3614" t="n"/>
      <c r="Z38" s="7637" t="n"/>
      <c r="AA38" s="7637" t="n"/>
      <c r="AB38" s="7638" t="n"/>
      <c r="AC38" s="4772" t="n"/>
      <c r="AG38" s="2013" t="n"/>
      <c r="AJ38" s="11747" t="n"/>
      <c r="AK38" s="11747" t="n"/>
      <c r="AL38" s="11747" t="n"/>
      <c r="AM38" s="11747" t="n"/>
      <c r="AN38" s="11747" t="n"/>
      <c r="AO38" s="3614" t="n"/>
      <c r="AP38" s="7638" t="n"/>
      <c r="AQ38" s="11747" t="n"/>
      <c r="BA38" s="11747" t="n"/>
      <c r="BB38" s="11747" t="n"/>
      <c r="BC38" s="11747" t="n"/>
    </row>
    <row r="39" ht="18" customHeight="1" s="7635">
      <c r="A39" s="2013" t="n"/>
      <c r="I39" s="7636" t="n"/>
      <c r="J39" s="4772" t="n"/>
      <c r="L39" s="7636" t="n"/>
      <c r="M39" s="4772" t="n"/>
      <c r="P39" s="7636" t="n"/>
      <c r="Q39" s="4772" t="n"/>
      <c r="T39" s="7636" t="n"/>
      <c r="U39" s="4772" t="n"/>
      <c r="X39" s="7636" t="n"/>
      <c r="Y39" s="12122" t="inlineStr">
        <is>
          <t>(f) 
Code(s) from 
instructions</t>
        </is>
      </c>
      <c r="Z39" s="10091" t="n"/>
      <c r="AA39" s="12122" t="inlineStr">
        <is>
          <t>(g) 
Amount of 
adjustment</t>
        </is>
      </c>
      <c r="AB39" s="10091" t="n"/>
      <c r="AC39" s="4772" t="n"/>
      <c r="AG39" s="2013" t="n"/>
      <c r="AJ39" s="11747" t="n"/>
      <c r="AK39" s="11747" t="n"/>
      <c r="AL39" s="11747" t="n"/>
      <c r="AM39" s="11747" t="n"/>
      <c r="AN39" s="11747" t="n"/>
      <c r="AO39" s="12122" t="inlineStr">
        <is>
          <t>(f) 
Code(s) from 
instructions</t>
        </is>
      </c>
      <c r="AP39" s="12122" t="inlineStr">
        <is>
          <t>(g) 
Amount of 
adjustment</t>
        </is>
      </c>
      <c r="AQ39" s="11747" t="n"/>
      <c r="BA39" s="11747" t="n"/>
      <c r="BB39" s="11747" t="n"/>
      <c r="BC39" s="11747" t="n"/>
    </row>
    <row r="40" ht="18" customHeight="1" s="7635">
      <c r="A40" s="2013" t="n"/>
      <c r="B40" s="7637" t="n"/>
      <c r="C40" s="7637" t="n"/>
      <c r="D40" s="7637" t="n"/>
      <c r="E40" s="7637" t="n"/>
      <c r="F40" s="7637" t="n"/>
      <c r="G40" s="7637" t="n"/>
      <c r="H40" s="7637" t="n"/>
      <c r="I40" s="7638" t="n"/>
      <c r="J40" s="3614" t="n"/>
      <c r="K40" s="7637" t="n"/>
      <c r="L40" s="7638" t="n"/>
      <c r="M40" s="3614" t="n"/>
      <c r="N40" s="7637" t="n"/>
      <c r="O40" s="7637" t="n"/>
      <c r="P40" s="7638" t="n"/>
      <c r="Q40" s="3614" t="n"/>
      <c r="R40" s="7637" t="n"/>
      <c r="S40" s="7637" t="n"/>
      <c r="T40" s="7638" t="n"/>
      <c r="U40" s="3614" t="n"/>
      <c r="V40" s="7637" t="n"/>
      <c r="W40" s="7637" t="n"/>
      <c r="X40" s="7638" t="n"/>
      <c r="Y40" s="3614" t="n"/>
      <c r="Z40" s="7638" t="n"/>
      <c r="AA40" s="3614" t="n"/>
      <c r="AB40" s="7638" t="n"/>
      <c r="AC40" s="3614" t="n"/>
      <c r="AD40" s="7637" t="n"/>
      <c r="AE40" s="7637" t="n"/>
      <c r="AF40" s="7637" t="n"/>
      <c r="AG40" s="2013" t="n"/>
      <c r="AJ40" s="11934" t="n"/>
      <c r="AK40" s="11934" t="n"/>
      <c r="AL40" s="11934" t="n"/>
      <c r="AM40" s="11934" t="n"/>
      <c r="AN40" s="11934" t="n"/>
      <c r="AO40" s="11934" t="n"/>
      <c r="AP40" s="11934" t="n"/>
      <c r="AQ40" s="11934" t="n"/>
      <c r="AZ40" s="8788" t="inlineStr">
        <is>
          <t>LTOY</t>
        </is>
      </c>
      <c r="BA40" s="11934" t="n"/>
      <c r="BB40" s="11934" t="n"/>
      <c r="BC40" s="11934" t="n"/>
    </row>
    <row r="41" ht="26.25" customHeight="1" s="7635">
      <c r="A41" s="2013">
        <f>IF(OR(Q41&lt;&gt;"",U41&lt;&gt;"",AC41&lt;&gt;""),1,0)</f>
        <v/>
      </c>
      <c r="B41" s="12806">
        <f>IF(AJ41="","",AJ41)</f>
        <v/>
      </c>
      <c r="C41" s="8007" t="n"/>
      <c r="D41" s="8007" t="n"/>
      <c r="E41" s="8007" t="n"/>
      <c r="F41" s="8007" t="n"/>
      <c r="G41" s="8007" t="n"/>
      <c r="H41" s="8007" t="n"/>
      <c r="I41" s="8008" t="n"/>
      <c r="J41" s="12807">
        <f>IF(AK41="","",AK41)</f>
        <v/>
      </c>
      <c r="K41" s="8007" t="n"/>
      <c r="L41" s="8007" t="n"/>
      <c r="M41" s="12808">
        <f>IF(AL41="","",AL41)</f>
        <v/>
      </c>
      <c r="N41" s="8007" t="n"/>
      <c r="O41" s="8007" t="n"/>
      <c r="P41" s="8008" t="n"/>
      <c r="Q41" s="12809">
        <f>IF(AM41="","",AM41)</f>
        <v/>
      </c>
      <c r="R41" s="8007" t="n"/>
      <c r="S41" s="8007" t="n"/>
      <c r="T41" s="8008" t="n"/>
      <c r="U41" s="12809">
        <f>IF(AN41="","",AN41)</f>
        <v/>
      </c>
      <c r="V41" s="8007" t="n"/>
      <c r="W41" s="8007" t="n"/>
      <c r="X41" s="8008" t="n"/>
      <c r="Y41" s="12810">
        <f>IF(AO41&lt;&gt;"",AO41,"")</f>
        <v/>
      </c>
      <c r="Z41" s="8008" t="n"/>
      <c r="AA41" s="12809">
        <f>IF(AP41="","",AP41)</f>
        <v/>
      </c>
      <c r="AB41" s="8008" t="n"/>
      <c r="AC41" s="11389">
        <f>IF(AQ41&lt;&gt;"",AQ41,IF(AND(Q41="",U41=""),"",IF(AND(Q41&lt;&gt;"",U41=""),SUM(Q41,AA41),SUM(Q41,-U41,AA41))))</f>
        <v/>
      </c>
      <c r="AD41" s="8412" t="n"/>
      <c r="AE41" s="8412" t="n"/>
      <c r="AF41" s="8412" t="n"/>
      <c r="AG41" s="4271">
        <f>IF(OR(J41="",M41=""),0,IF(OR(BA41,BB41,BC41),0,1))</f>
        <v/>
      </c>
      <c r="AH41" s="6014" t="n"/>
      <c r="AI41" s="6014">
        <f>M41-J41</f>
        <v/>
      </c>
      <c r="AJ41" s="293" t="n"/>
      <c r="AK41" s="12811" t="n"/>
      <c r="AL41" s="12811" t="n"/>
      <c r="AM41" s="295" t="n"/>
      <c r="AN41" s="295" t="n"/>
      <c r="AO41" s="296" t="n"/>
      <c r="AP41" s="295" t="n"/>
      <c r="AQ41" s="294" t="n"/>
      <c r="AS41">
        <f>YEAR(J41)</f>
        <v/>
      </c>
      <c r="AT41">
        <f>MONTH(J41)</f>
        <v/>
      </c>
      <c r="AU41">
        <f>DAY(J41)</f>
        <v/>
      </c>
      <c r="AW41">
        <f>YEAR(M41)</f>
        <v/>
      </c>
      <c r="AX41">
        <f>MONTH(M41)</f>
        <v/>
      </c>
      <c r="AY41">
        <f>DAY(M41)</f>
        <v/>
      </c>
      <c r="AZ41">
        <f>OR(BA41,BB41,BC41)</f>
        <v/>
      </c>
      <c r="BA41">
        <f>AW41=AS41</f>
        <v/>
      </c>
      <c r="BB41">
        <f>AND(AW41=AS41+1,AX41&lt;AT41)</f>
        <v/>
      </c>
      <c r="BC41">
        <f>AND(AW41=AS41+1,AX41=AT41,AY41&lt;=AU41)</f>
        <v/>
      </c>
    </row>
    <row r="42" ht="26.25" customHeight="1" s="7635">
      <c r="A42" s="2013">
        <f>IF(OR(Q42&lt;&gt;"",U42&lt;&gt;"",AC42&lt;&gt;""),1,0)</f>
        <v/>
      </c>
      <c r="B42" s="12806">
        <f>IF(AJ42="","",AJ42)</f>
        <v/>
      </c>
      <c r="C42" s="8007" t="n"/>
      <c r="D42" s="8007" t="n"/>
      <c r="E42" s="8007" t="n"/>
      <c r="F42" s="8007" t="n"/>
      <c r="G42" s="8007" t="n"/>
      <c r="H42" s="8007" t="n"/>
      <c r="I42" s="8008" t="n"/>
      <c r="J42" s="12807">
        <f>IF(AK42="","",AK42)</f>
        <v/>
      </c>
      <c r="K42" s="8007" t="n"/>
      <c r="L42" s="8007" t="n"/>
      <c r="M42" s="12808">
        <f>IF(AL42="","",AL42)</f>
        <v/>
      </c>
      <c r="N42" s="8007" t="n"/>
      <c r="O42" s="8007" t="n"/>
      <c r="P42" s="8008" t="n"/>
      <c r="Q42" s="12809">
        <f>IF(AM42="","",AM42)</f>
        <v/>
      </c>
      <c r="R42" s="8007" t="n"/>
      <c r="S42" s="8007" t="n"/>
      <c r="T42" s="8008" t="n"/>
      <c r="U42" s="12809">
        <f>IF(AN42="","",AN42)</f>
        <v/>
      </c>
      <c r="V42" s="8007" t="n"/>
      <c r="W42" s="8007" t="n"/>
      <c r="X42" s="8008" t="n"/>
      <c r="Y42" s="12810">
        <f>IF(AO42&lt;&gt;"",AO42,"")</f>
        <v/>
      </c>
      <c r="Z42" s="8008" t="n"/>
      <c r="AA42" s="12809">
        <f>IF(AP42="","",AP42)</f>
        <v/>
      </c>
      <c r="AB42" s="8008" t="n"/>
      <c r="AC42" s="11389">
        <f>IF(AQ42&lt;&gt;"",AQ42,IF(AND(Q42="",U42=""),"",IF(AND(Q42&lt;&gt;"",U42=""),SUM(Q42,AA42),SUM(Q42,-U42,AA42))))</f>
        <v/>
      </c>
      <c r="AD42" s="8412" t="n"/>
      <c r="AE42" s="8412" t="n"/>
      <c r="AF42" s="8412" t="n"/>
      <c r="AG42" s="4271">
        <f>IF(OR(J42="",M42=""),0,IF(OR(BA42,BB42,BC42),0,1))</f>
        <v/>
      </c>
      <c r="AH42" s="6014" t="n"/>
      <c r="AI42" s="6014">
        <f>M42-J42</f>
        <v/>
      </c>
      <c r="AJ42" s="293" t="n"/>
      <c r="AK42" s="12811" t="n"/>
      <c r="AL42" s="12811" t="n"/>
      <c r="AM42" s="295" t="n"/>
      <c r="AN42" s="295" t="n"/>
      <c r="AO42" s="296" t="n"/>
      <c r="AP42" s="295" t="n"/>
      <c r="AQ42" s="294" t="n"/>
      <c r="AS42">
        <f>YEAR(J42)</f>
        <v/>
      </c>
      <c r="AT42">
        <f>MONTH(J42)</f>
        <v/>
      </c>
      <c r="AU42">
        <f>DAY(J42)</f>
        <v/>
      </c>
      <c r="AW42">
        <f>YEAR(M42)</f>
        <v/>
      </c>
      <c r="AX42">
        <f>MONTH(M42)</f>
        <v/>
      </c>
      <c r="AY42">
        <f>DAY(M42)</f>
        <v/>
      </c>
      <c r="AZ42">
        <f>OR(BA42,BB42,BC42)</f>
        <v/>
      </c>
      <c r="BA42">
        <f>AW42=AS42</f>
        <v/>
      </c>
      <c r="BB42">
        <f>AND(AW42=AS42+1,AX42&lt;AT42)</f>
        <v/>
      </c>
      <c r="BC42">
        <f>AND(AW42=AS42+1,AX42=AT42,AY42&lt;=AU42)</f>
        <v/>
      </c>
    </row>
    <row r="43" ht="26.25" customHeight="1" s="7635">
      <c r="A43" s="2013">
        <f>IF(OR(Q43&lt;&gt;"",U43&lt;&gt;"",AC43&lt;&gt;""),1,0)</f>
        <v/>
      </c>
      <c r="B43" s="12806">
        <f>IF(AJ43="","",AJ43)</f>
        <v/>
      </c>
      <c r="C43" s="8007" t="n"/>
      <c r="D43" s="8007" t="n"/>
      <c r="E43" s="8007" t="n"/>
      <c r="F43" s="8007" t="n"/>
      <c r="G43" s="8007" t="n"/>
      <c r="H43" s="8007" t="n"/>
      <c r="I43" s="8008" t="n"/>
      <c r="J43" s="12807">
        <f>IF(AK43="","",AK43)</f>
        <v/>
      </c>
      <c r="K43" s="8007" t="n"/>
      <c r="L43" s="8007" t="n"/>
      <c r="M43" s="12808">
        <f>IF(AL43="","",AL43)</f>
        <v/>
      </c>
      <c r="N43" s="8007" t="n"/>
      <c r="O43" s="8007" t="n"/>
      <c r="P43" s="8008" t="n"/>
      <c r="Q43" s="12809">
        <f>IF(AM43="","",AM43)</f>
        <v/>
      </c>
      <c r="R43" s="8007" t="n"/>
      <c r="S43" s="8007" t="n"/>
      <c r="T43" s="8008" t="n"/>
      <c r="U43" s="12809">
        <f>IF(AN43="","",AN43)</f>
        <v/>
      </c>
      <c r="V43" s="8007" t="n"/>
      <c r="W43" s="8007" t="n"/>
      <c r="X43" s="8008" t="n"/>
      <c r="Y43" s="12810">
        <f>IF(AO43&lt;&gt;"",AO43,"")</f>
        <v/>
      </c>
      <c r="Z43" s="8008" t="n"/>
      <c r="AA43" s="12809">
        <f>IF(AP43="","",AP43)</f>
        <v/>
      </c>
      <c r="AB43" s="8008" t="n"/>
      <c r="AC43" s="11389">
        <f>IF(AQ43&lt;&gt;"",AQ43,IF(AND(Q43="",U43=""),"",IF(AND(Q43&lt;&gt;"",U43=""),SUM(Q43,AA43),SUM(Q43,-U43,AA43))))</f>
        <v/>
      </c>
      <c r="AD43" s="8412" t="n"/>
      <c r="AE43" s="8412" t="n"/>
      <c r="AF43" s="8412" t="n"/>
      <c r="AG43" s="4271">
        <f>IF(OR(J43="",M43=""),0,IF(OR(BA43,BB43,BC43),0,1))</f>
        <v/>
      </c>
      <c r="AH43" s="6014" t="n"/>
      <c r="AI43" s="6014">
        <f>M43-J43</f>
        <v/>
      </c>
      <c r="AJ43" s="293" t="n"/>
      <c r="AK43" s="12811" t="n"/>
      <c r="AL43" s="12811" t="n"/>
      <c r="AM43" s="295" t="n"/>
      <c r="AN43" s="295" t="n"/>
      <c r="AO43" s="296" t="n"/>
      <c r="AP43" s="295" t="n"/>
      <c r="AQ43" s="294" t="n"/>
      <c r="AS43">
        <f>YEAR(J43)</f>
        <v/>
      </c>
      <c r="AT43">
        <f>MONTH(J43)</f>
        <v/>
      </c>
      <c r="AU43">
        <f>DAY(J43)</f>
        <v/>
      </c>
      <c r="AW43">
        <f>YEAR(M43)</f>
        <v/>
      </c>
      <c r="AX43">
        <f>MONTH(M43)</f>
        <v/>
      </c>
      <c r="AY43">
        <f>DAY(M43)</f>
        <v/>
      </c>
      <c r="AZ43">
        <f>OR(BA43,BB43,BC43)</f>
        <v/>
      </c>
      <c r="BA43">
        <f>AW43=AS43</f>
        <v/>
      </c>
      <c r="BB43">
        <f>AND(AW43=AS43+1,AX43&lt;AT43)</f>
        <v/>
      </c>
      <c r="BC43">
        <f>AND(AW43=AS43+1,AX43=AT43,AY43&lt;=AU43)</f>
        <v/>
      </c>
    </row>
    <row r="44" ht="26.25" customHeight="1" s="7635">
      <c r="A44" s="2013">
        <f>IF(OR(Q44&lt;&gt;"",U44&lt;&gt;"",AC44&lt;&gt;""),1,0)</f>
        <v/>
      </c>
      <c r="B44" s="12806">
        <f>IF(AJ44="","",AJ44)</f>
        <v/>
      </c>
      <c r="C44" s="8007" t="n"/>
      <c r="D44" s="8007" t="n"/>
      <c r="E44" s="8007" t="n"/>
      <c r="F44" s="8007" t="n"/>
      <c r="G44" s="8007" t="n"/>
      <c r="H44" s="8007" t="n"/>
      <c r="I44" s="8008" t="n"/>
      <c r="J44" s="12807">
        <f>IF(AK44="","",AK44)</f>
        <v/>
      </c>
      <c r="K44" s="8007" t="n"/>
      <c r="L44" s="8007" t="n"/>
      <c r="M44" s="12808">
        <f>IF(AL44="","",AL44)</f>
        <v/>
      </c>
      <c r="N44" s="8007" t="n"/>
      <c r="O44" s="8007" t="n"/>
      <c r="P44" s="8008" t="n"/>
      <c r="Q44" s="12809">
        <f>IF(AM44="","",AM44)</f>
        <v/>
      </c>
      <c r="R44" s="8007" t="n"/>
      <c r="S44" s="8007" t="n"/>
      <c r="T44" s="8008" t="n"/>
      <c r="U44" s="12809">
        <f>IF(AN44="","",AN44)</f>
        <v/>
      </c>
      <c r="V44" s="8007" t="n"/>
      <c r="W44" s="8007" t="n"/>
      <c r="X44" s="8008" t="n"/>
      <c r="Y44" s="12810">
        <f>IF(AO44&lt;&gt;"",AO44,"")</f>
        <v/>
      </c>
      <c r="Z44" s="8008" t="n"/>
      <c r="AA44" s="12809">
        <f>IF(AP44="","",AP44)</f>
        <v/>
      </c>
      <c r="AB44" s="8008" t="n"/>
      <c r="AC44" s="11389">
        <f>IF(AQ44&lt;&gt;"",AQ44,IF(AND(Q44="",U44=""),"",IF(AND(Q44&lt;&gt;"",U44=""),SUM(Q44,AA44),SUM(Q44,-U44,AA44))))</f>
        <v/>
      </c>
      <c r="AD44" s="8412" t="n"/>
      <c r="AE44" s="8412" t="n"/>
      <c r="AF44" s="8412" t="n"/>
      <c r="AG44" s="4271">
        <f>IF(OR(J44="",M44=""),0,IF(OR(BA44,BB44,BC44),0,1))</f>
        <v/>
      </c>
      <c r="AH44" s="6014" t="n"/>
      <c r="AI44" s="6014">
        <f>M44-J44</f>
        <v/>
      </c>
      <c r="AJ44" s="293" t="n"/>
      <c r="AK44" s="12811" t="n"/>
      <c r="AL44" s="12811" t="n"/>
      <c r="AM44" s="295" t="n"/>
      <c r="AN44" s="295" t="n"/>
      <c r="AO44" s="296" t="n"/>
      <c r="AP44" s="295" t="n"/>
      <c r="AQ44" s="294" t="n"/>
      <c r="AS44">
        <f>YEAR(J44)</f>
        <v/>
      </c>
      <c r="AT44">
        <f>MONTH(J44)</f>
        <v/>
      </c>
      <c r="AU44">
        <f>DAY(J44)</f>
        <v/>
      </c>
      <c r="AW44">
        <f>YEAR(M44)</f>
        <v/>
      </c>
      <c r="AX44">
        <f>MONTH(M44)</f>
        <v/>
      </c>
      <c r="AY44">
        <f>DAY(M44)</f>
        <v/>
      </c>
      <c r="AZ44">
        <f>OR(BA44,BB44,BC44)</f>
        <v/>
      </c>
      <c r="BA44">
        <f>AW44=AS44</f>
        <v/>
      </c>
      <c r="BB44">
        <f>AND(AW44=AS44+1,AX44&lt;AT44)</f>
        <v/>
      </c>
      <c r="BC44">
        <f>AND(AW44=AS44+1,AX44=AT44,AY44&lt;=AU44)</f>
        <v/>
      </c>
    </row>
    <row r="45" ht="26.25" customHeight="1" s="7635">
      <c r="A45" s="2013">
        <f>IF(OR(Q45&lt;&gt;"",U45&lt;&gt;"",AC45&lt;&gt;""),1,0)</f>
        <v/>
      </c>
      <c r="B45" s="12806">
        <f>IF(AJ45="","",AJ45)</f>
        <v/>
      </c>
      <c r="C45" s="8007" t="n"/>
      <c r="D45" s="8007" t="n"/>
      <c r="E45" s="8007" t="n"/>
      <c r="F45" s="8007" t="n"/>
      <c r="G45" s="8007" t="n"/>
      <c r="H45" s="8007" t="n"/>
      <c r="I45" s="8008" t="n"/>
      <c r="J45" s="12807">
        <f>IF(AK45="","",AK45)</f>
        <v/>
      </c>
      <c r="K45" s="8007" t="n"/>
      <c r="L45" s="8007" t="n"/>
      <c r="M45" s="12808">
        <f>IF(AL45="","",AL45)</f>
        <v/>
      </c>
      <c r="N45" s="8007" t="n"/>
      <c r="O45" s="8007" t="n"/>
      <c r="P45" s="8008" t="n"/>
      <c r="Q45" s="12809">
        <f>IF(AM45="","",AM45)</f>
        <v/>
      </c>
      <c r="R45" s="8007" t="n"/>
      <c r="S45" s="8007" t="n"/>
      <c r="T45" s="8008" t="n"/>
      <c r="U45" s="12809">
        <f>IF(AN45="","",AN45)</f>
        <v/>
      </c>
      <c r="V45" s="8007" t="n"/>
      <c r="W45" s="8007" t="n"/>
      <c r="X45" s="8008" t="n"/>
      <c r="Y45" s="12810">
        <f>IF(AO45&lt;&gt;"",AO45,"")</f>
        <v/>
      </c>
      <c r="Z45" s="8008" t="n"/>
      <c r="AA45" s="12809">
        <f>IF(AP45="","",AP45)</f>
        <v/>
      </c>
      <c r="AB45" s="8008" t="n"/>
      <c r="AC45" s="11389">
        <f>IF(AQ45&lt;&gt;"",AQ45,IF(AND(Q45="",U45=""),"",IF(AND(Q45&lt;&gt;"",U45=""),SUM(Q45,AA45),SUM(Q45,-U45,AA45))))</f>
        <v/>
      </c>
      <c r="AD45" s="8412" t="n"/>
      <c r="AE45" s="8412" t="n"/>
      <c r="AF45" s="8412" t="n"/>
      <c r="AG45" s="4271">
        <f>IF(OR(J45="",M45=""),0,IF(OR(BA45,BB45,BC45),0,1))</f>
        <v/>
      </c>
      <c r="AH45" s="6014" t="n"/>
      <c r="AI45" s="6014">
        <f>M45-J45</f>
        <v/>
      </c>
      <c r="AJ45" s="293" t="n"/>
      <c r="AK45" s="12811" t="n"/>
      <c r="AL45" s="12811" t="n"/>
      <c r="AM45" s="295" t="n"/>
      <c r="AN45" s="295" t="n"/>
      <c r="AO45" s="296" t="n"/>
      <c r="AP45" s="295" t="n"/>
      <c r="AQ45" s="294" t="n"/>
      <c r="AS45">
        <f>YEAR(J45)</f>
        <v/>
      </c>
      <c r="AT45">
        <f>MONTH(J45)</f>
        <v/>
      </c>
      <c r="AU45">
        <f>DAY(J45)</f>
        <v/>
      </c>
      <c r="AW45">
        <f>YEAR(M45)</f>
        <v/>
      </c>
      <c r="AX45">
        <f>MONTH(M45)</f>
        <v/>
      </c>
      <c r="AY45">
        <f>DAY(M45)</f>
        <v/>
      </c>
      <c r="AZ45">
        <f>OR(BA45,BB45,BC45)</f>
        <v/>
      </c>
      <c r="BA45">
        <f>AW45=AS45</f>
        <v/>
      </c>
      <c r="BB45">
        <f>AND(AW45=AS45+1,AX45&lt;AT45)</f>
        <v/>
      </c>
      <c r="BC45">
        <f>AND(AW45=AS45+1,AX45=AT45,AY45&lt;=AU45)</f>
        <v/>
      </c>
    </row>
    <row r="46" ht="26.25" customHeight="1" s="7635">
      <c r="A46" s="2013">
        <f>IF(OR(Q46&lt;&gt;"",U46&lt;&gt;"",AC46&lt;&gt;""),1,0)</f>
        <v/>
      </c>
      <c r="B46" s="12806">
        <f>IF(AJ46="","",AJ46)</f>
        <v/>
      </c>
      <c r="C46" s="8007" t="n"/>
      <c r="D46" s="8007" t="n"/>
      <c r="E46" s="8007" t="n"/>
      <c r="F46" s="8007" t="n"/>
      <c r="G46" s="8007" t="n"/>
      <c r="H46" s="8007" t="n"/>
      <c r="I46" s="8008" t="n"/>
      <c r="J46" s="12807">
        <f>IF(AK46="","",AK46)</f>
        <v/>
      </c>
      <c r="K46" s="8007" t="n"/>
      <c r="L46" s="8007" t="n"/>
      <c r="M46" s="12808">
        <f>IF(AL46="","",AL46)</f>
        <v/>
      </c>
      <c r="N46" s="8007" t="n"/>
      <c r="O46" s="8007" t="n"/>
      <c r="P46" s="8008" t="n"/>
      <c r="Q46" s="12809">
        <f>IF(AM46="","",AM46)</f>
        <v/>
      </c>
      <c r="R46" s="8007" t="n"/>
      <c r="S46" s="8007" t="n"/>
      <c r="T46" s="8008" t="n"/>
      <c r="U46" s="12809">
        <f>IF(AN46="","",AN46)</f>
        <v/>
      </c>
      <c r="V46" s="8007" t="n"/>
      <c r="W46" s="8007" t="n"/>
      <c r="X46" s="8008" t="n"/>
      <c r="Y46" s="12810">
        <f>IF(AO46&lt;&gt;"",AO46,"")</f>
        <v/>
      </c>
      <c r="Z46" s="8008" t="n"/>
      <c r="AA46" s="12809">
        <f>IF(AP46="","",AP46)</f>
        <v/>
      </c>
      <c r="AB46" s="8008" t="n"/>
      <c r="AC46" s="11389">
        <f>IF(AQ46&lt;&gt;"",AQ46,IF(AND(Q46="",U46=""),"",IF(AND(Q46&lt;&gt;"",U46=""),SUM(Q46,AA46),SUM(Q46,-U46,AA46))))</f>
        <v/>
      </c>
      <c r="AD46" s="8412" t="n"/>
      <c r="AE46" s="8412" t="n"/>
      <c r="AF46" s="8412" t="n"/>
      <c r="AG46" s="4271">
        <f>IF(OR(J46="",M46=""),0,IF(OR(BA46,BB46,BC46),0,1))</f>
        <v/>
      </c>
      <c r="AH46" s="6014" t="n"/>
      <c r="AI46" s="6014">
        <f>M46-J46</f>
        <v/>
      </c>
      <c r="AJ46" s="293" t="n"/>
      <c r="AK46" s="12811" t="n"/>
      <c r="AL46" s="12811" t="n"/>
      <c r="AM46" s="295" t="n"/>
      <c r="AN46" s="295" t="n"/>
      <c r="AO46" s="296" t="n"/>
      <c r="AP46" s="295" t="n"/>
      <c r="AQ46" s="294" t="n"/>
      <c r="AS46">
        <f>YEAR(J46)</f>
        <v/>
      </c>
      <c r="AT46">
        <f>MONTH(J46)</f>
        <v/>
      </c>
      <c r="AU46">
        <f>DAY(J46)</f>
        <v/>
      </c>
      <c r="AW46">
        <f>YEAR(M46)</f>
        <v/>
      </c>
      <c r="AX46">
        <f>MONTH(M46)</f>
        <v/>
      </c>
      <c r="AY46">
        <f>DAY(M46)</f>
        <v/>
      </c>
      <c r="AZ46">
        <f>OR(BA46,BB46,BC46)</f>
        <v/>
      </c>
      <c r="BA46">
        <f>AW46=AS46</f>
        <v/>
      </c>
      <c r="BB46">
        <f>AND(AW46=AS46+1,AX46&lt;AT46)</f>
        <v/>
      </c>
      <c r="BC46">
        <f>AND(AW46=AS46+1,AX46=AT46,AY46&lt;=AU46)</f>
        <v/>
      </c>
    </row>
    <row r="47" ht="26.25" customHeight="1" s="7635">
      <c r="A47" s="2013">
        <f>IF(OR(Q47&lt;&gt;"",U47&lt;&gt;"",AC47&lt;&gt;""),1,0)</f>
        <v/>
      </c>
      <c r="B47" s="12806">
        <f>IF(AJ47="","",AJ47)</f>
        <v/>
      </c>
      <c r="C47" s="8007" t="n"/>
      <c r="D47" s="8007" t="n"/>
      <c r="E47" s="8007" t="n"/>
      <c r="F47" s="8007" t="n"/>
      <c r="G47" s="8007" t="n"/>
      <c r="H47" s="8007" t="n"/>
      <c r="I47" s="8008" t="n"/>
      <c r="J47" s="12807">
        <f>IF(AK47="","",AK47)</f>
        <v/>
      </c>
      <c r="K47" s="8007" t="n"/>
      <c r="L47" s="8007" t="n"/>
      <c r="M47" s="12808">
        <f>IF(AL47="","",AL47)</f>
        <v/>
      </c>
      <c r="N47" s="8007" t="n"/>
      <c r="O47" s="8007" t="n"/>
      <c r="P47" s="8008" t="n"/>
      <c r="Q47" s="12809">
        <f>IF(AM47="","",AM47)</f>
        <v/>
      </c>
      <c r="R47" s="8007" t="n"/>
      <c r="S47" s="8007" t="n"/>
      <c r="T47" s="8008" t="n"/>
      <c r="U47" s="12809">
        <f>IF(AN47="","",AN47)</f>
        <v/>
      </c>
      <c r="V47" s="8007" t="n"/>
      <c r="W47" s="8007" t="n"/>
      <c r="X47" s="8008" t="n"/>
      <c r="Y47" s="12810">
        <f>IF(AO47&lt;&gt;"",AO47,"")</f>
        <v/>
      </c>
      <c r="Z47" s="8008" t="n"/>
      <c r="AA47" s="12809">
        <f>IF(AP47="","",AP47)</f>
        <v/>
      </c>
      <c r="AB47" s="8008" t="n"/>
      <c r="AC47" s="11389">
        <f>IF(AQ47&lt;&gt;"",AQ47,IF(AND(Q47="",U47=""),"",IF(AND(Q47&lt;&gt;"",U47=""),SUM(Q47,AA47),SUM(Q47,-U47,AA47))))</f>
        <v/>
      </c>
      <c r="AD47" s="8412" t="n"/>
      <c r="AE47" s="8412" t="n"/>
      <c r="AF47" s="8412" t="n"/>
      <c r="AG47" s="4271">
        <f>IF(OR(J47="",M47=""),0,IF(OR(BA47,BB47,BC47),0,1))</f>
        <v/>
      </c>
      <c r="AH47" s="6014" t="n"/>
      <c r="AI47" s="6014">
        <f>M47-J47</f>
        <v/>
      </c>
      <c r="AJ47" s="293" t="n"/>
      <c r="AK47" s="12811" t="n"/>
      <c r="AL47" s="12811" t="n"/>
      <c r="AM47" s="295" t="n"/>
      <c r="AN47" s="295" t="n"/>
      <c r="AO47" s="296" t="n"/>
      <c r="AP47" s="295" t="n"/>
      <c r="AQ47" s="294" t="n"/>
      <c r="AS47">
        <f>YEAR(J47)</f>
        <v/>
      </c>
      <c r="AT47">
        <f>MONTH(J47)</f>
        <v/>
      </c>
      <c r="AU47">
        <f>DAY(J47)</f>
        <v/>
      </c>
      <c r="AW47">
        <f>YEAR(M47)</f>
        <v/>
      </c>
      <c r="AX47">
        <f>MONTH(M47)</f>
        <v/>
      </c>
      <c r="AY47">
        <f>DAY(M47)</f>
        <v/>
      </c>
      <c r="AZ47">
        <f>OR(BA47,BB47,BC47)</f>
        <v/>
      </c>
      <c r="BA47">
        <f>AW47=AS47</f>
        <v/>
      </c>
      <c r="BB47">
        <f>AND(AW47=AS47+1,AX47&lt;AT47)</f>
        <v/>
      </c>
      <c r="BC47">
        <f>AND(AW47=AS47+1,AX47=AT47,AY47&lt;=AU47)</f>
        <v/>
      </c>
    </row>
    <row r="48" ht="26.25" customHeight="1" s="7635">
      <c r="A48" s="2013">
        <f>IF(OR(Q48&lt;&gt;"",U48&lt;&gt;"",AC48&lt;&gt;""),1,0)</f>
        <v/>
      </c>
      <c r="B48" s="12806">
        <f>IF(AJ48="","",AJ48)</f>
        <v/>
      </c>
      <c r="C48" s="8007" t="n"/>
      <c r="D48" s="8007" t="n"/>
      <c r="E48" s="8007" t="n"/>
      <c r="F48" s="8007" t="n"/>
      <c r="G48" s="8007" t="n"/>
      <c r="H48" s="8007" t="n"/>
      <c r="I48" s="8008" t="n"/>
      <c r="J48" s="12807">
        <f>IF(AK48="","",AK48)</f>
        <v/>
      </c>
      <c r="K48" s="8007" t="n"/>
      <c r="L48" s="8007" t="n"/>
      <c r="M48" s="12808">
        <f>IF(AL48="","",AL48)</f>
        <v/>
      </c>
      <c r="N48" s="8007" t="n"/>
      <c r="O48" s="8007" t="n"/>
      <c r="P48" s="8008" t="n"/>
      <c r="Q48" s="12809">
        <f>IF(AM48="","",AM48)</f>
        <v/>
      </c>
      <c r="R48" s="8007" t="n"/>
      <c r="S48" s="8007" t="n"/>
      <c r="T48" s="8008" t="n"/>
      <c r="U48" s="12809">
        <f>IF(AN48="","",AN48)</f>
        <v/>
      </c>
      <c r="V48" s="8007" t="n"/>
      <c r="W48" s="8007" t="n"/>
      <c r="X48" s="8008" t="n"/>
      <c r="Y48" s="12810">
        <f>IF(AO48&lt;&gt;"",AO48,"")</f>
        <v/>
      </c>
      <c r="Z48" s="8008" t="n"/>
      <c r="AA48" s="12809">
        <f>IF(AP48="","",AP48)</f>
        <v/>
      </c>
      <c r="AB48" s="8008" t="n"/>
      <c r="AC48" s="11389">
        <f>IF(AQ48&lt;&gt;"",AQ48,IF(AND(Q48="",U48=""),"",IF(AND(Q48&lt;&gt;"",U48=""),SUM(Q48,AA48),SUM(Q48,-U48,AA48))))</f>
        <v/>
      </c>
      <c r="AD48" s="8412" t="n"/>
      <c r="AE48" s="8412" t="n"/>
      <c r="AF48" s="8412" t="n"/>
      <c r="AG48" s="4271">
        <f>IF(OR(J48="",M48=""),0,IF(OR(BA48,BB48,BC48),0,1))</f>
        <v/>
      </c>
      <c r="AH48" s="6014" t="n"/>
      <c r="AI48" s="6014">
        <f>M48-J48</f>
        <v/>
      </c>
      <c r="AJ48" s="293" t="n"/>
      <c r="AK48" s="12811" t="n"/>
      <c r="AL48" s="12811" t="n"/>
      <c r="AM48" s="295" t="n"/>
      <c r="AN48" s="295" t="n"/>
      <c r="AO48" s="296" t="n"/>
      <c r="AP48" s="295" t="n"/>
      <c r="AQ48" s="294" t="n"/>
      <c r="AS48">
        <f>YEAR(J48)</f>
        <v/>
      </c>
      <c r="AT48">
        <f>MONTH(J48)</f>
        <v/>
      </c>
      <c r="AU48">
        <f>DAY(J48)</f>
        <v/>
      </c>
      <c r="AW48">
        <f>YEAR(M48)</f>
        <v/>
      </c>
      <c r="AX48">
        <f>MONTH(M48)</f>
        <v/>
      </c>
      <c r="AY48">
        <f>DAY(M48)</f>
        <v/>
      </c>
      <c r="AZ48">
        <f>OR(BA48,BB48,BC48)</f>
        <v/>
      </c>
      <c r="BA48">
        <f>AW48=AS48</f>
        <v/>
      </c>
      <c r="BB48">
        <f>AND(AW48=AS48+1,AX48&lt;AT48)</f>
        <v/>
      </c>
      <c r="BC48">
        <f>AND(AW48=AS48+1,AX48=AT48,AY48&lt;=AU48)</f>
        <v/>
      </c>
    </row>
    <row r="49" ht="26.25" customHeight="1" s="7635">
      <c r="A49" s="2013">
        <f>IF(OR(Q49&lt;&gt;"",U49&lt;&gt;"",AC49&lt;&gt;""),1,0)</f>
        <v/>
      </c>
      <c r="B49" s="12806">
        <f>IF(AJ49="","",AJ49)</f>
        <v/>
      </c>
      <c r="C49" s="8007" t="n"/>
      <c r="D49" s="8007" t="n"/>
      <c r="E49" s="8007" t="n"/>
      <c r="F49" s="8007" t="n"/>
      <c r="G49" s="8007" t="n"/>
      <c r="H49" s="8007" t="n"/>
      <c r="I49" s="8008" t="n"/>
      <c r="J49" s="12807">
        <f>IF(AK49="","",AK49)</f>
        <v/>
      </c>
      <c r="K49" s="8007" t="n"/>
      <c r="L49" s="8007" t="n"/>
      <c r="M49" s="12808">
        <f>IF(AL49="","",AL49)</f>
        <v/>
      </c>
      <c r="N49" s="8007" t="n"/>
      <c r="O49" s="8007" t="n"/>
      <c r="P49" s="8008" t="n"/>
      <c r="Q49" s="12809">
        <f>IF(AM49="","",AM49)</f>
        <v/>
      </c>
      <c r="R49" s="8007" t="n"/>
      <c r="S49" s="8007" t="n"/>
      <c r="T49" s="8008" t="n"/>
      <c r="U49" s="12809">
        <f>IF(AN49="","",AN49)</f>
        <v/>
      </c>
      <c r="V49" s="8007" t="n"/>
      <c r="W49" s="8007" t="n"/>
      <c r="X49" s="8008" t="n"/>
      <c r="Y49" s="12810">
        <f>IF(AO49&lt;&gt;"",AO49,"")</f>
        <v/>
      </c>
      <c r="Z49" s="8008" t="n"/>
      <c r="AA49" s="12809">
        <f>IF(AP49="","",AP49)</f>
        <v/>
      </c>
      <c r="AB49" s="8008" t="n"/>
      <c r="AC49" s="11389">
        <f>IF(AQ49&lt;&gt;"",AQ49,IF(AND(Q49="",U49=""),"",IF(AND(Q49&lt;&gt;"",U49=""),SUM(Q49,AA49),SUM(Q49,-U49,AA49))))</f>
        <v/>
      </c>
      <c r="AD49" s="8412" t="n"/>
      <c r="AE49" s="8412" t="n"/>
      <c r="AF49" s="8412" t="n"/>
      <c r="AG49" s="4271">
        <f>IF(OR(J49="",M49=""),0,IF(OR(BA49,BB49,BC49),0,1))</f>
        <v/>
      </c>
      <c r="AH49" s="6014" t="n"/>
      <c r="AI49" s="6014">
        <f>M49-J49</f>
        <v/>
      </c>
      <c r="AJ49" s="293" t="n"/>
      <c r="AK49" s="12811" t="n"/>
      <c r="AL49" s="12811" t="n"/>
      <c r="AM49" s="295" t="n"/>
      <c r="AN49" s="295" t="n"/>
      <c r="AO49" s="296" t="n"/>
      <c r="AP49" s="295" t="n"/>
      <c r="AQ49" s="294" t="n"/>
      <c r="AS49">
        <f>YEAR(J49)</f>
        <v/>
      </c>
      <c r="AT49">
        <f>MONTH(J49)</f>
        <v/>
      </c>
      <c r="AU49">
        <f>DAY(J49)</f>
        <v/>
      </c>
      <c r="AW49">
        <f>YEAR(M49)</f>
        <v/>
      </c>
      <c r="AX49">
        <f>MONTH(M49)</f>
        <v/>
      </c>
      <c r="AY49">
        <f>DAY(M49)</f>
        <v/>
      </c>
      <c r="AZ49">
        <f>OR(BA49,BB49,BC49)</f>
        <v/>
      </c>
      <c r="BA49">
        <f>AW49=AS49</f>
        <v/>
      </c>
      <c r="BB49">
        <f>AND(AW49=AS49+1,AX49&lt;AT49)</f>
        <v/>
      </c>
      <c r="BC49">
        <f>AND(AW49=AS49+1,AX49=AT49,AY49&lt;=AU49)</f>
        <v/>
      </c>
    </row>
    <row r="50" ht="26.25" customHeight="1" s="7635">
      <c r="A50" s="2013">
        <f>IF(OR(Q50&lt;&gt;"",U50&lt;&gt;"",AC50&lt;&gt;""),1,0)</f>
        <v/>
      </c>
      <c r="B50" s="12806">
        <f>IF(AJ50="","",AJ50)</f>
        <v/>
      </c>
      <c r="C50" s="8007" t="n"/>
      <c r="D50" s="8007" t="n"/>
      <c r="E50" s="8007" t="n"/>
      <c r="F50" s="8007" t="n"/>
      <c r="G50" s="8007" t="n"/>
      <c r="H50" s="8007" t="n"/>
      <c r="I50" s="8008" t="n"/>
      <c r="J50" s="12807">
        <f>IF(AK50="","",AK50)</f>
        <v/>
      </c>
      <c r="K50" s="8007" t="n"/>
      <c r="L50" s="8007" t="n"/>
      <c r="M50" s="12808">
        <f>IF(AL50="","",AL50)</f>
        <v/>
      </c>
      <c r="N50" s="8007" t="n"/>
      <c r="O50" s="8007" t="n"/>
      <c r="P50" s="8008" t="n"/>
      <c r="Q50" s="12809">
        <f>IF(AM50="","",AM50)</f>
        <v/>
      </c>
      <c r="R50" s="8007" t="n"/>
      <c r="S50" s="8007" t="n"/>
      <c r="T50" s="8008" t="n"/>
      <c r="U50" s="12809">
        <f>IF(AN50="","",AN50)</f>
        <v/>
      </c>
      <c r="V50" s="8007" t="n"/>
      <c r="W50" s="8007" t="n"/>
      <c r="X50" s="8008" t="n"/>
      <c r="Y50" s="12810">
        <f>IF(AO50&lt;&gt;"",AO50,"")</f>
        <v/>
      </c>
      <c r="Z50" s="8008" t="n"/>
      <c r="AA50" s="12809">
        <f>IF(AP50="","",AP50)</f>
        <v/>
      </c>
      <c r="AB50" s="8008" t="n"/>
      <c r="AC50" s="11389">
        <f>IF(AQ50&lt;&gt;"",AQ50,IF(AND(Q50="",U50=""),"",IF(AND(Q50&lt;&gt;"",U50=""),SUM(Q50,AA50),SUM(Q50,-U50,AA50))))</f>
        <v/>
      </c>
      <c r="AD50" s="8412" t="n"/>
      <c r="AE50" s="8412" t="n"/>
      <c r="AF50" s="8412" t="n"/>
      <c r="AG50" s="4271">
        <f>IF(OR(J50="",M50=""),0,IF(OR(BA50,BB50,BC50),0,1))</f>
        <v/>
      </c>
      <c r="AH50" s="6014" t="n"/>
      <c r="AI50" s="6014">
        <f>M50-J50</f>
        <v/>
      </c>
      <c r="AJ50" s="293" t="n"/>
      <c r="AK50" s="12811" t="n"/>
      <c r="AL50" s="12811" t="n"/>
      <c r="AM50" s="295" t="n"/>
      <c r="AN50" s="295" t="n"/>
      <c r="AO50" s="296" t="n"/>
      <c r="AP50" s="295" t="n"/>
      <c r="AQ50" s="294" t="n"/>
      <c r="AS50">
        <f>YEAR(J50)</f>
        <v/>
      </c>
      <c r="AT50">
        <f>MONTH(J50)</f>
        <v/>
      </c>
      <c r="AU50">
        <f>DAY(J50)</f>
        <v/>
      </c>
      <c r="AW50">
        <f>YEAR(M50)</f>
        <v/>
      </c>
      <c r="AX50">
        <f>MONTH(M50)</f>
        <v/>
      </c>
      <c r="AY50">
        <f>DAY(M50)</f>
        <v/>
      </c>
      <c r="AZ50">
        <f>OR(BA50,BB50,BC50)</f>
        <v/>
      </c>
      <c r="BA50">
        <f>AW50=AS50</f>
        <v/>
      </c>
      <c r="BB50">
        <f>AND(AW50=AS50+1,AX50&lt;AT50)</f>
        <v/>
      </c>
      <c r="BC50">
        <f>AND(AW50=AS50+1,AX50=AT50,AY50&lt;=AU50)</f>
        <v/>
      </c>
    </row>
    <row r="51" ht="26.25" customHeight="1" s="7635">
      <c r="A51" s="2013">
        <f>IF(OR(Q51&lt;&gt;"",U51&lt;&gt;"",AC51&lt;&gt;""),1,0)</f>
        <v/>
      </c>
      <c r="B51" s="12806">
        <f>IF(AJ51="","",AJ51)</f>
        <v/>
      </c>
      <c r="C51" s="8007" t="n"/>
      <c r="D51" s="8007" t="n"/>
      <c r="E51" s="8007" t="n"/>
      <c r="F51" s="8007" t="n"/>
      <c r="G51" s="8007" t="n"/>
      <c r="H51" s="8007" t="n"/>
      <c r="I51" s="8008" t="n"/>
      <c r="J51" s="12807">
        <f>IF(AK51="","",AK51)</f>
        <v/>
      </c>
      <c r="K51" s="8007" t="n"/>
      <c r="L51" s="8007" t="n"/>
      <c r="M51" s="12808">
        <f>IF(AL51="","",AL51)</f>
        <v/>
      </c>
      <c r="N51" s="8007" t="n"/>
      <c r="O51" s="8007" t="n"/>
      <c r="P51" s="8008" t="n"/>
      <c r="Q51" s="12809">
        <f>IF(AM51="","",AM51)</f>
        <v/>
      </c>
      <c r="R51" s="8007" t="n"/>
      <c r="S51" s="8007" t="n"/>
      <c r="T51" s="8008" t="n"/>
      <c r="U51" s="12809">
        <f>IF(AN51="","",AN51)</f>
        <v/>
      </c>
      <c r="V51" s="8007" t="n"/>
      <c r="W51" s="8007" t="n"/>
      <c r="X51" s="8008" t="n"/>
      <c r="Y51" s="12810">
        <f>IF(AO51&lt;&gt;"",AO51,"")</f>
        <v/>
      </c>
      <c r="Z51" s="8008" t="n"/>
      <c r="AA51" s="12809">
        <f>IF(AP51="","",AP51)</f>
        <v/>
      </c>
      <c r="AB51" s="8008" t="n"/>
      <c r="AC51" s="11389">
        <f>IF(AQ51&lt;&gt;"",AQ51,IF(AND(Q51="",U51=""),"",IF(AND(Q51&lt;&gt;"",U51=""),SUM(Q51,AA51),SUM(Q51,-U51,AA51))))</f>
        <v/>
      </c>
      <c r="AD51" s="8412" t="n"/>
      <c r="AE51" s="8412" t="n"/>
      <c r="AF51" s="8412" t="n"/>
      <c r="AG51" s="4271">
        <f>IF(OR(J51="",M51=""),0,IF(OR(BA51,BB51,BC51),0,1))</f>
        <v/>
      </c>
      <c r="AH51" s="6014" t="n"/>
      <c r="AI51" s="6014">
        <f>M51-J51</f>
        <v/>
      </c>
      <c r="AJ51" s="293" t="n"/>
      <c r="AK51" s="12811" t="n"/>
      <c r="AL51" s="12811" t="n"/>
      <c r="AM51" s="295" t="n"/>
      <c r="AN51" s="295" t="n"/>
      <c r="AO51" s="296" t="n"/>
      <c r="AP51" s="295" t="n"/>
      <c r="AQ51" s="294" t="n"/>
      <c r="AS51">
        <f>YEAR(J51)</f>
        <v/>
      </c>
      <c r="AT51">
        <f>MONTH(J51)</f>
        <v/>
      </c>
      <c r="AU51">
        <f>DAY(J51)</f>
        <v/>
      </c>
      <c r="AW51">
        <f>YEAR(M51)</f>
        <v/>
      </c>
      <c r="AX51">
        <f>MONTH(M51)</f>
        <v/>
      </c>
      <c r="AY51">
        <f>DAY(M51)</f>
        <v/>
      </c>
      <c r="AZ51">
        <f>OR(BA51,BB51,BC51)</f>
        <v/>
      </c>
      <c r="BA51">
        <f>AW51=AS51</f>
        <v/>
      </c>
      <c r="BB51">
        <f>AND(AW51=AS51+1,AX51&lt;AT51)</f>
        <v/>
      </c>
      <c r="BC51">
        <f>AND(AW51=AS51+1,AX51=AT51,AY51&lt;=AU51)</f>
        <v/>
      </c>
    </row>
    <row r="52" ht="12" customHeight="1" s="7635">
      <c r="A52" s="2013">
        <f>SUM(A41:A51)</f>
        <v/>
      </c>
      <c r="B52" s="11482" t="n">
        <v>2</v>
      </c>
      <c r="C52" s="11484" t="inlineStr">
        <is>
          <t>Totals. Add the amounts in columns (d), (e), (g), and (h)
(subtract negative amounts). Enter each total here and
include on your Schedule D, line 1b (if Box A or Box G
above is checked), line 2 (if Box B or Box H above is
checked), or line 3 (if Box C or Box I above is checked)</t>
        </is>
      </c>
      <c r="D52" s="7839" t="n"/>
      <c r="E52" s="7839" t="n"/>
      <c r="F52" s="7839" t="n"/>
      <c r="G52" s="7839" t="n"/>
      <c r="H52" s="7839" t="n"/>
      <c r="I52" s="7839" t="n"/>
      <c r="J52" s="7839" t="n"/>
      <c r="K52" s="7839" t="n"/>
      <c r="L52" s="7839" t="n"/>
      <c r="M52" s="7839" t="n"/>
      <c r="N52" s="7839" t="n"/>
      <c r="O52" s="7839" t="n"/>
      <c r="P52" s="7839" t="n"/>
      <c r="Q52" s="12812">
        <f>IF(A52=0,"",ROUND(SUM(Q41:Q51),0))</f>
        <v/>
      </c>
      <c r="R52" s="7839" t="n"/>
      <c r="S52" s="7839" t="n"/>
      <c r="T52" s="10091" t="n"/>
      <c r="U52" s="12812">
        <f>IF(A52=0,"",ROUND(SUM(U41:U51),0))</f>
        <v/>
      </c>
      <c r="V52" s="7839" t="n"/>
      <c r="W52" s="7839" t="n"/>
      <c r="X52" s="10091" t="n"/>
      <c r="Y52" s="12813" t="n"/>
      <c r="Z52" s="10091" t="n"/>
      <c r="AA52" s="12812">
        <f>IF(A52=0,"",ROUND(SUM(AA41:AA51),0))</f>
        <v/>
      </c>
      <c r="AB52" s="10091" t="n"/>
      <c r="AC52" s="11459">
        <f>IF(A52=0,"",ROUND(SUM(AC41:AC51),0))</f>
        <v/>
      </c>
      <c r="AD52" s="7839" t="n"/>
      <c r="AE52" s="7839" t="n"/>
      <c r="AF52" s="7839" t="n"/>
      <c r="AG52" s="2013" t="n"/>
    </row>
    <row r="53" ht="12" customHeight="1" s="7635">
      <c r="A53" s="2013" t="n"/>
      <c r="Q53" s="4772" t="n"/>
      <c r="T53" s="7636" t="n"/>
      <c r="U53" s="4772" t="n"/>
      <c r="X53" s="7636" t="n"/>
      <c r="Y53" s="4772" t="n"/>
      <c r="Z53" s="7636" t="n"/>
      <c r="AA53" s="4772" t="n"/>
      <c r="AB53" s="7636" t="n"/>
      <c r="AC53" s="4772" t="n"/>
      <c r="AG53" s="2013" t="n"/>
    </row>
    <row r="54" ht="12" customHeight="1" s="7635">
      <c r="A54" s="2013" t="n"/>
      <c r="Q54" s="4772" t="n"/>
      <c r="T54" s="7636" t="n"/>
      <c r="U54" s="4772" t="n"/>
      <c r="X54" s="7636" t="n"/>
      <c r="Y54" s="4772" t="n"/>
      <c r="Z54" s="7636" t="n"/>
      <c r="AA54" s="4772" t="n"/>
      <c r="AB54" s="7636" t="n"/>
      <c r="AC54" s="4772" t="n"/>
      <c r="AG54" s="2013" t="n"/>
    </row>
    <row r="55" ht="12" customHeight="1" s="7635">
      <c r="A55" s="2013" t="n"/>
      <c r="Q55" s="4772" t="n"/>
      <c r="T55" s="7636" t="n"/>
      <c r="U55" s="4772" t="n"/>
      <c r="X55" s="7636" t="n"/>
      <c r="Y55" s="4772" t="n"/>
      <c r="Z55" s="7636" t="n"/>
      <c r="AA55" s="4772" t="n"/>
      <c r="AB55" s="7636" t="n"/>
      <c r="AC55" s="4772" t="n"/>
      <c r="AG55" s="2013" t="n"/>
    </row>
    <row r="56" ht="12" customHeight="1" s="7635">
      <c r="A56" s="2013" t="n"/>
      <c r="Q56" s="3614" t="n"/>
      <c r="R56" s="7637" t="n"/>
      <c r="S56" s="7637" t="n"/>
      <c r="T56" s="7638" t="n"/>
      <c r="U56" s="3614" t="n"/>
      <c r="V56" s="7637" t="n"/>
      <c r="W56" s="7637" t="n"/>
      <c r="X56" s="7638" t="n"/>
      <c r="Y56" s="3614" t="n"/>
      <c r="Z56" s="7638" t="n"/>
      <c r="AA56" s="3614" t="n"/>
      <c r="AB56" s="7638" t="n"/>
      <c r="AC56" s="4772" t="n"/>
      <c r="AG56" s="2013" t="n"/>
    </row>
    <row r="57" ht="25.5" customHeight="1" s="7635" thickBot="1">
      <c r="A57" s="2013" t="n"/>
      <c r="B57" s="11479" t="inlineStr">
        <is>
          <t>Note: If you checked Box A or Box G above but the basis reported to the IRS was incorrect, enter in column (e) the basis as reported to the IRS, and
enter an adjustment in column (g) to correct the basis. See Column (g) in the separate instructions for how to figure the amount of the adjustment.</t>
        </is>
      </c>
      <c r="C57" s="11822" t="n"/>
      <c r="D57" s="11822" t="n"/>
      <c r="E57" s="11822" t="n"/>
      <c r="F57" s="11822" t="n"/>
      <c r="G57" s="11822" t="n"/>
      <c r="H57" s="11822" t="n"/>
      <c r="I57" s="11822" t="n"/>
      <c r="J57" s="11822" t="n"/>
      <c r="K57" s="11822" t="n"/>
      <c r="L57" s="11822" t="n"/>
      <c r="M57" s="11822" t="n"/>
      <c r="N57" s="11822" t="n"/>
      <c r="O57" s="11822" t="n"/>
      <c r="P57" s="11822" t="n"/>
      <c r="Q57" s="11822" t="n"/>
      <c r="R57" s="11822" t="n"/>
      <c r="S57" s="11822" t="n"/>
      <c r="T57" s="11822" t="n"/>
      <c r="U57" s="11822" t="n"/>
      <c r="V57" s="11822" t="n"/>
      <c r="W57" s="11822" t="n"/>
      <c r="X57" s="11822" t="n"/>
      <c r="Y57" s="11822" t="n"/>
      <c r="Z57" s="11822" t="n"/>
      <c r="AA57" s="11822" t="n"/>
      <c r="AB57" s="11822" t="n"/>
      <c r="AC57" s="11822" t="n"/>
      <c r="AD57" s="11822" t="n"/>
      <c r="AE57" s="11822" t="n"/>
      <c r="AF57" s="11822" t="n"/>
      <c r="AG57" s="2013" t="n"/>
      <c r="AJ57" s="8648" t="n"/>
    </row>
    <row r="58" ht="16.5" customHeight="1" s="7635" thickTop="1">
      <c r="A58" s="2013" t="n"/>
      <c r="B58" s="6015" t="inlineStr">
        <is>
          <t>For Paperwork Reduction Act Notice, see your tax return instructions.</t>
        </is>
      </c>
      <c r="C58" s="88" t="n"/>
      <c r="D58" s="88" t="n"/>
      <c r="E58" s="88" t="n"/>
      <c r="F58" s="88" t="n"/>
      <c r="G58" s="88" t="n"/>
      <c r="H58" s="88" t="n"/>
      <c r="I58" s="88" t="n"/>
      <c r="J58" s="88" t="n"/>
      <c r="K58" s="88" t="n"/>
      <c r="L58" s="88" t="n"/>
      <c r="M58" s="88" t="n"/>
      <c r="N58" s="88" t="n"/>
      <c r="O58" s="88" t="n"/>
      <c r="P58" s="88" t="n"/>
      <c r="Q58" s="88" t="n"/>
      <c r="R58" s="88" t="n"/>
      <c r="S58" s="88" t="n"/>
      <c r="T58" s="88" t="n"/>
      <c r="U58" s="3931" t="inlineStr">
        <is>
          <t>Cat. No. 37768Z</t>
        </is>
      </c>
      <c r="V58" s="88" t="n"/>
      <c r="W58" s="88" t="n"/>
      <c r="X58" s="88" t="n"/>
      <c r="Y58" s="88" t="n"/>
      <c r="Z58" s="88" t="n"/>
      <c r="AA58" s="2052" t="inlineStr">
        <is>
          <t>Form 8949</t>
        </is>
      </c>
      <c r="AB58" s="6016">
        <f>"("&amp;TaxYear&amp;")"</f>
        <v/>
      </c>
      <c r="AC58" s="88" t="n"/>
      <c r="AD58" s="2052" t="n"/>
      <c r="AE58" s="88" t="n"/>
      <c r="AF58" s="6016" t="inlineStr">
        <is>
          <t>Created 5/5/25</t>
        </is>
      </c>
      <c r="AG58" s="2013" t="n"/>
    </row>
    <row r="59" ht="15.75" customHeight="1" s="7635">
      <c r="A59" s="2013" t="n"/>
      <c r="B59" s="1931">
        <f>"Form 8949 ("&amp;TaxYear&amp;")"</f>
        <v/>
      </c>
      <c r="C59" s="2432" t="n"/>
      <c r="D59" s="2432" t="n"/>
      <c r="E59" s="2432" t="n"/>
      <c r="F59" s="2432" t="n"/>
      <c r="G59" s="2432" t="n"/>
      <c r="H59" s="2432" t="n"/>
      <c r="I59" s="2432" t="n"/>
      <c r="J59" s="2432" t="n"/>
      <c r="K59" s="2432" t="n"/>
      <c r="L59" s="2432" t="n"/>
      <c r="M59" s="2432" t="n"/>
      <c r="N59" s="2432" t="n"/>
      <c r="O59" s="2432" t="n"/>
      <c r="P59" s="2432" t="n"/>
      <c r="Q59" s="2432" t="n"/>
      <c r="R59" s="2432" t="n"/>
      <c r="S59" s="2432" t="n"/>
      <c r="T59" s="2432" t="n"/>
      <c r="U59" s="2432" t="n"/>
      <c r="V59" s="1931" t="inlineStr">
        <is>
          <t>Attachment Sequence No. 12A</t>
        </is>
      </c>
      <c r="W59" s="2432" t="n"/>
      <c r="X59" s="2432" t="n"/>
      <c r="Y59" s="2432" t="n"/>
      <c r="Z59" s="2432" t="n"/>
      <c r="AA59" s="2432" t="n"/>
      <c r="AB59" s="2432" t="n"/>
      <c r="AC59" s="2432" t="n"/>
      <c r="AD59" s="2432" t="n"/>
      <c r="AE59" s="2432" t="n"/>
      <c r="AF59" s="5730" t="inlineStr">
        <is>
          <t>Page 2</t>
        </is>
      </c>
      <c r="AG59" s="2013" t="n"/>
    </row>
    <row r="60">
      <c r="A60" s="2013" t="n"/>
      <c r="B60" s="229" t="inlineStr">
        <is>
          <t>Name(s) shown on return. Name and SSN or taxpayer identification no. not required if shown on other side</t>
        </is>
      </c>
      <c r="C60" s="88" t="n"/>
      <c r="D60" s="88" t="n"/>
      <c r="E60" s="88" t="n"/>
      <c r="F60" s="88" t="n"/>
      <c r="G60" s="88" t="n"/>
      <c r="H60" s="88" t="n"/>
      <c r="I60" s="88" t="n"/>
      <c r="J60" s="88" t="n"/>
      <c r="K60" s="88" t="n"/>
      <c r="L60" s="88" t="n"/>
      <c r="M60" s="88" t="n"/>
      <c r="N60" s="88" t="n"/>
      <c r="O60" s="88" t="n"/>
      <c r="P60" s="88" t="n"/>
      <c r="Q60" s="88" t="n"/>
      <c r="R60" s="88" t="n"/>
      <c r="S60" s="88" t="n"/>
      <c r="T60" s="88" t="n"/>
      <c r="U60" s="88" t="n"/>
      <c r="V60" s="6006" t="inlineStr">
        <is>
          <t>Social security number or taxpayer identification number</t>
        </is>
      </c>
      <c r="W60" s="88" t="n"/>
      <c r="X60" s="88" t="n"/>
      <c r="Y60" s="88" t="n"/>
      <c r="Z60" s="2666" t="n"/>
      <c r="AA60" s="88" t="n"/>
      <c r="AB60" s="88" t="n"/>
      <c r="AC60" s="88" t="n"/>
      <c r="AD60" s="88" t="n"/>
      <c r="AE60" s="88" t="n"/>
      <c r="AF60" s="88" t="n"/>
      <c r="AG60" s="2013" t="n"/>
    </row>
    <row r="61" ht="16.5" customHeight="1" s="7635" thickBot="1">
      <c r="A61" s="2013" t="n"/>
      <c r="B61" s="12796">
        <f>Names</f>
        <v/>
      </c>
      <c r="C61" s="8848" t="n"/>
      <c r="D61" s="8848" t="n"/>
      <c r="E61" s="8848" t="n"/>
      <c r="F61" s="8848" t="n"/>
      <c r="G61" s="8848" t="n"/>
      <c r="H61" s="8848" t="n"/>
      <c r="I61" s="8848" t="n"/>
      <c r="J61" s="8848" t="n"/>
      <c r="K61" s="8848" t="n"/>
      <c r="L61" s="8848" t="n"/>
      <c r="M61" s="8848" t="n"/>
      <c r="N61" s="8848" t="n"/>
      <c r="O61" s="8848" t="n"/>
      <c r="P61" s="8848" t="n"/>
      <c r="Q61" s="8848" t="n"/>
      <c r="R61" s="8848" t="n"/>
      <c r="S61" s="8848" t="n"/>
      <c r="T61" s="8848" t="n"/>
      <c r="U61" s="12121" t="n"/>
      <c r="V61" s="12797">
        <f>IF(NoSSN,"",SS_Yours)</f>
        <v/>
      </c>
      <c r="W61" s="8848" t="n"/>
      <c r="X61" s="8848" t="n"/>
      <c r="Y61" s="8848" t="n"/>
      <c r="Z61" s="8848" t="n"/>
      <c r="AA61" s="8848" t="n"/>
      <c r="AB61" s="8848" t="n"/>
      <c r="AC61" s="8848" t="n"/>
      <c r="AD61" s="8848" t="n"/>
      <c r="AE61" s="8848" t="n"/>
      <c r="AF61" s="8848" t="n"/>
      <c r="AG61" s="2013" t="n"/>
    </row>
    <row r="62" ht="12.75" customHeight="1" s="7635">
      <c r="A62" s="2013" t="n"/>
      <c r="B62" s="12798" t="inlineStr">
        <is>
          <t>Before you check Box D, E, F, J, K, or L below, see whether you received any Form(s) 1099-B, Form(s) 1099-DA, or substitute statement(s)
from your broker. A substitute statement will have the same information as Form 1099-B or Form 1099-DA. They will show whether your
basis (usually your cost) was reported to the IRS by your broker and may even tell you which box to check.</t>
        </is>
      </c>
      <c r="C62" s="2506" t="n"/>
      <c r="D62" s="2506" t="n"/>
      <c r="E62" s="2506" t="n"/>
      <c r="F62" s="2506" t="n"/>
      <c r="G62" s="2506" t="n"/>
      <c r="H62" s="2506" t="n"/>
      <c r="I62" s="2506" t="n"/>
      <c r="J62" s="2506" t="n"/>
      <c r="K62" s="2506" t="n"/>
      <c r="L62" s="2506" t="n"/>
      <c r="M62" s="2506" t="n"/>
      <c r="N62" s="2506" t="n"/>
      <c r="O62" s="2506" t="n"/>
      <c r="P62" s="2506" t="n"/>
      <c r="Q62" s="2506" t="n"/>
      <c r="R62" s="2506" t="n"/>
      <c r="S62" s="2506" t="n"/>
      <c r="T62" s="2506" t="n"/>
      <c r="U62" s="2506" t="n"/>
      <c r="V62" s="2506" t="n"/>
      <c r="W62" s="2506" t="n"/>
      <c r="X62" s="2506" t="n"/>
      <c r="Y62" s="2506" t="n"/>
      <c r="Z62" s="2506" t="n"/>
      <c r="AA62" s="2506" t="n"/>
      <c r="AB62" s="2506" t="n"/>
      <c r="AC62" s="2506" t="n"/>
      <c r="AD62" s="2506" t="n"/>
      <c r="AE62" s="2506" t="n"/>
      <c r="AF62" s="2506" t="n"/>
      <c r="AG62" s="2013" t="n"/>
    </row>
    <row r="63" ht="12.75" customHeight="1" s="7635">
      <c r="A63" s="2013" t="n"/>
      <c r="AG63" s="2013" t="n"/>
    </row>
    <row r="64" ht="12.75" customHeight="1" s="7635">
      <c r="A64" s="2013" t="n"/>
      <c r="B64" s="7637" t="n"/>
      <c r="C64" s="7637" t="n"/>
      <c r="D64" s="7637" t="n"/>
      <c r="E64" s="7637" t="n"/>
      <c r="F64" s="7637" t="n"/>
      <c r="G64" s="7637" t="n"/>
      <c r="H64" s="7637" t="n"/>
      <c r="I64" s="7637" t="n"/>
      <c r="J64" s="7637" t="n"/>
      <c r="K64" s="7637" t="n"/>
      <c r="L64" s="7637" t="n"/>
      <c r="M64" s="7637" t="n"/>
      <c r="N64" s="7637" t="n"/>
      <c r="O64" s="7637" t="n"/>
      <c r="P64" s="7637" t="n"/>
      <c r="Q64" s="7637" t="n"/>
      <c r="R64" s="7637" t="n"/>
      <c r="S64" s="7637" t="n"/>
      <c r="T64" s="7637" t="n"/>
      <c r="U64" s="7637" t="n"/>
      <c r="V64" s="7637" t="n"/>
      <c r="W64" s="7637" t="n"/>
      <c r="X64" s="7637" t="n"/>
      <c r="Y64" s="7637" t="n"/>
      <c r="Z64" s="7637" t="n"/>
      <c r="AA64" s="7637" t="n"/>
      <c r="AB64" s="7637" t="n"/>
      <c r="AC64" s="7637" t="n"/>
      <c r="AD64" s="7637" t="n"/>
      <c r="AE64" s="7637" t="n"/>
      <c r="AF64" s="7637" t="n"/>
      <c r="AG64" s="2013" t="n"/>
    </row>
    <row r="65" ht="3.75" customHeight="1" s="7635">
      <c r="A65" s="2013" t="n"/>
      <c r="B65" s="88" t="n"/>
      <c r="C65" s="88" t="n"/>
      <c r="D65" s="88" t="n"/>
      <c r="E65" s="88" t="n"/>
      <c r="F65" s="88" t="n"/>
      <c r="G65" s="88" t="n"/>
      <c r="H65" s="88" t="n"/>
      <c r="I65" s="88" t="n"/>
      <c r="J65" s="88" t="n"/>
      <c r="K65" s="88" t="n"/>
      <c r="L65" s="88"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2013" t="n"/>
    </row>
    <row r="66" ht="15" customHeight="1" s="7635">
      <c r="A66" s="2013" t="n"/>
      <c r="B66" s="11415" t="inlineStr">
        <is>
          <t>Part II</t>
        </is>
      </c>
      <c r="C66" s="7839" t="n"/>
      <c r="D66" s="88" t="n"/>
      <c r="E66" s="11417" t="inlineStr">
        <is>
          <t>Long-Term.</t>
        </is>
      </c>
      <c r="F66" s="1836" t="n"/>
      <c r="G66" s="1836" t="n"/>
      <c r="H66" s="1836" t="n"/>
      <c r="I66" s="1836" t="inlineStr">
        <is>
          <t>Transactions involving capital assets  you  held more  than  1  year are generally long-term (see</t>
        </is>
      </c>
      <c r="J66" s="1836" t="n"/>
      <c r="K66" s="1836" t="n"/>
      <c r="L66" s="1836" t="n"/>
      <c r="M66" s="1836" t="n"/>
      <c r="N66" s="1836" t="n"/>
      <c r="O66" s="1836" t="n"/>
      <c r="P66" s="11417" t="n"/>
      <c r="Q66" s="1836" t="n"/>
      <c r="R66" s="1836" t="n"/>
      <c r="S66" s="1836" t="n"/>
      <c r="T66" s="1836" t="n"/>
      <c r="U66" s="1836" t="n"/>
      <c r="V66" s="1836" t="n"/>
      <c r="W66" s="1836" t="n"/>
      <c r="X66" s="1836" t="n"/>
      <c r="Y66" s="1836" t="n"/>
      <c r="Z66" s="1836" t="n"/>
      <c r="AA66" s="1836" t="n"/>
      <c r="AB66" s="1836" t="n"/>
      <c r="AC66" s="1836" t="n"/>
      <c r="AD66" s="1836" t="n"/>
      <c r="AE66" s="1836" t="n"/>
      <c r="AF66" s="1836" t="n"/>
      <c r="AG66" s="2013">
        <f>IF(SUM(AG91:AG101)&gt;0,TRUE,FALSE)</f>
        <v/>
      </c>
    </row>
    <row r="67" ht="12.75" customHeight="1" s="7635">
      <c r="A67" s="2013" t="n"/>
      <c r="B67" s="88" t="n"/>
      <c r="C67" s="88" t="n"/>
      <c r="D67" s="88" t="n"/>
      <c r="E67" s="1836" t="inlineStr">
        <is>
          <t>instructions). For short-term transactions, see page 1.</t>
        </is>
      </c>
      <c r="F67" s="1836" t="n"/>
      <c r="G67" s="1836" t="n"/>
      <c r="H67" s="1836" t="n"/>
      <c r="I67" s="1836" t="n"/>
      <c r="J67" s="1836" t="n"/>
      <c r="K67" s="1836" t="n"/>
      <c r="L67" s="1836" t="n"/>
      <c r="M67" s="1836" t="n"/>
      <c r="N67" s="1836" t="n"/>
      <c r="O67" s="1836" t="n"/>
      <c r="P67" s="1836" t="n"/>
      <c r="Q67" s="1836" t="n"/>
      <c r="R67" s="1836" t="n"/>
      <c r="S67" s="1836" t="n"/>
      <c r="T67" s="1836" t="n"/>
      <c r="U67" s="1836" t="n"/>
      <c r="V67" s="1836" t="n"/>
      <c r="W67" s="1836" t="n"/>
      <c r="X67" s="1836" t="n"/>
      <c r="Y67" s="1836" t="n"/>
      <c r="Z67" s="1836" t="n"/>
      <c r="AA67" s="1836" t="n"/>
      <c r="AB67" s="1836" t="n"/>
      <c r="AC67" s="1836" t="n"/>
      <c r="AD67" s="1836" t="n"/>
      <c r="AE67" s="1836" t="n"/>
      <c r="AF67" s="1836" t="n"/>
      <c r="AG67" s="2013" t="n"/>
    </row>
    <row r="68" ht="13.5" customHeight="1" s="7635">
      <c r="A68" s="2013" t="n"/>
      <c r="B68" s="88" t="n"/>
      <c r="C68" s="88" t="n"/>
      <c r="D68" s="88" t="n"/>
      <c r="E68" s="3440" t="inlineStr">
        <is>
          <t>Note. You may aggregate all long-term transactions reported on Form(s) 1099-B and Form(s) 1099-DA</t>
        </is>
      </c>
      <c r="F68" s="88" t="n"/>
      <c r="G68" s="88" t="n"/>
      <c r="H68" s="88" t="n"/>
      <c r="I68" s="88" t="n"/>
      <c r="J68" s="88" t="n"/>
      <c r="K68" s="88" t="n"/>
      <c r="L68" s="88" t="n"/>
      <c r="M68" s="88" t="n"/>
      <c r="N68" s="88" t="n"/>
      <c r="O68" s="88" t="n"/>
      <c r="P68" s="88" t="n"/>
      <c r="Q68" s="88" t="n"/>
      <c r="R68" s="88" t="n"/>
      <c r="S68" s="88" t="n"/>
      <c r="T68" s="1836" t="n"/>
      <c r="U68" s="88" t="n"/>
      <c r="V68" s="88" t="n"/>
      <c r="W68" s="88" t="n"/>
      <c r="X68" s="11403" t="n"/>
      <c r="Y68" s="88" t="n"/>
      <c r="Z68" s="88" t="n"/>
      <c r="AA68" s="88" t="n"/>
      <c r="AB68" s="88" t="n"/>
      <c r="AC68" s="88" t="n"/>
      <c r="AD68" s="88" t="n"/>
      <c r="AE68" s="88" t="n"/>
      <c r="AF68" s="88" t="n"/>
      <c r="AG68" s="2013" t="n"/>
      <c r="AS68" s="7779" t="n"/>
      <c r="AT68" s="7779" t="n"/>
      <c r="AU68" s="7779" t="n"/>
      <c r="AV68" s="7779" t="n"/>
      <c r="AW68" s="7779" t="n"/>
      <c r="AX68" s="7779" t="n"/>
      <c r="AY68" s="7779" t="n"/>
      <c r="AZ68" s="7779" t="n"/>
      <c r="BA68" s="7779" t="n"/>
      <c r="BB68" s="7779" t="n"/>
      <c r="BC68" s="7779" t="n"/>
    </row>
    <row r="69" ht="13.5" customHeight="1" s="7635">
      <c r="A69" s="2013" t="n"/>
      <c r="B69" s="88" t="n"/>
      <c r="C69" s="88" t="n"/>
      <c r="D69" s="88" t="n"/>
      <c r="E69" s="1836" t="inlineStr">
        <is>
          <t>showing basis was reported to the IRS and for which no adjustments or codes are required. Enter the totals</t>
        </is>
      </c>
      <c r="F69" s="88" t="n"/>
      <c r="G69" s="88" t="n"/>
      <c r="H69" s="88" t="n"/>
      <c r="I69" s="88" t="n"/>
      <c r="J69" s="88" t="n"/>
      <c r="K69" s="88" t="n"/>
      <c r="L69" s="88" t="n"/>
      <c r="M69" s="88" t="n"/>
      <c r="N69" s="88" t="n"/>
      <c r="O69" s="88" t="n"/>
      <c r="P69" s="88" t="n"/>
      <c r="Q69" s="88" t="n"/>
      <c r="R69" s="88" t="n"/>
      <c r="S69" s="88" t="n"/>
      <c r="T69" s="1836" t="n"/>
      <c r="U69" s="88" t="n"/>
      <c r="V69" s="88" t="n"/>
      <c r="W69" s="88" t="n"/>
      <c r="X69" s="11403" t="n"/>
      <c r="Y69" s="88" t="n"/>
      <c r="Z69" s="88" t="n"/>
      <c r="AA69" s="88" t="n"/>
      <c r="AB69" s="88" t="n"/>
      <c r="AC69" s="88" t="n"/>
      <c r="AD69" s="88" t="n"/>
      <c r="AE69" s="88" t="n"/>
      <c r="AF69" s="88" t="n"/>
      <c r="AG69" s="2013" t="n"/>
      <c r="AS69" s="7779" t="n"/>
      <c r="AT69" s="7779" t="n"/>
      <c r="AU69" s="7779" t="n"/>
      <c r="AV69" s="7779" t="n"/>
      <c r="AW69" s="7779" t="n"/>
      <c r="AX69" s="7779" t="n"/>
      <c r="AY69" s="7779" t="n"/>
      <c r="AZ69" s="7779" t="n"/>
      <c r="BA69" s="7779" t="n"/>
      <c r="BB69" s="7779" t="n"/>
      <c r="BC69" s="7779" t="n"/>
    </row>
    <row r="70" ht="13.5" customHeight="1" s="7635">
      <c r="A70" s="2013" t="n"/>
      <c r="B70" s="2432" t="n"/>
      <c r="C70" s="2432" t="n"/>
      <c r="D70" s="2432" t="n"/>
      <c r="E70" s="6008" t="inlineStr">
        <is>
          <t>directly on Schedule D, line 8a; you aren’t required to report these transactions on Form 8949 (see instructions).</t>
        </is>
      </c>
      <c r="F70" s="2432" t="n"/>
      <c r="G70" s="2432" t="n"/>
      <c r="H70" s="2432" t="n"/>
      <c r="I70" s="2432" t="n"/>
      <c r="J70" s="2432" t="n"/>
      <c r="K70" s="2432" t="n"/>
      <c r="L70" s="2432" t="n"/>
      <c r="M70" s="2432" t="n"/>
      <c r="N70" s="2432" t="n"/>
      <c r="O70" s="2432" t="n"/>
      <c r="P70" s="2432" t="n"/>
      <c r="Q70" s="2432" t="n"/>
      <c r="R70" s="2432" t="n"/>
      <c r="S70" s="2432" t="n"/>
      <c r="T70" s="2432" t="n"/>
      <c r="U70" s="2432" t="n"/>
      <c r="V70" s="2432" t="n"/>
      <c r="W70" s="2432" t="n"/>
      <c r="X70" s="2432" t="n"/>
      <c r="Y70" s="2432" t="n"/>
      <c r="Z70" s="2432" t="n"/>
      <c r="AA70" s="2432" t="n"/>
      <c r="AB70" s="2432" t="n"/>
      <c r="AC70" s="2432" t="n"/>
      <c r="AD70" s="2432" t="n"/>
      <c r="AE70" s="2432" t="n"/>
      <c r="AF70" s="2432" t="n"/>
      <c r="AG70" s="2013" t="n"/>
      <c r="AS70" s="7779" t="n"/>
      <c r="AT70" s="7779" t="n"/>
      <c r="AU70" s="7779" t="n"/>
      <c r="AV70" s="7779" t="n"/>
      <c r="AW70" s="7779" t="n"/>
      <c r="AX70" s="7779" t="n"/>
      <c r="AY70" s="7779" t="n"/>
      <c r="AZ70" s="7779" t="n"/>
      <c r="BA70" s="7779" t="n"/>
      <c r="BB70" s="7779" t="n"/>
      <c r="BC70" s="7779" t="n"/>
    </row>
    <row r="71" ht="14.25" customHeight="1" s="7635">
      <c r="A71" s="2013" t="n"/>
      <c r="B71" s="226" t="inlineStr">
        <is>
          <t xml:space="preserve">You must check Box D, E, F, J, K, or L below. </t>
        </is>
      </c>
      <c r="C71" s="8922" t="n"/>
      <c r="D71" s="8922" t="n"/>
      <c r="E71" s="8922" t="n"/>
      <c r="F71" s="8922" t="n"/>
      <c r="G71" s="8922" t="n"/>
      <c r="H71" s="8922" t="n"/>
      <c r="I71" s="8922" t="n"/>
      <c r="J71" s="8922" t="n"/>
      <c r="K71" s="1183" t="n"/>
      <c r="L71" s="8922" t="n"/>
      <c r="M71" s="226" t="inlineStr">
        <is>
          <t xml:space="preserve"> Check only one box. </t>
        </is>
      </c>
      <c r="N71" s="226" t="n"/>
      <c r="O71" s="8922" t="n"/>
      <c r="P71" s="11403" t="n"/>
      <c r="Q71" s="8922" t="n"/>
      <c r="R71" s="8922" t="n"/>
      <c r="S71" s="8922" t="n"/>
      <c r="T71" s="1836" t="n"/>
      <c r="U71" s="8922" t="n"/>
      <c r="V71" s="8922" t="n"/>
      <c r="W71" s="8922" t="n"/>
      <c r="X71" s="8922" t="n"/>
      <c r="Y71" s="8922" t="n"/>
      <c r="Z71" s="8922" t="n"/>
      <c r="AA71" s="8922" t="n"/>
      <c r="AB71" s="8922" t="n"/>
      <c r="AC71" s="8922" t="n"/>
      <c r="AD71" s="8922" t="n"/>
      <c r="AE71" s="8922" t="n"/>
      <c r="AF71" s="6501" t="inlineStr">
        <is>
          <t>If more than one box applies for your long-term transactions,</t>
        </is>
      </c>
      <c r="AG71" s="2013" t="n"/>
    </row>
    <row r="72">
      <c r="A72" s="2013" t="n"/>
      <c r="B72" s="11403" t="inlineStr">
        <is>
          <t xml:space="preserve">complete a separate Form 8949, page 2, for each applicable box. If you have more long-term transactions than will fit on this page for </t>
        </is>
      </c>
      <c r="C72" s="8922" t="n"/>
      <c r="D72" s="8922" t="n"/>
      <c r="E72" s="8922" t="n"/>
      <c r="F72" s="8922" t="n"/>
      <c r="G72" s="8922" t="n"/>
      <c r="H72" s="8922" t="n"/>
      <c r="I72" s="8922" t="n"/>
      <c r="J72" s="8922" t="n"/>
      <c r="K72" s="8922" t="n"/>
      <c r="L72" s="8922" t="n"/>
      <c r="M72" s="8922" t="n"/>
      <c r="N72" s="8922" t="n"/>
      <c r="O72" s="8922" t="n"/>
      <c r="P72" s="8922" t="n"/>
      <c r="Q72" s="8922" t="n"/>
      <c r="R72" s="8922" t="n"/>
      <c r="S72" s="8922" t="n"/>
      <c r="T72" s="8922" t="n"/>
      <c r="U72" s="8922" t="n"/>
      <c r="V72" s="8922" t="n"/>
      <c r="W72" s="8922" t="n"/>
      <c r="X72" s="8922" t="n"/>
      <c r="Y72" s="8922" t="n"/>
      <c r="Z72" s="8922" t="n"/>
      <c r="AA72" s="8922" t="n"/>
      <c r="AB72" s="8922" t="n"/>
      <c r="AC72" s="8922" t="n"/>
      <c r="AD72" s="8922" t="n"/>
      <c r="AE72" s="8922" t="n"/>
      <c r="AF72" s="8922" t="n"/>
      <c r="AG72" s="2013" t="n"/>
      <c r="BA72" s="12799" t="inlineStr">
        <is>
          <t>Less than One Year</t>
        </is>
      </c>
      <c r="BB72" s="8412" t="n"/>
      <c r="BC72" s="11734" t="n"/>
    </row>
    <row r="73" ht="12.75" customHeight="1" s="7635">
      <c r="A73" s="2013" t="n"/>
      <c r="B73" s="11403">
        <f>IF(SpaceUsed_8949A_LT,"ERROR: DO NOT use the space bar to uncheck a box. Use the 'Delete' key.","one or more of the boxes, complete as many forms with the same box checked as you need.")</f>
        <v/>
      </c>
      <c r="C73" s="8922" t="n"/>
      <c r="D73" s="8922" t="n"/>
      <c r="E73" s="8922" t="n"/>
      <c r="F73" s="8922" t="n"/>
      <c r="G73" s="8922" t="n"/>
      <c r="H73" s="8922" t="n"/>
      <c r="I73" s="8922" t="n"/>
      <c r="J73" s="8922" t="n"/>
      <c r="K73" s="8922" t="n"/>
      <c r="L73" s="8922" t="n"/>
      <c r="M73" s="8922" t="n"/>
      <c r="N73" s="8922" t="n"/>
      <c r="O73" s="8922" t="n"/>
      <c r="P73" s="8922" t="n"/>
      <c r="Q73" s="8922" t="n"/>
      <c r="R73" s="8922" t="n"/>
      <c r="S73" s="8922" t="n"/>
      <c r="T73" s="8922" t="n"/>
      <c r="U73" s="8922" t="n"/>
      <c r="V73" s="8922" t="n"/>
      <c r="W73" s="8922" t="n"/>
      <c r="X73" s="8922" t="n"/>
      <c r="Y73" s="8922" t="n"/>
      <c r="Z73" s="8922" t="n"/>
      <c r="AA73" s="8922" t="n"/>
      <c r="AB73" s="8922" t="n"/>
      <c r="AC73" s="8922" t="n"/>
      <c r="AD73" s="8922" t="n"/>
      <c r="AE73" s="8922" t="n"/>
      <c r="AF73" s="8922" t="n"/>
      <c r="AG73" s="2013" t="n"/>
      <c r="AJ73" s="3809" t="n"/>
      <c r="AK73" s="3809" t="n"/>
      <c r="AL73" s="3809" t="n"/>
      <c r="AM73" s="3809" t="n"/>
      <c r="AN73" s="3809" t="n"/>
      <c r="AO73" s="3809" t="n"/>
      <c r="AP73" s="3809" t="n"/>
      <c r="AQ73" s="3809" t="n"/>
      <c r="BA73" s="11398" t="inlineStr">
        <is>
          <t>Calendar Year is SAME</t>
        </is>
      </c>
      <c r="BB73" s="11398" t="inlineStr">
        <is>
          <t>Before This Month (Last Year)</t>
        </is>
      </c>
      <c r="BC73" s="11398" t="inlineStr">
        <is>
          <t>Before This Day and Month (Last Year)</t>
        </is>
      </c>
    </row>
    <row r="74" ht="4.5" customHeight="1" s="7635" thickBot="1">
      <c r="A74" s="2013" t="n"/>
      <c r="B74" s="8922" t="n"/>
      <c r="C74" s="8922" t="n"/>
      <c r="D74" s="8922" t="n"/>
      <c r="E74" s="8922" t="n"/>
      <c r="F74" s="8922" t="n"/>
      <c r="G74" s="8922" t="n"/>
      <c r="H74" s="8922" t="n"/>
      <c r="I74" s="8922" t="n"/>
      <c r="J74" s="8922" t="n"/>
      <c r="K74" s="8922" t="n"/>
      <c r="L74" s="8922" t="n"/>
      <c r="M74" s="8922" t="n"/>
      <c r="N74" s="8922" t="n"/>
      <c r="O74" s="8922" t="n"/>
      <c r="P74" s="8922" t="n"/>
      <c r="Q74" s="8922" t="n"/>
      <c r="R74" s="8922" t="n"/>
      <c r="S74" s="8922" t="n"/>
      <c r="T74" s="8922" t="n"/>
      <c r="U74" s="8922" t="n"/>
      <c r="V74" s="8922" t="n"/>
      <c r="W74" s="8922" t="n"/>
      <c r="X74" s="8922" t="n"/>
      <c r="Y74" s="8922" t="n"/>
      <c r="Z74" s="8922" t="n"/>
      <c r="AA74" s="8922" t="n"/>
      <c r="AB74" s="8922" t="n"/>
      <c r="AC74" s="8922" t="n"/>
      <c r="AD74" s="8922" t="n"/>
      <c r="AE74" s="8922" t="n"/>
      <c r="AF74" s="8922" t="n"/>
      <c r="AG74" s="2013" t="n"/>
      <c r="BA74" s="11747" t="n"/>
      <c r="BB74" s="11747" t="n"/>
      <c r="BC74" s="11747" t="n"/>
    </row>
    <row r="75" ht="12" customHeight="1" s="7635" thickBot="1">
      <c r="A75" s="2013" t="n"/>
      <c r="B75" s="8914">
        <f>IF(C75&lt;&gt;"",1,0)</f>
        <v/>
      </c>
      <c r="C75" s="300" t="n"/>
      <c r="D75" s="3440" t="inlineStr">
        <is>
          <t xml:space="preserve"> (D) Long-term transactions reported on Form(s) 1099-B showing basis was reported to the IRS (see Note above)</t>
        </is>
      </c>
      <c r="E75" s="8922" t="n"/>
      <c r="F75" s="8922" t="n"/>
      <c r="G75" s="8922" t="n"/>
      <c r="H75" s="8922" t="n"/>
      <c r="I75" s="8922" t="n"/>
      <c r="J75" s="8922" t="n"/>
      <c r="K75" s="8922" t="n"/>
      <c r="L75" s="8922" t="n"/>
      <c r="M75" s="8922" t="n"/>
      <c r="N75" s="8922" t="n"/>
      <c r="O75" s="8922" t="n"/>
      <c r="P75" s="8922" t="n"/>
      <c r="Q75" s="8922" t="n"/>
      <c r="R75" s="8922" t="n"/>
      <c r="S75" s="8922" t="n"/>
      <c r="T75" s="8922" t="n"/>
      <c r="U75" s="8922" t="n"/>
      <c r="V75" s="8922" t="n"/>
      <c r="W75" s="8922" t="n"/>
      <c r="X75" s="8922" t="n"/>
      <c r="Y75" s="8922" t="n"/>
      <c r="Z75" s="8922" t="n"/>
      <c r="AA75" s="8922" t="n"/>
      <c r="AB75" s="8922" t="n"/>
      <c r="AC75" s="8922" t="n"/>
      <c r="AD75" s="8922" t="n"/>
      <c r="AE75" s="8922" t="n"/>
      <c r="AF75" s="8922" t="n"/>
      <c r="AG75" s="2013" t="n"/>
      <c r="AJ75" s="11392" t="n"/>
      <c r="BA75" s="11747" t="n"/>
      <c r="BB75" s="11747" t="n"/>
      <c r="BC75" s="11747" t="n"/>
    </row>
    <row r="76" ht="4.5" customHeight="1" s="7635" thickBot="1">
      <c r="A76" s="2013" t="n"/>
      <c r="B76" s="6017" t="n"/>
      <c r="C76" s="8922" t="n"/>
      <c r="D76" s="1836" t="n"/>
      <c r="E76" s="8922" t="n"/>
      <c r="F76" s="8922" t="n"/>
      <c r="G76" s="8922" t="n"/>
      <c r="H76" s="8922" t="n"/>
      <c r="I76" s="8922" t="n"/>
      <c r="J76" s="8922" t="n"/>
      <c r="K76" s="8922" t="n"/>
      <c r="L76" s="8922" t="n"/>
      <c r="M76" s="8922" t="n"/>
      <c r="N76" s="8922" t="n"/>
      <c r="O76" s="8922" t="n"/>
      <c r="P76" s="8922" t="n"/>
      <c r="Q76" s="8922" t="n"/>
      <c r="R76" s="8922" t="n"/>
      <c r="S76" s="8922" t="n"/>
      <c r="T76" s="8922" t="n"/>
      <c r="U76" s="8922" t="n"/>
      <c r="V76" s="8922" t="n"/>
      <c r="W76" s="8922" t="n"/>
      <c r="X76" s="8922" t="n"/>
      <c r="Y76" s="8922" t="n"/>
      <c r="Z76" s="8922" t="n"/>
      <c r="AA76" s="8922" t="n"/>
      <c r="AB76" s="8922" t="n"/>
      <c r="AC76" s="8922" t="n"/>
      <c r="AD76" s="8922" t="n"/>
      <c r="AE76" s="8922" t="n"/>
      <c r="AF76" s="8922" t="n"/>
      <c r="AG76" s="2013" t="n"/>
      <c r="BA76" s="11747" t="n"/>
      <c r="BB76" s="11747" t="n"/>
      <c r="BC76" s="11747" t="n"/>
    </row>
    <row r="77" ht="11.25" customHeight="1" s="7635" thickBot="1">
      <c r="A77" s="2013" t="n"/>
      <c r="B77" s="8914">
        <f>IF(C77&lt;&gt;"",1,0)</f>
        <v/>
      </c>
      <c r="C77" s="300" t="n"/>
      <c r="D77" s="3440" t="inlineStr">
        <is>
          <t xml:space="preserve"> (E) Long-term transactions reported on Form(s) 1099-B showing basis was not reported to the IRS</t>
        </is>
      </c>
      <c r="E77" s="8922" t="n"/>
      <c r="F77" s="8922" t="n"/>
      <c r="G77" s="8922" t="n"/>
      <c r="H77" s="8922" t="n"/>
      <c r="I77" s="8922" t="n"/>
      <c r="J77" s="8922" t="n"/>
      <c r="K77" s="8922" t="n"/>
      <c r="L77" s="8922" t="n"/>
      <c r="M77" s="8922" t="n"/>
      <c r="N77" s="8922" t="n"/>
      <c r="O77" s="8922" t="n"/>
      <c r="P77" s="8922" t="n"/>
      <c r="Q77" s="7299" t="n"/>
      <c r="R77" s="7299" t="n"/>
      <c r="S77" s="7299" t="n"/>
      <c r="T77" s="7299" t="n"/>
      <c r="U77" s="7299" t="n"/>
      <c r="V77" s="7299" t="n"/>
      <c r="W77" s="7299" t="n"/>
      <c r="X77" s="7299" t="n"/>
      <c r="Y77" s="7299" t="n"/>
      <c r="Z77" s="7299" t="n"/>
      <c r="AA77" s="7299" t="n"/>
      <c r="AB77" s="7299" t="n"/>
      <c r="AC77" s="7299" t="n"/>
      <c r="AD77" s="7299" t="n"/>
      <c r="AE77" s="8922" t="n"/>
      <c r="AF77" s="8922" t="n"/>
      <c r="AG77" s="2013" t="n"/>
      <c r="AJ77" s="11392" t="n"/>
      <c r="BA77" s="11747" t="n"/>
      <c r="BB77" s="11747" t="n"/>
      <c r="BC77" s="11747" t="n"/>
    </row>
    <row r="78" ht="4.5" customHeight="1" s="7635" thickBot="1">
      <c r="A78" s="2013" t="n"/>
      <c r="B78" s="6017" t="n"/>
      <c r="C78" s="8922" t="n"/>
      <c r="D78" s="1836" t="n"/>
      <c r="E78" s="8922" t="n"/>
      <c r="F78" s="8922" t="n"/>
      <c r="G78" s="8922" t="n"/>
      <c r="H78" s="8922" t="n"/>
      <c r="I78" s="8922" t="n"/>
      <c r="J78" s="8922" t="n"/>
      <c r="K78" s="8922" t="n"/>
      <c r="L78" s="8922" t="n"/>
      <c r="M78" s="8922" t="n"/>
      <c r="N78" s="8922" t="n"/>
      <c r="O78" s="8922" t="n"/>
      <c r="P78" s="8922" t="n"/>
      <c r="Q78" s="7299" t="n"/>
      <c r="R78" s="7299" t="n"/>
      <c r="S78" s="7299" t="n"/>
      <c r="T78" s="7299" t="n"/>
      <c r="U78" s="7299" t="n"/>
      <c r="V78" s="7299" t="n"/>
      <c r="W78" s="7299" t="n"/>
      <c r="X78" s="7299" t="n"/>
      <c r="Y78" s="7299" t="n"/>
      <c r="Z78" s="7299" t="n"/>
      <c r="AA78" s="7299" t="n"/>
      <c r="AB78" s="7299" t="n"/>
      <c r="AC78" s="7299" t="n"/>
      <c r="AD78" s="7299" t="n"/>
      <c r="AE78" s="8922" t="n"/>
      <c r="AF78" s="8922" t="n"/>
      <c r="AG78" s="2013" t="n"/>
      <c r="BA78" s="11747" t="n"/>
      <c r="BB78" s="11747" t="n"/>
      <c r="BC78" s="11747" t="n"/>
    </row>
    <row r="79" ht="12" customHeight="1" s="7635" thickBot="1">
      <c r="A79" s="2013">
        <f>SUM(B75:B79)</f>
        <v/>
      </c>
      <c r="B79" s="8914">
        <f>IF(C79&lt;&gt;"",1,0)</f>
        <v/>
      </c>
      <c r="C79" s="300" t="n"/>
      <c r="D79" s="3440" t="inlineStr">
        <is>
          <t xml:space="preserve"> (F) Long-term transactions, other than digital asset transactions, not reported to you on Form 1099-B or Form 1099-DA</t>
        </is>
      </c>
      <c r="E79" s="8922" t="n"/>
      <c r="F79" s="8922" t="n"/>
      <c r="G79" s="8922" t="n"/>
      <c r="H79" s="8922" t="n"/>
      <c r="I79" s="8922" t="n"/>
      <c r="J79" s="8922" t="n"/>
      <c r="K79" s="8922" t="n"/>
      <c r="L79" s="8922" t="n"/>
      <c r="M79" s="8922" t="n"/>
      <c r="N79" s="8922" t="n"/>
      <c r="O79" s="8922" t="n"/>
      <c r="P79" s="8922" t="n"/>
      <c r="Q79" s="6018" t="n"/>
      <c r="R79" s="6019" t="n"/>
      <c r="S79" s="3823" t="n"/>
      <c r="T79" s="3823" t="n"/>
      <c r="U79" s="3823" t="n"/>
      <c r="V79" s="3823" t="n"/>
      <c r="W79" s="3823" t="n"/>
      <c r="X79" s="3823" t="n"/>
      <c r="Y79" s="3823" t="n"/>
      <c r="Z79" s="3823" t="n"/>
      <c r="AA79" s="3823" t="n"/>
      <c r="AB79" s="3823" t="n"/>
      <c r="AC79" s="3823" t="n"/>
      <c r="AD79" s="3823" t="n"/>
      <c r="AE79" s="3823" t="n"/>
      <c r="AF79" s="8922" t="n"/>
      <c r="AG79" s="2013" t="n"/>
      <c r="AH79" s="9649">
        <f>OR(F8949DLBOXD=CHAR(32),F8949DLBOXE=CHAR(32),F8949DLBOXF=CHAR(32),F8949DLBOXJ=CHAR(32),F8949DLBOXK=CHAR(32),F8949DLBOXL=CHAR(32))</f>
        <v/>
      </c>
      <c r="AJ79" s="3809" t="n"/>
      <c r="AK79" s="3809" t="n"/>
      <c r="AL79" s="3809" t="n"/>
      <c r="AM79" s="3809" t="n"/>
      <c r="AN79" s="3809" t="n"/>
      <c r="AO79" s="3809" t="n"/>
      <c r="AP79" s="3809" t="n"/>
      <c r="AQ79" s="3809" t="n"/>
      <c r="BA79" s="11747" t="n"/>
      <c r="BB79" s="11747" t="n"/>
      <c r="BC79" s="11747" t="n"/>
    </row>
    <row r="80" ht="4.5" customHeight="1" s="7635" thickBot="1">
      <c r="A80" s="2013" t="n"/>
      <c r="B80" s="8922" t="n"/>
      <c r="C80" s="8922" t="n"/>
      <c r="D80" s="1836" t="n"/>
      <c r="E80" s="8922" t="n"/>
      <c r="F80" s="8922" t="n"/>
      <c r="G80" s="8922" t="n"/>
      <c r="H80" s="8922" t="n"/>
      <c r="I80" s="8922" t="n"/>
      <c r="J80" s="8922" t="n"/>
      <c r="K80" s="8922" t="n"/>
      <c r="L80" s="8922" t="n"/>
      <c r="M80" s="8922" t="n"/>
      <c r="N80" s="8922" t="n"/>
      <c r="O80" s="8922" t="n"/>
      <c r="P80" s="8922" t="n"/>
      <c r="Q80" s="8922" t="n"/>
      <c r="R80" s="8922" t="n"/>
      <c r="S80" s="8922" t="n"/>
      <c r="T80" s="8922" t="n"/>
      <c r="U80" s="8922" t="n"/>
      <c r="V80" s="8922" t="n"/>
      <c r="W80" s="8922" t="n"/>
      <c r="X80" s="8922" t="n"/>
      <c r="Y80" s="8922" t="n"/>
      <c r="Z80" s="8922" t="n"/>
      <c r="AA80" s="8922" t="n"/>
      <c r="AB80" s="8922" t="n"/>
      <c r="AC80" s="8922" t="n"/>
      <c r="AD80" s="8922" t="n"/>
      <c r="AE80" s="8922" t="n"/>
      <c r="AF80" s="8922" t="n"/>
      <c r="AG80" s="2013" t="n"/>
      <c r="BA80" s="11747" t="n"/>
      <c r="BB80" s="11747" t="n"/>
      <c r="BC80" s="11747" t="n"/>
    </row>
    <row r="81" ht="12" customHeight="1" s="7635" thickBot="1">
      <c r="A81" s="2013" t="n"/>
      <c r="B81" s="8914">
        <f>IF(C81&lt;&gt;"",1,0)</f>
        <v/>
      </c>
      <c r="C81" s="300" t="n"/>
      <c r="D81" s="3440" t="inlineStr">
        <is>
          <t xml:space="preserve"> (J) Long-term transactions reported on Form(s) 1099-DA showing basis was reported to the IRS (see Note above)</t>
        </is>
      </c>
      <c r="E81" s="8922" t="n"/>
      <c r="F81" s="8922" t="n"/>
      <c r="G81" s="8922" t="n"/>
      <c r="H81" s="8922" t="n"/>
      <c r="I81" s="8922" t="n"/>
      <c r="J81" s="8922" t="n"/>
      <c r="K81" s="8922" t="n"/>
      <c r="L81" s="8922" t="n"/>
      <c r="M81" s="8922" t="n"/>
      <c r="N81" s="8922" t="n"/>
      <c r="O81" s="8922" t="n"/>
      <c r="P81" s="8922" t="n"/>
      <c r="Q81" s="8922" t="n"/>
      <c r="R81" s="8922" t="n"/>
      <c r="S81" s="8922" t="n"/>
      <c r="T81" s="8922" t="n"/>
      <c r="U81" s="8922" t="n"/>
      <c r="V81" s="8922" t="n"/>
      <c r="W81" s="8922" t="n"/>
      <c r="X81" s="8922" t="n"/>
      <c r="Y81" s="8922" t="n"/>
      <c r="Z81" s="8922" t="n"/>
      <c r="AA81" s="8922" t="n"/>
      <c r="AB81" s="8922" t="n"/>
      <c r="AC81" s="8922" t="n"/>
      <c r="AD81" s="8922" t="n"/>
      <c r="AE81" s="8922" t="n"/>
      <c r="AF81" s="8922" t="n"/>
      <c r="AG81" s="2013" t="n"/>
      <c r="AJ81" s="11392" t="n"/>
      <c r="BA81" s="11747" t="n"/>
      <c r="BB81" s="11747" t="n"/>
      <c r="BC81" s="11747" t="n"/>
    </row>
    <row r="82" ht="4.5" customHeight="1" s="7635" thickBot="1">
      <c r="A82" s="2013" t="n"/>
      <c r="B82" s="6017" t="n"/>
      <c r="C82" s="8922" t="inlineStr">
        <is>
          <t>A</t>
        </is>
      </c>
      <c r="D82" s="1836" t="n"/>
      <c r="E82" s="8922" t="n"/>
      <c r="F82" s="8922" t="n"/>
      <c r="G82" s="8922" t="n"/>
      <c r="H82" s="8922" t="n"/>
      <c r="I82" s="8922" t="n"/>
      <c r="J82" s="8922" t="n"/>
      <c r="K82" s="8922" t="n"/>
      <c r="L82" s="8922" t="n"/>
      <c r="M82" s="8922" t="n"/>
      <c r="N82" s="8922" t="n"/>
      <c r="O82" s="8922" t="n"/>
      <c r="P82" s="8922" t="n"/>
      <c r="Q82" s="8922" t="n"/>
      <c r="R82" s="8922" t="n"/>
      <c r="S82" s="8922" t="n"/>
      <c r="T82" s="8922" t="n"/>
      <c r="U82" s="8922" t="n"/>
      <c r="V82" s="8922" t="n"/>
      <c r="W82" s="8922" t="n"/>
      <c r="X82" s="8922" t="n"/>
      <c r="Y82" s="8922" t="n"/>
      <c r="Z82" s="8922" t="n"/>
      <c r="AA82" s="8922" t="n"/>
      <c r="AB82" s="8922" t="n"/>
      <c r="AC82" s="8922" t="n"/>
      <c r="AD82" s="8922" t="n"/>
      <c r="AE82" s="8922" t="n"/>
      <c r="AF82" s="8922" t="n"/>
      <c r="AG82" s="2013" t="n"/>
      <c r="BA82" s="11747" t="n"/>
      <c r="BB82" s="11747" t="n"/>
      <c r="BC82" s="11747" t="n"/>
    </row>
    <row r="83" ht="11.25" customHeight="1" s="7635" thickBot="1">
      <c r="A83" s="2013" t="n"/>
      <c r="B83" s="8914">
        <f>IF(C83&lt;&gt;"",1,0)</f>
        <v/>
      </c>
      <c r="C83" s="300" t="n"/>
      <c r="D83" s="3440" t="inlineStr">
        <is>
          <t xml:space="preserve"> (K) Long-term transactions reported on Form(s) 1099-DA showing basis was not reported to the IRS</t>
        </is>
      </c>
      <c r="E83" s="8922" t="n"/>
      <c r="F83" s="8922" t="n"/>
      <c r="G83" s="8922" t="n"/>
      <c r="H83" s="8922" t="n"/>
      <c r="I83" s="8922" t="n"/>
      <c r="J83" s="8922" t="n"/>
      <c r="K83" s="8922" t="n"/>
      <c r="L83" s="8922" t="n"/>
      <c r="M83" s="8922" t="n"/>
      <c r="N83" s="8922" t="n"/>
      <c r="O83" s="8922" t="n"/>
      <c r="P83" s="8922" t="n"/>
      <c r="Q83" s="7299" t="n"/>
      <c r="R83" s="7299" t="n"/>
      <c r="S83" s="7299" t="n"/>
      <c r="T83" s="7299" t="n"/>
      <c r="U83" s="7299" t="n"/>
      <c r="V83" s="7299" t="n"/>
      <c r="W83" s="7299" t="n"/>
      <c r="X83" s="7299" t="n"/>
      <c r="Y83" s="7299" t="n"/>
      <c r="Z83" s="7299" t="n"/>
      <c r="AA83" s="7299" t="n"/>
      <c r="AB83" s="7299" t="n"/>
      <c r="AC83" s="7299" t="n"/>
      <c r="AD83" s="7299" t="n"/>
      <c r="AE83" s="8922" t="n"/>
      <c r="AF83" s="8922" t="n"/>
      <c r="AG83" s="2013" t="n"/>
      <c r="AJ83" s="11392" t="n"/>
      <c r="BA83" s="11747" t="n"/>
      <c r="BB83" s="11747" t="n"/>
      <c r="BC83" s="11747" t="n"/>
    </row>
    <row r="84" ht="4.5" customHeight="1" s="7635" thickBot="1">
      <c r="A84" s="2013" t="n"/>
      <c r="B84" s="6017" t="n"/>
      <c r="C84" s="8922" t="n"/>
      <c r="D84" s="1836" t="n"/>
      <c r="E84" s="8922" t="n"/>
      <c r="F84" s="8922" t="n"/>
      <c r="G84" s="8922" t="n"/>
      <c r="H84" s="8922" t="n"/>
      <c r="I84" s="8922" t="n"/>
      <c r="J84" s="8922" t="n"/>
      <c r="K84" s="8922" t="n"/>
      <c r="L84" s="8922" t="n"/>
      <c r="M84" s="8922" t="n"/>
      <c r="N84" s="8922" t="n"/>
      <c r="O84" s="8922" t="n"/>
      <c r="P84" s="8922" t="n"/>
      <c r="Q84" s="7299" t="n"/>
      <c r="R84" s="7299" t="n"/>
      <c r="S84" s="7299" t="n"/>
      <c r="T84" s="7299" t="n"/>
      <c r="U84" s="7299" t="n"/>
      <c r="V84" s="7299" t="n"/>
      <c r="W84" s="7299" t="n"/>
      <c r="X84" s="7299" t="n"/>
      <c r="Y84" s="7299" t="n"/>
      <c r="Z84" s="7299" t="n"/>
      <c r="AA84" s="7299" t="n"/>
      <c r="AB84" s="7299" t="n"/>
      <c r="AC84" s="7299" t="n"/>
      <c r="AD84" s="7299" t="n"/>
      <c r="AE84" s="8922" t="n"/>
      <c r="AF84" s="8922" t="n"/>
      <c r="AG84" s="2013" t="n"/>
      <c r="BA84" s="11747" t="n"/>
      <c r="BB84" s="11747" t="n"/>
      <c r="BC84" s="11747" t="n"/>
    </row>
    <row r="85" ht="12" customHeight="1" s="7635" thickBot="1">
      <c r="A85" s="2013">
        <f>SUM(B75:B85)</f>
        <v/>
      </c>
      <c r="B85" s="8914">
        <f>IF(C85&lt;&gt;"",1,0)</f>
        <v/>
      </c>
      <c r="C85" s="300" t="n"/>
      <c r="D85" s="3440" t="inlineStr">
        <is>
          <t xml:space="preserve"> (L) Long-term digital asset transactions not reported to you on Form 1099-DA or Form 1099-B</t>
        </is>
      </c>
      <c r="E85" s="8922" t="n"/>
      <c r="F85" s="8922" t="n"/>
      <c r="G85" s="8922" t="n"/>
      <c r="H85" s="8922" t="n"/>
      <c r="I85" s="8922" t="n"/>
      <c r="J85" s="8922" t="n"/>
      <c r="K85" s="8922" t="n"/>
      <c r="L85" s="8922" t="n"/>
      <c r="M85" s="8922" t="n"/>
      <c r="N85" s="8922" t="n"/>
      <c r="O85" s="8922" t="n"/>
      <c r="P85" s="8922" t="n"/>
      <c r="Q85" s="6018" t="n"/>
      <c r="R85" s="3823" t="n"/>
      <c r="S85" s="3823" t="n"/>
      <c r="T85" s="3823" t="n"/>
      <c r="U85" s="3823" t="n"/>
      <c r="V85" s="3823" t="n"/>
      <c r="W85" s="3823" t="n"/>
      <c r="X85" s="3823" t="n"/>
      <c r="Y85" s="3823" t="n"/>
      <c r="Z85" s="3823" t="n"/>
      <c r="AA85" s="3823" t="n"/>
      <c r="AB85" s="3823" t="n"/>
      <c r="AC85" s="3823" t="n"/>
      <c r="AD85" s="3823" t="n"/>
      <c r="AE85" s="3823" t="n"/>
      <c r="AF85" s="6020" t="n"/>
      <c r="AG85" s="2013" t="n"/>
      <c r="AH85" s="9649" t="n"/>
      <c r="AJ85" s="11392" t="inlineStr">
        <is>
          <t>Paste data from other spreadsheets, reports, etc. here.  (Use 'Paste Special, Values')</t>
        </is>
      </c>
      <c r="BA85" s="11747" t="n"/>
      <c r="BB85" s="11747" t="n"/>
      <c r="BC85" s="11747" t="n"/>
    </row>
    <row r="86" ht="5.25" customHeight="1" s="7635">
      <c r="A86" s="2013" t="n"/>
      <c r="B86" s="6012" t="n"/>
      <c r="C86" s="6013" t="n"/>
      <c r="D86" s="6012" t="n"/>
      <c r="E86" s="6012" t="n"/>
      <c r="F86" s="6012" t="n"/>
      <c r="G86" s="6012" t="n"/>
      <c r="H86" s="6012" t="n"/>
      <c r="I86" s="6012" t="n"/>
      <c r="J86" s="6012" t="n"/>
      <c r="K86" s="6012" t="n"/>
      <c r="L86" s="6012" t="n"/>
      <c r="M86" s="6012" t="n"/>
      <c r="N86" s="6013" t="n"/>
      <c r="O86" s="6012" t="n"/>
      <c r="P86" s="6012" t="n"/>
      <c r="Q86" s="6012" t="n"/>
      <c r="R86" s="6012" t="n"/>
      <c r="S86" s="6012" t="n"/>
      <c r="T86" s="6012" t="n"/>
      <c r="U86" s="6012" t="n"/>
      <c r="V86" s="6012" t="n"/>
      <c r="W86" s="6012" t="n"/>
      <c r="X86" s="6012" t="n"/>
      <c r="Y86" s="6013" t="n"/>
      <c r="Z86" s="6012" t="n"/>
      <c r="AA86" s="6012" t="n"/>
      <c r="AB86" s="6012" t="n"/>
      <c r="AC86" s="6012" t="n"/>
      <c r="AD86" s="6012" t="n"/>
      <c r="AE86" s="6012" t="n"/>
      <c r="AF86" s="6012" t="n"/>
      <c r="AG86" s="2013" t="n"/>
      <c r="BA86" s="11747" t="n"/>
      <c r="BB86" s="11747" t="n"/>
      <c r="BC86" s="11747" t="n"/>
    </row>
    <row r="87" ht="21" customHeight="1" s="7635">
      <c r="A87" s="2013" t="n"/>
      <c r="B87" s="12800" t="n">
        <v>1</v>
      </c>
      <c r="C87" s="12801" t="inlineStr">
        <is>
          <t>(a)
Description of property
(Example: 100 sh. XYZ Co.)</t>
        </is>
      </c>
      <c r="D87" s="7839" t="n"/>
      <c r="E87" s="7839" t="n"/>
      <c r="F87" s="7839" t="n"/>
      <c r="G87" s="7839" t="n"/>
      <c r="H87" s="7839" t="n"/>
      <c r="I87" s="10091" t="n"/>
      <c r="J87" s="11779" t="inlineStr">
        <is>
          <t>(b)
Date acquired
(Mo., day, yr.)</t>
        </is>
      </c>
      <c r="K87" s="7839" t="n"/>
      <c r="L87" s="10091" t="n"/>
      <c r="M87" s="11779" t="inlineStr">
        <is>
          <t>(c)
Date sold or
disposed of
(Mo., day, yr.)</t>
        </is>
      </c>
      <c r="N87" s="7839" t="n"/>
      <c r="O87" s="7839" t="n"/>
      <c r="P87" s="10091" t="n"/>
      <c r="Q87" s="11779" t="inlineStr">
        <is>
          <t>(d)
Proceeds 
(sales price) 
(see instructions)</t>
        </is>
      </c>
      <c r="R87" s="7839" t="n"/>
      <c r="S87" s="7839" t="n"/>
      <c r="T87" s="10091" t="n"/>
      <c r="U87" s="12802" t="inlineStr">
        <is>
          <t>(e)
Cost or other basis. 
See the Note below 
and see Column (e) 
in the separate 
instructions</t>
        </is>
      </c>
      <c r="V87" s="7839" t="n"/>
      <c r="W87" s="7839" t="n"/>
      <c r="X87" s="10091" t="n"/>
      <c r="Y87" s="12803" t="inlineStr">
        <is>
          <t>Adjustment, if any, to gain or loss. 
If you enter an amount in column (g), 
enter a code in column (f). 
See the separate instructions.</t>
        </is>
      </c>
      <c r="Z87" s="7839" t="n"/>
      <c r="AA87" s="7839" t="n"/>
      <c r="AB87" s="10091" t="n"/>
      <c r="AC87" s="12804" t="inlineStr">
        <is>
          <t>(h) 
Gain or (loss). 
Subtract column (e) 
from column (d) and 
combine the result 
with column (g)</t>
        </is>
      </c>
      <c r="AD87" s="7839" t="n"/>
      <c r="AE87" s="7839" t="n"/>
      <c r="AF87" s="7839" t="n"/>
      <c r="AG87" s="2013" t="n"/>
      <c r="AJ87" s="11391" t="inlineStr">
        <is>
          <t>(a)
Description of property
(Example: 100 sh. XYZ Co.)</t>
        </is>
      </c>
      <c r="AK87" s="11391" t="inlineStr">
        <is>
          <t>(b)
Date acquired 
(Mo., day, yr.)</t>
        </is>
      </c>
      <c r="AL87" s="11391" t="inlineStr">
        <is>
          <t>(c)
Date sold or disposed
(Mo., day, yr.)</t>
        </is>
      </c>
      <c r="AM87" s="11391" t="inlineStr">
        <is>
          <t>(d)
Proceeds (sales price)
(see instructions)</t>
        </is>
      </c>
      <c r="AN87" s="11400" t="inlineStr">
        <is>
          <t>(e)
Cost or other basis.
See the Note below 
and see Column (e)
in the separate instructions</t>
        </is>
      </c>
      <c r="AO87" s="12805" t="inlineStr">
        <is>
          <t>Adjustment, if any, to gain or loss. 
If you enter an amount in column (g), 
enter a code in column (f). 
See the separate instructions.</t>
        </is>
      </c>
      <c r="AP87" s="10091" t="n"/>
      <c r="AQ87" s="11391" t="inlineStr">
        <is>
          <t>(h) 
Gain or (loss). 
Subtract column (e) 
from column (d) and 
combine the result 
with column (g)</t>
        </is>
      </c>
      <c r="BA87" s="11747" t="n"/>
      <c r="BB87" s="11747" t="n"/>
      <c r="BC87" s="11747" t="n"/>
    </row>
    <row r="88" ht="21" customHeight="1" s="7635">
      <c r="A88" s="2013" t="n"/>
      <c r="I88" s="7636" t="n"/>
      <c r="J88" s="4772" t="n"/>
      <c r="L88" s="7636" t="n"/>
      <c r="M88" s="4772" t="n"/>
      <c r="P88" s="7636" t="n"/>
      <c r="Q88" s="4772" t="n"/>
      <c r="T88" s="7636" t="n"/>
      <c r="U88" s="4772" t="n"/>
      <c r="X88" s="7636" t="n"/>
      <c r="Y88" s="3614" t="n"/>
      <c r="Z88" s="7637" t="n"/>
      <c r="AA88" s="7637" t="n"/>
      <c r="AB88" s="7638" t="n"/>
      <c r="AC88" s="4772" t="n"/>
      <c r="AG88" s="2013" t="n"/>
      <c r="AJ88" s="11747" t="n"/>
      <c r="AK88" s="11747" t="n"/>
      <c r="AL88" s="11747" t="n"/>
      <c r="AM88" s="11747" t="n"/>
      <c r="AN88" s="11747" t="n"/>
      <c r="AO88" s="3614" t="n"/>
      <c r="AP88" s="7638" t="n"/>
      <c r="AQ88" s="11747" t="n"/>
      <c r="BA88" s="11747" t="n"/>
      <c r="BB88" s="11747" t="n"/>
      <c r="BC88" s="11747" t="n"/>
    </row>
    <row r="89" ht="18" customHeight="1" s="7635">
      <c r="A89" s="2013" t="n"/>
      <c r="I89" s="7636" t="n"/>
      <c r="J89" s="4772" t="n"/>
      <c r="L89" s="7636" t="n"/>
      <c r="M89" s="4772" t="n"/>
      <c r="P89" s="7636" t="n"/>
      <c r="Q89" s="4772" t="n"/>
      <c r="T89" s="7636" t="n"/>
      <c r="U89" s="4772" t="n"/>
      <c r="X89" s="7636" t="n"/>
      <c r="Y89" s="12122" t="inlineStr">
        <is>
          <t>(f) 
Code(s) from 
instructions</t>
        </is>
      </c>
      <c r="Z89" s="10091" t="n"/>
      <c r="AA89" s="12122" t="inlineStr">
        <is>
          <t>(g) 
Amount of 
adjustment</t>
        </is>
      </c>
      <c r="AB89" s="10091" t="n"/>
      <c r="AC89" s="4772" t="n"/>
      <c r="AG89" s="2013" t="n"/>
      <c r="AJ89" s="11747" t="n"/>
      <c r="AK89" s="11747" t="n"/>
      <c r="AL89" s="11747" t="n"/>
      <c r="AM89" s="11747" t="n"/>
      <c r="AN89" s="11747" t="n"/>
      <c r="AO89" s="12122" t="inlineStr">
        <is>
          <t>(f) 
Code(s) from 
instructions</t>
        </is>
      </c>
      <c r="AP89" s="12122" t="inlineStr">
        <is>
          <t>(g) 
Amount of 
adjustment</t>
        </is>
      </c>
      <c r="AQ89" s="11747" t="n"/>
      <c r="BA89" s="11747" t="n"/>
      <c r="BB89" s="11747" t="n"/>
      <c r="BC89" s="11747" t="n"/>
    </row>
    <row r="90" ht="18" customHeight="1" s="7635">
      <c r="A90" s="2013" t="n"/>
      <c r="B90" s="7637" t="n"/>
      <c r="C90" s="7637" t="n"/>
      <c r="D90" s="7637" t="n"/>
      <c r="E90" s="7637" t="n"/>
      <c r="F90" s="7637" t="n"/>
      <c r="G90" s="7637" t="n"/>
      <c r="H90" s="7637" t="n"/>
      <c r="I90" s="7638" t="n"/>
      <c r="J90" s="3614" t="n"/>
      <c r="K90" s="7637" t="n"/>
      <c r="L90" s="7638" t="n"/>
      <c r="M90" s="3614" t="n"/>
      <c r="N90" s="7637" t="n"/>
      <c r="O90" s="7637" t="n"/>
      <c r="P90" s="7638" t="n"/>
      <c r="Q90" s="3614" t="n"/>
      <c r="R90" s="7637" t="n"/>
      <c r="S90" s="7637" t="n"/>
      <c r="T90" s="7638" t="n"/>
      <c r="U90" s="3614" t="n"/>
      <c r="V90" s="7637" t="n"/>
      <c r="W90" s="7637" t="n"/>
      <c r="X90" s="7638" t="n"/>
      <c r="Y90" s="3614" t="n"/>
      <c r="Z90" s="7638" t="n"/>
      <c r="AA90" s="3614" t="n"/>
      <c r="AB90" s="7638" t="n"/>
      <c r="AC90" s="3614" t="n"/>
      <c r="AD90" s="7637" t="n"/>
      <c r="AE90" s="7637" t="n"/>
      <c r="AF90" s="7637" t="n"/>
      <c r="AG90" s="2013" t="n"/>
      <c r="AJ90" s="11934" t="n"/>
      <c r="AK90" s="11934" t="n"/>
      <c r="AL90" s="11934" t="n"/>
      <c r="AM90" s="11934" t="n"/>
      <c r="AN90" s="11934" t="n"/>
      <c r="AO90" s="11934" t="n"/>
      <c r="AP90" s="11934" t="n"/>
      <c r="AQ90" s="11934" t="n"/>
      <c r="AZ90" s="8788" t="inlineStr">
        <is>
          <t>LTOY</t>
        </is>
      </c>
      <c r="BA90" s="11934" t="n"/>
      <c r="BB90" s="11934" t="n"/>
      <c r="BC90" s="11934" t="n"/>
    </row>
    <row r="91" ht="26.25" customHeight="1" s="7635">
      <c r="A91" s="2013">
        <f>IF(OR(Q91&lt;&gt;"",U91&lt;&gt;"",AC91&lt;&gt;""),1,0)</f>
        <v/>
      </c>
      <c r="B91" s="12806">
        <f>IF(AJ91="","",AJ91)</f>
        <v/>
      </c>
      <c r="C91" s="8007" t="n"/>
      <c r="D91" s="8007" t="n"/>
      <c r="E91" s="8007" t="n"/>
      <c r="F91" s="8007" t="n"/>
      <c r="G91" s="8007" t="n"/>
      <c r="H91" s="8007" t="n"/>
      <c r="I91" s="8008" t="n"/>
      <c r="J91" s="12807">
        <f>IF(AK91="","",AK91)</f>
        <v/>
      </c>
      <c r="K91" s="8007" t="n"/>
      <c r="L91" s="8007" t="n"/>
      <c r="M91" s="12808">
        <f>IF(AL91="","",AL91)</f>
        <v/>
      </c>
      <c r="N91" s="8007" t="n"/>
      <c r="O91" s="8007" t="n"/>
      <c r="P91" s="8008" t="n"/>
      <c r="Q91" s="12809">
        <f>IF(AM91="","",AM91)</f>
        <v/>
      </c>
      <c r="R91" s="8007" t="n"/>
      <c r="S91" s="8007" t="n"/>
      <c r="T91" s="8008" t="n"/>
      <c r="U91" s="12809">
        <f>IF(AN91="","",AN91)</f>
        <v/>
      </c>
      <c r="V91" s="8007" t="n"/>
      <c r="W91" s="8007" t="n"/>
      <c r="X91" s="8008" t="n"/>
      <c r="Y91" s="12810">
        <f>IF(AO91&lt;&gt;"",AO91,"")</f>
        <v/>
      </c>
      <c r="Z91" s="8008" t="n"/>
      <c r="AA91" s="12809">
        <f>IF(AP91="","",AP91)</f>
        <v/>
      </c>
      <c r="AB91" s="8008" t="n"/>
      <c r="AC91" s="11389">
        <f>IF(AQ91&lt;&gt;"",AQ91,IF(AND(Q91="",U91=""),"",IF(AND(Q91&lt;&gt;"",U91=""),SUM(Q91,AA91),SUM(Q91,-U91,AA91))))</f>
        <v/>
      </c>
      <c r="AD91" s="8412" t="n"/>
      <c r="AE91" s="8412" t="n"/>
      <c r="AF91" s="8412" t="n"/>
      <c r="AG91" s="4271">
        <f>IF(OR(J91="",M91=""),0,IF(OR(BA91,BB91,BC91),0,1))</f>
        <v/>
      </c>
      <c r="AH91" s="6014" t="n"/>
      <c r="AI91" s="6014">
        <f>M91-J91</f>
        <v/>
      </c>
      <c r="AJ91" s="293" t="n"/>
      <c r="AK91" s="12811" t="n"/>
      <c r="AL91" s="12811" t="n"/>
      <c r="AM91" s="295" t="n"/>
      <c r="AN91" s="295" t="n"/>
      <c r="AO91" s="296" t="n"/>
      <c r="AP91" s="295" t="n"/>
      <c r="AQ91" s="294" t="n"/>
      <c r="AS91">
        <f>YEAR(J91)</f>
        <v/>
      </c>
      <c r="AT91">
        <f>MONTH(J91)</f>
        <v/>
      </c>
      <c r="AU91">
        <f>DAY(J91)</f>
        <v/>
      </c>
      <c r="AW91">
        <f>YEAR(M91)</f>
        <v/>
      </c>
      <c r="AX91">
        <f>MONTH(M91)</f>
        <v/>
      </c>
      <c r="AY91">
        <f>DAY(M91)</f>
        <v/>
      </c>
      <c r="AZ91">
        <f>OR(BA91,BB91,BC91)</f>
        <v/>
      </c>
      <c r="BA91">
        <f>AW91=AS91</f>
        <v/>
      </c>
      <c r="BB91">
        <f>AND(AW91=AS91+1,AX91&lt;AT91)</f>
        <v/>
      </c>
      <c r="BC91">
        <f>AND(AW91=AS91+1,AX91=AT91,AY91&lt;=AU91)</f>
        <v/>
      </c>
    </row>
    <row r="92" ht="26.25" customHeight="1" s="7635">
      <c r="A92" s="2013">
        <f>IF(OR(Q92&lt;&gt;"",U92&lt;&gt;"",AC92&lt;&gt;""),1,0)</f>
        <v/>
      </c>
      <c r="B92" s="12806">
        <f>IF(AJ92="","",AJ92)</f>
        <v/>
      </c>
      <c r="C92" s="8007" t="n"/>
      <c r="D92" s="8007" t="n"/>
      <c r="E92" s="8007" t="n"/>
      <c r="F92" s="8007" t="n"/>
      <c r="G92" s="8007" t="n"/>
      <c r="H92" s="8007" t="n"/>
      <c r="I92" s="8008" t="n"/>
      <c r="J92" s="12807">
        <f>IF(AK92="","",AK92)</f>
        <v/>
      </c>
      <c r="K92" s="8007" t="n"/>
      <c r="L92" s="8007" t="n"/>
      <c r="M92" s="12808">
        <f>IF(AL92="","",AL92)</f>
        <v/>
      </c>
      <c r="N92" s="8007" t="n"/>
      <c r="O92" s="8007" t="n"/>
      <c r="P92" s="8008" t="n"/>
      <c r="Q92" s="12809">
        <f>IF(AM92="","",AM92)</f>
        <v/>
      </c>
      <c r="R92" s="8007" t="n"/>
      <c r="S92" s="8007" t="n"/>
      <c r="T92" s="8008" t="n"/>
      <c r="U92" s="12809">
        <f>IF(AN92="","",AN92)</f>
        <v/>
      </c>
      <c r="V92" s="8007" t="n"/>
      <c r="W92" s="8007" t="n"/>
      <c r="X92" s="8008" t="n"/>
      <c r="Y92" s="12810">
        <f>IF(AO92&lt;&gt;"",AO92,"")</f>
        <v/>
      </c>
      <c r="Z92" s="8008" t="n"/>
      <c r="AA92" s="12809">
        <f>IF(AP92="","",AP92)</f>
        <v/>
      </c>
      <c r="AB92" s="8008" t="n"/>
      <c r="AC92" s="11389">
        <f>IF(AQ92&lt;&gt;"",AQ92,IF(AND(Q92="",U92=""),"",IF(AND(Q92&lt;&gt;"",U92=""),SUM(Q92,AA92),SUM(Q92,-U92,AA92))))</f>
        <v/>
      </c>
      <c r="AD92" s="8412" t="n"/>
      <c r="AE92" s="8412" t="n"/>
      <c r="AF92" s="8412" t="n"/>
      <c r="AG92" s="4271">
        <f>IF(OR(J92="",M92=""),0,IF(OR(BA92,BB92,BC92),0,1))</f>
        <v/>
      </c>
      <c r="AH92" s="6014" t="n"/>
      <c r="AI92" s="6014">
        <f>M92-J92</f>
        <v/>
      </c>
      <c r="AJ92" s="293" t="n"/>
      <c r="AK92" s="12811" t="n"/>
      <c r="AL92" s="12811" t="n"/>
      <c r="AM92" s="295" t="n"/>
      <c r="AN92" s="295" t="n"/>
      <c r="AO92" s="296" t="n"/>
      <c r="AP92" s="295" t="n"/>
      <c r="AQ92" s="294" t="n"/>
      <c r="AS92">
        <f>YEAR(J92)</f>
        <v/>
      </c>
      <c r="AT92">
        <f>MONTH(J92)</f>
        <v/>
      </c>
      <c r="AU92">
        <f>DAY(J92)</f>
        <v/>
      </c>
      <c r="AW92">
        <f>YEAR(M92)</f>
        <v/>
      </c>
      <c r="AX92">
        <f>MONTH(M92)</f>
        <v/>
      </c>
      <c r="AY92">
        <f>DAY(M92)</f>
        <v/>
      </c>
      <c r="AZ92">
        <f>OR(BA92,BB92,BC92)</f>
        <v/>
      </c>
      <c r="BA92">
        <f>AW92=AS92</f>
        <v/>
      </c>
      <c r="BB92">
        <f>AND(AW92=AS92+1,AX92&lt;AT92)</f>
        <v/>
      </c>
      <c r="BC92">
        <f>AND(AW92=AS92+1,AX92=AT92,AY92&lt;=AU92)</f>
        <v/>
      </c>
    </row>
    <row r="93" ht="26.25" customHeight="1" s="7635">
      <c r="A93" s="2013">
        <f>IF(OR(Q93&lt;&gt;"",U93&lt;&gt;"",AC93&lt;&gt;""),1,0)</f>
        <v/>
      </c>
      <c r="B93" s="12806">
        <f>IF(AJ93="","",AJ93)</f>
        <v/>
      </c>
      <c r="C93" s="8007" t="n"/>
      <c r="D93" s="8007" t="n"/>
      <c r="E93" s="8007" t="n"/>
      <c r="F93" s="8007" t="n"/>
      <c r="G93" s="8007" t="n"/>
      <c r="H93" s="8007" t="n"/>
      <c r="I93" s="8008" t="n"/>
      <c r="J93" s="12807">
        <f>IF(AK93="","",AK93)</f>
        <v/>
      </c>
      <c r="K93" s="8007" t="n"/>
      <c r="L93" s="8007" t="n"/>
      <c r="M93" s="12808">
        <f>IF(AL93="","",AL93)</f>
        <v/>
      </c>
      <c r="N93" s="8007" t="n"/>
      <c r="O93" s="8007" t="n"/>
      <c r="P93" s="8008" t="n"/>
      <c r="Q93" s="12809">
        <f>IF(AM93="","",AM93)</f>
        <v/>
      </c>
      <c r="R93" s="8007" t="n"/>
      <c r="S93" s="8007" t="n"/>
      <c r="T93" s="8008" t="n"/>
      <c r="U93" s="12809">
        <f>IF(AN93="","",AN93)</f>
        <v/>
      </c>
      <c r="V93" s="8007" t="n"/>
      <c r="W93" s="8007" t="n"/>
      <c r="X93" s="8008" t="n"/>
      <c r="Y93" s="12810">
        <f>IF(AO93&lt;&gt;"",AO93,"")</f>
        <v/>
      </c>
      <c r="Z93" s="8008" t="n"/>
      <c r="AA93" s="12809">
        <f>IF(AP93="","",AP93)</f>
        <v/>
      </c>
      <c r="AB93" s="8008" t="n"/>
      <c r="AC93" s="11389">
        <f>IF(AQ93&lt;&gt;"",AQ93,IF(AND(Q93="",U93=""),"",IF(AND(Q93&lt;&gt;"",U93=""),SUM(Q93,AA93),SUM(Q93,-U93,AA93))))</f>
        <v/>
      </c>
      <c r="AD93" s="8412" t="n"/>
      <c r="AE93" s="8412" t="n"/>
      <c r="AF93" s="8412" t="n"/>
      <c r="AG93" s="4271">
        <f>IF(OR(J93="",M93=""),0,IF(OR(BA93,BB93,BC93),0,1))</f>
        <v/>
      </c>
      <c r="AH93" s="6014" t="n"/>
      <c r="AI93" s="6014">
        <f>M93-J93</f>
        <v/>
      </c>
      <c r="AJ93" s="293" t="n"/>
      <c r="AK93" s="12811" t="n"/>
      <c r="AL93" s="12811" t="n"/>
      <c r="AM93" s="295" t="n"/>
      <c r="AN93" s="295" t="n"/>
      <c r="AO93" s="296" t="n"/>
      <c r="AP93" s="295" t="n"/>
      <c r="AQ93" s="294" t="n"/>
      <c r="AS93">
        <f>YEAR(J93)</f>
        <v/>
      </c>
      <c r="AT93">
        <f>MONTH(J93)</f>
        <v/>
      </c>
      <c r="AU93">
        <f>DAY(J93)</f>
        <v/>
      </c>
      <c r="AW93">
        <f>YEAR(M93)</f>
        <v/>
      </c>
      <c r="AX93">
        <f>MONTH(M93)</f>
        <v/>
      </c>
      <c r="AY93">
        <f>DAY(M93)</f>
        <v/>
      </c>
      <c r="AZ93">
        <f>OR(BA93,BB93,BC93)</f>
        <v/>
      </c>
      <c r="BA93">
        <f>AW93=AS93</f>
        <v/>
      </c>
      <c r="BB93">
        <f>AND(AW93=AS93+1,AX93&lt;AT93)</f>
        <v/>
      </c>
      <c r="BC93">
        <f>AND(AW93=AS93+1,AX93=AT93,AY93&lt;=AU93)</f>
        <v/>
      </c>
    </row>
    <row r="94" ht="26.25" customHeight="1" s="7635">
      <c r="A94" s="2013">
        <f>IF(OR(Q94&lt;&gt;"",U94&lt;&gt;"",AC94&lt;&gt;""),1,0)</f>
        <v/>
      </c>
      <c r="B94" s="12806">
        <f>IF(AJ94="","",AJ94)</f>
        <v/>
      </c>
      <c r="C94" s="8007" t="n"/>
      <c r="D94" s="8007" t="n"/>
      <c r="E94" s="8007" t="n"/>
      <c r="F94" s="8007" t="n"/>
      <c r="G94" s="8007" t="n"/>
      <c r="H94" s="8007" t="n"/>
      <c r="I94" s="8008" t="n"/>
      <c r="J94" s="12807">
        <f>IF(AK94="","",AK94)</f>
        <v/>
      </c>
      <c r="K94" s="8007" t="n"/>
      <c r="L94" s="8007" t="n"/>
      <c r="M94" s="12808">
        <f>IF(AL94="","",AL94)</f>
        <v/>
      </c>
      <c r="N94" s="8007" t="n"/>
      <c r="O94" s="8007" t="n"/>
      <c r="P94" s="8008" t="n"/>
      <c r="Q94" s="12809">
        <f>IF(AM94="","",AM94)</f>
        <v/>
      </c>
      <c r="R94" s="8007" t="n"/>
      <c r="S94" s="8007" t="n"/>
      <c r="T94" s="8008" t="n"/>
      <c r="U94" s="12809">
        <f>IF(AN94="","",AN94)</f>
        <v/>
      </c>
      <c r="V94" s="8007" t="n"/>
      <c r="W94" s="8007" t="n"/>
      <c r="X94" s="8008" t="n"/>
      <c r="Y94" s="12810">
        <f>IF(AO94&lt;&gt;"",AO94,"")</f>
        <v/>
      </c>
      <c r="Z94" s="8008" t="n"/>
      <c r="AA94" s="12809">
        <f>IF(AP94="","",AP94)</f>
        <v/>
      </c>
      <c r="AB94" s="8008" t="n"/>
      <c r="AC94" s="11389">
        <f>IF(AQ94&lt;&gt;"",AQ94,IF(AND(Q94="",U94=""),"",IF(AND(Q94&lt;&gt;"",U94=""),SUM(Q94,AA94),SUM(Q94,-U94,AA94))))</f>
        <v/>
      </c>
      <c r="AD94" s="8412" t="n"/>
      <c r="AE94" s="8412" t="n"/>
      <c r="AF94" s="8412" t="n"/>
      <c r="AG94" s="4271">
        <f>IF(OR(J94="",M94=""),0,IF(OR(BA94,BB94,BC94),0,1))</f>
        <v/>
      </c>
      <c r="AH94" s="6014" t="n"/>
      <c r="AI94" s="6014">
        <f>M94-J94</f>
        <v/>
      </c>
      <c r="AJ94" s="293" t="n"/>
      <c r="AK94" s="12811" t="n"/>
      <c r="AL94" s="12811" t="n"/>
      <c r="AM94" s="295" t="n"/>
      <c r="AN94" s="295" t="n"/>
      <c r="AO94" s="296" t="n"/>
      <c r="AP94" s="295" t="n"/>
      <c r="AQ94" s="294" t="n"/>
      <c r="AS94">
        <f>YEAR(J94)</f>
        <v/>
      </c>
      <c r="AT94">
        <f>MONTH(J94)</f>
        <v/>
      </c>
      <c r="AU94">
        <f>DAY(J94)</f>
        <v/>
      </c>
      <c r="AW94">
        <f>YEAR(M94)</f>
        <v/>
      </c>
      <c r="AX94">
        <f>MONTH(M94)</f>
        <v/>
      </c>
      <c r="AY94">
        <f>DAY(M94)</f>
        <v/>
      </c>
      <c r="AZ94">
        <f>OR(BA94,BB94,BC94)</f>
        <v/>
      </c>
      <c r="BA94">
        <f>AW94=AS94</f>
        <v/>
      </c>
      <c r="BB94">
        <f>AND(AW94=AS94+1,AX94&lt;AT94)</f>
        <v/>
      </c>
      <c r="BC94">
        <f>AND(AW94=AS94+1,AX94=AT94,AY94&lt;=AU94)</f>
        <v/>
      </c>
    </row>
    <row r="95" ht="26.25" customHeight="1" s="7635">
      <c r="A95" s="2013">
        <f>IF(OR(Q95&lt;&gt;"",U95&lt;&gt;"",AC95&lt;&gt;""),1,0)</f>
        <v/>
      </c>
      <c r="B95" s="12806">
        <f>IF(AJ95="","",AJ95)</f>
        <v/>
      </c>
      <c r="C95" s="8007" t="n"/>
      <c r="D95" s="8007" t="n"/>
      <c r="E95" s="8007" t="n"/>
      <c r="F95" s="8007" t="n"/>
      <c r="G95" s="8007" t="n"/>
      <c r="H95" s="8007" t="n"/>
      <c r="I95" s="8008" t="n"/>
      <c r="J95" s="12807">
        <f>IF(AK95="","",AK95)</f>
        <v/>
      </c>
      <c r="K95" s="8007" t="n"/>
      <c r="L95" s="8007" t="n"/>
      <c r="M95" s="12808">
        <f>IF(AL95="","",AL95)</f>
        <v/>
      </c>
      <c r="N95" s="8007" t="n"/>
      <c r="O95" s="8007" t="n"/>
      <c r="P95" s="8008" t="n"/>
      <c r="Q95" s="12809">
        <f>IF(AM95="","",AM95)</f>
        <v/>
      </c>
      <c r="R95" s="8007" t="n"/>
      <c r="S95" s="8007" t="n"/>
      <c r="T95" s="8008" t="n"/>
      <c r="U95" s="12809">
        <f>IF(AN95="","",AN95)</f>
        <v/>
      </c>
      <c r="V95" s="8007" t="n"/>
      <c r="W95" s="8007" t="n"/>
      <c r="X95" s="8008" t="n"/>
      <c r="Y95" s="12810">
        <f>IF(AO95&lt;&gt;"",AO95,"")</f>
        <v/>
      </c>
      <c r="Z95" s="8008" t="n"/>
      <c r="AA95" s="12809">
        <f>IF(AP95="","",AP95)</f>
        <v/>
      </c>
      <c r="AB95" s="8008" t="n"/>
      <c r="AC95" s="11389">
        <f>IF(AQ95&lt;&gt;"",AQ95,IF(AND(Q95="",U95=""),"",IF(AND(Q95&lt;&gt;"",U95=""),SUM(Q95,AA95),SUM(Q95,-U95,AA95))))</f>
        <v/>
      </c>
      <c r="AD95" s="8412" t="n"/>
      <c r="AE95" s="8412" t="n"/>
      <c r="AF95" s="8412" t="n"/>
      <c r="AG95" s="4271">
        <f>IF(OR(J95="",M95=""),0,IF(OR(BA95,BB95,BC95),0,1))</f>
        <v/>
      </c>
      <c r="AH95" s="6014" t="n"/>
      <c r="AI95" s="6014">
        <f>M95-J95</f>
        <v/>
      </c>
      <c r="AJ95" s="293" t="n"/>
      <c r="AK95" s="12811" t="n"/>
      <c r="AL95" s="12811" t="n"/>
      <c r="AM95" s="295" t="n"/>
      <c r="AN95" s="295" t="n"/>
      <c r="AO95" s="296" t="n"/>
      <c r="AP95" s="295" t="n"/>
      <c r="AQ95" s="294" t="n"/>
      <c r="AS95">
        <f>YEAR(J95)</f>
        <v/>
      </c>
      <c r="AT95">
        <f>MONTH(J95)</f>
        <v/>
      </c>
      <c r="AU95">
        <f>DAY(J95)</f>
        <v/>
      </c>
      <c r="AW95">
        <f>YEAR(M95)</f>
        <v/>
      </c>
      <c r="AX95">
        <f>MONTH(M95)</f>
        <v/>
      </c>
      <c r="AY95">
        <f>DAY(M95)</f>
        <v/>
      </c>
      <c r="AZ95">
        <f>OR(BA95,BB95,BC95)</f>
        <v/>
      </c>
      <c r="BA95">
        <f>AW95=AS95</f>
        <v/>
      </c>
      <c r="BB95">
        <f>AND(AW95=AS95+1,AX95&lt;AT95)</f>
        <v/>
      </c>
      <c r="BC95">
        <f>AND(AW95=AS95+1,AX95=AT95,AY95&lt;=AU95)</f>
        <v/>
      </c>
    </row>
    <row r="96" ht="26.25" customHeight="1" s="7635">
      <c r="A96" s="2013">
        <f>IF(OR(Q96&lt;&gt;"",U96&lt;&gt;"",AC96&lt;&gt;""),1,0)</f>
        <v/>
      </c>
      <c r="B96" s="12806">
        <f>IF(AJ96="","",AJ96)</f>
        <v/>
      </c>
      <c r="C96" s="8007" t="n"/>
      <c r="D96" s="8007" t="n"/>
      <c r="E96" s="8007" t="n"/>
      <c r="F96" s="8007" t="n"/>
      <c r="G96" s="8007" t="n"/>
      <c r="H96" s="8007" t="n"/>
      <c r="I96" s="8008" t="n"/>
      <c r="J96" s="12807">
        <f>IF(AK96="","",AK96)</f>
        <v/>
      </c>
      <c r="K96" s="8007" t="n"/>
      <c r="L96" s="8007" t="n"/>
      <c r="M96" s="12808">
        <f>IF(AL96="","",AL96)</f>
        <v/>
      </c>
      <c r="N96" s="8007" t="n"/>
      <c r="O96" s="8007" t="n"/>
      <c r="P96" s="8008" t="n"/>
      <c r="Q96" s="12809">
        <f>IF(AM96="","",AM96)</f>
        <v/>
      </c>
      <c r="R96" s="8007" t="n"/>
      <c r="S96" s="8007" t="n"/>
      <c r="T96" s="8008" t="n"/>
      <c r="U96" s="12809">
        <f>IF(AN96="","",AN96)</f>
        <v/>
      </c>
      <c r="V96" s="8007" t="n"/>
      <c r="W96" s="8007" t="n"/>
      <c r="X96" s="8008" t="n"/>
      <c r="Y96" s="12810">
        <f>IF(AO96&lt;&gt;"",AO96,"")</f>
        <v/>
      </c>
      <c r="Z96" s="8008" t="n"/>
      <c r="AA96" s="12809">
        <f>IF(AP96="","",AP96)</f>
        <v/>
      </c>
      <c r="AB96" s="8008" t="n"/>
      <c r="AC96" s="11389">
        <f>IF(AQ96&lt;&gt;"",AQ96,IF(AND(Q96="",U96=""),"",IF(AND(Q96&lt;&gt;"",U96=""),SUM(Q96,AA96),SUM(Q96,-U96,AA96))))</f>
        <v/>
      </c>
      <c r="AD96" s="8412" t="n"/>
      <c r="AE96" s="8412" t="n"/>
      <c r="AF96" s="8412" t="n"/>
      <c r="AG96" s="4271">
        <f>IF(OR(J96="",M96=""),0,IF(OR(BA96,BB96,BC96),0,1))</f>
        <v/>
      </c>
      <c r="AH96" s="6014" t="n"/>
      <c r="AI96" s="6014">
        <f>M96-J96</f>
        <v/>
      </c>
      <c r="AJ96" s="293" t="n"/>
      <c r="AK96" s="12811" t="n"/>
      <c r="AL96" s="12811" t="n"/>
      <c r="AM96" s="295" t="n"/>
      <c r="AN96" s="295" t="n"/>
      <c r="AO96" s="296" t="n"/>
      <c r="AP96" s="295" t="n"/>
      <c r="AQ96" s="294" t="n"/>
      <c r="AS96">
        <f>YEAR(J96)</f>
        <v/>
      </c>
      <c r="AT96">
        <f>MONTH(J96)</f>
        <v/>
      </c>
      <c r="AU96">
        <f>DAY(J96)</f>
        <v/>
      </c>
      <c r="AW96">
        <f>YEAR(M96)</f>
        <v/>
      </c>
      <c r="AX96">
        <f>MONTH(M96)</f>
        <v/>
      </c>
      <c r="AY96">
        <f>DAY(M96)</f>
        <v/>
      </c>
      <c r="AZ96">
        <f>OR(BA96,BB96,BC96)</f>
        <v/>
      </c>
      <c r="BA96">
        <f>AW96=AS96</f>
        <v/>
      </c>
      <c r="BB96">
        <f>AND(AW96=AS96+1,AX96&lt;AT96)</f>
        <v/>
      </c>
      <c r="BC96">
        <f>AND(AW96=AS96+1,AX96=AT96,AY96&lt;=AU96)</f>
        <v/>
      </c>
    </row>
    <row r="97" ht="26.25" customHeight="1" s="7635">
      <c r="A97" s="2013">
        <f>IF(OR(Q97&lt;&gt;"",U97&lt;&gt;"",AC97&lt;&gt;""),1,0)</f>
        <v/>
      </c>
      <c r="B97" s="12806">
        <f>IF(AJ97="","",AJ97)</f>
        <v/>
      </c>
      <c r="C97" s="8007" t="n"/>
      <c r="D97" s="8007" t="n"/>
      <c r="E97" s="8007" t="n"/>
      <c r="F97" s="8007" t="n"/>
      <c r="G97" s="8007" t="n"/>
      <c r="H97" s="8007" t="n"/>
      <c r="I97" s="8008" t="n"/>
      <c r="J97" s="12807">
        <f>IF(AK97="","",AK97)</f>
        <v/>
      </c>
      <c r="K97" s="8007" t="n"/>
      <c r="L97" s="8007" t="n"/>
      <c r="M97" s="12808">
        <f>IF(AL97="","",AL97)</f>
        <v/>
      </c>
      <c r="N97" s="8007" t="n"/>
      <c r="O97" s="8007" t="n"/>
      <c r="P97" s="8008" t="n"/>
      <c r="Q97" s="12809">
        <f>IF(AM97="","",AM97)</f>
        <v/>
      </c>
      <c r="R97" s="8007" t="n"/>
      <c r="S97" s="8007" t="n"/>
      <c r="T97" s="8008" t="n"/>
      <c r="U97" s="12809">
        <f>IF(AN97="","",AN97)</f>
        <v/>
      </c>
      <c r="V97" s="8007" t="n"/>
      <c r="W97" s="8007" t="n"/>
      <c r="X97" s="8008" t="n"/>
      <c r="Y97" s="12810">
        <f>IF(AO97&lt;&gt;"",AO97,"")</f>
        <v/>
      </c>
      <c r="Z97" s="8008" t="n"/>
      <c r="AA97" s="12809">
        <f>IF(AP97="","",AP97)</f>
        <v/>
      </c>
      <c r="AB97" s="8008" t="n"/>
      <c r="AC97" s="11389">
        <f>IF(AQ97&lt;&gt;"",AQ97,IF(AND(Q97="",U97=""),"",IF(AND(Q97&lt;&gt;"",U97=""),SUM(Q97,AA97),SUM(Q97,-U97,AA97))))</f>
        <v/>
      </c>
      <c r="AD97" s="8412" t="n"/>
      <c r="AE97" s="8412" t="n"/>
      <c r="AF97" s="8412" t="n"/>
      <c r="AG97" s="4271">
        <f>IF(OR(J97="",M97=""),0,IF(OR(BA97,BB97,BC97),0,1))</f>
        <v/>
      </c>
      <c r="AH97" s="6014" t="n"/>
      <c r="AI97" s="6014">
        <f>M97-J97</f>
        <v/>
      </c>
      <c r="AJ97" s="293" t="n"/>
      <c r="AK97" s="12811" t="n"/>
      <c r="AL97" s="12811" t="n"/>
      <c r="AM97" s="295" t="n"/>
      <c r="AN97" s="295" t="n"/>
      <c r="AO97" s="296" t="n"/>
      <c r="AP97" s="295" t="n"/>
      <c r="AQ97" s="294" t="n"/>
      <c r="AS97">
        <f>YEAR(J97)</f>
        <v/>
      </c>
      <c r="AT97">
        <f>MONTH(J97)</f>
        <v/>
      </c>
      <c r="AU97">
        <f>DAY(J97)</f>
        <v/>
      </c>
      <c r="AW97">
        <f>YEAR(M97)</f>
        <v/>
      </c>
      <c r="AX97">
        <f>MONTH(M97)</f>
        <v/>
      </c>
      <c r="AY97">
        <f>DAY(M97)</f>
        <v/>
      </c>
      <c r="AZ97">
        <f>OR(BA97,BB97,BC97)</f>
        <v/>
      </c>
      <c r="BA97">
        <f>AW97=AS97</f>
        <v/>
      </c>
      <c r="BB97">
        <f>AND(AW97=AS97+1,AX97&lt;AT97)</f>
        <v/>
      </c>
      <c r="BC97">
        <f>AND(AW97=AS97+1,AX97=AT97,AY97&lt;=AU97)</f>
        <v/>
      </c>
    </row>
    <row r="98" ht="26.25" customHeight="1" s="7635">
      <c r="A98" s="2013">
        <f>IF(OR(Q98&lt;&gt;"",U98&lt;&gt;"",AC98&lt;&gt;""),1,0)</f>
        <v/>
      </c>
      <c r="B98" s="12806">
        <f>IF(AJ98="","",AJ98)</f>
        <v/>
      </c>
      <c r="C98" s="8007" t="n"/>
      <c r="D98" s="8007" t="n"/>
      <c r="E98" s="8007" t="n"/>
      <c r="F98" s="8007" t="n"/>
      <c r="G98" s="8007" t="n"/>
      <c r="H98" s="8007" t="n"/>
      <c r="I98" s="8008" t="n"/>
      <c r="J98" s="12807">
        <f>IF(AK98="","",AK98)</f>
        <v/>
      </c>
      <c r="K98" s="8007" t="n"/>
      <c r="L98" s="8007" t="n"/>
      <c r="M98" s="12808">
        <f>IF(AL98="","",AL98)</f>
        <v/>
      </c>
      <c r="N98" s="8007" t="n"/>
      <c r="O98" s="8007" t="n"/>
      <c r="P98" s="8008" t="n"/>
      <c r="Q98" s="12809">
        <f>IF(AM98="","",AM98)</f>
        <v/>
      </c>
      <c r="R98" s="8007" t="n"/>
      <c r="S98" s="8007" t="n"/>
      <c r="T98" s="8008" t="n"/>
      <c r="U98" s="12809">
        <f>IF(AN98="","",AN98)</f>
        <v/>
      </c>
      <c r="V98" s="8007" t="n"/>
      <c r="W98" s="8007" t="n"/>
      <c r="X98" s="8008" t="n"/>
      <c r="Y98" s="12810">
        <f>IF(AO98&lt;&gt;"",AO98,"")</f>
        <v/>
      </c>
      <c r="Z98" s="8008" t="n"/>
      <c r="AA98" s="12809">
        <f>IF(AP98="","",AP98)</f>
        <v/>
      </c>
      <c r="AB98" s="8008" t="n"/>
      <c r="AC98" s="11389">
        <f>IF(AQ98&lt;&gt;"",AQ98,IF(AND(Q98="",U98=""),"",IF(AND(Q98&lt;&gt;"",U98=""),SUM(Q98,AA98),SUM(Q98,-U98,AA98))))</f>
        <v/>
      </c>
      <c r="AD98" s="8412" t="n"/>
      <c r="AE98" s="8412" t="n"/>
      <c r="AF98" s="8412" t="n"/>
      <c r="AG98" s="4271">
        <f>IF(OR(J98="",M98=""),0,IF(OR(BA98,BB98,BC98),0,1))</f>
        <v/>
      </c>
      <c r="AH98" s="6014" t="n"/>
      <c r="AI98" s="6014">
        <f>M98-J98</f>
        <v/>
      </c>
      <c r="AJ98" s="293" t="n"/>
      <c r="AK98" s="12811" t="n"/>
      <c r="AL98" s="12811" t="n"/>
      <c r="AM98" s="295" t="n"/>
      <c r="AN98" s="295" t="n"/>
      <c r="AO98" s="296" t="n"/>
      <c r="AP98" s="295" t="n"/>
      <c r="AQ98" s="294" t="n"/>
      <c r="AS98">
        <f>YEAR(J98)</f>
        <v/>
      </c>
      <c r="AT98">
        <f>MONTH(J98)</f>
        <v/>
      </c>
      <c r="AU98">
        <f>DAY(J98)</f>
        <v/>
      </c>
      <c r="AW98">
        <f>YEAR(M98)</f>
        <v/>
      </c>
      <c r="AX98">
        <f>MONTH(M98)</f>
        <v/>
      </c>
      <c r="AY98">
        <f>DAY(M98)</f>
        <v/>
      </c>
      <c r="AZ98">
        <f>OR(BA98,BB98,BC98)</f>
        <v/>
      </c>
      <c r="BA98">
        <f>AW98=AS98</f>
        <v/>
      </c>
      <c r="BB98">
        <f>AND(AW98=AS98+1,AX98&lt;AT98)</f>
        <v/>
      </c>
      <c r="BC98">
        <f>AND(AW98=AS98+1,AX98=AT98,AY98&lt;=AU98)</f>
        <v/>
      </c>
    </row>
    <row r="99" ht="26.25" customHeight="1" s="7635">
      <c r="A99" s="2013">
        <f>IF(OR(Q99&lt;&gt;"",U99&lt;&gt;"",AC99&lt;&gt;""),1,0)</f>
        <v/>
      </c>
      <c r="B99" s="12806">
        <f>IF(AJ99="","",AJ99)</f>
        <v/>
      </c>
      <c r="C99" s="8007" t="n"/>
      <c r="D99" s="8007" t="n"/>
      <c r="E99" s="8007" t="n"/>
      <c r="F99" s="8007" t="n"/>
      <c r="G99" s="8007" t="n"/>
      <c r="H99" s="8007" t="n"/>
      <c r="I99" s="8008" t="n"/>
      <c r="J99" s="12807">
        <f>IF(AK99="","",AK99)</f>
        <v/>
      </c>
      <c r="K99" s="8007" t="n"/>
      <c r="L99" s="8007" t="n"/>
      <c r="M99" s="12808">
        <f>IF(AL99="","",AL99)</f>
        <v/>
      </c>
      <c r="N99" s="8007" t="n"/>
      <c r="O99" s="8007" t="n"/>
      <c r="P99" s="8008" t="n"/>
      <c r="Q99" s="12809">
        <f>IF(AM99="","",AM99)</f>
        <v/>
      </c>
      <c r="R99" s="8007" t="n"/>
      <c r="S99" s="8007" t="n"/>
      <c r="T99" s="8008" t="n"/>
      <c r="U99" s="12809">
        <f>IF(AN99="","",AN99)</f>
        <v/>
      </c>
      <c r="V99" s="8007" t="n"/>
      <c r="W99" s="8007" t="n"/>
      <c r="X99" s="8008" t="n"/>
      <c r="Y99" s="12810">
        <f>IF(AO99&lt;&gt;"",AO99,"")</f>
        <v/>
      </c>
      <c r="Z99" s="8008" t="n"/>
      <c r="AA99" s="12809">
        <f>IF(AP99="","",AP99)</f>
        <v/>
      </c>
      <c r="AB99" s="8008" t="n"/>
      <c r="AC99" s="11389">
        <f>IF(AQ99&lt;&gt;"",AQ99,IF(AND(Q99="",U99=""),"",IF(AND(Q99&lt;&gt;"",U99=""),SUM(Q99,AA99),SUM(Q99,-U99,AA99))))</f>
        <v/>
      </c>
      <c r="AD99" s="8412" t="n"/>
      <c r="AE99" s="8412" t="n"/>
      <c r="AF99" s="8412" t="n"/>
      <c r="AG99" s="4271">
        <f>IF(OR(J99="",M99=""),0,IF(OR(BA99,BB99,BC99),0,1))</f>
        <v/>
      </c>
      <c r="AH99" s="6014" t="n"/>
      <c r="AI99" s="6014">
        <f>M99-J99</f>
        <v/>
      </c>
      <c r="AJ99" s="293" t="n"/>
      <c r="AK99" s="12811" t="n"/>
      <c r="AL99" s="12811" t="n"/>
      <c r="AM99" s="295" t="n"/>
      <c r="AN99" s="295" t="n"/>
      <c r="AO99" s="296" t="n"/>
      <c r="AP99" s="295" t="n"/>
      <c r="AQ99" s="294" t="n"/>
      <c r="AS99">
        <f>YEAR(J99)</f>
        <v/>
      </c>
      <c r="AT99">
        <f>MONTH(J99)</f>
        <v/>
      </c>
      <c r="AU99">
        <f>DAY(J99)</f>
        <v/>
      </c>
      <c r="AW99">
        <f>YEAR(M99)</f>
        <v/>
      </c>
      <c r="AX99">
        <f>MONTH(M99)</f>
        <v/>
      </c>
      <c r="AY99">
        <f>DAY(M99)</f>
        <v/>
      </c>
      <c r="AZ99">
        <f>OR(BA99,BB99,BC99)</f>
        <v/>
      </c>
      <c r="BA99">
        <f>AW99=AS99</f>
        <v/>
      </c>
      <c r="BB99">
        <f>AND(AW99=AS99+1,AX99&lt;AT99)</f>
        <v/>
      </c>
      <c r="BC99">
        <f>AND(AW99=AS99+1,AX99=AT99,AY99&lt;=AU99)</f>
        <v/>
      </c>
    </row>
    <row r="100" ht="26.25" customHeight="1" s="7635">
      <c r="A100" s="2013">
        <f>IF(OR(Q100&lt;&gt;"",U100&lt;&gt;"",AC100&lt;&gt;""),1,0)</f>
        <v/>
      </c>
      <c r="B100" s="12806">
        <f>IF(AJ100="","",AJ100)</f>
        <v/>
      </c>
      <c r="C100" s="8007" t="n"/>
      <c r="D100" s="8007" t="n"/>
      <c r="E100" s="8007" t="n"/>
      <c r="F100" s="8007" t="n"/>
      <c r="G100" s="8007" t="n"/>
      <c r="H100" s="8007" t="n"/>
      <c r="I100" s="8008" t="n"/>
      <c r="J100" s="12807">
        <f>IF(AK100="","",AK100)</f>
        <v/>
      </c>
      <c r="K100" s="8007" t="n"/>
      <c r="L100" s="8007" t="n"/>
      <c r="M100" s="12808">
        <f>IF(AL100="","",AL100)</f>
        <v/>
      </c>
      <c r="N100" s="8007" t="n"/>
      <c r="O100" s="8007" t="n"/>
      <c r="P100" s="8008" t="n"/>
      <c r="Q100" s="12809">
        <f>IF(AM100="","",AM100)</f>
        <v/>
      </c>
      <c r="R100" s="8007" t="n"/>
      <c r="S100" s="8007" t="n"/>
      <c r="T100" s="8008" t="n"/>
      <c r="U100" s="12809">
        <f>IF(AN100="","",AN100)</f>
        <v/>
      </c>
      <c r="V100" s="8007" t="n"/>
      <c r="W100" s="8007" t="n"/>
      <c r="X100" s="8008" t="n"/>
      <c r="Y100" s="12810">
        <f>IF(AO100&lt;&gt;"",AO100,"")</f>
        <v/>
      </c>
      <c r="Z100" s="8008" t="n"/>
      <c r="AA100" s="12809">
        <f>IF(AP100="","",AP100)</f>
        <v/>
      </c>
      <c r="AB100" s="8008" t="n"/>
      <c r="AC100" s="11389">
        <f>IF(AQ100&lt;&gt;"",AQ100,IF(AND(Q100="",U100=""),"",IF(AND(Q100&lt;&gt;"",U100=""),SUM(Q100,AA100),SUM(Q100,-U100,AA100))))</f>
        <v/>
      </c>
      <c r="AD100" s="8412" t="n"/>
      <c r="AE100" s="8412" t="n"/>
      <c r="AF100" s="8412" t="n"/>
      <c r="AG100" s="4271">
        <f>IF(OR(J100="",M100=""),0,IF(OR(BA100,BB100,BC100),0,1))</f>
        <v/>
      </c>
      <c r="AH100" s="6014" t="n"/>
      <c r="AI100" s="6014">
        <f>M100-J100</f>
        <v/>
      </c>
      <c r="AJ100" s="293" t="n"/>
      <c r="AK100" s="12811" t="n"/>
      <c r="AL100" s="12811" t="n"/>
      <c r="AM100" s="295" t="n"/>
      <c r="AN100" s="295" t="n"/>
      <c r="AO100" s="296" t="n"/>
      <c r="AP100" s="295" t="n"/>
      <c r="AQ100" s="294" t="n"/>
      <c r="AS100">
        <f>YEAR(J100)</f>
        <v/>
      </c>
      <c r="AT100">
        <f>MONTH(J100)</f>
        <v/>
      </c>
      <c r="AU100">
        <f>DAY(J100)</f>
        <v/>
      </c>
      <c r="AW100">
        <f>YEAR(M100)</f>
        <v/>
      </c>
      <c r="AX100">
        <f>MONTH(M100)</f>
        <v/>
      </c>
      <c r="AY100">
        <f>DAY(M100)</f>
        <v/>
      </c>
      <c r="AZ100">
        <f>OR(BA100,BB100,BC100)</f>
        <v/>
      </c>
      <c r="BA100">
        <f>AW100=AS100</f>
        <v/>
      </c>
      <c r="BB100">
        <f>AND(AW100=AS100+1,AX100&lt;AT100)</f>
        <v/>
      </c>
      <c r="BC100">
        <f>AND(AW100=AS100+1,AX100=AT100,AY100&lt;=AU100)</f>
        <v/>
      </c>
    </row>
    <row r="101" ht="26.25" customHeight="1" s="7635">
      <c r="A101" s="2013">
        <f>IF(OR(Q101&lt;&gt;"",U101&lt;&gt;"",AC101&lt;&gt;""),1,0)</f>
        <v/>
      </c>
      <c r="B101" s="12806">
        <f>IF(AJ101="","",AJ101)</f>
        <v/>
      </c>
      <c r="C101" s="8007" t="n"/>
      <c r="D101" s="8007" t="n"/>
      <c r="E101" s="8007" t="n"/>
      <c r="F101" s="8007" t="n"/>
      <c r="G101" s="8007" t="n"/>
      <c r="H101" s="8007" t="n"/>
      <c r="I101" s="8008" t="n"/>
      <c r="J101" s="12807">
        <f>IF(AK101="","",AK101)</f>
        <v/>
      </c>
      <c r="K101" s="8007" t="n"/>
      <c r="L101" s="8007" t="n"/>
      <c r="M101" s="12808">
        <f>IF(AL101="","",AL101)</f>
        <v/>
      </c>
      <c r="N101" s="8007" t="n"/>
      <c r="O101" s="8007" t="n"/>
      <c r="P101" s="8008" t="n"/>
      <c r="Q101" s="12809">
        <f>IF(AM101="","",AM101)</f>
        <v/>
      </c>
      <c r="R101" s="8007" t="n"/>
      <c r="S101" s="8007" t="n"/>
      <c r="T101" s="8008" t="n"/>
      <c r="U101" s="12809">
        <f>IF(AN101="","",AN101)</f>
        <v/>
      </c>
      <c r="V101" s="8007" t="n"/>
      <c r="W101" s="8007" t="n"/>
      <c r="X101" s="8008" t="n"/>
      <c r="Y101" s="12810">
        <f>IF(AO101&lt;&gt;"",AO101,"")</f>
        <v/>
      </c>
      <c r="Z101" s="8008" t="n"/>
      <c r="AA101" s="12809">
        <f>IF(AP101="","",AP101)</f>
        <v/>
      </c>
      <c r="AB101" s="8008" t="n"/>
      <c r="AC101" s="11389">
        <f>IF(AQ101&lt;&gt;"",AQ101,IF(AND(Q101="",U101=""),"",IF(AND(Q101&lt;&gt;"",U101=""),SUM(Q101,AA101),SUM(Q101,-U101,AA101))))</f>
        <v/>
      </c>
      <c r="AD101" s="8412" t="n"/>
      <c r="AE101" s="8412" t="n"/>
      <c r="AF101" s="8412" t="n"/>
      <c r="AG101" s="4271">
        <f>IF(OR(J101="",M101=""),0,IF(OR(BA101,BB101,BC101),0,1))</f>
        <v/>
      </c>
      <c r="AH101" s="6014" t="n"/>
      <c r="AI101" s="6014">
        <f>M101-J101</f>
        <v/>
      </c>
      <c r="AJ101" s="293" t="n"/>
      <c r="AK101" s="12811" t="n"/>
      <c r="AL101" s="12811" t="n"/>
      <c r="AM101" s="295" t="n"/>
      <c r="AN101" s="295" t="n"/>
      <c r="AO101" s="296" t="n"/>
      <c r="AP101" s="295" t="n"/>
      <c r="AQ101" s="294" t="n"/>
      <c r="AS101">
        <f>YEAR(J101)</f>
        <v/>
      </c>
      <c r="AT101">
        <f>MONTH(J101)</f>
        <v/>
      </c>
      <c r="AU101">
        <f>DAY(J101)</f>
        <v/>
      </c>
      <c r="AW101">
        <f>YEAR(M101)</f>
        <v/>
      </c>
      <c r="AX101">
        <f>MONTH(M101)</f>
        <v/>
      </c>
      <c r="AY101">
        <f>DAY(M101)</f>
        <v/>
      </c>
      <c r="AZ101">
        <f>OR(BA101,BB101,BC101)</f>
        <v/>
      </c>
      <c r="BA101">
        <f>AW101=AS101</f>
        <v/>
      </c>
      <c r="BB101">
        <f>AND(AW101=AS101+1,AX101&lt;AT101)</f>
        <v/>
      </c>
      <c r="BC101">
        <f>AND(AW101=AS101+1,AX101=AT101,AY101&lt;=AU101)</f>
        <v/>
      </c>
    </row>
    <row r="102" ht="12" customHeight="1" s="7635">
      <c r="A102" s="2013">
        <f>SUM(A91:A101)</f>
        <v/>
      </c>
      <c r="B102" s="11457" t="n">
        <v>2</v>
      </c>
      <c r="C102" s="11484" t="inlineStr">
        <is>
          <t>Totals. Add the amounts in columns (d), (e), (g), and (h)
(subtract negative amounts). Enter each total here and
include on your Schedule D, line 8b (if Box D or Box J
above is checked), line 9 (if Box E or Box K above is
checked), or line 10 (if Box F or Box L above is checked)</t>
        </is>
      </c>
      <c r="D102" s="7839" t="n"/>
      <c r="E102" s="7839" t="n"/>
      <c r="F102" s="7839" t="n"/>
      <c r="G102" s="7839" t="n"/>
      <c r="H102" s="7839" t="n"/>
      <c r="I102" s="7839" t="n"/>
      <c r="J102" s="7839" t="n"/>
      <c r="K102" s="7839" t="n"/>
      <c r="L102" s="7839" t="n"/>
      <c r="M102" s="7839" t="n"/>
      <c r="N102" s="7839" t="n"/>
      <c r="O102" s="7839" t="n"/>
      <c r="P102" s="7839" t="n"/>
      <c r="Q102" s="12814">
        <f>IF(A102=0,"",ROUND(SUM(Q91:Q101),0))</f>
        <v/>
      </c>
      <c r="R102" s="7839" t="n"/>
      <c r="S102" s="7839" t="n"/>
      <c r="T102" s="10091" t="n"/>
      <c r="U102" s="12815">
        <f>IF(A102=0,"",ROUND(SUM(U91:U101),0))</f>
        <v/>
      </c>
      <c r="V102" s="7839" t="n"/>
      <c r="W102" s="7839" t="n"/>
      <c r="X102" s="10091" t="n"/>
      <c r="Y102" s="12813" t="n"/>
      <c r="Z102" s="10091" t="n"/>
      <c r="AA102" s="12812">
        <f>IF(A102=0,"",ROUND(SUM(AA91:AA101),0))</f>
        <v/>
      </c>
      <c r="AB102" s="10091" t="n"/>
      <c r="AC102" s="11459">
        <f>IF(A102=0,"",ROUND(SUM(AC91:AC101),0))</f>
        <v/>
      </c>
      <c r="AD102" s="7839" t="n"/>
      <c r="AE102" s="7839" t="n"/>
      <c r="AF102" s="7839" t="n"/>
      <c r="AG102" s="2013" t="n"/>
    </row>
    <row r="103" ht="12" customHeight="1" s="7635">
      <c r="A103" s="2013" t="n"/>
      <c r="Q103" s="4772" t="n"/>
      <c r="T103" s="7636" t="n"/>
      <c r="U103" s="4772" t="n"/>
      <c r="X103" s="7636" t="n"/>
      <c r="Y103" s="4772" t="n"/>
      <c r="Z103" s="7636" t="n"/>
      <c r="AA103" s="4772" t="n"/>
      <c r="AB103" s="7636" t="n"/>
      <c r="AC103" s="4772" t="n"/>
      <c r="AG103" s="2013" t="n"/>
    </row>
    <row r="104" ht="12" customHeight="1" s="7635">
      <c r="A104" s="2013" t="n"/>
      <c r="Q104" s="4772" t="n"/>
      <c r="T104" s="7636" t="n"/>
      <c r="U104" s="4772" t="n"/>
      <c r="X104" s="7636" t="n"/>
      <c r="Y104" s="4772" t="n"/>
      <c r="Z104" s="7636" t="n"/>
      <c r="AA104" s="4772" t="n"/>
      <c r="AB104" s="7636" t="n"/>
      <c r="AC104" s="4772" t="n"/>
      <c r="AG104" s="2013" t="n"/>
    </row>
    <row r="105" ht="12" customHeight="1" s="7635">
      <c r="A105" s="2013" t="n"/>
      <c r="Q105" s="4772" t="n"/>
      <c r="T105" s="7636" t="n"/>
      <c r="U105" s="4772" t="n"/>
      <c r="X105" s="7636" t="n"/>
      <c r="Y105" s="4772" t="n"/>
      <c r="Z105" s="7636" t="n"/>
      <c r="AA105" s="4772" t="n"/>
      <c r="AB105" s="7636" t="n"/>
      <c r="AC105" s="4772" t="n"/>
      <c r="AG105" s="2013" t="n"/>
    </row>
    <row r="106" ht="12" customHeight="1" s="7635" thickBot="1">
      <c r="A106" s="2013" t="n"/>
      <c r="Q106" s="4772" t="n"/>
      <c r="T106" s="7636" t="n"/>
      <c r="U106" s="11950" t="n"/>
      <c r="V106" s="8848" t="n"/>
      <c r="W106" s="8848" t="n"/>
      <c r="X106" s="12121" t="n"/>
      <c r="Y106" s="3614" t="n"/>
      <c r="Z106" s="7638" t="n"/>
      <c r="AA106" s="3614" t="n"/>
      <c r="AB106" s="7638" t="n"/>
      <c r="AC106" s="4772" t="n"/>
      <c r="AG106" s="2013" t="n"/>
    </row>
    <row r="107" ht="25.5" customHeight="1" s="7635" thickBot="1">
      <c r="A107" s="2013" t="n"/>
      <c r="B107" s="11479" t="inlineStr">
        <is>
          <t>Note. If you checked Box D or Box J above but the basis reported to the IRS was incorrect, enter in column (e) the basis as reported to the IRS, and
enter an adjustment in column (g) to correct the basis. See Column (g) in the separate instructions for how to figure the amount of the adjustment.</t>
        </is>
      </c>
      <c r="C107" s="11822" t="n"/>
      <c r="D107" s="11822" t="n"/>
      <c r="E107" s="11822" t="n"/>
      <c r="F107" s="11822" t="n"/>
      <c r="G107" s="11822" t="n"/>
      <c r="H107" s="11822" t="n"/>
      <c r="I107" s="11822" t="n"/>
      <c r="J107" s="11822" t="n"/>
      <c r="K107" s="11822" t="n"/>
      <c r="L107" s="11822" t="n"/>
      <c r="M107" s="11822" t="n"/>
      <c r="N107" s="11822" t="n"/>
      <c r="O107" s="11822" t="n"/>
      <c r="P107" s="11822" t="n"/>
      <c r="Q107" s="11822" t="n"/>
      <c r="R107" s="11822" t="n"/>
      <c r="S107" s="11822" t="n"/>
      <c r="T107" s="11822" t="n"/>
      <c r="U107" s="11822" t="n"/>
      <c r="V107" s="11822" t="n"/>
      <c r="W107" s="11822" t="n"/>
      <c r="X107" s="11822" t="n"/>
      <c r="Y107" s="11822" t="n"/>
      <c r="Z107" s="11822" t="n"/>
      <c r="AA107" s="11822" t="n"/>
      <c r="AB107" s="11822" t="n"/>
      <c r="AC107" s="11822" t="n"/>
      <c r="AD107" s="11822" t="n"/>
      <c r="AE107" s="11822" t="n"/>
      <c r="AF107" s="11822" t="n"/>
      <c r="AG107" s="2013" t="n"/>
    </row>
    <row r="108" ht="14.25" customFormat="1" customHeight="1" s="9864" thickTop="1">
      <c r="A108" s="2306" t="n"/>
      <c r="B108" s="6015" t="n"/>
      <c r="C108" s="88" t="n"/>
      <c r="D108" s="88" t="n"/>
      <c r="E108" s="88" t="n"/>
      <c r="F108" s="88" t="n"/>
      <c r="G108" s="88" t="n"/>
      <c r="H108" s="88" t="n"/>
      <c r="I108" s="88" t="n"/>
      <c r="J108" s="88" t="n"/>
      <c r="K108" s="88" t="n"/>
      <c r="L108" s="88" t="n"/>
      <c r="M108" s="88" t="n"/>
      <c r="N108" s="88" t="n"/>
      <c r="O108" s="88" t="n"/>
      <c r="P108" s="88" t="n"/>
      <c r="Q108" s="88" t="n"/>
      <c r="R108" s="88" t="n"/>
      <c r="S108" s="88" t="n"/>
      <c r="T108" s="88" t="n"/>
      <c r="U108" s="3931" t="n"/>
      <c r="V108" s="88" t="n"/>
      <c r="W108" s="88" t="n"/>
      <c r="X108" s="88" t="n"/>
      <c r="Y108" s="88" t="n"/>
      <c r="Z108" s="88" t="n"/>
      <c r="AA108" s="88" t="n"/>
      <c r="AB108" s="88" t="n"/>
      <c r="AC108" s="88" t="n"/>
      <c r="AD108" s="2052" t="inlineStr">
        <is>
          <t>Form 8949</t>
        </is>
      </c>
      <c r="AE108" s="88" t="n"/>
      <c r="AF108" s="6016">
        <f>"("&amp;TaxYear&amp;")"</f>
        <v/>
      </c>
      <c r="AG108" s="2306" t="n"/>
      <c r="AH108" s="7623" t="n"/>
      <c r="AI108" s="7623" t="n"/>
    </row>
    <row r="109">
      <c r="A109" s="2013" t="n"/>
      <c r="B109" s="2013" t="n"/>
      <c r="C109" s="2013" t="n"/>
      <c r="D109" s="2013" t="n"/>
      <c r="E109" s="2013" t="n"/>
      <c r="F109" s="2013" t="n"/>
      <c r="G109" s="2013" t="n"/>
      <c r="H109" s="2013" t="n"/>
      <c r="I109" s="2013" t="n"/>
      <c r="J109" s="2013" t="n"/>
      <c r="K109" s="2013" t="n"/>
      <c r="L109" s="2013" t="n"/>
      <c r="M109" s="2013" t="n"/>
      <c r="N109" s="2013" t="n"/>
      <c r="O109" s="2013" t="n"/>
      <c r="P109" s="2013" t="n"/>
      <c r="Q109" s="2013" t="n"/>
      <c r="R109" s="2013" t="n"/>
      <c r="S109" s="2013" t="n"/>
      <c r="T109" s="2013" t="n"/>
      <c r="U109" s="2013" t="n"/>
      <c r="V109" s="2013" t="n"/>
      <c r="W109" s="2013" t="n"/>
      <c r="X109" s="2013" t="n"/>
      <c r="Y109" s="2013" t="n"/>
      <c r="Z109" s="2013" t="n"/>
      <c r="AA109" s="2013" t="n"/>
      <c r="AB109" s="2013" t="n"/>
      <c r="AC109" s="2013" t="n"/>
      <c r="AD109" s="2013" t="n"/>
      <c r="AE109" s="2013" t="n"/>
      <c r="AF109" s="2013" t="n"/>
      <c r="AG109" s="2013" t="n"/>
    </row>
  </sheetData>
  <sheetProtection selectLockedCells="0" selectUnlockedCells="0" algorithmName="SHA-512" sheet="1" objects="1" insertRows="1" insertHyperlinks="1" autoFilter="1" scenarios="1" formatColumns="0" deleteColumns="1" insertColumns="1" pivotTables="1" deleteRows="1" formatCells="0" saltValue="YANHkV5s9pxFGJVOJAjc7g==" formatRows="0" sort="1" spinCount="100000" hashValue="DwEmCd35b292l1l/m3/xEAPQ075/dJucA6Mw37z/KqUlr9g7FGbeHpF/Gn8R57gBX2WchJ3gAI0S9xCQWVOGTw=="/>
  <mergeCells count="266">
    <mergeCell ref="Y47:Z47"/>
    <mergeCell ref="J99:L99"/>
    <mergeCell ref="BA72:BC72"/>
    <mergeCell ref="AA96:AB96"/>
    <mergeCell ref="U52:X56"/>
    <mergeCell ref="AK87:AK90"/>
    <mergeCell ref="AC99:AF99"/>
    <mergeCell ref="Q95:T95"/>
    <mergeCell ref="AA44:AB44"/>
    <mergeCell ref="J101:L101"/>
    <mergeCell ref="AC102:AF106"/>
    <mergeCell ref="AC51:AF51"/>
    <mergeCell ref="U102:X106"/>
    <mergeCell ref="C102:P106"/>
    <mergeCell ref="B96:I96"/>
    <mergeCell ref="Q101:T101"/>
    <mergeCell ref="M46:P46"/>
    <mergeCell ref="B48:I48"/>
    <mergeCell ref="M96:P96"/>
    <mergeCell ref="AC48:AF48"/>
    <mergeCell ref="AC52:AF56"/>
    <mergeCell ref="AA89:AB90"/>
    <mergeCell ref="M43:P43"/>
    <mergeCell ref="AC45:AF45"/>
    <mergeCell ref="B98:I98"/>
    <mergeCell ref="AQ37:AQ40"/>
    <mergeCell ref="AC96:AF96"/>
    <mergeCell ref="J50:L50"/>
    <mergeCell ref="Y50:Z50"/>
    <mergeCell ref="M98:P98"/>
    <mergeCell ref="AO89:AO90"/>
    <mergeCell ref="J46:L46"/>
    <mergeCell ref="AC47:AF47"/>
    <mergeCell ref="U96:X96"/>
    <mergeCell ref="B87:B90"/>
    <mergeCell ref="J92:L92"/>
    <mergeCell ref="AC101:AF101"/>
    <mergeCell ref="Y49:Z49"/>
    <mergeCell ref="B37:B40"/>
    <mergeCell ref="J97:L97"/>
    <mergeCell ref="Q51:T51"/>
    <mergeCell ref="J48:L48"/>
    <mergeCell ref="AJ33:AQ33"/>
    <mergeCell ref="M37:P40"/>
    <mergeCell ref="B102:B106"/>
    <mergeCell ref="AC91:AF91"/>
    <mergeCell ref="B62:AF64"/>
    <mergeCell ref="Y45:Z45"/>
    <mergeCell ref="M99:P99"/>
    <mergeCell ref="B12:AF14"/>
    <mergeCell ref="AQ87:AQ90"/>
    <mergeCell ref="Q93:T93"/>
    <mergeCell ref="Q50:T50"/>
    <mergeCell ref="AA50:AB50"/>
    <mergeCell ref="U91:X91"/>
    <mergeCell ref="AJ35:AQ35"/>
    <mergeCell ref="Y100:Z100"/>
    <mergeCell ref="U100:X100"/>
    <mergeCell ref="AA42:AB42"/>
    <mergeCell ref="AA94:AB94"/>
    <mergeCell ref="AA47:AB47"/>
    <mergeCell ref="Q87:T90"/>
    <mergeCell ref="AJ25:AQ25"/>
    <mergeCell ref="B45:I45"/>
    <mergeCell ref="Q99:T99"/>
    <mergeCell ref="AN37:AN40"/>
    <mergeCell ref="AC50:AF50"/>
    <mergeCell ref="U93:X93"/>
    <mergeCell ref="AA92:AB92"/>
    <mergeCell ref="M45:P45"/>
    <mergeCell ref="U42:X42"/>
    <mergeCell ref="Q49:T49"/>
    <mergeCell ref="Y42:Z42"/>
    <mergeCell ref="B100:I100"/>
    <mergeCell ref="B16:C16"/>
    <mergeCell ref="AN87:AN90"/>
    <mergeCell ref="B47:I47"/>
    <mergeCell ref="U92:X92"/>
    <mergeCell ref="B66:C66"/>
    <mergeCell ref="M47:P47"/>
    <mergeCell ref="AB5:AF7"/>
    <mergeCell ref="B46:I46"/>
    <mergeCell ref="U94:X94"/>
    <mergeCell ref="J41:L41"/>
    <mergeCell ref="Y98:Z98"/>
    <mergeCell ref="Y102:Z106"/>
    <mergeCell ref="AA98:AB98"/>
    <mergeCell ref="AA102:AB106"/>
    <mergeCell ref="J91:L91"/>
    <mergeCell ref="Y51:Z51"/>
    <mergeCell ref="U37:X40"/>
    <mergeCell ref="B11:U11"/>
    <mergeCell ref="J43:L43"/>
    <mergeCell ref="M44:P44"/>
    <mergeCell ref="U46:X46"/>
    <mergeCell ref="B61:U61"/>
    <mergeCell ref="J42:L42"/>
    <mergeCell ref="Q97:T97"/>
    <mergeCell ref="J87:L90"/>
    <mergeCell ref="Q52:T56"/>
    <mergeCell ref="U95:X95"/>
    <mergeCell ref="AC92:AF92"/>
    <mergeCell ref="AA41:AB41"/>
    <mergeCell ref="Y99:Z99"/>
    <mergeCell ref="M51:P51"/>
    <mergeCell ref="U48:X48"/>
    <mergeCell ref="AA99:AB99"/>
    <mergeCell ref="BA73:BA90"/>
    <mergeCell ref="V11:AF11"/>
    <mergeCell ref="Q102:T106"/>
    <mergeCell ref="B49:I49"/>
    <mergeCell ref="J44:L44"/>
    <mergeCell ref="U41:X41"/>
    <mergeCell ref="U97:X97"/>
    <mergeCell ref="Y37:AB38"/>
    <mergeCell ref="Y101:Z101"/>
    <mergeCell ref="BA23:BA40"/>
    <mergeCell ref="B51:I51"/>
    <mergeCell ref="U47:X47"/>
    <mergeCell ref="Y89:Z90"/>
    <mergeCell ref="M87:P90"/>
    <mergeCell ref="AM37:AM40"/>
    <mergeCell ref="U43:X43"/>
    <mergeCell ref="B41:I41"/>
    <mergeCell ref="AO87:AP88"/>
    <mergeCell ref="B50:I50"/>
    <mergeCell ref="AA100:AB100"/>
    <mergeCell ref="AC93:AF93"/>
    <mergeCell ref="BB23:BB40"/>
    <mergeCell ref="V61:AF61"/>
    <mergeCell ref="M101:P101"/>
    <mergeCell ref="J98:L98"/>
    <mergeCell ref="B91:I91"/>
    <mergeCell ref="AP39:AP40"/>
    <mergeCell ref="M91:P91"/>
    <mergeCell ref="AC87:AF90"/>
    <mergeCell ref="Q37:T40"/>
    <mergeCell ref="M100:P100"/>
    <mergeCell ref="J95:L95"/>
    <mergeCell ref="AJ27:AQ27"/>
    <mergeCell ref="AC37:AF40"/>
    <mergeCell ref="AO39:AO40"/>
    <mergeCell ref="B93:I93"/>
    <mergeCell ref="BC73:BC90"/>
    <mergeCell ref="AC49:AF49"/>
    <mergeCell ref="Y92:Z92"/>
    <mergeCell ref="AB4:AF4"/>
    <mergeCell ref="U50:X50"/>
    <mergeCell ref="M93:P93"/>
    <mergeCell ref="M50:P50"/>
    <mergeCell ref="U44:X44"/>
    <mergeCell ref="Q91:T91"/>
    <mergeCell ref="AA52:AB56"/>
    <mergeCell ref="AA48:AB48"/>
    <mergeCell ref="H4:AA6"/>
    <mergeCell ref="Q100:T100"/>
    <mergeCell ref="Y94:Z94"/>
    <mergeCell ref="AL87:AL90"/>
    <mergeCell ref="J47:L47"/>
    <mergeCell ref="M92:P92"/>
    <mergeCell ref="AA45:AB45"/>
    <mergeCell ref="J96:L96"/>
    <mergeCell ref="B101:I101"/>
    <mergeCell ref="AJ37:AJ40"/>
    <mergeCell ref="AL37:AL40"/>
    <mergeCell ref="Q42:T42"/>
    <mergeCell ref="M49:P49"/>
    <mergeCell ref="J37:L40"/>
    <mergeCell ref="M48:P48"/>
    <mergeCell ref="U45:X45"/>
    <mergeCell ref="AJ87:AJ90"/>
    <mergeCell ref="Q92:T92"/>
    <mergeCell ref="AM87:AM90"/>
    <mergeCell ref="AA46:AB46"/>
    <mergeCell ref="Y96:Z96"/>
    <mergeCell ref="AB8:AD9"/>
    <mergeCell ref="Q94:T94"/>
    <mergeCell ref="B52:B56"/>
    <mergeCell ref="AC97:AF97"/>
    <mergeCell ref="AA51:AB51"/>
    <mergeCell ref="C52:P56"/>
    <mergeCell ref="AJ29:AQ29"/>
    <mergeCell ref="B95:I95"/>
    <mergeCell ref="AC100:AF100"/>
    <mergeCell ref="Y41:Z41"/>
    <mergeCell ref="AO37:AP38"/>
    <mergeCell ref="Y87:AB88"/>
    <mergeCell ref="M95:P95"/>
    <mergeCell ref="AK37:AK40"/>
    <mergeCell ref="Q46:T46"/>
    <mergeCell ref="AC94:AF94"/>
    <mergeCell ref="AC44:AF44"/>
    <mergeCell ref="Q98:T98"/>
    <mergeCell ref="AJ31:AQ31"/>
    <mergeCell ref="B97:I97"/>
    <mergeCell ref="Y91:Z91"/>
    <mergeCell ref="AE8:AF9"/>
    <mergeCell ref="AA91:AB91"/>
    <mergeCell ref="J49:L49"/>
    <mergeCell ref="AC46:AF46"/>
    <mergeCell ref="Y43:Z43"/>
    <mergeCell ref="AC98:AF98"/>
    <mergeCell ref="AA43:AB43"/>
    <mergeCell ref="M97:P97"/>
    <mergeCell ref="M41:P41"/>
    <mergeCell ref="AJ81:AQ81"/>
    <mergeCell ref="J45:L45"/>
    <mergeCell ref="Q48:T48"/>
    <mergeCell ref="Y93:Z93"/>
    <mergeCell ref="U98:X98"/>
    <mergeCell ref="AC95:AF95"/>
    <mergeCell ref="AA93:AB93"/>
    <mergeCell ref="U51:X51"/>
    <mergeCell ref="Q45:T45"/>
    <mergeCell ref="J100:L100"/>
    <mergeCell ref="B43:I43"/>
    <mergeCell ref="J94:L94"/>
    <mergeCell ref="Q41:T41"/>
    <mergeCell ref="AC41:AF41"/>
    <mergeCell ref="Q47:T47"/>
    <mergeCell ref="Y44:Z44"/>
    <mergeCell ref="Q96:T96"/>
    <mergeCell ref="B42:I42"/>
    <mergeCell ref="AA49:AB49"/>
    <mergeCell ref="Q43:T43"/>
    <mergeCell ref="AA101:AB101"/>
    <mergeCell ref="BC23:BC40"/>
    <mergeCell ref="U87:X90"/>
    <mergeCell ref="U99:X99"/>
    <mergeCell ref="J51:L51"/>
    <mergeCell ref="U49:X49"/>
    <mergeCell ref="B44:I44"/>
    <mergeCell ref="H8:AA9"/>
    <mergeCell ref="AJ77:AQ77"/>
    <mergeCell ref="Q44:T44"/>
    <mergeCell ref="U101:X101"/>
    <mergeCell ref="B99:I99"/>
    <mergeCell ref="AP89:AP90"/>
    <mergeCell ref="Y46:Z46"/>
    <mergeCell ref="H7:AA7"/>
    <mergeCell ref="B2:K2"/>
    <mergeCell ref="M94:P94"/>
    <mergeCell ref="AJ83:AQ83"/>
    <mergeCell ref="AC43:AF43"/>
    <mergeCell ref="B92:I92"/>
    <mergeCell ref="Y97:Z97"/>
    <mergeCell ref="Y95:Z95"/>
    <mergeCell ref="AA95:AB95"/>
    <mergeCell ref="Y52:Z56"/>
    <mergeCell ref="Y48:Z48"/>
    <mergeCell ref="C87:I90"/>
    <mergeCell ref="B107:AF107"/>
    <mergeCell ref="J93:L93"/>
    <mergeCell ref="AJ85:AQ85"/>
    <mergeCell ref="AC42:AF42"/>
    <mergeCell ref="Y39:Z40"/>
    <mergeCell ref="B94:I94"/>
    <mergeCell ref="C37:I40"/>
    <mergeCell ref="AA39:AB40"/>
    <mergeCell ref="BB73:BB90"/>
    <mergeCell ref="B57:AF57"/>
    <mergeCell ref="BA22:BC22"/>
    <mergeCell ref="M42:P42"/>
    <mergeCell ref="AA97:AB97"/>
    <mergeCell ref="B4:F6"/>
    <mergeCell ref="AJ75:AQ75"/>
  </mergeCells>
  <conditionalFormatting sqref="B2">
    <cfRule type="expression" priority="81" dxfId="244" stopIfTrue="1">
      <formula>IF(OR($AG$16,$AG$66),1,0)</formula>
    </cfRule>
  </conditionalFormatting>
  <conditionalFormatting sqref="B21">
    <cfRule type="expression" priority="20" dxfId="158">
      <formula>AND(NOT(NoColor),A35=0,AC52&lt;&gt;"")</formula>
    </cfRule>
  </conditionalFormatting>
  <conditionalFormatting sqref="B23">
    <cfRule type="expression" priority="17" dxfId="40">
      <formula>SpaceUsed_8949A_ST</formula>
    </cfRule>
  </conditionalFormatting>
  <conditionalFormatting sqref="B71">
    <cfRule type="expression" priority="15" dxfId="158">
      <formula>AND(NOT(NoColor),A85=0,AC102&lt;&gt;"")</formula>
    </cfRule>
  </conditionalFormatting>
  <conditionalFormatting sqref="B73">
    <cfRule type="expression" priority="14" dxfId="40">
      <formula>SpaceUsed_8949A_LT</formula>
    </cfRule>
  </conditionalFormatting>
  <conditionalFormatting sqref="B11:AF11">
    <cfRule type="expression" priority="75" dxfId="6">
      <formula>IF(NoColor,1,0)</formula>
    </cfRule>
  </conditionalFormatting>
  <conditionalFormatting sqref="B41:AF51">
    <cfRule type="expression" priority="5" dxfId="6">
      <formula>IF(NoColor,1,0)</formula>
    </cfRule>
  </conditionalFormatting>
  <conditionalFormatting sqref="B61:AF61">
    <cfRule type="expression" priority="72" dxfId="6">
      <formula>IF(NoColor,1,0)</formula>
    </cfRule>
  </conditionalFormatting>
  <conditionalFormatting sqref="B91:AF101">
    <cfRule type="expression" priority="1" dxfId="6">
      <formula>IF(NoColor,1,0)</formula>
    </cfRule>
  </conditionalFormatting>
  <conditionalFormatting sqref="C25">
    <cfRule type="expression" priority="55" dxfId="6">
      <formula>IF(NoColor,1,0)</formula>
    </cfRule>
    <cfRule type="expression" priority="54" dxfId="212">
      <formula>C25=CHAR(32)</formula>
    </cfRule>
  </conditionalFormatting>
  <conditionalFormatting sqref="C27">
    <cfRule type="expression" priority="53" dxfId="6">
      <formula>IF(NoColor,1,0)</formula>
    </cfRule>
    <cfRule type="expression" priority="52" dxfId="212">
      <formula>C27=CHAR(32)</formula>
    </cfRule>
  </conditionalFormatting>
  <conditionalFormatting sqref="C29">
    <cfRule type="expression" priority="51" dxfId="6">
      <formula>IF(NoColor,1,0)</formula>
    </cfRule>
    <cfRule type="expression" priority="50" dxfId="212">
      <formula>C29=CHAR(32)</formula>
    </cfRule>
  </conditionalFormatting>
  <conditionalFormatting sqref="C31">
    <cfRule type="expression" priority="49" dxfId="6">
      <formula>IF(NoColor,1,0)</formula>
    </cfRule>
    <cfRule type="expression" priority="48" dxfId="212">
      <formula>C31=CHAR(32)</formula>
    </cfRule>
  </conditionalFormatting>
  <conditionalFormatting sqref="C33">
    <cfRule type="expression" priority="63" dxfId="6">
      <formula>IF(NoColor,1,0)</formula>
    </cfRule>
    <cfRule type="expression" priority="56" dxfId="212">
      <formula>C33=CHAR(32)</formula>
    </cfRule>
  </conditionalFormatting>
  <conditionalFormatting sqref="C35">
    <cfRule type="expression" priority="47" dxfId="6">
      <formula>IF(NoColor,1,0)</formula>
    </cfRule>
    <cfRule type="expression" priority="46" dxfId="212">
      <formula>C35=CHAR(32)</formula>
    </cfRule>
  </conditionalFormatting>
  <conditionalFormatting sqref="C75">
    <cfRule type="expression" priority="39" dxfId="212">
      <formula>AND(SpaceUsed_8949A_LT,C75=CHAR(32))</formula>
    </cfRule>
    <cfRule type="expression" priority="40" dxfId="6">
      <formula>IF(NoColor,1,0)</formula>
    </cfRule>
  </conditionalFormatting>
  <conditionalFormatting sqref="C77">
    <cfRule type="expression" priority="69" dxfId="6">
      <formula>IF(NoColor,1,0)</formula>
    </cfRule>
    <cfRule type="expression" priority="41" dxfId="212">
      <formula>AND(SpaceUsed_8949A_LT,C77=CHAR(32))</formula>
    </cfRule>
  </conditionalFormatting>
  <conditionalFormatting sqref="C79">
    <cfRule type="expression" priority="37" dxfId="212">
      <formula>AND(SpaceUsed_8949A_LT,C79=CHAR(32))</formula>
    </cfRule>
    <cfRule type="expression" priority="38" dxfId="6">
      <formula>IF(NoColor,1,0)</formula>
    </cfRule>
  </conditionalFormatting>
  <conditionalFormatting sqref="C81">
    <cfRule type="expression" priority="36" dxfId="6">
      <formula>IF(NoColor,1,0)</formula>
    </cfRule>
    <cfRule type="expression" priority="35" dxfId="212">
      <formula>AND(SpaceUsed_8949A_LT,C81=CHAR(32))</formula>
    </cfRule>
  </conditionalFormatting>
  <conditionalFormatting sqref="C83">
    <cfRule type="expression" priority="34" dxfId="6">
      <formula>IF(NoColor,1,0)</formula>
    </cfRule>
    <cfRule type="expression" priority="33" dxfId="212">
      <formula>AND(SpaceUsed_8949A_LT,C83=CHAR(32))</formula>
    </cfRule>
  </conditionalFormatting>
  <conditionalFormatting sqref="C85">
    <cfRule type="expression" priority="32" dxfId="6">
      <formula>IF(NoColor,1,0)</formula>
    </cfRule>
    <cfRule type="expression" priority="31" dxfId="212">
      <formula>AND(SpaceUsed_8949A_LT,C85=CHAR(32))</formula>
    </cfRule>
  </conditionalFormatting>
  <conditionalFormatting sqref="D25">
    <cfRule type="expression" priority="62" dxfId="40">
      <formula>C25=CHAR(32)</formula>
    </cfRule>
  </conditionalFormatting>
  <conditionalFormatting sqref="D27">
    <cfRule type="expression" priority="61" dxfId="40">
      <formula>C27=CHAR(32)</formula>
    </cfRule>
  </conditionalFormatting>
  <conditionalFormatting sqref="D29">
    <cfRule type="expression" priority="60" dxfId="40">
      <formula>C29=CHAR(32)</formula>
    </cfRule>
  </conditionalFormatting>
  <conditionalFormatting sqref="D31">
    <cfRule type="expression" priority="59" dxfId="40">
      <formula>C31=CHAR(32)</formula>
    </cfRule>
  </conditionalFormatting>
  <conditionalFormatting sqref="D33">
    <cfRule type="expression" priority="58" dxfId="40">
      <formula>C33=CHAR(32)</formula>
    </cfRule>
  </conditionalFormatting>
  <conditionalFormatting sqref="D35">
    <cfRule type="expression" priority="57" dxfId="40">
      <formula>C35=CHAR(32)</formula>
    </cfRule>
  </conditionalFormatting>
  <conditionalFormatting sqref="D75">
    <cfRule type="expression" priority="30" dxfId="40">
      <formula>AND(SpaceUsed_8949A_LT,C75=CHAR(32))</formula>
    </cfRule>
  </conditionalFormatting>
  <conditionalFormatting sqref="D77">
    <cfRule type="expression" priority="29" dxfId="40">
      <formula>AND(SpaceUsed_8949A_LT,C77=CHAR(32))</formula>
    </cfRule>
  </conditionalFormatting>
  <conditionalFormatting sqref="D79">
    <cfRule type="expression" priority="28" dxfId="40">
      <formula>AND(SpaceUsed_8949A_LT,C79=CHAR(32))</formula>
    </cfRule>
  </conditionalFormatting>
  <conditionalFormatting sqref="D81">
    <cfRule type="expression" priority="27" dxfId="40">
      <formula>AND(SpaceUsed_8949A_LT,C81=CHAR(32))</formula>
    </cfRule>
  </conditionalFormatting>
  <conditionalFormatting sqref="D83">
    <cfRule type="expression" priority="26" dxfId="40">
      <formula>AND(SpaceUsed_8949A_LT,C83=CHAR(32))</formula>
    </cfRule>
  </conditionalFormatting>
  <conditionalFormatting sqref="D85">
    <cfRule type="expression" priority="25" dxfId="40">
      <formula>AND(SpaceUsed_8949A_LT,C85=CHAR(32))</formula>
    </cfRule>
  </conditionalFormatting>
  <conditionalFormatting sqref="J41:J51">
    <cfRule type="expression" priority="8" dxfId="158" stopIfTrue="1">
      <formula>AND($L$2="",NOT($AZ41))</formula>
    </cfRule>
  </conditionalFormatting>
  <conditionalFormatting sqref="J91:L101">
    <cfRule type="expression" priority="3" dxfId="14">
      <formula>AND($L$2="",$AZ91)</formula>
    </cfRule>
  </conditionalFormatting>
  <conditionalFormatting sqref="K71">
    <cfRule type="expression" priority="16" dxfId="158">
      <formula>IF($A$79&gt;1,1,0)</formula>
    </cfRule>
  </conditionalFormatting>
  <conditionalFormatting sqref="L2">
    <cfRule type="expression" priority="82" dxfId="196" stopIfTrue="1">
      <formula>IF(OR($AG$16,$AG$66),1,0)</formula>
    </cfRule>
  </conditionalFormatting>
  <conditionalFormatting sqref="L21">
    <cfRule type="expression" priority="19" dxfId="158">
      <formula>(A29&gt;1)</formula>
    </cfRule>
  </conditionalFormatting>
  <conditionalFormatting sqref="M41:M51">
    <cfRule type="expression" priority="6" dxfId="158" stopIfTrue="1">
      <formula>AND($L$2="",NOT($AZ41))</formula>
    </cfRule>
  </conditionalFormatting>
  <conditionalFormatting sqref="M91:M101">
    <cfRule type="expression" priority="2" dxfId="158" stopIfTrue="1">
      <formula>AND($L$2="",$AZ91)</formula>
    </cfRule>
  </conditionalFormatting>
  <conditionalFormatting sqref="M21:N21">
    <cfRule type="expression" priority="18" dxfId="0">
      <formula>$A$35&gt;1</formula>
    </cfRule>
  </conditionalFormatting>
  <conditionalFormatting sqref="M71:N71">
    <cfRule type="expression" priority="13" dxfId="158">
      <formula>IF($A$85&gt;1,1,0)</formula>
    </cfRule>
  </conditionalFormatting>
  <conditionalFormatting sqref="P66">
    <cfRule type="expression" priority="80" dxfId="158" stopIfTrue="1">
      <formula>IF(AND($L$2="",$AG$66),TRUE,FALSE)</formula>
    </cfRule>
  </conditionalFormatting>
  <conditionalFormatting sqref="Q52:X56">
    <cfRule type="expression" priority="74" dxfId="6">
      <formula>IF(NoColor,1,0)</formula>
    </cfRule>
  </conditionalFormatting>
  <conditionalFormatting sqref="Q102:X106">
    <cfRule type="expression" priority="71" dxfId="6">
      <formula>IF(NoColor,1,0)</formula>
    </cfRule>
  </conditionalFormatting>
  <conditionalFormatting sqref="T16:T19">
    <cfRule type="expression" priority="79" dxfId="14" stopIfTrue="1">
      <formula>IF(AND($L$2="",$AG$16),TRUE,FALSE)</formula>
    </cfRule>
  </conditionalFormatting>
  <conditionalFormatting sqref="T66">
    <cfRule type="expression" priority="78" dxfId="14" stopIfTrue="1">
      <formula>IF(AND($L$2="",$AG$66),TRUE,FALSE)</formula>
    </cfRule>
  </conditionalFormatting>
  <conditionalFormatting sqref="T67:T69">
    <cfRule type="expression" priority="68" dxfId="14" stopIfTrue="1">
      <formula>IF(AND($L$2="",$AG$16),TRUE,FALSE)</formula>
    </cfRule>
  </conditionalFormatting>
  <conditionalFormatting sqref="AA52:AF56">
    <cfRule type="expression" priority="73" dxfId="6">
      <formula>IF(NoColor,1,0)</formula>
    </cfRule>
  </conditionalFormatting>
  <conditionalFormatting sqref="AA102:AF106">
    <cfRule type="expression" priority="70" dxfId="6">
      <formula>IF(NoColor,1,0)</formula>
    </cfRule>
  </conditionalFormatting>
  <conditionalFormatting sqref="AB4:AF4">
    <cfRule type="expression" priority="22" dxfId="40">
      <formula>AND(AI3,AH4="")</formula>
    </cfRule>
  </conditionalFormatting>
  <conditionalFormatting sqref="AH4">
    <cfRule type="expression" priority="21" dxfId="181">
      <formula>$AI$3</formula>
    </cfRule>
  </conditionalFormatting>
  <pageMargins left="0.75" right="0.25" top="0.36" bottom="0.29" header="0.36" footer="0.21"/>
  <pageSetup orientation="portrait" scale="75" fitToHeight="0"/>
  <rowBreaks count="1" manualBreakCount="1">
    <brk id="58" min="1" max="31" man="1"/>
  </rowBreaks>
</worksheet>
</file>

<file path=xl/worksheets/sheet60.xml><?xml version="1.0" encoding="utf-8"?>
<worksheet xmlns="http://schemas.openxmlformats.org/spreadsheetml/2006/main">
  <sheetPr>
    <outlinePr summaryBelow="1" summaryRight="1"/>
    <pageSetUpPr fitToPage="1"/>
  </sheetPr>
  <dimension ref="A1:Z85"/>
  <sheetViews>
    <sheetView zoomScaleNormal="100" zoomScaleSheetLayoutView="100" workbookViewId="0">
      <selection activeCell="A1" sqref="A1"/>
    </sheetView>
  </sheetViews>
  <sheetFormatPr baseColWidth="8" defaultRowHeight="12.75"/>
  <cols>
    <col width="2.42578125" customWidth="1" style="7635" min="1" max="1"/>
    <col width="7.85546875" customWidth="1" style="7635" min="2" max="2"/>
    <col width="3.140625" customWidth="1" style="7635" min="3" max="3"/>
    <col width="9.7109375" customWidth="1" style="7635" min="4" max="4"/>
    <col width="9.42578125" customWidth="1" style="7635" min="5" max="5"/>
    <col width="20.85546875" customWidth="1" style="7635" min="6" max="6"/>
    <col width="8.140625" customWidth="1" style="7635" min="7" max="7"/>
    <col width="3.5703125" customWidth="1" style="7635" min="8" max="8"/>
    <col width="5.7109375" customWidth="1" style="7635" min="9" max="9"/>
    <col width="6.140625" customWidth="1" style="7635" min="10" max="10"/>
    <col width="14.140625" customWidth="1" style="7635" min="11" max="11"/>
    <col width="3.7109375" customWidth="1" style="7635" min="12" max="12"/>
    <col width="14.140625" customWidth="1" style="7635" min="13" max="13"/>
    <col width="2.5703125" customWidth="1" style="7635" min="14" max="14"/>
    <col width="3.85546875" customWidth="1" style="7635" min="15" max="15"/>
    <col width="14.5703125" customWidth="1" style="7635" min="16" max="16"/>
    <col width="2.28515625" customWidth="1" style="7635" min="17" max="17"/>
    <col width="12.140625" customWidth="1" style="11680" min="18" max="18"/>
    <col width="10.7109375" customWidth="1" style="658" min="19" max="26"/>
  </cols>
  <sheetData>
    <row r="1" ht="12.75" customHeight="1" s="7635" thickBot="1">
      <c r="A1" s="2732" t="n"/>
      <c r="B1" s="139" t="n"/>
      <c r="C1" s="139" t="n"/>
      <c r="D1" s="139" t="n"/>
      <c r="E1" s="139" t="n"/>
      <c r="F1" s="139" t="n"/>
      <c r="G1" s="139" t="n"/>
      <c r="H1" s="139" t="n"/>
      <c r="I1" s="139" t="n"/>
      <c r="J1" s="139" t="n"/>
      <c r="K1" s="139" t="n"/>
      <c r="L1" s="206" t="n"/>
      <c r="M1" s="139" t="n"/>
      <c r="N1" s="139" t="n"/>
      <c r="O1" s="512" t="n"/>
      <c r="P1" s="1318">
        <f>IF($O$2&lt;&gt;"",TRUE,FALSE)</f>
        <v/>
      </c>
      <c r="Q1" s="512" t="n"/>
      <c r="S1" s="657" t="inlineStr">
        <is>
          <t>Notes</t>
        </is>
      </c>
    </row>
    <row r="2" ht="17.25" customHeight="1" s="7635" thickBot="1">
      <c r="A2" s="2732" t="n"/>
      <c r="B2" s="7886" t="inlineStr">
        <is>
          <t>Who Must File - You must file Form 8959 if one or more of the following applies to you:</t>
        </is>
      </c>
      <c r="C2" s="11602" t="n"/>
      <c r="D2" s="11602" t="n"/>
      <c r="E2" s="11602" t="n"/>
      <c r="F2" s="11602" t="n"/>
      <c r="G2" s="11602" t="n"/>
      <c r="H2" s="11602" t="n"/>
      <c r="I2" s="11602" t="n"/>
      <c r="J2" s="11602" t="n"/>
      <c r="K2" s="11602" t="n"/>
      <c r="L2" s="6578" t="n"/>
      <c r="M2" s="11602" t="n"/>
      <c r="N2" s="139" t="n"/>
      <c r="O2" s="277" t="n"/>
      <c r="P2" s="7886" t="inlineStr">
        <is>
          <t>Check here to use this form.</t>
        </is>
      </c>
      <c r="Q2" s="512" t="n"/>
    </row>
    <row r="3" ht="12.75" customHeight="1" s="7635">
      <c r="A3" s="2732" t="n"/>
      <c r="B3" s="6579">
        <f>IF(P3,"Yes","No")</f>
        <v/>
      </c>
      <c r="C3" s="344">
        <f>"Your Medicare wages and tips on any single Form W-2 (box 5) are greater than "&amp;TEXT(H24,"$0,000")&amp;"."</f>
        <v/>
      </c>
      <c r="D3" s="11602" t="n"/>
      <c r="E3" s="11602" t="n"/>
      <c r="F3" s="11602" t="n"/>
      <c r="G3" s="11602" t="n"/>
      <c r="H3" s="11602" t="n"/>
      <c r="I3" s="11602" t="n"/>
      <c r="J3" s="11602" t="n"/>
      <c r="K3" s="11602" t="n"/>
      <c r="L3" s="6578" t="n"/>
      <c r="M3" s="11602" t="n"/>
      <c r="N3" s="139" t="n"/>
      <c r="O3" s="512" t="n"/>
      <c r="P3" s="1318">
        <f>'W-2s'!K71</f>
        <v/>
      </c>
      <c r="Q3" s="512" t="n"/>
    </row>
    <row r="4" ht="12.75" customHeight="1" s="7635">
      <c r="A4" s="2732" t="n"/>
      <c r="B4" s="6579">
        <f>IF(P4,"Yes","No")</f>
        <v/>
      </c>
      <c r="C4" s="344">
        <f>"Your railroad retirement (RRTA) compensation on any single Form W-2 (box 14) is greater than "&amp;TEXT(H24,"$0,000")&amp;"."</f>
        <v/>
      </c>
      <c r="D4" s="11602" t="n"/>
      <c r="E4" s="11602" t="n"/>
      <c r="F4" s="11602" t="n"/>
      <c r="G4" s="11602" t="n"/>
      <c r="H4" s="11602" t="n"/>
      <c r="I4" s="11602" t="n"/>
      <c r="J4" s="11602" t="n"/>
      <c r="K4" s="11602" t="n"/>
      <c r="L4" s="6578" t="n"/>
      <c r="M4" s="11602" t="n"/>
      <c r="N4" s="139" t="n"/>
      <c r="O4" s="512" t="n"/>
      <c r="P4" s="1318">
        <f>'W-2s'!K72</f>
        <v/>
      </c>
      <c r="Q4" s="512" t="n"/>
    </row>
    <row r="5" ht="12.75" customHeight="1" s="7635">
      <c r="A5" s="2732" t="n"/>
      <c r="B5" s="6579">
        <f>IF(P5,"Yes","No")</f>
        <v/>
      </c>
      <c r="C5" s="344">
        <f>"Your total Medicare wages and tips plus your self-employment income are &gt; filing status threshold ("&amp;TEXT($M$24,"$0,000")&amp;")."</f>
        <v/>
      </c>
      <c r="D5" s="11602" t="n"/>
      <c r="E5" s="11602" t="n"/>
      <c r="F5" s="11602" t="n"/>
      <c r="G5" s="11602" t="n"/>
      <c r="H5" s="11602" t="n"/>
      <c r="I5" s="11602" t="n"/>
      <c r="J5" s="11602" t="n"/>
      <c r="K5" s="11602" t="n"/>
      <c r="L5" s="6578" t="n"/>
      <c r="M5" s="11602" t="n"/>
      <c r="N5" s="139" t="n"/>
      <c r="O5" s="512" t="n"/>
      <c r="P5" s="1318">
        <f>(P8&gt;$M$24)</f>
        <v/>
      </c>
      <c r="Q5" s="512" t="n"/>
    </row>
    <row r="6" ht="12.75" customHeight="1" s="7635">
      <c r="A6" s="2732" t="n"/>
      <c r="B6" s="6579">
        <f>IF(P6,"Yes","No")</f>
        <v/>
      </c>
      <c r="C6" s="344">
        <f>"Your total railroad retirement (RRTA) compensation and tips (Part III, Line 14) are &gt; filing status threshold ("&amp;TEXT($M$46,"$0,000")&amp;")."</f>
        <v/>
      </c>
      <c r="D6" s="11602" t="n"/>
      <c r="E6" s="11602" t="n"/>
      <c r="F6" s="11602" t="n"/>
      <c r="G6" s="11602" t="n"/>
      <c r="H6" s="11602" t="n"/>
      <c r="I6" s="11602" t="n"/>
      <c r="J6" s="11602" t="n"/>
      <c r="K6" s="11602" t="n"/>
      <c r="L6" s="6578" t="n"/>
      <c r="M6" s="11602" t="n"/>
      <c r="N6" s="139" t="n"/>
      <c r="O6" s="512" t="n"/>
      <c r="P6" s="1318">
        <f>IF(RRTA_Compensation="",FALSE,IF(ROUND(RRTA_Compensation,0)&gt;$M$46,TRUE,FALSE))</f>
        <v/>
      </c>
      <c r="Q6" s="512" t="n"/>
    </row>
    <row r="7" ht="10.5" customHeight="1" s="7635">
      <c r="A7" s="206" t="n"/>
      <c r="B7" s="206" t="n"/>
      <c r="C7" s="139" t="n"/>
      <c r="D7" s="139" t="n"/>
      <c r="E7" s="139" t="n"/>
      <c r="F7" s="139" t="n"/>
      <c r="G7" s="206" t="n"/>
      <c r="H7" s="139" t="n"/>
      <c r="I7" s="139" t="n"/>
      <c r="J7" s="139" t="n"/>
      <c r="K7" s="139" t="n"/>
      <c r="L7" s="139" t="n"/>
      <c r="M7" s="139" t="n"/>
      <c r="N7" s="139" t="n"/>
      <c r="O7" s="512" t="n"/>
      <c r="P7" s="1318">
        <f>OR(P1,P3:P6)</f>
        <v/>
      </c>
      <c r="Q7" s="512" t="n"/>
    </row>
    <row r="8">
      <c r="A8" s="139" t="n"/>
      <c r="B8" s="88" t="n"/>
      <c r="C8" s="88" t="n"/>
      <c r="D8" s="90" t="n"/>
      <c r="E8" s="88" t="n"/>
      <c r="F8" s="88" t="n"/>
      <c r="G8" s="88" t="n"/>
      <c r="H8" s="88" t="n"/>
      <c r="I8" s="88" t="n"/>
      <c r="J8" s="88" t="n"/>
      <c r="K8" s="88" t="n"/>
      <c r="L8" s="10325" t="inlineStr">
        <is>
          <t xml:space="preserve">  OMB No. 1545-0074</t>
        </is>
      </c>
      <c r="M8" s="7637" t="n"/>
      <c r="N8" s="139" t="n"/>
      <c r="O8" s="512" t="n"/>
      <c r="P8" s="990">
        <f>IF(AND(P17&lt;&gt;"",P30&lt;&gt;""),SUM(ROUND(P17,0),ROUND(P30,0)),IF(P17&lt;&gt;"",SUM(ROUND(P17,0),K29),IF(P30&lt;&gt;"",SUM(MedCare_wages,ROUND(P30,0)),SUM(MedCare_wages,K29))))</f>
        <v/>
      </c>
      <c r="Q8" s="512" t="n"/>
      <c r="R8" s="6580" t="n"/>
    </row>
    <row r="9" ht="20.25" customHeight="1" s="7635">
      <c r="A9" s="139" t="n"/>
      <c r="B9" s="11255" t="inlineStr">
        <is>
          <t>Form</t>
        </is>
      </c>
      <c r="C9" s="12816" t="n">
        <v>8959</v>
      </c>
      <c r="D9" s="1066" t="n"/>
      <c r="E9" s="12817" t="inlineStr">
        <is>
          <t>Additional Medicare Tax</t>
        </is>
      </c>
      <c r="K9" s="1066" t="n"/>
      <c r="L9" s="8214">
        <f>TaxYear</f>
        <v/>
      </c>
      <c r="M9" s="7839" t="n"/>
      <c r="N9" s="2746" t="n"/>
      <c r="O9" s="11256" t="n"/>
      <c r="P9" s="226" t="inlineStr">
        <is>
          <t>Manual</t>
        </is>
      </c>
      <c r="Q9" s="11403" t="n"/>
      <c r="R9" s="6581" t="n"/>
    </row>
    <row r="10" ht="14.25" customHeight="1" s="7635">
      <c r="A10" s="139" t="n"/>
      <c r="D10" s="1066" t="n"/>
      <c r="E10" s="12568" t="inlineStr">
        <is>
          <t>If any line doesn't apply to you, leave it blank. See separate instructions.</t>
        </is>
      </c>
      <c r="K10" s="1066" t="n"/>
      <c r="L10" s="11741" t="n"/>
      <c r="N10" s="2749" t="n"/>
      <c r="O10" s="2750" t="n"/>
      <c r="P10" s="226" t="inlineStr">
        <is>
          <t>Override ê</t>
        </is>
      </c>
      <c r="Q10" s="8922" t="n"/>
      <c r="R10" s="6582" t="n"/>
    </row>
    <row r="11" ht="12.75" customHeight="1" s="7635">
      <c r="A11" s="139" t="n"/>
      <c r="B11" s="3546" t="inlineStr">
        <is>
          <t>Department of the Treasury</t>
        </is>
      </c>
      <c r="D11" s="1066" t="n"/>
      <c r="E11" s="12568" t="inlineStr">
        <is>
          <t>Attach to Form 1040, 1040-SR, 1040NR, 1040-PR, or 1040-SS.</t>
        </is>
      </c>
      <c r="K11" s="1066" t="n"/>
      <c r="L11" s="11264" t="inlineStr">
        <is>
          <t xml:space="preserve">      Attachment</t>
        </is>
      </c>
      <c r="N11" s="2746" t="n"/>
      <c r="O11" s="11256" t="n"/>
      <c r="P11" s="2013" t="n"/>
      <c r="Q11" s="8922" t="n"/>
      <c r="R11" s="6583" t="n"/>
    </row>
    <row r="12" ht="12.75" customHeight="1" s="7635" thickBot="1">
      <c r="A12" s="139" t="n"/>
      <c r="B12" s="12768" t="inlineStr">
        <is>
          <t>Internal Revenue Service</t>
        </is>
      </c>
      <c r="C12" s="8848" t="n"/>
      <c r="D12" s="2627" t="n"/>
      <c r="E12" s="12818" t="inlineStr">
        <is>
          <t>Go to www.irs.gov/Form8959 for instructions and the latest information.</t>
        </is>
      </c>
      <c r="F12" s="8848" t="n"/>
      <c r="G12" s="8848" t="n"/>
      <c r="H12" s="8848" t="n"/>
      <c r="I12" s="8848" t="n"/>
      <c r="J12" s="8848" t="n"/>
      <c r="K12" s="2627" t="n"/>
      <c r="L12" s="11271" t="inlineStr">
        <is>
          <t>Sequence No. 71</t>
        </is>
      </c>
      <c r="M12" s="8848" t="n"/>
      <c r="N12" s="2749" t="n"/>
      <c r="O12" s="2750" t="n"/>
      <c r="P12" s="2013" t="n"/>
      <c r="Q12" s="11403" t="n"/>
      <c r="R12" s="6583" t="n"/>
    </row>
    <row r="13" ht="11.25" customHeight="1" s="7635">
      <c r="A13" s="139" t="n"/>
      <c r="B13" s="2753" t="inlineStr">
        <is>
          <t>Name(s) shown on return</t>
        </is>
      </c>
      <c r="C13" s="2754" t="n"/>
      <c r="D13" s="2754" t="n"/>
      <c r="E13" s="2755" t="n"/>
      <c r="F13" s="2756" t="n"/>
      <c r="G13" s="2753" t="n"/>
      <c r="H13" s="2756" t="n"/>
      <c r="I13" s="2756" t="n"/>
      <c r="J13" s="2756" t="n"/>
      <c r="K13" s="10343" t="inlineStr">
        <is>
          <t>Your social security number</t>
        </is>
      </c>
      <c r="N13" s="2746" t="n"/>
      <c r="O13" s="11256" t="n"/>
      <c r="P13" s="2013" t="n"/>
      <c r="Q13" s="11403" t="n"/>
      <c r="R13" s="6582" t="n"/>
    </row>
    <row r="14" ht="14.25" customHeight="1" s="7635">
      <c r="A14" s="139" t="n"/>
      <c r="B14" s="12571">
        <f>Names</f>
        <v/>
      </c>
      <c r="C14" s="7637" t="n"/>
      <c r="D14" s="7637" t="n"/>
      <c r="E14" s="7637" t="n"/>
      <c r="F14" s="7637" t="n"/>
      <c r="G14" s="7637" t="n"/>
      <c r="H14" s="7637" t="n"/>
      <c r="I14" s="7637" t="n"/>
      <c r="J14" s="7638" t="n"/>
      <c r="K14" s="12025">
        <f>IF(NoSSN,"",SS_Yours)</f>
        <v/>
      </c>
      <c r="L14" s="7637" t="n"/>
      <c r="M14" s="7637" t="n"/>
      <c r="N14" s="2749" t="n"/>
      <c r="O14" s="2750" t="n"/>
      <c r="P14" s="2013" t="n"/>
      <c r="Q14" s="11403" t="n"/>
      <c r="R14" s="6582" t="n"/>
    </row>
    <row r="15" ht="15.75" customHeight="1" s="7635">
      <c r="A15" s="139" t="n"/>
      <c r="B15" s="5312" t="inlineStr">
        <is>
          <t xml:space="preserve">Part I </t>
        </is>
      </c>
      <c r="C15" s="10329" t="inlineStr">
        <is>
          <t xml:space="preserve">  Additional Medicare Tax on Medicare Wages </t>
        </is>
      </c>
      <c r="D15" s="8412" t="n"/>
      <c r="E15" s="8412" t="n"/>
      <c r="F15" s="8412" t="n"/>
      <c r="G15" s="8412" t="n"/>
      <c r="H15" s="8412" t="n"/>
      <c r="I15" s="8412" t="n"/>
      <c r="J15" s="8412" t="n"/>
      <c r="K15" s="8412" t="n"/>
      <c r="L15" s="8412" t="n"/>
      <c r="M15" s="8412" t="n"/>
      <c r="N15" s="2762" t="n"/>
      <c r="O15" s="2763" t="n"/>
      <c r="P15" s="2013" t="n"/>
      <c r="Q15" s="11403" t="n"/>
    </row>
    <row r="16" ht="12" customFormat="1" customHeight="1" s="214">
      <c r="A16" s="139" t="n"/>
      <c r="B16" s="8374" t="n">
        <v>1</v>
      </c>
      <c r="C16" s="2769" t="inlineStr">
        <is>
          <t>Medicare wages and tips from Form W-2, box 5. If you have more than</t>
        </is>
      </c>
      <c r="D16" s="2770" t="n"/>
      <c r="E16" s="11262" t="n"/>
      <c r="F16" s="11262" t="n"/>
      <c r="G16" s="2771" t="n"/>
      <c r="H16" s="2771" t="n"/>
      <c r="I16" s="2771" t="n"/>
      <c r="J16" s="6517" t="n"/>
      <c r="K16" s="8374" t="n"/>
      <c r="L16" s="2781" t="n"/>
      <c r="M16" s="2986" t="n"/>
      <c r="N16" s="2783" t="n"/>
      <c r="O16" s="2784" t="n"/>
      <c r="P16" s="2785" t="n"/>
      <c r="Q16" s="8885" t="n"/>
      <c r="R16" s="2979" t="n"/>
      <c r="S16" s="658" t="n"/>
      <c r="T16" s="658" t="n"/>
      <c r="U16" s="658" t="n"/>
      <c r="V16" s="658" t="n"/>
      <c r="W16" s="658" t="n"/>
      <c r="X16" s="658" t="n"/>
      <c r="Y16" s="658" t="n"/>
      <c r="Z16" s="658" t="n"/>
    </row>
    <row r="17" ht="12" customHeight="1" s="7635">
      <c r="A17" s="139" t="n"/>
      <c r="B17" s="8374" t="n"/>
      <c r="C17" s="2769" t="inlineStr">
        <is>
          <t>one Form W-2, enter the total of the amounts from box 5</t>
        </is>
      </c>
      <c r="D17" s="2769" t="n"/>
      <c r="E17" s="11262" t="n"/>
      <c r="F17" s="11262" t="n"/>
      <c r="G17" s="2771" t="n"/>
      <c r="H17" s="8374" t="n"/>
      <c r="I17" s="8374" t="inlineStr">
        <is>
          <t xml:space="preserve">.   .   .   .   .   . </t>
        </is>
      </c>
      <c r="J17" s="2773">
        <f>B16</f>
        <v/>
      </c>
      <c r="K17" s="2774">
        <f>IF(P17&lt;&gt;"",ROUND(P17,0),IF(NOT(P7),"",IF(MedCare_wages=0,"",MedCare_wages)))</f>
        <v/>
      </c>
      <c r="L17" s="2781" t="n"/>
      <c r="M17" s="2791" t="n"/>
      <c r="N17" s="2775" t="n"/>
      <c r="O17" s="2776" t="n"/>
      <c r="P17" s="118" t="n"/>
      <c r="Q17" s="229" t="n"/>
      <c r="R17" s="2979" t="n"/>
    </row>
    <row r="18" ht="12" customHeight="1" s="7635">
      <c r="A18" s="139" t="n"/>
      <c r="B18" s="8374" t="n">
        <v>2</v>
      </c>
      <c r="C18" s="2769" t="inlineStr">
        <is>
          <t>Unreported tips from Form 4137, line 6</t>
        </is>
      </c>
      <c r="D18" s="2769" t="n"/>
      <c r="E18" s="11262" t="n"/>
      <c r="F18" s="11262" t="n"/>
      <c r="G18" s="2771" t="n"/>
      <c r="H18" s="8374" t="n"/>
      <c r="I18" s="8374" t="inlineStr">
        <is>
          <t xml:space="preserve">.   .   .   .   .   .   .   .   .   .   .   .   . </t>
        </is>
      </c>
      <c r="J18" s="2773">
        <f>B18</f>
        <v/>
      </c>
      <c r="K18" s="335" t="n"/>
      <c r="L18" s="2781" t="n"/>
      <c r="M18" s="2791" t="n"/>
      <c r="N18" s="2775" t="n"/>
      <c r="O18" s="2776" t="n"/>
      <c r="P18" s="2785" t="n"/>
      <c r="Q18" s="229" t="n"/>
      <c r="R18" s="2979" t="n"/>
    </row>
    <row r="19" ht="12" customHeight="1" s="7635" thickBot="1">
      <c r="A19" s="139" t="n"/>
      <c r="B19" s="8374" t="n">
        <v>3</v>
      </c>
      <c r="C19" s="2769" t="inlineStr">
        <is>
          <t>Wages from Form 8919, line 6</t>
        </is>
      </c>
      <c r="D19" s="2769" t="n"/>
      <c r="E19" s="11262" t="n"/>
      <c r="F19" s="11262" t="n"/>
      <c r="G19" s="2771" t="n"/>
      <c r="H19" s="8374" t="n"/>
      <c r="I19" s="8374" t="inlineStr">
        <is>
          <t xml:space="preserve">.   .   .   .   .   .   .   .   .   .   .   .   .   .   .   . </t>
        </is>
      </c>
      <c r="J19" s="4295">
        <f>B19</f>
        <v/>
      </c>
      <c r="K19" s="1226" t="n"/>
      <c r="L19" s="2781" t="n"/>
      <c r="M19" s="2791" t="n"/>
      <c r="N19" s="2775" t="n"/>
      <c r="O19" s="2776" t="n"/>
      <c r="P19" s="962" t="n"/>
      <c r="Q19" s="229" t="n"/>
      <c r="R19" s="2979" t="n"/>
    </row>
    <row r="20" ht="12" customHeight="1" s="7635">
      <c r="A20" s="139" t="n"/>
      <c r="B20" s="8374" t="n">
        <v>4</v>
      </c>
      <c r="C20" s="2769" t="inlineStr">
        <is>
          <t>Add lines 1 through 3</t>
        </is>
      </c>
      <c r="D20" s="2769" t="n"/>
      <c r="E20" s="11262" t="n"/>
      <c r="F20" s="11262" t="n"/>
      <c r="G20" s="2771" t="n"/>
      <c r="H20" s="8374" t="n"/>
      <c r="I20" s="8374" t="inlineStr">
        <is>
          <t xml:space="preserve">.   .   .   .   .   .   .   .   .   .   .   .   .   .   .   .   .   .   . </t>
        </is>
      </c>
      <c r="J20" s="2773">
        <f>B20</f>
        <v/>
      </c>
      <c r="K20" s="2774">
        <f>IF($K$17="","",SUM(K17:K19))</f>
        <v/>
      </c>
      <c r="L20" s="2781" t="n"/>
      <c r="M20" s="2791" t="n"/>
      <c r="N20" s="2775" t="n"/>
      <c r="O20" s="2776" t="n"/>
      <c r="P20" s="962" t="n"/>
      <c r="Q20" s="229" t="n"/>
      <c r="R20" s="2979" t="n"/>
    </row>
    <row r="21" ht="12" customFormat="1" customHeight="1" s="214">
      <c r="A21" s="139" t="n"/>
      <c r="B21" s="8374" t="n">
        <v>5</v>
      </c>
      <c r="C21" s="2769" t="inlineStr">
        <is>
          <t>Enter the following amount for your filing status:</t>
        </is>
      </c>
      <c r="D21" s="2770" t="n"/>
      <c r="E21" s="11262" t="n"/>
      <c r="F21" s="11262" t="n"/>
      <c r="G21" s="2771" t="n"/>
      <c r="H21" s="2771" t="n"/>
      <c r="I21" s="2771" t="n"/>
      <c r="J21" s="6584" t="n"/>
      <c r="K21" s="8374" t="n"/>
      <c r="L21" s="2781" t="n"/>
      <c r="M21" s="2791" t="n"/>
      <c r="N21" s="2783" t="n"/>
      <c r="O21" s="2784" t="n"/>
      <c r="P21" s="962" t="n"/>
      <c r="Q21" s="8885" t="n"/>
      <c r="R21" s="2979" t="n"/>
      <c r="S21" s="658" t="n"/>
      <c r="T21" s="658" t="n"/>
      <c r="U21" s="658" t="n"/>
      <c r="V21" s="658" t="n"/>
      <c r="W21" s="658" t="n"/>
      <c r="X21" s="658" t="n"/>
      <c r="Y21" s="658" t="n"/>
      <c r="Z21" s="658" t="n"/>
    </row>
    <row r="22" ht="12" customFormat="1" customHeight="1" s="214">
      <c r="A22" s="139" t="n"/>
      <c r="B22" s="8374" t="n"/>
      <c r="C22" s="2769" t="inlineStr">
        <is>
          <t>Married filing jointly</t>
        </is>
      </c>
      <c r="D22" s="2770" t="n"/>
      <c r="E22" s="2771" t="n"/>
      <c r="F22" s="11262" t="n"/>
      <c r="G22" s="8374" t="inlineStr">
        <is>
          <t xml:space="preserve">.   .   .   .   .   .   .   .   .   .   .   .   .   .   . </t>
        </is>
      </c>
      <c r="H22" s="12819" t="n">
        <v>250000</v>
      </c>
      <c r="I22" s="7636" t="n"/>
      <c r="J22" s="2780" t="n"/>
      <c r="K22" s="8374" t="n"/>
      <c r="L22" s="2781" t="n"/>
      <c r="M22" s="2791" t="n"/>
      <c r="N22" s="2783" t="n"/>
      <c r="O22" s="2784" t="n"/>
      <c r="P22" s="962" t="n"/>
      <c r="Q22" s="8885" t="n"/>
      <c r="R22" s="2979" t="n"/>
      <c r="S22" s="658" t="n"/>
      <c r="T22" s="658" t="n"/>
      <c r="U22" s="658" t="n"/>
      <c r="V22" s="658" t="n"/>
      <c r="W22" s="658" t="n"/>
      <c r="X22" s="658" t="n"/>
      <c r="Y22" s="658" t="n"/>
      <c r="Z22" s="658" t="n"/>
    </row>
    <row r="23" ht="12" customFormat="1" customHeight="1" s="214">
      <c r="A23" s="139" t="n"/>
      <c r="B23" s="8374" t="n"/>
      <c r="C23" s="2769" t="inlineStr">
        <is>
          <t>Married filing separately</t>
        </is>
      </c>
      <c r="D23" s="2770" t="n"/>
      <c r="E23" s="2771" t="n"/>
      <c r="F23" s="11262" t="n"/>
      <c r="G23" s="8374" t="inlineStr">
        <is>
          <t xml:space="preserve">.   .   .   .   .   .   .   .   .   .   .   .   .   . </t>
        </is>
      </c>
      <c r="H23" s="12819" t="n">
        <v>125000</v>
      </c>
      <c r="I23" s="7636" t="n"/>
      <c r="J23" s="2780" t="n"/>
      <c r="K23" s="8374" t="n"/>
      <c r="L23" s="2781" t="n"/>
      <c r="M23" s="2792" t="n"/>
      <c r="N23" s="2783" t="n"/>
      <c r="O23" s="2784" t="n"/>
      <c r="P23" s="962" t="n"/>
      <c r="Q23" s="8885" t="n"/>
      <c r="R23" s="2979" t="n"/>
      <c r="S23" s="658" t="n"/>
      <c r="T23" s="658" t="n"/>
      <c r="U23" s="658" t="n"/>
      <c r="V23" s="658" t="n"/>
      <c r="W23" s="658" t="n"/>
      <c r="X23" s="658" t="n"/>
      <c r="Y23" s="658" t="n"/>
      <c r="Z23" s="658" t="n"/>
    </row>
    <row r="24" ht="12" customHeight="1" s="7635" thickBot="1">
      <c r="A24" s="139" t="n"/>
      <c r="B24" s="8374" t="n"/>
      <c r="C24" s="2769" t="inlineStr">
        <is>
          <t>Single, Head of household, or Qualifying surviving spouse   .   .</t>
        </is>
      </c>
      <c r="D24" s="2769" t="n"/>
      <c r="E24" s="8374" t="n"/>
      <c r="F24" s="11262" t="n"/>
      <c r="G24" s="8374" t="n"/>
      <c r="H24" s="12819" t="n">
        <v>200000</v>
      </c>
      <c r="I24" s="7636" t="n"/>
      <c r="J24" s="3742">
        <f>B21</f>
        <v/>
      </c>
      <c r="K24" s="6585">
        <f>IF($K$17="","",IF(M24="---","Filing Status?",M24))</f>
        <v/>
      </c>
      <c r="L24" s="2781" t="n"/>
      <c r="M24" s="9618">
        <f>IF(File_Marr_Joint&lt;&gt;"",H22,IF(File_Marr_Sep&lt;&gt;"",H23,IF(OR(File_Single&lt;&gt;"",File_Head&lt;&gt;"",File_Qual_Widow&lt;&gt;""),H24,"---")))</f>
        <v/>
      </c>
      <c r="N24" s="2775" t="n"/>
      <c r="O24" s="2776" t="n"/>
      <c r="P24" s="962" t="n"/>
      <c r="Q24" s="229" t="n"/>
      <c r="R24" s="2979" t="n"/>
    </row>
    <row r="25" ht="12.75" customHeight="1" s="7635">
      <c r="A25" s="139" t="n"/>
      <c r="B25" s="8374" t="n">
        <v>6</v>
      </c>
      <c r="C25" s="2769" t="inlineStr">
        <is>
          <t>Subtract line 5 from line 4. If the result is zero or less, enter -0-</t>
        </is>
      </c>
      <c r="D25" s="2770" t="n"/>
      <c r="E25" s="11262" t="n"/>
      <c r="F25" s="11262" t="n"/>
      <c r="G25" s="2771" t="n"/>
      <c r="H25" s="2771" t="n"/>
      <c r="I25" s="2771" t="n"/>
      <c r="J25" s="2771" t="n"/>
      <c r="K25" s="2031" t="inlineStr">
        <is>
          <t xml:space="preserve">   .   .   .   .   .   .   .   .   .   .   .   . </t>
        </is>
      </c>
      <c r="L25" s="2773">
        <f>B25</f>
        <v/>
      </c>
      <c r="M25" s="2774">
        <f>IF(OR($K$17="",M24="---"),"",IF(K24&gt;=K20,0,SUM(K20,-K24)))</f>
        <v/>
      </c>
      <c r="N25" s="2775" t="n"/>
      <c r="O25" s="2776" t="n"/>
      <c r="P25" s="962" t="n"/>
      <c r="Q25" s="8885" t="n"/>
      <c r="R25" s="2979" t="n"/>
    </row>
    <row r="26" ht="12" customFormat="1" customHeight="1" s="214">
      <c r="A26" s="139" t="n"/>
      <c r="B26" s="8374" t="n">
        <v>7</v>
      </c>
      <c r="C26" s="2769">
        <f>"Additional Medicare Tax on Medicare wages. Multiply line 6 by "&amp;TEXT(M26,"0.0%")&amp;" ("&amp;TEXT(M26,"0.000")&amp;"). Enter here and"</f>
        <v/>
      </c>
      <c r="D26" s="2770" t="n"/>
      <c r="E26" s="11262" t="n"/>
      <c r="F26" s="11262" t="n"/>
      <c r="G26" s="2771" t="n"/>
      <c r="H26" s="2771" t="n"/>
      <c r="I26" s="2771" t="n"/>
      <c r="J26" s="2771" t="n"/>
      <c r="K26" s="8374" t="n"/>
      <c r="L26" s="2805" t="n"/>
      <c r="M26" s="12820" t="n">
        <v>0.008999999999999999</v>
      </c>
      <c r="N26" s="2783" t="n"/>
      <c r="O26" s="2784" t="n"/>
      <c r="P26" s="962" t="n"/>
      <c r="Q26" s="8885" t="n"/>
      <c r="R26" s="2979" t="n"/>
      <c r="S26" s="658" t="n"/>
      <c r="T26" s="658" t="n"/>
      <c r="U26" s="658" t="n"/>
      <c r="V26" s="658" t="n"/>
      <c r="W26" s="658" t="n"/>
      <c r="X26" s="658" t="n"/>
      <c r="Y26" s="658" t="n"/>
      <c r="Z26" s="658" t="n"/>
    </row>
    <row r="27" ht="11.25" customHeight="1" s="7635">
      <c r="A27" s="139" t="n"/>
      <c r="B27" s="8374" t="n"/>
      <c r="C27" s="2769" t="inlineStr">
        <is>
          <t>go to Part II</t>
        </is>
      </c>
      <c r="D27" s="2769" t="n"/>
      <c r="E27" s="11262" t="n"/>
      <c r="F27" s="11262" t="n"/>
      <c r="G27" s="2771" t="n"/>
      <c r="H27" s="2771" t="n"/>
      <c r="I27" s="2771" t="n"/>
      <c r="J27" s="2771" t="n"/>
      <c r="K27" s="2031" t="inlineStr">
        <is>
          <t xml:space="preserve">.   .   .   .   .   .   .   .   .   .   .   .   .   .   .   .   .   .   .   .   .   .   .   .   .   .   .   .   .   . </t>
        </is>
      </c>
      <c r="L27" s="2805">
        <f>B26</f>
        <v/>
      </c>
      <c r="M27" s="2774">
        <f>IF(P27&lt;&gt;"",ROUND(P27,0),IF(OR(K17="",K20="",M24="---"),"",ROUND(M25*M26,0)))</f>
        <v/>
      </c>
      <c r="N27" s="2775" t="n"/>
      <c r="O27" s="2806" t="n"/>
      <c r="P27" s="118" t="n"/>
      <c r="Q27" s="8885" t="n"/>
      <c r="R27" s="6582" t="n"/>
    </row>
    <row r="28" ht="15.75" customFormat="1" customHeight="1" s="214">
      <c r="A28" s="139" t="n"/>
      <c r="B28" s="2793" t="inlineStr">
        <is>
          <t>Part II</t>
        </is>
      </c>
      <c r="C28" s="10341" t="inlineStr">
        <is>
          <t xml:space="preserve">     Additional Medicare Tax on Self-Employment Income</t>
        </is>
      </c>
      <c r="D28" s="8412" t="n"/>
      <c r="E28" s="8412" t="n"/>
      <c r="F28" s="8412" t="n"/>
      <c r="G28" s="8412" t="n"/>
      <c r="H28" s="8412" t="n"/>
      <c r="I28" s="8412" t="n"/>
      <c r="J28" s="8412" t="n"/>
      <c r="K28" s="8412" t="n"/>
      <c r="L28" s="8412" t="n"/>
      <c r="M28" s="8412" t="n"/>
      <c r="N28" s="2794" t="n"/>
      <c r="O28" s="2795" t="n"/>
      <c r="P28" s="962" t="n"/>
      <c r="Q28" s="2617" t="n"/>
      <c r="R28" s="3040" t="inlineStr">
        <is>
          <t>Sch. SE Line 6</t>
        </is>
      </c>
      <c r="S28" s="658" t="n"/>
      <c r="T28" s="658" t="n"/>
      <c r="U28" s="658" t="n"/>
      <c r="V28" s="658" t="n"/>
      <c r="W28" s="658" t="n"/>
      <c r="X28" s="658" t="n"/>
      <c r="Y28" s="658" t="n"/>
      <c r="Z28" s="658" t="n"/>
    </row>
    <row r="29" ht="12" customFormat="1" customHeight="1" s="214">
      <c r="A29" s="139" t="n"/>
      <c r="B29" s="8374" t="n">
        <v>8</v>
      </c>
      <c r="C29" s="2769" t="inlineStr">
        <is>
          <t>Self-employment income from Schedule SE (Form 1040), Part I, line 6.</t>
        </is>
      </c>
      <c r="D29" s="2770" t="n"/>
      <c r="E29" s="11262" t="n"/>
      <c r="F29" s="11262" t="n"/>
      <c r="G29" s="2771" t="n"/>
      <c r="H29" s="2771" t="n"/>
      <c r="I29" s="2771" t="n"/>
      <c r="J29" s="6517" t="n"/>
      <c r="K29" s="6586">
        <f>SUM(R29,R30)</f>
        <v/>
      </c>
      <c r="L29" s="2781" t="n"/>
      <c r="M29" s="2986" t="n"/>
      <c r="N29" s="2783" t="n"/>
      <c r="O29" s="2784" t="n"/>
      <c r="P29" s="962" t="n"/>
      <c r="Q29" s="8885" t="n"/>
      <c r="R29" s="2979">
        <f>IF(AND('Sch. SE'!X30&lt;&gt;"",'Sch. SE'!X30&gt;0),'Sch. SE'!X30,0)</f>
        <v/>
      </c>
      <c r="S29" s="658" t="n"/>
      <c r="T29" s="658" t="n"/>
      <c r="U29" s="658" t="n"/>
      <c r="V29" s="658" t="n"/>
      <c r="W29" s="658" t="n"/>
      <c r="X29" s="658" t="n"/>
      <c r="Y29" s="658" t="n"/>
      <c r="Z29" s="658" t="n"/>
    </row>
    <row r="30" ht="12" customHeight="1" s="7635">
      <c r="A30" s="139" t="n"/>
      <c r="B30" s="8374" t="n"/>
      <c r="C30" s="3336" t="inlineStr">
        <is>
          <t>If you had a loss, enter -0-</t>
        </is>
      </c>
      <c r="D30" s="2769" t="n"/>
      <c r="E30" s="11262" t="n"/>
      <c r="F30" s="11262" t="n"/>
      <c r="G30" s="2771" t="n"/>
      <c r="H30" s="8374" t="n"/>
      <c r="I30" s="8374" t="inlineStr">
        <is>
          <t xml:space="preserve">.   .   .   .   .   .   .   .   .   .   .   .   .   .   .   .   . </t>
        </is>
      </c>
      <c r="J30" s="2773">
        <f>B29</f>
        <v/>
      </c>
      <c r="K30" s="2774">
        <f>IF(P30&lt;&gt;"",ROUND(P30,2),IF(NOT(P7),"",IF(K29&lt;=400,0,K29)))</f>
        <v/>
      </c>
      <c r="L30" s="2781" t="n"/>
      <c r="M30" s="2791" t="n"/>
      <c r="N30" s="2775" t="n"/>
      <c r="O30" s="2776" t="n"/>
      <c r="P30" s="118" t="n"/>
      <c r="Q30" s="229" t="n"/>
      <c r="R30" s="2979">
        <f>IF(AND('Sch. SE'!X90&lt;&gt;"",'Sch. SE'!X90&gt;=0),'Sch. SE'!X90,0)</f>
        <v/>
      </c>
    </row>
    <row r="31" ht="12" customFormat="1" customHeight="1" s="214">
      <c r="A31" s="139" t="n"/>
      <c r="B31" s="8374" t="n">
        <v>9</v>
      </c>
      <c r="C31" s="2769" t="inlineStr">
        <is>
          <t>Enter the following amount for your filing status:</t>
        </is>
      </c>
      <c r="D31" s="2770" t="n"/>
      <c r="E31" s="11262" t="n"/>
      <c r="F31" s="11262" t="n"/>
      <c r="G31" s="2771" t="n"/>
      <c r="H31" s="2771" t="n"/>
      <c r="I31" s="2771" t="n"/>
      <c r="J31" s="6584" t="n"/>
      <c r="K31" s="8374" t="n"/>
      <c r="L31" s="2781" t="n"/>
      <c r="M31" s="2791" t="n"/>
      <c r="N31" s="2783" t="n"/>
      <c r="O31" s="2784" t="n"/>
      <c r="P31" s="962" t="n"/>
      <c r="Q31" s="8885" t="n"/>
      <c r="R31" s="4288" t="n"/>
      <c r="S31" s="658" t="n"/>
      <c r="T31" s="658" t="n"/>
      <c r="U31" s="658" t="n"/>
      <c r="V31" s="658" t="n"/>
      <c r="W31" s="658" t="n"/>
      <c r="X31" s="658" t="n"/>
      <c r="Y31" s="658" t="n"/>
      <c r="Z31" s="658" t="n"/>
    </row>
    <row r="32" ht="12" customFormat="1" customHeight="1" s="214">
      <c r="A32" s="139" t="n"/>
      <c r="B32" s="8374" t="n"/>
      <c r="C32" s="2769" t="inlineStr">
        <is>
          <t>Married filing jointly</t>
        </is>
      </c>
      <c r="D32" s="2770" t="n"/>
      <c r="E32" s="11262" t="n"/>
      <c r="F32" s="8374" t="n"/>
      <c r="G32" s="8374" t="inlineStr">
        <is>
          <t xml:space="preserve">.   .   .   .   .   .   .   .   .   .   .   .   .   .   .   . </t>
        </is>
      </c>
      <c r="H32" s="12819" t="n">
        <v>250000</v>
      </c>
      <c r="I32" s="7636" t="n"/>
      <c r="J32" s="2780" t="n"/>
      <c r="K32" s="8374" t="n"/>
      <c r="L32" s="2781" t="n"/>
      <c r="M32" s="2791" t="n"/>
      <c r="N32" s="2783" t="n"/>
      <c r="O32" s="2784" t="n"/>
      <c r="P32" s="962" t="n"/>
      <c r="Q32" s="8885" t="n"/>
      <c r="R32" s="6587" t="n"/>
      <c r="S32" s="658" t="n"/>
      <c r="T32" s="658" t="n"/>
      <c r="U32" s="658" t="n"/>
      <c r="V32" s="658" t="n"/>
      <c r="W32" s="658" t="n"/>
      <c r="X32" s="658" t="n"/>
      <c r="Y32" s="658" t="n"/>
      <c r="Z32" s="658" t="n"/>
    </row>
    <row r="33" ht="12" customFormat="1" customHeight="1" s="214">
      <c r="A33" s="139" t="n"/>
      <c r="B33" s="8374" t="n"/>
      <c r="C33" s="2769" t="inlineStr">
        <is>
          <t>Married filing separately</t>
        </is>
      </c>
      <c r="D33" s="2770" t="n"/>
      <c r="E33" s="11262" t="n"/>
      <c r="F33" s="8374" t="n"/>
      <c r="G33" s="8374" t="inlineStr">
        <is>
          <t xml:space="preserve">.   .   .   .   .   .   .   .   .   .   .   .   .   .   . </t>
        </is>
      </c>
      <c r="H33" s="12819" t="n">
        <v>125000</v>
      </c>
      <c r="I33" s="7636" t="n"/>
      <c r="J33" s="2780" t="n"/>
      <c r="K33" s="8374" t="n"/>
      <c r="L33" s="2781" t="n"/>
      <c r="M33" s="2792" t="n"/>
      <c r="N33" s="2783" t="n"/>
      <c r="O33" s="2784" t="n"/>
      <c r="P33" s="962" t="n"/>
      <c r="Q33" s="8885" t="n"/>
      <c r="R33" s="6587" t="n"/>
      <c r="S33" s="658" t="n"/>
      <c r="T33" s="658" t="n"/>
      <c r="U33" s="658" t="n"/>
      <c r="V33" s="658" t="n"/>
      <c r="W33" s="658" t="n"/>
      <c r="X33" s="658" t="n"/>
      <c r="Y33" s="658" t="n"/>
      <c r="Z33" s="658" t="n"/>
    </row>
    <row r="34" ht="12" customHeight="1" s="7635">
      <c r="A34" s="139" t="n"/>
      <c r="B34" s="8374" t="n"/>
      <c r="C34" s="2769" t="inlineStr">
        <is>
          <t>Single, Head of household, or Qualifying surviving spouse   .   .</t>
        </is>
      </c>
      <c r="D34" s="2769" t="n"/>
      <c r="E34" s="11262" t="n"/>
      <c r="F34" s="3313" t="n"/>
      <c r="G34" s="8374" t="n"/>
      <c r="H34" s="12819" t="n">
        <v>200000</v>
      </c>
      <c r="I34" s="7636" t="n"/>
      <c r="J34" s="2773">
        <f>B31</f>
        <v/>
      </c>
      <c r="K34" s="2774">
        <f>IF(OR($K$30="",NOT(P7)),"",IF(M34="---","Filing Status?",M34))</f>
        <v/>
      </c>
      <c r="L34" s="2781" t="n"/>
      <c r="M34" s="3159">
        <f>IF(File_Marr_Joint&lt;&gt;"",H32,IF(File_Marr_Sep&lt;&gt;"",H33,IF(OR(File_Single&lt;&gt;"",File_Head&lt;&gt;"",File_Qual_Widow&lt;&gt;""),H34,"---")))</f>
        <v/>
      </c>
      <c r="N34" s="2775" t="n"/>
      <c r="O34" s="2776" t="n"/>
      <c r="P34" s="962" t="n"/>
      <c r="Q34" s="229" t="n"/>
      <c r="R34" s="2979" t="n"/>
    </row>
    <row r="35" ht="12" customHeight="1" s="7635" thickBot="1">
      <c r="A35" s="139" t="n"/>
      <c r="B35" s="8374" t="n">
        <v>10</v>
      </c>
      <c r="C35" s="2769" t="inlineStr">
        <is>
          <t>Enter the amount from line 4</t>
        </is>
      </c>
      <c r="D35" s="2769" t="n"/>
      <c r="E35" s="11262" t="n"/>
      <c r="F35" s="11262" t="n"/>
      <c r="G35" s="2771" t="n"/>
      <c r="H35" s="8374" t="n"/>
      <c r="I35" s="8374" t="inlineStr">
        <is>
          <t xml:space="preserve">.   .   .   .   .   .   .   .   .   .   .   .   .   .   .   .   . </t>
        </is>
      </c>
      <c r="J35" s="5216">
        <f>B35</f>
        <v/>
      </c>
      <c r="K35" s="6588">
        <f>IF(OR($K$30="",NOT(P7),M34="---"),"",IF(K20="",0,K20))</f>
        <v/>
      </c>
      <c r="L35" s="2781" t="n"/>
      <c r="M35" s="2791" t="n"/>
      <c r="N35" s="2775" t="n"/>
      <c r="O35" s="2776" t="n"/>
      <c r="P35" s="962" t="n"/>
      <c r="Q35" s="229" t="n"/>
      <c r="R35" s="2979" t="n"/>
    </row>
    <row r="36" ht="12" customHeight="1" s="7635" thickBot="1">
      <c r="A36" s="139" t="n"/>
      <c r="B36" s="8374" t="n">
        <v>11</v>
      </c>
      <c r="C36" s="2769" t="inlineStr">
        <is>
          <t>Subtract line 10 from line 9. If zero or less, enter -0-</t>
        </is>
      </c>
      <c r="D36" s="2769" t="n"/>
      <c r="E36" s="11262" t="n"/>
      <c r="F36" s="11262" t="n"/>
      <c r="G36" s="2771" t="n"/>
      <c r="H36" s="8374" t="n"/>
      <c r="I36" s="8374" t="inlineStr">
        <is>
          <t xml:space="preserve">.   .   .   .   .   .   .   .   . </t>
        </is>
      </c>
      <c r="J36" s="6589">
        <f>B36</f>
        <v/>
      </c>
      <c r="K36" s="6590">
        <f>IF(OR($K$30="",NOT(P7),M34="---"),"",IF(K35&gt;=K34,0,SUM(K34,-K35)))</f>
        <v/>
      </c>
      <c r="L36" s="2781" t="n"/>
      <c r="M36" s="3159">
        <f>SUM(K20,K30)</f>
        <v/>
      </c>
      <c r="N36" s="2775" t="n"/>
      <c r="O36" s="2776" t="n"/>
      <c r="P36" s="962" t="n"/>
      <c r="Q36" s="229" t="n"/>
      <c r="R36" s="2979" t="n"/>
    </row>
    <row r="37" ht="12.75" customHeight="1" s="7635">
      <c r="A37" s="139" t="n"/>
      <c r="B37" s="8374" t="n">
        <v>12</v>
      </c>
      <c r="C37" s="2769" t="inlineStr">
        <is>
          <t>Subtract line 11 from line 8. If the result is zero or less, enter -0-</t>
        </is>
      </c>
      <c r="D37" s="2770" t="n"/>
      <c r="E37" s="11262" t="n"/>
      <c r="F37" s="11262" t="n"/>
      <c r="G37" s="2771" t="n"/>
      <c r="H37" s="2771" t="n"/>
      <c r="I37" s="2771" t="n"/>
      <c r="J37" s="2771" t="n"/>
      <c r="K37" s="8374" t="inlineStr">
        <is>
          <t xml:space="preserve">.   .   .   .   .   .   .   .   .   .   .   .   .   . </t>
        </is>
      </c>
      <c r="L37" s="2773">
        <f>B37</f>
        <v/>
      </c>
      <c r="M37" s="2774">
        <f>IF(OR($K$30="",NOT(P7),M34="---"),"",IF(K36&gt;=K30,0,SUM(K30,-K36)))</f>
        <v/>
      </c>
      <c r="N37" s="2775" t="n"/>
      <c r="O37" s="2776" t="n"/>
      <c r="P37" s="962" t="n"/>
      <c r="Q37" s="8885" t="n"/>
      <c r="R37" s="2979" t="n"/>
    </row>
    <row r="38" ht="12" customFormat="1" customHeight="1" s="214">
      <c r="A38" s="139" t="n"/>
      <c r="B38" s="8374" t="n">
        <v>13</v>
      </c>
      <c r="C38" s="2769">
        <f>"Additional Medicare Tax on self-employment income. Multiply line 12 by "&amp;TEXT(M38,"0.0%")&amp;" ("&amp;TEXT(M38,"0.000")&amp;"). Enter here"</f>
        <v/>
      </c>
      <c r="D38" s="2770" t="n"/>
      <c r="E38" s="11262" t="n"/>
      <c r="F38" s="11262" t="n"/>
      <c r="G38" s="2771" t="n"/>
      <c r="H38" s="2771" t="n"/>
      <c r="I38" s="2771" t="n"/>
      <c r="J38" s="2771" t="n"/>
      <c r="K38" s="8374" t="n"/>
      <c r="L38" s="2805" t="n"/>
      <c r="M38" s="12820" t="n">
        <v>0.008999999999999999</v>
      </c>
      <c r="N38" s="2783" t="n"/>
      <c r="O38" s="2784" t="n"/>
      <c r="P38" s="962" t="n"/>
      <c r="Q38" s="8885" t="n"/>
      <c r="R38" s="2979" t="n"/>
      <c r="S38" s="658" t="n"/>
      <c r="T38" s="658" t="n"/>
      <c r="U38" s="658" t="n"/>
      <c r="V38" s="658" t="n"/>
      <c r="W38" s="658" t="n"/>
      <c r="X38" s="658" t="n"/>
      <c r="Y38" s="658" t="n"/>
      <c r="Z38" s="658" t="n"/>
    </row>
    <row r="39" ht="12.75" customHeight="1" s="7635">
      <c r="A39" s="139" t="n"/>
      <c r="B39" s="8374" t="n"/>
      <c r="C39" s="2769" t="inlineStr">
        <is>
          <t>and go to Part III</t>
        </is>
      </c>
      <c r="D39" s="2769" t="n"/>
      <c r="E39" s="11262" t="n"/>
      <c r="F39" s="11262" t="n"/>
      <c r="G39" s="2771" t="n"/>
      <c r="H39" s="2771" t="n"/>
      <c r="I39" s="2771" t="n"/>
      <c r="J39" s="2771" t="n"/>
      <c r="K39" s="2031" t="inlineStr">
        <is>
          <t xml:space="preserve">.   .   .   .   .   .   .   .   .   .   .   .   .   .   .   .   .   .   .   .   .   .   .   .   .   .   .   .   .   . </t>
        </is>
      </c>
      <c r="L39" s="2805">
        <f>B38</f>
        <v/>
      </c>
      <c r="M39" s="2774">
        <f>IF(OR($K$30="",NOT(P7),M34="---"),"",IF(P39&lt;&gt;"",ROUND(P39,0),ROUND(M37*M38,0)))</f>
        <v/>
      </c>
      <c r="N39" s="2775" t="n"/>
      <c r="O39" s="2806" t="n"/>
      <c r="P39" s="118" t="n"/>
      <c r="Q39" s="8885" t="n"/>
      <c r="R39" s="6582" t="n"/>
    </row>
    <row r="40" ht="15.75" customFormat="1" customHeight="1" s="214">
      <c r="A40" s="139" t="n"/>
      <c r="B40" s="2793" t="inlineStr">
        <is>
          <t>Part III</t>
        </is>
      </c>
      <c r="C40" s="10341" t="inlineStr">
        <is>
          <t xml:space="preserve">     Additional Medicare Tax on Railroad Retirement Tax Act (RRTA) Compensation</t>
        </is>
      </c>
      <c r="D40" s="8412" t="n"/>
      <c r="E40" s="8412" t="n"/>
      <c r="F40" s="8412" t="n"/>
      <c r="G40" s="8412" t="n"/>
      <c r="H40" s="8412" t="n"/>
      <c r="I40" s="8412" t="n"/>
      <c r="J40" s="8412" t="n"/>
      <c r="K40" s="8412" t="n"/>
      <c r="L40" s="8412" t="n"/>
      <c r="M40" s="8412" t="n"/>
      <c r="N40" s="2794" t="n"/>
      <c r="O40" s="2795" t="n"/>
      <c r="P40" s="962" t="n"/>
      <c r="Q40" s="2617" t="n"/>
      <c r="R40" s="2979" t="n"/>
      <c r="S40" s="658" t="n"/>
      <c r="T40" s="658" t="n"/>
      <c r="U40" s="658" t="n"/>
      <c r="V40" s="658" t="n"/>
      <c r="W40" s="658" t="n"/>
      <c r="X40" s="658" t="n"/>
      <c r="Y40" s="658" t="n"/>
      <c r="Z40" s="658" t="n"/>
    </row>
    <row r="41" ht="12" customFormat="1" customHeight="1" s="214">
      <c r="A41" s="139" t="n"/>
      <c r="B41" s="8374" t="n">
        <v>14</v>
      </c>
      <c r="C41" s="2770" t="inlineStr">
        <is>
          <t>Railroad retirement (RRTA) compensation and tips from Form(s) W-2, box 14</t>
        </is>
      </c>
      <c r="D41" s="2770" t="n"/>
      <c r="E41" s="11262" t="n"/>
      <c r="F41" s="11262" t="n"/>
      <c r="G41" s="2771" t="n"/>
      <c r="H41" s="2771" t="n"/>
      <c r="I41" s="2771" t="n"/>
      <c r="J41" s="6517" t="n"/>
      <c r="K41" s="8374" t="n"/>
      <c r="L41" s="2781" t="n"/>
      <c r="M41" s="2986" t="n"/>
      <c r="N41" s="2783" t="n"/>
      <c r="O41" s="2784" t="n"/>
      <c r="P41" s="962" t="n"/>
      <c r="Q41" s="8885" t="n"/>
      <c r="R41" s="2979" t="n"/>
      <c r="S41" s="658" t="n"/>
      <c r="T41" s="658" t="n"/>
      <c r="U41" s="658" t="n"/>
      <c r="V41" s="658" t="n"/>
      <c r="W41" s="658" t="n"/>
      <c r="X41" s="658" t="n"/>
      <c r="Y41" s="658" t="n"/>
      <c r="Z41" s="658" t="n"/>
    </row>
    <row r="42" ht="12" customHeight="1" s="7635">
      <c r="A42" s="139" t="n"/>
      <c r="B42" s="8374" t="n"/>
      <c r="C42" s="5252" t="inlineStr">
        <is>
          <t>(see instructions)</t>
        </is>
      </c>
      <c r="D42" s="2769" t="n"/>
      <c r="E42" s="11262" t="n"/>
      <c r="F42" s="11262" t="n"/>
      <c r="G42" s="2771" t="n"/>
      <c r="H42" s="8374" t="n"/>
      <c r="I42" s="8374" t="inlineStr">
        <is>
          <t xml:space="preserve">.   .   .   .   .   .   .   .   .   .   .   .   .   .   .   .   . </t>
        </is>
      </c>
      <c r="J42" s="2773">
        <f>B41</f>
        <v/>
      </c>
      <c r="K42" s="2816">
        <f>IF(P42&lt;&gt;"",ROUND(P42,0),IF(OR(NOT(P7),RRTA_Compensation=0),"",ROUND(RRTA_Compensation,0)))</f>
        <v/>
      </c>
      <c r="L42" s="2781" t="n"/>
      <c r="M42" s="2791" t="n"/>
      <c r="N42" s="2775" t="n"/>
      <c r="O42" s="2776" t="n"/>
      <c r="P42" s="118" t="n"/>
      <c r="Q42" s="229" t="n"/>
      <c r="R42" s="2979" t="n"/>
    </row>
    <row r="43" ht="12" customFormat="1" customHeight="1" s="214">
      <c r="A43" s="139" t="n"/>
      <c r="B43" s="8374" t="n">
        <v>15</v>
      </c>
      <c r="C43" s="2769" t="inlineStr">
        <is>
          <t>Enter the following amount for your filing status:</t>
        </is>
      </c>
      <c r="D43" s="2770" t="n"/>
      <c r="E43" s="11262" t="n"/>
      <c r="F43" s="11262" t="n"/>
      <c r="G43" s="2771" t="n"/>
      <c r="H43" s="2771" t="n"/>
      <c r="I43" s="2771" t="n"/>
      <c r="J43" s="6584" t="n"/>
      <c r="K43" s="8374" t="n"/>
      <c r="L43" s="2781" t="n"/>
      <c r="M43" s="2791" t="n"/>
      <c r="N43" s="2783" t="n"/>
      <c r="O43" s="2784" t="n"/>
      <c r="P43" s="962" t="n"/>
      <c r="Q43" s="8885" t="n"/>
      <c r="R43" s="2979" t="n"/>
      <c r="S43" s="658" t="n"/>
      <c r="T43" s="658" t="n"/>
      <c r="U43" s="658" t="n"/>
      <c r="V43" s="658" t="n"/>
      <c r="W43" s="658" t="n"/>
      <c r="X43" s="658" t="n"/>
      <c r="Y43" s="658" t="n"/>
      <c r="Z43" s="658" t="n"/>
    </row>
    <row r="44" ht="12" customFormat="1" customHeight="1" s="214">
      <c r="A44" s="139" t="n"/>
      <c r="B44" s="8374" t="n"/>
      <c r="C44" s="2769" t="inlineStr">
        <is>
          <t>Married filing jointly</t>
        </is>
      </c>
      <c r="D44" s="2770" t="n"/>
      <c r="E44" s="11262" t="n"/>
      <c r="F44" s="8374" t="n"/>
      <c r="G44" s="8374" t="inlineStr">
        <is>
          <t xml:space="preserve">.   .   .   .   .   .   .   .   .   .   .   .   .   .   .   . </t>
        </is>
      </c>
      <c r="H44" s="12819" t="n">
        <v>250000</v>
      </c>
      <c r="I44" s="7636" t="n"/>
      <c r="J44" s="2780" t="n"/>
      <c r="K44" s="8374" t="n"/>
      <c r="L44" s="2781" t="n"/>
      <c r="M44" s="2791" t="n"/>
      <c r="N44" s="2783" t="n"/>
      <c r="O44" s="2784" t="n"/>
      <c r="P44" s="962" t="n"/>
      <c r="Q44" s="8885" t="n"/>
      <c r="R44" s="2979" t="n"/>
      <c r="S44" s="658" t="n"/>
      <c r="T44" s="658" t="n"/>
      <c r="U44" s="658" t="n"/>
      <c r="V44" s="658" t="n"/>
      <c r="W44" s="658" t="n"/>
      <c r="X44" s="658" t="n"/>
      <c r="Y44" s="658" t="n"/>
      <c r="Z44" s="658" t="n"/>
    </row>
    <row r="45" ht="12" customFormat="1" customHeight="1" s="214">
      <c r="A45" s="139" t="n"/>
      <c r="B45" s="8374" t="n"/>
      <c r="C45" s="2769" t="inlineStr">
        <is>
          <t>Married filing separately</t>
        </is>
      </c>
      <c r="D45" s="2770" t="n"/>
      <c r="E45" s="11262" t="n"/>
      <c r="F45" s="8374" t="n"/>
      <c r="G45" s="8374" t="inlineStr">
        <is>
          <t xml:space="preserve">.   .   .   .   .   .   .   .   .   .   .   .   .   . </t>
        </is>
      </c>
      <c r="H45" s="12819" t="n">
        <v>125000</v>
      </c>
      <c r="I45" s="7636" t="n"/>
      <c r="J45" s="2780" t="n"/>
      <c r="K45" s="8374" t="n"/>
      <c r="L45" s="2781" t="n"/>
      <c r="M45" s="2792" t="n"/>
      <c r="N45" s="2783" t="n"/>
      <c r="O45" s="2784" t="n"/>
      <c r="P45" s="962" t="n"/>
      <c r="Q45" s="8885" t="n"/>
      <c r="R45" s="2979" t="n"/>
      <c r="S45" s="658" t="n"/>
      <c r="T45" s="658" t="n"/>
      <c r="U45" s="658" t="n"/>
      <c r="V45" s="658" t="n"/>
      <c r="W45" s="658" t="n"/>
      <c r="X45" s="658" t="n"/>
      <c r="Y45" s="658" t="n"/>
      <c r="Z45" s="658" t="n"/>
    </row>
    <row r="46" ht="12" customHeight="1" s="7635" thickBot="1">
      <c r="A46" s="139" t="n"/>
      <c r="B46" s="8374" t="n"/>
      <c r="C46" s="2769" t="inlineStr">
        <is>
          <t>Single, Head of household, or Qualifying surviving spouse   .   .</t>
        </is>
      </c>
      <c r="D46" s="2769" t="n"/>
      <c r="E46" s="11262" t="n"/>
      <c r="F46" s="11262" t="n"/>
      <c r="G46" s="8374" t="n"/>
      <c r="H46" s="12819" t="n">
        <v>200000</v>
      </c>
      <c r="I46" s="7636" t="n"/>
      <c r="J46" s="3742">
        <f>B43</f>
        <v/>
      </c>
      <c r="K46" s="6585">
        <f>IF(OR($K$42="",NOT(P7)),"",IF(M46="---","Filing Status?",M46))</f>
        <v/>
      </c>
      <c r="L46" s="2781" t="n"/>
      <c r="M46" s="3159">
        <f>IF(File_Marr_Joint&lt;&gt;"",H44,IF(File_Marr_Sep&lt;&gt;"",H45,IF(OR(File_Single&lt;&gt;"",File_Head&lt;&gt;"",File_Qual_Widow&lt;&gt;""),H46,"---")))</f>
        <v/>
      </c>
      <c r="N46" s="2775" t="n"/>
      <c r="O46" s="2776" t="n"/>
      <c r="P46" s="962" t="n"/>
      <c r="Q46" s="229" t="n"/>
      <c r="R46" s="2979" t="n"/>
    </row>
    <row r="47" ht="12.75" customHeight="1" s="7635">
      <c r="A47" s="139" t="n"/>
      <c r="B47" s="8374" t="n">
        <v>16</v>
      </c>
      <c r="C47" s="2769" t="inlineStr">
        <is>
          <t>Subtract line 15 from line 14. If the result is zero or less, enter -0-</t>
        </is>
      </c>
      <c r="D47" s="2770" t="n"/>
      <c r="E47" s="11262" t="n"/>
      <c r="F47" s="11262" t="n"/>
      <c r="G47" s="2771" t="n"/>
      <c r="H47" s="2771" t="n"/>
      <c r="I47" s="2771" t="n"/>
      <c r="J47" s="2771" t="n"/>
      <c r="K47" s="2031" t="inlineStr">
        <is>
          <t xml:space="preserve">.   .   .   .   .   .   .   .   .   .   . </t>
        </is>
      </c>
      <c r="L47" s="2773">
        <f>B47</f>
        <v/>
      </c>
      <c r="M47" s="2774">
        <f>IF(OR($K$42="",NOT(P7),M46="---"),"",IF(OR(K42="",K46&gt;=K42),0,SUM(K42,-K46)))</f>
        <v/>
      </c>
      <c r="N47" s="2775" t="n"/>
      <c r="O47" s="2776" t="n"/>
      <c r="P47" s="962" t="n"/>
      <c r="Q47" s="8885" t="n"/>
      <c r="R47" s="2979" t="n"/>
    </row>
    <row r="48" ht="12" customFormat="1" customHeight="1" s="214">
      <c r="A48" s="139" t="n"/>
      <c r="B48" s="8374" t="n">
        <v>17</v>
      </c>
      <c r="C48" s="2770">
        <f>"Additional Medicare Tax on railroad retirement (RRTA) compensation. Multiply line 16 by "&amp;TEXT(M48,"0.0%")&amp;" ("&amp;TEXT(M48,"0.000")&amp;")."</f>
        <v/>
      </c>
      <c r="D48" s="2770" t="n"/>
      <c r="E48" s="11262" t="n"/>
      <c r="F48" s="11262" t="n"/>
      <c r="G48" s="2771" t="n"/>
      <c r="H48" s="2771" t="n"/>
      <c r="I48" s="2771" t="n"/>
      <c r="J48" s="2771" t="n"/>
      <c r="K48" s="9663" t="n"/>
      <c r="L48" s="2805" t="n"/>
      <c r="M48" s="12820" t="n">
        <v>0.008999999999999999</v>
      </c>
      <c r="N48" s="2783" t="n"/>
      <c r="O48" s="2784" t="n"/>
      <c r="P48" s="962" t="n"/>
      <c r="Q48" s="8885" t="n"/>
      <c r="R48" s="2979" t="n"/>
      <c r="S48" s="658" t="n"/>
      <c r="T48" s="658" t="n"/>
      <c r="U48" s="658" t="n"/>
      <c r="V48" s="658" t="n"/>
      <c r="W48" s="658" t="n"/>
      <c r="X48" s="658" t="n"/>
      <c r="Y48" s="658" t="n"/>
      <c r="Z48" s="658" t="n"/>
    </row>
    <row r="49" ht="12.75" customHeight="1" s="7635">
      <c r="A49" s="139" t="n"/>
      <c r="B49" s="8374" t="n"/>
      <c r="C49" s="2769" t="inlineStr">
        <is>
          <t>Enter here and go to Part IV</t>
        </is>
      </c>
      <c r="D49" s="2769" t="n"/>
      <c r="E49" s="11262" t="n"/>
      <c r="F49" s="11262" t="n"/>
      <c r="G49" s="2771" t="n"/>
      <c r="H49" s="2771" t="n"/>
      <c r="I49" s="2771" t="n"/>
      <c r="J49" s="2771" t="n"/>
      <c r="K49" s="2031" t="inlineStr">
        <is>
          <t xml:space="preserve">.   .   .   .   .   .   .   .   .   .   .   .   .   .   .   .   .   .   .   .   .   .   .   .   . </t>
        </is>
      </c>
      <c r="L49" s="2805">
        <f>B48</f>
        <v/>
      </c>
      <c r="M49" s="2774">
        <f>IF(OR($K$42="",NOT(P7),M46="---"),"",IF(P49&lt;&gt;"",ROUND(P49,0),ROUND(M47*M48,0)))</f>
        <v/>
      </c>
      <c r="N49" s="2775" t="n"/>
      <c r="O49" s="2806" t="n"/>
      <c r="P49" s="118" t="n"/>
      <c r="Q49" s="8885" t="n"/>
      <c r="R49" s="6582" t="n"/>
    </row>
    <row r="50" ht="15.75" customFormat="1" customHeight="1" s="214">
      <c r="A50" s="139" t="n"/>
      <c r="B50" s="5312" t="inlineStr">
        <is>
          <t>Part IV</t>
        </is>
      </c>
      <c r="C50" s="10341" t="inlineStr">
        <is>
          <t xml:space="preserve">     Total Additional Medicare Tax</t>
        </is>
      </c>
      <c r="D50" s="8412" t="n"/>
      <c r="E50" s="8412" t="n"/>
      <c r="F50" s="8412" t="n"/>
      <c r="G50" s="8412" t="n"/>
      <c r="H50" s="8412" t="n"/>
      <c r="I50" s="8412" t="n"/>
      <c r="J50" s="8412" t="n"/>
      <c r="K50" s="8412" t="n"/>
      <c r="L50" s="8412" t="n"/>
      <c r="M50" s="8412" t="n"/>
      <c r="N50" s="2794" t="n"/>
      <c r="O50" s="2795" t="n"/>
      <c r="P50" s="962" t="n"/>
      <c r="Q50" s="2617" t="n"/>
      <c r="R50" s="2979" t="n"/>
      <c r="S50" s="658" t="n"/>
      <c r="T50" s="658" t="n"/>
      <c r="U50" s="658" t="n"/>
      <c r="V50" s="658" t="n"/>
      <c r="W50" s="658" t="n"/>
      <c r="X50" s="658" t="n"/>
      <c r="Y50" s="658" t="n"/>
      <c r="Z50" s="658" t="n"/>
    </row>
    <row r="51" ht="12" customFormat="1" customHeight="1" s="214">
      <c r="A51" s="139" t="n"/>
      <c r="B51" s="8374" t="n">
        <v>18</v>
      </c>
      <c r="C51" s="2770" t="inlineStr">
        <is>
          <t>Add lines 7, 13, and 17. Also include this amount on Schedule 2 (Form 1040), line 11, (Form 1040-SS</t>
        </is>
      </c>
      <c r="D51" s="2770" t="n"/>
      <c r="E51" s="11262" t="n"/>
      <c r="F51" s="2770" t="n"/>
      <c r="G51" s="2771" t="n"/>
      <c r="H51" s="2771" t="n"/>
      <c r="I51" s="2771" t="n"/>
      <c r="J51" s="2771" t="n"/>
      <c r="K51" s="8374" t="n"/>
      <c r="L51" s="2802" t="n"/>
      <c r="M51" s="12820" t="n">
        <v>0.008999999999999999</v>
      </c>
      <c r="N51" s="2783" t="n"/>
      <c r="O51" s="2784" t="n"/>
      <c r="P51" s="962" t="n"/>
      <c r="Q51" s="8885" t="n"/>
      <c r="R51" s="2979" t="n"/>
      <c r="S51" s="658" t="n"/>
      <c r="T51" s="658" t="n"/>
      <c r="U51" s="658" t="n"/>
      <c r="V51" s="658" t="n"/>
      <c r="W51" s="658" t="n"/>
      <c r="X51" s="658" t="n"/>
      <c r="Y51" s="658" t="n"/>
      <c r="Z51" s="658" t="n"/>
    </row>
    <row r="52" ht="12.75" customHeight="1" s="7635">
      <c r="A52" s="139" t="n"/>
      <c r="B52" s="8374" t="n"/>
      <c r="C52" s="2770" t="inlineStr">
        <is>
          <t>filers, see instructions), and go to Part V</t>
        </is>
      </c>
      <c r="D52" s="2769" t="n"/>
      <c r="E52" s="11262" t="n"/>
      <c r="F52" s="11262" t="n"/>
      <c r="G52" s="2771" t="n"/>
      <c r="H52" s="2771" t="n"/>
      <c r="I52" s="2771" t="n"/>
      <c r="J52" s="2771" t="n"/>
      <c r="K52" s="2031" t="inlineStr">
        <is>
          <t xml:space="preserve">.   .   .   .   .   .   .   .   .   .   .   .   .   .   .   .   .   . </t>
        </is>
      </c>
      <c r="L52" s="2805">
        <f>B51</f>
        <v/>
      </c>
      <c r="M52" s="2774">
        <f>IF(P52&lt;&gt;"",ROUND(P52,0),IF(OR(NOT(P7),AND(M27="",M39="",M49="")),"",SUM(M27,M39,M49)))</f>
        <v/>
      </c>
      <c r="N52" s="2775" t="n"/>
      <c r="O52" s="2806" t="n"/>
      <c r="P52" s="118" t="n"/>
      <c r="Q52" s="8885" t="n"/>
      <c r="R52" s="6582" t="n"/>
    </row>
    <row r="53" ht="15.75" customFormat="1" customHeight="1" s="214">
      <c r="A53" s="139" t="n"/>
      <c r="B53" s="5312" t="inlineStr">
        <is>
          <t>Part V</t>
        </is>
      </c>
      <c r="C53" s="10341" t="inlineStr">
        <is>
          <t xml:space="preserve">    Withholding Reconciliation</t>
        </is>
      </c>
      <c r="D53" s="8412" t="n"/>
      <c r="E53" s="8412" t="n"/>
      <c r="F53" s="8412" t="n"/>
      <c r="G53" s="8412" t="n"/>
      <c r="H53" s="8412" t="n"/>
      <c r="I53" s="8412" t="n"/>
      <c r="J53" s="8412" t="n"/>
      <c r="K53" s="8412" t="n"/>
      <c r="L53" s="8412" t="n"/>
      <c r="M53" s="8412" t="n"/>
      <c r="N53" s="2794" t="n"/>
      <c r="O53" s="2795" t="n"/>
      <c r="P53" s="962" t="n"/>
      <c r="Q53" s="2617" t="n"/>
      <c r="R53" s="2979" t="n"/>
      <c r="S53" s="658" t="n"/>
      <c r="T53" s="658" t="n"/>
      <c r="U53" s="658" t="n"/>
      <c r="V53" s="658" t="n"/>
      <c r="W53" s="658" t="n"/>
      <c r="X53" s="658" t="n"/>
      <c r="Y53" s="658" t="n"/>
      <c r="Z53" s="658" t="n"/>
    </row>
    <row r="54" ht="12" customFormat="1" customHeight="1" s="214">
      <c r="A54" s="139" t="n"/>
      <c r="B54" s="8374" t="n">
        <v>19</v>
      </c>
      <c r="C54" s="2769" t="inlineStr">
        <is>
          <t>Medicare tax withheld from Form W-2, box 6.  If you have more than one</t>
        </is>
      </c>
      <c r="D54" s="2770" t="n"/>
      <c r="E54" s="11262" t="n"/>
      <c r="F54" s="11262" t="n"/>
      <c r="G54" s="2771" t="n"/>
      <c r="H54" s="2771" t="n"/>
      <c r="I54" s="2771" t="n"/>
      <c r="J54" s="6517" t="n"/>
      <c r="K54" s="8374" t="n"/>
      <c r="L54" s="2781" t="n"/>
      <c r="M54" s="2986" t="n"/>
      <c r="N54" s="2783" t="n"/>
      <c r="O54" s="2784" t="n"/>
      <c r="P54" s="962" t="n"/>
      <c r="Q54" s="8885" t="n"/>
      <c r="R54" s="2979" t="n"/>
      <c r="S54" s="658" t="n"/>
      <c r="T54" s="658" t="n"/>
      <c r="U54" s="658" t="n"/>
      <c r="V54" s="658" t="n"/>
      <c r="W54" s="658" t="n"/>
      <c r="X54" s="658" t="n"/>
      <c r="Y54" s="658" t="n"/>
      <c r="Z54" s="658" t="n"/>
    </row>
    <row r="55" ht="12" customHeight="1" s="7635">
      <c r="A55" s="139" t="n"/>
      <c r="B55" s="8374" t="n"/>
      <c r="C55" s="2769" t="inlineStr">
        <is>
          <t>Form W-2, enter the total of the amounts from box 6</t>
        </is>
      </c>
      <c r="D55" s="2769" t="n"/>
      <c r="E55" s="11262" t="n"/>
      <c r="F55" s="11262" t="n"/>
      <c r="G55" s="2771" t="n"/>
      <c r="H55" s="8374" t="n"/>
      <c r="I55" s="2031" t="inlineStr">
        <is>
          <t xml:space="preserve">.   .   .   .   .   .   . </t>
        </is>
      </c>
      <c r="J55" s="2773">
        <f>B54</f>
        <v/>
      </c>
      <c r="K55" s="2774">
        <f>IF(P55&lt;&gt;"",ROUND(P55,0),IF(OR(NOT(P7),MedCare_Tax_Withheld=0),"",MedCare_Tax_Withheld))</f>
        <v/>
      </c>
      <c r="L55" s="2781" t="n"/>
      <c r="M55" s="2791" t="n"/>
      <c r="N55" s="2775" t="n"/>
      <c r="O55" s="2776" t="n"/>
      <c r="P55" s="118" t="n"/>
      <c r="Q55" s="229" t="n"/>
      <c r="R55" s="2979" t="n"/>
    </row>
    <row r="56" ht="12" customHeight="1" s="7635">
      <c r="A56" s="139" t="n"/>
      <c r="B56" s="8374" t="n">
        <v>20</v>
      </c>
      <c r="C56" s="2769" t="inlineStr">
        <is>
          <t>Enter the amount from line 1</t>
        </is>
      </c>
      <c r="D56" s="2769" t="n"/>
      <c r="E56" s="11262" t="n"/>
      <c r="F56" s="11262" t="n"/>
      <c r="G56" s="2771" t="n"/>
      <c r="H56" s="8374" t="n"/>
      <c r="I56" s="8374" t="inlineStr">
        <is>
          <t xml:space="preserve">.   .   .   .   .   .   .   .   .   .   .   .   .   .   .   . </t>
        </is>
      </c>
      <c r="J56" s="2773">
        <f>B56</f>
        <v/>
      </c>
      <c r="K56" s="2774">
        <f>K17</f>
        <v/>
      </c>
      <c r="L56" s="2781" t="n"/>
      <c r="M56" s="2791" t="n"/>
      <c r="N56" s="2775" t="n"/>
      <c r="O56" s="2776" t="n"/>
      <c r="P56" s="962" t="n"/>
      <c r="Q56" s="229" t="n"/>
      <c r="R56" s="2979" t="n"/>
    </row>
    <row r="57" ht="12" customFormat="1" customHeight="1" s="214">
      <c r="A57" s="139" t="n"/>
      <c r="B57" s="8374" t="n">
        <v>21</v>
      </c>
      <c r="C57" s="2769">
        <f>"Multiply line 20 by "&amp;TEXT(K57,"0.00%")&amp;" ("&amp;TEXT(K57,"0.0000")&amp;"). This is your regular Medicare tax"</f>
        <v/>
      </c>
      <c r="D57" s="2770" t="n"/>
      <c r="E57" s="11262" t="n"/>
      <c r="F57" s="11262" t="n"/>
      <c r="G57" s="2771" t="n"/>
      <c r="H57" s="2771" t="n"/>
      <c r="I57" s="2771" t="n"/>
      <c r="J57" s="6584" t="n"/>
      <c r="K57" s="6591" t="n">
        <v>0.0145</v>
      </c>
      <c r="L57" s="2781" t="n"/>
      <c r="M57" s="2792" t="n"/>
      <c r="N57" s="2783" t="n"/>
      <c r="O57" s="2784" t="n"/>
      <c r="P57" s="962" t="n"/>
      <c r="Q57" s="8885" t="n"/>
      <c r="R57" s="2979" t="n"/>
      <c r="S57" s="658" t="n"/>
      <c r="T57" s="658" t="n"/>
      <c r="U57" s="658" t="n"/>
      <c r="V57" s="658" t="n"/>
      <c r="W57" s="658" t="n"/>
      <c r="X57" s="658" t="n"/>
      <c r="Y57" s="658" t="n"/>
      <c r="Z57" s="658" t="n"/>
    </row>
    <row r="58" ht="12" customHeight="1" s="7635" thickBot="1">
      <c r="A58" s="139" t="n"/>
      <c r="B58" s="8374" t="n"/>
      <c r="C58" s="3336" t="inlineStr">
        <is>
          <t>withholding on Medicare wages</t>
        </is>
      </c>
      <c r="D58" s="2769" t="n"/>
      <c r="E58" s="11262" t="n"/>
      <c r="F58" s="11262" t="n"/>
      <c r="G58" s="2771" t="n"/>
      <c r="H58" s="8374" t="n"/>
      <c r="I58" s="8374" t="inlineStr">
        <is>
          <t xml:space="preserve">.   .   .   .   .   .   .   .   .   .   .   .   .   .   . </t>
        </is>
      </c>
      <c r="J58" s="3742">
        <f>B57</f>
        <v/>
      </c>
      <c r="K58" s="6585">
        <f>IF(OR(K56="",NOT(P7)),"",ROUND(K56*K57,0))</f>
        <v/>
      </c>
      <c r="L58" s="2781" t="n"/>
      <c r="M58" s="2791" t="n"/>
      <c r="N58" s="2775" t="n"/>
      <c r="O58" s="2776" t="n"/>
      <c r="P58" s="962" t="n"/>
      <c r="Q58" s="229" t="n"/>
      <c r="R58" s="2979" t="n"/>
    </row>
    <row r="59" ht="12" customFormat="1" customHeight="1" s="214">
      <c r="A59" s="139" t="n"/>
      <c r="B59" s="8374" t="n">
        <v>22</v>
      </c>
      <c r="C59" s="2769" t="inlineStr">
        <is>
          <t>Subtract line 21 from line 19.  If zero or less, enter -0-. This is your Additional Medicare Tax</t>
        </is>
      </c>
      <c r="D59" s="2770" t="n"/>
      <c r="E59" s="11262" t="n"/>
      <c r="F59" s="11262" t="n"/>
      <c r="G59" s="2771" t="n"/>
      <c r="H59" s="2771" t="n"/>
      <c r="I59" s="2771" t="n"/>
      <c r="J59" s="2771" t="n"/>
      <c r="K59" s="8374" t="n"/>
      <c r="L59" s="2781" t="n"/>
      <c r="M59" s="12820" t="n">
        <v>0.008999999999999999</v>
      </c>
      <c r="N59" s="2783" t="n"/>
      <c r="O59" s="2784" t="n"/>
      <c r="P59" s="962" t="n"/>
      <c r="Q59" s="8885" t="n"/>
      <c r="R59" s="2979" t="n"/>
      <c r="S59" s="658" t="n"/>
      <c r="T59" s="658" t="n"/>
      <c r="U59" s="658" t="n"/>
      <c r="V59" s="658" t="n"/>
      <c r="W59" s="658" t="n"/>
      <c r="X59" s="658" t="n"/>
      <c r="Y59" s="658" t="n"/>
      <c r="Z59" s="658" t="n"/>
    </row>
    <row r="60" ht="12.75" customHeight="1" s="7635">
      <c r="A60" s="139" t="n"/>
      <c r="B60" s="8374" t="n"/>
      <c r="C60" s="2769" t="inlineStr">
        <is>
          <t>withholding on Medicare wages</t>
        </is>
      </c>
      <c r="D60" s="2769" t="n"/>
      <c r="E60" s="11262" t="n"/>
      <c r="F60" s="11262" t="n"/>
      <c r="G60" s="2771" t="n"/>
      <c r="H60" s="2771" t="n"/>
      <c r="I60" s="2771" t="n"/>
      <c r="J60" s="2771" t="n"/>
      <c r="K60" s="2031" t="inlineStr">
        <is>
          <t xml:space="preserve">.   .   .   .   .   .   .   .   .   .   .   .   .   .   .   .   .   .   .   .   .   .   .   . </t>
        </is>
      </c>
      <c r="L60" s="8230">
        <f>B59</f>
        <v/>
      </c>
      <c r="M60" s="2774">
        <f>IF(OR(NOT(P7),K55="",K58=""),"",MAX(0,SUM(K55,-K58)))</f>
        <v/>
      </c>
      <c r="N60" s="2775" t="n"/>
      <c r="O60" s="2806" t="n"/>
      <c r="P60" s="962" t="n"/>
      <c r="Q60" s="8885" t="n"/>
      <c r="R60" s="6582" t="n"/>
    </row>
    <row r="61" ht="12" customFormat="1" customHeight="1" s="214">
      <c r="A61" s="139" t="n"/>
      <c r="B61" s="8374" t="n">
        <v>23</v>
      </c>
      <c r="C61" s="2769" t="inlineStr">
        <is>
          <t>Additional Medicare Tax withholding on railroad retirement (RRTA) compensation from Form</t>
        </is>
      </c>
      <c r="D61" s="2770" t="n"/>
      <c r="E61" s="11262" t="n"/>
      <c r="F61" s="11262" t="n"/>
      <c r="G61" s="2771" t="n"/>
      <c r="H61" s="2771" t="n"/>
      <c r="I61" s="2771" t="n"/>
      <c r="J61" s="2771" t="n"/>
      <c r="K61" s="8374" t="n"/>
      <c r="L61" s="2805" t="n"/>
      <c r="M61" s="12820" t="n">
        <v>0.008999999999999999</v>
      </c>
      <c r="N61" s="2783" t="n"/>
      <c r="O61" s="2784" t="n"/>
      <c r="P61" s="962" t="n"/>
      <c r="Q61" s="8885" t="n"/>
      <c r="R61" s="2979" t="n"/>
      <c r="S61" s="658" t="n"/>
      <c r="T61" s="658" t="n"/>
      <c r="U61" s="658" t="n"/>
      <c r="V61" s="658" t="n"/>
      <c r="W61" s="658" t="n"/>
      <c r="X61" s="658" t="n"/>
      <c r="Y61" s="658" t="n"/>
      <c r="Z61" s="658" t="n"/>
    </row>
    <row r="62" ht="12.75" customHeight="1" s="7635" thickBot="1">
      <c r="A62" s="139" t="n"/>
      <c r="B62" s="8374" t="n"/>
      <c r="C62" s="2769" t="inlineStr">
        <is>
          <t>W-2, box 14 (see instructions)</t>
        </is>
      </c>
      <c r="D62" s="2769" t="n"/>
      <c r="E62" s="11262" t="n"/>
      <c r="F62" s="11262" t="n"/>
      <c r="G62" s="2771" t="n"/>
      <c r="H62" s="2771" t="n"/>
      <c r="I62" s="2771" t="n"/>
      <c r="J62" s="2771" t="n"/>
      <c r="K62" s="2031" t="inlineStr">
        <is>
          <t xml:space="preserve">.   .   .   .   .   .   .   .   .   .   .   .   .   .   .   .   .   .   .   .   .   .   .   . </t>
        </is>
      </c>
      <c r="L62" s="4303">
        <f>B61</f>
        <v/>
      </c>
      <c r="M62" s="6592">
        <f>IF(P62&lt;&gt;"",ROUND(P62,0),IF(OR(NOT(P7),RRTA_TaxWH=0),"",ROUND(RRTA_TaxWH,0)))</f>
        <v/>
      </c>
      <c r="N62" s="2775" t="n"/>
      <c r="O62" s="2806" t="n"/>
      <c r="P62" s="118" t="n"/>
      <c r="Q62" s="8885" t="n"/>
      <c r="R62" s="6582" t="n"/>
    </row>
    <row r="63" ht="12" customFormat="1" customHeight="1" s="214">
      <c r="A63" s="139" t="n"/>
      <c r="B63" s="8374" t="n">
        <v>24</v>
      </c>
      <c r="C63" s="2769" t="inlineStr">
        <is>
          <t>Total Additional Medicare Tax withholding. Add lines 22 and 23. Also include this amount</t>
        </is>
      </c>
      <c r="D63" s="2770" t="n"/>
      <c r="E63" s="11262" t="n"/>
      <c r="F63" s="11262" t="n"/>
      <c r="G63" s="2771" t="n"/>
      <c r="H63" s="2771" t="n"/>
      <c r="I63" s="2771" t="n"/>
      <c r="J63" s="2771" t="n"/>
      <c r="K63" s="8374" t="n"/>
      <c r="L63" s="2805" t="n"/>
      <c r="M63" s="12820" t="n">
        <v>0.008999999999999999</v>
      </c>
      <c r="N63" s="2783" t="n"/>
      <c r="O63" s="2784" t="n"/>
      <c r="P63" s="962" t="n"/>
      <c r="Q63" s="8885" t="n"/>
      <c r="R63" s="2979" t="n"/>
      <c r="S63" s="658" t="n"/>
      <c r="T63" s="658" t="n"/>
      <c r="U63" s="658" t="n"/>
      <c r="V63" s="658" t="n"/>
      <c r="W63" s="658" t="n"/>
      <c r="X63" s="658" t="n"/>
      <c r="Y63" s="658" t="n"/>
      <c r="Z63" s="658" t="n"/>
    </row>
    <row r="64" ht="12" customFormat="1" customHeight="1" s="214">
      <c r="A64" s="139" t="n"/>
      <c r="B64" s="8374" t="n"/>
      <c r="C64" s="2769" t="inlineStr">
        <is>
          <t>with federal income tax withholding on Form 1040, 1040-SR, or 1040-NR, line 25c</t>
        </is>
      </c>
      <c r="D64" s="2770" t="n"/>
      <c r="E64" s="11262" t="n"/>
      <c r="F64" s="11262" t="n"/>
      <c r="G64" s="2771" t="n"/>
      <c r="H64" s="2771" t="n"/>
      <c r="I64" s="2771" t="n"/>
      <c r="J64" s="2771" t="n"/>
      <c r="K64" s="8374" t="n"/>
      <c r="L64" s="2805" t="n"/>
      <c r="M64" s="12820" t="n"/>
      <c r="N64" s="2783" t="n"/>
      <c r="O64" s="2784" t="n"/>
      <c r="P64" s="962" t="n"/>
      <c r="Q64" s="8885" t="n"/>
      <c r="R64" s="2979" t="n"/>
      <c r="S64" s="658" t="n"/>
      <c r="T64" s="658" t="n"/>
      <c r="U64" s="658" t="n"/>
      <c r="V64" s="658" t="n"/>
      <c r="W64" s="658" t="n"/>
      <c r="X64" s="658" t="n"/>
      <c r="Y64" s="658" t="n"/>
      <c r="Z64" s="658" t="n"/>
    </row>
    <row r="65" ht="12.75" customHeight="1" s="7635" thickBot="1">
      <c r="A65" s="139" t="n"/>
      <c r="B65" s="8374" t="n"/>
      <c r="C65" s="2769" t="inlineStr">
        <is>
          <t>(Form 1040-SS filers, see instructions)</t>
        </is>
      </c>
      <c r="D65" s="2769" t="n"/>
      <c r="E65" s="11262" t="n"/>
      <c r="F65" s="11262" t="n"/>
      <c r="G65" s="2771" t="n"/>
      <c r="H65" s="2771" t="n"/>
      <c r="I65" s="2771" t="n"/>
      <c r="J65" s="2771" t="n"/>
      <c r="K65" s="2031" t="inlineStr">
        <is>
          <t xml:space="preserve">.   .   .   .   .   .   .   .   .   .   .   .   .   .   .   .   . </t>
        </is>
      </c>
      <c r="L65" s="2805">
        <f>B63</f>
        <v/>
      </c>
      <c r="M65" s="2774">
        <f>IF(P65&lt;&gt;"",ROUND(P65,0),IF(OR(NOT(P7),F8959_Tax=""),0,ROUND(SUM(M60,M62),0)))</f>
        <v/>
      </c>
      <c r="N65" s="2775" t="n"/>
      <c r="O65" s="2784" t="n"/>
      <c r="P65" s="118" t="n"/>
      <c r="Q65" s="8885" t="n"/>
      <c r="R65" s="6582" t="n"/>
    </row>
    <row r="66" ht="17.25" customFormat="1" customHeight="1" s="80">
      <c r="A66" s="139" t="n"/>
      <c r="B66" s="6593" t="inlineStr">
        <is>
          <t>For Paperwork Reduction Act Notice, see your tax return instructions.</t>
        </is>
      </c>
      <c r="C66" s="2828" t="n"/>
      <c r="D66" s="2828" t="n"/>
      <c r="E66" s="2828" t="n"/>
      <c r="F66" s="2828" t="n"/>
      <c r="G66" s="2829" t="n"/>
      <c r="H66" s="2830" t="n"/>
      <c r="I66" s="5305" t="inlineStr">
        <is>
          <t>Cat. No. 59475X</t>
        </is>
      </c>
      <c r="J66" s="6594" t="n"/>
      <c r="K66" s="6595" t="inlineStr">
        <is>
          <t>Form 8959</t>
        </is>
      </c>
      <c r="L66" s="6595" t="n"/>
      <c r="M66" s="6596">
        <f>"  ("&amp;TaxYear&amp;") Created 4/30/25 "</f>
        <v/>
      </c>
      <c r="N66" s="2834" t="n"/>
      <c r="O66" s="2784" t="n"/>
      <c r="P66" s="962" t="n"/>
      <c r="Q66" s="229" t="n"/>
      <c r="R66" s="2979" t="n"/>
      <c r="S66" s="658" t="n"/>
      <c r="T66" s="658" t="n"/>
      <c r="U66" s="658" t="n"/>
      <c r="V66" s="658" t="n"/>
      <c r="W66" s="658" t="n"/>
      <c r="X66" s="658" t="n"/>
      <c r="Y66" s="658" t="n"/>
      <c r="Z66" s="658" t="n"/>
    </row>
    <row r="67" ht="15" customFormat="1" customHeight="1" s="80">
      <c r="A67" s="139" t="n"/>
      <c r="B67" s="148" t="n"/>
      <c r="C67" s="2733" t="n"/>
      <c r="D67" s="2733" t="n"/>
      <c r="E67" s="139" t="n"/>
      <c r="F67" s="139" t="n"/>
      <c r="G67" s="139" t="n"/>
      <c r="H67" s="139" t="n"/>
      <c r="I67" s="139" t="n"/>
      <c r="J67" s="150" t="n"/>
      <c r="K67" s="150" t="n"/>
      <c r="L67" s="150" t="n"/>
      <c r="M67" s="150" t="n"/>
      <c r="N67" s="2836" t="n"/>
      <c r="O67" s="2784" t="n"/>
      <c r="P67" s="962" t="n"/>
      <c r="Q67" s="9123" t="n"/>
      <c r="R67" s="2979" t="n"/>
      <c r="S67" s="658" t="n"/>
      <c r="T67" s="658" t="n"/>
      <c r="U67" s="658" t="n"/>
      <c r="V67" s="658" t="n"/>
      <c r="W67" s="658" t="n"/>
      <c r="X67" s="658" t="n"/>
      <c r="Y67" s="658" t="n"/>
      <c r="Z67" s="658" t="n"/>
    </row>
    <row r="68" ht="23.25" customFormat="1" customHeight="1" s="80">
      <c r="B68" s="8043" t="n"/>
      <c r="C68" s="7301" t="n"/>
      <c r="D68" s="7301" t="n"/>
      <c r="J68" s="4" t="n"/>
      <c r="K68" s="4" t="n"/>
      <c r="L68" s="4" t="n"/>
      <c r="M68" s="4" t="n"/>
      <c r="N68" s="2838" t="n"/>
      <c r="P68" s="2839" t="n"/>
      <c r="Q68" s="9123" t="n"/>
      <c r="R68" s="2979" t="n"/>
      <c r="S68" s="658" t="n"/>
      <c r="T68" s="658" t="n"/>
      <c r="U68" s="658" t="n"/>
      <c r="V68" s="658" t="n"/>
      <c r="W68" s="658" t="n"/>
      <c r="X68" s="658" t="n"/>
      <c r="Y68" s="658" t="n"/>
      <c r="Z68" s="658" t="n"/>
    </row>
    <row r="69" ht="24" customFormat="1" customHeight="1" s="80" thickBot="1">
      <c r="B69" s="8043" t="n"/>
      <c r="C69" s="7301" t="n"/>
      <c r="D69" s="7301" t="n"/>
      <c r="J69" s="4" t="n"/>
      <c r="K69" s="4" t="n"/>
      <c r="L69" s="4" t="n"/>
      <c r="M69" s="4" t="n"/>
      <c r="N69" s="2838" t="n"/>
      <c r="P69" s="2839" t="n"/>
      <c r="Q69" s="8648" t="n"/>
      <c r="R69" s="11680" t="n"/>
      <c r="S69" s="658" t="n"/>
      <c r="T69" s="658" t="n"/>
      <c r="U69" s="658" t="n"/>
      <c r="V69" s="658" t="n"/>
      <c r="W69" s="658" t="n"/>
      <c r="X69" s="658" t="n"/>
      <c r="Y69" s="658" t="n"/>
      <c r="Z69" s="658" t="n"/>
    </row>
    <row r="70" ht="15" customFormat="1" customHeight="1" s="80" thickBot="1" thickTop="1">
      <c r="B70" s="8043" t="n"/>
      <c r="C70" s="11824" t="inlineStr">
        <is>
          <t>Download Form 8959</t>
        </is>
      </c>
      <c r="D70" s="11825" t="n"/>
      <c r="E70" s="11825" t="n"/>
      <c r="F70" s="11825" t="n"/>
      <c r="G70" s="11826" t="n"/>
      <c r="H70" s="4" t="n"/>
      <c r="I70" s="4" t="n"/>
      <c r="L70" s="4" t="n"/>
      <c r="M70" s="4" t="n"/>
      <c r="N70" s="4" t="n"/>
      <c r="P70" s="8648" t="n"/>
      <c r="Q70" s="8648" t="n"/>
      <c r="R70" s="11680" t="n"/>
      <c r="S70" s="658" t="n"/>
      <c r="T70" s="658" t="n"/>
      <c r="U70" s="658" t="n"/>
      <c r="V70" s="658" t="n"/>
      <c r="W70" s="658" t="n"/>
      <c r="X70" s="658" t="n"/>
      <c r="Y70" s="658" t="n"/>
      <c r="Z70" s="658" t="n"/>
    </row>
    <row r="71" ht="8.25" customFormat="1" customHeight="1" s="80" thickBot="1" thickTop="1">
      <c r="B71" s="8043" t="n"/>
      <c r="C71" s="7301" t="n"/>
      <c r="D71" s="7301" t="n"/>
      <c r="G71" s="4" t="n"/>
      <c r="H71" s="4" t="n"/>
      <c r="I71" s="4" t="n"/>
      <c r="L71" s="4" t="n"/>
      <c r="M71" s="4" t="n"/>
      <c r="N71" s="4" t="n"/>
      <c r="P71" s="8648" t="n"/>
      <c r="Q71" s="8648" t="n"/>
      <c r="R71" s="11680" t="n"/>
      <c r="S71" s="658" t="n"/>
      <c r="T71" s="658" t="n"/>
      <c r="U71" s="658" t="n"/>
      <c r="V71" s="658" t="n"/>
      <c r="W71" s="658" t="n"/>
      <c r="X71" s="658" t="n"/>
      <c r="Y71" s="658" t="n"/>
      <c r="Z71" s="658" t="n"/>
    </row>
    <row r="72" ht="17.25" customFormat="1" customHeight="1" s="80" thickBot="1" thickTop="1">
      <c r="B72" s="8043" t="n"/>
      <c r="C72" s="11824" t="inlineStr">
        <is>
          <t>Download Form 8959 Instructions</t>
        </is>
      </c>
      <c r="D72" s="11825" t="n"/>
      <c r="E72" s="11825" t="n"/>
      <c r="F72" s="11825" t="n"/>
      <c r="G72" s="11826" t="n"/>
      <c r="H72" s="4" t="n"/>
      <c r="I72" s="4" t="n"/>
      <c r="L72" s="4" t="n"/>
      <c r="M72" s="4" t="n"/>
      <c r="N72" s="4" t="n"/>
      <c r="P72" s="8648" t="n"/>
      <c r="R72" s="11680" t="n"/>
      <c r="S72" s="658" t="n"/>
      <c r="T72" s="658" t="n"/>
      <c r="U72" s="658" t="n"/>
      <c r="V72" s="658" t="n"/>
      <c r="W72" s="658" t="n"/>
      <c r="X72" s="658" t="n"/>
      <c r="Y72" s="658" t="n"/>
      <c r="Z72" s="658" t="n"/>
    </row>
    <row r="73" ht="12.75" customFormat="1" customHeight="1" s="80" thickTop="1">
      <c r="R73" s="11680" t="n"/>
      <c r="S73" s="658" t="n"/>
      <c r="T73" s="658" t="n"/>
      <c r="U73" s="658" t="n"/>
      <c r="V73" s="658" t="n"/>
      <c r="W73" s="658" t="n"/>
      <c r="X73" s="658" t="n"/>
      <c r="Y73" s="658" t="n"/>
      <c r="Z73" s="658" t="n"/>
    </row>
    <row r="74" ht="21.75" customFormat="1" customHeight="1" s="80">
      <c r="R74" s="11680" t="n"/>
      <c r="S74" s="658" t="n"/>
      <c r="T74" s="658" t="n"/>
      <c r="U74" s="658" t="n"/>
      <c r="V74" s="658" t="n"/>
      <c r="W74" s="658" t="n"/>
      <c r="X74" s="658" t="n"/>
      <c r="Y74" s="658" t="n"/>
      <c r="Z74" s="658" t="n"/>
    </row>
    <row r="75" ht="22.5" customFormat="1" customHeight="1" s="80">
      <c r="R75" s="11680" t="n"/>
      <c r="S75" s="658" t="n"/>
      <c r="T75" s="658" t="n"/>
      <c r="U75" s="658" t="n"/>
      <c r="V75" s="658" t="n"/>
      <c r="W75" s="658" t="n"/>
      <c r="X75" s="658" t="n"/>
      <c r="Y75" s="658" t="n"/>
      <c r="Z75" s="658" t="n"/>
    </row>
    <row r="76" ht="12.75" customFormat="1" customHeight="1" s="80">
      <c r="R76" s="11680" t="n"/>
      <c r="S76" s="658" t="n"/>
      <c r="T76" s="658" t="n"/>
      <c r="U76" s="658" t="n"/>
      <c r="V76" s="658" t="n"/>
      <c r="W76" s="658" t="n"/>
      <c r="X76" s="658" t="n"/>
      <c r="Y76" s="658" t="n"/>
      <c r="Z76" s="658" t="n"/>
    </row>
    <row r="77" ht="12.75" customFormat="1" customHeight="1" s="80">
      <c r="R77" s="11680" t="n"/>
      <c r="S77" s="658" t="n"/>
      <c r="T77" s="658" t="n"/>
      <c r="U77" s="658" t="n"/>
      <c r="V77" s="658" t="n"/>
      <c r="W77" s="658" t="n"/>
      <c r="X77" s="658" t="n"/>
      <c r="Y77" s="658" t="n"/>
      <c r="Z77" s="658" t="n"/>
    </row>
    <row r="78" ht="17.25" customFormat="1" customHeight="1" s="80">
      <c r="R78" s="11680" t="n"/>
      <c r="S78" s="658" t="n"/>
      <c r="T78" s="658" t="n"/>
      <c r="U78" s="658" t="n"/>
      <c r="V78" s="658" t="n"/>
      <c r="W78" s="658" t="n"/>
      <c r="X78" s="658" t="n"/>
      <c r="Y78" s="658" t="n"/>
      <c r="Z78" s="658" t="n"/>
    </row>
    <row r="79" ht="14.25" customFormat="1" customHeight="1" s="80">
      <c r="R79" s="11680" t="n"/>
      <c r="S79" s="658" t="n"/>
      <c r="T79" s="658" t="n"/>
      <c r="U79" s="658" t="n"/>
      <c r="V79" s="658" t="n"/>
      <c r="W79" s="658" t="n"/>
      <c r="X79" s="658" t="n"/>
      <c r="Y79" s="658" t="n"/>
      <c r="Z79" s="658" t="n"/>
    </row>
    <row r="80" customFormat="1" s="80">
      <c r="R80" s="11680" t="n"/>
      <c r="S80" s="658" t="n"/>
      <c r="T80" s="658" t="n"/>
      <c r="U80" s="658" t="n"/>
      <c r="V80" s="658" t="n"/>
      <c r="W80" s="658" t="n"/>
      <c r="X80" s="658" t="n"/>
      <c r="Y80" s="658" t="n"/>
      <c r="Z80" s="658" t="n"/>
    </row>
    <row r="81" customFormat="1" s="80">
      <c r="R81" s="11680" t="n"/>
      <c r="S81" s="658" t="n"/>
      <c r="T81" s="658" t="n"/>
      <c r="U81" s="658" t="n"/>
      <c r="V81" s="658" t="n"/>
      <c r="W81" s="658" t="n"/>
      <c r="X81" s="658" t="n"/>
      <c r="Y81" s="658" t="n"/>
      <c r="Z81" s="658" t="n"/>
    </row>
    <row r="82" customFormat="1" s="80">
      <c r="R82" s="11680" t="n"/>
      <c r="S82" s="658" t="n"/>
      <c r="T82" s="658" t="n"/>
      <c r="U82" s="658" t="n"/>
      <c r="V82" s="658" t="n"/>
      <c r="W82" s="658" t="n"/>
      <c r="X82" s="658" t="n"/>
      <c r="Y82" s="658" t="n"/>
      <c r="Z82" s="658" t="n"/>
    </row>
    <row r="83" customFormat="1" s="80">
      <c r="R83" s="11680" t="n"/>
      <c r="S83" s="658" t="n"/>
      <c r="T83" s="658" t="n"/>
      <c r="U83" s="658" t="n"/>
      <c r="V83" s="658" t="n"/>
      <c r="W83" s="658" t="n"/>
      <c r="X83" s="658" t="n"/>
      <c r="Y83" s="658" t="n"/>
      <c r="Z83" s="658" t="n"/>
    </row>
    <row r="84" customFormat="1" s="80">
      <c r="R84" s="11680" t="n"/>
      <c r="S84" s="658" t="n"/>
      <c r="T84" s="658" t="n"/>
      <c r="U84" s="658" t="n"/>
      <c r="V84" s="658" t="n"/>
      <c r="W84" s="658" t="n"/>
      <c r="X84" s="658" t="n"/>
      <c r="Y84" s="658" t="n"/>
      <c r="Z84" s="658" t="n"/>
    </row>
    <row r="85" customFormat="1" s="80">
      <c r="R85" s="11680" t="n"/>
      <c r="S85" s="658" t="n"/>
      <c r="T85" s="658" t="n"/>
      <c r="U85" s="658" t="n"/>
      <c r="V85" s="658" t="n"/>
      <c r="W85" s="658" t="n"/>
      <c r="X85" s="658" t="n"/>
      <c r="Y85" s="658" t="n"/>
      <c r="Z85" s="658" t="n"/>
    </row>
  </sheetData>
  <sheetProtection selectLockedCells="0" selectUnlockedCells="0" algorithmName="SHA-512" sheet="1" objects="1" insertRows="1" insertHyperlinks="1" autoFilter="1" scenarios="1" formatColumns="0" deleteColumns="1" insertColumns="1" pivotTables="1" deleteRows="1" formatCells="0" saltValue="34oscW/lj/lyQdh8y6U4JQ==" formatRows="0" sort="1" spinCount="100000" hashValue="N1SjQahGiYMHT6cm72tEjkD1tNz3l3pNfqaF96CxH4opSNAdXz2hWHTSuKlsGuqcllbLu5q7xFatR6v6CaB1Qg=="/>
  <mergeCells count="31">
    <mergeCell ref="B11:D11"/>
    <mergeCell ref="B14:J14"/>
    <mergeCell ref="C15:M15"/>
    <mergeCell ref="E11:K11"/>
    <mergeCell ref="H44:I44"/>
    <mergeCell ref="L9:M10"/>
    <mergeCell ref="H34:I34"/>
    <mergeCell ref="L12:M12"/>
    <mergeCell ref="H46:I46"/>
    <mergeCell ref="K14:M14"/>
    <mergeCell ref="E12:K12"/>
    <mergeCell ref="C50:M50"/>
    <mergeCell ref="L8:M8"/>
    <mergeCell ref="C40:M40"/>
    <mergeCell ref="B9:B10"/>
    <mergeCell ref="H32:I32"/>
    <mergeCell ref="K13:M13"/>
    <mergeCell ref="H45:I45"/>
    <mergeCell ref="H22:I22"/>
    <mergeCell ref="E10:K10"/>
    <mergeCell ref="C70:G70"/>
    <mergeCell ref="E9:K9"/>
    <mergeCell ref="H24:I24"/>
    <mergeCell ref="C72:G72"/>
    <mergeCell ref="H33:I33"/>
    <mergeCell ref="L11:M11"/>
    <mergeCell ref="H23:I23"/>
    <mergeCell ref="C28:M28"/>
    <mergeCell ref="B12:D12"/>
    <mergeCell ref="C9:D10"/>
    <mergeCell ref="C53:M53"/>
  </mergeCells>
  <conditionalFormatting sqref="B3:B6">
    <cfRule type="expression" priority="2" dxfId="34">
      <formula>IF(P3,1,0)</formula>
    </cfRule>
  </conditionalFormatting>
  <conditionalFormatting sqref="B14:M14">
    <cfRule type="expression" priority="99" dxfId="6">
      <formula>IF(NoColor,1,0)</formula>
    </cfRule>
  </conditionalFormatting>
  <conditionalFormatting sqref="K17:K20">
    <cfRule type="expression" priority="15" dxfId="6">
      <formula>IF(NoColor,1,0)</formula>
    </cfRule>
  </conditionalFormatting>
  <conditionalFormatting sqref="K24">
    <cfRule type="expression" priority="6" dxfId="6">
      <formula>IF(NoColor,1,0)</formula>
    </cfRule>
  </conditionalFormatting>
  <conditionalFormatting sqref="K30">
    <cfRule type="expression" priority="41" dxfId="6">
      <formula>IF(NoColor,1,0)</formula>
    </cfRule>
  </conditionalFormatting>
  <conditionalFormatting sqref="K34:K36">
    <cfRule type="expression" priority="14" dxfId="6">
      <formula>IF(NoColor,1,0)</formula>
    </cfRule>
  </conditionalFormatting>
  <conditionalFormatting sqref="K42">
    <cfRule type="expression" priority="9" dxfId="6">
      <formula>IF(NoColor,1,0)</formula>
    </cfRule>
  </conditionalFormatting>
  <conditionalFormatting sqref="K46">
    <cfRule type="expression" priority="5" dxfId="6">
      <formula>IF(NoColor,1,0)</formula>
    </cfRule>
  </conditionalFormatting>
  <conditionalFormatting sqref="K55:K56">
    <cfRule type="expression" priority="22" dxfId="6">
      <formula>IF(NoColor,1,0)</formula>
    </cfRule>
  </conditionalFormatting>
  <conditionalFormatting sqref="K58">
    <cfRule type="expression" priority="20" dxfId="6">
      <formula>IF(NoColor,1,0)</formula>
    </cfRule>
  </conditionalFormatting>
  <conditionalFormatting sqref="M25">
    <cfRule type="expression" priority="12" dxfId="6">
      <formula>IF(NoColor,1,0)</formula>
    </cfRule>
  </conditionalFormatting>
  <conditionalFormatting sqref="M27">
    <cfRule type="expression" priority="43" dxfId="6">
      <formula>IF(NoColor,1,0)</formula>
    </cfRule>
  </conditionalFormatting>
  <conditionalFormatting sqref="M37">
    <cfRule type="expression" priority="10" dxfId="6">
      <formula>IF(NoColor,1,0)</formula>
    </cfRule>
  </conditionalFormatting>
  <conditionalFormatting sqref="M39">
    <cfRule type="expression" priority="11" dxfId="6">
      <formula>IF(NoColor,1,0)</formula>
    </cfRule>
  </conditionalFormatting>
  <conditionalFormatting sqref="M47">
    <cfRule type="expression" priority="7" dxfId="6">
      <formula>IF(NoColor,1,0)</formula>
    </cfRule>
  </conditionalFormatting>
  <conditionalFormatting sqref="M49">
    <cfRule type="expression" priority="8" dxfId="6">
      <formula>IF(NoColor,1,0)</formula>
    </cfRule>
  </conditionalFormatting>
  <conditionalFormatting sqref="M52">
    <cfRule type="expression" priority="26" dxfId="6">
      <formula>IF(NoColor,1,0)</formula>
    </cfRule>
  </conditionalFormatting>
  <conditionalFormatting sqref="M60">
    <cfRule type="expression" priority="19" dxfId="6">
      <formula>IF(NoColor,1,0)</formula>
    </cfRule>
  </conditionalFormatting>
  <conditionalFormatting sqref="M62">
    <cfRule type="expression" priority="18" dxfId="6">
      <formula>IF(NoColor,1,0)</formula>
    </cfRule>
  </conditionalFormatting>
  <conditionalFormatting sqref="M65">
    <cfRule type="expression" priority="17" dxfId="6">
      <formula>IF(NoColor,1,0)</formula>
    </cfRule>
  </conditionalFormatting>
  <hyperlinks>
    <hyperlink xmlns:r="http://schemas.openxmlformats.org/officeDocument/2006/relationships" ref="C70" display="Download Form 8959" r:id="rId1"/>
    <hyperlink xmlns:r="http://schemas.openxmlformats.org/officeDocument/2006/relationships" ref="C72" display="Download Form 8959 Instructions" r:id="rId2"/>
  </hyperlinks>
  <pageMargins left="0.75" right="0.25" top="0.36" bottom="0.29" header="0.36" footer="0.21"/>
  <pageSetup orientation="portrait" scale="91" fitToHeight="0"/>
  <rowBreaks count="1" manualBreakCount="1">
    <brk id="66" min="1" max="12" man="1"/>
  </rowBreaks>
</worksheet>
</file>

<file path=xl/worksheets/sheet61.xml><?xml version="1.0" encoding="utf-8"?>
<worksheet xmlns="http://schemas.openxmlformats.org/spreadsheetml/2006/main">
  <sheetPr>
    <outlinePr summaryBelow="1" summaryRight="1"/>
    <pageSetUpPr fitToPage="1"/>
  </sheetPr>
  <dimension ref="A1:AN102"/>
  <sheetViews>
    <sheetView zoomScaleNormal="100" zoomScaleSheetLayoutView="100" workbookViewId="0">
      <selection activeCell="A1" sqref="A1"/>
    </sheetView>
  </sheetViews>
  <sheetFormatPr baseColWidth="8" defaultRowHeight="12.75"/>
  <cols>
    <col width="2.42578125" customWidth="1" style="7635" min="1" max="1"/>
    <col width="7.85546875" customWidth="1" style="7635" min="2" max="2"/>
    <col width="3.140625" customWidth="1" style="7635" min="3" max="3"/>
    <col width="10.7109375" customWidth="1" style="7635" min="4" max="4"/>
    <col width="9.5703125" customWidth="1" style="7635" min="5" max="5"/>
    <col width="2.7109375" customWidth="1" style="7635" min="6" max="6"/>
    <col width="18.85546875" customWidth="1" style="7635" min="7" max="7"/>
    <col width="9.28515625" customWidth="1" style="7635" min="8" max="8"/>
    <col width="4" customWidth="1" style="7635" min="9" max="9"/>
    <col width="6.7109375" customWidth="1" style="7635" min="10" max="10"/>
    <col width="4.5703125" customWidth="1" style="7453" min="11" max="11"/>
    <col width="15.140625" customWidth="1" style="7635" min="12" max="12"/>
    <col width="4.42578125" customWidth="1" style="7635" min="13" max="13"/>
    <col width="14.140625" customWidth="1" style="7635" min="14" max="14"/>
    <col width="2.5703125" customWidth="1" style="7635" min="15" max="15"/>
    <col width="3.85546875" customWidth="1" style="7635" min="16" max="16"/>
    <col width="18.140625" customWidth="1" style="7635" min="17" max="17"/>
    <col width="2.28515625" customWidth="1" style="7635" min="18" max="18"/>
    <col width="13.5703125" customWidth="1" style="80" min="19" max="19"/>
    <col width="2.7109375" customWidth="1" style="80" min="20" max="20"/>
    <col width="5.85546875" customWidth="1" style="7635" min="21" max="21"/>
    <col width="5" customWidth="1" style="7635" min="22" max="22"/>
    <col width="4.28515625" customWidth="1" style="7635" min="23" max="23"/>
    <col width="27" customWidth="1" style="7635" min="24" max="24"/>
    <col width="12.85546875" customWidth="1" style="7635" min="25" max="25"/>
    <col width="12.42578125" customWidth="1" style="7635" min="26" max="26"/>
    <col width="13.7109375" customWidth="1" style="7635" min="27" max="27"/>
    <col width="9.85546875" customWidth="1" style="7635" min="28" max="28"/>
    <col width="15.28515625" customWidth="1" style="7635" min="29" max="29"/>
    <col width="3.85546875" customWidth="1" style="7635" min="30" max="30"/>
    <col width="4" customWidth="1" style="7635" min="31" max="31"/>
    <col width="10.7109375" customWidth="1" style="658" min="32" max="40"/>
  </cols>
  <sheetData>
    <row r="1" ht="17.25" customHeight="1" s="7635" thickBot="1">
      <c r="A1" s="2726" t="n"/>
      <c r="B1" s="151" t="n"/>
      <c r="C1" s="151" t="n"/>
      <c r="D1" s="151" t="n"/>
      <c r="E1" s="151" t="n"/>
      <c r="F1" s="151" t="n"/>
      <c r="G1" s="151" t="n"/>
      <c r="H1" s="151" t="n"/>
      <c r="I1" s="151" t="n"/>
      <c r="J1" s="151" t="n"/>
      <c r="K1" s="151" t="n"/>
      <c r="L1" s="151" t="n"/>
      <c r="M1" s="2727" t="n"/>
      <c r="N1" s="151" t="n"/>
      <c r="O1" s="151" t="n"/>
      <c r="P1" s="11602" t="n"/>
      <c r="Q1" s="11602" t="n"/>
      <c r="R1" s="11602" t="n"/>
      <c r="S1" s="344" t="n"/>
      <c r="T1" s="344" t="n"/>
      <c r="U1" s="11602" t="n"/>
      <c r="V1" s="11602" t="n"/>
      <c r="W1" s="11602" t="n"/>
      <c r="X1" s="11602" t="n"/>
      <c r="Y1" s="11602" t="n"/>
      <c r="Z1" s="11602" t="n"/>
      <c r="AA1" s="11602" t="n"/>
      <c r="AB1" s="11602" t="n"/>
      <c r="AC1" s="11602" t="n"/>
      <c r="AD1" s="11602" t="n"/>
      <c r="AF1" s="657" t="inlineStr">
        <is>
          <t>Notes</t>
        </is>
      </c>
    </row>
    <row r="2" ht="17.25" customHeight="1" s="7635">
      <c r="A2" s="2726" t="n"/>
      <c r="B2" s="2728" t="inlineStr">
        <is>
          <t>Who Must File:  Attach Form 8960 to your return if your modified adjusted gross income (MAGI) is greater than the applicable threshold amount.</t>
        </is>
      </c>
      <c r="C2" s="151" t="n"/>
      <c r="D2" s="151" t="n"/>
      <c r="E2" s="151" t="n"/>
      <c r="F2" s="151" t="n"/>
      <c r="G2" s="151" t="n"/>
      <c r="H2" s="151" t="n"/>
      <c r="I2" s="151" t="n"/>
      <c r="J2" s="151" t="n"/>
      <c r="K2" s="151" t="n"/>
      <c r="L2" s="151" t="n"/>
      <c r="M2" s="2727" t="n"/>
      <c r="N2" s="151" t="n"/>
      <c r="O2" s="151" t="n"/>
      <c r="P2" s="11602" t="n"/>
      <c r="Q2" s="512">
        <f>ModAdjGrossInc&gt;Form8960_Threshhold</f>
        <v/>
      </c>
      <c r="R2" s="11602" t="n"/>
      <c r="S2" s="344" t="n"/>
      <c r="T2" s="344" t="n"/>
      <c r="U2" s="2729" t="inlineStr">
        <is>
          <t xml:space="preserve">Application to Individuals
</t>
        </is>
      </c>
      <c r="V2" s="2730" t="n"/>
      <c r="W2" s="2730" t="n"/>
      <c r="X2" s="2730" t="n"/>
      <c r="Y2" s="2730" t="n"/>
      <c r="Z2" s="2730" t="n"/>
      <c r="AA2" s="2730" t="n"/>
      <c r="AB2" s="2730" t="n"/>
      <c r="AC2" s="2730" t="n"/>
      <c r="AD2" s="2731" t="n"/>
      <c r="AF2" s="657" t="n"/>
    </row>
    <row r="3" ht="17.25" customHeight="1" s="7635">
      <c r="A3" s="2732" t="n"/>
      <c r="B3" s="2733" t="n"/>
      <c r="C3" s="139" t="n"/>
      <c r="D3" s="139">
        <f>"Your MAGI is: "&amp;TEXT(ModAdjGrossInc,"$0,000")&amp;"."</f>
        <v/>
      </c>
      <c r="E3" s="139" t="n"/>
      <c r="F3" s="139" t="n"/>
      <c r="G3" s="139">
        <f>"Threshold amount = "&amp;TEXT(Form8960_Threshhold,"$0,000")&amp;"."</f>
        <v/>
      </c>
      <c r="H3" s="139" t="n"/>
      <c r="I3" s="139" t="n"/>
      <c r="J3" s="139" t="n"/>
      <c r="K3" s="139" t="n"/>
      <c r="L3" s="2734">
        <f>IF(NOT(F8960_Applicable),"Check to file Form 8960 anyway.","")</f>
        <v/>
      </c>
      <c r="M3" s="988" t="n"/>
      <c r="N3" s="139" t="n"/>
      <c r="O3" s="139" t="n"/>
      <c r="P3" s="11602" t="n"/>
      <c r="Q3" s="512">
        <f>OR(F8960_Applicable,M3&lt;&gt;"")</f>
        <v/>
      </c>
      <c r="R3" s="11602" t="n"/>
      <c r="S3" s="344" t="n"/>
      <c r="T3" s="344" t="n"/>
      <c r="U3" s="2735" t="inlineStr">
        <is>
          <t xml:space="preserve">U.S. citizens and residents. Individuals who have for the tax year </t>
        </is>
      </c>
      <c r="V3" s="979" t="n"/>
      <c r="W3" s="979" t="n"/>
      <c r="X3" s="979" t="n"/>
      <c r="Y3" s="979" t="n"/>
      <c r="Z3" s="979" t="n"/>
      <c r="AA3" s="979" t="n"/>
      <c r="AB3" s="979" t="n"/>
      <c r="AC3" s="979" t="n"/>
      <c r="AD3" s="2736" t="n"/>
      <c r="AF3" s="657" t="n"/>
    </row>
    <row r="4" ht="15.75" customHeight="1" s="7635">
      <c r="A4" s="2727" t="n"/>
      <c r="B4" s="2727" t="n"/>
      <c r="C4" s="151" t="n"/>
      <c r="D4" s="151" t="n"/>
      <c r="E4" s="151" t="n"/>
      <c r="F4" s="151" t="n"/>
      <c r="G4" s="151" t="n"/>
      <c r="H4" s="2727" t="n"/>
      <c r="I4" s="151" t="n"/>
      <c r="J4" s="151" t="n"/>
      <c r="K4" s="151" t="n"/>
      <c r="L4" s="151" t="n"/>
      <c r="M4" s="11506">
        <f>IF('Table of Contents'!A66="D","DRAFT","")</f>
        <v/>
      </c>
      <c r="O4" s="2856" t="n"/>
      <c r="P4" s="11602" t="n"/>
      <c r="Q4" s="11602" t="n"/>
      <c r="R4" s="11602" t="n"/>
      <c r="S4" s="344" t="n"/>
      <c r="T4" s="344" t="n"/>
      <c r="U4" s="2737" t="n"/>
      <c r="V4" s="979" t="inlineStr">
        <is>
          <t xml:space="preserve">(a) MAGI that’s over an applicable threshold amount, and </t>
        </is>
      </c>
      <c r="W4" s="979" t="n"/>
      <c r="X4" s="979" t="n"/>
      <c r="Y4" s="979" t="n"/>
      <c r="Z4" s="979" t="n"/>
      <c r="AA4" s="979" t="n"/>
      <c r="AB4" s="979" t="n"/>
      <c r="AC4" s="979" t="n"/>
      <c r="AD4" s="2736" t="n"/>
    </row>
    <row r="5" ht="15" customHeight="1" s="7635">
      <c r="A5" s="139" t="n"/>
      <c r="B5" s="88" t="n"/>
      <c r="C5" s="88" t="n"/>
      <c r="D5" s="90" t="n"/>
      <c r="E5" s="2738" t="n"/>
      <c r="F5" s="11602" t="n"/>
      <c r="G5" s="12821" t="n"/>
      <c r="H5" s="2740" t="n"/>
      <c r="I5" s="2741" t="n"/>
      <c r="J5" s="11602" t="n"/>
      <c r="K5" s="6996" t="n"/>
      <c r="L5" s="2742" t="n"/>
      <c r="M5" s="10325">
        <f>IF(AND(O5="",'Table of Contents'!A66="D"),"DRAFT","OMB No. 1545-2227")</f>
        <v/>
      </c>
      <c r="N5" s="7637" t="n"/>
      <c r="O5" s="2857" t="n"/>
      <c r="P5" s="11602" t="n"/>
      <c r="Q5" s="11602" t="n"/>
      <c r="R5" s="11602" t="n"/>
      <c r="S5" s="344" t="n"/>
      <c r="T5" s="344" t="n"/>
      <c r="U5" s="2737" t="n"/>
      <c r="V5" s="979" t="inlineStr">
        <is>
          <t xml:space="preserve">(b) net investment income, </t>
        </is>
      </c>
      <c r="W5" s="979" t="n"/>
      <c r="X5" s="979" t="n"/>
      <c r="Y5" s="979" t="n"/>
      <c r="Z5" s="979" t="n"/>
      <c r="AA5" s="979" t="n"/>
      <c r="AB5" s="979" t="n"/>
      <c r="AC5" s="979" t="n"/>
      <c r="AD5" s="2736" t="n"/>
    </row>
    <row r="6" ht="20.25" customHeight="1" s="7635">
      <c r="A6" s="139" t="n"/>
      <c r="B6" s="11255" t="inlineStr">
        <is>
          <t>Form</t>
        </is>
      </c>
      <c r="C6" s="12767" t="n">
        <v>8960</v>
      </c>
      <c r="D6" s="1066" t="n"/>
      <c r="E6" s="2743" t="n"/>
      <c r="F6" s="2744" t="n"/>
      <c r="G6" s="11602" t="n"/>
      <c r="H6" s="11501" t="inlineStr">
        <is>
          <t>Net Investment Income Tax—</t>
        </is>
      </c>
      <c r="I6" s="11602" t="n"/>
      <c r="J6" s="11602" t="n"/>
      <c r="K6" s="6996" t="n"/>
      <c r="L6" s="379" t="n"/>
      <c r="M6" s="11314">
        <f>TaxYear</f>
        <v/>
      </c>
      <c r="N6" s="7839" t="n"/>
      <c r="O6" s="2746" t="n"/>
      <c r="P6" s="11256" t="n"/>
      <c r="Q6" s="226" t="inlineStr">
        <is>
          <t>Manual</t>
        </is>
      </c>
      <c r="R6" s="344" t="n"/>
      <c r="S6" s="514" t="n"/>
      <c r="T6" s="514" t="n"/>
      <c r="U6" s="2748">
        <f>" must pay "&amp;TEXT(N59,"0.0%")&amp;" of the smaller of (a) or (b) as their NIIT."</f>
        <v/>
      </c>
      <c r="V6" s="979" t="n"/>
      <c r="W6" s="979" t="n"/>
      <c r="X6" s="979" t="n"/>
      <c r="Y6" s="979" t="n"/>
      <c r="Z6" s="979" t="n"/>
      <c r="AA6" s="979" t="n"/>
      <c r="AB6" s="979" t="n"/>
      <c r="AC6" s="979" t="n"/>
      <c r="AD6" s="2736" t="n"/>
    </row>
    <row r="7" ht="14.25" customHeight="1" s="7635">
      <c r="A7" s="139" t="n"/>
      <c r="D7" s="1066" t="n"/>
      <c r="E7" s="12822" t="inlineStr">
        <is>
          <t>Individuals, Estates, and Trusts</t>
        </is>
      </c>
      <c r="L7" s="1066" t="n"/>
      <c r="M7" s="11741" t="n"/>
      <c r="O7" s="2749" t="n"/>
      <c r="P7" s="2750" t="n"/>
      <c r="Q7" s="226" t="inlineStr">
        <is>
          <t>Override ê</t>
        </is>
      </c>
      <c r="R7" s="7299" t="n"/>
      <c r="S7" s="7299" t="n"/>
      <c r="T7" s="7299" t="n"/>
      <c r="U7" s="2735" t="inlineStr">
        <is>
          <t>The applicable threshold amount is based on your filing status.</t>
        </is>
      </c>
      <c r="V7" s="979" t="n"/>
      <c r="W7" s="979" t="n"/>
      <c r="X7" s="979" t="n"/>
      <c r="Y7" s="979" t="n"/>
      <c r="Z7" s="979" t="n"/>
      <c r="AA7" s="979" t="n"/>
      <c r="AB7" s="979" t="n"/>
      <c r="AC7" s="979" t="n"/>
      <c r="AD7" s="2736" t="n"/>
    </row>
    <row r="8" ht="12.75" customHeight="1" s="7635">
      <c r="A8" s="139" t="n"/>
      <c r="B8" s="3546" t="inlineStr">
        <is>
          <t>Department of the Treasury</t>
        </is>
      </c>
      <c r="D8" s="1066" t="n"/>
      <c r="E8" s="12823" t="inlineStr">
        <is>
          <t>Attach to your tax return.</t>
        </is>
      </c>
      <c r="L8" s="1066" t="n"/>
      <c r="M8" s="11264" t="inlineStr">
        <is>
          <t xml:space="preserve">      Attachment</t>
        </is>
      </c>
      <c r="O8" s="2746" t="n"/>
      <c r="P8" s="11256" t="n"/>
      <c r="Q8" s="2013" t="n"/>
      <c r="R8" s="7299" t="n"/>
      <c r="S8" s="351" t="n"/>
      <c r="T8" s="351" t="n"/>
      <c r="U8" s="2752">
        <f>IF(AND(OR(File_Marr_Joint&lt;&gt;"",File_Qual_Widow&lt;&gt;""),F8960_Applicable),"→","• ")</f>
        <v/>
      </c>
      <c r="V8" s="979">
        <f>"Married Filing Jointly or Qualifying Widow(er) is "&amp;TEXT(N42,"$0,000")&amp;"."</f>
        <v/>
      </c>
      <c r="W8" s="979" t="n"/>
      <c r="X8" s="979" t="n"/>
      <c r="Y8" s="979" t="n"/>
      <c r="Z8" s="979" t="n"/>
      <c r="AA8" s="979" t="n"/>
      <c r="AB8" s="979" t="n"/>
      <c r="AC8" s="979" t="n"/>
      <c r="AD8" s="2736" t="n"/>
    </row>
    <row r="9" ht="14.25" customHeight="1" s="7635" thickBot="1">
      <c r="A9" s="139" t="n"/>
      <c r="B9" s="12768" t="inlineStr">
        <is>
          <t>Internal Revenue Service</t>
        </is>
      </c>
      <c r="C9" s="8848" t="n"/>
      <c r="D9" s="2627" t="n"/>
      <c r="E9" s="12824" t="inlineStr">
        <is>
          <t>Go to www.irs.gov/Form8960 for instructions and the latest information.</t>
        </is>
      </c>
      <c r="F9" s="8848" t="n"/>
      <c r="G9" s="8848" t="n"/>
      <c r="H9" s="8848" t="n"/>
      <c r="I9" s="8848" t="n"/>
      <c r="J9" s="8848" t="n"/>
      <c r="K9" s="8848" t="n"/>
      <c r="L9" s="2627" t="n"/>
      <c r="M9" s="11271" t="inlineStr">
        <is>
          <t>Sequence No. 72</t>
        </is>
      </c>
      <c r="N9" s="8848" t="n"/>
      <c r="O9" s="2749" t="n"/>
      <c r="P9" s="2750" t="n"/>
      <c r="Q9" s="2013" t="n"/>
      <c r="R9" s="344" t="n"/>
      <c r="S9" s="351" t="n"/>
      <c r="T9" s="351" t="n"/>
      <c r="U9" s="2752">
        <f>IF(AND(File_Marr_Sep&lt;&gt;"",F8960_Applicable),"→","• ")</f>
        <v/>
      </c>
      <c r="V9" s="979">
        <f>"Married Filing Separately is "&amp;TEXT(N43,"$0,000")&amp;"."</f>
        <v/>
      </c>
      <c r="W9" s="979" t="n"/>
      <c r="X9" s="979" t="n"/>
      <c r="Y9" s="979" t="n"/>
      <c r="Z9" s="979" t="n"/>
      <c r="AA9" s="979" t="n"/>
      <c r="AB9" s="979" t="n"/>
      <c r="AC9" s="979" t="n"/>
      <c r="AD9" s="2736" t="n"/>
    </row>
    <row r="10" ht="11.25" customHeight="1" s="7635">
      <c r="A10" s="139" t="n"/>
      <c r="B10" s="2753" t="inlineStr">
        <is>
          <t>Name(s) shown on your tax return</t>
        </is>
      </c>
      <c r="C10" s="2754" t="n"/>
      <c r="D10" s="2754" t="n"/>
      <c r="E10" s="2755" t="n"/>
      <c r="F10" s="2755" t="n"/>
      <c r="G10" s="2756" t="n"/>
      <c r="H10" s="2753" t="n"/>
      <c r="I10" s="2756" t="n"/>
      <c r="J10" s="2756" t="n"/>
      <c r="K10" s="2757" t="n"/>
      <c r="L10" s="10343" t="inlineStr">
        <is>
          <t>Your social security number or EIN</t>
        </is>
      </c>
      <c r="O10" s="2746" t="n"/>
      <c r="P10" s="11256" t="n"/>
      <c r="Q10" s="2013" t="n"/>
      <c r="R10" s="344" t="n"/>
      <c r="S10" s="2758" t="n"/>
      <c r="T10" s="2758" t="n"/>
      <c r="U10" s="2752">
        <f>IF(AND(OR(File_Single&lt;&gt;"",File_Head&lt;&gt;""),F8960_Applicable),"→","• ")</f>
        <v/>
      </c>
      <c r="V10" s="516">
        <f>"Single or Head of Household is "&amp;TEXT(N44,"$0,000")&amp;"."</f>
        <v/>
      </c>
      <c r="W10" s="979" t="n"/>
      <c r="X10" s="979" t="n"/>
      <c r="Y10" s="979" t="n"/>
      <c r="Z10" s="979" t="n"/>
      <c r="AA10" s="979" t="n"/>
      <c r="AB10" s="979" t="n"/>
      <c r="AC10" s="979" t="n"/>
      <c r="AD10" s="2736" t="n"/>
    </row>
    <row r="11" ht="14.25" customHeight="1" s="7635">
      <c r="A11" s="139" t="n"/>
      <c r="B11" s="12571">
        <f>Names</f>
        <v/>
      </c>
      <c r="C11" s="7637" t="n"/>
      <c r="D11" s="7637" t="n"/>
      <c r="E11" s="7637" t="n"/>
      <c r="F11" s="7637" t="n"/>
      <c r="G11" s="7637" t="n"/>
      <c r="H11" s="7637" t="n"/>
      <c r="I11" s="7637" t="n"/>
      <c r="J11" s="7637" t="n"/>
      <c r="K11" s="7638" t="n"/>
      <c r="L11" s="12025">
        <f>IF(NoSSN,"",SS_Yours)</f>
        <v/>
      </c>
      <c r="M11" s="7637" t="n"/>
      <c r="N11" s="7637" t="n"/>
      <c r="O11" s="2749" t="n"/>
      <c r="P11" s="2750" t="n"/>
      <c r="Q11" s="2013" t="n"/>
      <c r="R11" s="344" t="n"/>
      <c r="S11" s="2758" t="n"/>
      <c r="T11" s="2758" t="n"/>
      <c r="U11" s="2752" t="n"/>
      <c r="V11" s="979" t="n"/>
      <c r="W11" s="979" t="n"/>
      <c r="X11" s="979" t="n"/>
      <c r="Y11" s="979" t="n"/>
      <c r="Z11" s="979" t="n"/>
      <c r="AA11" s="979" t="n"/>
      <c r="AB11" s="979" t="n"/>
      <c r="AC11" s="979" t="n"/>
      <c r="AD11" s="2736" t="n"/>
    </row>
    <row r="12" ht="12" customHeight="1" s="7635">
      <c r="A12" s="139" t="n"/>
      <c r="B12" s="2759" t="inlineStr">
        <is>
          <t xml:space="preserve">Part I </t>
        </is>
      </c>
      <c r="C12" s="12825" t="inlineStr">
        <is>
          <t xml:space="preserve"> Investment Income</t>
        </is>
      </c>
      <c r="D12" s="7839" t="n"/>
      <c r="E12" s="10091" t="n"/>
      <c r="F12" s="8691" t="n"/>
      <c r="G12" s="2760" t="inlineStr">
        <is>
          <t>Section 6013(g) election (see instructions)</t>
        </is>
      </c>
      <c r="H12" s="2761" t="n"/>
      <c r="I12" s="2761" t="n"/>
      <c r="J12" s="2761" t="n"/>
      <c r="K12" s="11222" t="n"/>
      <c r="L12" s="2761" t="n"/>
      <c r="M12" s="2761" t="n"/>
      <c r="N12" s="2761" t="n"/>
      <c r="O12" s="2762" t="n"/>
      <c r="P12" s="2763" t="n"/>
      <c r="Q12" s="2013" t="n"/>
      <c r="R12" s="344" t="n"/>
      <c r="S12" s="344" t="n"/>
      <c r="T12" s="344" t="n"/>
      <c r="U12" s="2735" t="inlineStr">
        <is>
          <t>Net investment income. Generally, net investment income includes gross income from interest, dividends, annuities,</t>
        </is>
      </c>
      <c r="V12" s="979" t="n"/>
      <c r="W12" s="979" t="n"/>
      <c r="X12" s="979" t="n"/>
      <c r="Y12" s="979" t="n"/>
      <c r="Z12" s="979" t="n"/>
      <c r="AA12" s="979" t="n"/>
      <c r="AB12" s="979" t="n"/>
      <c r="AC12" s="979" t="n"/>
      <c r="AD12" s="2736" t="n"/>
    </row>
    <row r="13" ht="12" customHeight="1" s="7635">
      <c r="A13" s="139" t="n"/>
      <c r="B13" s="7453" t="n"/>
      <c r="E13" s="7636" t="n"/>
      <c r="F13" s="8691" t="n"/>
      <c r="G13" s="7298" t="inlineStr">
        <is>
          <t>Section 6013(h) election (see instructions)</t>
        </is>
      </c>
      <c r="H13" s="7772" t="n"/>
      <c r="I13" s="7772" t="n"/>
      <c r="J13" s="7772" t="n"/>
      <c r="K13" s="11216" t="n"/>
      <c r="L13" s="7772" t="n"/>
      <c r="M13" s="7772" t="n"/>
      <c r="N13" s="7772" t="n"/>
      <c r="O13" s="2762" t="n"/>
      <c r="P13" s="2763" t="n"/>
      <c r="Q13" s="2013" t="n"/>
      <c r="R13" s="344" t="n"/>
      <c r="S13" s="344" t="n"/>
      <c r="T13" s="344" t="n"/>
      <c r="U13" s="2735" t="inlineStr">
        <is>
          <t>royalties, and rents, unless they’re derived from the ordinary course of a trade or business that isn’t (a) a passive activity, or</t>
        </is>
      </c>
      <c r="V13" s="979" t="n"/>
      <c r="W13" s="979" t="n"/>
      <c r="X13" s="979" t="n"/>
      <c r="Y13" s="979" t="n"/>
      <c r="Z13" s="979" t="n"/>
      <c r="AA13" s="979" t="n"/>
      <c r="AB13" s="979" t="n"/>
      <c r="AC13" s="979" t="n"/>
      <c r="AD13" s="2736" t="n"/>
    </row>
    <row r="14" ht="12" customHeight="1" s="7635">
      <c r="A14" s="139" t="n"/>
      <c r="B14" s="7601" t="n"/>
      <c r="C14" s="2765" t="n"/>
      <c r="D14" s="2765" t="n"/>
      <c r="E14" s="2766" t="n"/>
      <c r="F14" s="8691" t="n"/>
      <c r="G14" s="2767" t="inlineStr">
        <is>
          <t>Regulations section 1.1411-10(g) election (see instructions)</t>
        </is>
      </c>
      <c r="H14" s="1998" t="n"/>
      <c r="I14" s="1998" t="n"/>
      <c r="J14" s="1998" t="n"/>
      <c r="K14" s="11248" t="n"/>
      <c r="L14" s="1998" t="n"/>
      <c r="M14" s="1998" t="n"/>
      <c r="N14" s="1998" t="n"/>
      <c r="O14" s="2762" t="n"/>
      <c r="P14" s="2763" t="n"/>
      <c r="Q14" s="2013" t="n"/>
      <c r="R14" s="344" t="n"/>
      <c r="S14" s="344" t="n"/>
      <c r="T14" s="344" t="n"/>
      <c r="U14" s="2735" t="inlineStr">
        <is>
          <t xml:space="preserve"> (b) a trade or business of trading in financial instruments or commodities.  (See IRS Form 8960 instructions for more detail.)</t>
        </is>
      </c>
      <c r="V14" s="979" t="n"/>
      <c r="W14" s="979" t="n"/>
      <c r="X14" s="979" t="n"/>
      <c r="Y14" s="979" t="n"/>
      <c r="Z14" s="979" t="n"/>
      <c r="AA14" s="979" t="n"/>
      <c r="AB14" s="979" t="n"/>
      <c r="AC14" s="979" t="n"/>
      <c r="AD14" s="2736" t="n"/>
    </row>
    <row r="15" ht="13.5" customHeight="1" s="7635" thickBot="1">
      <c r="A15" s="139" t="n"/>
      <c r="B15" s="8374" t="n">
        <v>1</v>
      </c>
      <c r="C15" s="2769" t="inlineStr">
        <is>
          <t>Taxable interest (see instructions)</t>
        </is>
      </c>
      <c r="D15" s="2770" t="n"/>
      <c r="E15" s="11262" t="n"/>
      <c r="F15" s="11262" t="n"/>
      <c r="G15" s="11262" t="n"/>
      <c r="H15" s="2771" t="n"/>
      <c r="I15" s="2771" t="n"/>
      <c r="J15" s="2771" t="n"/>
      <c r="K15" s="2772" t="n"/>
      <c r="L15" s="2031" t="inlineStr">
        <is>
          <t xml:space="preserve">.   .   .   .   .   .   .   .   .   .   .   .   .   .   .   .   .   .   .   .   .   .   .   . </t>
        </is>
      </c>
      <c r="M15" s="2773">
        <f>B15</f>
        <v/>
      </c>
      <c r="N15" s="2774">
        <f>IF(Q15&lt;&gt;"",ROUND(Q15,0),IF(File8960,TaxableInterest,""))</f>
        <v/>
      </c>
      <c r="O15" s="2775" t="n"/>
      <c r="P15" s="2776" t="n"/>
      <c r="Q15" s="118" t="n"/>
      <c r="R15" s="689" t="n"/>
      <c r="S15" s="689" t="n"/>
      <c r="T15" s="689" t="n"/>
      <c r="U15" s="980" t="n"/>
      <c r="V15" s="981" t="n"/>
      <c r="W15" s="981" t="n"/>
      <c r="X15" s="981" t="n"/>
      <c r="Y15" s="981" t="n"/>
      <c r="Z15" s="981" t="n"/>
      <c r="AA15" s="981" t="n"/>
      <c r="AB15" s="981" t="n"/>
      <c r="AC15" s="981" t="n"/>
      <c r="AD15" s="2777" t="n"/>
    </row>
    <row r="16" ht="13.5" customHeight="1" s="7635" thickBot="1">
      <c r="A16" s="139" t="n"/>
      <c r="B16" s="8374" t="n">
        <v>2</v>
      </c>
      <c r="C16" s="2769" t="inlineStr">
        <is>
          <t>Ordinary dividends (see instructions)</t>
        </is>
      </c>
      <c r="D16" s="2770" t="n"/>
      <c r="E16" s="11262" t="n"/>
      <c r="F16" s="11262" t="n"/>
      <c r="G16" s="11262" t="n"/>
      <c r="H16" s="2771" t="n"/>
      <c r="I16" s="2771" t="n"/>
      <c r="J16" s="2771" t="n"/>
      <c r="K16" s="2772" t="n"/>
      <c r="L16" s="2031" t="inlineStr">
        <is>
          <t xml:space="preserve">.   .   .   .   .   .   .   .   .   .   .   .   .   .   .   .   .   .   .   .   .   .   . </t>
        </is>
      </c>
      <c r="M16" s="2773">
        <f>B16</f>
        <v/>
      </c>
      <c r="N16" s="2774">
        <f>IF(Q16&lt;&gt;"",ROUND(Q16,0),IF(File8960,OrdinaryDividends,""))</f>
        <v/>
      </c>
      <c r="O16" s="2775" t="n"/>
      <c r="P16" s="2776" t="n"/>
      <c r="Q16" s="118" t="n"/>
      <c r="R16" s="689" t="n"/>
      <c r="S16" s="689" t="n"/>
      <c r="T16" s="689" t="n"/>
      <c r="U16" s="11602" t="n"/>
      <c r="V16" s="11602" t="n"/>
      <c r="W16" s="11602" t="n"/>
      <c r="X16" s="11602" t="n"/>
      <c r="Y16" s="11602" t="n"/>
      <c r="Z16" s="11602" t="n"/>
      <c r="AA16" s="11602" t="n"/>
      <c r="AB16" s="11602" t="n"/>
      <c r="AC16" s="11602" t="n"/>
      <c r="AD16" s="11602" t="n"/>
    </row>
    <row r="17" ht="13.5" customHeight="1" s="7635">
      <c r="A17" s="139" t="n"/>
      <c r="B17" s="8374" t="n">
        <v>3</v>
      </c>
      <c r="C17" s="2769" t="inlineStr">
        <is>
          <t>Annuities (see instructions)</t>
        </is>
      </c>
      <c r="D17" s="2770" t="n"/>
      <c r="E17" s="11262" t="n"/>
      <c r="F17" s="11262" t="n"/>
      <c r="G17" s="11262" t="n"/>
      <c r="H17" s="2771" t="n"/>
      <c r="I17" s="2771" t="n"/>
      <c r="J17" s="2771" t="n"/>
      <c r="K17" s="2772" t="n"/>
      <c r="L17" s="2031" t="inlineStr">
        <is>
          <t xml:space="preserve">.   .   .   .   .   .   .   .   .   .   .   .   .   .   .   .   .   .   .   .   .   .   .   .   .   . </t>
        </is>
      </c>
      <c r="M17" s="2773">
        <f>B17</f>
        <v/>
      </c>
      <c r="N17" s="2774">
        <f>IF(Q17&lt;&gt;"",ROUND(Q17,0),IF(File8960,ROUND(NonQualAnnuity,0),""))</f>
        <v/>
      </c>
      <c r="O17" s="2775" t="n"/>
      <c r="P17" s="2776" t="n"/>
      <c r="Q17" s="118" t="n"/>
      <c r="R17" s="689" t="n"/>
      <c r="S17" s="689" t="n"/>
      <c r="T17" s="689" t="n"/>
      <c r="U17" s="338" t="n"/>
      <c r="V17" s="2778" t="n"/>
      <c r="W17" s="2778" t="n"/>
      <c r="X17" s="2778" t="n"/>
      <c r="Y17" s="2778" t="n"/>
      <c r="Z17" s="2778" t="n"/>
      <c r="AA17" s="2778" t="n"/>
      <c r="AB17" s="2778" t="n"/>
      <c r="AC17" s="2778" t="n"/>
      <c r="AD17" s="2779" t="n"/>
    </row>
    <row r="18" ht="13.5" customFormat="1" customHeight="1" s="214">
      <c r="A18" s="139" t="n"/>
      <c r="B18" s="8374" t="inlineStr">
        <is>
          <t>4a</t>
        </is>
      </c>
      <c r="C18" s="2769" t="inlineStr">
        <is>
          <t>Rental real estate, royalties, partnerships, S corporations, trusts, trades or</t>
        </is>
      </c>
      <c r="D18" s="2770" t="n"/>
      <c r="E18" s="11262" t="n"/>
      <c r="F18" s="11262" t="n"/>
      <c r="G18" s="11262" t="n"/>
      <c r="H18" s="2771" t="n"/>
      <c r="I18" s="2771" t="n"/>
      <c r="J18" s="2771" t="n"/>
      <c r="K18" s="2780" t="n"/>
      <c r="L18" s="2031" t="n"/>
      <c r="M18" s="2781" t="n"/>
      <c r="N18" s="2782">
        <f>IF($P$21,"For Line 4b, enter","")</f>
        <v/>
      </c>
      <c r="O18" s="2783" t="n"/>
      <c r="P18" s="2784" t="n"/>
      <c r="Q18" s="2785" t="n"/>
      <c r="R18" s="689" t="n"/>
      <c r="S18" s="689" t="n"/>
      <c r="T18" s="689" t="n"/>
      <c r="U18" s="341" t="n"/>
      <c r="V18" s="7886" t="inlineStr">
        <is>
          <t>NOTE: This line is used only if you itemized you deductions on Schedule A (Form 1040).</t>
        </is>
      </c>
      <c r="W18" s="2786" t="n"/>
      <c r="X18" s="2786" t="n"/>
      <c r="Y18" s="2786" t="n"/>
      <c r="Z18" s="2786" t="n"/>
      <c r="AA18" s="2786" t="n"/>
      <c r="AB18" s="2786" t="n"/>
      <c r="AC18" s="2786" t="n"/>
      <c r="AD18" s="2787" t="n"/>
      <c r="AF18" s="658" t="n"/>
      <c r="AG18" s="658" t="n"/>
      <c r="AH18" s="658" t="n"/>
      <c r="AI18" s="658" t="n"/>
      <c r="AJ18" s="658" t="n"/>
      <c r="AK18" s="658" t="n"/>
      <c r="AL18" s="658" t="n"/>
      <c r="AM18" s="658" t="n"/>
      <c r="AN18" s="658" t="n"/>
    </row>
    <row r="19" ht="13.5" customHeight="1" s="7635">
      <c r="A19" s="139" t="n"/>
      <c r="B19" s="8374" t="n"/>
      <c r="C19" s="2769" t="inlineStr">
        <is>
          <t>businesses, etc. (see instructions)</t>
        </is>
      </c>
      <c r="D19" s="2769" t="n"/>
      <c r="E19" s="11262" t="n"/>
      <c r="F19" s="11262" t="n"/>
      <c r="G19" s="11262" t="n"/>
      <c r="H19" s="2771" t="n"/>
      <c r="I19" s="8374" t="n"/>
      <c r="J19" s="8374" t="inlineStr">
        <is>
          <t xml:space="preserve">.   .   .   .   .   .   .   .   .   .   .   .   .   .   .   .   . </t>
        </is>
      </c>
      <c r="K19" s="2773" t="inlineStr">
        <is>
          <t>4a</t>
        </is>
      </c>
      <c r="L19" s="2774">
        <f>IF(Q19&lt;&gt;"",ROUND(Q19,0),IF(File8960,SUM(BusinessIncomeLoss,SchE_IncomeLoss),""))</f>
        <v/>
      </c>
      <c r="M19" s="2781" t="n"/>
      <c r="N19" s="2788">
        <f>IF($P$21,"net pos. amounts","")</f>
        <v/>
      </c>
      <c r="O19" s="2775" t="n"/>
      <c r="P19" s="2776" t="n"/>
      <c r="Q19" s="118" t="n"/>
      <c r="R19" s="343" t="n"/>
      <c r="S19" s="343" t="n"/>
      <c r="T19" s="343" t="n"/>
      <c r="U19" s="341" t="n"/>
      <c r="V19" s="2786" t="n"/>
      <c r="W19" s="2786" t="n"/>
      <c r="X19" s="2786" t="n"/>
      <c r="Y19" s="2786" t="n"/>
      <c r="Z19" s="2786" t="n"/>
      <c r="AA19" s="2786" t="n"/>
      <c r="AB19" s="2786" t="n"/>
      <c r="AC19" s="2786" t="n"/>
      <c r="AD19" s="2787" t="n"/>
    </row>
    <row r="20" ht="13.5" customFormat="1" customHeight="1" s="214">
      <c r="A20" s="139" t="n"/>
      <c r="B20" s="8374" t="inlineStr">
        <is>
          <t>b</t>
        </is>
      </c>
      <c r="C20" s="2769" t="inlineStr">
        <is>
          <t>Adjustment for net income or loss derived in the ordinary course of a non-</t>
        </is>
      </c>
      <c r="D20" s="2770" t="n"/>
      <c r="E20" s="11262" t="n"/>
      <c r="F20" s="11262" t="n"/>
      <c r="G20" s="11262" t="n"/>
      <c r="H20" s="2771" t="n"/>
      <c r="I20" s="2771" t="n"/>
      <c r="J20" s="2771" t="n"/>
      <c r="K20" s="2780" t="n"/>
      <c r="L20" s="8374" t="n"/>
      <c r="M20" s="2781" t="n"/>
      <c r="N20" s="2782">
        <f>IF($P$21,"as neg. adjustments","")</f>
        <v/>
      </c>
      <c r="O20" s="2783" t="n"/>
      <c r="P20" s="2784" t="n"/>
      <c r="Q20" s="2785" t="n"/>
      <c r="R20" s="689" t="n"/>
      <c r="S20" s="689" t="n"/>
      <c r="T20" s="689" t="n"/>
      <c r="U20" s="341" t="n"/>
      <c r="V20" s="7038" t="inlineStr">
        <is>
          <t>Line 9b—State, Local, and Foreign Income Tax
Include state, local, and foreign income taxes you paid for the tax year that are attributable to net investment income. Include also state, local, and foreign real property taxes paid for the tax year, as well as state and local personal property taxes paid that are attributable to NII. See the Instructions for Schedule A (Form 1040) for information and potential limits to state and local income taxes. (Total taxes may be limited under section 164(b)(6) if the expense is not associated with a trade or business or with a section 212 activity for the production of income.)
Form 1040-NR filers include only taxes paid for the U.S. residency period of the tax year. Sales taxes are not deductible in computing net investment income. You may not take a deduction for any foreign income taxes paid for the tax year if you took a credit for any portion of it. See section 275(a)(4).
You can determine the portion of your state, local, and foreign income taxes allocable to net investment income using any reasonable method. See Reasonable method allocations in IRS Form 8960 instructions.
Enter the amount of state, local, or foreign income taxes; state, local, and foreign real property taxes; as well as state and local personal property taxes on Form 8960, line 9b.
Note: IF YOU ITEMIZED YOUR DEDUCTIONS ON SCHEDULE A, this spreadsheet determines the amount for line 9b by multiplying the state and local income taxes paid by the fraction of investment income over adjusted gross income.  Use the override cell (Q34) to enter a different amount.</t>
        </is>
      </c>
      <c r="AD20" s="379" t="n"/>
      <c r="AF20" s="658" t="n"/>
      <c r="AG20" s="658" t="n"/>
      <c r="AH20" s="658" t="n"/>
      <c r="AI20" s="658" t="n"/>
      <c r="AJ20" s="658" t="n"/>
      <c r="AK20" s="658" t="n"/>
      <c r="AL20" s="658" t="n"/>
      <c r="AM20" s="658" t="n"/>
      <c r="AN20" s="658" t="n"/>
    </row>
    <row r="21" ht="13.5" customHeight="1" s="7635">
      <c r="A21" s="139" t="n"/>
      <c r="B21" s="8374" t="n"/>
      <c r="C21" s="2769" t="inlineStr">
        <is>
          <t>section 1411 trade or business (see instructions)</t>
        </is>
      </c>
      <c r="D21" s="2769" t="n"/>
      <c r="E21" s="11262" t="n"/>
      <c r="F21" s="11262" t="n"/>
      <c r="G21" s="11262" t="n"/>
      <c r="H21" s="2771" t="n"/>
      <c r="I21" s="8374" t="n"/>
      <c r="J21" s="8374" t="inlineStr">
        <is>
          <t xml:space="preserve">.   .   .   .   .   .   .   .   .   .   . </t>
        </is>
      </c>
      <c r="K21" s="2773" t="inlineStr">
        <is>
          <t>4b</t>
        </is>
      </c>
      <c r="L21" s="335" t="n"/>
      <c r="M21" s="2781" t="n"/>
      <c r="N21" s="2788">
        <f>IF($P$21,"and vice versa.","")</f>
        <v/>
      </c>
      <c r="O21" s="749" t="n"/>
      <c r="P21" s="2789">
        <f>IF(AND(L21&lt;&gt;"",O21=""),TRUE,FALSE)</f>
        <v/>
      </c>
      <c r="Q21" s="2790">
        <f>IF(L21&lt;&gt;"","Hide note.","")</f>
        <v/>
      </c>
      <c r="R21" s="343" t="n"/>
      <c r="S21" s="343" t="n"/>
      <c r="T21" s="689" t="n"/>
      <c r="U21" s="341" t="n"/>
      <c r="AD21" s="379" t="n"/>
      <c r="AE21" s="214" t="n"/>
    </row>
    <row r="22" ht="13.5" customHeight="1" s="7635">
      <c r="A22" s="139" t="n"/>
      <c r="B22" s="8374" t="inlineStr">
        <is>
          <t>c</t>
        </is>
      </c>
      <c r="C22" s="2769" t="inlineStr">
        <is>
          <t>Combine lines 4a and 4b</t>
        </is>
      </c>
      <c r="D22" s="2770" t="n"/>
      <c r="E22" s="11262" t="n"/>
      <c r="F22" s="11262" t="n"/>
      <c r="G22" s="11262" t="n"/>
      <c r="H22" s="2771" t="n"/>
      <c r="I22" s="2771" t="n"/>
      <c r="J22" s="2771" t="n"/>
      <c r="K22" s="2772" t="n"/>
      <c r="L22" s="2031" t="inlineStr">
        <is>
          <t xml:space="preserve">.   .   .   .   .   .   .   .   .   .   .   .   .   .   .   .   .   .   .   .   .   .   .   .   .   .   . </t>
        </is>
      </c>
      <c r="M22" s="2773" t="inlineStr">
        <is>
          <t>4c</t>
        </is>
      </c>
      <c r="N22" s="2774">
        <f>IF(Q22&lt;&gt;"",Q22,IF(File8960,SUM(L19,L21),""))</f>
        <v/>
      </c>
      <c r="O22" s="2775" t="n"/>
      <c r="P22" s="2776" t="n"/>
      <c r="Q22" s="118" t="n"/>
      <c r="R22" s="689" t="n"/>
      <c r="S22" s="689" t="n"/>
      <c r="T22" s="689" t="n"/>
      <c r="U22" s="341" t="n"/>
      <c r="AD22" s="379" t="n"/>
      <c r="AE22" s="214" t="n"/>
    </row>
    <row r="23" ht="13.5" customHeight="1" s="7635">
      <c r="A23" s="139" t="n"/>
      <c r="B23" s="8374" t="inlineStr">
        <is>
          <t>5a</t>
        </is>
      </c>
      <c r="C23" s="2769" t="inlineStr">
        <is>
          <t>Net gain or loss from disposition of property (see instructions)</t>
        </is>
      </c>
      <c r="D23" s="2769" t="n"/>
      <c r="E23" s="11262" t="n"/>
      <c r="F23" s="11262" t="n"/>
      <c r="G23" s="11262" t="n"/>
      <c r="H23" s="2771" t="n"/>
      <c r="I23" s="8374" t="n"/>
      <c r="J23" s="8374" t="inlineStr">
        <is>
          <t xml:space="preserve">.   .   .   .   .   . </t>
        </is>
      </c>
      <c r="K23" s="2773" t="inlineStr">
        <is>
          <t>5a</t>
        </is>
      </c>
      <c r="L23" s="2774">
        <f>IF(Q23&lt;&gt;"",ROUND(Q23,0),IF(File8960,SUM(CapitalGains,OtherGainsLosses),""))</f>
        <v/>
      </c>
      <c r="M23" s="2781" t="n"/>
      <c r="N23" s="2791" t="n"/>
      <c r="O23" s="2775" t="n"/>
      <c r="P23" s="2776" t="n"/>
      <c r="Q23" s="118" t="n"/>
      <c r="R23" s="343" t="n"/>
      <c r="S23" s="343" t="n"/>
      <c r="T23" s="689" t="n"/>
      <c r="U23" s="341" t="n"/>
      <c r="AD23" s="379" t="n"/>
      <c r="AE23" s="214" t="n"/>
    </row>
    <row r="24" ht="13.5" customFormat="1" customHeight="1" s="214">
      <c r="A24" s="139" t="n"/>
      <c r="B24" s="8374" t="inlineStr">
        <is>
          <t>b</t>
        </is>
      </c>
      <c r="C24" s="2769" t="inlineStr">
        <is>
          <t>Net gain or loss from disposition of property that is not subject to net</t>
        </is>
      </c>
      <c r="D24" s="2770" t="n"/>
      <c r="E24" s="11262" t="n"/>
      <c r="F24" s="11262" t="n"/>
      <c r="G24" s="11262" t="n"/>
      <c r="H24" s="2771" t="n"/>
      <c r="I24" s="2771" t="n"/>
      <c r="J24" s="2771" t="n"/>
      <c r="K24" s="2780" t="n"/>
      <c r="L24" s="8374" t="n"/>
      <c r="M24" s="2781" t="n"/>
      <c r="N24" s="2792" t="n"/>
      <c r="O24" s="2783" t="n"/>
      <c r="P24" s="2784" t="n"/>
      <c r="Q24" s="962" t="n"/>
      <c r="R24" s="689" t="n"/>
      <c r="S24" s="689" t="n"/>
      <c r="T24" s="689" t="n"/>
      <c r="U24" s="341" t="n"/>
      <c r="AD24" s="379" t="n"/>
      <c r="AF24" s="658" t="n"/>
      <c r="AG24" s="658" t="n"/>
      <c r="AH24" s="658" t="n"/>
      <c r="AI24" s="658" t="n"/>
      <c r="AJ24" s="658" t="n"/>
      <c r="AK24" s="658" t="n"/>
      <c r="AL24" s="658" t="n"/>
      <c r="AM24" s="658" t="n"/>
      <c r="AN24" s="658" t="n"/>
    </row>
    <row r="25" ht="13.5" customHeight="1" s="7635">
      <c r="A25" s="139" t="n"/>
      <c r="B25" s="8374" t="n"/>
      <c r="C25" s="2769" t="inlineStr">
        <is>
          <t>investment income tax (see instructions)</t>
        </is>
      </c>
      <c r="D25" s="2769" t="n"/>
      <c r="E25" s="11262" t="n"/>
      <c r="F25" s="11262" t="n"/>
      <c r="G25" s="11262" t="n"/>
      <c r="H25" s="2771" t="n"/>
      <c r="I25" s="8374" t="n"/>
      <c r="J25" s="8374" t="inlineStr">
        <is>
          <t xml:space="preserve">.   .   .   .   .   .   .   .   .   .   .   .   . </t>
        </is>
      </c>
      <c r="K25" s="2773" t="inlineStr">
        <is>
          <t>5b</t>
        </is>
      </c>
      <c r="L25" s="335" t="n"/>
      <c r="M25" s="2781" t="n"/>
      <c r="N25" s="2791" t="n"/>
      <c r="O25" s="2775" t="n"/>
      <c r="P25" s="2776" t="n"/>
      <c r="Q25" s="962" t="n"/>
      <c r="R25" s="343" t="n"/>
      <c r="S25" s="343" t="n"/>
      <c r="T25" s="689" t="n"/>
      <c r="U25" s="341" t="n"/>
      <c r="AD25" s="379" t="n"/>
      <c r="AE25" s="214" t="n"/>
    </row>
    <row r="26" ht="13.5" customFormat="1" customHeight="1" s="214">
      <c r="A26" s="139" t="n"/>
      <c r="B26" s="8374" t="inlineStr">
        <is>
          <t>c</t>
        </is>
      </c>
      <c r="C26" s="2769" t="inlineStr">
        <is>
          <t>Adjustment from disposition of partnership interest or S corporation stock</t>
        </is>
      </c>
      <c r="D26" s="2770" t="n"/>
      <c r="E26" s="11262" t="n"/>
      <c r="F26" s="11262" t="n"/>
      <c r="G26" s="11262" t="n"/>
      <c r="H26" s="2771" t="n"/>
      <c r="I26" s="2771" t="n"/>
      <c r="J26" s="2771" t="n"/>
      <c r="K26" s="2780" t="n"/>
      <c r="L26" s="8374" t="n"/>
      <c r="M26" s="2781" t="n"/>
      <c r="N26" s="2792" t="n"/>
      <c r="O26" s="2783" t="n"/>
      <c r="P26" s="2784" t="n"/>
      <c r="Q26" s="962" t="n"/>
      <c r="R26" s="689" t="n"/>
      <c r="S26" s="689" t="n"/>
      <c r="T26" s="689" t="n"/>
      <c r="U26" s="341" t="n"/>
      <c r="AD26" s="379" t="n"/>
      <c r="AF26" s="658" t="n"/>
      <c r="AG26" s="658" t="n"/>
      <c r="AH26" s="658" t="n"/>
      <c r="AI26" s="658" t="n"/>
      <c r="AJ26" s="658" t="n"/>
      <c r="AK26" s="658" t="n"/>
      <c r="AL26" s="658" t="n"/>
      <c r="AM26" s="658" t="n"/>
      <c r="AN26" s="658" t="n"/>
    </row>
    <row r="27" ht="13.5" customHeight="1" s="7635">
      <c r="A27" s="139" t="n"/>
      <c r="B27" s="8374" t="n"/>
      <c r="C27" s="2769" t="inlineStr">
        <is>
          <t>(see instructions)</t>
        </is>
      </c>
      <c r="D27" s="2769" t="n"/>
      <c r="E27" s="11262" t="n"/>
      <c r="F27" s="11262" t="n"/>
      <c r="G27" s="11262" t="n"/>
      <c r="H27" s="2771" t="n"/>
      <c r="I27" s="8374" t="n"/>
      <c r="J27" s="8374" t="inlineStr">
        <is>
          <t xml:space="preserve">.   .   .   .   .   .   .   .   .   .   .   .   .   .   .   .   .   .   .   .   . </t>
        </is>
      </c>
      <c r="K27" s="2773" t="inlineStr">
        <is>
          <t>5c</t>
        </is>
      </c>
      <c r="L27" s="335" t="n"/>
      <c r="M27" s="2781" t="n"/>
      <c r="N27" s="2791" t="n"/>
      <c r="O27" s="2775" t="n"/>
      <c r="P27" s="2776" t="n"/>
      <c r="Q27" s="962" t="n"/>
      <c r="R27" s="343" t="n"/>
      <c r="S27" s="343" t="n"/>
      <c r="T27" s="689" t="n"/>
      <c r="U27" s="341" t="n"/>
      <c r="AD27" s="379" t="n"/>
      <c r="AE27" s="214" t="n"/>
    </row>
    <row r="28" ht="13.5" customHeight="1" s="7635">
      <c r="A28" s="139" t="n"/>
      <c r="B28" s="8374" t="inlineStr">
        <is>
          <t>d</t>
        </is>
      </c>
      <c r="C28" s="2769" t="inlineStr">
        <is>
          <t>Combine lines 5a through 5c</t>
        </is>
      </c>
      <c r="D28" s="2770" t="n"/>
      <c r="E28" s="11262" t="n"/>
      <c r="F28" s="11262" t="n"/>
      <c r="G28" s="11262" t="n"/>
      <c r="H28" s="2771" t="n"/>
      <c r="I28" s="2771" t="n"/>
      <c r="J28" s="2771" t="n"/>
      <c r="K28" s="2772" t="n"/>
      <c r="L28" s="2031" t="inlineStr">
        <is>
          <t xml:space="preserve">.   .   .   .   .   .   .   .   .   .   .   .   .   .   .   .   .   .   .   .   .   .   .   .   .   . </t>
        </is>
      </c>
      <c r="M28" s="2773" t="inlineStr">
        <is>
          <t>5d</t>
        </is>
      </c>
      <c r="N28" s="2774">
        <f>IF(Q28&lt;&gt;"",Q28,IF(File8960,SUM(L23,L25,L27),""))</f>
        <v/>
      </c>
      <c r="O28" s="2775" t="n"/>
      <c r="P28" s="2776" t="n"/>
      <c r="Q28" s="118" t="n"/>
      <c r="R28" s="689" t="n"/>
      <c r="S28" s="689" t="n"/>
      <c r="T28" s="343" t="n"/>
      <c r="U28" s="341" t="n"/>
      <c r="AD28" s="379" t="n"/>
    </row>
    <row r="29" ht="13.5" customHeight="1" s="7635">
      <c r="A29" s="139" t="n"/>
      <c r="B29" s="8374" t="n">
        <v>6</v>
      </c>
      <c r="C29" s="2769" t="inlineStr">
        <is>
          <t>Changes to investment income for certain CFCs and PFICs (see instructions)</t>
        </is>
      </c>
      <c r="D29" s="2770" t="n"/>
      <c r="E29" s="11262" t="n"/>
      <c r="F29" s="11262" t="n"/>
      <c r="G29" s="11262" t="n"/>
      <c r="H29" s="2771" t="n"/>
      <c r="I29" s="2771" t="n"/>
      <c r="J29" s="2771" t="n"/>
      <c r="K29" s="2772" t="n"/>
      <c r="L29" s="2031" t="inlineStr">
        <is>
          <t xml:space="preserve">.   .   .   .   .   .   .   .   . </t>
        </is>
      </c>
      <c r="M29" s="2773">
        <f>B29</f>
        <v/>
      </c>
      <c r="N29" s="335" t="n"/>
      <c r="O29" s="2775" t="n"/>
      <c r="P29" s="2776" t="n"/>
      <c r="Q29" s="962" t="n"/>
      <c r="R29" s="689" t="n"/>
      <c r="S29" s="689" t="n"/>
      <c r="T29" s="689" t="n"/>
      <c r="U29" s="341" t="n"/>
      <c r="AD29" s="379" t="n"/>
    </row>
    <row r="30" ht="13.5" customHeight="1" s="7635">
      <c r="A30" s="139" t="n"/>
      <c r="B30" s="8374" t="n">
        <v>7</v>
      </c>
      <c r="C30" s="2769" t="inlineStr">
        <is>
          <t>Other modifications to investment income (see instructions)</t>
        </is>
      </c>
      <c r="D30" s="2770" t="n"/>
      <c r="E30" s="11262" t="n"/>
      <c r="F30" s="11262" t="n"/>
      <c r="G30" s="11262" t="n"/>
      <c r="H30" s="2771" t="n"/>
      <c r="I30" s="2771" t="n"/>
      <c r="J30" s="2771" t="n"/>
      <c r="K30" s="2772" t="n"/>
      <c r="L30" s="2031" t="inlineStr">
        <is>
          <t xml:space="preserve">.   .   .   .   .   .   .   .   .   .   .   .   .   .   . </t>
        </is>
      </c>
      <c r="M30" s="2773">
        <f>B30</f>
        <v/>
      </c>
      <c r="N30" s="335" t="n"/>
      <c r="O30" s="2775" t="n"/>
      <c r="P30" s="2776" t="n"/>
      <c r="Q30" s="962" t="n"/>
      <c r="R30" s="689" t="n"/>
      <c r="S30" s="689" t="n"/>
      <c r="T30" s="343" t="n"/>
      <c r="U30" s="341" t="n"/>
      <c r="AD30" s="379" t="n"/>
    </row>
    <row r="31" ht="13.5" customHeight="1" s="7635">
      <c r="A31" s="139" t="n"/>
      <c r="B31" s="8374" t="n">
        <v>8</v>
      </c>
      <c r="C31" s="2769" t="inlineStr">
        <is>
          <t>Total investment income. Combine lines 1, 2, 3, 4c, 5d, 6, and 7</t>
        </is>
      </c>
      <c r="D31" s="2770" t="n"/>
      <c r="E31" s="11262" t="n"/>
      <c r="F31" s="11262" t="n"/>
      <c r="G31" s="11262" t="n"/>
      <c r="H31" s="2771" t="n"/>
      <c r="I31" s="2771" t="n"/>
      <c r="J31" s="2771" t="n"/>
      <c r="K31" s="2772" t="n"/>
      <c r="L31" s="2031" t="inlineStr">
        <is>
          <t xml:space="preserve">.   .   .   .   .   .   .   .   .   .   .   .   . </t>
        </is>
      </c>
      <c r="M31" s="2773">
        <f>B31</f>
        <v/>
      </c>
      <c r="N31" s="2774">
        <f>IF(Q31&lt;&gt;"",Q31,IF(File8960,SUM(N15,N16,N17,N22,N28,N29,N30),""))</f>
        <v/>
      </c>
      <c r="O31" s="2775" t="n"/>
      <c r="P31" s="2776" t="n"/>
      <c r="Q31" s="118" t="n"/>
      <c r="R31" s="689" t="n"/>
      <c r="S31" s="689" t="n"/>
      <c r="T31" s="689" t="n"/>
      <c r="U31" s="341" t="n"/>
      <c r="AD31" s="2787" t="n"/>
      <c r="AE31" s="214" t="n"/>
    </row>
    <row r="32" ht="15.75" customFormat="1" customHeight="1" s="214">
      <c r="A32" s="139" t="n"/>
      <c r="B32" s="2793" t="inlineStr">
        <is>
          <t>Part II</t>
        </is>
      </c>
      <c r="C32" s="10341" t="inlineStr">
        <is>
          <t xml:space="preserve">     Investment Expenses Allocable to Investment Income and Modifications</t>
        </is>
      </c>
      <c r="D32" s="8412" t="n"/>
      <c r="E32" s="8412" t="n"/>
      <c r="F32" s="8412" t="n"/>
      <c r="G32" s="8412" t="n"/>
      <c r="H32" s="8412" t="n"/>
      <c r="I32" s="8412" t="n"/>
      <c r="J32" s="8412" t="n"/>
      <c r="K32" s="8412" t="n"/>
      <c r="L32" s="8412" t="n"/>
      <c r="M32" s="8412" t="n"/>
      <c r="N32" s="8412" t="n"/>
      <c r="O32" s="2794" t="n"/>
      <c r="P32" s="2795" t="n"/>
      <c r="Q32" s="962" t="n"/>
      <c r="R32" s="516" t="n"/>
      <c r="S32" s="2796" t="n"/>
      <c r="T32" s="343" t="n"/>
      <c r="U32" s="341" t="n"/>
      <c r="AD32" s="379" t="n"/>
      <c r="AF32" s="658" t="n"/>
      <c r="AG32" s="658" t="n"/>
      <c r="AH32" s="658" t="n"/>
      <c r="AI32" s="658" t="n"/>
      <c r="AJ32" s="658" t="n"/>
      <c r="AK32" s="658" t="n"/>
      <c r="AL32" s="658" t="n"/>
      <c r="AM32" s="658" t="n"/>
      <c r="AN32" s="658" t="n"/>
    </row>
    <row r="33" ht="13.5" customHeight="1" s="7635">
      <c r="A33" s="139" t="n"/>
      <c r="B33" s="8374" t="inlineStr">
        <is>
          <t>9a</t>
        </is>
      </c>
      <c r="C33" s="2769" t="inlineStr">
        <is>
          <t>Investment interest expenses (see instructions)</t>
        </is>
      </c>
      <c r="D33" s="2769" t="n"/>
      <c r="E33" s="11262" t="n"/>
      <c r="F33" s="11262" t="n"/>
      <c r="G33" s="11262" t="n"/>
      <c r="H33" s="2771" t="n"/>
      <c r="I33" s="8374" t="n"/>
      <c r="J33" s="8374" t="inlineStr">
        <is>
          <t xml:space="preserve">.   .   .   .   .   .   .   .   .   . </t>
        </is>
      </c>
      <c r="K33" s="2773" t="inlineStr">
        <is>
          <t>9a</t>
        </is>
      </c>
      <c r="L33" s="335" t="n"/>
      <c r="M33" s="2781" t="n"/>
      <c r="N33" s="2799" t="n"/>
      <c r="O33" s="2775" t="n"/>
      <c r="P33" s="2776" t="n"/>
      <c r="Q33" s="962" t="n"/>
      <c r="R33" s="343" t="n"/>
      <c r="S33" s="343" t="n"/>
      <c r="T33" s="689" t="n"/>
      <c r="U33" s="341" t="n"/>
      <c r="AD33" s="379" t="n"/>
      <c r="AE33" s="214" t="n"/>
    </row>
    <row r="34" ht="13.5" customHeight="1" s="7635">
      <c r="A34" s="139" t="n"/>
      <c r="B34" s="8374" t="inlineStr">
        <is>
          <t>b</t>
        </is>
      </c>
      <c r="C34" s="2769" t="inlineStr">
        <is>
          <t>State, local, and foreign income tax (see instructions)</t>
        </is>
      </c>
      <c r="D34" s="2769" t="n"/>
      <c r="E34" s="11262" t="n"/>
      <c r="F34" s="11262" t="n"/>
      <c r="G34" s="11262" t="n"/>
      <c r="H34" s="2771" t="n"/>
      <c r="I34" s="8374" t="n"/>
      <c r="J34" s="8374" t="inlineStr">
        <is>
          <t xml:space="preserve">.   .   .   .   .   .   .   . </t>
        </is>
      </c>
      <c r="K34" s="2773" t="inlineStr">
        <is>
          <t>9b</t>
        </is>
      </c>
      <c r="L34" s="2774">
        <f>IF(Q34&lt;&gt;"",ROUND(Q34,0),IF(AND(SchA_Filed,File8960),Z53,""))</f>
        <v/>
      </c>
      <c r="M34" s="2781" t="n"/>
      <c r="N34" s="2791" t="n"/>
      <c r="O34" s="2775" t="n"/>
      <c r="P34" s="2776" t="n"/>
      <c r="Q34" s="118" t="n"/>
      <c r="R34" s="343" t="n"/>
      <c r="S34" s="343" t="n"/>
      <c r="T34" s="343" t="n"/>
      <c r="U34" s="341" t="n"/>
      <c r="AD34" s="379" t="n"/>
    </row>
    <row r="35" ht="13.5" customHeight="1" s="7635">
      <c r="A35" s="139" t="n"/>
      <c r="B35" s="8374" t="inlineStr">
        <is>
          <t>c</t>
        </is>
      </c>
      <c r="C35" s="2769" t="inlineStr">
        <is>
          <t>Miscellaneous investment expenses (see instructions)</t>
        </is>
      </c>
      <c r="D35" s="2769" t="n"/>
      <c r="E35" s="11262" t="n"/>
      <c r="F35" s="11262" t="n"/>
      <c r="G35" s="11262" t="n"/>
      <c r="H35" s="2771" t="n"/>
      <c r="I35" s="8374" t="n"/>
      <c r="J35" s="8374" t="inlineStr">
        <is>
          <t xml:space="preserve">.   .   .   .   .   .   .   . </t>
        </is>
      </c>
      <c r="K35" s="2773" t="inlineStr">
        <is>
          <t>9c</t>
        </is>
      </c>
      <c r="L35" s="335" t="n"/>
      <c r="M35" s="2781" t="n"/>
      <c r="N35" s="2791" t="n"/>
      <c r="O35" s="2775" t="n"/>
      <c r="P35" s="2776" t="n"/>
      <c r="Q35" s="962" t="n"/>
      <c r="R35" s="343" t="n"/>
      <c r="S35" s="343" t="n"/>
      <c r="T35" s="689" t="n"/>
      <c r="U35" s="341" t="n"/>
      <c r="AD35" s="379" t="n"/>
    </row>
    <row r="36" ht="13.5" customHeight="1" s="7635">
      <c r="A36" s="139" t="n"/>
      <c r="B36" s="8374" t="inlineStr">
        <is>
          <t>d</t>
        </is>
      </c>
      <c r="C36" s="2769" t="inlineStr">
        <is>
          <t>Add lines 9a, 9b, and 9c</t>
        </is>
      </c>
      <c r="D36" s="2770" t="n"/>
      <c r="E36" s="11262" t="n"/>
      <c r="F36" s="11262" t="n"/>
      <c r="G36" s="11262" t="n"/>
      <c r="H36" s="2771" t="n"/>
      <c r="I36" s="2771" t="n"/>
      <c r="J36" s="2771" t="n"/>
      <c r="K36" s="2772" t="n"/>
      <c r="L36" s="2031" t="inlineStr">
        <is>
          <t xml:space="preserve">.   .   .   .   .   .   .   .   .   .   .   .   .   .   .   .   .   .   .   .   .   .   .   .   .   .   . </t>
        </is>
      </c>
      <c r="M36" s="2773" t="inlineStr">
        <is>
          <t>9d</t>
        </is>
      </c>
      <c r="N36" s="2774">
        <f>IF(Q36&lt;&gt;"",Q36,IF(File8960,SUM(L33,L34,L35),""))</f>
        <v/>
      </c>
      <c r="O36" s="2775" t="n"/>
      <c r="P36" s="2776" t="n"/>
      <c r="Q36" s="118" t="n"/>
      <c r="R36" s="689" t="n"/>
      <c r="S36" s="689" t="n"/>
      <c r="T36" s="689" t="n"/>
      <c r="U36" s="341" t="n"/>
      <c r="AD36" s="379" t="n"/>
    </row>
    <row r="37" ht="13.5" customHeight="1" s="7635">
      <c r="A37" s="139" t="n"/>
      <c r="B37" s="8374" t="n">
        <v>10</v>
      </c>
      <c r="C37" s="2769" t="inlineStr">
        <is>
          <t>Additional modifications (see instructions)</t>
        </is>
      </c>
      <c r="D37" s="2770" t="n"/>
      <c r="E37" s="11262" t="n"/>
      <c r="F37" s="11262" t="n"/>
      <c r="G37" s="11262" t="n"/>
      <c r="H37" s="2771" t="n"/>
      <c r="I37" s="2771" t="n"/>
      <c r="J37" s="2771" t="n"/>
      <c r="K37" s="2772" t="n"/>
      <c r="L37" s="2031" t="inlineStr">
        <is>
          <t xml:space="preserve">.   .   .   .   .   .   .   .   .   .   .   .   .   .   .   .   .   .   .   .   . </t>
        </is>
      </c>
      <c r="M37" s="2773" t="n">
        <v>10</v>
      </c>
      <c r="N37" s="335" t="n"/>
      <c r="O37" s="2775" t="n"/>
      <c r="P37" s="2776" t="n"/>
      <c r="Q37" s="962" t="n"/>
      <c r="R37" s="689" t="n"/>
      <c r="S37" s="689" t="n"/>
      <c r="T37" s="689" t="n"/>
      <c r="U37" s="341" t="n"/>
      <c r="AD37" s="2787" t="n"/>
    </row>
    <row r="38" ht="13.5" customHeight="1" s="7635">
      <c r="A38" s="139" t="n"/>
      <c r="B38" s="8374" t="n">
        <v>11</v>
      </c>
      <c r="C38" s="2769" t="inlineStr">
        <is>
          <t>Total deductions and modifications. Add lines 9d and 10</t>
        </is>
      </c>
      <c r="D38" s="2770" t="n"/>
      <c r="E38" s="11262" t="n"/>
      <c r="F38" s="11262" t="n"/>
      <c r="G38" s="11262" t="n"/>
      <c r="H38" s="2771" t="n"/>
      <c r="I38" s="2771" t="n"/>
      <c r="J38" s="2771" t="n"/>
      <c r="K38" s="2772" t="n"/>
      <c r="L38" s="2031" t="inlineStr">
        <is>
          <t xml:space="preserve">.   .   .   .   .   .   .   .   .   .   .   .   .   .   .   . </t>
        </is>
      </c>
      <c r="M38" s="2773" t="n">
        <v>11</v>
      </c>
      <c r="N38" s="2774">
        <f>IF(Q38&lt;&gt;"",Q38,IF(File8960,SUM(N36,N37),""))</f>
        <v/>
      </c>
      <c r="O38" s="2775" t="n"/>
      <c r="P38" s="2776" t="n"/>
      <c r="Q38" s="118" t="n"/>
      <c r="R38" s="689" t="n"/>
      <c r="S38" s="689" t="n"/>
      <c r="T38" s="689" t="n"/>
      <c r="U38" s="341" t="n"/>
      <c r="AD38" s="379" t="n"/>
    </row>
    <row r="39" ht="15.75" customFormat="1" customHeight="1" s="214">
      <c r="A39" s="139" t="n"/>
      <c r="B39" s="2793" t="inlineStr">
        <is>
          <t>Part III</t>
        </is>
      </c>
      <c r="C39" s="10341" t="inlineStr">
        <is>
          <t xml:space="preserve">     Tax Computation</t>
        </is>
      </c>
      <c r="D39" s="8412" t="n"/>
      <c r="E39" s="8412" t="n"/>
      <c r="F39" s="8412" t="n"/>
      <c r="G39" s="8412" t="n"/>
      <c r="H39" s="8412" t="n"/>
      <c r="I39" s="8412" t="n"/>
      <c r="J39" s="8412" t="n"/>
      <c r="K39" s="8412" t="n"/>
      <c r="L39" s="8412" t="n"/>
      <c r="M39" s="8412" t="n"/>
      <c r="N39" s="8412" t="n"/>
      <c r="O39" s="2794" t="n"/>
      <c r="P39" s="2795" t="n"/>
      <c r="Q39" s="962" t="n"/>
      <c r="R39" s="516" t="n"/>
      <c r="S39" s="2796" t="n"/>
      <c r="T39" s="2796" t="n"/>
      <c r="U39" s="341" t="n"/>
      <c r="V39" s="4984" t="n"/>
      <c r="W39" s="4984" t="n"/>
      <c r="X39" s="4984" t="n"/>
      <c r="Y39" s="4984" t="n"/>
      <c r="Z39" s="4984" t="n"/>
      <c r="AA39" s="4984" t="n"/>
      <c r="AB39" s="3789" t="inlineStr">
        <is>
          <t>CAUTION:</t>
        </is>
      </c>
      <c r="AC39" s="7039" t="n"/>
      <c r="AD39" s="379" t="n"/>
      <c r="AF39" s="658" t="n"/>
      <c r="AG39" s="658" t="n"/>
      <c r="AH39" s="658" t="n"/>
      <c r="AI39" s="658" t="n"/>
      <c r="AJ39" s="658" t="n"/>
      <c r="AK39" s="658" t="n"/>
      <c r="AL39" s="658" t="n"/>
      <c r="AM39" s="658" t="n"/>
      <c r="AN39" s="658" t="n"/>
    </row>
    <row r="40" ht="13.5" customFormat="1" customHeight="1" s="214">
      <c r="A40" s="139" t="n"/>
      <c r="B40" s="8374" t="n">
        <v>12</v>
      </c>
      <c r="C40" s="2769" t="inlineStr">
        <is>
          <t>Net investment income. Subtract Part II, line 11 from Part I, line 8. Individuals complete lines 13–17.</t>
        </is>
      </c>
      <c r="D40" s="2770" t="n"/>
      <c r="E40" s="11262" t="n"/>
      <c r="F40" s="11262" t="n"/>
      <c r="G40" s="11262" t="n"/>
      <c r="H40" s="2771" t="n"/>
      <c r="I40" s="2771" t="n"/>
      <c r="J40" s="2771" t="n"/>
      <c r="K40" s="2772" t="n"/>
      <c r="L40" s="8374" t="n"/>
      <c r="M40" s="2802" t="n"/>
      <c r="N40" s="12820" t="n"/>
      <c r="O40" s="2783" t="n"/>
      <c r="P40" s="2784" t="n"/>
      <c r="Q40" s="962" t="n"/>
      <c r="R40" s="689" t="n"/>
      <c r="S40" s="689" t="n"/>
      <c r="T40" s="343" t="n"/>
      <c r="U40" s="341" t="n"/>
      <c r="V40" s="7039" t="n"/>
      <c r="W40" s="7039" t="n"/>
      <c r="X40" s="2797" t="inlineStr">
        <is>
          <t>Form 1040</t>
        </is>
      </c>
      <c r="Y40" s="7039" t="n"/>
      <c r="Z40" s="2798">
        <f>IF(SchA_Filed,"","Line 9b used only when Sch. A is used.")</f>
        <v/>
      </c>
      <c r="AA40" s="7039" t="n"/>
      <c r="AB40" s="7960" t="inlineStr">
        <is>
          <t>Miscellaneous itemized deductions have been terminated for tax years beginning after 2017. See section 67(h).
The overall limitation on itemized deductions is suspended for tax year 2025 under section 68.
While the IRS continues to discuss miscellaneous itemized deductions under section 67 (and the 2%-of-AGI limitation) and the overall limitation on itemized deductions under section 68, they are suspended for tax year 2025.</t>
        </is>
      </c>
      <c r="AD40" s="379" t="n"/>
      <c r="AF40" s="658" t="n"/>
      <c r="AG40" s="658" t="n"/>
      <c r="AH40" s="658" t="n"/>
      <c r="AI40" s="658" t="n"/>
      <c r="AJ40" s="658" t="n"/>
      <c r="AK40" s="658" t="n"/>
      <c r="AL40" s="658" t="n"/>
      <c r="AM40" s="658" t="n"/>
      <c r="AN40" s="658" t="n"/>
    </row>
    <row r="41" ht="13.5" customHeight="1" s="7635">
      <c r="A41" s="139" t="n"/>
      <c r="B41" s="8374" t="n"/>
      <c r="C41" s="2769" t="inlineStr">
        <is>
          <t>Estates and trusts complete lines 18a–21. If zero or less, enter -0-</t>
        </is>
      </c>
      <c r="D41" s="2769" t="n"/>
      <c r="E41" s="11262" t="n"/>
      <c r="F41" s="11262" t="n"/>
      <c r="G41" s="11262" t="n"/>
      <c r="H41" s="2771" t="n"/>
      <c r="I41" s="2771" t="n"/>
      <c r="J41" s="2771" t="n"/>
      <c r="K41" s="2772" t="n"/>
      <c r="L41" s="2031" t="inlineStr">
        <is>
          <t xml:space="preserve"> .   .   .   .   .   .   .   .   .   .   .   .   . </t>
        </is>
      </c>
      <c r="M41" s="2805" t="n">
        <v>12</v>
      </c>
      <c r="N41" s="2774">
        <f>IF(Q41&lt;&gt;"",ROUND(Q41,0),IF(File8960,MAX(0,SUM(N31,-N38)),""))</f>
        <v/>
      </c>
      <c r="O41" s="2775" t="n"/>
      <c r="P41" s="2806" t="n"/>
      <c r="Q41" s="118" t="n"/>
      <c r="R41" s="689" t="n"/>
      <c r="S41" s="2807" t="n"/>
      <c r="T41" s="343" t="n"/>
      <c r="U41" s="341" t="n"/>
      <c r="V41" s="7039" t="n"/>
      <c r="W41" s="7039" t="n"/>
      <c r="X41" s="7038" t="inlineStr">
        <is>
          <t>Line 9, Total income</t>
        </is>
      </c>
      <c r="Y41" s="7039" t="n"/>
      <c r="Z41" s="4639">
        <f>IF(SchA_Filed,Total_Income,"")</f>
        <v/>
      </c>
      <c r="AA41" s="2800" t="inlineStr">
        <is>
          <t>A</t>
        </is>
      </c>
      <c r="AD41" s="379" t="n"/>
    </row>
    <row r="42" ht="13.5" customHeight="1" s="7635">
      <c r="A42" s="139" t="n"/>
      <c r="B42" s="8374" t="n"/>
      <c r="C42" s="2808" t="inlineStr">
        <is>
          <t>Individuals:</t>
        </is>
      </c>
      <c r="D42" s="2769" t="n"/>
      <c r="E42" s="11262" t="n"/>
      <c r="F42" s="11262" t="n"/>
      <c r="G42" s="11262" t="n"/>
      <c r="H42" s="2771" t="n"/>
      <c r="I42" s="2771" t="n"/>
      <c r="J42" s="2771" t="n"/>
      <c r="K42" s="2772" t="n"/>
      <c r="L42" s="2075" t="n"/>
      <c r="M42" s="2781" t="n"/>
      <c r="N42" s="353" t="n">
        <v>250000</v>
      </c>
      <c r="O42" s="2775" t="n"/>
      <c r="P42" s="2806" t="n"/>
      <c r="Q42" s="962" t="n"/>
      <c r="R42" s="689" t="n"/>
      <c r="S42" s="2807" t="n"/>
      <c r="T42" s="343" t="n"/>
      <c r="U42" s="341" t="n"/>
      <c r="V42" s="7039" t="n"/>
      <c r="W42" s="7039" t="n"/>
      <c r="X42" s="7038" t="n"/>
      <c r="Y42" s="7039" t="n"/>
      <c r="Z42" s="2801" t="n"/>
      <c r="AA42" s="7039" t="n"/>
      <c r="AD42" s="379" t="n"/>
    </row>
    <row r="43" ht="13.5" customHeight="1" s="7635">
      <c r="A43" s="139" t="n"/>
      <c r="B43" s="8374" t="n">
        <v>13</v>
      </c>
      <c r="C43" s="2769" t="inlineStr">
        <is>
          <t>Modified adjusted gross income (see instructions)</t>
        </is>
      </c>
      <c r="D43" s="2769" t="n"/>
      <c r="E43" s="11262" t="n"/>
      <c r="F43" s="11262" t="n"/>
      <c r="G43" s="11262" t="n"/>
      <c r="H43" s="2771" t="n"/>
      <c r="I43" s="8374" t="n"/>
      <c r="J43" s="8374" t="inlineStr">
        <is>
          <t xml:space="preserve">.   .   .   .   .   .   .   .   .   . </t>
        </is>
      </c>
      <c r="K43" s="2773" t="n">
        <v>13</v>
      </c>
      <c r="L43" s="2774">
        <f>IF(Q43&lt;&gt;"",ROUND(Q43,0),IF(File8960,ModAdjGrossInc,""))</f>
        <v/>
      </c>
      <c r="M43" s="2781" t="n"/>
      <c r="N43" s="354" t="n">
        <v>125000</v>
      </c>
      <c r="O43" s="2775" t="n"/>
      <c r="P43" s="2776" t="n"/>
      <c r="Q43" s="118" t="n"/>
      <c r="R43" s="343" t="n"/>
      <c r="S43" s="343" t="n"/>
      <c r="T43" s="689" t="n"/>
      <c r="U43" s="341" t="n"/>
      <c r="V43" s="7039" t="n"/>
      <c r="W43" s="7039" t="n"/>
      <c r="X43" s="2797" t="inlineStr">
        <is>
          <t>Form 1040, Schedule A</t>
        </is>
      </c>
      <c r="Y43" s="7039" t="n"/>
      <c r="Z43" s="2804" t="n"/>
      <c r="AA43" s="7039" t="n"/>
      <c r="AD43" s="379" t="n"/>
      <c r="AE43" s="8648" t="n"/>
    </row>
    <row r="44" ht="13.5" customHeight="1" s="7635">
      <c r="A44" s="139" t="n"/>
      <c r="B44" s="8374" t="n">
        <v>14</v>
      </c>
      <c r="C44" s="2769" t="inlineStr">
        <is>
          <t>Threshold based on filing status (see instructions)</t>
        </is>
      </c>
      <c r="D44" s="2769" t="n"/>
      <c r="E44" s="11262" t="n"/>
      <c r="F44" s="11262" t="n"/>
      <c r="G44" s="11262" t="n"/>
      <c r="H44" s="2771" t="n"/>
      <c r="I44" s="8374" t="n"/>
      <c r="J44" s="8374" t="inlineStr">
        <is>
          <t xml:space="preserve">.   .   .   .   .   .   .   .   .   . </t>
        </is>
      </c>
      <c r="K44" s="2773" t="n">
        <v>14</v>
      </c>
      <c r="L44" s="2774">
        <f>IF(N45="---","Filing status?",IF(File8960,N45,""))</f>
        <v/>
      </c>
      <c r="M44" s="2781" t="n"/>
      <c r="N44" s="354" t="n">
        <v>200000</v>
      </c>
      <c r="O44" s="2775" t="n"/>
      <c r="P44" s="2776" t="n"/>
      <c r="Q44" s="962" t="n"/>
      <c r="R44" s="343" t="n"/>
      <c r="S44" s="343" t="n"/>
      <c r="T44" s="689" t="n"/>
      <c r="U44" s="341" t="n"/>
      <c r="V44" s="7039" t="n"/>
      <c r="W44" s="7039" t="n"/>
      <c r="X44" s="9746" t="inlineStr">
        <is>
          <t>Line 5a, State &amp; local income taxes</t>
        </is>
      </c>
      <c r="Y44" s="7039" t="n"/>
      <c r="Z44" s="4639">
        <f>IF(SchA_Filed,SALT_Limited,"")</f>
        <v/>
      </c>
      <c r="AA44" s="2800" t="inlineStr">
        <is>
          <t>B</t>
        </is>
      </c>
      <c r="AD44" s="379" t="n"/>
      <c r="AE44" s="8648" t="n"/>
    </row>
    <row r="45" ht="13.5" customHeight="1" s="7635">
      <c r="A45" s="139" t="n"/>
      <c r="B45" s="8374" t="n">
        <v>15</v>
      </c>
      <c r="C45" s="2769" t="inlineStr">
        <is>
          <t>Subtract line 14 from line 13. If zero or less, enter -0-</t>
        </is>
      </c>
      <c r="D45" s="2769" t="n"/>
      <c r="E45" s="11262" t="n"/>
      <c r="F45" s="11262" t="n"/>
      <c r="G45" s="11262" t="n"/>
      <c r="H45" s="2771" t="n"/>
      <c r="I45" s="8374" t="n"/>
      <c r="J45" s="8374" t="inlineStr">
        <is>
          <t xml:space="preserve">.   .   .   .   .   .   .   .   . </t>
        </is>
      </c>
      <c r="K45" s="2773" t="n">
        <v>15</v>
      </c>
      <c r="L45" s="2774">
        <f>IF(N45="---","",IF(File8960,MAX(0,SUM(L43,-L44)),""))</f>
        <v/>
      </c>
      <c r="M45" s="2781" t="n"/>
      <c r="N45" s="354">
        <f>IF(OR(File_Marr_Joint&lt;&gt;"",File_Qual_Widow&lt;&gt;""),N42,IF(File_Marr_Sep&lt;&gt;"",N43,IF(OR(File_Single&lt;&gt;"",File_Head&lt;&gt;""),N44,"---")))</f>
        <v/>
      </c>
      <c r="O45" s="2775" t="n"/>
      <c r="P45" s="2776" t="n"/>
      <c r="Q45" s="962" t="n"/>
      <c r="R45" s="343" t="n"/>
      <c r="S45" s="343" t="n"/>
      <c r="T45" s="689" t="n"/>
      <c r="U45" s="341" t="n"/>
      <c r="V45" s="7039" t="n"/>
      <c r="W45" s="7039" t="n"/>
      <c r="X45" s="2809" t="n"/>
      <c r="Y45" s="7039" t="n"/>
      <c r="Z45" s="2810">
        <f>IF(AND(SchA_Filed,StateLocalTaxesPaid&gt;SALT_Deduct_Limit),"Amount limited to SALT maximum of "&amp;TEXT(SALT_Deduct_Limit,"$0,000")&amp;".","")</f>
        <v/>
      </c>
      <c r="AA45" s="7039" t="n"/>
      <c r="AD45" s="379" t="n"/>
      <c r="AE45" s="8648" t="n"/>
    </row>
    <row r="46" ht="13.5" customHeight="1" s="7635">
      <c r="A46" s="139" t="n"/>
      <c r="B46" s="8374" t="n">
        <v>16</v>
      </c>
      <c r="C46" s="2769" t="inlineStr">
        <is>
          <t>Enter the smaller of line 12 or line 15</t>
        </is>
      </c>
      <c r="D46" s="2770" t="n"/>
      <c r="E46" s="11262" t="n"/>
      <c r="F46" s="11262" t="n"/>
      <c r="G46" s="11262" t="n"/>
      <c r="H46" s="2771" t="n"/>
      <c r="I46" s="2771" t="n"/>
      <c r="J46" s="2771" t="n"/>
      <c r="K46" s="2772" t="n"/>
      <c r="L46" s="2031" t="inlineStr">
        <is>
          <t xml:space="preserve">.   .   .   .   .   .   .   .   .   .   .   .   .   .   .   .   .   .   .   .   .   .   .   . </t>
        </is>
      </c>
      <c r="M46" s="2773" t="n">
        <v>16</v>
      </c>
      <c r="N46" s="2774">
        <f>IF(N45="---","",IF(Q46&lt;&gt;"",ROUND(Q46,0),IF(File8960,MIN(N41,L45),"")))</f>
        <v/>
      </c>
      <c r="O46" s="2775" t="n"/>
      <c r="P46" s="2776" t="n"/>
      <c r="Q46" s="118" t="n"/>
      <c r="R46" s="689" t="n"/>
      <c r="S46" s="2811">
        <f>IF(AND(F8960_Tax&lt;&gt;"",F8960_Tax&gt;0),"NOTE:","")</f>
        <v/>
      </c>
      <c r="T46" s="2796" t="n"/>
      <c r="U46" s="341" t="n"/>
      <c r="V46" s="7039" t="n"/>
      <c r="W46" s="7039" t="n"/>
      <c r="X46" s="2797" t="inlineStr">
        <is>
          <t>Form 8960</t>
        </is>
      </c>
      <c r="Y46" s="7039" t="n"/>
      <c r="Z46" s="2804" t="n"/>
      <c r="AA46" s="7039" t="n"/>
      <c r="AD46" s="379" t="n"/>
      <c r="AE46" s="9123" t="n"/>
    </row>
    <row r="47" ht="13.5" customFormat="1" customHeight="1" s="214">
      <c r="A47" s="139" t="n"/>
      <c r="B47" s="8374" t="n">
        <v>17</v>
      </c>
      <c r="C47" s="2769">
        <f>"Net investment income tax for individuals. Multiply line 16 by "&amp;TEXT(N47,"0.0%")&amp;" ("&amp;TEXT(N47,"0.000")&amp;")."</f>
        <v/>
      </c>
      <c r="D47" s="2770" t="n"/>
      <c r="E47" s="11262" t="n"/>
      <c r="F47" s="11262" t="n"/>
      <c r="G47" s="11262" t="n"/>
      <c r="H47" s="2771" t="n"/>
      <c r="I47" s="2771" t="n"/>
      <c r="J47" s="2771" t="n"/>
      <c r="K47" s="2772" t="n"/>
      <c r="L47" s="8374" t="n"/>
      <c r="M47" s="2805" t="n"/>
      <c r="N47" s="12820" t="n">
        <v>0.038</v>
      </c>
      <c r="O47" s="2783" t="n"/>
      <c r="P47" s="2784" t="n"/>
      <c r="Q47" s="962" t="n"/>
      <c r="R47" s="689" t="n"/>
      <c r="S47" s="2811">
        <f>IF(AND(F8960_Tax&lt;&gt;"",F8960_Tax&gt;0),"The amount on","")</f>
        <v/>
      </c>
      <c r="T47" s="689" t="n"/>
      <c r="U47" s="341" t="n"/>
      <c r="V47" s="7039" t="n"/>
      <c r="W47" s="7039" t="n"/>
      <c r="X47" s="9746" t="inlineStr">
        <is>
          <t>Line 8, Total investment income</t>
        </is>
      </c>
      <c r="Y47" s="7039" t="n"/>
      <c r="Z47" s="4639">
        <f>IF(SchA_Filed,N31,"")</f>
        <v/>
      </c>
      <c r="AA47" s="2800" t="inlineStr">
        <is>
          <t>C</t>
        </is>
      </c>
      <c r="AD47" s="379" t="n"/>
      <c r="AE47" s="9123" t="n"/>
      <c r="AF47" s="658" t="n"/>
      <c r="AG47" s="658" t="n"/>
      <c r="AH47" s="658" t="n"/>
      <c r="AI47" s="658" t="n"/>
      <c r="AJ47" s="658" t="n"/>
      <c r="AK47" s="658" t="n"/>
      <c r="AL47" s="658" t="n"/>
      <c r="AM47" s="658" t="n"/>
      <c r="AN47" s="658" t="n"/>
    </row>
    <row r="48" ht="13.5" customHeight="1" s="7635">
      <c r="A48" s="139" t="n"/>
      <c r="B48" s="8374" t="n"/>
      <c r="C48" s="2812" t="inlineStr">
        <is>
          <t xml:space="preserve">Enter here and include on your tax return </t>
        </is>
      </c>
      <c r="D48" s="2769" t="n"/>
      <c r="E48" s="11262" t="n"/>
      <c r="F48" s="11262" t="n"/>
      <c r="G48" s="11262" t="n"/>
      <c r="H48" s="2813">
        <f>IF(O48="","(For Form 1040 filers, Schedule 2, line 12.)","")</f>
        <v/>
      </c>
      <c r="I48" s="2771" t="n"/>
      <c r="J48" s="2771" t="n"/>
      <c r="K48" s="2772" t="n"/>
      <c r="L48" s="2031" t="n"/>
      <c r="M48" s="2805" t="n">
        <v>17</v>
      </c>
      <c r="N48" s="2774">
        <f>IF(N45="---","",IF(Q48&lt;&gt;"",ROUND(Q48,0),IF(File8960,ROUND(N46*N47,0),"")))</f>
        <v/>
      </c>
      <c r="O48" s="1319" t="n"/>
      <c r="P48" s="11507" t="inlineStr">
        <is>
          <t>Hide
note.</t>
        </is>
      </c>
      <c r="Q48" s="118" t="n"/>
      <c r="R48" s="689" t="n"/>
      <c r="S48" s="2814">
        <f>IF(AND(F8960_Tax&lt;&gt;"",F8960_Tax&gt;0),"Line 17 is entered","")</f>
        <v/>
      </c>
      <c r="T48" s="2807" t="n"/>
      <c r="U48" s="341" t="n"/>
      <c r="V48" s="7039" t="n"/>
      <c r="W48" s="7039" t="n"/>
      <c r="X48" s="9746" t="n"/>
      <c r="Y48" s="7039" t="n"/>
      <c r="Z48" s="6987">
        <f>ISERROR(Z47/Z41)</f>
        <v/>
      </c>
      <c r="AA48" s="2800" t="n"/>
      <c r="AD48" s="379" t="n"/>
      <c r="AE48" s="8648" t="n"/>
    </row>
    <row r="49" ht="16.5" customHeight="1" s="7635">
      <c r="A49" s="139" t="n"/>
      <c r="B49" s="8374" t="n"/>
      <c r="C49" s="9697" t="inlineStr">
        <is>
          <t>Estates and Trusts:</t>
        </is>
      </c>
      <c r="D49" s="2769" t="n"/>
      <c r="E49" s="11262" t="n"/>
      <c r="F49" s="11262" t="n"/>
      <c r="G49" s="11262" t="n"/>
      <c r="H49" s="2771" t="n"/>
      <c r="I49" s="2771" t="n"/>
      <c r="J49" s="2771" t="n"/>
      <c r="K49" s="2772" t="n"/>
      <c r="L49" s="2075" t="n"/>
      <c r="M49" s="2781" t="n"/>
      <c r="N49" s="336" t="n"/>
      <c r="O49" s="2775" t="n"/>
      <c r="Q49" s="962" t="n"/>
      <c r="R49" s="689" t="n"/>
      <c r="S49" s="2814">
        <f>IF(AND(F8960_Tax&lt;&gt;"",F8960_Tax&gt;0),"on Schedule 2,","")</f>
        <v/>
      </c>
      <c r="T49" s="2807" t="n"/>
      <c r="U49" s="341" t="n"/>
      <c r="V49" s="7039" t="n"/>
      <c r="W49" s="7039" t="n"/>
      <c r="X49" s="9746" t="inlineStr">
        <is>
          <t>Net Investment Income-to-gross income ratio</t>
        </is>
      </c>
      <c r="Y49" s="7039" t="n"/>
      <c r="Z49" s="6986">
        <f>IF(Z48,"---",ROUND(Z47/Z41,2))</f>
        <v/>
      </c>
      <c r="AA49" s="2800" t="inlineStr">
        <is>
          <t>D = C/A</t>
        </is>
      </c>
      <c r="AD49" s="379" t="n"/>
      <c r="AE49" s="8648" t="n"/>
    </row>
    <row r="50" ht="13.5" customHeight="1" s="7635">
      <c r="A50" s="139" t="n"/>
      <c r="B50" s="8374" t="inlineStr">
        <is>
          <t>18a</t>
        </is>
      </c>
      <c r="C50" s="2769" t="inlineStr">
        <is>
          <t>Net investment income (line 12 above)</t>
        </is>
      </c>
      <c r="D50" s="2769" t="n"/>
      <c r="E50" s="11262" t="n"/>
      <c r="F50" s="11262" t="n"/>
      <c r="G50" s="11262" t="n"/>
      <c r="H50" s="2771" t="n"/>
      <c r="I50" s="8374" t="n"/>
      <c r="J50" s="8374" t="inlineStr">
        <is>
          <t xml:space="preserve"> .   .   .   .   .   .   .   .   .   .   .   .   .   .   . </t>
        </is>
      </c>
      <c r="K50" s="2773" t="inlineStr">
        <is>
          <t>18a</t>
        </is>
      </c>
      <c r="L50" s="2816">
        <f>IF(Q50&lt;&gt;"",ROUND(Q50,0),N41)</f>
        <v/>
      </c>
      <c r="M50" s="2781" t="n"/>
      <c r="N50" s="2817" t="n"/>
      <c r="O50" s="2775" t="n"/>
      <c r="P50" s="2776" t="n"/>
      <c r="Q50" s="118" t="n"/>
      <c r="R50" s="343" t="n"/>
      <c r="S50" s="2818">
        <f>IF(AND(F8960_Tax&lt;&gt;"",F8960_Tax&gt;0),"Line 12.","")</f>
        <v/>
      </c>
      <c r="T50" s="343" t="n"/>
      <c r="U50" s="341" t="n"/>
      <c r="V50" s="7039" t="n"/>
      <c r="W50" s="7039" t="n"/>
      <c r="X50" s="7039" t="n"/>
      <c r="Y50" s="7039" t="n"/>
      <c r="Z50" s="7039" t="n"/>
      <c r="AA50" s="7039" t="n"/>
      <c r="AD50" s="379" t="n"/>
      <c r="AE50" s="8648" t="n"/>
    </row>
    <row r="51" ht="13.5" customFormat="1" customHeight="1" s="214">
      <c r="A51" s="139" t="n"/>
      <c r="B51" s="8374" t="inlineStr">
        <is>
          <t>b</t>
        </is>
      </c>
      <c r="C51" s="2769" t="inlineStr">
        <is>
          <t>Deductions for distributions of net investment income and charitable</t>
        </is>
      </c>
      <c r="D51" s="2770" t="n"/>
      <c r="E51" s="11262" t="n"/>
      <c r="F51" s="11262" t="n"/>
      <c r="G51" s="11262" t="n"/>
      <c r="H51" s="2771" t="n"/>
      <c r="I51" s="2771" t="n"/>
      <c r="J51" s="2771" t="n"/>
      <c r="K51" s="2780" t="n"/>
      <c r="L51" s="8374" t="n"/>
      <c r="M51" s="2781" t="n"/>
      <c r="N51" s="2792" t="n"/>
      <c r="O51" s="2783" t="n"/>
      <c r="P51" s="2784" t="n"/>
      <c r="Q51" s="962" t="n"/>
      <c r="R51" s="689" t="n"/>
      <c r="S51" s="689" t="n"/>
      <c r="T51" s="343" t="n"/>
      <c r="U51" s="341" t="n"/>
      <c r="V51" s="7039" t="n"/>
      <c r="W51" s="7039" t="n"/>
      <c r="X51" s="2797" t="inlineStr">
        <is>
          <t>Form 8960</t>
        </is>
      </c>
      <c r="Y51" s="7039" t="n"/>
      <c r="Z51" s="7039" t="n"/>
      <c r="AA51" s="7039" t="n"/>
      <c r="AD51" s="379" t="n"/>
      <c r="AE51" s="8648" t="n"/>
      <c r="AF51" s="658" t="n"/>
      <c r="AG51" s="658" t="n"/>
      <c r="AH51" s="658" t="n"/>
      <c r="AI51" s="658" t="n"/>
      <c r="AJ51" s="658" t="n"/>
      <c r="AK51" s="658" t="n"/>
      <c r="AL51" s="658" t="n"/>
      <c r="AM51" s="658" t="n"/>
      <c r="AN51" s="658" t="n"/>
    </row>
    <row r="52" ht="13.5" customHeight="1" s="7635">
      <c r="A52" s="139" t="n"/>
      <c r="B52" s="8374" t="n"/>
      <c r="C52" s="2769" t="inlineStr">
        <is>
          <t>deductions  (see instructions)</t>
        </is>
      </c>
      <c r="D52" s="2769" t="n"/>
      <c r="E52" s="11262" t="n"/>
      <c r="F52" s="11262" t="n"/>
      <c r="G52" s="11262" t="n"/>
      <c r="H52" s="2771" t="n"/>
      <c r="I52" s="8374" t="n"/>
      <c r="J52" s="8374" t="inlineStr">
        <is>
          <t xml:space="preserve">.   .   .   .   .   .   .   .   .   .   .   .   .   .   .   .   . </t>
        </is>
      </c>
      <c r="K52" s="2773" t="inlineStr">
        <is>
          <t>18b</t>
        </is>
      </c>
      <c r="L52" s="335" t="n"/>
      <c r="M52" s="2781" t="n"/>
      <c r="N52" s="2791" t="n"/>
      <c r="O52" s="2775" t="n"/>
      <c r="P52" s="2776" t="n"/>
      <c r="Q52" s="962" t="n"/>
      <c r="R52" s="343" t="n"/>
      <c r="S52" s="343" t="n"/>
      <c r="T52" s="343" t="n"/>
      <c r="U52" s="341" t="n"/>
      <c r="V52" s="7039" t="n"/>
      <c r="W52" s="7039" t="n"/>
      <c r="X52" s="7038" t="inlineStr">
        <is>
          <t>Line 9b, State income tax attributable to NII</t>
        </is>
      </c>
      <c r="Y52" s="7039" t="n"/>
      <c r="Z52" s="7039" t="n"/>
      <c r="AA52" s="7039" t="n"/>
      <c r="AD52" s="379" t="n"/>
      <c r="AE52" s="8648" t="n"/>
    </row>
    <row r="53" ht="13.5" customFormat="1" customHeight="1" s="214">
      <c r="A53" s="139" t="n"/>
      <c r="B53" s="8374" t="inlineStr">
        <is>
          <t>c</t>
        </is>
      </c>
      <c r="C53" s="2769" t="inlineStr">
        <is>
          <t>Undistributed net investment income. Subtract line 18b from 18a (see</t>
        </is>
      </c>
      <c r="D53" s="2770" t="n"/>
      <c r="E53" s="11262" t="n"/>
      <c r="F53" s="11262" t="n"/>
      <c r="G53" s="11262" t="n"/>
      <c r="H53" s="2771" t="n"/>
      <c r="I53" s="2771" t="n"/>
      <c r="J53" s="2771" t="n"/>
      <c r="K53" s="2780" t="n"/>
      <c r="L53" s="8374" t="n"/>
      <c r="M53" s="2781" t="n"/>
      <c r="N53" s="2792" t="n"/>
      <c r="O53" s="2783" t="n"/>
      <c r="P53" s="2784" t="n"/>
      <c r="Q53" s="962" t="n"/>
      <c r="R53" s="689" t="n"/>
      <c r="S53" s="689" t="n"/>
      <c r="T53" s="689" t="n"/>
      <c r="U53" s="341" t="n"/>
      <c r="V53" s="7039" t="n"/>
      <c r="W53" s="7039" t="n"/>
      <c r="X53" s="9539" t="inlineStr">
        <is>
          <t>attributable to net investment income</t>
        </is>
      </c>
      <c r="Y53" s="7636" t="n"/>
      <c r="Z53" s="4639">
        <f>IF(OR(NOT(SchA_Filed),Z48),"",ROUND(Z44*Z49,0))</f>
        <v/>
      </c>
      <c r="AA53" s="2800" t="inlineStr">
        <is>
          <t>B*D</t>
        </is>
      </c>
      <c r="AD53" s="379" t="n"/>
      <c r="AE53" s="8648" t="n"/>
      <c r="AF53" s="658" t="n"/>
      <c r="AG53" s="658" t="n"/>
      <c r="AH53" s="658" t="n"/>
      <c r="AI53" s="658" t="n"/>
      <c r="AJ53" s="658" t="n"/>
      <c r="AK53" s="658" t="n"/>
      <c r="AL53" s="658" t="n"/>
      <c r="AM53" s="658" t="n"/>
      <c r="AN53" s="658" t="n"/>
    </row>
    <row r="54" ht="13.5" customHeight="1" s="7635">
      <c r="A54" s="139" t="n"/>
      <c r="B54" s="8374" t="n"/>
      <c r="C54" s="2769" t="inlineStr">
        <is>
          <t xml:space="preserve">instructions). </t>
        </is>
      </c>
      <c r="D54" s="2769" t="n"/>
      <c r="E54" s="2770" t="inlineStr">
        <is>
          <t>If zero or less, enter -0-</t>
        </is>
      </c>
      <c r="F54" s="11262" t="n"/>
      <c r="G54" s="11262" t="n"/>
      <c r="H54" s="2771" t="n"/>
      <c r="I54" s="8374" t="n"/>
      <c r="J54" s="8374" t="inlineStr">
        <is>
          <t xml:space="preserve">.   .   .   .   .   .   .   .   .   .   .   .   .   . </t>
        </is>
      </c>
      <c r="K54" s="2773" t="inlineStr">
        <is>
          <t>18c</t>
        </is>
      </c>
      <c r="L54" s="335" t="n"/>
      <c r="M54" s="2781" t="n"/>
      <c r="N54" s="2791" t="n"/>
      <c r="O54" s="2775" t="n"/>
      <c r="P54" s="2776" t="n"/>
      <c r="Q54" s="962" t="n"/>
      <c r="R54" s="343" t="n"/>
      <c r="S54" s="343" t="n"/>
      <c r="T54" s="689" t="n"/>
      <c r="U54" s="341" t="n"/>
      <c r="V54" s="7039" t="n"/>
      <c r="W54" s="7039" t="n"/>
      <c r="X54" s="7038" t="n"/>
      <c r="Y54" s="7038" t="n"/>
      <c r="Z54" s="7038" t="n"/>
      <c r="AA54" s="2800" t="n"/>
      <c r="AD54" s="379" t="n"/>
      <c r="AE54" s="9123" t="n"/>
    </row>
    <row r="55" ht="13.5" customHeight="1" s="7635">
      <c r="A55" s="139" t="n"/>
      <c r="B55" s="8374" t="inlineStr">
        <is>
          <t>19a</t>
        </is>
      </c>
      <c r="C55" s="2769" t="inlineStr">
        <is>
          <t>Adjusted gross income (see instructions)</t>
        </is>
      </c>
      <c r="D55" s="2769" t="n"/>
      <c r="E55" s="11262" t="n"/>
      <c r="F55" s="11262" t="n"/>
      <c r="G55" s="11262" t="n"/>
      <c r="H55" s="2771" t="n"/>
      <c r="I55" s="8374" t="n"/>
      <c r="J55" s="8374" t="inlineStr">
        <is>
          <t xml:space="preserve">.   .   .   .   .   .   .   .   .   .   .   .   . </t>
        </is>
      </c>
      <c r="K55" s="2773" t="inlineStr">
        <is>
          <t>19a</t>
        </is>
      </c>
      <c r="L55" s="335" t="n"/>
      <c r="M55" s="2781" t="n"/>
      <c r="N55" s="2817" t="n"/>
      <c r="O55" s="2775" t="n"/>
      <c r="P55" s="2776" t="n"/>
      <c r="Q55" s="962" t="n"/>
      <c r="R55" s="343" t="n"/>
      <c r="S55" s="343" t="n"/>
      <c r="T55" s="2807" t="n"/>
      <c r="U55" s="341" t="n"/>
      <c r="V55" s="7039" t="n"/>
      <c r="W55" s="7039" t="n"/>
      <c r="X55" s="7038" t="n"/>
      <c r="Y55" s="7038" t="n"/>
      <c r="Z55" s="7038" t="n"/>
      <c r="AA55" s="2800" t="n"/>
      <c r="AD55" s="379" t="n"/>
      <c r="AE55" s="8648" t="n"/>
    </row>
    <row r="56" ht="13.5" customFormat="1" customHeight="1" s="214">
      <c r="A56" s="139" t="n"/>
      <c r="B56" s="8374" t="inlineStr">
        <is>
          <t>b</t>
        </is>
      </c>
      <c r="C56" s="2769" t="inlineStr">
        <is>
          <t>Highest tax bracket for estates and trusts for the year (see instructions)</t>
        </is>
      </c>
      <c r="D56" s="2769" t="n"/>
      <c r="E56" s="11262" t="n"/>
      <c r="F56" s="11262" t="n"/>
      <c r="G56" s="11262" t="n"/>
      <c r="H56" s="2771" t="n"/>
      <c r="I56" s="8374" t="n"/>
      <c r="J56" s="8374" t="n"/>
      <c r="K56" s="2773" t="inlineStr">
        <is>
          <t>19b</t>
        </is>
      </c>
      <c r="L56" s="335" t="n"/>
      <c r="M56" s="2781" t="n"/>
      <c r="N56" s="2791" t="n"/>
      <c r="O56" s="2775" t="n"/>
      <c r="P56" s="2776" t="n"/>
      <c r="Q56" s="962" t="n"/>
      <c r="R56" s="689" t="n"/>
      <c r="S56" s="689" t="n"/>
      <c r="T56" s="2807" t="n"/>
      <c r="U56" s="341" t="n"/>
      <c r="V56" s="7039" t="n"/>
      <c r="W56" s="7039" t="n"/>
      <c r="X56" s="7039" t="n"/>
      <c r="Y56" s="7039" t="n"/>
      <c r="Z56" s="7039" t="n"/>
      <c r="AA56" s="7039" t="n"/>
      <c r="AD56" s="379" t="n"/>
      <c r="AE56" s="8648" t="n"/>
      <c r="AF56" s="658" t="n"/>
      <c r="AG56" s="658" t="n"/>
      <c r="AH56" s="658" t="n"/>
      <c r="AI56" s="658" t="n"/>
      <c r="AJ56" s="658" t="n"/>
      <c r="AK56" s="658" t="n"/>
      <c r="AL56" s="658" t="n"/>
      <c r="AM56" s="658" t="n"/>
      <c r="AN56" s="658" t="n"/>
    </row>
    <row r="57" ht="13.5" customHeight="1" s="7635" thickBot="1">
      <c r="A57" s="139" t="n"/>
      <c r="B57" s="8374" t="inlineStr">
        <is>
          <t>c</t>
        </is>
      </c>
      <c r="C57" s="2769" t="inlineStr">
        <is>
          <t>Subtract line 19b from line 19a.</t>
        </is>
      </c>
      <c r="D57" s="2769" t="n"/>
      <c r="E57" s="11262" t="n"/>
      <c r="F57" s="11262" t="n"/>
      <c r="G57" s="2770" t="inlineStr">
        <is>
          <t>If zero or less, enter -0-</t>
        </is>
      </c>
      <c r="H57" s="2771" t="n"/>
      <c r="I57" s="8374" t="n"/>
      <c r="J57" s="8374" t="inlineStr">
        <is>
          <t xml:space="preserve">.   .   .   .   .   .   .   .   . </t>
        </is>
      </c>
      <c r="K57" s="2773" t="inlineStr">
        <is>
          <t>19c</t>
        </is>
      </c>
      <c r="L57" s="2774">
        <f>IF(N45="---","",IF(File8960,MAX(0,SUM(L55,-L56)),""))</f>
        <v/>
      </c>
      <c r="M57" s="2781" t="n"/>
      <c r="N57" s="2791" t="n"/>
      <c r="O57" s="2775" t="n"/>
      <c r="P57" s="2776" t="n"/>
      <c r="Q57" s="962" t="n"/>
      <c r="R57" s="343" t="n"/>
      <c r="S57" s="343" t="n"/>
      <c r="T57" s="343" t="n"/>
      <c r="U57" s="347" t="n"/>
      <c r="V57" s="498" t="n"/>
      <c r="W57" s="498" t="n"/>
      <c r="X57" s="498" t="n"/>
      <c r="Y57" s="498" t="n"/>
      <c r="Z57" s="498" t="n"/>
      <c r="AA57" s="498" t="n"/>
      <c r="AB57" s="498" t="n"/>
      <c r="AC57" s="498" t="n"/>
      <c r="AD57" s="499" t="n"/>
      <c r="AE57" s="8648" t="n"/>
    </row>
    <row r="58" ht="13.5" customHeight="1" s="7635" thickBot="1">
      <c r="A58" s="139" t="n"/>
      <c r="B58" s="8374" t="n">
        <v>20</v>
      </c>
      <c r="C58" s="2769" t="inlineStr">
        <is>
          <t>Enter the smaller of line 18c or line 19c</t>
        </is>
      </c>
      <c r="D58" s="2770" t="n"/>
      <c r="E58" s="11262" t="n"/>
      <c r="F58" s="11262" t="n"/>
      <c r="G58" s="11262" t="n"/>
      <c r="H58" s="2771" t="n"/>
      <c r="I58" s="2771" t="n"/>
      <c r="J58" s="2771" t="n"/>
      <c r="K58" s="2772" t="n"/>
      <c r="L58" s="2031" t="inlineStr">
        <is>
          <t xml:space="preserve">.   .   .   .   .   .   .   .   .   .   .   .   .   .   .   .   .   .   .   .   .   . </t>
        </is>
      </c>
      <c r="M58" s="2773" t="n">
        <v>20</v>
      </c>
      <c r="N58" s="2774">
        <f>IF(Q58&lt;&gt;"",ROUND(Q58,0),IF(N45="---","",IF(File8960,MIN(L54,L57),"")))</f>
        <v/>
      </c>
      <c r="O58" s="2775" t="n"/>
      <c r="P58" s="2776" t="n"/>
      <c r="Q58" s="118" t="n"/>
      <c r="R58" s="343" t="n"/>
      <c r="S58" s="343" t="n"/>
      <c r="T58" s="689" t="n"/>
      <c r="U58" s="11602" t="n"/>
      <c r="V58" s="344" t="n"/>
      <c r="W58" s="344" t="n"/>
      <c r="X58" s="344" t="n"/>
      <c r="Y58" s="344" t="n"/>
      <c r="Z58" s="344" t="n"/>
      <c r="AA58" s="344" t="n"/>
      <c r="AB58" s="344" t="n"/>
      <c r="AC58" s="344" t="n"/>
      <c r="AD58" s="344" t="n"/>
      <c r="AE58" s="9123" t="n"/>
    </row>
    <row r="59" ht="13.5" customHeight="1" s="7635">
      <c r="A59" s="139" t="n"/>
      <c r="B59" s="8374" t="n">
        <v>21</v>
      </c>
      <c r="C59" s="2769">
        <f>"Net investment income tax for estates and trusts. Multiply line 20 by "&amp;TEXT(N59,"0.0%")&amp;" ("&amp;TEXT(N59,"0.038")&amp;")."</f>
        <v/>
      </c>
      <c r="D59" s="2770" t="n"/>
      <c r="E59" s="11262" t="n"/>
      <c r="F59" s="11262" t="n"/>
      <c r="G59" s="11262" t="n"/>
      <c r="H59" s="2771" t="n"/>
      <c r="I59" s="2771" t="n"/>
      <c r="J59" s="2771" t="n"/>
      <c r="K59" s="2772" t="n"/>
      <c r="L59" s="8374" t="inlineStr">
        <is>
          <t xml:space="preserve">Enter here and </t>
        </is>
      </c>
      <c r="M59" s="2805" t="n"/>
      <c r="N59" s="12820" t="n">
        <v>0.038</v>
      </c>
      <c r="O59" s="2783" t="n"/>
      <c r="P59" s="2784" t="n"/>
      <c r="Q59" s="962" t="n"/>
      <c r="R59" s="689" t="n"/>
      <c r="S59" s="689" t="n"/>
      <c r="T59" s="343" t="n"/>
      <c r="U59" s="338" t="n"/>
      <c r="V59" s="339" t="n"/>
      <c r="W59" s="339" t="n"/>
      <c r="X59" s="339" t="n"/>
      <c r="Y59" s="339" t="n"/>
      <c r="Z59" s="339" t="n"/>
      <c r="AA59" s="339" t="n"/>
      <c r="AB59" s="339" t="n"/>
      <c r="AC59" s="339" t="n"/>
      <c r="AD59" s="340" t="n"/>
      <c r="AE59" s="8648" t="n"/>
    </row>
    <row r="60" ht="13.5" customFormat="1" customHeight="1" s="214" thickBot="1">
      <c r="A60" s="139" t="n"/>
      <c r="B60" s="8374" t="n"/>
      <c r="C60" s="2826" t="inlineStr">
        <is>
          <t>include on your tax return (see instructions)</t>
        </is>
      </c>
      <c r="D60" s="2769" t="n"/>
      <c r="E60" s="11262" t="n"/>
      <c r="F60" s="11262" t="n"/>
      <c r="G60" s="11262" t="n"/>
      <c r="H60" s="2771" t="n"/>
      <c r="I60" s="2771" t="n"/>
      <c r="J60" s="2771" t="n"/>
      <c r="K60" s="2772" t="n"/>
      <c r="L60" s="2031" t="inlineStr">
        <is>
          <t xml:space="preserve">.   .   .   .   .   .   .   .   .   .   .   .   .   .   .   .   .   .   .   . </t>
        </is>
      </c>
      <c r="M60" s="2805" t="n">
        <v>21</v>
      </c>
      <c r="N60" s="2774">
        <f>IF(Q60&lt;&gt;"",ROUND(Q60,0),IF(N45="---","",IF(File8960,ROUND(N58*N59,0),"")))</f>
        <v/>
      </c>
      <c r="O60" s="2775" t="n"/>
      <c r="P60" s="2784" t="n"/>
      <c r="Q60" s="118" t="n"/>
      <c r="R60" s="689" t="n"/>
      <c r="S60" s="689" t="n"/>
      <c r="T60" s="689" t="n"/>
      <c r="U60" s="341" t="n"/>
      <c r="V60" s="342" t="inlineStr">
        <is>
          <t>Line 13 — MAGI Worksheet</t>
        </is>
      </c>
      <c r="W60" s="344" t="n"/>
      <c r="X60" s="344" t="n"/>
      <c r="Y60" s="344" t="n"/>
      <c r="Z60" s="344" t="n"/>
      <c r="AA60" s="344" t="n"/>
      <c r="AB60" s="2819" t="inlineStr">
        <is>
          <t>Keep for Your Records</t>
        </is>
      </c>
      <c r="AC60" s="344" t="n"/>
      <c r="AD60" s="346" t="n"/>
      <c r="AE60" s="9123" t="n"/>
      <c r="AF60" s="658" t="n"/>
      <c r="AG60" s="658" t="n"/>
      <c r="AH60" s="658" t="n"/>
      <c r="AI60" s="658" t="n"/>
      <c r="AJ60" s="658" t="n"/>
      <c r="AK60" s="658" t="n"/>
      <c r="AL60" s="658" t="n"/>
      <c r="AM60" s="658" t="n"/>
      <c r="AN60" s="658" t="n"/>
    </row>
    <row r="61" ht="13.5" customHeight="1" s="7635">
      <c r="A61" s="139" t="n"/>
      <c r="B61" s="2827" t="inlineStr">
        <is>
          <t>For Paperwork Reduction Act Notice, see your tax return instructions.</t>
        </is>
      </c>
      <c r="C61" s="2828" t="n"/>
      <c r="D61" s="2828" t="n"/>
      <c r="E61" s="2828" t="n"/>
      <c r="F61" s="2828" t="n"/>
      <c r="G61" s="2828" t="n"/>
      <c r="H61" s="2829" t="n"/>
      <c r="I61" s="2830" t="n"/>
      <c r="J61" s="2831" t="inlineStr">
        <is>
          <t>Cat. No. 59474M</t>
        </is>
      </c>
      <c r="K61" s="2831" t="n"/>
      <c r="L61" s="2832" t="inlineStr">
        <is>
          <t xml:space="preserve">Form 8960 </t>
        </is>
      </c>
      <c r="M61" s="2832" t="n"/>
      <c r="N61" s="6521">
        <f>"  ("&amp;TaxYear&amp;") Created 8/19/25"</f>
        <v/>
      </c>
      <c r="O61" s="2834" t="n"/>
      <c r="P61" s="2784" t="n"/>
      <c r="Q61" s="962" t="n"/>
      <c r="R61" s="689" t="n"/>
      <c r="S61" s="2807" t="n"/>
      <c r="T61" s="343" t="n"/>
      <c r="U61" s="341" t="n"/>
      <c r="V61" s="342" t="n"/>
      <c r="W61" s="343" t="n"/>
      <c r="X61" s="343" t="n"/>
      <c r="Y61" s="343" t="n"/>
      <c r="Z61" s="343" t="n"/>
      <c r="AA61" s="343" t="n"/>
      <c r="AB61" s="2820" t="n"/>
      <c r="AC61" s="2821" t="n"/>
      <c r="AD61" s="2822" t="n"/>
      <c r="AE61" s="8648" t="n"/>
    </row>
    <row r="62" ht="15" customFormat="1" customHeight="1" s="80">
      <c r="A62" s="139" t="n"/>
      <c r="B62" s="148" t="n"/>
      <c r="C62" s="2733" t="n"/>
      <c r="D62" s="2733" t="n"/>
      <c r="E62" s="139" t="n"/>
      <c r="F62" s="139" t="n"/>
      <c r="G62" s="139" t="n"/>
      <c r="H62" s="139" t="n"/>
      <c r="I62" s="139" t="n"/>
      <c r="J62" s="139" t="n"/>
      <c r="K62" s="2835" t="n"/>
      <c r="L62" s="150" t="n"/>
      <c r="M62" s="150" t="n"/>
      <c r="N62" s="150" t="n"/>
      <c r="O62" s="2836" t="n"/>
      <c r="P62" s="2784" t="n"/>
      <c r="Q62" s="962" t="n"/>
      <c r="R62" s="343" t="n"/>
      <c r="S62" s="343" t="n"/>
      <c r="T62" s="343" t="n"/>
      <c r="U62" s="2823" t="n"/>
      <c r="V62" s="2824" t="n"/>
      <c r="W62" s="2824" t="n"/>
      <c r="X62" s="2824" t="n"/>
      <c r="Y62" s="2824" t="n"/>
      <c r="Z62" s="2824" t="n"/>
      <c r="AA62" s="2824" t="n"/>
      <c r="AB62" s="2824" t="n"/>
      <c r="AC62" s="2824" t="n"/>
      <c r="AD62" s="2825" t="n"/>
      <c r="AE62" s="8648" t="n"/>
      <c r="AF62" s="658" t="n"/>
      <c r="AG62" s="658" t="n"/>
      <c r="AH62" s="658" t="n"/>
      <c r="AI62" s="658" t="n"/>
      <c r="AJ62" s="658" t="n"/>
      <c r="AK62" s="658" t="n"/>
      <c r="AL62" s="658" t="n"/>
      <c r="AM62" s="658" t="n"/>
      <c r="AN62" s="658" t="n"/>
    </row>
    <row r="63" ht="15" customFormat="1" customHeight="1" s="80">
      <c r="B63" s="8043" t="n"/>
      <c r="C63" s="7301" t="n"/>
      <c r="D63" s="7301" t="n"/>
      <c r="K63" s="2837" t="n"/>
      <c r="L63" s="4" t="n"/>
      <c r="M63" s="4" t="n"/>
      <c r="N63" s="4" t="n"/>
      <c r="O63" s="2838" t="n"/>
      <c r="Q63" s="2839" t="n"/>
      <c r="R63" s="343" t="n"/>
      <c r="S63" s="343" t="n"/>
      <c r="T63" s="689" t="n"/>
      <c r="U63" s="341" t="n"/>
      <c r="V63" s="7886" t="inlineStr">
        <is>
          <t>1. Enter your Adjusted Gross Income</t>
        </is>
      </c>
      <c r="W63" s="344" t="n"/>
      <c r="X63" s="344" t="n"/>
      <c r="Y63" s="344" t="n"/>
      <c r="Z63" s="344" t="n"/>
      <c r="AA63" s="345" t="n"/>
      <c r="AB63" s="345" t="inlineStr">
        <is>
          <t>1.</t>
        </is>
      </c>
      <c r="AC63" s="8670">
        <f>Adj_Gross_Inc</f>
        <v/>
      </c>
      <c r="AD63" s="346" t="n"/>
      <c r="AE63" s="9123" t="n"/>
      <c r="AF63" s="658" t="n"/>
      <c r="AG63" s="658" t="n"/>
      <c r="AH63" s="658" t="n"/>
      <c r="AI63" s="658" t="n"/>
      <c r="AJ63" s="658" t="n"/>
      <c r="AK63" s="658" t="n"/>
      <c r="AL63" s="658" t="n"/>
      <c r="AM63" s="658" t="n"/>
      <c r="AN63" s="658" t="n"/>
    </row>
    <row r="64" ht="15" customFormat="1" customHeight="1" s="80" thickBot="1">
      <c r="B64" s="8043" t="n"/>
      <c r="C64" s="7301" t="n"/>
      <c r="D64" s="7301" t="n"/>
      <c r="K64" s="2837" t="n"/>
      <c r="L64" s="4" t="n"/>
      <c r="M64" s="4" t="n"/>
      <c r="N64" s="4" t="n"/>
      <c r="O64" s="2838" t="n"/>
      <c r="Q64" s="2839" t="n"/>
      <c r="R64" s="343" t="n"/>
      <c r="S64" s="343" t="n"/>
      <c r="T64" s="343" t="n"/>
      <c r="U64" s="341" t="n"/>
      <c r="V64" s="344" t="n"/>
      <c r="W64" s="344" t="n"/>
      <c r="X64" s="344" t="n"/>
      <c r="Y64" s="344" t="n"/>
      <c r="Z64" s="344" t="n"/>
      <c r="AA64" s="344" t="n"/>
      <c r="AB64" s="344" t="n"/>
      <c r="AC64" s="344" t="n"/>
      <c r="AD64" s="346" t="n"/>
      <c r="AE64" s="8648" t="n"/>
      <c r="AF64" s="658" t="n"/>
      <c r="AG64" s="658" t="n"/>
      <c r="AH64" s="658" t="n"/>
      <c r="AI64" s="658" t="n"/>
      <c r="AJ64" s="658" t="n"/>
      <c r="AK64" s="658" t="n"/>
      <c r="AL64" s="658" t="n"/>
      <c r="AM64" s="658" t="n"/>
      <c r="AN64" s="658" t="n"/>
    </row>
    <row r="65" ht="15" customFormat="1" customHeight="1" s="80" thickBot="1" thickTop="1">
      <c r="B65" s="8043" t="n"/>
      <c r="C65" s="11824" t="inlineStr">
        <is>
          <t>Download Form 8960</t>
        </is>
      </c>
      <c r="D65" s="11825" t="n"/>
      <c r="E65" s="11825" t="n"/>
      <c r="F65" s="11825" t="n"/>
      <c r="G65" s="11825" t="n"/>
      <c r="H65" s="11826" t="n"/>
      <c r="I65" s="4" t="n"/>
      <c r="J65" s="4" t="n"/>
      <c r="K65" s="7453" t="n"/>
      <c r="M65" s="4" t="n"/>
      <c r="N65" s="4" t="n"/>
      <c r="O65" s="4" t="n"/>
      <c r="Q65" s="8648" t="n"/>
      <c r="R65" s="344" t="n"/>
      <c r="S65" s="344" t="n"/>
      <c r="T65" s="343" t="n"/>
      <c r="U65" s="341" t="n"/>
      <c r="V65" s="7886" t="inlineStr">
        <is>
          <t>2. Foreign Earned Income Exclusion:</t>
        </is>
      </c>
      <c r="W65" s="344" t="n"/>
      <c r="X65" s="344" t="n"/>
      <c r="Y65" s="344" t="n"/>
      <c r="Z65" s="344" t="n"/>
      <c r="AA65" s="344" t="n"/>
      <c r="AB65" s="344" t="n"/>
      <c r="AC65" s="344" t="n"/>
      <c r="AD65" s="346" t="n"/>
      <c r="AE65" s="8648" t="n"/>
      <c r="AF65" s="658" t="n"/>
      <c r="AG65" s="658" t="n"/>
      <c r="AH65" s="658" t="n"/>
      <c r="AI65" s="658" t="n"/>
      <c r="AJ65" s="658" t="n"/>
      <c r="AK65" s="658" t="n"/>
      <c r="AL65" s="658" t="n"/>
      <c r="AM65" s="658" t="n"/>
      <c r="AN65" s="658" t="n"/>
    </row>
    <row r="66" ht="15" customFormat="1" customHeight="1" s="80" thickBot="1" thickTop="1">
      <c r="B66" s="8043" t="n"/>
      <c r="C66" s="7301" t="n"/>
      <c r="D66" s="7301" t="n"/>
      <c r="H66" s="4" t="n"/>
      <c r="I66" s="4" t="n"/>
      <c r="J66" s="4" t="n"/>
      <c r="K66" s="7453" t="n"/>
      <c r="M66" s="4" t="n"/>
      <c r="N66" s="4" t="n"/>
      <c r="O66" s="4" t="n"/>
      <c r="Q66" s="8648" t="n"/>
      <c r="R66" s="344" t="n"/>
      <c r="S66" s="344" t="n"/>
      <c r="T66" s="689" t="n"/>
      <c r="U66" s="341" t="n"/>
      <c r="V66" s="344" t="n"/>
      <c r="W66" s="344" t="inlineStr">
        <is>
          <t>(a)</t>
        </is>
      </c>
      <c r="X66" s="344" t="inlineStr">
        <is>
          <t>Enter your Foreign Earned Income Exclusion (from</t>
        </is>
      </c>
      <c r="Y66" s="344" t="n"/>
      <c r="Z66" s="344" t="n"/>
      <c r="AA66" s="344" t="n"/>
      <c r="AB66" s="344" t="n"/>
      <c r="AC66" s="344" t="n"/>
      <c r="AD66" s="346" t="n"/>
      <c r="AE66" s="8648" t="n"/>
      <c r="AF66" s="658" t="n"/>
      <c r="AG66" s="658" t="n"/>
      <c r="AH66" s="658" t="n"/>
      <c r="AI66" s="658" t="n"/>
      <c r="AJ66" s="658" t="n"/>
      <c r="AK66" s="658" t="n"/>
      <c r="AL66" s="658" t="n"/>
      <c r="AM66" s="658" t="n"/>
      <c r="AN66" s="658" t="n"/>
    </row>
    <row r="67" ht="14.25" customFormat="1" customHeight="1" s="80" thickBot="1" thickTop="1">
      <c r="B67" s="8043" t="n"/>
      <c r="C67" s="11824" t="inlineStr">
        <is>
          <t>Download Form 8960 Instructions</t>
        </is>
      </c>
      <c r="D67" s="11825" t="n"/>
      <c r="E67" s="11825" t="n"/>
      <c r="F67" s="11825" t="n"/>
      <c r="G67" s="11825" t="n"/>
      <c r="H67" s="11826" t="n"/>
      <c r="I67" s="4" t="n"/>
      <c r="J67" s="4" t="n"/>
      <c r="K67" s="7453" t="n"/>
      <c r="M67" s="4" t="n"/>
      <c r="N67" s="4" t="n"/>
      <c r="O67" s="4" t="n"/>
      <c r="Q67" s="8648" t="n"/>
      <c r="R67" s="344" t="n"/>
      <c r="S67" s="344" t="n"/>
      <c r="T67" s="689" t="n"/>
      <c r="U67" s="341" t="n"/>
      <c r="V67" s="344" t="n"/>
      <c r="W67" s="344" t="n"/>
      <c r="X67" s="344" t="inlineStr">
        <is>
          <t>Line 42 of Form 2555)</t>
        </is>
      </c>
      <c r="Y67" s="344" t="n"/>
      <c r="Z67" s="344" t="n"/>
      <c r="AA67" s="2628">
        <f>ForeignIncExclusionTotal</f>
        <v/>
      </c>
      <c r="AB67" s="344" t="n"/>
      <c r="AC67" s="344" t="n"/>
      <c r="AD67" s="346" t="n"/>
      <c r="AE67" s="9123" t="n"/>
      <c r="AF67" s="658" t="n"/>
      <c r="AG67" s="658" t="n"/>
      <c r="AH67" s="658" t="n"/>
      <c r="AI67" s="658" t="n"/>
      <c r="AJ67" s="658" t="n"/>
      <c r="AK67" s="658" t="n"/>
      <c r="AL67" s="658" t="n"/>
      <c r="AM67" s="658" t="n"/>
      <c r="AN67" s="658" t="n"/>
    </row>
    <row r="68" ht="17.25" customFormat="1" customHeight="1" s="80" thickTop="1">
      <c r="K68" s="7453" t="n"/>
      <c r="R68" s="11602" t="n"/>
      <c r="S68" s="344" t="n"/>
      <c r="T68" s="2807" t="n"/>
      <c r="U68" s="341" t="n"/>
      <c r="V68" s="344" t="n"/>
      <c r="W68" s="344" t="inlineStr">
        <is>
          <t>(b)</t>
        </is>
      </c>
      <c r="X68" s="344" t="inlineStr">
        <is>
          <t>Enter the deductions reported on Line 44 of Form</t>
        </is>
      </c>
      <c r="Y68" s="344" t="n"/>
      <c r="Z68" s="344" t="n"/>
      <c r="AA68" s="344" t="n"/>
      <c r="AB68" s="344" t="n"/>
      <c r="AC68" s="344" t="n"/>
      <c r="AD68" s="346" t="n"/>
      <c r="AE68" s="8648" t="n"/>
      <c r="AF68" s="658" t="n"/>
      <c r="AG68" s="658" t="n"/>
      <c r="AH68" s="658" t="n"/>
      <c r="AI68" s="658" t="n"/>
      <c r="AJ68" s="658" t="n"/>
      <c r="AK68" s="658" t="n"/>
      <c r="AL68" s="658" t="n"/>
      <c r="AM68" s="658" t="n"/>
      <c r="AN68" s="658" t="n"/>
    </row>
    <row r="69" ht="12.75" customFormat="1" customHeight="1" s="80">
      <c r="K69" s="7453" t="n"/>
      <c r="R69" s="11602" t="n"/>
      <c r="S69" s="344" t="n"/>
      <c r="T69" s="343" t="n"/>
      <c r="U69" s="341" t="n"/>
      <c r="V69" s="343" t="n"/>
      <c r="W69" s="343" t="n"/>
      <c r="X69" s="344" t="inlineStr">
        <is>
          <t>2555 allocable to your Foreign Earned Income</t>
        </is>
      </c>
      <c r="Y69" s="343" t="n"/>
      <c r="Z69" s="343" t="n"/>
      <c r="AA69" s="343" t="n"/>
      <c r="AB69" s="343" t="n"/>
      <c r="AC69" s="343" t="n"/>
      <c r="AD69" s="2822" t="n"/>
      <c r="AE69" s="8648" t="n"/>
      <c r="AF69" s="658" t="n"/>
      <c r="AG69" s="658" t="n"/>
      <c r="AH69" s="658" t="n"/>
      <c r="AI69" s="658" t="n"/>
      <c r="AJ69" s="658" t="n"/>
      <c r="AK69" s="658" t="n"/>
      <c r="AL69" s="658" t="n"/>
      <c r="AM69" s="658" t="n"/>
      <c r="AN69" s="658" t="n"/>
    </row>
    <row r="70" customFormat="1" s="80">
      <c r="K70" s="7453" t="n"/>
      <c r="R70" s="11602" t="n"/>
      <c r="S70" s="344" t="n"/>
      <c r="T70" s="343" t="n"/>
      <c r="U70" s="341" t="n"/>
      <c r="V70" s="344" t="n"/>
      <c r="W70" s="344" t="n"/>
      <c r="X70" s="344" t="inlineStr">
        <is>
          <t>Exclusion</t>
        </is>
      </c>
      <c r="Y70" s="351" t="n"/>
      <c r="Z70" s="351" t="inlineStr">
        <is>
          <t>(</t>
        </is>
      </c>
      <c r="AA70" s="2628">
        <f>'2555'!AE172</f>
        <v/>
      </c>
      <c r="AB70" s="350" t="inlineStr">
        <is>
          <t>)</t>
        </is>
      </c>
      <c r="AC70" s="344" t="n"/>
      <c r="AD70" s="346" t="n"/>
      <c r="AE70" s="8648" t="n"/>
      <c r="AF70" s="658" t="n"/>
      <c r="AG70" s="658" t="n"/>
      <c r="AH70" s="658" t="n"/>
      <c r="AI70" s="658" t="n"/>
      <c r="AJ70" s="658" t="n"/>
      <c r="AK70" s="658" t="n"/>
      <c r="AL70" s="658" t="n"/>
      <c r="AM70" s="658" t="n"/>
      <c r="AN70" s="658" t="n"/>
    </row>
    <row r="71" ht="12" customFormat="1" customHeight="1" s="80">
      <c r="K71" s="7453" t="n"/>
      <c r="R71" s="11602" t="n"/>
      <c r="S71" s="344" t="n"/>
      <c r="T71" s="343" t="n"/>
      <c r="U71" s="341" t="n"/>
      <c r="V71" s="344" t="n"/>
      <c r="W71" s="344" t="inlineStr">
        <is>
          <t>(c)</t>
        </is>
      </c>
      <c r="X71" s="344" t="inlineStr">
        <is>
          <t>Combine Lines 2(a) and 2(b)</t>
        </is>
      </c>
      <c r="Y71" s="344" t="n"/>
      <c r="Z71" s="344" t="n"/>
      <c r="AA71" s="345" t="n"/>
      <c r="AB71" s="345" t="inlineStr">
        <is>
          <t>2.</t>
        </is>
      </c>
      <c r="AC71" s="8670">
        <f>SUM(AA67,-AA70)</f>
        <v/>
      </c>
      <c r="AD71" s="346" t="n"/>
      <c r="AE71" s="8648" t="n"/>
      <c r="AF71" s="658" t="n"/>
      <c r="AG71" s="658" t="n"/>
      <c r="AH71" s="658" t="n"/>
      <c r="AI71" s="658" t="n"/>
      <c r="AJ71" s="658" t="n"/>
      <c r="AK71" s="658" t="n"/>
      <c r="AL71" s="658" t="n"/>
      <c r="AM71" s="658" t="n"/>
      <c r="AN71" s="658" t="n"/>
    </row>
    <row r="72" ht="21.75" customFormat="1" customHeight="1" s="80">
      <c r="K72" s="7453" t="n"/>
      <c r="R72" s="11602" t="n"/>
      <c r="S72" s="344" t="n"/>
      <c r="T72" s="344" t="n"/>
      <c r="U72" s="341" t="n"/>
      <c r="V72" s="344" t="n"/>
      <c r="W72" s="344" t="n"/>
      <c r="X72" s="344" t="n"/>
      <c r="Y72" s="344" t="n"/>
      <c r="Z72" s="344" t="n"/>
      <c r="AA72" s="344" t="n"/>
      <c r="AB72" s="344" t="n"/>
      <c r="AC72" s="344" t="n"/>
      <c r="AD72" s="346" t="n"/>
      <c r="AE72" s="8648" t="n"/>
      <c r="AF72" s="658" t="n"/>
      <c r="AG72" s="658" t="n"/>
      <c r="AH72" s="658" t="n"/>
      <c r="AI72" s="658" t="n"/>
      <c r="AJ72" s="658" t="n"/>
      <c r="AK72" s="658" t="n"/>
      <c r="AL72" s="658" t="n"/>
      <c r="AM72" s="658" t="n"/>
      <c r="AN72" s="658" t="n"/>
    </row>
    <row r="73" ht="12.75" customFormat="1" customHeight="1" s="80">
      <c r="K73" s="7453" t="n"/>
      <c r="R73" s="11602" t="n"/>
      <c r="S73" s="344" t="n"/>
      <c r="T73" s="344" t="n"/>
      <c r="U73" s="341" t="n"/>
      <c r="V73" s="7886" t="inlineStr">
        <is>
          <t>3. Adjustments for Certain CFCs and Certain PFICs</t>
        </is>
      </c>
      <c r="W73" s="343" t="n"/>
      <c r="X73" s="343" t="n"/>
      <c r="Y73" s="343" t="n"/>
      <c r="Z73" s="343" t="n"/>
      <c r="AA73" s="343" t="n"/>
      <c r="AB73" s="345" t="inlineStr">
        <is>
          <t>3.</t>
        </is>
      </c>
      <c r="AC73" s="8797" t="n"/>
      <c r="AD73" s="2822" t="n"/>
      <c r="AE73" s="8648" t="n"/>
      <c r="AF73" s="658" t="n"/>
      <c r="AG73" s="658" t="n"/>
      <c r="AH73" s="658" t="n"/>
      <c r="AI73" s="658" t="n"/>
      <c r="AJ73" s="658" t="n"/>
      <c r="AK73" s="658" t="n"/>
      <c r="AL73" s="658" t="n"/>
      <c r="AM73" s="658" t="n"/>
      <c r="AN73" s="658" t="n"/>
    </row>
    <row r="74" ht="17.25" customFormat="1" customHeight="1" s="80">
      <c r="K74" s="7453" t="n"/>
      <c r="R74" s="11602" t="n"/>
      <c r="S74" s="344" t="n"/>
      <c r="T74" s="344" t="n"/>
      <c r="U74" s="341" t="n"/>
      <c r="V74" s="344" t="n"/>
      <c r="W74" s="344" t="n"/>
      <c r="X74" s="344" t="n"/>
      <c r="Y74" s="344" t="n"/>
      <c r="Z74" s="344" t="n"/>
      <c r="AA74" s="344" t="n"/>
      <c r="AB74" s="344" t="n"/>
      <c r="AC74" s="344" t="n"/>
      <c r="AD74" s="346" t="n"/>
      <c r="AE74" s="8648" t="n"/>
      <c r="AF74" s="658" t="n"/>
      <c r="AG74" s="658" t="n"/>
      <c r="AH74" s="658" t="n"/>
      <c r="AI74" s="658" t="n"/>
      <c r="AJ74" s="658" t="n"/>
      <c r="AK74" s="658" t="n"/>
      <c r="AL74" s="658" t="n"/>
      <c r="AM74" s="658" t="n"/>
      <c r="AN74" s="658" t="n"/>
    </row>
    <row r="75" ht="14.25" customFormat="1" customHeight="1" s="80">
      <c r="K75" s="7453" t="n"/>
      <c r="R75" s="11602" t="n"/>
      <c r="S75" s="344" t="n"/>
      <c r="T75" s="344" t="n"/>
      <c r="U75" s="341" t="n"/>
      <c r="V75" s="7886" t="inlineStr">
        <is>
          <t>4. Enter the sum of Line 1, Line 2(c), and Line 3. (Enter this amount on Form 8960,</t>
        </is>
      </c>
      <c r="W75" s="343" t="n"/>
      <c r="X75" s="343" t="n"/>
      <c r="Y75" s="343" t="n"/>
      <c r="Z75" s="343" t="n"/>
      <c r="AA75" s="343" t="n"/>
      <c r="AB75" s="343" t="n"/>
      <c r="AC75" s="343" t="n"/>
      <c r="AD75" s="2822" t="n"/>
      <c r="AE75" s="8648" t="n"/>
      <c r="AF75" s="658" t="n"/>
      <c r="AG75" s="658" t="n"/>
      <c r="AH75" s="658" t="n"/>
      <c r="AI75" s="658" t="n"/>
      <c r="AJ75" s="658" t="n"/>
      <c r="AK75" s="658" t="n"/>
      <c r="AL75" s="658" t="n"/>
      <c r="AM75" s="658" t="n"/>
      <c r="AN75" s="658" t="n"/>
    </row>
    <row r="76" customFormat="1" s="80">
      <c r="K76" s="7453" t="n"/>
      <c r="R76" s="11602" t="n"/>
      <c r="S76" s="344" t="n"/>
      <c r="T76" s="344" t="n"/>
      <c r="U76" s="341" t="n"/>
      <c r="V76" s="7886" t="inlineStr">
        <is>
          <t xml:space="preserve">    Line 13.)</t>
        </is>
      </c>
      <c r="W76" s="344" t="n"/>
      <c r="X76" s="344" t="n"/>
      <c r="Y76" s="344" t="n"/>
      <c r="Z76" s="344" t="n"/>
      <c r="AA76" s="344" t="n"/>
      <c r="AB76" s="345" t="inlineStr">
        <is>
          <t>4.</t>
        </is>
      </c>
      <c r="AC76" s="8670">
        <f>SUM(AC63,AC71,AC73)</f>
        <v/>
      </c>
      <c r="AD76" s="346" t="n"/>
      <c r="AE76" s="8648" t="n"/>
      <c r="AF76" s="658" t="n"/>
      <c r="AG76" s="658" t="n"/>
      <c r="AH76" s="658" t="n"/>
      <c r="AI76" s="658" t="n"/>
      <c r="AJ76" s="658" t="n"/>
      <c r="AK76" s="658" t="n"/>
      <c r="AL76" s="658" t="n"/>
      <c r="AM76" s="658" t="n"/>
      <c r="AN76" s="658" t="n"/>
    </row>
    <row r="77" ht="20.25" customFormat="1" customHeight="1" s="80" thickBot="1">
      <c r="K77" s="7453" t="n"/>
      <c r="R77" s="11602" t="n"/>
      <c r="S77" s="344" t="n"/>
      <c r="T77" s="344" t="n"/>
      <c r="U77" s="347" t="n"/>
      <c r="V77" s="348" t="n"/>
      <c r="W77" s="348" t="n"/>
      <c r="X77" s="348" t="n"/>
      <c r="Y77" s="348" t="n"/>
      <c r="Z77" s="348" t="n"/>
      <c r="AA77" s="348" t="n"/>
      <c r="AB77" s="348" t="n"/>
      <c r="AC77" s="348" t="n"/>
      <c r="AD77" s="2840" t="n"/>
      <c r="AE77" s="8648" t="n"/>
      <c r="AF77" s="658" t="n"/>
      <c r="AG77" s="658" t="n"/>
      <c r="AH77" s="658" t="n"/>
      <c r="AI77" s="658" t="n"/>
      <c r="AJ77" s="658" t="n"/>
      <c r="AK77" s="658" t="n"/>
      <c r="AL77" s="658" t="n"/>
      <c r="AM77" s="658" t="n"/>
      <c r="AN77" s="658" t="n"/>
    </row>
    <row r="78" ht="13.5" customFormat="1" customHeight="1" s="80" thickBot="1">
      <c r="K78" s="7453" t="n"/>
      <c r="R78" s="11602" t="n"/>
      <c r="S78" s="344" t="n"/>
      <c r="T78" s="344" t="n"/>
      <c r="U78" s="11602" t="n"/>
      <c r="V78" s="344" t="n"/>
      <c r="W78" s="344" t="n"/>
      <c r="X78" s="344" t="n"/>
      <c r="Y78" s="344" t="n"/>
      <c r="Z78" s="344" t="n"/>
      <c r="AA78" s="344" t="n"/>
      <c r="AB78" s="344" t="n"/>
      <c r="AC78" s="344" t="n"/>
      <c r="AD78" s="344" t="n"/>
      <c r="AE78" s="8648" t="n"/>
      <c r="AF78" s="658" t="n"/>
      <c r="AG78" s="658" t="n"/>
      <c r="AH78" s="658" t="n"/>
      <c r="AI78" s="658" t="n"/>
      <c r="AJ78" s="658" t="n"/>
      <c r="AK78" s="658" t="n"/>
      <c r="AL78" s="658" t="n"/>
      <c r="AM78" s="658" t="n"/>
      <c r="AN78" s="658" t="n"/>
    </row>
    <row r="79" ht="15" customFormat="1" customHeight="1" s="80">
      <c r="K79" s="7453" t="n"/>
      <c r="R79" s="11602" t="n"/>
      <c r="S79" s="344" t="n"/>
      <c r="T79" s="344" t="n"/>
      <c r="U79" s="338" t="n"/>
      <c r="V79" s="1678" t="inlineStr">
        <is>
          <t>Line 17—Net Investment Income Tax for</t>
        </is>
      </c>
      <c r="W79" s="339" t="n"/>
      <c r="X79" s="339" t="n"/>
      <c r="Y79" s="340" t="n"/>
      <c r="Z79" s="1073" t="n"/>
      <c r="AA79" s="2841" t="n"/>
      <c r="AB79" s="810" t="n"/>
      <c r="AC79" s="344" t="n"/>
      <c r="AD79" s="344" t="n"/>
      <c r="AE79" s="8648" t="n"/>
      <c r="AF79" s="658" t="n"/>
      <c r="AG79" s="658" t="n"/>
      <c r="AH79" s="658" t="n"/>
      <c r="AI79" s="658" t="n"/>
      <c r="AJ79" s="658" t="n"/>
      <c r="AK79" s="658" t="n"/>
      <c r="AL79" s="658" t="n"/>
      <c r="AM79" s="658" t="n"/>
      <c r="AN79" s="658" t="n"/>
    </row>
    <row r="80" ht="15" customFormat="1" customHeight="1" s="80">
      <c r="K80" s="7453" t="n"/>
      <c r="S80" s="344" t="n"/>
      <c r="T80" s="344" t="n"/>
      <c r="U80" s="341" t="n"/>
      <c r="V80" s="2842" t="inlineStr">
        <is>
          <t>Individuals</t>
        </is>
      </c>
      <c r="W80" s="344" t="n"/>
      <c r="X80" s="344" t="n"/>
      <c r="Y80" s="346" t="n"/>
      <c r="Z80" s="1073" t="n"/>
      <c r="AA80" s="2843" t="n"/>
      <c r="AB80" s="810" t="n"/>
      <c r="AC80" s="344" t="n"/>
      <c r="AD80" s="343" t="n"/>
      <c r="AE80" s="8648" t="n"/>
      <c r="AF80" s="658" t="n"/>
      <c r="AG80" s="658" t="n"/>
      <c r="AH80" s="658" t="n"/>
      <c r="AI80" s="658" t="n"/>
      <c r="AJ80" s="658" t="n"/>
      <c r="AK80" s="658" t="n"/>
      <c r="AL80" s="658" t="n"/>
      <c r="AM80" s="658" t="n"/>
      <c r="AN80" s="658" t="n"/>
    </row>
    <row r="81" ht="21.75" customFormat="1" customHeight="1" s="80">
      <c r="K81" s="7453" t="n"/>
      <c r="R81" s="11602" t="n"/>
      <c r="S81" s="344" t="n"/>
      <c r="T81" s="344" t="n"/>
      <c r="U81" s="2844" t="n"/>
      <c r="V81" s="2845" t="inlineStr">
        <is>
          <t>l  Form 1040 or 1040-SR filers: Include this amount on</t>
        </is>
      </c>
      <c r="W81" s="343" t="n"/>
      <c r="X81" s="343" t="n"/>
      <c r="Y81" s="346" t="n"/>
      <c r="Z81" s="2846" t="n"/>
      <c r="AA81" s="2847" t="n"/>
      <c r="AB81" s="2845" t="n"/>
      <c r="AC81" s="343" t="n"/>
      <c r="AD81" s="344" t="n"/>
      <c r="AE81" s="8648" t="n"/>
      <c r="AF81" s="658" t="n"/>
      <c r="AG81" s="658" t="n"/>
      <c r="AH81" s="658" t="n"/>
      <c r="AI81" s="658" t="n"/>
      <c r="AJ81" s="658" t="n"/>
      <c r="AK81" s="658" t="n"/>
      <c r="AL81" s="658" t="n"/>
      <c r="AM81" s="658" t="n"/>
      <c r="AN81" s="658" t="n"/>
    </row>
    <row r="82">
      <c r="R82" s="11602" t="n"/>
      <c r="S82" s="344" t="n"/>
      <c r="T82" s="344" t="n"/>
      <c r="U82" s="341" t="n"/>
      <c r="V82" s="7299" t="inlineStr">
        <is>
          <t>Schedule 2 (Form 1040), line 12, and see the instructions</t>
        </is>
      </c>
      <c r="W82" s="344" t="n"/>
      <c r="X82" s="344" t="n"/>
      <c r="Y82" s="346" t="n"/>
      <c r="Z82" s="1073" t="n"/>
      <c r="AA82" s="1217" t="n"/>
      <c r="AB82" s="344" t="n"/>
      <c r="AC82" s="344" t="n"/>
      <c r="AD82" s="344" t="n"/>
      <c r="AE82" s="8648" t="n"/>
    </row>
    <row r="83" ht="23.25" customHeight="1" s="7635">
      <c r="R83" s="11602" t="n"/>
      <c r="S83" s="344" t="n"/>
      <c r="T83" s="344" t="n"/>
      <c r="U83" s="341" t="n"/>
      <c r="V83" s="1680" t="inlineStr">
        <is>
          <t>there.</t>
        </is>
      </c>
      <c r="W83" s="344" t="n"/>
      <c r="X83" s="12699" t="n"/>
      <c r="Y83" s="346" t="n"/>
      <c r="Z83" s="12826" t="n"/>
      <c r="AA83" s="1217" t="n"/>
      <c r="AB83" s="344" t="n"/>
      <c r="AC83" s="344" t="n"/>
      <c r="AD83" s="344" t="n"/>
      <c r="AE83" s="8648" t="n"/>
    </row>
    <row r="84">
      <c r="R84" s="11602" t="n"/>
      <c r="S84" s="344" t="n"/>
      <c r="T84" s="344" t="n"/>
      <c r="U84" s="2844" t="n"/>
      <c r="V84" s="2845" t="inlineStr">
        <is>
          <t>l  Form 1040-NR filers: Include this amount on the line of your</t>
        </is>
      </c>
      <c r="W84" s="344" t="n"/>
      <c r="X84" s="344" t="n"/>
      <c r="Y84" s="346" t="n"/>
      <c r="Z84" s="1073" t="n"/>
      <c r="AA84" s="2847" t="n"/>
      <c r="AB84" s="2845" t="n"/>
      <c r="AC84" s="344" t="n"/>
      <c r="AD84" s="344" t="n"/>
      <c r="AE84" s="8648" t="n"/>
    </row>
    <row r="85">
      <c r="R85" s="11602" t="n"/>
      <c r="S85" s="344" t="n"/>
      <c r="T85" s="344" t="n"/>
      <c r="U85" s="341" t="n"/>
      <c r="V85" s="7299" t="inlineStr">
        <is>
          <t>U.S. residency statement corresponding to Schedule 2 (Form</t>
        </is>
      </c>
      <c r="W85" s="344" t="n"/>
      <c r="X85" s="344" t="n"/>
      <c r="Y85" s="346" t="n"/>
      <c r="Z85" s="1073" t="n"/>
      <c r="AA85" s="1217" t="n"/>
      <c r="AB85" s="344" t="n"/>
      <c r="AC85" s="344" t="n"/>
      <c r="AD85" s="344" t="n"/>
      <c r="AE85" s="8648" t="n"/>
    </row>
    <row r="86">
      <c r="R86" s="11602" t="n"/>
      <c r="S86" s="344" t="n"/>
      <c r="T86" s="344" t="n"/>
      <c r="U86" s="341" t="n"/>
      <c r="V86" s="7299" t="inlineStr">
        <is>
          <t>1040), line 12, and see the Instructions for Form 1040-NR</t>
        </is>
      </c>
      <c r="W86" s="344" t="n"/>
      <c r="X86" s="12699" t="n"/>
      <c r="Y86" s="346" t="n"/>
      <c r="Z86" s="12826" t="n"/>
      <c r="AA86" s="1217" t="n"/>
      <c r="AB86" s="344" t="n"/>
      <c r="AC86" s="344" t="n"/>
      <c r="AD86" s="344" t="n"/>
      <c r="AE86" s="8648" t="n"/>
    </row>
    <row r="87">
      <c r="R87" s="11602" t="n"/>
      <c r="S87" s="344" t="n"/>
      <c r="T87" s="344" t="n"/>
      <c r="U87" s="341" t="n"/>
      <c r="V87" s="7299" t="inlineStr">
        <is>
          <t>for the amount to report on your tax return.</t>
        </is>
      </c>
      <c r="W87" s="344" t="n"/>
      <c r="X87" s="344" t="n"/>
      <c r="Y87" s="346" t="n"/>
      <c r="Z87" s="1073" t="n"/>
      <c r="AA87" s="11602" t="n"/>
      <c r="AB87" s="344" t="n"/>
      <c r="AC87" s="344" t="n"/>
      <c r="AD87" s="344" t="n"/>
      <c r="AE87" s="8648" t="n"/>
    </row>
    <row r="88" ht="13.5" customHeight="1" s="7635" thickBot="1">
      <c r="R88" s="11602" t="n"/>
      <c r="S88" s="344" t="n"/>
      <c r="T88" s="344" t="n"/>
      <c r="U88" s="347" t="n"/>
      <c r="V88" s="498" t="n"/>
      <c r="W88" s="498" t="n"/>
      <c r="X88" s="498" t="n"/>
      <c r="Y88" s="499" t="n"/>
      <c r="Z88" s="344" t="n"/>
      <c r="AA88" s="344" t="n"/>
      <c r="AB88" s="344" t="n"/>
      <c r="AC88" s="344" t="n"/>
      <c r="AD88" s="344" t="n"/>
      <c r="AE88" s="8648" t="n"/>
    </row>
    <row r="89" ht="13.5" customHeight="1" s="7635" thickBot="1">
      <c r="R89" s="11602" t="n"/>
      <c r="S89" s="344" t="n"/>
      <c r="T89" s="344" t="n"/>
      <c r="U89" s="11602" t="n"/>
      <c r="V89" s="344" t="n"/>
      <c r="W89" s="344" t="n"/>
      <c r="X89" s="344" t="n"/>
      <c r="Y89" s="344" t="n"/>
      <c r="Z89" s="344" t="n"/>
      <c r="AA89" s="344" t="n"/>
      <c r="AB89" s="344" t="n"/>
      <c r="AC89" s="344" t="n"/>
      <c r="AD89" s="344" t="n"/>
    </row>
    <row r="90" ht="15" customHeight="1" s="7635">
      <c r="S90" s="344" t="n"/>
      <c r="T90" s="344" t="n"/>
      <c r="U90" s="2849" t="n"/>
      <c r="V90" s="2850" t="inlineStr">
        <is>
          <t>Line 21—Net Investment Income Tax for</t>
        </is>
      </c>
      <c r="W90" s="339" t="n"/>
      <c r="X90" s="339" t="n"/>
      <c r="Y90" s="340" t="n"/>
      <c r="Z90" s="344" t="n"/>
      <c r="AA90" s="344" t="n"/>
      <c r="AB90" s="344" t="n"/>
      <c r="AC90" s="344" t="n"/>
      <c r="AD90" s="344" t="n"/>
    </row>
    <row r="91" ht="15" customHeight="1" s="7635">
      <c r="S91" s="8648" t="n"/>
      <c r="T91" s="344" t="n"/>
      <c r="U91" s="2851" t="n"/>
      <c r="V91" s="2842" t="inlineStr">
        <is>
          <t>Estates and Trusts</t>
        </is>
      </c>
      <c r="W91" s="344" t="n"/>
      <c r="X91" s="344" t="n"/>
      <c r="Y91" s="346" t="n"/>
      <c r="Z91" s="344" t="n"/>
      <c r="AA91" s="344" t="n"/>
      <c r="AB91" s="344" t="n"/>
      <c r="AC91" s="344" t="n"/>
      <c r="AD91" s="344" t="n"/>
    </row>
    <row r="92">
      <c r="S92" s="8648" t="n"/>
      <c r="T92" s="344" t="n"/>
      <c r="U92" s="2852" t="n"/>
      <c r="V92" s="2853" t="n"/>
      <c r="W92" s="344" t="n"/>
      <c r="X92" s="344" t="n"/>
      <c r="Y92" s="346" t="n"/>
      <c r="Z92" s="344" t="n"/>
      <c r="AA92" s="344" t="n"/>
      <c r="AB92" s="344" t="n"/>
      <c r="AC92" s="344" t="n"/>
      <c r="AD92" s="344" t="n"/>
    </row>
    <row r="93">
      <c r="S93" s="8648" t="n"/>
      <c r="T93" s="344" t="n"/>
      <c r="U93" s="2854" t="n"/>
      <c r="V93" s="2845" t="inlineStr">
        <is>
          <t>l  Form 1041 filers: Include this amount on Form 1041,</t>
        </is>
      </c>
      <c r="W93" s="343" t="n"/>
      <c r="X93" s="344" t="n"/>
      <c r="Y93" s="346" t="n"/>
      <c r="Z93" s="344" t="n"/>
      <c r="AA93" s="344" t="n"/>
      <c r="AB93" s="344" t="n"/>
      <c r="AC93" s="344" t="n"/>
      <c r="AD93" s="344" t="n"/>
    </row>
    <row r="94">
      <c r="T94" s="344" t="n"/>
      <c r="U94" s="2852" t="n"/>
      <c r="V94" s="7209" t="inlineStr">
        <is>
          <t>Schedule G, line 5, and see the instructions there.</t>
        </is>
      </c>
      <c r="W94" s="344" t="n"/>
      <c r="X94" s="344" t="n"/>
      <c r="Y94" s="346" t="n"/>
      <c r="Z94" s="344" t="n"/>
      <c r="AA94" s="344" t="n"/>
      <c r="AB94" s="344" t="n"/>
      <c r="AC94" s="344" t="n"/>
      <c r="AD94" s="344" t="n"/>
    </row>
    <row r="95">
      <c r="T95" s="344" t="n"/>
      <c r="U95" s="2852" t="n"/>
      <c r="V95" s="7209" t="n"/>
      <c r="W95" s="344" t="n"/>
      <c r="X95" s="344" t="n"/>
      <c r="Y95" s="346" t="n"/>
      <c r="Z95" s="344" t="n"/>
      <c r="AA95" s="344" t="n"/>
      <c r="AB95" s="344" t="n"/>
      <c r="AC95" s="344" t="n"/>
      <c r="AD95" s="344" t="n"/>
    </row>
    <row r="96">
      <c r="T96" s="344" t="n"/>
      <c r="U96" s="2854" t="n"/>
      <c r="V96" s="2845" t="inlineStr">
        <is>
          <t>l  Form 1041-QFT filers: Include this amount on</t>
        </is>
      </c>
      <c r="W96" s="344" t="n"/>
      <c r="X96" s="344" t="n"/>
      <c r="Y96" s="346" t="n"/>
      <c r="Z96" s="344" t="n"/>
      <c r="AA96" s="344" t="n"/>
      <c r="AB96" s="344" t="n"/>
      <c r="AC96" s="344" t="n"/>
      <c r="AD96" s="344" t="n"/>
    </row>
    <row r="97">
      <c r="T97" s="344" t="n"/>
      <c r="U97" s="2852" t="n"/>
      <c r="V97" s="7209" t="inlineStr">
        <is>
          <t>on Form 1041-QFT, line 15, and see the instructions there.</t>
        </is>
      </c>
      <c r="W97" s="344" t="n"/>
      <c r="X97" s="344" t="n"/>
      <c r="Y97" s="346" t="n"/>
      <c r="Z97" s="344" t="n"/>
      <c r="AA97" s="344" t="n"/>
      <c r="AB97" s="344" t="n"/>
      <c r="AC97" s="344" t="n"/>
      <c r="AD97" s="344" t="n"/>
    </row>
    <row r="98" ht="13.5" customHeight="1" s="7635" thickBot="1">
      <c r="T98" s="8648" t="n"/>
      <c r="U98" s="1197" t="n"/>
      <c r="V98" s="498" t="n"/>
      <c r="W98" s="498" t="n"/>
      <c r="X98" s="498" t="n"/>
      <c r="Y98" s="499" t="n"/>
      <c r="Z98" s="344" t="n"/>
      <c r="AA98" s="344" t="n"/>
      <c r="AB98" s="344" t="n"/>
      <c r="AC98" s="344" t="n"/>
      <c r="AD98" s="344" t="n"/>
    </row>
    <row r="99">
      <c r="T99" s="8648" t="n"/>
      <c r="U99" s="11602" t="n"/>
      <c r="V99" s="344" t="n"/>
      <c r="W99" s="344" t="n"/>
      <c r="X99" s="344" t="n"/>
      <c r="Y99" s="344" t="n"/>
      <c r="Z99" s="344" t="n"/>
      <c r="AA99" s="344" t="n"/>
      <c r="AB99" s="344" t="n"/>
      <c r="AC99" s="344" t="n"/>
      <c r="AD99" s="344" t="n"/>
    </row>
    <row r="100">
      <c r="T100" s="8648" t="n"/>
      <c r="V100" s="8648" t="n"/>
      <c r="W100" s="8648" t="n"/>
      <c r="X100" s="8648" t="n"/>
      <c r="Y100" s="8648" t="n"/>
      <c r="Z100" s="8648" t="n"/>
      <c r="AA100" s="8648" t="n"/>
      <c r="AB100" s="8648" t="n"/>
      <c r="AC100" s="8648" t="n"/>
      <c r="AD100" s="8648" t="n"/>
    </row>
    <row r="101">
      <c r="V101" s="8648" t="n"/>
      <c r="W101" s="8648" t="n"/>
      <c r="X101" s="8648" t="n"/>
      <c r="Y101" s="8648" t="n"/>
      <c r="Z101" s="8648" t="n"/>
      <c r="AA101" s="8648" t="n"/>
      <c r="AB101" s="8648" t="n"/>
      <c r="AC101" s="8648" t="n"/>
      <c r="AD101" s="8648" t="n"/>
    </row>
    <row r="102">
      <c r="V102" s="8648" t="n"/>
      <c r="W102" s="8648" t="n"/>
      <c r="X102" s="8648" t="n"/>
    </row>
  </sheetData>
  <sheetProtection selectLockedCells="0" selectUnlockedCells="0" algorithmName="SHA-512" sheet="1" objects="1" insertRows="1" insertHyperlinks="1" autoFilter="1" scenarios="1" formatColumns="0" deleteColumns="1" insertColumns="1" pivotTables="1" deleteRows="1" formatCells="0" saltValue="+y84DjAt1k/3NMukcC+Msw==" formatRows="0" sort="1" spinCount="100000" hashValue="Ln942oXs/rgUT7S27XEyymlp42IbChsqMCg1UJzl8cV5PqBOqjoyHDr/Ea1kITt7KCrp8clpYZtllBQbS15N1g=="/>
  <mergeCells count="24">
    <mergeCell ref="C65:H65"/>
    <mergeCell ref="M6:N7"/>
    <mergeCell ref="B8:D8"/>
    <mergeCell ref="M9:N9"/>
    <mergeCell ref="M5:N5"/>
    <mergeCell ref="AB40:AC56"/>
    <mergeCell ref="E8:L8"/>
    <mergeCell ref="L10:N10"/>
    <mergeCell ref="B9:D9"/>
    <mergeCell ref="X53:Y53"/>
    <mergeCell ref="C39:N39"/>
    <mergeCell ref="B6:B7"/>
    <mergeCell ref="C67:H67"/>
    <mergeCell ref="E9:L9"/>
    <mergeCell ref="C32:N32"/>
    <mergeCell ref="P48:P49"/>
    <mergeCell ref="L11:N11"/>
    <mergeCell ref="C6:D7"/>
    <mergeCell ref="B11:K11"/>
    <mergeCell ref="M8:N8"/>
    <mergeCell ref="C12:E13"/>
    <mergeCell ref="E7:L7"/>
    <mergeCell ref="V20:AC38"/>
    <mergeCell ref="M4:N4"/>
  </mergeCells>
  <conditionalFormatting sqref="B2:B3">
    <cfRule type="expression" priority="25" dxfId="0">
      <formula>AND(N45&lt;&gt;"---",$Q$2)</formula>
    </cfRule>
  </conditionalFormatting>
  <conditionalFormatting sqref="B11:N11 AA81:AB81 AA84:AB84">
    <cfRule type="expression" priority="126" dxfId="6">
      <formula>IF(NoColor,1,0)</formula>
    </cfRule>
  </conditionalFormatting>
  <conditionalFormatting sqref="E54">
    <cfRule type="expression" priority="32" dxfId="158">
      <formula>($L$54&lt;0)</formula>
    </cfRule>
  </conditionalFormatting>
  <conditionalFormatting sqref="F12:F14">
    <cfRule type="expression" priority="37" dxfId="6">
      <formula>IF(NoColor,1,0)</formula>
    </cfRule>
  </conditionalFormatting>
  <conditionalFormatting sqref="L19">
    <cfRule type="expression" priority="125" dxfId="6">
      <formula>IF(NoColor,1,0)</formula>
    </cfRule>
  </conditionalFormatting>
  <conditionalFormatting sqref="L21">
    <cfRule type="expression" priority="98" dxfId="6">
      <formula>IF(NoColor,1,0)</formula>
    </cfRule>
  </conditionalFormatting>
  <conditionalFormatting sqref="L23">
    <cfRule type="expression" priority="40" dxfId="6">
      <formula>IF(NoColor,1,0)</formula>
    </cfRule>
  </conditionalFormatting>
  <conditionalFormatting sqref="L25">
    <cfRule type="expression" priority="69" dxfId="6">
      <formula>IF(NoColor,1,0)</formula>
    </cfRule>
  </conditionalFormatting>
  <conditionalFormatting sqref="L27">
    <cfRule type="expression" priority="68" dxfId="6">
      <formula>IF(NoColor,1,0)</formula>
    </cfRule>
  </conditionalFormatting>
  <conditionalFormatting sqref="L33:L35">
    <cfRule type="expression" priority="26" dxfId="6">
      <formula>IF(NoColor,1,0)</formula>
    </cfRule>
  </conditionalFormatting>
  <conditionalFormatting sqref="L43:L45">
    <cfRule type="expression" priority="44" dxfId="6">
      <formula>IF(NoColor,1,0)</formula>
    </cfRule>
  </conditionalFormatting>
  <conditionalFormatting sqref="L50">
    <cfRule type="expression" priority="61" dxfId="6">
      <formula>IF(NoColor,1,0)</formula>
    </cfRule>
  </conditionalFormatting>
  <conditionalFormatting sqref="L52">
    <cfRule type="expression" priority="60" dxfId="6">
      <formula>IF(NoColor,1,0)</formula>
    </cfRule>
  </conditionalFormatting>
  <conditionalFormatting sqref="L54:L57">
    <cfRule type="expression" priority="57" dxfId="6">
      <formula>IF(NoColor,1,0)</formula>
    </cfRule>
  </conditionalFormatting>
  <conditionalFormatting sqref="M3">
    <cfRule type="expression" priority="24" dxfId="146">
      <formula>NOT(F8960_Applicable)</formula>
    </cfRule>
  </conditionalFormatting>
  <conditionalFormatting sqref="N15:N17">
    <cfRule type="expression" priority="35" dxfId="6">
      <formula>IF(NoColor,1,0)</formula>
    </cfRule>
  </conditionalFormatting>
  <conditionalFormatting sqref="N22">
    <cfRule type="expression" priority="97" dxfId="6">
      <formula>IF(NoColor,1,0)</formula>
    </cfRule>
  </conditionalFormatting>
  <conditionalFormatting sqref="N28:N31">
    <cfRule type="expression" priority="66" dxfId="6">
      <formula>IF(NoColor,1,0)</formula>
    </cfRule>
  </conditionalFormatting>
  <conditionalFormatting sqref="N36:N38">
    <cfRule type="expression" priority="62" dxfId="6">
      <formula>IF(NoColor,1,0)</formula>
    </cfRule>
  </conditionalFormatting>
  <conditionalFormatting sqref="N41:N46">
    <cfRule type="expression" priority="46" dxfId="6">
      <formula>IF(NoColor,1,0)</formula>
    </cfRule>
  </conditionalFormatting>
  <conditionalFormatting sqref="N48:N49">
    <cfRule type="expression" priority="77" dxfId="6">
      <formula>IF(NoColor,1,0)</formula>
    </cfRule>
  </conditionalFormatting>
  <conditionalFormatting sqref="N58">
    <cfRule type="expression" priority="102" dxfId="6">
      <formula>IF(NoColor,1,0)</formula>
    </cfRule>
  </conditionalFormatting>
  <conditionalFormatting sqref="N60">
    <cfRule type="expression" priority="103" dxfId="6">
      <formula>IF(NoColor,1,0)</formula>
    </cfRule>
  </conditionalFormatting>
  <conditionalFormatting sqref="O21">
    <cfRule type="expression" priority="34" dxfId="135">
      <formula>IF($L$21&lt;&gt;"",TRUE,FALSE)</formula>
    </cfRule>
  </conditionalFormatting>
  <conditionalFormatting sqref="Q21">
    <cfRule type="expression" priority="33" dxfId="6">
      <formula>IF($L$21&lt;&gt;"",TRUE,FALSE)</formula>
    </cfRule>
  </conditionalFormatting>
  <conditionalFormatting sqref="S46:S50">
    <cfRule type="expression" priority="13" dxfId="6">
      <formula>AND(F8960_Tax&lt;&gt;"",F8960_Tax&gt;0)</formula>
    </cfRule>
  </conditionalFormatting>
  <conditionalFormatting sqref="U9:V9">
    <cfRule type="expression" priority="19" dxfId="34">
      <formula>AND(File_Marr_Sep&lt;&gt;"",F8960_Applicable)</formula>
    </cfRule>
  </conditionalFormatting>
  <conditionalFormatting sqref="U10:V10">
    <cfRule type="expression" priority="18" dxfId="34">
      <formula>AND(OR(File_Single&lt;&gt;"",File_Head&lt;&gt;""),F8960_Applicable)</formula>
    </cfRule>
  </conditionalFormatting>
  <conditionalFormatting sqref="U81:V81">
    <cfRule type="expression" priority="28" dxfId="6">
      <formula>IF(NoColor,1,0)</formula>
    </cfRule>
  </conditionalFormatting>
  <conditionalFormatting sqref="U84:V84">
    <cfRule type="expression" priority="27" dxfId="6">
      <formula>IF(NoColor,1,0)</formula>
    </cfRule>
  </conditionalFormatting>
  <conditionalFormatting sqref="U93:V93">
    <cfRule type="expression" priority="9" dxfId="6">
      <formula>IF(NoColor,1,0)</formula>
    </cfRule>
  </conditionalFormatting>
  <conditionalFormatting sqref="U96:V96">
    <cfRule type="expression" priority="8" dxfId="6">
      <formula>IF(NoColor,1,0)</formula>
    </cfRule>
  </conditionalFormatting>
  <conditionalFormatting sqref="U8:W8">
    <cfRule type="expression" priority="20" dxfId="34">
      <formula>AND(OR(File_Marr_Joint&lt;&gt;"",File_Qual_Widow&lt;&gt;""),F8960_Applicable)</formula>
    </cfRule>
  </conditionalFormatting>
  <conditionalFormatting sqref="Z41">
    <cfRule type="expression" priority="5" dxfId="121">
      <formula>NoColor</formula>
    </cfRule>
  </conditionalFormatting>
  <conditionalFormatting sqref="Z44">
    <cfRule type="expression" priority="4" dxfId="121">
      <formula>NoColor</formula>
    </cfRule>
  </conditionalFormatting>
  <conditionalFormatting sqref="Z47">
    <cfRule type="expression" priority="3" dxfId="121">
      <formula>NoColor</formula>
    </cfRule>
  </conditionalFormatting>
  <conditionalFormatting sqref="Z49">
    <cfRule type="expression" priority="1" dxfId="121">
      <formula>NoColor</formula>
    </cfRule>
  </conditionalFormatting>
  <conditionalFormatting sqref="Z53">
    <cfRule type="expression" priority="2" dxfId="121">
      <formula>NoColor</formula>
    </cfRule>
  </conditionalFormatting>
  <conditionalFormatting sqref="AA67">
    <cfRule type="expression" priority="52" dxfId="6">
      <formula>IF(NoColor,1,0)</formula>
    </cfRule>
  </conditionalFormatting>
  <conditionalFormatting sqref="AA70">
    <cfRule type="expression" priority="41" dxfId="6">
      <formula>IF(NoColor,1,0)</formula>
    </cfRule>
  </conditionalFormatting>
  <conditionalFormatting sqref="AC63">
    <cfRule type="expression" priority="48" dxfId="6">
      <formula>IF(NoColor,1,0)</formula>
    </cfRule>
  </conditionalFormatting>
  <conditionalFormatting sqref="AC71">
    <cfRule type="expression" priority="54" dxfId="6">
      <formula>IF(NoColor,1,0)</formula>
    </cfRule>
  </conditionalFormatting>
  <conditionalFormatting sqref="AC73">
    <cfRule type="expression" priority="47" dxfId="6">
      <formula>IF(NoColor,1,0)</formula>
    </cfRule>
  </conditionalFormatting>
  <conditionalFormatting sqref="AC76">
    <cfRule type="expression" priority="49" dxfId="6">
      <formula>IF(NoColor,1,0)</formula>
    </cfRule>
  </conditionalFormatting>
  <hyperlinks>
    <hyperlink xmlns:r="http://schemas.openxmlformats.org/officeDocument/2006/relationships" ref="C65" display="Download Form 8960" r:id="rId1"/>
    <hyperlink xmlns:r="http://schemas.openxmlformats.org/officeDocument/2006/relationships" ref="C67" display="Download Form 8960 Instructions" r:id="rId2"/>
  </hyperlinks>
  <pageMargins left="0.75" right="0.25" top="0.36" bottom="0.29" header="0.36" footer="0.21"/>
  <pageSetup orientation="portrait" scale="89" fitToHeight="0"/>
  <rowBreaks count="1" manualBreakCount="1">
    <brk id="61" min="1" max="12" man="1"/>
  </rowBreaks>
  <drawing xmlns:r="http://schemas.openxmlformats.org/officeDocument/2006/relationships" r:id="rId3"/>
</worksheet>
</file>

<file path=xl/worksheets/sheet62.xml><?xml version="1.0" encoding="utf-8"?>
<worksheet xmlns="http://schemas.openxmlformats.org/spreadsheetml/2006/main">
  <sheetPr>
    <outlinePr summaryBelow="1" summaryRight="1"/>
    <pageSetUpPr fitToPage="1"/>
  </sheetPr>
  <dimension ref="A1:BW325"/>
  <sheetViews>
    <sheetView zoomScaleNormal="100" zoomScaleSheetLayoutView="100" workbookViewId="0">
      <selection activeCell="A1" sqref="A1"/>
    </sheetView>
  </sheetViews>
  <sheetFormatPr baseColWidth="8" defaultColWidth="9.140625" defaultRowHeight="12.75"/>
  <cols>
    <col width="3.7109375" customWidth="1" style="7635" min="1" max="1"/>
    <col width="6.28515625" customWidth="1" style="7635" min="2" max="2"/>
    <col width="3.140625" customWidth="1" style="7635" min="3" max="3"/>
    <col width="3.7109375" customWidth="1" style="7635" min="4" max="8"/>
    <col width="4.7109375" customWidth="1" style="7635" min="9" max="9"/>
    <col width="3.7109375" customWidth="1" style="7635" min="10" max="10"/>
    <col width="4.85546875" customWidth="1" style="7635" min="11" max="11"/>
    <col width="3.7109375" customWidth="1" style="7635" min="12" max="12"/>
    <col width="4.7109375" customWidth="1" style="7635" min="13" max="13"/>
    <col width="4.42578125" customWidth="1" style="7635" min="14" max="14"/>
    <col width="3.7109375" customWidth="1" style="7635" min="15" max="17"/>
    <col width="4.7109375" customWidth="1" style="7635" min="18" max="18"/>
    <col width="3.7109375" customWidth="1" style="7635" min="19" max="19"/>
    <col width="4.42578125" customWidth="1" style="7635" min="20" max="20"/>
    <col width="3.7109375" customWidth="1" style="7635" min="21" max="23"/>
    <col width="4.7109375" customWidth="1" style="7635" min="24" max="24"/>
    <col width="3.7109375" customWidth="1" style="7635" min="25" max="27"/>
    <col width="4.42578125" customWidth="1" style="7635" min="28" max="28"/>
    <col width="4.7109375" customWidth="1" style="7635" min="29" max="29"/>
    <col width="3.7109375" customWidth="1" style="7635" min="30" max="32"/>
    <col width="4.42578125" customWidth="1" style="7635" min="33" max="33"/>
    <col width="4.140625" customWidth="1" style="7635" min="34" max="34"/>
    <col width="2.28515625" customWidth="1" style="7635" min="35" max="35"/>
    <col width="3.7109375" customWidth="1" style="7635" min="36" max="36"/>
    <col width="4.42578125" customWidth="1" style="7635" min="38" max="38"/>
    <col width="12.5703125" customWidth="1" style="7635" min="39" max="39"/>
    <col width="2" customWidth="1" style="7635" min="40" max="40"/>
    <col width="13" customWidth="1" style="7635" min="45" max="45"/>
    <col width="8.28515625" customWidth="1" style="7635" min="46" max="46"/>
    <col width="9.85546875" customWidth="1" style="7635" min="47" max="48"/>
    <col width="3.28515625" customWidth="1" style="7635" min="49" max="49"/>
    <col width="9.140625" customWidth="1" style="7635" min="50" max="50"/>
    <col width="2.85546875" customWidth="1" style="7635" min="51" max="51"/>
    <col width="3.7109375" customWidth="1" style="7635" min="52" max="52"/>
    <col width="10.140625" customWidth="1" style="7635" min="54" max="56"/>
    <col width="13" customWidth="1" style="7635" min="57" max="57"/>
    <col width="5.140625" customWidth="1" style="7635" min="58" max="58"/>
    <col width="9.85546875" customWidth="1" style="7635" min="59" max="60"/>
    <col width="3.42578125" customWidth="1" style="7635" min="61" max="61"/>
    <col width="5.140625" customWidth="1" style="7635" min="64" max="64"/>
    <col width="13.7109375" customWidth="1" style="11704" min="65" max="65"/>
    <col width="10.7109375" customWidth="1" style="658" min="66" max="73"/>
  </cols>
  <sheetData>
    <row r="1" ht="24" customHeight="1" s="7635">
      <c r="A1" s="2013" t="n"/>
      <c r="B1" s="2013" t="n"/>
      <c r="C1" s="3813" t="inlineStr">
        <is>
          <t>Please check one box to indicate where you live:</t>
        </is>
      </c>
      <c r="D1" s="2013" t="n"/>
      <c r="E1" s="2013" t="n"/>
      <c r="F1" s="2013" t="n"/>
      <c r="G1" s="2013" t="n"/>
      <c r="H1" s="2013" t="n"/>
      <c r="I1" s="2013" t="n"/>
      <c r="J1" s="2013" t="n"/>
      <c r="K1" s="2013" t="n"/>
      <c r="L1" s="2013" t="n"/>
      <c r="M1" s="2013" t="n"/>
      <c r="N1" s="2013" t="n"/>
      <c r="O1" s="2013" t="n"/>
      <c r="P1" s="2013" t="n"/>
      <c r="Q1" s="2013" t="n"/>
      <c r="R1" s="2013" t="n"/>
      <c r="S1" s="3814" t="n"/>
      <c r="T1" s="2013" t="n"/>
      <c r="U1" s="2013" t="n"/>
      <c r="V1" s="2013" t="n"/>
      <c r="W1" s="2013" t="n"/>
      <c r="X1" s="2013" t="n"/>
      <c r="Y1" s="2013" t="n"/>
      <c r="Z1" s="2013" t="n"/>
      <c r="AA1" s="2013" t="n"/>
      <c r="AB1" s="2013" t="n"/>
      <c r="AC1" s="2013" t="n"/>
      <c r="AD1" s="2013" t="n"/>
      <c r="AE1" s="2013" t="n"/>
      <c r="AF1" s="2013" t="n"/>
      <c r="AG1" s="2013" t="n"/>
      <c r="AH1" s="2013" t="n"/>
      <c r="AI1" s="2013" t="n"/>
      <c r="AJ1" s="2013" t="n"/>
      <c r="AK1" s="2013" t="n"/>
      <c r="AL1" s="11602" t="n"/>
      <c r="AM1" s="11602" t="n"/>
      <c r="AN1" s="11602" t="n"/>
      <c r="AO1" s="11602" t="n"/>
      <c r="AP1" s="11602" t="n"/>
      <c r="AQ1" s="11602" t="n"/>
      <c r="AR1" s="11602" t="n"/>
      <c r="AS1" s="11602" t="n"/>
      <c r="AT1" s="11602" t="n"/>
      <c r="AU1" s="11602" t="n"/>
      <c r="AV1" s="11602" t="n"/>
      <c r="AW1" s="11602" t="n"/>
      <c r="AX1" s="11602" t="n"/>
      <c r="AY1" s="11602" t="n"/>
      <c r="AZ1" s="11602" t="n"/>
      <c r="BA1" s="11602" t="n"/>
      <c r="BB1" s="11602" t="n"/>
      <c r="BC1" s="7795" t="n"/>
      <c r="BD1" s="11602" t="n"/>
      <c r="BE1" s="11602" t="n"/>
      <c r="BF1" s="11602" t="n"/>
      <c r="BG1" s="11602" t="n"/>
      <c r="BH1" s="11602" t="n"/>
      <c r="BI1" s="11602" t="n"/>
      <c r="BJ1" s="11602" t="n"/>
      <c r="BK1" s="11602" t="n"/>
      <c r="BL1" s="11602" t="n"/>
      <c r="BM1" s="11697" t="inlineStr">
        <is>
          <t>Notes</t>
        </is>
      </c>
    </row>
    <row r="2" ht="13.5" customHeight="1" s="7635">
      <c r="A2" s="2013" t="n"/>
      <c r="B2" s="2013" t="n"/>
      <c r="C2" s="384">
        <f>IF(AND(NOT(Alaska),NOT(Hawaii)),"X","")</f>
        <v/>
      </c>
      <c r="D2" s="2551" t="inlineStr">
        <is>
          <t>Contiguous States or D.C.</t>
        </is>
      </c>
      <c r="E2" s="2013" t="n"/>
      <c r="F2" s="2013" t="n"/>
      <c r="G2" s="2013" t="n"/>
      <c r="H2" s="2013" t="n"/>
      <c r="I2" s="2013" t="n"/>
      <c r="J2" s="2013" t="n"/>
      <c r="K2" s="2013" t="n"/>
      <c r="L2" s="2013" t="n"/>
      <c r="M2" s="384">
        <f>IF(Alaska,"X","")</f>
        <v/>
      </c>
      <c r="N2" s="2551" t="inlineStr">
        <is>
          <t>Alaska</t>
        </is>
      </c>
      <c r="O2" s="2013" t="n"/>
      <c r="P2" s="2013" t="n"/>
      <c r="Q2" s="2013" t="n"/>
      <c r="R2" s="2013" t="n"/>
      <c r="S2" s="3814">
        <f>IF(AL2&lt;1,"Check one.",IF(AL2&gt;1,"Check ONLY ONE.",""))</f>
        <v/>
      </c>
      <c r="T2" s="2013" t="n"/>
      <c r="U2" s="2013" t="n"/>
      <c r="V2" s="2013" t="n"/>
      <c r="W2" s="384">
        <f>IF(Hawaii,"X","")</f>
        <v/>
      </c>
      <c r="X2" s="2551" t="inlineStr">
        <is>
          <t>Hawaii</t>
        </is>
      </c>
      <c r="Y2" s="2013" t="n"/>
      <c r="Z2" s="2013" t="n"/>
      <c r="AA2" s="2013" t="n"/>
      <c r="AB2" s="2013" t="n"/>
      <c r="AC2" s="2013" t="n"/>
      <c r="AD2" s="2013" t="n"/>
      <c r="AE2" s="2013" t="n"/>
      <c r="AF2" s="2013" t="n"/>
      <c r="AG2" s="2013" t="n"/>
      <c r="AH2" s="2013" t="n"/>
      <c r="AI2" s="2013" t="n"/>
      <c r="AJ2" s="2013" t="n"/>
      <c r="AK2" s="2013" t="n"/>
      <c r="AL2" s="9239">
        <f>SUM(AM2,AO2,AP2)</f>
        <v/>
      </c>
      <c r="AM2" s="512">
        <f>IF(C2&lt;&gt;"",1,0)</f>
        <v/>
      </c>
      <c r="AN2" s="512" t="n"/>
      <c r="AO2" s="512">
        <f>IF(M2&lt;&gt;"",1,0)</f>
        <v/>
      </c>
      <c r="AP2" s="512">
        <f>IF(W2&lt;&gt;"",1,0)</f>
        <v/>
      </c>
      <c r="AQ2" s="11602" t="n"/>
      <c r="AR2" s="11602" t="n"/>
      <c r="AS2" s="12827" t="inlineStr">
        <is>
          <t>Married filing separately. If you do not qualify for relief from filing a joint return, you cannot take the PTC on a married filing separately return. You are not an applicable taxpayer and must repay some or all APTC. Complete lines 1 through 5 to figure your separate household income as a percentage of the Federal poverty line. Skip lines 6 through 8b and complete lines 9 and 10 (and Part 4, if applicable). When completing line 11 or lines 12 through 23, complete only column F. Then complete the rest of the form to determine how much you must repay.</t>
        </is>
      </c>
      <c r="AT2" s="7839" t="n"/>
      <c r="AU2" s="7839" t="n"/>
      <c r="AV2" s="7839" t="n"/>
      <c r="AW2" s="7839" t="n"/>
      <c r="AX2" s="10091" t="n"/>
      <c r="AY2" s="404" t="n"/>
      <c r="AZ2" s="11602" t="n"/>
      <c r="BA2" s="11602" t="n"/>
      <c r="BB2" s="344" t="n"/>
      <c r="BC2" s="7795" t="n"/>
      <c r="BD2" s="7795" t="n"/>
      <c r="BE2" s="7795" t="n"/>
      <c r="BF2" s="11602" t="n"/>
      <c r="BG2" s="11602" t="n"/>
      <c r="BH2" s="11602" t="n"/>
      <c r="BI2" s="11602" t="n"/>
      <c r="BJ2" s="11602" t="n"/>
      <c r="BK2" s="11602" t="n"/>
      <c r="BL2" s="11602" t="n"/>
      <c r="BM2" s="12828" t="inlineStr">
        <is>
          <t>Date</t>
        </is>
      </c>
    </row>
    <row r="3" ht="24" customHeight="1" s="7635">
      <c r="A3" s="2013" t="n"/>
      <c r="B3" s="2013" t="n"/>
      <c r="C3" s="2013" t="n"/>
      <c r="D3" s="2013" t="n"/>
      <c r="E3" s="2013" t="n"/>
      <c r="F3" s="2013" t="n"/>
      <c r="G3" s="2013" t="n"/>
      <c r="H3" s="2013" t="n"/>
      <c r="I3" s="2013" t="n"/>
      <c r="J3" s="2013" t="n"/>
      <c r="K3" s="2013" t="n"/>
      <c r="L3" s="2013" t="n"/>
      <c r="M3" s="2013" t="n"/>
      <c r="N3" s="2013" t="n"/>
      <c r="O3" s="2013" t="n"/>
      <c r="P3" s="2013" t="n"/>
      <c r="Q3" s="2013" t="n"/>
      <c r="R3" s="2013" t="n"/>
      <c r="S3" s="2013" t="n"/>
      <c r="T3" s="2013" t="n"/>
      <c r="U3" s="2013" t="n"/>
      <c r="V3" s="2013" t="n"/>
      <c r="W3" s="2013" t="n"/>
      <c r="X3" s="2013" t="n"/>
      <c r="Y3" s="2013" t="n"/>
      <c r="Z3" s="2013" t="n"/>
      <c r="AA3" s="2013" t="n"/>
      <c r="AB3" s="2013" t="n"/>
      <c r="AC3" s="11613">
        <f>IF('Table of Contents'!A67="D","DRAFT","")</f>
        <v/>
      </c>
      <c r="AK3" s="2013" t="n"/>
      <c r="AL3" s="11602" t="n"/>
      <c r="AM3" s="11602" t="n"/>
      <c r="AN3" s="11602" t="n"/>
      <c r="AO3" s="11602" t="n"/>
      <c r="AP3" s="11602" t="n"/>
      <c r="AQ3" s="11602" t="n"/>
      <c r="AR3" s="11602" t="n"/>
      <c r="AS3" s="4772" t="n"/>
      <c r="AX3" s="7636" t="n"/>
      <c r="AY3" s="404" t="n"/>
      <c r="AZ3" s="11602" t="n"/>
      <c r="BA3" s="11602" t="n"/>
      <c r="BB3" s="11602" t="n"/>
      <c r="BC3" s="11602" t="n"/>
      <c r="BD3" s="11602" t="n"/>
      <c r="BE3" s="11602" t="n"/>
      <c r="BF3" s="11602" t="n"/>
      <c r="BG3" s="11602" t="n"/>
      <c r="BH3" s="11602" t="n"/>
      <c r="BI3" s="11602" t="n"/>
      <c r="BJ3" s="344" t="n"/>
      <c r="BK3" s="344" t="n"/>
      <c r="BL3" s="11602" t="n"/>
    </row>
    <row r="4" ht="18" customHeight="1" s="7635">
      <c r="A4" s="2013" t="n"/>
      <c r="B4" s="11602" t="n"/>
      <c r="C4" s="11602" t="n"/>
      <c r="D4" s="9882" t="inlineStr">
        <is>
          <t>8962</t>
        </is>
      </c>
      <c r="H4" s="379" t="n"/>
      <c r="I4" s="2741" t="n"/>
      <c r="J4" s="11602" t="n"/>
      <c r="K4" s="11602" t="n"/>
      <c r="L4" s="11602" t="n"/>
      <c r="M4" s="11602" t="n"/>
      <c r="N4" s="11602" t="n"/>
      <c r="O4" s="11602" t="n"/>
      <c r="P4" s="11602" t="n"/>
      <c r="Q4" s="11602" t="n"/>
      <c r="R4" s="11602" t="n"/>
      <c r="S4" s="11602" t="n"/>
      <c r="T4" s="11602" t="n"/>
      <c r="U4" s="11602" t="n"/>
      <c r="V4" s="11602" t="n"/>
      <c r="W4" s="11602" t="n"/>
      <c r="X4" s="11602" t="n"/>
      <c r="Y4" s="11602" t="n"/>
      <c r="Z4" s="11602" t="n"/>
      <c r="AA4" s="11602" t="n"/>
      <c r="AB4" s="2910" t="n"/>
      <c r="AC4" s="11089">
        <f>IF(AND(AK4="",'Table of Contents'!A67="D"),"DRAFT","OMB No. 1545-0074")</f>
        <v/>
      </c>
      <c r="AD4" s="7637" t="n"/>
      <c r="AE4" s="7637" t="n"/>
      <c r="AF4" s="7637" t="n"/>
      <c r="AG4" s="7637" t="n"/>
      <c r="AH4" s="7637" t="n"/>
      <c r="AI4" s="7637" t="n"/>
      <c r="AJ4" s="7637" t="n"/>
      <c r="AK4" s="1796" t="n"/>
      <c r="AL4" s="11602" t="n"/>
      <c r="AM4" s="9794" t="inlineStr">
        <is>
          <t>Override</t>
        </is>
      </c>
      <c r="AN4" s="11602" t="n"/>
      <c r="AO4" s="11602" t="n"/>
      <c r="AP4" s="11602" t="n"/>
      <c r="AQ4" s="11602" t="n"/>
      <c r="AR4" s="11602" t="n"/>
      <c r="AS4" s="4772" t="n"/>
      <c r="AX4" s="7636" t="n"/>
      <c r="AY4" s="404" t="n"/>
      <c r="AZ4" s="11602" t="n"/>
      <c r="BA4" s="11602" t="n"/>
      <c r="BB4" s="11602" t="n"/>
      <c r="BC4" s="11602" t="n"/>
      <c r="BD4" s="11602" t="n"/>
      <c r="BE4" s="11602" t="n"/>
      <c r="BF4" s="11602" t="n"/>
      <c r="BG4" s="11602" t="n"/>
      <c r="BH4" s="11602" t="n"/>
      <c r="BI4" s="11602" t="n"/>
      <c r="BJ4" s="344" t="n"/>
      <c r="BK4" s="344" t="n"/>
      <c r="BL4" s="11602" t="n"/>
    </row>
    <row r="5" ht="24" customHeight="1" s="7635">
      <c r="A5" s="2013" t="n"/>
      <c r="B5" s="9886" t="inlineStr">
        <is>
          <t>Form</t>
        </is>
      </c>
      <c r="H5" s="379" t="n"/>
      <c r="I5" s="11993" t="inlineStr">
        <is>
          <t>Premium Tax Credit (PTC)</t>
        </is>
      </c>
      <c r="AB5" s="1066" t="n"/>
      <c r="AC5" s="9887">
        <f>TaxYear</f>
        <v/>
      </c>
      <c r="AD5" s="7839" t="n"/>
      <c r="AE5" s="7839" t="n"/>
      <c r="AF5" s="7839" t="n"/>
      <c r="AG5" s="7839" t="n"/>
      <c r="AH5" s="7839" t="n"/>
      <c r="AI5" s="7839" t="n"/>
      <c r="AJ5" s="7839" t="n"/>
      <c r="AK5" s="2013" t="n"/>
      <c r="AL5" s="11602" t="n"/>
      <c r="AM5" s="11568" t="inlineStr">
        <is>
          <t>Relief. Check this box if you are filing as married filing separately and you are a victim of domestic abuse or spousal abandonment (see Situation 2 under Married taxpayers). By checking this box, you are certifying that you qualify for relief from filing a joint return with your spouse.</t>
        </is>
      </c>
      <c r="AS5" s="4772" t="n"/>
      <c r="AX5" s="7636" t="n"/>
      <c r="AY5" s="404" t="n"/>
      <c r="AZ5" s="11602" t="n"/>
      <c r="BA5" s="11602" t="n"/>
      <c r="BB5" s="11602" t="n"/>
      <c r="BC5" s="11602" t="n"/>
      <c r="BD5" s="11602" t="n"/>
      <c r="BE5" s="11602" t="n"/>
      <c r="BF5" s="11602" t="n"/>
      <c r="BG5" s="11602" t="n"/>
      <c r="BH5" s="11602" t="n"/>
      <c r="BI5" s="11602" t="n"/>
      <c r="BJ5" s="344" t="n"/>
      <c r="BK5" s="344" t="n"/>
      <c r="BL5" s="11602" t="n"/>
    </row>
    <row r="6" ht="6.75" customHeight="1" s="7635">
      <c r="A6" s="2013" t="n"/>
      <c r="B6" s="11602" t="n"/>
      <c r="C6" s="11602" t="n"/>
      <c r="D6" s="11602" t="n"/>
      <c r="E6" s="11602" t="n"/>
      <c r="F6" s="11602" t="n"/>
      <c r="G6" s="11602" t="n"/>
      <c r="H6" s="379" t="n"/>
      <c r="I6" s="2911" t="n"/>
      <c r="J6" s="9238" t="n"/>
      <c r="K6" s="9238" t="n"/>
      <c r="L6" s="9238" t="n"/>
      <c r="M6" s="9238" t="n"/>
      <c r="N6" s="9238" t="n"/>
      <c r="O6" s="9238" t="n"/>
      <c r="P6" s="9238" t="n"/>
      <c r="Q6" s="9238" t="n"/>
      <c r="R6" s="9238" t="n"/>
      <c r="S6" s="9238" t="n"/>
      <c r="T6" s="9238" t="n"/>
      <c r="U6" s="9238" t="n"/>
      <c r="V6" s="9238" t="n"/>
      <c r="W6" s="9238" t="n"/>
      <c r="X6" s="9238" t="n"/>
      <c r="Y6" s="9238" t="n"/>
      <c r="Z6" s="9238" t="n"/>
      <c r="AA6" s="9238" t="n"/>
      <c r="AB6" s="2912" t="n"/>
      <c r="AC6" s="11741" t="n"/>
      <c r="AK6" s="2013" t="n"/>
      <c r="AL6" s="11602" t="n"/>
      <c r="AS6" s="4772" t="n"/>
      <c r="AX6" s="7636" t="n"/>
      <c r="AY6" s="404" t="n"/>
      <c r="AZ6" s="11602" t="n"/>
      <c r="BA6" s="11602" t="n"/>
      <c r="BB6" s="11602" t="n"/>
      <c r="BC6" s="11602" t="n"/>
      <c r="BD6" s="11602" t="n"/>
      <c r="BE6" s="11602" t="n"/>
      <c r="BF6" s="11602" t="n"/>
      <c r="BG6" s="11602" t="n"/>
      <c r="BH6" s="11602" t="n"/>
      <c r="BI6" s="11602" t="n"/>
      <c r="BJ6" s="344" t="n"/>
      <c r="BK6" s="344" t="n"/>
      <c r="BL6" s="11602" t="n"/>
    </row>
    <row r="7" ht="12.75" customHeight="1" s="7635">
      <c r="A7" s="2013" t="n"/>
      <c r="B7" s="11602" t="inlineStr">
        <is>
          <t>Department of the Treasury</t>
        </is>
      </c>
      <c r="C7" s="11602" t="n"/>
      <c r="D7" s="11602" t="n"/>
      <c r="E7" s="11602" t="n"/>
      <c r="F7" s="11602" t="n"/>
      <c r="G7" s="11602" t="n"/>
      <c r="H7" s="379" t="n"/>
      <c r="I7" s="12716" t="inlineStr">
        <is>
          <t>Attach to Form 1040, 1040-SR, or 1040-NR.</t>
        </is>
      </c>
      <c r="AB7" s="1066" t="n"/>
      <c r="AC7" s="341" t="n"/>
      <c r="AD7" s="9237" t="inlineStr">
        <is>
          <t xml:space="preserve">   Attachment</t>
        </is>
      </c>
      <c r="AH7" s="9918" t="n">
        <v>73</v>
      </c>
      <c r="AJ7" s="11602" t="n"/>
      <c r="AK7" s="2013" t="n"/>
      <c r="AL7" s="11602" t="n"/>
      <c r="AS7" s="4772" t="n"/>
      <c r="AX7" s="7636" t="n"/>
      <c r="AY7" s="404" t="n"/>
      <c r="AZ7" s="11602" t="n"/>
      <c r="BA7" s="11602" t="n"/>
      <c r="BB7" s="11602" t="n"/>
      <c r="BC7" s="11602" t="n"/>
      <c r="BD7" s="11602" t="n"/>
      <c r="BE7" s="11602" t="n"/>
      <c r="BF7" s="11602" t="n"/>
      <c r="BG7" s="11602" t="n"/>
      <c r="BH7" s="11602" t="n"/>
      <c r="BI7" s="11602" t="n"/>
      <c r="BJ7" s="344" t="n"/>
      <c r="BK7" s="344" t="n"/>
      <c r="BL7" s="11602" t="n"/>
    </row>
    <row r="8" ht="13.5" customHeight="1" s="7635" thickBot="1">
      <c r="A8" s="2013" t="n"/>
      <c r="B8" s="380" t="inlineStr">
        <is>
          <t>Internal Revenue Service</t>
        </is>
      </c>
      <c r="C8" s="380" t="n"/>
      <c r="D8" s="380" t="n"/>
      <c r="E8" s="380" t="n"/>
      <c r="F8" s="380" t="n"/>
      <c r="G8" s="380" t="n"/>
      <c r="H8" s="381" t="n"/>
      <c r="I8" s="12717" t="inlineStr">
        <is>
          <t>Go to www.irs.gov/Form8962 for instructions and the latest information.</t>
        </is>
      </c>
      <c r="J8" s="8848" t="n"/>
      <c r="K8" s="8848" t="n"/>
      <c r="L8" s="8848" t="n"/>
      <c r="M8" s="8848" t="n"/>
      <c r="N8" s="8848" t="n"/>
      <c r="O8" s="8848" t="n"/>
      <c r="P8" s="8848" t="n"/>
      <c r="Q8" s="8848" t="n"/>
      <c r="R8" s="8848" t="n"/>
      <c r="S8" s="8848" t="n"/>
      <c r="T8" s="8848" t="n"/>
      <c r="U8" s="8848" t="n"/>
      <c r="V8" s="8848" t="n"/>
      <c r="W8" s="8848" t="n"/>
      <c r="X8" s="8848" t="n"/>
      <c r="Y8" s="8848" t="n"/>
      <c r="Z8" s="8848" t="n"/>
      <c r="AA8" s="8848" t="n"/>
      <c r="AB8" s="2627" t="n"/>
      <c r="AC8" s="1197" t="n"/>
      <c r="AD8" s="9921" t="inlineStr">
        <is>
          <t xml:space="preserve">Sequence No.  </t>
        </is>
      </c>
      <c r="AE8" s="8848" t="n"/>
      <c r="AF8" s="8848" t="n"/>
      <c r="AG8" s="8848" t="n"/>
      <c r="AH8" s="8848" t="n"/>
      <c r="AI8" s="8848" t="n"/>
      <c r="AJ8" s="380" t="n"/>
      <c r="AK8" s="2013" t="n"/>
      <c r="AL8" s="11602" t="n"/>
      <c r="AS8" s="4772" t="n"/>
      <c r="AX8" s="7636" t="n"/>
      <c r="AY8" s="404" t="n"/>
      <c r="AZ8" s="11602" t="n"/>
      <c r="BA8" s="11602" t="n"/>
      <c r="BB8" s="11602" t="n"/>
      <c r="BC8" s="11602" t="n"/>
      <c r="BD8" s="11602" t="n"/>
      <c r="BE8" s="11602" t="n"/>
      <c r="BF8" s="11602" t="n"/>
      <c r="BG8" s="11602" t="n"/>
      <c r="BH8" s="11602" t="n"/>
      <c r="BI8" s="11602" t="n"/>
      <c r="BJ8" s="344" t="n"/>
      <c r="BK8" s="344" t="n"/>
      <c r="BL8" s="11602" t="n"/>
    </row>
    <row r="9">
      <c r="A9" s="2013" t="n"/>
      <c r="B9" s="339" t="inlineStr">
        <is>
          <t>Name shown on your return</t>
        </is>
      </c>
      <c r="C9" s="339" t="n"/>
      <c r="D9" s="339" t="n"/>
      <c r="E9" s="339" t="n"/>
      <c r="F9" s="339" t="n"/>
      <c r="G9" s="339" t="n"/>
      <c r="H9" s="339" t="n"/>
      <c r="I9" s="339" t="n"/>
      <c r="J9" s="339" t="n"/>
      <c r="K9" s="339" t="n"/>
      <c r="L9" s="339" t="n"/>
      <c r="M9" s="339" t="n"/>
      <c r="N9" s="339" t="n"/>
      <c r="O9" s="339" t="n"/>
      <c r="P9" s="339" t="n"/>
      <c r="Q9" s="339" t="n"/>
      <c r="R9" s="339" t="n"/>
      <c r="S9" s="339" t="n"/>
      <c r="T9" s="339" t="n"/>
      <c r="U9" s="339" t="n"/>
      <c r="V9" s="339" t="n"/>
      <c r="W9" s="339" t="n"/>
      <c r="X9" s="339" t="n"/>
      <c r="Y9" s="3816" t="inlineStr">
        <is>
          <t>Your social security number</t>
        </is>
      </c>
      <c r="Z9" s="377" t="n"/>
      <c r="AA9" s="377" t="n"/>
      <c r="AB9" s="377" t="n"/>
      <c r="AC9" s="408" t="n"/>
      <c r="AD9" s="2019" t="n"/>
      <c r="AE9" s="2019" t="n"/>
      <c r="AF9" s="2019" t="n"/>
      <c r="AG9" s="2019" t="n"/>
      <c r="AH9" s="2019" t="n"/>
      <c r="AI9" s="2019" t="n"/>
      <c r="AJ9" s="2019" t="n"/>
      <c r="AK9" s="2013" t="n"/>
      <c r="AL9" s="11602" t="n"/>
      <c r="AS9" s="4772" t="n"/>
      <c r="AX9" s="7636" t="n"/>
      <c r="AY9" s="404" t="n"/>
      <c r="AZ9" s="11602" t="n"/>
      <c r="BA9" s="11602" t="n"/>
      <c r="BB9" s="11602" t="n"/>
      <c r="BC9" s="11602" t="n"/>
      <c r="BD9" s="11602" t="n"/>
      <c r="BE9" s="11602" t="n"/>
      <c r="BF9" s="11602" t="n"/>
      <c r="BG9" s="11602" t="n"/>
      <c r="BH9" s="11602" t="n"/>
      <c r="BI9" s="11602" t="n"/>
      <c r="BJ9" s="344" t="n"/>
      <c r="BK9" s="344" t="n"/>
      <c r="BL9" s="11602" t="n"/>
    </row>
    <row r="10" ht="13.5" customHeight="1" s="7635">
      <c r="A10" s="2013" t="n"/>
      <c r="B10" s="12428">
        <f>IF(Names="","",Names)</f>
        <v/>
      </c>
      <c r="X10" s="7636" t="n"/>
      <c r="Y10" s="12429">
        <f>IF(OR(NoSSN,SS_Yours=""),"",SS_Yours)</f>
        <v/>
      </c>
      <c r="AK10" s="2013" t="n"/>
      <c r="AL10" s="11602" t="n"/>
      <c r="AS10" s="4772" t="n"/>
      <c r="AX10" s="7636" t="n"/>
      <c r="AY10" s="404" t="n"/>
      <c r="AZ10" s="11602" t="n"/>
      <c r="BA10" s="11602" t="n"/>
      <c r="BB10" s="11602" t="n"/>
      <c r="BC10" s="11602" t="n"/>
      <c r="BD10" s="11602" t="n"/>
      <c r="BE10" s="11602" t="n"/>
      <c r="BF10" s="11602" t="n"/>
      <c r="BG10" s="11602" t="n"/>
      <c r="BH10" s="11602" t="n"/>
      <c r="BI10" s="11602" t="n"/>
      <c r="BJ10" s="344" t="n"/>
      <c r="BK10" s="344" t="n"/>
      <c r="BL10" s="11602" t="n"/>
    </row>
    <row r="11" ht="5.25" customHeight="1" s="7635">
      <c r="A11" s="2013" t="n"/>
      <c r="B11" s="7637" t="n"/>
      <c r="C11" s="7637" t="n"/>
      <c r="D11" s="7637" t="n"/>
      <c r="E11" s="7637" t="n"/>
      <c r="F11" s="7637" t="n"/>
      <c r="G11" s="7637" t="n"/>
      <c r="H11" s="7637" t="n"/>
      <c r="I11" s="7637" t="n"/>
      <c r="J11" s="7637" t="n"/>
      <c r="K11" s="7637" t="n"/>
      <c r="L11" s="7637" t="n"/>
      <c r="M11" s="7637" t="n"/>
      <c r="N11" s="7637" t="n"/>
      <c r="O11" s="7637" t="n"/>
      <c r="P11" s="7637" t="n"/>
      <c r="Q11" s="7637" t="n"/>
      <c r="R11" s="7637" t="n"/>
      <c r="S11" s="7637" t="n"/>
      <c r="T11" s="7637" t="n"/>
      <c r="U11" s="7637" t="n"/>
      <c r="V11" s="7637" t="n"/>
      <c r="W11" s="7637" t="n"/>
      <c r="X11" s="7638" t="n"/>
      <c r="Y11" s="3614" t="n"/>
      <c r="Z11" s="7637" t="n"/>
      <c r="AA11" s="7637" t="n"/>
      <c r="AB11" s="7637" t="n"/>
      <c r="AC11" s="7637" t="n"/>
      <c r="AD11" s="7637" t="n"/>
      <c r="AE11" s="7637" t="n"/>
      <c r="AF11" s="7637" t="n"/>
      <c r="AG11" s="7637" t="n"/>
      <c r="AH11" s="7637" t="n"/>
      <c r="AI11" s="7637" t="n"/>
      <c r="AJ11" s="7637" t="n"/>
      <c r="AK11" s="2013" t="n"/>
      <c r="AL11" s="11602" t="n"/>
      <c r="AS11" s="3614" t="n"/>
      <c r="AT11" s="7637" t="n"/>
      <c r="AU11" s="7637" t="n"/>
      <c r="AV11" s="7637" t="n"/>
      <c r="AW11" s="7637" t="n"/>
      <c r="AX11" s="7638" t="n"/>
      <c r="AY11" s="404" t="n"/>
      <c r="AZ11" s="11602" t="n"/>
      <c r="BA11" s="11602" t="n"/>
      <c r="BB11" s="11602" t="n"/>
      <c r="BC11" s="11602" t="n"/>
      <c r="BD11" s="11602" t="n"/>
      <c r="BE11" s="11602" t="n"/>
      <c r="BF11" s="11602" t="n"/>
      <c r="BG11" s="11602" t="n"/>
      <c r="BH11" s="11602" t="n"/>
      <c r="BI11" s="11602" t="n"/>
      <c r="BJ11" s="344" t="n"/>
      <c r="BK11" s="344" t="n"/>
      <c r="BL11" s="11602" t="n"/>
    </row>
    <row r="12" ht="4.5" customHeight="1" s="7635" thickBot="1">
      <c r="A12" s="2013" t="n"/>
      <c r="B12" s="1320" t="n"/>
      <c r="C12" s="12829" t="inlineStr">
        <is>
          <t>You cannot claim the PTC if your filing status is married filing separately unless you qualify for an exception (see instructions).</t>
        </is>
      </c>
      <c r="D12" s="7839" t="n"/>
      <c r="E12" s="7839" t="n"/>
      <c r="F12" s="7839" t="n"/>
      <c r="G12" s="7839" t="n"/>
      <c r="H12" s="7839" t="n"/>
      <c r="I12" s="7839" t="n"/>
      <c r="J12" s="7839" t="n"/>
      <c r="K12" s="7839" t="n"/>
      <c r="L12" s="7839" t="n"/>
      <c r="M12" s="7839" t="n"/>
      <c r="N12" s="7839" t="n"/>
      <c r="O12" s="7839" t="n"/>
      <c r="P12" s="7839" t="n"/>
      <c r="Q12" s="7839" t="n"/>
      <c r="R12" s="7839" t="n"/>
      <c r="S12" s="7839" t="n"/>
      <c r="T12" s="7839" t="n"/>
      <c r="U12" s="7839" t="n"/>
      <c r="V12" s="7839" t="n"/>
      <c r="W12" s="7839" t="n"/>
      <c r="X12" s="7839" t="n"/>
      <c r="Y12" s="7839" t="n"/>
      <c r="Z12" s="7839" t="n"/>
      <c r="AA12" s="12830" t="inlineStr">
        <is>
          <t>If you qualify, check the box.</t>
        </is>
      </c>
      <c r="AB12" s="7839" t="n"/>
      <c r="AC12" s="7839" t="n"/>
      <c r="AD12" s="7839" t="n"/>
      <c r="AE12" s="7839" t="n"/>
      <c r="AF12" s="7839" t="n"/>
      <c r="AG12" s="7839" t="n"/>
      <c r="AH12" s="1320" t="n"/>
      <c r="AI12" s="11602" t="n"/>
      <c r="AJ12" s="11602" t="n"/>
      <c r="AK12" s="2013" t="n"/>
      <c r="AL12" s="11602" t="n"/>
      <c r="AM12" s="11602" t="n"/>
      <c r="AN12" s="11602" t="n"/>
      <c r="AO12" s="11602" t="n"/>
      <c r="AP12" s="11602" t="n"/>
      <c r="AQ12" s="11602" t="n"/>
      <c r="AR12" s="11602" t="n"/>
      <c r="AS12" s="11602" t="n"/>
      <c r="AT12" s="11602" t="n"/>
      <c r="AU12" s="11602" t="n"/>
      <c r="AV12" s="11602" t="n"/>
      <c r="AW12" s="11602" t="n"/>
      <c r="AX12" s="11602" t="n"/>
      <c r="AY12" s="11602" t="n"/>
      <c r="AZ12" s="11602" t="n"/>
      <c r="BA12" s="11602" t="n"/>
      <c r="BB12" s="11602" t="n"/>
      <c r="BC12" s="11602" t="n"/>
      <c r="BD12" s="11602" t="n"/>
      <c r="BE12" s="11602" t="n"/>
      <c r="BF12" s="11602" t="n"/>
      <c r="BG12" s="11602" t="n"/>
      <c r="BH12" s="11602" t="n"/>
      <c r="BI12" s="11602" t="n"/>
      <c r="BJ12" s="344" t="n"/>
      <c r="BK12" s="344" t="n"/>
      <c r="BL12" s="11602" t="n"/>
    </row>
    <row r="13" ht="9.75" customHeight="1" s="7635" thickBot="1">
      <c r="A13" s="2013" t="n"/>
      <c r="B13" s="7788" t="inlineStr">
        <is>
          <t>A.</t>
        </is>
      </c>
      <c r="AH13" s="1321" t="n"/>
      <c r="AI13" s="300" t="n"/>
      <c r="AJ13" s="11602" t="n"/>
      <c r="AK13" s="2013" t="n"/>
      <c r="AL13" s="3818" t="inlineStr">
        <is>
          <t>¬</t>
        </is>
      </c>
      <c r="AM13" s="3819">
        <f>AND($AI$13&lt;&gt;"",OR(File_Head&lt;&gt;"",File_Marr_Joint&lt;&gt;"",File_Qual_Widow&lt;&gt;"",File_Single&lt;&gt;""))</f>
        <v/>
      </c>
      <c r="AN13" s="11602" t="n"/>
      <c r="AO13" s="11602" t="n"/>
      <c r="AP13" s="11602" t="n"/>
      <c r="AQ13" s="11602" t="n"/>
      <c r="AR13" s="11602" t="n"/>
      <c r="AS13" s="11602" t="n"/>
      <c r="AT13" s="11602" t="n"/>
      <c r="AU13" s="11602" t="n"/>
      <c r="AV13" s="11602" t="n"/>
      <c r="AW13" s="11602" t="n"/>
      <c r="AX13" s="11602" t="n"/>
      <c r="AY13" s="11602" t="n"/>
      <c r="AZ13" s="11602" t="n"/>
      <c r="BA13" s="11602" t="n"/>
      <c r="BB13" s="11602" t="n"/>
      <c r="BC13" s="11602" t="n"/>
      <c r="BD13" s="11602" t="n"/>
      <c r="BE13" s="11602" t="n"/>
      <c r="BF13" s="11602" t="n"/>
      <c r="BG13" s="11602" t="n"/>
      <c r="BH13" s="11602" t="n"/>
      <c r="BI13" s="11602" t="n"/>
      <c r="BJ13" s="344" t="n"/>
      <c r="BK13" s="344" t="n"/>
      <c r="BL13" s="11602" t="n"/>
    </row>
    <row r="14" ht="3" customHeight="1" s="7635">
      <c r="A14" s="2013" t="n"/>
      <c r="B14" s="1055" t="n"/>
      <c r="C14" s="7637" t="n"/>
      <c r="D14" s="7637" t="n"/>
      <c r="E14" s="7637" t="n"/>
      <c r="F14" s="7637" t="n"/>
      <c r="G14" s="7637" t="n"/>
      <c r="H14" s="7637" t="n"/>
      <c r="I14" s="7637" t="n"/>
      <c r="J14" s="7637" t="n"/>
      <c r="K14" s="7637" t="n"/>
      <c r="L14" s="7637" t="n"/>
      <c r="M14" s="7637" t="n"/>
      <c r="N14" s="7637" t="n"/>
      <c r="O14" s="7637" t="n"/>
      <c r="P14" s="7637" t="n"/>
      <c r="Q14" s="7637" t="n"/>
      <c r="R14" s="7637" t="n"/>
      <c r="S14" s="7637" t="n"/>
      <c r="T14" s="7637" t="n"/>
      <c r="U14" s="7637" t="n"/>
      <c r="V14" s="7637" t="n"/>
      <c r="W14" s="7637" t="n"/>
      <c r="X14" s="7637" t="n"/>
      <c r="Y14" s="7637" t="n"/>
      <c r="Z14" s="7637" t="n"/>
      <c r="AA14" s="7637" t="n"/>
      <c r="AB14" s="7637" t="n"/>
      <c r="AC14" s="7637" t="n"/>
      <c r="AD14" s="7637" t="n"/>
      <c r="AE14" s="7637" t="n"/>
      <c r="AF14" s="7637" t="n"/>
      <c r="AG14" s="7637" t="n"/>
      <c r="AH14" s="1055" t="n"/>
      <c r="AI14" s="413" t="n"/>
      <c r="AJ14" s="413" t="n"/>
      <c r="AK14" s="2013" t="n"/>
      <c r="AL14" s="11602" t="n"/>
      <c r="AM14" s="11602" t="n"/>
      <c r="AN14" s="11602" t="n"/>
      <c r="AO14" s="11602" t="n"/>
      <c r="AP14" s="11602" t="n"/>
      <c r="AQ14" s="11602" t="n"/>
      <c r="AR14" s="11602" t="n"/>
      <c r="AS14" s="11602" t="n"/>
      <c r="AT14" s="11602" t="n"/>
      <c r="AU14" s="11602" t="n"/>
      <c r="AV14" s="11602" t="n"/>
      <c r="AW14" s="11602" t="n"/>
      <c r="AX14" s="11602" t="n"/>
      <c r="AY14" s="11602" t="n"/>
      <c r="AZ14" s="11602" t="n"/>
      <c r="BA14" s="11602" t="n"/>
      <c r="BB14" s="11602" t="n"/>
      <c r="BC14" s="11602" t="n"/>
      <c r="BD14" s="11602" t="n"/>
      <c r="BE14" s="11602" t="n"/>
      <c r="BF14" s="11602" t="n"/>
      <c r="BG14" s="11602" t="n"/>
      <c r="BH14" s="11602" t="n"/>
      <c r="BI14" s="11602" t="n"/>
      <c r="BJ14" s="344" t="n"/>
      <c r="BK14" s="344" t="n"/>
      <c r="BL14" s="11602" t="n"/>
    </row>
    <row r="15" ht="18" customHeight="1" s="7635">
      <c r="A15" s="2013" t="n"/>
      <c r="B15" s="7938" t="inlineStr">
        <is>
          <t>Part I</t>
        </is>
      </c>
      <c r="C15" s="8412" t="n"/>
      <c r="D15" s="2085" t="n"/>
      <c r="E15" s="3376" t="inlineStr">
        <is>
          <t>Annual and Monthly Contribution Amount</t>
        </is>
      </c>
      <c r="F15" s="773" t="n"/>
      <c r="G15" s="773" t="n"/>
      <c r="H15" s="773" t="n"/>
      <c r="I15" s="773" t="n"/>
      <c r="J15" s="773" t="n"/>
      <c r="K15" s="773" t="n"/>
      <c r="L15" s="773" t="n"/>
      <c r="M15" s="773" t="n"/>
      <c r="N15" s="773" t="n"/>
      <c r="O15" s="773" t="n"/>
      <c r="P15" s="773" t="n"/>
      <c r="Q15" s="773" t="n"/>
      <c r="R15" s="773" t="n"/>
      <c r="S15" s="773" t="n"/>
      <c r="T15" s="773" t="n"/>
      <c r="U15" s="773" t="n"/>
      <c r="V15" s="773" t="n"/>
      <c r="W15" s="773" t="n"/>
      <c r="X15" s="773" t="n"/>
      <c r="Y15" s="773" t="n"/>
      <c r="Z15" s="773" t="n"/>
      <c r="AA15" s="773" t="n"/>
      <c r="AB15" s="773" t="n"/>
      <c r="AC15" s="773" t="n"/>
      <c r="AD15" s="773" t="n"/>
      <c r="AE15" s="773" t="n"/>
      <c r="AF15" s="773" t="n"/>
      <c r="AG15" s="773" t="n"/>
      <c r="AH15" s="773" t="n"/>
      <c r="AI15" s="3820" t="n"/>
      <c r="AJ15" s="3821">
        <f>IF($AM$13,"Checkbox is only for 'Married Filing Separately' filers. See instructions.","")</f>
        <v/>
      </c>
      <c r="AK15" s="2013" t="n"/>
      <c r="AL15" s="712" t="n"/>
      <c r="AM15" s="3822">
        <f>IF(AM13,"Check this box to remove message.","")</f>
        <v/>
      </c>
      <c r="AN15" s="3823" t="n"/>
      <c r="AO15" s="11602" t="n"/>
      <c r="AP15" s="11602" t="n"/>
      <c r="AQ15" s="11602" t="n"/>
      <c r="AR15" s="11602" t="n"/>
      <c r="AS15" s="11602" t="n"/>
      <c r="AT15" s="11602" t="n"/>
      <c r="AU15" s="11602" t="n"/>
      <c r="AV15" s="11602" t="n"/>
      <c r="AW15" s="11602" t="n"/>
      <c r="AX15" s="11602" t="n"/>
      <c r="AY15" s="11602" t="n"/>
      <c r="AZ15" s="11602" t="n"/>
      <c r="BA15" s="11602" t="n"/>
      <c r="BB15" s="11602" t="n"/>
      <c r="BC15" s="11602" t="n"/>
      <c r="BD15" s="11602" t="n"/>
      <c r="BE15" s="11602" t="n"/>
      <c r="BF15" s="11602" t="n"/>
      <c r="BG15" s="11602" t="n"/>
      <c r="BH15" s="11602" t="n"/>
      <c r="BI15" s="11602" t="n"/>
      <c r="BJ15" s="344" t="n"/>
      <c r="BK15" s="344" t="n"/>
      <c r="BL15" s="11602" t="n"/>
    </row>
    <row r="16" ht="7.5" customHeight="1" s="7635" thickBot="1">
      <c r="A16" s="2013" t="n"/>
      <c r="B16" s="11602" t="n"/>
      <c r="C16" s="11602" t="n"/>
      <c r="D16" s="11602" t="n"/>
      <c r="E16" s="11602" t="n"/>
      <c r="F16" s="11602" t="n"/>
      <c r="G16" s="11602" t="n"/>
      <c r="H16" s="11602" t="n"/>
      <c r="I16" s="11602" t="n"/>
      <c r="J16" s="11602" t="n"/>
      <c r="K16" s="11602" t="n"/>
      <c r="L16" s="11602" t="n"/>
      <c r="M16" s="11602" t="n"/>
      <c r="N16" s="11602" t="n"/>
      <c r="O16" s="11602" t="n"/>
      <c r="P16" s="11602" t="n"/>
      <c r="Q16" s="11602" t="n"/>
      <c r="R16" s="11602" t="n"/>
      <c r="S16" s="11602" t="n"/>
      <c r="T16" s="11602" t="n"/>
      <c r="U16" s="11602" t="n"/>
      <c r="V16" s="11602" t="n"/>
      <c r="W16" s="11602" t="n"/>
      <c r="X16" s="11602" t="n"/>
      <c r="Y16" s="11602" t="n"/>
      <c r="Z16" s="11602" t="n"/>
      <c r="AA16" s="11602" t="n"/>
      <c r="AB16" s="11602" t="n"/>
      <c r="AC16" s="11602" t="n"/>
      <c r="AD16" s="2890" t="n"/>
      <c r="AE16" s="11602" t="n"/>
      <c r="AF16" s="11602" t="n"/>
      <c r="AG16" s="11602" t="n"/>
      <c r="AH16" s="11602" t="n"/>
      <c r="AI16" s="11602" t="n"/>
      <c r="AJ16" s="11602" t="n"/>
      <c r="AK16" s="2013" t="n"/>
      <c r="AL16" s="11602" t="n"/>
      <c r="AM16" s="8788" t="n"/>
      <c r="AN16" s="11602" t="n"/>
      <c r="AO16" s="11602" t="n"/>
      <c r="AP16" s="11602" t="n"/>
      <c r="AQ16" s="11602" t="n"/>
      <c r="AR16" s="11602" t="n"/>
      <c r="AS16" s="404" t="n"/>
      <c r="AT16" s="404" t="n"/>
      <c r="AU16" s="404" t="n"/>
      <c r="AV16" s="404" t="n"/>
      <c r="AW16" s="404" t="n"/>
      <c r="AX16" s="404" t="n"/>
      <c r="AY16" s="404" t="n"/>
      <c r="AZ16" s="11602" t="n"/>
      <c r="BA16" s="344" t="n"/>
      <c r="BB16" s="344" t="n"/>
      <c r="BC16" s="3824" t="n"/>
      <c r="BD16" s="3824" t="n"/>
      <c r="BE16" s="3824" t="n"/>
      <c r="BF16" s="344" t="n"/>
      <c r="BG16" s="344" t="n"/>
      <c r="BH16" s="344" t="n"/>
      <c r="BI16" s="344" t="n"/>
      <c r="BJ16" s="344" t="n"/>
      <c r="BK16" s="344" t="n"/>
      <c r="BL16" s="11602" t="n"/>
    </row>
    <row r="17" ht="15" customHeight="1" s="7635" thickBot="1">
      <c r="A17" s="2013" t="n"/>
      <c r="B17" s="11602" t="n"/>
      <c r="C17" s="7861" t="inlineStr">
        <is>
          <t>1</t>
        </is>
      </c>
      <c r="D17" s="8650" t="inlineStr">
        <is>
          <t>Tax family size. Enter your tax family size (see instructions).</t>
        </is>
      </c>
      <c r="E17" s="11602" t="n"/>
      <c r="F17" s="11602" t="n"/>
      <c r="G17" s="11602" t="n"/>
      <c r="H17" s="11602" t="n"/>
      <c r="I17" s="11602" t="n"/>
      <c r="J17" s="11602" t="n"/>
      <c r="K17" s="11602" t="n"/>
      <c r="L17" s="11602" t="n"/>
      <c r="M17" s="11602" t="n"/>
      <c r="N17" s="11602" t="n"/>
      <c r="O17" s="11602" t="n"/>
      <c r="P17" s="11602" t="n"/>
      <c r="Q17" s="11602" t="n"/>
      <c r="R17" s="11602" t="n"/>
      <c r="S17" s="11602" t="n"/>
      <c r="T17" s="11602" t="n"/>
      <c r="U17" s="11602" t="n"/>
      <c r="V17" s="11602" t="n"/>
      <c r="W17" s="11602" t="n"/>
      <c r="X17" s="11602" t="n"/>
      <c r="Y17" s="11602" t="n"/>
      <c r="Z17" s="11602" t="n"/>
      <c r="AA17" s="11602" t="n"/>
      <c r="AB17" s="11602" t="n"/>
      <c r="AC17" s="11602" t="n"/>
      <c r="AD17" s="2895" t="n">
        <v>1</v>
      </c>
      <c r="AE17" s="8177">
        <f>IF(AM17&lt;&gt;"",ROUND(AM17,0),IF(AND(File_Marr_Sep&lt;&gt;"",AI13=""),"",TaxFamilySize))</f>
        <v/>
      </c>
      <c r="AF17" s="7637" t="n"/>
      <c r="AG17" s="7637" t="n"/>
      <c r="AH17" s="7637" t="n"/>
      <c r="AI17" s="7637" t="n"/>
      <c r="AJ17" s="7637" t="n"/>
      <c r="AK17" s="2013" t="n"/>
      <c r="AL17" s="7914" t="n">
        <v>1</v>
      </c>
      <c r="AM17" s="1109" t="n"/>
      <c r="AN17" s="11602" t="n"/>
      <c r="AO17" s="12831" t="inlineStr">
        <is>
          <t xml:space="preserve">Line 2a Enter your modified AGI on line 2a. Use the worksheet next to figure your modified AGI from your tax return. </t>
        </is>
      </c>
      <c r="AP17" s="7839" t="n"/>
      <c r="AQ17" s="7839" t="n"/>
      <c r="AR17" s="7839" t="n"/>
      <c r="AS17" s="7839" t="n"/>
      <c r="AT17" s="7839" t="n"/>
      <c r="AU17" s="7839" t="n"/>
      <c r="AV17" s="7839" t="n"/>
      <c r="AW17" s="7839" t="n"/>
      <c r="AX17" s="7839" t="n"/>
      <c r="AY17" s="3825" t="n"/>
      <c r="AZ17" s="11602" t="n"/>
      <c r="BA17" s="12409" t="inlineStr">
        <is>
          <t xml:space="preserve">Line 2b Enter on line 2b the combined modified AGI for your dependents who are required to file an income tax return because of their income meets the income tax return filing threshold. Use Worksheet 1-2 to figure the dependents' combined modified AGI.  Do not include the modified AGI of dependents who are filing a tax return only to claim a refund of tax withheld or estimated tax. </t>
        </is>
      </c>
      <c r="BB17" s="7839" t="n"/>
      <c r="BC17" s="7839" t="n"/>
      <c r="BD17" s="7839" t="n"/>
      <c r="BE17" s="7839" t="n"/>
      <c r="BF17" s="7839" t="n"/>
      <c r="BG17" s="7839" t="n"/>
      <c r="BH17" s="7839" t="n"/>
      <c r="BI17" s="7839" t="n"/>
      <c r="BJ17" s="7839" t="n"/>
      <c r="BK17" s="10091" t="n"/>
      <c r="BL17" s="11602" t="n"/>
    </row>
    <row r="18" ht="6.75" customHeight="1" s="7635" thickBot="1">
      <c r="A18" s="2013" t="n"/>
      <c r="B18" s="11602" t="n"/>
      <c r="C18" s="11602" t="n"/>
      <c r="D18" s="8650" t="n"/>
      <c r="E18" s="11602" t="n"/>
      <c r="F18" s="11602" t="n"/>
      <c r="G18" s="11602" t="n"/>
      <c r="H18" s="11602" t="n"/>
      <c r="I18" s="11602" t="n"/>
      <c r="J18" s="11602" t="n"/>
      <c r="K18" s="11602" t="n"/>
      <c r="L18" s="11602" t="n"/>
      <c r="M18" s="11602" t="n"/>
      <c r="N18" s="11602" t="n"/>
      <c r="O18" s="11602" t="n"/>
      <c r="P18" s="11602" t="n"/>
      <c r="Q18" s="11602" t="n"/>
      <c r="R18" s="11602" t="n"/>
      <c r="S18" s="11602" t="n"/>
      <c r="T18" s="11602" t="n"/>
      <c r="U18" s="11602" t="n"/>
      <c r="V18" s="11602" t="n"/>
      <c r="W18" s="11602" t="n"/>
      <c r="X18" s="11602" t="n"/>
      <c r="Y18" s="11602" t="n"/>
      <c r="Z18" s="11602" t="n"/>
      <c r="AA18" s="11602" t="n"/>
      <c r="AB18" s="11602" t="n"/>
      <c r="AC18" s="11602" t="n"/>
      <c r="AD18" s="2924" t="n"/>
      <c r="AE18" s="723" t="n"/>
      <c r="AF18" s="723" t="n"/>
      <c r="AG18" s="723" t="n"/>
      <c r="AH18" s="723" t="n"/>
      <c r="AI18" s="723" t="n"/>
      <c r="AJ18" s="723" t="n"/>
      <c r="AK18" s="2013" t="n"/>
      <c r="AL18" s="11602" t="n"/>
      <c r="AM18" s="11602" t="n"/>
      <c r="AN18" s="11602" t="n"/>
      <c r="AO18" s="4772" t="n"/>
      <c r="AY18" s="3826" t="n"/>
      <c r="AZ18" s="11602" t="n"/>
      <c r="BA18" s="4772" t="n"/>
      <c r="BK18" s="7636" t="n"/>
      <c r="BL18" s="11602" t="n"/>
    </row>
    <row r="19" ht="15.75" customHeight="1" s="7635" thickBot="1">
      <c r="A19" s="2013" t="n"/>
      <c r="B19" s="11602" t="n"/>
      <c r="C19" s="7861" t="inlineStr">
        <is>
          <t>2a</t>
        </is>
      </c>
      <c r="D19" s="8650" t="inlineStr">
        <is>
          <t>Modified AGI. Enter your modified AGI (see instructions)</t>
        </is>
      </c>
      <c r="E19" s="11602" t="n"/>
      <c r="F19" s="11602" t="n"/>
      <c r="G19" s="11602" t="n"/>
      <c r="H19" s="11602" t="n"/>
      <c r="I19" s="11602" t="n"/>
      <c r="J19" s="11602" t="n"/>
      <c r="K19" s="11602" t="n"/>
      <c r="L19" s="11602" t="n"/>
      <c r="M19" s="11602" t="n"/>
      <c r="N19" s="11602" t="n"/>
      <c r="O19" s="11602" t="n"/>
      <c r="P19" s="11602" t="n"/>
      <c r="Q19" s="11602" t="n"/>
      <c r="R19" s="11602" t="n"/>
      <c r="S19" s="7861" t="n"/>
      <c r="T19" s="11602" t="n"/>
      <c r="U19" s="11602" t="n"/>
      <c r="V19" s="2895" t="inlineStr">
        <is>
          <t>2a</t>
        </is>
      </c>
      <c r="W19" s="7638" t="n"/>
      <c r="X19" s="8678">
        <f>IF(AM19&lt;&gt;"",ROUND(AM19,0),AV45)</f>
        <v/>
      </c>
      <c r="Y19" s="7637" t="n"/>
      <c r="Z19" s="7637" t="n"/>
      <c r="AA19" s="7637" t="n"/>
      <c r="AB19" s="7637" t="n"/>
      <c r="AC19" s="7637" t="n"/>
      <c r="AD19" s="2924" t="n"/>
      <c r="AE19" s="723" t="n"/>
      <c r="AF19" s="723" t="n"/>
      <c r="AG19" s="723" t="n"/>
      <c r="AH19" s="723" t="n"/>
      <c r="AI19" s="723" t="n"/>
      <c r="AJ19" s="723" t="n"/>
      <c r="AK19" s="2013" t="n"/>
      <c r="AL19" s="7914" t="inlineStr">
        <is>
          <t>2a</t>
        </is>
      </c>
      <c r="AM19" s="392" t="n"/>
      <c r="AN19" s="11602" t="n"/>
      <c r="AO19" s="4772" t="n"/>
      <c r="AY19" s="3826" t="n"/>
      <c r="AZ19" s="11602" t="n"/>
      <c r="BA19" s="4772" t="n"/>
      <c r="BK19" s="7636" t="n"/>
      <c r="BL19" s="11602" t="n"/>
    </row>
    <row r="20" ht="15.75" customHeight="1" s="7635" thickBot="1">
      <c r="A20" s="2013" t="n"/>
      <c r="B20" s="11602" t="n"/>
      <c r="C20" s="3827" t="inlineStr">
        <is>
          <t>b</t>
        </is>
      </c>
      <c r="D20" s="8650" t="inlineStr">
        <is>
          <t>Enter the total of your dependents' modified AGI (see instructions)</t>
        </is>
      </c>
      <c r="E20" s="11602" t="n"/>
      <c r="F20" s="11602" t="n"/>
      <c r="G20" s="11602" t="n"/>
      <c r="H20" s="11602" t="n"/>
      <c r="I20" s="11602" t="n"/>
      <c r="J20" s="11602" t="n"/>
      <c r="K20" s="1401" t="n"/>
      <c r="L20" s="7862" t="n"/>
      <c r="M20" s="3829" t="n"/>
      <c r="N20" s="1401" t="n"/>
      <c r="O20" s="1401" t="n"/>
      <c r="P20" s="1401" t="n"/>
      <c r="Q20" s="1401" t="n"/>
      <c r="R20" s="1401" t="n"/>
      <c r="S20" s="11602" t="n"/>
      <c r="T20" s="11602" t="n"/>
      <c r="U20" s="11602" t="n"/>
      <c r="V20" s="2926" t="inlineStr">
        <is>
          <t>2b</t>
        </is>
      </c>
      <c r="W20" s="11734" t="n"/>
      <c r="X20" s="12832">
        <f>IF(AM20&lt;&gt;"",ROUND(AM20,0),BH46)</f>
        <v/>
      </c>
      <c r="Y20" s="11811" t="n"/>
      <c r="Z20" s="11811" t="n"/>
      <c r="AA20" s="11811" t="n"/>
      <c r="AB20" s="11811" t="n"/>
      <c r="AC20" s="12143" t="n"/>
      <c r="AD20" s="2924" t="n"/>
      <c r="AE20" s="723" t="n"/>
      <c r="AF20" s="723" t="n"/>
      <c r="AG20" s="723" t="n"/>
      <c r="AH20" s="723" t="n"/>
      <c r="AI20" s="723" t="n"/>
      <c r="AJ20" s="723" t="n"/>
      <c r="AK20" s="2013" t="n"/>
      <c r="AL20" s="7914" t="inlineStr">
        <is>
          <t>2b</t>
        </is>
      </c>
      <c r="AM20" s="392" t="n"/>
      <c r="AN20" s="11602" t="n"/>
      <c r="AO20" s="3614" t="n"/>
      <c r="AP20" s="7637" t="n"/>
      <c r="AQ20" s="7637" t="n"/>
      <c r="AR20" s="7637" t="n"/>
      <c r="AS20" s="7637" t="n"/>
      <c r="AT20" s="7637" t="n"/>
      <c r="AU20" s="7637" t="n"/>
      <c r="AV20" s="7637" t="n"/>
      <c r="AW20" s="7637" t="n"/>
      <c r="AX20" s="7637" t="n"/>
      <c r="AY20" s="3826" t="n"/>
      <c r="AZ20" s="11602" t="n"/>
      <c r="BA20" s="3614" t="n"/>
      <c r="BB20" s="7637" t="n"/>
      <c r="BC20" s="7637" t="n"/>
      <c r="BD20" s="7637" t="n"/>
      <c r="BE20" s="7637" t="n"/>
      <c r="BF20" s="7637" t="n"/>
      <c r="BG20" s="7637" t="n"/>
      <c r="BH20" s="7637" t="n"/>
      <c r="BI20" s="7637" t="n"/>
      <c r="BJ20" s="7637" t="n"/>
      <c r="BK20" s="7638" t="n"/>
      <c r="BL20" s="11602" t="n"/>
    </row>
    <row r="21" ht="7.5" customHeight="1" s="7635" thickBot="1">
      <c r="A21" s="2013" t="n"/>
      <c r="B21" s="11602" t="n"/>
      <c r="C21" s="11602" t="n"/>
      <c r="D21" s="11602" t="n"/>
      <c r="E21" s="11602" t="n"/>
      <c r="F21" s="11602" t="n"/>
      <c r="G21" s="11602" t="n"/>
      <c r="H21" s="11602" t="n"/>
      <c r="I21" s="11602" t="n"/>
      <c r="J21" s="11602" t="n"/>
      <c r="K21" s="11602" t="n"/>
      <c r="L21" s="11602" t="n"/>
      <c r="M21" s="11602" t="n"/>
      <c r="N21" s="11602" t="n"/>
      <c r="O21" s="11602" t="n"/>
      <c r="P21" s="11602" t="n"/>
      <c r="Q21" s="11602" t="n"/>
      <c r="R21" s="11602" t="n"/>
      <c r="S21" s="11602" t="n"/>
      <c r="T21" s="11602" t="n"/>
      <c r="U21" s="11602" t="n"/>
      <c r="V21" s="11602" t="n"/>
      <c r="W21" s="11602" t="n"/>
      <c r="X21" s="11602" t="n"/>
      <c r="Y21" s="11602" t="n"/>
      <c r="Z21" s="11602" t="n"/>
      <c r="AA21" s="11602" t="n"/>
      <c r="AB21" s="11602" t="n"/>
      <c r="AC21" s="11602" t="n"/>
      <c r="AD21" s="2890" t="n"/>
      <c r="AE21" s="406" t="n"/>
      <c r="AF21" s="406" t="n"/>
      <c r="AG21" s="406" t="n"/>
      <c r="AH21" s="406" t="n"/>
      <c r="AI21" s="406" t="n"/>
      <c r="AJ21" s="406" t="n"/>
      <c r="AK21" s="2013" t="n"/>
      <c r="AL21" s="11602" t="n"/>
      <c r="AM21" s="11602" t="n"/>
      <c r="AN21" s="11602" t="n"/>
      <c r="AO21" s="405" t="n"/>
      <c r="AP21" s="406" t="n"/>
      <c r="AQ21" s="406" t="n"/>
      <c r="AR21" s="406" t="n"/>
      <c r="AS21" s="406" t="n"/>
      <c r="AT21" s="406" t="n"/>
      <c r="AU21" s="406" t="n"/>
      <c r="AV21" s="406" t="n"/>
      <c r="AW21" s="406" t="n"/>
      <c r="AX21" s="406" t="n"/>
      <c r="AY21" s="407" t="n"/>
      <c r="AZ21" s="11602" t="n"/>
      <c r="BA21" s="405" t="n"/>
      <c r="BB21" s="406" t="n"/>
      <c r="BC21" s="406" t="n"/>
      <c r="BD21" s="406" t="n"/>
      <c r="BE21" s="406" t="n"/>
      <c r="BF21" s="406" t="n"/>
      <c r="BG21" s="406" t="n"/>
      <c r="BH21" s="406" t="n"/>
      <c r="BI21" s="406" t="n"/>
      <c r="BJ21" s="406" t="n"/>
      <c r="BK21" s="407" t="n"/>
      <c r="BL21" s="11602" t="n"/>
    </row>
    <row r="22" ht="16.5" customHeight="1" s="7635" thickBot="1">
      <c r="A22" s="2013" t="n"/>
      <c r="B22" s="3827" t="n"/>
      <c r="C22" s="7861" t="inlineStr">
        <is>
          <t>3</t>
        </is>
      </c>
      <c r="D22" s="8650" t="inlineStr">
        <is>
          <t>Household income. Add the amounts on lines 2a and 2b (see instructions)</t>
        </is>
      </c>
      <c r="E22" s="11602" t="n"/>
      <c r="F22" s="11602" t="n"/>
      <c r="G22" s="11602" t="n"/>
      <c r="H22" s="11602" t="n"/>
      <c r="I22" s="11602" t="n"/>
      <c r="J22" s="11602" t="n"/>
      <c r="K22" s="11602" t="n"/>
      <c r="L22" s="11602" t="n"/>
      <c r="M22" s="11602" t="n"/>
      <c r="N22" s="11602" t="n"/>
      <c r="O22" s="11602" t="n"/>
      <c r="P22" s="11602" t="n"/>
      <c r="Q22" s="11602" t="n"/>
      <c r="R22" s="11602" t="n"/>
      <c r="S22" s="11602" t="n"/>
      <c r="T22" s="11602" t="n"/>
      <c r="U22" s="11602" t="n"/>
      <c r="V22" s="11602" t="n"/>
      <c r="W22" s="11602" t="n"/>
      <c r="X22" s="11602" t="n"/>
      <c r="Y22" s="11602" t="n"/>
      <c r="Z22" s="11602" t="n"/>
      <c r="AA22" s="11602" t="n"/>
      <c r="AB22" s="11602" t="n"/>
      <c r="AC22" s="1401" t="inlineStr">
        <is>
          <t xml:space="preserve">.   .   .   .   .   .   .   .   .   .   .   .   .   .   . </t>
        </is>
      </c>
      <c r="AD22" s="2895" t="n">
        <v>3</v>
      </c>
      <c r="AE22" s="8177">
        <f>IF(AM22&lt;&gt;"",ROUND(AM22,0),SUM(X19,X20))</f>
        <v/>
      </c>
      <c r="AF22" s="7637" t="n"/>
      <c r="AG22" s="7637" t="n"/>
      <c r="AH22" s="7637" t="n"/>
      <c r="AI22" s="7637" t="n"/>
      <c r="AJ22" s="7637" t="n"/>
      <c r="AK22" s="2013" t="n"/>
      <c r="AL22" s="7914" t="n">
        <v>3</v>
      </c>
      <c r="AM22" s="392" t="n"/>
      <c r="AN22" s="11602" t="n"/>
      <c r="AO22" s="408" t="n"/>
      <c r="AP22" s="7772" t="inlineStr">
        <is>
          <t>Worksheet 1-1. Taxpayer's Modified AGI—Line 2a</t>
        </is>
      </c>
      <c r="AQ22" s="11602" t="n"/>
      <c r="AR22" s="11602" t="n"/>
      <c r="AS22" s="11602" t="n"/>
      <c r="AT22" s="11602" t="n"/>
      <c r="AU22" s="11602" t="n"/>
      <c r="AV22" s="11602" t="n"/>
      <c r="AW22" s="11602" t="n"/>
      <c r="AX22" s="11602" t="n"/>
      <c r="AY22" s="409" t="n"/>
      <c r="AZ22" s="11602" t="n"/>
      <c r="BA22" s="408" t="n"/>
      <c r="BB22" s="7772" t="inlineStr">
        <is>
          <t>Worksheet 1-2. Dependents' Combined Modified AGI—Line 2b</t>
        </is>
      </c>
      <c r="BC22" s="11602" t="n"/>
      <c r="BD22" s="11602" t="n"/>
      <c r="BE22" s="11602" t="n"/>
      <c r="BF22" s="11602" t="n"/>
      <c r="BG22" s="11602" t="n"/>
      <c r="BH22" s="11602" t="n"/>
      <c r="BI22" s="11602" t="n"/>
      <c r="BJ22" s="11602" t="n"/>
      <c r="BK22" s="409" t="n"/>
      <c r="BL22" s="11602" t="n"/>
    </row>
    <row r="23" ht="6" customHeight="1" s="7635">
      <c r="A23" s="2013" t="n"/>
      <c r="B23" s="11602" t="n"/>
      <c r="C23" s="11602" t="n"/>
      <c r="D23" s="11602" t="n"/>
      <c r="E23" s="11602" t="n"/>
      <c r="F23" s="11602" t="n"/>
      <c r="G23" s="11602" t="n"/>
      <c r="H23" s="11602" t="n"/>
      <c r="I23" s="11602" t="n"/>
      <c r="J23" s="11602" t="n"/>
      <c r="K23" s="11602" t="n"/>
      <c r="L23" s="11602" t="n"/>
      <c r="M23" s="11602" t="n"/>
      <c r="N23" s="11602" t="n"/>
      <c r="O23" s="11602" t="n"/>
      <c r="P23" s="11602" t="n"/>
      <c r="Q23" s="11602" t="n"/>
      <c r="R23" s="11602" t="n"/>
      <c r="S23" s="11602" t="n"/>
      <c r="T23" s="11602" t="n"/>
      <c r="U23" s="11602" t="n"/>
      <c r="V23" s="11602" t="n"/>
      <c r="W23" s="11602" t="n"/>
      <c r="X23" s="11602" t="n"/>
      <c r="Y23" s="11602" t="n"/>
      <c r="Z23" s="11602" t="n"/>
      <c r="AA23" s="11602" t="n"/>
      <c r="AB23" s="11602" t="n"/>
      <c r="AC23" s="11602" t="n"/>
      <c r="AD23" s="726" t="n"/>
      <c r="AE23" s="11602" t="n"/>
      <c r="AF23" s="11602" t="n"/>
      <c r="AG23" s="11602" t="n"/>
      <c r="AH23" s="11602" t="n"/>
      <c r="AI23" s="11602" t="n"/>
      <c r="AJ23" s="11602" t="n"/>
      <c r="AK23" s="2013" t="n"/>
      <c r="AL23" s="11602" t="n"/>
      <c r="AM23" s="11602" t="n"/>
      <c r="AN23" s="11602" t="n"/>
      <c r="AO23" s="408" t="n"/>
      <c r="AP23" s="11602" t="n"/>
      <c r="AQ23" s="11602" t="n"/>
      <c r="AR23" s="11602" t="n"/>
      <c r="AS23" s="11602" t="n"/>
      <c r="AT23" s="11602" t="n"/>
      <c r="AU23" s="11602" t="n"/>
      <c r="AV23" s="11602" t="n"/>
      <c r="AW23" s="11602" t="n"/>
      <c r="AX23" s="11602" t="n"/>
      <c r="AY23" s="409" t="n"/>
      <c r="AZ23" s="11602" t="n"/>
      <c r="BA23" s="408" t="n"/>
      <c r="BB23" s="11602" t="n"/>
      <c r="BC23" s="11602" t="n"/>
      <c r="BD23" s="11602" t="n"/>
      <c r="BE23" s="11602" t="n"/>
      <c r="BF23" s="11602" t="n"/>
      <c r="BG23" s="11602" t="n"/>
      <c r="BH23" s="11602" t="n"/>
      <c r="BI23" s="11602" t="n"/>
      <c r="BJ23" s="11602" t="n"/>
      <c r="BK23" s="409" t="n"/>
      <c r="BL23" s="11602" t="n"/>
    </row>
    <row r="24" ht="15.75" customHeight="1" s="7635" thickBot="1">
      <c r="A24" s="2013" t="n"/>
      <c r="B24" s="11602" t="n"/>
      <c r="C24" s="7861" t="inlineStr">
        <is>
          <t>4</t>
        </is>
      </c>
      <c r="D24" s="344" t="inlineStr">
        <is>
          <t>Federal poverty line. Enter the federal poverty line amount from Table 1-1, 1-2, or 1-3.  See instructions. Check the</t>
        </is>
      </c>
      <c r="E24" s="11602" t="n"/>
      <c r="F24" s="11602" t="n"/>
      <c r="G24" s="11602" t="n"/>
      <c r="H24" s="11602" t="n"/>
      <c r="I24" s="11602" t="n"/>
      <c r="J24" s="11602" t="n"/>
      <c r="K24" s="11602" t="n"/>
      <c r="L24" s="11602" t="n"/>
      <c r="M24" s="11602" t="n"/>
      <c r="N24" s="11602" t="n"/>
      <c r="O24" s="11602" t="n"/>
      <c r="P24" s="11602" t="n"/>
      <c r="Q24" s="11602" t="n"/>
      <c r="R24" s="11602" t="n"/>
      <c r="S24" s="11602" t="n"/>
      <c r="T24" s="11602" t="n"/>
      <c r="U24" s="11602" t="n"/>
      <c r="V24" s="11602" t="n"/>
      <c r="W24" s="11602" t="n"/>
      <c r="X24" s="11602" t="n"/>
      <c r="Y24" s="11602" t="n"/>
      <c r="Z24" s="11602" t="n"/>
      <c r="AA24" s="11602" t="n"/>
      <c r="AB24" s="11602" t="n"/>
      <c r="AC24" s="11602" t="n"/>
      <c r="AD24" s="726" t="n"/>
      <c r="AE24" s="11602" t="n"/>
      <c r="AF24" s="11602" t="n"/>
      <c r="AG24" s="11602" t="n"/>
      <c r="AH24" s="11602" t="n"/>
      <c r="AI24" s="11602" t="n"/>
      <c r="AJ24" s="11602" t="n"/>
      <c r="AK24" s="2013" t="n"/>
      <c r="AL24" s="11602" t="n"/>
      <c r="AM24" s="8914" t="n"/>
      <c r="AN24" s="3830" t="n"/>
      <c r="AO24" s="3831" t="inlineStr">
        <is>
          <t>1.</t>
        </is>
      </c>
      <c r="AP24" s="7299" t="inlineStr">
        <is>
          <t>Enter your adjusted gross income (AGI)* from Form 1040,</t>
        </is>
      </c>
      <c r="AQ24" s="11602" t="n"/>
      <c r="AR24" s="11602" t="n"/>
      <c r="AS24" s="11602" t="n"/>
      <c r="AT24" s="11602" t="n"/>
      <c r="AU24" s="11602" t="n"/>
      <c r="AV24" s="11602" t="n"/>
      <c r="AW24" s="11602" t="n"/>
      <c r="AX24" s="7957" t="inlineStr">
        <is>
          <t>Override</t>
        </is>
      </c>
      <c r="AY24" s="409" t="n"/>
      <c r="AZ24" s="11602" t="n"/>
      <c r="BA24" s="3831" t="inlineStr">
        <is>
          <t>1.</t>
        </is>
      </c>
      <c r="BB24" s="7299" t="inlineStr">
        <is>
          <t>Enter the AGI* for your dependents from Form 1040,</t>
        </is>
      </c>
      <c r="BC24" s="11602" t="n"/>
      <c r="BD24" s="11602" t="n"/>
      <c r="BE24" s="11602" t="n"/>
      <c r="BF24" s="11602" t="n"/>
      <c r="BG24" s="345" t="n"/>
      <c r="BH24" s="11602" t="n"/>
      <c r="BI24" s="11602" t="n"/>
      <c r="BJ24" s="11602" t="n"/>
      <c r="BK24" s="409" t="n"/>
      <c r="BL24" s="11602" t="n"/>
    </row>
    <row r="25" ht="14.25" customHeight="1" s="7635" thickBot="1">
      <c r="A25" s="2013" t="n"/>
      <c r="B25" s="11602" t="n"/>
      <c r="C25" s="11602" t="n"/>
      <c r="D25" s="344" t="inlineStr">
        <is>
          <t>appropriate box for the federal poverty table used.</t>
        </is>
      </c>
      <c r="E25" s="11602" t="n"/>
      <c r="F25" s="11602" t="n"/>
      <c r="G25" s="11602" t="n"/>
      <c r="H25" s="11602" t="n"/>
      <c r="I25" s="11602" t="n"/>
      <c r="J25" s="11602" t="n"/>
      <c r="K25" s="11602" t="n"/>
      <c r="L25" s="11602" t="n"/>
      <c r="M25" s="11602" t="n"/>
      <c r="N25" s="1401" t="inlineStr">
        <is>
          <t>a</t>
        </is>
      </c>
      <c r="O25" s="1983">
        <f>IF(AND($AL$2=1,M2&lt;&gt;""),"X","")</f>
        <v/>
      </c>
      <c r="P25" s="344" t="inlineStr">
        <is>
          <t>Alaska</t>
        </is>
      </c>
      <c r="Q25" s="344" t="n"/>
      <c r="R25" s="1401" t="inlineStr">
        <is>
          <t>b</t>
        </is>
      </c>
      <c r="S25" s="1983">
        <f>IF(AND($AL$2=1,W2&lt;&gt;""),"X","")</f>
        <v/>
      </c>
      <c r="T25" s="344" t="inlineStr">
        <is>
          <t>Hawaii</t>
        </is>
      </c>
      <c r="U25" s="11602" t="n"/>
      <c r="V25" s="1401" t="inlineStr">
        <is>
          <t>c</t>
        </is>
      </c>
      <c r="W25" s="1983">
        <f>IF(AND($AL$2=1,C2&lt;&gt;""),"X","")</f>
        <v/>
      </c>
      <c r="X25" s="11602" t="inlineStr">
        <is>
          <t>Other 48 states and DC</t>
        </is>
      </c>
      <c r="Y25" s="11602" t="n"/>
      <c r="Z25" s="11602" t="n"/>
      <c r="AA25" s="11602" t="n"/>
      <c r="AB25" s="11602" t="n"/>
      <c r="AC25" s="11602" t="n"/>
      <c r="AD25" s="2895" t="n">
        <v>4</v>
      </c>
      <c r="AE25" s="8177">
        <f>IF(AM25&lt;&gt;"",ROUND(AM25,0),IF(AND(File_Marr_Sep&lt;&gt;"",AI13=""),"",IF(W25&lt;&gt;"",AM32,IF(O25&lt;&gt;"",AM33,IF(S25&lt;&gt;"",AM35,"")))))</f>
        <v/>
      </c>
      <c r="AF25" s="7637" t="n"/>
      <c r="AG25" s="7637" t="n"/>
      <c r="AH25" s="7637" t="n"/>
      <c r="AI25" s="7637" t="n"/>
      <c r="AJ25" s="7637" t="n"/>
      <c r="AK25" s="2013" t="n"/>
      <c r="AL25" s="7914" t="n">
        <v>4</v>
      </c>
      <c r="AM25" s="392" t="n"/>
      <c r="AN25" s="3830" t="n"/>
      <c r="AO25" s="408" t="n"/>
      <c r="AP25" s="7299" t="inlineStr">
        <is>
          <t>1040-SR, or Form 1040-NR, line 11a.  .  .  .  .  .  .  .</t>
        </is>
      </c>
      <c r="AQ25" s="11602" t="n"/>
      <c r="AR25" s="11602" t="n"/>
      <c r="AS25" s="11602" t="n"/>
      <c r="AT25" s="11602" t="n"/>
      <c r="AU25" s="345" t="inlineStr">
        <is>
          <t>1.</t>
        </is>
      </c>
      <c r="AV25" s="3832">
        <f>IF(AX25&lt;&gt;"",ROUND(AX25,0),Adj_Gross_Inc)</f>
        <v/>
      </c>
      <c r="AW25" s="11602" t="n"/>
      <c r="AX25" s="1317" t="n"/>
      <c r="AY25" s="409" t="n"/>
      <c r="AZ25" s="11602" t="n"/>
      <c r="BA25" s="408" t="n"/>
      <c r="BB25" s="7299" t="inlineStr">
        <is>
          <t>1040-SR, or Form 1040-NR, line 11a.  .  .  .  .  .  .  .  .  .  .  .  .  .  .  .  .  .  .  .  .  .  .  .  .  .  .  .  .</t>
        </is>
      </c>
      <c r="BC25" s="11602" t="n"/>
      <c r="BD25" s="11602" t="n"/>
      <c r="BE25" s="11602" t="n"/>
      <c r="BF25" s="11602" t="n"/>
      <c r="BG25" s="345" t="inlineStr">
        <is>
          <t>1.</t>
        </is>
      </c>
      <c r="BH25" s="387" t="n"/>
      <c r="BI25" s="11602" t="n"/>
      <c r="BJ25" s="11602" t="n"/>
      <c r="BK25" s="409" t="n"/>
      <c r="BL25" s="11602" t="n"/>
    </row>
    <row r="26" ht="15.75" customHeight="1" s="7635" thickBot="1">
      <c r="A26" s="2013" t="n"/>
      <c r="B26" s="11602" t="n"/>
      <c r="C26" s="7861" t="inlineStr">
        <is>
          <t>5</t>
        </is>
      </c>
      <c r="D26" s="344" t="inlineStr">
        <is>
          <t>Household income as a percentage of federal poverty line (see instructions)</t>
        </is>
      </c>
      <c r="E26" s="11602" t="n"/>
      <c r="F26" s="11602" t="n"/>
      <c r="G26" s="11602" t="n"/>
      <c r="H26" s="11602" t="n"/>
      <c r="I26" s="11602" t="n"/>
      <c r="J26" s="11602" t="n"/>
      <c r="K26" s="11602" t="n"/>
      <c r="L26" s="11602" t="n"/>
      <c r="M26" s="11602" t="n"/>
      <c r="N26" s="11602" t="n"/>
      <c r="O26" s="11602" t="n"/>
      <c r="P26" s="11602" t="n"/>
      <c r="Q26" s="11602" t="n"/>
      <c r="R26" s="11602" t="n"/>
      <c r="S26" s="11602" t="n"/>
      <c r="T26" s="11602" t="n"/>
      <c r="U26" s="11602" t="n"/>
      <c r="V26" s="11602" t="n"/>
      <c r="W26" s="11602" t="n"/>
      <c r="X26" s="11602" t="n"/>
      <c r="Y26" s="11602" t="n"/>
      <c r="Z26" s="11602" t="n"/>
      <c r="AA26" s="11602" t="n"/>
      <c r="AB26" s="11602" t="n"/>
      <c r="AC26" s="1401" t="inlineStr">
        <is>
          <t xml:space="preserve">.   .   .   .   .   .   .   .   .   .   .   .   .   .  </t>
        </is>
      </c>
      <c r="AD26" s="2895" t="n">
        <v>5</v>
      </c>
      <c r="AE26" s="11585">
        <f>IF(AM26&lt;&gt;"",ROUND(AM26,0),IF(OR(AE25="",AE25=0),"",AV67))</f>
        <v/>
      </c>
      <c r="AF26" s="7637" t="n"/>
      <c r="AG26" s="7637" t="n"/>
      <c r="AH26" s="7637" t="n"/>
      <c r="AI26" s="7637" t="n"/>
      <c r="AJ26" s="3833">
        <f>"%"</f>
        <v/>
      </c>
      <c r="AK26" s="2013" t="n"/>
      <c r="AL26" s="7914" t="n">
        <v>5</v>
      </c>
      <c r="AM26" s="392" t="n"/>
      <c r="AN26" s="420" t="n"/>
      <c r="AO26" s="408" t="n"/>
      <c r="AP26" s="7299" t="n"/>
      <c r="AQ26" s="11602" t="n"/>
      <c r="AR26" s="11602" t="n"/>
      <c r="AS26" s="11602" t="n"/>
      <c r="AT26" s="11602" t="n"/>
      <c r="AU26" s="11602" t="n"/>
      <c r="AV26" s="11602" t="n"/>
      <c r="AW26" s="11602" t="n"/>
      <c r="AX26" s="11602" t="n"/>
      <c r="AY26" s="409" t="n"/>
      <c r="AZ26" s="11602" t="n"/>
      <c r="BA26" s="408" t="n"/>
      <c r="BB26" s="7299" t="n"/>
      <c r="BC26" s="11602" t="n"/>
      <c r="BD26" s="11602" t="n"/>
      <c r="BE26" s="11602" t="n"/>
      <c r="BF26" s="11602" t="n"/>
      <c r="BG26" s="11602" t="n"/>
      <c r="BH26" s="11602" t="n"/>
      <c r="BI26" s="11602" t="n"/>
      <c r="BJ26" s="11602" t="n"/>
      <c r="BK26" s="409" t="n"/>
      <c r="BL26" s="11602" t="n"/>
    </row>
    <row r="27" ht="15.75" customHeight="1" s="7635">
      <c r="A27" s="2013" t="n"/>
      <c r="B27" s="11602" t="n"/>
      <c r="C27" s="7861" t="inlineStr">
        <is>
          <t>6</t>
        </is>
      </c>
      <c r="D27" s="344" t="inlineStr">
        <is>
          <t>Reserved for future use</t>
        </is>
      </c>
      <c r="E27" s="11602" t="n"/>
      <c r="F27" s="11602" t="n"/>
      <c r="G27" s="11602" t="n"/>
      <c r="H27" s="11602" t="n"/>
      <c r="I27" s="11602" t="n"/>
      <c r="J27" s="11602" t="n"/>
      <c r="K27" s="11602" t="n"/>
      <c r="L27" s="11602" t="n"/>
      <c r="M27" s="11602" t="n"/>
      <c r="N27" s="11602" t="n"/>
      <c r="O27" s="11602" t="n"/>
      <c r="P27" s="11602" t="n"/>
      <c r="Q27" s="11602" t="n"/>
      <c r="R27" s="11602" t="n"/>
      <c r="S27" s="11602" t="n"/>
      <c r="T27" s="11602" t="n"/>
      <c r="U27" s="11602" t="n"/>
      <c r="V27" s="11602" t="n"/>
      <c r="W27" s="11602" t="n"/>
      <c r="X27" s="11602" t="n"/>
      <c r="Y27" s="11602" t="n"/>
      <c r="Z27" s="11602" t="n"/>
      <c r="AA27" s="11602" t="n"/>
      <c r="AB27" s="11602" t="n"/>
      <c r="AC27" s="1401" t="inlineStr">
        <is>
          <t xml:space="preserve">.   .   .   .   .   .   .   .   .   .   .   .   .   .   .   .   .   .   .   .   .   .   .   .   .   .   .   .   .   .   .   .   .   .   .   .   .  </t>
        </is>
      </c>
      <c r="AD27" s="3834" t="n"/>
      <c r="AE27" s="3835" t="n"/>
      <c r="AF27" s="3835" t="n"/>
      <c r="AG27" s="3835" t="n"/>
      <c r="AH27" s="3835" t="n"/>
      <c r="AI27" s="3835" t="n"/>
      <c r="AJ27" s="3835" t="n"/>
      <c r="AK27" s="2013" t="n"/>
      <c r="AL27" s="7914" t="n"/>
      <c r="AM27" s="420" t="n"/>
      <c r="AN27" s="420" t="n"/>
      <c r="AO27" s="408" t="n"/>
      <c r="AP27" s="7299" t="n"/>
      <c r="AQ27" s="11602" t="n"/>
      <c r="AR27" s="11602" t="n"/>
      <c r="AS27" s="11602" t="n"/>
      <c r="AT27" s="11602" t="n"/>
      <c r="AU27" s="11602" t="n"/>
      <c r="AV27" s="11602" t="n"/>
      <c r="AW27" s="11602" t="n"/>
      <c r="AX27" s="11602" t="n"/>
      <c r="AY27" s="409" t="n"/>
      <c r="AZ27" s="11602" t="n"/>
      <c r="BA27" s="408" t="n"/>
      <c r="BB27" s="7299" t="n"/>
      <c r="BC27" s="11602" t="n"/>
      <c r="BD27" s="11602" t="n"/>
      <c r="BE27" s="11602" t="n"/>
      <c r="BF27" s="11602" t="n"/>
      <c r="BG27" s="11602" t="n"/>
      <c r="BH27" s="11602" t="n"/>
      <c r="BI27" s="11602" t="n"/>
      <c r="BJ27" s="11602" t="n"/>
      <c r="BK27" s="409" t="n"/>
      <c r="BL27" s="11602" t="n"/>
    </row>
    <row r="28" ht="15" customHeight="1" s="7635" thickBot="1">
      <c r="A28" s="2013" t="n"/>
      <c r="B28" s="11602" t="n"/>
      <c r="C28" s="7861" t="inlineStr">
        <is>
          <t>7</t>
        </is>
      </c>
      <c r="D28" s="11602" t="inlineStr">
        <is>
          <t>Applicable Figure: Using your line 5 percentage, locate your “applicable figure” on the table in the instructions</t>
        </is>
      </c>
      <c r="E28" s="11602" t="n"/>
      <c r="F28" s="11602" t="n"/>
      <c r="G28" s="11602" t="n"/>
      <c r="H28" s="11602" t="n"/>
      <c r="I28" s="11602" t="n"/>
      <c r="J28" s="11602" t="n"/>
      <c r="K28" s="11602" t="n"/>
      <c r="L28" s="11602" t="n"/>
      <c r="M28" s="11602" t="n"/>
      <c r="N28" s="11602" t="n"/>
      <c r="O28" s="11602" t="n"/>
      <c r="P28" s="11602" t="n"/>
      <c r="Q28" s="11602" t="n"/>
      <c r="R28" s="11602" t="n"/>
      <c r="S28" s="11602" t="n"/>
      <c r="T28" s="11602" t="n"/>
      <c r="U28" s="11602" t="n"/>
      <c r="V28" s="11602" t="n"/>
      <c r="W28" s="11602" t="n"/>
      <c r="X28" s="11602" t="n"/>
      <c r="Y28" s="11602" t="n"/>
      <c r="Z28" s="11602" t="n"/>
      <c r="AA28" s="11602" t="n"/>
      <c r="AB28" s="11602" t="n"/>
      <c r="AC28" s="1401" t="inlineStr">
        <is>
          <t xml:space="preserve">.   .   .   .  </t>
        </is>
      </c>
      <c r="AD28" s="2895" t="n">
        <v>7</v>
      </c>
      <c r="AE28" s="12833">
        <f>IF(AND(File_Marr_Sep&lt;&gt;"",AI13=""),"",IF(OR(AL2&lt;&gt;1,AE26=0,AE17=0),"",BB56))</f>
        <v/>
      </c>
      <c r="AF28" s="7637" t="n"/>
      <c r="AG28" s="7637" t="n"/>
      <c r="AH28" s="7637" t="n"/>
      <c r="AI28" s="7637" t="n"/>
      <c r="AJ28" s="7637" t="n"/>
      <c r="AK28" s="2013" t="n"/>
      <c r="AL28" s="3836" t="n"/>
      <c r="AM28" s="3836" t="n"/>
      <c r="AN28" s="3837" t="n"/>
      <c r="AO28" s="3831" t="inlineStr">
        <is>
          <t>2.</t>
        </is>
      </c>
      <c r="AP28" s="7299" t="inlineStr">
        <is>
          <t>Enter any tax-exempt interest from Form 1040,</t>
        </is>
      </c>
      <c r="AQ28" s="11602" t="n"/>
      <c r="AR28" s="11602" t="n"/>
      <c r="AS28" s="11602" t="n"/>
      <c r="AT28" s="11602" t="n"/>
      <c r="AU28" s="11602" t="n"/>
      <c r="AV28" s="11602" t="n"/>
      <c r="AW28" s="11602" t="n"/>
      <c r="AX28" s="11602" t="n"/>
      <c r="AY28" s="409" t="n"/>
      <c r="AZ28" s="11602" t="n"/>
      <c r="BA28" s="3831" t="inlineStr">
        <is>
          <t>2.</t>
        </is>
      </c>
      <c r="BB28" s="7299" t="inlineStr">
        <is>
          <t>Enter any tax-exempt interest for your dependents</t>
        </is>
      </c>
      <c r="BC28" s="11602" t="n"/>
      <c r="BD28" s="11602" t="n"/>
      <c r="BE28" s="11602" t="n"/>
      <c r="BF28" s="11602" t="n"/>
      <c r="BG28" s="11602" t="n"/>
      <c r="BH28" s="11602" t="n"/>
      <c r="BI28" s="11602" t="n"/>
      <c r="BJ28" s="11602" t="n"/>
      <c r="BK28" s="409" t="n"/>
      <c r="BL28" s="11602" t="n"/>
    </row>
    <row r="29" ht="14.25" customHeight="1" s="7635" thickBot="1">
      <c r="A29" s="2013" t="n"/>
      <c r="B29" s="11602" t="n"/>
      <c r="C29" s="7861" t="inlineStr">
        <is>
          <t>8a</t>
        </is>
      </c>
      <c r="D29" s="7299" t="inlineStr">
        <is>
          <t>Annual contrib. amt. Multiply line 3 by</t>
        </is>
      </c>
      <c r="E29" s="11602" t="n"/>
      <c r="F29" s="11602" t="n"/>
      <c r="G29" s="11602" t="n"/>
      <c r="H29" s="11602" t="n"/>
      <c r="I29" s="11602" t="n"/>
      <c r="J29" s="11602" t="n"/>
      <c r="K29" s="11602" t="n"/>
      <c r="L29" s="408" t="n"/>
      <c r="M29" s="11602" t="n"/>
      <c r="S29" s="7861" t="inlineStr">
        <is>
          <t>b</t>
        </is>
      </c>
      <c r="T29" s="344" t="inlineStr">
        <is>
          <t>Monthly contribution amount. Divide line 8a</t>
        </is>
      </c>
      <c r="U29" s="11602" t="n"/>
      <c r="V29" s="11602" t="n"/>
      <c r="W29" s="11602" t="n"/>
      <c r="X29" s="11602" t="n"/>
      <c r="Y29" s="11602" t="n"/>
      <c r="Z29" s="11602" t="n"/>
      <c r="AA29" s="11602" t="n"/>
      <c r="AB29" s="11602" t="n"/>
      <c r="AC29" s="11602" t="n"/>
      <c r="AD29" s="726" t="n"/>
      <c r="AE29" s="11602" t="n"/>
      <c r="AF29" s="11602" t="n"/>
      <c r="AG29" s="11602" t="n"/>
      <c r="AH29" s="11602" t="n"/>
      <c r="AI29" s="11602" t="n"/>
      <c r="AJ29" s="11602" t="n"/>
      <c r="AK29" s="2013" t="n"/>
      <c r="AL29" s="7914" t="inlineStr">
        <is>
          <t>8a</t>
        </is>
      </c>
      <c r="AM29" s="392" t="n"/>
      <c r="AN29" s="420" t="n"/>
      <c r="AO29" s="408" t="n"/>
      <c r="AP29" s="7299" t="inlineStr">
        <is>
          <t>1040-SR, Form 1040-NR, line 2a.  .  .</t>
        </is>
      </c>
      <c r="AQ29" s="11602" t="n"/>
      <c r="AR29" s="11602" t="n"/>
      <c r="AS29" s="11602" t="n"/>
      <c r="AT29" s="345" t="inlineStr">
        <is>
          <t>2.</t>
        </is>
      </c>
      <c r="AU29" s="3838">
        <f>IF(AX29&lt;&gt;"",ROUND(AX29,0),'1040'!S61)</f>
        <v/>
      </c>
      <c r="AV29" s="11602" t="n"/>
      <c r="AW29" s="11602" t="n"/>
      <c r="AX29" s="1317" t="n"/>
      <c r="AY29" s="409" t="n"/>
      <c r="AZ29" s="11602" t="n"/>
      <c r="BA29" s="3831" t="n"/>
      <c r="BB29" s="7299" t="inlineStr">
        <is>
          <t>from Form 1040, 1040-SR, or Form 1040-NR,</t>
        </is>
      </c>
      <c r="BC29" s="11602" t="n"/>
      <c r="BD29" s="11602" t="n"/>
      <c r="BE29" s="11602" t="n"/>
      <c r="BF29" s="11602" t="n"/>
      <c r="BG29" s="11602" t="n"/>
      <c r="BH29" s="11602" t="n"/>
      <c r="BI29" s="11602" t="n"/>
      <c r="BJ29" s="11602" t="n"/>
      <c r="BK29" s="409" t="n"/>
      <c r="BL29" s="11602" t="n"/>
    </row>
    <row r="30" ht="12.75" customHeight="1" s="7635" thickBot="1">
      <c r="A30" s="2013" t="n"/>
      <c r="B30" s="380" t="n"/>
      <c r="C30" s="380" t="n"/>
      <c r="D30" s="2266" t="inlineStr">
        <is>
          <t>line 7. Round to nearest whole dollar.</t>
        </is>
      </c>
      <c r="E30" s="380" t="n"/>
      <c r="F30" s="380" t="n"/>
      <c r="G30" s="380" t="n"/>
      <c r="H30" s="380" t="n"/>
      <c r="I30" s="380" t="n"/>
      <c r="J30" s="380" t="n"/>
      <c r="K30" s="380" t="n"/>
      <c r="L30" s="3839" t="inlineStr">
        <is>
          <t>8a</t>
        </is>
      </c>
      <c r="M30" s="8216">
        <f>IF(AND(File_Marr_Sep&lt;&gt;"",AI13=""),"",IF(AM29&lt;&gt;"",ROUND(AM29,0),IF(OR(AL2&lt;&gt;1,AE26=0,AE17=0),"",ROUND(AE22*AE28,0))))</f>
        <v/>
      </c>
      <c r="N30" s="8848" t="n"/>
      <c r="O30" s="8848" t="n"/>
      <c r="P30" s="8848" t="n"/>
      <c r="Q30" s="8848" t="n"/>
      <c r="R30" s="8848" t="n"/>
      <c r="S30" s="380" t="n"/>
      <c r="T30" s="498" t="inlineStr">
        <is>
          <t>by 12. Round to whole dollar amount</t>
        </is>
      </c>
      <c r="U30" s="380" t="n"/>
      <c r="V30" s="380" t="n"/>
      <c r="W30" s="380" t="n"/>
      <c r="X30" s="380" t="n"/>
      <c r="Y30" s="380" t="n"/>
      <c r="Z30" s="380" t="n"/>
      <c r="AA30" s="380" t="n"/>
      <c r="AB30" s="380" t="n"/>
      <c r="AC30" s="1401" t="inlineStr">
        <is>
          <t xml:space="preserve">.   .   .   .  </t>
        </is>
      </c>
      <c r="AD30" s="3840" t="inlineStr">
        <is>
          <t>8b</t>
        </is>
      </c>
      <c r="AE30" s="8347">
        <f>IF(AND(File_Marr_Sep&lt;&gt;"",AI13=""),"",IF(AM30&lt;&gt;"",ROUND(AM30,0),IF(OR(AL2&lt;&gt;1,AE26=0,AE17=0),"",ROUND(M30/12,0))))</f>
        <v/>
      </c>
      <c r="AF30" s="8848" t="n"/>
      <c r="AG30" s="8848" t="n"/>
      <c r="AH30" s="8848" t="n"/>
      <c r="AI30" s="8848" t="n"/>
      <c r="AJ30" s="8848" t="n"/>
      <c r="AK30" s="2013" t="n"/>
      <c r="AL30" s="7914" t="inlineStr">
        <is>
          <t>8b</t>
        </is>
      </c>
      <c r="AM30" s="845" t="n"/>
      <c r="AN30" s="420" t="n"/>
      <c r="AO30" s="408" t="n"/>
      <c r="AP30" s="7299" t="n"/>
      <c r="AQ30" s="11602" t="n"/>
      <c r="AR30" s="11602" t="n"/>
      <c r="AS30" s="11602" t="n"/>
      <c r="AT30" s="345" t="n"/>
      <c r="AU30" s="11602" t="n"/>
      <c r="AV30" s="11602" t="n"/>
      <c r="AW30" s="11602" t="n"/>
      <c r="AX30" s="11602" t="n"/>
      <c r="AY30" s="409" t="n"/>
      <c r="AZ30" s="11602" t="n"/>
      <c r="BA30" s="408" t="n"/>
      <c r="BB30" s="7299" t="inlineStr">
        <is>
          <t>line 2a.  .  .  .  .  .  .  .  .  .  .  .  .  .  .  .  .  .  .  .  .  .  .  .  .  .  .  .  .</t>
        </is>
      </c>
      <c r="BC30" s="11602" t="n"/>
      <c r="BD30" s="11602" t="n"/>
      <c r="BE30" s="11602" t="n"/>
      <c r="BF30" s="345" t="inlineStr">
        <is>
          <t>2.</t>
        </is>
      </c>
      <c r="BG30" s="387" t="n"/>
      <c r="BH30" s="11602" t="n"/>
      <c r="BI30" s="11602" t="n"/>
      <c r="BJ30" s="11602" t="n"/>
      <c r="BK30" s="409" t="n"/>
      <c r="BL30" s="11602" t="n"/>
    </row>
    <row r="31" ht="17.25" customHeight="1" s="7635">
      <c r="A31" s="2013" t="n"/>
      <c r="B31" s="11126" t="inlineStr">
        <is>
          <t>Part II</t>
        </is>
      </c>
      <c r="C31" s="12097" t="n"/>
      <c r="D31" s="2085" t="n"/>
      <c r="E31" s="3376" t="inlineStr">
        <is>
          <t>Premium Tax Credit Claim and Reconciliation of Advance Payment of Premium Tax Credit</t>
        </is>
      </c>
      <c r="F31" s="773" t="n"/>
      <c r="G31" s="773" t="n"/>
      <c r="H31" s="773" t="n"/>
      <c r="I31" s="773" t="n"/>
      <c r="J31" s="773" t="n"/>
      <c r="K31" s="773" t="n"/>
      <c r="L31" s="773" t="n"/>
      <c r="M31" s="413" t="n"/>
      <c r="N31" s="413" t="n"/>
      <c r="O31" s="413" t="n"/>
      <c r="P31" s="413" t="n"/>
      <c r="Q31" s="413" t="n"/>
      <c r="R31" s="413" t="n"/>
      <c r="S31" s="773" t="n"/>
      <c r="T31" s="773" t="n"/>
      <c r="U31" s="773" t="n"/>
      <c r="V31" s="773" t="n"/>
      <c r="W31" s="773" t="n"/>
      <c r="X31" s="773" t="n"/>
      <c r="Y31" s="773" t="n"/>
      <c r="Z31" s="773" t="n"/>
      <c r="AA31" s="773" t="n"/>
      <c r="AB31" s="773" t="n"/>
      <c r="AC31" s="773" t="n"/>
      <c r="AD31" s="773" t="n"/>
      <c r="AE31" s="773" t="n"/>
      <c r="AF31" s="773" t="n"/>
      <c r="AG31" s="773" t="n"/>
      <c r="AH31" s="773" t="n"/>
      <c r="AI31" s="773" t="n"/>
      <c r="AJ31" s="773" t="n"/>
      <c r="AK31" s="2013" t="n"/>
      <c r="AL31" s="11602" t="n"/>
      <c r="AM31" s="12834" t="n"/>
      <c r="AN31" s="12834" t="n"/>
      <c r="AO31" s="408" t="n"/>
      <c r="AP31" s="7299" t="n"/>
      <c r="AQ31" s="11602" t="n"/>
      <c r="AR31" s="11602" t="n"/>
      <c r="AS31" s="11602" t="n"/>
      <c r="AT31" s="11602" t="n"/>
      <c r="AU31" s="11602" t="n"/>
      <c r="AV31" s="11602" t="n"/>
      <c r="AW31" s="11602" t="n"/>
      <c r="AX31" s="11602" t="n"/>
      <c r="AY31" s="409" t="n"/>
      <c r="AZ31" s="11602" t="n"/>
      <c r="BA31" s="408" t="n"/>
      <c r="BB31" s="7299" t="n"/>
      <c r="BC31" s="11602" t="n"/>
      <c r="BD31" s="11602" t="n"/>
      <c r="BE31" s="11602" t="n"/>
      <c r="BF31" s="11602" t="n"/>
      <c r="BG31" s="11602" t="n"/>
      <c r="BH31" s="11602" t="n"/>
      <c r="BI31" s="11602" t="n"/>
      <c r="BJ31" s="11602" t="n"/>
      <c r="BK31" s="409" t="n"/>
      <c r="BL31" s="11602" t="n"/>
    </row>
    <row r="32" ht="15" customHeight="1" s="7635">
      <c r="A32" s="2013" t="n"/>
      <c r="B32" s="11602" t="n"/>
      <c r="C32" s="7861" t="inlineStr">
        <is>
          <t>9</t>
        </is>
      </c>
      <c r="D32" s="344" t="inlineStr">
        <is>
          <t>Are you allocating policy amounts with another taxpayer or do you want to use the alternative calculation for year of marriage?  See instructions.</t>
        </is>
      </c>
      <c r="E32" s="11602" t="n"/>
      <c r="F32" s="11602" t="n"/>
      <c r="G32" s="11602" t="n"/>
      <c r="H32" s="11602" t="n"/>
      <c r="I32" s="11602" t="n"/>
      <c r="J32" s="11602" t="n"/>
      <c r="K32" s="11602" t="n"/>
      <c r="L32" s="11602" t="n"/>
      <c r="M32" s="11602" t="n"/>
      <c r="N32" s="11602" t="n"/>
      <c r="O32" s="11602" t="n"/>
      <c r="P32" s="11602" t="n"/>
      <c r="Q32" s="11602" t="n"/>
      <c r="R32" s="11602" t="n"/>
      <c r="S32" s="11602" t="n"/>
      <c r="T32" s="11602" t="n"/>
      <c r="U32" s="11602" t="n"/>
      <c r="V32" s="11602" t="n"/>
      <c r="W32" s="11602" t="n"/>
      <c r="X32" s="11602" t="n"/>
      <c r="Y32" s="11602" t="n"/>
      <c r="Z32" s="11602" t="n"/>
      <c r="AA32" s="11602" t="n"/>
      <c r="AB32" s="11602" t="n"/>
      <c r="AC32" s="11602" t="n"/>
      <c r="AD32" s="11602" t="n"/>
      <c r="AE32" s="11602" t="n"/>
      <c r="AF32" s="11602" t="n"/>
      <c r="AG32" s="11602" t="n"/>
      <c r="AH32" s="11602" t="n"/>
      <c r="AI32" s="11602" t="n"/>
      <c r="AJ32" s="11602" t="n"/>
      <c r="AK32" s="2013" t="n"/>
      <c r="AL32" s="11602" t="n"/>
      <c r="AM32" s="3830">
        <f>IF($AE$17&gt;8,LOOKUP($AE$17,$AP$82:$AP$90,$AQ$82:$AQ$90)+(($AE$17-8)*#REF!),LOOKUP($AE$17,$AP$82:$AP$90,$AQ$82:$AQ$90))</f>
        <v/>
      </c>
      <c r="AN32" s="11602" t="n"/>
      <c r="AO32" s="3831" t="inlineStr">
        <is>
          <t>3.</t>
        </is>
      </c>
      <c r="AP32" s="7299" t="inlineStr">
        <is>
          <t>Enter any amounts from Form 2555,</t>
        </is>
      </c>
      <c r="AQ32" s="11602" t="n"/>
      <c r="AR32" s="11602" t="n"/>
      <c r="AS32" s="11602" t="n"/>
      <c r="AT32" s="11602" t="n"/>
      <c r="AU32" s="11602" t="n"/>
      <c r="AV32" s="11602" t="n"/>
      <c r="AW32" s="11602" t="n"/>
      <c r="AX32" s="11602" t="n"/>
      <c r="AY32" s="409" t="n"/>
      <c r="AZ32" s="11602" t="n"/>
      <c r="BA32" s="408" t="n"/>
      <c r="BB32" s="7299" t="n"/>
      <c r="BC32" s="11602" t="n"/>
      <c r="BD32" s="11602" t="n"/>
      <c r="BE32" s="11602" t="n"/>
      <c r="BF32" s="11602" t="n"/>
      <c r="BG32" s="11602" t="n"/>
      <c r="BH32" s="11602" t="n"/>
      <c r="BI32" s="11602" t="n"/>
      <c r="BJ32" s="11602" t="n"/>
      <c r="BK32" s="409" t="n"/>
      <c r="BL32" s="11602" t="n"/>
    </row>
    <row r="33" ht="13.5" customHeight="1" s="7635">
      <c r="A33" s="2013" t="n"/>
      <c r="B33" s="11602" t="n"/>
      <c r="C33" s="7861" t="n"/>
      <c r="D33" s="384" t="n"/>
      <c r="E33" s="7886" t="inlineStr">
        <is>
          <t>Yes.</t>
        </is>
      </c>
      <c r="F33" s="11602" t="n"/>
      <c r="G33" s="344" t="inlineStr">
        <is>
          <t>Skip to</t>
        </is>
      </c>
      <c r="H33" s="11602" t="n"/>
      <c r="I33" s="344" t="inlineStr">
        <is>
          <t>Part IV, Allocation of Policy Amounts, or Part V, Alternative Calculation for Year of Marriage</t>
        </is>
      </c>
      <c r="J33" s="11602" t="n"/>
      <c r="K33" s="11602" t="n"/>
      <c r="L33" s="11602" t="n"/>
      <c r="M33" s="11602" t="n"/>
      <c r="N33" s="11602" t="n"/>
      <c r="O33" s="11602" t="n"/>
      <c r="P33" s="11602" t="n"/>
      <c r="Q33" s="11602" t="n"/>
      <c r="R33" s="11602" t="n"/>
      <c r="S33" s="11602" t="n"/>
      <c r="T33" s="11602" t="n"/>
      <c r="U33" s="11602" t="n"/>
      <c r="V33" s="11602" t="n"/>
      <c r="W33" s="11602" t="n"/>
      <c r="X33" s="11602" t="n"/>
      <c r="Y33" s="11602" t="n"/>
      <c r="Z33" s="11602" t="n"/>
      <c r="AA33" s="11602" t="n"/>
      <c r="AB33" s="11602" t="n"/>
      <c r="AC33" s="11602" t="n"/>
      <c r="AD33" s="11602" t="n"/>
      <c r="AE33" s="11602" t="n"/>
      <c r="AF33" s="11602" t="n"/>
      <c r="AG33" s="11602" t="n"/>
      <c r="AH33" s="11602" t="n"/>
      <c r="AI33" s="11602" t="n"/>
      <c r="AJ33" s="11602" t="n"/>
      <c r="AK33" s="2013" t="n"/>
      <c r="AL33" s="11602" t="n"/>
      <c r="AM33" s="3830">
        <f>IF($AE$17&gt;8,LOOKUP($AE$17,$AP$82:$AP$90,$AR$82:$AR$90)+(($AE$17-8)*AQ91),LOOKUP($AE$17,$AP$82:$AP$90,$AR$82:$AR$90))</f>
        <v/>
      </c>
      <c r="AN33" s="11602" t="n"/>
      <c r="AO33" s="408" t="n"/>
      <c r="AP33" s="7299" t="inlineStr">
        <is>
          <t>lines 45 and 50.  .  .  .  .  .  .  .  .  .  .  .  .  .  .  .  .  .  .  .  .</t>
        </is>
      </c>
      <c r="AQ33" s="11602" t="n"/>
      <c r="AR33" s="11602" t="n"/>
      <c r="AS33" s="11602" t="n"/>
      <c r="AT33" s="345" t="inlineStr">
        <is>
          <t>3.</t>
        </is>
      </c>
      <c r="AU33" s="3838">
        <f>IF(AX33&lt;&gt;"",ROUND(AX33,0),IF(ISERROR(SUM(F2555_Line45_Total,ForeignHousingDeductionTotal)),"",SUM(F2555_Line45_Total,ForeignHousingDeductionTotal)))</f>
        <v/>
      </c>
      <c r="AV33" s="11602" t="n"/>
      <c r="AW33" s="11602" t="n"/>
      <c r="AX33" s="1317" t="n"/>
      <c r="AY33" s="409" t="n"/>
      <c r="AZ33" s="11602" t="n"/>
      <c r="BA33" s="3831" t="inlineStr">
        <is>
          <t>3.</t>
        </is>
      </c>
      <c r="BB33" s="7299" t="inlineStr">
        <is>
          <t>Enter any amounts for your dependents from</t>
        </is>
      </c>
      <c r="BC33" s="11602" t="n"/>
      <c r="BD33" s="11602" t="n"/>
      <c r="BE33" s="11602" t="n"/>
      <c r="BF33" s="11602" t="n"/>
      <c r="BG33" s="11602" t="n"/>
      <c r="BH33" s="11602" t="n"/>
      <c r="BI33" s="11602" t="n"/>
      <c r="BJ33" s="11602" t="n"/>
      <c r="BK33" s="409" t="n"/>
      <c r="BL33" s="11602" t="n"/>
    </row>
    <row r="34" ht="5.25" customHeight="1" s="7635">
      <c r="A34" s="2013" t="n"/>
      <c r="B34" s="11602" t="n"/>
      <c r="C34" s="11602" t="n"/>
      <c r="D34" s="11602" t="n"/>
      <c r="E34" s="11602" t="n"/>
      <c r="F34" s="11602" t="n"/>
      <c r="G34" s="11602" t="n"/>
      <c r="H34" s="11602" t="n"/>
      <c r="I34" s="11602" t="n"/>
      <c r="J34" s="11602" t="n"/>
      <c r="K34" s="11602" t="n"/>
      <c r="L34" s="11602" t="n"/>
      <c r="M34" s="11602" t="n"/>
      <c r="N34" s="11602" t="n"/>
      <c r="O34" s="11602" t="n"/>
      <c r="P34" s="11602" t="n"/>
      <c r="Q34" s="11602" t="n"/>
      <c r="R34" s="11602" t="n"/>
      <c r="S34" s="11602" t="n"/>
      <c r="T34" s="11602" t="n"/>
      <c r="U34" s="11602" t="n"/>
      <c r="V34" s="11602" t="n"/>
      <c r="W34" s="11602" t="n"/>
      <c r="X34" s="11602" t="n"/>
      <c r="Y34" s="11602" t="n"/>
      <c r="Z34" s="11602" t="n"/>
      <c r="AA34" s="11602" t="n"/>
      <c r="AB34" s="11602" t="n"/>
      <c r="AC34" s="11602" t="n"/>
      <c r="AD34" s="11602" t="n"/>
      <c r="AE34" s="11602" t="n"/>
      <c r="AF34" s="11602" t="n"/>
      <c r="AG34" s="11602" t="n"/>
      <c r="AH34" s="11602" t="n"/>
      <c r="AI34" s="11602" t="n"/>
      <c r="AJ34" s="11602" t="n"/>
      <c r="AK34" s="2013" t="n"/>
      <c r="AL34" s="11602" t="n"/>
      <c r="AM34" s="3830">
        <f>IF($AE$17&gt;8,LOOKUP($AE$17,$AP$82:$AP$90,$AS$82:$AS$90)+(($AE$17-8)*AR90),LOOKUP($AE$17,$AP$82:$AP$90,$AS$82:$AS$90))</f>
        <v/>
      </c>
      <c r="AN34" s="11602" t="n"/>
      <c r="AO34" s="408" t="n"/>
      <c r="AP34" s="7299" t="n"/>
      <c r="AQ34" s="11602" t="n"/>
      <c r="AR34" s="11602" t="n"/>
      <c r="AS34" s="11602" t="n"/>
      <c r="AT34" s="11602" t="n"/>
      <c r="AU34" s="11602" t="n"/>
      <c r="AV34" s="11602" t="n"/>
      <c r="AW34" s="11602" t="n"/>
      <c r="AX34" s="11602" t="n"/>
      <c r="AY34" s="409" t="n"/>
      <c r="AZ34" s="11602" t="n"/>
      <c r="BA34" s="3831" t="n"/>
      <c r="BB34" s="7299" t="n"/>
      <c r="BC34" s="11602" t="n"/>
      <c r="BD34" s="11602" t="n"/>
      <c r="BE34" s="11602" t="n"/>
      <c r="BF34" s="11602" t="n"/>
      <c r="BG34" s="11602" t="n"/>
      <c r="BH34" s="11602" t="n"/>
      <c r="BI34" s="11602" t="n"/>
      <c r="BJ34" s="11602" t="n"/>
      <c r="BK34" s="409" t="n"/>
      <c r="BL34" s="11602" t="n"/>
    </row>
    <row r="35" ht="14.25" customHeight="1" s="7635">
      <c r="A35" s="2013" t="n"/>
      <c r="B35" s="11602" t="n"/>
      <c r="C35" s="11602" t="n"/>
      <c r="D35" s="1983">
        <f>IF(OR(AL2&lt;&gt;1,D33&lt;&gt;""),"","X")</f>
        <v/>
      </c>
      <c r="E35" s="1059" t="inlineStr">
        <is>
          <t>No. Continue to line 10.</t>
        </is>
      </c>
      <c r="F35" s="11602" t="n"/>
      <c r="G35" s="11602" t="n"/>
      <c r="H35" s="11602" t="n"/>
      <c r="I35" s="11602" t="n"/>
      <c r="J35" s="11602" t="n"/>
      <c r="K35" s="11602" t="n"/>
      <c r="L35" s="11602" t="n"/>
      <c r="M35" s="11602" t="n"/>
      <c r="N35" s="11602" t="n"/>
      <c r="O35" s="11602" t="n"/>
      <c r="P35" s="11602" t="n"/>
      <c r="Q35" s="11602" t="n"/>
      <c r="R35" s="11602" t="n"/>
      <c r="S35" s="11602" t="n"/>
      <c r="T35" s="11602" t="n"/>
      <c r="U35" s="11602" t="n"/>
      <c r="V35" s="11602" t="n"/>
      <c r="W35" s="11602" t="n"/>
      <c r="X35" s="11602" t="n"/>
      <c r="Y35" s="11602" t="n"/>
      <c r="Z35" s="11602" t="n"/>
      <c r="AA35" s="11602" t="n"/>
      <c r="AB35" s="11602" t="n"/>
      <c r="AC35" s="11602" t="n"/>
      <c r="AD35" s="11602" t="n"/>
      <c r="AE35" s="11602" t="n"/>
      <c r="AF35" s="11602" t="n"/>
      <c r="AG35" s="11602" t="n"/>
      <c r="AH35" s="11602" t="n"/>
      <c r="AI35" s="11602" t="n"/>
      <c r="AJ35" s="11602" t="n"/>
      <c r="AK35" s="2013" t="n"/>
      <c r="AL35" s="11602" t="n"/>
      <c r="AM35" s="3830">
        <f>IF($AE$17&gt;8,LOOKUP($AE$17,$AP$82:$AP$90,$AS$82:$AS$90)+(($AE$17-8)*AR91),LOOKUP($AE$17,$AP$82:$AP$90,$AS$82:$AS$90))</f>
        <v/>
      </c>
      <c r="AN35" s="11602" t="n"/>
      <c r="AO35" s="408" t="n"/>
      <c r="AP35" s="7299" t="n"/>
      <c r="AQ35" s="11602" t="n"/>
      <c r="AR35" s="11602" t="n"/>
      <c r="AS35" s="11602" t="n"/>
      <c r="AT35" s="11602" t="n"/>
      <c r="AU35" s="11602" t="n"/>
      <c r="AV35" s="11602" t="n"/>
      <c r="AW35" s="11602" t="n"/>
      <c r="AX35" s="11602" t="n"/>
      <c r="AY35" s="409" t="n"/>
      <c r="AZ35" s="11602" t="n"/>
      <c r="BA35" s="408" t="n"/>
      <c r="BB35" s="7299" t="inlineStr">
        <is>
          <t>Form 2555, lines 45 and 50.  .  .  .  .  .  .  .  .  .  .  .  .  .  .  .  .  .  .  .  .  .  .  .  .  .  .  .  .</t>
        </is>
      </c>
      <c r="BC35" s="11602" t="n"/>
      <c r="BD35" s="11602" t="n"/>
      <c r="BE35" s="11602" t="n"/>
      <c r="BF35" s="345" t="inlineStr">
        <is>
          <t>3.</t>
        </is>
      </c>
      <c r="BG35" s="387" t="n"/>
      <c r="BH35" s="11602" t="n"/>
      <c r="BI35" s="11602" t="n"/>
      <c r="BJ35" s="11602" t="n"/>
      <c r="BK35" s="409" t="n"/>
      <c r="BL35" s="11602" t="n"/>
    </row>
    <row r="36" ht="18" customHeight="1" s="7635">
      <c r="A36" s="2013" t="n"/>
      <c r="B36" s="11602" t="n"/>
      <c r="C36" s="7861" t="inlineStr">
        <is>
          <t>10</t>
        </is>
      </c>
      <c r="D36" s="516" t="inlineStr">
        <is>
          <t>See the instructions to determine if you can use line 11 or must complete lines 12 through 23.</t>
        </is>
      </c>
      <c r="E36" s="11602" t="n"/>
      <c r="F36" s="11602" t="n"/>
      <c r="G36" s="11602" t="n"/>
      <c r="H36" s="11602" t="n"/>
      <c r="I36" s="11602" t="n"/>
      <c r="J36" s="11602" t="n"/>
      <c r="K36" s="11602" t="n"/>
      <c r="L36" s="11602" t="n"/>
      <c r="M36" s="11602" t="n"/>
      <c r="N36" s="11602" t="n"/>
      <c r="O36" s="11602" t="n"/>
      <c r="P36" s="11602" t="n"/>
      <c r="Q36" s="11602" t="n"/>
      <c r="R36" s="11602" t="n"/>
      <c r="S36" s="11602" t="n"/>
      <c r="T36" s="11602" t="n"/>
      <c r="U36" s="11602" t="n"/>
      <c r="V36" s="11602" t="n"/>
      <c r="W36" s="11602" t="n"/>
      <c r="X36" s="11602" t="n"/>
      <c r="Y36" s="11602" t="n"/>
      <c r="Z36" s="11602" t="n"/>
      <c r="AA36" s="11602" t="n"/>
      <c r="AB36" s="11602" t="n"/>
      <c r="AC36" s="11602" t="n"/>
      <c r="AD36" s="11602" t="n"/>
      <c r="AE36" s="11602" t="n"/>
      <c r="AF36" s="11602" t="n"/>
      <c r="AG36" s="11602" t="n"/>
      <c r="AH36" s="11602" t="n"/>
      <c r="AI36" s="11602" t="n"/>
      <c r="AJ36" s="11602" t="n"/>
      <c r="AK36" s="2013" t="n"/>
      <c r="AL36" s="11602" t="n"/>
      <c r="AM36" s="11602" t="n"/>
      <c r="AN36" s="11602" t="n"/>
      <c r="AO36" s="408" t="n"/>
      <c r="AP36" s="7299" t="n"/>
      <c r="AQ36" s="11602" t="n"/>
      <c r="AR36" s="11602" t="n"/>
      <c r="AS36" s="11602" t="n"/>
      <c r="AT36" s="11602" t="n"/>
      <c r="AU36" s="11602" t="n"/>
      <c r="AV36" s="11602" t="n"/>
      <c r="AW36" s="11602" t="n"/>
      <c r="AX36" s="11602" t="n"/>
      <c r="AY36" s="409" t="n"/>
      <c r="AZ36" s="11602" t="n"/>
      <c r="BA36" s="408" t="n"/>
      <c r="BB36" s="7299" t="n"/>
      <c r="BC36" s="11602" t="n"/>
      <c r="BD36" s="11602" t="n"/>
      <c r="BE36" s="11602" t="n"/>
      <c r="BF36" s="11602" t="n"/>
      <c r="BG36" s="11602" t="n"/>
      <c r="BH36" s="11602" t="n"/>
      <c r="BI36" s="11602" t="n"/>
      <c r="BJ36" s="11602" t="n"/>
      <c r="BK36" s="409" t="n"/>
      <c r="BL36" s="11602" t="n"/>
    </row>
    <row r="37" ht="15.75" customHeight="1" s="7635">
      <c r="A37" s="2013" t="n"/>
      <c r="B37" s="11602" t="n"/>
      <c r="C37" s="7861" t="n"/>
      <c r="D37" s="384" t="n"/>
      <c r="E37" s="344" t="inlineStr">
        <is>
          <t>Yes. Continue to line 11. Compute your annual PTC. Skip lines 12–23 and continue to line 24.</t>
        </is>
      </c>
      <c r="F37" s="11602" t="n"/>
      <c r="G37" s="11602" t="n"/>
      <c r="H37" s="11602" t="n"/>
      <c r="I37" s="11602" t="n"/>
      <c r="J37" s="11602" t="n"/>
      <c r="K37" s="11602" t="n"/>
      <c r="L37" s="11602" t="n"/>
      <c r="M37" s="11602" t="n"/>
      <c r="N37" s="11602" t="n"/>
      <c r="O37" s="11602" t="n"/>
      <c r="P37" s="11602" t="n"/>
      <c r="Q37" s="11602" t="n"/>
      <c r="R37" s="11602" t="n"/>
      <c r="S37" s="11602" t="n"/>
      <c r="T37" s="11602" t="n"/>
      <c r="U37" s="11602" t="n"/>
      <c r="V37" s="11602" t="n"/>
      <c r="W37" s="11602" t="n"/>
      <c r="X37" s="11602" t="n"/>
      <c r="Y37" s="11602" t="n"/>
      <c r="Z37" s="11602" t="n"/>
      <c r="AA37" s="11602" t="n"/>
      <c r="AB37" s="11602" t="n"/>
      <c r="AC37" s="11602" t="n"/>
      <c r="AD37" s="11602" t="n"/>
      <c r="AE37" s="11602" t="n"/>
      <c r="AF37" s="11602" t="n"/>
      <c r="AG37" s="11602" t="n"/>
      <c r="AH37" s="11602" t="n"/>
      <c r="AI37" s="11602" t="n"/>
      <c r="AJ37" s="11602" t="n"/>
      <c r="AK37" s="2013" t="n"/>
      <c r="AL37" s="11602" t="n"/>
      <c r="AM37" s="11602" t="n"/>
      <c r="AN37" s="11602" t="n"/>
      <c r="AO37" s="3831" t="inlineStr">
        <is>
          <t>4.</t>
        </is>
      </c>
      <c r="AP37" s="7299" t="inlineStr">
        <is>
          <t>Form 1040 or 1040-SR filers: If line 6a is more than</t>
        </is>
      </c>
      <c r="AQ37" s="11602" t="n"/>
      <c r="AR37" s="11602" t="n"/>
      <c r="AS37" s="11602" t="n"/>
      <c r="AT37" s="11602" t="n"/>
      <c r="AU37" s="11602" t="n"/>
      <c r="AV37" s="11602" t="n"/>
      <c r="AW37" s="11602" t="n"/>
      <c r="AX37" s="11602" t="n"/>
      <c r="AY37" s="409" t="n"/>
      <c r="AZ37" s="11602" t="n"/>
      <c r="BA37" s="3831" t="inlineStr">
        <is>
          <t>4.</t>
        </is>
      </c>
      <c r="BB37" s="807" t="inlineStr">
        <is>
          <t>For each dependent filing Form 1040 or 1040-SR:</t>
        </is>
      </c>
      <c r="BC37" s="11602" t="n"/>
      <c r="BD37" s="11602" t="n"/>
      <c r="BE37" s="11602" t="n"/>
      <c r="BF37" s="11602" t="n"/>
      <c r="BG37" s="11602" t="n"/>
      <c r="BH37" s="11602" t="n"/>
      <c r="BI37" s="11602" t="n"/>
      <c r="BJ37" s="11602" t="n"/>
      <c r="BK37" s="409" t="n"/>
      <c r="BL37" s="11602" t="n"/>
    </row>
    <row r="38" ht="4.5" customHeight="1" s="7635">
      <c r="A38" s="2013" t="n"/>
      <c r="B38" s="11602" t="n"/>
      <c r="C38" s="11602" t="n"/>
      <c r="D38" s="11602" t="n"/>
      <c r="E38" s="11602" t="n"/>
      <c r="F38" s="11602" t="n"/>
      <c r="G38" s="11602" t="n"/>
      <c r="H38" s="11602" t="n"/>
      <c r="I38" s="11602" t="n"/>
      <c r="J38" s="11602" t="n"/>
      <c r="K38" s="11602" t="n"/>
      <c r="L38" s="11602" t="n"/>
      <c r="M38" s="11602" t="n"/>
      <c r="N38" s="11602" t="n"/>
      <c r="O38" s="11602" t="n"/>
      <c r="P38" s="11602" t="n"/>
      <c r="Q38" s="11602" t="n"/>
      <c r="R38" s="11602" t="n"/>
      <c r="S38" s="11602" t="n"/>
      <c r="T38" s="11602" t="n"/>
      <c r="U38" s="11602" t="n"/>
      <c r="V38" s="11602" t="n"/>
      <c r="W38" s="11602" t="n"/>
      <c r="X38" s="11602" t="n"/>
      <c r="Y38" s="11602" t="n"/>
      <c r="Z38" s="11602" t="n"/>
      <c r="AA38" s="11602" t="n"/>
      <c r="AB38" s="11602" t="n"/>
      <c r="AC38" s="11602" t="n"/>
      <c r="AD38" s="11602" t="n"/>
      <c r="AE38" s="11602" t="n"/>
      <c r="AF38" s="11602" t="n"/>
      <c r="AG38" s="11602" t="n"/>
      <c r="AH38" s="11602" t="n"/>
      <c r="AI38" s="11602" t="n"/>
      <c r="AJ38" s="11602" t="n"/>
      <c r="AK38" s="2013" t="n"/>
      <c r="AL38" s="11602" t="n"/>
      <c r="AM38" s="11602" t="n"/>
      <c r="AN38" s="11602" t="n"/>
      <c r="AO38" s="408" t="n"/>
      <c r="AP38" s="1052" t="n"/>
      <c r="AQ38" s="11602" t="n"/>
      <c r="AR38" s="11602" t="n"/>
      <c r="AS38" s="11602" t="n"/>
      <c r="AT38" s="11602" t="n"/>
      <c r="AU38" s="11602" t="n"/>
      <c r="AV38" s="11602" t="n"/>
      <c r="AW38" s="11602" t="n"/>
      <c r="AX38" s="11602" t="n"/>
      <c r="AY38" s="409" t="n"/>
      <c r="AZ38" s="11602" t="n"/>
      <c r="BA38" s="3831" t="n"/>
      <c r="BB38" s="807" t="n"/>
      <c r="BC38" s="11602" t="n"/>
      <c r="BD38" s="11602" t="n"/>
      <c r="BE38" s="11602" t="n"/>
      <c r="BF38" s="11602" t="n"/>
      <c r="BG38" s="11602" t="n"/>
      <c r="BH38" s="11602" t="n"/>
      <c r="BI38" s="11602" t="n"/>
      <c r="BJ38" s="11602" t="n"/>
      <c r="BK38" s="409" t="n"/>
      <c r="BL38" s="11602" t="n"/>
    </row>
    <row r="39" ht="17.25" customHeight="1" s="7635">
      <c r="A39" s="2013" t="n"/>
      <c r="B39" s="11602" t="n"/>
      <c r="C39" s="11602" t="n"/>
      <c r="D39" s="1983">
        <f>IF(OR(AL2&lt;&gt;1,D37&lt;&gt;""),"","X")</f>
        <v/>
      </c>
      <c r="E39" s="344" t="inlineStr">
        <is>
          <t>No. Continue to lines 12–23. Compute your monthly PTC and continue to line 24.</t>
        </is>
      </c>
      <c r="F39" s="11602" t="n"/>
      <c r="G39" s="11602" t="n"/>
      <c r="H39" s="11602" t="n"/>
      <c r="I39" s="11602" t="n"/>
      <c r="J39" s="11602" t="n"/>
      <c r="K39" s="11602" t="n"/>
      <c r="L39" s="11602" t="n"/>
      <c r="M39" s="11602" t="n"/>
      <c r="N39" s="11602" t="n"/>
      <c r="O39" s="11602" t="n"/>
      <c r="P39" s="11602" t="n"/>
      <c r="Q39" s="11602" t="n"/>
      <c r="R39" s="11602" t="n"/>
      <c r="S39" s="11602" t="n"/>
      <c r="T39" s="11602" t="n"/>
      <c r="U39" s="11602" t="n"/>
      <c r="V39" s="11602" t="n"/>
      <c r="W39" s="11602" t="n"/>
      <c r="X39" s="11602" t="n"/>
      <c r="Y39" s="11602" t="n"/>
      <c r="Z39" s="11602" t="n"/>
      <c r="AA39" s="11602" t="n"/>
      <c r="AB39" s="11602" t="n"/>
      <c r="AC39" s="11602" t="n"/>
      <c r="AD39" s="11602" t="n"/>
      <c r="AE39" s="11602" t="n"/>
      <c r="AF39" s="11602" t="n"/>
      <c r="AG39" s="11602" t="n"/>
      <c r="AH39" s="11602" t="n"/>
      <c r="AI39" s="11602" t="n"/>
      <c r="AJ39" s="11602" t="n"/>
      <c r="AK39" s="2013" t="n"/>
      <c r="AL39" s="11602" t="n"/>
      <c r="AM39" s="11602" t="n"/>
      <c r="AN39" s="11602" t="n"/>
      <c r="AO39" s="408" t="n"/>
      <c r="AP39" s="1052" t="inlineStr">
        <is>
          <t>line 6b, subtract line 6b from line 6a and enter the</t>
        </is>
      </c>
      <c r="AQ39" s="11602" t="n"/>
      <c r="AR39" s="11602" t="n"/>
      <c r="AS39" s="11602" t="n"/>
      <c r="AT39" s="11602" t="n"/>
      <c r="AU39" s="11602" t="n"/>
      <c r="AV39" s="11602" t="n"/>
      <c r="AW39" s="11602" t="n"/>
      <c r="AX39" s="11602" t="n"/>
      <c r="AY39" s="409" t="n"/>
      <c r="AZ39" s="11602" t="n"/>
      <c r="BA39" s="3831" t="n"/>
      <c r="BB39" s="1052" t="inlineStr">
        <is>
          <t>If line 6a is more than Form 1040, line 6b,</t>
        </is>
      </c>
      <c r="BC39" s="11602" t="n"/>
      <c r="BD39" s="11602" t="n"/>
      <c r="BE39" s="11602" t="n"/>
      <c r="BF39" s="11602" t="n"/>
      <c r="BG39" s="11602" t="n"/>
      <c r="BH39" s="11602" t="n"/>
      <c r="BI39" s="11602" t="n"/>
      <c r="BJ39" s="11602" t="n"/>
      <c r="BK39" s="409" t="n"/>
      <c r="BL39" s="11602" t="n"/>
    </row>
    <row r="40" ht="6" customHeight="1" s="7635">
      <c r="A40" s="2013" t="n"/>
      <c r="B40" s="413" t="n"/>
      <c r="C40" s="413" t="n"/>
      <c r="D40" s="413" t="n"/>
      <c r="E40" s="413" t="n"/>
      <c r="F40" s="413" t="n"/>
      <c r="G40" s="413" t="n"/>
      <c r="H40" s="413" t="n"/>
      <c r="I40" s="413" t="n"/>
      <c r="J40" s="413" t="n"/>
      <c r="K40" s="413" t="n"/>
      <c r="L40" s="413" t="n"/>
      <c r="M40" s="413" t="n"/>
      <c r="N40" s="413" t="n"/>
      <c r="O40" s="413" t="n"/>
      <c r="P40" s="413" t="n"/>
      <c r="Q40" s="413" t="n"/>
      <c r="R40" s="413" t="n"/>
      <c r="S40" s="413" t="n"/>
      <c r="T40" s="413" t="n"/>
      <c r="U40" s="413" t="n"/>
      <c r="V40" s="413" t="n"/>
      <c r="W40" s="413" t="n"/>
      <c r="X40" s="413" t="n"/>
      <c r="Y40" s="413" t="n"/>
      <c r="Z40" s="413" t="n"/>
      <c r="AA40" s="413" t="n"/>
      <c r="AB40" s="413" t="n"/>
      <c r="AC40" s="413" t="n"/>
      <c r="AD40" s="413" t="n"/>
      <c r="AE40" s="413" t="n"/>
      <c r="AF40" s="413" t="n"/>
      <c r="AG40" s="413" t="n"/>
      <c r="AH40" s="413" t="n"/>
      <c r="AI40" s="413" t="n"/>
      <c r="AJ40" s="413" t="n"/>
      <c r="AK40" s="2013" t="n"/>
      <c r="AL40" s="11602" t="n"/>
      <c r="AM40" s="11602" t="n"/>
      <c r="AN40" s="11602" t="n"/>
      <c r="AO40" s="408" t="n"/>
      <c r="AP40" s="1680" t="n"/>
      <c r="AQ40" s="11602" t="n"/>
      <c r="AR40" s="11602" t="n"/>
      <c r="AS40" s="11602" t="n"/>
      <c r="AT40" s="11602" t="n"/>
      <c r="AU40" s="11602" t="n"/>
      <c r="AV40" s="11602" t="n"/>
      <c r="AW40" s="11602" t="n"/>
      <c r="AX40" s="11602" t="n"/>
      <c r="AY40" s="409" t="n"/>
      <c r="AZ40" s="11602" t="n"/>
      <c r="BA40" s="408" t="n"/>
      <c r="BB40" s="1052" t="n"/>
      <c r="BC40" s="11602" t="n"/>
      <c r="BD40" s="11602" t="n"/>
      <c r="BE40" s="11602" t="n"/>
      <c r="BF40" s="11602" t="n"/>
      <c r="BG40" s="11602" t="n"/>
      <c r="BH40" s="11602" t="n"/>
      <c r="BI40" s="11602" t="n"/>
      <c r="BJ40" s="11602" t="n"/>
      <c r="BK40" s="409" t="n"/>
      <c r="BL40" s="11602" t="n"/>
    </row>
    <row r="41" ht="6" customHeight="1" s="7635">
      <c r="A41" s="2013" t="n"/>
      <c r="B41" s="11514" t="inlineStr">
        <is>
          <t>Annual
Calculation</t>
        </is>
      </c>
      <c r="C41" s="7839" t="n"/>
      <c r="D41" s="7839" t="n"/>
      <c r="E41" s="7839" t="n"/>
      <c r="F41" s="7839" t="n"/>
      <c r="G41" s="11533" t="inlineStr">
        <is>
          <t>(a) Annual enrollment premiums (Form(s) 
1095-A, line 33A)</t>
        </is>
      </c>
      <c r="H41" s="7839" t="n"/>
      <c r="I41" s="7839" t="n"/>
      <c r="J41" s="7839" t="n"/>
      <c r="K41" s="10091" t="n"/>
      <c r="L41" s="11533" t="inlineStr">
        <is>
          <t>(b) Annual applicable 
SLCSP premium 
(Form(s) 1095-A, 
line 33B)</t>
        </is>
      </c>
      <c r="M41" s="7839" t="n"/>
      <c r="N41" s="7839" t="n"/>
      <c r="O41" s="7839" t="n"/>
      <c r="P41" s="10091" t="n"/>
      <c r="Q41" s="11533" t="inlineStr">
        <is>
          <t>(c) Annual 
contribution amount 
(line 8a)</t>
        </is>
      </c>
      <c r="R41" s="7839" t="n"/>
      <c r="S41" s="7839" t="n"/>
      <c r="T41" s="7839" t="n"/>
      <c r="U41" s="10091" t="n"/>
      <c r="V41" s="11533" t="inlineStr">
        <is>
          <t>(d) Annual maximum 
premium assistance 
(subtract (c) from (b), if
zero or less, enter -0-)</t>
        </is>
      </c>
      <c r="W41" s="7839" t="n"/>
      <c r="X41" s="7839" t="n"/>
      <c r="Y41" s="7839" t="n"/>
      <c r="Z41" s="10091" t="n"/>
      <c r="AA41" s="11533" t="inlineStr">
        <is>
          <t>(e) Annual premium tax 
credit allowed 
(smaller of (a) or (d))</t>
        </is>
      </c>
      <c r="AB41" s="7839" t="n"/>
      <c r="AC41" s="7839" t="n"/>
      <c r="AD41" s="7839" t="n"/>
      <c r="AE41" s="10091" t="n"/>
      <c r="AF41" s="11533" t="inlineStr">
        <is>
          <t>(f) Annual advance 
payment of PTC 
(Form(s) 1095-A, 
line 33C)</t>
        </is>
      </c>
      <c r="AG41" s="7839" t="n"/>
      <c r="AH41" s="7839" t="n"/>
      <c r="AI41" s="7839" t="n"/>
      <c r="AJ41" s="10091" t="n"/>
      <c r="AK41" s="2013" t="n"/>
      <c r="AL41" s="11602" t="n"/>
      <c r="AM41" s="11602" t="n"/>
      <c r="AN41" s="11602" t="n"/>
      <c r="AO41" s="408" t="n"/>
      <c r="AP41" s="1680" t="n"/>
      <c r="AQ41" s="11602" t="n"/>
      <c r="AR41" s="11602" t="n"/>
      <c r="AS41" s="11602" t="n"/>
      <c r="AT41" s="11602" t="n"/>
      <c r="AU41" s="11602" t="n"/>
      <c r="AV41" s="11602" t="n"/>
      <c r="AW41" s="11602" t="n"/>
      <c r="AX41" s="11602" t="n"/>
      <c r="AY41" s="409" t="n"/>
      <c r="AZ41" s="11602" t="n"/>
      <c r="BA41" s="408" t="n"/>
      <c r="BB41" s="1680" t="n"/>
      <c r="BC41" s="11602" t="n"/>
      <c r="BD41" s="11602" t="n"/>
      <c r="BE41" s="11602" t="n"/>
      <c r="BF41" s="345" t="n"/>
      <c r="BG41" s="11602" t="n"/>
      <c r="BH41" s="11602" t="n"/>
      <c r="BI41" s="11602" t="n"/>
      <c r="BJ41" s="11602" t="n"/>
      <c r="BK41" s="409" t="n"/>
      <c r="BL41" s="11602" t="n"/>
    </row>
    <row r="42" ht="14.25" customHeight="1" s="7635">
      <c r="A42" s="2013" t="n"/>
      <c r="G42" s="4772" t="n"/>
      <c r="K42" s="7636" t="n"/>
      <c r="L42" s="4772" t="n"/>
      <c r="P42" s="7636" t="n"/>
      <c r="Q42" s="4772" t="n"/>
      <c r="U42" s="7636" t="n"/>
      <c r="V42" s="4772" t="n"/>
      <c r="Z42" s="7636" t="n"/>
      <c r="AA42" s="4772" t="n"/>
      <c r="AE42" s="7636" t="n"/>
      <c r="AF42" s="4772" t="n"/>
      <c r="AJ42" s="7636" t="n"/>
      <c r="AK42" s="2013" t="n"/>
      <c r="AL42" s="11602" t="n"/>
      <c r="AM42" s="11602" t="n"/>
      <c r="AN42" s="11602" t="n"/>
      <c r="AO42" s="408" t="n"/>
      <c r="AP42" s="1680" t="inlineStr">
        <is>
          <t>result.  .  .  .  .  .  .  .  .  .  .  .  .  .  .  .  .  .  .  .  .  .  .  .  .  .  .  .  .</t>
        </is>
      </c>
      <c r="AQ42" s="11602" t="n"/>
      <c r="AR42" s="11602" t="n"/>
      <c r="AS42" s="11602" t="n"/>
      <c r="AT42" s="3842" t="inlineStr">
        <is>
          <t>4.</t>
        </is>
      </c>
      <c r="AU42" s="3838">
        <f>IF(AX42&lt;&gt;"",ROUND(AX42,0),IF(SocSecBenefits&gt;SocSecBenefits_Taxable,SUM(SocSecBenefits,-SocSecBenefits_Taxable),0))</f>
        <v/>
      </c>
      <c r="AV42" s="11602" t="n"/>
      <c r="AW42" s="11602" t="n"/>
      <c r="AX42" s="1317" t="n"/>
      <c r="AY42" s="409" t="n"/>
      <c r="AZ42" s="11602" t="n"/>
      <c r="BA42" s="408" t="n"/>
      <c r="BB42" s="1680" t="inlineStr">
        <is>
          <t>subtract line 6b from line 6a and enter the result.  .  .  .</t>
        </is>
      </c>
      <c r="BC42" s="11602" t="n"/>
      <c r="BD42" s="11602" t="n"/>
      <c r="BE42" s="11602" t="n"/>
      <c r="BF42" s="345" t="inlineStr">
        <is>
          <t>4.</t>
        </is>
      </c>
      <c r="BG42" s="387" t="n"/>
      <c r="BH42" s="11602" t="n"/>
      <c r="BI42" s="11602" t="n"/>
      <c r="BJ42" s="11602" t="n"/>
      <c r="BK42" s="409" t="n"/>
      <c r="BL42" s="11602" t="n"/>
    </row>
    <row r="43">
      <c r="A43" s="2013" t="n"/>
      <c r="G43" s="4772" t="n"/>
      <c r="K43" s="7636" t="n"/>
      <c r="L43" s="4772" t="n"/>
      <c r="P43" s="7636" t="n"/>
      <c r="Q43" s="4772" t="n"/>
      <c r="U43" s="7636" t="n"/>
      <c r="V43" s="4772" t="n"/>
      <c r="Z43" s="7636" t="n"/>
      <c r="AA43" s="4772" t="n"/>
      <c r="AE43" s="7636" t="n"/>
      <c r="AF43" s="4772" t="n"/>
      <c r="AJ43" s="7636" t="n"/>
      <c r="AK43" s="2013" t="n"/>
      <c r="AL43" s="11602" t="n"/>
      <c r="AM43" s="11602" t="n"/>
      <c r="AN43" s="8914" t="n"/>
      <c r="AO43" s="408" t="n"/>
      <c r="AP43" s="7299" t="n"/>
      <c r="AQ43" s="11602" t="n"/>
      <c r="AR43" s="11602" t="n"/>
      <c r="AS43" s="11602" t="n"/>
      <c r="AT43" s="11602" t="n"/>
      <c r="AU43" s="11602" t="n"/>
      <c r="AV43" s="11602" t="n"/>
      <c r="AW43" s="11602" t="n"/>
      <c r="AX43" s="344" t="n"/>
      <c r="AY43" s="409" t="n"/>
      <c r="AZ43" s="11602" t="n"/>
      <c r="BA43" s="408" t="n"/>
      <c r="BB43" s="7299" t="n"/>
      <c r="BC43" s="11602" t="n"/>
      <c r="BD43" s="11602" t="n"/>
      <c r="BE43" s="11602" t="n"/>
      <c r="BF43" s="11602" t="n"/>
      <c r="BG43" s="11602" t="n"/>
      <c r="BH43" s="11602" t="n"/>
      <c r="BI43" s="11602" t="n"/>
      <c r="BJ43" s="11602" t="n"/>
      <c r="BK43" s="409" t="n"/>
      <c r="BL43" s="11602" t="n"/>
    </row>
    <row r="44">
      <c r="A44" s="2013" t="n"/>
      <c r="G44" s="4772" t="n"/>
      <c r="K44" s="7636" t="n"/>
      <c r="L44" s="4772" t="n"/>
      <c r="P44" s="7636" t="n"/>
      <c r="Q44" s="4772" t="n"/>
      <c r="U44" s="7636" t="n"/>
      <c r="V44" s="4772" t="n"/>
      <c r="Z44" s="7636" t="n"/>
      <c r="AA44" s="4772" t="n"/>
      <c r="AE44" s="7636" t="n"/>
      <c r="AF44" s="4772" t="n"/>
      <c r="AJ44" s="7636" t="n"/>
      <c r="AK44" s="2013" t="n"/>
      <c r="AL44" s="11602" t="n"/>
      <c r="AM44" s="11602" t="n"/>
      <c r="AN44" s="8914" t="n"/>
      <c r="AO44" s="3831" t="inlineStr">
        <is>
          <t>5.</t>
        </is>
      </c>
      <c r="AP44" s="7299" t="inlineStr">
        <is>
          <t>Add lines 1 through 4. Enter here and on Form 8962,</t>
        </is>
      </c>
      <c r="AQ44" s="11602" t="n"/>
      <c r="AR44" s="11602" t="n"/>
      <c r="AS44" s="11602" t="n"/>
      <c r="AT44" s="11602" t="n"/>
      <c r="AU44" s="345" t="n"/>
      <c r="AV44" s="345" t="n"/>
      <c r="AW44" s="11602" t="n"/>
      <c r="AX44" s="7957" t="inlineStr">
        <is>
          <t>Override</t>
        </is>
      </c>
      <c r="AY44" s="419" t="n"/>
      <c r="AZ44" s="11602" t="n"/>
      <c r="BA44" s="408" t="n"/>
      <c r="BB44" s="7299" t="n"/>
      <c r="BC44" s="11602" t="n"/>
      <c r="BD44" s="11602" t="n"/>
      <c r="BE44" s="11602" t="n"/>
      <c r="BF44" s="11602" t="n"/>
      <c r="BG44" s="11602" t="n"/>
      <c r="BH44" s="11602" t="n"/>
      <c r="BI44" s="11602" t="n"/>
      <c r="BJ44" s="344" t="n"/>
      <c r="BK44" s="409" t="n"/>
      <c r="BL44" s="11602" t="n"/>
    </row>
    <row r="45" ht="12.75" customHeight="1" s="7635" thickBot="1">
      <c r="A45" s="2013" t="n"/>
      <c r="B45" s="3844" t="inlineStr">
        <is>
          <t>11</t>
        </is>
      </c>
      <c r="C45" s="11547" t="inlineStr">
        <is>
          <t xml:space="preserve">Annual Totals </t>
        </is>
      </c>
      <c r="D45" s="8412" t="n"/>
      <c r="E45" s="8412" t="n"/>
      <c r="F45" s="11734" t="n"/>
      <c r="G45" s="11518" t="n"/>
      <c r="H45" s="8007" t="n"/>
      <c r="I45" s="8007" t="n"/>
      <c r="J45" s="8007" t="n"/>
      <c r="K45" s="8008" t="n"/>
      <c r="L45" s="11518" t="n"/>
      <c r="M45" s="8007" t="n"/>
      <c r="N45" s="8007" t="n"/>
      <c r="O45" s="8007" t="n"/>
      <c r="P45" s="8008" t="n"/>
      <c r="Q45" s="11525">
        <f>IF(AM46&lt;&gt;"",ROUND(AM46,2),IF(OR(D33&lt;&gt;"",D37=""),"",IF(M30&lt;&gt;"",M30,"")))</f>
        <v/>
      </c>
      <c r="R45" s="8412" t="n"/>
      <c r="S45" s="8412" t="n"/>
      <c r="T45" s="8412" t="n"/>
      <c r="U45" s="11734" t="n"/>
      <c r="V45" s="11525">
        <f>IF(OR(D33&lt;&gt;"",D37="",G45="",L45=""),"",IF(Q45="",L45,IF(SUM(L45,-Q45)&lt;0,0,SUM(L45,-Q45))))</f>
        <v/>
      </c>
      <c r="W45" s="8412" t="n"/>
      <c r="X45" s="8412" t="n"/>
      <c r="Y45" s="8412" t="n"/>
      <c r="Z45" s="11734" t="n"/>
      <c r="AA45" s="11525">
        <f>IF(OR(D33&lt;&gt;"",D37=""),"",IF(AND(G45&lt;&gt;"",L45&lt;&gt;""),MIN(G45,V45),""))</f>
        <v/>
      </c>
      <c r="AB45" s="8412" t="n"/>
      <c r="AC45" s="8412" t="n"/>
      <c r="AD45" s="8412" t="n"/>
      <c r="AE45" s="11734" t="n"/>
      <c r="AF45" s="11518" t="n"/>
      <c r="AG45" s="8007" t="n"/>
      <c r="AH45" s="8007" t="n"/>
      <c r="AI45" s="8007" t="n"/>
      <c r="AJ45" s="8008" t="n"/>
      <c r="AK45" s="2013" t="n"/>
      <c r="AL45" s="11602" t="n"/>
      <c r="AM45" s="8914" t="n"/>
      <c r="AN45" s="8914" t="n"/>
      <c r="AO45" s="3831" t="n"/>
      <c r="AP45" s="7299" t="inlineStr">
        <is>
          <t>line 2a.  .  .  .  .  .  .  .  .  .  .  .  .  .  .  .  .  .  .  .  .  .  .  .  .  .  .  .  .  .</t>
        </is>
      </c>
      <c r="AQ45" s="11602" t="n"/>
      <c r="AR45" s="11602" t="n"/>
      <c r="AS45" s="11602" t="n"/>
      <c r="AT45" s="11602" t="n"/>
      <c r="AU45" s="345" t="inlineStr">
        <is>
          <t>5.</t>
        </is>
      </c>
      <c r="AV45" s="3838">
        <f>IF(AX45&lt;&gt;"",ROUND(AX45,0),ROUND(SUM(AV25,AU29,AU33,AU42),0))</f>
        <v/>
      </c>
      <c r="AW45" s="11602" t="n"/>
      <c r="AX45" s="1317" t="n"/>
      <c r="AY45" s="419" t="n"/>
      <c r="AZ45" s="11602" t="n"/>
      <c r="BA45" s="3831" t="inlineStr">
        <is>
          <t>5.</t>
        </is>
      </c>
      <c r="BB45" s="7299" t="inlineStr">
        <is>
          <t>Add lines 1 through 4. Enter here and on Form 8962,</t>
        </is>
      </c>
      <c r="BC45" s="11602" t="n"/>
      <c r="BD45" s="11602" t="n"/>
      <c r="BE45" s="11602" t="n"/>
      <c r="BF45" s="11602" t="n"/>
      <c r="BG45" s="11602" t="n"/>
      <c r="BH45" s="11602" t="n"/>
      <c r="BI45" s="11602" t="n"/>
      <c r="BJ45" s="344" t="inlineStr">
        <is>
          <t>Override</t>
        </is>
      </c>
      <c r="BK45" s="419" t="n"/>
      <c r="BL45" s="11602" t="n"/>
    </row>
    <row r="46" ht="12.75" customHeight="1" s="7635" thickBot="1">
      <c r="A46" s="2013" t="n"/>
      <c r="B46" s="11514" t="inlineStr">
        <is>
          <t>Monthly
Calculation</t>
        </is>
      </c>
      <c r="C46" s="7839" t="n"/>
      <c r="D46" s="7839" t="n"/>
      <c r="E46" s="7839" t="n"/>
      <c r="F46" s="7839" t="n"/>
      <c r="G46" s="11533" t="inlineStr">
        <is>
          <t>(a) Monthly enrollment premiums (Form(s) 1095-A, lines 21–32, column A)</t>
        </is>
      </c>
      <c r="H46" s="7839" t="n"/>
      <c r="I46" s="7839" t="n"/>
      <c r="J46" s="7839" t="n"/>
      <c r="K46" s="10091" t="n"/>
      <c r="L46" s="11533" t="inlineStr">
        <is>
          <t>(b) Monthly applicable SLCSP premium (Form(s) 1095-A, lines 21–32, column B)</t>
        </is>
      </c>
      <c r="M46" s="7839" t="n"/>
      <c r="N46" s="7839" t="n"/>
      <c r="O46" s="7839" t="n"/>
      <c r="P46" s="10091" t="n"/>
      <c r="Q46" s="11533" t="inlineStr">
        <is>
          <t>(c) Monthly contribution amount (amount from line 8b or alternative marriage monthly calculation)</t>
        </is>
      </c>
      <c r="R46" s="7839" t="n"/>
      <c r="S46" s="7839" t="n"/>
      <c r="T46" s="7839" t="n"/>
      <c r="U46" s="10091" t="n"/>
      <c r="V46" s="11533" t="inlineStr">
        <is>
          <t>(d) Monthly maximum premium assistance (subtract (c) from (b), if zero or less, enter -0-)</t>
        </is>
      </c>
      <c r="W46" s="7839" t="n"/>
      <c r="X46" s="7839" t="n"/>
      <c r="Y46" s="7839" t="n"/>
      <c r="Z46" s="10091" t="n"/>
      <c r="AA46" s="11533" t="inlineStr">
        <is>
          <t>(e) Monthly premium tax credit allowed (smaller of (a) or (d))</t>
        </is>
      </c>
      <c r="AB46" s="7839" t="n"/>
      <c r="AC46" s="7839" t="n"/>
      <c r="AD46" s="7839" t="n"/>
      <c r="AE46" s="10091" t="n"/>
      <c r="AF46" s="11533" t="inlineStr">
        <is>
          <t>(f) Monthly advance payment of PTC (Form(s) 1095-A, 
lines 21–32, column C)</t>
        </is>
      </c>
      <c r="AG46" s="7839" t="n"/>
      <c r="AH46" s="7839" t="n"/>
      <c r="AI46" s="7839" t="n"/>
      <c r="AJ46" s="10091" t="n"/>
      <c r="AK46" s="2013" t="n"/>
      <c r="AL46" s="7914" t="inlineStr">
        <is>
          <t>11c</t>
        </is>
      </c>
      <c r="AM46" s="1032" t="n"/>
      <c r="AN46" s="8914" t="n"/>
      <c r="AO46" s="412" t="n"/>
      <c r="AP46" s="2271" t="n"/>
      <c r="AQ46" s="413" t="n"/>
      <c r="AR46" s="413" t="n"/>
      <c r="AS46" s="413" t="n"/>
      <c r="AT46" s="413" t="n"/>
      <c r="AU46" s="413" t="n"/>
      <c r="AV46" s="413" t="n"/>
      <c r="AW46" s="11602" t="n"/>
      <c r="AX46" s="413" t="n"/>
      <c r="AY46" s="409" t="n"/>
      <c r="AZ46" s="11602" t="n"/>
      <c r="BA46" s="3831" t="n"/>
      <c r="BB46" s="7299" t="inlineStr">
        <is>
          <t>line 2b</t>
        </is>
      </c>
      <c r="BC46" s="11602" t="n"/>
      <c r="BD46" s="11602" t="n"/>
      <c r="BE46" s="11602" t="n"/>
      <c r="BF46" s="1061" t="inlineStr">
        <is>
          <t>.  .  .  .  .  .  .  .  .  .  .  .  .  .  .  .  .  .  .  .  .  .  .  .  .  .  .  .</t>
        </is>
      </c>
      <c r="BG46" s="345" t="inlineStr">
        <is>
          <t>5.</t>
        </is>
      </c>
      <c r="BH46" s="3843">
        <f>IF(BJ46&lt;&gt;"",ROUND(BJ46,0),ROUND(SUM(BH25,BG30,BG35,BG42),0))</f>
        <v/>
      </c>
      <c r="BI46" s="11602" t="n"/>
      <c r="BJ46" s="418" t="n"/>
      <c r="BK46" s="419" t="n"/>
      <c r="BL46" s="11602" t="n"/>
    </row>
    <row r="47" ht="21" customHeight="1" s="7635">
      <c r="A47" s="2013" t="n"/>
      <c r="G47" s="4772" t="n"/>
      <c r="K47" s="7636" t="n"/>
      <c r="L47" s="4772" t="n"/>
      <c r="P47" s="7636" t="n"/>
      <c r="Q47" s="4772" t="n"/>
      <c r="U47" s="7636" t="n"/>
      <c r="V47" s="4772" t="n"/>
      <c r="Z47" s="7636" t="n"/>
      <c r="AA47" s="4772" t="n"/>
      <c r="AE47" s="7636" t="n"/>
      <c r="AF47" s="4772" t="n"/>
      <c r="AJ47" s="7636" t="n"/>
      <c r="AK47" s="2013" t="n"/>
      <c r="AL47" s="344" t="n"/>
      <c r="AM47" s="12835" t="n"/>
      <c r="AN47" s="12835" t="n"/>
      <c r="AO47" s="12836" t="inlineStr">
        <is>
          <t>*If you are filing Form 8814 and the amount on Form 8814, line 4, is more than $1,350, you must enter certain amounts from that form on Worksheet 1-2. See Form 8814 under line 2b in the instructions.</t>
        </is>
      </c>
      <c r="AP47" s="7839" t="n"/>
      <c r="AQ47" s="7839" t="n"/>
      <c r="AR47" s="7839" t="n"/>
      <c r="AS47" s="7839" t="n"/>
      <c r="AT47" s="7839" t="n"/>
      <c r="AU47" s="7839" t="n"/>
      <c r="AV47" s="7839" t="n"/>
      <c r="AW47" s="7839" t="n"/>
      <c r="AX47" s="7839" t="n"/>
      <c r="AY47" s="10091" t="n"/>
      <c r="AZ47" s="11602" t="n"/>
      <c r="BA47" s="412" t="n"/>
      <c r="BB47" s="2271" t="n"/>
      <c r="BC47" s="413" t="n"/>
      <c r="BD47" s="413" t="n"/>
      <c r="BE47" s="413" t="n"/>
      <c r="BF47" s="413" t="n"/>
      <c r="BG47" s="413" t="n"/>
      <c r="BH47" s="413" t="n"/>
      <c r="BI47" s="413" t="n"/>
      <c r="BJ47" s="413" t="n"/>
      <c r="BK47" s="409" t="n"/>
      <c r="BL47" s="11602" t="n"/>
    </row>
    <row r="48" ht="14.25" customHeight="1" s="7635">
      <c r="A48" s="2013" t="n"/>
      <c r="G48" s="4772" t="n"/>
      <c r="K48" s="7636" t="n"/>
      <c r="L48" s="4772" t="n"/>
      <c r="P48" s="7636" t="n"/>
      <c r="Q48" s="4772" t="n"/>
      <c r="U48" s="7636" t="n"/>
      <c r="V48" s="4772" t="n"/>
      <c r="Z48" s="7636" t="n"/>
      <c r="AA48" s="4772" t="n"/>
      <c r="AE48" s="7636" t="n"/>
      <c r="AF48" s="4772" t="n"/>
      <c r="AJ48" s="7636" t="n"/>
      <c r="AK48" s="2013" t="n"/>
      <c r="AL48" s="344" t="n"/>
      <c r="AM48" s="12835" t="n"/>
      <c r="AN48" s="12835" t="n"/>
      <c r="AO48" s="4772" t="n"/>
      <c r="AY48" s="7636" t="n"/>
      <c r="AZ48" s="11602" t="n"/>
      <c r="BA48" s="12836" t="inlineStr">
        <is>
          <t>*Only include your dependents who are required to file an income tax return because their income meets the income tax return filing threshold.</t>
        </is>
      </c>
      <c r="BB48" s="7839" t="n"/>
      <c r="BC48" s="7839" t="n"/>
      <c r="BD48" s="7839" t="n"/>
      <c r="BE48" s="7839" t="n"/>
      <c r="BF48" s="7839" t="n"/>
      <c r="BG48" s="7839" t="n"/>
      <c r="BH48" s="7839" t="n"/>
      <c r="BI48" s="7839" t="n"/>
      <c r="BJ48" s="7839" t="n"/>
      <c r="BK48" s="10091" t="n"/>
      <c r="BL48" s="11602" t="n"/>
    </row>
    <row r="49">
      <c r="A49" s="2013" t="n"/>
      <c r="G49" s="4772" t="n"/>
      <c r="K49" s="7636" t="n"/>
      <c r="L49" s="4772" t="n"/>
      <c r="P49" s="7636" t="n"/>
      <c r="Q49" s="4772" t="n"/>
      <c r="U49" s="7636" t="n"/>
      <c r="V49" s="4772" t="n"/>
      <c r="Z49" s="7636" t="n"/>
      <c r="AA49" s="4772" t="n"/>
      <c r="AE49" s="7636" t="n"/>
      <c r="AF49" s="4772" t="n"/>
      <c r="AJ49" s="7636" t="n"/>
      <c r="AK49" s="2013" t="n"/>
      <c r="AL49" s="11602" t="n"/>
      <c r="AM49" s="12835" t="n"/>
      <c r="AN49" s="12835" t="n"/>
      <c r="AO49" s="4772" t="n"/>
      <c r="AY49" s="7636" t="n"/>
      <c r="AZ49" s="11602" t="n"/>
      <c r="BA49" s="4772" t="n"/>
      <c r="BK49" s="7636" t="n"/>
      <c r="BL49" s="11602" t="n"/>
      <c r="BV49" s="421" t="n"/>
      <c r="BW49" s="421" t="n"/>
    </row>
    <row r="50" ht="15.75" customHeight="1" s="7635" thickBot="1">
      <c r="A50" s="2013" t="n"/>
      <c r="B50" s="3844" t="inlineStr">
        <is>
          <t>12</t>
        </is>
      </c>
      <c r="C50" s="3846" t="n"/>
      <c r="D50" s="11517" t="inlineStr">
        <is>
          <t>January</t>
        </is>
      </c>
      <c r="E50" s="8412" t="n"/>
      <c r="F50" s="8412" t="n"/>
      <c r="G50" s="11518" t="n"/>
      <c r="H50" s="8007" t="n"/>
      <c r="I50" s="8007" t="n"/>
      <c r="J50" s="8007" t="n"/>
      <c r="K50" s="8008" t="n"/>
      <c r="L50" s="11518" t="n"/>
      <c r="M50" s="8007" t="n"/>
      <c r="N50" s="8007" t="n"/>
      <c r="O50" s="8007" t="n"/>
      <c r="P50" s="8008" t="n"/>
      <c r="Q50" s="11525">
        <f>IF(AM51&lt;&gt;"",ROUND(AM51,2),IF(OR(G50="",L50="",$D$37&lt;&gt;""),"",$AE$30))</f>
        <v/>
      </c>
      <c r="R50" s="8412" t="n"/>
      <c r="S50" s="8412" t="n"/>
      <c r="T50" s="8412" t="n"/>
      <c r="U50" s="11734" t="n"/>
      <c r="V50" s="11525">
        <f>IF(OR(G50="",L50="",$D$37&lt;&gt;""),"",IF(Q50="",L50,IF(SUM(L50,-Q50)&lt;0,0,SUM(L50,-Q50))))</f>
        <v/>
      </c>
      <c r="W50" s="8412" t="n"/>
      <c r="X50" s="8412" t="n"/>
      <c r="Y50" s="8412" t="n"/>
      <c r="Z50" s="11734" t="n"/>
      <c r="AA50" s="11525">
        <f>IF(OR(G50="",L50="",$D$37&lt;&gt;""),"",MIN(G50,V50))</f>
        <v/>
      </c>
      <c r="AB50" s="8412" t="n"/>
      <c r="AC50" s="8412" t="n"/>
      <c r="AD50" s="8412" t="n"/>
      <c r="AE50" s="11734" t="n"/>
      <c r="AF50" s="11561" t="n"/>
      <c r="AG50" s="8007" t="n"/>
      <c r="AH50" s="8007" t="n"/>
      <c r="AI50" s="8007" t="n"/>
      <c r="AJ50" s="8008" t="n"/>
      <c r="AK50" s="2013" t="n"/>
      <c r="AL50" s="11602" t="n"/>
      <c r="AM50" s="11602" t="n"/>
      <c r="AN50" s="11602" t="n"/>
      <c r="AO50" s="3614" t="n"/>
      <c r="AP50" s="7637" t="n"/>
      <c r="AQ50" s="7637" t="n"/>
      <c r="AR50" s="7637" t="n"/>
      <c r="AS50" s="7637" t="n"/>
      <c r="AT50" s="7637" t="n"/>
      <c r="AU50" s="7637" t="n"/>
      <c r="AV50" s="7637" t="n"/>
      <c r="AW50" s="7637" t="n"/>
      <c r="AX50" s="7637" t="n"/>
      <c r="AY50" s="7638" t="n"/>
      <c r="AZ50" s="11602" t="n"/>
      <c r="BA50" s="4772" t="n"/>
      <c r="BK50" s="7636" t="n"/>
      <c r="BL50" s="11602" t="n"/>
      <c r="BV50" s="421" t="n"/>
      <c r="BW50" s="421" t="n"/>
    </row>
    <row r="51" ht="15.75" customHeight="1" s="7635" thickBot="1">
      <c r="A51" s="2013" t="n"/>
      <c r="B51" s="3844" t="inlineStr">
        <is>
          <t>13</t>
        </is>
      </c>
      <c r="C51" s="3846" t="n"/>
      <c r="D51" s="11517" t="inlineStr">
        <is>
          <t>February</t>
        </is>
      </c>
      <c r="E51" s="8412" t="n"/>
      <c r="F51" s="8412" t="n"/>
      <c r="G51" s="11518" t="n"/>
      <c r="H51" s="8007" t="n"/>
      <c r="I51" s="8007" t="n"/>
      <c r="J51" s="8007" t="n"/>
      <c r="K51" s="8008" t="n"/>
      <c r="L51" s="11518" t="n"/>
      <c r="M51" s="8007" t="n"/>
      <c r="N51" s="8007" t="n"/>
      <c r="O51" s="8007" t="n"/>
      <c r="P51" s="8008" t="n"/>
      <c r="Q51" s="11525">
        <f>IF(AM52&lt;&gt;"",ROUND(AM52,2),IF(OR(G51="",L51="",$D$37&lt;&gt;""),"",$AE$30))</f>
        <v/>
      </c>
      <c r="R51" s="8412" t="n"/>
      <c r="S51" s="8412" t="n"/>
      <c r="T51" s="8412" t="n"/>
      <c r="U51" s="11734" t="n"/>
      <c r="V51" s="11525">
        <f>IF(OR(G51="",L51="",$D$37&lt;&gt;""),"",IF(Q51="",L51,IF(SUM(L51,-Q51)&lt;0,0,SUM(L51,-Q51))))</f>
        <v/>
      </c>
      <c r="W51" s="8412" t="n"/>
      <c r="X51" s="8412" t="n"/>
      <c r="Y51" s="8412" t="n"/>
      <c r="Z51" s="11734" t="n"/>
      <c r="AA51" s="11525">
        <f>IF(OR(G51="",L51="",$D$37&lt;&gt;""),"",MIN(G51,V51))</f>
        <v/>
      </c>
      <c r="AB51" s="8412" t="n"/>
      <c r="AC51" s="8412" t="n"/>
      <c r="AD51" s="8412" t="n"/>
      <c r="AE51" s="11734" t="n"/>
      <c r="AF51" s="11561" t="n"/>
      <c r="AG51" s="8007" t="n"/>
      <c r="AH51" s="8007" t="n"/>
      <c r="AI51" s="8007" t="n"/>
      <c r="AJ51" s="8008" t="n"/>
      <c r="AK51" s="2013" t="n"/>
      <c r="AL51" s="7914" t="inlineStr">
        <is>
          <t>12c</t>
        </is>
      </c>
      <c r="AM51" s="1032" t="n"/>
      <c r="AN51" s="11602" t="n"/>
      <c r="AO51" s="11602" t="n"/>
      <c r="AP51" s="11602" t="n"/>
      <c r="AQ51" s="11602" t="n"/>
      <c r="AR51" s="11602" t="n"/>
      <c r="AS51" s="11602" t="n"/>
      <c r="AT51" s="11602" t="n"/>
      <c r="AU51" s="11602" t="n"/>
      <c r="AV51" s="11602" t="n"/>
      <c r="AW51" s="11602" t="n"/>
      <c r="AX51" s="11602" t="n"/>
      <c r="AY51" s="11602" t="n"/>
      <c r="AZ51" s="11602" t="n"/>
      <c r="BA51" s="3614" t="n"/>
      <c r="BB51" s="7637" t="n"/>
      <c r="BC51" s="7637" t="n"/>
      <c r="BD51" s="7637" t="n"/>
      <c r="BE51" s="7637" t="n"/>
      <c r="BF51" s="7637" t="n"/>
      <c r="BG51" s="7637" t="n"/>
      <c r="BH51" s="7637" t="n"/>
      <c r="BI51" s="7637" t="n"/>
      <c r="BJ51" s="7637" t="n"/>
      <c r="BK51" s="7638" t="n"/>
      <c r="BL51" s="11602" t="n"/>
      <c r="BV51" s="421" t="n"/>
      <c r="BW51" s="421" t="n"/>
    </row>
    <row r="52" ht="16.5" customHeight="1" s="7635" thickBot="1">
      <c r="A52" s="2013" t="n"/>
      <c r="B52" s="3844" t="inlineStr">
        <is>
          <t>14</t>
        </is>
      </c>
      <c r="C52" s="3846" t="n"/>
      <c r="D52" s="11517" t="inlineStr">
        <is>
          <t>March</t>
        </is>
      </c>
      <c r="E52" s="8412" t="n"/>
      <c r="F52" s="8412" t="n"/>
      <c r="G52" s="11518" t="n"/>
      <c r="H52" s="8007" t="n"/>
      <c r="I52" s="8007" t="n"/>
      <c r="J52" s="8007" t="n"/>
      <c r="K52" s="8008" t="n"/>
      <c r="L52" s="11518" t="n"/>
      <c r="M52" s="8007" t="n"/>
      <c r="N52" s="8007" t="n"/>
      <c r="O52" s="8007" t="n"/>
      <c r="P52" s="8008" t="n"/>
      <c r="Q52" s="11525">
        <f>IF(AM53&lt;&gt;"",ROUND(AM53,2),IF(OR(G52="",L52="",$D$37&lt;&gt;""),"",$AE$30))</f>
        <v/>
      </c>
      <c r="R52" s="8412" t="n"/>
      <c r="S52" s="8412" t="n"/>
      <c r="T52" s="8412" t="n"/>
      <c r="U52" s="11734" t="n"/>
      <c r="V52" s="11525">
        <f>IF(OR(G52="",L52="",$D$37&lt;&gt;""),"",IF(Q52="",L52,IF(SUM(L52,-Q52)&lt;0,0,SUM(L52,-Q52))))</f>
        <v/>
      </c>
      <c r="W52" s="8412" t="n"/>
      <c r="X52" s="8412" t="n"/>
      <c r="Y52" s="8412" t="n"/>
      <c r="Z52" s="11734" t="n"/>
      <c r="AA52" s="11525">
        <f>IF(OR(G52="",L52="",$D$37&lt;&gt;""),"",MIN(G52,V52))</f>
        <v/>
      </c>
      <c r="AB52" s="8412" t="n"/>
      <c r="AC52" s="8412" t="n"/>
      <c r="AD52" s="8412" t="n"/>
      <c r="AE52" s="11734" t="n"/>
      <c r="AF52" s="11561" t="n"/>
      <c r="AG52" s="8007" t="n"/>
      <c r="AH52" s="8007" t="n"/>
      <c r="AI52" s="8007" t="n"/>
      <c r="AJ52" s="8008" t="n"/>
      <c r="AK52" s="2013" t="n"/>
      <c r="AL52" s="7914" t="inlineStr">
        <is>
          <t>13c</t>
        </is>
      </c>
      <c r="AM52" s="1032" t="n"/>
      <c r="AN52" s="11602" t="n"/>
      <c r="AO52" s="512" t="n"/>
      <c r="AP52" s="3847" t="inlineStr">
        <is>
          <t>Worksheet 2 -- Household Income as a Percentage of Poverty Line</t>
        </is>
      </c>
      <c r="AQ52" s="3848" t="n"/>
      <c r="AR52" s="3849" t="n"/>
      <c r="AS52" s="3849" t="n"/>
      <c r="AT52" s="3850" t="n"/>
      <c r="AU52" s="3851" t="n"/>
      <c r="AV52" s="3851" t="n"/>
      <c r="AW52" s="407" t="n"/>
      <c r="AX52" s="11602" t="n"/>
      <c r="AY52" s="11602" t="n"/>
      <c r="AZ52" s="11602" t="n"/>
      <c r="BA52" s="11602" t="n"/>
      <c r="BB52" s="11602" t="n"/>
      <c r="BC52" s="11602" t="n"/>
      <c r="BD52" s="11602" t="n"/>
      <c r="BE52" s="11602" t="n"/>
      <c r="BF52" s="11602" t="n"/>
      <c r="BG52" s="11602" t="n"/>
      <c r="BH52" s="11602" t="n"/>
      <c r="BI52" s="11602" t="n"/>
      <c r="BJ52" s="11602" t="n"/>
      <c r="BK52" s="11602" t="n"/>
      <c r="BL52" s="11602" t="n"/>
      <c r="BV52" s="421" t="n"/>
      <c r="BW52" s="421" t="n"/>
    </row>
    <row r="53" ht="16.5" customHeight="1" s="7635" thickBot="1">
      <c r="A53" s="2013" t="n"/>
      <c r="B53" s="3844" t="inlineStr">
        <is>
          <t>15</t>
        </is>
      </c>
      <c r="C53" s="3846" t="n"/>
      <c r="D53" s="11517" t="inlineStr">
        <is>
          <t>April</t>
        </is>
      </c>
      <c r="E53" s="8412" t="n"/>
      <c r="F53" s="8412" t="n"/>
      <c r="G53" s="11518" t="n"/>
      <c r="H53" s="8007" t="n"/>
      <c r="I53" s="8007" t="n"/>
      <c r="J53" s="8007" t="n"/>
      <c r="K53" s="8008" t="n"/>
      <c r="L53" s="11518" t="n"/>
      <c r="M53" s="8007" t="n"/>
      <c r="N53" s="8007" t="n"/>
      <c r="O53" s="8007" t="n"/>
      <c r="P53" s="8008" t="n"/>
      <c r="Q53" s="11525">
        <f>IF(AM54&lt;&gt;"",ROUND(AM54,2),IF(OR(G53="",L53="",$D$37&lt;&gt;""),"",$AE$30))</f>
        <v/>
      </c>
      <c r="R53" s="8412" t="n"/>
      <c r="S53" s="8412" t="n"/>
      <c r="T53" s="8412" t="n"/>
      <c r="U53" s="11734" t="n"/>
      <c r="V53" s="11525">
        <f>IF(OR(G53="",L53="",$D$37&lt;&gt;""),"",IF(Q53="",L53,IF(SUM(L53,-Q53)&lt;0,0,SUM(L53,-Q53))))</f>
        <v/>
      </c>
      <c r="W53" s="8412" t="n"/>
      <c r="X53" s="8412" t="n"/>
      <c r="Y53" s="8412" t="n"/>
      <c r="Z53" s="11734" t="n"/>
      <c r="AA53" s="11525">
        <f>IF(OR(G53="",L53="",$D$37&lt;&gt;""),"",MIN(G53,V53))</f>
        <v/>
      </c>
      <c r="AB53" s="8412" t="n"/>
      <c r="AC53" s="8412" t="n"/>
      <c r="AD53" s="8412" t="n"/>
      <c r="AE53" s="11734" t="n"/>
      <c r="AF53" s="11561" t="n"/>
      <c r="AG53" s="8007" t="n"/>
      <c r="AH53" s="8007" t="n"/>
      <c r="AI53" s="8007" t="n"/>
      <c r="AJ53" s="8008" t="n"/>
      <c r="AK53" s="2013" t="n"/>
      <c r="AL53" s="7914" t="inlineStr">
        <is>
          <t>14c</t>
        </is>
      </c>
      <c r="AM53" s="1032" t="n"/>
      <c r="AN53" s="11602" t="n"/>
      <c r="AO53" s="512" t="n"/>
      <c r="AP53" s="3852" t="inlineStr">
        <is>
          <t>1.</t>
        </is>
      </c>
      <c r="AQ53" s="3853" t="inlineStr">
        <is>
          <t>Amount from Line 3 of Form 8962.</t>
        </is>
      </c>
      <c r="AR53" s="851" t="n"/>
      <c r="AS53" s="3854" t="n"/>
      <c r="AT53" s="11602" t="n"/>
      <c r="AU53" s="3855" t="inlineStr">
        <is>
          <t xml:space="preserve">1. </t>
        </is>
      </c>
      <c r="AV53" s="3856">
        <f>AE22</f>
        <v/>
      </c>
      <c r="AW53" s="409" t="n"/>
      <c r="AX53" s="11602" t="n"/>
      <c r="AY53" s="11602" t="n"/>
      <c r="AZ53" s="11602" t="n"/>
      <c r="BA53" s="11602" t="n"/>
      <c r="BB53" s="11602" t="n"/>
      <c r="BC53" s="11602" t="n"/>
      <c r="BD53" s="11602" t="n"/>
      <c r="BE53" s="11602" t="n"/>
      <c r="BF53" s="11602" t="n"/>
      <c r="BG53" s="11602" t="n"/>
      <c r="BH53" s="11602" t="n"/>
      <c r="BI53" s="11602" t="n"/>
      <c r="BJ53" s="11602" t="n"/>
      <c r="BK53" s="11602" t="n"/>
      <c r="BL53" s="11602" t="n"/>
    </row>
    <row r="54" ht="16.5" customHeight="1" s="7635" thickBot="1">
      <c r="A54" s="2013" t="n"/>
      <c r="B54" s="3844" t="inlineStr">
        <is>
          <t>16</t>
        </is>
      </c>
      <c r="C54" s="3846" t="n"/>
      <c r="D54" s="11517" t="inlineStr">
        <is>
          <t>May</t>
        </is>
      </c>
      <c r="E54" s="8412" t="n"/>
      <c r="F54" s="8412" t="n"/>
      <c r="G54" s="11518" t="n"/>
      <c r="H54" s="8007" t="n"/>
      <c r="I54" s="8007" t="n"/>
      <c r="J54" s="8007" t="n"/>
      <c r="K54" s="8008" t="n"/>
      <c r="L54" s="11518" t="n"/>
      <c r="M54" s="8007" t="n"/>
      <c r="N54" s="8007" t="n"/>
      <c r="O54" s="8007" t="n"/>
      <c r="P54" s="8008" t="n"/>
      <c r="Q54" s="11525">
        <f>IF(AM55&lt;&gt;"",ROUND(AM55,2),IF(OR(G54="",L54="",$D$37&lt;&gt;""),"",$AE$30))</f>
        <v/>
      </c>
      <c r="R54" s="8412" t="n"/>
      <c r="S54" s="8412" t="n"/>
      <c r="T54" s="8412" t="n"/>
      <c r="U54" s="11734" t="n"/>
      <c r="V54" s="11525">
        <f>IF(OR(G54="",L54="",$D$37&lt;&gt;""),"",IF(Q54="",L54,IF(SUM(L54,-Q54)&lt;0,0,SUM(L54,-Q54))))</f>
        <v/>
      </c>
      <c r="W54" s="8412" t="n"/>
      <c r="X54" s="8412" t="n"/>
      <c r="Y54" s="8412" t="n"/>
      <c r="Z54" s="11734" t="n"/>
      <c r="AA54" s="11525">
        <f>IF(OR(G54="",L54="",$D$37&lt;&gt;""),"",MIN(G54,V54))</f>
        <v/>
      </c>
      <c r="AB54" s="8412" t="n"/>
      <c r="AC54" s="8412" t="n"/>
      <c r="AD54" s="8412" t="n"/>
      <c r="AE54" s="11734" t="n"/>
      <c r="AF54" s="11561" t="n"/>
      <c r="AG54" s="8007" t="n"/>
      <c r="AH54" s="8007" t="n"/>
      <c r="AI54" s="8007" t="n"/>
      <c r="AJ54" s="8008" t="n"/>
      <c r="AK54" s="2013" t="n"/>
      <c r="AL54" s="7914" t="inlineStr">
        <is>
          <t>15c</t>
        </is>
      </c>
      <c r="AM54" s="1032" t="n"/>
      <c r="AN54" s="11602" t="n"/>
      <c r="AO54" s="512" t="n"/>
      <c r="AP54" s="3852" t="inlineStr">
        <is>
          <t>2.</t>
        </is>
      </c>
      <c r="AQ54" s="3853" t="inlineStr">
        <is>
          <t>Amount from Line 4 of Form 8962.</t>
        </is>
      </c>
      <c r="AR54" s="11602" t="n"/>
      <c r="AS54" s="3854" t="n"/>
      <c r="AT54" s="3855" t="inlineStr">
        <is>
          <t xml:space="preserve">2. </t>
        </is>
      </c>
      <c r="AU54" s="3856">
        <f>AE25</f>
        <v/>
      </c>
      <c r="AV54" s="3857" t="n"/>
      <c r="AW54" s="409" t="n"/>
      <c r="AX54" s="11602" t="n"/>
      <c r="AY54" s="11602" t="n"/>
      <c r="AZ54" s="11602" t="n"/>
      <c r="BA54" s="11560" t="inlineStr">
        <is>
          <t>Table 2. 
Applicable Figure</t>
        </is>
      </c>
      <c r="BC54" s="11602" t="n"/>
      <c r="BD54" s="11602" t="n"/>
      <c r="BE54" s="11602" t="n"/>
      <c r="BF54" s="11602" t="n"/>
      <c r="BG54" s="11602" t="n"/>
      <c r="BH54" s="11602" t="n"/>
      <c r="BI54" s="11602" t="n"/>
      <c r="BJ54" s="11602" t="n"/>
      <c r="BK54" s="11602" t="n"/>
      <c r="BL54" s="11602" t="n"/>
      <c r="BM54" s="11704" t="inlineStr">
        <is>
          <t xml:space="preserve"> </t>
        </is>
      </c>
    </row>
    <row r="55" ht="16.5" customHeight="1" s="7635" thickBot="1">
      <c r="A55" s="2013" t="n"/>
      <c r="B55" s="3844" t="inlineStr">
        <is>
          <t>17</t>
        </is>
      </c>
      <c r="C55" s="3846" t="n"/>
      <c r="D55" s="11517" t="inlineStr">
        <is>
          <t>June</t>
        </is>
      </c>
      <c r="E55" s="8412" t="n"/>
      <c r="F55" s="8412" t="n"/>
      <c r="G55" s="11518" t="n"/>
      <c r="H55" s="8007" t="n"/>
      <c r="I55" s="8007" t="n"/>
      <c r="J55" s="8007" t="n"/>
      <c r="K55" s="8008" t="n"/>
      <c r="L55" s="11518" t="n"/>
      <c r="M55" s="8007" t="n"/>
      <c r="N55" s="8007" t="n"/>
      <c r="O55" s="8007" t="n"/>
      <c r="P55" s="8008" t="n"/>
      <c r="Q55" s="11525">
        <f>IF(AM56&lt;&gt;"",ROUND(AM56,2),IF(OR(G55="",L55="",$D$37&lt;&gt;""),"",$AE$30))</f>
        <v/>
      </c>
      <c r="R55" s="8412" t="n"/>
      <c r="S55" s="8412" t="n"/>
      <c r="T55" s="8412" t="n"/>
      <c r="U55" s="11734" t="n"/>
      <c r="V55" s="11525">
        <f>IF(OR(G55="",L55="",$D$37&lt;&gt;""),"",IF(Q55="",L55,IF(SUM(L55,-Q55)&lt;0,0,SUM(L55,-Q55))))</f>
        <v/>
      </c>
      <c r="W55" s="8412" t="n"/>
      <c r="X55" s="8412" t="n"/>
      <c r="Y55" s="8412" t="n"/>
      <c r="Z55" s="11734" t="n"/>
      <c r="AA55" s="11525">
        <f>IF(OR(G55="",L55="",$D$37&lt;&gt;""),"",MIN(G55,V55))</f>
        <v/>
      </c>
      <c r="AB55" s="8412" t="n"/>
      <c r="AC55" s="8412" t="n"/>
      <c r="AD55" s="8412" t="n"/>
      <c r="AE55" s="11734" t="n"/>
      <c r="AF55" s="11561" t="n"/>
      <c r="AG55" s="8007" t="n"/>
      <c r="AH55" s="8007" t="n"/>
      <c r="AI55" s="8007" t="n"/>
      <c r="AJ55" s="8008" t="n"/>
      <c r="AK55" s="2013" t="n"/>
      <c r="AL55" s="7914" t="inlineStr">
        <is>
          <t>16c</t>
        </is>
      </c>
      <c r="AM55" s="1032" t="n"/>
      <c r="AN55" s="11602" t="n"/>
      <c r="AO55" s="512" t="n"/>
      <c r="AP55" s="3852" t="inlineStr">
        <is>
          <t>3.</t>
        </is>
      </c>
      <c r="AQ55" s="3853">
        <f>"Multiply the amount on line 2 by "&amp;TEXT(AT55,"0.0")&amp;"."</f>
        <v/>
      </c>
      <c r="AR55" s="3854" t="n"/>
      <c r="AS55" s="11602" t="n"/>
      <c r="AT55" s="8914" t="n">
        <v>4</v>
      </c>
      <c r="AU55" s="3855" t="inlineStr">
        <is>
          <t xml:space="preserve">3. </t>
        </is>
      </c>
      <c r="AV55" s="3856">
        <f>IF(OR(AU54="",AT55=""),"",ROUND(AU54*AT55,0))</f>
        <v/>
      </c>
      <c r="AW55" s="409" t="n"/>
      <c r="AX55" s="11602" t="n"/>
      <c r="AY55" s="11602" t="n"/>
      <c r="AZ55" s="3858" t="n"/>
      <c r="BA55" s="8848" t="n"/>
      <c r="BB55" s="8848" t="n"/>
      <c r="BC55" s="11602" t="n"/>
      <c r="BD55" s="11602" t="n"/>
      <c r="BE55" s="11602" t="n"/>
      <c r="BF55" s="11602" t="n"/>
      <c r="BG55" s="11602" t="n"/>
      <c r="BH55" s="11602" t="n"/>
      <c r="BI55" s="711" t="n"/>
      <c r="BJ55" s="711" t="n"/>
      <c r="BK55" s="711" t="n"/>
      <c r="BL55" s="11602" t="n"/>
    </row>
    <row r="56" ht="14.25" customHeight="1" s="7635" thickBot="1">
      <c r="A56" s="2013" t="n"/>
      <c r="B56" s="3844" t="inlineStr">
        <is>
          <t>18</t>
        </is>
      </c>
      <c r="C56" s="3846" t="n"/>
      <c r="D56" s="11517" t="inlineStr">
        <is>
          <t>July</t>
        </is>
      </c>
      <c r="E56" s="8412" t="n"/>
      <c r="F56" s="8412" t="n"/>
      <c r="G56" s="11518" t="n"/>
      <c r="H56" s="8007" t="n"/>
      <c r="I56" s="8007" t="n"/>
      <c r="J56" s="8007" t="n"/>
      <c r="K56" s="8008" t="n"/>
      <c r="L56" s="11518" t="n"/>
      <c r="M56" s="8007" t="n"/>
      <c r="N56" s="8007" t="n"/>
      <c r="O56" s="8007" t="n"/>
      <c r="P56" s="8008" t="n"/>
      <c r="Q56" s="11525">
        <f>IF(AM57&lt;&gt;"",ROUND(AM57,2),IF(OR(G56="",L56="",$D$37&lt;&gt;""),"",$AE$30))</f>
        <v/>
      </c>
      <c r="R56" s="8412" t="n"/>
      <c r="S56" s="8412" t="n"/>
      <c r="T56" s="8412" t="n"/>
      <c r="U56" s="11734" t="n"/>
      <c r="V56" s="11525">
        <f>IF(OR(G56="",L56="",$D$37&lt;&gt;""),"",IF(Q56="",L56,IF(SUM(L56,-Q56)&lt;0,0,SUM(L56,-Q56))))</f>
        <v/>
      </c>
      <c r="W56" s="8412" t="n"/>
      <c r="X56" s="8412" t="n"/>
      <c r="Y56" s="8412" t="n"/>
      <c r="Z56" s="11734" t="n"/>
      <c r="AA56" s="11525">
        <f>IF(OR(G56="",L56="",$D$37&lt;&gt;""),"",MIN(G56,V56))</f>
        <v/>
      </c>
      <c r="AB56" s="8412" t="n"/>
      <c r="AC56" s="8412" t="n"/>
      <c r="AD56" s="8412" t="n"/>
      <c r="AE56" s="11734" t="n"/>
      <c r="AF56" s="11561" t="n"/>
      <c r="AG56" s="8007" t="n"/>
      <c r="AH56" s="8007" t="n"/>
      <c r="AI56" s="8007" t="n"/>
      <c r="AJ56" s="8008" t="n"/>
      <c r="AK56" s="2013" t="n"/>
      <c r="AL56" s="7914" t="inlineStr">
        <is>
          <t>17c</t>
        </is>
      </c>
      <c r="AM56" s="1032" t="n"/>
      <c r="AN56" s="11602" t="n"/>
      <c r="AO56" s="512" t="n"/>
      <c r="AP56" s="3862" t="inlineStr">
        <is>
          <t>4.</t>
        </is>
      </c>
      <c r="AQ56" s="3853" t="inlineStr">
        <is>
          <t>Is the amount on line 1 more than the amount on line 3?</t>
        </is>
      </c>
      <c r="AR56" s="3854" t="n"/>
      <c r="AS56" s="11602" t="n"/>
      <c r="AT56" s="11602" t="n"/>
      <c r="AU56" s="11602" t="n"/>
      <c r="AV56" s="9239">
        <f>AV53&gt;AV55</f>
        <v/>
      </c>
      <c r="AW56" s="409" t="n"/>
      <c r="AX56" s="11602" t="n"/>
      <c r="AY56" s="11602" t="n"/>
      <c r="AZ56" s="2014" t="n"/>
      <c r="BA56" s="3859">
        <f>AE26</f>
        <v/>
      </c>
      <c r="BB56" s="12837">
        <f>IF(BA56&lt;150,0,IF(BA56&lt;300,ROUND(0.0004*(BA56-150),4),IF(BA56&lt;400,ROUND(0.06+0.00025*(BA56-300),4),0.085)))</f>
        <v/>
      </c>
      <c r="BC56" s="11602" t="n"/>
      <c r="BD56" s="11602" t="n"/>
      <c r="BE56" s="11602" t="n"/>
      <c r="BF56" s="3861" t="n"/>
      <c r="BG56" s="711" t="n"/>
      <c r="BH56" s="711" t="n"/>
      <c r="BI56" s="711" t="n"/>
      <c r="BJ56" s="711" t="n"/>
      <c r="BK56" s="711" t="n"/>
      <c r="BL56" s="11602" t="n"/>
    </row>
    <row r="57" ht="14.25" customHeight="1" s="7635" thickBot="1">
      <c r="A57" s="2013" t="n"/>
      <c r="B57" s="3844" t="inlineStr">
        <is>
          <t>19</t>
        </is>
      </c>
      <c r="C57" s="3846" t="n"/>
      <c r="D57" s="11517" t="inlineStr">
        <is>
          <t>August</t>
        </is>
      </c>
      <c r="E57" s="8412" t="n"/>
      <c r="F57" s="8412" t="n"/>
      <c r="G57" s="11518" t="n"/>
      <c r="H57" s="8007" t="n"/>
      <c r="I57" s="8007" t="n"/>
      <c r="J57" s="8007" t="n"/>
      <c r="K57" s="8008" t="n"/>
      <c r="L57" s="11518" t="n"/>
      <c r="M57" s="8007" t="n"/>
      <c r="N57" s="8007" t="n"/>
      <c r="O57" s="8007" t="n"/>
      <c r="P57" s="8008" t="n"/>
      <c r="Q57" s="11525">
        <f>IF(AM58&lt;&gt;"",ROUND(AM58,2),IF(OR(G57="",L57="",$D$37&lt;&gt;""),"",$AE$30))</f>
        <v/>
      </c>
      <c r="R57" s="8412" t="n"/>
      <c r="S57" s="8412" t="n"/>
      <c r="T57" s="8412" t="n"/>
      <c r="U57" s="11734" t="n"/>
      <c r="V57" s="11525">
        <f>IF(OR(G57="",L57="",$D$37&lt;&gt;""),"",IF(Q57="",L57,IF(SUM(L57,-Q57)&lt;0,0,SUM(L57,-Q57))))</f>
        <v/>
      </c>
      <c r="W57" s="8412" t="n"/>
      <c r="X57" s="8412" t="n"/>
      <c r="Y57" s="8412" t="n"/>
      <c r="Z57" s="11734" t="n"/>
      <c r="AA57" s="11525">
        <f>IF(OR(G57="",L57="",$D$37&lt;&gt;""),"",MIN(G57,V57))</f>
        <v/>
      </c>
      <c r="AB57" s="8412" t="n"/>
      <c r="AC57" s="8412" t="n"/>
      <c r="AD57" s="8412" t="n"/>
      <c r="AE57" s="11734" t="n"/>
      <c r="AF57" s="11561" t="n"/>
      <c r="AG57" s="8007" t="n"/>
      <c r="AH57" s="8007" t="n"/>
      <c r="AI57" s="8007" t="n"/>
      <c r="AJ57" s="8008" t="n"/>
      <c r="AK57" s="2013" t="n"/>
      <c r="AL57" s="7914" t="inlineStr">
        <is>
          <t>18c</t>
        </is>
      </c>
      <c r="AM57" s="1032" t="n"/>
      <c r="AN57" s="11602" t="n"/>
      <c r="AO57" s="512" t="n"/>
      <c r="AP57" s="3864" t="inlineStr">
        <is>
          <t>•  Yes.</t>
        </is>
      </c>
      <c r="AQ57" s="3865" t="inlineStr">
        <is>
          <t>The amount one line 1 is more than 400% of the federal poverty line.</t>
        </is>
      </c>
      <c r="AR57" s="3865" t="n"/>
      <c r="AS57" s="11602" t="n"/>
      <c r="AT57" s="11602" t="n"/>
      <c r="AU57" s="11602" t="n"/>
      <c r="AV57" s="2741" t="n"/>
      <c r="AW57" s="409" t="n"/>
      <c r="AX57" s="11602" t="n"/>
      <c r="AY57" s="11602" t="n"/>
      <c r="AZ57" s="2034" t="inlineStr">
        <is>
          <t>Manual &gt;</t>
        </is>
      </c>
      <c r="BA57" s="11602" t="n"/>
      <c r="BB57" s="11602" t="n"/>
      <c r="BC57" s="12838" t="n"/>
      <c r="BD57" s="11602" t="n"/>
      <c r="BE57" s="11602" t="n"/>
      <c r="BF57" s="3861" t="n"/>
      <c r="BG57" s="711" t="n"/>
      <c r="BH57" s="711" t="n"/>
      <c r="BI57" s="711" t="n"/>
      <c r="BJ57" s="711" t="n"/>
      <c r="BK57" s="711" t="n"/>
      <c r="BL57" s="11602" t="n"/>
    </row>
    <row r="58" ht="14.25" customHeight="1" s="7635" thickBot="1">
      <c r="A58" s="2013" t="n"/>
      <c r="B58" s="3844" t="inlineStr">
        <is>
          <t>20</t>
        </is>
      </c>
      <c r="C58" s="3846" t="n"/>
      <c r="D58" s="11517" t="inlineStr">
        <is>
          <t>September</t>
        </is>
      </c>
      <c r="E58" s="8412" t="n"/>
      <c r="F58" s="8412" t="n"/>
      <c r="G58" s="11518" t="n"/>
      <c r="H58" s="8007" t="n"/>
      <c r="I58" s="8007" t="n"/>
      <c r="J58" s="8007" t="n"/>
      <c r="K58" s="8008" t="n"/>
      <c r="L58" s="11518" t="n"/>
      <c r="M58" s="8007" t="n"/>
      <c r="N58" s="8007" t="n"/>
      <c r="O58" s="8007" t="n"/>
      <c r="P58" s="8008" t="n"/>
      <c r="Q58" s="11525">
        <f>IF(AM59&lt;&gt;"",ROUND(AM59,2),IF(OR(G58="",L58="",$D$37&lt;&gt;""),"",$AE$30))</f>
        <v/>
      </c>
      <c r="R58" s="8412" t="n"/>
      <c r="S58" s="8412" t="n"/>
      <c r="T58" s="8412" t="n"/>
      <c r="U58" s="11734" t="n"/>
      <c r="V58" s="11525">
        <f>IF(OR(G58="",L58="",$D$37&lt;&gt;""),"",IF(Q58="",L58,IF(SUM(L58,-Q58)&lt;0,0,SUM(L58,-Q58))))</f>
        <v/>
      </c>
      <c r="W58" s="8412" t="n"/>
      <c r="X58" s="8412" t="n"/>
      <c r="Y58" s="8412" t="n"/>
      <c r="Z58" s="11734" t="n"/>
      <c r="AA58" s="11525">
        <f>IF(OR(G58="",L58="",$D$37&lt;&gt;""),"",MIN(G58,V58))</f>
        <v/>
      </c>
      <c r="AB58" s="8412" t="n"/>
      <c r="AC58" s="8412" t="n"/>
      <c r="AD58" s="8412" t="n"/>
      <c r="AE58" s="11734" t="n"/>
      <c r="AF58" s="11561" t="n"/>
      <c r="AG58" s="8007" t="n"/>
      <c r="AH58" s="8007" t="n"/>
      <c r="AI58" s="8007" t="n"/>
      <c r="AJ58" s="8008" t="n"/>
      <c r="AK58" s="2013" t="n"/>
      <c r="AL58" s="7914" t="inlineStr">
        <is>
          <t>19c</t>
        </is>
      </c>
      <c r="AM58" s="1032" t="n"/>
      <c r="AN58" s="11602" t="n"/>
      <c r="AO58" s="11602" t="n"/>
      <c r="AP58" s="3866" t="n"/>
      <c r="AQ58" s="3853" t="inlineStr">
        <is>
          <t>Enter 401 here and on line 5 of Form 8962.</t>
        </is>
      </c>
      <c r="AR58" s="3854" t="n"/>
      <c r="AS58" s="11602" t="n"/>
      <c r="AT58" s="11602" t="n"/>
      <c r="AU58" s="11602" t="n"/>
      <c r="AV58" s="11602" t="n"/>
      <c r="AW58" s="409" t="n"/>
      <c r="AX58" s="11602" t="n"/>
      <c r="AY58" s="11602" t="n"/>
      <c r="AZ58" s="2014" t="n"/>
      <c r="BA58" s="1322" t="n">
        <v>281</v>
      </c>
      <c r="BB58" s="12837">
        <f>IF(BA58&lt;150,0,IF(BA58&lt;300,ROUND(0.0004*(BA58-150),4),IF(BA58&lt;400,ROUND(0.06+0.00025*(BA58-300),4),0.085)))</f>
        <v/>
      </c>
      <c r="BC58" s="12838" t="n"/>
      <c r="BD58" s="711" t="n"/>
      <c r="BE58" s="711" t="n"/>
      <c r="BF58" s="3861" t="n"/>
      <c r="BG58" s="711" t="n"/>
      <c r="BH58" s="711" t="n"/>
      <c r="BI58" s="711" t="n"/>
      <c r="BJ58" s="711" t="n"/>
      <c r="BK58" s="711" t="n"/>
      <c r="BL58" s="11602" t="n"/>
    </row>
    <row r="59" ht="14.25" customHeight="1" s="7635" thickBot="1">
      <c r="A59" s="2013" t="n"/>
      <c r="B59" s="3844" t="inlineStr">
        <is>
          <t>21</t>
        </is>
      </c>
      <c r="C59" s="3846" t="n"/>
      <c r="D59" s="11517" t="inlineStr">
        <is>
          <t>October</t>
        </is>
      </c>
      <c r="E59" s="8412" t="n"/>
      <c r="F59" s="8412" t="n"/>
      <c r="G59" s="11518" t="n"/>
      <c r="H59" s="8007" t="n"/>
      <c r="I59" s="8007" t="n"/>
      <c r="J59" s="8007" t="n"/>
      <c r="K59" s="8008" t="n"/>
      <c r="L59" s="11518" t="n"/>
      <c r="M59" s="8007" t="n"/>
      <c r="N59" s="8007" t="n"/>
      <c r="O59" s="8007" t="n"/>
      <c r="P59" s="8008" t="n"/>
      <c r="Q59" s="11525">
        <f>IF(AM60&lt;&gt;"",ROUND(AM60,2),IF(OR(G59="",L59="",$D$37&lt;&gt;""),"",$AE$30))</f>
        <v/>
      </c>
      <c r="R59" s="8412" t="n"/>
      <c r="S59" s="8412" t="n"/>
      <c r="T59" s="8412" t="n"/>
      <c r="U59" s="11734" t="n"/>
      <c r="V59" s="11525">
        <f>IF(OR(G59="",L59="",$D$37&lt;&gt;""),"",IF(Q59="",L59,IF(SUM(L59,-Q59)&lt;0,0,SUM(L59,-Q59))))</f>
        <v/>
      </c>
      <c r="W59" s="8412" t="n"/>
      <c r="X59" s="8412" t="n"/>
      <c r="Y59" s="8412" t="n"/>
      <c r="Z59" s="11734" t="n"/>
      <c r="AA59" s="11525">
        <f>IF(OR(G59="",L59="",$D$37&lt;&gt;""),"",MIN(G59,V59))</f>
        <v/>
      </c>
      <c r="AB59" s="8412" t="n"/>
      <c r="AC59" s="8412" t="n"/>
      <c r="AD59" s="8412" t="n"/>
      <c r="AE59" s="11734" t="n"/>
      <c r="AF59" s="11561" t="n"/>
      <c r="AG59" s="8007" t="n"/>
      <c r="AH59" s="8007" t="n"/>
      <c r="AI59" s="8007" t="n"/>
      <c r="AJ59" s="8008" t="n"/>
      <c r="AK59" s="2013" t="n"/>
      <c r="AL59" s="7914" t="inlineStr">
        <is>
          <t>20c</t>
        </is>
      </c>
      <c r="AM59" s="1032" t="n"/>
      <c r="AN59" s="11602" t="n"/>
      <c r="AO59" s="11602" t="n"/>
      <c r="AP59" s="3864" t="inlineStr">
        <is>
          <t>•  No.</t>
        </is>
      </c>
      <c r="AQ59" s="3853" t="inlineStr">
        <is>
          <t>Divide the amount on line 1 above by</t>
        </is>
      </c>
      <c r="AR59" s="3867" t="n"/>
      <c r="AS59" s="11602" t="n"/>
      <c r="AT59" s="11602" t="n"/>
      <c r="AU59" s="3868" t="n"/>
      <c r="AV59" s="2741" t="n"/>
      <c r="AW59" s="409" t="n"/>
      <c r="AX59" s="11602" t="n"/>
      <c r="AY59" s="11602" t="n"/>
      <c r="AZ59" s="2014" t="n"/>
      <c r="BA59" s="7957" t="inlineStr">
        <is>
          <t>Line 5</t>
        </is>
      </c>
      <c r="BB59" s="7957" t="inlineStr">
        <is>
          <t>Line 7</t>
        </is>
      </c>
      <c r="BC59" s="12838" t="n"/>
      <c r="BD59" s="711" t="n"/>
      <c r="BE59" s="711" t="n"/>
      <c r="BF59" s="3861" t="n"/>
      <c r="BG59" s="711" t="n"/>
      <c r="BH59" s="711" t="n"/>
      <c r="BI59" s="711" t="n"/>
      <c r="BJ59" s="711" t="n"/>
      <c r="BK59" s="711" t="n"/>
      <c r="BL59" s="11602" t="n"/>
    </row>
    <row r="60" ht="14.25" customHeight="1" s="7635" thickBot="1">
      <c r="A60" s="2013" t="n"/>
      <c r="B60" s="3844" t="inlineStr">
        <is>
          <t>22</t>
        </is>
      </c>
      <c r="C60" s="3846" t="n"/>
      <c r="D60" s="11517" t="inlineStr">
        <is>
          <t>November</t>
        </is>
      </c>
      <c r="E60" s="8412" t="n"/>
      <c r="F60" s="8412" t="n"/>
      <c r="G60" s="11518" t="n"/>
      <c r="H60" s="8007" t="n"/>
      <c r="I60" s="8007" t="n"/>
      <c r="J60" s="8007" t="n"/>
      <c r="K60" s="8008" t="n"/>
      <c r="L60" s="11518" t="n"/>
      <c r="M60" s="8007" t="n"/>
      <c r="N60" s="8007" t="n"/>
      <c r="O60" s="8007" t="n"/>
      <c r="P60" s="8008" t="n"/>
      <c r="Q60" s="11525">
        <f>IF(AM61&lt;&gt;"",ROUND(AM61,2),IF(OR(G60="",L60="",$D$37&lt;&gt;""),"",$AE$30))</f>
        <v/>
      </c>
      <c r="R60" s="8412" t="n"/>
      <c r="S60" s="8412" t="n"/>
      <c r="T60" s="8412" t="n"/>
      <c r="U60" s="11734" t="n"/>
      <c r="V60" s="11525">
        <f>IF(OR(G60="",L60="",$D$37&lt;&gt;""),"",IF(Q60="",L60,IF(SUM(L60,-Q60)&lt;0,0,SUM(L60,-Q60))))</f>
        <v/>
      </c>
      <c r="W60" s="8412" t="n"/>
      <c r="X60" s="8412" t="n"/>
      <c r="Y60" s="8412" t="n"/>
      <c r="Z60" s="11734" t="n"/>
      <c r="AA60" s="11525">
        <f>IF(OR(G60="",L60="",$D$37&lt;&gt;""),"",MIN(G60,V60))</f>
        <v/>
      </c>
      <c r="AB60" s="8412" t="n"/>
      <c r="AC60" s="8412" t="n"/>
      <c r="AD60" s="8412" t="n"/>
      <c r="AE60" s="11734" t="n"/>
      <c r="AF60" s="11561" t="n"/>
      <c r="AG60" s="8007" t="n"/>
      <c r="AH60" s="8007" t="n"/>
      <c r="AI60" s="8007" t="n"/>
      <c r="AJ60" s="8008" t="n"/>
      <c r="AK60" s="2013" t="n"/>
      <c r="AL60" s="7914" t="inlineStr">
        <is>
          <t>21c</t>
        </is>
      </c>
      <c r="AM60" s="1032" t="n"/>
      <c r="AN60" s="11602" t="n"/>
      <c r="AO60" s="11602" t="n"/>
      <c r="AP60" s="3869" t="n"/>
      <c r="AQ60" s="3853" t="inlineStr">
        <is>
          <t>the amount on line 2 above.  Do not round;</t>
        </is>
      </c>
      <c r="AR60" s="3868" t="n"/>
      <c r="AS60" s="11602" t="n"/>
      <c r="AT60" s="3868" t="n"/>
      <c r="AU60" s="3870" t="n"/>
      <c r="AV60" s="1318" t="n"/>
      <c r="AW60" s="409" t="n"/>
      <c r="AX60" s="11602" t="n"/>
      <c r="AY60" s="11602" t="n"/>
      <c r="AZ60" s="2014" t="n"/>
      <c r="BA60" s="11602" t="n"/>
      <c r="BB60" s="11602" t="n"/>
      <c r="BC60" s="12838" t="n"/>
      <c r="BD60" s="711" t="n"/>
      <c r="BE60" s="711" t="n"/>
      <c r="BF60" s="3861" t="n"/>
      <c r="BG60" s="711" t="n"/>
      <c r="BH60" s="711" t="n"/>
      <c r="BI60" s="711" t="n"/>
      <c r="BJ60" s="711" t="n"/>
      <c r="BK60" s="711" t="n"/>
      <c r="BL60" s="11602" t="n"/>
    </row>
    <row r="61" ht="14.25" customHeight="1" s="7635" thickBot="1">
      <c r="A61" s="2013" t="n"/>
      <c r="B61" s="3871" t="inlineStr">
        <is>
          <t>23</t>
        </is>
      </c>
      <c r="C61" s="3872" t="n"/>
      <c r="D61" s="11548" t="inlineStr">
        <is>
          <t>December</t>
        </is>
      </c>
      <c r="E61" s="11811" t="n"/>
      <c r="F61" s="11811" t="n"/>
      <c r="G61" s="11610" t="n"/>
      <c r="H61" s="11809" t="n"/>
      <c r="I61" s="11809" t="n"/>
      <c r="J61" s="11809" t="n"/>
      <c r="K61" s="11810" t="n"/>
      <c r="L61" s="11610" t="n"/>
      <c r="M61" s="11809" t="n"/>
      <c r="N61" s="11809" t="n"/>
      <c r="O61" s="11809" t="n"/>
      <c r="P61" s="11810" t="n"/>
      <c r="Q61" s="11549">
        <f>IF(AM62&lt;&gt;"",ROUND(AM62,2),IF(OR(G61="",L61="",$D$37&lt;&gt;""),"",$AE$30))</f>
        <v/>
      </c>
      <c r="R61" s="11811" t="n"/>
      <c r="S61" s="11811" t="n"/>
      <c r="T61" s="11811" t="n"/>
      <c r="U61" s="12143" t="n"/>
      <c r="V61" s="11549">
        <f>IF(OR(G61="",L61="",$D$37&lt;&gt;""),"",IF(Q61="",L61,IF(SUM(L61,-Q61)&lt;0,0,SUM(L61,-Q61))))</f>
        <v/>
      </c>
      <c r="W61" s="11811" t="n"/>
      <c r="X61" s="11811" t="n"/>
      <c r="Y61" s="11811" t="n"/>
      <c r="Z61" s="12143" t="n"/>
      <c r="AA61" s="11549">
        <f>IF(OR(G61="",L61="",$D$37&lt;&gt;""),"",MIN(G61,V61))</f>
        <v/>
      </c>
      <c r="AB61" s="11811" t="n"/>
      <c r="AC61" s="11811" t="n"/>
      <c r="AD61" s="11811" t="n"/>
      <c r="AE61" s="12143" t="n"/>
      <c r="AF61" s="11610" t="n"/>
      <c r="AG61" s="11809" t="n"/>
      <c r="AH61" s="11809" t="n"/>
      <c r="AI61" s="11809" t="n"/>
      <c r="AJ61" s="11810" t="n"/>
      <c r="AK61" s="2013" t="n"/>
      <c r="AL61" s="7914" t="inlineStr">
        <is>
          <t>22c</t>
        </is>
      </c>
      <c r="AM61" s="1032" t="n"/>
      <c r="AN61" s="11602" t="n"/>
      <c r="AO61" s="11602" t="n"/>
      <c r="AP61" s="3873" t="n"/>
      <c r="AQ61" s="3853" t="inlineStr">
        <is>
          <t>instead, multiply this number by 100 (to express</t>
        </is>
      </c>
      <c r="AR61" s="3870" t="n"/>
      <c r="AS61" s="3870" t="n"/>
      <c r="AT61" s="11602" t="n"/>
      <c r="AU61" s="3855" t="n"/>
      <c r="AV61" s="1318" t="n"/>
      <c r="AW61" s="409" t="n"/>
      <c r="AX61" s="11602" t="n"/>
      <c r="AY61" s="11602" t="n"/>
      <c r="AZ61" s="2014" t="n"/>
      <c r="BA61" s="11602" t="n"/>
      <c r="BB61" s="11602" t="n"/>
      <c r="BC61" s="12838" t="n"/>
      <c r="BD61" s="711" t="n"/>
      <c r="BE61" s="711" t="n"/>
      <c r="BF61" s="3861" t="n"/>
      <c r="BG61" s="711" t="n"/>
      <c r="BH61" s="711" t="n"/>
      <c r="BI61" s="711" t="n"/>
      <c r="BJ61" s="711" t="n"/>
      <c r="BK61" s="711" t="n"/>
      <c r="BL61" s="11602" t="n"/>
    </row>
    <row r="62" ht="14.25" customHeight="1" s="7635" thickBot="1">
      <c r="A62" s="2013" t="n"/>
      <c r="B62" s="3874" t="inlineStr">
        <is>
          <t>24</t>
        </is>
      </c>
      <c r="C62" s="377" t="n"/>
      <c r="D62" s="344" t="inlineStr">
        <is>
          <t>Total PTC. Enter the amount from line 11, column (e), or add lines 12 through 23, column (e), and enter the total</t>
        </is>
      </c>
      <c r="E62" s="11602" t="n"/>
      <c r="F62" s="11602" t="n"/>
      <c r="G62" s="11602" t="n"/>
      <c r="H62" s="11602" t="n"/>
      <c r="I62" s="11602" t="n"/>
      <c r="J62" s="11602" t="n"/>
      <c r="K62" s="11602" t="n"/>
      <c r="L62" s="11602" t="n"/>
      <c r="M62" s="11602" t="n"/>
      <c r="N62" s="11602" t="n"/>
      <c r="O62" s="11602" t="n"/>
      <c r="P62" s="11602" t="n"/>
      <c r="Q62" s="11602" t="n"/>
      <c r="R62" s="11602" t="n"/>
      <c r="S62" s="11602" t="n"/>
      <c r="T62" s="11602" t="n"/>
      <c r="U62" s="11602" t="n"/>
      <c r="V62" s="11602" t="n"/>
      <c r="W62" s="11602" t="n"/>
      <c r="X62" s="11602" t="n"/>
      <c r="Y62" s="11602" t="n"/>
      <c r="Z62" s="11602" t="n"/>
      <c r="AA62" s="11602" t="n"/>
      <c r="AB62" s="11602" t="n"/>
      <c r="AC62" s="11602" t="n"/>
      <c r="AD62" s="726" t="n"/>
      <c r="AE62" s="11602" t="n"/>
      <c r="AF62" s="11602" t="n"/>
      <c r="AG62" s="11602" t="n"/>
      <c r="AH62" s="11602" t="n"/>
      <c r="AI62" s="11602" t="n"/>
      <c r="AJ62" s="11602" t="n"/>
      <c r="AK62" s="2013" t="n"/>
      <c r="AL62" s="7914" t="inlineStr">
        <is>
          <t>23c</t>
        </is>
      </c>
      <c r="AM62" s="1032" t="n"/>
      <c r="AN62" s="344" t="n"/>
      <c r="AO62" s="11602" t="n"/>
      <c r="AP62" s="3852" t="n"/>
      <c r="AQ62" s="3853" t="inlineStr">
        <is>
          <t>it as a percentage) and then drop any numbers</t>
        </is>
      </c>
      <c r="AR62" s="11602" t="n"/>
      <c r="AS62" s="11602" t="n"/>
      <c r="AT62" s="11602" t="n"/>
      <c r="AU62" s="11602" t="n"/>
      <c r="AV62" s="11602" t="n"/>
      <c r="AW62" s="409" t="n"/>
      <c r="AX62" s="11602" t="n"/>
      <c r="AY62" s="11602" t="n"/>
      <c r="AZ62" s="2014" t="n"/>
      <c r="BA62" s="11602" t="n"/>
      <c r="BB62" s="11602" t="n"/>
      <c r="BC62" s="12838" t="n"/>
      <c r="BD62" s="711" t="n"/>
      <c r="BE62" s="711" t="n"/>
      <c r="BF62" s="3861" t="n"/>
      <c r="BG62" s="711" t="n"/>
      <c r="BH62" s="711" t="n"/>
      <c r="BI62" s="711" t="n"/>
      <c r="BJ62" s="711" t="n"/>
      <c r="BK62" s="711" t="n"/>
      <c r="BL62" s="11602" t="n"/>
    </row>
    <row r="63" ht="14.25" customHeight="1" s="7635" thickBot="1">
      <c r="A63" s="2013" t="n"/>
      <c r="B63" s="3827" t="n"/>
      <c r="C63" s="11602" t="n"/>
      <c r="D63" s="344" t="inlineStr">
        <is>
          <t>here</t>
        </is>
      </c>
      <c r="E63" s="11602" t="n"/>
      <c r="F63" s="11602" t="n"/>
      <c r="G63" s="11602" t="n"/>
      <c r="H63" s="11602" t="n"/>
      <c r="I63" s="11602" t="n"/>
      <c r="J63" s="11602" t="n"/>
      <c r="K63" s="11602" t="n"/>
      <c r="L63" s="11602" t="n"/>
      <c r="M63" s="11602" t="n"/>
      <c r="N63" s="11602" t="n"/>
      <c r="O63" s="11602" t="n"/>
      <c r="P63" s="11602" t="n"/>
      <c r="Q63" s="11602" t="n"/>
      <c r="R63" s="11602" t="n"/>
      <c r="S63" s="11602" t="n"/>
      <c r="T63" s="11602" t="n"/>
      <c r="U63" s="11602" t="n"/>
      <c r="V63" s="11602" t="n"/>
      <c r="W63" s="11602" t="n"/>
      <c r="X63" s="11602" t="n"/>
      <c r="Y63" s="11602" t="n"/>
      <c r="Z63" s="11602" t="n"/>
      <c r="AA63" s="11602" t="n"/>
      <c r="AB63" s="11602" t="n"/>
      <c r="AC63" s="1657" t="inlineStr">
        <is>
          <t xml:space="preserve">.   .   .   .   .   .   .   .   .   .   .   .   .   .   .   .   .   .   .   .   .   .   .   .   .   .   .   .   .   .   .   .   .   .   .   .   .   .   .   .   .   .   .   .   . </t>
        </is>
      </c>
      <c r="AD63" s="2895" t="n">
        <v>24</v>
      </c>
      <c r="AE63" s="8176">
        <f>IF(AM63&lt;&gt;"",ROUND(AM63,0),IF(AND(AA45&lt;&gt;"",AA45&gt;0),ROUND(AA45,0),ROUND(AO72,0)))</f>
        <v/>
      </c>
      <c r="AF63" s="7637" t="n"/>
      <c r="AG63" s="7637" t="n"/>
      <c r="AH63" s="7637" t="n"/>
      <c r="AI63" s="7637" t="n"/>
      <c r="AJ63" s="7637" t="n"/>
      <c r="AK63" s="2013" t="n"/>
      <c r="AL63" s="7914" t="n"/>
      <c r="AM63" s="1032" t="n"/>
      <c r="AN63" s="344" t="n"/>
      <c r="AO63" s="11602" t="n"/>
      <c r="AP63" s="3852" t="n"/>
      <c r="AQ63" s="3853" t="inlineStr">
        <is>
          <t>after the decimal point.  For example, for 0.9984,</t>
        </is>
      </c>
      <c r="AR63" s="11602" t="n"/>
      <c r="AS63" s="11602" t="n"/>
      <c r="AT63" s="11602" t="n"/>
      <c r="AU63" s="11602" t="n"/>
      <c r="AV63" s="3875" t="n">
        <v>401</v>
      </c>
      <c r="AW63" s="409" t="n"/>
      <c r="AX63" s="11602" t="n"/>
      <c r="AY63" s="11602" t="n"/>
      <c r="AZ63" s="2014" t="n"/>
      <c r="BA63" s="11602" t="n"/>
      <c r="BB63" s="11602" t="n"/>
      <c r="BC63" s="12838" t="n"/>
      <c r="BD63" s="711" t="n"/>
      <c r="BE63" s="711" t="n"/>
      <c r="BF63" s="3861" t="n"/>
      <c r="BG63" s="711" t="n"/>
      <c r="BH63" s="711" t="n"/>
      <c r="BI63" s="711" t="n"/>
      <c r="BJ63" s="711" t="n"/>
      <c r="BK63" s="711" t="n"/>
      <c r="BL63" s="11602" t="n"/>
    </row>
    <row r="64" ht="14.25" customHeight="1" s="7635" thickBot="1">
      <c r="A64" s="2013" t="n"/>
      <c r="B64" s="3827" t="inlineStr">
        <is>
          <t>25</t>
        </is>
      </c>
      <c r="C64" s="11602" t="n"/>
      <c r="D64" s="344" t="inlineStr">
        <is>
          <t>Advance payment of PTC. Enter the amount from line 11, column (f), or add lines 12 through 23, column (f), and</t>
        </is>
      </c>
      <c r="E64" s="11602" t="n"/>
      <c r="F64" s="11602" t="n"/>
      <c r="G64" s="11602" t="n"/>
      <c r="H64" s="11602" t="n"/>
      <c r="I64" s="11602" t="n"/>
      <c r="J64" s="11602" t="n"/>
      <c r="K64" s="11602" t="n"/>
      <c r="L64" s="11602" t="n"/>
      <c r="M64" s="11602" t="n"/>
      <c r="N64" s="11602" t="n"/>
      <c r="O64" s="11602" t="n"/>
      <c r="P64" s="11602" t="n"/>
      <c r="Q64" s="11602" t="n"/>
      <c r="R64" s="11602" t="n"/>
      <c r="S64" s="11602" t="n"/>
      <c r="T64" s="11602" t="n"/>
      <c r="U64" s="11602" t="n"/>
      <c r="V64" s="11602" t="n"/>
      <c r="W64" s="11602" t="n"/>
      <c r="X64" s="11602" t="n"/>
      <c r="Y64" s="11602" t="n"/>
      <c r="Z64" s="11602" t="n"/>
      <c r="AA64" s="11602" t="n"/>
      <c r="AB64" s="11602" t="n"/>
      <c r="AC64" s="11602" t="n"/>
      <c r="AD64" s="726" t="n"/>
      <c r="AE64" s="405" t="n"/>
      <c r="AF64" s="406" t="n"/>
      <c r="AG64" s="406" t="n"/>
      <c r="AH64" s="406" t="n"/>
      <c r="AI64" s="406" t="n"/>
      <c r="AJ64" s="406" t="n"/>
      <c r="AK64" s="2013" t="n"/>
      <c r="AL64" s="7914" t="n"/>
      <c r="AM64" s="11602" t="n"/>
      <c r="AN64" s="710" t="n"/>
      <c r="AO64" s="11602" t="n"/>
      <c r="AP64" s="3852" t="n"/>
      <c r="AQ64" s="3853" t="inlineStr">
        <is>
          <t>enter the result as 99; for 1.8565, enter the</t>
        </is>
      </c>
      <c r="AR64" s="11602" t="n"/>
      <c r="AS64" s="11602" t="n"/>
      <c r="AT64" s="11602" t="n"/>
      <c r="AU64" s="11602" t="n"/>
      <c r="AV64" s="11602" t="n"/>
      <c r="AW64" s="409" t="n"/>
      <c r="AX64" s="11602" t="n"/>
      <c r="AY64" s="11602" t="n"/>
      <c r="AZ64" s="2014" t="n"/>
      <c r="BA64" s="11602" t="n"/>
      <c r="BB64" s="11602" t="n"/>
      <c r="BC64" s="12838" t="n"/>
      <c r="BD64" s="711" t="n"/>
      <c r="BE64" s="711" t="n"/>
      <c r="BF64" s="3861" t="n"/>
      <c r="BG64" s="711" t="n"/>
      <c r="BH64" s="711" t="n"/>
      <c r="BI64" s="711" t="n"/>
      <c r="BJ64" s="711" t="n"/>
      <c r="BK64" s="711" t="n"/>
      <c r="BL64" s="11602" t="n"/>
    </row>
    <row r="65" ht="14.25" customHeight="1" s="7635" thickBot="1">
      <c r="A65" s="2013" t="n"/>
      <c r="B65" s="3827" t="n"/>
      <c r="C65" s="11602" t="n"/>
      <c r="D65" s="344" t="inlineStr">
        <is>
          <t>enter the total here</t>
        </is>
      </c>
      <c r="E65" s="11602" t="n"/>
      <c r="F65" s="11602" t="n"/>
      <c r="G65" s="11602" t="n"/>
      <c r="H65" s="11602" t="n"/>
      <c r="I65" s="11602" t="n"/>
      <c r="J65" s="11602" t="n"/>
      <c r="K65" s="11602" t="n"/>
      <c r="L65" s="11602" t="n"/>
      <c r="M65" s="11602" t="n"/>
      <c r="N65" s="11602" t="n"/>
      <c r="O65" s="11602" t="n"/>
      <c r="P65" s="11602" t="n"/>
      <c r="Q65" s="11602" t="n"/>
      <c r="R65" s="11602" t="n"/>
      <c r="S65" s="11602" t="n"/>
      <c r="T65" s="11602" t="n"/>
      <c r="U65" s="11602" t="n"/>
      <c r="V65" s="11602" t="n"/>
      <c r="W65" s="11602" t="n"/>
      <c r="X65" s="11602" t="n"/>
      <c r="Y65" s="11602" t="n"/>
      <c r="Z65" s="11602" t="n"/>
      <c r="AA65" s="11602" t="n"/>
      <c r="AB65" s="11602" t="n"/>
      <c r="AC65" s="1657" t="inlineStr">
        <is>
          <t xml:space="preserve">.   .   .   .   .   .   .   .   .   .   .   .   .   .   .   .   .   .   .   .   .   .   .   .   .   .   .   .   .   .   .   .   .   .   .   .   .   .   .   .   . </t>
        </is>
      </c>
      <c r="AD65" s="2895" t="n">
        <v>25</v>
      </c>
      <c r="AE65" s="8176">
        <f>IF(AM65&lt;&gt;"",ROUND(AM65,0),IF(D33&lt;&gt;"","",IF(AND(AF45&lt;&gt;"",AF45&gt;0),ROUND(AF45,0),ROUND(AO73,0))))</f>
        <v/>
      </c>
      <c r="AF65" s="7637" t="n"/>
      <c r="AG65" s="7637" t="n"/>
      <c r="AH65" s="7637" t="n"/>
      <c r="AI65" s="7637" t="n"/>
      <c r="AJ65" s="7637" t="n"/>
      <c r="AK65" s="2013" t="n"/>
      <c r="AL65" s="7914" t="n"/>
      <c r="AM65" s="709" t="n"/>
      <c r="AN65" s="710" t="n"/>
      <c r="AO65" s="11602" t="n"/>
      <c r="AP65" s="3864" t="n"/>
      <c r="AQ65" s="3853" t="inlineStr">
        <is>
          <t>result as 185; and for 3.997, enter the result as</t>
        </is>
      </c>
      <c r="AR65" s="11602" t="n"/>
      <c r="AS65" s="11602" t="n"/>
      <c r="AT65" s="11602" t="n"/>
      <c r="AU65" s="11602" t="n"/>
      <c r="AV65" s="11602" t="n"/>
      <c r="AW65" s="409" t="n"/>
      <c r="AX65" s="11602" t="n"/>
      <c r="AY65" s="11602" t="n"/>
      <c r="AZ65" s="2014" t="n"/>
      <c r="BA65" s="11602" t="n"/>
      <c r="BB65" s="11602" t="n"/>
      <c r="BC65" s="12838" t="n"/>
      <c r="BD65" s="711" t="n"/>
      <c r="BE65" s="711" t="n"/>
      <c r="BF65" s="3861" t="n"/>
      <c r="BG65" s="711" t="n"/>
      <c r="BH65" s="711" t="n"/>
      <c r="BI65" s="711" t="n"/>
      <c r="BJ65" s="711" t="n"/>
      <c r="BK65" s="711" t="n"/>
      <c r="BL65" s="11602" t="n"/>
    </row>
    <row r="66" ht="14.25" customHeight="1" s="7635">
      <c r="A66" s="2013" t="n"/>
      <c r="B66" s="3827" t="inlineStr">
        <is>
          <t>26</t>
        </is>
      </c>
      <c r="C66" s="11602" t="n"/>
      <c r="D66" s="9237" t="inlineStr">
        <is>
          <t>Net Premium Tax Credit. If line 24 is greater than line 25, subtract line 25 from line 24. Enter the difference here and</t>
        </is>
      </c>
      <c r="E66" s="9238" t="n"/>
      <c r="F66" s="9238" t="n"/>
      <c r="G66" s="9238" t="n"/>
      <c r="H66" s="9238" t="n"/>
      <c r="I66" s="9238" t="n"/>
      <c r="J66" s="9238" t="n"/>
      <c r="K66" s="9238" t="n"/>
      <c r="L66" s="9238" t="n"/>
      <c r="M66" s="9238" t="n"/>
      <c r="N66" s="9238" t="n"/>
      <c r="O66" s="9238" t="n"/>
      <c r="P66" s="9238" t="n"/>
      <c r="Q66" s="9238" t="n"/>
      <c r="R66" s="9238" t="n"/>
      <c r="S66" s="9238" t="n"/>
      <c r="T66" s="9238" t="n"/>
      <c r="U66" s="9238" t="n"/>
      <c r="V66" s="9238" t="n"/>
      <c r="W66" s="9238" t="n"/>
      <c r="X66" s="9238" t="n"/>
      <c r="Y66" s="9238" t="n"/>
      <c r="Z66" s="9238" t="n"/>
      <c r="AA66" s="9238" t="n"/>
      <c r="AB66" s="9238" t="n"/>
      <c r="AC66" s="3876" t="n"/>
      <c r="AD66" s="726" t="n"/>
      <c r="AE66" s="11602" t="n"/>
      <c r="AF66" s="11602" t="n"/>
      <c r="AG66" s="11602" t="n"/>
      <c r="AH66" s="11602" t="n"/>
      <c r="AI66" s="11602" t="n"/>
      <c r="AJ66" s="11602" t="n"/>
      <c r="AK66" s="2013" t="n"/>
      <c r="AL66" s="7914" t="n"/>
      <c r="AM66" s="11602" t="n"/>
      <c r="AN66" s="710" t="n"/>
      <c r="AO66" s="11602" t="n"/>
      <c r="AP66" s="3864" t="n"/>
      <c r="AQ66" s="3853" t="inlineStr">
        <is>
          <t>399.* Enter the result here and on line 5 of Form</t>
        </is>
      </c>
      <c r="AR66" s="11602" t="n"/>
      <c r="AS66" s="11602" t="n"/>
      <c r="AT66" s="11602" t="n"/>
      <c r="AU66" s="11602" t="n"/>
      <c r="AV66" s="3868" t="n"/>
      <c r="AW66" s="409" t="n"/>
      <c r="AX66" s="11602" t="n"/>
      <c r="AY66" s="11602" t="n"/>
      <c r="AZ66" s="2014" t="n"/>
      <c r="BA66" s="11602" t="n"/>
      <c r="BB66" s="11602" t="n"/>
      <c r="BC66" s="12838" t="n"/>
      <c r="BD66" s="711" t="n"/>
      <c r="BE66" s="711" t="n"/>
      <c r="BF66" s="3861" t="n"/>
      <c r="BG66" s="711" t="n"/>
      <c r="BH66" s="711" t="n"/>
      <c r="BI66" s="711" t="n"/>
      <c r="BJ66" s="711" t="n"/>
      <c r="BK66" s="711" t="n"/>
      <c r="BL66" s="11602" t="n"/>
    </row>
    <row r="67" ht="14.25" customHeight="1" s="7635" thickBot="1">
      <c r="A67" s="2013" t="n"/>
      <c r="B67" s="11602" t="n"/>
      <c r="C67" s="11602" t="n"/>
      <c r="D67" s="9237" t="inlineStr">
        <is>
          <t>on Schedule 3 (Form 1040), line 9. If line 24 equals line 25, enter -0- .</t>
        </is>
      </c>
      <c r="E67" s="9238" t="n"/>
      <c r="F67" s="9238" t="n"/>
      <c r="G67" s="9238" t="n"/>
      <c r="H67" s="9238" t="n"/>
      <c r="I67" s="9238" t="n"/>
      <c r="J67" s="9238" t="n"/>
      <c r="K67" s="9238" t="n"/>
      <c r="L67" s="9238" t="n"/>
      <c r="M67" s="9238" t="n"/>
      <c r="N67" s="9238" t="n"/>
      <c r="O67" s="9238" t="n"/>
      <c r="P67" s="9238" t="n"/>
      <c r="Q67" s="9238" t="n"/>
      <c r="R67" s="9238" t="n"/>
      <c r="S67" s="7957" t="inlineStr">
        <is>
          <t>Stop here.</t>
        </is>
      </c>
      <c r="V67" s="9238" t="inlineStr">
        <is>
          <t>If line 25 is greater than line 24,</t>
        </is>
      </c>
      <c r="W67" s="9238" t="n"/>
      <c r="X67" s="9238" t="n"/>
      <c r="Y67" s="344" t="n"/>
      <c r="Z67" s="9238" t="n"/>
      <c r="AA67" s="344" t="n"/>
      <c r="AB67" s="11602" t="n"/>
      <c r="AC67" s="409" t="n"/>
      <c r="AD67" s="726" t="n"/>
      <c r="AE67" s="11574">
        <f>IF(AE63&gt;AE65,TRUE,FALSE)</f>
        <v/>
      </c>
      <c r="AK67" s="2013" t="n"/>
      <c r="AL67" s="11602" t="n"/>
      <c r="AM67" s="11602" t="n"/>
      <c r="AN67" s="11602" t="n"/>
      <c r="AO67" s="11602" t="n"/>
      <c r="AP67" s="3864" t="n"/>
      <c r="AQ67" s="3853" t="n">
        <v>8962</v>
      </c>
      <c r="AR67" s="3880" t="n"/>
      <c r="AS67" s="3854" t="n"/>
      <c r="AT67" s="7886" t="n"/>
      <c r="AU67" s="3855" t="inlineStr">
        <is>
          <t>4.</t>
        </is>
      </c>
      <c r="AV67" s="3881">
        <f>IF(OR(AND(File_Marr_Sep&lt;&gt;"",AI13=""),AU54=0),"",IF(AV56,AV63,TRUNC(100*AV53/AU54)))</f>
        <v/>
      </c>
      <c r="AW67" s="409" t="n"/>
      <c r="AX67" s="11602" t="n"/>
      <c r="AY67" s="11602" t="n"/>
      <c r="AZ67" s="2014" t="n"/>
      <c r="BA67" s="11602" t="n"/>
      <c r="BB67" s="11602" t="n"/>
      <c r="BC67" s="12838" t="n"/>
      <c r="BD67" s="711" t="n"/>
      <c r="BE67" s="711" t="n"/>
      <c r="BF67" s="3861" t="n"/>
      <c r="BG67" s="711" t="n"/>
      <c r="BH67" s="711" t="n"/>
      <c r="BI67" s="711" t="n"/>
      <c r="BJ67" s="711" t="n"/>
      <c r="BK67" s="711" t="n"/>
      <c r="BL67" s="11602" t="n"/>
    </row>
    <row r="68" ht="13.5" customHeight="1" s="7635" thickBot="1">
      <c r="A68" s="2013" t="n"/>
      <c r="B68" s="413" t="n"/>
      <c r="C68" s="413" t="n"/>
      <c r="D68" s="3801" t="inlineStr">
        <is>
          <t>leave this line blank and continue to line 27</t>
        </is>
      </c>
      <c r="E68" s="413" t="n"/>
      <c r="F68" s="413" t="n"/>
      <c r="G68" s="413" t="n"/>
      <c r="H68" s="413" t="n"/>
      <c r="I68" s="413" t="n"/>
      <c r="J68" s="413" t="n"/>
      <c r="K68" s="413" t="n"/>
      <c r="L68" s="413" t="n"/>
      <c r="M68" s="413" t="n"/>
      <c r="N68" s="413" t="n"/>
      <c r="O68" s="413" t="n"/>
      <c r="P68" s="413" t="n"/>
      <c r="Q68" s="413" t="n"/>
      <c r="R68" s="413" t="n"/>
      <c r="S68" s="413" t="n"/>
      <c r="T68" s="413" t="n"/>
      <c r="U68" s="413" t="n"/>
      <c r="V68" s="413" t="n"/>
      <c r="W68" s="413" t="n"/>
      <c r="X68" s="413" t="n"/>
      <c r="Y68" s="413" t="n"/>
      <c r="Z68" s="413" t="n"/>
      <c r="AA68" s="413" t="n"/>
      <c r="AB68" s="413" t="n"/>
      <c r="AC68" s="8324" t="inlineStr">
        <is>
          <t xml:space="preserve">.   .   .   .   .   .   .   .   .   .   .   .   .   .   .   .   .   .   .   .   .   .   .   .   .   .   .   .   . </t>
        </is>
      </c>
      <c r="AD68" s="2895" t="n">
        <v>26</v>
      </c>
      <c r="AE68" s="8176">
        <f>IF(AM68&lt;&gt;"",ROUND(AM68,0),IF(OR(AE17=0,AE65&gt;AE63),"",IF(AM68,0,IF(AE67,SUM(AE63,-AE65),""))))</f>
        <v/>
      </c>
      <c r="AF68" s="7637" t="n"/>
      <c r="AG68" s="7637" t="n"/>
      <c r="AH68" s="7637" t="n"/>
      <c r="AI68" s="7637" t="n"/>
      <c r="AJ68" s="7637" t="n"/>
      <c r="AK68" s="2013" t="n"/>
      <c r="AL68" s="11602" t="n"/>
      <c r="AM68" s="709" t="n"/>
      <c r="AN68" s="11602" t="n"/>
      <c r="AO68" s="11602" t="n"/>
      <c r="AP68" s="3882" t="n"/>
      <c r="AQ68" s="3854" t="n"/>
      <c r="AR68" s="11602" t="n"/>
      <c r="AS68" s="11602" t="n"/>
      <c r="AT68" s="11602" t="n"/>
      <c r="AU68" s="11602" t="n"/>
      <c r="AV68" s="2741" t="n"/>
      <c r="AW68" s="409" t="n"/>
      <c r="AX68" s="11602" t="n"/>
      <c r="AY68" s="11602" t="n"/>
      <c r="AZ68" s="2014" t="n"/>
      <c r="BA68" s="11602" t="n"/>
      <c r="BB68" s="11602" t="n"/>
      <c r="BC68" s="12838" t="n"/>
      <c r="BD68" s="711" t="n"/>
      <c r="BE68" s="711" t="n"/>
      <c r="BF68" s="3861" t="n"/>
      <c r="BG68" s="711" t="n"/>
      <c r="BH68" s="711" t="n"/>
      <c r="BI68" s="711" t="n"/>
      <c r="BJ68" s="711" t="n"/>
      <c r="BK68" s="711" t="n"/>
      <c r="BL68" s="11602" t="n"/>
    </row>
    <row r="69" ht="18.75" customHeight="1" s="7635" thickBot="1">
      <c r="A69" s="2013" t="n"/>
      <c r="B69" s="7938" t="inlineStr">
        <is>
          <t>Part III</t>
        </is>
      </c>
      <c r="C69" s="8412" t="n"/>
      <c r="D69" s="3879" t="n"/>
      <c r="E69" s="2873" t="inlineStr">
        <is>
          <t>Repayment of Excess Advance Payment of the Premium Tax Credit</t>
        </is>
      </c>
      <c r="F69" s="413" t="n"/>
      <c r="G69" s="413" t="n"/>
      <c r="H69" s="413" t="n"/>
      <c r="I69" s="413" t="n"/>
      <c r="J69" s="413" t="n"/>
      <c r="K69" s="413" t="n"/>
      <c r="L69" s="413" t="n"/>
      <c r="M69" s="413" t="n"/>
      <c r="N69" s="413" t="n"/>
      <c r="O69" s="413" t="n"/>
      <c r="P69" s="413" t="n"/>
      <c r="Q69" s="413" t="n"/>
      <c r="R69" s="413" t="n"/>
      <c r="S69" s="413" t="n"/>
      <c r="T69" s="413" t="n"/>
      <c r="U69" s="413" t="n"/>
      <c r="V69" s="413" t="n"/>
      <c r="W69" s="413" t="n"/>
      <c r="X69" s="413" t="n"/>
      <c r="Y69" s="413" t="n"/>
      <c r="Z69" s="413" t="n"/>
      <c r="AA69" s="413" t="n"/>
      <c r="AB69" s="413" t="n"/>
      <c r="AC69" s="413" t="n"/>
      <c r="AD69" s="413" t="n"/>
      <c r="AE69" s="413" t="n"/>
      <c r="AF69" s="413" t="n"/>
      <c r="AG69" s="413" t="n"/>
      <c r="AH69" s="413" t="n"/>
      <c r="AI69" s="413" t="n"/>
      <c r="AJ69" s="413" t="n"/>
      <c r="AK69" s="2013" t="n"/>
      <c r="AL69" s="11602" t="n"/>
      <c r="AM69" s="11602" t="n"/>
      <c r="AN69" s="710" t="n"/>
      <c r="AO69" s="11602" t="n"/>
      <c r="AP69" s="3883" t="inlineStr">
        <is>
          <t xml:space="preserve">*If line 4 is below 100, see Household income below 100% of the federal poverty line </t>
        </is>
      </c>
      <c r="AQ69" s="3884" t="n"/>
      <c r="AR69" s="3884" t="n"/>
      <c r="AS69" s="1215" t="n"/>
      <c r="AT69" s="3884" t="n"/>
      <c r="AU69" s="3884" t="n"/>
      <c r="AV69" s="3884" t="n"/>
      <c r="AW69" s="409" t="n"/>
      <c r="AX69" s="11602" t="n"/>
      <c r="AY69" s="11602" t="n"/>
      <c r="AZ69" s="2014" t="n"/>
      <c r="BA69" s="11602" t="n"/>
      <c r="BB69" s="11602" t="n"/>
      <c r="BC69" s="12838" t="n"/>
      <c r="BD69" s="711" t="n"/>
      <c r="BE69" s="711" t="n"/>
      <c r="BF69" s="3861" t="n"/>
      <c r="BG69" s="711" t="n"/>
      <c r="BH69" s="711" t="n"/>
      <c r="BI69" s="711" t="n"/>
      <c r="BJ69" s="711" t="n"/>
      <c r="BK69" s="711" t="n"/>
      <c r="BL69" s="11602" t="n"/>
    </row>
    <row r="70" ht="15.75" customHeight="1" s="7635" thickBot="1">
      <c r="A70" s="2013" t="n"/>
      <c r="B70" s="3827" t="inlineStr">
        <is>
          <t>27</t>
        </is>
      </c>
      <c r="C70" s="344" t="inlineStr">
        <is>
          <t>Excess advance payment of PTC. If line 25 is greater than line 24, subtract line 24 from line 25. Enter the difference here</t>
        </is>
      </c>
      <c r="D70" s="11602" t="n"/>
      <c r="E70" s="11602" t="n"/>
      <c r="F70" s="11602" t="n"/>
      <c r="G70" s="11602" t="n"/>
      <c r="H70" s="11602" t="n"/>
      <c r="I70" s="11602" t="n"/>
      <c r="J70" s="11602" t="n"/>
      <c r="K70" s="11602" t="n"/>
      <c r="L70" s="11602" t="n"/>
      <c r="M70" s="11602" t="n"/>
      <c r="N70" s="11602" t="n"/>
      <c r="O70" s="11602" t="n"/>
      <c r="P70" s="11602" t="n"/>
      <c r="Q70" s="11602" t="n"/>
      <c r="R70" s="11602" t="n"/>
      <c r="S70" s="11602" t="n"/>
      <c r="T70" s="11602" t="n"/>
      <c r="U70" s="11602" t="n"/>
      <c r="V70" s="11602" t="n"/>
      <c r="W70" s="11602" t="n"/>
      <c r="X70" s="11602" t="n"/>
      <c r="Y70" s="11602" t="n"/>
      <c r="Z70" s="11602" t="n"/>
      <c r="AA70" s="11602" t="n"/>
      <c r="AB70" s="11602" t="n"/>
      <c r="AC70" s="11602" t="n"/>
      <c r="AD70" s="2895" t="n">
        <v>27</v>
      </c>
      <c r="AE70" s="11572">
        <f>IF(AM70&lt;&gt;"",AM70,IF(OR(AE63=AE65,AE67),"",IF(AE65&gt;AE63,SUM(AE65,-AE63),0)))</f>
        <v/>
      </c>
      <c r="AF70" s="8412" t="n"/>
      <c r="AG70" s="8412" t="n"/>
      <c r="AH70" s="8412" t="n"/>
      <c r="AI70" s="8412" t="n"/>
      <c r="AJ70" s="8412" t="n"/>
      <c r="AK70" s="2013" t="n"/>
      <c r="AL70" s="11602" t="n"/>
      <c r="AM70" s="709" t="n"/>
      <c r="AN70" s="11602" t="n"/>
      <c r="AO70" s="11602" t="n"/>
      <c r="AP70" s="3885" t="inlineStr">
        <is>
          <t>in the instructions.</t>
        </is>
      </c>
      <c r="AQ70" s="3886" t="n"/>
      <c r="AR70" s="3886" t="n"/>
      <c r="AS70" s="3886" t="n"/>
      <c r="AT70" s="3886" t="n"/>
      <c r="AU70" s="3886" t="n"/>
      <c r="AV70" s="3886" t="n"/>
      <c r="AW70" s="414" t="n"/>
      <c r="AX70" s="11602" t="n"/>
      <c r="AY70" s="11602" t="n"/>
      <c r="AZ70" s="2014" t="n"/>
      <c r="BA70" s="11602" t="n"/>
      <c r="BB70" s="11602" t="n"/>
      <c r="BC70" s="12838" t="n"/>
      <c r="BD70" s="711" t="n"/>
      <c r="BE70" s="711" t="n"/>
      <c r="BF70" s="3861" t="n"/>
      <c r="BG70" s="711" t="n"/>
      <c r="BH70" s="711" t="n"/>
      <c r="BI70" s="711" t="n"/>
      <c r="BJ70" s="711" t="n"/>
      <c r="BK70" s="711" t="n"/>
      <c r="BL70" s="11602" t="n"/>
    </row>
    <row r="71" ht="18" customHeight="1" s="7635" thickBot="1">
      <c r="A71" s="2013" t="n"/>
      <c r="B71" s="3827" t="inlineStr">
        <is>
          <t>28</t>
        </is>
      </c>
      <c r="C71" s="344" t="inlineStr">
        <is>
          <t>Repayment limitation (see instructions)</t>
        </is>
      </c>
      <c r="D71" s="11602" t="n"/>
      <c r="E71" s="11602" t="n"/>
      <c r="F71" s="11602" t="n"/>
      <c r="G71" s="11602" t="n"/>
      <c r="H71" s="11602" t="n"/>
      <c r="I71" s="11602" t="n"/>
      <c r="J71" s="11602" t="n"/>
      <c r="K71" s="11602" t="n"/>
      <c r="L71" s="11602" t="n"/>
      <c r="M71" s="11602" t="n"/>
      <c r="N71" s="11602" t="n"/>
      <c r="O71" s="11602" t="n"/>
      <c r="P71" s="11602" t="n"/>
      <c r="Q71" s="11602" t="n"/>
      <c r="R71" s="11602" t="n"/>
      <c r="S71" s="11602" t="n"/>
      <c r="T71" s="11602" t="n"/>
      <c r="U71" s="11602" t="n"/>
      <c r="V71" s="11602" t="n"/>
      <c r="W71" s="11602" t="n"/>
      <c r="X71" s="11602" t="n"/>
      <c r="Y71" s="11602" t="n"/>
      <c r="Z71" s="11602" t="n"/>
      <c r="AA71" s="11602" t="n"/>
      <c r="AB71" s="11602" t="n"/>
      <c r="AC71" s="1401" t="inlineStr">
        <is>
          <t xml:space="preserve">.   .   .   .   .   .   .   .   .   .   .   .   .   .   .   .   .   .   .   .   .   .   .   .   .   .   .   .   .   .   .   . </t>
        </is>
      </c>
      <c r="AD71" s="2895" t="n">
        <v>28</v>
      </c>
      <c r="AE71" s="8176">
        <f>IF(AM71&lt;&gt;"",AM71,IF(OR(AND(AE63=0,AE65=0),AE67,AM68),"",IF(File_Single&lt;&gt;"",AR78,AS78)))</f>
        <v/>
      </c>
      <c r="AF71" s="7637" t="n"/>
      <c r="AG71" s="7637" t="n"/>
      <c r="AH71" s="7637" t="n"/>
      <c r="AI71" s="7637" t="n"/>
      <c r="AJ71" s="7637" t="n"/>
      <c r="AK71" s="2013" t="n"/>
      <c r="AL71" s="11602" t="n"/>
      <c r="AM71" s="709" t="n"/>
      <c r="AN71" s="710" t="n"/>
      <c r="AO71" s="11602" t="n"/>
      <c r="AP71" s="3887" t="n"/>
      <c r="AQ71" s="3854" t="n"/>
      <c r="AR71" s="3854" t="n"/>
      <c r="AS71" s="11602" t="n"/>
      <c r="AT71" s="11602" t="n"/>
      <c r="AU71" s="11602" t="n"/>
      <c r="AV71" s="11602" t="n"/>
      <c r="AW71" s="11602" t="n"/>
      <c r="AX71" s="11602" t="n"/>
      <c r="AY71" s="11602" t="n"/>
      <c r="AZ71" s="2014" t="n"/>
      <c r="BA71" s="11602" t="n"/>
      <c r="BB71" s="11602" t="n"/>
      <c r="BC71" s="12838" t="n"/>
      <c r="BD71" s="711" t="n"/>
      <c r="BE71" s="711" t="n"/>
      <c r="BF71" s="3861" t="n"/>
      <c r="BG71" s="711" t="n"/>
      <c r="BH71" s="711" t="n"/>
      <c r="BI71" s="711" t="n"/>
      <c r="BJ71" s="711" t="n"/>
      <c r="BK71" s="711" t="n"/>
      <c r="BL71" s="11602" t="n"/>
    </row>
    <row r="72" ht="18" customHeight="1" s="7635" thickBot="1">
      <c r="A72" s="2013" t="n"/>
      <c r="B72" s="3827" t="inlineStr">
        <is>
          <t>29</t>
        </is>
      </c>
      <c r="C72" s="344" t="inlineStr">
        <is>
          <t>Excess advance PTC repayment. Enter the smaller of line 27 or line 28 here and on Schedule 2 (Form 1040), line 1a</t>
        </is>
      </c>
      <c r="D72" s="11602" t="n"/>
      <c r="E72" s="11602" t="n"/>
      <c r="F72" s="11602" t="n"/>
      <c r="G72" s="11602" t="n"/>
      <c r="H72" s="11602" t="n"/>
      <c r="I72" s="11602" t="n"/>
      <c r="J72" s="11602" t="n"/>
      <c r="K72" s="11602" t="n"/>
      <c r="L72" s="11602" t="n"/>
      <c r="M72" s="11602" t="n"/>
      <c r="N72" s="11602" t="n"/>
      <c r="O72" s="11602" t="n"/>
      <c r="P72" s="11602" t="n"/>
      <c r="Q72" s="11602" t="n"/>
      <c r="R72" s="11602" t="n"/>
      <c r="S72" s="11602" t="n"/>
      <c r="T72" s="11602" t="n"/>
      <c r="U72" s="11602" t="n"/>
      <c r="V72" s="11602" t="n"/>
      <c r="W72" s="11602" t="n"/>
      <c r="X72" s="11602" t="n"/>
      <c r="Y72" s="11602" t="n"/>
      <c r="Z72" s="11602" t="n"/>
      <c r="AA72" s="11602" t="n"/>
      <c r="AB72" s="11602" t="n"/>
      <c r="AC72" s="1401" t="inlineStr">
        <is>
          <t xml:space="preserve">.   .   .   . </t>
        </is>
      </c>
      <c r="AD72" s="2921" t="n">
        <v>29</v>
      </c>
      <c r="AE72" s="8054">
        <f>IF(AM72&lt;&gt;"",AM72,IF(OR(AE63=AE65,AE67),"",IF(AE71="",AE70,MIN(AE70,AE71))))</f>
        <v/>
      </c>
      <c r="AK72" s="2013" t="n"/>
      <c r="AL72" s="11602" t="n"/>
      <c r="AM72" s="709" t="n"/>
      <c r="AN72" s="710" t="n"/>
      <c r="AO72" s="1033">
        <f>IF(ISERROR(ROUND(SUM(AA50:AA61),0)),"",ROUND(SUM(AA50:AA61),0))</f>
        <v/>
      </c>
      <c r="AP72" s="3891" t="inlineStr">
        <is>
          <t>Table 5. Repayment Limitation</t>
        </is>
      </c>
      <c r="AQ72" s="3892" t="n"/>
      <c r="AR72" s="3892" t="n"/>
      <c r="AS72" s="3893" t="n"/>
      <c r="AT72" s="11602" t="n"/>
      <c r="AU72" s="11602" t="n"/>
      <c r="AV72" s="11602" t="n"/>
      <c r="AW72" s="11602" t="n"/>
      <c r="AX72" s="11602" t="n"/>
      <c r="AY72" s="11602" t="n"/>
      <c r="AZ72" s="2014" t="n"/>
      <c r="BA72" s="11602" t="n"/>
      <c r="BB72" s="11602" t="n"/>
      <c r="BC72" s="12838" t="n"/>
      <c r="BD72" s="711" t="n"/>
      <c r="BE72" s="711" t="n"/>
      <c r="BF72" s="3861" t="n"/>
      <c r="BG72" s="711" t="n"/>
      <c r="BH72" s="711" t="n"/>
      <c r="BI72" s="711" t="n"/>
      <c r="BJ72" s="711" t="n"/>
      <c r="BK72" s="711" t="n"/>
      <c r="BL72" s="11602" t="n"/>
    </row>
    <row r="73" ht="15.75" customHeight="1" s="7635">
      <c r="A73" s="3888" t="n"/>
      <c r="B73" s="3889" t="inlineStr">
        <is>
          <t>For Paperwork Reduction Act Notice, see your tax return instructions.</t>
        </is>
      </c>
      <c r="C73" s="2344" t="n"/>
      <c r="D73" s="2344" t="n"/>
      <c r="E73" s="2344" t="n"/>
      <c r="F73" s="2344" t="n"/>
      <c r="G73" s="2344" t="n"/>
      <c r="H73" s="2344" t="n"/>
      <c r="I73" s="2344" t="n"/>
      <c r="J73" s="2344" t="n"/>
      <c r="K73" s="2344" t="n"/>
      <c r="L73" s="2344" t="n"/>
      <c r="M73" s="2344" t="n"/>
      <c r="N73" s="2344" t="n"/>
      <c r="O73" s="2344" t="n"/>
      <c r="P73" s="2344" t="n"/>
      <c r="Q73" s="89" t="n"/>
      <c r="R73" s="89" t="n"/>
      <c r="S73" s="89" t="n"/>
      <c r="T73" s="89" t="n"/>
      <c r="U73" s="3890" t="n"/>
      <c r="V73" s="3890" t="inlineStr">
        <is>
          <t>Cat. No. 37784Z</t>
        </is>
      </c>
      <c r="W73" s="3890" t="n"/>
      <c r="X73" s="89" t="n"/>
      <c r="Y73" s="89" t="n"/>
      <c r="Z73" s="89" t="n"/>
      <c r="AA73" s="89" t="n"/>
      <c r="AB73" s="89" t="n"/>
      <c r="AC73" s="89" t="n"/>
      <c r="AD73" s="2345" t="inlineStr">
        <is>
          <t>Form 8962</t>
        </is>
      </c>
      <c r="AE73" s="2345" t="n"/>
      <c r="AF73" s="89" t="n"/>
      <c r="AG73" s="89" t="n"/>
      <c r="AH73" s="2345" t="n"/>
      <c r="AI73" s="89" t="n"/>
      <c r="AJ73" s="2345">
        <f>"("&amp;TaxYear&amp;") Created 3/25/25"</f>
        <v/>
      </c>
      <c r="AK73" s="2013" t="n"/>
      <c r="AL73" s="11602" t="n"/>
      <c r="AM73" s="11602" t="n"/>
      <c r="AN73" s="710" t="n"/>
      <c r="AO73" s="1033">
        <f>IF(ISERROR(ROUND(SUM(AF50:AF61),0)),"",ROUND(SUM(AF50:AF61),0))</f>
        <v/>
      </c>
      <c r="AP73" s="3894" t="inlineStr">
        <is>
          <t>Line 5 &gt;=</t>
        </is>
      </c>
      <c r="AQ73" s="3895" t="inlineStr">
        <is>
          <t>Line 5 &lt;</t>
        </is>
      </c>
      <c r="AR73" s="3895" t="inlineStr">
        <is>
          <t>Single</t>
        </is>
      </c>
      <c r="AS73" s="3896" t="inlineStr">
        <is>
          <t>All others</t>
        </is>
      </c>
      <c r="AT73" s="11602" t="n"/>
      <c r="AU73" s="11602" t="n"/>
      <c r="AV73" s="11602" t="n"/>
      <c r="AW73" s="11602" t="n"/>
      <c r="AX73" s="11602" t="n"/>
      <c r="AY73" s="11602" t="n"/>
      <c r="AZ73" s="2014" t="n"/>
      <c r="BA73" s="11602" t="n"/>
      <c r="BB73" s="11602" t="n"/>
      <c r="BC73" s="12838" t="n"/>
      <c r="BD73" s="711" t="n"/>
      <c r="BE73" s="711" t="n"/>
      <c r="BF73" s="3861" t="n"/>
      <c r="BG73" s="711" t="n"/>
      <c r="BH73" s="711" t="n"/>
      <c r="BI73" s="711" t="n"/>
      <c r="BJ73" s="711" t="n"/>
      <c r="BK73" s="711" t="n"/>
      <c r="BL73" s="11602" t="n"/>
    </row>
    <row r="74" ht="18.75" customHeight="1" s="7635" thickBot="1">
      <c r="A74" s="2013" t="n"/>
      <c r="B74" s="721">
        <f>"Form 8962 ("&amp;TaxYear&amp;")"</f>
        <v/>
      </c>
      <c r="C74" s="721" t="n"/>
      <c r="D74" s="721" t="n"/>
      <c r="E74" s="721" t="n"/>
      <c r="F74" s="721" t="n"/>
      <c r="G74" s="721" t="n"/>
      <c r="H74" s="721" t="n"/>
      <c r="I74" s="721" t="n"/>
      <c r="J74" s="721" t="n"/>
      <c r="K74" s="721" t="n"/>
      <c r="L74" s="721" t="n"/>
      <c r="M74" s="721" t="n"/>
      <c r="N74" s="721" t="n"/>
      <c r="O74" s="721" t="n"/>
      <c r="P74" s="721" t="n"/>
      <c r="Q74" s="721" t="n"/>
      <c r="R74" s="721" t="n"/>
      <c r="S74" s="721" t="n"/>
      <c r="T74" s="721" t="n"/>
      <c r="U74" s="721" t="n"/>
      <c r="V74" s="721" t="n"/>
      <c r="W74" s="721" t="n"/>
      <c r="X74" s="721" t="n"/>
      <c r="Y74" s="721" t="n"/>
      <c r="Z74" s="721" t="n"/>
      <c r="AA74" s="721" t="n"/>
      <c r="AB74" s="721" t="n"/>
      <c r="AC74" s="721" t="n"/>
      <c r="AD74" s="721" t="n"/>
      <c r="AE74" s="721" t="n"/>
      <c r="AF74" s="721" t="n"/>
      <c r="AG74" s="721" t="n"/>
      <c r="AH74" s="721" t="n"/>
      <c r="AI74" s="2053" t="inlineStr">
        <is>
          <t>Page</t>
        </is>
      </c>
      <c r="AJ74" s="2054" t="n">
        <v>2</v>
      </c>
      <c r="AK74" s="2013" t="n"/>
      <c r="AL74" s="11602" t="n"/>
      <c r="AM74" s="11602" t="n"/>
      <c r="AN74" s="11602" t="n"/>
      <c r="AO74" s="11602" t="n"/>
      <c r="AP74" s="3897" t="n">
        <v>0</v>
      </c>
      <c r="AQ74" s="3898" t="n">
        <v>200</v>
      </c>
      <c r="AR74" s="12839" t="n">
        <v>375</v>
      </c>
      <c r="AS74" s="12840" t="n">
        <v>750</v>
      </c>
      <c r="AT74" s="11602" t="n"/>
      <c r="AU74" s="11602" t="n"/>
      <c r="AV74" s="11602" t="n"/>
      <c r="AW74" s="11602" t="n"/>
      <c r="AX74" s="11602" t="n"/>
      <c r="AY74" s="11602" t="n"/>
      <c r="AZ74" s="2014" t="n"/>
      <c r="BA74" s="11602" t="n"/>
      <c r="BB74" s="11602" t="n"/>
      <c r="BC74" s="12838" t="n"/>
      <c r="BD74" s="711" t="n"/>
      <c r="BE74" s="711" t="n"/>
      <c r="BF74" s="3861" t="n"/>
      <c r="BG74" s="711" t="n"/>
      <c r="BH74" s="711" t="n"/>
      <c r="BI74" s="711" t="n"/>
      <c r="BJ74" s="711" t="n"/>
      <c r="BK74" s="711" t="n"/>
      <c r="BL74" s="11602" t="n"/>
    </row>
    <row r="75" ht="18.75" customHeight="1" s="7635" thickTop="1">
      <c r="A75" s="2013" t="n"/>
      <c r="B75" s="7863" t="inlineStr">
        <is>
          <t>Part IV</t>
        </is>
      </c>
      <c r="C75" s="11713" t="n"/>
      <c r="D75" s="3879" t="n"/>
      <c r="E75" s="2873" t="inlineStr">
        <is>
          <t>Allocation of Policy Amounts</t>
        </is>
      </c>
      <c r="F75" s="413" t="n"/>
      <c r="G75" s="413" t="n"/>
      <c r="H75" s="413" t="n"/>
      <c r="I75" s="413" t="n"/>
      <c r="J75" s="413" t="n"/>
      <c r="K75" s="413" t="n"/>
      <c r="L75" s="413" t="n"/>
      <c r="M75" s="413" t="n"/>
      <c r="N75" s="413" t="n"/>
      <c r="O75" s="413" t="n"/>
      <c r="P75" s="413" t="n"/>
      <c r="Q75" s="413" t="n"/>
      <c r="R75" s="413" t="n"/>
      <c r="S75" s="413" t="n"/>
      <c r="T75" s="413" t="n"/>
      <c r="U75" s="413" t="n"/>
      <c r="V75" s="413" t="n"/>
      <c r="W75" s="413" t="n"/>
      <c r="X75" s="413" t="n"/>
      <c r="Y75" s="413" t="n"/>
      <c r="Z75" s="413" t="n"/>
      <c r="AA75" s="413" t="n"/>
      <c r="AB75" s="413" t="n"/>
      <c r="AC75" s="413" t="n"/>
      <c r="AD75" s="413" t="n"/>
      <c r="AE75" s="413" t="n"/>
      <c r="AF75" s="413" t="n"/>
      <c r="AG75" s="413" t="n"/>
      <c r="AH75" s="413" t="n"/>
      <c r="AI75" s="413" t="n"/>
      <c r="AJ75" s="413" t="n"/>
      <c r="AK75" s="2013" t="n"/>
      <c r="AL75" s="11602" t="n"/>
      <c r="AM75" s="11602" t="n"/>
      <c r="AN75" s="11602" t="n"/>
      <c r="AO75" s="11602" t="n"/>
      <c r="AP75" s="3897" t="n">
        <v>200</v>
      </c>
      <c r="AQ75" s="3898" t="n">
        <v>300</v>
      </c>
      <c r="AR75" s="12839" t="n">
        <v>975</v>
      </c>
      <c r="AS75" s="12840" t="n">
        <v>1950</v>
      </c>
      <c r="AT75" s="11602" t="n"/>
      <c r="AU75" s="11602" t="n"/>
      <c r="AV75" s="11602" t="n"/>
      <c r="AW75" s="11602" t="n"/>
      <c r="AX75" s="11602" t="n"/>
      <c r="AY75" s="11602" t="n"/>
      <c r="AZ75" s="2014" t="n"/>
      <c r="BA75" s="11602" t="n"/>
      <c r="BB75" s="11602" t="n"/>
      <c r="BC75" s="12838" t="n"/>
      <c r="BD75" s="711" t="n"/>
      <c r="BE75" s="711" t="n"/>
      <c r="BF75" s="3861" t="n"/>
      <c r="BG75" s="711" t="n"/>
      <c r="BH75" s="711" t="n"/>
      <c r="BI75" s="711" t="n"/>
      <c r="BJ75" s="711" t="n"/>
      <c r="BK75" s="711" t="n"/>
      <c r="BL75" s="11602" t="n"/>
    </row>
    <row r="76" ht="14.25" customHeight="1" s="7635">
      <c r="A76" s="2013" t="n"/>
      <c r="B76" s="3901" t="inlineStr">
        <is>
          <t>Complete the following information for up to four shared policy allocations. See instructions for allocation details.</t>
        </is>
      </c>
      <c r="C76" s="773" t="n"/>
      <c r="D76" s="773" t="n"/>
      <c r="E76" s="773" t="n"/>
      <c r="F76" s="773" t="n"/>
      <c r="G76" s="773" t="n"/>
      <c r="H76" s="773" t="n"/>
      <c r="I76" s="773" t="n"/>
      <c r="J76" s="773" t="n"/>
      <c r="K76" s="773" t="n"/>
      <c r="L76" s="773" t="n"/>
      <c r="M76" s="773" t="n"/>
      <c r="N76" s="773" t="n"/>
      <c r="O76" s="773" t="n"/>
      <c r="P76" s="773" t="n"/>
      <c r="Q76" s="773" t="n"/>
      <c r="R76" s="773" t="n"/>
      <c r="S76" s="773" t="n"/>
      <c r="T76" s="773" t="n"/>
      <c r="U76" s="773" t="n"/>
      <c r="V76" s="773" t="n"/>
      <c r="W76" s="773" t="n"/>
      <c r="X76" s="773" t="n"/>
      <c r="Y76" s="773" t="n"/>
      <c r="Z76" s="773" t="n"/>
      <c r="AA76" s="773" t="n"/>
      <c r="AB76" s="773" t="n"/>
      <c r="AC76" s="773" t="n"/>
      <c r="AD76" s="773" t="n"/>
      <c r="AE76" s="773" t="n"/>
      <c r="AF76" s="773" t="n"/>
      <c r="AG76" s="773" t="n"/>
      <c r="AH76" s="773" t="n"/>
      <c r="AI76" s="773" t="n"/>
      <c r="AJ76" s="773" t="n"/>
      <c r="AK76" s="2013" t="n"/>
      <c r="AL76" s="11602" t="n"/>
      <c r="AM76" s="11602" t="n"/>
      <c r="AN76" s="11602" t="n"/>
      <c r="AO76" s="3902" t="n"/>
      <c r="AP76" s="3897" t="n">
        <v>300</v>
      </c>
      <c r="AQ76" s="3898" t="n">
        <v>400</v>
      </c>
      <c r="AR76" s="12839" t="n">
        <v>1625</v>
      </c>
      <c r="AS76" s="12840" t="n">
        <v>3250</v>
      </c>
      <c r="AT76" s="11602" t="n"/>
      <c r="AU76" s="11602" t="n"/>
      <c r="AV76" s="11602" t="n"/>
      <c r="AW76" s="11602" t="n"/>
      <c r="AX76" s="11602" t="n"/>
      <c r="AY76" s="11602" t="n"/>
      <c r="AZ76" s="2014" t="n"/>
      <c r="BA76" s="11602" t="n"/>
      <c r="BB76" s="11602" t="n"/>
      <c r="BC76" s="12838" t="n"/>
      <c r="BD76" s="711" t="n"/>
      <c r="BE76" s="711" t="n"/>
      <c r="BF76" s="3861" t="n"/>
      <c r="BG76" s="711" t="n"/>
      <c r="BH76" s="711" t="n"/>
      <c r="BI76" s="711" t="n"/>
      <c r="BJ76" s="711" t="n"/>
      <c r="BK76" s="711" t="n"/>
      <c r="BL76" s="11602" t="n"/>
    </row>
    <row r="77" ht="18" customHeight="1" s="7635" thickBot="1">
      <c r="A77" s="2013" t="n"/>
      <c r="B77" s="3879" t="inlineStr">
        <is>
          <t>Allocation 1</t>
        </is>
      </c>
      <c r="C77" s="413" t="n"/>
      <c r="D77" s="413" t="n"/>
      <c r="E77" s="413" t="n"/>
      <c r="F77" s="413" t="n"/>
      <c r="G77" s="413" t="n"/>
      <c r="H77" s="413" t="n"/>
      <c r="I77" s="413" t="n"/>
      <c r="J77" s="413" t="n"/>
      <c r="K77" s="413" t="n"/>
      <c r="L77" s="413" t="n"/>
      <c r="M77" s="413" t="n"/>
      <c r="N77" s="413" t="n"/>
      <c r="O77" s="413" t="n"/>
      <c r="P77" s="413" t="n"/>
      <c r="Q77" s="413" t="n"/>
      <c r="R77" s="413" t="n"/>
      <c r="S77" s="413" t="n"/>
      <c r="T77" s="413" t="n"/>
      <c r="U77" s="413" t="n"/>
      <c r="V77" s="413" t="n"/>
      <c r="W77" s="413" t="n"/>
      <c r="X77" s="413" t="n"/>
      <c r="Y77" s="413" t="n"/>
      <c r="Z77" s="413" t="n"/>
      <c r="AA77" s="413" t="n"/>
      <c r="AB77" s="413" t="n"/>
      <c r="AC77" s="413" t="n"/>
      <c r="AD77" s="413" t="n"/>
      <c r="AE77" s="413" t="n"/>
      <c r="AF77" s="413" t="n"/>
      <c r="AG77" s="413" t="n"/>
      <c r="AH77" s="413" t="n"/>
      <c r="AI77" s="413" t="n"/>
      <c r="AJ77" s="413" t="n"/>
      <c r="AK77" s="2013" t="n"/>
      <c r="AL77" s="11602" t="n"/>
      <c r="AM77" s="11602" t="n"/>
      <c r="AN77" s="11602" t="n"/>
      <c r="AO77" s="11602" t="n"/>
      <c r="AP77" s="12841" t="inlineStr">
        <is>
          <t>400 or more  .   .   .   .   .   .  leave line 28 blank</t>
        </is>
      </c>
      <c r="AQ77" s="11811" t="n"/>
      <c r="AR77" s="11811" t="n"/>
      <c r="AS77" s="12842" t="n"/>
      <c r="AT77" s="11602" t="n"/>
      <c r="AU77" s="11602" t="n"/>
      <c r="AV77" s="11602" t="n"/>
      <c r="AW77" s="11602" t="n"/>
      <c r="AX77" s="11602" t="n"/>
      <c r="AY77" s="11602" t="n"/>
      <c r="AZ77" s="2014" t="n"/>
      <c r="BA77" s="11602" t="n"/>
      <c r="BB77" s="11602" t="n"/>
      <c r="BC77" s="12838" t="n"/>
      <c r="BD77" s="711" t="n"/>
      <c r="BE77" s="711" t="n"/>
      <c r="BF77" s="3861" t="n"/>
      <c r="BG77" s="711" t="n"/>
      <c r="BH77" s="711" t="n"/>
      <c r="BI77" s="711" t="n"/>
      <c r="BJ77" s="711" t="n"/>
      <c r="BK77" s="711" t="n"/>
      <c r="BL77" s="11602" t="n"/>
    </row>
    <row r="78" ht="18" customHeight="1" s="7635">
      <c r="A78" s="2013" t="n"/>
      <c r="B78" s="3827" t="inlineStr">
        <is>
          <t>30</t>
        </is>
      </c>
      <c r="C78" s="11602" t="n"/>
      <c r="D78" s="8384" t="inlineStr">
        <is>
          <t>(a)</t>
        </is>
      </c>
      <c r="E78" s="2354" t="inlineStr">
        <is>
          <t>Policy Number (Form 1095-A, line 2)</t>
        </is>
      </c>
      <c r="F78" s="406" t="n"/>
      <c r="G78" s="406" t="n"/>
      <c r="H78" s="406" t="n"/>
      <c r="I78" s="406" t="n"/>
      <c r="J78" s="406" t="n"/>
      <c r="K78" s="406" t="n"/>
      <c r="L78" s="406" t="n"/>
      <c r="M78" s="407" t="n"/>
      <c r="N78" s="9764" t="inlineStr">
        <is>
          <t>(b)</t>
        </is>
      </c>
      <c r="O78" s="2354" t="inlineStr">
        <is>
          <t>SSN of other taxpayer</t>
        </is>
      </c>
      <c r="P78" s="406" t="n"/>
      <c r="Q78" s="406" t="n"/>
      <c r="R78" s="406" t="n"/>
      <c r="S78" s="406" t="n"/>
      <c r="T78" s="406" t="n"/>
      <c r="U78" s="406" t="n"/>
      <c r="V78" s="407" t="n"/>
      <c r="W78" s="9764" t="inlineStr">
        <is>
          <t>(c)</t>
        </is>
      </c>
      <c r="X78" s="406" t="inlineStr">
        <is>
          <t>Allocation start month</t>
        </is>
      </c>
      <c r="Y78" s="406" t="n"/>
      <c r="Z78" s="406" t="n"/>
      <c r="AA78" s="406" t="n"/>
      <c r="AB78" s="406" t="n"/>
      <c r="AC78" s="407" t="n"/>
      <c r="AD78" s="9764" t="inlineStr">
        <is>
          <t>(d)</t>
        </is>
      </c>
      <c r="AE78" s="406" t="inlineStr">
        <is>
          <t>Allocation stop month</t>
        </is>
      </c>
      <c r="AF78" s="406" t="n"/>
      <c r="AG78" s="406" t="n"/>
      <c r="AH78" s="406" t="n"/>
      <c r="AI78" s="406" t="n"/>
      <c r="AJ78" s="406" t="n"/>
      <c r="AK78" s="2013" t="n"/>
      <c r="AL78" s="11602" t="n"/>
      <c r="AM78" s="11602" t="n"/>
      <c r="AN78" s="11602" t="n"/>
      <c r="AO78" s="3902" t="n"/>
      <c r="AP78" s="3854" t="n"/>
      <c r="AQ78" s="3854" t="n"/>
      <c r="AR78" s="512">
        <f>IF(OR(AE17=0,AE26=400,AE26=401),"",LOOKUP($AE$26,$AP$74:$AP$76,AR74:AR76))</f>
        <v/>
      </c>
      <c r="AS78" s="512">
        <f>IF(OR(AE17=0,AE26=400,AE26=401),"",LOOKUP($AE$26,$AP$74:$AP$76,AS74:AS76))</f>
        <v/>
      </c>
      <c r="AT78" s="11602" t="n"/>
      <c r="AU78" s="11602" t="n"/>
      <c r="AV78" s="11602" t="n"/>
      <c r="AW78" s="11602" t="n"/>
      <c r="AX78" s="11602" t="n"/>
      <c r="AY78" s="11602" t="n"/>
      <c r="AZ78" s="2014" t="n"/>
      <c r="BA78" s="11602" t="n"/>
      <c r="BB78" s="11602" t="n"/>
      <c r="BC78" s="12838" t="n"/>
      <c r="BD78" s="711" t="n"/>
      <c r="BE78" s="711" t="n"/>
      <c r="BF78" s="3861" t="n"/>
      <c r="BG78" s="711" t="n"/>
      <c r="BH78" s="711" t="n"/>
      <c r="BI78" s="711" t="n"/>
      <c r="BJ78" s="711" t="n"/>
      <c r="BK78" s="711" t="n"/>
      <c r="BL78" s="11602" t="n"/>
    </row>
    <row r="79" ht="17.25" customHeight="1" s="7635" thickBot="1">
      <c r="A79" s="2013" t="n"/>
      <c r="B79" s="3827" t="n"/>
      <c r="D79" s="12843" t="n"/>
      <c r="E79" s="11717" t="n"/>
      <c r="F79" s="11717" t="n"/>
      <c r="G79" s="11717" t="n"/>
      <c r="H79" s="11717" t="n"/>
      <c r="I79" s="11717" t="n"/>
      <c r="J79" s="11717" t="n"/>
      <c r="K79" s="11717" t="n"/>
      <c r="L79" s="11717" t="n"/>
      <c r="M79" s="11718" t="n"/>
      <c r="N79" s="12844" t="n"/>
      <c r="O79" s="11717" t="n"/>
      <c r="P79" s="11717" t="n"/>
      <c r="Q79" s="11717" t="n"/>
      <c r="R79" s="11717" t="n"/>
      <c r="S79" s="11717" t="n"/>
      <c r="T79" s="11717" t="n"/>
      <c r="U79" s="11717" t="n"/>
      <c r="V79" s="11718" t="n"/>
      <c r="W79" s="12845" t="n"/>
      <c r="X79" s="11717" t="n"/>
      <c r="Y79" s="11717" t="n"/>
      <c r="Z79" s="11717" t="n"/>
      <c r="AA79" s="11717" t="n"/>
      <c r="AB79" s="11717" t="n"/>
      <c r="AC79" s="11717" t="n"/>
      <c r="AD79" s="12845" t="n"/>
      <c r="AE79" s="11717" t="n"/>
      <c r="AF79" s="11717" t="n"/>
      <c r="AG79" s="11717" t="n"/>
      <c r="AH79" s="11717" t="n"/>
      <c r="AI79" s="11717" t="n"/>
      <c r="AJ79" s="11717" t="n"/>
      <c r="AK79" s="2013" t="n"/>
      <c r="AL79" s="11602" t="n"/>
      <c r="AM79" s="11602" t="n"/>
      <c r="AN79" s="11602" t="n"/>
      <c r="AO79" s="3902" t="n"/>
      <c r="AP79" s="3904" t="inlineStr">
        <is>
          <t>Year:</t>
        </is>
      </c>
      <c r="AQ79" s="3905">
        <f>TaxYear-1</f>
        <v/>
      </c>
      <c r="AR79" s="516">
        <f>"Note: "&amp;TaxYear-1&amp;" poverty line numbers are used by the "&amp;TaxYear&amp;" tax return."</f>
        <v/>
      </c>
      <c r="AS79" s="11602" t="n"/>
      <c r="AT79" s="11602" t="n"/>
      <c r="AU79" s="11602" t="n"/>
      <c r="AV79" s="11602" t="n"/>
      <c r="AW79" s="11602" t="n"/>
      <c r="AX79" s="11602" t="n"/>
      <c r="AY79" s="11602" t="n"/>
      <c r="AZ79" s="2014" t="n"/>
      <c r="BA79" s="11602" t="n"/>
      <c r="BB79" s="11602" t="n"/>
      <c r="BC79" s="12838" t="n"/>
      <c r="BD79" s="711" t="n"/>
      <c r="BE79" s="711" t="n"/>
      <c r="BF79" s="3861" t="n"/>
      <c r="BG79" s="711" t="n"/>
      <c r="BH79" s="711" t="n"/>
      <c r="BI79" s="711" t="n"/>
      <c r="BJ79" s="711" t="n"/>
      <c r="BK79" s="711" t="n"/>
      <c r="BL79" s="11602" t="n"/>
    </row>
    <row r="80" ht="13.5" customHeight="1" s="7635" thickBot="1">
      <c r="A80" s="2013" t="n"/>
      <c r="B80" s="11602" t="n"/>
      <c r="C80" s="11602" t="n"/>
      <c r="D80" s="12846" t="inlineStr">
        <is>
          <t>Allocation percentage 
applied to monthly 
amounts</t>
        </is>
      </c>
      <c r="E80" s="7839" t="n"/>
      <c r="F80" s="7839" t="n"/>
      <c r="G80" s="7839" t="n"/>
      <c r="H80" s="7839" t="n"/>
      <c r="I80" s="10091" t="n"/>
      <c r="J80" s="12847" t="inlineStr">
        <is>
          <t>(e) Premium Percentage</t>
        </is>
      </c>
      <c r="K80" s="7839" t="n"/>
      <c r="L80" s="7839" t="n"/>
      <c r="M80" s="7839" t="n"/>
      <c r="N80" s="7839" t="n"/>
      <c r="O80" s="7839" t="n"/>
      <c r="P80" s="7839" t="n"/>
      <c r="Q80" s="7839" t="n"/>
      <c r="R80" s="10091" t="n"/>
      <c r="S80" s="12847" t="inlineStr">
        <is>
          <t>(f) SLCSP Percentage</t>
        </is>
      </c>
      <c r="T80" s="7839" t="n"/>
      <c r="U80" s="7839" t="n"/>
      <c r="V80" s="7839" t="n"/>
      <c r="W80" s="7839" t="n"/>
      <c r="X80" s="7839" t="n"/>
      <c r="Y80" s="7839" t="n"/>
      <c r="Z80" s="7839" t="n"/>
      <c r="AA80" s="10091" t="n"/>
      <c r="AB80" s="11550" t="inlineStr">
        <is>
          <t>(g) Advance Payment of the PTC
Percentage</t>
        </is>
      </c>
      <c r="AC80" s="7839" t="n"/>
      <c r="AD80" s="7839" t="n"/>
      <c r="AE80" s="7839" t="n"/>
      <c r="AF80" s="7839" t="n"/>
      <c r="AG80" s="7839" t="n"/>
      <c r="AH80" s="7839" t="n"/>
      <c r="AI80" s="7839" t="n"/>
      <c r="AJ80" s="7839" t="n"/>
      <c r="AK80" s="2013" t="n"/>
      <c r="AL80" s="11602" t="n"/>
      <c r="AM80" s="11602" t="n"/>
      <c r="AN80" s="11602" t="n"/>
      <c r="AO80" s="6996" t="n"/>
      <c r="AP80" s="3906" t="inlineStr">
        <is>
          <t>Tables 1-1, 1-2 &amp; 1-3 Federal Poverty Line</t>
        </is>
      </c>
      <c r="AQ80" s="3907" t="n"/>
      <c r="AR80" s="3907" t="n"/>
      <c r="AS80" s="3908" t="n"/>
      <c r="AT80" s="11602" t="n"/>
      <c r="AU80" s="11602" t="n"/>
      <c r="AV80" s="11602" t="n"/>
      <c r="AW80" s="11602" t="n"/>
      <c r="AX80" s="11602" t="n"/>
      <c r="AY80" s="11602" t="n"/>
      <c r="AZ80" s="2014" t="n"/>
      <c r="BA80" s="11602" t="n"/>
      <c r="BB80" s="11602" t="n"/>
      <c r="BC80" s="12838" t="n"/>
      <c r="BD80" s="711" t="n"/>
      <c r="BE80" s="711" t="n"/>
      <c r="BF80" s="3861" t="n"/>
      <c r="BG80" s="711" t="n"/>
      <c r="BH80" s="711" t="n"/>
      <c r="BI80" s="711" t="n"/>
      <c r="BJ80" s="711" t="n"/>
      <c r="BK80" s="711" t="n"/>
      <c r="BL80" s="11602" t="n"/>
    </row>
    <row r="81" ht="16.5" customHeight="1" s="7635">
      <c r="A81" s="2013" t="n"/>
      <c r="B81" s="11602" t="n"/>
      <c r="C81" s="11602" t="n"/>
      <c r="I81" s="7636" t="n"/>
      <c r="J81" s="4772" t="n"/>
      <c r="R81" s="7636" t="n"/>
      <c r="S81" s="4772" t="n"/>
      <c r="AA81" s="7636" t="n"/>
      <c r="AB81" s="4772" t="n"/>
      <c r="AK81" s="2013" t="n"/>
      <c r="AL81" s="11602" t="n"/>
      <c r="AM81" s="11602" t="n"/>
      <c r="AN81" s="11602" t="n"/>
      <c r="AO81" s="11602" t="n"/>
      <c r="AP81" s="3909" t="inlineStr">
        <is>
          <t>Fam. Size</t>
        </is>
      </c>
      <c r="AQ81" s="3910" t="inlineStr">
        <is>
          <t>Contiguous</t>
        </is>
      </c>
      <c r="AR81" s="3910" t="inlineStr">
        <is>
          <t>Alaska</t>
        </is>
      </c>
      <c r="AS81" s="3911" t="inlineStr">
        <is>
          <t>Hawaii</t>
        </is>
      </c>
      <c r="AT81" s="11602" t="n"/>
      <c r="AU81" s="11602" t="n"/>
      <c r="AV81" s="11602" t="n"/>
      <c r="AW81" s="11602" t="n"/>
      <c r="AX81" s="11602" t="n"/>
      <c r="AY81" s="11602" t="n"/>
      <c r="AZ81" s="2014" t="n"/>
      <c r="BA81" s="11602" t="n"/>
      <c r="BB81" s="11602" t="n"/>
      <c r="BC81" s="12838" t="n"/>
      <c r="BD81" s="711" t="n"/>
      <c r="BE81" s="711" t="n"/>
      <c r="BF81" s="3861" t="n"/>
      <c r="BG81" s="711" t="n"/>
      <c r="BH81" s="711" t="n"/>
      <c r="BI81" s="711" t="n"/>
      <c r="BJ81" s="711" t="n"/>
      <c r="BK81" s="711" t="n"/>
      <c r="BL81" s="11602" t="n"/>
    </row>
    <row r="82">
      <c r="A82" s="2013" t="n"/>
      <c r="B82" s="11602" t="n"/>
      <c r="C82" s="11602" t="n"/>
      <c r="I82" s="7636" t="n"/>
      <c r="J82" s="4772" t="n"/>
      <c r="R82" s="7636" t="n"/>
      <c r="S82" s="4772" t="n"/>
      <c r="AA82" s="7636" t="n"/>
      <c r="AB82" s="4772" t="n"/>
      <c r="AK82" s="2013" t="n"/>
      <c r="AL82" s="11602" t="n"/>
      <c r="AM82" s="11602" t="n"/>
      <c r="AN82" s="11602" t="n"/>
      <c r="AO82" s="11602" t="n"/>
      <c r="AP82" s="3912" t="n">
        <v>0</v>
      </c>
      <c r="AQ82" s="11399" t="n"/>
      <c r="AR82" s="11399" t="n"/>
      <c r="AS82" s="3913" t="n"/>
      <c r="AT82" s="11602" t="n"/>
      <c r="AU82" s="11602" t="n"/>
      <c r="AV82" s="11602" t="n"/>
      <c r="AW82" s="11602" t="n"/>
      <c r="AX82" s="11602" t="n"/>
      <c r="AY82" s="11602" t="n"/>
      <c r="AZ82" s="2014" t="n"/>
      <c r="BA82" s="11602" t="n"/>
      <c r="BB82" s="11602" t="n"/>
      <c r="BC82" s="12838" t="n"/>
      <c r="BD82" s="711" t="n"/>
      <c r="BE82" s="711" t="n"/>
      <c r="BF82" s="3861" t="n"/>
      <c r="BG82" s="3861" t="n"/>
      <c r="BH82" s="711" t="n"/>
      <c r="BI82" s="711" t="n"/>
      <c r="BJ82" s="711" t="n"/>
      <c r="BK82" s="711" t="n"/>
      <c r="BL82" s="11602" t="n"/>
    </row>
    <row r="83">
      <c r="A83" s="2013" t="n"/>
      <c r="B83" s="11602" t="n"/>
      <c r="C83" s="11602" t="n"/>
      <c r="I83" s="7636" t="n"/>
      <c r="J83" s="4772" t="n"/>
      <c r="R83" s="7636" t="n"/>
      <c r="S83" s="4772" t="n"/>
      <c r="AA83" s="7636" t="n"/>
      <c r="AB83" s="4772" t="n"/>
      <c r="AK83" s="2013" t="n"/>
      <c r="AL83" s="11602" t="n"/>
      <c r="AM83" s="11602" t="n"/>
      <c r="AN83" s="11602" t="n"/>
      <c r="AO83" s="11602" t="n"/>
      <c r="AP83" s="3912" t="n">
        <v>1</v>
      </c>
      <c r="AQ83" s="3914" t="n">
        <v>15060</v>
      </c>
      <c r="AR83" s="3914" t="n">
        <v>18810</v>
      </c>
      <c r="AS83" s="3915" t="n">
        <v>17310</v>
      </c>
      <c r="AT83" s="12848" t="n"/>
      <c r="AU83" s="11602" t="n"/>
      <c r="AV83" s="11602" t="n"/>
      <c r="AW83" s="11602" t="n"/>
      <c r="AX83" s="11602" t="n"/>
      <c r="AY83" s="11602" t="n"/>
      <c r="AZ83" s="2014" t="n"/>
      <c r="BA83" s="11602" t="n"/>
      <c r="BB83" s="11602" t="n"/>
      <c r="BC83" s="12838" t="n"/>
      <c r="BD83" s="711" t="n"/>
      <c r="BE83" s="711" t="n"/>
      <c r="BF83" s="3861" t="n"/>
      <c r="BG83" s="3861" t="n"/>
      <c r="BH83" s="711" t="n"/>
      <c r="BI83" s="711" t="n"/>
      <c r="BJ83" s="711" t="n"/>
      <c r="BK83" s="711" t="n"/>
      <c r="BL83" s="11602" t="n"/>
    </row>
    <row r="84">
      <c r="A84" s="2013" t="n"/>
      <c r="B84" s="413" t="n"/>
      <c r="C84" s="413" t="n"/>
      <c r="D84" s="7637" t="n"/>
      <c r="E84" s="7637" t="n"/>
      <c r="F84" s="7637" t="n"/>
      <c r="G84" s="7637" t="n"/>
      <c r="H84" s="7637" t="n"/>
      <c r="I84" s="7638" t="n"/>
      <c r="J84" s="12849" t="n"/>
      <c r="K84" s="11717" t="n"/>
      <c r="L84" s="11717" t="n"/>
      <c r="M84" s="11717" t="n"/>
      <c r="N84" s="11717" t="n"/>
      <c r="O84" s="11717" t="n"/>
      <c r="P84" s="11717" t="n"/>
      <c r="Q84" s="11717" t="n"/>
      <c r="R84" s="11718" t="n"/>
      <c r="S84" s="12849" t="n"/>
      <c r="T84" s="11717" t="n"/>
      <c r="U84" s="11717" t="n"/>
      <c r="V84" s="11717" t="n"/>
      <c r="W84" s="11717" t="n"/>
      <c r="X84" s="11717" t="n"/>
      <c r="Y84" s="11717" t="n"/>
      <c r="Z84" s="11717" t="n"/>
      <c r="AA84" s="11718" t="n"/>
      <c r="AB84" s="11552" t="n"/>
      <c r="AC84" s="11717" t="n"/>
      <c r="AD84" s="11717" t="n"/>
      <c r="AE84" s="11717" t="n"/>
      <c r="AF84" s="11717" t="n"/>
      <c r="AG84" s="11717" t="n"/>
      <c r="AH84" s="11717" t="n"/>
      <c r="AI84" s="11717" t="n"/>
      <c r="AJ84" s="11717" t="n"/>
      <c r="AK84" s="2013" t="n"/>
      <c r="AL84" s="11602" t="n"/>
      <c r="AM84" s="11602" t="n"/>
      <c r="AN84" s="11602" t="n"/>
      <c r="AO84" s="11602" t="n"/>
      <c r="AP84" s="3912" t="n">
        <v>2</v>
      </c>
      <c r="AQ84" s="3914" t="n">
        <v>20440</v>
      </c>
      <c r="AR84" s="3914" t="n">
        <v>25540</v>
      </c>
      <c r="AS84" s="3915" t="n">
        <v>23500</v>
      </c>
      <c r="AT84" s="12848" t="n"/>
      <c r="AU84" s="11602" t="n"/>
      <c r="AV84" s="11602" t="n"/>
      <c r="AW84" s="11602" t="n"/>
      <c r="AX84" s="11602" t="n"/>
      <c r="AY84" s="11602" t="n"/>
      <c r="AZ84" s="2014" t="n"/>
      <c r="BA84" s="11602" t="n"/>
      <c r="BB84" s="11602" t="n"/>
      <c r="BC84" s="12838" t="n"/>
      <c r="BD84" s="711" t="n"/>
      <c r="BE84" s="711" t="n"/>
      <c r="BF84" s="3861" t="n"/>
      <c r="BG84" s="3861" t="n"/>
      <c r="BH84" s="711" t="n"/>
      <c r="BI84" s="711" t="n"/>
      <c r="BJ84" s="711" t="n"/>
      <c r="BK84" s="711" t="n"/>
      <c r="BL84" s="11602" t="n"/>
    </row>
    <row r="85" ht="15.75" customHeight="1" s="7635">
      <c r="A85" s="2013" t="n"/>
      <c r="B85" s="3879" t="inlineStr">
        <is>
          <t>Allocation 2</t>
        </is>
      </c>
      <c r="C85" s="413" t="n"/>
      <c r="D85" s="413" t="n"/>
      <c r="E85" s="413" t="n"/>
      <c r="F85" s="413" t="n"/>
      <c r="G85" s="413" t="n"/>
      <c r="H85" s="413" t="n"/>
      <c r="I85" s="413" t="n"/>
      <c r="J85" s="413" t="n"/>
      <c r="K85" s="413" t="n"/>
      <c r="L85" s="413" t="n"/>
      <c r="M85" s="413" t="n"/>
      <c r="N85" s="413" t="n"/>
      <c r="O85" s="413" t="n"/>
      <c r="P85" s="413" t="n"/>
      <c r="Q85" s="413" t="n"/>
      <c r="R85" s="413" t="n"/>
      <c r="S85" s="413" t="n"/>
      <c r="T85" s="413" t="n"/>
      <c r="U85" s="413" t="n"/>
      <c r="V85" s="413" t="n"/>
      <c r="W85" s="413" t="n"/>
      <c r="X85" s="413" t="n"/>
      <c r="Y85" s="413" t="n"/>
      <c r="Z85" s="413" t="n"/>
      <c r="AA85" s="413" t="n"/>
      <c r="AB85" s="413" t="n"/>
      <c r="AC85" s="413" t="n"/>
      <c r="AD85" s="413" t="n"/>
      <c r="AE85" s="413" t="n"/>
      <c r="AF85" s="413" t="n"/>
      <c r="AG85" s="413" t="n"/>
      <c r="AH85" s="413" t="n"/>
      <c r="AI85" s="413" t="n"/>
      <c r="AJ85" s="413" t="n"/>
      <c r="AK85" s="2013" t="n"/>
      <c r="AL85" s="11602" t="n"/>
      <c r="AM85" s="11602" t="n"/>
      <c r="AN85" s="11602" t="n"/>
      <c r="AO85" s="11602" t="n"/>
      <c r="AP85" s="3912" t="n">
        <v>3</v>
      </c>
      <c r="AQ85" s="3914" t="n">
        <v>25820</v>
      </c>
      <c r="AR85" s="3914" t="n">
        <v>32270</v>
      </c>
      <c r="AS85" s="3915" t="n">
        <v>29690</v>
      </c>
      <c r="AT85" s="12848" t="n"/>
      <c r="AU85" s="11602" t="n"/>
      <c r="AV85" s="11602" t="n"/>
      <c r="AW85" s="11602" t="n"/>
      <c r="AX85" s="11602" t="n"/>
      <c r="AY85" s="11602" t="n"/>
      <c r="AZ85" s="2014" t="n"/>
      <c r="BA85" s="11602" t="n"/>
      <c r="BB85" s="11602" t="n"/>
      <c r="BC85" s="12838" t="n"/>
      <c r="BD85" s="711" t="n"/>
      <c r="BE85" s="711" t="n"/>
      <c r="BF85" s="3861" t="n"/>
      <c r="BG85" s="3861" t="n"/>
      <c r="BH85" s="711" t="n"/>
      <c r="BI85" s="711" t="n"/>
      <c r="BJ85" s="711" t="n"/>
      <c r="BK85" s="711" t="n"/>
      <c r="BL85" s="11602" t="n"/>
    </row>
    <row r="86" ht="15" customHeight="1" s="7635">
      <c r="A86" s="2013" t="n"/>
      <c r="B86" s="3827" t="inlineStr">
        <is>
          <t>31</t>
        </is>
      </c>
      <c r="C86" s="11602" t="n"/>
      <c r="D86" s="8384" t="inlineStr">
        <is>
          <t>(a)</t>
        </is>
      </c>
      <c r="E86" s="2354" t="inlineStr">
        <is>
          <t>Policy Number (Form 1095-A, line 2)</t>
        </is>
      </c>
      <c r="F86" s="406" t="n"/>
      <c r="G86" s="406" t="n"/>
      <c r="H86" s="406" t="n"/>
      <c r="I86" s="406" t="n"/>
      <c r="J86" s="406" t="n"/>
      <c r="K86" s="406" t="n"/>
      <c r="L86" s="406" t="n"/>
      <c r="M86" s="407" t="n"/>
      <c r="N86" s="9764" t="inlineStr">
        <is>
          <t>(b)</t>
        </is>
      </c>
      <c r="O86" s="2354" t="inlineStr">
        <is>
          <t>SSN of other taxpayer</t>
        </is>
      </c>
      <c r="P86" s="406" t="n"/>
      <c r="Q86" s="406" t="n"/>
      <c r="R86" s="406" t="n"/>
      <c r="S86" s="406" t="n"/>
      <c r="T86" s="406" t="n"/>
      <c r="U86" s="406" t="n"/>
      <c r="V86" s="407" t="n"/>
      <c r="W86" s="9764" t="inlineStr">
        <is>
          <t>(c)</t>
        </is>
      </c>
      <c r="X86" s="406" t="inlineStr">
        <is>
          <t>Allocation start month</t>
        </is>
      </c>
      <c r="Y86" s="406" t="n"/>
      <c r="Z86" s="406" t="n"/>
      <c r="AA86" s="406" t="n"/>
      <c r="AB86" s="406" t="n"/>
      <c r="AC86" s="407" t="n"/>
      <c r="AD86" s="9764" t="inlineStr">
        <is>
          <t>(d)</t>
        </is>
      </c>
      <c r="AE86" s="406" t="inlineStr">
        <is>
          <t>Allocation stop month</t>
        </is>
      </c>
      <c r="AF86" s="406" t="n"/>
      <c r="AG86" s="406" t="n"/>
      <c r="AH86" s="406" t="n"/>
      <c r="AI86" s="406" t="n"/>
      <c r="AJ86" s="406" t="n"/>
      <c r="AK86" s="2013" t="n"/>
      <c r="AL86" s="11602" t="n"/>
      <c r="AM86" s="11602" t="n"/>
      <c r="AN86" s="11602" t="n"/>
      <c r="AO86" s="11602" t="n"/>
      <c r="AP86" s="3912" t="n">
        <v>4</v>
      </c>
      <c r="AQ86" s="3914" t="n">
        <v>31200</v>
      </c>
      <c r="AR86" s="3914" t="n">
        <v>39000</v>
      </c>
      <c r="AS86" s="3915" t="n">
        <v>35880</v>
      </c>
      <c r="AT86" s="12848" t="n"/>
      <c r="AU86" s="11602" t="n"/>
      <c r="AV86" s="11602" t="n"/>
      <c r="AW86" s="11602" t="n"/>
      <c r="AX86" s="11602" t="n"/>
      <c r="AY86" s="11602" t="n"/>
      <c r="AZ86" s="2014" t="n"/>
      <c r="BA86" s="11602" t="n"/>
      <c r="BB86" s="11602" t="n"/>
      <c r="BC86" s="12838" t="n"/>
      <c r="BD86" s="711" t="n"/>
      <c r="BE86" s="711" t="n"/>
      <c r="BF86" s="3861" t="n"/>
      <c r="BG86" s="3861" t="n"/>
      <c r="BH86" s="711" t="n"/>
      <c r="BI86" s="711" t="n"/>
      <c r="BJ86" s="711" t="n"/>
      <c r="BK86" s="711" t="n"/>
      <c r="BL86" s="11602" t="n"/>
    </row>
    <row r="87" ht="18" customHeight="1" s="7635">
      <c r="A87" s="2013" t="n"/>
      <c r="B87" s="3827" t="n"/>
      <c r="D87" s="12850" t="n"/>
      <c r="E87" s="11717" t="n"/>
      <c r="F87" s="11717" t="n"/>
      <c r="G87" s="11717" t="n"/>
      <c r="H87" s="11717" t="n"/>
      <c r="I87" s="11717" t="n"/>
      <c r="J87" s="11717" t="n"/>
      <c r="K87" s="11717" t="n"/>
      <c r="L87" s="11717" t="n"/>
      <c r="M87" s="11718" t="n"/>
      <c r="N87" s="12844" t="n"/>
      <c r="O87" s="11717" t="n"/>
      <c r="P87" s="11717" t="n"/>
      <c r="Q87" s="11717" t="n"/>
      <c r="R87" s="11717" t="n"/>
      <c r="S87" s="11717" t="n"/>
      <c r="T87" s="11717" t="n"/>
      <c r="U87" s="11717" t="n"/>
      <c r="V87" s="11718" t="n"/>
      <c r="W87" s="12851" t="n"/>
      <c r="X87" s="11717" t="n"/>
      <c r="Y87" s="11717" t="n"/>
      <c r="Z87" s="11717" t="n"/>
      <c r="AA87" s="11717" t="n"/>
      <c r="AB87" s="11717" t="n"/>
      <c r="AC87" s="11717" t="n"/>
      <c r="AD87" s="12845" t="n"/>
      <c r="AE87" s="11717" t="n"/>
      <c r="AF87" s="11717" t="n"/>
      <c r="AG87" s="11717" t="n"/>
      <c r="AH87" s="11717" t="n"/>
      <c r="AI87" s="11717" t="n"/>
      <c r="AJ87" s="11717" t="n"/>
      <c r="AK87" s="2013" t="n"/>
      <c r="AL87" s="11602" t="n"/>
      <c r="AM87" s="11602" t="n"/>
      <c r="AN87" s="11602" t="n"/>
      <c r="AO87" s="11602" t="n"/>
      <c r="AP87" s="3912" t="n">
        <v>5</v>
      </c>
      <c r="AQ87" s="3914" t="n">
        <v>36580</v>
      </c>
      <c r="AR87" s="3914" t="n">
        <v>45730</v>
      </c>
      <c r="AS87" s="3915" t="n">
        <v>42070</v>
      </c>
      <c r="AT87" s="12848" t="n"/>
      <c r="AU87" s="11602" t="n"/>
      <c r="AV87" s="11602" t="n"/>
      <c r="AW87" s="11602" t="n"/>
      <c r="AX87" s="11602" t="n"/>
      <c r="AY87" s="11602" t="n"/>
      <c r="AZ87" s="2014" t="n"/>
      <c r="BA87" s="11602" t="n"/>
      <c r="BB87" s="11602" t="n"/>
      <c r="BC87" s="12838" t="n"/>
      <c r="BD87" s="711" t="n"/>
      <c r="BE87" s="711" t="n"/>
      <c r="BF87" s="3861" t="n"/>
      <c r="BG87" s="3861" t="n"/>
      <c r="BH87" s="711" t="n"/>
      <c r="BI87" s="711" t="n"/>
      <c r="BJ87" s="711" t="n"/>
      <c r="BK87" s="711" t="n"/>
      <c r="BL87" s="11602" t="n"/>
    </row>
    <row r="88">
      <c r="A88" s="2013" t="n"/>
      <c r="B88" s="11602" t="n"/>
      <c r="C88" s="11602" t="n"/>
      <c r="D88" s="12846" t="inlineStr">
        <is>
          <t>Allocation percentage 
applied to monthly 
amounts</t>
        </is>
      </c>
      <c r="E88" s="7839" t="n"/>
      <c r="F88" s="7839" t="n"/>
      <c r="G88" s="7839" t="n"/>
      <c r="H88" s="7839" t="n"/>
      <c r="I88" s="10091" t="n"/>
      <c r="J88" s="12847" t="inlineStr">
        <is>
          <t>(e) Premium Percentage</t>
        </is>
      </c>
      <c r="K88" s="7839" t="n"/>
      <c r="L88" s="7839" t="n"/>
      <c r="M88" s="7839" t="n"/>
      <c r="N88" s="7839" t="n"/>
      <c r="O88" s="7839" t="n"/>
      <c r="P88" s="7839" t="n"/>
      <c r="Q88" s="7839" t="n"/>
      <c r="R88" s="10091" t="n"/>
      <c r="S88" s="12847" t="inlineStr">
        <is>
          <t>(f) SLCSP Percentage</t>
        </is>
      </c>
      <c r="T88" s="7839" t="n"/>
      <c r="U88" s="7839" t="n"/>
      <c r="V88" s="7839" t="n"/>
      <c r="W88" s="7839" t="n"/>
      <c r="X88" s="7839" t="n"/>
      <c r="Y88" s="7839" t="n"/>
      <c r="Z88" s="7839" t="n"/>
      <c r="AA88" s="10091" t="n"/>
      <c r="AB88" s="11550" t="inlineStr">
        <is>
          <t>(g) Advance Payment of the PTC
Percentage</t>
        </is>
      </c>
      <c r="AC88" s="7839" t="n"/>
      <c r="AD88" s="7839" t="n"/>
      <c r="AE88" s="7839" t="n"/>
      <c r="AF88" s="7839" t="n"/>
      <c r="AG88" s="7839" t="n"/>
      <c r="AH88" s="7839" t="n"/>
      <c r="AI88" s="7839" t="n"/>
      <c r="AJ88" s="7839" t="n"/>
      <c r="AK88" s="2013" t="n"/>
      <c r="AL88" s="11602" t="n"/>
      <c r="AM88" s="11602" t="n"/>
      <c r="AN88" s="11602" t="n"/>
      <c r="AO88" s="11602" t="n"/>
      <c r="AP88" s="3912" t="n">
        <v>6</v>
      </c>
      <c r="AQ88" s="3914" t="n">
        <v>41960</v>
      </c>
      <c r="AR88" s="3914" t="n">
        <v>52460</v>
      </c>
      <c r="AS88" s="3915" t="n">
        <v>48260</v>
      </c>
      <c r="AT88" s="12848" t="n"/>
      <c r="AU88" s="11602" t="n"/>
      <c r="AV88" s="11602" t="n"/>
      <c r="AW88" s="11602" t="n"/>
      <c r="AX88" s="11602" t="n"/>
      <c r="AY88" s="11602" t="n"/>
      <c r="AZ88" s="2014" t="n"/>
      <c r="BA88" s="11602" t="n"/>
      <c r="BB88" s="11602" t="n"/>
      <c r="BC88" s="12838" t="n"/>
      <c r="BD88" s="711" t="n"/>
      <c r="BE88" s="711" t="n"/>
      <c r="BF88" s="3861" t="n"/>
      <c r="BG88" s="3861" t="n"/>
      <c r="BH88" s="711" t="n"/>
      <c r="BI88" s="711" t="n"/>
      <c r="BJ88" s="711" t="n"/>
      <c r="BK88" s="711" t="n"/>
      <c r="BL88" s="11602" t="n"/>
    </row>
    <row r="89" ht="16.5" customHeight="1" s="7635">
      <c r="A89" s="2013" t="n"/>
      <c r="B89" s="11602" t="n"/>
      <c r="C89" s="11602" t="n"/>
      <c r="I89" s="7636" t="n"/>
      <c r="J89" s="4772" t="n"/>
      <c r="R89" s="7636" t="n"/>
      <c r="S89" s="4772" t="n"/>
      <c r="AA89" s="7636" t="n"/>
      <c r="AB89" s="4772" t="n"/>
      <c r="AK89" s="2013" t="n"/>
      <c r="AL89" s="11602" t="n"/>
      <c r="AM89" s="11602" t="n"/>
      <c r="AN89" s="11602" t="n"/>
      <c r="AO89" s="11602" t="n"/>
      <c r="AP89" s="3912" t="n">
        <v>7</v>
      </c>
      <c r="AQ89" s="3914" t="n">
        <v>47340</v>
      </c>
      <c r="AR89" s="3914" t="n">
        <v>59190</v>
      </c>
      <c r="AS89" s="3915" t="n">
        <v>54450</v>
      </c>
      <c r="AT89" s="12848" t="n"/>
      <c r="AU89" s="11602" t="n"/>
      <c r="AV89" s="11602" t="n"/>
      <c r="AW89" s="11602" t="n"/>
      <c r="AX89" s="11602" t="n"/>
      <c r="AY89" s="11602" t="n"/>
      <c r="AZ89" s="2014" t="n"/>
      <c r="BA89" s="11602" t="n"/>
      <c r="BB89" s="11602" t="n"/>
      <c r="BC89" s="12838" t="n"/>
      <c r="BD89" s="711" t="n"/>
      <c r="BE89" s="711" t="n"/>
      <c r="BF89" s="3861" t="n"/>
      <c r="BG89" s="3861" t="n"/>
      <c r="BH89" s="711" t="n"/>
      <c r="BI89" s="711" t="n"/>
      <c r="BJ89" s="711" t="n"/>
      <c r="BK89" s="711" t="n"/>
      <c r="BL89" s="11602" t="n"/>
    </row>
    <row r="90">
      <c r="A90" s="2013" t="n"/>
      <c r="B90" s="11602" t="n"/>
      <c r="C90" s="11602" t="n"/>
      <c r="I90" s="7636" t="n"/>
      <c r="J90" s="4772" t="n"/>
      <c r="R90" s="7636" t="n"/>
      <c r="S90" s="4772" t="n"/>
      <c r="AA90" s="7636" t="n"/>
      <c r="AB90" s="4772" t="n"/>
      <c r="AK90" s="2013" t="n"/>
      <c r="AL90" s="11602" t="n"/>
      <c r="AM90" s="11602" t="n"/>
      <c r="AN90" s="11602" t="n"/>
      <c r="AO90" s="11602" t="n"/>
      <c r="AP90" s="3912" t="n">
        <v>8</v>
      </c>
      <c r="AQ90" s="3914" t="n">
        <v>52720</v>
      </c>
      <c r="AR90" s="3914" t="n">
        <v>65920</v>
      </c>
      <c r="AS90" s="3915" t="n">
        <v>60640</v>
      </c>
      <c r="AT90" s="12848" t="n"/>
      <c r="AU90" s="11602" t="n"/>
      <c r="AV90" s="11602" t="n"/>
      <c r="AW90" s="11602" t="n"/>
      <c r="AX90" s="11602" t="n"/>
      <c r="AY90" s="2014" t="n"/>
      <c r="AZ90" s="2014" t="n"/>
      <c r="BA90" s="11602" t="n"/>
      <c r="BB90" s="11602" t="n"/>
      <c r="BC90" s="12838" t="n"/>
      <c r="BD90" s="711" t="n"/>
      <c r="BE90" s="711" t="n"/>
      <c r="BF90" s="3861" t="n"/>
      <c r="BG90" s="3861" t="n"/>
      <c r="BH90" s="711" t="n"/>
      <c r="BI90" s="711" t="n"/>
      <c r="BJ90" s="711" t="n"/>
      <c r="BK90" s="711" t="n"/>
      <c r="BL90" s="11602" t="n"/>
    </row>
    <row r="91" ht="13.5" customHeight="1" s="7635" thickBot="1">
      <c r="A91" s="2013" t="n"/>
      <c r="B91" s="11602" t="n"/>
      <c r="C91" s="11602" t="n"/>
      <c r="I91" s="7636" t="n"/>
      <c r="J91" s="4772" t="n"/>
      <c r="R91" s="7636" t="n"/>
      <c r="S91" s="4772" t="n"/>
      <c r="AA91" s="7636" t="n"/>
      <c r="AB91" s="4772" t="n"/>
      <c r="AK91" s="2013" t="n"/>
      <c r="AL91" s="11602" t="n"/>
      <c r="AM91" s="11602" t="n"/>
      <c r="AN91" s="11602" t="n"/>
      <c r="AO91" s="11602" t="n"/>
      <c r="AP91" s="3917" t="inlineStr">
        <is>
          <t>More</t>
        </is>
      </c>
      <c r="AQ91" s="3918" t="n">
        <v>5380</v>
      </c>
      <c r="AR91" s="3918" t="n">
        <v>6730</v>
      </c>
      <c r="AS91" s="3919" t="n">
        <v>6190</v>
      </c>
      <c r="AT91" s="11602" t="n"/>
      <c r="AU91" s="11602" t="n"/>
      <c r="AV91" s="11602" t="n"/>
      <c r="AW91" s="11602" t="n"/>
      <c r="AX91" s="11602" t="n"/>
      <c r="AY91" s="11602" t="n"/>
      <c r="AZ91" s="2014" t="n"/>
      <c r="BA91" s="11602" t="n"/>
      <c r="BB91" s="11602" t="n"/>
      <c r="BC91" s="12838" t="n"/>
      <c r="BD91" s="711" t="n"/>
      <c r="BE91" s="3861" t="n"/>
      <c r="BF91" s="3861" t="n"/>
      <c r="BG91" s="711" t="n"/>
      <c r="BH91" s="711" t="n"/>
      <c r="BI91" s="711" t="n"/>
      <c r="BJ91" s="711" t="n"/>
      <c r="BK91" s="711" t="n"/>
      <c r="BL91" s="11602" t="n"/>
    </row>
    <row r="92" ht="12.75" customHeight="1" s="7635">
      <c r="A92" s="2013" t="n"/>
      <c r="B92" s="413" t="n"/>
      <c r="C92" s="413" t="n"/>
      <c r="D92" s="7637" t="n"/>
      <c r="E92" s="7637" t="n"/>
      <c r="F92" s="7637" t="n"/>
      <c r="G92" s="7637" t="n"/>
      <c r="H92" s="7637" t="n"/>
      <c r="I92" s="7638" t="n"/>
      <c r="J92" s="12849" t="n"/>
      <c r="K92" s="11717" t="n"/>
      <c r="L92" s="11717" t="n"/>
      <c r="M92" s="11717" t="n"/>
      <c r="N92" s="11717" t="n"/>
      <c r="O92" s="11717" t="n"/>
      <c r="P92" s="11717" t="n"/>
      <c r="Q92" s="11717" t="n"/>
      <c r="R92" s="11718" t="n"/>
      <c r="S92" s="12849" t="n"/>
      <c r="T92" s="11717" t="n"/>
      <c r="U92" s="11717" t="n"/>
      <c r="V92" s="11717" t="n"/>
      <c r="W92" s="11717" t="n"/>
      <c r="X92" s="11717" t="n"/>
      <c r="Y92" s="11717" t="n"/>
      <c r="Z92" s="11717" t="n"/>
      <c r="AA92" s="11718" t="n"/>
      <c r="AB92" s="11552" t="n"/>
      <c r="AC92" s="11717" t="n"/>
      <c r="AD92" s="11717" t="n"/>
      <c r="AE92" s="11717" t="n"/>
      <c r="AF92" s="11717" t="n"/>
      <c r="AG92" s="11717" t="n"/>
      <c r="AH92" s="11717" t="n"/>
      <c r="AI92" s="11717" t="n"/>
      <c r="AJ92" s="11717" t="n"/>
      <c r="AK92" s="2013" t="n"/>
      <c r="AL92" s="11602" t="n"/>
      <c r="AM92" s="11602" t="n"/>
      <c r="AN92" s="11602" t="n"/>
      <c r="AO92" s="11602" t="n"/>
      <c r="AP92" s="3920" t="inlineStr">
        <is>
          <t>Source:</t>
        </is>
      </c>
      <c r="AQ92" s="3921" t="inlineStr">
        <is>
          <t>https://aspe.hhs.gov/poverty-guidelines</t>
        </is>
      </c>
      <c r="AR92" s="3922" t="n"/>
      <c r="AS92" s="3922" t="n"/>
      <c r="AT92" s="11602" t="n"/>
      <c r="AU92" s="11602" t="n"/>
      <c r="AV92" s="11602" t="n"/>
      <c r="AW92" s="11602" t="n"/>
      <c r="AX92" s="11602" t="n"/>
      <c r="AY92" s="11602" t="n"/>
      <c r="AZ92" s="2014" t="n"/>
      <c r="BA92" s="11602" t="n"/>
      <c r="BB92" s="11602" t="n"/>
      <c r="BC92" s="12838" t="n"/>
      <c r="BD92" s="711" t="n"/>
      <c r="BE92" s="711" t="n"/>
      <c r="BF92" s="3861" t="n"/>
      <c r="BG92" s="3861" t="n"/>
      <c r="BH92" s="711" t="n"/>
      <c r="BI92" s="711" t="n"/>
      <c r="BJ92" s="711" t="n"/>
      <c r="BK92" s="711" t="n"/>
      <c r="BL92" s="11602" t="n"/>
    </row>
    <row r="93" ht="15.75" customHeight="1" s="7635">
      <c r="A93" s="2013" t="n"/>
      <c r="B93" s="3879" t="inlineStr">
        <is>
          <t>Allocation 3</t>
        </is>
      </c>
      <c r="C93" s="413" t="n"/>
      <c r="D93" s="413" t="n"/>
      <c r="E93" s="413" t="n"/>
      <c r="F93" s="413" t="n"/>
      <c r="G93" s="413" t="n"/>
      <c r="H93" s="413" t="n"/>
      <c r="I93" s="413" t="n"/>
      <c r="J93" s="413" t="n"/>
      <c r="K93" s="413" t="n"/>
      <c r="L93" s="413" t="n"/>
      <c r="M93" s="413" t="n"/>
      <c r="N93" s="413" t="n"/>
      <c r="O93" s="413" t="n"/>
      <c r="P93" s="413" t="n"/>
      <c r="Q93" s="413" t="n"/>
      <c r="R93" s="413" t="n"/>
      <c r="S93" s="413" t="n"/>
      <c r="T93" s="413" t="n"/>
      <c r="U93" s="413" t="n"/>
      <c r="V93" s="413" t="n"/>
      <c r="W93" s="413" t="n"/>
      <c r="X93" s="413" t="n"/>
      <c r="Y93" s="413" t="n"/>
      <c r="Z93" s="413" t="n"/>
      <c r="AA93" s="413" t="n"/>
      <c r="AB93" s="413" t="n"/>
      <c r="AC93" s="413" t="n"/>
      <c r="AD93" s="413" t="n"/>
      <c r="AE93" s="413" t="n"/>
      <c r="AF93" s="413" t="n"/>
      <c r="AG93" s="413" t="n"/>
      <c r="AH93" s="413" t="n"/>
      <c r="AI93" s="413" t="n"/>
      <c r="AJ93" s="413" t="n"/>
      <c r="AK93" s="2013" t="n"/>
      <c r="AL93" s="11602" t="n"/>
      <c r="AM93" s="11602" t="n"/>
      <c r="AN93" s="11602" t="n"/>
      <c r="AO93" s="11602" t="n"/>
      <c r="AP93" s="3854" t="n"/>
      <c r="AQ93" s="3923" t="inlineStr">
        <is>
          <t>https://www.healthinsurance.org/glossary/federal-poverty-level/</t>
        </is>
      </c>
      <c r="AR93" s="11602" t="n"/>
      <c r="AS93" s="11602" t="n"/>
      <c r="AT93" s="11602" t="n"/>
      <c r="AU93" s="11602" t="n"/>
      <c r="AV93" s="11602" t="n"/>
      <c r="AW93" s="11602" t="n"/>
      <c r="AX93" s="11602" t="n"/>
      <c r="AY93" s="11602" t="n"/>
      <c r="AZ93" s="2014" t="n"/>
      <c r="BA93" s="11602" t="n"/>
      <c r="BB93" s="11602" t="n"/>
      <c r="BC93" s="12838" t="n"/>
      <c r="BD93" s="711" t="n"/>
      <c r="BE93" s="711" t="n"/>
      <c r="BF93" s="3861" t="n"/>
      <c r="BG93" s="3861" t="n"/>
      <c r="BH93" s="711" t="n"/>
      <c r="BI93" s="11602" t="n"/>
      <c r="BJ93" s="11602" t="n"/>
      <c r="BK93" s="11602" t="n"/>
      <c r="BL93" s="11602" t="n"/>
    </row>
    <row r="94" ht="15" customHeight="1" s="7635">
      <c r="A94" s="2013" t="n"/>
      <c r="B94" s="3827" t="inlineStr">
        <is>
          <t>32</t>
        </is>
      </c>
      <c r="C94" s="11602" t="n"/>
      <c r="D94" s="8384" t="inlineStr">
        <is>
          <t>(a)</t>
        </is>
      </c>
      <c r="E94" s="2354" t="inlineStr">
        <is>
          <t>Policy Number (Form 1095-A, line 2)</t>
        </is>
      </c>
      <c r="F94" s="406" t="n"/>
      <c r="G94" s="406" t="n"/>
      <c r="H94" s="406" t="n"/>
      <c r="I94" s="406" t="n"/>
      <c r="J94" s="406" t="n"/>
      <c r="K94" s="406" t="n"/>
      <c r="L94" s="406" t="n"/>
      <c r="M94" s="407" t="n"/>
      <c r="N94" s="9764" t="inlineStr">
        <is>
          <t>(b)</t>
        </is>
      </c>
      <c r="O94" s="2354" t="inlineStr">
        <is>
          <t>SSN of other taxpayer</t>
        </is>
      </c>
      <c r="P94" s="406" t="n"/>
      <c r="Q94" s="406" t="n"/>
      <c r="R94" s="406" t="n"/>
      <c r="S94" s="406" t="n"/>
      <c r="T94" s="406" t="n"/>
      <c r="U94" s="406" t="n"/>
      <c r="V94" s="407" t="n"/>
      <c r="W94" s="9764" t="inlineStr">
        <is>
          <t>(c)</t>
        </is>
      </c>
      <c r="X94" s="406" t="inlineStr">
        <is>
          <t>Allocation start month</t>
        </is>
      </c>
      <c r="Y94" s="406" t="n"/>
      <c r="Z94" s="406" t="n"/>
      <c r="AA94" s="406" t="n"/>
      <c r="AB94" s="406" t="n"/>
      <c r="AC94" s="407" t="n"/>
      <c r="AD94" s="9764" t="inlineStr">
        <is>
          <t>(d)</t>
        </is>
      </c>
      <c r="AE94" s="406" t="inlineStr">
        <is>
          <t>Allocation stop month</t>
        </is>
      </c>
      <c r="AF94" s="406" t="n"/>
      <c r="AG94" s="406" t="n"/>
      <c r="AH94" s="406" t="n"/>
      <c r="AI94" s="406" t="n"/>
      <c r="AJ94" s="406" t="n"/>
      <c r="AK94" s="2013" t="n"/>
      <c r="AL94" s="11602" t="n"/>
      <c r="AM94" s="11602" t="n"/>
      <c r="AN94" s="11602" t="n"/>
      <c r="AO94" s="11602" t="n"/>
      <c r="AP94" s="3854" t="n"/>
      <c r="AQ94" s="3854" t="n"/>
      <c r="AR94" s="11602" t="n"/>
      <c r="AS94" s="11602" t="n"/>
      <c r="AT94" s="11602" t="n"/>
      <c r="AU94" s="11602" t="n"/>
      <c r="AV94" s="11602" t="n"/>
      <c r="AW94" s="11602" t="n"/>
      <c r="AX94" s="11602" t="n"/>
      <c r="AY94" s="11602" t="n"/>
      <c r="AZ94" s="2014" t="n"/>
      <c r="BA94" s="11602" t="n"/>
      <c r="BB94" s="11602" t="n"/>
      <c r="BC94" s="12838" t="n"/>
      <c r="BD94" s="711" t="n"/>
      <c r="BE94" s="11602" t="n"/>
      <c r="BF94" s="3861" t="n"/>
      <c r="BG94" s="3861" t="n"/>
      <c r="BH94" s="11602" t="n"/>
      <c r="BI94" s="11602" t="n"/>
      <c r="BJ94" s="11602" t="n"/>
      <c r="BK94" s="11602" t="n"/>
      <c r="BL94" s="11602" t="n"/>
    </row>
    <row r="95" ht="18" customHeight="1" s="7635">
      <c r="A95" s="2013" t="n"/>
      <c r="B95" s="3827" t="n"/>
      <c r="D95" s="12850" t="n"/>
      <c r="E95" s="11717" t="n"/>
      <c r="F95" s="11717" t="n"/>
      <c r="G95" s="11717" t="n"/>
      <c r="H95" s="11717" t="n"/>
      <c r="I95" s="11717" t="n"/>
      <c r="J95" s="11717" t="n"/>
      <c r="K95" s="11717" t="n"/>
      <c r="L95" s="11717" t="n"/>
      <c r="M95" s="11718" t="n"/>
      <c r="N95" s="12844" t="n"/>
      <c r="O95" s="11717" t="n"/>
      <c r="P95" s="11717" t="n"/>
      <c r="Q95" s="11717" t="n"/>
      <c r="R95" s="11717" t="n"/>
      <c r="S95" s="11717" t="n"/>
      <c r="T95" s="11717" t="n"/>
      <c r="U95" s="11717" t="n"/>
      <c r="V95" s="11718" t="n"/>
      <c r="W95" s="12851" t="n"/>
      <c r="X95" s="11717" t="n"/>
      <c r="Y95" s="11717" t="n"/>
      <c r="Z95" s="11717" t="n"/>
      <c r="AA95" s="11717" t="n"/>
      <c r="AB95" s="11717" t="n"/>
      <c r="AC95" s="11717" t="n"/>
      <c r="AD95" s="12845" t="n"/>
      <c r="AE95" s="11717" t="n"/>
      <c r="AF95" s="11717" t="n"/>
      <c r="AG95" s="11717" t="n"/>
      <c r="AH95" s="11717" t="n"/>
      <c r="AI95" s="11717" t="n"/>
      <c r="AJ95" s="11717" t="n"/>
      <c r="AK95" s="2013" t="n"/>
      <c r="AL95" s="11602" t="n"/>
      <c r="AM95" s="11602" t="n"/>
      <c r="AN95" s="11602" t="n"/>
      <c r="AO95" s="11602" t="n"/>
      <c r="AP95" s="3854" t="n"/>
      <c r="AQ95" s="3854" t="n"/>
      <c r="AR95" s="11602" t="n"/>
      <c r="AS95" s="11602" t="n"/>
      <c r="AT95" s="11602" t="n"/>
      <c r="AU95" s="11602" t="n"/>
      <c r="AV95" s="11602" t="n"/>
      <c r="AW95" s="11602" t="n"/>
      <c r="AX95" s="11602" t="n"/>
      <c r="AY95" s="11602" t="n"/>
      <c r="AZ95" s="2014" t="n"/>
      <c r="BA95" s="11602" t="n"/>
      <c r="BB95" s="11602" t="n"/>
      <c r="BC95" s="12838" t="n"/>
      <c r="BD95" s="711" t="n"/>
      <c r="BE95" s="11602" t="n"/>
      <c r="BF95" s="3861" t="n"/>
      <c r="BG95" s="3861" t="n"/>
      <c r="BH95" s="11602" t="n"/>
      <c r="BI95" s="11602" t="n"/>
      <c r="BJ95" s="11602" t="n"/>
      <c r="BK95" s="11602" t="n"/>
      <c r="BL95" s="11602" t="n"/>
    </row>
    <row r="96">
      <c r="A96" s="2013" t="n"/>
      <c r="B96" s="11602" t="n"/>
      <c r="C96" s="11602" t="n"/>
      <c r="D96" s="12846" t="inlineStr">
        <is>
          <t>Allocation percentage 
applied to monthly 
amounts</t>
        </is>
      </c>
      <c r="E96" s="7839" t="n"/>
      <c r="F96" s="7839" t="n"/>
      <c r="G96" s="7839" t="n"/>
      <c r="H96" s="7839" t="n"/>
      <c r="I96" s="10091" t="n"/>
      <c r="J96" s="12847" t="inlineStr">
        <is>
          <t>(e) Premium Percentage</t>
        </is>
      </c>
      <c r="K96" s="7839" t="n"/>
      <c r="L96" s="7839" t="n"/>
      <c r="M96" s="7839" t="n"/>
      <c r="N96" s="7839" t="n"/>
      <c r="O96" s="7839" t="n"/>
      <c r="P96" s="7839" t="n"/>
      <c r="Q96" s="7839" t="n"/>
      <c r="R96" s="10091" t="n"/>
      <c r="S96" s="12847" t="inlineStr">
        <is>
          <t>(f) SLCSP Percentage</t>
        </is>
      </c>
      <c r="T96" s="7839" t="n"/>
      <c r="U96" s="7839" t="n"/>
      <c r="V96" s="7839" t="n"/>
      <c r="W96" s="7839" t="n"/>
      <c r="X96" s="7839" t="n"/>
      <c r="Y96" s="7839" t="n"/>
      <c r="Z96" s="7839" t="n"/>
      <c r="AA96" s="10091" t="n"/>
      <c r="AB96" s="11550" t="inlineStr">
        <is>
          <t>(g) Advance Payment of the PTC
Percentage</t>
        </is>
      </c>
      <c r="AC96" s="7839" t="n"/>
      <c r="AD96" s="7839" t="n"/>
      <c r="AE96" s="7839" t="n"/>
      <c r="AF96" s="7839" t="n"/>
      <c r="AG96" s="7839" t="n"/>
      <c r="AH96" s="7839" t="n"/>
      <c r="AI96" s="7839" t="n"/>
      <c r="AJ96" s="7839" t="n"/>
      <c r="AK96" s="2013" t="n"/>
      <c r="AL96" s="11602" t="n"/>
      <c r="AM96" s="11602" t="n"/>
      <c r="AN96" s="11602" t="n"/>
      <c r="AO96" s="11602" t="n"/>
      <c r="AP96" s="3854" t="n"/>
      <c r="AQ96" s="3854" t="n"/>
      <c r="AR96" s="11602" t="n"/>
      <c r="AS96" s="11602" t="n"/>
      <c r="AT96" s="11602" t="n"/>
      <c r="AU96" s="11602" t="n"/>
      <c r="AV96" s="11602" t="n"/>
      <c r="AW96" s="11602" t="n"/>
      <c r="AX96" s="11602" t="n"/>
      <c r="AY96" s="11602" t="n"/>
      <c r="AZ96" s="2014" t="n"/>
      <c r="BA96" s="11602" t="n"/>
      <c r="BB96" s="11602" t="n"/>
      <c r="BC96" s="12838" t="n"/>
      <c r="BD96" s="711" t="n"/>
      <c r="BE96" s="11602" t="n"/>
      <c r="BF96" s="3861" t="n"/>
      <c r="BG96" s="3861" t="n"/>
      <c r="BH96" s="11602" t="n"/>
      <c r="BI96" s="11602" t="n"/>
      <c r="BJ96" s="11602" t="n"/>
      <c r="BK96" s="11602" t="n"/>
      <c r="BL96" s="11602" t="n"/>
    </row>
    <row r="97" ht="16.5" customHeight="1" s="7635">
      <c r="A97" s="2013" t="n"/>
      <c r="B97" s="11602" t="n"/>
      <c r="C97" s="11602" t="n"/>
      <c r="I97" s="7636" t="n"/>
      <c r="J97" s="4772" t="n"/>
      <c r="R97" s="7636" t="n"/>
      <c r="S97" s="4772" t="n"/>
      <c r="AA97" s="7636" t="n"/>
      <c r="AB97" s="4772" t="n"/>
      <c r="AK97" s="2013" t="n"/>
      <c r="AL97" s="11602" t="n"/>
      <c r="AM97" s="11602" t="n"/>
      <c r="AN97" s="11602" t="n"/>
      <c r="AO97" s="11602" t="n"/>
      <c r="AP97" s="3854" t="n"/>
      <c r="AQ97" s="3854" t="n"/>
      <c r="AR97" s="11602" t="n"/>
      <c r="AS97" s="11602" t="n"/>
      <c r="AT97" s="11602" t="n"/>
      <c r="AU97" s="11602" t="n"/>
      <c r="AV97" s="11602" t="n"/>
      <c r="AW97" s="11602" t="n"/>
      <c r="AX97" s="11602" t="n"/>
      <c r="AY97" s="11602" t="n"/>
      <c r="AZ97" s="2014" t="n"/>
      <c r="BA97" s="11602" t="n"/>
      <c r="BB97" s="11602" t="n"/>
      <c r="BC97" s="12838" t="n"/>
      <c r="BD97" s="711" t="n"/>
      <c r="BE97" s="11602" t="n"/>
      <c r="BF97" s="3861" t="n"/>
      <c r="BG97" s="3861" t="n"/>
      <c r="BH97" s="11602" t="n"/>
      <c r="BI97" s="11602" t="n"/>
      <c r="BJ97" s="11602" t="n"/>
      <c r="BK97" s="11602" t="n"/>
      <c r="BL97" s="11602" t="n"/>
    </row>
    <row r="98">
      <c r="A98" s="2013" t="n"/>
      <c r="B98" s="11602" t="n"/>
      <c r="C98" s="11602" t="n"/>
      <c r="I98" s="7636" t="n"/>
      <c r="J98" s="4772" t="n"/>
      <c r="R98" s="7636" t="n"/>
      <c r="S98" s="4772" t="n"/>
      <c r="AA98" s="7636" t="n"/>
      <c r="AB98" s="4772" t="n"/>
      <c r="AK98" s="2013" t="n"/>
      <c r="AL98" s="11602" t="n"/>
      <c r="AM98" s="11602" t="n"/>
      <c r="AN98" s="11602" t="n"/>
      <c r="AO98" s="11602" t="n"/>
      <c r="AP98" s="3854" t="n"/>
      <c r="AQ98" s="3854" t="n"/>
      <c r="AR98" s="11602" t="n"/>
      <c r="AS98" s="11602" t="n"/>
      <c r="AT98" s="11602" t="n"/>
      <c r="AU98" s="11602" t="n"/>
      <c r="AV98" s="11602" t="n"/>
      <c r="AW98" s="11602" t="n"/>
      <c r="AX98" s="11602" t="n"/>
      <c r="AY98" s="11602" t="n"/>
      <c r="AZ98" s="2014" t="n"/>
      <c r="BA98" s="11602" t="n"/>
      <c r="BB98" s="11602" t="n"/>
      <c r="BC98" s="12838" t="n"/>
      <c r="BD98" s="711" t="n"/>
      <c r="BE98" s="11602" t="n"/>
      <c r="BF98" s="3861" t="n"/>
      <c r="BG98" s="3861" t="n"/>
      <c r="BH98" s="11602" t="n"/>
      <c r="BI98" s="11602" t="n"/>
      <c r="BJ98" s="11602" t="n"/>
      <c r="BK98" s="11602" t="n"/>
      <c r="BL98" s="11602" t="n"/>
    </row>
    <row r="99">
      <c r="A99" s="2013" t="n"/>
      <c r="B99" s="11602" t="n"/>
      <c r="C99" s="11602" t="n"/>
      <c r="I99" s="7636" t="n"/>
      <c r="J99" s="4772" t="n"/>
      <c r="R99" s="7636" t="n"/>
      <c r="S99" s="4772" t="n"/>
      <c r="AA99" s="7636" t="n"/>
      <c r="AB99" s="4772" t="n"/>
      <c r="AK99" s="2013" t="n"/>
      <c r="AL99" s="11602" t="n"/>
      <c r="AM99" s="11602" t="n"/>
      <c r="AN99" s="11602" t="n"/>
      <c r="AO99" s="11602" t="n"/>
      <c r="AP99" s="3854" t="n"/>
      <c r="AQ99" s="3854" t="n"/>
      <c r="AR99" s="11602" t="n"/>
      <c r="AS99" s="11602" t="n"/>
      <c r="AT99" s="11602" t="n"/>
      <c r="AU99" s="11602" t="n"/>
      <c r="AV99" s="11602" t="n"/>
      <c r="AW99" s="11602" t="n"/>
      <c r="AX99" s="11602" t="n"/>
      <c r="AY99" s="11602" t="n"/>
      <c r="AZ99" s="2014" t="n"/>
      <c r="BA99" s="11602" t="n"/>
      <c r="BB99" s="11602" t="n"/>
      <c r="BC99" s="12838" t="n"/>
      <c r="BD99" s="711" t="n"/>
      <c r="BE99" s="11602" t="n"/>
      <c r="BF99" s="3861" t="n"/>
      <c r="BG99" s="3861" t="n"/>
      <c r="BH99" s="11602" t="n"/>
      <c r="BI99" s="11602" t="n"/>
      <c r="BJ99" s="11602" t="n"/>
      <c r="BK99" s="11602" t="n"/>
      <c r="BL99" s="11602" t="n"/>
    </row>
    <row r="100" ht="12.75" customHeight="1" s="7635">
      <c r="A100" s="2013" t="n"/>
      <c r="B100" s="413" t="n"/>
      <c r="C100" s="413" t="n"/>
      <c r="D100" s="7637" t="n"/>
      <c r="E100" s="7637" t="n"/>
      <c r="F100" s="7637" t="n"/>
      <c r="G100" s="7637" t="n"/>
      <c r="H100" s="7637" t="n"/>
      <c r="I100" s="7638" t="n"/>
      <c r="J100" s="12849" t="n"/>
      <c r="K100" s="11717" t="n"/>
      <c r="L100" s="11717" t="n"/>
      <c r="M100" s="11717" t="n"/>
      <c r="N100" s="11717" t="n"/>
      <c r="O100" s="11717" t="n"/>
      <c r="P100" s="11717" t="n"/>
      <c r="Q100" s="11717" t="n"/>
      <c r="R100" s="11718" t="n"/>
      <c r="S100" s="12849" t="n"/>
      <c r="T100" s="11717" t="n"/>
      <c r="U100" s="11717" t="n"/>
      <c r="V100" s="11717" t="n"/>
      <c r="W100" s="11717" t="n"/>
      <c r="X100" s="11717" t="n"/>
      <c r="Y100" s="11717" t="n"/>
      <c r="Z100" s="11717" t="n"/>
      <c r="AA100" s="11718" t="n"/>
      <c r="AB100" s="11552" t="n"/>
      <c r="AC100" s="11717" t="n"/>
      <c r="AD100" s="11717" t="n"/>
      <c r="AE100" s="11717" t="n"/>
      <c r="AF100" s="11717" t="n"/>
      <c r="AG100" s="11717" t="n"/>
      <c r="AH100" s="11717" t="n"/>
      <c r="AI100" s="11717" t="n"/>
      <c r="AJ100" s="11717" t="n"/>
      <c r="AK100" s="2013" t="n"/>
      <c r="AL100" s="11602" t="n"/>
      <c r="AM100" s="11602" t="n"/>
      <c r="AN100" s="11602" t="n"/>
      <c r="AO100" s="11602" t="n"/>
      <c r="AP100" s="3854" t="n"/>
      <c r="AQ100" s="3854" t="n"/>
      <c r="AR100" s="11602" t="n"/>
      <c r="AS100" s="11602" t="n"/>
      <c r="AT100" s="11602" t="n"/>
      <c r="AU100" s="11602" t="n"/>
      <c r="AV100" s="11602" t="n"/>
      <c r="AW100" s="11602" t="n"/>
      <c r="AX100" s="11602" t="n"/>
      <c r="AY100" s="11602" t="n"/>
      <c r="AZ100" s="2014" t="n"/>
      <c r="BA100" s="11602" t="n"/>
      <c r="BB100" s="11602" t="n"/>
      <c r="BC100" s="12838" t="n"/>
      <c r="BD100" s="711" t="n"/>
      <c r="BE100" s="11602" t="n"/>
      <c r="BF100" s="3861" t="n"/>
      <c r="BG100" s="3861" t="n"/>
      <c r="BH100" s="11602" t="n"/>
      <c r="BI100" s="11602" t="n"/>
      <c r="BJ100" s="11602" t="n"/>
      <c r="BK100" s="11602" t="n"/>
      <c r="BL100" s="11602" t="n"/>
    </row>
    <row r="101" ht="15.75" customHeight="1" s="7635">
      <c r="A101" s="2013" t="n"/>
      <c r="B101" s="3879" t="inlineStr">
        <is>
          <t>Allocation 4</t>
        </is>
      </c>
      <c r="C101" s="413" t="n"/>
      <c r="D101" s="413" t="n"/>
      <c r="E101" s="413" t="n"/>
      <c r="F101" s="413" t="n"/>
      <c r="G101" s="413" t="n"/>
      <c r="H101" s="413" t="n"/>
      <c r="I101" s="413" t="n"/>
      <c r="J101" s="413" t="n"/>
      <c r="K101" s="413" t="n"/>
      <c r="L101" s="413" t="n"/>
      <c r="M101" s="413" t="n"/>
      <c r="N101" s="413" t="n"/>
      <c r="O101" s="413" t="n"/>
      <c r="P101" s="413" t="n"/>
      <c r="Q101" s="413" t="n"/>
      <c r="R101" s="413" t="n"/>
      <c r="S101" s="413" t="n"/>
      <c r="T101" s="413" t="n"/>
      <c r="U101" s="413" t="n"/>
      <c r="V101" s="413" t="n"/>
      <c r="W101" s="413" t="n"/>
      <c r="X101" s="413" t="n"/>
      <c r="Y101" s="413" t="n"/>
      <c r="Z101" s="413" t="n"/>
      <c r="AA101" s="413" t="n"/>
      <c r="AB101" s="413" t="n"/>
      <c r="AC101" s="413" t="n"/>
      <c r="AD101" s="413" t="n"/>
      <c r="AE101" s="413" t="n"/>
      <c r="AF101" s="413" t="n"/>
      <c r="AG101" s="413" t="n"/>
      <c r="AH101" s="413" t="n"/>
      <c r="AI101" s="413" t="n"/>
      <c r="AJ101" s="413" t="n"/>
      <c r="AK101" s="2013" t="n"/>
      <c r="AL101" s="11602" t="n"/>
      <c r="AM101" s="11602" t="n"/>
      <c r="AN101" s="11602" t="n"/>
      <c r="AO101" s="11602" t="n"/>
      <c r="AP101" s="3854" t="n"/>
      <c r="AQ101" s="3854" t="n"/>
      <c r="AR101" s="11602" t="n"/>
      <c r="AS101" s="11602" t="n"/>
      <c r="AT101" s="11602" t="n"/>
      <c r="AU101" s="11602" t="n"/>
      <c r="AV101" s="11602" t="n"/>
      <c r="AW101" s="11602" t="n"/>
      <c r="AX101" s="11602" t="n"/>
      <c r="AY101" s="11602" t="n"/>
      <c r="AZ101" s="2014" t="n"/>
      <c r="BA101" s="11602" t="n"/>
      <c r="BB101" s="11602" t="n"/>
      <c r="BC101" s="12838" t="n"/>
      <c r="BD101" s="711" t="n"/>
      <c r="BE101" s="11602" t="n"/>
      <c r="BF101" s="3861" t="n"/>
      <c r="BG101" s="3861" t="n"/>
      <c r="BH101" s="11602" t="n"/>
      <c r="BI101" s="11602" t="n"/>
      <c r="BJ101" s="11602" t="n"/>
      <c r="BK101" s="11602" t="n"/>
      <c r="BL101" s="11602" t="n"/>
    </row>
    <row r="102" ht="15" customHeight="1" s="7635">
      <c r="A102" s="2013" t="n"/>
      <c r="B102" s="3827" t="inlineStr">
        <is>
          <t>33</t>
        </is>
      </c>
      <c r="C102" s="11602" t="n"/>
      <c r="D102" s="8384" t="inlineStr">
        <is>
          <t>(a)</t>
        </is>
      </c>
      <c r="E102" s="2354" t="inlineStr">
        <is>
          <t>Policy Number (Form 1095-A, line 2)</t>
        </is>
      </c>
      <c r="F102" s="406" t="n"/>
      <c r="G102" s="406" t="n"/>
      <c r="H102" s="406" t="n"/>
      <c r="I102" s="406" t="n"/>
      <c r="J102" s="406" t="n"/>
      <c r="K102" s="406" t="n"/>
      <c r="L102" s="406" t="n"/>
      <c r="M102" s="407" t="n"/>
      <c r="N102" s="9764" t="inlineStr">
        <is>
          <t>(b)</t>
        </is>
      </c>
      <c r="O102" s="2354" t="inlineStr">
        <is>
          <t>SSN of other taxpayer</t>
        </is>
      </c>
      <c r="P102" s="406" t="n"/>
      <c r="Q102" s="406" t="n"/>
      <c r="R102" s="406" t="n"/>
      <c r="S102" s="406" t="n"/>
      <c r="T102" s="406" t="n"/>
      <c r="U102" s="406" t="n"/>
      <c r="V102" s="407" t="n"/>
      <c r="W102" s="9764" t="inlineStr">
        <is>
          <t>(c)</t>
        </is>
      </c>
      <c r="X102" s="406" t="inlineStr">
        <is>
          <t>Allocation start month</t>
        </is>
      </c>
      <c r="Y102" s="406" t="n"/>
      <c r="Z102" s="406" t="n"/>
      <c r="AA102" s="406" t="n"/>
      <c r="AB102" s="406" t="n"/>
      <c r="AC102" s="407" t="n"/>
      <c r="AD102" s="9764" t="inlineStr">
        <is>
          <t>(d)</t>
        </is>
      </c>
      <c r="AE102" s="406" t="inlineStr">
        <is>
          <t>Allocation stop month</t>
        </is>
      </c>
      <c r="AF102" s="406" t="n"/>
      <c r="AG102" s="406" t="n"/>
      <c r="AH102" s="406" t="n"/>
      <c r="AI102" s="406" t="n"/>
      <c r="AJ102" s="406" t="n"/>
      <c r="AK102" s="2013" t="n"/>
      <c r="AL102" s="11602" t="n"/>
      <c r="AM102" s="11602" t="n"/>
      <c r="AN102" s="11602" t="n"/>
      <c r="AO102" s="11602" t="n"/>
      <c r="AP102" s="3854" t="n"/>
      <c r="AQ102" s="3854" t="n"/>
      <c r="AR102" s="11602" t="n"/>
      <c r="AS102" s="11602" t="n"/>
      <c r="AT102" s="11602" t="n"/>
      <c r="AU102" s="11602" t="n"/>
      <c r="AV102" s="11602" t="n"/>
      <c r="AW102" s="11602" t="n"/>
      <c r="AX102" s="11602" t="n"/>
      <c r="AY102" s="11602" t="n"/>
      <c r="AZ102" s="2014" t="n"/>
      <c r="BA102" s="11602" t="n"/>
      <c r="BB102" s="11602" t="n"/>
      <c r="BC102" s="12838" t="n"/>
      <c r="BD102" s="711" t="n"/>
      <c r="BE102" s="11602" t="n"/>
      <c r="BF102" s="3861" t="n"/>
      <c r="BG102" s="3861" t="n"/>
      <c r="BH102" s="11602" t="n"/>
      <c r="BI102" s="11602" t="n"/>
      <c r="BJ102" s="11602" t="n"/>
      <c r="BK102" s="11602" t="n"/>
      <c r="BL102" s="11602" t="n"/>
    </row>
    <row r="103" ht="18" customHeight="1" s="7635">
      <c r="A103" s="2013" t="n"/>
      <c r="B103" s="3827" t="n"/>
      <c r="D103" s="12850" t="n"/>
      <c r="E103" s="11717" t="n"/>
      <c r="F103" s="11717" t="n"/>
      <c r="G103" s="11717" t="n"/>
      <c r="H103" s="11717" t="n"/>
      <c r="I103" s="11717" t="n"/>
      <c r="J103" s="11717" t="n"/>
      <c r="K103" s="11717" t="n"/>
      <c r="L103" s="11717" t="n"/>
      <c r="M103" s="11718" t="n"/>
      <c r="N103" s="12844" t="n"/>
      <c r="O103" s="11717" t="n"/>
      <c r="P103" s="11717" t="n"/>
      <c r="Q103" s="11717" t="n"/>
      <c r="R103" s="11717" t="n"/>
      <c r="S103" s="11717" t="n"/>
      <c r="T103" s="11717" t="n"/>
      <c r="U103" s="11717" t="n"/>
      <c r="V103" s="11718" t="n"/>
      <c r="W103" s="12851" t="n"/>
      <c r="X103" s="11717" t="n"/>
      <c r="Y103" s="11717" t="n"/>
      <c r="Z103" s="11717" t="n"/>
      <c r="AA103" s="11717" t="n"/>
      <c r="AB103" s="11717" t="n"/>
      <c r="AC103" s="11717" t="n"/>
      <c r="AD103" s="12845" t="n"/>
      <c r="AE103" s="11717" t="n"/>
      <c r="AF103" s="11717" t="n"/>
      <c r="AG103" s="11717" t="n"/>
      <c r="AH103" s="11717" t="n"/>
      <c r="AI103" s="11717" t="n"/>
      <c r="AJ103" s="11717" t="n"/>
      <c r="AK103" s="2013" t="n"/>
      <c r="AL103" s="11602" t="n"/>
      <c r="AM103" s="11602" t="n"/>
      <c r="AN103" s="11602" t="n"/>
      <c r="AO103" s="11602" t="n"/>
      <c r="AP103" s="3854" t="n"/>
      <c r="AQ103" s="3854" t="n"/>
      <c r="AR103" s="11602" t="n"/>
      <c r="AS103" s="11602" t="n"/>
      <c r="AT103" s="11602" t="n"/>
      <c r="AU103" s="11602" t="n"/>
      <c r="AV103" s="11602" t="n"/>
      <c r="AW103" s="11602" t="n"/>
      <c r="AX103" s="11602" t="n"/>
      <c r="AY103" s="11602" t="n"/>
      <c r="AZ103" s="2014" t="n"/>
      <c r="BA103" s="11602" t="n"/>
      <c r="BB103" s="11602" t="n"/>
      <c r="BC103" s="12838" t="n"/>
      <c r="BD103" s="711" t="n"/>
      <c r="BE103" s="11602" t="n"/>
      <c r="BF103" s="3861" t="n"/>
      <c r="BG103" s="3861" t="n"/>
      <c r="BH103" s="11602" t="n"/>
      <c r="BI103" s="11602" t="n"/>
      <c r="BJ103" s="11602" t="n"/>
      <c r="BK103" s="11602" t="n"/>
      <c r="BL103" s="11602" t="n"/>
    </row>
    <row r="104">
      <c r="A104" s="2013" t="n"/>
      <c r="B104" s="11602" t="n"/>
      <c r="C104" s="11602" t="n"/>
      <c r="D104" s="12846" t="inlineStr">
        <is>
          <t>Allocation percentage 
applied to monthly 
amounts</t>
        </is>
      </c>
      <c r="E104" s="7839" t="n"/>
      <c r="F104" s="7839" t="n"/>
      <c r="G104" s="7839" t="n"/>
      <c r="H104" s="7839" t="n"/>
      <c r="I104" s="10091" t="n"/>
      <c r="J104" s="12847" t="inlineStr">
        <is>
          <t>(e) Premium Percentage</t>
        </is>
      </c>
      <c r="K104" s="7839" t="n"/>
      <c r="L104" s="7839" t="n"/>
      <c r="M104" s="7839" t="n"/>
      <c r="N104" s="7839" t="n"/>
      <c r="O104" s="7839" t="n"/>
      <c r="P104" s="7839" t="n"/>
      <c r="Q104" s="7839" t="n"/>
      <c r="R104" s="10091" t="n"/>
      <c r="S104" s="12847" t="inlineStr">
        <is>
          <t>(f) SLCSP Percentage</t>
        </is>
      </c>
      <c r="T104" s="7839" t="n"/>
      <c r="U104" s="7839" t="n"/>
      <c r="V104" s="7839" t="n"/>
      <c r="W104" s="7839" t="n"/>
      <c r="X104" s="7839" t="n"/>
      <c r="Y104" s="7839" t="n"/>
      <c r="Z104" s="7839" t="n"/>
      <c r="AA104" s="10091" t="n"/>
      <c r="AB104" s="11550" t="inlineStr">
        <is>
          <t>(g) Advance Payment of the PTC
Percentage</t>
        </is>
      </c>
      <c r="AC104" s="7839" t="n"/>
      <c r="AD104" s="7839" t="n"/>
      <c r="AE104" s="7839" t="n"/>
      <c r="AF104" s="7839" t="n"/>
      <c r="AG104" s="7839" t="n"/>
      <c r="AH104" s="7839" t="n"/>
      <c r="AI104" s="7839" t="n"/>
      <c r="AJ104" s="7839" t="n"/>
      <c r="AK104" s="2013" t="n"/>
      <c r="AL104" s="11602" t="n"/>
      <c r="AM104" s="11602" t="n"/>
      <c r="AN104" s="11602" t="n"/>
      <c r="AO104" s="11602" t="n"/>
      <c r="AP104" s="3854" t="n"/>
      <c r="AQ104" s="3854" t="n"/>
      <c r="AR104" s="11602" t="n"/>
      <c r="AS104" s="11602" t="n"/>
      <c r="AT104" s="11602" t="n"/>
      <c r="AU104" s="11602" t="n"/>
      <c r="AV104" s="11602" t="n"/>
      <c r="AW104" s="11602" t="n"/>
      <c r="AX104" s="11602" t="n"/>
      <c r="AY104" s="11602" t="n"/>
      <c r="AZ104" s="2014" t="n"/>
      <c r="BA104" s="11602" t="n"/>
      <c r="BB104" s="11602" t="n"/>
      <c r="BC104" s="12838" t="n"/>
      <c r="BD104" s="711" t="n"/>
      <c r="BE104" s="11602" t="n"/>
      <c r="BF104" s="3861" t="n"/>
      <c r="BG104" s="3861" t="n"/>
      <c r="BH104" s="11602" t="n"/>
      <c r="BI104" s="11602" t="n"/>
      <c r="BJ104" s="11602" t="n"/>
      <c r="BK104" s="11602" t="n"/>
      <c r="BL104" s="11602" t="n"/>
    </row>
    <row r="105" ht="16.5" customHeight="1" s="7635">
      <c r="A105" s="2013" t="n"/>
      <c r="B105" s="11602" t="n"/>
      <c r="C105" s="11602" t="n"/>
      <c r="I105" s="7636" t="n"/>
      <c r="J105" s="4772" t="n"/>
      <c r="R105" s="7636" t="n"/>
      <c r="S105" s="4772" t="n"/>
      <c r="AA105" s="7636" t="n"/>
      <c r="AB105" s="4772" t="n"/>
      <c r="AK105" s="2013" t="n"/>
      <c r="AL105" s="11602" t="n"/>
      <c r="AM105" s="11602" t="n"/>
      <c r="AN105" s="11602" t="n"/>
      <c r="AO105" s="11602" t="n"/>
      <c r="AP105" s="3854" t="n"/>
      <c r="AQ105" s="3854" t="n"/>
      <c r="AR105" s="11602" t="n"/>
      <c r="AS105" s="11602" t="n"/>
      <c r="AT105" s="11602" t="n"/>
      <c r="AU105" s="11602" t="n"/>
      <c r="AV105" s="11602" t="n"/>
      <c r="AW105" s="11602" t="n"/>
      <c r="AX105" s="11602" t="n"/>
      <c r="AY105" s="11602" t="n"/>
      <c r="AZ105" s="2014" t="n"/>
      <c r="BA105" s="11602" t="n"/>
      <c r="BB105" s="11602" t="n"/>
      <c r="BC105" s="12838" t="n"/>
      <c r="BD105" s="711" t="n"/>
      <c r="BE105" s="11602" t="n"/>
      <c r="BF105" s="3861" t="n"/>
      <c r="BG105" s="3861" t="n"/>
      <c r="BH105" s="11602" t="n"/>
      <c r="BI105" s="11602" t="n"/>
      <c r="BJ105" s="11602" t="n"/>
      <c r="BK105" s="11602" t="n"/>
      <c r="BL105" s="11602" t="n"/>
    </row>
    <row r="106" ht="21" customFormat="1" customHeight="1" s="9864">
      <c r="A106" s="2013" t="n"/>
      <c r="B106" s="11602" t="n"/>
      <c r="C106" s="11602" t="n"/>
      <c r="I106" s="7636" t="n"/>
      <c r="J106" s="4772" t="n"/>
      <c r="R106" s="7636" t="n"/>
      <c r="S106" s="4772" t="n"/>
      <c r="AA106" s="7636" t="n"/>
      <c r="AB106" s="4772" t="n"/>
      <c r="AK106" s="2013" t="n"/>
      <c r="AL106" s="11602" t="n"/>
      <c r="AM106" s="11602" t="n"/>
      <c r="AN106" s="11602" t="n"/>
      <c r="AO106" s="11602" t="n"/>
      <c r="AP106" s="3854" t="n"/>
      <c r="AQ106" s="3854" t="n"/>
      <c r="AR106" s="11602" t="n"/>
      <c r="AS106" s="11602" t="n"/>
      <c r="AT106" s="11602" t="n"/>
      <c r="AU106" s="11602" t="n"/>
      <c r="AV106" s="11602" t="n"/>
      <c r="AW106" s="11602" t="n"/>
      <c r="AX106" s="11602" t="n"/>
      <c r="AY106" s="11602" t="n"/>
      <c r="AZ106" s="2014" t="n"/>
      <c r="BA106" s="11602" t="n"/>
      <c r="BB106" s="11602" t="n"/>
      <c r="BC106" s="12838" t="n"/>
      <c r="BD106" s="711" t="n"/>
      <c r="BE106" s="11602" t="n"/>
      <c r="BF106" s="3861" t="n"/>
      <c r="BG106" s="3861" t="n"/>
      <c r="BH106" s="11602" t="n"/>
      <c r="BI106" s="11602" t="n"/>
      <c r="BJ106" s="11602" t="n"/>
      <c r="BK106" s="11602" t="n"/>
      <c r="BL106" s="411" t="n"/>
      <c r="BM106" s="12104" t="n"/>
      <c r="BN106" s="665" t="n"/>
      <c r="BO106" s="665" t="n"/>
      <c r="BP106" s="665" t="n"/>
      <c r="BQ106" s="665" t="n"/>
      <c r="BR106" s="665" t="n"/>
      <c r="BS106" s="665" t="n"/>
      <c r="BT106" s="665" t="n"/>
      <c r="BU106" s="665" t="n"/>
    </row>
    <row r="107">
      <c r="A107" s="2013" t="n"/>
      <c r="B107" s="11602" t="n"/>
      <c r="C107" s="11602" t="n"/>
      <c r="I107" s="7636" t="n"/>
      <c r="J107" s="4772" t="n"/>
      <c r="R107" s="7636" t="n"/>
      <c r="S107" s="4772" t="n"/>
      <c r="AA107" s="7636" t="n"/>
      <c r="AB107" s="4772" t="n"/>
      <c r="AK107" s="2013" t="n"/>
      <c r="AL107" s="11602" t="n"/>
      <c r="AM107" s="11602" t="n"/>
      <c r="AN107" s="11602" t="n"/>
      <c r="AO107" s="11602" t="n"/>
      <c r="AP107" s="3854" t="n"/>
      <c r="AQ107" s="3854" t="n"/>
      <c r="AR107" s="411" t="n"/>
      <c r="AS107" s="411" t="n"/>
      <c r="AT107" s="411" t="n"/>
      <c r="AU107" s="411" t="n"/>
      <c r="AV107" s="411" t="n"/>
      <c r="AW107" s="411" t="n"/>
      <c r="AX107" s="411" t="n"/>
      <c r="AY107" s="411" t="n"/>
      <c r="AZ107" s="3924" t="n"/>
      <c r="BA107" s="11602" t="n"/>
      <c r="BB107" s="11602" t="n"/>
      <c r="BC107" s="12838" t="n"/>
      <c r="BD107" s="711" t="n"/>
      <c r="BE107" s="11602" t="n"/>
      <c r="BF107" s="3861" t="n"/>
      <c r="BG107" s="3861" t="n"/>
      <c r="BH107" s="11602" t="n"/>
      <c r="BI107" s="11602" t="n"/>
      <c r="BJ107" s="11602" t="n"/>
      <c r="BK107" s="11602" t="n"/>
      <c r="BL107" s="11602" t="n"/>
    </row>
    <row r="108" ht="12.75" customHeight="1" s="7635">
      <c r="A108" s="2013" t="n"/>
      <c r="B108" s="413" t="n"/>
      <c r="C108" s="413" t="n"/>
      <c r="D108" s="7637" t="n"/>
      <c r="E108" s="7637" t="n"/>
      <c r="F108" s="7637" t="n"/>
      <c r="G108" s="7637" t="n"/>
      <c r="H108" s="7637" t="n"/>
      <c r="I108" s="7638" t="n"/>
      <c r="J108" s="12849" t="n"/>
      <c r="K108" s="11717" t="n"/>
      <c r="L108" s="11717" t="n"/>
      <c r="M108" s="11717" t="n"/>
      <c r="N108" s="11717" t="n"/>
      <c r="O108" s="11717" t="n"/>
      <c r="P108" s="11717" t="n"/>
      <c r="Q108" s="11717" t="n"/>
      <c r="R108" s="11718" t="n"/>
      <c r="S108" s="12849" t="n"/>
      <c r="T108" s="11717" t="n"/>
      <c r="U108" s="11717" t="n"/>
      <c r="V108" s="11717" t="n"/>
      <c r="W108" s="11717" t="n"/>
      <c r="X108" s="11717" t="n"/>
      <c r="Y108" s="11717" t="n"/>
      <c r="Z108" s="11717" t="n"/>
      <c r="AA108" s="11718" t="n"/>
      <c r="AB108" s="11552" t="n"/>
      <c r="AC108" s="11717" t="n"/>
      <c r="AD108" s="11717" t="n"/>
      <c r="AE108" s="11717" t="n"/>
      <c r="AF108" s="11717" t="n"/>
      <c r="AG108" s="11717" t="n"/>
      <c r="AH108" s="11717" t="n"/>
      <c r="AI108" s="11717" t="n"/>
      <c r="AJ108" s="11717" t="n"/>
      <c r="AK108" s="2013" t="n"/>
      <c r="AL108" s="11602" t="n"/>
      <c r="AM108" s="11602" t="n"/>
      <c r="AN108" s="11602" t="n"/>
      <c r="AO108" s="11602" t="n"/>
      <c r="AP108" s="3854" t="n"/>
      <c r="AQ108" s="3854" t="n"/>
      <c r="AR108" s="11602" t="n"/>
      <c r="AS108" s="11602" t="n"/>
      <c r="AT108" s="11602" t="n"/>
      <c r="AU108" s="11602" t="n"/>
      <c r="AV108" s="11602" t="n"/>
      <c r="AW108" s="11602" t="n"/>
      <c r="AX108" s="11602" t="n"/>
      <c r="AY108" s="11602" t="n"/>
      <c r="AZ108" s="2014" t="n"/>
      <c r="BA108" s="411" t="n"/>
      <c r="BB108" s="411" t="n"/>
      <c r="BC108" s="12852" t="n"/>
      <c r="BD108" s="711" t="n"/>
      <c r="BE108" s="411" t="n"/>
      <c r="BF108" s="3861" t="n"/>
      <c r="BG108" s="3861" t="n"/>
      <c r="BH108" s="411" t="n"/>
      <c r="BI108" s="411" t="n"/>
      <c r="BJ108" s="411" t="n"/>
      <c r="BK108" s="411" t="n"/>
      <c r="BL108" s="11602" t="n"/>
    </row>
    <row r="109" ht="19.5" customHeight="1" s="7635">
      <c r="A109" s="2306" t="n"/>
      <c r="B109" s="9828" t="inlineStr">
        <is>
          <t>34</t>
        </is>
      </c>
      <c r="C109" s="1672" t="inlineStr">
        <is>
          <t>Have you completed all policy amount allocations?</t>
        </is>
      </c>
      <c r="D109" s="411" t="n"/>
      <c r="E109" s="411" t="n"/>
      <c r="F109" s="411" t="n"/>
      <c r="G109" s="411" t="n"/>
      <c r="H109" s="411" t="n"/>
      <c r="I109" s="411" t="n"/>
      <c r="J109" s="411" t="n"/>
      <c r="K109" s="411" t="n"/>
      <c r="L109" s="411" t="n"/>
      <c r="M109" s="411" t="n"/>
      <c r="N109" s="411" t="n"/>
      <c r="O109" s="411" t="n"/>
      <c r="P109" s="411" t="n"/>
      <c r="Q109" s="411" t="n"/>
      <c r="R109" s="411" t="n"/>
      <c r="S109" s="411" t="n"/>
      <c r="T109" s="411" t="n"/>
      <c r="U109" s="411" t="n"/>
      <c r="V109" s="411" t="n"/>
      <c r="W109" s="411" t="n"/>
      <c r="X109" s="411" t="n"/>
      <c r="Y109" s="411" t="n"/>
      <c r="Z109" s="411" t="n"/>
      <c r="AA109" s="411" t="n"/>
      <c r="AB109" s="411" t="n"/>
      <c r="AC109" s="411" t="n"/>
      <c r="AD109" s="411" t="n"/>
      <c r="AE109" s="411" t="n"/>
      <c r="AF109" s="411" t="n"/>
      <c r="AG109" s="411" t="n"/>
      <c r="AH109" s="411" t="n"/>
      <c r="AI109" s="411" t="n"/>
      <c r="AJ109" s="411" t="n"/>
      <c r="AK109" s="2306" t="n"/>
      <c r="AL109" s="11602" t="n"/>
      <c r="AM109" s="11602" t="n"/>
      <c r="AN109" s="11602" t="n"/>
      <c r="AO109" s="411" t="n"/>
      <c r="AP109" s="3854" t="n"/>
      <c r="AQ109" s="3854" t="n"/>
      <c r="AR109" s="11602" t="n"/>
      <c r="AS109" s="11602" t="n"/>
      <c r="AT109" s="11602" t="n"/>
      <c r="AU109" s="11602" t="n"/>
      <c r="AV109" s="11602" t="n"/>
      <c r="AW109" s="11602" t="n"/>
      <c r="AX109" s="11602" t="n"/>
      <c r="AY109" s="11602" t="n"/>
      <c r="AZ109" s="2014" t="n"/>
      <c r="BA109" s="11602" t="n"/>
      <c r="BB109" s="11602" t="n"/>
      <c r="BC109" s="12838" t="n"/>
      <c r="BD109" s="711" t="n"/>
      <c r="BE109" s="11602" t="n"/>
      <c r="BF109" s="3861" t="n"/>
      <c r="BG109" s="3861" t="n"/>
      <c r="BH109" s="11602" t="n"/>
      <c r="BI109" s="11602" t="n"/>
      <c r="BJ109" s="11602" t="n"/>
      <c r="BK109" s="11602" t="n"/>
      <c r="BL109" s="11602" t="n"/>
    </row>
    <row r="110" ht="15.75" customHeight="1" s="7635">
      <c r="A110" s="2013" t="n"/>
      <c r="B110" s="11602" t="n"/>
      <c r="C110" s="384" t="n"/>
      <c r="D110" s="810" t="inlineStr">
        <is>
          <t>Yes.</t>
        </is>
      </c>
      <c r="E110" s="11602" t="n"/>
      <c r="F110" s="8650" t="inlineStr">
        <is>
          <t>Multiply the amounts on Form 1095-A by the allocation percentages entered by policy. Add all allocated policy amounts and non-</t>
        </is>
      </c>
      <c r="G110" s="11602" t="n"/>
      <c r="H110" s="11602" t="n"/>
      <c r="I110" s="11602" t="n"/>
      <c r="J110" s="11602" t="n"/>
      <c r="K110" s="11602" t="n"/>
      <c r="L110" s="11602" t="n"/>
      <c r="M110" s="11602" t="n"/>
      <c r="N110" s="11602" t="n"/>
      <c r="O110" s="11602" t="n"/>
      <c r="P110" s="11602" t="n"/>
      <c r="Q110" s="11602" t="n"/>
      <c r="R110" s="11602" t="n"/>
      <c r="S110" s="11602" t="n"/>
      <c r="T110" s="11602" t="n"/>
      <c r="U110" s="11602" t="n"/>
      <c r="V110" s="11602" t="n"/>
      <c r="W110" s="11602" t="n"/>
      <c r="X110" s="11602" t="n"/>
      <c r="Y110" s="11602" t="n"/>
      <c r="Z110" s="11602" t="n"/>
      <c r="AA110" s="11602" t="n"/>
      <c r="AB110" s="11602" t="n"/>
      <c r="AC110" s="11602" t="n"/>
      <c r="AD110" s="11602" t="n"/>
      <c r="AE110" s="11602" t="n"/>
      <c r="AF110" s="11602" t="n"/>
      <c r="AG110" s="11602" t="n"/>
      <c r="AH110" s="11602" t="n"/>
      <c r="AI110" s="11602" t="n"/>
      <c r="AJ110" s="11602" t="n"/>
      <c r="AK110" s="2013" t="n"/>
      <c r="AL110" s="411" t="n"/>
      <c r="AM110" s="411" t="n"/>
      <c r="AN110" s="411" t="n"/>
      <c r="AO110" s="11602" t="n"/>
      <c r="AP110" s="3854" t="n"/>
      <c r="AQ110" s="3854" t="n"/>
      <c r="AR110" s="11602" t="n"/>
      <c r="AS110" s="11602" t="n"/>
      <c r="AT110" s="11602" t="n"/>
      <c r="AU110" s="11602" t="n"/>
      <c r="AV110" s="11602" t="n"/>
      <c r="AW110" s="11602" t="n"/>
      <c r="AX110" s="11602" t="n"/>
      <c r="AY110" s="11602" t="n"/>
      <c r="AZ110" s="2014" t="n"/>
      <c r="BA110" s="11602" t="n"/>
      <c r="BB110" s="11602" t="n"/>
      <c r="BC110" s="12838" t="n"/>
      <c r="BD110" s="711" t="n"/>
      <c r="BE110" s="11602" t="n"/>
      <c r="BF110" s="3861" t="n"/>
      <c r="BG110" s="3861" t="n"/>
      <c r="BH110" s="11602" t="n"/>
      <c r="BI110" s="11602" t="n"/>
      <c r="BJ110" s="11602" t="n"/>
      <c r="BK110" s="11602" t="n"/>
      <c r="BL110" s="11602" t="n"/>
    </row>
    <row r="111" ht="18" customHeight="1" s="7635">
      <c r="A111" s="2013" t="n"/>
      <c r="B111" s="11602" t="n"/>
      <c r="C111" s="8650" t="inlineStr">
        <is>
          <t>allocated policy amounts from Forms 1095-A, if any, to compute a combined total for each month. Enter the combined total for each month</t>
        </is>
      </c>
      <c r="D111" s="11602" t="n"/>
      <c r="E111" s="11602" t="n"/>
      <c r="F111" s="11602" t="n"/>
      <c r="G111" s="11602" t="n"/>
      <c r="H111" s="11602" t="n"/>
      <c r="I111" s="11602" t="n"/>
      <c r="J111" s="11602" t="n"/>
      <c r="K111" s="11602" t="n"/>
      <c r="L111" s="11602" t="n"/>
      <c r="M111" s="11602" t="n"/>
      <c r="N111" s="11602" t="n"/>
      <c r="O111" s="11602" t="n"/>
      <c r="P111" s="11602" t="n"/>
      <c r="Q111" s="11602" t="n"/>
      <c r="R111" s="11602" t="n"/>
      <c r="S111" s="11602" t="n"/>
      <c r="T111" s="11602" t="n"/>
      <c r="U111" s="11602" t="n"/>
      <c r="V111" s="11602" t="n"/>
      <c r="W111" s="11602" t="n"/>
      <c r="X111" s="11602" t="n"/>
      <c r="Y111" s="11602" t="n"/>
      <c r="Z111" s="11602" t="n"/>
      <c r="AA111" s="11602" t="n"/>
      <c r="AB111" s="11602" t="n"/>
      <c r="AC111" s="11602" t="n"/>
      <c r="AD111" s="11602" t="n"/>
      <c r="AE111" s="11602" t="n"/>
      <c r="AF111" s="11602" t="n"/>
      <c r="AG111" s="11602" t="n"/>
      <c r="AH111" s="11602" t="n"/>
      <c r="AI111" s="11602" t="n"/>
      <c r="AJ111" s="11602" t="n"/>
      <c r="AK111" s="2013" t="n"/>
      <c r="AL111" s="11602" t="n"/>
      <c r="AM111" s="11602" t="n"/>
      <c r="AN111" s="11602" t="n"/>
      <c r="AO111" s="11602" t="n"/>
      <c r="AP111" s="11602" t="n"/>
      <c r="AQ111" s="11602" t="n"/>
      <c r="AR111" s="11602" t="n"/>
      <c r="AS111" s="11602" t="n"/>
      <c r="AT111" s="11602" t="n"/>
      <c r="AU111" s="11602" t="n"/>
      <c r="AV111" s="11602" t="n"/>
      <c r="AW111" s="11602" t="n"/>
      <c r="AX111" s="11602" t="n"/>
      <c r="AY111" s="11602" t="n"/>
      <c r="AZ111" s="2014" t="n"/>
      <c r="BA111" s="11602" t="n"/>
      <c r="BB111" s="11602" t="n"/>
      <c r="BC111" s="12838" t="n"/>
      <c r="BD111" s="711" t="n"/>
      <c r="BE111" s="11602" t="n"/>
      <c r="BF111" s="3861" t="n"/>
      <c r="BG111" s="3861" t="n"/>
      <c r="BH111" s="11602" t="n"/>
      <c r="BI111" s="11602" t="n"/>
      <c r="BJ111" s="11602" t="n"/>
      <c r="BK111" s="11602" t="n"/>
      <c r="BL111" s="11602" t="n"/>
    </row>
    <row r="112" ht="14.25" customHeight="1" s="7635">
      <c r="A112" s="2013" t="n"/>
      <c r="B112" s="11602" t="n"/>
      <c r="C112" s="8650" t="inlineStr">
        <is>
          <t>on lines 12–23, columns (a), (b), and (f). Compute the amounts for lines 12–23, columns (c)–(e), and continue to line 24.</t>
        </is>
      </c>
      <c r="D112" s="11602" t="n"/>
      <c r="E112" s="11602" t="n"/>
      <c r="F112" s="11602" t="n"/>
      <c r="G112" s="11602" t="n"/>
      <c r="H112" s="11602" t="n"/>
      <c r="I112" s="11602" t="n"/>
      <c r="J112" s="11602" t="n"/>
      <c r="K112" s="11602" t="n"/>
      <c r="L112" s="11602" t="n"/>
      <c r="M112" s="11602" t="n"/>
      <c r="N112" s="11602" t="n"/>
      <c r="O112" s="11602" t="n"/>
      <c r="P112" s="11602" t="n"/>
      <c r="Q112" s="11602" t="n"/>
      <c r="R112" s="11602" t="n"/>
      <c r="S112" s="11602" t="n"/>
      <c r="T112" s="11602" t="n"/>
      <c r="U112" s="11602" t="n"/>
      <c r="V112" s="11602" t="n"/>
      <c r="W112" s="11602" t="n"/>
      <c r="X112" s="11602" t="n"/>
      <c r="Y112" s="11602" t="n"/>
      <c r="Z112" s="11602" t="n"/>
      <c r="AA112" s="11602" t="n"/>
      <c r="AB112" s="11602" t="n"/>
      <c r="AC112" s="11602" t="n"/>
      <c r="AD112" s="11602" t="n"/>
      <c r="AE112" s="11602" t="n"/>
      <c r="AF112" s="11602" t="n"/>
      <c r="AG112" s="11602" t="n"/>
      <c r="AH112" s="11602" t="n"/>
      <c r="AI112" s="11602" t="n"/>
      <c r="AJ112" s="11602" t="n"/>
      <c r="AK112" s="2013" t="n"/>
      <c r="AL112" s="11602" t="n"/>
      <c r="AM112" s="11602" t="n"/>
      <c r="AN112" s="11602" t="n"/>
      <c r="AO112" s="11602" t="n"/>
      <c r="AP112" s="11602" t="n"/>
      <c r="AQ112" s="11602" t="n"/>
      <c r="AR112" s="11602" t="n"/>
      <c r="AS112" s="11602" t="n"/>
      <c r="AT112" s="11602" t="n"/>
      <c r="AU112" s="11602" t="n"/>
      <c r="AV112" s="11602" t="n"/>
      <c r="AW112" s="11602" t="n"/>
      <c r="AX112" s="11602" t="n"/>
      <c r="AY112" s="11602" t="n"/>
      <c r="AZ112" s="2014" t="n"/>
      <c r="BA112" s="11602" t="n"/>
      <c r="BB112" s="11602" t="n"/>
      <c r="BC112" s="12838" t="n"/>
      <c r="BD112" s="711" t="n"/>
      <c r="BE112" s="11602" t="n"/>
      <c r="BF112" s="3861" t="n"/>
      <c r="BG112" s="3861" t="n"/>
      <c r="BH112" s="11602" t="n"/>
      <c r="BI112" s="11602" t="n"/>
      <c r="BJ112" s="11602" t="n"/>
      <c r="BK112" s="11602" t="n"/>
      <c r="BL112" s="11602" t="n"/>
    </row>
    <row r="113" ht="9" customHeight="1" s="7635">
      <c r="A113" s="2013" t="n"/>
      <c r="B113" s="11602" t="n"/>
      <c r="C113" s="11602" t="n"/>
      <c r="D113" s="11602" t="n"/>
      <c r="E113" s="11602" t="n"/>
      <c r="F113" s="11602" t="n"/>
      <c r="G113" s="11602" t="n"/>
      <c r="H113" s="11602" t="n"/>
      <c r="I113" s="11602" t="n"/>
      <c r="J113" s="11602" t="n"/>
      <c r="K113" s="11602" t="n"/>
      <c r="L113" s="11602" t="n"/>
      <c r="M113" s="11602" t="n"/>
      <c r="N113" s="11602" t="n"/>
      <c r="O113" s="11602" t="n"/>
      <c r="P113" s="11602" t="n"/>
      <c r="Q113" s="11602" t="n"/>
      <c r="R113" s="11602" t="n"/>
      <c r="S113" s="11602" t="n"/>
      <c r="T113" s="11602" t="n"/>
      <c r="U113" s="11602" t="n"/>
      <c r="V113" s="11602" t="n"/>
      <c r="W113" s="11602" t="n"/>
      <c r="X113" s="11602" t="n"/>
      <c r="Y113" s="11602" t="n"/>
      <c r="Z113" s="11602" t="n"/>
      <c r="AA113" s="11602" t="n"/>
      <c r="AB113" s="11602" t="n"/>
      <c r="AC113" s="11602" t="n"/>
      <c r="AD113" s="11602" t="n"/>
      <c r="AE113" s="11602" t="n"/>
      <c r="AF113" s="11602" t="n"/>
      <c r="AG113" s="11602" t="n"/>
      <c r="AH113" s="11602" t="n"/>
      <c r="AI113" s="11602" t="n"/>
      <c r="AJ113" s="11602" t="n"/>
      <c r="AK113" s="2013" t="n"/>
      <c r="AL113" s="11602" t="n"/>
      <c r="AM113" s="11602" t="n"/>
      <c r="AN113" s="11602" t="n"/>
      <c r="AO113" s="11602" t="n"/>
      <c r="AP113" s="11602" t="n"/>
      <c r="AQ113" s="11602" t="n"/>
      <c r="AR113" s="11602" t="n"/>
      <c r="AS113" s="11602" t="n"/>
      <c r="AT113" s="11602" t="n"/>
      <c r="AU113" s="11602" t="n"/>
      <c r="AV113" s="11602" t="n"/>
      <c r="AW113" s="11602" t="n"/>
      <c r="AX113" s="11602" t="n"/>
      <c r="AY113" s="11602" t="n"/>
      <c r="AZ113" s="2014" t="n"/>
      <c r="BA113" s="11602" t="n"/>
      <c r="BB113" s="11602" t="n"/>
      <c r="BC113" s="12838" t="n"/>
      <c r="BD113" s="711" t="n"/>
      <c r="BE113" s="11602" t="n"/>
      <c r="BF113" s="3861" t="n"/>
      <c r="BG113" s="3861" t="n"/>
      <c r="BH113" s="11602" t="n"/>
      <c r="BI113" s="11602" t="n"/>
      <c r="BJ113" s="11602" t="n"/>
      <c r="BK113" s="11602" t="n"/>
      <c r="BL113" s="11602" t="n"/>
    </row>
    <row r="114" ht="15.75" customHeight="1" s="7635">
      <c r="A114" s="2013" t="n"/>
      <c r="B114" s="11602" t="n"/>
      <c r="C114" s="384" t="n"/>
      <c r="D114" s="810" t="inlineStr">
        <is>
          <t>No.</t>
        </is>
      </c>
      <c r="E114" s="11602" t="n"/>
      <c r="F114" s="8650" t="inlineStr">
        <is>
          <t>See the instructions to report additional policy amount allocations.</t>
        </is>
      </c>
      <c r="G114" s="11602" t="n"/>
      <c r="H114" s="11602" t="n"/>
      <c r="I114" s="11602" t="n"/>
      <c r="J114" s="11602" t="n"/>
      <c r="K114" s="11602" t="n"/>
      <c r="L114" s="11602" t="n"/>
      <c r="M114" s="11602" t="n"/>
      <c r="N114" s="11602" t="n"/>
      <c r="O114" s="11602" t="n"/>
      <c r="P114" s="11602" t="n"/>
      <c r="Q114" s="11602" t="n"/>
      <c r="R114" s="11602" t="n"/>
      <c r="S114" s="11602" t="n"/>
      <c r="T114" s="11602" t="n"/>
      <c r="U114" s="11602" t="n"/>
      <c r="V114" s="11602" t="n"/>
      <c r="W114" s="11602" t="n"/>
      <c r="X114" s="11602" t="n"/>
      <c r="Y114" s="11602" t="n"/>
      <c r="Z114" s="11602" t="n"/>
      <c r="AA114" s="11602" t="n"/>
      <c r="AB114" s="11602" t="n"/>
      <c r="AC114" s="11602" t="n"/>
      <c r="AD114" s="11602" t="n"/>
      <c r="AE114" s="11602" t="n"/>
      <c r="AF114" s="11602" t="n"/>
      <c r="AG114" s="11602" t="n"/>
      <c r="AH114" s="11602" t="n"/>
      <c r="AI114" s="11602" t="n"/>
      <c r="AJ114" s="11602" t="n"/>
      <c r="AK114" s="2013" t="n"/>
      <c r="AL114" s="11602" t="n"/>
      <c r="AM114" s="11602" t="n"/>
      <c r="AN114" s="11602" t="n"/>
      <c r="AO114" s="11602" t="n"/>
      <c r="AP114" s="11602" t="n"/>
      <c r="AQ114" s="11602" t="n"/>
      <c r="AR114" s="11602" t="n"/>
      <c r="AS114" s="11602" t="n"/>
      <c r="AT114" s="11602" t="n"/>
      <c r="AU114" s="11602" t="n"/>
      <c r="AV114" s="11602" t="n"/>
      <c r="AW114" s="11602" t="n"/>
      <c r="AX114" s="11602" t="n"/>
      <c r="AY114" s="11602" t="n"/>
      <c r="AZ114" s="2014" t="n"/>
      <c r="BA114" s="11602" t="n"/>
      <c r="BB114" s="11602" t="n"/>
      <c r="BC114" s="12838" t="n"/>
      <c r="BD114" s="711" t="n"/>
      <c r="BE114" s="11602" t="n"/>
      <c r="BF114" s="3861" t="n"/>
      <c r="BG114" s="3861" t="n"/>
      <c r="BH114" s="11602" t="n"/>
      <c r="BI114" s="11602" t="n"/>
      <c r="BJ114" s="11602" t="n"/>
      <c r="BK114" s="11602" t="n"/>
      <c r="BL114" s="11602" t="n"/>
    </row>
    <row r="115" ht="13.5" customHeight="1" s="7635" thickBot="1">
      <c r="A115" s="2013" t="n"/>
      <c r="B115" s="11602" t="n"/>
      <c r="C115" s="11602" t="n"/>
      <c r="D115" s="11602" t="n"/>
      <c r="E115" s="11602" t="n"/>
      <c r="F115" s="11602" t="n"/>
      <c r="G115" s="11602" t="n"/>
      <c r="H115" s="11602" t="n"/>
      <c r="I115" s="11602" t="n"/>
      <c r="J115" s="11602" t="n"/>
      <c r="K115" s="11602" t="n"/>
      <c r="L115" s="11602" t="n"/>
      <c r="M115" s="11602" t="n"/>
      <c r="N115" s="11602" t="n"/>
      <c r="O115" s="11602" t="n"/>
      <c r="P115" s="11602" t="n"/>
      <c r="Q115" s="11602" t="n"/>
      <c r="R115" s="11602" t="n"/>
      <c r="S115" s="11602" t="n"/>
      <c r="T115" s="11602" t="n"/>
      <c r="U115" s="11602" t="n"/>
      <c r="V115" s="11602" t="n"/>
      <c r="W115" s="11602" t="n"/>
      <c r="X115" s="11602" t="n"/>
      <c r="Y115" s="11602" t="n"/>
      <c r="Z115" s="11602" t="n"/>
      <c r="AA115" s="11602" t="n"/>
      <c r="AB115" s="11602" t="n"/>
      <c r="AC115" s="11602" t="n"/>
      <c r="AD115" s="11602" t="n"/>
      <c r="AE115" s="11602" t="n"/>
      <c r="AF115" s="11602" t="n"/>
      <c r="AG115" s="11602" t="n"/>
      <c r="AH115" s="11602" t="n"/>
      <c r="AI115" s="11602" t="n"/>
      <c r="AJ115" s="11602" t="n"/>
      <c r="AK115" s="2013" t="n"/>
      <c r="AL115" s="11602" t="n"/>
      <c r="AM115" s="11602" t="n"/>
      <c r="AN115" s="11602" t="n"/>
      <c r="AO115" s="11602" t="n"/>
      <c r="AP115" s="11602" t="n"/>
      <c r="AQ115" s="11602" t="n"/>
      <c r="AR115" s="11602" t="n"/>
      <c r="AS115" s="11602" t="n"/>
      <c r="AT115" s="11602" t="n"/>
      <c r="AU115" s="11602" t="n"/>
      <c r="AV115" s="11602" t="n"/>
      <c r="AW115" s="11602" t="n"/>
      <c r="AX115" s="11602" t="n"/>
      <c r="AY115" s="11602" t="n"/>
      <c r="AZ115" s="2014" t="n"/>
      <c r="BA115" s="11602" t="n"/>
      <c r="BB115" s="11602" t="n"/>
      <c r="BC115" s="12838" t="n"/>
      <c r="BD115" s="711" t="n"/>
      <c r="BE115" s="11602" t="n"/>
      <c r="BF115" s="3861" t="n"/>
      <c r="BG115" s="3861" t="n"/>
      <c r="BH115" s="11602" t="n"/>
      <c r="BI115" s="11602" t="n"/>
      <c r="BJ115" s="11602" t="n"/>
      <c r="BK115" s="11602" t="n"/>
      <c r="BL115" s="11602" t="n"/>
    </row>
    <row r="116" ht="19.5" customHeight="1" s="7635">
      <c r="A116" s="2013" t="n"/>
      <c r="B116" s="7938" t="inlineStr">
        <is>
          <t>Part V</t>
        </is>
      </c>
      <c r="C116" s="8412" t="n"/>
      <c r="D116" s="3926" t="n"/>
      <c r="E116" s="3926" t="inlineStr">
        <is>
          <t>Alternative Calculation for Year of Marriage</t>
        </is>
      </c>
      <c r="F116" s="3927" t="n"/>
      <c r="G116" s="3927" t="n"/>
      <c r="H116" s="3927" t="n"/>
      <c r="I116" s="3927" t="n"/>
      <c r="J116" s="3927" t="n"/>
      <c r="K116" s="3927" t="n"/>
      <c r="L116" s="3927" t="n"/>
      <c r="M116" s="3927" t="n"/>
      <c r="N116" s="3927" t="n"/>
      <c r="O116" s="3927" t="n"/>
      <c r="P116" s="3927" t="n"/>
      <c r="Q116" s="3927" t="n"/>
      <c r="R116" s="3927" t="n"/>
      <c r="S116" s="3927" t="n"/>
      <c r="T116" s="3927" t="n"/>
      <c r="U116" s="3927" t="n"/>
      <c r="V116" s="3927" t="n"/>
      <c r="W116" s="3927" t="n"/>
      <c r="X116" s="3927" t="n"/>
      <c r="Y116" s="3927" t="n"/>
      <c r="Z116" s="3927" t="n"/>
      <c r="AA116" s="3927" t="n"/>
      <c r="AB116" s="3927" t="n"/>
      <c r="AC116" s="3927" t="n"/>
      <c r="AD116" s="3927" t="n"/>
      <c r="AE116" s="3927" t="n"/>
      <c r="AF116" s="3927" t="n"/>
      <c r="AG116" s="3927" t="n"/>
      <c r="AH116" s="3927" t="n"/>
      <c r="AI116" s="3927" t="n"/>
      <c r="AJ116" s="3927" t="n"/>
      <c r="AK116" s="2013" t="n"/>
      <c r="AL116" s="11602" t="n"/>
      <c r="AM116" s="11602" t="n"/>
      <c r="AN116" s="11602" t="n"/>
      <c r="AO116" s="11602" t="n"/>
      <c r="AP116" s="11602" t="n"/>
      <c r="AQ116" s="11602" t="n"/>
      <c r="AR116" s="11602" t="n"/>
      <c r="AS116" s="11602" t="n"/>
      <c r="AT116" s="11602" t="n"/>
      <c r="AU116" s="11602" t="n"/>
      <c r="AV116" s="11602" t="n"/>
      <c r="AW116" s="11602" t="n"/>
      <c r="AX116" s="11602" t="n"/>
      <c r="AY116" s="11602" t="n"/>
      <c r="AZ116" s="2014" t="n"/>
      <c r="BA116" s="11602" t="n"/>
      <c r="BB116" s="11602" t="n"/>
      <c r="BC116" s="12838" t="n"/>
      <c r="BD116" s="711" t="n"/>
      <c r="BE116" s="11602" t="n"/>
      <c r="BF116" s="3861" t="n"/>
      <c r="BG116" s="3861" t="n"/>
      <c r="BH116" s="11602" t="n"/>
      <c r="BI116" s="11602" t="n"/>
      <c r="BJ116" s="11602" t="n"/>
      <c r="BK116" s="11602" t="n"/>
      <c r="BL116" s="11602" t="n"/>
    </row>
    <row r="117" ht="15" customHeight="1" s="7635">
      <c r="A117" s="2013" t="n"/>
      <c r="B117" s="1672" t="inlineStr">
        <is>
          <t>Complete line(s) 35 and/or 36 to elect the alternative calculation for year of marriage. For eligibility to make the election, see instructions for line 9.</t>
        </is>
      </c>
      <c r="C117" s="11602" t="n"/>
      <c r="D117" s="11602" t="n"/>
      <c r="E117" s="11602" t="n"/>
      <c r="F117" s="11602" t="n"/>
      <c r="G117" s="11602" t="n"/>
      <c r="H117" s="11602" t="n"/>
      <c r="I117" s="11602" t="n"/>
      <c r="J117" s="11602" t="n"/>
      <c r="K117" s="11602" t="n"/>
      <c r="L117" s="11602" t="n"/>
      <c r="M117" s="11602" t="n"/>
      <c r="N117" s="11602" t="n"/>
      <c r="O117" s="11602" t="n"/>
      <c r="P117" s="11602" t="n"/>
      <c r="Q117" s="11602" t="n"/>
      <c r="R117" s="11602" t="n"/>
      <c r="S117" s="11602" t="n"/>
      <c r="T117" s="11602" t="n"/>
      <c r="U117" s="11602" t="n"/>
      <c r="V117" s="11602" t="n"/>
      <c r="W117" s="11602" t="n"/>
      <c r="X117" s="11602" t="n"/>
      <c r="Y117" s="11602" t="n"/>
      <c r="Z117" s="11602" t="n"/>
      <c r="AA117" s="11602" t="n"/>
      <c r="AB117" s="11602" t="n"/>
      <c r="AC117" s="11602" t="n"/>
      <c r="AD117" s="11602" t="n"/>
      <c r="AE117" s="11602" t="n"/>
      <c r="AF117" s="11602" t="n"/>
      <c r="AG117" s="11602" t="n"/>
      <c r="AH117" s="11602" t="n"/>
      <c r="AI117" s="11602" t="n"/>
      <c r="AJ117" s="11602" t="n"/>
      <c r="AK117" s="2013" t="n"/>
      <c r="AL117" s="11602" t="n"/>
      <c r="AM117" s="11602" t="n"/>
      <c r="AN117" s="11602" t="n"/>
      <c r="AO117" s="11602" t="n"/>
      <c r="AP117" s="11602" t="n"/>
      <c r="AQ117" s="11602" t="n"/>
      <c r="AR117" s="11602" t="n"/>
      <c r="AS117" s="11602" t="n"/>
      <c r="AT117" s="11602" t="n"/>
      <c r="AU117" s="11602" t="n"/>
      <c r="AV117" s="11602" t="n"/>
      <c r="AW117" s="11602" t="n"/>
      <c r="AX117" s="11602" t="n"/>
      <c r="AY117" s="11602" t="n"/>
      <c r="AZ117" s="2014" t="n"/>
      <c r="BA117" s="11602" t="n"/>
      <c r="BB117" s="11602" t="n"/>
      <c r="BC117" s="12838" t="n"/>
      <c r="BD117" s="711" t="n"/>
      <c r="BE117" s="11602" t="n"/>
      <c r="BF117" s="3861" t="n"/>
      <c r="BG117" s="3861" t="n"/>
      <c r="BH117" s="11602" t="n"/>
      <c r="BI117" s="11602" t="n"/>
      <c r="BJ117" s="11602" t="n"/>
      <c r="BK117" s="11602" t="n"/>
      <c r="BL117" s="11602" t="n"/>
    </row>
    <row r="118" ht="15" customHeight="1" s="7635">
      <c r="A118" s="2013" t="n"/>
      <c r="B118" s="1996" t="inlineStr">
        <is>
          <t>To complete line(s) 35 and/or 36 and compute the amounts for lines 12–23, see the instructions for this Part V.</t>
        </is>
      </c>
      <c r="C118" s="413" t="n"/>
      <c r="D118" s="413" t="n"/>
      <c r="E118" s="413" t="n"/>
      <c r="F118" s="413" t="n"/>
      <c r="G118" s="413" t="n"/>
      <c r="H118" s="413" t="n"/>
      <c r="I118" s="413" t="n"/>
      <c r="J118" s="413" t="n"/>
      <c r="K118" s="413" t="n"/>
      <c r="L118" s="413" t="n"/>
      <c r="M118" s="413" t="n"/>
      <c r="N118" s="413" t="n"/>
      <c r="O118" s="413" t="n"/>
      <c r="P118" s="413" t="n"/>
      <c r="Q118" s="413" t="n"/>
      <c r="R118" s="413" t="n"/>
      <c r="S118" s="413" t="n"/>
      <c r="T118" s="413" t="n"/>
      <c r="U118" s="413" t="n"/>
      <c r="V118" s="413" t="n"/>
      <c r="W118" s="413" t="n"/>
      <c r="X118" s="413" t="n"/>
      <c r="Y118" s="413" t="n"/>
      <c r="Z118" s="413" t="n"/>
      <c r="AA118" s="413" t="n"/>
      <c r="AB118" s="413" t="n"/>
      <c r="AC118" s="413" t="n"/>
      <c r="AD118" s="413" t="n"/>
      <c r="AE118" s="413" t="n"/>
      <c r="AF118" s="413" t="n"/>
      <c r="AG118" s="413" t="n"/>
      <c r="AH118" s="413" t="n"/>
      <c r="AI118" s="413" t="n"/>
      <c r="AJ118" s="413" t="n"/>
      <c r="AK118" s="2013" t="n"/>
      <c r="AL118" s="11602" t="n"/>
      <c r="AM118" s="11602" t="n"/>
      <c r="AN118" s="11602" t="n"/>
      <c r="AO118" s="11602" t="n"/>
      <c r="AP118" s="11602" t="n"/>
      <c r="AQ118" s="11602" t="n"/>
      <c r="AR118" s="11602" t="n"/>
      <c r="AS118" s="11602" t="n"/>
      <c r="AT118" s="11602" t="n"/>
      <c r="AU118" s="11602" t="n"/>
      <c r="AV118" s="11602" t="n"/>
      <c r="AW118" s="11602" t="n"/>
      <c r="AX118" s="11602" t="n"/>
      <c r="AY118" s="11602" t="n"/>
      <c r="AZ118" s="2014" t="n"/>
      <c r="BA118" s="11602" t="n"/>
      <c r="BB118" s="11602" t="n"/>
      <c r="BC118" s="12838" t="n"/>
      <c r="BD118" s="711" t="n"/>
      <c r="BE118" s="11602" t="n"/>
      <c r="BF118" s="3861" t="n"/>
      <c r="BG118" s="3861" t="n"/>
      <c r="BH118" s="11602" t="n"/>
      <c r="BI118" s="11602" t="n"/>
      <c r="BJ118" s="11602" t="n"/>
      <c r="BK118" s="11602" t="n"/>
      <c r="BL118" s="11602" t="n"/>
    </row>
    <row r="119" ht="27" customHeight="1" s="7635">
      <c r="A119" s="2013" t="n"/>
      <c r="B119" s="12853" t="inlineStr">
        <is>
          <t>35</t>
        </is>
      </c>
      <c r="C119" s="3928" t="n"/>
      <c r="D119" s="12854" t="inlineStr">
        <is>
          <t>Alternative entries 
for your SSN</t>
        </is>
      </c>
      <c r="E119" s="7839" t="n"/>
      <c r="F119" s="7839" t="n"/>
      <c r="G119" s="7839" t="n"/>
      <c r="H119" s="10091" t="n"/>
      <c r="I119" s="3929" t="inlineStr">
        <is>
          <t>(a)</t>
        </is>
      </c>
      <c r="J119" s="11537" t="inlineStr">
        <is>
          <t>Alternative family size</t>
        </is>
      </c>
      <c r="K119" s="7839" t="n"/>
      <c r="L119" s="7839" t="n"/>
      <c r="M119" s="7839" t="n"/>
      <c r="N119" s="7839" t="n"/>
      <c r="O119" s="10091" t="n"/>
      <c r="P119" s="3930" t="inlineStr">
        <is>
          <t>(b)</t>
        </is>
      </c>
      <c r="Q119" s="12855" t="inlineStr">
        <is>
          <t>Alternative monthly
contribution amount</t>
        </is>
      </c>
      <c r="R119" s="7839" t="n"/>
      <c r="S119" s="7839" t="n"/>
      <c r="T119" s="7839" t="n"/>
      <c r="U119" s="7839" t="n"/>
      <c r="V119" s="10091" t="n"/>
      <c r="W119" s="3930" t="inlineStr">
        <is>
          <t>(c)</t>
        </is>
      </c>
      <c r="X119" s="11537" t="inlineStr">
        <is>
          <t>Alternative start month</t>
        </is>
      </c>
      <c r="Y119" s="7839" t="n"/>
      <c r="Z119" s="7839" t="n"/>
      <c r="AA119" s="7839" t="n"/>
      <c r="AB119" s="7839" t="n"/>
      <c r="AC119" s="10091" t="n"/>
      <c r="AD119" s="3930" t="inlineStr">
        <is>
          <t>(d)</t>
        </is>
      </c>
      <c r="AE119" s="11536" t="inlineStr">
        <is>
          <t>Alternative stop month</t>
        </is>
      </c>
      <c r="AF119" s="7839" t="n"/>
      <c r="AG119" s="7839" t="n"/>
      <c r="AH119" s="7839" t="n"/>
      <c r="AI119" s="7839" t="n"/>
      <c r="AJ119" s="7839" t="n"/>
      <c r="AK119" s="2013" t="n"/>
      <c r="AL119" s="11602" t="n"/>
      <c r="AM119" s="11602" t="n"/>
      <c r="AN119" s="11602" t="n"/>
      <c r="AO119" s="11602" t="n"/>
      <c r="AP119" s="11602" t="n"/>
      <c r="AQ119" s="11602" t="n"/>
      <c r="AR119" s="11602" t="n"/>
      <c r="AS119" s="11602" t="n"/>
      <c r="AT119" s="11602" t="n"/>
      <c r="AU119" s="11602" t="n"/>
      <c r="AV119" s="11602" t="n"/>
      <c r="AW119" s="11602" t="n"/>
      <c r="AX119" s="11602" t="n"/>
      <c r="AY119" s="11602" t="n"/>
      <c r="AZ119" s="2014" t="n"/>
      <c r="BA119" s="11602" t="n"/>
      <c r="BB119" s="11602" t="n"/>
      <c r="BC119" s="12838" t="n"/>
      <c r="BD119" s="711" t="n"/>
      <c r="BE119" s="11602" t="n"/>
      <c r="BF119" s="3861" t="n"/>
      <c r="BG119" s="3861" t="n"/>
      <c r="BH119" s="11602" t="n"/>
      <c r="BI119" s="11602" t="n"/>
      <c r="BJ119" s="11602" t="n"/>
      <c r="BK119" s="11602" t="n"/>
      <c r="BL119" s="11602" t="n"/>
    </row>
    <row r="120" ht="23.25" customHeight="1" s="7635">
      <c r="A120" s="2013" t="n"/>
      <c r="B120" s="7637" t="n"/>
      <c r="C120" s="8420" t="n"/>
      <c r="D120" s="7637" t="n"/>
      <c r="E120" s="7637" t="n"/>
      <c r="F120" s="7637" t="n"/>
      <c r="G120" s="7637" t="n"/>
      <c r="H120" s="7638" t="n"/>
      <c r="I120" s="12856" t="n"/>
      <c r="J120" s="11717" t="n"/>
      <c r="K120" s="11717" t="n"/>
      <c r="L120" s="11717" t="n"/>
      <c r="M120" s="11717" t="n"/>
      <c r="N120" s="11717" t="n"/>
      <c r="O120" s="11718" t="n"/>
      <c r="P120" s="12857" t="n"/>
      <c r="Q120" s="11717" t="n"/>
      <c r="R120" s="11717" t="n"/>
      <c r="S120" s="11717" t="n"/>
      <c r="T120" s="11717" t="n"/>
      <c r="U120" s="11717" t="n"/>
      <c r="V120" s="11718" t="n"/>
      <c r="W120" s="12856" t="n"/>
      <c r="X120" s="11717" t="n"/>
      <c r="Y120" s="11717" t="n"/>
      <c r="Z120" s="11717" t="n"/>
      <c r="AA120" s="11717" t="n"/>
      <c r="AB120" s="11717" t="n"/>
      <c r="AC120" s="11718" t="n"/>
      <c r="AD120" s="12856" t="n"/>
      <c r="AE120" s="11717" t="n"/>
      <c r="AF120" s="11717" t="n"/>
      <c r="AG120" s="11717" t="n"/>
      <c r="AH120" s="11717" t="n"/>
      <c r="AI120" s="11717" t="n"/>
      <c r="AJ120" s="11718" t="n"/>
      <c r="AK120" s="2013" t="n"/>
      <c r="AL120" s="11602" t="n"/>
      <c r="AM120" s="11602" t="n"/>
      <c r="AN120" s="11602" t="n"/>
      <c r="AO120" s="11602" t="n"/>
      <c r="AP120" s="11602" t="n"/>
      <c r="AQ120" s="11602" t="n"/>
      <c r="AR120" s="11602" t="n"/>
      <c r="AS120" s="11602" t="n"/>
      <c r="AT120" s="11602" t="n"/>
      <c r="AU120" s="11602" t="n"/>
      <c r="AV120" s="11602" t="n"/>
      <c r="AW120" s="11602" t="n"/>
      <c r="AX120" s="11602" t="n"/>
      <c r="AY120" s="11602" t="n"/>
      <c r="AZ120" s="2014" t="n"/>
      <c r="BA120" s="11602" t="n"/>
      <c r="BB120" s="11602" t="n"/>
      <c r="BC120" s="12838" t="n"/>
      <c r="BD120" s="711" t="n"/>
      <c r="BE120" s="11602" t="n"/>
      <c r="BF120" s="3861" t="n"/>
      <c r="BG120" s="3861" t="n"/>
      <c r="BH120" s="11602" t="n"/>
      <c r="BI120" s="11602" t="n"/>
      <c r="BJ120" s="11602" t="n"/>
      <c r="BK120" s="11602" t="n"/>
      <c r="BL120" s="11602" t="n"/>
    </row>
    <row r="121" ht="26.25" customHeight="1" s="7635">
      <c r="A121" s="2013" t="n"/>
      <c r="B121" s="12858" t="inlineStr">
        <is>
          <t>36</t>
        </is>
      </c>
      <c r="C121" s="3928" t="n"/>
      <c r="D121" s="12859" t="inlineStr">
        <is>
          <t>Alternative entries
for your spouse's 
SSN</t>
        </is>
      </c>
      <c r="E121" s="7839" t="n"/>
      <c r="F121" s="7839" t="n"/>
      <c r="G121" s="7839" t="n"/>
      <c r="H121" s="10091" t="n"/>
      <c r="I121" s="3929" t="inlineStr">
        <is>
          <t>(a)</t>
        </is>
      </c>
      <c r="J121" s="11537" t="inlineStr">
        <is>
          <t>Alternative family size</t>
        </is>
      </c>
      <c r="K121" s="7839" t="n"/>
      <c r="L121" s="7839" t="n"/>
      <c r="M121" s="7839" t="n"/>
      <c r="N121" s="7839" t="n"/>
      <c r="O121" s="10091" t="n"/>
      <c r="P121" s="3930" t="inlineStr">
        <is>
          <t>(b)</t>
        </is>
      </c>
      <c r="Q121" s="12855" t="inlineStr">
        <is>
          <t>Alternative monthly
contribution amount</t>
        </is>
      </c>
      <c r="R121" s="7839" t="n"/>
      <c r="S121" s="7839" t="n"/>
      <c r="T121" s="7839" t="n"/>
      <c r="U121" s="7839" t="n"/>
      <c r="V121" s="10091" t="n"/>
      <c r="W121" s="3930" t="inlineStr">
        <is>
          <t>(c)</t>
        </is>
      </c>
      <c r="X121" s="11537" t="inlineStr">
        <is>
          <t>Alternative start month</t>
        </is>
      </c>
      <c r="Y121" s="7839" t="n"/>
      <c r="Z121" s="7839" t="n"/>
      <c r="AA121" s="7839" t="n"/>
      <c r="AB121" s="7839" t="n"/>
      <c r="AC121" s="10091" t="n"/>
      <c r="AD121" s="3930" t="inlineStr">
        <is>
          <t>(d)</t>
        </is>
      </c>
      <c r="AE121" s="11536" t="inlineStr">
        <is>
          <t>Alternative stop month</t>
        </is>
      </c>
      <c r="AF121" s="7839" t="n"/>
      <c r="AG121" s="7839" t="n"/>
      <c r="AH121" s="7839" t="n"/>
      <c r="AI121" s="7839" t="n"/>
      <c r="AJ121" s="7839" t="n"/>
      <c r="AK121" s="2013" t="n"/>
      <c r="AL121" s="11602" t="n"/>
      <c r="AM121" s="11602" t="n"/>
      <c r="AN121" s="11602" t="n"/>
      <c r="AO121" s="11602" t="n"/>
      <c r="AP121" s="11602" t="n"/>
      <c r="AQ121" s="11602" t="n"/>
      <c r="AR121" s="11602" t="n"/>
      <c r="AS121" s="11602" t="n"/>
      <c r="AT121" s="11602" t="n"/>
      <c r="AU121" s="11602" t="n"/>
      <c r="AV121" s="11602" t="n"/>
      <c r="AW121" s="11602" t="n"/>
      <c r="AX121" s="11602" t="n"/>
      <c r="AY121" s="11602" t="n"/>
      <c r="AZ121" s="2014" t="n"/>
      <c r="BA121" s="11602" t="n"/>
      <c r="BB121" s="11602" t="n"/>
      <c r="BC121" s="12838" t="n"/>
      <c r="BD121" s="711" t="n"/>
      <c r="BE121" s="11602" t="n"/>
      <c r="BF121" s="3861" t="n"/>
      <c r="BG121" s="3861" t="n"/>
      <c r="BH121" s="11602" t="n"/>
      <c r="BI121" s="11602" t="n"/>
      <c r="BJ121" s="11602" t="n"/>
      <c r="BK121" s="11602" t="n"/>
      <c r="BL121" s="11602" t="n"/>
    </row>
    <row r="122" ht="23.25" customHeight="1" s="7635" thickBot="1">
      <c r="A122" s="2013" t="n"/>
      <c r="B122" s="8848" t="n"/>
      <c r="C122" s="9265" t="n"/>
      <c r="D122" s="8848" t="n"/>
      <c r="E122" s="8848" t="n"/>
      <c r="F122" s="8848" t="n"/>
      <c r="G122" s="8848" t="n"/>
      <c r="H122" s="12121" t="n"/>
      <c r="I122" s="12856" t="n"/>
      <c r="J122" s="11717" t="n"/>
      <c r="K122" s="11717" t="n"/>
      <c r="L122" s="11717" t="n"/>
      <c r="M122" s="11717" t="n"/>
      <c r="N122" s="11717" t="n"/>
      <c r="O122" s="11718" t="n"/>
      <c r="P122" s="12857" t="n"/>
      <c r="Q122" s="11717" t="n"/>
      <c r="R122" s="11717" t="n"/>
      <c r="S122" s="11717" t="n"/>
      <c r="T122" s="11717" t="n"/>
      <c r="U122" s="11717" t="n"/>
      <c r="V122" s="11718" t="n"/>
      <c r="W122" s="12856" t="n"/>
      <c r="X122" s="11717" t="n"/>
      <c r="Y122" s="11717" t="n"/>
      <c r="Z122" s="11717" t="n"/>
      <c r="AA122" s="11717" t="n"/>
      <c r="AB122" s="11717" t="n"/>
      <c r="AC122" s="11718" t="n"/>
      <c r="AD122" s="12856" t="n"/>
      <c r="AE122" s="11717" t="n"/>
      <c r="AF122" s="11717" t="n"/>
      <c r="AG122" s="11717" t="n"/>
      <c r="AH122" s="11717" t="n"/>
      <c r="AI122" s="11717" t="n"/>
      <c r="AJ122" s="11718" t="n"/>
      <c r="AK122" s="2013" t="n"/>
      <c r="AL122" s="11602" t="n"/>
      <c r="AM122" s="11602" t="n"/>
      <c r="AN122" s="11602" t="n"/>
      <c r="AO122" s="11602" t="n"/>
      <c r="AP122" s="11602" t="n"/>
      <c r="AQ122" s="11602" t="n"/>
      <c r="AR122" s="11602" t="n"/>
      <c r="AS122" s="11602" t="n"/>
      <c r="AT122" s="11602" t="n"/>
      <c r="AU122" s="11602" t="n"/>
      <c r="AV122" s="11602" t="n"/>
      <c r="AW122" s="11602" t="n"/>
      <c r="AX122" s="11602" t="n"/>
      <c r="AY122" s="11602" t="n"/>
      <c r="AZ122" s="2014" t="n"/>
      <c r="BA122" s="11602" t="n"/>
      <c r="BB122" s="11602" t="n"/>
      <c r="BC122" s="12838" t="n"/>
      <c r="BD122" s="711" t="n"/>
      <c r="BE122" s="11602" t="n"/>
      <c r="BF122" s="3861" t="n"/>
      <c r="BG122" s="3861" t="n"/>
      <c r="BH122" s="11602" t="n"/>
      <c r="BI122" s="11602" t="n"/>
      <c r="BJ122" s="11602" t="n"/>
      <c r="BK122" s="11602" t="n"/>
      <c r="BL122" s="11602" t="n"/>
    </row>
    <row r="123" ht="18" customHeight="1" s="7635">
      <c r="A123" s="2013" t="n"/>
      <c r="B123" s="2447" t="n"/>
      <c r="C123" s="11403" t="n"/>
      <c r="D123" s="11403" t="n"/>
      <c r="E123" s="11403" t="n"/>
      <c r="F123" s="11403" t="n"/>
      <c r="G123" s="11403" t="n"/>
      <c r="H123" s="11403" t="n"/>
      <c r="I123" s="11403" t="n"/>
      <c r="J123" s="11403" t="n"/>
      <c r="K123" s="11403" t="n"/>
      <c r="L123" s="11403" t="n"/>
      <c r="M123" s="11403" t="n"/>
      <c r="N123" s="11403" t="n"/>
      <c r="O123" s="11403" t="n"/>
      <c r="P123" s="11403" t="n"/>
      <c r="Q123" s="88" t="n"/>
      <c r="R123" s="88" t="n"/>
      <c r="S123" s="88" t="n"/>
      <c r="T123" s="88" t="n"/>
      <c r="U123" s="3931" t="n"/>
      <c r="V123" s="88" t="n"/>
      <c r="W123" s="3931" t="n"/>
      <c r="X123" s="88" t="n"/>
      <c r="Y123" s="88" t="n"/>
      <c r="Z123" s="88" t="n"/>
      <c r="AA123" s="88" t="n"/>
      <c r="AB123" s="88" t="n"/>
      <c r="AC123" s="88" t="n"/>
      <c r="AD123" s="88" t="n"/>
      <c r="AE123" s="88" t="n"/>
      <c r="AF123" s="88" t="n"/>
      <c r="AG123" s="88" t="n"/>
      <c r="AH123" s="2052" t="inlineStr">
        <is>
          <t>Form 8962</t>
        </is>
      </c>
      <c r="AI123" s="88" t="n"/>
      <c r="AJ123" s="2052">
        <f>"("&amp;TaxYear&amp;")"</f>
        <v/>
      </c>
      <c r="AK123" s="2013" t="n"/>
      <c r="AL123" s="6996" t="n"/>
      <c r="AM123" s="6996" t="n"/>
      <c r="AN123" s="6996" t="n"/>
      <c r="AO123" s="11602" t="n"/>
      <c r="AP123" s="11602" t="n"/>
      <c r="AQ123" s="11602" t="n"/>
      <c r="AR123" s="11602" t="n"/>
      <c r="AS123" s="11602" t="n"/>
      <c r="AT123" s="11602" t="n"/>
      <c r="AU123" s="11602" t="n"/>
      <c r="AV123" s="11602" t="n"/>
      <c r="AW123" s="11602" t="n"/>
      <c r="AX123" s="11602" t="n"/>
      <c r="AY123" s="11602" t="n"/>
      <c r="AZ123" s="2014" t="n"/>
      <c r="BA123" s="11602" t="n"/>
      <c r="BB123" s="11602" t="n"/>
      <c r="BC123" s="12838" t="n"/>
      <c r="BD123" s="711" t="n"/>
      <c r="BE123" s="11602" t="n"/>
      <c r="BF123" s="3861" t="n"/>
      <c r="BG123" s="3861" t="n"/>
      <c r="BH123" s="11602" t="n"/>
      <c r="BI123" s="11602" t="n"/>
      <c r="BJ123" s="11602" t="n"/>
      <c r="BK123" s="11602" t="n"/>
      <c r="BL123" s="11602" t="n"/>
    </row>
    <row r="124">
      <c r="A124" s="2013" t="n"/>
      <c r="B124" s="2013" t="n"/>
      <c r="C124" s="2013" t="n"/>
      <c r="D124" s="2013" t="n"/>
      <c r="E124" s="2013" t="n"/>
      <c r="F124" s="2013" t="n"/>
      <c r="G124" s="2013" t="n"/>
      <c r="H124" s="2013" t="n"/>
      <c r="I124" s="2013" t="n"/>
      <c r="J124" s="2013" t="n"/>
      <c r="K124" s="2013" t="n"/>
      <c r="L124" s="2013" t="n"/>
      <c r="M124" s="2013" t="n"/>
      <c r="N124" s="2013" t="n"/>
      <c r="O124" s="2013" t="n"/>
      <c r="P124" s="2013" t="n"/>
      <c r="Q124" s="2013" t="n"/>
      <c r="R124" s="2013" t="n"/>
      <c r="S124" s="2013" t="n"/>
      <c r="T124" s="2013" t="n"/>
      <c r="U124" s="2013" t="n"/>
      <c r="V124" s="2013" t="n"/>
      <c r="W124" s="2013" t="n"/>
      <c r="X124" s="2013" t="n"/>
      <c r="Y124" s="2013" t="n"/>
      <c r="Z124" s="2013" t="n"/>
      <c r="AA124" s="2013" t="n"/>
      <c r="AB124" s="2013" t="n"/>
      <c r="AC124" s="2013" t="n"/>
      <c r="AD124" s="2013" t="n"/>
      <c r="AE124" s="2013" t="n"/>
      <c r="AF124" s="2013" t="n"/>
      <c r="AG124" s="2013" t="n"/>
      <c r="AH124" s="2013" t="n"/>
      <c r="AI124" s="2013" t="n"/>
      <c r="AJ124" s="2013" t="n"/>
      <c r="AK124" s="2013" t="n"/>
      <c r="AL124" s="6996" t="n"/>
      <c r="AM124" s="6996" t="n"/>
      <c r="AN124" s="6996" t="n"/>
      <c r="AO124" s="11602" t="n"/>
      <c r="AP124" s="11602" t="n"/>
      <c r="AQ124" s="11602" t="n"/>
      <c r="AR124" s="11602" t="n"/>
      <c r="AS124" s="11602" t="n"/>
      <c r="AT124" s="11602" t="n"/>
      <c r="AU124" s="11602" t="n"/>
      <c r="AV124" s="11602" t="n"/>
      <c r="AW124" s="11602" t="n"/>
      <c r="AX124" s="11602" t="n"/>
      <c r="AY124" s="11602" t="n"/>
      <c r="AZ124" s="2014" t="n"/>
      <c r="BA124" s="11602" t="n"/>
      <c r="BB124" s="11602" t="n"/>
      <c r="BC124" s="12838" t="n"/>
      <c r="BD124" s="711" t="n"/>
      <c r="BE124" s="11602" t="n"/>
      <c r="BF124" s="3861" t="n"/>
      <c r="BG124" s="3861" t="n"/>
      <c r="BH124" s="11602" t="n"/>
      <c r="BI124" s="11602" t="n"/>
      <c r="BJ124" s="11602" t="n"/>
      <c r="BK124" s="11602" t="n"/>
      <c r="BL124" s="11602" t="n"/>
    </row>
    <row r="125" ht="27" customHeight="1" s="7635">
      <c r="AL125" s="11602" t="n"/>
      <c r="AM125" s="11602" t="n"/>
      <c r="AN125" s="11602" t="n"/>
      <c r="AO125" s="11602" t="n"/>
      <c r="AP125" s="11602" t="n"/>
      <c r="AQ125" s="11602" t="n"/>
      <c r="AR125" s="11602" t="n"/>
      <c r="AS125" s="11602" t="n"/>
      <c r="AT125" s="11602" t="n"/>
      <c r="AU125" s="11602" t="n"/>
      <c r="AV125" s="11602" t="n"/>
      <c r="AW125" s="11602" t="n"/>
      <c r="AX125" s="11602" t="n"/>
      <c r="AY125" s="11602" t="n"/>
      <c r="AZ125" s="2014" t="n"/>
      <c r="BA125" s="11602" t="n"/>
      <c r="BB125" s="11602" t="n"/>
      <c r="BC125" s="12838" t="n"/>
      <c r="BD125" s="711" t="n"/>
      <c r="BE125" s="11602" t="n"/>
      <c r="BF125" s="3861" t="n"/>
      <c r="BG125" s="3861" t="n"/>
      <c r="BH125" s="11602" t="n"/>
      <c r="BI125" s="11602" t="n"/>
      <c r="BJ125" s="11602" t="n"/>
      <c r="BK125" s="11602" t="n"/>
      <c r="BL125" s="11602" t="n"/>
    </row>
    <row r="126" ht="13.5" customHeight="1" s="7635" thickBot="1">
      <c r="B126" s="2938" t="n"/>
      <c r="C126" s="2938" t="n"/>
      <c r="D126" s="2939" t="n"/>
      <c r="E126" s="2939" t="n"/>
      <c r="F126" s="2939" t="n"/>
      <c r="G126" s="2939" t="n"/>
      <c r="H126" s="2939" t="n"/>
      <c r="I126" s="2939" t="n"/>
      <c r="AL126" s="11602" t="n"/>
      <c r="AM126" s="11602" t="n"/>
      <c r="AN126" s="11602" t="n"/>
      <c r="AO126" s="11602" t="n"/>
      <c r="AP126" s="11602" t="n"/>
      <c r="AQ126" s="11602" t="n"/>
      <c r="AR126" s="11602" t="n"/>
      <c r="AS126" s="11602" t="n"/>
      <c r="AT126" s="11602" t="n"/>
      <c r="AU126" s="11602" t="n"/>
      <c r="AV126" s="11602" t="n"/>
      <c r="AW126" s="11602" t="n"/>
      <c r="AX126" s="11602" t="n"/>
      <c r="AY126" s="11602" t="n"/>
      <c r="AZ126" s="2014" t="n"/>
      <c r="BA126" s="11602" t="n"/>
      <c r="BB126" s="11602" t="n"/>
      <c r="BC126" s="12838" t="n"/>
      <c r="BD126" s="711" t="n"/>
      <c r="BE126" s="11602" t="n"/>
      <c r="BF126" s="3861" t="n"/>
      <c r="BG126" s="3861" t="n"/>
      <c r="BH126" s="11602" t="n"/>
      <c r="BI126" s="11602" t="n"/>
      <c r="BJ126" s="11602" t="n"/>
      <c r="BK126" s="11602" t="n"/>
      <c r="BL126" s="11602" t="n"/>
    </row>
    <row r="127" ht="21.75" customHeight="1" s="7635" thickBot="1">
      <c r="B127" s="12202" t="inlineStr">
        <is>
          <t>Download Form 8962</t>
        </is>
      </c>
      <c r="C127" s="12137" t="n"/>
      <c r="D127" s="12137" t="n"/>
      <c r="E127" s="12137" t="n"/>
      <c r="F127" s="12137" t="n"/>
      <c r="G127" s="12137" t="n"/>
      <c r="H127" s="12137" t="n"/>
      <c r="I127" s="12137" t="n"/>
      <c r="J127" s="12137" t="n"/>
      <c r="K127" s="12137" t="n"/>
      <c r="L127" s="12203" t="n"/>
      <c r="AO127" s="11602" t="n"/>
      <c r="AP127" s="11602" t="n"/>
      <c r="AQ127" s="11602" t="n"/>
      <c r="AR127" s="11602" t="n"/>
      <c r="AS127" s="11602" t="n"/>
      <c r="AT127" s="11602" t="n"/>
      <c r="AU127" s="11602" t="n"/>
      <c r="AV127" s="11602" t="n"/>
      <c r="AW127" s="11602" t="n"/>
      <c r="AX127" s="11602" t="n"/>
      <c r="AY127" s="11602" t="n"/>
      <c r="AZ127" s="2014" t="n"/>
      <c r="BA127" s="11602" t="n"/>
      <c r="BB127" s="11602" t="n"/>
      <c r="BC127" s="12838" t="n"/>
      <c r="BD127" s="711" t="n"/>
      <c r="BE127" s="11602" t="n"/>
      <c r="BF127" s="3861" t="n"/>
      <c r="BG127" s="3861" t="n"/>
      <c r="BH127" s="11602" t="n"/>
      <c r="BI127" s="11602" t="n"/>
      <c r="BJ127" s="11602" t="n"/>
      <c r="BK127" s="11602" t="n"/>
      <c r="BL127" s="11602" t="n"/>
    </row>
    <row r="128" ht="13.5" customHeight="1" s="7635" thickBot="1">
      <c r="B128" s="2940" t="n"/>
      <c r="C128" s="2940" t="n"/>
      <c r="D128" s="2941" t="n"/>
      <c r="E128" s="2941" t="n"/>
      <c r="F128" s="2941" t="n"/>
      <c r="G128" s="2941" t="n"/>
      <c r="H128" s="2941" t="n"/>
      <c r="I128" s="2941" t="n"/>
      <c r="AO128" s="11602" t="n"/>
      <c r="AP128" s="11602" t="n"/>
      <c r="AQ128" s="11602" t="n"/>
      <c r="AR128" s="11602" t="n"/>
      <c r="AS128" s="11602" t="n"/>
      <c r="AT128" s="11602" t="n"/>
      <c r="AU128" s="11602" t="n"/>
      <c r="AV128" s="11602" t="n"/>
      <c r="AW128" s="11602" t="n"/>
      <c r="AX128" s="11602" t="n"/>
      <c r="AY128" s="11602" t="n"/>
      <c r="AZ128" s="2014" t="n"/>
      <c r="BA128" s="11602" t="n"/>
      <c r="BB128" s="11602" t="n"/>
      <c r="BC128" s="12838" t="n"/>
      <c r="BD128" s="711" t="n"/>
      <c r="BE128" s="11602" t="n"/>
      <c r="BF128" s="3861" t="n"/>
      <c r="BG128" s="3861" t="n"/>
      <c r="BH128" s="11602" t="n"/>
      <c r="BI128" s="11602" t="n"/>
      <c r="BJ128" s="11602" t="n"/>
      <c r="BK128" s="11602" t="n"/>
      <c r="BL128" s="11602" t="n"/>
    </row>
    <row r="129" ht="13.5" customHeight="1" s="7635" thickBot="1">
      <c r="B129" s="12204" t="inlineStr">
        <is>
          <t>Download Form 8962 Instructions</t>
        </is>
      </c>
      <c r="C129" s="12137" t="n"/>
      <c r="D129" s="12137" t="n"/>
      <c r="E129" s="12137" t="n"/>
      <c r="F129" s="12137" t="n"/>
      <c r="G129" s="12137" t="n"/>
      <c r="H129" s="12137" t="n"/>
      <c r="I129" s="12137" t="n"/>
      <c r="J129" s="12137" t="n"/>
      <c r="K129" s="12137" t="n"/>
      <c r="L129" s="12203" t="n"/>
      <c r="AO129" s="11602" t="n"/>
      <c r="AP129" s="11602" t="n"/>
      <c r="AQ129" s="11602" t="n"/>
      <c r="AR129" s="11602" t="n"/>
      <c r="AS129" s="11602" t="n"/>
      <c r="AT129" s="11602" t="n"/>
      <c r="AU129" s="11602" t="n"/>
      <c r="AV129" s="11602" t="n"/>
      <c r="AW129" s="11602" t="n"/>
      <c r="AX129" s="11602" t="n"/>
      <c r="AY129" s="11602" t="n"/>
      <c r="AZ129" s="2014" t="n"/>
      <c r="BA129" s="11602" t="n"/>
      <c r="BB129" s="11602" t="n"/>
      <c r="BC129" s="12838" t="n"/>
      <c r="BD129" s="711" t="n"/>
      <c r="BE129" s="11602" t="n"/>
      <c r="BF129" s="3861" t="n"/>
      <c r="BG129" s="3861" t="n"/>
      <c r="BH129" s="11602" t="n"/>
      <c r="BI129" s="11602" t="n"/>
      <c r="BJ129" s="11602" t="n"/>
      <c r="BK129" s="11602" t="n"/>
    </row>
    <row r="130">
      <c r="AO130" s="11602" t="n"/>
      <c r="AP130" s="11602" t="n"/>
      <c r="AQ130" s="11602" t="n"/>
      <c r="AR130" s="11602" t="n"/>
      <c r="AS130" s="11602" t="n"/>
      <c r="AT130" s="11602" t="n"/>
      <c r="AU130" s="11602" t="n"/>
      <c r="AV130" s="11602" t="n"/>
      <c r="AW130" s="11602" t="n"/>
      <c r="AX130" s="11602" t="n"/>
      <c r="AY130" s="11602" t="n"/>
      <c r="BA130" s="11602" t="n"/>
      <c r="BB130" s="11602" t="n"/>
      <c r="BC130" s="12838" t="n"/>
      <c r="BD130" s="711" t="n"/>
      <c r="BE130" s="11602" t="n"/>
      <c r="BF130" s="3861" t="n"/>
      <c r="BG130" s="3861" t="n"/>
      <c r="BH130" s="11602" t="n"/>
      <c r="BI130" s="11602" t="n"/>
      <c r="BJ130" s="11602" t="n"/>
      <c r="BK130" s="11602" t="n"/>
    </row>
    <row r="131" ht="13.5" customHeight="1" s="7635" thickBot="1">
      <c r="AO131" s="11602" t="n"/>
      <c r="AP131" s="11602" t="n"/>
      <c r="AQ131" s="11602" t="n"/>
      <c r="AR131" s="11602" t="n"/>
      <c r="AS131" s="11602" t="n"/>
      <c r="AT131" s="11602" t="n"/>
      <c r="AU131" s="11602" t="n"/>
      <c r="AV131" s="11602" t="n"/>
      <c r="AW131" s="11602" t="n"/>
      <c r="AX131" s="11602" t="n"/>
      <c r="AY131" s="11602" t="n"/>
      <c r="BD131" s="421" t="n"/>
      <c r="BF131" s="690" t="n"/>
      <c r="BG131" s="690" t="n"/>
    </row>
    <row r="132" ht="13.5" customHeight="1" s="7635">
      <c r="B132" s="11827" t="inlineStr">
        <is>
          <t>Table of Contents</t>
        </is>
      </c>
      <c r="C132" s="2506" t="n"/>
      <c r="D132" s="2506" t="n"/>
      <c r="E132" s="2614" t="n"/>
      <c r="AO132" s="6996" t="n"/>
      <c r="AP132" s="11602" t="n"/>
      <c r="AQ132" s="11602" t="n"/>
      <c r="AR132" s="11602" t="n"/>
      <c r="AS132" s="11602" t="n"/>
      <c r="AT132" s="11602" t="n"/>
      <c r="AU132" s="11602" t="n"/>
      <c r="AV132" s="11602" t="n"/>
      <c r="AW132" s="11602" t="n"/>
      <c r="BD132" s="421" t="n"/>
      <c r="BF132" s="690" t="n"/>
      <c r="BG132" s="690" t="n"/>
    </row>
    <row r="133">
      <c r="B133" s="11741" t="n"/>
      <c r="E133" s="1066" t="n"/>
      <c r="AO133" s="11602" t="n"/>
      <c r="AP133" s="11602" t="n"/>
      <c r="AQ133" s="11602" t="n"/>
      <c r="AR133" s="11602" t="n"/>
      <c r="AS133" s="11602" t="n"/>
      <c r="AT133" s="11602" t="n"/>
      <c r="AU133" s="11602" t="n"/>
      <c r="AV133" s="11602" t="n"/>
      <c r="AW133" s="11602" t="n"/>
      <c r="BD133" s="421" t="n"/>
      <c r="BF133" s="690" t="n"/>
      <c r="BG133" s="690" t="n"/>
    </row>
    <row r="134" ht="13.5" customHeight="1" s="7635" thickBot="1">
      <c r="B134" s="11743" t="n"/>
      <c r="C134" s="8848" t="n"/>
      <c r="D134" s="8848" t="n"/>
      <c r="E134" s="2627" t="n"/>
      <c r="AP134" s="11602" t="n"/>
      <c r="AQ134" s="11602" t="n"/>
      <c r="AR134" s="11602" t="n"/>
      <c r="AS134" s="11602" t="n"/>
      <c r="AT134" s="11602" t="n"/>
      <c r="AU134" s="11602" t="n"/>
      <c r="AV134" s="11602" t="n"/>
      <c r="AW134" s="11602" t="n"/>
      <c r="BD134" s="421" t="n"/>
      <c r="BF134" s="690" t="n"/>
      <c r="BG134" s="690" t="n"/>
    </row>
    <row r="135">
      <c r="BD135" s="421" t="n"/>
      <c r="BF135" s="690" t="n"/>
      <c r="BG135" s="690" t="n"/>
    </row>
    <row r="136">
      <c r="BD136" s="421" t="n"/>
      <c r="BF136" s="690" t="n"/>
      <c r="BG136" s="690" t="n"/>
    </row>
    <row r="137">
      <c r="BD137" s="421" t="n"/>
      <c r="BF137" s="690" t="n"/>
      <c r="BG137" s="690" t="n"/>
    </row>
    <row r="138">
      <c r="BD138" s="421" t="n"/>
      <c r="BF138" s="690" t="n"/>
      <c r="BG138" s="690" t="n"/>
    </row>
    <row r="139">
      <c r="BD139" s="421" t="n"/>
      <c r="BF139" s="690" t="n"/>
      <c r="BG139" s="690" t="n"/>
    </row>
    <row r="140">
      <c r="BD140" s="421" t="n"/>
      <c r="BF140" s="690" t="n"/>
      <c r="BG140" s="690" t="n"/>
    </row>
    <row r="141">
      <c r="BD141" s="421" t="n"/>
      <c r="BF141" s="690" t="n"/>
      <c r="BG141" s="690" t="n"/>
    </row>
    <row r="142">
      <c r="BD142" s="421" t="n"/>
      <c r="BF142" s="690" t="n"/>
      <c r="BG142" s="690" t="n"/>
    </row>
    <row r="143">
      <c r="BD143" s="421" t="n"/>
      <c r="BF143" s="690" t="n"/>
      <c r="BG143" s="690" t="n"/>
    </row>
    <row r="144">
      <c r="BD144" s="421" t="n"/>
      <c r="BF144" s="690" t="n"/>
      <c r="BG144" s="690" t="n"/>
    </row>
    <row r="145">
      <c r="BD145" s="421" t="n"/>
      <c r="BF145" s="690" t="n"/>
      <c r="BG145" s="690" t="n"/>
    </row>
    <row r="146">
      <c r="BD146" s="421" t="n"/>
      <c r="BF146" s="690" t="n"/>
      <c r="BG146" s="690" t="n"/>
    </row>
    <row r="147">
      <c r="BD147" s="421" t="n"/>
      <c r="BF147" s="690" t="n"/>
      <c r="BG147" s="690" t="n"/>
    </row>
    <row r="148">
      <c r="BD148" s="421" t="n"/>
      <c r="BF148" s="690" t="n"/>
      <c r="BG148" s="690" t="n"/>
    </row>
    <row r="149">
      <c r="BD149" s="421" t="n"/>
      <c r="BF149" s="690" t="n"/>
      <c r="BG149" s="690" t="n"/>
    </row>
    <row r="150">
      <c r="BD150" s="421" t="n"/>
      <c r="BF150" s="690" t="n"/>
      <c r="BG150" s="690" t="n"/>
    </row>
    <row r="151">
      <c r="BD151" s="421" t="n"/>
      <c r="BF151" s="690" t="n"/>
      <c r="BG151" s="690" t="n"/>
    </row>
    <row r="152">
      <c r="BD152" s="421" t="n"/>
      <c r="BF152" s="690" t="n"/>
      <c r="BG152" s="690" t="n"/>
    </row>
    <row r="153">
      <c r="BD153" s="421" t="n"/>
      <c r="BF153" s="690" t="n"/>
      <c r="BG153" s="690" t="n"/>
    </row>
    <row r="154">
      <c r="BD154" s="421" t="n"/>
      <c r="BF154" s="690" t="n"/>
      <c r="BG154" s="690" t="n"/>
    </row>
    <row r="155">
      <c r="BD155" s="421" t="n"/>
      <c r="BF155" s="690" t="n"/>
      <c r="BG155" s="690" t="n"/>
    </row>
    <row r="156">
      <c r="BD156" s="421" t="n"/>
      <c r="BF156" s="690" t="n"/>
      <c r="BG156" s="690" t="n"/>
    </row>
    <row r="157">
      <c r="BD157" s="421" t="n"/>
      <c r="BF157" s="690" t="n"/>
      <c r="BG157" s="690" t="n"/>
    </row>
    <row r="158">
      <c r="BD158" s="421" t="n"/>
      <c r="BF158" s="690" t="n"/>
      <c r="BG158" s="690" t="n"/>
    </row>
    <row r="159">
      <c r="BD159" s="421" t="n"/>
      <c r="BF159" s="690" t="n"/>
      <c r="BG159" s="690" t="n"/>
    </row>
    <row r="160">
      <c r="BD160" s="421" t="n"/>
      <c r="BF160" s="690" t="n"/>
      <c r="BG160" s="690" t="n"/>
    </row>
    <row r="161">
      <c r="BD161" s="421" t="n"/>
      <c r="BF161" s="690" t="n"/>
      <c r="BG161" s="690" t="n"/>
    </row>
    <row r="162">
      <c r="BD162" s="421" t="n"/>
      <c r="BF162" s="690" t="n"/>
      <c r="BG162" s="690" t="n"/>
    </row>
    <row r="163">
      <c r="BD163" s="421" t="n"/>
      <c r="BF163" s="690" t="n"/>
      <c r="BG163" s="690" t="n"/>
    </row>
    <row r="164">
      <c r="BD164" s="421" t="n"/>
      <c r="BF164" s="690" t="n"/>
      <c r="BG164" s="690" t="n"/>
    </row>
    <row r="165">
      <c r="BD165" s="421" t="n"/>
      <c r="BF165" s="690" t="n"/>
      <c r="BG165" s="690" t="n"/>
    </row>
    <row r="166">
      <c r="BD166" s="421" t="n"/>
      <c r="BF166" s="690" t="n"/>
      <c r="BG166" s="690" t="n"/>
    </row>
    <row r="167">
      <c r="BD167" s="421" t="n"/>
      <c r="BF167" s="690" t="n"/>
      <c r="BG167" s="690" t="n"/>
    </row>
    <row r="168">
      <c r="BD168" s="421" t="n"/>
      <c r="BF168" s="690" t="n"/>
      <c r="BG168" s="690" t="n"/>
    </row>
    <row r="169">
      <c r="BD169" s="421" t="n"/>
      <c r="BF169" s="690" t="n"/>
      <c r="BG169" s="690" t="n"/>
    </row>
    <row r="170">
      <c r="BD170" s="421" t="n"/>
      <c r="BF170" s="690" t="n"/>
      <c r="BG170" s="690" t="n"/>
    </row>
    <row r="171">
      <c r="BD171" s="421" t="n"/>
      <c r="BF171" s="690" t="n"/>
      <c r="BG171" s="690" t="n"/>
    </row>
    <row r="172">
      <c r="BD172" s="421" t="n"/>
      <c r="BF172" s="690" t="n"/>
      <c r="BG172" s="690" t="n"/>
    </row>
    <row r="173">
      <c r="BD173" s="421" t="n"/>
      <c r="BF173" s="690" t="n"/>
      <c r="BG173" s="690" t="n"/>
    </row>
    <row r="174">
      <c r="BD174" s="421" t="n"/>
      <c r="BF174" s="690" t="n"/>
      <c r="BG174" s="690" t="n"/>
    </row>
    <row r="175">
      <c r="BD175" s="421" t="n"/>
      <c r="BF175" s="690" t="n"/>
      <c r="BG175" s="690" t="n"/>
    </row>
    <row r="176">
      <c r="BD176" s="421" t="n"/>
      <c r="BF176" s="690" t="n"/>
      <c r="BG176" s="690" t="n"/>
    </row>
    <row r="177">
      <c r="BD177" s="421" t="n"/>
      <c r="BF177" s="690" t="n"/>
      <c r="BG177" s="690" t="n"/>
    </row>
    <row r="178">
      <c r="BD178" s="421" t="n"/>
      <c r="BF178" s="690" t="n"/>
      <c r="BG178" s="690" t="n"/>
    </row>
    <row r="179">
      <c r="BD179" s="421" t="n"/>
      <c r="BF179" s="690" t="n"/>
      <c r="BG179" s="690" t="n"/>
    </row>
    <row r="180">
      <c r="BD180" s="421" t="n"/>
      <c r="BF180" s="690" t="n"/>
      <c r="BG180" s="690" t="n"/>
    </row>
    <row r="181">
      <c r="BD181" s="421" t="n"/>
      <c r="BF181" s="690" t="n"/>
      <c r="BG181" s="690" t="n"/>
    </row>
    <row r="182">
      <c r="BD182" s="421" t="n"/>
      <c r="BF182" s="690" t="n"/>
      <c r="BG182" s="690" t="n"/>
    </row>
    <row r="183">
      <c r="BD183" s="421" t="n"/>
      <c r="BF183" s="690" t="n"/>
      <c r="BG183" s="690" t="n"/>
    </row>
    <row r="184">
      <c r="BD184" s="421" t="n"/>
      <c r="BF184" s="690" t="n"/>
      <c r="BG184" s="690" t="n"/>
    </row>
    <row r="185">
      <c r="BD185" s="421" t="n"/>
      <c r="BF185" s="690" t="n"/>
      <c r="BG185" s="690" t="n"/>
    </row>
    <row r="186">
      <c r="BD186" s="421" t="n"/>
      <c r="BF186" s="690" t="n"/>
      <c r="BG186" s="690" t="n"/>
    </row>
    <row r="187">
      <c r="BD187" s="421" t="n"/>
      <c r="BF187" s="690" t="n"/>
      <c r="BG187" s="690" t="n"/>
    </row>
    <row r="188">
      <c r="BD188" s="421" t="n"/>
      <c r="BF188" s="690" t="n"/>
      <c r="BG188" s="690" t="n"/>
    </row>
    <row r="189">
      <c r="BD189" s="421" t="n"/>
      <c r="BF189" s="690" t="n"/>
      <c r="BG189" s="690" t="n"/>
    </row>
    <row r="190">
      <c r="BD190" s="421" t="n"/>
      <c r="BF190" s="690" t="n"/>
      <c r="BG190" s="690" t="n"/>
    </row>
    <row r="191">
      <c r="BD191" s="421" t="n"/>
      <c r="BF191" s="690" t="n"/>
      <c r="BG191" s="690" t="n"/>
    </row>
    <row r="192">
      <c r="BD192" s="421" t="n"/>
      <c r="BF192" s="690" t="n"/>
      <c r="BG192" s="690" t="n"/>
    </row>
    <row r="193">
      <c r="BD193" s="421" t="n"/>
      <c r="BF193" s="690" t="n"/>
      <c r="BG193" s="690" t="n"/>
    </row>
    <row r="194">
      <c r="BD194" s="421" t="n"/>
      <c r="BF194" s="690" t="n"/>
      <c r="BG194" s="690" t="n"/>
    </row>
    <row r="195">
      <c r="BD195" s="421" t="n"/>
      <c r="BF195" s="690" t="n"/>
      <c r="BG195" s="690" t="n"/>
    </row>
    <row r="196">
      <c r="BD196" s="421" t="n"/>
      <c r="BF196" s="690" t="n"/>
      <c r="BG196" s="690" t="n"/>
    </row>
    <row r="197">
      <c r="BD197" s="421" t="n"/>
      <c r="BF197" s="690" t="n"/>
      <c r="BG197" s="690" t="n"/>
    </row>
    <row r="198">
      <c r="BD198" s="421" t="n"/>
      <c r="BF198" s="690" t="n"/>
      <c r="BG198" s="690" t="n"/>
    </row>
    <row r="199">
      <c r="BD199" s="421" t="n"/>
      <c r="BF199" s="690" t="n"/>
      <c r="BG199" s="690" t="n"/>
    </row>
    <row r="200">
      <c r="BD200" s="421" t="n"/>
      <c r="BF200" s="690" t="n"/>
      <c r="BG200" s="690" t="n"/>
    </row>
    <row r="201">
      <c r="BD201" s="421" t="n"/>
      <c r="BF201" s="690" t="n"/>
      <c r="BG201" s="690" t="n"/>
    </row>
    <row r="202">
      <c r="BD202" s="421" t="n"/>
      <c r="BF202" s="690" t="n"/>
      <c r="BG202" s="690" t="n"/>
    </row>
    <row r="203">
      <c r="BD203" s="421" t="n"/>
      <c r="BF203" s="690" t="n"/>
      <c r="BG203" s="690" t="n"/>
    </row>
    <row r="204">
      <c r="BD204" s="421" t="n"/>
      <c r="BF204" s="690" t="n"/>
      <c r="BG204" s="690" t="n"/>
    </row>
    <row r="205">
      <c r="BD205" s="421" t="n"/>
      <c r="BF205" s="690" t="n"/>
      <c r="BG205" s="690" t="n"/>
    </row>
    <row r="206">
      <c r="BD206" s="421" t="n"/>
      <c r="BF206" s="690" t="n"/>
      <c r="BG206" s="690" t="n"/>
    </row>
    <row r="207">
      <c r="BD207" s="421" t="n"/>
      <c r="BF207" s="690" t="n"/>
      <c r="BG207" s="690" t="n"/>
    </row>
    <row r="208">
      <c r="BD208" s="421" t="n"/>
      <c r="BF208" s="690" t="n"/>
      <c r="BG208" s="690" t="n"/>
    </row>
    <row r="209">
      <c r="BD209" s="421" t="n"/>
      <c r="BF209" s="690" t="n"/>
      <c r="BG209" s="690" t="n"/>
    </row>
    <row r="210">
      <c r="BD210" s="421" t="n"/>
      <c r="BF210" s="690" t="n"/>
      <c r="BG210" s="690" t="n"/>
    </row>
    <row r="211">
      <c r="BD211" s="421" t="n"/>
      <c r="BF211" s="690" t="n"/>
      <c r="BG211" s="690" t="n"/>
    </row>
    <row r="212">
      <c r="BD212" s="421" t="n"/>
      <c r="BF212" s="690" t="n"/>
      <c r="BG212" s="690" t="n"/>
    </row>
    <row r="213">
      <c r="BD213" s="421" t="n"/>
      <c r="BF213" s="690" t="n"/>
      <c r="BG213" s="690" t="n"/>
    </row>
    <row r="214">
      <c r="BD214" s="421" t="n"/>
      <c r="BF214" s="690" t="n"/>
      <c r="BG214" s="690" t="n"/>
    </row>
    <row r="215">
      <c r="BD215" s="421" t="n"/>
      <c r="BF215" s="690" t="n"/>
      <c r="BG215" s="690" t="n"/>
    </row>
    <row r="216">
      <c r="BD216" s="421" t="n"/>
      <c r="BF216" s="690" t="n"/>
      <c r="BG216" s="690" t="n"/>
    </row>
    <row r="217">
      <c r="BD217" s="421" t="n"/>
      <c r="BF217" s="690" t="n"/>
      <c r="BG217" s="690" t="n"/>
    </row>
    <row r="218">
      <c r="BD218" s="421" t="n"/>
      <c r="BF218" s="690" t="n"/>
      <c r="BG218" s="690" t="n"/>
    </row>
    <row r="219">
      <c r="BD219" s="421" t="n"/>
      <c r="BF219" s="690" t="n"/>
      <c r="BG219" s="690" t="n"/>
    </row>
    <row r="220">
      <c r="BD220" s="421" t="n"/>
      <c r="BF220" s="690" t="n"/>
      <c r="BG220" s="690" t="n"/>
    </row>
    <row r="221">
      <c r="BD221" s="421" t="n"/>
      <c r="BF221" s="690" t="n"/>
      <c r="BG221" s="690" t="n"/>
    </row>
    <row r="222">
      <c r="BD222" s="421" t="n"/>
      <c r="BF222" s="690" t="n"/>
      <c r="BG222" s="690" t="n"/>
    </row>
    <row r="223">
      <c r="BD223" s="421" t="n"/>
      <c r="BF223" s="690" t="n"/>
      <c r="BG223" s="690" t="n"/>
    </row>
    <row r="224">
      <c r="BD224" s="421" t="n"/>
      <c r="BF224" s="690" t="n"/>
      <c r="BG224" s="690" t="n"/>
    </row>
    <row r="225">
      <c r="BD225" s="421" t="n"/>
      <c r="BF225" s="690" t="n"/>
      <c r="BG225" s="690" t="n"/>
    </row>
    <row r="226">
      <c r="BD226" s="421" t="n"/>
      <c r="BF226" s="690" t="n"/>
      <c r="BG226" s="690" t="n"/>
    </row>
    <row r="227">
      <c r="BD227" s="421" t="n"/>
      <c r="BF227" s="690" t="n"/>
      <c r="BG227" s="690" t="n"/>
    </row>
    <row r="228">
      <c r="BD228" s="421" t="n"/>
    </row>
    <row r="229">
      <c r="BD229" s="421" t="n"/>
    </row>
    <row r="230">
      <c r="BD230" s="421" t="n"/>
    </row>
    <row r="231">
      <c r="BD231" s="421" t="n"/>
    </row>
    <row r="232">
      <c r="BD232" s="421" t="n"/>
    </row>
    <row r="233">
      <c r="BD233" s="421" t="n"/>
    </row>
    <row r="234">
      <c r="BD234" s="421" t="n"/>
    </row>
    <row r="235">
      <c r="BD235" s="421" t="n"/>
    </row>
    <row r="236">
      <c r="BD236" s="421" t="n"/>
    </row>
    <row r="237">
      <c r="BD237" s="421" t="n"/>
    </row>
    <row r="238">
      <c r="BD238" s="421" t="n"/>
    </row>
    <row r="239">
      <c r="BD239" s="421" t="n"/>
    </row>
    <row r="240">
      <c r="BD240" s="421" t="n"/>
    </row>
    <row r="241">
      <c r="BD241" s="421" t="n"/>
    </row>
    <row r="242">
      <c r="BD242" s="421" t="n"/>
    </row>
    <row r="243">
      <c r="BD243" s="421" t="n"/>
    </row>
    <row r="244">
      <c r="BD244" s="421" t="n"/>
    </row>
    <row r="245">
      <c r="BD245" s="421" t="n"/>
    </row>
    <row r="246">
      <c r="BD246" s="421" t="n"/>
    </row>
    <row r="247">
      <c r="BD247" s="421" t="n"/>
    </row>
    <row r="248">
      <c r="BD248" s="421" t="n"/>
    </row>
    <row r="249">
      <c r="BD249" s="421" t="n"/>
    </row>
    <row r="250">
      <c r="BD250" s="421" t="n"/>
    </row>
    <row r="251">
      <c r="BD251" s="421" t="n"/>
    </row>
    <row r="252">
      <c r="BD252" s="421" t="n"/>
    </row>
    <row r="253">
      <c r="BD253" s="421" t="n"/>
    </row>
    <row r="254">
      <c r="BD254" s="421" t="n"/>
    </row>
    <row r="255">
      <c r="BD255" s="421" t="n"/>
    </row>
    <row r="256">
      <c r="BD256" s="421" t="n"/>
    </row>
    <row r="257">
      <c r="BD257" s="421" t="n"/>
    </row>
    <row r="258">
      <c r="BD258" s="421" t="n"/>
    </row>
    <row r="259">
      <c r="BD259" s="421" t="n"/>
    </row>
    <row r="260">
      <c r="BD260" s="421" t="n"/>
    </row>
    <row r="261">
      <c r="BD261" s="421" t="n"/>
    </row>
    <row r="262">
      <c r="BD262" s="421" t="n"/>
    </row>
    <row r="263">
      <c r="BD263" s="421" t="n"/>
    </row>
    <row r="264">
      <c r="BD264" s="421" t="n"/>
    </row>
    <row r="265">
      <c r="BD265" s="421" t="n"/>
    </row>
    <row r="266">
      <c r="BD266" s="421" t="n"/>
    </row>
    <row r="267">
      <c r="BD267" s="421" t="n"/>
    </row>
    <row r="268">
      <c r="BD268" s="421" t="n"/>
    </row>
    <row r="269">
      <c r="BD269" s="421" t="n"/>
    </row>
    <row r="270">
      <c r="BD270" s="421" t="n"/>
    </row>
    <row r="271">
      <c r="BD271" s="421" t="n"/>
    </row>
    <row r="272">
      <c r="BD272" s="421" t="n"/>
    </row>
    <row r="273">
      <c r="BD273" s="421" t="n"/>
    </row>
    <row r="274">
      <c r="BD274" s="421" t="n"/>
    </row>
    <row r="275">
      <c r="BD275" s="421" t="n"/>
    </row>
    <row r="276">
      <c r="BD276" s="421" t="n"/>
    </row>
    <row r="277">
      <c r="BD277" s="421" t="n"/>
    </row>
    <row r="278">
      <c r="BD278" s="421" t="n"/>
    </row>
    <row r="279">
      <c r="BD279" s="421" t="n"/>
    </row>
    <row r="280">
      <c r="BD280" s="421" t="n"/>
    </row>
    <row r="281">
      <c r="BD281" s="421" t="n"/>
    </row>
    <row r="282">
      <c r="BD282" s="421" t="n"/>
    </row>
    <row r="283">
      <c r="BD283" s="421" t="n"/>
    </row>
    <row r="284">
      <c r="BD284" s="421" t="n"/>
    </row>
    <row r="285">
      <c r="BD285" s="421" t="n"/>
    </row>
    <row r="286">
      <c r="BD286" s="421" t="n"/>
    </row>
    <row r="287">
      <c r="BD287" s="421" t="n"/>
    </row>
    <row r="288">
      <c r="BD288" s="421" t="n"/>
    </row>
    <row r="289">
      <c r="BD289" s="421" t="n"/>
    </row>
    <row r="290">
      <c r="BD290" s="421" t="n"/>
    </row>
    <row r="291">
      <c r="BD291" s="421" t="n"/>
    </row>
    <row r="292">
      <c r="BD292" s="421" t="n"/>
    </row>
    <row r="293">
      <c r="BD293" s="421" t="n"/>
    </row>
    <row r="294">
      <c r="BD294" s="421" t="n"/>
    </row>
    <row r="295">
      <c r="BD295" s="421" t="n"/>
    </row>
    <row r="296">
      <c r="BD296" s="421" t="n"/>
    </row>
    <row r="297">
      <c r="BD297" s="421" t="n"/>
    </row>
    <row r="298">
      <c r="BD298" s="421" t="n"/>
    </row>
    <row r="299">
      <c r="BD299" s="421" t="n"/>
    </row>
    <row r="300">
      <c r="BD300" s="421" t="n"/>
    </row>
    <row r="301">
      <c r="BD301" s="421" t="n"/>
    </row>
    <row r="302">
      <c r="BD302" s="421" t="n"/>
    </row>
    <row r="303">
      <c r="BD303" s="421" t="n"/>
    </row>
    <row r="304">
      <c r="BD304" s="421" t="n"/>
    </row>
    <row r="305">
      <c r="BD305" s="421" t="n"/>
    </row>
    <row r="306">
      <c r="BD306" s="421" t="n"/>
    </row>
    <row r="307">
      <c r="BD307" s="421" t="n"/>
    </row>
    <row r="308">
      <c r="BD308" s="421" t="n"/>
    </row>
    <row r="309">
      <c r="BD309" s="421" t="n"/>
    </row>
    <row r="310">
      <c r="BD310" s="421" t="n"/>
    </row>
    <row r="311">
      <c r="BD311" s="421" t="n"/>
    </row>
    <row r="312">
      <c r="BD312" s="421" t="n"/>
    </row>
    <row r="313">
      <c r="BD313" s="421" t="n"/>
    </row>
    <row r="314">
      <c r="BD314" s="421" t="n"/>
    </row>
    <row r="315">
      <c r="BD315" s="421" t="n"/>
    </row>
    <row r="316">
      <c r="BD316" s="421" t="n"/>
    </row>
    <row r="317">
      <c r="BD317" s="421" t="n"/>
    </row>
    <row r="318">
      <c r="BD318" s="421" t="n"/>
    </row>
    <row r="319">
      <c r="BD319" s="421" t="n"/>
    </row>
    <row r="320">
      <c r="BD320" s="421" t="n"/>
    </row>
    <row r="321">
      <c r="BD321" s="421" t="n"/>
    </row>
    <row r="322">
      <c r="BD322" s="421" t="n"/>
    </row>
    <row r="323">
      <c r="BD323" s="421" t="n"/>
    </row>
    <row r="324">
      <c r="BD324" s="421" t="n"/>
    </row>
    <row r="325">
      <c r="BD325" s="421" t="n"/>
    </row>
  </sheetData>
  <sheetProtection selectLockedCells="0" selectUnlockedCells="0" algorithmName="SHA-512" sheet="1" objects="1" insertRows="1" insertHyperlinks="1" autoFilter="1" scenarios="1" formatColumns="0" deleteColumns="1" insertColumns="1" pivotTables="1" deleteRows="1" formatCells="0" saltValue="/k9vAvMKWFuewb+zdx0pGQ==" formatRows="0" sort="1" spinCount="100000" hashValue="ukYmZshMv70onltnxriBtC7/dh9AcbyAlyvc7Gk8iJtQgTSeFFy5UmrLYNliB9igU+RVdc80YFT7t6+WRWMIiQ=="/>
  <mergeCells count="220">
    <mergeCell ref="AE121:AJ121"/>
    <mergeCell ref="Q53:U53"/>
    <mergeCell ref="G59:K59"/>
    <mergeCell ref="AF56:AJ56"/>
    <mergeCell ref="B31:C31"/>
    <mergeCell ref="S88:AA91"/>
    <mergeCell ref="D53:F53"/>
    <mergeCell ref="L57:P57"/>
    <mergeCell ref="G61:K61"/>
    <mergeCell ref="Q52:U52"/>
    <mergeCell ref="J108:R108"/>
    <mergeCell ref="AD87:AJ87"/>
    <mergeCell ref="AF57:AJ57"/>
    <mergeCell ref="V20:W20"/>
    <mergeCell ref="AD122:AJ122"/>
    <mergeCell ref="N103:V103"/>
    <mergeCell ref="AM5:AR11"/>
    <mergeCell ref="AB80:AJ83"/>
    <mergeCell ref="N87:V87"/>
    <mergeCell ref="B119:B120"/>
    <mergeCell ref="S92:AA92"/>
    <mergeCell ref="AE30:AJ30"/>
    <mergeCell ref="C12:Z14"/>
    <mergeCell ref="B69:C69"/>
    <mergeCell ref="M29:R29"/>
    <mergeCell ref="L58:P58"/>
    <mergeCell ref="V41:Z44"/>
    <mergeCell ref="AA54:AE54"/>
    <mergeCell ref="J80:R83"/>
    <mergeCell ref="N79:V79"/>
    <mergeCell ref="W95:AC95"/>
    <mergeCell ref="AE70:AJ70"/>
    <mergeCell ref="L60:P60"/>
    <mergeCell ref="AB96:AJ99"/>
    <mergeCell ref="W79:AC79"/>
    <mergeCell ref="AA56:AE56"/>
    <mergeCell ref="I5:AB5"/>
    <mergeCell ref="V53:Z53"/>
    <mergeCell ref="AE72:AJ72"/>
    <mergeCell ref="AE63:AJ63"/>
    <mergeCell ref="L59:P59"/>
    <mergeCell ref="V50:Z50"/>
    <mergeCell ref="G50:K50"/>
    <mergeCell ref="AE71:AJ71"/>
    <mergeCell ref="G60:K60"/>
    <mergeCell ref="D57:F57"/>
    <mergeCell ref="L61:P61"/>
    <mergeCell ref="Q57:U57"/>
    <mergeCell ref="W122:AC122"/>
    <mergeCell ref="AF61:AJ61"/>
    <mergeCell ref="V61:Z61"/>
    <mergeCell ref="S67:U67"/>
    <mergeCell ref="B129:L129"/>
    <mergeCell ref="G52:K52"/>
    <mergeCell ref="AS2:AX11"/>
    <mergeCell ref="S80:AA83"/>
    <mergeCell ref="AB84:AJ84"/>
    <mergeCell ref="AD7:AG7"/>
    <mergeCell ref="AE17:AJ17"/>
    <mergeCell ref="B10:X11"/>
    <mergeCell ref="M30:R30"/>
    <mergeCell ref="J100:R100"/>
    <mergeCell ref="D121:H122"/>
    <mergeCell ref="Q58:U58"/>
    <mergeCell ref="V19:W19"/>
    <mergeCell ref="AE28:AJ28"/>
    <mergeCell ref="AA41:AE44"/>
    <mergeCell ref="AD8:AG8"/>
    <mergeCell ref="AF54:AJ54"/>
    <mergeCell ref="I7:AB7"/>
    <mergeCell ref="Q119:V119"/>
    <mergeCell ref="AF41:AJ44"/>
    <mergeCell ref="S96:AA99"/>
    <mergeCell ref="AA45:AE45"/>
    <mergeCell ref="AE68:AJ68"/>
    <mergeCell ref="D55:F55"/>
    <mergeCell ref="Q60:U60"/>
    <mergeCell ref="B116:C116"/>
    <mergeCell ref="AD79:AJ79"/>
    <mergeCell ref="D54:F54"/>
    <mergeCell ref="Q59:U59"/>
    <mergeCell ref="V54:Z54"/>
    <mergeCell ref="AF58:AJ58"/>
    <mergeCell ref="G46:K49"/>
    <mergeCell ref="V46:Z49"/>
    <mergeCell ref="L50:P50"/>
    <mergeCell ref="AA59:AE59"/>
    <mergeCell ref="D95:M95"/>
    <mergeCell ref="Y10:AJ11"/>
    <mergeCell ref="D60:F60"/>
    <mergeCell ref="G55:K55"/>
    <mergeCell ref="S100:AA100"/>
    <mergeCell ref="B127:L127"/>
    <mergeCell ref="Q61:U61"/>
    <mergeCell ref="AF60:AJ60"/>
    <mergeCell ref="B15:C15"/>
    <mergeCell ref="G51:K51"/>
    <mergeCell ref="L52:P52"/>
    <mergeCell ref="AA51:AE51"/>
    <mergeCell ref="G54:K54"/>
    <mergeCell ref="Q45:U45"/>
    <mergeCell ref="D88:I92"/>
    <mergeCell ref="D87:M87"/>
    <mergeCell ref="AC5:AJ6"/>
    <mergeCell ref="B132:E134"/>
    <mergeCell ref="G56:K56"/>
    <mergeCell ref="AE26:AI26"/>
    <mergeCell ref="V55:Z55"/>
    <mergeCell ref="X19:AC19"/>
    <mergeCell ref="Q56:U56"/>
    <mergeCell ref="V58:Z58"/>
    <mergeCell ref="AO17:AX20"/>
    <mergeCell ref="AA52:AE52"/>
    <mergeCell ref="B121:B122"/>
    <mergeCell ref="J96:R99"/>
    <mergeCell ref="V52:Z52"/>
    <mergeCell ref="W120:AC120"/>
    <mergeCell ref="X20:AC20"/>
    <mergeCell ref="AH7:AI8"/>
    <mergeCell ref="D4:G5"/>
    <mergeCell ref="D58:F58"/>
    <mergeCell ref="V59:Z59"/>
    <mergeCell ref="J88:R91"/>
    <mergeCell ref="G53:K53"/>
    <mergeCell ref="L46:P49"/>
    <mergeCell ref="Q50:U50"/>
    <mergeCell ref="AE65:AJ65"/>
    <mergeCell ref="AF46:AJ49"/>
    <mergeCell ref="D51:F51"/>
    <mergeCell ref="I120:O120"/>
    <mergeCell ref="L55:P55"/>
    <mergeCell ref="AB104:AJ107"/>
    <mergeCell ref="C45:F45"/>
    <mergeCell ref="L51:P51"/>
    <mergeCell ref="V51:Z51"/>
    <mergeCell ref="G58:K58"/>
    <mergeCell ref="AB108:AJ108"/>
    <mergeCell ref="V60:Z60"/>
    <mergeCell ref="AF51:AJ51"/>
    <mergeCell ref="Q41:U44"/>
    <mergeCell ref="L54:P54"/>
    <mergeCell ref="V45:Z45"/>
    <mergeCell ref="D59:F59"/>
    <mergeCell ref="B41:F44"/>
    <mergeCell ref="D50:F50"/>
    <mergeCell ref="J92:R92"/>
    <mergeCell ref="G45:K45"/>
    <mergeCell ref="AB92:AJ92"/>
    <mergeCell ref="N95:V95"/>
    <mergeCell ref="AF50:AJ50"/>
    <mergeCell ref="AA50:AE50"/>
    <mergeCell ref="L56:P56"/>
    <mergeCell ref="I8:AB8"/>
    <mergeCell ref="AA55:AE55"/>
    <mergeCell ref="B5:C5"/>
    <mergeCell ref="B46:F49"/>
    <mergeCell ref="AE22:AJ22"/>
    <mergeCell ref="V57:Z57"/>
    <mergeCell ref="AF52:AJ52"/>
    <mergeCell ref="P120:V120"/>
    <mergeCell ref="J84:R84"/>
    <mergeCell ref="D103:M103"/>
    <mergeCell ref="AA61:AE61"/>
    <mergeCell ref="B75:C75"/>
    <mergeCell ref="AO47:AY50"/>
    <mergeCell ref="AD120:AJ120"/>
    <mergeCell ref="P122:V122"/>
    <mergeCell ref="D80:I84"/>
    <mergeCell ref="AE67:AJ67"/>
    <mergeCell ref="D61:F61"/>
    <mergeCell ref="AP77:AS77"/>
    <mergeCell ref="D96:I100"/>
    <mergeCell ref="X121:AC121"/>
    <mergeCell ref="J119:O119"/>
    <mergeCell ref="D104:I108"/>
    <mergeCell ref="L41:P44"/>
    <mergeCell ref="S104:AA107"/>
    <mergeCell ref="L53:P53"/>
    <mergeCell ref="BA54:BB55"/>
    <mergeCell ref="Q54:U54"/>
    <mergeCell ref="AA58:AE58"/>
    <mergeCell ref="Q46:U49"/>
    <mergeCell ref="AC3:AJ3"/>
    <mergeCell ref="W103:AC103"/>
    <mergeCell ref="AF53:AJ53"/>
    <mergeCell ref="Q55:U55"/>
    <mergeCell ref="BA48:BK51"/>
    <mergeCell ref="D79:M79"/>
    <mergeCell ref="AA12:AG14"/>
    <mergeCell ref="S84:AA84"/>
    <mergeCell ref="AE119:AJ119"/>
    <mergeCell ref="Q51:U51"/>
    <mergeCell ref="D56:F56"/>
    <mergeCell ref="W87:AC87"/>
    <mergeCell ref="AA60:AE60"/>
    <mergeCell ref="G57:K57"/>
    <mergeCell ref="AA57:AE57"/>
    <mergeCell ref="G41:K44"/>
    <mergeCell ref="L45:P45"/>
    <mergeCell ref="AB88:AJ91"/>
    <mergeCell ref="J121:O121"/>
    <mergeCell ref="S108:AA108"/>
    <mergeCell ref="AF45:AJ45"/>
    <mergeCell ref="AA53:AE53"/>
    <mergeCell ref="AA46:AE49"/>
    <mergeCell ref="AC4:AJ4"/>
    <mergeCell ref="V56:Z56"/>
    <mergeCell ref="AF59:AJ59"/>
    <mergeCell ref="AF55:AJ55"/>
    <mergeCell ref="D119:H120"/>
    <mergeCell ref="AD103:AJ103"/>
    <mergeCell ref="I122:O122"/>
    <mergeCell ref="AE25:AJ25"/>
    <mergeCell ref="X119:AC119"/>
    <mergeCell ref="BA17:BK20"/>
    <mergeCell ref="Q121:V121"/>
    <mergeCell ref="J104:R107"/>
    <mergeCell ref="D52:F52"/>
    <mergeCell ref="AD95:AJ95"/>
    <mergeCell ref="AB100:AJ100"/>
  </mergeCells>
  <conditionalFormatting sqref="B13 AH13">
    <cfRule type="expression" priority="25" dxfId="0">
      <formula>AND(File_Marr_Sep&lt;&gt;"",$AI$13="")</formula>
    </cfRule>
  </conditionalFormatting>
  <conditionalFormatting sqref="B10:K10 AE63:AJ63 AE65:AJ65">
    <cfRule type="expression" priority="253" dxfId="6">
      <formula>IF(NoColor,1,0)</formula>
    </cfRule>
  </conditionalFormatting>
  <conditionalFormatting sqref="C2">
    <cfRule type="expression" priority="74" dxfId="6">
      <formula>IF(NoColor,1,0)</formula>
    </cfRule>
  </conditionalFormatting>
  <conditionalFormatting sqref="C12">
    <cfRule type="expression" priority="22" dxfId="0">
      <formula>IF(AND(File_Marr_Sep&lt;&gt;"",$AI$13=""),1,0)</formula>
    </cfRule>
  </conditionalFormatting>
  <conditionalFormatting sqref="C110">
    <cfRule type="expression" priority="182" dxfId="6">
      <formula>IF(NoColor,1,0)</formula>
    </cfRule>
  </conditionalFormatting>
  <conditionalFormatting sqref="C114">
    <cfRule type="expression" priority="181" dxfId="6">
      <formula>IF(NoColor,1,0)</formula>
    </cfRule>
  </conditionalFormatting>
  <conditionalFormatting sqref="D33">
    <cfRule type="expression" priority="147" dxfId="6">
      <formula>IF(NoColor,1,0)</formula>
    </cfRule>
  </conditionalFormatting>
  <conditionalFormatting sqref="D35">
    <cfRule type="expression" priority="4" dxfId="6">
      <formula>IF(NoColor,1,0)</formula>
    </cfRule>
  </conditionalFormatting>
  <conditionalFormatting sqref="D37">
    <cfRule type="expression" priority="171" dxfId="6">
      <formula>IF(NoColor,1,0)</formula>
    </cfRule>
  </conditionalFormatting>
  <conditionalFormatting sqref="D39">
    <cfRule type="expression" priority="3" dxfId="6">
      <formula>IF(NoColor,1,0)</formula>
    </cfRule>
  </conditionalFormatting>
  <conditionalFormatting sqref="D79:H79">
    <cfRule type="expression" priority="210" dxfId="6">
      <formula>IF(NoColor,1,0)</formula>
    </cfRule>
  </conditionalFormatting>
  <conditionalFormatting sqref="D87:H87">
    <cfRule type="expression" priority="73" dxfId="6">
      <formula>IF(NoColor,1,0)</formula>
    </cfRule>
  </conditionalFormatting>
  <conditionalFormatting sqref="D95:H95">
    <cfRule type="expression" priority="69" dxfId="6">
      <formula>IF(NoColor,1,0)</formula>
    </cfRule>
  </conditionalFormatting>
  <conditionalFormatting sqref="D103:H103">
    <cfRule type="expression" priority="65" dxfId="6">
      <formula>IF(NoColor,1,0)</formula>
    </cfRule>
  </conditionalFormatting>
  <conditionalFormatting sqref="G45:P45">
    <cfRule type="expression" priority="92" dxfId="46">
      <formula>IF($D$37="",1,0)</formula>
    </cfRule>
  </conditionalFormatting>
  <conditionalFormatting sqref="G50:P61">
    <cfRule type="expression" priority="91" dxfId="46">
      <formula>IF($D$37&lt;&gt;"",1,0)</formula>
    </cfRule>
  </conditionalFormatting>
  <conditionalFormatting sqref="G45:AJ45">
    <cfRule type="expression" priority="30" dxfId="6">
      <formula>IF(NoColor,1,0)</formula>
    </cfRule>
  </conditionalFormatting>
  <conditionalFormatting sqref="G50:AJ61">
    <cfRule type="expression" priority="28" dxfId="6">
      <formula>IF(NoColor,1,0)</formula>
    </cfRule>
  </conditionalFormatting>
  <conditionalFormatting sqref="I120:M120">
    <cfRule type="expression" priority="12" dxfId="6">
      <formula>IF(NoColor,1,0)</formula>
    </cfRule>
  </conditionalFormatting>
  <conditionalFormatting sqref="I122:M122">
    <cfRule type="expression" priority="8" dxfId="6">
      <formula>IF(NoColor,1,0)</formula>
    </cfRule>
  </conditionalFormatting>
  <conditionalFormatting sqref="J84:N84">
    <cfRule type="expression" priority="206" dxfId="6">
      <formula>IF(NoColor,1,0)</formula>
    </cfRule>
  </conditionalFormatting>
  <conditionalFormatting sqref="J92:N92">
    <cfRule type="expression" priority="57" dxfId="6">
      <formula>IF(NoColor,1,0)</formula>
    </cfRule>
  </conditionalFormatting>
  <conditionalFormatting sqref="J100:N100">
    <cfRule type="expression" priority="54" dxfId="6">
      <formula>IF(NoColor,1,0)</formula>
    </cfRule>
  </conditionalFormatting>
  <conditionalFormatting sqref="J108:N108">
    <cfRule type="expression" priority="51" dxfId="6">
      <formula>IF(NoColor,1,0)</formula>
    </cfRule>
  </conditionalFormatting>
  <conditionalFormatting sqref="M2">
    <cfRule type="expression" priority="75" dxfId="6">
      <formula>IF(NoColor,1,0)</formula>
    </cfRule>
  </conditionalFormatting>
  <conditionalFormatting sqref="M20:R20">
    <cfRule type="expression" priority="231" dxfId="6">
      <formula>IF(NoColor,1,0)</formula>
    </cfRule>
  </conditionalFormatting>
  <conditionalFormatting sqref="M30:R30">
    <cfRule type="expression" priority="247" dxfId="6">
      <formula>IF(NoColor,1,0)</formula>
    </cfRule>
  </conditionalFormatting>
  <conditionalFormatting sqref="N79:R79">
    <cfRule type="expression" priority="209" dxfId="6">
      <formula>IF(NoColor,1,0)</formula>
    </cfRule>
  </conditionalFormatting>
  <conditionalFormatting sqref="N87:R87">
    <cfRule type="expression" priority="72" dxfId="6">
      <formula>IF(NoColor,1,0)</formula>
    </cfRule>
  </conditionalFormatting>
  <conditionalFormatting sqref="N95:R95">
    <cfRule type="expression" priority="68" dxfId="6">
      <formula>IF(NoColor,1,0)</formula>
    </cfRule>
  </conditionalFormatting>
  <conditionalFormatting sqref="N103:R103">
    <cfRule type="expression" priority="64" dxfId="6">
      <formula>IF(NoColor,1,0)</formula>
    </cfRule>
  </conditionalFormatting>
  <conditionalFormatting sqref="O25">
    <cfRule type="expression" priority="140" dxfId="6">
      <formula>IF(NoColor,1,0)</formula>
    </cfRule>
  </conditionalFormatting>
  <conditionalFormatting sqref="P120:T120">
    <cfRule type="expression" priority="11" dxfId="6">
      <formula>IF(NoColor,1,0)</formula>
    </cfRule>
  </conditionalFormatting>
  <conditionalFormatting sqref="P122:T122">
    <cfRule type="expression" priority="7" dxfId="6">
      <formula>IF(NoColor,1,0)</formula>
    </cfRule>
  </conditionalFormatting>
  <conditionalFormatting sqref="S25">
    <cfRule type="expression" priority="141" dxfId="6">
      <formula>IF(NoColor,1,0)</formula>
    </cfRule>
  </conditionalFormatting>
  <conditionalFormatting sqref="S84:W84">
    <cfRule type="expression" priority="205" dxfId="6">
      <formula>IF(NoColor,1,0)</formula>
    </cfRule>
  </conditionalFormatting>
  <conditionalFormatting sqref="S92:W92">
    <cfRule type="expression" priority="56" dxfId="6">
      <formula>IF(NoColor,1,0)</formula>
    </cfRule>
  </conditionalFormatting>
  <conditionalFormatting sqref="S100:W100">
    <cfRule type="expression" priority="53" dxfId="6">
      <formula>IF(NoColor,1,0)</formula>
    </cfRule>
  </conditionalFormatting>
  <conditionalFormatting sqref="S108:W108">
    <cfRule type="expression" priority="50" dxfId="6">
      <formula>IF(NoColor,1,0)</formula>
    </cfRule>
  </conditionalFormatting>
  <conditionalFormatting sqref="W2">
    <cfRule type="expression" priority="113" dxfId="6">
      <formula>IF(NoColor,1,0)</formula>
    </cfRule>
  </conditionalFormatting>
  <conditionalFormatting sqref="W25">
    <cfRule type="expression" priority="142" dxfId="6">
      <formula>IF(NoColor,1,0)</formula>
    </cfRule>
  </conditionalFormatting>
  <conditionalFormatting sqref="W79:AA79">
    <cfRule type="expression" priority="208" dxfId="6">
      <formula>IF(NoColor,1,0)</formula>
    </cfRule>
  </conditionalFormatting>
  <conditionalFormatting sqref="W87:AA87">
    <cfRule type="expression" priority="71" dxfId="6">
      <formula>IF(NoColor,1,0)</formula>
    </cfRule>
  </conditionalFormatting>
  <conditionalFormatting sqref="W95:AA95">
    <cfRule type="expression" priority="67" dxfId="6">
      <formula>IF(NoColor,1,0)</formula>
    </cfRule>
  </conditionalFormatting>
  <conditionalFormatting sqref="W103:AA103">
    <cfRule type="expression" priority="63" dxfId="6">
      <formula>IF(NoColor,1,0)</formula>
    </cfRule>
  </conditionalFormatting>
  <conditionalFormatting sqref="W120:AA120">
    <cfRule type="expression" priority="10" dxfId="6">
      <formula>IF(NoColor,1,0)</formula>
    </cfRule>
  </conditionalFormatting>
  <conditionalFormatting sqref="W122:AA122">
    <cfRule type="expression" priority="6" dxfId="6">
      <formula>IF(NoColor,1,0)</formula>
    </cfRule>
  </conditionalFormatting>
  <conditionalFormatting sqref="X19:AC20">
    <cfRule type="expression" priority="45" dxfId="6">
      <formula>IF(NoColor,1,0)</formula>
    </cfRule>
  </conditionalFormatting>
  <conditionalFormatting sqref="Y10">
    <cfRule type="expression" priority="89" dxfId="6">
      <formula>IF(NoColor,1,0)</formula>
    </cfRule>
  </conditionalFormatting>
  <conditionalFormatting sqref="AB84:AF84">
    <cfRule type="expression" priority="204" dxfId="6">
      <formula>IF(NoColor,1,0)</formula>
    </cfRule>
  </conditionalFormatting>
  <conditionalFormatting sqref="AB92:AF92">
    <cfRule type="expression" priority="55" dxfId="6">
      <formula>IF(NoColor,1,0)</formula>
    </cfRule>
  </conditionalFormatting>
  <conditionalFormatting sqref="AB100:AF100">
    <cfRule type="expression" priority="52" dxfId="6">
      <formula>IF(NoColor,1,0)</formula>
    </cfRule>
  </conditionalFormatting>
  <conditionalFormatting sqref="AB108:AF108">
    <cfRule type="expression" priority="49" dxfId="6">
      <formula>IF(NoColor,1,0)</formula>
    </cfRule>
  </conditionalFormatting>
  <conditionalFormatting sqref="AD79:AH79">
    <cfRule type="expression" priority="207" dxfId="6">
      <formula>IF(NoColor,1,0)</formula>
    </cfRule>
  </conditionalFormatting>
  <conditionalFormatting sqref="AD87:AH87">
    <cfRule type="expression" priority="70" dxfId="6">
      <formula>IF(NoColor,1,0)</formula>
    </cfRule>
  </conditionalFormatting>
  <conditionalFormatting sqref="AD95:AH95">
    <cfRule type="expression" priority="66" dxfId="6">
      <formula>IF(NoColor,1,0)</formula>
    </cfRule>
  </conditionalFormatting>
  <conditionalFormatting sqref="AD103:AH103">
    <cfRule type="expression" priority="62" dxfId="6">
      <formula>IF(NoColor,1,0)</formula>
    </cfRule>
  </conditionalFormatting>
  <conditionalFormatting sqref="AD120:AH120">
    <cfRule type="expression" priority="9" dxfId="6">
      <formula>IF(NoColor,1,0)</formula>
    </cfRule>
  </conditionalFormatting>
  <conditionalFormatting sqref="AD122:AH122">
    <cfRule type="expression" priority="5" dxfId="6">
      <formula>IF(NoColor,1,0)</formula>
    </cfRule>
  </conditionalFormatting>
  <conditionalFormatting sqref="AE25:AE26">
    <cfRule type="expression" priority="228" dxfId="6">
      <formula>IF(NoColor,1,0)</formula>
    </cfRule>
  </conditionalFormatting>
  <conditionalFormatting sqref="AE17:AJ17">
    <cfRule type="expression" priority="221" dxfId="6">
      <formula>IF(NoColor,1,0)</formula>
    </cfRule>
  </conditionalFormatting>
  <conditionalFormatting sqref="AE22:AJ22">
    <cfRule type="expression" priority="225" dxfId="6">
      <formula>IF(NoColor,1,0)</formula>
    </cfRule>
  </conditionalFormatting>
  <conditionalFormatting sqref="AE25:AJ25">
    <cfRule type="expression" priority="227" dxfId="6">
      <formula>IF(NoColor,1,0)</formula>
    </cfRule>
  </conditionalFormatting>
  <conditionalFormatting sqref="AE28:AJ28">
    <cfRule type="expression" priority="243" dxfId="6">
      <formula>IF(NoColor,1,0)</formula>
    </cfRule>
  </conditionalFormatting>
  <conditionalFormatting sqref="AE30:AJ30">
    <cfRule type="expression" priority="245" dxfId="6">
      <formula>IF(NoColor,1,0)</formula>
    </cfRule>
  </conditionalFormatting>
  <conditionalFormatting sqref="AE68:AJ68">
    <cfRule type="expression" priority="215" dxfId="6">
      <formula>IF(NoColor,1,0)</formula>
    </cfRule>
  </conditionalFormatting>
  <conditionalFormatting sqref="AE70:AJ72">
    <cfRule type="expression" priority="138" dxfId="6">
      <formula>IF(NoColor,1,0)</formula>
    </cfRule>
  </conditionalFormatting>
  <conditionalFormatting sqref="AF61:AJ61">
    <cfRule type="expression" priority="1" dxfId="46">
      <formula>IF($D$37&lt;&gt;"",1,0)</formula>
    </cfRule>
  </conditionalFormatting>
  <conditionalFormatting sqref="AI13">
    <cfRule type="expression" priority="26" dxfId="6">
      <formula>IF(NoColor,1,0)</formula>
    </cfRule>
  </conditionalFormatting>
  <conditionalFormatting sqref="AJ15">
    <cfRule type="expression" priority="153" dxfId="20">
      <formula>IF(AL15&lt;&gt;"",1,0)</formula>
    </cfRule>
  </conditionalFormatting>
  <conditionalFormatting sqref="AJ26">
    <cfRule type="expression" priority="229" dxfId="6">
      <formula>IF(NoColor,1,0)</formula>
    </cfRule>
  </conditionalFormatting>
  <conditionalFormatting sqref="AL13">
    <cfRule type="expression" priority="4822" dxfId="41">
      <formula>IF(AND(File_Marr_Sep&lt;&gt;"",#REF!&lt;&gt;""),TRUE,FALSE)</formula>
    </cfRule>
    <cfRule type="expression" priority="4823" dxfId="40">
      <formula>OR(File_Marr_Sep&lt;&gt;"",AND(File_Marr_Sep="",AI13&lt;&gt;""))</formula>
    </cfRule>
  </conditionalFormatting>
  <conditionalFormatting sqref="AL15">
    <cfRule type="expression" priority="43" dxfId="39">
      <formula>OR($AM$13,$AL$15&lt;&gt;"")</formula>
    </cfRule>
  </conditionalFormatting>
  <conditionalFormatting sqref="AM5:AR11">
    <cfRule type="expression" priority="4820" dxfId="38">
      <formula>File_Marr_Sep&lt;&gt;""</formula>
    </cfRule>
  </conditionalFormatting>
  <conditionalFormatting sqref="AP57 AP65:AP66">
    <cfRule type="expression" priority="4857" dxfId="37">
      <formula>AND($AR$67&lt;&gt;"---",$AR$67&lt;&gt;"",$AV$68)</formula>
    </cfRule>
  </conditionalFormatting>
  <conditionalFormatting sqref="AP59 AP67">
    <cfRule type="expression" priority="4859" dxfId="4">
      <formula>AND($AR$67&lt;&gt;"",NOT($AV$68))</formula>
    </cfRule>
  </conditionalFormatting>
  <conditionalFormatting sqref="AP69">
    <cfRule type="expression" priority="18" dxfId="34">
      <formula>$AP$68</formula>
    </cfRule>
  </conditionalFormatting>
  <conditionalFormatting sqref="AP70">
    <cfRule type="expression" priority="4856" dxfId="34">
      <formula>AND($AR$67&lt;&gt;"",$AR$67&lt;100)</formula>
    </cfRule>
  </conditionalFormatting>
  <conditionalFormatting sqref="AS2">
    <cfRule type="expression" priority="152" dxfId="33">
      <formula>IF(File_Marr_Sep&lt;&gt;"",TRUE,FALSE)</formula>
    </cfRule>
  </conditionalFormatting>
  <conditionalFormatting sqref="AU29">
    <cfRule type="expression" priority="136" dxfId="6">
      <formula>IF(NoColor,1,0)</formula>
    </cfRule>
  </conditionalFormatting>
  <conditionalFormatting sqref="AU33">
    <cfRule type="expression" priority="78" dxfId="6">
      <formula>IF(NoColor,1,0)</formula>
    </cfRule>
  </conditionalFormatting>
  <conditionalFormatting sqref="AU42">
    <cfRule type="expression" priority="2" dxfId="6">
      <formula>IF(NoColor,1,0)</formula>
    </cfRule>
  </conditionalFormatting>
  <conditionalFormatting sqref="AV25">
    <cfRule type="expression" priority="129" dxfId="6">
      <formula>IF(NoColor,1,0)</formula>
    </cfRule>
  </conditionalFormatting>
  <conditionalFormatting sqref="AV45">
    <cfRule type="expression" priority="31" dxfId="6">
      <formula>IF(NoColor,1,0)</formula>
    </cfRule>
  </conditionalFormatting>
  <conditionalFormatting sqref="BG30">
    <cfRule type="expression" priority="118" dxfId="6">
      <formula>IF(NoColor,1,0)</formula>
    </cfRule>
  </conditionalFormatting>
  <conditionalFormatting sqref="BG35">
    <cfRule type="expression" priority="27" dxfId="6">
      <formula>IF(NoColor,1,0)</formula>
    </cfRule>
  </conditionalFormatting>
  <conditionalFormatting sqref="BG42">
    <cfRule type="expression" priority="36" dxfId="6">
      <formula>IF(NoColor,1,0)</formula>
    </cfRule>
  </conditionalFormatting>
  <conditionalFormatting sqref="BH25">
    <cfRule type="expression" priority="123" dxfId="6">
      <formula>IF(NoColor,1,0)</formula>
    </cfRule>
  </conditionalFormatting>
  <conditionalFormatting sqref="BH46">
    <cfRule type="expression" priority="131" dxfId="6">
      <formula>IF(NoColor,1,0)</formula>
    </cfRule>
  </conditionalFormatting>
  <hyperlinks>
    <hyperlink xmlns:r="http://schemas.openxmlformats.org/officeDocument/2006/relationships" ref="B127" display="Download Form 8962" r:id="rId1"/>
    <hyperlink xmlns:r="http://schemas.openxmlformats.org/officeDocument/2006/relationships" ref="B129" display="Download Form 8962 Instructions" r:id="rId2"/>
  </hyperlinks>
  <pageMargins left="0.75" right="0.25" top="0.36" bottom="0.29" header="0.36" footer="0.21"/>
  <pageSetup orientation="portrait" scale="69" fitToHeight="0"/>
  <rowBreaks count="1" manualBreakCount="1">
    <brk id="73" min="1" max="35" man="1"/>
  </rowBreaks>
</worksheet>
</file>

<file path=xl/worksheets/sheet63.xml><?xml version="1.0" encoding="utf-8"?>
<worksheet xmlns="http://schemas.openxmlformats.org/spreadsheetml/2006/main">
  <sheetPr>
    <outlinePr summaryBelow="1" summaryRight="1"/>
    <pageSetUpPr fitToPage="1"/>
  </sheetPr>
  <dimension ref="A1:AY52"/>
  <sheetViews>
    <sheetView zoomScaleNormal="100" zoomScaleSheetLayoutView="100" workbookViewId="0">
      <selection activeCell="AB14" sqref="AB14:AG14"/>
    </sheetView>
  </sheetViews>
  <sheetFormatPr baseColWidth="8" defaultColWidth="3.42578125" defaultRowHeight="12.75"/>
  <cols>
    <col width="3.85546875" customWidth="1" style="7635" min="2" max="5"/>
    <col width="5.7109375" customWidth="1" style="7635" min="6" max="6"/>
    <col width="3.42578125" customWidth="1" style="7635" min="7" max="8"/>
    <col width="4.28515625" customWidth="1" style="7635" min="9" max="9"/>
    <col width="3.42578125" customWidth="1" style="7635" min="10" max="14"/>
    <col width="2.7109375" customWidth="1" style="7635" min="15" max="15"/>
    <col width="3.42578125" customWidth="1" style="7635" min="16" max="16"/>
    <col width="11.42578125" customWidth="1" style="7635" min="17" max="17"/>
    <col width="4.28515625" customWidth="1" style="7635" min="18" max="18"/>
    <col width="3.42578125" customWidth="1" style="7635" min="19" max="19"/>
    <col width="3.85546875" customWidth="1" style="7635" min="20" max="20"/>
    <col width="4.28515625" customWidth="1" style="7635" min="21" max="21"/>
    <col width="5" customWidth="1" style="7635" min="22" max="22"/>
    <col width="3.42578125" customWidth="1" style="7635" min="23" max="26"/>
    <col width="3.28515625" customWidth="1" style="7635" min="27" max="27"/>
    <col width="5" customWidth="1" style="7635" min="28" max="28"/>
    <col width="5.5703125" customWidth="1" style="7635" min="32" max="32"/>
    <col width="4.140625" customWidth="1" style="7635" min="33" max="33"/>
    <col width="4.140625" customWidth="1" style="7635" min="35" max="35"/>
    <col width="15" customWidth="1" style="7635" min="36" max="36"/>
    <col width="2.5703125" customWidth="1" style="7635" min="37" max="37"/>
    <col hidden="1" width="13.140625" customWidth="1" style="1224" min="38" max="38"/>
    <col width="15.85546875" customWidth="1" style="8648" min="39" max="39"/>
    <col width="14.5703125" customWidth="1" style="11704" min="41" max="41"/>
    <col width="10.7109375" customWidth="1" style="658" min="42" max="51"/>
    <col width="3.28515625" customWidth="1" style="7635" min="54" max="64"/>
  </cols>
  <sheetData>
    <row r="1" ht="15" customHeight="1" s="7635">
      <c r="A1" s="1277" t="n"/>
      <c r="B1" s="1277" t="n"/>
      <c r="C1" s="1277" t="n"/>
      <c r="D1" s="1277" t="n"/>
      <c r="E1" s="1277" t="n"/>
      <c r="F1" s="1277" t="n"/>
      <c r="G1" s="1277" t="n"/>
      <c r="H1" s="1277" t="n"/>
      <c r="I1" s="1277" t="n"/>
      <c r="J1" s="1277" t="n"/>
      <c r="K1" s="1277" t="n"/>
      <c r="L1" s="1277" t="n"/>
      <c r="M1" s="1277" t="n"/>
      <c r="N1" s="1277" t="n"/>
      <c r="O1" s="1277" t="n"/>
      <c r="P1" s="1277" t="n"/>
      <c r="Q1" s="1277" t="n"/>
      <c r="R1" s="1277" t="n"/>
      <c r="S1" s="1277" t="n"/>
      <c r="T1" s="1277" t="n"/>
      <c r="U1" s="1277" t="n"/>
      <c r="V1" s="1277" t="n"/>
      <c r="W1" s="1277" t="n"/>
      <c r="X1" s="1277" t="n"/>
      <c r="Y1" s="1277" t="n"/>
      <c r="Z1" s="1277" t="n"/>
      <c r="AA1" s="1277" t="n"/>
      <c r="AB1" s="1277" t="n"/>
      <c r="AC1" s="1277" t="n"/>
      <c r="AD1" s="1277" t="n"/>
      <c r="AE1" s="1277" t="n"/>
      <c r="AF1" s="1277" t="n"/>
      <c r="AG1" s="1277" t="n"/>
      <c r="AH1" s="1277" t="n"/>
      <c r="AJ1" s="2875" t="n"/>
      <c r="AO1" s="11697" t="inlineStr">
        <is>
          <t>Notes</t>
        </is>
      </c>
    </row>
    <row r="2" ht="18" customHeight="1" s="7635">
      <c r="A2" s="1277" t="n"/>
      <c r="B2" s="11641" t="inlineStr">
        <is>
          <t xml:space="preserve"> Form</t>
        </is>
      </c>
      <c r="D2" s="11643" t="n">
        <v>8995</v>
      </c>
      <c r="F2" s="1066" t="n"/>
      <c r="G2" s="2876" t="n"/>
      <c r="H2" s="11602" t="n"/>
      <c r="I2" s="11602" t="n"/>
      <c r="J2" s="11602" t="n"/>
      <c r="K2" s="11602" t="n"/>
      <c r="L2" s="11602" t="n"/>
      <c r="M2" s="11602" t="n"/>
      <c r="N2" s="11602" t="n"/>
      <c r="O2" s="344" t="n"/>
      <c r="P2" s="11602" t="n"/>
      <c r="Q2" s="2740" t="n"/>
      <c r="R2" s="11602" t="n"/>
      <c r="S2" s="11602" t="n"/>
      <c r="T2" s="11602" t="n"/>
      <c r="U2" s="11602" t="n"/>
      <c r="V2" s="11602" t="n"/>
      <c r="W2" s="11602" t="n"/>
      <c r="X2" s="11602" t="n"/>
      <c r="Y2" s="11602" t="n"/>
      <c r="Z2" s="11602" t="n"/>
      <c r="AA2" s="11602" t="n"/>
      <c r="AB2" s="11646" t="inlineStr">
        <is>
          <t>OMB No. 1545-0123</t>
        </is>
      </c>
      <c r="AC2" s="7637" t="n"/>
      <c r="AD2" s="7637" t="n"/>
      <c r="AE2" s="7637" t="n"/>
      <c r="AF2" s="7637" t="n"/>
      <c r="AG2" s="7637" t="n"/>
      <c r="AH2" s="1277" t="n"/>
      <c r="AJ2" s="2875" t="n"/>
      <c r="AO2" s="12828" t="inlineStr">
        <is>
          <t>Dates</t>
        </is>
      </c>
    </row>
    <row r="3" ht="19.5" customHeight="1" s="7635">
      <c r="A3" s="1277" t="n"/>
      <c r="F3" s="1066" t="n"/>
      <c r="G3" s="12273" t="inlineStr">
        <is>
          <t>Qualified Business Income Deduction</t>
        </is>
      </c>
      <c r="AA3" s="1066" t="n"/>
      <c r="AB3" s="7892">
        <f>TaxYear</f>
        <v/>
      </c>
      <c r="AC3" s="7839" t="n"/>
      <c r="AD3" s="7839" t="n"/>
      <c r="AE3" s="7839" t="n"/>
      <c r="AF3" s="7839" t="n"/>
      <c r="AG3" s="7839" t="n"/>
      <c r="AH3" s="1277" t="n"/>
      <c r="AJ3" s="2875" t="n"/>
      <c r="AL3" s="1224" t="n">
        <v>197300</v>
      </c>
    </row>
    <row r="4" ht="19.5" customHeight="1" s="7635">
      <c r="A4" s="1277" t="n"/>
      <c r="B4" s="11994" t="n"/>
      <c r="F4" s="1066" t="n"/>
      <c r="G4" s="12860" t="inlineStr">
        <is>
          <t>Simplified Computation</t>
        </is>
      </c>
      <c r="AA4" s="1066" t="n"/>
      <c r="AB4" s="11741" t="n"/>
      <c r="AH4" s="1277" t="n"/>
      <c r="AJ4" s="2875" t="n"/>
      <c r="AL4" s="6699" t="n">
        <v>170050</v>
      </c>
    </row>
    <row r="5" ht="14.25" customHeight="1" s="7635">
      <c r="A5" s="1277" t="n"/>
      <c r="B5" s="7952" t="inlineStr">
        <is>
          <t>Department of the Treasury</t>
        </is>
      </c>
      <c r="F5" s="1066" t="n"/>
      <c r="G5" s="341" t="n"/>
      <c r="H5" s="11602" t="n"/>
      <c r="I5" s="11602" t="n"/>
      <c r="J5" s="11602" t="n"/>
      <c r="K5" s="11602" t="n"/>
      <c r="L5" s="11602" t="n"/>
      <c r="M5" s="11602" t="n"/>
      <c r="N5" s="11602" t="n"/>
      <c r="O5" s="11602" t="n"/>
      <c r="P5" s="7914" t="n"/>
      <c r="Q5" s="7914" t="inlineStr">
        <is>
          <t>Attach to your tax return.</t>
        </is>
      </c>
      <c r="R5" s="11602" t="n"/>
      <c r="S5" s="11602" t="n"/>
      <c r="T5" s="11602" t="n"/>
      <c r="U5" s="11602" t="n"/>
      <c r="V5" s="11602" t="n"/>
      <c r="W5" s="11602" t="n"/>
      <c r="X5" s="11602" t="n"/>
      <c r="Y5" s="11602" t="n"/>
      <c r="Z5" s="11602" t="n"/>
      <c r="AA5" s="11602" t="n"/>
      <c r="AB5" s="2877" t="inlineStr">
        <is>
          <t>Attachment</t>
        </is>
      </c>
      <c r="AC5" s="2126" t="n"/>
      <c r="AD5" s="2878" t="n"/>
      <c r="AE5" s="2878" t="n"/>
      <c r="AF5" s="12861" t="n">
        <v>55</v>
      </c>
      <c r="AG5" s="2878" t="n"/>
      <c r="AH5" s="1277" t="n"/>
      <c r="AJ5" s="2875" t="n"/>
      <c r="AL5" s="1224" t="n">
        <v>394600</v>
      </c>
    </row>
    <row r="6" ht="13.5" customHeight="1" s="7635" thickBot="1">
      <c r="A6" s="1277" t="n"/>
      <c r="B6" s="11638" t="inlineStr">
        <is>
          <t>Internal Revenue Service</t>
        </is>
      </c>
      <c r="C6" s="8848" t="n"/>
      <c r="D6" s="8848" t="n"/>
      <c r="E6" s="8848" t="n"/>
      <c r="F6" s="2627" t="n"/>
      <c r="G6" s="2879" t="inlineStr">
        <is>
          <t>Go to www.irs.gov/Form8995 for instructions and the latest information.</t>
        </is>
      </c>
      <c r="H6" s="2880" t="n"/>
      <c r="I6" s="2879" t="n"/>
      <c r="J6" s="2881" t="n"/>
      <c r="K6" s="2880" t="n"/>
      <c r="L6" s="2880" t="n"/>
      <c r="M6" s="2880" t="n"/>
      <c r="N6" s="2880" t="n"/>
      <c r="O6" s="2880" t="n"/>
      <c r="P6" s="2880" t="n"/>
      <c r="Q6" s="2880" t="n"/>
      <c r="R6" s="2880" t="n"/>
      <c r="S6" s="2880" t="n"/>
      <c r="T6" s="2880" t="n"/>
      <c r="U6" s="2880" t="n"/>
      <c r="V6" s="2880" t="n"/>
      <c r="W6" s="2880" t="n"/>
      <c r="X6" s="2880" t="n"/>
      <c r="Y6" s="2880" t="n"/>
      <c r="Z6" s="2880" t="n"/>
      <c r="AA6" s="2880" t="n"/>
      <c r="AB6" s="2882" t="inlineStr">
        <is>
          <t>Sequence No.</t>
        </is>
      </c>
      <c r="AC6" s="2126" t="n"/>
      <c r="AD6" s="2883" t="n"/>
      <c r="AE6" s="2883" t="n"/>
      <c r="AF6" s="8848" t="n"/>
      <c r="AG6" s="2883" t="n"/>
      <c r="AH6" s="1277" t="n"/>
      <c r="AJ6" s="2875" t="n"/>
      <c r="AL6" s="1224">
        <f>IF(File_Marr_Joint&lt;&gt;"",AL5,AL3)</f>
        <v/>
      </c>
    </row>
    <row r="7">
      <c r="A7" s="1277" t="n"/>
      <c r="B7" s="344" t="inlineStr">
        <is>
          <t>Name(s) shown on return</t>
        </is>
      </c>
      <c r="C7" s="11602" t="n"/>
      <c r="D7" s="11602" t="n"/>
      <c r="E7" s="11602" t="n"/>
      <c r="F7" s="11602" t="n"/>
      <c r="G7" s="11602" t="n"/>
      <c r="H7" s="11602" t="n"/>
      <c r="I7" s="11602" t="n"/>
      <c r="J7" s="11602" t="n"/>
      <c r="K7" s="11602" t="n"/>
      <c r="L7" s="11602" t="n"/>
      <c r="M7" s="11602" t="n"/>
      <c r="N7" s="11602" t="n"/>
      <c r="O7" s="11602" t="n"/>
      <c r="P7" s="11602" t="n"/>
      <c r="Q7" s="11602" t="n"/>
      <c r="R7" s="11602" t="n"/>
      <c r="S7" s="11602" t="n"/>
      <c r="T7" s="11602" t="n"/>
      <c r="U7" s="11602" t="n"/>
      <c r="V7" s="11602" t="n"/>
      <c r="W7" s="11602" t="n"/>
      <c r="X7" s="11602" t="n"/>
      <c r="Y7" s="2884" t="n"/>
      <c r="Z7" s="11602" t="n"/>
      <c r="AA7" s="11602" t="n"/>
      <c r="AB7" s="2884" t="n"/>
      <c r="AC7" s="2885" t="inlineStr">
        <is>
          <t xml:space="preserve">  Your taxpayer identifcation number</t>
        </is>
      </c>
      <c r="AD7" s="377" t="n"/>
      <c r="AE7" s="377" t="n"/>
      <c r="AF7" s="377" t="n"/>
      <c r="AG7" s="377" t="n"/>
      <c r="AH7" s="1277" t="n"/>
      <c r="AJ7" s="2875" t="n"/>
      <c r="AL7" s="1224">
        <f>SUM(Adj_Gross_Inc,-Deductions)</f>
        <v/>
      </c>
    </row>
    <row r="8" ht="9.75" customHeight="1" s="7635">
      <c r="A8" s="1277" t="n"/>
      <c r="B8" s="11650">
        <f>Names</f>
        <v/>
      </c>
      <c r="C8" s="194" t="n"/>
      <c r="D8" s="194" t="n"/>
      <c r="E8" s="194" t="n"/>
      <c r="F8" s="194" t="n"/>
      <c r="G8" s="194" t="n"/>
      <c r="H8" s="194" t="n"/>
      <c r="I8" s="194" t="n"/>
      <c r="J8" s="194" t="n"/>
      <c r="K8" s="194" t="n"/>
      <c r="L8" s="194" t="n"/>
      <c r="M8" s="194" t="n"/>
      <c r="N8" s="194" t="n"/>
      <c r="O8" s="194" t="n"/>
      <c r="P8" s="194" t="n"/>
      <c r="Q8" s="194" t="n"/>
      <c r="R8" s="194" t="n"/>
      <c r="S8" s="194" t="n"/>
      <c r="T8" s="194" t="n"/>
      <c r="U8" s="194" t="n"/>
      <c r="V8" s="194" t="n"/>
      <c r="W8" s="194" t="n"/>
      <c r="X8" s="11726" t="n"/>
      <c r="Y8" s="12862">
        <f>IF(NoSSN,"",SS_Yours)</f>
        <v/>
      </c>
      <c r="Z8" s="194" t="n"/>
      <c r="AA8" s="194" t="n"/>
      <c r="AB8" s="194" t="n"/>
      <c r="AC8" s="194" t="n"/>
      <c r="AD8" s="194" t="n"/>
      <c r="AE8" s="194" t="n"/>
      <c r="AF8" s="194" t="n"/>
      <c r="AG8" s="194" t="n"/>
      <c r="AH8" s="1277" t="n"/>
      <c r="AJ8" s="2875" t="n"/>
    </row>
    <row r="9" ht="9.75" customHeight="1" s="7635">
      <c r="A9" s="1277" t="n"/>
      <c r="B9" s="11717" t="n"/>
      <c r="C9" s="11717" t="n"/>
      <c r="D9" s="11717" t="n"/>
      <c r="E9" s="11717" t="n"/>
      <c r="F9" s="11717" t="n"/>
      <c r="G9" s="11717" t="n"/>
      <c r="H9" s="11717" t="n"/>
      <c r="I9" s="11717" t="n"/>
      <c r="J9" s="11717" t="n"/>
      <c r="K9" s="11717" t="n"/>
      <c r="L9" s="11717" t="n"/>
      <c r="M9" s="11717" t="n"/>
      <c r="N9" s="11717" t="n"/>
      <c r="O9" s="11717" t="n"/>
      <c r="P9" s="11717" t="n"/>
      <c r="Q9" s="11717" t="n"/>
      <c r="R9" s="11717" t="n"/>
      <c r="S9" s="11717" t="n"/>
      <c r="T9" s="11717" t="n"/>
      <c r="U9" s="11717" t="n"/>
      <c r="V9" s="11717" t="n"/>
      <c r="W9" s="11717" t="n"/>
      <c r="X9" s="11718" t="n"/>
      <c r="Y9" s="11728" t="n"/>
      <c r="Z9" s="11717" t="n"/>
      <c r="AA9" s="11717" t="n"/>
      <c r="AB9" s="11717" t="n"/>
      <c r="AC9" s="11717" t="n"/>
      <c r="AD9" s="11717" t="n"/>
      <c r="AE9" s="11717" t="n"/>
      <c r="AF9" s="11717" t="n"/>
      <c r="AG9" s="11717" t="n"/>
      <c r="AH9" s="1277" t="n"/>
      <c r="AI9" s="635" t="n"/>
      <c r="AJ9" s="2886">
        <f>IF(AL10,"Hide emphasis.","")</f>
        <v/>
      </c>
      <c r="AL9" s="5061">
        <f>(AL7&gt;AL6)</f>
        <v/>
      </c>
      <c r="AM9" s="9123" t="n"/>
    </row>
    <row r="10" ht="42" customHeight="1" s="7635">
      <c r="A10" s="1277" t="n"/>
      <c r="B10" s="11634" t="inlineStr">
        <is>
          <t>Note. You can claim the qualified business income deduction only if you have qualified business income from a qualified trade or 
business, real estate investment trust dividends, publicly traded partnership income, or a domestic production activities deduction 
passed through from an agricultural or horticultural cooperative. See instructions.</t>
        </is>
      </c>
      <c r="C10" s="7839" t="n"/>
      <c r="D10" s="7839" t="n"/>
      <c r="E10" s="7839" t="n"/>
      <c r="F10" s="7839" t="n"/>
      <c r="G10" s="7839" t="n"/>
      <c r="H10" s="7839" t="n"/>
      <c r="I10" s="7839" t="n"/>
      <c r="J10" s="7839" t="n"/>
      <c r="K10" s="7839" t="n"/>
      <c r="L10" s="7839" t="n"/>
      <c r="M10" s="7839" t="n"/>
      <c r="N10" s="7839" t="n"/>
      <c r="O10" s="7839" t="n"/>
      <c r="P10" s="7839" t="n"/>
      <c r="Q10" s="7839" t="n"/>
      <c r="R10" s="7839" t="n"/>
      <c r="S10" s="7839" t="n"/>
      <c r="T10" s="7839" t="n"/>
      <c r="U10" s="7839" t="n"/>
      <c r="V10" s="7839" t="n"/>
      <c r="W10" s="7839" t="n"/>
      <c r="X10" s="7839" t="n"/>
      <c r="Y10" s="7839" t="n"/>
      <c r="Z10" s="7839" t="n"/>
      <c r="AA10" s="7839" t="n"/>
      <c r="AB10" s="7839" t="n"/>
      <c r="AC10" s="7839" t="n"/>
      <c r="AD10" s="7839" t="n"/>
      <c r="AE10" s="7839" t="n"/>
      <c r="AF10" s="7839" t="n"/>
      <c r="AG10" s="7839" t="n"/>
      <c r="AH10" s="1277" t="n"/>
      <c r="AJ10" s="11633">
        <f>IF(AL10,"Your taxable income, before your QBI deduction, is "&amp;TEXT(AL7,"$0,000")&amp;".","")</f>
        <v/>
      </c>
      <c r="AL10" s="5061">
        <f>AND(AL11,AL9)</f>
        <v/>
      </c>
    </row>
    <row r="11" ht="30" customFormat="1" customHeight="1" s="138">
      <c r="A11" s="2888" t="n"/>
      <c r="B11" s="11635">
        <f>"Use this form if your taxable income, before your qualified business income deduction, is at or below "&amp;TEXT(AL3,"$0,000")&amp;" ("&amp;TEXT(AL5,"$0,000")&amp;" if married"&amp;CHAR(10)&amp;"filing jointly), and you aren't a patron of an agricultural or horticultural cooperative."</f>
        <v/>
      </c>
      <c r="C11" s="7637" t="n"/>
      <c r="D11" s="7637" t="n"/>
      <c r="E11" s="7637" t="n"/>
      <c r="F11" s="7637" t="n"/>
      <c r="G11" s="7637" t="n"/>
      <c r="H11" s="7637" t="n"/>
      <c r="I11" s="7637" t="n"/>
      <c r="J11" s="7637" t="n"/>
      <c r="K11" s="7637" t="n"/>
      <c r="L11" s="7637" t="n"/>
      <c r="M11" s="7637" t="n"/>
      <c r="N11" s="7637" t="n"/>
      <c r="O11" s="7637" t="n"/>
      <c r="P11" s="7637" t="n"/>
      <c r="Q11" s="7637" t="n"/>
      <c r="R11" s="7637" t="n"/>
      <c r="S11" s="7637" t="n"/>
      <c r="T11" s="7637" t="n"/>
      <c r="U11" s="7637" t="n"/>
      <c r="V11" s="7637" t="n"/>
      <c r="W11" s="7637" t="n"/>
      <c r="X11" s="7637" t="n"/>
      <c r="Y11" s="7637" t="n"/>
      <c r="Z11" s="7637" t="n"/>
      <c r="AA11" s="7637" t="n"/>
      <c r="AB11" s="7637" t="n"/>
      <c r="AC11" s="7637" t="n"/>
      <c r="AD11" s="7637" t="n"/>
      <c r="AE11" s="7637" t="n"/>
      <c r="AF11" s="7637" t="n"/>
      <c r="AG11" s="7637" t="n"/>
      <c r="AH11" s="2888" t="n"/>
      <c r="AL11" s="6700">
        <f>OR(AND(W25&lt;&gt;"",W25&lt;&gt;0),X26&lt;&gt;"",AND(W34&lt;&gt;"",W34&lt;&gt;0))</f>
        <v/>
      </c>
      <c r="AM11" s="4784" t="n"/>
      <c r="AO11" s="12863" t="n"/>
      <c r="AP11" s="662" t="n"/>
      <c r="AQ11" s="662" t="n"/>
      <c r="AR11" s="662" t="n"/>
      <c r="AS11" s="662" t="n"/>
      <c r="AT11" s="662" t="n"/>
      <c r="AU11" s="662" t="n"/>
      <c r="AV11" s="662" t="n"/>
      <c r="AW11" s="662" t="n"/>
      <c r="AX11" s="662" t="n"/>
      <c r="AY11" s="662" t="n"/>
    </row>
    <row r="12" ht="37.5" customHeight="1" s="7635">
      <c r="A12" s="1277" t="n"/>
      <c r="B12" s="12864" t="inlineStr">
        <is>
          <t xml:space="preserve">
1</t>
        </is>
      </c>
      <c r="C12" s="11734" t="n"/>
      <c r="D12" s="12865" t="inlineStr">
        <is>
          <t xml:space="preserve">
(a)  Trade, business, or aggregation name</t>
        </is>
      </c>
      <c r="E12" s="8412" t="n"/>
      <c r="F12" s="8412" t="n"/>
      <c r="G12" s="8412" t="n"/>
      <c r="H12" s="8412" t="n"/>
      <c r="I12" s="8412" t="n"/>
      <c r="J12" s="8412" t="n"/>
      <c r="K12" s="8412" t="n"/>
      <c r="L12" s="8412" t="n"/>
      <c r="M12" s="8412" t="n"/>
      <c r="N12" s="8412" t="n"/>
      <c r="O12" s="8412" t="n"/>
      <c r="P12" s="8412" t="n"/>
      <c r="Q12" s="8412" t="n"/>
      <c r="R12" s="8412" t="n"/>
      <c r="S12" s="8412" t="n"/>
      <c r="T12" s="8412" t="n"/>
      <c r="U12" s="11734" t="n"/>
      <c r="V12" s="11976" t="inlineStr">
        <is>
          <t>(b)  Taxpayer
identification number</t>
        </is>
      </c>
      <c r="W12" s="8412" t="n"/>
      <c r="X12" s="8412" t="n"/>
      <c r="Y12" s="8412" t="n"/>
      <c r="Z12" s="8412" t="n"/>
      <c r="AA12" s="11734" t="n"/>
      <c r="AB12" s="10079" t="inlineStr">
        <is>
          <t>(c)  Qualified business
income or (loss)</t>
        </is>
      </c>
      <c r="AC12" s="8412" t="n"/>
      <c r="AD12" s="8412" t="n"/>
      <c r="AE12" s="8412" t="n"/>
      <c r="AF12" s="8412" t="n"/>
      <c r="AG12" s="8412" t="n"/>
      <c r="AH12" s="1277" t="n"/>
      <c r="AJ12" s="2889" t="n"/>
    </row>
    <row r="13" ht="17.25" customHeight="1" s="7635">
      <c r="A13" s="1277" t="n"/>
      <c r="B13" s="12866" t="inlineStr">
        <is>
          <t>i</t>
        </is>
      </c>
      <c r="C13" s="10091" t="n"/>
      <c r="D13" s="12867" t="n"/>
      <c r="E13" s="11745" t="n"/>
      <c r="F13" s="11745" t="n"/>
      <c r="G13" s="11745" t="n"/>
      <c r="H13" s="11745" t="n"/>
      <c r="I13" s="11745" t="n"/>
      <c r="J13" s="11745" t="n"/>
      <c r="K13" s="11745" t="n"/>
      <c r="L13" s="11745" t="n"/>
      <c r="M13" s="11745" t="n"/>
      <c r="N13" s="11745" t="n"/>
      <c r="O13" s="11745" t="n"/>
      <c r="P13" s="11745" t="n"/>
      <c r="Q13" s="11745" t="n"/>
      <c r="R13" s="11745" t="n"/>
      <c r="S13" s="11745" t="n"/>
      <c r="T13" s="11745" t="n"/>
      <c r="U13" s="11948" t="n"/>
      <c r="V13" s="12736" t="n"/>
      <c r="W13" s="7839" t="n"/>
      <c r="X13" s="7839" t="n"/>
      <c r="Y13" s="7839" t="n"/>
      <c r="Z13" s="7839" t="n"/>
      <c r="AA13" s="10091" t="n"/>
      <c r="AB13" s="8998" t="n"/>
      <c r="AC13" s="7839" t="n"/>
      <c r="AD13" s="7839" t="n"/>
      <c r="AE13" s="7839" t="n"/>
      <c r="AF13" s="7839" t="n"/>
      <c r="AG13" s="7839" t="n"/>
      <c r="AH13" s="1277" t="n"/>
      <c r="AJ13" s="2889" t="n"/>
    </row>
    <row r="14" ht="17.25" customHeight="1" s="7635">
      <c r="A14" s="1277" t="n"/>
      <c r="B14" s="7637" t="n"/>
      <c r="C14" s="7638" t="n"/>
      <c r="D14" s="11728" t="n"/>
      <c r="E14" s="11717" t="n"/>
      <c r="F14" s="11717" t="n"/>
      <c r="G14" s="11717" t="n"/>
      <c r="H14" s="11717" t="n"/>
      <c r="I14" s="11717" t="n"/>
      <c r="J14" s="11717" t="n"/>
      <c r="K14" s="11717" t="n"/>
      <c r="L14" s="11717" t="n"/>
      <c r="M14" s="11717" t="n"/>
      <c r="N14" s="11717" t="n"/>
      <c r="O14" s="11717" t="n"/>
      <c r="P14" s="11717" t="n"/>
      <c r="Q14" s="11717" t="n"/>
      <c r="R14" s="11717" t="n"/>
      <c r="S14" s="11717" t="n"/>
      <c r="T14" s="11717" t="n"/>
      <c r="U14" s="11718" t="n"/>
      <c r="V14" s="12868" t="n"/>
      <c r="W14" s="11717" t="n"/>
      <c r="X14" s="11717" t="n"/>
      <c r="Y14" s="11717" t="n"/>
      <c r="Z14" s="11717" t="n"/>
      <c r="AA14" s="11718" t="n"/>
      <c r="AB14" s="11662" t="n"/>
      <c r="AC14" s="11717" t="n"/>
      <c r="AD14" s="11717" t="n"/>
      <c r="AE14" s="11717" t="n"/>
      <c r="AF14" s="11717" t="n"/>
      <c r="AG14" s="11717" t="n"/>
      <c r="AH14" s="1277" t="n"/>
      <c r="AJ14" s="2889" t="n"/>
    </row>
    <row r="15" ht="17.25" customHeight="1" s="7635">
      <c r="A15" s="1277" t="n"/>
      <c r="B15" s="12866" t="inlineStr">
        <is>
          <t>ii</t>
        </is>
      </c>
      <c r="C15" s="10091" t="n"/>
      <c r="D15" s="12867" t="n"/>
      <c r="E15" s="11745" t="n"/>
      <c r="F15" s="11745" t="n"/>
      <c r="G15" s="11745" t="n"/>
      <c r="H15" s="11745" t="n"/>
      <c r="I15" s="11745" t="n"/>
      <c r="J15" s="11745" t="n"/>
      <c r="K15" s="11745" t="n"/>
      <c r="L15" s="11745" t="n"/>
      <c r="M15" s="11745" t="n"/>
      <c r="N15" s="11745" t="n"/>
      <c r="O15" s="11745" t="n"/>
      <c r="P15" s="11745" t="n"/>
      <c r="Q15" s="11745" t="n"/>
      <c r="R15" s="11745" t="n"/>
      <c r="S15" s="11745" t="n"/>
      <c r="T15" s="11745" t="n"/>
      <c r="U15" s="11948" t="n"/>
      <c r="V15" s="12736" t="n"/>
      <c r="W15" s="7839" t="n"/>
      <c r="X15" s="7839" t="n"/>
      <c r="Y15" s="7839" t="n"/>
      <c r="Z15" s="7839" t="n"/>
      <c r="AA15" s="10091" t="n"/>
      <c r="AB15" s="8998" t="n"/>
      <c r="AC15" s="7839" t="n"/>
      <c r="AD15" s="7839" t="n"/>
      <c r="AE15" s="7839" t="n"/>
      <c r="AF15" s="7839" t="n"/>
      <c r="AG15" s="7839" t="n"/>
      <c r="AH15" s="1277" t="n"/>
      <c r="AJ15" s="2889" t="n"/>
    </row>
    <row r="16" ht="17.25" customHeight="1" s="7635">
      <c r="A16" s="1277" t="n"/>
      <c r="B16" s="7637" t="n"/>
      <c r="C16" s="7638" t="n"/>
      <c r="D16" s="11728" t="n"/>
      <c r="E16" s="11717" t="n"/>
      <c r="F16" s="11717" t="n"/>
      <c r="G16" s="11717" t="n"/>
      <c r="H16" s="11717" t="n"/>
      <c r="I16" s="11717" t="n"/>
      <c r="J16" s="11717" t="n"/>
      <c r="K16" s="11717" t="n"/>
      <c r="L16" s="11717" t="n"/>
      <c r="M16" s="11717" t="n"/>
      <c r="N16" s="11717" t="n"/>
      <c r="O16" s="11717" t="n"/>
      <c r="P16" s="11717" t="n"/>
      <c r="Q16" s="11717" t="n"/>
      <c r="R16" s="11717" t="n"/>
      <c r="S16" s="11717" t="n"/>
      <c r="T16" s="11717" t="n"/>
      <c r="U16" s="11718" t="n"/>
      <c r="V16" s="12868" t="n"/>
      <c r="W16" s="11717" t="n"/>
      <c r="X16" s="11717" t="n"/>
      <c r="Y16" s="11717" t="n"/>
      <c r="Z16" s="11717" t="n"/>
      <c r="AA16" s="11718" t="n"/>
      <c r="AB16" s="11632" t="n"/>
      <c r="AC16" s="11717" t="n"/>
      <c r="AD16" s="11717" t="n"/>
      <c r="AE16" s="11717" t="n"/>
      <c r="AF16" s="11717" t="n"/>
      <c r="AG16" s="11717" t="n"/>
      <c r="AH16" s="1277" t="n"/>
      <c r="AJ16" s="2889" t="n"/>
    </row>
    <row r="17" ht="17.25" customHeight="1" s="7635">
      <c r="A17" s="1277" t="n"/>
      <c r="B17" s="12866" t="inlineStr">
        <is>
          <t>iii</t>
        </is>
      </c>
      <c r="C17" s="10091" t="n"/>
      <c r="D17" s="12867" t="n"/>
      <c r="E17" s="11745" t="n"/>
      <c r="F17" s="11745" t="n"/>
      <c r="G17" s="11745" t="n"/>
      <c r="H17" s="11745" t="n"/>
      <c r="I17" s="11745" t="n"/>
      <c r="J17" s="11745" t="n"/>
      <c r="K17" s="11745" t="n"/>
      <c r="L17" s="11745" t="n"/>
      <c r="M17" s="11745" t="n"/>
      <c r="N17" s="11745" t="n"/>
      <c r="O17" s="11745" t="n"/>
      <c r="P17" s="11745" t="n"/>
      <c r="Q17" s="11745" t="n"/>
      <c r="R17" s="11745" t="n"/>
      <c r="S17" s="11745" t="n"/>
      <c r="T17" s="11745" t="n"/>
      <c r="U17" s="11948" t="n"/>
      <c r="V17" s="12736" t="n"/>
      <c r="W17" s="7839" t="n"/>
      <c r="X17" s="7839" t="n"/>
      <c r="Y17" s="7839" t="n"/>
      <c r="Z17" s="7839" t="n"/>
      <c r="AA17" s="10091" t="n"/>
      <c r="AB17" s="8998" t="n"/>
      <c r="AC17" s="7839" t="n"/>
      <c r="AD17" s="7839" t="n"/>
      <c r="AE17" s="7839" t="n"/>
      <c r="AF17" s="7839" t="n"/>
      <c r="AG17" s="7839" t="n"/>
      <c r="AH17" s="1277" t="n"/>
      <c r="AJ17" s="2889" t="n"/>
    </row>
    <row r="18" ht="17.25" customHeight="1" s="7635">
      <c r="A18" s="1277" t="n"/>
      <c r="B18" s="7637" t="n"/>
      <c r="C18" s="7638" t="n"/>
      <c r="D18" s="11728" t="n"/>
      <c r="E18" s="11717" t="n"/>
      <c r="F18" s="11717" t="n"/>
      <c r="G18" s="11717" t="n"/>
      <c r="H18" s="11717" t="n"/>
      <c r="I18" s="11717" t="n"/>
      <c r="J18" s="11717" t="n"/>
      <c r="K18" s="11717" t="n"/>
      <c r="L18" s="11717" t="n"/>
      <c r="M18" s="11717" t="n"/>
      <c r="N18" s="11717" t="n"/>
      <c r="O18" s="11717" t="n"/>
      <c r="P18" s="11717" t="n"/>
      <c r="Q18" s="11717" t="n"/>
      <c r="R18" s="11717" t="n"/>
      <c r="S18" s="11717" t="n"/>
      <c r="T18" s="11717" t="n"/>
      <c r="U18" s="11718" t="n"/>
      <c r="V18" s="12868" t="n"/>
      <c r="W18" s="11717" t="n"/>
      <c r="X18" s="11717" t="n"/>
      <c r="Y18" s="11717" t="n"/>
      <c r="Z18" s="11717" t="n"/>
      <c r="AA18" s="11718" t="n"/>
      <c r="AB18" s="11632" t="n"/>
      <c r="AC18" s="11717" t="n"/>
      <c r="AD18" s="11717" t="n"/>
      <c r="AE18" s="11717" t="n"/>
      <c r="AF18" s="11717" t="n"/>
      <c r="AG18" s="11717" t="n"/>
      <c r="AH18" s="1277" t="n"/>
      <c r="AJ18" s="2889" t="n"/>
    </row>
    <row r="19" ht="17.25" customHeight="1" s="7635">
      <c r="A19" s="1277" t="n"/>
      <c r="B19" s="12866" t="inlineStr">
        <is>
          <t>iv</t>
        </is>
      </c>
      <c r="C19" s="10091" t="n"/>
      <c r="D19" s="12867" t="n"/>
      <c r="E19" s="11745" t="n"/>
      <c r="F19" s="11745" t="n"/>
      <c r="G19" s="11745" t="n"/>
      <c r="H19" s="11745" t="n"/>
      <c r="I19" s="11745" t="n"/>
      <c r="J19" s="11745" t="n"/>
      <c r="K19" s="11745" t="n"/>
      <c r="L19" s="11745" t="n"/>
      <c r="M19" s="11745" t="n"/>
      <c r="N19" s="11745" t="n"/>
      <c r="O19" s="11745" t="n"/>
      <c r="P19" s="11745" t="n"/>
      <c r="Q19" s="11745" t="n"/>
      <c r="R19" s="11745" t="n"/>
      <c r="S19" s="11745" t="n"/>
      <c r="T19" s="11745" t="n"/>
      <c r="U19" s="11948" t="n"/>
      <c r="V19" s="12736" t="n"/>
      <c r="W19" s="7839" t="n"/>
      <c r="X19" s="7839" t="n"/>
      <c r="Y19" s="7839" t="n"/>
      <c r="Z19" s="7839" t="n"/>
      <c r="AA19" s="10091" t="n"/>
      <c r="AB19" s="8998" t="n"/>
      <c r="AC19" s="7839" t="n"/>
      <c r="AD19" s="7839" t="n"/>
      <c r="AE19" s="7839" t="n"/>
      <c r="AF19" s="7839" t="n"/>
      <c r="AG19" s="7839" t="n"/>
      <c r="AH19" s="1277" t="n"/>
      <c r="AJ19" s="2889" t="n"/>
    </row>
    <row r="20" ht="17.25" customHeight="1" s="7635">
      <c r="A20" s="1277" t="n"/>
      <c r="B20" s="7637" t="n"/>
      <c r="C20" s="7638" t="n"/>
      <c r="D20" s="11728" t="n"/>
      <c r="E20" s="11717" t="n"/>
      <c r="F20" s="11717" t="n"/>
      <c r="G20" s="11717" t="n"/>
      <c r="H20" s="11717" t="n"/>
      <c r="I20" s="11717" t="n"/>
      <c r="J20" s="11717" t="n"/>
      <c r="K20" s="11717" t="n"/>
      <c r="L20" s="11717" t="n"/>
      <c r="M20" s="11717" t="n"/>
      <c r="N20" s="11717" t="n"/>
      <c r="O20" s="11717" t="n"/>
      <c r="P20" s="11717" t="n"/>
      <c r="Q20" s="11717" t="n"/>
      <c r="R20" s="11717" t="n"/>
      <c r="S20" s="11717" t="n"/>
      <c r="T20" s="11717" t="n"/>
      <c r="U20" s="11718" t="n"/>
      <c r="V20" s="12868" t="n"/>
      <c r="W20" s="11717" t="n"/>
      <c r="X20" s="11717" t="n"/>
      <c r="Y20" s="11717" t="n"/>
      <c r="Z20" s="11717" t="n"/>
      <c r="AA20" s="11718" t="n"/>
      <c r="AB20" s="11632" t="n"/>
      <c r="AC20" s="11717" t="n"/>
      <c r="AD20" s="11717" t="n"/>
      <c r="AE20" s="11717" t="n"/>
      <c r="AF20" s="11717" t="n"/>
      <c r="AG20" s="11717" t="n"/>
      <c r="AH20" s="1277" t="n"/>
      <c r="AJ20" s="11931" t="inlineStr">
        <is>
          <t>Manual
Override</t>
        </is>
      </c>
    </row>
    <row r="21" ht="17.25" customHeight="1" s="7635">
      <c r="A21" s="1277" t="n"/>
      <c r="B21" s="12866" t="inlineStr">
        <is>
          <t>v</t>
        </is>
      </c>
      <c r="C21" s="10091" t="n"/>
      <c r="D21" s="12867" t="n"/>
      <c r="E21" s="11745" t="n"/>
      <c r="F21" s="11745" t="n"/>
      <c r="G21" s="11745" t="n"/>
      <c r="H21" s="11745" t="n"/>
      <c r="I21" s="11745" t="n"/>
      <c r="J21" s="11745" t="n"/>
      <c r="K21" s="11745" t="n"/>
      <c r="L21" s="11745" t="n"/>
      <c r="M21" s="11745" t="n"/>
      <c r="N21" s="11745" t="n"/>
      <c r="O21" s="11745" t="n"/>
      <c r="P21" s="11745" t="n"/>
      <c r="Q21" s="11745" t="n"/>
      <c r="R21" s="11745" t="n"/>
      <c r="S21" s="11745" t="n"/>
      <c r="T21" s="11745" t="n"/>
      <c r="U21" s="11948" t="n"/>
      <c r="V21" s="12736" t="n"/>
      <c r="W21" s="7839" t="n"/>
      <c r="X21" s="7839" t="n"/>
      <c r="Y21" s="7839" t="n"/>
      <c r="Z21" s="7839" t="n"/>
      <c r="AA21" s="10091" t="n"/>
      <c r="AB21" s="8998" t="n"/>
      <c r="AC21" s="7839" t="n"/>
      <c r="AD21" s="7839" t="n"/>
      <c r="AE21" s="7839" t="n"/>
      <c r="AF21" s="7839" t="n"/>
      <c r="AG21" s="7839" t="n"/>
      <c r="AH21" s="1277" t="n"/>
      <c r="AJ21" s="11747" t="n"/>
    </row>
    <row r="22" ht="17.25" customHeight="1" s="7635">
      <c r="A22" s="1277" t="n"/>
      <c r="B22" s="7637" t="n"/>
      <c r="C22" s="7638" t="n"/>
      <c r="D22" s="11728" t="n"/>
      <c r="E22" s="11717" t="n"/>
      <c r="F22" s="11717" t="n"/>
      <c r="G22" s="11717" t="n"/>
      <c r="H22" s="11717" t="n"/>
      <c r="I22" s="11717" t="n"/>
      <c r="J22" s="11717" t="n"/>
      <c r="K22" s="11717" t="n"/>
      <c r="L22" s="11717" t="n"/>
      <c r="M22" s="11717" t="n"/>
      <c r="N22" s="11717" t="n"/>
      <c r="O22" s="11717" t="n"/>
      <c r="P22" s="11717" t="n"/>
      <c r="Q22" s="11717" t="n"/>
      <c r="R22" s="11717" t="n"/>
      <c r="S22" s="11717" t="n"/>
      <c r="T22" s="11717" t="n"/>
      <c r="U22" s="11718" t="n"/>
      <c r="V22" s="12868" t="n"/>
      <c r="W22" s="11717" t="n"/>
      <c r="X22" s="11717" t="n"/>
      <c r="Y22" s="11717" t="n"/>
      <c r="Z22" s="11717" t="n"/>
      <c r="AA22" s="11718" t="n"/>
      <c r="AB22" s="11632" t="n"/>
      <c r="AC22" s="11717" t="n"/>
      <c r="AD22" s="11717" t="n"/>
      <c r="AE22" s="11717" t="n"/>
      <c r="AF22" s="11717" t="n"/>
      <c r="AG22" s="11717" t="n"/>
      <c r="AH22" s="1277" t="n"/>
      <c r="AJ22" s="11934" t="n"/>
    </row>
    <row r="23" ht="14.25" customHeight="1" s="7635">
      <c r="A23" s="1277" t="n"/>
      <c r="B23" s="1218" t="n"/>
      <c r="C23" s="2373" t="n"/>
      <c r="D23" s="11602" t="n"/>
      <c r="E23" s="11602" t="n"/>
      <c r="F23" s="7914" t="n"/>
      <c r="G23" s="344" t="n"/>
      <c r="H23" s="11602" t="n"/>
      <c r="I23" s="11602" t="n"/>
      <c r="J23" s="11602" t="n"/>
      <c r="K23" s="11602" t="n"/>
      <c r="L23" s="11602" t="n"/>
      <c r="M23" s="11602" t="n"/>
      <c r="N23" s="11602" t="n"/>
      <c r="O23" s="11602" t="n"/>
      <c r="P23" s="11602" t="n"/>
      <c r="Q23" s="11602" t="n"/>
      <c r="R23" s="11602" t="n"/>
      <c r="S23" s="11602" t="n"/>
      <c r="T23" s="11602" t="n"/>
      <c r="U23" s="11602" t="n"/>
      <c r="V23" s="2890" t="n"/>
      <c r="W23" s="2891" t="n"/>
      <c r="X23" s="2892" t="n"/>
      <c r="Y23" s="2892" t="n"/>
      <c r="Z23" s="2892" t="n"/>
      <c r="AA23" s="2892" t="n"/>
      <c r="AB23" s="2893" t="n"/>
      <c r="AC23" s="11668">
        <f>IF(AND(AM27,AH23=""),"OBBBA: A minimum deduction of "&amp;TEXT(AM26,"$0")&amp;" is available for those with &gt;= "&amp;TEXT(AM25,"$0,000")&amp;" of QBI.","")</f>
        <v/>
      </c>
      <c r="AD23" s="7839" t="n"/>
      <c r="AE23" s="7839" t="n"/>
      <c r="AF23" s="7839" t="n"/>
      <c r="AG23" s="7839" t="n"/>
      <c r="AH23" s="5596" t="n"/>
      <c r="AI23" s="8043">
        <f>IF(AM27," Hide note.","")</f>
        <v/>
      </c>
      <c r="AJ23" s="2875" t="n"/>
    </row>
    <row r="24" ht="14.25" customHeight="1" s="7635">
      <c r="A24" s="1277" t="n"/>
      <c r="B24" s="8966" t="n">
        <v>2</v>
      </c>
      <c r="D24" s="7772" t="inlineStr">
        <is>
          <t xml:space="preserve">Total qualified business income or (loss). Combine lines 1i through 1v, </t>
        </is>
      </c>
      <c r="E24" s="11602" t="n"/>
      <c r="F24" s="7914" t="n"/>
      <c r="G24" s="344" t="n"/>
      <c r="H24" s="11602" t="n"/>
      <c r="I24" s="11602" t="n"/>
      <c r="J24" s="11602" t="n"/>
      <c r="K24" s="11602" t="n"/>
      <c r="L24" s="11602" t="n"/>
      <c r="M24" s="11602" t="n"/>
      <c r="N24" s="11602" t="n"/>
      <c r="O24" s="11602" t="n"/>
      <c r="P24" s="11602" t="n"/>
      <c r="Q24" s="11602" t="n"/>
      <c r="R24" s="11602" t="n"/>
      <c r="S24" s="11602" t="n"/>
      <c r="T24" s="11602" t="n"/>
      <c r="U24" s="11602" t="n"/>
      <c r="V24" s="726" t="n"/>
      <c r="W24" s="2018" t="n"/>
      <c r="X24" s="7886" t="n"/>
      <c r="Y24" s="7886" t="n"/>
      <c r="Z24" s="7886" t="n"/>
      <c r="AA24" s="7886" t="n"/>
      <c r="AB24" s="2894" t="n"/>
      <c r="AC24" s="4772" t="n"/>
      <c r="AH24" s="1277" t="n"/>
      <c r="AJ24" s="2875" t="n"/>
      <c r="AL24" s="4451">
        <f>OR(AJ25&lt;&gt;"",SUM(AB14,AB16,AB18,AB20,AB22)&lt;&gt;0)</f>
        <v/>
      </c>
    </row>
    <row r="25" ht="14.25" customHeight="1" s="7635">
      <c r="A25" s="1277" t="n"/>
      <c r="B25" s="8966" t="n"/>
      <c r="D25" s="7772" t="inlineStr">
        <is>
          <t>column (c )</t>
        </is>
      </c>
      <c r="E25" s="11602" t="n"/>
      <c r="F25" s="7914" t="n"/>
      <c r="G25" s="344" t="n"/>
      <c r="H25" s="11602" t="n"/>
      <c r="I25" s="11602" t="n"/>
      <c r="J25" s="11602" t="n"/>
      <c r="K25" s="11602" t="n"/>
      <c r="L25" s="11602" t="n"/>
      <c r="M25" s="11602" t="n"/>
      <c r="N25" s="11602" t="n"/>
      <c r="O25" s="11602" t="n"/>
      <c r="P25" s="11602" t="n"/>
      <c r="Q25" s="11602" t="n"/>
      <c r="R25" s="11602" t="n"/>
      <c r="S25" s="11602" t="n"/>
      <c r="T25" s="11602" t="n"/>
      <c r="U25" s="1401" t="inlineStr">
        <is>
          <t xml:space="preserve">.   .   .   .   .   .   .   .   .   .   .   .   .   .   .   .   .   .   .   .   .   .   .   .   .  </t>
        </is>
      </c>
      <c r="V25" s="2895" t="n">
        <v>2</v>
      </c>
      <c r="W25" s="12869">
        <f>IF(AL24,IF(AJ25&lt;&gt;"",ROUND(AJ25,0),SUM(ROUND(AB14,0),ROUND(AB16,0),ROUND(AB18,0),ROUND(AB20,0),ROUND(AB22,0))),"")</f>
        <v/>
      </c>
      <c r="X25" s="7637" t="n"/>
      <c r="Y25" s="7637" t="n"/>
      <c r="Z25" s="7637" t="n"/>
      <c r="AA25" s="7638" t="n"/>
      <c r="AB25" s="2894" t="n"/>
      <c r="AC25" s="4772" t="n"/>
      <c r="AH25" s="1277" t="n"/>
      <c r="AJ25" s="777" t="n"/>
      <c r="AM25" s="7562" t="n">
        <v>1000</v>
      </c>
    </row>
    <row r="26" ht="14.25" customHeight="1" s="7635">
      <c r="A26" s="1277" t="n"/>
      <c r="B26" s="8966" t="n">
        <v>3</v>
      </c>
      <c r="D26" s="7772" t="inlineStr">
        <is>
          <t>Qualified business net (loss) carryforward from the prior year</t>
        </is>
      </c>
      <c r="E26" s="11602" t="n"/>
      <c r="F26" s="7914" t="n"/>
      <c r="G26" s="344" t="n"/>
      <c r="H26" s="11602" t="n"/>
      <c r="I26" s="11602" t="n"/>
      <c r="J26" s="11602" t="n"/>
      <c r="K26" s="11602" t="n"/>
      <c r="L26" s="11602" t="n"/>
      <c r="M26" s="11602" t="n"/>
      <c r="N26" s="11602" t="n"/>
      <c r="O26" s="11602" t="n"/>
      <c r="P26" s="11602" t="n"/>
      <c r="Q26" s="11602" t="n"/>
      <c r="R26" s="11602" t="n"/>
      <c r="S26" s="11602" t="n"/>
      <c r="T26" s="11602" t="n"/>
      <c r="U26" s="1401" t="inlineStr">
        <is>
          <t xml:space="preserve">.   .   .   .  </t>
        </is>
      </c>
      <c r="V26" s="2895" t="n">
        <v>3</v>
      </c>
      <c r="W26" s="2896" t="inlineStr">
        <is>
          <t>(</t>
        </is>
      </c>
      <c r="X26" s="11663" t="n"/>
      <c r="Y26" s="8007" t="n"/>
      <c r="Z26" s="8007" t="n"/>
      <c r="AA26" s="2897" t="inlineStr">
        <is>
          <t>)</t>
        </is>
      </c>
      <c r="AB26" s="2894" t="n"/>
      <c r="AC26" s="4772" t="n"/>
      <c r="AH26" s="1277" t="n"/>
      <c r="AJ26" s="2875" t="n"/>
      <c r="AL26" s="4451">
        <f>X26&lt;&gt;""</f>
        <v/>
      </c>
      <c r="AM26" s="7562" t="n">
        <v>400</v>
      </c>
    </row>
    <row r="27" ht="14.25" customHeight="1" s="7635">
      <c r="A27" s="1277" t="n"/>
      <c r="B27" s="8966" t="n">
        <v>4</v>
      </c>
      <c r="D27" s="8650" t="inlineStr">
        <is>
          <t>Total qualified business income. Combine lines 2 &amp; 3. If zero or less, enter -0-</t>
        </is>
      </c>
      <c r="E27" s="11602" t="n"/>
      <c r="F27" s="7914" t="n"/>
      <c r="G27" s="344" t="n"/>
      <c r="H27" s="11602" t="n"/>
      <c r="I27" s="11602" t="n"/>
      <c r="J27" s="11602" t="n"/>
      <c r="K27" s="11602" t="n"/>
      <c r="L27" s="11602" t="n"/>
      <c r="M27" s="11602" t="n"/>
      <c r="N27" s="11602" t="n"/>
      <c r="O27" s="11602" t="n"/>
      <c r="P27" s="11602" t="n"/>
      <c r="Q27" s="11602" t="n"/>
      <c r="R27" s="11602" t="n"/>
      <c r="S27" s="11602" t="n"/>
      <c r="T27" s="11602" t="n"/>
      <c r="U27" s="11602" t="n"/>
      <c r="V27" s="2895" t="n">
        <v>4</v>
      </c>
      <c r="W27" s="11665">
        <f>IF(AL27,MAX(0,SUM(W25,-ROUND(X26,0))),"")</f>
        <v/>
      </c>
      <c r="X27" s="8412" t="n"/>
      <c r="Y27" s="8412" t="n"/>
      <c r="Z27" s="8412" t="n"/>
      <c r="AA27" s="8412" t="n"/>
      <c r="AB27" s="2894" t="n"/>
      <c r="AC27" s="11667" t="n">
        <v>0.2</v>
      </c>
      <c r="AH27" s="1277" t="n"/>
      <c r="AJ27" s="2875" t="n"/>
      <c r="AL27" s="4451">
        <f>OR(AND(W25&lt;&gt;"",W25&gt;=0),X26&lt;&gt;"")</f>
        <v/>
      </c>
      <c r="AM27" s="7834">
        <f>AND(W27&gt;=AM25,W27&lt;2*AM25,TaxYear&gt;2025)</f>
        <v/>
      </c>
    </row>
    <row r="28" ht="14.25" customHeight="1" s="7635">
      <c r="A28" s="1277" t="n"/>
      <c r="B28" s="8966" t="n">
        <v>5</v>
      </c>
      <c r="D28" s="8650">
        <f>"Qualified business income component. Multiply line 4 by "&amp;TEXT(AC27,"0%")&amp;" ("&amp;TEXT(AC27,"0.00"&amp;")")</f>
        <v/>
      </c>
      <c r="E28" s="11602" t="n"/>
      <c r="F28" s="7914" t="n"/>
      <c r="G28" s="344" t="n"/>
      <c r="H28" s="11602" t="n"/>
      <c r="I28" s="11602" t="n"/>
      <c r="J28" s="11602" t="n"/>
      <c r="K28" s="11602" t="n"/>
      <c r="L28" s="11602" t="n"/>
      <c r="M28" s="11602" t="n"/>
      <c r="N28" s="11602" t="n"/>
      <c r="O28" s="11602" t="n"/>
      <c r="P28" s="11602" t="n"/>
      <c r="Q28" s="11602" t="n"/>
      <c r="R28" s="11602" t="n"/>
      <c r="S28" s="11602" t="n"/>
      <c r="T28" s="11602" t="n"/>
      <c r="U28" s="11602" t="n"/>
      <c r="V28" s="8914" t="n"/>
      <c r="W28" s="11602" t="n"/>
      <c r="X28" s="11602" t="n"/>
      <c r="Y28" s="11602" t="n"/>
      <c r="Z28" s="11602" t="n"/>
      <c r="AA28" s="1401" t="inlineStr">
        <is>
          <t xml:space="preserve">.   .   .   .   .   .   .   .   .   .   .   .   .   .  </t>
        </is>
      </c>
      <c r="AB28" s="2895" t="n">
        <v>5</v>
      </c>
      <c r="AC28" s="11664">
        <f>IF(AJ28&lt;&gt;"",ROUND(AJ28,0),IF(AND(AL11,AL28,AM27),MAX(AM26,ROUND(W27*AC27,0)),IF(AND(AL11,AL28),ROUND(W27*AC27,0),"")))</f>
        <v/>
      </c>
      <c r="AD28" s="7637" t="n"/>
      <c r="AE28" s="7637" t="n"/>
      <c r="AF28" s="7637" t="n"/>
      <c r="AG28" s="7637" t="n"/>
      <c r="AH28" s="1277" t="n"/>
      <c r="AJ28" s="777" t="n"/>
      <c r="AL28" s="1224">
        <f>OR(AJ28&lt;&gt;"",W27&lt;&gt;"")</f>
        <v/>
      </c>
    </row>
    <row r="29" ht="14.25" customHeight="1" s="7635">
      <c r="A29" s="1277" t="n"/>
      <c r="B29" s="8966" t="n">
        <v>6</v>
      </c>
      <c r="D29" s="8650" t="inlineStr">
        <is>
          <t>Qualified REIT dividends and publicly traded partnership (PTP) income or (loss)</t>
        </is>
      </c>
      <c r="E29" s="11602" t="n"/>
      <c r="F29" s="7914" t="n"/>
      <c r="G29" s="344" t="n"/>
      <c r="H29" s="11602" t="n"/>
      <c r="I29" s="11602" t="n"/>
      <c r="J29" s="11602" t="n"/>
      <c r="K29" s="11602" t="n"/>
      <c r="L29" s="11602" t="n"/>
      <c r="M29" s="11602" t="n"/>
      <c r="N29" s="11602" t="n"/>
      <c r="O29" s="11602" t="n"/>
      <c r="P29" s="11602" t="n"/>
      <c r="Q29" s="11602" t="n"/>
      <c r="R29" s="11602" t="n"/>
      <c r="S29" s="11602" t="n"/>
      <c r="T29" s="11602" t="n"/>
      <c r="U29" s="11602" t="n"/>
      <c r="V29" s="726" t="n"/>
      <c r="W29" s="2018" t="n"/>
      <c r="X29" s="7886" t="n"/>
      <c r="Y29" s="7886" t="n"/>
      <c r="Z29" s="7886" t="n"/>
      <c r="AA29" s="7886" t="n"/>
      <c r="AB29" s="2893" t="n"/>
      <c r="AC29" s="2018" t="n"/>
      <c r="AD29" s="7886" t="n"/>
      <c r="AE29" s="7886" t="n"/>
      <c r="AF29" s="7886" t="n"/>
      <c r="AG29" s="7886" t="n"/>
      <c r="AH29" s="1277" t="n"/>
      <c r="AJ29" s="2875" t="n"/>
      <c r="AM29" s="314" t="inlineStr">
        <is>
          <t>Input for Line 6:</t>
        </is>
      </c>
    </row>
    <row r="30" ht="14.25" customHeight="1" s="7635">
      <c r="A30" s="1277" t="n"/>
      <c r="B30" s="8966" t="n"/>
      <c r="D30" s="8650" t="inlineStr">
        <is>
          <t>(see instructions)</t>
        </is>
      </c>
      <c r="E30" s="11602" t="n"/>
      <c r="F30" s="7914" t="n"/>
      <c r="G30" s="344" t="n"/>
      <c r="H30" s="11602" t="n"/>
      <c r="I30" s="11602" t="n"/>
      <c r="J30" s="11602" t="n"/>
      <c r="K30" s="11602" t="n"/>
      <c r="L30" s="11602" t="n"/>
      <c r="M30" s="11602" t="n"/>
      <c r="N30" s="11602" t="n"/>
      <c r="O30" s="11602" t="n"/>
      <c r="P30" s="11602" t="n"/>
      <c r="Q30" s="11602" t="n"/>
      <c r="R30" s="11602" t="n"/>
      <c r="S30" s="11602" t="n"/>
      <c r="T30" s="11602" t="n"/>
      <c r="U30" s="1401" t="inlineStr">
        <is>
          <t xml:space="preserve">.   .   .   .   .   .   .   .   .   .   .   .   .   .   .   .   .   .   .   .   .   .   .   .  </t>
        </is>
      </c>
      <c r="V30" s="2895" t="n">
        <v>6</v>
      </c>
      <c r="W30" s="11664">
        <f>IF(AJ30&lt;&gt;"",ROUND(AJ30,0),IF(AL30,Sect199ADividends,""))</f>
        <v/>
      </c>
      <c r="X30" s="7637" t="n"/>
      <c r="Y30" s="7637" t="n"/>
      <c r="Z30" s="7637" t="n"/>
      <c r="AA30" s="7637" t="n"/>
      <c r="AB30" s="2894" t="n"/>
      <c r="AC30" s="2018" t="n"/>
      <c r="AD30" s="7886" t="n"/>
      <c r="AE30" s="7886" t="n"/>
      <c r="AF30" s="7886" t="n"/>
      <c r="AG30" s="7886" t="n"/>
      <c r="AH30" s="1277" t="n"/>
      <c r="AJ30" s="777" t="n"/>
      <c r="AL30" s="1224">
        <f>AND(NOT(AL9),OR(AJ30&lt;&gt;"",AND(Sect199ADividends&lt;&gt;"",Sect199ADividends&gt;0)))</f>
        <v/>
      </c>
      <c r="AM30" s="8788" t="inlineStr">
        <is>
          <t>1099-DIV, line 5</t>
        </is>
      </c>
    </row>
    <row r="31" ht="14.25" customHeight="1" s="7635">
      <c r="A31" s="1277" t="n"/>
      <c r="B31" s="8966" t="n">
        <v>7</v>
      </c>
      <c r="D31" s="8650" t="inlineStr">
        <is>
          <t>Qualified REIT dividends and qualified PTP (loss) carryforward from the prior</t>
        </is>
      </c>
      <c r="E31" s="11602" t="n"/>
      <c r="F31" s="7914" t="n"/>
      <c r="G31" s="344" t="n"/>
      <c r="H31" s="11602" t="n"/>
      <c r="I31" s="11602" t="n"/>
      <c r="J31" s="11602" t="n"/>
      <c r="K31" s="11602" t="n"/>
      <c r="L31" s="11602" t="n"/>
      <c r="M31" s="11602" t="n"/>
      <c r="N31" s="11602" t="n"/>
      <c r="O31" s="11602" t="n"/>
      <c r="P31" s="11602" t="n"/>
      <c r="Q31" s="11602" t="n"/>
      <c r="R31" s="11602" t="n"/>
      <c r="S31" s="11602" t="n"/>
      <c r="T31" s="11602" t="n"/>
      <c r="U31" s="11602" t="n"/>
      <c r="V31" s="726" t="n"/>
      <c r="W31" s="2018" t="n"/>
      <c r="X31" s="7886" t="n"/>
      <c r="Y31" s="7886" t="n"/>
      <c r="Z31" s="7886" t="n"/>
      <c r="AA31" s="7886" t="n"/>
      <c r="AB31" s="2894" t="n"/>
      <c r="AC31" s="2018" t="n"/>
      <c r="AD31" s="7886" t="n"/>
      <c r="AE31" s="7886" t="n"/>
      <c r="AF31" s="7886" t="n"/>
      <c r="AG31" s="7886" t="n"/>
      <c r="AH31" s="1277" t="n"/>
      <c r="AJ31" s="2875" t="n"/>
    </row>
    <row r="32" ht="14.25" customHeight="1" s="7635">
      <c r="A32" s="1277" t="n"/>
      <c r="B32" s="8966" t="n"/>
      <c r="D32" s="7772" t="inlineStr">
        <is>
          <t>year</t>
        </is>
      </c>
      <c r="E32" s="11602" t="n"/>
      <c r="F32" s="7914" t="n"/>
      <c r="G32" s="344" t="n"/>
      <c r="H32" s="11602" t="n"/>
      <c r="I32" s="11602" t="n"/>
      <c r="J32" s="11602" t="n"/>
      <c r="K32" s="11602" t="n"/>
      <c r="L32" s="11602" t="n"/>
      <c r="M32" s="11602" t="n"/>
      <c r="N32" s="11602" t="n"/>
      <c r="O32" s="11602" t="n"/>
      <c r="P32" s="11602" t="n"/>
      <c r="Q32" s="11602" t="n"/>
      <c r="R32" s="11602" t="n"/>
      <c r="S32" s="11602" t="n"/>
      <c r="T32" s="11602" t="n"/>
      <c r="U32" s="1401" t="inlineStr">
        <is>
          <t xml:space="preserve">.   .   .   .   .   .   .   .   .   .   .   .   .   .   .   .   .   .   .   .   .   .   .   .   .   .   .   .   .  </t>
        </is>
      </c>
      <c r="V32" s="2895" t="n">
        <v>7</v>
      </c>
      <c r="W32" s="2896" t="inlineStr">
        <is>
          <t>(</t>
        </is>
      </c>
      <c r="X32" s="10800" t="n"/>
      <c r="Y32" s="11717" t="n"/>
      <c r="Z32" s="11717" t="n"/>
      <c r="AA32" s="2897" t="inlineStr">
        <is>
          <t>)</t>
        </is>
      </c>
      <c r="AB32" s="2894" t="n"/>
      <c r="AC32" s="2018" t="n"/>
      <c r="AD32" s="7886" t="n"/>
      <c r="AE32" s="7886" t="n"/>
      <c r="AF32" s="7886" t="n"/>
      <c r="AG32" s="7886" t="n"/>
      <c r="AH32" s="1277" t="n"/>
      <c r="AJ32" s="2875" t="n"/>
    </row>
    <row r="33" ht="14.25" customHeight="1" s="7635">
      <c r="A33" s="1277" t="n"/>
      <c r="B33" s="8966" t="n">
        <v>8</v>
      </c>
      <c r="D33" s="8650" t="inlineStr">
        <is>
          <t>Total qualified REIT dividends and PTP income. Combine lines 6 and 7. If zero</t>
        </is>
      </c>
      <c r="E33" s="11602" t="n"/>
      <c r="F33" s="7914" t="n"/>
      <c r="G33" s="344" t="n"/>
      <c r="H33" s="11602" t="n"/>
      <c r="I33" s="11602" t="n"/>
      <c r="J33" s="11602" t="n"/>
      <c r="K33" s="11602" t="n"/>
      <c r="L33" s="11602" t="n"/>
      <c r="M33" s="11602" t="n"/>
      <c r="N33" s="11602" t="n"/>
      <c r="O33" s="11602" t="n"/>
      <c r="P33" s="11602" t="n"/>
      <c r="Q33" s="11602" t="n"/>
      <c r="R33" s="11602" t="n"/>
      <c r="S33" s="11602" t="n"/>
      <c r="T33" s="11602" t="n"/>
      <c r="U33" s="11602" t="n"/>
      <c r="V33" s="726" t="n"/>
      <c r="W33" s="12870">
        <f>IF(X32&gt;0,-X32,X32)</f>
        <v/>
      </c>
      <c r="X33" s="7839" t="n"/>
      <c r="Y33" s="7839" t="n"/>
      <c r="Z33" s="7839" t="n"/>
      <c r="AA33" s="10091" t="n"/>
      <c r="AB33" s="2894" t="n"/>
      <c r="AC33" s="2018" t="n"/>
      <c r="AD33" s="7886" t="n"/>
      <c r="AE33" s="7886" t="n"/>
      <c r="AF33" s="7886" t="n"/>
      <c r="AG33" s="7886" t="n"/>
      <c r="AH33" s="1277" t="n"/>
      <c r="AJ33" s="2875" t="n"/>
    </row>
    <row r="34" ht="14.25" customHeight="1" s="7635">
      <c r="A34" s="1277" t="n"/>
      <c r="B34" s="8966" t="n"/>
      <c r="D34" s="8650" t="inlineStr">
        <is>
          <t>or less, enter -0-</t>
        </is>
      </c>
      <c r="E34" s="11602" t="n"/>
      <c r="F34" s="7914" t="n"/>
      <c r="G34" s="344" t="n"/>
      <c r="H34" s="11602" t="n"/>
      <c r="I34" s="11602" t="n"/>
      <c r="J34" s="11602" t="n"/>
      <c r="K34" s="11602" t="n"/>
      <c r="L34" s="11602" t="n"/>
      <c r="M34" s="11602" t="n"/>
      <c r="N34" s="11602" t="n"/>
      <c r="O34" s="11602" t="n"/>
      <c r="P34" s="11602" t="n"/>
      <c r="Q34" s="11602" t="n"/>
      <c r="R34" s="11602" t="n"/>
      <c r="S34" s="11602" t="n"/>
      <c r="T34" s="11602" t="n"/>
      <c r="U34" s="1401" t="inlineStr">
        <is>
          <t xml:space="preserve">.   .   .   .   .   .   .   .   .   .   .   .   .   .   .   .   .   .   .   .   .   .   .   .  </t>
        </is>
      </c>
      <c r="V34" s="2895" t="n">
        <v>8</v>
      </c>
      <c r="W34" s="11664">
        <f>IF(AL34,IF(AJ34&lt;&gt;"",ROUND(AJ34,0),MAX(0,SUM(W30,W33))),"")</f>
        <v/>
      </c>
      <c r="X34" s="7637" t="n"/>
      <c r="Y34" s="7637" t="n"/>
      <c r="Z34" s="7637" t="n"/>
      <c r="AA34" s="7637" t="n"/>
      <c r="AB34" s="2894" t="n"/>
      <c r="AC34" s="2018" t="n"/>
      <c r="AD34" s="7886" t="n"/>
      <c r="AE34" s="7886" t="n"/>
      <c r="AF34" s="7886" t="n"/>
      <c r="AG34" s="7886" t="n"/>
      <c r="AH34" s="1277" t="n"/>
      <c r="AJ34" s="777" t="n"/>
      <c r="AL34" s="1224">
        <f>OR(AJ34&lt;&gt;"",AND(W30&lt;&gt;"",W30&lt;&gt;0),AND(W33&lt;&gt;"",W33&lt;&gt;0))</f>
        <v/>
      </c>
      <c r="AM34" s="6702">
        <f>Adj_Gross_Inc</f>
        <v/>
      </c>
    </row>
    <row r="35" ht="14.25" customHeight="1" s="7635">
      <c r="A35" s="1277" t="n"/>
      <c r="B35" s="8966" t="n">
        <v>9</v>
      </c>
      <c r="D35" s="8650">
        <f>"REIT and PTP component. Multiply line 8 by "&amp;TEXT(AC27,"0%")&amp;" ("&amp;TEXT(AC27,"0.00")&amp;")"</f>
        <v/>
      </c>
      <c r="E35" s="11602" t="n"/>
      <c r="F35" s="7914" t="n"/>
      <c r="G35" s="344" t="n"/>
      <c r="H35" s="11602" t="n"/>
      <c r="I35" s="11602" t="n"/>
      <c r="J35" s="11602" t="n"/>
      <c r="K35" s="11602" t="n"/>
      <c r="L35" s="11602" t="n"/>
      <c r="M35" s="11602" t="n"/>
      <c r="N35" s="11602" t="n"/>
      <c r="O35" s="11602" t="n"/>
      <c r="P35" s="11602" t="n"/>
      <c r="Q35" s="11602" t="n"/>
      <c r="R35" s="11602" t="n"/>
      <c r="S35" s="11602" t="n"/>
      <c r="T35" s="11602" t="n"/>
      <c r="U35" s="11602" t="n"/>
      <c r="V35" s="8914" t="n"/>
      <c r="W35" s="11602" t="n"/>
      <c r="X35" s="11602" t="n"/>
      <c r="Y35" s="11602" t="n"/>
      <c r="Z35" s="11602" t="n"/>
      <c r="AA35" s="1401" t="inlineStr">
        <is>
          <t xml:space="preserve">.   .   .   .   .   .   .   .   .   .   .   .   .   .   .   .   .  </t>
        </is>
      </c>
      <c r="AB35" s="2895" t="n">
        <v>9</v>
      </c>
      <c r="AC35" s="11664">
        <f>IF(AL35,ROUND(W34*AC27,0),IF(AC28&lt;&gt;"",0,""))</f>
        <v/>
      </c>
      <c r="AD35" s="7637" t="n"/>
      <c r="AE35" s="7637" t="n"/>
      <c r="AF35" s="7637" t="n"/>
      <c r="AG35" s="7637" t="n"/>
      <c r="AH35" s="1277" t="n"/>
      <c r="AJ35" s="2875" t="n"/>
      <c r="AL35" s="1224">
        <f>AND(AL11,OR(W30&lt;&gt;"",X32&lt;&gt;""))</f>
        <v/>
      </c>
      <c r="AM35" s="6702">
        <f>IF(Deductions="",0,Deductions)</f>
        <v/>
      </c>
    </row>
    <row r="36" ht="14.25" customHeight="1" s="7635">
      <c r="A36" s="1277" t="n"/>
      <c r="B36" s="8966" t="n">
        <v>10</v>
      </c>
      <c r="D36" s="8650" t="inlineStr">
        <is>
          <t>Qualified business income deduction before the income limitation. Add lines 5 and 9</t>
        </is>
      </c>
      <c r="E36" s="11602" t="n"/>
      <c r="F36" s="7914" t="n"/>
      <c r="G36" s="344" t="n"/>
      <c r="H36" s="11602" t="n"/>
      <c r="I36" s="11602" t="n"/>
      <c r="J36" s="11602" t="n"/>
      <c r="K36" s="11602" t="n"/>
      <c r="L36" s="11602" t="n"/>
      <c r="M36" s="11602" t="n"/>
      <c r="N36" s="11602" t="n"/>
      <c r="O36" s="11602" t="n"/>
      <c r="P36" s="11602" t="n"/>
      <c r="Q36" s="11602" t="n"/>
      <c r="R36" s="11602" t="n"/>
      <c r="S36" s="11602" t="n"/>
      <c r="T36" s="11602" t="n"/>
      <c r="U36" s="11602" t="n"/>
      <c r="V36" s="8914" t="n"/>
      <c r="W36" s="11602" t="n"/>
      <c r="X36" s="11602" t="n"/>
      <c r="Y36" s="11602" t="n"/>
      <c r="Z36" s="11602" t="n"/>
      <c r="AA36" s="1401" t="inlineStr">
        <is>
          <t xml:space="preserve">.   .   .   .   .   .   .  </t>
        </is>
      </c>
      <c r="AB36" s="2895" t="n">
        <v>10</v>
      </c>
      <c r="AC36" s="11664">
        <f>IF(AL36,SUM(AC28,AC35),"")</f>
        <v/>
      </c>
      <c r="AD36" s="7637" t="n"/>
      <c r="AE36" s="7637" t="n"/>
      <c r="AF36" s="7637" t="n"/>
      <c r="AG36" s="7637" t="n"/>
      <c r="AH36" s="1277" t="n"/>
      <c r="AJ36" s="2875" t="n"/>
      <c r="AL36" s="1224">
        <f>OR(AL11,AC28&lt;&gt;"",AC35&lt;&gt;"")</f>
        <v/>
      </c>
      <c r="AM36" s="6702">
        <f>IF(Sch1A_Deductions="",0,Sch1A_Deductions)</f>
        <v/>
      </c>
    </row>
    <row r="37" ht="14.25" customHeight="1" s="7635">
      <c r="A37" s="1277" t="n"/>
      <c r="B37" s="8966" t="n">
        <v>11</v>
      </c>
      <c r="D37" s="8650" t="inlineStr">
        <is>
          <t>Taxable income before qualified business income deduction (see instructions)  .</t>
        </is>
      </c>
      <c r="E37" s="11602" t="n"/>
      <c r="F37" s="7914" t="n"/>
      <c r="G37" s="344" t="n"/>
      <c r="H37" s="11602" t="n"/>
      <c r="I37" s="11602" t="n"/>
      <c r="J37" s="11602" t="n"/>
      <c r="K37" s="11602" t="n"/>
      <c r="L37" s="11602" t="n"/>
      <c r="M37" s="11602" t="n"/>
      <c r="N37" s="11602" t="n"/>
      <c r="O37" s="11602" t="n"/>
      <c r="P37" s="11602" t="n"/>
      <c r="Q37" s="11602" t="n"/>
      <c r="R37" s="11602" t="n"/>
      <c r="S37" s="11602" t="n"/>
      <c r="T37" s="11602" t="n"/>
      <c r="U37" s="1401" t="n"/>
      <c r="V37" s="2895" t="n">
        <v>11</v>
      </c>
      <c r="W37" s="12869">
        <f>IF(AJ37&lt;&gt;"",ROUND(AJ37,0),IF(AL37,AM37,""))</f>
        <v/>
      </c>
      <c r="X37" s="7637" t="n"/>
      <c r="Y37" s="7637" t="n"/>
      <c r="Z37" s="7637" t="n"/>
      <c r="AA37" s="7638" t="n"/>
      <c r="AB37" s="2893" t="n"/>
      <c r="AC37" s="2018" t="n"/>
      <c r="AD37" s="7886" t="n"/>
      <c r="AE37" s="7886" t="n"/>
      <c r="AF37" s="7886" t="n"/>
      <c r="AG37" s="7886" t="n"/>
      <c r="AH37" s="1277" t="n"/>
      <c r="AJ37" s="777" t="n"/>
      <c r="AL37" s="1224">
        <f>AND(AL11,AC36&lt;&gt;"")</f>
        <v/>
      </c>
      <c r="AM37" s="6702">
        <f>SUM(AM34,-AM35,-AM36)</f>
        <v/>
      </c>
    </row>
    <row r="38" ht="14.25" customHeight="1" s="7635">
      <c r="A38" s="1277" t="n"/>
      <c r="B38" s="8966" t="n">
        <v>12</v>
      </c>
      <c r="D38" s="8650" t="inlineStr">
        <is>
          <t>Enter your net capital gain, if any, increased by any qualified dividends</t>
        </is>
      </c>
      <c r="E38" s="11602" t="n"/>
      <c r="F38" s="7914" t="n"/>
      <c r="G38" s="344" t="n"/>
      <c r="H38" s="11602" t="n"/>
      <c r="I38" s="11602" t="n"/>
      <c r="J38" s="11602" t="n"/>
      <c r="K38" s="11602" t="n"/>
      <c r="L38" s="11602" t="n"/>
      <c r="M38" s="11602" t="n"/>
      <c r="N38" s="11602" t="n"/>
      <c r="O38" s="11602" t="n"/>
      <c r="P38" s="11602" t="n"/>
      <c r="Q38" s="11602" t="n"/>
      <c r="R38" s="11602" t="n"/>
      <c r="S38" s="11602" t="n"/>
      <c r="T38" s="11602" t="n"/>
      <c r="U38" s="11602" t="n"/>
      <c r="V38" s="726" t="n"/>
      <c r="W38" s="12870" t="n"/>
      <c r="X38" s="7839" t="n"/>
      <c r="Y38" s="7839" t="n"/>
      <c r="Z38" s="7839" t="n"/>
      <c r="AA38" s="10091" t="n"/>
      <c r="AB38" s="2894" t="n"/>
      <c r="AC38" s="2018" t="n"/>
      <c r="AD38" s="7886" t="n"/>
      <c r="AE38" s="7886" t="n"/>
      <c r="AF38" s="7886" t="n"/>
      <c r="AG38" s="7886" t="n"/>
      <c r="AH38" s="1277" t="n"/>
      <c r="AJ38" s="2875" t="n"/>
    </row>
    <row r="39" ht="14.25" customHeight="1" s="7635">
      <c r="A39" s="1277" t="n"/>
      <c r="B39" s="8966" t="n"/>
      <c r="D39" s="8650" t="inlineStr">
        <is>
          <t>(see instructions)</t>
        </is>
      </c>
      <c r="E39" s="11602" t="n"/>
      <c r="F39" s="7914" t="n"/>
      <c r="G39" s="344" t="n"/>
      <c r="H39" s="11602" t="n"/>
      <c r="I39" s="11602" t="n"/>
      <c r="J39" s="11602" t="n"/>
      <c r="K39" s="11602" t="n"/>
      <c r="L39" s="11602" t="n"/>
      <c r="M39" s="11602" t="n"/>
      <c r="N39" s="11602" t="n"/>
      <c r="O39" s="11602" t="n"/>
      <c r="P39" s="11602" t="n"/>
      <c r="Q39" s="11602" t="n"/>
      <c r="R39" s="11602" t="n"/>
      <c r="S39" s="11602" t="n"/>
      <c r="T39" s="11602" t="n"/>
      <c r="U39" s="1401" t="inlineStr">
        <is>
          <t xml:space="preserve">.   .   .   .   .   .   .   .   .   .   .   .   .   .   .   .   .   .   .   .   .   .   .   .  </t>
        </is>
      </c>
      <c r="V39" s="2895" t="n">
        <v>12</v>
      </c>
      <c r="W39" s="12869">
        <f>IF(AJ39&lt;&gt;"",ROUND(AJ39,0),IF(AL37,SUM(Qualified_Dividends,NetCapitalGain),""))</f>
        <v/>
      </c>
      <c r="X39" s="7637" t="n"/>
      <c r="Y39" s="7637" t="n"/>
      <c r="Z39" s="7637" t="n"/>
      <c r="AA39" s="7638" t="n"/>
      <c r="AB39" s="2894" t="n"/>
      <c r="AC39" s="11122">
        <f>IF(SchD_NotReqd,CapitalGains,IF(OR(SchDLine15&lt;=0,SchDLine16&lt;=0),0,MIN(SchDLine15,SchDLine16)))</f>
        <v/>
      </c>
      <c r="AH39" s="1277" t="n"/>
      <c r="AJ39" s="777" t="n"/>
    </row>
    <row r="40" ht="14.25" customHeight="1" s="7635">
      <c r="A40" s="1277" t="n"/>
      <c r="B40" s="8966" t="n">
        <v>13</v>
      </c>
      <c r="D40" s="8650" t="inlineStr">
        <is>
          <t>Subtract line 12 from line 11. If zero or less, enter -0-</t>
        </is>
      </c>
      <c r="E40" s="11602" t="n"/>
      <c r="F40" s="7914" t="n"/>
      <c r="G40" s="344" t="n"/>
      <c r="H40" s="11602" t="n"/>
      <c r="I40" s="11602" t="n"/>
      <c r="J40" s="11602" t="n"/>
      <c r="K40" s="11602" t="n"/>
      <c r="L40" s="11602" t="n"/>
      <c r="M40" s="11602" t="n"/>
      <c r="N40" s="11602" t="n"/>
      <c r="O40" s="11602" t="n"/>
      <c r="P40" s="11602" t="n"/>
      <c r="Q40" s="11602" t="n"/>
      <c r="R40" s="11602" t="n"/>
      <c r="S40" s="11602" t="n"/>
      <c r="T40" s="11602" t="n"/>
      <c r="U40" s="1401" t="inlineStr">
        <is>
          <t xml:space="preserve">.   .   .   .   .   .   .   .   .  </t>
        </is>
      </c>
      <c r="V40" s="2895" t="n">
        <v>13</v>
      </c>
      <c r="W40" s="11665">
        <f>IF(AL40,MAX(0,SUM(W37,-W39)),"")</f>
        <v/>
      </c>
      <c r="X40" s="8412" t="n"/>
      <c r="Y40" s="8412" t="n"/>
      <c r="Z40" s="8412" t="n"/>
      <c r="AA40" s="8412" t="n"/>
      <c r="AB40" s="2894" t="n"/>
      <c r="AC40" s="2018" t="n"/>
      <c r="AD40" s="7886" t="n"/>
      <c r="AE40" s="7886" t="n"/>
      <c r="AF40" s="7886" t="n"/>
      <c r="AG40" s="7886" t="n"/>
      <c r="AH40" s="1277" t="n"/>
      <c r="AJ40" s="2875" t="n"/>
      <c r="AL40" s="1224">
        <f>AND(AL37,W37&lt;&gt;"",W39&lt;&gt;"")</f>
        <v/>
      </c>
    </row>
    <row r="41" ht="14.25" customHeight="1" s="7635">
      <c r="A41" s="1277" t="n"/>
      <c r="B41" s="8966" t="n">
        <v>14</v>
      </c>
      <c r="D41" s="8650">
        <f>"Income limitation. Multiply line 13 by "&amp;TEXT(AC27,"0%")&amp;" ("&amp;TEXT(AC27,"0.00")&amp;")"</f>
        <v/>
      </c>
      <c r="E41" s="11602" t="n"/>
      <c r="F41" s="7914" t="n"/>
      <c r="G41" s="344" t="n"/>
      <c r="H41" s="11602" t="n"/>
      <c r="I41" s="11602" t="n"/>
      <c r="J41" s="11602" t="n"/>
      <c r="K41" s="11602" t="n"/>
      <c r="L41" s="11602" t="n"/>
      <c r="M41" s="11602" t="n"/>
      <c r="N41" s="11602" t="n"/>
      <c r="O41" s="11602" t="n"/>
      <c r="P41" s="11602" t="n"/>
      <c r="Q41" s="11602" t="n"/>
      <c r="R41" s="11602" t="n"/>
      <c r="S41" s="11602" t="n"/>
      <c r="T41" s="11602" t="n"/>
      <c r="U41" s="11602" t="n"/>
      <c r="V41" s="8914" t="n"/>
      <c r="W41" s="11602" t="n"/>
      <c r="X41" s="11602" t="n"/>
      <c r="Y41" s="11602" t="n"/>
      <c r="Z41" s="11602" t="n"/>
      <c r="AA41" s="1401" t="inlineStr">
        <is>
          <t xml:space="preserve">.   .   .   .   .   .   .   .   .   .   .   .   .   .   .   .   .   .   .   .   .  </t>
        </is>
      </c>
      <c r="AB41" s="2895" t="n">
        <v>14</v>
      </c>
      <c r="AC41" s="11664">
        <f>IF(AL11,ROUND(W40*AC27,0),"")</f>
        <v/>
      </c>
      <c r="AD41" s="7637" t="n"/>
      <c r="AE41" s="7637" t="n"/>
      <c r="AF41" s="7637" t="n"/>
      <c r="AG41" s="7637" t="n"/>
      <c r="AH41" s="1277" t="n"/>
      <c r="AJ41" s="2875" t="n"/>
      <c r="AL41" s="1224">
        <f>AND(AL37,W37&lt;&gt;"",W39&lt;&gt;"")</f>
        <v/>
      </c>
    </row>
    <row r="42" ht="14.25" customHeight="1" s="7635">
      <c r="A42" s="1277" t="n"/>
      <c r="B42" s="8966" t="n">
        <v>15</v>
      </c>
      <c r="D42" s="8650" t="inlineStr">
        <is>
          <t>Qualified business income deduction. Enter the lesser of line 10 or line 14. Also enter this amount</t>
        </is>
      </c>
      <c r="E42" s="11602" t="n"/>
      <c r="F42" s="7914" t="n"/>
      <c r="G42" s="344" t="n"/>
      <c r="H42" s="11602" t="n"/>
      <c r="I42" s="11602" t="n"/>
      <c r="J42" s="11602" t="n"/>
      <c r="K42" s="11602" t="n"/>
      <c r="L42" s="11602" t="n"/>
      <c r="M42" s="11602" t="n"/>
      <c r="N42" s="11602" t="n"/>
      <c r="O42" s="11602" t="n"/>
      <c r="P42" s="11602" t="n"/>
      <c r="Q42" s="11602" t="n"/>
      <c r="R42" s="11602" t="n"/>
      <c r="S42" s="11602" t="n"/>
      <c r="T42" s="11602" t="n"/>
      <c r="U42" s="11602" t="n"/>
      <c r="V42" s="11602" t="n"/>
      <c r="W42" s="11602" t="n"/>
      <c r="X42" s="11602" t="n"/>
      <c r="Y42" s="11602" t="n"/>
      <c r="Z42" s="11602" t="n"/>
      <c r="AA42" s="1048" t="n"/>
      <c r="AB42" s="2898" t="n"/>
      <c r="AC42" s="1991" t="n"/>
      <c r="AD42" s="1991" t="n"/>
      <c r="AE42" s="1991" t="n"/>
      <c r="AF42" s="1991" t="n"/>
      <c r="AG42" s="1900" t="n"/>
      <c r="AH42" s="1277" t="n"/>
      <c r="AJ42" s="2875" t="n"/>
    </row>
    <row r="43" ht="14.25" customHeight="1" s="7635">
      <c r="A43" s="1277" t="n"/>
      <c r="B43" s="8966" t="n"/>
      <c r="D43" s="8650" t="inlineStr">
        <is>
          <t>on the applicable line of your return</t>
        </is>
      </c>
      <c r="E43" s="11602" t="n"/>
      <c r="F43" s="7914" t="n"/>
      <c r="G43" s="344" t="n"/>
      <c r="H43" s="11602" t="n"/>
      <c r="I43" s="11602" t="n"/>
      <c r="J43" s="11602" t="n"/>
      <c r="K43" s="11602" t="n"/>
      <c r="L43" s="11602" t="n"/>
      <c r="M43" s="11602" t="n"/>
      <c r="N43" s="11602" t="n"/>
      <c r="O43" s="11602" t="n"/>
      <c r="P43" s="11602" t="n"/>
      <c r="Q43" s="11602" t="n"/>
      <c r="R43" s="11602" t="n"/>
      <c r="S43" s="11602" t="n"/>
      <c r="T43" s="11602" t="n"/>
      <c r="U43" s="11602" t="n"/>
      <c r="V43" s="8914" t="n"/>
      <c r="W43" s="11602" t="n"/>
      <c r="X43" s="11602" t="n"/>
      <c r="Y43" s="11602" t="n"/>
      <c r="Z43" s="11602" t="n"/>
      <c r="AA43" s="1401" t="inlineStr">
        <is>
          <t xml:space="preserve">.   .   .   .   .   .   .   .   .   .   .   .   .   .   .   .   .   .   .   .   .   .   .   .   .   .   .  </t>
        </is>
      </c>
      <c r="AB43" s="2895" t="n">
        <v>15</v>
      </c>
      <c r="AC43" s="11664">
        <f>IF(AJ43&lt;&gt;"",ROUND(AJ43,0),IF(AL11,MIN(AC36,AC41),""))</f>
        <v/>
      </c>
      <c r="AD43" s="7637" t="n"/>
      <c r="AE43" s="7637" t="n"/>
      <c r="AF43" s="7637" t="n"/>
      <c r="AG43" s="7637" t="n"/>
      <c r="AH43" s="1277" t="n"/>
      <c r="AJ43" s="777" t="n"/>
    </row>
    <row r="44" ht="14.25" customHeight="1" s="7635">
      <c r="A44" s="1277" t="n"/>
      <c r="B44" s="8966" t="n">
        <v>16</v>
      </c>
      <c r="D44" s="8650" t="inlineStr">
        <is>
          <t>Total qualified business (loss) carryforward. Combine lines 2 and 3. If greater than zero, enter -0-</t>
        </is>
      </c>
      <c r="E44" s="11602" t="n"/>
      <c r="F44" s="7914" t="n"/>
      <c r="G44" s="344" t="n"/>
      <c r="H44" s="11602" t="n"/>
      <c r="I44" s="11602" t="n"/>
      <c r="J44" s="11602" t="n"/>
      <c r="K44" s="11602" t="n"/>
      <c r="L44" s="11602" t="n"/>
      <c r="M44" s="11602" t="n"/>
      <c r="N44" s="11602" t="n"/>
      <c r="O44" s="11602" t="n"/>
      <c r="P44" s="11602" t="n"/>
      <c r="Q44" s="11602" t="n"/>
      <c r="R44" s="11602" t="n"/>
      <c r="S44" s="11602" t="n"/>
      <c r="T44" s="11602" t="n"/>
      <c r="U44" s="11602" t="n"/>
      <c r="V44" s="8914" t="n"/>
      <c r="W44" s="11602" t="n"/>
      <c r="X44" s="11602" t="n"/>
      <c r="Y44" s="11602" t="n"/>
      <c r="Z44" s="11602" t="n"/>
      <c r="AA44" s="1401" t="inlineStr">
        <is>
          <t xml:space="preserve">.   .  </t>
        </is>
      </c>
      <c r="AB44" s="2895" t="n">
        <v>16</v>
      </c>
      <c r="AC44" s="2899" t="inlineStr">
        <is>
          <t>(</t>
        </is>
      </c>
      <c r="AD44" s="11682">
        <f>IF(AJ44&lt;&gt;"",ROUND(AJ44,0),IF(AL11,-MIN(0,SUM(W25,-ROUND(X26,0))),""))</f>
        <v/>
      </c>
      <c r="AE44" s="8412" t="n"/>
      <c r="AF44" s="8412" t="n"/>
      <c r="AG44" s="2900" t="inlineStr">
        <is>
          <t>)</t>
        </is>
      </c>
      <c r="AH44" s="1277" t="n"/>
      <c r="AJ44" s="777" t="n"/>
      <c r="AL44" s="1224">
        <f>SUM(W25,-X26)&lt;0</f>
        <v/>
      </c>
      <c r="AM44" s="1661" t="n"/>
    </row>
    <row r="45" ht="14.25" customHeight="1" s="7635">
      <c r="A45" s="1277" t="n"/>
      <c r="B45" s="8966" t="n">
        <v>17</v>
      </c>
      <c r="D45" s="8650" t="inlineStr">
        <is>
          <t>Total qualified REIT dividends and PTP (loss) carryforward. Combine lines 6 &amp; 7.  If greater than</t>
        </is>
      </c>
      <c r="E45" s="11602" t="n"/>
      <c r="F45" s="7914" t="n"/>
      <c r="G45" s="344" t="n"/>
      <c r="H45" s="11602" t="n"/>
      <c r="I45" s="11602" t="n"/>
      <c r="J45" s="11602" t="n"/>
      <c r="K45" s="11602" t="n"/>
      <c r="L45" s="11602" t="n"/>
      <c r="M45" s="11602" t="n"/>
      <c r="N45" s="11602" t="n"/>
      <c r="O45" s="11602" t="n"/>
      <c r="P45" s="11602" t="n"/>
      <c r="Q45" s="11602" t="n"/>
      <c r="R45" s="11602" t="n"/>
      <c r="S45" s="11602" t="n"/>
      <c r="T45" s="11602" t="n"/>
      <c r="U45" s="11602" t="n"/>
      <c r="V45" s="11602" t="n"/>
      <c r="W45" s="11602" t="n"/>
      <c r="X45" s="11602" t="n"/>
      <c r="Y45" s="11602" t="n"/>
      <c r="Z45" s="11602" t="n"/>
      <c r="AA45" s="2901" t="n"/>
      <c r="AB45" s="2898" t="n"/>
      <c r="AC45" s="2902" t="n"/>
      <c r="AD45" s="2903" t="n"/>
      <c r="AE45" s="2903" t="n"/>
      <c r="AF45" s="2903" t="n"/>
      <c r="AG45" s="2904" t="n"/>
      <c r="AH45" s="1277" t="n"/>
      <c r="AJ45" s="2875" t="n"/>
    </row>
    <row r="46" ht="14.25" customHeight="1" s="7635" thickBot="1">
      <c r="A46" s="1277" t="n"/>
      <c r="B46" s="8966" t="n"/>
      <c r="D46" s="8650" t="inlineStr">
        <is>
          <t>zero, enter -0-</t>
        </is>
      </c>
      <c r="E46" s="11602" t="n"/>
      <c r="F46" s="7914" t="n"/>
      <c r="G46" s="344" t="n"/>
      <c r="H46" s="11602" t="n"/>
      <c r="I46" s="11602" t="n"/>
      <c r="J46" s="11602" t="n"/>
      <c r="K46" s="11602" t="n"/>
      <c r="L46" s="11602" t="n"/>
      <c r="M46" s="11602" t="n"/>
      <c r="N46" s="11602" t="n"/>
      <c r="O46" s="11602" t="n"/>
      <c r="P46" s="11602" t="n"/>
      <c r="Q46" s="11602" t="n"/>
      <c r="R46" s="11602" t="n"/>
      <c r="S46" s="11602" t="n"/>
      <c r="T46" s="11602" t="n"/>
      <c r="U46" s="11602" t="n"/>
      <c r="V46" s="8914" t="n"/>
      <c r="W46" s="11602" t="n"/>
      <c r="X46" s="11602" t="n"/>
      <c r="Y46" s="11602" t="n"/>
      <c r="Z46" s="11602" t="n"/>
      <c r="AA46" s="1401" t="inlineStr">
        <is>
          <t xml:space="preserve">.   .   .   .   .   .   .   .   .   .   .   .   .   .   .   .   .   .   .   .   .   .   .   .   .   .   .   .   .   .   .   .   .   .  </t>
        </is>
      </c>
      <c r="AB46" s="2895" t="n">
        <v>17</v>
      </c>
      <c r="AC46" s="2905" t="inlineStr">
        <is>
          <t>(</t>
        </is>
      </c>
      <c r="AD46" s="11136">
        <f>IF(AJ46&lt;&gt;"",ROUND(AJ46,0),IF(AL11,-MIN(0,SUM(W30,-X32)),""))</f>
        <v/>
      </c>
      <c r="AE46" s="8848" t="n"/>
      <c r="AF46" s="8848" t="n"/>
      <c r="AG46" s="2906" t="inlineStr">
        <is>
          <t>)</t>
        </is>
      </c>
      <c r="AH46" s="1277" t="n"/>
      <c r="AJ46" s="777" t="n"/>
    </row>
    <row r="47" ht="15.75" customHeight="1" s="7635">
      <c r="A47" s="1277" t="n"/>
      <c r="B47" s="2907" t="inlineStr">
        <is>
          <t>For Privacy Act and Paperwork Reduction Act Notice, see instructions.</t>
        </is>
      </c>
      <c r="C47" s="2908" t="n"/>
      <c r="D47" s="377" t="n"/>
      <c r="E47" s="377" t="n"/>
      <c r="F47" s="377" t="n"/>
      <c r="G47" s="377" t="n"/>
      <c r="H47" s="377" t="n"/>
      <c r="I47" s="377" t="n"/>
      <c r="J47" s="377" t="n"/>
      <c r="K47" s="377" t="n"/>
      <c r="L47" s="377" t="n"/>
      <c r="M47" s="377" t="n"/>
      <c r="N47" s="377" t="n"/>
      <c r="O47" s="377" t="n"/>
      <c r="P47" s="377" t="n"/>
      <c r="Q47" s="377" t="n"/>
      <c r="R47" s="377" t="n"/>
      <c r="S47" s="377" t="n"/>
      <c r="T47" s="1993" t="inlineStr">
        <is>
          <t>Cat. No. 37806C</t>
        </is>
      </c>
      <c r="U47" s="1993" t="n"/>
      <c r="V47" s="377" t="n"/>
      <c r="W47" s="2267" t="n"/>
      <c r="X47" s="377" t="n"/>
      <c r="Y47" s="377" t="n"/>
      <c r="Z47" s="377" t="n"/>
      <c r="AA47" s="377" t="n"/>
      <c r="AB47" s="6555" t="inlineStr">
        <is>
          <t>Form 8995</t>
        </is>
      </c>
      <c r="AC47" s="6555" t="n"/>
      <c r="AD47" s="339" t="n"/>
      <c r="AE47" s="377" t="n"/>
      <c r="AF47" s="377" t="n"/>
      <c r="AG47" s="2909">
        <f>"("&amp;TaxYear&amp;") Created 9/12/25"</f>
        <v/>
      </c>
      <c r="AH47" s="1277" t="n"/>
      <c r="AJ47" s="2875" t="n"/>
    </row>
    <row r="48">
      <c r="A48" s="1277" t="n"/>
      <c r="B48" s="1277" t="n"/>
      <c r="C48" s="1277" t="n"/>
      <c r="D48" s="1277" t="n"/>
      <c r="E48" s="1277" t="n"/>
      <c r="F48" s="1277" t="n"/>
      <c r="G48" s="1277" t="n"/>
      <c r="H48" s="1277" t="n"/>
      <c r="I48" s="1277" t="n"/>
      <c r="J48" s="1277" t="n"/>
      <c r="K48" s="1277" t="n"/>
      <c r="L48" s="1277" t="n"/>
      <c r="M48" s="1277" t="n"/>
      <c r="N48" s="1277" t="n"/>
      <c r="O48" s="1277" t="n"/>
      <c r="P48" s="1277" t="n"/>
      <c r="Q48" s="1277" t="n"/>
      <c r="R48" s="1277" t="n"/>
      <c r="S48" s="1277" t="n"/>
      <c r="T48" s="1277" t="n"/>
      <c r="U48" s="1277" t="n"/>
      <c r="V48" s="1277" t="n"/>
      <c r="W48" s="1277" t="n"/>
      <c r="X48" s="1277" t="n"/>
      <c r="Y48" s="1277" t="n"/>
      <c r="Z48" s="1277" t="n"/>
      <c r="AA48" s="1277" t="n"/>
      <c r="AB48" s="1277" t="n"/>
      <c r="AC48" s="1277" t="n"/>
      <c r="AD48" s="1277" t="n"/>
      <c r="AE48" s="1277" t="n"/>
      <c r="AF48" s="1277" t="n"/>
      <c r="AG48" s="1277" t="n"/>
      <c r="AH48" s="1277" t="n"/>
      <c r="AJ48" s="2875" t="n"/>
    </row>
    <row r="49" ht="13.5" customHeight="1" s="7635" thickBot="1"/>
    <row r="50" ht="12.95" customHeight="1" s="7635">
      <c r="B50" s="11827" t="inlineStr">
        <is>
          <t>Table of Contents</t>
        </is>
      </c>
      <c r="C50" s="2506" t="n"/>
      <c r="D50" s="2506" t="n"/>
      <c r="E50" s="2506" t="n"/>
      <c r="F50" s="2614" t="n"/>
    </row>
    <row r="51" ht="12.95" customHeight="1" s="7635">
      <c r="B51" s="11741" t="n"/>
      <c r="F51" s="1066" t="n"/>
    </row>
    <row r="52" ht="12.95" customHeight="1" s="7635" thickBot="1">
      <c r="B52" s="11743" t="n"/>
      <c r="C52" s="8848" t="n"/>
      <c r="D52" s="8848" t="n"/>
      <c r="E52" s="8848" t="n"/>
      <c r="F52" s="2627" t="n"/>
    </row>
  </sheetData>
  <sheetProtection selectLockedCells="0" selectUnlockedCells="0" algorithmName="SHA-512" sheet="1" objects="0" insertRows="1" insertHyperlinks="1" autoFilter="1" scenarios="0" formatColumns="0" deleteColumns="1" insertColumns="1" pivotTables="1" deleteRows="1" formatCells="0" saltValue="vJ8JbYD4KokkSNKFzhM+WQ==" formatRows="0" sort="1" spinCount="100000" hashValue="ElzI6EQKaQpQNqLl+RHjfo2cjIhpLTasE/ojEwkNulm78zizFlnSnkFW13rwY3BGilbxXlsKrCHfP5QGZZnmJA=="/>
  <mergeCells count="95">
    <mergeCell ref="W25:AA25"/>
    <mergeCell ref="Y8:AG9"/>
    <mergeCell ref="B31:C31"/>
    <mergeCell ref="AC28:AG28"/>
    <mergeCell ref="B12:C12"/>
    <mergeCell ref="AB17:AG17"/>
    <mergeCell ref="B11:AG11"/>
    <mergeCell ref="V16:AA16"/>
    <mergeCell ref="B38:C38"/>
    <mergeCell ref="AB19:AG19"/>
    <mergeCell ref="B21:C22"/>
    <mergeCell ref="V18:AA18"/>
    <mergeCell ref="B40:C40"/>
    <mergeCell ref="V17:AA17"/>
    <mergeCell ref="B24:C24"/>
    <mergeCell ref="B6:F6"/>
    <mergeCell ref="B33:C33"/>
    <mergeCell ref="AB20:AG20"/>
    <mergeCell ref="AB14:AG14"/>
    <mergeCell ref="B32:C32"/>
    <mergeCell ref="B26:C26"/>
    <mergeCell ref="B41:C41"/>
    <mergeCell ref="AC27:AG27"/>
    <mergeCell ref="V20:AA20"/>
    <mergeCell ref="AC41:AG41"/>
    <mergeCell ref="B35:C35"/>
    <mergeCell ref="B25:C25"/>
    <mergeCell ref="W34:AA34"/>
    <mergeCell ref="B19:C20"/>
    <mergeCell ref="AC23:AG26"/>
    <mergeCell ref="B27:C27"/>
    <mergeCell ref="AB21:AG21"/>
    <mergeCell ref="V15:AA15"/>
    <mergeCell ref="AJ10:AJ11"/>
    <mergeCell ref="W30:AA30"/>
    <mergeCell ref="AF5:AF6"/>
    <mergeCell ref="AB13:AG13"/>
    <mergeCell ref="AC39:AG39"/>
    <mergeCell ref="B29:C29"/>
    <mergeCell ref="B37:C37"/>
    <mergeCell ref="AB18:AG18"/>
    <mergeCell ref="B5:F5"/>
    <mergeCell ref="W38:AA38"/>
    <mergeCell ref="B4:F4"/>
    <mergeCell ref="V19:AA19"/>
    <mergeCell ref="W40:AA40"/>
    <mergeCell ref="AB3:AG4"/>
    <mergeCell ref="AD46:AF46"/>
    <mergeCell ref="AB22:AG22"/>
    <mergeCell ref="B15:C16"/>
    <mergeCell ref="W33:AA33"/>
    <mergeCell ref="D19:U20"/>
    <mergeCell ref="AB12:AG12"/>
    <mergeCell ref="B43:C43"/>
    <mergeCell ref="G3:AA3"/>
    <mergeCell ref="B42:C42"/>
    <mergeCell ref="X26:Z26"/>
    <mergeCell ref="AC43:AG43"/>
    <mergeCell ref="D12:U12"/>
    <mergeCell ref="AC35:AG35"/>
    <mergeCell ref="B44:C44"/>
    <mergeCell ref="D2:F3"/>
    <mergeCell ref="G4:AA4"/>
    <mergeCell ref="D21:U22"/>
    <mergeCell ref="B34:C34"/>
    <mergeCell ref="B28:C28"/>
    <mergeCell ref="B10:AG10"/>
    <mergeCell ref="B30:C30"/>
    <mergeCell ref="D13:U14"/>
    <mergeCell ref="W39:AA39"/>
    <mergeCell ref="B45:C45"/>
    <mergeCell ref="B8:X9"/>
    <mergeCell ref="W37:AA37"/>
    <mergeCell ref="D15:U16"/>
    <mergeCell ref="AB16:AG16"/>
    <mergeCell ref="B13:C14"/>
    <mergeCell ref="B46:C46"/>
    <mergeCell ref="B50:F52"/>
    <mergeCell ref="AJ20:AJ22"/>
    <mergeCell ref="B39:C39"/>
    <mergeCell ref="AB2:AG2"/>
    <mergeCell ref="V22:AA22"/>
    <mergeCell ref="D17:U18"/>
    <mergeCell ref="W27:AA27"/>
    <mergeCell ref="V12:AA12"/>
    <mergeCell ref="V21:AA21"/>
    <mergeCell ref="AB15:AG15"/>
    <mergeCell ref="X32:Z32"/>
    <mergeCell ref="B2:C3"/>
    <mergeCell ref="B17:C18"/>
    <mergeCell ref="V14:AA14"/>
    <mergeCell ref="B36:C36"/>
    <mergeCell ref="AC36:AG36"/>
    <mergeCell ref="V13:AA13"/>
    <mergeCell ref="AD44:AF44"/>
  </mergeCells>
  <conditionalFormatting sqref="B8 Y8">
    <cfRule type="expression" priority="80" dxfId="6">
      <formula>NoColor</formula>
    </cfRule>
  </conditionalFormatting>
  <conditionalFormatting sqref="B11:D11 F11:AG11">
    <cfRule type="expression" priority="6" dxfId="0">
      <formula>AND($AL$10,AI9="")</formula>
    </cfRule>
  </conditionalFormatting>
  <conditionalFormatting sqref="B4:F4">
    <cfRule type="expression" priority="58" dxfId="20">
      <formula>NOT(Draft)</formula>
    </cfRule>
  </conditionalFormatting>
  <conditionalFormatting sqref="D46">
    <cfRule type="expression" priority="8" dxfId="14">
      <formula>$AD$46&lt;0</formula>
    </cfRule>
  </conditionalFormatting>
  <conditionalFormatting sqref="D13:AG22">
    <cfRule type="expression" priority="23" dxfId="6">
      <formula>NoColor</formula>
    </cfRule>
  </conditionalFormatting>
  <conditionalFormatting sqref="E11">
    <cfRule type="expression" priority="4067" dxfId="0">
      <formula>AND($AL$10,$AL$11="")</formula>
    </cfRule>
  </conditionalFormatting>
  <conditionalFormatting sqref="W25:AA27 W28:Z28 W29:AA32 W33 W34:AA34 W35:Z36 W37:AA37 W38 W39:AA40">
    <cfRule type="expression" priority="21" dxfId="6">
      <formula>NoColor</formula>
    </cfRule>
  </conditionalFormatting>
  <conditionalFormatting sqref="AA42">
    <cfRule type="expression" priority="39" dxfId="6">
      <formula>IF(NoColor,1,0)</formula>
    </cfRule>
  </conditionalFormatting>
  <conditionalFormatting sqref="AA45">
    <cfRule type="expression" priority="9" dxfId="14">
      <formula>$AD$46&lt;0</formula>
    </cfRule>
    <cfRule type="expression" priority="10" dxfId="6">
      <formula>IF(NoColor,1,0)</formula>
    </cfRule>
  </conditionalFormatting>
  <conditionalFormatting sqref="AC28:AG28">
    <cfRule type="expression" priority="20" dxfId="6">
      <formula>NoColor</formula>
    </cfRule>
  </conditionalFormatting>
  <conditionalFormatting sqref="AC35:AG36">
    <cfRule type="expression" priority="18" dxfId="6">
      <formula>NoColor</formula>
    </cfRule>
  </conditionalFormatting>
  <conditionalFormatting sqref="AC41:AG41">
    <cfRule type="expression" priority="17" dxfId="6">
      <formula>NoColor</formula>
    </cfRule>
  </conditionalFormatting>
  <conditionalFormatting sqref="AC42:AG42">
    <cfRule type="expression" priority="54" dxfId="6">
      <formula>IF(NoColor,1,0)</formula>
    </cfRule>
  </conditionalFormatting>
  <conditionalFormatting sqref="AC43:AG44">
    <cfRule type="expression" priority="11" dxfId="6">
      <formula>NoColor</formula>
    </cfRule>
  </conditionalFormatting>
  <conditionalFormatting sqref="AC45:AG45">
    <cfRule type="expression" priority="26" dxfId="6">
      <formula>IF(NoColor,1,0)</formula>
    </cfRule>
  </conditionalFormatting>
  <conditionalFormatting sqref="AC46:AG46">
    <cfRule type="expression" priority="13" dxfId="6">
      <formula>NoColor</formula>
    </cfRule>
  </conditionalFormatting>
  <conditionalFormatting sqref="AH23">
    <cfRule type="expression" priority="2" dxfId="5">
      <formula>$AM$27</formula>
    </cfRule>
  </conditionalFormatting>
  <conditionalFormatting sqref="AI9">
    <cfRule type="expression" priority="4" dxfId="4">
      <formula>$AL$10</formula>
    </cfRule>
  </conditionalFormatting>
  <conditionalFormatting sqref="AJ9">
    <cfRule type="expression" priority="5" dxfId="3">
      <formula>$AL$10</formula>
    </cfRule>
  </conditionalFormatting>
  <conditionalFormatting sqref="AJ10">
    <cfRule type="expression" priority="7" dxfId="1">
      <formula>$AL$10</formula>
    </cfRule>
  </conditionalFormatting>
  <conditionalFormatting sqref="AJ23">
    <cfRule type="expression" priority="1" dxfId="1">
      <formula>$AM$27</formula>
    </cfRule>
  </conditionalFormatting>
  <hyperlinks>
    <hyperlink ref="B50" location="'Table of Contents'!A1" display="Table of Contents"/>
  </hyperlinks>
  <pageMargins left="0.75" right="0.25" top="0.36" bottom="0.29" header="0.36" footer="0.21"/>
  <pageSetup orientation="portrait" scale="74" fitToHeight="0"/>
</worksheet>
</file>

<file path=xl/worksheets/sheet64.xml><?xml version="1.0" encoding="utf-8"?>
<worksheet xmlns="http://schemas.openxmlformats.org/spreadsheetml/2006/main">
  <sheetPr>
    <outlinePr summaryBelow="1" summaryRight="1"/>
    <pageSetUpPr fitToPage="1"/>
  </sheetPr>
  <dimension ref="A1:U1384"/>
  <sheetViews>
    <sheetView zoomScale="85" zoomScaleNormal="85" workbookViewId="0">
      <pane xSplit="2" ySplit="2" topLeftCell="G3" activePane="bottomRight" state="frozen"/>
      <selection activeCell="E24" sqref="E24"/>
      <selection pane="topRight" activeCell="E24" sqref="E24"/>
      <selection pane="bottomLeft" activeCell="E24" sqref="E24"/>
      <selection pane="bottomRight" activeCell="A1" sqref="A1:B1"/>
    </sheetView>
  </sheetViews>
  <sheetFormatPr baseColWidth="8" defaultColWidth="14.7109375" defaultRowHeight="12.75"/>
  <cols>
    <col width="14.7109375" customWidth="1" style="422" min="1" max="1"/>
    <col width="14.7109375" customWidth="1" style="431" min="2" max="2"/>
    <col width="11.85546875" customWidth="1" style="422" min="3" max="5"/>
    <col width="11.85546875" customWidth="1" style="431" min="6" max="6"/>
    <col width="11.85546875" customWidth="1" style="1382" min="7" max="9"/>
    <col width="11.85546875" customWidth="1" style="1383" min="10" max="10"/>
    <col width="6.140625" customWidth="1" style="195" min="11" max="11"/>
    <col width="14.140625" customWidth="1" style="422" min="12" max="12"/>
    <col width="18" customWidth="1" style="422" min="13" max="13"/>
    <col width="14.7109375" customWidth="1" style="422" min="14" max="22"/>
    <col width="14.7109375" customWidth="1" style="422" min="23" max="16384"/>
  </cols>
  <sheetData>
    <row r="1" customFormat="1" s="426">
      <c r="A1" s="11683" t="inlineStr">
        <is>
          <t>If the Worksheet Amount is:</t>
        </is>
      </c>
      <c r="B1" s="12871" t="n"/>
      <c r="C1" s="11683" t="inlineStr">
        <is>
          <t>Single, Head of Household, or Qualifying Widow(er)</t>
        </is>
      </c>
      <c r="D1" s="12872" t="n"/>
      <c r="E1" s="12872" t="n"/>
      <c r="F1" s="12871" t="n"/>
      <c r="G1" s="12873" t="inlineStr">
        <is>
          <t>Married Filing Jointly</t>
        </is>
      </c>
      <c r="H1" s="12872" t="n"/>
      <c r="I1" s="12872" t="n"/>
      <c r="J1" s="12871" t="n"/>
      <c r="N1" s="11683" t="inlineStr">
        <is>
          <t>Single, Head of Household, or Qualifying Widow(er)</t>
        </is>
      </c>
      <c r="O1" s="12872" t="n"/>
      <c r="P1" s="12872" t="n"/>
      <c r="Q1" s="12871" t="n"/>
      <c r="R1" s="11683" t="inlineStr">
        <is>
          <t>Married Filing Jointly</t>
        </is>
      </c>
      <c r="S1" s="12872" t="n"/>
      <c r="T1" s="12872" t="n"/>
      <c r="U1" s="12871" t="n"/>
    </row>
    <row r="2" ht="14.25" customFormat="1" customHeight="1" s="252" thickBot="1">
      <c r="A2" s="427" t="inlineStr">
        <is>
          <t>At least</t>
        </is>
      </c>
      <c r="B2" s="428" t="inlineStr">
        <is>
          <t>But less than</t>
        </is>
      </c>
      <c r="C2" s="429" t="inlineStr">
        <is>
          <t>No Children</t>
        </is>
      </c>
      <c r="D2" s="429" t="inlineStr">
        <is>
          <t>One Child</t>
        </is>
      </c>
      <c r="E2" s="429" t="inlineStr">
        <is>
          <t>Two Children</t>
        </is>
      </c>
      <c r="F2" s="430" t="inlineStr">
        <is>
          <t>Three Children+</t>
        </is>
      </c>
      <c r="G2" s="1380" t="inlineStr">
        <is>
          <t>No Children</t>
        </is>
      </c>
      <c r="H2" s="1380" t="inlineStr">
        <is>
          <t>One Child</t>
        </is>
      </c>
      <c r="I2" s="1380" t="inlineStr">
        <is>
          <t>Two Children</t>
        </is>
      </c>
      <c r="J2" s="1381" t="inlineStr">
        <is>
          <t>Three Children+</t>
        </is>
      </c>
      <c r="K2" s="155" t="n"/>
      <c r="L2" s="12874" t="inlineStr">
        <is>
          <t>AGI</t>
        </is>
      </c>
      <c r="N2" s="2860" t="inlineStr">
        <is>
          <t>No Children</t>
        </is>
      </c>
      <c r="O2" s="429" t="inlineStr">
        <is>
          <t>One Child</t>
        </is>
      </c>
      <c r="P2" s="429" t="inlineStr">
        <is>
          <t>Two Children</t>
        </is>
      </c>
      <c r="Q2" s="430" t="inlineStr">
        <is>
          <t>Three Children+</t>
        </is>
      </c>
      <c r="R2" s="429" t="inlineStr">
        <is>
          <t>No Children</t>
        </is>
      </c>
      <c r="S2" s="429" t="inlineStr">
        <is>
          <t>One Child</t>
        </is>
      </c>
      <c r="T2" s="429" t="inlineStr">
        <is>
          <t>Two Children</t>
        </is>
      </c>
      <c r="U2" s="430" t="inlineStr">
        <is>
          <t>Three Children+</t>
        </is>
      </c>
    </row>
    <row r="3" ht="13.5" customHeight="1" s="7635">
      <c r="A3" s="12875" t="n">
        <v>1</v>
      </c>
      <c r="B3" s="12876" t="n">
        <v>50</v>
      </c>
      <c r="C3" s="12877">
        <f>IF($L3&gt;N$5,MAX(0,N$3+ROUND((N$9*($L3-N$5)),0)),IF($L3&gt;N$4,N$3,ROUND($L3*N$7,0)))</f>
        <v/>
      </c>
      <c r="D3" s="12878">
        <f>IF($L3&gt;O$5,MAX(0,O$3+ROUND((O$9*($L3-O$5)),0)),IF($L3&gt;O$4,O$3,ROUND($L3*O$7,0)))</f>
        <v/>
      </c>
      <c r="E3" s="12878">
        <f>IF($L3&gt;P$5,MAX(0,P$3+ROUND((P$9*($L3-P$5)),0)),IF($L3&gt;P$4,P$3,ROUND($L3*P$7,0)))</f>
        <v/>
      </c>
      <c r="F3" s="12879">
        <f>IF($L3&gt;Q$5,MAX(0,Q$3+ROUND((Q$9*($L3-Q$5)),0)),IF($L3&gt;Q$4,Q$3,ROUND($L3*Q$7,0)))</f>
        <v/>
      </c>
      <c r="G3" s="12877">
        <f>IF($L3&gt;R$5,MAX(0,R$3+ROUND((R$9*($L3-R$5)),0)),IF($L3&gt;R$4,R$3,ROUND($L3*R$7,0)))</f>
        <v/>
      </c>
      <c r="H3" s="12878">
        <f>IF($L3&gt;S$5,MAX(0,S$3+ROUND((S$9*($L3-S$5)),0)),IF($L3&gt;S$4,S$3,ROUND($L3*S$7,0)))</f>
        <v/>
      </c>
      <c r="I3" s="12878">
        <f>IF($L3&gt;T$5,MAX(0,T$3+ROUND((T$9*($L3-T$5)),0)),IF($L3&gt;T$4,T$3,ROUND($L3*T$7,0)))</f>
        <v/>
      </c>
      <c r="J3" s="12879">
        <f>IF($L3&gt;U$5,MAX(0,U$3+ROUND((U$9*($L3-U$5)),0)),IF($L3&gt;U$4,U$3,ROUND($L3*U$7,0)))</f>
        <v/>
      </c>
      <c r="K3" s="422" t="n"/>
      <c r="L3" s="12875">
        <f>ROUND((A3+B3)/2,2)-1</f>
        <v/>
      </c>
      <c r="M3" s="12875" t="inlineStr">
        <is>
          <t>MaxEITC</t>
        </is>
      </c>
      <c r="N3" s="12880" t="n">
        <v>649</v>
      </c>
      <c r="O3" s="12880" t="n">
        <v>4328</v>
      </c>
      <c r="P3" s="12880" t="n">
        <v>7152</v>
      </c>
      <c r="Q3" s="12880" t="n">
        <v>8046</v>
      </c>
      <c r="R3" s="12880" t="n">
        <v>649</v>
      </c>
      <c r="S3" s="12880" t="n">
        <v>4328</v>
      </c>
      <c r="T3" s="12880" t="n">
        <v>7152</v>
      </c>
      <c r="U3" s="12880" t="n">
        <v>8046</v>
      </c>
    </row>
    <row r="4" ht="13.5" customHeight="1" s="7635">
      <c r="A4" s="448" t="n">
        <v>50</v>
      </c>
      <c r="B4" s="447" t="n">
        <v>100</v>
      </c>
      <c r="C4" s="1378">
        <f>IF($L4&gt;N$5,MAX(0,N$3+ROUND((N$9*($L4-N$5)),0)),IF($L4&gt;N$4,N$3,ROUND($L4*N$7,0)))</f>
        <v/>
      </c>
      <c r="D4" s="448">
        <f>IF($L4&gt;O$5,MAX(0,O$3+ROUND((O$9*($L4-O$5)),0)),IF($L4&gt;O$4,O$3,ROUND($L4*O$7,0)))</f>
        <v/>
      </c>
      <c r="E4" s="448">
        <f>IF($L4&gt;P$5,MAX(0,P$3+ROUND((P$9*($L4-P$5)),0)),IF($L4&gt;P$4,P$3,ROUND($L4*P$7,0)))</f>
        <v/>
      </c>
      <c r="F4" s="447">
        <f>IF($L4&gt;Q$5,MAX(0,Q$3+ROUND((Q$9*($L4-Q$5)),0)),IF($L4&gt;Q$4,Q$3,ROUND($L4*Q$7,0)))</f>
        <v/>
      </c>
      <c r="G4" s="1378">
        <f>IF($L4&gt;R$5,MAX(0,R$3+ROUND((R$9*($L4-R$5)),0)),IF($L4&gt;R$4,R$3,ROUND($L4*R$7,0)))</f>
        <v/>
      </c>
      <c r="H4" s="448">
        <f>IF($L4&gt;S$5,MAX(0,S$3+ROUND((S$9*($L4-S$5)),0)),IF($L4&gt;S$4,S$3,ROUND($L4*S$7,0)))</f>
        <v/>
      </c>
      <c r="I4" s="448">
        <f>IF($L4&gt;T$5,MAX(0,T$3+ROUND((T$9*($L4-T$5)),0)),IF($L4&gt;T$4,T$3,ROUND($L4*T$7,0)))</f>
        <v/>
      </c>
      <c r="J4" s="447">
        <f>IF($L4&gt;U$5,MAX(0,U$3+ROUND((U$9*($L4-U$5)),0)),IF($L4&gt;U$4,U$3,ROUND($L4*U$7,0)))</f>
        <v/>
      </c>
      <c r="K4" s="422" t="n"/>
      <c r="L4" s="448">
        <f>ROUND((A4+B4)/2,2)</f>
        <v/>
      </c>
      <c r="M4" s="12875" t="inlineStr">
        <is>
          <t>MaxAGI-1</t>
        </is>
      </c>
      <c r="N4" s="2862" t="n">
        <v>8490</v>
      </c>
      <c r="O4" s="2862" t="n">
        <v>12730</v>
      </c>
      <c r="P4" s="2862" t="n">
        <v>17880</v>
      </c>
      <c r="Q4" s="2862" t="n">
        <v>17880</v>
      </c>
      <c r="R4" s="2862" t="n">
        <v>8490</v>
      </c>
      <c r="S4" s="2862" t="n">
        <v>12730</v>
      </c>
      <c r="T4" s="2862" t="n">
        <v>17880</v>
      </c>
      <c r="U4" s="2862" t="n">
        <v>17880</v>
      </c>
    </row>
    <row r="5" ht="13.5" customHeight="1" s="7635">
      <c r="A5" s="448" t="n">
        <v>100</v>
      </c>
      <c r="B5" s="447" t="n">
        <v>150</v>
      </c>
      <c r="C5" s="1378">
        <f>IF($L5&gt;N$5,MAX(0,N$3+ROUND((N$9*($L5-N$5)),0)),IF($L5&gt;N$4,N$3,ROUND($L5*N$7,0)))</f>
        <v/>
      </c>
      <c r="D5" s="448">
        <f>IF($L5&gt;O$5,MAX(0,O$3+ROUND((O$9*($L5-O$5)),0)),IF($L5&gt;O$4,O$3,ROUND($L5*O$7,0)))</f>
        <v/>
      </c>
      <c r="E5" s="448">
        <f>IF($L5&gt;P$5,MAX(0,P$3+ROUND((P$9*($L5-P$5)),0)),IF($L5&gt;P$4,P$3,ROUND($L5*P$7,0)))</f>
        <v/>
      </c>
      <c r="F5" s="447">
        <f>IF($L5&gt;Q$5,MAX(0,Q$3+ROUND((Q$9*($L5-Q$5)),0)),IF($L5&gt;Q$4,Q$3,ROUND($L5*Q$7,0)))</f>
        <v/>
      </c>
      <c r="G5" s="1378">
        <f>IF($L5&gt;R$5,MAX(0,R$3+ROUND((R$9*($L5-R$5)),0)),IF($L5&gt;R$4,R$3,ROUND($L5*R$7,0)))</f>
        <v/>
      </c>
      <c r="H5" s="448">
        <f>IF($L5&gt;S$5,MAX(0,S$3+ROUND((S$9*($L5-S$5)),0)),IF($L5&gt;S$4,S$3,ROUND($L5*S$7,0)))</f>
        <v/>
      </c>
      <c r="I5" s="448">
        <f>IF($L5&gt;T$5,MAX(0,T$3+ROUND((T$9*($L5-T$5)),0)),IF($L5&gt;T$4,T$3,ROUND($L5*T$7,0)))</f>
        <v/>
      </c>
      <c r="J5" s="447">
        <f>IF($L5&gt;U$5,MAX(0,U$3+ROUND((U$9*($L5-U$5)),0)),IF($L5&gt;U$4,U$3,ROUND($L5*U$7,0)))</f>
        <v/>
      </c>
      <c r="K5" s="422" t="n"/>
      <c r="L5" s="448">
        <f>ROUND((A5+B5)/2,2)</f>
        <v/>
      </c>
      <c r="M5" s="12875" t="inlineStr">
        <is>
          <t>MaxAGI-2</t>
        </is>
      </c>
      <c r="N5" s="2862" t="n">
        <v>10620</v>
      </c>
      <c r="O5" s="2862" t="n">
        <v>23350</v>
      </c>
      <c r="P5" s="2862" t="n">
        <v>23350</v>
      </c>
      <c r="Q5" s="2862" t="n">
        <v>23350</v>
      </c>
      <c r="R5" s="2862" t="n">
        <v>17730</v>
      </c>
      <c r="S5" s="2862" t="n">
        <v>30470</v>
      </c>
      <c r="T5" s="2862" t="n">
        <v>30470</v>
      </c>
      <c r="U5" s="2862" t="n">
        <v>30470</v>
      </c>
    </row>
    <row r="6" ht="13.5" customHeight="1" s="7635">
      <c r="A6" s="448" t="n">
        <v>150</v>
      </c>
      <c r="B6" s="447" t="n">
        <v>200</v>
      </c>
      <c r="C6" s="1378">
        <f>IF($L6&gt;N$5,MAX(0,N$3+ROUND((N$9*($L6-N$5)),0)),IF($L6&gt;N$4,N$3,ROUND($L6*N$7,0)))</f>
        <v/>
      </c>
      <c r="D6" s="448">
        <f>IF($L6&gt;O$5,MAX(0,O$3+ROUND((O$9*($L6-O$5)),0)),IF($L6&gt;O$4,O$3,ROUND($L6*O$7,0)))</f>
        <v/>
      </c>
      <c r="E6" s="448">
        <f>IF($L6&gt;P$5,MAX(0,P$3+ROUND((P$9*($L6-P$5)),0)),IF($L6&gt;P$4,P$3,ROUND($L6*P$7,0)))</f>
        <v/>
      </c>
      <c r="F6" s="447">
        <f>IF($L6&gt;Q$5,MAX(0,Q$3+ROUND((Q$9*($L6-Q$5)),0)),IF($L6&gt;Q$4,Q$3,ROUND($L6*Q$7,0)))</f>
        <v/>
      </c>
      <c r="G6" s="1378">
        <f>IF($L6&gt;R$5,MAX(0,R$3+ROUND((R$9*($L6-R$5)),0)),IF($L6&gt;R$4,R$3,ROUND($L6*R$7,0)))</f>
        <v/>
      </c>
      <c r="H6" s="448">
        <f>IF($L6&gt;S$5,MAX(0,S$3+ROUND((S$9*($L6-S$5)),0)),IF($L6&gt;S$4,S$3,ROUND($L6*S$7,0)))</f>
        <v/>
      </c>
      <c r="I6" s="448">
        <f>IF($L6&gt;T$5,MAX(0,T$3+ROUND((T$9*($L6-T$5)),0)),IF($L6&gt;T$4,T$3,ROUND($L6*T$7,0)))</f>
        <v/>
      </c>
      <c r="J6" s="447">
        <f>IF($L6&gt;U$5,MAX(0,U$3+ROUND((U$9*($L6-U$5)),0)),IF($L6&gt;U$4,U$3,ROUND($L6*U$7,0)))</f>
        <v/>
      </c>
      <c r="K6" s="422" t="n"/>
      <c r="L6" s="448">
        <f>ROUND((A6+B6)/2,2)</f>
        <v/>
      </c>
      <c r="M6" s="12875" t="inlineStr">
        <is>
          <t>MaxAGI-3</t>
        </is>
      </c>
      <c r="N6" s="2862" t="n">
        <v>19104</v>
      </c>
      <c r="O6" s="2862" t="n">
        <v>50434</v>
      </c>
      <c r="P6" s="2862" t="n">
        <v>57310</v>
      </c>
      <c r="Q6" s="2862" t="n">
        <v>61555</v>
      </c>
      <c r="R6" s="2862" t="n">
        <v>26214</v>
      </c>
      <c r="S6" s="2862" t="n">
        <v>57554</v>
      </c>
      <c r="T6" s="2862" t="n">
        <v>64430</v>
      </c>
      <c r="U6" s="2862" t="n">
        <v>68675</v>
      </c>
    </row>
    <row r="7" ht="13.5" customHeight="1" s="7635">
      <c r="A7" s="448" t="n">
        <v>200</v>
      </c>
      <c r="B7" s="447" t="n">
        <v>250</v>
      </c>
      <c r="C7" s="1378">
        <f>IF($L7&gt;N$5,MAX(0,N$3+ROUND((N$9*($L7-N$5)),0)),IF($L7&gt;N$4,N$3,ROUND($L7*N$7,0)))</f>
        <v/>
      </c>
      <c r="D7" s="448">
        <f>IF($L7&gt;O$5,MAX(0,O$3+ROUND((O$9*($L7-O$5)),0)),IF($L7&gt;O$4,O$3,ROUND($L7*O$7,0)))</f>
        <v/>
      </c>
      <c r="E7" s="448">
        <f>IF($L7&gt;P$5,MAX(0,P$3+ROUND((P$9*($L7-P$5)),0)),IF($L7&gt;P$4,P$3,ROUND($L7*P$7,0)))</f>
        <v/>
      </c>
      <c r="F7" s="447">
        <f>IF($L7&gt;Q$5,MAX(0,Q$3+ROUND((Q$9*($L7-Q$5)),0)),IF($L7&gt;Q$4,Q$3,ROUND($L7*Q$7,0)))</f>
        <v/>
      </c>
      <c r="G7" s="1378">
        <f>IF($L7&gt;R$5,MAX(0,R$3+ROUND((R$9*($L7-R$5)),0)),IF($L7&gt;R$4,R$3,ROUND($L7*R$7,0)))</f>
        <v/>
      </c>
      <c r="H7" s="448">
        <f>IF($L7&gt;S$5,MAX(0,S$3+ROUND((S$9*($L7-S$5)),0)),IF($L7&gt;S$4,S$3,ROUND($L7*S$7,0)))</f>
        <v/>
      </c>
      <c r="I7" s="448">
        <f>IF($L7&gt;T$5,MAX(0,T$3+ROUND((T$9*($L7-T$5)),0)),IF($L7&gt;T$4,T$3,ROUND($L7*T$7,0)))</f>
        <v/>
      </c>
      <c r="J7" s="447">
        <f>IF($L7&gt;U$5,MAX(0,U$3+ROUND((U$9*($L7-U$5)),0)),IF($L7&gt;U$4,U$3,ROUND($L7*U$7,0)))</f>
        <v/>
      </c>
      <c r="K7" s="422" t="n"/>
      <c r="L7" s="448">
        <f>ROUND((A7+B7)/2,2)</f>
        <v/>
      </c>
      <c r="M7" s="12875" t="inlineStr">
        <is>
          <t>Slope-1</t>
        </is>
      </c>
      <c r="N7" s="12881">
        <f>ROUND(N3/N4,4)</f>
        <v/>
      </c>
      <c r="O7" s="12881">
        <f>ROUND(O3/O4,4)</f>
        <v/>
      </c>
      <c r="P7" s="12881">
        <f>ROUND(P3/P4,4)</f>
        <v/>
      </c>
      <c r="Q7" s="12881">
        <f>ROUND(Q3/Q4,4)</f>
        <v/>
      </c>
      <c r="R7" s="12881">
        <f>ROUND(R3/R4,4)</f>
        <v/>
      </c>
      <c r="S7" s="12881">
        <f>ROUND(S3/S4,4)</f>
        <v/>
      </c>
      <c r="T7" s="12881">
        <f>ROUND(T3/T4,4)</f>
        <v/>
      </c>
      <c r="U7" s="12881">
        <f>ROUND(U3/U4,4)</f>
        <v/>
      </c>
    </row>
    <row r="8" ht="13.5" customHeight="1" s="7635">
      <c r="A8" s="448" t="n">
        <v>250</v>
      </c>
      <c r="B8" s="447" t="n">
        <v>300</v>
      </c>
      <c r="C8" s="1378">
        <f>IF($L8&gt;N$5,MAX(0,N$3+ROUND((N$9*($L8-N$5)),0)),IF($L8&gt;N$4,N$3,ROUND($L8*N$7,0)))</f>
        <v/>
      </c>
      <c r="D8" s="448">
        <f>IF($L8&gt;O$5,MAX(0,O$3+ROUND((O$9*($L8-O$5)),0)),IF($L8&gt;O$4,O$3,ROUND($L8*O$7,0)))</f>
        <v/>
      </c>
      <c r="E8" s="448">
        <f>IF($L8&gt;P$5,MAX(0,P$3+ROUND((P$9*($L8-P$5)),0)),IF($L8&gt;P$4,P$3,ROUND($L8*P$7,0)))</f>
        <v/>
      </c>
      <c r="F8" s="447">
        <f>IF($L8&gt;Q$5,MAX(0,Q$3+ROUND((Q$9*($L8-Q$5)),0)),IF($L8&gt;Q$4,Q$3,ROUND($L8*Q$7,0)))</f>
        <v/>
      </c>
      <c r="G8" s="1378">
        <f>IF($L8&gt;R$5,MAX(0,R$3+ROUND((R$9*($L8-R$5)),0)),IF($L8&gt;R$4,R$3,ROUND($L8*R$7,0)))</f>
        <v/>
      </c>
      <c r="H8" s="448">
        <f>IF($L8&gt;S$5,MAX(0,S$3+ROUND((S$9*($L8-S$5)),0)),IF($L8&gt;S$4,S$3,ROUND($L8*S$7,0)))</f>
        <v/>
      </c>
      <c r="I8" s="448">
        <f>IF($L8&gt;T$5,MAX(0,T$3+ROUND((T$9*($L8-T$5)),0)),IF($L8&gt;T$4,T$3,ROUND($L8*T$7,0)))</f>
        <v/>
      </c>
      <c r="J8" s="447">
        <f>IF($L8&gt;U$5,MAX(0,U$3+ROUND((U$9*($L8-U$5)),0)),IF($L8&gt;U$4,U$3,ROUND($L8*U$7,0)))</f>
        <v/>
      </c>
      <c r="K8" s="422" t="n"/>
      <c r="L8" s="448">
        <f>ROUND((A8+B8)/2,2)</f>
        <v/>
      </c>
      <c r="M8" s="12875" t="inlineStr">
        <is>
          <t>Slope-2</t>
        </is>
      </c>
      <c r="N8" s="12881" t="n">
        <v>0</v>
      </c>
      <c r="O8" s="12881" t="n">
        <v>0</v>
      </c>
      <c r="P8" s="12881" t="n">
        <v>0</v>
      </c>
      <c r="Q8" s="12881" t="n">
        <v>0</v>
      </c>
      <c r="R8" s="12881" t="n">
        <v>0</v>
      </c>
      <c r="S8" s="12881" t="n">
        <v>0</v>
      </c>
      <c r="T8" s="12881" t="n">
        <v>0</v>
      </c>
      <c r="U8" s="12881" t="n">
        <v>0</v>
      </c>
    </row>
    <row r="9" ht="13.5" customHeight="1" s="7635">
      <c r="A9" s="448" t="n">
        <v>300</v>
      </c>
      <c r="B9" s="447" t="n">
        <v>350</v>
      </c>
      <c r="C9" s="1378">
        <f>IF($L9&gt;N$5,MAX(0,N$3+ROUND((N$9*($L9-N$5)),0)),IF($L9&gt;N$4,N$3,ROUND($L9*N$7,0)))</f>
        <v/>
      </c>
      <c r="D9" s="448">
        <f>IF($L9&gt;O$5,MAX(0,O$3+ROUND((O$9*($L9-O$5)),0)),IF($L9&gt;O$4,O$3,ROUND($L9*O$7,0)))</f>
        <v/>
      </c>
      <c r="E9" s="448">
        <f>IF($L9&gt;P$5,MAX(0,P$3+ROUND((P$9*($L9-P$5)),0)),IF($L9&gt;P$4,P$3,ROUND($L9*P$7,0)))</f>
        <v/>
      </c>
      <c r="F9" s="447">
        <f>IF($L9&gt;Q$5,MAX(0,Q$3+ROUND((Q$9*($L9-Q$5)),0)),IF($L9&gt;Q$4,Q$3,ROUND($L9*Q$7,0)))</f>
        <v/>
      </c>
      <c r="G9" s="1378">
        <f>IF($L9&gt;R$5,MAX(0,R$3+ROUND((R$9*($L9-R$5)),0)),IF($L9&gt;R$4,R$3,ROUND($L9*R$7,0)))</f>
        <v/>
      </c>
      <c r="H9" s="448">
        <f>IF($L9&gt;S$5,MAX(0,S$3+ROUND((S$9*($L9-S$5)),0)),IF($L9&gt;S$4,S$3,ROUND($L9*S$7,0)))</f>
        <v/>
      </c>
      <c r="I9" s="448">
        <f>IF($L9&gt;T$5,MAX(0,T$3+ROUND((T$9*($L9-T$5)),0)),IF($L9&gt;T$4,T$3,ROUND($L9*T$7,0)))</f>
        <v/>
      </c>
      <c r="J9" s="447">
        <f>IF($L9&gt;U$5,MAX(0,U$3+ROUND((U$9*($L9-U$5)),0)),IF($L9&gt;U$4,U$3,ROUND($L9*U$7,0)))</f>
        <v/>
      </c>
      <c r="K9" s="422" t="n"/>
      <c r="L9" s="448">
        <f>ROUND((A9+B9)/2,2)</f>
        <v/>
      </c>
      <c r="M9" s="12875" t="inlineStr">
        <is>
          <t>Slope-3</t>
        </is>
      </c>
      <c r="N9" s="12882">
        <f>-ROUND(N3/(N6-N5),7)</f>
        <v/>
      </c>
      <c r="O9" s="12882">
        <f>-ROUND(O3/(O6-O5),7)</f>
        <v/>
      </c>
      <c r="P9" s="12882">
        <f>-ROUND(P3/(P6-P5),6)</f>
        <v/>
      </c>
      <c r="Q9" s="12882">
        <f>-ROUND(Q3/(Q6-Q5),6)</f>
        <v/>
      </c>
      <c r="R9" s="12882">
        <f>N9</f>
        <v/>
      </c>
      <c r="S9" s="12882">
        <f>O9</f>
        <v/>
      </c>
      <c r="T9" s="12882">
        <f>P9</f>
        <v/>
      </c>
      <c r="U9" s="12882">
        <f>-ROUND(U3/(U6-U5),6)</f>
        <v/>
      </c>
    </row>
    <row r="10" ht="13.5" customHeight="1" s="7635">
      <c r="A10" s="448" t="n">
        <v>350</v>
      </c>
      <c r="B10" s="447" t="n">
        <v>400</v>
      </c>
      <c r="C10" s="1378">
        <f>IF($L10&gt;N$5,MAX(0,N$3+ROUND((N$9*($L10-N$5)),0)),IF($L10&gt;N$4,N$3,ROUND($L10*N$7,0)))</f>
        <v/>
      </c>
      <c r="D10" s="448">
        <f>IF($L10&gt;O$5,MAX(0,O$3+ROUND((O$9*($L10-O$5)),0)),IF($L10&gt;O$4,O$3,ROUND($L10*O$7,0)))</f>
        <v/>
      </c>
      <c r="E10" s="448">
        <f>IF($L10&gt;P$5,MAX(0,P$3+ROUND((P$9*($L10-P$5)),0)),IF($L10&gt;P$4,P$3,ROUND($L10*P$7,0)))</f>
        <v/>
      </c>
      <c r="F10" s="447">
        <f>IF($L10&gt;Q$5,MAX(0,Q$3+ROUND((Q$9*($L10-Q$5)),0)),IF($L10&gt;Q$4,Q$3,ROUND($L10*Q$7,0)))</f>
        <v/>
      </c>
      <c r="G10" s="1378">
        <f>IF($L10&gt;R$5,MAX(0,R$3+ROUND((R$9*($L10-R$5)),0)),IF($L10&gt;R$4,R$3,ROUND($L10*R$7,0)))</f>
        <v/>
      </c>
      <c r="H10" s="448">
        <f>IF($L10&gt;S$5,MAX(0,S$3+ROUND((S$9*($L10-S$5)),0)),IF($L10&gt;S$4,S$3,ROUND($L10*S$7,0)))</f>
        <v/>
      </c>
      <c r="I10" s="448">
        <f>IF($L10&gt;T$5,MAX(0,T$3+ROUND((T$9*($L10-T$5)),0)),IF($L10&gt;T$4,T$3,ROUND($L10*T$7,0)))</f>
        <v/>
      </c>
      <c r="J10" s="447">
        <f>IF($L10&gt;U$5,MAX(0,U$3+ROUND((U$9*($L10-U$5)),0)),IF($L10&gt;U$4,U$3,ROUND($L10*U$7,0)))</f>
        <v/>
      </c>
      <c r="K10" s="422" t="n"/>
      <c r="L10" s="448">
        <f>ROUND((A10+B10)/2,2)</f>
        <v/>
      </c>
    </row>
    <row r="11" ht="13.5" customHeight="1" s="7635">
      <c r="A11" s="448" t="n">
        <v>400</v>
      </c>
      <c r="B11" s="447" t="n">
        <v>450</v>
      </c>
      <c r="C11" s="1378">
        <f>IF($L11&gt;N$5,MAX(0,N$3+ROUND((N$9*($L11-N$5)),0)),IF($L11&gt;N$4,N$3,ROUND($L11*N$7,0)))</f>
        <v/>
      </c>
      <c r="D11" s="448">
        <f>IF($L11&gt;O$5,MAX(0,O$3+ROUND((O$9*($L11-O$5)),0)),IF($L11&gt;O$4,O$3,ROUND($L11*O$7,0)))</f>
        <v/>
      </c>
      <c r="E11" s="448">
        <f>IF($L11&gt;P$5,MAX(0,P$3+ROUND((P$9*($L11-P$5)),0)),IF($L11&gt;P$4,P$3,ROUND($L11*P$7,0)))</f>
        <v/>
      </c>
      <c r="F11" s="447">
        <f>IF($L11&gt;Q$5,MAX(0,Q$3+ROUND((Q$9*($L11-Q$5)),0)),IF($L11&gt;Q$4,Q$3,ROUND($L11*Q$7,0)))</f>
        <v/>
      </c>
      <c r="G11" s="1378">
        <f>IF($L11&gt;R$5,MAX(0,R$3+ROUND((R$9*($L11-R$5)),0)),IF($L11&gt;R$4,R$3,ROUND($L11*R$7,0)))</f>
        <v/>
      </c>
      <c r="H11" s="448">
        <f>IF($L11&gt;S$5,MAX(0,S$3+ROUND((S$9*($L11-S$5)),0)),IF($L11&gt;S$4,S$3,ROUND($L11*S$7,0)))</f>
        <v/>
      </c>
      <c r="I11" s="448">
        <f>IF($L11&gt;T$5,MAX(0,T$3+ROUND((T$9*($L11-T$5)),0)),IF($L11&gt;T$4,T$3,ROUND($L11*T$7,0)))</f>
        <v/>
      </c>
      <c r="J11" s="447">
        <f>IF($L11&gt;U$5,MAX(0,U$3+ROUND((U$9*($L11-U$5)),0)),IF($L11&gt;U$4,U$3,ROUND($L11*U$7,0)))</f>
        <v/>
      </c>
      <c r="K11" s="422" t="n"/>
      <c r="L11" s="448">
        <f>ROUND((A11+B11)/2,2)</f>
        <v/>
      </c>
    </row>
    <row r="12" ht="13.5" customHeight="1" s="7635">
      <c r="A12" s="448" t="n">
        <v>450</v>
      </c>
      <c r="B12" s="447" t="n">
        <v>500</v>
      </c>
      <c r="C12" s="1378">
        <f>IF($L12&gt;N$5,MAX(0,N$3+ROUND((N$9*($L12-N$5)),0)),IF($L12&gt;N$4,N$3,ROUND($L12*N$7,0)))</f>
        <v/>
      </c>
      <c r="D12" s="448">
        <f>IF($L12&gt;O$5,MAX(0,O$3+ROUND((O$9*($L12-O$5)),0)),IF($L12&gt;O$4,O$3,ROUND($L12*O$7,0)))</f>
        <v/>
      </c>
      <c r="E12" s="448">
        <f>IF($L12&gt;P$5,MAX(0,P$3+ROUND((P$9*($L12-P$5)),0)),IF($L12&gt;P$4,P$3,ROUND($L12*P$7,0)))</f>
        <v/>
      </c>
      <c r="F12" s="447">
        <f>IF($L12&gt;Q$5,MAX(0,Q$3+ROUND((Q$9*($L12-Q$5)),0)),IF($L12&gt;Q$4,Q$3,ROUND($L12*Q$7,0)))</f>
        <v/>
      </c>
      <c r="G12" s="1378">
        <f>IF($L12&gt;R$5,MAX(0,R$3+ROUND((R$9*($L12-R$5)),0)),IF($L12&gt;R$4,R$3,ROUND($L12*R$7,0)))</f>
        <v/>
      </c>
      <c r="H12" s="448">
        <f>IF($L12&gt;S$5,MAX(0,S$3+ROUND((S$9*($L12-S$5)),0)),IF($L12&gt;S$4,S$3,ROUND($L12*S$7,0)))</f>
        <v/>
      </c>
      <c r="I12" s="448">
        <f>IF($L12&gt;T$5,MAX(0,T$3+ROUND((T$9*($L12-T$5)),0)),IF($L12&gt;T$4,T$3,ROUND($L12*T$7,0)))</f>
        <v/>
      </c>
      <c r="J12" s="447">
        <f>IF($L12&gt;U$5,MAX(0,U$3+ROUND((U$9*($L12-U$5)),0)),IF($L12&gt;U$4,U$3,ROUND($L12*U$7,0)))</f>
        <v/>
      </c>
      <c r="K12" s="422" t="n"/>
      <c r="L12" s="448">
        <f>ROUND((A12+B12)/2,2)</f>
        <v/>
      </c>
    </row>
    <row r="13" ht="13.5" customHeight="1" s="7635">
      <c r="A13" s="448" t="n">
        <v>500</v>
      </c>
      <c r="B13" s="447" t="n">
        <v>550</v>
      </c>
      <c r="C13" s="1378">
        <f>IF($L13&gt;N$5,MAX(0,N$3+ROUND((N$9*($L13-N$5)),0)),IF($L13&gt;N$4,N$3,ROUND($L13*N$7,0)))</f>
        <v/>
      </c>
      <c r="D13" s="448">
        <f>IF($L13&gt;O$5,MAX(0,O$3+ROUND((O$9*($L13-O$5)),0)),IF($L13&gt;O$4,O$3,ROUND($L13*O$7,0)))</f>
        <v/>
      </c>
      <c r="E13" s="448">
        <f>IF($L13&gt;P$5,MAX(0,P$3+ROUND((P$9*($L13-P$5)),0)),IF($L13&gt;P$4,P$3,ROUND($L13*P$7,0)))</f>
        <v/>
      </c>
      <c r="F13" s="447">
        <f>IF($L13&gt;Q$5,MAX(0,Q$3+ROUND((Q$9*($L13-Q$5)),0)),IF($L13&gt;Q$4,Q$3,ROUND($L13*Q$7,0)))</f>
        <v/>
      </c>
      <c r="G13" s="1378">
        <f>IF($L13&gt;R$5,MAX(0,R$3+ROUND((R$9*($L13-R$5)),0)),IF($L13&gt;R$4,R$3,ROUND($L13*R$7,0)))</f>
        <v/>
      </c>
      <c r="H13" s="448">
        <f>IF($L13&gt;S$5,MAX(0,S$3+ROUND((S$9*($L13-S$5)),0)),IF($L13&gt;S$4,S$3,ROUND($L13*S$7,0)))</f>
        <v/>
      </c>
      <c r="I13" s="448">
        <f>IF($L13&gt;T$5,MAX(0,T$3+ROUND((T$9*($L13-T$5)),0)),IF($L13&gt;T$4,T$3,ROUND($L13*T$7,0)))</f>
        <v/>
      </c>
      <c r="J13" s="447">
        <f>IF($L13&gt;U$5,MAX(0,U$3+ROUND((U$9*($L13-U$5)),0)),IF($L13&gt;U$4,U$3,ROUND($L13*U$7,0)))</f>
        <v/>
      </c>
      <c r="K13" s="422" t="n"/>
      <c r="L13" s="448">
        <f>ROUND((A13+B13)/2,2)</f>
        <v/>
      </c>
    </row>
    <row r="14" ht="13.5" customHeight="1" s="7635">
      <c r="A14" s="448" t="n">
        <v>550</v>
      </c>
      <c r="B14" s="447" t="n">
        <v>600</v>
      </c>
      <c r="C14" s="1378">
        <f>IF($L14&gt;N$5,MAX(0,N$3+ROUND((N$9*($L14-N$5)),0)),IF($L14&gt;N$4,N$3,ROUND($L14*N$7,0)))</f>
        <v/>
      </c>
      <c r="D14" s="448">
        <f>IF($L14&gt;O$5,MAX(0,O$3+ROUND((O$9*($L14-O$5)),0)),IF($L14&gt;O$4,O$3,ROUND($L14*O$7,0)))</f>
        <v/>
      </c>
      <c r="E14" s="448">
        <f>IF($L14&gt;P$5,MAX(0,P$3+ROUND((P$9*($L14-P$5)),0)),IF($L14&gt;P$4,P$3,ROUND($L14*P$7,0)))</f>
        <v/>
      </c>
      <c r="F14" s="447">
        <f>IF($L14&gt;Q$5,MAX(0,Q$3+ROUND((Q$9*($L14-Q$5)),0)),IF($L14&gt;Q$4,Q$3,ROUND($L14*Q$7,0)))</f>
        <v/>
      </c>
      <c r="G14" s="1378">
        <f>IF($L14&gt;R$5,MAX(0,R$3+ROUND((R$9*($L14-R$5)),0)),IF($L14&gt;R$4,R$3,ROUND($L14*R$7,0)))</f>
        <v/>
      </c>
      <c r="H14" s="448">
        <f>IF($L14&gt;S$5,MAX(0,S$3+ROUND((S$9*($L14-S$5)),0)),IF($L14&gt;S$4,S$3,ROUND($L14*S$7,0)))</f>
        <v/>
      </c>
      <c r="I14" s="448">
        <f>IF($L14&gt;T$5,MAX(0,T$3+ROUND((T$9*($L14-T$5)),0)),IF($L14&gt;T$4,T$3,ROUND($L14*T$7,0)))</f>
        <v/>
      </c>
      <c r="J14" s="447">
        <f>IF($L14&gt;U$5,MAX(0,U$3+ROUND((U$9*($L14-U$5)),0)),IF($L14&gt;U$4,U$3,ROUND($L14*U$7,0)))</f>
        <v/>
      </c>
      <c r="K14" s="422" t="n"/>
      <c r="L14" s="448">
        <f>ROUND((A14+B14)/2,2)</f>
        <v/>
      </c>
    </row>
    <row r="15" ht="13.5" customHeight="1" s="7635">
      <c r="A15" s="448" t="n">
        <v>600</v>
      </c>
      <c r="B15" s="447" t="n">
        <v>650</v>
      </c>
      <c r="C15" s="1378">
        <f>IF($L15&gt;N$5,MAX(0,N$3+ROUND((N$9*($L15-N$5)),0)),IF($L15&gt;N$4,N$3,ROUND($L15*N$7,0)))</f>
        <v/>
      </c>
      <c r="D15" s="448">
        <f>IF($L15&gt;O$5,MAX(0,O$3+ROUND((O$9*($L15-O$5)),0)),IF($L15&gt;O$4,O$3,ROUND($L15*O$7,0)))</f>
        <v/>
      </c>
      <c r="E15" s="448">
        <f>IF($L15&gt;P$5,MAX(0,P$3+ROUND((P$9*($L15-P$5)),0)),IF($L15&gt;P$4,P$3,ROUND($L15*P$7,0)))</f>
        <v/>
      </c>
      <c r="F15" s="447">
        <f>IF($L15&gt;Q$5,MAX(0,Q$3+ROUND((Q$9*($L15-Q$5)),0)),IF($L15&gt;Q$4,Q$3,ROUND($L15*Q$7,0)))</f>
        <v/>
      </c>
      <c r="G15" s="1378">
        <f>IF($L15&gt;R$5,MAX(0,R$3+ROUND((R$9*($L15-R$5)),0)),IF($L15&gt;R$4,R$3,ROUND($L15*R$7,0)))</f>
        <v/>
      </c>
      <c r="H15" s="448">
        <f>IF($L15&gt;S$5,MAX(0,S$3+ROUND((S$9*($L15-S$5)),0)),IF($L15&gt;S$4,S$3,ROUND($L15*S$7,0)))</f>
        <v/>
      </c>
      <c r="I15" s="448">
        <f>IF($L15&gt;T$5,MAX(0,T$3+ROUND((T$9*($L15-T$5)),0)),IF($L15&gt;T$4,T$3,ROUND($L15*T$7,0)))</f>
        <v/>
      </c>
      <c r="J15" s="447">
        <f>IF($L15&gt;U$5,MAX(0,U$3+ROUND((U$9*($L15-U$5)),0)),IF($L15&gt;U$4,U$3,ROUND($L15*U$7,0)))</f>
        <v/>
      </c>
      <c r="K15" s="422" t="n"/>
      <c r="L15" s="448">
        <f>ROUND((A15+B15)/2,2)</f>
        <v/>
      </c>
    </row>
    <row r="16" ht="13.5" customHeight="1" s="7635">
      <c r="A16" s="448" t="n">
        <v>650</v>
      </c>
      <c r="B16" s="447" t="n">
        <v>700</v>
      </c>
      <c r="C16" s="1378">
        <f>IF($L16&gt;N$5,MAX(0,N$3+ROUND((N$9*($L16-N$5)),0)),IF($L16&gt;N$4,N$3,ROUND($L16*N$7,0)))</f>
        <v/>
      </c>
      <c r="D16" s="448">
        <f>IF($L16&gt;O$5,MAX(0,O$3+ROUND((O$9*($L16-O$5)),0)),IF($L16&gt;O$4,O$3,ROUND($L16*O$7,0)))</f>
        <v/>
      </c>
      <c r="E16" s="448">
        <f>IF($L16&gt;P$5,MAX(0,P$3+ROUND((P$9*($L16-P$5)),0)),IF($L16&gt;P$4,P$3,ROUND($L16*P$7,0)))</f>
        <v/>
      </c>
      <c r="F16" s="447">
        <f>IF($L16&gt;Q$5,MAX(0,Q$3+ROUND((Q$9*($L16-Q$5)),0)),IF($L16&gt;Q$4,Q$3,ROUND($L16*Q$7,0)))</f>
        <v/>
      </c>
      <c r="G16" s="1378">
        <f>IF($L16&gt;R$5,MAX(0,R$3+ROUND((R$9*($L16-R$5)),0)),IF($L16&gt;R$4,R$3,ROUND($L16*R$7,0)))</f>
        <v/>
      </c>
      <c r="H16" s="448">
        <f>IF($L16&gt;S$5,MAX(0,S$3+ROUND((S$9*($L16-S$5)),0)),IF($L16&gt;S$4,S$3,ROUND($L16*S$7,0)))</f>
        <v/>
      </c>
      <c r="I16" s="448">
        <f>IF($L16&gt;T$5,MAX(0,T$3+ROUND((T$9*($L16-T$5)),0)),IF($L16&gt;T$4,T$3,ROUND($L16*T$7,0)))</f>
        <v/>
      </c>
      <c r="J16" s="447">
        <f>IF($L16&gt;U$5,MAX(0,U$3+ROUND((U$9*($L16-U$5)),0)),IF($L16&gt;U$4,U$3,ROUND($L16*U$7,0)))</f>
        <v/>
      </c>
      <c r="K16" s="422" t="n"/>
      <c r="L16" s="448">
        <f>ROUND((A16+B16)/2,2)</f>
        <v/>
      </c>
    </row>
    <row r="17" ht="13.5" customHeight="1" s="7635">
      <c r="A17" s="448" t="n">
        <v>700</v>
      </c>
      <c r="B17" s="447" t="n">
        <v>750</v>
      </c>
      <c r="C17" s="1378">
        <f>IF($L17&gt;N$5,MAX(0,N$3+ROUND((N$9*($L17-N$5)),0)),IF($L17&gt;N$4,N$3,ROUND($L17*N$7,0)))</f>
        <v/>
      </c>
      <c r="D17" s="448">
        <f>IF($L17&gt;O$5,MAX(0,O$3+ROUND((O$9*($L17-O$5)),0)),IF($L17&gt;O$4,O$3,ROUND($L17*O$7,0)))</f>
        <v/>
      </c>
      <c r="E17" s="448">
        <f>IF($L17&gt;P$5,MAX(0,P$3+ROUND((P$9*($L17-P$5)),0)),IF($L17&gt;P$4,P$3,ROUND($L17*P$7,0)))</f>
        <v/>
      </c>
      <c r="F17" s="447">
        <f>IF($L17&gt;Q$5,MAX(0,Q$3+ROUND((Q$9*($L17-Q$5)),0)),IF($L17&gt;Q$4,Q$3,ROUND($L17*Q$7,0)))</f>
        <v/>
      </c>
      <c r="G17" s="1378">
        <f>IF($L17&gt;R$5,MAX(0,R$3+ROUND((R$9*($L17-R$5)),0)),IF($L17&gt;R$4,R$3,ROUND($L17*R$7,0)))</f>
        <v/>
      </c>
      <c r="H17" s="448">
        <f>IF($L17&gt;S$5,MAX(0,S$3+ROUND((S$9*($L17-S$5)),0)),IF($L17&gt;S$4,S$3,ROUND($L17*S$7,0)))</f>
        <v/>
      </c>
      <c r="I17" s="448">
        <f>IF($L17&gt;T$5,MAX(0,T$3+ROUND((T$9*($L17-T$5)),0)),IF($L17&gt;T$4,T$3,ROUND($L17*T$7,0)))</f>
        <v/>
      </c>
      <c r="J17" s="447">
        <f>IF($L17&gt;U$5,MAX(0,U$3+ROUND((U$9*($L17-U$5)),0)),IF($L17&gt;U$4,U$3,ROUND($L17*U$7,0)))</f>
        <v/>
      </c>
      <c r="K17" s="422" t="n"/>
      <c r="L17" s="448">
        <f>ROUND((A17+B17)/2,2)</f>
        <v/>
      </c>
    </row>
    <row r="18" ht="13.5" customHeight="1" s="7635">
      <c r="A18" s="448" t="n">
        <v>750</v>
      </c>
      <c r="B18" s="447" t="n">
        <v>800</v>
      </c>
      <c r="C18" s="1378">
        <f>IF($L18&gt;N$5,MAX(0,N$3+ROUND((N$9*($L18-N$5)),0)),IF($L18&gt;N$4,N$3,ROUND($L18*N$7,0)))</f>
        <v/>
      </c>
      <c r="D18" s="448">
        <f>IF($L18&gt;O$5,MAX(0,O$3+ROUND((O$9*($L18-O$5)),0)),IF($L18&gt;O$4,O$3,ROUND($L18*O$7,0)))</f>
        <v/>
      </c>
      <c r="E18" s="448">
        <f>IF($L18&gt;P$5,MAX(0,P$3+ROUND((P$9*($L18-P$5)),0)),IF($L18&gt;P$4,P$3,ROUND($L18*P$7,0)))</f>
        <v/>
      </c>
      <c r="F18" s="447">
        <f>IF($L18&gt;Q$5,MAX(0,Q$3+ROUND((Q$9*($L18-Q$5)),0)),IF($L18&gt;Q$4,Q$3,ROUND($L18*Q$7,0)))</f>
        <v/>
      </c>
      <c r="G18" s="1378">
        <f>IF($L18&gt;R$5,MAX(0,R$3+ROUND((R$9*($L18-R$5)),0)),IF($L18&gt;R$4,R$3,ROUND($L18*R$7,0)))</f>
        <v/>
      </c>
      <c r="H18" s="448">
        <f>IF($L18&gt;S$5,MAX(0,S$3+ROUND((S$9*($L18-S$5)),0)),IF($L18&gt;S$4,S$3,ROUND($L18*S$7,0)))</f>
        <v/>
      </c>
      <c r="I18" s="448">
        <f>IF($L18&gt;T$5,MAX(0,T$3+ROUND((T$9*($L18-T$5)),0)),IF($L18&gt;T$4,T$3,ROUND($L18*T$7,0)))</f>
        <v/>
      </c>
      <c r="J18" s="447">
        <f>IF($L18&gt;U$5,MAX(0,U$3+ROUND((U$9*($L18-U$5)),0)),IF($L18&gt;U$4,U$3,ROUND($L18*U$7,0)))</f>
        <v/>
      </c>
      <c r="K18" s="422" t="n"/>
      <c r="L18" s="448">
        <f>ROUND((A18+B18)/2,2)</f>
        <v/>
      </c>
    </row>
    <row r="19" ht="13.5" customHeight="1" s="7635">
      <c r="A19" s="448" t="n">
        <v>800</v>
      </c>
      <c r="B19" s="447" t="n">
        <v>850</v>
      </c>
      <c r="C19" s="1378">
        <f>IF($L19&gt;N$5,MAX(0,N$3+ROUND((N$9*($L19-N$5)),0)),IF($L19&gt;N$4,N$3,ROUND($L19*N$7,0)))</f>
        <v/>
      </c>
      <c r="D19" s="448">
        <f>IF($L19&gt;O$5,MAX(0,O$3+ROUND((O$9*($L19-O$5)),0)),IF($L19&gt;O$4,O$3,ROUND($L19*O$7,0)))</f>
        <v/>
      </c>
      <c r="E19" s="448">
        <f>IF($L19&gt;P$5,MAX(0,P$3+ROUND((P$9*($L19-P$5)),0)),IF($L19&gt;P$4,P$3,ROUND($L19*P$7,0)))</f>
        <v/>
      </c>
      <c r="F19" s="447">
        <f>IF($L19&gt;Q$5,MAX(0,Q$3+ROUND((Q$9*($L19-Q$5)),0)),IF($L19&gt;Q$4,Q$3,ROUND($L19*Q$7,0)))</f>
        <v/>
      </c>
      <c r="G19" s="1378">
        <f>IF($L19&gt;R$5,MAX(0,R$3+ROUND((R$9*($L19-R$5)),0)),IF($L19&gt;R$4,R$3,ROUND($L19*R$7,0)))</f>
        <v/>
      </c>
      <c r="H19" s="448">
        <f>IF($L19&gt;S$5,MAX(0,S$3+ROUND((S$9*($L19-S$5)),0)),IF($L19&gt;S$4,S$3,ROUND($L19*S$7,0)))</f>
        <v/>
      </c>
      <c r="I19" s="448">
        <f>IF($L19&gt;T$5,MAX(0,T$3+ROUND((T$9*($L19-T$5)),0)),IF($L19&gt;T$4,T$3,ROUND($L19*T$7,0)))</f>
        <v/>
      </c>
      <c r="J19" s="447">
        <f>IF($L19&gt;U$5,MAX(0,U$3+ROUND((U$9*($L19-U$5)),0)),IF($L19&gt;U$4,U$3,ROUND($L19*U$7,0)))</f>
        <v/>
      </c>
      <c r="K19" s="422" t="n"/>
      <c r="L19" s="448">
        <f>ROUND((A19+B19)/2,2)</f>
        <v/>
      </c>
    </row>
    <row r="20" ht="13.5" customHeight="1" s="7635">
      <c r="A20" s="448" t="n">
        <v>850</v>
      </c>
      <c r="B20" s="447" t="n">
        <v>900</v>
      </c>
      <c r="C20" s="1378">
        <f>IF($L20&gt;N$5,MAX(0,N$3+ROUND((N$9*($L20-N$5)),0)),IF($L20&gt;N$4,N$3,ROUND($L20*N$7,0)))</f>
        <v/>
      </c>
      <c r="D20" s="448">
        <f>IF($L20&gt;O$5,MAX(0,O$3+ROUND((O$9*($L20-O$5)),0)),IF($L20&gt;O$4,O$3,ROUND($L20*O$7,0)))</f>
        <v/>
      </c>
      <c r="E20" s="448">
        <f>IF($L20&gt;P$5,MAX(0,P$3+ROUND((P$9*($L20-P$5)),0)),IF($L20&gt;P$4,P$3,ROUND($L20*P$7,0)))</f>
        <v/>
      </c>
      <c r="F20" s="447">
        <f>IF($L20&gt;Q$5,MAX(0,Q$3+ROUND((Q$9*($L20-Q$5)),0)),IF($L20&gt;Q$4,Q$3,ROUND($L20*Q$7,0)))</f>
        <v/>
      </c>
      <c r="G20" s="1378">
        <f>IF($L20&gt;R$5,MAX(0,R$3+ROUND((R$9*($L20-R$5)),0)),IF($L20&gt;R$4,R$3,ROUND($L20*R$7,0)))</f>
        <v/>
      </c>
      <c r="H20" s="448">
        <f>IF($L20&gt;S$5,MAX(0,S$3+ROUND((S$9*($L20-S$5)),0)),IF($L20&gt;S$4,S$3,ROUND($L20*S$7,0)))</f>
        <v/>
      </c>
      <c r="I20" s="448">
        <f>IF($L20&gt;T$5,MAX(0,T$3+ROUND((T$9*($L20-T$5)),0)),IF($L20&gt;T$4,T$3,ROUND($L20*T$7,0)))</f>
        <v/>
      </c>
      <c r="J20" s="447">
        <f>IF($L20&gt;U$5,MAX(0,U$3+ROUND((U$9*($L20-U$5)),0)),IF($L20&gt;U$4,U$3,ROUND($L20*U$7,0)))</f>
        <v/>
      </c>
      <c r="K20" s="422" t="n"/>
      <c r="L20" s="448">
        <f>ROUND((A20+B20)/2,2)</f>
        <v/>
      </c>
    </row>
    <row r="21" ht="13.5" customHeight="1" s="7635">
      <c r="A21" s="448" t="n">
        <v>900</v>
      </c>
      <c r="B21" s="447" t="n">
        <v>950</v>
      </c>
      <c r="C21" s="1378">
        <f>IF($L21&gt;N$5,MAX(0,N$3+ROUND((N$9*($L21-N$5)),0)),IF($L21&gt;N$4,N$3,ROUND($L21*N$7,0)))</f>
        <v/>
      </c>
      <c r="D21" s="448">
        <f>IF($L21&gt;O$5,MAX(0,O$3+ROUND((O$9*($L21-O$5)),0)),IF($L21&gt;O$4,O$3,ROUND($L21*O$7,0)))</f>
        <v/>
      </c>
      <c r="E21" s="448">
        <f>IF($L21&gt;P$5,MAX(0,P$3+ROUND((P$9*($L21-P$5)),0)),IF($L21&gt;P$4,P$3,ROUND($L21*P$7,0)))</f>
        <v/>
      </c>
      <c r="F21" s="447">
        <f>IF($L21&gt;Q$5,MAX(0,Q$3+ROUND((Q$9*($L21-Q$5)),0)),IF($L21&gt;Q$4,Q$3,ROUND($L21*Q$7,0)))</f>
        <v/>
      </c>
      <c r="G21" s="1378">
        <f>IF($L21&gt;R$5,MAX(0,R$3+ROUND((R$9*($L21-R$5)),0)),IF($L21&gt;R$4,R$3,ROUND($L21*R$7,0)))</f>
        <v/>
      </c>
      <c r="H21" s="448">
        <f>IF($L21&gt;S$5,MAX(0,S$3+ROUND((S$9*($L21-S$5)),0)),IF($L21&gt;S$4,S$3,ROUND($L21*S$7,0)))</f>
        <v/>
      </c>
      <c r="I21" s="448">
        <f>IF($L21&gt;T$5,MAX(0,T$3+ROUND((T$9*($L21-T$5)),0)),IF($L21&gt;T$4,T$3,ROUND($L21*T$7,0)))</f>
        <v/>
      </c>
      <c r="J21" s="447">
        <f>IF($L21&gt;U$5,MAX(0,U$3+ROUND((U$9*($L21-U$5)),0)),IF($L21&gt;U$4,U$3,ROUND($L21*U$7,0)))</f>
        <v/>
      </c>
      <c r="K21" s="422" t="n"/>
      <c r="L21" s="448">
        <f>ROUND((A21+B21)/2,2)</f>
        <v/>
      </c>
    </row>
    <row r="22" ht="13.5" customHeight="1" s="7635">
      <c r="A22" s="448" t="n">
        <v>950</v>
      </c>
      <c r="B22" s="447" t="n">
        <v>1000</v>
      </c>
      <c r="C22" s="1378">
        <f>IF($L22&gt;N$5,MAX(0,N$3+ROUND((N$9*($L22-N$5)),0)),IF($L22&gt;N$4,N$3,ROUND($L22*N$7,0)))</f>
        <v/>
      </c>
      <c r="D22" s="448">
        <f>IF($L22&gt;O$5,MAX(0,O$3+ROUND((O$9*($L22-O$5)),0)),IF($L22&gt;O$4,O$3,ROUND($L22*O$7,0)))</f>
        <v/>
      </c>
      <c r="E22" s="448">
        <f>IF($L22&gt;P$5,MAX(0,P$3+ROUND((P$9*($L22-P$5)),0)),IF($L22&gt;P$4,P$3,ROUND($L22*P$7,0)))</f>
        <v/>
      </c>
      <c r="F22" s="447">
        <f>IF($L22&gt;Q$5,MAX(0,Q$3+ROUND((Q$9*($L22-Q$5)),0)),IF($L22&gt;Q$4,Q$3,ROUND($L22*Q$7,0)))</f>
        <v/>
      </c>
      <c r="G22" s="1378">
        <f>IF($L22&gt;R$5,MAX(0,R$3+ROUND((R$9*($L22-R$5)),0)),IF($L22&gt;R$4,R$3,ROUND($L22*R$7,0)))</f>
        <v/>
      </c>
      <c r="H22" s="448">
        <f>IF($L22&gt;S$5,MAX(0,S$3+ROUND((S$9*($L22-S$5)),0)),IF($L22&gt;S$4,S$3,ROUND($L22*S$7,0)))</f>
        <v/>
      </c>
      <c r="I22" s="448">
        <f>IF($L22&gt;T$5,MAX(0,T$3+ROUND((T$9*($L22-T$5)),0)),IF($L22&gt;T$4,T$3,ROUND($L22*T$7,0)))</f>
        <v/>
      </c>
      <c r="J22" s="447">
        <f>IF($L22&gt;U$5,MAX(0,U$3+ROUND((U$9*($L22-U$5)),0)),IF($L22&gt;U$4,U$3,ROUND($L22*U$7,0)))</f>
        <v/>
      </c>
      <c r="K22" s="422" t="n"/>
      <c r="L22" s="448">
        <f>ROUND((A22+B22)/2,2)</f>
        <v/>
      </c>
    </row>
    <row r="23" ht="13.5" customHeight="1" s="7635">
      <c r="A23" s="448" t="n">
        <v>1000</v>
      </c>
      <c r="B23" s="447" t="n">
        <v>1050</v>
      </c>
      <c r="C23" s="1378">
        <f>IF($L23&gt;N$5,MAX(0,N$3+ROUND((N$9*($L23-N$5)),0)),IF($L23&gt;N$4,N$3,ROUND($L23*N$7,0)))</f>
        <v/>
      </c>
      <c r="D23" s="448">
        <f>IF($L23&gt;O$5,MAX(0,O$3+ROUND((O$9*($L23-O$5)),0)),IF($L23&gt;O$4,O$3,ROUND($L23*O$7,0)))</f>
        <v/>
      </c>
      <c r="E23" s="448">
        <f>IF($L23&gt;P$5,MAX(0,P$3+ROUND((P$9*($L23-P$5)),0)),IF($L23&gt;P$4,P$3,ROUND($L23*P$7,0)))</f>
        <v/>
      </c>
      <c r="F23" s="447">
        <f>IF($L23&gt;Q$5,MAX(0,Q$3+ROUND((Q$9*($L23-Q$5)),0)),IF($L23&gt;Q$4,Q$3,ROUND($L23*Q$7,0)))</f>
        <v/>
      </c>
      <c r="G23" s="1378">
        <f>IF($L23&gt;R$5,MAX(0,R$3+ROUND((R$9*($L23-R$5)),0)),IF($L23&gt;R$4,R$3,ROUND($L23*R$7,0)))</f>
        <v/>
      </c>
      <c r="H23" s="448">
        <f>IF($L23&gt;S$5,MAX(0,S$3+ROUND((S$9*($L23-S$5)),0)),IF($L23&gt;S$4,S$3,ROUND($L23*S$7,0)))</f>
        <v/>
      </c>
      <c r="I23" s="448">
        <f>IF($L23&gt;T$5,MAX(0,T$3+ROUND((T$9*($L23-T$5)),0)),IF($L23&gt;T$4,T$3,ROUND($L23*T$7,0)))</f>
        <v/>
      </c>
      <c r="J23" s="447">
        <f>IF($L23&gt;U$5,MAX(0,U$3+ROUND((U$9*($L23-U$5)),0)),IF($L23&gt;U$4,U$3,ROUND($L23*U$7,0)))</f>
        <v/>
      </c>
      <c r="K23" s="422" t="n"/>
      <c r="L23" s="448">
        <f>ROUND((A23+B23)/2,2)</f>
        <v/>
      </c>
    </row>
    <row r="24" ht="13.5" customHeight="1" s="7635">
      <c r="A24" s="448" t="n">
        <v>1050</v>
      </c>
      <c r="B24" s="447" t="n">
        <v>1100</v>
      </c>
      <c r="C24" s="1378">
        <f>IF($L24&gt;N$5,MAX(0,N$3+ROUND((N$9*($L24-N$5)),0)),IF($L24&gt;N$4,N$3,ROUND($L24*N$7,0)))</f>
        <v/>
      </c>
      <c r="D24" s="448">
        <f>IF($L24&gt;O$5,MAX(0,O$3+ROUND((O$9*($L24-O$5)),0)),IF($L24&gt;O$4,O$3,ROUND($L24*O$7,0)))</f>
        <v/>
      </c>
      <c r="E24" s="448">
        <f>IF($L24&gt;P$5,MAX(0,P$3+ROUND((P$9*($L24-P$5)),0)),IF($L24&gt;P$4,P$3,ROUND($L24*P$7,0)))</f>
        <v/>
      </c>
      <c r="F24" s="447">
        <f>IF($L24&gt;Q$5,MAX(0,Q$3+ROUND((Q$9*($L24-Q$5)),0)),IF($L24&gt;Q$4,Q$3,ROUND($L24*Q$7,0)))</f>
        <v/>
      </c>
      <c r="G24" s="1378">
        <f>IF($L24&gt;R$5,MAX(0,R$3+ROUND((R$9*($L24-R$5)),0)),IF($L24&gt;R$4,R$3,ROUND($L24*R$7,0)))</f>
        <v/>
      </c>
      <c r="H24" s="448">
        <f>IF($L24&gt;S$5,MAX(0,S$3+ROUND((S$9*($L24-S$5)),0)),IF($L24&gt;S$4,S$3,ROUND($L24*S$7,0)))</f>
        <v/>
      </c>
      <c r="I24" s="448">
        <f>IF($L24&gt;T$5,MAX(0,T$3+ROUND((T$9*($L24-T$5)),0)),IF($L24&gt;T$4,T$3,ROUND($L24*T$7,0)))</f>
        <v/>
      </c>
      <c r="J24" s="447">
        <f>IF($L24&gt;U$5,MAX(0,U$3+ROUND((U$9*($L24-U$5)),0)),IF($L24&gt;U$4,U$3,ROUND($L24*U$7,0)))</f>
        <v/>
      </c>
      <c r="K24" s="422" t="n"/>
      <c r="L24" s="448">
        <f>ROUND((A24+B24)/2,2)</f>
        <v/>
      </c>
    </row>
    <row r="25" ht="13.5" customHeight="1" s="7635">
      <c r="A25" s="448" t="n">
        <v>1100</v>
      </c>
      <c r="B25" s="447" t="n">
        <v>1150</v>
      </c>
      <c r="C25" s="1378">
        <f>IF($L25&gt;N$5,MAX(0,N$3+ROUND((N$9*($L25-N$5)),0)),IF($L25&gt;N$4,N$3,ROUND($L25*N$7,0)))</f>
        <v/>
      </c>
      <c r="D25" s="448">
        <f>IF($L25&gt;O$5,MAX(0,O$3+ROUND((O$9*($L25-O$5)),0)),IF($L25&gt;O$4,O$3,ROUND($L25*O$7,0)))</f>
        <v/>
      </c>
      <c r="E25" s="448">
        <f>IF($L25&gt;P$5,MAX(0,P$3+ROUND((P$9*($L25-P$5)),0)),IF($L25&gt;P$4,P$3,ROUND($L25*P$7,0)))</f>
        <v/>
      </c>
      <c r="F25" s="447">
        <f>IF($L25&gt;Q$5,MAX(0,Q$3+ROUND((Q$9*($L25-Q$5)),0)),IF($L25&gt;Q$4,Q$3,ROUND($L25*Q$7,0)))</f>
        <v/>
      </c>
      <c r="G25" s="1378">
        <f>IF($L25&gt;R$5,MAX(0,R$3+ROUND((R$9*($L25-R$5)),0)),IF($L25&gt;R$4,R$3,ROUND($L25*R$7,0)))</f>
        <v/>
      </c>
      <c r="H25" s="448">
        <f>IF($L25&gt;S$5,MAX(0,S$3+ROUND((S$9*($L25-S$5)),0)),IF($L25&gt;S$4,S$3,ROUND($L25*S$7,0)))</f>
        <v/>
      </c>
      <c r="I25" s="448">
        <f>IF($L25&gt;T$5,MAX(0,T$3+ROUND((T$9*($L25-T$5)),0)),IF($L25&gt;T$4,T$3,ROUND($L25*T$7,0)))</f>
        <v/>
      </c>
      <c r="J25" s="447">
        <f>IF($L25&gt;U$5,MAX(0,U$3+ROUND((U$9*($L25-U$5)),0)),IF($L25&gt;U$4,U$3,ROUND($L25*U$7,0)))</f>
        <v/>
      </c>
      <c r="K25" s="422" t="n"/>
      <c r="L25" s="448">
        <f>ROUND((A25+B25)/2,2)</f>
        <v/>
      </c>
    </row>
    <row r="26" ht="13.5" customHeight="1" s="7635">
      <c r="A26" s="448" t="n">
        <v>1150</v>
      </c>
      <c r="B26" s="447" t="n">
        <v>1200</v>
      </c>
      <c r="C26" s="1378">
        <f>IF($L26&gt;N$5,MAX(0,N$3+ROUND((N$9*($L26-N$5)),0)),IF($L26&gt;N$4,N$3,ROUND($L26*N$7,0)))</f>
        <v/>
      </c>
      <c r="D26" s="448">
        <f>IF($L26&gt;O$5,MAX(0,O$3+ROUND((O$9*($L26-O$5)),0)),IF($L26&gt;O$4,O$3,ROUND($L26*O$7,0)))</f>
        <v/>
      </c>
      <c r="E26" s="448">
        <f>IF($L26&gt;P$5,MAX(0,P$3+ROUND((P$9*($L26-P$5)),0)),IF($L26&gt;P$4,P$3,ROUND($L26*P$7,0)))</f>
        <v/>
      </c>
      <c r="F26" s="447">
        <f>IF($L26&gt;Q$5,MAX(0,Q$3+ROUND((Q$9*($L26-Q$5)),0)),IF($L26&gt;Q$4,Q$3,ROUND($L26*Q$7,0)))</f>
        <v/>
      </c>
      <c r="G26" s="1378">
        <f>IF($L26&gt;R$5,MAX(0,R$3+ROUND((R$9*($L26-R$5)),0)),IF($L26&gt;R$4,R$3,ROUND($L26*R$7,0)))</f>
        <v/>
      </c>
      <c r="H26" s="448">
        <f>IF($L26&gt;S$5,MAX(0,S$3+ROUND((S$9*($L26-S$5)),0)),IF($L26&gt;S$4,S$3,ROUND($L26*S$7,0)))</f>
        <v/>
      </c>
      <c r="I26" s="448">
        <f>IF($L26&gt;T$5,MAX(0,T$3+ROUND((T$9*($L26-T$5)),0)),IF($L26&gt;T$4,T$3,ROUND($L26*T$7,0)))</f>
        <v/>
      </c>
      <c r="J26" s="447">
        <f>IF($L26&gt;U$5,MAX(0,U$3+ROUND((U$9*($L26-U$5)),0)),IF($L26&gt;U$4,U$3,ROUND($L26*U$7,0)))</f>
        <v/>
      </c>
      <c r="K26" s="422" t="n"/>
      <c r="L26" s="448">
        <f>ROUND((A26+B26)/2,2)</f>
        <v/>
      </c>
    </row>
    <row r="27" ht="13.5" customHeight="1" s="7635">
      <c r="A27" s="448" t="n">
        <v>1200</v>
      </c>
      <c r="B27" s="447" t="n">
        <v>1250</v>
      </c>
      <c r="C27" s="1378">
        <f>IF($L27&gt;N$5,MAX(0,N$3+ROUND((N$9*($L27-N$5)),0)),IF($L27&gt;N$4,N$3,ROUND($L27*N$7,0)))</f>
        <v/>
      </c>
      <c r="D27" s="448">
        <f>IF($L27&gt;O$5,MAX(0,O$3+ROUND((O$9*($L27-O$5)),0)),IF($L27&gt;O$4,O$3,ROUND($L27*O$7,0)))</f>
        <v/>
      </c>
      <c r="E27" s="448">
        <f>IF($L27&gt;P$5,MAX(0,P$3+ROUND((P$9*($L27-P$5)),0)),IF($L27&gt;P$4,P$3,ROUND($L27*P$7,0)))</f>
        <v/>
      </c>
      <c r="F27" s="447">
        <f>IF($L27&gt;Q$5,MAX(0,Q$3+ROUND((Q$9*($L27-Q$5)),0)),IF($L27&gt;Q$4,Q$3,ROUND($L27*Q$7,0)))</f>
        <v/>
      </c>
      <c r="G27" s="1378">
        <f>IF($L27&gt;R$5,MAX(0,R$3+ROUND((R$9*($L27-R$5)),0)),IF($L27&gt;R$4,R$3,ROUND($L27*R$7,0)))</f>
        <v/>
      </c>
      <c r="H27" s="448">
        <f>IF($L27&gt;S$5,MAX(0,S$3+ROUND((S$9*($L27-S$5)),0)),IF($L27&gt;S$4,S$3,ROUND($L27*S$7,0)))</f>
        <v/>
      </c>
      <c r="I27" s="448">
        <f>IF($L27&gt;T$5,MAX(0,T$3+ROUND((T$9*($L27-T$5)),0)),IF($L27&gt;T$4,T$3,ROUND($L27*T$7,0)))</f>
        <v/>
      </c>
      <c r="J27" s="447">
        <f>IF($L27&gt;U$5,MAX(0,U$3+ROUND((U$9*($L27-U$5)),0)),IF($L27&gt;U$4,U$3,ROUND($L27*U$7,0)))</f>
        <v/>
      </c>
      <c r="K27" s="422" t="n"/>
      <c r="L27" s="448">
        <f>ROUND((A27+B27)/2,2)</f>
        <v/>
      </c>
    </row>
    <row r="28" ht="13.5" customHeight="1" s="7635">
      <c r="A28" s="448" t="n">
        <v>1250</v>
      </c>
      <c r="B28" s="447" t="n">
        <v>1300</v>
      </c>
      <c r="C28" s="1378">
        <f>IF($L28&gt;N$5,MAX(0,N$3+ROUND((N$9*($L28-N$5)),0)),IF($L28&gt;N$4,N$3,ROUND($L28*N$7,0)))</f>
        <v/>
      </c>
      <c r="D28" s="448">
        <f>IF($L28&gt;O$5,MAX(0,O$3+ROUND((O$9*($L28-O$5)),0)),IF($L28&gt;O$4,O$3,ROUND($L28*O$7,0)))</f>
        <v/>
      </c>
      <c r="E28" s="448">
        <f>IF($L28&gt;P$5,MAX(0,P$3+ROUND((P$9*($L28-P$5)),0)),IF($L28&gt;P$4,P$3,ROUND($L28*P$7,0)))</f>
        <v/>
      </c>
      <c r="F28" s="447">
        <f>IF($L28&gt;Q$5,MAX(0,Q$3+ROUND((Q$9*($L28-Q$5)),0)),IF($L28&gt;Q$4,Q$3,ROUND($L28*Q$7,0)))</f>
        <v/>
      </c>
      <c r="G28" s="1378">
        <f>IF($L28&gt;R$5,MAX(0,R$3+ROUND((R$9*($L28-R$5)),0)),IF($L28&gt;R$4,R$3,ROUND($L28*R$7,0)))</f>
        <v/>
      </c>
      <c r="H28" s="448">
        <f>IF($L28&gt;S$5,MAX(0,S$3+ROUND((S$9*($L28-S$5)),0)),IF($L28&gt;S$4,S$3,ROUND($L28*S$7,0)))</f>
        <v/>
      </c>
      <c r="I28" s="448">
        <f>IF($L28&gt;T$5,MAX(0,T$3+ROUND((T$9*($L28-T$5)),0)),IF($L28&gt;T$4,T$3,ROUND($L28*T$7,0)))</f>
        <v/>
      </c>
      <c r="J28" s="447">
        <f>IF($L28&gt;U$5,MAX(0,U$3+ROUND((U$9*($L28-U$5)),0)),IF($L28&gt;U$4,U$3,ROUND($L28*U$7,0)))</f>
        <v/>
      </c>
      <c r="K28" s="422" t="n"/>
      <c r="L28" s="448">
        <f>ROUND((A28+B28)/2,2)</f>
        <v/>
      </c>
    </row>
    <row r="29" ht="13.5" customHeight="1" s="7635">
      <c r="A29" s="448" t="n">
        <v>1300</v>
      </c>
      <c r="B29" s="447" t="n">
        <v>1350</v>
      </c>
      <c r="C29" s="1378">
        <f>IF($L29&gt;N$5,MAX(0,N$3+ROUND((N$9*($L29-N$5)),0)),IF($L29&gt;N$4,N$3,ROUND($L29*N$7,0)))</f>
        <v/>
      </c>
      <c r="D29" s="448">
        <f>IF($L29&gt;O$5,MAX(0,O$3+ROUND((O$9*($L29-O$5)),0)),IF($L29&gt;O$4,O$3,ROUND($L29*O$7,0)))</f>
        <v/>
      </c>
      <c r="E29" s="448">
        <f>IF($L29&gt;P$5,MAX(0,P$3+ROUND((P$9*($L29-P$5)),0)),IF($L29&gt;P$4,P$3,ROUND($L29*P$7,0)))</f>
        <v/>
      </c>
      <c r="F29" s="447">
        <f>IF($L29&gt;Q$5,MAX(0,Q$3+ROUND((Q$9*($L29-Q$5)),0)),IF($L29&gt;Q$4,Q$3,ROUND($L29*Q$7,0)))</f>
        <v/>
      </c>
      <c r="G29" s="1378">
        <f>IF($L29&gt;R$5,MAX(0,R$3+ROUND((R$9*($L29-R$5)),0)),IF($L29&gt;R$4,R$3,ROUND($L29*R$7,0)))</f>
        <v/>
      </c>
      <c r="H29" s="448">
        <f>IF($L29&gt;S$5,MAX(0,S$3+ROUND((S$9*($L29-S$5)),0)),IF($L29&gt;S$4,S$3,ROUND($L29*S$7,0)))</f>
        <v/>
      </c>
      <c r="I29" s="448">
        <f>IF($L29&gt;T$5,MAX(0,T$3+ROUND((T$9*($L29-T$5)),0)),IF($L29&gt;T$4,T$3,ROUND($L29*T$7,0)))</f>
        <v/>
      </c>
      <c r="J29" s="447">
        <f>IF($L29&gt;U$5,MAX(0,U$3+ROUND((U$9*($L29-U$5)),0)),IF($L29&gt;U$4,U$3,ROUND($L29*U$7,0)))</f>
        <v/>
      </c>
      <c r="K29" s="422" t="n"/>
      <c r="L29" s="448">
        <f>ROUND((A29+B29)/2,2)</f>
        <v/>
      </c>
    </row>
    <row r="30" ht="13.5" customHeight="1" s="7635">
      <c r="A30" s="448" t="n">
        <v>1350</v>
      </c>
      <c r="B30" s="447" t="n">
        <v>1400</v>
      </c>
      <c r="C30" s="1378">
        <f>IF($L30&gt;N$5,MAX(0,N$3+ROUND((N$9*($L30-N$5)),0)),IF($L30&gt;N$4,N$3,ROUND($L30*N$7,0)))</f>
        <v/>
      </c>
      <c r="D30" s="448">
        <f>IF($L30&gt;O$5,MAX(0,O$3+ROUND((O$9*($L30-O$5)),0)),IF($L30&gt;O$4,O$3,ROUND($L30*O$7,0)))</f>
        <v/>
      </c>
      <c r="E30" s="448">
        <f>IF($L30&gt;P$5,MAX(0,P$3+ROUND((P$9*($L30-P$5)),0)),IF($L30&gt;P$4,P$3,ROUND($L30*P$7,0)))</f>
        <v/>
      </c>
      <c r="F30" s="447">
        <f>IF($L30&gt;Q$5,MAX(0,Q$3+ROUND((Q$9*($L30-Q$5)),0)),IF($L30&gt;Q$4,Q$3,ROUND($L30*Q$7,0)))</f>
        <v/>
      </c>
      <c r="G30" s="1378">
        <f>IF($L30&gt;R$5,MAX(0,R$3+ROUND((R$9*($L30-R$5)),0)),IF($L30&gt;R$4,R$3,ROUND($L30*R$7,0)))</f>
        <v/>
      </c>
      <c r="H30" s="448">
        <f>IF($L30&gt;S$5,MAX(0,S$3+ROUND((S$9*($L30-S$5)),0)),IF($L30&gt;S$4,S$3,ROUND($L30*S$7,0)))</f>
        <v/>
      </c>
      <c r="I30" s="448">
        <f>IF($L30&gt;T$5,MAX(0,T$3+ROUND((T$9*($L30-T$5)),0)),IF($L30&gt;T$4,T$3,ROUND($L30*T$7,0)))</f>
        <v/>
      </c>
      <c r="J30" s="447">
        <f>IF($L30&gt;U$5,MAX(0,U$3+ROUND((U$9*($L30-U$5)),0)),IF($L30&gt;U$4,U$3,ROUND($L30*U$7,0)))</f>
        <v/>
      </c>
      <c r="K30" s="422" t="n"/>
      <c r="L30" s="448">
        <f>ROUND((A30+B30)/2,2)</f>
        <v/>
      </c>
    </row>
    <row r="31" ht="13.5" customHeight="1" s="7635">
      <c r="A31" s="448" t="n">
        <v>1400</v>
      </c>
      <c r="B31" s="447" t="n">
        <v>1450</v>
      </c>
      <c r="C31" s="1378">
        <f>IF($L31&gt;N$5,MAX(0,N$3+ROUND((N$9*($L31-N$5)),0)),IF($L31&gt;N$4,N$3,ROUND($L31*N$7,0)))</f>
        <v/>
      </c>
      <c r="D31" s="448">
        <f>IF($L31&gt;O$5,MAX(0,O$3+ROUND((O$9*($L31-O$5)),0)),IF($L31&gt;O$4,O$3,ROUND($L31*O$7,0)))</f>
        <v/>
      </c>
      <c r="E31" s="448">
        <f>IF($L31&gt;P$5,MAX(0,P$3+ROUND((P$9*($L31-P$5)),0)),IF($L31&gt;P$4,P$3,ROUND($L31*P$7,0)))</f>
        <v/>
      </c>
      <c r="F31" s="447">
        <f>IF($L31&gt;Q$5,MAX(0,Q$3+ROUND((Q$9*($L31-Q$5)),0)),IF($L31&gt;Q$4,Q$3,ROUND($L31*Q$7,0)))</f>
        <v/>
      </c>
      <c r="G31" s="1378">
        <f>IF($L31&gt;R$5,MAX(0,R$3+ROUND((R$9*($L31-R$5)),0)),IF($L31&gt;R$4,R$3,ROUND($L31*R$7,0)))</f>
        <v/>
      </c>
      <c r="H31" s="448">
        <f>IF($L31&gt;S$5,MAX(0,S$3+ROUND((S$9*($L31-S$5)),0)),IF($L31&gt;S$4,S$3,ROUND($L31*S$7,0)))</f>
        <v/>
      </c>
      <c r="I31" s="448">
        <f>IF($L31&gt;T$5,MAX(0,T$3+ROUND((T$9*($L31-T$5)),0)),IF($L31&gt;T$4,T$3,ROUND($L31*T$7,0)))</f>
        <v/>
      </c>
      <c r="J31" s="447">
        <f>IF($L31&gt;U$5,MAX(0,U$3+ROUND((U$9*($L31-U$5)),0)),IF($L31&gt;U$4,U$3,ROUND($L31*U$7,0)))</f>
        <v/>
      </c>
      <c r="K31" s="422" t="n"/>
      <c r="L31" s="448">
        <f>ROUND((A31+B31)/2,2)</f>
        <v/>
      </c>
    </row>
    <row r="32" ht="13.5" customHeight="1" s="7635">
      <c r="A32" s="448" t="n">
        <v>1450</v>
      </c>
      <c r="B32" s="447" t="n">
        <v>1500</v>
      </c>
      <c r="C32" s="1378">
        <f>IF($L32&gt;N$5,MAX(0,N$3+ROUND((N$9*($L32-N$5)),0)),IF($L32&gt;N$4,N$3,ROUND($L32*N$7,0)))</f>
        <v/>
      </c>
      <c r="D32" s="448">
        <f>IF($L32&gt;O$5,MAX(0,O$3+ROUND((O$9*($L32-O$5)),0)),IF($L32&gt;O$4,O$3,ROUND($L32*O$7,0)))</f>
        <v/>
      </c>
      <c r="E32" s="448">
        <f>IF($L32&gt;P$5,MAX(0,P$3+ROUND((P$9*($L32-P$5)),0)),IF($L32&gt;P$4,P$3,ROUND($L32*P$7,0)))</f>
        <v/>
      </c>
      <c r="F32" s="447">
        <f>IF($L32&gt;Q$5,MAX(0,Q$3+ROUND((Q$9*($L32-Q$5)),0)),IF($L32&gt;Q$4,Q$3,ROUND($L32*Q$7,0)))</f>
        <v/>
      </c>
      <c r="G32" s="1378">
        <f>IF($L32&gt;R$5,MAX(0,R$3+ROUND((R$9*($L32-R$5)),0)),IF($L32&gt;R$4,R$3,ROUND($L32*R$7,0)))</f>
        <v/>
      </c>
      <c r="H32" s="448">
        <f>IF($L32&gt;S$5,MAX(0,S$3+ROUND((S$9*($L32-S$5)),0)),IF($L32&gt;S$4,S$3,ROUND($L32*S$7,0)))</f>
        <v/>
      </c>
      <c r="I32" s="448">
        <f>IF($L32&gt;T$5,MAX(0,T$3+ROUND((T$9*($L32-T$5)),0)),IF($L32&gt;T$4,T$3,ROUND($L32*T$7,0)))</f>
        <v/>
      </c>
      <c r="J32" s="447">
        <f>IF($L32&gt;U$5,MAX(0,U$3+ROUND((U$9*($L32-U$5)),0)),IF($L32&gt;U$4,U$3,ROUND($L32*U$7,0)))</f>
        <v/>
      </c>
      <c r="K32" s="422" t="n"/>
      <c r="L32" s="448">
        <f>ROUND((A32+B32)/2,2)</f>
        <v/>
      </c>
    </row>
    <row r="33" ht="13.5" customHeight="1" s="7635">
      <c r="A33" s="448" t="n">
        <v>1500</v>
      </c>
      <c r="B33" s="447" t="n">
        <v>1550</v>
      </c>
      <c r="C33" s="1378">
        <f>IF($L33&gt;N$5,MAX(0,N$3+ROUND((N$9*($L33-N$5)),0)),IF($L33&gt;N$4,N$3,ROUND($L33*N$7,0)))</f>
        <v/>
      </c>
      <c r="D33" s="448">
        <f>IF($L33&gt;O$5,MAX(0,O$3+ROUND((O$9*($L33-O$5)),0)),IF($L33&gt;O$4,O$3,ROUND($L33*O$7,0)))</f>
        <v/>
      </c>
      <c r="E33" s="448">
        <f>IF($L33&gt;P$5,MAX(0,P$3+ROUND((P$9*($L33-P$5)),0)),IF($L33&gt;P$4,P$3,ROUND($L33*P$7,0)))</f>
        <v/>
      </c>
      <c r="F33" s="447">
        <f>IF($L33&gt;Q$5,MAX(0,Q$3+ROUND((Q$9*($L33-Q$5)),0)),IF($L33&gt;Q$4,Q$3,ROUND($L33*Q$7,0)))</f>
        <v/>
      </c>
      <c r="G33" s="1378">
        <f>IF($L33&gt;R$5,MAX(0,R$3+ROUND((R$9*($L33-R$5)),0)),IF($L33&gt;R$4,R$3,ROUND($L33*R$7,0)))</f>
        <v/>
      </c>
      <c r="H33" s="448">
        <f>IF($L33&gt;S$5,MAX(0,S$3+ROUND((S$9*($L33-S$5)),0)),IF($L33&gt;S$4,S$3,ROUND($L33*S$7,0)))</f>
        <v/>
      </c>
      <c r="I33" s="448">
        <f>IF($L33&gt;T$5,MAX(0,T$3+ROUND((T$9*($L33-T$5)),0)),IF($L33&gt;T$4,T$3,ROUND($L33*T$7,0)))</f>
        <v/>
      </c>
      <c r="J33" s="447">
        <f>IF($L33&gt;U$5,MAX(0,U$3+ROUND((U$9*($L33-U$5)),0)),IF($L33&gt;U$4,U$3,ROUND($L33*U$7,0)))</f>
        <v/>
      </c>
      <c r="K33" s="422" t="n"/>
      <c r="L33" s="448">
        <f>ROUND((A33+B33)/2,2)</f>
        <v/>
      </c>
    </row>
    <row r="34" ht="13.5" customHeight="1" s="7635">
      <c r="A34" s="448" t="n">
        <v>1550</v>
      </c>
      <c r="B34" s="447" t="n">
        <v>1600</v>
      </c>
      <c r="C34" s="1378">
        <f>IF($L34&gt;N$5,MAX(0,N$3+ROUND((N$9*($L34-N$5)),0)),IF($L34&gt;N$4,N$3,ROUND($L34*N$7,0)))</f>
        <v/>
      </c>
      <c r="D34" s="448">
        <f>IF($L34&gt;O$5,MAX(0,O$3+ROUND((O$9*($L34-O$5)),0)),IF($L34&gt;O$4,O$3,ROUND($L34*O$7,0)))</f>
        <v/>
      </c>
      <c r="E34" s="448">
        <f>IF($L34&gt;P$5,MAX(0,P$3+ROUND((P$9*($L34-P$5)),0)),IF($L34&gt;P$4,P$3,ROUND($L34*P$7,0)))</f>
        <v/>
      </c>
      <c r="F34" s="447">
        <f>IF($L34&gt;Q$5,MAX(0,Q$3+ROUND((Q$9*($L34-Q$5)),0)),IF($L34&gt;Q$4,Q$3,ROUND($L34*Q$7,0)))</f>
        <v/>
      </c>
      <c r="G34" s="1378">
        <f>IF($L34&gt;R$5,MAX(0,R$3+ROUND((R$9*($L34-R$5)),0)),IF($L34&gt;R$4,R$3,ROUND($L34*R$7,0)))</f>
        <v/>
      </c>
      <c r="H34" s="448">
        <f>IF($L34&gt;S$5,MAX(0,S$3+ROUND((S$9*($L34-S$5)),0)),IF($L34&gt;S$4,S$3,ROUND($L34*S$7,0)))</f>
        <v/>
      </c>
      <c r="I34" s="448">
        <f>IF($L34&gt;T$5,MAX(0,T$3+ROUND((T$9*($L34-T$5)),0)),IF($L34&gt;T$4,T$3,ROUND($L34*T$7,0)))</f>
        <v/>
      </c>
      <c r="J34" s="447">
        <f>IF($L34&gt;U$5,MAX(0,U$3+ROUND((U$9*($L34-U$5)),0)),IF($L34&gt;U$4,U$3,ROUND($L34*U$7,0)))</f>
        <v/>
      </c>
      <c r="K34" s="422" t="n"/>
      <c r="L34" s="448">
        <f>ROUND((A34+B34)/2,2)</f>
        <v/>
      </c>
    </row>
    <row r="35" ht="13.5" customHeight="1" s="7635">
      <c r="A35" s="448" t="n">
        <v>1600</v>
      </c>
      <c r="B35" s="447" t="n">
        <v>1650</v>
      </c>
      <c r="C35" s="1378">
        <f>IF($L35&gt;N$5,MAX(0,N$3+ROUND((N$9*($L35-N$5)),0)),IF($L35&gt;N$4,N$3,ROUND($L35*N$7,0)))</f>
        <v/>
      </c>
      <c r="D35" s="448">
        <f>IF($L35&gt;O$5,MAX(0,O$3+ROUND((O$9*($L35-O$5)),0)),IF($L35&gt;O$4,O$3,ROUND($L35*O$7,0)))</f>
        <v/>
      </c>
      <c r="E35" s="448">
        <f>IF($L35&gt;P$5,MAX(0,P$3+ROUND((P$9*($L35-P$5)),0)),IF($L35&gt;P$4,P$3,ROUND($L35*P$7,0)))</f>
        <v/>
      </c>
      <c r="F35" s="447">
        <f>IF($L35&gt;Q$5,MAX(0,Q$3+ROUND((Q$9*($L35-Q$5)),0)),IF($L35&gt;Q$4,Q$3,ROUND($L35*Q$7,0)))</f>
        <v/>
      </c>
      <c r="G35" s="1378">
        <f>IF($L35&gt;R$5,MAX(0,R$3+ROUND((R$9*($L35-R$5)),0)),IF($L35&gt;R$4,R$3,ROUND($L35*R$7,0)))</f>
        <v/>
      </c>
      <c r="H35" s="448">
        <f>IF($L35&gt;S$5,MAX(0,S$3+ROUND((S$9*($L35-S$5)),0)),IF($L35&gt;S$4,S$3,ROUND($L35*S$7,0)))</f>
        <v/>
      </c>
      <c r="I35" s="448">
        <f>IF($L35&gt;T$5,MAX(0,T$3+ROUND((T$9*($L35-T$5)),0)),IF($L35&gt;T$4,T$3,ROUND($L35*T$7,0)))</f>
        <v/>
      </c>
      <c r="J35" s="447">
        <f>IF($L35&gt;U$5,MAX(0,U$3+ROUND((U$9*($L35-U$5)),0)),IF($L35&gt;U$4,U$3,ROUND($L35*U$7,0)))</f>
        <v/>
      </c>
      <c r="K35" s="422" t="n"/>
      <c r="L35" s="448">
        <f>ROUND((A35+B35)/2,2)</f>
        <v/>
      </c>
    </row>
    <row r="36" ht="13.5" customHeight="1" s="7635">
      <c r="A36" s="448" t="n">
        <v>1650</v>
      </c>
      <c r="B36" s="447" t="n">
        <v>1700</v>
      </c>
      <c r="C36" s="1378">
        <f>IF($L36&gt;N$5,MAX(0,N$3+ROUND((N$9*($L36-N$5)),0)),IF($L36&gt;N$4,N$3,ROUND($L36*N$7,0)))</f>
        <v/>
      </c>
      <c r="D36" s="448">
        <f>IF($L36&gt;O$5,MAX(0,O$3+ROUND((O$9*($L36-O$5)),0)),IF($L36&gt;O$4,O$3,ROUND($L36*O$7,0)))</f>
        <v/>
      </c>
      <c r="E36" s="448">
        <f>IF($L36&gt;P$5,MAX(0,P$3+ROUND((P$9*($L36-P$5)),0)),IF($L36&gt;P$4,P$3,ROUND($L36*P$7,0)))</f>
        <v/>
      </c>
      <c r="F36" s="447">
        <f>IF($L36&gt;Q$5,MAX(0,Q$3+ROUND((Q$9*($L36-Q$5)),0)),IF($L36&gt;Q$4,Q$3,ROUND($L36*Q$7,0)))</f>
        <v/>
      </c>
      <c r="G36" s="1378">
        <f>IF($L36&gt;R$5,MAX(0,R$3+ROUND((R$9*($L36-R$5)),0)),IF($L36&gt;R$4,R$3,ROUND($L36*R$7,0)))</f>
        <v/>
      </c>
      <c r="H36" s="448">
        <f>IF($L36&gt;S$5,MAX(0,S$3+ROUND((S$9*($L36-S$5)),0)),IF($L36&gt;S$4,S$3,ROUND($L36*S$7,0)))</f>
        <v/>
      </c>
      <c r="I36" s="448">
        <f>IF($L36&gt;T$5,MAX(0,T$3+ROUND((T$9*($L36-T$5)),0)),IF($L36&gt;T$4,T$3,ROUND($L36*T$7,0)))</f>
        <v/>
      </c>
      <c r="J36" s="447">
        <f>IF($L36&gt;U$5,MAX(0,U$3+ROUND((U$9*($L36-U$5)),0)),IF($L36&gt;U$4,U$3,ROUND($L36*U$7,0)))</f>
        <v/>
      </c>
      <c r="K36" s="422" t="n"/>
      <c r="L36" s="448">
        <f>ROUND((A36+B36)/2,2)</f>
        <v/>
      </c>
    </row>
    <row r="37" ht="13.5" customHeight="1" s="7635">
      <c r="A37" s="448" t="n">
        <v>1700</v>
      </c>
      <c r="B37" s="447" t="n">
        <v>1750</v>
      </c>
      <c r="C37" s="1378">
        <f>IF($L37&gt;N$5,MAX(0,N$3+ROUND((N$9*($L37-N$5)),0)),IF($L37&gt;N$4,N$3,ROUND($L37*N$7,0)))</f>
        <v/>
      </c>
      <c r="D37" s="448">
        <f>IF($L37&gt;O$5,MAX(0,O$3+ROUND((O$9*($L37-O$5)),0)),IF($L37&gt;O$4,O$3,ROUND($L37*O$7,0)))</f>
        <v/>
      </c>
      <c r="E37" s="448">
        <f>IF($L37&gt;P$5,MAX(0,P$3+ROUND((P$9*($L37-P$5)),0)),IF($L37&gt;P$4,P$3,ROUND($L37*P$7,0)))</f>
        <v/>
      </c>
      <c r="F37" s="447">
        <f>IF($L37&gt;Q$5,MAX(0,Q$3+ROUND((Q$9*($L37-Q$5)),0)),IF($L37&gt;Q$4,Q$3,ROUND($L37*Q$7,0)))</f>
        <v/>
      </c>
      <c r="G37" s="1378">
        <f>IF($L37&gt;R$5,MAX(0,R$3+ROUND((R$9*($L37-R$5)),0)),IF($L37&gt;R$4,R$3,ROUND($L37*R$7,0)))</f>
        <v/>
      </c>
      <c r="H37" s="448">
        <f>IF($L37&gt;S$5,MAX(0,S$3+ROUND((S$9*($L37-S$5)),0)),IF($L37&gt;S$4,S$3,ROUND($L37*S$7,0)))</f>
        <v/>
      </c>
      <c r="I37" s="448">
        <f>IF($L37&gt;T$5,MAX(0,T$3+ROUND((T$9*($L37-T$5)),0)),IF($L37&gt;T$4,T$3,ROUND($L37*T$7,0)))</f>
        <v/>
      </c>
      <c r="J37" s="447">
        <f>IF($L37&gt;U$5,MAX(0,U$3+ROUND((U$9*($L37-U$5)),0)),IF($L37&gt;U$4,U$3,ROUND($L37*U$7,0)))</f>
        <v/>
      </c>
      <c r="K37" s="422" t="n"/>
      <c r="L37" s="448">
        <f>ROUND((A37+B37)/2,2)</f>
        <v/>
      </c>
    </row>
    <row r="38" ht="13.5" customHeight="1" s="7635">
      <c r="A38" s="448" t="n">
        <v>1750</v>
      </c>
      <c r="B38" s="447" t="n">
        <v>1800</v>
      </c>
      <c r="C38" s="1378">
        <f>IF($L38&gt;N$5,MAX(0,N$3+ROUND((N$9*($L38-N$5)),0)),IF($L38&gt;N$4,N$3,ROUND($L38*N$7,0)))</f>
        <v/>
      </c>
      <c r="D38" s="448">
        <f>IF($L38&gt;O$5,MAX(0,O$3+ROUND((O$9*($L38-O$5)),0)),IF($L38&gt;O$4,O$3,ROUND($L38*O$7,0)))</f>
        <v/>
      </c>
      <c r="E38" s="448">
        <f>IF($L38&gt;P$5,MAX(0,P$3+ROUND((P$9*($L38-P$5)),0)),IF($L38&gt;P$4,P$3,ROUND($L38*P$7,0)))</f>
        <v/>
      </c>
      <c r="F38" s="447">
        <f>IF($L38&gt;Q$5,MAX(0,Q$3+ROUND((Q$9*($L38-Q$5)),0)),IF($L38&gt;Q$4,Q$3,ROUND($L38*Q$7,0)))</f>
        <v/>
      </c>
      <c r="G38" s="1378">
        <f>IF($L38&gt;R$5,MAX(0,R$3+ROUND((R$9*($L38-R$5)),0)),IF($L38&gt;R$4,R$3,ROUND($L38*R$7,0)))</f>
        <v/>
      </c>
      <c r="H38" s="448">
        <f>IF($L38&gt;S$5,MAX(0,S$3+ROUND((S$9*($L38-S$5)),0)),IF($L38&gt;S$4,S$3,ROUND($L38*S$7,0)))</f>
        <v/>
      </c>
      <c r="I38" s="448">
        <f>IF($L38&gt;T$5,MAX(0,T$3+ROUND((T$9*($L38-T$5)),0)),IF($L38&gt;T$4,T$3,ROUND($L38*T$7,0)))</f>
        <v/>
      </c>
      <c r="J38" s="447">
        <f>IF($L38&gt;U$5,MAX(0,U$3+ROUND((U$9*($L38-U$5)),0)),IF($L38&gt;U$4,U$3,ROUND($L38*U$7,0)))</f>
        <v/>
      </c>
      <c r="K38" s="422" t="n"/>
      <c r="L38" s="448">
        <f>ROUND((A38+B38)/2,2)</f>
        <v/>
      </c>
    </row>
    <row r="39" ht="13.5" customHeight="1" s="7635">
      <c r="A39" s="448" t="n">
        <v>1800</v>
      </c>
      <c r="B39" s="447" t="n">
        <v>1850</v>
      </c>
      <c r="C39" s="1378">
        <f>IF($L39&gt;N$5,MAX(0,N$3+ROUND((N$9*($L39-N$5)),0)),IF($L39&gt;N$4,N$3,ROUND($L39*N$7,0)))</f>
        <v/>
      </c>
      <c r="D39" s="448">
        <f>IF($L39&gt;O$5,MAX(0,O$3+ROUND((O$9*($L39-O$5)),0)),IF($L39&gt;O$4,O$3,ROUND($L39*O$7,0)))</f>
        <v/>
      </c>
      <c r="E39" s="448">
        <f>IF($L39&gt;P$5,MAX(0,P$3+ROUND((P$9*($L39-P$5)),0)),IF($L39&gt;P$4,P$3,ROUND($L39*P$7,0)))</f>
        <v/>
      </c>
      <c r="F39" s="447">
        <f>IF($L39&gt;Q$5,MAX(0,Q$3+ROUND((Q$9*($L39-Q$5)),0)),IF($L39&gt;Q$4,Q$3,ROUND($L39*Q$7,0)))</f>
        <v/>
      </c>
      <c r="G39" s="1378">
        <f>IF($L39&gt;R$5,MAX(0,R$3+ROUND((R$9*($L39-R$5)),0)),IF($L39&gt;R$4,R$3,ROUND($L39*R$7,0)))</f>
        <v/>
      </c>
      <c r="H39" s="448">
        <f>IF($L39&gt;S$5,MAX(0,S$3+ROUND((S$9*($L39-S$5)),0)),IF($L39&gt;S$4,S$3,ROUND($L39*S$7,0)))</f>
        <v/>
      </c>
      <c r="I39" s="448">
        <f>IF($L39&gt;T$5,MAX(0,T$3+ROUND((T$9*($L39-T$5)),0)),IF($L39&gt;T$4,T$3,ROUND($L39*T$7,0)))</f>
        <v/>
      </c>
      <c r="J39" s="447">
        <f>IF($L39&gt;U$5,MAX(0,U$3+ROUND((U$9*($L39-U$5)),0)),IF($L39&gt;U$4,U$3,ROUND($L39*U$7,0)))</f>
        <v/>
      </c>
      <c r="K39" s="422" t="n"/>
      <c r="L39" s="448">
        <f>ROUND((A39+B39)/2,2)</f>
        <v/>
      </c>
    </row>
    <row r="40" ht="13.5" customHeight="1" s="7635">
      <c r="A40" s="448" t="n">
        <v>1850</v>
      </c>
      <c r="B40" s="447" t="n">
        <v>1900</v>
      </c>
      <c r="C40" s="1378">
        <f>IF($L40&gt;N$5,MAX(0,N$3+ROUND((N$9*($L40-N$5)),0)),IF($L40&gt;N$4,N$3,ROUND($L40*N$7,0)))</f>
        <v/>
      </c>
      <c r="D40" s="448">
        <f>IF($L40&gt;O$5,MAX(0,O$3+ROUND((O$9*($L40-O$5)),0)),IF($L40&gt;O$4,O$3,ROUND($L40*O$7,0)))</f>
        <v/>
      </c>
      <c r="E40" s="448">
        <f>IF($L40&gt;P$5,MAX(0,P$3+ROUND((P$9*($L40-P$5)),0)),IF($L40&gt;P$4,P$3,ROUND($L40*P$7,0)))</f>
        <v/>
      </c>
      <c r="F40" s="447">
        <f>IF($L40&gt;Q$5,MAX(0,Q$3+ROUND((Q$9*($L40-Q$5)),0)),IF($L40&gt;Q$4,Q$3,ROUND($L40*Q$7,0)))</f>
        <v/>
      </c>
      <c r="G40" s="1378">
        <f>IF($L40&gt;R$5,MAX(0,R$3+ROUND((R$9*($L40-R$5)),0)),IF($L40&gt;R$4,R$3,ROUND($L40*R$7,0)))</f>
        <v/>
      </c>
      <c r="H40" s="448">
        <f>IF($L40&gt;S$5,MAX(0,S$3+ROUND((S$9*($L40-S$5)),0)),IF($L40&gt;S$4,S$3,ROUND($L40*S$7,0)))</f>
        <v/>
      </c>
      <c r="I40" s="448">
        <f>IF($L40&gt;T$5,MAX(0,T$3+ROUND((T$9*($L40-T$5)),0)),IF($L40&gt;T$4,T$3,ROUND($L40*T$7,0)))</f>
        <v/>
      </c>
      <c r="J40" s="447">
        <f>IF($L40&gt;U$5,MAX(0,U$3+ROUND((U$9*($L40-U$5)),0)),IF($L40&gt;U$4,U$3,ROUND($L40*U$7,0)))</f>
        <v/>
      </c>
      <c r="K40" s="422" t="n"/>
      <c r="L40" s="448">
        <f>ROUND((A40+B40)/2,2)</f>
        <v/>
      </c>
    </row>
    <row r="41" ht="13.5" customHeight="1" s="7635">
      <c r="A41" s="448" t="n">
        <v>1900</v>
      </c>
      <c r="B41" s="447" t="n">
        <v>1950</v>
      </c>
      <c r="C41" s="1378">
        <f>IF($L41&gt;N$5,MAX(0,N$3+ROUND((N$9*($L41-N$5)),0)),IF($L41&gt;N$4,N$3,ROUND($L41*N$7,0)))</f>
        <v/>
      </c>
      <c r="D41" s="448">
        <f>IF($L41&gt;O$5,MAX(0,O$3+ROUND((O$9*($L41-O$5)),0)),IF($L41&gt;O$4,O$3,ROUND($L41*O$7,0)))</f>
        <v/>
      </c>
      <c r="E41" s="448">
        <f>IF($L41&gt;P$5,MAX(0,P$3+ROUND((P$9*($L41-P$5)),0)),IF($L41&gt;P$4,P$3,ROUND($L41*P$7,0)))</f>
        <v/>
      </c>
      <c r="F41" s="447">
        <f>IF($L41&gt;Q$5,MAX(0,Q$3+ROUND((Q$9*($L41-Q$5)),0)),IF($L41&gt;Q$4,Q$3,ROUND($L41*Q$7,0)))</f>
        <v/>
      </c>
      <c r="G41" s="1378">
        <f>IF($L41&gt;R$5,MAX(0,R$3+ROUND((R$9*($L41-R$5)),0)),IF($L41&gt;R$4,R$3,ROUND($L41*R$7,0)))</f>
        <v/>
      </c>
      <c r="H41" s="448">
        <f>IF($L41&gt;S$5,MAX(0,S$3+ROUND((S$9*($L41-S$5)),0)),IF($L41&gt;S$4,S$3,ROUND($L41*S$7,0)))</f>
        <v/>
      </c>
      <c r="I41" s="448">
        <f>IF($L41&gt;T$5,MAX(0,T$3+ROUND((T$9*($L41-T$5)),0)),IF($L41&gt;T$4,T$3,ROUND($L41*T$7,0)))</f>
        <v/>
      </c>
      <c r="J41" s="447">
        <f>IF($L41&gt;U$5,MAX(0,U$3+ROUND((U$9*($L41-U$5)),0)),IF($L41&gt;U$4,U$3,ROUND($L41*U$7,0)))</f>
        <v/>
      </c>
      <c r="K41" s="422" t="n"/>
      <c r="L41" s="448">
        <f>ROUND((A41+B41)/2,2)</f>
        <v/>
      </c>
    </row>
    <row r="42" ht="13.5" customHeight="1" s="7635">
      <c r="A42" s="448" t="n">
        <v>1950</v>
      </c>
      <c r="B42" s="447" t="n">
        <v>2000</v>
      </c>
      <c r="C42" s="1378">
        <f>IF($L42&gt;N$5,MAX(0,N$3+ROUND((N$9*($L42-N$5)),0)),IF($L42&gt;N$4,N$3,ROUND($L42*N$7,0)))</f>
        <v/>
      </c>
      <c r="D42" s="448">
        <f>IF($L42&gt;O$5,MAX(0,O$3+ROUND((O$9*($L42-O$5)),0)),IF($L42&gt;O$4,O$3,ROUND($L42*O$7,0)))</f>
        <v/>
      </c>
      <c r="E42" s="448">
        <f>IF($L42&gt;P$5,MAX(0,P$3+ROUND((P$9*($L42-P$5)),0)),IF($L42&gt;P$4,P$3,ROUND($L42*P$7,0)))</f>
        <v/>
      </c>
      <c r="F42" s="447">
        <f>IF($L42&gt;Q$5,MAX(0,Q$3+ROUND((Q$9*($L42-Q$5)),0)),IF($L42&gt;Q$4,Q$3,ROUND($L42*Q$7,0)))</f>
        <v/>
      </c>
      <c r="G42" s="1378">
        <f>IF($L42&gt;R$5,MAX(0,R$3+ROUND((R$9*($L42-R$5)),0)),IF($L42&gt;R$4,R$3,ROUND($L42*R$7,0)))</f>
        <v/>
      </c>
      <c r="H42" s="448">
        <f>IF($L42&gt;S$5,MAX(0,S$3+ROUND((S$9*($L42-S$5)),0)),IF($L42&gt;S$4,S$3,ROUND($L42*S$7,0)))</f>
        <v/>
      </c>
      <c r="I42" s="448">
        <f>IF($L42&gt;T$5,MAX(0,T$3+ROUND((T$9*($L42-T$5)),0)),IF($L42&gt;T$4,T$3,ROUND($L42*T$7,0)))</f>
        <v/>
      </c>
      <c r="J42" s="447">
        <f>IF($L42&gt;U$5,MAX(0,U$3+ROUND((U$9*($L42-U$5)),0)),IF($L42&gt;U$4,U$3,ROUND($L42*U$7,0)))</f>
        <v/>
      </c>
      <c r="K42" s="422" t="n"/>
      <c r="L42" s="448">
        <f>ROUND((A42+B42)/2,2)</f>
        <v/>
      </c>
    </row>
    <row r="43" ht="13.5" customHeight="1" s="7635">
      <c r="A43" s="448" t="n">
        <v>2000</v>
      </c>
      <c r="B43" s="447" t="n">
        <v>2050</v>
      </c>
      <c r="C43" s="1378">
        <f>IF($L43&gt;N$5,MAX(0,N$3+ROUND((N$9*($L43-N$5)),0)),IF($L43&gt;N$4,N$3,ROUND($L43*N$7,0)))</f>
        <v/>
      </c>
      <c r="D43" s="448">
        <f>IF($L43&gt;O$5,MAX(0,O$3+ROUND((O$9*($L43-O$5)),0)),IF($L43&gt;O$4,O$3,ROUND($L43*O$7,0)))</f>
        <v/>
      </c>
      <c r="E43" s="448">
        <f>IF($L43&gt;P$5,MAX(0,P$3+ROUND((P$9*($L43-P$5)),0)),IF($L43&gt;P$4,P$3,ROUND($L43*P$7,0)))</f>
        <v/>
      </c>
      <c r="F43" s="447">
        <f>IF($L43&gt;Q$5,MAX(0,Q$3+ROUND((Q$9*($L43-Q$5)),0)),IF($L43&gt;Q$4,Q$3,ROUND($L43*Q$7,0)))</f>
        <v/>
      </c>
      <c r="G43" s="1378">
        <f>IF($L43&gt;R$5,MAX(0,R$3+ROUND((R$9*($L43-R$5)),0)),IF($L43&gt;R$4,R$3,ROUND($L43*R$7,0)))</f>
        <v/>
      </c>
      <c r="H43" s="448">
        <f>IF($L43&gt;S$5,MAX(0,S$3+ROUND((S$9*($L43-S$5)),0)),IF($L43&gt;S$4,S$3,ROUND($L43*S$7,0)))</f>
        <v/>
      </c>
      <c r="I43" s="448">
        <f>IF($L43&gt;T$5,MAX(0,T$3+ROUND((T$9*($L43-T$5)),0)),IF($L43&gt;T$4,T$3,ROUND($L43*T$7,0)))</f>
        <v/>
      </c>
      <c r="J43" s="447">
        <f>IF($L43&gt;U$5,MAX(0,U$3+ROUND((U$9*($L43-U$5)),0)),IF($L43&gt;U$4,U$3,ROUND($L43*U$7,0)))</f>
        <v/>
      </c>
      <c r="K43" s="422" t="n"/>
      <c r="L43" s="448">
        <f>ROUND((A43+B43)/2,2)</f>
        <v/>
      </c>
    </row>
    <row r="44" ht="13.5" customHeight="1" s="7635">
      <c r="A44" s="448" t="n">
        <v>2050</v>
      </c>
      <c r="B44" s="447" t="n">
        <v>2100</v>
      </c>
      <c r="C44" s="1378">
        <f>IF($L44&gt;N$5,MAX(0,N$3+ROUND((N$9*($L44-N$5)),0)),IF($L44&gt;N$4,N$3,ROUND($L44*N$7,0)))</f>
        <v/>
      </c>
      <c r="D44" s="448">
        <f>IF($L44&gt;O$5,MAX(0,O$3+ROUND((O$9*($L44-O$5)),0)),IF($L44&gt;O$4,O$3,ROUND($L44*O$7,0)))</f>
        <v/>
      </c>
      <c r="E44" s="448">
        <f>IF($L44&gt;P$5,MAX(0,P$3+ROUND((P$9*($L44-P$5)),0)),IF($L44&gt;P$4,P$3,ROUND($L44*P$7,0)))</f>
        <v/>
      </c>
      <c r="F44" s="447">
        <f>IF($L44&gt;Q$5,MAX(0,Q$3+ROUND((Q$9*($L44-Q$5)),0)),IF($L44&gt;Q$4,Q$3,ROUND($L44*Q$7,0)))</f>
        <v/>
      </c>
      <c r="G44" s="1378">
        <f>IF($L44&gt;R$5,MAX(0,R$3+ROUND((R$9*($L44-R$5)),0)),IF($L44&gt;R$4,R$3,ROUND($L44*R$7,0)))</f>
        <v/>
      </c>
      <c r="H44" s="448">
        <f>IF($L44&gt;S$5,MAX(0,S$3+ROUND((S$9*($L44-S$5)),0)),IF($L44&gt;S$4,S$3,ROUND($L44*S$7,0)))</f>
        <v/>
      </c>
      <c r="I44" s="448">
        <f>IF($L44&gt;T$5,MAX(0,T$3+ROUND((T$9*($L44-T$5)),0)),IF($L44&gt;T$4,T$3,ROUND($L44*T$7,0)))</f>
        <v/>
      </c>
      <c r="J44" s="447">
        <f>IF($L44&gt;U$5,MAX(0,U$3+ROUND((U$9*($L44-U$5)),0)),IF($L44&gt;U$4,U$3,ROUND($L44*U$7,0)))</f>
        <v/>
      </c>
      <c r="K44" s="422" t="n"/>
      <c r="L44" s="448">
        <f>ROUND((A44+B44)/2,2)</f>
        <v/>
      </c>
    </row>
    <row r="45" ht="13.5" customHeight="1" s="7635">
      <c r="A45" s="448" t="n">
        <v>2100</v>
      </c>
      <c r="B45" s="447" t="n">
        <v>2150</v>
      </c>
      <c r="C45" s="1378">
        <f>IF($L45&gt;N$5,MAX(0,N$3+ROUND((N$9*($L45-N$5)),0)),IF($L45&gt;N$4,N$3,ROUND($L45*N$7,0)))</f>
        <v/>
      </c>
      <c r="D45" s="448">
        <f>IF($L45&gt;O$5,MAX(0,O$3+ROUND((O$9*($L45-O$5)),0)),IF($L45&gt;O$4,O$3,ROUND($L45*O$7,0)))</f>
        <v/>
      </c>
      <c r="E45" s="448">
        <f>IF($L45&gt;P$5,MAX(0,P$3+ROUND((P$9*($L45-P$5)),0)),IF($L45&gt;P$4,P$3,ROUND($L45*P$7,0)))</f>
        <v/>
      </c>
      <c r="F45" s="447">
        <f>IF($L45&gt;Q$5,MAX(0,Q$3+ROUND((Q$9*($L45-Q$5)),0)),IF($L45&gt;Q$4,Q$3,ROUND($L45*Q$7,0)))</f>
        <v/>
      </c>
      <c r="G45" s="1378">
        <f>IF($L45&gt;R$5,MAX(0,R$3+ROUND((R$9*($L45-R$5)),0)),IF($L45&gt;R$4,R$3,ROUND($L45*R$7,0)))</f>
        <v/>
      </c>
      <c r="H45" s="448">
        <f>IF($L45&gt;S$5,MAX(0,S$3+ROUND((S$9*($L45-S$5)),0)),IF($L45&gt;S$4,S$3,ROUND($L45*S$7,0)))</f>
        <v/>
      </c>
      <c r="I45" s="448">
        <f>IF($L45&gt;T$5,MAX(0,T$3+ROUND((T$9*($L45-T$5)),0)),IF($L45&gt;T$4,T$3,ROUND($L45*T$7,0)))</f>
        <v/>
      </c>
      <c r="J45" s="447">
        <f>IF($L45&gt;U$5,MAX(0,U$3+ROUND((U$9*($L45-U$5)),0)),IF($L45&gt;U$4,U$3,ROUND($L45*U$7,0)))</f>
        <v/>
      </c>
      <c r="K45" s="422" t="n"/>
      <c r="L45" s="448">
        <f>ROUND((A45+B45)/2,2)</f>
        <v/>
      </c>
    </row>
    <row r="46" ht="13.5" customHeight="1" s="7635">
      <c r="A46" s="448" t="n">
        <v>2150</v>
      </c>
      <c r="B46" s="447" t="n">
        <v>2200</v>
      </c>
      <c r="C46" s="1378">
        <f>IF($L46&gt;N$5,MAX(0,N$3+ROUND((N$9*($L46-N$5)),0)),IF($L46&gt;N$4,N$3,ROUND($L46*N$7,0)))</f>
        <v/>
      </c>
      <c r="D46" s="448">
        <f>IF($L46&gt;O$5,MAX(0,O$3+ROUND((O$9*($L46-O$5)),0)),IF($L46&gt;O$4,O$3,ROUND($L46*O$7,0)))</f>
        <v/>
      </c>
      <c r="E46" s="448">
        <f>IF($L46&gt;P$5,MAX(0,P$3+ROUND((P$9*($L46-P$5)),0)),IF($L46&gt;P$4,P$3,ROUND($L46*P$7,0)))</f>
        <v/>
      </c>
      <c r="F46" s="447">
        <f>IF($L46&gt;Q$5,MAX(0,Q$3+ROUND((Q$9*($L46-Q$5)),0)),IF($L46&gt;Q$4,Q$3,ROUND($L46*Q$7,0)))</f>
        <v/>
      </c>
      <c r="G46" s="1378">
        <f>IF($L46&gt;R$5,MAX(0,R$3+ROUND((R$9*($L46-R$5)),0)),IF($L46&gt;R$4,R$3,ROUND($L46*R$7,0)))</f>
        <v/>
      </c>
      <c r="H46" s="448">
        <f>IF($L46&gt;S$5,MAX(0,S$3+ROUND((S$9*($L46-S$5)),0)),IF($L46&gt;S$4,S$3,ROUND($L46*S$7,0)))</f>
        <v/>
      </c>
      <c r="I46" s="448">
        <f>IF($L46&gt;T$5,MAX(0,T$3+ROUND((T$9*($L46-T$5)),0)),IF($L46&gt;T$4,T$3,ROUND($L46*T$7,0)))</f>
        <v/>
      </c>
      <c r="J46" s="447">
        <f>IF($L46&gt;U$5,MAX(0,U$3+ROUND((U$9*($L46-U$5)),0)),IF($L46&gt;U$4,U$3,ROUND($L46*U$7,0)))</f>
        <v/>
      </c>
      <c r="K46" s="422" t="n"/>
      <c r="L46" s="448">
        <f>ROUND((A46+B46)/2,2)</f>
        <v/>
      </c>
    </row>
    <row r="47" ht="13.5" customHeight="1" s="7635">
      <c r="A47" s="448" t="n">
        <v>2200</v>
      </c>
      <c r="B47" s="447" t="n">
        <v>2250</v>
      </c>
      <c r="C47" s="1378">
        <f>IF($L47&gt;N$5,MAX(0,N$3+ROUND((N$9*($L47-N$5)),0)),IF($L47&gt;N$4,N$3,ROUND($L47*N$7,0)))</f>
        <v/>
      </c>
      <c r="D47" s="448">
        <f>IF($L47&gt;O$5,MAX(0,O$3+ROUND((O$9*($L47-O$5)),0)),IF($L47&gt;O$4,O$3,ROUND($L47*O$7,0)))</f>
        <v/>
      </c>
      <c r="E47" s="448">
        <f>IF($L47&gt;P$5,MAX(0,P$3+ROUND((P$9*($L47-P$5)),0)),IF($L47&gt;P$4,P$3,ROUND($L47*P$7,0)))</f>
        <v/>
      </c>
      <c r="F47" s="447">
        <f>IF($L47&gt;Q$5,MAX(0,Q$3+ROUND((Q$9*($L47-Q$5)),0)),IF($L47&gt;Q$4,Q$3,ROUND($L47*Q$7,0)))</f>
        <v/>
      </c>
      <c r="G47" s="1378">
        <f>IF($L47&gt;R$5,MAX(0,R$3+ROUND((R$9*($L47-R$5)),0)),IF($L47&gt;R$4,R$3,ROUND($L47*R$7,0)))</f>
        <v/>
      </c>
      <c r="H47" s="448">
        <f>IF($L47&gt;S$5,MAX(0,S$3+ROUND((S$9*($L47-S$5)),0)),IF($L47&gt;S$4,S$3,ROUND($L47*S$7,0)))</f>
        <v/>
      </c>
      <c r="I47" s="448">
        <f>IF($L47&gt;T$5,MAX(0,T$3+ROUND((T$9*($L47-T$5)),0)),IF($L47&gt;T$4,T$3,ROUND($L47*T$7,0)))</f>
        <v/>
      </c>
      <c r="J47" s="447">
        <f>IF($L47&gt;U$5,MAX(0,U$3+ROUND((U$9*($L47-U$5)),0)),IF($L47&gt;U$4,U$3,ROUND($L47*U$7,0)))</f>
        <v/>
      </c>
      <c r="K47" s="422" t="n"/>
      <c r="L47" s="448">
        <f>ROUND((A47+B47)/2,2)</f>
        <v/>
      </c>
    </row>
    <row r="48" ht="13.5" customHeight="1" s="7635">
      <c r="A48" s="448" t="n">
        <v>2250</v>
      </c>
      <c r="B48" s="447" t="n">
        <v>2300</v>
      </c>
      <c r="C48" s="1378">
        <f>IF($L48&gt;N$5,MAX(0,N$3+ROUND((N$9*($L48-N$5)),0)),IF($L48&gt;N$4,N$3,ROUND($L48*N$7,0)))</f>
        <v/>
      </c>
      <c r="D48" s="448">
        <f>IF($L48&gt;O$5,MAX(0,O$3+ROUND((O$9*($L48-O$5)),0)),IF($L48&gt;O$4,O$3,ROUND($L48*O$7,0)))</f>
        <v/>
      </c>
      <c r="E48" s="448">
        <f>IF($L48&gt;P$5,MAX(0,P$3+ROUND((P$9*($L48-P$5)),0)),IF($L48&gt;P$4,P$3,ROUND($L48*P$7,0)))</f>
        <v/>
      </c>
      <c r="F48" s="447">
        <f>IF($L48&gt;Q$5,MAX(0,Q$3+ROUND((Q$9*($L48-Q$5)),0)),IF($L48&gt;Q$4,Q$3,ROUND($L48*Q$7,0)))</f>
        <v/>
      </c>
      <c r="G48" s="1378">
        <f>IF($L48&gt;R$5,MAX(0,R$3+ROUND((R$9*($L48-R$5)),0)),IF($L48&gt;R$4,R$3,ROUND($L48*R$7,0)))</f>
        <v/>
      </c>
      <c r="H48" s="448">
        <f>IF($L48&gt;S$5,MAX(0,S$3+ROUND((S$9*($L48-S$5)),0)),IF($L48&gt;S$4,S$3,ROUND($L48*S$7,0)))</f>
        <v/>
      </c>
      <c r="I48" s="448">
        <f>IF($L48&gt;T$5,MAX(0,T$3+ROUND((T$9*($L48-T$5)),0)),IF($L48&gt;T$4,T$3,ROUND($L48*T$7,0)))</f>
        <v/>
      </c>
      <c r="J48" s="447">
        <f>IF($L48&gt;U$5,MAX(0,U$3+ROUND((U$9*($L48-U$5)),0)),IF($L48&gt;U$4,U$3,ROUND($L48*U$7,0)))</f>
        <v/>
      </c>
      <c r="K48" s="422" t="n"/>
      <c r="L48" s="448">
        <f>ROUND((A48+B48)/2,2)</f>
        <v/>
      </c>
    </row>
    <row r="49" ht="13.5" customHeight="1" s="7635">
      <c r="A49" s="448" t="n">
        <v>2300</v>
      </c>
      <c r="B49" s="447" t="n">
        <v>2350</v>
      </c>
      <c r="C49" s="1378">
        <f>IF($L49&gt;N$5,MAX(0,N$3+ROUND((N$9*($L49-N$5)),0)),IF($L49&gt;N$4,N$3,ROUND($L49*N$7,0)))</f>
        <v/>
      </c>
      <c r="D49" s="448">
        <f>IF($L49&gt;O$5,MAX(0,O$3+ROUND((O$9*($L49-O$5)),0)),IF($L49&gt;O$4,O$3,ROUND($L49*O$7,0)))</f>
        <v/>
      </c>
      <c r="E49" s="448">
        <f>IF($L49&gt;P$5,MAX(0,P$3+ROUND((P$9*($L49-P$5)),0)),IF($L49&gt;P$4,P$3,ROUND($L49*P$7,0)))</f>
        <v/>
      </c>
      <c r="F49" s="447">
        <f>IF($L49&gt;Q$5,MAX(0,Q$3+ROUND((Q$9*($L49-Q$5)),0)),IF($L49&gt;Q$4,Q$3,ROUND($L49*Q$7,0)))</f>
        <v/>
      </c>
      <c r="G49" s="1378">
        <f>IF($L49&gt;R$5,MAX(0,R$3+ROUND((R$9*($L49-R$5)),0)),IF($L49&gt;R$4,R$3,ROUND($L49*R$7,0)))</f>
        <v/>
      </c>
      <c r="H49" s="448">
        <f>IF($L49&gt;S$5,MAX(0,S$3+ROUND((S$9*($L49-S$5)),0)),IF($L49&gt;S$4,S$3,ROUND($L49*S$7,0)))</f>
        <v/>
      </c>
      <c r="I49" s="448">
        <f>IF($L49&gt;T$5,MAX(0,T$3+ROUND((T$9*($L49-T$5)),0)),IF($L49&gt;T$4,T$3,ROUND($L49*T$7,0)))</f>
        <v/>
      </c>
      <c r="J49" s="447">
        <f>IF($L49&gt;U$5,MAX(0,U$3+ROUND((U$9*($L49-U$5)),0)),IF($L49&gt;U$4,U$3,ROUND($L49*U$7,0)))</f>
        <v/>
      </c>
      <c r="K49" s="422" t="n"/>
      <c r="L49" s="448">
        <f>ROUND((A49+B49)/2,2)</f>
        <v/>
      </c>
    </row>
    <row r="50" ht="13.5" customHeight="1" s="7635">
      <c r="A50" s="448" t="n">
        <v>2350</v>
      </c>
      <c r="B50" s="447" t="n">
        <v>2400</v>
      </c>
      <c r="C50" s="1378">
        <f>IF($L50&gt;N$5,MAX(0,N$3+ROUND((N$9*($L50-N$5)),0)),IF($L50&gt;N$4,N$3,ROUND($L50*N$7,0)))</f>
        <v/>
      </c>
      <c r="D50" s="448">
        <f>IF($L50&gt;O$5,MAX(0,O$3+ROUND((O$9*($L50-O$5)),0)),IF($L50&gt;O$4,O$3,ROUND($L50*O$7,0)))</f>
        <v/>
      </c>
      <c r="E50" s="448">
        <f>IF($L50&gt;P$5,MAX(0,P$3+ROUND((P$9*($L50-P$5)),0)),IF($L50&gt;P$4,P$3,ROUND($L50*P$7,0)))</f>
        <v/>
      </c>
      <c r="F50" s="447">
        <f>IF($L50&gt;Q$5,MAX(0,Q$3+ROUND((Q$9*($L50-Q$5)),0)),IF($L50&gt;Q$4,Q$3,ROUND($L50*Q$7,0)))</f>
        <v/>
      </c>
      <c r="G50" s="1378">
        <f>IF($L50&gt;R$5,MAX(0,R$3+ROUND((R$9*($L50-R$5)),0)),IF($L50&gt;R$4,R$3,ROUND($L50*R$7,0)))</f>
        <v/>
      </c>
      <c r="H50" s="448">
        <f>IF($L50&gt;S$5,MAX(0,S$3+ROUND((S$9*($L50-S$5)),0)),IF($L50&gt;S$4,S$3,ROUND($L50*S$7,0)))</f>
        <v/>
      </c>
      <c r="I50" s="448">
        <f>IF($L50&gt;T$5,MAX(0,T$3+ROUND((T$9*($L50-T$5)),0)),IF($L50&gt;T$4,T$3,ROUND($L50*T$7,0)))</f>
        <v/>
      </c>
      <c r="J50" s="447">
        <f>IF($L50&gt;U$5,MAX(0,U$3+ROUND((U$9*($L50-U$5)),0)),IF($L50&gt;U$4,U$3,ROUND($L50*U$7,0)))</f>
        <v/>
      </c>
      <c r="K50" s="422" t="n"/>
      <c r="L50" s="448">
        <f>ROUND((A50+B50)/2,2)</f>
        <v/>
      </c>
    </row>
    <row r="51" ht="13.5" customHeight="1" s="7635">
      <c r="A51" s="448" t="n">
        <v>2400</v>
      </c>
      <c r="B51" s="447" t="n">
        <v>2450</v>
      </c>
      <c r="C51" s="1378">
        <f>IF($L51&gt;N$5,MAX(0,N$3+ROUND((N$9*($L51-N$5)),0)),IF($L51&gt;N$4,N$3,ROUND($L51*N$7,0)))</f>
        <v/>
      </c>
      <c r="D51" s="448">
        <f>IF($L51&gt;O$5,MAX(0,O$3+ROUND((O$9*($L51-O$5)),0)),IF($L51&gt;O$4,O$3,ROUND($L51*O$7,0)))</f>
        <v/>
      </c>
      <c r="E51" s="448">
        <f>IF($L51&gt;P$5,MAX(0,P$3+ROUND((P$9*($L51-P$5)),0)),IF($L51&gt;P$4,P$3,ROUND($L51*P$7,0)))</f>
        <v/>
      </c>
      <c r="F51" s="447">
        <f>IF($L51&gt;Q$5,MAX(0,Q$3+ROUND((Q$9*($L51-Q$5)),0)),IF($L51&gt;Q$4,Q$3,ROUND($L51*Q$7,0)))</f>
        <v/>
      </c>
      <c r="G51" s="1378">
        <f>IF($L51&gt;R$5,MAX(0,R$3+ROUND((R$9*($L51-R$5)),0)),IF($L51&gt;R$4,R$3,ROUND($L51*R$7,0)))</f>
        <v/>
      </c>
      <c r="H51" s="448">
        <f>IF($L51&gt;S$5,MAX(0,S$3+ROUND((S$9*($L51-S$5)),0)),IF($L51&gt;S$4,S$3,ROUND($L51*S$7,0)))</f>
        <v/>
      </c>
      <c r="I51" s="448">
        <f>IF($L51&gt;T$5,MAX(0,T$3+ROUND((T$9*($L51-T$5)),0)),IF($L51&gt;T$4,T$3,ROUND($L51*T$7,0)))</f>
        <v/>
      </c>
      <c r="J51" s="447">
        <f>IF($L51&gt;U$5,MAX(0,U$3+ROUND((U$9*($L51-U$5)),0)),IF($L51&gt;U$4,U$3,ROUND($L51*U$7,0)))</f>
        <v/>
      </c>
      <c r="K51" s="422" t="n"/>
      <c r="L51" s="448">
        <f>ROUND((A51+B51)/2,2)</f>
        <v/>
      </c>
    </row>
    <row r="52" ht="13.5" customHeight="1" s="7635">
      <c r="A52" s="448" t="n">
        <v>2450</v>
      </c>
      <c r="B52" s="447" t="n">
        <v>2500</v>
      </c>
      <c r="C52" s="1378">
        <f>IF($L52&gt;N$5,MAX(0,N$3+ROUND((N$9*($L52-N$5)),0)),IF($L52&gt;N$4,N$3,ROUND($L52*N$7,0)))</f>
        <v/>
      </c>
      <c r="D52" s="448">
        <f>IF($L52&gt;O$5,MAX(0,O$3+ROUND((O$9*($L52-O$5)),0)),IF($L52&gt;O$4,O$3,ROUND($L52*O$7,0)))</f>
        <v/>
      </c>
      <c r="E52" s="448">
        <f>IF($L52&gt;P$5,MAX(0,P$3+ROUND((P$9*($L52-P$5)),0)),IF($L52&gt;P$4,P$3,ROUND($L52*P$7,0)))</f>
        <v/>
      </c>
      <c r="F52" s="447">
        <f>IF($L52&gt;Q$5,MAX(0,Q$3+ROUND((Q$9*($L52-Q$5)),0)),IF($L52&gt;Q$4,Q$3,ROUND($L52*Q$7,0)))</f>
        <v/>
      </c>
      <c r="G52" s="1378">
        <f>IF($L52&gt;R$5,MAX(0,R$3+ROUND((R$9*($L52-R$5)),0)),IF($L52&gt;R$4,R$3,ROUND($L52*R$7,0)))</f>
        <v/>
      </c>
      <c r="H52" s="448">
        <f>IF($L52&gt;S$5,MAX(0,S$3+ROUND((S$9*($L52-S$5)),0)),IF($L52&gt;S$4,S$3,ROUND($L52*S$7,0)))</f>
        <v/>
      </c>
      <c r="I52" s="448">
        <f>IF($L52&gt;T$5,MAX(0,T$3+ROUND((T$9*($L52-T$5)),0)),IF($L52&gt;T$4,T$3,ROUND($L52*T$7,0)))</f>
        <v/>
      </c>
      <c r="J52" s="447">
        <f>IF($L52&gt;U$5,MAX(0,U$3+ROUND((U$9*($L52-U$5)),0)),IF($L52&gt;U$4,U$3,ROUND($L52*U$7,0)))</f>
        <v/>
      </c>
      <c r="K52" s="422" t="n"/>
      <c r="L52" s="448">
        <f>ROUND((A52+B52)/2,2)</f>
        <v/>
      </c>
    </row>
    <row r="53" ht="13.5" customHeight="1" s="7635">
      <c r="A53" s="448" t="n">
        <v>2500</v>
      </c>
      <c r="B53" s="447" t="n">
        <v>2550</v>
      </c>
      <c r="C53" s="1378">
        <f>IF($L53&gt;N$5,MAX(0,N$3+ROUND((N$9*($L53-N$5)),0)),IF($L53&gt;N$4,N$3,ROUND($L53*N$7,0)))</f>
        <v/>
      </c>
      <c r="D53" s="448">
        <f>IF($L53&gt;O$5,MAX(0,O$3+ROUND((O$9*($L53-O$5)),0)),IF($L53&gt;O$4,O$3,ROUND($L53*O$7,0)))</f>
        <v/>
      </c>
      <c r="E53" s="448">
        <f>IF($L53&gt;P$5,MAX(0,P$3+ROUND((P$9*($L53-P$5)),0)),IF($L53&gt;P$4,P$3,ROUND($L53*P$7,0)))</f>
        <v/>
      </c>
      <c r="F53" s="447">
        <f>IF($L53&gt;Q$5,MAX(0,Q$3+ROUND((Q$9*($L53-Q$5)),0)),IF($L53&gt;Q$4,Q$3,ROUND($L53*Q$7,0)))</f>
        <v/>
      </c>
      <c r="G53" s="1378">
        <f>IF($L53&gt;R$5,MAX(0,R$3+ROUND((R$9*($L53-R$5)),0)),IF($L53&gt;R$4,R$3,ROUND($L53*R$7,0)))</f>
        <v/>
      </c>
      <c r="H53" s="448">
        <f>IF($L53&gt;S$5,MAX(0,S$3+ROUND((S$9*($L53-S$5)),0)),IF($L53&gt;S$4,S$3,ROUND($L53*S$7,0)))</f>
        <v/>
      </c>
      <c r="I53" s="448">
        <f>IF($L53&gt;T$5,MAX(0,T$3+ROUND((T$9*($L53-T$5)),0)),IF($L53&gt;T$4,T$3,ROUND($L53*T$7,0)))</f>
        <v/>
      </c>
      <c r="J53" s="447">
        <f>IF($L53&gt;U$5,MAX(0,U$3+ROUND((U$9*($L53-U$5)),0)),IF($L53&gt;U$4,U$3,ROUND($L53*U$7,0)))</f>
        <v/>
      </c>
      <c r="K53" s="422" t="n"/>
      <c r="L53" s="448">
        <f>ROUND((A53+B53)/2,2)</f>
        <v/>
      </c>
    </row>
    <row r="54" ht="13.5" customHeight="1" s="7635">
      <c r="A54" s="448" t="n">
        <v>2550</v>
      </c>
      <c r="B54" s="447" t="n">
        <v>2600</v>
      </c>
      <c r="C54" s="1378">
        <f>IF($L54&gt;N$5,MAX(0,N$3+ROUND((N$9*($L54-N$5)),0)),IF($L54&gt;N$4,N$3,ROUND($L54*N$7,0)))</f>
        <v/>
      </c>
      <c r="D54" s="448">
        <f>IF($L54&gt;O$5,MAX(0,O$3+ROUND((O$9*($L54-O$5)),0)),IF($L54&gt;O$4,O$3,ROUND($L54*O$7,0)))</f>
        <v/>
      </c>
      <c r="E54" s="448">
        <f>IF($L54&gt;P$5,MAX(0,P$3+ROUND((P$9*($L54-P$5)),0)),IF($L54&gt;P$4,P$3,ROUND($L54*P$7,0)))</f>
        <v/>
      </c>
      <c r="F54" s="447">
        <f>IF($L54&gt;Q$5,MAX(0,Q$3+ROUND((Q$9*($L54-Q$5)),0)),IF($L54&gt;Q$4,Q$3,ROUND($L54*Q$7,0)))</f>
        <v/>
      </c>
      <c r="G54" s="1378">
        <f>IF($L54&gt;R$5,MAX(0,R$3+ROUND((R$9*($L54-R$5)),0)),IF($L54&gt;R$4,R$3,ROUND($L54*R$7,0)))</f>
        <v/>
      </c>
      <c r="H54" s="448">
        <f>IF($L54&gt;S$5,MAX(0,S$3+ROUND((S$9*($L54-S$5)),0)),IF($L54&gt;S$4,S$3,ROUND($L54*S$7,0)))</f>
        <v/>
      </c>
      <c r="I54" s="448">
        <f>IF($L54&gt;T$5,MAX(0,T$3+ROUND((T$9*($L54-T$5)),0)),IF($L54&gt;T$4,T$3,ROUND($L54*T$7,0)))</f>
        <v/>
      </c>
      <c r="J54" s="447">
        <f>IF($L54&gt;U$5,MAX(0,U$3+ROUND((U$9*($L54-U$5)),0)),IF($L54&gt;U$4,U$3,ROUND($L54*U$7,0)))</f>
        <v/>
      </c>
      <c r="K54" s="422" t="n"/>
      <c r="L54" s="448">
        <f>ROUND((A54+B54)/2,2)</f>
        <v/>
      </c>
    </row>
    <row r="55" ht="13.5" customHeight="1" s="7635">
      <c r="A55" s="448" t="n">
        <v>2600</v>
      </c>
      <c r="B55" s="447" t="n">
        <v>2650</v>
      </c>
      <c r="C55" s="1378">
        <f>IF($L55&gt;N$5,MAX(0,N$3+ROUND((N$9*($L55-N$5)),0)),IF($L55&gt;N$4,N$3,ROUND($L55*N$7,0)))</f>
        <v/>
      </c>
      <c r="D55" s="448">
        <f>IF($L55&gt;O$5,MAX(0,O$3+ROUND((O$9*($L55-O$5)),0)),IF($L55&gt;O$4,O$3,ROUND($L55*O$7,0)))</f>
        <v/>
      </c>
      <c r="E55" s="448">
        <f>IF($L55&gt;P$5,MAX(0,P$3+ROUND((P$9*($L55-P$5)),0)),IF($L55&gt;P$4,P$3,ROUND($L55*P$7,0)))</f>
        <v/>
      </c>
      <c r="F55" s="447">
        <f>IF($L55&gt;Q$5,MAX(0,Q$3+ROUND((Q$9*($L55-Q$5)),0)),IF($L55&gt;Q$4,Q$3,ROUND($L55*Q$7,0)))</f>
        <v/>
      </c>
      <c r="G55" s="1378">
        <f>IF($L55&gt;R$5,MAX(0,R$3+ROUND((R$9*($L55-R$5)),0)),IF($L55&gt;R$4,R$3,ROUND($L55*R$7,0)))</f>
        <v/>
      </c>
      <c r="H55" s="448">
        <f>IF($L55&gt;S$5,MAX(0,S$3+ROUND((S$9*($L55-S$5)),0)),IF($L55&gt;S$4,S$3,ROUND($L55*S$7,0)))</f>
        <v/>
      </c>
      <c r="I55" s="448">
        <f>IF($L55&gt;T$5,MAX(0,T$3+ROUND((T$9*($L55-T$5)),0)),IF($L55&gt;T$4,T$3,ROUND($L55*T$7,0)))</f>
        <v/>
      </c>
      <c r="J55" s="447">
        <f>IF($L55&gt;U$5,MAX(0,U$3+ROUND((U$9*($L55-U$5)),0)),IF($L55&gt;U$4,U$3,ROUND($L55*U$7,0)))</f>
        <v/>
      </c>
      <c r="K55" s="422" t="n"/>
      <c r="L55" s="448">
        <f>ROUND((A55+B55)/2,2)</f>
        <v/>
      </c>
    </row>
    <row r="56" ht="13.5" customHeight="1" s="7635">
      <c r="A56" s="448" t="n">
        <v>2650</v>
      </c>
      <c r="B56" s="447" t="n">
        <v>2700</v>
      </c>
      <c r="C56" s="1378">
        <f>IF($L56&gt;N$5,MAX(0,N$3+ROUND((N$9*($L56-N$5)),0)),IF($L56&gt;N$4,N$3,ROUND($L56*N$7,0)))</f>
        <v/>
      </c>
      <c r="D56" s="448">
        <f>IF($L56&gt;O$5,MAX(0,O$3+ROUND((O$9*($L56-O$5)),0)),IF($L56&gt;O$4,O$3,ROUND($L56*O$7,0)))</f>
        <v/>
      </c>
      <c r="E56" s="448">
        <f>IF($L56&gt;P$5,MAX(0,P$3+ROUND((P$9*($L56-P$5)),0)),IF($L56&gt;P$4,P$3,ROUND($L56*P$7,0)))</f>
        <v/>
      </c>
      <c r="F56" s="447">
        <f>IF($L56&gt;Q$5,MAX(0,Q$3+ROUND((Q$9*($L56-Q$5)),0)),IF($L56&gt;Q$4,Q$3,ROUND($L56*Q$7,0)))</f>
        <v/>
      </c>
      <c r="G56" s="1378">
        <f>IF($L56&gt;R$5,MAX(0,R$3+ROUND((R$9*($L56-R$5)),0)),IF($L56&gt;R$4,R$3,ROUND($L56*R$7,0)))</f>
        <v/>
      </c>
      <c r="H56" s="448">
        <f>IF($L56&gt;S$5,MAX(0,S$3+ROUND((S$9*($L56-S$5)),0)),IF($L56&gt;S$4,S$3,ROUND($L56*S$7,0)))</f>
        <v/>
      </c>
      <c r="I56" s="448">
        <f>IF($L56&gt;T$5,MAX(0,T$3+ROUND((T$9*($L56-T$5)),0)),IF($L56&gt;T$4,T$3,ROUND($L56*T$7,0)))</f>
        <v/>
      </c>
      <c r="J56" s="447">
        <f>IF($L56&gt;U$5,MAX(0,U$3+ROUND((U$9*($L56-U$5)),0)),IF($L56&gt;U$4,U$3,ROUND($L56*U$7,0)))</f>
        <v/>
      </c>
      <c r="K56" s="422" t="n"/>
      <c r="L56" s="448">
        <f>ROUND((A56+B56)/2,2)</f>
        <v/>
      </c>
    </row>
    <row r="57" ht="13.5" customHeight="1" s="7635">
      <c r="A57" s="448" t="n">
        <v>2700</v>
      </c>
      <c r="B57" s="447" t="n">
        <v>2750</v>
      </c>
      <c r="C57" s="1378">
        <f>IF($L57&gt;N$5,MAX(0,N$3+ROUND((N$9*($L57-N$5)),0)),IF($L57&gt;N$4,N$3,ROUND($L57*N$7,0)))</f>
        <v/>
      </c>
      <c r="D57" s="448">
        <f>IF($L57&gt;O$5,MAX(0,O$3+ROUND((O$9*($L57-O$5)),0)),IF($L57&gt;O$4,O$3,ROUND($L57*O$7,0)))</f>
        <v/>
      </c>
      <c r="E57" s="448">
        <f>IF($L57&gt;P$5,MAX(0,P$3+ROUND((P$9*($L57-P$5)),0)),IF($L57&gt;P$4,P$3,ROUND($L57*P$7,0)))</f>
        <v/>
      </c>
      <c r="F57" s="447">
        <f>IF($L57&gt;Q$5,MAX(0,Q$3+ROUND((Q$9*($L57-Q$5)),0)),IF($L57&gt;Q$4,Q$3,ROUND($L57*Q$7,0)))</f>
        <v/>
      </c>
      <c r="G57" s="1378">
        <f>IF($L57&gt;R$5,MAX(0,R$3+ROUND((R$9*($L57-R$5)),0)),IF($L57&gt;R$4,R$3,ROUND($L57*R$7,0)))</f>
        <v/>
      </c>
      <c r="H57" s="448">
        <f>IF($L57&gt;S$5,MAX(0,S$3+ROUND((S$9*($L57-S$5)),0)),IF($L57&gt;S$4,S$3,ROUND($L57*S$7,0)))</f>
        <v/>
      </c>
      <c r="I57" s="448">
        <f>IF($L57&gt;T$5,MAX(0,T$3+ROUND((T$9*($L57-T$5)),0)),IF($L57&gt;T$4,T$3,ROUND($L57*T$7,0)))</f>
        <v/>
      </c>
      <c r="J57" s="447">
        <f>IF($L57&gt;U$5,MAX(0,U$3+ROUND((U$9*($L57-U$5)),0)),IF($L57&gt;U$4,U$3,ROUND($L57*U$7,0)))</f>
        <v/>
      </c>
      <c r="K57" s="422" t="n"/>
      <c r="L57" s="448">
        <f>ROUND((A57+B57)/2,2)</f>
        <v/>
      </c>
    </row>
    <row r="58" ht="13.5" customHeight="1" s="7635">
      <c r="A58" s="448" t="n">
        <v>2750</v>
      </c>
      <c r="B58" s="447" t="n">
        <v>2800</v>
      </c>
      <c r="C58" s="1378">
        <f>IF($L58&gt;N$5,MAX(0,N$3+ROUND((N$9*($L58-N$5)),0)),IF($L58&gt;N$4,N$3,ROUND($L58*N$7,0)))</f>
        <v/>
      </c>
      <c r="D58" s="448">
        <f>IF($L58&gt;O$5,MAX(0,O$3+ROUND((O$9*($L58-O$5)),0)),IF($L58&gt;O$4,O$3,ROUND($L58*O$7,0)))</f>
        <v/>
      </c>
      <c r="E58" s="448">
        <f>IF($L58&gt;P$5,MAX(0,P$3+ROUND((P$9*($L58-P$5)),0)),IF($L58&gt;P$4,P$3,ROUND($L58*P$7,0)))</f>
        <v/>
      </c>
      <c r="F58" s="447">
        <f>IF($L58&gt;Q$5,MAX(0,Q$3+ROUND((Q$9*($L58-Q$5)),0)),IF($L58&gt;Q$4,Q$3,ROUND($L58*Q$7,0)))</f>
        <v/>
      </c>
      <c r="G58" s="1378">
        <f>IF($L58&gt;R$5,MAX(0,R$3+ROUND((R$9*($L58-R$5)),0)),IF($L58&gt;R$4,R$3,ROUND($L58*R$7,0)))</f>
        <v/>
      </c>
      <c r="H58" s="448">
        <f>IF($L58&gt;S$5,MAX(0,S$3+ROUND((S$9*($L58-S$5)),0)),IF($L58&gt;S$4,S$3,ROUND($L58*S$7,0)))</f>
        <v/>
      </c>
      <c r="I58" s="448">
        <f>IF($L58&gt;T$5,MAX(0,T$3+ROUND((T$9*($L58-T$5)),0)),IF($L58&gt;T$4,T$3,ROUND($L58*T$7,0)))</f>
        <v/>
      </c>
      <c r="J58" s="447">
        <f>IF($L58&gt;U$5,MAX(0,U$3+ROUND((U$9*($L58-U$5)),0)),IF($L58&gt;U$4,U$3,ROUND($L58*U$7,0)))</f>
        <v/>
      </c>
      <c r="K58" s="422" t="n"/>
      <c r="L58" s="448">
        <f>ROUND((A58+B58)/2,2)</f>
        <v/>
      </c>
    </row>
    <row r="59" ht="13.5" customHeight="1" s="7635">
      <c r="A59" s="448" t="n">
        <v>2800</v>
      </c>
      <c r="B59" s="447" t="n">
        <v>2850</v>
      </c>
      <c r="C59" s="1378">
        <f>IF($L59&gt;N$5,MAX(0,N$3+ROUND((N$9*($L59-N$5)),0)),IF($L59&gt;N$4,N$3,ROUND($L59*N$7,0)))</f>
        <v/>
      </c>
      <c r="D59" s="448">
        <f>IF($L59&gt;O$5,MAX(0,O$3+ROUND((O$9*($L59-O$5)),0)),IF($L59&gt;O$4,O$3,ROUND($L59*O$7,0)))</f>
        <v/>
      </c>
      <c r="E59" s="448">
        <f>IF($L59&gt;P$5,MAX(0,P$3+ROUND((P$9*($L59-P$5)),0)),IF($L59&gt;P$4,P$3,ROUND($L59*P$7,0)))</f>
        <v/>
      </c>
      <c r="F59" s="447">
        <f>IF($L59&gt;Q$5,MAX(0,Q$3+ROUND((Q$9*($L59-Q$5)),0)),IF($L59&gt;Q$4,Q$3,ROUND($L59*Q$7,0)))</f>
        <v/>
      </c>
      <c r="G59" s="1378">
        <f>IF($L59&gt;R$5,MAX(0,R$3+ROUND((R$9*($L59-R$5)),0)),IF($L59&gt;R$4,R$3,ROUND($L59*R$7,0)))</f>
        <v/>
      </c>
      <c r="H59" s="448">
        <f>IF($L59&gt;S$5,MAX(0,S$3+ROUND((S$9*($L59-S$5)),0)),IF($L59&gt;S$4,S$3,ROUND($L59*S$7,0)))</f>
        <v/>
      </c>
      <c r="I59" s="448">
        <f>IF($L59&gt;T$5,MAX(0,T$3+ROUND((T$9*($L59-T$5)),0)),IF($L59&gt;T$4,T$3,ROUND($L59*T$7,0)))</f>
        <v/>
      </c>
      <c r="J59" s="447">
        <f>IF($L59&gt;U$5,MAX(0,U$3+ROUND((U$9*($L59-U$5)),0)),IF($L59&gt;U$4,U$3,ROUND($L59*U$7,0)))</f>
        <v/>
      </c>
      <c r="K59" s="422" t="n"/>
      <c r="L59" s="448">
        <f>ROUND((A59+B59)/2,2)</f>
        <v/>
      </c>
    </row>
    <row r="60" ht="13.5" customHeight="1" s="7635">
      <c r="A60" s="448" t="n">
        <v>2850</v>
      </c>
      <c r="B60" s="447" t="n">
        <v>2900</v>
      </c>
      <c r="C60" s="1378">
        <f>IF($L60&gt;N$5,MAX(0,N$3+ROUND((N$9*($L60-N$5)),0)),IF($L60&gt;N$4,N$3,ROUND($L60*N$7,0)))</f>
        <v/>
      </c>
      <c r="D60" s="448">
        <f>IF($L60&gt;O$5,MAX(0,O$3+ROUND((O$9*($L60-O$5)),0)),IF($L60&gt;O$4,O$3,ROUND($L60*O$7,0)))</f>
        <v/>
      </c>
      <c r="E60" s="448">
        <f>IF($L60&gt;P$5,MAX(0,P$3+ROUND((P$9*($L60-P$5)),0)),IF($L60&gt;P$4,P$3,ROUND($L60*P$7,0)))</f>
        <v/>
      </c>
      <c r="F60" s="447">
        <f>IF($L60&gt;Q$5,MAX(0,Q$3+ROUND((Q$9*($L60-Q$5)),0)),IF($L60&gt;Q$4,Q$3,ROUND($L60*Q$7,0)))</f>
        <v/>
      </c>
      <c r="G60" s="1378">
        <f>IF($L60&gt;R$5,MAX(0,R$3+ROUND((R$9*($L60-R$5)),0)),IF($L60&gt;R$4,R$3,ROUND($L60*R$7,0)))</f>
        <v/>
      </c>
      <c r="H60" s="448">
        <f>IF($L60&gt;S$5,MAX(0,S$3+ROUND((S$9*($L60-S$5)),0)),IF($L60&gt;S$4,S$3,ROUND($L60*S$7,0)))</f>
        <v/>
      </c>
      <c r="I60" s="448">
        <f>IF($L60&gt;T$5,MAX(0,T$3+ROUND((T$9*($L60-T$5)),0)),IF($L60&gt;T$4,T$3,ROUND($L60*T$7,0)))</f>
        <v/>
      </c>
      <c r="J60" s="447">
        <f>IF($L60&gt;U$5,MAX(0,U$3+ROUND((U$9*($L60-U$5)),0)),IF($L60&gt;U$4,U$3,ROUND($L60*U$7,0)))</f>
        <v/>
      </c>
      <c r="K60" s="422" t="n"/>
      <c r="L60" s="448">
        <f>ROUND((A60+B60)/2,2)</f>
        <v/>
      </c>
    </row>
    <row r="61" ht="13.5" customHeight="1" s="7635">
      <c r="A61" s="448" t="n">
        <v>2900</v>
      </c>
      <c r="B61" s="447" t="n">
        <v>2950</v>
      </c>
      <c r="C61" s="1378">
        <f>IF($L61&gt;N$5,MAX(0,N$3+ROUND((N$9*($L61-N$5)),0)),IF($L61&gt;N$4,N$3,ROUND($L61*N$7,0)))</f>
        <v/>
      </c>
      <c r="D61" s="448">
        <f>IF($L61&gt;O$5,MAX(0,O$3+ROUND((O$9*($L61-O$5)),0)),IF($L61&gt;O$4,O$3,ROUND($L61*O$7,0)))</f>
        <v/>
      </c>
      <c r="E61" s="448">
        <f>IF($L61&gt;P$5,MAX(0,P$3+ROUND((P$9*($L61-P$5)),0)),IF($L61&gt;P$4,P$3,ROUND($L61*P$7,0)))</f>
        <v/>
      </c>
      <c r="F61" s="447">
        <f>IF($L61&gt;Q$5,MAX(0,Q$3+ROUND((Q$9*($L61-Q$5)),0)),IF($L61&gt;Q$4,Q$3,ROUND($L61*Q$7,0)))</f>
        <v/>
      </c>
      <c r="G61" s="1378">
        <f>IF($L61&gt;R$5,MAX(0,R$3+ROUND((R$9*($L61-R$5)),0)),IF($L61&gt;R$4,R$3,ROUND($L61*R$7,0)))</f>
        <v/>
      </c>
      <c r="H61" s="448">
        <f>IF($L61&gt;S$5,MAX(0,S$3+ROUND((S$9*($L61-S$5)),0)),IF($L61&gt;S$4,S$3,ROUND($L61*S$7,0)))</f>
        <v/>
      </c>
      <c r="I61" s="448">
        <f>IF($L61&gt;T$5,MAX(0,T$3+ROUND((T$9*($L61-T$5)),0)),IF($L61&gt;T$4,T$3,ROUND($L61*T$7,0)))</f>
        <v/>
      </c>
      <c r="J61" s="447">
        <f>IF($L61&gt;U$5,MAX(0,U$3+ROUND((U$9*($L61-U$5)),0)),IF($L61&gt;U$4,U$3,ROUND($L61*U$7,0)))</f>
        <v/>
      </c>
      <c r="K61" s="422" t="n"/>
      <c r="L61" s="448">
        <f>ROUND((A61+B61)/2,2)</f>
        <v/>
      </c>
    </row>
    <row r="62" ht="13.5" customHeight="1" s="7635">
      <c r="A62" s="448" t="n">
        <v>2950</v>
      </c>
      <c r="B62" s="447" t="n">
        <v>3000</v>
      </c>
      <c r="C62" s="1378">
        <f>IF($L62&gt;N$5,MAX(0,N$3+ROUND((N$9*($L62-N$5)),0)),IF($L62&gt;N$4,N$3,ROUND($L62*N$7,0)))</f>
        <v/>
      </c>
      <c r="D62" s="448">
        <f>IF($L62&gt;O$5,MAX(0,O$3+ROUND((O$9*($L62-O$5)),0)),IF($L62&gt;O$4,O$3,ROUND($L62*O$7,0)))</f>
        <v/>
      </c>
      <c r="E62" s="448">
        <f>IF($L62&gt;P$5,MAX(0,P$3+ROUND((P$9*($L62-P$5)),0)),IF($L62&gt;P$4,P$3,ROUND($L62*P$7,0)))</f>
        <v/>
      </c>
      <c r="F62" s="447">
        <f>IF($L62&gt;Q$5,MAX(0,Q$3+ROUND((Q$9*($L62-Q$5)),0)),IF($L62&gt;Q$4,Q$3,ROUND($L62*Q$7,0)))</f>
        <v/>
      </c>
      <c r="G62" s="1378">
        <f>IF($L62&gt;R$5,MAX(0,R$3+ROUND((R$9*($L62-R$5)),0)),IF($L62&gt;R$4,R$3,ROUND($L62*R$7,0)))</f>
        <v/>
      </c>
      <c r="H62" s="448">
        <f>IF($L62&gt;S$5,MAX(0,S$3+ROUND((S$9*($L62-S$5)),0)),IF($L62&gt;S$4,S$3,ROUND($L62*S$7,0)))</f>
        <v/>
      </c>
      <c r="I62" s="448">
        <f>IF($L62&gt;T$5,MAX(0,T$3+ROUND((T$9*($L62-T$5)),0)),IF($L62&gt;T$4,T$3,ROUND($L62*T$7,0)))</f>
        <v/>
      </c>
      <c r="J62" s="447">
        <f>IF($L62&gt;U$5,MAX(0,U$3+ROUND((U$9*($L62-U$5)),0)),IF($L62&gt;U$4,U$3,ROUND($L62*U$7,0)))</f>
        <v/>
      </c>
      <c r="K62" s="422" t="n"/>
      <c r="L62" s="448">
        <f>ROUND((A62+B62)/2,2)</f>
        <v/>
      </c>
    </row>
    <row r="63" ht="13.5" customHeight="1" s="7635">
      <c r="A63" s="448" t="n">
        <v>3000</v>
      </c>
      <c r="B63" s="447" t="n">
        <v>3050</v>
      </c>
      <c r="C63" s="1378">
        <f>IF($L63&gt;N$5,MAX(0,N$3+ROUND((N$9*($L63-N$5)),0)),IF($L63&gt;N$4,N$3,ROUND($L63*N$7,0)))</f>
        <v/>
      </c>
      <c r="D63" s="448">
        <f>IF($L63&gt;O$5,MAX(0,O$3+ROUND((O$9*($L63-O$5)),0)),IF($L63&gt;O$4,O$3,ROUND($L63*O$7,0)))</f>
        <v/>
      </c>
      <c r="E63" s="448">
        <f>IF($L63&gt;P$5,MAX(0,P$3+ROUND((P$9*($L63-P$5)),0)),IF($L63&gt;P$4,P$3,ROUND($L63*P$7,0)))</f>
        <v/>
      </c>
      <c r="F63" s="447">
        <f>IF($L63&gt;Q$5,MAX(0,Q$3+ROUND((Q$9*($L63-Q$5)),0)),IF($L63&gt;Q$4,Q$3,ROUND($L63*Q$7,0)))</f>
        <v/>
      </c>
      <c r="G63" s="1378">
        <f>IF($L63&gt;R$5,MAX(0,R$3+ROUND((R$9*($L63-R$5)),0)),IF($L63&gt;R$4,R$3,ROUND($L63*R$7,0)))</f>
        <v/>
      </c>
      <c r="H63" s="448">
        <f>IF($L63&gt;S$5,MAX(0,S$3+ROUND((S$9*($L63-S$5)),0)),IF($L63&gt;S$4,S$3,ROUND($L63*S$7,0)))</f>
        <v/>
      </c>
      <c r="I63" s="448">
        <f>IF($L63&gt;T$5,MAX(0,T$3+ROUND((T$9*($L63-T$5)),0)),IF($L63&gt;T$4,T$3,ROUND($L63*T$7,0)))</f>
        <v/>
      </c>
      <c r="J63" s="447">
        <f>IF($L63&gt;U$5,MAX(0,U$3+ROUND((U$9*($L63-U$5)),0)),IF($L63&gt;U$4,U$3,ROUND($L63*U$7,0)))</f>
        <v/>
      </c>
      <c r="K63" s="422" t="n"/>
      <c r="L63" s="448">
        <f>ROUND((A63+B63)/2,2)</f>
        <v/>
      </c>
    </row>
    <row r="64" ht="13.5" customHeight="1" s="7635">
      <c r="A64" s="448" t="n">
        <v>3050</v>
      </c>
      <c r="B64" s="447" t="n">
        <v>3100</v>
      </c>
      <c r="C64" s="1378">
        <f>IF($L64&gt;N$5,MAX(0,N$3+ROUND((N$9*($L64-N$5)),0)),IF($L64&gt;N$4,N$3,ROUND($L64*N$7,0)))</f>
        <v/>
      </c>
      <c r="D64" s="448">
        <f>IF($L64&gt;O$5,MAX(0,O$3+ROUND((O$9*($L64-O$5)),0)),IF($L64&gt;O$4,O$3,ROUND($L64*O$7,0)))</f>
        <v/>
      </c>
      <c r="E64" s="448">
        <f>IF($L64&gt;P$5,MAX(0,P$3+ROUND((P$9*($L64-P$5)),0)),IF($L64&gt;P$4,P$3,ROUND($L64*P$7,0)))</f>
        <v/>
      </c>
      <c r="F64" s="447">
        <f>IF($L64&gt;Q$5,MAX(0,Q$3+ROUND((Q$9*($L64-Q$5)),0)),IF($L64&gt;Q$4,Q$3,ROUND($L64*Q$7,0)))</f>
        <v/>
      </c>
      <c r="G64" s="1378">
        <f>IF($L64&gt;R$5,MAX(0,R$3+ROUND((R$9*($L64-R$5)),0)),IF($L64&gt;R$4,R$3,ROUND($L64*R$7,0)))</f>
        <v/>
      </c>
      <c r="H64" s="448">
        <f>IF($L64&gt;S$5,MAX(0,S$3+ROUND((S$9*($L64-S$5)),0)),IF($L64&gt;S$4,S$3,ROUND($L64*S$7,0)))</f>
        <v/>
      </c>
      <c r="I64" s="448">
        <f>IF($L64&gt;T$5,MAX(0,T$3+ROUND((T$9*($L64-T$5)),0)),IF($L64&gt;T$4,T$3,ROUND($L64*T$7,0)))</f>
        <v/>
      </c>
      <c r="J64" s="447">
        <f>IF($L64&gt;U$5,MAX(0,U$3+ROUND((U$9*($L64-U$5)),0)),IF($L64&gt;U$4,U$3,ROUND($L64*U$7,0)))</f>
        <v/>
      </c>
      <c r="K64" s="422" t="n"/>
      <c r="L64" s="448">
        <f>ROUND((A64+B64)/2,2)</f>
        <v/>
      </c>
    </row>
    <row r="65" ht="13.5" customHeight="1" s="7635">
      <c r="A65" s="448" t="n">
        <v>3100</v>
      </c>
      <c r="B65" s="447" t="n">
        <v>3150</v>
      </c>
      <c r="C65" s="1378">
        <f>IF($L65&gt;N$5,MAX(0,N$3+ROUND((N$9*($L65-N$5)),0)),IF($L65&gt;N$4,N$3,ROUND($L65*N$7,0)))</f>
        <v/>
      </c>
      <c r="D65" s="448">
        <f>IF($L65&gt;O$5,MAX(0,O$3+ROUND((O$9*($L65-O$5)),0)),IF($L65&gt;O$4,O$3,ROUND($L65*O$7,0)))</f>
        <v/>
      </c>
      <c r="E65" s="448">
        <f>IF($L65&gt;P$5,MAX(0,P$3+ROUND((P$9*($L65-P$5)),0)),IF($L65&gt;P$4,P$3,ROUND($L65*P$7,0)))</f>
        <v/>
      </c>
      <c r="F65" s="447">
        <f>IF($L65&gt;Q$5,MAX(0,Q$3+ROUND((Q$9*($L65-Q$5)),0)),IF($L65&gt;Q$4,Q$3,ROUND($L65*Q$7,0)))</f>
        <v/>
      </c>
      <c r="G65" s="1378">
        <f>IF($L65&gt;R$5,MAX(0,R$3+ROUND((R$9*($L65-R$5)),0)),IF($L65&gt;R$4,R$3,ROUND($L65*R$7,0)))</f>
        <v/>
      </c>
      <c r="H65" s="448">
        <f>IF($L65&gt;S$5,MAX(0,S$3+ROUND((S$9*($L65-S$5)),0)),IF($L65&gt;S$4,S$3,ROUND($L65*S$7,0)))</f>
        <v/>
      </c>
      <c r="I65" s="448">
        <f>IF($L65&gt;T$5,MAX(0,T$3+ROUND((T$9*($L65-T$5)),0)),IF($L65&gt;T$4,T$3,ROUND($L65*T$7,0)))</f>
        <v/>
      </c>
      <c r="J65" s="447">
        <f>IF($L65&gt;U$5,MAX(0,U$3+ROUND((U$9*($L65-U$5)),0)),IF($L65&gt;U$4,U$3,ROUND($L65*U$7,0)))</f>
        <v/>
      </c>
      <c r="K65" s="422" t="n"/>
      <c r="L65" s="448">
        <f>ROUND((A65+B65)/2,2)</f>
        <v/>
      </c>
    </row>
    <row r="66" ht="13.5" customHeight="1" s="7635">
      <c r="A66" s="448" t="n">
        <v>3150</v>
      </c>
      <c r="B66" s="447" t="n">
        <v>3200</v>
      </c>
      <c r="C66" s="1378">
        <f>IF($L66&gt;N$5,MAX(0,N$3+ROUND((N$9*($L66-N$5)),0)),IF($L66&gt;N$4,N$3,ROUND($L66*N$7,0)))</f>
        <v/>
      </c>
      <c r="D66" s="448">
        <f>IF($L66&gt;O$5,MAX(0,O$3+ROUND((O$9*($L66-O$5)),0)),IF($L66&gt;O$4,O$3,ROUND($L66*O$7,0)))</f>
        <v/>
      </c>
      <c r="E66" s="448">
        <f>IF($L66&gt;P$5,MAX(0,P$3+ROUND((P$9*($L66-P$5)),0)),IF($L66&gt;P$4,P$3,ROUND($L66*P$7,0)))</f>
        <v/>
      </c>
      <c r="F66" s="447">
        <f>IF($L66&gt;Q$5,MAX(0,Q$3+ROUND((Q$9*($L66-Q$5)),0)),IF($L66&gt;Q$4,Q$3,ROUND($L66*Q$7,0)))</f>
        <v/>
      </c>
      <c r="G66" s="1378">
        <f>IF($L66&gt;R$5,MAX(0,R$3+ROUND((R$9*($L66-R$5)),0)),IF($L66&gt;R$4,R$3,ROUND($L66*R$7,0)))</f>
        <v/>
      </c>
      <c r="H66" s="448">
        <f>IF($L66&gt;S$5,MAX(0,S$3+ROUND((S$9*($L66-S$5)),0)),IF($L66&gt;S$4,S$3,ROUND($L66*S$7,0)))</f>
        <v/>
      </c>
      <c r="I66" s="448">
        <f>IF($L66&gt;T$5,MAX(0,T$3+ROUND((T$9*($L66-T$5)),0)),IF($L66&gt;T$4,T$3,ROUND($L66*T$7,0)))</f>
        <v/>
      </c>
      <c r="J66" s="447">
        <f>IF($L66&gt;U$5,MAX(0,U$3+ROUND((U$9*($L66-U$5)),0)),IF($L66&gt;U$4,U$3,ROUND($L66*U$7,0)))</f>
        <v/>
      </c>
      <c r="K66" s="422" t="n"/>
      <c r="L66" s="448">
        <f>ROUND((A66+B66)/2,2)</f>
        <v/>
      </c>
    </row>
    <row r="67" ht="13.5" customHeight="1" s="7635">
      <c r="A67" s="448" t="n">
        <v>3200</v>
      </c>
      <c r="B67" s="447" t="n">
        <v>3250</v>
      </c>
      <c r="C67" s="1378">
        <f>IF($L67&gt;N$5,MAX(0,N$3+ROUND((N$9*($L67-N$5)),0)),IF($L67&gt;N$4,N$3,ROUND($L67*N$7,0)))</f>
        <v/>
      </c>
      <c r="D67" s="448">
        <f>IF($L67&gt;O$5,MAX(0,O$3+ROUND((O$9*($L67-O$5)),0)),IF($L67&gt;O$4,O$3,ROUND($L67*O$7,0)))</f>
        <v/>
      </c>
      <c r="E67" s="448">
        <f>IF($L67&gt;P$5,MAX(0,P$3+ROUND((P$9*($L67-P$5)),0)),IF($L67&gt;P$4,P$3,ROUND($L67*P$7,0)))</f>
        <v/>
      </c>
      <c r="F67" s="447">
        <f>IF($L67&gt;Q$5,MAX(0,Q$3+ROUND((Q$9*($L67-Q$5)),0)),IF($L67&gt;Q$4,Q$3,ROUND($L67*Q$7,0)))</f>
        <v/>
      </c>
      <c r="G67" s="1378">
        <f>IF($L67&gt;R$5,MAX(0,R$3+ROUND((R$9*($L67-R$5)),0)),IF($L67&gt;R$4,R$3,ROUND($L67*R$7,0)))</f>
        <v/>
      </c>
      <c r="H67" s="448">
        <f>IF($L67&gt;S$5,MAX(0,S$3+ROUND((S$9*($L67-S$5)),0)),IF($L67&gt;S$4,S$3,ROUND($L67*S$7,0)))</f>
        <v/>
      </c>
      <c r="I67" s="448">
        <f>IF($L67&gt;T$5,MAX(0,T$3+ROUND((T$9*($L67-T$5)),0)),IF($L67&gt;T$4,T$3,ROUND($L67*T$7,0)))</f>
        <v/>
      </c>
      <c r="J67" s="447">
        <f>IF($L67&gt;U$5,MAX(0,U$3+ROUND((U$9*($L67-U$5)),0)),IF($L67&gt;U$4,U$3,ROUND($L67*U$7,0)))</f>
        <v/>
      </c>
      <c r="K67" s="422" t="n"/>
      <c r="L67" s="448">
        <f>ROUND((A67+B67)/2,2)</f>
        <v/>
      </c>
    </row>
    <row r="68" ht="13.5" customHeight="1" s="7635">
      <c r="A68" s="448" t="n">
        <v>3250</v>
      </c>
      <c r="B68" s="447" t="n">
        <v>3300</v>
      </c>
      <c r="C68" s="1378">
        <f>IF($L68&gt;N$5,MAX(0,N$3+ROUND((N$9*($L68-N$5)),0)),IF($L68&gt;N$4,N$3,ROUND($L68*N$7,0)))</f>
        <v/>
      </c>
      <c r="D68" s="448">
        <f>IF($L68&gt;O$5,MAX(0,O$3+ROUND((O$9*($L68-O$5)),0)),IF($L68&gt;O$4,O$3,ROUND($L68*O$7,0)))</f>
        <v/>
      </c>
      <c r="E68" s="448">
        <f>IF($L68&gt;P$5,MAX(0,P$3+ROUND((P$9*($L68-P$5)),0)),IF($L68&gt;P$4,P$3,ROUND($L68*P$7,0)))</f>
        <v/>
      </c>
      <c r="F68" s="447">
        <f>IF($L68&gt;Q$5,MAX(0,Q$3+ROUND((Q$9*($L68-Q$5)),0)),IF($L68&gt;Q$4,Q$3,ROUND($L68*Q$7,0)))</f>
        <v/>
      </c>
      <c r="G68" s="1378">
        <f>IF($L68&gt;R$5,MAX(0,R$3+ROUND((R$9*($L68-R$5)),0)),IF($L68&gt;R$4,R$3,ROUND($L68*R$7,0)))</f>
        <v/>
      </c>
      <c r="H68" s="448">
        <f>IF($L68&gt;S$5,MAX(0,S$3+ROUND((S$9*($L68-S$5)),0)),IF($L68&gt;S$4,S$3,ROUND($L68*S$7,0)))</f>
        <v/>
      </c>
      <c r="I68" s="448">
        <f>IF($L68&gt;T$5,MAX(0,T$3+ROUND((T$9*($L68-T$5)),0)),IF($L68&gt;T$4,T$3,ROUND($L68*T$7,0)))</f>
        <v/>
      </c>
      <c r="J68" s="447">
        <f>IF($L68&gt;U$5,MAX(0,U$3+ROUND((U$9*($L68-U$5)),0)),IF($L68&gt;U$4,U$3,ROUND($L68*U$7,0)))</f>
        <v/>
      </c>
      <c r="K68" s="422" t="n"/>
      <c r="L68" s="448">
        <f>ROUND((A68+B68)/2,2)</f>
        <v/>
      </c>
    </row>
    <row r="69" ht="13.5" customHeight="1" s="7635">
      <c r="A69" s="448" t="n">
        <v>3300</v>
      </c>
      <c r="B69" s="447" t="n">
        <v>3350</v>
      </c>
      <c r="C69" s="1378">
        <f>IF($L69&gt;N$5,MAX(0,N$3+ROUND((N$9*($L69-N$5)),0)),IF($L69&gt;N$4,N$3,ROUND($L69*N$7,0)))</f>
        <v/>
      </c>
      <c r="D69" s="448">
        <f>IF($L69&gt;O$5,MAX(0,O$3+ROUND((O$9*($L69-O$5)),0)),IF($L69&gt;O$4,O$3,ROUND($L69*O$7,0)))</f>
        <v/>
      </c>
      <c r="E69" s="448">
        <f>IF($L69&gt;P$5,MAX(0,P$3+ROUND((P$9*($L69-P$5)),0)),IF($L69&gt;P$4,P$3,ROUND($L69*P$7,0)))</f>
        <v/>
      </c>
      <c r="F69" s="447">
        <f>IF($L69&gt;Q$5,MAX(0,Q$3+ROUND((Q$9*($L69-Q$5)),0)),IF($L69&gt;Q$4,Q$3,ROUND($L69*Q$7,0)))</f>
        <v/>
      </c>
      <c r="G69" s="1378">
        <f>IF($L69&gt;R$5,MAX(0,R$3+ROUND((R$9*($L69-R$5)),0)),IF($L69&gt;R$4,R$3,ROUND($L69*R$7,0)))</f>
        <v/>
      </c>
      <c r="H69" s="448">
        <f>IF($L69&gt;S$5,MAX(0,S$3+ROUND((S$9*($L69-S$5)),0)),IF($L69&gt;S$4,S$3,ROUND($L69*S$7,0)))</f>
        <v/>
      </c>
      <c r="I69" s="448">
        <f>IF($L69&gt;T$5,MAX(0,T$3+ROUND((T$9*($L69-T$5)),0)),IF($L69&gt;T$4,T$3,ROUND($L69*T$7,0)))</f>
        <v/>
      </c>
      <c r="J69" s="447">
        <f>IF($L69&gt;U$5,MAX(0,U$3+ROUND((U$9*($L69-U$5)),0)),IF($L69&gt;U$4,U$3,ROUND($L69*U$7,0)))</f>
        <v/>
      </c>
      <c r="K69" s="422" t="n"/>
      <c r="L69" s="448">
        <f>ROUND((A69+B69)/2,2)</f>
        <v/>
      </c>
    </row>
    <row r="70" ht="13.5" customHeight="1" s="7635">
      <c r="A70" s="448" t="n">
        <v>3350</v>
      </c>
      <c r="B70" s="447" t="n">
        <v>3400</v>
      </c>
      <c r="C70" s="1378">
        <f>IF($L70&gt;N$5,MAX(0,N$3+ROUND((N$9*($L70-N$5)),0)),IF($L70&gt;N$4,N$3,ROUND($L70*N$7,0)))</f>
        <v/>
      </c>
      <c r="D70" s="448">
        <f>IF($L70&gt;O$5,MAX(0,O$3+ROUND((O$9*($L70-O$5)),0)),IF($L70&gt;O$4,O$3,ROUND($L70*O$7,0)))</f>
        <v/>
      </c>
      <c r="E70" s="448">
        <f>IF($L70&gt;P$5,MAX(0,P$3+ROUND((P$9*($L70-P$5)),0)),IF($L70&gt;P$4,P$3,ROUND($L70*P$7,0)))</f>
        <v/>
      </c>
      <c r="F70" s="447">
        <f>IF($L70&gt;Q$5,MAX(0,Q$3+ROUND((Q$9*($L70-Q$5)),0)),IF($L70&gt;Q$4,Q$3,ROUND($L70*Q$7,0)))</f>
        <v/>
      </c>
      <c r="G70" s="1378">
        <f>IF($L70&gt;R$5,MAX(0,R$3+ROUND((R$9*($L70-R$5)),0)),IF($L70&gt;R$4,R$3,ROUND($L70*R$7,0)))</f>
        <v/>
      </c>
      <c r="H70" s="448">
        <f>IF($L70&gt;S$5,MAX(0,S$3+ROUND((S$9*($L70-S$5)),0)),IF($L70&gt;S$4,S$3,ROUND($L70*S$7,0)))</f>
        <v/>
      </c>
      <c r="I70" s="448">
        <f>IF($L70&gt;T$5,MAX(0,T$3+ROUND((T$9*($L70-T$5)),0)),IF($L70&gt;T$4,T$3,ROUND($L70*T$7,0)))</f>
        <v/>
      </c>
      <c r="J70" s="447">
        <f>IF($L70&gt;U$5,MAX(0,U$3+ROUND((U$9*($L70-U$5)),0)),IF($L70&gt;U$4,U$3,ROUND($L70*U$7,0)))</f>
        <v/>
      </c>
      <c r="K70" s="422" t="n"/>
      <c r="L70" s="448">
        <f>ROUND((A70+B70)/2,2)</f>
        <v/>
      </c>
    </row>
    <row r="71" ht="13.5" customHeight="1" s="7635">
      <c r="A71" s="448" t="n">
        <v>3400</v>
      </c>
      <c r="B71" s="447" t="n">
        <v>3450</v>
      </c>
      <c r="C71" s="1378">
        <f>IF($L71&gt;N$5,MAX(0,N$3+ROUND((N$9*($L71-N$5)),0)),IF($L71&gt;N$4,N$3,ROUND($L71*N$7,0)))</f>
        <v/>
      </c>
      <c r="D71" s="448">
        <f>IF($L71&gt;O$5,MAX(0,O$3+ROUND((O$9*($L71-O$5)),0)),IF($L71&gt;O$4,O$3,ROUND($L71*O$7,0)))</f>
        <v/>
      </c>
      <c r="E71" s="448">
        <f>IF($L71&gt;P$5,MAX(0,P$3+ROUND((P$9*($L71-P$5)),0)),IF($L71&gt;P$4,P$3,ROUND($L71*P$7,0)))</f>
        <v/>
      </c>
      <c r="F71" s="447">
        <f>IF($L71&gt;Q$5,MAX(0,Q$3+ROUND((Q$9*($L71-Q$5)),0)),IF($L71&gt;Q$4,Q$3,ROUND($L71*Q$7,0)))</f>
        <v/>
      </c>
      <c r="G71" s="1378">
        <f>IF($L71&gt;R$5,MAX(0,R$3+ROUND((R$9*($L71-R$5)),0)),IF($L71&gt;R$4,R$3,ROUND($L71*R$7,0)))</f>
        <v/>
      </c>
      <c r="H71" s="448">
        <f>IF($L71&gt;S$5,MAX(0,S$3+ROUND((S$9*($L71-S$5)),0)),IF($L71&gt;S$4,S$3,ROUND($L71*S$7,0)))</f>
        <v/>
      </c>
      <c r="I71" s="448">
        <f>IF($L71&gt;T$5,MAX(0,T$3+ROUND((T$9*($L71-T$5)),0)),IF($L71&gt;T$4,T$3,ROUND($L71*T$7,0)))</f>
        <v/>
      </c>
      <c r="J71" s="447">
        <f>IF($L71&gt;U$5,MAX(0,U$3+ROUND((U$9*($L71-U$5)),0)),IF($L71&gt;U$4,U$3,ROUND($L71*U$7,0)))</f>
        <v/>
      </c>
      <c r="K71" s="422" t="n"/>
      <c r="L71" s="448">
        <f>ROUND((A71+B71)/2,2)</f>
        <v/>
      </c>
    </row>
    <row r="72" ht="13.5" customHeight="1" s="7635">
      <c r="A72" s="448" t="n">
        <v>3450</v>
      </c>
      <c r="B72" s="447" t="n">
        <v>3500</v>
      </c>
      <c r="C72" s="1378">
        <f>IF($L72&gt;N$5,MAX(0,N$3+ROUND((N$9*($L72-N$5)),0)),IF($L72&gt;N$4,N$3,ROUND($L72*N$7,0)))</f>
        <v/>
      </c>
      <c r="D72" s="448">
        <f>IF($L72&gt;O$5,MAX(0,O$3+ROUND((O$9*($L72-O$5)),0)),IF($L72&gt;O$4,O$3,ROUND($L72*O$7,0)))</f>
        <v/>
      </c>
      <c r="E72" s="448">
        <f>IF($L72&gt;P$5,MAX(0,P$3+ROUND((P$9*($L72-P$5)),0)),IF($L72&gt;P$4,P$3,ROUND($L72*P$7,0)))</f>
        <v/>
      </c>
      <c r="F72" s="447">
        <f>IF($L72&gt;Q$5,MAX(0,Q$3+ROUND((Q$9*($L72-Q$5)),0)),IF($L72&gt;Q$4,Q$3,ROUND($L72*Q$7,0)))</f>
        <v/>
      </c>
      <c r="G72" s="1378">
        <f>IF($L72&gt;R$5,MAX(0,R$3+ROUND((R$9*($L72-R$5)),0)),IF($L72&gt;R$4,R$3,ROUND($L72*R$7,0)))</f>
        <v/>
      </c>
      <c r="H72" s="448">
        <f>IF($L72&gt;S$5,MAX(0,S$3+ROUND((S$9*($L72-S$5)),0)),IF($L72&gt;S$4,S$3,ROUND($L72*S$7,0)))</f>
        <v/>
      </c>
      <c r="I72" s="448">
        <f>IF($L72&gt;T$5,MAX(0,T$3+ROUND((T$9*($L72-T$5)),0)),IF($L72&gt;T$4,T$3,ROUND($L72*T$7,0)))</f>
        <v/>
      </c>
      <c r="J72" s="447">
        <f>IF($L72&gt;U$5,MAX(0,U$3+ROUND((U$9*($L72-U$5)),0)),IF($L72&gt;U$4,U$3,ROUND($L72*U$7,0)))</f>
        <v/>
      </c>
      <c r="K72" s="422" t="n"/>
      <c r="L72" s="448">
        <f>ROUND((A72+B72)/2,2)</f>
        <v/>
      </c>
    </row>
    <row r="73" ht="13.5" customHeight="1" s="7635">
      <c r="A73" s="448" t="n">
        <v>3500</v>
      </c>
      <c r="B73" s="447" t="n">
        <v>3550</v>
      </c>
      <c r="C73" s="1378">
        <f>IF($L73&gt;N$5,MAX(0,N$3+ROUND((N$9*($L73-N$5)),0)),IF($L73&gt;N$4,N$3,ROUND($L73*N$7,0)))</f>
        <v/>
      </c>
      <c r="D73" s="448">
        <f>IF($L73&gt;O$5,MAX(0,O$3+ROUND((O$9*($L73-O$5)),0)),IF($L73&gt;O$4,O$3,ROUND($L73*O$7,0)))</f>
        <v/>
      </c>
      <c r="E73" s="448">
        <f>IF($L73&gt;P$5,MAX(0,P$3+ROUND((P$9*($L73-P$5)),0)),IF($L73&gt;P$4,P$3,ROUND($L73*P$7,0)))</f>
        <v/>
      </c>
      <c r="F73" s="447">
        <f>IF($L73&gt;Q$5,MAX(0,Q$3+ROUND((Q$9*($L73-Q$5)),0)),IF($L73&gt;Q$4,Q$3,ROUND($L73*Q$7,0)))</f>
        <v/>
      </c>
      <c r="G73" s="1378">
        <f>IF($L73&gt;R$5,MAX(0,R$3+ROUND((R$9*($L73-R$5)),0)),IF($L73&gt;R$4,R$3,ROUND($L73*R$7,0)))</f>
        <v/>
      </c>
      <c r="H73" s="448">
        <f>IF($L73&gt;S$5,MAX(0,S$3+ROUND((S$9*($L73-S$5)),0)),IF($L73&gt;S$4,S$3,ROUND($L73*S$7,0)))</f>
        <v/>
      </c>
      <c r="I73" s="448">
        <f>IF($L73&gt;T$5,MAX(0,T$3+ROUND((T$9*($L73-T$5)),0)),IF($L73&gt;T$4,T$3,ROUND($L73*T$7,0)))</f>
        <v/>
      </c>
      <c r="J73" s="447">
        <f>IF($L73&gt;U$5,MAX(0,U$3+ROUND((U$9*($L73-U$5)),0)),IF($L73&gt;U$4,U$3,ROUND($L73*U$7,0)))</f>
        <v/>
      </c>
      <c r="K73" s="422" t="n"/>
      <c r="L73" s="448">
        <f>ROUND((A73+B73)/2,2)</f>
        <v/>
      </c>
    </row>
    <row r="74" ht="13.5" customHeight="1" s="7635">
      <c r="A74" s="448" t="n">
        <v>3550</v>
      </c>
      <c r="B74" s="447" t="n">
        <v>3600</v>
      </c>
      <c r="C74" s="1378">
        <f>IF($L74&gt;N$5,MAX(0,N$3+ROUND((N$9*($L74-N$5)),0)),IF($L74&gt;N$4,N$3,ROUND($L74*N$7,0)))</f>
        <v/>
      </c>
      <c r="D74" s="448">
        <f>IF($L74&gt;O$5,MAX(0,O$3+ROUND((O$9*($L74-O$5)),0)),IF($L74&gt;O$4,O$3,ROUND($L74*O$7,0)))</f>
        <v/>
      </c>
      <c r="E74" s="448">
        <f>IF($L74&gt;P$5,MAX(0,P$3+ROUND((P$9*($L74-P$5)),0)),IF($L74&gt;P$4,P$3,ROUND($L74*P$7,0)))</f>
        <v/>
      </c>
      <c r="F74" s="447">
        <f>IF($L74&gt;Q$5,MAX(0,Q$3+ROUND((Q$9*($L74-Q$5)),0)),IF($L74&gt;Q$4,Q$3,ROUND($L74*Q$7,0)))</f>
        <v/>
      </c>
      <c r="G74" s="1378">
        <f>IF($L74&gt;R$5,MAX(0,R$3+ROUND((R$9*($L74-R$5)),0)),IF($L74&gt;R$4,R$3,ROUND($L74*R$7,0)))</f>
        <v/>
      </c>
      <c r="H74" s="448">
        <f>IF($L74&gt;S$5,MAX(0,S$3+ROUND((S$9*($L74-S$5)),0)),IF($L74&gt;S$4,S$3,ROUND($L74*S$7,0)))</f>
        <v/>
      </c>
      <c r="I74" s="448">
        <f>IF($L74&gt;T$5,MAX(0,T$3+ROUND((T$9*($L74-T$5)),0)),IF($L74&gt;T$4,T$3,ROUND($L74*T$7,0)))</f>
        <v/>
      </c>
      <c r="J74" s="447">
        <f>IF($L74&gt;U$5,MAX(0,U$3+ROUND((U$9*($L74-U$5)),0)),IF($L74&gt;U$4,U$3,ROUND($L74*U$7,0)))</f>
        <v/>
      </c>
      <c r="K74" s="422" t="n"/>
      <c r="L74" s="448">
        <f>ROUND((A74+B74)/2,2)</f>
        <v/>
      </c>
    </row>
    <row r="75" ht="13.5" customHeight="1" s="7635">
      <c r="A75" s="448" t="n">
        <v>3600</v>
      </c>
      <c r="B75" s="447" t="n">
        <v>3650</v>
      </c>
      <c r="C75" s="1378">
        <f>IF($L75&gt;N$5,MAX(0,N$3+ROUND((N$9*($L75-N$5)),0)),IF($L75&gt;N$4,N$3,ROUND($L75*N$7,0)))</f>
        <v/>
      </c>
      <c r="D75" s="448">
        <f>IF($L75&gt;O$5,MAX(0,O$3+ROUND((O$9*($L75-O$5)),0)),IF($L75&gt;O$4,O$3,ROUND($L75*O$7,0)))</f>
        <v/>
      </c>
      <c r="E75" s="448">
        <f>IF($L75&gt;P$5,MAX(0,P$3+ROUND((P$9*($L75-P$5)),0)),IF($L75&gt;P$4,P$3,ROUND($L75*P$7,0)))</f>
        <v/>
      </c>
      <c r="F75" s="447">
        <f>IF($L75&gt;Q$5,MAX(0,Q$3+ROUND((Q$9*($L75-Q$5)),0)),IF($L75&gt;Q$4,Q$3,ROUND($L75*Q$7,0)))</f>
        <v/>
      </c>
      <c r="G75" s="1378">
        <f>IF($L75&gt;R$5,MAX(0,R$3+ROUND((R$9*($L75-R$5)),0)),IF($L75&gt;R$4,R$3,ROUND($L75*R$7,0)))</f>
        <v/>
      </c>
      <c r="H75" s="448">
        <f>IF($L75&gt;S$5,MAX(0,S$3+ROUND((S$9*($L75-S$5)),0)),IF($L75&gt;S$4,S$3,ROUND($L75*S$7,0)))</f>
        <v/>
      </c>
      <c r="I75" s="448">
        <f>IF($L75&gt;T$5,MAX(0,T$3+ROUND((T$9*($L75-T$5)),0)),IF($L75&gt;T$4,T$3,ROUND($L75*T$7,0)))</f>
        <v/>
      </c>
      <c r="J75" s="447">
        <f>IF($L75&gt;U$5,MAX(0,U$3+ROUND((U$9*($L75-U$5)),0)),IF($L75&gt;U$4,U$3,ROUND($L75*U$7,0)))</f>
        <v/>
      </c>
      <c r="K75" s="422" t="n"/>
      <c r="L75" s="448">
        <f>ROUND((A75+B75)/2,2)</f>
        <v/>
      </c>
    </row>
    <row r="76" ht="13.5" customHeight="1" s="7635">
      <c r="A76" s="448" t="n">
        <v>3650</v>
      </c>
      <c r="B76" s="447" t="n">
        <v>3700</v>
      </c>
      <c r="C76" s="1378">
        <f>IF($L76&gt;N$5,MAX(0,N$3+ROUND((N$9*($L76-N$5)),0)),IF($L76&gt;N$4,N$3,ROUND($L76*N$7,0)))</f>
        <v/>
      </c>
      <c r="D76" s="448">
        <f>IF($L76&gt;O$5,MAX(0,O$3+ROUND((O$9*($L76-O$5)),0)),IF($L76&gt;O$4,O$3,ROUND($L76*O$7,0)))</f>
        <v/>
      </c>
      <c r="E76" s="448">
        <f>IF($L76&gt;P$5,MAX(0,P$3+ROUND((P$9*($L76-P$5)),0)),IF($L76&gt;P$4,P$3,ROUND($L76*P$7,0)))</f>
        <v/>
      </c>
      <c r="F76" s="447">
        <f>IF($L76&gt;Q$5,MAX(0,Q$3+ROUND((Q$9*($L76-Q$5)),0)),IF($L76&gt;Q$4,Q$3,ROUND($L76*Q$7,0)))</f>
        <v/>
      </c>
      <c r="G76" s="1378">
        <f>IF($L76&gt;R$5,MAX(0,R$3+ROUND((R$9*($L76-R$5)),0)),IF($L76&gt;R$4,R$3,ROUND($L76*R$7,0)))</f>
        <v/>
      </c>
      <c r="H76" s="448">
        <f>IF($L76&gt;S$5,MAX(0,S$3+ROUND((S$9*($L76-S$5)),0)),IF($L76&gt;S$4,S$3,ROUND($L76*S$7,0)))</f>
        <v/>
      </c>
      <c r="I76" s="448">
        <f>IF($L76&gt;T$5,MAX(0,T$3+ROUND((T$9*($L76-T$5)),0)),IF($L76&gt;T$4,T$3,ROUND($L76*T$7,0)))</f>
        <v/>
      </c>
      <c r="J76" s="447">
        <f>IF($L76&gt;U$5,MAX(0,U$3+ROUND((U$9*($L76-U$5)),0)),IF($L76&gt;U$4,U$3,ROUND($L76*U$7,0)))</f>
        <v/>
      </c>
      <c r="K76" s="422" t="n"/>
      <c r="L76" s="448">
        <f>ROUND((A76+B76)/2,2)</f>
        <v/>
      </c>
    </row>
    <row r="77" ht="13.5" customHeight="1" s="7635">
      <c r="A77" s="448" t="n">
        <v>3700</v>
      </c>
      <c r="B77" s="447" t="n">
        <v>3750</v>
      </c>
      <c r="C77" s="1378">
        <f>IF($L77&gt;N$5,MAX(0,N$3+ROUND((N$9*($L77-N$5)),0)),IF($L77&gt;N$4,N$3,ROUND($L77*N$7,0)))</f>
        <v/>
      </c>
      <c r="D77" s="448">
        <f>IF($L77&gt;O$5,MAX(0,O$3+ROUND((O$9*($L77-O$5)),0)),IF($L77&gt;O$4,O$3,ROUND($L77*O$7,0)))</f>
        <v/>
      </c>
      <c r="E77" s="448">
        <f>IF($L77&gt;P$5,MAX(0,P$3+ROUND((P$9*($L77-P$5)),0)),IF($L77&gt;P$4,P$3,ROUND($L77*P$7,0)))</f>
        <v/>
      </c>
      <c r="F77" s="447">
        <f>IF($L77&gt;Q$5,MAX(0,Q$3+ROUND((Q$9*($L77-Q$5)),0)),IF($L77&gt;Q$4,Q$3,ROUND($L77*Q$7,0)))</f>
        <v/>
      </c>
      <c r="G77" s="1378">
        <f>IF($L77&gt;R$5,MAX(0,R$3+ROUND((R$9*($L77-R$5)),0)),IF($L77&gt;R$4,R$3,ROUND($L77*R$7,0)))</f>
        <v/>
      </c>
      <c r="H77" s="448">
        <f>IF($L77&gt;S$5,MAX(0,S$3+ROUND((S$9*($L77-S$5)),0)),IF($L77&gt;S$4,S$3,ROUND($L77*S$7,0)))</f>
        <v/>
      </c>
      <c r="I77" s="448">
        <f>IF($L77&gt;T$5,MAX(0,T$3+ROUND((T$9*($L77-T$5)),0)),IF($L77&gt;T$4,T$3,ROUND($L77*T$7,0)))</f>
        <v/>
      </c>
      <c r="J77" s="447">
        <f>IF($L77&gt;U$5,MAX(0,U$3+ROUND((U$9*($L77-U$5)),0)),IF($L77&gt;U$4,U$3,ROUND($L77*U$7,0)))</f>
        <v/>
      </c>
      <c r="K77" s="422" t="n"/>
      <c r="L77" s="448">
        <f>ROUND((A77+B77)/2,2)</f>
        <v/>
      </c>
    </row>
    <row r="78" ht="13.5" customHeight="1" s="7635">
      <c r="A78" s="448" t="n">
        <v>3750</v>
      </c>
      <c r="B78" s="447" t="n">
        <v>3800</v>
      </c>
      <c r="C78" s="1378">
        <f>IF($L78&gt;N$5,MAX(0,N$3+ROUND((N$9*($L78-N$5)),0)),IF($L78&gt;N$4,N$3,ROUND($L78*N$7,0)))</f>
        <v/>
      </c>
      <c r="D78" s="448">
        <f>IF($L78&gt;O$5,MAX(0,O$3+ROUND((O$9*($L78-O$5)),0)),IF($L78&gt;O$4,O$3,ROUND($L78*O$7,0)))</f>
        <v/>
      </c>
      <c r="E78" s="448">
        <f>IF($L78&gt;P$5,MAX(0,P$3+ROUND((P$9*($L78-P$5)),0)),IF($L78&gt;P$4,P$3,ROUND($L78*P$7,0)))</f>
        <v/>
      </c>
      <c r="F78" s="447">
        <f>IF($L78&gt;Q$5,MAX(0,Q$3+ROUND((Q$9*($L78-Q$5)),0)),IF($L78&gt;Q$4,Q$3,ROUND($L78*Q$7,0)))</f>
        <v/>
      </c>
      <c r="G78" s="1378">
        <f>IF($L78&gt;R$5,MAX(0,R$3+ROUND((R$9*($L78-R$5)),0)),IF($L78&gt;R$4,R$3,ROUND($L78*R$7,0)))</f>
        <v/>
      </c>
      <c r="H78" s="448">
        <f>IF($L78&gt;S$5,MAX(0,S$3+ROUND((S$9*($L78-S$5)),0)),IF($L78&gt;S$4,S$3,ROUND($L78*S$7,0)))</f>
        <v/>
      </c>
      <c r="I78" s="448">
        <f>IF($L78&gt;T$5,MAX(0,T$3+ROUND((T$9*($L78-T$5)),0)),IF($L78&gt;T$4,T$3,ROUND($L78*T$7,0)))</f>
        <v/>
      </c>
      <c r="J78" s="447">
        <f>IF($L78&gt;U$5,MAX(0,U$3+ROUND((U$9*($L78-U$5)),0)),IF($L78&gt;U$4,U$3,ROUND($L78*U$7,0)))</f>
        <v/>
      </c>
      <c r="K78" s="422" t="n"/>
      <c r="L78" s="448">
        <f>ROUND((A78+B78)/2,2)</f>
        <v/>
      </c>
    </row>
    <row r="79" ht="13.5" customHeight="1" s="7635">
      <c r="A79" s="448" t="n">
        <v>3800</v>
      </c>
      <c r="B79" s="447" t="n">
        <v>3850</v>
      </c>
      <c r="C79" s="1378">
        <f>IF($L79&gt;N$5,MAX(0,N$3+ROUND((N$9*($L79-N$5)),0)),IF($L79&gt;N$4,N$3,ROUND($L79*N$7,0)))</f>
        <v/>
      </c>
      <c r="D79" s="448">
        <f>IF($L79&gt;O$5,MAX(0,O$3+ROUND((O$9*($L79-O$5)),0)),IF($L79&gt;O$4,O$3,ROUND($L79*O$7,0)))</f>
        <v/>
      </c>
      <c r="E79" s="448">
        <f>IF($L79&gt;P$5,MAX(0,P$3+ROUND((P$9*($L79-P$5)),0)),IF($L79&gt;P$4,P$3,ROUND($L79*P$7,0)))</f>
        <v/>
      </c>
      <c r="F79" s="447">
        <f>IF($L79&gt;Q$5,MAX(0,Q$3+ROUND((Q$9*($L79-Q$5)),0)),IF($L79&gt;Q$4,Q$3,ROUND($L79*Q$7,0)))</f>
        <v/>
      </c>
      <c r="G79" s="1378">
        <f>IF($L79&gt;R$5,MAX(0,R$3+ROUND((R$9*($L79-R$5)),0)),IF($L79&gt;R$4,R$3,ROUND($L79*R$7,0)))</f>
        <v/>
      </c>
      <c r="H79" s="448">
        <f>IF($L79&gt;S$5,MAX(0,S$3+ROUND((S$9*($L79-S$5)),0)),IF($L79&gt;S$4,S$3,ROUND($L79*S$7,0)))</f>
        <v/>
      </c>
      <c r="I79" s="448">
        <f>IF($L79&gt;T$5,MAX(0,T$3+ROUND((T$9*($L79-T$5)),0)),IF($L79&gt;T$4,T$3,ROUND($L79*T$7,0)))</f>
        <v/>
      </c>
      <c r="J79" s="447">
        <f>IF($L79&gt;U$5,MAX(0,U$3+ROUND((U$9*($L79-U$5)),0)),IF($L79&gt;U$4,U$3,ROUND($L79*U$7,0)))</f>
        <v/>
      </c>
      <c r="K79" s="422" t="n"/>
      <c r="L79" s="448">
        <f>ROUND((A79+B79)/2,2)</f>
        <v/>
      </c>
    </row>
    <row r="80" ht="13.5" customHeight="1" s="7635">
      <c r="A80" s="448" t="n">
        <v>3850</v>
      </c>
      <c r="B80" s="447" t="n">
        <v>3900</v>
      </c>
      <c r="C80" s="1378">
        <f>IF($L80&gt;N$5,MAX(0,N$3+ROUND((N$9*($L80-N$5)),0)),IF($L80&gt;N$4,N$3,ROUND($L80*N$7,0)))</f>
        <v/>
      </c>
      <c r="D80" s="448">
        <f>IF($L80&gt;O$5,MAX(0,O$3+ROUND((O$9*($L80-O$5)),0)),IF($L80&gt;O$4,O$3,ROUND($L80*O$7,0)))</f>
        <v/>
      </c>
      <c r="E80" s="448">
        <f>IF($L80&gt;P$5,MAX(0,P$3+ROUND((P$9*($L80-P$5)),0)),IF($L80&gt;P$4,P$3,ROUND($L80*P$7,0)))</f>
        <v/>
      </c>
      <c r="F80" s="447">
        <f>IF($L80&gt;Q$5,MAX(0,Q$3+ROUND((Q$9*($L80-Q$5)),0)),IF($L80&gt;Q$4,Q$3,ROUND($L80*Q$7,0)))</f>
        <v/>
      </c>
      <c r="G80" s="1378">
        <f>IF($L80&gt;R$5,MAX(0,R$3+ROUND((R$9*($L80-R$5)),0)),IF($L80&gt;R$4,R$3,ROUND($L80*R$7,0)))</f>
        <v/>
      </c>
      <c r="H80" s="448">
        <f>IF($L80&gt;S$5,MAX(0,S$3+ROUND((S$9*($L80-S$5)),0)),IF($L80&gt;S$4,S$3,ROUND($L80*S$7,0)))</f>
        <v/>
      </c>
      <c r="I80" s="448">
        <f>IF($L80&gt;T$5,MAX(0,T$3+ROUND((T$9*($L80-T$5)),0)),IF($L80&gt;T$4,T$3,ROUND($L80*T$7,0)))</f>
        <v/>
      </c>
      <c r="J80" s="447">
        <f>IF($L80&gt;U$5,MAX(0,U$3+ROUND((U$9*($L80-U$5)),0)),IF($L80&gt;U$4,U$3,ROUND($L80*U$7,0)))</f>
        <v/>
      </c>
      <c r="K80" s="422" t="n"/>
      <c r="L80" s="448">
        <f>ROUND((A80+B80)/2,2)</f>
        <v/>
      </c>
    </row>
    <row r="81" ht="13.5" customHeight="1" s="7635">
      <c r="A81" s="448" t="n">
        <v>3900</v>
      </c>
      <c r="B81" s="447" t="n">
        <v>3950</v>
      </c>
      <c r="C81" s="1378">
        <f>IF($L81&gt;N$5,MAX(0,N$3+ROUND((N$9*($L81-N$5)),0)),IF($L81&gt;N$4,N$3,ROUND($L81*N$7,0)))</f>
        <v/>
      </c>
      <c r="D81" s="448">
        <f>IF($L81&gt;O$5,MAX(0,O$3+ROUND((O$9*($L81-O$5)),0)),IF($L81&gt;O$4,O$3,ROUND($L81*O$7,0)))</f>
        <v/>
      </c>
      <c r="E81" s="448">
        <f>IF($L81&gt;P$5,MAX(0,P$3+ROUND((P$9*($L81-P$5)),0)),IF($L81&gt;P$4,P$3,ROUND($L81*P$7,0)))</f>
        <v/>
      </c>
      <c r="F81" s="447">
        <f>IF($L81&gt;Q$5,MAX(0,Q$3+ROUND((Q$9*($L81-Q$5)),0)),IF($L81&gt;Q$4,Q$3,ROUND($L81*Q$7,0)))</f>
        <v/>
      </c>
      <c r="G81" s="1378">
        <f>IF($L81&gt;R$5,MAX(0,R$3+ROUND((R$9*($L81-R$5)),0)),IF($L81&gt;R$4,R$3,ROUND($L81*R$7,0)))</f>
        <v/>
      </c>
      <c r="H81" s="448">
        <f>IF($L81&gt;S$5,MAX(0,S$3+ROUND((S$9*($L81-S$5)),0)),IF($L81&gt;S$4,S$3,ROUND($L81*S$7,0)))</f>
        <v/>
      </c>
      <c r="I81" s="448">
        <f>IF($L81&gt;T$5,MAX(0,T$3+ROUND((T$9*($L81-T$5)),0)),IF($L81&gt;T$4,T$3,ROUND($L81*T$7,0)))</f>
        <v/>
      </c>
      <c r="J81" s="447">
        <f>IF($L81&gt;U$5,MAX(0,U$3+ROUND((U$9*($L81-U$5)),0)),IF($L81&gt;U$4,U$3,ROUND($L81*U$7,0)))</f>
        <v/>
      </c>
      <c r="K81" s="422" t="n"/>
      <c r="L81" s="448">
        <f>ROUND((A81+B81)/2,2)</f>
        <v/>
      </c>
    </row>
    <row r="82" ht="13.5" customHeight="1" s="7635">
      <c r="A82" s="448" t="n">
        <v>3950</v>
      </c>
      <c r="B82" s="447" t="n">
        <v>4000</v>
      </c>
      <c r="C82" s="1378">
        <f>IF($L82&gt;N$5,MAX(0,N$3+ROUND((N$9*($L82-N$5)),0)),IF($L82&gt;N$4,N$3,ROUND($L82*N$7,0)))</f>
        <v/>
      </c>
      <c r="D82" s="448">
        <f>IF($L82&gt;O$5,MAX(0,O$3+ROUND((O$9*($L82-O$5)),0)),IF($L82&gt;O$4,O$3,ROUND($L82*O$7,0)))</f>
        <v/>
      </c>
      <c r="E82" s="448">
        <f>IF($L82&gt;P$5,MAX(0,P$3+ROUND((P$9*($L82-P$5)),0)),IF($L82&gt;P$4,P$3,ROUND($L82*P$7,0)))</f>
        <v/>
      </c>
      <c r="F82" s="447">
        <f>IF($L82&gt;Q$5,MAX(0,Q$3+ROUND((Q$9*($L82-Q$5)),0)),IF($L82&gt;Q$4,Q$3,ROUND($L82*Q$7,0)))</f>
        <v/>
      </c>
      <c r="G82" s="1378">
        <f>IF($L82&gt;R$5,MAX(0,R$3+ROUND((R$9*($L82-R$5)),0)),IF($L82&gt;R$4,R$3,ROUND($L82*R$7,0)))</f>
        <v/>
      </c>
      <c r="H82" s="448">
        <f>IF($L82&gt;S$5,MAX(0,S$3+ROUND((S$9*($L82-S$5)),0)),IF($L82&gt;S$4,S$3,ROUND($L82*S$7,0)))</f>
        <v/>
      </c>
      <c r="I82" s="448">
        <f>IF($L82&gt;T$5,MAX(0,T$3+ROUND((T$9*($L82-T$5)),0)),IF($L82&gt;T$4,T$3,ROUND($L82*T$7,0)))</f>
        <v/>
      </c>
      <c r="J82" s="447">
        <f>IF($L82&gt;U$5,MAX(0,U$3+ROUND((U$9*($L82-U$5)),0)),IF($L82&gt;U$4,U$3,ROUND($L82*U$7,0)))</f>
        <v/>
      </c>
      <c r="K82" s="422" t="n"/>
      <c r="L82" s="448">
        <f>ROUND((A82+B82)/2,2)</f>
        <v/>
      </c>
    </row>
    <row r="83" ht="13.5" customHeight="1" s="7635">
      <c r="A83" s="448" t="n">
        <v>4000</v>
      </c>
      <c r="B83" s="447" t="n">
        <v>4050</v>
      </c>
      <c r="C83" s="1378">
        <f>IF($L83&gt;N$5,MAX(0,N$3+ROUND((N$9*($L83-N$5)),0)),IF($L83&gt;N$4,N$3,ROUND($L83*N$7,0)))</f>
        <v/>
      </c>
      <c r="D83" s="448">
        <f>IF($L83&gt;O$5,MAX(0,O$3+ROUND((O$9*($L83-O$5)),0)),IF($L83&gt;O$4,O$3,ROUND($L83*O$7,0)))</f>
        <v/>
      </c>
      <c r="E83" s="448">
        <f>IF($L83&gt;P$5,MAX(0,P$3+ROUND((P$9*($L83-P$5)),0)),IF($L83&gt;P$4,P$3,ROUND($L83*P$7,0)))</f>
        <v/>
      </c>
      <c r="F83" s="447">
        <f>IF($L83&gt;Q$5,MAX(0,Q$3+ROUND((Q$9*($L83-Q$5)),0)),IF($L83&gt;Q$4,Q$3,ROUND($L83*Q$7,0)))</f>
        <v/>
      </c>
      <c r="G83" s="1378">
        <f>IF($L83&gt;R$5,MAX(0,R$3+ROUND((R$9*($L83-R$5)),0)),IF($L83&gt;R$4,R$3,ROUND($L83*R$7,0)))</f>
        <v/>
      </c>
      <c r="H83" s="448">
        <f>IF($L83&gt;S$5,MAX(0,S$3+ROUND((S$9*($L83-S$5)),0)),IF($L83&gt;S$4,S$3,ROUND($L83*S$7,0)))</f>
        <v/>
      </c>
      <c r="I83" s="448">
        <f>IF($L83&gt;T$5,MAX(0,T$3+ROUND((T$9*($L83-T$5)),0)),IF($L83&gt;T$4,T$3,ROUND($L83*T$7,0)))</f>
        <v/>
      </c>
      <c r="J83" s="447">
        <f>IF($L83&gt;U$5,MAX(0,U$3+ROUND((U$9*($L83-U$5)),0)),IF($L83&gt;U$4,U$3,ROUND($L83*U$7,0)))</f>
        <v/>
      </c>
      <c r="K83" s="422" t="n"/>
      <c r="L83" s="448">
        <f>ROUND((A83+B83)/2,2)</f>
        <v/>
      </c>
    </row>
    <row r="84" ht="13.5" customHeight="1" s="7635">
      <c r="A84" s="448" t="n">
        <v>4050</v>
      </c>
      <c r="B84" s="447" t="n">
        <v>4100</v>
      </c>
      <c r="C84" s="1378">
        <f>IF($L84&gt;N$5,MAX(0,N$3+ROUND((N$9*($L84-N$5)),0)),IF($L84&gt;N$4,N$3,ROUND($L84*N$7,0)))</f>
        <v/>
      </c>
      <c r="D84" s="448">
        <f>IF($L84&gt;O$5,MAX(0,O$3+ROUND((O$9*($L84-O$5)),0)),IF($L84&gt;O$4,O$3,ROUND($L84*O$7,0)))</f>
        <v/>
      </c>
      <c r="E84" s="448">
        <f>IF($L84&gt;P$5,MAX(0,P$3+ROUND((P$9*($L84-P$5)),0)),IF($L84&gt;P$4,P$3,ROUND($L84*P$7,0)))</f>
        <v/>
      </c>
      <c r="F84" s="447">
        <f>IF($L84&gt;Q$5,MAX(0,Q$3+ROUND((Q$9*($L84-Q$5)),0)),IF($L84&gt;Q$4,Q$3,ROUND($L84*Q$7,0)))</f>
        <v/>
      </c>
      <c r="G84" s="1378">
        <f>IF($L84&gt;R$5,MAX(0,R$3+ROUND((R$9*($L84-R$5)),0)),IF($L84&gt;R$4,R$3,ROUND($L84*R$7,0)))</f>
        <v/>
      </c>
      <c r="H84" s="448">
        <f>IF($L84&gt;S$5,MAX(0,S$3+ROUND((S$9*($L84-S$5)),0)),IF($L84&gt;S$4,S$3,ROUND($L84*S$7,0)))</f>
        <v/>
      </c>
      <c r="I84" s="448">
        <f>IF($L84&gt;T$5,MAX(0,T$3+ROUND((T$9*($L84-T$5)),0)),IF($L84&gt;T$4,T$3,ROUND($L84*T$7,0)))</f>
        <v/>
      </c>
      <c r="J84" s="447">
        <f>IF($L84&gt;U$5,MAX(0,U$3+ROUND((U$9*($L84-U$5)),0)),IF($L84&gt;U$4,U$3,ROUND($L84*U$7,0)))</f>
        <v/>
      </c>
      <c r="K84" s="422" t="n"/>
      <c r="L84" s="448">
        <f>ROUND((A84+B84)/2,2)</f>
        <v/>
      </c>
    </row>
    <row r="85" ht="13.5" customHeight="1" s="7635">
      <c r="A85" s="448" t="n">
        <v>4100</v>
      </c>
      <c r="B85" s="447" t="n">
        <v>4150</v>
      </c>
      <c r="C85" s="1378">
        <f>IF($L85&gt;N$5,MAX(0,N$3+ROUND((N$9*($L85-N$5)),0)),IF($L85&gt;N$4,N$3,ROUND($L85*N$7,0)))</f>
        <v/>
      </c>
      <c r="D85" s="448">
        <f>IF($L85&gt;O$5,MAX(0,O$3+ROUND((O$9*($L85-O$5)),0)),IF($L85&gt;O$4,O$3,ROUND($L85*O$7,0)))</f>
        <v/>
      </c>
      <c r="E85" s="448">
        <f>IF($L85&gt;P$5,MAX(0,P$3+ROUND((P$9*($L85-P$5)),0)),IF($L85&gt;P$4,P$3,ROUND($L85*P$7,0)))</f>
        <v/>
      </c>
      <c r="F85" s="447">
        <f>IF($L85&gt;Q$5,MAX(0,Q$3+ROUND((Q$9*($L85-Q$5)),0)),IF($L85&gt;Q$4,Q$3,ROUND($L85*Q$7,0)))</f>
        <v/>
      </c>
      <c r="G85" s="1378">
        <f>IF($L85&gt;R$5,MAX(0,R$3+ROUND((R$9*($L85-R$5)),0)),IF($L85&gt;R$4,R$3,ROUND($L85*R$7,0)))</f>
        <v/>
      </c>
      <c r="H85" s="448">
        <f>IF($L85&gt;S$5,MAX(0,S$3+ROUND((S$9*($L85-S$5)),0)),IF($L85&gt;S$4,S$3,ROUND($L85*S$7,0)))</f>
        <v/>
      </c>
      <c r="I85" s="448">
        <f>IF($L85&gt;T$5,MAX(0,T$3+ROUND((T$9*($L85-T$5)),0)),IF($L85&gt;T$4,T$3,ROUND($L85*T$7,0)))</f>
        <v/>
      </c>
      <c r="J85" s="447">
        <f>IF($L85&gt;U$5,MAX(0,U$3+ROUND((U$9*($L85-U$5)),0)),IF($L85&gt;U$4,U$3,ROUND($L85*U$7,0)))</f>
        <v/>
      </c>
      <c r="K85" s="422" t="n"/>
      <c r="L85" s="448">
        <f>ROUND((A85+B85)/2,2)</f>
        <v/>
      </c>
    </row>
    <row r="86" ht="13.5" customHeight="1" s="7635">
      <c r="A86" s="448" t="n">
        <v>4150</v>
      </c>
      <c r="B86" s="447" t="n">
        <v>4200</v>
      </c>
      <c r="C86" s="1378">
        <f>IF($L86&gt;N$5,MAX(0,N$3+ROUND((N$9*($L86-N$5)),0)),IF($L86&gt;N$4,N$3,ROUND($L86*N$7,0)))</f>
        <v/>
      </c>
      <c r="D86" s="448">
        <f>IF($L86&gt;O$5,MAX(0,O$3+ROUND((O$9*($L86-O$5)),0)),IF($L86&gt;O$4,O$3,ROUND($L86*O$7,0)))</f>
        <v/>
      </c>
      <c r="E86" s="448">
        <f>IF($L86&gt;P$5,MAX(0,P$3+ROUND((P$9*($L86-P$5)),0)),IF($L86&gt;P$4,P$3,ROUND($L86*P$7,0)))</f>
        <v/>
      </c>
      <c r="F86" s="447">
        <f>IF($L86&gt;Q$5,MAX(0,Q$3+ROUND((Q$9*($L86-Q$5)),0)),IF($L86&gt;Q$4,Q$3,ROUND($L86*Q$7,0)))</f>
        <v/>
      </c>
      <c r="G86" s="1378">
        <f>IF($L86&gt;R$5,MAX(0,R$3+ROUND((R$9*($L86-R$5)),0)),IF($L86&gt;R$4,R$3,ROUND($L86*R$7,0)))</f>
        <v/>
      </c>
      <c r="H86" s="448">
        <f>IF($L86&gt;S$5,MAX(0,S$3+ROUND((S$9*($L86-S$5)),0)),IF($L86&gt;S$4,S$3,ROUND($L86*S$7,0)))</f>
        <v/>
      </c>
      <c r="I86" s="448">
        <f>IF($L86&gt;T$5,MAX(0,T$3+ROUND((T$9*($L86-T$5)),0)),IF($L86&gt;T$4,T$3,ROUND($L86*T$7,0)))</f>
        <v/>
      </c>
      <c r="J86" s="447">
        <f>IF($L86&gt;U$5,MAX(0,U$3+ROUND((U$9*($L86-U$5)),0)),IF($L86&gt;U$4,U$3,ROUND($L86*U$7,0)))</f>
        <v/>
      </c>
      <c r="K86" s="422" t="n"/>
      <c r="L86" s="448">
        <f>ROUND((A86+B86)/2,2)</f>
        <v/>
      </c>
    </row>
    <row r="87" ht="13.5" customHeight="1" s="7635">
      <c r="A87" s="448" t="n">
        <v>4200</v>
      </c>
      <c r="B87" s="447" t="n">
        <v>4250</v>
      </c>
      <c r="C87" s="1378">
        <f>IF($L87&gt;N$5,MAX(0,N$3+ROUND((N$9*($L87-N$5)),0)),IF($L87&gt;N$4,N$3,ROUND($L87*N$7,0)))</f>
        <v/>
      </c>
      <c r="D87" s="448">
        <f>IF($L87&gt;O$5,MAX(0,O$3+ROUND((O$9*($L87-O$5)),0)),IF($L87&gt;O$4,O$3,ROUND($L87*O$7,0)))</f>
        <v/>
      </c>
      <c r="E87" s="448">
        <f>IF($L87&gt;P$5,MAX(0,P$3+ROUND((P$9*($L87-P$5)),0)),IF($L87&gt;P$4,P$3,ROUND($L87*P$7,0)))</f>
        <v/>
      </c>
      <c r="F87" s="447">
        <f>IF($L87&gt;Q$5,MAX(0,Q$3+ROUND((Q$9*($L87-Q$5)),0)),IF($L87&gt;Q$4,Q$3,ROUND($L87*Q$7,0)))</f>
        <v/>
      </c>
      <c r="G87" s="1378">
        <f>IF($L87&gt;R$5,MAX(0,R$3+ROUND((R$9*($L87-R$5)),0)),IF($L87&gt;R$4,R$3,ROUND($L87*R$7,0)))</f>
        <v/>
      </c>
      <c r="H87" s="448">
        <f>IF($L87&gt;S$5,MAX(0,S$3+ROUND((S$9*($L87-S$5)),0)),IF($L87&gt;S$4,S$3,ROUND($L87*S$7,0)))</f>
        <v/>
      </c>
      <c r="I87" s="448">
        <f>IF($L87&gt;T$5,MAX(0,T$3+ROUND((T$9*($L87-T$5)),0)),IF($L87&gt;T$4,T$3,ROUND($L87*T$7,0)))</f>
        <v/>
      </c>
      <c r="J87" s="447">
        <f>IF($L87&gt;U$5,MAX(0,U$3+ROUND((U$9*($L87-U$5)),0)),IF($L87&gt;U$4,U$3,ROUND($L87*U$7,0)))</f>
        <v/>
      </c>
      <c r="K87" s="422" t="n"/>
      <c r="L87" s="448">
        <f>ROUND((A87+B87)/2,2)</f>
        <v/>
      </c>
    </row>
    <row r="88" ht="13.5" customHeight="1" s="7635">
      <c r="A88" s="448" t="n">
        <v>4250</v>
      </c>
      <c r="B88" s="447" t="n">
        <v>4300</v>
      </c>
      <c r="C88" s="1378">
        <f>IF($L88&gt;N$5,MAX(0,N$3+ROUND((N$9*($L88-N$5)),0)),IF($L88&gt;N$4,N$3,ROUND($L88*N$7,0)))</f>
        <v/>
      </c>
      <c r="D88" s="448">
        <f>IF($L88&gt;O$5,MAX(0,O$3+ROUND((O$9*($L88-O$5)),0)),IF($L88&gt;O$4,O$3,ROUND($L88*O$7,0)))</f>
        <v/>
      </c>
      <c r="E88" s="448">
        <f>IF($L88&gt;P$5,MAX(0,P$3+ROUND((P$9*($L88-P$5)),0)),IF($L88&gt;P$4,P$3,ROUND($L88*P$7,0)))</f>
        <v/>
      </c>
      <c r="F88" s="447">
        <f>IF($L88&gt;Q$5,MAX(0,Q$3+ROUND((Q$9*($L88-Q$5)),0)),IF($L88&gt;Q$4,Q$3,ROUND($L88*Q$7,0)))</f>
        <v/>
      </c>
      <c r="G88" s="1378">
        <f>IF($L88&gt;R$5,MAX(0,R$3+ROUND((R$9*($L88-R$5)),0)),IF($L88&gt;R$4,R$3,ROUND($L88*R$7,0)))</f>
        <v/>
      </c>
      <c r="H88" s="448">
        <f>IF($L88&gt;S$5,MAX(0,S$3+ROUND((S$9*($L88-S$5)),0)),IF($L88&gt;S$4,S$3,ROUND($L88*S$7,0)))</f>
        <v/>
      </c>
      <c r="I88" s="448">
        <f>IF($L88&gt;T$5,MAX(0,T$3+ROUND((T$9*($L88-T$5)),0)),IF($L88&gt;T$4,T$3,ROUND($L88*T$7,0)))</f>
        <v/>
      </c>
      <c r="J88" s="447">
        <f>IF($L88&gt;U$5,MAX(0,U$3+ROUND((U$9*($L88-U$5)),0)),IF($L88&gt;U$4,U$3,ROUND($L88*U$7,0)))</f>
        <v/>
      </c>
      <c r="K88" s="422" t="n"/>
      <c r="L88" s="448">
        <f>ROUND((A88+B88)/2,2)</f>
        <v/>
      </c>
    </row>
    <row r="89" ht="13.5" customHeight="1" s="7635">
      <c r="A89" s="448" t="n">
        <v>4300</v>
      </c>
      <c r="B89" s="447" t="n">
        <v>4350</v>
      </c>
      <c r="C89" s="1378">
        <f>IF($L89&gt;N$5,MAX(0,N$3+ROUND((N$9*($L89-N$5)),0)),IF($L89&gt;N$4,N$3,ROUND($L89*N$7,0)))</f>
        <v/>
      </c>
      <c r="D89" s="448">
        <f>IF($L89&gt;O$5,MAX(0,O$3+ROUND((O$9*($L89-O$5)),0)),IF($L89&gt;O$4,O$3,ROUND($L89*O$7,0)))</f>
        <v/>
      </c>
      <c r="E89" s="448">
        <f>IF($L89&gt;P$5,MAX(0,P$3+ROUND((P$9*($L89-P$5)),0)),IF($L89&gt;P$4,P$3,ROUND($L89*P$7,0)))</f>
        <v/>
      </c>
      <c r="F89" s="447">
        <f>IF($L89&gt;Q$5,MAX(0,Q$3+ROUND((Q$9*($L89-Q$5)),0)),IF($L89&gt;Q$4,Q$3,ROUND($L89*Q$7,0)))</f>
        <v/>
      </c>
      <c r="G89" s="1378">
        <f>IF($L89&gt;R$5,MAX(0,R$3+ROUND((R$9*($L89-R$5)),0)),IF($L89&gt;R$4,R$3,ROUND($L89*R$7,0)))</f>
        <v/>
      </c>
      <c r="H89" s="448">
        <f>IF($L89&gt;S$5,MAX(0,S$3+ROUND((S$9*($L89-S$5)),0)),IF($L89&gt;S$4,S$3,ROUND($L89*S$7,0)))</f>
        <v/>
      </c>
      <c r="I89" s="448">
        <f>IF($L89&gt;T$5,MAX(0,T$3+ROUND((T$9*($L89-T$5)),0)),IF($L89&gt;T$4,T$3,ROUND($L89*T$7,0)))</f>
        <v/>
      </c>
      <c r="J89" s="447">
        <f>IF($L89&gt;U$5,MAX(0,U$3+ROUND((U$9*($L89-U$5)),0)),IF($L89&gt;U$4,U$3,ROUND($L89*U$7,0)))</f>
        <v/>
      </c>
      <c r="K89" s="422" t="n"/>
      <c r="L89" s="448">
        <f>ROUND((A89+B89)/2,2)</f>
        <v/>
      </c>
    </row>
    <row r="90" ht="13.5" customHeight="1" s="7635">
      <c r="A90" s="448" t="n">
        <v>4350</v>
      </c>
      <c r="B90" s="447" t="n">
        <v>4400</v>
      </c>
      <c r="C90" s="1378">
        <f>IF($L90&gt;N$5,MAX(0,N$3+ROUND((N$9*($L90-N$5)),0)),IF($L90&gt;N$4,N$3,ROUND($L90*N$7,0)))</f>
        <v/>
      </c>
      <c r="D90" s="448">
        <f>IF($L90&gt;O$5,MAX(0,O$3+ROUND((O$9*($L90-O$5)),0)),IF($L90&gt;O$4,O$3,ROUND($L90*O$7,0)))</f>
        <v/>
      </c>
      <c r="E90" s="448">
        <f>IF($L90&gt;P$5,MAX(0,P$3+ROUND((P$9*($L90-P$5)),0)),IF($L90&gt;P$4,P$3,ROUND($L90*P$7,0)))</f>
        <v/>
      </c>
      <c r="F90" s="447">
        <f>IF($L90&gt;Q$5,MAX(0,Q$3+ROUND((Q$9*($L90-Q$5)),0)),IF($L90&gt;Q$4,Q$3,ROUND($L90*Q$7,0)))</f>
        <v/>
      </c>
      <c r="G90" s="1378">
        <f>IF($L90&gt;R$5,MAX(0,R$3+ROUND((R$9*($L90-R$5)),0)),IF($L90&gt;R$4,R$3,ROUND($L90*R$7,0)))</f>
        <v/>
      </c>
      <c r="H90" s="448">
        <f>IF($L90&gt;S$5,MAX(0,S$3+ROUND((S$9*($L90-S$5)),0)),IF($L90&gt;S$4,S$3,ROUND($L90*S$7,0)))</f>
        <v/>
      </c>
      <c r="I90" s="448">
        <f>IF($L90&gt;T$5,MAX(0,T$3+ROUND((T$9*($L90-T$5)),0)),IF($L90&gt;T$4,T$3,ROUND($L90*T$7,0)))</f>
        <v/>
      </c>
      <c r="J90" s="447">
        <f>IF($L90&gt;U$5,MAX(0,U$3+ROUND((U$9*($L90-U$5)),0)),IF($L90&gt;U$4,U$3,ROUND($L90*U$7,0)))</f>
        <v/>
      </c>
      <c r="K90" s="422" t="n"/>
      <c r="L90" s="448">
        <f>ROUND((A90+B90)/2,2)</f>
        <v/>
      </c>
    </row>
    <row r="91" ht="13.5" customHeight="1" s="7635">
      <c r="A91" s="448" t="n">
        <v>4400</v>
      </c>
      <c r="B91" s="447" t="n">
        <v>4450</v>
      </c>
      <c r="C91" s="1378">
        <f>IF($L91&gt;N$5,MAX(0,N$3+ROUND((N$9*($L91-N$5)),0)),IF($L91&gt;N$4,N$3,ROUND($L91*N$7,0)))</f>
        <v/>
      </c>
      <c r="D91" s="448">
        <f>IF($L91&gt;O$5,MAX(0,O$3+ROUND((O$9*($L91-O$5)),0)),IF($L91&gt;O$4,O$3,ROUND($L91*O$7,0)))</f>
        <v/>
      </c>
      <c r="E91" s="448">
        <f>IF($L91&gt;P$5,MAX(0,P$3+ROUND((P$9*($L91-P$5)),0)),IF($L91&gt;P$4,P$3,ROUND($L91*P$7,0)))</f>
        <v/>
      </c>
      <c r="F91" s="447">
        <f>IF($L91&gt;Q$5,MAX(0,Q$3+ROUND((Q$9*($L91-Q$5)),0)),IF($L91&gt;Q$4,Q$3,ROUND($L91*Q$7,0)))</f>
        <v/>
      </c>
      <c r="G91" s="1378">
        <f>IF($L91&gt;R$5,MAX(0,R$3+ROUND((R$9*($L91-R$5)),0)),IF($L91&gt;R$4,R$3,ROUND($L91*R$7,0)))</f>
        <v/>
      </c>
      <c r="H91" s="448">
        <f>IF($L91&gt;S$5,MAX(0,S$3+ROUND((S$9*($L91-S$5)),0)),IF($L91&gt;S$4,S$3,ROUND($L91*S$7,0)))</f>
        <v/>
      </c>
      <c r="I91" s="448">
        <f>IF($L91&gt;T$5,MAX(0,T$3+ROUND((T$9*($L91-T$5)),0)),IF($L91&gt;T$4,T$3,ROUND($L91*T$7,0)))</f>
        <v/>
      </c>
      <c r="J91" s="447">
        <f>IF($L91&gt;U$5,MAX(0,U$3+ROUND((U$9*($L91-U$5)),0)),IF($L91&gt;U$4,U$3,ROUND($L91*U$7,0)))</f>
        <v/>
      </c>
      <c r="K91" s="422" t="n"/>
      <c r="L91" s="448">
        <f>ROUND((A91+B91)/2,2)</f>
        <v/>
      </c>
    </row>
    <row r="92" ht="13.5" customHeight="1" s="7635">
      <c r="A92" s="448" t="n">
        <v>4450</v>
      </c>
      <c r="B92" s="447" t="n">
        <v>4500</v>
      </c>
      <c r="C92" s="1378">
        <f>IF($L92&gt;N$5,MAX(0,N$3+ROUND((N$9*($L92-N$5)),0)),IF($L92&gt;N$4,N$3,ROUND($L92*N$7,0)))</f>
        <v/>
      </c>
      <c r="D92" s="448">
        <f>IF($L92&gt;O$5,MAX(0,O$3+ROUND((O$9*($L92-O$5)),0)),IF($L92&gt;O$4,O$3,ROUND($L92*O$7,0)))</f>
        <v/>
      </c>
      <c r="E92" s="448">
        <f>IF($L92&gt;P$5,MAX(0,P$3+ROUND((P$9*($L92-P$5)),0)),IF($L92&gt;P$4,P$3,ROUND($L92*P$7,0)))</f>
        <v/>
      </c>
      <c r="F92" s="447">
        <f>IF($L92&gt;Q$5,MAX(0,Q$3+ROUND((Q$9*($L92-Q$5)),0)),IF($L92&gt;Q$4,Q$3,ROUND($L92*Q$7,0)))</f>
        <v/>
      </c>
      <c r="G92" s="1378">
        <f>IF($L92&gt;R$5,MAX(0,R$3+ROUND((R$9*($L92-R$5)),0)),IF($L92&gt;R$4,R$3,ROUND($L92*R$7,0)))</f>
        <v/>
      </c>
      <c r="H92" s="448">
        <f>IF($L92&gt;S$5,MAX(0,S$3+ROUND((S$9*($L92-S$5)),0)),IF($L92&gt;S$4,S$3,ROUND($L92*S$7,0)))</f>
        <v/>
      </c>
      <c r="I92" s="448">
        <f>IF($L92&gt;T$5,MAX(0,T$3+ROUND((T$9*($L92-T$5)),0)),IF($L92&gt;T$4,T$3,ROUND($L92*T$7,0)))</f>
        <v/>
      </c>
      <c r="J92" s="447">
        <f>IF($L92&gt;U$5,MAX(0,U$3+ROUND((U$9*($L92-U$5)),0)),IF($L92&gt;U$4,U$3,ROUND($L92*U$7,0)))</f>
        <v/>
      </c>
      <c r="K92" s="422" t="n"/>
      <c r="L92" s="448">
        <f>ROUND((A92+B92)/2,2)</f>
        <v/>
      </c>
    </row>
    <row r="93" ht="13.5" customHeight="1" s="7635">
      <c r="A93" s="448" t="n">
        <v>4500</v>
      </c>
      <c r="B93" s="447" t="n">
        <v>4550</v>
      </c>
      <c r="C93" s="1378">
        <f>IF($L93&gt;N$5,MAX(0,N$3+ROUND((N$9*($L93-N$5)),0)),IF($L93&gt;N$4,N$3,ROUND($L93*N$7,0)))</f>
        <v/>
      </c>
      <c r="D93" s="448">
        <f>IF($L93&gt;O$5,MAX(0,O$3+ROUND((O$9*($L93-O$5)),0)),IF($L93&gt;O$4,O$3,ROUND($L93*O$7,0)))</f>
        <v/>
      </c>
      <c r="E93" s="448">
        <f>IF($L93&gt;P$5,MAX(0,P$3+ROUND((P$9*($L93-P$5)),0)),IF($L93&gt;P$4,P$3,ROUND($L93*P$7,0)))</f>
        <v/>
      </c>
      <c r="F93" s="447">
        <f>IF($L93&gt;Q$5,MAX(0,Q$3+ROUND((Q$9*($L93-Q$5)),0)),IF($L93&gt;Q$4,Q$3,ROUND($L93*Q$7,0)))</f>
        <v/>
      </c>
      <c r="G93" s="1378">
        <f>IF($L93&gt;R$5,MAX(0,R$3+ROUND((R$9*($L93-R$5)),0)),IF($L93&gt;R$4,R$3,ROUND($L93*R$7,0)))</f>
        <v/>
      </c>
      <c r="H93" s="448">
        <f>IF($L93&gt;S$5,MAX(0,S$3+ROUND((S$9*($L93-S$5)),0)),IF($L93&gt;S$4,S$3,ROUND($L93*S$7,0)))</f>
        <v/>
      </c>
      <c r="I93" s="448">
        <f>IF($L93&gt;T$5,MAX(0,T$3+ROUND((T$9*($L93-T$5)),0)),IF($L93&gt;T$4,T$3,ROUND($L93*T$7,0)))</f>
        <v/>
      </c>
      <c r="J93" s="447">
        <f>IF($L93&gt;U$5,MAX(0,U$3+ROUND((U$9*($L93-U$5)),0)),IF($L93&gt;U$4,U$3,ROUND($L93*U$7,0)))</f>
        <v/>
      </c>
      <c r="K93" s="422" t="n"/>
      <c r="L93" s="448">
        <f>ROUND((A93+B93)/2,2)</f>
        <v/>
      </c>
    </row>
    <row r="94" ht="13.5" customHeight="1" s="7635">
      <c r="A94" s="448" t="n">
        <v>4550</v>
      </c>
      <c r="B94" s="447" t="n">
        <v>4600</v>
      </c>
      <c r="C94" s="1378">
        <f>IF($L94&gt;N$5,MAX(0,N$3+ROUND((N$9*($L94-N$5)),0)),IF($L94&gt;N$4,N$3,ROUND($L94*N$7,0)))</f>
        <v/>
      </c>
      <c r="D94" s="448">
        <f>IF($L94&gt;O$5,MAX(0,O$3+ROUND((O$9*($L94-O$5)),0)),IF($L94&gt;O$4,O$3,ROUND($L94*O$7,0)))</f>
        <v/>
      </c>
      <c r="E94" s="448">
        <f>IF($L94&gt;P$5,MAX(0,P$3+ROUND((P$9*($L94-P$5)),0)),IF($L94&gt;P$4,P$3,ROUND($L94*P$7,0)))</f>
        <v/>
      </c>
      <c r="F94" s="447">
        <f>IF($L94&gt;Q$5,MAX(0,Q$3+ROUND((Q$9*($L94-Q$5)),0)),IF($L94&gt;Q$4,Q$3,ROUND($L94*Q$7,0)))</f>
        <v/>
      </c>
      <c r="G94" s="1378">
        <f>IF($L94&gt;R$5,MAX(0,R$3+ROUND((R$9*($L94-R$5)),0)),IF($L94&gt;R$4,R$3,ROUND($L94*R$7,0)))</f>
        <v/>
      </c>
      <c r="H94" s="448">
        <f>IF($L94&gt;S$5,MAX(0,S$3+ROUND((S$9*($L94-S$5)),0)),IF($L94&gt;S$4,S$3,ROUND($L94*S$7,0)))</f>
        <v/>
      </c>
      <c r="I94" s="448">
        <f>IF($L94&gt;T$5,MAX(0,T$3+ROUND((T$9*($L94-T$5)),0)),IF($L94&gt;T$4,T$3,ROUND($L94*T$7,0)))</f>
        <v/>
      </c>
      <c r="J94" s="447">
        <f>IF($L94&gt;U$5,MAX(0,U$3+ROUND((U$9*($L94-U$5)),0)),IF($L94&gt;U$4,U$3,ROUND($L94*U$7,0)))</f>
        <v/>
      </c>
      <c r="K94" s="422" t="n"/>
      <c r="L94" s="448">
        <f>ROUND((A94+B94)/2,2)</f>
        <v/>
      </c>
    </row>
    <row r="95" ht="13.5" customHeight="1" s="7635">
      <c r="A95" s="448" t="n">
        <v>4600</v>
      </c>
      <c r="B95" s="447" t="n">
        <v>4650</v>
      </c>
      <c r="C95" s="1378">
        <f>IF($L95&gt;N$5,MAX(0,N$3+ROUND((N$9*($L95-N$5)),0)),IF($L95&gt;N$4,N$3,ROUND($L95*N$7,0)))</f>
        <v/>
      </c>
      <c r="D95" s="448">
        <f>IF($L95&gt;O$5,MAX(0,O$3+ROUND((O$9*($L95-O$5)),0)),IF($L95&gt;O$4,O$3,ROUND($L95*O$7,0)))</f>
        <v/>
      </c>
      <c r="E95" s="448">
        <f>IF($L95&gt;P$5,MAX(0,P$3+ROUND((P$9*($L95-P$5)),0)),IF($L95&gt;P$4,P$3,ROUND($L95*P$7,0)))</f>
        <v/>
      </c>
      <c r="F95" s="447">
        <f>IF($L95&gt;Q$5,MAX(0,Q$3+ROUND((Q$9*($L95-Q$5)),0)),IF($L95&gt;Q$4,Q$3,ROUND($L95*Q$7,0)))</f>
        <v/>
      </c>
      <c r="G95" s="1378">
        <f>IF($L95&gt;R$5,MAX(0,R$3+ROUND((R$9*($L95-R$5)),0)),IF($L95&gt;R$4,R$3,ROUND($L95*R$7,0)))</f>
        <v/>
      </c>
      <c r="H95" s="448">
        <f>IF($L95&gt;S$5,MAX(0,S$3+ROUND((S$9*($L95-S$5)),0)),IF($L95&gt;S$4,S$3,ROUND($L95*S$7,0)))</f>
        <v/>
      </c>
      <c r="I95" s="448">
        <f>IF($L95&gt;T$5,MAX(0,T$3+ROUND((T$9*($L95-T$5)),0)),IF($L95&gt;T$4,T$3,ROUND($L95*T$7,0)))</f>
        <v/>
      </c>
      <c r="J95" s="447">
        <f>IF($L95&gt;U$5,MAX(0,U$3+ROUND((U$9*($L95-U$5)),0)),IF($L95&gt;U$4,U$3,ROUND($L95*U$7,0)))</f>
        <v/>
      </c>
      <c r="K95" s="422" t="n"/>
      <c r="L95" s="448">
        <f>ROUND((A95+B95)/2,2)</f>
        <v/>
      </c>
    </row>
    <row r="96" ht="13.5" customHeight="1" s="7635">
      <c r="A96" s="448" t="n">
        <v>4650</v>
      </c>
      <c r="B96" s="447" t="n">
        <v>4700</v>
      </c>
      <c r="C96" s="1378">
        <f>IF($L96&gt;N$5,MAX(0,N$3+ROUND((N$9*($L96-N$5)),0)),IF($L96&gt;N$4,N$3,ROUND($L96*N$7,0)))</f>
        <v/>
      </c>
      <c r="D96" s="448">
        <f>IF($L96&gt;O$5,MAX(0,O$3+ROUND((O$9*($L96-O$5)),0)),IF($L96&gt;O$4,O$3,ROUND($L96*O$7,0)))</f>
        <v/>
      </c>
      <c r="E96" s="448">
        <f>IF($L96&gt;P$5,MAX(0,P$3+ROUND((P$9*($L96-P$5)),0)),IF($L96&gt;P$4,P$3,ROUND($L96*P$7,0)))</f>
        <v/>
      </c>
      <c r="F96" s="447">
        <f>IF($L96&gt;Q$5,MAX(0,Q$3+ROUND((Q$9*($L96-Q$5)),0)),IF($L96&gt;Q$4,Q$3,ROUND($L96*Q$7,0)))</f>
        <v/>
      </c>
      <c r="G96" s="1378">
        <f>IF($L96&gt;R$5,MAX(0,R$3+ROUND((R$9*($L96-R$5)),0)),IF($L96&gt;R$4,R$3,ROUND($L96*R$7,0)))</f>
        <v/>
      </c>
      <c r="H96" s="448">
        <f>IF($L96&gt;S$5,MAX(0,S$3+ROUND((S$9*($L96-S$5)),0)),IF($L96&gt;S$4,S$3,ROUND($L96*S$7,0)))</f>
        <v/>
      </c>
      <c r="I96" s="448">
        <f>IF($L96&gt;T$5,MAX(0,T$3+ROUND((T$9*($L96-T$5)),0)),IF($L96&gt;T$4,T$3,ROUND($L96*T$7,0)))</f>
        <v/>
      </c>
      <c r="J96" s="447">
        <f>IF($L96&gt;U$5,MAX(0,U$3+ROUND((U$9*($L96-U$5)),0)),IF($L96&gt;U$4,U$3,ROUND($L96*U$7,0)))</f>
        <v/>
      </c>
      <c r="K96" s="422" t="n"/>
      <c r="L96" s="448">
        <f>ROUND((A96+B96)/2,2)</f>
        <v/>
      </c>
    </row>
    <row r="97" ht="13.5" customHeight="1" s="7635">
      <c r="A97" s="448" t="n">
        <v>4700</v>
      </c>
      <c r="B97" s="447" t="n">
        <v>4750</v>
      </c>
      <c r="C97" s="1378">
        <f>IF($L97&gt;N$5,MAX(0,N$3+ROUND((N$9*($L97-N$5)),0)),IF($L97&gt;N$4,N$3,ROUND($L97*N$7,0)))</f>
        <v/>
      </c>
      <c r="D97" s="448">
        <f>IF($L97&gt;O$5,MAX(0,O$3+ROUND((O$9*($L97-O$5)),0)),IF($L97&gt;O$4,O$3,ROUND($L97*O$7,0)))</f>
        <v/>
      </c>
      <c r="E97" s="448">
        <f>IF($L97&gt;P$5,MAX(0,P$3+ROUND((P$9*($L97-P$5)),0)),IF($L97&gt;P$4,P$3,ROUND($L97*P$7,0)))</f>
        <v/>
      </c>
      <c r="F97" s="447">
        <f>IF($L97&gt;Q$5,MAX(0,Q$3+ROUND((Q$9*($L97-Q$5)),0)),IF($L97&gt;Q$4,Q$3,ROUND($L97*Q$7,0)))</f>
        <v/>
      </c>
      <c r="G97" s="1378">
        <f>IF($L97&gt;R$5,MAX(0,R$3+ROUND((R$9*($L97-R$5)),0)),IF($L97&gt;R$4,R$3,ROUND($L97*R$7,0)))</f>
        <v/>
      </c>
      <c r="H97" s="448">
        <f>IF($L97&gt;S$5,MAX(0,S$3+ROUND((S$9*($L97-S$5)),0)),IF($L97&gt;S$4,S$3,ROUND($L97*S$7,0)))</f>
        <v/>
      </c>
      <c r="I97" s="448">
        <f>IF($L97&gt;T$5,MAX(0,T$3+ROUND((T$9*($L97-T$5)),0)),IF($L97&gt;T$4,T$3,ROUND($L97*T$7,0)))</f>
        <v/>
      </c>
      <c r="J97" s="447">
        <f>IF($L97&gt;U$5,MAX(0,U$3+ROUND((U$9*($L97-U$5)),0)),IF($L97&gt;U$4,U$3,ROUND($L97*U$7,0)))</f>
        <v/>
      </c>
      <c r="K97" s="422" t="n"/>
      <c r="L97" s="448">
        <f>ROUND((A97+B97)/2,2)</f>
        <v/>
      </c>
    </row>
    <row r="98" ht="13.5" customHeight="1" s="7635">
      <c r="A98" s="448" t="n">
        <v>4750</v>
      </c>
      <c r="B98" s="447" t="n">
        <v>4800</v>
      </c>
      <c r="C98" s="1378">
        <f>IF($L98&gt;N$5,MAX(0,N$3+ROUND((N$9*($L98-N$5)),0)),IF($L98&gt;N$4,N$3,ROUND($L98*N$7,0)))</f>
        <v/>
      </c>
      <c r="D98" s="448">
        <f>IF($L98&gt;O$5,MAX(0,O$3+ROUND((O$9*($L98-O$5)),0)),IF($L98&gt;O$4,O$3,ROUND($L98*O$7,0)))</f>
        <v/>
      </c>
      <c r="E98" s="448">
        <f>IF($L98&gt;P$5,MAX(0,P$3+ROUND((P$9*($L98-P$5)),0)),IF($L98&gt;P$4,P$3,ROUND($L98*P$7,0)))</f>
        <v/>
      </c>
      <c r="F98" s="447">
        <f>IF($L98&gt;Q$5,MAX(0,Q$3+ROUND((Q$9*($L98-Q$5)),0)),IF($L98&gt;Q$4,Q$3,ROUND($L98*Q$7,0)))</f>
        <v/>
      </c>
      <c r="G98" s="1378">
        <f>IF($L98&gt;R$5,MAX(0,R$3+ROUND((R$9*($L98-R$5)),0)),IF($L98&gt;R$4,R$3,ROUND($L98*R$7,0)))</f>
        <v/>
      </c>
      <c r="H98" s="448">
        <f>IF($L98&gt;S$5,MAX(0,S$3+ROUND((S$9*($L98-S$5)),0)),IF($L98&gt;S$4,S$3,ROUND($L98*S$7,0)))</f>
        <v/>
      </c>
      <c r="I98" s="448">
        <f>IF($L98&gt;T$5,MAX(0,T$3+ROUND((T$9*($L98-T$5)),0)),IF($L98&gt;T$4,T$3,ROUND($L98*T$7,0)))</f>
        <v/>
      </c>
      <c r="J98" s="447">
        <f>IF($L98&gt;U$5,MAX(0,U$3+ROUND((U$9*($L98-U$5)),0)),IF($L98&gt;U$4,U$3,ROUND($L98*U$7,0)))</f>
        <v/>
      </c>
      <c r="K98" s="422" t="n"/>
      <c r="L98" s="448">
        <f>ROUND((A98+B98)/2,2)</f>
        <v/>
      </c>
    </row>
    <row r="99" ht="13.5" customHeight="1" s="7635">
      <c r="A99" s="448" t="n">
        <v>4800</v>
      </c>
      <c r="B99" s="447" t="n">
        <v>4850</v>
      </c>
      <c r="C99" s="1378">
        <f>IF($L99&gt;N$5,MAX(0,N$3+ROUND((N$9*($L99-N$5)),0)),IF($L99&gt;N$4,N$3,ROUND($L99*N$7,0)))</f>
        <v/>
      </c>
      <c r="D99" s="448">
        <f>IF($L99&gt;O$5,MAX(0,O$3+ROUND((O$9*($L99-O$5)),0)),IF($L99&gt;O$4,O$3,ROUND($L99*O$7,0)))</f>
        <v/>
      </c>
      <c r="E99" s="448">
        <f>IF($L99&gt;P$5,MAX(0,P$3+ROUND((P$9*($L99-P$5)),0)),IF($L99&gt;P$4,P$3,ROUND($L99*P$7,0)))</f>
        <v/>
      </c>
      <c r="F99" s="447">
        <f>IF($L99&gt;Q$5,MAX(0,Q$3+ROUND((Q$9*($L99-Q$5)),0)),IF($L99&gt;Q$4,Q$3,ROUND($L99*Q$7,0)))</f>
        <v/>
      </c>
      <c r="G99" s="1378">
        <f>IF($L99&gt;R$5,MAX(0,R$3+ROUND((R$9*($L99-R$5)),0)),IF($L99&gt;R$4,R$3,ROUND($L99*R$7,0)))</f>
        <v/>
      </c>
      <c r="H99" s="448">
        <f>IF($L99&gt;S$5,MAX(0,S$3+ROUND((S$9*($L99-S$5)),0)),IF($L99&gt;S$4,S$3,ROUND($L99*S$7,0)))</f>
        <v/>
      </c>
      <c r="I99" s="448">
        <f>IF($L99&gt;T$5,MAX(0,T$3+ROUND((T$9*($L99-T$5)),0)),IF($L99&gt;T$4,T$3,ROUND($L99*T$7,0)))</f>
        <v/>
      </c>
      <c r="J99" s="447">
        <f>IF($L99&gt;U$5,MAX(0,U$3+ROUND((U$9*($L99-U$5)),0)),IF($L99&gt;U$4,U$3,ROUND($L99*U$7,0)))</f>
        <v/>
      </c>
      <c r="K99" s="422" t="n"/>
      <c r="L99" s="448">
        <f>ROUND((A99+B99)/2,2)</f>
        <v/>
      </c>
    </row>
    <row r="100" ht="13.5" customHeight="1" s="7635">
      <c r="A100" s="448" t="n">
        <v>4850</v>
      </c>
      <c r="B100" s="447" t="n">
        <v>4900</v>
      </c>
      <c r="C100" s="1378">
        <f>IF($L100&gt;N$5,MAX(0,N$3+ROUND((N$9*($L100-N$5)),0)),IF($L100&gt;N$4,N$3,ROUND($L100*N$7,0)))</f>
        <v/>
      </c>
      <c r="D100" s="448">
        <f>IF($L100&gt;O$5,MAX(0,O$3+ROUND((O$9*($L100-O$5)),0)),IF($L100&gt;O$4,O$3,ROUND($L100*O$7,0)))</f>
        <v/>
      </c>
      <c r="E100" s="448">
        <f>IF($L100&gt;P$5,MAX(0,P$3+ROUND((P$9*($L100-P$5)),0)),IF($L100&gt;P$4,P$3,ROUND($L100*P$7,0)))</f>
        <v/>
      </c>
      <c r="F100" s="447">
        <f>IF($L100&gt;Q$5,MAX(0,Q$3+ROUND((Q$9*($L100-Q$5)),0)),IF($L100&gt;Q$4,Q$3,ROUND($L100*Q$7,0)))</f>
        <v/>
      </c>
      <c r="G100" s="1378">
        <f>IF($L100&gt;R$5,MAX(0,R$3+ROUND((R$9*($L100-R$5)),0)),IF($L100&gt;R$4,R$3,ROUND($L100*R$7,0)))</f>
        <v/>
      </c>
      <c r="H100" s="448">
        <f>IF($L100&gt;S$5,MAX(0,S$3+ROUND((S$9*($L100-S$5)),0)),IF($L100&gt;S$4,S$3,ROUND($L100*S$7,0)))</f>
        <v/>
      </c>
      <c r="I100" s="448">
        <f>IF($L100&gt;T$5,MAX(0,T$3+ROUND((T$9*($L100-T$5)),0)),IF($L100&gt;T$4,T$3,ROUND($L100*T$7,0)))</f>
        <v/>
      </c>
      <c r="J100" s="447">
        <f>IF($L100&gt;U$5,MAX(0,U$3+ROUND((U$9*($L100-U$5)),0)),IF($L100&gt;U$4,U$3,ROUND($L100*U$7,0)))</f>
        <v/>
      </c>
      <c r="K100" s="422" t="n"/>
      <c r="L100" s="448">
        <f>ROUND((A100+B100)/2,2)</f>
        <v/>
      </c>
    </row>
    <row r="101" ht="13.5" customHeight="1" s="7635">
      <c r="A101" s="448" t="n">
        <v>4900</v>
      </c>
      <c r="B101" s="447" t="n">
        <v>4950</v>
      </c>
      <c r="C101" s="1378">
        <f>IF($L101&gt;N$5,MAX(0,N$3+ROUND((N$9*($L101-N$5)),0)),IF($L101&gt;N$4,N$3,ROUND($L101*N$7,0)))</f>
        <v/>
      </c>
      <c r="D101" s="448">
        <f>IF($L101&gt;O$5,MAX(0,O$3+ROUND((O$9*($L101-O$5)),0)),IF($L101&gt;O$4,O$3,ROUND($L101*O$7,0)))</f>
        <v/>
      </c>
      <c r="E101" s="448">
        <f>IF($L101&gt;P$5,MAX(0,P$3+ROUND((P$9*($L101-P$5)),0)),IF($L101&gt;P$4,P$3,ROUND($L101*P$7,0)))</f>
        <v/>
      </c>
      <c r="F101" s="447">
        <f>IF($L101&gt;Q$5,MAX(0,Q$3+ROUND((Q$9*($L101-Q$5)),0)),IF($L101&gt;Q$4,Q$3,ROUND($L101*Q$7,0)))</f>
        <v/>
      </c>
      <c r="G101" s="1378">
        <f>IF($L101&gt;R$5,MAX(0,R$3+ROUND((R$9*($L101-R$5)),0)),IF($L101&gt;R$4,R$3,ROUND($L101*R$7,0)))</f>
        <v/>
      </c>
      <c r="H101" s="448">
        <f>IF($L101&gt;S$5,MAX(0,S$3+ROUND((S$9*($L101-S$5)),0)),IF($L101&gt;S$4,S$3,ROUND($L101*S$7,0)))</f>
        <v/>
      </c>
      <c r="I101" s="448">
        <f>IF($L101&gt;T$5,MAX(0,T$3+ROUND((T$9*($L101-T$5)),0)),IF($L101&gt;T$4,T$3,ROUND($L101*T$7,0)))</f>
        <v/>
      </c>
      <c r="J101" s="447">
        <f>IF($L101&gt;U$5,MAX(0,U$3+ROUND((U$9*($L101-U$5)),0)),IF($L101&gt;U$4,U$3,ROUND($L101*U$7,0)))</f>
        <v/>
      </c>
      <c r="K101" s="422" t="n"/>
      <c r="L101" s="448">
        <f>ROUND((A101+B101)/2,2)</f>
        <v/>
      </c>
    </row>
    <row r="102" ht="13.5" customHeight="1" s="7635">
      <c r="A102" s="448" t="n">
        <v>4950</v>
      </c>
      <c r="B102" s="447" t="n">
        <v>5000</v>
      </c>
      <c r="C102" s="1378">
        <f>IF($L102&gt;N$5,MAX(0,N$3+ROUND((N$9*($L102-N$5)),0)),IF($L102&gt;N$4,N$3,ROUND($L102*N$7,0)))</f>
        <v/>
      </c>
      <c r="D102" s="448">
        <f>IF($L102&gt;O$5,MAX(0,O$3+ROUND((O$9*($L102-O$5)),0)),IF($L102&gt;O$4,O$3,ROUND($L102*O$7,0)))</f>
        <v/>
      </c>
      <c r="E102" s="448">
        <f>IF($L102&gt;P$5,MAX(0,P$3+ROUND((P$9*($L102-P$5)),0)),IF($L102&gt;P$4,P$3,ROUND($L102*P$7,0)))</f>
        <v/>
      </c>
      <c r="F102" s="447">
        <f>IF($L102&gt;Q$5,MAX(0,Q$3+ROUND((Q$9*($L102-Q$5)),0)),IF($L102&gt;Q$4,Q$3,ROUND($L102*Q$7,0)))</f>
        <v/>
      </c>
      <c r="G102" s="1378">
        <f>IF($L102&gt;R$5,MAX(0,R$3+ROUND((R$9*($L102-R$5)),0)),IF($L102&gt;R$4,R$3,ROUND($L102*R$7,0)))</f>
        <v/>
      </c>
      <c r="H102" s="448">
        <f>IF($L102&gt;S$5,MAX(0,S$3+ROUND((S$9*($L102-S$5)),0)),IF($L102&gt;S$4,S$3,ROUND($L102*S$7,0)))</f>
        <v/>
      </c>
      <c r="I102" s="448">
        <f>IF($L102&gt;T$5,MAX(0,T$3+ROUND((T$9*($L102-T$5)),0)),IF($L102&gt;T$4,T$3,ROUND($L102*T$7,0)))</f>
        <v/>
      </c>
      <c r="J102" s="447">
        <f>IF($L102&gt;U$5,MAX(0,U$3+ROUND((U$9*($L102-U$5)),0)),IF($L102&gt;U$4,U$3,ROUND($L102*U$7,0)))</f>
        <v/>
      </c>
      <c r="K102" s="422" t="n"/>
      <c r="L102" s="448">
        <f>ROUND((A102+B102)/2,2)</f>
        <v/>
      </c>
    </row>
    <row r="103" ht="13.5" customHeight="1" s="7635">
      <c r="A103" s="448" t="n">
        <v>5000</v>
      </c>
      <c r="B103" s="447" t="n">
        <v>5050</v>
      </c>
      <c r="C103" s="1378">
        <f>IF($L103&gt;N$5,MAX(0,N$3+ROUND((N$9*($L103-N$5)),0)),IF($L103&gt;N$4,N$3,ROUND($L103*N$7,0)))</f>
        <v/>
      </c>
      <c r="D103" s="448">
        <f>IF($L103&gt;O$5,MAX(0,O$3+ROUND((O$9*($L103-O$5)),0)),IF($L103&gt;O$4,O$3,ROUND($L103*O$7,0)))</f>
        <v/>
      </c>
      <c r="E103" s="448">
        <f>IF($L103&gt;P$5,MAX(0,P$3+ROUND((P$9*($L103-P$5)),0)),IF($L103&gt;P$4,P$3,ROUND($L103*P$7,0)))</f>
        <v/>
      </c>
      <c r="F103" s="447">
        <f>IF($L103&gt;Q$5,MAX(0,Q$3+ROUND((Q$9*($L103-Q$5)),0)),IF($L103&gt;Q$4,Q$3,ROUND($L103*Q$7,0)))</f>
        <v/>
      </c>
      <c r="G103" s="1378">
        <f>IF($L103&gt;R$5,MAX(0,R$3+ROUND((R$9*($L103-R$5)),0)),IF($L103&gt;R$4,R$3,ROUND($L103*R$7,0)))</f>
        <v/>
      </c>
      <c r="H103" s="448">
        <f>IF($L103&gt;S$5,MAX(0,S$3+ROUND((S$9*($L103-S$5)),0)),IF($L103&gt;S$4,S$3,ROUND($L103*S$7,0)))</f>
        <v/>
      </c>
      <c r="I103" s="448">
        <f>IF($L103&gt;T$5,MAX(0,T$3+ROUND((T$9*($L103-T$5)),0)),IF($L103&gt;T$4,T$3,ROUND($L103*T$7,0)))</f>
        <v/>
      </c>
      <c r="J103" s="447">
        <f>IF($L103&gt;U$5,MAX(0,U$3+ROUND((U$9*($L103-U$5)),0)),IF($L103&gt;U$4,U$3,ROUND($L103*U$7,0)))</f>
        <v/>
      </c>
      <c r="K103" s="422" t="n"/>
      <c r="L103" s="448">
        <f>ROUND((A103+B103)/2,2)</f>
        <v/>
      </c>
    </row>
    <row r="104" ht="13.5" customHeight="1" s="7635">
      <c r="A104" s="448" t="n">
        <v>5050</v>
      </c>
      <c r="B104" s="447" t="n">
        <v>5100</v>
      </c>
      <c r="C104" s="1378">
        <f>IF($L104&gt;N$5,MAX(0,N$3+ROUND((N$9*($L104-N$5)),0)),IF($L104&gt;N$4,N$3,ROUND($L104*N$7,0)))</f>
        <v/>
      </c>
      <c r="D104" s="448">
        <f>IF($L104&gt;O$5,MAX(0,O$3+ROUND((O$9*($L104-O$5)),0)),IF($L104&gt;O$4,O$3,ROUND($L104*O$7,0)))</f>
        <v/>
      </c>
      <c r="E104" s="448">
        <f>IF($L104&gt;P$5,MAX(0,P$3+ROUND((P$9*($L104-P$5)),0)),IF($L104&gt;P$4,P$3,ROUND($L104*P$7,0)))</f>
        <v/>
      </c>
      <c r="F104" s="447">
        <f>IF($L104&gt;Q$5,MAX(0,Q$3+ROUND((Q$9*($L104-Q$5)),0)),IF($L104&gt;Q$4,Q$3,ROUND($L104*Q$7,0)))</f>
        <v/>
      </c>
      <c r="G104" s="1378">
        <f>IF($L104&gt;R$5,MAX(0,R$3+ROUND((R$9*($L104-R$5)),0)),IF($L104&gt;R$4,R$3,ROUND($L104*R$7,0)))</f>
        <v/>
      </c>
      <c r="H104" s="448">
        <f>IF($L104&gt;S$5,MAX(0,S$3+ROUND((S$9*($L104-S$5)),0)),IF($L104&gt;S$4,S$3,ROUND($L104*S$7,0)))</f>
        <v/>
      </c>
      <c r="I104" s="448">
        <f>IF($L104&gt;T$5,MAX(0,T$3+ROUND((T$9*($L104-T$5)),0)),IF($L104&gt;T$4,T$3,ROUND($L104*T$7,0)))</f>
        <v/>
      </c>
      <c r="J104" s="447">
        <f>IF($L104&gt;U$5,MAX(0,U$3+ROUND((U$9*($L104-U$5)),0)),IF($L104&gt;U$4,U$3,ROUND($L104*U$7,0)))</f>
        <v/>
      </c>
      <c r="K104" s="422" t="n"/>
      <c r="L104" s="448">
        <f>ROUND((A104+B104)/2,2)</f>
        <v/>
      </c>
    </row>
    <row r="105" ht="13.5" customHeight="1" s="7635">
      <c r="A105" s="448" t="n">
        <v>5100</v>
      </c>
      <c r="B105" s="447" t="n">
        <v>5150</v>
      </c>
      <c r="C105" s="1378">
        <f>IF($L105&gt;N$5,MAX(0,N$3+ROUND((N$9*($L105-N$5)),0)),IF($L105&gt;N$4,N$3,ROUND($L105*N$7,0)))</f>
        <v/>
      </c>
      <c r="D105" s="448">
        <f>IF($L105&gt;O$5,MAX(0,O$3+ROUND((O$9*($L105-O$5)),0)),IF($L105&gt;O$4,O$3,ROUND($L105*O$7,0)))</f>
        <v/>
      </c>
      <c r="E105" s="448">
        <f>IF($L105&gt;P$5,MAX(0,P$3+ROUND((P$9*($L105-P$5)),0)),IF($L105&gt;P$4,P$3,ROUND($L105*P$7,0)))</f>
        <v/>
      </c>
      <c r="F105" s="447">
        <f>IF($L105&gt;Q$5,MAX(0,Q$3+ROUND((Q$9*($L105-Q$5)),0)),IF($L105&gt;Q$4,Q$3,ROUND($L105*Q$7,0)))</f>
        <v/>
      </c>
      <c r="G105" s="1378">
        <f>IF($L105&gt;R$5,MAX(0,R$3+ROUND((R$9*($L105-R$5)),0)),IF($L105&gt;R$4,R$3,ROUND($L105*R$7,0)))</f>
        <v/>
      </c>
      <c r="H105" s="448">
        <f>IF($L105&gt;S$5,MAX(0,S$3+ROUND((S$9*($L105-S$5)),0)),IF($L105&gt;S$4,S$3,ROUND($L105*S$7,0)))</f>
        <v/>
      </c>
      <c r="I105" s="448">
        <f>IF($L105&gt;T$5,MAX(0,T$3+ROUND((T$9*($L105-T$5)),0)),IF($L105&gt;T$4,T$3,ROUND($L105*T$7,0)))</f>
        <v/>
      </c>
      <c r="J105" s="447">
        <f>IF($L105&gt;U$5,MAX(0,U$3+ROUND((U$9*($L105-U$5)),0)),IF($L105&gt;U$4,U$3,ROUND($L105*U$7,0)))</f>
        <v/>
      </c>
      <c r="K105" s="422" t="n"/>
      <c r="L105" s="448">
        <f>ROUND((A105+B105)/2,2)</f>
        <v/>
      </c>
    </row>
    <row r="106" ht="13.5" customHeight="1" s="7635">
      <c r="A106" s="448" t="n">
        <v>5150</v>
      </c>
      <c r="B106" s="447" t="n">
        <v>5200</v>
      </c>
      <c r="C106" s="1378">
        <f>IF($L106&gt;N$5,MAX(0,N$3+ROUND((N$9*($L106-N$5)),0)),IF($L106&gt;N$4,N$3,ROUND($L106*N$7,0)))</f>
        <v/>
      </c>
      <c r="D106" s="448">
        <f>IF($L106&gt;O$5,MAX(0,O$3+ROUND((O$9*($L106-O$5)),0)),IF($L106&gt;O$4,O$3,ROUND($L106*O$7,0)))</f>
        <v/>
      </c>
      <c r="E106" s="448">
        <f>IF($L106&gt;P$5,MAX(0,P$3+ROUND((P$9*($L106-P$5)),0)),IF($L106&gt;P$4,P$3,ROUND($L106*P$7,0)))</f>
        <v/>
      </c>
      <c r="F106" s="447">
        <f>IF($L106&gt;Q$5,MAX(0,Q$3+ROUND((Q$9*($L106-Q$5)),0)),IF($L106&gt;Q$4,Q$3,ROUND($L106*Q$7,0)))</f>
        <v/>
      </c>
      <c r="G106" s="1378">
        <f>IF($L106&gt;R$5,MAX(0,R$3+ROUND((R$9*($L106-R$5)),0)),IF($L106&gt;R$4,R$3,ROUND($L106*R$7,0)))</f>
        <v/>
      </c>
      <c r="H106" s="448">
        <f>IF($L106&gt;S$5,MAX(0,S$3+ROUND((S$9*($L106-S$5)),0)),IF($L106&gt;S$4,S$3,ROUND($L106*S$7,0)))</f>
        <v/>
      </c>
      <c r="I106" s="448">
        <f>IF($L106&gt;T$5,MAX(0,T$3+ROUND((T$9*($L106-T$5)),0)),IF($L106&gt;T$4,T$3,ROUND($L106*T$7,0)))</f>
        <v/>
      </c>
      <c r="J106" s="447">
        <f>IF($L106&gt;U$5,MAX(0,U$3+ROUND((U$9*($L106-U$5)),0)),IF($L106&gt;U$4,U$3,ROUND($L106*U$7,0)))</f>
        <v/>
      </c>
      <c r="K106" s="422" t="n"/>
      <c r="L106" s="448">
        <f>ROUND((A106+B106)/2,2)</f>
        <v/>
      </c>
    </row>
    <row r="107" ht="13.5" customHeight="1" s="7635">
      <c r="A107" s="448" t="n">
        <v>5200</v>
      </c>
      <c r="B107" s="447" t="n">
        <v>5250</v>
      </c>
      <c r="C107" s="1378">
        <f>IF($L107&gt;N$5,MAX(0,N$3+ROUND((N$9*($L107-N$5)),0)),IF($L107&gt;N$4,N$3,ROUND($L107*N$7,0)))</f>
        <v/>
      </c>
      <c r="D107" s="448">
        <f>IF($L107&gt;O$5,MAX(0,O$3+ROUND((O$9*($L107-O$5)),0)),IF($L107&gt;O$4,O$3,ROUND($L107*O$7,0)))</f>
        <v/>
      </c>
      <c r="E107" s="448">
        <f>IF($L107&gt;P$5,MAX(0,P$3+ROUND((P$9*($L107-P$5)),0)),IF($L107&gt;P$4,P$3,ROUND($L107*P$7,0)))</f>
        <v/>
      </c>
      <c r="F107" s="447">
        <f>IF($L107&gt;Q$5,MAX(0,Q$3+ROUND((Q$9*($L107-Q$5)),0)),IF($L107&gt;Q$4,Q$3,ROUND($L107*Q$7,0)))</f>
        <v/>
      </c>
      <c r="G107" s="1378">
        <f>IF($L107&gt;R$5,MAX(0,R$3+ROUND((R$9*($L107-R$5)),0)),IF($L107&gt;R$4,R$3,ROUND($L107*R$7,0)))</f>
        <v/>
      </c>
      <c r="H107" s="448">
        <f>IF($L107&gt;S$5,MAX(0,S$3+ROUND((S$9*($L107-S$5)),0)),IF($L107&gt;S$4,S$3,ROUND($L107*S$7,0)))</f>
        <v/>
      </c>
      <c r="I107" s="448">
        <f>IF($L107&gt;T$5,MAX(0,T$3+ROUND((T$9*($L107-T$5)),0)),IF($L107&gt;T$4,T$3,ROUND($L107*T$7,0)))</f>
        <v/>
      </c>
      <c r="J107" s="447">
        <f>IF($L107&gt;U$5,MAX(0,U$3+ROUND((U$9*($L107-U$5)),0)),IF($L107&gt;U$4,U$3,ROUND($L107*U$7,0)))</f>
        <v/>
      </c>
      <c r="K107" s="422" t="n"/>
      <c r="L107" s="448">
        <f>ROUND((A107+B107)/2,2)</f>
        <v/>
      </c>
    </row>
    <row r="108" ht="13.5" customHeight="1" s="7635">
      <c r="A108" s="448" t="n">
        <v>5250</v>
      </c>
      <c r="B108" s="447" t="n">
        <v>5300</v>
      </c>
      <c r="C108" s="1378">
        <f>IF($L108&gt;N$5,MAX(0,N$3+ROUND((N$9*($L108-N$5)),0)),IF($L108&gt;N$4,N$3,ROUND($L108*N$7,0)))</f>
        <v/>
      </c>
      <c r="D108" s="448">
        <f>IF($L108&gt;O$5,MAX(0,O$3+ROUND((O$9*($L108-O$5)),0)),IF($L108&gt;O$4,O$3,ROUND($L108*O$7,0)))</f>
        <v/>
      </c>
      <c r="E108" s="448">
        <f>IF($L108&gt;P$5,MAX(0,P$3+ROUND((P$9*($L108-P$5)),0)),IF($L108&gt;P$4,P$3,ROUND($L108*P$7,0)))</f>
        <v/>
      </c>
      <c r="F108" s="447">
        <f>IF($L108&gt;Q$5,MAX(0,Q$3+ROUND((Q$9*($L108-Q$5)),0)),IF($L108&gt;Q$4,Q$3,ROUND($L108*Q$7,0)))</f>
        <v/>
      </c>
      <c r="G108" s="1378">
        <f>IF($L108&gt;R$5,MAX(0,R$3+ROUND((R$9*($L108-R$5)),0)),IF($L108&gt;R$4,R$3,ROUND($L108*R$7,0)))</f>
        <v/>
      </c>
      <c r="H108" s="448">
        <f>IF($L108&gt;S$5,MAX(0,S$3+ROUND((S$9*($L108-S$5)),0)),IF($L108&gt;S$4,S$3,ROUND($L108*S$7,0)))</f>
        <v/>
      </c>
      <c r="I108" s="448">
        <f>IF($L108&gt;T$5,MAX(0,T$3+ROUND((T$9*($L108-T$5)),0)),IF($L108&gt;T$4,T$3,ROUND($L108*T$7,0)))</f>
        <v/>
      </c>
      <c r="J108" s="447">
        <f>IF($L108&gt;U$5,MAX(0,U$3+ROUND((U$9*($L108-U$5)),0)),IF($L108&gt;U$4,U$3,ROUND($L108*U$7,0)))</f>
        <v/>
      </c>
      <c r="K108" s="422" t="n"/>
      <c r="L108" s="448">
        <f>ROUND((A108+B108)/2,2)</f>
        <v/>
      </c>
    </row>
    <row r="109" ht="13.5" customHeight="1" s="7635">
      <c r="A109" s="448" t="n">
        <v>5300</v>
      </c>
      <c r="B109" s="447" t="n">
        <v>5350</v>
      </c>
      <c r="C109" s="1378">
        <f>IF($L109&gt;N$5,MAX(0,N$3+ROUND((N$9*($L109-N$5)),0)),IF($L109&gt;N$4,N$3,ROUND($L109*N$7,0)))</f>
        <v/>
      </c>
      <c r="D109" s="448">
        <f>IF($L109&gt;O$5,MAX(0,O$3+ROUND((O$9*($L109-O$5)),0)),IF($L109&gt;O$4,O$3,ROUND($L109*O$7,0)))</f>
        <v/>
      </c>
      <c r="E109" s="448">
        <f>IF($L109&gt;P$5,MAX(0,P$3+ROUND((P$9*($L109-P$5)),0)),IF($L109&gt;P$4,P$3,ROUND($L109*P$7,0)))</f>
        <v/>
      </c>
      <c r="F109" s="447">
        <f>IF($L109&gt;Q$5,MAX(0,Q$3+ROUND((Q$9*($L109-Q$5)),0)),IF($L109&gt;Q$4,Q$3,ROUND($L109*Q$7,0)))</f>
        <v/>
      </c>
      <c r="G109" s="1378">
        <f>IF($L109&gt;R$5,MAX(0,R$3+ROUND((R$9*($L109-R$5)),0)),IF($L109&gt;R$4,R$3,ROUND($L109*R$7,0)))</f>
        <v/>
      </c>
      <c r="H109" s="448">
        <f>IF($L109&gt;S$5,MAX(0,S$3+ROUND((S$9*($L109-S$5)),0)),IF($L109&gt;S$4,S$3,ROUND($L109*S$7,0)))</f>
        <v/>
      </c>
      <c r="I109" s="448">
        <f>IF($L109&gt;T$5,MAX(0,T$3+ROUND((T$9*($L109-T$5)),0)),IF($L109&gt;T$4,T$3,ROUND($L109*T$7,0)))</f>
        <v/>
      </c>
      <c r="J109" s="447">
        <f>IF($L109&gt;U$5,MAX(0,U$3+ROUND((U$9*($L109-U$5)),0)),IF($L109&gt;U$4,U$3,ROUND($L109*U$7,0)))</f>
        <v/>
      </c>
      <c r="K109" s="422" t="n"/>
      <c r="L109" s="448">
        <f>ROUND((A109+B109)/2,2)</f>
        <v/>
      </c>
    </row>
    <row r="110" ht="13.5" customHeight="1" s="7635">
      <c r="A110" s="448" t="n">
        <v>5350</v>
      </c>
      <c r="B110" s="447" t="n">
        <v>5400</v>
      </c>
      <c r="C110" s="1378">
        <f>IF($L110&gt;N$5,MAX(0,N$3+ROUND((N$9*($L110-N$5)),0)),IF($L110&gt;N$4,N$3,ROUND($L110*N$7,0)))</f>
        <v/>
      </c>
      <c r="D110" s="448">
        <f>IF($L110&gt;O$5,MAX(0,O$3+ROUND((O$9*($L110-O$5)),0)),IF($L110&gt;O$4,O$3,ROUND($L110*O$7,0)))</f>
        <v/>
      </c>
      <c r="E110" s="448">
        <f>IF($L110&gt;P$5,MAX(0,P$3+ROUND((P$9*($L110-P$5)),0)),IF($L110&gt;P$4,P$3,ROUND($L110*P$7,0)))</f>
        <v/>
      </c>
      <c r="F110" s="447">
        <f>IF($L110&gt;Q$5,MAX(0,Q$3+ROUND((Q$9*($L110-Q$5)),0)),IF($L110&gt;Q$4,Q$3,ROUND($L110*Q$7,0)))</f>
        <v/>
      </c>
      <c r="G110" s="1378">
        <f>IF($L110&gt;R$5,MAX(0,R$3+ROUND((R$9*($L110-R$5)),0)),IF($L110&gt;R$4,R$3,ROUND($L110*R$7,0)))</f>
        <v/>
      </c>
      <c r="H110" s="448">
        <f>IF($L110&gt;S$5,MAX(0,S$3+ROUND((S$9*($L110-S$5)),0)),IF($L110&gt;S$4,S$3,ROUND($L110*S$7,0)))</f>
        <v/>
      </c>
      <c r="I110" s="448">
        <f>IF($L110&gt;T$5,MAX(0,T$3+ROUND((T$9*($L110-T$5)),0)),IF($L110&gt;T$4,T$3,ROUND($L110*T$7,0)))</f>
        <v/>
      </c>
      <c r="J110" s="447">
        <f>IF($L110&gt;U$5,MAX(0,U$3+ROUND((U$9*($L110-U$5)),0)),IF($L110&gt;U$4,U$3,ROUND($L110*U$7,0)))</f>
        <v/>
      </c>
      <c r="K110" s="422" t="n"/>
      <c r="L110" s="448">
        <f>ROUND((A110+B110)/2,2)</f>
        <v/>
      </c>
    </row>
    <row r="111" ht="13.5" customHeight="1" s="7635">
      <c r="A111" s="448" t="n">
        <v>5400</v>
      </c>
      <c r="B111" s="447" t="n">
        <v>5450</v>
      </c>
      <c r="C111" s="1378">
        <f>IF($L111&gt;N$5,MAX(0,N$3+ROUND((N$9*($L111-N$5)),0)),IF($L111&gt;N$4,N$3,ROUND($L111*N$7,0)))</f>
        <v/>
      </c>
      <c r="D111" s="448">
        <f>IF($L111&gt;O$5,MAX(0,O$3+ROUND((O$9*($L111-O$5)),0)),IF($L111&gt;O$4,O$3,ROUND($L111*O$7,0)))</f>
        <v/>
      </c>
      <c r="E111" s="448">
        <f>IF($L111&gt;P$5,MAX(0,P$3+ROUND((P$9*($L111-P$5)),0)),IF($L111&gt;P$4,P$3,ROUND($L111*P$7,0)))</f>
        <v/>
      </c>
      <c r="F111" s="447">
        <f>IF($L111&gt;Q$5,MAX(0,Q$3+ROUND((Q$9*($L111-Q$5)),0)),IF($L111&gt;Q$4,Q$3,ROUND($L111*Q$7,0)))</f>
        <v/>
      </c>
      <c r="G111" s="1378">
        <f>IF($L111&gt;R$5,MAX(0,R$3+ROUND((R$9*($L111-R$5)),0)),IF($L111&gt;R$4,R$3,ROUND($L111*R$7,0)))</f>
        <v/>
      </c>
      <c r="H111" s="448">
        <f>IF($L111&gt;S$5,MAX(0,S$3+ROUND((S$9*($L111-S$5)),0)),IF($L111&gt;S$4,S$3,ROUND($L111*S$7,0)))</f>
        <v/>
      </c>
      <c r="I111" s="448">
        <f>IF($L111&gt;T$5,MAX(0,T$3+ROUND((T$9*($L111-T$5)),0)),IF($L111&gt;T$4,T$3,ROUND($L111*T$7,0)))</f>
        <v/>
      </c>
      <c r="J111" s="447">
        <f>IF($L111&gt;U$5,MAX(0,U$3+ROUND((U$9*($L111-U$5)),0)),IF($L111&gt;U$4,U$3,ROUND($L111*U$7,0)))</f>
        <v/>
      </c>
      <c r="K111" s="422" t="n"/>
      <c r="L111" s="448">
        <f>ROUND((A111+B111)/2,2)</f>
        <v/>
      </c>
    </row>
    <row r="112" ht="13.5" customHeight="1" s="7635">
      <c r="A112" s="448" t="n">
        <v>5450</v>
      </c>
      <c r="B112" s="447" t="n">
        <v>5500</v>
      </c>
      <c r="C112" s="1378">
        <f>IF($L112&gt;N$5,MAX(0,N$3+ROUND((N$9*($L112-N$5)),0)),IF($L112&gt;N$4,N$3,ROUND($L112*N$7,0)))</f>
        <v/>
      </c>
      <c r="D112" s="448">
        <f>IF($L112&gt;O$5,MAX(0,O$3+ROUND((O$9*($L112-O$5)),0)),IF($L112&gt;O$4,O$3,ROUND($L112*O$7,0)))</f>
        <v/>
      </c>
      <c r="E112" s="448">
        <f>IF($L112&gt;P$5,MAX(0,P$3+ROUND((P$9*($L112-P$5)),0)),IF($L112&gt;P$4,P$3,ROUND($L112*P$7,0)))</f>
        <v/>
      </c>
      <c r="F112" s="447">
        <f>IF($L112&gt;Q$5,MAX(0,Q$3+ROUND((Q$9*($L112-Q$5)),0)),IF($L112&gt;Q$4,Q$3,ROUND($L112*Q$7,0)))</f>
        <v/>
      </c>
      <c r="G112" s="1378">
        <f>IF($L112&gt;R$5,MAX(0,R$3+ROUND((R$9*($L112-R$5)),0)),IF($L112&gt;R$4,R$3,ROUND($L112*R$7,0)))</f>
        <v/>
      </c>
      <c r="H112" s="448">
        <f>IF($L112&gt;S$5,MAX(0,S$3+ROUND((S$9*($L112-S$5)),0)),IF($L112&gt;S$4,S$3,ROUND($L112*S$7,0)))</f>
        <v/>
      </c>
      <c r="I112" s="448">
        <f>IF($L112&gt;T$5,MAX(0,T$3+ROUND((T$9*($L112-T$5)),0)),IF($L112&gt;T$4,T$3,ROUND($L112*T$7,0)))</f>
        <v/>
      </c>
      <c r="J112" s="447">
        <f>IF($L112&gt;U$5,MAX(0,U$3+ROUND((U$9*($L112-U$5)),0)),IF($L112&gt;U$4,U$3,ROUND($L112*U$7,0)))</f>
        <v/>
      </c>
      <c r="K112" s="422" t="n"/>
      <c r="L112" s="448">
        <f>ROUND((A112+B112)/2,2)</f>
        <v/>
      </c>
    </row>
    <row r="113" ht="13.5" customHeight="1" s="7635">
      <c r="A113" s="448" t="n">
        <v>5500</v>
      </c>
      <c r="B113" s="447" t="n">
        <v>5550</v>
      </c>
      <c r="C113" s="1378">
        <f>IF($L113&gt;N$5,MAX(0,N$3+ROUND((N$9*($L113-N$5)),0)),IF($L113&gt;N$4,N$3,ROUND($L113*N$7,0)))</f>
        <v/>
      </c>
      <c r="D113" s="448">
        <f>IF($L113&gt;O$5,MAX(0,O$3+ROUND((O$9*($L113-O$5)),0)),IF($L113&gt;O$4,O$3,ROUND($L113*O$7,0)))</f>
        <v/>
      </c>
      <c r="E113" s="448">
        <f>IF($L113&gt;P$5,MAX(0,P$3+ROUND((P$9*($L113-P$5)),0)),IF($L113&gt;P$4,P$3,ROUND($L113*P$7,0)))</f>
        <v/>
      </c>
      <c r="F113" s="447">
        <f>IF($L113&gt;Q$5,MAX(0,Q$3+ROUND((Q$9*($L113-Q$5)),0)),IF($L113&gt;Q$4,Q$3,ROUND($L113*Q$7,0)))</f>
        <v/>
      </c>
      <c r="G113" s="1378">
        <f>IF($L113&gt;R$5,MAX(0,R$3+ROUND((R$9*($L113-R$5)),0)),IF($L113&gt;R$4,R$3,ROUND($L113*R$7,0)))</f>
        <v/>
      </c>
      <c r="H113" s="448">
        <f>IF($L113&gt;S$5,MAX(0,S$3+ROUND((S$9*($L113-S$5)),0)),IF($L113&gt;S$4,S$3,ROUND($L113*S$7,0)))</f>
        <v/>
      </c>
      <c r="I113" s="448">
        <f>IF($L113&gt;T$5,MAX(0,T$3+ROUND((T$9*($L113-T$5)),0)),IF($L113&gt;T$4,T$3,ROUND($L113*T$7,0)))</f>
        <v/>
      </c>
      <c r="J113" s="447">
        <f>IF($L113&gt;U$5,MAX(0,U$3+ROUND((U$9*($L113-U$5)),0)),IF($L113&gt;U$4,U$3,ROUND($L113*U$7,0)))</f>
        <v/>
      </c>
      <c r="K113" s="422" t="n"/>
      <c r="L113" s="448">
        <f>ROUND((A113+B113)/2,2)</f>
        <v/>
      </c>
    </row>
    <row r="114" ht="13.5" customHeight="1" s="7635">
      <c r="A114" s="448" t="n">
        <v>5550</v>
      </c>
      <c r="B114" s="447" t="n">
        <v>5600</v>
      </c>
      <c r="C114" s="1378">
        <f>IF($L114&gt;N$5,MAX(0,N$3+ROUND((N$9*($L114-N$5)),0)),IF($L114&gt;N$4,N$3,ROUND($L114*N$7,0)))</f>
        <v/>
      </c>
      <c r="D114" s="448">
        <f>IF($L114&gt;O$5,MAX(0,O$3+ROUND((O$9*($L114-O$5)),0)),IF($L114&gt;O$4,O$3,ROUND($L114*O$7,0)))</f>
        <v/>
      </c>
      <c r="E114" s="448">
        <f>IF($L114&gt;P$5,MAX(0,P$3+ROUND((P$9*($L114-P$5)),0)),IF($L114&gt;P$4,P$3,ROUND($L114*P$7,0)))</f>
        <v/>
      </c>
      <c r="F114" s="447">
        <f>IF($L114&gt;Q$5,MAX(0,Q$3+ROUND((Q$9*($L114-Q$5)),0)),IF($L114&gt;Q$4,Q$3,ROUND($L114*Q$7,0)))</f>
        <v/>
      </c>
      <c r="G114" s="1378">
        <f>IF($L114&gt;R$5,MAX(0,R$3+ROUND((R$9*($L114-R$5)),0)),IF($L114&gt;R$4,R$3,ROUND($L114*R$7,0)))</f>
        <v/>
      </c>
      <c r="H114" s="448">
        <f>IF($L114&gt;S$5,MAX(0,S$3+ROUND((S$9*($L114-S$5)),0)),IF($L114&gt;S$4,S$3,ROUND($L114*S$7,0)))</f>
        <v/>
      </c>
      <c r="I114" s="448">
        <f>IF($L114&gt;T$5,MAX(0,T$3+ROUND((T$9*($L114-T$5)),0)),IF($L114&gt;T$4,T$3,ROUND($L114*T$7,0)))</f>
        <v/>
      </c>
      <c r="J114" s="447">
        <f>IF($L114&gt;U$5,MAX(0,U$3+ROUND((U$9*($L114-U$5)),0)),IF($L114&gt;U$4,U$3,ROUND($L114*U$7,0)))</f>
        <v/>
      </c>
      <c r="K114" s="422" t="n"/>
      <c r="L114" s="448">
        <f>ROUND((A114+B114)/2,2)</f>
        <v/>
      </c>
    </row>
    <row r="115" ht="13.5" customHeight="1" s="7635">
      <c r="A115" s="448" t="n">
        <v>5600</v>
      </c>
      <c r="B115" s="447" t="n">
        <v>5650</v>
      </c>
      <c r="C115" s="1378">
        <f>IF($L115&gt;N$5,MAX(0,N$3+ROUND((N$9*($L115-N$5)),0)),IF($L115&gt;N$4,N$3,ROUND($L115*N$7,0)))</f>
        <v/>
      </c>
      <c r="D115" s="448">
        <f>IF($L115&gt;O$5,MAX(0,O$3+ROUND((O$9*($L115-O$5)),0)),IF($L115&gt;O$4,O$3,ROUND($L115*O$7,0)))</f>
        <v/>
      </c>
      <c r="E115" s="448">
        <f>IF($L115&gt;P$5,MAX(0,P$3+ROUND((P$9*($L115-P$5)),0)),IF($L115&gt;P$4,P$3,ROUND($L115*P$7,0)))</f>
        <v/>
      </c>
      <c r="F115" s="447">
        <f>IF($L115&gt;Q$5,MAX(0,Q$3+ROUND((Q$9*($L115-Q$5)),0)),IF($L115&gt;Q$4,Q$3,ROUND($L115*Q$7,0)))</f>
        <v/>
      </c>
      <c r="G115" s="1378">
        <f>IF($L115&gt;R$5,MAX(0,R$3+ROUND((R$9*($L115-R$5)),0)),IF($L115&gt;R$4,R$3,ROUND($L115*R$7,0)))</f>
        <v/>
      </c>
      <c r="H115" s="448">
        <f>IF($L115&gt;S$5,MAX(0,S$3+ROUND((S$9*($L115-S$5)),0)),IF($L115&gt;S$4,S$3,ROUND($L115*S$7,0)))</f>
        <v/>
      </c>
      <c r="I115" s="448">
        <f>IF($L115&gt;T$5,MAX(0,T$3+ROUND((T$9*($L115-T$5)),0)),IF($L115&gt;T$4,T$3,ROUND($L115*T$7,0)))</f>
        <v/>
      </c>
      <c r="J115" s="447">
        <f>IF($L115&gt;U$5,MAX(0,U$3+ROUND((U$9*($L115-U$5)),0)),IF($L115&gt;U$4,U$3,ROUND($L115*U$7,0)))</f>
        <v/>
      </c>
      <c r="K115" s="422" t="n"/>
      <c r="L115" s="448">
        <f>ROUND((A115+B115)/2,2)</f>
        <v/>
      </c>
    </row>
    <row r="116" ht="13.5" customHeight="1" s="7635">
      <c r="A116" s="448" t="n">
        <v>5650</v>
      </c>
      <c r="B116" s="447" t="n">
        <v>5700</v>
      </c>
      <c r="C116" s="1378">
        <f>IF($L116&gt;N$5,MAX(0,N$3+ROUND((N$9*($L116-N$5)),0)),IF($L116&gt;N$4,N$3,ROUND($L116*N$7,0)))</f>
        <v/>
      </c>
      <c r="D116" s="448">
        <f>IF($L116&gt;O$5,MAX(0,O$3+ROUND((O$9*($L116-O$5)),0)),IF($L116&gt;O$4,O$3,ROUND($L116*O$7,0)))</f>
        <v/>
      </c>
      <c r="E116" s="448">
        <f>IF($L116&gt;P$5,MAX(0,P$3+ROUND((P$9*($L116-P$5)),0)),IF($L116&gt;P$4,P$3,ROUND($L116*P$7,0)))</f>
        <v/>
      </c>
      <c r="F116" s="447">
        <f>IF($L116&gt;Q$5,MAX(0,Q$3+ROUND((Q$9*($L116-Q$5)),0)),IF($L116&gt;Q$4,Q$3,ROUND($L116*Q$7,0)))</f>
        <v/>
      </c>
      <c r="G116" s="1378">
        <f>IF($L116&gt;R$5,MAX(0,R$3+ROUND((R$9*($L116-R$5)),0)),IF($L116&gt;R$4,R$3,ROUND($L116*R$7,0)))</f>
        <v/>
      </c>
      <c r="H116" s="448">
        <f>IF($L116&gt;S$5,MAX(0,S$3+ROUND((S$9*($L116-S$5)),0)),IF($L116&gt;S$4,S$3,ROUND($L116*S$7,0)))</f>
        <v/>
      </c>
      <c r="I116" s="448">
        <f>IF($L116&gt;T$5,MAX(0,T$3+ROUND((T$9*($L116-T$5)),0)),IF($L116&gt;T$4,T$3,ROUND($L116*T$7,0)))</f>
        <v/>
      </c>
      <c r="J116" s="447">
        <f>IF($L116&gt;U$5,MAX(0,U$3+ROUND((U$9*($L116-U$5)),0)),IF($L116&gt;U$4,U$3,ROUND($L116*U$7,0)))</f>
        <v/>
      </c>
      <c r="K116" s="422" t="n"/>
      <c r="L116" s="448">
        <f>ROUND((A116+B116)/2,2)</f>
        <v/>
      </c>
    </row>
    <row r="117" ht="13.5" customHeight="1" s="7635">
      <c r="A117" s="448" t="n">
        <v>5700</v>
      </c>
      <c r="B117" s="447" t="n">
        <v>5750</v>
      </c>
      <c r="C117" s="1378">
        <f>IF($L117&gt;N$5,MAX(0,N$3+ROUND((N$9*($L117-N$5)),0)),IF($L117&gt;N$4,N$3,ROUND($L117*N$7,0)))</f>
        <v/>
      </c>
      <c r="D117" s="448">
        <f>IF($L117&gt;O$5,MAX(0,O$3+ROUND((O$9*($L117-O$5)),0)),IF($L117&gt;O$4,O$3,ROUND($L117*O$7,0)))</f>
        <v/>
      </c>
      <c r="E117" s="448">
        <f>IF($L117&gt;P$5,MAX(0,P$3+ROUND((P$9*($L117-P$5)),0)),IF($L117&gt;P$4,P$3,ROUND($L117*P$7,0)))</f>
        <v/>
      </c>
      <c r="F117" s="447">
        <f>IF($L117&gt;Q$5,MAX(0,Q$3+ROUND((Q$9*($L117-Q$5)),0)),IF($L117&gt;Q$4,Q$3,ROUND($L117*Q$7,0)))</f>
        <v/>
      </c>
      <c r="G117" s="1378">
        <f>IF($L117&gt;R$5,MAX(0,R$3+ROUND((R$9*($L117-R$5)),0)),IF($L117&gt;R$4,R$3,ROUND($L117*R$7,0)))</f>
        <v/>
      </c>
      <c r="H117" s="448">
        <f>IF($L117&gt;S$5,MAX(0,S$3+ROUND((S$9*($L117-S$5)),0)),IF($L117&gt;S$4,S$3,ROUND($L117*S$7,0)))</f>
        <v/>
      </c>
      <c r="I117" s="448">
        <f>IF($L117&gt;T$5,MAX(0,T$3+ROUND((T$9*($L117-T$5)),0)),IF($L117&gt;T$4,T$3,ROUND($L117*T$7,0)))</f>
        <v/>
      </c>
      <c r="J117" s="447">
        <f>IF($L117&gt;U$5,MAX(0,U$3+ROUND((U$9*($L117-U$5)),0)),IF($L117&gt;U$4,U$3,ROUND($L117*U$7,0)))</f>
        <v/>
      </c>
      <c r="K117" s="422" t="n"/>
      <c r="L117" s="448">
        <f>ROUND((A117+B117)/2,2)</f>
        <v/>
      </c>
    </row>
    <row r="118" ht="13.5" customHeight="1" s="7635">
      <c r="A118" s="448" t="n">
        <v>5750</v>
      </c>
      <c r="B118" s="447" t="n">
        <v>5800</v>
      </c>
      <c r="C118" s="1378">
        <f>IF($L118&gt;N$5,MAX(0,N$3+ROUND((N$9*($L118-N$5)),0)),IF($L118&gt;N$4,N$3,ROUND($L118*N$7,0)))</f>
        <v/>
      </c>
      <c r="D118" s="448">
        <f>IF($L118&gt;O$5,MAX(0,O$3+ROUND((O$9*($L118-O$5)),0)),IF($L118&gt;O$4,O$3,ROUND($L118*O$7,0)))</f>
        <v/>
      </c>
      <c r="E118" s="448">
        <f>IF($L118&gt;P$5,MAX(0,P$3+ROUND((P$9*($L118-P$5)),0)),IF($L118&gt;P$4,P$3,ROUND($L118*P$7,0)))</f>
        <v/>
      </c>
      <c r="F118" s="447">
        <f>IF($L118&gt;Q$5,MAX(0,Q$3+ROUND((Q$9*($L118-Q$5)),0)),IF($L118&gt;Q$4,Q$3,ROUND($L118*Q$7,0)))</f>
        <v/>
      </c>
      <c r="G118" s="1378">
        <f>IF($L118&gt;R$5,MAX(0,R$3+ROUND((R$9*($L118-R$5)),0)),IF($L118&gt;R$4,R$3,ROUND($L118*R$7,0)))</f>
        <v/>
      </c>
      <c r="H118" s="448">
        <f>IF($L118&gt;S$5,MAX(0,S$3+ROUND((S$9*($L118-S$5)),0)),IF($L118&gt;S$4,S$3,ROUND($L118*S$7,0)))</f>
        <v/>
      </c>
      <c r="I118" s="448">
        <f>IF($L118&gt;T$5,MAX(0,T$3+ROUND((T$9*($L118-T$5)),0)),IF($L118&gt;T$4,T$3,ROUND($L118*T$7,0)))</f>
        <v/>
      </c>
      <c r="J118" s="447">
        <f>IF($L118&gt;U$5,MAX(0,U$3+ROUND((U$9*($L118-U$5)),0)),IF($L118&gt;U$4,U$3,ROUND($L118*U$7,0)))</f>
        <v/>
      </c>
      <c r="K118" s="422" t="n"/>
      <c r="L118" s="448">
        <f>ROUND((A118+B118)/2,2)</f>
        <v/>
      </c>
    </row>
    <row r="119" ht="13.5" customHeight="1" s="7635">
      <c r="A119" s="448" t="n">
        <v>5800</v>
      </c>
      <c r="B119" s="447" t="n">
        <v>5850</v>
      </c>
      <c r="C119" s="1378">
        <f>IF($L119&gt;N$5,MAX(0,N$3+ROUND((N$9*($L119-N$5)),0)),IF($L119&gt;N$4,N$3,ROUND($L119*N$7,0)))</f>
        <v/>
      </c>
      <c r="D119" s="448">
        <f>IF($L119&gt;O$5,MAX(0,O$3+ROUND((O$9*($L119-O$5)),0)),IF($L119&gt;O$4,O$3,ROUND($L119*O$7,0)))</f>
        <v/>
      </c>
      <c r="E119" s="448">
        <f>IF($L119&gt;P$5,MAX(0,P$3+ROUND((P$9*($L119-P$5)),0)),IF($L119&gt;P$4,P$3,ROUND($L119*P$7,0)))</f>
        <v/>
      </c>
      <c r="F119" s="447">
        <f>IF($L119&gt;Q$5,MAX(0,Q$3+ROUND((Q$9*($L119-Q$5)),0)),IF($L119&gt;Q$4,Q$3,ROUND($L119*Q$7,0)))</f>
        <v/>
      </c>
      <c r="G119" s="1378">
        <f>IF($L119&gt;R$5,MAX(0,R$3+ROUND((R$9*($L119-R$5)),0)),IF($L119&gt;R$4,R$3,ROUND($L119*R$7,0)))</f>
        <v/>
      </c>
      <c r="H119" s="448">
        <f>IF($L119&gt;S$5,MAX(0,S$3+ROUND((S$9*($L119-S$5)),0)),IF($L119&gt;S$4,S$3,ROUND($L119*S$7,0)))</f>
        <v/>
      </c>
      <c r="I119" s="448">
        <f>IF($L119&gt;T$5,MAX(0,T$3+ROUND((T$9*($L119-T$5)),0)),IF($L119&gt;T$4,T$3,ROUND($L119*T$7,0)))</f>
        <v/>
      </c>
      <c r="J119" s="447">
        <f>IF($L119&gt;U$5,MAX(0,U$3+ROUND((U$9*($L119-U$5)),0)),IF($L119&gt;U$4,U$3,ROUND($L119*U$7,0)))</f>
        <v/>
      </c>
      <c r="K119" s="422" t="n"/>
      <c r="L119" s="448">
        <f>ROUND((A119+B119)/2,2)</f>
        <v/>
      </c>
    </row>
    <row r="120" ht="13.5" customHeight="1" s="7635">
      <c r="A120" s="448" t="n">
        <v>5850</v>
      </c>
      <c r="B120" s="447" t="n">
        <v>5900</v>
      </c>
      <c r="C120" s="1378">
        <f>IF($L120&gt;N$5,MAX(0,N$3+ROUND((N$9*($L120-N$5)),0)),IF($L120&gt;N$4,N$3,ROUND($L120*N$7,0)))</f>
        <v/>
      </c>
      <c r="D120" s="448">
        <f>IF($L120&gt;O$5,MAX(0,O$3+ROUND((O$9*($L120-O$5)),0)),IF($L120&gt;O$4,O$3,ROUND($L120*O$7,0)))</f>
        <v/>
      </c>
      <c r="E120" s="448">
        <f>IF($L120&gt;P$5,MAX(0,P$3+ROUND((P$9*($L120-P$5)),0)),IF($L120&gt;P$4,P$3,ROUND($L120*P$7,0)))</f>
        <v/>
      </c>
      <c r="F120" s="447">
        <f>IF($L120&gt;Q$5,MAX(0,Q$3+ROUND((Q$9*($L120-Q$5)),0)),IF($L120&gt;Q$4,Q$3,ROUND($L120*Q$7,0)))</f>
        <v/>
      </c>
      <c r="G120" s="1378">
        <f>IF($L120&gt;R$5,MAX(0,R$3+ROUND((R$9*($L120-R$5)),0)),IF($L120&gt;R$4,R$3,ROUND($L120*R$7,0)))</f>
        <v/>
      </c>
      <c r="H120" s="448">
        <f>IF($L120&gt;S$5,MAX(0,S$3+ROUND((S$9*($L120-S$5)),0)),IF($L120&gt;S$4,S$3,ROUND($L120*S$7,0)))</f>
        <v/>
      </c>
      <c r="I120" s="448">
        <f>IF($L120&gt;T$5,MAX(0,T$3+ROUND((T$9*($L120-T$5)),0)),IF($L120&gt;T$4,T$3,ROUND($L120*T$7,0)))</f>
        <v/>
      </c>
      <c r="J120" s="447">
        <f>IF($L120&gt;U$5,MAX(0,U$3+ROUND((U$9*($L120-U$5)),0)),IF($L120&gt;U$4,U$3,ROUND($L120*U$7,0)))</f>
        <v/>
      </c>
      <c r="K120" s="422" t="n"/>
      <c r="L120" s="448">
        <f>ROUND((A120+B120)/2,2)</f>
        <v/>
      </c>
    </row>
    <row r="121" ht="13.5" customHeight="1" s="7635">
      <c r="A121" s="448" t="n">
        <v>5900</v>
      </c>
      <c r="B121" s="447" t="n">
        <v>5950</v>
      </c>
      <c r="C121" s="1378">
        <f>IF($L121&gt;N$5,MAX(0,N$3+ROUND((N$9*($L121-N$5)),0)),IF($L121&gt;N$4,N$3,ROUND($L121*N$7,0)))</f>
        <v/>
      </c>
      <c r="D121" s="448">
        <f>IF($L121&gt;O$5,MAX(0,O$3+ROUND((O$9*($L121-O$5)),0)),IF($L121&gt;O$4,O$3,ROUND($L121*O$7,0)))</f>
        <v/>
      </c>
      <c r="E121" s="448">
        <f>IF($L121&gt;P$5,MAX(0,P$3+ROUND((P$9*($L121-P$5)),0)),IF($L121&gt;P$4,P$3,ROUND($L121*P$7,0)))</f>
        <v/>
      </c>
      <c r="F121" s="447">
        <f>IF($L121&gt;Q$5,MAX(0,Q$3+ROUND((Q$9*($L121-Q$5)),0)),IF($L121&gt;Q$4,Q$3,ROUND($L121*Q$7,0)))</f>
        <v/>
      </c>
      <c r="G121" s="1378">
        <f>IF($L121&gt;R$5,MAX(0,R$3+ROUND((R$9*($L121-R$5)),0)),IF($L121&gt;R$4,R$3,ROUND($L121*R$7,0)))</f>
        <v/>
      </c>
      <c r="H121" s="448">
        <f>IF($L121&gt;S$5,MAX(0,S$3+ROUND((S$9*($L121-S$5)),0)),IF($L121&gt;S$4,S$3,ROUND($L121*S$7,0)))</f>
        <v/>
      </c>
      <c r="I121" s="448">
        <f>IF($L121&gt;T$5,MAX(0,T$3+ROUND((T$9*($L121-T$5)),0)),IF($L121&gt;T$4,T$3,ROUND($L121*T$7,0)))</f>
        <v/>
      </c>
      <c r="J121" s="447">
        <f>IF($L121&gt;U$5,MAX(0,U$3+ROUND((U$9*($L121-U$5)),0)),IF($L121&gt;U$4,U$3,ROUND($L121*U$7,0)))</f>
        <v/>
      </c>
      <c r="K121" s="422" t="n"/>
      <c r="L121" s="448">
        <f>ROUND((A121+B121)/2,2)</f>
        <v/>
      </c>
    </row>
    <row r="122" ht="13.5" customHeight="1" s="7635">
      <c r="A122" s="448" t="n">
        <v>5950</v>
      </c>
      <c r="B122" s="447" t="n">
        <v>6000</v>
      </c>
      <c r="C122" s="1378">
        <f>IF($L122&gt;N$5,MAX(0,N$3+ROUND((N$9*($L122-N$5)),0)),IF($L122&gt;N$4,N$3,ROUND($L122*N$7,0)))</f>
        <v/>
      </c>
      <c r="D122" s="448">
        <f>IF($L122&gt;O$5,MAX(0,O$3+ROUND((O$9*($L122-O$5)),0)),IF($L122&gt;O$4,O$3,ROUND($L122*O$7,0)))</f>
        <v/>
      </c>
      <c r="E122" s="448">
        <f>IF($L122&gt;P$5,MAX(0,P$3+ROUND((P$9*($L122-P$5)),0)),IF($L122&gt;P$4,P$3,ROUND($L122*P$7,0)))</f>
        <v/>
      </c>
      <c r="F122" s="447">
        <f>IF($L122&gt;Q$5,MAX(0,Q$3+ROUND((Q$9*($L122-Q$5)),0)),IF($L122&gt;Q$4,Q$3,ROUND($L122*Q$7,0)))</f>
        <v/>
      </c>
      <c r="G122" s="1378">
        <f>IF($L122&gt;R$5,MAX(0,R$3+ROUND((R$9*($L122-R$5)),0)),IF($L122&gt;R$4,R$3,ROUND($L122*R$7,0)))</f>
        <v/>
      </c>
      <c r="H122" s="448">
        <f>IF($L122&gt;S$5,MAX(0,S$3+ROUND((S$9*($L122-S$5)),0)),IF($L122&gt;S$4,S$3,ROUND($L122*S$7,0)))</f>
        <v/>
      </c>
      <c r="I122" s="448">
        <f>IF($L122&gt;T$5,MAX(0,T$3+ROUND((T$9*($L122-T$5)),0)),IF($L122&gt;T$4,T$3,ROUND($L122*T$7,0)))</f>
        <v/>
      </c>
      <c r="J122" s="447">
        <f>IF($L122&gt;U$5,MAX(0,U$3+ROUND((U$9*($L122-U$5)),0)),IF($L122&gt;U$4,U$3,ROUND($L122*U$7,0)))</f>
        <v/>
      </c>
      <c r="K122" s="422" t="n"/>
      <c r="L122" s="448">
        <f>ROUND((A122+B122)/2,2)</f>
        <v/>
      </c>
    </row>
    <row r="123" ht="13.5" customHeight="1" s="7635">
      <c r="A123" s="448" t="n">
        <v>6000</v>
      </c>
      <c r="B123" s="447" t="n">
        <v>6050</v>
      </c>
      <c r="C123" s="1378">
        <f>IF($L123&gt;N$5,MAX(0,N$3+ROUND((N$9*($L123-N$5)),0)),IF($L123&gt;N$4,N$3,ROUND($L123*N$7,0)))</f>
        <v/>
      </c>
      <c r="D123" s="448">
        <f>IF($L123&gt;O$5,MAX(0,O$3+ROUND((O$9*($L123-O$5)),0)),IF($L123&gt;O$4,O$3,ROUND($L123*O$7,0)))</f>
        <v/>
      </c>
      <c r="E123" s="448">
        <f>IF($L123&gt;P$5,MAX(0,P$3+ROUND((P$9*($L123-P$5)),0)),IF($L123&gt;P$4,P$3,ROUND($L123*P$7,0)))</f>
        <v/>
      </c>
      <c r="F123" s="447">
        <f>IF($L123&gt;Q$5,MAX(0,Q$3+ROUND((Q$9*($L123-Q$5)),0)),IF($L123&gt;Q$4,Q$3,ROUND($L123*Q$7,0)))</f>
        <v/>
      </c>
      <c r="G123" s="1378">
        <f>IF($L123&gt;R$5,MAX(0,R$3+ROUND((R$9*($L123-R$5)),0)),IF($L123&gt;R$4,R$3,ROUND($L123*R$7,0)))</f>
        <v/>
      </c>
      <c r="H123" s="448">
        <f>IF($L123&gt;S$5,MAX(0,S$3+ROUND((S$9*($L123-S$5)),0)),IF($L123&gt;S$4,S$3,ROUND($L123*S$7,0)))</f>
        <v/>
      </c>
      <c r="I123" s="448">
        <f>IF($L123&gt;T$5,MAX(0,T$3+ROUND((T$9*($L123-T$5)),0)),IF($L123&gt;T$4,T$3,ROUND($L123*T$7,0)))</f>
        <v/>
      </c>
      <c r="J123" s="447">
        <f>IF($L123&gt;U$5,MAX(0,U$3+ROUND((U$9*($L123-U$5)),0)),IF($L123&gt;U$4,U$3,ROUND($L123*U$7,0)))</f>
        <v/>
      </c>
      <c r="K123" s="422" t="n"/>
      <c r="L123" s="448">
        <f>ROUND((A123+B123)/2,2)</f>
        <v/>
      </c>
    </row>
    <row r="124" ht="13.5" customHeight="1" s="7635">
      <c r="A124" s="448" t="n">
        <v>6050</v>
      </c>
      <c r="B124" s="447" t="n">
        <v>6100</v>
      </c>
      <c r="C124" s="1378">
        <f>IF($L124&gt;N$5,MAX(0,N$3+ROUND((N$9*($L124-N$5)),0)),IF($L124&gt;N$4,N$3,ROUND($L124*N$7,0)))</f>
        <v/>
      </c>
      <c r="D124" s="448">
        <f>IF($L124&gt;O$5,MAX(0,O$3+ROUND((O$9*($L124-O$5)),0)),IF($L124&gt;O$4,O$3,ROUND($L124*O$7,0)))</f>
        <v/>
      </c>
      <c r="E124" s="448">
        <f>IF($L124&gt;P$5,MAX(0,P$3+ROUND((P$9*($L124-P$5)),0)),IF($L124&gt;P$4,P$3,ROUND($L124*P$7,0)))</f>
        <v/>
      </c>
      <c r="F124" s="447">
        <f>IF($L124&gt;Q$5,MAX(0,Q$3+ROUND((Q$9*($L124-Q$5)),0)),IF($L124&gt;Q$4,Q$3,ROUND($L124*Q$7,0)))</f>
        <v/>
      </c>
      <c r="G124" s="1378">
        <f>IF($L124&gt;R$5,MAX(0,R$3+ROUND((R$9*($L124-R$5)),0)),IF($L124&gt;R$4,R$3,ROUND($L124*R$7,0)))</f>
        <v/>
      </c>
      <c r="H124" s="448">
        <f>IF($L124&gt;S$5,MAX(0,S$3+ROUND((S$9*($L124-S$5)),0)),IF($L124&gt;S$4,S$3,ROUND($L124*S$7,0)))</f>
        <v/>
      </c>
      <c r="I124" s="448">
        <f>IF($L124&gt;T$5,MAX(0,T$3+ROUND((T$9*($L124-T$5)),0)),IF($L124&gt;T$4,T$3,ROUND($L124*T$7,0)))</f>
        <v/>
      </c>
      <c r="J124" s="447">
        <f>IF($L124&gt;U$5,MAX(0,U$3+ROUND((U$9*($L124-U$5)),0)),IF($L124&gt;U$4,U$3,ROUND($L124*U$7,0)))</f>
        <v/>
      </c>
      <c r="K124" s="422" t="n"/>
      <c r="L124" s="448">
        <f>ROUND((A124+B124)/2,2)</f>
        <v/>
      </c>
    </row>
    <row r="125" ht="13.5" customHeight="1" s="7635">
      <c r="A125" s="448" t="n">
        <v>6100</v>
      </c>
      <c r="B125" s="447" t="n">
        <v>6150</v>
      </c>
      <c r="C125" s="1378">
        <f>IF($L125&gt;N$5,MAX(0,N$3+ROUND((N$9*($L125-N$5)),0)),IF($L125&gt;N$4,N$3,ROUND($L125*N$7,0)))</f>
        <v/>
      </c>
      <c r="D125" s="448">
        <f>IF($L125&gt;O$5,MAX(0,O$3+ROUND((O$9*($L125-O$5)),0)),IF($L125&gt;O$4,O$3,ROUND($L125*O$7,0)))</f>
        <v/>
      </c>
      <c r="E125" s="448">
        <f>IF($L125&gt;P$5,MAX(0,P$3+ROUND((P$9*($L125-P$5)),0)),IF($L125&gt;P$4,P$3,ROUND($L125*P$7,0)))</f>
        <v/>
      </c>
      <c r="F125" s="447">
        <f>IF($L125&gt;Q$5,MAX(0,Q$3+ROUND((Q$9*($L125-Q$5)),0)),IF($L125&gt;Q$4,Q$3,ROUND($L125*Q$7,0)))</f>
        <v/>
      </c>
      <c r="G125" s="1378">
        <f>IF($L125&gt;R$5,MAX(0,R$3+ROUND((R$9*($L125-R$5)),0)),IF($L125&gt;R$4,R$3,ROUND($L125*R$7,0)))</f>
        <v/>
      </c>
      <c r="H125" s="448">
        <f>IF($L125&gt;S$5,MAX(0,S$3+ROUND((S$9*($L125-S$5)),0)),IF($L125&gt;S$4,S$3,ROUND($L125*S$7,0)))</f>
        <v/>
      </c>
      <c r="I125" s="448">
        <f>IF($L125&gt;T$5,MAX(0,T$3+ROUND((T$9*($L125-T$5)),0)),IF($L125&gt;T$4,T$3,ROUND($L125*T$7,0)))</f>
        <v/>
      </c>
      <c r="J125" s="447">
        <f>IF($L125&gt;U$5,MAX(0,U$3+ROUND((U$9*($L125-U$5)),0)),IF($L125&gt;U$4,U$3,ROUND($L125*U$7,0)))</f>
        <v/>
      </c>
      <c r="K125" s="422" t="n"/>
      <c r="L125" s="448">
        <f>ROUND((A125+B125)/2,2)</f>
        <v/>
      </c>
    </row>
    <row r="126" ht="13.5" customHeight="1" s="7635">
      <c r="A126" s="448" t="n">
        <v>6150</v>
      </c>
      <c r="B126" s="447" t="n">
        <v>6200</v>
      </c>
      <c r="C126" s="1378">
        <f>IF($L126&gt;N$5,MAX(0,N$3+ROUND((N$9*($L126-N$5)),0)),IF($L126&gt;N$4,N$3,ROUND($L126*N$7,0)))</f>
        <v/>
      </c>
      <c r="D126" s="448">
        <f>IF($L126&gt;O$5,MAX(0,O$3+ROUND((O$9*($L126-O$5)),0)),IF($L126&gt;O$4,O$3,ROUND($L126*O$7,0)))</f>
        <v/>
      </c>
      <c r="E126" s="448">
        <f>IF($L126&gt;P$5,MAX(0,P$3+ROUND((P$9*($L126-P$5)),0)),IF($L126&gt;P$4,P$3,ROUND($L126*P$7,0)))</f>
        <v/>
      </c>
      <c r="F126" s="447">
        <f>IF($L126&gt;Q$5,MAX(0,Q$3+ROUND((Q$9*($L126-Q$5)),0)),IF($L126&gt;Q$4,Q$3,ROUND($L126*Q$7,0)))</f>
        <v/>
      </c>
      <c r="G126" s="1378">
        <f>IF($L126&gt;R$5,MAX(0,R$3+ROUND((R$9*($L126-R$5)),0)),IF($L126&gt;R$4,R$3,ROUND($L126*R$7,0)))</f>
        <v/>
      </c>
      <c r="H126" s="448">
        <f>IF($L126&gt;S$5,MAX(0,S$3+ROUND((S$9*($L126-S$5)),0)),IF($L126&gt;S$4,S$3,ROUND($L126*S$7,0)))</f>
        <v/>
      </c>
      <c r="I126" s="448">
        <f>IF($L126&gt;T$5,MAX(0,T$3+ROUND((T$9*($L126-T$5)),0)),IF($L126&gt;T$4,T$3,ROUND($L126*T$7,0)))</f>
        <v/>
      </c>
      <c r="J126" s="447">
        <f>IF($L126&gt;U$5,MAX(0,U$3+ROUND((U$9*($L126-U$5)),0)),IF($L126&gt;U$4,U$3,ROUND($L126*U$7,0)))</f>
        <v/>
      </c>
      <c r="K126" s="422" t="n"/>
      <c r="L126" s="448">
        <f>ROUND((A126+B126)/2,2)</f>
        <v/>
      </c>
    </row>
    <row r="127" ht="13.5" customHeight="1" s="7635">
      <c r="A127" s="448" t="n">
        <v>6200</v>
      </c>
      <c r="B127" s="447" t="n">
        <v>6250</v>
      </c>
      <c r="C127" s="1378">
        <f>IF($L127&gt;N$5,MAX(0,N$3+ROUND((N$9*($L127-N$5)),0)),IF($L127&gt;N$4,N$3,ROUND($L127*N$7,0)))</f>
        <v/>
      </c>
      <c r="D127" s="448">
        <f>IF($L127&gt;O$5,MAX(0,O$3+ROUND((O$9*($L127-O$5)),0)),IF($L127&gt;O$4,O$3,ROUND($L127*O$7,0)))</f>
        <v/>
      </c>
      <c r="E127" s="448">
        <f>IF($L127&gt;P$5,MAX(0,P$3+ROUND((P$9*($L127-P$5)),0)),IF($L127&gt;P$4,P$3,ROUND($L127*P$7,0)))</f>
        <v/>
      </c>
      <c r="F127" s="447">
        <f>IF($L127&gt;Q$5,MAX(0,Q$3+ROUND((Q$9*($L127-Q$5)),0)),IF($L127&gt;Q$4,Q$3,ROUND($L127*Q$7,0)))</f>
        <v/>
      </c>
      <c r="G127" s="1378">
        <f>IF($L127&gt;R$5,MAX(0,R$3+ROUND((R$9*($L127-R$5)),0)),IF($L127&gt;R$4,R$3,ROUND($L127*R$7,0)))</f>
        <v/>
      </c>
      <c r="H127" s="448">
        <f>IF($L127&gt;S$5,MAX(0,S$3+ROUND((S$9*($L127-S$5)),0)),IF($L127&gt;S$4,S$3,ROUND($L127*S$7,0)))</f>
        <v/>
      </c>
      <c r="I127" s="448">
        <f>IF($L127&gt;T$5,MAX(0,T$3+ROUND((T$9*($L127-T$5)),0)),IF($L127&gt;T$4,T$3,ROUND($L127*T$7,0)))</f>
        <v/>
      </c>
      <c r="J127" s="447">
        <f>IF($L127&gt;U$5,MAX(0,U$3+ROUND((U$9*($L127-U$5)),0)),IF($L127&gt;U$4,U$3,ROUND($L127*U$7,0)))</f>
        <v/>
      </c>
      <c r="K127" s="422" t="n"/>
      <c r="L127" s="448">
        <f>ROUND((A127+B127)/2,2)</f>
        <v/>
      </c>
    </row>
    <row r="128" ht="13.5" customHeight="1" s="7635">
      <c r="A128" s="448" t="n">
        <v>6250</v>
      </c>
      <c r="B128" s="447" t="n">
        <v>6300</v>
      </c>
      <c r="C128" s="1378">
        <f>IF($L128&gt;N$5,MAX(0,N$3+ROUND((N$9*($L128-N$5)),0)),IF($L128&gt;N$4,N$3,ROUND($L128*N$7,0)))</f>
        <v/>
      </c>
      <c r="D128" s="448">
        <f>IF($L128&gt;O$5,MAX(0,O$3+ROUND((O$9*($L128-O$5)),0)),IF($L128&gt;O$4,O$3,ROUND($L128*O$7,0)))</f>
        <v/>
      </c>
      <c r="E128" s="448">
        <f>IF($L128&gt;P$5,MAX(0,P$3+ROUND((P$9*($L128-P$5)),0)),IF($L128&gt;P$4,P$3,ROUND($L128*P$7,0)))</f>
        <v/>
      </c>
      <c r="F128" s="447">
        <f>IF($L128&gt;Q$5,MAX(0,Q$3+ROUND((Q$9*($L128-Q$5)),0)),IF($L128&gt;Q$4,Q$3,ROUND($L128*Q$7,0)))</f>
        <v/>
      </c>
      <c r="G128" s="1378">
        <f>IF($L128&gt;R$5,MAX(0,R$3+ROUND((R$9*($L128-R$5)),0)),IF($L128&gt;R$4,R$3,ROUND($L128*R$7,0)))</f>
        <v/>
      </c>
      <c r="H128" s="448">
        <f>IF($L128&gt;S$5,MAX(0,S$3+ROUND((S$9*($L128-S$5)),0)),IF($L128&gt;S$4,S$3,ROUND($L128*S$7,0)))</f>
        <v/>
      </c>
      <c r="I128" s="448">
        <f>IF($L128&gt;T$5,MAX(0,T$3+ROUND((T$9*($L128-T$5)),0)),IF($L128&gt;T$4,T$3,ROUND($L128*T$7,0)))</f>
        <v/>
      </c>
      <c r="J128" s="447">
        <f>IF($L128&gt;U$5,MAX(0,U$3+ROUND((U$9*($L128-U$5)),0)),IF($L128&gt;U$4,U$3,ROUND($L128*U$7,0)))</f>
        <v/>
      </c>
      <c r="K128" s="422" t="n"/>
      <c r="L128" s="448">
        <f>ROUND((A128+B128)/2,2)</f>
        <v/>
      </c>
    </row>
    <row r="129" ht="13.5" customHeight="1" s="7635">
      <c r="A129" s="448" t="n">
        <v>6300</v>
      </c>
      <c r="B129" s="447" t="n">
        <v>6350</v>
      </c>
      <c r="C129" s="1378">
        <f>IF($L129&gt;N$5,MAX(0,N$3+ROUND((N$9*($L129-N$5)),0)),IF($L129&gt;N$4,N$3,ROUND($L129*N$7,0)))</f>
        <v/>
      </c>
      <c r="D129" s="448">
        <f>IF($L129&gt;O$5,MAX(0,O$3+ROUND((O$9*($L129-O$5)),0)),IF($L129&gt;O$4,O$3,ROUND($L129*O$7,0)))</f>
        <v/>
      </c>
      <c r="E129" s="448">
        <f>IF($L129&gt;P$5,MAX(0,P$3+ROUND((P$9*($L129-P$5)),0)),IF($L129&gt;P$4,P$3,ROUND($L129*P$7,0)))</f>
        <v/>
      </c>
      <c r="F129" s="447">
        <f>IF($L129&gt;Q$5,MAX(0,Q$3+ROUND((Q$9*($L129-Q$5)),0)),IF($L129&gt;Q$4,Q$3,ROUND($L129*Q$7,0)))</f>
        <v/>
      </c>
      <c r="G129" s="1378">
        <f>IF($L129&gt;R$5,MAX(0,R$3+ROUND((R$9*($L129-R$5)),0)),IF($L129&gt;R$4,R$3,ROUND($L129*R$7,0)))</f>
        <v/>
      </c>
      <c r="H129" s="448">
        <f>IF($L129&gt;S$5,MAX(0,S$3+ROUND((S$9*($L129-S$5)),0)),IF($L129&gt;S$4,S$3,ROUND($L129*S$7,0)))</f>
        <v/>
      </c>
      <c r="I129" s="448">
        <f>IF($L129&gt;T$5,MAX(0,T$3+ROUND((T$9*($L129-T$5)),0)),IF($L129&gt;T$4,T$3,ROUND($L129*T$7,0)))</f>
        <v/>
      </c>
      <c r="J129" s="447">
        <f>IF($L129&gt;U$5,MAX(0,U$3+ROUND((U$9*($L129-U$5)),0)),IF($L129&gt;U$4,U$3,ROUND($L129*U$7,0)))</f>
        <v/>
      </c>
      <c r="K129" s="422" t="n"/>
      <c r="L129" s="448">
        <f>ROUND((A129+B129)/2,2)</f>
        <v/>
      </c>
    </row>
    <row r="130" ht="13.5" customHeight="1" s="7635">
      <c r="A130" s="448" t="n">
        <v>6350</v>
      </c>
      <c r="B130" s="447" t="n">
        <v>6400</v>
      </c>
      <c r="C130" s="1378">
        <f>IF($L130&gt;N$5,MAX(0,N$3+ROUND((N$9*($L130-N$5)),0)),IF($L130&gt;N$4,N$3,ROUND($L130*N$7,0)))</f>
        <v/>
      </c>
      <c r="D130" s="448">
        <f>IF($L130&gt;O$5,MAX(0,O$3+ROUND((O$9*($L130-O$5)),0)),IF($L130&gt;O$4,O$3,ROUND($L130*O$7,0)))</f>
        <v/>
      </c>
      <c r="E130" s="448">
        <f>IF($L130&gt;P$5,MAX(0,P$3+ROUND((P$9*($L130-P$5)),0)),IF($L130&gt;P$4,P$3,ROUND($L130*P$7,0)))</f>
        <v/>
      </c>
      <c r="F130" s="447">
        <f>IF($L130&gt;Q$5,MAX(0,Q$3+ROUND((Q$9*($L130-Q$5)),0)),IF($L130&gt;Q$4,Q$3,ROUND($L130*Q$7,0)))</f>
        <v/>
      </c>
      <c r="G130" s="1378">
        <f>IF($L130&gt;R$5,MAX(0,R$3+ROUND((R$9*($L130-R$5)),0)),IF($L130&gt;R$4,R$3,ROUND($L130*R$7,0)))</f>
        <v/>
      </c>
      <c r="H130" s="448">
        <f>IF($L130&gt;S$5,MAX(0,S$3+ROUND((S$9*($L130-S$5)),0)),IF($L130&gt;S$4,S$3,ROUND($L130*S$7,0)))</f>
        <v/>
      </c>
      <c r="I130" s="448">
        <f>IF($L130&gt;T$5,MAX(0,T$3+ROUND((T$9*($L130-T$5)),0)),IF($L130&gt;T$4,T$3,ROUND($L130*T$7,0)))</f>
        <v/>
      </c>
      <c r="J130" s="447">
        <f>IF($L130&gt;U$5,MAX(0,U$3+ROUND((U$9*($L130-U$5)),0)),IF($L130&gt;U$4,U$3,ROUND($L130*U$7,0)))</f>
        <v/>
      </c>
      <c r="K130" s="422" t="n"/>
      <c r="L130" s="448">
        <f>ROUND((A130+B130)/2,2)</f>
        <v/>
      </c>
    </row>
    <row r="131" ht="13.5" customHeight="1" s="7635">
      <c r="A131" s="448" t="n">
        <v>6400</v>
      </c>
      <c r="B131" s="447" t="n">
        <v>6450</v>
      </c>
      <c r="C131" s="1378">
        <f>IF($L131&gt;N$5,MAX(0,N$3+ROUND((N$9*($L131-N$5)),0)),IF($L131&gt;N$4,N$3,ROUND($L131*N$7,0)))</f>
        <v/>
      </c>
      <c r="D131" s="448">
        <f>IF($L131&gt;O$5,MAX(0,O$3+ROUND((O$9*($L131-O$5)),0)),IF($L131&gt;O$4,O$3,ROUND($L131*O$7,0)))</f>
        <v/>
      </c>
      <c r="E131" s="448">
        <f>IF($L131&gt;P$5,MAX(0,P$3+ROUND((P$9*($L131-P$5)),0)),IF($L131&gt;P$4,P$3,ROUND($L131*P$7,0)))</f>
        <v/>
      </c>
      <c r="F131" s="447">
        <f>IF($L131&gt;Q$5,MAX(0,Q$3+ROUND((Q$9*($L131-Q$5)),0)),IF($L131&gt;Q$4,Q$3,ROUND($L131*Q$7,0)))</f>
        <v/>
      </c>
      <c r="G131" s="1378">
        <f>IF($L131&gt;R$5,MAX(0,R$3+ROUND((R$9*($L131-R$5)),0)),IF($L131&gt;R$4,R$3,ROUND($L131*R$7,0)))</f>
        <v/>
      </c>
      <c r="H131" s="448">
        <f>IF($L131&gt;S$5,MAX(0,S$3+ROUND((S$9*($L131-S$5)),0)),IF($L131&gt;S$4,S$3,ROUND($L131*S$7,0)))</f>
        <v/>
      </c>
      <c r="I131" s="448">
        <f>IF($L131&gt;T$5,MAX(0,T$3+ROUND((T$9*($L131-T$5)),0)),IF($L131&gt;T$4,T$3,ROUND($L131*T$7,0)))</f>
        <v/>
      </c>
      <c r="J131" s="447">
        <f>IF($L131&gt;U$5,MAX(0,U$3+ROUND((U$9*($L131-U$5)),0)),IF($L131&gt;U$4,U$3,ROUND($L131*U$7,0)))</f>
        <v/>
      </c>
      <c r="K131" s="422" t="n"/>
      <c r="L131" s="448">
        <f>ROUND((A131+B131)/2,2)</f>
        <v/>
      </c>
    </row>
    <row r="132" ht="13.5" customHeight="1" s="7635">
      <c r="A132" s="448" t="n">
        <v>6450</v>
      </c>
      <c r="B132" s="447" t="n">
        <v>6500</v>
      </c>
      <c r="C132" s="1378">
        <f>IF($L132&gt;N$5,MAX(0,N$3+ROUND((N$9*($L132-N$5)),0)),IF($L132&gt;N$4,N$3,ROUND($L132*N$7,0)))</f>
        <v/>
      </c>
      <c r="D132" s="448">
        <f>IF($L132&gt;O$5,MAX(0,O$3+ROUND((O$9*($L132-O$5)),0)),IF($L132&gt;O$4,O$3,ROUND($L132*O$7,0)))</f>
        <v/>
      </c>
      <c r="E132" s="448">
        <f>IF($L132&gt;P$5,MAX(0,P$3+ROUND((P$9*($L132-P$5)),0)),IF($L132&gt;P$4,P$3,ROUND($L132*P$7,0)))</f>
        <v/>
      </c>
      <c r="F132" s="447">
        <f>IF($L132&gt;Q$5,MAX(0,Q$3+ROUND((Q$9*($L132-Q$5)),0)),IF($L132&gt;Q$4,Q$3,ROUND($L132*Q$7,0)))</f>
        <v/>
      </c>
      <c r="G132" s="1378">
        <f>IF($L132&gt;R$5,MAX(0,R$3+ROUND((R$9*($L132-R$5)),0)),IF($L132&gt;R$4,R$3,ROUND($L132*R$7,0)))</f>
        <v/>
      </c>
      <c r="H132" s="448">
        <f>IF($L132&gt;S$5,MAX(0,S$3+ROUND((S$9*($L132-S$5)),0)),IF($L132&gt;S$4,S$3,ROUND($L132*S$7,0)))</f>
        <v/>
      </c>
      <c r="I132" s="448">
        <f>IF($L132&gt;T$5,MAX(0,T$3+ROUND((T$9*($L132-T$5)),0)),IF($L132&gt;T$4,T$3,ROUND($L132*T$7,0)))</f>
        <v/>
      </c>
      <c r="J132" s="447">
        <f>IF($L132&gt;U$5,MAX(0,U$3+ROUND((U$9*($L132-U$5)),0)),IF($L132&gt;U$4,U$3,ROUND($L132*U$7,0)))</f>
        <v/>
      </c>
      <c r="K132" s="422" t="n"/>
      <c r="L132" s="448">
        <f>ROUND((A132+B132)/2,2)</f>
        <v/>
      </c>
    </row>
    <row r="133" ht="13.5" customHeight="1" s="7635">
      <c r="A133" s="448" t="n">
        <v>6500</v>
      </c>
      <c r="B133" s="447" t="n">
        <v>6550</v>
      </c>
      <c r="C133" s="1378">
        <f>IF($L133&gt;N$5,MAX(0,N$3+ROUND((N$9*($L133-N$5)),0)),IF($L133&gt;N$4,N$3,ROUND($L133*N$7,0)))</f>
        <v/>
      </c>
      <c r="D133" s="448">
        <f>IF($L133&gt;O$5,MAX(0,O$3+ROUND((O$9*($L133-O$5)),0)),IF($L133&gt;O$4,O$3,ROUND($L133*O$7,0)))</f>
        <v/>
      </c>
      <c r="E133" s="448">
        <f>IF($L133&gt;P$5,MAX(0,P$3+ROUND((P$9*($L133-P$5)),0)),IF($L133&gt;P$4,P$3,ROUND($L133*P$7,0)))</f>
        <v/>
      </c>
      <c r="F133" s="447">
        <f>IF($L133&gt;Q$5,MAX(0,Q$3+ROUND((Q$9*($L133-Q$5)),0)),IF($L133&gt;Q$4,Q$3,ROUND($L133*Q$7,0)))</f>
        <v/>
      </c>
      <c r="G133" s="1378">
        <f>IF($L133&gt;R$5,MAX(0,R$3+ROUND((R$9*($L133-R$5)),0)),IF($L133&gt;R$4,R$3,ROUND($L133*R$7,0)))</f>
        <v/>
      </c>
      <c r="H133" s="448">
        <f>IF($L133&gt;S$5,MAX(0,S$3+ROUND((S$9*($L133-S$5)),0)),IF($L133&gt;S$4,S$3,ROUND($L133*S$7,0)))</f>
        <v/>
      </c>
      <c r="I133" s="448">
        <f>IF($L133&gt;T$5,MAX(0,T$3+ROUND((T$9*($L133-T$5)),0)),IF($L133&gt;T$4,T$3,ROUND($L133*T$7,0)))</f>
        <v/>
      </c>
      <c r="J133" s="447">
        <f>IF($L133&gt;U$5,MAX(0,U$3+ROUND((U$9*($L133-U$5)),0)),IF($L133&gt;U$4,U$3,ROUND($L133*U$7,0)))</f>
        <v/>
      </c>
      <c r="K133" s="422" t="n"/>
      <c r="L133" s="448">
        <f>ROUND((A133+B133)/2,2)</f>
        <v/>
      </c>
    </row>
    <row r="134" ht="13.5" customHeight="1" s="7635">
      <c r="A134" s="448" t="n">
        <v>6550</v>
      </c>
      <c r="B134" s="447" t="n">
        <v>6600</v>
      </c>
      <c r="C134" s="1378">
        <f>IF($L134&gt;N$5,MAX(0,N$3+ROUND((N$9*($L134-N$5)),0)),IF($L134&gt;N$4,N$3,ROUND($L134*N$7,0)))</f>
        <v/>
      </c>
      <c r="D134" s="448">
        <f>IF($L134&gt;O$5,MAX(0,O$3+ROUND((O$9*($L134-O$5)),0)),IF($L134&gt;O$4,O$3,ROUND($L134*O$7,0)))</f>
        <v/>
      </c>
      <c r="E134" s="448">
        <f>IF($L134&gt;P$5,MAX(0,P$3+ROUND((P$9*($L134-P$5)),0)),IF($L134&gt;P$4,P$3,ROUND($L134*P$7,0)))</f>
        <v/>
      </c>
      <c r="F134" s="447">
        <f>IF($L134&gt;Q$5,MAX(0,Q$3+ROUND((Q$9*($L134-Q$5)),0)),IF($L134&gt;Q$4,Q$3,ROUND($L134*Q$7,0)))</f>
        <v/>
      </c>
      <c r="G134" s="1378">
        <f>IF($L134&gt;R$5,MAX(0,R$3+ROUND((R$9*($L134-R$5)),0)),IF($L134&gt;R$4,R$3,ROUND($L134*R$7,0)))</f>
        <v/>
      </c>
      <c r="H134" s="448">
        <f>IF($L134&gt;S$5,MAX(0,S$3+ROUND((S$9*($L134-S$5)),0)),IF($L134&gt;S$4,S$3,ROUND($L134*S$7,0)))</f>
        <v/>
      </c>
      <c r="I134" s="448">
        <f>IF($L134&gt;T$5,MAX(0,T$3+ROUND((T$9*($L134-T$5)),0)),IF($L134&gt;T$4,T$3,ROUND($L134*T$7,0)))</f>
        <v/>
      </c>
      <c r="J134" s="447">
        <f>IF($L134&gt;U$5,MAX(0,U$3+ROUND((U$9*($L134-U$5)),0)),IF($L134&gt;U$4,U$3,ROUND($L134*U$7,0)))</f>
        <v/>
      </c>
      <c r="K134" s="422" t="n"/>
      <c r="L134" s="448">
        <f>ROUND((A134+B134)/2,2)</f>
        <v/>
      </c>
    </row>
    <row r="135" ht="13.5" customHeight="1" s="7635">
      <c r="A135" s="448" t="n">
        <v>6600</v>
      </c>
      <c r="B135" s="447" t="n">
        <v>6650</v>
      </c>
      <c r="C135" s="1378">
        <f>IF($L135&gt;N$5,MAX(0,N$3+ROUND((N$9*($L135-N$5)),0)),IF($L135&gt;N$4,N$3,ROUND($L135*N$7,0)))</f>
        <v/>
      </c>
      <c r="D135" s="448">
        <f>IF($L135&gt;O$5,MAX(0,O$3+ROUND((O$9*($L135-O$5)),0)),IF($L135&gt;O$4,O$3,ROUND($L135*O$7,0)))</f>
        <v/>
      </c>
      <c r="E135" s="448">
        <f>IF($L135&gt;P$5,MAX(0,P$3+ROUND((P$9*($L135-P$5)),0)),IF($L135&gt;P$4,P$3,ROUND($L135*P$7,0)))</f>
        <v/>
      </c>
      <c r="F135" s="447">
        <f>IF($L135&gt;Q$5,MAX(0,Q$3+ROUND((Q$9*($L135-Q$5)),0)),IF($L135&gt;Q$4,Q$3,ROUND($L135*Q$7,0)))</f>
        <v/>
      </c>
      <c r="G135" s="1378">
        <f>IF($L135&gt;R$5,MAX(0,R$3+ROUND((R$9*($L135-R$5)),0)),IF($L135&gt;R$4,R$3,ROUND($L135*R$7,0)))</f>
        <v/>
      </c>
      <c r="H135" s="448">
        <f>IF($L135&gt;S$5,MAX(0,S$3+ROUND((S$9*($L135-S$5)),0)),IF($L135&gt;S$4,S$3,ROUND($L135*S$7,0)))</f>
        <v/>
      </c>
      <c r="I135" s="448">
        <f>IF($L135&gt;T$5,MAX(0,T$3+ROUND((T$9*($L135-T$5)),0)),IF($L135&gt;T$4,T$3,ROUND($L135*T$7,0)))</f>
        <v/>
      </c>
      <c r="J135" s="447">
        <f>IF($L135&gt;U$5,MAX(0,U$3+ROUND((U$9*($L135-U$5)),0)),IF($L135&gt;U$4,U$3,ROUND($L135*U$7,0)))</f>
        <v/>
      </c>
      <c r="K135" s="422" t="n"/>
      <c r="L135" s="448">
        <f>ROUND((A135+B135)/2,2)</f>
        <v/>
      </c>
    </row>
    <row r="136" ht="13.5" customHeight="1" s="7635">
      <c r="A136" s="448" t="n">
        <v>6650</v>
      </c>
      <c r="B136" s="447" t="n">
        <v>6700</v>
      </c>
      <c r="C136" s="1378">
        <f>IF($L136&gt;N$5,MAX(0,N$3+ROUND((N$9*($L136-N$5)),0)),IF($L136&gt;N$4,N$3,ROUND($L136*N$7,0)))</f>
        <v/>
      </c>
      <c r="D136" s="448">
        <f>IF($L136&gt;O$5,MAX(0,O$3+ROUND((O$9*($L136-O$5)),0)),IF($L136&gt;O$4,O$3,ROUND($L136*O$7,0)))</f>
        <v/>
      </c>
      <c r="E136" s="448">
        <f>IF($L136&gt;P$5,MAX(0,P$3+ROUND((P$9*($L136-P$5)),0)),IF($L136&gt;P$4,P$3,ROUND($L136*P$7,0)))</f>
        <v/>
      </c>
      <c r="F136" s="447">
        <f>IF($L136&gt;Q$5,MAX(0,Q$3+ROUND((Q$9*($L136-Q$5)),0)),IF($L136&gt;Q$4,Q$3,ROUND($L136*Q$7,0)))</f>
        <v/>
      </c>
      <c r="G136" s="1378">
        <f>IF($L136&gt;R$5,MAX(0,R$3+ROUND((R$9*($L136-R$5)),0)),IF($L136&gt;R$4,R$3,ROUND($L136*R$7,0)))</f>
        <v/>
      </c>
      <c r="H136" s="448">
        <f>IF($L136&gt;S$5,MAX(0,S$3+ROUND((S$9*($L136-S$5)),0)),IF($L136&gt;S$4,S$3,ROUND($L136*S$7,0)))</f>
        <v/>
      </c>
      <c r="I136" s="448">
        <f>IF($L136&gt;T$5,MAX(0,T$3+ROUND((T$9*($L136-T$5)),0)),IF($L136&gt;T$4,T$3,ROUND($L136*T$7,0)))</f>
        <v/>
      </c>
      <c r="J136" s="447">
        <f>IF($L136&gt;U$5,MAX(0,U$3+ROUND((U$9*($L136-U$5)),0)),IF($L136&gt;U$4,U$3,ROUND($L136*U$7,0)))</f>
        <v/>
      </c>
      <c r="K136" s="422" t="n"/>
      <c r="L136" s="448">
        <f>ROUND((A136+B136)/2,2)</f>
        <v/>
      </c>
    </row>
    <row r="137" ht="13.5" customHeight="1" s="7635">
      <c r="A137" s="448" t="n">
        <v>6700</v>
      </c>
      <c r="B137" s="447" t="n">
        <v>6750</v>
      </c>
      <c r="C137" s="1378">
        <f>IF($L137&gt;N$5,MAX(0,N$3+ROUND((N$9*($L137-N$5)),0)),IF($L137&gt;N$4,N$3,ROUND($L137*N$7,0)))</f>
        <v/>
      </c>
      <c r="D137" s="448">
        <f>IF($L137&gt;O$5,MAX(0,O$3+ROUND((O$9*($L137-O$5)),0)),IF($L137&gt;O$4,O$3,ROUND($L137*O$7,0)))</f>
        <v/>
      </c>
      <c r="E137" s="448">
        <f>IF($L137&gt;P$5,MAX(0,P$3+ROUND((P$9*($L137-P$5)),0)),IF($L137&gt;P$4,P$3,ROUND($L137*P$7,0)))</f>
        <v/>
      </c>
      <c r="F137" s="447">
        <f>IF($L137&gt;Q$5,MAX(0,Q$3+ROUND((Q$9*($L137-Q$5)),0)),IF($L137&gt;Q$4,Q$3,ROUND($L137*Q$7,0)))</f>
        <v/>
      </c>
      <c r="G137" s="1378">
        <f>IF($L137&gt;R$5,MAX(0,R$3+ROUND((R$9*($L137-R$5)),0)),IF($L137&gt;R$4,R$3,ROUND($L137*R$7,0)))</f>
        <v/>
      </c>
      <c r="H137" s="448">
        <f>IF($L137&gt;S$5,MAX(0,S$3+ROUND((S$9*($L137-S$5)),0)),IF($L137&gt;S$4,S$3,ROUND($L137*S$7,0)))</f>
        <v/>
      </c>
      <c r="I137" s="448">
        <f>IF($L137&gt;T$5,MAX(0,T$3+ROUND((T$9*($L137-T$5)),0)),IF($L137&gt;T$4,T$3,ROUND($L137*T$7,0)))</f>
        <v/>
      </c>
      <c r="J137" s="447">
        <f>IF($L137&gt;U$5,MAX(0,U$3+ROUND((U$9*($L137-U$5)),0)),IF($L137&gt;U$4,U$3,ROUND($L137*U$7,0)))</f>
        <v/>
      </c>
      <c r="K137" s="422" t="n"/>
      <c r="L137" s="448">
        <f>ROUND((A137+B137)/2,2)</f>
        <v/>
      </c>
    </row>
    <row r="138" ht="13.5" customHeight="1" s="7635">
      <c r="A138" s="448" t="n">
        <v>6750</v>
      </c>
      <c r="B138" s="447" t="n">
        <v>6800</v>
      </c>
      <c r="C138" s="1378">
        <f>IF($L138&gt;N$5,MAX(0,N$3+ROUND((N$9*($L138-N$5)),0)),IF($L138&gt;N$4,N$3,ROUND($L138*N$7,0)))</f>
        <v/>
      </c>
      <c r="D138" s="448">
        <f>IF($L138&gt;O$5,MAX(0,O$3+ROUND((O$9*($L138-O$5)),0)),IF($L138&gt;O$4,O$3,ROUND($L138*O$7,0)))</f>
        <v/>
      </c>
      <c r="E138" s="448">
        <f>IF($L138&gt;P$5,MAX(0,P$3+ROUND((P$9*($L138-P$5)),0)),IF($L138&gt;P$4,P$3,ROUND($L138*P$7,0)))</f>
        <v/>
      </c>
      <c r="F138" s="447">
        <f>IF($L138&gt;Q$5,MAX(0,Q$3+ROUND((Q$9*($L138-Q$5)),0)),IF($L138&gt;Q$4,Q$3,ROUND($L138*Q$7,0)))</f>
        <v/>
      </c>
      <c r="G138" s="1378">
        <f>IF($L138&gt;R$5,MAX(0,R$3+ROUND((R$9*($L138-R$5)),0)),IF($L138&gt;R$4,R$3,ROUND($L138*R$7,0)))</f>
        <v/>
      </c>
      <c r="H138" s="448">
        <f>IF($L138&gt;S$5,MAX(0,S$3+ROUND((S$9*($L138-S$5)),0)),IF($L138&gt;S$4,S$3,ROUND($L138*S$7,0)))</f>
        <v/>
      </c>
      <c r="I138" s="448">
        <f>IF($L138&gt;T$5,MAX(0,T$3+ROUND((T$9*($L138-T$5)),0)),IF($L138&gt;T$4,T$3,ROUND($L138*T$7,0)))</f>
        <v/>
      </c>
      <c r="J138" s="447">
        <f>IF($L138&gt;U$5,MAX(0,U$3+ROUND((U$9*($L138-U$5)),0)),IF($L138&gt;U$4,U$3,ROUND($L138*U$7,0)))</f>
        <v/>
      </c>
      <c r="K138" s="422" t="n"/>
      <c r="L138" s="448">
        <f>ROUND((A138+B138)/2,2)</f>
        <v/>
      </c>
    </row>
    <row r="139" ht="13.5" customHeight="1" s="7635">
      <c r="A139" s="448" t="n">
        <v>6800</v>
      </c>
      <c r="B139" s="447" t="n">
        <v>6850</v>
      </c>
      <c r="C139" s="1378">
        <f>IF($L139&gt;N$5,MAX(0,N$3+ROUND((N$9*($L139-N$5)),0)),IF($L139&gt;N$4,N$3,ROUND($L139*N$7,0)))</f>
        <v/>
      </c>
      <c r="D139" s="448">
        <f>IF($L139&gt;O$5,MAX(0,O$3+ROUND((O$9*($L139-O$5)),0)),IF($L139&gt;O$4,O$3,ROUND($L139*O$7,0)))</f>
        <v/>
      </c>
      <c r="E139" s="448">
        <f>IF($L139&gt;P$5,MAX(0,P$3+ROUND((P$9*($L139-P$5)),0)),IF($L139&gt;P$4,P$3,ROUND($L139*P$7,0)))</f>
        <v/>
      </c>
      <c r="F139" s="447">
        <f>IF($L139&gt;Q$5,MAX(0,Q$3+ROUND((Q$9*($L139-Q$5)),0)),IF($L139&gt;Q$4,Q$3,ROUND($L139*Q$7,0)))</f>
        <v/>
      </c>
      <c r="G139" s="1378">
        <f>IF($L139&gt;R$5,MAX(0,R$3+ROUND((R$9*($L139-R$5)),0)),IF($L139&gt;R$4,R$3,ROUND($L139*R$7,0)))</f>
        <v/>
      </c>
      <c r="H139" s="448">
        <f>IF($L139&gt;S$5,MAX(0,S$3+ROUND((S$9*($L139-S$5)),0)),IF($L139&gt;S$4,S$3,ROUND($L139*S$7,0)))</f>
        <v/>
      </c>
      <c r="I139" s="448">
        <f>IF($L139&gt;T$5,MAX(0,T$3+ROUND((T$9*($L139-T$5)),0)),IF($L139&gt;T$4,T$3,ROUND($L139*T$7,0)))</f>
        <v/>
      </c>
      <c r="J139" s="447">
        <f>IF($L139&gt;U$5,MAX(0,U$3+ROUND((U$9*($L139-U$5)),0)),IF($L139&gt;U$4,U$3,ROUND($L139*U$7,0)))</f>
        <v/>
      </c>
      <c r="K139" s="422" t="n"/>
      <c r="L139" s="448">
        <f>ROUND((A139+B139)/2,2)</f>
        <v/>
      </c>
    </row>
    <row r="140" ht="13.5" customHeight="1" s="7635">
      <c r="A140" s="448" t="n">
        <v>6850</v>
      </c>
      <c r="B140" s="447" t="n">
        <v>6900</v>
      </c>
      <c r="C140" s="1378">
        <f>IF($L140&gt;N$5,MAX(0,N$3+ROUND((N$9*($L140-N$5)),0)),IF($L140&gt;N$4,N$3,ROUND($L140*N$7,0)))</f>
        <v/>
      </c>
      <c r="D140" s="448">
        <f>IF($L140&gt;O$5,MAX(0,O$3+ROUND((O$9*($L140-O$5)),0)),IF($L140&gt;O$4,O$3,ROUND($L140*O$7,0)))</f>
        <v/>
      </c>
      <c r="E140" s="448">
        <f>IF($L140&gt;P$5,MAX(0,P$3+ROUND((P$9*($L140-P$5)),0)),IF($L140&gt;P$4,P$3,ROUND($L140*P$7,0)))</f>
        <v/>
      </c>
      <c r="F140" s="447">
        <f>IF($L140&gt;Q$5,MAX(0,Q$3+ROUND((Q$9*($L140-Q$5)),0)),IF($L140&gt;Q$4,Q$3,ROUND($L140*Q$7,0)))</f>
        <v/>
      </c>
      <c r="G140" s="1378">
        <f>IF($L140&gt;R$5,MAX(0,R$3+ROUND((R$9*($L140-R$5)),0)),IF($L140&gt;R$4,R$3,ROUND($L140*R$7,0)))</f>
        <v/>
      </c>
      <c r="H140" s="448">
        <f>IF($L140&gt;S$5,MAX(0,S$3+ROUND((S$9*($L140-S$5)),0)),IF($L140&gt;S$4,S$3,ROUND($L140*S$7,0)))</f>
        <v/>
      </c>
      <c r="I140" s="448">
        <f>IF($L140&gt;T$5,MAX(0,T$3+ROUND((T$9*($L140-T$5)),0)),IF($L140&gt;T$4,T$3,ROUND($L140*T$7,0)))</f>
        <v/>
      </c>
      <c r="J140" s="447">
        <f>IF($L140&gt;U$5,MAX(0,U$3+ROUND((U$9*($L140-U$5)),0)),IF($L140&gt;U$4,U$3,ROUND($L140*U$7,0)))</f>
        <v/>
      </c>
      <c r="K140" s="422" t="n"/>
      <c r="L140" s="448">
        <f>ROUND((A140+B140)/2,2)</f>
        <v/>
      </c>
    </row>
    <row r="141" ht="13.5" customHeight="1" s="7635">
      <c r="A141" s="448" t="n">
        <v>6900</v>
      </c>
      <c r="B141" s="447" t="n">
        <v>6950</v>
      </c>
      <c r="C141" s="1378">
        <f>IF($L141&gt;N$5,MAX(0,N$3+ROUND((N$9*($L141-N$5)),0)),IF($L141&gt;N$4,N$3,ROUND($L141*N$7,0)))</f>
        <v/>
      </c>
      <c r="D141" s="448">
        <f>IF($L141&gt;O$5,MAX(0,O$3+ROUND((O$9*($L141-O$5)),0)),IF($L141&gt;O$4,O$3,ROUND($L141*O$7,0)))</f>
        <v/>
      </c>
      <c r="E141" s="448">
        <f>IF($L141&gt;P$5,MAX(0,P$3+ROUND((P$9*($L141-P$5)),0)),IF($L141&gt;P$4,P$3,ROUND($L141*P$7,0)))</f>
        <v/>
      </c>
      <c r="F141" s="447">
        <f>IF($L141&gt;Q$5,MAX(0,Q$3+ROUND((Q$9*($L141-Q$5)),0)),IF($L141&gt;Q$4,Q$3,ROUND($L141*Q$7,0)))</f>
        <v/>
      </c>
      <c r="G141" s="1378">
        <f>IF($L141&gt;R$5,MAX(0,R$3+ROUND((R$9*($L141-R$5)),0)),IF($L141&gt;R$4,R$3,ROUND($L141*R$7,0)))</f>
        <v/>
      </c>
      <c r="H141" s="448">
        <f>IF($L141&gt;S$5,MAX(0,S$3+ROUND((S$9*($L141-S$5)),0)),IF($L141&gt;S$4,S$3,ROUND($L141*S$7,0)))</f>
        <v/>
      </c>
      <c r="I141" s="448">
        <f>IF($L141&gt;T$5,MAX(0,T$3+ROUND((T$9*($L141-T$5)),0)),IF($L141&gt;T$4,T$3,ROUND($L141*T$7,0)))</f>
        <v/>
      </c>
      <c r="J141" s="447">
        <f>IF($L141&gt;U$5,MAX(0,U$3+ROUND((U$9*($L141-U$5)),0)),IF($L141&gt;U$4,U$3,ROUND($L141*U$7,0)))</f>
        <v/>
      </c>
      <c r="K141" s="422" t="n"/>
      <c r="L141" s="448">
        <f>ROUND((A141+B141)/2,2)</f>
        <v/>
      </c>
    </row>
    <row r="142" ht="13.5" customHeight="1" s="7635">
      <c r="A142" s="448" t="n">
        <v>6950</v>
      </c>
      <c r="B142" s="447" t="n">
        <v>7000</v>
      </c>
      <c r="C142" s="1378">
        <f>IF($L142&gt;N$5,MAX(0,N$3+ROUND((N$9*($L142-N$5)),0)),IF($L142&gt;N$4,N$3,ROUND($L142*N$7,0)))</f>
        <v/>
      </c>
      <c r="D142" s="448">
        <f>IF($L142&gt;O$5,MAX(0,O$3+ROUND((O$9*($L142-O$5)),0)),IF($L142&gt;O$4,O$3,ROUND($L142*O$7,0)))</f>
        <v/>
      </c>
      <c r="E142" s="448">
        <f>IF($L142&gt;P$5,MAX(0,P$3+ROUND((P$9*($L142-P$5)),0)),IF($L142&gt;P$4,P$3,ROUND($L142*P$7,0)))</f>
        <v/>
      </c>
      <c r="F142" s="447">
        <f>IF($L142&gt;Q$5,MAX(0,Q$3+ROUND((Q$9*($L142-Q$5)),0)),IF($L142&gt;Q$4,Q$3,ROUND($L142*Q$7,0)))</f>
        <v/>
      </c>
      <c r="G142" s="1378">
        <f>IF($L142&gt;R$5,MAX(0,R$3+ROUND((R$9*($L142-R$5)),0)),IF($L142&gt;R$4,R$3,ROUND($L142*R$7,0)))</f>
        <v/>
      </c>
      <c r="H142" s="448">
        <f>IF($L142&gt;S$5,MAX(0,S$3+ROUND((S$9*($L142-S$5)),0)),IF($L142&gt;S$4,S$3,ROUND($L142*S$7,0)))</f>
        <v/>
      </c>
      <c r="I142" s="448">
        <f>IF($L142&gt;T$5,MAX(0,T$3+ROUND((T$9*($L142-T$5)),0)),IF($L142&gt;T$4,T$3,ROUND($L142*T$7,0)))</f>
        <v/>
      </c>
      <c r="J142" s="447">
        <f>IF($L142&gt;U$5,MAX(0,U$3+ROUND((U$9*($L142-U$5)),0)),IF($L142&gt;U$4,U$3,ROUND($L142*U$7,0)))</f>
        <v/>
      </c>
      <c r="K142" s="422" t="n"/>
      <c r="L142" s="448">
        <f>ROUND((A142+B142)/2,2)</f>
        <v/>
      </c>
    </row>
    <row r="143" ht="13.5" customHeight="1" s="7635">
      <c r="A143" s="448" t="n">
        <v>7000</v>
      </c>
      <c r="B143" s="447" t="n">
        <v>7050</v>
      </c>
      <c r="C143" s="1378">
        <f>IF($L143&gt;N$5,MAX(0,N$3+ROUND((N$9*($L143-N$5)),0)),IF($L143&gt;N$4,N$3,ROUND($L143*N$7,0)))</f>
        <v/>
      </c>
      <c r="D143" s="448">
        <f>IF($L143&gt;O$5,MAX(0,O$3+ROUND((O$9*($L143-O$5)),0)),IF($L143&gt;O$4,O$3,ROUND($L143*O$7,0)))</f>
        <v/>
      </c>
      <c r="E143" s="448">
        <f>IF($L143&gt;P$5,MAX(0,P$3+ROUND((P$9*($L143-P$5)),0)),IF($L143&gt;P$4,P$3,ROUND($L143*P$7,0)))</f>
        <v/>
      </c>
      <c r="F143" s="447">
        <f>IF($L143&gt;Q$5,MAX(0,Q$3+ROUND((Q$9*($L143-Q$5)),0)),IF($L143&gt;Q$4,Q$3,ROUND($L143*Q$7,0)))</f>
        <v/>
      </c>
      <c r="G143" s="1378">
        <f>IF($L143&gt;R$5,MAX(0,R$3+ROUND((R$9*($L143-R$5)),0)),IF($L143&gt;R$4,R$3,ROUND($L143*R$7,0)))</f>
        <v/>
      </c>
      <c r="H143" s="448">
        <f>IF($L143&gt;S$5,MAX(0,S$3+ROUND((S$9*($L143-S$5)),0)),IF($L143&gt;S$4,S$3,ROUND($L143*S$7,0)))</f>
        <v/>
      </c>
      <c r="I143" s="448">
        <f>IF($L143&gt;T$5,MAX(0,T$3+ROUND((T$9*($L143-T$5)),0)),IF($L143&gt;T$4,T$3,ROUND($L143*T$7,0)))</f>
        <v/>
      </c>
      <c r="J143" s="447">
        <f>IF($L143&gt;U$5,MAX(0,U$3+ROUND((U$9*($L143-U$5)),0)),IF($L143&gt;U$4,U$3,ROUND($L143*U$7,0)))</f>
        <v/>
      </c>
      <c r="K143" s="422" t="n"/>
      <c r="L143" s="448">
        <f>ROUND((A143+B143)/2,2)</f>
        <v/>
      </c>
    </row>
    <row r="144" ht="13.5" customHeight="1" s="7635">
      <c r="A144" s="448" t="n">
        <v>7050</v>
      </c>
      <c r="B144" s="447" t="n">
        <v>7100</v>
      </c>
      <c r="C144" s="1378">
        <f>IF($L144&gt;N$5,MAX(0,N$3+ROUND((N$9*($L144-N$5)),0)),IF($L144&gt;N$4,N$3,ROUND($L144*N$7,0)))</f>
        <v/>
      </c>
      <c r="D144" s="448">
        <f>IF($L144&gt;O$5,MAX(0,O$3+ROUND((O$9*($L144-O$5)),0)),IF($L144&gt;O$4,O$3,ROUND($L144*O$7,0)))</f>
        <v/>
      </c>
      <c r="E144" s="448">
        <f>IF($L144&gt;P$5,MAX(0,P$3+ROUND((P$9*($L144-P$5)),0)),IF($L144&gt;P$4,P$3,ROUND($L144*P$7,0)))</f>
        <v/>
      </c>
      <c r="F144" s="447">
        <f>IF($L144&gt;Q$5,MAX(0,Q$3+ROUND((Q$9*($L144-Q$5)),0)),IF($L144&gt;Q$4,Q$3,ROUND($L144*Q$7,0)))</f>
        <v/>
      </c>
      <c r="G144" s="1378">
        <f>IF($L144&gt;R$5,MAX(0,R$3+ROUND((R$9*($L144-R$5)),0)),IF($L144&gt;R$4,R$3,ROUND($L144*R$7,0)))</f>
        <v/>
      </c>
      <c r="H144" s="448">
        <f>IF($L144&gt;S$5,MAX(0,S$3+ROUND((S$9*($L144-S$5)),0)),IF($L144&gt;S$4,S$3,ROUND($L144*S$7,0)))</f>
        <v/>
      </c>
      <c r="I144" s="448">
        <f>IF($L144&gt;T$5,MAX(0,T$3+ROUND((T$9*($L144-T$5)),0)),IF($L144&gt;T$4,T$3,ROUND($L144*T$7,0)))</f>
        <v/>
      </c>
      <c r="J144" s="447">
        <f>IF($L144&gt;U$5,MAX(0,U$3+ROUND((U$9*($L144-U$5)),0)),IF($L144&gt;U$4,U$3,ROUND($L144*U$7,0)))</f>
        <v/>
      </c>
      <c r="K144" s="422" t="n"/>
      <c r="L144" s="448">
        <f>ROUND((A144+B144)/2,2)</f>
        <v/>
      </c>
    </row>
    <row r="145" ht="13.5" customHeight="1" s="7635">
      <c r="A145" s="448" t="n">
        <v>7100</v>
      </c>
      <c r="B145" s="447" t="n">
        <v>7150</v>
      </c>
      <c r="C145" s="1378">
        <f>IF($L145&gt;N$5,MAX(0,N$3+ROUND((N$9*($L145-N$5)),0)),IF($L145&gt;N$4,N$3,ROUND($L145*N$7,0)))</f>
        <v/>
      </c>
      <c r="D145" s="448">
        <f>IF($L145&gt;O$5,MAX(0,O$3+ROUND((O$9*($L145-O$5)),0)),IF($L145&gt;O$4,O$3,ROUND($L145*O$7,0)))</f>
        <v/>
      </c>
      <c r="E145" s="448">
        <f>IF($L145&gt;P$5,MAX(0,P$3+ROUND((P$9*($L145-P$5)),0)),IF($L145&gt;P$4,P$3,ROUND($L145*P$7,0)))</f>
        <v/>
      </c>
      <c r="F145" s="447">
        <f>IF($L145&gt;Q$5,MAX(0,Q$3+ROUND((Q$9*($L145-Q$5)),0)),IF($L145&gt;Q$4,Q$3,ROUND($L145*Q$7,0)))</f>
        <v/>
      </c>
      <c r="G145" s="1378">
        <f>IF($L145&gt;R$5,MAX(0,R$3+ROUND((R$9*($L145-R$5)),0)),IF($L145&gt;R$4,R$3,ROUND($L145*R$7,0)))</f>
        <v/>
      </c>
      <c r="H145" s="448">
        <f>IF($L145&gt;S$5,MAX(0,S$3+ROUND((S$9*($L145-S$5)),0)),IF($L145&gt;S$4,S$3,ROUND($L145*S$7,0)))</f>
        <v/>
      </c>
      <c r="I145" s="448">
        <f>IF($L145&gt;T$5,MAX(0,T$3+ROUND((T$9*($L145-T$5)),0)),IF($L145&gt;T$4,T$3,ROUND($L145*T$7,0)))</f>
        <v/>
      </c>
      <c r="J145" s="447">
        <f>IF($L145&gt;U$5,MAX(0,U$3+ROUND((U$9*($L145-U$5)),0)),IF($L145&gt;U$4,U$3,ROUND($L145*U$7,0)))</f>
        <v/>
      </c>
      <c r="K145" s="422" t="n"/>
      <c r="L145" s="448">
        <f>ROUND((A145+B145)/2,2)</f>
        <v/>
      </c>
    </row>
    <row r="146" ht="13.5" customHeight="1" s="7635">
      <c r="A146" s="448" t="n">
        <v>7150</v>
      </c>
      <c r="B146" s="447" t="n">
        <v>7200</v>
      </c>
      <c r="C146" s="1378">
        <f>IF($L146&gt;N$5,MAX(0,N$3+ROUND((N$9*($L146-N$5)),0)),IF($L146&gt;N$4,N$3,ROUND($L146*N$7,0)))</f>
        <v/>
      </c>
      <c r="D146" s="448">
        <f>IF($L146&gt;O$5,MAX(0,O$3+ROUND((O$9*($L146-O$5)),0)),IF($L146&gt;O$4,O$3,ROUND($L146*O$7,0)))</f>
        <v/>
      </c>
      <c r="E146" s="448">
        <f>IF($L146&gt;P$5,MAX(0,P$3+ROUND((P$9*($L146-P$5)),0)),IF($L146&gt;P$4,P$3,ROUND($L146*P$7,0)))</f>
        <v/>
      </c>
      <c r="F146" s="447">
        <f>IF($L146&gt;Q$5,MAX(0,Q$3+ROUND((Q$9*($L146-Q$5)),0)),IF($L146&gt;Q$4,Q$3,ROUND($L146*Q$7,0)))</f>
        <v/>
      </c>
      <c r="G146" s="1378">
        <f>IF($L146&gt;R$5,MAX(0,R$3+ROUND((R$9*($L146-R$5)),0)),IF($L146&gt;R$4,R$3,ROUND($L146*R$7,0)))</f>
        <v/>
      </c>
      <c r="H146" s="448">
        <f>IF($L146&gt;S$5,MAX(0,S$3+ROUND((S$9*($L146-S$5)),0)),IF($L146&gt;S$4,S$3,ROUND($L146*S$7,0)))</f>
        <v/>
      </c>
      <c r="I146" s="448">
        <f>IF($L146&gt;T$5,MAX(0,T$3+ROUND((T$9*($L146-T$5)),0)),IF($L146&gt;T$4,T$3,ROUND($L146*T$7,0)))</f>
        <v/>
      </c>
      <c r="J146" s="447">
        <f>IF($L146&gt;U$5,MAX(0,U$3+ROUND((U$9*($L146-U$5)),0)),IF($L146&gt;U$4,U$3,ROUND($L146*U$7,0)))</f>
        <v/>
      </c>
      <c r="K146" s="422" t="n"/>
      <c r="L146" s="448">
        <f>ROUND((A146+B146)/2,2)</f>
        <v/>
      </c>
    </row>
    <row r="147" ht="13.5" customHeight="1" s="7635">
      <c r="A147" s="448" t="n">
        <v>7200</v>
      </c>
      <c r="B147" s="447" t="n">
        <v>7250</v>
      </c>
      <c r="C147" s="1378">
        <f>IF($L147&gt;N$5,MAX(0,N$3+ROUND((N$9*($L147-N$5)),0)),IF($L147&gt;N$4,N$3,ROUND($L147*N$7,0)))</f>
        <v/>
      </c>
      <c r="D147" s="448">
        <f>IF($L147&gt;O$5,MAX(0,O$3+ROUND((O$9*($L147-O$5)),0)),IF($L147&gt;O$4,O$3,ROUND($L147*O$7,0)))</f>
        <v/>
      </c>
      <c r="E147" s="448">
        <f>IF($L147&gt;P$5,MAX(0,P$3+ROUND((P$9*($L147-P$5)),0)),IF($L147&gt;P$4,P$3,ROUND($L147*P$7,0)))</f>
        <v/>
      </c>
      <c r="F147" s="447">
        <f>IF($L147&gt;Q$5,MAX(0,Q$3+ROUND((Q$9*($L147-Q$5)),0)),IF($L147&gt;Q$4,Q$3,ROUND($L147*Q$7,0)))</f>
        <v/>
      </c>
      <c r="G147" s="1378">
        <f>IF($L147&gt;R$5,MAX(0,R$3+ROUND((R$9*($L147-R$5)),0)),IF($L147&gt;R$4,R$3,ROUND($L147*R$7,0)))</f>
        <v/>
      </c>
      <c r="H147" s="448">
        <f>IF($L147&gt;S$5,MAX(0,S$3+ROUND((S$9*($L147-S$5)),0)),IF($L147&gt;S$4,S$3,ROUND($L147*S$7,0)))</f>
        <v/>
      </c>
      <c r="I147" s="448">
        <f>IF($L147&gt;T$5,MAX(0,T$3+ROUND((T$9*($L147-T$5)),0)),IF($L147&gt;T$4,T$3,ROUND($L147*T$7,0)))</f>
        <v/>
      </c>
      <c r="J147" s="447">
        <f>IF($L147&gt;U$5,MAX(0,U$3+ROUND((U$9*($L147-U$5)),0)),IF($L147&gt;U$4,U$3,ROUND($L147*U$7,0)))</f>
        <v/>
      </c>
      <c r="K147" s="422" t="n"/>
      <c r="L147" s="448">
        <f>ROUND((A147+B147)/2,2)</f>
        <v/>
      </c>
    </row>
    <row r="148" ht="13.5" customHeight="1" s="7635">
      <c r="A148" s="448" t="n">
        <v>7250</v>
      </c>
      <c r="B148" s="447" t="n">
        <v>7300</v>
      </c>
      <c r="C148" s="1378">
        <f>IF($L148&gt;N$5,MAX(0,N$3+ROUND((N$9*($L148-N$5)),0)),IF($L148&gt;N$4,N$3,ROUND($L148*N$7,0)))</f>
        <v/>
      </c>
      <c r="D148" s="448">
        <f>IF($L148&gt;O$5,MAX(0,O$3+ROUND((O$9*($L148-O$5)),0)),IF($L148&gt;O$4,O$3,ROUND($L148*O$7,0)))</f>
        <v/>
      </c>
      <c r="E148" s="448">
        <f>IF($L148&gt;P$5,MAX(0,P$3+ROUND((P$9*($L148-P$5)),0)),IF($L148&gt;P$4,P$3,ROUND($L148*P$7,0)))</f>
        <v/>
      </c>
      <c r="F148" s="447">
        <f>IF($L148&gt;Q$5,MAX(0,Q$3+ROUND((Q$9*($L148-Q$5)),0)),IF($L148&gt;Q$4,Q$3,ROUND($L148*Q$7,0)))</f>
        <v/>
      </c>
      <c r="G148" s="1378">
        <f>IF($L148&gt;R$5,MAX(0,R$3+ROUND((R$9*($L148-R$5)),0)),IF($L148&gt;R$4,R$3,ROUND($L148*R$7,0)))</f>
        <v/>
      </c>
      <c r="H148" s="448">
        <f>IF($L148&gt;S$5,MAX(0,S$3+ROUND((S$9*($L148-S$5)),0)),IF($L148&gt;S$4,S$3,ROUND($L148*S$7,0)))</f>
        <v/>
      </c>
      <c r="I148" s="448">
        <f>IF($L148&gt;T$5,MAX(0,T$3+ROUND((T$9*($L148-T$5)),0)),IF($L148&gt;T$4,T$3,ROUND($L148*T$7,0)))</f>
        <v/>
      </c>
      <c r="J148" s="447">
        <f>IF($L148&gt;U$5,MAX(0,U$3+ROUND((U$9*($L148-U$5)),0)),IF($L148&gt;U$4,U$3,ROUND($L148*U$7,0)))</f>
        <v/>
      </c>
      <c r="K148" s="422" t="n"/>
      <c r="L148" s="448">
        <f>ROUND((A148+B148)/2,2)</f>
        <v/>
      </c>
    </row>
    <row r="149" ht="13.5" customHeight="1" s="7635">
      <c r="A149" s="448" t="n">
        <v>7300</v>
      </c>
      <c r="B149" s="447" t="n">
        <v>7350</v>
      </c>
      <c r="C149" s="1378">
        <f>IF($L149&gt;N$5,MAX(0,N$3+ROUND((N$9*($L149-N$5)),0)),IF($L149&gt;N$4,N$3,ROUND($L149*N$7,0)))</f>
        <v/>
      </c>
      <c r="D149" s="448">
        <f>IF($L149&gt;O$5,MAX(0,O$3+ROUND((O$9*($L149-O$5)),0)),IF($L149&gt;O$4,O$3,ROUND($L149*O$7,0)))</f>
        <v/>
      </c>
      <c r="E149" s="448">
        <f>IF($L149&gt;P$5,MAX(0,P$3+ROUND((P$9*($L149-P$5)),0)),IF($L149&gt;P$4,P$3,ROUND($L149*P$7,0)))</f>
        <v/>
      </c>
      <c r="F149" s="447">
        <f>IF($L149&gt;Q$5,MAX(0,Q$3+ROUND((Q$9*($L149-Q$5)),0)),IF($L149&gt;Q$4,Q$3,ROUND($L149*Q$7,0)))</f>
        <v/>
      </c>
      <c r="G149" s="1378">
        <f>IF($L149&gt;R$5,MAX(0,R$3+ROUND((R$9*($L149-R$5)),0)),IF($L149&gt;R$4,R$3,ROUND($L149*R$7,0)))</f>
        <v/>
      </c>
      <c r="H149" s="448">
        <f>IF($L149&gt;S$5,MAX(0,S$3+ROUND((S$9*($L149-S$5)),0)),IF($L149&gt;S$4,S$3,ROUND($L149*S$7,0)))</f>
        <v/>
      </c>
      <c r="I149" s="448">
        <f>IF($L149&gt;T$5,MAX(0,T$3+ROUND((T$9*($L149-T$5)),0)),IF($L149&gt;T$4,T$3,ROUND($L149*T$7,0)))</f>
        <v/>
      </c>
      <c r="J149" s="447">
        <f>IF($L149&gt;U$5,MAX(0,U$3+ROUND((U$9*($L149-U$5)),0)),IF($L149&gt;U$4,U$3,ROUND($L149*U$7,0)))</f>
        <v/>
      </c>
      <c r="K149" s="422" t="n"/>
      <c r="L149" s="448">
        <f>ROUND((A149+B149)/2,2)</f>
        <v/>
      </c>
    </row>
    <row r="150" ht="13.5" customHeight="1" s="7635">
      <c r="A150" s="448" t="n">
        <v>7350</v>
      </c>
      <c r="B150" s="447" t="n">
        <v>7400</v>
      </c>
      <c r="C150" s="1378">
        <f>IF($L150&gt;N$5,MAX(0,N$3+ROUND((N$9*($L150-N$5)),0)),IF($L150&gt;N$4,N$3,ROUND($L150*N$7,0)))</f>
        <v/>
      </c>
      <c r="D150" s="448">
        <f>IF($L150&gt;O$5,MAX(0,O$3+ROUND((O$9*($L150-O$5)),0)),IF($L150&gt;O$4,O$3,ROUND($L150*O$7,0)))</f>
        <v/>
      </c>
      <c r="E150" s="448">
        <f>IF($L150&gt;P$5,MAX(0,P$3+ROUND((P$9*($L150-P$5)),0)),IF($L150&gt;P$4,P$3,ROUND($L150*P$7,0)))</f>
        <v/>
      </c>
      <c r="F150" s="447">
        <f>IF($L150&gt;Q$5,MAX(0,Q$3+ROUND((Q$9*($L150-Q$5)),0)),IF($L150&gt;Q$4,Q$3,ROUND($L150*Q$7,0)))</f>
        <v/>
      </c>
      <c r="G150" s="1378">
        <f>IF($L150&gt;R$5,MAX(0,R$3+ROUND((R$9*($L150-R$5)),0)),IF($L150&gt;R$4,R$3,ROUND($L150*R$7,0)))</f>
        <v/>
      </c>
      <c r="H150" s="448">
        <f>IF($L150&gt;S$5,MAX(0,S$3+ROUND((S$9*($L150-S$5)),0)),IF($L150&gt;S$4,S$3,ROUND($L150*S$7,0)))</f>
        <v/>
      </c>
      <c r="I150" s="448">
        <f>IF($L150&gt;T$5,MAX(0,T$3+ROUND((T$9*($L150-T$5)),0)),IF($L150&gt;T$4,T$3,ROUND($L150*T$7,0)))</f>
        <v/>
      </c>
      <c r="J150" s="447">
        <f>IF($L150&gt;U$5,MAX(0,U$3+ROUND((U$9*($L150-U$5)),0)),IF($L150&gt;U$4,U$3,ROUND($L150*U$7,0)))</f>
        <v/>
      </c>
      <c r="K150" s="422" t="n"/>
      <c r="L150" s="448">
        <f>ROUND((A150+B150)/2,2)</f>
        <v/>
      </c>
    </row>
    <row r="151" ht="13.5" customHeight="1" s="7635">
      <c r="A151" s="448" t="n">
        <v>7400</v>
      </c>
      <c r="B151" s="447" t="n">
        <v>7450</v>
      </c>
      <c r="C151" s="1378">
        <f>IF($L151&gt;N$5,MAX(0,N$3+ROUND((N$9*($L151-N$5)),0)),IF($L151&gt;N$4,N$3,ROUND($L151*N$7,0)))</f>
        <v/>
      </c>
      <c r="D151" s="448">
        <f>IF($L151&gt;O$5,MAX(0,O$3+ROUND((O$9*($L151-O$5)),0)),IF($L151&gt;O$4,O$3,ROUND($L151*O$7,0)))</f>
        <v/>
      </c>
      <c r="E151" s="448">
        <f>IF($L151&gt;P$5,MAX(0,P$3+ROUND((P$9*($L151-P$5)),0)),IF($L151&gt;P$4,P$3,ROUND($L151*P$7,0)))</f>
        <v/>
      </c>
      <c r="F151" s="447">
        <f>IF($L151&gt;Q$5,MAX(0,Q$3+ROUND((Q$9*($L151-Q$5)),0)),IF($L151&gt;Q$4,Q$3,ROUND($L151*Q$7,0)))</f>
        <v/>
      </c>
      <c r="G151" s="1378">
        <f>IF($L151&gt;R$5,MAX(0,R$3+ROUND((R$9*($L151-R$5)),0)),IF($L151&gt;R$4,R$3,ROUND($L151*R$7,0)))</f>
        <v/>
      </c>
      <c r="H151" s="448">
        <f>IF($L151&gt;S$5,MAX(0,S$3+ROUND((S$9*($L151-S$5)),0)),IF($L151&gt;S$4,S$3,ROUND($L151*S$7,0)))</f>
        <v/>
      </c>
      <c r="I151" s="448">
        <f>IF($L151&gt;T$5,MAX(0,T$3+ROUND((T$9*($L151-T$5)),0)),IF($L151&gt;T$4,T$3,ROUND($L151*T$7,0)))</f>
        <v/>
      </c>
      <c r="J151" s="447">
        <f>IF($L151&gt;U$5,MAX(0,U$3+ROUND((U$9*($L151-U$5)),0)),IF($L151&gt;U$4,U$3,ROUND($L151*U$7,0)))</f>
        <v/>
      </c>
      <c r="K151" s="422" t="n"/>
      <c r="L151" s="448">
        <f>ROUND((A151+B151)/2,2)</f>
        <v/>
      </c>
    </row>
    <row r="152" ht="13.5" customHeight="1" s="7635">
      <c r="A152" s="448" t="n">
        <v>7450</v>
      </c>
      <c r="B152" s="447" t="n">
        <v>7500</v>
      </c>
      <c r="C152" s="1378">
        <f>IF($L152&gt;N$5,MAX(0,N$3+ROUND((N$9*($L152-N$5)),0)),IF($L152&gt;N$4,N$3,ROUND($L152*N$7,0)))</f>
        <v/>
      </c>
      <c r="D152" s="448">
        <f>IF($L152&gt;O$5,MAX(0,O$3+ROUND((O$9*($L152-O$5)),0)),IF($L152&gt;O$4,O$3,ROUND($L152*O$7,0)))</f>
        <v/>
      </c>
      <c r="E152" s="448">
        <f>IF($L152&gt;P$5,MAX(0,P$3+ROUND((P$9*($L152-P$5)),0)),IF($L152&gt;P$4,P$3,ROUND($L152*P$7,0)))</f>
        <v/>
      </c>
      <c r="F152" s="447">
        <f>IF($L152&gt;Q$5,MAX(0,Q$3+ROUND((Q$9*($L152-Q$5)),0)),IF($L152&gt;Q$4,Q$3,ROUND($L152*Q$7,0)))</f>
        <v/>
      </c>
      <c r="G152" s="1378">
        <f>IF($L152&gt;R$5,MAX(0,R$3+ROUND((R$9*($L152-R$5)),0)),IF($L152&gt;R$4,R$3,ROUND($L152*R$7,0)))</f>
        <v/>
      </c>
      <c r="H152" s="448">
        <f>IF($L152&gt;S$5,MAX(0,S$3+ROUND((S$9*($L152-S$5)),0)),IF($L152&gt;S$4,S$3,ROUND($L152*S$7,0)))</f>
        <v/>
      </c>
      <c r="I152" s="448">
        <f>IF($L152&gt;T$5,MAX(0,T$3+ROUND((T$9*($L152-T$5)),0)),IF($L152&gt;T$4,T$3,ROUND($L152*T$7,0)))</f>
        <v/>
      </c>
      <c r="J152" s="447">
        <f>IF($L152&gt;U$5,MAX(0,U$3+ROUND((U$9*($L152-U$5)),0)),IF($L152&gt;U$4,U$3,ROUND($L152*U$7,0)))</f>
        <v/>
      </c>
      <c r="K152" s="422" t="n"/>
      <c r="L152" s="448">
        <f>ROUND((A152+B152)/2,2)</f>
        <v/>
      </c>
    </row>
    <row r="153" ht="13.5" customHeight="1" s="7635">
      <c r="A153" s="448" t="n">
        <v>7500</v>
      </c>
      <c r="B153" s="447" t="n">
        <v>7550</v>
      </c>
      <c r="C153" s="1378">
        <f>IF($L153&gt;N$5,MAX(0,N$3+ROUND((N$9*($L153-N$5)),0)),IF($L153&gt;N$4,N$3,ROUND($L153*N$7,0)))</f>
        <v/>
      </c>
      <c r="D153" s="448">
        <f>IF($L153&gt;O$5,MAX(0,O$3+ROUND((O$9*($L153-O$5)),0)),IF($L153&gt;O$4,O$3,ROUND($L153*O$7,0)))</f>
        <v/>
      </c>
      <c r="E153" s="448">
        <f>IF($L153&gt;P$5,MAX(0,P$3+ROUND((P$9*($L153-P$5)),0)),IF($L153&gt;P$4,P$3,ROUND($L153*P$7,0)))</f>
        <v/>
      </c>
      <c r="F153" s="447">
        <f>IF($L153&gt;Q$5,MAX(0,Q$3+ROUND((Q$9*($L153-Q$5)),0)),IF($L153&gt;Q$4,Q$3,ROUND($L153*Q$7,0)))</f>
        <v/>
      </c>
      <c r="G153" s="1378">
        <f>IF($L153&gt;R$5,MAX(0,R$3+ROUND((R$9*($L153-R$5)),0)),IF($L153&gt;R$4,R$3,ROUND($L153*R$7,0)))</f>
        <v/>
      </c>
      <c r="H153" s="448">
        <f>IF($L153&gt;S$5,MAX(0,S$3+ROUND((S$9*($L153-S$5)),0)),IF($L153&gt;S$4,S$3,ROUND($L153*S$7,0)))</f>
        <v/>
      </c>
      <c r="I153" s="448">
        <f>IF($L153&gt;T$5,MAX(0,T$3+ROUND((T$9*($L153-T$5)),0)),IF($L153&gt;T$4,T$3,ROUND($L153*T$7,0)))</f>
        <v/>
      </c>
      <c r="J153" s="447">
        <f>IF($L153&gt;U$5,MAX(0,U$3+ROUND((U$9*($L153-U$5)),0)),IF($L153&gt;U$4,U$3,ROUND($L153*U$7,0)))</f>
        <v/>
      </c>
      <c r="K153" s="422" t="n"/>
      <c r="L153" s="448">
        <f>ROUND((A153+B153)/2,2)</f>
        <v/>
      </c>
    </row>
    <row r="154" ht="13.5" customHeight="1" s="7635">
      <c r="A154" s="448" t="n">
        <v>7550</v>
      </c>
      <c r="B154" s="447" t="n">
        <v>7600</v>
      </c>
      <c r="C154" s="1378">
        <f>IF($L154&gt;N$5,MAX(0,N$3+ROUND((N$9*($L154-N$5)),0)),IF($L154&gt;N$4,N$3,ROUND($L154*N$7,0)))</f>
        <v/>
      </c>
      <c r="D154" s="448">
        <f>IF($L154&gt;O$5,MAX(0,O$3+ROUND((O$9*($L154-O$5)),0)),IF($L154&gt;O$4,O$3,ROUND($L154*O$7,0)))</f>
        <v/>
      </c>
      <c r="E154" s="448">
        <f>IF($L154&gt;P$5,MAX(0,P$3+ROUND((P$9*($L154-P$5)),0)),IF($L154&gt;P$4,P$3,ROUND($L154*P$7,0)))</f>
        <v/>
      </c>
      <c r="F154" s="447">
        <f>IF($L154&gt;Q$5,MAX(0,Q$3+ROUND((Q$9*($L154-Q$5)),0)),IF($L154&gt;Q$4,Q$3,ROUND($L154*Q$7,0)))</f>
        <v/>
      </c>
      <c r="G154" s="1378">
        <f>IF($L154&gt;R$5,MAX(0,R$3+ROUND((R$9*($L154-R$5)),0)),IF($L154&gt;R$4,R$3,ROUND($L154*R$7,0)))</f>
        <v/>
      </c>
      <c r="H154" s="448">
        <f>IF($L154&gt;S$5,MAX(0,S$3+ROUND((S$9*($L154-S$5)),0)),IF($L154&gt;S$4,S$3,ROUND($L154*S$7,0)))</f>
        <v/>
      </c>
      <c r="I154" s="448">
        <f>IF($L154&gt;T$5,MAX(0,T$3+ROUND((T$9*($L154-T$5)),0)),IF($L154&gt;T$4,T$3,ROUND($L154*T$7,0)))</f>
        <v/>
      </c>
      <c r="J154" s="447">
        <f>IF($L154&gt;U$5,MAX(0,U$3+ROUND((U$9*($L154-U$5)),0)),IF($L154&gt;U$4,U$3,ROUND($L154*U$7,0)))</f>
        <v/>
      </c>
      <c r="K154" s="422" t="n"/>
      <c r="L154" s="448">
        <f>ROUND((A154+B154)/2,2)</f>
        <v/>
      </c>
    </row>
    <row r="155" ht="13.5" customHeight="1" s="7635">
      <c r="A155" s="448" t="n">
        <v>7600</v>
      </c>
      <c r="B155" s="447" t="n">
        <v>7650</v>
      </c>
      <c r="C155" s="1378">
        <f>IF($L155&gt;N$5,MAX(0,N$3+ROUND((N$9*($L155-N$5)),0)),IF($L155&gt;N$4,N$3,ROUND($L155*N$7,0)))</f>
        <v/>
      </c>
      <c r="D155" s="448">
        <f>IF($L155&gt;O$5,MAX(0,O$3+ROUND((O$9*($L155-O$5)),0)),IF($L155&gt;O$4,O$3,ROUND($L155*O$7,0)))</f>
        <v/>
      </c>
      <c r="E155" s="448">
        <f>IF($L155&gt;P$5,MAX(0,P$3+ROUND((P$9*($L155-P$5)),0)),IF($L155&gt;P$4,P$3,ROUND($L155*P$7,0)))</f>
        <v/>
      </c>
      <c r="F155" s="447">
        <f>IF($L155&gt;Q$5,MAX(0,Q$3+ROUND((Q$9*($L155-Q$5)),0)),IF($L155&gt;Q$4,Q$3,ROUND($L155*Q$7,0)))</f>
        <v/>
      </c>
      <c r="G155" s="1378">
        <f>IF($L155&gt;R$5,MAX(0,R$3+ROUND((R$9*($L155-R$5)),0)),IF($L155&gt;R$4,R$3,ROUND($L155*R$7,0)))</f>
        <v/>
      </c>
      <c r="H155" s="448">
        <f>IF($L155&gt;S$5,MAX(0,S$3+ROUND((S$9*($L155-S$5)),0)),IF($L155&gt;S$4,S$3,ROUND($L155*S$7,0)))</f>
        <v/>
      </c>
      <c r="I155" s="448">
        <f>IF($L155&gt;T$5,MAX(0,T$3+ROUND((T$9*($L155-T$5)),0)),IF($L155&gt;T$4,T$3,ROUND($L155*T$7,0)))</f>
        <v/>
      </c>
      <c r="J155" s="447">
        <f>IF($L155&gt;U$5,MAX(0,U$3+ROUND((U$9*($L155-U$5)),0)),IF($L155&gt;U$4,U$3,ROUND($L155*U$7,0)))</f>
        <v/>
      </c>
      <c r="K155" s="422" t="n"/>
      <c r="L155" s="448">
        <f>ROUND((A155+B155)/2,2)</f>
        <v/>
      </c>
    </row>
    <row r="156" ht="13.5" customHeight="1" s="7635">
      <c r="A156" s="448" t="n">
        <v>7650</v>
      </c>
      <c r="B156" s="447" t="n">
        <v>7700</v>
      </c>
      <c r="C156" s="1378">
        <f>IF($L156&gt;N$5,MAX(0,N$3+ROUND((N$9*($L156-N$5)),0)),IF($L156&gt;N$4,N$3,ROUND($L156*N$7,0)))</f>
        <v/>
      </c>
      <c r="D156" s="448">
        <f>IF($L156&gt;O$5,MAX(0,O$3+ROUND((O$9*($L156-O$5)),0)),IF($L156&gt;O$4,O$3,ROUND($L156*O$7,0)))</f>
        <v/>
      </c>
      <c r="E156" s="448">
        <f>IF($L156&gt;P$5,MAX(0,P$3+ROUND((P$9*($L156-P$5)),0)),IF($L156&gt;P$4,P$3,ROUND($L156*P$7,0)))</f>
        <v/>
      </c>
      <c r="F156" s="447">
        <f>IF($L156&gt;Q$5,MAX(0,Q$3+ROUND((Q$9*($L156-Q$5)),0)),IF($L156&gt;Q$4,Q$3,ROUND($L156*Q$7,0)))</f>
        <v/>
      </c>
      <c r="G156" s="1378">
        <f>IF($L156&gt;R$5,MAX(0,R$3+ROUND((R$9*($L156-R$5)),0)),IF($L156&gt;R$4,R$3,ROUND($L156*R$7,0)))</f>
        <v/>
      </c>
      <c r="H156" s="448">
        <f>IF($L156&gt;S$5,MAX(0,S$3+ROUND((S$9*($L156-S$5)),0)),IF($L156&gt;S$4,S$3,ROUND($L156*S$7,0)))</f>
        <v/>
      </c>
      <c r="I156" s="448">
        <f>IF($L156&gt;T$5,MAX(0,T$3+ROUND((T$9*($L156-T$5)),0)),IF($L156&gt;T$4,T$3,ROUND($L156*T$7,0)))</f>
        <v/>
      </c>
      <c r="J156" s="447">
        <f>IF($L156&gt;U$5,MAX(0,U$3+ROUND((U$9*($L156-U$5)),0)),IF($L156&gt;U$4,U$3,ROUND($L156*U$7,0)))</f>
        <v/>
      </c>
      <c r="K156" s="422" t="n"/>
      <c r="L156" s="448">
        <f>ROUND((A156+B156)/2,2)</f>
        <v/>
      </c>
    </row>
    <row r="157" ht="13.5" customHeight="1" s="7635">
      <c r="A157" s="448" t="n">
        <v>7700</v>
      </c>
      <c r="B157" s="447" t="n">
        <v>7750</v>
      </c>
      <c r="C157" s="1378">
        <f>IF($L157&gt;N$5,MAX(0,N$3+ROUND((N$9*($L157-N$5)),0)),IF($L157&gt;N$4,N$3,ROUND($L157*N$7,0)))</f>
        <v/>
      </c>
      <c r="D157" s="448">
        <f>IF($L157&gt;O$5,MAX(0,O$3+ROUND((O$9*($L157-O$5)),0)),IF($L157&gt;O$4,O$3,ROUND($L157*O$7,0)))</f>
        <v/>
      </c>
      <c r="E157" s="448">
        <f>IF($L157&gt;P$5,MAX(0,P$3+ROUND((P$9*($L157-P$5)),0)),IF($L157&gt;P$4,P$3,ROUND($L157*P$7,0)))</f>
        <v/>
      </c>
      <c r="F157" s="447">
        <f>IF($L157&gt;Q$5,MAX(0,Q$3+ROUND((Q$9*($L157-Q$5)),0)),IF($L157&gt;Q$4,Q$3,ROUND($L157*Q$7,0)))</f>
        <v/>
      </c>
      <c r="G157" s="1378">
        <f>IF($L157&gt;R$5,MAX(0,R$3+ROUND((R$9*($L157-R$5)),0)),IF($L157&gt;R$4,R$3,ROUND($L157*R$7,0)))</f>
        <v/>
      </c>
      <c r="H157" s="448">
        <f>IF($L157&gt;S$5,MAX(0,S$3+ROUND((S$9*($L157-S$5)),0)),IF($L157&gt;S$4,S$3,ROUND($L157*S$7,0)))</f>
        <v/>
      </c>
      <c r="I157" s="448">
        <f>IF($L157&gt;T$5,MAX(0,T$3+ROUND((T$9*($L157-T$5)),0)),IF($L157&gt;T$4,T$3,ROUND($L157*T$7,0)))</f>
        <v/>
      </c>
      <c r="J157" s="447">
        <f>IF($L157&gt;U$5,MAX(0,U$3+ROUND((U$9*($L157-U$5)),0)),IF($L157&gt;U$4,U$3,ROUND($L157*U$7,0)))</f>
        <v/>
      </c>
      <c r="K157" s="422" t="n"/>
      <c r="L157" s="448">
        <f>ROUND((A157+B157)/2,2)</f>
        <v/>
      </c>
    </row>
    <row r="158" ht="13.5" customHeight="1" s="7635">
      <c r="A158" s="448" t="n">
        <v>7750</v>
      </c>
      <c r="B158" s="447" t="n">
        <v>7800</v>
      </c>
      <c r="C158" s="1378">
        <f>IF($L158&gt;N$5,MAX(0,N$3+ROUND((N$9*($L158-N$5)),0)),IF($L158&gt;N$4,N$3,ROUND($L158*N$7,0)))</f>
        <v/>
      </c>
      <c r="D158" s="448">
        <f>IF($L158&gt;O$5,MAX(0,O$3+ROUND((O$9*($L158-O$5)),0)),IF($L158&gt;O$4,O$3,ROUND($L158*O$7,0)))</f>
        <v/>
      </c>
      <c r="E158" s="448">
        <f>IF($L158&gt;P$5,MAX(0,P$3+ROUND((P$9*($L158-P$5)),0)),IF($L158&gt;P$4,P$3,ROUND($L158*P$7,0)))</f>
        <v/>
      </c>
      <c r="F158" s="447">
        <f>IF($L158&gt;Q$5,MAX(0,Q$3+ROUND((Q$9*($L158-Q$5)),0)),IF($L158&gt;Q$4,Q$3,ROUND($L158*Q$7,0)))</f>
        <v/>
      </c>
      <c r="G158" s="1378">
        <f>IF($L158&gt;R$5,MAX(0,R$3+ROUND((R$9*($L158-R$5)),0)),IF($L158&gt;R$4,R$3,ROUND($L158*R$7,0)))</f>
        <v/>
      </c>
      <c r="H158" s="448">
        <f>IF($L158&gt;S$5,MAX(0,S$3+ROUND((S$9*($L158-S$5)),0)),IF($L158&gt;S$4,S$3,ROUND($L158*S$7,0)))</f>
        <v/>
      </c>
      <c r="I158" s="448">
        <f>IF($L158&gt;T$5,MAX(0,T$3+ROUND((T$9*($L158-T$5)),0)),IF($L158&gt;T$4,T$3,ROUND($L158*T$7,0)))</f>
        <v/>
      </c>
      <c r="J158" s="447">
        <f>IF($L158&gt;U$5,MAX(0,U$3+ROUND((U$9*($L158-U$5)),0)),IF($L158&gt;U$4,U$3,ROUND($L158*U$7,0)))</f>
        <v/>
      </c>
      <c r="K158" s="422" t="n"/>
      <c r="L158" s="448">
        <f>ROUND((A158+B158)/2,2)</f>
        <v/>
      </c>
    </row>
    <row r="159" ht="13.5" customHeight="1" s="7635">
      <c r="A159" s="448" t="n">
        <v>7800</v>
      </c>
      <c r="B159" s="447" t="n">
        <v>7850</v>
      </c>
      <c r="C159" s="1378">
        <f>IF($L159&gt;N$5,MAX(0,N$3+ROUND((N$9*($L159-N$5)),0)),IF($L159&gt;N$4,N$3,ROUND($L159*N$7,0)))</f>
        <v/>
      </c>
      <c r="D159" s="448">
        <f>IF($L159&gt;O$5,MAX(0,O$3+ROUND((O$9*($L159-O$5)),0)),IF($L159&gt;O$4,O$3,ROUND($L159*O$7,0)))</f>
        <v/>
      </c>
      <c r="E159" s="448">
        <f>IF($L159&gt;P$5,MAX(0,P$3+ROUND((P$9*($L159-P$5)),0)),IF($L159&gt;P$4,P$3,ROUND($L159*P$7,0)))</f>
        <v/>
      </c>
      <c r="F159" s="447">
        <f>IF($L159&gt;Q$5,MAX(0,Q$3+ROUND((Q$9*($L159-Q$5)),0)),IF($L159&gt;Q$4,Q$3,ROUND($L159*Q$7,0)))</f>
        <v/>
      </c>
      <c r="G159" s="1378">
        <f>IF($L159&gt;R$5,MAX(0,R$3+ROUND((R$9*($L159-R$5)),0)),IF($L159&gt;R$4,R$3,ROUND($L159*R$7,0)))</f>
        <v/>
      </c>
      <c r="H159" s="448">
        <f>IF($L159&gt;S$5,MAX(0,S$3+ROUND((S$9*($L159-S$5)),0)),IF($L159&gt;S$4,S$3,ROUND($L159*S$7,0)))</f>
        <v/>
      </c>
      <c r="I159" s="448">
        <f>IF($L159&gt;T$5,MAX(0,T$3+ROUND((T$9*($L159-T$5)),0)),IF($L159&gt;T$4,T$3,ROUND($L159*T$7,0)))</f>
        <v/>
      </c>
      <c r="J159" s="447">
        <f>IF($L159&gt;U$5,MAX(0,U$3+ROUND((U$9*($L159-U$5)),0)),IF($L159&gt;U$4,U$3,ROUND($L159*U$7,0)))</f>
        <v/>
      </c>
      <c r="K159" s="422" t="n"/>
      <c r="L159" s="448">
        <f>ROUND((A159+B159)/2,2)</f>
        <v/>
      </c>
    </row>
    <row r="160" ht="13.5" customHeight="1" s="7635">
      <c r="A160" s="448" t="n">
        <v>7850</v>
      </c>
      <c r="B160" s="447" t="n">
        <v>7900</v>
      </c>
      <c r="C160" s="1378">
        <f>IF($L160&gt;N$5,MAX(0,N$3+ROUND((N$9*($L160-N$5)),0)),IF($L160&gt;N$4,N$3,ROUND($L160*N$7,0)))</f>
        <v/>
      </c>
      <c r="D160" s="448">
        <f>IF($L160&gt;O$5,MAX(0,O$3+ROUND((O$9*($L160-O$5)),0)),IF($L160&gt;O$4,O$3,ROUND($L160*O$7,0)))</f>
        <v/>
      </c>
      <c r="E160" s="448">
        <f>IF($L160&gt;P$5,MAX(0,P$3+ROUND((P$9*($L160-P$5)),0)),IF($L160&gt;P$4,P$3,ROUND($L160*P$7,0)))</f>
        <v/>
      </c>
      <c r="F160" s="447">
        <f>IF($L160&gt;Q$5,MAX(0,Q$3+ROUND((Q$9*($L160-Q$5)),0)),IF($L160&gt;Q$4,Q$3,ROUND($L160*Q$7,0)))</f>
        <v/>
      </c>
      <c r="G160" s="1378">
        <f>IF($L160&gt;R$5,MAX(0,R$3+ROUND((R$9*($L160-R$5)),0)),IF($L160&gt;R$4,R$3,ROUND($L160*R$7,0)))</f>
        <v/>
      </c>
      <c r="H160" s="448">
        <f>IF($L160&gt;S$5,MAX(0,S$3+ROUND((S$9*($L160-S$5)),0)),IF($L160&gt;S$4,S$3,ROUND($L160*S$7,0)))</f>
        <v/>
      </c>
      <c r="I160" s="448">
        <f>IF($L160&gt;T$5,MAX(0,T$3+ROUND((T$9*($L160-T$5)),0)),IF($L160&gt;T$4,T$3,ROUND($L160*T$7,0)))</f>
        <v/>
      </c>
      <c r="J160" s="447">
        <f>IF($L160&gt;U$5,MAX(0,U$3+ROUND((U$9*($L160-U$5)),0)),IF($L160&gt;U$4,U$3,ROUND($L160*U$7,0)))</f>
        <v/>
      </c>
      <c r="K160" s="422" t="n"/>
      <c r="L160" s="448">
        <f>ROUND((A160+B160)/2,2)</f>
        <v/>
      </c>
    </row>
    <row r="161" ht="13.5" customHeight="1" s="7635">
      <c r="A161" s="448" t="n">
        <v>7900</v>
      </c>
      <c r="B161" s="447" t="n">
        <v>7950</v>
      </c>
      <c r="C161" s="1378">
        <f>IF($L161&gt;N$5,MAX(0,N$3+ROUND((N$9*($L161-N$5)),0)),IF($L161&gt;N$4,N$3,ROUND($L161*N$7,0)))</f>
        <v/>
      </c>
      <c r="D161" s="448">
        <f>IF($L161&gt;O$5,MAX(0,O$3+ROUND((O$9*($L161-O$5)),0)),IF($L161&gt;O$4,O$3,ROUND($L161*O$7,0)))</f>
        <v/>
      </c>
      <c r="E161" s="448">
        <f>IF($L161&gt;P$5,MAX(0,P$3+ROUND((P$9*($L161-P$5)),0)),IF($L161&gt;P$4,P$3,ROUND($L161*P$7,0)))</f>
        <v/>
      </c>
      <c r="F161" s="447">
        <f>IF($L161&gt;Q$5,MAX(0,Q$3+ROUND((Q$9*($L161-Q$5)),0)),IF($L161&gt;Q$4,Q$3,ROUND($L161*Q$7,0)))</f>
        <v/>
      </c>
      <c r="G161" s="1378">
        <f>IF($L161&gt;R$5,MAX(0,R$3+ROUND((R$9*($L161-R$5)),0)),IF($L161&gt;R$4,R$3,ROUND($L161*R$7,0)))</f>
        <v/>
      </c>
      <c r="H161" s="448">
        <f>IF($L161&gt;S$5,MAX(0,S$3+ROUND((S$9*($L161-S$5)),0)),IF($L161&gt;S$4,S$3,ROUND($L161*S$7,0)))</f>
        <v/>
      </c>
      <c r="I161" s="448">
        <f>IF($L161&gt;T$5,MAX(0,T$3+ROUND((T$9*($L161-T$5)),0)),IF($L161&gt;T$4,T$3,ROUND($L161*T$7,0)))</f>
        <v/>
      </c>
      <c r="J161" s="447">
        <f>IF($L161&gt;U$5,MAX(0,U$3+ROUND((U$9*($L161-U$5)),0)),IF($L161&gt;U$4,U$3,ROUND($L161*U$7,0)))</f>
        <v/>
      </c>
      <c r="K161" s="422" t="n"/>
      <c r="L161" s="448">
        <f>ROUND((A161+B161)/2,2)</f>
        <v/>
      </c>
    </row>
    <row r="162" ht="13.5" customHeight="1" s="7635">
      <c r="A162" s="448" t="n">
        <v>7950</v>
      </c>
      <c r="B162" s="447" t="n">
        <v>8000</v>
      </c>
      <c r="C162" s="1378">
        <f>IF($L162&gt;N$5,MAX(0,N$3+ROUND((N$9*($L162-N$5)),0)),IF($L162&gt;N$4,N$3,ROUND($L162*N$7,0)))</f>
        <v/>
      </c>
      <c r="D162" s="448">
        <f>IF($L162&gt;O$5,MAX(0,O$3+ROUND((O$9*($L162-O$5)),0)),IF($L162&gt;O$4,O$3,ROUND($L162*O$7,0)))</f>
        <v/>
      </c>
      <c r="E162" s="448">
        <f>IF($L162&gt;P$5,MAX(0,P$3+ROUND((P$9*($L162-P$5)),0)),IF($L162&gt;P$4,P$3,ROUND($L162*P$7,0)))</f>
        <v/>
      </c>
      <c r="F162" s="447">
        <f>IF($L162&gt;Q$5,MAX(0,Q$3+ROUND((Q$9*($L162-Q$5)),0)),IF($L162&gt;Q$4,Q$3,ROUND($L162*Q$7,0)))</f>
        <v/>
      </c>
      <c r="G162" s="1378">
        <f>IF($L162&gt;R$5,MAX(0,R$3+ROUND((R$9*($L162-R$5)),0)),IF($L162&gt;R$4,R$3,ROUND($L162*R$7,0)))</f>
        <v/>
      </c>
      <c r="H162" s="448">
        <f>IF($L162&gt;S$5,MAX(0,S$3+ROUND((S$9*($L162-S$5)),0)),IF($L162&gt;S$4,S$3,ROUND($L162*S$7,0)))</f>
        <v/>
      </c>
      <c r="I162" s="448">
        <f>IF($L162&gt;T$5,MAX(0,T$3+ROUND((T$9*($L162-T$5)),0)),IF($L162&gt;T$4,T$3,ROUND($L162*T$7,0)))</f>
        <v/>
      </c>
      <c r="J162" s="447">
        <f>IF($L162&gt;U$5,MAX(0,U$3+ROUND((U$9*($L162-U$5)),0)),IF($L162&gt;U$4,U$3,ROUND($L162*U$7,0)))</f>
        <v/>
      </c>
      <c r="K162" s="422" t="n"/>
      <c r="L162" s="448">
        <f>ROUND((A162+B162)/2,2)</f>
        <v/>
      </c>
    </row>
    <row r="163" ht="13.5" customHeight="1" s="7635">
      <c r="A163" s="448" t="n">
        <v>8000</v>
      </c>
      <c r="B163" s="447" t="n">
        <v>8050</v>
      </c>
      <c r="C163" s="1378">
        <f>IF($L163&gt;N$5,MAX(0,N$3+ROUND((N$9*($L163-N$5)),0)),IF($L163&gt;N$4,N$3,ROUND($L163*N$7,0)))</f>
        <v/>
      </c>
      <c r="D163" s="448">
        <f>IF($L163&gt;O$5,MAX(0,O$3+ROUND((O$9*($L163-O$5)),0)),IF($L163&gt;O$4,O$3,ROUND($L163*O$7,0)))</f>
        <v/>
      </c>
      <c r="E163" s="448">
        <f>IF($L163&gt;P$5,MAX(0,P$3+ROUND((P$9*($L163-P$5)),0)),IF($L163&gt;P$4,P$3,ROUND($L163*P$7,0)))</f>
        <v/>
      </c>
      <c r="F163" s="447">
        <f>IF($L163&gt;Q$5,MAX(0,Q$3+ROUND((Q$9*($L163-Q$5)),0)),IF($L163&gt;Q$4,Q$3,ROUND($L163*Q$7,0)))</f>
        <v/>
      </c>
      <c r="G163" s="1378">
        <f>IF($L163&gt;R$5,MAX(0,R$3+ROUND((R$9*($L163-R$5)),0)),IF($L163&gt;R$4,R$3,ROUND($L163*R$7,0)))</f>
        <v/>
      </c>
      <c r="H163" s="448">
        <f>IF($L163&gt;S$5,MAX(0,S$3+ROUND((S$9*($L163-S$5)),0)),IF($L163&gt;S$4,S$3,ROUND($L163*S$7,0)))</f>
        <v/>
      </c>
      <c r="I163" s="448">
        <f>IF($L163&gt;T$5,MAX(0,T$3+ROUND((T$9*($L163-T$5)),0)),IF($L163&gt;T$4,T$3,ROUND($L163*T$7,0)))</f>
        <v/>
      </c>
      <c r="J163" s="447">
        <f>IF($L163&gt;U$5,MAX(0,U$3+ROUND((U$9*($L163-U$5)),0)),IF($L163&gt;U$4,U$3,ROUND($L163*U$7,0)))</f>
        <v/>
      </c>
      <c r="K163" s="422" t="n"/>
      <c r="L163" s="448">
        <f>ROUND((A163+B163)/2,2)</f>
        <v/>
      </c>
    </row>
    <row r="164" ht="13.5" customHeight="1" s="7635">
      <c r="A164" s="448" t="n">
        <v>8050</v>
      </c>
      <c r="B164" s="447" t="n">
        <v>8100</v>
      </c>
      <c r="C164" s="1378">
        <f>IF($L164&gt;N$5,MAX(0,N$3+ROUND((N$9*($L164-N$5)),0)),IF($L164&gt;N$4,N$3,ROUND($L164*N$7,0)))</f>
        <v/>
      </c>
      <c r="D164" s="448">
        <f>IF($L164&gt;O$5,MAX(0,O$3+ROUND((O$9*($L164-O$5)),0)),IF($L164&gt;O$4,O$3,ROUND($L164*O$7,0)))</f>
        <v/>
      </c>
      <c r="E164" s="448">
        <f>IF($L164&gt;P$5,MAX(0,P$3+ROUND((P$9*($L164-P$5)),0)),IF($L164&gt;P$4,P$3,ROUND($L164*P$7,0)))</f>
        <v/>
      </c>
      <c r="F164" s="447">
        <f>IF($L164&gt;Q$5,MAX(0,Q$3+ROUND((Q$9*($L164-Q$5)),0)),IF($L164&gt;Q$4,Q$3,ROUND($L164*Q$7,0)))</f>
        <v/>
      </c>
      <c r="G164" s="1378">
        <f>IF($L164&gt;R$5,MAX(0,R$3+ROUND((R$9*($L164-R$5)),0)),IF($L164&gt;R$4,R$3,ROUND($L164*R$7,0)))</f>
        <v/>
      </c>
      <c r="H164" s="448">
        <f>IF($L164&gt;S$5,MAX(0,S$3+ROUND((S$9*($L164-S$5)),0)),IF($L164&gt;S$4,S$3,ROUND($L164*S$7,0)))</f>
        <v/>
      </c>
      <c r="I164" s="448">
        <f>IF($L164&gt;T$5,MAX(0,T$3+ROUND((T$9*($L164-T$5)),0)),IF($L164&gt;T$4,T$3,ROUND($L164*T$7,0)))</f>
        <v/>
      </c>
      <c r="J164" s="447">
        <f>IF($L164&gt;U$5,MAX(0,U$3+ROUND((U$9*($L164-U$5)),0)),IF($L164&gt;U$4,U$3,ROUND($L164*U$7,0)))</f>
        <v/>
      </c>
      <c r="K164" s="422" t="n"/>
      <c r="L164" s="448">
        <f>ROUND((A164+B164)/2,2)</f>
        <v/>
      </c>
    </row>
    <row r="165" ht="13.5" customHeight="1" s="7635">
      <c r="A165" s="448" t="n">
        <v>8100</v>
      </c>
      <c r="B165" s="447" t="n">
        <v>8150</v>
      </c>
      <c r="C165" s="1378">
        <f>IF($L165&gt;N$5,MAX(0,N$3+ROUND((N$9*($L165-N$5)),0)),IF($L165&gt;N$4,N$3,ROUND($L165*N$7,0)))</f>
        <v/>
      </c>
      <c r="D165" s="448">
        <f>IF($L165&gt;O$5,MAX(0,O$3+ROUND((O$9*($L165-O$5)),0)),IF($L165&gt;O$4,O$3,ROUND($L165*O$7,0)))</f>
        <v/>
      </c>
      <c r="E165" s="448">
        <f>IF($L165&gt;P$5,MAX(0,P$3+ROUND((P$9*($L165-P$5)),0)),IF($L165&gt;P$4,P$3,ROUND($L165*P$7,0)))</f>
        <v/>
      </c>
      <c r="F165" s="447">
        <f>IF($L165&gt;Q$5,MAX(0,Q$3+ROUND((Q$9*($L165-Q$5)),0)),IF($L165&gt;Q$4,Q$3,ROUND($L165*Q$7,0)))</f>
        <v/>
      </c>
      <c r="G165" s="1378">
        <f>IF($L165&gt;R$5,MAX(0,R$3+ROUND((R$9*($L165-R$5)),0)),IF($L165&gt;R$4,R$3,ROUND($L165*R$7,0)))</f>
        <v/>
      </c>
      <c r="H165" s="448">
        <f>IF($L165&gt;S$5,MAX(0,S$3+ROUND((S$9*($L165-S$5)),0)),IF($L165&gt;S$4,S$3,ROUND($L165*S$7,0)))</f>
        <v/>
      </c>
      <c r="I165" s="448">
        <f>IF($L165&gt;T$5,MAX(0,T$3+ROUND((T$9*($L165-T$5)),0)),IF($L165&gt;T$4,T$3,ROUND($L165*T$7,0)))</f>
        <v/>
      </c>
      <c r="J165" s="447">
        <f>IF($L165&gt;U$5,MAX(0,U$3+ROUND((U$9*($L165-U$5)),0)),IF($L165&gt;U$4,U$3,ROUND($L165*U$7,0)))</f>
        <v/>
      </c>
      <c r="K165" s="422" t="n"/>
      <c r="L165" s="448">
        <f>ROUND((A165+B165)/2,2)</f>
        <v/>
      </c>
    </row>
    <row r="166" ht="13.5" customHeight="1" s="7635">
      <c r="A166" s="448" t="n">
        <v>8150</v>
      </c>
      <c r="B166" s="447" t="n">
        <v>8200</v>
      </c>
      <c r="C166" s="1378">
        <f>IF($L166&gt;N$5,MAX(0,N$3+ROUND((N$9*($L166-N$5)),0)),IF($L166&gt;N$4,N$3,ROUND($L166*N$7,0)))</f>
        <v/>
      </c>
      <c r="D166" s="448">
        <f>IF($L166&gt;O$5,MAX(0,O$3+ROUND((O$9*($L166-O$5)),0)),IF($L166&gt;O$4,O$3,ROUND($L166*O$7,0)))</f>
        <v/>
      </c>
      <c r="E166" s="448">
        <f>IF($L166&gt;P$5,MAX(0,P$3+ROUND((P$9*($L166-P$5)),0)),IF($L166&gt;P$4,P$3,ROUND($L166*P$7,0)))</f>
        <v/>
      </c>
      <c r="F166" s="447">
        <f>IF($L166&gt;Q$5,MAX(0,Q$3+ROUND((Q$9*($L166-Q$5)),0)),IF($L166&gt;Q$4,Q$3,ROUND($L166*Q$7,0)))</f>
        <v/>
      </c>
      <c r="G166" s="1378">
        <f>IF($L166&gt;R$5,MAX(0,R$3+ROUND((R$9*($L166-R$5)),0)),IF($L166&gt;R$4,R$3,ROUND($L166*R$7,0)))</f>
        <v/>
      </c>
      <c r="H166" s="448">
        <f>IF($L166&gt;S$5,MAX(0,S$3+ROUND((S$9*($L166-S$5)),0)),IF($L166&gt;S$4,S$3,ROUND($L166*S$7,0)))</f>
        <v/>
      </c>
      <c r="I166" s="448">
        <f>IF($L166&gt;T$5,MAX(0,T$3+ROUND((T$9*($L166-T$5)),0)),IF($L166&gt;T$4,T$3,ROUND($L166*T$7,0)))</f>
        <v/>
      </c>
      <c r="J166" s="447">
        <f>IF($L166&gt;U$5,MAX(0,U$3+ROUND((U$9*($L166-U$5)),0)),IF($L166&gt;U$4,U$3,ROUND($L166*U$7,0)))</f>
        <v/>
      </c>
      <c r="K166" s="422" t="n"/>
      <c r="L166" s="448">
        <f>ROUND((A166+B166)/2,2)</f>
        <v/>
      </c>
    </row>
    <row r="167" ht="13.5" customHeight="1" s="7635">
      <c r="A167" s="448" t="n">
        <v>8200</v>
      </c>
      <c r="B167" s="447" t="n">
        <v>8250</v>
      </c>
      <c r="C167" s="1378">
        <f>IF($L167&gt;N$5,MAX(0,N$3+ROUND((N$9*($L167-N$5)),0)),IF($L167&gt;N$4,N$3,ROUND($L167*N$7,0)))</f>
        <v/>
      </c>
      <c r="D167" s="448">
        <f>IF($L167&gt;O$5,MAX(0,O$3+ROUND((O$9*($L167-O$5)),0)),IF($L167&gt;O$4,O$3,ROUND($L167*O$7,0)))</f>
        <v/>
      </c>
      <c r="E167" s="448">
        <f>IF($L167&gt;P$5,MAX(0,P$3+ROUND((P$9*($L167-P$5)),0)),IF($L167&gt;P$4,P$3,ROUND($L167*P$7,0)))</f>
        <v/>
      </c>
      <c r="F167" s="447">
        <f>IF($L167&gt;Q$5,MAX(0,Q$3+ROUND((Q$9*($L167-Q$5)),0)),IF($L167&gt;Q$4,Q$3,ROUND($L167*Q$7,0)))</f>
        <v/>
      </c>
      <c r="G167" s="1378">
        <f>IF($L167&gt;R$5,MAX(0,R$3+ROUND((R$9*($L167-R$5)),0)),IF($L167&gt;R$4,R$3,ROUND($L167*R$7,0)))</f>
        <v/>
      </c>
      <c r="H167" s="448">
        <f>IF($L167&gt;S$5,MAX(0,S$3+ROUND((S$9*($L167-S$5)),0)),IF($L167&gt;S$4,S$3,ROUND($L167*S$7,0)))</f>
        <v/>
      </c>
      <c r="I167" s="448">
        <f>IF($L167&gt;T$5,MAX(0,T$3+ROUND((T$9*($L167-T$5)),0)),IF($L167&gt;T$4,T$3,ROUND($L167*T$7,0)))</f>
        <v/>
      </c>
      <c r="J167" s="447">
        <f>IF($L167&gt;U$5,MAX(0,U$3+ROUND((U$9*($L167-U$5)),0)),IF($L167&gt;U$4,U$3,ROUND($L167*U$7,0)))</f>
        <v/>
      </c>
      <c r="K167" s="422" t="n"/>
      <c r="L167" s="448">
        <f>ROUND((A167+B167)/2,2)</f>
        <v/>
      </c>
    </row>
    <row r="168" ht="13.5" customHeight="1" s="7635">
      <c r="A168" s="448" t="n">
        <v>8250</v>
      </c>
      <c r="B168" s="447" t="n">
        <v>8300</v>
      </c>
      <c r="C168" s="1378">
        <f>IF($L168&gt;N$5,MAX(0,N$3+ROUND((N$9*($L168-N$5)),0)),IF($L168&gt;N$4,N$3,ROUND($L168*N$7,0)))</f>
        <v/>
      </c>
      <c r="D168" s="448">
        <f>IF($L168&gt;O$5,MAX(0,O$3+ROUND((O$9*($L168-O$5)),0)),IF($L168&gt;O$4,O$3,ROUND($L168*O$7,0)))</f>
        <v/>
      </c>
      <c r="E168" s="448">
        <f>IF($L168&gt;P$5,MAX(0,P$3+ROUND((P$9*($L168-P$5)),0)),IF($L168&gt;P$4,P$3,ROUND($L168*P$7,0)))</f>
        <v/>
      </c>
      <c r="F168" s="447">
        <f>IF($L168&gt;Q$5,MAX(0,Q$3+ROUND((Q$9*($L168-Q$5)),0)),IF($L168&gt;Q$4,Q$3,ROUND($L168*Q$7,0)))</f>
        <v/>
      </c>
      <c r="G168" s="1378">
        <f>IF($L168&gt;R$5,MAX(0,R$3+ROUND((R$9*($L168-R$5)),0)),IF($L168&gt;R$4,R$3,ROUND($L168*R$7,0)))</f>
        <v/>
      </c>
      <c r="H168" s="448">
        <f>IF($L168&gt;S$5,MAX(0,S$3+ROUND((S$9*($L168-S$5)),0)),IF($L168&gt;S$4,S$3,ROUND($L168*S$7,0)))</f>
        <v/>
      </c>
      <c r="I168" s="448">
        <f>IF($L168&gt;T$5,MAX(0,T$3+ROUND((T$9*($L168-T$5)),0)),IF($L168&gt;T$4,T$3,ROUND($L168*T$7,0)))</f>
        <v/>
      </c>
      <c r="J168" s="447">
        <f>IF($L168&gt;U$5,MAX(0,U$3+ROUND((U$9*($L168-U$5)),0)),IF($L168&gt;U$4,U$3,ROUND($L168*U$7,0)))</f>
        <v/>
      </c>
      <c r="K168" s="422" t="n"/>
      <c r="L168" s="448">
        <f>ROUND((A168+B168)/2,2)</f>
        <v/>
      </c>
    </row>
    <row r="169" ht="13.5" customHeight="1" s="7635">
      <c r="A169" s="448" t="n">
        <v>8300</v>
      </c>
      <c r="B169" s="447" t="n">
        <v>8350</v>
      </c>
      <c r="C169" s="1378">
        <f>IF($L169&gt;N$5,MAX(0,N$3+ROUND((N$9*($L169-N$5)),0)),IF($L169&gt;N$4,N$3,ROUND($L169*N$7,0)))</f>
        <v/>
      </c>
      <c r="D169" s="448">
        <f>IF($L169&gt;O$5,MAX(0,O$3+ROUND((O$9*($L169-O$5)),0)),IF($L169&gt;O$4,O$3,ROUND($L169*O$7,0)))</f>
        <v/>
      </c>
      <c r="E169" s="448">
        <f>IF($L169&gt;P$5,MAX(0,P$3+ROUND((P$9*($L169-P$5)),0)),IF($L169&gt;P$4,P$3,ROUND($L169*P$7,0)))</f>
        <v/>
      </c>
      <c r="F169" s="447">
        <f>IF($L169&gt;Q$5,MAX(0,Q$3+ROUND((Q$9*($L169-Q$5)),0)),IF($L169&gt;Q$4,Q$3,ROUND($L169*Q$7,0)))</f>
        <v/>
      </c>
      <c r="G169" s="1378">
        <f>IF($L169&gt;R$5,MAX(0,R$3+ROUND((R$9*($L169-R$5)),0)),IF($L169&gt;R$4,R$3,ROUND($L169*R$7,0)))</f>
        <v/>
      </c>
      <c r="H169" s="448">
        <f>IF($L169&gt;S$5,MAX(0,S$3+ROUND((S$9*($L169-S$5)),0)),IF($L169&gt;S$4,S$3,ROUND($L169*S$7,0)))</f>
        <v/>
      </c>
      <c r="I169" s="448">
        <f>IF($L169&gt;T$5,MAX(0,T$3+ROUND((T$9*($L169-T$5)),0)),IF($L169&gt;T$4,T$3,ROUND($L169*T$7,0)))</f>
        <v/>
      </c>
      <c r="J169" s="447">
        <f>IF($L169&gt;U$5,MAX(0,U$3+ROUND((U$9*($L169-U$5)),0)),IF($L169&gt;U$4,U$3,ROUND($L169*U$7,0)))</f>
        <v/>
      </c>
      <c r="K169" s="422" t="n"/>
      <c r="L169" s="448">
        <f>ROUND((A169+B169)/2,2)</f>
        <v/>
      </c>
    </row>
    <row r="170" ht="13.5" customHeight="1" s="7635">
      <c r="A170" s="448" t="n">
        <v>8350</v>
      </c>
      <c r="B170" s="447" t="n">
        <v>8400</v>
      </c>
      <c r="C170" s="1378">
        <f>IF($L170&gt;N$5,MAX(0,N$3+ROUND((N$9*($L170-N$5)),0)),IF($L170&gt;N$4,N$3,ROUND($L170*N$7,0)))</f>
        <v/>
      </c>
      <c r="D170" s="448">
        <f>IF($L170&gt;O$5,MAX(0,O$3+ROUND((O$9*($L170-O$5)),0)),IF($L170&gt;O$4,O$3,ROUND($L170*O$7,0)))</f>
        <v/>
      </c>
      <c r="E170" s="448">
        <f>IF($L170&gt;P$5,MAX(0,P$3+ROUND((P$9*($L170-P$5)),0)),IF($L170&gt;P$4,P$3,ROUND($L170*P$7,0)))</f>
        <v/>
      </c>
      <c r="F170" s="447">
        <f>IF($L170&gt;Q$5,MAX(0,Q$3+ROUND((Q$9*($L170-Q$5)),0)),IF($L170&gt;Q$4,Q$3,ROUND($L170*Q$7,0)))</f>
        <v/>
      </c>
      <c r="G170" s="1378">
        <f>IF($L170&gt;R$5,MAX(0,R$3+ROUND((R$9*($L170-R$5)),0)),IF($L170&gt;R$4,R$3,ROUND($L170*R$7,0)))</f>
        <v/>
      </c>
      <c r="H170" s="448">
        <f>IF($L170&gt;S$5,MAX(0,S$3+ROUND((S$9*($L170-S$5)),0)),IF($L170&gt;S$4,S$3,ROUND($L170*S$7,0)))</f>
        <v/>
      </c>
      <c r="I170" s="448">
        <f>IF($L170&gt;T$5,MAX(0,T$3+ROUND((T$9*($L170-T$5)),0)),IF($L170&gt;T$4,T$3,ROUND($L170*T$7,0)))</f>
        <v/>
      </c>
      <c r="J170" s="447">
        <f>IF($L170&gt;U$5,MAX(0,U$3+ROUND((U$9*($L170-U$5)),0)),IF($L170&gt;U$4,U$3,ROUND($L170*U$7,0)))</f>
        <v/>
      </c>
      <c r="K170" s="422" t="n"/>
      <c r="L170" s="448">
        <f>ROUND((A170+B170)/2,2)</f>
        <v/>
      </c>
    </row>
    <row r="171" ht="13.5" customHeight="1" s="7635">
      <c r="A171" s="448" t="n">
        <v>8400</v>
      </c>
      <c r="B171" s="447" t="n">
        <v>8450</v>
      </c>
      <c r="C171" s="1378">
        <f>IF($L171&gt;N$5,MAX(0,N$3+ROUND((N$9*($L171-N$5)),0)),IF($L171&gt;N$4,N$3,ROUND($L171*N$7,0)))</f>
        <v/>
      </c>
      <c r="D171" s="448">
        <f>IF($L171&gt;O$5,MAX(0,O$3+ROUND((O$9*($L171-O$5)),0)),IF($L171&gt;O$4,O$3,ROUND($L171*O$7,0)))</f>
        <v/>
      </c>
      <c r="E171" s="448">
        <f>IF($L171&gt;P$5,MAX(0,P$3+ROUND((P$9*($L171-P$5)),0)),IF($L171&gt;P$4,P$3,ROUND($L171*P$7,0)))</f>
        <v/>
      </c>
      <c r="F171" s="447">
        <f>IF($L171&gt;Q$5,MAX(0,Q$3+ROUND((Q$9*($L171-Q$5)),0)),IF($L171&gt;Q$4,Q$3,ROUND($L171*Q$7,0)))</f>
        <v/>
      </c>
      <c r="G171" s="1378">
        <f>IF($L171&gt;R$5,MAX(0,R$3+ROUND((R$9*($L171-R$5)),0)),IF($L171&gt;R$4,R$3,ROUND($L171*R$7,0)))</f>
        <v/>
      </c>
      <c r="H171" s="448">
        <f>IF($L171&gt;S$5,MAX(0,S$3+ROUND((S$9*($L171-S$5)),0)),IF($L171&gt;S$4,S$3,ROUND($L171*S$7,0)))</f>
        <v/>
      </c>
      <c r="I171" s="448">
        <f>IF($L171&gt;T$5,MAX(0,T$3+ROUND((T$9*($L171-T$5)),0)),IF($L171&gt;T$4,T$3,ROUND($L171*T$7,0)))</f>
        <v/>
      </c>
      <c r="J171" s="447">
        <f>IF($L171&gt;U$5,MAX(0,U$3+ROUND((U$9*($L171-U$5)),0)),IF($L171&gt;U$4,U$3,ROUND($L171*U$7,0)))</f>
        <v/>
      </c>
      <c r="K171" s="422" t="n"/>
      <c r="L171" s="448">
        <f>ROUND((A171+B171)/2,2)</f>
        <v/>
      </c>
    </row>
    <row r="172" ht="13.5" customHeight="1" s="7635">
      <c r="A172" s="448" t="n">
        <v>8450</v>
      </c>
      <c r="B172" s="447" t="n">
        <v>8500</v>
      </c>
      <c r="C172" s="1378">
        <f>IF($L172&gt;N$5,MAX(0,N$3+ROUND((N$9*($L172-N$5)),0)),IF($L172&gt;N$4,N$3,ROUND($L172*N$7,0)))</f>
        <v/>
      </c>
      <c r="D172" s="448">
        <f>IF($L172&gt;O$5,MAX(0,O$3+ROUND((O$9*($L172-O$5)),0)),IF($L172&gt;O$4,O$3,ROUND($L172*O$7,0)))</f>
        <v/>
      </c>
      <c r="E172" s="448">
        <f>IF($L172&gt;P$5,MAX(0,P$3+ROUND((P$9*($L172-P$5)),0)),IF($L172&gt;P$4,P$3,ROUND($L172*P$7,0)))</f>
        <v/>
      </c>
      <c r="F172" s="447">
        <f>IF($L172&gt;Q$5,MAX(0,Q$3+ROUND((Q$9*($L172-Q$5)),0)),IF($L172&gt;Q$4,Q$3,ROUND($L172*Q$7,0)))</f>
        <v/>
      </c>
      <c r="G172" s="1378">
        <f>IF($L172&gt;R$5,MAX(0,R$3+ROUND((R$9*($L172-R$5)),0)),IF($L172&gt;R$4,R$3,ROUND($L172*R$7,0)))</f>
        <v/>
      </c>
      <c r="H172" s="448">
        <f>IF($L172&gt;S$5,MAX(0,S$3+ROUND((S$9*($L172-S$5)),0)),IF($L172&gt;S$4,S$3,ROUND($L172*S$7,0)))</f>
        <v/>
      </c>
      <c r="I172" s="448">
        <f>IF($L172&gt;T$5,MAX(0,T$3+ROUND((T$9*($L172-T$5)),0)),IF($L172&gt;T$4,T$3,ROUND($L172*T$7,0)))</f>
        <v/>
      </c>
      <c r="J172" s="447">
        <f>IF($L172&gt;U$5,MAX(0,U$3+ROUND((U$9*($L172-U$5)),0)),IF($L172&gt;U$4,U$3,ROUND($L172*U$7,0)))</f>
        <v/>
      </c>
      <c r="K172" s="422" t="n"/>
      <c r="L172" s="448">
        <f>ROUND((A172+B172)/2,2)</f>
        <v/>
      </c>
    </row>
    <row r="173" ht="13.5" customHeight="1" s="7635">
      <c r="A173" s="448" t="n">
        <v>8500</v>
      </c>
      <c r="B173" s="447" t="n">
        <v>8550</v>
      </c>
      <c r="C173" s="1378">
        <f>IF($L173&gt;N$5,MAX(0,N$3+ROUND((N$9*($L173-N$5)),0)),IF($L173&gt;N$4,N$3,ROUND($L173*N$7,0)))</f>
        <v/>
      </c>
      <c r="D173" s="448">
        <f>IF($L173&gt;O$5,MAX(0,O$3+ROUND((O$9*($L173-O$5)),0)),IF($L173&gt;O$4,O$3,ROUND($L173*O$7,0)))</f>
        <v/>
      </c>
      <c r="E173" s="448">
        <f>IF($L173&gt;P$5,MAX(0,P$3+ROUND((P$9*($L173-P$5)),0)),IF($L173&gt;P$4,P$3,ROUND($L173*P$7,0)))</f>
        <v/>
      </c>
      <c r="F173" s="447">
        <f>IF($L173&gt;Q$5,MAX(0,Q$3+ROUND((Q$9*($L173-Q$5)),0)),IF($L173&gt;Q$4,Q$3,ROUND($L173*Q$7,0)))</f>
        <v/>
      </c>
      <c r="G173" s="1378">
        <f>IF($L173&gt;R$5,MAX(0,R$3+ROUND((R$9*($L173-R$5)),0)),IF($L173&gt;R$4,R$3,ROUND($L173*R$7,0)))</f>
        <v/>
      </c>
      <c r="H173" s="448">
        <f>IF($L173&gt;S$5,MAX(0,S$3+ROUND((S$9*($L173-S$5)),0)),IF($L173&gt;S$4,S$3,ROUND($L173*S$7,0)))</f>
        <v/>
      </c>
      <c r="I173" s="448">
        <f>IF($L173&gt;T$5,MAX(0,T$3+ROUND((T$9*($L173-T$5)),0)),IF($L173&gt;T$4,T$3,ROUND($L173*T$7,0)))</f>
        <v/>
      </c>
      <c r="J173" s="447">
        <f>IF($L173&gt;U$5,MAX(0,U$3+ROUND((U$9*($L173-U$5)),0)),IF($L173&gt;U$4,U$3,ROUND($L173*U$7,0)))</f>
        <v/>
      </c>
      <c r="K173" s="422" t="n"/>
      <c r="L173" s="448">
        <f>ROUND((A173+B173)/2,2)</f>
        <v/>
      </c>
    </row>
    <row r="174" ht="13.5" customHeight="1" s="7635">
      <c r="A174" s="448" t="n">
        <v>8550</v>
      </c>
      <c r="B174" s="447" t="n">
        <v>8600</v>
      </c>
      <c r="C174" s="1378">
        <f>IF($L174&gt;N$5,MAX(0,N$3+ROUND((N$9*($L174-N$5)),0)),IF($L174&gt;N$4,N$3,ROUND($L174*N$7,0)))</f>
        <v/>
      </c>
      <c r="D174" s="448">
        <f>IF($L174&gt;O$5,MAX(0,O$3+ROUND((O$9*($L174-O$5)),0)),IF($L174&gt;O$4,O$3,ROUND($L174*O$7,0)))</f>
        <v/>
      </c>
      <c r="E174" s="448">
        <f>IF($L174&gt;P$5,MAX(0,P$3+ROUND((P$9*($L174-P$5)),0)),IF($L174&gt;P$4,P$3,ROUND($L174*P$7,0)))</f>
        <v/>
      </c>
      <c r="F174" s="447">
        <f>IF($L174&gt;Q$5,MAX(0,Q$3+ROUND((Q$9*($L174-Q$5)),0)),IF($L174&gt;Q$4,Q$3,ROUND($L174*Q$7,0)))</f>
        <v/>
      </c>
      <c r="G174" s="1378">
        <f>IF($L174&gt;R$5,MAX(0,R$3+ROUND((R$9*($L174-R$5)),0)),IF($L174&gt;R$4,R$3,ROUND($L174*R$7,0)))</f>
        <v/>
      </c>
      <c r="H174" s="448">
        <f>IF($L174&gt;S$5,MAX(0,S$3+ROUND((S$9*($L174-S$5)),0)),IF($L174&gt;S$4,S$3,ROUND($L174*S$7,0)))</f>
        <v/>
      </c>
      <c r="I174" s="448">
        <f>IF($L174&gt;T$5,MAX(0,T$3+ROUND((T$9*($L174-T$5)),0)),IF($L174&gt;T$4,T$3,ROUND($L174*T$7,0)))</f>
        <v/>
      </c>
      <c r="J174" s="447">
        <f>IF($L174&gt;U$5,MAX(0,U$3+ROUND((U$9*($L174-U$5)),0)),IF($L174&gt;U$4,U$3,ROUND($L174*U$7,0)))</f>
        <v/>
      </c>
      <c r="K174" s="422" t="n"/>
      <c r="L174" s="448">
        <f>ROUND((A174+B174)/2,2)</f>
        <v/>
      </c>
    </row>
    <row r="175" ht="13.5" customHeight="1" s="7635">
      <c r="A175" s="448" t="n">
        <v>8600</v>
      </c>
      <c r="B175" s="447" t="n">
        <v>8650</v>
      </c>
      <c r="C175" s="1378">
        <f>IF($L175&gt;N$5,MAX(0,N$3+ROUND((N$9*($L175-N$5)),0)),IF($L175&gt;N$4,N$3,ROUND($L175*N$7,0)))</f>
        <v/>
      </c>
      <c r="D175" s="448">
        <f>IF($L175&gt;O$5,MAX(0,O$3+ROUND((O$9*($L175-O$5)),0)),IF($L175&gt;O$4,O$3,ROUND($L175*O$7,0)))</f>
        <v/>
      </c>
      <c r="E175" s="448">
        <f>IF($L175&gt;P$5,MAX(0,P$3+ROUND((P$9*($L175-P$5)),0)),IF($L175&gt;P$4,P$3,ROUND($L175*P$7,0)))</f>
        <v/>
      </c>
      <c r="F175" s="447">
        <f>IF($L175&gt;Q$5,MAX(0,Q$3+ROUND((Q$9*($L175-Q$5)),0)),IF($L175&gt;Q$4,Q$3,ROUND($L175*Q$7,0)))</f>
        <v/>
      </c>
      <c r="G175" s="1378">
        <f>IF($L175&gt;R$5,MAX(0,R$3+ROUND((R$9*($L175-R$5)),0)),IF($L175&gt;R$4,R$3,ROUND($L175*R$7,0)))</f>
        <v/>
      </c>
      <c r="H175" s="448">
        <f>IF($L175&gt;S$5,MAX(0,S$3+ROUND((S$9*($L175-S$5)),0)),IF($L175&gt;S$4,S$3,ROUND($L175*S$7,0)))</f>
        <v/>
      </c>
      <c r="I175" s="448">
        <f>IF($L175&gt;T$5,MAX(0,T$3+ROUND((T$9*($L175-T$5)),0)),IF($L175&gt;T$4,T$3,ROUND($L175*T$7,0)))</f>
        <v/>
      </c>
      <c r="J175" s="447">
        <f>IF($L175&gt;U$5,MAX(0,U$3+ROUND((U$9*($L175-U$5)),0)),IF($L175&gt;U$4,U$3,ROUND($L175*U$7,0)))</f>
        <v/>
      </c>
      <c r="K175" s="422" t="n"/>
      <c r="L175" s="448">
        <f>ROUND((A175+B175)/2,2)</f>
        <v/>
      </c>
    </row>
    <row r="176" ht="13.5" customHeight="1" s="7635">
      <c r="A176" s="448" t="n">
        <v>8650</v>
      </c>
      <c r="B176" s="447" t="n">
        <v>8700</v>
      </c>
      <c r="C176" s="1378">
        <f>IF($L176&gt;N$5,MAX(0,N$3+ROUND((N$9*($L176-N$5)),0)),IF($L176&gt;N$4,N$3,ROUND($L176*N$7,0)))</f>
        <v/>
      </c>
      <c r="D176" s="448">
        <f>IF($L176&gt;O$5,MAX(0,O$3+ROUND((O$9*($L176-O$5)),0)),IF($L176&gt;O$4,O$3,ROUND($L176*O$7,0)))</f>
        <v/>
      </c>
      <c r="E176" s="448">
        <f>IF($L176&gt;P$5,MAX(0,P$3+ROUND((P$9*($L176-P$5)),0)),IF($L176&gt;P$4,P$3,ROUND($L176*P$7,0)))</f>
        <v/>
      </c>
      <c r="F176" s="447">
        <f>IF($L176&gt;Q$5,MAX(0,Q$3+ROUND((Q$9*($L176-Q$5)),0)),IF($L176&gt;Q$4,Q$3,ROUND($L176*Q$7,0)))</f>
        <v/>
      </c>
      <c r="G176" s="1378">
        <f>IF($L176&gt;R$5,MAX(0,R$3+ROUND((R$9*($L176-R$5)),0)),IF($L176&gt;R$4,R$3,ROUND($L176*R$7,0)))</f>
        <v/>
      </c>
      <c r="H176" s="448">
        <f>IF($L176&gt;S$5,MAX(0,S$3+ROUND((S$9*($L176-S$5)),0)),IF($L176&gt;S$4,S$3,ROUND($L176*S$7,0)))</f>
        <v/>
      </c>
      <c r="I176" s="448">
        <f>IF($L176&gt;T$5,MAX(0,T$3+ROUND((T$9*($L176-T$5)),0)),IF($L176&gt;T$4,T$3,ROUND($L176*T$7,0)))</f>
        <v/>
      </c>
      <c r="J176" s="447">
        <f>IF($L176&gt;U$5,MAX(0,U$3+ROUND((U$9*($L176-U$5)),0)),IF($L176&gt;U$4,U$3,ROUND($L176*U$7,0)))</f>
        <v/>
      </c>
      <c r="K176" s="422" t="n"/>
      <c r="L176" s="448">
        <f>ROUND((A176+B176)/2,2)</f>
        <v/>
      </c>
    </row>
    <row r="177" ht="13.5" customHeight="1" s="7635">
      <c r="A177" s="448" t="n">
        <v>8700</v>
      </c>
      <c r="B177" s="447" t="n">
        <v>8750</v>
      </c>
      <c r="C177" s="1378">
        <f>IF($L177&gt;N$5,MAX(0,N$3+ROUND((N$9*($L177-N$5)),0)),IF($L177&gt;N$4,N$3,ROUND($L177*N$7,0)))</f>
        <v/>
      </c>
      <c r="D177" s="448">
        <f>IF($L177&gt;O$5,MAX(0,O$3+ROUND((O$9*($L177-O$5)),0)),IF($L177&gt;O$4,O$3,ROUND($L177*O$7,0)))</f>
        <v/>
      </c>
      <c r="E177" s="448">
        <f>IF($L177&gt;P$5,MAX(0,P$3+ROUND((P$9*($L177-P$5)),0)),IF($L177&gt;P$4,P$3,ROUND($L177*P$7,0)))</f>
        <v/>
      </c>
      <c r="F177" s="447">
        <f>IF($L177&gt;Q$5,MAX(0,Q$3+ROUND((Q$9*($L177-Q$5)),0)),IF($L177&gt;Q$4,Q$3,ROUND($L177*Q$7,0)))</f>
        <v/>
      </c>
      <c r="G177" s="1378">
        <f>IF($L177&gt;R$5,MAX(0,R$3+ROUND((R$9*($L177-R$5)),0)),IF($L177&gt;R$4,R$3,ROUND($L177*R$7,0)))</f>
        <v/>
      </c>
      <c r="H177" s="448">
        <f>IF($L177&gt;S$5,MAX(0,S$3+ROUND((S$9*($L177-S$5)),0)),IF($L177&gt;S$4,S$3,ROUND($L177*S$7,0)))</f>
        <v/>
      </c>
      <c r="I177" s="448">
        <f>IF($L177&gt;T$5,MAX(0,T$3+ROUND((T$9*($L177-T$5)),0)),IF($L177&gt;T$4,T$3,ROUND($L177*T$7,0)))</f>
        <v/>
      </c>
      <c r="J177" s="447">
        <f>IF($L177&gt;U$5,MAX(0,U$3+ROUND((U$9*($L177-U$5)),0)),IF($L177&gt;U$4,U$3,ROUND($L177*U$7,0)))</f>
        <v/>
      </c>
      <c r="K177" s="422" t="n"/>
      <c r="L177" s="448">
        <f>ROUND((A177+B177)/2,2)</f>
        <v/>
      </c>
    </row>
    <row r="178" ht="13.5" customHeight="1" s="7635">
      <c r="A178" s="448" t="n">
        <v>8750</v>
      </c>
      <c r="B178" s="447" t="n">
        <v>8800</v>
      </c>
      <c r="C178" s="1378">
        <f>IF($L178&gt;N$5,MAX(0,N$3+ROUND((N$9*($L178-N$5)),0)),IF($L178&gt;N$4,N$3,ROUND($L178*N$7,0)))</f>
        <v/>
      </c>
      <c r="D178" s="448">
        <f>IF($L178&gt;O$5,MAX(0,O$3+ROUND((O$9*($L178-O$5)),0)),IF($L178&gt;O$4,O$3,ROUND($L178*O$7,0)))</f>
        <v/>
      </c>
      <c r="E178" s="448">
        <f>IF($L178&gt;P$5,MAX(0,P$3+ROUND((P$9*($L178-P$5)),0)),IF($L178&gt;P$4,P$3,ROUND($L178*P$7,0)))</f>
        <v/>
      </c>
      <c r="F178" s="447">
        <f>IF($L178&gt;Q$5,MAX(0,Q$3+ROUND((Q$9*($L178-Q$5)),0)),IF($L178&gt;Q$4,Q$3,ROUND($L178*Q$7,0)))</f>
        <v/>
      </c>
      <c r="G178" s="1378">
        <f>IF($L178&gt;R$5,MAX(0,R$3+ROUND((R$9*($L178-R$5)),0)),IF($L178&gt;R$4,R$3,ROUND($L178*R$7,0)))</f>
        <v/>
      </c>
      <c r="H178" s="448">
        <f>IF($L178&gt;S$5,MAX(0,S$3+ROUND((S$9*($L178-S$5)),0)),IF($L178&gt;S$4,S$3,ROUND($L178*S$7,0)))</f>
        <v/>
      </c>
      <c r="I178" s="448">
        <f>IF($L178&gt;T$5,MAX(0,T$3+ROUND((T$9*($L178-T$5)),0)),IF($L178&gt;T$4,T$3,ROUND($L178*T$7,0)))</f>
        <v/>
      </c>
      <c r="J178" s="447">
        <f>IF($L178&gt;U$5,MAX(0,U$3+ROUND((U$9*($L178-U$5)),0)),IF($L178&gt;U$4,U$3,ROUND($L178*U$7,0)))</f>
        <v/>
      </c>
      <c r="K178" s="422" t="n"/>
      <c r="L178" s="448">
        <f>ROUND((A178+B178)/2,2)</f>
        <v/>
      </c>
    </row>
    <row r="179" ht="13.5" customHeight="1" s="7635">
      <c r="A179" s="448" t="n">
        <v>8800</v>
      </c>
      <c r="B179" s="447" t="n">
        <v>8850</v>
      </c>
      <c r="C179" s="1378">
        <f>IF($L179&gt;N$5,MAX(0,N$3+ROUND((N$9*($L179-N$5)),0)),IF($L179&gt;N$4,N$3,ROUND($L179*N$7,0)))</f>
        <v/>
      </c>
      <c r="D179" s="448">
        <f>IF($L179&gt;O$5,MAX(0,O$3+ROUND((O$9*($L179-O$5)),0)),IF($L179&gt;O$4,O$3,ROUND($L179*O$7,0)))</f>
        <v/>
      </c>
      <c r="E179" s="448">
        <f>IF($L179&gt;P$5,MAX(0,P$3+ROUND((P$9*($L179-P$5)),0)),IF($L179&gt;P$4,P$3,ROUND($L179*P$7,0)))</f>
        <v/>
      </c>
      <c r="F179" s="447">
        <f>IF($L179&gt;Q$5,MAX(0,Q$3+ROUND((Q$9*($L179-Q$5)),0)),IF($L179&gt;Q$4,Q$3,ROUND($L179*Q$7,0)))</f>
        <v/>
      </c>
      <c r="G179" s="1378">
        <f>IF($L179&gt;R$5,MAX(0,R$3+ROUND((R$9*($L179-R$5)),0)),IF($L179&gt;R$4,R$3,ROUND($L179*R$7,0)))</f>
        <v/>
      </c>
      <c r="H179" s="448">
        <f>IF($L179&gt;S$5,MAX(0,S$3+ROUND((S$9*($L179-S$5)),0)),IF($L179&gt;S$4,S$3,ROUND($L179*S$7,0)))</f>
        <v/>
      </c>
      <c r="I179" s="448">
        <f>IF($L179&gt;T$5,MAX(0,T$3+ROUND((T$9*($L179-T$5)),0)),IF($L179&gt;T$4,T$3,ROUND($L179*T$7,0)))</f>
        <v/>
      </c>
      <c r="J179" s="447">
        <f>IF($L179&gt;U$5,MAX(0,U$3+ROUND((U$9*($L179-U$5)),0)),IF($L179&gt;U$4,U$3,ROUND($L179*U$7,0)))</f>
        <v/>
      </c>
      <c r="K179" s="422" t="n"/>
      <c r="L179" s="448">
        <f>ROUND((A179+B179)/2,2)</f>
        <v/>
      </c>
    </row>
    <row r="180" ht="13.5" customHeight="1" s="7635">
      <c r="A180" s="448" t="n">
        <v>8850</v>
      </c>
      <c r="B180" s="447" t="n">
        <v>8900</v>
      </c>
      <c r="C180" s="1378">
        <f>IF($L180&gt;N$5,MAX(0,N$3+ROUND((N$9*($L180-N$5)),0)),IF($L180&gt;N$4,N$3,ROUND($L180*N$7,0)))</f>
        <v/>
      </c>
      <c r="D180" s="448">
        <f>IF($L180&gt;O$5,MAX(0,O$3+ROUND((O$9*($L180-O$5)),0)),IF($L180&gt;O$4,O$3,ROUND($L180*O$7,0)))</f>
        <v/>
      </c>
      <c r="E180" s="448">
        <f>IF($L180&gt;P$5,MAX(0,P$3+ROUND((P$9*($L180-P$5)),0)),IF($L180&gt;P$4,P$3,ROUND($L180*P$7,0)))</f>
        <v/>
      </c>
      <c r="F180" s="447">
        <f>IF($L180&gt;Q$5,MAX(0,Q$3+ROUND((Q$9*($L180-Q$5)),0)),IF($L180&gt;Q$4,Q$3,ROUND($L180*Q$7,0)))</f>
        <v/>
      </c>
      <c r="G180" s="1378">
        <f>IF($L180&gt;R$5,MAX(0,R$3+ROUND((R$9*($L180-R$5)),0)),IF($L180&gt;R$4,R$3,ROUND($L180*R$7,0)))</f>
        <v/>
      </c>
      <c r="H180" s="448">
        <f>IF($L180&gt;S$5,MAX(0,S$3+ROUND((S$9*($L180-S$5)),0)),IF($L180&gt;S$4,S$3,ROUND($L180*S$7,0)))</f>
        <v/>
      </c>
      <c r="I180" s="448">
        <f>IF($L180&gt;T$5,MAX(0,T$3+ROUND((T$9*($L180-T$5)),0)),IF($L180&gt;T$4,T$3,ROUND($L180*T$7,0)))</f>
        <v/>
      </c>
      <c r="J180" s="447">
        <f>IF($L180&gt;U$5,MAX(0,U$3+ROUND((U$9*($L180-U$5)),0)),IF($L180&gt;U$4,U$3,ROUND($L180*U$7,0)))</f>
        <v/>
      </c>
      <c r="K180" s="422" t="n"/>
      <c r="L180" s="448">
        <f>ROUND((A180+B180)/2,2)</f>
        <v/>
      </c>
    </row>
    <row r="181" ht="13.5" customHeight="1" s="7635">
      <c r="A181" s="448" t="n">
        <v>8900</v>
      </c>
      <c r="B181" s="447" t="n">
        <v>8950</v>
      </c>
      <c r="C181" s="1378">
        <f>IF($L181&gt;N$5,MAX(0,N$3+ROUND((N$9*($L181-N$5)),0)),IF($L181&gt;N$4,N$3,ROUND($L181*N$7,0)))</f>
        <v/>
      </c>
      <c r="D181" s="448">
        <f>IF($L181&gt;O$5,MAX(0,O$3+ROUND((O$9*($L181-O$5)),0)),IF($L181&gt;O$4,O$3,ROUND($L181*O$7,0)))</f>
        <v/>
      </c>
      <c r="E181" s="448">
        <f>IF($L181&gt;P$5,MAX(0,P$3+ROUND((P$9*($L181-P$5)),0)),IF($L181&gt;P$4,P$3,ROUND($L181*P$7,0)))</f>
        <v/>
      </c>
      <c r="F181" s="447">
        <f>IF($L181&gt;Q$5,MAX(0,Q$3+ROUND((Q$9*($L181-Q$5)),0)),IF($L181&gt;Q$4,Q$3,ROUND($L181*Q$7,0)))</f>
        <v/>
      </c>
      <c r="G181" s="1378">
        <f>IF($L181&gt;R$5,MAX(0,R$3+ROUND((R$9*($L181-R$5)),0)),IF($L181&gt;R$4,R$3,ROUND($L181*R$7,0)))</f>
        <v/>
      </c>
      <c r="H181" s="448">
        <f>IF($L181&gt;S$5,MAX(0,S$3+ROUND((S$9*($L181-S$5)),0)),IF($L181&gt;S$4,S$3,ROUND($L181*S$7,0)))</f>
        <v/>
      </c>
      <c r="I181" s="448">
        <f>IF($L181&gt;T$5,MAX(0,T$3+ROUND((T$9*($L181-T$5)),0)),IF($L181&gt;T$4,T$3,ROUND($L181*T$7,0)))</f>
        <v/>
      </c>
      <c r="J181" s="447">
        <f>IF($L181&gt;U$5,MAX(0,U$3+ROUND((U$9*($L181-U$5)),0)),IF($L181&gt;U$4,U$3,ROUND($L181*U$7,0)))</f>
        <v/>
      </c>
      <c r="K181" s="422" t="n"/>
      <c r="L181" s="448">
        <f>ROUND((A181+B181)/2,2)</f>
        <v/>
      </c>
    </row>
    <row r="182" ht="13.5" customHeight="1" s="7635">
      <c r="A182" s="448" t="n">
        <v>8950</v>
      </c>
      <c r="B182" s="447" t="n">
        <v>9000</v>
      </c>
      <c r="C182" s="1378">
        <f>IF($L182&gt;N$5,MAX(0,N$3+ROUND((N$9*($L182-N$5)),0)),IF($L182&gt;N$4,N$3,ROUND($L182*N$7,0)))</f>
        <v/>
      </c>
      <c r="D182" s="448">
        <f>IF($L182&gt;O$5,MAX(0,O$3+ROUND((O$9*($L182-O$5)),0)),IF($L182&gt;O$4,O$3,ROUND($L182*O$7,0)))</f>
        <v/>
      </c>
      <c r="E182" s="448">
        <f>IF($L182&gt;P$5,MAX(0,P$3+ROUND((P$9*($L182-P$5)),0)),IF($L182&gt;P$4,P$3,ROUND($L182*P$7,0)))</f>
        <v/>
      </c>
      <c r="F182" s="447">
        <f>IF($L182&gt;Q$5,MAX(0,Q$3+ROUND((Q$9*($L182-Q$5)),0)),IF($L182&gt;Q$4,Q$3,ROUND($L182*Q$7,0)))</f>
        <v/>
      </c>
      <c r="G182" s="1378">
        <f>IF($L182&gt;R$5,MAX(0,R$3+ROUND((R$9*($L182-R$5)),0)),IF($L182&gt;R$4,R$3,ROUND($L182*R$7,0)))</f>
        <v/>
      </c>
      <c r="H182" s="448">
        <f>IF($L182&gt;S$5,MAX(0,S$3+ROUND((S$9*($L182-S$5)),0)),IF($L182&gt;S$4,S$3,ROUND($L182*S$7,0)))</f>
        <v/>
      </c>
      <c r="I182" s="448">
        <f>IF($L182&gt;T$5,MAX(0,T$3+ROUND((T$9*($L182-T$5)),0)),IF($L182&gt;T$4,T$3,ROUND($L182*T$7,0)))</f>
        <v/>
      </c>
      <c r="J182" s="447">
        <f>IF($L182&gt;U$5,MAX(0,U$3+ROUND((U$9*($L182-U$5)),0)),IF($L182&gt;U$4,U$3,ROUND($L182*U$7,0)))</f>
        <v/>
      </c>
      <c r="K182" s="422" t="n"/>
      <c r="L182" s="448">
        <f>ROUND((A182+B182)/2,2)</f>
        <v/>
      </c>
    </row>
    <row r="183" ht="13.5" customHeight="1" s="7635">
      <c r="A183" s="448" t="n">
        <v>9000</v>
      </c>
      <c r="B183" s="447" t="n">
        <v>9050</v>
      </c>
      <c r="C183" s="1378">
        <f>IF($L183&gt;N$5,MAX(0,N$3+ROUND((N$9*($L183-N$5)),0)),IF($L183&gt;N$4,N$3,ROUND($L183*N$7,0)))</f>
        <v/>
      </c>
      <c r="D183" s="448">
        <f>IF($L183&gt;O$5,MAX(0,O$3+ROUND((O$9*($L183-O$5)),0)),IF($L183&gt;O$4,O$3,ROUND($L183*O$7,0)))</f>
        <v/>
      </c>
      <c r="E183" s="448">
        <f>IF($L183&gt;P$5,MAX(0,P$3+ROUND((P$9*($L183-P$5)),0)),IF($L183&gt;P$4,P$3,ROUND($L183*P$7,0)))</f>
        <v/>
      </c>
      <c r="F183" s="447">
        <f>IF($L183&gt;Q$5,MAX(0,Q$3+ROUND((Q$9*($L183-Q$5)),0)),IF($L183&gt;Q$4,Q$3,ROUND($L183*Q$7,0)))</f>
        <v/>
      </c>
      <c r="G183" s="1378">
        <f>IF($L183&gt;R$5,MAX(0,R$3+ROUND((R$9*($L183-R$5)),0)),IF($L183&gt;R$4,R$3,ROUND($L183*R$7,0)))</f>
        <v/>
      </c>
      <c r="H183" s="448">
        <f>IF($L183&gt;S$5,MAX(0,S$3+ROUND((S$9*($L183-S$5)),0)),IF($L183&gt;S$4,S$3,ROUND($L183*S$7,0)))</f>
        <v/>
      </c>
      <c r="I183" s="448">
        <f>IF($L183&gt;T$5,MAX(0,T$3+ROUND((T$9*($L183-T$5)),0)),IF($L183&gt;T$4,T$3,ROUND($L183*T$7,0)))</f>
        <v/>
      </c>
      <c r="J183" s="447">
        <f>IF($L183&gt;U$5,MAX(0,U$3+ROUND((U$9*($L183-U$5)),0)),IF($L183&gt;U$4,U$3,ROUND($L183*U$7,0)))</f>
        <v/>
      </c>
      <c r="K183" s="422" t="n"/>
      <c r="L183" s="448">
        <f>ROUND((A183+B183)/2,2)</f>
        <v/>
      </c>
    </row>
    <row r="184" ht="13.5" customHeight="1" s="7635">
      <c r="A184" s="448" t="n">
        <v>9050</v>
      </c>
      <c r="B184" s="447" t="n">
        <v>9100</v>
      </c>
      <c r="C184" s="1378">
        <f>IF($L184&gt;N$5,MAX(0,N$3+ROUND((N$9*($L184-N$5)),0)),IF($L184&gt;N$4,N$3,ROUND($L184*N$7,0)))</f>
        <v/>
      </c>
      <c r="D184" s="448">
        <f>IF($L184&gt;O$5,MAX(0,O$3+ROUND((O$9*($L184-O$5)),0)),IF($L184&gt;O$4,O$3,ROUND($L184*O$7,0)))</f>
        <v/>
      </c>
      <c r="E184" s="448">
        <f>IF($L184&gt;P$5,MAX(0,P$3+ROUND((P$9*($L184-P$5)),0)),IF($L184&gt;P$4,P$3,ROUND($L184*P$7,0)))</f>
        <v/>
      </c>
      <c r="F184" s="447">
        <f>IF($L184&gt;Q$5,MAX(0,Q$3+ROUND((Q$9*($L184-Q$5)),0)),IF($L184&gt;Q$4,Q$3,ROUND($L184*Q$7,0)))</f>
        <v/>
      </c>
      <c r="G184" s="1378">
        <f>IF($L184&gt;R$5,MAX(0,R$3+ROUND((R$9*($L184-R$5)),0)),IF($L184&gt;R$4,R$3,ROUND($L184*R$7,0)))</f>
        <v/>
      </c>
      <c r="H184" s="448">
        <f>IF($L184&gt;S$5,MAX(0,S$3+ROUND((S$9*($L184-S$5)),0)),IF($L184&gt;S$4,S$3,ROUND($L184*S$7,0)))</f>
        <v/>
      </c>
      <c r="I184" s="448">
        <f>IF($L184&gt;T$5,MAX(0,T$3+ROUND((T$9*($L184-T$5)),0)),IF($L184&gt;T$4,T$3,ROUND($L184*T$7,0)))</f>
        <v/>
      </c>
      <c r="J184" s="447">
        <f>IF($L184&gt;U$5,MAX(0,U$3+ROUND((U$9*($L184-U$5)),0)),IF($L184&gt;U$4,U$3,ROUND($L184*U$7,0)))</f>
        <v/>
      </c>
      <c r="K184" s="422" t="n"/>
      <c r="L184" s="448">
        <f>ROUND((A184+B184)/2,2)</f>
        <v/>
      </c>
    </row>
    <row r="185" ht="13.5" customHeight="1" s="7635">
      <c r="A185" s="448" t="n">
        <v>9100</v>
      </c>
      <c r="B185" s="447" t="n">
        <v>9150</v>
      </c>
      <c r="C185" s="1378">
        <f>IF($L185&gt;N$5,MAX(0,N$3+ROUND((N$9*($L185-N$5)),0)),IF($L185&gt;N$4,N$3,ROUND($L185*N$7,0)))</f>
        <v/>
      </c>
      <c r="D185" s="448">
        <f>IF($L185&gt;O$5,MAX(0,O$3+ROUND((O$9*($L185-O$5)),0)),IF($L185&gt;O$4,O$3,ROUND($L185*O$7,0)))</f>
        <v/>
      </c>
      <c r="E185" s="448">
        <f>IF($L185&gt;P$5,MAX(0,P$3+ROUND((P$9*($L185-P$5)),0)),IF($L185&gt;P$4,P$3,ROUND($L185*P$7,0)))</f>
        <v/>
      </c>
      <c r="F185" s="447">
        <f>IF($L185&gt;Q$5,MAX(0,Q$3+ROUND((Q$9*($L185-Q$5)),0)),IF($L185&gt;Q$4,Q$3,ROUND($L185*Q$7,0)))</f>
        <v/>
      </c>
      <c r="G185" s="1378">
        <f>IF($L185&gt;R$5,MAX(0,R$3+ROUND((R$9*($L185-R$5)),0)),IF($L185&gt;R$4,R$3,ROUND($L185*R$7,0)))</f>
        <v/>
      </c>
      <c r="H185" s="448">
        <f>IF($L185&gt;S$5,MAX(0,S$3+ROUND((S$9*($L185-S$5)),0)),IF($L185&gt;S$4,S$3,ROUND($L185*S$7,0)))</f>
        <v/>
      </c>
      <c r="I185" s="448">
        <f>IF($L185&gt;T$5,MAX(0,T$3+ROUND((T$9*($L185-T$5)),0)),IF($L185&gt;T$4,T$3,ROUND($L185*T$7,0)))</f>
        <v/>
      </c>
      <c r="J185" s="447">
        <f>IF($L185&gt;U$5,MAX(0,U$3+ROUND((U$9*($L185-U$5)),0)),IF($L185&gt;U$4,U$3,ROUND($L185*U$7,0)))</f>
        <v/>
      </c>
      <c r="K185" s="422" t="n"/>
      <c r="L185" s="448">
        <f>ROUND((A185+B185)/2,2)</f>
        <v/>
      </c>
    </row>
    <row r="186" ht="13.5" customHeight="1" s="7635">
      <c r="A186" s="448" t="n">
        <v>9150</v>
      </c>
      <c r="B186" s="447" t="n">
        <v>9200</v>
      </c>
      <c r="C186" s="1378">
        <f>IF($L186&gt;N$5,MAX(0,N$3+ROUND((N$9*($L186-N$5)),0)),IF($L186&gt;N$4,N$3,ROUND($L186*N$7,0)))</f>
        <v/>
      </c>
      <c r="D186" s="448">
        <f>IF($L186&gt;O$5,MAX(0,O$3+ROUND((O$9*($L186-O$5)),0)),IF($L186&gt;O$4,O$3,ROUND($L186*O$7,0)))</f>
        <v/>
      </c>
      <c r="E186" s="448">
        <f>IF($L186&gt;P$5,MAX(0,P$3+ROUND((P$9*($L186-P$5)),0)),IF($L186&gt;P$4,P$3,ROUND($L186*P$7,0)))</f>
        <v/>
      </c>
      <c r="F186" s="447">
        <f>IF($L186&gt;Q$5,MAX(0,Q$3+ROUND((Q$9*($L186-Q$5)),0)),IF($L186&gt;Q$4,Q$3,ROUND($L186*Q$7,0)))</f>
        <v/>
      </c>
      <c r="G186" s="1378">
        <f>IF($L186&gt;R$5,MAX(0,R$3+ROUND((R$9*($L186-R$5)),0)),IF($L186&gt;R$4,R$3,ROUND($L186*R$7,0)))</f>
        <v/>
      </c>
      <c r="H186" s="448">
        <f>IF($L186&gt;S$5,MAX(0,S$3+ROUND((S$9*($L186-S$5)),0)),IF($L186&gt;S$4,S$3,ROUND($L186*S$7,0)))</f>
        <v/>
      </c>
      <c r="I186" s="448">
        <f>IF($L186&gt;T$5,MAX(0,T$3+ROUND((T$9*($L186-T$5)),0)),IF($L186&gt;T$4,T$3,ROUND($L186*T$7,0)))</f>
        <v/>
      </c>
      <c r="J186" s="447">
        <f>IF($L186&gt;U$5,MAX(0,U$3+ROUND((U$9*($L186-U$5)),0)),IF($L186&gt;U$4,U$3,ROUND($L186*U$7,0)))</f>
        <v/>
      </c>
      <c r="K186" s="422" t="n"/>
      <c r="L186" s="448">
        <f>ROUND((A186+B186)/2,2)</f>
        <v/>
      </c>
    </row>
    <row r="187" ht="13.5" customHeight="1" s="7635">
      <c r="A187" s="448" t="n">
        <v>9200</v>
      </c>
      <c r="B187" s="447" t="n">
        <v>9250</v>
      </c>
      <c r="C187" s="1378">
        <f>IF($L187&gt;N$5,MAX(0,N$3+ROUND((N$9*($L187-N$5)),0)),IF($L187&gt;N$4,N$3,ROUND($L187*N$7,0)))</f>
        <v/>
      </c>
      <c r="D187" s="448">
        <f>IF($L187&gt;O$5,MAX(0,O$3+ROUND((O$9*($L187-O$5)),0)),IF($L187&gt;O$4,O$3,ROUND($L187*O$7,0)))</f>
        <v/>
      </c>
      <c r="E187" s="448">
        <f>IF($L187&gt;P$5,MAX(0,P$3+ROUND((P$9*($L187-P$5)),0)),IF($L187&gt;P$4,P$3,ROUND($L187*P$7,0)))</f>
        <v/>
      </c>
      <c r="F187" s="447">
        <f>IF($L187&gt;Q$5,MAX(0,Q$3+ROUND((Q$9*($L187-Q$5)),0)),IF($L187&gt;Q$4,Q$3,ROUND($L187*Q$7,0)))</f>
        <v/>
      </c>
      <c r="G187" s="1378">
        <f>IF($L187&gt;R$5,MAX(0,R$3+ROUND((R$9*($L187-R$5)),0)),IF($L187&gt;R$4,R$3,ROUND($L187*R$7,0)))</f>
        <v/>
      </c>
      <c r="H187" s="448">
        <f>IF($L187&gt;S$5,MAX(0,S$3+ROUND((S$9*($L187-S$5)),0)),IF($L187&gt;S$4,S$3,ROUND($L187*S$7,0)))</f>
        <v/>
      </c>
      <c r="I187" s="448">
        <f>IF($L187&gt;T$5,MAX(0,T$3+ROUND((T$9*($L187-T$5)),0)),IF($L187&gt;T$4,T$3,ROUND($L187*T$7,0)))</f>
        <v/>
      </c>
      <c r="J187" s="447">
        <f>IF($L187&gt;U$5,MAX(0,U$3+ROUND((U$9*($L187-U$5)),0)),IF($L187&gt;U$4,U$3,ROUND($L187*U$7,0)))</f>
        <v/>
      </c>
      <c r="K187" s="422" t="n"/>
      <c r="L187" s="448">
        <f>ROUND((A187+B187)/2,2)</f>
        <v/>
      </c>
    </row>
    <row r="188" ht="13.5" customHeight="1" s="7635">
      <c r="A188" s="448" t="n">
        <v>9250</v>
      </c>
      <c r="B188" s="447" t="n">
        <v>9300</v>
      </c>
      <c r="C188" s="1378">
        <f>IF($L188&gt;N$5,MAX(0,N$3+ROUND((N$9*($L188-N$5)),0)),IF($L188&gt;N$4,N$3,ROUND($L188*N$7,0)))</f>
        <v/>
      </c>
      <c r="D188" s="448">
        <f>IF($L188&gt;O$5,MAX(0,O$3+ROUND((O$9*($L188-O$5)),0)),IF($L188&gt;O$4,O$3,ROUND($L188*O$7,0)))</f>
        <v/>
      </c>
      <c r="E188" s="448">
        <f>IF($L188&gt;P$5,MAX(0,P$3+ROUND((P$9*($L188-P$5)),0)),IF($L188&gt;P$4,P$3,ROUND($L188*P$7,0)))</f>
        <v/>
      </c>
      <c r="F188" s="447">
        <f>IF($L188&gt;Q$5,MAX(0,Q$3+ROUND((Q$9*($L188-Q$5)),0)),IF($L188&gt;Q$4,Q$3,ROUND($L188*Q$7,0)))</f>
        <v/>
      </c>
      <c r="G188" s="1378">
        <f>IF($L188&gt;R$5,MAX(0,R$3+ROUND((R$9*($L188-R$5)),0)),IF($L188&gt;R$4,R$3,ROUND($L188*R$7,0)))</f>
        <v/>
      </c>
      <c r="H188" s="448">
        <f>IF($L188&gt;S$5,MAX(0,S$3+ROUND((S$9*($L188-S$5)),0)),IF($L188&gt;S$4,S$3,ROUND($L188*S$7,0)))</f>
        <v/>
      </c>
      <c r="I188" s="448">
        <f>IF($L188&gt;T$5,MAX(0,T$3+ROUND((T$9*($L188-T$5)),0)),IF($L188&gt;T$4,T$3,ROUND($L188*T$7,0)))</f>
        <v/>
      </c>
      <c r="J188" s="447">
        <f>IF($L188&gt;U$5,MAX(0,U$3+ROUND((U$9*($L188-U$5)),0)),IF($L188&gt;U$4,U$3,ROUND($L188*U$7,0)))</f>
        <v/>
      </c>
      <c r="K188" s="422" t="n"/>
      <c r="L188" s="448">
        <f>ROUND((A188+B188)/2,2)</f>
        <v/>
      </c>
    </row>
    <row r="189" ht="13.5" customHeight="1" s="7635">
      <c r="A189" s="448" t="n">
        <v>9300</v>
      </c>
      <c r="B189" s="447" t="n">
        <v>9350</v>
      </c>
      <c r="C189" s="1378">
        <f>IF($L189&gt;N$5,MAX(0,N$3+ROUND((N$9*($L189-N$5)),0)),IF($L189&gt;N$4,N$3,ROUND($L189*N$7,0)))</f>
        <v/>
      </c>
      <c r="D189" s="448">
        <f>IF($L189&gt;O$5,MAX(0,O$3+ROUND((O$9*($L189-O$5)),0)),IF($L189&gt;O$4,O$3,ROUND($L189*O$7,0)))</f>
        <v/>
      </c>
      <c r="E189" s="448">
        <f>IF($L189&gt;P$5,MAX(0,P$3+ROUND((P$9*($L189-P$5)),0)),IF($L189&gt;P$4,P$3,ROUND($L189*P$7,0)))</f>
        <v/>
      </c>
      <c r="F189" s="447">
        <f>IF($L189&gt;Q$5,MAX(0,Q$3+ROUND((Q$9*($L189-Q$5)),0)),IF($L189&gt;Q$4,Q$3,ROUND($L189*Q$7,0)))</f>
        <v/>
      </c>
      <c r="G189" s="1378">
        <f>IF($L189&gt;R$5,MAX(0,R$3+ROUND((R$9*($L189-R$5)),0)),IF($L189&gt;R$4,R$3,ROUND($L189*R$7,0)))</f>
        <v/>
      </c>
      <c r="H189" s="448">
        <f>IF($L189&gt;S$5,MAX(0,S$3+ROUND((S$9*($L189-S$5)),0)),IF($L189&gt;S$4,S$3,ROUND($L189*S$7,0)))</f>
        <v/>
      </c>
      <c r="I189" s="448">
        <f>IF($L189&gt;T$5,MAX(0,T$3+ROUND((T$9*($L189-T$5)),0)),IF($L189&gt;T$4,T$3,ROUND($L189*T$7,0)))</f>
        <v/>
      </c>
      <c r="J189" s="447">
        <f>IF($L189&gt;U$5,MAX(0,U$3+ROUND((U$9*($L189-U$5)),0)),IF($L189&gt;U$4,U$3,ROUND($L189*U$7,0)))</f>
        <v/>
      </c>
      <c r="K189" s="422" t="n"/>
      <c r="L189" s="448">
        <f>ROUND((A189+B189)/2,2)</f>
        <v/>
      </c>
    </row>
    <row r="190" ht="13.5" customHeight="1" s="7635">
      <c r="A190" s="448" t="n">
        <v>9350</v>
      </c>
      <c r="B190" s="447" t="n">
        <v>9400</v>
      </c>
      <c r="C190" s="1378">
        <f>IF($L190&gt;N$5,MAX(0,N$3+ROUND((N$9*($L190-N$5)),0)),IF($L190&gt;N$4,N$3,ROUND($L190*N$7,0)))</f>
        <v/>
      </c>
      <c r="D190" s="448">
        <f>IF($L190&gt;O$5,MAX(0,O$3+ROUND((O$9*($L190-O$5)),0)),IF($L190&gt;O$4,O$3,ROUND($L190*O$7,0)))</f>
        <v/>
      </c>
      <c r="E190" s="448">
        <f>IF($L190&gt;P$5,MAX(0,P$3+ROUND((P$9*($L190-P$5)),0)),IF($L190&gt;P$4,P$3,ROUND($L190*P$7,0)))</f>
        <v/>
      </c>
      <c r="F190" s="447">
        <f>IF($L190&gt;Q$5,MAX(0,Q$3+ROUND((Q$9*($L190-Q$5)),0)),IF($L190&gt;Q$4,Q$3,ROUND($L190*Q$7,0)))</f>
        <v/>
      </c>
      <c r="G190" s="1378">
        <f>IF($L190&gt;R$5,MAX(0,R$3+ROUND((R$9*($L190-R$5)),0)),IF($L190&gt;R$4,R$3,ROUND($L190*R$7,0)))</f>
        <v/>
      </c>
      <c r="H190" s="448">
        <f>IF($L190&gt;S$5,MAX(0,S$3+ROUND((S$9*($L190-S$5)),0)),IF($L190&gt;S$4,S$3,ROUND($L190*S$7,0)))</f>
        <v/>
      </c>
      <c r="I190" s="448">
        <f>IF($L190&gt;T$5,MAX(0,T$3+ROUND((T$9*($L190-T$5)),0)),IF($L190&gt;T$4,T$3,ROUND($L190*T$7,0)))</f>
        <v/>
      </c>
      <c r="J190" s="447">
        <f>IF($L190&gt;U$5,MAX(0,U$3+ROUND((U$9*($L190-U$5)),0)),IF($L190&gt;U$4,U$3,ROUND($L190*U$7,0)))</f>
        <v/>
      </c>
      <c r="K190" s="422" t="n"/>
      <c r="L190" s="448">
        <f>ROUND((A190+B190)/2,2)</f>
        <v/>
      </c>
    </row>
    <row r="191" ht="13.5" customHeight="1" s="7635">
      <c r="A191" s="448" t="n">
        <v>9400</v>
      </c>
      <c r="B191" s="447" t="n">
        <v>9450</v>
      </c>
      <c r="C191" s="1378">
        <f>IF($L191&gt;N$5,MAX(0,N$3+ROUND((N$9*($L191-N$5)),0)),IF($L191&gt;N$4,N$3,ROUND($L191*N$7,0)))</f>
        <v/>
      </c>
      <c r="D191" s="448">
        <f>IF($L191&gt;O$5,MAX(0,O$3+ROUND((O$9*($L191-O$5)),0)),IF($L191&gt;O$4,O$3,ROUND($L191*O$7,0)))</f>
        <v/>
      </c>
      <c r="E191" s="448">
        <f>IF($L191&gt;P$5,MAX(0,P$3+ROUND((P$9*($L191-P$5)),0)),IF($L191&gt;P$4,P$3,ROUND($L191*P$7,0)))</f>
        <v/>
      </c>
      <c r="F191" s="447">
        <f>IF($L191&gt;Q$5,MAX(0,Q$3+ROUND((Q$9*($L191-Q$5)),0)),IF($L191&gt;Q$4,Q$3,ROUND($L191*Q$7,0)))</f>
        <v/>
      </c>
      <c r="G191" s="1378">
        <f>IF($L191&gt;R$5,MAX(0,R$3+ROUND((R$9*($L191-R$5)),0)),IF($L191&gt;R$4,R$3,ROUND($L191*R$7,0)))</f>
        <v/>
      </c>
      <c r="H191" s="448">
        <f>IF($L191&gt;S$5,MAX(0,S$3+ROUND((S$9*($L191-S$5)),0)),IF($L191&gt;S$4,S$3,ROUND($L191*S$7,0)))</f>
        <v/>
      </c>
      <c r="I191" s="448">
        <f>IF($L191&gt;T$5,MAX(0,T$3+ROUND((T$9*($L191-T$5)),0)),IF($L191&gt;T$4,T$3,ROUND($L191*T$7,0)))</f>
        <v/>
      </c>
      <c r="J191" s="447">
        <f>IF($L191&gt;U$5,MAX(0,U$3+ROUND((U$9*($L191-U$5)),0)),IF($L191&gt;U$4,U$3,ROUND($L191*U$7,0)))</f>
        <v/>
      </c>
      <c r="K191" s="422" t="n"/>
      <c r="L191" s="448">
        <f>ROUND((A191+B191)/2,2)</f>
        <v/>
      </c>
    </row>
    <row r="192" ht="13.5" customHeight="1" s="7635">
      <c r="A192" s="448" t="n">
        <v>9450</v>
      </c>
      <c r="B192" s="447" t="n">
        <v>9500</v>
      </c>
      <c r="C192" s="1378">
        <f>IF($L192&gt;N$5,MAX(0,N$3+ROUND((N$9*($L192-N$5)),0)),IF($L192&gt;N$4,N$3,ROUND($L192*N$7,0)))</f>
        <v/>
      </c>
      <c r="D192" s="448">
        <f>IF($L192&gt;O$5,MAX(0,O$3+ROUND((O$9*($L192-O$5)),0)),IF($L192&gt;O$4,O$3,ROUND($L192*O$7,0)))</f>
        <v/>
      </c>
      <c r="E192" s="448">
        <f>IF($L192&gt;P$5,MAX(0,P$3+ROUND((P$9*($L192-P$5)),0)),IF($L192&gt;P$4,P$3,ROUND($L192*P$7,0)))</f>
        <v/>
      </c>
      <c r="F192" s="447">
        <f>IF($L192&gt;Q$5,MAX(0,Q$3+ROUND((Q$9*($L192-Q$5)),0)),IF($L192&gt;Q$4,Q$3,ROUND($L192*Q$7,0)))</f>
        <v/>
      </c>
      <c r="G192" s="1378">
        <f>IF($L192&gt;R$5,MAX(0,R$3+ROUND((R$9*($L192-R$5)),0)),IF($L192&gt;R$4,R$3,ROUND($L192*R$7,0)))</f>
        <v/>
      </c>
      <c r="H192" s="448">
        <f>IF($L192&gt;S$5,MAX(0,S$3+ROUND((S$9*($L192-S$5)),0)),IF($L192&gt;S$4,S$3,ROUND($L192*S$7,0)))</f>
        <v/>
      </c>
      <c r="I192" s="448">
        <f>IF($L192&gt;T$5,MAX(0,T$3+ROUND((T$9*($L192-T$5)),0)),IF($L192&gt;T$4,T$3,ROUND($L192*T$7,0)))</f>
        <v/>
      </c>
      <c r="J192" s="447">
        <f>IF($L192&gt;U$5,MAX(0,U$3+ROUND((U$9*($L192-U$5)),0)),IF($L192&gt;U$4,U$3,ROUND($L192*U$7,0)))</f>
        <v/>
      </c>
      <c r="K192" s="422" t="n"/>
      <c r="L192" s="448">
        <f>ROUND((A192+B192)/2,2)</f>
        <v/>
      </c>
    </row>
    <row r="193" ht="13.5" customHeight="1" s="7635">
      <c r="A193" s="448" t="n">
        <v>9500</v>
      </c>
      <c r="B193" s="447" t="n">
        <v>9550</v>
      </c>
      <c r="C193" s="1378">
        <f>IF($L193&gt;N$5,MAX(0,N$3+ROUND((N$9*($L193-N$5)),0)),IF($L193&gt;N$4,N$3,ROUND($L193*N$7,0)))</f>
        <v/>
      </c>
      <c r="D193" s="448">
        <f>IF($L193&gt;O$5,MAX(0,O$3+ROUND((O$9*($L193-O$5)),0)),IF($L193&gt;O$4,O$3,ROUND($L193*O$7,0)))</f>
        <v/>
      </c>
      <c r="E193" s="448">
        <f>IF($L193&gt;P$5,MAX(0,P$3+ROUND((P$9*($L193-P$5)),0)),IF($L193&gt;P$4,P$3,ROUND($L193*P$7,0)))</f>
        <v/>
      </c>
      <c r="F193" s="447">
        <f>IF($L193&gt;Q$5,MAX(0,Q$3+ROUND((Q$9*($L193-Q$5)),0)),IF($L193&gt;Q$4,Q$3,ROUND($L193*Q$7,0)))</f>
        <v/>
      </c>
      <c r="G193" s="1378">
        <f>IF($L193&gt;R$5,MAX(0,R$3+ROUND((R$9*($L193-R$5)),0)),IF($L193&gt;R$4,R$3,ROUND($L193*R$7,0)))</f>
        <v/>
      </c>
      <c r="H193" s="448">
        <f>IF($L193&gt;S$5,MAX(0,S$3+ROUND((S$9*($L193-S$5)),0)),IF($L193&gt;S$4,S$3,ROUND($L193*S$7,0)))</f>
        <v/>
      </c>
      <c r="I193" s="448">
        <f>IF($L193&gt;T$5,MAX(0,T$3+ROUND((T$9*($L193-T$5)),0)),IF($L193&gt;T$4,T$3,ROUND($L193*T$7,0)))</f>
        <v/>
      </c>
      <c r="J193" s="447">
        <f>IF($L193&gt;U$5,MAX(0,U$3+ROUND((U$9*($L193-U$5)),0)),IF($L193&gt;U$4,U$3,ROUND($L193*U$7,0)))</f>
        <v/>
      </c>
      <c r="K193" s="422" t="n"/>
      <c r="L193" s="448">
        <f>ROUND((A193+B193)/2,2)</f>
        <v/>
      </c>
    </row>
    <row r="194" ht="13.5" customHeight="1" s="7635">
      <c r="A194" s="448" t="n">
        <v>9550</v>
      </c>
      <c r="B194" s="447" t="n">
        <v>9600</v>
      </c>
      <c r="C194" s="1378">
        <f>IF($L194&gt;N$5,MAX(0,N$3+ROUND((N$9*($L194-N$5)),0)),IF($L194&gt;N$4,N$3,ROUND($L194*N$7,0)))</f>
        <v/>
      </c>
      <c r="D194" s="448">
        <f>IF($L194&gt;O$5,MAX(0,O$3+ROUND((O$9*($L194-O$5)),0)),IF($L194&gt;O$4,O$3,ROUND($L194*O$7,0)))</f>
        <v/>
      </c>
      <c r="E194" s="448">
        <f>IF($L194&gt;P$5,MAX(0,P$3+ROUND((P$9*($L194-P$5)),0)),IF($L194&gt;P$4,P$3,ROUND($L194*P$7,0)))</f>
        <v/>
      </c>
      <c r="F194" s="447">
        <f>IF($L194&gt;Q$5,MAX(0,Q$3+ROUND((Q$9*($L194-Q$5)),0)),IF($L194&gt;Q$4,Q$3,ROUND($L194*Q$7,0)))</f>
        <v/>
      </c>
      <c r="G194" s="1378">
        <f>IF($L194&gt;R$5,MAX(0,R$3+ROUND((R$9*($L194-R$5)),0)),IF($L194&gt;R$4,R$3,ROUND($L194*R$7,0)))</f>
        <v/>
      </c>
      <c r="H194" s="448">
        <f>IF($L194&gt;S$5,MAX(0,S$3+ROUND((S$9*($L194-S$5)),0)),IF($L194&gt;S$4,S$3,ROUND($L194*S$7,0)))</f>
        <v/>
      </c>
      <c r="I194" s="448">
        <f>IF($L194&gt;T$5,MAX(0,T$3+ROUND((T$9*($L194-T$5)),0)),IF($L194&gt;T$4,T$3,ROUND($L194*T$7,0)))</f>
        <v/>
      </c>
      <c r="J194" s="447">
        <f>IF($L194&gt;U$5,MAX(0,U$3+ROUND((U$9*($L194-U$5)),0)),IF($L194&gt;U$4,U$3,ROUND($L194*U$7,0)))</f>
        <v/>
      </c>
      <c r="K194" s="422" t="n"/>
      <c r="L194" s="448">
        <f>ROUND((A194+B194)/2,2)</f>
        <v/>
      </c>
    </row>
    <row r="195" ht="13.5" customHeight="1" s="7635">
      <c r="A195" s="448" t="n">
        <v>9600</v>
      </c>
      <c r="B195" s="447" t="n">
        <v>9650</v>
      </c>
      <c r="C195" s="1378">
        <f>IF($L195&gt;N$5,MAX(0,N$3+ROUND((N$9*($L195-N$5)),0)),IF($L195&gt;N$4,N$3,ROUND($L195*N$7,0)))</f>
        <v/>
      </c>
      <c r="D195" s="448">
        <f>IF($L195&gt;O$5,MAX(0,O$3+ROUND((O$9*($L195-O$5)),0)),IF($L195&gt;O$4,O$3,ROUND($L195*O$7,0)))</f>
        <v/>
      </c>
      <c r="E195" s="448">
        <f>IF($L195&gt;P$5,MAX(0,P$3+ROUND((P$9*($L195-P$5)),0)),IF($L195&gt;P$4,P$3,ROUND($L195*P$7,0)))</f>
        <v/>
      </c>
      <c r="F195" s="447">
        <f>IF($L195&gt;Q$5,MAX(0,Q$3+ROUND((Q$9*($L195-Q$5)),0)),IF($L195&gt;Q$4,Q$3,ROUND($L195*Q$7,0)))</f>
        <v/>
      </c>
      <c r="G195" s="1378">
        <f>IF($L195&gt;R$5,MAX(0,R$3+ROUND((R$9*($L195-R$5)),0)),IF($L195&gt;R$4,R$3,ROUND($L195*R$7,0)))</f>
        <v/>
      </c>
      <c r="H195" s="448">
        <f>IF($L195&gt;S$5,MAX(0,S$3+ROUND((S$9*($L195-S$5)),0)),IF($L195&gt;S$4,S$3,ROUND($L195*S$7,0)))</f>
        <v/>
      </c>
      <c r="I195" s="448">
        <f>IF($L195&gt;T$5,MAX(0,T$3+ROUND((T$9*($L195-T$5)),0)),IF($L195&gt;T$4,T$3,ROUND($L195*T$7,0)))</f>
        <v/>
      </c>
      <c r="J195" s="447">
        <f>IF($L195&gt;U$5,MAX(0,U$3+ROUND((U$9*($L195-U$5)),0)),IF($L195&gt;U$4,U$3,ROUND($L195*U$7,0)))</f>
        <v/>
      </c>
      <c r="K195" s="422" t="n"/>
      <c r="L195" s="448">
        <f>ROUND((A195+B195)/2,2)</f>
        <v/>
      </c>
    </row>
    <row r="196" ht="13.5" customHeight="1" s="7635">
      <c r="A196" s="448" t="n">
        <v>9650</v>
      </c>
      <c r="B196" s="447" t="n">
        <v>9700</v>
      </c>
      <c r="C196" s="1378">
        <f>IF($L196&gt;N$5,MAX(0,N$3+ROUND((N$9*($L196-N$5)),0)),IF($L196&gt;N$4,N$3,ROUND($L196*N$7,0)))</f>
        <v/>
      </c>
      <c r="D196" s="448">
        <f>IF($L196&gt;O$5,MAX(0,O$3+ROUND((O$9*($L196-O$5)),0)),IF($L196&gt;O$4,O$3,ROUND($L196*O$7,0)))</f>
        <v/>
      </c>
      <c r="E196" s="448">
        <f>IF($L196&gt;P$5,MAX(0,P$3+ROUND((P$9*($L196-P$5)),0)),IF($L196&gt;P$4,P$3,ROUND($L196*P$7,0)))</f>
        <v/>
      </c>
      <c r="F196" s="447">
        <f>IF($L196&gt;Q$5,MAX(0,Q$3+ROUND((Q$9*($L196-Q$5)),0)),IF($L196&gt;Q$4,Q$3,ROUND($L196*Q$7,0)))</f>
        <v/>
      </c>
      <c r="G196" s="1378">
        <f>IF($L196&gt;R$5,MAX(0,R$3+ROUND((R$9*($L196-R$5)),0)),IF($L196&gt;R$4,R$3,ROUND($L196*R$7,0)))</f>
        <v/>
      </c>
      <c r="H196" s="448">
        <f>IF($L196&gt;S$5,MAX(0,S$3+ROUND((S$9*($L196-S$5)),0)),IF($L196&gt;S$4,S$3,ROUND($L196*S$7,0)))</f>
        <v/>
      </c>
      <c r="I196" s="448">
        <f>IF($L196&gt;T$5,MAX(0,T$3+ROUND((T$9*($L196-T$5)),0)),IF($L196&gt;T$4,T$3,ROUND($L196*T$7,0)))</f>
        <v/>
      </c>
      <c r="J196" s="447">
        <f>IF($L196&gt;U$5,MAX(0,U$3+ROUND((U$9*($L196-U$5)),0)),IF($L196&gt;U$4,U$3,ROUND($L196*U$7,0)))</f>
        <v/>
      </c>
      <c r="K196" s="422" t="n"/>
      <c r="L196" s="448">
        <f>ROUND((A196+B196)/2,2)</f>
        <v/>
      </c>
    </row>
    <row r="197" ht="13.5" customHeight="1" s="7635">
      <c r="A197" s="448" t="n">
        <v>9700</v>
      </c>
      <c r="B197" s="447" t="n">
        <v>9750</v>
      </c>
      <c r="C197" s="1378">
        <f>IF($L197&gt;N$5,MAX(0,N$3+ROUND((N$9*($L197-N$5)),0)),IF($L197&gt;N$4,N$3,ROUND($L197*N$7,0)))</f>
        <v/>
      </c>
      <c r="D197" s="448">
        <f>IF($L197&gt;O$5,MAX(0,O$3+ROUND((O$9*($L197-O$5)),0)),IF($L197&gt;O$4,O$3,ROUND($L197*O$7,0)))</f>
        <v/>
      </c>
      <c r="E197" s="448">
        <f>IF($L197&gt;P$5,MAX(0,P$3+ROUND((P$9*($L197-P$5)),0)),IF($L197&gt;P$4,P$3,ROUND($L197*P$7,0)))</f>
        <v/>
      </c>
      <c r="F197" s="447">
        <f>IF($L197&gt;Q$5,MAX(0,Q$3+ROUND((Q$9*($L197-Q$5)),0)),IF($L197&gt;Q$4,Q$3,ROUND($L197*Q$7,0)))</f>
        <v/>
      </c>
      <c r="G197" s="1378">
        <f>IF($L197&gt;R$5,MAX(0,R$3+ROUND((R$9*($L197-R$5)),0)),IF($L197&gt;R$4,R$3,ROUND($L197*R$7,0)))</f>
        <v/>
      </c>
      <c r="H197" s="448">
        <f>IF($L197&gt;S$5,MAX(0,S$3+ROUND((S$9*($L197-S$5)),0)),IF($L197&gt;S$4,S$3,ROUND($L197*S$7,0)))</f>
        <v/>
      </c>
      <c r="I197" s="448">
        <f>IF($L197&gt;T$5,MAX(0,T$3+ROUND((T$9*($L197-T$5)),0)),IF($L197&gt;T$4,T$3,ROUND($L197*T$7,0)))</f>
        <v/>
      </c>
      <c r="J197" s="447">
        <f>IF($L197&gt;U$5,MAX(0,U$3+ROUND((U$9*($L197-U$5)),0)),IF($L197&gt;U$4,U$3,ROUND($L197*U$7,0)))</f>
        <v/>
      </c>
      <c r="K197" s="422" t="n"/>
      <c r="L197" s="448">
        <f>ROUND((A197+B197)/2,2)</f>
        <v/>
      </c>
    </row>
    <row r="198" ht="13.5" customHeight="1" s="7635">
      <c r="A198" s="448" t="n">
        <v>9750</v>
      </c>
      <c r="B198" s="447" t="n">
        <v>9800</v>
      </c>
      <c r="C198" s="1378">
        <f>IF($L198&gt;N$5,MAX(0,N$3+ROUND((N$9*($L198-N$5)),0)),IF($L198&gt;N$4,N$3,ROUND($L198*N$7,0)))</f>
        <v/>
      </c>
      <c r="D198" s="448">
        <f>IF($L198&gt;O$5,MAX(0,O$3+ROUND((O$9*($L198-O$5)),0)),IF($L198&gt;O$4,O$3,ROUND($L198*O$7,0)))</f>
        <v/>
      </c>
      <c r="E198" s="448">
        <f>IF($L198&gt;P$5,MAX(0,P$3+ROUND((P$9*($L198-P$5)),0)),IF($L198&gt;P$4,P$3,ROUND($L198*P$7,0)))</f>
        <v/>
      </c>
      <c r="F198" s="447">
        <f>IF($L198&gt;Q$5,MAX(0,Q$3+ROUND((Q$9*($L198-Q$5)),0)),IF($L198&gt;Q$4,Q$3,ROUND($L198*Q$7,0)))</f>
        <v/>
      </c>
      <c r="G198" s="1378">
        <f>IF($L198&gt;R$5,MAX(0,R$3+ROUND((R$9*($L198-R$5)),0)),IF($L198&gt;R$4,R$3,ROUND($L198*R$7,0)))</f>
        <v/>
      </c>
      <c r="H198" s="448">
        <f>IF($L198&gt;S$5,MAX(0,S$3+ROUND((S$9*($L198-S$5)),0)),IF($L198&gt;S$4,S$3,ROUND($L198*S$7,0)))</f>
        <v/>
      </c>
      <c r="I198" s="448">
        <f>IF($L198&gt;T$5,MAX(0,T$3+ROUND((T$9*($L198-T$5)),0)),IF($L198&gt;T$4,T$3,ROUND($L198*T$7,0)))</f>
        <v/>
      </c>
      <c r="J198" s="447">
        <f>IF($L198&gt;U$5,MAX(0,U$3+ROUND((U$9*($L198-U$5)),0)),IF($L198&gt;U$4,U$3,ROUND($L198*U$7,0)))</f>
        <v/>
      </c>
      <c r="K198" s="422" t="n"/>
      <c r="L198" s="448">
        <f>ROUND((A198+B198)/2,2)</f>
        <v/>
      </c>
    </row>
    <row r="199" ht="13.5" customHeight="1" s="7635">
      <c r="A199" s="448" t="n">
        <v>9800</v>
      </c>
      <c r="B199" s="447" t="n">
        <v>9850</v>
      </c>
      <c r="C199" s="1378">
        <f>IF($L199&gt;N$5,MAX(0,N$3+ROUND((N$9*($L199-N$5)),0)),IF($L199&gt;N$4,N$3,ROUND($L199*N$7,0)))</f>
        <v/>
      </c>
      <c r="D199" s="448">
        <f>IF($L199&gt;O$5,MAX(0,O$3+ROUND((O$9*($L199-O$5)),0)),IF($L199&gt;O$4,O$3,ROUND($L199*O$7,0)))</f>
        <v/>
      </c>
      <c r="E199" s="448">
        <f>IF($L199&gt;P$5,MAX(0,P$3+ROUND((P$9*($L199-P$5)),0)),IF($L199&gt;P$4,P$3,ROUND($L199*P$7,0)))</f>
        <v/>
      </c>
      <c r="F199" s="447">
        <f>IF($L199&gt;Q$5,MAX(0,Q$3+ROUND((Q$9*($L199-Q$5)),0)),IF($L199&gt;Q$4,Q$3,ROUND($L199*Q$7,0)))</f>
        <v/>
      </c>
      <c r="G199" s="1378">
        <f>IF($L199&gt;R$5,MAX(0,R$3+ROUND((R$9*($L199-R$5)),0)),IF($L199&gt;R$4,R$3,ROUND($L199*R$7,0)))</f>
        <v/>
      </c>
      <c r="H199" s="448">
        <f>IF($L199&gt;S$5,MAX(0,S$3+ROUND((S$9*($L199-S$5)),0)),IF($L199&gt;S$4,S$3,ROUND($L199*S$7,0)))</f>
        <v/>
      </c>
      <c r="I199" s="448">
        <f>IF($L199&gt;T$5,MAX(0,T$3+ROUND((T$9*($L199-T$5)),0)),IF($L199&gt;T$4,T$3,ROUND($L199*T$7,0)))</f>
        <v/>
      </c>
      <c r="J199" s="447">
        <f>IF($L199&gt;U$5,MAX(0,U$3+ROUND((U$9*($L199-U$5)),0)),IF($L199&gt;U$4,U$3,ROUND($L199*U$7,0)))</f>
        <v/>
      </c>
      <c r="K199" s="422" t="n"/>
      <c r="L199" s="448">
        <f>ROUND((A199+B199)/2,2)</f>
        <v/>
      </c>
    </row>
    <row r="200" ht="13.5" customHeight="1" s="7635">
      <c r="A200" s="448" t="n">
        <v>9850</v>
      </c>
      <c r="B200" s="447" t="n">
        <v>9900</v>
      </c>
      <c r="C200" s="1378">
        <f>IF($L200&gt;N$5,MAX(0,N$3+ROUND((N$9*($L200-N$5)),0)),IF($L200&gt;N$4,N$3,ROUND($L200*N$7,0)))</f>
        <v/>
      </c>
      <c r="D200" s="448">
        <f>IF($L200&gt;O$5,MAX(0,O$3+ROUND((O$9*($L200-O$5)),0)),IF($L200&gt;O$4,O$3,ROUND($L200*O$7,0)))</f>
        <v/>
      </c>
      <c r="E200" s="448">
        <f>IF($L200&gt;P$5,MAX(0,P$3+ROUND((P$9*($L200-P$5)),0)),IF($L200&gt;P$4,P$3,ROUND($L200*P$7,0)))</f>
        <v/>
      </c>
      <c r="F200" s="447">
        <f>IF($L200&gt;Q$5,MAX(0,Q$3+ROUND((Q$9*($L200-Q$5)),0)),IF($L200&gt;Q$4,Q$3,ROUND($L200*Q$7,0)))</f>
        <v/>
      </c>
      <c r="G200" s="1378">
        <f>IF($L200&gt;R$5,MAX(0,R$3+ROUND((R$9*($L200-R$5)),0)),IF($L200&gt;R$4,R$3,ROUND($L200*R$7,0)))</f>
        <v/>
      </c>
      <c r="H200" s="448">
        <f>IF($L200&gt;S$5,MAX(0,S$3+ROUND((S$9*($L200-S$5)),0)),IF($L200&gt;S$4,S$3,ROUND($L200*S$7,0)))</f>
        <v/>
      </c>
      <c r="I200" s="448">
        <f>IF($L200&gt;T$5,MAX(0,T$3+ROUND((T$9*($L200-T$5)),0)),IF($L200&gt;T$4,T$3,ROUND($L200*T$7,0)))</f>
        <v/>
      </c>
      <c r="J200" s="447">
        <f>IF($L200&gt;U$5,MAX(0,U$3+ROUND((U$9*($L200-U$5)),0)),IF($L200&gt;U$4,U$3,ROUND($L200*U$7,0)))</f>
        <v/>
      </c>
      <c r="K200" s="422" t="n"/>
      <c r="L200" s="448">
        <f>ROUND((A200+B200)/2,2)</f>
        <v/>
      </c>
    </row>
    <row r="201" ht="13.5" customHeight="1" s="7635">
      <c r="A201" s="448" t="n">
        <v>9900</v>
      </c>
      <c r="B201" s="447" t="n">
        <v>9950</v>
      </c>
      <c r="C201" s="1378">
        <f>IF($L201&gt;N$5,MAX(0,N$3+ROUND((N$9*($L201-N$5)),0)),IF($L201&gt;N$4,N$3,ROUND($L201*N$7,0)))</f>
        <v/>
      </c>
      <c r="D201" s="448">
        <f>IF($L201&gt;O$5,MAX(0,O$3+ROUND((O$9*($L201-O$5)),0)),IF($L201&gt;O$4,O$3,ROUND($L201*O$7,0)))</f>
        <v/>
      </c>
      <c r="E201" s="448">
        <f>IF($L201&gt;P$5,MAX(0,P$3+ROUND((P$9*($L201-P$5)),0)),IF($L201&gt;P$4,P$3,ROUND($L201*P$7,0)))</f>
        <v/>
      </c>
      <c r="F201" s="447">
        <f>IF($L201&gt;Q$5,MAX(0,Q$3+ROUND((Q$9*($L201-Q$5)),0)),IF($L201&gt;Q$4,Q$3,ROUND($L201*Q$7,0)))</f>
        <v/>
      </c>
      <c r="G201" s="1378">
        <f>IF($L201&gt;R$5,MAX(0,R$3+ROUND((R$9*($L201-R$5)),0)),IF($L201&gt;R$4,R$3,ROUND($L201*R$7,0)))</f>
        <v/>
      </c>
      <c r="H201" s="448">
        <f>IF($L201&gt;S$5,MAX(0,S$3+ROUND((S$9*($L201-S$5)),0)),IF($L201&gt;S$4,S$3,ROUND($L201*S$7,0)))</f>
        <v/>
      </c>
      <c r="I201" s="448">
        <f>IF($L201&gt;T$5,MAX(0,T$3+ROUND((T$9*($L201-T$5)),0)),IF($L201&gt;T$4,T$3,ROUND($L201*T$7,0)))</f>
        <v/>
      </c>
      <c r="J201" s="447">
        <f>IF($L201&gt;U$5,MAX(0,U$3+ROUND((U$9*($L201-U$5)),0)),IF($L201&gt;U$4,U$3,ROUND($L201*U$7,0)))</f>
        <v/>
      </c>
      <c r="K201" s="422" t="n"/>
      <c r="L201" s="448">
        <f>ROUND((A201+B201)/2,2)</f>
        <v/>
      </c>
    </row>
    <row r="202" ht="13.5" customHeight="1" s="7635">
      <c r="A202" s="448" t="n">
        <v>9950</v>
      </c>
      <c r="B202" s="447" t="n">
        <v>10000</v>
      </c>
      <c r="C202" s="1378">
        <f>IF($L202&gt;N$5,MAX(0,N$3+ROUND((N$9*($L202-N$5)),0)),IF($L202&gt;N$4,N$3,ROUND($L202*N$7,0)))</f>
        <v/>
      </c>
      <c r="D202" s="448">
        <f>IF($L202&gt;O$5,MAX(0,O$3+ROUND((O$9*($L202-O$5)),0)),IF($L202&gt;O$4,O$3,ROUND($L202*O$7,0)))</f>
        <v/>
      </c>
      <c r="E202" s="448">
        <f>IF($L202&gt;P$5,MAX(0,P$3+ROUND((P$9*($L202-P$5)),0)),IF($L202&gt;P$4,P$3,ROUND($L202*P$7,0)))</f>
        <v/>
      </c>
      <c r="F202" s="447">
        <f>IF($L202&gt;Q$5,MAX(0,Q$3+ROUND((Q$9*($L202-Q$5)),0)),IF($L202&gt;Q$4,Q$3,ROUND($L202*Q$7,0)))</f>
        <v/>
      </c>
      <c r="G202" s="1378">
        <f>IF($L202&gt;R$5,MAX(0,R$3+ROUND((R$9*($L202-R$5)),0)),IF($L202&gt;R$4,R$3,ROUND($L202*R$7,0)))</f>
        <v/>
      </c>
      <c r="H202" s="448">
        <f>IF($L202&gt;S$5,MAX(0,S$3+ROUND((S$9*($L202-S$5)),0)),IF($L202&gt;S$4,S$3,ROUND($L202*S$7,0)))</f>
        <v/>
      </c>
      <c r="I202" s="448">
        <f>IF($L202&gt;T$5,MAX(0,T$3+ROUND((T$9*($L202-T$5)),0)),IF($L202&gt;T$4,T$3,ROUND($L202*T$7,0)))</f>
        <v/>
      </c>
      <c r="J202" s="447">
        <f>IF($L202&gt;U$5,MAX(0,U$3+ROUND((U$9*($L202-U$5)),0)),IF($L202&gt;U$4,U$3,ROUND($L202*U$7,0)))</f>
        <v/>
      </c>
      <c r="K202" s="422" t="n"/>
      <c r="L202" s="448">
        <f>ROUND((A202+B202)/2,2)</f>
        <v/>
      </c>
    </row>
    <row r="203" ht="13.5" customHeight="1" s="7635">
      <c r="A203" s="448" t="n">
        <v>10000</v>
      </c>
      <c r="B203" s="447" t="n">
        <v>10050</v>
      </c>
      <c r="C203" s="1378">
        <f>IF($L203&gt;N$5,MAX(0,N$3+ROUND((N$9*($L203-N$5)),0)),IF($L203&gt;N$4,N$3,ROUND($L203*N$7,0)))</f>
        <v/>
      </c>
      <c r="D203" s="448">
        <f>IF($L203&gt;O$5,MAX(0,O$3+ROUND((O$9*($L203-O$5)),0)),IF($L203&gt;O$4,O$3,ROUND($L203*O$7,0)))</f>
        <v/>
      </c>
      <c r="E203" s="448">
        <f>IF($L203&gt;P$5,MAX(0,P$3+ROUND((P$9*($L203-P$5)),0)),IF($L203&gt;P$4,P$3,ROUND($L203*P$7,0)))</f>
        <v/>
      </c>
      <c r="F203" s="447">
        <f>IF($L203&gt;Q$5,MAX(0,Q$3+ROUND((Q$9*($L203-Q$5)),0)),IF($L203&gt;Q$4,Q$3,ROUND($L203*Q$7,0)))</f>
        <v/>
      </c>
      <c r="G203" s="1378">
        <f>IF($L203&gt;R$5,MAX(0,R$3+ROUND((R$9*($L203-R$5)),0)),IF($L203&gt;R$4,R$3,ROUND($L203*R$7,0)))</f>
        <v/>
      </c>
      <c r="H203" s="448">
        <f>IF($L203&gt;S$5,MAX(0,S$3+ROUND((S$9*($L203-S$5)),0)),IF($L203&gt;S$4,S$3,ROUND($L203*S$7,0)))</f>
        <v/>
      </c>
      <c r="I203" s="448">
        <f>IF($L203&gt;T$5,MAX(0,T$3+ROUND((T$9*($L203-T$5)),0)),IF($L203&gt;T$4,T$3,ROUND($L203*T$7,0)))</f>
        <v/>
      </c>
      <c r="J203" s="447">
        <f>IF($L203&gt;U$5,MAX(0,U$3+ROUND((U$9*($L203-U$5)),0)),IF($L203&gt;U$4,U$3,ROUND($L203*U$7,0)))</f>
        <v/>
      </c>
      <c r="K203" s="422" t="n"/>
      <c r="L203" s="448">
        <f>ROUND((A203+B203)/2,2)</f>
        <v/>
      </c>
    </row>
    <row r="204" ht="13.5" customHeight="1" s="7635">
      <c r="A204" s="448" t="n">
        <v>10050</v>
      </c>
      <c r="B204" s="447" t="n">
        <v>10100</v>
      </c>
      <c r="C204" s="1378">
        <f>IF($L204&gt;N$5,MAX(0,N$3+ROUND((N$9*($L204-N$5)),0)),IF($L204&gt;N$4,N$3,ROUND($L204*N$7,0)))</f>
        <v/>
      </c>
      <c r="D204" s="448">
        <f>IF($L204&gt;O$5,MAX(0,O$3+ROUND((O$9*($L204-O$5)),0)),IF($L204&gt;O$4,O$3,ROUND($L204*O$7,0)))</f>
        <v/>
      </c>
      <c r="E204" s="448">
        <f>IF($L204&gt;P$5,MAX(0,P$3+ROUND((P$9*($L204-P$5)),0)),IF($L204&gt;P$4,P$3,ROUND($L204*P$7,0)))</f>
        <v/>
      </c>
      <c r="F204" s="447">
        <f>IF($L204&gt;Q$5,MAX(0,Q$3+ROUND((Q$9*($L204-Q$5)),0)),IF($L204&gt;Q$4,Q$3,ROUND($L204*Q$7,0)))</f>
        <v/>
      </c>
      <c r="G204" s="1378">
        <f>IF($L204&gt;R$5,MAX(0,R$3+ROUND((R$9*($L204-R$5)),0)),IF($L204&gt;R$4,R$3,ROUND($L204*R$7,0)))</f>
        <v/>
      </c>
      <c r="H204" s="448">
        <f>IF($L204&gt;S$5,MAX(0,S$3+ROUND((S$9*($L204-S$5)),0)),IF($L204&gt;S$4,S$3,ROUND($L204*S$7,0)))</f>
        <v/>
      </c>
      <c r="I204" s="448">
        <f>IF($L204&gt;T$5,MAX(0,T$3+ROUND((T$9*($L204-T$5)),0)),IF($L204&gt;T$4,T$3,ROUND($L204*T$7,0)))</f>
        <v/>
      </c>
      <c r="J204" s="447">
        <f>IF($L204&gt;U$5,MAX(0,U$3+ROUND((U$9*($L204-U$5)),0)),IF($L204&gt;U$4,U$3,ROUND($L204*U$7,0)))</f>
        <v/>
      </c>
      <c r="K204" s="422" t="n"/>
      <c r="L204" s="448">
        <f>ROUND((A204+B204)/2,2)</f>
        <v/>
      </c>
    </row>
    <row r="205" ht="13.5" customHeight="1" s="7635">
      <c r="A205" s="448" t="n">
        <v>10100</v>
      </c>
      <c r="B205" s="447" t="n">
        <v>10150</v>
      </c>
      <c r="C205" s="1378">
        <f>IF($L205&gt;N$5,MAX(0,N$3+ROUND((N$9*($L205-N$5)),0)),IF($L205&gt;N$4,N$3,ROUND($L205*N$7,0)))</f>
        <v/>
      </c>
      <c r="D205" s="448">
        <f>IF($L205&gt;O$5,MAX(0,O$3+ROUND((O$9*($L205-O$5)),0)),IF($L205&gt;O$4,O$3,ROUND($L205*O$7,0)))</f>
        <v/>
      </c>
      <c r="E205" s="448">
        <f>IF($L205&gt;P$5,MAX(0,P$3+ROUND((P$9*($L205-P$5)),0)),IF($L205&gt;P$4,P$3,ROUND($L205*P$7,0)))</f>
        <v/>
      </c>
      <c r="F205" s="447">
        <f>IF($L205&gt;Q$5,MAX(0,Q$3+ROUND((Q$9*($L205-Q$5)),0)),IF($L205&gt;Q$4,Q$3,ROUND($L205*Q$7,0)))</f>
        <v/>
      </c>
      <c r="G205" s="1378">
        <f>IF($L205&gt;R$5,MAX(0,R$3+ROUND((R$9*($L205-R$5)),0)),IF($L205&gt;R$4,R$3,ROUND($L205*R$7,0)))</f>
        <v/>
      </c>
      <c r="H205" s="448">
        <f>IF($L205&gt;S$5,MAX(0,S$3+ROUND((S$9*($L205-S$5)),0)),IF($L205&gt;S$4,S$3,ROUND($L205*S$7,0)))</f>
        <v/>
      </c>
      <c r="I205" s="448">
        <f>IF($L205&gt;T$5,MAX(0,T$3+ROUND((T$9*($L205-T$5)),0)),IF($L205&gt;T$4,T$3,ROUND($L205*T$7,0)))</f>
        <v/>
      </c>
      <c r="J205" s="447">
        <f>IF($L205&gt;U$5,MAX(0,U$3+ROUND((U$9*($L205-U$5)),0)),IF($L205&gt;U$4,U$3,ROUND($L205*U$7,0)))</f>
        <v/>
      </c>
      <c r="K205" s="422" t="n"/>
      <c r="L205" s="448">
        <f>ROUND((A205+B205)/2,2)</f>
        <v/>
      </c>
    </row>
    <row r="206" ht="13.5" customHeight="1" s="7635">
      <c r="A206" s="448" t="n">
        <v>10150</v>
      </c>
      <c r="B206" s="447" t="n">
        <v>10200</v>
      </c>
      <c r="C206" s="1378">
        <f>IF($L206&gt;N$5,MAX(0,N$3+ROUND((N$9*($L206-N$5)),0)),IF($L206&gt;N$4,N$3,ROUND($L206*N$7,0)))</f>
        <v/>
      </c>
      <c r="D206" s="448">
        <f>IF($L206&gt;O$5,MAX(0,O$3+ROUND((O$9*($L206-O$5)),0)),IF($L206&gt;O$4,O$3,ROUND($L206*O$7,0)))</f>
        <v/>
      </c>
      <c r="E206" s="448">
        <f>IF($L206&gt;P$5,MAX(0,P$3+ROUND((P$9*($L206-P$5)),0)),IF($L206&gt;P$4,P$3,ROUND($L206*P$7,0)))</f>
        <v/>
      </c>
      <c r="F206" s="447">
        <f>IF($L206&gt;Q$5,MAX(0,Q$3+ROUND((Q$9*($L206-Q$5)),0)),IF($L206&gt;Q$4,Q$3,ROUND($L206*Q$7,0)))</f>
        <v/>
      </c>
      <c r="G206" s="1378">
        <f>IF($L206&gt;R$5,MAX(0,R$3+ROUND((R$9*($L206-R$5)),0)),IF($L206&gt;R$4,R$3,ROUND($L206*R$7,0)))</f>
        <v/>
      </c>
      <c r="H206" s="448">
        <f>IF($L206&gt;S$5,MAX(0,S$3+ROUND((S$9*($L206-S$5)),0)),IF($L206&gt;S$4,S$3,ROUND($L206*S$7,0)))</f>
        <v/>
      </c>
      <c r="I206" s="448">
        <f>IF($L206&gt;T$5,MAX(0,T$3+ROUND((T$9*($L206-T$5)),0)),IF($L206&gt;T$4,T$3,ROUND($L206*T$7,0)))</f>
        <v/>
      </c>
      <c r="J206" s="447">
        <f>IF($L206&gt;U$5,MAX(0,U$3+ROUND((U$9*($L206-U$5)),0)),IF($L206&gt;U$4,U$3,ROUND($L206*U$7,0)))</f>
        <v/>
      </c>
      <c r="K206" s="422" t="n"/>
      <c r="L206" s="448">
        <f>ROUND((A206+B206)/2,2)</f>
        <v/>
      </c>
    </row>
    <row r="207" ht="13.5" customHeight="1" s="7635">
      <c r="A207" s="448" t="n">
        <v>10200</v>
      </c>
      <c r="B207" s="447" t="n">
        <v>10250</v>
      </c>
      <c r="C207" s="1378">
        <f>IF($L207&gt;N$5,MAX(0,N$3+ROUND((N$9*($L207-N$5)),0)),IF($L207&gt;N$4,N$3,ROUND($L207*N$7,0)))</f>
        <v/>
      </c>
      <c r="D207" s="448">
        <f>IF($L207&gt;O$5,MAX(0,O$3+ROUND((O$9*($L207-O$5)),0)),IF($L207&gt;O$4,O$3,ROUND($L207*O$7,0)))</f>
        <v/>
      </c>
      <c r="E207" s="448">
        <f>IF($L207&gt;P$5,MAX(0,P$3+ROUND((P$9*($L207-P$5)),0)),IF($L207&gt;P$4,P$3,ROUND($L207*P$7,0)))</f>
        <v/>
      </c>
      <c r="F207" s="447">
        <f>IF($L207&gt;Q$5,MAX(0,Q$3+ROUND((Q$9*($L207-Q$5)),0)),IF($L207&gt;Q$4,Q$3,ROUND($L207*Q$7,0)))</f>
        <v/>
      </c>
      <c r="G207" s="1378">
        <f>IF($L207&gt;R$5,MAX(0,R$3+ROUND((R$9*($L207-R$5)),0)),IF($L207&gt;R$4,R$3,ROUND($L207*R$7,0)))</f>
        <v/>
      </c>
      <c r="H207" s="448">
        <f>IF($L207&gt;S$5,MAX(0,S$3+ROUND((S$9*($L207-S$5)),0)),IF($L207&gt;S$4,S$3,ROUND($L207*S$7,0)))</f>
        <v/>
      </c>
      <c r="I207" s="448">
        <f>IF($L207&gt;T$5,MAX(0,T$3+ROUND((T$9*($L207-T$5)),0)),IF($L207&gt;T$4,T$3,ROUND($L207*T$7,0)))</f>
        <v/>
      </c>
      <c r="J207" s="447">
        <f>IF($L207&gt;U$5,MAX(0,U$3+ROUND((U$9*($L207-U$5)),0)),IF($L207&gt;U$4,U$3,ROUND($L207*U$7,0)))</f>
        <v/>
      </c>
      <c r="K207" s="422" t="n"/>
      <c r="L207" s="448">
        <f>ROUND((A207+B207)/2,2)</f>
        <v/>
      </c>
    </row>
    <row r="208" ht="13.5" customHeight="1" s="7635">
      <c r="A208" s="448" t="n">
        <v>10250</v>
      </c>
      <c r="B208" s="447" t="n">
        <v>10300</v>
      </c>
      <c r="C208" s="1378">
        <f>IF($L208&gt;N$5,MAX(0,N$3+ROUND((N$9*($L208-N$5)),0)),IF($L208&gt;N$4,N$3,ROUND($L208*N$7,0)))</f>
        <v/>
      </c>
      <c r="D208" s="448">
        <f>IF($L208&gt;O$5,MAX(0,O$3+ROUND((O$9*($L208-O$5)),0)),IF($L208&gt;O$4,O$3,ROUND($L208*O$7,0)))</f>
        <v/>
      </c>
      <c r="E208" s="448">
        <f>IF($L208&gt;P$5,MAX(0,P$3+ROUND((P$9*($L208-P$5)),0)),IF($L208&gt;P$4,P$3,ROUND($L208*P$7,0)))</f>
        <v/>
      </c>
      <c r="F208" s="447">
        <f>IF($L208&gt;Q$5,MAX(0,Q$3+ROUND((Q$9*($L208-Q$5)),0)),IF($L208&gt;Q$4,Q$3,ROUND($L208*Q$7,0)))</f>
        <v/>
      </c>
      <c r="G208" s="1378">
        <f>IF($L208&gt;R$5,MAX(0,R$3+ROUND((R$9*($L208-R$5)),0)),IF($L208&gt;R$4,R$3,ROUND($L208*R$7,0)))</f>
        <v/>
      </c>
      <c r="H208" s="448">
        <f>IF($L208&gt;S$5,MAX(0,S$3+ROUND((S$9*($L208-S$5)),0)),IF($L208&gt;S$4,S$3,ROUND($L208*S$7,0)))</f>
        <v/>
      </c>
      <c r="I208" s="448">
        <f>IF($L208&gt;T$5,MAX(0,T$3+ROUND((T$9*($L208-T$5)),0)),IF($L208&gt;T$4,T$3,ROUND($L208*T$7,0)))</f>
        <v/>
      </c>
      <c r="J208" s="447">
        <f>IF($L208&gt;U$5,MAX(0,U$3+ROUND((U$9*($L208-U$5)),0)),IF($L208&gt;U$4,U$3,ROUND($L208*U$7,0)))</f>
        <v/>
      </c>
      <c r="K208" s="422" t="n"/>
      <c r="L208" s="448">
        <f>ROUND((A208+B208)/2,2)</f>
        <v/>
      </c>
    </row>
    <row r="209" ht="13.5" customHeight="1" s="7635">
      <c r="A209" s="448" t="n">
        <v>10300</v>
      </c>
      <c r="B209" s="447" t="n">
        <v>10350</v>
      </c>
      <c r="C209" s="1378">
        <f>IF($L209&gt;N$5,MAX(0,N$3+ROUND((N$9*($L209-N$5)),0)),IF($L209&gt;N$4,N$3,ROUND($L209*N$7,0)))</f>
        <v/>
      </c>
      <c r="D209" s="448">
        <f>IF($L209&gt;O$5,MAX(0,O$3+ROUND((O$9*($L209-O$5)),0)),IF($L209&gt;O$4,O$3,ROUND($L209*O$7,0)))</f>
        <v/>
      </c>
      <c r="E209" s="448">
        <f>IF($L209&gt;P$5,MAX(0,P$3+ROUND((P$9*($L209-P$5)),0)),IF($L209&gt;P$4,P$3,ROUND($L209*P$7,0)))</f>
        <v/>
      </c>
      <c r="F209" s="447">
        <f>IF($L209&gt;Q$5,MAX(0,Q$3+ROUND((Q$9*($L209-Q$5)),0)),IF($L209&gt;Q$4,Q$3,ROUND($L209*Q$7,0)))</f>
        <v/>
      </c>
      <c r="G209" s="1378">
        <f>IF($L209&gt;R$5,MAX(0,R$3+ROUND((R$9*($L209-R$5)),0)),IF($L209&gt;R$4,R$3,ROUND($L209*R$7,0)))</f>
        <v/>
      </c>
      <c r="H209" s="448">
        <f>IF($L209&gt;S$5,MAX(0,S$3+ROUND((S$9*($L209-S$5)),0)),IF($L209&gt;S$4,S$3,ROUND($L209*S$7,0)))</f>
        <v/>
      </c>
      <c r="I209" s="448">
        <f>IF($L209&gt;T$5,MAX(0,T$3+ROUND((T$9*($L209-T$5)),0)),IF($L209&gt;T$4,T$3,ROUND($L209*T$7,0)))</f>
        <v/>
      </c>
      <c r="J209" s="447">
        <f>IF($L209&gt;U$5,MAX(0,U$3+ROUND((U$9*($L209-U$5)),0)),IF($L209&gt;U$4,U$3,ROUND($L209*U$7,0)))</f>
        <v/>
      </c>
      <c r="K209" s="422" t="n"/>
      <c r="L209" s="448">
        <f>ROUND((A209+B209)/2,2)</f>
        <v/>
      </c>
    </row>
    <row r="210" ht="13.5" customHeight="1" s="7635">
      <c r="A210" s="448" t="n">
        <v>10350</v>
      </c>
      <c r="B210" s="447" t="n">
        <v>10400</v>
      </c>
      <c r="C210" s="1378">
        <f>IF($L210&gt;N$5,MAX(0,N$3+ROUND((N$9*($L210-N$5)),0)),IF($L210&gt;N$4,N$3,ROUND($L210*N$7,0)))</f>
        <v/>
      </c>
      <c r="D210" s="448">
        <f>IF($L210&gt;O$5,MAX(0,O$3+ROUND((O$9*($L210-O$5)),0)),IF($L210&gt;O$4,O$3,ROUND($L210*O$7,0)))</f>
        <v/>
      </c>
      <c r="E210" s="448">
        <f>IF($L210&gt;P$5,MAX(0,P$3+ROUND((P$9*($L210-P$5)),0)),IF($L210&gt;P$4,P$3,ROUND($L210*P$7,0)))</f>
        <v/>
      </c>
      <c r="F210" s="447">
        <f>IF($L210&gt;Q$5,MAX(0,Q$3+ROUND((Q$9*($L210-Q$5)),0)),IF($L210&gt;Q$4,Q$3,ROUND($L210*Q$7,0)))</f>
        <v/>
      </c>
      <c r="G210" s="1378">
        <f>IF($L210&gt;R$5,MAX(0,R$3+ROUND((R$9*($L210-R$5)),0)),IF($L210&gt;R$4,R$3,ROUND($L210*R$7,0)))</f>
        <v/>
      </c>
      <c r="H210" s="448">
        <f>IF($L210&gt;S$5,MAX(0,S$3+ROUND((S$9*($L210-S$5)),0)),IF($L210&gt;S$4,S$3,ROUND($L210*S$7,0)))</f>
        <v/>
      </c>
      <c r="I210" s="448">
        <f>IF($L210&gt;T$5,MAX(0,T$3+ROUND((T$9*($L210-T$5)),0)),IF($L210&gt;T$4,T$3,ROUND($L210*T$7,0)))</f>
        <v/>
      </c>
      <c r="J210" s="447">
        <f>IF($L210&gt;U$5,MAX(0,U$3+ROUND((U$9*($L210-U$5)),0)),IF($L210&gt;U$4,U$3,ROUND($L210*U$7,0)))</f>
        <v/>
      </c>
      <c r="K210" s="422" t="n"/>
      <c r="L210" s="448">
        <f>ROUND((A210+B210)/2,2)</f>
        <v/>
      </c>
    </row>
    <row r="211" ht="13.5" customHeight="1" s="7635">
      <c r="A211" s="448" t="n">
        <v>10400</v>
      </c>
      <c r="B211" s="447" t="n">
        <v>10450</v>
      </c>
      <c r="C211" s="1378">
        <f>IF($L211&gt;N$5,MAX(0,N$3+ROUND((N$9*($L211-N$5)),0)),IF($L211&gt;N$4,N$3,ROUND($L211*N$7,0)))</f>
        <v/>
      </c>
      <c r="D211" s="448">
        <f>IF($L211&gt;O$5,MAX(0,O$3+ROUND((O$9*($L211-O$5)),0)),IF($L211&gt;O$4,O$3,ROUND($L211*O$7,0)))</f>
        <v/>
      </c>
      <c r="E211" s="448">
        <f>IF($L211&gt;P$5,MAX(0,P$3+ROUND((P$9*($L211-P$5)),0)),IF($L211&gt;P$4,P$3,ROUND($L211*P$7,0)))</f>
        <v/>
      </c>
      <c r="F211" s="447">
        <f>IF($L211&gt;Q$5,MAX(0,Q$3+ROUND((Q$9*($L211-Q$5)),0)),IF($L211&gt;Q$4,Q$3,ROUND($L211*Q$7,0)))</f>
        <v/>
      </c>
      <c r="G211" s="1378">
        <f>IF($L211&gt;R$5,MAX(0,R$3+ROUND((R$9*($L211-R$5)),0)),IF($L211&gt;R$4,R$3,ROUND($L211*R$7,0)))</f>
        <v/>
      </c>
      <c r="H211" s="448">
        <f>IF($L211&gt;S$5,MAX(0,S$3+ROUND((S$9*($L211-S$5)),0)),IF($L211&gt;S$4,S$3,ROUND($L211*S$7,0)))</f>
        <v/>
      </c>
      <c r="I211" s="448">
        <f>IF($L211&gt;T$5,MAX(0,T$3+ROUND((T$9*($L211-T$5)),0)),IF($L211&gt;T$4,T$3,ROUND($L211*T$7,0)))</f>
        <v/>
      </c>
      <c r="J211" s="447">
        <f>IF($L211&gt;U$5,MAX(0,U$3+ROUND((U$9*($L211-U$5)),0)),IF($L211&gt;U$4,U$3,ROUND($L211*U$7,0)))</f>
        <v/>
      </c>
      <c r="K211" s="422" t="n"/>
      <c r="L211" s="448">
        <f>ROUND((A211+B211)/2,2)</f>
        <v/>
      </c>
    </row>
    <row r="212" ht="13.5" customHeight="1" s="7635">
      <c r="A212" s="448" t="n">
        <v>10450</v>
      </c>
      <c r="B212" s="447" t="n">
        <v>10500</v>
      </c>
      <c r="C212" s="1378">
        <f>IF($L212&gt;N$5,MAX(0,N$3+ROUND((N$9*($L212-N$5)),0)),IF($L212&gt;N$4,N$3,ROUND($L212*N$7,0)))</f>
        <v/>
      </c>
      <c r="D212" s="448">
        <f>IF($L212&gt;O$5,MAX(0,O$3+ROUND((O$9*($L212-O$5)),0)),IF($L212&gt;O$4,O$3,ROUND($L212*O$7,0)))</f>
        <v/>
      </c>
      <c r="E212" s="448">
        <f>IF($L212&gt;P$5,MAX(0,P$3+ROUND((P$9*($L212-P$5)),0)),IF($L212&gt;P$4,P$3,ROUND($L212*P$7,0)))</f>
        <v/>
      </c>
      <c r="F212" s="447">
        <f>IF($L212&gt;Q$5,MAX(0,Q$3+ROUND((Q$9*($L212-Q$5)),0)),IF($L212&gt;Q$4,Q$3,ROUND($L212*Q$7,0)))</f>
        <v/>
      </c>
      <c r="G212" s="1378">
        <f>IF($L212&gt;R$5,MAX(0,R$3+ROUND((R$9*($L212-R$5)),0)),IF($L212&gt;R$4,R$3,ROUND($L212*R$7,0)))</f>
        <v/>
      </c>
      <c r="H212" s="448">
        <f>IF($L212&gt;S$5,MAX(0,S$3+ROUND((S$9*($L212-S$5)),0)),IF($L212&gt;S$4,S$3,ROUND($L212*S$7,0)))</f>
        <v/>
      </c>
      <c r="I212" s="448">
        <f>IF($L212&gt;T$5,MAX(0,T$3+ROUND((T$9*($L212-T$5)),0)),IF($L212&gt;T$4,T$3,ROUND($L212*T$7,0)))</f>
        <v/>
      </c>
      <c r="J212" s="447">
        <f>IF($L212&gt;U$5,MAX(0,U$3+ROUND((U$9*($L212-U$5)),0)),IF($L212&gt;U$4,U$3,ROUND($L212*U$7,0)))</f>
        <v/>
      </c>
      <c r="K212" s="422" t="n"/>
      <c r="L212" s="448">
        <f>ROUND((A212+B212)/2,2)</f>
        <v/>
      </c>
    </row>
    <row r="213" ht="13.5" customHeight="1" s="7635">
      <c r="A213" s="448" t="n">
        <v>10500</v>
      </c>
      <c r="B213" s="447" t="n">
        <v>10550</v>
      </c>
      <c r="C213" s="1378">
        <f>IF($L213&gt;N$5,MAX(0,N$3+ROUND((N$9*($L213-N$5)),0)),IF($L213&gt;N$4,N$3,ROUND($L213*N$7,0)))</f>
        <v/>
      </c>
      <c r="D213" s="448">
        <f>IF($L213&gt;O$5,MAX(0,O$3+ROUND((O$9*($L213-O$5)),0)),IF($L213&gt;O$4,O$3,ROUND($L213*O$7,0)))</f>
        <v/>
      </c>
      <c r="E213" s="448">
        <f>IF($L213&gt;P$5,MAX(0,P$3+ROUND((P$9*($L213-P$5)),0)),IF($L213&gt;P$4,P$3,ROUND($L213*P$7,0)))</f>
        <v/>
      </c>
      <c r="F213" s="447">
        <f>IF($L213&gt;Q$5,MAX(0,Q$3+ROUND((Q$9*($L213-Q$5)),0)),IF($L213&gt;Q$4,Q$3,ROUND($L213*Q$7,0)))</f>
        <v/>
      </c>
      <c r="G213" s="1378">
        <f>IF($L213&gt;R$5,MAX(0,R$3+ROUND((R$9*($L213-R$5)),0)),IF($L213&gt;R$4,R$3,ROUND($L213*R$7,0)))</f>
        <v/>
      </c>
      <c r="H213" s="448">
        <f>IF($L213&gt;S$5,MAX(0,S$3+ROUND((S$9*($L213-S$5)),0)),IF($L213&gt;S$4,S$3,ROUND($L213*S$7,0)))</f>
        <v/>
      </c>
      <c r="I213" s="448">
        <f>IF($L213&gt;T$5,MAX(0,T$3+ROUND((T$9*($L213-T$5)),0)),IF($L213&gt;T$4,T$3,ROUND($L213*T$7,0)))</f>
        <v/>
      </c>
      <c r="J213" s="447">
        <f>IF($L213&gt;U$5,MAX(0,U$3+ROUND((U$9*($L213-U$5)),0)),IF($L213&gt;U$4,U$3,ROUND($L213*U$7,0)))</f>
        <v/>
      </c>
      <c r="K213" s="422" t="n"/>
      <c r="L213" s="448">
        <f>ROUND((A213+B213)/2,2)</f>
        <v/>
      </c>
    </row>
    <row r="214" ht="13.5" customHeight="1" s="7635">
      <c r="A214" s="448" t="n">
        <v>10550</v>
      </c>
      <c r="B214" s="447" t="n">
        <v>10600</v>
      </c>
      <c r="C214" s="1378">
        <f>IF($L214&gt;N$5,MAX(0,N$3+ROUND((N$9*($L214-N$5)),0)),IF($L214&gt;N$4,N$3,ROUND($L214*N$7,0)))</f>
        <v/>
      </c>
      <c r="D214" s="448">
        <f>IF($L214&gt;O$5,MAX(0,O$3+ROUND((O$9*($L214-O$5)),0)),IF($L214&gt;O$4,O$3,ROUND($L214*O$7,0)))</f>
        <v/>
      </c>
      <c r="E214" s="448">
        <f>IF($L214&gt;P$5,MAX(0,P$3+ROUND((P$9*($L214-P$5)),0)),IF($L214&gt;P$4,P$3,ROUND($L214*P$7,0)))</f>
        <v/>
      </c>
      <c r="F214" s="447">
        <f>IF($L214&gt;Q$5,MAX(0,Q$3+ROUND((Q$9*($L214-Q$5)),0)),IF($L214&gt;Q$4,Q$3,ROUND($L214*Q$7,0)))</f>
        <v/>
      </c>
      <c r="G214" s="1378">
        <f>IF($L214&gt;R$5,MAX(0,R$3+ROUND((R$9*($L214-R$5)),0)),IF($L214&gt;R$4,R$3,ROUND($L214*R$7,0)))</f>
        <v/>
      </c>
      <c r="H214" s="448">
        <f>IF($L214&gt;S$5,MAX(0,S$3+ROUND((S$9*($L214-S$5)),0)),IF($L214&gt;S$4,S$3,ROUND($L214*S$7,0)))</f>
        <v/>
      </c>
      <c r="I214" s="448">
        <f>IF($L214&gt;T$5,MAX(0,T$3+ROUND((T$9*($L214-T$5)),0)),IF($L214&gt;T$4,T$3,ROUND($L214*T$7,0)))</f>
        <v/>
      </c>
      <c r="J214" s="447">
        <f>IF($L214&gt;U$5,MAX(0,U$3+ROUND((U$9*($L214-U$5)),0)),IF($L214&gt;U$4,U$3,ROUND($L214*U$7,0)))</f>
        <v/>
      </c>
      <c r="K214" s="422" t="n"/>
      <c r="L214" s="448">
        <f>ROUND((A214+B214)/2,2)</f>
        <v/>
      </c>
    </row>
    <row r="215" ht="13.5" customHeight="1" s="7635">
      <c r="A215" s="448" t="n">
        <v>10600</v>
      </c>
      <c r="B215" s="447" t="n">
        <v>10650</v>
      </c>
      <c r="C215" s="1378">
        <f>IF($L215&gt;N$5,MAX(0,N$3+ROUND((N$9*($L215-N$5)),0)),IF($L215&gt;N$4,N$3,ROUND($L215*N$7,0)))</f>
        <v/>
      </c>
      <c r="D215" s="448">
        <f>IF($L215&gt;O$5,MAX(0,O$3+ROUND((O$9*($L215-O$5)),0)),IF($L215&gt;O$4,O$3,ROUND($L215*O$7,0)))</f>
        <v/>
      </c>
      <c r="E215" s="448">
        <f>IF($L215&gt;P$5,MAX(0,P$3+ROUND((P$9*($L215-P$5)),0)),IF($L215&gt;P$4,P$3,ROUND($L215*P$7,0)))</f>
        <v/>
      </c>
      <c r="F215" s="447">
        <f>IF($L215&gt;Q$5,MAX(0,Q$3+ROUND((Q$9*($L215-Q$5)),0)),IF($L215&gt;Q$4,Q$3,ROUND($L215*Q$7,0)))</f>
        <v/>
      </c>
      <c r="G215" s="1378">
        <f>IF($L215&gt;R$5,MAX(0,R$3+ROUND((R$9*($L215-R$5)),0)),IF($L215&gt;R$4,R$3,ROUND($L215*R$7,0)))</f>
        <v/>
      </c>
      <c r="H215" s="448">
        <f>IF($L215&gt;S$5,MAX(0,S$3+ROUND((S$9*($L215-S$5)),0)),IF($L215&gt;S$4,S$3,ROUND($L215*S$7,0)))</f>
        <v/>
      </c>
      <c r="I215" s="448">
        <f>IF($L215&gt;T$5,MAX(0,T$3+ROUND((T$9*($L215-T$5)),0)),IF($L215&gt;T$4,T$3,ROUND($L215*T$7,0)))</f>
        <v/>
      </c>
      <c r="J215" s="447">
        <f>IF($L215&gt;U$5,MAX(0,U$3+ROUND((U$9*($L215-U$5)),0)),IF($L215&gt;U$4,U$3,ROUND($L215*U$7,0)))</f>
        <v/>
      </c>
      <c r="K215" s="422" t="n"/>
      <c r="L215" s="448">
        <f>ROUND((A215+B215)/2,2)</f>
        <v/>
      </c>
    </row>
    <row r="216" ht="13.5" customHeight="1" s="7635">
      <c r="A216" s="448" t="n">
        <v>10650</v>
      </c>
      <c r="B216" s="447" t="n">
        <v>10700</v>
      </c>
      <c r="C216" s="1378">
        <f>IF($L216&gt;N$5,MAX(0,N$3+ROUND((N$9*($L216-N$5)),0)),IF($L216&gt;N$4,N$3,ROUND($L216*N$7,0)))</f>
        <v/>
      </c>
      <c r="D216" s="448">
        <f>IF($L216&gt;O$5,MAX(0,O$3+ROUND((O$9*($L216-O$5)),0)),IF($L216&gt;O$4,O$3,ROUND($L216*O$7,0)))</f>
        <v/>
      </c>
      <c r="E216" s="448">
        <f>IF($L216&gt;P$5,MAX(0,P$3+ROUND((P$9*($L216-P$5)),0)),IF($L216&gt;P$4,P$3,ROUND($L216*P$7,0)))</f>
        <v/>
      </c>
      <c r="F216" s="447">
        <f>IF($L216&gt;Q$5,MAX(0,Q$3+ROUND((Q$9*($L216-Q$5)),0)),IF($L216&gt;Q$4,Q$3,ROUND($L216*Q$7,0)))</f>
        <v/>
      </c>
      <c r="G216" s="1378">
        <f>IF($L216&gt;R$5,MAX(0,R$3+ROUND((R$9*($L216-R$5)),0)),IF($L216&gt;R$4,R$3,ROUND($L216*R$7,0)))</f>
        <v/>
      </c>
      <c r="H216" s="448">
        <f>IF($L216&gt;S$5,MAX(0,S$3+ROUND((S$9*($L216-S$5)),0)),IF($L216&gt;S$4,S$3,ROUND($L216*S$7,0)))</f>
        <v/>
      </c>
      <c r="I216" s="448">
        <f>IF($L216&gt;T$5,MAX(0,T$3+ROUND((T$9*($L216-T$5)),0)),IF($L216&gt;T$4,T$3,ROUND($L216*T$7,0)))</f>
        <v/>
      </c>
      <c r="J216" s="447">
        <f>IF($L216&gt;U$5,MAX(0,U$3+ROUND((U$9*($L216-U$5)),0)),IF($L216&gt;U$4,U$3,ROUND($L216*U$7,0)))</f>
        <v/>
      </c>
      <c r="K216" s="422" t="n"/>
      <c r="L216" s="448">
        <f>ROUND((A216+B216)/2,2)</f>
        <v/>
      </c>
    </row>
    <row r="217" ht="13.5" customHeight="1" s="7635">
      <c r="A217" s="448" t="n">
        <v>10700</v>
      </c>
      <c r="B217" s="447" t="n">
        <v>10750</v>
      </c>
      <c r="C217" s="1378">
        <f>IF($L217&gt;N$5,MAX(0,N$3+ROUND((N$9*($L217-N$5)),0)),IF($L217&gt;N$4,N$3,ROUND($L217*N$7,0)))</f>
        <v/>
      </c>
      <c r="D217" s="448">
        <f>IF($L217&gt;O$5,MAX(0,O$3+ROUND((O$9*($L217-O$5)),0)),IF($L217&gt;O$4,O$3,ROUND($L217*O$7,0)))</f>
        <v/>
      </c>
      <c r="E217" s="448">
        <f>IF($L217&gt;P$5,MAX(0,P$3+ROUND((P$9*($L217-P$5)),0)),IF($L217&gt;P$4,P$3,ROUND($L217*P$7,0)))</f>
        <v/>
      </c>
      <c r="F217" s="447">
        <f>IF($L217&gt;Q$5,MAX(0,Q$3+ROUND((Q$9*($L217-Q$5)),0)),IF($L217&gt;Q$4,Q$3,ROUND($L217*Q$7,0)))</f>
        <v/>
      </c>
      <c r="G217" s="1378">
        <f>IF($L217&gt;R$5,MAX(0,R$3+ROUND((R$9*($L217-R$5)),0)),IF($L217&gt;R$4,R$3,ROUND($L217*R$7,0)))</f>
        <v/>
      </c>
      <c r="H217" s="448">
        <f>IF($L217&gt;S$5,MAX(0,S$3+ROUND((S$9*($L217-S$5)),0)),IF($L217&gt;S$4,S$3,ROUND($L217*S$7,0)))</f>
        <v/>
      </c>
      <c r="I217" s="448">
        <f>IF($L217&gt;T$5,MAX(0,T$3+ROUND((T$9*($L217-T$5)),0)),IF($L217&gt;T$4,T$3,ROUND($L217*T$7,0)))</f>
        <v/>
      </c>
      <c r="J217" s="447">
        <f>IF($L217&gt;U$5,MAX(0,U$3+ROUND((U$9*($L217-U$5)),0)),IF($L217&gt;U$4,U$3,ROUND($L217*U$7,0)))</f>
        <v/>
      </c>
      <c r="K217" s="422" t="n"/>
      <c r="L217" s="448">
        <f>ROUND((A217+B217)/2,2)</f>
        <v/>
      </c>
    </row>
    <row r="218" ht="13.5" customHeight="1" s="7635">
      <c r="A218" s="448" t="n">
        <v>10750</v>
      </c>
      <c r="B218" s="447" t="n">
        <v>10800</v>
      </c>
      <c r="C218" s="1378">
        <f>IF($L218&gt;N$5,MAX(0,N$3+ROUND((N$9*($L218-N$5)),0)),IF($L218&gt;N$4,N$3,ROUND($L218*N$7,0)))</f>
        <v/>
      </c>
      <c r="D218" s="448">
        <f>IF($L218&gt;O$5,MAX(0,O$3+ROUND((O$9*($L218-O$5)),0)),IF($L218&gt;O$4,O$3,ROUND($L218*O$7,0)))</f>
        <v/>
      </c>
      <c r="E218" s="448">
        <f>IF($L218&gt;P$5,MAX(0,P$3+ROUND((P$9*($L218-P$5)),0)),IF($L218&gt;P$4,P$3,ROUND($L218*P$7,0)))</f>
        <v/>
      </c>
      <c r="F218" s="447">
        <f>IF($L218&gt;Q$5,MAX(0,Q$3+ROUND((Q$9*($L218-Q$5)),0)),IF($L218&gt;Q$4,Q$3,ROUND($L218*Q$7,0)))</f>
        <v/>
      </c>
      <c r="G218" s="1378">
        <f>IF($L218&gt;R$5,MAX(0,R$3+ROUND((R$9*($L218-R$5)),0)),IF($L218&gt;R$4,R$3,ROUND($L218*R$7,0)))</f>
        <v/>
      </c>
      <c r="H218" s="448">
        <f>IF($L218&gt;S$5,MAX(0,S$3+ROUND((S$9*($L218-S$5)),0)),IF($L218&gt;S$4,S$3,ROUND($L218*S$7,0)))</f>
        <v/>
      </c>
      <c r="I218" s="448">
        <f>IF($L218&gt;T$5,MAX(0,T$3+ROUND((T$9*($L218-T$5)),0)),IF($L218&gt;T$4,T$3,ROUND($L218*T$7,0)))</f>
        <v/>
      </c>
      <c r="J218" s="447">
        <f>IF($L218&gt;U$5,MAX(0,U$3+ROUND((U$9*($L218-U$5)),0)),IF($L218&gt;U$4,U$3,ROUND($L218*U$7,0)))</f>
        <v/>
      </c>
      <c r="K218" s="422" t="n"/>
      <c r="L218" s="448">
        <f>ROUND((A218+B218)/2,2)</f>
        <v/>
      </c>
    </row>
    <row r="219" ht="13.5" customHeight="1" s="7635">
      <c r="A219" s="448" t="n">
        <v>10800</v>
      </c>
      <c r="B219" s="447" t="n">
        <v>10850</v>
      </c>
      <c r="C219" s="1378">
        <f>IF($L219&gt;N$5,MAX(0,N$3+ROUND((N$9*($L219-N$5)),0)),IF($L219&gt;N$4,N$3,ROUND($L219*N$7,0)))</f>
        <v/>
      </c>
      <c r="D219" s="448">
        <f>IF($L219&gt;O$5,MAX(0,O$3+ROUND((O$9*($L219-O$5)),0)),IF($L219&gt;O$4,O$3,ROUND($L219*O$7,0)))</f>
        <v/>
      </c>
      <c r="E219" s="448">
        <f>IF($L219&gt;P$5,MAX(0,P$3+ROUND((P$9*($L219-P$5)),0)),IF($L219&gt;P$4,P$3,ROUND($L219*P$7,0)))</f>
        <v/>
      </c>
      <c r="F219" s="447">
        <f>IF($L219&gt;Q$5,MAX(0,Q$3+ROUND((Q$9*($L219-Q$5)),0)),IF($L219&gt;Q$4,Q$3,ROUND($L219*Q$7,0)))</f>
        <v/>
      </c>
      <c r="G219" s="1378">
        <f>IF($L219&gt;R$5,MAX(0,R$3+ROUND((R$9*($L219-R$5)),0)),IF($L219&gt;R$4,R$3,ROUND($L219*R$7,0)))</f>
        <v/>
      </c>
      <c r="H219" s="448">
        <f>IF($L219&gt;S$5,MAX(0,S$3+ROUND((S$9*($L219-S$5)),0)),IF($L219&gt;S$4,S$3,ROUND($L219*S$7,0)))</f>
        <v/>
      </c>
      <c r="I219" s="448">
        <f>IF($L219&gt;T$5,MAX(0,T$3+ROUND((T$9*($L219-T$5)),0)),IF($L219&gt;T$4,T$3,ROUND($L219*T$7,0)))</f>
        <v/>
      </c>
      <c r="J219" s="447">
        <f>IF($L219&gt;U$5,MAX(0,U$3+ROUND((U$9*($L219-U$5)),0)),IF($L219&gt;U$4,U$3,ROUND($L219*U$7,0)))</f>
        <v/>
      </c>
      <c r="K219" s="422" t="n"/>
      <c r="L219" s="448">
        <f>ROUND((A219+B219)/2,2)</f>
        <v/>
      </c>
    </row>
    <row r="220" ht="13.5" customHeight="1" s="7635">
      <c r="A220" s="448" t="n">
        <v>10850</v>
      </c>
      <c r="B220" s="447" t="n">
        <v>10900</v>
      </c>
      <c r="C220" s="1378">
        <f>IF($L220&gt;N$5,MAX(0,N$3+ROUND((N$9*($L220-N$5)),0)),IF($L220&gt;N$4,N$3,ROUND($L220*N$7,0)))</f>
        <v/>
      </c>
      <c r="D220" s="448">
        <f>IF($L220&gt;O$5,MAX(0,O$3+ROUND((O$9*($L220-O$5)),0)),IF($L220&gt;O$4,O$3,ROUND($L220*O$7,0)))</f>
        <v/>
      </c>
      <c r="E220" s="448">
        <f>IF($L220&gt;P$5,MAX(0,P$3+ROUND((P$9*($L220-P$5)),0)),IF($L220&gt;P$4,P$3,ROUND($L220*P$7,0)))</f>
        <v/>
      </c>
      <c r="F220" s="447">
        <f>IF($L220&gt;Q$5,MAX(0,Q$3+ROUND((Q$9*($L220-Q$5)),0)),IF($L220&gt;Q$4,Q$3,ROUND($L220*Q$7,0)))</f>
        <v/>
      </c>
      <c r="G220" s="1378">
        <f>IF($L220&gt;R$5,MAX(0,R$3+ROUND((R$9*($L220-R$5)),0)),IF($L220&gt;R$4,R$3,ROUND($L220*R$7,0)))</f>
        <v/>
      </c>
      <c r="H220" s="448">
        <f>IF($L220&gt;S$5,MAX(0,S$3+ROUND((S$9*($L220-S$5)),0)),IF($L220&gt;S$4,S$3,ROUND($L220*S$7,0)))</f>
        <v/>
      </c>
      <c r="I220" s="448">
        <f>IF($L220&gt;T$5,MAX(0,T$3+ROUND((T$9*($L220-T$5)),0)),IF($L220&gt;T$4,T$3,ROUND($L220*T$7,0)))</f>
        <v/>
      </c>
      <c r="J220" s="447">
        <f>IF($L220&gt;U$5,MAX(0,U$3+ROUND((U$9*($L220-U$5)),0)),IF($L220&gt;U$4,U$3,ROUND($L220*U$7,0)))</f>
        <v/>
      </c>
      <c r="K220" s="422" t="n"/>
      <c r="L220" s="448">
        <f>ROUND((A220+B220)/2,2)</f>
        <v/>
      </c>
    </row>
    <row r="221" ht="13.5" customHeight="1" s="7635">
      <c r="A221" s="448" t="n">
        <v>10900</v>
      </c>
      <c r="B221" s="447" t="n">
        <v>10950</v>
      </c>
      <c r="C221" s="1378">
        <f>IF($L221&gt;N$5,MAX(0,N$3+ROUND((N$9*($L221-N$5)),0)),IF($L221&gt;N$4,N$3,ROUND($L221*N$7,0)))</f>
        <v/>
      </c>
      <c r="D221" s="448">
        <f>IF($L221&gt;O$5,MAX(0,O$3+ROUND((O$9*($L221-O$5)),0)),IF($L221&gt;O$4,O$3,ROUND($L221*O$7,0)))</f>
        <v/>
      </c>
      <c r="E221" s="448">
        <f>IF($L221&gt;P$5,MAX(0,P$3+ROUND((P$9*($L221-P$5)),0)),IF($L221&gt;P$4,P$3,ROUND($L221*P$7,0)))</f>
        <v/>
      </c>
      <c r="F221" s="447">
        <f>IF($L221&gt;Q$5,MAX(0,Q$3+ROUND((Q$9*($L221-Q$5)),0)),IF($L221&gt;Q$4,Q$3,ROUND($L221*Q$7,0)))</f>
        <v/>
      </c>
      <c r="G221" s="1378">
        <f>IF($L221&gt;R$5,MAX(0,R$3+ROUND((R$9*($L221-R$5)),0)),IF($L221&gt;R$4,R$3,ROUND($L221*R$7,0)))</f>
        <v/>
      </c>
      <c r="H221" s="448">
        <f>IF($L221&gt;S$5,MAX(0,S$3+ROUND((S$9*($L221-S$5)),0)),IF($L221&gt;S$4,S$3,ROUND($L221*S$7,0)))</f>
        <v/>
      </c>
      <c r="I221" s="448">
        <f>IF($L221&gt;T$5,MAX(0,T$3+ROUND((T$9*($L221-T$5)),0)),IF($L221&gt;T$4,T$3,ROUND($L221*T$7,0)))</f>
        <v/>
      </c>
      <c r="J221" s="447">
        <f>IF($L221&gt;U$5,MAX(0,U$3+ROUND((U$9*($L221-U$5)),0)),IF($L221&gt;U$4,U$3,ROUND($L221*U$7,0)))</f>
        <v/>
      </c>
      <c r="K221" s="422" t="n"/>
      <c r="L221" s="448">
        <f>ROUND((A221+B221)/2,2)</f>
        <v/>
      </c>
    </row>
    <row r="222" ht="13.5" customHeight="1" s="7635">
      <c r="A222" s="448" t="n">
        <v>10950</v>
      </c>
      <c r="B222" s="447" t="n">
        <v>11000</v>
      </c>
      <c r="C222" s="1378">
        <f>IF($L222&gt;N$5,MAX(0,N$3+ROUND((N$9*($L222-N$5)),0)),IF($L222&gt;N$4,N$3,ROUND($L222*N$7,0)))</f>
        <v/>
      </c>
      <c r="D222" s="448">
        <f>IF($L222&gt;O$5,MAX(0,O$3+ROUND((O$9*($L222-O$5)),0)),IF($L222&gt;O$4,O$3,ROUND($L222*O$7,0)))</f>
        <v/>
      </c>
      <c r="E222" s="448">
        <f>IF($L222&gt;P$5,MAX(0,P$3+ROUND((P$9*($L222-P$5)),0)),IF($L222&gt;P$4,P$3,ROUND($L222*P$7,0)))</f>
        <v/>
      </c>
      <c r="F222" s="447">
        <f>IF($L222&gt;Q$5,MAX(0,Q$3+ROUND((Q$9*($L222-Q$5)),0)),IF($L222&gt;Q$4,Q$3,ROUND($L222*Q$7,0)))</f>
        <v/>
      </c>
      <c r="G222" s="1378">
        <f>IF($L222&gt;R$5,MAX(0,R$3+ROUND((R$9*($L222-R$5)),0)),IF($L222&gt;R$4,R$3,ROUND($L222*R$7,0)))</f>
        <v/>
      </c>
      <c r="H222" s="448">
        <f>IF($L222&gt;S$5,MAX(0,S$3+ROUND((S$9*($L222-S$5)),0)),IF($L222&gt;S$4,S$3,ROUND($L222*S$7,0)))</f>
        <v/>
      </c>
      <c r="I222" s="448">
        <f>IF($L222&gt;T$5,MAX(0,T$3+ROUND((T$9*($L222-T$5)),0)),IF($L222&gt;T$4,T$3,ROUND($L222*T$7,0)))</f>
        <v/>
      </c>
      <c r="J222" s="447">
        <f>IF($L222&gt;U$5,MAX(0,U$3+ROUND((U$9*($L222-U$5)),0)),IF($L222&gt;U$4,U$3,ROUND($L222*U$7,0)))</f>
        <v/>
      </c>
      <c r="K222" s="422" t="n"/>
      <c r="L222" s="448">
        <f>ROUND((A222+B222)/2,2)</f>
        <v/>
      </c>
    </row>
    <row r="223" ht="13.5" customHeight="1" s="7635">
      <c r="A223" s="448" t="n">
        <v>11000</v>
      </c>
      <c r="B223" s="447" t="n">
        <v>11050</v>
      </c>
      <c r="C223" s="1378">
        <f>IF($L223&gt;N$5,MAX(0,N$3+ROUND((N$9*($L223-N$5)),0)),IF($L223&gt;N$4,N$3,ROUND($L223*N$7,0)))</f>
        <v/>
      </c>
      <c r="D223" s="448">
        <f>IF($L223&gt;O$5,MAX(0,O$3+ROUND((O$9*($L223-O$5)),0)),IF($L223&gt;O$4,O$3,ROUND($L223*O$7,0)))</f>
        <v/>
      </c>
      <c r="E223" s="448">
        <f>IF($L223&gt;P$5,MAX(0,P$3+ROUND((P$9*($L223-P$5)),0)),IF($L223&gt;P$4,P$3,ROUND($L223*P$7,0)))</f>
        <v/>
      </c>
      <c r="F223" s="447">
        <f>IF($L223&gt;Q$5,MAX(0,Q$3+ROUND((Q$9*($L223-Q$5)),0)),IF($L223&gt;Q$4,Q$3,ROUND($L223*Q$7,0)))</f>
        <v/>
      </c>
      <c r="G223" s="1378">
        <f>IF($L223&gt;R$5,MAX(0,R$3+ROUND((R$9*($L223-R$5)),0)),IF($L223&gt;R$4,R$3,ROUND($L223*R$7,0)))</f>
        <v/>
      </c>
      <c r="H223" s="448">
        <f>IF($L223&gt;S$5,MAX(0,S$3+ROUND((S$9*($L223-S$5)),0)),IF($L223&gt;S$4,S$3,ROUND($L223*S$7,0)))</f>
        <v/>
      </c>
      <c r="I223" s="448">
        <f>IF($L223&gt;T$5,MAX(0,T$3+ROUND((T$9*($L223-T$5)),0)),IF($L223&gt;T$4,T$3,ROUND($L223*T$7,0)))</f>
        <v/>
      </c>
      <c r="J223" s="447">
        <f>IF($L223&gt;U$5,MAX(0,U$3+ROUND((U$9*($L223-U$5)),0)),IF($L223&gt;U$4,U$3,ROUND($L223*U$7,0)))</f>
        <v/>
      </c>
      <c r="K223" s="422" t="n"/>
      <c r="L223" s="448">
        <f>ROUND((A223+B223)/2,2)</f>
        <v/>
      </c>
    </row>
    <row r="224" ht="13.5" customHeight="1" s="7635">
      <c r="A224" s="448" t="n">
        <v>11050</v>
      </c>
      <c r="B224" s="447" t="n">
        <v>11100</v>
      </c>
      <c r="C224" s="1378">
        <f>IF($L224&gt;N$5,MAX(0,N$3+ROUND((N$9*($L224-N$5)),0)),IF($L224&gt;N$4,N$3,ROUND($L224*N$7,0)))</f>
        <v/>
      </c>
      <c r="D224" s="448">
        <f>IF($L224&gt;O$5,MAX(0,O$3+ROUND((O$9*($L224-O$5)),0)),IF($L224&gt;O$4,O$3,ROUND($L224*O$7,0)))</f>
        <v/>
      </c>
      <c r="E224" s="448">
        <f>IF($L224&gt;P$5,MAX(0,P$3+ROUND((P$9*($L224-P$5)),0)),IF($L224&gt;P$4,P$3,ROUND($L224*P$7,0)))</f>
        <v/>
      </c>
      <c r="F224" s="447">
        <f>IF($L224&gt;Q$5,MAX(0,Q$3+ROUND((Q$9*($L224-Q$5)),0)),IF($L224&gt;Q$4,Q$3,ROUND($L224*Q$7,0)))</f>
        <v/>
      </c>
      <c r="G224" s="1378">
        <f>IF($L224&gt;R$5,MAX(0,R$3+ROUND((R$9*($L224-R$5)),0)),IF($L224&gt;R$4,R$3,ROUND($L224*R$7,0)))</f>
        <v/>
      </c>
      <c r="H224" s="448">
        <f>IF($L224&gt;S$5,MAX(0,S$3+ROUND((S$9*($L224-S$5)),0)),IF($L224&gt;S$4,S$3,ROUND($L224*S$7,0)))</f>
        <v/>
      </c>
      <c r="I224" s="448">
        <f>IF($L224&gt;T$5,MAX(0,T$3+ROUND((T$9*($L224-T$5)),0)),IF($L224&gt;T$4,T$3,ROUND($L224*T$7,0)))</f>
        <v/>
      </c>
      <c r="J224" s="447">
        <f>IF($L224&gt;U$5,MAX(0,U$3+ROUND((U$9*($L224-U$5)),0)),IF($L224&gt;U$4,U$3,ROUND($L224*U$7,0)))</f>
        <v/>
      </c>
      <c r="K224" s="422" t="n"/>
      <c r="L224" s="448">
        <f>ROUND((A224+B224)/2,2)</f>
        <v/>
      </c>
    </row>
    <row r="225" ht="13.5" customHeight="1" s="7635">
      <c r="A225" s="448" t="n">
        <v>11100</v>
      </c>
      <c r="B225" s="447" t="n">
        <v>11150</v>
      </c>
      <c r="C225" s="1378">
        <f>IF($L225&gt;N$5,MAX(0,N$3+ROUND((N$9*($L225-N$5)),0)),IF($L225&gt;N$4,N$3,ROUND($L225*N$7,0)))</f>
        <v/>
      </c>
      <c r="D225" s="448">
        <f>IF($L225&gt;O$5,MAX(0,O$3+ROUND((O$9*($L225-O$5)),0)),IF($L225&gt;O$4,O$3,ROUND($L225*O$7,0)))</f>
        <v/>
      </c>
      <c r="E225" s="448">
        <f>IF($L225&gt;P$5,MAX(0,P$3+ROUND((P$9*($L225-P$5)),0)),IF($L225&gt;P$4,P$3,ROUND($L225*P$7,0)))</f>
        <v/>
      </c>
      <c r="F225" s="447">
        <f>IF($L225&gt;Q$5,MAX(0,Q$3+ROUND((Q$9*($L225-Q$5)),0)),IF($L225&gt;Q$4,Q$3,ROUND($L225*Q$7,0)))</f>
        <v/>
      </c>
      <c r="G225" s="1378">
        <f>IF($L225&gt;R$5,MAX(0,R$3+ROUND((R$9*($L225-R$5)),0)),IF($L225&gt;R$4,R$3,ROUND($L225*R$7,0)))</f>
        <v/>
      </c>
      <c r="H225" s="448">
        <f>IF($L225&gt;S$5,MAX(0,S$3+ROUND((S$9*($L225-S$5)),0)),IF($L225&gt;S$4,S$3,ROUND($L225*S$7,0)))</f>
        <v/>
      </c>
      <c r="I225" s="448">
        <f>IF($L225&gt;T$5,MAX(0,T$3+ROUND((T$9*($L225-T$5)),0)),IF($L225&gt;T$4,T$3,ROUND($L225*T$7,0)))</f>
        <v/>
      </c>
      <c r="J225" s="447">
        <f>IF($L225&gt;U$5,MAX(0,U$3+ROUND((U$9*($L225-U$5)),0)),IF($L225&gt;U$4,U$3,ROUND($L225*U$7,0)))</f>
        <v/>
      </c>
      <c r="K225" s="422" t="n"/>
      <c r="L225" s="448">
        <f>ROUND((A225+B225)/2,2)</f>
        <v/>
      </c>
    </row>
    <row r="226" ht="13.5" customHeight="1" s="7635">
      <c r="A226" s="448" t="n">
        <v>11150</v>
      </c>
      <c r="B226" s="447" t="n">
        <v>11200</v>
      </c>
      <c r="C226" s="1378">
        <f>IF($L226&gt;N$5,MAX(0,N$3+ROUND((N$9*($L226-N$5)),0)),IF($L226&gt;N$4,N$3,ROUND($L226*N$7,0)))</f>
        <v/>
      </c>
      <c r="D226" s="448">
        <f>IF($L226&gt;O$5,MAX(0,O$3+ROUND((O$9*($L226-O$5)),0)),IF($L226&gt;O$4,O$3,ROUND($L226*O$7,0)))</f>
        <v/>
      </c>
      <c r="E226" s="448">
        <f>IF($L226&gt;P$5,MAX(0,P$3+ROUND((P$9*($L226-P$5)),0)),IF($L226&gt;P$4,P$3,ROUND($L226*P$7,0)))</f>
        <v/>
      </c>
      <c r="F226" s="447">
        <f>IF($L226&gt;Q$5,MAX(0,Q$3+ROUND((Q$9*($L226-Q$5)),0)),IF($L226&gt;Q$4,Q$3,ROUND($L226*Q$7,0)))</f>
        <v/>
      </c>
      <c r="G226" s="1378">
        <f>IF($L226&gt;R$5,MAX(0,R$3+ROUND((R$9*($L226-R$5)),0)),IF($L226&gt;R$4,R$3,ROUND($L226*R$7,0)))</f>
        <v/>
      </c>
      <c r="H226" s="448">
        <f>IF($L226&gt;S$5,MAX(0,S$3+ROUND((S$9*($L226-S$5)),0)),IF($L226&gt;S$4,S$3,ROUND($L226*S$7,0)))</f>
        <v/>
      </c>
      <c r="I226" s="448">
        <f>IF($L226&gt;T$5,MAX(0,T$3+ROUND((T$9*($L226-T$5)),0)),IF($L226&gt;T$4,T$3,ROUND($L226*T$7,0)))</f>
        <v/>
      </c>
      <c r="J226" s="447">
        <f>IF($L226&gt;U$5,MAX(0,U$3+ROUND((U$9*($L226-U$5)),0)),IF($L226&gt;U$4,U$3,ROUND($L226*U$7,0)))</f>
        <v/>
      </c>
      <c r="K226" s="422" t="n"/>
      <c r="L226" s="448">
        <f>ROUND((A226+B226)/2,2)</f>
        <v/>
      </c>
    </row>
    <row r="227" ht="13.5" customHeight="1" s="7635">
      <c r="A227" s="448" t="n">
        <v>11200</v>
      </c>
      <c r="B227" s="447" t="n">
        <v>11250</v>
      </c>
      <c r="C227" s="1378">
        <f>IF($L227&gt;N$5,MAX(0,N$3+ROUND((N$9*($L227-N$5)),0)),IF($L227&gt;N$4,N$3,ROUND($L227*N$7,0)))</f>
        <v/>
      </c>
      <c r="D227" s="448">
        <f>IF($L227&gt;O$5,MAX(0,O$3+ROUND((O$9*($L227-O$5)),0)),IF($L227&gt;O$4,O$3,ROUND($L227*O$7,0)))</f>
        <v/>
      </c>
      <c r="E227" s="448">
        <f>IF($L227&gt;P$5,MAX(0,P$3+ROUND((P$9*($L227-P$5)),0)),IF($L227&gt;P$4,P$3,ROUND($L227*P$7,0)))</f>
        <v/>
      </c>
      <c r="F227" s="447">
        <f>IF($L227&gt;Q$5,MAX(0,Q$3+ROUND((Q$9*($L227-Q$5)),0)),IF($L227&gt;Q$4,Q$3,ROUND($L227*Q$7,0)))</f>
        <v/>
      </c>
      <c r="G227" s="1378">
        <f>IF($L227&gt;R$5,MAX(0,R$3+ROUND((R$9*($L227-R$5)),0)),IF($L227&gt;R$4,R$3,ROUND($L227*R$7,0)))</f>
        <v/>
      </c>
      <c r="H227" s="448">
        <f>IF($L227&gt;S$5,MAX(0,S$3+ROUND((S$9*($L227-S$5)),0)),IF($L227&gt;S$4,S$3,ROUND($L227*S$7,0)))</f>
        <v/>
      </c>
      <c r="I227" s="448">
        <f>IF($L227&gt;T$5,MAX(0,T$3+ROUND((T$9*($L227-T$5)),0)),IF($L227&gt;T$4,T$3,ROUND($L227*T$7,0)))</f>
        <v/>
      </c>
      <c r="J227" s="447">
        <f>IF($L227&gt;U$5,MAX(0,U$3+ROUND((U$9*($L227-U$5)),0)),IF($L227&gt;U$4,U$3,ROUND($L227*U$7,0)))</f>
        <v/>
      </c>
      <c r="K227" s="422" t="n"/>
      <c r="L227" s="448">
        <f>ROUND((A227+B227)/2,2)</f>
        <v/>
      </c>
    </row>
    <row r="228" ht="13.5" customHeight="1" s="7635">
      <c r="A228" s="448" t="n">
        <v>11250</v>
      </c>
      <c r="B228" s="447" t="n">
        <v>11300</v>
      </c>
      <c r="C228" s="1378">
        <f>IF($L228&gt;N$5,MAX(0,N$3+ROUND((N$9*($L228-N$5)),0)),IF($L228&gt;N$4,N$3,ROUND($L228*N$7,0)))</f>
        <v/>
      </c>
      <c r="D228" s="448">
        <f>IF($L228&gt;O$5,MAX(0,O$3+ROUND((O$9*($L228-O$5)),0)),IF($L228&gt;O$4,O$3,ROUND($L228*O$7,0)))</f>
        <v/>
      </c>
      <c r="E228" s="448">
        <f>IF($L228&gt;P$5,MAX(0,P$3+ROUND((P$9*($L228-P$5)),0)),IF($L228&gt;P$4,P$3,ROUND($L228*P$7,0)))</f>
        <v/>
      </c>
      <c r="F228" s="447">
        <f>IF($L228&gt;Q$5,MAX(0,Q$3+ROUND((Q$9*($L228-Q$5)),0)),IF($L228&gt;Q$4,Q$3,ROUND($L228*Q$7,0)))</f>
        <v/>
      </c>
      <c r="G228" s="1378">
        <f>IF($L228&gt;R$5,MAX(0,R$3+ROUND((R$9*($L228-R$5)),0)),IF($L228&gt;R$4,R$3,ROUND($L228*R$7,0)))</f>
        <v/>
      </c>
      <c r="H228" s="448">
        <f>IF($L228&gt;S$5,MAX(0,S$3+ROUND((S$9*($L228-S$5)),0)),IF($L228&gt;S$4,S$3,ROUND($L228*S$7,0)))</f>
        <v/>
      </c>
      <c r="I228" s="448">
        <f>IF($L228&gt;T$5,MAX(0,T$3+ROUND((T$9*($L228-T$5)),0)),IF($L228&gt;T$4,T$3,ROUND($L228*T$7,0)))</f>
        <v/>
      </c>
      <c r="J228" s="447">
        <f>IF($L228&gt;U$5,MAX(0,U$3+ROUND((U$9*($L228-U$5)),0)),IF($L228&gt;U$4,U$3,ROUND($L228*U$7,0)))</f>
        <v/>
      </c>
      <c r="K228" s="422" t="n"/>
      <c r="L228" s="448">
        <f>ROUND((A228+B228)/2,2)</f>
        <v/>
      </c>
    </row>
    <row r="229" ht="13.5" customHeight="1" s="7635">
      <c r="A229" s="448" t="n">
        <v>11300</v>
      </c>
      <c r="B229" s="447" t="n">
        <v>11350</v>
      </c>
      <c r="C229" s="1378">
        <f>IF($L229&gt;N$5,MAX(0,N$3+ROUND((N$9*($L229-N$5)),0)),IF($L229&gt;N$4,N$3,ROUND($L229*N$7,0)))</f>
        <v/>
      </c>
      <c r="D229" s="448">
        <f>IF($L229&gt;O$5,MAX(0,O$3+ROUND((O$9*($L229-O$5)),0)),IF($L229&gt;O$4,O$3,ROUND($L229*O$7,0)))</f>
        <v/>
      </c>
      <c r="E229" s="448">
        <f>IF($L229&gt;P$5,MAX(0,P$3+ROUND((P$9*($L229-P$5)),0)),IF($L229&gt;P$4,P$3,ROUND($L229*P$7,0)))</f>
        <v/>
      </c>
      <c r="F229" s="447">
        <f>IF($L229&gt;Q$5,MAX(0,Q$3+ROUND((Q$9*($L229-Q$5)),0)),IF($L229&gt;Q$4,Q$3,ROUND($L229*Q$7,0)))</f>
        <v/>
      </c>
      <c r="G229" s="1378">
        <f>IF($L229&gt;R$5,MAX(0,R$3+ROUND((R$9*($L229-R$5)),0)),IF($L229&gt;R$4,R$3,ROUND($L229*R$7,0)))</f>
        <v/>
      </c>
      <c r="H229" s="448">
        <f>IF($L229&gt;S$5,MAX(0,S$3+ROUND((S$9*($L229-S$5)),0)),IF($L229&gt;S$4,S$3,ROUND($L229*S$7,0)))</f>
        <v/>
      </c>
      <c r="I229" s="448">
        <f>IF($L229&gt;T$5,MAX(0,T$3+ROUND((T$9*($L229-T$5)),0)),IF($L229&gt;T$4,T$3,ROUND($L229*T$7,0)))</f>
        <v/>
      </c>
      <c r="J229" s="447">
        <f>IF($L229&gt;U$5,MAX(0,U$3+ROUND((U$9*($L229-U$5)),0)),IF($L229&gt;U$4,U$3,ROUND($L229*U$7,0)))</f>
        <v/>
      </c>
      <c r="K229" s="422" t="n"/>
      <c r="L229" s="448">
        <f>ROUND((A229+B229)/2,2)</f>
        <v/>
      </c>
    </row>
    <row r="230" ht="13.5" customHeight="1" s="7635">
      <c r="A230" s="448" t="n">
        <v>11350</v>
      </c>
      <c r="B230" s="447" t="n">
        <v>11400</v>
      </c>
      <c r="C230" s="1378">
        <f>IF($L230&gt;N$5,MAX(0,N$3+ROUND((N$9*($L230-N$5)),0)),IF($L230&gt;N$4,N$3,ROUND($L230*N$7,0)))</f>
        <v/>
      </c>
      <c r="D230" s="448">
        <f>IF($L230&gt;O$5,MAX(0,O$3+ROUND((O$9*($L230-O$5)),0)),IF($L230&gt;O$4,O$3,ROUND($L230*O$7,0)))</f>
        <v/>
      </c>
      <c r="E230" s="448">
        <f>IF($L230&gt;P$5,MAX(0,P$3+ROUND((P$9*($L230-P$5)),0)),IF($L230&gt;P$4,P$3,ROUND($L230*P$7,0)))</f>
        <v/>
      </c>
      <c r="F230" s="447">
        <f>IF($L230&gt;Q$5,MAX(0,Q$3+ROUND((Q$9*($L230-Q$5)),0)),IF($L230&gt;Q$4,Q$3,ROUND($L230*Q$7,0)))</f>
        <v/>
      </c>
      <c r="G230" s="1378">
        <f>IF($L230&gt;R$5,MAX(0,R$3+ROUND((R$9*($L230-R$5)),0)),IF($L230&gt;R$4,R$3,ROUND($L230*R$7,0)))</f>
        <v/>
      </c>
      <c r="H230" s="448">
        <f>IF($L230&gt;S$5,MAX(0,S$3+ROUND((S$9*($L230-S$5)),0)),IF($L230&gt;S$4,S$3,ROUND($L230*S$7,0)))</f>
        <v/>
      </c>
      <c r="I230" s="448">
        <f>IF($L230&gt;T$5,MAX(0,T$3+ROUND((T$9*($L230-T$5)),0)),IF($L230&gt;T$4,T$3,ROUND($L230*T$7,0)))</f>
        <v/>
      </c>
      <c r="J230" s="447">
        <f>IF($L230&gt;U$5,MAX(0,U$3+ROUND((U$9*($L230-U$5)),0)),IF($L230&gt;U$4,U$3,ROUND($L230*U$7,0)))</f>
        <v/>
      </c>
      <c r="K230" s="422" t="n"/>
      <c r="L230" s="448">
        <f>ROUND((A230+B230)/2,2)</f>
        <v/>
      </c>
    </row>
    <row r="231" ht="13.5" customHeight="1" s="7635">
      <c r="A231" s="448" t="n">
        <v>11400</v>
      </c>
      <c r="B231" s="447" t="n">
        <v>11450</v>
      </c>
      <c r="C231" s="1378">
        <f>IF($L231&gt;N$5,MAX(0,N$3+ROUND((N$9*($L231-N$5)),0)),IF($L231&gt;N$4,N$3,ROUND($L231*N$7,0)))</f>
        <v/>
      </c>
      <c r="D231" s="448">
        <f>IF($L231&gt;O$5,MAX(0,O$3+ROUND((O$9*($L231-O$5)),0)),IF($L231&gt;O$4,O$3,ROUND($L231*O$7,0)))</f>
        <v/>
      </c>
      <c r="E231" s="448">
        <f>IF($L231&gt;P$5,MAX(0,P$3+ROUND((P$9*($L231-P$5)),0)),IF($L231&gt;P$4,P$3,ROUND($L231*P$7,0)))</f>
        <v/>
      </c>
      <c r="F231" s="447">
        <f>IF($L231&gt;Q$5,MAX(0,Q$3+ROUND((Q$9*($L231-Q$5)),0)),IF($L231&gt;Q$4,Q$3,ROUND($L231*Q$7,0)))</f>
        <v/>
      </c>
      <c r="G231" s="1378">
        <f>IF($L231&gt;R$5,MAX(0,R$3+ROUND((R$9*($L231-R$5)),0)),IF($L231&gt;R$4,R$3,ROUND($L231*R$7,0)))</f>
        <v/>
      </c>
      <c r="H231" s="448">
        <f>IF($L231&gt;S$5,MAX(0,S$3+ROUND((S$9*($L231-S$5)),0)),IF($L231&gt;S$4,S$3,ROUND($L231*S$7,0)))</f>
        <v/>
      </c>
      <c r="I231" s="448">
        <f>IF($L231&gt;T$5,MAX(0,T$3+ROUND((T$9*($L231-T$5)),0)),IF($L231&gt;T$4,T$3,ROUND($L231*T$7,0)))</f>
        <v/>
      </c>
      <c r="J231" s="447">
        <f>IF($L231&gt;U$5,MAX(0,U$3+ROUND((U$9*($L231-U$5)),0)),IF($L231&gt;U$4,U$3,ROUND($L231*U$7,0)))</f>
        <v/>
      </c>
      <c r="K231" s="422" t="n"/>
      <c r="L231" s="448">
        <f>ROUND((A231+B231)/2,2)</f>
        <v/>
      </c>
    </row>
    <row r="232" ht="13.5" customHeight="1" s="7635">
      <c r="A232" s="448" t="n">
        <v>11450</v>
      </c>
      <c r="B232" s="447" t="n">
        <v>11500</v>
      </c>
      <c r="C232" s="1378">
        <f>IF($L232&gt;N$5,MAX(0,N$3+ROUND((N$9*($L232-N$5)),0)),IF($L232&gt;N$4,N$3,ROUND($L232*N$7,0)))</f>
        <v/>
      </c>
      <c r="D232" s="448">
        <f>IF($L232&gt;O$5,MAX(0,O$3+ROUND((O$9*($L232-O$5)),0)),IF($L232&gt;O$4,O$3,ROUND($L232*O$7,0)))</f>
        <v/>
      </c>
      <c r="E232" s="448">
        <f>IF($L232&gt;P$5,MAX(0,P$3+ROUND((P$9*($L232-P$5)),0)),IF($L232&gt;P$4,P$3,ROUND($L232*P$7,0)))</f>
        <v/>
      </c>
      <c r="F232" s="447">
        <f>IF($L232&gt;Q$5,MAX(0,Q$3+ROUND((Q$9*($L232-Q$5)),0)),IF($L232&gt;Q$4,Q$3,ROUND($L232*Q$7,0)))</f>
        <v/>
      </c>
      <c r="G232" s="1378">
        <f>IF($L232&gt;R$5,MAX(0,R$3+ROUND((R$9*($L232-R$5)),0)),IF($L232&gt;R$4,R$3,ROUND($L232*R$7,0)))</f>
        <v/>
      </c>
      <c r="H232" s="448">
        <f>IF($L232&gt;S$5,MAX(0,S$3+ROUND((S$9*($L232-S$5)),0)),IF($L232&gt;S$4,S$3,ROUND($L232*S$7,0)))</f>
        <v/>
      </c>
      <c r="I232" s="448">
        <f>IF($L232&gt;T$5,MAX(0,T$3+ROUND((T$9*($L232-T$5)),0)),IF($L232&gt;T$4,T$3,ROUND($L232*T$7,0)))</f>
        <v/>
      </c>
      <c r="J232" s="447">
        <f>IF($L232&gt;U$5,MAX(0,U$3+ROUND((U$9*($L232-U$5)),0)),IF($L232&gt;U$4,U$3,ROUND($L232*U$7,0)))</f>
        <v/>
      </c>
      <c r="K232" s="422" t="n"/>
      <c r="L232" s="448">
        <f>ROUND((A232+B232)/2,2)</f>
        <v/>
      </c>
    </row>
    <row r="233" ht="13.5" customHeight="1" s="7635">
      <c r="A233" s="448" t="n">
        <v>11500</v>
      </c>
      <c r="B233" s="447" t="n">
        <v>11550</v>
      </c>
      <c r="C233" s="1378">
        <f>IF($L233&gt;N$5,MAX(0,N$3+ROUND((N$9*($L233-N$5)),0)),IF($L233&gt;N$4,N$3,ROUND($L233*N$7,0)))</f>
        <v/>
      </c>
      <c r="D233" s="448">
        <f>IF($L233&gt;O$5,MAX(0,O$3+ROUND((O$9*($L233-O$5)),0)),IF($L233&gt;O$4,O$3,ROUND($L233*O$7,0)))</f>
        <v/>
      </c>
      <c r="E233" s="448">
        <f>IF($L233&gt;P$5,MAX(0,P$3+ROUND((P$9*($L233-P$5)),0)),IF($L233&gt;P$4,P$3,ROUND($L233*P$7,0)))</f>
        <v/>
      </c>
      <c r="F233" s="447">
        <f>IF($L233&gt;Q$5,MAX(0,Q$3+ROUND((Q$9*($L233-Q$5)),0)),IF($L233&gt;Q$4,Q$3,ROUND($L233*Q$7,0)))</f>
        <v/>
      </c>
      <c r="G233" s="1378">
        <f>IF($L233&gt;R$5,MAX(0,R$3+ROUND((R$9*($L233-R$5)),0)),IF($L233&gt;R$4,R$3,ROUND($L233*R$7,0)))</f>
        <v/>
      </c>
      <c r="H233" s="448">
        <f>IF($L233&gt;S$5,MAX(0,S$3+ROUND((S$9*($L233-S$5)),0)),IF($L233&gt;S$4,S$3,ROUND($L233*S$7,0)))</f>
        <v/>
      </c>
      <c r="I233" s="448">
        <f>IF($L233&gt;T$5,MAX(0,T$3+ROUND((T$9*($L233-T$5)),0)),IF($L233&gt;T$4,T$3,ROUND($L233*T$7,0)))</f>
        <v/>
      </c>
      <c r="J233" s="447">
        <f>IF($L233&gt;U$5,MAX(0,U$3+ROUND((U$9*($L233-U$5)),0)),IF($L233&gt;U$4,U$3,ROUND($L233*U$7,0)))</f>
        <v/>
      </c>
      <c r="K233" s="422" t="n"/>
      <c r="L233" s="448">
        <f>ROUND((A233+B233)/2,2)</f>
        <v/>
      </c>
    </row>
    <row r="234" ht="13.5" customHeight="1" s="7635">
      <c r="A234" s="448" t="n">
        <v>11550</v>
      </c>
      <c r="B234" s="447" t="n">
        <v>11600</v>
      </c>
      <c r="C234" s="1378">
        <f>IF($L234&gt;N$5,MAX(0,N$3+ROUND((N$9*($L234-N$5)),0)),IF($L234&gt;N$4,N$3,ROUND($L234*N$7,0)))</f>
        <v/>
      </c>
      <c r="D234" s="448">
        <f>IF($L234&gt;O$5,MAX(0,O$3+ROUND((O$9*($L234-O$5)),0)),IF($L234&gt;O$4,O$3,ROUND($L234*O$7,0)))</f>
        <v/>
      </c>
      <c r="E234" s="448">
        <f>IF($L234&gt;P$5,MAX(0,P$3+ROUND((P$9*($L234-P$5)),0)),IF($L234&gt;P$4,P$3,ROUND($L234*P$7,0)))</f>
        <v/>
      </c>
      <c r="F234" s="447">
        <f>IF($L234&gt;Q$5,MAX(0,Q$3+ROUND((Q$9*($L234-Q$5)),0)),IF($L234&gt;Q$4,Q$3,ROUND($L234*Q$7,0)))</f>
        <v/>
      </c>
      <c r="G234" s="1378">
        <f>IF($L234&gt;R$5,MAX(0,R$3+ROUND((R$9*($L234-R$5)),0)),IF($L234&gt;R$4,R$3,ROUND($L234*R$7,0)))</f>
        <v/>
      </c>
      <c r="H234" s="448">
        <f>IF($L234&gt;S$5,MAX(0,S$3+ROUND((S$9*($L234-S$5)),0)),IF($L234&gt;S$4,S$3,ROUND($L234*S$7,0)))</f>
        <v/>
      </c>
      <c r="I234" s="448">
        <f>IF($L234&gt;T$5,MAX(0,T$3+ROUND((T$9*($L234-T$5)),0)),IF($L234&gt;T$4,T$3,ROUND($L234*T$7,0)))</f>
        <v/>
      </c>
      <c r="J234" s="447">
        <f>IF($L234&gt;U$5,MAX(0,U$3+ROUND((U$9*($L234-U$5)),0)),IF($L234&gt;U$4,U$3,ROUND($L234*U$7,0)))</f>
        <v/>
      </c>
      <c r="K234" s="422" t="n"/>
      <c r="L234" s="448">
        <f>ROUND((A234+B234)/2,2)</f>
        <v/>
      </c>
    </row>
    <row r="235" ht="13.5" customHeight="1" s="7635">
      <c r="A235" s="448" t="n">
        <v>11600</v>
      </c>
      <c r="B235" s="447" t="n">
        <v>11650</v>
      </c>
      <c r="C235" s="1378">
        <f>IF($L235&gt;N$5,MAX(0,N$3+ROUND((N$9*($L235-N$5)),0)),IF($L235&gt;N$4,N$3,ROUND($L235*N$7,0)))</f>
        <v/>
      </c>
      <c r="D235" s="448">
        <f>IF($L235&gt;O$5,MAX(0,O$3+ROUND((O$9*($L235-O$5)),0)),IF($L235&gt;O$4,O$3,ROUND($L235*O$7,0)))</f>
        <v/>
      </c>
      <c r="E235" s="448">
        <f>IF($L235&gt;P$5,MAX(0,P$3+ROUND((P$9*($L235-P$5)),0)),IF($L235&gt;P$4,P$3,ROUND($L235*P$7,0)))</f>
        <v/>
      </c>
      <c r="F235" s="447">
        <f>IF($L235&gt;Q$5,MAX(0,Q$3+ROUND((Q$9*($L235-Q$5)),0)),IF($L235&gt;Q$4,Q$3,ROUND($L235*Q$7,0)))</f>
        <v/>
      </c>
      <c r="G235" s="1378">
        <f>IF($L235&gt;R$5,MAX(0,R$3+ROUND((R$9*($L235-R$5)),0)),IF($L235&gt;R$4,R$3,ROUND($L235*R$7,0)))</f>
        <v/>
      </c>
      <c r="H235" s="448">
        <f>IF($L235&gt;S$5,MAX(0,S$3+ROUND((S$9*($L235-S$5)),0)),IF($L235&gt;S$4,S$3,ROUND($L235*S$7,0)))</f>
        <v/>
      </c>
      <c r="I235" s="448">
        <f>IF($L235&gt;T$5,MAX(0,T$3+ROUND((T$9*($L235-T$5)),0)),IF($L235&gt;T$4,T$3,ROUND($L235*T$7,0)))</f>
        <v/>
      </c>
      <c r="J235" s="447">
        <f>IF($L235&gt;U$5,MAX(0,U$3+ROUND((U$9*($L235-U$5)),0)),IF($L235&gt;U$4,U$3,ROUND($L235*U$7,0)))</f>
        <v/>
      </c>
      <c r="K235" s="422" t="n"/>
      <c r="L235" s="448">
        <f>ROUND((A235+B235)/2,2)</f>
        <v/>
      </c>
    </row>
    <row r="236" ht="13.5" customHeight="1" s="7635">
      <c r="A236" s="448" t="n">
        <v>11650</v>
      </c>
      <c r="B236" s="447" t="n">
        <v>11700</v>
      </c>
      <c r="C236" s="1378">
        <f>IF($L236&gt;N$5,MAX(0,N$3+ROUND((N$9*($L236-N$5)),0)),IF($L236&gt;N$4,N$3,ROUND($L236*N$7,0)))</f>
        <v/>
      </c>
      <c r="D236" s="448">
        <f>IF($L236&gt;O$5,MAX(0,O$3+ROUND((O$9*($L236-O$5)),0)),IF($L236&gt;O$4,O$3,ROUND($L236*O$7,0)))</f>
        <v/>
      </c>
      <c r="E236" s="448">
        <f>IF($L236&gt;P$5,MAX(0,P$3+ROUND((P$9*($L236-P$5)),0)),IF($L236&gt;P$4,P$3,ROUND($L236*P$7,0)))</f>
        <v/>
      </c>
      <c r="F236" s="447">
        <f>IF($L236&gt;Q$5,MAX(0,Q$3+ROUND((Q$9*($L236-Q$5)),0)),IF($L236&gt;Q$4,Q$3,ROUND($L236*Q$7,0)))</f>
        <v/>
      </c>
      <c r="G236" s="1378">
        <f>IF($L236&gt;R$5,MAX(0,R$3+ROUND((R$9*($L236-R$5)),0)),IF($L236&gt;R$4,R$3,ROUND($L236*R$7,0)))</f>
        <v/>
      </c>
      <c r="H236" s="448">
        <f>IF($L236&gt;S$5,MAX(0,S$3+ROUND((S$9*($L236-S$5)),0)),IF($L236&gt;S$4,S$3,ROUND($L236*S$7,0)))</f>
        <v/>
      </c>
      <c r="I236" s="448">
        <f>IF($L236&gt;T$5,MAX(0,T$3+ROUND((T$9*($L236-T$5)),0)),IF($L236&gt;T$4,T$3,ROUND($L236*T$7,0)))</f>
        <v/>
      </c>
      <c r="J236" s="447">
        <f>IF($L236&gt;U$5,MAX(0,U$3+ROUND((U$9*($L236-U$5)),0)),IF($L236&gt;U$4,U$3,ROUND($L236*U$7,0)))</f>
        <v/>
      </c>
      <c r="K236" s="422" t="n"/>
      <c r="L236" s="448">
        <f>ROUND((A236+B236)/2,2)</f>
        <v/>
      </c>
    </row>
    <row r="237" ht="13.5" customHeight="1" s="7635">
      <c r="A237" s="448" t="n">
        <v>11700</v>
      </c>
      <c r="B237" s="447" t="n">
        <v>11750</v>
      </c>
      <c r="C237" s="1378">
        <f>IF($L237&gt;N$5,MAX(0,N$3+ROUND((N$9*($L237-N$5)),0)),IF($L237&gt;N$4,N$3,ROUND($L237*N$7,0)))</f>
        <v/>
      </c>
      <c r="D237" s="448">
        <f>IF($L237&gt;O$5,MAX(0,O$3+ROUND((O$9*($L237-O$5)),0)),IF($L237&gt;O$4,O$3,ROUND($L237*O$7,0)))</f>
        <v/>
      </c>
      <c r="E237" s="448">
        <f>IF($L237&gt;P$5,MAX(0,P$3+ROUND((P$9*($L237-P$5)),0)),IF($L237&gt;P$4,P$3,ROUND($L237*P$7,0)))</f>
        <v/>
      </c>
      <c r="F237" s="447">
        <f>IF($L237&gt;Q$5,MAX(0,Q$3+ROUND((Q$9*($L237-Q$5)),0)),IF($L237&gt;Q$4,Q$3,ROUND($L237*Q$7,0)))</f>
        <v/>
      </c>
      <c r="G237" s="1378">
        <f>IF($L237&gt;R$5,MAX(0,R$3+ROUND((R$9*($L237-R$5)),0)),IF($L237&gt;R$4,R$3,ROUND($L237*R$7,0)))</f>
        <v/>
      </c>
      <c r="H237" s="448">
        <f>IF($L237&gt;S$5,MAX(0,S$3+ROUND((S$9*($L237-S$5)),0)),IF($L237&gt;S$4,S$3,ROUND($L237*S$7,0)))</f>
        <v/>
      </c>
      <c r="I237" s="448">
        <f>IF($L237&gt;T$5,MAX(0,T$3+ROUND((T$9*($L237-T$5)),0)),IF($L237&gt;T$4,T$3,ROUND($L237*T$7,0)))</f>
        <v/>
      </c>
      <c r="J237" s="447">
        <f>IF($L237&gt;U$5,MAX(0,U$3+ROUND((U$9*($L237-U$5)),0)),IF($L237&gt;U$4,U$3,ROUND($L237*U$7,0)))</f>
        <v/>
      </c>
      <c r="K237" s="422" t="n"/>
      <c r="L237" s="448">
        <f>ROUND((A237+B237)/2,2)</f>
        <v/>
      </c>
    </row>
    <row r="238" ht="13.5" customHeight="1" s="7635">
      <c r="A238" s="448" t="n">
        <v>11750</v>
      </c>
      <c r="B238" s="447" t="n">
        <v>11800</v>
      </c>
      <c r="C238" s="1378">
        <f>IF($L238&gt;N$5,MAX(0,N$3+ROUND((N$9*($L238-N$5)),0)),IF($L238&gt;N$4,N$3,ROUND($L238*N$7,0)))</f>
        <v/>
      </c>
      <c r="D238" s="448">
        <f>IF($L238&gt;O$5,MAX(0,O$3+ROUND((O$9*($L238-O$5)),0)),IF($L238&gt;O$4,O$3,ROUND($L238*O$7,0)))</f>
        <v/>
      </c>
      <c r="E238" s="448">
        <f>IF($L238&gt;P$5,MAX(0,P$3+ROUND((P$9*($L238-P$5)),0)),IF($L238&gt;P$4,P$3,ROUND($L238*P$7,0)))</f>
        <v/>
      </c>
      <c r="F238" s="447">
        <f>IF($L238&gt;Q$5,MAX(0,Q$3+ROUND((Q$9*($L238-Q$5)),0)),IF($L238&gt;Q$4,Q$3,ROUND($L238*Q$7,0)))</f>
        <v/>
      </c>
      <c r="G238" s="1378">
        <f>IF($L238&gt;R$5,MAX(0,R$3+ROUND((R$9*($L238-R$5)),0)),IF($L238&gt;R$4,R$3,ROUND($L238*R$7,0)))</f>
        <v/>
      </c>
      <c r="H238" s="448">
        <f>IF($L238&gt;S$5,MAX(0,S$3+ROUND((S$9*($L238-S$5)),0)),IF($L238&gt;S$4,S$3,ROUND($L238*S$7,0)))</f>
        <v/>
      </c>
      <c r="I238" s="448">
        <f>IF($L238&gt;T$5,MAX(0,T$3+ROUND((T$9*($L238-T$5)),0)),IF($L238&gt;T$4,T$3,ROUND($L238*T$7,0)))</f>
        <v/>
      </c>
      <c r="J238" s="447">
        <f>IF($L238&gt;U$5,MAX(0,U$3+ROUND((U$9*($L238-U$5)),0)),IF($L238&gt;U$4,U$3,ROUND($L238*U$7,0)))</f>
        <v/>
      </c>
      <c r="K238" s="422" t="n"/>
      <c r="L238" s="448">
        <f>ROUND((A238+B238)/2,2)</f>
        <v/>
      </c>
    </row>
    <row r="239" ht="13.5" customHeight="1" s="7635">
      <c r="A239" s="448" t="n">
        <v>11800</v>
      </c>
      <c r="B239" s="447" t="n">
        <v>11850</v>
      </c>
      <c r="C239" s="1378">
        <f>IF($L239&gt;N$5,MAX(0,N$3+ROUND((N$9*($L239-N$5)),0)),IF($L239&gt;N$4,N$3,ROUND($L239*N$7,0)))</f>
        <v/>
      </c>
      <c r="D239" s="448">
        <f>IF($L239&gt;O$5,MAX(0,O$3+ROUND((O$9*($L239-O$5)),0)),IF($L239&gt;O$4,O$3,ROUND($L239*O$7,0)))</f>
        <v/>
      </c>
      <c r="E239" s="448">
        <f>IF($L239&gt;P$5,MAX(0,P$3+ROUND((P$9*($L239-P$5)),0)),IF($L239&gt;P$4,P$3,ROUND($L239*P$7,0)))</f>
        <v/>
      </c>
      <c r="F239" s="447">
        <f>IF($L239&gt;Q$5,MAX(0,Q$3+ROUND((Q$9*($L239-Q$5)),0)),IF($L239&gt;Q$4,Q$3,ROUND($L239*Q$7,0)))</f>
        <v/>
      </c>
      <c r="G239" s="1378">
        <f>IF($L239&gt;R$5,MAX(0,R$3+ROUND((R$9*($L239-R$5)),0)),IF($L239&gt;R$4,R$3,ROUND($L239*R$7,0)))</f>
        <v/>
      </c>
      <c r="H239" s="448">
        <f>IF($L239&gt;S$5,MAX(0,S$3+ROUND((S$9*($L239-S$5)),0)),IF($L239&gt;S$4,S$3,ROUND($L239*S$7,0)))</f>
        <v/>
      </c>
      <c r="I239" s="448">
        <f>IF($L239&gt;T$5,MAX(0,T$3+ROUND((T$9*($L239-T$5)),0)),IF($L239&gt;T$4,T$3,ROUND($L239*T$7,0)))</f>
        <v/>
      </c>
      <c r="J239" s="447">
        <f>IF($L239&gt;U$5,MAX(0,U$3+ROUND((U$9*($L239-U$5)),0)),IF($L239&gt;U$4,U$3,ROUND($L239*U$7,0)))</f>
        <v/>
      </c>
      <c r="K239" s="422" t="n"/>
      <c r="L239" s="448">
        <f>ROUND((A239+B239)/2,2)</f>
        <v/>
      </c>
    </row>
    <row r="240" ht="13.5" customHeight="1" s="7635">
      <c r="A240" s="448" t="n">
        <v>11850</v>
      </c>
      <c r="B240" s="447" t="n">
        <v>11900</v>
      </c>
      <c r="C240" s="1378">
        <f>IF($L240&gt;N$5,MAX(0,N$3+ROUND((N$9*($L240-N$5)),0)),IF($L240&gt;N$4,N$3,ROUND($L240*N$7,0)))</f>
        <v/>
      </c>
      <c r="D240" s="448">
        <f>IF($L240&gt;O$5,MAX(0,O$3+ROUND((O$9*($L240-O$5)),0)),IF($L240&gt;O$4,O$3,ROUND($L240*O$7,0)))</f>
        <v/>
      </c>
      <c r="E240" s="448">
        <f>IF($L240&gt;P$5,MAX(0,P$3+ROUND((P$9*($L240-P$5)),0)),IF($L240&gt;P$4,P$3,ROUND($L240*P$7,0)))</f>
        <v/>
      </c>
      <c r="F240" s="447">
        <f>IF($L240&gt;Q$5,MAX(0,Q$3+ROUND((Q$9*($L240-Q$5)),0)),IF($L240&gt;Q$4,Q$3,ROUND($L240*Q$7,0)))</f>
        <v/>
      </c>
      <c r="G240" s="1378">
        <f>IF($L240&gt;R$5,MAX(0,R$3+ROUND((R$9*($L240-R$5)),0)),IF($L240&gt;R$4,R$3,ROUND($L240*R$7,0)))</f>
        <v/>
      </c>
      <c r="H240" s="448">
        <f>IF($L240&gt;S$5,MAX(0,S$3+ROUND((S$9*($L240-S$5)),0)),IF($L240&gt;S$4,S$3,ROUND($L240*S$7,0)))</f>
        <v/>
      </c>
      <c r="I240" s="448">
        <f>IF($L240&gt;T$5,MAX(0,T$3+ROUND((T$9*($L240-T$5)),0)),IF($L240&gt;T$4,T$3,ROUND($L240*T$7,0)))</f>
        <v/>
      </c>
      <c r="J240" s="447">
        <f>IF($L240&gt;U$5,MAX(0,U$3+ROUND((U$9*($L240-U$5)),0)),IF($L240&gt;U$4,U$3,ROUND($L240*U$7,0)))</f>
        <v/>
      </c>
      <c r="K240" s="422" t="n"/>
      <c r="L240" s="448">
        <f>ROUND((A240+B240)/2,2)</f>
        <v/>
      </c>
    </row>
    <row r="241" ht="13.5" customHeight="1" s="7635">
      <c r="A241" s="448" t="n">
        <v>11900</v>
      </c>
      <c r="B241" s="447" t="n">
        <v>11950</v>
      </c>
      <c r="C241" s="1378">
        <f>IF($L241&gt;N$5,MAX(0,N$3+ROUND((N$9*($L241-N$5)),0)),IF($L241&gt;N$4,N$3,ROUND($L241*N$7,0)))</f>
        <v/>
      </c>
      <c r="D241" s="448">
        <f>IF($L241&gt;O$5,MAX(0,O$3+ROUND((O$9*($L241-O$5)),0)),IF($L241&gt;O$4,O$3,ROUND($L241*O$7,0)))</f>
        <v/>
      </c>
      <c r="E241" s="448">
        <f>IF($L241&gt;P$5,MAX(0,P$3+ROUND((P$9*($L241-P$5)),0)),IF($L241&gt;P$4,P$3,ROUND($L241*P$7,0)))</f>
        <v/>
      </c>
      <c r="F241" s="447">
        <f>IF($L241&gt;Q$5,MAX(0,Q$3+ROUND((Q$9*($L241-Q$5)),0)),IF($L241&gt;Q$4,Q$3,ROUND($L241*Q$7,0)))</f>
        <v/>
      </c>
      <c r="G241" s="1378">
        <f>IF($L241&gt;R$5,MAX(0,R$3+ROUND((R$9*($L241-R$5)),0)),IF($L241&gt;R$4,R$3,ROUND($L241*R$7,0)))</f>
        <v/>
      </c>
      <c r="H241" s="448">
        <f>IF($L241&gt;S$5,MAX(0,S$3+ROUND((S$9*($L241-S$5)),0)),IF($L241&gt;S$4,S$3,ROUND($L241*S$7,0)))</f>
        <v/>
      </c>
      <c r="I241" s="448">
        <f>IF($L241&gt;T$5,MAX(0,T$3+ROUND((T$9*($L241-T$5)),0)),IF($L241&gt;T$4,T$3,ROUND($L241*T$7,0)))</f>
        <v/>
      </c>
      <c r="J241" s="447">
        <f>IF($L241&gt;U$5,MAX(0,U$3+ROUND((U$9*($L241-U$5)),0)),IF($L241&gt;U$4,U$3,ROUND($L241*U$7,0)))</f>
        <v/>
      </c>
      <c r="K241" s="422" t="n"/>
      <c r="L241" s="448">
        <f>ROUND((A241+B241)/2,2)</f>
        <v/>
      </c>
    </row>
    <row r="242" ht="13.5" customHeight="1" s="7635">
      <c r="A242" s="448" t="n">
        <v>11950</v>
      </c>
      <c r="B242" s="447" t="n">
        <v>12000</v>
      </c>
      <c r="C242" s="1378">
        <f>IF($L242&gt;N$5,MAX(0,N$3+ROUND((N$9*($L242-N$5)),0)),IF($L242&gt;N$4,N$3,ROUND($L242*N$7,0)))</f>
        <v/>
      </c>
      <c r="D242" s="448">
        <f>IF($L242&gt;O$5,MAX(0,O$3+ROUND((O$9*($L242-O$5)),0)),IF($L242&gt;O$4,O$3,ROUND($L242*O$7,0)))</f>
        <v/>
      </c>
      <c r="E242" s="448">
        <f>IF($L242&gt;P$5,MAX(0,P$3+ROUND((P$9*($L242-P$5)),0)),IF($L242&gt;P$4,P$3,ROUND($L242*P$7,0)))</f>
        <v/>
      </c>
      <c r="F242" s="447">
        <f>IF($L242&gt;Q$5,MAX(0,Q$3+ROUND((Q$9*($L242-Q$5)),0)),IF($L242&gt;Q$4,Q$3,ROUND($L242*Q$7,0)))</f>
        <v/>
      </c>
      <c r="G242" s="1378">
        <f>IF($L242&gt;R$5,MAX(0,R$3+ROUND((R$9*($L242-R$5)),0)),IF($L242&gt;R$4,R$3,ROUND($L242*R$7,0)))</f>
        <v/>
      </c>
      <c r="H242" s="448">
        <f>IF($L242&gt;S$5,MAX(0,S$3+ROUND((S$9*($L242-S$5)),0)),IF($L242&gt;S$4,S$3,ROUND($L242*S$7,0)))</f>
        <v/>
      </c>
      <c r="I242" s="448">
        <f>IF($L242&gt;T$5,MAX(0,T$3+ROUND((T$9*($L242-T$5)),0)),IF($L242&gt;T$4,T$3,ROUND($L242*T$7,0)))</f>
        <v/>
      </c>
      <c r="J242" s="447">
        <f>IF($L242&gt;U$5,MAX(0,U$3+ROUND((U$9*($L242-U$5)),0)),IF($L242&gt;U$4,U$3,ROUND($L242*U$7,0)))</f>
        <v/>
      </c>
      <c r="K242" s="422" t="n"/>
      <c r="L242" s="448">
        <f>ROUND((A242+B242)/2,2)</f>
        <v/>
      </c>
    </row>
    <row r="243" ht="13.5" customHeight="1" s="7635">
      <c r="A243" s="448" t="n">
        <v>12000</v>
      </c>
      <c r="B243" s="447" t="n">
        <v>12050</v>
      </c>
      <c r="C243" s="1378">
        <f>IF($L243&gt;N$5,MAX(0,N$3+ROUND((N$9*($L243-N$5)),0)),IF($L243&gt;N$4,N$3,ROUND($L243*N$7,0)))</f>
        <v/>
      </c>
      <c r="D243" s="448">
        <f>IF($L243&gt;O$5,MAX(0,O$3+ROUND((O$9*($L243-O$5)),0)),IF($L243&gt;O$4,O$3,ROUND($L243*O$7,0)))</f>
        <v/>
      </c>
      <c r="E243" s="448">
        <f>IF($L243&gt;P$5,MAX(0,P$3+ROUND((P$9*($L243-P$5)),0)),IF($L243&gt;P$4,P$3,ROUND($L243*P$7,0)))</f>
        <v/>
      </c>
      <c r="F243" s="447">
        <f>IF($L243&gt;Q$5,MAX(0,Q$3+ROUND((Q$9*($L243-Q$5)),0)),IF($L243&gt;Q$4,Q$3,ROUND($L243*Q$7,0)))</f>
        <v/>
      </c>
      <c r="G243" s="1378">
        <f>IF($L243&gt;R$5,MAX(0,R$3+ROUND((R$9*($L243-R$5)),0)),IF($L243&gt;R$4,R$3,ROUND($L243*R$7,0)))</f>
        <v/>
      </c>
      <c r="H243" s="448">
        <f>IF($L243&gt;S$5,MAX(0,S$3+ROUND((S$9*($L243-S$5)),0)),IF($L243&gt;S$4,S$3,ROUND($L243*S$7,0)))</f>
        <v/>
      </c>
      <c r="I243" s="448">
        <f>IF($L243&gt;T$5,MAX(0,T$3+ROUND((T$9*($L243-T$5)),0)),IF($L243&gt;T$4,T$3,ROUND($L243*T$7,0)))</f>
        <v/>
      </c>
      <c r="J243" s="447">
        <f>IF($L243&gt;U$5,MAX(0,U$3+ROUND((U$9*($L243-U$5)),0)),IF($L243&gt;U$4,U$3,ROUND($L243*U$7,0)))</f>
        <v/>
      </c>
      <c r="K243" s="422" t="n"/>
      <c r="L243" s="448">
        <f>ROUND((A243+B243)/2,2)</f>
        <v/>
      </c>
    </row>
    <row r="244" ht="13.5" customHeight="1" s="7635">
      <c r="A244" s="448" t="n">
        <v>12050</v>
      </c>
      <c r="B244" s="447" t="n">
        <v>12100</v>
      </c>
      <c r="C244" s="1378">
        <f>IF($L244&gt;N$5,MAX(0,N$3+ROUND((N$9*($L244-N$5)),0)),IF($L244&gt;N$4,N$3,ROUND($L244*N$7,0)))</f>
        <v/>
      </c>
      <c r="D244" s="448">
        <f>IF($L244&gt;O$5,MAX(0,O$3+ROUND((O$9*($L244-O$5)),0)),IF($L244&gt;O$4,O$3,ROUND($L244*O$7,0)))</f>
        <v/>
      </c>
      <c r="E244" s="448">
        <f>IF($L244&gt;P$5,MAX(0,P$3+ROUND((P$9*($L244-P$5)),0)),IF($L244&gt;P$4,P$3,ROUND($L244*P$7,0)))</f>
        <v/>
      </c>
      <c r="F244" s="447">
        <f>IF($L244&gt;Q$5,MAX(0,Q$3+ROUND((Q$9*($L244-Q$5)),0)),IF($L244&gt;Q$4,Q$3,ROUND($L244*Q$7,0)))</f>
        <v/>
      </c>
      <c r="G244" s="1378">
        <f>IF($L244&gt;R$5,MAX(0,R$3+ROUND((R$9*($L244-R$5)),0)),IF($L244&gt;R$4,R$3,ROUND($L244*R$7,0)))</f>
        <v/>
      </c>
      <c r="H244" s="448">
        <f>IF($L244&gt;S$5,MAX(0,S$3+ROUND((S$9*($L244-S$5)),0)),IF($L244&gt;S$4,S$3,ROUND($L244*S$7,0)))</f>
        <v/>
      </c>
      <c r="I244" s="448">
        <f>IF($L244&gt;T$5,MAX(0,T$3+ROUND((T$9*($L244-T$5)),0)),IF($L244&gt;T$4,T$3,ROUND($L244*T$7,0)))</f>
        <v/>
      </c>
      <c r="J244" s="447">
        <f>IF($L244&gt;U$5,MAX(0,U$3+ROUND((U$9*($L244-U$5)),0)),IF($L244&gt;U$4,U$3,ROUND($L244*U$7,0)))</f>
        <v/>
      </c>
      <c r="K244" s="422" t="n"/>
      <c r="L244" s="448">
        <f>ROUND((A244+B244)/2,2)</f>
        <v/>
      </c>
    </row>
    <row r="245" ht="13.5" customHeight="1" s="7635">
      <c r="A245" s="448" t="n">
        <v>12100</v>
      </c>
      <c r="B245" s="447" t="n">
        <v>12150</v>
      </c>
      <c r="C245" s="1378">
        <f>IF($L245&gt;N$5,MAX(0,N$3+ROUND((N$9*($L245-N$5)),0)),IF($L245&gt;N$4,N$3,ROUND($L245*N$7,0)))</f>
        <v/>
      </c>
      <c r="D245" s="448">
        <f>IF($L245&gt;O$5,MAX(0,O$3+ROUND((O$9*($L245-O$5)),0)),IF($L245&gt;O$4,O$3,ROUND($L245*O$7,0)))</f>
        <v/>
      </c>
      <c r="E245" s="448">
        <f>IF($L245&gt;P$5,MAX(0,P$3+ROUND((P$9*($L245-P$5)),0)),IF($L245&gt;P$4,P$3,ROUND($L245*P$7,0)))</f>
        <v/>
      </c>
      <c r="F245" s="447">
        <f>IF($L245&gt;Q$5,MAX(0,Q$3+ROUND((Q$9*($L245-Q$5)),0)),IF($L245&gt;Q$4,Q$3,ROUND($L245*Q$7,0)))</f>
        <v/>
      </c>
      <c r="G245" s="1378">
        <f>IF($L245&gt;R$5,MAX(0,R$3+ROUND((R$9*($L245-R$5)),0)),IF($L245&gt;R$4,R$3,ROUND($L245*R$7,0)))</f>
        <v/>
      </c>
      <c r="H245" s="448">
        <f>IF($L245&gt;S$5,MAX(0,S$3+ROUND((S$9*($L245-S$5)),0)),IF($L245&gt;S$4,S$3,ROUND($L245*S$7,0)))</f>
        <v/>
      </c>
      <c r="I245" s="448">
        <f>IF($L245&gt;T$5,MAX(0,T$3+ROUND((T$9*($L245-T$5)),0)),IF($L245&gt;T$4,T$3,ROUND($L245*T$7,0)))</f>
        <v/>
      </c>
      <c r="J245" s="447">
        <f>IF($L245&gt;U$5,MAX(0,U$3+ROUND((U$9*($L245-U$5)),0)),IF($L245&gt;U$4,U$3,ROUND($L245*U$7,0)))</f>
        <v/>
      </c>
      <c r="K245" s="422" t="n"/>
      <c r="L245" s="448">
        <f>ROUND((A245+B245)/2,2)</f>
        <v/>
      </c>
    </row>
    <row r="246" ht="13.5" customHeight="1" s="7635">
      <c r="A246" s="448" t="n">
        <v>12150</v>
      </c>
      <c r="B246" s="447" t="n">
        <v>12200</v>
      </c>
      <c r="C246" s="1378">
        <f>IF($L246&gt;N$5,MAX(0,N$3+ROUND((N$9*($L246-N$5)),0)),IF($L246&gt;N$4,N$3,ROUND($L246*N$7,0)))</f>
        <v/>
      </c>
      <c r="D246" s="448">
        <f>IF($L246&gt;O$5,MAX(0,O$3+ROUND((O$9*($L246-O$5)),0)),IF($L246&gt;O$4,O$3,ROUND($L246*O$7,0)))</f>
        <v/>
      </c>
      <c r="E246" s="448">
        <f>IF($L246&gt;P$5,MAX(0,P$3+ROUND((P$9*($L246-P$5)),0)),IF($L246&gt;P$4,P$3,ROUND($L246*P$7,0)))</f>
        <v/>
      </c>
      <c r="F246" s="447">
        <f>IF($L246&gt;Q$5,MAX(0,Q$3+ROUND((Q$9*($L246-Q$5)),0)),IF($L246&gt;Q$4,Q$3,ROUND($L246*Q$7,0)))</f>
        <v/>
      </c>
      <c r="G246" s="1378">
        <f>IF($L246&gt;R$5,MAX(0,R$3+ROUND((R$9*($L246-R$5)),0)),IF($L246&gt;R$4,R$3,ROUND($L246*R$7,0)))</f>
        <v/>
      </c>
      <c r="H246" s="448">
        <f>IF($L246&gt;S$5,MAX(0,S$3+ROUND((S$9*($L246-S$5)),0)),IF($L246&gt;S$4,S$3,ROUND($L246*S$7,0)))</f>
        <v/>
      </c>
      <c r="I246" s="448">
        <f>IF($L246&gt;T$5,MAX(0,T$3+ROUND((T$9*($L246-T$5)),0)),IF($L246&gt;T$4,T$3,ROUND($L246*T$7,0)))</f>
        <v/>
      </c>
      <c r="J246" s="447">
        <f>IF($L246&gt;U$5,MAX(0,U$3+ROUND((U$9*($L246-U$5)),0)),IF($L246&gt;U$4,U$3,ROUND($L246*U$7,0)))</f>
        <v/>
      </c>
      <c r="K246" s="422" t="n"/>
      <c r="L246" s="448">
        <f>ROUND((A246+B246)/2,2)</f>
        <v/>
      </c>
    </row>
    <row r="247" ht="13.5" customHeight="1" s="7635">
      <c r="A247" s="448" t="n">
        <v>12200</v>
      </c>
      <c r="B247" s="447" t="n">
        <v>12250</v>
      </c>
      <c r="C247" s="1378">
        <f>IF($L247&gt;N$5,MAX(0,N$3+ROUND((N$9*($L247-N$5)),0)),IF($L247&gt;N$4,N$3,ROUND($L247*N$7,0)))</f>
        <v/>
      </c>
      <c r="D247" s="448">
        <f>IF($L247&gt;O$5,MAX(0,O$3+ROUND((O$9*($L247-O$5)),0)),IF($L247&gt;O$4,O$3,ROUND($L247*O$7,0)))</f>
        <v/>
      </c>
      <c r="E247" s="448">
        <f>IF($L247&gt;P$5,MAX(0,P$3+ROUND((P$9*($L247-P$5)),0)),IF($L247&gt;P$4,P$3,ROUND($L247*P$7,0)))</f>
        <v/>
      </c>
      <c r="F247" s="447">
        <f>IF($L247&gt;Q$5,MAX(0,Q$3+ROUND((Q$9*($L247-Q$5)),0)),IF($L247&gt;Q$4,Q$3,ROUND($L247*Q$7,0)))</f>
        <v/>
      </c>
      <c r="G247" s="1378">
        <f>IF($L247&gt;R$5,MAX(0,R$3+ROUND((R$9*($L247-R$5)),0)),IF($L247&gt;R$4,R$3,ROUND($L247*R$7,0)))</f>
        <v/>
      </c>
      <c r="H247" s="448">
        <f>IF($L247&gt;S$5,MAX(0,S$3+ROUND((S$9*($L247-S$5)),0)),IF($L247&gt;S$4,S$3,ROUND($L247*S$7,0)))</f>
        <v/>
      </c>
      <c r="I247" s="448">
        <f>IF($L247&gt;T$5,MAX(0,T$3+ROUND((T$9*($L247-T$5)),0)),IF($L247&gt;T$4,T$3,ROUND($L247*T$7,0)))</f>
        <v/>
      </c>
      <c r="J247" s="447">
        <f>IF($L247&gt;U$5,MAX(0,U$3+ROUND((U$9*($L247-U$5)),0)),IF($L247&gt;U$4,U$3,ROUND($L247*U$7,0)))</f>
        <v/>
      </c>
      <c r="K247" s="422" t="n"/>
      <c r="L247" s="448">
        <f>ROUND((A247+B247)/2,2)</f>
        <v/>
      </c>
    </row>
    <row r="248" ht="13.5" customHeight="1" s="7635">
      <c r="A248" s="448" t="n">
        <v>12250</v>
      </c>
      <c r="B248" s="447" t="n">
        <v>12300</v>
      </c>
      <c r="C248" s="1378">
        <f>IF($L248&gt;N$5,MAX(0,N$3+ROUND((N$9*($L248-N$5)),0)),IF($L248&gt;N$4,N$3,ROUND($L248*N$7,0)))</f>
        <v/>
      </c>
      <c r="D248" s="448">
        <f>IF($L248&gt;O$5,MAX(0,O$3+ROUND((O$9*($L248-O$5)),0)),IF($L248&gt;O$4,O$3,ROUND($L248*O$7,0)))</f>
        <v/>
      </c>
      <c r="E248" s="448">
        <f>IF($L248&gt;P$5,MAX(0,P$3+ROUND((P$9*($L248-P$5)),0)),IF($L248&gt;P$4,P$3,ROUND($L248*P$7,0)))</f>
        <v/>
      </c>
      <c r="F248" s="447">
        <f>IF($L248&gt;Q$5,MAX(0,Q$3+ROUND((Q$9*($L248-Q$5)),0)),IF($L248&gt;Q$4,Q$3,ROUND($L248*Q$7,0)))</f>
        <v/>
      </c>
      <c r="G248" s="1378">
        <f>IF($L248&gt;R$5,MAX(0,R$3+ROUND((R$9*($L248-R$5)),0)),IF($L248&gt;R$4,R$3,ROUND($L248*R$7,0)))</f>
        <v/>
      </c>
      <c r="H248" s="448">
        <f>IF($L248&gt;S$5,MAX(0,S$3+ROUND((S$9*($L248-S$5)),0)),IF($L248&gt;S$4,S$3,ROUND($L248*S$7,0)))</f>
        <v/>
      </c>
      <c r="I248" s="448">
        <f>IF($L248&gt;T$5,MAX(0,T$3+ROUND((T$9*($L248-T$5)),0)),IF($L248&gt;T$4,T$3,ROUND($L248*T$7,0)))</f>
        <v/>
      </c>
      <c r="J248" s="447">
        <f>IF($L248&gt;U$5,MAX(0,U$3+ROUND((U$9*($L248-U$5)),0)),IF($L248&gt;U$4,U$3,ROUND($L248*U$7,0)))</f>
        <v/>
      </c>
      <c r="K248" s="422" t="n"/>
      <c r="L248" s="448">
        <f>ROUND((A248+B248)/2,2)</f>
        <v/>
      </c>
    </row>
    <row r="249" ht="13.5" customHeight="1" s="7635">
      <c r="A249" s="448" t="n">
        <v>12300</v>
      </c>
      <c r="B249" s="447" t="n">
        <v>12350</v>
      </c>
      <c r="C249" s="1378">
        <f>IF($L249&gt;N$5,MAX(0,N$3+ROUND((N$9*($L249-N$5)),0)),IF($L249&gt;N$4,N$3,ROUND($L249*N$7,0)))</f>
        <v/>
      </c>
      <c r="D249" s="448">
        <f>IF($L249&gt;O$5,MAX(0,O$3+ROUND((O$9*($L249-O$5)),0)),IF($L249&gt;O$4,O$3,ROUND($L249*O$7,0)))</f>
        <v/>
      </c>
      <c r="E249" s="448">
        <f>IF($L249&gt;P$5,MAX(0,P$3+ROUND((P$9*($L249-P$5)),0)),IF($L249&gt;P$4,P$3,ROUND($L249*P$7,0)))</f>
        <v/>
      </c>
      <c r="F249" s="447">
        <f>IF($L249&gt;Q$5,MAX(0,Q$3+ROUND((Q$9*($L249-Q$5)),0)),IF($L249&gt;Q$4,Q$3,ROUND($L249*Q$7,0)))</f>
        <v/>
      </c>
      <c r="G249" s="1378">
        <f>IF($L249&gt;R$5,MAX(0,R$3+ROUND((R$9*($L249-R$5)),0)),IF($L249&gt;R$4,R$3,ROUND($L249*R$7,0)))</f>
        <v/>
      </c>
      <c r="H249" s="448">
        <f>IF($L249&gt;S$5,MAX(0,S$3+ROUND((S$9*($L249-S$5)),0)),IF($L249&gt;S$4,S$3,ROUND($L249*S$7,0)))</f>
        <v/>
      </c>
      <c r="I249" s="448">
        <f>IF($L249&gt;T$5,MAX(0,T$3+ROUND((T$9*($L249-T$5)),0)),IF($L249&gt;T$4,T$3,ROUND($L249*T$7,0)))</f>
        <v/>
      </c>
      <c r="J249" s="447">
        <f>IF($L249&gt;U$5,MAX(0,U$3+ROUND((U$9*($L249-U$5)),0)),IF($L249&gt;U$4,U$3,ROUND($L249*U$7,0)))</f>
        <v/>
      </c>
      <c r="K249" s="422" t="n"/>
      <c r="L249" s="448">
        <f>ROUND((A249+B249)/2,2)</f>
        <v/>
      </c>
    </row>
    <row r="250" ht="13.5" customHeight="1" s="7635">
      <c r="A250" s="448" t="n">
        <v>12350</v>
      </c>
      <c r="B250" s="447" t="n">
        <v>12400</v>
      </c>
      <c r="C250" s="1378">
        <f>IF($L250&gt;N$5,MAX(0,N$3+ROUND((N$9*($L250-N$5)),0)),IF($L250&gt;N$4,N$3,ROUND($L250*N$7,0)))</f>
        <v/>
      </c>
      <c r="D250" s="448">
        <f>IF($L250&gt;O$5,MAX(0,O$3+ROUND((O$9*($L250-O$5)),0)),IF($L250&gt;O$4,O$3,ROUND($L250*O$7,0)))</f>
        <v/>
      </c>
      <c r="E250" s="448">
        <f>IF($L250&gt;P$5,MAX(0,P$3+ROUND((P$9*($L250-P$5)),0)),IF($L250&gt;P$4,P$3,ROUND($L250*P$7,0)))</f>
        <v/>
      </c>
      <c r="F250" s="447">
        <f>IF($L250&gt;Q$5,MAX(0,Q$3+ROUND((Q$9*($L250-Q$5)),0)),IF($L250&gt;Q$4,Q$3,ROUND($L250*Q$7,0)))</f>
        <v/>
      </c>
      <c r="G250" s="1378">
        <f>IF($L250&gt;R$5,MAX(0,R$3+ROUND((R$9*($L250-R$5)),0)),IF($L250&gt;R$4,R$3,ROUND($L250*R$7,0)))</f>
        <v/>
      </c>
      <c r="H250" s="448">
        <f>IF($L250&gt;S$5,MAX(0,S$3+ROUND((S$9*($L250-S$5)),0)),IF($L250&gt;S$4,S$3,ROUND($L250*S$7,0)))</f>
        <v/>
      </c>
      <c r="I250" s="448">
        <f>IF($L250&gt;T$5,MAX(0,T$3+ROUND((T$9*($L250-T$5)),0)),IF($L250&gt;T$4,T$3,ROUND($L250*T$7,0)))</f>
        <v/>
      </c>
      <c r="J250" s="447">
        <f>IF($L250&gt;U$5,MAX(0,U$3+ROUND((U$9*($L250-U$5)),0)),IF($L250&gt;U$4,U$3,ROUND($L250*U$7,0)))</f>
        <v/>
      </c>
      <c r="K250" s="422" t="n"/>
      <c r="L250" s="448">
        <f>ROUND((A250+B250)/2,2)</f>
        <v/>
      </c>
    </row>
    <row r="251" ht="13.5" customHeight="1" s="7635">
      <c r="A251" s="448" t="n">
        <v>12400</v>
      </c>
      <c r="B251" s="447" t="n">
        <v>12450</v>
      </c>
      <c r="C251" s="1378">
        <f>IF($L251&gt;N$5,MAX(0,N$3+ROUND((N$9*($L251-N$5)),0)),IF($L251&gt;N$4,N$3,ROUND($L251*N$7,0)))</f>
        <v/>
      </c>
      <c r="D251" s="448">
        <f>IF($L251&gt;O$5,MAX(0,O$3+ROUND((O$9*($L251-O$5)),0)),IF($L251&gt;O$4,O$3,ROUND($L251*O$7,0)))</f>
        <v/>
      </c>
      <c r="E251" s="448">
        <f>IF($L251&gt;P$5,MAX(0,P$3+ROUND((P$9*($L251-P$5)),0)),IF($L251&gt;P$4,P$3,ROUND($L251*P$7,0)))</f>
        <v/>
      </c>
      <c r="F251" s="447">
        <f>IF($L251&gt;Q$5,MAX(0,Q$3+ROUND((Q$9*($L251-Q$5)),0)),IF($L251&gt;Q$4,Q$3,ROUND($L251*Q$7,0)))</f>
        <v/>
      </c>
      <c r="G251" s="1378">
        <f>IF($L251&gt;R$5,MAX(0,R$3+ROUND((R$9*($L251-R$5)),0)),IF($L251&gt;R$4,R$3,ROUND($L251*R$7,0)))</f>
        <v/>
      </c>
      <c r="H251" s="448">
        <f>IF($L251&gt;S$5,MAX(0,S$3+ROUND((S$9*($L251-S$5)),0)),IF($L251&gt;S$4,S$3,ROUND($L251*S$7,0)))</f>
        <v/>
      </c>
      <c r="I251" s="448">
        <f>IF($L251&gt;T$5,MAX(0,T$3+ROUND((T$9*($L251-T$5)),0)),IF($L251&gt;T$4,T$3,ROUND($L251*T$7,0)))</f>
        <v/>
      </c>
      <c r="J251" s="447">
        <f>IF($L251&gt;U$5,MAX(0,U$3+ROUND((U$9*($L251-U$5)),0)),IF($L251&gt;U$4,U$3,ROUND($L251*U$7,0)))</f>
        <v/>
      </c>
      <c r="K251" s="422" t="n"/>
      <c r="L251" s="448">
        <f>ROUND((A251+B251)/2,2)</f>
        <v/>
      </c>
    </row>
    <row r="252" ht="13.5" customHeight="1" s="7635">
      <c r="A252" s="448" t="n">
        <v>12450</v>
      </c>
      <c r="B252" s="447" t="n">
        <v>12500</v>
      </c>
      <c r="C252" s="1378">
        <f>IF($L252&gt;N$5,MAX(0,N$3+ROUND((N$9*($L252-N$5)),0)),IF($L252&gt;N$4,N$3,ROUND($L252*N$7,0)))</f>
        <v/>
      </c>
      <c r="D252" s="448">
        <f>IF($L252&gt;O$5,MAX(0,O$3+ROUND((O$9*($L252-O$5)),0)),IF($L252&gt;O$4,O$3,ROUND($L252*O$7,0)))</f>
        <v/>
      </c>
      <c r="E252" s="448">
        <f>IF($L252&gt;P$5,MAX(0,P$3+ROUND((P$9*($L252-P$5)),0)),IF($L252&gt;P$4,P$3,ROUND($L252*P$7,0)))</f>
        <v/>
      </c>
      <c r="F252" s="447">
        <f>IF($L252&gt;Q$5,MAX(0,Q$3+ROUND((Q$9*($L252-Q$5)),0)),IF($L252&gt;Q$4,Q$3,ROUND($L252*Q$7,0)))</f>
        <v/>
      </c>
      <c r="G252" s="1378">
        <f>IF($L252&gt;R$5,MAX(0,R$3+ROUND((R$9*($L252-R$5)),0)),IF($L252&gt;R$4,R$3,ROUND($L252*R$7,0)))</f>
        <v/>
      </c>
      <c r="H252" s="448">
        <f>IF($L252&gt;S$5,MAX(0,S$3+ROUND((S$9*($L252-S$5)),0)),IF($L252&gt;S$4,S$3,ROUND($L252*S$7,0)))</f>
        <v/>
      </c>
      <c r="I252" s="448">
        <f>IF($L252&gt;T$5,MAX(0,T$3+ROUND((T$9*($L252-T$5)),0)),IF($L252&gt;T$4,T$3,ROUND($L252*T$7,0)))</f>
        <v/>
      </c>
      <c r="J252" s="447">
        <f>IF($L252&gt;U$5,MAX(0,U$3+ROUND((U$9*($L252-U$5)),0)),IF($L252&gt;U$4,U$3,ROUND($L252*U$7,0)))</f>
        <v/>
      </c>
      <c r="K252" s="422" t="n"/>
      <c r="L252" s="448">
        <f>ROUND((A252+B252)/2,2)</f>
        <v/>
      </c>
    </row>
    <row r="253" ht="13.5" customHeight="1" s="7635">
      <c r="A253" s="448" t="n">
        <v>12500</v>
      </c>
      <c r="B253" s="447" t="n">
        <v>12550</v>
      </c>
      <c r="C253" s="1378">
        <f>IF($L253&gt;N$5,MAX(0,N$3+ROUND((N$9*($L253-N$5)),0)),IF($L253&gt;N$4,N$3,ROUND($L253*N$7,0)))</f>
        <v/>
      </c>
      <c r="D253" s="448">
        <f>IF($L253&gt;O$5,MAX(0,O$3+ROUND((O$9*($L253-O$5)),0)),IF($L253&gt;O$4,O$3,ROUND($L253*O$7,0)))</f>
        <v/>
      </c>
      <c r="E253" s="448">
        <f>IF($L253&gt;P$5,MAX(0,P$3+ROUND((P$9*($L253-P$5)),0)),IF($L253&gt;P$4,P$3,ROUND($L253*P$7,0)))</f>
        <v/>
      </c>
      <c r="F253" s="447">
        <f>IF($L253&gt;Q$5,MAX(0,Q$3+ROUND((Q$9*($L253-Q$5)),0)),IF($L253&gt;Q$4,Q$3,ROUND($L253*Q$7,0)))</f>
        <v/>
      </c>
      <c r="G253" s="1378">
        <f>IF($L253&gt;R$5,MAX(0,R$3+ROUND((R$9*($L253-R$5)),0)),IF($L253&gt;R$4,R$3,ROUND($L253*R$7,0)))</f>
        <v/>
      </c>
      <c r="H253" s="448">
        <f>IF($L253&gt;S$5,MAX(0,S$3+ROUND((S$9*($L253-S$5)),0)),IF($L253&gt;S$4,S$3,ROUND($L253*S$7,0)))</f>
        <v/>
      </c>
      <c r="I253" s="448">
        <f>IF($L253&gt;T$5,MAX(0,T$3+ROUND((T$9*($L253-T$5)),0)),IF($L253&gt;T$4,T$3,ROUND($L253*T$7,0)))</f>
        <v/>
      </c>
      <c r="J253" s="447">
        <f>IF($L253&gt;U$5,MAX(0,U$3+ROUND((U$9*($L253-U$5)),0)),IF($L253&gt;U$4,U$3,ROUND($L253*U$7,0)))</f>
        <v/>
      </c>
      <c r="K253" s="422" t="n"/>
      <c r="L253" s="448">
        <f>ROUND((A253+B253)/2,2)</f>
        <v/>
      </c>
    </row>
    <row r="254" ht="13.5" customHeight="1" s="7635">
      <c r="A254" s="448" t="n">
        <v>12550</v>
      </c>
      <c r="B254" s="447" t="n">
        <v>12600</v>
      </c>
      <c r="C254" s="1378">
        <f>IF($L254&gt;N$5,MAX(0,N$3+ROUND((N$9*($L254-N$5)),0)),IF($L254&gt;N$4,N$3,ROUND($L254*N$7,0)))</f>
        <v/>
      </c>
      <c r="D254" s="448">
        <f>IF($L254&gt;O$5,MAX(0,O$3+ROUND((O$9*($L254-O$5)),0)),IF($L254&gt;O$4,O$3,ROUND($L254*O$7,0)))</f>
        <v/>
      </c>
      <c r="E254" s="448">
        <f>IF($L254&gt;P$5,MAX(0,P$3+ROUND((P$9*($L254-P$5)),0)),IF($L254&gt;P$4,P$3,ROUND($L254*P$7,0)))</f>
        <v/>
      </c>
      <c r="F254" s="447">
        <f>IF($L254&gt;Q$5,MAX(0,Q$3+ROUND((Q$9*($L254-Q$5)),0)),IF($L254&gt;Q$4,Q$3,ROUND($L254*Q$7,0)))</f>
        <v/>
      </c>
      <c r="G254" s="1378">
        <f>IF($L254&gt;R$5,MAX(0,R$3+ROUND((R$9*($L254-R$5)),0)),IF($L254&gt;R$4,R$3,ROUND($L254*R$7,0)))</f>
        <v/>
      </c>
      <c r="H254" s="448">
        <f>IF($L254&gt;S$5,MAX(0,S$3+ROUND((S$9*($L254-S$5)),0)),IF($L254&gt;S$4,S$3,ROUND($L254*S$7,0)))</f>
        <v/>
      </c>
      <c r="I254" s="448">
        <f>IF($L254&gt;T$5,MAX(0,T$3+ROUND((T$9*($L254-T$5)),0)),IF($L254&gt;T$4,T$3,ROUND($L254*T$7,0)))</f>
        <v/>
      </c>
      <c r="J254" s="447">
        <f>IF($L254&gt;U$5,MAX(0,U$3+ROUND((U$9*($L254-U$5)),0)),IF($L254&gt;U$4,U$3,ROUND($L254*U$7,0)))</f>
        <v/>
      </c>
      <c r="K254" s="422" t="n"/>
      <c r="L254" s="448">
        <f>ROUND((A254+B254)/2,2)</f>
        <v/>
      </c>
    </row>
    <row r="255" ht="13.5" customHeight="1" s="7635">
      <c r="A255" s="448" t="n">
        <v>12600</v>
      </c>
      <c r="B255" s="447" t="n">
        <v>12650</v>
      </c>
      <c r="C255" s="1378">
        <f>IF($L255&gt;N$5,MAX(0,N$3+ROUND((N$9*($L255-N$5)),0)),IF($L255&gt;N$4,N$3,ROUND($L255*N$7,0)))</f>
        <v/>
      </c>
      <c r="D255" s="448">
        <f>IF($L255&gt;O$5,MAX(0,O$3+ROUND((O$9*($L255-O$5)),0)),IF($L255&gt;O$4,O$3,ROUND($L255*O$7,0)))</f>
        <v/>
      </c>
      <c r="E255" s="448">
        <f>IF($L255&gt;P$5,MAX(0,P$3+ROUND((P$9*($L255-P$5)),0)),IF($L255&gt;P$4,P$3,ROUND($L255*P$7,0)))</f>
        <v/>
      </c>
      <c r="F255" s="447">
        <f>IF($L255&gt;Q$5,MAX(0,Q$3+ROUND((Q$9*($L255-Q$5)),0)),IF($L255&gt;Q$4,Q$3,ROUND($L255*Q$7,0)))</f>
        <v/>
      </c>
      <c r="G255" s="1378">
        <f>IF($L255&gt;R$5,MAX(0,R$3+ROUND((R$9*($L255-R$5)),0)),IF($L255&gt;R$4,R$3,ROUND($L255*R$7,0)))</f>
        <v/>
      </c>
      <c r="H255" s="448">
        <f>IF($L255&gt;S$5,MAX(0,S$3+ROUND((S$9*($L255-S$5)),0)),IF($L255&gt;S$4,S$3,ROUND($L255*S$7,0)))</f>
        <v/>
      </c>
      <c r="I255" s="448">
        <f>IF($L255&gt;T$5,MAX(0,T$3+ROUND((T$9*($L255-T$5)),0)),IF($L255&gt;T$4,T$3,ROUND($L255*T$7,0)))</f>
        <v/>
      </c>
      <c r="J255" s="447">
        <f>IF($L255&gt;U$5,MAX(0,U$3+ROUND((U$9*($L255-U$5)),0)),IF($L255&gt;U$4,U$3,ROUND($L255*U$7,0)))</f>
        <v/>
      </c>
      <c r="K255" s="422" t="n"/>
      <c r="L255" s="448">
        <f>ROUND((A255+B255)/2,2)</f>
        <v/>
      </c>
    </row>
    <row r="256" ht="13.5" customHeight="1" s="7635">
      <c r="A256" s="448" t="n">
        <v>12650</v>
      </c>
      <c r="B256" s="447" t="n">
        <v>12700</v>
      </c>
      <c r="C256" s="1378">
        <f>IF($L256&gt;N$5,MAX(0,N$3+ROUND((N$9*($L256-N$5)),0)),IF($L256&gt;N$4,N$3,ROUND($L256*N$7,0)))</f>
        <v/>
      </c>
      <c r="D256" s="448">
        <f>IF($L256&gt;O$5,MAX(0,O$3+ROUND((O$9*($L256-O$5)),0)),IF($L256&gt;O$4,O$3,ROUND($L256*O$7,0)))</f>
        <v/>
      </c>
      <c r="E256" s="448">
        <f>IF($L256&gt;P$5,MAX(0,P$3+ROUND((P$9*($L256-P$5)),0)),IF($L256&gt;P$4,P$3,ROUND($L256*P$7,0)))</f>
        <v/>
      </c>
      <c r="F256" s="447">
        <f>IF($L256&gt;Q$5,MAX(0,Q$3+ROUND((Q$9*($L256-Q$5)),0)),IF($L256&gt;Q$4,Q$3,ROUND($L256*Q$7,0)))</f>
        <v/>
      </c>
      <c r="G256" s="1378">
        <f>IF($L256&gt;R$5,MAX(0,R$3+ROUND((R$9*($L256-R$5)),0)),IF($L256&gt;R$4,R$3,ROUND($L256*R$7,0)))</f>
        <v/>
      </c>
      <c r="H256" s="448">
        <f>IF($L256&gt;S$5,MAX(0,S$3+ROUND((S$9*($L256-S$5)),0)),IF($L256&gt;S$4,S$3,ROUND($L256*S$7,0)))</f>
        <v/>
      </c>
      <c r="I256" s="448">
        <f>IF($L256&gt;T$5,MAX(0,T$3+ROUND((T$9*($L256-T$5)),0)),IF($L256&gt;T$4,T$3,ROUND($L256*T$7,0)))</f>
        <v/>
      </c>
      <c r="J256" s="447">
        <f>IF($L256&gt;U$5,MAX(0,U$3+ROUND((U$9*($L256-U$5)),0)),IF($L256&gt;U$4,U$3,ROUND($L256*U$7,0)))</f>
        <v/>
      </c>
      <c r="K256" s="422" t="n"/>
      <c r="L256" s="448">
        <f>ROUND((A256+B256)/2,2)</f>
        <v/>
      </c>
    </row>
    <row r="257" ht="13.5" customHeight="1" s="7635">
      <c r="A257" s="448" t="n">
        <v>12700</v>
      </c>
      <c r="B257" s="447" t="n">
        <v>12750</v>
      </c>
      <c r="C257" s="1378">
        <f>IF($L257&gt;N$5,MAX(0,N$3+ROUND((N$9*($L257-N$5)),0)),IF($L257&gt;N$4,N$3,ROUND($L257*N$7,0)))</f>
        <v/>
      </c>
      <c r="D257" s="448">
        <f>IF($L257&gt;O$5,MAX(0,O$3+ROUND((O$9*($L257-O$5)),0)),IF($L257&gt;O$4,O$3,ROUND($L257*O$7,0)))</f>
        <v/>
      </c>
      <c r="E257" s="448">
        <f>IF($L257&gt;P$5,MAX(0,P$3+ROUND((P$9*($L257-P$5)),0)),IF($L257&gt;P$4,P$3,ROUND($L257*P$7,0)))</f>
        <v/>
      </c>
      <c r="F257" s="447">
        <f>IF($L257&gt;Q$5,MAX(0,Q$3+ROUND((Q$9*($L257-Q$5)),0)),IF($L257&gt;Q$4,Q$3,ROUND($L257*Q$7,0)))</f>
        <v/>
      </c>
      <c r="G257" s="1378">
        <f>IF($L257&gt;R$5,MAX(0,R$3+ROUND((R$9*($L257-R$5)),0)),IF($L257&gt;R$4,R$3,ROUND($L257*R$7,0)))</f>
        <v/>
      </c>
      <c r="H257" s="448">
        <f>IF($L257&gt;S$5,MAX(0,S$3+ROUND((S$9*($L257-S$5)),0)),IF($L257&gt;S$4,S$3,ROUND($L257*S$7,0)))</f>
        <v/>
      </c>
      <c r="I257" s="448">
        <f>IF($L257&gt;T$5,MAX(0,T$3+ROUND((T$9*($L257-T$5)),0)),IF($L257&gt;T$4,T$3,ROUND($L257*T$7,0)))</f>
        <v/>
      </c>
      <c r="J257" s="447">
        <f>IF($L257&gt;U$5,MAX(0,U$3+ROUND((U$9*($L257-U$5)),0)),IF($L257&gt;U$4,U$3,ROUND($L257*U$7,0)))</f>
        <v/>
      </c>
      <c r="K257" s="422" t="n"/>
      <c r="L257" s="448">
        <f>ROUND((A257+B257)/2,2)</f>
        <v/>
      </c>
    </row>
    <row r="258" ht="13.5" customHeight="1" s="7635">
      <c r="A258" s="448" t="n">
        <v>12750</v>
      </c>
      <c r="B258" s="447" t="n">
        <v>12800</v>
      </c>
      <c r="C258" s="1378">
        <f>IF($L258&gt;N$5,MAX(0,N$3+ROUND((N$9*($L258-N$5)),0)),IF($L258&gt;N$4,N$3,ROUND($L258*N$7,0)))</f>
        <v/>
      </c>
      <c r="D258" s="448">
        <f>IF($L258&gt;O$5,MAX(0,O$3+ROUND((O$9*($L258-O$5)),0)),IF($L258&gt;O$4,O$3,ROUND($L258*O$7,0)))</f>
        <v/>
      </c>
      <c r="E258" s="448">
        <f>IF($L258&gt;P$5,MAX(0,P$3+ROUND((P$9*($L258-P$5)),0)),IF($L258&gt;P$4,P$3,ROUND($L258*P$7,0)))</f>
        <v/>
      </c>
      <c r="F258" s="447">
        <f>IF($L258&gt;Q$5,MAX(0,Q$3+ROUND((Q$9*($L258-Q$5)),0)),IF($L258&gt;Q$4,Q$3,ROUND($L258*Q$7,0)))</f>
        <v/>
      </c>
      <c r="G258" s="1378">
        <f>IF($L258&gt;R$5,MAX(0,R$3+ROUND((R$9*($L258-R$5)),0)),IF($L258&gt;R$4,R$3,ROUND($L258*R$7,0)))</f>
        <v/>
      </c>
      <c r="H258" s="448">
        <f>IF($L258&gt;S$5,MAX(0,S$3+ROUND((S$9*($L258-S$5)),0)),IF($L258&gt;S$4,S$3,ROUND($L258*S$7,0)))</f>
        <v/>
      </c>
      <c r="I258" s="448">
        <f>IF($L258&gt;T$5,MAX(0,T$3+ROUND((T$9*($L258-T$5)),0)),IF($L258&gt;T$4,T$3,ROUND($L258*T$7,0)))</f>
        <v/>
      </c>
      <c r="J258" s="447">
        <f>IF($L258&gt;U$5,MAX(0,U$3+ROUND((U$9*($L258-U$5)),0)),IF($L258&gt;U$4,U$3,ROUND($L258*U$7,0)))</f>
        <v/>
      </c>
      <c r="K258" s="422" t="n"/>
      <c r="L258" s="448">
        <f>ROUND((A258+B258)/2,2)</f>
        <v/>
      </c>
    </row>
    <row r="259" ht="13.5" customHeight="1" s="7635">
      <c r="A259" s="448" t="n">
        <v>12800</v>
      </c>
      <c r="B259" s="447" t="n">
        <v>12850</v>
      </c>
      <c r="C259" s="1378">
        <f>IF($L259&gt;N$5,MAX(0,N$3+ROUND((N$9*($L259-N$5)),0)),IF($L259&gt;N$4,N$3,ROUND($L259*N$7,0)))</f>
        <v/>
      </c>
      <c r="D259" s="448">
        <f>IF($L259&gt;O$5,MAX(0,O$3+ROUND((O$9*($L259-O$5)),0)),IF($L259&gt;O$4,O$3,ROUND($L259*O$7,0)))</f>
        <v/>
      </c>
      <c r="E259" s="448">
        <f>IF($L259&gt;P$5,MAX(0,P$3+ROUND((P$9*($L259-P$5)),0)),IF($L259&gt;P$4,P$3,ROUND($L259*P$7,0)))</f>
        <v/>
      </c>
      <c r="F259" s="447">
        <f>IF($L259&gt;Q$5,MAX(0,Q$3+ROUND((Q$9*($L259-Q$5)),0)),IF($L259&gt;Q$4,Q$3,ROUND($L259*Q$7,0)))</f>
        <v/>
      </c>
      <c r="G259" s="1378">
        <f>IF($L259&gt;R$5,MAX(0,R$3+ROUND((R$9*($L259-R$5)),0)),IF($L259&gt;R$4,R$3,ROUND($L259*R$7,0)))</f>
        <v/>
      </c>
      <c r="H259" s="448">
        <f>IF($L259&gt;S$5,MAX(0,S$3+ROUND((S$9*($L259-S$5)),0)),IF($L259&gt;S$4,S$3,ROUND($L259*S$7,0)))</f>
        <v/>
      </c>
      <c r="I259" s="448">
        <f>IF($L259&gt;T$5,MAX(0,T$3+ROUND((T$9*($L259-T$5)),0)),IF($L259&gt;T$4,T$3,ROUND($L259*T$7,0)))</f>
        <v/>
      </c>
      <c r="J259" s="447">
        <f>IF($L259&gt;U$5,MAX(0,U$3+ROUND((U$9*($L259-U$5)),0)),IF($L259&gt;U$4,U$3,ROUND($L259*U$7,0)))</f>
        <v/>
      </c>
      <c r="K259" s="422" t="n"/>
      <c r="L259" s="448">
        <f>ROUND((A259+B259)/2,2)</f>
        <v/>
      </c>
    </row>
    <row r="260" ht="13.5" customHeight="1" s="7635">
      <c r="A260" s="448" t="n">
        <v>12850</v>
      </c>
      <c r="B260" s="447" t="n">
        <v>12900</v>
      </c>
      <c r="C260" s="1378">
        <f>IF($L260&gt;N$5,MAX(0,N$3+ROUND((N$9*($L260-N$5)),0)),IF($L260&gt;N$4,N$3,ROUND($L260*N$7,0)))</f>
        <v/>
      </c>
      <c r="D260" s="448">
        <f>IF($L260&gt;O$5,MAX(0,O$3+ROUND((O$9*($L260-O$5)),0)),IF($L260&gt;O$4,O$3,ROUND($L260*O$7,0)))</f>
        <v/>
      </c>
      <c r="E260" s="448">
        <f>IF($L260&gt;P$5,MAX(0,P$3+ROUND((P$9*($L260-P$5)),0)),IF($L260&gt;P$4,P$3,ROUND($L260*P$7,0)))</f>
        <v/>
      </c>
      <c r="F260" s="447">
        <f>IF($L260&gt;Q$5,MAX(0,Q$3+ROUND((Q$9*($L260-Q$5)),0)),IF($L260&gt;Q$4,Q$3,ROUND($L260*Q$7,0)))</f>
        <v/>
      </c>
      <c r="G260" s="1378">
        <f>IF($L260&gt;R$5,MAX(0,R$3+ROUND((R$9*($L260-R$5)),0)),IF($L260&gt;R$4,R$3,ROUND($L260*R$7,0)))</f>
        <v/>
      </c>
      <c r="H260" s="448">
        <f>IF($L260&gt;S$5,MAX(0,S$3+ROUND((S$9*($L260-S$5)),0)),IF($L260&gt;S$4,S$3,ROUND($L260*S$7,0)))</f>
        <v/>
      </c>
      <c r="I260" s="448">
        <f>IF($L260&gt;T$5,MAX(0,T$3+ROUND((T$9*($L260-T$5)),0)),IF($L260&gt;T$4,T$3,ROUND($L260*T$7,0)))</f>
        <v/>
      </c>
      <c r="J260" s="447">
        <f>IF($L260&gt;U$5,MAX(0,U$3+ROUND((U$9*($L260-U$5)),0)),IF($L260&gt;U$4,U$3,ROUND($L260*U$7,0)))</f>
        <v/>
      </c>
      <c r="K260" s="422" t="n"/>
      <c r="L260" s="448">
        <f>ROUND((A260+B260)/2,2)</f>
        <v/>
      </c>
    </row>
    <row r="261" ht="13.5" customHeight="1" s="7635">
      <c r="A261" s="448" t="n">
        <v>12900</v>
      </c>
      <c r="B261" s="447" t="n">
        <v>12950</v>
      </c>
      <c r="C261" s="1378">
        <f>IF($L261&gt;N$5,MAX(0,N$3+ROUND((N$9*($L261-N$5)),0)),IF($L261&gt;N$4,N$3,ROUND($L261*N$7,0)))</f>
        <v/>
      </c>
      <c r="D261" s="448">
        <f>IF($L261&gt;O$5,MAX(0,O$3+ROUND((O$9*($L261-O$5)),0)),IF($L261&gt;O$4,O$3,ROUND($L261*O$7,0)))</f>
        <v/>
      </c>
      <c r="E261" s="448">
        <f>IF($L261&gt;P$5,MAX(0,P$3+ROUND((P$9*($L261-P$5)),0)),IF($L261&gt;P$4,P$3,ROUND($L261*P$7,0)))</f>
        <v/>
      </c>
      <c r="F261" s="447">
        <f>IF($L261&gt;Q$5,MAX(0,Q$3+ROUND((Q$9*($L261-Q$5)),0)),IF($L261&gt;Q$4,Q$3,ROUND($L261*Q$7,0)))</f>
        <v/>
      </c>
      <c r="G261" s="1378">
        <f>IF($L261&gt;R$5,MAX(0,R$3+ROUND((R$9*($L261-R$5)),0)),IF($L261&gt;R$4,R$3,ROUND($L261*R$7,0)))</f>
        <v/>
      </c>
      <c r="H261" s="448">
        <f>IF($L261&gt;S$5,MAX(0,S$3+ROUND((S$9*($L261-S$5)),0)),IF($L261&gt;S$4,S$3,ROUND($L261*S$7,0)))</f>
        <v/>
      </c>
      <c r="I261" s="448">
        <f>IF($L261&gt;T$5,MAX(0,T$3+ROUND((T$9*($L261-T$5)),0)),IF($L261&gt;T$4,T$3,ROUND($L261*T$7,0)))</f>
        <v/>
      </c>
      <c r="J261" s="447">
        <f>IF($L261&gt;U$5,MAX(0,U$3+ROUND((U$9*($L261-U$5)),0)),IF($L261&gt;U$4,U$3,ROUND($L261*U$7,0)))</f>
        <v/>
      </c>
      <c r="K261" s="422" t="n"/>
      <c r="L261" s="448">
        <f>ROUND((A261+B261)/2,2)</f>
        <v/>
      </c>
    </row>
    <row r="262" ht="13.5" customHeight="1" s="7635">
      <c r="A262" s="448" t="n">
        <v>12950</v>
      </c>
      <c r="B262" s="447" t="n">
        <v>13000</v>
      </c>
      <c r="C262" s="1378">
        <f>IF($L262&gt;N$5,MAX(0,N$3+ROUND((N$9*($L262-N$5)),0)),IF($L262&gt;N$4,N$3,ROUND($L262*N$7,0)))</f>
        <v/>
      </c>
      <c r="D262" s="448">
        <f>IF($L262&gt;O$5,MAX(0,O$3+ROUND((O$9*($L262-O$5)),0)),IF($L262&gt;O$4,O$3,ROUND($L262*O$7,0)))</f>
        <v/>
      </c>
      <c r="E262" s="448">
        <f>IF($L262&gt;P$5,MAX(0,P$3+ROUND((P$9*($L262-P$5)),0)),IF($L262&gt;P$4,P$3,ROUND($L262*P$7,0)))</f>
        <v/>
      </c>
      <c r="F262" s="447">
        <f>IF($L262&gt;Q$5,MAX(0,Q$3+ROUND((Q$9*($L262-Q$5)),0)),IF($L262&gt;Q$4,Q$3,ROUND($L262*Q$7,0)))</f>
        <v/>
      </c>
      <c r="G262" s="1378">
        <f>IF($L262&gt;R$5,MAX(0,R$3+ROUND((R$9*($L262-R$5)),0)),IF($L262&gt;R$4,R$3,ROUND($L262*R$7,0)))</f>
        <v/>
      </c>
      <c r="H262" s="448">
        <f>IF($L262&gt;S$5,MAX(0,S$3+ROUND((S$9*($L262-S$5)),0)),IF($L262&gt;S$4,S$3,ROUND($L262*S$7,0)))</f>
        <v/>
      </c>
      <c r="I262" s="448">
        <f>IF($L262&gt;T$5,MAX(0,T$3+ROUND((T$9*($L262-T$5)),0)),IF($L262&gt;T$4,T$3,ROUND($L262*T$7,0)))</f>
        <v/>
      </c>
      <c r="J262" s="447">
        <f>IF($L262&gt;U$5,MAX(0,U$3+ROUND((U$9*($L262-U$5)),0)),IF($L262&gt;U$4,U$3,ROUND($L262*U$7,0)))</f>
        <v/>
      </c>
      <c r="K262" s="422" t="n"/>
      <c r="L262" s="448">
        <f>ROUND((A262+B262)/2,2)</f>
        <v/>
      </c>
    </row>
    <row r="263" ht="13.5" customHeight="1" s="7635">
      <c r="A263" s="448" t="n">
        <v>13000</v>
      </c>
      <c r="B263" s="447" t="n">
        <v>13050</v>
      </c>
      <c r="C263" s="1378">
        <f>IF($L263&gt;N$5,MAX(0,N$3+ROUND((N$9*($L263-N$5)),0)),IF($L263&gt;N$4,N$3,ROUND($L263*N$7,0)))</f>
        <v/>
      </c>
      <c r="D263" s="448">
        <f>IF($L263&gt;O$5,MAX(0,O$3+ROUND((O$9*($L263-O$5)),0)),IF($L263&gt;O$4,O$3,ROUND($L263*O$7,0)))</f>
        <v/>
      </c>
      <c r="E263" s="448">
        <f>IF($L263&gt;P$5,MAX(0,P$3+ROUND((P$9*($L263-P$5)),0)),IF($L263&gt;P$4,P$3,ROUND($L263*P$7,0)))</f>
        <v/>
      </c>
      <c r="F263" s="447">
        <f>IF($L263&gt;Q$5,MAX(0,Q$3+ROUND((Q$9*($L263-Q$5)),0)),IF($L263&gt;Q$4,Q$3,ROUND($L263*Q$7,0)))</f>
        <v/>
      </c>
      <c r="G263" s="1378">
        <f>IF($L263&gt;R$5,MAX(0,R$3+ROUND((R$9*($L263-R$5)),0)),IF($L263&gt;R$4,R$3,ROUND($L263*R$7,0)))</f>
        <v/>
      </c>
      <c r="H263" s="448">
        <f>IF($L263&gt;S$5,MAX(0,S$3+ROUND((S$9*($L263-S$5)),0)),IF($L263&gt;S$4,S$3,ROUND($L263*S$7,0)))</f>
        <v/>
      </c>
      <c r="I263" s="448">
        <f>IF($L263&gt;T$5,MAX(0,T$3+ROUND((T$9*($L263-T$5)),0)),IF($L263&gt;T$4,T$3,ROUND($L263*T$7,0)))</f>
        <v/>
      </c>
      <c r="J263" s="447">
        <f>IF($L263&gt;U$5,MAX(0,U$3+ROUND((U$9*($L263-U$5)),0)),IF($L263&gt;U$4,U$3,ROUND($L263*U$7,0)))</f>
        <v/>
      </c>
      <c r="K263" s="422" t="n"/>
      <c r="L263" s="448">
        <f>ROUND((A263+B263)/2,2)</f>
        <v/>
      </c>
    </row>
    <row r="264" ht="13.5" customHeight="1" s="7635">
      <c r="A264" s="448" t="n">
        <v>13050</v>
      </c>
      <c r="B264" s="447" t="n">
        <v>13100</v>
      </c>
      <c r="C264" s="1378">
        <f>IF($L264&gt;N$5,MAX(0,N$3+ROUND((N$9*($L264-N$5)),0)),IF($L264&gt;N$4,N$3,ROUND($L264*N$7,0)))</f>
        <v/>
      </c>
      <c r="D264" s="448">
        <f>IF($L264&gt;O$5,MAX(0,O$3+ROUND((O$9*($L264-O$5)),0)),IF($L264&gt;O$4,O$3,ROUND($L264*O$7,0)))</f>
        <v/>
      </c>
      <c r="E264" s="448">
        <f>IF($L264&gt;P$5,MAX(0,P$3+ROUND((P$9*($L264-P$5)),0)),IF($L264&gt;P$4,P$3,ROUND($L264*P$7,0)))</f>
        <v/>
      </c>
      <c r="F264" s="447">
        <f>IF($L264&gt;Q$5,MAX(0,Q$3+ROUND((Q$9*($L264-Q$5)),0)),IF($L264&gt;Q$4,Q$3,ROUND($L264*Q$7,0)))</f>
        <v/>
      </c>
      <c r="G264" s="1378">
        <f>IF($L264&gt;R$5,MAX(0,R$3+ROUND((R$9*($L264-R$5)),0)),IF($L264&gt;R$4,R$3,ROUND($L264*R$7,0)))</f>
        <v/>
      </c>
      <c r="H264" s="448">
        <f>IF($L264&gt;S$5,MAX(0,S$3+ROUND((S$9*($L264-S$5)),0)),IF($L264&gt;S$4,S$3,ROUND($L264*S$7,0)))</f>
        <v/>
      </c>
      <c r="I264" s="448">
        <f>IF($L264&gt;T$5,MAX(0,T$3+ROUND((T$9*($L264-T$5)),0)),IF($L264&gt;T$4,T$3,ROUND($L264*T$7,0)))</f>
        <v/>
      </c>
      <c r="J264" s="447">
        <f>IF($L264&gt;U$5,MAX(0,U$3+ROUND((U$9*($L264-U$5)),0)),IF($L264&gt;U$4,U$3,ROUND($L264*U$7,0)))</f>
        <v/>
      </c>
      <c r="K264" s="422" t="n"/>
      <c r="L264" s="448">
        <f>ROUND((A264+B264)/2,2)</f>
        <v/>
      </c>
    </row>
    <row r="265" ht="13.5" customHeight="1" s="7635">
      <c r="A265" s="448" t="n">
        <v>13100</v>
      </c>
      <c r="B265" s="447" t="n">
        <v>13150</v>
      </c>
      <c r="C265" s="1378">
        <f>IF($L265&gt;N$5,MAX(0,N$3+ROUND((N$9*($L265-N$5)),0)),IF($L265&gt;N$4,N$3,ROUND($L265*N$7,0)))</f>
        <v/>
      </c>
      <c r="D265" s="448">
        <f>IF($L265&gt;O$5,MAX(0,O$3+ROUND((O$9*($L265-O$5)),0)),IF($L265&gt;O$4,O$3,ROUND($L265*O$7,0)))</f>
        <v/>
      </c>
      <c r="E265" s="448">
        <f>IF($L265&gt;P$5,MAX(0,P$3+ROUND((P$9*($L265-P$5)),0)),IF($L265&gt;P$4,P$3,ROUND($L265*P$7,0)))</f>
        <v/>
      </c>
      <c r="F265" s="447">
        <f>IF($L265&gt;Q$5,MAX(0,Q$3+ROUND((Q$9*($L265-Q$5)),0)),IF($L265&gt;Q$4,Q$3,ROUND($L265*Q$7,0)))</f>
        <v/>
      </c>
      <c r="G265" s="1378">
        <f>IF($L265&gt;R$5,MAX(0,R$3+ROUND((R$9*($L265-R$5)),0)),IF($L265&gt;R$4,R$3,ROUND($L265*R$7,0)))</f>
        <v/>
      </c>
      <c r="H265" s="448">
        <f>IF($L265&gt;S$5,MAX(0,S$3+ROUND((S$9*($L265-S$5)),0)),IF($L265&gt;S$4,S$3,ROUND($L265*S$7,0)))</f>
        <v/>
      </c>
      <c r="I265" s="448">
        <f>IF($L265&gt;T$5,MAX(0,T$3+ROUND((T$9*($L265-T$5)),0)),IF($L265&gt;T$4,T$3,ROUND($L265*T$7,0)))</f>
        <v/>
      </c>
      <c r="J265" s="447">
        <f>IF($L265&gt;U$5,MAX(0,U$3+ROUND((U$9*($L265-U$5)),0)),IF($L265&gt;U$4,U$3,ROUND($L265*U$7,0)))</f>
        <v/>
      </c>
      <c r="K265" s="422" t="n"/>
      <c r="L265" s="448">
        <f>ROUND((A265+B265)/2,2)</f>
        <v/>
      </c>
    </row>
    <row r="266" ht="13.5" customHeight="1" s="7635">
      <c r="A266" s="448" t="n">
        <v>13150</v>
      </c>
      <c r="B266" s="447" t="n">
        <v>13200</v>
      </c>
      <c r="C266" s="1378">
        <f>IF($L266&gt;N$5,MAX(0,N$3+ROUND((N$9*($L266-N$5)),0)),IF($L266&gt;N$4,N$3,ROUND($L266*N$7,0)))</f>
        <v/>
      </c>
      <c r="D266" s="448">
        <f>IF($L266&gt;O$5,MAX(0,O$3+ROUND((O$9*($L266-O$5)),0)),IF($L266&gt;O$4,O$3,ROUND($L266*O$7,0)))</f>
        <v/>
      </c>
      <c r="E266" s="448">
        <f>IF($L266&gt;P$5,MAX(0,P$3+ROUND((P$9*($L266-P$5)),0)),IF($L266&gt;P$4,P$3,ROUND($L266*P$7,0)))</f>
        <v/>
      </c>
      <c r="F266" s="447">
        <f>IF($L266&gt;Q$5,MAX(0,Q$3+ROUND((Q$9*($L266-Q$5)),0)),IF($L266&gt;Q$4,Q$3,ROUND($L266*Q$7,0)))</f>
        <v/>
      </c>
      <c r="G266" s="1378">
        <f>IF($L266&gt;R$5,MAX(0,R$3+ROUND((R$9*($L266-R$5)),0)),IF($L266&gt;R$4,R$3,ROUND($L266*R$7,0)))</f>
        <v/>
      </c>
      <c r="H266" s="448">
        <f>IF($L266&gt;S$5,MAX(0,S$3+ROUND((S$9*($L266-S$5)),0)),IF($L266&gt;S$4,S$3,ROUND($L266*S$7,0)))</f>
        <v/>
      </c>
      <c r="I266" s="448">
        <f>IF($L266&gt;T$5,MAX(0,T$3+ROUND((T$9*($L266-T$5)),0)),IF($L266&gt;T$4,T$3,ROUND($L266*T$7,0)))</f>
        <v/>
      </c>
      <c r="J266" s="447">
        <f>IF($L266&gt;U$5,MAX(0,U$3+ROUND((U$9*($L266-U$5)),0)),IF($L266&gt;U$4,U$3,ROUND($L266*U$7,0)))</f>
        <v/>
      </c>
      <c r="K266" s="422" t="n"/>
      <c r="L266" s="448">
        <f>ROUND((A266+B266)/2,2)</f>
        <v/>
      </c>
    </row>
    <row r="267" ht="13.5" customHeight="1" s="7635">
      <c r="A267" s="448" t="n">
        <v>13200</v>
      </c>
      <c r="B267" s="447" t="n">
        <v>13250</v>
      </c>
      <c r="C267" s="1378">
        <f>IF($L267&gt;N$5,MAX(0,N$3+ROUND((N$9*($L267-N$5)),0)),IF($L267&gt;N$4,N$3,ROUND($L267*N$7,0)))</f>
        <v/>
      </c>
      <c r="D267" s="448">
        <f>IF($L267&gt;O$5,MAX(0,O$3+ROUND((O$9*($L267-O$5)),0)),IF($L267&gt;O$4,O$3,ROUND($L267*O$7,0)))</f>
        <v/>
      </c>
      <c r="E267" s="448">
        <f>IF($L267&gt;P$5,MAX(0,P$3+ROUND((P$9*($L267-P$5)),0)),IF($L267&gt;P$4,P$3,ROUND($L267*P$7,0)))</f>
        <v/>
      </c>
      <c r="F267" s="447">
        <f>IF($L267&gt;Q$5,MAX(0,Q$3+ROUND((Q$9*($L267-Q$5)),0)),IF($L267&gt;Q$4,Q$3,ROUND($L267*Q$7,0)))</f>
        <v/>
      </c>
      <c r="G267" s="1378">
        <f>IF($L267&gt;R$5,MAX(0,R$3+ROUND((R$9*($L267-R$5)),0)),IF($L267&gt;R$4,R$3,ROUND($L267*R$7,0)))</f>
        <v/>
      </c>
      <c r="H267" s="448">
        <f>IF($L267&gt;S$5,MAX(0,S$3+ROUND((S$9*($L267-S$5)),0)),IF($L267&gt;S$4,S$3,ROUND($L267*S$7,0)))</f>
        <v/>
      </c>
      <c r="I267" s="448">
        <f>IF($L267&gt;T$5,MAX(0,T$3+ROUND((T$9*($L267-T$5)),0)),IF($L267&gt;T$4,T$3,ROUND($L267*T$7,0)))</f>
        <v/>
      </c>
      <c r="J267" s="447">
        <f>IF($L267&gt;U$5,MAX(0,U$3+ROUND((U$9*($L267-U$5)),0)),IF($L267&gt;U$4,U$3,ROUND($L267*U$7,0)))</f>
        <v/>
      </c>
      <c r="K267" s="422" t="n"/>
      <c r="L267" s="448">
        <f>ROUND((A267+B267)/2,2)</f>
        <v/>
      </c>
    </row>
    <row r="268" ht="13.5" customHeight="1" s="7635">
      <c r="A268" s="448" t="n">
        <v>13250</v>
      </c>
      <c r="B268" s="447" t="n">
        <v>13300</v>
      </c>
      <c r="C268" s="1378">
        <f>IF($L268&gt;N$5,MAX(0,N$3+ROUND((N$9*($L268-N$5)),0)),IF($L268&gt;N$4,N$3,ROUND($L268*N$7,0)))</f>
        <v/>
      </c>
      <c r="D268" s="448">
        <f>IF($L268&gt;O$5,MAX(0,O$3+ROUND((O$9*($L268-O$5)),0)),IF($L268&gt;O$4,O$3,ROUND($L268*O$7,0)))</f>
        <v/>
      </c>
      <c r="E268" s="448">
        <f>IF($L268&gt;P$5,MAX(0,P$3+ROUND((P$9*($L268-P$5)),0)),IF($L268&gt;P$4,P$3,ROUND($L268*P$7,0)))</f>
        <v/>
      </c>
      <c r="F268" s="447">
        <f>IF($L268&gt;Q$5,MAX(0,Q$3+ROUND((Q$9*($L268-Q$5)),0)),IF($L268&gt;Q$4,Q$3,ROUND($L268*Q$7,0)))</f>
        <v/>
      </c>
      <c r="G268" s="1378">
        <f>IF($L268&gt;R$5,MAX(0,R$3+ROUND((R$9*($L268-R$5)),0)),IF($L268&gt;R$4,R$3,ROUND($L268*R$7,0)))</f>
        <v/>
      </c>
      <c r="H268" s="448">
        <f>IF($L268&gt;S$5,MAX(0,S$3+ROUND((S$9*($L268-S$5)),0)),IF($L268&gt;S$4,S$3,ROUND($L268*S$7,0)))</f>
        <v/>
      </c>
      <c r="I268" s="448">
        <f>IF($L268&gt;T$5,MAX(0,T$3+ROUND((T$9*($L268-T$5)),0)),IF($L268&gt;T$4,T$3,ROUND($L268*T$7,0)))</f>
        <v/>
      </c>
      <c r="J268" s="447">
        <f>IF($L268&gt;U$5,MAX(0,U$3+ROUND((U$9*($L268-U$5)),0)),IF($L268&gt;U$4,U$3,ROUND($L268*U$7,0)))</f>
        <v/>
      </c>
      <c r="K268" s="422" t="n"/>
      <c r="L268" s="448">
        <f>ROUND((A268+B268)/2,2)</f>
        <v/>
      </c>
    </row>
    <row r="269" ht="13.5" customHeight="1" s="7635">
      <c r="A269" s="448" t="n">
        <v>13300</v>
      </c>
      <c r="B269" s="447" t="n">
        <v>13350</v>
      </c>
      <c r="C269" s="1378">
        <f>IF($L269&gt;N$5,MAX(0,N$3+ROUND((N$9*($L269-N$5)),0)),IF($L269&gt;N$4,N$3,ROUND($L269*N$7,0)))</f>
        <v/>
      </c>
      <c r="D269" s="448">
        <f>IF($L269&gt;O$5,MAX(0,O$3+ROUND((O$9*($L269-O$5)),0)),IF($L269&gt;O$4,O$3,ROUND($L269*O$7,0)))</f>
        <v/>
      </c>
      <c r="E269" s="448">
        <f>IF($L269&gt;P$5,MAX(0,P$3+ROUND((P$9*($L269-P$5)),0)),IF($L269&gt;P$4,P$3,ROUND($L269*P$7,0)))</f>
        <v/>
      </c>
      <c r="F269" s="447">
        <f>IF($L269&gt;Q$5,MAX(0,Q$3+ROUND((Q$9*($L269-Q$5)),0)),IF($L269&gt;Q$4,Q$3,ROUND($L269*Q$7,0)))</f>
        <v/>
      </c>
      <c r="G269" s="1378">
        <f>IF($L269&gt;R$5,MAX(0,R$3+ROUND((R$9*($L269-R$5)),0)),IF($L269&gt;R$4,R$3,ROUND($L269*R$7,0)))</f>
        <v/>
      </c>
      <c r="H269" s="448">
        <f>IF($L269&gt;S$5,MAX(0,S$3+ROUND((S$9*($L269-S$5)),0)),IF($L269&gt;S$4,S$3,ROUND($L269*S$7,0)))</f>
        <v/>
      </c>
      <c r="I269" s="448">
        <f>IF($L269&gt;T$5,MAX(0,T$3+ROUND((T$9*($L269-T$5)),0)),IF($L269&gt;T$4,T$3,ROUND($L269*T$7,0)))</f>
        <v/>
      </c>
      <c r="J269" s="447">
        <f>IF($L269&gt;U$5,MAX(0,U$3+ROUND((U$9*($L269-U$5)),0)),IF($L269&gt;U$4,U$3,ROUND($L269*U$7,0)))</f>
        <v/>
      </c>
      <c r="K269" s="422" t="n"/>
      <c r="L269" s="448">
        <f>ROUND((A269+B269)/2,2)</f>
        <v/>
      </c>
    </row>
    <row r="270" ht="13.5" customHeight="1" s="7635">
      <c r="A270" s="448" t="n">
        <v>13350</v>
      </c>
      <c r="B270" s="447" t="n">
        <v>13400</v>
      </c>
      <c r="C270" s="1378">
        <f>IF($L270&gt;N$5,MAX(0,N$3+ROUND((N$9*($L270-N$5)),0)),IF($L270&gt;N$4,N$3,ROUND($L270*N$7,0)))</f>
        <v/>
      </c>
      <c r="D270" s="448">
        <f>IF($L270&gt;O$5,MAX(0,O$3+ROUND((O$9*($L270-O$5)),0)),IF($L270&gt;O$4,O$3,ROUND($L270*O$7,0)))</f>
        <v/>
      </c>
      <c r="E270" s="448">
        <f>IF($L270&gt;P$5,MAX(0,P$3+ROUND((P$9*($L270-P$5)),0)),IF($L270&gt;P$4,P$3,ROUND($L270*P$7,0)))</f>
        <v/>
      </c>
      <c r="F270" s="447">
        <f>IF($L270&gt;Q$5,MAX(0,Q$3+ROUND((Q$9*($L270-Q$5)),0)),IF($L270&gt;Q$4,Q$3,ROUND($L270*Q$7,0)))</f>
        <v/>
      </c>
      <c r="G270" s="1378">
        <f>IF($L270&gt;R$5,MAX(0,R$3+ROUND((R$9*($L270-R$5)),0)),IF($L270&gt;R$4,R$3,ROUND($L270*R$7,0)))</f>
        <v/>
      </c>
      <c r="H270" s="448">
        <f>IF($L270&gt;S$5,MAX(0,S$3+ROUND((S$9*($L270-S$5)),0)),IF($L270&gt;S$4,S$3,ROUND($L270*S$7,0)))</f>
        <v/>
      </c>
      <c r="I270" s="448">
        <f>IF($L270&gt;T$5,MAX(0,T$3+ROUND((T$9*($L270-T$5)),0)),IF($L270&gt;T$4,T$3,ROUND($L270*T$7,0)))</f>
        <v/>
      </c>
      <c r="J270" s="447">
        <f>IF($L270&gt;U$5,MAX(0,U$3+ROUND((U$9*($L270-U$5)),0)),IF($L270&gt;U$4,U$3,ROUND($L270*U$7,0)))</f>
        <v/>
      </c>
      <c r="K270" s="422" t="n"/>
      <c r="L270" s="448">
        <f>ROUND((A270+B270)/2,2)</f>
        <v/>
      </c>
    </row>
    <row r="271" ht="13.5" customHeight="1" s="7635">
      <c r="A271" s="448" t="n">
        <v>13400</v>
      </c>
      <c r="B271" s="447" t="n">
        <v>13450</v>
      </c>
      <c r="C271" s="1378">
        <f>IF($L271&gt;N$5,MAX(0,N$3+ROUND((N$9*($L271-N$5)),0)),IF($L271&gt;N$4,N$3,ROUND($L271*N$7,0)))</f>
        <v/>
      </c>
      <c r="D271" s="448">
        <f>IF($L271&gt;O$5,MAX(0,O$3+ROUND((O$9*($L271-O$5)),0)),IF($L271&gt;O$4,O$3,ROUND($L271*O$7,0)))</f>
        <v/>
      </c>
      <c r="E271" s="448">
        <f>IF($L271&gt;P$5,MAX(0,P$3+ROUND((P$9*($L271-P$5)),0)),IF($L271&gt;P$4,P$3,ROUND($L271*P$7,0)))</f>
        <v/>
      </c>
      <c r="F271" s="447">
        <f>IF($L271&gt;Q$5,MAX(0,Q$3+ROUND((Q$9*($L271-Q$5)),0)),IF($L271&gt;Q$4,Q$3,ROUND($L271*Q$7,0)))</f>
        <v/>
      </c>
      <c r="G271" s="1378">
        <f>IF($L271&gt;R$5,MAX(0,R$3+ROUND((R$9*($L271-R$5)),0)),IF($L271&gt;R$4,R$3,ROUND($L271*R$7,0)))</f>
        <v/>
      </c>
      <c r="H271" s="448">
        <f>IF($L271&gt;S$5,MAX(0,S$3+ROUND((S$9*($L271-S$5)),0)),IF($L271&gt;S$4,S$3,ROUND($L271*S$7,0)))</f>
        <v/>
      </c>
      <c r="I271" s="448">
        <f>IF($L271&gt;T$5,MAX(0,T$3+ROUND((T$9*($L271-T$5)),0)),IF($L271&gt;T$4,T$3,ROUND($L271*T$7,0)))</f>
        <v/>
      </c>
      <c r="J271" s="447">
        <f>IF($L271&gt;U$5,MAX(0,U$3+ROUND((U$9*($L271-U$5)),0)),IF($L271&gt;U$4,U$3,ROUND($L271*U$7,0)))</f>
        <v/>
      </c>
      <c r="K271" s="422" t="n"/>
      <c r="L271" s="448">
        <f>ROUND((A271+B271)/2,2)</f>
        <v/>
      </c>
    </row>
    <row r="272" ht="13.5" customHeight="1" s="7635">
      <c r="A272" s="448" t="n">
        <v>13450</v>
      </c>
      <c r="B272" s="447" t="n">
        <v>13500</v>
      </c>
      <c r="C272" s="1378">
        <f>IF($L272&gt;N$5,MAX(0,N$3+ROUND((N$9*($L272-N$5)),0)),IF($L272&gt;N$4,N$3,ROUND($L272*N$7,0)))</f>
        <v/>
      </c>
      <c r="D272" s="448">
        <f>IF($L272&gt;O$5,MAX(0,O$3+ROUND((O$9*($L272-O$5)),0)),IF($L272&gt;O$4,O$3,ROUND($L272*O$7,0)))</f>
        <v/>
      </c>
      <c r="E272" s="448">
        <f>IF($L272&gt;P$5,MAX(0,P$3+ROUND((P$9*($L272-P$5)),0)),IF($L272&gt;P$4,P$3,ROUND($L272*P$7,0)))</f>
        <v/>
      </c>
      <c r="F272" s="447">
        <f>IF($L272&gt;Q$5,MAX(0,Q$3+ROUND((Q$9*($L272-Q$5)),0)),IF($L272&gt;Q$4,Q$3,ROUND($L272*Q$7,0)))</f>
        <v/>
      </c>
      <c r="G272" s="1378">
        <f>IF($L272&gt;R$5,MAX(0,R$3+ROUND((R$9*($L272-R$5)),0)),IF($L272&gt;R$4,R$3,ROUND($L272*R$7,0)))</f>
        <v/>
      </c>
      <c r="H272" s="448">
        <f>IF($L272&gt;S$5,MAX(0,S$3+ROUND((S$9*($L272-S$5)),0)),IF($L272&gt;S$4,S$3,ROUND($L272*S$7,0)))</f>
        <v/>
      </c>
      <c r="I272" s="448">
        <f>IF($L272&gt;T$5,MAX(0,T$3+ROUND((T$9*($L272-T$5)),0)),IF($L272&gt;T$4,T$3,ROUND($L272*T$7,0)))</f>
        <v/>
      </c>
      <c r="J272" s="447">
        <f>IF($L272&gt;U$5,MAX(0,U$3+ROUND((U$9*($L272-U$5)),0)),IF($L272&gt;U$4,U$3,ROUND($L272*U$7,0)))</f>
        <v/>
      </c>
      <c r="K272" s="422" t="n"/>
      <c r="L272" s="448">
        <f>ROUND((A272+B272)/2,2)</f>
        <v/>
      </c>
    </row>
    <row r="273" ht="13.5" customHeight="1" s="7635">
      <c r="A273" s="448" t="n">
        <v>13500</v>
      </c>
      <c r="B273" s="447" t="n">
        <v>13550</v>
      </c>
      <c r="C273" s="1378">
        <f>IF($L273&gt;N$5,MAX(0,N$3+ROUND((N$9*($L273-N$5)),0)),IF($L273&gt;N$4,N$3,ROUND($L273*N$7,0)))</f>
        <v/>
      </c>
      <c r="D273" s="448">
        <f>IF($L273&gt;O$5,MAX(0,O$3+ROUND((O$9*($L273-O$5)),0)),IF($L273&gt;O$4,O$3,ROUND($L273*O$7,0)))</f>
        <v/>
      </c>
      <c r="E273" s="448">
        <f>IF($L273&gt;P$5,MAX(0,P$3+ROUND((P$9*($L273-P$5)),0)),IF($L273&gt;P$4,P$3,ROUND($L273*P$7,0)))</f>
        <v/>
      </c>
      <c r="F273" s="447">
        <f>IF($L273&gt;Q$5,MAX(0,Q$3+ROUND((Q$9*($L273-Q$5)),0)),IF($L273&gt;Q$4,Q$3,ROUND($L273*Q$7,0)))</f>
        <v/>
      </c>
      <c r="G273" s="1378">
        <f>IF($L273&gt;R$5,MAX(0,R$3+ROUND((R$9*($L273-R$5)),0)),IF($L273&gt;R$4,R$3,ROUND($L273*R$7,0)))</f>
        <v/>
      </c>
      <c r="H273" s="448">
        <f>IF($L273&gt;S$5,MAX(0,S$3+ROUND((S$9*($L273-S$5)),0)),IF($L273&gt;S$4,S$3,ROUND($L273*S$7,0)))</f>
        <v/>
      </c>
      <c r="I273" s="448">
        <f>IF($L273&gt;T$5,MAX(0,T$3+ROUND((T$9*($L273-T$5)),0)),IF($L273&gt;T$4,T$3,ROUND($L273*T$7,0)))</f>
        <v/>
      </c>
      <c r="J273" s="447">
        <f>IF($L273&gt;U$5,MAX(0,U$3+ROUND((U$9*($L273-U$5)),0)),IF($L273&gt;U$4,U$3,ROUND($L273*U$7,0)))</f>
        <v/>
      </c>
      <c r="K273" s="422" t="n"/>
      <c r="L273" s="448">
        <f>ROUND((A273+B273)/2,2)</f>
        <v/>
      </c>
    </row>
    <row r="274" ht="13.5" customHeight="1" s="7635">
      <c r="A274" s="448" t="n">
        <v>13550</v>
      </c>
      <c r="B274" s="447" t="n">
        <v>13600</v>
      </c>
      <c r="C274" s="1378">
        <f>IF($L274&gt;N$5,MAX(0,N$3+ROUND((N$9*($L274-N$5)),0)),IF($L274&gt;N$4,N$3,ROUND($L274*N$7,0)))</f>
        <v/>
      </c>
      <c r="D274" s="448">
        <f>IF($L274&gt;O$5,MAX(0,O$3+ROUND((O$9*($L274-O$5)),0)),IF($L274&gt;O$4,O$3,ROUND($L274*O$7,0)))</f>
        <v/>
      </c>
      <c r="E274" s="448">
        <f>IF($L274&gt;P$5,MAX(0,P$3+ROUND((P$9*($L274-P$5)),0)),IF($L274&gt;P$4,P$3,ROUND($L274*P$7,0)))</f>
        <v/>
      </c>
      <c r="F274" s="447">
        <f>IF($L274&gt;Q$5,MAX(0,Q$3+ROUND((Q$9*($L274-Q$5)),0)),IF($L274&gt;Q$4,Q$3,ROUND($L274*Q$7,0)))</f>
        <v/>
      </c>
      <c r="G274" s="1378">
        <f>IF($L274&gt;R$5,MAX(0,R$3+ROUND((R$9*($L274-R$5)),0)),IF($L274&gt;R$4,R$3,ROUND($L274*R$7,0)))</f>
        <v/>
      </c>
      <c r="H274" s="448">
        <f>IF($L274&gt;S$5,MAX(0,S$3+ROUND((S$9*($L274-S$5)),0)),IF($L274&gt;S$4,S$3,ROUND($L274*S$7,0)))</f>
        <v/>
      </c>
      <c r="I274" s="448">
        <f>IF($L274&gt;T$5,MAX(0,T$3+ROUND((T$9*($L274-T$5)),0)),IF($L274&gt;T$4,T$3,ROUND($L274*T$7,0)))</f>
        <v/>
      </c>
      <c r="J274" s="447">
        <f>IF($L274&gt;U$5,MAX(0,U$3+ROUND((U$9*($L274-U$5)),0)),IF($L274&gt;U$4,U$3,ROUND($L274*U$7,0)))</f>
        <v/>
      </c>
      <c r="K274" s="422" t="n"/>
      <c r="L274" s="448">
        <f>ROUND((A274+B274)/2,2)</f>
        <v/>
      </c>
    </row>
    <row r="275" ht="13.5" customHeight="1" s="7635">
      <c r="A275" s="448" t="n">
        <v>13600</v>
      </c>
      <c r="B275" s="447" t="n">
        <v>13650</v>
      </c>
      <c r="C275" s="1378">
        <f>IF($L275&gt;N$5,MAX(0,N$3+ROUND((N$9*($L275-N$5)),0)),IF($L275&gt;N$4,N$3,ROUND($L275*N$7,0)))</f>
        <v/>
      </c>
      <c r="D275" s="448">
        <f>IF($L275&gt;O$5,MAX(0,O$3+ROUND((O$9*($L275-O$5)),0)),IF($L275&gt;O$4,O$3,ROUND($L275*O$7,0)))</f>
        <v/>
      </c>
      <c r="E275" s="448">
        <f>IF($L275&gt;P$5,MAX(0,P$3+ROUND((P$9*($L275-P$5)),0)),IF($L275&gt;P$4,P$3,ROUND($L275*P$7,0)))</f>
        <v/>
      </c>
      <c r="F275" s="447">
        <f>IF($L275&gt;Q$5,MAX(0,Q$3+ROUND((Q$9*($L275-Q$5)),0)),IF($L275&gt;Q$4,Q$3,ROUND($L275*Q$7,0)))</f>
        <v/>
      </c>
      <c r="G275" s="1378">
        <f>IF($L275&gt;R$5,MAX(0,R$3+ROUND((R$9*($L275-R$5)),0)),IF($L275&gt;R$4,R$3,ROUND($L275*R$7,0)))</f>
        <v/>
      </c>
      <c r="H275" s="448">
        <f>IF($L275&gt;S$5,MAX(0,S$3+ROUND((S$9*($L275-S$5)),0)),IF($L275&gt;S$4,S$3,ROUND($L275*S$7,0)))</f>
        <v/>
      </c>
      <c r="I275" s="448">
        <f>IF($L275&gt;T$5,MAX(0,T$3+ROUND((T$9*($L275-T$5)),0)),IF($L275&gt;T$4,T$3,ROUND($L275*T$7,0)))</f>
        <v/>
      </c>
      <c r="J275" s="447">
        <f>IF($L275&gt;U$5,MAX(0,U$3+ROUND((U$9*($L275-U$5)),0)),IF($L275&gt;U$4,U$3,ROUND($L275*U$7,0)))</f>
        <v/>
      </c>
      <c r="K275" s="422" t="n"/>
      <c r="L275" s="448">
        <f>ROUND((A275+B275)/2,2)</f>
        <v/>
      </c>
    </row>
    <row r="276" ht="13.5" customHeight="1" s="7635">
      <c r="A276" s="448" t="n">
        <v>13650</v>
      </c>
      <c r="B276" s="447" t="n">
        <v>13700</v>
      </c>
      <c r="C276" s="1378">
        <f>IF($L276&gt;N$5,MAX(0,N$3+ROUND((N$9*($L276-N$5)),0)),IF($L276&gt;N$4,N$3,ROUND($L276*N$7,0)))</f>
        <v/>
      </c>
      <c r="D276" s="448">
        <f>IF($L276&gt;O$5,MAX(0,O$3+ROUND((O$9*($L276-O$5)),0)),IF($L276&gt;O$4,O$3,ROUND($L276*O$7,0)))</f>
        <v/>
      </c>
      <c r="E276" s="448">
        <f>IF($L276&gt;P$5,MAX(0,P$3+ROUND((P$9*($L276-P$5)),0)),IF($L276&gt;P$4,P$3,ROUND($L276*P$7,0)))</f>
        <v/>
      </c>
      <c r="F276" s="447">
        <f>IF($L276&gt;Q$5,MAX(0,Q$3+ROUND((Q$9*($L276-Q$5)),0)),IF($L276&gt;Q$4,Q$3,ROUND($L276*Q$7,0)))</f>
        <v/>
      </c>
      <c r="G276" s="1378">
        <f>IF($L276&gt;R$5,MAX(0,R$3+ROUND((R$9*($L276-R$5)),0)),IF($L276&gt;R$4,R$3,ROUND($L276*R$7,0)))</f>
        <v/>
      </c>
      <c r="H276" s="448">
        <f>IF($L276&gt;S$5,MAX(0,S$3+ROUND((S$9*($L276-S$5)),0)),IF($L276&gt;S$4,S$3,ROUND($L276*S$7,0)))</f>
        <v/>
      </c>
      <c r="I276" s="448">
        <f>IF($L276&gt;T$5,MAX(0,T$3+ROUND((T$9*($L276-T$5)),0)),IF($L276&gt;T$4,T$3,ROUND($L276*T$7,0)))</f>
        <v/>
      </c>
      <c r="J276" s="447">
        <f>IF($L276&gt;U$5,MAX(0,U$3+ROUND((U$9*($L276-U$5)),0)),IF($L276&gt;U$4,U$3,ROUND($L276*U$7,0)))</f>
        <v/>
      </c>
      <c r="K276" s="422" t="n"/>
      <c r="L276" s="448">
        <f>ROUND((A276+B276)/2,2)</f>
        <v/>
      </c>
    </row>
    <row r="277" ht="13.5" customHeight="1" s="7635">
      <c r="A277" s="448" t="n">
        <v>13700</v>
      </c>
      <c r="B277" s="447" t="n">
        <v>13750</v>
      </c>
      <c r="C277" s="1378">
        <f>IF($L277&gt;N$5,MAX(0,N$3+ROUND((N$9*($L277-N$5)),0)),IF($L277&gt;N$4,N$3,ROUND($L277*N$7,0)))</f>
        <v/>
      </c>
      <c r="D277" s="448">
        <f>IF($L277&gt;O$5,MAX(0,O$3+ROUND((O$9*($L277-O$5)),0)),IF($L277&gt;O$4,O$3,ROUND($L277*O$7,0)))</f>
        <v/>
      </c>
      <c r="E277" s="448">
        <f>IF($L277&gt;P$5,MAX(0,P$3+ROUND((P$9*($L277-P$5)),0)),IF($L277&gt;P$4,P$3,ROUND($L277*P$7,0)))</f>
        <v/>
      </c>
      <c r="F277" s="447">
        <f>IF($L277&gt;Q$5,MAX(0,Q$3+ROUND((Q$9*($L277-Q$5)),0)),IF($L277&gt;Q$4,Q$3,ROUND($L277*Q$7,0)))</f>
        <v/>
      </c>
      <c r="G277" s="1378">
        <f>IF($L277&gt;R$5,MAX(0,R$3+ROUND((R$9*($L277-R$5)),0)),IF($L277&gt;R$4,R$3,ROUND($L277*R$7,0)))</f>
        <v/>
      </c>
      <c r="H277" s="448">
        <f>IF($L277&gt;S$5,MAX(0,S$3+ROUND((S$9*($L277-S$5)),0)),IF($L277&gt;S$4,S$3,ROUND($L277*S$7,0)))</f>
        <v/>
      </c>
      <c r="I277" s="448">
        <f>IF($L277&gt;T$5,MAX(0,T$3+ROUND((T$9*($L277-T$5)),0)),IF($L277&gt;T$4,T$3,ROUND($L277*T$7,0)))</f>
        <v/>
      </c>
      <c r="J277" s="447">
        <f>IF($L277&gt;U$5,MAX(0,U$3+ROUND((U$9*($L277-U$5)),0)),IF($L277&gt;U$4,U$3,ROUND($L277*U$7,0)))</f>
        <v/>
      </c>
      <c r="K277" s="422" t="n"/>
      <c r="L277" s="448">
        <f>ROUND((A277+B277)/2,2)</f>
        <v/>
      </c>
    </row>
    <row r="278" ht="13.5" customHeight="1" s="7635">
      <c r="A278" s="448" t="n">
        <v>13750</v>
      </c>
      <c r="B278" s="447" t="n">
        <v>13800</v>
      </c>
      <c r="C278" s="1378">
        <f>IF($L278&gt;N$5,MAX(0,N$3+ROUND((N$9*($L278-N$5)),0)),IF($L278&gt;N$4,N$3,ROUND($L278*N$7,0)))</f>
        <v/>
      </c>
      <c r="D278" s="448">
        <f>IF($L278&gt;O$5,MAX(0,O$3+ROUND((O$9*($L278-O$5)),0)),IF($L278&gt;O$4,O$3,ROUND($L278*O$7,0)))</f>
        <v/>
      </c>
      <c r="E278" s="448">
        <f>IF($L278&gt;P$5,MAX(0,P$3+ROUND((P$9*($L278-P$5)),0)),IF($L278&gt;P$4,P$3,ROUND($L278*P$7,0)))</f>
        <v/>
      </c>
      <c r="F278" s="447">
        <f>IF($L278&gt;Q$5,MAX(0,Q$3+ROUND((Q$9*($L278-Q$5)),0)),IF($L278&gt;Q$4,Q$3,ROUND($L278*Q$7,0)))</f>
        <v/>
      </c>
      <c r="G278" s="1378">
        <f>IF($L278&gt;R$5,MAX(0,R$3+ROUND((R$9*($L278-R$5)),0)),IF($L278&gt;R$4,R$3,ROUND($L278*R$7,0)))</f>
        <v/>
      </c>
      <c r="H278" s="448">
        <f>IF($L278&gt;S$5,MAX(0,S$3+ROUND((S$9*($L278-S$5)),0)),IF($L278&gt;S$4,S$3,ROUND($L278*S$7,0)))</f>
        <v/>
      </c>
      <c r="I278" s="448">
        <f>IF($L278&gt;T$5,MAX(0,T$3+ROUND((T$9*($L278-T$5)),0)),IF($L278&gt;T$4,T$3,ROUND($L278*T$7,0)))</f>
        <v/>
      </c>
      <c r="J278" s="447">
        <f>IF($L278&gt;U$5,MAX(0,U$3+ROUND((U$9*($L278-U$5)),0)),IF($L278&gt;U$4,U$3,ROUND($L278*U$7,0)))</f>
        <v/>
      </c>
      <c r="K278" s="422" t="n"/>
      <c r="L278" s="448">
        <f>ROUND((A278+B278)/2,2)</f>
        <v/>
      </c>
    </row>
    <row r="279" ht="13.5" customHeight="1" s="7635">
      <c r="A279" s="448" t="n">
        <v>13800</v>
      </c>
      <c r="B279" s="447" t="n">
        <v>13850</v>
      </c>
      <c r="C279" s="1378">
        <f>IF($L279&gt;N$5,MAX(0,N$3+ROUND((N$9*($L279-N$5)),0)),IF($L279&gt;N$4,N$3,ROUND($L279*N$7,0)))</f>
        <v/>
      </c>
      <c r="D279" s="448">
        <f>IF($L279&gt;O$5,MAX(0,O$3+ROUND((O$9*($L279-O$5)),0)),IF($L279&gt;O$4,O$3,ROUND($L279*O$7,0)))</f>
        <v/>
      </c>
      <c r="E279" s="448">
        <f>IF($L279&gt;P$5,MAX(0,P$3+ROUND((P$9*($L279-P$5)),0)),IF($L279&gt;P$4,P$3,ROUND($L279*P$7,0)))</f>
        <v/>
      </c>
      <c r="F279" s="447">
        <f>IF($L279&gt;Q$5,MAX(0,Q$3+ROUND((Q$9*($L279-Q$5)),0)),IF($L279&gt;Q$4,Q$3,ROUND($L279*Q$7,0)))</f>
        <v/>
      </c>
      <c r="G279" s="1378">
        <f>IF($L279&gt;R$5,MAX(0,R$3+ROUND((R$9*($L279-R$5)),0)),IF($L279&gt;R$4,R$3,ROUND($L279*R$7,0)))</f>
        <v/>
      </c>
      <c r="H279" s="448">
        <f>IF($L279&gt;S$5,MAX(0,S$3+ROUND((S$9*($L279-S$5)),0)),IF($L279&gt;S$4,S$3,ROUND($L279*S$7,0)))</f>
        <v/>
      </c>
      <c r="I279" s="448">
        <f>IF($L279&gt;T$5,MAX(0,T$3+ROUND((T$9*($L279-T$5)),0)),IF($L279&gt;T$4,T$3,ROUND($L279*T$7,0)))</f>
        <v/>
      </c>
      <c r="J279" s="447">
        <f>IF($L279&gt;U$5,MAX(0,U$3+ROUND((U$9*($L279-U$5)),0)),IF($L279&gt;U$4,U$3,ROUND($L279*U$7,0)))</f>
        <v/>
      </c>
      <c r="K279" s="422" t="n"/>
      <c r="L279" s="448">
        <f>ROUND((A279+B279)/2,2)</f>
        <v/>
      </c>
    </row>
    <row r="280" ht="13.5" customHeight="1" s="7635">
      <c r="A280" s="448" t="n">
        <v>13850</v>
      </c>
      <c r="B280" s="447" t="n">
        <v>13900</v>
      </c>
      <c r="C280" s="1378">
        <f>IF($L280&gt;N$5,MAX(0,N$3+ROUND((N$9*($L280-N$5)),0)),IF($L280&gt;N$4,N$3,ROUND($L280*N$7,0)))</f>
        <v/>
      </c>
      <c r="D280" s="448">
        <f>IF($L280&gt;O$5,MAX(0,O$3+ROUND((O$9*($L280-O$5)),0)),IF($L280&gt;O$4,O$3,ROUND($L280*O$7,0)))</f>
        <v/>
      </c>
      <c r="E280" s="448">
        <f>IF($L280&gt;P$5,MAX(0,P$3+ROUND((P$9*($L280-P$5)),0)),IF($L280&gt;P$4,P$3,ROUND($L280*P$7,0)))</f>
        <v/>
      </c>
      <c r="F280" s="447">
        <f>IF($L280&gt;Q$5,MAX(0,Q$3+ROUND((Q$9*($L280-Q$5)),0)),IF($L280&gt;Q$4,Q$3,ROUND($L280*Q$7,0)))</f>
        <v/>
      </c>
      <c r="G280" s="1378">
        <f>IF($L280&gt;R$5,MAX(0,R$3+ROUND((R$9*($L280-R$5)),0)),IF($L280&gt;R$4,R$3,ROUND($L280*R$7,0)))</f>
        <v/>
      </c>
      <c r="H280" s="448">
        <f>IF($L280&gt;S$5,MAX(0,S$3+ROUND((S$9*($L280-S$5)),0)),IF($L280&gt;S$4,S$3,ROUND($L280*S$7,0)))</f>
        <v/>
      </c>
      <c r="I280" s="448">
        <f>IF($L280&gt;T$5,MAX(0,T$3+ROUND((T$9*($L280-T$5)),0)),IF($L280&gt;T$4,T$3,ROUND($L280*T$7,0)))</f>
        <v/>
      </c>
      <c r="J280" s="447">
        <f>IF($L280&gt;U$5,MAX(0,U$3+ROUND((U$9*($L280-U$5)),0)),IF($L280&gt;U$4,U$3,ROUND($L280*U$7,0)))</f>
        <v/>
      </c>
      <c r="K280" s="422" t="n"/>
      <c r="L280" s="448">
        <f>ROUND((A280+B280)/2,2)</f>
        <v/>
      </c>
    </row>
    <row r="281" ht="13.5" customHeight="1" s="7635">
      <c r="A281" s="448" t="n">
        <v>13900</v>
      </c>
      <c r="B281" s="447" t="n">
        <v>13950</v>
      </c>
      <c r="C281" s="1378">
        <f>IF($L281&gt;N$5,MAX(0,N$3+ROUND((N$9*($L281-N$5)),0)),IF($L281&gt;N$4,N$3,ROUND($L281*N$7,0)))</f>
        <v/>
      </c>
      <c r="D281" s="448">
        <f>IF($L281&gt;O$5,MAX(0,O$3+ROUND((O$9*($L281-O$5)),0)),IF($L281&gt;O$4,O$3,ROUND($L281*O$7,0)))</f>
        <v/>
      </c>
      <c r="E281" s="448">
        <f>IF($L281&gt;P$5,MAX(0,P$3+ROUND((P$9*($L281-P$5)),0)),IF($L281&gt;P$4,P$3,ROUND($L281*P$7,0)))</f>
        <v/>
      </c>
      <c r="F281" s="447">
        <f>IF($L281&gt;Q$5,MAX(0,Q$3+ROUND((Q$9*($L281-Q$5)),0)),IF($L281&gt;Q$4,Q$3,ROUND($L281*Q$7,0)))</f>
        <v/>
      </c>
      <c r="G281" s="1378">
        <f>IF($L281&gt;R$5,MAX(0,R$3+ROUND((R$9*($L281-R$5)),0)),IF($L281&gt;R$4,R$3,ROUND($L281*R$7,0)))</f>
        <v/>
      </c>
      <c r="H281" s="448">
        <f>IF($L281&gt;S$5,MAX(0,S$3+ROUND((S$9*($L281-S$5)),0)),IF($L281&gt;S$4,S$3,ROUND($L281*S$7,0)))</f>
        <v/>
      </c>
      <c r="I281" s="448">
        <f>IF($L281&gt;T$5,MAX(0,T$3+ROUND((T$9*($L281-T$5)),0)),IF($L281&gt;T$4,T$3,ROUND($L281*T$7,0)))</f>
        <v/>
      </c>
      <c r="J281" s="447">
        <f>IF($L281&gt;U$5,MAX(0,U$3+ROUND((U$9*($L281-U$5)),0)),IF($L281&gt;U$4,U$3,ROUND($L281*U$7,0)))</f>
        <v/>
      </c>
      <c r="K281" s="422" t="n"/>
      <c r="L281" s="448">
        <f>ROUND((A281+B281)/2,2)</f>
        <v/>
      </c>
    </row>
    <row r="282" ht="13.5" customHeight="1" s="7635">
      <c r="A282" s="448" t="n">
        <v>13950</v>
      </c>
      <c r="B282" s="447" t="n">
        <v>14000</v>
      </c>
      <c r="C282" s="1378">
        <f>IF($L282&gt;N$5,MAX(0,N$3+ROUND((N$9*($L282-N$5)),0)),IF($L282&gt;N$4,N$3,ROUND($L282*N$7,0)))</f>
        <v/>
      </c>
      <c r="D282" s="448">
        <f>IF($L282&gt;O$5,MAX(0,O$3+ROUND((O$9*($L282-O$5)),0)),IF($L282&gt;O$4,O$3,ROUND($L282*O$7,0)))</f>
        <v/>
      </c>
      <c r="E282" s="448">
        <f>IF($L282&gt;P$5,MAX(0,P$3+ROUND((P$9*($L282-P$5)),0)),IF($L282&gt;P$4,P$3,ROUND($L282*P$7,0)))</f>
        <v/>
      </c>
      <c r="F282" s="447">
        <f>IF($L282&gt;Q$5,MAX(0,Q$3+ROUND((Q$9*($L282-Q$5)),0)),IF($L282&gt;Q$4,Q$3,ROUND($L282*Q$7,0)))</f>
        <v/>
      </c>
      <c r="G282" s="1378">
        <f>IF($L282&gt;R$5,MAX(0,R$3+ROUND((R$9*($L282-R$5)),0)),IF($L282&gt;R$4,R$3,ROUND($L282*R$7,0)))</f>
        <v/>
      </c>
      <c r="H282" s="448">
        <f>IF($L282&gt;S$5,MAX(0,S$3+ROUND((S$9*($L282-S$5)),0)),IF($L282&gt;S$4,S$3,ROUND($L282*S$7,0)))</f>
        <v/>
      </c>
      <c r="I282" s="448">
        <f>IF($L282&gt;T$5,MAX(0,T$3+ROUND((T$9*($L282-T$5)),0)),IF($L282&gt;T$4,T$3,ROUND($L282*T$7,0)))</f>
        <v/>
      </c>
      <c r="J282" s="447">
        <f>IF($L282&gt;U$5,MAX(0,U$3+ROUND((U$9*($L282-U$5)),0)),IF($L282&gt;U$4,U$3,ROUND($L282*U$7,0)))</f>
        <v/>
      </c>
      <c r="K282" s="422" t="n"/>
      <c r="L282" s="448">
        <f>ROUND((A282+B282)/2,2)</f>
        <v/>
      </c>
    </row>
    <row r="283" ht="13.5" customHeight="1" s="7635">
      <c r="A283" s="448" t="n">
        <v>14000</v>
      </c>
      <c r="B283" s="447" t="n">
        <v>14050</v>
      </c>
      <c r="C283" s="1378">
        <f>IF($L283&gt;N$5,MAX(0,N$3+ROUND((N$9*($L283-N$5)),0)),IF($L283&gt;N$4,N$3,ROUND($L283*N$7,0)))</f>
        <v/>
      </c>
      <c r="D283" s="448">
        <f>IF($L283&gt;O$5,MAX(0,O$3+ROUND((O$9*($L283-O$5)),0)),IF($L283&gt;O$4,O$3,ROUND($L283*O$7,0)))</f>
        <v/>
      </c>
      <c r="E283" s="448">
        <f>IF($L283&gt;P$5,MAX(0,P$3+ROUND((P$9*($L283-P$5)),0)),IF($L283&gt;P$4,P$3,ROUND($L283*P$7,0)))</f>
        <v/>
      </c>
      <c r="F283" s="447">
        <f>IF($L283&gt;Q$5,MAX(0,Q$3+ROUND((Q$9*($L283-Q$5)),0)),IF($L283&gt;Q$4,Q$3,ROUND($L283*Q$7,0)))</f>
        <v/>
      </c>
      <c r="G283" s="1378">
        <f>IF($L283&gt;R$5,MAX(0,R$3+ROUND((R$9*($L283-R$5)),0)),IF($L283&gt;R$4,R$3,ROUND($L283*R$7,0)))</f>
        <v/>
      </c>
      <c r="H283" s="448">
        <f>IF($L283&gt;S$5,MAX(0,S$3+ROUND((S$9*($L283-S$5)),0)),IF($L283&gt;S$4,S$3,ROUND($L283*S$7,0)))</f>
        <v/>
      </c>
      <c r="I283" s="448">
        <f>IF($L283&gt;T$5,MAX(0,T$3+ROUND((T$9*($L283-T$5)),0)),IF($L283&gt;T$4,T$3,ROUND($L283*T$7,0)))</f>
        <v/>
      </c>
      <c r="J283" s="447">
        <f>IF($L283&gt;U$5,MAX(0,U$3+ROUND((U$9*($L283-U$5)),0)),IF($L283&gt;U$4,U$3,ROUND($L283*U$7,0)))</f>
        <v/>
      </c>
      <c r="K283" s="422" t="n"/>
      <c r="L283" s="448">
        <f>ROUND((A283+B283)/2,2)</f>
        <v/>
      </c>
    </row>
    <row r="284" ht="13.5" customHeight="1" s="7635">
      <c r="A284" s="448" t="n">
        <v>14050</v>
      </c>
      <c r="B284" s="447" t="n">
        <v>14100</v>
      </c>
      <c r="C284" s="1378">
        <f>IF($L284&gt;N$5,MAX(0,N$3+ROUND((N$9*($L284-N$5)),0)),IF($L284&gt;N$4,N$3,ROUND($L284*N$7,0)))</f>
        <v/>
      </c>
      <c r="D284" s="448">
        <f>IF($L284&gt;O$5,MAX(0,O$3+ROUND((O$9*($L284-O$5)),0)),IF($L284&gt;O$4,O$3,ROUND($L284*O$7,0)))</f>
        <v/>
      </c>
      <c r="E284" s="448">
        <f>IF($L284&gt;P$5,MAX(0,P$3+ROUND((P$9*($L284-P$5)),0)),IF($L284&gt;P$4,P$3,ROUND($L284*P$7,0)))</f>
        <v/>
      </c>
      <c r="F284" s="447">
        <f>IF($L284&gt;Q$5,MAX(0,Q$3+ROUND((Q$9*($L284-Q$5)),0)),IF($L284&gt;Q$4,Q$3,ROUND($L284*Q$7,0)))</f>
        <v/>
      </c>
      <c r="G284" s="1378">
        <f>IF($L284&gt;R$5,MAX(0,R$3+ROUND((R$9*($L284-R$5)),0)),IF($L284&gt;R$4,R$3,ROUND($L284*R$7,0)))</f>
        <v/>
      </c>
      <c r="H284" s="448">
        <f>IF($L284&gt;S$5,MAX(0,S$3+ROUND((S$9*($L284-S$5)),0)),IF($L284&gt;S$4,S$3,ROUND($L284*S$7,0)))</f>
        <v/>
      </c>
      <c r="I284" s="448">
        <f>IF($L284&gt;T$5,MAX(0,T$3+ROUND((T$9*($L284-T$5)),0)),IF($L284&gt;T$4,T$3,ROUND($L284*T$7,0)))</f>
        <v/>
      </c>
      <c r="J284" s="447">
        <f>IF($L284&gt;U$5,MAX(0,U$3+ROUND((U$9*($L284-U$5)),0)),IF($L284&gt;U$4,U$3,ROUND($L284*U$7,0)))</f>
        <v/>
      </c>
      <c r="K284" s="422" t="n"/>
      <c r="L284" s="448">
        <f>ROUND((A284+B284)/2,2)</f>
        <v/>
      </c>
    </row>
    <row r="285" ht="13.5" customHeight="1" s="7635">
      <c r="A285" s="448" t="n">
        <v>14100</v>
      </c>
      <c r="B285" s="447" t="n">
        <v>14150</v>
      </c>
      <c r="C285" s="1378">
        <f>IF($L285&gt;N$5,MAX(0,N$3+ROUND((N$9*($L285-N$5)),0)),IF($L285&gt;N$4,N$3,ROUND($L285*N$7,0)))</f>
        <v/>
      </c>
      <c r="D285" s="448">
        <f>IF($L285&gt;O$5,MAX(0,O$3+ROUND((O$9*($L285-O$5)),0)),IF($L285&gt;O$4,O$3,ROUND($L285*O$7,0)))</f>
        <v/>
      </c>
      <c r="E285" s="448">
        <f>IF($L285&gt;P$5,MAX(0,P$3+ROUND((P$9*($L285-P$5)),0)),IF($L285&gt;P$4,P$3,ROUND($L285*P$7,0)))</f>
        <v/>
      </c>
      <c r="F285" s="447">
        <f>IF($L285&gt;Q$5,MAX(0,Q$3+ROUND((Q$9*($L285-Q$5)),0)),IF($L285&gt;Q$4,Q$3,ROUND($L285*Q$7,0)))</f>
        <v/>
      </c>
      <c r="G285" s="1378">
        <f>IF($L285&gt;R$5,MAX(0,R$3+ROUND((R$9*($L285-R$5)),0)),IF($L285&gt;R$4,R$3,ROUND($L285*R$7,0)))</f>
        <v/>
      </c>
      <c r="H285" s="448">
        <f>IF($L285&gt;S$5,MAX(0,S$3+ROUND((S$9*($L285-S$5)),0)),IF($L285&gt;S$4,S$3,ROUND($L285*S$7,0)))</f>
        <v/>
      </c>
      <c r="I285" s="448">
        <f>IF($L285&gt;T$5,MAX(0,T$3+ROUND((T$9*($L285-T$5)),0)),IF($L285&gt;T$4,T$3,ROUND($L285*T$7,0)))</f>
        <v/>
      </c>
      <c r="J285" s="447">
        <f>IF($L285&gt;U$5,MAX(0,U$3+ROUND((U$9*($L285-U$5)),0)),IF($L285&gt;U$4,U$3,ROUND($L285*U$7,0)))</f>
        <v/>
      </c>
      <c r="K285" s="422" t="n"/>
      <c r="L285" s="448">
        <f>ROUND((A285+B285)/2,2)</f>
        <v/>
      </c>
    </row>
    <row r="286" ht="13.5" customHeight="1" s="7635">
      <c r="A286" s="448" t="n">
        <v>14150</v>
      </c>
      <c r="B286" s="447" t="n">
        <v>14200</v>
      </c>
      <c r="C286" s="1378">
        <f>IF($L286&gt;N$5,MAX(0,N$3+ROUND((N$9*($L286-N$5)),0)),IF($L286&gt;N$4,N$3,ROUND($L286*N$7,0)))</f>
        <v/>
      </c>
      <c r="D286" s="448">
        <f>IF($L286&gt;O$5,MAX(0,O$3+ROUND((O$9*($L286-O$5)),0)),IF($L286&gt;O$4,O$3,ROUND($L286*O$7,0)))</f>
        <v/>
      </c>
      <c r="E286" s="448">
        <f>IF($L286&gt;P$5,MAX(0,P$3+ROUND((P$9*($L286-P$5)),0)),IF($L286&gt;P$4,P$3,ROUND($L286*P$7,0)))</f>
        <v/>
      </c>
      <c r="F286" s="447">
        <f>IF($L286&gt;Q$5,MAX(0,Q$3+ROUND((Q$9*($L286-Q$5)),0)),IF($L286&gt;Q$4,Q$3,ROUND($L286*Q$7,0)))</f>
        <v/>
      </c>
      <c r="G286" s="1378">
        <f>IF($L286&gt;R$5,MAX(0,R$3+ROUND((R$9*($L286-R$5)),0)),IF($L286&gt;R$4,R$3,ROUND($L286*R$7,0)))</f>
        <v/>
      </c>
      <c r="H286" s="448">
        <f>IF($L286&gt;S$5,MAX(0,S$3+ROUND((S$9*($L286-S$5)),0)),IF($L286&gt;S$4,S$3,ROUND($L286*S$7,0)))</f>
        <v/>
      </c>
      <c r="I286" s="448">
        <f>IF($L286&gt;T$5,MAX(0,T$3+ROUND((T$9*($L286-T$5)),0)),IF($L286&gt;T$4,T$3,ROUND($L286*T$7,0)))</f>
        <v/>
      </c>
      <c r="J286" s="447">
        <f>IF($L286&gt;U$5,MAX(0,U$3+ROUND((U$9*($L286-U$5)),0)),IF($L286&gt;U$4,U$3,ROUND($L286*U$7,0)))</f>
        <v/>
      </c>
      <c r="K286" s="422" t="n"/>
      <c r="L286" s="448">
        <f>ROUND((A286+B286)/2,2)</f>
        <v/>
      </c>
    </row>
    <row r="287" ht="13.5" customHeight="1" s="7635">
      <c r="A287" s="448" t="n">
        <v>14200</v>
      </c>
      <c r="B287" s="447" t="n">
        <v>14250</v>
      </c>
      <c r="C287" s="1378">
        <f>IF($L287&gt;N$5,MAX(0,N$3+ROUND((N$9*($L287-N$5)),0)),IF($L287&gt;N$4,N$3,ROUND($L287*N$7,0)))</f>
        <v/>
      </c>
      <c r="D287" s="448">
        <f>IF($L287&gt;O$5,MAX(0,O$3+ROUND((O$9*($L287-O$5)),0)),IF($L287&gt;O$4,O$3,ROUND($L287*O$7,0)))</f>
        <v/>
      </c>
      <c r="E287" s="448">
        <f>IF($L287&gt;P$5,MAX(0,P$3+ROUND((P$9*($L287-P$5)),0)),IF($L287&gt;P$4,P$3,ROUND($L287*P$7,0)))</f>
        <v/>
      </c>
      <c r="F287" s="447">
        <f>IF($L287&gt;Q$5,MAX(0,Q$3+ROUND((Q$9*($L287-Q$5)),0)),IF($L287&gt;Q$4,Q$3,ROUND($L287*Q$7,0)))</f>
        <v/>
      </c>
      <c r="G287" s="1378">
        <f>IF($L287&gt;R$5,MAX(0,R$3+ROUND((R$9*($L287-R$5)),0)),IF($L287&gt;R$4,R$3,ROUND($L287*R$7,0)))</f>
        <v/>
      </c>
      <c r="H287" s="448">
        <f>IF($L287&gt;S$5,MAX(0,S$3+ROUND((S$9*($L287-S$5)),0)),IF($L287&gt;S$4,S$3,ROUND($L287*S$7,0)))</f>
        <v/>
      </c>
      <c r="I287" s="448">
        <f>IF($L287&gt;T$5,MAX(0,T$3+ROUND((T$9*($L287-T$5)),0)),IF($L287&gt;T$4,T$3,ROUND($L287*T$7,0)))</f>
        <v/>
      </c>
      <c r="J287" s="447">
        <f>IF($L287&gt;U$5,MAX(0,U$3+ROUND((U$9*($L287-U$5)),0)),IF($L287&gt;U$4,U$3,ROUND($L287*U$7,0)))</f>
        <v/>
      </c>
      <c r="K287" s="422" t="n"/>
      <c r="L287" s="448">
        <f>ROUND((A287+B287)/2,2)</f>
        <v/>
      </c>
    </row>
    <row r="288" ht="13.5" customHeight="1" s="7635">
      <c r="A288" s="448" t="n">
        <v>14250</v>
      </c>
      <c r="B288" s="447" t="n">
        <v>14300</v>
      </c>
      <c r="C288" s="1378">
        <f>IF($L288&gt;N$5,MAX(0,N$3+ROUND((N$9*($L288-N$5)),0)),IF($L288&gt;N$4,N$3,ROUND($L288*N$7,0)))</f>
        <v/>
      </c>
      <c r="D288" s="448">
        <f>IF($L288&gt;O$5,MAX(0,O$3+ROUND((O$9*($L288-O$5)),0)),IF($L288&gt;O$4,O$3,ROUND($L288*O$7,0)))</f>
        <v/>
      </c>
      <c r="E288" s="448">
        <f>IF($L288&gt;P$5,MAX(0,P$3+ROUND((P$9*($L288-P$5)),0)),IF($L288&gt;P$4,P$3,ROUND($L288*P$7,0)))</f>
        <v/>
      </c>
      <c r="F288" s="447">
        <f>IF($L288&gt;Q$5,MAX(0,Q$3+ROUND((Q$9*($L288-Q$5)),0)),IF($L288&gt;Q$4,Q$3,ROUND($L288*Q$7,0)))</f>
        <v/>
      </c>
      <c r="G288" s="1378">
        <f>IF($L288&gt;R$5,MAX(0,R$3+ROUND((R$9*($L288-R$5)),0)),IF($L288&gt;R$4,R$3,ROUND($L288*R$7,0)))</f>
        <v/>
      </c>
      <c r="H288" s="448">
        <f>IF($L288&gt;S$5,MAX(0,S$3+ROUND((S$9*($L288-S$5)),0)),IF($L288&gt;S$4,S$3,ROUND($L288*S$7,0)))</f>
        <v/>
      </c>
      <c r="I288" s="448">
        <f>IF($L288&gt;T$5,MAX(0,T$3+ROUND((T$9*($L288-T$5)),0)),IF($L288&gt;T$4,T$3,ROUND($L288*T$7,0)))</f>
        <v/>
      </c>
      <c r="J288" s="447">
        <f>IF($L288&gt;U$5,MAX(0,U$3+ROUND((U$9*($L288-U$5)),0)),IF($L288&gt;U$4,U$3,ROUND($L288*U$7,0)))</f>
        <v/>
      </c>
      <c r="K288" s="422" t="n"/>
      <c r="L288" s="448">
        <f>ROUND((A288+B288)/2,2)</f>
        <v/>
      </c>
    </row>
    <row r="289" ht="13.5" customHeight="1" s="7635">
      <c r="A289" s="448" t="n">
        <v>14300</v>
      </c>
      <c r="B289" s="447" t="n">
        <v>14350</v>
      </c>
      <c r="C289" s="1378">
        <f>IF($L289&gt;N$5,MAX(0,N$3+ROUND((N$9*($L289-N$5)),0)),IF($L289&gt;N$4,N$3,ROUND($L289*N$7,0)))</f>
        <v/>
      </c>
      <c r="D289" s="448">
        <f>IF($L289&gt;O$5,MAX(0,O$3+ROUND((O$9*($L289-O$5)),0)),IF($L289&gt;O$4,O$3,ROUND($L289*O$7,0)))</f>
        <v/>
      </c>
      <c r="E289" s="448">
        <f>IF($L289&gt;P$5,MAX(0,P$3+ROUND((P$9*($L289-P$5)),0)),IF($L289&gt;P$4,P$3,ROUND($L289*P$7,0)))</f>
        <v/>
      </c>
      <c r="F289" s="447">
        <f>IF($L289&gt;Q$5,MAX(0,Q$3+ROUND((Q$9*($L289-Q$5)),0)),IF($L289&gt;Q$4,Q$3,ROUND($L289*Q$7,0)))</f>
        <v/>
      </c>
      <c r="G289" s="1378">
        <f>IF($L289&gt;R$5,MAX(0,R$3+ROUND((R$9*($L289-R$5)),0)),IF($L289&gt;R$4,R$3,ROUND($L289*R$7,0)))</f>
        <v/>
      </c>
      <c r="H289" s="448">
        <f>IF($L289&gt;S$5,MAX(0,S$3+ROUND((S$9*($L289-S$5)),0)),IF($L289&gt;S$4,S$3,ROUND($L289*S$7,0)))</f>
        <v/>
      </c>
      <c r="I289" s="448">
        <f>IF($L289&gt;T$5,MAX(0,T$3+ROUND((T$9*($L289-T$5)),0)),IF($L289&gt;T$4,T$3,ROUND($L289*T$7,0)))</f>
        <v/>
      </c>
      <c r="J289" s="447">
        <f>IF($L289&gt;U$5,MAX(0,U$3+ROUND((U$9*($L289-U$5)),0)),IF($L289&gt;U$4,U$3,ROUND($L289*U$7,0)))</f>
        <v/>
      </c>
      <c r="K289" s="422" t="n"/>
      <c r="L289" s="448">
        <f>ROUND((A289+B289)/2,2)</f>
        <v/>
      </c>
    </row>
    <row r="290" ht="13.5" customHeight="1" s="7635">
      <c r="A290" s="448" t="n">
        <v>14350</v>
      </c>
      <c r="B290" s="447" t="n">
        <v>14400</v>
      </c>
      <c r="C290" s="1378">
        <f>IF($L290&gt;N$5,MAX(0,N$3+ROUND((N$9*($L290-N$5)),0)),IF($L290&gt;N$4,N$3,ROUND($L290*N$7,0)))</f>
        <v/>
      </c>
      <c r="D290" s="448">
        <f>IF($L290&gt;O$5,MAX(0,O$3+ROUND((O$9*($L290-O$5)),0)),IF($L290&gt;O$4,O$3,ROUND($L290*O$7,0)))</f>
        <v/>
      </c>
      <c r="E290" s="448">
        <f>IF($L290&gt;P$5,MAX(0,P$3+ROUND((P$9*($L290-P$5)),0)),IF($L290&gt;P$4,P$3,ROUND($L290*P$7,0)))</f>
        <v/>
      </c>
      <c r="F290" s="447">
        <f>IF($L290&gt;Q$5,MAX(0,Q$3+ROUND((Q$9*($L290-Q$5)),0)),IF($L290&gt;Q$4,Q$3,ROUND($L290*Q$7,0)))</f>
        <v/>
      </c>
      <c r="G290" s="1378">
        <f>IF($L290&gt;R$5,MAX(0,R$3+ROUND((R$9*($L290-R$5)),0)),IF($L290&gt;R$4,R$3,ROUND($L290*R$7,0)))</f>
        <v/>
      </c>
      <c r="H290" s="448">
        <f>IF($L290&gt;S$5,MAX(0,S$3+ROUND((S$9*($L290-S$5)),0)),IF($L290&gt;S$4,S$3,ROUND($L290*S$7,0)))</f>
        <v/>
      </c>
      <c r="I290" s="448">
        <f>IF($L290&gt;T$5,MAX(0,T$3+ROUND((T$9*($L290-T$5)),0)),IF($L290&gt;T$4,T$3,ROUND($L290*T$7,0)))</f>
        <v/>
      </c>
      <c r="J290" s="447">
        <f>IF($L290&gt;U$5,MAX(0,U$3+ROUND((U$9*($L290-U$5)),0)),IF($L290&gt;U$4,U$3,ROUND($L290*U$7,0)))</f>
        <v/>
      </c>
      <c r="K290" s="422" t="n"/>
      <c r="L290" s="448">
        <f>ROUND((A290+B290)/2,2)</f>
        <v/>
      </c>
    </row>
    <row r="291" ht="13.5" customHeight="1" s="7635">
      <c r="A291" s="448" t="n">
        <v>14400</v>
      </c>
      <c r="B291" s="447" t="n">
        <v>14450</v>
      </c>
      <c r="C291" s="1378">
        <f>IF($L291&gt;N$5,MAX(0,N$3+ROUND((N$9*($L291-N$5)),0)),IF($L291&gt;N$4,N$3,ROUND($L291*N$7,0)))</f>
        <v/>
      </c>
      <c r="D291" s="448">
        <f>IF($L291&gt;O$5,MAX(0,O$3+ROUND((O$9*($L291-O$5)),0)),IF($L291&gt;O$4,O$3,ROUND($L291*O$7,0)))</f>
        <v/>
      </c>
      <c r="E291" s="448">
        <f>IF($L291&gt;P$5,MAX(0,P$3+ROUND((P$9*($L291-P$5)),0)),IF($L291&gt;P$4,P$3,ROUND($L291*P$7,0)))</f>
        <v/>
      </c>
      <c r="F291" s="447">
        <f>IF($L291&gt;Q$5,MAX(0,Q$3+ROUND((Q$9*($L291-Q$5)),0)),IF($L291&gt;Q$4,Q$3,ROUND($L291*Q$7,0)))</f>
        <v/>
      </c>
      <c r="G291" s="1378">
        <f>IF($L291&gt;R$5,MAX(0,R$3+ROUND((R$9*($L291-R$5)),0)),IF($L291&gt;R$4,R$3,ROUND($L291*R$7,0)))</f>
        <v/>
      </c>
      <c r="H291" s="448">
        <f>IF($L291&gt;S$5,MAX(0,S$3+ROUND((S$9*($L291-S$5)),0)),IF($L291&gt;S$4,S$3,ROUND($L291*S$7,0)))</f>
        <v/>
      </c>
      <c r="I291" s="448">
        <f>IF($L291&gt;T$5,MAX(0,T$3+ROUND((T$9*($L291-T$5)),0)),IF($L291&gt;T$4,T$3,ROUND($L291*T$7,0)))</f>
        <v/>
      </c>
      <c r="J291" s="447">
        <f>IF($L291&gt;U$5,MAX(0,U$3+ROUND((U$9*($L291-U$5)),0)),IF($L291&gt;U$4,U$3,ROUND($L291*U$7,0)))</f>
        <v/>
      </c>
      <c r="K291" s="422" t="n"/>
      <c r="L291" s="448">
        <f>ROUND((A291+B291)/2,2)</f>
        <v/>
      </c>
    </row>
    <row r="292" ht="13.5" customHeight="1" s="7635">
      <c r="A292" s="448" t="n">
        <v>14450</v>
      </c>
      <c r="B292" s="447" t="n">
        <v>14500</v>
      </c>
      <c r="C292" s="1378">
        <f>IF($L292&gt;N$5,MAX(0,N$3+ROUND((N$9*($L292-N$5)),0)),IF($L292&gt;N$4,N$3,ROUND($L292*N$7,0)))</f>
        <v/>
      </c>
      <c r="D292" s="448">
        <f>IF($L292&gt;O$5,MAX(0,O$3+ROUND((O$9*($L292-O$5)),0)),IF($L292&gt;O$4,O$3,ROUND($L292*O$7,0)))</f>
        <v/>
      </c>
      <c r="E292" s="448">
        <f>IF($L292&gt;P$5,MAX(0,P$3+ROUND((P$9*($L292-P$5)),0)),IF($L292&gt;P$4,P$3,ROUND($L292*P$7,0)))</f>
        <v/>
      </c>
      <c r="F292" s="447">
        <f>IF($L292&gt;Q$5,MAX(0,Q$3+ROUND((Q$9*($L292-Q$5)),0)),IF($L292&gt;Q$4,Q$3,ROUND($L292*Q$7,0)))</f>
        <v/>
      </c>
      <c r="G292" s="1378">
        <f>IF($L292&gt;R$5,MAX(0,R$3+ROUND((R$9*($L292-R$5)),0)),IF($L292&gt;R$4,R$3,ROUND($L292*R$7,0)))</f>
        <v/>
      </c>
      <c r="H292" s="448">
        <f>IF($L292&gt;S$5,MAX(0,S$3+ROUND((S$9*($L292-S$5)),0)),IF($L292&gt;S$4,S$3,ROUND($L292*S$7,0)))</f>
        <v/>
      </c>
      <c r="I292" s="448">
        <f>IF($L292&gt;T$5,MAX(0,T$3+ROUND((T$9*($L292-T$5)),0)),IF($L292&gt;T$4,T$3,ROUND($L292*T$7,0)))</f>
        <v/>
      </c>
      <c r="J292" s="447">
        <f>IF($L292&gt;U$5,MAX(0,U$3+ROUND((U$9*($L292-U$5)),0)),IF($L292&gt;U$4,U$3,ROUND($L292*U$7,0)))</f>
        <v/>
      </c>
      <c r="K292" s="422" t="n"/>
      <c r="L292" s="448">
        <f>ROUND((A292+B292)/2,2)</f>
        <v/>
      </c>
    </row>
    <row r="293" ht="13.5" customHeight="1" s="7635">
      <c r="A293" s="448" t="n">
        <v>14500</v>
      </c>
      <c r="B293" s="447" t="n">
        <v>14550</v>
      </c>
      <c r="C293" s="1378">
        <f>IF($L293&gt;N$5,MAX(0,N$3+ROUND((N$9*($L293-N$5)),0)),IF($L293&gt;N$4,N$3,ROUND($L293*N$7,0)))</f>
        <v/>
      </c>
      <c r="D293" s="448">
        <f>IF($L293&gt;O$5,MAX(0,O$3+ROUND((O$9*($L293-O$5)),0)),IF($L293&gt;O$4,O$3,ROUND($L293*O$7,0)))</f>
        <v/>
      </c>
      <c r="E293" s="448">
        <f>IF($L293&gt;P$5,MAX(0,P$3+ROUND((P$9*($L293-P$5)),0)),IF($L293&gt;P$4,P$3,ROUND($L293*P$7,0)))</f>
        <v/>
      </c>
      <c r="F293" s="447">
        <f>IF($L293&gt;Q$5,MAX(0,Q$3+ROUND((Q$9*($L293-Q$5)),0)),IF($L293&gt;Q$4,Q$3,ROUND($L293*Q$7,0)))</f>
        <v/>
      </c>
      <c r="G293" s="1378">
        <f>IF($L293&gt;R$5,MAX(0,R$3+ROUND((R$9*($L293-R$5)),0)),IF($L293&gt;R$4,R$3,ROUND($L293*R$7,0)))</f>
        <v/>
      </c>
      <c r="H293" s="448">
        <f>IF($L293&gt;S$5,MAX(0,S$3+ROUND((S$9*($L293-S$5)),0)),IF($L293&gt;S$4,S$3,ROUND($L293*S$7,0)))</f>
        <v/>
      </c>
      <c r="I293" s="448">
        <f>IF($L293&gt;T$5,MAX(0,T$3+ROUND((T$9*($L293-T$5)),0)),IF($L293&gt;T$4,T$3,ROUND($L293*T$7,0)))</f>
        <v/>
      </c>
      <c r="J293" s="447">
        <f>IF($L293&gt;U$5,MAX(0,U$3+ROUND((U$9*($L293-U$5)),0)),IF($L293&gt;U$4,U$3,ROUND($L293*U$7,0)))</f>
        <v/>
      </c>
      <c r="K293" s="422" t="n"/>
      <c r="L293" s="448">
        <f>ROUND((A293+B293)/2,2)</f>
        <v/>
      </c>
    </row>
    <row r="294" ht="13.5" customHeight="1" s="7635">
      <c r="A294" s="448" t="n">
        <v>14550</v>
      </c>
      <c r="B294" s="447" t="n">
        <v>14600</v>
      </c>
      <c r="C294" s="1378">
        <f>IF($L294&gt;N$5,MAX(0,N$3+ROUND((N$9*($L294-N$5)),0)),IF($L294&gt;N$4,N$3,ROUND($L294*N$7,0)))</f>
        <v/>
      </c>
      <c r="D294" s="448">
        <f>IF($L294&gt;O$5,MAX(0,O$3+ROUND((O$9*($L294-O$5)),0)),IF($L294&gt;O$4,O$3,ROUND($L294*O$7,0)))</f>
        <v/>
      </c>
      <c r="E294" s="448">
        <f>IF($L294&gt;P$5,MAX(0,P$3+ROUND((P$9*($L294-P$5)),0)),IF($L294&gt;P$4,P$3,ROUND($L294*P$7,0)))</f>
        <v/>
      </c>
      <c r="F294" s="447">
        <f>IF($L294&gt;Q$5,MAX(0,Q$3+ROUND((Q$9*($L294-Q$5)),0)),IF($L294&gt;Q$4,Q$3,ROUND($L294*Q$7,0)))</f>
        <v/>
      </c>
      <c r="G294" s="1378">
        <f>IF($L294&gt;R$5,MAX(0,R$3+ROUND((R$9*($L294-R$5)),0)),IF($L294&gt;R$4,R$3,ROUND($L294*R$7,0)))</f>
        <v/>
      </c>
      <c r="H294" s="448">
        <f>IF($L294&gt;S$5,MAX(0,S$3+ROUND((S$9*($L294-S$5)),0)),IF($L294&gt;S$4,S$3,ROUND($L294*S$7,0)))</f>
        <v/>
      </c>
      <c r="I294" s="448">
        <f>IF($L294&gt;T$5,MAX(0,T$3+ROUND((T$9*($L294-T$5)),0)),IF($L294&gt;T$4,T$3,ROUND($L294*T$7,0)))</f>
        <v/>
      </c>
      <c r="J294" s="447">
        <f>IF($L294&gt;U$5,MAX(0,U$3+ROUND((U$9*($L294-U$5)),0)),IF($L294&gt;U$4,U$3,ROUND($L294*U$7,0)))</f>
        <v/>
      </c>
      <c r="K294" s="422" t="n"/>
      <c r="L294" s="448">
        <f>ROUND((A294+B294)/2,2)</f>
        <v/>
      </c>
    </row>
    <row r="295" ht="13.5" customHeight="1" s="7635">
      <c r="A295" s="448" t="n">
        <v>14600</v>
      </c>
      <c r="B295" s="447" t="n">
        <v>14650</v>
      </c>
      <c r="C295" s="1378">
        <f>IF($L295&gt;N$5,MAX(0,N$3+ROUND((N$9*($L295-N$5)),0)),IF($L295&gt;N$4,N$3,ROUND($L295*N$7,0)))</f>
        <v/>
      </c>
      <c r="D295" s="448">
        <f>IF($L295&gt;O$5,MAX(0,O$3+ROUND((O$9*($L295-O$5)),0)),IF($L295&gt;O$4,O$3,ROUND($L295*O$7,0)))</f>
        <v/>
      </c>
      <c r="E295" s="448">
        <f>IF($L295&gt;P$5,MAX(0,P$3+ROUND((P$9*($L295-P$5)),0)),IF($L295&gt;P$4,P$3,ROUND($L295*P$7,0)))</f>
        <v/>
      </c>
      <c r="F295" s="447">
        <f>IF($L295&gt;Q$5,MAX(0,Q$3+ROUND((Q$9*($L295-Q$5)),0)),IF($L295&gt;Q$4,Q$3,ROUND($L295*Q$7,0)))</f>
        <v/>
      </c>
      <c r="G295" s="1378">
        <f>IF($L295&gt;R$5,MAX(0,R$3+ROUND((R$9*($L295-R$5)),0)),IF($L295&gt;R$4,R$3,ROUND($L295*R$7,0)))</f>
        <v/>
      </c>
      <c r="H295" s="448">
        <f>IF($L295&gt;S$5,MAX(0,S$3+ROUND((S$9*($L295-S$5)),0)),IF($L295&gt;S$4,S$3,ROUND($L295*S$7,0)))</f>
        <v/>
      </c>
      <c r="I295" s="448">
        <f>IF($L295&gt;T$5,MAX(0,T$3+ROUND((T$9*($L295-T$5)),0)),IF($L295&gt;T$4,T$3,ROUND($L295*T$7,0)))</f>
        <v/>
      </c>
      <c r="J295" s="447">
        <f>IF($L295&gt;U$5,MAX(0,U$3+ROUND((U$9*($L295-U$5)),0)),IF($L295&gt;U$4,U$3,ROUND($L295*U$7,0)))</f>
        <v/>
      </c>
      <c r="K295" s="422" t="n"/>
      <c r="L295" s="448">
        <f>ROUND((A295+B295)/2,2)</f>
        <v/>
      </c>
    </row>
    <row r="296" ht="13.5" customHeight="1" s="7635">
      <c r="A296" s="448" t="n">
        <v>14650</v>
      </c>
      <c r="B296" s="447" t="n">
        <v>14700</v>
      </c>
      <c r="C296" s="1378">
        <f>IF($L296&gt;N$5,MAX(0,N$3+ROUND((N$9*($L296-N$5)),0)),IF($L296&gt;N$4,N$3,ROUND($L296*N$7,0)))</f>
        <v/>
      </c>
      <c r="D296" s="448">
        <f>IF($L296&gt;O$5,MAX(0,O$3+ROUND((O$9*($L296-O$5)),0)),IF($L296&gt;O$4,O$3,ROUND($L296*O$7,0)))</f>
        <v/>
      </c>
      <c r="E296" s="448">
        <f>IF($L296&gt;P$5,MAX(0,P$3+ROUND((P$9*($L296-P$5)),0)),IF($L296&gt;P$4,P$3,ROUND($L296*P$7,0)))</f>
        <v/>
      </c>
      <c r="F296" s="447">
        <f>IF($L296&gt;Q$5,MAX(0,Q$3+ROUND((Q$9*($L296-Q$5)),0)),IF($L296&gt;Q$4,Q$3,ROUND($L296*Q$7,0)))</f>
        <v/>
      </c>
      <c r="G296" s="1378">
        <f>IF($L296&gt;R$5,MAX(0,R$3+ROUND((R$9*($L296-R$5)),0)),IF($L296&gt;R$4,R$3,ROUND($L296*R$7,0)))</f>
        <v/>
      </c>
      <c r="H296" s="448">
        <f>IF($L296&gt;S$5,MAX(0,S$3+ROUND((S$9*($L296-S$5)),0)),IF($L296&gt;S$4,S$3,ROUND($L296*S$7,0)))</f>
        <v/>
      </c>
      <c r="I296" s="448">
        <f>IF($L296&gt;T$5,MAX(0,T$3+ROUND((T$9*($L296-T$5)),0)),IF($L296&gt;T$4,T$3,ROUND($L296*T$7,0)))</f>
        <v/>
      </c>
      <c r="J296" s="447">
        <f>IF($L296&gt;U$5,MAX(0,U$3+ROUND((U$9*($L296-U$5)),0)),IF($L296&gt;U$4,U$3,ROUND($L296*U$7,0)))</f>
        <v/>
      </c>
      <c r="K296" s="422" t="n"/>
      <c r="L296" s="448">
        <f>ROUND((A296+B296)/2,2)</f>
        <v/>
      </c>
    </row>
    <row r="297" ht="13.5" customHeight="1" s="7635">
      <c r="A297" s="448" t="n">
        <v>14700</v>
      </c>
      <c r="B297" s="447" t="n">
        <v>14750</v>
      </c>
      <c r="C297" s="1378">
        <f>IF($L297&gt;N$5,MAX(0,N$3+ROUND((N$9*($L297-N$5)),0)),IF($L297&gt;N$4,N$3,ROUND($L297*N$7,0)))</f>
        <v/>
      </c>
      <c r="D297" s="448">
        <f>IF($L297&gt;O$5,MAX(0,O$3+ROUND((O$9*($L297-O$5)),0)),IF($L297&gt;O$4,O$3,ROUND($L297*O$7,0)))</f>
        <v/>
      </c>
      <c r="E297" s="448">
        <f>IF($L297&gt;P$5,MAX(0,P$3+ROUND((P$9*($L297-P$5)),0)),IF($L297&gt;P$4,P$3,ROUND($L297*P$7,0)))</f>
        <v/>
      </c>
      <c r="F297" s="447">
        <f>IF($L297&gt;Q$5,MAX(0,Q$3+ROUND((Q$9*($L297-Q$5)),0)),IF($L297&gt;Q$4,Q$3,ROUND($L297*Q$7,0)))</f>
        <v/>
      </c>
      <c r="G297" s="1378">
        <f>IF($L297&gt;R$5,MAX(0,R$3+ROUND((R$9*($L297-R$5)),0)),IF($L297&gt;R$4,R$3,ROUND($L297*R$7,0)))</f>
        <v/>
      </c>
      <c r="H297" s="448">
        <f>IF($L297&gt;S$5,MAX(0,S$3+ROUND((S$9*($L297-S$5)),0)),IF($L297&gt;S$4,S$3,ROUND($L297*S$7,0)))</f>
        <v/>
      </c>
      <c r="I297" s="448">
        <f>IF($L297&gt;T$5,MAX(0,T$3+ROUND((T$9*($L297-T$5)),0)),IF($L297&gt;T$4,T$3,ROUND($L297*T$7,0)))</f>
        <v/>
      </c>
      <c r="J297" s="447">
        <f>IF($L297&gt;U$5,MAX(0,U$3+ROUND((U$9*($L297-U$5)),0)),IF($L297&gt;U$4,U$3,ROUND($L297*U$7,0)))</f>
        <v/>
      </c>
      <c r="K297" s="422" t="n"/>
      <c r="L297" s="448">
        <f>ROUND((A297+B297)/2,2)</f>
        <v/>
      </c>
    </row>
    <row r="298" ht="13.5" customHeight="1" s="7635">
      <c r="A298" s="448" t="n">
        <v>14750</v>
      </c>
      <c r="B298" s="447" t="n">
        <v>14800</v>
      </c>
      <c r="C298" s="1378">
        <f>IF($L298&gt;N$5,MAX(0,N$3+ROUND((N$9*($L298-N$5)),0)),IF($L298&gt;N$4,N$3,ROUND($L298*N$7,0)))</f>
        <v/>
      </c>
      <c r="D298" s="448">
        <f>IF($L298&gt;O$5,MAX(0,O$3+ROUND((O$9*($L298-O$5)),0)),IF($L298&gt;O$4,O$3,ROUND($L298*O$7,0)))</f>
        <v/>
      </c>
      <c r="E298" s="448">
        <f>IF($L298&gt;P$5,MAX(0,P$3+ROUND((P$9*($L298-P$5)),0)),IF($L298&gt;P$4,P$3,ROUND($L298*P$7,0)))</f>
        <v/>
      </c>
      <c r="F298" s="447">
        <f>IF($L298&gt;Q$5,MAX(0,Q$3+ROUND((Q$9*($L298-Q$5)),0)),IF($L298&gt;Q$4,Q$3,ROUND($L298*Q$7,0)))</f>
        <v/>
      </c>
      <c r="G298" s="1378">
        <f>IF($L298&gt;R$5,MAX(0,R$3+ROUND((R$9*($L298-R$5)),0)),IF($L298&gt;R$4,R$3,ROUND($L298*R$7,0)))</f>
        <v/>
      </c>
      <c r="H298" s="448">
        <f>IF($L298&gt;S$5,MAX(0,S$3+ROUND((S$9*($L298-S$5)),0)),IF($L298&gt;S$4,S$3,ROUND($L298*S$7,0)))</f>
        <v/>
      </c>
      <c r="I298" s="448">
        <f>IF($L298&gt;T$5,MAX(0,T$3+ROUND((T$9*($L298-T$5)),0)),IF($L298&gt;T$4,T$3,ROUND($L298*T$7,0)))</f>
        <v/>
      </c>
      <c r="J298" s="447">
        <f>IF($L298&gt;U$5,MAX(0,U$3+ROUND((U$9*($L298-U$5)),0)),IF($L298&gt;U$4,U$3,ROUND($L298*U$7,0)))</f>
        <v/>
      </c>
      <c r="K298" s="422" t="n"/>
      <c r="L298" s="448">
        <f>ROUND((A298+B298)/2,2)</f>
        <v/>
      </c>
    </row>
    <row r="299" ht="13.5" customHeight="1" s="7635">
      <c r="A299" s="448" t="n">
        <v>14800</v>
      </c>
      <c r="B299" s="447" t="n">
        <v>14850</v>
      </c>
      <c r="C299" s="1378">
        <f>IF($L299&gt;N$5,MAX(0,N$3+ROUND((N$9*($L299-N$5)),0)),IF($L299&gt;N$4,N$3,ROUND($L299*N$7,0)))</f>
        <v/>
      </c>
      <c r="D299" s="448">
        <f>IF($L299&gt;O$5,MAX(0,O$3+ROUND((O$9*($L299-O$5)),0)),IF($L299&gt;O$4,O$3,ROUND($L299*O$7,0)))</f>
        <v/>
      </c>
      <c r="E299" s="448">
        <f>IF($L299&gt;P$5,MAX(0,P$3+ROUND((P$9*($L299-P$5)),0)),IF($L299&gt;P$4,P$3,ROUND($L299*P$7,0)))</f>
        <v/>
      </c>
      <c r="F299" s="447">
        <f>IF($L299&gt;Q$5,MAX(0,Q$3+ROUND((Q$9*($L299-Q$5)),0)),IF($L299&gt;Q$4,Q$3,ROUND($L299*Q$7,0)))</f>
        <v/>
      </c>
      <c r="G299" s="1378">
        <f>IF($L299&gt;R$5,MAX(0,R$3+ROUND((R$9*($L299-R$5)),0)),IF($L299&gt;R$4,R$3,ROUND($L299*R$7,0)))</f>
        <v/>
      </c>
      <c r="H299" s="448">
        <f>IF($L299&gt;S$5,MAX(0,S$3+ROUND((S$9*($L299-S$5)),0)),IF($L299&gt;S$4,S$3,ROUND($L299*S$7,0)))</f>
        <v/>
      </c>
      <c r="I299" s="448">
        <f>IF($L299&gt;T$5,MAX(0,T$3+ROUND((T$9*($L299-T$5)),0)),IF($L299&gt;T$4,T$3,ROUND($L299*T$7,0)))</f>
        <v/>
      </c>
      <c r="J299" s="447">
        <f>IF($L299&gt;U$5,MAX(0,U$3+ROUND((U$9*($L299-U$5)),0)),IF($L299&gt;U$4,U$3,ROUND($L299*U$7,0)))</f>
        <v/>
      </c>
      <c r="K299" s="422" t="n"/>
      <c r="L299" s="448">
        <f>ROUND((A299+B299)/2,2)</f>
        <v/>
      </c>
    </row>
    <row r="300" ht="13.5" customHeight="1" s="7635">
      <c r="A300" s="448" t="n">
        <v>14850</v>
      </c>
      <c r="B300" s="447" t="n">
        <v>14900</v>
      </c>
      <c r="C300" s="1378">
        <f>IF($L300&gt;N$5,MAX(0,N$3+ROUND((N$9*($L300-N$5)),0)),IF($L300&gt;N$4,N$3,ROUND($L300*N$7,0)))</f>
        <v/>
      </c>
      <c r="D300" s="448">
        <f>IF($L300&gt;O$5,MAX(0,O$3+ROUND((O$9*($L300-O$5)),0)),IF($L300&gt;O$4,O$3,ROUND($L300*O$7,0)))</f>
        <v/>
      </c>
      <c r="E300" s="448">
        <f>IF($L300&gt;P$5,MAX(0,P$3+ROUND((P$9*($L300-P$5)),0)),IF($L300&gt;P$4,P$3,ROUND($L300*P$7,0)))</f>
        <v/>
      </c>
      <c r="F300" s="447">
        <f>IF($L300&gt;Q$5,MAX(0,Q$3+ROUND((Q$9*($L300-Q$5)),0)),IF($L300&gt;Q$4,Q$3,ROUND($L300*Q$7,0)))</f>
        <v/>
      </c>
      <c r="G300" s="1378">
        <f>IF($L300&gt;R$5,MAX(0,R$3+ROUND((R$9*($L300-R$5)),0)),IF($L300&gt;R$4,R$3,ROUND($L300*R$7,0)))</f>
        <v/>
      </c>
      <c r="H300" s="448">
        <f>IF($L300&gt;S$5,MAX(0,S$3+ROUND((S$9*($L300-S$5)),0)),IF($L300&gt;S$4,S$3,ROUND($L300*S$7,0)))</f>
        <v/>
      </c>
      <c r="I300" s="448">
        <f>IF($L300&gt;T$5,MAX(0,T$3+ROUND((T$9*($L300-T$5)),0)),IF($L300&gt;T$4,T$3,ROUND($L300*T$7,0)))</f>
        <v/>
      </c>
      <c r="J300" s="447">
        <f>IF($L300&gt;U$5,MAX(0,U$3+ROUND((U$9*($L300-U$5)),0)),IF($L300&gt;U$4,U$3,ROUND($L300*U$7,0)))</f>
        <v/>
      </c>
      <c r="K300" s="422" t="n"/>
      <c r="L300" s="448">
        <f>ROUND((A300+B300)/2,2)</f>
        <v/>
      </c>
    </row>
    <row r="301" ht="13.5" customHeight="1" s="7635">
      <c r="A301" s="448" t="n">
        <v>14900</v>
      </c>
      <c r="B301" s="447" t="n">
        <v>14950</v>
      </c>
      <c r="C301" s="1378">
        <f>IF($L301&gt;N$5,MAX(0,N$3+ROUND((N$9*($L301-N$5)),0)),IF($L301&gt;N$4,N$3,ROUND($L301*N$7,0)))</f>
        <v/>
      </c>
      <c r="D301" s="448">
        <f>IF($L301&gt;O$5,MAX(0,O$3+ROUND((O$9*($L301-O$5)),0)),IF($L301&gt;O$4,O$3,ROUND($L301*O$7,0)))</f>
        <v/>
      </c>
      <c r="E301" s="448">
        <f>IF($L301&gt;P$5,MAX(0,P$3+ROUND((P$9*($L301-P$5)),0)),IF($L301&gt;P$4,P$3,ROUND($L301*P$7,0)))</f>
        <v/>
      </c>
      <c r="F301" s="447">
        <f>IF($L301&gt;Q$5,MAX(0,Q$3+ROUND((Q$9*($L301-Q$5)),0)),IF($L301&gt;Q$4,Q$3,ROUND($L301*Q$7,0)))</f>
        <v/>
      </c>
      <c r="G301" s="1378">
        <f>IF($L301&gt;R$5,MAX(0,R$3+ROUND((R$9*($L301-R$5)),0)),IF($L301&gt;R$4,R$3,ROUND($L301*R$7,0)))</f>
        <v/>
      </c>
      <c r="H301" s="448">
        <f>IF($L301&gt;S$5,MAX(0,S$3+ROUND((S$9*($L301-S$5)),0)),IF($L301&gt;S$4,S$3,ROUND($L301*S$7,0)))</f>
        <v/>
      </c>
      <c r="I301" s="448">
        <f>IF($L301&gt;T$5,MAX(0,T$3+ROUND((T$9*($L301-T$5)),0)),IF($L301&gt;T$4,T$3,ROUND($L301*T$7,0)))</f>
        <v/>
      </c>
      <c r="J301" s="447">
        <f>IF($L301&gt;U$5,MAX(0,U$3+ROUND((U$9*($L301-U$5)),0)),IF($L301&gt;U$4,U$3,ROUND($L301*U$7,0)))</f>
        <v/>
      </c>
      <c r="K301" s="422" t="n"/>
      <c r="L301" s="448">
        <f>ROUND((A301+B301)/2,2)</f>
        <v/>
      </c>
    </row>
    <row r="302" ht="13.5" customHeight="1" s="7635">
      <c r="A302" s="448" t="n">
        <v>14950</v>
      </c>
      <c r="B302" s="447" t="n">
        <v>15000</v>
      </c>
      <c r="C302" s="1378">
        <f>IF($L302&gt;N$5,MAX(0,N$3+ROUND((N$9*($L302-N$5)),0)),IF($L302&gt;N$4,N$3,ROUND($L302*N$7,0)))</f>
        <v/>
      </c>
      <c r="D302" s="448">
        <f>IF($L302&gt;O$5,MAX(0,O$3+ROUND((O$9*($L302-O$5)),0)),IF($L302&gt;O$4,O$3,ROUND($L302*O$7,0)))</f>
        <v/>
      </c>
      <c r="E302" s="448">
        <f>IF($L302&gt;P$5,MAX(0,P$3+ROUND((P$9*($L302-P$5)),0)),IF($L302&gt;P$4,P$3,ROUND($L302*P$7,0)))</f>
        <v/>
      </c>
      <c r="F302" s="447">
        <f>IF($L302&gt;Q$5,MAX(0,Q$3+ROUND((Q$9*($L302-Q$5)),0)),IF($L302&gt;Q$4,Q$3,ROUND($L302*Q$7,0)))</f>
        <v/>
      </c>
      <c r="G302" s="1378">
        <f>IF($L302&gt;R$5,MAX(0,R$3+ROUND((R$9*($L302-R$5)),0)),IF($L302&gt;R$4,R$3,ROUND($L302*R$7,0)))</f>
        <v/>
      </c>
      <c r="H302" s="448">
        <f>IF($L302&gt;S$5,MAX(0,S$3+ROUND((S$9*($L302-S$5)),0)),IF($L302&gt;S$4,S$3,ROUND($L302*S$7,0)))</f>
        <v/>
      </c>
      <c r="I302" s="448">
        <f>IF($L302&gt;T$5,MAX(0,T$3+ROUND((T$9*($L302-T$5)),0)),IF($L302&gt;T$4,T$3,ROUND($L302*T$7,0)))</f>
        <v/>
      </c>
      <c r="J302" s="447">
        <f>IF($L302&gt;U$5,MAX(0,U$3+ROUND((U$9*($L302-U$5)),0)),IF($L302&gt;U$4,U$3,ROUND($L302*U$7,0)))</f>
        <v/>
      </c>
      <c r="K302" s="422" t="n"/>
      <c r="L302" s="448">
        <f>ROUND((A302+B302)/2,2)</f>
        <v/>
      </c>
    </row>
    <row r="303" ht="13.5" customHeight="1" s="7635">
      <c r="A303" s="448" t="n">
        <v>15000</v>
      </c>
      <c r="B303" s="447" t="n">
        <v>15050</v>
      </c>
      <c r="C303" s="1378">
        <f>IF($L303&gt;N$5,MAX(0,N$3+ROUND((N$9*($L303-N$5)),0)),IF($L303&gt;N$4,N$3,ROUND($L303*N$7,0)))</f>
        <v/>
      </c>
      <c r="D303" s="448">
        <f>IF($L303&gt;O$5,MAX(0,O$3+ROUND((O$9*($L303-O$5)),0)),IF($L303&gt;O$4,O$3,ROUND($L303*O$7,0)))</f>
        <v/>
      </c>
      <c r="E303" s="448">
        <f>IF($L303&gt;P$5,MAX(0,P$3+ROUND((P$9*($L303-P$5)),0)),IF($L303&gt;P$4,P$3,ROUND($L303*P$7,0)))</f>
        <v/>
      </c>
      <c r="F303" s="447">
        <f>IF($L303&gt;Q$5,MAX(0,Q$3+ROUND((Q$9*($L303-Q$5)),0)),IF($L303&gt;Q$4,Q$3,ROUND($L303*Q$7,0)))</f>
        <v/>
      </c>
      <c r="G303" s="1378">
        <f>IF($L303&gt;R$5,MAX(0,R$3+ROUND((R$9*($L303-R$5)),0)),IF($L303&gt;R$4,R$3,ROUND($L303*R$7,0)))</f>
        <v/>
      </c>
      <c r="H303" s="448">
        <f>IF($L303&gt;S$5,MAX(0,S$3+ROUND((S$9*($L303-S$5)),0)),IF($L303&gt;S$4,S$3,ROUND($L303*S$7,0)))</f>
        <v/>
      </c>
      <c r="I303" s="448">
        <f>IF($L303&gt;T$5,MAX(0,T$3+ROUND((T$9*($L303-T$5)),0)),IF($L303&gt;T$4,T$3,ROUND($L303*T$7,0)))</f>
        <v/>
      </c>
      <c r="J303" s="447">
        <f>IF($L303&gt;U$5,MAX(0,U$3+ROUND((U$9*($L303-U$5)),0)),IF($L303&gt;U$4,U$3,ROUND($L303*U$7,0)))</f>
        <v/>
      </c>
      <c r="K303" s="422" t="n"/>
      <c r="L303" s="448">
        <f>ROUND((A303+B303)/2,2)</f>
        <v/>
      </c>
    </row>
    <row r="304" ht="13.5" customHeight="1" s="7635">
      <c r="A304" s="448" t="n">
        <v>15050</v>
      </c>
      <c r="B304" s="447" t="n">
        <v>15100</v>
      </c>
      <c r="C304" s="1378">
        <f>IF($L304&gt;N$5,MAX(0,N$3+ROUND((N$9*($L304-N$5)),0)),IF($L304&gt;N$4,N$3,ROUND($L304*N$7,0)))</f>
        <v/>
      </c>
      <c r="D304" s="448">
        <f>IF($L304&gt;O$5,MAX(0,O$3+ROUND((O$9*($L304-O$5)),0)),IF($L304&gt;O$4,O$3,ROUND($L304*O$7,0)))</f>
        <v/>
      </c>
      <c r="E304" s="448">
        <f>IF($L304&gt;P$5,MAX(0,P$3+ROUND((P$9*($L304-P$5)),0)),IF($L304&gt;P$4,P$3,ROUND($L304*P$7,0)))</f>
        <v/>
      </c>
      <c r="F304" s="447">
        <f>IF($L304&gt;Q$5,MAX(0,Q$3+ROUND((Q$9*($L304-Q$5)),0)),IF($L304&gt;Q$4,Q$3,ROUND($L304*Q$7,0)))</f>
        <v/>
      </c>
      <c r="G304" s="1378">
        <f>IF($L304&gt;R$5,MAX(0,R$3+ROUND((R$9*($L304-R$5)),0)),IF($L304&gt;R$4,R$3,ROUND($L304*R$7,0)))</f>
        <v/>
      </c>
      <c r="H304" s="448">
        <f>IF($L304&gt;S$5,MAX(0,S$3+ROUND((S$9*($L304-S$5)),0)),IF($L304&gt;S$4,S$3,ROUND($L304*S$7,0)))</f>
        <v/>
      </c>
      <c r="I304" s="448">
        <f>IF($L304&gt;T$5,MAX(0,T$3+ROUND((T$9*($L304-T$5)),0)),IF($L304&gt;T$4,T$3,ROUND($L304*T$7,0)))</f>
        <v/>
      </c>
      <c r="J304" s="447">
        <f>IF($L304&gt;U$5,MAX(0,U$3+ROUND((U$9*($L304-U$5)),0)),IF($L304&gt;U$4,U$3,ROUND($L304*U$7,0)))</f>
        <v/>
      </c>
      <c r="K304" s="422" t="n"/>
      <c r="L304" s="448">
        <f>ROUND((A304+B304)/2,2)</f>
        <v/>
      </c>
    </row>
    <row r="305" ht="13.5" customHeight="1" s="7635">
      <c r="A305" s="448" t="n">
        <v>15100</v>
      </c>
      <c r="B305" s="447" t="n">
        <v>15150</v>
      </c>
      <c r="C305" s="1378">
        <f>IF($L305&gt;N$5,MAX(0,N$3+ROUND((N$9*($L305-N$5)),0)),IF($L305&gt;N$4,N$3,ROUND($L305*N$7,0)))</f>
        <v/>
      </c>
      <c r="D305" s="448">
        <f>IF($L305&gt;O$5,MAX(0,O$3+ROUND((O$9*($L305-O$5)),0)),IF($L305&gt;O$4,O$3,ROUND($L305*O$7,0)))</f>
        <v/>
      </c>
      <c r="E305" s="448">
        <f>IF($L305&gt;P$5,MAX(0,P$3+ROUND((P$9*($L305-P$5)),0)),IF($L305&gt;P$4,P$3,ROUND($L305*P$7,0)))</f>
        <v/>
      </c>
      <c r="F305" s="447">
        <f>IF($L305&gt;Q$5,MAX(0,Q$3+ROUND((Q$9*($L305-Q$5)),0)),IF($L305&gt;Q$4,Q$3,ROUND($L305*Q$7,0)))</f>
        <v/>
      </c>
      <c r="G305" s="1378">
        <f>IF($L305&gt;R$5,MAX(0,R$3+ROUND((R$9*($L305-R$5)),0)),IF($L305&gt;R$4,R$3,ROUND($L305*R$7,0)))</f>
        <v/>
      </c>
      <c r="H305" s="448">
        <f>IF($L305&gt;S$5,MAX(0,S$3+ROUND((S$9*($L305-S$5)),0)),IF($L305&gt;S$4,S$3,ROUND($L305*S$7,0)))</f>
        <v/>
      </c>
      <c r="I305" s="448">
        <f>IF($L305&gt;T$5,MAX(0,T$3+ROUND((T$9*($L305-T$5)),0)),IF($L305&gt;T$4,T$3,ROUND($L305*T$7,0)))</f>
        <v/>
      </c>
      <c r="J305" s="447">
        <f>IF($L305&gt;U$5,MAX(0,U$3+ROUND((U$9*($L305-U$5)),0)),IF($L305&gt;U$4,U$3,ROUND($L305*U$7,0)))</f>
        <v/>
      </c>
      <c r="K305" s="422" t="n"/>
      <c r="L305" s="448">
        <f>ROUND((A305+B305)/2,2)</f>
        <v/>
      </c>
    </row>
    <row r="306" ht="13.5" customHeight="1" s="7635">
      <c r="A306" s="448" t="n">
        <v>15150</v>
      </c>
      <c r="B306" s="447" t="n">
        <v>15200</v>
      </c>
      <c r="C306" s="1378">
        <f>IF($L306&gt;N$5,MAX(0,N$3+ROUND((N$9*($L306-N$5)),0)),IF($L306&gt;N$4,N$3,ROUND($L306*N$7,0)))</f>
        <v/>
      </c>
      <c r="D306" s="448">
        <f>IF($L306&gt;O$5,MAX(0,O$3+ROUND((O$9*($L306-O$5)),0)),IF($L306&gt;O$4,O$3,ROUND($L306*O$7,0)))</f>
        <v/>
      </c>
      <c r="E306" s="448">
        <f>IF($L306&gt;P$5,MAX(0,P$3+ROUND((P$9*($L306-P$5)),0)),IF($L306&gt;P$4,P$3,ROUND($L306*P$7,0)))</f>
        <v/>
      </c>
      <c r="F306" s="447">
        <f>IF($L306&gt;Q$5,MAX(0,Q$3+ROUND((Q$9*($L306-Q$5)),0)),IF($L306&gt;Q$4,Q$3,ROUND($L306*Q$7,0)))</f>
        <v/>
      </c>
      <c r="G306" s="1378">
        <f>IF($L306&gt;R$5,MAX(0,R$3+ROUND((R$9*($L306-R$5)),0)),IF($L306&gt;R$4,R$3,ROUND($L306*R$7,0)))</f>
        <v/>
      </c>
      <c r="H306" s="448">
        <f>IF($L306&gt;S$5,MAX(0,S$3+ROUND((S$9*($L306-S$5)),0)),IF($L306&gt;S$4,S$3,ROUND($L306*S$7,0)))</f>
        <v/>
      </c>
      <c r="I306" s="448">
        <f>IF($L306&gt;T$5,MAX(0,T$3+ROUND((T$9*($L306-T$5)),0)),IF($L306&gt;T$4,T$3,ROUND($L306*T$7,0)))</f>
        <v/>
      </c>
      <c r="J306" s="447">
        <f>IF($L306&gt;U$5,MAX(0,U$3+ROUND((U$9*($L306-U$5)),0)),IF($L306&gt;U$4,U$3,ROUND($L306*U$7,0)))</f>
        <v/>
      </c>
      <c r="K306" s="422" t="n"/>
      <c r="L306" s="448">
        <f>ROUND((A306+B306)/2,2)</f>
        <v/>
      </c>
    </row>
    <row r="307" ht="13.5" customHeight="1" s="7635">
      <c r="A307" s="448" t="n">
        <v>15200</v>
      </c>
      <c r="B307" s="447" t="n">
        <v>15250</v>
      </c>
      <c r="C307" s="1378">
        <f>IF($L307&gt;N$5,MAX(0,N$3+ROUND((N$9*($L307-N$5)),0)),IF($L307&gt;N$4,N$3,ROUND($L307*N$7,0)))</f>
        <v/>
      </c>
      <c r="D307" s="448">
        <f>IF($L307&gt;O$5,MAX(0,O$3+ROUND((O$9*($L307-O$5)),0)),IF($L307&gt;O$4,O$3,ROUND($L307*O$7,0)))</f>
        <v/>
      </c>
      <c r="E307" s="448">
        <f>IF($L307&gt;P$5,MAX(0,P$3+ROUND((P$9*($L307-P$5)),0)),IF($L307&gt;P$4,P$3,ROUND($L307*P$7,0)))</f>
        <v/>
      </c>
      <c r="F307" s="447">
        <f>IF($L307&gt;Q$5,MAX(0,Q$3+ROUND((Q$9*($L307-Q$5)),0)),IF($L307&gt;Q$4,Q$3,ROUND($L307*Q$7,0)))</f>
        <v/>
      </c>
      <c r="G307" s="1378">
        <f>IF($L307&gt;R$5,MAX(0,R$3+ROUND((R$9*($L307-R$5)),0)),IF($L307&gt;R$4,R$3,ROUND($L307*R$7,0)))</f>
        <v/>
      </c>
      <c r="H307" s="448">
        <f>IF($L307&gt;S$5,MAX(0,S$3+ROUND((S$9*($L307-S$5)),0)),IF($L307&gt;S$4,S$3,ROUND($L307*S$7,0)))</f>
        <v/>
      </c>
      <c r="I307" s="448">
        <f>IF($L307&gt;T$5,MAX(0,T$3+ROUND((T$9*($L307-T$5)),0)),IF($L307&gt;T$4,T$3,ROUND($L307*T$7,0)))</f>
        <v/>
      </c>
      <c r="J307" s="447">
        <f>IF($L307&gt;U$5,MAX(0,U$3+ROUND((U$9*($L307-U$5)),0)),IF($L307&gt;U$4,U$3,ROUND($L307*U$7,0)))</f>
        <v/>
      </c>
      <c r="K307" s="422" t="n"/>
      <c r="L307" s="448">
        <f>ROUND((A307+B307)/2,2)</f>
        <v/>
      </c>
    </row>
    <row r="308" ht="13.5" customHeight="1" s="7635">
      <c r="A308" s="448" t="n">
        <v>15250</v>
      </c>
      <c r="B308" s="447" t="n">
        <v>15300</v>
      </c>
      <c r="C308" s="1378">
        <f>IF($L308&gt;N$5,MAX(0,N$3+ROUND((N$9*($L308-N$5)),0)),IF($L308&gt;N$4,N$3,ROUND($L308*N$7,0)))</f>
        <v/>
      </c>
      <c r="D308" s="448">
        <f>IF($L308&gt;O$5,MAX(0,O$3+ROUND((O$9*($L308-O$5)),0)),IF($L308&gt;O$4,O$3,ROUND($L308*O$7,0)))</f>
        <v/>
      </c>
      <c r="E308" s="448">
        <f>IF($L308&gt;P$5,MAX(0,P$3+ROUND((P$9*($L308-P$5)),0)),IF($L308&gt;P$4,P$3,ROUND($L308*P$7,0)))</f>
        <v/>
      </c>
      <c r="F308" s="447">
        <f>IF($L308&gt;Q$5,MAX(0,Q$3+ROUND((Q$9*($L308-Q$5)),0)),IF($L308&gt;Q$4,Q$3,ROUND($L308*Q$7,0)))</f>
        <v/>
      </c>
      <c r="G308" s="1378">
        <f>IF($L308&gt;R$5,MAX(0,R$3+ROUND((R$9*($L308-R$5)),0)),IF($L308&gt;R$4,R$3,ROUND($L308*R$7,0)))</f>
        <v/>
      </c>
      <c r="H308" s="448">
        <f>IF($L308&gt;S$5,MAX(0,S$3+ROUND((S$9*($L308-S$5)),0)),IF($L308&gt;S$4,S$3,ROUND($L308*S$7,0)))</f>
        <v/>
      </c>
      <c r="I308" s="448">
        <f>IF($L308&gt;T$5,MAX(0,T$3+ROUND((T$9*($L308-T$5)),0)),IF($L308&gt;T$4,T$3,ROUND($L308*T$7,0)))</f>
        <v/>
      </c>
      <c r="J308" s="447">
        <f>IF($L308&gt;U$5,MAX(0,U$3+ROUND((U$9*($L308-U$5)),0)),IF($L308&gt;U$4,U$3,ROUND($L308*U$7,0)))</f>
        <v/>
      </c>
      <c r="K308" s="422" t="n"/>
      <c r="L308" s="448">
        <f>ROUND((A308+B308)/2,2)</f>
        <v/>
      </c>
    </row>
    <row r="309" ht="13.5" customHeight="1" s="7635">
      <c r="A309" s="448" t="n">
        <v>15300</v>
      </c>
      <c r="B309" s="447" t="n">
        <v>15350</v>
      </c>
      <c r="C309" s="1378">
        <f>IF($L309&gt;N$5,MAX(0,N$3+ROUND((N$9*($L309-N$5)),0)),IF($L309&gt;N$4,N$3,ROUND($L309*N$7,0)))</f>
        <v/>
      </c>
      <c r="D309" s="448">
        <f>IF($L309&gt;O$5,MAX(0,O$3+ROUND((O$9*($L309-O$5)),0)),IF($L309&gt;O$4,O$3,ROUND($L309*O$7,0)))</f>
        <v/>
      </c>
      <c r="E309" s="448">
        <f>IF($L309&gt;P$5,MAX(0,P$3+ROUND((P$9*($L309-P$5)),0)),IF($L309&gt;P$4,P$3,ROUND($L309*P$7,0)))</f>
        <v/>
      </c>
      <c r="F309" s="447">
        <f>IF($L309&gt;Q$5,MAX(0,Q$3+ROUND((Q$9*($L309-Q$5)),0)),IF($L309&gt;Q$4,Q$3,ROUND($L309*Q$7,0)))</f>
        <v/>
      </c>
      <c r="G309" s="1378">
        <f>IF($L309&gt;R$5,MAX(0,R$3+ROUND((R$9*($L309-R$5)),0)),IF($L309&gt;R$4,R$3,ROUND($L309*R$7,0)))</f>
        <v/>
      </c>
      <c r="H309" s="448">
        <f>IF($L309&gt;S$5,MAX(0,S$3+ROUND((S$9*($L309-S$5)),0)),IF($L309&gt;S$4,S$3,ROUND($L309*S$7,0)))</f>
        <v/>
      </c>
      <c r="I309" s="448">
        <f>IF($L309&gt;T$5,MAX(0,T$3+ROUND((T$9*($L309-T$5)),0)),IF($L309&gt;T$4,T$3,ROUND($L309*T$7,0)))</f>
        <v/>
      </c>
      <c r="J309" s="447">
        <f>IF($L309&gt;U$5,MAX(0,U$3+ROUND((U$9*($L309-U$5)),0)),IF($L309&gt;U$4,U$3,ROUND($L309*U$7,0)))</f>
        <v/>
      </c>
      <c r="K309" s="422" t="n"/>
      <c r="L309" s="448">
        <f>ROUND((A309+B309)/2,2)</f>
        <v/>
      </c>
    </row>
    <row r="310" ht="13.5" customHeight="1" s="7635">
      <c r="A310" s="448" t="n">
        <v>15350</v>
      </c>
      <c r="B310" s="447" t="n">
        <v>15400</v>
      </c>
      <c r="C310" s="1378">
        <f>IF($L310&gt;N$5,MAX(0,N$3+ROUND((N$9*($L310-N$5)),0)),IF($L310&gt;N$4,N$3,ROUND($L310*N$7,0)))</f>
        <v/>
      </c>
      <c r="D310" s="448">
        <f>IF($L310&gt;O$5,MAX(0,O$3+ROUND((O$9*($L310-O$5)),0)),IF($L310&gt;O$4,O$3,ROUND($L310*O$7,0)))</f>
        <v/>
      </c>
      <c r="E310" s="448">
        <f>IF($L310&gt;P$5,MAX(0,P$3+ROUND((P$9*($L310-P$5)),0)),IF($L310&gt;P$4,P$3,ROUND($L310*P$7,0)))</f>
        <v/>
      </c>
      <c r="F310" s="447">
        <f>IF($L310&gt;Q$5,MAX(0,Q$3+ROUND((Q$9*($L310-Q$5)),0)),IF($L310&gt;Q$4,Q$3,ROUND($L310*Q$7,0)))</f>
        <v/>
      </c>
      <c r="G310" s="1378">
        <f>IF($L310&gt;R$5,MAX(0,R$3+ROUND((R$9*($L310-R$5)),0)),IF($L310&gt;R$4,R$3,ROUND($L310*R$7,0)))</f>
        <v/>
      </c>
      <c r="H310" s="448">
        <f>IF($L310&gt;S$5,MAX(0,S$3+ROUND((S$9*($L310-S$5)),0)),IF($L310&gt;S$4,S$3,ROUND($L310*S$7,0)))</f>
        <v/>
      </c>
      <c r="I310" s="448">
        <f>IF($L310&gt;T$5,MAX(0,T$3+ROUND((T$9*($L310-T$5)),0)),IF($L310&gt;T$4,T$3,ROUND($L310*T$7,0)))</f>
        <v/>
      </c>
      <c r="J310" s="447">
        <f>IF($L310&gt;U$5,MAX(0,U$3+ROUND((U$9*($L310-U$5)),0)),IF($L310&gt;U$4,U$3,ROUND($L310*U$7,0)))</f>
        <v/>
      </c>
      <c r="K310" s="422" t="n"/>
      <c r="L310" s="448">
        <f>ROUND((A310+B310)/2,2)</f>
        <v/>
      </c>
    </row>
    <row r="311" ht="13.5" customHeight="1" s="7635">
      <c r="A311" s="448" t="n">
        <v>15400</v>
      </c>
      <c r="B311" s="447" t="n">
        <v>15450</v>
      </c>
      <c r="C311" s="1378">
        <f>IF($L311&gt;N$5,MAX(0,N$3+ROUND((N$9*($L311-N$5)),0)),IF($L311&gt;N$4,N$3,ROUND($L311*N$7,0)))</f>
        <v/>
      </c>
      <c r="D311" s="448">
        <f>IF($L311&gt;O$5,MAX(0,O$3+ROUND((O$9*($L311-O$5)),0)),IF($L311&gt;O$4,O$3,ROUND($L311*O$7,0)))</f>
        <v/>
      </c>
      <c r="E311" s="448">
        <f>IF($L311&gt;P$5,MAX(0,P$3+ROUND((P$9*($L311-P$5)),0)),IF($L311&gt;P$4,P$3,ROUND($L311*P$7,0)))</f>
        <v/>
      </c>
      <c r="F311" s="447">
        <f>IF($L311&gt;Q$5,MAX(0,Q$3+ROUND((Q$9*($L311-Q$5)),0)),IF($L311&gt;Q$4,Q$3,ROUND($L311*Q$7,0)))</f>
        <v/>
      </c>
      <c r="G311" s="1378">
        <f>IF($L311&gt;R$5,MAX(0,R$3+ROUND((R$9*($L311-R$5)),0)),IF($L311&gt;R$4,R$3,ROUND($L311*R$7,0)))</f>
        <v/>
      </c>
      <c r="H311" s="448">
        <f>IF($L311&gt;S$5,MAX(0,S$3+ROUND((S$9*($L311-S$5)),0)),IF($L311&gt;S$4,S$3,ROUND($L311*S$7,0)))</f>
        <v/>
      </c>
      <c r="I311" s="448">
        <f>IF($L311&gt;T$5,MAX(0,T$3+ROUND((T$9*($L311-T$5)),0)),IF($L311&gt;T$4,T$3,ROUND($L311*T$7,0)))</f>
        <v/>
      </c>
      <c r="J311" s="447">
        <f>IF($L311&gt;U$5,MAX(0,U$3+ROUND((U$9*($L311-U$5)),0)),IF($L311&gt;U$4,U$3,ROUND($L311*U$7,0)))</f>
        <v/>
      </c>
      <c r="K311" s="422" t="n"/>
      <c r="L311" s="448">
        <f>ROUND((A311+B311)/2,2)</f>
        <v/>
      </c>
    </row>
    <row r="312" ht="13.5" customHeight="1" s="7635">
      <c r="A312" s="448" t="n">
        <v>15450</v>
      </c>
      <c r="B312" s="447" t="n">
        <v>15500</v>
      </c>
      <c r="C312" s="1378">
        <f>IF($L312&gt;N$5,MAX(0,N$3+ROUND((N$9*($L312-N$5)),0)),IF($L312&gt;N$4,N$3,ROUND($L312*N$7,0)))</f>
        <v/>
      </c>
      <c r="D312" s="448">
        <f>IF($L312&gt;O$5,MAX(0,O$3+ROUND((O$9*($L312-O$5)),0)),IF($L312&gt;O$4,O$3,ROUND($L312*O$7,0)))</f>
        <v/>
      </c>
      <c r="E312" s="448">
        <f>IF($L312&gt;P$5,MAX(0,P$3+ROUND((P$9*($L312-P$5)),0)),IF($L312&gt;P$4,P$3,ROUND($L312*P$7,0)))</f>
        <v/>
      </c>
      <c r="F312" s="447">
        <f>IF($L312&gt;Q$5,MAX(0,Q$3+ROUND((Q$9*($L312-Q$5)),0)),IF($L312&gt;Q$4,Q$3,ROUND($L312*Q$7,0)))</f>
        <v/>
      </c>
      <c r="G312" s="1378">
        <f>IF($L312&gt;R$5,MAX(0,R$3+ROUND((R$9*($L312-R$5)),0)),IF($L312&gt;R$4,R$3,ROUND($L312*R$7,0)))</f>
        <v/>
      </c>
      <c r="H312" s="448">
        <f>IF($L312&gt;S$5,MAX(0,S$3+ROUND((S$9*($L312-S$5)),0)),IF($L312&gt;S$4,S$3,ROUND($L312*S$7,0)))</f>
        <v/>
      </c>
      <c r="I312" s="448">
        <f>IF($L312&gt;T$5,MAX(0,T$3+ROUND((T$9*($L312-T$5)),0)),IF($L312&gt;T$4,T$3,ROUND($L312*T$7,0)))</f>
        <v/>
      </c>
      <c r="J312" s="447">
        <f>IF($L312&gt;U$5,MAX(0,U$3+ROUND((U$9*($L312-U$5)),0)),IF($L312&gt;U$4,U$3,ROUND($L312*U$7,0)))</f>
        <v/>
      </c>
      <c r="K312" s="422" t="n"/>
      <c r="L312" s="448">
        <f>ROUND((A312+B312)/2,2)</f>
        <v/>
      </c>
    </row>
    <row r="313" ht="13.5" customHeight="1" s="7635">
      <c r="A313" s="448" t="n">
        <v>15500</v>
      </c>
      <c r="B313" s="447" t="n">
        <v>15550</v>
      </c>
      <c r="C313" s="1378">
        <f>IF($L313&gt;N$5,MAX(0,N$3+ROUND((N$9*($L313-N$5)),0)),IF($L313&gt;N$4,N$3,ROUND($L313*N$7,0)))</f>
        <v/>
      </c>
      <c r="D313" s="448">
        <f>IF($L313&gt;O$5,MAX(0,O$3+ROUND((O$9*($L313-O$5)),0)),IF($L313&gt;O$4,O$3,ROUND($L313*O$7,0)))</f>
        <v/>
      </c>
      <c r="E313" s="448">
        <f>IF($L313&gt;P$5,MAX(0,P$3+ROUND((P$9*($L313-P$5)),0)),IF($L313&gt;P$4,P$3,ROUND($L313*P$7,0)))</f>
        <v/>
      </c>
      <c r="F313" s="447">
        <f>IF($L313&gt;Q$5,MAX(0,Q$3+ROUND((Q$9*($L313-Q$5)),0)),IF($L313&gt;Q$4,Q$3,ROUND($L313*Q$7,0)))</f>
        <v/>
      </c>
      <c r="G313" s="1378">
        <f>IF($L313&gt;R$5,MAX(0,R$3+ROUND((R$9*($L313-R$5)),0)),IF($L313&gt;R$4,R$3,ROUND($L313*R$7,0)))</f>
        <v/>
      </c>
      <c r="H313" s="448">
        <f>IF($L313&gt;S$5,MAX(0,S$3+ROUND((S$9*($L313-S$5)),0)),IF($L313&gt;S$4,S$3,ROUND($L313*S$7,0)))</f>
        <v/>
      </c>
      <c r="I313" s="448">
        <f>IF($L313&gt;T$5,MAX(0,T$3+ROUND((T$9*($L313-T$5)),0)),IF($L313&gt;T$4,T$3,ROUND($L313*T$7,0)))</f>
        <v/>
      </c>
      <c r="J313" s="447">
        <f>IF($L313&gt;U$5,MAX(0,U$3+ROUND((U$9*($L313-U$5)),0)),IF($L313&gt;U$4,U$3,ROUND($L313*U$7,0)))</f>
        <v/>
      </c>
      <c r="K313" s="422" t="n"/>
      <c r="L313" s="448">
        <f>ROUND((A313+B313)/2,2)</f>
        <v/>
      </c>
    </row>
    <row r="314" ht="13.5" customHeight="1" s="7635">
      <c r="A314" s="448" t="n">
        <v>15550</v>
      </c>
      <c r="B314" s="447" t="n">
        <v>15600</v>
      </c>
      <c r="C314" s="1378">
        <f>IF($L314&gt;N$5,MAX(0,N$3+ROUND((N$9*($L314-N$5)),0)),IF($L314&gt;N$4,N$3,ROUND($L314*N$7,0)))</f>
        <v/>
      </c>
      <c r="D314" s="448">
        <f>IF($L314&gt;O$5,MAX(0,O$3+ROUND((O$9*($L314-O$5)),0)),IF($L314&gt;O$4,O$3,ROUND($L314*O$7,0)))</f>
        <v/>
      </c>
      <c r="E314" s="448">
        <f>IF($L314&gt;P$5,MAX(0,P$3+ROUND((P$9*($L314-P$5)),0)),IF($L314&gt;P$4,P$3,ROUND($L314*P$7,0)))</f>
        <v/>
      </c>
      <c r="F314" s="447">
        <f>IF($L314&gt;Q$5,MAX(0,Q$3+ROUND((Q$9*($L314-Q$5)),0)),IF($L314&gt;Q$4,Q$3,ROUND($L314*Q$7,0)))</f>
        <v/>
      </c>
      <c r="G314" s="1378">
        <f>IF($L314&gt;R$5,MAX(0,R$3+ROUND((R$9*($L314-R$5)),0)),IF($L314&gt;R$4,R$3,ROUND($L314*R$7,0)))</f>
        <v/>
      </c>
      <c r="H314" s="448">
        <f>IF($L314&gt;S$5,MAX(0,S$3+ROUND((S$9*($L314-S$5)),0)),IF($L314&gt;S$4,S$3,ROUND($L314*S$7,0)))</f>
        <v/>
      </c>
      <c r="I314" s="448">
        <f>IF($L314&gt;T$5,MAX(0,T$3+ROUND((T$9*($L314-T$5)),0)),IF($L314&gt;T$4,T$3,ROUND($L314*T$7,0)))</f>
        <v/>
      </c>
      <c r="J314" s="447">
        <f>IF($L314&gt;U$5,MAX(0,U$3+ROUND((U$9*($L314-U$5)),0)),IF($L314&gt;U$4,U$3,ROUND($L314*U$7,0)))</f>
        <v/>
      </c>
      <c r="K314" s="422" t="n"/>
      <c r="L314" s="448">
        <f>ROUND((A314+B314)/2,2)</f>
        <v/>
      </c>
    </row>
    <row r="315" ht="13.5" customHeight="1" s="7635">
      <c r="A315" s="448" t="n">
        <v>15600</v>
      </c>
      <c r="B315" s="447" t="n">
        <v>15650</v>
      </c>
      <c r="C315" s="1378">
        <f>IF($L315&gt;N$5,MAX(0,N$3+ROUND((N$9*($L315-N$5)),0)),IF($L315&gt;N$4,N$3,ROUND($L315*N$7,0)))</f>
        <v/>
      </c>
      <c r="D315" s="448">
        <f>IF($L315&gt;O$5,MAX(0,O$3+ROUND((O$9*($L315-O$5)),0)),IF($L315&gt;O$4,O$3,ROUND($L315*O$7,0)))</f>
        <v/>
      </c>
      <c r="E315" s="448">
        <f>IF($L315&gt;P$5,MAX(0,P$3+ROUND((P$9*($L315-P$5)),0)),IF($L315&gt;P$4,P$3,ROUND($L315*P$7,0)))</f>
        <v/>
      </c>
      <c r="F315" s="447">
        <f>IF($L315&gt;Q$5,MAX(0,Q$3+ROUND((Q$9*($L315-Q$5)),0)),IF($L315&gt;Q$4,Q$3,ROUND($L315*Q$7,0)))</f>
        <v/>
      </c>
      <c r="G315" s="1378">
        <f>IF($L315&gt;R$5,MAX(0,R$3+ROUND((R$9*($L315-R$5)),0)),IF($L315&gt;R$4,R$3,ROUND($L315*R$7,0)))</f>
        <v/>
      </c>
      <c r="H315" s="448">
        <f>IF($L315&gt;S$5,MAX(0,S$3+ROUND((S$9*($L315-S$5)),0)),IF($L315&gt;S$4,S$3,ROUND($L315*S$7,0)))</f>
        <v/>
      </c>
      <c r="I315" s="448">
        <f>IF($L315&gt;T$5,MAX(0,T$3+ROUND((T$9*($L315-T$5)),0)),IF($L315&gt;T$4,T$3,ROUND($L315*T$7,0)))</f>
        <v/>
      </c>
      <c r="J315" s="447">
        <f>IF($L315&gt;U$5,MAX(0,U$3+ROUND((U$9*($L315-U$5)),0)),IF($L315&gt;U$4,U$3,ROUND($L315*U$7,0)))</f>
        <v/>
      </c>
      <c r="K315" s="422" t="n"/>
      <c r="L315" s="448">
        <f>ROUND((A315+B315)/2,2)</f>
        <v/>
      </c>
    </row>
    <row r="316" ht="13.5" customHeight="1" s="7635">
      <c r="A316" s="448" t="n">
        <v>15650</v>
      </c>
      <c r="B316" s="447" t="n">
        <v>15700</v>
      </c>
      <c r="C316" s="1378">
        <f>IF($L316&gt;N$5,MAX(0,N$3+ROUND((N$9*($L316-N$5)),0)),IF($L316&gt;N$4,N$3,ROUND($L316*N$7,0)))</f>
        <v/>
      </c>
      <c r="D316" s="448">
        <f>IF($L316&gt;O$5,MAX(0,O$3+ROUND((O$9*($L316-O$5)),0)),IF($L316&gt;O$4,O$3,ROUND($L316*O$7,0)))</f>
        <v/>
      </c>
      <c r="E316" s="448">
        <f>IF($L316&gt;P$5,MAX(0,P$3+ROUND((P$9*($L316-P$5)),0)),IF($L316&gt;P$4,P$3,ROUND($L316*P$7,0)))</f>
        <v/>
      </c>
      <c r="F316" s="447">
        <f>IF($L316&gt;Q$5,MAX(0,Q$3+ROUND((Q$9*($L316-Q$5)),0)),IF($L316&gt;Q$4,Q$3,ROUND($L316*Q$7,0)))</f>
        <v/>
      </c>
      <c r="G316" s="1378">
        <f>IF($L316&gt;R$5,MAX(0,R$3+ROUND((R$9*($L316-R$5)),0)),IF($L316&gt;R$4,R$3,ROUND($L316*R$7,0)))</f>
        <v/>
      </c>
      <c r="H316" s="448">
        <f>IF($L316&gt;S$5,MAX(0,S$3+ROUND((S$9*($L316-S$5)),0)),IF($L316&gt;S$4,S$3,ROUND($L316*S$7,0)))</f>
        <v/>
      </c>
      <c r="I316" s="448">
        <f>IF($L316&gt;T$5,MAX(0,T$3+ROUND((T$9*($L316-T$5)),0)),IF($L316&gt;T$4,T$3,ROUND($L316*T$7,0)))</f>
        <v/>
      </c>
      <c r="J316" s="447">
        <f>IF($L316&gt;U$5,MAX(0,U$3+ROUND((U$9*($L316-U$5)),0)),IF($L316&gt;U$4,U$3,ROUND($L316*U$7,0)))</f>
        <v/>
      </c>
      <c r="K316" s="422" t="n"/>
      <c r="L316" s="448">
        <f>ROUND((A316+B316)/2,2)</f>
        <v/>
      </c>
    </row>
    <row r="317" ht="13.5" customHeight="1" s="7635">
      <c r="A317" s="448" t="n">
        <v>15700</v>
      </c>
      <c r="B317" s="447" t="n">
        <v>15750</v>
      </c>
      <c r="C317" s="1378">
        <f>IF($L317&gt;N$5,MAX(0,N$3+ROUND((N$9*($L317-N$5)),0)),IF($L317&gt;N$4,N$3,ROUND($L317*N$7,0)))</f>
        <v/>
      </c>
      <c r="D317" s="448">
        <f>IF($L317&gt;O$5,MAX(0,O$3+ROUND((O$9*($L317-O$5)),0)),IF($L317&gt;O$4,O$3,ROUND($L317*O$7,0)))</f>
        <v/>
      </c>
      <c r="E317" s="448">
        <f>IF($L317&gt;P$5,MAX(0,P$3+ROUND((P$9*($L317-P$5)),0)),IF($L317&gt;P$4,P$3,ROUND($L317*P$7,0)))</f>
        <v/>
      </c>
      <c r="F317" s="447">
        <f>IF($L317&gt;Q$5,MAX(0,Q$3+ROUND((Q$9*($L317-Q$5)),0)),IF($L317&gt;Q$4,Q$3,ROUND($L317*Q$7,0)))</f>
        <v/>
      </c>
      <c r="G317" s="1378">
        <f>IF($L317&gt;R$5,MAX(0,R$3+ROUND((R$9*($L317-R$5)),0)),IF($L317&gt;R$4,R$3,ROUND($L317*R$7,0)))</f>
        <v/>
      </c>
      <c r="H317" s="448">
        <f>IF($L317&gt;S$5,MAX(0,S$3+ROUND((S$9*($L317-S$5)),0)),IF($L317&gt;S$4,S$3,ROUND($L317*S$7,0)))</f>
        <v/>
      </c>
      <c r="I317" s="448">
        <f>IF($L317&gt;T$5,MAX(0,T$3+ROUND((T$9*($L317-T$5)),0)),IF($L317&gt;T$4,T$3,ROUND($L317*T$7,0)))</f>
        <v/>
      </c>
      <c r="J317" s="447">
        <f>IF($L317&gt;U$5,MAX(0,U$3+ROUND((U$9*($L317-U$5)),0)),IF($L317&gt;U$4,U$3,ROUND($L317*U$7,0)))</f>
        <v/>
      </c>
      <c r="K317" s="422" t="n"/>
      <c r="L317" s="448">
        <f>ROUND((A317+B317)/2,2)</f>
        <v/>
      </c>
    </row>
    <row r="318" ht="13.5" customHeight="1" s="7635">
      <c r="A318" s="448" t="n">
        <v>15750</v>
      </c>
      <c r="B318" s="447" t="n">
        <v>15800</v>
      </c>
      <c r="C318" s="1378">
        <f>IF($L318&gt;N$5,MAX(0,N$3+ROUND((N$9*($L318-N$5)),0)),IF($L318&gt;N$4,N$3,ROUND($L318*N$7,0)))</f>
        <v/>
      </c>
      <c r="D318" s="448">
        <f>IF($L318&gt;O$5,MAX(0,O$3+ROUND((O$9*($L318-O$5)),0)),IF($L318&gt;O$4,O$3,ROUND($L318*O$7,0)))</f>
        <v/>
      </c>
      <c r="E318" s="448">
        <f>IF($L318&gt;P$5,MAX(0,P$3+ROUND((P$9*($L318-P$5)),0)),IF($L318&gt;P$4,P$3,ROUND($L318*P$7,0)))</f>
        <v/>
      </c>
      <c r="F318" s="447">
        <f>IF($L318&gt;Q$5,MAX(0,Q$3+ROUND((Q$9*($L318-Q$5)),0)),IF($L318&gt;Q$4,Q$3,ROUND($L318*Q$7,0)))</f>
        <v/>
      </c>
      <c r="G318" s="1378">
        <f>IF($L318&gt;R$5,MAX(0,R$3+ROUND((R$9*($L318-R$5)),0)),IF($L318&gt;R$4,R$3,ROUND($L318*R$7,0)))</f>
        <v/>
      </c>
      <c r="H318" s="448">
        <f>IF($L318&gt;S$5,MAX(0,S$3+ROUND((S$9*($L318-S$5)),0)),IF($L318&gt;S$4,S$3,ROUND($L318*S$7,0)))</f>
        <v/>
      </c>
      <c r="I318" s="448">
        <f>IF($L318&gt;T$5,MAX(0,T$3+ROUND((T$9*($L318-T$5)),0)),IF($L318&gt;T$4,T$3,ROUND($L318*T$7,0)))</f>
        <v/>
      </c>
      <c r="J318" s="447">
        <f>IF($L318&gt;U$5,MAX(0,U$3+ROUND((U$9*($L318-U$5)),0)),IF($L318&gt;U$4,U$3,ROUND($L318*U$7,0)))</f>
        <v/>
      </c>
      <c r="K318" s="422" t="n"/>
      <c r="L318" s="448">
        <f>ROUND((A318+B318)/2,2)</f>
        <v/>
      </c>
    </row>
    <row r="319" ht="13.5" customHeight="1" s="7635">
      <c r="A319" s="448" t="n">
        <v>15800</v>
      </c>
      <c r="B319" s="447" t="n">
        <v>15850</v>
      </c>
      <c r="C319" s="1378">
        <f>IF($L319&gt;N$5,MAX(0,N$3+ROUND((N$9*($L319-N$5)),0)),IF($L319&gt;N$4,N$3,ROUND($L319*N$7,0)))</f>
        <v/>
      </c>
      <c r="D319" s="448">
        <f>IF($L319&gt;O$5,MAX(0,O$3+ROUND((O$9*($L319-O$5)),0)),IF($L319&gt;O$4,O$3,ROUND($L319*O$7,0)))</f>
        <v/>
      </c>
      <c r="E319" s="448">
        <f>IF($L319&gt;P$5,MAX(0,P$3+ROUND((P$9*($L319-P$5)),0)),IF($L319&gt;P$4,P$3,ROUND($L319*P$7,0)))</f>
        <v/>
      </c>
      <c r="F319" s="447">
        <f>IF($L319&gt;Q$5,MAX(0,Q$3+ROUND((Q$9*($L319-Q$5)),0)),IF($L319&gt;Q$4,Q$3,ROUND($L319*Q$7,0)))</f>
        <v/>
      </c>
      <c r="G319" s="1378">
        <f>IF($L319&gt;R$5,MAX(0,R$3+ROUND((R$9*($L319-R$5)),0)),IF($L319&gt;R$4,R$3,ROUND($L319*R$7,0)))</f>
        <v/>
      </c>
      <c r="H319" s="448">
        <f>IF($L319&gt;S$5,MAX(0,S$3+ROUND((S$9*($L319-S$5)),0)),IF($L319&gt;S$4,S$3,ROUND($L319*S$7,0)))</f>
        <v/>
      </c>
      <c r="I319" s="448">
        <f>IF($L319&gt;T$5,MAX(0,T$3+ROUND((T$9*($L319-T$5)),0)),IF($L319&gt;T$4,T$3,ROUND($L319*T$7,0)))</f>
        <v/>
      </c>
      <c r="J319" s="447">
        <f>IF($L319&gt;U$5,MAX(0,U$3+ROUND((U$9*($L319-U$5)),0)),IF($L319&gt;U$4,U$3,ROUND($L319*U$7,0)))</f>
        <v/>
      </c>
      <c r="K319" s="422" t="n"/>
      <c r="L319" s="448">
        <f>ROUND((A319+B319)/2,2)</f>
        <v/>
      </c>
    </row>
    <row r="320" ht="13.5" customHeight="1" s="7635">
      <c r="A320" s="448" t="n">
        <v>15850</v>
      </c>
      <c r="B320" s="447" t="n">
        <v>15900</v>
      </c>
      <c r="C320" s="1378">
        <f>IF($L320&gt;N$5,MAX(0,N$3+ROUND((N$9*($L320-N$5)),0)),IF($L320&gt;N$4,N$3,ROUND($L320*N$7,0)))</f>
        <v/>
      </c>
      <c r="D320" s="448">
        <f>IF($L320&gt;O$5,MAX(0,O$3+ROUND((O$9*($L320-O$5)),0)),IF($L320&gt;O$4,O$3,ROUND($L320*O$7,0)))</f>
        <v/>
      </c>
      <c r="E320" s="448">
        <f>IF($L320&gt;P$5,MAX(0,P$3+ROUND((P$9*($L320-P$5)),0)),IF($L320&gt;P$4,P$3,ROUND($L320*P$7,0)))</f>
        <v/>
      </c>
      <c r="F320" s="447">
        <f>IF($L320&gt;Q$5,MAX(0,Q$3+ROUND((Q$9*($L320-Q$5)),0)),IF($L320&gt;Q$4,Q$3,ROUND($L320*Q$7,0)))</f>
        <v/>
      </c>
      <c r="G320" s="1378">
        <f>IF($L320&gt;R$5,MAX(0,R$3+ROUND((R$9*($L320-R$5)),0)),IF($L320&gt;R$4,R$3,ROUND($L320*R$7,0)))</f>
        <v/>
      </c>
      <c r="H320" s="448">
        <f>IF($L320&gt;S$5,MAX(0,S$3+ROUND((S$9*($L320-S$5)),0)),IF($L320&gt;S$4,S$3,ROUND($L320*S$7,0)))</f>
        <v/>
      </c>
      <c r="I320" s="448">
        <f>IF($L320&gt;T$5,MAX(0,T$3+ROUND((T$9*($L320-T$5)),0)),IF($L320&gt;T$4,T$3,ROUND($L320*T$7,0)))</f>
        <v/>
      </c>
      <c r="J320" s="447">
        <f>IF($L320&gt;U$5,MAX(0,U$3+ROUND((U$9*($L320-U$5)),0)),IF($L320&gt;U$4,U$3,ROUND($L320*U$7,0)))</f>
        <v/>
      </c>
      <c r="K320" s="422" t="n"/>
      <c r="L320" s="448">
        <f>ROUND((A320+B320)/2,2)</f>
        <v/>
      </c>
    </row>
    <row r="321" ht="13.5" customHeight="1" s="7635">
      <c r="A321" s="448" t="n">
        <v>15900</v>
      </c>
      <c r="B321" s="447" t="n">
        <v>15950</v>
      </c>
      <c r="C321" s="1378">
        <f>IF($L321&gt;N$5,MAX(0,N$3+ROUND((N$9*($L321-N$5)),0)),IF($L321&gt;N$4,N$3,ROUND($L321*N$7,0)))</f>
        <v/>
      </c>
      <c r="D321" s="448">
        <f>IF($L321&gt;O$5,MAX(0,O$3+ROUND((O$9*($L321-O$5)),0)),IF($L321&gt;O$4,O$3,ROUND($L321*O$7,0)))</f>
        <v/>
      </c>
      <c r="E321" s="448">
        <f>IF($L321&gt;P$5,MAX(0,P$3+ROUND((P$9*($L321-P$5)),0)),IF($L321&gt;P$4,P$3,ROUND($L321*P$7,0)))</f>
        <v/>
      </c>
      <c r="F321" s="447">
        <f>IF($L321&gt;Q$5,MAX(0,Q$3+ROUND((Q$9*($L321-Q$5)),0)),IF($L321&gt;Q$4,Q$3,ROUND($L321*Q$7,0)))</f>
        <v/>
      </c>
      <c r="G321" s="1378">
        <f>IF($L321&gt;R$5,MAX(0,R$3+ROUND((R$9*($L321-R$5)),0)),IF($L321&gt;R$4,R$3,ROUND($L321*R$7,0)))</f>
        <v/>
      </c>
      <c r="H321" s="448">
        <f>IF($L321&gt;S$5,MAX(0,S$3+ROUND((S$9*($L321-S$5)),0)),IF($L321&gt;S$4,S$3,ROUND($L321*S$7,0)))</f>
        <v/>
      </c>
      <c r="I321" s="448">
        <f>IF($L321&gt;T$5,MAX(0,T$3+ROUND((T$9*($L321-T$5)),0)),IF($L321&gt;T$4,T$3,ROUND($L321*T$7,0)))</f>
        <v/>
      </c>
      <c r="J321" s="447">
        <f>IF($L321&gt;U$5,MAX(0,U$3+ROUND((U$9*($L321-U$5)),0)),IF($L321&gt;U$4,U$3,ROUND($L321*U$7,0)))</f>
        <v/>
      </c>
      <c r="K321" s="422" t="n"/>
      <c r="L321" s="448">
        <f>ROUND((A321+B321)/2,2)</f>
        <v/>
      </c>
    </row>
    <row r="322" ht="13.5" customHeight="1" s="7635">
      <c r="A322" s="448" t="n">
        <v>15950</v>
      </c>
      <c r="B322" s="447" t="n">
        <v>16000</v>
      </c>
      <c r="C322" s="1378">
        <f>IF($L322&gt;N$5,MAX(0,N$3+ROUND((N$9*($L322-N$5)),0)),IF($L322&gt;N$4,N$3,ROUND($L322*N$7,0)))</f>
        <v/>
      </c>
      <c r="D322" s="448">
        <f>IF($L322&gt;O$5,MAX(0,O$3+ROUND((O$9*($L322-O$5)),0)),IF($L322&gt;O$4,O$3,ROUND($L322*O$7,0)))</f>
        <v/>
      </c>
      <c r="E322" s="448">
        <f>IF($L322&gt;P$5,MAX(0,P$3+ROUND((P$9*($L322-P$5)),0)),IF($L322&gt;P$4,P$3,ROUND($L322*P$7,0)))</f>
        <v/>
      </c>
      <c r="F322" s="447">
        <f>IF($L322&gt;Q$5,MAX(0,Q$3+ROUND((Q$9*($L322-Q$5)),0)),IF($L322&gt;Q$4,Q$3,ROUND($L322*Q$7,0)))</f>
        <v/>
      </c>
      <c r="G322" s="1378">
        <f>IF($L322&gt;R$5,MAX(0,R$3+ROUND((R$9*($L322-R$5)),0)),IF($L322&gt;R$4,R$3,ROUND($L322*R$7,0)))</f>
        <v/>
      </c>
      <c r="H322" s="448">
        <f>IF($L322&gt;S$5,MAX(0,S$3+ROUND((S$9*($L322-S$5)),0)),IF($L322&gt;S$4,S$3,ROUND($L322*S$7,0)))</f>
        <v/>
      </c>
      <c r="I322" s="448">
        <f>IF($L322&gt;T$5,MAX(0,T$3+ROUND((T$9*($L322-T$5)),0)),IF($L322&gt;T$4,T$3,ROUND($L322*T$7,0)))</f>
        <v/>
      </c>
      <c r="J322" s="447">
        <f>IF($L322&gt;U$5,MAX(0,U$3+ROUND((U$9*($L322-U$5)),0)),IF($L322&gt;U$4,U$3,ROUND($L322*U$7,0)))</f>
        <v/>
      </c>
      <c r="K322" s="422" t="n"/>
      <c r="L322" s="448">
        <f>ROUND((A322+B322)/2,2)</f>
        <v/>
      </c>
    </row>
    <row r="323" ht="13.5" customHeight="1" s="7635">
      <c r="A323" s="448" t="n">
        <v>16000</v>
      </c>
      <c r="B323" s="447" t="n">
        <v>16050</v>
      </c>
      <c r="C323" s="1378">
        <f>IF($L323&gt;N$5,MAX(0,N$3+ROUND((N$9*($L323-N$5)),0)),IF($L323&gt;N$4,N$3,ROUND($L323*N$7,0)))</f>
        <v/>
      </c>
      <c r="D323" s="448">
        <f>IF($L323&gt;O$5,MAX(0,O$3+ROUND((O$9*($L323-O$5)),0)),IF($L323&gt;O$4,O$3,ROUND($L323*O$7,0)))</f>
        <v/>
      </c>
      <c r="E323" s="448">
        <f>IF($L323&gt;P$5,MAX(0,P$3+ROUND((P$9*($L323-P$5)),0)),IF($L323&gt;P$4,P$3,ROUND($L323*P$7,0)))</f>
        <v/>
      </c>
      <c r="F323" s="447">
        <f>IF($L323&gt;Q$5,MAX(0,Q$3+ROUND((Q$9*($L323-Q$5)),0)),IF($L323&gt;Q$4,Q$3,ROUND($L323*Q$7,0)))</f>
        <v/>
      </c>
      <c r="G323" s="1378">
        <f>IF($L323&gt;R$5,MAX(0,R$3+ROUND((R$9*($L323-R$5)),0)),IF($L323&gt;R$4,R$3,ROUND($L323*R$7,0)))</f>
        <v/>
      </c>
      <c r="H323" s="448">
        <f>IF($L323&gt;S$5,MAX(0,S$3+ROUND((S$9*($L323-S$5)),0)),IF($L323&gt;S$4,S$3,ROUND($L323*S$7,0)))</f>
        <v/>
      </c>
      <c r="I323" s="448">
        <f>IF($L323&gt;T$5,MAX(0,T$3+ROUND((T$9*($L323-T$5)),0)),IF($L323&gt;T$4,T$3,ROUND($L323*T$7,0)))</f>
        <v/>
      </c>
      <c r="J323" s="447">
        <f>IF($L323&gt;U$5,MAX(0,U$3+ROUND((U$9*($L323-U$5)),0)),IF($L323&gt;U$4,U$3,ROUND($L323*U$7,0)))</f>
        <v/>
      </c>
      <c r="K323" s="422" t="n"/>
      <c r="L323" s="448">
        <f>ROUND((A323+B323)/2,2)</f>
        <v/>
      </c>
    </row>
    <row r="324" ht="13.5" customHeight="1" s="7635">
      <c r="A324" s="448" t="n">
        <v>16050</v>
      </c>
      <c r="B324" s="447" t="n">
        <v>16100</v>
      </c>
      <c r="C324" s="1378">
        <f>IF($L324&gt;N$5,MAX(0,N$3+ROUND((N$9*($L324-N$5)),0)),IF($L324&gt;N$4,N$3,ROUND($L324*N$7,0)))</f>
        <v/>
      </c>
      <c r="D324" s="448">
        <f>IF($L324&gt;O$5,MAX(0,O$3+ROUND((O$9*($L324-O$5)),0)),IF($L324&gt;O$4,O$3,ROUND($L324*O$7,0)))</f>
        <v/>
      </c>
      <c r="E324" s="448">
        <f>IF($L324&gt;P$5,MAX(0,P$3+ROUND((P$9*($L324-P$5)),0)),IF($L324&gt;P$4,P$3,ROUND($L324*P$7,0)))</f>
        <v/>
      </c>
      <c r="F324" s="447">
        <f>IF($L324&gt;Q$5,MAX(0,Q$3+ROUND((Q$9*($L324-Q$5)),0)),IF($L324&gt;Q$4,Q$3,ROUND($L324*Q$7,0)))</f>
        <v/>
      </c>
      <c r="G324" s="1378">
        <f>IF($L324&gt;R$5,MAX(0,R$3+ROUND((R$9*($L324-R$5)),0)),IF($L324&gt;R$4,R$3,ROUND($L324*R$7,0)))</f>
        <v/>
      </c>
      <c r="H324" s="448">
        <f>IF($L324&gt;S$5,MAX(0,S$3+ROUND((S$9*($L324-S$5)),0)),IF($L324&gt;S$4,S$3,ROUND($L324*S$7,0)))</f>
        <v/>
      </c>
      <c r="I324" s="448">
        <f>IF($L324&gt;T$5,MAX(0,T$3+ROUND((T$9*($L324-T$5)),0)),IF($L324&gt;T$4,T$3,ROUND($L324*T$7,0)))</f>
        <v/>
      </c>
      <c r="J324" s="447">
        <f>IF($L324&gt;U$5,MAX(0,U$3+ROUND((U$9*($L324-U$5)),0)),IF($L324&gt;U$4,U$3,ROUND($L324*U$7,0)))</f>
        <v/>
      </c>
      <c r="K324" s="422" t="n"/>
      <c r="L324" s="448">
        <f>ROUND((A324+B324)/2,2)</f>
        <v/>
      </c>
    </row>
    <row r="325" ht="13.5" customHeight="1" s="7635">
      <c r="A325" s="448" t="n">
        <v>16100</v>
      </c>
      <c r="B325" s="447" t="n">
        <v>16150</v>
      </c>
      <c r="C325" s="1378">
        <f>IF($L325&gt;N$5,MAX(0,N$3+ROUND((N$9*($L325-N$5)),0)),IF($L325&gt;N$4,N$3,ROUND($L325*N$7,0)))</f>
        <v/>
      </c>
      <c r="D325" s="448">
        <f>IF($L325&gt;O$5,MAX(0,O$3+ROUND((O$9*($L325-O$5)),0)),IF($L325&gt;O$4,O$3,ROUND($L325*O$7,0)))</f>
        <v/>
      </c>
      <c r="E325" s="448">
        <f>IF($L325&gt;P$5,MAX(0,P$3+ROUND((P$9*($L325-P$5)),0)),IF($L325&gt;P$4,P$3,ROUND($L325*P$7,0)))</f>
        <v/>
      </c>
      <c r="F325" s="447">
        <f>IF($L325&gt;Q$5,MAX(0,Q$3+ROUND((Q$9*($L325-Q$5)),0)),IF($L325&gt;Q$4,Q$3,ROUND($L325*Q$7,0)))</f>
        <v/>
      </c>
      <c r="G325" s="1378">
        <f>IF($L325&gt;R$5,MAX(0,R$3+ROUND((R$9*($L325-R$5)),0)),IF($L325&gt;R$4,R$3,ROUND($L325*R$7,0)))</f>
        <v/>
      </c>
      <c r="H325" s="448">
        <f>IF($L325&gt;S$5,MAX(0,S$3+ROUND((S$9*($L325-S$5)),0)),IF($L325&gt;S$4,S$3,ROUND($L325*S$7,0)))</f>
        <v/>
      </c>
      <c r="I325" s="448">
        <f>IF($L325&gt;T$5,MAX(0,T$3+ROUND((T$9*($L325-T$5)),0)),IF($L325&gt;T$4,T$3,ROUND($L325*T$7,0)))</f>
        <v/>
      </c>
      <c r="J325" s="447">
        <f>IF($L325&gt;U$5,MAX(0,U$3+ROUND((U$9*($L325-U$5)),0)),IF($L325&gt;U$4,U$3,ROUND($L325*U$7,0)))</f>
        <v/>
      </c>
      <c r="K325" s="422" t="n"/>
      <c r="L325" s="448">
        <f>ROUND((A325+B325)/2,2)</f>
        <v/>
      </c>
    </row>
    <row r="326" ht="13.5" customHeight="1" s="7635">
      <c r="A326" s="448" t="n">
        <v>16150</v>
      </c>
      <c r="B326" s="447" t="n">
        <v>16200</v>
      </c>
      <c r="C326" s="1378">
        <f>IF($L326&gt;N$5,MAX(0,N$3+ROUND((N$9*($L326-N$5)),0)),IF($L326&gt;N$4,N$3,ROUND($L326*N$7,0)))</f>
        <v/>
      </c>
      <c r="D326" s="448">
        <f>IF($L326&gt;O$5,MAX(0,O$3+ROUND((O$9*($L326-O$5)),0)),IF($L326&gt;O$4,O$3,ROUND($L326*O$7,0)))</f>
        <v/>
      </c>
      <c r="E326" s="448">
        <f>IF($L326&gt;P$5,MAX(0,P$3+ROUND((P$9*($L326-P$5)),0)),IF($L326&gt;P$4,P$3,ROUND($L326*P$7,0)))</f>
        <v/>
      </c>
      <c r="F326" s="447">
        <f>IF($L326&gt;Q$5,MAX(0,Q$3+ROUND((Q$9*($L326-Q$5)),0)),IF($L326&gt;Q$4,Q$3,ROUND($L326*Q$7,0)))</f>
        <v/>
      </c>
      <c r="G326" s="1378">
        <f>IF($L326&gt;R$5,MAX(0,R$3+ROUND((R$9*($L326-R$5)),0)),IF($L326&gt;R$4,R$3,ROUND($L326*R$7,0)))</f>
        <v/>
      </c>
      <c r="H326" s="448">
        <f>IF($L326&gt;S$5,MAX(0,S$3+ROUND((S$9*($L326-S$5)),0)),IF($L326&gt;S$4,S$3,ROUND($L326*S$7,0)))</f>
        <v/>
      </c>
      <c r="I326" s="448">
        <f>IF($L326&gt;T$5,MAX(0,T$3+ROUND((T$9*($L326-T$5)),0)),IF($L326&gt;T$4,T$3,ROUND($L326*T$7,0)))</f>
        <v/>
      </c>
      <c r="J326" s="447">
        <f>IF($L326&gt;U$5,MAX(0,U$3+ROUND((U$9*($L326-U$5)),0)),IF($L326&gt;U$4,U$3,ROUND($L326*U$7,0)))</f>
        <v/>
      </c>
      <c r="K326" s="422" t="n"/>
      <c r="L326" s="448">
        <f>ROUND((A326+B326)/2,2)</f>
        <v/>
      </c>
    </row>
    <row r="327" ht="13.5" customHeight="1" s="7635">
      <c r="A327" s="448" t="n">
        <v>16200</v>
      </c>
      <c r="B327" s="447" t="n">
        <v>16250</v>
      </c>
      <c r="C327" s="1378">
        <f>IF($L327&gt;N$5,MAX(0,N$3+ROUND((N$9*($L327-N$5)),0)),IF($L327&gt;N$4,N$3,ROUND($L327*N$7,0)))</f>
        <v/>
      </c>
      <c r="D327" s="448">
        <f>IF($L327&gt;O$5,MAX(0,O$3+ROUND((O$9*($L327-O$5)),0)),IF($L327&gt;O$4,O$3,ROUND($L327*O$7,0)))</f>
        <v/>
      </c>
      <c r="E327" s="448">
        <f>IF($L327&gt;P$5,MAX(0,P$3+ROUND((P$9*($L327-P$5)),0)),IF($L327&gt;P$4,P$3,ROUND($L327*P$7,0)))</f>
        <v/>
      </c>
      <c r="F327" s="447">
        <f>IF($L327&gt;Q$5,MAX(0,Q$3+ROUND((Q$9*($L327-Q$5)),0)),IF($L327&gt;Q$4,Q$3,ROUND($L327*Q$7,0)))</f>
        <v/>
      </c>
      <c r="G327" s="1378">
        <f>IF($L327&gt;R$5,MAX(0,R$3+ROUND((R$9*($L327-R$5)),0)),IF($L327&gt;R$4,R$3,ROUND($L327*R$7,0)))</f>
        <v/>
      </c>
      <c r="H327" s="448">
        <f>IF($L327&gt;S$5,MAX(0,S$3+ROUND((S$9*($L327-S$5)),0)),IF($L327&gt;S$4,S$3,ROUND($L327*S$7,0)))</f>
        <v/>
      </c>
      <c r="I327" s="448">
        <f>IF($L327&gt;T$5,MAX(0,T$3+ROUND((T$9*($L327-T$5)),0)),IF($L327&gt;T$4,T$3,ROUND($L327*T$7,0)))</f>
        <v/>
      </c>
      <c r="J327" s="447">
        <f>IF($L327&gt;U$5,MAX(0,U$3+ROUND((U$9*($L327-U$5)),0)),IF($L327&gt;U$4,U$3,ROUND($L327*U$7,0)))</f>
        <v/>
      </c>
      <c r="K327" s="422" t="n"/>
      <c r="L327" s="448">
        <f>ROUND((A327+B327)/2,2)</f>
        <v/>
      </c>
    </row>
    <row r="328" ht="13.5" customHeight="1" s="7635">
      <c r="A328" s="448" t="n">
        <v>16250</v>
      </c>
      <c r="B328" s="447" t="n">
        <v>16300</v>
      </c>
      <c r="C328" s="1378">
        <f>IF($L328&gt;N$5,MAX(0,N$3+ROUND((N$9*($L328-N$5)),0)),IF($L328&gt;N$4,N$3,ROUND($L328*N$7,0)))</f>
        <v/>
      </c>
      <c r="D328" s="448">
        <f>IF($L328&gt;O$5,MAX(0,O$3+ROUND((O$9*($L328-O$5)),0)),IF($L328&gt;O$4,O$3,ROUND($L328*O$7,0)))</f>
        <v/>
      </c>
      <c r="E328" s="448">
        <f>IF($L328&gt;P$5,MAX(0,P$3+ROUND((P$9*($L328-P$5)),0)),IF($L328&gt;P$4,P$3,ROUND($L328*P$7,0)))</f>
        <v/>
      </c>
      <c r="F328" s="447">
        <f>IF($L328&gt;Q$5,MAX(0,Q$3+ROUND((Q$9*($L328-Q$5)),0)),IF($L328&gt;Q$4,Q$3,ROUND($L328*Q$7,0)))</f>
        <v/>
      </c>
      <c r="G328" s="1378">
        <f>IF($L328&gt;R$5,MAX(0,R$3+ROUND((R$9*($L328-R$5)),0)),IF($L328&gt;R$4,R$3,ROUND($L328*R$7,0)))</f>
        <v/>
      </c>
      <c r="H328" s="448">
        <f>IF($L328&gt;S$5,MAX(0,S$3+ROUND((S$9*($L328-S$5)),0)),IF($L328&gt;S$4,S$3,ROUND($L328*S$7,0)))</f>
        <v/>
      </c>
      <c r="I328" s="448">
        <f>IF($L328&gt;T$5,MAX(0,T$3+ROUND((T$9*($L328-T$5)),0)),IF($L328&gt;T$4,T$3,ROUND($L328*T$7,0)))</f>
        <v/>
      </c>
      <c r="J328" s="447">
        <f>IF($L328&gt;U$5,MAX(0,U$3+ROUND((U$9*($L328-U$5)),0)),IF($L328&gt;U$4,U$3,ROUND($L328*U$7,0)))</f>
        <v/>
      </c>
      <c r="K328" s="422" t="n"/>
      <c r="L328" s="448">
        <f>ROUND((A328+B328)/2,2)</f>
        <v/>
      </c>
    </row>
    <row r="329" ht="13.5" customHeight="1" s="7635">
      <c r="A329" s="448" t="n">
        <v>16300</v>
      </c>
      <c r="B329" s="447" t="n">
        <v>16350</v>
      </c>
      <c r="C329" s="1378">
        <f>IF($L329&gt;N$5,MAX(0,N$3+ROUND((N$9*($L329-N$5)),0)),IF($L329&gt;N$4,N$3,ROUND($L329*N$7,0)))</f>
        <v/>
      </c>
      <c r="D329" s="448">
        <f>IF($L329&gt;O$5,MAX(0,O$3+ROUND((O$9*($L329-O$5)),0)),IF($L329&gt;O$4,O$3,ROUND($L329*O$7,0)))</f>
        <v/>
      </c>
      <c r="E329" s="448">
        <f>IF($L329&gt;P$5,MAX(0,P$3+ROUND((P$9*($L329-P$5)),0)),IF($L329&gt;P$4,P$3,ROUND($L329*P$7,0)))</f>
        <v/>
      </c>
      <c r="F329" s="447">
        <f>IF($L329&gt;Q$5,MAX(0,Q$3+ROUND((Q$9*($L329-Q$5)),0)),IF($L329&gt;Q$4,Q$3,ROUND($L329*Q$7,0)))</f>
        <v/>
      </c>
      <c r="G329" s="1378">
        <f>IF($L329&gt;R$5,MAX(0,R$3+ROUND((R$9*($L329-R$5)),0)),IF($L329&gt;R$4,R$3,ROUND($L329*R$7,0)))</f>
        <v/>
      </c>
      <c r="H329" s="448">
        <f>IF($L329&gt;S$5,MAX(0,S$3+ROUND((S$9*($L329-S$5)),0)),IF($L329&gt;S$4,S$3,ROUND($L329*S$7,0)))</f>
        <v/>
      </c>
      <c r="I329" s="448">
        <f>IF($L329&gt;T$5,MAX(0,T$3+ROUND((T$9*($L329-T$5)),0)),IF($L329&gt;T$4,T$3,ROUND($L329*T$7,0)))</f>
        <v/>
      </c>
      <c r="J329" s="447">
        <f>IF($L329&gt;U$5,MAX(0,U$3+ROUND((U$9*($L329-U$5)),0)),IF($L329&gt;U$4,U$3,ROUND($L329*U$7,0)))</f>
        <v/>
      </c>
      <c r="K329" s="422" t="n"/>
      <c r="L329" s="448">
        <f>ROUND((A329+B329)/2,2)</f>
        <v/>
      </c>
    </row>
    <row r="330" ht="13.5" customHeight="1" s="7635">
      <c r="A330" s="448" t="n">
        <v>16350</v>
      </c>
      <c r="B330" s="447" t="n">
        <v>16400</v>
      </c>
      <c r="C330" s="1378">
        <f>IF($L330&gt;N$5,MAX(0,N$3+ROUND((N$9*($L330-N$5)),0)),IF($L330&gt;N$4,N$3,ROUND($L330*N$7,0)))</f>
        <v/>
      </c>
      <c r="D330" s="448">
        <f>IF($L330&gt;O$5,MAX(0,O$3+ROUND((O$9*($L330-O$5)),0)),IF($L330&gt;O$4,O$3,ROUND($L330*O$7,0)))</f>
        <v/>
      </c>
      <c r="E330" s="448">
        <f>IF($L330&gt;P$5,MAX(0,P$3+ROUND((P$9*($L330-P$5)),0)),IF($L330&gt;P$4,P$3,ROUND($L330*P$7,0)))</f>
        <v/>
      </c>
      <c r="F330" s="447">
        <f>IF($L330&gt;Q$5,MAX(0,Q$3+ROUND((Q$9*($L330-Q$5)),0)),IF($L330&gt;Q$4,Q$3,ROUND($L330*Q$7,0)))</f>
        <v/>
      </c>
      <c r="G330" s="1378">
        <f>IF($L330&gt;R$5,MAX(0,R$3+ROUND((R$9*($L330-R$5)),0)),IF($L330&gt;R$4,R$3,ROUND($L330*R$7,0)))</f>
        <v/>
      </c>
      <c r="H330" s="448">
        <f>IF($L330&gt;S$5,MAX(0,S$3+ROUND((S$9*($L330-S$5)),0)),IF($L330&gt;S$4,S$3,ROUND($L330*S$7,0)))</f>
        <v/>
      </c>
      <c r="I330" s="448">
        <f>IF($L330&gt;T$5,MAX(0,T$3+ROUND((T$9*($L330-T$5)),0)),IF($L330&gt;T$4,T$3,ROUND($L330*T$7,0)))</f>
        <v/>
      </c>
      <c r="J330" s="447">
        <f>IF($L330&gt;U$5,MAX(0,U$3+ROUND((U$9*($L330-U$5)),0)),IF($L330&gt;U$4,U$3,ROUND($L330*U$7,0)))</f>
        <v/>
      </c>
      <c r="K330" s="422" t="n"/>
      <c r="L330" s="448">
        <f>ROUND((A330+B330)/2,2)</f>
        <v/>
      </c>
    </row>
    <row r="331" ht="13.5" customHeight="1" s="7635">
      <c r="A331" s="448" t="n">
        <v>16400</v>
      </c>
      <c r="B331" s="447" t="n">
        <v>16450</v>
      </c>
      <c r="C331" s="1378">
        <f>IF($L331&gt;N$5,MAX(0,N$3+ROUND((N$9*($L331-N$5)),0)),IF($L331&gt;N$4,N$3,ROUND($L331*N$7,0)))</f>
        <v/>
      </c>
      <c r="D331" s="448">
        <f>IF($L331&gt;O$5,MAX(0,O$3+ROUND((O$9*($L331-O$5)),0)),IF($L331&gt;O$4,O$3,ROUND($L331*O$7,0)))</f>
        <v/>
      </c>
      <c r="E331" s="448">
        <f>IF($L331&gt;P$5,MAX(0,P$3+ROUND((P$9*($L331-P$5)),0)),IF($L331&gt;P$4,P$3,ROUND($L331*P$7,0)))</f>
        <v/>
      </c>
      <c r="F331" s="447">
        <f>IF($L331&gt;Q$5,MAX(0,Q$3+ROUND((Q$9*($L331-Q$5)),0)),IF($L331&gt;Q$4,Q$3,ROUND($L331*Q$7,0)))</f>
        <v/>
      </c>
      <c r="G331" s="1378">
        <f>IF($L331&gt;R$5,MAX(0,R$3+ROUND((R$9*($L331-R$5)),0)),IF($L331&gt;R$4,R$3,ROUND($L331*R$7,0)))</f>
        <v/>
      </c>
      <c r="H331" s="448">
        <f>IF($L331&gt;S$5,MAX(0,S$3+ROUND((S$9*($L331-S$5)),0)),IF($L331&gt;S$4,S$3,ROUND($L331*S$7,0)))</f>
        <v/>
      </c>
      <c r="I331" s="448">
        <f>IF($L331&gt;T$5,MAX(0,T$3+ROUND((T$9*($L331-T$5)),0)),IF($L331&gt;T$4,T$3,ROUND($L331*T$7,0)))</f>
        <v/>
      </c>
      <c r="J331" s="447">
        <f>IF($L331&gt;U$5,MAX(0,U$3+ROUND((U$9*($L331-U$5)),0)),IF($L331&gt;U$4,U$3,ROUND($L331*U$7,0)))</f>
        <v/>
      </c>
      <c r="K331" s="422" t="n"/>
      <c r="L331" s="448">
        <f>ROUND((A331+B331)/2,2)</f>
        <v/>
      </c>
    </row>
    <row r="332" ht="13.5" customHeight="1" s="7635">
      <c r="A332" s="448" t="n">
        <v>16450</v>
      </c>
      <c r="B332" s="447" t="n">
        <v>16500</v>
      </c>
      <c r="C332" s="1378">
        <f>IF($L332&gt;N$5,MAX(0,N$3+ROUND((N$9*($L332-N$5)),0)),IF($L332&gt;N$4,N$3,ROUND($L332*N$7,0)))</f>
        <v/>
      </c>
      <c r="D332" s="448">
        <f>IF($L332&gt;O$5,MAX(0,O$3+ROUND((O$9*($L332-O$5)),0)),IF($L332&gt;O$4,O$3,ROUND($L332*O$7,0)))</f>
        <v/>
      </c>
      <c r="E332" s="448">
        <f>IF($L332&gt;P$5,MAX(0,P$3+ROUND((P$9*($L332-P$5)),0)),IF($L332&gt;P$4,P$3,ROUND($L332*P$7,0)))</f>
        <v/>
      </c>
      <c r="F332" s="447">
        <f>IF($L332&gt;Q$5,MAX(0,Q$3+ROUND((Q$9*($L332-Q$5)),0)),IF($L332&gt;Q$4,Q$3,ROUND($L332*Q$7,0)))</f>
        <v/>
      </c>
      <c r="G332" s="1378">
        <f>IF($L332&gt;R$5,MAX(0,R$3+ROUND((R$9*($L332-R$5)),0)),IF($L332&gt;R$4,R$3,ROUND($L332*R$7,0)))</f>
        <v/>
      </c>
      <c r="H332" s="448">
        <f>IF($L332&gt;S$5,MAX(0,S$3+ROUND((S$9*($L332-S$5)),0)),IF($L332&gt;S$4,S$3,ROUND($L332*S$7,0)))</f>
        <v/>
      </c>
      <c r="I332" s="448">
        <f>IF($L332&gt;T$5,MAX(0,T$3+ROUND((T$9*($L332-T$5)),0)),IF($L332&gt;T$4,T$3,ROUND($L332*T$7,0)))</f>
        <v/>
      </c>
      <c r="J332" s="447">
        <f>IF($L332&gt;U$5,MAX(0,U$3+ROUND((U$9*($L332-U$5)),0)),IF($L332&gt;U$4,U$3,ROUND($L332*U$7,0)))</f>
        <v/>
      </c>
      <c r="K332" s="422" t="n"/>
      <c r="L332" s="448">
        <f>ROUND((A332+B332)/2,2)</f>
        <v/>
      </c>
    </row>
    <row r="333" ht="13.5" customHeight="1" s="7635">
      <c r="A333" s="448" t="n">
        <v>16500</v>
      </c>
      <c r="B333" s="447" t="n">
        <v>16550</v>
      </c>
      <c r="C333" s="1378">
        <f>IF($L333&gt;N$5,MAX(0,N$3+ROUND((N$9*($L333-N$5)),0)),IF($L333&gt;N$4,N$3,ROUND($L333*N$7,0)))</f>
        <v/>
      </c>
      <c r="D333" s="448">
        <f>IF($L333&gt;O$5,MAX(0,O$3+ROUND((O$9*($L333-O$5)),0)),IF($L333&gt;O$4,O$3,ROUND($L333*O$7,0)))</f>
        <v/>
      </c>
      <c r="E333" s="448">
        <f>IF($L333&gt;P$5,MAX(0,P$3+ROUND((P$9*($L333-P$5)),0)),IF($L333&gt;P$4,P$3,ROUND($L333*P$7,0)))</f>
        <v/>
      </c>
      <c r="F333" s="447">
        <f>IF($L333&gt;Q$5,MAX(0,Q$3+ROUND((Q$9*($L333-Q$5)),0)),IF($L333&gt;Q$4,Q$3,ROUND($L333*Q$7,0)))</f>
        <v/>
      </c>
      <c r="G333" s="1378">
        <f>IF($L333&gt;R$5,MAX(0,R$3+ROUND((R$9*($L333-R$5)),0)),IF($L333&gt;R$4,R$3,ROUND($L333*R$7,0)))</f>
        <v/>
      </c>
      <c r="H333" s="448">
        <f>IF($L333&gt;S$5,MAX(0,S$3+ROUND((S$9*($L333-S$5)),0)),IF($L333&gt;S$4,S$3,ROUND($L333*S$7,0)))</f>
        <v/>
      </c>
      <c r="I333" s="448">
        <f>IF($L333&gt;T$5,MAX(0,T$3+ROUND((T$9*($L333-T$5)),0)),IF($L333&gt;T$4,T$3,ROUND($L333*T$7,0)))</f>
        <v/>
      </c>
      <c r="J333" s="447">
        <f>IF($L333&gt;U$5,MAX(0,U$3+ROUND((U$9*($L333-U$5)),0)),IF($L333&gt;U$4,U$3,ROUND($L333*U$7,0)))</f>
        <v/>
      </c>
      <c r="K333" s="422" t="n"/>
      <c r="L333" s="448">
        <f>ROUND((A333+B333)/2,2)</f>
        <v/>
      </c>
    </row>
    <row r="334" ht="13.5" customHeight="1" s="7635">
      <c r="A334" s="448" t="n">
        <v>16550</v>
      </c>
      <c r="B334" s="447" t="n">
        <v>16600</v>
      </c>
      <c r="C334" s="1378">
        <f>IF($L334&gt;N$5,MAX(0,N$3+ROUND((N$9*($L334-N$5)),0)),IF($L334&gt;N$4,N$3,ROUND($L334*N$7,0)))</f>
        <v/>
      </c>
      <c r="D334" s="448">
        <f>IF($L334&gt;O$5,MAX(0,O$3+ROUND((O$9*($L334-O$5)),0)),IF($L334&gt;O$4,O$3,ROUND($L334*O$7,0)))</f>
        <v/>
      </c>
      <c r="E334" s="448">
        <f>IF($L334&gt;P$5,MAX(0,P$3+ROUND((P$9*($L334-P$5)),0)),IF($L334&gt;P$4,P$3,ROUND($L334*P$7,0)))</f>
        <v/>
      </c>
      <c r="F334" s="447">
        <f>IF($L334&gt;Q$5,MAX(0,Q$3+ROUND((Q$9*($L334-Q$5)),0)),IF($L334&gt;Q$4,Q$3,ROUND($L334*Q$7,0)))</f>
        <v/>
      </c>
      <c r="G334" s="1378">
        <f>IF($L334&gt;R$5,MAX(0,R$3+ROUND((R$9*($L334-R$5)),0)),IF($L334&gt;R$4,R$3,ROUND($L334*R$7,0)))</f>
        <v/>
      </c>
      <c r="H334" s="448">
        <f>IF($L334&gt;S$5,MAX(0,S$3+ROUND((S$9*($L334-S$5)),0)),IF($L334&gt;S$4,S$3,ROUND($L334*S$7,0)))</f>
        <v/>
      </c>
      <c r="I334" s="448">
        <f>IF($L334&gt;T$5,MAX(0,T$3+ROUND((T$9*($L334-T$5)),0)),IF($L334&gt;T$4,T$3,ROUND($L334*T$7,0)))</f>
        <v/>
      </c>
      <c r="J334" s="447">
        <f>IF($L334&gt;U$5,MAX(0,U$3+ROUND((U$9*($L334-U$5)),0)),IF($L334&gt;U$4,U$3,ROUND($L334*U$7,0)))</f>
        <v/>
      </c>
      <c r="K334" s="422" t="n"/>
      <c r="L334" s="448">
        <f>ROUND((A334+B334)/2,2)</f>
        <v/>
      </c>
    </row>
    <row r="335" ht="13.5" customHeight="1" s="7635">
      <c r="A335" s="448" t="n">
        <v>16600</v>
      </c>
      <c r="B335" s="447" t="n">
        <v>16650</v>
      </c>
      <c r="C335" s="1378">
        <f>IF($L335&gt;N$5,MAX(0,N$3+ROUND((N$9*($L335-N$5)),0)),IF($L335&gt;N$4,N$3,ROUND($L335*N$7,0)))</f>
        <v/>
      </c>
      <c r="D335" s="448">
        <f>IF($L335&gt;O$5,MAX(0,O$3+ROUND((O$9*($L335-O$5)),0)),IF($L335&gt;O$4,O$3,ROUND($L335*O$7,0)))</f>
        <v/>
      </c>
      <c r="E335" s="448">
        <f>IF($L335&gt;P$5,MAX(0,P$3+ROUND((P$9*($L335-P$5)),0)),IF($L335&gt;P$4,P$3,ROUND($L335*P$7,0)))</f>
        <v/>
      </c>
      <c r="F335" s="447">
        <f>IF($L335&gt;Q$5,MAX(0,Q$3+ROUND((Q$9*($L335-Q$5)),0)),IF($L335&gt;Q$4,Q$3,ROUND($L335*Q$7,0)))</f>
        <v/>
      </c>
      <c r="G335" s="1378">
        <f>IF($L335&gt;R$5,MAX(0,R$3+ROUND((R$9*($L335-R$5)),0)),IF($L335&gt;R$4,R$3,ROUND($L335*R$7,0)))</f>
        <v/>
      </c>
      <c r="H335" s="448">
        <f>IF($L335&gt;S$5,MAX(0,S$3+ROUND((S$9*($L335-S$5)),0)),IF($L335&gt;S$4,S$3,ROUND($L335*S$7,0)))</f>
        <v/>
      </c>
      <c r="I335" s="448">
        <f>IF($L335&gt;T$5,MAX(0,T$3+ROUND((T$9*($L335-T$5)),0)),IF($L335&gt;T$4,T$3,ROUND($L335*T$7,0)))</f>
        <v/>
      </c>
      <c r="J335" s="447">
        <f>IF($L335&gt;U$5,MAX(0,U$3+ROUND((U$9*($L335-U$5)),0)),IF($L335&gt;U$4,U$3,ROUND($L335*U$7,0)))</f>
        <v/>
      </c>
      <c r="K335" s="422" t="n"/>
      <c r="L335" s="448">
        <f>ROUND((A335+B335)/2,2)</f>
        <v/>
      </c>
    </row>
    <row r="336" ht="13.5" customHeight="1" s="7635">
      <c r="A336" s="448" t="n">
        <v>16650</v>
      </c>
      <c r="B336" s="447" t="n">
        <v>16700</v>
      </c>
      <c r="C336" s="1378">
        <f>IF($L336&gt;N$5,MAX(0,N$3+ROUND((N$9*($L336-N$5)),0)),IF($L336&gt;N$4,N$3,ROUND($L336*N$7,0)))</f>
        <v/>
      </c>
      <c r="D336" s="448">
        <f>IF($L336&gt;O$5,MAX(0,O$3+ROUND((O$9*($L336-O$5)),0)),IF($L336&gt;O$4,O$3,ROUND($L336*O$7,0)))</f>
        <v/>
      </c>
      <c r="E336" s="448">
        <f>IF($L336&gt;P$5,MAX(0,P$3+ROUND((P$9*($L336-P$5)),0)),IF($L336&gt;P$4,P$3,ROUND($L336*P$7,0)))</f>
        <v/>
      </c>
      <c r="F336" s="447">
        <f>IF($L336&gt;Q$5,MAX(0,Q$3+ROUND((Q$9*($L336-Q$5)),0)),IF($L336&gt;Q$4,Q$3,ROUND($L336*Q$7,0)))</f>
        <v/>
      </c>
      <c r="G336" s="1378">
        <f>IF($L336&gt;R$5,MAX(0,R$3+ROUND((R$9*($L336-R$5)),0)),IF($L336&gt;R$4,R$3,ROUND($L336*R$7,0)))</f>
        <v/>
      </c>
      <c r="H336" s="448">
        <f>IF($L336&gt;S$5,MAX(0,S$3+ROUND((S$9*($L336-S$5)),0)),IF($L336&gt;S$4,S$3,ROUND($L336*S$7,0)))</f>
        <v/>
      </c>
      <c r="I336" s="448">
        <f>IF($L336&gt;T$5,MAX(0,T$3+ROUND((T$9*($L336-T$5)),0)),IF($L336&gt;T$4,T$3,ROUND($L336*T$7,0)))</f>
        <v/>
      </c>
      <c r="J336" s="447">
        <f>IF($L336&gt;U$5,MAX(0,U$3+ROUND((U$9*($L336-U$5)),0)),IF($L336&gt;U$4,U$3,ROUND($L336*U$7,0)))</f>
        <v/>
      </c>
      <c r="K336" s="422" t="n"/>
      <c r="L336" s="448">
        <f>ROUND((A336+B336)/2,2)</f>
        <v/>
      </c>
    </row>
    <row r="337" ht="13.5" customHeight="1" s="7635">
      <c r="A337" s="448" t="n">
        <v>16700</v>
      </c>
      <c r="B337" s="447" t="n">
        <v>16750</v>
      </c>
      <c r="C337" s="1378">
        <f>IF($L337&gt;N$5,MAX(0,N$3+ROUND((N$9*($L337-N$5)),0)),IF($L337&gt;N$4,N$3,ROUND($L337*N$7,0)))</f>
        <v/>
      </c>
      <c r="D337" s="448">
        <f>IF($L337&gt;O$5,MAX(0,O$3+ROUND((O$9*($L337-O$5)),0)),IF($L337&gt;O$4,O$3,ROUND($L337*O$7,0)))</f>
        <v/>
      </c>
      <c r="E337" s="448">
        <f>IF($L337&gt;P$5,MAX(0,P$3+ROUND((P$9*($L337-P$5)),0)),IF($L337&gt;P$4,P$3,ROUND($L337*P$7,0)))</f>
        <v/>
      </c>
      <c r="F337" s="447">
        <f>IF($L337&gt;Q$5,MAX(0,Q$3+ROUND((Q$9*($L337-Q$5)),0)),IF($L337&gt;Q$4,Q$3,ROUND($L337*Q$7,0)))</f>
        <v/>
      </c>
      <c r="G337" s="1378">
        <f>IF($L337&gt;R$5,MAX(0,R$3+ROUND((R$9*($L337-R$5)),0)),IF($L337&gt;R$4,R$3,ROUND($L337*R$7,0)))</f>
        <v/>
      </c>
      <c r="H337" s="448">
        <f>IF($L337&gt;S$5,MAX(0,S$3+ROUND((S$9*($L337-S$5)),0)),IF($L337&gt;S$4,S$3,ROUND($L337*S$7,0)))</f>
        <v/>
      </c>
      <c r="I337" s="448">
        <f>IF($L337&gt;T$5,MAX(0,T$3+ROUND((T$9*($L337-T$5)),0)),IF($L337&gt;T$4,T$3,ROUND($L337*T$7,0)))</f>
        <v/>
      </c>
      <c r="J337" s="447">
        <f>IF($L337&gt;U$5,MAX(0,U$3+ROUND((U$9*($L337-U$5)),0)),IF($L337&gt;U$4,U$3,ROUND($L337*U$7,0)))</f>
        <v/>
      </c>
      <c r="K337" s="422" t="n"/>
      <c r="L337" s="448">
        <f>ROUND((A337+B337)/2,2)</f>
        <v/>
      </c>
    </row>
    <row r="338" ht="13.5" customHeight="1" s="7635">
      <c r="A338" s="448" t="n">
        <v>16750</v>
      </c>
      <c r="B338" s="447" t="n">
        <v>16800</v>
      </c>
      <c r="C338" s="1378">
        <f>IF($L338&gt;N$5,MAX(0,N$3+ROUND((N$9*($L338-N$5)),0)),IF($L338&gt;N$4,N$3,ROUND($L338*N$7,0)))</f>
        <v/>
      </c>
      <c r="D338" s="448">
        <f>IF($L338&gt;O$5,MAX(0,O$3+ROUND((O$9*($L338-O$5)),0)),IF($L338&gt;O$4,O$3,ROUND($L338*O$7,0)))</f>
        <v/>
      </c>
      <c r="E338" s="448">
        <f>IF($L338&gt;P$5,MAX(0,P$3+ROUND((P$9*($L338-P$5)),0)),IF($L338&gt;P$4,P$3,ROUND($L338*P$7,0)))</f>
        <v/>
      </c>
      <c r="F338" s="447">
        <f>IF($L338&gt;Q$5,MAX(0,Q$3+ROUND((Q$9*($L338-Q$5)),0)),IF($L338&gt;Q$4,Q$3,ROUND($L338*Q$7,0)))</f>
        <v/>
      </c>
      <c r="G338" s="1378">
        <f>IF($L338&gt;R$5,MAX(0,R$3+ROUND((R$9*($L338-R$5)),0)),IF($L338&gt;R$4,R$3,ROUND($L338*R$7,0)))</f>
        <v/>
      </c>
      <c r="H338" s="448">
        <f>IF($L338&gt;S$5,MAX(0,S$3+ROUND((S$9*($L338-S$5)),0)),IF($L338&gt;S$4,S$3,ROUND($L338*S$7,0)))</f>
        <v/>
      </c>
      <c r="I338" s="448">
        <f>IF($L338&gt;T$5,MAX(0,T$3+ROUND((T$9*($L338-T$5)),0)),IF($L338&gt;T$4,T$3,ROUND($L338*T$7,0)))</f>
        <v/>
      </c>
      <c r="J338" s="447">
        <f>IF($L338&gt;U$5,MAX(0,U$3+ROUND((U$9*($L338-U$5)),0)),IF($L338&gt;U$4,U$3,ROUND($L338*U$7,0)))</f>
        <v/>
      </c>
      <c r="K338" s="422" t="n"/>
      <c r="L338" s="448">
        <f>ROUND((A338+B338)/2,2)</f>
        <v/>
      </c>
    </row>
    <row r="339" ht="13.5" customHeight="1" s="7635">
      <c r="A339" s="448" t="n">
        <v>16800</v>
      </c>
      <c r="B339" s="447" t="n">
        <v>16850</v>
      </c>
      <c r="C339" s="1378">
        <f>IF($L339&gt;N$5,MAX(0,N$3+ROUND((N$9*($L339-N$5)),0)),IF($L339&gt;N$4,N$3,ROUND($L339*N$7,0)))</f>
        <v/>
      </c>
      <c r="D339" s="448">
        <f>IF($L339&gt;O$5,MAX(0,O$3+ROUND((O$9*($L339-O$5)),0)),IF($L339&gt;O$4,O$3,ROUND($L339*O$7,0)))</f>
        <v/>
      </c>
      <c r="E339" s="448">
        <f>IF($L339&gt;P$5,MAX(0,P$3+ROUND((P$9*($L339-P$5)),0)),IF($L339&gt;P$4,P$3,ROUND($L339*P$7,0)))</f>
        <v/>
      </c>
      <c r="F339" s="447">
        <f>IF($L339&gt;Q$5,MAX(0,Q$3+ROUND((Q$9*($L339-Q$5)),0)),IF($L339&gt;Q$4,Q$3,ROUND($L339*Q$7,0)))</f>
        <v/>
      </c>
      <c r="G339" s="1378">
        <f>IF($L339&gt;R$5,MAX(0,R$3+ROUND((R$9*($L339-R$5)),0)),IF($L339&gt;R$4,R$3,ROUND($L339*R$7,0)))</f>
        <v/>
      </c>
      <c r="H339" s="448">
        <f>IF($L339&gt;S$5,MAX(0,S$3+ROUND((S$9*($L339-S$5)),0)),IF($L339&gt;S$4,S$3,ROUND($L339*S$7,0)))</f>
        <v/>
      </c>
      <c r="I339" s="448">
        <f>IF($L339&gt;T$5,MAX(0,T$3+ROUND((T$9*($L339-T$5)),0)),IF($L339&gt;T$4,T$3,ROUND($L339*T$7,0)))</f>
        <v/>
      </c>
      <c r="J339" s="447">
        <f>IF($L339&gt;U$5,MAX(0,U$3+ROUND((U$9*($L339-U$5)),0)),IF($L339&gt;U$4,U$3,ROUND($L339*U$7,0)))</f>
        <v/>
      </c>
      <c r="K339" s="422" t="n"/>
      <c r="L339" s="448">
        <f>ROUND((A339+B339)/2,2)</f>
        <v/>
      </c>
    </row>
    <row r="340" ht="13.5" customHeight="1" s="7635">
      <c r="A340" s="448" t="n">
        <v>16850</v>
      </c>
      <c r="B340" s="447" t="n">
        <v>16900</v>
      </c>
      <c r="C340" s="1378">
        <f>IF($L340&gt;N$5,MAX(0,N$3+ROUND((N$9*($L340-N$5)),0)),IF($L340&gt;N$4,N$3,ROUND($L340*N$7,0)))</f>
        <v/>
      </c>
      <c r="D340" s="448">
        <f>IF($L340&gt;O$5,MAX(0,O$3+ROUND((O$9*($L340-O$5)),0)),IF($L340&gt;O$4,O$3,ROUND($L340*O$7,0)))</f>
        <v/>
      </c>
      <c r="E340" s="448">
        <f>IF($L340&gt;P$5,MAX(0,P$3+ROUND((P$9*($L340-P$5)),0)),IF($L340&gt;P$4,P$3,ROUND($L340*P$7,0)))</f>
        <v/>
      </c>
      <c r="F340" s="447">
        <f>IF($L340&gt;Q$5,MAX(0,Q$3+ROUND((Q$9*($L340-Q$5)),0)),IF($L340&gt;Q$4,Q$3,ROUND($L340*Q$7,0)))</f>
        <v/>
      </c>
      <c r="G340" s="1378">
        <f>IF($L340&gt;R$5,MAX(0,R$3+ROUND((R$9*($L340-R$5)),0)),IF($L340&gt;R$4,R$3,ROUND($L340*R$7,0)))</f>
        <v/>
      </c>
      <c r="H340" s="448">
        <f>IF($L340&gt;S$5,MAX(0,S$3+ROUND((S$9*($L340-S$5)),0)),IF($L340&gt;S$4,S$3,ROUND($L340*S$7,0)))</f>
        <v/>
      </c>
      <c r="I340" s="448">
        <f>IF($L340&gt;T$5,MAX(0,T$3+ROUND((T$9*($L340-T$5)),0)),IF($L340&gt;T$4,T$3,ROUND($L340*T$7,0)))</f>
        <v/>
      </c>
      <c r="J340" s="447">
        <f>IF($L340&gt;U$5,MAX(0,U$3+ROUND((U$9*($L340-U$5)),0)),IF($L340&gt;U$4,U$3,ROUND($L340*U$7,0)))</f>
        <v/>
      </c>
      <c r="K340" s="422" t="n"/>
      <c r="L340" s="448">
        <f>ROUND((A340+B340)/2,2)</f>
        <v/>
      </c>
    </row>
    <row r="341" ht="13.5" customHeight="1" s="7635">
      <c r="A341" s="448" t="n">
        <v>16900</v>
      </c>
      <c r="B341" s="447" t="n">
        <v>16950</v>
      </c>
      <c r="C341" s="1378">
        <f>IF($L341&gt;N$5,MAX(0,N$3+ROUND((N$9*($L341-N$5)),0)),IF($L341&gt;N$4,N$3,ROUND($L341*N$7,0)))</f>
        <v/>
      </c>
      <c r="D341" s="448">
        <f>IF($L341&gt;O$5,MAX(0,O$3+ROUND((O$9*($L341-O$5)),0)),IF($L341&gt;O$4,O$3,ROUND($L341*O$7,0)))</f>
        <v/>
      </c>
      <c r="E341" s="448">
        <f>IF($L341&gt;P$5,MAX(0,P$3+ROUND((P$9*($L341-P$5)),0)),IF($L341&gt;P$4,P$3,ROUND($L341*P$7,0)))</f>
        <v/>
      </c>
      <c r="F341" s="447">
        <f>IF($L341&gt;Q$5,MAX(0,Q$3+ROUND((Q$9*($L341-Q$5)),0)),IF($L341&gt;Q$4,Q$3,ROUND($L341*Q$7,0)))</f>
        <v/>
      </c>
      <c r="G341" s="1378">
        <f>IF($L341&gt;R$5,MAX(0,R$3+ROUND((R$9*($L341-R$5)),0)),IF($L341&gt;R$4,R$3,ROUND($L341*R$7,0)))</f>
        <v/>
      </c>
      <c r="H341" s="448">
        <f>IF($L341&gt;S$5,MAX(0,S$3+ROUND((S$9*($L341-S$5)),0)),IF($L341&gt;S$4,S$3,ROUND($L341*S$7,0)))</f>
        <v/>
      </c>
      <c r="I341" s="448">
        <f>IF($L341&gt;T$5,MAX(0,T$3+ROUND((T$9*($L341-T$5)),0)),IF($L341&gt;T$4,T$3,ROUND($L341*T$7,0)))</f>
        <v/>
      </c>
      <c r="J341" s="447">
        <f>IF($L341&gt;U$5,MAX(0,U$3+ROUND((U$9*($L341-U$5)),0)),IF($L341&gt;U$4,U$3,ROUND($L341*U$7,0)))</f>
        <v/>
      </c>
      <c r="K341" s="422" t="n"/>
      <c r="L341" s="448">
        <f>ROUND((A341+B341)/2,2)</f>
        <v/>
      </c>
    </row>
    <row r="342" ht="13.5" customHeight="1" s="7635">
      <c r="A342" s="448" t="n">
        <v>16950</v>
      </c>
      <c r="B342" s="447" t="n">
        <v>17000</v>
      </c>
      <c r="C342" s="1378">
        <f>IF($L342&gt;N$5,MAX(0,N$3+ROUND((N$9*($L342-N$5)),0)),IF($L342&gt;N$4,N$3,ROUND($L342*N$7,0)))</f>
        <v/>
      </c>
      <c r="D342" s="448">
        <f>IF($L342&gt;O$5,MAX(0,O$3+ROUND((O$9*($L342-O$5)),0)),IF($L342&gt;O$4,O$3,ROUND($L342*O$7,0)))</f>
        <v/>
      </c>
      <c r="E342" s="448">
        <f>IF($L342&gt;P$5,MAX(0,P$3+ROUND((P$9*($L342-P$5)),0)),IF($L342&gt;P$4,P$3,ROUND($L342*P$7,0)))</f>
        <v/>
      </c>
      <c r="F342" s="447">
        <f>IF($L342&gt;Q$5,MAX(0,Q$3+ROUND((Q$9*($L342-Q$5)),0)),IF($L342&gt;Q$4,Q$3,ROUND($L342*Q$7,0)))</f>
        <v/>
      </c>
      <c r="G342" s="1378">
        <f>IF($L342&gt;R$5,MAX(0,R$3+ROUND((R$9*($L342-R$5)),0)),IF($L342&gt;R$4,R$3,ROUND($L342*R$7,0)))</f>
        <v/>
      </c>
      <c r="H342" s="448">
        <f>IF($L342&gt;S$5,MAX(0,S$3+ROUND((S$9*($L342-S$5)),0)),IF($L342&gt;S$4,S$3,ROUND($L342*S$7,0)))</f>
        <v/>
      </c>
      <c r="I342" s="448">
        <f>IF($L342&gt;T$5,MAX(0,T$3+ROUND((T$9*($L342-T$5)),0)),IF($L342&gt;T$4,T$3,ROUND($L342*T$7,0)))</f>
        <v/>
      </c>
      <c r="J342" s="447">
        <f>IF($L342&gt;U$5,MAX(0,U$3+ROUND((U$9*($L342-U$5)),0)),IF($L342&gt;U$4,U$3,ROUND($L342*U$7,0)))</f>
        <v/>
      </c>
      <c r="K342" s="422" t="n"/>
      <c r="L342" s="448">
        <f>ROUND((A342+B342)/2,2)</f>
        <v/>
      </c>
    </row>
    <row r="343" ht="13.5" customHeight="1" s="7635">
      <c r="A343" s="448" t="n">
        <v>17000</v>
      </c>
      <c r="B343" s="447" t="n">
        <v>17050</v>
      </c>
      <c r="C343" s="1378">
        <f>IF($L343&gt;N$5,MAX(0,N$3+ROUND((N$9*($L343-N$5)),0)),IF($L343&gt;N$4,N$3,ROUND($L343*N$7,0)))</f>
        <v/>
      </c>
      <c r="D343" s="448">
        <f>IF($L343&gt;O$5,MAX(0,O$3+ROUND((O$9*($L343-O$5)),0)),IF($L343&gt;O$4,O$3,ROUND($L343*O$7,0)))</f>
        <v/>
      </c>
      <c r="E343" s="448">
        <f>IF($L343&gt;P$5,MAX(0,P$3+ROUND((P$9*($L343-P$5)),0)),IF($L343&gt;P$4,P$3,ROUND($L343*P$7,0)))</f>
        <v/>
      </c>
      <c r="F343" s="447">
        <f>IF($L343&gt;Q$5,MAX(0,Q$3+ROUND((Q$9*($L343-Q$5)),0)),IF($L343&gt;Q$4,Q$3,ROUND($L343*Q$7,0)))</f>
        <v/>
      </c>
      <c r="G343" s="1378">
        <f>IF($L343&gt;R$5,MAX(0,R$3+ROUND((R$9*($L343-R$5)),0)),IF($L343&gt;R$4,R$3,ROUND($L343*R$7,0)))</f>
        <v/>
      </c>
      <c r="H343" s="448">
        <f>IF($L343&gt;S$5,MAX(0,S$3+ROUND((S$9*($L343-S$5)),0)),IF($L343&gt;S$4,S$3,ROUND($L343*S$7,0)))</f>
        <v/>
      </c>
      <c r="I343" s="448">
        <f>IF($L343&gt;T$5,MAX(0,T$3+ROUND((T$9*($L343-T$5)),0)),IF($L343&gt;T$4,T$3,ROUND($L343*T$7,0)))</f>
        <v/>
      </c>
      <c r="J343" s="447">
        <f>IF($L343&gt;U$5,MAX(0,U$3+ROUND((U$9*($L343-U$5)),0)),IF($L343&gt;U$4,U$3,ROUND($L343*U$7,0)))</f>
        <v/>
      </c>
      <c r="K343" s="422" t="n"/>
      <c r="L343" s="448">
        <f>ROUND((A343+B343)/2,2)</f>
        <v/>
      </c>
    </row>
    <row r="344" ht="13.5" customHeight="1" s="7635">
      <c r="A344" s="448" t="n">
        <v>17050</v>
      </c>
      <c r="B344" s="447" t="n">
        <v>17100</v>
      </c>
      <c r="C344" s="1378">
        <f>IF($L344&gt;N$5,MAX(0,N$3+ROUND((N$9*($L344-N$5)),0)),IF($L344&gt;N$4,N$3,ROUND($L344*N$7,0)))</f>
        <v/>
      </c>
      <c r="D344" s="448">
        <f>IF($L344&gt;O$5,MAX(0,O$3+ROUND((O$9*($L344-O$5)),0)),IF($L344&gt;O$4,O$3,ROUND($L344*O$7,0)))</f>
        <v/>
      </c>
      <c r="E344" s="448">
        <f>IF($L344&gt;P$5,MAX(0,P$3+ROUND((P$9*($L344-P$5)),0)),IF($L344&gt;P$4,P$3,ROUND($L344*P$7,0)))</f>
        <v/>
      </c>
      <c r="F344" s="447">
        <f>IF($L344&gt;Q$5,MAX(0,Q$3+ROUND((Q$9*($L344-Q$5)),0)),IF($L344&gt;Q$4,Q$3,ROUND($L344*Q$7,0)))</f>
        <v/>
      </c>
      <c r="G344" s="1378">
        <f>IF($L344&gt;R$5,MAX(0,R$3+ROUND((R$9*($L344-R$5)),0)),IF($L344&gt;R$4,R$3,ROUND($L344*R$7,0)))</f>
        <v/>
      </c>
      <c r="H344" s="448">
        <f>IF($L344&gt;S$5,MAX(0,S$3+ROUND((S$9*($L344-S$5)),0)),IF($L344&gt;S$4,S$3,ROUND($L344*S$7,0)))</f>
        <v/>
      </c>
      <c r="I344" s="448">
        <f>IF($L344&gt;T$5,MAX(0,T$3+ROUND((T$9*($L344-T$5)),0)),IF($L344&gt;T$4,T$3,ROUND($L344*T$7,0)))</f>
        <v/>
      </c>
      <c r="J344" s="447">
        <f>IF($L344&gt;U$5,MAX(0,U$3+ROUND((U$9*($L344-U$5)),0)),IF($L344&gt;U$4,U$3,ROUND($L344*U$7,0)))</f>
        <v/>
      </c>
      <c r="K344" s="422" t="n"/>
      <c r="L344" s="448">
        <f>ROUND((A344+B344)/2,2)</f>
        <v/>
      </c>
    </row>
    <row r="345" ht="13.5" customHeight="1" s="7635">
      <c r="A345" s="448" t="n">
        <v>17100</v>
      </c>
      <c r="B345" s="447" t="n">
        <v>17150</v>
      </c>
      <c r="C345" s="1378">
        <f>IF($L345&gt;N$5,MAX(0,N$3+ROUND((N$9*($L345-N$5)),0)),IF($L345&gt;N$4,N$3,ROUND($L345*N$7,0)))</f>
        <v/>
      </c>
      <c r="D345" s="448">
        <f>IF($L345&gt;O$5,MAX(0,O$3+ROUND((O$9*($L345-O$5)),0)),IF($L345&gt;O$4,O$3,ROUND($L345*O$7,0)))</f>
        <v/>
      </c>
      <c r="E345" s="448">
        <f>IF($L345&gt;P$5,MAX(0,P$3+ROUND((P$9*($L345-P$5)),0)),IF($L345&gt;P$4,P$3,ROUND($L345*P$7,0)))</f>
        <v/>
      </c>
      <c r="F345" s="447">
        <f>IF($L345&gt;Q$5,MAX(0,Q$3+ROUND((Q$9*($L345-Q$5)),0)),IF($L345&gt;Q$4,Q$3,ROUND($L345*Q$7,0)))</f>
        <v/>
      </c>
      <c r="G345" s="1378">
        <f>IF($L345&gt;R$5,MAX(0,R$3+ROUND((R$9*($L345-R$5)),0)),IF($L345&gt;R$4,R$3,ROUND($L345*R$7,0)))</f>
        <v/>
      </c>
      <c r="H345" s="448">
        <f>IF($L345&gt;S$5,MAX(0,S$3+ROUND((S$9*($L345-S$5)),0)),IF($L345&gt;S$4,S$3,ROUND($L345*S$7,0)))</f>
        <v/>
      </c>
      <c r="I345" s="448">
        <f>IF($L345&gt;T$5,MAX(0,T$3+ROUND((T$9*($L345-T$5)),0)),IF($L345&gt;T$4,T$3,ROUND($L345*T$7,0)))</f>
        <v/>
      </c>
      <c r="J345" s="447">
        <f>IF($L345&gt;U$5,MAX(0,U$3+ROUND((U$9*($L345-U$5)),0)),IF($L345&gt;U$4,U$3,ROUND($L345*U$7,0)))</f>
        <v/>
      </c>
      <c r="K345" s="422" t="n"/>
      <c r="L345" s="448">
        <f>ROUND((A345+B345)/2,2)</f>
        <v/>
      </c>
    </row>
    <row r="346" ht="13.5" customHeight="1" s="7635">
      <c r="A346" s="448" t="n">
        <v>17150</v>
      </c>
      <c r="B346" s="447" t="n">
        <v>17200</v>
      </c>
      <c r="C346" s="1378">
        <f>IF($L346&gt;N$5,MAX(0,N$3+ROUND((N$9*($L346-N$5)),0)),IF($L346&gt;N$4,N$3,ROUND($L346*N$7,0)))</f>
        <v/>
      </c>
      <c r="D346" s="448">
        <f>IF($L346&gt;O$5,MAX(0,O$3+ROUND((O$9*($L346-O$5)),0)),IF($L346&gt;O$4,O$3,ROUND($L346*O$7,0)))</f>
        <v/>
      </c>
      <c r="E346" s="448">
        <f>IF($L346&gt;P$5,MAX(0,P$3+ROUND((P$9*($L346-P$5)),0)),IF($L346&gt;P$4,P$3,ROUND($L346*P$7,0)))</f>
        <v/>
      </c>
      <c r="F346" s="447">
        <f>IF($L346&gt;Q$5,MAX(0,Q$3+ROUND((Q$9*($L346-Q$5)),0)),IF($L346&gt;Q$4,Q$3,ROUND($L346*Q$7,0)))</f>
        <v/>
      </c>
      <c r="G346" s="1378">
        <f>IF($L346&gt;R$5,MAX(0,R$3+ROUND((R$9*($L346-R$5)),0)),IF($L346&gt;R$4,R$3,ROUND($L346*R$7,0)))</f>
        <v/>
      </c>
      <c r="H346" s="448">
        <f>IF($L346&gt;S$5,MAX(0,S$3+ROUND((S$9*($L346-S$5)),0)),IF($L346&gt;S$4,S$3,ROUND($L346*S$7,0)))</f>
        <v/>
      </c>
      <c r="I346" s="448">
        <f>IF($L346&gt;T$5,MAX(0,T$3+ROUND((T$9*($L346-T$5)),0)),IF($L346&gt;T$4,T$3,ROUND($L346*T$7,0)))</f>
        <v/>
      </c>
      <c r="J346" s="447">
        <f>IF($L346&gt;U$5,MAX(0,U$3+ROUND((U$9*($L346-U$5)),0)),IF($L346&gt;U$4,U$3,ROUND($L346*U$7,0)))</f>
        <v/>
      </c>
      <c r="K346" s="422" t="n"/>
      <c r="L346" s="448">
        <f>ROUND((A346+B346)/2,2)</f>
        <v/>
      </c>
    </row>
    <row r="347" ht="13.5" customHeight="1" s="7635">
      <c r="A347" s="448" t="n">
        <v>17200</v>
      </c>
      <c r="B347" s="447" t="n">
        <v>17250</v>
      </c>
      <c r="C347" s="1378">
        <f>IF($L347&gt;N$5,MAX(0,N$3+ROUND((N$9*($L347-N$5)),0)),IF($L347&gt;N$4,N$3,ROUND($L347*N$7,0)))</f>
        <v/>
      </c>
      <c r="D347" s="448">
        <f>IF($L347&gt;O$5,MAX(0,O$3+ROUND((O$9*($L347-O$5)),0)),IF($L347&gt;O$4,O$3,ROUND($L347*O$7,0)))</f>
        <v/>
      </c>
      <c r="E347" s="448">
        <f>IF($L347&gt;P$5,MAX(0,P$3+ROUND((P$9*($L347-P$5)),0)),IF($L347&gt;P$4,P$3,ROUND($L347*P$7,0)))</f>
        <v/>
      </c>
      <c r="F347" s="447">
        <f>IF($L347&gt;Q$5,MAX(0,Q$3+ROUND((Q$9*($L347-Q$5)),0)),IF($L347&gt;Q$4,Q$3,ROUND($L347*Q$7,0)))</f>
        <v/>
      </c>
      <c r="G347" s="1378">
        <f>IF($L347&gt;R$5,MAX(0,R$3+ROUND((R$9*($L347-R$5)),0)),IF($L347&gt;R$4,R$3,ROUND($L347*R$7,0)))</f>
        <v/>
      </c>
      <c r="H347" s="448">
        <f>IF($L347&gt;S$5,MAX(0,S$3+ROUND((S$9*($L347-S$5)),0)),IF($L347&gt;S$4,S$3,ROUND($L347*S$7,0)))</f>
        <v/>
      </c>
      <c r="I347" s="448">
        <f>IF($L347&gt;T$5,MAX(0,T$3+ROUND((T$9*($L347-T$5)),0)),IF($L347&gt;T$4,T$3,ROUND($L347*T$7,0)))</f>
        <v/>
      </c>
      <c r="J347" s="447">
        <f>IF($L347&gt;U$5,MAX(0,U$3+ROUND((U$9*($L347-U$5)),0)),IF($L347&gt;U$4,U$3,ROUND($L347*U$7,0)))</f>
        <v/>
      </c>
      <c r="K347" s="422" t="n"/>
      <c r="L347" s="448">
        <f>ROUND((A347+B347)/2,2)</f>
        <v/>
      </c>
    </row>
    <row r="348" ht="13.5" customHeight="1" s="7635">
      <c r="A348" s="448" t="n">
        <v>17250</v>
      </c>
      <c r="B348" s="447" t="n">
        <v>17300</v>
      </c>
      <c r="C348" s="1378">
        <f>IF($L348&gt;N$5,MAX(0,N$3+ROUND((N$9*($L348-N$5)),0)),IF($L348&gt;N$4,N$3,ROUND($L348*N$7,0)))</f>
        <v/>
      </c>
      <c r="D348" s="448">
        <f>IF($L348&gt;O$5,MAX(0,O$3+ROUND((O$9*($L348-O$5)),0)),IF($L348&gt;O$4,O$3,ROUND($L348*O$7,0)))</f>
        <v/>
      </c>
      <c r="E348" s="448">
        <f>IF($L348&gt;P$5,MAX(0,P$3+ROUND((P$9*($L348-P$5)),0)),IF($L348&gt;P$4,P$3,ROUND($L348*P$7,0)))</f>
        <v/>
      </c>
      <c r="F348" s="447">
        <f>IF($L348&gt;Q$5,MAX(0,Q$3+ROUND((Q$9*($L348-Q$5)),0)),IF($L348&gt;Q$4,Q$3,ROUND($L348*Q$7,0)))</f>
        <v/>
      </c>
      <c r="G348" s="1378">
        <f>IF($L348&gt;R$5,MAX(0,R$3+ROUND((R$9*($L348-R$5)),0)),IF($L348&gt;R$4,R$3,ROUND($L348*R$7,0)))</f>
        <v/>
      </c>
      <c r="H348" s="448">
        <f>IF($L348&gt;S$5,MAX(0,S$3+ROUND((S$9*($L348-S$5)),0)),IF($L348&gt;S$4,S$3,ROUND($L348*S$7,0)))</f>
        <v/>
      </c>
      <c r="I348" s="448">
        <f>IF($L348&gt;T$5,MAX(0,T$3+ROUND((T$9*($L348-T$5)),0)),IF($L348&gt;T$4,T$3,ROUND($L348*T$7,0)))</f>
        <v/>
      </c>
      <c r="J348" s="447">
        <f>IF($L348&gt;U$5,MAX(0,U$3+ROUND((U$9*($L348-U$5)),0)),IF($L348&gt;U$4,U$3,ROUND($L348*U$7,0)))</f>
        <v/>
      </c>
      <c r="K348" s="422" t="n"/>
      <c r="L348" s="448">
        <f>ROUND((A348+B348)/2,2)</f>
        <v/>
      </c>
    </row>
    <row r="349" ht="13.5" customHeight="1" s="7635">
      <c r="A349" s="448" t="n">
        <v>17300</v>
      </c>
      <c r="B349" s="447" t="n">
        <v>17350</v>
      </c>
      <c r="C349" s="1378">
        <f>IF($L349&gt;N$5,MAX(0,N$3+ROUND((N$9*($L349-N$5)),0)),IF($L349&gt;N$4,N$3,ROUND($L349*N$7,0)))</f>
        <v/>
      </c>
      <c r="D349" s="448">
        <f>IF($L349&gt;O$5,MAX(0,O$3+ROUND((O$9*($L349-O$5)),0)),IF($L349&gt;O$4,O$3,ROUND($L349*O$7,0)))</f>
        <v/>
      </c>
      <c r="E349" s="448">
        <f>IF($L349&gt;P$5,MAX(0,P$3+ROUND((P$9*($L349-P$5)),0)),IF($L349&gt;P$4,P$3,ROUND($L349*P$7,0)))</f>
        <v/>
      </c>
      <c r="F349" s="447">
        <f>IF($L349&gt;Q$5,MAX(0,Q$3+ROUND((Q$9*($L349-Q$5)),0)),IF($L349&gt;Q$4,Q$3,ROUND($L349*Q$7,0)))</f>
        <v/>
      </c>
      <c r="G349" s="1378">
        <f>IF($L349&gt;R$5,MAX(0,R$3+ROUND((R$9*($L349-R$5)),0)),IF($L349&gt;R$4,R$3,ROUND($L349*R$7,0)))</f>
        <v/>
      </c>
      <c r="H349" s="448">
        <f>IF($L349&gt;S$5,MAX(0,S$3+ROUND((S$9*($L349-S$5)),0)),IF($L349&gt;S$4,S$3,ROUND($L349*S$7,0)))</f>
        <v/>
      </c>
      <c r="I349" s="448">
        <f>IF($L349&gt;T$5,MAX(0,T$3+ROUND((T$9*($L349-T$5)),0)),IF($L349&gt;T$4,T$3,ROUND($L349*T$7,0)))</f>
        <v/>
      </c>
      <c r="J349" s="447">
        <f>IF($L349&gt;U$5,MAX(0,U$3+ROUND((U$9*($L349-U$5)),0)),IF($L349&gt;U$4,U$3,ROUND($L349*U$7,0)))</f>
        <v/>
      </c>
      <c r="K349" s="422" t="n"/>
      <c r="L349" s="448">
        <f>ROUND((A349+B349)/2,2)</f>
        <v/>
      </c>
    </row>
    <row r="350" ht="13.5" customHeight="1" s="7635">
      <c r="A350" s="448" t="n">
        <v>17350</v>
      </c>
      <c r="B350" s="447" t="n">
        <v>17400</v>
      </c>
      <c r="C350" s="1378">
        <f>IF($L350&gt;N$5,MAX(0,N$3+ROUND((N$9*($L350-N$5)),0)),IF($L350&gt;N$4,N$3,ROUND($L350*N$7,0)))</f>
        <v/>
      </c>
      <c r="D350" s="448">
        <f>IF($L350&gt;O$5,MAX(0,O$3+ROUND((O$9*($L350-O$5)),0)),IF($L350&gt;O$4,O$3,ROUND($L350*O$7,0)))</f>
        <v/>
      </c>
      <c r="E350" s="448">
        <f>IF($L350&gt;P$5,MAX(0,P$3+ROUND((P$9*($L350-P$5)),0)),IF($L350&gt;P$4,P$3,ROUND($L350*P$7,0)))</f>
        <v/>
      </c>
      <c r="F350" s="447">
        <f>IF($L350&gt;Q$5,MAX(0,Q$3+ROUND((Q$9*($L350-Q$5)),0)),IF($L350&gt;Q$4,Q$3,ROUND($L350*Q$7,0)))</f>
        <v/>
      </c>
      <c r="G350" s="1378">
        <f>IF($L350&gt;R$5,MAX(0,R$3+ROUND((R$9*($L350-R$5)),0)),IF($L350&gt;R$4,R$3,ROUND($L350*R$7,0)))</f>
        <v/>
      </c>
      <c r="H350" s="448">
        <f>IF($L350&gt;S$5,MAX(0,S$3+ROUND((S$9*($L350-S$5)),0)),IF($L350&gt;S$4,S$3,ROUND($L350*S$7,0)))</f>
        <v/>
      </c>
      <c r="I350" s="448">
        <f>IF($L350&gt;T$5,MAX(0,T$3+ROUND((T$9*($L350-T$5)),0)),IF($L350&gt;T$4,T$3,ROUND($L350*T$7,0)))</f>
        <v/>
      </c>
      <c r="J350" s="447">
        <f>IF($L350&gt;U$5,MAX(0,U$3+ROUND((U$9*($L350-U$5)),0)),IF($L350&gt;U$4,U$3,ROUND($L350*U$7,0)))</f>
        <v/>
      </c>
      <c r="K350" s="422" t="n"/>
      <c r="L350" s="448">
        <f>ROUND((A350+B350)/2,2)</f>
        <v/>
      </c>
    </row>
    <row r="351" ht="13.5" customHeight="1" s="7635">
      <c r="A351" s="448" t="n">
        <v>17400</v>
      </c>
      <c r="B351" s="447" t="n">
        <v>17450</v>
      </c>
      <c r="C351" s="1378">
        <f>IF($L351&gt;N$5,MAX(0,N$3+ROUND((N$9*($L351-N$5)),0)),IF($L351&gt;N$4,N$3,ROUND($L351*N$7,0)))</f>
        <v/>
      </c>
      <c r="D351" s="448">
        <f>IF($L351&gt;O$5,MAX(0,O$3+ROUND((O$9*($L351-O$5)),0)),IF($L351&gt;O$4,O$3,ROUND($L351*O$7,0)))</f>
        <v/>
      </c>
      <c r="E351" s="448">
        <f>IF($L351&gt;P$5,MAX(0,P$3+ROUND((P$9*($L351-P$5)),0)),IF($L351&gt;P$4,P$3,ROUND($L351*P$7,0)))</f>
        <v/>
      </c>
      <c r="F351" s="447">
        <f>IF($L351&gt;Q$5,MAX(0,Q$3+ROUND((Q$9*($L351-Q$5)),0)),IF($L351&gt;Q$4,Q$3,ROUND($L351*Q$7,0)))</f>
        <v/>
      </c>
      <c r="G351" s="1378">
        <f>IF($L351&gt;R$5,MAX(0,R$3+ROUND((R$9*($L351-R$5)),0)),IF($L351&gt;R$4,R$3,ROUND($L351*R$7,0)))</f>
        <v/>
      </c>
      <c r="H351" s="448">
        <f>IF($L351&gt;S$5,MAX(0,S$3+ROUND((S$9*($L351-S$5)),0)),IF($L351&gt;S$4,S$3,ROUND($L351*S$7,0)))</f>
        <v/>
      </c>
      <c r="I351" s="448">
        <f>IF($L351&gt;T$5,MAX(0,T$3+ROUND((T$9*($L351-T$5)),0)),IF($L351&gt;T$4,T$3,ROUND($L351*T$7,0)))</f>
        <v/>
      </c>
      <c r="J351" s="447">
        <f>IF($L351&gt;U$5,MAX(0,U$3+ROUND((U$9*($L351-U$5)),0)),IF($L351&gt;U$4,U$3,ROUND($L351*U$7,0)))</f>
        <v/>
      </c>
      <c r="K351" s="422" t="n"/>
      <c r="L351" s="448">
        <f>ROUND((A351+B351)/2,2)</f>
        <v/>
      </c>
    </row>
    <row r="352" ht="13.5" customHeight="1" s="7635">
      <c r="A352" s="448" t="n">
        <v>17450</v>
      </c>
      <c r="B352" s="447" t="n">
        <v>17500</v>
      </c>
      <c r="C352" s="1378">
        <f>IF($L352&gt;N$5,MAX(0,N$3+ROUND((N$9*($L352-N$5)),0)),IF($L352&gt;N$4,N$3,ROUND($L352*N$7,0)))</f>
        <v/>
      </c>
      <c r="D352" s="448">
        <f>IF($L352&gt;O$5,MAX(0,O$3+ROUND((O$9*($L352-O$5)),0)),IF($L352&gt;O$4,O$3,ROUND($L352*O$7,0)))</f>
        <v/>
      </c>
      <c r="E352" s="448">
        <f>IF($L352&gt;P$5,MAX(0,P$3+ROUND((P$9*($L352-P$5)),0)),IF($L352&gt;P$4,P$3,ROUND($L352*P$7,0)))</f>
        <v/>
      </c>
      <c r="F352" s="447">
        <f>IF($L352&gt;Q$5,MAX(0,Q$3+ROUND((Q$9*($L352-Q$5)),0)),IF($L352&gt;Q$4,Q$3,ROUND($L352*Q$7,0)))</f>
        <v/>
      </c>
      <c r="G352" s="1378">
        <f>IF($L352&gt;R$5,MAX(0,R$3+ROUND((R$9*($L352-R$5)),0)),IF($L352&gt;R$4,R$3,ROUND($L352*R$7,0)))</f>
        <v/>
      </c>
      <c r="H352" s="448">
        <f>IF($L352&gt;S$5,MAX(0,S$3+ROUND((S$9*($L352-S$5)),0)),IF($L352&gt;S$4,S$3,ROUND($L352*S$7,0)))</f>
        <v/>
      </c>
      <c r="I352" s="448">
        <f>IF($L352&gt;T$5,MAX(0,T$3+ROUND((T$9*($L352-T$5)),0)),IF($L352&gt;T$4,T$3,ROUND($L352*T$7,0)))</f>
        <v/>
      </c>
      <c r="J352" s="447">
        <f>IF($L352&gt;U$5,MAX(0,U$3+ROUND((U$9*($L352-U$5)),0)),IF($L352&gt;U$4,U$3,ROUND($L352*U$7,0)))</f>
        <v/>
      </c>
      <c r="K352" s="422" t="n"/>
      <c r="L352" s="448">
        <f>ROUND((A352+B352)/2,2)</f>
        <v/>
      </c>
    </row>
    <row r="353" ht="13.5" customHeight="1" s="7635">
      <c r="A353" s="448" t="n">
        <v>17500</v>
      </c>
      <c r="B353" s="447" t="n">
        <v>17550</v>
      </c>
      <c r="C353" s="1378">
        <f>IF($L353&gt;N$5,MAX(0,N$3+ROUND((N$9*($L353-N$5)),0)),IF($L353&gt;N$4,N$3,ROUND($L353*N$7,0)))</f>
        <v/>
      </c>
      <c r="D353" s="448">
        <f>IF($L353&gt;O$5,MAX(0,O$3+ROUND((O$9*($L353-O$5)),0)),IF($L353&gt;O$4,O$3,ROUND($L353*O$7,0)))</f>
        <v/>
      </c>
      <c r="E353" s="448">
        <f>IF($L353&gt;P$5,MAX(0,P$3+ROUND((P$9*($L353-P$5)),0)),IF($L353&gt;P$4,P$3,ROUND($L353*P$7,0)))</f>
        <v/>
      </c>
      <c r="F353" s="447">
        <f>IF($L353&gt;Q$5,MAX(0,Q$3+ROUND((Q$9*($L353-Q$5)),0)),IF($L353&gt;Q$4,Q$3,ROUND($L353*Q$7,0)))</f>
        <v/>
      </c>
      <c r="G353" s="1378">
        <f>IF($L353&gt;R$5,MAX(0,R$3+ROUND((R$9*($L353-R$5)),0)),IF($L353&gt;R$4,R$3,ROUND($L353*R$7,0)))</f>
        <v/>
      </c>
      <c r="H353" s="448">
        <f>IF($L353&gt;S$5,MAX(0,S$3+ROUND((S$9*($L353-S$5)),0)),IF($L353&gt;S$4,S$3,ROUND($L353*S$7,0)))</f>
        <v/>
      </c>
      <c r="I353" s="448">
        <f>IF($L353&gt;T$5,MAX(0,T$3+ROUND((T$9*($L353-T$5)),0)),IF($L353&gt;T$4,T$3,ROUND($L353*T$7,0)))</f>
        <v/>
      </c>
      <c r="J353" s="447">
        <f>IF($L353&gt;U$5,MAX(0,U$3+ROUND((U$9*($L353-U$5)),0)),IF($L353&gt;U$4,U$3,ROUND($L353*U$7,0)))</f>
        <v/>
      </c>
      <c r="K353" s="422" t="n"/>
      <c r="L353" s="448">
        <f>ROUND((A353+B353)/2,2)</f>
        <v/>
      </c>
    </row>
    <row r="354" ht="13.5" customHeight="1" s="7635">
      <c r="A354" s="448" t="n">
        <v>17550</v>
      </c>
      <c r="B354" s="447" t="n">
        <v>17600</v>
      </c>
      <c r="C354" s="1378">
        <f>IF($L354&gt;N$5,MAX(0,N$3+ROUND((N$9*($L354-N$5)),0)),IF($L354&gt;N$4,N$3,ROUND($L354*N$7,0)))</f>
        <v/>
      </c>
      <c r="D354" s="448">
        <f>IF($L354&gt;O$5,MAX(0,O$3+ROUND((O$9*($L354-O$5)),0)),IF($L354&gt;O$4,O$3,ROUND($L354*O$7,0)))</f>
        <v/>
      </c>
      <c r="E354" s="448">
        <f>IF($L354&gt;P$5,MAX(0,P$3+ROUND((P$9*($L354-P$5)),0)),IF($L354&gt;P$4,P$3,ROUND($L354*P$7,0)))</f>
        <v/>
      </c>
      <c r="F354" s="447">
        <f>IF($L354&gt;Q$5,MAX(0,Q$3+ROUND((Q$9*($L354-Q$5)),0)),IF($L354&gt;Q$4,Q$3,ROUND($L354*Q$7,0)))</f>
        <v/>
      </c>
      <c r="G354" s="1378">
        <f>IF($L354&gt;R$5,MAX(0,R$3+ROUND((R$9*($L354-R$5)),0)),IF($L354&gt;R$4,R$3,ROUND($L354*R$7,0)))</f>
        <v/>
      </c>
      <c r="H354" s="448">
        <f>IF($L354&gt;S$5,MAX(0,S$3+ROUND((S$9*($L354-S$5)),0)),IF($L354&gt;S$4,S$3,ROUND($L354*S$7,0)))</f>
        <v/>
      </c>
      <c r="I354" s="448">
        <f>IF($L354&gt;T$5,MAX(0,T$3+ROUND((T$9*($L354-T$5)),0)),IF($L354&gt;T$4,T$3,ROUND($L354*T$7,0)))</f>
        <v/>
      </c>
      <c r="J354" s="447">
        <f>IF($L354&gt;U$5,MAX(0,U$3+ROUND((U$9*($L354-U$5)),0)),IF($L354&gt;U$4,U$3,ROUND($L354*U$7,0)))</f>
        <v/>
      </c>
      <c r="K354" s="422" t="n"/>
      <c r="L354" s="448">
        <f>ROUND((A354+B354)/2,2)</f>
        <v/>
      </c>
    </row>
    <row r="355" ht="13.5" customHeight="1" s="7635">
      <c r="A355" s="448" t="n">
        <v>17650</v>
      </c>
      <c r="B355" s="447" t="n">
        <v>17650</v>
      </c>
      <c r="C355" s="1378">
        <f>IF($L355&gt;N$5,MAX(0,N$3+ROUND((N$9*($L355-N$5)),0)),IF($L355&gt;N$4,N$3,ROUND($L355*N$7,0)))</f>
        <v/>
      </c>
      <c r="D355" s="448">
        <f>IF($L355&gt;O$5,MAX(0,O$3+ROUND((O$9*($L355-O$5)),0)),IF($L355&gt;O$4,O$3,ROUND($L355*O$7,0)))</f>
        <v/>
      </c>
      <c r="E355" s="448">
        <f>IF($L355&gt;P$5,MAX(0,P$3+ROUND((P$9*($L355-P$5)),0)),IF($L355&gt;P$4,P$3,ROUND($L355*P$7,0)))</f>
        <v/>
      </c>
      <c r="F355" s="447">
        <f>IF($L355&gt;Q$5,MAX(0,Q$3+ROUND((Q$9*($L355-Q$5)),0)),IF($L355&gt;Q$4,Q$3,ROUND($L355*Q$7,0)))</f>
        <v/>
      </c>
      <c r="G355" s="1378">
        <f>IF($L355&gt;R$5,MAX(0,R$3+ROUND((R$9*($L355-R$5)),0)),IF($L355&gt;R$4,R$3,ROUND($L355*R$7,0)))</f>
        <v/>
      </c>
      <c r="H355" s="448">
        <f>IF($L355&gt;S$5,MAX(0,S$3+ROUND((S$9*($L355-S$5)),0)),IF($L355&gt;S$4,S$3,ROUND($L355*S$7,0)))</f>
        <v/>
      </c>
      <c r="I355" s="448">
        <f>IF($L355&gt;T$5,MAX(0,T$3+ROUND((T$9*($L355-T$5)),0)),IF($L355&gt;T$4,T$3,ROUND($L355*T$7,0)))</f>
        <v/>
      </c>
      <c r="J355" s="447">
        <f>IF($L355&gt;U$5,MAX(0,U$3+ROUND((U$9*($L355-U$5)),0)),IF($L355&gt;U$4,U$3,ROUND($L355*U$7,0)))</f>
        <v/>
      </c>
      <c r="K355" s="422" t="n"/>
      <c r="L355" s="448">
        <f>ROUND((A355+B355)/2,2)</f>
        <v/>
      </c>
    </row>
    <row r="356" ht="13.5" customFormat="1" customHeight="1" s="1526">
      <c r="A356" s="448" t="n">
        <v>17650</v>
      </c>
      <c r="B356" s="447" t="n">
        <v>17700</v>
      </c>
      <c r="C356" s="1378">
        <f>IF($L356&gt;N$5,MAX(0,N$3+ROUND((N$9*($L356-N$5)),0)),IF($L356&gt;N$4,N$3,ROUND($L356*N$7,0)))</f>
        <v/>
      </c>
      <c r="D356" s="448">
        <f>IF($L356&gt;O$5,MAX(0,O$3+ROUND((O$9*($L356-O$5)),0)),IF($L356&gt;O$4,O$3,ROUND($L356*O$7,0)))</f>
        <v/>
      </c>
      <c r="E356" s="448">
        <f>IF($L356&gt;P$5,MAX(0,P$3+ROUND((P$9*($L356-P$5)),0)),IF($L356&gt;P$4,P$3,ROUND($L356*P$7,0)))</f>
        <v/>
      </c>
      <c r="F356" s="447">
        <f>IF($L356&gt;Q$5,MAX(0,Q$3+ROUND((Q$9*($L356-Q$5)),0)),IF($L356&gt;Q$4,Q$3,ROUND($L356*Q$7,0)))</f>
        <v/>
      </c>
      <c r="G356" s="1378">
        <f>IF($L356&gt;R$5,MAX(0,R$3+ROUND((R$9*($L356-R$5)),0)),IF($L356&gt;R$4,R$3,ROUND($L356*R$7,0)))</f>
        <v/>
      </c>
      <c r="H356" s="448">
        <f>IF($L356&gt;S$5,MAX(0,S$3+ROUND((S$9*($L356-S$5)),0)),IF($L356&gt;S$4,S$3,ROUND($L356*S$7,0)))</f>
        <v/>
      </c>
      <c r="I356" s="448">
        <f>IF($L356&gt;T$5,MAX(0,T$3+ROUND((T$9*($L356-T$5)),0)),IF($L356&gt;T$4,T$3,ROUND($L356*T$7,0)))</f>
        <v/>
      </c>
      <c r="J356" s="447">
        <f>IF($L356&gt;U$5,MAX(0,U$3+ROUND((U$9*($L356-U$5)),0)),IF($L356&gt;U$4,U$3,ROUND($L356*U$7,0)))</f>
        <v/>
      </c>
      <c r="K356" s="422" t="n"/>
      <c r="L356" s="448">
        <f>ROUND((A356+B356)/2,2)</f>
        <v/>
      </c>
      <c r="M356" s="2865" t="n"/>
    </row>
    <row r="357" ht="13.5" customHeight="1" s="7635">
      <c r="A357" s="448" t="n">
        <v>17700</v>
      </c>
      <c r="B357" s="447" t="n">
        <v>17750</v>
      </c>
      <c r="C357" s="1378">
        <f>IF($L357&gt;N$5,MAX(0,N$3+ROUND((N$9*($L357-N$5)),0)),IF($L357&gt;N$4,N$3,ROUND($L357*N$7,0)))</f>
        <v/>
      </c>
      <c r="D357" s="448">
        <f>IF($L357&gt;O$5,MAX(0,O$3+ROUND((O$9*($L357-O$5)),0)),IF($L357&gt;O$4,O$3,ROUND($L357*O$7,0)))</f>
        <v/>
      </c>
      <c r="E357" s="448">
        <f>IF($L357&gt;P$5,MAX(0,P$3+ROUND((P$9*($L357-P$5)),0)),IF($L357&gt;P$4,P$3,ROUND($L357*P$7,0)))</f>
        <v/>
      </c>
      <c r="F357" s="447">
        <f>IF($L357&gt;Q$5,MAX(0,Q$3+ROUND((Q$9*($L357-Q$5)),0)),IF($L357&gt;Q$4,Q$3,ROUND($L357*Q$7,0)))</f>
        <v/>
      </c>
      <c r="G357" s="1378">
        <f>IF($L357&gt;R$5,MAX(0,R$3+ROUND((R$9*($L357-R$5)),0)),IF($L357&gt;R$4,R$3,ROUND($L357*R$7,0)))</f>
        <v/>
      </c>
      <c r="H357" s="448">
        <f>IF($L357&gt;S$5,MAX(0,S$3+ROUND((S$9*($L357-S$5)),0)),IF($L357&gt;S$4,S$3,ROUND($L357*S$7,0)))</f>
        <v/>
      </c>
      <c r="I357" s="448">
        <f>IF($L357&gt;T$5,MAX(0,T$3+ROUND((T$9*($L357-T$5)),0)),IF($L357&gt;T$4,T$3,ROUND($L357*T$7,0)))</f>
        <v/>
      </c>
      <c r="J357" s="447">
        <f>IF($L357&gt;U$5,MAX(0,U$3+ROUND((U$9*($L357-U$5)),0)),IF($L357&gt;U$4,U$3,ROUND($L357*U$7,0)))</f>
        <v/>
      </c>
      <c r="K357" s="422" t="n"/>
      <c r="L357" s="448">
        <f>ROUND((A357+B357)/2,2)</f>
        <v/>
      </c>
    </row>
    <row r="358" ht="13.5" customHeight="1" s="7635">
      <c r="A358" s="448" t="n">
        <v>17750</v>
      </c>
      <c r="B358" s="447" t="n">
        <v>17800</v>
      </c>
      <c r="C358" s="1378">
        <f>IF($L358&gt;N$5,MAX(0,N$3+ROUND((N$9*($L358-N$5)),0)),IF($L358&gt;N$4,N$3,ROUND($L358*N$7,0)))</f>
        <v/>
      </c>
      <c r="D358" s="448">
        <f>IF($L358&gt;O$5,MAX(0,O$3+ROUND((O$9*($L358-O$5)),0)),IF($L358&gt;O$4,O$3,ROUND($L358*O$7,0)))</f>
        <v/>
      </c>
      <c r="E358" s="448">
        <f>IF($L358&gt;P$5,MAX(0,P$3+ROUND((P$9*($L358-P$5)),0)),IF($L358&gt;P$4,P$3,ROUND($L358*P$7,0)))</f>
        <v/>
      </c>
      <c r="F358" s="447">
        <f>IF($L358&gt;Q$5,MAX(0,Q$3+ROUND((Q$9*($L358-Q$5)),0)),IF($L358&gt;Q$4,Q$3,ROUND($L358*Q$7,0)))</f>
        <v/>
      </c>
      <c r="G358" s="1378">
        <f>IF($L358&gt;R$5,MAX(0,R$3+ROUND((R$9*($L358-R$5)),0)),IF($L358&gt;R$4,R$3,ROUND($L358*R$7,0)))</f>
        <v/>
      </c>
      <c r="H358" s="448">
        <f>IF($L358&gt;S$5,MAX(0,S$3+ROUND((S$9*($L358-S$5)),0)),IF($L358&gt;S$4,S$3,ROUND($L358*S$7,0)))</f>
        <v/>
      </c>
      <c r="I358" s="448">
        <f>IF($L358&gt;T$5,MAX(0,T$3+ROUND((T$9*($L358-T$5)),0)),IF($L358&gt;T$4,T$3,ROUND($L358*T$7,0)))</f>
        <v/>
      </c>
      <c r="J358" s="447">
        <f>IF($L358&gt;U$5,MAX(0,U$3+ROUND((U$9*($L358-U$5)),0)),IF($L358&gt;U$4,U$3,ROUND($L358*U$7,0)))</f>
        <v/>
      </c>
      <c r="K358" s="422" t="n"/>
      <c r="L358" s="448">
        <f>ROUND((A358+B358)/2,2)</f>
        <v/>
      </c>
    </row>
    <row r="359" ht="13.5" customHeight="1" s="7635">
      <c r="A359" s="448" t="n">
        <v>17800</v>
      </c>
      <c r="B359" s="447" t="n">
        <v>17850</v>
      </c>
      <c r="C359" s="1378">
        <f>IF($L359&gt;N$5,MAX(0,N$3+ROUND((N$9*($L359-N$5)),0)),IF($L359&gt;N$4,N$3,ROUND($L359*N$7,0)))</f>
        <v/>
      </c>
      <c r="D359" s="448">
        <f>IF($L359&gt;O$5,MAX(0,O$3+ROUND((O$9*($L359-O$5)),0)),IF($L359&gt;O$4,O$3,ROUND($L359*O$7,0)))</f>
        <v/>
      </c>
      <c r="E359" s="448">
        <f>IF($L359&gt;P$5,MAX(0,P$3+ROUND((P$9*($L359-P$5)),0)),IF($L359&gt;P$4,P$3,ROUND($L359*P$7,0)))</f>
        <v/>
      </c>
      <c r="F359" s="447">
        <f>IF($L359&gt;Q$5,MAX(0,Q$3+ROUND((Q$9*($L359-Q$5)),0)),IF($L359&gt;Q$4,Q$3,ROUND($L359*Q$7,0)))</f>
        <v/>
      </c>
      <c r="G359" s="1378">
        <f>IF($L359&gt;R$5,MAX(0,R$3+ROUND((R$9*($L359-R$5)),0)),IF($L359&gt;R$4,R$3,ROUND($L359*R$7,0)))</f>
        <v/>
      </c>
      <c r="H359" s="448">
        <f>IF($L359&gt;S$5,MAX(0,S$3+ROUND((S$9*($L359-S$5)),0)),IF($L359&gt;S$4,S$3,ROUND($L359*S$7,0)))</f>
        <v/>
      </c>
      <c r="I359" s="448">
        <f>IF($L359&gt;T$5,MAX(0,T$3+ROUND((T$9*($L359-T$5)),0)),IF($L359&gt;T$4,T$3,ROUND($L359*T$7,0)))</f>
        <v/>
      </c>
      <c r="J359" s="447">
        <f>IF($L359&gt;U$5,MAX(0,U$3+ROUND((U$9*($L359-U$5)),0)),IF($L359&gt;U$4,U$3,ROUND($L359*U$7,0)))</f>
        <v/>
      </c>
      <c r="K359" s="422" t="n"/>
      <c r="L359" s="448">
        <f>ROUND((A359+B359)/2,2)</f>
        <v/>
      </c>
    </row>
    <row r="360" ht="13.5" customHeight="1" s="7635">
      <c r="A360" s="448" t="n">
        <v>17850</v>
      </c>
      <c r="B360" s="447" t="n">
        <v>17900</v>
      </c>
      <c r="C360" s="1378">
        <f>IF($L360&gt;N$5,MAX(0,N$3+ROUND((N$9*($L360-N$5)),0)),IF($L360&gt;N$4,N$3,ROUND($L360*N$7,0)))</f>
        <v/>
      </c>
      <c r="D360" s="448">
        <f>IF($L360&gt;O$5,MAX(0,O$3+ROUND((O$9*($L360-O$5)),0)),IF($L360&gt;O$4,O$3,ROUND($L360*O$7,0)))</f>
        <v/>
      </c>
      <c r="E360" s="448">
        <f>IF($L360&gt;P$5,MAX(0,P$3+ROUND((P$9*($L360-P$5)),0)),IF($L360&gt;P$4,P$3,ROUND($L360*P$7,0)))</f>
        <v/>
      </c>
      <c r="F360" s="447">
        <f>IF($L360&gt;Q$5,MAX(0,Q$3+ROUND((Q$9*($L360-Q$5)),0)),IF($L360&gt;Q$4,Q$3,ROUND($L360*Q$7,0)))</f>
        <v/>
      </c>
      <c r="G360" s="1378">
        <f>IF($L360&gt;R$5,MAX(0,R$3+ROUND((R$9*($L360-R$5)),0)),IF($L360&gt;R$4,R$3,ROUND($L360*R$7,0)))</f>
        <v/>
      </c>
      <c r="H360" s="448">
        <f>IF($L360&gt;S$5,MAX(0,S$3+ROUND((S$9*($L360-S$5)),0)),IF($L360&gt;S$4,S$3,ROUND($L360*S$7,0)))</f>
        <v/>
      </c>
      <c r="I360" s="448">
        <f>IF($L360&gt;T$5,MAX(0,T$3+ROUND((T$9*($L360-T$5)),0)),IF($L360&gt;T$4,T$3,ROUND($L360*T$7,0)))</f>
        <v/>
      </c>
      <c r="J360" s="447">
        <f>IF($L360&gt;U$5,MAX(0,U$3+ROUND((U$9*($L360-U$5)),0)),IF($L360&gt;U$4,U$3,ROUND($L360*U$7,0)))</f>
        <v/>
      </c>
      <c r="K360" s="422" t="n"/>
      <c r="L360" s="448">
        <f>ROUND((A360+B360)/2,2)</f>
        <v/>
      </c>
    </row>
    <row r="361" ht="13.5" customHeight="1" s="7635">
      <c r="A361" s="448" t="n">
        <v>17900</v>
      </c>
      <c r="B361" s="447" t="n">
        <v>17950</v>
      </c>
      <c r="C361" s="1378">
        <f>IF($L361&gt;N$5,MAX(0,N$3+ROUND((N$9*($L361-N$5)),0)),IF($L361&gt;N$4,N$3,ROUND($L361*N$7,0)))</f>
        <v/>
      </c>
      <c r="D361" s="448">
        <f>IF($L361&gt;O$5,MAX(0,O$3+ROUND((O$9*($L361-O$5)),0)),IF($L361&gt;O$4,O$3,ROUND($L361*O$7,0)))</f>
        <v/>
      </c>
      <c r="E361" s="448">
        <f>IF($L361&gt;P$5,MAX(0,P$3+ROUND((P$9*($L361-P$5)),0)),IF($L361&gt;P$4,P$3,ROUND($L361*P$7,0)))</f>
        <v/>
      </c>
      <c r="F361" s="447">
        <f>IF($L361&gt;Q$5,MAX(0,Q$3+ROUND((Q$9*($L361-Q$5)),0)),IF($L361&gt;Q$4,Q$3,ROUND($L361*Q$7,0)))</f>
        <v/>
      </c>
      <c r="G361" s="1378">
        <f>IF($L361&gt;R$5,MAX(0,R$3+ROUND((R$9*($L361-R$5)),0)),IF($L361&gt;R$4,R$3,ROUND($L361*R$7,0)))</f>
        <v/>
      </c>
      <c r="H361" s="448">
        <f>IF($L361&gt;S$5,MAX(0,S$3+ROUND((S$9*($L361-S$5)),0)),IF($L361&gt;S$4,S$3,ROUND($L361*S$7,0)))</f>
        <v/>
      </c>
      <c r="I361" s="448">
        <f>IF($L361&gt;T$5,MAX(0,T$3+ROUND((T$9*($L361-T$5)),0)),IF($L361&gt;T$4,T$3,ROUND($L361*T$7,0)))</f>
        <v/>
      </c>
      <c r="J361" s="447">
        <f>IF($L361&gt;U$5,MAX(0,U$3+ROUND((U$9*($L361-U$5)),0)),IF($L361&gt;U$4,U$3,ROUND($L361*U$7,0)))</f>
        <v/>
      </c>
      <c r="K361" s="422" t="n"/>
      <c r="L361" s="448">
        <f>ROUND((A361+B361)/2,2)</f>
        <v/>
      </c>
    </row>
    <row r="362" ht="13.5" customHeight="1" s="7635">
      <c r="A362" s="448" t="n">
        <v>17950</v>
      </c>
      <c r="B362" s="447" t="n">
        <v>18000</v>
      </c>
      <c r="C362" s="1378">
        <f>IF($L362&gt;N$5,MAX(0,N$3+ROUND((N$9*($L362-N$5)),0)),IF($L362&gt;N$4,N$3,ROUND($L362*N$7,0)))</f>
        <v/>
      </c>
      <c r="D362" s="448">
        <f>IF($L362&gt;O$5,MAX(0,O$3+ROUND((O$9*($L362-O$5)),0)),IF($L362&gt;O$4,O$3,ROUND($L362*O$7,0)))</f>
        <v/>
      </c>
      <c r="E362" s="448">
        <f>IF($L362&gt;P$5,MAX(0,P$3+ROUND((P$9*($L362-P$5)),0)),IF($L362&gt;P$4,P$3,ROUND($L362*P$7,0)))</f>
        <v/>
      </c>
      <c r="F362" s="447">
        <f>IF($L362&gt;Q$5,MAX(0,Q$3+ROUND((Q$9*($L362-Q$5)),0)),IF($L362&gt;Q$4,Q$3,ROUND($L362*Q$7,0)))</f>
        <v/>
      </c>
      <c r="G362" s="1378">
        <f>IF($L362&gt;R$5,MAX(0,R$3+ROUND((R$9*($L362-R$5)),0)),IF($L362&gt;R$4,R$3,ROUND($L362*R$7,0)))</f>
        <v/>
      </c>
      <c r="H362" s="448">
        <f>IF($L362&gt;S$5,MAX(0,S$3+ROUND((S$9*($L362-S$5)),0)),IF($L362&gt;S$4,S$3,ROUND($L362*S$7,0)))</f>
        <v/>
      </c>
      <c r="I362" s="448">
        <f>IF($L362&gt;T$5,MAX(0,T$3+ROUND((T$9*($L362-T$5)),0)),IF($L362&gt;T$4,T$3,ROUND($L362*T$7,0)))</f>
        <v/>
      </c>
      <c r="J362" s="447">
        <f>IF($L362&gt;U$5,MAX(0,U$3+ROUND((U$9*($L362-U$5)),0)),IF($L362&gt;U$4,U$3,ROUND($L362*U$7,0)))</f>
        <v/>
      </c>
      <c r="K362" s="422" t="n"/>
      <c r="L362" s="448">
        <f>ROUND((A362+B362)/2,2)</f>
        <v/>
      </c>
    </row>
    <row r="363" ht="13.5" customHeight="1" s="7635">
      <c r="A363" s="448" t="n">
        <v>18000</v>
      </c>
      <c r="B363" s="447" t="n">
        <v>18050</v>
      </c>
      <c r="C363" s="1378">
        <f>IF($L363&gt;N$5,MAX(0,N$3+ROUND((N$9*($L363-N$5)),0)),IF($L363&gt;N$4,N$3,ROUND($L363*N$7,0)))</f>
        <v/>
      </c>
      <c r="D363" s="448">
        <f>IF($L363&gt;O$5,MAX(0,O$3+ROUND((O$9*($L363-O$5)),0)),IF($L363&gt;O$4,O$3,ROUND($L363*O$7,0)))</f>
        <v/>
      </c>
      <c r="E363" s="448">
        <f>IF($L363&gt;P$5,MAX(0,P$3+ROUND((P$9*($L363-P$5)),0)),IF($L363&gt;P$4,P$3,ROUND($L363*P$7,0)))</f>
        <v/>
      </c>
      <c r="F363" s="447">
        <f>IF($L363&gt;Q$5,MAX(0,Q$3+ROUND((Q$9*($L363-Q$5)),0)),IF($L363&gt;Q$4,Q$3,ROUND($L363*Q$7,0)))</f>
        <v/>
      </c>
      <c r="G363" s="1378">
        <f>IF($L363&gt;R$5,MAX(0,R$3+ROUND((R$9*($L363-R$5)),0)),IF($L363&gt;R$4,R$3,ROUND($L363*R$7,0)))</f>
        <v/>
      </c>
      <c r="H363" s="448">
        <f>IF($L363&gt;S$5,MAX(0,S$3+ROUND((S$9*($L363-S$5)),0)),IF($L363&gt;S$4,S$3,ROUND($L363*S$7,0)))</f>
        <v/>
      </c>
      <c r="I363" s="448">
        <f>IF($L363&gt;T$5,MAX(0,T$3+ROUND((T$9*($L363-T$5)),0)),IF($L363&gt;T$4,T$3,ROUND($L363*T$7,0)))</f>
        <v/>
      </c>
      <c r="J363" s="447">
        <f>IF($L363&gt;U$5,MAX(0,U$3+ROUND((U$9*($L363-U$5)),0)),IF($L363&gt;U$4,U$3,ROUND($L363*U$7,0)))</f>
        <v/>
      </c>
      <c r="K363" s="422" t="n"/>
      <c r="L363" s="448">
        <f>ROUND((A363+B363)/2,2)</f>
        <v/>
      </c>
    </row>
    <row r="364" ht="13.5" customHeight="1" s="7635">
      <c r="A364" s="448" t="n">
        <v>18050</v>
      </c>
      <c r="B364" s="447" t="n">
        <v>18100</v>
      </c>
      <c r="C364" s="1378">
        <f>IF($L364&gt;N$5,MAX(0,N$3+ROUND((N$9*($L364-N$5)),0)),IF($L364&gt;N$4,N$3,ROUND($L364*N$7,0)))</f>
        <v/>
      </c>
      <c r="D364" s="448">
        <f>IF($L364&gt;O$5,MAX(0,O$3+ROUND((O$9*($L364-O$5)),0)),IF($L364&gt;O$4,O$3,ROUND($L364*O$7,0)))</f>
        <v/>
      </c>
      <c r="E364" s="448">
        <f>IF($L364&gt;P$5,MAX(0,P$3+ROUND((P$9*($L364-P$5)),0)),IF($L364&gt;P$4,P$3,ROUND($L364*P$7,0)))</f>
        <v/>
      </c>
      <c r="F364" s="447">
        <f>IF($L364&gt;Q$5,MAX(0,Q$3+ROUND((Q$9*($L364-Q$5)),0)),IF($L364&gt;Q$4,Q$3,ROUND($L364*Q$7,0)))</f>
        <v/>
      </c>
      <c r="G364" s="1378">
        <f>IF($L364&gt;R$5,MAX(0,R$3+ROUND((R$9*($L364-R$5)),0)),IF($L364&gt;R$4,R$3,ROUND($L364*R$7,0)))</f>
        <v/>
      </c>
      <c r="H364" s="448">
        <f>IF($L364&gt;S$5,MAX(0,S$3+ROUND((S$9*($L364-S$5)),0)),IF($L364&gt;S$4,S$3,ROUND($L364*S$7,0)))</f>
        <v/>
      </c>
      <c r="I364" s="448">
        <f>IF($L364&gt;T$5,MAX(0,T$3+ROUND((T$9*($L364-T$5)),0)),IF($L364&gt;T$4,T$3,ROUND($L364*T$7,0)))</f>
        <v/>
      </c>
      <c r="J364" s="447">
        <f>IF($L364&gt;U$5,MAX(0,U$3+ROUND((U$9*($L364-U$5)),0)),IF($L364&gt;U$4,U$3,ROUND($L364*U$7,0)))</f>
        <v/>
      </c>
      <c r="K364" s="422" t="n"/>
      <c r="L364" s="448">
        <f>ROUND((A364+B364)/2,2)</f>
        <v/>
      </c>
    </row>
    <row r="365" ht="13.5" customHeight="1" s="7635">
      <c r="A365" s="448" t="n">
        <v>18100</v>
      </c>
      <c r="B365" s="447" t="n">
        <v>18150</v>
      </c>
      <c r="C365" s="1378">
        <f>IF($L365&gt;N$5,MAX(0,N$3+ROUND((N$9*($L365-N$5)),0)),IF($L365&gt;N$4,N$3,ROUND($L365*N$7,0)))</f>
        <v/>
      </c>
      <c r="D365" s="448">
        <f>IF($L365&gt;O$5,MAX(0,O$3+ROUND((O$9*($L365-O$5)),0)),IF($L365&gt;O$4,O$3,ROUND($L365*O$7,0)))</f>
        <v/>
      </c>
      <c r="E365" s="448">
        <f>IF($L365&gt;P$5,MAX(0,P$3+ROUND((P$9*($L365-P$5)),0)),IF($L365&gt;P$4,P$3,ROUND($L365*P$7,0)))</f>
        <v/>
      </c>
      <c r="F365" s="447">
        <f>IF($L365&gt;Q$5,MAX(0,Q$3+ROUND((Q$9*($L365-Q$5)),0)),IF($L365&gt;Q$4,Q$3,ROUND($L365*Q$7,0)))</f>
        <v/>
      </c>
      <c r="G365" s="1378">
        <f>IF($L365&gt;R$5,MAX(0,R$3+ROUND((R$9*($L365-R$5)),0)),IF($L365&gt;R$4,R$3,ROUND($L365*R$7,0)))</f>
        <v/>
      </c>
      <c r="H365" s="448">
        <f>IF($L365&gt;S$5,MAX(0,S$3+ROUND((S$9*($L365-S$5)),0)),IF($L365&gt;S$4,S$3,ROUND($L365*S$7,0)))</f>
        <v/>
      </c>
      <c r="I365" s="448">
        <f>IF($L365&gt;T$5,MAX(0,T$3+ROUND((T$9*($L365-T$5)),0)),IF($L365&gt;T$4,T$3,ROUND($L365*T$7,0)))</f>
        <v/>
      </c>
      <c r="J365" s="447">
        <f>IF($L365&gt;U$5,MAX(0,U$3+ROUND((U$9*($L365-U$5)),0)),IF($L365&gt;U$4,U$3,ROUND($L365*U$7,0)))</f>
        <v/>
      </c>
      <c r="K365" s="422" t="n"/>
      <c r="L365" s="448">
        <f>ROUND((A365+B365)/2,2)</f>
        <v/>
      </c>
    </row>
    <row r="366" ht="13.5" customHeight="1" s="7635">
      <c r="A366" s="448" t="n">
        <v>18150</v>
      </c>
      <c r="B366" s="447" t="n">
        <v>18200</v>
      </c>
      <c r="C366" s="1378">
        <f>IF($L366&gt;N$5,MAX(0,N$3+ROUND((N$9*($L366-N$5)),0)),IF($L366&gt;N$4,N$3,ROUND($L366*N$7,0)))</f>
        <v/>
      </c>
      <c r="D366" s="448">
        <f>IF($L366&gt;O$5,MAX(0,O$3+ROUND((O$9*($L366-O$5)),0)),IF($L366&gt;O$4,O$3,ROUND($L366*O$7,0)))</f>
        <v/>
      </c>
      <c r="E366" s="448">
        <f>IF($L366&gt;P$5,MAX(0,P$3+ROUND((P$9*($L366-P$5)),0)),IF($L366&gt;P$4,P$3,ROUND($L366*P$7,0)))</f>
        <v/>
      </c>
      <c r="F366" s="447">
        <f>IF($L366&gt;Q$5,MAX(0,Q$3+ROUND((Q$9*($L366-Q$5)),0)),IF($L366&gt;Q$4,Q$3,ROUND($L366*Q$7,0)))</f>
        <v/>
      </c>
      <c r="G366" s="1378">
        <f>IF($L366&gt;R$5,MAX(0,R$3+ROUND((R$9*($L366-R$5)),0)),IF($L366&gt;R$4,R$3,ROUND($L366*R$7,0)))</f>
        <v/>
      </c>
      <c r="H366" s="448">
        <f>IF($L366&gt;S$5,MAX(0,S$3+ROUND((S$9*($L366-S$5)),0)),IF($L366&gt;S$4,S$3,ROUND($L366*S$7,0)))</f>
        <v/>
      </c>
      <c r="I366" s="448">
        <f>IF($L366&gt;T$5,MAX(0,T$3+ROUND((T$9*($L366-T$5)),0)),IF($L366&gt;T$4,T$3,ROUND($L366*T$7,0)))</f>
        <v/>
      </c>
      <c r="J366" s="447">
        <f>IF($L366&gt;U$5,MAX(0,U$3+ROUND((U$9*($L366-U$5)),0)),IF($L366&gt;U$4,U$3,ROUND($L366*U$7,0)))</f>
        <v/>
      </c>
      <c r="K366" s="422" t="n"/>
      <c r="L366" s="448">
        <f>ROUND((A366+B366)/2,2)</f>
        <v/>
      </c>
    </row>
    <row r="367" ht="13.5" customHeight="1" s="7635">
      <c r="A367" s="448" t="n">
        <v>18200</v>
      </c>
      <c r="B367" s="447" t="n">
        <v>18250</v>
      </c>
      <c r="C367" s="1378">
        <f>IF($L367&gt;N$5,MAX(0,N$3+ROUND((N$9*($L367-N$5)),0)),IF($L367&gt;N$4,N$3,ROUND($L367*N$7,0)))</f>
        <v/>
      </c>
      <c r="D367" s="448">
        <f>IF($L367&gt;O$5,MAX(0,O$3+ROUND((O$9*($L367-O$5)),0)),IF($L367&gt;O$4,O$3,ROUND($L367*O$7,0)))</f>
        <v/>
      </c>
      <c r="E367" s="448">
        <f>IF($L367&gt;P$5,MAX(0,P$3+ROUND((P$9*($L367-P$5)),0)),IF($L367&gt;P$4,P$3,ROUND($L367*P$7,0)))</f>
        <v/>
      </c>
      <c r="F367" s="447">
        <f>IF($L367&gt;Q$5,MAX(0,Q$3+ROUND((Q$9*($L367-Q$5)),0)),IF($L367&gt;Q$4,Q$3,ROUND($L367*Q$7,0)))</f>
        <v/>
      </c>
      <c r="G367" s="1378">
        <f>IF($L367&gt;R$5,MAX(0,R$3+ROUND((R$9*($L367-R$5)),0)),IF($L367&gt;R$4,R$3,ROUND($L367*R$7,0)))</f>
        <v/>
      </c>
      <c r="H367" s="448">
        <f>IF($L367&gt;S$5,MAX(0,S$3+ROUND((S$9*($L367-S$5)),0)),IF($L367&gt;S$4,S$3,ROUND($L367*S$7,0)))</f>
        <v/>
      </c>
      <c r="I367" s="448">
        <f>IF($L367&gt;T$5,MAX(0,T$3+ROUND((T$9*($L367-T$5)),0)),IF($L367&gt;T$4,T$3,ROUND($L367*T$7,0)))</f>
        <v/>
      </c>
      <c r="J367" s="447">
        <f>IF($L367&gt;U$5,MAX(0,U$3+ROUND((U$9*($L367-U$5)),0)),IF($L367&gt;U$4,U$3,ROUND($L367*U$7,0)))</f>
        <v/>
      </c>
      <c r="K367" s="422" t="n"/>
      <c r="L367" s="448">
        <f>ROUND((A367+B367)/2,2)</f>
        <v/>
      </c>
    </row>
    <row r="368" ht="13.5" customHeight="1" s="7635">
      <c r="A368" s="448" t="n">
        <v>18250</v>
      </c>
      <c r="B368" s="447" t="n">
        <v>18300</v>
      </c>
      <c r="C368" s="1378">
        <f>IF($L368&gt;N$5,MAX(0,N$3+ROUND((N$9*($L368-N$5)),0)),IF($L368&gt;N$4,N$3,ROUND($L368*N$7,0)))</f>
        <v/>
      </c>
      <c r="D368" s="448">
        <f>IF($L368&gt;O$5,MAX(0,O$3+ROUND((O$9*($L368-O$5)),0)),IF($L368&gt;O$4,O$3,ROUND($L368*O$7,0)))</f>
        <v/>
      </c>
      <c r="E368" s="448">
        <f>IF($L368&gt;P$5,MAX(0,P$3+ROUND((P$9*($L368-P$5)),0)),IF($L368&gt;P$4,P$3,ROUND($L368*P$7,0)))</f>
        <v/>
      </c>
      <c r="F368" s="447">
        <f>IF($L368&gt;Q$5,MAX(0,Q$3+ROUND((Q$9*($L368-Q$5)),0)),IF($L368&gt;Q$4,Q$3,ROUND($L368*Q$7,0)))</f>
        <v/>
      </c>
      <c r="G368" s="1378">
        <f>IF($L368&gt;R$5,MAX(0,R$3+ROUND((R$9*($L368-R$5)),0)),IF($L368&gt;R$4,R$3,ROUND($L368*R$7,0)))</f>
        <v/>
      </c>
      <c r="H368" s="448">
        <f>IF($L368&gt;S$5,MAX(0,S$3+ROUND((S$9*($L368-S$5)),0)),IF($L368&gt;S$4,S$3,ROUND($L368*S$7,0)))</f>
        <v/>
      </c>
      <c r="I368" s="448">
        <f>IF($L368&gt;T$5,MAX(0,T$3+ROUND((T$9*($L368-T$5)),0)),IF($L368&gt;T$4,T$3,ROUND($L368*T$7,0)))</f>
        <v/>
      </c>
      <c r="J368" s="447">
        <f>IF($L368&gt;U$5,MAX(0,U$3+ROUND((U$9*($L368-U$5)),0)),IF($L368&gt;U$4,U$3,ROUND($L368*U$7,0)))</f>
        <v/>
      </c>
      <c r="K368" s="422" t="n"/>
      <c r="L368" s="448">
        <f>ROUND((A368+B368)/2,2)</f>
        <v/>
      </c>
    </row>
    <row r="369" ht="13.5" customHeight="1" s="7635">
      <c r="A369" s="448" t="n">
        <v>18300</v>
      </c>
      <c r="B369" s="447" t="n">
        <v>18350</v>
      </c>
      <c r="C369" s="1378">
        <f>IF($L369&gt;N$5,MAX(0,N$3+ROUND((N$9*($L369-N$5)),0)),IF($L369&gt;N$4,N$3,ROUND($L369*N$7,0)))</f>
        <v/>
      </c>
      <c r="D369" s="448">
        <f>IF($L369&gt;O$5,MAX(0,O$3+ROUND((O$9*($L369-O$5)),0)),IF($L369&gt;O$4,O$3,ROUND($L369*O$7,0)))</f>
        <v/>
      </c>
      <c r="E369" s="448">
        <f>IF($L369&gt;P$5,MAX(0,P$3+ROUND((P$9*($L369-P$5)),0)),IF($L369&gt;P$4,P$3,ROUND($L369*P$7,0)))</f>
        <v/>
      </c>
      <c r="F369" s="447">
        <f>IF($L369&gt;Q$5,MAX(0,Q$3+ROUND((Q$9*($L369-Q$5)),0)),IF($L369&gt;Q$4,Q$3,ROUND($L369*Q$7,0)))</f>
        <v/>
      </c>
      <c r="G369" s="1378">
        <f>IF($L369&gt;R$5,MAX(0,R$3+ROUND((R$9*($L369-R$5)),0)),IF($L369&gt;R$4,R$3,ROUND($L369*R$7,0)))</f>
        <v/>
      </c>
      <c r="H369" s="448">
        <f>IF($L369&gt;S$5,MAX(0,S$3+ROUND((S$9*($L369-S$5)),0)),IF($L369&gt;S$4,S$3,ROUND($L369*S$7,0)))</f>
        <v/>
      </c>
      <c r="I369" s="448">
        <f>IF($L369&gt;T$5,MAX(0,T$3+ROUND((T$9*($L369-T$5)),0)),IF($L369&gt;T$4,T$3,ROUND($L369*T$7,0)))</f>
        <v/>
      </c>
      <c r="J369" s="447">
        <f>IF($L369&gt;U$5,MAX(0,U$3+ROUND((U$9*($L369-U$5)),0)),IF($L369&gt;U$4,U$3,ROUND($L369*U$7,0)))</f>
        <v/>
      </c>
      <c r="K369" s="422" t="n"/>
      <c r="L369" s="448">
        <f>ROUND((A369+B369)/2,2)</f>
        <v/>
      </c>
    </row>
    <row r="370" ht="13.5" customHeight="1" s="7635">
      <c r="A370" s="448" t="n">
        <v>18350</v>
      </c>
      <c r="B370" s="447" t="n">
        <v>18400</v>
      </c>
      <c r="C370" s="1378">
        <f>IF($L370&gt;N$5,MAX(0,N$3+ROUND((N$9*($L370-N$5)),0)),IF($L370&gt;N$4,N$3,ROUND($L370*N$7,0)))</f>
        <v/>
      </c>
      <c r="D370" s="448">
        <f>IF($L370&gt;O$5,MAX(0,O$3+ROUND((O$9*($L370-O$5)),0)),IF($L370&gt;O$4,O$3,ROUND($L370*O$7,0)))</f>
        <v/>
      </c>
      <c r="E370" s="448">
        <f>IF($L370&gt;P$5,MAX(0,P$3+ROUND((P$9*($L370-P$5)),0)),IF($L370&gt;P$4,P$3,ROUND($L370*P$7,0)))</f>
        <v/>
      </c>
      <c r="F370" s="447">
        <f>IF($L370&gt;Q$5,MAX(0,Q$3+ROUND((Q$9*($L370-Q$5)),0)),IF($L370&gt;Q$4,Q$3,ROUND($L370*Q$7,0)))</f>
        <v/>
      </c>
      <c r="G370" s="1378">
        <f>IF($L370&gt;R$5,MAX(0,R$3+ROUND((R$9*($L370-R$5)),0)),IF($L370&gt;R$4,R$3,ROUND($L370*R$7,0)))</f>
        <v/>
      </c>
      <c r="H370" s="448">
        <f>IF($L370&gt;S$5,MAX(0,S$3+ROUND((S$9*($L370-S$5)),0)),IF($L370&gt;S$4,S$3,ROUND($L370*S$7,0)))</f>
        <v/>
      </c>
      <c r="I370" s="448">
        <f>IF($L370&gt;T$5,MAX(0,T$3+ROUND((T$9*($L370-T$5)),0)),IF($L370&gt;T$4,T$3,ROUND($L370*T$7,0)))</f>
        <v/>
      </c>
      <c r="J370" s="447">
        <f>IF($L370&gt;U$5,MAX(0,U$3+ROUND((U$9*($L370-U$5)),0)),IF($L370&gt;U$4,U$3,ROUND($L370*U$7,0)))</f>
        <v/>
      </c>
      <c r="K370" s="422" t="n"/>
      <c r="L370" s="448">
        <f>ROUND((A370+B370)/2,2)</f>
        <v/>
      </c>
    </row>
    <row r="371" ht="13.5" customHeight="1" s="7635">
      <c r="A371" s="448" t="n">
        <v>18400</v>
      </c>
      <c r="B371" s="447" t="n">
        <v>18450</v>
      </c>
      <c r="C371" s="1378">
        <f>IF($L371&gt;N$5,MAX(0,N$3+ROUND((N$9*($L371-N$5)),0)),IF($L371&gt;N$4,N$3,ROUND($L371*N$7,0)))</f>
        <v/>
      </c>
      <c r="D371" s="448">
        <f>IF($L371&gt;O$5,MAX(0,O$3+ROUND((O$9*($L371-O$5)),0)),IF($L371&gt;O$4,O$3,ROUND($L371*O$7,0)))</f>
        <v/>
      </c>
      <c r="E371" s="448">
        <f>IF($L371&gt;P$5,MAX(0,P$3+ROUND((P$9*($L371-P$5)),0)),IF($L371&gt;P$4,P$3,ROUND($L371*P$7,0)))</f>
        <v/>
      </c>
      <c r="F371" s="447">
        <f>IF($L371&gt;Q$5,MAX(0,Q$3+ROUND((Q$9*($L371-Q$5)),0)),IF($L371&gt;Q$4,Q$3,ROUND($L371*Q$7,0)))</f>
        <v/>
      </c>
      <c r="G371" s="1378">
        <f>IF($L371&gt;R$5,MAX(0,R$3+ROUND((R$9*($L371-R$5)),0)),IF($L371&gt;R$4,R$3,ROUND($L371*R$7,0)))</f>
        <v/>
      </c>
      <c r="H371" s="448">
        <f>IF($L371&gt;S$5,MAX(0,S$3+ROUND((S$9*($L371-S$5)),0)),IF($L371&gt;S$4,S$3,ROUND($L371*S$7,0)))</f>
        <v/>
      </c>
      <c r="I371" s="448">
        <f>IF($L371&gt;T$5,MAX(0,T$3+ROUND((T$9*($L371-T$5)),0)),IF($L371&gt;T$4,T$3,ROUND($L371*T$7,0)))</f>
        <v/>
      </c>
      <c r="J371" s="447">
        <f>IF($L371&gt;U$5,MAX(0,U$3+ROUND((U$9*($L371-U$5)),0)),IF($L371&gt;U$4,U$3,ROUND($L371*U$7,0)))</f>
        <v/>
      </c>
      <c r="K371" s="422" t="n"/>
      <c r="L371" s="448">
        <f>ROUND((A371+B371)/2,2)</f>
        <v/>
      </c>
    </row>
    <row r="372" ht="13.5" customHeight="1" s="7635">
      <c r="A372" s="448" t="n">
        <v>18450</v>
      </c>
      <c r="B372" s="447" t="n">
        <v>18500</v>
      </c>
      <c r="C372" s="1378">
        <f>IF($L372&gt;N$5,MAX(0,N$3+ROUND((N$9*($L372-N$5)),0)),IF($L372&gt;N$4,N$3,ROUND($L372*N$7,0)))</f>
        <v/>
      </c>
      <c r="D372" s="448">
        <f>IF($L372&gt;O$5,MAX(0,O$3+ROUND((O$9*($L372-O$5)),0)),IF($L372&gt;O$4,O$3,ROUND($L372*O$7,0)))</f>
        <v/>
      </c>
      <c r="E372" s="448">
        <f>IF($L372&gt;P$5,MAX(0,P$3+ROUND((P$9*($L372-P$5)),0)),IF($L372&gt;P$4,P$3,ROUND($L372*P$7,0)))</f>
        <v/>
      </c>
      <c r="F372" s="447">
        <f>IF($L372&gt;Q$5,MAX(0,Q$3+ROUND((Q$9*($L372-Q$5)),0)),IF($L372&gt;Q$4,Q$3,ROUND($L372*Q$7,0)))</f>
        <v/>
      </c>
      <c r="G372" s="1378">
        <f>IF($L372&gt;R$5,MAX(0,R$3+ROUND((R$9*($L372-R$5)),0)),IF($L372&gt;R$4,R$3,ROUND($L372*R$7,0)))</f>
        <v/>
      </c>
      <c r="H372" s="448">
        <f>IF($L372&gt;S$5,MAX(0,S$3+ROUND((S$9*($L372-S$5)),0)),IF($L372&gt;S$4,S$3,ROUND($L372*S$7,0)))</f>
        <v/>
      </c>
      <c r="I372" s="448">
        <f>IF($L372&gt;T$5,MAX(0,T$3+ROUND((T$9*($L372-T$5)),0)),IF($L372&gt;T$4,T$3,ROUND($L372*T$7,0)))</f>
        <v/>
      </c>
      <c r="J372" s="447">
        <f>IF($L372&gt;U$5,MAX(0,U$3+ROUND((U$9*($L372-U$5)),0)),IF($L372&gt;U$4,U$3,ROUND($L372*U$7,0)))</f>
        <v/>
      </c>
      <c r="K372" s="422" t="n"/>
      <c r="L372" s="448">
        <f>ROUND((A372+B372)/2,2)</f>
        <v/>
      </c>
    </row>
    <row r="373" ht="13.5" customHeight="1" s="7635">
      <c r="A373" s="448" t="n">
        <v>18500</v>
      </c>
      <c r="B373" s="447" t="n">
        <v>18550</v>
      </c>
      <c r="C373" s="1378">
        <f>IF($L373&gt;N$5,MAX(0,N$3+ROUND((N$9*($L373-N$5)),0)),IF($L373&gt;N$4,N$3,ROUND($L373*N$7,0)))</f>
        <v/>
      </c>
      <c r="D373" s="448">
        <f>IF($L373&gt;O$5,MAX(0,O$3+ROUND((O$9*($L373-O$5)),0)),IF($L373&gt;O$4,O$3,ROUND($L373*O$7,0)))</f>
        <v/>
      </c>
      <c r="E373" s="448">
        <f>IF($L373&gt;P$5,MAX(0,P$3+ROUND((P$9*($L373-P$5)),0)),IF($L373&gt;P$4,P$3,ROUND($L373*P$7,0)))</f>
        <v/>
      </c>
      <c r="F373" s="447">
        <f>IF($L373&gt;Q$5,MAX(0,Q$3+ROUND((Q$9*($L373-Q$5)),0)),IF($L373&gt;Q$4,Q$3,ROUND($L373*Q$7,0)))</f>
        <v/>
      </c>
      <c r="G373" s="1378">
        <f>IF($L373&gt;R$5,MAX(0,R$3+ROUND((R$9*($L373-R$5)),0)),IF($L373&gt;R$4,R$3,ROUND($L373*R$7,0)))</f>
        <v/>
      </c>
      <c r="H373" s="448">
        <f>IF($L373&gt;S$5,MAX(0,S$3+ROUND((S$9*($L373-S$5)),0)),IF($L373&gt;S$4,S$3,ROUND($L373*S$7,0)))</f>
        <v/>
      </c>
      <c r="I373" s="448">
        <f>IF($L373&gt;T$5,MAX(0,T$3+ROUND((T$9*($L373-T$5)),0)),IF($L373&gt;T$4,T$3,ROUND($L373*T$7,0)))</f>
        <v/>
      </c>
      <c r="J373" s="447">
        <f>IF($L373&gt;U$5,MAX(0,U$3+ROUND((U$9*($L373-U$5)),0)),IF($L373&gt;U$4,U$3,ROUND($L373*U$7,0)))</f>
        <v/>
      </c>
      <c r="K373" s="422" t="n"/>
      <c r="L373" s="448">
        <f>ROUND((A373+B373)/2,2)</f>
        <v/>
      </c>
    </row>
    <row r="374" ht="13.5" customHeight="1" s="7635">
      <c r="A374" s="448" t="n">
        <v>18550</v>
      </c>
      <c r="B374" s="447" t="n">
        <v>18600</v>
      </c>
      <c r="C374" s="1378">
        <f>IF($L374&gt;N$5,MAX(0,N$3+ROUND((N$9*($L374-N$5)),0)),IF($L374&gt;N$4,N$3,ROUND($L374*N$7,0)))</f>
        <v/>
      </c>
      <c r="D374" s="448">
        <f>IF($L374&gt;O$5,MAX(0,O$3+ROUND((O$9*($L374-O$5)),0)),IF($L374&gt;O$4,O$3,ROUND($L374*O$7,0)))</f>
        <v/>
      </c>
      <c r="E374" s="448">
        <f>IF($L374&gt;P$5,MAX(0,P$3+ROUND((P$9*($L374-P$5)),0)),IF($L374&gt;P$4,P$3,ROUND($L374*P$7,0)))</f>
        <v/>
      </c>
      <c r="F374" s="447">
        <f>IF($L374&gt;Q$5,MAX(0,Q$3+ROUND((Q$9*($L374-Q$5)),0)),IF($L374&gt;Q$4,Q$3,ROUND($L374*Q$7,0)))</f>
        <v/>
      </c>
      <c r="G374" s="1378">
        <f>IF($L374&gt;R$5,MAX(0,R$3+ROUND((R$9*($L374-R$5)),0)),IF($L374&gt;R$4,R$3,ROUND($L374*R$7,0)))</f>
        <v/>
      </c>
      <c r="H374" s="448">
        <f>IF($L374&gt;S$5,MAX(0,S$3+ROUND((S$9*($L374-S$5)),0)),IF($L374&gt;S$4,S$3,ROUND($L374*S$7,0)))</f>
        <v/>
      </c>
      <c r="I374" s="448">
        <f>IF($L374&gt;T$5,MAX(0,T$3+ROUND((T$9*($L374-T$5)),0)),IF($L374&gt;T$4,T$3,ROUND($L374*T$7,0)))</f>
        <v/>
      </c>
      <c r="J374" s="447">
        <f>IF($L374&gt;U$5,MAX(0,U$3+ROUND((U$9*($L374-U$5)),0)),IF($L374&gt;U$4,U$3,ROUND($L374*U$7,0)))</f>
        <v/>
      </c>
      <c r="K374" s="422" t="n"/>
      <c r="L374" s="448">
        <f>ROUND((A374+B374)/2,2)</f>
        <v/>
      </c>
    </row>
    <row r="375" ht="13.5" customHeight="1" s="7635">
      <c r="A375" s="448" t="n">
        <v>18600</v>
      </c>
      <c r="B375" s="447" t="n">
        <v>18650</v>
      </c>
      <c r="C375" s="1378">
        <f>IF($L375&gt;N$5,MAX(0,N$3+ROUND((N$9*($L375-N$5)),0)),IF($L375&gt;N$4,N$3,ROUND($L375*N$7,0)))</f>
        <v/>
      </c>
      <c r="D375" s="448">
        <f>IF($L375&gt;O$5,MAX(0,O$3+ROUND((O$9*($L375-O$5)),0)),IF($L375&gt;O$4,O$3,ROUND($L375*O$7,0)))</f>
        <v/>
      </c>
      <c r="E375" s="448">
        <f>IF($L375&gt;P$5,MAX(0,P$3+ROUND((P$9*($L375-P$5)),0)),IF($L375&gt;P$4,P$3,ROUND($L375*P$7,0)))</f>
        <v/>
      </c>
      <c r="F375" s="447">
        <f>IF($L375&gt;Q$5,MAX(0,Q$3+ROUND((Q$9*($L375-Q$5)),0)),IF($L375&gt;Q$4,Q$3,ROUND($L375*Q$7,0)))</f>
        <v/>
      </c>
      <c r="G375" s="1378">
        <f>IF($L375&gt;R$5,MAX(0,R$3+ROUND((R$9*($L375-R$5)),0)),IF($L375&gt;R$4,R$3,ROUND($L375*R$7,0)))</f>
        <v/>
      </c>
      <c r="H375" s="448">
        <f>IF($L375&gt;S$5,MAX(0,S$3+ROUND((S$9*($L375-S$5)),0)),IF($L375&gt;S$4,S$3,ROUND($L375*S$7,0)))</f>
        <v/>
      </c>
      <c r="I375" s="448">
        <f>IF($L375&gt;T$5,MAX(0,T$3+ROUND((T$9*($L375-T$5)),0)),IF($L375&gt;T$4,T$3,ROUND($L375*T$7,0)))</f>
        <v/>
      </c>
      <c r="J375" s="447">
        <f>IF($L375&gt;U$5,MAX(0,U$3+ROUND((U$9*($L375-U$5)),0)),IF($L375&gt;U$4,U$3,ROUND($L375*U$7,0)))</f>
        <v/>
      </c>
      <c r="K375" s="422" t="n"/>
      <c r="L375" s="448">
        <f>ROUND((A375+B375)/2,2)</f>
        <v/>
      </c>
    </row>
    <row r="376" ht="13.5" customHeight="1" s="7635">
      <c r="A376" s="448" t="n">
        <v>18650</v>
      </c>
      <c r="B376" s="447" t="n">
        <v>18700</v>
      </c>
      <c r="C376" s="1378">
        <f>IF($L376&gt;N$5,MAX(0,N$3+ROUND((N$9*($L376-N$5)),0)),IF($L376&gt;N$4,N$3,ROUND($L376*N$7,0)))</f>
        <v/>
      </c>
      <c r="D376" s="448">
        <f>IF($L376&gt;O$5,MAX(0,O$3+ROUND((O$9*($L376-O$5)),0)),IF($L376&gt;O$4,O$3,ROUND($L376*O$7,0)))</f>
        <v/>
      </c>
      <c r="E376" s="448">
        <f>IF($L376&gt;P$5,MAX(0,P$3+ROUND((P$9*($L376-P$5)),0)),IF($L376&gt;P$4,P$3,ROUND($L376*P$7,0)))</f>
        <v/>
      </c>
      <c r="F376" s="447">
        <f>IF($L376&gt;Q$5,MAX(0,Q$3+ROUND((Q$9*($L376-Q$5)),0)),IF($L376&gt;Q$4,Q$3,ROUND($L376*Q$7,0)))</f>
        <v/>
      </c>
      <c r="G376" s="1378">
        <f>IF($L376&gt;R$5,MAX(0,R$3+ROUND((R$9*($L376-R$5)),0)),IF($L376&gt;R$4,R$3,ROUND($L376*R$7,0)))</f>
        <v/>
      </c>
      <c r="H376" s="448">
        <f>IF($L376&gt;S$5,MAX(0,S$3+ROUND((S$9*($L376-S$5)),0)),IF($L376&gt;S$4,S$3,ROUND($L376*S$7,0)))</f>
        <v/>
      </c>
      <c r="I376" s="448">
        <f>IF($L376&gt;T$5,MAX(0,T$3+ROUND((T$9*($L376-T$5)),0)),IF($L376&gt;T$4,T$3,ROUND($L376*T$7,0)))</f>
        <v/>
      </c>
      <c r="J376" s="447">
        <f>IF($L376&gt;U$5,MAX(0,U$3+ROUND((U$9*($L376-U$5)),0)),IF($L376&gt;U$4,U$3,ROUND($L376*U$7,0)))</f>
        <v/>
      </c>
      <c r="K376" s="422" t="n"/>
      <c r="L376" s="448">
        <f>ROUND((A376+B376)/2,2)</f>
        <v/>
      </c>
    </row>
    <row r="377" ht="13.5" customHeight="1" s="7635">
      <c r="A377" s="448" t="n">
        <v>18700</v>
      </c>
      <c r="B377" s="447" t="n">
        <v>18750</v>
      </c>
      <c r="C377" s="1378">
        <f>IF($L377&gt;N$5,MAX(0,N$3+ROUND((N$9*($L377-N$5)),0)),IF($L377&gt;N$4,N$3,ROUND($L377*N$7,0)))</f>
        <v/>
      </c>
      <c r="D377" s="448">
        <f>IF($L377&gt;O$5,MAX(0,O$3+ROUND((O$9*($L377-O$5)),0)),IF($L377&gt;O$4,O$3,ROUND($L377*O$7,0)))</f>
        <v/>
      </c>
      <c r="E377" s="448">
        <f>IF($L377&gt;P$5,MAX(0,P$3+ROUND((P$9*($L377-P$5)),0)),IF($L377&gt;P$4,P$3,ROUND($L377*P$7,0)))</f>
        <v/>
      </c>
      <c r="F377" s="447">
        <f>IF($L377&gt;Q$5,MAX(0,Q$3+ROUND((Q$9*($L377-Q$5)),0)),IF($L377&gt;Q$4,Q$3,ROUND($L377*Q$7,0)))</f>
        <v/>
      </c>
      <c r="G377" s="1378">
        <f>IF($L377&gt;R$5,MAX(0,R$3+ROUND((R$9*($L377-R$5)),0)),IF($L377&gt;R$4,R$3,ROUND($L377*R$7,0)))</f>
        <v/>
      </c>
      <c r="H377" s="448">
        <f>IF($L377&gt;S$5,MAX(0,S$3+ROUND((S$9*($L377-S$5)),0)),IF($L377&gt;S$4,S$3,ROUND($L377*S$7,0)))</f>
        <v/>
      </c>
      <c r="I377" s="448">
        <f>IF($L377&gt;T$5,MAX(0,T$3+ROUND((T$9*($L377-T$5)),0)),IF($L377&gt;T$4,T$3,ROUND($L377*T$7,0)))</f>
        <v/>
      </c>
      <c r="J377" s="447">
        <f>IF($L377&gt;U$5,MAX(0,U$3+ROUND((U$9*($L377-U$5)),0)),IF($L377&gt;U$4,U$3,ROUND($L377*U$7,0)))</f>
        <v/>
      </c>
      <c r="K377" s="422" t="n"/>
      <c r="L377" s="448">
        <f>ROUND((A377+B377)/2,2)</f>
        <v/>
      </c>
    </row>
    <row r="378" ht="13.5" customHeight="1" s="7635">
      <c r="A378" s="448" t="n">
        <v>18750</v>
      </c>
      <c r="B378" s="447" t="n">
        <v>18800</v>
      </c>
      <c r="C378" s="1378">
        <f>IF($L378&gt;N$5,MAX(0,N$3+ROUND((N$9*($L378-N$5)),0)),IF($L378&gt;N$4,N$3,ROUND($L378*N$7,0)))</f>
        <v/>
      </c>
      <c r="D378" s="448">
        <f>IF($L378&gt;O$5,MAX(0,O$3+ROUND((O$9*($L378-O$5)),0)),IF($L378&gt;O$4,O$3,ROUND($L378*O$7,0)))</f>
        <v/>
      </c>
      <c r="E378" s="448">
        <f>IF($L378&gt;P$5,MAX(0,P$3+ROUND((P$9*($L378-P$5)),0)),IF($L378&gt;P$4,P$3,ROUND($L378*P$7,0)))</f>
        <v/>
      </c>
      <c r="F378" s="447">
        <f>IF($L378&gt;Q$5,MAX(0,Q$3+ROUND((Q$9*($L378-Q$5)),0)),IF($L378&gt;Q$4,Q$3,ROUND($L378*Q$7,0)))</f>
        <v/>
      </c>
      <c r="G378" s="1378">
        <f>IF($L378&gt;R$5,MAX(0,R$3+ROUND((R$9*($L378-R$5)),0)),IF($L378&gt;R$4,R$3,ROUND($L378*R$7,0)))</f>
        <v/>
      </c>
      <c r="H378" s="448">
        <f>IF($L378&gt;S$5,MAX(0,S$3+ROUND((S$9*($L378-S$5)),0)),IF($L378&gt;S$4,S$3,ROUND($L378*S$7,0)))</f>
        <v/>
      </c>
      <c r="I378" s="448">
        <f>IF($L378&gt;T$5,MAX(0,T$3+ROUND((T$9*($L378-T$5)),0)),IF($L378&gt;T$4,T$3,ROUND($L378*T$7,0)))</f>
        <v/>
      </c>
      <c r="J378" s="447">
        <f>IF($L378&gt;U$5,MAX(0,U$3+ROUND((U$9*($L378-U$5)),0)),IF($L378&gt;U$4,U$3,ROUND($L378*U$7,0)))</f>
        <v/>
      </c>
      <c r="K378" s="422" t="n"/>
      <c r="L378" s="448">
        <f>ROUND((A378+B378)/2,2)</f>
        <v/>
      </c>
    </row>
    <row r="379" ht="13.5" customHeight="1" s="7635">
      <c r="A379" s="448" t="n">
        <v>18800</v>
      </c>
      <c r="B379" s="447" t="n">
        <v>18850</v>
      </c>
      <c r="C379" s="1378">
        <f>IF($L379&gt;N$5,MAX(0,N$3+ROUND((N$9*($L379-N$5)),0)),IF($L379&gt;N$4,N$3,ROUND($L379*N$7,0)))</f>
        <v/>
      </c>
      <c r="D379" s="448">
        <f>IF($L379&gt;O$5,MAX(0,O$3+ROUND((O$9*($L379-O$5)),0)),IF($L379&gt;O$4,O$3,ROUND($L379*O$7,0)))</f>
        <v/>
      </c>
      <c r="E379" s="448">
        <f>IF($L379&gt;P$5,MAX(0,P$3+ROUND((P$9*($L379-P$5)),0)),IF($L379&gt;P$4,P$3,ROUND($L379*P$7,0)))</f>
        <v/>
      </c>
      <c r="F379" s="447">
        <f>IF($L379&gt;Q$5,MAX(0,Q$3+ROUND((Q$9*($L379-Q$5)),0)),IF($L379&gt;Q$4,Q$3,ROUND($L379*Q$7,0)))</f>
        <v/>
      </c>
      <c r="G379" s="1378">
        <f>IF($L379&gt;R$5,MAX(0,R$3+ROUND((R$9*($L379-R$5)),0)),IF($L379&gt;R$4,R$3,ROUND($L379*R$7,0)))</f>
        <v/>
      </c>
      <c r="H379" s="448">
        <f>IF($L379&gt;S$5,MAX(0,S$3+ROUND((S$9*($L379-S$5)),0)),IF($L379&gt;S$4,S$3,ROUND($L379*S$7,0)))</f>
        <v/>
      </c>
      <c r="I379" s="448">
        <f>IF($L379&gt;T$5,MAX(0,T$3+ROUND((T$9*($L379-T$5)),0)),IF($L379&gt;T$4,T$3,ROUND($L379*T$7,0)))</f>
        <v/>
      </c>
      <c r="J379" s="447">
        <f>IF($L379&gt;U$5,MAX(0,U$3+ROUND((U$9*($L379-U$5)),0)),IF($L379&gt;U$4,U$3,ROUND($L379*U$7,0)))</f>
        <v/>
      </c>
      <c r="K379" s="422" t="n"/>
      <c r="L379" s="448">
        <f>ROUND((A379+B379)/2,2)</f>
        <v/>
      </c>
    </row>
    <row r="380" ht="13.5" customHeight="1" s="7635">
      <c r="A380" s="448" t="n">
        <v>18850</v>
      </c>
      <c r="B380" s="447" t="n">
        <v>18900</v>
      </c>
      <c r="C380" s="1378">
        <f>IF($L380&gt;N$5,MAX(0,N$3+ROUND((N$9*($L380-N$5)),0)),IF($L380&gt;N$4,N$3,ROUND($L380*N$7,0)))</f>
        <v/>
      </c>
      <c r="D380" s="448">
        <f>IF($L380&gt;O$5,MAX(0,O$3+ROUND((O$9*($L380-O$5)),0)),IF($L380&gt;O$4,O$3,ROUND($L380*O$7,0)))</f>
        <v/>
      </c>
      <c r="E380" s="448">
        <f>IF($L380&gt;P$5,MAX(0,P$3+ROUND((P$9*($L380-P$5)),0)),IF($L380&gt;P$4,P$3,ROUND($L380*P$7,0)))</f>
        <v/>
      </c>
      <c r="F380" s="447">
        <f>IF($L380&gt;Q$5,MAX(0,Q$3+ROUND((Q$9*($L380-Q$5)),0)),IF($L380&gt;Q$4,Q$3,ROUND($L380*Q$7,0)))</f>
        <v/>
      </c>
      <c r="G380" s="1378">
        <f>IF($L380&gt;R$5,MAX(0,R$3+ROUND((R$9*($L380-R$5)),0)),IF($L380&gt;R$4,R$3,ROUND($L380*R$7,0)))</f>
        <v/>
      </c>
      <c r="H380" s="448">
        <f>IF($L380&gt;S$5,MAX(0,S$3+ROUND((S$9*($L380-S$5)),0)),IF($L380&gt;S$4,S$3,ROUND($L380*S$7,0)))</f>
        <v/>
      </c>
      <c r="I380" s="448">
        <f>IF($L380&gt;T$5,MAX(0,T$3+ROUND((T$9*($L380-T$5)),0)),IF($L380&gt;T$4,T$3,ROUND($L380*T$7,0)))</f>
        <v/>
      </c>
      <c r="J380" s="447">
        <f>IF($L380&gt;U$5,MAX(0,U$3+ROUND((U$9*($L380-U$5)),0)),IF($L380&gt;U$4,U$3,ROUND($L380*U$7,0)))</f>
        <v/>
      </c>
      <c r="K380" s="422" t="n"/>
      <c r="L380" s="448">
        <f>ROUND((A380+B380)/2,2)</f>
        <v/>
      </c>
    </row>
    <row r="381" ht="13.5" customHeight="1" s="7635">
      <c r="A381" s="448" t="n">
        <v>18900</v>
      </c>
      <c r="B381" s="447" t="n">
        <v>18950</v>
      </c>
      <c r="C381" s="1378">
        <f>IF($L381&gt;N$5,MAX(0,N$3+ROUND((N$9*($L381-N$5)),0)),IF($L381&gt;N$4,N$3,ROUND($L381*N$7,0)))</f>
        <v/>
      </c>
      <c r="D381" s="448">
        <f>IF($L381&gt;O$5,MAX(0,O$3+ROUND((O$9*($L381-O$5)),0)),IF($L381&gt;O$4,O$3,ROUND($L381*O$7,0)))</f>
        <v/>
      </c>
      <c r="E381" s="448">
        <f>IF($L381&gt;P$5,MAX(0,P$3+ROUND((P$9*($L381-P$5)),0)),IF($L381&gt;P$4,P$3,ROUND($L381*P$7,0)))</f>
        <v/>
      </c>
      <c r="F381" s="447">
        <f>IF($L381&gt;Q$5,MAX(0,Q$3+ROUND((Q$9*($L381-Q$5)),0)),IF($L381&gt;Q$4,Q$3,ROUND($L381*Q$7,0)))</f>
        <v/>
      </c>
      <c r="G381" s="1378">
        <f>IF($L381&gt;R$5,MAX(0,R$3+ROUND((R$9*($L381-R$5)),0)),IF($L381&gt;R$4,R$3,ROUND($L381*R$7,0)))</f>
        <v/>
      </c>
      <c r="H381" s="448">
        <f>IF($L381&gt;S$5,MAX(0,S$3+ROUND((S$9*($L381-S$5)),0)),IF($L381&gt;S$4,S$3,ROUND($L381*S$7,0)))</f>
        <v/>
      </c>
      <c r="I381" s="448">
        <f>IF($L381&gt;T$5,MAX(0,T$3+ROUND((T$9*($L381-T$5)),0)),IF($L381&gt;T$4,T$3,ROUND($L381*T$7,0)))</f>
        <v/>
      </c>
      <c r="J381" s="447">
        <f>IF($L381&gt;U$5,MAX(0,U$3+ROUND((U$9*($L381-U$5)),0)),IF($L381&gt;U$4,U$3,ROUND($L381*U$7,0)))</f>
        <v/>
      </c>
      <c r="K381" s="422" t="n"/>
      <c r="L381" s="448">
        <f>ROUND((A381+B381)/2,2)</f>
        <v/>
      </c>
    </row>
    <row r="382" ht="13.5" customHeight="1" s="7635">
      <c r="A382" s="448" t="n">
        <v>18950</v>
      </c>
      <c r="B382" s="447" t="n">
        <v>19000</v>
      </c>
      <c r="C382" s="1378">
        <f>IF($L382&gt;N$5,MAX(0,N$3+ROUND((N$9*($L382-N$5)),0)),IF($L382&gt;N$4,N$3,ROUND($L382*N$7,0)))</f>
        <v/>
      </c>
      <c r="D382" s="448">
        <f>IF($L382&gt;O$5,MAX(0,O$3+ROUND((O$9*($L382-O$5)),0)),IF($L382&gt;O$4,O$3,ROUND($L382*O$7,0)))</f>
        <v/>
      </c>
      <c r="E382" s="448">
        <f>IF($L382&gt;P$5,MAX(0,P$3+ROUND((P$9*($L382-P$5)),0)),IF($L382&gt;P$4,P$3,ROUND($L382*P$7,0)))</f>
        <v/>
      </c>
      <c r="F382" s="447">
        <f>IF($L382&gt;Q$5,MAX(0,Q$3+ROUND((Q$9*($L382-Q$5)),0)),IF($L382&gt;Q$4,Q$3,ROUND($L382*Q$7,0)))</f>
        <v/>
      </c>
      <c r="G382" s="1378">
        <f>IF($L382&gt;R$5,MAX(0,R$3+ROUND((R$9*($L382-R$5)),0)),IF($L382&gt;R$4,R$3,ROUND($L382*R$7,0)))</f>
        <v/>
      </c>
      <c r="H382" s="448">
        <f>IF($L382&gt;S$5,MAX(0,S$3+ROUND((S$9*($L382-S$5)),0)),IF($L382&gt;S$4,S$3,ROUND($L382*S$7,0)))</f>
        <v/>
      </c>
      <c r="I382" s="448">
        <f>IF($L382&gt;T$5,MAX(0,T$3+ROUND((T$9*($L382-T$5)),0)),IF($L382&gt;T$4,T$3,ROUND($L382*T$7,0)))</f>
        <v/>
      </c>
      <c r="J382" s="447">
        <f>IF($L382&gt;U$5,MAX(0,U$3+ROUND((U$9*($L382-U$5)),0)),IF($L382&gt;U$4,U$3,ROUND($L382*U$7,0)))</f>
        <v/>
      </c>
      <c r="K382" s="422" t="n"/>
      <c r="L382" s="448">
        <f>ROUND((A382+B382)/2,2)</f>
        <v/>
      </c>
    </row>
    <row r="383" ht="13.5" customHeight="1" s="7635">
      <c r="A383" s="448" t="n">
        <v>19000</v>
      </c>
      <c r="B383" s="447" t="n">
        <v>19050</v>
      </c>
      <c r="C383" s="1378">
        <f>IF($L383&gt;N$5,MAX(0,N$3+ROUND((N$9*($L383-N$5)),0)),IF($L383&gt;N$4,N$3,ROUND($L383*N$7,0)))</f>
        <v/>
      </c>
      <c r="D383" s="448">
        <f>IF($L383&gt;O$5,MAX(0,O$3+ROUND((O$9*($L383-O$5)),0)),IF($L383&gt;O$4,O$3,ROUND($L383*O$7,0)))</f>
        <v/>
      </c>
      <c r="E383" s="448">
        <f>IF($L383&gt;P$5,MAX(0,P$3+ROUND((P$9*($L383-P$5)),0)),IF($L383&gt;P$4,P$3,ROUND($L383*P$7,0)))</f>
        <v/>
      </c>
      <c r="F383" s="447">
        <f>IF($L383&gt;Q$5,MAX(0,Q$3+ROUND((Q$9*($L383-Q$5)),0)),IF($L383&gt;Q$4,Q$3,ROUND($L383*Q$7,0)))</f>
        <v/>
      </c>
      <c r="G383" s="1378">
        <f>IF($L383&gt;R$5,MAX(0,R$3+ROUND((R$9*($L383-R$5)),0)),IF($L383&gt;R$4,R$3,ROUND($L383*R$7,0)))</f>
        <v/>
      </c>
      <c r="H383" s="448">
        <f>IF($L383&gt;S$5,MAX(0,S$3+ROUND((S$9*($L383-S$5)),0)),IF($L383&gt;S$4,S$3,ROUND($L383*S$7,0)))</f>
        <v/>
      </c>
      <c r="I383" s="448">
        <f>IF($L383&gt;T$5,MAX(0,T$3+ROUND((T$9*($L383-T$5)),0)),IF($L383&gt;T$4,T$3,ROUND($L383*T$7,0)))</f>
        <v/>
      </c>
      <c r="J383" s="447">
        <f>IF($L383&gt;U$5,MAX(0,U$3+ROUND((U$9*($L383-U$5)),0)),IF($L383&gt;U$4,U$3,ROUND($L383*U$7,0)))</f>
        <v/>
      </c>
      <c r="K383" s="422" t="n"/>
      <c r="L383" s="448">
        <f>ROUND((A383+B383)/2,2)</f>
        <v/>
      </c>
    </row>
    <row r="384" ht="14.25" customHeight="1" s="7635" thickBot="1">
      <c r="A384" s="448" t="n">
        <v>19050</v>
      </c>
      <c r="B384" s="447" t="n">
        <v>19100</v>
      </c>
      <c r="C384" s="1378">
        <f>IF($L384&gt;N$5,MAX(0,N$3+ROUND((N$9*($L384-N$5)),0)),IF($L384&gt;N$4,N$3,ROUND($L384*N$7,0)))</f>
        <v/>
      </c>
      <c r="D384" s="448">
        <f>IF($L384&gt;O$5,MAX(0,O$3+ROUND((O$9*($L384-O$5)),0)),IF($L384&gt;O$4,O$3,ROUND($L384*O$7,0)))</f>
        <v/>
      </c>
      <c r="E384" s="448">
        <f>IF($L384&gt;P$5,MAX(0,P$3+ROUND((P$9*($L384-P$5)),0)),IF($L384&gt;P$4,P$3,ROUND($L384*P$7,0)))</f>
        <v/>
      </c>
      <c r="F384" s="447">
        <f>IF($L384&gt;Q$5,MAX(0,Q$3+ROUND((Q$9*($L384-Q$5)),0)),IF($L384&gt;Q$4,Q$3,ROUND($L384*Q$7,0)))</f>
        <v/>
      </c>
      <c r="G384" s="1378">
        <f>IF($L384&gt;R$5,MAX(0,R$3+ROUND((R$9*($L384-R$5)),0)),IF($L384&gt;R$4,R$3,ROUND($L384*R$7,0)))</f>
        <v/>
      </c>
      <c r="H384" s="448">
        <f>IF($L384&gt;S$5,MAX(0,S$3+ROUND((S$9*($L384-S$5)),0)),IF($L384&gt;S$4,S$3,ROUND($L384*S$7,0)))</f>
        <v/>
      </c>
      <c r="I384" s="448">
        <f>IF($L384&gt;T$5,MAX(0,T$3+ROUND((T$9*($L384-T$5)),0)),IF($L384&gt;T$4,T$3,ROUND($L384*T$7,0)))</f>
        <v/>
      </c>
      <c r="J384" s="447">
        <f>IF($L384&gt;U$5,MAX(0,U$3+ROUND((U$9*($L384-U$5)),0)),IF($L384&gt;U$4,U$3,ROUND($L384*U$7,0)))</f>
        <v/>
      </c>
      <c r="K384" s="422" t="n"/>
      <c r="L384" s="448">
        <f>ROUND((A384+B384)/2,2)</f>
        <v/>
      </c>
    </row>
    <row r="385" ht="13.5" customHeight="1" s="7635">
      <c r="A385" s="6556" t="n">
        <v>19100</v>
      </c>
      <c r="B385" s="6557" t="n">
        <v>19104</v>
      </c>
      <c r="C385" s="1378">
        <f>IF($L385&gt;N$5,MAX(0,N$3+ROUND((N$9*($L385-N$5)),0)),IF($L385&gt;N$4,N$3,ROUND($L385*N$7,0)))</f>
        <v/>
      </c>
      <c r="D385" s="448">
        <f>IF($L385&gt;O$5,MAX(0,O$3+ROUND((O$9*($L385-O$5)),0)),IF($L385&gt;O$4,O$3,ROUND($L385*O$7,0)))</f>
        <v/>
      </c>
      <c r="E385" s="448">
        <f>IF($L385&gt;P$5,MAX(0,P$3+ROUND((P$9*($L385-P$5)),0)),IF($L385&gt;P$4,P$3,ROUND($L385*P$7,0)))</f>
        <v/>
      </c>
      <c r="F385" s="447">
        <f>IF($L385&gt;Q$5,MAX(0,Q$3+ROUND((Q$9*($L385-Q$5)),0)),IF($L385&gt;Q$4,Q$3,ROUND($L385*Q$7,0)))</f>
        <v/>
      </c>
      <c r="G385" s="1378">
        <f>IF($L385&gt;R$5,MAX(0,R$3+ROUND((R$9*($L385-R$5)),0)),IF($L385&gt;R$4,R$3,ROUND($L385*R$7,0)))</f>
        <v/>
      </c>
      <c r="H385" s="448">
        <f>IF($L385&gt;S$5,MAX(0,S$3+ROUND((S$9*($L385-S$5)),0)),IF($L385&gt;S$4,S$3,ROUND($L385*S$7,0)))</f>
        <v/>
      </c>
      <c r="I385" s="448">
        <f>IF($L385&gt;T$5,MAX(0,T$3+ROUND((T$9*($L385-T$5)),0)),IF($L385&gt;T$4,T$3,ROUND($L385*T$7,0)))</f>
        <v/>
      </c>
      <c r="J385" s="447">
        <f>IF($L385&gt;U$5,MAX(0,U$3+ROUND((U$9*($L385-U$5)),0)),IF($L385&gt;U$4,U$3,ROUND($L385*U$7,0)))</f>
        <v/>
      </c>
      <c r="K385" s="422" t="n"/>
      <c r="L385" s="448">
        <f>ROUND((A385+B385)/2,2)</f>
        <v/>
      </c>
    </row>
    <row r="386" ht="14.25" customHeight="1" s="7635" thickBot="1">
      <c r="A386" s="6558" t="n">
        <v>19104</v>
      </c>
      <c r="B386" s="6559" t="n">
        <v>19150</v>
      </c>
      <c r="C386" s="1378">
        <f>IF($L386&gt;N$5,MAX(0,N$3+ROUND((N$9*($L386-N$5)),0)),IF($L386&gt;N$4,N$3,ROUND($L386*N$7,0)))</f>
        <v/>
      </c>
      <c r="D386" s="6560" t="n">
        <v>4328</v>
      </c>
      <c r="E386" s="6560" t="n">
        <v>7152</v>
      </c>
      <c r="F386" s="6561" t="n">
        <v>8046</v>
      </c>
      <c r="G386" s="6562" t="n">
        <v>544</v>
      </c>
      <c r="H386" s="6560" t="n">
        <v>4328</v>
      </c>
      <c r="I386" s="6560" t="n">
        <v>7152</v>
      </c>
      <c r="J386" s="6561" t="n">
        <v>8046</v>
      </c>
      <c r="K386" s="422" t="n"/>
      <c r="L386" s="448">
        <f>ROUND((A386+B386)/2,2)</f>
        <v/>
      </c>
    </row>
    <row r="387" ht="13.5" customHeight="1" s="7635">
      <c r="A387" s="448" t="n">
        <v>19150</v>
      </c>
      <c r="B387" s="447" t="n">
        <v>19200</v>
      </c>
      <c r="C387" s="1378">
        <f>IF($L387&gt;N$5,MAX(0,N$3+ROUND((N$9*($L387-N$5)),0)),IF($L387&gt;N$4,N$3,ROUND($L387*N$7,0)))</f>
        <v/>
      </c>
      <c r="D387" s="448">
        <f>IF($L387&gt;O$5,MAX(0,O$3+ROUND((O$9*($L387-O$5)),0)),IF($L387&gt;O$4,O$3,ROUND($L387*O$7,0)))</f>
        <v/>
      </c>
      <c r="E387" s="448">
        <f>IF($L387&gt;P$5,MAX(0,P$3+ROUND((P$9*($L387-P$5)),0)),IF($L387&gt;P$4,P$3,ROUND($L387*P$7,0)))</f>
        <v/>
      </c>
      <c r="F387" s="447">
        <f>IF($L387&gt;Q$5,MAX(0,Q$3+ROUND((Q$9*($L387-Q$5)),0)),IF($L387&gt;Q$4,Q$3,ROUND($L387*Q$7,0)))</f>
        <v/>
      </c>
      <c r="G387" s="1378">
        <f>IF($L387&gt;R$5,MAX(0,R$3+ROUND((R$9*($L387-R$5)),0)),IF($L387&gt;R$4,R$3,ROUND($L387*R$7,0)))</f>
        <v/>
      </c>
      <c r="H387" s="448">
        <f>IF($L387&gt;S$5,MAX(0,S$3+ROUND((S$9*($L387-S$5)),0)),IF($L387&gt;S$4,S$3,ROUND($L387*S$7,0)))</f>
        <v/>
      </c>
      <c r="I387" s="448">
        <f>IF($L387&gt;T$5,MAX(0,T$3+ROUND((T$9*($L387-T$5)),0)),IF($L387&gt;T$4,T$3,ROUND($L387*T$7,0)))</f>
        <v/>
      </c>
      <c r="J387" s="447">
        <f>IF($L387&gt;U$5,MAX(0,U$3+ROUND((U$9*($L387-U$5)),0)),IF($L387&gt;U$4,U$3,ROUND($L387*U$7,0)))</f>
        <v/>
      </c>
      <c r="K387" s="422" t="n"/>
      <c r="L387" s="448">
        <f>ROUND((A387+B387)/2,2)</f>
        <v/>
      </c>
    </row>
    <row r="388" ht="13.5" customHeight="1" s="7635">
      <c r="A388" s="448" t="n">
        <v>19200</v>
      </c>
      <c r="B388" s="447" t="n">
        <v>19250</v>
      </c>
      <c r="C388" s="1378">
        <f>IF($L388&gt;N$5,MAX(0,N$3+ROUND((N$9*($L388-N$5)),0)),IF($L388&gt;N$4,N$3,ROUND($L388*N$7,0)))</f>
        <v/>
      </c>
      <c r="D388" s="448">
        <f>IF($L388&gt;O$5,MAX(0,O$3+ROUND((O$9*($L388-O$5)),0)),IF($L388&gt;O$4,O$3,ROUND($L388*O$7,0)))</f>
        <v/>
      </c>
      <c r="E388" s="448">
        <f>IF($L388&gt;P$5,MAX(0,P$3+ROUND((P$9*($L388-P$5)),0)),IF($L388&gt;P$4,P$3,ROUND($L388*P$7,0)))</f>
        <v/>
      </c>
      <c r="F388" s="447">
        <f>IF($L388&gt;Q$5,MAX(0,Q$3+ROUND((Q$9*($L388-Q$5)),0)),IF($L388&gt;Q$4,Q$3,ROUND($L388*Q$7,0)))</f>
        <v/>
      </c>
      <c r="G388" s="1378">
        <f>IF($L388&gt;R$5,MAX(0,R$3+ROUND((R$9*($L388-R$5)),0)),IF($L388&gt;R$4,R$3,ROUND($L388*R$7,0)))</f>
        <v/>
      </c>
      <c r="H388" s="448">
        <f>IF($L388&gt;S$5,MAX(0,S$3+ROUND((S$9*($L388-S$5)),0)),IF($L388&gt;S$4,S$3,ROUND($L388*S$7,0)))</f>
        <v/>
      </c>
      <c r="I388" s="448">
        <f>IF($L388&gt;T$5,MAX(0,T$3+ROUND((T$9*($L388-T$5)),0)),IF($L388&gt;T$4,T$3,ROUND($L388*T$7,0)))</f>
        <v/>
      </c>
      <c r="J388" s="447">
        <f>IF($L388&gt;U$5,MAX(0,U$3+ROUND((U$9*($L388-U$5)),0)),IF($L388&gt;U$4,U$3,ROUND($L388*U$7,0)))</f>
        <v/>
      </c>
      <c r="K388" s="422" t="n"/>
      <c r="L388" s="448">
        <f>ROUND((A388+B388)/2,2)</f>
        <v/>
      </c>
    </row>
    <row r="389" ht="13.5" customHeight="1" s="7635">
      <c r="A389" s="448" t="n">
        <v>19250</v>
      </c>
      <c r="B389" s="447" t="n">
        <v>19300</v>
      </c>
      <c r="C389" s="1378">
        <f>IF($L389&gt;N$5,MAX(0,N$3+ROUND((N$9*($L389-N$5)),0)),IF($L389&gt;N$4,N$3,ROUND($L389*N$7,0)))</f>
        <v/>
      </c>
      <c r="D389" s="448">
        <f>IF($L389&gt;O$5,MAX(0,O$3+ROUND((O$9*($L389-O$5)),0)),IF($L389&gt;O$4,O$3,ROUND($L389*O$7,0)))</f>
        <v/>
      </c>
      <c r="E389" s="448">
        <f>IF($L389&gt;P$5,MAX(0,P$3+ROUND((P$9*($L389-P$5)),0)),IF($L389&gt;P$4,P$3,ROUND($L389*P$7,0)))</f>
        <v/>
      </c>
      <c r="F389" s="447">
        <f>IF($L389&gt;Q$5,MAX(0,Q$3+ROUND((Q$9*($L389-Q$5)),0)),IF($L389&gt;Q$4,Q$3,ROUND($L389*Q$7,0)))</f>
        <v/>
      </c>
      <c r="G389" s="1378">
        <f>IF($L389&gt;R$5,MAX(0,R$3+ROUND((R$9*($L389-R$5)),0)),IF($L389&gt;R$4,R$3,ROUND($L389*R$7,0)))</f>
        <v/>
      </c>
      <c r="H389" s="448">
        <f>IF($L389&gt;S$5,MAX(0,S$3+ROUND((S$9*($L389-S$5)),0)),IF($L389&gt;S$4,S$3,ROUND($L389*S$7,0)))</f>
        <v/>
      </c>
      <c r="I389" s="448">
        <f>IF($L389&gt;T$5,MAX(0,T$3+ROUND((T$9*($L389-T$5)),0)),IF($L389&gt;T$4,T$3,ROUND($L389*T$7,0)))</f>
        <v/>
      </c>
      <c r="J389" s="447">
        <f>IF($L389&gt;U$5,MAX(0,U$3+ROUND((U$9*($L389-U$5)),0)),IF($L389&gt;U$4,U$3,ROUND($L389*U$7,0)))</f>
        <v/>
      </c>
      <c r="K389" s="422" t="n"/>
      <c r="L389" s="448">
        <f>ROUND((A389+B389)/2,2)</f>
        <v/>
      </c>
    </row>
    <row r="390" ht="13.5" customHeight="1" s="7635">
      <c r="A390" s="448" t="n">
        <v>19300</v>
      </c>
      <c r="B390" s="447" t="n">
        <v>19350</v>
      </c>
      <c r="C390" s="1378">
        <f>IF($L390&gt;N$5,MAX(0,N$3+ROUND((N$9*($L390-N$5)),0)),IF($L390&gt;N$4,N$3,ROUND($L390*N$7,0)))</f>
        <v/>
      </c>
      <c r="D390" s="448">
        <f>IF($L390&gt;O$5,MAX(0,O$3+ROUND((O$9*($L390-O$5)),0)),IF($L390&gt;O$4,O$3,ROUND($L390*O$7,0)))</f>
        <v/>
      </c>
      <c r="E390" s="448">
        <f>IF($L390&gt;P$5,MAX(0,P$3+ROUND((P$9*($L390-P$5)),0)),IF($L390&gt;P$4,P$3,ROUND($L390*P$7,0)))</f>
        <v/>
      </c>
      <c r="F390" s="447">
        <f>IF($L390&gt;Q$5,MAX(0,Q$3+ROUND((Q$9*($L390-Q$5)),0)),IF($L390&gt;Q$4,Q$3,ROUND($L390*Q$7,0)))</f>
        <v/>
      </c>
      <c r="G390" s="1378">
        <f>IF($L390&gt;R$5,MAX(0,R$3+ROUND((R$9*($L390-R$5)),0)),IF($L390&gt;R$4,R$3,ROUND($L390*R$7,0)))</f>
        <v/>
      </c>
      <c r="H390" s="448">
        <f>IF($L390&gt;S$5,MAX(0,S$3+ROUND((S$9*($L390-S$5)),0)),IF($L390&gt;S$4,S$3,ROUND($L390*S$7,0)))</f>
        <v/>
      </c>
      <c r="I390" s="448">
        <f>IF($L390&gt;T$5,MAX(0,T$3+ROUND((T$9*($L390-T$5)),0)),IF($L390&gt;T$4,T$3,ROUND($L390*T$7,0)))</f>
        <v/>
      </c>
      <c r="J390" s="447">
        <f>IF($L390&gt;U$5,MAX(0,U$3+ROUND((U$9*($L390-U$5)),0)),IF($L390&gt;U$4,U$3,ROUND($L390*U$7,0)))</f>
        <v/>
      </c>
      <c r="K390" s="422" t="n"/>
      <c r="L390" s="448">
        <f>ROUND((A390+B390)/2,2)</f>
        <v/>
      </c>
    </row>
    <row r="391" ht="13.5" customHeight="1" s="7635">
      <c r="A391" s="448" t="n">
        <v>19350</v>
      </c>
      <c r="B391" s="447" t="n">
        <v>19400</v>
      </c>
      <c r="C391" s="1378">
        <f>IF($L391&gt;N$5,MAX(0,N$3+ROUND((N$9*($L391-N$5)),0)),IF($L391&gt;N$4,N$3,ROUND($L391*N$7,0)))</f>
        <v/>
      </c>
      <c r="D391" s="448">
        <f>IF($L391&gt;O$5,MAX(0,O$3+ROUND((O$9*($L391-O$5)),0)),IF($L391&gt;O$4,O$3,ROUND($L391*O$7,0)))</f>
        <v/>
      </c>
      <c r="E391" s="448">
        <f>IF($L391&gt;P$5,MAX(0,P$3+ROUND((P$9*($L391-P$5)),0)),IF($L391&gt;P$4,P$3,ROUND($L391*P$7,0)))</f>
        <v/>
      </c>
      <c r="F391" s="447">
        <f>IF($L391&gt;Q$5,MAX(0,Q$3+ROUND((Q$9*($L391-Q$5)),0)),IF($L391&gt;Q$4,Q$3,ROUND($L391*Q$7,0)))</f>
        <v/>
      </c>
      <c r="G391" s="1378">
        <f>IF($L391&gt;R$5,MAX(0,R$3+ROUND((R$9*($L391-R$5)),0)),IF($L391&gt;R$4,R$3,ROUND($L391*R$7,0)))</f>
        <v/>
      </c>
      <c r="H391" s="448">
        <f>IF($L391&gt;S$5,MAX(0,S$3+ROUND((S$9*($L391-S$5)),0)),IF($L391&gt;S$4,S$3,ROUND($L391*S$7,0)))</f>
        <v/>
      </c>
      <c r="I391" s="448">
        <f>IF($L391&gt;T$5,MAX(0,T$3+ROUND((T$9*($L391-T$5)),0)),IF($L391&gt;T$4,T$3,ROUND($L391*T$7,0)))</f>
        <v/>
      </c>
      <c r="J391" s="447">
        <f>IF($L391&gt;U$5,MAX(0,U$3+ROUND((U$9*($L391-U$5)),0)),IF($L391&gt;U$4,U$3,ROUND($L391*U$7,0)))</f>
        <v/>
      </c>
      <c r="K391" s="422" t="n"/>
      <c r="L391" s="448">
        <f>ROUND((A391+B391)/2,2)</f>
        <v/>
      </c>
    </row>
    <row r="392" ht="13.5" customHeight="1" s="7635">
      <c r="A392" s="448" t="n">
        <v>19400</v>
      </c>
      <c r="B392" s="447" t="n">
        <v>19450</v>
      </c>
      <c r="C392" s="1378">
        <f>IF($L392&gt;N$5,MAX(0,N$3+ROUND((N$9*($L392-N$5)),0)),IF($L392&gt;N$4,N$3,ROUND($L392*N$7,0)))</f>
        <v/>
      </c>
      <c r="D392" s="448">
        <f>IF($L392&gt;O$5,MAX(0,O$3+ROUND((O$9*($L392-O$5)),0)),IF($L392&gt;O$4,O$3,ROUND($L392*O$7,0)))</f>
        <v/>
      </c>
      <c r="E392" s="448">
        <f>IF($L392&gt;P$5,MAX(0,P$3+ROUND((P$9*($L392-P$5)),0)),IF($L392&gt;P$4,P$3,ROUND($L392*P$7,0)))</f>
        <v/>
      </c>
      <c r="F392" s="447">
        <f>IF($L392&gt;Q$5,MAX(0,Q$3+ROUND((Q$9*($L392-Q$5)),0)),IF($L392&gt;Q$4,Q$3,ROUND($L392*Q$7,0)))</f>
        <v/>
      </c>
      <c r="G392" s="1378">
        <f>IF($L392&gt;R$5,MAX(0,R$3+ROUND((R$9*($L392-R$5)),0)),IF($L392&gt;R$4,R$3,ROUND($L392*R$7,0)))</f>
        <v/>
      </c>
      <c r="H392" s="448">
        <f>IF($L392&gt;S$5,MAX(0,S$3+ROUND((S$9*($L392-S$5)),0)),IF($L392&gt;S$4,S$3,ROUND($L392*S$7,0)))</f>
        <v/>
      </c>
      <c r="I392" s="448">
        <f>IF($L392&gt;T$5,MAX(0,T$3+ROUND((T$9*($L392-T$5)),0)),IF($L392&gt;T$4,T$3,ROUND($L392*T$7,0)))</f>
        <v/>
      </c>
      <c r="J392" s="447">
        <f>IF($L392&gt;U$5,MAX(0,U$3+ROUND((U$9*($L392-U$5)),0)),IF($L392&gt;U$4,U$3,ROUND($L392*U$7,0)))</f>
        <v/>
      </c>
      <c r="K392" s="422" t="n"/>
      <c r="L392" s="448">
        <f>ROUND((A392+B392)/2,2)</f>
        <v/>
      </c>
    </row>
    <row r="393" ht="13.5" customHeight="1" s="7635">
      <c r="A393" s="448" t="n">
        <v>19450</v>
      </c>
      <c r="B393" s="447" t="n">
        <v>19500</v>
      </c>
      <c r="C393" s="1378">
        <f>IF($L393&gt;N$5,MAX(0,N$3+ROUND((N$9*($L393-N$5)),0)),IF($L393&gt;N$4,N$3,ROUND($L393*N$7,0)))</f>
        <v/>
      </c>
      <c r="D393" s="448">
        <f>IF($L393&gt;O$5,MAX(0,O$3+ROUND((O$9*($L393-O$5)),0)),IF($L393&gt;O$4,O$3,ROUND($L393*O$7,0)))</f>
        <v/>
      </c>
      <c r="E393" s="448">
        <f>IF($L393&gt;P$5,MAX(0,P$3+ROUND((P$9*($L393-P$5)),0)),IF($L393&gt;P$4,P$3,ROUND($L393*P$7,0)))</f>
        <v/>
      </c>
      <c r="F393" s="447">
        <f>IF($L393&gt;Q$5,MAX(0,Q$3+ROUND((Q$9*($L393-Q$5)),0)),IF($L393&gt;Q$4,Q$3,ROUND($L393*Q$7,0)))</f>
        <v/>
      </c>
      <c r="G393" s="1378">
        <f>IF($L393&gt;R$5,MAX(0,R$3+ROUND((R$9*($L393-R$5)),0)),IF($L393&gt;R$4,R$3,ROUND($L393*R$7,0)))</f>
        <v/>
      </c>
      <c r="H393" s="448">
        <f>IF($L393&gt;S$5,MAX(0,S$3+ROUND((S$9*($L393-S$5)),0)),IF($L393&gt;S$4,S$3,ROUND($L393*S$7,0)))</f>
        <v/>
      </c>
      <c r="I393" s="448">
        <f>IF($L393&gt;T$5,MAX(0,T$3+ROUND((T$9*($L393-T$5)),0)),IF($L393&gt;T$4,T$3,ROUND($L393*T$7,0)))</f>
        <v/>
      </c>
      <c r="J393" s="447">
        <f>IF($L393&gt;U$5,MAX(0,U$3+ROUND((U$9*($L393-U$5)),0)),IF($L393&gt;U$4,U$3,ROUND($L393*U$7,0)))</f>
        <v/>
      </c>
      <c r="K393" s="422" t="n"/>
      <c r="L393" s="448">
        <f>ROUND((A393+B393)/2,2)</f>
        <v/>
      </c>
    </row>
    <row r="394" ht="13.5" customHeight="1" s="7635">
      <c r="A394" s="448" t="n">
        <v>19500</v>
      </c>
      <c r="B394" s="447" t="n">
        <v>19550</v>
      </c>
      <c r="C394" s="1378">
        <f>IF($L394&gt;N$5,MAX(0,N$3+ROUND((N$9*($L394-N$5)),0)),IF($L394&gt;N$4,N$3,ROUND($L394*N$7,0)))</f>
        <v/>
      </c>
      <c r="D394" s="448">
        <f>IF($L394&gt;O$5,MAX(0,O$3+ROUND((O$9*($L394-O$5)),0)),IF($L394&gt;O$4,O$3,ROUND($L394*O$7,0)))</f>
        <v/>
      </c>
      <c r="E394" s="448">
        <f>IF($L394&gt;P$5,MAX(0,P$3+ROUND((P$9*($L394-P$5)),0)),IF($L394&gt;P$4,P$3,ROUND($L394*P$7,0)))</f>
        <v/>
      </c>
      <c r="F394" s="447">
        <f>IF($L394&gt;Q$5,MAX(0,Q$3+ROUND((Q$9*($L394-Q$5)),0)),IF($L394&gt;Q$4,Q$3,ROUND($L394*Q$7,0)))</f>
        <v/>
      </c>
      <c r="G394" s="1378">
        <f>IF($L394&gt;R$5,MAX(0,R$3+ROUND((R$9*($L394-R$5)),0)),IF($L394&gt;R$4,R$3,ROUND($L394*R$7,0)))</f>
        <v/>
      </c>
      <c r="H394" s="448">
        <f>IF($L394&gt;S$5,MAX(0,S$3+ROUND((S$9*($L394-S$5)),0)),IF($L394&gt;S$4,S$3,ROUND($L394*S$7,0)))</f>
        <v/>
      </c>
      <c r="I394" s="448">
        <f>IF($L394&gt;T$5,MAX(0,T$3+ROUND((T$9*($L394-T$5)),0)),IF($L394&gt;T$4,T$3,ROUND($L394*T$7,0)))</f>
        <v/>
      </c>
      <c r="J394" s="447">
        <f>IF($L394&gt;U$5,MAX(0,U$3+ROUND((U$9*($L394-U$5)),0)),IF($L394&gt;U$4,U$3,ROUND($L394*U$7,0)))</f>
        <v/>
      </c>
      <c r="K394" s="422" t="n"/>
      <c r="L394" s="448">
        <f>ROUND((A394+B394)/2,2)</f>
        <v/>
      </c>
    </row>
    <row r="395" ht="13.5" customHeight="1" s="7635">
      <c r="A395" s="448" t="n">
        <v>19550</v>
      </c>
      <c r="B395" s="447" t="n">
        <v>19600</v>
      </c>
      <c r="C395" s="1378">
        <f>IF($L395&gt;N$5,MAX(0,N$3+ROUND((N$9*($L395-N$5)),0)),IF($L395&gt;N$4,N$3,ROUND($L395*N$7,0)))</f>
        <v/>
      </c>
      <c r="D395" s="448">
        <f>IF($L395&gt;O$5,MAX(0,O$3+ROUND((O$9*($L395-O$5)),0)),IF($L395&gt;O$4,O$3,ROUND($L395*O$7,0)))</f>
        <v/>
      </c>
      <c r="E395" s="448">
        <f>IF($L395&gt;P$5,MAX(0,P$3+ROUND((P$9*($L395-P$5)),0)),IF($L395&gt;P$4,P$3,ROUND($L395*P$7,0)))</f>
        <v/>
      </c>
      <c r="F395" s="447">
        <f>IF($L395&gt;Q$5,MAX(0,Q$3+ROUND((Q$9*($L395-Q$5)),0)),IF($L395&gt;Q$4,Q$3,ROUND($L395*Q$7,0)))</f>
        <v/>
      </c>
      <c r="G395" s="1378">
        <f>IF($L395&gt;R$5,MAX(0,R$3+ROUND((R$9*($L395-R$5)),0)),IF($L395&gt;R$4,R$3,ROUND($L395*R$7,0)))</f>
        <v/>
      </c>
      <c r="H395" s="448">
        <f>IF($L395&gt;S$5,MAX(0,S$3+ROUND((S$9*($L395-S$5)),0)),IF($L395&gt;S$4,S$3,ROUND($L395*S$7,0)))</f>
        <v/>
      </c>
      <c r="I395" s="448">
        <f>IF($L395&gt;T$5,MAX(0,T$3+ROUND((T$9*($L395-T$5)),0)),IF($L395&gt;T$4,T$3,ROUND($L395*T$7,0)))</f>
        <v/>
      </c>
      <c r="J395" s="447">
        <f>IF($L395&gt;U$5,MAX(0,U$3+ROUND((U$9*($L395-U$5)),0)),IF($L395&gt;U$4,U$3,ROUND($L395*U$7,0)))</f>
        <v/>
      </c>
      <c r="K395" s="422" t="n"/>
      <c r="L395" s="448">
        <f>ROUND((A395+B395)/2,2)</f>
        <v/>
      </c>
      <c r="M395" s="12883" t="n"/>
      <c r="N395" s="12883" t="n"/>
      <c r="O395" s="12884" t="n"/>
      <c r="Q395" s="448" t="n"/>
      <c r="R395" s="448" t="n"/>
    </row>
    <row r="396" ht="13.5" customHeight="1" s="7635">
      <c r="A396" s="448" t="n">
        <v>19600</v>
      </c>
      <c r="B396" s="447" t="n">
        <v>19650</v>
      </c>
      <c r="C396" s="1378">
        <f>IF($L396&gt;N$5,MAX(0,N$3+ROUND((N$9*($L396-N$5)),0)),IF($L396&gt;N$4,N$3,ROUND($L396*N$7,0)))</f>
        <v/>
      </c>
      <c r="D396" s="448">
        <f>IF($L396&gt;O$5,MAX(0,O$3+ROUND((O$9*($L396-O$5)),0)),IF($L396&gt;O$4,O$3,ROUND($L396*O$7,0)))</f>
        <v/>
      </c>
      <c r="E396" s="448">
        <f>IF($L396&gt;P$5,MAX(0,P$3+ROUND((P$9*($L396-P$5)),0)),IF($L396&gt;P$4,P$3,ROUND($L396*P$7,0)))</f>
        <v/>
      </c>
      <c r="F396" s="447">
        <f>IF($L396&gt;Q$5,MAX(0,Q$3+ROUND((Q$9*($L396-Q$5)),0)),IF($L396&gt;Q$4,Q$3,ROUND($L396*Q$7,0)))</f>
        <v/>
      </c>
      <c r="G396" s="1378">
        <f>IF($L396&gt;R$5,MAX(0,R$3+ROUND((R$9*($L396-R$5)),0)),IF($L396&gt;R$4,R$3,ROUND($L396*R$7,0)))</f>
        <v/>
      </c>
      <c r="H396" s="448">
        <f>IF($L396&gt;S$5,MAX(0,S$3+ROUND((S$9*($L396-S$5)),0)),IF($L396&gt;S$4,S$3,ROUND($L396*S$7,0)))</f>
        <v/>
      </c>
      <c r="I396" s="448">
        <f>IF($L396&gt;T$5,MAX(0,T$3+ROUND((T$9*($L396-T$5)),0)),IF($L396&gt;T$4,T$3,ROUND($L396*T$7,0)))</f>
        <v/>
      </c>
      <c r="J396" s="447">
        <f>IF($L396&gt;U$5,MAX(0,U$3+ROUND((U$9*($L396-U$5)),0)),IF($L396&gt;U$4,U$3,ROUND($L396*U$7,0)))</f>
        <v/>
      </c>
      <c r="K396" s="422" t="n"/>
      <c r="L396" s="448">
        <f>ROUND((A396+B396)/2,2)</f>
        <v/>
      </c>
      <c r="M396" s="12883" t="n"/>
      <c r="N396" s="12883" t="n"/>
      <c r="O396" s="12884" t="n"/>
      <c r="Q396" s="448" t="n"/>
      <c r="R396" s="448" t="n"/>
    </row>
    <row r="397" ht="13.5" customHeight="1" s="7635">
      <c r="A397" s="448" t="n">
        <v>19650</v>
      </c>
      <c r="B397" s="447" t="n">
        <v>19700</v>
      </c>
      <c r="C397" s="1378">
        <f>IF($L397&gt;N$5,MAX(0,N$3+ROUND((N$9*($L397-N$5)),0)),IF($L397&gt;N$4,N$3,ROUND($L397*N$7,0)))</f>
        <v/>
      </c>
      <c r="D397" s="448">
        <f>IF($L397&gt;O$5,MAX(0,O$3+ROUND((O$9*($L397-O$5)),0)),IF($L397&gt;O$4,O$3,ROUND($L397*O$7,0)))</f>
        <v/>
      </c>
      <c r="E397" s="448">
        <f>IF($L397&gt;P$5,MAX(0,P$3+ROUND((P$9*($L397-P$5)),0)),IF($L397&gt;P$4,P$3,ROUND($L397*P$7,0)))</f>
        <v/>
      </c>
      <c r="F397" s="447">
        <f>IF($L397&gt;Q$5,MAX(0,Q$3+ROUND((Q$9*($L397-Q$5)),0)),IF($L397&gt;Q$4,Q$3,ROUND($L397*Q$7,0)))</f>
        <v/>
      </c>
      <c r="G397" s="1378">
        <f>IF($L397&gt;R$5,MAX(0,R$3+ROUND((R$9*($L397-R$5)),0)),IF($L397&gt;R$4,R$3,ROUND($L397*R$7,0)))</f>
        <v/>
      </c>
      <c r="H397" s="448">
        <f>IF($L397&gt;S$5,MAX(0,S$3+ROUND((S$9*($L397-S$5)),0)),IF($L397&gt;S$4,S$3,ROUND($L397*S$7,0)))</f>
        <v/>
      </c>
      <c r="I397" s="448">
        <f>IF($L397&gt;T$5,MAX(0,T$3+ROUND((T$9*($L397-T$5)),0)),IF($L397&gt;T$4,T$3,ROUND($L397*T$7,0)))</f>
        <v/>
      </c>
      <c r="J397" s="447">
        <f>IF($L397&gt;U$5,MAX(0,U$3+ROUND((U$9*($L397-U$5)),0)),IF($L397&gt;U$4,U$3,ROUND($L397*U$7,0)))</f>
        <v/>
      </c>
      <c r="K397" s="422" t="n"/>
      <c r="L397" s="448">
        <f>ROUND((A397+B397)/2,2)</f>
        <v/>
      </c>
      <c r="M397" s="12883" t="n"/>
      <c r="N397" s="12883" t="n"/>
      <c r="O397" s="12884" t="n"/>
      <c r="Q397" s="448" t="n"/>
      <c r="R397" s="448" t="n"/>
    </row>
    <row r="398" ht="13.5" customHeight="1" s="7635">
      <c r="A398" s="448" t="n">
        <v>19700</v>
      </c>
      <c r="B398" s="447" t="n">
        <v>19750</v>
      </c>
      <c r="C398" s="1378">
        <f>IF($L398&gt;N$5,MAX(0,N$3+ROUND((N$9*($L398-N$5)),0)),IF($L398&gt;N$4,N$3,ROUND($L398*N$7,0)))</f>
        <v/>
      </c>
      <c r="D398" s="448">
        <f>IF($L398&gt;O$5,MAX(0,O$3+ROUND((O$9*($L398-O$5)),0)),IF($L398&gt;O$4,O$3,ROUND($L398*O$7,0)))</f>
        <v/>
      </c>
      <c r="E398" s="448">
        <f>IF($L398&gt;P$5,MAX(0,P$3+ROUND((P$9*($L398-P$5)),0)),IF($L398&gt;P$4,P$3,ROUND($L398*P$7,0)))</f>
        <v/>
      </c>
      <c r="F398" s="447">
        <f>IF($L398&gt;Q$5,MAX(0,Q$3+ROUND((Q$9*($L398-Q$5)),0)),IF($L398&gt;Q$4,Q$3,ROUND($L398*Q$7,0)))</f>
        <v/>
      </c>
      <c r="G398" s="1378">
        <f>IF($L398&gt;R$5,MAX(0,R$3+ROUND((R$9*($L398-R$5)),0)),IF($L398&gt;R$4,R$3,ROUND($L398*R$7,0)))</f>
        <v/>
      </c>
      <c r="H398" s="448">
        <f>IF($L398&gt;S$5,MAX(0,S$3+ROUND((S$9*($L398-S$5)),0)),IF($L398&gt;S$4,S$3,ROUND($L398*S$7,0)))</f>
        <v/>
      </c>
      <c r="I398" s="448">
        <f>IF($L398&gt;T$5,MAX(0,T$3+ROUND((T$9*($L398-T$5)),0)),IF($L398&gt;T$4,T$3,ROUND($L398*T$7,0)))</f>
        <v/>
      </c>
      <c r="J398" s="447">
        <f>IF($L398&gt;U$5,MAX(0,U$3+ROUND((U$9*($L398-U$5)),0)),IF($L398&gt;U$4,U$3,ROUND($L398*U$7,0)))</f>
        <v/>
      </c>
      <c r="K398" s="422" t="n"/>
      <c r="L398" s="448">
        <f>ROUND((A398+B398)/2,2)</f>
        <v/>
      </c>
      <c r="M398" s="12883" t="n"/>
      <c r="N398" s="12883" t="n"/>
      <c r="O398" s="12884" t="n"/>
      <c r="Q398" s="448" t="n"/>
      <c r="R398" s="448" t="n"/>
    </row>
    <row r="399" ht="13.5" customHeight="1" s="7635">
      <c r="A399" s="448" t="n">
        <v>19750</v>
      </c>
      <c r="B399" s="447" t="n">
        <v>19800</v>
      </c>
      <c r="C399" s="1378">
        <f>IF($L399&gt;N$5,MAX(0,N$3+ROUND((N$9*($L399-N$5)),0)),IF($L399&gt;N$4,N$3,ROUND($L399*N$7,0)))</f>
        <v/>
      </c>
      <c r="D399" s="448">
        <f>IF($L399&gt;O$5,MAX(0,O$3+ROUND((O$9*($L399-O$5)),0)),IF($L399&gt;O$4,O$3,ROUND($L399*O$7,0)))</f>
        <v/>
      </c>
      <c r="E399" s="448">
        <f>IF($L399&gt;P$5,MAX(0,P$3+ROUND((P$9*($L399-P$5)),0)),IF($L399&gt;P$4,P$3,ROUND($L399*P$7,0)))</f>
        <v/>
      </c>
      <c r="F399" s="447">
        <f>IF($L399&gt;Q$5,MAX(0,Q$3+ROUND((Q$9*($L399-Q$5)),0)),IF($L399&gt;Q$4,Q$3,ROUND($L399*Q$7,0)))</f>
        <v/>
      </c>
      <c r="G399" s="1378">
        <f>IF($L399&gt;R$5,MAX(0,R$3+ROUND((R$9*($L399-R$5)),0)),IF($L399&gt;R$4,R$3,ROUND($L399*R$7,0)))</f>
        <v/>
      </c>
      <c r="H399" s="448">
        <f>IF($L399&gt;S$5,MAX(0,S$3+ROUND((S$9*($L399-S$5)),0)),IF($L399&gt;S$4,S$3,ROUND($L399*S$7,0)))</f>
        <v/>
      </c>
      <c r="I399" s="448">
        <f>IF($L399&gt;T$5,MAX(0,T$3+ROUND((T$9*($L399-T$5)),0)),IF($L399&gt;T$4,T$3,ROUND($L399*T$7,0)))</f>
        <v/>
      </c>
      <c r="J399" s="447">
        <f>IF($L399&gt;U$5,MAX(0,U$3+ROUND((U$9*($L399-U$5)),0)),IF($L399&gt;U$4,U$3,ROUND($L399*U$7,0)))</f>
        <v/>
      </c>
      <c r="K399" s="422" t="n"/>
      <c r="L399" s="448">
        <f>ROUND((A399+B399)/2,2)</f>
        <v/>
      </c>
      <c r="M399" s="12883" t="n"/>
      <c r="N399" s="12883" t="n"/>
      <c r="O399" s="12884" t="n"/>
      <c r="Q399" s="448" t="n"/>
      <c r="R399" s="448" t="n"/>
    </row>
    <row r="400" ht="13.5" customHeight="1" s="7635">
      <c r="A400" s="448" t="n">
        <v>19800</v>
      </c>
      <c r="B400" s="447" t="n">
        <v>19850</v>
      </c>
      <c r="C400" s="1378">
        <f>IF($L400&gt;N$5,MAX(0,N$3+ROUND((N$9*($L400-N$5)),0)),IF($L400&gt;N$4,N$3,ROUND($L400*N$7,0)))</f>
        <v/>
      </c>
      <c r="D400" s="448">
        <f>IF($L400&gt;O$5,MAX(0,O$3+ROUND((O$9*($L400-O$5)),0)),IF($L400&gt;O$4,O$3,ROUND($L400*O$7,0)))</f>
        <v/>
      </c>
      <c r="E400" s="448">
        <f>IF($L400&gt;P$5,MAX(0,P$3+ROUND((P$9*($L400-P$5)),0)),IF($L400&gt;P$4,P$3,ROUND($L400*P$7,0)))</f>
        <v/>
      </c>
      <c r="F400" s="447">
        <f>IF($L400&gt;Q$5,MAX(0,Q$3+ROUND((Q$9*($L400-Q$5)),0)),IF($L400&gt;Q$4,Q$3,ROUND($L400*Q$7,0)))</f>
        <v/>
      </c>
      <c r="G400" s="1378">
        <f>IF($L400&gt;R$5,MAX(0,R$3+ROUND((R$9*($L400-R$5)),0)),IF($L400&gt;R$4,R$3,ROUND($L400*R$7,0)))</f>
        <v/>
      </c>
      <c r="H400" s="448">
        <f>IF($L400&gt;S$5,MAX(0,S$3+ROUND((S$9*($L400-S$5)),0)),IF($L400&gt;S$4,S$3,ROUND($L400*S$7,0)))</f>
        <v/>
      </c>
      <c r="I400" s="448">
        <f>IF($L400&gt;T$5,MAX(0,T$3+ROUND((T$9*($L400-T$5)),0)),IF($L400&gt;T$4,T$3,ROUND($L400*T$7,0)))</f>
        <v/>
      </c>
      <c r="J400" s="447">
        <f>IF($L400&gt;U$5,MAX(0,U$3+ROUND((U$9*($L400-U$5)),0)),IF($L400&gt;U$4,U$3,ROUND($L400*U$7,0)))</f>
        <v/>
      </c>
      <c r="K400" s="422" t="n"/>
      <c r="L400" s="448">
        <f>ROUND((A400+B400)/2,2)</f>
        <v/>
      </c>
      <c r="M400" s="12883" t="n"/>
      <c r="N400" s="12883" t="n"/>
      <c r="O400" s="12884" t="n"/>
      <c r="Q400" s="448" t="n"/>
      <c r="R400" s="448" t="n"/>
    </row>
    <row r="401" ht="13.5" customHeight="1" s="7635">
      <c r="A401" s="448" t="n">
        <v>19850</v>
      </c>
      <c r="B401" s="447" t="n">
        <v>19900</v>
      </c>
      <c r="C401" s="1378">
        <f>IF($L401&gt;N$5,MAX(0,N$3+ROUND((N$9*($L401-N$5)),0)),IF($L401&gt;N$4,N$3,ROUND($L401*N$7,0)))</f>
        <v/>
      </c>
      <c r="D401" s="448">
        <f>IF($L401&gt;O$5,MAX(0,O$3+ROUND((O$9*($L401-O$5)),0)),IF($L401&gt;O$4,O$3,ROUND($L401*O$7,0)))</f>
        <v/>
      </c>
      <c r="E401" s="448">
        <f>IF($L401&gt;P$5,MAX(0,P$3+ROUND((P$9*($L401-P$5)),0)),IF($L401&gt;P$4,P$3,ROUND($L401*P$7,0)))</f>
        <v/>
      </c>
      <c r="F401" s="447">
        <f>IF($L401&gt;Q$5,MAX(0,Q$3+ROUND((Q$9*($L401-Q$5)),0)),IF($L401&gt;Q$4,Q$3,ROUND($L401*Q$7,0)))</f>
        <v/>
      </c>
      <c r="G401" s="1378">
        <f>IF($L401&gt;R$5,MAX(0,R$3+ROUND((R$9*($L401-R$5)),0)),IF($L401&gt;R$4,R$3,ROUND($L401*R$7,0)))</f>
        <v/>
      </c>
      <c r="H401" s="448">
        <f>IF($L401&gt;S$5,MAX(0,S$3+ROUND((S$9*($L401-S$5)),0)),IF($L401&gt;S$4,S$3,ROUND($L401*S$7,0)))</f>
        <v/>
      </c>
      <c r="I401" s="448">
        <f>IF($L401&gt;T$5,MAX(0,T$3+ROUND((T$9*($L401-T$5)),0)),IF($L401&gt;T$4,T$3,ROUND($L401*T$7,0)))</f>
        <v/>
      </c>
      <c r="J401" s="447">
        <f>IF($L401&gt;U$5,MAX(0,U$3+ROUND((U$9*($L401-U$5)),0)),IF($L401&gt;U$4,U$3,ROUND($L401*U$7,0)))</f>
        <v/>
      </c>
      <c r="K401" s="422" t="n"/>
      <c r="L401" s="448">
        <f>ROUND((A401+B401)/2,2)</f>
        <v/>
      </c>
      <c r="M401" s="12883" t="n"/>
      <c r="N401" s="12883" t="n"/>
      <c r="O401" s="12884" t="n"/>
      <c r="Q401" s="448" t="n"/>
      <c r="R401" s="448" t="n"/>
    </row>
    <row r="402" ht="13.5" customHeight="1" s="7635">
      <c r="A402" s="448" t="n">
        <v>19900</v>
      </c>
      <c r="B402" s="447" t="n">
        <v>19950</v>
      </c>
      <c r="C402" s="1378">
        <f>IF($L402&gt;N$5,MAX(0,N$3+ROUND((N$9*($L402-N$5)),0)),IF($L402&gt;N$4,N$3,ROUND($L402*N$7,0)))</f>
        <v/>
      </c>
      <c r="D402" s="448">
        <f>IF($L402&gt;O$5,MAX(0,O$3+ROUND((O$9*($L402-O$5)),0)),IF($L402&gt;O$4,O$3,ROUND($L402*O$7,0)))</f>
        <v/>
      </c>
      <c r="E402" s="448">
        <f>IF($L402&gt;P$5,MAX(0,P$3+ROUND((P$9*($L402-P$5)),0)),IF($L402&gt;P$4,P$3,ROUND($L402*P$7,0)))</f>
        <v/>
      </c>
      <c r="F402" s="447">
        <f>IF($L402&gt;Q$5,MAX(0,Q$3+ROUND((Q$9*($L402-Q$5)),0)),IF($L402&gt;Q$4,Q$3,ROUND($L402*Q$7,0)))</f>
        <v/>
      </c>
      <c r="G402" s="1378">
        <f>IF($L402&gt;R$5,MAX(0,R$3+ROUND((R$9*($L402-R$5)),0)),IF($L402&gt;R$4,R$3,ROUND($L402*R$7,0)))</f>
        <v/>
      </c>
      <c r="H402" s="448">
        <f>IF($L402&gt;S$5,MAX(0,S$3+ROUND((S$9*($L402-S$5)),0)),IF($L402&gt;S$4,S$3,ROUND($L402*S$7,0)))</f>
        <v/>
      </c>
      <c r="I402" s="448">
        <f>IF($L402&gt;T$5,MAX(0,T$3+ROUND((T$9*($L402-T$5)),0)),IF($L402&gt;T$4,T$3,ROUND($L402*T$7,0)))</f>
        <v/>
      </c>
      <c r="J402" s="447">
        <f>IF($L402&gt;U$5,MAX(0,U$3+ROUND((U$9*($L402-U$5)),0)),IF($L402&gt;U$4,U$3,ROUND($L402*U$7,0)))</f>
        <v/>
      </c>
      <c r="K402" s="422" t="n"/>
      <c r="L402" s="448">
        <f>ROUND((A402+B402)/2,2)</f>
        <v/>
      </c>
      <c r="M402" s="12883" t="n"/>
      <c r="N402" s="12883" t="n"/>
      <c r="O402" s="12884" t="n"/>
      <c r="Q402" s="448" t="n"/>
      <c r="R402" s="448" t="n"/>
    </row>
    <row r="403" ht="13.5" customHeight="1" s="7635">
      <c r="A403" s="448" t="n">
        <v>19950</v>
      </c>
      <c r="B403" s="447" t="n">
        <v>20000</v>
      </c>
      <c r="C403" s="1378">
        <f>IF($L403&gt;N$5,MAX(0,N$3+ROUND((N$9*($L403-N$5)),0)),IF($L403&gt;N$4,N$3,ROUND($L403*N$7,0)))</f>
        <v/>
      </c>
      <c r="D403" s="448">
        <f>IF($L403&gt;O$5,MAX(0,O$3+ROUND((O$9*($L403-O$5)),0)),IF($L403&gt;O$4,O$3,ROUND($L403*O$7,0)))</f>
        <v/>
      </c>
      <c r="E403" s="448">
        <f>IF($L403&gt;P$5,MAX(0,P$3+ROUND((P$9*($L403-P$5)),0)),IF($L403&gt;P$4,P$3,ROUND($L403*P$7,0)))</f>
        <v/>
      </c>
      <c r="F403" s="447">
        <f>IF($L403&gt;Q$5,MAX(0,Q$3+ROUND((Q$9*($L403-Q$5)),0)),IF($L403&gt;Q$4,Q$3,ROUND($L403*Q$7,0)))</f>
        <v/>
      </c>
      <c r="G403" s="1378">
        <f>IF($L403&gt;R$5,MAX(0,R$3+ROUND((R$9*($L403-R$5)),0)),IF($L403&gt;R$4,R$3,ROUND($L403*R$7,0)))</f>
        <v/>
      </c>
      <c r="H403" s="448">
        <f>IF($L403&gt;S$5,MAX(0,S$3+ROUND((S$9*($L403-S$5)),0)),IF($L403&gt;S$4,S$3,ROUND($L403*S$7,0)))</f>
        <v/>
      </c>
      <c r="I403" s="448">
        <f>IF($L403&gt;T$5,MAX(0,T$3+ROUND((T$9*($L403-T$5)),0)),IF($L403&gt;T$4,T$3,ROUND($L403*T$7,0)))</f>
        <v/>
      </c>
      <c r="J403" s="447">
        <f>IF($L403&gt;U$5,MAX(0,U$3+ROUND((U$9*($L403-U$5)),0)),IF($L403&gt;U$4,U$3,ROUND($L403*U$7,0)))</f>
        <v/>
      </c>
      <c r="K403" s="422" t="n"/>
      <c r="L403" s="448">
        <f>ROUND((A403+B403)/2,2)</f>
        <v/>
      </c>
      <c r="M403" s="12883" t="n"/>
      <c r="N403" s="12883" t="n"/>
      <c r="O403" s="12884" t="n"/>
      <c r="Q403" s="448" t="n"/>
      <c r="R403" s="448" t="n"/>
    </row>
    <row r="404" ht="13.5" customHeight="1" s="7635">
      <c r="A404" s="448" t="n">
        <v>20000</v>
      </c>
      <c r="B404" s="447" t="n">
        <v>20050</v>
      </c>
      <c r="C404" s="1378">
        <f>IF($L404&gt;N$5,MAX(0,N$3+ROUND((N$9*($L404-N$5)),0)),IF($L404&gt;N$4,N$3,ROUND($L404*N$7,0)))</f>
        <v/>
      </c>
      <c r="D404" s="448">
        <f>IF($L404&gt;O$5,MAX(0,O$3+ROUND((O$9*($L404-O$5)),0)),IF($L404&gt;O$4,O$3,ROUND($L404*O$7,0)))</f>
        <v/>
      </c>
      <c r="E404" s="448">
        <f>IF($L404&gt;P$5,MAX(0,P$3+ROUND((P$9*($L404-P$5)),0)),IF($L404&gt;P$4,P$3,ROUND($L404*P$7,0)))</f>
        <v/>
      </c>
      <c r="F404" s="447">
        <f>IF($L404&gt;Q$5,MAX(0,Q$3+ROUND((Q$9*($L404-Q$5)),0)),IF($L404&gt;Q$4,Q$3,ROUND($L404*Q$7,0)))</f>
        <v/>
      </c>
      <c r="G404" s="1378">
        <f>IF($L404&gt;R$5,MAX(0,R$3+ROUND((R$9*($L404-R$5)),0)),IF($L404&gt;R$4,R$3,ROUND($L404*R$7,0)))</f>
        <v/>
      </c>
      <c r="H404" s="448">
        <f>IF($L404&gt;S$5,MAX(0,S$3+ROUND((S$9*($L404-S$5)),0)),IF($L404&gt;S$4,S$3,ROUND($L404*S$7,0)))</f>
        <v/>
      </c>
      <c r="I404" s="448">
        <f>IF($L404&gt;T$5,MAX(0,T$3+ROUND((T$9*($L404-T$5)),0)),IF($L404&gt;T$4,T$3,ROUND($L404*T$7,0)))</f>
        <v/>
      </c>
      <c r="J404" s="447">
        <f>IF($L404&gt;U$5,MAX(0,U$3+ROUND((U$9*($L404-U$5)),0)),IF($L404&gt;U$4,U$3,ROUND($L404*U$7,0)))</f>
        <v/>
      </c>
      <c r="K404" s="422" t="n"/>
      <c r="L404" s="448">
        <f>ROUND((A404+B404)/2,2)</f>
        <v/>
      </c>
      <c r="M404" s="12883" t="n"/>
      <c r="N404" s="12883" t="n"/>
      <c r="O404" s="12884" t="n"/>
      <c r="Q404" s="448" t="n"/>
      <c r="R404" s="448" t="n"/>
    </row>
    <row r="405" ht="13.5" customHeight="1" s="7635">
      <c r="A405" s="448" t="n">
        <v>20050</v>
      </c>
      <c r="B405" s="447" t="n">
        <v>20100</v>
      </c>
      <c r="C405" s="1378">
        <f>IF($L405&gt;N$5,MAX(0,N$3+ROUND((N$9*($L405-N$5)),0)),IF($L405&gt;N$4,N$3,ROUND($L405*N$7,0)))</f>
        <v/>
      </c>
      <c r="D405" s="448">
        <f>IF($L405&gt;O$5,MAX(0,O$3+ROUND((O$9*($L405-O$5)),0)),IF($L405&gt;O$4,O$3,ROUND($L405*O$7,0)))</f>
        <v/>
      </c>
      <c r="E405" s="448">
        <f>IF($L405&gt;P$5,MAX(0,P$3+ROUND((P$9*($L405-P$5)),0)),IF($L405&gt;P$4,P$3,ROUND($L405*P$7,0)))</f>
        <v/>
      </c>
      <c r="F405" s="447">
        <f>IF($L405&gt;Q$5,MAX(0,Q$3+ROUND((Q$9*($L405-Q$5)),0)),IF($L405&gt;Q$4,Q$3,ROUND($L405*Q$7,0)))</f>
        <v/>
      </c>
      <c r="G405" s="1378">
        <f>IF($L405&gt;R$5,MAX(0,R$3+ROUND((R$9*($L405-R$5)),0)),IF($L405&gt;R$4,R$3,ROUND($L405*R$7,0)))</f>
        <v/>
      </c>
      <c r="H405" s="448">
        <f>IF($L405&gt;S$5,MAX(0,S$3+ROUND((S$9*($L405-S$5)),0)),IF($L405&gt;S$4,S$3,ROUND($L405*S$7,0)))</f>
        <v/>
      </c>
      <c r="I405" s="448">
        <f>IF($L405&gt;T$5,MAX(0,T$3+ROUND((T$9*($L405-T$5)),0)),IF($L405&gt;T$4,T$3,ROUND($L405*T$7,0)))</f>
        <v/>
      </c>
      <c r="J405" s="447">
        <f>IF($L405&gt;U$5,MAX(0,U$3+ROUND((U$9*($L405-U$5)),0)),IF($L405&gt;U$4,U$3,ROUND($L405*U$7,0)))</f>
        <v/>
      </c>
      <c r="K405" s="422" t="n"/>
      <c r="L405" s="448">
        <f>ROUND((A405+B405)/2,2)</f>
        <v/>
      </c>
      <c r="M405" s="12883" t="n"/>
      <c r="N405" s="12883" t="n"/>
      <c r="O405" s="12884" t="n"/>
      <c r="Q405" s="448" t="n"/>
      <c r="R405" s="448" t="n"/>
    </row>
    <row r="406" ht="13.5" customHeight="1" s="7635">
      <c r="A406" s="448" t="n">
        <v>20100</v>
      </c>
      <c r="B406" s="447" t="n">
        <v>20150</v>
      </c>
      <c r="C406" s="1378">
        <f>IF($L406&gt;N$5,MAX(0,N$3+ROUND((N$9*($L406-N$5)),0)),IF($L406&gt;N$4,N$3,ROUND($L406*N$7,0)))</f>
        <v/>
      </c>
      <c r="D406" s="448">
        <f>IF($L406&gt;O$5,MAX(0,O$3+ROUND((O$9*($L406-O$5)),0)),IF($L406&gt;O$4,O$3,ROUND($L406*O$7,0)))</f>
        <v/>
      </c>
      <c r="E406" s="448">
        <f>IF($L406&gt;P$5,MAX(0,P$3+ROUND((P$9*($L406-P$5)),0)),IF($L406&gt;P$4,P$3,ROUND($L406*P$7,0)))</f>
        <v/>
      </c>
      <c r="F406" s="447">
        <f>IF($L406&gt;Q$5,MAX(0,Q$3+ROUND((Q$9*($L406-Q$5)),0)),IF($L406&gt;Q$4,Q$3,ROUND($L406*Q$7,0)))</f>
        <v/>
      </c>
      <c r="G406" s="1378">
        <f>IF($L406&gt;R$5,MAX(0,R$3+ROUND((R$9*($L406-R$5)),0)),IF($L406&gt;R$4,R$3,ROUND($L406*R$7,0)))</f>
        <v/>
      </c>
      <c r="H406" s="448">
        <f>IF($L406&gt;S$5,MAX(0,S$3+ROUND((S$9*($L406-S$5)),0)),IF($L406&gt;S$4,S$3,ROUND($L406*S$7,0)))</f>
        <v/>
      </c>
      <c r="I406" s="448">
        <f>IF($L406&gt;T$5,MAX(0,T$3+ROUND((T$9*($L406-T$5)),0)),IF($L406&gt;T$4,T$3,ROUND($L406*T$7,0)))</f>
        <v/>
      </c>
      <c r="J406" s="447">
        <f>IF($L406&gt;U$5,MAX(0,U$3+ROUND((U$9*($L406-U$5)),0)),IF($L406&gt;U$4,U$3,ROUND($L406*U$7,0)))</f>
        <v/>
      </c>
      <c r="K406" s="422" t="n"/>
      <c r="L406" s="448">
        <f>ROUND((A406+B406)/2,2)</f>
        <v/>
      </c>
      <c r="M406" s="12883" t="n"/>
      <c r="N406" s="12883" t="n"/>
      <c r="O406" s="12884" t="n"/>
      <c r="Q406" s="448" t="n"/>
      <c r="R406" s="448" t="n"/>
    </row>
    <row r="407" ht="13.5" customHeight="1" s="7635">
      <c r="A407" s="448" t="n">
        <v>20150</v>
      </c>
      <c r="B407" s="447" t="n">
        <v>20200</v>
      </c>
      <c r="C407" s="1378">
        <f>IF($L407&gt;N$5,MAX(0,N$3+ROUND((N$9*($L407-N$5)),0)),IF($L407&gt;N$4,N$3,ROUND($L407*N$7,0)))</f>
        <v/>
      </c>
      <c r="D407" s="448">
        <f>IF($L407&gt;O$5,MAX(0,O$3+ROUND((O$9*($L407-O$5)),0)),IF($L407&gt;O$4,O$3,ROUND($L407*O$7,0)))</f>
        <v/>
      </c>
      <c r="E407" s="448">
        <f>IF($L407&gt;P$5,MAX(0,P$3+ROUND((P$9*($L407-P$5)),0)),IF($L407&gt;P$4,P$3,ROUND($L407*P$7,0)))</f>
        <v/>
      </c>
      <c r="F407" s="447">
        <f>IF($L407&gt;Q$5,MAX(0,Q$3+ROUND((Q$9*($L407-Q$5)),0)),IF($L407&gt;Q$4,Q$3,ROUND($L407*Q$7,0)))</f>
        <v/>
      </c>
      <c r="G407" s="1378">
        <f>IF($L407&gt;R$5,MAX(0,R$3+ROUND((R$9*($L407-R$5)),0)),IF($L407&gt;R$4,R$3,ROUND($L407*R$7,0)))</f>
        <v/>
      </c>
      <c r="H407" s="448">
        <f>IF($L407&gt;S$5,MAX(0,S$3+ROUND((S$9*($L407-S$5)),0)),IF($L407&gt;S$4,S$3,ROUND($L407*S$7,0)))</f>
        <v/>
      </c>
      <c r="I407" s="448">
        <f>IF($L407&gt;T$5,MAX(0,T$3+ROUND((T$9*($L407-T$5)),0)),IF($L407&gt;T$4,T$3,ROUND($L407*T$7,0)))</f>
        <v/>
      </c>
      <c r="J407" s="447">
        <f>IF($L407&gt;U$5,MAX(0,U$3+ROUND((U$9*($L407-U$5)),0)),IF($L407&gt;U$4,U$3,ROUND($L407*U$7,0)))</f>
        <v/>
      </c>
      <c r="K407" s="422" t="n"/>
      <c r="L407" s="448">
        <f>ROUND((A407+B407)/2,2)</f>
        <v/>
      </c>
      <c r="M407" s="12883" t="n"/>
      <c r="N407" s="12883" t="n"/>
      <c r="O407" s="12884" t="n"/>
      <c r="Q407" s="448" t="n"/>
      <c r="R407" s="448" t="n"/>
    </row>
    <row r="408" ht="13.5" customHeight="1" s="7635">
      <c r="A408" s="448" t="n">
        <v>20200</v>
      </c>
      <c r="B408" s="447" t="n">
        <v>20250</v>
      </c>
      <c r="C408" s="1378">
        <f>IF($L408&gt;N$5,MAX(0,N$3+ROUND((N$9*($L408-N$5)),0)),IF($L408&gt;N$4,N$3,ROUND($L408*N$7,0)))</f>
        <v/>
      </c>
      <c r="D408" s="448">
        <f>IF($L408&gt;O$5,MAX(0,O$3+ROUND((O$9*($L408-O$5)),0)),IF($L408&gt;O$4,O$3,ROUND($L408*O$7,0)))</f>
        <v/>
      </c>
      <c r="E408" s="448">
        <f>IF($L408&gt;P$5,MAX(0,P$3+ROUND((P$9*($L408-P$5)),0)),IF($L408&gt;P$4,P$3,ROUND($L408*P$7,0)))</f>
        <v/>
      </c>
      <c r="F408" s="447">
        <f>IF($L408&gt;Q$5,MAX(0,Q$3+ROUND((Q$9*($L408-Q$5)),0)),IF($L408&gt;Q$4,Q$3,ROUND($L408*Q$7,0)))</f>
        <v/>
      </c>
      <c r="G408" s="1378">
        <f>IF($L408&gt;R$5,MAX(0,R$3+ROUND((R$9*($L408-R$5)),0)),IF($L408&gt;R$4,R$3,ROUND($L408*R$7,0)))</f>
        <v/>
      </c>
      <c r="H408" s="448">
        <f>IF($L408&gt;S$5,MAX(0,S$3+ROUND((S$9*($L408-S$5)),0)),IF($L408&gt;S$4,S$3,ROUND($L408*S$7,0)))</f>
        <v/>
      </c>
      <c r="I408" s="448">
        <f>IF($L408&gt;T$5,MAX(0,T$3+ROUND((T$9*($L408-T$5)),0)),IF($L408&gt;T$4,T$3,ROUND($L408*T$7,0)))</f>
        <v/>
      </c>
      <c r="J408" s="447">
        <f>IF($L408&gt;U$5,MAX(0,U$3+ROUND((U$9*($L408-U$5)),0)),IF($L408&gt;U$4,U$3,ROUND($L408*U$7,0)))</f>
        <v/>
      </c>
      <c r="K408" s="422" t="n"/>
      <c r="L408" s="448">
        <f>ROUND((A408+B408)/2,2)</f>
        <v/>
      </c>
      <c r="M408" s="12883" t="n"/>
      <c r="N408" s="12883" t="n"/>
      <c r="O408" s="12884" t="n"/>
      <c r="Q408" s="448" t="n"/>
      <c r="R408" s="448" t="n"/>
    </row>
    <row r="409" ht="13.5" customHeight="1" s="7635">
      <c r="A409" s="448" t="n">
        <v>20250</v>
      </c>
      <c r="B409" s="447" t="n">
        <v>20300</v>
      </c>
      <c r="C409" s="1378">
        <f>IF($L409&gt;N$5,MAX(0,N$3+ROUND((N$9*($L409-N$5)),0)),IF($L409&gt;N$4,N$3,ROUND($L409*N$7,0)))</f>
        <v/>
      </c>
      <c r="D409" s="448">
        <f>IF($L409&gt;O$5,MAX(0,O$3+ROUND((O$9*($L409-O$5)),0)),IF($L409&gt;O$4,O$3,ROUND($L409*O$7,0)))</f>
        <v/>
      </c>
      <c r="E409" s="448">
        <f>IF($L409&gt;P$5,MAX(0,P$3+ROUND((P$9*($L409-P$5)),0)),IF($L409&gt;P$4,P$3,ROUND($L409*P$7,0)))</f>
        <v/>
      </c>
      <c r="F409" s="447">
        <f>IF($L409&gt;Q$5,MAX(0,Q$3+ROUND((Q$9*($L409-Q$5)),0)),IF($L409&gt;Q$4,Q$3,ROUND($L409*Q$7,0)))</f>
        <v/>
      </c>
      <c r="G409" s="1378">
        <f>IF($L409&gt;R$5,MAX(0,R$3+ROUND((R$9*($L409-R$5)),0)),IF($L409&gt;R$4,R$3,ROUND($L409*R$7,0)))</f>
        <v/>
      </c>
      <c r="H409" s="448">
        <f>IF($L409&gt;S$5,MAX(0,S$3+ROUND((S$9*($L409-S$5)),0)),IF($L409&gt;S$4,S$3,ROUND($L409*S$7,0)))</f>
        <v/>
      </c>
      <c r="I409" s="448">
        <f>IF($L409&gt;T$5,MAX(0,T$3+ROUND((T$9*($L409-T$5)),0)),IF($L409&gt;T$4,T$3,ROUND($L409*T$7,0)))</f>
        <v/>
      </c>
      <c r="J409" s="447">
        <f>IF($L409&gt;U$5,MAX(0,U$3+ROUND((U$9*($L409-U$5)),0)),IF($L409&gt;U$4,U$3,ROUND($L409*U$7,0)))</f>
        <v/>
      </c>
      <c r="K409" s="422" t="n"/>
      <c r="L409" s="448">
        <f>ROUND((A409+B409)/2,2)</f>
        <v/>
      </c>
      <c r="M409" s="12883" t="n"/>
      <c r="N409" s="12883" t="n"/>
      <c r="O409" s="12884" t="n"/>
      <c r="Q409" s="448" t="n"/>
      <c r="R409" s="448" t="n"/>
    </row>
    <row r="410" ht="13.5" customHeight="1" s="7635">
      <c r="A410" s="448" t="n">
        <v>20300</v>
      </c>
      <c r="B410" s="447" t="n">
        <v>20350</v>
      </c>
      <c r="C410" s="1378">
        <f>IF($L410&gt;N$5,MAX(0,N$3+ROUND((N$9*($L410-N$5)),0)),IF($L410&gt;N$4,N$3,ROUND($L410*N$7,0)))</f>
        <v/>
      </c>
      <c r="D410" s="448">
        <f>IF($L410&gt;O$5,MAX(0,O$3+ROUND((O$9*($L410-O$5)),0)),IF($L410&gt;O$4,O$3,ROUND($L410*O$7,0)))</f>
        <v/>
      </c>
      <c r="E410" s="448">
        <f>IF($L410&gt;P$5,MAX(0,P$3+ROUND((P$9*($L410-P$5)),0)),IF($L410&gt;P$4,P$3,ROUND($L410*P$7,0)))</f>
        <v/>
      </c>
      <c r="F410" s="447">
        <f>IF($L410&gt;Q$5,MAX(0,Q$3+ROUND((Q$9*($L410-Q$5)),0)),IF($L410&gt;Q$4,Q$3,ROUND($L410*Q$7,0)))</f>
        <v/>
      </c>
      <c r="G410" s="1378">
        <f>IF($L410&gt;R$5,MAX(0,R$3+ROUND((R$9*($L410-R$5)),0)),IF($L410&gt;R$4,R$3,ROUND($L410*R$7,0)))</f>
        <v/>
      </c>
      <c r="H410" s="448">
        <f>IF($L410&gt;S$5,MAX(0,S$3+ROUND((S$9*($L410-S$5)),0)),IF($L410&gt;S$4,S$3,ROUND($L410*S$7,0)))</f>
        <v/>
      </c>
      <c r="I410" s="448">
        <f>IF($L410&gt;T$5,MAX(0,T$3+ROUND((T$9*($L410-T$5)),0)),IF($L410&gt;T$4,T$3,ROUND($L410*T$7,0)))</f>
        <v/>
      </c>
      <c r="J410" s="447">
        <f>IF($L410&gt;U$5,MAX(0,U$3+ROUND((U$9*($L410-U$5)),0)),IF($L410&gt;U$4,U$3,ROUND($L410*U$7,0)))</f>
        <v/>
      </c>
      <c r="K410" s="422" t="n"/>
      <c r="L410" s="448">
        <f>ROUND((A410+B410)/2,2)</f>
        <v/>
      </c>
      <c r="M410" s="12883" t="n"/>
      <c r="N410" s="12883" t="n"/>
      <c r="O410" s="12884" t="n"/>
      <c r="Q410" s="448" t="n"/>
      <c r="R410" s="448" t="n"/>
    </row>
    <row r="411" ht="13.5" customHeight="1" s="7635">
      <c r="A411" s="448" t="n">
        <v>20350</v>
      </c>
      <c r="B411" s="447" t="n">
        <v>20400</v>
      </c>
      <c r="C411" s="1378">
        <f>IF($L411&gt;N$5,MAX(0,N$3+ROUND((N$9*($L411-N$5)),0)),IF($L411&gt;N$4,N$3,ROUND($L411*N$7,0)))</f>
        <v/>
      </c>
      <c r="D411" s="448">
        <f>IF($L411&gt;O$5,MAX(0,O$3+ROUND((O$9*($L411-O$5)),0)),IF($L411&gt;O$4,O$3,ROUND($L411*O$7,0)))</f>
        <v/>
      </c>
      <c r="E411" s="448">
        <f>IF($L411&gt;P$5,MAX(0,P$3+ROUND((P$9*($L411-P$5)),0)),IF($L411&gt;P$4,P$3,ROUND($L411*P$7,0)))</f>
        <v/>
      </c>
      <c r="F411" s="447">
        <f>IF($L411&gt;Q$5,MAX(0,Q$3+ROUND((Q$9*($L411-Q$5)),0)),IF($L411&gt;Q$4,Q$3,ROUND($L411*Q$7,0)))</f>
        <v/>
      </c>
      <c r="G411" s="1378">
        <f>IF($L411&gt;R$5,MAX(0,R$3+ROUND((R$9*($L411-R$5)),0)),IF($L411&gt;R$4,R$3,ROUND($L411*R$7,0)))</f>
        <v/>
      </c>
      <c r="H411" s="448">
        <f>IF($L411&gt;S$5,MAX(0,S$3+ROUND((S$9*($L411-S$5)),0)),IF($L411&gt;S$4,S$3,ROUND($L411*S$7,0)))</f>
        <v/>
      </c>
      <c r="I411" s="448">
        <f>IF($L411&gt;T$5,MAX(0,T$3+ROUND((T$9*($L411-T$5)),0)),IF($L411&gt;T$4,T$3,ROUND($L411*T$7,0)))</f>
        <v/>
      </c>
      <c r="J411" s="447">
        <f>IF($L411&gt;U$5,MAX(0,U$3+ROUND((U$9*($L411-U$5)),0)),IF($L411&gt;U$4,U$3,ROUND($L411*U$7,0)))</f>
        <v/>
      </c>
      <c r="K411" s="422" t="n"/>
      <c r="L411" s="448">
        <f>ROUND((A411+B411)/2,2)</f>
        <v/>
      </c>
      <c r="M411" s="12883" t="n"/>
      <c r="N411" s="12883" t="n"/>
      <c r="O411" s="12884" t="n"/>
      <c r="Q411" s="448" t="n"/>
      <c r="R411" s="448" t="n"/>
    </row>
    <row r="412" ht="13.5" customHeight="1" s="7635">
      <c r="A412" s="448" t="n">
        <v>20400</v>
      </c>
      <c r="B412" s="447" t="n">
        <v>20450</v>
      </c>
      <c r="C412" s="1378">
        <f>IF($L412&gt;N$5,MAX(0,N$3+ROUND((N$9*($L412-N$5)),0)),IF($L412&gt;N$4,N$3,ROUND($L412*N$7,0)))</f>
        <v/>
      </c>
      <c r="D412" s="448">
        <f>IF($L412&gt;O$5,MAX(0,O$3+ROUND((O$9*($L412-O$5)),0)),IF($L412&gt;O$4,O$3,ROUND($L412*O$7,0)))</f>
        <v/>
      </c>
      <c r="E412" s="448">
        <f>IF($L412&gt;P$5,MAX(0,P$3+ROUND((P$9*($L412-P$5)),0)),IF($L412&gt;P$4,P$3,ROUND($L412*P$7,0)))</f>
        <v/>
      </c>
      <c r="F412" s="447">
        <f>IF($L412&gt;Q$5,MAX(0,Q$3+ROUND((Q$9*($L412-Q$5)),0)),IF($L412&gt;Q$4,Q$3,ROUND($L412*Q$7,0)))</f>
        <v/>
      </c>
      <c r="G412" s="1378">
        <f>IF($L412&gt;R$5,MAX(0,R$3+ROUND((R$9*($L412-R$5)),0)),IF($L412&gt;R$4,R$3,ROUND($L412*R$7,0)))</f>
        <v/>
      </c>
      <c r="H412" s="448">
        <f>IF($L412&gt;S$5,MAX(0,S$3+ROUND((S$9*($L412-S$5)),0)),IF($L412&gt;S$4,S$3,ROUND($L412*S$7,0)))</f>
        <v/>
      </c>
      <c r="I412" s="448">
        <f>IF($L412&gt;T$5,MAX(0,T$3+ROUND((T$9*($L412-T$5)),0)),IF($L412&gt;T$4,T$3,ROUND($L412*T$7,0)))</f>
        <v/>
      </c>
      <c r="J412" s="447">
        <f>IF($L412&gt;U$5,MAX(0,U$3+ROUND((U$9*($L412-U$5)),0)),IF($L412&gt;U$4,U$3,ROUND($L412*U$7,0)))</f>
        <v/>
      </c>
      <c r="K412" s="422" t="n"/>
      <c r="L412" s="448">
        <f>ROUND((A412+B412)/2,2)</f>
        <v/>
      </c>
      <c r="M412" s="12883" t="n"/>
      <c r="N412" s="12883" t="n"/>
      <c r="O412" s="12884" t="n"/>
      <c r="Q412" s="448" t="n"/>
      <c r="R412" s="448" t="n"/>
    </row>
    <row r="413" ht="13.5" customHeight="1" s="7635">
      <c r="A413" s="448" t="n">
        <v>20450</v>
      </c>
      <c r="B413" s="447" t="n">
        <v>20500</v>
      </c>
      <c r="C413" s="1378">
        <f>IF($L413&gt;N$5,MAX(0,N$3+ROUND((N$9*($L413-N$5)),0)),IF($L413&gt;N$4,N$3,ROUND($L413*N$7,0)))</f>
        <v/>
      </c>
      <c r="D413" s="448">
        <f>IF($L413&gt;O$5,MAX(0,O$3+ROUND((O$9*($L413-O$5)),0)),IF($L413&gt;O$4,O$3,ROUND($L413*O$7,0)))</f>
        <v/>
      </c>
      <c r="E413" s="448">
        <f>IF($L413&gt;P$5,MAX(0,P$3+ROUND((P$9*($L413-P$5)),0)),IF($L413&gt;P$4,P$3,ROUND($L413*P$7,0)))</f>
        <v/>
      </c>
      <c r="F413" s="447">
        <f>IF($L413&gt;Q$5,MAX(0,Q$3+ROUND((Q$9*($L413-Q$5)),0)),IF($L413&gt;Q$4,Q$3,ROUND($L413*Q$7,0)))</f>
        <v/>
      </c>
      <c r="G413" s="1378">
        <f>IF($L413&gt;R$5,MAX(0,R$3+ROUND((R$9*($L413-R$5)),0)),IF($L413&gt;R$4,R$3,ROUND($L413*R$7,0)))</f>
        <v/>
      </c>
      <c r="H413" s="448">
        <f>IF($L413&gt;S$5,MAX(0,S$3+ROUND((S$9*($L413-S$5)),0)),IF($L413&gt;S$4,S$3,ROUND($L413*S$7,0)))</f>
        <v/>
      </c>
      <c r="I413" s="448">
        <f>IF($L413&gt;T$5,MAX(0,T$3+ROUND((T$9*($L413-T$5)),0)),IF($L413&gt;T$4,T$3,ROUND($L413*T$7,0)))</f>
        <v/>
      </c>
      <c r="J413" s="447">
        <f>IF($L413&gt;U$5,MAX(0,U$3+ROUND((U$9*($L413-U$5)),0)),IF($L413&gt;U$4,U$3,ROUND($L413*U$7,0)))</f>
        <v/>
      </c>
      <c r="K413" s="422" t="n"/>
      <c r="L413" s="448">
        <f>ROUND((A413+B413)/2,2)</f>
        <v/>
      </c>
      <c r="M413" s="12883" t="n"/>
      <c r="N413" s="12883" t="n"/>
      <c r="O413" s="12884" t="n"/>
      <c r="Q413" s="448" t="n"/>
      <c r="R413" s="448" t="n"/>
    </row>
    <row r="414" ht="13.5" customHeight="1" s="7635">
      <c r="A414" s="448" t="n">
        <v>20500</v>
      </c>
      <c r="B414" s="447" t="n">
        <v>20550</v>
      </c>
      <c r="C414" s="1378">
        <f>IF($L414&gt;N$5,MAX(0,N$3+ROUND((N$9*($L414-N$5)),0)),IF($L414&gt;N$4,N$3,ROUND($L414*N$7,0)))</f>
        <v/>
      </c>
      <c r="D414" s="448">
        <f>IF($L414&gt;O$5,MAX(0,O$3+ROUND((O$9*($L414-O$5)),0)),IF($L414&gt;O$4,O$3,ROUND($L414*O$7,0)))</f>
        <v/>
      </c>
      <c r="E414" s="448">
        <f>IF($L414&gt;P$5,MAX(0,P$3+ROUND((P$9*($L414-P$5)),0)),IF($L414&gt;P$4,P$3,ROUND($L414*P$7,0)))</f>
        <v/>
      </c>
      <c r="F414" s="447">
        <f>IF($L414&gt;Q$5,MAX(0,Q$3+ROUND((Q$9*($L414-Q$5)),0)),IF($L414&gt;Q$4,Q$3,ROUND($L414*Q$7,0)))</f>
        <v/>
      </c>
      <c r="G414" s="1378">
        <f>IF($L414&gt;R$5,MAX(0,R$3+ROUND((R$9*($L414-R$5)),0)),IF($L414&gt;R$4,R$3,ROUND($L414*R$7,0)))</f>
        <v/>
      </c>
      <c r="H414" s="448">
        <f>IF($L414&gt;S$5,MAX(0,S$3+ROUND((S$9*($L414-S$5)),0)),IF($L414&gt;S$4,S$3,ROUND($L414*S$7,0)))</f>
        <v/>
      </c>
      <c r="I414" s="448">
        <f>IF($L414&gt;T$5,MAX(0,T$3+ROUND((T$9*($L414-T$5)),0)),IF($L414&gt;T$4,T$3,ROUND($L414*T$7,0)))</f>
        <v/>
      </c>
      <c r="J414" s="447">
        <f>IF($L414&gt;U$5,MAX(0,U$3+ROUND((U$9*($L414-U$5)),0)),IF($L414&gt;U$4,U$3,ROUND($L414*U$7,0)))</f>
        <v/>
      </c>
      <c r="K414" s="422" t="n"/>
      <c r="L414" s="448">
        <f>ROUND((A414+B414)/2,2)</f>
        <v/>
      </c>
      <c r="M414" s="12883" t="n"/>
      <c r="N414" s="12883" t="n"/>
      <c r="O414" s="12884" t="n"/>
      <c r="Q414" s="448" t="n"/>
      <c r="R414" s="448" t="n"/>
    </row>
    <row r="415" ht="13.5" customHeight="1" s="7635">
      <c r="A415" s="448" t="n">
        <v>20550</v>
      </c>
      <c r="B415" s="447" t="n">
        <v>20600</v>
      </c>
      <c r="C415" s="1378">
        <f>IF($L415&gt;N$5,MAX(0,N$3+ROUND((N$9*($L415-N$5)),0)),IF($L415&gt;N$4,N$3,ROUND($L415*N$7,0)))</f>
        <v/>
      </c>
      <c r="D415" s="448">
        <f>IF($L415&gt;O$5,MAX(0,O$3+ROUND((O$9*($L415-O$5)),0)),IF($L415&gt;O$4,O$3,ROUND($L415*O$7,0)))</f>
        <v/>
      </c>
      <c r="E415" s="448">
        <f>IF($L415&gt;P$5,MAX(0,P$3+ROUND((P$9*($L415-P$5)),0)),IF($L415&gt;P$4,P$3,ROUND($L415*P$7,0)))</f>
        <v/>
      </c>
      <c r="F415" s="447">
        <f>IF($L415&gt;Q$5,MAX(0,Q$3+ROUND((Q$9*($L415-Q$5)),0)),IF($L415&gt;Q$4,Q$3,ROUND($L415*Q$7,0)))</f>
        <v/>
      </c>
      <c r="G415" s="1378">
        <f>IF($L415&gt;R$5,MAX(0,R$3+ROUND((R$9*($L415-R$5)),0)),IF($L415&gt;R$4,R$3,ROUND($L415*R$7,0)))</f>
        <v/>
      </c>
      <c r="H415" s="448">
        <f>IF($L415&gt;S$5,MAX(0,S$3+ROUND((S$9*($L415-S$5)),0)),IF($L415&gt;S$4,S$3,ROUND($L415*S$7,0)))</f>
        <v/>
      </c>
      <c r="I415" s="448">
        <f>IF($L415&gt;T$5,MAX(0,T$3+ROUND((T$9*($L415-T$5)),0)),IF($L415&gt;T$4,T$3,ROUND($L415*T$7,0)))</f>
        <v/>
      </c>
      <c r="J415" s="447">
        <f>IF($L415&gt;U$5,MAX(0,U$3+ROUND((U$9*($L415-U$5)),0)),IF($L415&gt;U$4,U$3,ROUND($L415*U$7,0)))</f>
        <v/>
      </c>
      <c r="K415" s="422" t="n"/>
      <c r="L415" s="448">
        <f>ROUND((A415+B415)/2,2)</f>
        <v/>
      </c>
      <c r="M415" s="12883" t="n"/>
      <c r="N415" s="12883" t="n"/>
      <c r="O415" s="12884" t="n"/>
      <c r="Q415" s="448" t="n"/>
      <c r="R415" s="448" t="n"/>
    </row>
    <row r="416" ht="13.5" customHeight="1" s="7635">
      <c r="A416" s="448" t="n">
        <v>20600</v>
      </c>
      <c r="B416" s="447" t="n">
        <v>20650</v>
      </c>
      <c r="C416" s="1378">
        <f>IF($L416&gt;N$5,MAX(0,N$3+ROUND((N$9*($L416-N$5)),0)),IF($L416&gt;N$4,N$3,ROUND($L416*N$7,0)))</f>
        <v/>
      </c>
      <c r="D416" s="448">
        <f>IF($L416&gt;O$5,MAX(0,O$3+ROUND((O$9*($L416-O$5)),0)),IF($L416&gt;O$4,O$3,ROUND($L416*O$7,0)))</f>
        <v/>
      </c>
      <c r="E416" s="448">
        <f>IF($L416&gt;P$5,MAX(0,P$3+ROUND((P$9*($L416-P$5)),0)),IF($L416&gt;P$4,P$3,ROUND($L416*P$7,0)))</f>
        <v/>
      </c>
      <c r="F416" s="447">
        <f>IF($L416&gt;Q$5,MAX(0,Q$3+ROUND((Q$9*($L416-Q$5)),0)),IF($L416&gt;Q$4,Q$3,ROUND($L416*Q$7,0)))</f>
        <v/>
      </c>
      <c r="G416" s="1378">
        <f>IF($L416&gt;R$5,MAX(0,R$3+ROUND((R$9*($L416-R$5)),0)),IF($L416&gt;R$4,R$3,ROUND($L416*R$7,0)))</f>
        <v/>
      </c>
      <c r="H416" s="448">
        <f>IF($L416&gt;S$5,MAX(0,S$3+ROUND((S$9*($L416-S$5)),0)),IF($L416&gt;S$4,S$3,ROUND($L416*S$7,0)))</f>
        <v/>
      </c>
      <c r="I416" s="448">
        <f>IF($L416&gt;T$5,MAX(0,T$3+ROUND((T$9*($L416-T$5)),0)),IF($L416&gt;T$4,T$3,ROUND($L416*T$7,0)))</f>
        <v/>
      </c>
      <c r="J416" s="447">
        <f>IF($L416&gt;U$5,MAX(0,U$3+ROUND((U$9*($L416-U$5)),0)),IF($L416&gt;U$4,U$3,ROUND($L416*U$7,0)))</f>
        <v/>
      </c>
      <c r="K416" s="422" t="n"/>
      <c r="L416" s="448">
        <f>ROUND((A416+B416)/2,2)</f>
        <v/>
      </c>
      <c r="M416" s="12883" t="n"/>
      <c r="N416" s="12883" t="n"/>
      <c r="O416" s="12884" t="n"/>
      <c r="Q416" s="448" t="n"/>
      <c r="R416" s="448" t="n"/>
    </row>
    <row r="417" ht="13.5" customHeight="1" s="7635">
      <c r="A417" s="448" t="n">
        <v>20650</v>
      </c>
      <c r="B417" s="447" t="n">
        <v>20700</v>
      </c>
      <c r="C417" s="1378">
        <f>IF($L417&gt;N$5,MAX(0,N$3+ROUND((N$9*($L417-N$5)),0)),IF($L417&gt;N$4,N$3,ROUND($L417*N$7,0)))</f>
        <v/>
      </c>
      <c r="D417" s="448">
        <f>IF($L417&gt;O$5,MAX(0,O$3+ROUND((O$9*($L417-O$5)),0)),IF($L417&gt;O$4,O$3,ROUND($L417*O$7,0)))</f>
        <v/>
      </c>
      <c r="E417" s="448">
        <f>IF($L417&gt;P$5,MAX(0,P$3+ROUND((P$9*($L417-P$5)),0)),IF($L417&gt;P$4,P$3,ROUND($L417*P$7,0)))</f>
        <v/>
      </c>
      <c r="F417" s="447">
        <f>IF($L417&gt;Q$5,MAX(0,Q$3+ROUND((Q$9*($L417-Q$5)),0)),IF($L417&gt;Q$4,Q$3,ROUND($L417*Q$7,0)))</f>
        <v/>
      </c>
      <c r="G417" s="1378">
        <f>IF($L417&gt;R$5,MAX(0,R$3+ROUND((R$9*($L417-R$5)),0)),IF($L417&gt;R$4,R$3,ROUND($L417*R$7,0)))</f>
        <v/>
      </c>
      <c r="H417" s="448">
        <f>IF($L417&gt;S$5,MAX(0,S$3+ROUND((S$9*($L417-S$5)),0)),IF($L417&gt;S$4,S$3,ROUND($L417*S$7,0)))</f>
        <v/>
      </c>
      <c r="I417" s="448">
        <f>IF($L417&gt;T$5,MAX(0,T$3+ROUND((T$9*($L417-T$5)),0)),IF($L417&gt;T$4,T$3,ROUND($L417*T$7,0)))</f>
        <v/>
      </c>
      <c r="J417" s="447">
        <f>IF($L417&gt;U$5,MAX(0,U$3+ROUND((U$9*($L417-U$5)),0)),IF($L417&gt;U$4,U$3,ROUND($L417*U$7,0)))</f>
        <v/>
      </c>
      <c r="K417" s="422" t="n"/>
      <c r="L417" s="448">
        <f>ROUND((A417+B417)/2,2)</f>
        <v/>
      </c>
      <c r="M417" s="12883" t="n"/>
      <c r="N417" s="12883" t="n"/>
      <c r="O417" s="12884" t="n"/>
      <c r="Q417" s="448" t="n"/>
      <c r="R417" s="448" t="n"/>
    </row>
    <row r="418" ht="13.5" customHeight="1" s="7635">
      <c r="A418" s="448" t="n">
        <v>20700</v>
      </c>
      <c r="B418" s="447" t="n">
        <v>20750</v>
      </c>
      <c r="C418" s="1378">
        <f>IF($L418&gt;N$5,MAX(0,N$3+ROUND((N$9*($L418-N$5)),0)),IF($L418&gt;N$4,N$3,ROUND($L418*N$7,0)))</f>
        <v/>
      </c>
      <c r="D418" s="448">
        <f>IF($L418&gt;O$5,MAX(0,O$3+ROUND((O$9*($L418-O$5)),0)),IF($L418&gt;O$4,O$3,ROUND($L418*O$7,0)))</f>
        <v/>
      </c>
      <c r="E418" s="448">
        <f>IF($L418&gt;P$5,MAX(0,P$3+ROUND((P$9*($L418-P$5)),0)),IF($L418&gt;P$4,P$3,ROUND($L418*P$7,0)))</f>
        <v/>
      </c>
      <c r="F418" s="447">
        <f>IF($L418&gt;Q$5,MAX(0,Q$3+ROUND((Q$9*($L418-Q$5)),0)),IF($L418&gt;Q$4,Q$3,ROUND($L418*Q$7,0)))</f>
        <v/>
      </c>
      <c r="G418" s="1378">
        <f>IF($L418&gt;R$5,MAX(0,R$3+ROUND((R$9*($L418-R$5)),0)),IF($L418&gt;R$4,R$3,ROUND($L418*R$7,0)))</f>
        <v/>
      </c>
      <c r="H418" s="448">
        <f>IF($L418&gt;S$5,MAX(0,S$3+ROUND((S$9*($L418-S$5)),0)),IF($L418&gt;S$4,S$3,ROUND($L418*S$7,0)))</f>
        <v/>
      </c>
      <c r="I418" s="448">
        <f>IF($L418&gt;T$5,MAX(0,T$3+ROUND((T$9*($L418-T$5)),0)),IF($L418&gt;T$4,T$3,ROUND($L418*T$7,0)))</f>
        <v/>
      </c>
      <c r="J418" s="447">
        <f>IF($L418&gt;U$5,MAX(0,U$3+ROUND((U$9*($L418-U$5)),0)),IF($L418&gt;U$4,U$3,ROUND($L418*U$7,0)))</f>
        <v/>
      </c>
      <c r="K418" s="422" t="n"/>
      <c r="L418" s="448">
        <f>ROUND((A418+B418)/2,2)</f>
        <v/>
      </c>
      <c r="M418" s="12883" t="n"/>
      <c r="N418" s="12883" t="n"/>
      <c r="O418" s="12884" t="n"/>
      <c r="Q418" s="448" t="n"/>
      <c r="R418" s="448" t="n"/>
    </row>
    <row r="419" ht="13.5" customHeight="1" s="7635">
      <c r="A419" s="448" t="n">
        <v>20750</v>
      </c>
      <c r="B419" s="447" t="n">
        <v>20800</v>
      </c>
      <c r="C419" s="1378">
        <f>IF($L419&gt;N$5,MAX(0,N$3+ROUND((N$9*($L419-N$5)),0)),IF($L419&gt;N$4,N$3,ROUND($L419*N$7,0)))</f>
        <v/>
      </c>
      <c r="D419" s="448">
        <f>IF($L419&gt;O$5,MAX(0,O$3+ROUND((O$9*($L419-O$5)),0)),IF($L419&gt;O$4,O$3,ROUND($L419*O$7,0)))</f>
        <v/>
      </c>
      <c r="E419" s="448">
        <f>IF($L419&gt;P$5,MAX(0,P$3+ROUND((P$9*($L419-P$5)),0)),IF($L419&gt;P$4,P$3,ROUND($L419*P$7,0)))</f>
        <v/>
      </c>
      <c r="F419" s="447">
        <f>IF($L419&gt;Q$5,MAX(0,Q$3+ROUND((Q$9*($L419-Q$5)),0)),IF($L419&gt;Q$4,Q$3,ROUND($L419*Q$7,0)))</f>
        <v/>
      </c>
      <c r="G419" s="1378">
        <f>IF($L419&gt;R$5,MAX(0,R$3+ROUND((R$9*($L419-R$5)),0)),IF($L419&gt;R$4,R$3,ROUND($L419*R$7,0)))</f>
        <v/>
      </c>
      <c r="H419" s="448">
        <f>IF($L419&gt;S$5,MAX(0,S$3+ROUND((S$9*($L419-S$5)),0)),IF($L419&gt;S$4,S$3,ROUND($L419*S$7,0)))</f>
        <v/>
      </c>
      <c r="I419" s="448">
        <f>IF($L419&gt;T$5,MAX(0,T$3+ROUND((T$9*($L419-T$5)),0)),IF($L419&gt;T$4,T$3,ROUND($L419*T$7,0)))</f>
        <v/>
      </c>
      <c r="J419" s="447">
        <f>IF($L419&gt;U$5,MAX(0,U$3+ROUND((U$9*($L419-U$5)),0)),IF($L419&gt;U$4,U$3,ROUND($L419*U$7,0)))</f>
        <v/>
      </c>
      <c r="K419" s="422" t="n"/>
      <c r="L419" s="448">
        <f>ROUND((A419+B419)/2,2)</f>
        <v/>
      </c>
      <c r="M419" s="12883" t="n"/>
      <c r="N419" s="12883" t="n"/>
      <c r="O419" s="12884" t="n"/>
      <c r="Q419" s="448" t="n"/>
      <c r="R419" s="448" t="n"/>
    </row>
    <row r="420" ht="13.5" customHeight="1" s="7635">
      <c r="A420" s="448" t="n">
        <v>20800</v>
      </c>
      <c r="B420" s="447" t="n">
        <v>20850</v>
      </c>
      <c r="C420" s="1378">
        <f>IF($L420&gt;N$5,MAX(0,N$3+ROUND((N$9*($L420-N$5)),0)),IF($L420&gt;N$4,N$3,ROUND($L420*N$7,0)))</f>
        <v/>
      </c>
      <c r="D420" s="448">
        <f>IF($L420&gt;O$5,MAX(0,O$3+ROUND((O$9*($L420-O$5)),0)),IF($L420&gt;O$4,O$3,ROUND($L420*O$7,0)))</f>
        <v/>
      </c>
      <c r="E420" s="448">
        <f>IF($L420&gt;P$5,MAX(0,P$3+ROUND((P$9*($L420-P$5)),0)),IF($L420&gt;P$4,P$3,ROUND($L420*P$7,0)))</f>
        <v/>
      </c>
      <c r="F420" s="447">
        <f>IF($L420&gt;Q$5,MAX(0,Q$3+ROUND((Q$9*($L420-Q$5)),0)),IF($L420&gt;Q$4,Q$3,ROUND($L420*Q$7,0)))</f>
        <v/>
      </c>
      <c r="G420" s="1378">
        <f>IF($L420&gt;R$5,MAX(0,R$3+ROUND((R$9*($L420-R$5)),0)),IF($L420&gt;R$4,R$3,ROUND($L420*R$7,0)))</f>
        <v/>
      </c>
      <c r="H420" s="448">
        <f>IF($L420&gt;S$5,MAX(0,S$3+ROUND((S$9*($L420-S$5)),0)),IF($L420&gt;S$4,S$3,ROUND($L420*S$7,0)))</f>
        <v/>
      </c>
      <c r="I420" s="448">
        <f>IF($L420&gt;T$5,MAX(0,T$3+ROUND((T$9*($L420-T$5)),0)),IF($L420&gt;T$4,T$3,ROUND($L420*T$7,0)))</f>
        <v/>
      </c>
      <c r="J420" s="447">
        <f>IF($L420&gt;U$5,MAX(0,U$3+ROUND((U$9*($L420-U$5)),0)),IF($L420&gt;U$4,U$3,ROUND($L420*U$7,0)))</f>
        <v/>
      </c>
      <c r="K420" s="422" t="n"/>
      <c r="L420" s="448">
        <f>ROUND((A420+B420)/2,2)</f>
        <v/>
      </c>
    </row>
    <row r="421" ht="13.5" customHeight="1" s="7635">
      <c r="A421" s="448" t="n">
        <v>20850</v>
      </c>
      <c r="B421" s="447" t="n">
        <v>20900</v>
      </c>
      <c r="C421" s="1378">
        <f>IF($L421&gt;N$5,MAX(0,N$3+ROUND((N$9*($L421-N$5)),0)),IF($L421&gt;N$4,N$3,ROUND($L421*N$7,0)))</f>
        <v/>
      </c>
      <c r="D421" s="448">
        <f>IF($L421&gt;O$5,MAX(0,O$3+ROUND((O$9*($L421-O$5)),0)),IF($L421&gt;O$4,O$3,ROUND($L421*O$7,0)))</f>
        <v/>
      </c>
      <c r="E421" s="448">
        <f>IF($L421&gt;P$5,MAX(0,P$3+ROUND((P$9*($L421-P$5)),0)),IF($L421&gt;P$4,P$3,ROUND($L421*P$7,0)))</f>
        <v/>
      </c>
      <c r="F421" s="447">
        <f>IF($L421&gt;Q$5,MAX(0,Q$3+ROUND((Q$9*($L421-Q$5)),0)),IF($L421&gt;Q$4,Q$3,ROUND($L421*Q$7,0)))</f>
        <v/>
      </c>
      <c r="G421" s="1378">
        <f>IF($L421&gt;R$5,MAX(0,R$3+ROUND((R$9*($L421-R$5)),0)),IF($L421&gt;R$4,R$3,ROUND($L421*R$7,0)))</f>
        <v/>
      </c>
      <c r="H421" s="448">
        <f>IF($L421&gt;S$5,MAX(0,S$3+ROUND((S$9*($L421-S$5)),0)),IF($L421&gt;S$4,S$3,ROUND($L421*S$7,0)))</f>
        <v/>
      </c>
      <c r="I421" s="448">
        <f>IF($L421&gt;T$5,MAX(0,T$3+ROUND((T$9*($L421-T$5)),0)),IF($L421&gt;T$4,T$3,ROUND($L421*T$7,0)))</f>
        <v/>
      </c>
      <c r="J421" s="447">
        <f>IF($L421&gt;U$5,MAX(0,U$3+ROUND((U$9*($L421-U$5)),0)),IF($L421&gt;U$4,U$3,ROUND($L421*U$7,0)))</f>
        <v/>
      </c>
      <c r="K421" s="422" t="n"/>
      <c r="L421" s="448">
        <f>ROUND((A421+B421)/2,2)</f>
        <v/>
      </c>
    </row>
    <row r="422" ht="13.5" customHeight="1" s="7635">
      <c r="A422" s="448" t="n">
        <v>20900</v>
      </c>
      <c r="B422" s="447" t="n">
        <v>20950</v>
      </c>
      <c r="C422" s="1378">
        <f>IF($L422&gt;N$5,MAX(0,N$3+ROUND((N$9*($L422-N$5)),0)),IF($L422&gt;N$4,N$3,ROUND($L422*N$7,0)))</f>
        <v/>
      </c>
      <c r="D422" s="448">
        <f>IF($L422&gt;O$5,MAX(0,O$3+ROUND((O$9*($L422-O$5)),0)),IF($L422&gt;O$4,O$3,ROUND($L422*O$7,0)))</f>
        <v/>
      </c>
      <c r="E422" s="448">
        <f>IF($L422&gt;P$5,MAX(0,P$3+ROUND((P$9*($L422-P$5)),0)),IF($L422&gt;P$4,P$3,ROUND($L422*P$7,0)))</f>
        <v/>
      </c>
      <c r="F422" s="447">
        <f>IF($L422&gt;Q$5,MAX(0,Q$3+ROUND((Q$9*($L422-Q$5)),0)),IF($L422&gt;Q$4,Q$3,ROUND($L422*Q$7,0)))</f>
        <v/>
      </c>
      <c r="G422" s="1378">
        <f>IF($L422&gt;R$5,MAX(0,R$3+ROUND((R$9*($L422-R$5)),0)),IF($L422&gt;R$4,R$3,ROUND($L422*R$7,0)))</f>
        <v/>
      </c>
      <c r="H422" s="448">
        <f>IF($L422&gt;S$5,MAX(0,S$3+ROUND((S$9*($L422-S$5)),0)),IF($L422&gt;S$4,S$3,ROUND($L422*S$7,0)))</f>
        <v/>
      </c>
      <c r="I422" s="448">
        <f>IF($L422&gt;T$5,MAX(0,T$3+ROUND((T$9*($L422-T$5)),0)),IF($L422&gt;T$4,T$3,ROUND($L422*T$7,0)))</f>
        <v/>
      </c>
      <c r="J422" s="447">
        <f>IF($L422&gt;U$5,MAX(0,U$3+ROUND((U$9*($L422-U$5)),0)),IF($L422&gt;U$4,U$3,ROUND($L422*U$7,0)))</f>
        <v/>
      </c>
      <c r="K422" s="422" t="n"/>
      <c r="L422" s="448">
        <f>ROUND((A422+B422)/2,2)</f>
        <v/>
      </c>
    </row>
    <row r="423" ht="13.5" customHeight="1" s="7635">
      <c r="A423" s="448" t="n">
        <v>20950</v>
      </c>
      <c r="B423" s="447" t="n">
        <v>21000</v>
      </c>
      <c r="C423" s="1378">
        <f>IF($L423&gt;N$5,MAX(0,N$3+ROUND((N$9*($L423-N$5)),0)),IF($L423&gt;N$4,N$3,ROUND($L423*N$7,0)))</f>
        <v/>
      </c>
      <c r="D423" s="448">
        <f>IF($L423&gt;O$5,MAX(0,O$3+ROUND((O$9*($L423-O$5)),0)),IF($L423&gt;O$4,O$3,ROUND($L423*O$7,0)))</f>
        <v/>
      </c>
      <c r="E423" s="448">
        <f>IF($L423&gt;P$5,MAX(0,P$3+ROUND((P$9*($L423-P$5)),0)),IF($L423&gt;P$4,P$3,ROUND($L423*P$7,0)))</f>
        <v/>
      </c>
      <c r="F423" s="447">
        <f>IF($L423&gt;Q$5,MAX(0,Q$3+ROUND((Q$9*($L423-Q$5)),0)),IF($L423&gt;Q$4,Q$3,ROUND($L423*Q$7,0)))</f>
        <v/>
      </c>
      <c r="G423" s="1378">
        <f>IF($L423&gt;R$5,MAX(0,R$3+ROUND((R$9*($L423-R$5)),0)),IF($L423&gt;R$4,R$3,ROUND($L423*R$7,0)))</f>
        <v/>
      </c>
      <c r="H423" s="448">
        <f>IF($L423&gt;S$5,MAX(0,S$3+ROUND((S$9*($L423-S$5)),0)),IF($L423&gt;S$4,S$3,ROUND($L423*S$7,0)))</f>
        <v/>
      </c>
      <c r="I423" s="448">
        <f>IF($L423&gt;T$5,MAX(0,T$3+ROUND((T$9*($L423-T$5)),0)),IF($L423&gt;T$4,T$3,ROUND($L423*T$7,0)))</f>
        <v/>
      </c>
      <c r="J423" s="447">
        <f>IF($L423&gt;U$5,MAX(0,U$3+ROUND((U$9*($L423-U$5)),0)),IF($L423&gt;U$4,U$3,ROUND($L423*U$7,0)))</f>
        <v/>
      </c>
      <c r="K423" s="422" t="n"/>
      <c r="L423" s="448">
        <f>ROUND((A423+B423)/2,2)</f>
        <v/>
      </c>
    </row>
    <row r="424" ht="13.5" customHeight="1" s="7635">
      <c r="A424" s="448" t="n">
        <v>21000</v>
      </c>
      <c r="B424" s="447" t="n">
        <v>21050</v>
      </c>
      <c r="C424" s="1378">
        <f>IF($L424&gt;N$5,MAX(0,N$3+ROUND((N$9*($L424-N$5)),0)),IF($L424&gt;N$4,N$3,ROUND($L424*N$7,0)))</f>
        <v/>
      </c>
      <c r="D424" s="448">
        <f>IF($L424&gt;O$5,MAX(0,O$3+ROUND((O$9*($L424-O$5)),0)),IF($L424&gt;O$4,O$3,ROUND($L424*O$7,0)))</f>
        <v/>
      </c>
      <c r="E424" s="448">
        <f>IF($L424&gt;P$5,MAX(0,P$3+ROUND((P$9*($L424-P$5)),0)),IF($L424&gt;P$4,P$3,ROUND($L424*P$7,0)))</f>
        <v/>
      </c>
      <c r="F424" s="447">
        <f>IF($L424&gt;Q$5,MAX(0,Q$3+ROUND((Q$9*($L424-Q$5)),0)),IF($L424&gt;Q$4,Q$3,ROUND($L424*Q$7,0)))</f>
        <v/>
      </c>
      <c r="G424" s="1378">
        <f>IF($L424&gt;R$5,MAX(0,R$3+ROUND((R$9*($L424-R$5)),0)),IF($L424&gt;R$4,R$3,ROUND($L424*R$7,0)))</f>
        <v/>
      </c>
      <c r="H424" s="448">
        <f>IF($L424&gt;S$5,MAX(0,S$3+ROUND((S$9*($L424-S$5)),0)),IF($L424&gt;S$4,S$3,ROUND($L424*S$7,0)))</f>
        <v/>
      </c>
      <c r="I424" s="448">
        <f>IF($L424&gt;T$5,MAX(0,T$3+ROUND((T$9*($L424-T$5)),0)),IF($L424&gt;T$4,T$3,ROUND($L424*T$7,0)))</f>
        <v/>
      </c>
      <c r="J424" s="447">
        <f>IF($L424&gt;U$5,MAX(0,U$3+ROUND((U$9*($L424-U$5)),0)),IF($L424&gt;U$4,U$3,ROUND($L424*U$7,0)))</f>
        <v/>
      </c>
      <c r="K424" s="422" t="n"/>
      <c r="L424" s="448">
        <f>ROUND((A424+B424)/2,2)</f>
        <v/>
      </c>
    </row>
    <row r="425" ht="13.5" customHeight="1" s="7635">
      <c r="A425" s="448" t="n">
        <v>21050</v>
      </c>
      <c r="B425" s="447" t="n">
        <v>21100</v>
      </c>
      <c r="C425" s="1378">
        <f>IF($L425&gt;N$5,MAX(0,N$3+ROUND((N$9*($L425-N$5)),0)),IF($L425&gt;N$4,N$3,ROUND($L425*N$7,0)))</f>
        <v/>
      </c>
      <c r="D425" s="448">
        <f>IF($L425&gt;O$5,MAX(0,O$3+ROUND((O$9*($L425-O$5)),0)),IF($L425&gt;O$4,O$3,ROUND($L425*O$7,0)))</f>
        <v/>
      </c>
      <c r="E425" s="448">
        <f>IF($L425&gt;P$5,MAX(0,P$3+ROUND((P$9*($L425-P$5)),0)),IF($L425&gt;P$4,P$3,ROUND($L425*P$7,0)))</f>
        <v/>
      </c>
      <c r="F425" s="447">
        <f>IF($L425&gt;Q$5,MAX(0,Q$3+ROUND((Q$9*($L425-Q$5)),0)),IF($L425&gt;Q$4,Q$3,ROUND($L425*Q$7,0)))</f>
        <v/>
      </c>
      <c r="G425" s="1378">
        <f>IF($L425&gt;R$5,MAX(0,R$3+ROUND((R$9*($L425-R$5)),0)),IF($L425&gt;R$4,R$3,ROUND($L425*R$7,0)))</f>
        <v/>
      </c>
      <c r="H425" s="448">
        <f>IF($L425&gt;S$5,MAX(0,S$3+ROUND((S$9*($L425-S$5)),0)),IF($L425&gt;S$4,S$3,ROUND($L425*S$7,0)))</f>
        <v/>
      </c>
      <c r="I425" s="448">
        <f>IF($L425&gt;T$5,MAX(0,T$3+ROUND((T$9*($L425-T$5)),0)),IF($L425&gt;T$4,T$3,ROUND($L425*T$7,0)))</f>
        <v/>
      </c>
      <c r="J425" s="447">
        <f>IF($L425&gt;U$5,MAX(0,U$3+ROUND((U$9*($L425-U$5)),0)),IF($L425&gt;U$4,U$3,ROUND($L425*U$7,0)))</f>
        <v/>
      </c>
      <c r="K425" s="422" t="n"/>
      <c r="L425" s="448">
        <f>ROUND((A425+B425)/2,2)</f>
        <v/>
      </c>
    </row>
    <row r="426" ht="13.5" customHeight="1" s="7635">
      <c r="A426" s="448" t="n">
        <v>21100</v>
      </c>
      <c r="B426" s="447" t="n">
        <v>21150</v>
      </c>
      <c r="C426" s="1378">
        <f>IF($L426&gt;N$5,MAX(0,N$3+ROUND((N$9*($L426-N$5)),0)),IF($L426&gt;N$4,N$3,ROUND($L426*N$7,0)))</f>
        <v/>
      </c>
      <c r="D426" s="448">
        <f>IF($L426&gt;O$5,MAX(0,O$3+ROUND((O$9*($L426-O$5)),0)),IF($L426&gt;O$4,O$3,ROUND($L426*O$7,0)))</f>
        <v/>
      </c>
      <c r="E426" s="448">
        <f>IF($L426&gt;P$5,MAX(0,P$3+ROUND((P$9*($L426-P$5)),0)),IF($L426&gt;P$4,P$3,ROUND($L426*P$7,0)))</f>
        <v/>
      </c>
      <c r="F426" s="447">
        <f>IF($L426&gt;Q$5,MAX(0,Q$3+ROUND((Q$9*($L426-Q$5)),0)),IF($L426&gt;Q$4,Q$3,ROUND($L426*Q$7,0)))</f>
        <v/>
      </c>
      <c r="G426" s="1378">
        <f>IF($L426&gt;R$5,MAX(0,R$3+ROUND((R$9*($L426-R$5)),0)),IF($L426&gt;R$4,R$3,ROUND($L426*R$7,0)))</f>
        <v/>
      </c>
      <c r="H426" s="448">
        <f>IF($L426&gt;S$5,MAX(0,S$3+ROUND((S$9*($L426-S$5)),0)),IF($L426&gt;S$4,S$3,ROUND($L426*S$7,0)))</f>
        <v/>
      </c>
      <c r="I426" s="448">
        <f>IF($L426&gt;T$5,MAX(0,T$3+ROUND((T$9*($L426-T$5)),0)),IF($L426&gt;T$4,T$3,ROUND($L426*T$7,0)))</f>
        <v/>
      </c>
      <c r="J426" s="447">
        <f>IF($L426&gt;U$5,MAX(0,U$3+ROUND((U$9*($L426-U$5)),0)),IF($L426&gt;U$4,U$3,ROUND($L426*U$7,0)))</f>
        <v/>
      </c>
      <c r="K426" s="422" t="n"/>
      <c r="L426" s="448">
        <f>ROUND((A426+B426)/2,2)</f>
        <v/>
      </c>
    </row>
    <row r="427" ht="13.5" customHeight="1" s="7635">
      <c r="A427" s="448" t="n">
        <v>21150</v>
      </c>
      <c r="B427" s="447" t="n">
        <v>21200</v>
      </c>
      <c r="C427" s="1378">
        <f>IF($L427&gt;N$5,MAX(0,N$3+ROUND((N$9*($L427-N$5)),0)),IF($L427&gt;N$4,N$3,ROUND($L427*N$7,0)))</f>
        <v/>
      </c>
      <c r="D427" s="448">
        <f>IF($L427&gt;O$5,MAX(0,O$3+ROUND((O$9*($L427-O$5)),0)),IF($L427&gt;O$4,O$3,ROUND($L427*O$7,0)))</f>
        <v/>
      </c>
      <c r="E427" s="448">
        <f>IF($L427&gt;P$5,MAX(0,P$3+ROUND((P$9*($L427-P$5)),0)),IF($L427&gt;P$4,P$3,ROUND($L427*P$7,0)))</f>
        <v/>
      </c>
      <c r="F427" s="447">
        <f>IF($L427&gt;Q$5,MAX(0,Q$3+ROUND((Q$9*($L427-Q$5)),0)),IF($L427&gt;Q$4,Q$3,ROUND($L427*Q$7,0)))</f>
        <v/>
      </c>
      <c r="G427" s="1378">
        <f>IF($L427&gt;R$5,MAX(0,R$3+ROUND((R$9*($L427-R$5)),0)),IF($L427&gt;R$4,R$3,ROUND($L427*R$7,0)))</f>
        <v/>
      </c>
      <c r="H427" s="448">
        <f>IF($L427&gt;S$5,MAX(0,S$3+ROUND((S$9*($L427-S$5)),0)),IF($L427&gt;S$4,S$3,ROUND($L427*S$7,0)))</f>
        <v/>
      </c>
      <c r="I427" s="448">
        <f>IF($L427&gt;T$5,MAX(0,T$3+ROUND((T$9*($L427-T$5)),0)),IF($L427&gt;T$4,T$3,ROUND($L427*T$7,0)))</f>
        <v/>
      </c>
      <c r="J427" s="447">
        <f>IF($L427&gt;U$5,MAX(0,U$3+ROUND((U$9*($L427-U$5)),0)),IF($L427&gt;U$4,U$3,ROUND($L427*U$7,0)))</f>
        <v/>
      </c>
      <c r="K427" s="422" t="n"/>
      <c r="L427" s="448">
        <f>ROUND((A427+B427)/2,2)</f>
        <v/>
      </c>
    </row>
    <row r="428" ht="13.5" customHeight="1" s="7635">
      <c r="A428" s="448" t="n">
        <v>21200</v>
      </c>
      <c r="B428" s="447" t="n">
        <v>21250</v>
      </c>
      <c r="C428" s="1378">
        <f>IF($L428&gt;N$5,MAX(0,N$3+ROUND((N$9*($L428-N$5)),0)),IF($L428&gt;N$4,N$3,ROUND($L428*N$7,0)))</f>
        <v/>
      </c>
      <c r="D428" s="448">
        <f>IF($L428&gt;O$5,MAX(0,O$3+ROUND((O$9*($L428-O$5)),0)),IF($L428&gt;O$4,O$3,ROUND($L428*O$7,0)))</f>
        <v/>
      </c>
      <c r="E428" s="448">
        <f>IF($L428&gt;P$5,MAX(0,P$3+ROUND((P$9*($L428-P$5)),0)),IF($L428&gt;P$4,P$3,ROUND($L428*P$7,0)))</f>
        <v/>
      </c>
      <c r="F428" s="447">
        <f>IF($L428&gt;Q$5,MAX(0,Q$3+ROUND((Q$9*($L428-Q$5)),0)),IF($L428&gt;Q$4,Q$3,ROUND($L428*Q$7,0)))</f>
        <v/>
      </c>
      <c r="G428" s="1378">
        <f>IF($L428&gt;R$5,MAX(0,R$3+ROUND((R$9*($L428-R$5)),0)),IF($L428&gt;R$4,R$3,ROUND($L428*R$7,0)))</f>
        <v/>
      </c>
      <c r="H428" s="448">
        <f>IF($L428&gt;S$5,MAX(0,S$3+ROUND((S$9*($L428-S$5)),0)),IF($L428&gt;S$4,S$3,ROUND($L428*S$7,0)))</f>
        <v/>
      </c>
      <c r="I428" s="448">
        <f>IF($L428&gt;T$5,MAX(0,T$3+ROUND((T$9*($L428-T$5)),0)),IF($L428&gt;T$4,T$3,ROUND($L428*T$7,0)))</f>
        <v/>
      </c>
      <c r="J428" s="447">
        <f>IF($L428&gt;U$5,MAX(0,U$3+ROUND((U$9*($L428-U$5)),0)),IF($L428&gt;U$4,U$3,ROUND($L428*U$7,0)))</f>
        <v/>
      </c>
      <c r="K428" s="422" t="n"/>
      <c r="L428" s="448">
        <f>ROUND((A428+B428)/2,2)</f>
        <v/>
      </c>
    </row>
    <row r="429" ht="13.5" customHeight="1" s="7635">
      <c r="A429" s="448" t="n">
        <v>21250</v>
      </c>
      <c r="B429" s="447" t="n">
        <v>21300</v>
      </c>
      <c r="C429" s="1378">
        <f>IF($L429&gt;N$5,MAX(0,N$3+ROUND((N$9*($L429-N$5)),0)),IF($L429&gt;N$4,N$3,ROUND($L429*N$7,0)))</f>
        <v/>
      </c>
      <c r="D429" s="448">
        <f>IF($L429&gt;O$5,MAX(0,O$3+ROUND((O$9*($L429-O$5)),0)),IF($L429&gt;O$4,O$3,ROUND($L429*O$7,0)))</f>
        <v/>
      </c>
      <c r="E429" s="448">
        <f>IF($L429&gt;P$5,MAX(0,P$3+ROUND((P$9*($L429-P$5)),0)),IF($L429&gt;P$4,P$3,ROUND($L429*P$7,0)))</f>
        <v/>
      </c>
      <c r="F429" s="447">
        <f>IF($L429&gt;Q$5,MAX(0,Q$3+ROUND((Q$9*($L429-Q$5)),0)),IF($L429&gt;Q$4,Q$3,ROUND($L429*Q$7,0)))</f>
        <v/>
      </c>
      <c r="G429" s="1378">
        <f>IF($L429&gt;R$5,MAX(0,R$3+ROUND((R$9*($L429-R$5)),0)),IF($L429&gt;R$4,R$3,ROUND($L429*R$7,0)))</f>
        <v/>
      </c>
      <c r="H429" s="448">
        <f>IF($L429&gt;S$5,MAX(0,S$3+ROUND((S$9*($L429-S$5)),0)),IF($L429&gt;S$4,S$3,ROUND($L429*S$7,0)))</f>
        <v/>
      </c>
      <c r="I429" s="448">
        <f>IF($L429&gt;T$5,MAX(0,T$3+ROUND((T$9*($L429-T$5)),0)),IF($L429&gt;T$4,T$3,ROUND($L429*T$7,0)))</f>
        <v/>
      </c>
      <c r="J429" s="447">
        <f>IF($L429&gt;U$5,MAX(0,U$3+ROUND((U$9*($L429-U$5)),0)),IF($L429&gt;U$4,U$3,ROUND($L429*U$7,0)))</f>
        <v/>
      </c>
      <c r="K429" s="422" t="n"/>
      <c r="L429" s="448">
        <f>ROUND((A429+B429)/2,2)</f>
        <v/>
      </c>
    </row>
    <row r="430" ht="13.5" customHeight="1" s="7635">
      <c r="A430" s="448" t="n">
        <v>21300</v>
      </c>
      <c r="B430" s="447" t="n">
        <v>21350</v>
      </c>
      <c r="C430" s="1378">
        <f>IF($L430&gt;N$5,MAX(0,N$3+ROUND((N$9*($L430-N$5)),0)),IF($L430&gt;N$4,N$3,ROUND($L430*N$7,0)))</f>
        <v/>
      </c>
      <c r="D430" s="448">
        <f>IF($L430&gt;O$5,MAX(0,O$3+ROUND((O$9*($L430-O$5)),0)),IF($L430&gt;O$4,O$3,ROUND($L430*O$7,0)))</f>
        <v/>
      </c>
      <c r="E430" s="448">
        <f>IF($L430&gt;P$5,MAX(0,P$3+ROUND((P$9*($L430-P$5)),0)),IF($L430&gt;P$4,P$3,ROUND($L430*P$7,0)))</f>
        <v/>
      </c>
      <c r="F430" s="447">
        <f>IF($L430&gt;Q$5,MAX(0,Q$3+ROUND((Q$9*($L430-Q$5)),0)),IF($L430&gt;Q$4,Q$3,ROUND($L430*Q$7,0)))</f>
        <v/>
      </c>
      <c r="G430" s="1378">
        <f>IF($L430&gt;R$5,MAX(0,R$3+ROUND((R$9*($L430-R$5)),0)),IF($L430&gt;R$4,R$3,ROUND($L430*R$7,0)))</f>
        <v/>
      </c>
      <c r="H430" s="448">
        <f>IF($L430&gt;S$5,MAX(0,S$3+ROUND((S$9*($L430-S$5)),0)),IF($L430&gt;S$4,S$3,ROUND($L430*S$7,0)))</f>
        <v/>
      </c>
      <c r="I430" s="448">
        <f>IF($L430&gt;T$5,MAX(0,T$3+ROUND((T$9*($L430-T$5)),0)),IF($L430&gt;T$4,T$3,ROUND($L430*T$7,0)))</f>
        <v/>
      </c>
      <c r="J430" s="447">
        <f>IF($L430&gt;U$5,MAX(0,U$3+ROUND((U$9*($L430-U$5)),0)),IF($L430&gt;U$4,U$3,ROUND($L430*U$7,0)))</f>
        <v/>
      </c>
      <c r="K430" s="422" t="n"/>
      <c r="L430" s="448">
        <f>ROUND((A430+B430)/2,2)</f>
        <v/>
      </c>
    </row>
    <row r="431" ht="13.5" customHeight="1" s="7635">
      <c r="A431" s="448" t="n">
        <v>21350</v>
      </c>
      <c r="B431" s="447" t="n">
        <v>21400</v>
      </c>
      <c r="C431" s="1378">
        <f>IF($L431&gt;N$5,MAX(0,N$3+ROUND((N$9*($L431-N$5)),0)),IF($L431&gt;N$4,N$3,ROUND($L431*N$7,0)))</f>
        <v/>
      </c>
      <c r="D431" s="448">
        <f>IF($L431&gt;O$5,MAX(0,O$3+ROUND((O$9*($L431-O$5)),0)),IF($L431&gt;O$4,O$3,ROUND($L431*O$7,0)))</f>
        <v/>
      </c>
      <c r="E431" s="448">
        <f>IF($L431&gt;P$5,MAX(0,P$3+ROUND((P$9*($L431-P$5)),0)),IF($L431&gt;P$4,P$3,ROUND($L431*P$7,0)))</f>
        <v/>
      </c>
      <c r="F431" s="447">
        <f>IF($L431&gt;Q$5,MAX(0,Q$3+ROUND((Q$9*($L431-Q$5)),0)),IF($L431&gt;Q$4,Q$3,ROUND($L431*Q$7,0)))</f>
        <v/>
      </c>
      <c r="G431" s="1378">
        <f>IF($L431&gt;R$5,MAX(0,R$3+ROUND((R$9*($L431-R$5)),0)),IF($L431&gt;R$4,R$3,ROUND($L431*R$7,0)))</f>
        <v/>
      </c>
      <c r="H431" s="448">
        <f>IF($L431&gt;S$5,MAX(0,S$3+ROUND((S$9*($L431-S$5)),0)),IF($L431&gt;S$4,S$3,ROUND($L431*S$7,0)))</f>
        <v/>
      </c>
      <c r="I431" s="448">
        <f>IF($L431&gt;T$5,MAX(0,T$3+ROUND((T$9*($L431-T$5)),0)),IF($L431&gt;T$4,T$3,ROUND($L431*T$7,0)))</f>
        <v/>
      </c>
      <c r="J431" s="447">
        <f>IF($L431&gt;U$5,MAX(0,U$3+ROUND((U$9*($L431-U$5)),0)),IF($L431&gt;U$4,U$3,ROUND($L431*U$7,0)))</f>
        <v/>
      </c>
      <c r="K431" s="422" t="n"/>
      <c r="L431" s="448">
        <f>ROUND((A431+B431)/2,2)</f>
        <v/>
      </c>
    </row>
    <row r="432" ht="13.5" customHeight="1" s="7635">
      <c r="A432" s="448" t="n">
        <v>21400</v>
      </c>
      <c r="B432" s="447" t="n">
        <v>21450</v>
      </c>
      <c r="C432" s="1378">
        <f>IF($L432&gt;N$5,MAX(0,N$3+ROUND((N$9*($L432-N$5)),0)),IF($L432&gt;N$4,N$3,ROUND($L432*N$7,0)))</f>
        <v/>
      </c>
      <c r="D432" s="448">
        <f>IF($L432&gt;O$5,MAX(0,O$3+ROUND((O$9*($L432-O$5)),0)),IF($L432&gt;O$4,O$3,ROUND($L432*O$7,0)))</f>
        <v/>
      </c>
      <c r="E432" s="448">
        <f>IF($L432&gt;P$5,MAX(0,P$3+ROUND((P$9*($L432-P$5)),0)),IF($L432&gt;P$4,P$3,ROUND($L432*P$7,0)))</f>
        <v/>
      </c>
      <c r="F432" s="447">
        <f>IF($L432&gt;Q$5,MAX(0,Q$3+ROUND((Q$9*($L432-Q$5)),0)),IF($L432&gt;Q$4,Q$3,ROUND($L432*Q$7,0)))</f>
        <v/>
      </c>
      <c r="G432" s="1378">
        <f>IF($L432&gt;R$5,MAX(0,R$3+ROUND((R$9*($L432-R$5)),0)),IF($L432&gt;R$4,R$3,ROUND($L432*R$7,0)))</f>
        <v/>
      </c>
      <c r="H432" s="448">
        <f>IF($L432&gt;S$5,MAX(0,S$3+ROUND((S$9*($L432-S$5)),0)),IF($L432&gt;S$4,S$3,ROUND($L432*S$7,0)))</f>
        <v/>
      </c>
      <c r="I432" s="448">
        <f>IF($L432&gt;T$5,MAX(0,T$3+ROUND((T$9*($L432-T$5)),0)),IF($L432&gt;T$4,T$3,ROUND($L432*T$7,0)))</f>
        <v/>
      </c>
      <c r="J432" s="447">
        <f>IF($L432&gt;U$5,MAX(0,U$3+ROUND((U$9*($L432-U$5)),0)),IF($L432&gt;U$4,U$3,ROUND($L432*U$7,0)))</f>
        <v/>
      </c>
      <c r="K432" s="422" t="n"/>
      <c r="L432" s="448">
        <f>ROUND((A432+B432)/2,2)</f>
        <v/>
      </c>
    </row>
    <row r="433" ht="13.5" customHeight="1" s="7635">
      <c r="A433" s="448" t="n">
        <v>21450</v>
      </c>
      <c r="B433" s="447" t="n">
        <v>21500</v>
      </c>
      <c r="C433" s="1378">
        <f>IF($L433&gt;N$5,MAX(0,N$3+ROUND((N$9*($L433-N$5)),0)),IF($L433&gt;N$4,N$3,ROUND($L433*N$7,0)))</f>
        <v/>
      </c>
      <c r="D433" s="448">
        <f>IF($L433&gt;O$5,MAX(0,O$3+ROUND((O$9*($L433-O$5)),0)),IF($L433&gt;O$4,O$3,ROUND($L433*O$7,0)))</f>
        <v/>
      </c>
      <c r="E433" s="448">
        <f>IF($L433&gt;P$5,MAX(0,P$3+ROUND((P$9*($L433-P$5)),0)),IF($L433&gt;P$4,P$3,ROUND($L433*P$7,0)))</f>
        <v/>
      </c>
      <c r="F433" s="447">
        <f>IF($L433&gt;Q$5,MAX(0,Q$3+ROUND((Q$9*($L433-Q$5)),0)),IF($L433&gt;Q$4,Q$3,ROUND($L433*Q$7,0)))</f>
        <v/>
      </c>
      <c r="G433" s="1378">
        <f>IF($L433&gt;R$5,MAX(0,R$3+ROUND((R$9*($L433-R$5)),0)),IF($L433&gt;R$4,R$3,ROUND($L433*R$7,0)))</f>
        <v/>
      </c>
      <c r="H433" s="448">
        <f>IF($L433&gt;S$5,MAX(0,S$3+ROUND((S$9*($L433-S$5)),0)),IF($L433&gt;S$4,S$3,ROUND($L433*S$7,0)))</f>
        <v/>
      </c>
      <c r="I433" s="448">
        <f>IF($L433&gt;T$5,MAX(0,T$3+ROUND((T$9*($L433-T$5)),0)),IF($L433&gt;T$4,T$3,ROUND($L433*T$7,0)))</f>
        <v/>
      </c>
      <c r="J433" s="447">
        <f>IF($L433&gt;U$5,MAX(0,U$3+ROUND((U$9*($L433-U$5)),0)),IF($L433&gt;U$4,U$3,ROUND($L433*U$7,0)))</f>
        <v/>
      </c>
      <c r="K433" s="422" t="n"/>
      <c r="L433" s="448">
        <f>ROUND((A433+B433)/2,2)</f>
        <v/>
      </c>
    </row>
    <row r="434" ht="13.5" customHeight="1" s="7635">
      <c r="A434" s="448" t="n">
        <v>21500</v>
      </c>
      <c r="B434" s="447" t="n">
        <v>21550</v>
      </c>
      <c r="C434" s="1378">
        <f>IF($L434&gt;N$5,MAX(0,N$3+ROUND((N$9*($L434-N$5)),0)),IF($L434&gt;N$4,N$3,ROUND($L434*N$7,0)))</f>
        <v/>
      </c>
      <c r="D434" s="448">
        <f>IF($L434&gt;O$5,MAX(0,O$3+ROUND((O$9*($L434-O$5)),0)),IF($L434&gt;O$4,O$3,ROUND($L434*O$7,0)))</f>
        <v/>
      </c>
      <c r="E434" s="448">
        <f>IF($L434&gt;P$5,MAX(0,P$3+ROUND((P$9*($L434-P$5)),0)),IF($L434&gt;P$4,P$3,ROUND($L434*P$7,0)))</f>
        <v/>
      </c>
      <c r="F434" s="447">
        <f>IF($L434&gt;Q$5,MAX(0,Q$3+ROUND((Q$9*($L434-Q$5)),0)),IF($L434&gt;Q$4,Q$3,ROUND($L434*Q$7,0)))</f>
        <v/>
      </c>
      <c r="G434" s="1378">
        <f>IF($L434&gt;R$5,MAX(0,R$3+ROUND((R$9*($L434-R$5)),0)),IF($L434&gt;R$4,R$3,ROUND($L434*R$7,0)))</f>
        <v/>
      </c>
      <c r="H434" s="448">
        <f>IF($L434&gt;S$5,MAX(0,S$3+ROUND((S$9*($L434-S$5)),0)),IF($L434&gt;S$4,S$3,ROUND($L434*S$7,0)))</f>
        <v/>
      </c>
      <c r="I434" s="448">
        <f>IF($L434&gt;T$5,MAX(0,T$3+ROUND((T$9*($L434-T$5)),0)),IF($L434&gt;T$4,T$3,ROUND($L434*T$7,0)))</f>
        <v/>
      </c>
      <c r="J434" s="447">
        <f>IF($L434&gt;U$5,MAX(0,U$3+ROUND((U$9*($L434-U$5)),0)),IF($L434&gt;U$4,U$3,ROUND($L434*U$7,0)))</f>
        <v/>
      </c>
      <c r="K434" s="422" t="n"/>
      <c r="L434" s="448">
        <f>ROUND((A434+B434)/2,2)</f>
        <v/>
      </c>
    </row>
    <row r="435" ht="13.5" customHeight="1" s="7635">
      <c r="A435" s="448" t="n">
        <v>21550</v>
      </c>
      <c r="B435" s="447" t="n">
        <v>21600</v>
      </c>
      <c r="C435" s="1378">
        <f>IF($L435&gt;N$5,MAX(0,N$3+ROUND((N$9*($L435-N$5)),0)),IF($L435&gt;N$4,N$3,ROUND($L435*N$7,0)))</f>
        <v/>
      </c>
      <c r="D435" s="448">
        <f>IF($L435&gt;O$5,MAX(0,O$3+ROUND((O$9*($L435-O$5)),0)),IF($L435&gt;O$4,O$3,ROUND($L435*O$7,0)))</f>
        <v/>
      </c>
      <c r="E435" s="448">
        <f>IF($L435&gt;P$5,MAX(0,P$3+ROUND((P$9*($L435-P$5)),0)),IF($L435&gt;P$4,P$3,ROUND($L435*P$7,0)))</f>
        <v/>
      </c>
      <c r="F435" s="447">
        <f>IF($L435&gt;Q$5,MAX(0,Q$3+ROUND((Q$9*($L435-Q$5)),0)),IF($L435&gt;Q$4,Q$3,ROUND($L435*Q$7,0)))</f>
        <v/>
      </c>
      <c r="G435" s="1378">
        <f>IF($L435&gt;R$5,MAX(0,R$3+ROUND((R$9*($L435-R$5)),0)),IF($L435&gt;R$4,R$3,ROUND($L435*R$7,0)))</f>
        <v/>
      </c>
      <c r="H435" s="448">
        <f>IF($L435&gt;S$5,MAX(0,S$3+ROUND((S$9*($L435-S$5)),0)),IF($L435&gt;S$4,S$3,ROUND($L435*S$7,0)))</f>
        <v/>
      </c>
      <c r="I435" s="448">
        <f>IF($L435&gt;T$5,MAX(0,T$3+ROUND((T$9*($L435-T$5)),0)),IF($L435&gt;T$4,T$3,ROUND($L435*T$7,0)))</f>
        <v/>
      </c>
      <c r="J435" s="447">
        <f>IF($L435&gt;U$5,MAX(0,U$3+ROUND((U$9*($L435-U$5)),0)),IF($L435&gt;U$4,U$3,ROUND($L435*U$7,0)))</f>
        <v/>
      </c>
      <c r="K435" s="422" t="n"/>
      <c r="L435" s="448">
        <f>ROUND((A435+B435)/2,2)</f>
        <v/>
      </c>
    </row>
    <row r="436" ht="13.5" customHeight="1" s="7635">
      <c r="A436" s="448" t="n">
        <v>21600</v>
      </c>
      <c r="B436" s="447" t="n">
        <v>21650</v>
      </c>
      <c r="C436" s="1378">
        <f>IF($L436&gt;N$5,MAX(0,N$3+ROUND((N$9*($L436-N$5)),0)),IF($L436&gt;N$4,N$3,ROUND($L436*N$7,0)))</f>
        <v/>
      </c>
      <c r="D436" s="448">
        <f>IF($L436&gt;O$5,MAX(0,O$3+ROUND((O$9*($L436-O$5)),0)),IF($L436&gt;O$4,O$3,ROUND($L436*O$7,0)))</f>
        <v/>
      </c>
      <c r="E436" s="448">
        <f>IF($L436&gt;P$5,MAX(0,P$3+ROUND((P$9*($L436-P$5)),0)),IF($L436&gt;P$4,P$3,ROUND($L436*P$7,0)))</f>
        <v/>
      </c>
      <c r="F436" s="447">
        <f>IF($L436&gt;Q$5,MAX(0,Q$3+ROUND((Q$9*($L436-Q$5)),0)),IF($L436&gt;Q$4,Q$3,ROUND($L436*Q$7,0)))</f>
        <v/>
      </c>
      <c r="G436" s="1378">
        <f>IF($L436&gt;R$5,MAX(0,R$3+ROUND((R$9*($L436-R$5)),0)),IF($L436&gt;R$4,R$3,ROUND($L436*R$7,0)))</f>
        <v/>
      </c>
      <c r="H436" s="448">
        <f>IF($L436&gt;S$5,MAX(0,S$3+ROUND((S$9*($L436-S$5)),0)),IF($L436&gt;S$4,S$3,ROUND($L436*S$7,0)))</f>
        <v/>
      </c>
      <c r="I436" s="448">
        <f>IF($L436&gt;T$5,MAX(0,T$3+ROUND((T$9*($L436-T$5)),0)),IF($L436&gt;T$4,T$3,ROUND($L436*T$7,0)))</f>
        <v/>
      </c>
      <c r="J436" s="447">
        <f>IF($L436&gt;U$5,MAX(0,U$3+ROUND((U$9*($L436-U$5)),0)),IF($L436&gt;U$4,U$3,ROUND($L436*U$7,0)))</f>
        <v/>
      </c>
      <c r="K436" s="422" t="n"/>
      <c r="L436" s="448">
        <f>ROUND((A436+B436)/2,2)</f>
        <v/>
      </c>
    </row>
    <row r="437" ht="13.5" customHeight="1" s="7635">
      <c r="A437" s="448" t="n">
        <v>21650</v>
      </c>
      <c r="B437" s="447" t="n">
        <v>21700</v>
      </c>
      <c r="C437" s="1378">
        <f>IF($L437&gt;N$5,MAX(0,N$3+ROUND((N$9*($L437-N$5)),0)),IF($L437&gt;N$4,N$3,ROUND($L437*N$7,0)))</f>
        <v/>
      </c>
      <c r="D437" s="448">
        <f>IF($L437&gt;O$5,MAX(0,O$3+ROUND((O$9*($L437-O$5)),0)),IF($L437&gt;O$4,O$3,ROUND($L437*O$7,0)))</f>
        <v/>
      </c>
      <c r="E437" s="448">
        <f>IF($L437&gt;P$5,MAX(0,P$3+ROUND((P$9*($L437-P$5)),0)),IF($L437&gt;P$4,P$3,ROUND($L437*P$7,0)))</f>
        <v/>
      </c>
      <c r="F437" s="447">
        <f>IF($L437&gt;Q$5,MAX(0,Q$3+ROUND((Q$9*($L437-Q$5)),0)),IF($L437&gt;Q$4,Q$3,ROUND($L437*Q$7,0)))</f>
        <v/>
      </c>
      <c r="G437" s="1378">
        <f>IF($L437&gt;R$5,MAX(0,R$3+ROUND((R$9*($L437-R$5)),0)),IF($L437&gt;R$4,R$3,ROUND($L437*R$7,0)))</f>
        <v/>
      </c>
      <c r="H437" s="448">
        <f>IF($L437&gt;S$5,MAX(0,S$3+ROUND((S$9*($L437-S$5)),0)),IF($L437&gt;S$4,S$3,ROUND($L437*S$7,0)))</f>
        <v/>
      </c>
      <c r="I437" s="448">
        <f>IF($L437&gt;T$5,MAX(0,T$3+ROUND((T$9*($L437-T$5)),0)),IF($L437&gt;T$4,T$3,ROUND($L437*T$7,0)))</f>
        <v/>
      </c>
      <c r="J437" s="447">
        <f>IF($L437&gt;U$5,MAX(0,U$3+ROUND((U$9*($L437-U$5)),0)),IF($L437&gt;U$4,U$3,ROUND($L437*U$7,0)))</f>
        <v/>
      </c>
      <c r="K437" s="422" t="n"/>
      <c r="L437" s="448">
        <f>ROUND((A437+B437)/2,2)</f>
        <v/>
      </c>
    </row>
    <row r="438" ht="13.5" customHeight="1" s="7635">
      <c r="A438" s="448" t="n">
        <v>21700</v>
      </c>
      <c r="B438" s="447" t="n">
        <v>21750</v>
      </c>
      <c r="C438" s="1378">
        <f>IF($L438&gt;N$5,MAX(0,N$3+ROUND((N$9*($L438-N$5)),0)),IF($L438&gt;N$4,N$3,ROUND($L438*N$7,0)))</f>
        <v/>
      </c>
      <c r="D438" s="448">
        <f>IF($L438&gt;O$5,MAX(0,O$3+ROUND((O$9*($L438-O$5)),0)),IF($L438&gt;O$4,O$3,ROUND($L438*O$7,0)))</f>
        <v/>
      </c>
      <c r="E438" s="448">
        <f>IF($L438&gt;P$5,MAX(0,P$3+ROUND((P$9*($L438-P$5)),0)),IF($L438&gt;P$4,P$3,ROUND($L438*P$7,0)))</f>
        <v/>
      </c>
      <c r="F438" s="447">
        <f>IF($L438&gt;Q$5,MAX(0,Q$3+ROUND((Q$9*($L438-Q$5)),0)),IF($L438&gt;Q$4,Q$3,ROUND($L438*Q$7,0)))</f>
        <v/>
      </c>
      <c r="G438" s="1378">
        <f>IF($L438&gt;R$5,MAX(0,R$3+ROUND((R$9*($L438-R$5)),0)),IF($L438&gt;R$4,R$3,ROUND($L438*R$7,0)))</f>
        <v/>
      </c>
      <c r="H438" s="448">
        <f>IF($L438&gt;S$5,MAX(0,S$3+ROUND((S$9*($L438-S$5)),0)),IF($L438&gt;S$4,S$3,ROUND($L438*S$7,0)))</f>
        <v/>
      </c>
      <c r="I438" s="448">
        <f>IF($L438&gt;T$5,MAX(0,T$3+ROUND((T$9*($L438-T$5)),0)),IF($L438&gt;T$4,T$3,ROUND($L438*T$7,0)))</f>
        <v/>
      </c>
      <c r="J438" s="447">
        <f>IF($L438&gt;U$5,MAX(0,U$3+ROUND((U$9*($L438-U$5)),0)),IF($L438&gt;U$4,U$3,ROUND($L438*U$7,0)))</f>
        <v/>
      </c>
      <c r="K438" s="422" t="n"/>
      <c r="L438" s="448">
        <f>ROUND((A438+B438)/2,2)</f>
        <v/>
      </c>
    </row>
    <row r="439" ht="13.5" customHeight="1" s="7635">
      <c r="A439" s="448" t="n">
        <v>21750</v>
      </c>
      <c r="B439" s="447" t="n">
        <v>21800</v>
      </c>
      <c r="C439" s="1378">
        <f>IF($L439&gt;N$5,MAX(0,N$3+ROUND((N$9*($L439-N$5)),0)),IF($L439&gt;N$4,N$3,ROUND($L439*N$7,0)))</f>
        <v/>
      </c>
      <c r="D439" s="448">
        <f>IF($L439&gt;O$5,MAX(0,O$3+ROUND((O$9*($L439-O$5)),0)),IF($L439&gt;O$4,O$3,ROUND($L439*O$7,0)))</f>
        <v/>
      </c>
      <c r="E439" s="448">
        <f>IF($L439&gt;P$5,MAX(0,P$3+ROUND((P$9*($L439-P$5)),0)),IF($L439&gt;P$4,P$3,ROUND($L439*P$7,0)))</f>
        <v/>
      </c>
      <c r="F439" s="447">
        <f>IF($L439&gt;Q$5,MAX(0,Q$3+ROUND((Q$9*($L439-Q$5)),0)),IF($L439&gt;Q$4,Q$3,ROUND($L439*Q$7,0)))</f>
        <v/>
      </c>
      <c r="G439" s="1378">
        <f>IF($L439&gt;R$5,MAX(0,R$3+ROUND((R$9*($L439-R$5)),0)),IF($L439&gt;R$4,R$3,ROUND($L439*R$7,0)))</f>
        <v/>
      </c>
      <c r="H439" s="448">
        <f>IF($L439&gt;S$5,MAX(0,S$3+ROUND((S$9*($L439-S$5)),0)),IF($L439&gt;S$4,S$3,ROUND($L439*S$7,0)))</f>
        <v/>
      </c>
      <c r="I439" s="448">
        <f>IF($L439&gt;T$5,MAX(0,T$3+ROUND((T$9*($L439-T$5)),0)),IF($L439&gt;T$4,T$3,ROUND($L439*T$7,0)))</f>
        <v/>
      </c>
      <c r="J439" s="447">
        <f>IF($L439&gt;U$5,MAX(0,U$3+ROUND((U$9*($L439-U$5)),0)),IF($L439&gt;U$4,U$3,ROUND($L439*U$7,0)))</f>
        <v/>
      </c>
      <c r="K439" s="422" t="n"/>
      <c r="L439" s="448">
        <f>ROUND((A439+B439)/2,2)</f>
        <v/>
      </c>
    </row>
    <row r="440" ht="13.5" customHeight="1" s="7635">
      <c r="A440" s="448" t="n">
        <v>21800</v>
      </c>
      <c r="B440" s="447" t="n">
        <v>21850</v>
      </c>
      <c r="C440" s="1378">
        <f>IF($L440&gt;N$5,MAX(0,N$3+ROUND((N$9*($L440-N$5)),0)),IF($L440&gt;N$4,N$3,ROUND($L440*N$7,0)))</f>
        <v/>
      </c>
      <c r="D440" s="448">
        <f>IF($L440&gt;O$5,MAX(0,O$3+ROUND((O$9*($L440-O$5)),0)),IF($L440&gt;O$4,O$3,ROUND($L440*O$7,0)))</f>
        <v/>
      </c>
      <c r="E440" s="448">
        <f>IF($L440&gt;P$5,MAX(0,P$3+ROUND((P$9*($L440-P$5)),0)),IF($L440&gt;P$4,P$3,ROUND($L440*P$7,0)))</f>
        <v/>
      </c>
      <c r="F440" s="447">
        <f>IF($L440&gt;Q$5,MAX(0,Q$3+ROUND((Q$9*($L440-Q$5)),0)),IF($L440&gt;Q$4,Q$3,ROUND($L440*Q$7,0)))</f>
        <v/>
      </c>
      <c r="G440" s="1378">
        <f>IF($L440&gt;R$5,MAX(0,R$3+ROUND((R$9*($L440-R$5)),0)),IF($L440&gt;R$4,R$3,ROUND($L440*R$7,0)))</f>
        <v/>
      </c>
      <c r="H440" s="448">
        <f>IF($L440&gt;S$5,MAX(0,S$3+ROUND((S$9*($L440-S$5)),0)),IF($L440&gt;S$4,S$3,ROUND($L440*S$7,0)))</f>
        <v/>
      </c>
      <c r="I440" s="448">
        <f>IF($L440&gt;T$5,MAX(0,T$3+ROUND((T$9*($L440-T$5)),0)),IF($L440&gt;T$4,T$3,ROUND($L440*T$7,0)))</f>
        <v/>
      </c>
      <c r="J440" s="447">
        <f>IF($L440&gt;U$5,MAX(0,U$3+ROUND((U$9*($L440-U$5)),0)),IF($L440&gt;U$4,U$3,ROUND($L440*U$7,0)))</f>
        <v/>
      </c>
      <c r="K440" s="422" t="n"/>
      <c r="L440" s="448">
        <f>ROUND((A440+B440)/2,2)</f>
        <v/>
      </c>
    </row>
    <row r="441" ht="13.5" customHeight="1" s="7635">
      <c r="A441" s="448" t="n">
        <v>21850</v>
      </c>
      <c r="B441" s="447" t="n">
        <v>21900</v>
      </c>
      <c r="C441" s="1378">
        <f>IF($L441&gt;N$5,MAX(0,N$3+ROUND((N$9*($L441-N$5)),0)),IF($L441&gt;N$4,N$3,ROUND($L441*N$7,0)))</f>
        <v/>
      </c>
      <c r="D441" s="448">
        <f>IF($L441&gt;O$5,MAX(0,O$3+ROUND((O$9*($L441-O$5)),0)),IF($L441&gt;O$4,O$3,ROUND($L441*O$7,0)))</f>
        <v/>
      </c>
      <c r="E441" s="448">
        <f>IF($L441&gt;P$5,MAX(0,P$3+ROUND((P$9*($L441-P$5)),0)),IF($L441&gt;P$4,P$3,ROUND($L441*P$7,0)))</f>
        <v/>
      </c>
      <c r="F441" s="447">
        <f>IF($L441&gt;Q$5,MAX(0,Q$3+ROUND((Q$9*($L441-Q$5)),0)),IF($L441&gt;Q$4,Q$3,ROUND($L441*Q$7,0)))</f>
        <v/>
      </c>
      <c r="G441" s="1378">
        <f>IF($L441&gt;R$5,MAX(0,R$3+ROUND((R$9*($L441-R$5)),0)),IF($L441&gt;R$4,R$3,ROUND($L441*R$7,0)))</f>
        <v/>
      </c>
      <c r="H441" s="448">
        <f>IF($L441&gt;S$5,MAX(0,S$3+ROUND((S$9*($L441-S$5)),0)),IF($L441&gt;S$4,S$3,ROUND($L441*S$7,0)))</f>
        <v/>
      </c>
      <c r="I441" s="448">
        <f>IF($L441&gt;T$5,MAX(0,T$3+ROUND((T$9*($L441-T$5)),0)),IF($L441&gt;T$4,T$3,ROUND($L441*T$7,0)))</f>
        <v/>
      </c>
      <c r="J441" s="447">
        <f>IF($L441&gt;U$5,MAX(0,U$3+ROUND((U$9*($L441-U$5)),0)),IF($L441&gt;U$4,U$3,ROUND($L441*U$7,0)))</f>
        <v/>
      </c>
      <c r="K441" s="422" t="n"/>
      <c r="L441" s="448">
        <f>ROUND((A441+B441)/2,2)</f>
        <v/>
      </c>
    </row>
    <row r="442" ht="13.5" customHeight="1" s="7635">
      <c r="A442" s="448" t="n">
        <v>21900</v>
      </c>
      <c r="B442" s="447" t="n">
        <v>21950</v>
      </c>
      <c r="C442" s="1378">
        <f>IF($L442&gt;N$5,MAX(0,N$3+ROUND((N$9*($L442-N$5)),0)),IF($L442&gt;N$4,N$3,ROUND($L442*N$7,0)))</f>
        <v/>
      </c>
      <c r="D442" s="448">
        <f>IF($L442&gt;O$5,MAX(0,O$3+ROUND((O$9*($L442-O$5)),0)),IF($L442&gt;O$4,O$3,ROUND($L442*O$7,0)))</f>
        <v/>
      </c>
      <c r="E442" s="448">
        <f>IF($L442&gt;P$5,MAX(0,P$3+ROUND((P$9*($L442-P$5)),0)),IF($L442&gt;P$4,P$3,ROUND($L442*P$7,0)))</f>
        <v/>
      </c>
      <c r="F442" s="447">
        <f>IF($L442&gt;Q$5,MAX(0,Q$3+ROUND((Q$9*($L442-Q$5)),0)),IF($L442&gt;Q$4,Q$3,ROUND($L442*Q$7,0)))</f>
        <v/>
      </c>
      <c r="G442" s="1378">
        <f>IF($L442&gt;R$5,MAX(0,R$3+ROUND((R$9*($L442-R$5)),0)),IF($L442&gt;R$4,R$3,ROUND($L442*R$7,0)))</f>
        <v/>
      </c>
      <c r="H442" s="448">
        <f>IF($L442&gt;S$5,MAX(0,S$3+ROUND((S$9*($L442-S$5)),0)),IF($L442&gt;S$4,S$3,ROUND($L442*S$7,0)))</f>
        <v/>
      </c>
      <c r="I442" s="448">
        <f>IF($L442&gt;T$5,MAX(0,T$3+ROUND((T$9*($L442-T$5)),0)),IF($L442&gt;T$4,T$3,ROUND($L442*T$7,0)))</f>
        <v/>
      </c>
      <c r="J442" s="447">
        <f>IF($L442&gt;U$5,MAX(0,U$3+ROUND((U$9*($L442-U$5)),0)),IF($L442&gt;U$4,U$3,ROUND($L442*U$7,0)))</f>
        <v/>
      </c>
      <c r="K442" s="422" t="n"/>
      <c r="L442" s="448">
        <f>ROUND((A442+B442)/2,2)</f>
        <v/>
      </c>
    </row>
    <row r="443" ht="13.5" customHeight="1" s="7635">
      <c r="A443" s="448" t="n">
        <v>21950</v>
      </c>
      <c r="B443" s="447" t="n">
        <v>22000</v>
      </c>
      <c r="C443" s="1378">
        <f>IF($L443&gt;N$5,MAX(0,N$3+ROUND((N$9*($L443-N$5)),0)),IF($L443&gt;N$4,N$3,ROUND($L443*N$7,0)))</f>
        <v/>
      </c>
      <c r="D443" s="448">
        <f>IF($L443&gt;O$5,MAX(0,O$3+ROUND((O$9*($L443-O$5)),0)),IF($L443&gt;O$4,O$3,ROUND($L443*O$7,0)))</f>
        <v/>
      </c>
      <c r="E443" s="448">
        <f>IF($L443&gt;P$5,MAX(0,P$3+ROUND((P$9*($L443-P$5)),0)),IF($L443&gt;P$4,P$3,ROUND($L443*P$7,0)))</f>
        <v/>
      </c>
      <c r="F443" s="447">
        <f>IF($L443&gt;Q$5,MAX(0,Q$3+ROUND((Q$9*($L443-Q$5)),0)),IF($L443&gt;Q$4,Q$3,ROUND($L443*Q$7,0)))</f>
        <v/>
      </c>
      <c r="G443" s="1378">
        <f>IF($L443&gt;R$5,MAX(0,R$3+ROUND((R$9*($L443-R$5)),0)),IF($L443&gt;R$4,R$3,ROUND($L443*R$7,0)))</f>
        <v/>
      </c>
      <c r="H443" s="448">
        <f>IF($L443&gt;S$5,MAX(0,S$3+ROUND((S$9*($L443-S$5)),0)),IF($L443&gt;S$4,S$3,ROUND($L443*S$7,0)))</f>
        <v/>
      </c>
      <c r="I443" s="448">
        <f>IF($L443&gt;T$5,MAX(0,T$3+ROUND((T$9*($L443-T$5)),0)),IF($L443&gt;T$4,T$3,ROUND($L443*T$7,0)))</f>
        <v/>
      </c>
      <c r="J443" s="447">
        <f>IF($L443&gt;U$5,MAX(0,U$3+ROUND((U$9*($L443-U$5)),0)),IF($L443&gt;U$4,U$3,ROUND($L443*U$7,0)))</f>
        <v/>
      </c>
      <c r="K443" s="422" t="n"/>
      <c r="L443" s="448">
        <f>ROUND((A443+B443)/2,2)</f>
        <v/>
      </c>
    </row>
    <row r="444" ht="13.5" customHeight="1" s="7635">
      <c r="A444" s="448" t="n">
        <v>22000</v>
      </c>
      <c r="B444" s="447" t="n">
        <v>22050</v>
      </c>
      <c r="C444" s="1378">
        <f>IF($L444&gt;N$5,MAX(0,N$3+ROUND((N$9*($L444-N$5)),0)),IF($L444&gt;N$4,N$3,ROUND($L444*N$7,0)))</f>
        <v/>
      </c>
      <c r="D444" s="448">
        <f>IF($L444&gt;O$5,MAX(0,O$3+ROUND((O$9*($L444-O$5)),0)),IF($L444&gt;O$4,O$3,ROUND($L444*O$7,0)))</f>
        <v/>
      </c>
      <c r="E444" s="448">
        <f>IF($L444&gt;P$5,MAX(0,P$3+ROUND((P$9*($L444-P$5)),0)),IF($L444&gt;P$4,P$3,ROUND($L444*P$7,0)))</f>
        <v/>
      </c>
      <c r="F444" s="447">
        <f>IF($L444&gt;Q$5,MAX(0,Q$3+ROUND((Q$9*($L444-Q$5)),0)),IF($L444&gt;Q$4,Q$3,ROUND($L444*Q$7,0)))</f>
        <v/>
      </c>
      <c r="G444" s="1378">
        <f>IF($L444&gt;R$5,MAX(0,R$3+ROUND((R$9*($L444-R$5)),0)),IF($L444&gt;R$4,R$3,ROUND($L444*R$7,0)))</f>
        <v/>
      </c>
      <c r="H444" s="448">
        <f>IF($L444&gt;S$5,MAX(0,S$3+ROUND((S$9*($L444-S$5)),0)),IF($L444&gt;S$4,S$3,ROUND($L444*S$7,0)))</f>
        <v/>
      </c>
      <c r="I444" s="448">
        <f>IF($L444&gt;T$5,MAX(0,T$3+ROUND((T$9*($L444-T$5)),0)),IF($L444&gt;T$4,T$3,ROUND($L444*T$7,0)))</f>
        <v/>
      </c>
      <c r="J444" s="447">
        <f>IF($L444&gt;U$5,MAX(0,U$3+ROUND((U$9*($L444-U$5)),0)),IF($L444&gt;U$4,U$3,ROUND($L444*U$7,0)))</f>
        <v/>
      </c>
      <c r="K444" s="422" t="n"/>
      <c r="L444" s="448">
        <f>ROUND((A444+B444)/2,2)</f>
        <v/>
      </c>
    </row>
    <row r="445" ht="13.5" customHeight="1" s="7635">
      <c r="A445" s="448" t="n">
        <v>22050</v>
      </c>
      <c r="B445" s="447" t="n">
        <v>22100</v>
      </c>
      <c r="C445" s="1378">
        <f>IF($L445&gt;N$5,MAX(0,N$3+ROUND((N$9*($L445-N$5)),0)),IF($L445&gt;N$4,N$3,ROUND($L445*N$7,0)))</f>
        <v/>
      </c>
      <c r="D445" s="448">
        <f>IF($L445&gt;O$5,MAX(0,O$3+ROUND((O$9*($L445-O$5)),0)),IF($L445&gt;O$4,O$3,ROUND($L445*O$7,0)))</f>
        <v/>
      </c>
      <c r="E445" s="448">
        <f>IF($L445&gt;P$5,MAX(0,P$3+ROUND((P$9*($L445-P$5)),0)),IF($L445&gt;P$4,P$3,ROUND($L445*P$7,0)))</f>
        <v/>
      </c>
      <c r="F445" s="447">
        <f>IF($L445&gt;Q$5,MAX(0,Q$3+ROUND((Q$9*($L445-Q$5)),0)),IF($L445&gt;Q$4,Q$3,ROUND($L445*Q$7,0)))</f>
        <v/>
      </c>
      <c r="G445" s="1378">
        <f>IF($L445&gt;R$5,MAX(0,R$3+ROUND((R$9*($L445-R$5)),0)),IF($L445&gt;R$4,R$3,ROUND($L445*R$7,0)))</f>
        <v/>
      </c>
      <c r="H445" s="448">
        <f>IF($L445&gt;S$5,MAX(0,S$3+ROUND((S$9*($L445-S$5)),0)),IF($L445&gt;S$4,S$3,ROUND($L445*S$7,0)))</f>
        <v/>
      </c>
      <c r="I445" s="448">
        <f>IF($L445&gt;T$5,MAX(0,T$3+ROUND((T$9*($L445-T$5)),0)),IF($L445&gt;T$4,T$3,ROUND($L445*T$7,0)))</f>
        <v/>
      </c>
      <c r="J445" s="447">
        <f>IF($L445&gt;U$5,MAX(0,U$3+ROUND((U$9*($L445-U$5)),0)),IF($L445&gt;U$4,U$3,ROUND($L445*U$7,0)))</f>
        <v/>
      </c>
      <c r="K445" s="422" t="n"/>
      <c r="L445" s="448">
        <f>ROUND((A445+B445)/2,2)</f>
        <v/>
      </c>
    </row>
    <row r="446" ht="13.5" customHeight="1" s="7635">
      <c r="A446" s="448" t="n">
        <v>22100</v>
      </c>
      <c r="B446" s="447" t="n">
        <v>22150</v>
      </c>
      <c r="C446" s="1378">
        <f>IF($L446&gt;N$5,MAX(0,N$3+ROUND((N$9*($L446-N$5)),0)),IF($L446&gt;N$4,N$3,ROUND($L446*N$7,0)))</f>
        <v/>
      </c>
      <c r="D446" s="448">
        <f>IF($L446&gt;O$5,MAX(0,O$3+ROUND((O$9*($L446-O$5)),0)),IF($L446&gt;O$4,O$3,ROUND($L446*O$7,0)))</f>
        <v/>
      </c>
      <c r="E446" s="448">
        <f>IF($L446&gt;P$5,MAX(0,P$3+ROUND((P$9*($L446-P$5)),0)),IF($L446&gt;P$4,P$3,ROUND($L446*P$7,0)))</f>
        <v/>
      </c>
      <c r="F446" s="447">
        <f>IF($L446&gt;Q$5,MAX(0,Q$3+ROUND((Q$9*($L446-Q$5)),0)),IF($L446&gt;Q$4,Q$3,ROUND($L446*Q$7,0)))</f>
        <v/>
      </c>
      <c r="G446" s="1378">
        <f>IF($L446&gt;R$5,MAX(0,R$3+ROUND((R$9*($L446-R$5)),0)),IF($L446&gt;R$4,R$3,ROUND($L446*R$7,0)))</f>
        <v/>
      </c>
      <c r="H446" s="448">
        <f>IF($L446&gt;S$5,MAX(0,S$3+ROUND((S$9*($L446-S$5)),0)),IF($L446&gt;S$4,S$3,ROUND($L446*S$7,0)))</f>
        <v/>
      </c>
      <c r="I446" s="448">
        <f>IF($L446&gt;T$5,MAX(0,T$3+ROUND((T$9*($L446-T$5)),0)),IF($L446&gt;T$4,T$3,ROUND($L446*T$7,0)))</f>
        <v/>
      </c>
      <c r="J446" s="447">
        <f>IF($L446&gt;U$5,MAX(0,U$3+ROUND((U$9*($L446-U$5)),0)),IF($L446&gt;U$4,U$3,ROUND($L446*U$7,0)))</f>
        <v/>
      </c>
      <c r="K446" s="422" t="n"/>
      <c r="L446" s="448">
        <f>ROUND((A446+B446)/2,2)</f>
        <v/>
      </c>
    </row>
    <row r="447" ht="13.5" customHeight="1" s="7635">
      <c r="A447" s="448" t="n">
        <v>22150</v>
      </c>
      <c r="B447" s="447" t="n">
        <v>22200</v>
      </c>
      <c r="C447" s="1378">
        <f>IF($L447&gt;N$5,MAX(0,N$3+ROUND((N$9*($L447-N$5)),0)),IF($L447&gt;N$4,N$3,ROUND($L447*N$7,0)))</f>
        <v/>
      </c>
      <c r="D447" s="448">
        <f>IF($L447&gt;O$5,MAX(0,O$3+ROUND((O$9*($L447-O$5)),0)),IF($L447&gt;O$4,O$3,ROUND($L447*O$7,0)))</f>
        <v/>
      </c>
      <c r="E447" s="448">
        <f>IF($L447&gt;P$5,MAX(0,P$3+ROUND((P$9*($L447-P$5)),0)),IF($L447&gt;P$4,P$3,ROUND($L447*P$7,0)))</f>
        <v/>
      </c>
      <c r="F447" s="447">
        <f>IF($L447&gt;Q$5,MAX(0,Q$3+ROUND((Q$9*($L447-Q$5)),0)),IF($L447&gt;Q$4,Q$3,ROUND($L447*Q$7,0)))</f>
        <v/>
      </c>
      <c r="G447" s="1378">
        <f>IF($L447&gt;R$5,MAX(0,R$3+ROUND((R$9*($L447-R$5)),0)),IF($L447&gt;R$4,R$3,ROUND($L447*R$7,0)))</f>
        <v/>
      </c>
      <c r="H447" s="448">
        <f>IF($L447&gt;S$5,MAX(0,S$3+ROUND((S$9*($L447-S$5)),0)),IF($L447&gt;S$4,S$3,ROUND($L447*S$7,0)))</f>
        <v/>
      </c>
      <c r="I447" s="448">
        <f>IF($L447&gt;T$5,MAX(0,T$3+ROUND((T$9*($L447-T$5)),0)),IF($L447&gt;T$4,T$3,ROUND($L447*T$7,0)))</f>
        <v/>
      </c>
      <c r="J447" s="447">
        <f>IF($L447&gt;U$5,MAX(0,U$3+ROUND((U$9*($L447-U$5)),0)),IF($L447&gt;U$4,U$3,ROUND($L447*U$7,0)))</f>
        <v/>
      </c>
      <c r="K447" s="422" t="n"/>
      <c r="L447" s="448">
        <f>ROUND((A447+B447)/2,2)</f>
        <v/>
      </c>
    </row>
    <row r="448" ht="13.5" customHeight="1" s="7635">
      <c r="A448" s="448" t="n">
        <v>22200</v>
      </c>
      <c r="B448" s="447" t="n">
        <v>22250</v>
      </c>
      <c r="C448" s="1378">
        <f>IF($L448&gt;N$5,MAX(0,N$3+ROUND((N$9*($L448-N$5)),0)),IF($L448&gt;N$4,N$3,ROUND($L448*N$7,0)))</f>
        <v/>
      </c>
      <c r="D448" s="448">
        <f>IF($L448&gt;O$5,MAX(0,O$3+ROUND((O$9*($L448-O$5)),0)),IF($L448&gt;O$4,O$3,ROUND($L448*O$7,0)))</f>
        <v/>
      </c>
      <c r="E448" s="448">
        <f>IF($L448&gt;P$5,MAX(0,P$3+ROUND((P$9*($L448-P$5)),0)),IF($L448&gt;P$4,P$3,ROUND($L448*P$7,0)))</f>
        <v/>
      </c>
      <c r="F448" s="447">
        <f>IF($L448&gt;Q$5,MAX(0,Q$3+ROUND((Q$9*($L448-Q$5)),0)),IF($L448&gt;Q$4,Q$3,ROUND($L448*Q$7,0)))</f>
        <v/>
      </c>
      <c r="G448" s="1378">
        <f>IF($L448&gt;R$5,MAX(0,R$3+ROUND((R$9*($L448-R$5)),0)),IF($L448&gt;R$4,R$3,ROUND($L448*R$7,0)))</f>
        <v/>
      </c>
      <c r="H448" s="448">
        <f>IF($L448&gt;S$5,MAX(0,S$3+ROUND((S$9*($L448-S$5)),0)),IF($L448&gt;S$4,S$3,ROUND($L448*S$7,0)))</f>
        <v/>
      </c>
      <c r="I448" s="448">
        <f>IF($L448&gt;T$5,MAX(0,T$3+ROUND((T$9*($L448-T$5)),0)),IF($L448&gt;T$4,T$3,ROUND($L448*T$7,0)))</f>
        <v/>
      </c>
      <c r="J448" s="447">
        <f>IF($L448&gt;U$5,MAX(0,U$3+ROUND((U$9*($L448-U$5)),0)),IF($L448&gt;U$4,U$3,ROUND($L448*U$7,0)))</f>
        <v/>
      </c>
      <c r="K448" s="422" t="n"/>
      <c r="L448" s="448">
        <f>ROUND((A448+B448)/2,2)</f>
        <v/>
      </c>
    </row>
    <row r="449" ht="13.5" customHeight="1" s="7635">
      <c r="A449" s="448" t="n">
        <v>22250</v>
      </c>
      <c r="B449" s="447" t="n">
        <v>22300</v>
      </c>
      <c r="C449" s="1378">
        <f>IF($L449&gt;N$5,MAX(0,N$3+ROUND((N$9*($L449-N$5)),0)),IF($L449&gt;N$4,N$3,ROUND($L449*N$7,0)))</f>
        <v/>
      </c>
      <c r="D449" s="448">
        <f>IF($L449&gt;O$5,MAX(0,O$3+ROUND((O$9*($L449-O$5)),0)),IF($L449&gt;O$4,O$3,ROUND($L449*O$7,0)))</f>
        <v/>
      </c>
      <c r="E449" s="448">
        <f>IF($L449&gt;P$5,MAX(0,P$3+ROUND((P$9*($L449-P$5)),0)),IF($L449&gt;P$4,P$3,ROUND($L449*P$7,0)))</f>
        <v/>
      </c>
      <c r="F449" s="447">
        <f>IF($L449&gt;Q$5,MAX(0,Q$3+ROUND((Q$9*($L449-Q$5)),0)),IF($L449&gt;Q$4,Q$3,ROUND($L449*Q$7,0)))</f>
        <v/>
      </c>
      <c r="G449" s="1378">
        <f>IF($L449&gt;R$5,MAX(0,R$3+ROUND((R$9*($L449-R$5)),0)),IF($L449&gt;R$4,R$3,ROUND($L449*R$7,0)))</f>
        <v/>
      </c>
      <c r="H449" s="448">
        <f>IF($L449&gt;S$5,MAX(0,S$3+ROUND((S$9*($L449-S$5)),0)),IF($L449&gt;S$4,S$3,ROUND($L449*S$7,0)))</f>
        <v/>
      </c>
      <c r="I449" s="448">
        <f>IF($L449&gt;T$5,MAX(0,T$3+ROUND((T$9*($L449-T$5)),0)),IF($L449&gt;T$4,T$3,ROUND($L449*T$7,0)))</f>
        <v/>
      </c>
      <c r="J449" s="447">
        <f>IF($L449&gt;U$5,MAX(0,U$3+ROUND((U$9*($L449-U$5)),0)),IF($L449&gt;U$4,U$3,ROUND($L449*U$7,0)))</f>
        <v/>
      </c>
      <c r="K449" s="422" t="n"/>
      <c r="L449" s="448">
        <f>ROUND((A449+B449)/2,2)</f>
        <v/>
      </c>
    </row>
    <row r="450" ht="13.5" customHeight="1" s="7635">
      <c r="A450" s="448" t="n">
        <v>22300</v>
      </c>
      <c r="B450" s="447" t="n">
        <v>22350</v>
      </c>
      <c r="C450" s="1378">
        <f>IF($L450&gt;N$5,MAX(0,N$3+ROUND((N$9*($L450-N$5)),0)),IF($L450&gt;N$4,N$3,ROUND($L450*N$7,0)))</f>
        <v/>
      </c>
      <c r="D450" s="448">
        <f>IF($L450&gt;O$5,MAX(0,O$3+ROUND((O$9*($L450-O$5)),0)),IF($L450&gt;O$4,O$3,ROUND($L450*O$7,0)))</f>
        <v/>
      </c>
      <c r="E450" s="448">
        <f>IF($L450&gt;P$5,MAX(0,P$3+ROUND((P$9*($L450-P$5)),0)),IF($L450&gt;P$4,P$3,ROUND($L450*P$7,0)))</f>
        <v/>
      </c>
      <c r="F450" s="447">
        <f>IF($L450&gt;Q$5,MAX(0,Q$3+ROUND((Q$9*($L450-Q$5)),0)),IF($L450&gt;Q$4,Q$3,ROUND($L450*Q$7,0)))</f>
        <v/>
      </c>
      <c r="G450" s="1378">
        <f>IF($L450&gt;R$5,MAX(0,R$3+ROUND((R$9*($L450-R$5)),0)),IF($L450&gt;R$4,R$3,ROUND($L450*R$7,0)))</f>
        <v/>
      </c>
      <c r="H450" s="448">
        <f>IF($L450&gt;S$5,MAX(0,S$3+ROUND((S$9*($L450-S$5)),0)),IF($L450&gt;S$4,S$3,ROUND($L450*S$7,0)))</f>
        <v/>
      </c>
      <c r="I450" s="448">
        <f>IF($L450&gt;T$5,MAX(0,T$3+ROUND((T$9*($L450-T$5)),0)),IF($L450&gt;T$4,T$3,ROUND($L450*T$7,0)))</f>
        <v/>
      </c>
      <c r="J450" s="447">
        <f>IF($L450&gt;U$5,MAX(0,U$3+ROUND((U$9*($L450-U$5)),0)),IF($L450&gt;U$4,U$3,ROUND($L450*U$7,0)))</f>
        <v/>
      </c>
      <c r="K450" s="422" t="n"/>
      <c r="L450" s="448">
        <f>ROUND((A450+B450)/2,2)</f>
        <v/>
      </c>
    </row>
    <row r="451" ht="13.5" customHeight="1" s="7635">
      <c r="A451" s="448" t="n">
        <v>22350</v>
      </c>
      <c r="B451" s="447" t="n">
        <v>22400</v>
      </c>
      <c r="C451" s="1378">
        <f>IF($L451&gt;N$5,MAX(0,N$3+ROUND((N$9*($L451-N$5)),0)),IF($L451&gt;N$4,N$3,ROUND($L451*N$7,0)))</f>
        <v/>
      </c>
      <c r="D451" s="448">
        <f>IF($L451&gt;O$5,MAX(0,O$3+ROUND((O$9*($L451-O$5)),0)),IF($L451&gt;O$4,O$3,ROUND($L451*O$7,0)))</f>
        <v/>
      </c>
      <c r="E451" s="448">
        <f>IF($L451&gt;P$5,MAX(0,P$3+ROUND((P$9*($L451-P$5)),0)),IF($L451&gt;P$4,P$3,ROUND($L451*P$7,0)))</f>
        <v/>
      </c>
      <c r="F451" s="447">
        <f>IF($L451&gt;Q$5,MAX(0,Q$3+ROUND((Q$9*($L451-Q$5)),0)),IF($L451&gt;Q$4,Q$3,ROUND($L451*Q$7,0)))</f>
        <v/>
      </c>
      <c r="G451" s="1378">
        <f>IF($L451&gt;R$5,MAX(0,R$3+ROUND((R$9*($L451-R$5)),0)),IF($L451&gt;R$4,R$3,ROUND($L451*R$7,0)))</f>
        <v/>
      </c>
      <c r="H451" s="448">
        <f>IF($L451&gt;S$5,MAX(0,S$3+ROUND((S$9*($L451-S$5)),0)),IF($L451&gt;S$4,S$3,ROUND($L451*S$7,0)))</f>
        <v/>
      </c>
      <c r="I451" s="448">
        <f>IF($L451&gt;T$5,MAX(0,T$3+ROUND((T$9*($L451-T$5)),0)),IF($L451&gt;T$4,T$3,ROUND($L451*T$7,0)))</f>
        <v/>
      </c>
      <c r="J451" s="447">
        <f>IF($L451&gt;U$5,MAX(0,U$3+ROUND((U$9*($L451-U$5)),0)),IF($L451&gt;U$4,U$3,ROUND($L451*U$7,0)))</f>
        <v/>
      </c>
      <c r="K451" s="422" t="n"/>
      <c r="L451" s="448">
        <f>ROUND((A451+B451)/2,2)</f>
        <v/>
      </c>
    </row>
    <row r="452" ht="13.5" customHeight="1" s="7635">
      <c r="A452" s="448" t="n">
        <v>22400</v>
      </c>
      <c r="B452" s="447" t="n">
        <v>22450</v>
      </c>
      <c r="C452" s="1378">
        <f>IF($L452&gt;N$5,MAX(0,N$3+ROUND((N$9*($L452-N$5)),0)),IF($L452&gt;N$4,N$3,ROUND($L452*N$7,0)))</f>
        <v/>
      </c>
      <c r="D452" s="448">
        <f>IF($L452&gt;O$5,MAX(0,O$3+ROUND((O$9*($L452-O$5)),0)),IF($L452&gt;O$4,O$3,ROUND($L452*O$7,0)))</f>
        <v/>
      </c>
      <c r="E452" s="448">
        <f>IF($L452&gt;P$5,MAX(0,P$3+ROUND((P$9*($L452-P$5)),0)),IF($L452&gt;P$4,P$3,ROUND($L452*P$7,0)))</f>
        <v/>
      </c>
      <c r="F452" s="447">
        <f>IF($L452&gt;Q$5,MAX(0,Q$3+ROUND((Q$9*($L452-Q$5)),0)),IF($L452&gt;Q$4,Q$3,ROUND($L452*Q$7,0)))</f>
        <v/>
      </c>
      <c r="G452" s="1378">
        <f>IF($L452&gt;R$5,MAX(0,R$3+ROUND((R$9*($L452-R$5)),0)),IF($L452&gt;R$4,R$3,ROUND($L452*R$7,0)))</f>
        <v/>
      </c>
      <c r="H452" s="448">
        <f>IF($L452&gt;S$5,MAX(0,S$3+ROUND((S$9*($L452-S$5)),0)),IF($L452&gt;S$4,S$3,ROUND($L452*S$7,0)))</f>
        <v/>
      </c>
      <c r="I452" s="448">
        <f>IF($L452&gt;T$5,MAX(0,T$3+ROUND((T$9*($L452-T$5)),0)),IF($L452&gt;T$4,T$3,ROUND($L452*T$7,0)))</f>
        <v/>
      </c>
      <c r="J452" s="447">
        <f>IF($L452&gt;U$5,MAX(0,U$3+ROUND((U$9*($L452-U$5)),0)),IF($L452&gt;U$4,U$3,ROUND($L452*U$7,0)))</f>
        <v/>
      </c>
      <c r="K452" s="422" t="n"/>
      <c r="L452" s="448">
        <f>ROUND((A452+B452)/2,2)</f>
        <v/>
      </c>
    </row>
    <row r="453" ht="13.5" customHeight="1" s="7635">
      <c r="A453" s="448" t="n">
        <v>22450</v>
      </c>
      <c r="B453" s="447" t="n">
        <v>22500</v>
      </c>
      <c r="C453" s="1378">
        <f>IF($L453&gt;N$5,MAX(0,N$3+ROUND((N$9*($L453-N$5)),0)),IF($L453&gt;N$4,N$3,ROUND($L453*N$7,0)))</f>
        <v/>
      </c>
      <c r="D453" s="448">
        <f>IF($L453&gt;O$5,MAX(0,O$3+ROUND((O$9*($L453-O$5)),0)),IF($L453&gt;O$4,O$3,ROUND($L453*O$7,0)))</f>
        <v/>
      </c>
      <c r="E453" s="448">
        <f>IF($L453&gt;P$5,MAX(0,P$3+ROUND((P$9*($L453-P$5)),0)),IF($L453&gt;P$4,P$3,ROUND($L453*P$7,0)))</f>
        <v/>
      </c>
      <c r="F453" s="447">
        <f>IF($L453&gt;Q$5,MAX(0,Q$3+ROUND((Q$9*($L453-Q$5)),0)),IF($L453&gt;Q$4,Q$3,ROUND($L453*Q$7,0)))</f>
        <v/>
      </c>
      <c r="G453" s="1378">
        <f>IF($L453&gt;R$5,MAX(0,R$3+ROUND((R$9*($L453-R$5)),0)),IF($L453&gt;R$4,R$3,ROUND($L453*R$7,0)))</f>
        <v/>
      </c>
      <c r="H453" s="448">
        <f>IF($L453&gt;S$5,MAX(0,S$3+ROUND((S$9*($L453-S$5)),0)),IF($L453&gt;S$4,S$3,ROUND($L453*S$7,0)))</f>
        <v/>
      </c>
      <c r="I453" s="448">
        <f>IF($L453&gt;T$5,MAX(0,T$3+ROUND((T$9*($L453-T$5)),0)),IF($L453&gt;T$4,T$3,ROUND($L453*T$7,0)))</f>
        <v/>
      </c>
      <c r="J453" s="447">
        <f>IF($L453&gt;U$5,MAX(0,U$3+ROUND((U$9*($L453-U$5)),0)),IF($L453&gt;U$4,U$3,ROUND($L453*U$7,0)))</f>
        <v/>
      </c>
      <c r="K453" s="422" t="n"/>
      <c r="L453" s="448">
        <f>ROUND((A453+B453)/2,2)</f>
        <v/>
      </c>
    </row>
    <row r="454" ht="13.5" customHeight="1" s="7635">
      <c r="A454" s="448" t="n">
        <v>22500</v>
      </c>
      <c r="B454" s="447" t="n">
        <v>22550</v>
      </c>
      <c r="C454" s="1378">
        <f>IF($L454&gt;N$5,MAX(0,N$3+ROUND((N$9*($L454-N$5)),0)),IF($L454&gt;N$4,N$3,ROUND($L454*N$7,0)))</f>
        <v/>
      </c>
      <c r="D454" s="448">
        <f>IF($L454&gt;O$5,MAX(0,O$3+ROUND((O$9*($L454-O$5)),0)),IF($L454&gt;O$4,O$3,ROUND($L454*O$7,0)))</f>
        <v/>
      </c>
      <c r="E454" s="448">
        <f>IF($L454&gt;P$5,MAX(0,P$3+ROUND((P$9*($L454-P$5)),0)),IF($L454&gt;P$4,P$3,ROUND($L454*P$7,0)))</f>
        <v/>
      </c>
      <c r="F454" s="447">
        <f>IF($L454&gt;Q$5,MAX(0,Q$3+ROUND((Q$9*($L454-Q$5)),0)),IF($L454&gt;Q$4,Q$3,ROUND($L454*Q$7,0)))</f>
        <v/>
      </c>
      <c r="G454" s="1378">
        <f>IF($L454&gt;R$5,MAX(0,R$3+ROUND((R$9*($L454-R$5)),0)),IF($L454&gt;R$4,R$3,ROUND($L454*R$7,0)))</f>
        <v/>
      </c>
      <c r="H454" s="448">
        <f>IF($L454&gt;S$5,MAX(0,S$3+ROUND((S$9*($L454-S$5)),0)),IF($L454&gt;S$4,S$3,ROUND($L454*S$7,0)))</f>
        <v/>
      </c>
      <c r="I454" s="448">
        <f>IF($L454&gt;T$5,MAX(0,T$3+ROUND((T$9*($L454-T$5)),0)),IF($L454&gt;T$4,T$3,ROUND($L454*T$7,0)))</f>
        <v/>
      </c>
      <c r="J454" s="447">
        <f>IF($L454&gt;U$5,MAX(0,U$3+ROUND((U$9*($L454-U$5)),0)),IF($L454&gt;U$4,U$3,ROUND($L454*U$7,0)))</f>
        <v/>
      </c>
      <c r="K454" s="422" t="n"/>
      <c r="L454" s="448">
        <f>ROUND((A454+B454)/2,2)</f>
        <v/>
      </c>
    </row>
    <row r="455" ht="13.5" customHeight="1" s="7635">
      <c r="A455" s="448" t="n">
        <v>22550</v>
      </c>
      <c r="B455" s="447" t="n">
        <v>22600</v>
      </c>
      <c r="C455" s="1378">
        <f>IF($L455&gt;N$5,MAX(0,N$3+ROUND((N$9*($L455-N$5)),0)),IF($L455&gt;N$4,N$3,ROUND($L455*N$7,0)))</f>
        <v/>
      </c>
      <c r="D455" s="448">
        <f>IF($L455&gt;O$5,MAX(0,O$3+ROUND((O$9*($L455-O$5)),0)),IF($L455&gt;O$4,O$3,ROUND($L455*O$7,0)))</f>
        <v/>
      </c>
      <c r="E455" s="448">
        <f>IF($L455&gt;P$5,MAX(0,P$3+ROUND((P$9*($L455-P$5)),0)),IF($L455&gt;P$4,P$3,ROUND($L455*P$7,0)))</f>
        <v/>
      </c>
      <c r="F455" s="447">
        <f>IF($L455&gt;Q$5,MAX(0,Q$3+ROUND((Q$9*($L455-Q$5)),0)),IF($L455&gt;Q$4,Q$3,ROUND($L455*Q$7,0)))</f>
        <v/>
      </c>
      <c r="G455" s="1378">
        <f>IF($L455&gt;R$5,MAX(0,R$3+ROUND((R$9*($L455-R$5)),0)),IF($L455&gt;R$4,R$3,ROUND($L455*R$7,0)))</f>
        <v/>
      </c>
      <c r="H455" s="448">
        <f>IF($L455&gt;S$5,MAX(0,S$3+ROUND((S$9*($L455-S$5)),0)),IF($L455&gt;S$4,S$3,ROUND($L455*S$7,0)))</f>
        <v/>
      </c>
      <c r="I455" s="448">
        <f>IF($L455&gt;T$5,MAX(0,T$3+ROUND((T$9*($L455-T$5)),0)),IF($L455&gt;T$4,T$3,ROUND($L455*T$7,0)))</f>
        <v/>
      </c>
      <c r="J455" s="447">
        <f>IF($L455&gt;U$5,MAX(0,U$3+ROUND((U$9*($L455-U$5)),0)),IF($L455&gt;U$4,U$3,ROUND($L455*U$7,0)))</f>
        <v/>
      </c>
      <c r="K455" s="422" t="n"/>
      <c r="L455" s="448">
        <f>ROUND((A455+B455)/2,2)</f>
        <v/>
      </c>
    </row>
    <row r="456" ht="13.5" customHeight="1" s="7635">
      <c r="A456" s="448" t="n">
        <v>22600</v>
      </c>
      <c r="B456" s="447" t="n">
        <v>22650</v>
      </c>
      <c r="C456" s="1378">
        <f>IF($L456&gt;N$5,MAX(0,N$3+ROUND((N$9*($L456-N$5)),0)),IF($L456&gt;N$4,N$3,ROUND($L456*N$7,0)))</f>
        <v/>
      </c>
      <c r="D456" s="448">
        <f>IF($L456&gt;O$5,MAX(0,O$3+ROUND((O$9*($L456-O$5)),0)),IF($L456&gt;O$4,O$3,ROUND($L456*O$7,0)))</f>
        <v/>
      </c>
      <c r="E456" s="448">
        <f>IF($L456&gt;P$5,MAX(0,P$3+ROUND((P$9*($L456-P$5)),0)),IF($L456&gt;P$4,P$3,ROUND($L456*P$7,0)))</f>
        <v/>
      </c>
      <c r="F456" s="447">
        <f>IF($L456&gt;Q$5,MAX(0,Q$3+ROUND((Q$9*($L456-Q$5)),0)),IF($L456&gt;Q$4,Q$3,ROUND($L456*Q$7,0)))</f>
        <v/>
      </c>
      <c r="G456" s="1378">
        <f>IF($L456&gt;R$5,MAX(0,R$3+ROUND((R$9*($L456-R$5)),0)),IF($L456&gt;R$4,R$3,ROUND($L456*R$7,0)))</f>
        <v/>
      </c>
      <c r="H456" s="448">
        <f>IF($L456&gt;S$5,MAX(0,S$3+ROUND((S$9*($L456-S$5)),0)),IF($L456&gt;S$4,S$3,ROUND($L456*S$7,0)))</f>
        <v/>
      </c>
      <c r="I456" s="448">
        <f>IF($L456&gt;T$5,MAX(0,T$3+ROUND((T$9*($L456-T$5)),0)),IF($L456&gt;T$4,T$3,ROUND($L456*T$7,0)))</f>
        <v/>
      </c>
      <c r="J456" s="447">
        <f>IF($L456&gt;U$5,MAX(0,U$3+ROUND((U$9*($L456-U$5)),0)),IF($L456&gt;U$4,U$3,ROUND($L456*U$7,0)))</f>
        <v/>
      </c>
      <c r="K456" s="422" t="n"/>
      <c r="L456" s="448">
        <f>ROUND((A456+B456)/2,2)</f>
        <v/>
      </c>
    </row>
    <row r="457" ht="13.5" customHeight="1" s="7635">
      <c r="A457" s="448" t="n">
        <v>22650</v>
      </c>
      <c r="B457" s="447" t="n">
        <v>22700</v>
      </c>
      <c r="C457" s="1378">
        <f>IF($L457&gt;N$5,MAX(0,N$3+ROUND((N$9*($L457-N$5)),0)),IF($L457&gt;N$4,N$3,ROUND($L457*N$7,0)))</f>
        <v/>
      </c>
      <c r="D457" s="448">
        <f>IF($L457&gt;O$5,MAX(0,O$3+ROUND((O$9*($L457-O$5)),0)),IF($L457&gt;O$4,O$3,ROUND($L457*O$7,0)))</f>
        <v/>
      </c>
      <c r="E457" s="448">
        <f>IF($L457&gt;P$5,MAX(0,P$3+ROUND((P$9*($L457-P$5)),0)),IF($L457&gt;P$4,P$3,ROUND($L457*P$7,0)))</f>
        <v/>
      </c>
      <c r="F457" s="447">
        <f>IF($L457&gt;Q$5,MAX(0,Q$3+ROUND((Q$9*($L457-Q$5)),0)),IF($L457&gt;Q$4,Q$3,ROUND($L457*Q$7,0)))</f>
        <v/>
      </c>
      <c r="G457" s="1378">
        <f>IF($L457&gt;R$5,MAX(0,R$3+ROUND((R$9*($L457-R$5)),0)),IF($L457&gt;R$4,R$3,ROUND($L457*R$7,0)))</f>
        <v/>
      </c>
      <c r="H457" s="448">
        <f>IF($L457&gt;S$5,MAX(0,S$3+ROUND((S$9*($L457-S$5)),0)),IF($L457&gt;S$4,S$3,ROUND($L457*S$7,0)))</f>
        <v/>
      </c>
      <c r="I457" s="448">
        <f>IF($L457&gt;T$5,MAX(0,T$3+ROUND((T$9*($L457-T$5)),0)),IF($L457&gt;T$4,T$3,ROUND($L457*T$7,0)))</f>
        <v/>
      </c>
      <c r="J457" s="447">
        <f>IF($L457&gt;U$5,MAX(0,U$3+ROUND((U$9*($L457-U$5)),0)),IF($L457&gt;U$4,U$3,ROUND($L457*U$7,0)))</f>
        <v/>
      </c>
      <c r="K457" s="422" t="n"/>
      <c r="L457" s="448">
        <f>ROUND((A457+B457)/2,2)</f>
        <v/>
      </c>
    </row>
    <row r="458" ht="13.5" customHeight="1" s="7635">
      <c r="A458" s="448" t="n">
        <v>22700</v>
      </c>
      <c r="B458" s="447" t="n">
        <v>22750</v>
      </c>
      <c r="C458" s="1378">
        <f>IF($L458&gt;N$5,MAX(0,N$3+ROUND((N$9*($L458-N$5)),0)),IF($L458&gt;N$4,N$3,ROUND($L458*N$7,0)))</f>
        <v/>
      </c>
      <c r="D458" s="448">
        <f>IF($L458&gt;O$5,MAX(0,O$3+ROUND((O$9*($L458-O$5)),0)),IF($L458&gt;O$4,O$3,ROUND($L458*O$7,0)))</f>
        <v/>
      </c>
      <c r="E458" s="448">
        <f>IF($L458&gt;P$5,MAX(0,P$3+ROUND((P$9*($L458-P$5)),0)),IF($L458&gt;P$4,P$3,ROUND($L458*P$7,0)))</f>
        <v/>
      </c>
      <c r="F458" s="447">
        <f>IF($L458&gt;Q$5,MAX(0,Q$3+ROUND((Q$9*($L458-Q$5)),0)),IF($L458&gt;Q$4,Q$3,ROUND($L458*Q$7,0)))</f>
        <v/>
      </c>
      <c r="G458" s="1378">
        <f>IF($L458&gt;R$5,MAX(0,R$3+ROUND((R$9*($L458-R$5)),0)),IF($L458&gt;R$4,R$3,ROUND($L458*R$7,0)))</f>
        <v/>
      </c>
      <c r="H458" s="448">
        <f>IF($L458&gt;S$5,MAX(0,S$3+ROUND((S$9*($L458-S$5)),0)),IF($L458&gt;S$4,S$3,ROUND($L458*S$7,0)))</f>
        <v/>
      </c>
      <c r="I458" s="448">
        <f>IF($L458&gt;T$5,MAX(0,T$3+ROUND((T$9*($L458-T$5)),0)),IF($L458&gt;T$4,T$3,ROUND($L458*T$7,0)))</f>
        <v/>
      </c>
      <c r="J458" s="447">
        <f>IF($L458&gt;U$5,MAX(0,U$3+ROUND((U$9*($L458-U$5)),0)),IF($L458&gt;U$4,U$3,ROUND($L458*U$7,0)))</f>
        <v/>
      </c>
      <c r="K458" s="422" t="n"/>
      <c r="L458" s="448">
        <f>ROUND((A458+B458)/2,2)</f>
        <v/>
      </c>
    </row>
    <row r="459" ht="13.5" customHeight="1" s="7635">
      <c r="A459" s="448" t="n">
        <v>22750</v>
      </c>
      <c r="B459" s="447" t="n">
        <v>22800</v>
      </c>
      <c r="C459" s="1378">
        <f>IF($L459&gt;N$5,MAX(0,N$3+ROUND((N$9*($L459-N$5)),0)),IF($L459&gt;N$4,N$3,ROUND($L459*N$7,0)))</f>
        <v/>
      </c>
      <c r="D459" s="448">
        <f>IF($L459&gt;O$5,MAX(0,O$3+ROUND((O$9*($L459-O$5)),0)),IF($L459&gt;O$4,O$3,ROUND($L459*O$7,0)))</f>
        <v/>
      </c>
      <c r="E459" s="448">
        <f>IF($L459&gt;P$5,MAX(0,P$3+ROUND((P$9*($L459-P$5)),0)),IF($L459&gt;P$4,P$3,ROUND($L459*P$7,0)))</f>
        <v/>
      </c>
      <c r="F459" s="447">
        <f>IF($L459&gt;Q$5,MAX(0,Q$3+ROUND((Q$9*($L459-Q$5)),0)),IF($L459&gt;Q$4,Q$3,ROUND($L459*Q$7,0)))</f>
        <v/>
      </c>
      <c r="G459" s="1378">
        <f>IF($L459&gt;R$5,MAX(0,R$3+ROUND((R$9*($L459-R$5)),0)),IF($L459&gt;R$4,R$3,ROUND($L459*R$7,0)))</f>
        <v/>
      </c>
      <c r="H459" s="448">
        <f>IF($L459&gt;S$5,MAX(0,S$3+ROUND((S$9*($L459-S$5)),0)),IF($L459&gt;S$4,S$3,ROUND($L459*S$7,0)))</f>
        <v/>
      </c>
      <c r="I459" s="448">
        <f>IF($L459&gt;T$5,MAX(0,T$3+ROUND((T$9*($L459-T$5)),0)),IF($L459&gt;T$4,T$3,ROUND($L459*T$7,0)))</f>
        <v/>
      </c>
      <c r="J459" s="447">
        <f>IF($L459&gt;U$5,MAX(0,U$3+ROUND((U$9*($L459-U$5)),0)),IF($L459&gt;U$4,U$3,ROUND($L459*U$7,0)))</f>
        <v/>
      </c>
      <c r="K459" s="422" t="n"/>
      <c r="L459" s="448">
        <f>ROUND((A459+B459)/2,2)</f>
        <v/>
      </c>
    </row>
    <row r="460" ht="13.5" customHeight="1" s="7635">
      <c r="A460" s="448" t="n">
        <v>22800</v>
      </c>
      <c r="B460" s="447" t="n">
        <v>22850</v>
      </c>
      <c r="C460" s="1378">
        <f>IF($L460&gt;N$5,MAX(0,N$3+ROUND((N$9*($L460-N$5)),0)),IF($L460&gt;N$4,N$3,ROUND($L460*N$7,0)))</f>
        <v/>
      </c>
      <c r="D460" s="448">
        <f>IF($L460&gt;O$5,MAX(0,O$3+ROUND((O$9*($L460-O$5)),0)),IF($L460&gt;O$4,O$3,ROUND($L460*O$7,0)))</f>
        <v/>
      </c>
      <c r="E460" s="448">
        <f>IF($L460&gt;P$5,MAX(0,P$3+ROUND((P$9*($L460-P$5)),0)),IF($L460&gt;P$4,P$3,ROUND($L460*P$7,0)))</f>
        <v/>
      </c>
      <c r="F460" s="447">
        <f>IF($L460&gt;Q$5,MAX(0,Q$3+ROUND((Q$9*($L460-Q$5)),0)),IF($L460&gt;Q$4,Q$3,ROUND($L460*Q$7,0)))</f>
        <v/>
      </c>
      <c r="G460" s="1378">
        <f>IF($L460&gt;R$5,MAX(0,R$3+ROUND((R$9*($L460-R$5)),0)),IF($L460&gt;R$4,R$3,ROUND($L460*R$7,0)))</f>
        <v/>
      </c>
      <c r="H460" s="448">
        <f>IF($L460&gt;S$5,MAX(0,S$3+ROUND((S$9*($L460-S$5)),0)),IF($L460&gt;S$4,S$3,ROUND($L460*S$7,0)))</f>
        <v/>
      </c>
      <c r="I460" s="448">
        <f>IF($L460&gt;T$5,MAX(0,T$3+ROUND((T$9*($L460-T$5)),0)),IF($L460&gt;T$4,T$3,ROUND($L460*T$7,0)))</f>
        <v/>
      </c>
      <c r="J460" s="447">
        <f>IF($L460&gt;U$5,MAX(0,U$3+ROUND((U$9*($L460-U$5)),0)),IF($L460&gt;U$4,U$3,ROUND($L460*U$7,0)))</f>
        <v/>
      </c>
      <c r="K460" s="422" t="n"/>
      <c r="L460" s="448">
        <f>ROUND((A460+B460)/2,2)</f>
        <v/>
      </c>
    </row>
    <row r="461" ht="13.5" customHeight="1" s="7635">
      <c r="A461" s="448" t="n">
        <v>22850</v>
      </c>
      <c r="B461" s="447" t="n">
        <v>22900</v>
      </c>
      <c r="C461" s="1378">
        <f>IF($L461&gt;N$5,MAX(0,N$3+ROUND((N$9*($L461-N$5)),0)),IF($L461&gt;N$4,N$3,ROUND($L461*N$7,0)))</f>
        <v/>
      </c>
      <c r="D461" s="448">
        <f>IF($L461&gt;O$5,MAX(0,O$3+ROUND((O$9*($L461-O$5)),0)),IF($L461&gt;O$4,O$3,ROUND($L461*O$7,0)))</f>
        <v/>
      </c>
      <c r="E461" s="448">
        <f>IF($L461&gt;P$5,MAX(0,P$3+ROUND((P$9*($L461-P$5)),0)),IF($L461&gt;P$4,P$3,ROUND($L461*P$7,0)))</f>
        <v/>
      </c>
      <c r="F461" s="447">
        <f>IF($L461&gt;Q$5,MAX(0,Q$3+ROUND((Q$9*($L461-Q$5)),0)),IF($L461&gt;Q$4,Q$3,ROUND($L461*Q$7,0)))</f>
        <v/>
      </c>
      <c r="G461" s="1378">
        <f>IF($L461&gt;R$5,MAX(0,R$3+ROUND((R$9*($L461-R$5)),0)),IF($L461&gt;R$4,R$3,ROUND($L461*R$7,0)))</f>
        <v/>
      </c>
      <c r="H461" s="448">
        <f>IF($L461&gt;S$5,MAX(0,S$3+ROUND((S$9*($L461-S$5)),0)),IF($L461&gt;S$4,S$3,ROUND($L461*S$7,0)))</f>
        <v/>
      </c>
      <c r="I461" s="448">
        <f>IF($L461&gt;T$5,MAX(0,T$3+ROUND((T$9*($L461-T$5)),0)),IF($L461&gt;T$4,T$3,ROUND($L461*T$7,0)))</f>
        <v/>
      </c>
      <c r="J461" s="447">
        <f>IF($L461&gt;U$5,MAX(0,U$3+ROUND((U$9*($L461-U$5)),0)),IF($L461&gt;U$4,U$3,ROUND($L461*U$7,0)))</f>
        <v/>
      </c>
      <c r="K461" s="422" t="n"/>
      <c r="L461" s="448">
        <f>ROUND((A461+B461)/2,2)</f>
        <v/>
      </c>
    </row>
    <row r="462" ht="13.5" customHeight="1" s="7635">
      <c r="A462" s="448" t="n">
        <v>22900</v>
      </c>
      <c r="B462" s="447" t="n">
        <v>22950</v>
      </c>
      <c r="C462" s="1378">
        <f>IF($L462&gt;N$5,MAX(0,N$3+ROUND((N$9*($L462-N$5)),0)),IF($L462&gt;N$4,N$3,ROUND($L462*N$7,0)))</f>
        <v/>
      </c>
      <c r="D462" s="448">
        <f>IF($L462&gt;O$5,MAX(0,O$3+ROUND((O$9*($L462-O$5)),0)),IF($L462&gt;O$4,O$3,ROUND($L462*O$7,0)))</f>
        <v/>
      </c>
      <c r="E462" s="448">
        <f>IF($L462&gt;P$5,MAX(0,P$3+ROUND((P$9*($L462-P$5)),0)),IF($L462&gt;P$4,P$3,ROUND($L462*P$7,0)))</f>
        <v/>
      </c>
      <c r="F462" s="447">
        <f>IF($L462&gt;Q$5,MAX(0,Q$3+ROUND((Q$9*($L462-Q$5)),0)),IF($L462&gt;Q$4,Q$3,ROUND($L462*Q$7,0)))</f>
        <v/>
      </c>
      <c r="G462" s="1378">
        <f>IF($L462&gt;R$5,MAX(0,R$3+ROUND((R$9*($L462-R$5)),0)),IF($L462&gt;R$4,R$3,ROUND($L462*R$7,0)))</f>
        <v/>
      </c>
      <c r="H462" s="448">
        <f>IF($L462&gt;S$5,MAX(0,S$3+ROUND((S$9*($L462-S$5)),0)),IF($L462&gt;S$4,S$3,ROUND($L462*S$7,0)))</f>
        <v/>
      </c>
      <c r="I462" s="448">
        <f>IF($L462&gt;T$5,MAX(0,T$3+ROUND((T$9*($L462-T$5)),0)),IF($L462&gt;T$4,T$3,ROUND($L462*T$7,0)))</f>
        <v/>
      </c>
      <c r="J462" s="447">
        <f>IF($L462&gt;U$5,MAX(0,U$3+ROUND((U$9*($L462-U$5)),0)),IF($L462&gt;U$4,U$3,ROUND($L462*U$7,0)))</f>
        <v/>
      </c>
      <c r="K462" s="422" t="n"/>
      <c r="L462" s="448">
        <f>ROUND((A462+B462)/2,2)</f>
        <v/>
      </c>
    </row>
    <row r="463" ht="13.5" customHeight="1" s="7635">
      <c r="A463" s="448" t="n">
        <v>22950</v>
      </c>
      <c r="B463" s="447" t="n">
        <v>23000</v>
      </c>
      <c r="C463" s="1378">
        <f>IF($L463&gt;N$5,MAX(0,N$3+ROUND((N$9*($L463-N$5)),0)),IF($L463&gt;N$4,N$3,ROUND($L463*N$7,0)))</f>
        <v/>
      </c>
      <c r="D463" s="448">
        <f>IF($L463&gt;O$5,MAX(0,O$3+ROUND((O$9*($L463-O$5)),0)),IF($L463&gt;O$4,O$3,ROUND($L463*O$7,0)))</f>
        <v/>
      </c>
      <c r="E463" s="448">
        <f>IF($L463&gt;P$5,MAX(0,P$3+ROUND((P$9*($L463-P$5)),0)),IF($L463&gt;P$4,P$3,ROUND($L463*P$7,0)))</f>
        <v/>
      </c>
      <c r="F463" s="447">
        <f>IF($L463&gt;Q$5,MAX(0,Q$3+ROUND((Q$9*($L463-Q$5)),0)),IF($L463&gt;Q$4,Q$3,ROUND($L463*Q$7,0)))</f>
        <v/>
      </c>
      <c r="G463" s="1378">
        <f>IF($L463&gt;R$5,MAX(0,R$3+ROUND((R$9*($L463-R$5)),0)),IF($L463&gt;R$4,R$3,ROUND($L463*R$7,0)))</f>
        <v/>
      </c>
      <c r="H463" s="448">
        <f>IF($L463&gt;S$5,MAX(0,S$3+ROUND((S$9*($L463-S$5)),0)),IF($L463&gt;S$4,S$3,ROUND($L463*S$7,0)))</f>
        <v/>
      </c>
      <c r="I463" s="448">
        <f>IF($L463&gt;T$5,MAX(0,T$3+ROUND((T$9*($L463-T$5)),0)),IF($L463&gt;T$4,T$3,ROUND($L463*T$7,0)))</f>
        <v/>
      </c>
      <c r="J463" s="447">
        <f>IF($L463&gt;U$5,MAX(0,U$3+ROUND((U$9*($L463-U$5)),0)),IF($L463&gt;U$4,U$3,ROUND($L463*U$7,0)))</f>
        <v/>
      </c>
      <c r="K463" s="422" t="n"/>
      <c r="L463" s="448">
        <f>ROUND((A463+B463)/2,2)</f>
        <v/>
      </c>
    </row>
    <row r="464" ht="13.5" customHeight="1" s="7635">
      <c r="A464" s="448" t="n">
        <v>23000</v>
      </c>
      <c r="B464" s="447" t="n">
        <v>23050</v>
      </c>
      <c r="C464" s="1378">
        <f>IF($L464&gt;N$5,MAX(0,N$3+ROUND((N$9*($L464-N$5)),0)),IF($L464&gt;N$4,N$3,ROUND($L464*N$7,0)))</f>
        <v/>
      </c>
      <c r="D464" s="448">
        <f>IF($L464&gt;O$5,MAX(0,O$3+ROUND((O$9*($L464-O$5)),0)),IF($L464&gt;O$4,O$3,ROUND($L464*O$7,0)))</f>
        <v/>
      </c>
      <c r="E464" s="448">
        <f>IF($L464&gt;P$5,MAX(0,P$3+ROUND((P$9*($L464-P$5)),0)),IF($L464&gt;P$4,P$3,ROUND($L464*P$7,0)))</f>
        <v/>
      </c>
      <c r="F464" s="447">
        <f>IF($L464&gt;Q$5,MAX(0,Q$3+ROUND((Q$9*($L464-Q$5)),0)),IF($L464&gt;Q$4,Q$3,ROUND($L464*Q$7,0)))</f>
        <v/>
      </c>
      <c r="G464" s="1378">
        <f>IF($L464&gt;R$5,MAX(0,R$3+ROUND((R$9*($L464-R$5)),0)),IF($L464&gt;R$4,R$3,ROUND($L464*R$7,0)))</f>
        <v/>
      </c>
      <c r="H464" s="448">
        <f>IF($L464&gt;S$5,MAX(0,S$3+ROUND((S$9*($L464-S$5)),0)),IF($L464&gt;S$4,S$3,ROUND($L464*S$7,0)))</f>
        <v/>
      </c>
      <c r="I464" s="448">
        <f>IF($L464&gt;T$5,MAX(0,T$3+ROUND((T$9*($L464-T$5)),0)),IF($L464&gt;T$4,T$3,ROUND($L464*T$7,0)))</f>
        <v/>
      </c>
      <c r="J464" s="447">
        <f>IF($L464&gt;U$5,MAX(0,U$3+ROUND((U$9*($L464-U$5)),0)),IF($L464&gt;U$4,U$3,ROUND($L464*U$7,0)))</f>
        <v/>
      </c>
      <c r="K464" s="422" t="n"/>
      <c r="L464" s="448">
        <f>ROUND((A464+B464)/2,2)</f>
        <v/>
      </c>
    </row>
    <row r="465" ht="13.5" customHeight="1" s="7635">
      <c r="A465" s="448" t="n">
        <v>23050</v>
      </c>
      <c r="B465" s="447" t="n">
        <v>23100</v>
      </c>
      <c r="C465" s="1378">
        <f>IF($L465&gt;N$5,MAX(0,N$3+ROUND((N$9*($L465-N$5)),0)),IF($L465&gt;N$4,N$3,ROUND($L465*N$7,0)))</f>
        <v/>
      </c>
      <c r="D465" s="448">
        <f>IF($L465&gt;O$5,MAX(0,O$3+ROUND((O$9*($L465-O$5)),0)),IF($L465&gt;O$4,O$3,ROUND($L465*O$7,0)))</f>
        <v/>
      </c>
      <c r="E465" s="448">
        <f>IF($L465&gt;P$5,MAX(0,P$3+ROUND((P$9*($L465-P$5)),0)),IF($L465&gt;P$4,P$3,ROUND($L465*P$7,0)))</f>
        <v/>
      </c>
      <c r="F465" s="447">
        <f>IF($L465&gt;Q$5,MAX(0,Q$3+ROUND((Q$9*($L465-Q$5)),0)),IF($L465&gt;Q$4,Q$3,ROUND($L465*Q$7,0)))</f>
        <v/>
      </c>
      <c r="G465" s="1378">
        <f>IF($L465&gt;R$5,MAX(0,R$3+ROUND((R$9*($L465-R$5)),0)),IF($L465&gt;R$4,R$3,ROUND($L465*R$7,0)))</f>
        <v/>
      </c>
      <c r="H465" s="448">
        <f>IF($L465&gt;S$5,MAX(0,S$3+ROUND((S$9*($L465-S$5)),0)),IF($L465&gt;S$4,S$3,ROUND($L465*S$7,0)))</f>
        <v/>
      </c>
      <c r="I465" s="448">
        <f>IF($L465&gt;T$5,MAX(0,T$3+ROUND((T$9*($L465-T$5)),0)),IF($L465&gt;T$4,T$3,ROUND($L465*T$7,0)))</f>
        <v/>
      </c>
      <c r="J465" s="447">
        <f>IF($L465&gt;U$5,MAX(0,U$3+ROUND((U$9*($L465-U$5)),0)),IF($L465&gt;U$4,U$3,ROUND($L465*U$7,0)))</f>
        <v/>
      </c>
      <c r="K465" s="422" t="n"/>
      <c r="L465" s="448">
        <f>ROUND((A465+B465)/2,2)</f>
        <v/>
      </c>
    </row>
    <row r="466" ht="13.5" customHeight="1" s="7635">
      <c r="A466" s="448" t="n">
        <v>23100</v>
      </c>
      <c r="B466" s="447" t="n">
        <v>23150</v>
      </c>
      <c r="C466" s="1378">
        <f>IF($L466&gt;N$5,MAX(0,N$3+ROUND((N$9*($L466-N$5)),0)),IF($L466&gt;N$4,N$3,ROUND($L466*N$7,0)))</f>
        <v/>
      </c>
      <c r="D466" s="448">
        <f>IF($L466&gt;O$5,MAX(0,O$3+ROUND((O$9*($L466-O$5)),0)),IF($L466&gt;O$4,O$3,ROUND($L466*O$7,0)))</f>
        <v/>
      </c>
      <c r="E466" s="448">
        <f>IF($L466&gt;P$5,MAX(0,P$3+ROUND((P$9*($L466-P$5)),0)),IF($L466&gt;P$4,P$3,ROUND($L466*P$7,0)))</f>
        <v/>
      </c>
      <c r="F466" s="447">
        <f>IF($L466&gt;Q$5,MAX(0,Q$3+ROUND((Q$9*($L466-Q$5)),0)),IF($L466&gt;Q$4,Q$3,ROUND($L466*Q$7,0)))</f>
        <v/>
      </c>
      <c r="G466" s="1378">
        <f>IF($L466&gt;R$5,MAX(0,R$3+ROUND((R$9*($L466-R$5)),0)),IF($L466&gt;R$4,R$3,ROUND($L466*R$7,0)))</f>
        <v/>
      </c>
      <c r="H466" s="448">
        <f>IF($L466&gt;S$5,MAX(0,S$3+ROUND((S$9*($L466-S$5)),0)),IF($L466&gt;S$4,S$3,ROUND($L466*S$7,0)))</f>
        <v/>
      </c>
      <c r="I466" s="448">
        <f>IF($L466&gt;T$5,MAX(0,T$3+ROUND((T$9*($L466-T$5)),0)),IF($L466&gt;T$4,T$3,ROUND($L466*T$7,0)))</f>
        <v/>
      </c>
      <c r="J466" s="447">
        <f>IF($L466&gt;U$5,MAX(0,U$3+ROUND((U$9*($L466-U$5)),0)),IF($L466&gt;U$4,U$3,ROUND($L466*U$7,0)))</f>
        <v/>
      </c>
      <c r="K466" s="422" t="n"/>
      <c r="L466" s="448">
        <f>ROUND((A466+B466)/2,2)</f>
        <v/>
      </c>
    </row>
    <row r="467" ht="13.5" customHeight="1" s="7635">
      <c r="A467" s="448" t="n">
        <v>23150</v>
      </c>
      <c r="B467" s="447" t="n">
        <v>23200</v>
      </c>
      <c r="C467" s="1378">
        <f>IF($L467&gt;N$5,MAX(0,N$3+ROUND((N$9*($L467-N$5)),0)),IF($L467&gt;N$4,N$3,ROUND($L467*N$7,0)))</f>
        <v/>
      </c>
      <c r="D467" s="448">
        <f>IF($L467&gt;O$5,MAX(0,O$3+ROUND((O$9*($L467-O$5)),0)),IF($L467&gt;O$4,O$3,ROUND($L467*O$7,0)))</f>
        <v/>
      </c>
      <c r="E467" s="448">
        <f>IF($L467&gt;P$5,MAX(0,P$3+ROUND((P$9*($L467-P$5)),0)),IF($L467&gt;P$4,P$3,ROUND($L467*P$7,0)))</f>
        <v/>
      </c>
      <c r="F467" s="447">
        <f>IF($L467&gt;Q$5,MAX(0,Q$3+ROUND((Q$9*($L467-Q$5)),0)),IF($L467&gt;Q$4,Q$3,ROUND($L467*Q$7,0)))</f>
        <v/>
      </c>
      <c r="G467" s="1378">
        <f>IF($L467&gt;R$5,MAX(0,R$3+ROUND((R$9*($L467-R$5)),0)),IF($L467&gt;R$4,R$3,ROUND($L467*R$7,0)))</f>
        <v/>
      </c>
      <c r="H467" s="448">
        <f>IF($L467&gt;S$5,MAX(0,S$3+ROUND((S$9*($L467-S$5)),0)),IF($L467&gt;S$4,S$3,ROUND($L467*S$7,0)))</f>
        <v/>
      </c>
      <c r="I467" s="448">
        <f>IF($L467&gt;T$5,MAX(0,T$3+ROUND((T$9*($L467-T$5)),0)),IF($L467&gt;T$4,T$3,ROUND($L467*T$7,0)))</f>
        <v/>
      </c>
      <c r="J467" s="447">
        <f>IF($L467&gt;U$5,MAX(0,U$3+ROUND((U$9*($L467-U$5)),0)),IF($L467&gt;U$4,U$3,ROUND($L467*U$7,0)))</f>
        <v/>
      </c>
      <c r="K467" s="422" t="n"/>
      <c r="L467" s="448">
        <f>ROUND((A467+B467)/2,2)</f>
        <v/>
      </c>
    </row>
    <row r="468" ht="13.5" customHeight="1" s="7635">
      <c r="A468" s="448" t="n">
        <v>23200</v>
      </c>
      <c r="B468" s="447" t="n">
        <v>23250</v>
      </c>
      <c r="C468" s="1378">
        <f>IF($L468&gt;N$5,MAX(0,N$3+ROUND((N$9*($L468-N$5)),0)),IF($L468&gt;N$4,N$3,ROUND($L468*N$7,0)))</f>
        <v/>
      </c>
      <c r="D468" s="448">
        <f>IF($L468&gt;O$5,MAX(0,O$3+ROUND((O$9*($L468-O$5)),0)),IF($L468&gt;O$4,O$3,ROUND($L468*O$7,0)))</f>
        <v/>
      </c>
      <c r="E468" s="448">
        <f>IF($L468&gt;P$5,MAX(0,P$3+ROUND((P$9*($L468-P$5)),0)),IF($L468&gt;P$4,P$3,ROUND($L468*P$7,0)))</f>
        <v/>
      </c>
      <c r="F468" s="447">
        <f>IF($L468&gt;Q$5,MAX(0,Q$3+ROUND((Q$9*($L468-Q$5)),0)),IF($L468&gt;Q$4,Q$3,ROUND($L468*Q$7,0)))</f>
        <v/>
      </c>
      <c r="G468" s="1378">
        <f>IF($L468&gt;R$5,MAX(0,R$3+ROUND((R$9*($L468-R$5)),0)),IF($L468&gt;R$4,R$3,ROUND($L468*R$7,0)))</f>
        <v/>
      </c>
      <c r="H468" s="448">
        <f>IF($L468&gt;S$5,MAX(0,S$3+ROUND((S$9*($L468-S$5)),0)),IF($L468&gt;S$4,S$3,ROUND($L468*S$7,0)))</f>
        <v/>
      </c>
      <c r="I468" s="448">
        <f>IF($L468&gt;T$5,MAX(0,T$3+ROUND((T$9*($L468-T$5)),0)),IF($L468&gt;T$4,T$3,ROUND($L468*T$7,0)))</f>
        <v/>
      </c>
      <c r="J468" s="447">
        <f>IF($L468&gt;U$5,MAX(0,U$3+ROUND((U$9*($L468-U$5)),0)),IF($L468&gt;U$4,U$3,ROUND($L468*U$7,0)))</f>
        <v/>
      </c>
      <c r="K468" s="422" t="n"/>
      <c r="L468" s="448">
        <f>ROUND((A468+B468)/2,2)</f>
        <v/>
      </c>
    </row>
    <row r="469" ht="13.5" customHeight="1" s="7635">
      <c r="A469" s="448" t="n">
        <v>23250</v>
      </c>
      <c r="B469" s="447" t="n">
        <v>23300</v>
      </c>
      <c r="C469" s="1378">
        <f>IF($L469&gt;N$5,MAX(0,N$3+ROUND((N$9*($L469-N$5)),0)),IF($L469&gt;N$4,N$3,ROUND($L469*N$7,0)))</f>
        <v/>
      </c>
      <c r="D469" s="448">
        <f>IF($L469&gt;O$5,MAX(0,O$3+ROUND((O$9*($L469-O$5)),0)),IF($L469&gt;O$4,O$3,ROUND($L469*O$7,0)))</f>
        <v/>
      </c>
      <c r="E469" s="448">
        <f>IF($L469&gt;P$5,MAX(0,P$3+ROUND((P$9*($L469-P$5)),0)),IF($L469&gt;P$4,P$3,ROUND($L469*P$7,0)))</f>
        <v/>
      </c>
      <c r="F469" s="447">
        <f>IF($L469&gt;Q$5,MAX(0,Q$3+ROUND((Q$9*($L469-Q$5)),0)),IF($L469&gt;Q$4,Q$3,ROUND($L469*Q$7,0)))</f>
        <v/>
      </c>
      <c r="G469" s="1378">
        <f>IF($L469&gt;R$5,MAX(0,R$3+ROUND((R$9*($L469-R$5)),0)),IF($L469&gt;R$4,R$3,ROUND($L469*R$7,0)))</f>
        <v/>
      </c>
      <c r="H469" s="448">
        <f>IF($L469&gt;S$5,MAX(0,S$3+ROUND((S$9*($L469-S$5)),0)),IF($L469&gt;S$4,S$3,ROUND($L469*S$7,0)))</f>
        <v/>
      </c>
      <c r="I469" s="448">
        <f>IF($L469&gt;T$5,MAX(0,T$3+ROUND((T$9*($L469-T$5)),0)),IF($L469&gt;T$4,T$3,ROUND($L469*T$7,0)))</f>
        <v/>
      </c>
      <c r="J469" s="447">
        <f>IF($L469&gt;U$5,MAX(0,U$3+ROUND((U$9*($L469-U$5)),0)),IF($L469&gt;U$4,U$3,ROUND($L469*U$7,0)))</f>
        <v/>
      </c>
      <c r="K469" s="422" t="n"/>
      <c r="L469" s="448">
        <f>ROUND((A469+B469)/2,2)</f>
        <v/>
      </c>
    </row>
    <row r="470" ht="13.5" customHeight="1" s="7635">
      <c r="A470" s="448" t="n">
        <v>23300</v>
      </c>
      <c r="B470" s="447" t="n">
        <v>23350</v>
      </c>
      <c r="C470" s="1378">
        <f>IF($L470&gt;N$5,MAX(0,N$3+ROUND((N$9*($L470-N$5)),0)),IF($L470&gt;N$4,N$3,ROUND($L470*N$7,0)))</f>
        <v/>
      </c>
      <c r="D470" s="448">
        <f>IF($L470&gt;O$5,MAX(0,O$3+ROUND((O$9*($L470-O$5)),0)),IF($L470&gt;O$4,O$3,ROUND($L470*O$7,0)))</f>
        <v/>
      </c>
      <c r="E470" s="448">
        <f>IF($L470&gt;P$5,MAX(0,P$3+ROUND((P$9*($L470-P$5)),0)),IF($L470&gt;P$4,P$3,ROUND($L470*P$7,0)))</f>
        <v/>
      </c>
      <c r="F470" s="447">
        <f>IF($L470&gt;Q$5,MAX(0,Q$3+ROUND((Q$9*($L470-Q$5)),0)),IF($L470&gt;Q$4,Q$3,ROUND($L470*Q$7,0)))</f>
        <v/>
      </c>
      <c r="G470" s="1378">
        <f>IF($L470&gt;R$5,MAX(0,R$3+ROUND((R$9*($L470-R$5)),0)),IF($L470&gt;R$4,R$3,ROUND($L470*R$7,0)))</f>
        <v/>
      </c>
      <c r="H470" s="448">
        <f>IF($L470&gt;S$5,MAX(0,S$3+ROUND((S$9*($L470-S$5)),0)),IF($L470&gt;S$4,S$3,ROUND($L470*S$7,0)))</f>
        <v/>
      </c>
      <c r="I470" s="448">
        <f>IF($L470&gt;T$5,MAX(0,T$3+ROUND((T$9*($L470-T$5)),0)),IF($L470&gt;T$4,T$3,ROUND($L470*T$7,0)))</f>
        <v/>
      </c>
      <c r="J470" s="447">
        <f>IF($L470&gt;U$5,MAX(0,U$3+ROUND((U$9*($L470-U$5)),0)),IF($L470&gt;U$4,U$3,ROUND($L470*U$7,0)))</f>
        <v/>
      </c>
      <c r="K470" s="422" t="n"/>
      <c r="L470" s="448">
        <f>ROUND((A470+B470)/2,2)</f>
        <v/>
      </c>
    </row>
    <row r="471" ht="13.5" customHeight="1" s="7635">
      <c r="A471" s="448" t="n">
        <v>23350</v>
      </c>
      <c r="B471" s="447" t="n">
        <v>23400</v>
      </c>
      <c r="C471" s="1378">
        <f>IF($L471&gt;N$5,MAX(0,N$3+ROUND((N$9*($L471-N$5)),0)),IF($L471&gt;N$4,N$3,ROUND($L471*N$7,0)))</f>
        <v/>
      </c>
      <c r="D471" s="448">
        <f>IF($L471&gt;O$5,MAX(0,O$3+ROUND((O$9*($L471-O$5)),0)),IF($L471&gt;O$4,O$3,ROUND($L471*O$7,0)))</f>
        <v/>
      </c>
      <c r="E471" s="448">
        <f>IF($L471&gt;P$5,MAX(0,P$3+ROUND((P$9*($L471-P$5)),0)),IF($L471&gt;P$4,P$3,ROUND($L471*P$7,0)))</f>
        <v/>
      </c>
      <c r="F471" s="447">
        <f>IF($L471&gt;Q$5,MAX(0,Q$3+ROUND((Q$9*($L471-Q$5)),0)),IF($L471&gt;Q$4,Q$3,ROUND($L471*Q$7,0)))</f>
        <v/>
      </c>
      <c r="G471" s="1378">
        <f>IF($L471&gt;R$5,MAX(0,R$3+ROUND((R$9*($L471-R$5)),0)),IF($L471&gt;R$4,R$3,ROUND($L471*R$7,0)))</f>
        <v/>
      </c>
      <c r="H471" s="448">
        <f>IF($L471&gt;S$5,MAX(0,S$3+ROUND((S$9*($L471-S$5)),0)),IF($L471&gt;S$4,S$3,ROUND($L471*S$7,0)))</f>
        <v/>
      </c>
      <c r="I471" s="448">
        <f>IF($L471&gt;T$5,MAX(0,T$3+ROUND((T$9*($L471-T$5)),0)),IF($L471&gt;T$4,T$3,ROUND($L471*T$7,0)))</f>
        <v/>
      </c>
      <c r="J471" s="447">
        <f>IF($L471&gt;U$5,MAX(0,U$3+ROUND((U$9*($L471-U$5)),0)),IF($L471&gt;U$4,U$3,ROUND($L471*U$7,0)))</f>
        <v/>
      </c>
      <c r="K471" s="422" t="n"/>
      <c r="L471" s="448">
        <f>ROUND((A471+B471)/2,2)</f>
        <v/>
      </c>
    </row>
    <row r="472" ht="13.5" customHeight="1" s="7635">
      <c r="A472" s="448" t="n">
        <v>23400</v>
      </c>
      <c r="B472" s="447" t="n">
        <v>23450</v>
      </c>
      <c r="C472" s="1378">
        <f>IF($L472&gt;N$5,MAX(0,N$3+ROUND((N$9*($L472-N$5)),0)),IF($L472&gt;N$4,N$3,ROUND($L472*N$7,0)))</f>
        <v/>
      </c>
      <c r="D472" s="448">
        <f>IF($L472&gt;O$5,MAX(0,O$3+ROUND((O$9*($L472-O$5)),0)),IF($L472&gt;O$4,O$3,ROUND($L472*O$7,0)))</f>
        <v/>
      </c>
      <c r="E472" s="448">
        <f>IF($L472&gt;P$5,MAX(0,P$3+ROUND((P$9*($L472-P$5)),0)),IF($L472&gt;P$4,P$3,ROUND($L472*P$7,0)))</f>
        <v/>
      </c>
      <c r="F472" s="447">
        <f>IF($L472&gt;Q$5,MAX(0,Q$3+ROUND((Q$9*($L472-Q$5)),0)),IF($L472&gt;Q$4,Q$3,ROUND($L472*Q$7,0)))</f>
        <v/>
      </c>
      <c r="G472" s="1378">
        <f>IF($L472&gt;R$5,MAX(0,R$3+ROUND((R$9*($L472-R$5)),0)),IF($L472&gt;R$4,R$3,ROUND($L472*R$7,0)))</f>
        <v/>
      </c>
      <c r="H472" s="448">
        <f>IF($L472&gt;S$5,MAX(0,S$3+ROUND((S$9*($L472-S$5)),0)),IF($L472&gt;S$4,S$3,ROUND($L472*S$7,0)))</f>
        <v/>
      </c>
      <c r="I472" s="448">
        <f>IF($L472&gt;T$5,MAX(0,T$3+ROUND((T$9*($L472-T$5)),0)),IF($L472&gt;T$4,T$3,ROUND($L472*T$7,0)))</f>
        <v/>
      </c>
      <c r="J472" s="447">
        <f>IF($L472&gt;U$5,MAX(0,U$3+ROUND((U$9*($L472-U$5)),0)),IF($L472&gt;U$4,U$3,ROUND($L472*U$7,0)))</f>
        <v/>
      </c>
      <c r="K472" s="422" t="n"/>
      <c r="L472" s="448">
        <f>ROUND((A472+B472)/2,2)</f>
        <v/>
      </c>
    </row>
    <row r="473" ht="13.5" customHeight="1" s="7635">
      <c r="A473" s="448" t="n">
        <v>23450</v>
      </c>
      <c r="B473" s="447" t="n">
        <v>23500</v>
      </c>
      <c r="C473" s="1378">
        <f>IF($L473&gt;N$5,MAX(0,N$3+ROUND((N$9*($L473-N$5)),0)),IF($L473&gt;N$4,N$3,ROUND($L473*N$7,0)))</f>
        <v/>
      </c>
      <c r="D473" s="448">
        <f>IF($L473&gt;O$5,MAX(0,O$3+ROUND((O$9*($L473-O$5)),0)),IF($L473&gt;O$4,O$3,ROUND($L473*O$7,0)))</f>
        <v/>
      </c>
      <c r="E473" s="448">
        <f>IF($L473&gt;P$5,MAX(0,P$3+ROUND((P$9*($L473-P$5)),0)),IF($L473&gt;P$4,P$3,ROUND($L473*P$7,0)))</f>
        <v/>
      </c>
      <c r="F473" s="447">
        <f>IF($L473&gt;Q$5,MAX(0,Q$3+ROUND((Q$9*($L473-Q$5)),0)),IF($L473&gt;Q$4,Q$3,ROUND($L473*Q$7,0)))</f>
        <v/>
      </c>
      <c r="G473" s="1378">
        <f>IF($L473&gt;R$5,MAX(0,R$3+ROUND((R$9*($L473-R$5)),0)),IF($L473&gt;R$4,R$3,ROUND($L473*R$7,0)))</f>
        <v/>
      </c>
      <c r="H473" s="448">
        <f>IF($L473&gt;S$5,MAX(0,S$3+ROUND((S$9*($L473-S$5)),0)),IF($L473&gt;S$4,S$3,ROUND($L473*S$7,0)))</f>
        <v/>
      </c>
      <c r="I473" s="448">
        <f>IF($L473&gt;T$5,MAX(0,T$3+ROUND((T$9*($L473-T$5)),0)),IF($L473&gt;T$4,T$3,ROUND($L473*T$7,0)))</f>
        <v/>
      </c>
      <c r="J473" s="447">
        <f>IF($L473&gt;U$5,MAX(0,U$3+ROUND((U$9*($L473-U$5)),0)),IF($L473&gt;U$4,U$3,ROUND($L473*U$7,0)))</f>
        <v/>
      </c>
      <c r="K473" s="422" t="n"/>
      <c r="L473" s="448">
        <f>ROUND((A473+B473)/2,2)</f>
        <v/>
      </c>
    </row>
    <row r="474" ht="13.5" customHeight="1" s="7635">
      <c r="A474" s="448" t="n">
        <v>23500</v>
      </c>
      <c r="B474" s="447" t="n">
        <v>23550</v>
      </c>
      <c r="C474" s="1378">
        <f>IF($L474&gt;N$5,MAX(0,N$3+ROUND((N$9*($L474-N$5)),0)),IF($L474&gt;N$4,N$3,ROUND($L474*N$7,0)))</f>
        <v/>
      </c>
      <c r="D474" s="448">
        <f>IF($L474&gt;O$5,MAX(0,O$3+ROUND((O$9*($L474-O$5)),0)),IF($L474&gt;O$4,O$3,ROUND($L474*O$7,0)))</f>
        <v/>
      </c>
      <c r="E474" s="448">
        <f>IF($L474&gt;P$5,MAX(0,P$3+ROUND((P$9*($L474-P$5)),0)),IF($L474&gt;P$4,P$3,ROUND($L474*P$7,0)))</f>
        <v/>
      </c>
      <c r="F474" s="447">
        <f>IF($L474&gt;Q$5,MAX(0,Q$3+ROUND((Q$9*($L474-Q$5)),0)),IF($L474&gt;Q$4,Q$3,ROUND($L474*Q$7,0)))</f>
        <v/>
      </c>
      <c r="G474" s="1378">
        <f>IF($L474&gt;R$5,MAX(0,R$3+ROUND((R$9*($L474-R$5)),0)),IF($L474&gt;R$4,R$3,ROUND($L474*R$7,0)))</f>
        <v/>
      </c>
      <c r="H474" s="448">
        <f>IF($L474&gt;S$5,MAX(0,S$3+ROUND((S$9*($L474-S$5)),0)),IF($L474&gt;S$4,S$3,ROUND($L474*S$7,0)))</f>
        <v/>
      </c>
      <c r="I474" s="448">
        <f>IF($L474&gt;T$5,MAX(0,T$3+ROUND((T$9*($L474-T$5)),0)),IF($L474&gt;T$4,T$3,ROUND($L474*T$7,0)))</f>
        <v/>
      </c>
      <c r="J474" s="447">
        <f>IF($L474&gt;U$5,MAX(0,U$3+ROUND((U$9*($L474-U$5)),0)),IF($L474&gt;U$4,U$3,ROUND($L474*U$7,0)))</f>
        <v/>
      </c>
      <c r="K474" s="422" t="n"/>
      <c r="L474" s="448">
        <f>ROUND((A474+B474)/2,2)</f>
        <v/>
      </c>
    </row>
    <row r="475" ht="13.5" customHeight="1" s="7635">
      <c r="A475" s="448" t="n">
        <v>23550</v>
      </c>
      <c r="B475" s="447" t="n">
        <v>23600</v>
      </c>
      <c r="C475" s="1378">
        <f>IF($L475&gt;N$5,MAX(0,N$3+ROUND((N$9*($L475-N$5)),0)),IF($L475&gt;N$4,N$3,ROUND($L475*N$7,0)))</f>
        <v/>
      </c>
      <c r="D475" s="448">
        <f>IF($L475&gt;O$5,MAX(0,O$3+ROUND((O$9*($L475-O$5)),0)),IF($L475&gt;O$4,O$3,ROUND($L475*O$7,0)))</f>
        <v/>
      </c>
      <c r="E475" s="448">
        <f>IF($L475&gt;P$5,MAX(0,P$3+ROUND((P$9*($L475-P$5)),0)),IF($L475&gt;P$4,P$3,ROUND($L475*P$7,0)))</f>
        <v/>
      </c>
      <c r="F475" s="447">
        <f>IF($L475&gt;Q$5,MAX(0,Q$3+ROUND((Q$9*($L475-Q$5)),0)),IF($L475&gt;Q$4,Q$3,ROUND($L475*Q$7,0)))</f>
        <v/>
      </c>
      <c r="G475" s="1378">
        <f>IF($L475&gt;R$5,MAX(0,R$3+ROUND((R$9*($L475-R$5)),0)),IF($L475&gt;R$4,R$3,ROUND($L475*R$7,0)))</f>
        <v/>
      </c>
      <c r="H475" s="448">
        <f>IF($L475&gt;S$5,MAX(0,S$3+ROUND((S$9*($L475-S$5)),0)),IF($L475&gt;S$4,S$3,ROUND($L475*S$7,0)))</f>
        <v/>
      </c>
      <c r="I475" s="448">
        <f>IF($L475&gt;T$5,MAX(0,T$3+ROUND((T$9*($L475-T$5)),0)),IF($L475&gt;T$4,T$3,ROUND($L475*T$7,0)))</f>
        <v/>
      </c>
      <c r="J475" s="447">
        <f>IF($L475&gt;U$5,MAX(0,U$3+ROUND((U$9*($L475-U$5)),0)),IF($L475&gt;U$4,U$3,ROUND($L475*U$7,0)))</f>
        <v/>
      </c>
      <c r="K475" s="422" t="n"/>
      <c r="L475" s="448">
        <f>ROUND((A475+B475)/2,2)</f>
        <v/>
      </c>
    </row>
    <row r="476" ht="13.5" customHeight="1" s="7635">
      <c r="A476" s="448" t="n">
        <v>23600</v>
      </c>
      <c r="B476" s="447" t="n">
        <v>23650</v>
      </c>
      <c r="C476" s="1378">
        <f>IF($L476&gt;N$5,MAX(0,N$3+ROUND((N$9*($L476-N$5)),0)),IF($L476&gt;N$4,N$3,ROUND($L476*N$7,0)))</f>
        <v/>
      </c>
      <c r="D476" s="448">
        <f>IF($L476&gt;O$5,MAX(0,O$3+ROUND((O$9*($L476-O$5)),0)),IF($L476&gt;O$4,O$3,ROUND($L476*O$7,0)))</f>
        <v/>
      </c>
      <c r="E476" s="448">
        <f>IF($L476&gt;P$5,MAX(0,P$3+ROUND((P$9*($L476-P$5)),0)),IF($L476&gt;P$4,P$3,ROUND($L476*P$7,0)))</f>
        <v/>
      </c>
      <c r="F476" s="447">
        <f>IF($L476&gt;Q$5,MAX(0,Q$3+ROUND((Q$9*($L476-Q$5)),0)),IF($L476&gt;Q$4,Q$3,ROUND($L476*Q$7,0)))</f>
        <v/>
      </c>
      <c r="G476" s="1378">
        <f>IF($L476&gt;R$5,MAX(0,R$3+ROUND((R$9*($L476-R$5)),0)),IF($L476&gt;R$4,R$3,ROUND($L476*R$7,0)))</f>
        <v/>
      </c>
      <c r="H476" s="448">
        <f>IF($L476&gt;S$5,MAX(0,S$3+ROUND((S$9*($L476-S$5)),0)),IF($L476&gt;S$4,S$3,ROUND($L476*S$7,0)))</f>
        <v/>
      </c>
      <c r="I476" s="448">
        <f>IF($L476&gt;T$5,MAX(0,T$3+ROUND((T$9*($L476-T$5)),0)),IF($L476&gt;T$4,T$3,ROUND($L476*T$7,0)))</f>
        <v/>
      </c>
      <c r="J476" s="447">
        <f>IF($L476&gt;U$5,MAX(0,U$3+ROUND((U$9*($L476-U$5)),0)),IF($L476&gt;U$4,U$3,ROUND($L476*U$7,0)))</f>
        <v/>
      </c>
      <c r="K476" s="422" t="n"/>
      <c r="L476" s="448">
        <f>ROUND((A476+B476)/2,2)</f>
        <v/>
      </c>
    </row>
    <row r="477" ht="13.5" customHeight="1" s="7635">
      <c r="A477" s="448" t="n">
        <v>23650</v>
      </c>
      <c r="B477" s="447" t="n">
        <v>23700</v>
      </c>
      <c r="C477" s="1378">
        <f>IF($L477&gt;N$5,MAX(0,N$3+ROUND((N$9*($L477-N$5)),0)),IF($L477&gt;N$4,N$3,ROUND($L477*N$7,0)))</f>
        <v/>
      </c>
      <c r="D477" s="448">
        <f>IF($L477&gt;O$5,MAX(0,O$3+ROUND((O$9*($L477-O$5)),0)),IF($L477&gt;O$4,O$3,ROUND($L477*O$7,0)))</f>
        <v/>
      </c>
      <c r="E477" s="448">
        <f>IF($L477&gt;P$5,MAX(0,P$3+ROUND((P$9*($L477-P$5)),0)),IF($L477&gt;P$4,P$3,ROUND($L477*P$7,0)))</f>
        <v/>
      </c>
      <c r="F477" s="447">
        <f>IF($L477&gt;Q$5,MAX(0,Q$3+ROUND((Q$9*($L477-Q$5)),0)),IF($L477&gt;Q$4,Q$3,ROUND($L477*Q$7,0)))</f>
        <v/>
      </c>
      <c r="G477" s="1378">
        <f>IF($L477&gt;R$5,MAX(0,R$3+ROUND((R$9*($L477-R$5)),0)),IF($L477&gt;R$4,R$3,ROUND($L477*R$7,0)))</f>
        <v/>
      </c>
      <c r="H477" s="448">
        <f>IF($L477&gt;S$5,MAX(0,S$3+ROUND((S$9*($L477-S$5)),0)),IF($L477&gt;S$4,S$3,ROUND($L477*S$7,0)))</f>
        <v/>
      </c>
      <c r="I477" s="448">
        <f>IF($L477&gt;T$5,MAX(0,T$3+ROUND((T$9*($L477-T$5)),0)),IF($L477&gt;T$4,T$3,ROUND($L477*T$7,0)))</f>
        <v/>
      </c>
      <c r="J477" s="447">
        <f>IF($L477&gt;U$5,MAX(0,U$3+ROUND((U$9*($L477-U$5)),0)),IF($L477&gt;U$4,U$3,ROUND($L477*U$7,0)))</f>
        <v/>
      </c>
      <c r="K477" s="422" t="n"/>
      <c r="L477" s="448">
        <f>ROUND((A477+B477)/2,2)</f>
        <v/>
      </c>
    </row>
    <row r="478" ht="13.5" customHeight="1" s="7635">
      <c r="A478" s="448" t="n">
        <v>23700</v>
      </c>
      <c r="B478" s="447" t="n">
        <v>23750</v>
      </c>
      <c r="C478" s="1378">
        <f>IF($L478&gt;N$5,MAX(0,N$3+ROUND((N$9*($L478-N$5)),0)),IF($L478&gt;N$4,N$3,ROUND($L478*N$7,0)))</f>
        <v/>
      </c>
      <c r="D478" s="448">
        <f>IF($L478&gt;O$5,MAX(0,O$3+ROUND((O$9*($L478-O$5)),0)),IF($L478&gt;O$4,O$3,ROUND($L478*O$7,0)))</f>
        <v/>
      </c>
      <c r="E478" s="448">
        <f>IF($L478&gt;P$5,MAX(0,P$3+ROUND((P$9*($L478-P$5)),0)),IF($L478&gt;P$4,P$3,ROUND($L478*P$7,0)))</f>
        <v/>
      </c>
      <c r="F478" s="447">
        <f>IF($L478&gt;Q$5,MAX(0,Q$3+ROUND((Q$9*($L478-Q$5)),0)),IF($L478&gt;Q$4,Q$3,ROUND($L478*Q$7,0)))</f>
        <v/>
      </c>
      <c r="G478" s="1378">
        <f>IF($L478&gt;R$5,MAX(0,R$3+ROUND((R$9*($L478-R$5)),0)),IF($L478&gt;R$4,R$3,ROUND($L478*R$7,0)))</f>
        <v/>
      </c>
      <c r="H478" s="448">
        <f>IF($L478&gt;S$5,MAX(0,S$3+ROUND((S$9*($L478-S$5)),0)),IF($L478&gt;S$4,S$3,ROUND($L478*S$7,0)))</f>
        <v/>
      </c>
      <c r="I478" s="448">
        <f>IF($L478&gt;T$5,MAX(0,T$3+ROUND((T$9*($L478-T$5)),0)),IF($L478&gt;T$4,T$3,ROUND($L478*T$7,0)))</f>
        <v/>
      </c>
      <c r="J478" s="447">
        <f>IF($L478&gt;U$5,MAX(0,U$3+ROUND((U$9*($L478-U$5)),0)),IF($L478&gt;U$4,U$3,ROUND($L478*U$7,0)))</f>
        <v/>
      </c>
      <c r="K478" s="422" t="n"/>
      <c r="L478" s="448">
        <f>ROUND((A478+B478)/2,2)</f>
        <v/>
      </c>
    </row>
    <row r="479" ht="13.5" customHeight="1" s="7635">
      <c r="A479" s="448" t="n">
        <v>23750</v>
      </c>
      <c r="B479" s="447" t="n">
        <v>23800</v>
      </c>
      <c r="C479" s="1378">
        <f>IF($L479&gt;N$5,MAX(0,N$3+ROUND((N$9*($L479-N$5)),0)),IF($L479&gt;N$4,N$3,ROUND($L479*N$7,0)))</f>
        <v/>
      </c>
      <c r="D479" s="448">
        <f>IF($L479&gt;O$5,MAX(0,O$3+ROUND((O$9*($L479-O$5)),0)),IF($L479&gt;O$4,O$3,ROUND($L479*O$7,0)))</f>
        <v/>
      </c>
      <c r="E479" s="448">
        <f>IF($L479&gt;P$5,MAX(0,P$3+ROUND((P$9*($L479-P$5)),0)),IF($L479&gt;P$4,P$3,ROUND($L479*P$7,0)))</f>
        <v/>
      </c>
      <c r="F479" s="447">
        <f>IF($L479&gt;Q$5,MAX(0,Q$3+ROUND((Q$9*($L479-Q$5)),0)),IF($L479&gt;Q$4,Q$3,ROUND($L479*Q$7,0)))</f>
        <v/>
      </c>
      <c r="G479" s="1378">
        <f>IF($L479&gt;R$5,MAX(0,R$3+ROUND((R$9*($L479-R$5)),0)),IF($L479&gt;R$4,R$3,ROUND($L479*R$7,0)))</f>
        <v/>
      </c>
      <c r="H479" s="448">
        <f>IF($L479&gt;S$5,MAX(0,S$3+ROUND((S$9*($L479-S$5)),0)),IF($L479&gt;S$4,S$3,ROUND($L479*S$7,0)))</f>
        <v/>
      </c>
      <c r="I479" s="448">
        <f>IF($L479&gt;T$5,MAX(0,T$3+ROUND((T$9*($L479-T$5)),0)),IF($L479&gt;T$4,T$3,ROUND($L479*T$7,0)))</f>
        <v/>
      </c>
      <c r="J479" s="447">
        <f>IF($L479&gt;U$5,MAX(0,U$3+ROUND((U$9*($L479-U$5)),0)),IF($L479&gt;U$4,U$3,ROUND($L479*U$7,0)))</f>
        <v/>
      </c>
      <c r="K479" s="422" t="n"/>
      <c r="L479" s="448">
        <f>ROUND((A479+B479)/2,2)</f>
        <v/>
      </c>
    </row>
    <row r="480" ht="13.5" customHeight="1" s="7635">
      <c r="A480" s="448" t="n">
        <v>23800</v>
      </c>
      <c r="B480" s="447" t="n">
        <v>23850</v>
      </c>
      <c r="C480" s="1378">
        <f>IF($L480&gt;N$5,MAX(0,N$3+ROUND((N$9*($L480-N$5)),0)),IF($L480&gt;N$4,N$3,ROUND($L480*N$7,0)))</f>
        <v/>
      </c>
      <c r="D480" s="448">
        <f>IF($L480&gt;O$5,MAX(0,O$3+ROUND((O$9*($L480-O$5)),0)),IF($L480&gt;O$4,O$3,ROUND($L480*O$7,0)))</f>
        <v/>
      </c>
      <c r="E480" s="448">
        <f>IF($L480&gt;P$5,MAX(0,P$3+ROUND((P$9*($L480-P$5)),0)),IF($L480&gt;P$4,P$3,ROUND($L480*P$7,0)))</f>
        <v/>
      </c>
      <c r="F480" s="447">
        <f>IF($L480&gt;Q$5,MAX(0,Q$3+ROUND((Q$9*($L480-Q$5)),0)),IF($L480&gt;Q$4,Q$3,ROUND($L480*Q$7,0)))</f>
        <v/>
      </c>
      <c r="G480" s="1378">
        <f>IF($L480&gt;R$5,MAX(0,R$3+ROUND((R$9*($L480-R$5)),0)),IF($L480&gt;R$4,R$3,ROUND($L480*R$7,0)))</f>
        <v/>
      </c>
      <c r="H480" s="448">
        <f>IF($L480&gt;S$5,MAX(0,S$3+ROUND((S$9*($L480-S$5)),0)),IF($L480&gt;S$4,S$3,ROUND($L480*S$7,0)))</f>
        <v/>
      </c>
      <c r="I480" s="448">
        <f>IF($L480&gt;T$5,MAX(0,T$3+ROUND((T$9*($L480-T$5)),0)),IF($L480&gt;T$4,T$3,ROUND($L480*T$7,0)))</f>
        <v/>
      </c>
      <c r="J480" s="447">
        <f>IF($L480&gt;U$5,MAX(0,U$3+ROUND((U$9*($L480-U$5)),0)),IF($L480&gt;U$4,U$3,ROUND($L480*U$7,0)))</f>
        <v/>
      </c>
      <c r="K480" s="422" t="n"/>
      <c r="L480" s="448">
        <f>ROUND((A480+B480)/2,2)</f>
        <v/>
      </c>
    </row>
    <row r="481" ht="13.5" customHeight="1" s="7635">
      <c r="A481" s="448" t="n">
        <v>23850</v>
      </c>
      <c r="B481" s="447" t="n">
        <v>23900</v>
      </c>
      <c r="C481" s="1378">
        <f>IF($L481&gt;N$5,MAX(0,N$3+ROUND((N$9*($L481-N$5)),0)),IF($L481&gt;N$4,N$3,ROUND($L481*N$7,0)))</f>
        <v/>
      </c>
      <c r="D481" s="448">
        <f>IF($L481&gt;O$5,MAX(0,O$3+ROUND((O$9*($L481-O$5)),0)),IF($L481&gt;O$4,O$3,ROUND($L481*O$7,0)))</f>
        <v/>
      </c>
      <c r="E481" s="448">
        <f>IF($L481&gt;P$5,MAX(0,P$3+ROUND((P$9*($L481-P$5)),0)),IF($L481&gt;P$4,P$3,ROUND($L481*P$7,0)))</f>
        <v/>
      </c>
      <c r="F481" s="447">
        <f>IF($L481&gt;Q$5,MAX(0,Q$3+ROUND((Q$9*($L481-Q$5)),0)),IF($L481&gt;Q$4,Q$3,ROUND($L481*Q$7,0)))</f>
        <v/>
      </c>
      <c r="G481" s="1378">
        <f>IF($L481&gt;R$5,MAX(0,R$3+ROUND((R$9*($L481-R$5)),0)),IF($L481&gt;R$4,R$3,ROUND($L481*R$7,0)))</f>
        <v/>
      </c>
      <c r="H481" s="448">
        <f>IF($L481&gt;S$5,MAX(0,S$3+ROUND((S$9*($L481-S$5)),0)),IF($L481&gt;S$4,S$3,ROUND($L481*S$7,0)))</f>
        <v/>
      </c>
      <c r="I481" s="448">
        <f>IF($L481&gt;T$5,MAX(0,T$3+ROUND((T$9*($L481-T$5)),0)),IF($L481&gt;T$4,T$3,ROUND($L481*T$7,0)))</f>
        <v/>
      </c>
      <c r="J481" s="447">
        <f>IF($L481&gt;U$5,MAX(0,U$3+ROUND((U$9*($L481-U$5)),0)),IF($L481&gt;U$4,U$3,ROUND($L481*U$7,0)))</f>
        <v/>
      </c>
      <c r="K481" s="422" t="n"/>
      <c r="L481" s="448">
        <f>ROUND((A481+B481)/2,2)</f>
        <v/>
      </c>
    </row>
    <row r="482" ht="13.5" customHeight="1" s="7635">
      <c r="A482" s="448" t="n">
        <v>23900</v>
      </c>
      <c r="B482" s="447" t="n">
        <v>23950</v>
      </c>
      <c r="C482" s="1378">
        <f>IF($L482&gt;N$5,MAX(0,N$3+ROUND((N$9*($L482-N$5)),0)),IF($L482&gt;N$4,N$3,ROUND($L482*N$7,0)))</f>
        <v/>
      </c>
      <c r="D482" s="448">
        <f>IF($L482&gt;O$5,MAX(0,O$3+ROUND((O$9*($L482-O$5)),0)),IF($L482&gt;O$4,O$3,ROUND($L482*O$7,0)))</f>
        <v/>
      </c>
      <c r="E482" s="448">
        <f>IF($L482&gt;P$5,MAX(0,P$3+ROUND((P$9*($L482-P$5)),0)),IF($L482&gt;P$4,P$3,ROUND($L482*P$7,0)))</f>
        <v/>
      </c>
      <c r="F482" s="447">
        <f>IF($L482&gt;Q$5,MAX(0,Q$3+ROUND((Q$9*($L482-Q$5)),0)),IF($L482&gt;Q$4,Q$3,ROUND($L482*Q$7,0)))</f>
        <v/>
      </c>
      <c r="G482" s="1378">
        <f>IF($L482&gt;R$5,MAX(0,R$3+ROUND((R$9*($L482-R$5)),0)),IF($L482&gt;R$4,R$3,ROUND($L482*R$7,0)))</f>
        <v/>
      </c>
      <c r="H482" s="448">
        <f>IF($L482&gt;S$5,MAX(0,S$3+ROUND((S$9*($L482-S$5)),0)),IF($L482&gt;S$4,S$3,ROUND($L482*S$7,0)))</f>
        <v/>
      </c>
      <c r="I482" s="448">
        <f>IF($L482&gt;T$5,MAX(0,T$3+ROUND((T$9*($L482-T$5)),0)),IF($L482&gt;T$4,T$3,ROUND($L482*T$7,0)))</f>
        <v/>
      </c>
      <c r="J482" s="447">
        <f>IF($L482&gt;U$5,MAX(0,U$3+ROUND((U$9*($L482-U$5)),0)),IF($L482&gt;U$4,U$3,ROUND($L482*U$7,0)))</f>
        <v/>
      </c>
      <c r="K482" s="422" t="n"/>
      <c r="L482" s="448">
        <f>ROUND((A482+B482)/2,2)</f>
        <v/>
      </c>
    </row>
    <row r="483" ht="13.5" customHeight="1" s="7635">
      <c r="A483" s="448" t="n">
        <v>23950</v>
      </c>
      <c r="B483" s="447" t="n">
        <v>24000</v>
      </c>
      <c r="C483" s="1378">
        <f>IF($L483&gt;N$5,MAX(0,N$3+ROUND((N$9*($L483-N$5)),0)),IF($L483&gt;N$4,N$3,ROUND($L483*N$7,0)))</f>
        <v/>
      </c>
      <c r="D483" s="448">
        <f>IF($L483&gt;O$5,MAX(0,O$3+ROUND((O$9*($L483-O$5)),0)),IF($L483&gt;O$4,O$3,ROUND($L483*O$7,0)))</f>
        <v/>
      </c>
      <c r="E483" s="448">
        <f>IF($L483&gt;P$5,MAX(0,P$3+ROUND((P$9*($L483-P$5)),0)),IF($L483&gt;P$4,P$3,ROUND($L483*P$7,0)))</f>
        <v/>
      </c>
      <c r="F483" s="447">
        <f>IF($L483&gt;Q$5,MAX(0,Q$3+ROUND((Q$9*($L483-Q$5)),0)),IF($L483&gt;Q$4,Q$3,ROUND($L483*Q$7,0)))</f>
        <v/>
      </c>
      <c r="G483" s="1378">
        <f>IF($L483&gt;R$5,MAX(0,R$3+ROUND((R$9*($L483-R$5)),0)),IF($L483&gt;R$4,R$3,ROUND($L483*R$7,0)))</f>
        <v/>
      </c>
      <c r="H483" s="448">
        <f>IF($L483&gt;S$5,MAX(0,S$3+ROUND((S$9*($L483-S$5)),0)),IF($L483&gt;S$4,S$3,ROUND($L483*S$7,0)))</f>
        <v/>
      </c>
      <c r="I483" s="448">
        <f>IF($L483&gt;T$5,MAX(0,T$3+ROUND((T$9*($L483-T$5)),0)),IF($L483&gt;T$4,T$3,ROUND($L483*T$7,0)))</f>
        <v/>
      </c>
      <c r="J483" s="447">
        <f>IF($L483&gt;U$5,MAX(0,U$3+ROUND((U$9*($L483-U$5)),0)),IF($L483&gt;U$4,U$3,ROUND($L483*U$7,0)))</f>
        <v/>
      </c>
      <c r="K483" s="422" t="n"/>
      <c r="L483" s="448">
        <f>ROUND((A483+B483)/2,2)</f>
        <v/>
      </c>
    </row>
    <row r="484" ht="13.5" customHeight="1" s="7635">
      <c r="A484" s="448" t="n">
        <v>24000</v>
      </c>
      <c r="B484" s="447" t="n">
        <v>24050</v>
      </c>
      <c r="C484" s="1378">
        <f>IF($L484&gt;N$5,MAX(0,N$3+ROUND((N$9*($L484-N$5)),0)),IF($L484&gt;N$4,N$3,ROUND($L484*N$7,0)))</f>
        <v/>
      </c>
      <c r="D484" s="448">
        <f>IF($L484&gt;O$5,MAX(0,O$3+ROUND((O$9*($L484-O$5)),0)),IF($L484&gt;O$4,O$3,ROUND($L484*O$7,0)))</f>
        <v/>
      </c>
      <c r="E484" s="448">
        <f>IF($L484&gt;P$5,MAX(0,P$3+ROUND((P$9*($L484-P$5)),0)),IF($L484&gt;P$4,P$3,ROUND($L484*P$7,0)))</f>
        <v/>
      </c>
      <c r="F484" s="447">
        <f>IF($L484&gt;Q$5,MAX(0,Q$3+ROUND((Q$9*($L484-Q$5)),0)),IF($L484&gt;Q$4,Q$3,ROUND($L484*Q$7,0)))</f>
        <v/>
      </c>
      <c r="G484" s="1378">
        <f>IF($L484&gt;R$5,MAX(0,R$3+ROUND((R$9*($L484-R$5)),0)),IF($L484&gt;R$4,R$3,ROUND($L484*R$7,0)))</f>
        <v/>
      </c>
      <c r="H484" s="448">
        <f>IF($L484&gt;S$5,MAX(0,S$3+ROUND((S$9*($L484-S$5)),0)),IF($L484&gt;S$4,S$3,ROUND($L484*S$7,0)))</f>
        <v/>
      </c>
      <c r="I484" s="448">
        <f>IF($L484&gt;T$5,MAX(0,T$3+ROUND((T$9*($L484-T$5)),0)),IF($L484&gt;T$4,T$3,ROUND($L484*T$7,0)))</f>
        <v/>
      </c>
      <c r="J484" s="447">
        <f>IF($L484&gt;U$5,MAX(0,U$3+ROUND((U$9*($L484-U$5)),0)),IF($L484&gt;U$4,U$3,ROUND($L484*U$7,0)))</f>
        <v/>
      </c>
      <c r="K484" s="422" t="n"/>
      <c r="L484" s="448">
        <f>ROUND((A484+B484)/2,2)</f>
        <v/>
      </c>
    </row>
    <row r="485" ht="13.5" customHeight="1" s="7635">
      <c r="A485" s="448" t="n">
        <v>24050</v>
      </c>
      <c r="B485" s="447" t="n">
        <v>24100</v>
      </c>
      <c r="C485" s="1378">
        <f>IF($L485&gt;N$5,MAX(0,N$3+ROUND((N$9*($L485-N$5)),0)),IF($L485&gt;N$4,N$3,ROUND($L485*N$7,0)))</f>
        <v/>
      </c>
      <c r="D485" s="448">
        <f>IF($L485&gt;O$5,MAX(0,O$3+ROUND((O$9*($L485-O$5)),0)),IF($L485&gt;O$4,O$3,ROUND($L485*O$7,0)))</f>
        <v/>
      </c>
      <c r="E485" s="448">
        <f>IF($L485&gt;P$5,MAX(0,P$3+ROUND((P$9*($L485-P$5)),0)),IF($L485&gt;P$4,P$3,ROUND($L485*P$7,0)))</f>
        <v/>
      </c>
      <c r="F485" s="447">
        <f>IF($L485&gt;Q$5,MAX(0,Q$3+ROUND((Q$9*($L485-Q$5)),0)),IF($L485&gt;Q$4,Q$3,ROUND($L485*Q$7,0)))</f>
        <v/>
      </c>
      <c r="G485" s="1378">
        <f>IF($L485&gt;R$5,MAX(0,R$3+ROUND((R$9*($L485-R$5)),0)),IF($L485&gt;R$4,R$3,ROUND($L485*R$7,0)))</f>
        <v/>
      </c>
      <c r="H485" s="448">
        <f>IF($L485&gt;S$5,MAX(0,S$3+ROUND((S$9*($L485-S$5)),0)),IF($L485&gt;S$4,S$3,ROUND($L485*S$7,0)))</f>
        <v/>
      </c>
      <c r="I485" s="448">
        <f>IF($L485&gt;T$5,MAX(0,T$3+ROUND((T$9*($L485-T$5)),0)),IF($L485&gt;T$4,T$3,ROUND($L485*T$7,0)))</f>
        <v/>
      </c>
      <c r="J485" s="447">
        <f>IF($L485&gt;U$5,MAX(0,U$3+ROUND((U$9*($L485-U$5)),0)),IF($L485&gt;U$4,U$3,ROUND($L485*U$7,0)))</f>
        <v/>
      </c>
      <c r="K485" s="422" t="n"/>
      <c r="L485" s="448">
        <f>ROUND((A485+B485)/2,2)</f>
        <v/>
      </c>
    </row>
    <row r="486" ht="13.5" customHeight="1" s="7635">
      <c r="A486" s="448" t="n">
        <v>24100</v>
      </c>
      <c r="B486" s="447" t="n">
        <v>24150</v>
      </c>
      <c r="C486" s="1378">
        <f>IF($L486&gt;N$5,MAX(0,N$3+ROUND((N$9*($L486-N$5)),0)),IF($L486&gt;N$4,N$3,ROUND($L486*N$7,0)))</f>
        <v/>
      </c>
      <c r="D486" s="448">
        <f>IF($L486&gt;O$5,MAX(0,O$3+ROUND((O$9*($L486-O$5)),0)),IF($L486&gt;O$4,O$3,ROUND($L486*O$7,0)))</f>
        <v/>
      </c>
      <c r="E486" s="448">
        <f>IF($L486&gt;P$5,MAX(0,P$3+ROUND((P$9*($L486-P$5)),0)),IF($L486&gt;P$4,P$3,ROUND($L486*P$7,0)))</f>
        <v/>
      </c>
      <c r="F486" s="447">
        <f>IF($L486&gt;Q$5,MAX(0,Q$3+ROUND((Q$9*($L486-Q$5)),0)),IF($L486&gt;Q$4,Q$3,ROUND($L486*Q$7,0)))</f>
        <v/>
      </c>
      <c r="G486" s="1378">
        <f>IF($L486&gt;R$5,MAX(0,R$3+ROUND((R$9*($L486-R$5)),0)),IF($L486&gt;R$4,R$3,ROUND($L486*R$7,0)))</f>
        <v/>
      </c>
      <c r="H486" s="448">
        <f>IF($L486&gt;S$5,MAX(0,S$3+ROUND((S$9*($L486-S$5)),0)),IF($L486&gt;S$4,S$3,ROUND($L486*S$7,0)))</f>
        <v/>
      </c>
      <c r="I486" s="448">
        <f>IF($L486&gt;T$5,MAX(0,T$3+ROUND((T$9*($L486-T$5)),0)),IF($L486&gt;T$4,T$3,ROUND($L486*T$7,0)))</f>
        <v/>
      </c>
      <c r="J486" s="447">
        <f>IF($L486&gt;U$5,MAX(0,U$3+ROUND((U$9*($L486-U$5)),0)),IF($L486&gt;U$4,U$3,ROUND($L486*U$7,0)))</f>
        <v/>
      </c>
      <c r="K486" s="422" t="n"/>
      <c r="L486" s="448">
        <f>ROUND((A486+B486)/2,2)</f>
        <v/>
      </c>
    </row>
    <row r="487" ht="13.5" customHeight="1" s="7635">
      <c r="A487" s="448" t="n">
        <v>24150</v>
      </c>
      <c r="B487" s="447" t="n">
        <v>24200</v>
      </c>
      <c r="C487" s="1378">
        <f>IF($L487&gt;N$5,MAX(0,N$3+ROUND((N$9*($L487-N$5)),0)),IF($L487&gt;N$4,N$3,ROUND($L487*N$7,0)))</f>
        <v/>
      </c>
      <c r="D487" s="448">
        <f>IF($L487&gt;O$5,MAX(0,O$3+ROUND((O$9*($L487-O$5)),0)),IF($L487&gt;O$4,O$3,ROUND($L487*O$7,0)))</f>
        <v/>
      </c>
      <c r="E487" s="448">
        <f>IF($L487&gt;P$5,MAX(0,P$3+ROUND((P$9*($L487-P$5)),0)),IF($L487&gt;P$4,P$3,ROUND($L487*P$7,0)))</f>
        <v/>
      </c>
      <c r="F487" s="447">
        <f>IF($L487&gt;Q$5,MAX(0,Q$3+ROUND((Q$9*($L487-Q$5)),0)),IF($L487&gt;Q$4,Q$3,ROUND($L487*Q$7,0)))</f>
        <v/>
      </c>
      <c r="G487" s="1378">
        <f>IF($L487&gt;R$5,MAX(0,R$3+ROUND((R$9*($L487-R$5)),0)),IF($L487&gt;R$4,R$3,ROUND($L487*R$7,0)))</f>
        <v/>
      </c>
      <c r="H487" s="448">
        <f>IF($L487&gt;S$5,MAX(0,S$3+ROUND((S$9*($L487-S$5)),0)),IF($L487&gt;S$4,S$3,ROUND($L487*S$7,0)))</f>
        <v/>
      </c>
      <c r="I487" s="448">
        <f>IF($L487&gt;T$5,MAX(0,T$3+ROUND((T$9*($L487-T$5)),0)),IF($L487&gt;T$4,T$3,ROUND($L487*T$7,0)))</f>
        <v/>
      </c>
      <c r="J487" s="447">
        <f>IF($L487&gt;U$5,MAX(0,U$3+ROUND((U$9*($L487-U$5)),0)),IF($L487&gt;U$4,U$3,ROUND($L487*U$7,0)))</f>
        <v/>
      </c>
      <c r="K487" s="422" t="n"/>
      <c r="L487" s="448">
        <f>ROUND((A487+B487)/2,2)</f>
        <v/>
      </c>
    </row>
    <row r="488" ht="13.5" customHeight="1" s="7635">
      <c r="A488" s="448" t="n">
        <v>24200</v>
      </c>
      <c r="B488" s="447" t="n">
        <v>24250</v>
      </c>
      <c r="C488" s="1378">
        <f>IF($L488&gt;N$5,MAX(0,N$3+ROUND((N$9*($L488-N$5)),0)),IF($L488&gt;N$4,N$3,ROUND($L488*N$7,0)))</f>
        <v/>
      </c>
      <c r="D488" s="448">
        <f>IF($L488&gt;O$5,MAX(0,O$3+ROUND((O$9*($L488-O$5)),0)),IF($L488&gt;O$4,O$3,ROUND($L488*O$7,0)))</f>
        <v/>
      </c>
      <c r="E488" s="448">
        <f>IF($L488&gt;P$5,MAX(0,P$3+ROUND((P$9*($L488-P$5)),0)),IF($L488&gt;P$4,P$3,ROUND($L488*P$7,0)))</f>
        <v/>
      </c>
      <c r="F488" s="447">
        <f>IF($L488&gt;Q$5,MAX(0,Q$3+ROUND((Q$9*($L488-Q$5)),0)),IF($L488&gt;Q$4,Q$3,ROUND($L488*Q$7,0)))</f>
        <v/>
      </c>
      <c r="G488" s="1378">
        <f>IF($L488&gt;R$5,MAX(0,R$3+ROUND((R$9*($L488-R$5)),0)),IF($L488&gt;R$4,R$3,ROUND($L488*R$7,0)))</f>
        <v/>
      </c>
      <c r="H488" s="448">
        <f>IF($L488&gt;S$5,MAX(0,S$3+ROUND((S$9*($L488-S$5)),0)),IF($L488&gt;S$4,S$3,ROUND($L488*S$7,0)))</f>
        <v/>
      </c>
      <c r="I488" s="448">
        <f>IF($L488&gt;T$5,MAX(0,T$3+ROUND((T$9*($L488-T$5)),0)),IF($L488&gt;T$4,T$3,ROUND($L488*T$7,0)))</f>
        <v/>
      </c>
      <c r="J488" s="447">
        <f>IF($L488&gt;U$5,MAX(0,U$3+ROUND((U$9*($L488-U$5)),0)),IF($L488&gt;U$4,U$3,ROUND($L488*U$7,0)))</f>
        <v/>
      </c>
      <c r="K488" s="422" t="n"/>
      <c r="L488" s="448">
        <f>ROUND((A488+B488)/2,2)</f>
        <v/>
      </c>
    </row>
    <row r="489" ht="13.5" customHeight="1" s="7635">
      <c r="A489" s="448" t="n">
        <v>24250</v>
      </c>
      <c r="B489" s="447" t="n">
        <v>24300</v>
      </c>
      <c r="C489" s="1378">
        <f>IF($L489&gt;N$5,MAX(0,N$3+ROUND((N$9*($L489-N$5)),0)),IF($L489&gt;N$4,N$3,ROUND($L489*N$7,0)))</f>
        <v/>
      </c>
      <c r="D489" s="448">
        <f>IF($L489&gt;O$5,MAX(0,O$3+ROUND((O$9*($L489-O$5)),0)),IF($L489&gt;O$4,O$3,ROUND($L489*O$7,0)))</f>
        <v/>
      </c>
      <c r="E489" s="448">
        <f>IF($L489&gt;P$5,MAX(0,P$3+ROUND((P$9*($L489-P$5)),0)),IF($L489&gt;P$4,P$3,ROUND($L489*P$7,0)))</f>
        <v/>
      </c>
      <c r="F489" s="447">
        <f>IF($L489&gt;Q$5,MAX(0,Q$3+ROUND((Q$9*($L489-Q$5)),0)),IF($L489&gt;Q$4,Q$3,ROUND($L489*Q$7,0)))</f>
        <v/>
      </c>
      <c r="G489" s="1378">
        <f>IF($L489&gt;R$5,MAX(0,R$3+ROUND((R$9*($L489-R$5)),0)),IF($L489&gt;R$4,R$3,ROUND($L489*R$7,0)))</f>
        <v/>
      </c>
      <c r="H489" s="448">
        <f>IF($L489&gt;S$5,MAX(0,S$3+ROUND((S$9*($L489-S$5)),0)),IF($L489&gt;S$4,S$3,ROUND($L489*S$7,0)))</f>
        <v/>
      </c>
      <c r="I489" s="448">
        <f>IF($L489&gt;T$5,MAX(0,T$3+ROUND((T$9*($L489-T$5)),0)),IF($L489&gt;T$4,T$3,ROUND($L489*T$7,0)))</f>
        <v/>
      </c>
      <c r="J489" s="447">
        <f>IF($L489&gt;U$5,MAX(0,U$3+ROUND((U$9*($L489-U$5)),0)),IF($L489&gt;U$4,U$3,ROUND($L489*U$7,0)))</f>
        <v/>
      </c>
      <c r="K489" s="422" t="n"/>
      <c r="L489" s="448">
        <f>ROUND((A489+B489)/2,2)</f>
        <v/>
      </c>
    </row>
    <row r="490" ht="13.5" customHeight="1" s="7635">
      <c r="A490" s="448" t="n">
        <v>24300</v>
      </c>
      <c r="B490" s="447" t="n">
        <v>24350</v>
      </c>
      <c r="C490" s="1378">
        <f>IF($L490&gt;N$5,MAX(0,N$3+ROUND((N$9*($L490-N$5)),0)),IF($L490&gt;N$4,N$3,ROUND($L490*N$7,0)))</f>
        <v/>
      </c>
      <c r="D490" s="448">
        <f>IF($L490&gt;O$5,MAX(0,O$3+ROUND((O$9*($L490-O$5)),0)),IF($L490&gt;O$4,O$3,ROUND($L490*O$7,0)))</f>
        <v/>
      </c>
      <c r="E490" s="448">
        <f>IF($L490&gt;P$5,MAX(0,P$3+ROUND((P$9*($L490-P$5)),0)),IF($L490&gt;P$4,P$3,ROUND($L490*P$7,0)))</f>
        <v/>
      </c>
      <c r="F490" s="447">
        <f>IF($L490&gt;Q$5,MAX(0,Q$3+ROUND((Q$9*($L490-Q$5)),0)),IF($L490&gt;Q$4,Q$3,ROUND($L490*Q$7,0)))</f>
        <v/>
      </c>
      <c r="G490" s="1378">
        <f>IF($L490&gt;R$5,MAX(0,R$3+ROUND((R$9*($L490-R$5)),0)),IF($L490&gt;R$4,R$3,ROUND($L490*R$7,0)))</f>
        <v/>
      </c>
      <c r="H490" s="448">
        <f>IF($L490&gt;S$5,MAX(0,S$3+ROUND((S$9*($L490-S$5)),0)),IF($L490&gt;S$4,S$3,ROUND($L490*S$7,0)))</f>
        <v/>
      </c>
      <c r="I490" s="448">
        <f>IF($L490&gt;T$5,MAX(0,T$3+ROUND((T$9*($L490-T$5)),0)),IF($L490&gt;T$4,T$3,ROUND($L490*T$7,0)))</f>
        <v/>
      </c>
      <c r="J490" s="447">
        <f>IF($L490&gt;U$5,MAX(0,U$3+ROUND((U$9*($L490-U$5)),0)),IF($L490&gt;U$4,U$3,ROUND($L490*U$7,0)))</f>
        <v/>
      </c>
      <c r="K490" s="422" t="n"/>
      <c r="L490" s="448">
        <f>ROUND((A490+B490)/2,2)</f>
        <v/>
      </c>
    </row>
    <row r="491" ht="13.5" customHeight="1" s="7635">
      <c r="A491" s="448" t="n">
        <v>24350</v>
      </c>
      <c r="B491" s="447" t="n">
        <v>24400</v>
      </c>
      <c r="C491" s="1378">
        <f>IF($L491&gt;N$5,MAX(0,N$3+ROUND((N$9*($L491-N$5)),0)),IF($L491&gt;N$4,N$3,ROUND($L491*N$7,0)))</f>
        <v/>
      </c>
      <c r="D491" s="448">
        <f>IF($L491&gt;O$5,MAX(0,O$3+ROUND((O$9*($L491-O$5)),0)),IF($L491&gt;O$4,O$3,ROUND($L491*O$7,0)))</f>
        <v/>
      </c>
      <c r="E491" s="448">
        <f>IF($L491&gt;P$5,MAX(0,P$3+ROUND((P$9*($L491-P$5)),0)),IF($L491&gt;P$4,P$3,ROUND($L491*P$7,0)))</f>
        <v/>
      </c>
      <c r="F491" s="447">
        <f>IF($L491&gt;Q$5,MAX(0,Q$3+ROUND((Q$9*($L491-Q$5)),0)),IF($L491&gt;Q$4,Q$3,ROUND($L491*Q$7,0)))</f>
        <v/>
      </c>
      <c r="G491" s="1378">
        <f>IF($L491&gt;R$5,MAX(0,R$3+ROUND((R$9*($L491-R$5)),0)),IF($L491&gt;R$4,R$3,ROUND($L491*R$7,0)))</f>
        <v/>
      </c>
      <c r="H491" s="448">
        <f>IF($L491&gt;S$5,MAX(0,S$3+ROUND((S$9*($L491-S$5)),0)),IF($L491&gt;S$4,S$3,ROUND($L491*S$7,0)))</f>
        <v/>
      </c>
      <c r="I491" s="448">
        <f>IF($L491&gt;T$5,MAX(0,T$3+ROUND((T$9*($L491-T$5)),0)),IF($L491&gt;T$4,T$3,ROUND($L491*T$7,0)))</f>
        <v/>
      </c>
      <c r="J491" s="447">
        <f>IF($L491&gt;U$5,MAX(0,U$3+ROUND((U$9*($L491-U$5)),0)),IF($L491&gt;U$4,U$3,ROUND($L491*U$7,0)))</f>
        <v/>
      </c>
      <c r="K491" s="422" t="n"/>
      <c r="L491" s="448">
        <f>ROUND((A491+B491)/2,2)</f>
        <v/>
      </c>
    </row>
    <row r="492" ht="13.5" customHeight="1" s="7635">
      <c r="A492" s="448" t="n">
        <v>24400</v>
      </c>
      <c r="B492" s="447" t="n">
        <v>24450</v>
      </c>
      <c r="C492" s="1378">
        <f>IF($L492&gt;N$5,MAX(0,N$3+ROUND((N$9*($L492-N$5)),0)),IF($L492&gt;N$4,N$3,ROUND($L492*N$7,0)))</f>
        <v/>
      </c>
      <c r="D492" s="448">
        <f>IF($L492&gt;O$5,MAX(0,O$3+ROUND((O$9*($L492-O$5)),0)),IF($L492&gt;O$4,O$3,ROUND($L492*O$7,0)))</f>
        <v/>
      </c>
      <c r="E492" s="448">
        <f>IF($L492&gt;P$5,MAX(0,P$3+ROUND((P$9*($L492-P$5)),0)),IF($L492&gt;P$4,P$3,ROUND($L492*P$7,0)))</f>
        <v/>
      </c>
      <c r="F492" s="447">
        <f>IF($L492&gt;Q$5,MAX(0,Q$3+ROUND((Q$9*($L492-Q$5)),0)),IF($L492&gt;Q$4,Q$3,ROUND($L492*Q$7,0)))</f>
        <v/>
      </c>
      <c r="G492" s="1378">
        <f>IF($L492&gt;R$5,MAX(0,R$3+ROUND((R$9*($L492-R$5)),0)),IF($L492&gt;R$4,R$3,ROUND($L492*R$7,0)))</f>
        <v/>
      </c>
      <c r="H492" s="448">
        <f>IF($L492&gt;S$5,MAX(0,S$3+ROUND((S$9*($L492-S$5)),0)),IF($L492&gt;S$4,S$3,ROUND($L492*S$7,0)))</f>
        <v/>
      </c>
      <c r="I492" s="448">
        <f>IF($L492&gt;T$5,MAX(0,T$3+ROUND((T$9*($L492-T$5)),0)),IF($L492&gt;T$4,T$3,ROUND($L492*T$7,0)))</f>
        <v/>
      </c>
      <c r="J492" s="447">
        <f>IF($L492&gt;U$5,MAX(0,U$3+ROUND((U$9*($L492-U$5)),0)),IF($L492&gt;U$4,U$3,ROUND($L492*U$7,0)))</f>
        <v/>
      </c>
      <c r="K492" s="422" t="n"/>
      <c r="L492" s="448">
        <f>ROUND((A492+B492)/2,2)</f>
        <v/>
      </c>
    </row>
    <row r="493" ht="13.5" customHeight="1" s="7635">
      <c r="A493" s="448" t="n">
        <v>24450</v>
      </c>
      <c r="B493" s="447" t="n">
        <v>24500</v>
      </c>
      <c r="C493" s="1378">
        <f>IF($L493&gt;N$5,MAX(0,N$3+ROUND((N$9*($L493-N$5)),0)),IF($L493&gt;N$4,N$3,ROUND($L493*N$7,0)))</f>
        <v/>
      </c>
      <c r="D493" s="448">
        <f>IF($L493&gt;O$5,MAX(0,O$3+ROUND((O$9*($L493-O$5)),0)),IF($L493&gt;O$4,O$3,ROUND($L493*O$7,0)))</f>
        <v/>
      </c>
      <c r="E493" s="448">
        <f>IF($L493&gt;P$5,MAX(0,P$3+ROUND((P$9*($L493-P$5)),0)),IF($L493&gt;P$4,P$3,ROUND($L493*P$7,0)))</f>
        <v/>
      </c>
      <c r="F493" s="447">
        <f>IF($L493&gt;Q$5,MAX(0,Q$3+ROUND((Q$9*($L493-Q$5)),0)),IF($L493&gt;Q$4,Q$3,ROUND($L493*Q$7,0)))</f>
        <v/>
      </c>
      <c r="G493" s="1378">
        <f>IF($L493&gt;R$5,MAX(0,R$3+ROUND((R$9*($L493-R$5)),0)),IF($L493&gt;R$4,R$3,ROUND($L493*R$7,0)))</f>
        <v/>
      </c>
      <c r="H493" s="448">
        <f>IF($L493&gt;S$5,MAX(0,S$3+ROUND((S$9*($L493-S$5)),0)),IF($L493&gt;S$4,S$3,ROUND($L493*S$7,0)))</f>
        <v/>
      </c>
      <c r="I493" s="448">
        <f>IF($L493&gt;T$5,MAX(0,T$3+ROUND((T$9*($L493-T$5)),0)),IF($L493&gt;T$4,T$3,ROUND($L493*T$7,0)))</f>
        <v/>
      </c>
      <c r="J493" s="447">
        <f>IF($L493&gt;U$5,MAX(0,U$3+ROUND((U$9*($L493-U$5)),0)),IF($L493&gt;U$4,U$3,ROUND($L493*U$7,0)))</f>
        <v/>
      </c>
      <c r="K493" s="422" t="n"/>
      <c r="L493" s="448">
        <f>ROUND((A493+B493)/2,2)</f>
        <v/>
      </c>
    </row>
    <row r="494" ht="13.5" customHeight="1" s="7635">
      <c r="A494" s="448" t="n">
        <v>24500</v>
      </c>
      <c r="B494" s="447" t="n">
        <v>24550</v>
      </c>
      <c r="C494" s="1378">
        <f>IF($L494&gt;N$5,MAX(0,N$3+ROUND((N$9*($L494-N$5)),0)),IF($L494&gt;N$4,N$3,ROUND($L494*N$7,0)))</f>
        <v/>
      </c>
      <c r="D494" s="448">
        <f>IF($L494&gt;O$5,MAX(0,O$3+ROUND((O$9*($L494-O$5)),0)),IF($L494&gt;O$4,O$3,ROUND($L494*O$7,0)))</f>
        <v/>
      </c>
      <c r="E494" s="448">
        <f>IF($L494&gt;P$5,MAX(0,P$3+ROUND((P$9*($L494-P$5)),0)),IF($L494&gt;P$4,P$3,ROUND($L494*P$7,0)))</f>
        <v/>
      </c>
      <c r="F494" s="447">
        <f>IF($L494&gt;Q$5,MAX(0,Q$3+ROUND((Q$9*($L494-Q$5)),0)),IF($L494&gt;Q$4,Q$3,ROUND($L494*Q$7,0)))</f>
        <v/>
      </c>
      <c r="G494" s="1378">
        <f>IF($L494&gt;R$5,MAX(0,R$3+ROUND((R$9*($L494-R$5)),0)),IF($L494&gt;R$4,R$3,ROUND($L494*R$7,0)))</f>
        <v/>
      </c>
      <c r="H494" s="448">
        <f>IF($L494&gt;S$5,MAX(0,S$3+ROUND((S$9*($L494-S$5)),0)),IF($L494&gt;S$4,S$3,ROUND($L494*S$7,0)))</f>
        <v/>
      </c>
      <c r="I494" s="448">
        <f>IF($L494&gt;T$5,MAX(0,T$3+ROUND((T$9*($L494-T$5)),0)),IF($L494&gt;T$4,T$3,ROUND($L494*T$7,0)))</f>
        <v/>
      </c>
      <c r="J494" s="447">
        <f>IF($L494&gt;U$5,MAX(0,U$3+ROUND((U$9*($L494-U$5)),0)),IF($L494&gt;U$4,U$3,ROUND($L494*U$7,0)))</f>
        <v/>
      </c>
      <c r="K494" s="422" t="n"/>
      <c r="L494" s="448">
        <f>ROUND((A494+B494)/2,2)</f>
        <v/>
      </c>
    </row>
    <row r="495" ht="13.5" customHeight="1" s="7635">
      <c r="A495" s="448" t="n">
        <v>24550</v>
      </c>
      <c r="B495" s="447" t="n">
        <v>24600</v>
      </c>
      <c r="C495" s="1378">
        <f>IF($L495&gt;N$5,MAX(0,N$3+ROUND((N$9*($L495-N$5)),0)),IF($L495&gt;N$4,N$3,ROUND($L495*N$7,0)))</f>
        <v/>
      </c>
      <c r="D495" s="448">
        <f>IF($L495&gt;O$5,MAX(0,O$3+ROUND((O$9*($L495-O$5)),0)),IF($L495&gt;O$4,O$3,ROUND($L495*O$7,0)))</f>
        <v/>
      </c>
      <c r="E495" s="448">
        <f>IF($L495&gt;P$5,MAX(0,P$3+ROUND((P$9*($L495-P$5)),0)),IF($L495&gt;P$4,P$3,ROUND($L495*P$7,0)))</f>
        <v/>
      </c>
      <c r="F495" s="447">
        <f>IF($L495&gt;Q$5,MAX(0,Q$3+ROUND((Q$9*($L495-Q$5)),0)),IF($L495&gt;Q$4,Q$3,ROUND($L495*Q$7,0)))</f>
        <v/>
      </c>
      <c r="G495" s="1378">
        <f>IF($L495&gt;R$5,MAX(0,R$3+ROUND((R$9*($L495-R$5)),0)),IF($L495&gt;R$4,R$3,ROUND($L495*R$7,0)))</f>
        <v/>
      </c>
      <c r="H495" s="448">
        <f>IF($L495&gt;S$5,MAX(0,S$3+ROUND((S$9*($L495-S$5)),0)),IF($L495&gt;S$4,S$3,ROUND($L495*S$7,0)))</f>
        <v/>
      </c>
      <c r="I495" s="448">
        <f>IF($L495&gt;T$5,MAX(0,T$3+ROUND((T$9*($L495-T$5)),0)),IF($L495&gt;T$4,T$3,ROUND($L495*T$7,0)))</f>
        <v/>
      </c>
      <c r="J495" s="447">
        <f>IF($L495&gt;U$5,MAX(0,U$3+ROUND((U$9*($L495-U$5)),0)),IF($L495&gt;U$4,U$3,ROUND($L495*U$7,0)))</f>
        <v/>
      </c>
      <c r="K495" s="422" t="n"/>
      <c r="L495" s="448">
        <f>ROUND((A495+B495)/2,2)</f>
        <v/>
      </c>
    </row>
    <row r="496" ht="13.5" customHeight="1" s="7635">
      <c r="A496" s="448" t="n">
        <v>24600</v>
      </c>
      <c r="B496" s="447" t="n">
        <v>24650</v>
      </c>
      <c r="C496" s="1378">
        <f>IF($L496&gt;N$5,MAX(0,N$3+ROUND((N$9*($L496-N$5)),0)),IF($L496&gt;N$4,N$3,ROUND($L496*N$7,0)))</f>
        <v/>
      </c>
      <c r="D496" s="448">
        <f>IF($L496&gt;O$5,MAX(0,O$3+ROUND((O$9*($L496-O$5)),0)),IF($L496&gt;O$4,O$3,ROUND($L496*O$7,0)))</f>
        <v/>
      </c>
      <c r="E496" s="448">
        <f>IF($L496&gt;P$5,MAX(0,P$3+ROUND((P$9*($L496-P$5)),0)),IF($L496&gt;P$4,P$3,ROUND($L496*P$7,0)))</f>
        <v/>
      </c>
      <c r="F496" s="447">
        <f>IF($L496&gt;Q$5,MAX(0,Q$3+ROUND((Q$9*($L496-Q$5)),0)),IF($L496&gt;Q$4,Q$3,ROUND($L496*Q$7,0)))</f>
        <v/>
      </c>
      <c r="G496" s="1378">
        <f>IF($L496&gt;R$5,MAX(0,R$3+ROUND((R$9*($L496-R$5)),0)),IF($L496&gt;R$4,R$3,ROUND($L496*R$7,0)))</f>
        <v/>
      </c>
      <c r="H496" s="448">
        <f>IF($L496&gt;S$5,MAX(0,S$3+ROUND((S$9*($L496-S$5)),0)),IF($L496&gt;S$4,S$3,ROUND($L496*S$7,0)))</f>
        <v/>
      </c>
      <c r="I496" s="448">
        <f>IF($L496&gt;T$5,MAX(0,T$3+ROUND((T$9*($L496-T$5)),0)),IF($L496&gt;T$4,T$3,ROUND($L496*T$7,0)))</f>
        <v/>
      </c>
      <c r="J496" s="447">
        <f>IF($L496&gt;U$5,MAX(0,U$3+ROUND((U$9*($L496-U$5)),0)),IF($L496&gt;U$4,U$3,ROUND($L496*U$7,0)))</f>
        <v/>
      </c>
      <c r="K496" s="422" t="n"/>
      <c r="L496" s="448">
        <f>ROUND((A496+B496)/2,2)</f>
        <v/>
      </c>
    </row>
    <row r="497" ht="13.5" customHeight="1" s="7635">
      <c r="A497" s="448" t="n">
        <v>24650</v>
      </c>
      <c r="B497" s="447" t="n">
        <v>24700</v>
      </c>
      <c r="C497" s="1378">
        <f>IF($L497&gt;N$5,MAX(0,N$3+ROUND((N$9*($L497-N$5)),0)),IF($L497&gt;N$4,N$3,ROUND($L497*N$7,0)))</f>
        <v/>
      </c>
      <c r="D497" s="448">
        <f>IF($L497&gt;O$5,MAX(0,O$3+ROUND((O$9*($L497-O$5)),0)),IF($L497&gt;O$4,O$3,ROUND($L497*O$7,0)))</f>
        <v/>
      </c>
      <c r="E497" s="448">
        <f>IF($L497&gt;P$5,MAX(0,P$3+ROUND((P$9*($L497-P$5)),0)),IF($L497&gt;P$4,P$3,ROUND($L497*P$7,0)))</f>
        <v/>
      </c>
      <c r="F497" s="447">
        <f>IF($L497&gt;Q$5,MAX(0,Q$3+ROUND((Q$9*($L497-Q$5)),0)),IF($L497&gt;Q$4,Q$3,ROUND($L497*Q$7,0)))</f>
        <v/>
      </c>
      <c r="G497" s="1378">
        <f>IF($L497&gt;R$5,MAX(0,R$3+ROUND((R$9*($L497-R$5)),0)),IF($L497&gt;R$4,R$3,ROUND($L497*R$7,0)))</f>
        <v/>
      </c>
      <c r="H497" s="448">
        <f>IF($L497&gt;S$5,MAX(0,S$3+ROUND((S$9*($L497-S$5)),0)),IF($L497&gt;S$4,S$3,ROUND($L497*S$7,0)))</f>
        <v/>
      </c>
      <c r="I497" s="448">
        <f>IF($L497&gt;T$5,MAX(0,T$3+ROUND((T$9*($L497-T$5)),0)),IF($L497&gt;T$4,T$3,ROUND($L497*T$7,0)))</f>
        <v/>
      </c>
      <c r="J497" s="447">
        <f>IF($L497&gt;U$5,MAX(0,U$3+ROUND((U$9*($L497-U$5)),0)),IF($L497&gt;U$4,U$3,ROUND($L497*U$7,0)))</f>
        <v/>
      </c>
      <c r="K497" s="422" t="n"/>
      <c r="L497" s="448">
        <f>ROUND((A497+B497)/2,2)</f>
        <v/>
      </c>
    </row>
    <row r="498" ht="13.5" customHeight="1" s="7635">
      <c r="A498" s="448" t="n">
        <v>24700</v>
      </c>
      <c r="B498" s="447" t="n">
        <v>24750</v>
      </c>
      <c r="C498" s="1378">
        <f>IF($L498&gt;N$5,MAX(0,N$3+ROUND((N$9*($L498-N$5)),0)),IF($L498&gt;N$4,N$3,ROUND($L498*N$7,0)))</f>
        <v/>
      </c>
      <c r="D498" s="448">
        <f>IF($L498&gt;O$5,MAX(0,O$3+ROUND((O$9*($L498-O$5)),0)),IF($L498&gt;O$4,O$3,ROUND($L498*O$7,0)))</f>
        <v/>
      </c>
      <c r="E498" s="448">
        <f>IF($L498&gt;P$5,MAX(0,P$3+ROUND((P$9*($L498-P$5)),0)),IF($L498&gt;P$4,P$3,ROUND($L498*P$7,0)))</f>
        <v/>
      </c>
      <c r="F498" s="447">
        <f>IF($L498&gt;Q$5,MAX(0,Q$3+ROUND((Q$9*($L498-Q$5)),0)),IF($L498&gt;Q$4,Q$3,ROUND($L498*Q$7,0)))</f>
        <v/>
      </c>
      <c r="G498" s="1378">
        <f>IF($L498&gt;R$5,MAX(0,R$3+ROUND((R$9*($L498-R$5)),0)),IF($L498&gt;R$4,R$3,ROUND($L498*R$7,0)))</f>
        <v/>
      </c>
      <c r="H498" s="448">
        <f>IF($L498&gt;S$5,MAX(0,S$3+ROUND((S$9*($L498-S$5)),0)),IF($L498&gt;S$4,S$3,ROUND($L498*S$7,0)))</f>
        <v/>
      </c>
      <c r="I498" s="448">
        <f>IF($L498&gt;T$5,MAX(0,T$3+ROUND((T$9*($L498-T$5)),0)),IF($L498&gt;T$4,T$3,ROUND($L498*T$7,0)))</f>
        <v/>
      </c>
      <c r="J498" s="447">
        <f>IF($L498&gt;U$5,MAX(0,U$3+ROUND((U$9*($L498-U$5)),0)),IF($L498&gt;U$4,U$3,ROUND($L498*U$7,0)))</f>
        <v/>
      </c>
      <c r="K498" s="422" t="n"/>
      <c r="L498" s="448">
        <f>ROUND((A498+B498)/2,2)</f>
        <v/>
      </c>
    </row>
    <row r="499" ht="13.5" customHeight="1" s="7635">
      <c r="A499" s="448" t="n">
        <v>24750</v>
      </c>
      <c r="B499" s="447" t="n">
        <v>24800</v>
      </c>
      <c r="C499" s="1378">
        <f>IF($L499&gt;N$5,MAX(0,N$3+ROUND((N$9*($L499-N$5)),0)),IF($L499&gt;N$4,N$3,ROUND($L499*N$7,0)))</f>
        <v/>
      </c>
      <c r="D499" s="448">
        <f>IF($L499&gt;O$5,MAX(0,O$3+ROUND((O$9*($L499-O$5)),0)),IF($L499&gt;O$4,O$3,ROUND($L499*O$7,0)))</f>
        <v/>
      </c>
      <c r="E499" s="448">
        <f>IF($L499&gt;P$5,MAX(0,P$3+ROUND((P$9*($L499-P$5)),0)),IF($L499&gt;P$4,P$3,ROUND($L499*P$7,0)))</f>
        <v/>
      </c>
      <c r="F499" s="447">
        <f>IF($L499&gt;Q$5,MAX(0,Q$3+ROUND((Q$9*($L499-Q$5)),0)),IF($L499&gt;Q$4,Q$3,ROUND($L499*Q$7,0)))</f>
        <v/>
      </c>
      <c r="G499" s="1378">
        <f>IF($L499&gt;R$5,MAX(0,R$3+ROUND((R$9*($L499-R$5)),0)),IF($L499&gt;R$4,R$3,ROUND($L499*R$7,0)))</f>
        <v/>
      </c>
      <c r="H499" s="448">
        <f>IF($L499&gt;S$5,MAX(0,S$3+ROUND((S$9*($L499-S$5)),0)),IF($L499&gt;S$4,S$3,ROUND($L499*S$7,0)))</f>
        <v/>
      </c>
      <c r="I499" s="448">
        <f>IF($L499&gt;T$5,MAX(0,T$3+ROUND((T$9*($L499-T$5)),0)),IF($L499&gt;T$4,T$3,ROUND($L499*T$7,0)))</f>
        <v/>
      </c>
      <c r="J499" s="447">
        <f>IF($L499&gt;U$5,MAX(0,U$3+ROUND((U$9*($L499-U$5)),0)),IF($L499&gt;U$4,U$3,ROUND($L499*U$7,0)))</f>
        <v/>
      </c>
      <c r="K499" s="422" t="n"/>
      <c r="L499" s="448">
        <f>ROUND((A499+B499)/2,2)</f>
        <v/>
      </c>
    </row>
    <row r="500" ht="13.5" customHeight="1" s="7635">
      <c r="A500" s="448" t="n">
        <v>24800</v>
      </c>
      <c r="B500" s="447" t="n">
        <v>24850</v>
      </c>
      <c r="C500" s="1378">
        <f>IF($L500&gt;N$5,MAX(0,N$3+ROUND((N$9*($L500-N$5)),0)),IF($L500&gt;N$4,N$3,ROUND($L500*N$7,0)))</f>
        <v/>
      </c>
      <c r="D500" s="448">
        <f>IF($L500&gt;O$5,MAX(0,O$3+ROUND((O$9*($L500-O$5)),0)),IF($L500&gt;O$4,O$3,ROUND($L500*O$7,0)))</f>
        <v/>
      </c>
      <c r="E500" s="448">
        <f>IF($L500&gt;P$5,MAX(0,P$3+ROUND((P$9*($L500-P$5)),0)),IF($L500&gt;P$4,P$3,ROUND($L500*P$7,0)))</f>
        <v/>
      </c>
      <c r="F500" s="447">
        <f>IF($L500&gt;Q$5,MAX(0,Q$3+ROUND((Q$9*($L500-Q$5)),0)),IF($L500&gt;Q$4,Q$3,ROUND($L500*Q$7,0)))</f>
        <v/>
      </c>
      <c r="G500" s="1378">
        <f>IF($L500&gt;R$5,MAX(0,R$3+ROUND((R$9*($L500-R$5)),0)),IF($L500&gt;R$4,R$3,ROUND($L500*R$7,0)))</f>
        <v/>
      </c>
      <c r="H500" s="448">
        <f>IF($L500&gt;S$5,MAX(0,S$3+ROUND((S$9*($L500-S$5)),0)),IF($L500&gt;S$4,S$3,ROUND($L500*S$7,0)))</f>
        <v/>
      </c>
      <c r="I500" s="448">
        <f>IF($L500&gt;T$5,MAX(0,T$3+ROUND((T$9*($L500-T$5)),0)),IF($L500&gt;T$4,T$3,ROUND($L500*T$7,0)))</f>
        <v/>
      </c>
      <c r="J500" s="447">
        <f>IF($L500&gt;U$5,MAX(0,U$3+ROUND((U$9*($L500-U$5)),0)),IF($L500&gt;U$4,U$3,ROUND($L500*U$7,0)))</f>
        <v/>
      </c>
      <c r="K500" s="422" t="n"/>
      <c r="L500" s="448">
        <f>ROUND((A500+B500)/2,2)</f>
        <v/>
      </c>
    </row>
    <row r="501" ht="13.5" customHeight="1" s="7635">
      <c r="A501" s="448" t="n">
        <v>24850</v>
      </c>
      <c r="B501" s="447" t="n">
        <v>24900</v>
      </c>
      <c r="C501" s="1378">
        <f>IF($L501&gt;N$5,MAX(0,N$3+ROUND((N$9*($L501-N$5)),0)),IF($L501&gt;N$4,N$3,ROUND($L501*N$7,0)))</f>
        <v/>
      </c>
      <c r="D501" s="448">
        <f>IF($L501&gt;O$5,MAX(0,O$3+ROUND((O$9*($L501-O$5)),0)),IF($L501&gt;O$4,O$3,ROUND($L501*O$7,0)))</f>
        <v/>
      </c>
      <c r="E501" s="448">
        <f>IF($L501&gt;P$5,MAX(0,P$3+ROUND((P$9*($L501-P$5)),0)),IF($L501&gt;P$4,P$3,ROUND($L501*P$7,0)))</f>
        <v/>
      </c>
      <c r="F501" s="447">
        <f>IF($L501&gt;Q$5,MAX(0,Q$3+ROUND((Q$9*($L501-Q$5)),0)),IF($L501&gt;Q$4,Q$3,ROUND($L501*Q$7,0)))</f>
        <v/>
      </c>
      <c r="G501" s="1378">
        <f>IF($L501&gt;R$5,MAX(0,R$3+ROUND((R$9*($L501-R$5)),0)),IF($L501&gt;R$4,R$3,ROUND($L501*R$7,0)))</f>
        <v/>
      </c>
      <c r="H501" s="448">
        <f>IF($L501&gt;S$5,MAX(0,S$3+ROUND((S$9*($L501-S$5)),0)),IF($L501&gt;S$4,S$3,ROUND($L501*S$7,0)))</f>
        <v/>
      </c>
      <c r="I501" s="448">
        <f>IF($L501&gt;T$5,MAX(0,T$3+ROUND((T$9*($L501-T$5)),0)),IF($L501&gt;T$4,T$3,ROUND($L501*T$7,0)))</f>
        <v/>
      </c>
      <c r="J501" s="447">
        <f>IF($L501&gt;U$5,MAX(0,U$3+ROUND((U$9*($L501-U$5)),0)),IF($L501&gt;U$4,U$3,ROUND($L501*U$7,0)))</f>
        <v/>
      </c>
      <c r="K501" s="422" t="n"/>
      <c r="L501" s="448">
        <f>ROUND((A501+B501)/2,2)</f>
        <v/>
      </c>
    </row>
    <row r="502" ht="13.5" customHeight="1" s="7635">
      <c r="A502" s="448" t="n">
        <v>24900</v>
      </c>
      <c r="B502" s="447" t="n">
        <v>24950</v>
      </c>
      <c r="C502" s="1378">
        <f>IF($L502&gt;N$5,MAX(0,N$3+ROUND((N$9*($L502-N$5)),0)),IF($L502&gt;N$4,N$3,ROUND($L502*N$7,0)))</f>
        <v/>
      </c>
      <c r="D502" s="448">
        <f>IF($L502&gt;O$5,MAX(0,O$3+ROUND((O$9*($L502-O$5)),0)),IF($L502&gt;O$4,O$3,ROUND($L502*O$7,0)))</f>
        <v/>
      </c>
      <c r="E502" s="448">
        <f>IF($L502&gt;P$5,MAX(0,P$3+ROUND((P$9*($L502-P$5)),0)),IF($L502&gt;P$4,P$3,ROUND($L502*P$7,0)))</f>
        <v/>
      </c>
      <c r="F502" s="447">
        <f>IF($L502&gt;Q$5,MAX(0,Q$3+ROUND((Q$9*($L502-Q$5)),0)),IF($L502&gt;Q$4,Q$3,ROUND($L502*Q$7,0)))</f>
        <v/>
      </c>
      <c r="G502" s="1378">
        <f>IF($L502&gt;R$5,MAX(0,R$3+ROUND((R$9*($L502-R$5)),0)),IF($L502&gt;R$4,R$3,ROUND($L502*R$7,0)))</f>
        <v/>
      </c>
      <c r="H502" s="448">
        <f>IF($L502&gt;S$5,MAX(0,S$3+ROUND((S$9*($L502-S$5)),0)),IF($L502&gt;S$4,S$3,ROUND($L502*S$7,0)))</f>
        <v/>
      </c>
      <c r="I502" s="448">
        <f>IF($L502&gt;T$5,MAX(0,T$3+ROUND((T$9*($L502-T$5)),0)),IF($L502&gt;T$4,T$3,ROUND($L502*T$7,0)))</f>
        <v/>
      </c>
      <c r="J502" s="447">
        <f>IF($L502&gt;U$5,MAX(0,U$3+ROUND((U$9*($L502-U$5)),0)),IF($L502&gt;U$4,U$3,ROUND($L502*U$7,0)))</f>
        <v/>
      </c>
      <c r="K502" s="422" t="n"/>
      <c r="L502" s="448">
        <f>ROUND((A502+B502)/2,2)</f>
        <v/>
      </c>
    </row>
    <row r="503" ht="13.5" customHeight="1" s="7635">
      <c r="A503" s="448" t="n">
        <v>24950</v>
      </c>
      <c r="B503" s="447" t="n">
        <v>25000</v>
      </c>
      <c r="C503" s="1378">
        <f>IF($L503&gt;N$5,MAX(0,N$3+ROUND((N$9*($L503-N$5)),0)),IF($L503&gt;N$4,N$3,ROUND($L503*N$7,0)))</f>
        <v/>
      </c>
      <c r="D503" s="448">
        <f>IF($L503&gt;O$5,MAX(0,O$3+ROUND((O$9*($L503-O$5)),0)),IF($L503&gt;O$4,O$3,ROUND($L503*O$7,0)))</f>
        <v/>
      </c>
      <c r="E503" s="448">
        <f>IF($L503&gt;P$5,MAX(0,P$3+ROUND((P$9*($L503-P$5)),0)),IF($L503&gt;P$4,P$3,ROUND($L503*P$7,0)))</f>
        <v/>
      </c>
      <c r="F503" s="447">
        <f>IF($L503&gt;Q$5,MAX(0,Q$3+ROUND((Q$9*($L503-Q$5)),0)),IF($L503&gt;Q$4,Q$3,ROUND($L503*Q$7,0)))</f>
        <v/>
      </c>
      <c r="G503" s="1378">
        <f>IF($L503&gt;R$5,MAX(0,R$3+ROUND((R$9*($L503-R$5)),0)),IF($L503&gt;R$4,R$3,ROUND($L503*R$7,0)))</f>
        <v/>
      </c>
      <c r="H503" s="448">
        <f>IF($L503&gt;S$5,MAX(0,S$3+ROUND((S$9*($L503-S$5)),0)),IF($L503&gt;S$4,S$3,ROUND($L503*S$7,0)))</f>
        <v/>
      </c>
      <c r="I503" s="448">
        <f>IF($L503&gt;T$5,MAX(0,T$3+ROUND((T$9*($L503-T$5)),0)),IF($L503&gt;T$4,T$3,ROUND($L503*T$7,0)))</f>
        <v/>
      </c>
      <c r="J503" s="447">
        <f>IF($L503&gt;U$5,MAX(0,U$3+ROUND((U$9*($L503-U$5)),0)),IF($L503&gt;U$4,U$3,ROUND($L503*U$7,0)))</f>
        <v/>
      </c>
      <c r="K503" s="422" t="n"/>
      <c r="L503" s="448">
        <f>ROUND((A503+B503)/2,2)</f>
        <v/>
      </c>
    </row>
    <row r="504" ht="13.5" customHeight="1" s="7635">
      <c r="A504" s="448" t="n">
        <v>25000</v>
      </c>
      <c r="B504" s="447" t="n">
        <v>25050</v>
      </c>
      <c r="C504" s="1378">
        <f>IF($L504&gt;N$5,MAX(0,N$3+ROUND((N$9*($L504-N$5)),0)),IF($L504&gt;N$4,N$3,ROUND($L504*N$7,0)))</f>
        <v/>
      </c>
      <c r="D504" s="448">
        <f>IF($L504&gt;O$5,MAX(0,O$3+ROUND((O$9*($L504-O$5)),0)),IF($L504&gt;O$4,O$3,ROUND($L504*O$7,0)))</f>
        <v/>
      </c>
      <c r="E504" s="448">
        <f>IF($L504&gt;P$5,MAX(0,P$3+ROUND((P$9*($L504-P$5)),0)),IF($L504&gt;P$4,P$3,ROUND($L504*P$7,0)))</f>
        <v/>
      </c>
      <c r="F504" s="447">
        <f>IF($L504&gt;Q$5,MAX(0,Q$3+ROUND((Q$9*($L504-Q$5)),0)),IF($L504&gt;Q$4,Q$3,ROUND($L504*Q$7,0)))</f>
        <v/>
      </c>
      <c r="G504" s="1378">
        <f>IF($L504&gt;R$5,MAX(0,R$3+ROUND((R$9*($L504-R$5)),0)),IF($L504&gt;R$4,R$3,ROUND($L504*R$7,0)))</f>
        <v/>
      </c>
      <c r="H504" s="448">
        <f>IF($L504&gt;S$5,MAX(0,S$3+ROUND((S$9*($L504-S$5)),0)),IF($L504&gt;S$4,S$3,ROUND($L504*S$7,0)))</f>
        <v/>
      </c>
      <c r="I504" s="448">
        <f>IF($L504&gt;T$5,MAX(0,T$3+ROUND((T$9*($L504-T$5)),0)),IF($L504&gt;T$4,T$3,ROUND($L504*T$7,0)))</f>
        <v/>
      </c>
      <c r="J504" s="447">
        <f>IF($L504&gt;U$5,MAX(0,U$3+ROUND((U$9*($L504-U$5)),0)),IF($L504&gt;U$4,U$3,ROUND($L504*U$7,0)))</f>
        <v/>
      </c>
      <c r="K504" s="422" t="n"/>
      <c r="L504" s="448">
        <f>ROUND((A504+B504)/2,2)</f>
        <v/>
      </c>
    </row>
    <row r="505" ht="13.5" customHeight="1" s="7635">
      <c r="A505" s="448" t="n">
        <v>25050</v>
      </c>
      <c r="B505" s="447" t="n">
        <v>25100</v>
      </c>
      <c r="C505" s="1378">
        <f>IF($L505&gt;N$5,MAX(0,N$3+ROUND((N$9*($L505-N$5)),0)),IF($L505&gt;N$4,N$3,ROUND($L505*N$7,0)))</f>
        <v/>
      </c>
      <c r="D505" s="448">
        <f>IF($L505&gt;O$5,MAX(0,O$3+ROUND((O$9*($L505-O$5)),0)),IF($L505&gt;O$4,O$3,ROUND($L505*O$7,0)))</f>
        <v/>
      </c>
      <c r="E505" s="448">
        <f>IF($L505&gt;P$5,MAX(0,P$3+ROUND((P$9*($L505-P$5)),0)),IF($L505&gt;P$4,P$3,ROUND($L505*P$7,0)))</f>
        <v/>
      </c>
      <c r="F505" s="447">
        <f>IF($L505&gt;Q$5,MAX(0,Q$3+ROUND((Q$9*($L505-Q$5)),0)),IF($L505&gt;Q$4,Q$3,ROUND($L505*Q$7,0)))</f>
        <v/>
      </c>
      <c r="G505" s="1378">
        <f>IF($L505&gt;R$5,MAX(0,R$3+ROUND((R$9*($L505-R$5)),0)),IF($L505&gt;R$4,R$3,ROUND($L505*R$7,0)))</f>
        <v/>
      </c>
      <c r="H505" s="448">
        <f>IF($L505&gt;S$5,MAX(0,S$3+ROUND((S$9*($L505-S$5)),0)),IF($L505&gt;S$4,S$3,ROUND($L505*S$7,0)))</f>
        <v/>
      </c>
      <c r="I505" s="448">
        <f>IF($L505&gt;T$5,MAX(0,T$3+ROUND((T$9*($L505-T$5)),0)),IF($L505&gt;T$4,T$3,ROUND($L505*T$7,0)))</f>
        <v/>
      </c>
      <c r="J505" s="447">
        <f>IF($L505&gt;U$5,MAX(0,U$3+ROUND((U$9*($L505-U$5)),0)),IF($L505&gt;U$4,U$3,ROUND($L505*U$7,0)))</f>
        <v/>
      </c>
      <c r="K505" s="422" t="n"/>
      <c r="L505" s="448">
        <f>ROUND((A505+B505)/2,2)</f>
        <v/>
      </c>
    </row>
    <row r="506" ht="13.5" customHeight="1" s="7635">
      <c r="A506" s="448" t="n">
        <v>25100</v>
      </c>
      <c r="B506" s="447" t="n">
        <v>25150</v>
      </c>
      <c r="C506" s="1378">
        <f>IF($L506&gt;N$5,MAX(0,N$3+ROUND((N$9*($L506-N$5)),0)),IF($L506&gt;N$4,N$3,ROUND($L506*N$7,0)))</f>
        <v/>
      </c>
      <c r="D506" s="448">
        <f>IF($L506&gt;O$5,MAX(0,O$3+ROUND((O$9*($L506-O$5)),0)),IF($L506&gt;O$4,O$3,ROUND($L506*O$7,0)))</f>
        <v/>
      </c>
      <c r="E506" s="448">
        <f>IF($L506&gt;P$5,MAX(0,P$3+ROUND((P$9*($L506-P$5)),0)),IF($L506&gt;P$4,P$3,ROUND($L506*P$7,0)))</f>
        <v/>
      </c>
      <c r="F506" s="447">
        <f>IF($L506&gt;Q$5,MAX(0,Q$3+ROUND((Q$9*($L506-Q$5)),0)),IF($L506&gt;Q$4,Q$3,ROUND($L506*Q$7,0)))</f>
        <v/>
      </c>
      <c r="G506" s="1378">
        <f>IF($L506&gt;R$5,MAX(0,R$3+ROUND((R$9*($L506-R$5)),0)),IF($L506&gt;R$4,R$3,ROUND($L506*R$7,0)))</f>
        <v/>
      </c>
      <c r="H506" s="448">
        <f>IF($L506&gt;S$5,MAX(0,S$3+ROUND((S$9*($L506-S$5)),0)),IF($L506&gt;S$4,S$3,ROUND($L506*S$7,0)))</f>
        <v/>
      </c>
      <c r="I506" s="448">
        <f>IF($L506&gt;T$5,MAX(0,T$3+ROUND((T$9*($L506-T$5)),0)),IF($L506&gt;T$4,T$3,ROUND($L506*T$7,0)))</f>
        <v/>
      </c>
      <c r="J506" s="447">
        <f>IF($L506&gt;U$5,MAX(0,U$3+ROUND((U$9*($L506-U$5)),0)),IF($L506&gt;U$4,U$3,ROUND($L506*U$7,0)))</f>
        <v/>
      </c>
      <c r="K506" s="422" t="n"/>
      <c r="L506" s="448">
        <f>ROUND((A506+B506)/2,2)</f>
        <v/>
      </c>
    </row>
    <row r="507" ht="13.5" customHeight="1" s="7635">
      <c r="A507" s="448" t="n">
        <v>25150</v>
      </c>
      <c r="B507" s="447" t="n">
        <v>25200</v>
      </c>
      <c r="C507" s="1378">
        <f>IF($L507&gt;N$5,MAX(0,N$3+ROUND((N$9*($L507-N$5)),0)),IF($L507&gt;N$4,N$3,ROUND($L507*N$7,0)))</f>
        <v/>
      </c>
      <c r="D507" s="448">
        <f>IF($L507&gt;O$5,MAX(0,O$3+ROUND((O$9*($L507-O$5)),0)),IF($L507&gt;O$4,O$3,ROUND($L507*O$7,0)))</f>
        <v/>
      </c>
      <c r="E507" s="448">
        <f>IF($L507&gt;P$5,MAX(0,P$3+ROUND((P$9*($L507-P$5)),0)),IF($L507&gt;P$4,P$3,ROUND($L507*P$7,0)))</f>
        <v/>
      </c>
      <c r="F507" s="447">
        <f>IF($L507&gt;Q$5,MAX(0,Q$3+ROUND((Q$9*($L507-Q$5)),0)),IF($L507&gt;Q$4,Q$3,ROUND($L507*Q$7,0)))</f>
        <v/>
      </c>
      <c r="G507" s="1378">
        <f>IF($L507&gt;R$5,MAX(0,R$3+ROUND((R$9*($L507-R$5)),0)),IF($L507&gt;R$4,R$3,ROUND($L507*R$7,0)))</f>
        <v/>
      </c>
      <c r="H507" s="448">
        <f>IF($L507&gt;S$5,MAX(0,S$3+ROUND((S$9*($L507-S$5)),0)),IF($L507&gt;S$4,S$3,ROUND($L507*S$7,0)))</f>
        <v/>
      </c>
      <c r="I507" s="448">
        <f>IF($L507&gt;T$5,MAX(0,T$3+ROUND((T$9*($L507-T$5)),0)),IF($L507&gt;T$4,T$3,ROUND($L507*T$7,0)))</f>
        <v/>
      </c>
      <c r="J507" s="447">
        <f>IF($L507&gt;U$5,MAX(0,U$3+ROUND((U$9*($L507-U$5)),0)),IF($L507&gt;U$4,U$3,ROUND($L507*U$7,0)))</f>
        <v/>
      </c>
      <c r="K507" s="422" t="n"/>
      <c r="L507" s="448">
        <f>ROUND((A507+B507)/2,2)</f>
        <v/>
      </c>
    </row>
    <row r="508" ht="13.5" customHeight="1" s="7635">
      <c r="A508" s="448" t="n">
        <v>25200</v>
      </c>
      <c r="B508" s="447" t="n">
        <v>25250</v>
      </c>
      <c r="C508" s="1378">
        <f>IF($L508&gt;N$5,MAX(0,N$3+ROUND((N$9*($L508-N$5)),0)),IF($L508&gt;N$4,N$3,ROUND($L508*N$7,0)))</f>
        <v/>
      </c>
      <c r="D508" s="448">
        <f>IF($L508&gt;O$5,MAX(0,O$3+ROUND((O$9*($L508-O$5)),0)),IF($L508&gt;O$4,O$3,ROUND($L508*O$7,0)))</f>
        <v/>
      </c>
      <c r="E508" s="448">
        <f>IF($L508&gt;P$5,MAX(0,P$3+ROUND((P$9*($L508-P$5)),0)),IF($L508&gt;P$4,P$3,ROUND($L508*P$7,0)))</f>
        <v/>
      </c>
      <c r="F508" s="447">
        <f>IF($L508&gt;Q$5,MAX(0,Q$3+ROUND((Q$9*($L508-Q$5)),0)),IF($L508&gt;Q$4,Q$3,ROUND($L508*Q$7,0)))</f>
        <v/>
      </c>
      <c r="G508" s="1378">
        <f>IF($L508&gt;R$5,MAX(0,R$3+ROUND((R$9*($L508-R$5)),0)),IF($L508&gt;R$4,R$3,ROUND($L508*R$7,0)))</f>
        <v/>
      </c>
      <c r="H508" s="448">
        <f>IF($L508&gt;S$5,MAX(0,S$3+ROUND((S$9*($L508-S$5)),0)),IF($L508&gt;S$4,S$3,ROUND($L508*S$7,0)))</f>
        <v/>
      </c>
      <c r="I508" s="448">
        <f>IF($L508&gt;T$5,MAX(0,T$3+ROUND((T$9*($L508-T$5)),0)),IF($L508&gt;T$4,T$3,ROUND($L508*T$7,0)))</f>
        <v/>
      </c>
      <c r="J508" s="447">
        <f>IF($L508&gt;U$5,MAX(0,U$3+ROUND((U$9*($L508-U$5)),0)),IF($L508&gt;U$4,U$3,ROUND($L508*U$7,0)))</f>
        <v/>
      </c>
      <c r="K508" s="422" t="n"/>
      <c r="L508" s="448">
        <f>ROUND((A508+B508)/2,2)</f>
        <v/>
      </c>
    </row>
    <row r="509" ht="13.5" customHeight="1" s="7635">
      <c r="A509" s="448" t="n">
        <v>25250</v>
      </c>
      <c r="B509" s="447" t="n">
        <v>25300</v>
      </c>
      <c r="C509" s="1378">
        <f>IF($L509&gt;N$5,MAX(0,N$3+ROUND((N$9*($L509-N$5)),0)),IF($L509&gt;N$4,N$3,ROUND($L509*N$7,0)))</f>
        <v/>
      </c>
      <c r="D509" s="448">
        <f>IF($L509&gt;O$5,MAX(0,O$3+ROUND((O$9*($L509-O$5)),0)),IF($L509&gt;O$4,O$3,ROUND($L509*O$7,0)))</f>
        <v/>
      </c>
      <c r="E509" s="448">
        <f>IF($L509&gt;P$5,MAX(0,P$3+ROUND((P$9*($L509-P$5)),0)),IF($L509&gt;P$4,P$3,ROUND($L509*P$7,0)))</f>
        <v/>
      </c>
      <c r="F509" s="447">
        <f>IF($L509&gt;Q$5,MAX(0,Q$3+ROUND((Q$9*($L509-Q$5)),0)),IF($L509&gt;Q$4,Q$3,ROUND($L509*Q$7,0)))</f>
        <v/>
      </c>
      <c r="G509" s="1378">
        <f>IF($L509&gt;R$5,MAX(0,R$3+ROUND((R$9*($L509-R$5)),0)),IF($L509&gt;R$4,R$3,ROUND($L509*R$7,0)))</f>
        <v/>
      </c>
      <c r="H509" s="448">
        <f>IF($L509&gt;S$5,MAX(0,S$3+ROUND((S$9*($L509-S$5)),0)),IF($L509&gt;S$4,S$3,ROUND($L509*S$7,0)))</f>
        <v/>
      </c>
      <c r="I509" s="448">
        <f>IF($L509&gt;T$5,MAX(0,T$3+ROUND((T$9*($L509-T$5)),0)),IF($L509&gt;T$4,T$3,ROUND($L509*T$7,0)))</f>
        <v/>
      </c>
      <c r="J509" s="447">
        <f>IF($L509&gt;U$5,MAX(0,U$3+ROUND((U$9*($L509-U$5)),0)),IF($L509&gt;U$4,U$3,ROUND($L509*U$7,0)))</f>
        <v/>
      </c>
      <c r="K509" s="422" t="n"/>
      <c r="L509" s="448">
        <f>ROUND((A509+B509)/2,2)</f>
        <v/>
      </c>
    </row>
    <row r="510" ht="13.5" customHeight="1" s="7635">
      <c r="A510" s="448" t="n">
        <v>25300</v>
      </c>
      <c r="B510" s="447" t="n">
        <v>25350</v>
      </c>
      <c r="C510" s="1378">
        <f>IF($L510&gt;N$5,MAX(0,N$3+ROUND((N$9*($L510-N$5)),0)),IF($L510&gt;N$4,N$3,ROUND($L510*N$7,0)))</f>
        <v/>
      </c>
      <c r="D510" s="448">
        <f>IF($L510&gt;O$5,MAX(0,O$3+ROUND((O$9*($L510-O$5)),0)),IF($L510&gt;O$4,O$3,ROUND($L510*O$7,0)))</f>
        <v/>
      </c>
      <c r="E510" s="448">
        <f>IF($L510&gt;P$5,MAX(0,P$3+ROUND((P$9*($L510-P$5)),0)),IF($L510&gt;P$4,P$3,ROUND($L510*P$7,0)))</f>
        <v/>
      </c>
      <c r="F510" s="447">
        <f>IF($L510&gt;Q$5,MAX(0,Q$3+ROUND((Q$9*($L510-Q$5)),0)),IF($L510&gt;Q$4,Q$3,ROUND($L510*Q$7,0)))</f>
        <v/>
      </c>
      <c r="G510" s="1378">
        <f>IF($L510&gt;R$5,MAX(0,R$3+ROUND((R$9*($L510-R$5)),0)),IF($L510&gt;R$4,R$3,ROUND($L510*R$7,0)))</f>
        <v/>
      </c>
      <c r="H510" s="448">
        <f>IF($L510&gt;S$5,MAX(0,S$3+ROUND((S$9*($L510-S$5)),0)),IF($L510&gt;S$4,S$3,ROUND($L510*S$7,0)))</f>
        <v/>
      </c>
      <c r="I510" s="448">
        <f>IF($L510&gt;T$5,MAX(0,T$3+ROUND((T$9*($L510-T$5)),0)),IF($L510&gt;T$4,T$3,ROUND($L510*T$7,0)))</f>
        <v/>
      </c>
      <c r="J510" s="447">
        <f>IF($L510&gt;U$5,MAX(0,U$3+ROUND((U$9*($L510-U$5)),0)),IF($L510&gt;U$4,U$3,ROUND($L510*U$7,0)))</f>
        <v/>
      </c>
      <c r="K510" s="422" t="n"/>
      <c r="L510" s="448">
        <f>ROUND((A510+B510)/2,2)</f>
        <v/>
      </c>
    </row>
    <row r="511" ht="13.5" customHeight="1" s="7635">
      <c r="A511" s="448" t="n">
        <v>25350</v>
      </c>
      <c r="B511" s="447" t="n">
        <v>25400</v>
      </c>
      <c r="C511" s="1378">
        <f>IF($L511&gt;N$5,MAX(0,N$3+ROUND((N$9*($L511-N$5)),0)),IF($L511&gt;N$4,N$3,ROUND($L511*N$7,0)))</f>
        <v/>
      </c>
      <c r="D511" s="448">
        <f>IF($L511&gt;O$5,MAX(0,O$3+ROUND((O$9*($L511-O$5)),0)),IF($L511&gt;O$4,O$3,ROUND($L511*O$7,0)))</f>
        <v/>
      </c>
      <c r="E511" s="448">
        <f>IF($L511&gt;P$5,MAX(0,P$3+ROUND((P$9*($L511-P$5)),0)),IF($L511&gt;P$4,P$3,ROUND($L511*P$7,0)))</f>
        <v/>
      </c>
      <c r="F511" s="447">
        <f>IF($L511&gt;Q$5,MAX(0,Q$3+ROUND((Q$9*($L511-Q$5)),0)),IF($L511&gt;Q$4,Q$3,ROUND($L511*Q$7,0)))</f>
        <v/>
      </c>
      <c r="G511" s="1378">
        <f>IF($L511&gt;R$5,MAX(0,R$3+ROUND((R$9*($L511-R$5)),0)),IF($L511&gt;R$4,R$3,ROUND($L511*R$7,0)))</f>
        <v/>
      </c>
      <c r="H511" s="448">
        <f>IF($L511&gt;S$5,MAX(0,S$3+ROUND((S$9*($L511-S$5)),0)),IF($L511&gt;S$4,S$3,ROUND($L511*S$7,0)))</f>
        <v/>
      </c>
      <c r="I511" s="448">
        <f>IF($L511&gt;T$5,MAX(0,T$3+ROUND((T$9*($L511-T$5)),0)),IF($L511&gt;T$4,T$3,ROUND($L511*T$7,0)))</f>
        <v/>
      </c>
      <c r="J511" s="447">
        <f>IF($L511&gt;U$5,MAX(0,U$3+ROUND((U$9*($L511-U$5)),0)),IF($L511&gt;U$4,U$3,ROUND($L511*U$7,0)))</f>
        <v/>
      </c>
      <c r="K511" s="422" t="n"/>
      <c r="L511" s="448">
        <f>ROUND((A511+B511)/2,2)</f>
        <v/>
      </c>
    </row>
    <row r="512" ht="13.5" customHeight="1" s="7635">
      <c r="A512" s="448" t="n">
        <v>25400</v>
      </c>
      <c r="B512" s="447" t="n">
        <v>25450</v>
      </c>
      <c r="C512" s="1378">
        <f>IF($L512&gt;N$5,MAX(0,N$3+ROUND((N$9*($L512-N$5)),0)),IF($L512&gt;N$4,N$3,ROUND($L512*N$7,0)))</f>
        <v/>
      </c>
      <c r="D512" s="448">
        <f>IF($L512&gt;O$5,MAX(0,O$3+ROUND((O$9*($L512-O$5)),0)),IF($L512&gt;O$4,O$3,ROUND($L512*O$7,0)))</f>
        <v/>
      </c>
      <c r="E512" s="448">
        <f>IF($L512&gt;P$5,MAX(0,P$3+ROUND((P$9*($L512-P$5)),0)),IF($L512&gt;P$4,P$3,ROUND($L512*P$7,0)))</f>
        <v/>
      </c>
      <c r="F512" s="447">
        <f>IF($L512&gt;Q$5,MAX(0,Q$3+ROUND((Q$9*($L512-Q$5)),0)),IF($L512&gt;Q$4,Q$3,ROUND($L512*Q$7,0)))</f>
        <v/>
      </c>
      <c r="G512" s="1378">
        <f>IF($L512&gt;R$5,MAX(0,R$3+ROUND((R$9*($L512-R$5)),0)),IF($L512&gt;R$4,R$3,ROUND($L512*R$7,0)))</f>
        <v/>
      </c>
      <c r="H512" s="448">
        <f>IF($L512&gt;S$5,MAX(0,S$3+ROUND((S$9*($L512-S$5)),0)),IF($L512&gt;S$4,S$3,ROUND($L512*S$7,0)))</f>
        <v/>
      </c>
      <c r="I512" s="448">
        <f>IF($L512&gt;T$5,MAX(0,T$3+ROUND((T$9*($L512-T$5)),0)),IF($L512&gt;T$4,T$3,ROUND($L512*T$7,0)))</f>
        <v/>
      </c>
      <c r="J512" s="447">
        <f>IF($L512&gt;U$5,MAX(0,U$3+ROUND((U$9*($L512-U$5)),0)),IF($L512&gt;U$4,U$3,ROUND($L512*U$7,0)))</f>
        <v/>
      </c>
      <c r="K512" s="422" t="n"/>
      <c r="L512" s="448">
        <f>ROUND((A512+B512)/2,2)</f>
        <v/>
      </c>
    </row>
    <row r="513" ht="13.5" customHeight="1" s="7635">
      <c r="A513" s="448" t="n">
        <v>25450</v>
      </c>
      <c r="B513" s="447" t="n">
        <v>25500</v>
      </c>
      <c r="C513" s="1378">
        <f>IF($L513&gt;N$5,MAX(0,N$3+ROUND((N$9*($L513-N$5)),0)),IF($L513&gt;N$4,N$3,ROUND($L513*N$7,0)))</f>
        <v/>
      </c>
      <c r="D513" s="448">
        <f>IF($L513&gt;O$5,MAX(0,O$3+ROUND((O$9*($L513-O$5)),0)),IF($L513&gt;O$4,O$3,ROUND($L513*O$7,0)))</f>
        <v/>
      </c>
      <c r="E513" s="448">
        <f>IF($L513&gt;P$5,MAX(0,P$3+ROUND((P$9*($L513-P$5)),0)),IF($L513&gt;P$4,P$3,ROUND($L513*P$7,0)))</f>
        <v/>
      </c>
      <c r="F513" s="447">
        <f>IF($L513&gt;Q$5,MAX(0,Q$3+ROUND((Q$9*($L513-Q$5)),0)),IF($L513&gt;Q$4,Q$3,ROUND($L513*Q$7,0)))</f>
        <v/>
      </c>
      <c r="G513" s="1378">
        <f>IF($L513&gt;R$5,MAX(0,R$3+ROUND((R$9*($L513-R$5)),0)),IF($L513&gt;R$4,R$3,ROUND($L513*R$7,0)))</f>
        <v/>
      </c>
      <c r="H513" s="448">
        <f>IF($L513&gt;S$5,MAX(0,S$3+ROUND((S$9*($L513-S$5)),0)),IF($L513&gt;S$4,S$3,ROUND($L513*S$7,0)))</f>
        <v/>
      </c>
      <c r="I513" s="448">
        <f>IF($L513&gt;T$5,MAX(0,T$3+ROUND((T$9*($L513-T$5)),0)),IF($L513&gt;T$4,T$3,ROUND($L513*T$7,0)))</f>
        <v/>
      </c>
      <c r="J513" s="447">
        <f>IF($L513&gt;U$5,MAX(0,U$3+ROUND((U$9*($L513-U$5)),0)),IF($L513&gt;U$4,U$3,ROUND($L513*U$7,0)))</f>
        <v/>
      </c>
      <c r="K513" s="422" t="n"/>
      <c r="L513" s="448">
        <f>ROUND((A513+B513)/2,2)</f>
        <v/>
      </c>
    </row>
    <row r="514" ht="13.5" customHeight="1" s="7635">
      <c r="A514" s="448" t="n">
        <v>25500</v>
      </c>
      <c r="B514" s="447" t="n">
        <v>25550</v>
      </c>
      <c r="C514" s="1378">
        <f>IF($L514&gt;N$5,MAX(0,N$3+ROUND((N$9*($L514-N$5)),0)),IF($L514&gt;N$4,N$3,ROUND($L514*N$7,0)))</f>
        <v/>
      </c>
      <c r="D514" s="448">
        <f>IF($L514&gt;O$5,MAX(0,O$3+ROUND((O$9*($L514-O$5)),0)),IF($L514&gt;O$4,O$3,ROUND($L514*O$7,0)))</f>
        <v/>
      </c>
      <c r="E514" s="448">
        <f>IF($L514&gt;P$5,MAX(0,P$3+ROUND((P$9*($L514-P$5)),0)),IF($L514&gt;P$4,P$3,ROUND($L514*P$7,0)))</f>
        <v/>
      </c>
      <c r="F514" s="447">
        <f>IF($L514&gt;Q$5,MAX(0,Q$3+ROUND((Q$9*($L514-Q$5)),0)),IF($L514&gt;Q$4,Q$3,ROUND($L514*Q$7,0)))</f>
        <v/>
      </c>
      <c r="G514" s="1378">
        <f>IF($L514&gt;R$5,MAX(0,R$3+ROUND((R$9*($L514-R$5)),0)),IF($L514&gt;R$4,R$3,ROUND($L514*R$7,0)))</f>
        <v/>
      </c>
      <c r="H514" s="448">
        <f>IF($L514&gt;S$5,MAX(0,S$3+ROUND((S$9*($L514-S$5)),0)),IF($L514&gt;S$4,S$3,ROUND($L514*S$7,0)))</f>
        <v/>
      </c>
      <c r="I514" s="448">
        <f>IF($L514&gt;T$5,MAX(0,T$3+ROUND((T$9*($L514-T$5)),0)),IF($L514&gt;T$4,T$3,ROUND($L514*T$7,0)))</f>
        <v/>
      </c>
      <c r="J514" s="447">
        <f>IF($L514&gt;U$5,MAX(0,U$3+ROUND((U$9*($L514-U$5)),0)),IF($L514&gt;U$4,U$3,ROUND($L514*U$7,0)))</f>
        <v/>
      </c>
      <c r="K514" s="422" t="n"/>
      <c r="L514" s="448">
        <f>ROUND((A514+B514)/2,2)</f>
        <v/>
      </c>
    </row>
    <row r="515" ht="13.5" customHeight="1" s="7635">
      <c r="A515" s="448" t="n">
        <v>25550</v>
      </c>
      <c r="B515" s="447" t="n">
        <v>25600</v>
      </c>
      <c r="C515" s="1378">
        <f>IF($L515&gt;N$5,MAX(0,N$3+ROUND((N$9*($L515-N$5)),0)),IF($L515&gt;N$4,N$3,ROUND($L515*N$7,0)))</f>
        <v/>
      </c>
      <c r="D515" s="448">
        <f>IF($L515&gt;O$5,MAX(0,O$3+ROUND((O$9*($L515-O$5)),0)),IF($L515&gt;O$4,O$3,ROUND($L515*O$7,0)))</f>
        <v/>
      </c>
      <c r="E515" s="448">
        <f>IF($L515&gt;P$5,MAX(0,P$3+ROUND((P$9*($L515-P$5)),0)),IF($L515&gt;P$4,P$3,ROUND($L515*P$7,0)))</f>
        <v/>
      </c>
      <c r="F515" s="447">
        <f>IF($L515&gt;Q$5,MAX(0,Q$3+ROUND((Q$9*($L515-Q$5)),0)),IF($L515&gt;Q$4,Q$3,ROUND($L515*Q$7,0)))</f>
        <v/>
      </c>
      <c r="G515" s="1378">
        <f>IF($L515&gt;R$5,MAX(0,R$3+ROUND((R$9*($L515-R$5)),0)),IF($L515&gt;R$4,R$3,ROUND($L515*R$7,0)))</f>
        <v/>
      </c>
      <c r="H515" s="448">
        <f>IF($L515&gt;S$5,MAX(0,S$3+ROUND((S$9*($L515-S$5)),0)),IF($L515&gt;S$4,S$3,ROUND($L515*S$7,0)))</f>
        <v/>
      </c>
      <c r="I515" s="448">
        <f>IF($L515&gt;T$5,MAX(0,T$3+ROUND((T$9*($L515-T$5)),0)),IF($L515&gt;T$4,T$3,ROUND($L515*T$7,0)))</f>
        <v/>
      </c>
      <c r="J515" s="447">
        <f>IF($L515&gt;U$5,MAX(0,U$3+ROUND((U$9*($L515-U$5)),0)),IF($L515&gt;U$4,U$3,ROUND($L515*U$7,0)))</f>
        <v/>
      </c>
      <c r="K515" s="422" t="n"/>
      <c r="L515" s="448">
        <f>ROUND((A515+B515)/2,2)</f>
        <v/>
      </c>
    </row>
    <row r="516" ht="13.5" customHeight="1" s="7635">
      <c r="A516" s="448" t="n">
        <v>25600</v>
      </c>
      <c r="B516" s="447" t="n">
        <v>25650</v>
      </c>
      <c r="C516" s="1378">
        <f>IF($L516&gt;N$5,MAX(0,N$3+ROUND((N$9*($L516-N$5)),0)),IF($L516&gt;N$4,N$3,ROUND($L516*N$7,0)))</f>
        <v/>
      </c>
      <c r="D516" s="448">
        <f>IF($L516&gt;O$5,MAX(0,O$3+ROUND((O$9*($L516-O$5)),0)),IF($L516&gt;O$4,O$3,ROUND($L516*O$7,0)))</f>
        <v/>
      </c>
      <c r="E516" s="448">
        <f>IF($L516&gt;P$5,MAX(0,P$3+ROUND((P$9*($L516-P$5)),0)),IF($L516&gt;P$4,P$3,ROUND($L516*P$7,0)))</f>
        <v/>
      </c>
      <c r="F516" s="447">
        <f>IF($L516&gt;Q$5,MAX(0,Q$3+ROUND((Q$9*($L516-Q$5)),0)),IF($L516&gt;Q$4,Q$3,ROUND($L516*Q$7,0)))</f>
        <v/>
      </c>
      <c r="G516" s="1378">
        <f>IF($L516&gt;R$5,MAX(0,R$3+ROUND((R$9*($L516-R$5)),0)),IF($L516&gt;R$4,R$3,ROUND($L516*R$7,0)))</f>
        <v/>
      </c>
      <c r="H516" s="448">
        <f>IF($L516&gt;S$5,MAX(0,S$3+ROUND((S$9*($L516-S$5)),0)),IF($L516&gt;S$4,S$3,ROUND($L516*S$7,0)))</f>
        <v/>
      </c>
      <c r="I516" s="448">
        <f>IF($L516&gt;T$5,MAX(0,T$3+ROUND((T$9*($L516-T$5)),0)),IF($L516&gt;T$4,T$3,ROUND($L516*T$7,0)))</f>
        <v/>
      </c>
      <c r="J516" s="447">
        <f>IF($L516&gt;U$5,MAX(0,U$3+ROUND((U$9*($L516-U$5)),0)),IF($L516&gt;U$4,U$3,ROUND($L516*U$7,0)))</f>
        <v/>
      </c>
      <c r="K516" s="422" t="n"/>
      <c r="L516" s="448">
        <f>ROUND((A516+B516)/2,2)</f>
        <v/>
      </c>
    </row>
    <row r="517" ht="13.5" customHeight="1" s="7635">
      <c r="A517" s="448" t="n">
        <v>25650</v>
      </c>
      <c r="B517" s="447" t="n">
        <v>25700</v>
      </c>
      <c r="C517" s="1378">
        <f>IF($L517&gt;N$5,MAX(0,N$3+ROUND((N$9*($L517-N$5)),0)),IF($L517&gt;N$4,N$3,ROUND($L517*N$7,0)))</f>
        <v/>
      </c>
      <c r="D517" s="448">
        <f>IF($L517&gt;O$5,MAX(0,O$3+ROUND((O$9*($L517-O$5)),0)),IF($L517&gt;O$4,O$3,ROUND($L517*O$7,0)))</f>
        <v/>
      </c>
      <c r="E517" s="448">
        <f>IF($L517&gt;P$5,MAX(0,P$3+ROUND((P$9*($L517-P$5)),0)),IF($L517&gt;P$4,P$3,ROUND($L517*P$7,0)))</f>
        <v/>
      </c>
      <c r="F517" s="447">
        <f>IF($L517&gt;Q$5,MAX(0,Q$3+ROUND((Q$9*($L517-Q$5)),0)),IF($L517&gt;Q$4,Q$3,ROUND($L517*Q$7,0)))</f>
        <v/>
      </c>
      <c r="G517" s="1378">
        <f>IF($L517&gt;R$5,MAX(0,R$3+ROUND((R$9*($L517-R$5)),0)),IF($L517&gt;R$4,R$3,ROUND($L517*R$7,0)))</f>
        <v/>
      </c>
      <c r="H517" s="448">
        <f>IF($L517&gt;S$5,MAX(0,S$3+ROUND((S$9*($L517-S$5)),0)),IF($L517&gt;S$4,S$3,ROUND($L517*S$7,0)))</f>
        <v/>
      </c>
      <c r="I517" s="448">
        <f>IF($L517&gt;T$5,MAX(0,T$3+ROUND((T$9*($L517-T$5)),0)),IF($L517&gt;T$4,T$3,ROUND($L517*T$7,0)))</f>
        <v/>
      </c>
      <c r="J517" s="447">
        <f>IF($L517&gt;U$5,MAX(0,U$3+ROUND((U$9*($L517-U$5)),0)),IF($L517&gt;U$4,U$3,ROUND($L517*U$7,0)))</f>
        <v/>
      </c>
      <c r="K517" s="422" t="n"/>
      <c r="L517" s="448">
        <f>ROUND((A517+B517)/2,2)</f>
        <v/>
      </c>
    </row>
    <row r="518" ht="13.5" customHeight="1" s="7635">
      <c r="A518" s="448" t="n">
        <v>25700</v>
      </c>
      <c r="B518" s="447" t="n">
        <v>25750</v>
      </c>
      <c r="C518" s="1378">
        <f>IF($L518&gt;N$5,MAX(0,N$3+ROUND((N$9*($L518-N$5)),0)),IF($L518&gt;N$4,N$3,ROUND($L518*N$7,0)))</f>
        <v/>
      </c>
      <c r="D518" s="448">
        <f>IF($L518&gt;O$5,MAX(0,O$3+ROUND((O$9*($L518-O$5)),0)),IF($L518&gt;O$4,O$3,ROUND($L518*O$7,0)))</f>
        <v/>
      </c>
      <c r="E518" s="448">
        <f>IF($L518&gt;P$5,MAX(0,P$3+ROUND((P$9*($L518-P$5)),0)),IF($L518&gt;P$4,P$3,ROUND($L518*P$7,0)))</f>
        <v/>
      </c>
      <c r="F518" s="447">
        <f>IF($L518&gt;Q$5,MAX(0,Q$3+ROUND((Q$9*($L518-Q$5)),0)),IF($L518&gt;Q$4,Q$3,ROUND($L518*Q$7,0)))</f>
        <v/>
      </c>
      <c r="G518" s="1378">
        <f>IF($L518&gt;R$5,MAX(0,R$3+ROUND((R$9*($L518-R$5)),0)),IF($L518&gt;R$4,R$3,ROUND($L518*R$7,0)))</f>
        <v/>
      </c>
      <c r="H518" s="448">
        <f>IF($L518&gt;S$5,MAX(0,S$3+ROUND((S$9*($L518-S$5)),0)),IF($L518&gt;S$4,S$3,ROUND($L518*S$7,0)))</f>
        <v/>
      </c>
      <c r="I518" s="448">
        <f>IF($L518&gt;T$5,MAX(0,T$3+ROUND((T$9*($L518-T$5)),0)),IF($L518&gt;T$4,T$3,ROUND($L518*T$7,0)))</f>
        <v/>
      </c>
      <c r="J518" s="447">
        <f>IF($L518&gt;U$5,MAX(0,U$3+ROUND((U$9*($L518-U$5)),0)),IF($L518&gt;U$4,U$3,ROUND($L518*U$7,0)))</f>
        <v/>
      </c>
      <c r="K518" s="422" t="n"/>
      <c r="L518" s="448">
        <f>ROUND((A518+B518)/2,2)</f>
        <v/>
      </c>
    </row>
    <row r="519" ht="13.5" customHeight="1" s="7635">
      <c r="A519" s="448" t="n">
        <v>25750</v>
      </c>
      <c r="B519" s="447" t="n">
        <v>25800</v>
      </c>
      <c r="C519" s="1378">
        <f>IF($L519&gt;N$5,MAX(0,N$3+ROUND((N$9*($L519-N$5)),0)),IF($L519&gt;N$4,N$3,ROUND($L519*N$7,0)))</f>
        <v/>
      </c>
      <c r="D519" s="448">
        <f>IF($L519&gt;O$5,MAX(0,O$3+ROUND((O$9*($L519-O$5)),0)),IF($L519&gt;O$4,O$3,ROUND($L519*O$7,0)))</f>
        <v/>
      </c>
      <c r="E519" s="448">
        <f>IF($L519&gt;P$5,MAX(0,P$3+ROUND((P$9*($L519-P$5)),0)),IF($L519&gt;P$4,P$3,ROUND($L519*P$7,0)))</f>
        <v/>
      </c>
      <c r="F519" s="447">
        <f>IF($L519&gt;Q$5,MAX(0,Q$3+ROUND((Q$9*($L519-Q$5)),0)),IF($L519&gt;Q$4,Q$3,ROUND($L519*Q$7,0)))</f>
        <v/>
      </c>
      <c r="G519" s="1378">
        <f>IF($L519&gt;R$5,MAX(0,R$3+ROUND((R$9*($L519-R$5)),0)),IF($L519&gt;R$4,R$3,ROUND($L519*R$7,0)))</f>
        <v/>
      </c>
      <c r="H519" s="448">
        <f>IF($L519&gt;S$5,MAX(0,S$3+ROUND((S$9*($L519-S$5)),0)),IF($L519&gt;S$4,S$3,ROUND($L519*S$7,0)))</f>
        <v/>
      </c>
      <c r="I519" s="448">
        <f>IF($L519&gt;T$5,MAX(0,T$3+ROUND((T$9*($L519-T$5)),0)),IF($L519&gt;T$4,T$3,ROUND($L519*T$7,0)))</f>
        <v/>
      </c>
      <c r="J519" s="447">
        <f>IF($L519&gt;U$5,MAX(0,U$3+ROUND((U$9*($L519-U$5)),0)),IF($L519&gt;U$4,U$3,ROUND($L519*U$7,0)))</f>
        <v/>
      </c>
      <c r="K519" s="422" t="n"/>
      <c r="L519" s="448">
        <f>ROUND((A519+B519)/2,2)</f>
        <v/>
      </c>
    </row>
    <row r="520" ht="13.5" customHeight="1" s="7635">
      <c r="A520" s="448" t="n">
        <v>25800</v>
      </c>
      <c r="B520" s="447" t="n">
        <v>25850</v>
      </c>
      <c r="C520" s="1378">
        <f>IF($L520&gt;N$5,MAX(0,N$3+ROUND((N$9*($L520-N$5)),0)),IF($L520&gt;N$4,N$3,ROUND($L520*N$7,0)))</f>
        <v/>
      </c>
      <c r="D520" s="448">
        <f>IF($L520&gt;O$5,MAX(0,O$3+ROUND((O$9*($L520-O$5)),0)),IF($L520&gt;O$4,O$3,ROUND($L520*O$7,0)))</f>
        <v/>
      </c>
      <c r="E520" s="448">
        <f>IF($L520&gt;P$5,MAX(0,P$3+ROUND((P$9*($L520-P$5)),0)),IF($L520&gt;P$4,P$3,ROUND($L520*P$7,0)))</f>
        <v/>
      </c>
      <c r="F520" s="447">
        <f>IF($L520&gt;Q$5,MAX(0,Q$3+ROUND((Q$9*($L520-Q$5)),0)),IF($L520&gt;Q$4,Q$3,ROUND($L520*Q$7,0)))</f>
        <v/>
      </c>
      <c r="G520" s="1378">
        <f>IF($L520&gt;R$5,MAX(0,R$3+ROUND((R$9*($L520-R$5)),0)),IF($L520&gt;R$4,R$3,ROUND($L520*R$7,0)))</f>
        <v/>
      </c>
      <c r="H520" s="448">
        <f>IF($L520&gt;S$5,MAX(0,S$3+ROUND((S$9*($L520-S$5)),0)),IF($L520&gt;S$4,S$3,ROUND($L520*S$7,0)))</f>
        <v/>
      </c>
      <c r="I520" s="448">
        <f>IF($L520&gt;T$5,MAX(0,T$3+ROUND((T$9*($L520-T$5)),0)),IF($L520&gt;T$4,T$3,ROUND($L520*T$7,0)))</f>
        <v/>
      </c>
      <c r="J520" s="447">
        <f>IF($L520&gt;U$5,MAX(0,U$3+ROUND((U$9*($L520-U$5)),0)),IF($L520&gt;U$4,U$3,ROUND($L520*U$7,0)))</f>
        <v/>
      </c>
      <c r="K520" s="422" t="n"/>
      <c r="L520" s="448">
        <f>ROUND((A520+B520)/2,2)</f>
        <v/>
      </c>
    </row>
    <row r="521" ht="13.5" customHeight="1" s="7635">
      <c r="A521" s="448" t="n">
        <v>25850</v>
      </c>
      <c r="B521" s="447" t="n">
        <v>25900</v>
      </c>
      <c r="C521" s="1378">
        <f>IF($L521&gt;N$5,MAX(0,N$3+ROUND((N$9*($L521-N$5)),0)),IF($L521&gt;N$4,N$3,ROUND($L521*N$7,0)))</f>
        <v/>
      </c>
      <c r="D521" s="448">
        <f>IF($L521&gt;O$5,MAX(0,O$3+ROUND((O$9*($L521-O$5)),0)),IF($L521&gt;O$4,O$3,ROUND($L521*O$7,0)))</f>
        <v/>
      </c>
      <c r="E521" s="448">
        <f>IF($L521&gt;P$5,MAX(0,P$3+ROUND((P$9*($L521-P$5)),0)),IF($L521&gt;P$4,P$3,ROUND($L521*P$7,0)))</f>
        <v/>
      </c>
      <c r="F521" s="447">
        <f>IF($L521&gt;Q$5,MAX(0,Q$3+ROUND((Q$9*($L521-Q$5)),0)),IF($L521&gt;Q$4,Q$3,ROUND($L521*Q$7,0)))</f>
        <v/>
      </c>
      <c r="G521" s="1378">
        <f>IF($L521&gt;R$5,MAX(0,R$3+ROUND((R$9*($L521-R$5)),0)),IF($L521&gt;R$4,R$3,ROUND($L521*R$7,0)))</f>
        <v/>
      </c>
      <c r="H521" s="448">
        <f>IF($L521&gt;S$5,MAX(0,S$3+ROUND((S$9*($L521-S$5)),0)),IF($L521&gt;S$4,S$3,ROUND($L521*S$7,0)))</f>
        <v/>
      </c>
      <c r="I521" s="448">
        <f>IF($L521&gt;T$5,MAX(0,T$3+ROUND((T$9*($L521-T$5)),0)),IF($L521&gt;T$4,T$3,ROUND($L521*T$7,0)))</f>
        <v/>
      </c>
      <c r="J521" s="447">
        <f>IF($L521&gt;U$5,MAX(0,U$3+ROUND((U$9*($L521-U$5)),0)),IF($L521&gt;U$4,U$3,ROUND($L521*U$7,0)))</f>
        <v/>
      </c>
      <c r="K521" s="422" t="n"/>
      <c r="L521" s="448">
        <f>ROUND((A521+B521)/2,2)</f>
        <v/>
      </c>
    </row>
    <row r="522" ht="13.5" customHeight="1" s="7635">
      <c r="A522" s="448" t="n">
        <v>25900</v>
      </c>
      <c r="B522" s="447" t="n">
        <v>25950</v>
      </c>
      <c r="C522" s="1378">
        <f>IF($L522&gt;N$5,MAX(0,N$3+ROUND((N$9*($L522-N$5)),0)),IF($L522&gt;N$4,N$3,ROUND($L522*N$7,0)))</f>
        <v/>
      </c>
      <c r="D522" s="448">
        <f>IF($L522&gt;O$5,MAX(0,O$3+ROUND((O$9*($L522-O$5)),0)),IF($L522&gt;O$4,O$3,ROUND($L522*O$7,0)))</f>
        <v/>
      </c>
      <c r="E522" s="448">
        <f>IF($L522&gt;P$5,MAX(0,P$3+ROUND((P$9*($L522-P$5)),0)),IF($L522&gt;P$4,P$3,ROUND($L522*P$7,0)))</f>
        <v/>
      </c>
      <c r="F522" s="447">
        <f>IF($L522&gt;Q$5,MAX(0,Q$3+ROUND((Q$9*($L522-Q$5)),0)),IF($L522&gt;Q$4,Q$3,ROUND($L522*Q$7,0)))</f>
        <v/>
      </c>
      <c r="G522" s="1378">
        <f>IF($L522&gt;R$5,MAX(0,R$3+ROUND((R$9*($L522-R$5)),0)),IF($L522&gt;R$4,R$3,ROUND($L522*R$7,0)))</f>
        <v/>
      </c>
      <c r="H522" s="448">
        <f>IF($L522&gt;S$5,MAX(0,S$3+ROUND((S$9*($L522-S$5)),0)),IF($L522&gt;S$4,S$3,ROUND($L522*S$7,0)))</f>
        <v/>
      </c>
      <c r="I522" s="448">
        <f>IF($L522&gt;T$5,MAX(0,T$3+ROUND((T$9*($L522-T$5)),0)),IF($L522&gt;T$4,T$3,ROUND($L522*T$7,0)))</f>
        <v/>
      </c>
      <c r="J522" s="447">
        <f>IF($L522&gt;U$5,MAX(0,U$3+ROUND((U$9*($L522-U$5)),0)),IF($L522&gt;U$4,U$3,ROUND($L522*U$7,0)))</f>
        <v/>
      </c>
      <c r="K522" s="422" t="n"/>
      <c r="L522" s="448">
        <f>ROUND((A522+B522)/2,2)</f>
        <v/>
      </c>
    </row>
    <row r="523" ht="13.5" customHeight="1" s="7635">
      <c r="A523" s="448" t="n">
        <v>25950</v>
      </c>
      <c r="B523" s="447" t="n">
        <v>26000</v>
      </c>
      <c r="C523" s="1378">
        <f>IF($L523&gt;N$5,MAX(0,N$3+ROUND((N$9*($L523-N$5)),0)),IF($L523&gt;N$4,N$3,ROUND($L523*N$7,0)))</f>
        <v/>
      </c>
      <c r="D523" s="448">
        <f>IF($L523&gt;O$5,MAX(0,O$3+ROUND((O$9*($L523-O$5)),0)),IF($L523&gt;O$4,O$3,ROUND($L523*O$7,0)))</f>
        <v/>
      </c>
      <c r="E523" s="448">
        <f>IF($L523&gt;P$5,MAX(0,P$3+ROUND((P$9*($L523-P$5)),0)),IF($L523&gt;P$4,P$3,ROUND($L523*P$7,0)))</f>
        <v/>
      </c>
      <c r="F523" s="447">
        <f>IF($L523&gt;Q$5,MAX(0,Q$3+ROUND((Q$9*($L523-Q$5)),0)),IF($L523&gt;Q$4,Q$3,ROUND($L523*Q$7,0)))</f>
        <v/>
      </c>
      <c r="G523" s="1378">
        <f>IF($L523&gt;R$5,MAX(0,R$3+ROUND((R$9*($L523-R$5)),0)),IF($L523&gt;R$4,R$3,ROUND($L523*R$7,0)))</f>
        <v/>
      </c>
      <c r="H523" s="448">
        <f>IF($L523&gt;S$5,MAX(0,S$3+ROUND((S$9*($L523-S$5)),0)),IF($L523&gt;S$4,S$3,ROUND($L523*S$7,0)))</f>
        <v/>
      </c>
      <c r="I523" s="448">
        <f>IF($L523&gt;T$5,MAX(0,T$3+ROUND((T$9*($L523-T$5)),0)),IF($L523&gt;T$4,T$3,ROUND($L523*T$7,0)))</f>
        <v/>
      </c>
      <c r="J523" s="447">
        <f>IF($L523&gt;U$5,MAX(0,U$3+ROUND((U$9*($L523-U$5)),0)),IF($L523&gt;U$4,U$3,ROUND($L523*U$7,0)))</f>
        <v/>
      </c>
      <c r="K523" s="422" t="n"/>
      <c r="L523" s="448">
        <f>ROUND((A523+B523)/2,2)</f>
        <v/>
      </c>
    </row>
    <row r="524" ht="13.5" customHeight="1" s="7635">
      <c r="A524" s="448" t="n">
        <v>26000</v>
      </c>
      <c r="B524" s="447" t="n">
        <v>26050</v>
      </c>
      <c r="C524" s="1378">
        <f>IF($L524&gt;N$5,MAX(0,N$3+ROUND((N$9*($L524-N$5)),0)),IF($L524&gt;N$4,N$3,ROUND($L524*N$7,0)))</f>
        <v/>
      </c>
      <c r="D524" s="448">
        <f>IF($L524&gt;O$5,MAX(0,O$3+ROUND((O$9*($L524-O$5)),0)),IF($L524&gt;O$4,O$3,ROUND($L524*O$7,0)))</f>
        <v/>
      </c>
      <c r="E524" s="448">
        <f>IF($L524&gt;P$5,MAX(0,P$3+ROUND((P$9*($L524-P$5)),0)),IF($L524&gt;P$4,P$3,ROUND($L524*P$7,0)))</f>
        <v/>
      </c>
      <c r="F524" s="447">
        <f>IF($L524&gt;Q$5,MAX(0,Q$3+ROUND((Q$9*($L524-Q$5)),0)),IF($L524&gt;Q$4,Q$3,ROUND($L524*Q$7,0)))</f>
        <v/>
      </c>
      <c r="G524" s="1378">
        <f>IF($L524&gt;R$5,MAX(0,R$3+ROUND((R$9*($L524-R$5)),0)),IF($L524&gt;R$4,R$3,ROUND($L524*R$7,0)))</f>
        <v/>
      </c>
      <c r="H524" s="448">
        <f>IF($L524&gt;S$5,MAX(0,S$3+ROUND((S$9*($L524-S$5)),0)),IF($L524&gt;S$4,S$3,ROUND($L524*S$7,0)))</f>
        <v/>
      </c>
      <c r="I524" s="448">
        <f>IF($L524&gt;T$5,MAX(0,T$3+ROUND((T$9*($L524-T$5)),0)),IF($L524&gt;T$4,T$3,ROUND($L524*T$7,0)))</f>
        <v/>
      </c>
      <c r="J524" s="447">
        <f>IF($L524&gt;U$5,MAX(0,U$3+ROUND((U$9*($L524-U$5)),0)),IF($L524&gt;U$4,U$3,ROUND($L524*U$7,0)))</f>
        <v/>
      </c>
      <c r="K524" s="422" t="n"/>
      <c r="L524" s="448">
        <f>ROUND((A524+B524)/2,2)</f>
        <v/>
      </c>
    </row>
    <row r="525" ht="13.5" customHeight="1" s="7635">
      <c r="A525" s="448" t="n">
        <v>26050</v>
      </c>
      <c r="B525" s="447" t="n">
        <v>26100</v>
      </c>
      <c r="C525" s="1378">
        <f>IF($L525&gt;N$5,MAX(0,N$3+ROUND((N$9*($L525-N$5)),0)),IF($L525&gt;N$4,N$3,ROUND($L525*N$7,0)))</f>
        <v/>
      </c>
      <c r="D525" s="448">
        <f>IF($L525&gt;O$5,MAX(0,O$3+ROUND((O$9*($L525-O$5)),0)),IF($L525&gt;O$4,O$3,ROUND($L525*O$7,0)))</f>
        <v/>
      </c>
      <c r="E525" s="448">
        <f>IF($L525&gt;P$5,MAX(0,P$3+ROUND((P$9*($L525-P$5)),0)),IF($L525&gt;P$4,P$3,ROUND($L525*P$7,0)))</f>
        <v/>
      </c>
      <c r="F525" s="447">
        <f>IF($L525&gt;Q$5,MAX(0,Q$3+ROUND((Q$9*($L525-Q$5)),0)),IF($L525&gt;Q$4,Q$3,ROUND($L525*Q$7,0)))</f>
        <v/>
      </c>
      <c r="G525" s="1378">
        <f>IF($L525&gt;R$5,MAX(0,R$3+ROUND((R$9*($L525-R$5)),0)),IF($L525&gt;R$4,R$3,ROUND($L525*R$7,0)))</f>
        <v/>
      </c>
      <c r="H525" s="448">
        <f>IF($L525&gt;S$5,MAX(0,S$3+ROUND((S$9*($L525-S$5)),0)),IF($L525&gt;S$4,S$3,ROUND($L525*S$7,0)))</f>
        <v/>
      </c>
      <c r="I525" s="448">
        <f>IF($L525&gt;T$5,MAX(0,T$3+ROUND((T$9*($L525-T$5)),0)),IF($L525&gt;T$4,T$3,ROUND($L525*T$7,0)))</f>
        <v/>
      </c>
      <c r="J525" s="447">
        <f>IF($L525&gt;U$5,MAX(0,U$3+ROUND((U$9*($L525-U$5)),0)),IF($L525&gt;U$4,U$3,ROUND($L525*U$7,0)))</f>
        <v/>
      </c>
      <c r="K525" s="422" t="n"/>
      <c r="L525" s="448">
        <f>ROUND((A525+B525)/2,2)</f>
        <v/>
      </c>
    </row>
    <row r="526" ht="13.5" customHeight="1" s="7635">
      <c r="A526" s="448" t="n">
        <v>26100</v>
      </c>
      <c r="B526" s="447" t="n">
        <v>26150</v>
      </c>
      <c r="C526" s="1378">
        <f>IF($L526&gt;N$5,MAX(0,N$3+ROUND((N$9*($L526-N$5)),0)),IF($L526&gt;N$4,N$3,ROUND($L526*N$7,0)))</f>
        <v/>
      </c>
      <c r="D526" s="448">
        <f>IF($L526&gt;O$5,MAX(0,O$3+ROUND((O$9*($L526-O$5)),0)),IF($L526&gt;O$4,O$3,ROUND($L526*O$7,0)))</f>
        <v/>
      </c>
      <c r="E526" s="448">
        <f>IF($L526&gt;P$5,MAX(0,P$3+ROUND((P$9*($L526-P$5)),0)),IF($L526&gt;P$4,P$3,ROUND($L526*P$7,0)))</f>
        <v/>
      </c>
      <c r="F526" s="447">
        <f>IF($L526&gt;Q$5,MAX(0,Q$3+ROUND((Q$9*($L526-Q$5)),0)),IF($L526&gt;Q$4,Q$3,ROUND($L526*Q$7,0)))</f>
        <v/>
      </c>
      <c r="G526" s="1378">
        <f>IF($L526&gt;R$5,MAX(0,R$3+ROUND((R$9*($L526-R$5)),0)),IF($L526&gt;R$4,R$3,ROUND($L526*R$7,0)))</f>
        <v/>
      </c>
      <c r="H526" s="448">
        <f>IF($L526&gt;S$5,MAX(0,S$3+ROUND((S$9*($L526-S$5)),0)),IF($L526&gt;S$4,S$3,ROUND($L526*S$7,0)))</f>
        <v/>
      </c>
      <c r="I526" s="448">
        <f>IF($L526&gt;T$5,MAX(0,T$3+ROUND((T$9*($L526-T$5)),0)),IF($L526&gt;T$4,T$3,ROUND($L526*T$7,0)))</f>
        <v/>
      </c>
      <c r="J526" s="447">
        <f>IF($L526&gt;U$5,MAX(0,U$3+ROUND((U$9*($L526-U$5)),0)),IF($L526&gt;U$4,U$3,ROUND($L526*U$7,0)))</f>
        <v/>
      </c>
      <c r="K526" s="422" t="n"/>
      <c r="L526" s="448">
        <f>ROUND((A526+B526)/2,2)</f>
        <v/>
      </c>
    </row>
    <row r="527" ht="14.25" customHeight="1" s="7635" thickBot="1">
      <c r="A527" s="448" t="n">
        <v>26150</v>
      </c>
      <c r="B527" s="447" t="n">
        <v>26200</v>
      </c>
      <c r="C527" s="1378">
        <f>IF($L527&gt;N$5,MAX(0,N$3+ROUND((N$9*($L527-N$5)),0)),IF($L527&gt;N$4,N$3,ROUND($L527*N$7,0)))</f>
        <v/>
      </c>
      <c r="D527" s="448">
        <f>IF($L527&gt;O$5,MAX(0,O$3+ROUND((O$9*($L527-O$5)),0)),IF($L527&gt;O$4,O$3,ROUND($L527*O$7,0)))</f>
        <v/>
      </c>
      <c r="E527" s="448">
        <f>IF($L527&gt;P$5,MAX(0,P$3+ROUND((P$9*($L527-P$5)),0)),IF($L527&gt;P$4,P$3,ROUND($L527*P$7,0)))</f>
        <v/>
      </c>
      <c r="F527" s="447">
        <f>IF($L527&gt;Q$5,MAX(0,Q$3+ROUND((Q$9*($L527-Q$5)),0)),IF($L527&gt;Q$4,Q$3,ROUND($L527*Q$7,0)))</f>
        <v/>
      </c>
      <c r="G527" s="1378">
        <f>IF($L527&gt;R$5,MAX(0,R$3+ROUND((R$9*($L527-R$5)),0)),IF($L527&gt;R$4,R$3,ROUND($L527*R$7,0)))</f>
        <v/>
      </c>
      <c r="H527" s="448">
        <f>IF($L527&gt;S$5,MAX(0,S$3+ROUND((S$9*($L527-S$5)),0)),IF($L527&gt;S$4,S$3,ROUND($L527*S$7,0)))</f>
        <v/>
      </c>
      <c r="I527" s="448">
        <f>IF($L527&gt;T$5,MAX(0,T$3+ROUND((T$9*($L527-T$5)),0)),IF($L527&gt;T$4,T$3,ROUND($L527*T$7,0)))</f>
        <v/>
      </c>
      <c r="J527" s="447">
        <f>IF($L527&gt;U$5,MAX(0,U$3+ROUND((U$9*($L527-U$5)),0)),IF($L527&gt;U$4,U$3,ROUND($L527*U$7,0)))</f>
        <v/>
      </c>
      <c r="K527" s="422" t="n"/>
      <c r="L527" s="448">
        <f>ROUND((A527+B527)/2,2)</f>
        <v/>
      </c>
    </row>
    <row r="528" ht="13.5" customHeight="1" s="7635">
      <c r="A528" s="6556" t="n">
        <v>26200</v>
      </c>
      <c r="B528" s="6557" t="n">
        <v>26214</v>
      </c>
      <c r="C528" s="1378">
        <f>IF($L528&gt;N$5,MAX(0,N$3+ROUND((N$9*($L528-N$5)),0)),IF($L528&gt;N$4,N$3,ROUND($L528*N$7,0)))</f>
        <v/>
      </c>
      <c r="D528" s="448">
        <f>IF($L528&gt;O$5,MAX(0,O$3+ROUND((O$9*($L528-O$5)),0)),IF($L528&gt;O$4,O$3,ROUND($L528*O$7,0)))</f>
        <v/>
      </c>
      <c r="E528" s="448">
        <f>IF($L528&gt;P$5,MAX(0,P$3+ROUND((P$9*($L528-P$5)),0)),IF($L528&gt;P$4,P$3,ROUND($L528*P$7,0)))</f>
        <v/>
      </c>
      <c r="F528" s="447">
        <f>IF($L528&gt;Q$5,MAX(0,Q$3+ROUND((Q$9*($L528-Q$5)),0)),IF($L528&gt;Q$4,Q$3,ROUND($L528*Q$7,0)))</f>
        <v/>
      </c>
      <c r="G528" s="1378">
        <f>IF($L528&gt;R$5,MAX(0,R$3+ROUND((R$9*($L528-R$5)),0)),IF($L528&gt;R$4,R$3,ROUND($L528*R$7,0)))</f>
        <v/>
      </c>
      <c r="H528" s="448">
        <f>IF($L528&gt;S$5,MAX(0,S$3+ROUND((S$9*($L528-S$5)),0)),IF($L528&gt;S$4,S$3,ROUND($L528*S$7,0)))</f>
        <v/>
      </c>
      <c r="I528" s="448">
        <f>IF($L528&gt;T$5,MAX(0,T$3+ROUND((T$9*($L528-T$5)),0)),IF($L528&gt;T$4,T$3,ROUND($L528*T$7,0)))</f>
        <v/>
      </c>
      <c r="J528" s="447">
        <f>IF($L528&gt;U$5,MAX(0,U$3+ROUND((U$9*($L528-U$5)),0)),IF($L528&gt;U$4,U$3,ROUND($L528*U$7,0)))</f>
        <v/>
      </c>
      <c r="K528" s="422" t="n"/>
      <c r="L528" s="448">
        <f>ROUND((A528+B528)/2,2)</f>
        <v/>
      </c>
    </row>
    <row r="529" ht="14.25" customHeight="1" s="7635" thickBot="1">
      <c r="A529" s="6558" t="n">
        <v>26214</v>
      </c>
      <c r="B529" s="6559" t="n">
        <v>26250</v>
      </c>
      <c r="C529" s="6562">
        <f>IF($L529&gt;N$5,MAX(0,N$3+ROUND((N$9*($L529-N$5)),0)),IF($L529&gt;N$4,N$3,ROUND($L529*N$7,0)))</f>
        <v/>
      </c>
      <c r="D529" s="6560" t="n">
        <v>3871</v>
      </c>
      <c r="E529" s="6560" t="n">
        <v>6550</v>
      </c>
      <c r="F529" s="6561" t="n">
        <v>7444</v>
      </c>
      <c r="G529" s="6562">
        <f>IF($L529&gt;R$5,MAX(0,R$3+ROUND((R$9*($L529-R$5)),0)),IF($L529&gt;R$4,R$3,ROUND($L529*R$7,0)))</f>
        <v/>
      </c>
      <c r="H529" s="6560" t="n">
        <v>4328</v>
      </c>
      <c r="I529" s="6560" t="n">
        <v>7152</v>
      </c>
      <c r="J529" s="6561" t="n">
        <v>8046</v>
      </c>
      <c r="K529" s="422" t="n"/>
      <c r="L529" s="448">
        <f>ROUND((A529+B529)/2,2)</f>
        <v/>
      </c>
    </row>
    <row r="530" ht="13.5" customHeight="1" s="7635">
      <c r="A530" s="448" t="n">
        <v>26250</v>
      </c>
      <c r="B530" s="447" t="n">
        <v>26300</v>
      </c>
      <c r="C530" s="1378">
        <f>IF($L530&gt;N$5,MAX(0,N$3+ROUND((N$9*($L530-N$5)),0)),IF($L530&gt;N$4,N$3,ROUND($L530*N$7,0)))</f>
        <v/>
      </c>
      <c r="D530" s="448">
        <f>IF($L530&gt;O$5,MAX(0,O$3+ROUND((O$9*($L530-O$5)),0)),IF($L530&gt;O$4,O$3,ROUND($L530*O$7,0)))</f>
        <v/>
      </c>
      <c r="E530" s="448">
        <f>IF($L530&gt;P$5,MAX(0,P$3+ROUND((P$9*($L530-P$5)),0)),IF($L530&gt;P$4,P$3,ROUND($L530*P$7,0)))</f>
        <v/>
      </c>
      <c r="F530" s="447">
        <f>IF($L530&gt;Q$5,MAX(0,Q$3+ROUND((Q$9*($L530-Q$5)),0)),IF($L530&gt;Q$4,Q$3,ROUND($L530*Q$7,0)))</f>
        <v/>
      </c>
      <c r="G530" s="1378">
        <f>IF($L530&gt;R$5,MAX(0,R$3+ROUND((R$9*($L530-R$5)),0)),IF($L530&gt;R$4,R$3,ROUND($L530*R$7,0)))</f>
        <v/>
      </c>
      <c r="H530" s="448">
        <f>IF($L530&gt;S$5,MAX(0,S$3+ROUND((S$9*($L530-S$5)),0)),IF($L530&gt;S$4,S$3,ROUND($L530*S$7,0)))</f>
        <v/>
      </c>
      <c r="I530" s="448">
        <f>IF($L530&gt;T$5,MAX(0,T$3+ROUND((T$9*($L530-T$5)),0)),IF($L530&gt;T$4,T$3,ROUND($L530*T$7,0)))</f>
        <v/>
      </c>
      <c r="J530" s="447">
        <f>IF($L530&gt;U$5,MAX(0,U$3+ROUND((U$9*($L530-U$5)),0)),IF($L530&gt;U$4,U$3,ROUND($L530*U$7,0)))</f>
        <v/>
      </c>
      <c r="K530" s="422" t="n"/>
      <c r="L530" s="448">
        <f>ROUND((A530+B530)/2,2)</f>
        <v/>
      </c>
    </row>
    <row r="531" ht="13.5" customHeight="1" s="7635">
      <c r="A531" s="448" t="n">
        <v>26300</v>
      </c>
      <c r="B531" s="447" t="n">
        <v>26350</v>
      </c>
      <c r="C531" s="1378">
        <f>IF($L531&gt;N$5,MAX(0,N$3+ROUND((N$9*($L531-N$5)),0)),IF($L531&gt;N$4,N$3,ROUND($L531*N$7,0)))</f>
        <v/>
      </c>
      <c r="D531" s="448">
        <f>IF($L531&gt;O$5,MAX(0,O$3+ROUND((O$9*($L531-O$5)),0)),IF($L531&gt;O$4,O$3,ROUND($L531*O$7,0)))</f>
        <v/>
      </c>
      <c r="E531" s="448">
        <f>IF($L531&gt;P$5,MAX(0,P$3+ROUND((P$9*($L531-P$5)),0)),IF($L531&gt;P$4,P$3,ROUND($L531*P$7,0)))</f>
        <v/>
      </c>
      <c r="F531" s="447">
        <f>IF($L531&gt;Q$5,MAX(0,Q$3+ROUND((Q$9*($L531-Q$5)),0)),IF($L531&gt;Q$4,Q$3,ROUND($L531*Q$7,0)))</f>
        <v/>
      </c>
      <c r="G531" s="1378">
        <f>IF($L531&gt;R$5,MAX(0,R$3+ROUND((R$9*($L531-R$5)),0)),IF($L531&gt;R$4,R$3,ROUND($L531*R$7,0)))</f>
        <v/>
      </c>
      <c r="H531" s="448">
        <f>IF($L531&gt;S$5,MAX(0,S$3+ROUND((S$9*($L531-S$5)),0)),IF($L531&gt;S$4,S$3,ROUND($L531*S$7,0)))</f>
        <v/>
      </c>
      <c r="I531" s="448">
        <f>IF($L531&gt;T$5,MAX(0,T$3+ROUND((T$9*($L531-T$5)),0)),IF($L531&gt;T$4,T$3,ROUND($L531*T$7,0)))</f>
        <v/>
      </c>
      <c r="J531" s="447">
        <f>IF($L531&gt;U$5,MAX(0,U$3+ROUND((U$9*($L531-U$5)),0)),IF($L531&gt;U$4,U$3,ROUND($L531*U$7,0)))</f>
        <v/>
      </c>
      <c r="K531" s="422" t="n"/>
      <c r="L531" s="448">
        <f>ROUND((A531+B531)/2,2)</f>
        <v/>
      </c>
    </row>
    <row r="532" ht="13.5" customHeight="1" s="7635">
      <c r="A532" s="448" t="n">
        <v>26350</v>
      </c>
      <c r="B532" s="447" t="n">
        <v>26400</v>
      </c>
      <c r="C532" s="1378">
        <f>IF($L532&gt;N$5,MAX(0,N$3+ROUND((N$9*($L532-N$5)),0)),IF($L532&gt;N$4,N$3,ROUND($L532*N$7,0)))</f>
        <v/>
      </c>
      <c r="D532" s="448">
        <f>IF($L532&gt;O$5,MAX(0,O$3+ROUND((O$9*($L532-O$5)),0)),IF($L532&gt;O$4,O$3,ROUND($L532*O$7,0)))</f>
        <v/>
      </c>
      <c r="E532" s="448">
        <f>IF($L532&gt;P$5,MAX(0,P$3+ROUND((P$9*($L532-P$5)),0)),IF($L532&gt;P$4,P$3,ROUND($L532*P$7,0)))</f>
        <v/>
      </c>
      <c r="F532" s="447">
        <f>IF($L532&gt;Q$5,MAX(0,Q$3+ROUND((Q$9*($L532-Q$5)),0)),IF($L532&gt;Q$4,Q$3,ROUND($L532*Q$7,0)))</f>
        <v/>
      </c>
      <c r="G532" s="1378">
        <f>IF($L532&gt;R$5,MAX(0,R$3+ROUND((R$9*($L532-R$5)),0)),IF($L532&gt;R$4,R$3,ROUND($L532*R$7,0)))</f>
        <v/>
      </c>
      <c r="H532" s="448">
        <f>IF($L532&gt;S$5,MAX(0,S$3+ROUND((S$9*($L532-S$5)),0)),IF($L532&gt;S$4,S$3,ROUND($L532*S$7,0)))</f>
        <v/>
      </c>
      <c r="I532" s="448">
        <f>IF($L532&gt;T$5,MAX(0,T$3+ROUND((T$9*($L532-T$5)),0)),IF($L532&gt;T$4,T$3,ROUND($L532*T$7,0)))</f>
        <v/>
      </c>
      <c r="J532" s="447">
        <f>IF($L532&gt;U$5,MAX(0,U$3+ROUND((U$9*($L532-U$5)),0)),IF($L532&gt;U$4,U$3,ROUND($L532*U$7,0)))</f>
        <v/>
      </c>
      <c r="K532" s="422" t="n"/>
      <c r="L532" s="448">
        <f>ROUND((A532+B532)/2,2)</f>
        <v/>
      </c>
    </row>
    <row r="533" ht="13.5" customHeight="1" s="7635">
      <c r="A533" s="448" t="n">
        <v>26400</v>
      </c>
      <c r="B533" s="447" t="n">
        <v>26450</v>
      </c>
      <c r="C533" s="1378">
        <f>IF($L533&gt;N$5,MAX(0,N$3+ROUND((N$9*($L533-N$5)),0)),IF($L533&gt;N$4,N$3,ROUND($L533*N$7,0)))</f>
        <v/>
      </c>
      <c r="D533" s="448">
        <f>IF($L533&gt;O$5,MAX(0,O$3+ROUND((O$9*($L533-O$5)),0)),IF($L533&gt;O$4,O$3,ROUND($L533*O$7,0)))</f>
        <v/>
      </c>
      <c r="E533" s="448">
        <f>IF($L533&gt;P$5,MAX(0,P$3+ROUND((P$9*($L533-P$5)),0)),IF($L533&gt;P$4,P$3,ROUND($L533*P$7,0)))</f>
        <v/>
      </c>
      <c r="F533" s="447">
        <f>IF($L533&gt;Q$5,MAX(0,Q$3+ROUND((Q$9*($L533-Q$5)),0)),IF($L533&gt;Q$4,Q$3,ROUND($L533*Q$7,0)))</f>
        <v/>
      </c>
      <c r="G533" s="1378">
        <f>IF($L533&gt;R$5,MAX(0,R$3+ROUND((R$9*($L533-R$5)),0)),IF($L533&gt;R$4,R$3,ROUND($L533*R$7,0)))</f>
        <v/>
      </c>
      <c r="H533" s="448">
        <f>IF($L533&gt;S$5,MAX(0,S$3+ROUND((S$9*($L533-S$5)),0)),IF($L533&gt;S$4,S$3,ROUND($L533*S$7,0)))</f>
        <v/>
      </c>
      <c r="I533" s="448">
        <f>IF($L533&gt;T$5,MAX(0,T$3+ROUND((T$9*($L533-T$5)),0)),IF($L533&gt;T$4,T$3,ROUND($L533*T$7,0)))</f>
        <v/>
      </c>
      <c r="J533" s="447">
        <f>IF($L533&gt;U$5,MAX(0,U$3+ROUND((U$9*($L533-U$5)),0)),IF($L533&gt;U$4,U$3,ROUND($L533*U$7,0)))</f>
        <v/>
      </c>
      <c r="K533" s="422" t="n"/>
      <c r="L533" s="448">
        <f>ROUND((A533+B533)/2,2)</f>
        <v/>
      </c>
    </row>
    <row r="534" ht="13.5" customHeight="1" s="7635">
      <c r="A534" s="448" t="n">
        <v>26450</v>
      </c>
      <c r="B534" s="447" t="n">
        <v>26500</v>
      </c>
      <c r="C534" s="1378">
        <f>IF($L534&gt;N$5,MAX(0,N$3+ROUND((N$9*($L534-N$5)),0)),IF($L534&gt;N$4,N$3,ROUND($L534*N$7,0)))</f>
        <v/>
      </c>
      <c r="D534" s="448">
        <f>IF($L534&gt;O$5,MAX(0,O$3+ROUND((O$9*($L534-O$5)),0)),IF($L534&gt;O$4,O$3,ROUND($L534*O$7,0)))</f>
        <v/>
      </c>
      <c r="E534" s="448">
        <f>IF($L534&gt;P$5,MAX(0,P$3+ROUND((P$9*($L534-P$5)),0)),IF($L534&gt;P$4,P$3,ROUND($L534*P$7,0)))</f>
        <v/>
      </c>
      <c r="F534" s="447">
        <f>IF($L534&gt;Q$5,MAX(0,Q$3+ROUND((Q$9*($L534-Q$5)),0)),IF($L534&gt;Q$4,Q$3,ROUND($L534*Q$7,0)))</f>
        <v/>
      </c>
      <c r="G534" s="1378">
        <f>IF($L534&gt;R$5,MAX(0,R$3+ROUND((R$9*($L534-R$5)),0)),IF($L534&gt;R$4,R$3,ROUND($L534*R$7,0)))</f>
        <v/>
      </c>
      <c r="H534" s="448">
        <f>IF($L534&gt;S$5,MAX(0,S$3+ROUND((S$9*($L534-S$5)),0)),IF($L534&gt;S$4,S$3,ROUND($L534*S$7,0)))</f>
        <v/>
      </c>
      <c r="I534" s="448">
        <f>IF($L534&gt;T$5,MAX(0,T$3+ROUND((T$9*($L534-T$5)),0)),IF($L534&gt;T$4,T$3,ROUND($L534*T$7,0)))</f>
        <v/>
      </c>
      <c r="J534" s="447">
        <f>IF($L534&gt;U$5,MAX(0,U$3+ROUND((U$9*($L534-U$5)),0)),IF($L534&gt;U$4,U$3,ROUND($L534*U$7,0)))</f>
        <v/>
      </c>
      <c r="K534" s="422" t="n"/>
      <c r="L534" s="448">
        <f>ROUND((A534+B534)/2,2)</f>
        <v/>
      </c>
    </row>
    <row r="535" ht="13.5" customHeight="1" s="7635">
      <c r="A535" s="448" t="n">
        <v>26500</v>
      </c>
      <c r="B535" s="447" t="n">
        <v>26550</v>
      </c>
      <c r="C535" s="1378">
        <f>IF($L535&gt;N$5,MAX(0,N$3+ROUND((N$9*($L535-N$5)),0)),IF($L535&gt;N$4,N$3,ROUND($L535*N$7,0)))</f>
        <v/>
      </c>
      <c r="D535" s="448">
        <f>IF($L535&gt;O$5,MAX(0,O$3+ROUND((O$9*($L535-O$5)),0)),IF($L535&gt;O$4,O$3,ROUND($L535*O$7,0)))</f>
        <v/>
      </c>
      <c r="E535" s="448">
        <f>IF($L535&gt;P$5,MAX(0,P$3+ROUND((P$9*($L535-P$5)),0)),IF($L535&gt;P$4,P$3,ROUND($L535*P$7,0)))</f>
        <v/>
      </c>
      <c r="F535" s="447">
        <f>IF($L535&gt;Q$5,MAX(0,Q$3+ROUND((Q$9*($L535-Q$5)),0)),IF($L535&gt;Q$4,Q$3,ROUND($L535*Q$7,0)))</f>
        <v/>
      </c>
      <c r="G535" s="1378">
        <f>IF($L535&gt;R$5,MAX(0,R$3+ROUND((R$9*($L535-R$5)),0)),IF($L535&gt;R$4,R$3,ROUND($L535*R$7,0)))</f>
        <v/>
      </c>
      <c r="H535" s="448">
        <f>IF($L535&gt;S$5,MAX(0,S$3+ROUND((S$9*($L535-S$5)),0)),IF($L535&gt;S$4,S$3,ROUND($L535*S$7,0)))</f>
        <v/>
      </c>
      <c r="I535" s="448">
        <f>IF($L535&gt;T$5,MAX(0,T$3+ROUND((T$9*($L535-T$5)),0)),IF($L535&gt;T$4,T$3,ROUND($L535*T$7,0)))</f>
        <v/>
      </c>
      <c r="J535" s="447">
        <f>IF($L535&gt;U$5,MAX(0,U$3+ROUND((U$9*($L535-U$5)),0)),IF($L535&gt;U$4,U$3,ROUND($L535*U$7,0)))</f>
        <v/>
      </c>
      <c r="K535" s="422" t="n"/>
      <c r="L535" s="448">
        <f>ROUND((A535+B535)/2,2)</f>
        <v/>
      </c>
    </row>
    <row r="536" ht="13.5" customHeight="1" s="7635">
      <c r="A536" s="448" t="n">
        <v>26550</v>
      </c>
      <c r="B536" s="447" t="n">
        <v>26600</v>
      </c>
      <c r="C536" s="1378">
        <f>IF($L536&gt;N$5,MAX(0,N$3+ROUND((N$9*($L536-N$5)),0)),IF($L536&gt;N$4,N$3,ROUND($L536*N$7,0)))</f>
        <v/>
      </c>
      <c r="D536" s="448">
        <f>IF($L536&gt;O$5,MAX(0,O$3+ROUND((O$9*($L536-O$5)),0)),IF($L536&gt;O$4,O$3,ROUND($L536*O$7,0)))</f>
        <v/>
      </c>
      <c r="E536" s="448">
        <f>IF($L536&gt;P$5,MAX(0,P$3+ROUND((P$9*($L536-P$5)),0)),IF($L536&gt;P$4,P$3,ROUND($L536*P$7,0)))</f>
        <v/>
      </c>
      <c r="F536" s="447">
        <f>IF($L536&gt;Q$5,MAX(0,Q$3+ROUND((Q$9*($L536-Q$5)),0)),IF($L536&gt;Q$4,Q$3,ROUND($L536*Q$7,0)))</f>
        <v/>
      </c>
      <c r="G536" s="1378">
        <f>IF($L536&gt;R$5,MAX(0,R$3+ROUND((R$9*($L536-R$5)),0)),IF($L536&gt;R$4,R$3,ROUND($L536*R$7,0)))</f>
        <v/>
      </c>
      <c r="H536" s="448">
        <f>IF($L536&gt;S$5,MAX(0,S$3+ROUND((S$9*($L536-S$5)),0)),IF($L536&gt;S$4,S$3,ROUND($L536*S$7,0)))</f>
        <v/>
      </c>
      <c r="I536" s="448">
        <f>IF($L536&gt;T$5,MAX(0,T$3+ROUND((T$9*($L536-T$5)),0)),IF($L536&gt;T$4,T$3,ROUND($L536*T$7,0)))</f>
        <v/>
      </c>
      <c r="J536" s="447">
        <f>IF($L536&gt;U$5,MAX(0,U$3+ROUND((U$9*($L536-U$5)),0)),IF($L536&gt;U$4,U$3,ROUND($L536*U$7,0)))</f>
        <v/>
      </c>
      <c r="K536" s="422" t="n"/>
      <c r="L536" s="448">
        <f>ROUND((A536+B536)/2,2)</f>
        <v/>
      </c>
    </row>
    <row r="537" ht="13.5" customHeight="1" s="7635">
      <c r="A537" s="448" t="n">
        <v>26600</v>
      </c>
      <c r="B537" s="447" t="n">
        <v>26650</v>
      </c>
      <c r="C537" s="1378">
        <f>IF($L537&gt;N$5,MAX(0,N$3+ROUND((N$9*($L537-N$5)),0)),IF($L537&gt;N$4,N$3,ROUND($L537*N$7,0)))</f>
        <v/>
      </c>
      <c r="D537" s="448">
        <f>IF($L537&gt;O$5,MAX(0,O$3+ROUND((O$9*($L537-O$5)),0)),IF($L537&gt;O$4,O$3,ROUND($L537*O$7,0)))</f>
        <v/>
      </c>
      <c r="E537" s="448">
        <f>IF($L537&gt;P$5,MAX(0,P$3+ROUND((P$9*($L537-P$5)),0)),IF($L537&gt;P$4,P$3,ROUND($L537*P$7,0)))</f>
        <v/>
      </c>
      <c r="F537" s="447">
        <f>IF($L537&gt;Q$5,MAX(0,Q$3+ROUND((Q$9*($L537-Q$5)),0)),IF($L537&gt;Q$4,Q$3,ROUND($L537*Q$7,0)))</f>
        <v/>
      </c>
      <c r="G537" s="1378">
        <f>IF($L537&gt;R$5,MAX(0,R$3+ROUND((R$9*($L537-R$5)),0)),IF($L537&gt;R$4,R$3,ROUND($L537*R$7,0)))</f>
        <v/>
      </c>
      <c r="H537" s="448">
        <f>IF($L537&gt;S$5,MAX(0,S$3+ROUND((S$9*($L537-S$5)),0)),IF($L537&gt;S$4,S$3,ROUND($L537*S$7,0)))</f>
        <v/>
      </c>
      <c r="I537" s="448">
        <f>IF($L537&gt;T$5,MAX(0,T$3+ROUND((T$9*($L537-T$5)),0)),IF($L537&gt;T$4,T$3,ROUND($L537*T$7,0)))</f>
        <v/>
      </c>
      <c r="J537" s="447">
        <f>IF($L537&gt;U$5,MAX(0,U$3+ROUND((U$9*($L537-U$5)),0)),IF($L537&gt;U$4,U$3,ROUND($L537*U$7,0)))</f>
        <v/>
      </c>
      <c r="K537" s="422" t="n"/>
      <c r="L537" s="448">
        <f>ROUND((A537+B537)/2,2)</f>
        <v/>
      </c>
    </row>
    <row r="538" ht="13.5" customHeight="1" s="7635">
      <c r="A538" s="448" t="n">
        <v>26650</v>
      </c>
      <c r="B538" s="447" t="n">
        <v>26700</v>
      </c>
      <c r="C538" s="1378">
        <f>IF($L538&gt;N$5,MAX(0,N$3+ROUND((N$9*($L538-N$5)),0)),IF($L538&gt;N$4,N$3,ROUND($L538*N$7,0)))</f>
        <v/>
      </c>
      <c r="D538" s="448">
        <f>IF($L538&gt;O$5,MAX(0,O$3+ROUND((O$9*($L538-O$5)),0)),IF($L538&gt;O$4,O$3,ROUND($L538*O$7,0)))</f>
        <v/>
      </c>
      <c r="E538" s="448">
        <f>IF($L538&gt;P$5,MAX(0,P$3+ROUND((P$9*($L538-P$5)),0)),IF($L538&gt;P$4,P$3,ROUND($L538*P$7,0)))</f>
        <v/>
      </c>
      <c r="F538" s="447">
        <f>IF($L538&gt;Q$5,MAX(0,Q$3+ROUND((Q$9*($L538-Q$5)),0)),IF($L538&gt;Q$4,Q$3,ROUND($L538*Q$7,0)))</f>
        <v/>
      </c>
      <c r="G538" s="1378">
        <f>IF($L538&gt;R$5,MAX(0,R$3+ROUND((R$9*($L538-R$5)),0)),IF($L538&gt;R$4,R$3,ROUND($L538*R$7,0)))</f>
        <v/>
      </c>
      <c r="H538" s="448">
        <f>IF($L538&gt;S$5,MAX(0,S$3+ROUND((S$9*($L538-S$5)),0)),IF($L538&gt;S$4,S$3,ROUND($L538*S$7,0)))</f>
        <v/>
      </c>
      <c r="I538" s="448">
        <f>IF($L538&gt;T$5,MAX(0,T$3+ROUND((T$9*($L538-T$5)),0)),IF($L538&gt;T$4,T$3,ROUND($L538*T$7,0)))</f>
        <v/>
      </c>
      <c r="J538" s="447">
        <f>IF($L538&gt;U$5,MAX(0,U$3+ROUND((U$9*($L538-U$5)),0)),IF($L538&gt;U$4,U$3,ROUND($L538*U$7,0)))</f>
        <v/>
      </c>
      <c r="K538" s="422" t="n"/>
      <c r="L538" s="448">
        <f>ROUND((A538+B538)/2,2)</f>
        <v/>
      </c>
    </row>
    <row r="539" ht="13.5" customHeight="1" s="7635">
      <c r="A539" s="448" t="n">
        <v>26700</v>
      </c>
      <c r="B539" s="447" t="n">
        <v>26750</v>
      </c>
      <c r="C539" s="1378">
        <f>IF($L539&gt;N$5,MAX(0,N$3+ROUND((N$9*($L539-N$5)),0)),IF($L539&gt;N$4,N$3,ROUND($L539*N$7,0)))</f>
        <v/>
      </c>
      <c r="D539" s="448">
        <f>IF($L539&gt;O$5,MAX(0,O$3+ROUND((O$9*($L539-O$5)),0)),IF($L539&gt;O$4,O$3,ROUND($L539*O$7,0)))</f>
        <v/>
      </c>
      <c r="E539" s="448">
        <f>IF($L539&gt;P$5,MAX(0,P$3+ROUND((P$9*($L539-P$5)),0)),IF($L539&gt;P$4,P$3,ROUND($L539*P$7,0)))</f>
        <v/>
      </c>
      <c r="F539" s="447">
        <f>IF($L539&gt;Q$5,MAX(0,Q$3+ROUND((Q$9*($L539-Q$5)),0)),IF($L539&gt;Q$4,Q$3,ROUND($L539*Q$7,0)))</f>
        <v/>
      </c>
      <c r="G539" s="1378">
        <f>IF($L539&gt;R$5,MAX(0,R$3+ROUND((R$9*($L539-R$5)),0)),IF($L539&gt;R$4,R$3,ROUND($L539*R$7,0)))</f>
        <v/>
      </c>
      <c r="H539" s="448">
        <f>IF($L539&gt;S$5,MAX(0,S$3+ROUND((S$9*($L539-S$5)),0)),IF($L539&gt;S$4,S$3,ROUND($L539*S$7,0)))</f>
        <v/>
      </c>
      <c r="I539" s="448">
        <f>IF($L539&gt;T$5,MAX(0,T$3+ROUND((T$9*($L539-T$5)),0)),IF($L539&gt;T$4,T$3,ROUND($L539*T$7,0)))</f>
        <v/>
      </c>
      <c r="J539" s="447">
        <f>IF($L539&gt;U$5,MAX(0,U$3+ROUND((U$9*($L539-U$5)),0)),IF($L539&gt;U$4,U$3,ROUND($L539*U$7,0)))</f>
        <v/>
      </c>
      <c r="K539" s="422" t="n"/>
      <c r="L539" s="448">
        <f>ROUND((A539+B539)/2,2)</f>
        <v/>
      </c>
    </row>
    <row r="540" ht="13.5" customHeight="1" s="7635">
      <c r="A540" s="448" t="n">
        <v>26750</v>
      </c>
      <c r="B540" s="447" t="n">
        <v>26800</v>
      </c>
      <c r="C540" s="1378">
        <f>IF($L540&gt;N$5,MAX(0,N$3+ROUND((N$9*($L540-N$5)),0)),IF($L540&gt;N$4,N$3,ROUND($L540*N$7,0)))</f>
        <v/>
      </c>
      <c r="D540" s="448">
        <f>IF($L540&gt;O$5,MAX(0,O$3+ROUND((O$9*($L540-O$5)),0)),IF($L540&gt;O$4,O$3,ROUND($L540*O$7,0)))</f>
        <v/>
      </c>
      <c r="E540" s="448">
        <f>IF($L540&gt;P$5,MAX(0,P$3+ROUND((P$9*($L540-P$5)),0)),IF($L540&gt;P$4,P$3,ROUND($L540*P$7,0)))</f>
        <v/>
      </c>
      <c r="F540" s="447">
        <f>IF($L540&gt;Q$5,MAX(0,Q$3+ROUND((Q$9*($L540-Q$5)),0)),IF($L540&gt;Q$4,Q$3,ROUND($L540*Q$7,0)))</f>
        <v/>
      </c>
      <c r="G540" s="1378">
        <f>IF($L540&gt;R$5,MAX(0,R$3+ROUND((R$9*($L540-R$5)),0)),IF($L540&gt;R$4,R$3,ROUND($L540*R$7,0)))</f>
        <v/>
      </c>
      <c r="H540" s="448">
        <f>IF($L540&gt;S$5,MAX(0,S$3+ROUND((S$9*($L540-S$5)),0)),IF($L540&gt;S$4,S$3,ROUND($L540*S$7,0)))</f>
        <v/>
      </c>
      <c r="I540" s="448">
        <f>IF($L540&gt;T$5,MAX(0,T$3+ROUND((T$9*($L540-T$5)),0)),IF($L540&gt;T$4,T$3,ROUND($L540*T$7,0)))</f>
        <v/>
      </c>
      <c r="J540" s="447">
        <f>IF($L540&gt;U$5,MAX(0,U$3+ROUND((U$9*($L540-U$5)),0)),IF($L540&gt;U$4,U$3,ROUND($L540*U$7,0)))</f>
        <v/>
      </c>
      <c r="K540" s="422" t="n"/>
      <c r="L540" s="448">
        <f>ROUND((A540+B540)/2,2)</f>
        <v/>
      </c>
    </row>
    <row r="541" ht="13.5" customHeight="1" s="7635">
      <c r="A541" s="448" t="n">
        <v>26800</v>
      </c>
      <c r="B541" s="447" t="n">
        <v>26850</v>
      </c>
      <c r="C541" s="1378">
        <f>IF($L541&gt;N$5,MAX(0,N$3+ROUND((N$9*($L541-N$5)),0)),IF($L541&gt;N$4,N$3,ROUND($L541*N$7,0)))</f>
        <v/>
      </c>
      <c r="D541" s="448">
        <f>IF($L541&gt;O$5,MAX(0,O$3+ROUND((O$9*($L541-O$5)),0)),IF($L541&gt;O$4,O$3,ROUND($L541*O$7,0)))</f>
        <v/>
      </c>
      <c r="E541" s="448">
        <f>IF($L541&gt;P$5,MAX(0,P$3+ROUND((P$9*($L541-P$5)),0)),IF($L541&gt;P$4,P$3,ROUND($L541*P$7,0)))</f>
        <v/>
      </c>
      <c r="F541" s="447">
        <f>IF($L541&gt;Q$5,MAX(0,Q$3+ROUND((Q$9*($L541-Q$5)),0)),IF($L541&gt;Q$4,Q$3,ROUND($L541*Q$7,0)))</f>
        <v/>
      </c>
      <c r="G541" s="1378">
        <f>IF($L541&gt;R$5,MAX(0,R$3+ROUND((R$9*($L541-R$5)),0)),IF($L541&gt;R$4,R$3,ROUND($L541*R$7,0)))</f>
        <v/>
      </c>
      <c r="H541" s="448">
        <f>IF($L541&gt;S$5,MAX(0,S$3+ROUND((S$9*($L541-S$5)),0)),IF($L541&gt;S$4,S$3,ROUND($L541*S$7,0)))</f>
        <v/>
      </c>
      <c r="I541" s="448">
        <f>IF($L541&gt;T$5,MAX(0,T$3+ROUND((T$9*($L541-T$5)),0)),IF($L541&gt;T$4,T$3,ROUND($L541*T$7,0)))</f>
        <v/>
      </c>
      <c r="J541" s="447">
        <f>IF($L541&gt;U$5,MAX(0,U$3+ROUND((U$9*($L541-U$5)),0)),IF($L541&gt;U$4,U$3,ROUND($L541*U$7,0)))</f>
        <v/>
      </c>
      <c r="K541" s="422" t="n"/>
      <c r="L541" s="448">
        <f>ROUND((A541+B541)/2,2)</f>
        <v/>
      </c>
    </row>
    <row r="542" ht="13.5" customHeight="1" s="7635">
      <c r="A542" s="448" t="n">
        <v>26850</v>
      </c>
      <c r="B542" s="447" t="n">
        <v>26900</v>
      </c>
      <c r="C542" s="1378">
        <f>IF($L542&gt;N$5,MAX(0,N$3+ROUND((N$9*($L542-N$5)),0)),IF($L542&gt;N$4,N$3,ROUND($L542*N$7,0)))</f>
        <v/>
      </c>
      <c r="D542" s="448">
        <f>IF($L542&gt;O$5,MAX(0,O$3+ROUND((O$9*($L542-O$5)),0)),IF($L542&gt;O$4,O$3,ROUND($L542*O$7,0)))</f>
        <v/>
      </c>
      <c r="E542" s="448">
        <f>IF($L542&gt;P$5,MAX(0,P$3+ROUND((P$9*($L542-P$5)),0)),IF($L542&gt;P$4,P$3,ROUND($L542*P$7,0)))</f>
        <v/>
      </c>
      <c r="F542" s="447">
        <f>IF($L542&gt;Q$5,MAX(0,Q$3+ROUND((Q$9*($L542-Q$5)),0)),IF($L542&gt;Q$4,Q$3,ROUND($L542*Q$7,0)))</f>
        <v/>
      </c>
      <c r="G542" s="1378">
        <f>IF($L542&gt;R$5,MAX(0,R$3+ROUND((R$9*($L542-R$5)),0)),IF($L542&gt;R$4,R$3,ROUND($L542*R$7,0)))</f>
        <v/>
      </c>
      <c r="H542" s="448">
        <f>IF($L542&gt;S$5,MAX(0,S$3+ROUND((S$9*($L542-S$5)),0)),IF($L542&gt;S$4,S$3,ROUND($L542*S$7,0)))</f>
        <v/>
      </c>
      <c r="I542" s="448">
        <f>IF($L542&gt;T$5,MAX(0,T$3+ROUND((T$9*($L542-T$5)),0)),IF($L542&gt;T$4,T$3,ROUND($L542*T$7,0)))</f>
        <v/>
      </c>
      <c r="J542" s="447">
        <f>IF($L542&gt;U$5,MAX(0,U$3+ROUND((U$9*($L542-U$5)),0)),IF($L542&gt;U$4,U$3,ROUND($L542*U$7,0)))</f>
        <v/>
      </c>
      <c r="K542" s="422" t="n"/>
      <c r="L542" s="448">
        <f>ROUND((A542+B542)/2,2)</f>
        <v/>
      </c>
    </row>
    <row r="543" ht="13.5" customHeight="1" s="7635">
      <c r="A543" s="448" t="n">
        <v>26900</v>
      </c>
      <c r="B543" s="447" t="n">
        <v>26950</v>
      </c>
      <c r="C543" s="1378">
        <f>IF($L543&gt;N$5,MAX(0,N$3+ROUND((N$9*($L543-N$5)),0)),IF($L543&gt;N$4,N$3,ROUND($L543*N$7,0)))</f>
        <v/>
      </c>
      <c r="D543" s="448">
        <f>IF($L543&gt;O$5,MAX(0,O$3+ROUND((O$9*($L543-O$5)),0)),IF($L543&gt;O$4,O$3,ROUND($L543*O$7,0)))</f>
        <v/>
      </c>
      <c r="E543" s="448">
        <f>IF($L543&gt;P$5,MAX(0,P$3+ROUND((P$9*($L543-P$5)),0)),IF($L543&gt;P$4,P$3,ROUND($L543*P$7,0)))</f>
        <v/>
      </c>
      <c r="F543" s="447">
        <f>IF($L543&gt;Q$5,MAX(0,Q$3+ROUND((Q$9*($L543-Q$5)),0)),IF($L543&gt;Q$4,Q$3,ROUND($L543*Q$7,0)))</f>
        <v/>
      </c>
      <c r="G543" s="1378">
        <f>IF($L543&gt;R$5,MAX(0,R$3+ROUND((R$9*($L543-R$5)),0)),IF($L543&gt;R$4,R$3,ROUND($L543*R$7,0)))</f>
        <v/>
      </c>
      <c r="H543" s="448">
        <f>IF($L543&gt;S$5,MAX(0,S$3+ROUND((S$9*($L543-S$5)),0)),IF($L543&gt;S$4,S$3,ROUND($L543*S$7,0)))</f>
        <v/>
      </c>
      <c r="I543" s="448">
        <f>IF($L543&gt;T$5,MAX(0,T$3+ROUND((T$9*($L543-T$5)),0)),IF($L543&gt;T$4,T$3,ROUND($L543*T$7,0)))</f>
        <v/>
      </c>
      <c r="J543" s="447">
        <f>IF($L543&gt;U$5,MAX(0,U$3+ROUND((U$9*($L543-U$5)),0)),IF($L543&gt;U$4,U$3,ROUND($L543*U$7,0)))</f>
        <v/>
      </c>
      <c r="K543" s="422" t="n"/>
      <c r="L543" s="448">
        <f>ROUND((A543+B543)/2,2)</f>
        <v/>
      </c>
    </row>
    <row r="544" ht="13.5" customHeight="1" s="7635">
      <c r="A544" s="448" t="n">
        <v>26950</v>
      </c>
      <c r="B544" s="447" t="n">
        <v>27000</v>
      </c>
      <c r="C544" s="1378">
        <f>IF($L544&gt;N$5,MAX(0,N$3+ROUND((N$9*($L544-N$5)),0)),IF($L544&gt;N$4,N$3,ROUND($L544*N$7,0)))</f>
        <v/>
      </c>
      <c r="D544" s="448">
        <f>IF($L544&gt;O$5,MAX(0,O$3+ROUND((O$9*($L544-O$5)),0)),IF($L544&gt;O$4,O$3,ROUND($L544*O$7,0)))</f>
        <v/>
      </c>
      <c r="E544" s="448">
        <f>IF($L544&gt;P$5,MAX(0,P$3+ROUND((P$9*($L544-P$5)),0)),IF($L544&gt;P$4,P$3,ROUND($L544*P$7,0)))</f>
        <v/>
      </c>
      <c r="F544" s="447">
        <f>IF($L544&gt;Q$5,MAX(0,Q$3+ROUND((Q$9*($L544-Q$5)),0)),IF($L544&gt;Q$4,Q$3,ROUND($L544*Q$7,0)))</f>
        <v/>
      </c>
      <c r="G544" s="1378">
        <f>IF($L544&gt;R$5,MAX(0,R$3+ROUND((R$9*($L544-R$5)),0)),IF($L544&gt;R$4,R$3,ROUND($L544*R$7,0)))</f>
        <v/>
      </c>
      <c r="H544" s="448">
        <f>IF($L544&gt;S$5,MAX(0,S$3+ROUND((S$9*($L544-S$5)),0)),IF($L544&gt;S$4,S$3,ROUND($L544*S$7,0)))</f>
        <v/>
      </c>
      <c r="I544" s="448">
        <f>IF($L544&gt;T$5,MAX(0,T$3+ROUND((T$9*($L544-T$5)),0)),IF($L544&gt;T$4,T$3,ROUND($L544*T$7,0)))</f>
        <v/>
      </c>
      <c r="J544" s="447">
        <f>IF($L544&gt;U$5,MAX(0,U$3+ROUND((U$9*($L544-U$5)),0)),IF($L544&gt;U$4,U$3,ROUND($L544*U$7,0)))</f>
        <v/>
      </c>
      <c r="K544" s="422" t="n"/>
      <c r="L544" s="448">
        <f>ROUND((A544+B544)/2,2)</f>
        <v/>
      </c>
    </row>
    <row r="545" ht="13.5" customHeight="1" s="7635">
      <c r="A545" s="448" t="n">
        <v>27000</v>
      </c>
      <c r="B545" s="447" t="n">
        <v>27050</v>
      </c>
      <c r="C545" s="1378">
        <f>IF($L545&gt;N$5,MAX(0,N$3+ROUND((N$9*($L545-N$5)),0)),IF($L545&gt;N$4,N$3,ROUND($L545*N$7,0)))</f>
        <v/>
      </c>
      <c r="D545" s="448">
        <f>IF($L545&gt;O$5,MAX(0,O$3+ROUND((O$9*($L545-O$5)),0)),IF($L545&gt;O$4,O$3,ROUND($L545*O$7,0)))</f>
        <v/>
      </c>
      <c r="E545" s="448">
        <f>IF($L545&gt;P$5,MAX(0,P$3+ROUND((P$9*($L545-P$5)),0)),IF($L545&gt;P$4,P$3,ROUND($L545*P$7,0)))</f>
        <v/>
      </c>
      <c r="F545" s="447">
        <f>IF($L545&gt;Q$5,MAX(0,Q$3+ROUND((Q$9*($L545-Q$5)),0)),IF($L545&gt;Q$4,Q$3,ROUND($L545*Q$7,0)))</f>
        <v/>
      </c>
      <c r="G545" s="1378">
        <f>IF($L545&gt;R$5,MAX(0,R$3+ROUND((R$9*($L545-R$5)),0)),IF($L545&gt;R$4,R$3,ROUND($L545*R$7,0)))</f>
        <v/>
      </c>
      <c r="H545" s="448">
        <f>IF($L545&gt;S$5,MAX(0,S$3+ROUND((S$9*($L545-S$5)),0)),IF($L545&gt;S$4,S$3,ROUND($L545*S$7,0)))</f>
        <v/>
      </c>
      <c r="I545" s="448">
        <f>IF($L545&gt;T$5,MAX(0,T$3+ROUND((T$9*($L545-T$5)),0)),IF($L545&gt;T$4,T$3,ROUND($L545*T$7,0)))</f>
        <v/>
      </c>
      <c r="J545" s="447">
        <f>IF($L545&gt;U$5,MAX(0,U$3+ROUND((U$9*($L545-U$5)),0)),IF($L545&gt;U$4,U$3,ROUND($L545*U$7,0)))</f>
        <v/>
      </c>
      <c r="K545" s="422" t="n"/>
      <c r="L545" s="448">
        <f>ROUND((A545+B545)/2,2)</f>
        <v/>
      </c>
    </row>
    <row r="546" ht="13.5" customHeight="1" s="7635">
      <c r="A546" s="448" t="n">
        <v>27050</v>
      </c>
      <c r="B546" s="447" t="n">
        <v>27100</v>
      </c>
      <c r="C546" s="1378">
        <f>IF($L546&gt;N$5,MAX(0,N$3+ROUND((N$9*($L546-N$5)),0)),IF($L546&gt;N$4,N$3,ROUND($L546*N$7,0)))</f>
        <v/>
      </c>
      <c r="D546" s="448">
        <f>IF($L546&gt;O$5,MAX(0,O$3+ROUND((O$9*($L546-O$5)),0)),IF($L546&gt;O$4,O$3,ROUND($L546*O$7,0)))</f>
        <v/>
      </c>
      <c r="E546" s="448">
        <f>IF($L546&gt;P$5,MAX(0,P$3+ROUND((P$9*($L546-P$5)),0)),IF($L546&gt;P$4,P$3,ROUND($L546*P$7,0)))</f>
        <v/>
      </c>
      <c r="F546" s="447">
        <f>IF($L546&gt;Q$5,MAX(0,Q$3+ROUND((Q$9*($L546-Q$5)),0)),IF($L546&gt;Q$4,Q$3,ROUND($L546*Q$7,0)))</f>
        <v/>
      </c>
      <c r="G546" s="1378">
        <f>IF($L546&gt;R$5,MAX(0,R$3+ROUND((R$9*($L546-R$5)),0)),IF($L546&gt;R$4,R$3,ROUND($L546*R$7,0)))</f>
        <v/>
      </c>
      <c r="H546" s="448">
        <f>IF($L546&gt;S$5,MAX(0,S$3+ROUND((S$9*($L546-S$5)),0)),IF($L546&gt;S$4,S$3,ROUND($L546*S$7,0)))</f>
        <v/>
      </c>
      <c r="I546" s="448">
        <f>IF($L546&gt;T$5,MAX(0,T$3+ROUND((T$9*($L546-T$5)),0)),IF($L546&gt;T$4,T$3,ROUND($L546*T$7,0)))</f>
        <v/>
      </c>
      <c r="J546" s="447">
        <f>IF($L546&gt;U$5,MAX(0,U$3+ROUND((U$9*($L546-U$5)),0)),IF($L546&gt;U$4,U$3,ROUND($L546*U$7,0)))</f>
        <v/>
      </c>
      <c r="K546" s="422" t="n"/>
      <c r="L546" s="448">
        <f>ROUND((A546+B546)/2,2)</f>
        <v/>
      </c>
    </row>
    <row r="547" ht="13.5" customHeight="1" s="7635">
      <c r="A547" s="448" t="n">
        <v>27100</v>
      </c>
      <c r="B547" s="447" t="n">
        <v>27150</v>
      </c>
      <c r="C547" s="1378">
        <f>IF($L547&gt;N$5,MAX(0,N$3+ROUND((N$9*($L547-N$5)),0)),IF($L547&gt;N$4,N$3,ROUND($L547*N$7,0)))</f>
        <v/>
      </c>
      <c r="D547" s="448">
        <f>IF($L547&gt;O$5,MAX(0,O$3+ROUND((O$9*($L547-O$5)),0)),IF($L547&gt;O$4,O$3,ROUND($L547*O$7,0)))</f>
        <v/>
      </c>
      <c r="E547" s="448">
        <f>IF($L547&gt;P$5,MAX(0,P$3+ROUND((P$9*($L547-P$5)),0)),IF($L547&gt;P$4,P$3,ROUND($L547*P$7,0)))</f>
        <v/>
      </c>
      <c r="F547" s="447">
        <f>IF($L547&gt;Q$5,MAX(0,Q$3+ROUND((Q$9*($L547-Q$5)),0)),IF($L547&gt;Q$4,Q$3,ROUND($L547*Q$7,0)))</f>
        <v/>
      </c>
      <c r="G547" s="1378">
        <f>IF($L547&gt;R$5,MAX(0,R$3+ROUND((R$9*($L547-R$5)),0)),IF($L547&gt;R$4,R$3,ROUND($L547*R$7,0)))</f>
        <v/>
      </c>
      <c r="H547" s="448">
        <f>IF($L547&gt;S$5,MAX(0,S$3+ROUND((S$9*($L547-S$5)),0)),IF($L547&gt;S$4,S$3,ROUND($L547*S$7,0)))</f>
        <v/>
      </c>
      <c r="I547" s="448">
        <f>IF($L547&gt;T$5,MAX(0,T$3+ROUND((T$9*($L547-T$5)),0)),IF($L547&gt;T$4,T$3,ROUND($L547*T$7,0)))</f>
        <v/>
      </c>
      <c r="J547" s="447">
        <f>IF($L547&gt;U$5,MAX(0,U$3+ROUND((U$9*($L547-U$5)),0)),IF($L547&gt;U$4,U$3,ROUND($L547*U$7,0)))</f>
        <v/>
      </c>
      <c r="K547" s="422" t="n"/>
      <c r="L547" s="448">
        <f>ROUND((A547+B547)/2,2)</f>
        <v/>
      </c>
    </row>
    <row r="548" ht="13.5" customHeight="1" s="7635">
      <c r="A548" s="448" t="n">
        <v>27150</v>
      </c>
      <c r="B548" s="447" t="n">
        <v>27200</v>
      </c>
      <c r="C548" s="1378">
        <f>IF($L548&gt;N$5,MAX(0,N$3+ROUND((N$9*($L548-N$5)),0)),IF($L548&gt;N$4,N$3,ROUND($L548*N$7,0)))</f>
        <v/>
      </c>
      <c r="D548" s="448">
        <f>IF($L548&gt;O$5,MAX(0,O$3+ROUND((O$9*($L548-O$5)),0)),IF($L548&gt;O$4,O$3,ROUND($L548*O$7,0)))</f>
        <v/>
      </c>
      <c r="E548" s="448">
        <f>IF($L548&gt;P$5,MAX(0,P$3+ROUND((P$9*($L548-P$5)),0)),IF($L548&gt;P$4,P$3,ROUND($L548*P$7,0)))</f>
        <v/>
      </c>
      <c r="F548" s="447">
        <f>IF($L548&gt;Q$5,MAX(0,Q$3+ROUND((Q$9*($L548-Q$5)),0)),IF($L548&gt;Q$4,Q$3,ROUND($L548*Q$7,0)))</f>
        <v/>
      </c>
      <c r="G548" s="1378">
        <f>IF($L548&gt;R$5,MAX(0,R$3+ROUND((R$9*($L548-R$5)),0)),IF($L548&gt;R$4,R$3,ROUND($L548*R$7,0)))</f>
        <v/>
      </c>
      <c r="H548" s="448">
        <f>IF($L548&gt;S$5,MAX(0,S$3+ROUND((S$9*($L548-S$5)),0)),IF($L548&gt;S$4,S$3,ROUND($L548*S$7,0)))</f>
        <v/>
      </c>
      <c r="I548" s="448">
        <f>IF($L548&gt;T$5,MAX(0,T$3+ROUND((T$9*($L548-T$5)),0)),IF($L548&gt;T$4,T$3,ROUND($L548*T$7,0)))</f>
        <v/>
      </c>
      <c r="J548" s="447">
        <f>IF($L548&gt;U$5,MAX(0,U$3+ROUND((U$9*($L548-U$5)),0)),IF($L548&gt;U$4,U$3,ROUND($L548*U$7,0)))</f>
        <v/>
      </c>
      <c r="K548" s="422" t="n"/>
      <c r="L548" s="448">
        <f>ROUND((A548+B548)/2,2)</f>
        <v/>
      </c>
    </row>
    <row r="549" ht="13.5" customHeight="1" s="7635">
      <c r="A549" s="448" t="n">
        <v>27200</v>
      </c>
      <c r="B549" s="447" t="n">
        <v>27250</v>
      </c>
      <c r="C549" s="1378">
        <f>IF($L549&gt;N$5,MAX(0,N$3+ROUND((N$9*($L549-N$5)),0)),IF($L549&gt;N$4,N$3,ROUND($L549*N$7,0)))</f>
        <v/>
      </c>
      <c r="D549" s="448">
        <f>IF($L549&gt;O$5,MAX(0,O$3+ROUND((O$9*($L549-O$5)),0)),IF($L549&gt;O$4,O$3,ROUND($L549*O$7,0)))</f>
        <v/>
      </c>
      <c r="E549" s="448">
        <f>IF($L549&gt;P$5,MAX(0,P$3+ROUND((P$9*($L549-P$5)),0)),IF($L549&gt;P$4,P$3,ROUND($L549*P$7,0)))</f>
        <v/>
      </c>
      <c r="F549" s="447">
        <f>IF($L549&gt;Q$5,MAX(0,Q$3+ROUND((Q$9*($L549-Q$5)),0)),IF($L549&gt;Q$4,Q$3,ROUND($L549*Q$7,0)))</f>
        <v/>
      </c>
      <c r="G549" s="1378">
        <f>IF($L549&gt;R$5,MAX(0,R$3+ROUND((R$9*($L549-R$5)),0)),IF($L549&gt;R$4,R$3,ROUND($L549*R$7,0)))</f>
        <v/>
      </c>
      <c r="H549" s="448">
        <f>IF($L549&gt;S$5,MAX(0,S$3+ROUND((S$9*($L549-S$5)),0)),IF($L549&gt;S$4,S$3,ROUND($L549*S$7,0)))</f>
        <v/>
      </c>
      <c r="I549" s="448">
        <f>IF($L549&gt;T$5,MAX(0,T$3+ROUND((T$9*($L549-T$5)),0)),IF($L549&gt;T$4,T$3,ROUND($L549*T$7,0)))</f>
        <v/>
      </c>
      <c r="J549" s="447">
        <f>IF($L549&gt;U$5,MAX(0,U$3+ROUND((U$9*($L549-U$5)),0)),IF($L549&gt;U$4,U$3,ROUND($L549*U$7,0)))</f>
        <v/>
      </c>
      <c r="K549" s="422" t="n"/>
      <c r="L549" s="448">
        <f>ROUND((A549+B549)/2,2)</f>
        <v/>
      </c>
    </row>
    <row r="550" ht="13.5" customHeight="1" s="7635">
      <c r="A550" s="448" t="n">
        <v>27250</v>
      </c>
      <c r="B550" s="447" t="n">
        <v>27300</v>
      </c>
      <c r="C550" s="1378">
        <f>IF($L550&gt;N$5,MAX(0,N$3+ROUND((N$9*($L550-N$5)),0)),IF($L550&gt;N$4,N$3,ROUND($L550*N$7,0)))</f>
        <v/>
      </c>
      <c r="D550" s="448">
        <f>IF($L550&gt;O$5,MAX(0,O$3+ROUND((O$9*($L550-O$5)),0)),IF($L550&gt;O$4,O$3,ROUND($L550*O$7,0)))</f>
        <v/>
      </c>
      <c r="E550" s="448">
        <f>IF($L550&gt;P$5,MAX(0,P$3+ROUND((P$9*($L550-P$5)),0)),IF($L550&gt;P$4,P$3,ROUND($L550*P$7,0)))</f>
        <v/>
      </c>
      <c r="F550" s="447">
        <f>IF($L550&gt;Q$5,MAX(0,Q$3+ROUND((Q$9*($L550-Q$5)),0)),IF($L550&gt;Q$4,Q$3,ROUND($L550*Q$7,0)))</f>
        <v/>
      </c>
      <c r="G550" s="1378">
        <f>IF($L550&gt;R$5,MAX(0,R$3+ROUND((R$9*($L550-R$5)),0)),IF($L550&gt;R$4,R$3,ROUND($L550*R$7,0)))</f>
        <v/>
      </c>
      <c r="H550" s="448">
        <f>IF($L550&gt;S$5,MAX(0,S$3+ROUND((S$9*($L550-S$5)),0)),IF($L550&gt;S$4,S$3,ROUND($L550*S$7,0)))</f>
        <v/>
      </c>
      <c r="I550" s="448">
        <f>IF($L550&gt;T$5,MAX(0,T$3+ROUND((T$9*($L550-T$5)),0)),IF($L550&gt;T$4,T$3,ROUND($L550*T$7,0)))</f>
        <v/>
      </c>
      <c r="J550" s="447">
        <f>IF($L550&gt;U$5,MAX(0,U$3+ROUND((U$9*($L550-U$5)),0)),IF($L550&gt;U$4,U$3,ROUND($L550*U$7,0)))</f>
        <v/>
      </c>
      <c r="K550" s="422" t="n"/>
      <c r="L550" s="448">
        <f>ROUND((A550+B550)/2,2)</f>
        <v/>
      </c>
    </row>
    <row r="551" ht="13.5" customHeight="1" s="7635">
      <c r="A551" s="448" t="n">
        <v>27300</v>
      </c>
      <c r="B551" s="447" t="n">
        <v>27350</v>
      </c>
      <c r="C551" s="1378">
        <f>IF($L551&gt;N$5,MAX(0,N$3+ROUND((N$9*($L551-N$5)),0)),IF($L551&gt;N$4,N$3,ROUND($L551*N$7,0)))</f>
        <v/>
      </c>
      <c r="D551" s="448">
        <f>IF($L551&gt;O$5,MAX(0,O$3+ROUND((O$9*($L551-O$5)),0)),IF($L551&gt;O$4,O$3,ROUND($L551*O$7,0)))</f>
        <v/>
      </c>
      <c r="E551" s="448">
        <f>IF($L551&gt;P$5,MAX(0,P$3+ROUND((P$9*($L551-P$5)),0)),IF($L551&gt;P$4,P$3,ROUND($L551*P$7,0)))</f>
        <v/>
      </c>
      <c r="F551" s="447">
        <f>IF($L551&gt;Q$5,MAX(0,Q$3+ROUND((Q$9*($L551-Q$5)),0)),IF($L551&gt;Q$4,Q$3,ROUND($L551*Q$7,0)))</f>
        <v/>
      </c>
      <c r="G551" s="1378">
        <f>IF($L551&gt;R$5,MAX(0,R$3+ROUND((R$9*($L551-R$5)),0)),IF($L551&gt;R$4,R$3,ROUND($L551*R$7,0)))</f>
        <v/>
      </c>
      <c r="H551" s="448">
        <f>IF($L551&gt;S$5,MAX(0,S$3+ROUND((S$9*($L551-S$5)),0)),IF($L551&gt;S$4,S$3,ROUND($L551*S$7,0)))</f>
        <v/>
      </c>
      <c r="I551" s="448">
        <f>IF($L551&gt;T$5,MAX(0,T$3+ROUND((T$9*($L551-T$5)),0)),IF($L551&gt;T$4,T$3,ROUND($L551*T$7,0)))</f>
        <v/>
      </c>
      <c r="J551" s="447">
        <f>IF($L551&gt;U$5,MAX(0,U$3+ROUND((U$9*($L551-U$5)),0)),IF($L551&gt;U$4,U$3,ROUND($L551*U$7,0)))</f>
        <v/>
      </c>
      <c r="K551" s="422" t="n"/>
      <c r="L551" s="448">
        <f>ROUND((A551+B551)/2,2)</f>
        <v/>
      </c>
    </row>
    <row r="552" ht="13.5" customHeight="1" s="7635">
      <c r="A552" s="448" t="n">
        <v>27350</v>
      </c>
      <c r="B552" s="447" t="n">
        <v>27400</v>
      </c>
      <c r="C552" s="1378">
        <f>IF($L552&gt;N$5,MAX(0,N$3+ROUND((N$9*($L552-N$5)),0)),IF($L552&gt;N$4,N$3,ROUND($L552*N$7,0)))</f>
        <v/>
      </c>
      <c r="D552" s="448">
        <f>IF($L552&gt;O$5,MAX(0,O$3+ROUND((O$9*($L552-O$5)),0)),IF($L552&gt;O$4,O$3,ROUND($L552*O$7,0)))</f>
        <v/>
      </c>
      <c r="E552" s="448">
        <f>IF($L552&gt;P$5,MAX(0,P$3+ROUND((P$9*($L552-P$5)),0)),IF($L552&gt;P$4,P$3,ROUND($L552*P$7,0)))</f>
        <v/>
      </c>
      <c r="F552" s="447">
        <f>IF($L552&gt;Q$5,MAX(0,Q$3+ROUND((Q$9*($L552-Q$5)),0)),IF($L552&gt;Q$4,Q$3,ROUND($L552*Q$7,0)))</f>
        <v/>
      </c>
      <c r="G552" s="1378">
        <f>IF($L552&gt;R$5,MAX(0,R$3+ROUND((R$9*($L552-R$5)),0)),IF($L552&gt;R$4,R$3,ROUND($L552*R$7,0)))</f>
        <v/>
      </c>
      <c r="H552" s="448">
        <f>IF($L552&gt;S$5,MAX(0,S$3+ROUND((S$9*($L552-S$5)),0)),IF($L552&gt;S$4,S$3,ROUND($L552*S$7,0)))</f>
        <v/>
      </c>
      <c r="I552" s="448">
        <f>IF($L552&gt;T$5,MAX(0,T$3+ROUND((T$9*($L552-T$5)),0)),IF($L552&gt;T$4,T$3,ROUND($L552*T$7,0)))</f>
        <v/>
      </c>
      <c r="J552" s="447">
        <f>IF($L552&gt;U$5,MAX(0,U$3+ROUND((U$9*($L552-U$5)),0)),IF($L552&gt;U$4,U$3,ROUND($L552*U$7,0)))</f>
        <v/>
      </c>
      <c r="K552" s="422" t="n"/>
      <c r="L552" s="448">
        <f>ROUND((A552+B552)/2,2)</f>
        <v/>
      </c>
    </row>
    <row r="553" ht="13.5" customHeight="1" s="7635">
      <c r="A553" s="448" t="n">
        <v>27400</v>
      </c>
      <c r="B553" s="447" t="n">
        <v>27450</v>
      </c>
      <c r="C553" s="1378">
        <f>IF($L553&gt;N$5,MAX(0,N$3+ROUND((N$9*($L553-N$5)),0)),IF($L553&gt;N$4,N$3,ROUND($L553*N$7,0)))</f>
        <v/>
      </c>
      <c r="D553" s="448">
        <f>IF($L553&gt;O$5,MAX(0,O$3+ROUND((O$9*($L553-O$5)),0)),IF($L553&gt;O$4,O$3,ROUND($L553*O$7,0)))</f>
        <v/>
      </c>
      <c r="E553" s="448">
        <f>IF($L553&gt;P$5,MAX(0,P$3+ROUND((P$9*($L553-P$5)),0)),IF($L553&gt;P$4,P$3,ROUND($L553*P$7,0)))</f>
        <v/>
      </c>
      <c r="F553" s="447">
        <f>IF($L553&gt;Q$5,MAX(0,Q$3+ROUND((Q$9*($L553-Q$5)),0)),IF($L553&gt;Q$4,Q$3,ROUND($L553*Q$7,0)))</f>
        <v/>
      </c>
      <c r="G553" s="1378">
        <f>IF($L553&gt;R$5,MAX(0,R$3+ROUND((R$9*($L553-R$5)),0)),IF($L553&gt;R$4,R$3,ROUND($L553*R$7,0)))</f>
        <v/>
      </c>
      <c r="H553" s="448">
        <f>IF($L553&gt;S$5,MAX(0,S$3+ROUND((S$9*($L553-S$5)),0)),IF($L553&gt;S$4,S$3,ROUND($L553*S$7,0)))</f>
        <v/>
      </c>
      <c r="I553" s="448">
        <f>IF($L553&gt;T$5,MAX(0,T$3+ROUND((T$9*($L553-T$5)),0)),IF($L553&gt;T$4,T$3,ROUND($L553*T$7,0)))</f>
        <v/>
      </c>
      <c r="J553" s="447">
        <f>IF($L553&gt;U$5,MAX(0,U$3+ROUND((U$9*($L553-U$5)),0)),IF($L553&gt;U$4,U$3,ROUND($L553*U$7,0)))</f>
        <v/>
      </c>
      <c r="K553" s="422" t="n"/>
      <c r="L553" s="448">
        <f>ROUND((A553+B553)/2,2)</f>
        <v/>
      </c>
    </row>
    <row r="554" ht="13.5" customHeight="1" s="7635">
      <c r="A554" s="448" t="n">
        <v>27450</v>
      </c>
      <c r="B554" s="447" t="n">
        <v>27500</v>
      </c>
      <c r="C554" s="1378">
        <f>IF($L554&gt;N$5,MAX(0,N$3+ROUND((N$9*($L554-N$5)),0)),IF($L554&gt;N$4,N$3,ROUND($L554*N$7,0)))</f>
        <v/>
      </c>
      <c r="D554" s="448">
        <f>IF($L554&gt;O$5,MAX(0,O$3+ROUND((O$9*($L554-O$5)),0)),IF($L554&gt;O$4,O$3,ROUND($L554*O$7,0)))</f>
        <v/>
      </c>
      <c r="E554" s="448">
        <f>IF($L554&gt;P$5,MAX(0,P$3+ROUND((P$9*($L554-P$5)),0)),IF($L554&gt;P$4,P$3,ROUND($L554*P$7,0)))</f>
        <v/>
      </c>
      <c r="F554" s="447">
        <f>IF($L554&gt;Q$5,MAX(0,Q$3+ROUND((Q$9*($L554-Q$5)),0)),IF($L554&gt;Q$4,Q$3,ROUND($L554*Q$7,0)))</f>
        <v/>
      </c>
      <c r="G554" s="1378">
        <f>IF($L554&gt;R$5,MAX(0,R$3+ROUND((R$9*($L554-R$5)),0)),IF($L554&gt;R$4,R$3,ROUND($L554*R$7,0)))</f>
        <v/>
      </c>
      <c r="H554" s="448">
        <f>IF($L554&gt;S$5,MAX(0,S$3+ROUND((S$9*($L554-S$5)),0)),IF($L554&gt;S$4,S$3,ROUND($L554*S$7,0)))</f>
        <v/>
      </c>
      <c r="I554" s="448">
        <f>IF($L554&gt;T$5,MAX(0,T$3+ROUND((T$9*($L554-T$5)),0)),IF($L554&gt;T$4,T$3,ROUND($L554*T$7,0)))</f>
        <v/>
      </c>
      <c r="J554" s="447">
        <f>IF($L554&gt;U$5,MAX(0,U$3+ROUND((U$9*($L554-U$5)),0)),IF($L554&gt;U$4,U$3,ROUND($L554*U$7,0)))</f>
        <v/>
      </c>
      <c r="K554" s="422" t="n"/>
      <c r="L554" s="448">
        <f>ROUND((A554+B554)/2,2)</f>
        <v/>
      </c>
    </row>
    <row r="555" ht="13.5" customHeight="1" s="7635">
      <c r="A555" s="448" t="n">
        <v>27500</v>
      </c>
      <c r="B555" s="447" t="n">
        <v>27550</v>
      </c>
      <c r="C555" s="1378">
        <f>IF($L555&gt;N$5,MAX(0,N$3+ROUND((N$9*($L555-N$5)),0)),IF($L555&gt;N$4,N$3,ROUND($L555*N$7,0)))</f>
        <v/>
      </c>
      <c r="D555" s="448">
        <f>IF($L555&gt;O$5,MAX(0,O$3+ROUND((O$9*($L555-O$5)),0)),IF($L555&gt;O$4,O$3,ROUND($L555*O$7,0)))</f>
        <v/>
      </c>
      <c r="E555" s="448">
        <f>IF($L555&gt;P$5,MAX(0,P$3+ROUND((P$9*($L555-P$5)),0)),IF($L555&gt;P$4,P$3,ROUND($L555*P$7,0)))</f>
        <v/>
      </c>
      <c r="F555" s="447">
        <f>IF($L555&gt;Q$5,MAX(0,Q$3+ROUND((Q$9*($L555-Q$5)),0)),IF($L555&gt;Q$4,Q$3,ROUND($L555*Q$7,0)))</f>
        <v/>
      </c>
      <c r="G555" s="1378">
        <f>IF($L555&gt;R$5,MAX(0,R$3+ROUND((R$9*($L555-R$5)),0)),IF($L555&gt;R$4,R$3,ROUND($L555*R$7,0)))</f>
        <v/>
      </c>
      <c r="H555" s="448">
        <f>IF($L555&gt;S$5,MAX(0,S$3+ROUND((S$9*($L555-S$5)),0)),IF($L555&gt;S$4,S$3,ROUND($L555*S$7,0)))</f>
        <v/>
      </c>
      <c r="I555" s="448">
        <f>IF($L555&gt;T$5,MAX(0,T$3+ROUND((T$9*($L555-T$5)),0)),IF($L555&gt;T$4,T$3,ROUND($L555*T$7,0)))</f>
        <v/>
      </c>
      <c r="J555" s="447">
        <f>IF($L555&gt;U$5,MAX(0,U$3+ROUND((U$9*($L555-U$5)),0)),IF($L555&gt;U$4,U$3,ROUND($L555*U$7,0)))</f>
        <v/>
      </c>
      <c r="K555" s="422" t="n"/>
      <c r="L555" s="448">
        <f>ROUND((A555+B555)/2,2)</f>
        <v/>
      </c>
    </row>
    <row r="556" ht="13.5" customHeight="1" s="7635">
      <c r="A556" s="448" t="n">
        <v>27550</v>
      </c>
      <c r="B556" s="447" t="n">
        <v>27600</v>
      </c>
      <c r="C556" s="1378">
        <f>IF($L556&gt;N$5,MAX(0,N$3+ROUND((N$9*($L556-N$5)),0)),IF($L556&gt;N$4,N$3,ROUND($L556*N$7,0)))</f>
        <v/>
      </c>
      <c r="D556" s="448">
        <f>IF($L556&gt;O$5,MAX(0,O$3+ROUND((O$9*($L556-O$5)),0)),IF($L556&gt;O$4,O$3,ROUND($L556*O$7,0)))</f>
        <v/>
      </c>
      <c r="E556" s="448">
        <f>IF($L556&gt;P$5,MAX(0,P$3+ROUND((P$9*($L556-P$5)),0)),IF($L556&gt;P$4,P$3,ROUND($L556*P$7,0)))</f>
        <v/>
      </c>
      <c r="F556" s="447">
        <f>IF($L556&gt;Q$5,MAX(0,Q$3+ROUND((Q$9*($L556-Q$5)),0)),IF($L556&gt;Q$4,Q$3,ROUND($L556*Q$7,0)))</f>
        <v/>
      </c>
      <c r="G556" s="1378">
        <f>IF($L556&gt;R$5,MAX(0,R$3+ROUND((R$9*($L556-R$5)),0)),IF($L556&gt;R$4,R$3,ROUND($L556*R$7,0)))</f>
        <v/>
      </c>
      <c r="H556" s="448">
        <f>IF($L556&gt;S$5,MAX(0,S$3+ROUND((S$9*($L556-S$5)),0)),IF($L556&gt;S$4,S$3,ROUND($L556*S$7,0)))</f>
        <v/>
      </c>
      <c r="I556" s="448">
        <f>IF($L556&gt;T$5,MAX(0,T$3+ROUND((T$9*($L556-T$5)),0)),IF($L556&gt;T$4,T$3,ROUND($L556*T$7,0)))</f>
        <v/>
      </c>
      <c r="J556" s="447">
        <f>IF($L556&gt;U$5,MAX(0,U$3+ROUND((U$9*($L556-U$5)),0)),IF($L556&gt;U$4,U$3,ROUND($L556*U$7,0)))</f>
        <v/>
      </c>
      <c r="K556" s="422" t="n"/>
      <c r="L556" s="448">
        <f>ROUND((A556+B556)/2,2)</f>
        <v/>
      </c>
    </row>
    <row r="557" ht="13.5" customHeight="1" s="7635">
      <c r="A557" s="448" t="n">
        <v>27600</v>
      </c>
      <c r="B557" s="447" t="n">
        <v>27650</v>
      </c>
      <c r="C557" s="1378">
        <f>IF($L557&gt;N$5,MAX(0,N$3+ROUND((N$9*($L557-N$5)),0)),IF($L557&gt;N$4,N$3,ROUND($L557*N$7,0)))</f>
        <v/>
      </c>
      <c r="D557" s="448">
        <f>IF($L557&gt;O$5,MAX(0,O$3+ROUND((O$9*($L557-O$5)),0)),IF($L557&gt;O$4,O$3,ROUND($L557*O$7,0)))</f>
        <v/>
      </c>
      <c r="E557" s="448">
        <f>IF($L557&gt;P$5,MAX(0,P$3+ROUND((P$9*($L557-P$5)),0)),IF($L557&gt;P$4,P$3,ROUND($L557*P$7,0)))</f>
        <v/>
      </c>
      <c r="F557" s="447">
        <f>IF($L557&gt;Q$5,MAX(0,Q$3+ROUND((Q$9*($L557-Q$5)),0)),IF($L557&gt;Q$4,Q$3,ROUND($L557*Q$7,0)))</f>
        <v/>
      </c>
      <c r="G557" s="1378">
        <f>IF($L557&gt;R$5,MAX(0,R$3+ROUND((R$9*($L557-R$5)),0)),IF($L557&gt;R$4,R$3,ROUND($L557*R$7,0)))</f>
        <v/>
      </c>
      <c r="H557" s="448">
        <f>IF($L557&gt;S$5,MAX(0,S$3+ROUND((S$9*($L557-S$5)),0)),IF($L557&gt;S$4,S$3,ROUND($L557*S$7,0)))</f>
        <v/>
      </c>
      <c r="I557" s="448">
        <f>IF($L557&gt;T$5,MAX(0,T$3+ROUND((T$9*($L557-T$5)),0)),IF($L557&gt;T$4,T$3,ROUND($L557*T$7,0)))</f>
        <v/>
      </c>
      <c r="J557" s="447">
        <f>IF($L557&gt;U$5,MAX(0,U$3+ROUND((U$9*($L557-U$5)),0)),IF($L557&gt;U$4,U$3,ROUND($L557*U$7,0)))</f>
        <v/>
      </c>
      <c r="K557" s="422" t="n"/>
      <c r="L557" s="448">
        <f>ROUND((A557+B557)/2,2)</f>
        <v/>
      </c>
    </row>
    <row r="558" ht="13.5" customHeight="1" s="7635">
      <c r="A558" s="448" t="n">
        <v>27650</v>
      </c>
      <c r="B558" s="447" t="n">
        <v>27700</v>
      </c>
      <c r="C558" s="1378">
        <f>IF($L558&gt;N$5,MAX(0,N$3+ROUND((N$9*($L558-N$5)),0)),IF($L558&gt;N$4,N$3,ROUND($L558*N$7,0)))</f>
        <v/>
      </c>
      <c r="D558" s="448">
        <f>IF($L558&gt;O$5,MAX(0,O$3+ROUND((O$9*($L558-O$5)),0)),IF($L558&gt;O$4,O$3,ROUND($L558*O$7,0)))</f>
        <v/>
      </c>
      <c r="E558" s="448">
        <f>IF($L558&gt;P$5,MAX(0,P$3+ROUND((P$9*($L558-P$5)),0)),IF($L558&gt;P$4,P$3,ROUND($L558*P$7,0)))</f>
        <v/>
      </c>
      <c r="F558" s="447">
        <f>IF($L558&gt;Q$5,MAX(0,Q$3+ROUND((Q$9*($L558-Q$5)),0)),IF($L558&gt;Q$4,Q$3,ROUND($L558*Q$7,0)))</f>
        <v/>
      </c>
      <c r="G558" s="1378">
        <f>IF($L558&gt;R$5,MAX(0,R$3+ROUND((R$9*($L558-R$5)),0)),IF($L558&gt;R$4,R$3,ROUND($L558*R$7,0)))</f>
        <v/>
      </c>
      <c r="H558" s="448">
        <f>IF($L558&gt;S$5,MAX(0,S$3+ROUND((S$9*($L558-S$5)),0)),IF($L558&gt;S$4,S$3,ROUND($L558*S$7,0)))</f>
        <v/>
      </c>
      <c r="I558" s="448">
        <f>IF($L558&gt;T$5,MAX(0,T$3+ROUND((T$9*($L558-T$5)),0)),IF($L558&gt;T$4,T$3,ROUND($L558*T$7,0)))</f>
        <v/>
      </c>
      <c r="J558" s="447">
        <f>IF($L558&gt;U$5,MAX(0,U$3+ROUND((U$9*($L558-U$5)),0)),IF($L558&gt;U$4,U$3,ROUND($L558*U$7,0)))</f>
        <v/>
      </c>
      <c r="K558" s="422" t="n"/>
      <c r="L558" s="448">
        <f>ROUND((A558+B558)/2,2)</f>
        <v/>
      </c>
    </row>
    <row r="559" ht="13.5" customHeight="1" s="7635">
      <c r="A559" s="448" t="n">
        <v>27700</v>
      </c>
      <c r="B559" s="447" t="n">
        <v>27750</v>
      </c>
      <c r="C559" s="1378">
        <f>IF($L559&gt;N$5,MAX(0,N$3+ROUND((N$9*($L559-N$5)),0)),IF($L559&gt;N$4,N$3,ROUND($L559*N$7,0)))</f>
        <v/>
      </c>
      <c r="D559" s="448">
        <f>IF($L559&gt;O$5,MAX(0,O$3+ROUND((O$9*($L559-O$5)),0)),IF($L559&gt;O$4,O$3,ROUND($L559*O$7,0)))</f>
        <v/>
      </c>
      <c r="E559" s="448">
        <f>IF($L559&gt;P$5,MAX(0,P$3+ROUND((P$9*($L559-P$5)),0)),IF($L559&gt;P$4,P$3,ROUND($L559*P$7,0)))</f>
        <v/>
      </c>
      <c r="F559" s="447">
        <f>IF($L559&gt;Q$5,MAX(0,Q$3+ROUND((Q$9*($L559-Q$5)),0)),IF($L559&gt;Q$4,Q$3,ROUND($L559*Q$7,0)))</f>
        <v/>
      </c>
      <c r="G559" s="1378">
        <f>IF($L559&gt;R$5,MAX(0,R$3+ROUND((R$9*($L559-R$5)),0)),IF($L559&gt;R$4,R$3,ROUND($L559*R$7,0)))</f>
        <v/>
      </c>
      <c r="H559" s="448">
        <f>IF($L559&gt;S$5,MAX(0,S$3+ROUND((S$9*($L559-S$5)),0)),IF($L559&gt;S$4,S$3,ROUND($L559*S$7,0)))</f>
        <v/>
      </c>
      <c r="I559" s="448">
        <f>IF($L559&gt;T$5,MAX(0,T$3+ROUND((T$9*($L559-T$5)),0)),IF($L559&gt;T$4,T$3,ROUND($L559*T$7,0)))</f>
        <v/>
      </c>
      <c r="J559" s="447">
        <f>IF($L559&gt;U$5,MAX(0,U$3+ROUND((U$9*($L559-U$5)),0)),IF($L559&gt;U$4,U$3,ROUND($L559*U$7,0)))</f>
        <v/>
      </c>
      <c r="K559" s="422" t="n"/>
      <c r="L559" s="448">
        <f>ROUND((A559+B559)/2,2)</f>
        <v/>
      </c>
    </row>
    <row r="560" ht="13.5" customHeight="1" s="7635">
      <c r="A560" s="448" t="n">
        <v>27750</v>
      </c>
      <c r="B560" s="447" t="n">
        <v>27800</v>
      </c>
      <c r="C560" s="1378">
        <f>IF($L560&gt;N$5,MAX(0,N$3+ROUND((N$9*($L560-N$5)),0)),IF($L560&gt;N$4,N$3,ROUND($L560*N$7,0)))</f>
        <v/>
      </c>
      <c r="D560" s="448">
        <f>IF($L560&gt;O$5,MAX(0,O$3+ROUND((O$9*($L560-O$5)),0)),IF($L560&gt;O$4,O$3,ROUND($L560*O$7,0)))</f>
        <v/>
      </c>
      <c r="E560" s="448">
        <f>IF($L560&gt;P$5,MAX(0,P$3+ROUND((P$9*($L560-P$5)),0)),IF($L560&gt;P$4,P$3,ROUND($L560*P$7,0)))</f>
        <v/>
      </c>
      <c r="F560" s="447">
        <f>IF($L560&gt;Q$5,MAX(0,Q$3+ROUND((Q$9*($L560-Q$5)),0)),IF($L560&gt;Q$4,Q$3,ROUND($L560*Q$7,0)))</f>
        <v/>
      </c>
      <c r="G560" s="1378">
        <f>IF($L560&gt;R$5,MAX(0,R$3+ROUND((R$9*($L560-R$5)),0)),IF($L560&gt;R$4,R$3,ROUND($L560*R$7,0)))</f>
        <v/>
      </c>
      <c r="H560" s="448">
        <f>IF($L560&gt;S$5,MAX(0,S$3+ROUND((S$9*($L560-S$5)),0)),IF($L560&gt;S$4,S$3,ROUND($L560*S$7,0)))</f>
        <v/>
      </c>
      <c r="I560" s="448">
        <f>IF($L560&gt;T$5,MAX(0,T$3+ROUND((T$9*($L560-T$5)),0)),IF($L560&gt;T$4,T$3,ROUND($L560*T$7,0)))</f>
        <v/>
      </c>
      <c r="J560" s="447">
        <f>IF($L560&gt;U$5,MAX(0,U$3+ROUND((U$9*($L560-U$5)),0)),IF($L560&gt;U$4,U$3,ROUND($L560*U$7,0)))</f>
        <v/>
      </c>
      <c r="K560" s="422" t="n"/>
      <c r="L560" s="448">
        <f>ROUND((A560+B560)/2,2)</f>
        <v/>
      </c>
    </row>
    <row r="561" ht="13.5" customHeight="1" s="7635">
      <c r="A561" s="448" t="n">
        <v>27800</v>
      </c>
      <c r="B561" s="447" t="n">
        <v>27850</v>
      </c>
      <c r="C561" s="1378">
        <f>IF($L561&gt;N$5,MAX(0,N$3+ROUND((N$9*($L561-N$5)),0)),IF($L561&gt;N$4,N$3,ROUND($L561*N$7,0)))</f>
        <v/>
      </c>
      <c r="D561" s="448">
        <f>IF($L561&gt;O$5,MAX(0,O$3+ROUND((O$9*($L561-O$5)),0)),IF($L561&gt;O$4,O$3,ROUND($L561*O$7,0)))</f>
        <v/>
      </c>
      <c r="E561" s="448">
        <f>IF($L561&gt;P$5,MAX(0,P$3+ROUND((P$9*($L561-P$5)),0)),IF($L561&gt;P$4,P$3,ROUND($L561*P$7,0)))</f>
        <v/>
      </c>
      <c r="F561" s="447">
        <f>IF($L561&gt;Q$5,MAX(0,Q$3+ROUND((Q$9*($L561-Q$5)),0)),IF($L561&gt;Q$4,Q$3,ROUND($L561*Q$7,0)))</f>
        <v/>
      </c>
      <c r="G561" s="1378">
        <f>IF($L561&gt;R$5,MAX(0,R$3+ROUND((R$9*($L561-R$5)),0)),IF($L561&gt;R$4,R$3,ROUND($L561*R$7,0)))</f>
        <v/>
      </c>
      <c r="H561" s="448">
        <f>IF($L561&gt;S$5,MAX(0,S$3+ROUND((S$9*($L561-S$5)),0)),IF($L561&gt;S$4,S$3,ROUND($L561*S$7,0)))</f>
        <v/>
      </c>
      <c r="I561" s="448">
        <f>IF($L561&gt;T$5,MAX(0,T$3+ROUND((T$9*($L561-T$5)),0)),IF($L561&gt;T$4,T$3,ROUND($L561*T$7,0)))</f>
        <v/>
      </c>
      <c r="J561" s="447">
        <f>IF($L561&gt;U$5,MAX(0,U$3+ROUND((U$9*($L561-U$5)),0)),IF($L561&gt;U$4,U$3,ROUND($L561*U$7,0)))</f>
        <v/>
      </c>
      <c r="K561" s="422" t="n"/>
      <c r="L561" s="448">
        <f>ROUND((A561+B561)/2,2)</f>
        <v/>
      </c>
    </row>
    <row r="562" ht="13.5" customHeight="1" s="7635">
      <c r="A562" s="448" t="n">
        <v>27850</v>
      </c>
      <c r="B562" s="447" t="n">
        <v>27900</v>
      </c>
      <c r="C562" s="1378">
        <f>IF($L562&gt;N$5,MAX(0,N$3+ROUND((N$9*($L562-N$5)),0)),IF($L562&gt;N$4,N$3,ROUND($L562*N$7,0)))</f>
        <v/>
      </c>
      <c r="D562" s="448">
        <f>IF($L562&gt;O$5,MAX(0,O$3+ROUND((O$9*($L562-O$5)),0)),IF($L562&gt;O$4,O$3,ROUND($L562*O$7,0)))</f>
        <v/>
      </c>
      <c r="E562" s="448">
        <f>IF($L562&gt;P$5,MAX(0,P$3+ROUND((P$9*($L562-P$5)),0)),IF($L562&gt;P$4,P$3,ROUND($L562*P$7,0)))</f>
        <v/>
      </c>
      <c r="F562" s="447">
        <f>IF($L562&gt;Q$5,MAX(0,Q$3+ROUND((Q$9*($L562-Q$5)),0)),IF($L562&gt;Q$4,Q$3,ROUND($L562*Q$7,0)))</f>
        <v/>
      </c>
      <c r="G562" s="1378">
        <f>IF($L562&gt;R$5,MAX(0,R$3+ROUND((R$9*($L562-R$5)),0)),IF($L562&gt;R$4,R$3,ROUND($L562*R$7,0)))</f>
        <v/>
      </c>
      <c r="H562" s="448">
        <f>IF($L562&gt;S$5,MAX(0,S$3+ROUND((S$9*($L562-S$5)),0)),IF($L562&gt;S$4,S$3,ROUND($L562*S$7,0)))</f>
        <v/>
      </c>
      <c r="I562" s="448">
        <f>IF($L562&gt;T$5,MAX(0,T$3+ROUND((T$9*($L562-T$5)),0)),IF($L562&gt;T$4,T$3,ROUND($L562*T$7,0)))</f>
        <v/>
      </c>
      <c r="J562" s="447">
        <f>IF($L562&gt;U$5,MAX(0,U$3+ROUND((U$9*($L562-U$5)),0)),IF($L562&gt;U$4,U$3,ROUND($L562*U$7,0)))</f>
        <v/>
      </c>
      <c r="K562" s="422" t="n"/>
      <c r="L562" s="448">
        <f>ROUND((A562+B562)/2,2)</f>
        <v/>
      </c>
    </row>
    <row r="563" ht="13.5" customHeight="1" s="7635">
      <c r="A563" s="448" t="n">
        <v>27900</v>
      </c>
      <c r="B563" s="447" t="n">
        <v>27950</v>
      </c>
      <c r="C563" s="1378">
        <f>IF($L563&gt;N$5,MAX(0,N$3+ROUND((N$9*($L563-N$5)),0)),IF($L563&gt;N$4,N$3,ROUND($L563*N$7,0)))</f>
        <v/>
      </c>
      <c r="D563" s="448">
        <f>IF($L563&gt;O$5,MAX(0,O$3+ROUND((O$9*($L563-O$5)),0)),IF($L563&gt;O$4,O$3,ROUND($L563*O$7,0)))</f>
        <v/>
      </c>
      <c r="E563" s="448">
        <f>IF($L563&gt;P$5,MAX(0,P$3+ROUND((P$9*($L563-P$5)),0)),IF($L563&gt;P$4,P$3,ROUND($L563*P$7,0)))</f>
        <v/>
      </c>
      <c r="F563" s="447">
        <f>IF($L563&gt;Q$5,MAX(0,Q$3+ROUND((Q$9*($L563-Q$5)),0)),IF($L563&gt;Q$4,Q$3,ROUND($L563*Q$7,0)))</f>
        <v/>
      </c>
      <c r="G563" s="1378">
        <f>IF($L563&gt;R$5,MAX(0,R$3+ROUND((R$9*($L563-R$5)),0)),IF($L563&gt;R$4,R$3,ROUND($L563*R$7,0)))</f>
        <v/>
      </c>
      <c r="H563" s="448">
        <f>IF($L563&gt;S$5,MAX(0,S$3+ROUND((S$9*($L563-S$5)),0)),IF($L563&gt;S$4,S$3,ROUND($L563*S$7,0)))</f>
        <v/>
      </c>
      <c r="I563" s="448">
        <f>IF($L563&gt;T$5,MAX(0,T$3+ROUND((T$9*($L563-T$5)),0)),IF($L563&gt;T$4,T$3,ROUND($L563*T$7,0)))</f>
        <v/>
      </c>
      <c r="J563" s="447">
        <f>IF($L563&gt;U$5,MAX(0,U$3+ROUND((U$9*($L563-U$5)),0)),IF($L563&gt;U$4,U$3,ROUND($L563*U$7,0)))</f>
        <v/>
      </c>
      <c r="K563" s="422" t="n"/>
      <c r="L563" s="448">
        <f>ROUND((A563+B563)/2,2)</f>
        <v/>
      </c>
    </row>
    <row r="564" ht="13.5" customHeight="1" s="7635">
      <c r="A564" s="448" t="n">
        <v>27950</v>
      </c>
      <c r="B564" s="447" t="n">
        <v>28000</v>
      </c>
      <c r="C564" s="1378">
        <f>IF($L564&gt;N$5,MAX(0,N$3+ROUND((N$9*($L564-N$5)),0)),IF($L564&gt;N$4,N$3,ROUND($L564*N$7,0)))</f>
        <v/>
      </c>
      <c r="D564" s="448">
        <f>IF($L564&gt;O$5,MAX(0,O$3+ROUND((O$9*($L564-O$5)),0)),IF($L564&gt;O$4,O$3,ROUND($L564*O$7,0)))</f>
        <v/>
      </c>
      <c r="E564" s="448">
        <f>IF($L564&gt;P$5,MAX(0,P$3+ROUND((P$9*($L564-P$5)),0)),IF($L564&gt;P$4,P$3,ROUND($L564*P$7,0)))</f>
        <v/>
      </c>
      <c r="F564" s="447">
        <f>IF($L564&gt;Q$5,MAX(0,Q$3+ROUND((Q$9*($L564-Q$5)),0)),IF($L564&gt;Q$4,Q$3,ROUND($L564*Q$7,0)))</f>
        <v/>
      </c>
      <c r="G564" s="1378">
        <f>IF($L564&gt;R$5,MAX(0,R$3+ROUND((R$9*($L564-R$5)),0)),IF($L564&gt;R$4,R$3,ROUND($L564*R$7,0)))</f>
        <v/>
      </c>
      <c r="H564" s="448">
        <f>IF($L564&gt;S$5,MAX(0,S$3+ROUND((S$9*($L564-S$5)),0)),IF($L564&gt;S$4,S$3,ROUND($L564*S$7,0)))</f>
        <v/>
      </c>
      <c r="I564" s="448">
        <f>IF($L564&gt;T$5,MAX(0,T$3+ROUND((T$9*($L564-T$5)),0)),IF($L564&gt;T$4,T$3,ROUND($L564*T$7,0)))</f>
        <v/>
      </c>
      <c r="J564" s="447">
        <f>IF($L564&gt;U$5,MAX(0,U$3+ROUND((U$9*($L564-U$5)),0)),IF($L564&gt;U$4,U$3,ROUND($L564*U$7,0)))</f>
        <v/>
      </c>
      <c r="K564" s="422" t="n"/>
      <c r="L564" s="448">
        <f>ROUND((A564+B564)/2,2)</f>
        <v/>
      </c>
    </row>
    <row r="565" ht="13.5" customHeight="1" s="7635">
      <c r="A565" s="448" t="n">
        <v>28000</v>
      </c>
      <c r="B565" s="447" t="n">
        <v>28050</v>
      </c>
      <c r="C565" s="1378">
        <f>IF($L565&gt;N$5,MAX(0,N$3+ROUND((N$9*($L565-N$5)),0)),IF($L565&gt;N$4,N$3,ROUND($L565*N$7,0)))</f>
        <v/>
      </c>
      <c r="D565" s="448">
        <f>IF($L565&gt;O$5,MAX(0,O$3+ROUND((O$9*($L565-O$5)),0)),IF($L565&gt;O$4,O$3,ROUND($L565*O$7,0)))</f>
        <v/>
      </c>
      <c r="E565" s="448">
        <f>IF($L565&gt;P$5,MAX(0,P$3+ROUND((P$9*($L565-P$5)),0)),IF($L565&gt;P$4,P$3,ROUND($L565*P$7,0)))</f>
        <v/>
      </c>
      <c r="F565" s="447">
        <f>IF($L565&gt;Q$5,MAX(0,Q$3+ROUND((Q$9*($L565-Q$5)),0)),IF($L565&gt;Q$4,Q$3,ROUND($L565*Q$7,0)))</f>
        <v/>
      </c>
      <c r="G565" s="1378">
        <f>IF($L565&gt;R$5,MAX(0,R$3+ROUND((R$9*($L565-R$5)),0)),IF($L565&gt;R$4,R$3,ROUND($L565*R$7,0)))</f>
        <v/>
      </c>
      <c r="H565" s="448">
        <f>IF($L565&gt;S$5,MAX(0,S$3+ROUND((S$9*($L565-S$5)),0)),IF($L565&gt;S$4,S$3,ROUND($L565*S$7,0)))</f>
        <v/>
      </c>
      <c r="I565" s="448">
        <f>IF($L565&gt;T$5,MAX(0,T$3+ROUND((T$9*($L565-T$5)),0)),IF($L565&gt;T$4,T$3,ROUND($L565*T$7,0)))</f>
        <v/>
      </c>
      <c r="J565" s="447">
        <f>IF($L565&gt;U$5,MAX(0,U$3+ROUND((U$9*($L565-U$5)),0)),IF($L565&gt;U$4,U$3,ROUND($L565*U$7,0)))</f>
        <v/>
      </c>
      <c r="K565" s="422" t="n"/>
      <c r="L565" s="448">
        <f>ROUND((A565+B565)/2,2)</f>
        <v/>
      </c>
    </row>
    <row r="566" ht="13.5" customHeight="1" s="7635">
      <c r="A566" s="448" t="n">
        <v>28050</v>
      </c>
      <c r="B566" s="447" t="n">
        <v>28100</v>
      </c>
      <c r="C566" s="1378">
        <f>IF($L566&gt;N$5,MAX(0,N$3+ROUND((N$9*($L566-N$5)),0)),IF($L566&gt;N$4,N$3,ROUND($L566*N$7,0)))</f>
        <v/>
      </c>
      <c r="D566" s="448">
        <f>IF($L566&gt;O$5,MAX(0,O$3+ROUND((O$9*($L566-O$5)),0)),IF($L566&gt;O$4,O$3,ROUND($L566*O$7,0)))</f>
        <v/>
      </c>
      <c r="E566" s="448">
        <f>IF($L566&gt;P$5,MAX(0,P$3+ROUND((P$9*($L566-P$5)),0)),IF($L566&gt;P$4,P$3,ROUND($L566*P$7,0)))</f>
        <v/>
      </c>
      <c r="F566" s="447">
        <f>IF($L566&gt;Q$5,MAX(0,Q$3+ROUND((Q$9*($L566-Q$5)),0)),IF($L566&gt;Q$4,Q$3,ROUND($L566*Q$7,0)))</f>
        <v/>
      </c>
      <c r="G566" s="1378">
        <f>IF($L566&gt;R$5,MAX(0,R$3+ROUND((R$9*($L566-R$5)),0)),IF($L566&gt;R$4,R$3,ROUND($L566*R$7,0)))</f>
        <v/>
      </c>
      <c r="H566" s="448">
        <f>IF($L566&gt;S$5,MAX(0,S$3+ROUND((S$9*($L566-S$5)),0)),IF($L566&gt;S$4,S$3,ROUND($L566*S$7,0)))</f>
        <v/>
      </c>
      <c r="I566" s="448">
        <f>IF($L566&gt;T$5,MAX(0,T$3+ROUND((T$9*($L566-T$5)),0)),IF($L566&gt;T$4,T$3,ROUND($L566*T$7,0)))</f>
        <v/>
      </c>
      <c r="J566" s="447">
        <f>IF($L566&gt;U$5,MAX(0,U$3+ROUND((U$9*($L566-U$5)),0)),IF($L566&gt;U$4,U$3,ROUND($L566*U$7,0)))</f>
        <v/>
      </c>
      <c r="K566" s="422" t="n"/>
      <c r="L566" s="448">
        <f>ROUND((A566+B566)/2,2)</f>
        <v/>
      </c>
    </row>
    <row r="567" ht="13.5" customHeight="1" s="7635">
      <c r="A567" s="448" t="n">
        <v>28100</v>
      </c>
      <c r="B567" s="447" t="n">
        <v>28150</v>
      </c>
      <c r="C567" s="1378">
        <f>IF($L567&gt;N$5,MAX(0,N$3+ROUND((N$9*($L567-N$5)),0)),IF($L567&gt;N$4,N$3,ROUND($L567*N$7,0)))</f>
        <v/>
      </c>
      <c r="D567" s="448">
        <f>IF($L567&gt;O$5,MAX(0,O$3+ROUND((O$9*($L567-O$5)),0)),IF($L567&gt;O$4,O$3,ROUND($L567*O$7,0)))</f>
        <v/>
      </c>
      <c r="E567" s="448">
        <f>IF($L567&gt;P$5,MAX(0,P$3+ROUND((P$9*($L567-P$5)),0)),IF($L567&gt;P$4,P$3,ROUND($L567*P$7,0)))</f>
        <v/>
      </c>
      <c r="F567" s="447">
        <f>IF($L567&gt;Q$5,MAX(0,Q$3+ROUND((Q$9*($L567-Q$5)),0)),IF($L567&gt;Q$4,Q$3,ROUND($L567*Q$7,0)))</f>
        <v/>
      </c>
      <c r="G567" s="1378">
        <f>IF($L567&gt;R$5,MAX(0,R$3+ROUND((R$9*($L567-R$5)),0)),IF($L567&gt;R$4,R$3,ROUND($L567*R$7,0)))</f>
        <v/>
      </c>
      <c r="H567" s="448">
        <f>IF($L567&gt;S$5,MAX(0,S$3+ROUND((S$9*($L567-S$5)),0)),IF($L567&gt;S$4,S$3,ROUND($L567*S$7,0)))</f>
        <v/>
      </c>
      <c r="I567" s="448">
        <f>IF($L567&gt;T$5,MAX(0,T$3+ROUND((T$9*($L567-T$5)),0)),IF($L567&gt;T$4,T$3,ROUND($L567*T$7,0)))</f>
        <v/>
      </c>
      <c r="J567" s="447">
        <f>IF($L567&gt;U$5,MAX(0,U$3+ROUND((U$9*($L567-U$5)),0)),IF($L567&gt;U$4,U$3,ROUND($L567*U$7,0)))</f>
        <v/>
      </c>
      <c r="K567" s="422" t="n"/>
      <c r="L567" s="448">
        <f>ROUND((A567+B567)/2,2)</f>
        <v/>
      </c>
    </row>
    <row r="568" ht="13.5" customHeight="1" s="7635">
      <c r="A568" s="448" t="n">
        <v>28150</v>
      </c>
      <c r="B568" s="447" t="n">
        <v>28200</v>
      </c>
      <c r="C568" s="1378">
        <f>IF($L568&gt;N$5,MAX(0,N$3+ROUND((N$9*($L568-N$5)),0)),IF($L568&gt;N$4,N$3,ROUND($L568*N$7,0)))</f>
        <v/>
      </c>
      <c r="D568" s="448">
        <f>IF($L568&gt;O$5,MAX(0,O$3+ROUND((O$9*($L568-O$5)),0)),IF($L568&gt;O$4,O$3,ROUND($L568*O$7,0)))</f>
        <v/>
      </c>
      <c r="E568" s="448">
        <f>IF($L568&gt;P$5,MAX(0,P$3+ROUND((P$9*($L568-P$5)),0)),IF($L568&gt;P$4,P$3,ROUND($L568*P$7,0)))</f>
        <v/>
      </c>
      <c r="F568" s="447">
        <f>IF($L568&gt;Q$5,MAX(0,Q$3+ROUND((Q$9*($L568-Q$5)),0)),IF($L568&gt;Q$4,Q$3,ROUND($L568*Q$7,0)))</f>
        <v/>
      </c>
      <c r="G568" s="1378">
        <f>IF($L568&gt;R$5,MAX(0,R$3+ROUND((R$9*($L568-R$5)),0)),IF($L568&gt;R$4,R$3,ROUND($L568*R$7,0)))</f>
        <v/>
      </c>
      <c r="H568" s="448">
        <f>IF($L568&gt;S$5,MAX(0,S$3+ROUND((S$9*($L568-S$5)),0)),IF($L568&gt;S$4,S$3,ROUND($L568*S$7,0)))</f>
        <v/>
      </c>
      <c r="I568" s="448">
        <f>IF($L568&gt;T$5,MAX(0,T$3+ROUND((T$9*($L568-T$5)),0)),IF($L568&gt;T$4,T$3,ROUND($L568*T$7,0)))</f>
        <v/>
      </c>
      <c r="J568" s="447">
        <f>IF($L568&gt;U$5,MAX(0,U$3+ROUND((U$9*($L568-U$5)),0)),IF($L568&gt;U$4,U$3,ROUND($L568*U$7,0)))</f>
        <v/>
      </c>
      <c r="K568" s="422" t="n"/>
      <c r="L568" s="448">
        <f>ROUND((A568+B568)/2,2)</f>
        <v/>
      </c>
    </row>
    <row r="569" ht="13.5" customHeight="1" s="7635">
      <c r="A569" s="448" t="n">
        <v>28200</v>
      </c>
      <c r="B569" s="447" t="n">
        <v>28250</v>
      </c>
      <c r="C569" s="1378">
        <f>IF($L569&gt;N$5,MAX(0,N$3+ROUND((N$9*($L569-N$5)),0)),IF($L569&gt;N$4,N$3,ROUND($L569*N$7,0)))</f>
        <v/>
      </c>
      <c r="D569" s="448">
        <f>IF($L569&gt;O$5,MAX(0,O$3+ROUND((O$9*($L569-O$5)),0)),IF($L569&gt;O$4,O$3,ROUND($L569*O$7,0)))</f>
        <v/>
      </c>
      <c r="E569" s="448">
        <f>IF($L569&gt;P$5,MAX(0,P$3+ROUND((P$9*($L569-P$5)),0)),IF($L569&gt;P$4,P$3,ROUND($L569*P$7,0)))</f>
        <v/>
      </c>
      <c r="F569" s="447">
        <f>IF($L569&gt;Q$5,MAX(0,Q$3+ROUND((Q$9*($L569-Q$5)),0)),IF($L569&gt;Q$4,Q$3,ROUND($L569*Q$7,0)))</f>
        <v/>
      </c>
      <c r="G569" s="1378">
        <f>IF($L569&gt;R$5,MAX(0,R$3+ROUND((R$9*($L569-R$5)),0)),IF($L569&gt;R$4,R$3,ROUND($L569*R$7,0)))</f>
        <v/>
      </c>
      <c r="H569" s="448">
        <f>IF($L569&gt;S$5,MAX(0,S$3+ROUND((S$9*($L569-S$5)),0)),IF($L569&gt;S$4,S$3,ROUND($L569*S$7,0)))</f>
        <v/>
      </c>
      <c r="I569" s="448">
        <f>IF($L569&gt;T$5,MAX(0,T$3+ROUND((T$9*($L569-T$5)),0)),IF($L569&gt;T$4,T$3,ROUND($L569*T$7,0)))</f>
        <v/>
      </c>
      <c r="J569" s="447">
        <f>IF($L569&gt;U$5,MAX(0,U$3+ROUND((U$9*($L569-U$5)),0)),IF($L569&gt;U$4,U$3,ROUND($L569*U$7,0)))</f>
        <v/>
      </c>
      <c r="K569" s="422" t="n"/>
      <c r="L569" s="448">
        <f>ROUND((A569+B569)/2,2)</f>
        <v/>
      </c>
    </row>
    <row r="570" ht="13.5" customHeight="1" s="7635">
      <c r="A570" s="448" t="n">
        <v>28250</v>
      </c>
      <c r="B570" s="447" t="n">
        <v>28300</v>
      </c>
      <c r="C570" s="1378">
        <f>IF($L570&gt;N$5,MAX(0,N$3+ROUND((N$9*($L570-N$5)),0)),IF($L570&gt;N$4,N$3,ROUND($L570*N$7,0)))</f>
        <v/>
      </c>
      <c r="D570" s="448">
        <f>IF($L570&gt;O$5,MAX(0,O$3+ROUND((O$9*($L570-O$5)),0)),IF($L570&gt;O$4,O$3,ROUND($L570*O$7,0)))</f>
        <v/>
      </c>
      <c r="E570" s="448">
        <f>IF($L570&gt;P$5,MAX(0,P$3+ROUND((P$9*($L570-P$5)),0)),IF($L570&gt;P$4,P$3,ROUND($L570*P$7,0)))</f>
        <v/>
      </c>
      <c r="F570" s="447">
        <f>IF($L570&gt;Q$5,MAX(0,Q$3+ROUND((Q$9*($L570-Q$5)),0)),IF($L570&gt;Q$4,Q$3,ROUND($L570*Q$7,0)))</f>
        <v/>
      </c>
      <c r="G570" s="1378">
        <f>IF($L570&gt;R$5,MAX(0,R$3+ROUND((R$9*($L570-R$5)),0)),IF($L570&gt;R$4,R$3,ROUND($L570*R$7,0)))</f>
        <v/>
      </c>
      <c r="H570" s="448">
        <f>IF($L570&gt;S$5,MAX(0,S$3+ROUND((S$9*($L570-S$5)),0)),IF($L570&gt;S$4,S$3,ROUND($L570*S$7,0)))</f>
        <v/>
      </c>
      <c r="I570" s="448">
        <f>IF($L570&gt;T$5,MAX(0,T$3+ROUND((T$9*($L570-T$5)),0)),IF($L570&gt;T$4,T$3,ROUND($L570*T$7,0)))</f>
        <v/>
      </c>
      <c r="J570" s="447">
        <f>IF($L570&gt;U$5,MAX(0,U$3+ROUND((U$9*($L570-U$5)),0)),IF($L570&gt;U$4,U$3,ROUND($L570*U$7,0)))</f>
        <v/>
      </c>
      <c r="K570" s="422" t="n"/>
      <c r="L570" s="448">
        <f>ROUND((A570+B570)/2,2)</f>
        <v/>
      </c>
    </row>
    <row r="571" ht="13.5" customHeight="1" s="7635">
      <c r="A571" s="448" t="n">
        <v>28300</v>
      </c>
      <c r="B571" s="447" t="n">
        <v>28350</v>
      </c>
      <c r="C571" s="1378">
        <f>IF($L571&gt;N$5,MAX(0,N$3+ROUND((N$9*($L571-N$5)),0)),IF($L571&gt;N$4,N$3,ROUND($L571*N$7,0)))</f>
        <v/>
      </c>
      <c r="D571" s="448">
        <f>IF($L571&gt;O$5,MAX(0,O$3+ROUND((O$9*($L571-O$5)),0)),IF($L571&gt;O$4,O$3,ROUND($L571*O$7,0)))</f>
        <v/>
      </c>
      <c r="E571" s="448">
        <f>IF($L571&gt;P$5,MAX(0,P$3+ROUND((P$9*($L571-P$5)),0)),IF($L571&gt;P$4,P$3,ROUND($L571*P$7,0)))</f>
        <v/>
      </c>
      <c r="F571" s="447">
        <f>IF($L571&gt;Q$5,MAX(0,Q$3+ROUND((Q$9*($L571-Q$5)),0)),IF($L571&gt;Q$4,Q$3,ROUND($L571*Q$7,0)))</f>
        <v/>
      </c>
      <c r="G571" s="1378">
        <f>IF($L571&gt;R$5,MAX(0,R$3+ROUND((R$9*($L571-R$5)),0)),IF($L571&gt;R$4,R$3,ROUND($L571*R$7,0)))</f>
        <v/>
      </c>
      <c r="H571" s="448">
        <f>IF($L571&gt;S$5,MAX(0,S$3+ROUND((S$9*($L571-S$5)),0)),IF($L571&gt;S$4,S$3,ROUND($L571*S$7,0)))</f>
        <v/>
      </c>
      <c r="I571" s="448">
        <f>IF($L571&gt;T$5,MAX(0,T$3+ROUND((T$9*($L571-T$5)),0)),IF($L571&gt;T$4,T$3,ROUND($L571*T$7,0)))</f>
        <v/>
      </c>
      <c r="J571" s="447">
        <f>IF($L571&gt;U$5,MAX(0,U$3+ROUND((U$9*($L571-U$5)),0)),IF($L571&gt;U$4,U$3,ROUND($L571*U$7,0)))</f>
        <v/>
      </c>
      <c r="K571" s="422" t="n"/>
      <c r="L571" s="448">
        <f>ROUND((A571+B571)/2,2)</f>
        <v/>
      </c>
    </row>
    <row r="572" ht="13.5" customHeight="1" s="7635">
      <c r="A572" s="448" t="n">
        <v>28350</v>
      </c>
      <c r="B572" s="447" t="n">
        <v>28400</v>
      </c>
      <c r="C572" s="1378">
        <f>IF($L572&gt;N$5,MAX(0,N$3+ROUND((N$9*($L572-N$5)),0)),IF($L572&gt;N$4,N$3,ROUND($L572*N$7,0)))</f>
        <v/>
      </c>
      <c r="D572" s="448">
        <f>IF($L572&gt;O$5,MAX(0,O$3+ROUND((O$9*($L572-O$5)),0)),IF($L572&gt;O$4,O$3,ROUND($L572*O$7,0)))</f>
        <v/>
      </c>
      <c r="E572" s="448">
        <f>IF($L572&gt;P$5,MAX(0,P$3+ROUND((P$9*($L572-P$5)),0)),IF($L572&gt;P$4,P$3,ROUND($L572*P$7,0)))</f>
        <v/>
      </c>
      <c r="F572" s="447">
        <f>IF($L572&gt;Q$5,MAX(0,Q$3+ROUND((Q$9*($L572-Q$5)),0)),IF($L572&gt;Q$4,Q$3,ROUND($L572*Q$7,0)))</f>
        <v/>
      </c>
      <c r="G572" s="1378">
        <f>IF($L572&gt;R$5,MAX(0,R$3+ROUND((R$9*($L572-R$5)),0)),IF($L572&gt;R$4,R$3,ROUND($L572*R$7,0)))</f>
        <v/>
      </c>
      <c r="H572" s="448">
        <f>IF($L572&gt;S$5,MAX(0,S$3+ROUND((S$9*($L572-S$5)),0)),IF($L572&gt;S$4,S$3,ROUND($L572*S$7,0)))</f>
        <v/>
      </c>
      <c r="I572" s="448">
        <f>IF($L572&gt;T$5,MAX(0,T$3+ROUND((T$9*($L572-T$5)),0)),IF($L572&gt;T$4,T$3,ROUND($L572*T$7,0)))</f>
        <v/>
      </c>
      <c r="J572" s="447">
        <f>IF($L572&gt;U$5,MAX(0,U$3+ROUND((U$9*($L572-U$5)),0)),IF($L572&gt;U$4,U$3,ROUND($L572*U$7,0)))</f>
        <v/>
      </c>
      <c r="K572" s="422" t="n"/>
      <c r="L572" s="448">
        <f>ROUND((A572+B572)/2,2)</f>
        <v/>
      </c>
    </row>
    <row r="573" ht="13.5" customHeight="1" s="7635">
      <c r="A573" s="448" t="n">
        <v>28400</v>
      </c>
      <c r="B573" s="447" t="n">
        <v>28450</v>
      </c>
      <c r="C573" s="1378">
        <f>IF($L573&gt;N$5,MAX(0,N$3+ROUND((N$9*($L573-N$5)),0)),IF($L573&gt;N$4,N$3,ROUND($L573*N$7,0)))</f>
        <v/>
      </c>
      <c r="D573" s="448">
        <f>IF($L573&gt;O$5,MAX(0,O$3+ROUND((O$9*($L573-O$5)),0)),IF($L573&gt;O$4,O$3,ROUND($L573*O$7,0)))</f>
        <v/>
      </c>
      <c r="E573" s="448">
        <f>IF($L573&gt;P$5,MAX(0,P$3+ROUND((P$9*($L573-P$5)),0)),IF($L573&gt;P$4,P$3,ROUND($L573*P$7,0)))</f>
        <v/>
      </c>
      <c r="F573" s="447">
        <f>IF($L573&gt;Q$5,MAX(0,Q$3+ROUND((Q$9*($L573-Q$5)),0)),IF($L573&gt;Q$4,Q$3,ROUND($L573*Q$7,0)))</f>
        <v/>
      </c>
      <c r="G573" s="1378">
        <f>IF($L573&gt;R$5,MAX(0,R$3+ROUND((R$9*($L573-R$5)),0)),IF($L573&gt;R$4,R$3,ROUND($L573*R$7,0)))</f>
        <v/>
      </c>
      <c r="H573" s="448">
        <f>IF($L573&gt;S$5,MAX(0,S$3+ROUND((S$9*($L573-S$5)),0)),IF($L573&gt;S$4,S$3,ROUND($L573*S$7,0)))</f>
        <v/>
      </c>
      <c r="I573" s="448">
        <f>IF($L573&gt;T$5,MAX(0,T$3+ROUND((T$9*($L573-T$5)),0)),IF($L573&gt;T$4,T$3,ROUND($L573*T$7,0)))</f>
        <v/>
      </c>
      <c r="J573" s="447">
        <f>IF($L573&gt;U$5,MAX(0,U$3+ROUND((U$9*($L573-U$5)),0)),IF($L573&gt;U$4,U$3,ROUND($L573*U$7,0)))</f>
        <v/>
      </c>
      <c r="K573" s="422" t="n"/>
      <c r="L573" s="448">
        <f>ROUND((A573+B573)/2,2)</f>
        <v/>
      </c>
    </row>
    <row r="574" ht="13.5" customHeight="1" s="7635">
      <c r="A574" s="448" t="n">
        <v>28450</v>
      </c>
      <c r="B574" s="447" t="n">
        <v>28500</v>
      </c>
      <c r="C574" s="1378">
        <f>IF($L574&gt;N$5,MAX(0,N$3+ROUND((N$9*($L574-N$5)),0)),IF($L574&gt;N$4,N$3,ROUND($L574*N$7,0)))</f>
        <v/>
      </c>
      <c r="D574" s="448">
        <f>IF($L574&gt;O$5,MAX(0,O$3+ROUND((O$9*($L574-O$5)),0)),IF($L574&gt;O$4,O$3,ROUND($L574*O$7,0)))</f>
        <v/>
      </c>
      <c r="E574" s="448">
        <f>IF($L574&gt;P$5,MAX(0,P$3+ROUND((P$9*($L574-P$5)),0)),IF($L574&gt;P$4,P$3,ROUND($L574*P$7,0)))</f>
        <v/>
      </c>
      <c r="F574" s="447">
        <f>IF($L574&gt;Q$5,MAX(0,Q$3+ROUND((Q$9*($L574-Q$5)),0)),IF($L574&gt;Q$4,Q$3,ROUND($L574*Q$7,0)))</f>
        <v/>
      </c>
      <c r="G574" s="1378">
        <f>IF($L574&gt;R$5,MAX(0,R$3+ROUND((R$9*($L574-R$5)),0)),IF($L574&gt;R$4,R$3,ROUND($L574*R$7,0)))</f>
        <v/>
      </c>
      <c r="H574" s="448">
        <f>IF($L574&gt;S$5,MAX(0,S$3+ROUND((S$9*($L574-S$5)),0)),IF($L574&gt;S$4,S$3,ROUND($L574*S$7,0)))</f>
        <v/>
      </c>
      <c r="I574" s="448">
        <f>IF($L574&gt;T$5,MAX(0,T$3+ROUND((T$9*($L574-T$5)),0)),IF($L574&gt;T$4,T$3,ROUND($L574*T$7,0)))</f>
        <v/>
      </c>
      <c r="J574" s="447">
        <f>IF($L574&gt;U$5,MAX(0,U$3+ROUND((U$9*($L574-U$5)),0)),IF($L574&gt;U$4,U$3,ROUND($L574*U$7,0)))</f>
        <v/>
      </c>
      <c r="K574" s="422" t="n"/>
      <c r="L574" s="448">
        <f>ROUND((A574+B574)/2,2)</f>
        <v/>
      </c>
    </row>
    <row r="575" ht="13.5" customHeight="1" s="7635">
      <c r="A575" s="448" t="n">
        <v>28500</v>
      </c>
      <c r="B575" s="447" t="n">
        <v>28550</v>
      </c>
      <c r="C575" s="1378">
        <f>IF($L575&gt;N$5,MAX(0,N$3+ROUND((N$9*($L575-N$5)),0)),IF($L575&gt;N$4,N$3,ROUND($L575*N$7,0)))</f>
        <v/>
      </c>
      <c r="D575" s="448">
        <f>IF($L575&gt;O$5,MAX(0,O$3+ROUND((O$9*($L575-O$5)),0)),IF($L575&gt;O$4,O$3,ROUND($L575*O$7,0)))</f>
        <v/>
      </c>
      <c r="E575" s="448">
        <f>IF($L575&gt;P$5,MAX(0,P$3+ROUND((P$9*($L575-P$5)),0)),IF($L575&gt;P$4,P$3,ROUND($L575*P$7,0)))</f>
        <v/>
      </c>
      <c r="F575" s="447">
        <f>IF($L575&gt;Q$5,MAX(0,Q$3+ROUND((Q$9*($L575-Q$5)),0)),IF($L575&gt;Q$4,Q$3,ROUND($L575*Q$7,0)))</f>
        <v/>
      </c>
      <c r="G575" s="1378">
        <f>IF($L575&gt;R$5,MAX(0,R$3+ROUND((R$9*($L575-R$5)),0)),IF($L575&gt;R$4,R$3,ROUND($L575*R$7,0)))</f>
        <v/>
      </c>
      <c r="H575" s="448">
        <f>IF($L575&gt;S$5,MAX(0,S$3+ROUND((S$9*($L575-S$5)),0)),IF($L575&gt;S$4,S$3,ROUND($L575*S$7,0)))</f>
        <v/>
      </c>
      <c r="I575" s="448">
        <f>IF($L575&gt;T$5,MAX(0,T$3+ROUND((T$9*($L575-T$5)),0)),IF($L575&gt;T$4,T$3,ROUND($L575*T$7,0)))</f>
        <v/>
      </c>
      <c r="J575" s="447">
        <f>IF($L575&gt;U$5,MAX(0,U$3+ROUND((U$9*($L575-U$5)),0)),IF($L575&gt;U$4,U$3,ROUND($L575*U$7,0)))</f>
        <v/>
      </c>
      <c r="K575" s="422" t="n"/>
      <c r="L575" s="448">
        <f>ROUND((A575+B575)/2,2)</f>
        <v/>
      </c>
    </row>
    <row r="576" ht="13.5" customHeight="1" s="7635">
      <c r="A576" s="448" t="n">
        <v>28550</v>
      </c>
      <c r="B576" s="447" t="n">
        <v>28600</v>
      </c>
      <c r="C576" s="1378">
        <f>IF($L576&gt;N$5,MAX(0,N$3+ROUND((N$9*($L576-N$5)),0)),IF($L576&gt;N$4,N$3,ROUND($L576*N$7,0)))</f>
        <v/>
      </c>
      <c r="D576" s="448">
        <f>IF($L576&gt;O$5,MAX(0,O$3+ROUND((O$9*($L576-O$5)),0)),IF($L576&gt;O$4,O$3,ROUND($L576*O$7,0)))</f>
        <v/>
      </c>
      <c r="E576" s="448">
        <f>IF($L576&gt;P$5,MAX(0,P$3+ROUND((P$9*($L576-P$5)),0)),IF($L576&gt;P$4,P$3,ROUND($L576*P$7,0)))</f>
        <v/>
      </c>
      <c r="F576" s="447">
        <f>IF($L576&gt;Q$5,MAX(0,Q$3+ROUND((Q$9*($L576-Q$5)),0)),IF($L576&gt;Q$4,Q$3,ROUND($L576*Q$7,0)))</f>
        <v/>
      </c>
      <c r="G576" s="1378">
        <f>IF($L576&gt;R$5,MAX(0,R$3+ROUND((R$9*($L576-R$5)),0)),IF($L576&gt;R$4,R$3,ROUND($L576*R$7,0)))</f>
        <v/>
      </c>
      <c r="H576" s="448">
        <f>IF($L576&gt;S$5,MAX(0,S$3+ROUND((S$9*($L576-S$5)),0)),IF($L576&gt;S$4,S$3,ROUND($L576*S$7,0)))</f>
        <v/>
      </c>
      <c r="I576" s="448">
        <f>IF($L576&gt;T$5,MAX(0,T$3+ROUND((T$9*($L576-T$5)),0)),IF($L576&gt;T$4,T$3,ROUND($L576*T$7,0)))</f>
        <v/>
      </c>
      <c r="J576" s="447">
        <f>IF($L576&gt;U$5,MAX(0,U$3+ROUND((U$9*($L576-U$5)),0)),IF($L576&gt;U$4,U$3,ROUND($L576*U$7,0)))</f>
        <v/>
      </c>
      <c r="K576" s="422" t="n"/>
      <c r="L576" s="448">
        <f>ROUND((A576+B576)/2,2)</f>
        <v/>
      </c>
    </row>
    <row r="577" ht="13.5" customHeight="1" s="7635">
      <c r="A577" s="448" t="n">
        <v>28600</v>
      </c>
      <c r="B577" s="447" t="n">
        <v>28650</v>
      </c>
      <c r="C577" s="1378">
        <f>IF($L577&gt;N$5,MAX(0,N$3+ROUND((N$9*($L577-N$5)),0)),IF($L577&gt;N$4,N$3,ROUND($L577*N$7,0)))</f>
        <v/>
      </c>
      <c r="D577" s="448">
        <f>IF($L577&gt;O$5,MAX(0,O$3+ROUND((O$9*($L577-O$5)),0)),IF($L577&gt;O$4,O$3,ROUND($L577*O$7,0)))</f>
        <v/>
      </c>
      <c r="E577" s="448">
        <f>IF($L577&gt;P$5,MAX(0,P$3+ROUND((P$9*($L577-P$5)),0)),IF($L577&gt;P$4,P$3,ROUND($L577*P$7,0)))</f>
        <v/>
      </c>
      <c r="F577" s="447">
        <f>IF($L577&gt;Q$5,MAX(0,Q$3+ROUND((Q$9*($L577-Q$5)),0)),IF($L577&gt;Q$4,Q$3,ROUND($L577*Q$7,0)))</f>
        <v/>
      </c>
      <c r="G577" s="1378">
        <f>IF($L577&gt;R$5,MAX(0,R$3+ROUND((R$9*($L577-R$5)),0)),IF($L577&gt;R$4,R$3,ROUND($L577*R$7,0)))</f>
        <v/>
      </c>
      <c r="H577" s="448">
        <f>IF($L577&gt;S$5,MAX(0,S$3+ROUND((S$9*($L577-S$5)),0)),IF($L577&gt;S$4,S$3,ROUND($L577*S$7,0)))</f>
        <v/>
      </c>
      <c r="I577" s="448">
        <f>IF($L577&gt;T$5,MAX(0,T$3+ROUND((T$9*($L577-T$5)),0)),IF($L577&gt;T$4,T$3,ROUND($L577*T$7,0)))</f>
        <v/>
      </c>
      <c r="J577" s="447">
        <f>IF($L577&gt;U$5,MAX(0,U$3+ROUND((U$9*($L577-U$5)),0)),IF($L577&gt;U$4,U$3,ROUND($L577*U$7,0)))</f>
        <v/>
      </c>
      <c r="K577" s="422" t="n"/>
      <c r="L577" s="448">
        <f>ROUND((A577+B577)/2,2)</f>
        <v/>
      </c>
    </row>
    <row r="578" ht="13.5" customHeight="1" s="7635">
      <c r="A578" s="448" t="n">
        <v>28650</v>
      </c>
      <c r="B578" s="447" t="n">
        <v>28700</v>
      </c>
      <c r="C578" s="1378">
        <f>IF($L578&gt;N$5,MAX(0,N$3+ROUND((N$9*($L578-N$5)),0)),IF($L578&gt;N$4,N$3,ROUND($L578*N$7,0)))</f>
        <v/>
      </c>
      <c r="D578" s="448">
        <f>IF($L578&gt;O$5,MAX(0,O$3+ROUND((O$9*($L578-O$5)),0)),IF($L578&gt;O$4,O$3,ROUND($L578*O$7,0)))</f>
        <v/>
      </c>
      <c r="E578" s="448">
        <f>IF($L578&gt;P$5,MAX(0,P$3+ROUND((P$9*($L578-P$5)),0)),IF($L578&gt;P$4,P$3,ROUND($L578*P$7,0)))</f>
        <v/>
      </c>
      <c r="F578" s="447">
        <f>IF($L578&gt;Q$5,MAX(0,Q$3+ROUND((Q$9*($L578-Q$5)),0)),IF($L578&gt;Q$4,Q$3,ROUND($L578*Q$7,0)))</f>
        <v/>
      </c>
      <c r="G578" s="1378">
        <f>IF($L578&gt;R$5,MAX(0,R$3+ROUND((R$9*($L578-R$5)),0)),IF($L578&gt;R$4,R$3,ROUND($L578*R$7,0)))</f>
        <v/>
      </c>
      <c r="H578" s="448">
        <f>IF($L578&gt;S$5,MAX(0,S$3+ROUND((S$9*($L578-S$5)),0)),IF($L578&gt;S$4,S$3,ROUND($L578*S$7,0)))</f>
        <v/>
      </c>
      <c r="I578" s="448">
        <f>IF($L578&gt;T$5,MAX(0,T$3+ROUND((T$9*($L578-T$5)),0)),IF($L578&gt;T$4,T$3,ROUND($L578*T$7,0)))</f>
        <v/>
      </c>
      <c r="J578" s="447">
        <f>IF($L578&gt;U$5,MAX(0,U$3+ROUND((U$9*($L578-U$5)),0)),IF($L578&gt;U$4,U$3,ROUND($L578*U$7,0)))</f>
        <v/>
      </c>
      <c r="K578" s="422" t="n"/>
      <c r="L578" s="448">
        <f>ROUND((A578+B578)/2,2)</f>
        <v/>
      </c>
    </row>
    <row r="579" ht="13.5" customHeight="1" s="7635">
      <c r="A579" s="448" t="n">
        <v>28700</v>
      </c>
      <c r="B579" s="447" t="n">
        <v>28750</v>
      </c>
      <c r="C579" s="1378">
        <f>IF($L579&gt;N$5,MAX(0,N$3+ROUND((N$9*($L579-N$5)),0)),IF($L579&gt;N$4,N$3,ROUND($L579*N$7,0)))</f>
        <v/>
      </c>
      <c r="D579" s="448">
        <f>IF($L579&gt;O$5,MAX(0,O$3+ROUND((O$9*($L579-O$5)),0)),IF($L579&gt;O$4,O$3,ROUND($L579*O$7,0)))</f>
        <v/>
      </c>
      <c r="E579" s="448">
        <f>IF($L579&gt;P$5,MAX(0,P$3+ROUND((P$9*($L579-P$5)),0)),IF($L579&gt;P$4,P$3,ROUND($L579*P$7,0)))</f>
        <v/>
      </c>
      <c r="F579" s="447">
        <f>IF($L579&gt;Q$5,MAX(0,Q$3+ROUND((Q$9*($L579-Q$5)),0)),IF($L579&gt;Q$4,Q$3,ROUND($L579*Q$7,0)))</f>
        <v/>
      </c>
      <c r="G579" s="1378">
        <f>IF($L579&gt;R$5,MAX(0,R$3+ROUND((R$9*($L579-R$5)),0)),IF($L579&gt;R$4,R$3,ROUND($L579*R$7,0)))</f>
        <v/>
      </c>
      <c r="H579" s="448">
        <f>IF($L579&gt;S$5,MAX(0,S$3+ROUND((S$9*($L579-S$5)),0)),IF($L579&gt;S$4,S$3,ROUND($L579*S$7,0)))</f>
        <v/>
      </c>
      <c r="I579" s="448">
        <f>IF($L579&gt;T$5,MAX(0,T$3+ROUND((T$9*($L579-T$5)),0)),IF($L579&gt;T$4,T$3,ROUND($L579*T$7,0)))</f>
        <v/>
      </c>
      <c r="J579" s="447">
        <f>IF($L579&gt;U$5,MAX(0,U$3+ROUND((U$9*($L579-U$5)),0)),IF($L579&gt;U$4,U$3,ROUND($L579*U$7,0)))</f>
        <v/>
      </c>
      <c r="K579" s="422" t="n"/>
      <c r="L579" s="448">
        <f>ROUND((A579+B579)/2,2)</f>
        <v/>
      </c>
    </row>
    <row r="580" ht="13.5" customHeight="1" s="7635">
      <c r="A580" s="448" t="n">
        <v>28750</v>
      </c>
      <c r="B580" s="447" t="n">
        <v>28800</v>
      </c>
      <c r="C580" s="1378">
        <f>IF($L580&gt;N$5,MAX(0,N$3+ROUND((N$9*($L580-N$5)),0)),IF($L580&gt;N$4,N$3,ROUND($L580*N$7,0)))</f>
        <v/>
      </c>
      <c r="D580" s="448">
        <f>IF($L580&gt;O$5,MAX(0,O$3+ROUND((O$9*($L580-O$5)),0)),IF($L580&gt;O$4,O$3,ROUND($L580*O$7,0)))</f>
        <v/>
      </c>
      <c r="E580" s="448">
        <f>IF($L580&gt;P$5,MAX(0,P$3+ROUND((P$9*($L580-P$5)),0)),IF($L580&gt;P$4,P$3,ROUND($L580*P$7,0)))</f>
        <v/>
      </c>
      <c r="F580" s="447">
        <f>IF($L580&gt;Q$5,MAX(0,Q$3+ROUND((Q$9*($L580-Q$5)),0)),IF($L580&gt;Q$4,Q$3,ROUND($L580*Q$7,0)))</f>
        <v/>
      </c>
      <c r="G580" s="1378">
        <f>IF($L580&gt;R$5,MAX(0,R$3+ROUND((R$9*($L580-R$5)),0)),IF($L580&gt;R$4,R$3,ROUND($L580*R$7,0)))</f>
        <v/>
      </c>
      <c r="H580" s="448">
        <f>IF($L580&gt;S$5,MAX(0,S$3+ROUND((S$9*($L580-S$5)),0)),IF($L580&gt;S$4,S$3,ROUND($L580*S$7,0)))</f>
        <v/>
      </c>
      <c r="I580" s="448">
        <f>IF($L580&gt;T$5,MAX(0,T$3+ROUND((T$9*($L580-T$5)),0)),IF($L580&gt;T$4,T$3,ROUND($L580*T$7,0)))</f>
        <v/>
      </c>
      <c r="J580" s="447">
        <f>IF($L580&gt;U$5,MAX(0,U$3+ROUND((U$9*($L580-U$5)),0)),IF($L580&gt;U$4,U$3,ROUND($L580*U$7,0)))</f>
        <v/>
      </c>
      <c r="K580" s="422" t="n"/>
      <c r="L580" s="448">
        <f>ROUND((A580+B580)/2,2)</f>
        <v/>
      </c>
    </row>
    <row r="581" ht="13.5" customHeight="1" s="7635">
      <c r="A581" s="448" t="n">
        <v>28800</v>
      </c>
      <c r="B581" s="447" t="n">
        <v>28850</v>
      </c>
      <c r="C581" s="1378">
        <f>IF($L581&gt;N$5,MAX(0,N$3+ROUND((N$9*($L581-N$5)),0)),IF($L581&gt;N$4,N$3,ROUND($L581*N$7,0)))</f>
        <v/>
      </c>
      <c r="D581" s="448">
        <f>IF($L581&gt;O$5,MAX(0,O$3+ROUND((O$9*($L581-O$5)),0)),IF($L581&gt;O$4,O$3,ROUND($L581*O$7,0)))</f>
        <v/>
      </c>
      <c r="E581" s="448">
        <f>IF($L581&gt;P$5,MAX(0,P$3+ROUND((P$9*($L581-P$5)),0)),IF($L581&gt;P$4,P$3,ROUND($L581*P$7,0)))</f>
        <v/>
      </c>
      <c r="F581" s="447">
        <f>IF($L581&gt;Q$5,MAX(0,Q$3+ROUND((Q$9*($L581-Q$5)),0)),IF($L581&gt;Q$4,Q$3,ROUND($L581*Q$7,0)))</f>
        <v/>
      </c>
      <c r="G581" s="1378">
        <f>IF($L581&gt;R$5,MAX(0,R$3+ROUND((R$9*($L581-R$5)),0)),IF($L581&gt;R$4,R$3,ROUND($L581*R$7,0)))</f>
        <v/>
      </c>
      <c r="H581" s="448">
        <f>IF($L581&gt;S$5,MAX(0,S$3+ROUND((S$9*($L581-S$5)),0)),IF($L581&gt;S$4,S$3,ROUND($L581*S$7,0)))</f>
        <v/>
      </c>
      <c r="I581" s="448">
        <f>IF($L581&gt;T$5,MAX(0,T$3+ROUND((T$9*($L581-T$5)),0)),IF($L581&gt;T$4,T$3,ROUND($L581*T$7,0)))</f>
        <v/>
      </c>
      <c r="J581" s="447">
        <f>IF($L581&gt;U$5,MAX(0,U$3+ROUND((U$9*($L581-U$5)),0)),IF($L581&gt;U$4,U$3,ROUND($L581*U$7,0)))</f>
        <v/>
      </c>
      <c r="K581" s="422" t="n"/>
      <c r="L581" s="448">
        <f>ROUND((A581+B581)/2,2)</f>
        <v/>
      </c>
    </row>
    <row r="582" ht="13.5" customHeight="1" s="7635">
      <c r="A582" s="448" t="n">
        <v>28850</v>
      </c>
      <c r="B582" s="447" t="n">
        <v>28900</v>
      </c>
      <c r="C582" s="1378">
        <f>IF($L582&gt;N$5,MAX(0,N$3+ROUND((N$9*($L582-N$5)),0)),IF($L582&gt;N$4,N$3,ROUND($L582*N$7,0)))</f>
        <v/>
      </c>
      <c r="D582" s="448">
        <f>IF($L582&gt;O$5,MAX(0,O$3+ROUND((O$9*($L582-O$5)),0)),IF($L582&gt;O$4,O$3,ROUND($L582*O$7,0)))</f>
        <v/>
      </c>
      <c r="E582" s="448">
        <f>IF($L582&gt;P$5,MAX(0,P$3+ROUND((P$9*($L582-P$5)),0)),IF($L582&gt;P$4,P$3,ROUND($L582*P$7,0)))</f>
        <v/>
      </c>
      <c r="F582" s="447">
        <f>IF($L582&gt;Q$5,MAX(0,Q$3+ROUND((Q$9*($L582-Q$5)),0)),IF($L582&gt;Q$4,Q$3,ROUND($L582*Q$7,0)))</f>
        <v/>
      </c>
      <c r="G582" s="1378">
        <f>IF($L582&gt;R$5,MAX(0,R$3+ROUND((R$9*($L582-R$5)),0)),IF($L582&gt;R$4,R$3,ROUND($L582*R$7,0)))</f>
        <v/>
      </c>
      <c r="H582" s="448">
        <f>IF($L582&gt;S$5,MAX(0,S$3+ROUND((S$9*($L582-S$5)),0)),IF($L582&gt;S$4,S$3,ROUND($L582*S$7,0)))</f>
        <v/>
      </c>
      <c r="I582" s="448">
        <f>IF($L582&gt;T$5,MAX(0,T$3+ROUND((T$9*($L582-T$5)),0)),IF($L582&gt;T$4,T$3,ROUND($L582*T$7,0)))</f>
        <v/>
      </c>
      <c r="J582" s="447">
        <f>IF($L582&gt;U$5,MAX(0,U$3+ROUND((U$9*($L582-U$5)),0)),IF($L582&gt;U$4,U$3,ROUND($L582*U$7,0)))</f>
        <v/>
      </c>
      <c r="K582" s="422" t="n"/>
      <c r="L582" s="448">
        <f>ROUND((A582+B582)/2,2)</f>
        <v/>
      </c>
    </row>
    <row r="583" ht="13.5" customHeight="1" s="7635">
      <c r="A583" s="448" t="n">
        <v>28900</v>
      </c>
      <c r="B583" s="447" t="n">
        <v>28950</v>
      </c>
      <c r="C583" s="1378">
        <f>IF($L583&gt;N$5,MAX(0,N$3+ROUND((N$9*($L583-N$5)),0)),IF($L583&gt;N$4,N$3,ROUND($L583*N$7,0)))</f>
        <v/>
      </c>
      <c r="D583" s="448">
        <f>IF($L583&gt;O$5,MAX(0,O$3+ROUND((O$9*($L583-O$5)),0)),IF($L583&gt;O$4,O$3,ROUND($L583*O$7,0)))</f>
        <v/>
      </c>
      <c r="E583" s="448">
        <f>IF($L583&gt;P$5,MAX(0,P$3+ROUND((P$9*($L583-P$5)),0)),IF($L583&gt;P$4,P$3,ROUND($L583*P$7,0)))</f>
        <v/>
      </c>
      <c r="F583" s="447">
        <f>IF($L583&gt;Q$5,MAX(0,Q$3+ROUND((Q$9*($L583-Q$5)),0)),IF($L583&gt;Q$4,Q$3,ROUND($L583*Q$7,0)))</f>
        <v/>
      </c>
      <c r="G583" s="1378">
        <f>IF($L583&gt;R$5,MAX(0,R$3+ROUND((R$9*($L583-R$5)),0)),IF($L583&gt;R$4,R$3,ROUND($L583*R$7,0)))</f>
        <v/>
      </c>
      <c r="H583" s="448">
        <f>IF($L583&gt;S$5,MAX(0,S$3+ROUND((S$9*($L583-S$5)),0)),IF($L583&gt;S$4,S$3,ROUND($L583*S$7,0)))</f>
        <v/>
      </c>
      <c r="I583" s="448">
        <f>IF($L583&gt;T$5,MAX(0,T$3+ROUND((T$9*($L583-T$5)),0)),IF($L583&gt;T$4,T$3,ROUND($L583*T$7,0)))</f>
        <v/>
      </c>
      <c r="J583" s="447">
        <f>IF($L583&gt;U$5,MAX(0,U$3+ROUND((U$9*($L583-U$5)),0)),IF($L583&gt;U$4,U$3,ROUND($L583*U$7,0)))</f>
        <v/>
      </c>
      <c r="K583" s="422" t="n"/>
      <c r="L583" s="448">
        <f>ROUND((A583+B583)/2,2)</f>
        <v/>
      </c>
    </row>
    <row r="584" ht="13.5" customHeight="1" s="7635">
      <c r="A584" s="448" t="n">
        <v>28950</v>
      </c>
      <c r="B584" s="447" t="n">
        <v>29000</v>
      </c>
      <c r="C584" s="1378">
        <f>IF($L584&gt;N$5,MAX(0,N$3+ROUND((N$9*($L584-N$5)),0)),IF($L584&gt;N$4,N$3,ROUND($L584*N$7,0)))</f>
        <v/>
      </c>
      <c r="D584" s="448">
        <f>IF($L584&gt;O$5,MAX(0,O$3+ROUND((O$9*($L584-O$5)),0)),IF($L584&gt;O$4,O$3,ROUND($L584*O$7,0)))</f>
        <v/>
      </c>
      <c r="E584" s="448">
        <f>IF($L584&gt;P$5,MAX(0,P$3+ROUND((P$9*($L584-P$5)),0)),IF($L584&gt;P$4,P$3,ROUND($L584*P$7,0)))</f>
        <v/>
      </c>
      <c r="F584" s="447">
        <f>IF($L584&gt;Q$5,MAX(0,Q$3+ROUND((Q$9*($L584-Q$5)),0)),IF($L584&gt;Q$4,Q$3,ROUND($L584*Q$7,0)))</f>
        <v/>
      </c>
      <c r="G584" s="1378">
        <f>IF($L584&gt;R$5,MAX(0,R$3+ROUND((R$9*($L584-R$5)),0)),IF($L584&gt;R$4,R$3,ROUND($L584*R$7,0)))</f>
        <v/>
      </c>
      <c r="H584" s="448">
        <f>IF($L584&gt;S$5,MAX(0,S$3+ROUND((S$9*($L584-S$5)),0)),IF($L584&gt;S$4,S$3,ROUND($L584*S$7,0)))</f>
        <v/>
      </c>
      <c r="I584" s="448">
        <f>IF($L584&gt;T$5,MAX(0,T$3+ROUND((T$9*($L584-T$5)),0)),IF($L584&gt;T$4,T$3,ROUND($L584*T$7,0)))</f>
        <v/>
      </c>
      <c r="J584" s="447">
        <f>IF($L584&gt;U$5,MAX(0,U$3+ROUND((U$9*($L584-U$5)),0)),IF($L584&gt;U$4,U$3,ROUND($L584*U$7,0)))</f>
        <v/>
      </c>
      <c r="K584" s="422" t="n"/>
      <c r="L584" s="448">
        <f>ROUND((A584+B584)/2,2)</f>
        <v/>
      </c>
    </row>
    <row r="585" ht="13.5" customHeight="1" s="7635">
      <c r="A585" s="448" t="n">
        <v>29000</v>
      </c>
      <c r="B585" s="447" t="n">
        <v>29050</v>
      </c>
      <c r="C585" s="1378">
        <f>IF($L585&gt;N$5,MAX(0,N$3+ROUND((N$9*($L585-N$5)),0)),IF($L585&gt;N$4,N$3,ROUND($L585*N$7,0)))</f>
        <v/>
      </c>
      <c r="D585" s="448">
        <f>IF($L585&gt;O$5,MAX(0,O$3+ROUND((O$9*($L585-O$5)),0)),IF($L585&gt;O$4,O$3,ROUND($L585*O$7,0)))</f>
        <v/>
      </c>
      <c r="E585" s="448">
        <f>IF($L585&gt;P$5,MAX(0,P$3+ROUND((P$9*($L585-P$5)),0)),IF($L585&gt;P$4,P$3,ROUND($L585*P$7,0)))</f>
        <v/>
      </c>
      <c r="F585" s="447">
        <f>IF($L585&gt;Q$5,MAX(0,Q$3+ROUND((Q$9*($L585-Q$5)),0)),IF($L585&gt;Q$4,Q$3,ROUND($L585*Q$7,0)))</f>
        <v/>
      </c>
      <c r="G585" s="1378">
        <f>IF($L585&gt;R$5,MAX(0,R$3+ROUND((R$9*($L585-R$5)),0)),IF($L585&gt;R$4,R$3,ROUND($L585*R$7,0)))</f>
        <v/>
      </c>
      <c r="H585" s="448">
        <f>IF($L585&gt;S$5,MAX(0,S$3+ROUND((S$9*($L585-S$5)),0)),IF($L585&gt;S$4,S$3,ROUND($L585*S$7,0)))</f>
        <v/>
      </c>
      <c r="I585" s="448">
        <f>IF($L585&gt;T$5,MAX(0,T$3+ROUND((T$9*($L585-T$5)),0)),IF($L585&gt;T$4,T$3,ROUND($L585*T$7,0)))</f>
        <v/>
      </c>
      <c r="J585" s="447">
        <f>IF($L585&gt;U$5,MAX(0,U$3+ROUND((U$9*($L585-U$5)),0)),IF($L585&gt;U$4,U$3,ROUND($L585*U$7,0)))</f>
        <v/>
      </c>
      <c r="K585" s="422" t="n"/>
      <c r="L585" s="448">
        <f>ROUND((A585+B585)/2,2)</f>
        <v/>
      </c>
    </row>
    <row r="586" ht="13.5" customHeight="1" s="7635">
      <c r="A586" s="448" t="n">
        <v>29050</v>
      </c>
      <c r="B586" s="447" t="n">
        <v>29100</v>
      </c>
      <c r="C586" s="1378">
        <f>IF($L586&gt;N$5,MAX(0,N$3+ROUND((N$9*($L586-N$5)),0)),IF($L586&gt;N$4,N$3,ROUND($L586*N$7,0)))</f>
        <v/>
      </c>
      <c r="D586" s="448">
        <f>IF($L586&gt;O$5,MAX(0,O$3+ROUND((O$9*($L586-O$5)),0)),IF($L586&gt;O$4,O$3,ROUND($L586*O$7,0)))</f>
        <v/>
      </c>
      <c r="E586" s="448">
        <f>IF($L586&gt;P$5,MAX(0,P$3+ROUND((P$9*($L586-P$5)),0)),IF($L586&gt;P$4,P$3,ROUND($L586*P$7,0)))</f>
        <v/>
      </c>
      <c r="F586" s="447">
        <f>IF($L586&gt;Q$5,MAX(0,Q$3+ROUND((Q$9*($L586-Q$5)),0)),IF($L586&gt;Q$4,Q$3,ROUND($L586*Q$7,0)))</f>
        <v/>
      </c>
      <c r="G586" s="1378">
        <f>IF($L586&gt;R$5,MAX(0,R$3+ROUND((R$9*($L586-R$5)),0)),IF($L586&gt;R$4,R$3,ROUND($L586*R$7,0)))</f>
        <v/>
      </c>
      <c r="H586" s="448">
        <f>IF($L586&gt;S$5,MAX(0,S$3+ROUND((S$9*($L586-S$5)),0)),IF($L586&gt;S$4,S$3,ROUND($L586*S$7,0)))</f>
        <v/>
      </c>
      <c r="I586" s="448">
        <f>IF($L586&gt;T$5,MAX(0,T$3+ROUND((T$9*($L586-T$5)),0)),IF($L586&gt;T$4,T$3,ROUND($L586*T$7,0)))</f>
        <v/>
      </c>
      <c r="J586" s="447">
        <f>IF($L586&gt;U$5,MAX(0,U$3+ROUND((U$9*($L586-U$5)),0)),IF($L586&gt;U$4,U$3,ROUND($L586*U$7,0)))</f>
        <v/>
      </c>
      <c r="K586" s="422" t="n"/>
      <c r="L586" s="448">
        <f>ROUND((A586+B586)/2,2)</f>
        <v/>
      </c>
    </row>
    <row r="587" ht="13.5" customHeight="1" s="7635">
      <c r="A587" s="448" t="n">
        <v>29100</v>
      </c>
      <c r="B587" s="447" t="n">
        <v>29150</v>
      </c>
      <c r="C587" s="1378">
        <f>IF($L587&gt;N$5,MAX(0,N$3+ROUND((N$9*($L587-N$5)),0)),IF($L587&gt;N$4,N$3,ROUND($L587*N$7,0)))</f>
        <v/>
      </c>
      <c r="D587" s="448">
        <f>IF($L587&gt;O$5,MAX(0,O$3+ROUND((O$9*($L587-O$5)),0)),IF($L587&gt;O$4,O$3,ROUND($L587*O$7,0)))</f>
        <v/>
      </c>
      <c r="E587" s="448">
        <f>IF($L587&gt;P$5,MAX(0,P$3+ROUND((P$9*($L587-P$5)),0)),IF($L587&gt;P$4,P$3,ROUND($L587*P$7,0)))</f>
        <v/>
      </c>
      <c r="F587" s="447">
        <f>IF($L587&gt;Q$5,MAX(0,Q$3+ROUND((Q$9*($L587-Q$5)),0)),IF($L587&gt;Q$4,Q$3,ROUND($L587*Q$7,0)))</f>
        <v/>
      </c>
      <c r="G587" s="1378">
        <f>IF($L587&gt;R$5,MAX(0,R$3+ROUND((R$9*($L587-R$5)),0)),IF($L587&gt;R$4,R$3,ROUND($L587*R$7,0)))</f>
        <v/>
      </c>
      <c r="H587" s="448">
        <f>IF($L587&gt;S$5,MAX(0,S$3+ROUND((S$9*($L587-S$5)),0)),IF($L587&gt;S$4,S$3,ROUND($L587*S$7,0)))</f>
        <v/>
      </c>
      <c r="I587" s="448">
        <f>IF($L587&gt;T$5,MAX(0,T$3+ROUND((T$9*($L587-T$5)),0)),IF($L587&gt;T$4,T$3,ROUND($L587*T$7,0)))</f>
        <v/>
      </c>
      <c r="J587" s="447">
        <f>IF($L587&gt;U$5,MAX(0,U$3+ROUND((U$9*($L587-U$5)),0)),IF($L587&gt;U$4,U$3,ROUND($L587*U$7,0)))</f>
        <v/>
      </c>
      <c r="K587" s="422" t="n"/>
      <c r="L587" s="448">
        <f>ROUND((A587+B587)/2,2)</f>
        <v/>
      </c>
    </row>
    <row r="588" ht="13.5" customHeight="1" s="7635">
      <c r="A588" s="448" t="n">
        <v>29150</v>
      </c>
      <c r="B588" s="447" t="n">
        <v>29200</v>
      </c>
      <c r="C588" s="1378">
        <f>IF($L588&gt;N$5,MAX(0,N$3+ROUND((N$9*($L588-N$5)),0)),IF($L588&gt;N$4,N$3,ROUND($L588*N$7,0)))</f>
        <v/>
      </c>
      <c r="D588" s="448">
        <f>IF($L588&gt;O$5,MAX(0,O$3+ROUND((O$9*($L588-O$5)),0)),IF($L588&gt;O$4,O$3,ROUND($L588*O$7,0)))</f>
        <v/>
      </c>
      <c r="E588" s="448">
        <f>IF($L588&gt;P$5,MAX(0,P$3+ROUND((P$9*($L588-P$5)),0)),IF($L588&gt;P$4,P$3,ROUND($L588*P$7,0)))</f>
        <v/>
      </c>
      <c r="F588" s="447">
        <f>IF($L588&gt;Q$5,MAX(0,Q$3+ROUND((Q$9*($L588-Q$5)),0)),IF($L588&gt;Q$4,Q$3,ROUND($L588*Q$7,0)))</f>
        <v/>
      </c>
      <c r="G588" s="1378">
        <f>IF($L588&gt;R$5,MAX(0,R$3+ROUND((R$9*($L588-R$5)),0)),IF($L588&gt;R$4,R$3,ROUND($L588*R$7,0)))</f>
        <v/>
      </c>
      <c r="H588" s="448">
        <f>IF($L588&gt;S$5,MAX(0,S$3+ROUND((S$9*($L588-S$5)),0)),IF($L588&gt;S$4,S$3,ROUND($L588*S$7,0)))</f>
        <v/>
      </c>
      <c r="I588" s="448">
        <f>IF($L588&gt;T$5,MAX(0,T$3+ROUND((T$9*($L588-T$5)),0)),IF($L588&gt;T$4,T$3,ROUND($L588*T$7,0)))</f>
        <v/>
      </c>
      <c r="J588" s="447">
        <f>IF($L588&gt;U$5,MAX(0,U$3+ROUND((U$9*($L588-U$5)),0)),IF($L588&gt;U$4,U$3,ROUND($L588*U$7,0)))</f>
        <v/>
      </c>
      <c r="K588" s="422" t="n"/>
      <c r="L588" s="448">
        <f>ROUND((A588+B588)/2,2)</f>
        <v/>
      </c>
    </row>
    <row r="589" ht="13.5" customHeight="1" s="7635">
      <c r="A589" s="448" t="n">
        <v>29200</v>
      </c>
      <c r="B589" s="447" t="n">
        <v>29250</v>
      </c>
      <c r="C589" s="1378">
        <f>IF($L589&gt;N$5,MAX(0,N$3+ROUND((N$9*($L589-N$5)),0)),IF($L589&gt;N$4,N$3,ROUND($L589*N$7,0)))</f>
        <v/>
      </c>
      <c r="D589" s="448">
        <f>IF($L589&gt;O$5,MAX(0,O$3+ROUND((O$9*($L589-O$5)),0)),IF($L589&gt;O$4,O$3,ROUND($L589*O$7,0)))</f>
        <v/>
      </c>
      <c r="E589" s="448">
        <f>IF($L589&gt;P$5,MAX(0,P$3+ROUND((P$9*($L589-P$5)),0)),IF($L589&gt;P$4,P$3,ROUND($L589*P$7,0)))</f>
        <v/>
      </c>
      <c r="F589" s="447">
        <f>IF($L589&gt;Q$5,MAX(0,Q$3+ROUND((Q$9*($L589-Q$5)),0)),IF($L589&gt;Q$4,Q$3,ROUND($L589*Q$7,0)))</f>
        <v/>
      </c>
      <c r="G589" s="1378">
        <f>IF($L589&gt;R$5,MAX(0,R$3+ROUND((R$9*($L589-R$5)),0)),IF($L589&gt;R$4,R$3,ROUND($L589*R$7,0)))</f>
        <v/>
      </c>
      <c r="H589" s="448">
        <f>IF($L589&gt;S$5,MAX(0,S$3+ROUND((S$9*($L589-S$5)),0)),IF($L589&gt;S$4,S$3,ROUND($L589*S$7,0)))</f>
        <v/>
      </c>
      <c r="I589" s="448">
        <f>IF($L589&gt;T$5,MAX(0,T$3+ROUND((T$9*($L589-T$5)),0)),IF($L589&gt;T$4,T$3,ROUND($L589*T$7,0)))</f>
        <v/>
      </c>
      <c r="J589" s="447">
        <f>IF($L589&gt;U$5,MAX(0,U$3+ROUND((U$9*($L589-U$5)),0)),IF($L589&gt;U$4,U$3,ROUND($L589*U$7,0)))</f>
        <v/>
      </c>
      <c r="K589" s="422" t="n"/>
      <c r="L589" s="448">
        <f>ROUND((A589+B589)/2,2)</f>
        <v/>
      </c>
    </row>
    <row r="590" ht="13.5" customHeight="1" s="7635">
      <c r="A590" s="448" t="n">
        <v>29250</v>
      </c>
      <c r="B590" s="447" t="n">
        <v>29300</v>
      </c>
      <c r="C590" s="1378">
        <f>IF($L590&gt;N$5,MAX(0,N$3+ROUND((N$9*($L590-N$5)),0)),IF($L590&gt;N$4,N$3,ROUND($L590*N$7,0)))</f>
        <v/>
      </c>
      <c r="D590" s="448">
        <f>IF($L590&gt;O$5,MAX(0,O$3+ROUND((O$9*($L590-O$5)),0)),IF($L590&gt;O$4,O$3,ROUND($L590*O$7,0)))</f>
        <v/>
      </c>
      <c r="E590" s="448">
        <f>IF($L590&gt;P$5,MAX(0,P$3+ROUND((P$9*($L590-P$5)),0)),IF($L590&gt;P$4,P$3,ROUND($L590*P$7,0)))</f>
        <v/>
      </c>
      <c r="F590" s="447">
        <f>IF($L590&gt;Q$5,MAX(0,Q$3+ROUND((Q$9*($L590-Q$5)),0)),IF($L590&gt;Q$4,Q$3,ROUND($L590*Q$7,0)))</f>
        <v/>
      </c>
      <c r="G590" s="1378">
        <f>IF($L590&gt;R$5,MAX(0,R$3+ROUND((R$9*($L590-R$5)),0)),IF($L590&gt;R$4,R$3,ROUND($L590*R$7,0)))</f>
        <v/>
      </c>
      <c r="H590" s="448">
        <f>IF($L590&gt;S$5,MAX(0,S$3+ROUND((S$9*($L590-S$5)),0)),IF($L590&gt;S$4,S$3,ROUND($L590*S$7,0)))</f>
        <v/>
      </c>
      <c r="I590" s="448">
        <f>IF($L590&gt;T$5,MAX(0,T$3+ROUND((T$9*($L590-T$5)),0)),IF($L590&gt;T$4,T$3,ROUND($L590*T$7,0)))</f>
        <v/>
      </c>
      <c r="J590" s="447">
        <f>IF($L590&gt;U$5,MAX(0,U$3+ROUND((U$9*($L590-U$5)),0)),IF($L590&gt;U$4,U$3,ROUND($L590*U$7,0)))</f>
        <v/>
      </c>
      <c r="K590" s="422" t="n"/>
      <c r="L590" s="448">
        <f>ROUND((A590+B590)/2,2)</f>
        <v/>
      </c>
    </row>
    <row r="591" ht="13.5" customHeight="1" s="7635">
      <c r="A591" s="448" t="n">
        <v>29300</v>
      </c>
      <c r="B591" s="447" t="n">
        <v>29350</v>
      </c>
      <c r="C591" s="1378">
        <f>IF($L591&gt;N$5,MAX(0,N$3+ROUND((N$9*($L591-N$5)),0)),IF($L591&gt;N$4,N$3,ROUND($L591*N$7,0)))</f>
        <v/>
      </c>
      <c r="D591" s="448">
        <f>IF($L591&gt;O$5,MAX(0,O$3+ROUND((O$9*($L591-O$5)),0)),IF($L591&gt;O$4,O$3,ROUND($L591*O$7,0)))</f>
        <v/>
      </c>
      <c r="E591" s="448">
        <f>IF($L591&gt;P$5,MAX(0,P$3+ROUND((P$9*($L591-P$5)),0)),IF($L591&gt;P$4,P$3,ROUND($L591*P$7,0)))</f>
        <v/>
      </c>
      <c r="F591" s="447">
        <f>IF($L591&gt;Q$5,MAX(0,Q$3+ROUND((Q$9*($L591-Q$5)),0)),IF($L591&gt;Q$4,Q$3,ROUND($L591*Q$7,0)))</f>
        <v/>
      </c>
      <c r="G591" s="1378">
        <f>IF($L591&gt;R$5,MAX(0,R$3+ROUND((R$9*($L591-R$5)),0)),IF($L591&gt;R$4,R$3,ROUND($L591*R$7,0)))</f>
        <v/>
      </c>
      <c r="H591" s="448">
        <f>IF($L591&gt;S$5,MAX(0,S$3+ROUND((S$9*($L591-S$5)),0)),IF($L591&gt;S$4,S$3,ROUND($L591*S$7,0)))</f>
        <v/>
      </c>
      <c r="I591" s="448">
        <f>IF($L591&gt;T$5,MAX(0,T$3+ROUND((T$9*($L591-T$5)),0)),IF($L591&gt;T$4,T$3,ROUND($L591*T$7,0)))</f>
        <v/>
      </c>
      <c r="J591" s="447">
        <f>IF($L591&gt;U$5,MAX(0,U$3+ROUND((U$9*($L591-U$5)),0)),IF($L591&gt;U$4,U$3,ROUND($L591*U$7,0)))</f>
        <v/>
      </c>
      <c r="K591" s="422" t="n"/>
      <c r="L591" s="448">
        <f>ROUND((A591+B591)/2,2)</f>
        <v/>
      </c>
    </row>
    <row r="592" ht="13.5" customHeight="1" s="7635">
      <c r="A592" s="448" t="n">
        <v>29350</v>
      </c>
      <c r="B592" s="447" t="n">
        <v>29400</v>
      </c>
      <c r="C592" s="1378">
        <f>IF($L592&gt;N$5,MAX(0,N$3+ROUND((N$9*($L592-N$5)),0)),IF($L592&gt;N$4,N$3,ROUND($L592*N$7,0)))</f>
        <v/>
      </c>
      <c r="D592" s="448">
        <f>IF($L592&gt;O$5,MAX(0,O$3+ROUND((O$9*($L592-O$5)),0)),IF($L592&gt;O$4,O$3,ROUND($L592*O$7,0)))</f>
        <v/>
      </c>
      <c r="E592" s="448">
        <f>IF($L592&gt;P$5,MAX(0,P$3+ROUND((P$9*($L592-P$5)),0)),IF($L592&gt;P$4,P$3,ROUND($L592*P$7,0)))</f>
        <v/>
      </c>
      <c r="F592" s="447">
        <f>IF($L592&gt;Q$5,MAX(0,Q$3+ROUND((Q$9*($L592-Q$5)),0)),IF($L592&gt;Q$4,Q$3,ROUND($L592*Q$7,0)))</f>
        <v/>
      </c>
      <c r="G592" s="1378">
        <f>IF($L592&gt;R$5,MAX(0,R$3+ROUND((R$9*($L592-R$5)),0)),IF($L592&gt;R$4,R$3,ROUND($L592*R$7,0)))</f>
        <v/>
      </c>
      <c r="H592" s="448">
        <f>IF($L592&gt;S$5,MAX(0,S$3+ROUND((S$9*($L592-S$5)),0)),IF($L592&gt;S$4,S$3,ROUND($L592*S$7,0)))</f>
        <v/>
      </c>
      <c r="I592" s="448">
        <f>IF($L592&gt;T$5,MAX(0,T$3+ROUND((T$9*($L592-T$5)),0)),IF($L592&gt;T$4,T$3,ROUND($L592*T$7,0)))</f>
        <v/>
      </c>
      <c r="J592" s="447">
        <f>IF($L592&gt;U$5,MAX(0,U$3+ROUND((U$9*($L592-U$5)),0)),IF($L592&gt;U$4,U$3,ROUND($L592*U$7,0)))</f>
        <v/>
      </c>
      <c r="K592" s="422" t="n"/>
      <c r="L592" s="448">
        <f>ROUND((A592+B592)/2,2)</f>
        <v/>
      </c>
    </row>
    <row r="593" ht="13.5" customHeight="1" s="7635">
      <c r="A593" s="448" t="n">
        <v>29400</v>
      </c>
      <c r="B593" s="447" t="n">
        <v>29450</v>
      </c>
      <c r="C593" s="1378">
        <f>IF($L593&gt;N$5,MAX(0,N$3+ROUND((N$9*($L593-N$5)),0)),IF($L593&gt;N$4,N$3,ROUND($L593*N$7,0)))</f>
        <v/>
      </c>
      <c r="D593" s="448">
        <f>IF($L593&gt;O$5,MAX(0,O$3+ROUND((O$9*($L593-O$5)),0)),IF($L593&gt;O$4,O$3,ROUND($L593*O$7,0)))</f>
        <v/>
      </c>
      <c r="E593" s="448">
        <f>IF($L593&gt;P$5,MAX(0,P$3+ROUND((P$9*($L593-P$5)),0)),IF($L593&gt;P$4,P$3,ROUND($L593*P$7,0)))</f>
        <v/>
      </c>
      <c r="F593" s="447">
        <f>IF($L593&gt;Q$5,MAX(0,Q$3+ROUND((Q$9*($L593-Q$5)),0)),IF($L593&gt;Q$4,Q$3,ROUND($L593*Q$7,0)))</f>
        <v/>
      </c>
      <c r="G593" s="1378">
        <f>IF($L593&gt;R$5,MAX(0,R$3+ROUND((R$9*($L593-R$5)),0)),IF($L593&gt;R$4,R$3,ROUND($L593*R$7,0)))</f>
        <v/>
      </c>
      <c r="H593" s="448">
        <f>IF($L593&gt;S$5,MAX(0,S$3+ROUND((S$9*($L593-S$5)),0)),IF($L593&gt;S$4,S$3,ROUND($L593*S$7,0)))</f>
        <v/>
      </c>
      <c r="I593" s="448">
        <f>IF($L593&gt;T$5,MAX(0,T$3+ROUND((T$9*($L593-T$5)),0)),IF($L593&gt;T$4,T$3,ROUND($L593*T$7,0)))</f>
        <v/>
      </c>
      <c r="J593" s="447">
        <f>IF($L593&gt;U$5,MAX(0,U$3+ROUND((U$9*($L593-U$5)),0)),IF($L593&gt;U$4,U$3,ROUND($L593*U$7,0)))</f>
        <v/>
      </c>
      <c r="K593" s="422" t="n"/>
      <c r="L593" s="448">
        <f>ROUND((A593+B593)/2,2)</f>
        <v/>
      </c>
    </row>
    <row r="594" ht="13.5" customHeight="1" s="7635">
      <c r="A594" s="448" t="n">
        <v>29450</v>
      </c>
      <c r="B594" s="447" t="n">
        <v>29500</v>
      </c>
      <c r="C594" s="1378">
        <f>IF($L594&gt;N$5,MAX(0,N$3+ROUND((N$9*($L594-N$5)),0)),IF($L594&gt;N$4,N$3,ROUND($L594*N$7,0)))</f>
        <v/>
      </c>
      <c r="D594" s="448">
        <f>IF($L594&gt;O$5,MAX(0,O$3+ROUND((O$9*($L594-O$5)),0)),IF($L594&gt;O$4,O$3,ROUND($L594*O$7,0)))</f>
        <v/>
      </c>
      <c r="E594" s="448">
        <f>IF($L594&gt;P$5,MAX(0,P$3+ROUND((P$9*($L594-P$5)),0)),IF($L594&gt;P$4,P$3,ROUND($L594*P$7,0)))</f>
        <v/>
      </c>
      <c r="F594" s="447">
        <f>IF($L594&gt;Q$5,MAX(0,Q$3+ROUND((Q$9*($L594-Q$5)),0)),IF($L594&gt;Q$4,Q$3,ROUND($L594*Q$7,0)))</f>
        <v/>
      </c>
      <c r="G594" s="1378">
        <f>IF($L594&gt;R$5,MAX(0,R$3+ROUND((R$9*($L594-R$5)),0)),IF($L594&gt;R$4,R$3,ROUND($L594*R$7,0)))</f>
        <v/>
      </c>
      <c r="H594" s="448">
        <f>IF($L594&gt;S$5,MAX(0,S$3+ROUND((S$9*($L594-S$5)),0)),IF($L594&gt;S$4,S$3,ROUND($L594*S$7,0)))</f>
        <v/>
      </c>
      <c r="I594" s="448">
        <f>IF($L594&gt;T$5,MAX(0,T$3+ROUND((T$9*($L594-T$5)),0)),IF($L594&gt;T$4,T$3,ROUND($L594*T$7,0)))</f>
        <v/>
      </c>
      <c r="J594" s="447">
        <f>IF($L594&gt;U$5,MAX(0,U$3+ROUND((U$9*($L594-U$5)),0)),IF($L594&gt;U$4,U$3,ROUND($L594*U$7,0)))</f>
        <v/>
      </c>
      <c r="K594" s="422" t="n"/>
      <c r="L594" s="448">
        <f>ROUND((A594+B594)/2,2)</f>
        <v/>
      </c>
    </row>
    <row r="595" ht="13.5" customHeight="1" s="7635">
      <c r="A595" s="448" t="n">
        <v>29500</v>
      </c>
      <c r="B595" s="447" t="n">
        <v>29550</v>
      </c>
      <c r="C595" s="1378">
        <f>IF($L595&gt;N$5,MAX(0,N$3+ROUND((N$9*($L595-N$5)),0)),IF($L595&gt;N$4,N$3,ROUND($L595*N$7,0)))</f>
        <v/>
      </c>
      <c r="D595" s="448">
        <f>IF($L595&gt;O$5,MAX(0,O$3+ROUND((O$9*($L595-O$5)),0)),IF($L595&gt;O$4,O$3,ROUND($L595*O$7,0)))</f>
        <v/>
      </c>
      <c r="E595" s="448">
        <f>IF($L595&gt;P$5,MAX(0,P$3+ROUND((P$9*($L595-P$5)),0)),IF($L595&gt;P$4,P$3,ROUND($L595*P$7,0)))</f>
        <v/>
      </c>
      <c r="F595" s="447">
        <f>IF($L595&gt;Q$5,MAX(0,Q$3+ROUND((Q$9*($L595-Q$5)),0)),IF($L595&gt;Q$4,Q$3,ROUND($L595*Q$7,0)))</f>
        <v/>
      </c>
      <c r="G595" s="1378">
        <f>IF($L595&gt;R$5,MAX(0,R$3+ROUND((R$9*($L595-R$5)),0)),IF($L595&gt;R$4,R$3,ROUND($L595*R$7,0)))</f>
        <v/>
      </c>
      <c r="H595" s="448">
        <f>IF($L595&gt;S$5,MAX(0,S$3+ROUND((S$9*($L595-S$5)),0)),IF($L595&gt;S$4,S$3,ROUND($L595*S$7,0)))</f>
        <v/>
      </c>
      <c r="I595" s="448">
        <f>IF($L595&gt;T$5,MAX(0,T$3+ROUND((T$9*($L595-T$5)),0)),IF($L595&gt;T$4,T$3,ROUND($L595*T$7,0)))</f>
        <v/>
      </c>
      <c r="J595" s="447">
        <f>IF($L595&gt;U$5,MAX(0,U$3+ROUND((U$9*($L595-U$5)),0)),IF($L595&gt;U$4,U$3,ROUND($L595*U$7,0)))</f>
        <v/>
      </c>
      <c r="K595" s="422" t="n"/>
      <c r="L595" s="448">
        <f>ROUND((A595+B595)/2,2)</f>
        <v/>
      </c>
    </row>
    <row r="596" ht="13.5" customHeight="1" s="7635">
      <c r="A596" s="448" t="n">
        <v>29550</v>
      </c>
      <c r="B596" s="447" t="n">
        <v>29600</v>
      </c>
      <c r="C596" s="1378">
        <f>IF($L596&gt;N$5,MAX(0,N$3+ROUND((N$9*($L596-N$5)),0)),IF($L596&gt;N$4,N$3,ROUND($L596*N$7,0)))</f>
        <v/>
      </c>
      <c r="D596" s="448">
        <f>IF($L596&gt;O$5,MAX(0,O$3+ROUND((O$9*($L596-O$5)),0)),IF($L596&gt;O$4,O$3,ROUND($L596*O$7,0)))</f>
        <v/>
      </c>
      <c r="E596" s="448">
        <f>IF($L596&gt;P$5,MAX(0,P$3+ROUND((P$9*($L596-P$5)),0)),IF($L596&gt;P$4,P$3,ROUND($L596*P$7,0)))</f>
        <v/>
      </c>
      <c r="F596" s="447">
        <f>IF($L596&gt;Q$5,MAX(0,Q$3+ROUND((Q$9*($L596-Q$5)),0)),IF($L596&gt;Q$4,Q$3,ROUND($L596*Q$7,0)))</f>
        <v/>
      </c>
      <c r="G596" s="1378">
        <f>IF($L596&gt;R$5,MAX(0,R$3+ROUND((R$9*($L596-R$5)),0)),IF($L596&gt;R$4,R$3,ROUND($L596*R$7,0)))</f>
        <v/>
      </c>
      <c r="H596" s="448">
        <f>IF($L596&gt;S$5,MAX(0,S$3+ROUND((S$9*($L596-S$5)),0)),IF($L596&gt;S$4,S$3,ROUND($L596*S$7,0)))</f>
        <v/>
      </c>
      <c r="I596" s="448">
        <f>IF($L596&gt;T$5,MAX(0,T$3+ROUND((T$9*($L596-T$5)),0)),IF($L596&gt;T$4,T$3,ROUND($L596*T$7,0)))</f>
        <v/>
      </c>
      <c r="J596" s="447">
        <f>IF($L596&gt;U$5,MAX(0,U$3+ROUND((U$9*($L596-U$5)),0)),IF($L596&gt;U$4,U$3,ROUND($L596*U$7,0)))</f>
        <v/>
      </c>
      <c r="K596" s="422" t="n"/>
      <c r="L596" s="448">
        <f>ROUND((A596+B596)/2,2)</f>
        <v/>
      </c>
    </row>
    <row r="597" ht="13.5" customHeight="1" s="7635">
      <c r="A597" s="448" t="n">
        <v>29600</v>
      </c>
      <c r="B597" s="447" t="n">
        <v>29650</v>
      </c>
      <c r="C597" s="1378">
        <f>IF($L597&gt;N$5,MAX(0,N$3+ROUND((N$9*($L597-N$5)),0)),IF($L597&gt;N$4,N$3,ROUND($L597*N$7,0)))</f>
        <v/>
      </c>
      <c r="D597" s="448">
        <f>IF($L597&gt;O$5,MAX(0,O$3+ROUND((O$9*($L597-O$5)),0)),IF($L597&gt;O$4,O$3,ROUND($L597*O$7,0)))</f>
        <v/>
      </c>
      <c r="E597" s="448">
        <f>IF($L597&gt;P$5,MAX(0,P$3+ROUND((P$9*($L597-P$5)),0)),IF($L597&gt;P$4,P$3,ROUND($L597*P$7,0)))</f>
        <v/>
      </c>
      <c r="F597" s="447">
        <f>IF($L597&gt;Q$5,MAX(0,Q$3+ROUND((Q$9*($L597-Q$5)),0)),IF($L597&gt;Q$4,Q$3,ROUND($L597*Q$7,0)))</f>
        <v/>
      </c>
      <c r="G597" s="1378">
        <f>IF($L597&gt;R$5,MAX(0,R$3+ROUND((R$9*($L597-R$5)),0)),IF($L597&gt;R$4,R$3,ROUND($L597*R$7,0)))</f>
        <v/>
      </c>
      <c r="H597" s="448">
        <f>IF($L597&gt;S$5,MAX(0,S$3+ROUND((S$9*($L597-S$5)),0)),IF($L597&gt;S$4,S$3,ROUND($L597*S$7,0)))</f>
        <v/>
      </c>
      <c r="I597" s="448">
        <f>IF($L597&gt;T$5,MAX(0,T$3+ROUND((T$9*($L597-T$5)),0)),IF($L597&gt;T$4,T$3,ROUND($L597*T$7,0)))</f>
        <v/>
      </c>
      <c r="J597" s="447">
        <f>IF($L597&gt;U$5,MAX(0,U$3+ROUND((U$9*($L597-U$5)),0)),IF($L597&gt;U$4,U$3,ROUND($L597*U$7,0)))</f>
        <v/>
      </c>
      <c r="K597" s="422" t="n"/>
      <c r="L597" s="448">
        <f>ROUND((A597+B597)/2,2)</f>
        <v/>
      </c>
    </row>
    <row r="598" ht="13.5" customHeight="1" s="7635">
      <c r="A598" s="448" t="n">
        <v>29650</v>
      </c>
      <c r="B598" s="447" t="n">
        <v>29700</v>
      </c>
      <c r="C598" s="1378">
        <f>IF($L598&gt;N$5,MAX(0,N$3+ROUND((N$9*($L598-N$5)),0)),IF($L598&gt;N$4,N$3,ROUND($L598*N$7,0)))</f>
        <v/>
      </c>
      <c r="D598" s="448">
        <f>IF($L598&gt;O$5,MAX(0,O$3+ROUND((O$9*($L598-O$5)),0)),IF($L598&gt;O$4,O$3,ROUND($L598*O$7,0)))</f>
        <v/>
      </c>
      <c r="E598" s="448">
        <f>IF($L598&gt;P$5,MAX(0,P$3+ROUND((P$9*($L598-P$5)),0)),IF($L598&gt;P$4,P$3,ROUND($L598*P$7,0)))</f>
        <v/>
      </c>
      <c r="F598" s="447">
        <f>IF($L598&gt;Q$5,MAX(0,Q$3+ROUND((Q$9*($L598-Q$5)),0)),IF($L598&gt;Q$4,Q$3,ROUND($L598*Q$7,0)))</f>
        <v/>
      </c>
      <c r="G598" s="1378">
        <f>IF($L598&gt;R$5,MAX(0,R$3+ROUND((R$9*($L598-R$5)),0)),IF($L598&gt;R$4,R$3,ROUND($L598*R$7,0)))</f>
        <v/>
      </c>
      <c r="H598" s="448">
        <f>IF($L598&gt;S$5,MAX(0,S$3+ROUND((S$9*($L598-S$5)),0)),IF($L598&gt;S$4,S$3,ROUND($L598*S$7,0)))</f>
        <v/>
      </c>
      <c r="I598" s="448">
        <f>IF($L598&gt;T$5,MAX(0,T$3+ROUND((T$9*($L598-T$5)),0)),IF($L598&gt;T$4,T$3,ROUND($L598*T$7,0)))</f>
        <v/>
      </c>
      <c r="J598" s="447">
        <f>IF($L598&gt;U$5,MAX(0,U$3+ROUND((U$9*($L598-U$5)),0)),IF($L598&gt;U$4,U$3,ROUND($L598*U$7,0)))</f>
        <v/>
      </c>
      <c r="K598" s="422" t="n"/>
      <c r="L598" s="448">
        <f>ROUND((A598+B598)/2,2)</f>
        <v/>
      </c>
    </row>
    <row r="599" ht="13.5" customHeight="1" s="7635">
      <c r="A599" s="448" t="n">
        <v>29700</v>
      </c>
      <c r="B599" s="447" t="n">
        <v>29750</v>
      </c>
      <c r="C599" s="1378">
        <f>IF($L599&gt;N$5,MAX(0,N$3+ROUND((N$9*($L599-N$5)),0)),IF($L599&gt;N$4,N$3,ROUND($L599*N$7,0)))</f>
        <v/>
      </c>
      <c r="D599" s="448">
        <f>IF($L599&gt;O$5,MAX(0,O$3+ROUND((O$9*($L599-O$5)),0)),IF($L599&gt;O$4,O$3,ROUND($L599*O$7,0)))</f>
        <v/>
      </c>
      <c r="E599" s="448">
        <f>IF($L599&gt;P$5,MAX(0,P$3+ROUND((P$9*($L599-P$5)),0)),IF($L599&gt;P$4,P$3,ROUND($L599*P$7,0)))</f>
        <v/>
      </c>
      <c r="F599" s="447">
        <f>IF($L599&gt;Q$5,MAX(0,Q$3+ROUND((Q$9*($L599-Q$5)),0)),IF($L599&gt;Q$4,Q$3,ROUND($L599*Q$7,0)))</f>
        <v/>
      </c>
      <c r="G599" s="1378">
        <f>IF($L599&gt;R$5,MAX(0,R$3+ROUND((R$9*($L599-R$5)),0)),IF($L599&gt;R$4,R$3,ROUND($L599*R$7,0)))</f>
        <v/>
      </c>
      <c r="H599" s="448">
        <f>IF($L599&gt;S$5,MAX(0,S$3+ROUND((S$9*($L599-S$5)),0)),IF($L599&gt;S$4,S$3,ROUND($L599*S$7,0)))</f>
        <v/>
      </c>
      <c r="I599" s="448">
        <f>IF($L599&gt;T$5,MAX(0,T$3+ROUND((T$9*($L599-T$5)),0)),IF($L599&gt;T$4,T$3,ROUND($L599*T$7,0)))</f>
        <v/>
      </c>
      <c r="J599" s="447">
        <f>IF($L599&gt;U$5,MAX(0,U$3+ROUND((U$9*($L599-U$5)),0)),IF($L599&gt;U$4,U$3,ROUND($L599*U$7,0)))</f>
        <v/>
      </c>
      <c r="K599" s="422" t="n"/>
      <c r="L599" s="448">
        <f>ROUND((A599+B599)/2,2)</f>
        <v/>
      </c>
    </row>
    <row r="600" ht="13.5" customHeight="1" s="7635">
      <c r="A600" s="448" t="n">
        <v>29750</v>
      </c>
      <c r="B600" s="447" t="n">
        <v>29800</v>
      </c>
      <c r="C600" s="1378">
        <f>IF($L600&gt;N$5,MAX(0,N$3+ROUND((N$9*($L600-N$5)),0)),IF($L600&gt;N$4,N$3,ROUND($L600*N$7,0)))</f>
        <v/>
      </c>
      <c r="D600" s="448">
        <f>IF($L600&gt;O$5,MAX(0,O$3+ROUND((O$9*($L600-O$5)),0)),IF($L600&gt;O$4,O$3,ROUND($L600*O$7,0)))</f>
        <v/>
      </c>
      <c r="E600" s="448">
        <f>IF($L600&gt;P$5,MAX(0,P$3+ROUND((P$9*($L600-P$5)),0)),IF($L600&gt;P$4,P$3,ROUND($L600*P$7,0)))</f>
        <v/>
      </c>
      <c r="F600" s="447">
        <f>IF($L600&gt;Q$5,MAX(0,Q$3+ROUND((Q$9*($L600-Q$5)),0)),IF($L600&gt;Q$4,Q$3,ROUND($L600*Q$7,0)))</f>
        <v/>
      </c>
      <c r="G600" s="1378">
        <f>IF($L600&gt;R$5,MAX(0,R$3+ROUND((R$9*($L600-R$5)),0)),IF($L600&gt;R$4,R$3,ROUND($L600*R$7,0)))</f>
        <v/>
      </c>
      <c r="H600" s="448">
        <f>IF($L600&gt;S$5,MAX(0,S$3+ROUND((S$9*($L600-S$5)),0)),IF($L600&gt;S$4,S$3,ROUND($L600*S$7,0)))</f>
        <v/>
      </c>
      <c r="I600" s="448">
        <f>IF($L600&gt;T$5,MAX(0,T$3+ROUND((T$9*($L600-T$5)),0)),IF($L600&gt;T$4,T$3,ROUND($L600*T$7,0)))</f>
        <v/>
      </c>
      <c r="J600" s="447">
        <f>IF($L600&gt;U$5,MAX(0,U$3+ROUND((U$9*($L600-U$5)),0)),IF($L600&gt;U$4,U$3,ROUND($L600*U$7,0)))</f>
        <v/>
      </c>
      <c r="K600" s="422" t="n"/>
      <c r="L600" s="448">
        <f>ROUND((A600+B600)/2,2)</f>
        <v/>
      </c>
    </row>
    <row r="601" ht="13.5" customHeight="1" s="7635">
      <c r="A601" s="448" t="n">
        <v>29800</v>
      </c>
      <c r="B601" s="447" t="n">
        <v>29850</v>
      </c>
      <c r="C601" s="1378">
        <f>IF($L601&gt;N$5,MAX(0,N$3+ROUND((N$9*($L601-N$5)),0)),IF($L601&gt;N$4,N$3,ROUND($L601*N$7,0)))</f>
        <v/>
      </c>
      <c r="D601" s="448">
        <f>IF($L601&gt;O$5,MAX(0,O$3+ROUND((O$9*($L601-O$5)),0)),IF($L601&gt;O$4,O$3,ROUND($L601*O$7,0)))</f>
        <v/>
      </c>
      <c r="E601" s="448">
        <f>IF($L601&gt;P$5,MAX(0,P$3+ROUND((P$9*($L601-P$5)),0)),IF($L601&gt;P$4,P$3,ROUND($L601*P$7,0)))</f>
        <v/>
      </c>
      <c r="F601" s="447">
        <f>IF($L601&gt;Q$5,MAX(0,Q$3+ROUND((Q$9*($L601-Q$5)),0)),IF($L601&gt;Q$4,Q$3,ROUND($L601*Q$7,0)))</f>
        <v/>
      </c>
      <c r="G601" s="1378">
        <f>IF($L601&gt;R$5,MAX(0,R$3+ROUND((R$9*($L601-R$5)),0)),IF($L601&gt;R$4,R$3,ROUND($L601*R$7,0)))</f>
        <v/>
      </c>
      <c r="H601" s="448">
        <f>IF($L601&gt;S$5,MAX(0,S$3+ROUND((S$9*($L601-S$5)),0)),IF($L601&gt;S$4,S$3,ROUND($L601*S$7,0)))</f>
        <v/>
      </c>
      <c r="I601" s="448">
        <f>IF($L601&gt;T$5,MAX(0,T$3+ROUND((T$9*($L601-T$5)),0)),IF($L601&gt;T$4,T$3,ROUND($L601*T$7,0)))</f>
        <v/>
      </c>
      <c r="J601" s="447">
        <f>IF($L601&gt;U$5,MAX(0,U$3+ROUND((U$9*($L601-U$5)),0)),IF($L601&gt;U$4,U$3,ROUND($L601*U$7,0)))</f>
        <v/>
      </c>
      <c r="K601" s="422" t="n"/>
      <c r="L601" s="448">
        <f>ROUND((A601+B601)/2,2)</f>
        <v/>
      </c>
    </row>
    <row r="602" ht="13.5" customHeight="1" s="7635">
      <c r="A602" s="448" t="n">
        <v>29850</v>
      </c>
      <c r="B602" s="447" t="n">
        <v>29900</v>
      </c>
      <c r="C602" s="1378">
        <f>IF($L602&gt;N$5,MAX(0,N$3+ROUND((N$9*($L602-N$5)),0)),IF($L602&gt;N$4,N$3,ROUND($L602*N$7,0)))</f>
        <v/>
      </c>
      <c r="D602" s="448">
        <f>IF($L602&gt;O$5,MAX(0,O$3+ROUND((O$9*($L602-O$5)),0)),IF($L602&gt;O$4,O$3,ROUND($L602*O$7,0)))</f>
        <v/>
      </c>
      <c r="E602" s="448">
        <f>IF($L602&gt;P$5,MAX(0,P$3+ROUND((P$9*($L602-P$5)),0)),IF($L602&gt;P$4,P$3,ROUND($L602*P$7,0)))</f>
        <v/>
      </c>
      <c r="F602" s="447">
        <f>IF($L602&gt;Q$5,MAX(0,Q$3+ROUND((Q$9*($L602-Q$5)),0)),IF($L602&gt;Q$4,Q$3,ROUND($L602*Q$7,0)))</f>
        <v/>
      </c>
      <c r="G602" s="1378">
        <f>IF($L602&gt;R$5,MAX(0,R$3+ROUND((R$9*($L602-R$5)),0)),IF($L602&gt;R$4,R$3,ROUND($L602*R$7,0)))</f>
        <v/>
      </c>
      <c r="H602" s="448">
        <f>IF($L602&gt;S$5,MAX(0,S$3+ROUND((S$9*($L602-S$5)),0)),IF($L602&gt;S$4,S$3,ROUND($L602*S$7,0)))</f>
        <v/>
      </c>
      <c r="I602" s="448">
        <f>IF($L602&gt;T$5,MAX(0,T$3+ROUND((T$9*($L602-T$5)),0)),IF($L602&gt;T$4,T$3,ROUND($L602*T$7,0)))</f>
        <v/>
      </c>
      <c r="J602" s="447">
        <f>IF($L602&gt;U$5,MAX(0,U$3+ROUND((U$9*($L602-U$5)),0)),IF($L602&gt;U$4,U$3,ROUND($L602*U$7,0)))</f>
        <v/>
      </c>
      <c r="K602" s="422" t="n"/>
      <c r="L602" s="448">
        <f>ROUND((A602+B602)/2,2)</f>
        <v/>
      </c>
    </row>
    <row r="603" ht="13.5" customHeight="1" s="7635">
      <c r="A603" s="448" t="n">
        <v>29900</v>
      </c>
      <c r="B603" s="447" t="n">
        <v>29950</v>
      </c>
      <c r="C603" s="1378">
        <f>IF($L603&gt;N$5,MAX(0,N$3+ROUND((N$9*($L603-N$5)),0)),IF($L603&gt;N$4,N$3,ROUND($L603*N$7,0)))</f>
        <v/>
      </c>
      <c r="D603" s="448">
        <f>IF($L603&gt;O$5,MAX(0,O$3+ROUND((O$9*($L603-O$5)),0)),IF($L603&gt;O$4,O$3,ROUND($L603*O$7,0)))</f>
        <v/>
      </c>
      <c r="E603" s="448">
        <f>IF($L603&gt;P$5,MAX(0,P$3+ROUND((P$9*($L603-P$5)),0)),IF($L603&gt;P$4,P$3,ROUND($L603*P$7,0)))</f>
        <v/>
      </c>
      <c r="F603" s="447">
        <f>IF($L603&gt;Q$5,MAX(0,Q$3+ROUND((Q$9*($L603-Q$5)),0)),IF($L603&gt;Q$4,Q$3,ROUND($L603*Q$7,0)))</f>
        <v/>
      </c>
      <c r="G603" s="1378">
        <f>IF($L603&gt;R$5,MAX(0,R$3+ROUND((R$9*($L603-R$5)),0)),IF($L603&gt;R$4,R$3,ROUND($L603*R$7,0)))</f>
        <v/>
      </c>
      <c r="H603" s="448">
        <f>IF($L603&gt;S$5,MAX(0,S$3+ROUND((S$9*($L603-S$5)),0)),IF($L603&gt;S$4,S$3,ROUND($L603*S$7,0)))</f>
        <v/>
      </c>
      <c r="I603" s="448">
        <f>IF($L603&gt;T$5,MAX(0,T$3+ROUND((T$9*($L603-T$5)),0)),IF($L603&gt;T$4,T$3,ROUND($L603*T$7,0)))</f>
        <v/>
      </c>
      <c r="J603" s="447">
        <f>IF($L603&gt;U$5,MAX(0,U$3+ROUND((U$9*($L603-U$5)),0)),IF($L603&gt;U$4,U$3,ROUND($L603*U$7,0)))</f>
        <v/>
      </c>
      <c r="K603" s="422" t="n"/>
      <c r="L603" s="448">
        <f>ROUND((A603+B603)/2,2)</f>
        <v/>
      </c>
    </row>
    <row r="604" ht="13.5" customHeight="1" s="7635">
      <c r="A604" s="448" t="n">
        <v>29950</v>
      </c>
      <c r="B604" s="447" t="n">
        <v>30000</v>
      </c>
      <c r="C604" s="1378">
        <f>IF($L604&gt;N$5,MAX(0,N$3+ROUND((N$9*($L604-N$5)),0)),IF($L604&gt;N$4,N$3,ROUND($L604*N$7,0)))</f>
        <v/>
      </c>
      <c r="D604" s="448">
        <f>IF($L604&gt;O$5,MAX(0,O$3+ROUND((O$9*($L604-O$5)),0)),IF($L604&gt;O$4,O$3,ROUND($L604*O$7,0)))</f>
        <v/>
      </c>
      <c r="E604" s="448">
        <f>IF($L604&gt;P$5,MAX(0,P$3+ROUND((P$9*($L604-P$5)),0)),IF($L604&gt;P$4,P$3,ROUND($L604*P$7,0)))</f>
        <v/>
      </c>
      <c r="F604" s="447">
        <f>IF($L604&gt;Q$5,MAX(0,Q$3+ROUND((Q$9*($L604-Q$5)),0)),IF($L604&gt;Q$4,Q$3,ROUND($L604*Q$7,0)))</f>
        <v/>
      </c>
      <c r="G604" s="1378">
        <f>IF($L604&gt;R$5,MAX(0,R$3+ROUND((R$9*($L604-R$5)),0)),IF($L604&gt;R$4,R$3,ROUND($L604*R$7,0)))</f>
        <v/>
      </c>
      <c r="H604" s="448">
        <f>IF($L604&gt;S$5,MAX(0,S$3+ROUND((S$9*($L604-S$5)),0)),IF($L604&gt;S$4,S$3,ROUND($L604*S$7,0)))</f>
        <v/>
      </c>
      <c r="I604" s="448">
        <f>IF($L604&gt;T$5,MAX(0,T$3+ROUND((T$9*($L604-T$5)),0)),IF($L604&gt;T$4,T$3,ROUND($L604*T$7,0)))</f>
        <v/>
      </c>
      <c r="J604" s="447">
        <f>IF($L604&gt;U$5,MAX(0,U$3+ROUND((U$9*($L604-U$5)),0)),IF($L604&gt;U$4,U$3,ROUND($L604*U$7,0)))</f>
        <v/>
      </c>
      <c r="K604" s="422" t="n"/>
      <c r="L604" s="448">
        <f>ROUND((A604+B604)/2,2)</f>
        <v/>
      </c>
    </row>
    <row r="605" ht="13.5" customHeight="1" s="7635">
      <c r="A605" s="448" t="n">
        <v>30000</v>
      </c>
      <c r="B605" s="447" t="n">
        <v>30050</v>
      </c>
      <c r="C605" s="1378">
        <f>IF($L605&gt;N$5,MAX(0,N$3+ROUND((N$9*($L605-N$5)),0)),IF($L605&gt;N$4,N$3,ROUND($L605*N$7,0)))</f>
        <v/>
      </c>
      <c r="D605" s="448">
        <f>IF($L605&gt;O$5,MAX(0,O$3+ROUND((O$9*($L605-O$5)),0)),IF($L605&gt;O$4,O$3,ROUND($L605*O$7,0)))</f>
        <v/>
      </c>
      <c r="E605" s="448">
        <f>IF($L605&gt;P$5,MAX(0,P$3+ROUND((P$9*($L605-P$5)),0)),IF($L605&gt;P$4,P$3,ROUND($L605*P$7,0)))</f>
        <v/>
      </c>
      <c r="F605" s="447">
        <f>IF($L605&gt;Q$5,MAX(0,Q$3+ROUND((Q$9*($L605-Q$5)),0)),IF($L605&gt;Q$4,Q$3,ROUND($L605*Q$7,0)))</f>
        <v/>
      </c>
      <c r="G605" s="1378">
        <f>IF($L605&gt;R$5,MAX(0,R$3+ROUND((R$9*($L605-R$5)),0)),IF($L605&gt;R$4,R$3,ROUND($L605*R$7,0)))</f>
        <v/>
      </c>
      <c r="H605" s="448">
        <f>IF($L605&gt;S$5,MAX(0,S$3+ROUND((S$9*($L605-S$5)),0)),IF($L605&gt;S$4,S$3,ROUND($L605*S$7,0)))</f>
        <v/>
      </c>
      <c r="I605" s="448">
        <f>IF($L605&gt;T$5,MAX(0,T$3+ROUND((T$9*($L605-T$5)),0)),IF($L605&gt;T$4,T$3,ROUND($L605*T$7,0)))</f>
        <v/>
      </c>
      <c r="J605" s="447">
        <f>IF($L605&gt;U$5,MAX(0,U$3+ROUND((U$9*($L605-U$5)),0)),IF($L605&gt;U$4,U$3,ROUND($L605*U$7,0)))</f>
        <v/>
      </c>
      <c r="K605" s="422" t="n"/>
      <c r="L605" s="448">
        <f>ROUND((A605+B605)/2,2)</f>
        <v/>
      </c>
    </row>
    <row r="606" ht="13.5" customHeight="1" s="7635">
      <c r="A606" s="448" t="n">
        <v>30050</v>
      </c>
      <c r="B606" s="447" t="n">
        <v>30100</v>
      </c>
      <c r="C606" s="1378">
        <f>IF($L606&gt;N$5,MAX(0,N$3+ROUND((N$9*($L606-N$5)),0)),IF($L606&gt;N$4,N$3,ROUND($L606*N$7,0)))</f>
        <v/>
      </c>
      <c r="D606" s="448">
        <f>IF($L606&gt;O$5,MAX(0,O$3+ROUND((O$9*($L606-O$5)),0)),IF($L606&gt;O$4,O$3,ROUND($L606*O$7,0)))</f>
        <v/>
      </c>
      <c r="E606" s="448">
        <f>IF($L606&gt;P$5,MAX(0,P$3+ROUND((P$9*($L606-P$5)),0)),IF($L606&gt;P$4,P$3,ROUND($L606*P$7,0)))</f>
        <v/>
      </c>
      <c r="F606" s="447">
        <f>IF($L606&gt;Q$5,MAX(0,Q$3+ROUND((Q$9*($L606-Q$5)),0)),IF($L606&gt;Q$4,Q$3,ROUND($L606*Q$7,0)))</f>
        <v/>
      </c>
      <c r="G606" s="1378">
        <f>IF($L606&gt;R$5,MAX(0,R$3+ROUND((R$9*($L606-R$5)),0)),IF($L606&gt;R$4,R$3,ROUND($L606*R$7,0)))</f>
        <v/>
      </c>
      <c r="H606" s="448">
        <f>IF($L606&gt;S$5,MAX(0,S$3+ROUND((S$9*($L606-S$5)),0)),IF($L606&gt;S$4,S$3,ROUND($L606*S$7,0)))</f>
        <v/>
      </c>
      <c r="I606" s="448">
        <f>IF($L606&gt;T$5,MAX(0,T$3+ROUND((T$9*($L606-T$5)),0)),IF($L606&gt;T$4,T$3,ROUND($L606*T$7,0)))</f>
        <v/>
      </c>
      <c r="J606" s="447">
        <f>IF($L606&gt;U$5,MAX(0,U$3+ROUND((U$9*($L606-U$5)),0)),IF($L606&gt;U$4,U$3,ROUND($L606*U$7,0)))</f>
        <v/>
      </c>
      <c r="K606" s="422" t="n"/>
      <c r="L606" s="448">
        <f>ROUND((A606+B606)/2,2)</f>
        <v/>
      </c>
    </row>
    <row r="607" ht="13.5" customHeight="1" s="7635">
      <c r="A607" s="448" t="n">
        <v>30100</v>
      </c>
      <c r="B607" s="447" t="n">
        <v>30150</v>
      </c>
      <c r="C607" s="1378">
        <f>IF($L607&gt;N$5,MAX(0,N$3+ROUND((N$9*($L607-N$5)),0)),IF($L607&gt;N$4,N$3,ROUND($L607*N$7,0)))</f>
        <v/>
      </c>
      <c r="D607" s="448">
        <f>IF($L607&gt;O$5,MAX(0,O$3+ROUND((O$9*($L607-O$5)),0)),IF($L607&gt;O$4,O$3,ROUND($L607*O$7,0)))</f>
        <v/>
      </c>
      <c r="E607" s="448">
        <f>IF($L607&gt;P$5,MAX(0,P$3+ROUND((P$9*($L607-P$5)),0)),IF($L607&gt;P$4,P$3,ROUND($L607*P$7,0)))</f>
        <v/>
      </c>
      <c r="F607" s="447">
        <f>IF($L607&gt;Q$5,MAX(0,Q$3+ROUND((Q$9*($L607-Q$5)),0)),IF($L607&gt;Q$4,Q$3,ROUND($L607*Q$7,0)))</f>
        <v/>
      </c>
      <c r="G607" s="1378">
        <f>IF($L607&gt;R$5,MAX(0,R$3+ROUND((R$9*($L607-R$5)),0)),IF($L607&gt;R$4,R$3,ROUND($L607*R$7,0)))</f>
        <v/>
      </c>
      <c r="H607" s="448">
        <f>IF($L607&gt;S$5,MAX(0,S$3+ROUND((S$9*($L607-S$5)),0)),IF($L607&gt;S$4,S$3,ROUND($L607*S$7,0)))</f>
        <v/>
      </c>
      <c r="I607" s="448">
        <f>IF($L607&gt;T$5,MAX(0,T$3+ROUND((T$9*($L607-T$5)),0)),IF($L607&gt;T$4,T$3,ROUND($L607*T$7,0)))</f>
        <v/>
      </c>
      <c r="J607" s="447">
        <f>IF($L607&gt;U$5,MAX(0,U$3+ROUND((U$9*($L607-U$5)),0)),IF($L607&gt;U$4,U$3,ROUND($L607*U$7,0)))</f>
        <v/>
      </c>
      <c r="K607" s="422" t="n"/>
      <c r="L607" s="448">
        <f>ROUND((A607+B607)/2,2)</f>
        <v/>
      </c>
    </row>
    <row r="608" ht="13.5" customHeight="1" s="7635">
      <c r="A608" s="448" t="n">
        <v>30150</v>
      </c>
      <c r="B608" s="447" t="n">
        <v>30200</v>
      </c>
      <c r="C608" s="1378">
        <f>IF($L608&gt;N$5,MAX(0,N$3+ROUND((N$9*($L608-N$5)),0)),IF($L608&gt;N$4,N$3,ROUND($L608*N$7,0)))</f>
        <v/>
      </c>
      <c r="D608" s="448">
        <f>IF($L608&gt;O$5,MAX(0,O$3+ROUND((O$9*($L608-O$5)),0)),IF($L608&gt;O$4,O$3,ROUND($L608*O$7,0)))</f>
        <v/>
      </c>
      <c r="E608" s="448">
        <f>IF($L608&gt;P$5,MAX(0,P$3+ROUND((P$9*($L608-P$5)),0)),IF($L608&gt;P$4,P$3,ROUND($L608*P$7,0)))</f>
        <v/>
      </c>
      <c r="F608" s="447">
        <f>IF($L608&gt;Q$5,MAX(0,Q$3+ROUND((Q$9*($L608-Q$5)),0)),IF($L608&gt;Q$4,Q$3,ROUND($L608*Q$7,0)))</f>
        <v/>
      </c>
      <c r="G608" s="1378">
        <f>IF($L608&gt;R$5,MAX(0,R$3+ROUND((R$9*($L608-R$5)),0)),IF($L608&gt;R$4,R$3,ROUND($L608*R$7,0)))</f>
        <v/>
      </c>
      <c r="H608" s="448">
        <f>IF($L608&gt;S$5,MAX(0,S$3+ROUND((S$9*($L608-S$5)),0)),IF($L608&gt;S$4,S$3,ROUND($L608*S$7,0)))</f>
        <v/>
      </c>
      <c r="I608" s="448">
        <f>IF($L608&gt;T$5,MAX(0,T$3+ROUND((T$9*($L608-T$5)),0)),IF($L608&gt;T$4,T$3,ROUND($L608*T$7,0)))</f>
        <v/>
      </c>
      <c r="J608" s="447">
        <f>IF($L608&gt;U$5,MAX(0,U$3+ROUND((U$9*($L608-U$5)),0)),IF($L608&gt;U$4,U$3,ROUND($L608*U$7,0)))</f>
        <v/>
      </c>
      <c r="K608" s="422" t="n"/>
      <c r="L608" s="448">
        <f>ROUND((A608+B608)/2,2)</f>
        <v/>
      </c>
    </row>
    <row r="609" ht="13.5" customHeight="1" s="7635">
      <c r="A609" s="448" t="n">
        <v>30200</v>
      </c>
      <c r="B609" s="447" t="n">
        <v>30250</v>
      </c>
      <c r="C609" s="1378">
        <f>IF($L609&gt;N$5,MAX(0,N$3+ROUND((N$9*($L609-N$5)),0)),IF($L609&gt;N$4,N$3,ROUND($L609*N$7,0)))</f>
        <v/>
      </c>
      <c r="D609" s="448">
        <f>IF($L609&gt;O$5,MAX(0,O$3+ROUND((O$9*($L609-O$5)),0)),IF($L609&gt;O$4,O$3,ROUND($L609*O$7,0)))</f>
        <v/>
      </c>
      <c r="E609" s="448">
        <f>IF($L609&gt;P$5,MAX(0,P$3+ROUND((P$9*($L609-P$5)),0)),IF($L609&gt;P$4,P$3,ROUND($L609*P$7,0)))</f>
        <v/>
      </c>
      <c r="F609" s="447">
        <f>IF($L609&gt;Q$5,MAX(0,Q$3+ROUND((Q$9*($L609-Q$5)),0)),IF($L609&gt;Q$4,Q$3,ROUND($L609*Q$7,0)))</f>
        <v/>
      </c>
      <c r="G609" s="1378">
        <f>IF($L609&gt;R$5,MAX(0,R$3+ROUND((R$9*($L609-R$5)),0)),IF($L609&gt;R$4,R$3,ROUND($L609*R$7,0)))</f>
        <v/>
      </c>
      <c r="H609" s="448">
        <f>IF($L609&gt;S$5,MAX(0,S$3+ROUND((S$9*($L609-S$5)),0)),IF($L609&gt;S$4,S$3,ROUND($L609*S$7,0)))</f>
        <v/>
      </c>
      <c r="I609" s="448">
        <f>IF($L609&gt;T$5,MAX(0,T$3+ROUND((T$9*($L609-T$5)),0)),IF($L609&gt;T$4,T$3,ROUND($L609*T$7,0)))</f>
        <v/>
      </c>
      <c r="J609" s="447">
        <f>IF($L609&gt;U$5,MAX(0,U$3+ROUND((U$9*($L609-U$5)),0)),IF($L609&gt;U$4,U$3,ROUND($L609*U$7,0)))</f>
        <v/>
      </c>
      <c r="K609" s="422" t="n"/>
      <c r="L609" s="448">
        <f>ROUND((A609+B609)/2,2)</f>
        <v/>
      </c>
    </row>
    <row r="610" ht="13.5" customHeight="1" s="7635">
      <c r="A610" s="448" t="n">
        <v>30250</v>
      </c>
      <c r="B610" s="447" t="n">
        <v>30300</v>
      </c>
      <c r="C610" s="1378">
        <f>IF($L610&gt;N$5,MAX(0,N$3+ROUND((N$9*($L610-N$5)),0)),IF($L610&gt;N$4,N$3,ROUND($L610*N$7,0)))</f>
        <v/>
      </c>
      <c r="D610" s="448">
        <f>IF($L610&gt;O$5,MAX(0,O$3+ROUND((O$9*($L610-O$5)),0)),IF($L610&gt;O$4,O$3,ROUND($L610*O$7,0)))</f>
        <v/>
      </c>
      <c r="E610" s="448">
        <f>IF($L610&gt;P$5,MAX(0,P$3+ROUND((P$9*($L610-P$5)),0)),IF($L610&gt;P$4,P$3,ROUND($L610*P$7,0)))</f>
        <v/>
      </c>
      <c r="F610" s="447">
        <f>IF($L610&gt;Q$5,MAX(0,Q$3+ROUND((Q$9*($L610-Q$5)),0)),IF($L610&gt;Q$4,Q$3,ROUND($L610*Q$7,0)))</f>
        <v/>
      </c>
      <c r="G610" s="1378">
        <f>IF($L610&gt;R$5,MAX(0,R$3+ROUND((R$9*($L610-R$5)),0)),IF($L610&gt;R$4,R$3,ROUND($L610*R$7,0)))</f>
        <v/>
      </c>
      <c r="H610" s="448">
        <f>IF($L610&gt;S$5,MAX(0,S$3+ROUND((S$9*($L610-S$5)),0)),IF($L610&gt;S$4,S$3,ROUND($L610*S$7,0)))</f>
        <v/>
      </c>
      <c r="I610" s="448">
        <f>IF($L610&gt;T$5,MAX(0,T$3+ROUND((T$9*($L610-T$5)),0)),IF($L610&gt;T$4,T$3,ROUND($L610*T$7,0)))</f>
        <v/>
      </c>
      <c r="J610" s="447">
        <f>IF($L610&gt;U$5,MAX(0,U$3+ROUND((U$9*($L610-U$5)),0)),IF($L610&gt;U$4,U$3,ROUND($L610*U$7,0)))</f>
        <v/>
      </c>
      <c r="K610" s="422" t="n"/>
      <c r="L610" s="448">
        <f>ROUND((A610+B610)/2,2)</f>
        <v/>
      </c>
    </row>
    <row r="611" ht="13.5" customHeight="1" s="7635">
      <c r="A611" s="448" t="n">
        <v>30300</v>
      </c>
      <c r="B611" s="447" t="n">
        <v>30350</v>
      </c>
      <c r="C611" s="1378">
        <f>IF($L611&gt;N$5,MAX(0,N$3+ROUND((N$9*($L611-N$5)),0)),IF($L611&gt;N$4,N$3,ROUND($L611*N$7,0)))</f>
        <v/>
      </c>
      <c r="D611" s="448">
        <f>IF($L611&gt;O$5,MAX(0,O$3+ROUND((O$9*($L611-O$5)),0)),IF($L611&gt;O$4,O$3,ROUND($L611*O$7,0)))</f>
        <v/>
      </c>
      <c r="E611" s="448">
        <f>IF($L611&gt;P$5,MAX(0,P$3+ROUND((P$9*($L611-P$5)),0)),IF($L611&gt;P$4,P$3,ROUND($L611*P$7,0)))</f>
        <v/>
      </c>
      <c r="F611" s="447">
        <f>IF($L611&gt;Q$5,MAX(0,Q$3+ROUND((Q$9*($L611-Q$5)),0)),IF($L611&gt;Q$4,Q$3,ROUND($L611*Q$7,0)))</f>
        <v/>
      </c>
      <c r="G611" s="1378">
        <f>IF($L611&gt;R$5,MAX(0,R$3+ROUND((R$9*($L611-R$5)),0)),IF($L611&gt;R$4,R$3,ROUND($L611*R$7,0)))</f>
        <v/>
      </c>
      <c r="H611" s="448">
        <f>IF($L611&gt;S$5,MAX(0,S$3+ROUND((S$9*($L611-S$5)),0)),IF($L611&gt;S$4,S$3,ROUND($L611*S$7,0)))</f>
        <v/>
      </c>
      <c r="I611" s="448">
        <f>IF($L611&gt;T$5,MAX(0,T$3+ROUND((T$9*($L611-T$5)),0)),IF($L611&gt;T$4,T$3,ROUND($L611*T$7,0)))</f>
        <v/>
      </c>
      <c r="J611" s="447">
        <f>IF($L611&gt;U$5,MAX(0,U$3+ROUND((U$9*($L611-U$5)),0)),IF($L611&gt;U$4,U$3,ROUND($L611*U$7,0)))</f>
        <v/>
      </c>
      <c r="K611" s="422" t="n"/>
      <c r="L611" s="448">
        <f>ROUND((A611+B611)/2,2)</f>
        <v/>
      </c>
    </row>
    <row r="612" ht="13.5" customHeight="1" s="7635">
      <c r="A612" s="448" t="n">
        <v>30350</v>
      </c>
      <c r="B612" s="447" t="n">
        <v>30400</v>
      </c>
      <c r="C612" s="1378">
        <f>IF($L612&gt;N$5,MAX(0,N$3+ROUND((N$9*($L612-N$5)),0)),IF($L612&gt;N$4,N$3,ROUND($L612*N$7,0)))</f>
        <v/>
      </c>
      <c r="D612" s="448">
        <f>IF($L612&gt;O$5,MAX(0,O$3+ROUND((O$9*($L612-O$5)),0)),IF($L612&gt;O$4,O$3,ROUND($L612*O$7,0)))</f>
        <v/>
      </c>
      <c r="E612" s="448">
        <f>IF($L612&gt;P$5,MAX(0,P$3+ROUND((P$9*($L612-P$5)),0)),IF($L612&gt;P$4,P$3,ROUND($L612*P$7,0)))</f>
        <v/>
      </c>
      <c r="F612" s="447">
        <f>IF($L612&gt;Q$5,MAX(0,Q$3+ROUND((Q$9*($L612-Q$5)),0)),IF($L612&gt;Q$4,Q$3,ROUND($L612*Q$7,0)))</f>
        <v/>
      </c>
      <c r="G612" s="1378">
        <f>IF($L612&gt;R$5,MAX(0,R$3+ROUND((R$9*($L612-R$5)),0)),IF($L612&gt;R$4,R$3,ROUND($L612*R$7,0)))</f>
        <v/>
      </c>
      <c r="H612" s="448">
        <f>IF($L612&gt;S$5,MAX(0,S$3+ROUND((S$9*($L612-S$5)),0)),IF($L612&gt;S$4,S$3,ROUND($L612*S$7,0)))</f>
        <v/>
      </c>
      <c r="I612" s="448">
        <f>IF($L612&gt;T$5,MAX(0,T$3+ROUND((T$9*($L612-T$5)),0)),IF($L612&gt;T$4,T$3,ROUND($L612*T$7,0)))</f>
        <v/>
      </c>
      <c r="J612" s="447">
        <f>IF($L612&gt;U$5,MAX(0,U$3+ROUND((U$9*($L612-U$5)),0)),IF($L612&gt;U$4,U$3,ROUND($L612*U$7,0)))</f>
        <v/>
      </c>
      <c r="K612" s="422" t="n"/>
      <c r="L612" s="448">
        <f>ROUND((A612+B612)/2,2)</f>
        <v/>
      </c>
    </row>
    <row r="613" ht="13.5" customHeight="1" s="7635">
      <c r="A613" s="448" t="n">
        <v>30400</v>
      </c>
      <c r="B613" s="447" t="n">
        <v>30450</v>
      </c>
      <c r="C613" s="1378">
        <f>IF($L613&gt;N$5,MAX(0,N$3+ROUND((N$9*($L613-N$5)),0)),IF($L613&gt;N$4,N$3,ROUND($L613*N$7,0)))</f>
        <v/>
      </c>
      <c r="D613" s="448">
        <f>IF($L613&gt;O$5,MAX(0,O$3+ROUND((O$9*($L613-O$5)),0)),IF($L613&gt;O$4,O$3,ROUND($L613*O$7,0)))</f>
        <v/>
      </c>
      <c r="E613" s="448">
        <f>IF($L613&gt;P$5,MAX(0,P$3+ROUND((P$9*($L613-P$5)),0)),IF($L613&gt;P$4,P$3,ROUND($L613*P$7,0)))</f>
        <v/>
      </c>
      <c r="F613" s="447">
        <f>IF($L613&gt;Q$5,MAX(0,Q$3+ROUND((Q$9*($L613-Q$5)),0)),IF($L613&gt;Q$4,Q$3,ROUND($L613*Q$7,0)))</f>
        <v/>
      </c>
      <c r="G613" s="1378">
        <f>IF($L613&gt;R$5,MAX(0,R$3+ROUND((R$9*($L613-R$5)),0)),IF($L613&gt;R$4,R$3,ROUND($L613*R$7,0)))</f>
        <v/>
      </c>
      <c r="H613" s="448">
        <f>IF($L613&gt;S$5,MAX(0,S$3+ROUND((S$9*($L613-S$5)),0)),IF($L613&gt;S$4,S$3,ROUND($L613*S$7,0)))</f>
        <v/>
      </c>
      <c r="I613" s="448">
        <f>IF($L613&gt;T$5,MAX(0,T$3+ROUND((T$9*($L613-T$5)),0)),IF($L613&gt;T$4,T$3,ROUND($L613*T$7,0)))</f>
        <v/>
      </c>
      <c r="J613" s="447">
        <f>IF($L613&gt;U$5,MAX(0,U$3+ROUND((U$9*($L613-U$5)),0)),IF($L613&gt;U$4,U$3,ROUND($L613*U$7,0)))</f>
        <v/>
      </c>
      <c r="K613" s="422" t="n"/>
      <c r="L613" s="448">
        <f>ROUND((A613+B613)/2,2)</f>
        <v/>
      </c>
    </row>
    <row r="614" ht="13.5" customHeight="1" s="7635">
      <c r="A614" s="448" t="n">
        <v>30450</v>
      </c>
      <c r="B614" s="447" t="n">
        <v>30500</v>
      </c>
      <c r="C614" s="1378">
        <f>IF($L614&gt;N$5,MAX(0,N$3+ROUND((N$9*($L614-N$5)),0)),IF($L614&gt;N$4,N$3,ROUND($L614*N$7,0)))</f>
        <v/>
      </c>
      <c r="D614" s="448">
        <f>IF($L614&gt;O$5,MAX(0,O$3+ROUND((O$9*($L614-O$5)),0)),IF($L614&gt;O$4,O$3,ROUND($L614*O$7,0)))</f>
        <v/>
      </c>
      <c r="E614" s="448">
        <f>IF($L614&gt;P$5,MAX(0,P$3+ROUND((P$9*($L614-P$5)),0)),IF($L614&gt;P$4,P$3,ROUND($L614*P$7,0)))</f>
        <v/>
      </c>
      <c r="F614" s="447">
        <f>IF($L614&gt;Q$5,MAX(0,Q$3+ROUND((Q$9*($L614-Q$5)),0)),IF($L614&gt;Q$4,Q$3,ROUND($L614*Q$7,0)))</f>
        <v/>
      </c>
      <c r="G614" s="1378">
        <f>IF($L614&gt;R$5,MAX(0,R$3+ROUND((R$9*($L614-R$5)),0)),IF($L614&gt;R$4,R$3,ROUND($L614*R$7,0)))</f>
        <v/>
      </c>
      <c r="H614" s="448">
        <f>IF($L614&gt;S$5,MAX(0,S$3+ROUND((S$9*($L614-S$5)),0)),IF($L614&gt;S$4,S$3,ROUND($L614*S$7,0)))</f>
        <v/>
      </c>
      <c r="I614" s="448">
        <f>IF($L614&gt;T$5,MAX(0,T$3+ROUND((T$9*($L614-T$5)),0)),IF($L614&gt;T$4,T$3,ROUND($L614*T$7,0)))</f>
        <v/>
      </c>
      <c r="J614" s="447">
        <f>IF($L614&gt;U$5,MAX(0,U$3+ROUND((U$9*($L614-U$5)),0)),IF($L614&gt;U$4,U$3,ROUND($L614*U$7,0)))</f>
        <v/>
      </c>
      <c r="K614" s="422" t="n"/>
      <c r="L614" s="448">
        <f>ROUND((A614+B614)/2,2)</f>
        <v/>
      </c>
    </row>
    <row r="615" ht="13.5" customHeight="1" s="7635">
      <c r="A615" s="448" t="n">
        <v>30500</v>
      </c>
      <c r="B615" s="447" t="n">
        <v>30550</v>
      </c>
      <c r="C615" s="1378">
        <f>IF($L615&gt;N$5,MAX(0,N$3+ROUND((N$9*($L615-N$5)),0)),IF($L615&gt;N$4,N$3,ROUND($L615*N$7,0)))</f>
        <v/>
      </c>
      <c r="D615" s="448">
        <f>IF($L615&gt;O$5,MAX(0,O$3+ROUND((O$9*($L615-O$5)),0)),IF($L615&gt;O$4,O$3,ROUND($L615*O$7,0)))</f>
        <v/>
      </c>
      <c r="E615" s="448">
        <f>IF($L615&gt;P$5,MAX(0,P$3+ROUND((P$9*($L615-P$5)),0)),IF($L615&gt;P$4,P$3,ROUND($L615*P$7,0)))</f>
        <v/>
      </c>
      <c r="F615" s="447">
        <f>IF($L615&gt;Q$5,MAX(0,Q$3+ROUND((Q$9*($L615-Q$5)),0)),IF($L615&gt;Q$4,Q$3,ROUND($L615*Q$7,0)))</f>
        <v/>
      </c>
      <c r="G615" s="1378">
        <f>IF($L615&gt;R$5,MAX(0,R$3+ROUND((R$9*($L615-R$5)),0)),IF($L615&gt;R$4,R$3,ROUND($L615*R$7,0)))</f>
        <v/>
      </c>
      <c r="H615" s="448">
        <f>IF($L615&gt;S$5,MAX(0,S$3+ROUND((S$9*($L615-S$5)),0)),IF($L615&gt;S$4,S$3,ROUND($L615*S$7,0)))</f>
        <v/>
      </c>
      <c r="I615" s="448">
        <f>IF($L615&gt;T$5,MAX(0,T$3+ROUND((T$9*($L615-T$5)),0)),IF($L615&gt;T$4,T$3,ROUND($L615*T$7,0)))</f>
        <v/>
      </c>
      <c r="J615" s="447">
        <f>IF($L615&gt;U$5,MAX(0,U$3+ROUND((U$9*($L615-U$5)),0)),IF($L615&gt;U$4,U$3,ROUND($L615*U$7,0)))</f>
        <v/>
      </c>
      <c r="K615" s="422" t="n"/>
      <c r="L615" s="448">
        <f>ROUND((A615+B615)/2,2)</f>
        <v/>
      </c>
    </row>
    <row r="616" ht="13.5" customHeight="1" s="7635">
      <c r="A616" s="448" t="n">
        <v>30550</v>
      </c>
      <c r="B616" s="447" t="n">
        <v>30600</v>
      </c>
      <c r="C616" s="1378">
        <f>IF($L616&gt;N$5,MAX(0,N$3+ROUND((N$9*($L616-N$5)),0)),IF($L616&gt;N$4,N$3,ROUND($L616*N$7,0)))</f>
        <v/>
      </c>
      <c r="D616" s="448">
        <f>IF($L616&gt;O$5,MAX(0,O$3+ROUND((O$9*($L616-O$5)),0)),IF($L616&gt;O$4,O$3,ROUND($L616*O$7,0)))</f>
        <v/>
      </c>
      <c r="E616" s="448">
        <f>IF($L616&gt;P$5,MAX(0,P$3+ROUND((P$9*($L616-P$5)),0)),IF($L616&gt;P$4,P$3,ROUND($L616*P$7,0)))</f>
        <v/>
      </c>
      <c r="F616" s="447">
        <f>IF($L616&gt;Q$5,MAX(0,Q$3+ROUND((Q$9*($L616-Q$5)),0)),IF($L616&gt;Q$4,Q$3,ROUND($L616*Q$7,0)))</f>
        <v/>
      </c>
      <c r="G616" s="1378">
        <f>IF($L616&gt;R$5,MAX(0,R$3+ROUND((R$9*($L616-R$5)),0)),IF($L616&gt;R$4,R$3,ROUND($L616*R$7,0)))</f>
        <v/>
      </c>
      <c r="H616" s="448">
        <f>IF($L616&gt;S$5,MAX(0,S$3+ROUND((S$9*($L616-S$5)),0)),IF($L616&gt;S$4,S$3,ROUND($L616*S$7,0)))</f>
        <v/>
      </c>
      <c r="I616" s="448">
        <f>IF($L616&gt;T$5,MAX(0,T$3+ROUND((T$9*($L616-T$5)),0)),IF($L616&gt;T$4,T$3,ROUND($L616*T$7,0)))</f>
        <v/>
      </c>
      <c r="J616" s="447">
        <f>IF($L616&gt;U$5,MAX(0,U$3+ROUND((U$9*($L616-U$5)),0)),IF($L616&gt;U$4,U$3,ROUND($L616*U$7,0)))</f>
        <v/>
      </c>
      <c r="K616" s="422" t="n"/>
      <c r="L616" s="448">
        <f>ROUND((A616+B616)/2,2)</f>
        <v/>
      </c>
    </row>
    <row r="617" ht="13.5" customHeight="1" s="7635">
      <c r="A617" s="448" t="n">
        <v>30600</v>
      </c>
      <c r="B617" s="447" t="n">
        <v>30650</v>
      </c>
      <c r="C617" s="1378">
        <f>IF($L617&gt;N$5,MAX(0,N$3+ROUND((N$9*($L617-N$5)),0)),IF($L617&gt;N$4,N$3,ROUND($L617*N$7,0)))</f>
        <v/>
      </c>
      <c r="D617" s="448">
        <f>IF($L617&gt;O$5,MAX(0,O$3+ROUND((O$9*($L617-O$5)),0)),IF($L617&gt;O$4,O$3,ROUND($L617*O$7,0)))</f>
        <v/>
      </c>
      <c r="E617" s="448">
        <f>IF($L617&gt;P$5,MAX(0,P$3+ROUND((P$9*($L617-P$5)),0)),IF($L617&gt;P$4,P$3,ROUND($L617*P$7,0)))</f>
        <v/>
      </c>
      <c r="F617" s="447">
        <f>IF($L617&gt;Q$5,MAX(0,Q$3+ROUND((Q$9*($L617-Q$5)),0)),IF($L617&gt;Q$4,Q$3,ROUND($L617*Q$7,0)))</f>
        <v/>
      </c>
      <c r="G617" s="1378">
        <f>IF($L617&gt;R$5,MAX(0,R$3+ROUND((R$9*($L617-R$5)),0)),IF($L617&gt;R$4,R$3,ROUND($L617*R$7,0)))</f>
        <v/>
      </c>
      <c r="H617" s="448">
        <f>IF($L617&gt;S$5,MAX(0,S$3+ROUND((S$9*($L617-S$5)),0)),IF($L617&gt;S$4,S$3,ROUND($L617*S$7,0)))</f>
        <v/>
      </c>
      <c r="I617" s="448">
        <f>IF($L617&gt;T$5,MAX(0,T$3+ROUND((T$9*($L617-T$5)),0)),IF($L617&gt;T$4,T$3,ROUND($L617*T$7,0)))</f>
        <v/>
      </c>
      <c r="J617" s="447">
        <f>IF($L617&gt;U$5,MAX(0,U$3+ROUND((U$9*($L617-U$5)),0)),IF($L617&gt;U$4,U$3,ROUND($L617*U$7,0)))</f>
        <v/>
      </c>
      <c r="K617" s="422" t="n"/>
      <c r="L617" s="448">
        <f>ROUND((A617+B617)/2,2)</f>
        <v/>
      </c>
    </row>
    <row r="618" ht="13.5" customHeight="1" s="7635">
      <c r="A618" s="448" t="n">
        <v>30650</v>
      </c>
      <c r="B618" s="447" t="n">
        <v>30700</v>
      </c>
      <c r="C618" s="1378">
        <f>IF($L618&gt;N$5,MAX(0,N$3+ROUND((N$9*($L618-N$5)),0)),IF($L618&gt;N$4,N$3,ROUND($L618*N$7,0)))</f>
        <v/>
      </c>
      <c r="D618" s="448">
        <f>IF($L618&gt;O$5,MAX(0,O$3+ROUND((O$9*($L618-O$5)),0)),IF($L618&gt;O$4,O$3,ROUND($L618*O$7,0)))</f>
        <v/>
      </c>
      <c r="E618" s="448">
        <f>IF($L618&gt;P$5,MAX(0,P$3+ROUND((P$9*($L618-P$5)),0)),IF($L618&gt;P$4,P$3,ROUND($L618*P$7,0)))</f>
        <v/>
      </c>
      <c r="F618" s="447">
        <f>IF($L618&gt;Q$5,MAX(0,Q$3+ROUND((Q$9*($L618-Q$5)),0)),IF($L618&gt;Q$4,Q$3,ROUND($L618*Q$7,0)))</f>
        <v/>
      </c>
      <c r="G618" s="1378">
        <f>IF($L618&gt;R$5,MAX(0,R$3+ROUND((R$9*($L618-R$5)),0)),IF($L618&gt;R$4,R$3,ROUND($L618*R$7,0)))</f>
        <v/>
      </c>
      <c r="H618" s="448">
        <f>IF($L618&gt;S$5,MAX(0,S$3+ROUND((S$9*($L618-S$5)),0)),IF($L618&gt;S$4,S$3,ROUND($L618*S$7,0)))</f>
        <v/>
      </c>
      <c r="I618" s="448">
        <f>IF($L618&gt;T$5,MAX(0,T$3+ROUND((T$9*($L618-T$5)),0)),IF($L618&gt;T$4,T$3,ROUND($L618*T$7,0)))</f>
        <v/>
      </c>
      <c r="J618" s="447">
        <f>IF($L618&gt;U$5,MAX(0,U$3+ROUND((U$9*($L618-U$5)),0)),IF($L618&gt;U$4,U$3,ROUND($L618*U$7,0)))</f>
        <v/>
      </c>
      <c r="K618" s="422" t="n"/>
      <c r="L618" s="448">
        <f>ROUND((A618+B618)/2,2)</f>
        <v/>
      </c>
    </row>
    <row r="619" ht="13.5" customHeight="1" s="7635">
      <c r="A619" s="448" t="n">
        <v>30700</v>
      </c>
      <c r="B619" s="447" t="n">
        <v>30750</v>
      </c>
      <c r="C619" s="1378">
        <f>IF($L619&gt;N$5,MAX(0,N$3+ROUND((N$9*($L619-N$5)),0)),IF($L619&gt;N$4,N$3,ROUND($L619*N$7,0)))</f>
        <v/>
      </c>
      <c r="D619" s="448">
        <f>IF($L619&gt;O$5,MAX(0,O$3+ROUND((O$9*($L619-O$5)),0)),IF($L619&gt;O$4,O$3,ROUND($L619*O$7,0)))</f>
        <v/>
      </c>
      <c r="E619" s="448">
        <f>IF($L619&gt;P$5,MAX(0,P$3+ROUND((P$9*($L619-P$5)),0)),IF($L619&gt;P$4,P$3,ROUND($L619*P$7,0)))</f>
        <v/>
      </c>
      <c r="F619" s="447">
        <f>IF($L619&gt;Q$5,MAX(0,Q$3+ROUND((Q$9*($L619-Q$5)),0)),IF($L619&gt;Q$4,Q$3,ROUND($L619*Q$7,0)))</f>
        <v/>
      </c>
      <c r="G619" s="1378">
        <f>IF($L619&gt;R$5,MAX(0,R$3+ROUND((R$9*($L619-R$5)),0)),IF($L619&gt;R$4,R$3,ROUND($L619*R$7,0)))</f>
        <v/>
      </c>
      <c r="H619" s="448">
        <f>IF($L619&gt;S$5,MAX(0,S$3+ROUND((S$9*($L619-S$5)),0)),IF($L619&gt;S$4,S$3,ROUND($L619*S$7,0)))</f>
        <v/>
      </c>
      <c r="I619" s="448">
        <f>IF($L619&gt;T$5,MAX(0,T$3+ROUND((T$9*($L619-T$5)),0)),IF($L619&gt;T$4,T$3,ROUND($L619*T$7,0)))</f>
        <v/>
      </c>
      <c r="J619" s="447">
        <f>IF($L619&gt;U$5,MAX(0,U$3+ROUND((U$9*($L619-U$5)),0)),IF($L619&gt;U$4,U$3,ROUND($L619*U$7,0)))</f>
        <v/>
      </c>
      <c r="K619" s="422" t="n"/>
      <c r="L619" s="448">
        <f>ROUND((A619+B619)/2,2)</f>
        <v/>
      </c>
    </row>
    <row r="620" ht="13.5" customHeight="1" s="7635">
      <c r="A620" s="448" t="n">
        <v>30750</v>
      </c>
      <c r="B620" s="447" t="n">
        <v>30800</v>
      </c>
      <c r="C620" s="1378">
        <f>IF($L620&gt;N$5,MAX(0,N$3+ROUND((N$9*($L620-N$5)),0)),IF($L620&gt;N$4,N$3,ROUND($L620*N$7,0)))</f>
        <v/>
      </c>
      <c r="D620" s="448">
        <f>IF($L620&gt;O$5,MAX(0,O$3+ROUND((O$9*($L620-O$5)),0)),IF($L620&gt;O$4,O$3,ROUND($L620*O$7,0)))</f>
        <v/>
      </c>
      <c r="E620" s="448">
        <f>IF($L620&gt;P$5,MAX(0,P$3+ROUND((P$9*($L620-P$5)),0)),IF($L620&gt;P$4,P$3,ROUND($L620*P$7,0)))</f>
        <v/>
      </c>
      <c r="F620" s="447">
        <f>IF($L620&gt;Q$5,MAX(0,Q$3+ROUND((Q$9*($L620-Q$5)),0)),IF($L620&gt;Q$4,Q$3,ROUND($L620*Q$7,0)))</f>
        <v/>
      </c>
      <c r="G620" s="1378">
        <f>IF($L620&gt;R$5,MAX(0,R$3+ROUND((R$9*($L620-R$5)),0)),IF($L620&gt;R$4,R$3,ROUND($L620*R$7,0)))</f>
        <v/>
      </c>
      <c r="H620" s="448">
        <f>IF($L620&gt;S$5,MAX(0,S$3+ROUND((S$9*($L620-S$5)),0)),IF($L620&gt;S$4,S$3,ROUND($L620*S$7,0)))</f>
        <v/>
      </c>
      <c r="I620" s="448">
        <f>IF($L620&gt;T$5,MAX(0,T$3+ROUND((T$9*($L620-T$5)),0)),IF($L620&gt;T$4,T$3,ROUND($L620*T$7,0)))</f>
        <v/>
      </c>
      <c r="J620" s="447">
        <f>IF($L620&gt;U$5,MAX(0,U$3+ROUND((U$9*($L620-U$5)),0)),IF($L620&gt;U$4,U$3,ROUND($L620*U$7,0)))</f>
        <v/>
      </c>
      <c r="K620" s="422" t="n"/>
      <c r="L620" s="448">
        <f>ROUND((A620+B620)/2,2)</f>
        <v/>
      </c>
    </row>
    <row r="621" ht="13.5" customHeight="1" s="7635">
      <c r="A621" s="448" t="n">
        <v>30800</v>
      </c>
      <c r="B621" s="447" t="n">
        <v>30850</v>
      </c>
      <c r="C621" s="1378">
        <f>IF($L621&gt;N$5,MAX(0,N$3+ROUND((N$9*($L621-N$5)),0)),IF($L621&gt;N$4,N$3,ROUND($L621*N$7,0)))</f>
        <v/>
      </c>
      <c r="D621" s="448">
        <f>IF($L621&gt;O$5,MAX(0,O$3+ROUND((O$9*($L621-O$5)),0)),IF($L621&gt;O$4,O$3,ROUND($L621*O$7,0)))</f>
        <v/>
      </c>
      <c r="E621" s="448">
        <f>IF($L621&gt;P$5,MAX(0,P$3+ROUND((P$9*($L621-P$5)),0)),IF($L621&gt;P$4,P$3,ROUND($L621*P$7,0)))</f>
        <v/>
      </c>
      <c r="F621" s="447">
        <f>IF($L621&gt;Q$5,MAX(0,Q$3+ROUND((Q$9*($L621-Q$5)),0)),IF($L621&gt;Q$4,Q$3,ROUND($L621*Q$7,0)))</f>
        <v/>
      </c>
      <c r="G621" s="1378">
        <f>IF($L621&gt;R$5,MAX(0,R$3+ROUND((R$9*($L621-R$5)),0)),IF($L621&gt;R$4,R$3,ROUND($L621*R$7,0)))</f>
        <v/>
      </c>
      <c r="H621" s="448">
        <f>IF($L621&gt;S$5,MAX(0,S$3+ROUND((S$9*($L621-S$5)),0)),IF($L621&gt;S$4,S$3,ROUND($L621*S$7,0)))</f>
        <v/>
      </c>
      <c r="I621" s="448">
        <f>IF($L621&gt;T$5,MAX(0,T$3+ROUND((T$9*($L621-T$5)),0)),IF($L621&gt;T$4,T$3,ROUND($L621*T$7,0)))</f>
        <v/>
      </c>
      <c r="J621" s="447">
        <f>IF($L621&gt;U$5,MAX(0,U$3+ROUND((U$9*($L621-U$5)),0)),IF($L621&gt;U$4,U$3,ROUND($L621*U$7,0)))</f>
        <v/>
      </c>
      <c r="K621" s="422" t="n"/>
      <c r="L621" s="448">
        <f>ROUND((A621+B621)/2,2)</f>
        <v/>
      </c>
    </row>
    <row r="622" ht="13.5" customHeight="1" s="7635">
      <c r="A622" s="448" t="n">
        <v>30850</v>
      </c>
      <c r="B622" s="447" t="n">
        <v>30900</v>
      </c>
      <c r="C622" s="1378">
        <f>IF($L622&gt;N$5,MAX(0,N$3+ROUND((N$9*($L622-N$5)),0)),IF($L622&gt;N$4,N$3,ROUND($L622*N$7,0)))</f>
        <v/>
      </c>
      <c r="D622" s="448">
        <f>IF($L622&gt;O$5,MAX(0,O$3+ROUND((O$9*($L622-O$5)),0)),IF($L622&gt;O$4,O$3,ROUND($L622*O$7,0)))</f>
        <v/>
      </c>
      <c r="E622" s="448">
        <f>IF($L622&gt;P$5,MAX(0,P$3+ROUND((P$9*($L622-P$5)),0)),IF($L622&gt;P$4,P$3,ROUND($L622*P$7,0)))</f>
        <v/>
      </c>
      <c r="F622" s="447">
        <f>IF($L622&gt;Q$5,MAX(0,Q$3+ROUND((Q$9*($L622-Q$5)),0)),IF($L622&gt;Q$4,Q$3,ROUND($L622*Q$7,0)))</f>
        <v/>
      </c>
      <c r="G622" s="1378">
        <f>IF($L622&gt;R$5,MAX(0,R$3+ROUND((R$9*($L622-R$5)),0)),IF($L622&gt;R$4,R$3,ROUND($L622*R$7,0)))</f>
        <v/>
      </c>
      <c r="H622" s="448">
        <f>IF($L622&gt;S$5,MAX(0,S$3+ROUND((S$9*($L622-S$5)),0)),IF($L622&gt;S$4,S$3,ROUND($L622*S$7,0)))</f>
        <v/>
      </c>
      <c r="I622" s="448">
        <f>IF($L622&gt;T$5,MAX(0,T$3+ROUND((T$9*($L622-T$5)),0)),IF($L622&gt;T$4,T$3,ROUND($L622*T$7,0)))</f>
        <v/>
      </c>
      <c r="J622" s="447">
        <f>IF($L622&gt;U$5,MAX(0,U$3+ROUND((U$9*($L622-U$5)),0)),IF($L622&gt;U$4,U$3,ROUND($L622*U$7,0)))</f>
        <v/>
      </c>
      <c r="K622" s="422" t="n"/>
      <c r="L622" s="448">
        <f>ROUND((A622+B622)/2,2)</f>
        <v/>
      </c>
    </row>
    <row r="623" ht="13.5" customHeight="1" s="7635">
      <c r="A623" s="448" t="n">
        <v>30900</v>
      </c>
      <c r="B623" s="447" t="n">
        <v>30950</v>
      </c>
      <c r="C623" s="1378">
        <f>IF($L623&gt;N$5,MAX(0,N$3+ROUND((N$9*($L623-N$5)),0)),IF($L623&gt;N$4,N$3,ROUND($L623*N$7,0)))</f>
        <v/>
      </c>
      <c r="D623" s="448">
        <f>IF($L623&gt;O$5,MAX(0,O$3+ROUND((O$9*($L623-O$5)),0)),IF($L623&gt;O$4,O$3,ROUND($L623*O$7,0)))</f>
        <v/>
      </c>
      <c r="E623" s="448">
        <f>IF($L623&gt;P$5,MAX(0,P$3+ROUND((P$9*($L623-P$5)),0)),IF($L623&gt;P$4,P$3,ROUND($L623*P$7,0)))</f>
        <v/>
      </c>
      <c r="F623" s="447">
        <f>IF($L623&gt;Q$5,MAX(0,Q$3+ROUND((Q$9*($L623-Q$5)),0)),IF($L623&gt;Q$4,Q$3,ROUND($L623*Q$7,0)))</f>
        <v/>
      </c>
      <c r="G623" s="1378">
        <f>IF($L623&gt;R$5,MAX(0,R$3+ROUND((R$9*($L623-R$5)),0)),IF($L623&gt;R$4,R$3,ROUND($L623*R$7,0)))</f>
        <v/>
      </c>
      <c r="H623" s="448">
        <f>IF($L623&gt;S$5,MAX(0,S$3+ROUND((S$9*($L623-S$5)),0)),IF($L623&gt;S$4,S$3,ROUND($L623*S$7,0)))</f>
        <v/>
      </c>
      <c r="I623" s="448">
        <f>IF($L623&gt;T$5,MAX(0,T$3+ROUND((T$9*($L623-T$5)),0)),IF($L623&gt;T$4,T$3,ROUND($L623*T$7,0)))</f>
        <v/>
      </c>
      <c r="J623" s="447">
        <f>IF($L623&gt;U$5,MAX(0,U$3+ROUND((U$9*($L623-U$5)),0)),IF($L623&gt;U$4,U$3,ROUND($L623*U$7,0)))</f>
        <v/>
      </c>
      <c r="K623" s="422" t="n"/>
      <c r="L623" s="448">
        <f>ROUND((A623+B623)/2,2)</f>
        <v/>
      </c>
    </row>
    <row r="624" ht="13.5" customHeight="1" s="7635">
      <c r="A624" s="448" t="n">
        <v>30950</v>
      </c>
      <c r="B624" s="447" t="n">
        <v>31000</v>
      </c>
      <c r="C624" s="1378">
        <f>IF($L624&gt;N$5,MAX(0,N$3+ROUND((N$9*($L624-N$5)),0)),IF($L624&gt;N$4,N$3,ROUND($L624*N$7,0)))</f>
        <v/>
      </c>
      <c r="D624" s="448">
        <f>IF($L624&gt;O$5,MAX(0,O$3+ROUND((O$9*($L624-O$5)),0)),IF($L624&gt;O$4,O$3,ROUND($L624*O$7,0)))</f>
        <v/>
      </c>
      <c r="E624" s="448">
        <f>IF($L624&gt;P$5,MAX(0,P$3+ROUND((P$9*($L624-P$5)),0)),IF($L624&gt;P$4,P$3,ROUND($L624*P$7,0)))</f>
        <v/>
      </c>
      <c r="F624" s="447">
        <f>IF($L624&gt;Q$5,MAX(0,Q$3+ROUND((Q$9*($L624-Q$5)),0)),IF($L624&gt;Q$4,Q$3,ROUND($L624*Q$7,0)))</f>
        <v/>
      </c>
      <c r="G624" s="1378">
        <f>IF($L624&gt;R$5,MAX(0,R$3+ROUND((R$9*($L624-R$5)),0)),IF($L624&gt;R$4,R$3,ROUND($L624*R$7,0)))</f>
        <v/>
      </c>
      <c r="H624" s="448">
        <f>IF($L624&gt;S$5,MAX(0,S$3+ROUND((S$9*($L624-S$5)),0)),IF($L624&gt;S$4,S$3,ROUND($L624*S$7,0)))</f>
        <v/>
      </c>
      <c r="I624" s="448">
        <f>IF($L624&gt;T$5,MAX(0,T$3+ROUND((T$9*($L624-T$5)),0)),IF($L624&gt;T$4,T$3,ROUND($L624*T$7,0)))</f>
        <v/>
      </c>
      <c r="J624" s="447">
        <f>IF($L624&gt;U$5,MAX(0,U$3+ROUND((U$9*($L624-U$5)),0)),IF($L624&gt;U$4,U$3,ROUND($L624*U$7,0)))</f>
        <v/>
      </c>
      <c r="K624" s="422" t="n"/>
      <c r="L624" s="448">
        <f>ROUND((A624+B624)/2,2)</f>
        <v/>
      </c>
    </row>
    <row r="625" ht="13.5" customHeight="1" s="7635">
      <c r="A625" s="448" t="n">
        <v>31000</v>
      </c>
      <c r="B625" s="447" t="n">
        <v>31050</v>
      </c>
      <c r="C625" s="1378">
        <f>IF($L625&gt;N$5,MAX(0,N$3+ROUND((N$9*($L625-N$5)),0)),IF($L625&gt;N$4,N$3,ROUND($L625*N$7,0)))</f>
        <v/>
      </c>
      <c r="D625" s="448">
        <f>IF($L625&gt;O$5,MAX(0,O$3+ROUND((O$9*($L625-O$5)),0)),IF($L625&gt;O$4,O$3,ROUND($L625*O$7,0)))</f>
        <v/>
      </c>
      <c r="E625" s="448">
        <f>IF($L625&gt;P$5,MAX(0,P$3+ROUND((P$9*($L625-P$5)),0)),IF($L625&gt;P$4,P$3,ROUND($L625*P$7,0)))</f>
        <v/>
      </c>
      <c r="F625" s="447">
        <f>IF($L625&gt;Q$5,MAX(0,Q$3+ROUND((Q$9*($L625-Q$5)),0)),IF($L625&gt;Q$4,Q$3,ROUND($L625*Q$7,0)))</f>
        <v/>
      </c>
      <c r="G625" s="1378">
        <f>IF($L625&gt;R$5,MAX(0,R$3+ROUND((R$9*($L625-R$5)),0)),IF($L625&gt;R$4,R$3,ROUND($L625*R$7,0)))</f>
        <v/>
      </c>
      <c r="H625" s="448">
        <f>IF($L625&gt;S$5,MAX(0,S$3+ROUND((S$9*($L625-S$5)),0)),IF($L625&gt;S$4,S$3,ROUND($L625*S$7,0)))</f>
        <v/>
      </c>
      <c r="I625" s="448">
        <f>IF($L625&gt;T$5,MAX(0,T$3+ROUND((T$9*($L625-T$5)),0)),IF($L625&gt;T$4,T$3,ROUND($L625*T$7,0)))</f>
        <v/>
      </c>
      <c r="J625" s="447">
        <f>IF($L625&gt;U$5,MAX(0,U$3+ROUND((U$9*($L625-U$5)),0)),IF($L625&gt;U$4,U$3,ROUND($L625*U$7,0)))</f>
        <v/>
      </c>
      <c r="K625" s="422" t="n"/>
      <c r="L625" s="448">
        <f>ROUND((A625+B625)/2,2)</f>
        <v/>
      </c>
    </row>
    <row r="626" ht="13.5" customHeight="1" s="7635">
      <c r="A626" s="448" t="n">
        <v>31050</v>
      </c>
      <c r="B626" s="447" t="n">
        <v>31100</v>
      </c>
      <c r="C626" s="1378">
        <f>IF($L626&gt;N$5,MAX(0,N$3+ROUND((N$9*($L626-N$5)),0)),IF($L626&gt;N$4,N$3,ROUND($L626*N$7,0)))</f>
        <v/>
      </c>
      <c r="D626" s="448">
        <f>IF($L626&gt;O$5,MAX(0,O$3+ROUND((O$9*($L626-O$5)),0)),IF($L626&gt;O$4,O$3,ROUND($L626*O$7,0)))</f>
        <v/>
      </c>
      <c r="E626" s="448">
        <f>IF($L626&gt;P$5,MAX(0,P$3+ROUND((P$9*($L626-P$5)),0)),IF($L626&gt;P$4,P$3,ROUND($L626*P$7,0)))</f>
        <v/>
      </c>
      <c r="F626" s="447">
        <f>IF($L626&gt;Q$5,MAX(0,Q$3+ROUND((Q$9*($L626-Q$5)),0)),IF($L626&gt;Q$4,Q$3,ROUND($L626*Q$7,0)))</f>
        <v/>
      </c>
      <c r="G626" s="1378">
        <f>IF($L626&gt;R$5,MAX(0,R$3+ROUND((R$9*($L626-R$5)),0)),IF($L626&gt;R$4,R$3,ROUND($L626*R$7,0)))</f>
        <v/>
      </c>
      <c r="H626" s="448">
        <f>IF($L626&gt;S$5,MAX(0,S$3+ROUND((S$9*($L626-S$5)),0)),IF($L626&gt;S$4,S$3,ROUND($L626*S$7,0)))</f>
        <v/>
      </c>
      <c r="I626" s="448">
        <f>IF($L626&gt;T$5,MAX(0,T$3+ROUND((T$9*($L626-T$5)),0)),IF($L626&gt;T$4,T$3,ROUND($L626*T$7,0)))</f>
        <v/>
      </c>
      <c r="J626" s="447">
        <f>IF($L626&gt;U$5,MAX(0,U$3+ROUND((U$9*($L626-U$5)),0)),IF($L626&gt;U$4,U$3,ROUND($L626*U$7,0)))</f>
        <v/>
      </c>
      <c r="K626" s="422" t="n"/>
      <c r="L626" s="448">
        <f>ROUND((A626+B626)/2,2)</f>
        <v/>
      </c>
    </row>
    <row r="627" ht="13.5" customHeight="1" s="7635">
      <c r="A627" s="448" t="n">
        <v>31100</v>
      </c>
      <c r="B627" s="447" t="n">
        <v>31150</v>
      </c>
      <c r="C627" s="1378">
        <f>IF($L627&gt;N$5,MAX(0,N$3+ROUND((N$9*($L627-N$5)),0)),IF($L627&gt;N$4,N$3,ROUND($L627*N$7,0)))</f>
        <v/>
      </c>
      <c r="D627" s="448">
        <f>IF($L627&gt;O$5,MAX(0,O$3+ROUND((O$9*($L627-O$5)),0)),IF($L627&gt;O$4,O$3,ROUND($L627*O$7,0)))</f>
        <v/>
      </c>
      <c r="E627" s="448">
        <f>IF($L627&gt;P$5,MAX(0,P$3+ROUND((P$9*($L627-P$5)),0)),IF($L627&gt;P$4,P$3,ROUND($L627*P$7,0)))</f>
        <v/>
      </c>
      <c r="F627" s="447">
        <f>IF($L627&gt;Q$5,MAX(0,Q$3+ROUND((Q$9*($L627-Q$5)),0)),IF($L627&gt;Q$4,Q$3,ROUND($L627*Q$7,0)))</f>
        <v/>
      </c>
      <c r="G627" s="1378">
        <f>IF($L627&gt;R$5,MAX(0,R$3+ROUND((R$9*($L627-R$5)),0)),IF($L627&gt;R$4,R$3,ROUND($L627*R$7,0)))</f>
        <v/>
      </c>
      <c r="H627" s="448">
        <f>IF($L627&gt;S$5,MAX(0,S$3+ROUND((S$9*($L627-S$5)),0)),IF($L627&gt;S$4,S$3,ROUND($L627*S$7,0)))</f>
        <v/>
      </c>
      <c r="I627" s="448">
        <f>IF($L627&gt;T$5,MAX(0,T$3+ROUND((T$9*($L627-T$5)),0)),IF($L627&gt;T$4,T$3,ROUND($L627*T$7,0)))</f>
        <v/>
      </c>
      <c r="J627" s="447">
        <f>IF($L627&gt;U$5,MAX(0,U$3+ROUND((U$9*($L627-U$5)),0)),IF($L627&gt;U$4,U$3,ROUND($L627*U$7,0)))</f>
        <v/>
      </c>
      <c r="K627" s="422" t="n"/>
      <c r="L627" s="448">
        <f>ROUND((A627+B627)/2,2)</f>
        <v/>
      </c>
    </row>
    <row r="628" ht="13.5" customHeight="1" s="7635">
      <c r="A628" s="448" t="n">
        <v>31150</v>
      </c>
      <c r="B628" s="447" t="n">
        <v>31200</v>
      </c>
      <c r="C628" s="1378">
        <f>IF($L628&gt;N$5,MAX(0,N$3+ROUND((N$9*($L628-N$5)),0)),IF($L628&gt;N$4,N$3,ROUND($L628*N$7,0)))</f>
        <v/>
      </c>
      <c r="D628" s="448">
        <f>IF($L628&gt;O$5,MAX(0,O$3+ROUND((O$9*($L628-O$5)),0)),IF($L628&gt;O$4,O$3,ROUND($L628*O$7,0)))</f>
        <v/>
      </c>
      <c r="E628" s="448">
        <f>IF($L628&gt;P$5,MAX(0,P$3+ROUND((P$9*($L628-P$5)),0)),IF($L628&gt;P$4,P$3,ROUND($L628*P$7,0)))</f>
        <v/>
      </c>
      <c r="F628" s="447">
        <f>IF($L628&gt;Q$5,MAX(0,Q$3+ROUND((Q$9*($L628-Q$5)),0)),IF($L628&gt;Q$4,Q$3,ROUND($L628*Q$7,0)))</f>
        <v/>
      </c>
      <c r="G628" s="1378">
        <f>IF($L628&gt;R$5,MAX(0,R$3+ROUND((R$9*($L628-R$5)),0)),IF($L628&gt;R$4,R$3,ROUND($L628*R$7,0)))</f>
        <v/>
      </c>
      <c r="H628" s="448">
        <f>IF($L628&gt;S$5,MAX(0,S$3+ROUND((S$9*($L628-S$5)),0)),IF($L628&gt;S$4,S$3,ROUND($L628*S$7,0)))</f>
        <v/>
      </c>
      <c r="I628" s="448">
        <f>IF($L628&gt;T$5,MAX(0,T$3+ROUND((T$9*($L628-T$5)),0)),IF($L628&gt;T$4,T$3,ROUND($L628*T$7,0)))</f>
        <v/>
      </c>
      <c r="J628" s="447">
        <f>IF($L628&gt;U$5,MAX(0,U$3+ROUND((U$9*($L628-U$5)),0)),IF($L628&gt;U$4,U$3,ROUND($L628*U$7,0)))</f>
        <v/>
      </c>
      <c r="K628" s="422" t="n"/>
      <c r="L628" s="448">
        <f>ROUND((A628+B628)/2,2)</f>
        <v/>
      </c>
    </row>
    <row r="629" ht="13.5" customHeight="1" s="7635">
      <c r="A629" s="448" t="n">
        <v>31200</v>
      </c>
      <c r="B629" s="447" t="n">
        <v>31250</v>
      </c>
      <c r="C629" s="1378">
        <f>IF($L629&gt;N$5,MAX(0,N$3+ROUND((N$9*($L629-N$5)),0)),IF($L629&gt;N$4,N$3,ROUND($L629*N$7,0)))</f>
        <v/>
      </c>
      <c r="D629" s="448">
        <f>IF($L629&gt;O$5,MAX(0,O$3+ROUND((O$9*($L629-O$5)),0)),IF($L629&gt;O$4,O$3,ROUND($L629*O$7,0)))</f>
        <v/>
      </c>
      <c r="E629" s="448">
        <f>IF($L629&gt;P$5,MAX(0,P$3+ROUND((P$9*($L629-P$5)),0)),IF($L629&gt;P$4,P$3,ROUND($L629*P$7,0)))</f>
        <v/>
      </c>
      <c r="F629" s="447">
        <f>IF($L629&gt;Q$5,MAX(0,Q$3+ROUND((Q$9*($L629-Q$5)),0)),IF($L629&gt;Q$4,Q$3,ROUND($L629*Q$7,0)))</f>
        <v/>
      </c>
      <c r="G629" s="1378">
        <f>IF($L629&gt;R$5,MAX(0,R$3+ROUND((R$9*($L629-R$5)),0)),IF($L629&gt;R$4,R$3,ROUND($L629*R$7,0)))</f>
        <v/>
      </c>
      <c r="H629" s="448">
        <f>IF($L629&gt;S$5,MAX(0,S$3+ROUND((S$9*($L629-S$5)),0)),IF($L629&gt;S$4,S$3,ROUND($L629*S$7,0)))</f>
        <v/>
      </c>
      <c r="I629" s="448">
        <f>IF($L629&gt;T$5,MAX(0,T$3+ROUND((T$9*($L629-T$5)),0)),IF($L629&gt;T$4,T$3,ROUND($L629*T$7,0)))</f>
        <v/>
      </c>
      <c r="J629" s="447">
        <f>IF($L629&gt;U$5,MAX(0,U$3+ROUND((U$9*($L629-U$5)),0)),IF($L629&gt;U$4,U$3,ROUND($L629*U$7,0)))</f>
        <v/>
      </c>
      <c r="K629" s="422" t="n"/>
      <c r="L629" s="448">
        <f>ROUND((A629+B629)/2,2)</f>
        <v/>
      </c>
    </row>
    <row r="630" ht="13.5" customHeight="1" s="7635">
      <c r="A630" s="448" t="n">
        <v>31250</v>
      </c>
      <c r="B630" s="447" t="n">
        <v>31300</v>
      </c>
      <c r="C630" s="1378">
        <f>IF($L630&gt;N$5,MAX(0,N$3+ROUND((N$9*($L630-N$5)),0)),IF($L630&gt;N$4,N$3,ROUND($L630*N$7,0)))</f>
        <v/>
      </c>
      <c r="D630" s="448">
        <f>IF($L630&gt;O$5,MAX(0,O$3+ROUND((O$9*($L630-O$5)),0)),IF($L630&gt;O$4,O$3,ROUND($L630*O$7,0)))</f>
        <v/>
      </c>
      <c r="E630" s="448">
        <f>IF($L630&gt;P$5,MAX(0,P$3+ROUND((P$9*($L630-P$5)),0)),IF($L630&gt;P$4,P$3,ROUND($L630*P$7,0)))</f>
        <v/>
      </c>
      <c r="F630" s="447">
        <f>IF($L630&gt;Q$5,MAX(0,Q$3+ROUND((Q$9*($L630-Q$5)),0)),IF($L630&gt;Q$4,Q$3,ROUND($L630*Q$7,0)))</f>
        <v/>
      </c>
      <c r="G630" s="1378">
        <f>IF($L630&gt;R$5,MAX(0,R$3+ROUND((R$9*($L630-R$5)),0)),IF($L630&gt;R$4,R$3,ROUND($L630*R$7,0)))</f>
        <v/>
      </c>
      <c r="H630" s="448">
        <f>IF($L630&gt;S$5,MAX(0,S$3+ROUND((S$9*($L630-S$5)),0)),IF($L630&gt;S$4,S$3,ROUND($L630*S$7,0)))</f>
        <v/>
      </c>
      <c r="I630" s="448">
        <f>IF($L630&gt;T$5,MAX(0,T$3+ROUND((T$9*($L630-T$5)),0)),IF($L630&gt;T$4,T$3,ROUND($L630*T$7,0)))</f>
        <v/>
      </c>
      <c r="J630" s="447">
        <f>IF($L630&gt;U$5,MAX(0,U$3+ROUND((U$9*($L630-U$5)),0)),IF($L630&gt;U$4,U$3,ROUND($L630*U$7,0)))</f>
        <v/>
      </c>
      <c r="K630" s="422" t="n"/>
      <c r="L630" s="448">
        <f>ROUND((A630+B630)/2,2)</f>
        <v/>
      </c>
    </row>
    <row r="631" ht="13.5" customHeight="1" s="7635">
      <c r="A631" s="448" t="n">
        <v>31300</v>
      </c>
      <c r="B631" s="447" t="n">
        <v>31350</v>
      </c>
      <c r="C631" s="1378">
        <f>IF($L631&gt;N$5,MAX(0,N$3+ROUND((N$9*($L631-N$5)),0)),IF($L631&gt;N$4,N$3,ROUND($L631*N$7,0)))</f>
        <v/>
      </c>
      <c r="D631" s="448">
        <f>IF($L631&gt;O$5,MAX(0,O$3+ROUND((O$9*($L631-O$5)),0)),IF($L631&gt;O$4,O$3,ROUND($L631*O$7,0)))</f>
        <v/>
      </c>
      <c r="E631" s="448">
        <f>IF($L631&gt;P$5,MAX(0,P$3+ROUND((P$9*($L631-P$5)),0)),IF($L631&gt;P$4,P$3,ROUND($L631*P$7,0)))</f>
        <v/>
      </c>
      <c r="F631" s="447">
        <f>IF($L631&gt;Q$5,MAX(0,Q$3+ROUND((Q$9*($L631-Q$5)),0)),IF($L631&gt;Q$4,Q$3,ROUND($L631*Q$7,0)))</f>
        <v/>
      </c>
      <c r="G631" s="1378">
        <f>IF($L631&gt;R$5,MAX(0,R$3+ROUND((R$9*($L631-R$5)),0)),IF($L631&gt;R$4,R$3,ROUND($L631*R$7,0)))</f>
        <v/>
      </c>
      <c r="H631" s="448">
        <f>IF($L631&gt;S$5,MAX(0,S$3+ROUND((S$9*($L631-S$5)),0)),IF($L631&gt;S$4,S$3,ROUND($L631*S$7,0)))</f>
        <v/>
      </c>
      <c r="I631" s="448">
        <f>IF($L631&gt;T$5,MAX(0,T$3+ROUND((T$9*($L631-T$5)),0)),IF($L631&gt;T$4,T$3,ROUND($L631*T$7,0)))</f>
        <v/>
      </c>
      <c r="J631" s="447">
        <f>IF($L631&gt;U$5,MAX(0,U$3+ROUND((U$9*($L631-U$5)),0)),IF($L631&gt;U$4,U$3,ROUND($L631*U$7,0)))</f>
        <v/>
      </c>
      <c r="K631" s="422" t="n"/>
      <c r="L631" s="448">
        <f>ROUND((A631+B631)/2,2)</f>
        <v/>
      </c>
    </row>
    <row r="632" ht="13.5" customHeight="1" s="7635">
      <c r="A632" s="448" t="n">
        <v>31350</v>
      </c>
      <c r="B632" s="447" t="n">
        <v>31400</v>
      </c>
      <c r="C632" s="1378">
        <f>IF($L632&gt;N$5,MAX(0,N$3+ROUND((N$9*($L632-N$5)),0)),IF($L632&gt;N$4,N$3,ROUND($L632*N$7,0)))</f>
        <v/>
      </c>
      <c r="D632" s="448">
        <f>IF($L632&gt;O$5,MAX(0,O$3+ROUND((O$9*($L632-O$5)),0)),IF($L632&gt;O$4,O$3,ROUND($L632*O$7,0)))</f>
        <v/>
      </c>
      <c r="E632" s="448">
        <f>IF($L632&gt;P$5,MAX(0,P$3+ROUND((P$9*($L632-P$5)),0)),IF($L632&gt;P$4,P$3,ROUND($L632*P$7,0)))</f>
        <v/>
      </c>
      <c r="F632" s="447">
        <f>IF($L632&gt;Q$5,MAX(0,Q$3+ROUND((Q$9*($L632-Q$5)),0)),IF($L632&gt;Q$4,Q$3,ROUND($L632*Q$7,0)))</f>
        <v/>
      </c>
      <c r="G632" s="1378">
        <f>IF($L632&gt;R$5,MAX(0,R$3+ROUND((R$9*($L632-R$5)),0)),IF($L632&gt;R$4,R$3,ROUND($L632*R$7,0)))</f>
        <v/>
      </c>
      <c r="H632" s="448">
        <f>IF($L632&gt;S$5,MAX(0,S$3+ROUND((S$9*($L632-S$5)),0)),IF($L632&gt;S$4,S$3,ROUND($L632*S$7,0)))</f>
        <v/>
      </c>
      <c r="I632" s="448">
        <f>IF($L632&gt;T$5,MAX(0,T$3+ROUND((T$9*($L632-T$5)),0)),IF($L632&gt;T$4,T$3,ROUND($L632*T$7,0)))</f>
        <v/>
      </c>
      <c r="J632" s="447">
        <f>IF($L632&gt;U$5,MAX(0,U$3+ROUND((U$9*($L632-U$5)),0)),IF($L632&gt;U$4,U$3,ROUND($L632*U$7,0)))</f>
        <v/>
      </c>
      <c r="K632" s="422" t="n"/>
      <c r="L632" s="448">
        <f>ROUND((A632+B632)/2,2)</f>
        <v/>
      </c>
    </row>
    <row r="633" ht="13.5" customHeight="1" s="7635">
      <c r="A633" s="448" t="n">
        <v>31400</v>
      </c>
      <c r="B633" s="447" t="n">
        <v>31450</v>
      </c>
      <c r="C633" s="1378">
        <f>IF($L633&gt;N$5,MAX(0,N$3+ROUND((N$9*($L633-N$5)),0)),IF($L633&gt;N$4,N$3,ROUND($L633*N$7,0)))</f>
        <v/>
      </c>
      <c r="D633" s="448">
        <f>IF($L633&gt;O$5,MAX(0,O$3+ROUND((O$9*($L633-O$5)),0)),IF($L633&gt;O$4,O$3,ROUND($L633*O$7,0)))</f>
        <v/>
      </c>
      <c r="E633" s="448">
        <f>IF($L633&gt;P$5,MAX(0,P$3+ROUND((P$9*($L633-P$5)),0)),IF($L633&gt;P$4,P$3,ROUND($L633*P$7,0)))</f>
        <v/>
      </c>
      <c r="F633" s="447">
        <f>IF($L633&gt;Q$5,MAX(0,Q$3+ROUND((Q$9*($L633-Q$5)),0)),IF($L633&gt;Q$4,Q$3,ROUND($L633*Q$7,0)))</f>
        <v/>
      </c>
      <c r="G633" s="1378">
        <f>IF($L633&gt;R$5,MAX(0,R$3+ROUND((R$9*($L633-R$5)),0)),IF($L633&gt;R$4,R$3,ROUND($L633*R$7,0)))</f>
        <v/>
      </c>
      <c r="H633" s="448">
        <f>IF($L633&gt;S$5,MAX(0,S$3+ROUND((S$9*($L633-S$5)),0)),IF($L633&gt;S$4,S$3,ROUND($L633*S$7,0)))</f>
        <v/>
      </c>
      <c r="I633" s="448">
        <f>IF($L633&gt;T$5,MAX(0,T$3+ROUND((T$9*($L633-T$5)),0)),IF($L633&gt;T$4,T$3,ROUND($L633*T$7,0)))</f>
        <v/>
      </c>
      <c r="J633" s="447">
        <f>IF($L633&gt;U$5,MAX(0,U$3+ROUND((U$9*($L633-U$5)),0)),IF($L633&gt;U$4,U$3,ROUND($L633*U$7,0)))</f>
        <v/>
      </c>
      <c r="K633" s="422" t="n"/>
      <c r="L633" s="448">
        <f>ROUND((A633+B633)/2,2)</f>
        <v/>
      </c>
    </row>
    <row r="634" ht="13.5" customHeight="1" s="7635">
      <c r="A634" s="448" t="n">
        <v>31450</v>
      </c>
      <c r="B634" s="447" t="n">
        <v>31500</v>
      </c>
      <c r="C634" s="1378">
        <f>IF($L634&gt;N$5,MAX(0,N$3+ROUND((N$9*($L634-N$5)),0)),IF($L634&gt;N$4,N$3,ROUND($L634*N$7,0)))</f>
        <v/>
      </c>
      <c r="D634" s="448">
        <f>IF($L634&gt;O$5,MAX(0,O$3+ROUND((O$9*($L634-O$5)),0)),IF($L634&gt;O$4,O$3,ROUND($L634*O$7,0)))</f>
        <v/>
      </c>
      <c r="E634" s="448">
        <f>IF($L634&gt;P$5,MAX(0,P$3+ROUND((P$9*($L634-P$5)),0)),IF($L634&gt;P$4,P$3,ROUND($L634*P$7,0)))</f>
        <v/>
      </c>
      <c r="F634" s="447">
        <f>IF($L634&gt;Q$5,MAX(0,Q$3+ROUND((Q$9*($L634-Q$5)),0)),IF($L634&gt;Q$4,Q$3,ROUND($L634*Q$7,0)))</f>
        <v/>
      </c>
      <c r="G634" s="1378">
        <f>IF($L634&gt;R$5,MAX(0,R$3+ROUND((R$9*($L634-R$5)),0)),IF($L634&gt;R$4,R$3,ROUND($L634*R$7,0)))</f>
        <v/>
      </c>
      <c r="H634" s="448">
        <f>IF($L634&gt;S$5,MAX(0,S$3+ROUND((S$9*($L634-S$5)),0)),IF($L634&gt;S$4,S$3,ROUND($L634*S$7,0)))</f>
        <v/>
      </c>
      <c r="I634" s="448">
        <f>IF($L634&gt;T$5,MAX(0,T$3+ROUND((T$9*($L634-T$5)),0)),IF($L634&gt;T$4,T$3,ROUND($L634*T$7,0)))</f>
        <v/>
      </c>
      <c r="J634" s="447">
        <f>IF($L634&gt;U$5,MAX(0,U$3+ROUND((U$9*($L634-U$5)),0)),IF($L634&gt;U$4,U$3,ROUND($L634*U$7,0)))</f>
        <v/>
      </c>
      <c r="K634" s="422" t="n"/>
      <c r="L634" s="448">
        <f>ROUND((A634+B634)/2,2)</f>
        <v/>
      </c>
    </row>
    <row r="635" ht="13.5" customHeight="1" s="7635">
      <c r="A635" s="448" t="n">
        <v>31500</v>
      </c>
      <c r="B635" s="447" t="n">
        <v>31550</v>
      </c>
      <c r="C635" s="1378">
        <f>IF($L635&gt;N$5,MAX(0,N$3+ROUND((N$9*($L635-N$5)),0)),IF($L635&gt;N$4,N$3,ROUND($L635*N$7,0)))</f>
        <v/>
      </c>
      <c r="D635" s="448">
        <f>IF($L635&gt;O$5,MAX(0,O$3+ROUND((O$9*($L635-O$5)),0)),IF($L635&gt;O$4,O$3,ROUND($L635*O$7,0)))</f>
        <v/>
      </c>
      <c r="E635" s="448">
        <f>IF($L635&gt;P$5,MAX(0,P$3+ROUND((P$9*($L635-P$5)),0)),IF($L635&gt;P$4,P$3,ROUND($L635*P$7,0)))</f>
        <v/>
      </c>
      <c r="F635" s="447">
        <f>IF($L635&gt;Q$5,MAX(0,Q$3+ROUND((Q$9*($L635-Q$5)),0)),IF($L635&gt;Q$4,Q$3,ROUND($L635*Q$7,0)))</f>
        <v/>
      </c>
      <c r="G635" s="1378">
        <f>IF($L635&gt;R$5,MAX(0,R$3+ROUND((R$9*($L635-R$5)),0)),IF($L635&gt;R$4,R$3,ROUND($L635*R$7,0)))</f>
        <v/>
      </c>
      <c r="H635" s="448">
        <f>IF($L635&gt;S$5,MAX(0,S$3+ROUND((S$9*($L635-S$5)),0)),IF($L635&gt;S$4,S$3,ROUND($L635*S$7,0)))</f>
        <v/>
      </c>
      <c r="I635" s="448">
        <f>IF($L635&gt;T$5,MAX(0,T$3+ROUND((T$9*($L635-T$5)),0)),IF($L635&gt;T$4,T$3,ROUND($L635*T$7,0)))</f>
        <v/>
      </c>
      <c r="J635" s="447">
        <f>IF($L635&gt;U$5,MAX(0,U$3+ROUND((U$9*($L635-U$5)),0)),IF($L635&gt;U$4,U$3,ROUND($L635*U$7,0)))</f>
        <v/>
      </c>
      <c r="K635" s="422" t="n"/>
      <c r="L635" s="448">
        <f>ROUND((A635+B635)/2,2)</f>
        <v/>
      </c>
    </row>
    <row r="636" ht="13.5" customHeight="1" s="7635">
      <c r="A636" s="448" t="n">
        <v>31550</v>
      </c>
      <c r="B636" s="447" t="n">
        <v>31600</v>
      </c>
      <c r="C636" s="1378">
        <f>IF($L636&gt;N$5,MAX(0,N$3+ROUND((N$9*($L636-N$5)),0)),IF($L636&gt;N$4,N$3,ROUND($L636*N$7,0)))</f>
        <v/>
      </c>
      <c r="D636" s="448">
        <f>IF($L636&gt;O$5,MAX(0,O$3+ROUND((O$9*($L636-O$5)),0)),IF($L636&gt;O$4,O$3,ROUND($L636*O$7,0)))</f>
        <v/>
      </c>
      <c r="E636" s="448">
        <f>IF($L636&gt;P$5,MAX(0,P$3+ROUND((P$9*($L636-P$5)),0)),IF($L636&gt;P$4,P$3,ROUND($L636*P$7,0)))</f>
        <v/>
      </c>
      <c r="F636" s="447">
        <f>IF($L636&gt;Q$5,MAX(0,Q$3+ROUND((Q$9*($L636-Q$5)),0)),IF($L636&gt;Q$4,Q$3,ROUND($L636*Q$7,0)))</f>
        <v/>
      </c>
      <c r="G636" s="1378">
        <f>IF($L636&gt;R$5,MAX(0,R$3+ROUND((R$9*($L636-R$5)),0)),IF($L636&gt;R$4,R$3,ROUND($L636*R$7,0)))</f>
        <v/>
      </c>
      <c r="H636" s="448">
        <f>IF($L636&gt;S$5,MAX(0,S$3+ROUND((S$9*($L636-S$5)),0)),IF($L636&gt;S$4,S$3,ROUND($L636*S$7,0)))</f>
        <v/>
      </c>
      <c r="I636" s="448">
        <f>IF($L636&gt;T$5,MAX(0,T$3+ROUND((T$9*($L636-T$5)),0)),IF($L636&gt;T$4,T$3,ROUND($L636*T$7,0)))</f>
        <v/>
      </c>
      <c r="J636" s="447">
        <f>IF($L636&gt;U$5,MAX(0,U$3+ROUND((U$9*($L636-U$5)),0)),IF($L636&gt;U$4,U$3,ROUND($L636*U$7,0)))</f>
        <v/>
      </c>
      <c r="K636" s="422" t="n"/>
      <c r="L636" s="448">
        <f>ROUND((A636+B636)/2,2)</f>
        <v/>
      </c>
    </row>
    <row r="637" ht="13.5" customHeight="1" s="7635">
      <c r="A637" s="448" t="n">
        <v>31600</v>
      </c>
      <c r="B637" s="447" t="n">
        <v>31650</v>
      </c>
      <c r="C637" s="1378">
        <f>IF($L637&gt;N$5,MAX(0,N$3+ROUND((N$9*($L637-N$5)),0)),IF($L637&gt;N$4,N$3,ROUND($L637*N$7,0)))</f>
        <v/>
      </c>
      <c r="D637" s="448">
        <f>IF($L637&gt;O$5,MAX(0,O$3+ROUND((O$9*($L637-O$5)),0)),IF($L637&gt;O$4,O$3,ROUND($L637*O$7,0)))</f>
        <v/>
      </c>
      <c r="E637" s="448">
        <f>IF($L637&gt;P$5,MAX(0,P$3+ROUND((P$9*($L637-P$5)),0)),IF($L637&gt;P$4,P$3,ROUND($L637*P$7,0)))</f>
        <v/>
      </c>
      <c r="F637" s="447">
        <f>IF($L637&gt;Q$5,MAX(0,Q$3+ROUND((Q$9*($L637-Q$5)),0)),IF($L637&gt;Q$4,Q$3,ROUND($L637*Q$7,0)))</f>
        <v/>
      </c>
      <c r="G637" s="1378">
        <f>IF($L637&gt;R$5,MAX(0,R$3+ROUND((R$9*($L637-R$5)),0)),IF($L637&gt;R$4,R$3,ROUND($L637*R$7,0)))</f>
        <v/>
      </c>
      <c r="H637" s="448">
        <f>IF($L637&gt;S$5,MAX(0,S$3+ROUND((S$9*($L637-S$5)),0)),IF($L637&gt;S$4,S$3,ROUND($L637*S$7,0)))</f>
        <v/>
      </c>
      <c r="I637" s="448">
        <f>IF($L637&gt;T$5,MAX(0,T$3+ROUND((T$9*($L637-T$5)),0)),IF($L637&gt;T$4,T$3,ROUND($L637*T$7,0)))</f>
        <v/>
      </c>
      <c r="J637" s="447">
        <f>IF($L637&gt;U$5,MAX(0,U$3+ROUND((U$9*($L637-U$5)),0)),IF($L637&gt;U$4,U$3,ROUND($L637*U$7,0)))</f>
        <v/>
      </c>
      <c r="K637" s="422" t="n"/>
      <c r="L637" s="448">
        <f>ROUND((A637+B637)/2,2)</f>
        <v/>
      </c>
    </row>
    <row r="638" ht="13.5" customHeight="1" s="7635">
      <c r="A638" s="448" t="n">
        <v>31650</v>
      </c>
      <c r="B638" s="447" t="n">
        <v>31700</v>
      </c>
      <c r="C638" s="1378">
        <f>IF($L638&gt;N$5,MAX(0,N$3+ROUND((N$9*($L638-N$5)),0)),IF($L638&gt;N$4,N$3,ROUND($L638*N$7,0)))</f>
        <v/>
      </c>
      <c r="D638" s="448">
        <f>IF($L638&gt;O$5,MAX(0,O$3+ROUND((O$9*($L638-O$5)),0)),IF($L638&gt;O$4,O$3,ROUND($L638*O$7,0)))</f>
        <v/>
      </c>
      <c r="E638" s="448">
        <f>IF($L638&gt;P$5,MAX(0,P$3+ROUND((P$9*($L638-P$5)),0)),IF($L638&gt;P$4,P$3,ROUND($L638*P$7,0)))</f>
        <v/>
      </c>
      <c r="F638" s="447">
        <f>IF($L638&gt;Q$5,MAX(0,Q$3+ROUND((Q$9*($L638-Q$5)),0)),IF($L638&gt;Q$4,Q$3,ROUND($L638*Q$7,0)))</f>
        <v/>
      </c>
      <c r="G638" s="1378">
        <f>IF($L638&gt;R$5,MAX(0,R$3+ROUND((R$9*($L638-R$5)),0)),IF($L638&gt;R$4,R$3,ROUND($L638*R$7,0)))</f>
        <v/>
      </c>
      <c r="H638" s="448">
        <f>IF($L638&gt;S$5,MAX(0,S$3+ROUND((S$9*($L638-S$5)),0)),IF($L638&gt;S$4,S$3,ROUND($L638*S$7,0)))</f>
        <v/>
      </c>
      <c r="I638" s="448">
        <f>IF($L638&gt;T$5,MAX(0,T$3+ROUND((T$9*($L638-T$5)),0)),IF($L638&gt;T$4,T$3,ROUND($L638*T$7,0)))</f>
        <v/>
      </c>
      <c r="J638" s="447">
        <f>IF($L638&gt;U$5,MAX(0,U$3+ROUND((U$9*($L638-U$5)),0)),IF($L638&gt;U$4,U$3,ROUND($L638*U$7,0)))</f>
        <v/>
      </c>
      <c r="K638" s="422" t="n"/>
      <c r="L638" s="448">
        <f>ROUND((A638+B638)/2,2)</f>
        <v/>
      </c>
    </row>
    <row r="639" ht="13.5" customHeight="1" s="7635">
      <c r="A639" s="448" t="n">
        <v>31700</v>
      </c>
      <c r="B639" s="447" t="n">
        <v>31750</v>
      </c>
      <c r="C639" s="1378">
        <f>IF($L639&gt;N$5,MAX(0,N$3+ROUND((N$9*($L639-N$5)),0)),IF($L639&gt;N$4,N$3,ROUND($L639*N$7,0)))</f>
        <v/>
      </c>
      <c r="D639" s="448">
        <f>IF($L639&gt;O$5,MAX(0,O$3+ROUND((O$9*($L639-O$5)),0)),IF($L639&gt;O$4,O$3,ROUND($L639*O$7,0)))</f>
        <v/>
      </c>
      <c r="E639" s="448">
        <f>IF($L639&gt;P$5,MAX(0,P$3+ROUND((P$9*($L639-P$5)),0)),IF($L639&gt;P$4,P$3,ROUND($L639*P$7,0)))</f>
        <v/>
      </c>
      <c r="F639" s="447">
        <f>IF($L639&gt;Q$5,MAX(0,Q$3+ROUND((Q$9*($L639-Q$5)),0)),IF($L639&gt;Q$4,Q$3,ROUND($L639*Q$7,0)))</f>
        <v/>
      </c>
      <c r="G639" s="1378">
        <f>IF($L639&gt;R$5,MAX(0,R$3+ROUND((R$9*($L639-R$5)),0)),IF($L639&gt;R$4,R$3,ROUND($L639*R$7,0)))</f>
        <v/>
      </c>
      <c r="H639" s="448">
        <f>IF($L639&gt;S$5,MAX(0,S$3+ROUND((S$9*($L639-S$5)),0)),IF($L639&gt;S$4,S$3,ROUND($L639*S$7,0)))</f>
        <v/>
      </c>
      <c r="I639" s="448">
        <f>IF($L639&gt;T$5,MAX(0,T$3+ROUND((T$9*($L639-T$5)),0)),IF($L639&gt;T$4,T$3,ROUND($L639*T$7,0)))</f>
        <v/>
      </c>
      <c r="J639" s="447">
        <f>IF($L639&gt;U$5,MAX(0,U$3+ROUND((U$9*($L639-U$5)),0)),IF($L639&gt;U$4,U$3,ROUND($L639*U$7,0)))</f>
        <v/>
      </c>
      <c r="K639" s="422" t="n"/>
      <c r="L639" s="448">
        <f>ROUND((A639+B639)/2,2)</f>
        <v/>
      </c>
    </row>
    <row r="640" ht="13.5" customHeight="1" s="7635">
      <c r="A640" s="448" t="n">
        <v>31750</v>
      </c>
      <c r="B640" s="447" t="n">
        <v>31800</v>
      </c>
      <c r="C640" s="1378">
        <f>IF($L640&gt;N$5,MAX(0,N$3+ROUND((N$9*($L640-N$5)),0)),IF($L640&gt;N$4,N$3,ROUND($L640*N$7,0)))</f>
        <v/>
      </c>
      <c r="D640" s="448">
        <f>IF($L640&gt;O$5,MAX(0,O$3+ROUND((O$9*($L640-O$5)),0)),IF($L640&gt;O$4,O$3,ROUND($L640*O$7,0)))</f>
        <v/>
      </c>
      <c r="E640" s="448">
        <f>IF($L640&gt;P$5,MAX(0,P$3+ROUND((P$9*($L640-P$5)),0)),IF($L640&gt;P$4,P$3,ROUND($L640*P$7,0)))</f>
        <v/>
      </c>
      <c r="F640" s="447">
        <f>IF($L640&gt;Q$5,MAX(0,Q$3+ROUND((Q$9*($L640-Q$5)),0)),IF($L640&gt;Q$4,Q$3,ROUND($L640*Q$7,0)))</f>
        <v/>
      </c>
      <c r="G640" s="1378">
        <f>IF($L640&gt;R$5,MAX(0,R$3+ROUND((R$9*($L640-R$5)),0)),IF($L640&gt;R$4,R$3,ROUND($L640*R$7,0)))</f>
        <v/>
      </c>
      <c r="H640" s="448">
        <f>IF($L640&gt;S$5,MAX(0,S$3+ROUND((S$9*($L640-S$5)),0)),IF($L640&gt;S$4,S$3,ROUND($L640*S$7,0)))</f>
        <v/>
      </c>
      <c r="I640" s="448">
        <f>IF($L640&gt;T$5,MAX(0,T$3+ROUND((T$9*($L640-T$5)),0)),IF($L640&gt;T$4,T$3,ROUND($L640*T$7,0)))</f>
        <v/>
      </c>
      <c r="J640" s="447">
        <f>IF($L640&gt;U$5,MAX(0,U$3+ROUND((U$9*($L640-U$5)),0)),IF($L640&gt;U$4,U$3,ROUND($L640*U$7,0)))</f>
        <v/>
      </c>
      <c r="K640" s="422" t="n"/>
      <c r="L640" s="448">
        <f>ROUND((A640+B640)/2,2)</f>
        <v/>
      </c>
    </row>
    <row r="641" ht="13.5" customHeight="1" s="7635">
      <c r="A641" s="448" t="n">
        <v>31800</v>
      </c>
      <c r="B641" s="447" t="n">
        <v>31850</v>
      </c>
      <c r="C641" s="1378">
        <f>IF($L641&gt;N$5,MAX(0,N$3+ROUND((N$9*($L641-N$5)),0)),IF($L641&gt;N$4,N$3,ROUND($L641*N$7,0)))</f>
        <v/>
      </c>
      <c r="D641" s="448">
        <f>IF($L641&gt;O$5,MAX(0,O$3+ROUND((O$9*($L641-O$5)),0)),IF($L641&gt;O$4,O$3,ROUND($L641*O$7,0)))</f>
        <v/>
      </c>
      <c r="E641" s="448">
        <f>IF($L641&gt;P$5,MAX(0,P$3+ROUND((P$9*($L641-P$5)),0)),IF($L641&gt;P$4,P$3,ROUND($L641*P$7,0)))</f>
        <v/>
      </c>
      <c r="F641" s="447">
        <f>IF($L641&gt;Q$5,MAX(0,Q$3+ROUND((Q$9*($L641-Q$5)),0)),IF($L641&gt;Q$4,Q$3,ROUND($L641*Q$7,0)))</f>
        <v/>
      </c>
      <c r="G641" s="1378">
        <f>IF($L641&gt;R$5,MAX(0,R$3+ROUND((R$9*($L641-R$5)),0)),IF($L641&gt;R$4,R$3,ROUND($L641*R$7,0)))</f>
        <v/>
      </c>
      <c r="H641" s="448">
        <f>IF($L641&gt;S$5,MAX(0,S$3+ROUND((S$9*($L641-S$5)),0)),IF($L641&gt;S$4,S$3,ROUND($L641*S$7,0)))</f>
        <v/>
      </c>
      <c r="I641" s="448">
        <f>IF($L641&gt;T$5,MAX(0,T$3+ROUND((T$9*($L641-T$5)),0)),IF($L641&gt;T$4,T$3,ROUND($L641*T$7,0)))</f>
        <v/>
      </c>
      <c r="J641" s="447">
        <f>IF($L641&gt;U$5,MAX(0,U$3+ROUND((U$9*($L641-U$5)),0)),IF($L641&gt;U$4,U$3,ROUND($L641*U$7,0)))</f>
        <v/>
      </c>
      <c r="K641" s="422" t="n"/>
      <c r="L641" s="448">
        <f>ROUND((A641+B641)/2,2)</f>
        <v/>
      </c>
    </row>
    <row r="642" ht="13.5" customHeight="1" s="7635">
      <c r="A642" s="448" t="n">
        <v>31850</v>
      </c>
      <c r="B642" s="447" t="n">
        <v>31900</v>
      </c>
      <c r="C642" s="1378">
        <f>IF($L642&gt;N$5,MAX(0,N$3+ROUND((N$9*($L642-N$5)),0)),IF($L642&gt;N$4,N$3,ROUND($L642*N$7,0)))</f>
        <v/>
      </c>
      <c r="D642" s="448">
        <f>IF($L642&gt;O$5,MAX(0,O$3+ROUND((O$9*($L642-O$5)),0)),IF($L642&gt;O$4,O$3,ROUND($L642*O$7,0)))</f>
        <v/>
      </c>
      <c r="E642" s="448">
        <f>IF($L642&gt;P$5,MAX(0,P$3+ROUND((P$9*($L642-P$5)),0)),IF($L642&gt;P$4,P$3,ROUND($L642*P$7,0)))</f>
        <v/>
      </c>
      <c r="F642" s="447">
        <f>IF($L642&gt;Q$5,MAX(0,Q$3+ROUND((Q$9*($L642-Q$5)),0)),IF($L642&gt;Q$4,Q$3,ROUND($L642*Q$7,0)))</f>
        <v/>
      </c>
      <c r="G642" s="1378">
        <f>IF($L642&gt;R$5,MAX(0,R$3+ROUND((R$9*($L642-R$5)),0)),IF($L642&gt;R$4,R$3,ROUND($L642*R$7,0)))</f>
        <v/>
      </c>
      <c r="H642" s="448">
        <f>IF($L642&gt;S$5,MAX(0,S$3+ROUND((S$9*($L642-S$5)),0)),IF($L642&gt;S$4,S$3,ROUND($L642*S$7,0)))</f>
        <v/>
      </c>
      <c r="I642" s="448">
        <f>IF($L642&gt;T$5,MAX(0,T$3+ROUND((T$9*($L642-T$5)),0)),IF($L642&gt;T$4,T$3,ROUND($L642*T$7,0)))</f>
        <v/>
      </c>
      <c r="J642" s="447">
        <f>IF($L642&gt;U$5,MAX(0,U$3+ROUND((U$9*($L642-U$5)),0)),IF($L642&gt;U$4,U$3,ROUND($L642*U$7,0)))</f>
        <v/>
      </c>
      <c r="K642" s="422" t="n"/>
      <c r="L642" s="448">
        <f>ROUND((A642+B642)/2,2)</f>
        <v/>
      </c>
    </row>
    <row r="643" ht="13.5" customHeight="1" s="7635">
      <c r="A643" s="448" t="n">
        <v>31900</v>
      </c>
      <c r="B643" s="447" t="n">
        <v>31950</v>
      </c>
      <c r="C643" s="1378">
        <f>IF($L643&gt;N$5,MAX(0,N$3+ROUND((N$9*($L643-N$5)),0)),IF($L643&gt;N$4,N$3,ROUND($L643*N$7,0)))</f>
        <v/>
      </c>
      <c r="D643" s="448">
        <f>IF($L643&gt;O$5,MAX(0,O$3+ROUND((O$9*($L643-O$5)),0)),IF($L643&gt;O$4,O$3,ROUND($L643*O$7,0)))</f>
        <v/>
      </c>
      <c r="E643" s="448">
        <f>IF($L643&gt;P$5,MAX(0,P$3+ROUND((P$9*($L643-P$5)),0)),IF($L643&gt;P$4,P$3,ROUND($L643*P$7,0)))</f>
        <v/>
      </c>
      <c r="F643" s="447">
        <f>IF($L643&gt;Q$5,MAX(0,Q$3+ROUND((Q$9*($L643-Q$5)),0)),IF($L643&gt;Q$4,Q$3,ROUND($L643*Q$7,0)))</f>
        <v/>
      </c>
      <c r="G643" s="1378">
        <f>IF($L643&gt;R$5,MAX(0,R$3+ROUND((R$9*($L643-R$5)),0)),IF($L643&gt;R$4,R$3,ROUND($L643*R$7,0)))</f>
        <v/>
      </c>
      <c r="H643" s="448">
        <f>IF($L643&gt;S$5,MAX(0,S$3+ROUND((S$9*($L643-S$5)),0)),IF($L643&gt;S$4,S$3,ROUND($L643*S$7,0)))</f>
        <v/>
      </c>
      <c r="I643" s="448">
        <f>IF($L643&gt;T$5,MAX(0,T$3+ROUND((T$9*($L643-T$5)),0)),IF($L643&gt;T$4,T$3,ROUND($L643*T$7,0)))</f>
        <v/>
      </c>
      <c r="J643" s="447">
        <f>IF($L643&gt;U$5,MAX(0,U$3+ROUND((U$9*($L643-U$5)),0)),IF($L643&gt;U$4,U$3,ROUND($L643*U$7,0)))</f>
        <v/>
      </c>
      <c r="K643" s="422" t="n"/>
      <c r="L643" s="448">
        <f>ROUND((A643+B643)/2,2)</f>
        <v/>
      </c>
    </row>
    <row r="644" ht="13.5" customHeight="1" s="7635">
      <c r="A644" s="448" t="n">
        <v>31950</v>
      </c>
      <c r="B644" s="447" t="n">
        <v>32000</v>
      </c>
      <c r="C644" s="1378">
        <f>IF($L644&gt;N$5,MAX(0,N$3+ROUND((N$9*($L644-N$5)),0)),IF($L644&gt;N$4,N$3,ROUND($L644*N$7,0)))</f>
        <v/>
      </c>
      <c r="D644" s="448">
        <f>IF($L644&gt;O$5,MAX(0,O$3+ROUND((O$9*($L644-O$5)),0)),IF($L644&gt;O$4,O$3,ROUND($L644*O$7,0)))</f>
        <v/>
      </c>
      <c r="E644" s="448">
        <f>IF($L644&gt;P$5,MAX(0,P$3+ROUND((P$9*($L644-P$5)),0)),IF($L644&gt;P$4,P$3,ROUND($L644*P$7,0)))</f>
        <v/>
      </c>
      <c r="F644" s="447">
        <f>IF($L644&gt;Q$5,MAX(0,Q$3+ROUND((Q$9*($L644-Q$5)),0)),IF($L644&gt;Q$4,Q$3,ROUND($L644*Q$7,0)))</f>
        <v/>
      </c>
      <c r="G644" s="1378">
        <f>IF($L644&gt;R$5,MAX(0,R$3+ROUND((R$9*($L644-R$5)),0)),IF($L644&gt;R$4,R$3,ROUND($L644*R$7,0)))</f>
        <v/>
      </c>
      <c r="H644" s="448">
        <f>IF($L644&gt;S$5,MAX(0,S$3+ROUND((S$9*($L644-S$5)),0)),IF($L644&gt;S$4,S$3,ROUND($L644*S$7,0)))</f>
        <v/>
      </c>
      <c r="I644" s="448">
        <f>IF($L644&gt;T$5,MAX(0,T$3+ROUND((T$9*($L644-T$5)),0)),IF($L644&gt;T$4,T$3,ROUND($L644*T$7,0)))</f>
        <v/>
      </c>
      <c r="J644" s="447">
        <f>IF($L644&gt;U$5,MAX(0,U$3+ROUND((U$9*($L644-U$5)),0)),IF($L644&gt;U$4,U$3,ROUND($L644*U$7,0)))</f>
        <v/>
      </c>
      <c r="K644" s="422" t="n"/>
      <c r="L644" s="448">
        <f>ROUND((A644+B644)/2,2)</f>
        <v/>
      </c>
    </row>
    <row r="645" ht="13.5" customHeight="1" s="7635">
      <c r="A645" s="448" t="n">
        <v>32000</v>
      </c>
      <c r="B645" s="447" t="n">
        <v>32050</v>
      </c>
      <c r="C645" s="1378">
        <f>IF($L645&gt;N$5,MAX(0,N$3+ROUND((N$9*($L645-N$5)),0)),IF($L645&gt;N$4,N$3,ROUND($L645*N$7,0)))</f>
        <v/>
      </c>
      <c r="D645" s="448">
        <f>IF($L645&gt;O$5,MAX(0,O$3+ROUND((O$9*($L645-O$5)),0)),IF($L645&gt;O$4,O$3,ROUND($L645*O$7,0)))</f>
        <v/>
      </c>
      <c r="E645" s="448">
        <f>IF($L645&gt;P$5,MAX(0,P$3+ROUND((P$9*($L645-P$5)),0)),IF($L645&gt;P$4,P$3,ROUND($L645*P$7,0)))</f>
        <v/>
      </c>
      <c r="F645" s="447">
        <f>IF($L645&gt;Q$5,MAX(0,Q$3+ROUND((Q$9*($L645-Q$5)),0)),IF($L645&gt;Q$4,Q$3,ROUND($L645*Q$7,0)))</f>
        <v/>
      </c>
      <c r="G645" s="1378">
        <f>IF($L645&gt;R$5,MAX(0,R$3+ROUND((R$9*($L645-R$5)),0)),IF($L645&gt;R$4,R$3,ROUND($L645*R$7,0)))</f>
        <v/>
      </c>
      <c r="H645" s="448">
        <f>IF($L645&gt;S$5,MAX(0,S$3+ROUND((S$9*($L645-S$5)),0)),IF($L645&gt;S$4,S$3,ROUND($L645*S$7,0)))</f>
        <v/>
      </c>
      <c r="I645" s="448">
        <f>IF($L645&gt;T$5,MAX(0,T$3+ROUND((T$9*($L645-T$5)),0)),IF($L645&gt;T$4,T$3,ROUND($L645*T$7,0)))</f>
        <v/>
      </c>
      <c r="J645" s="447">
        <f>IF($L645&gt;U$5,MAX(0,U$3+ROUND((U$9*($L645-U$5)),0)),IF($L645&gt;U$4,U$3,ROUND($L645*U$7,0)))</f>
        <v/>
      </c>
      <c r="K645" s="422" t="n"/>
      <c r="L645" s="448">
        <f>ROUND((A645+B645)/2,2)</f>
        <v/>
      </c>
    </row>
    <row r="646" ht="13.5" customHeight="1" s="7635">
      <c r="A646" s="448" t="n">
        <v>32050</v>
      </c>
      <c r="B646" s="447" t="n">
        <v>32100</v>
      </c>
      <c r="C646" s="1378">
        <f>IF($L646&gt;N$5,MAX(0,N$3+ROUND((N$9*($L646-N$5)),0)),IF($L646&gt;N$4,N$3,ROUND($L646*N$7,0)))</f>
        <v/>
      </c>
      <c r="D646" s="448">
        <f>IF($L646&gt;O$5,MAX(0,O$3+ROUND((O$9*($L646-O$5)),0)),IF($L646&gt;O$4,O$3,ROUND($L646*O$7,0)))</f>
        <v/>
      </c>
      <c r="E646" s="448">
        <f>IF($L646&gt;P$5,MAX(0,P$3+ROUND((P$9*($L646-P$5)),0)),IF($L646&gt;P$4,P$3,ROUND($L646*P$7,0)))</f>
        <v/>
      </c>
      <c r="F646" s="447">
        <f>IF($L646&gt;Q$5,MAX(0,Q$3+ROUND((Q$9*($L646-Q$5)),0)),IF($L646&gt;Q$4,Q$3,ROUND($L646*Q$7,0)))</f>
        <v/>
      </c>
      <c r="G646" s="1378">
        <f>IF($L646&gt;R$5,MAX(0,R$3+ROUND((R$9*($L646-R$5)),0)),IF($L646&gt;R$4,R$3,ROUND($L646*R$7,0)))</f>
        <v/>
      </c>
      <c r="H646" s="448">
        <f>IF($L646&gt;S$5,MAX(0,S$3+ROUND((S$9*($L646-S$5)),0)),IF($L646&gt;S$4,S$3,ROUND($L646*S$7,0)))</f>
        <v/>
      </c>
      <c r="I646" s="448">
        <f>IF($L646&gt;T$5,MAX(0,T$3+ROUND((T$9*($L646-T$5)),0)),IF($L646&gt;T$4,T$3,ROUND($L646*T$7,0)))</f>
        <v/>
      </c>
      <c r="J646" s="447">
        <f>IF($L646&gt;U$5,MAX(0,U$3+ROUND((U$9*($L646-U$5)),0)),IF($L646&gt;U$4,U$3,ROUND($L646*U$7,0)))</f>
        <v/>
      </c>
      <c r="K646" s="422" t="n"/>
      <c r="L646" s="448">
        <f>ROUND((A646+B646)/2,2)</f>
        <v/>
      </c>
    </row>
    <row r="647" ht="13.5" customHeight="1" s="7635">
      <c r="A647" s="448" t="n">
        <v>32100</v>
      </c>
      <c r="B647" s="447" t="n">
        <v>32150</v>
      </c>
      <c r="C647" s="1378">
        <f>IF($L647&gt;N$5,MAX(0,N$3+ROUND((N$9*($L647-N$5)),0)),IF($L647&gt;N$4,N$3,ROUND($L647*N$7,0)))</f>
        <v/>
      </c>
      <c r="D647" s="448">
        <f>IF($L647&gt;O$5,MAX(0,O$3+ROUND((O$9*($L647-O$5)),0)),IF($L647&gt;O$4,O$3,ROUND($L647*O$7,0)))</f>
        <v/>
      </c>
      <c r="E647" s="448">
        <f>IF($L647&gt;P$5,MAX(0,P$3+ROUND((P$9*($L647-P$5)),0)),IF($L647&gt;P$4,P$3,ROUND($L647*P$7,0)))</f>
        <v/>
      </c>
      <c r="F647" s="447">
        <f>IF($L647&gt;Q$5,MAX(0,Q$3+ROUND((Q$9*($L647-Q$5)),0)),IF($L647&gt;Q$4,Q$3,ROUND($L647*Q$7,0)))</f>
        <v/>
      </c>
      <c r="G647" s="1378">
        <f>IF($L647&gt;R$5,MAX(0,R$3+ROUND((R$9*($L647-R$5)),0)),IF($L647&gt;R$4,R$3,ROUND($L647*R$7,0)))</f>
        <v/>
      </c>
      <c r="H647" s="448">
        <f>IF($L647&gt;S$5,MAX(0,S$3+ROUND((S$9*($L647-S$5)),0)),IF($L647&gt;S$4,S$3,ROUND($L647*S$7,0)))</f>
        <v/>
      </c>
      <c r="I647" s="448">
        <f>IF($L647&gt;T$5,MAX(0,T$3+ROUND((T$9*($L647-T$5)),0)),IF($L647&gt;T$4,T$3,ROUND($L647*T$7,0)))</f>
        <v/>
      </c>
      <c r="J647" s="447">
        <f>IF($L647&gt;U$5,MAX(0,U$3+ROUND((U$9*($L647-U$5)),0)),IF($L647&gt;U$4,U$3,ROUND($L647*U$7,0)))</f>
        <v/>
      </c>
      <c r="K647" s="422" t="n"/>
      <c r="L647" s="448">
        <f>ROUND((A647+B647)/2,2)</f>
        <v/>
      </c>
    </row>
    <row r="648" ht="13.5" customHeight="1" s="7635">
      <c r="A648" s="448" t="n">
        <v>32150</v>
      </c>
      <c r="B648" s="447" t="n">
        <v>32200</v>
      </c>
      <c r="C648" s="1378">
        <f>IF($L648&gt;N$5,MAX(0,N$3+ROUND((N$9*($L648-N$5)),0)),IF($L648&gt;N$4,N$3,ROUND($L648*N$7,0)))</f>
        <v/>
      </c>
      <c r="D648" s="448">
        <f>IF($L648&gt;O$5,MAX(0,O$3+ROUND((O$9*($L648-O$5)),0)),IF($L648&gt;O$4,O$3,ROUND($L648*O$7,0)))</f>
        <v/>
      </c>
      <c r="E648" s="448">
        <f>IF($L648&gt;P$5,MAX(0,P$3+ROUND((P$9*($L648-P$5)),0)),IF($L648&gt;P$4,P$3,ROUND($L648*P$7,0)))</f>
        <v/>
      </c>
      <c r="F648" s="447">
        <f>IF($L648&gt;Q$5,MAX(0,Q$3+ROUND((Q$9*($L648-Q$5)),0)),IF($L648&gt;Q$4,Q$3,ROUND($L648*Q$7,0)))</f>
        <v/>
      </c>
      <c r="G648" s="1378">
        <f>IF($L648&gt;R$5,MAX(0,R$3+ROUND((R$9*($L648-R$5)),0)),IF($L648&gt;R$4,R$3,ROUND($L648*R$7,0)))</f>
        <v/>
      </c>
      <c r="H648" s="448">
        <f>IF($L648&gt;S$5,MAX(0,S$3+ROUND((S$9*($L648-S$5)),0)),IF($L648&gt;S$4,S$3,ROUND($L648*S$7,0)))</f>
        <v/>
      </c>
      <c r="I648" s="448">
        <f>IF($L648&gt;T$5,MAX(0,T$3+ROUND((T$9*($L648-T$5)),0)),IF($L648&gt;T$4,T$3,ROUND($L648*T$7,0)))</f>
        <v/>
      </c>
      <c r="J648" s="447">
        <f>IF($L648&gt;U$5,MAX(0,U$3+ROUND((U$9*($L648-U$5)),0)),IF($L648&gt;U$4,U$3,ROUND($L648*U$7,0)))</f>
        <v/>
      </c>
      <c r="K648" s="422" t="n"/>
      <c r="L648" s="448">
        <f>ROUND((A648+B648)/2,2)</f>
        <v/>
      </c>
    </row>
    <row r="649" ht="13.5" customHeight="1" s="7635">
      <c r="A649" s="448" t="n">
        <v>32200</v>
      </c>
      <c r="B649" s="447" t="n">
        <v>32250</v>
      </c>
      <c r="C649" s="1378">
        <f>IF($L649&gt;N$5,MAX(0,N$3+ROUND((N$9*($L649-N$5)),0)),IF($L649&gt;N$4,N$3,ROUND($L649*N$7,0)))</f>
        <v/>
      </c>
      <c r="D649" s="448">
        <f>IF($L649&gt;O$5,MAX(0,O$3+ROUND((O$9*($L649-O$5)),0)),IF($L649&gt;O$4,O$3,ROUND($L649*O$7,0)))</f>
        <v/>
      </c>
      <c r="E649" s="448">
        <f>IF($L649&gt;P$5,MAX(0,P$3+ROUND((P$9*($L649-P$5)),0)),IF($L649&gt;P$4,P$3,ROUND($L649*P$7,0)))</f>
        <v/>
      </c>
      <c r="F649" s="447">
        <f>IF($L649&gt;Q$5,MAX(0,Q$3+ROUND((Q$9*($L649-Q$5)),0)),IF($L649&gt;Q$4,Q$3,ROUND($L649*Q$7,0)))</f>
        <v/>
      </c>
      <c r="G649" s="1378">
        <f>IF($L649&gt;R$5,MAX(0,R$3+ROUND((R$9*($L649-R$5)),0)),IF($L649&gt;R$4,R$3,ROUND($L649*R$7,0)))</f>
        <v/>
      </c>
      <c r="H649" s="448">
        <f>IF($L649&gt;S$5,MAX(0,S$3+ROUND((S$9*($L649-S$5)),0)),IF($L649&gt;S$4,S$3,ROUND($L649*S$7,0)))</f>
        <v/>
      </c>
      <c r="I649" s="448">
        <f>IF($L649&gt;T$5,MAX(0,T$3+ROUND((T$9*($L649-T$5)),0)),IF($L649&gt;T$4,T$3,ROUND($L649*T$7,0)))</f>
        <v/>
      </c>
      <c r="J649" s="447">
        <f>IF($L649&gt;U$5,MAX(0,U$3+ROUND((U$9*($L649-U$5)),0)),IF($L649&gt;U$4,U$3,ROUND($L649*U$7,0)))</f>
        <v/>
      </c>
      <c r="K649" s="422" t="n"/>
      <c r="L649" s="448">
        <f>ROUND((A649+B649)/2,2)</f>
        <v/>
      </c>
    </row>
    <row r="650" ht="13.5" customHeight="1" s="7635">
      <c r="A650" s="448" t="n">
        <v>32250</v>
      </c>
      <c r="B650" s="447" t="n">
        <v>32300</v>
      </c>
      <c r="C650" s="1378">
        <f>IF($L650&gt;N$5,MAX(0,N$3+ROUND((N$9*($L650-N$5)),0)),IF($L650&gt;N$4,N$3,ROUND($L650*N$7,0)))</f>
        <v/>
      </c>
      <c r="D650" s="448">
        <f>IF($L650&gt;O$5,MAX(0,O$3+ROUND((O$9*($L650-O$5)),0)),IF($L650&gt;O$4,O$3,ROUND($L650*O$7,0)))</f>
        <v/>
      </c>
      <c r="E650" s="448">
        <f>IF($L650&gt;P$5,MAX(0,P$3+ROUND((P$9*($L650-P$5)),0)),IF($L650&gt;P$4,P$3,ROUND($L650*P$7,0)))</f>
        <v/>
      </c>
      <c r="F650" s="447">
        <f>IF($L650&gt;Q$5,MAX(0,Q$3+ROUND((Q$9*($L650-Q$5)),0)),IF($L650&gt;Q$4,Q$3,ROUND($L650*Q$7,0)))</f>
        <v/>
      </c>
      <c r="G650" s="1378">
        <f>IF($L650&gt;R$5,MAX(0,R$3+ROUND((R$9*($L650-R$5)),0)),IF($L650&gt;R$4,R$3,ROUND($L650*R$7,0)))</f>
        <v/>
      </c>
      <c r="H650" s="448">
        <f>IF($L650&gt;S$5,MAX(0,S$3+ROUND((S$9*($L650-S$5)),0)),IF($L650&gt;S$4,S$3,ROUND($L650*S$7,0)))</f>
        <v/>
      </c>
      <c r="I650" s="448">
        <f>IF($L650&gt;T$5,MAX(0,T$3+ROUND((T$9*($L650-T$5)),0)),IF($L650&gt;T$4,T$3,ROUND($L650*T$7,0)))</f>
        <v/>
      </c>
      <c r="J650" s="447">
        <f>IF($L650&gt;U$5,MAX(0,U$3+ROUND((U$9*($L650-U$5)),0)),IF($L650&gt;U$4,U$3,ROUND($L650*U$7,0)))</f>
        <v/>
      </c>
      <c r="K650" s="422" t="n"/>
      <c r="L650" s="448">
        <f>ROUND((A650+B650)/2,2)</f>
        <v/>
      </c>
    </row>
    <row r="651" ht="13.5" customHeight="1" s="7635">
      <c r="A651" s="448" t="n">
        <v>32300</v>
      </c>
      <c r="B651" s="447" t="n">
        <v>32350</v>
      </c>
      <c r="C651" s="1378">
        <f>IF($L651&gt;N$5,MAX(0,N$3+ROUND((N$9*($L651-N$5)),0)),IF($L651&gt;N$4,N$3,ROUND($L651*N$7,0)))</f>
        <v/>
      </c>
      <c r="D651" s="448">
        <f>IF($L651&gt;O$5,MAX(0,O$3+ROUND((O$9*($L651-O$5)),0)),IF($L651&gt;O$4,O$3,ROUND($L651*O$7,0)))</f>
        <v/>
      </c>
      <c r="E651" s="448">
        <f>IF($L651&gt;P$5,MAX(0,P$3+ROUND((P$9*($L651-P$5)),0)),IF($L651&gt;P$4,P$3,ROUND($L651*P$7,0)))</f>
        <v/>
      </c>
      <c r="F651" s="447">
        <f>IF($L651&gt;Q$5,MAX(0,Q$3+ROUND((Q$9*($L651-Q$5)),0)),IF($L651&gt;Q$4,Q$3,ROUND($L651*Q$7,0)))</f>
        <v/>
      </c>
      <c r="G651" s="1378">
        <f>IF($L651&gt;R$5,MAX(0,R$3+ROUND((R$9*($L651-R$5)),0)),IF($L651&gt;R$4,R$3,ROUND($L651*R$7,0)))</f>
        <v/>
      </c>
      <c r="H651" s="448">
        <f>IF($L651&gt;S$5,MAX(0,S$3+ROUND((S$9*($L651-S$5)),0)),IF($L651&gt;S$4,S$3,ROUND($L651*S$7,0)))</f>
        <v/>
      </c>
      <c r="I651" s="448">
        <f>IF($L651&gt;T$5,MAX(0,T$3+ROUND((T$9*($L651-T$5)),0)),IF($L651&gt;T$4,T$3,ROUND($L651*T$7,0)))</f>
        <v/>
      </c>
      <c r="J651" s="447">
        <f>IF($L651&gt;U$5,MAX(0,U$3+ROUND((U$9*($L651-U$5)),0)),IF($L651&gt;U$4,U$3,ROUND($L651*U$7,0)))</f>
        <v/>
      </c>
      <c r="K651" s="422" t="n"/>
      <c r="L651" s="448">
        <f>ROUND((A651+B651)/2,2)</f>
        <v/>
      </c>
    </row>
    <row r="652" ht="13.5" customHeight="1" s="7635">
      <c r="A652" s="448" t="n">
        <v>32350</v>
      </c>
      <c r="B652" s="447" t="n">
        <v>32400</v>
      </c>
      <c r="C652" s="1378">
        <f>IF($L652&gt;N$5,MAX(0,N$3+ROUND((N$9*($L652-N$5)),0)),IF($L652&gt;N$4,N$3,ROUND($L652*N$7,0)))</f>
        <v/>
      </c>
      <c r="D652" s="448">
        <f>IF($L652&gt;O$5,MAX(0,O$3+ROUND((O$9*($L652-O$5)),0)),IF($L652&gt;O$4,O$3,ROUND($L652*O$7,0)))</f>
        <v/>
      </c>
      <c r="E652" s="448">
        <f>IF($L652&gt;P$5,MAX(0,P$3+ROUND((P$9*($L652-P$5)),0)),IF($L652&gt;P$4,P$3,ROUND($L652*P$7,0)))</f>
        <v/>
      </c>
      <c r="F652" s="447">
        <f>IF($L652&gt;Q$5,MAX(0,Q$3+ROUND((Q$9*($L652-Q$5)),0)),IF($L652&gt;Q$4,Q$3,ROUND($L652*Q$7,0)))</f>
        <v/>
      </c>
      <c r="G652" s="1378">
        <f>IF($L652&gt;R$5,MAX(0,R$3+ROUND((R$9*($L652-R$5)),0)),IF($L652&gt;R$4,R$3,ROUND($L652*R$7,0)))</f>
        <v/>
      </c>
      <c r="H652" s="448">
        <f>IF($L652&gt;S$5,MAX(0,S$3+ROUND((S$9*($L652-S$5)),0)),IF($L652&gt;S$4,S$3,ROUND($L652*S$7,0)))</f>
        <v/>
      </c>
      <c r="I652" s="448">
        <f>IF($L652&gt;T$5,MAX(0,T$3+ROUND((T$9*($L652-T$5)),0)),IF($L652&gt;T$4,T$3,ROUND($L652*T$7,0)))</f>
        <v/>
      </c>
      <c r="J652" s="447">
        <f>IF($L652&gt;U$5,MAX(0,U$3+ROUND((U$9*($L652-U$5)),0)),IF($L652&gt;U$4,U$3,ROUND($L652*U$7,0)))</f>
        <v/>
      </c>
      <c r="K652" s="422" t="n"/>
      <c r="L652" s="448">
        <f>ROUND((A652+B652)/2,2)</f>
        <v/>
      </c>
    </row>
    <row r="653" ht="13.5" customHeight="1" s="7635">
      <c r="A653" s="448" t="n">
        <v>32400</v>
      </c>
      <c r="B653" s="447" t="n">
        <v>32450</v>
      </c>
      <c r="C653" s="1378">
        <f>IF($L653&gt;N$5,MAX(0,N$3+ROUND((N$9*($L653-N$5)),0)),IF($L653&gt;N$4,N$3,ROUND($L653*N$7,0)))</f>
        <v/>
      </c>
      <c r="D653" s="448">
        <f>IF($L653&gt;O$5,MAX(0,O$3+ROUND((O$9*($L653-O$5)),0)),IF($L653&gt;O$4,O$3,ROUND($L653*O$7,0)))</f>
        <v/>
      </c>
      <c r="E653" s="448">
        <f>IF($L653&gt;P$5,MAX(0,P$3+ROUND((P$9*($L653-P$5)),0)),IF($L653&gt;P$4,P$3,ROUND($L653*P$7,0)))</f>
        <v/>
      </c>
      <c r="F653" s="447">
        <f>IF($L653&gt;Q$5,MAX(0,Q$3+ROUND((Q$9*($L653-Q$5)),0)),IF($L653&gt;Q$4,Q$3,ROUND($L653*Q$7,0)))</f>
        <v/>
      </c>
      <c r="G653" s="1378">
        <f>IF($L653&gt;R$5,MAX(0,R$3+ROUND((R$9*($L653-R$5)),0)),IF($L653&gt;R$4,R$3,ROUND($L653*R$7,0)))</f>
        <v/>
      </c>
      <c r="H653" s="448">
        <f>IF($L653&gt;S$5,MAX(0,S$3+ROUND((S$9*($L653-S$5)),0)),IF($L653&gt;S$4,S$3,ROUND($L653*S$7,0)))</f>
        <v/>
      </c>
      <c r="I653" s="448">
        <f>IF($L653&gt;T$5,MAX(0,T$3+ROUND((T$9*($L653-T$5)),0)),IF($L653&gt;T$4,T$3,ROUND($L653*T$7,0)))</f>
        <v/>
      </c>
      <c r="J653" s="447">
        <f>IF($L653&gt;U$5,MAX(0,U$3+ROUND((U$9*($L653-U$5)),0)),IF($L653&gt;U$4,U$3,ROUND($L653*U$7,0)))</f>
        <v/>
      </c>
      <c r="K653" s="422" t="n"/>
      <c r="L653" s="448">
        <f>ROUND((A653+B653)/2,2)</f>
        <v/>
      </c>
    </row>
    <row r="654" ht="13.5" customHeight="1" s="7635">
      <c r="A654" s="448" t="n">
        <v>32450</v>
      </c>
      <c r="B654" s="447" t="n">
        <v>32500</v>
      </c>
      <c r="C654" s="1378">
        <f>IF($L654&gt;N$5,MAX(0,N$3+ROUND((N$9*($L654-N$5)),0)),IF($L654&gt;N$4,N$3,ROUND($L654*N$7,0)))</f>
        <v/>
      </c>
      <c r="D654" s="448">
        <f>IF($L654&gt;O$5,MAX(0,O$3+ROUND((O$9*($L654-O$5)),0)),IF($L654&gt;O$4,O$3,ROUND($L654*O$7,0)))</f>
        <v/>
      </c>
      <c r="E654" s="448">
        <f>IF($L654&gt;P$5,MAX(0,P$3+ROUND((P$9*($L654-P$5)),0)),IF($L654&gt;P$4,P$3,ROUND($L654*P$7,0)))</f>
        <v/>
      </c>
      <c r="F654" s="447">
        <f>IF($L654&gt;Q$5,MAX(0,Q$3+ROUND((Q$9*($L654-Q$5)),0)),IF($L654&gt;Q$4,Q$3,ROUND($L654*Q$7,0)))</f>
        <v/>
      </c>
      <c r="G654" s="1378">
        <f>IF($L654&gt;R$5,MAX(0,R$3+ROUND((R$9*($L654-R$5)),0)),IF($L654&gt;R$4,R$3,ROUND($L654*R$7,0)))</f>
        <v/>
      </c>
      <c r="H654" s="448">
        <f>IF($L654&gt;S$5,MAX(0,S$3+ROUND((S$9*($L654-S$5)),0)),IF($L654&gt;S$4,S$3,ROUND($L654*S$7,0)))</f>
        <v/>
      </c>
      <c r="I654" s="448">
        <f>IF($L654&gt;T$5,MAX(0,T$3+ROUND((T$9*($L654-T$5)),0)),IF($L654&gt;T$4,T$3,ROUND($L654*T$7,0)))</f>
        <v/>
      </c>
      <c r="J654" s="447">
        <f>IF($L654&gt;U$5,MAX(0,U$3+ROUND((U$9*($L654-U$5)),0)),IF($L654&gt;U$4,U$3,ROUND($L654*U$7,0)))</f>
        <v/>
      </c>
      <c r="K654" s="422" t="n"/>
      <c r="L654" s="448">
        <f>ROUND((A654+B654)/2,2)</f>
        <v/>
      </c>
    </row>
    <row r="655" ht="13.5" customHeight="1" s="7635">
      <c r="A655" s="448" t="n">
        <v>32500</v>
      </c>
      <c r="B655" s="447" t="n">
        <v>32550</v>
      </c>
      <c r="C655" s="1378">
        <f>IF($L655&gt;N$5,MAX(0,N$3+ROUND((N$9*($L655-N$5)),0)),IF($L655&gt;N$4,N$3,ROUND($L655*N$7,0)))</f>
        <v/>
      </c>
      <c r="D655" s="448">
        <f>IF($L655&gt;O$5,MAX(0,O$3+ROUND((O$9*($L655-O$5)),0)),IF($L655&gt;O$4,O$3,ROUND($L655*O$7,0)))</f>
        <v/>
      </c>
      <c r="E655" s="448">
        <f>IF($L655&gt;P$5,MAX(0,P$3+ROUND((P$9*($L655-P$5)),0)),IF($L655&gt;P$4,P$3,ROUND($L655*P$7,0)))</f>
        <v/>
      </c>
      <c r="F655" s="447">
        <f>IF($L655&gt;Q$5,MAX(0,Q$3+ROUND((Q$9*($L655-Q$5)),0)),IF($L655&gt;Q$4,Q$3,ROUND($L655*Q$7,0)))</f>
        <v/>
      </c>
      <c r="G655" s="1378">
        <f>IF($L655&gt;R$5,MAX(0,R$3+ROUND((R$9*($L655-R$5)),0)),IF($L655&gt;R$4,R$3,ROUND($L655*R$7,0)))</f>
        <v/>
      </c>
      <c r="H655" s="448">
        <f>IF($L655&gt;S$5,MAX(0,S$3+ROUND((S$9*($L655-S$5)),0)),IF($L655&gt;S$4,S$3,ROUND($L655*S$7,0)))</f>
        <v/>
      </c>
      <c r="I655" s="448">
        <f>IF($L655&gt;T$5,MAX(0,T$3+ROUND((T$9*($L655-T$5)),0)),IF($L655&gt;T$4,T$3,ROUND($L655*T$7,0)))</f>
        <v/>
      </c>
      <c r="J655" s="447">
        <f>IF($L655&gt;U$5,MAX(0,U$3+ROUND((U$9*($L655-U$5)),0)),IF($L655&gt;U$4,U$3,ROUND($L655*U$7,0)))</f>
        <v/>
      </c>
      <c r="K655" s="422" t="n"/>
      <c r="L655" s="448">
        <f>ROUND((A655+B655)/2,2)</f>
        <v/>
      </c>
    </row>
    <row r="656" ht="13.5" customHeight="1" s="7635">
      <c r="A656" s="448" t="n">
        <v>32550</v>
      </c>
      <c r="B656" s="447" t="n">
        <v>32600</v>
      </c>
      <c r="C656" s="1378">
        <f>IF($L656&gt;N$5,MAX(0,N$3+ROUND((N$9*($L656-N$5)),0)),IF($L656&gt;N$4,N$3,ROUND($L656*N$7,0)))</f>
        <v/>
      </c>
      <c r="D656" s="448">
        <f>IF($L656&gt;O$5,MAX(0,O$3+ROUND((O$9*($L656-O$5)),0)),IF($L656&gt;O$4,O$3,ROUND($L656*O$7,0)))</f>
        <v/>
      </c>
      <c r="E656" s="448">
        <f>IF($L656&gt;P$5,MAX(0,P$3+ROUND((P$9*($L656-P$5)),0)),IF($L656&gt;P$4,P$3,ROUND($L656*P$7,0)))</f>
        <v/>
      </c>
      <c r="F656" s="447">
        <f>IF($L656&gt;Q$5,MAX(0,Q$3+ROUND((Q$9*($L656-Q$5)),0)),IF($L656&gt;Q$4,Q$3,ROUND($L656*Q$7,0)))</f>
        <v/>
      </c>
      <c r="G656" s="1378">
        <f>IF($L656&gt;R$5,MAX(0,R$3+ROUND((R$9*($L656-R$5)),0)),IF($L656&gt;R$4,R$3,ROUND($L656*R$7,0)))</f>
        <v/>
      </c>
      <c r="H656" s="448">
        <f>IF($L656&gt;S$5,MAX(0,S$3+ROUND((S$9*($L656-S$5)),0)),IF($L656&gt;S$4,S$3,ROUND($L656*S$7,0)))</f>
        <v/>
      </c>
      <c r="I656" s="448">
        <f>IF($L656&gt;T$5,MAX(0,T$3+ROUND((T$9*($L656-T$5)),0)),IF($L656&gt;T$4,T$3,ROUND($L656*T$7,0)))</f>
        <v/>
      </c>
      <c r="J656" s="447">
        <f>IF($L656&gt;U$5,MAX(0,U$3+ROUND((U$9*($L656-U$5)),0)),IF($L656&gt;U$4,U$3,ROUND($L656*U$7,0)))</f>
        <v/>
      </c>
      <c r="K656" s="422" t="n"/>
      <c r="L656" s="448">
        <f>ROUND((A656+B656)/2,2)</f>
        <v/>
      </c>
    </row>
    <row r="657" ht="13.5" customHeight="1" s="7635">
      <c r="A657" s="448" t="n">
        <v>32600</v>
      </c>
      <c r="B657" s="447" t="n">
        <v>32650</v>
      </c>
      <c r="C657" s="1378">
        <f>IF($L657&gt;N$5,MAX(0,N$3+ROUND((N$9*($L657-N$5)),0)),IF($L657&gt;N$4,N$3,ROUND($L657*N$7,0)))</f>
        <v/>
      </c>
      <c r="D657" s="448">
        <f>IF($L657&gt;O$5,MAX(0,O$3+ROUND((O$9*($L657-O$5)),0)),IF($L657&gt;O$4,O$3,ROUND($L657*O$7,0)))</f>
        <v/>
      </c>
      <c r="E657" s="448">
        <f>IF($L657&gt;P$5,MAX(0,P$3+ROUND((P$9*($L657-P$5)),0)),IF($L657&gt;P$4,P$3,ROUND($L657*P$7,0)))</f>
        <v/>
      </c>
      <c r="F657" s="447">
        <f>IF($L657&gt;Q$5,MAX(0,Q$3+ROUND((Q$9*($L657-Q$5)),0)),IF($L657&gt;Q$4,Q$3,ROUND($L657*Q$7,0)))</f>
        <v/>
      </c>
      <c r="G657" s="1378">
        <f>IF($L657&gt;R$5,MAX(0,R$3+ROUND((R$9*($L657-R$5)),0)),IF($L657&gt;R$4,R$3,ROUND($L657*R$7,0)))</f>
        <v/>
      </c>
      <c r="H657" s="448">
        <f>IF($L657&gt;S$5,MAX(0,S$3+ROUND((S$9*($L657-S$5)),0)),IF($L657&gt;S$4,S$3,ROUND($L657*S$7,0)))</f>
        <v/>
      </c>
      <c r="I657" s="448">
        <f>IF($L657&gt;T$5,MAX(0,T$3+ROUND((T$9*($L657-T$5)),0)),IF($L657&gt;T$4,T$3,ROUND($L657*T$7,0)))</f>
        <v/>
      </c>
      <c r="J657" s="447">
        <f>IF($L657&gt;U$5,MAX(0,U$3+ROUND((U$9*($L657-U$5)),0)),IF($L657&gt;U$4,U$3,ROUND($L657*U$7,0)))</f>
        <v/>
      </c>
      <c r="K657" s="422" t="n"/>
      <c r="L657" s="448">
        <f>ROUND((A657+B657)/2,2)</f>
        <v/>
      </c>
    </row>
    <row r="658" ht="13.5" customHeight="1" s="7635">
      <c r="A658" s="448" t="n">
        <v>32650</v>
      </c>
      <c r="B658" s="447" t="n">
        <v>32700</v>
      </c>
      <c r="C658" s="1378">
        <f>IF($L658&gt;N$5,MAX(0,N$3+ROUND((N$9*($L658-N$5)),0)),IF($L658&gt;N$4,N$3,ROUND($L658*N$7,0)))</f>
        <v/>
      </c>
      <c r="D658" s="448">
        <f>IF($L658&gt;O$5,MAX(0,O$3+ROUND((O$9*($L658-O$5)),0)),IF($L658&gt;O$4,O$3,ROUND($L658*O$7,0)))</f>
        <v/>
      </c>
      <c r="E658" s="448">
        <f>IF($L658&gt;P$5,MAX(0,P$3+ROUND((P$9*($L658-P$5)),0)),IF($L658&gt;P$4,P$3,ROUND($L658*P$7,0)))</f>
        <v/>
      </c>
      <c r="F658" s="447">
        <f>IF($L658&gt;Q$5,MAX(0,Q$3+ROUND((Q$9*($L658-Q$5)),0)),IF($L658&gt;Q$4,Q$3,ROUND($L658*Q$7,0)))</f>
        <v/>
      </c>
      <c r="G658" s="1378">
        <f>IF($L658&gt;R$5,MAX(0,R$3+ROUND((R$9*($L658-R$5)),0)),IF($L658&gt;R$4,R$3,ROUND($L658*R$7,0)))</f>
        <v/>
      </c>
      <c r="H658" s="448">
        <f>IF($L658&gt;S$5,MAX(0,S$3+ROUND((S$9*($L658-S$5)),0)),IF($L658&gt;S$4,S$3,ROUND($L658*S$7,0)))</f>
        <v/>
      </c>
      <c r="I658" s="448">
        <f>IF($L658&gt;T$5,MAX(0,T$3+ROUND((T$9*($L658-T$5)),0)),IF($L658&gt;T$4,T$3,ROUND($L658*T$7,0)))</f>
        <v/>
      </c>
      <c r="J658" s="447">
        <f>IF($L658&gt;U$5,MAX(0,U$3+ROUND((U$9*($L658-U$5)),0)),IF($L658&gt;U$4,U$3,ROUND($L658*U$7,0)))</f>
        <v/>
      </c>
      <c r="K658" s="422" t="n"/>
      <c r="L658" s="448">
        <f>ROUND((A658+B658)/2,2)</f>
        <v/>
      </c>
    </row>
    <row r="659" ht="13.5" customHeight="1" s="7635">
      <c r="A659" s="448" t="n">
        <v>32700</v>
      </c>
      <c r="B659" s="447" t="n">
        <v>32750</v>
      </c>
      <c r="C659" s="1378">
        <f>IF($L659&gt;N$5,MAX(0,N$3+ROUND((N$9*($L659-N$5)),0)),IF($L659&gt;N$4,N$3,ROUND($L659*N$7,0)))</f>
        <v/>
      </c>
      <c r="D659" s="448">
        <f>IF($L659&gt;O$5,MAX(0,O$3+ROUND((O$9*($L659-O$5)),0)),IF($L659&gt;O$4,O$3,ROUND($L659*O$7,0)))</f>
        <v/>
      </c>
      <c r="E659" s="448">
        <f>IF($L659&gt;P$5,MAX(0,P$3+ROUND((P$9*($L659-P$5)),0)),IF($L659&gt;P$4,P$3,ROUND($L659*P$7,0)))</f>
        <v/>
      </c>
      <c r="F659" s="447">
        <f>IF($L659&gt;Q$5,MAX(0,Q$3+ROUND((Q$9*($L659-Q$5)),0)),IF($L659&gt;Q$4,Q$3,ROUND($L659*Q$7,0)))</f>
        <v/>
      </c>
      <c r="G659" s="1378">
        <f>IF($L659&gt;R$5,MAX(0,R$3+ROUND((R$9*($L659-R$5)),0)),IF($L659&gt;R$4,R$3,ROUND($L659*R$7,0)))</f>
        <v/>
      </c>
      <c r="H659" s="448">
        <f>IF($L659&gt;S$5,MAX(0,S$3+ROUND((S$9*($L659-S$5)),0)),IF($L659&gt;S$4,S$3,ROUND($L659*S$7,0)))</f>
        <v/>
      </c>
      <c r="I659" s="448">
        <f>IF($L659&gt;T$5,MAX(0,T$3+ROUND((T$9*($L659-T$5)),0)),IF($L659&gt;T$4,T$3,ROUND($L659*T$7,0)))</f>
        <v/>
      </c>
      <c r="J659" s="447">
        <f>IF($L659&gt;U$5,MAX(0,U$3+ROUND((U$9*($L659-U$5)),0)),IF($L659&gt;U$4,U$3,ROUND($L659*U$7,0)))</f>
        <v/>
      </c>
      <c r="K659" s="422" t="n"/>
      <c r="L659" s="448">
        <f>ROUND((A659+B659)/2,2)</f>
        <v/>
      </c>
    </row>
    <row r="660" ht="13.5" customHeight="1" s="7635">
      <c r="A660" s="448" t="n">
        <v>32750</v>
      </c>
      <c r="B660" s="447" t="n">
        <v>32800</v>
      </c>
      <c r="C660" s="1378">
        <f>IF($L660&gt;N$5,MAX(0,N$3+ROUND((N$9*($L660-N$5)),0)),IF($L660&gt;N$4,N$3,ROUND($L660*N$7,0)))</f>
        <v/>
      </c>
      <c r="D660" s="448">
        <f>IF($L660&gt;O$5,MAX(0,O$3+ROUND((O$9*($L660-O$5)),0)),IF($L660&gt;O$4,O$3,ROUND($L660*O$7,0)))</f>
        <v/>
      </c>
      <c r="E660" s="448">
        <f>IF($L660&gt;P$5,MAX(0,P$3+ROUND((P$9*($L660-P$5)),0)),IF($L660&gt;P$4,P$3,ROUND($L660*P$7,0)))</f>
        <v/>
      </c>
      <c r="F660" s="447">
        <f>IF($L660&gt;Q$5,MAX(0,Q$3+ROUND((Q$9*($L660-Q$5)),0)),IF($L660&gt;Q$4,Q$3,ROUND($L660*Q$7,0)))</f>
        <v/>
      </c>
      <c r="G660" s="1378">
        <f>IF($L660&gt;R$5,MAX(0,R$3+ROUND((R$9*($L660-R$5)),0)),IF($L660&gt;R$4,R$3,ROUND($L660*R$7,0)))</f>
        <v/>
      </c>
      <c r="H660" s="448">
        <f>IF($L660&gt;S$5,MAX(0,S$3+ROUND((S$9*($L660-S$5)),0)),IF($L660&gt;S$4,S$3,ROUND($L660*S$7,0)))</f>
        <v/>
      </c>
      <c r="I660" s="448">
        <f>IF($L660&gt;T$5,MAX(0,T$3+ROUND((T$9*($L660-T$5)),0)),IF($L660&gt;T$4,T$3,ROUND($L660*T$7,0)))</f>
        <v/>
      </c>
      <c r="J660" s="447">
        <f>IF($L660&gt;U$5,MAX(0,U$3+ROUND((U$9*($L660-U$5)),0)),IF($L660&gt;U$4,U$3,ROUND($L660*U$7,0)))</f>
        <v/>
      </c>
      <c r="K660" s="422" t="n"/>
      <c r="L660" s="448">
        <f>ROUND((A660+B660)/2,2)</f>
        <v/>
      </c>
    </row>
    <row r="661" ht="13.5" customHeight="1" s="7635">
      <c r="A661" s="448" t="n">
        <v>32800</v>
      </c>
      <c r="B661" s="447" t="n">
        <v>32850</v>
      </c>
      <c r="C661" s="1378">
        <f>IF($L661&gt;N$5,MAX(0,N$3+ROUND((N$9*($L661-N$5)),0)),IF($L661&gt;N$4,N$3,ROUND($L661*N$7,0)))</f>
        <v/>
      </c>
      <c r="D661" s="448">
        <f>IF($L661&gt;O$5,MAX(0,O$3+ROUND((O$9*($L661-O$5)),0)),IF($L661&gt;O$4,O$3,ROUND($L661*O$7,0)))</f>
        <v/>
      </c>
      <c r="E661" s="448">
        <f>IF($L661&gt;P$5,MAX(0,P$3+ROUND((P$9*($L661-P$5)),0)),IF($L661&gt;P$4,P$3,ROUND($L661*P$7,0)))</f>
        <v/>
      </c>
      <c r="F661" s="447">
        <f>IF($L661&gt;Q$5,MAX(0,Q$3+ROUND((Q$9*($L661-Q$5)),0)),IF($L661&gt;Q$4,Q$3,ROUND($L661*Q$7,0)))</f>
        <v/>
      </c>
      <c r="G661" s="1378">
        <f>IF($L661&gt;R$5,MAX(0,R$3+ROUND((R$9*($L661-R$5)),0)),IF($L661&gt;R$4,R$3,ROUND($L661*R$7,0)))</f>
        <v/>
      </c>
      <c r="H661" s="448">
        <f>IF($L661&gt;S$5,MAX(0,S$3+ROUND((S$9*($L661-S$5)),0)),IF($L661&gt;S$4,S$3,ROUND($L661*S$7,0)))</f>
        <v/>
      </c>
      <c r="I661" s="448">
        <f>IF($L661&gt;T$5,MAX(0,T$3+ROUND((T$9*($L661-T$5)),0)),IF($L661&gt;T$4,T$3,ROUND($L661*T$7,0)))</f>
        <v/>
      </c>
      <c r="J661" s="447">
        <f>IF($L661&gt;U$5,MAX(0,U$3+ROUND((U$9*($L661-U$5)),0)),IF($L661&gt;U$4,U$3,ROUND($L661*U$7,0)))</f>
        <v/>
      </c>
      <c r="K661" s="422" t="n"/>
      <c r="L661" s="448">
        <f>ROUND((A661+B661)/2,2)</f>
        <v/>
      </c>
    </row>
    <row r="662" ht="13.5" customHeight="1" s="7635">
      <c r="A662" s="448" t="n">
        <v>32850</v>
      </c>
      <c r="B662" s="447" t="n">
        <v>32900</v>
      </c>
      <c r="C662" s="1378">
        <f>IF($L662&gt;N$5,MAX(0,N$3+ROUND((N$9*($L662-N$5)),0)),IF($L662&gt;N$4,N$3,ROUND($L662*N$7,0)))</f>
        <v/>
      </c>
      <c r="D662" s="448">
        <f>IF($L662&gt;O$5,MAX(0,O$3+ROUND((O$9*($L662-O$5)),0)),IF($L662&gt;O$4,O$3,ROUND($L662*O$7,0)))</f>
        <v/>
      </c>
      <c r="E662" s="448">
        <f>IF($L662&gt;P$5,MAX(0,P$3+ROUND((P$9*($L662-P$5)),0)),IF($L662&gt;P$4,P$3,ROUND($L662*P$7,0)))</f>
        <v/>
      </c>
      <c r="F662" s="447">
        <f>IF($L662&gt;Q$5,MAX(0,Q$3+ROUND((Q$9*($L662-Q$5)),0)),IF($L662&gt;Q$4,Q$3,ROUND($L662*Q$7,0)))</f>
        <v/>
      </c>
      <c r="G662" s="1378">
        <f>IF($L662&gt;R$5,MAX(0,R$3+ROUND((R$9*($L662-R$5)),0)),IF($L662&gt;R$4,R$3,ROUND($L662*R$7,0)))</f>
        <v/>
      </c>
      <c r="H662" s="448">
        <f>IF($L662&gt;S$5,MAX(0,S$3+ROUND((S$9*($L662-S$5)),0)),IF($L662&gt;S$4,S$3,ROUND($L662*S$7,0)))</f>
        <v/>
      </c>
      <c r="I662" s="448">
        <f>IF($L662&gt;T$5,MAX(0,T$3+ROUND((T$9*($L662-T$5)),0)),IF($L662&gt;T$4,T$3,ROUND($L662*T$7,0)))</f>
        <v/>
      </c>
      <c r="J662" s="447">
        <f>IF($L662&gt;U$5,MAX(0,U$3+ROUND((U$9*($L662-U$5)),0)),IF($L662&gt;U$4,U$3,ROUND($L662*U$7,0)))</f>
        <v/>
      </c>
      <c r="K662" s="422" t="n"/>
      <c r="L662" s="448">
        <f>ROUND((A662+B662)/2,2)</f>
        <v/>
      </c>
    </row>
    <row r="663" ht="13.5" customHeight="1" s="7635">
      <c r="A663" s="448" t="n">
        <v>32900</v>
      </c>
      <c r="B663" s="447" t="n">
        <v>32950</v>
      </c>
      <c r="C663" s="1378">
        <f>IF($L663&gt;N$5,MAX(0,N$3+ROUND((N$9*($L663-N$5)),0)),IF($L663&gt;N$4,N$3,ROUND($L663*N$7,0)))</f>
        <v/>
      </c>
      <c r="D663" s="448">
        <f>IF($L663&gt;O$5,MAX(0,O$3+ROUND((O$9*($L663-O$5)),0)),IF($L663&gt;O$4,O$3,ROUND($L663*O$7,0)))</f>
        <v/>
      </c>
      <c r="E663" s="448">
        <f>IF($L663&gt;P$5,MAX(0,P$3+ROUND((P$9*($L663-P$5)),0)),IF($L663&gt;P$4,P$3,ROUND($L663*P$7,0)))</f>
        <v/>
      </c>
      <c r="F663" s="447">
        <f>IF($L663&gt;Q$5,MAX(0,Q$3+ROUND((Q$9*($L663-Q$5)),0)),IF($L663&gt;Q$4,Q$3,ROUND($L663*Q$7,0)))</f>
        <v/>
      </c>
      <c r="G663" s="1378">
        <f>IF($L663&gt;R$5,MAX(0,R$3+ROUND((R$9*($L663-R$5)),0)),IF($L663&gt;R$4,R$3,ROUND($L663*R$7,0)))</f>
        <v/>
      </c>
      <c r="H663" s="448">
        <f>IF($L663&gt;S$5,MAX(0,S$3+ROUND((S$9*($L663-S$5)),0)),IF($L663&gt;S$4,S$3,ROUND($L663*S$7,0)))</f>
        <v/>
      </c>
      <c r="I663" s="448">
        <f>IF($L663&gt;T$5,MAX(0,T$3+ROUND((T$9*($L663-T$5)),0)),IF($L663&gt;T$4,T$3,ROUND($L663*T$7,0)))</f>
        <v/>
      </c>
      <c r="J663" s="447">
        <f>IF($L663&gt;U$5,MAX(0,U$3+ROUND((U$9*($L663-U$5)),0)),IF($L663&gt;U$4,U$3,ROUND($L663*U$7,0)))</f>
        <v/>
      </c>
      <c r="K663" s="422" t="n"/>
      <c r="L663" s="448">
        <f>ROUND((A663+B663)/2,2)</f>
        <v/>
      </c>
    </row>
    <row r="664" ht="13.5" customHeight="1" s="7635">
      <c r="A664" s="448" t="n">
        <v>32950</v>
      </c>
      <c r="B664" s="447" t="n">
        <v>33000</v>
      </c>
      <c r="C664" s="1378">
        <f>IF($L664&gt;N$5,MAX(0,N$3+ROUND((N$9*($L664-N$5)),0)),IF($L664&gt;N$4,N$3,ROUND($L664*N$7,0)))</f>
        <v/>
      </c>
      <c r="D664" s="448">
        <f>IF($L664&gt;O$5,MAX(0,O$3+ROUND((O$9*($L664-O$5)),0)),IF($L664&gt;O$4,O$3,ROUND($L664*O$7,0)))</f>
        <v/>
      </c>
      <c r="E664" s="448">
        <f>IF($L664&gt;P$5,MAX(0,P$3+ROUND((P$9*($L664-P$5)),0)),IF($L664&gt;P$4,P$3,ROUND($L664*P$7,0)))</f>
        <v/>
      </c>
      <c r="F664" s="447">
        <f>IF($L664&gt;Q$5,MAX(0,Q$3+ROUND((Q$9*($L664-Q$5)),0)),IF($L664&gt;Q$4,Q$3,ROUND($L664*Q$7,0)))</f>
        <v/>
      </c>
      <c r="G664" s="1378">
        <f>IF($L664&gt;R$5,MAX(0,R$3+ROUND((R$9*($L664-R$5)),0)),IF($L664&gt;R$4,R$3,ROUND($L664*R$7,0)))</f>
        <v/>
      </c>
      <c r="H664" s="448">
        <f>IF($L664&gt;S$5,MAX(0,S$3+ROUND((S$9*($L664-S$5)),0)),IF($L664&gt;S$4,S$3,ROUND($L664*S$7,0)))</f>
        <v/>
      </c>
      <c r="I664" s="448">
        <f>IF($L664&gt;T$5,MAX(0,T$3+ROUND((T$9*($L664-T$5)),0)),IF($L664&gt;T$4,T$3,ROUND($L664*T$7,0)))</f>
        <v/>
      </c>
      <c r="J664" s="447">
        <f>IF($L664&gt;U$5,MAX(0,U$3+ROUND((U$9*($L664-U$5)),0)),IF($L664&gt;U$4,U$3,ROUND($L664*U$7,0)))</f>
        <v/>
      </c>
      <c r="K664" s="422" t="n"/>
      <c r="L664" s="448">
        <f>ROUND((A664+B664)/2,2)</f>
        <v/>
      </c>
    </row>
    <row r="665" ht="13.5" customHeight="1" s="7635">
      <c r="A665" s="448" t="n">
        <v>33000</v>
      </c>
      <c r="B665" s="447" t="n">
        <v>33050</v>
      </c>
      <c r="C665" s="1378">
        <f>IF($L665&gt;N$5,MAX(0,N$3+ROUND((N$9*($L665-N$5)),0)),IF($L665&gt;N$4,N$3,ROUND($L665*N$7,0)))</f>
        <v/>
      </c>
      <c r="D665" s="448">
        <f>IF($L665&gt;O$5,MAX(0,O$3+ROUND((O$9*($L665-O$5)),0)),IF($L665&gt;O$4,O$3,ROUND($L665*O$7,0)))</f>
        <v/>
      </c>
      <c r="E665" s="448">
        <f>IF($L665&gt;P$5,MAX(0,P$3+ROUND((P$9*($L665-P$5)),0)),IF($L665&gt;P$4,P$3,ROUND($L665*P$7,0)))</f>
        <v/>
      </c>
      <c r="F665" s="447">
        <f>IF($L665&gt;Q$5,MAX(0,Q$3+ROUND((Q$9*($L665-Q$5)),0)),IF($L665&gt;Q$4,Q$3,ROUND($L665*Q$7,0)))</f>
        <v/>
      </c>
      <c r="G665" s="1378">
        <f>IF($L665&gt;R$5,MAX(0,R$3+ROUND((R$9*($L665-R$5)),0)),IF($L665&gt;R$4,R$3,ROUND($L665*R$7,0)))</f>
        <v/>
      </c>
      <c r="H665" s="448">
        <f>IF($L665&gt;S$5,MAX(0,S$3+ROUND((S$9*($L665-S$5)),0)),IF($L665&gt;S$4,S$3,ROUND($L665*S$7,0)))</f>
        <v/>
      </c>
      <c r="I665" s="448">
        <f>IF($L665&gt;T$5,MAX(0,T$3+ROUND((T$9*($L665-T$5)),0)),IF($L665&gt;T$4,T$3,ROUND($L665*T$7,0)))</f>
        <v/>
      </c>
      <c r="J665" s="447">
        <f>IF($L665&gt;U$5,MAX(0,U$3+ROUND((U$9*($L665-U$5)),0)),IF($L665&gt;U$4,U$3,ROUND($L665*U$7,0)))</f>
        <v/>
      </c>
      <c r="K665" s="422" t="n"/>
      <c r="L665" s="448">
        <f>ROUND((A665+B665)/2,2)</f>
        <v/>
      </c>
    </row>
    <row r="666" ht="13.5" customHeight="1" s="7635">
      <c r="A666" s="448" t="n">
        <v>33050</v>
      </c>
      <c r="B666" s="447" t="n">
        <v>33100</v>
      </c>
      <c r="C666" s="1378">
        <f>IF($L666&gt;N$5,MAX(0,N$3+ROUND((N$9*($L666-N$5)),0)),IF($L666&gt;N$4,N$3,ROUND($L666*N$7,0)))</f>
        <v/>
      </c>
      <c r="D666" s="448">
        <f>IF($L666&gt;O$5,MAX(0,O$3+ROUND((O$9*($L666-O$5)),0)),IF($L666&gt;O$4,O$3,ROUND($L666*O$7,0)))</f>
        <v/>
      </c>
      <c r="E666" s="448">
        <f>IF($L666&gt;P$5,MAX(0,P$3+ROUND((P$9*($L666-P$5)),0)),IF($L666&gt;P$4,P$3,ROUND($L666*P$7,0)))</f>
        <v/>
      </c>
      <c r="F666" s="447">
        <f>IF($L666&gt;Q$5,MAX(0,Q$3+ROUND((Q$9*($L666-Q$5)),0)),IF($L666&gt;Q$4,Q$3,ROUND($L666*Q$7,0)))</f>
        <v/>
      </c>
      <c r="G666" s="1378">
        <f>IF($L666&gt;R$5,MAX(0,R$3+ROUND((R$9*($L666-R$5)),0)),IF($L666&gt;R$4,R$3,ROUND($L666*R$7,0)))</f>
        <v/>
      </c>
      <c r="H666" s="448">
        <f>IF($L666&gt;S$5,MAX(0,S$3+ROUND((S$9*($L666-S$5)),0)),IF($L666&gt;S$4,S$3,ROUND($L666*S$7,0)))</f>
        <v/>
      </c>
      <c r="I666" s="448">
        <f>IF($L666&gt;T$5,MAX(0,T$3+ROUND((T$9*($L666-T$5)),0)),IF($L666&gt;T$4,T$3,ROUND($L666*T$7,0)))</f>
        <v/>
      </c>
      <c r="J666" s="447">
        <f>IF($L666&gt;U$5,MAX(0,U$3+ROUND((U$9*($L666-U$5)),0)),IF($L666&gt;U$4,U$3,ROUND($L666*U$7,0)))</f>
        <v/>
      </c>
      <c r="K666" s="422" t="n"/>
      <c r="L666" s="448">
        <f>ROUND((A666+B666)/2,2)</f>
        <v/>
      </c>
    </row>
    <row r="667" ht="13.5" customHeight="1" s="7635">
      <c r="A667" s="448" t="n">
        <v>33100</v>
      </c>
      <c r="B667" s="447" t="n">
        <v>33150</v>
      </c>
      <c r="C667" s="1378">
        <f>IF($L667&gt;N$5,MAX(0,N$3+ROUND((N$9*($L667-N$5)),0)),IF($L667&gt;N$4,N$3,ROUND($L667*N$7,0)))</f>
        <v/>
      </c>
      <c r="D667" s="448">
        <f>IF($L667&gt;O$5,MAX(0,O$3+ROUND((O$9*($L667-O$5)),0)),IF($L667&gt;O$4,O$3,ROUND($L667*O$7,0)))</f>
        <v/>
      </c>
      <c r="E667" s="448">
        <f>IF($L667&gt;P$5,MAX(0,P$3+ROUND((P$9*($L667-P$5)),0)),IF($L667&gt;P$4,P$3,ROUND($L667*P$7,0)))</f>
        <v/>
      </c>
      <c r="F667" s="447">
        <f>IF($L667&gt;Q$5,MAX(0,Q$3+ROUND((Q$9*($L667-Q$5)),0)),IF($L667&gt;Q$4,Q$3,ROUND($L667*Q$7,0)))</f>
        <v/>
      </c>
      <c r="G667" s="1378">
        <f>IF($L667&gt;R$5,MAX(0,R$3+ROUND((R$9*($L667-R$5)),0)),IF($L667&gt;R$4,R$3,ROUND($L667*R$7,0)))</f>
        <v/>
      </c>
      <c r="H667" s="448">
        <f>IF($L667&gt;S$5,MAX(0,S$3+ROUND((S$9*($L667-S$5)),0)),IF($L667&gt;S$4,S$3,ROUND($L667*S$7,0)))</f>
        <v/>
      </c>
      <c r="I667" s="448">
        <f>IF($L667&gt;T$5,MAX(0,T$3+ROUND((T$9*($L667-T$5)),0)),IF($L667&gt;T$4,T$3,ROUND($L667*T$7,0)))</f>
        <v/>
      </c>
      <c r="J667" s="447">
        <f>IF($L667&gt;U$5,MAX(0,U$3+ROUND((U$9*($L667-U$5)),0)),IF($L667&gt;U$4,U$3,ROUND($L667*U$7,0)))</f>
        <v/>
      </c>
      <c r="K667" s="422" t="n"/>
      <c r="L667" s="448">
        <f>ROUND((A667+B667)/2,2)</f>
        <v/>
      </c>
    </row>
    <row r="668" ht="13.5" customHeight="1" s="7635">
      <c r="A668" s="448" t="n">
        <v>33150</v>
      </c>
      <c r="B668" s="447" t="n">
        <v>33200</v>
      </c>
      <c r="C668" s="1378">
        <f>IF($L668&gt;N$5,MAX(0,N$3+ROUND((N$9*($L668-N$5)),0)),IF($L668&gt;N$4,N$3,ROUND($L668*N$7,0)))</f>
        <v/>
      </c>
      <c r="D668" s="448">
        <f>IF($L668&gt;O$5,MAX(0,O$3+ROUND((O$9*($L668-O$5)),0)),IF($L668&gt;O$4,O$3,ROUND($L668*O$7,0)))</f>
        <v/>
      </c>
      <c r="E668" s="448">
        <f>IF($L668&gt;P$5,MAX(0,P$3+ROUND((P$9*($L668-P$5)),0)),IF($L668&gt;P$4,P$3,ROUND($L668*P$7,0)))</f>
        <v/>
      </c>
      <c r="F668" s="447">
        <f>IF($L668&gt;Q$5,MAX(0,Q$3+ROUND((Q$9*($L668-Q$5)),0)),IF($L668&gt;Q$4,Q$3,ROUND($L668*Q$7,0)))</f>
        <v/>
      </c>
      <c r="G668" s="1378">
        <f>IF($L668&gt;R$5,MAX(0,R$3+ROUND((R$9*($L668-R$5)),0)),IF($L668&gt;R$4,R$3,ROUND($L668*R$7,0)))</f>
        <v/>
      </c>
      <c r="H668" s="448">
        <f>IF($L668&gt;S$5,MAX(0,S$3+ROUND((S$9*($L668-S$5)),0)),IF($L668&gt;S$4,S$3,ROUND($L668*S$7,0)))</f>
        <v/>
      </c>
      <c r="I668" s="448">
        <f>IF($L668&gt;T$5,MAX(0,T$3+ROUND((T$9*($L668-T$5)),0)),IF($L668&gt;T$4,T$3,ROUND($L668*T$7,0)))</f>
        <v/>
      </c>
      <c r="J668" s="447">
        <f>IF($L668&gt;U$5,MAX(0,U$3+ROUND((U$9*($L668-U$5)),0)),IF($L668&gt;U$4,U$3,ROUND($L668*U$7,0)))</f>
        <v/>
      </c>
      <c r="K668" s="422" t="n"/>
      <c r="L668" s="448">
        <f>ROUND((A668+B668)/2,2)</f>
        <v/>
      </c>
    </row>
    <row r="669" ht="13.5" customHeight="1" s="7635">
      <c r="A669" s="448" t="n">
        <v>33200</v>
      </c>
      <c r="B669" s="447" t="n">
        <v>33250</v>
      </c>
      <c r="C669" s="1378">
        <f>IF($L669&gt;N$5,MAX(0,N$3+ROUND((N$9*($L669-N$5)),0)),IF($L669&gt;N$4,N$3,ROUND($L669*N$7,0)))</f>
        <v/>
      </c>
      <c r="D669" s="448">
        <f>IF($L669&gt;O$5,MAX(0,O$3+ROUND((O$9*($L669-O$5)),0)),IF($L669&gt;O$4,O$3,ROUND($L669*O$7,0)))</f>
        <v/>
      </c>
      <c r="E669" s="448">
        <f>IF($L669&gt;P$5,MAX(0,P$3+ROUND((P$9*($L669-P$5)),0)),IF($L669&gt;P$4,P$3,ROUND($L669*P$7,0)))</f>
        <v/>
      </c>
      <c r="F669" s="447">
        <f>IF($L669&gt;Q$5,MAX(0,Q$3+ROUND((Q$9*($L669-Q$5)),0)),IF($L669&gt;Q$4,Q$3,ROUND($L669*Q$7,0)))</f>
        <v/>
      </c>
      <c r="G669" s="1378">
        <f>IF($L669&gt;R$5,MAX(0,R$3+ROUND((R$9*($L669-R$5)),0)),IF($L669&gt;R$4,R$3,ROUND($L669*R$7,0)))</f>
        <v/>
      </c>
      <c r="H669" s="448">
        <f>IF($L669&gt;S$5,MAX(0,S$3+ROUND((S$9*($L669-S$5)),0)),IF($L669&gt;S$4,S$3,ROUND($L669*S$7,0)))</f>
        <v/>
      </c>
      <c r="I669" s="448">
        <f>IF($L669&gt;T$5,MAX(0,T$3+ROUND((T$9*($L669-T$5)),0)),IF($L669&gt;T$4,T$3,ROUND($L669*T$7,0)))</f>
        <v/>
      </c>
      <c r="J669" s="447">
        <f>IF($L669&gt;U$5,MAX(0,U$3+ROUND((U$9*($L669-U$5)),0)),IF($L669&gt;U$4,U$3,ROUND($L669*U$7,0)))</f>
        <v/>
      </c>
      <c r="K669" s="422" t="n"/>
      <c r="L669" s="448">
        <f>ROUND((A669+B669)/2,2)</f>
        <v/>
      </c>
    </row>
    <row r="670" ht="13.5" customHeight="1" s="7635">
      <c r="A670" s="448" t="n">
        <v>33250</v>
      </c>
      <c r="B670" s="447" t="n">
        <v>33300</v>
      </c>
      <c r="C670" s="1378">
        <f>IF($L670&gt;N$5,MAX(0,N$3+ROUND((N$9*($L670-N$5)),0)),IF($L670&gt;N$4,N$3,ROUND($L670*N$7,0)))</f>
        <v/>
      </c>
      <c r="D670" s="448">
        <f>IF($L670&gt;O$5,MAX(0,O$3+ROUND((O$9*($L670-O$5)),0)),IF($L670&gt;O$4,O$3,ROUND($L670*O$7,0)))</f>
        <v/>
      </c>
      <c r="E670" s="448">
        <f>IF($L670&gt;P$5,MAX(0,P$3+ROUND((P$9*($L670-P$5)),0)),IF($L670&gt;P$4,P$3,ROUND($L670*P$7,0)))</f>
        <v/>
      </c>
      <c r="F670" s="447">
        <f>IF($L670&gt;Q$5,MAX(0,Q$3+ROUND((Q$9*($L670-Q$5)),0)),IF($L670&gt;Q$4,Q$3,ROUND($L670*Q$7,0)))</f>
        <v/>
      </c>
      <c r="G670" s="1378">
        <f>IF($L670&gt;R$5,MAX(0,R$3+ROUND((R$9*($L670-R$5)),0)),IF($L670&gt;R$4,R$3,ROUND($L670*R$7,0)))</f>
        <v/>
      </c>
      <c r="H670" s="448">
        <f>IF($L670&gt;S$5,MAX(0,S$3+ROUND((S$9*($L670-S$5)),0)),IF($L670&gt;S$4,S$3,ROUND($L670*S$7,0)))</f>
        <v/>
      </c>
      <c r="I670" s="448">
        <f>IF($L670&gt;T$5,MAX(0,T$3+ROUND((T$9*($L670-T$5)),0)),IF($L670&gt;T$4,T$3,ROUND($L670*T$7,0)))</f>
        <v/>
      </c>
      <c r="J670" s="447">
        <f>IF($L670&gt;U$5,MAX(0,U$3+ROUND((U$9*($L670-U$5)),0)),IF($L670&gt;U$4,U$3,ROUND($L670*U$7,0)))</f>
        <v/>
      </c>
      <c r="K670" s="422" t="n"/>
      <c r="L670" s="448">
        <f>ROUND((A670+B670)/2,2)</f>
        <v/>
      </c>
    </row>
    <row r="671" ht="13.5" customHeight="1" s="7635">
      <c r="A671" s="448" t="n">
        <v>33300</v>
      </c>
      <c r="B671" s="447" t="n">
        <v>33350</v>
      </c>
      <c r="C671" s="1378">
        <f>IF($L671&gt;N$5,MAX(0,N$3+ROUND((N$9*($L671-N$5)),0)),IF($L671&gt;N$4,N$3,ROUND($L671*N$7,0)))</f>
        <v/>
      </c>
      <c r="D671" s="448">
        <f>IF($L671&gt;O$5,MAX(0,O$3+ROUND((O$9*($L671-O$5)),0)),IF($L671&gt;O$4,O$3,ROUND($L671*O$7,0)))</f>
        <v/>
      </c>
      <c r="E671" s="448">
        <f>IF($L671&gt;P$5,MAX(0,P$3+ROUND((P$9*($L671-P$5)),0)),IF($L671&gt;P$4,P$3,ROUND($L671*P$7,0)))</f>
        <v/>
      </c>
      <c r="F671" s="447">
        <f>IF($L671&gt;Q$5,MAX(0,Q$3+ROUND((Q$9*($L671-Q$5)),0)),IF($L671&gt;Q$4,Q$3,ROUND($L671*Q$7,0)))</f>
        <v/>
      </c>
      <c r="G671" s="1378">
        <f>IF($L671&gt;R$5,MAX(0,R$3+ROUND((R$9*($L671-R$5)),0)),IF($L671&gt;R$4,R$3,ROUND($L671*R$7,0)))</f>
        <v/>
      </c>
      <c r="H671" s="448">
        <f>IF($L671&gt;S$5,MAX(0,S$3+ROUND((S$9*($L671-S$5)),0)),IF($L671&gt;S$4,S$3,ROUND($L671*S$7,0)))</f>
        <v/>
      </c>
      <c r="I671" s="448">
        <f>IF($L671&gt;T$5,MAX(0,T$3+ROUND((T$9*($L671-T$5)),0)),IF($L671&gt;T$4,T$3,ROUND($L671*T$7,0)))</f>
        <v/>
      </c>
      <c r="J671" s="447">
        <f>IF($L671&gt;U$5,MAX(0,U$3+ROUND((U$9*($L671-U$5)),0)),IF($L671&gt;U$4,U$3,ROUND($L671*U$7,0)))</f>
        <v/>
      </c>
      <c r="K671" s="422" t="n"/>
      <c r="L671" s="448">
        <f>ROUND((A671+B671)/2,2)</f>
        <v/>
      </c>
    </row>
    <row r="672" ht="13.5" customHeight="1" s="7635">
      <c r="A672" s="448" t="n">
        <v>33350</v>
      </c>
      <c r="B672" s="447" t="n">
        <v>33400</v>
      </c>
      <c r="C672" s="1378">
        <f>IF($L672&gt;N$5,MAX(0,N$3+ROUND((N$9*($L672-N$5)),0)),IF($L672&gt;N$4,N$3,ROUND($L672*N$7,0)))</f>
        <v/>
      </c>
      <c r="D672" s="448">
        <f>IF($L672&gt;O$5,MAX(0,O$3+ROUND((O$9*($L672-O$5)),0)),IF($L672&gt;O$4,O$3,ROUND($L672*O$7,0)))</f>
        <v/>
      </c>
      <c r="E672" s="448">
        <f>IF($L672&gt;P$5,MAX(0,P$3+ROUND((P$9*($L672-P$5)),0)),IF($L672&gt;P$4,P$3,ROUND($L672*P$7,0)))</f>
        <v/>
      </c>
      <c r="F672" s="447">
        <f>IF($L672&gt;Q$5,MAX(0,Q$3+ROUND((Q$9*($L672-Q$5)),0)),IF($L672&gt;Q$4,Q$3,ROUND($L672*Q$7,0)))</f>
        <v/>
      </c>
      <c r="G672" s="1378">
        <f>IF($L672&gt;R$5,MAX(0,R$3+ROUND((R$9*($L672-R$5)),0)),IF($L672&gt;R$4,R$3,ROUND($L672*R$7,0)))</f>
        <v/>
      </c>
      <c r="H672" s="448">
        <f>IF($L672&gt;S$5,MAX(0,S$3+ROUND((S$9*($L672-S$5)),0)),IF($L672&gt;S$4,S$3,ROUND($L672*S$7,0)))</f>
        <v/>
      </c>
      <c r="I672" s="448">
        <f>IF($L672&gt;T$5,MAX(0,T$3+ROUND((T$9*($L672-T$5)),0)),IF($L672&gt;T$4,T$3,ROUND($L672*T$7,0)))</f>
        <v/>
      </c>
      <c r="J672" s="447">
        <f>IF($L672&gt;U$5,MAX(0,U$3+ROUND((U$9*($L672-U$5)),0)),IF($L672&gt;U$4,U$3,ROUND($L672*U$7,0)))</f>
        <v/>
      </c>
      <c r="K672" s="422" t="n"/>
      <c r="L672" s="448">
        <f>ROUND((A672+B672)/2,2)</f>
        <v/>
      </c>
    </row>
    <row r="673" ht="13.5" customHeight="1" s="7635">
      <c r="A673" s="448" t="n">
        <v>33400</v>
      </c>
      <c r="B673" s="447" t="n">
        <v>33450</v>
      </c>
      <c r="C673" s="1378">
        <f>IF($L673&gt;N$5,MAX(0,N$3+ROUND((N$9*($L673-N$5)),0)),IF($L673&gt;N$4,N$3,ROUND($L673*N$7,0)))</f>
        <v/>
      </c>
      <c r="D673" s="448">
        <f>IF($L673&gt;O$5,MAX(0,O$3+ROUND((O$9*($L673-O$5)),0)),IF($L673&gt;O$4,O$3,ROUND($L673*O$7,0)))</f>
        <v/>
      </c>
      <c r="E673" s="448">
        <f>IF($L673&gt;P$5,MAX(0,P$3+ROUND((P$9*($L673-P$5)),0)),IF($L673&gt;P$4,P$3,ROUND($L673*P$7,0)))</f>
        <v/>
      </c>
      <c r="F673" s="447">
        <f>IF($L673&gt;Q$5,MAX(0,Q$3+ROUND((Q$9*($L673-Q$5)),0)),IF($L673&gt;Q$4,Q$3,ROUND($L673*Q$7,0)))</f>
        <v/>
      </c>
      <c r="G673" s="1378">
        <f>IF($L673&gt;R$5,MAX(0,R$3+ROUND((R$9*($L673-R$5)),0)),IF($L673&gt;R$4,R$3,ROUND($L673*R$7,0)))</f>
        <v/>
      </c>
      <c r="H673" s="448">
        <f>IF($L673&gt;S$5,MAX(0,S$3+ROUND((S$9*($L673-S$5)),0)),IF($L673&gt;S$4,S$3,ROUND($L673*S$7,0)))</f>
        <v/>
      </c>
      <c r="I673" s="448">
        <f>IF($L673&gt;T$5,MAX(0,T$3+ROUND((T$9*($L673-T$5)),0)),IF($L673&gt;T$4,T$3,ROUND($L673*T$7,0)))</f>
        <v/>
      </c>
      <c r="J673" s="447">
        <f>IF($L673&gt;U$5,MAX(0,U$3+ROUND((U$9*($L673-U$5)),0)),IF($L673&gt;U$4,U$3,ROUND($L673*U$7,0)))</f>
        <v/>
      </c>
      <c r="K673" s="422" t="n"/>
      <c r="L673" s="448">
        <f>ROUND((A673+B673)/2,2)</f>
        <v/>
      </c>
    </row>
    <row r="674" ht="13.5" customHeight="1" s="7635">
      <c r="A674" s="448" t="n">
        <v>33450</v>
      </c>
      <c r="B674" s="447" t="n">
        <v>33500</v>
      </c>
      <c r="C674" s="1378">
        <f>IF($L674&gt;N$5,MAX(0,N$3+ROUND((N$9*($L674-N$5)),0)),IF($L674&gt;N$4,N$3,ROUND($L674*N$7,0)))</f>
        <v/>
      </c>
      <c r="D674" s="448">
        <f>IF($L674&gt;O$5,MAX(0,O$3+ROUND((O$9*($L674-O$5)),0)),IF($L674&gt;O$4,O$3,ROUND($L674*O$7,0)))</f>
        <v/>
      </c>
      <c r="E674" s="448">
        <f>IF($L674&gt;P$5,MAX(0,P$3+ROUND((P$9*($L674-P$5)),0)),IF($L674&gt;P$4,P$3,ROUND($L674*P$7,0)))</f>
        <v/>
      </c>
      <c r="F674" s="447">
        <f>IF($L674&gt;Q$5,MAX(0,Q$3+ROUND((Q$9*($L674-Q$5)),0)),IF($L674&gt;Q$4,Q$3,ROUND($L674*Q$7,0)))</f>
        <v/>
      </c>
      <c r="G674" s="1378">
        <f>IF($L674&gt;R$5,MAX(0,R$3+ROUND((R$9*($L674-R$5)),0)),IF($L674&gt;R$4,R$3,ROUND($L674*R$7,0)))</f>
        <v/>
      </c>
      <c r="H674" s="448">
        <f>IF($L674&gt;S$5,MAX(0,S$3+ROUND((S$9*($L674-S$5)),0)),IF($L674&gt;S$4,S$3,ROUND($L674*S$7,0)))</f>
        <v/>
      </c>
      <c r="I674" s="448">
        <f>IF($L674&gt;T$5,MAX(0,T$3+ROUND((T$9*($L674-T$5)),0)),IF($L674&gt;T$4,T$3,ROUND($L674*T$7,0)))</f>
        <v/>
      </c>
      <c r="J674" s="447">
        <f>IF($L674&gt;U$5,MAX(0,U$3+ROUND((U$9*($L674-U$5)),0)),IF($L674&gt;U$4,U$3,ROUND($L674*U$7,0)))</f>
        <v/>
      </c>
      <c r="K674" s="422" t="n"/>
      <c r="L674" s="448">
        <f>ROUND((A674+B674)/2,2)</f>
        <v/>
      </c>
    </row>
    <row r="675" ht="13.5" customHeight="1" s="7635">
      <c r="A675" s="448" t="n">
        <v>33500</v>
      </c>
      <c r="B675" s="447" t="n">
        <v>33550</v>
      </c>
      <c r="C675" s="1378">
        <f>IF($L675&gt;N$5,MAX(0,N$3+ROUND((N$9*($L675-N$5)),0)),IF($L675&gt;N$4,N$3,ROUND($L675*N$7,0)))</f>
        <v/>
      </c>
      <c r="D675" s="448">
        <f>IF($L675&gt;O$5,MAX(0,O$3+ROUND((O$9*($L675-O$5)),0)),IF($L675&gt;O$4,O$3,ROUND($L675*O$7,0)))</f>
        <v/>
      </c>
      <c r="E675" s="448">
        <f>IF($L675&gt;P$5,MAX(0,P$3+ROUND((P$9*($L675-P$5)),0)),IF($L675&gt;P$4,P$3,ROUND($L675*P$7,0)))</f>
        <v/>
      </c>
      <c r="F675" s="447">
        <f>IF($L675&gt;Q$5,MAX(0,Q$3+ROUND((Q$9*($L675-Q$5)),0)),IF($L675&gt;Q$4,Q$3,ROUND($L675*Q$7,0)))</f>
        <v/>
      </c>
      <c r="G675" s="1378">
        <f>IF($L675&gt;R$5,MAX(0,R$3+ROUND((R$9*($L675-R$5)),0)),IF($L675&gt;R$4,R$3,ROUND($L675*R$7,0)))</f>
        <v/>
      </c>
      <c r="H675" s="448">
        <f>IF($L675&gt;S$5,MAX(0,S$3+ROUND((S$9*($L675-S$5)),0)),IF($L675&gt;S$4,S$3,ROUND($L675*S$7,0)))</f>
        <v/>
      </c>
      <c r="I675" s="448">
        <f>IF($L675&gt;T$5,MAX(0,T$3+ROUND((T$9*($L675-T$5)),0)),IF($L675&gt;T$4,T$3,ROUND($L675*T$7,0)))</f>
        <v/>
      </c>
      <c r="J675" s="447">
        <f>IF($L675&gt;U$5,MAX(0,U$3+ROUND((U$9*($L675-U$5)),0)),IF($L675&gt;U$4,U$3,ROUND($L675*U$7,0)))</f>
        <v/>
      </c>
      <c r="K675" s="422" t="n"/>
      <c r="L675" s="448">
        <f>ROUND((A675+B675)/2,2)</f>
        <v/>
      </c>
    </row>
    <row r="676" ht="13.5" customHeight="1" s="7635">
      <c r="A676" s="448" t="n">
        <v>33550</v>
      </c>
      <c r="B676" s="447" t="n">
        <v>33600</v>
      </c>
      <c r="C676" s="1378">
        <f>IF($L676&gt;N$5,MAX(0,N$3+ROUND((N$9*($L676-N$5)),0)),IF($L676&gt;N$4,N$3,ROUND($L676*N$7,0)))</f>
        <v/>
      </c>
      <c r="D676" s="448">
        <f>IF($L676&gt;O$5,MAX(0,O$3+ROUND((O$9*($L676-O$5)),0)),IF($L676&gt;O$4,O$3,ROUND($L676*O$7,0)))</f>
        <v/>
      </c>
      <c r="E676" s="448">
        <f>IF($L676&gt;P$5,MAX(0,P$3+ROUND((P$9*($L676-P$5)),0)),IF($L676&gt;P$4,P$3,ROUND($L676*P$7,0)))</f>
        <v/>
      </c>
      <c r="F676" s="447">
        <f>IF($L676&gt;Q$5,MAX(0,Q$3+ROUND((Q$9*($L676-Q$5)),0)),IF($L676&gt;Q$4,Q$3,ROUND($L676*Q$7,0)))</f>
        <v/>
      </c>
      <c r="G676" s="1378">
        <f>IF($L676&gt;R$5,MAX(0,R$3+ROUND((R$9*($L676-R$5)),0)),IF($L676&gt;R$4,R$3,ROUND($L676*R$7,0)))</f>
        <v/>
      </c>
      <c r="H676" s="448">
        <f>IF($L676&gt;S$5,MAX(0,S$3+ROUND((S$9*($L676-S$5)),0)),IF($L676&gt;S$4,S$3,ROUND($L676*S$7,0)))</f>
        <v/>
      </c>
      <c r="I676" s="448">
        <f>IF($L676&gt;T$5,MAX(0,T$3+ROUND((T$9*($L676-T$5)),0)),IF($L676&gt;T$4,T$3,ROUND($L676*T$7,0)))</f>
        <v/>
      </c>
      <c r="J676" s="447">
        <f>IF($L676&gt;U$5,MAX(0,U$3+ROUND((U$9*($L676-U$5)),0)),IF($L676&gt;U$4,U$3,ROUND($L676*U$7,0)))</f>
        <v/>
      </c>
      <c r="K676" s="422" t="n"/>
      <c r="L676" s="448">
        <f>ROUND((A676+B676)/2,2)</f>
        <v/>
      </c>
    </row>
    <row r="677" ht="13.5" customHeight="1" s="7635">
      <c r="A677" s="448" t="n">
        <v>33600</v>
      </c>
      <c r="B677" s="447" t="n">
        <v>33650</v>
      </c>
      <c r="C677" s="1378">
        <f>IF($L677&gt;N$5,MAX(0,N$3+ROUND((N$9*($L677-N$5)),0)),IF($L677&gt;N$4,N$3,ROUND($L677*N$7,0)))</f>
        <v/>
      </c>
      <c r="D677" s="448">
        <f>IF($L677&gt;O$5,MAX(0,O$3+ROUND((O$9*($L677-O$5)),0)),IF($L677&gt;O$4,O$3,ROUND($L677*O$7,0)))</f>
        <v/>
      </c>
      <c r="E677" s="448">
        <f>IF($L677&gt;P$5,MAX(0,P$3+ROUND((P$9*($L677-P$5)),0)),IF($L677&gt;P$4,P$3,ROUND($L677*P$7,0)))</f>
        <v/>
      </c>
      <c r="F677" s="447">
        <f>IF($L677&gt;Q$5,MAX(0,Q$3+ROUND((Q$9*($L677-Q$5)),0)),IF($L677&gt;Q$4,Q$3,ROUND($L677*Q$7,0)))</f>
        <v/>
      </c>
      <c r="G677" s="1378">
        <f>IF($L677&gt;R$5,MAX(0,R$3+ROUND((R$9*($L677-R$5)),0)),IF($L677&gt;R$4,R$3,ROUND($L677*R$7,0)))</f>
        <v/>
      </c>
      <c r="H677" s="448">
        <f>IF($L677&gt;S$5,MAX(0,S$3+ROUND((S$9*($L677-S$5)),0)),IF($L677&gt;S$4,S$3,ROUND($L677*S$7,0)))</f>
        <v/>
      </c>
      <c r="I677" s="448">
        <f>IF($L677&gt;T$5,MAX(0,T$3+ROUND((T$9*($L677-T$5)),0)),IF($L677&gt;T$4,T$3,ROUND($L677*T$7,0)))</f>
        <v/>
      </c>
      <c r="J677" s="447">
        <f>IF($L677&gt;U$5,MAX(0,U$3+ROUND((U$9*($L677-U$5)),0)),IF($L677&gt;U$4,U$3,ROUND($L677*U$7,0)))</f>
        <v/>
      </c>
      <c r="K677" s="422" t="n"/>
      <c r="L677" s="448">
        <f>ROUND((A677+B677)/2,2)</f>
        <v/>
      </c>
    </row>
    <row r="678" ht="13.5" customHeight="1" s="7635">
      <c r="A678" s="448" t="n">
        <v>33650</v>
      </c>
      <c r="B678" s="447" t="n">
        <v>33700</v>
      </c>
      <c r="C678" s="1378">
        <f>IF($L678&gt;N$5,MAX(0,N$3+ROUND((N$9*($L678-N$5)),0)),IF($L678&gt;N$4,N$3,ROUND($L678*N$7,0)))</f>
        <v/>
      </c>
      <c r="D678" s="448">
        <f>IF($L678&gt;O$5,MAX(0,O$3+ROUND((O$9*($L678-O$5)),0)),IF($L678&gt;O$4,O$3,ROUND($L678*O$7,0)))</f>
        <v/>
      </c>
      <c r="E678" s="448">
        <f>IF($L678&gt;P$5,MAX(0,P$3+ROUND((P$9*($L678-P$5)),0)),IF($L678&gt;P$4,P$3,ROUND($L678*P$7,0)))</f>
        <v/>
      </c>
      <c r="F678" s="447">
        <f>IF($L678&gt;Q$5,MAX(0,Q$3+ROUND((Q$9*($L678-Q$5)),0)),IF($L678&gt;Q$4,Q$3,ROUND($L678*Q$7,0)))</f>
        <v/>
      </c>
      <c r="G678" s="1378">
        <f>IF($L678&gt;R$5,MAX(0,R$3+ROUND((R$9*($L678-R$5)),0)),IF($L678&gt;R$4,R$3,ROUND($L678*R$7,0)))</f>
        <v/>
      </c>
      <c r="H678" s="448">
        <f>IF($L678&gt;S$5,MAX(0,S$3+ROUND((S$9*($L678-S$5)),0)),IF($L678&gt;S$4,S$3,ROUND($L678*S$7,0)))</f>
        <v/>
      </c>
      <c r="I678" s="448">
        <f>IF($L678&gt;T$5,MAX(0,T$3+ROUND((T$9*($L678-T$5)),0)),IF($L678&gt;T$4,T$3,ROUND($L678*T$7,0)))</f>
        <v/>
      </c>
      <c r="J678" s="447">
        <f>IF($L678&gt;U$5,MAX(0,U$3+ROUND((U$9*($L678-U$5)),0)),IF($L678&gt;U$4,U$3,ROUND($L678*U$7,0)))</f>
        <v/>
      </c>
      <c r="K678" s="422" t="n"/>
      <c r="L678" s="448">
        <f>ROUND((A678+B678)/2,2)</f>
        <v/>
      </c>
    </row>
    <row r="679" ht="13.5" customHeight="1" s="7635">
      <c r="A679" s="448" t="n">
        <v>33700</v>
      </c>
      <c r="B679" s="447" t="n">
        <v>33750</v>
      </c>
      <c r="C679" s="1378">
        <f>IF($L679&gt;N$5,MAX(0,N$3+ROUND((N$9*($L679-N$5)),0)),IF($L679&gt;N$4,N$3,ROUND($L679*N$7,0)))</f>
        <v/>
      </c>
      <c r="D679" s="448">
        <f>IF($L679&gt;O$5,MAX(0,O$3+ROUND((O$9*($L679-O$5)),0)),IF($L679&gt;O$4,O$3,ROUND($L679*O$7,0)))</f>
        <v/>
      </c>
      <c r="E679" s="448">
        <f>IF($L679&gt;P$5,MAX(0,P$3+ROUND((P$9*($L679-P$5)),0)),IF($L679&gt;P$4,P$3,ROUND($L679*P$7,0)))</f>
        <v/>
      </c>
      <c r="F679" s="447">
        <f>IF($L679&gt;Q$5,MAX(0,Q$3+ROUND((Q$9*($L679-Q$5)),0)),IF($L679&gt;Q$4,Q$3,ROUND($L679*Q$7,0)))</f>
        <v/>
      </c>
      <c r="G679" s="1378">
        <f>IF($L679&gt;R$5,MAX(0,R$3+ROUND((R$9*($L679-R$5)),0)),IF($L679&gt;R$4,R$3,ROUND($L679*R$7,0)))</f>
        <v/>
      </c>
      <c r="H679" s="448">
        <f>IF($L679&gt;S$5,MAX(0,S$3+ROUND((S$9*($L679-S$5)),0)),IF($L679&gt;S$4,S$3,ROUND($L679*S$7,0)))</f>
        <v/>
      </c>
      <c r="I679" s="448">
        <f>IF($L679&gt;T$5,MAX(0,T$3+ROUND((T$9*($L679-T$5)),0)),IF($L679&gt;T$4,T$3,ROUND($L679*T$7,0)))</f>
        <v/>
      </c>
      <c r="J679" s="447">
        <f>IF($L679&gt;U$5,MAX(0,U$3+ROUND((U$9*($L679-U$5)),0)),IF($L679&gt;U$4,U$3,ROUND($L679*U$7,0)))</f>
        <v/>
      </c>
      <c r="K679" s="422" t="n"/>
      <c r="L679" s="448">
        <f>ROUND((A679+B679)/2,2)</f>
        <v/>
      </c>
    </row>
    <row r="680" ht="13.5" customHeight="1" s="7635">
      <c r="A680" s="448" t="n">
        <v>33750</v>
      </c>
      <c r="B680" s="447" t="n">
        <v>33800</v>
      </c>
      <c r="C680" s="1378">
        <f>IF($L680&gt;N$5,MAX(0,N$3+ROUND((N$9*($L680-N$5)),0)),IF($L680&gt;N$4,N$3,ROUND($L680*N$7,0)))</f>
        <v/>
      </c>
      <c r="D680" s="448">
        <f>IF($L680&gt;O$5,MAX(0,O$3+ROUND((O$9*($L680-O$5)),0)),IF($L680&gt;O$4,O$3,ROUND($L680*O$7,0)))</f>
        <v/>
      </c>
      <c r="E680" s="448">
        <f>IF($L680&gt;P$5,MAX(0,P$3+ROUND((P$9*($L680-P$5)),0)),IF($L680&gt;P$4,P$3,ROUND($L680*P$7,0)))</f>
        <v/>
      </c>
      <c r="F680" s="447">
        <f>IF($L680&gt;Q$5,MAX(0,Q$3+ROUND((Q$9*($L680-Q$5)),0)),IF($L680&gt;Q$4,Q$3,ROUND($L680*Q$7,0)))</f>
        <v/>
      </c>
      <c r="G680" s="1378">
        <f>IF($L680&gt;R$5,MAX(0,R$3+ROUND((R$9*($L680-R$5)),0)),IF($L680&gt;R$4,R$3,ROUND($L680*R$7,0)))</f>
        <v/>
      </c>
      <c r="H680" s="448">
        <f>IF($L680&gt;S$5,MAX(0,S$3+ROUND((S$9*($L680-S$5)),0)),IF($L680&gt;S$4,S$3,ROUND($L680*S$7,0)))</f>
        <v/>
      </c>
      <c r="I680" s="448">
        <f>IF($L680&gt;T$5,MAX(0,T$3+ROUND((T$9*($L680-T$5)),0)),IF($L680&gt;T$4,T$3,ROUND($L680*T$7,0)))</f>
        <v/>
      </c>
      <c r="J680" s="447">
        <f>IF($L680&gt;U$5,MAX(0,U$3+ROUND((U$9*($L680-U$5)),0)),IF($L680&gt;U$4,U$3,ROUND($L680*U$7,0)))</f>
        <v/>
      </c>
      <c r="K680" s="422" t="n"/>
      <c r="L680" s="448">
        <f>ROUND((A680+B680)/2,2)</f>
        <v/>
      </c>
    </row>
    <row r="681" ht="13.5" customHeight="1" s="7635">
      <c r="A681" s="448" t="n">
        <v>33800</v>
      </c>
      <c r="B681" s="447" t="n">
        <v>33850</v>
      </c>
      <c r="C681" s="1378">
        <f>IF($L681&gt;N$5,MAX(0,N$3+ROUND((N$9*($L681-N$5)),0)),IF($L681&gt;N$4,N$3,ROUND($L681*N$7,0)))</f>
        <v/>
      </c>
      <c r="D681" s="448">
        <f>IF($L681&gt;O$5,MAX(0,O$3+ROUND((O$9*($L681-O$5)),0)),IF($L681&gt;O$4,O$3,ROUND($L681*O$7,0)))</f>
        <v/>
      </c>
      <c r="E681" s="448">
        <f>IF($L681&gt;P$5,MAX(0,P$3+ROUND((P$9*($L681-P$5)),0)),IF($L681&gt;P$4,P$3,ROUND($L681*P$7,0)))</f>
        <v/>
      </c>
      <c r="F681" s="447">
        <f>IF($L681&gt;Q$5,MAX(0,Q$3+ROUND((Q$9*($L681-Q$5)),0)),IF($L681&gt;Q$4,Q$3,ROUND($L681*Q$7,0)))</f>
        <v/>
      </c>
      <c r="G681" s="1378">
        <f>IF($L681&gt;R$5,MAX(0,R$3+ROUND((R$9*($L681-R$5)),0)),IF($L681&gt;R$4,R$3,ROUND($L681*R$7,0)))</f>
        <v/>
      </c>
      <c r="H681" s="448">
        <f>IF($L681&gt;S$5,MAX(0,S$3+ROUND((S$9*($L681-S$5)),0)),IF($L681&gt;S$4,S$3,ROUND($L681*S$7,0)))</f>
        <v/>
      </c>
      <c r="I681" s="448">
        <f>IF($L681&gt;T$5,MAX(0,T$3+ROUND((T$9*($L681-T$5)),0)),IF($L681&gt;T$4,T$3,ROUND($L681*T$7,0)))</f>
        <v/>
      </c>
      <c r="J681" s="447">
        <f>IF($L681&gt;U$5,MAX(0,U$3+ROUND((U$9*($L681-U$5)),0)),IF($L681&gt;U$4,U$3,ROUND($L681*U$7,0)))</f>
        <v/>
      </c>
      <c r="K681" s="422" t="n"/>
      <c r="L681" s="448">
        <f>ROUND((A681+B681)/2,2)</f>
        <v/>
      </c>
    </row>
    <row r="682" ht="13.5" customHeight="1" s="7635">
      <c r="A682" s="448" t="n">
        <v>33850</v>
      </c>
      <c r="B682" s="447" t="n">
        <v>33900</v>
      </c>
      <c r="C682" s="1378">
        <f>IF($L682&gt;N$5,MAX(0,N$3+ROUND((N$9*($L682-N$5)),0)),IF($L682&gt;N$4,N$3,ROUND($L682*N$7,0)))</f>
        <v/>
      </c>
      <c r="D682" s="448">
        <f>IF($L682&gt;O$5,MAX(0,O$3+ROUND((O$9*($L682-O$5)),0)),IF($L682&gt;O$4,O$3,ROUND($L682*O$7,0)))</f>
        <v/>
      </c>
      <c r="E682" s="448">
        <f>IF($L682&gt;P$5,MAX(0,P$3+ROUND((P$9*($L682-P$5)),0)),IF($L682&gt;P$4,P$3,ROUND($L682*P$7,0)))</f>
        <v/>
      </c>
      <c r="F682" s="447">
        <f>IF($L682&gt;Q$5,MAX(0,Q$3+ROUND((Q$9*($L682-Q$5)),0)),IF($L682&gt;Q$4,Q$3,ROUND($L682*Q$7,0)))</f>
        <v/>
      </c>
      <c r="G682" s="1378">
        <f>IF($L682&gt;R$5,MAX(0,R$3+ROUND((R$9*($L682-R$5)),0)),IF($L682&gt;R$4,R$3,ROUND($L682*R$7,0)))</f>
        <v/>
      </c>
      <c r="H682" s="448">
        <f>IF($L682&gt;S$5,MAX(0,S$3+ROUND((S$9*($L682-S$5)),0)),IF($L682&gt;S$4,S$3,ROUND($L682*S$7,0)))</f>
        <v/>
      </c>
      <c r="I682" s="448">
        <f>IF($L682&gt;T$5,MAX(0,T$3+ROUND((T$9*($L682-T$5)),0)),IF($L682&gt;T$4,T$3,ROUND($L682*T$7,0)))</f>
        <v/>
      </c>
      <c r="J682" s="447">
        <f>IF($L682&gt;U$5,MAX(0,U$3+ROUND((U$9*($L682-U$5)),0)),IF($L682&gt;U$4,U$3,ROUND($L682*U$7,0)))</f>
        <v/>
      </c>
      <c r="K682" s="422" t="n"/>
      <c r="L682" s="448">
        <f>ROUND((A682+B682)/2,2)</f>
        <v/>
      </c>
    </row>
    <row r="683" ht="13.5" customHeight="1" s="7635">
      <c r="A683" s="448" t="n">
        <v>33900</v>
      </c>
      <c r="B683" s="447" t="n">
        <v>33950</v>
      </c>
      <c r="C683" s="1378">
        <f>IF($L683&gt;N$5,MAX(0,N$3+ROUND((N$9*($L683-N$5)),0)),IF($L683&gt;N$4,N$3,ROUND($L683*N$7,0)))</f>
        <v/>
      </c>
      <c r="D683" s="448">
        <f>IF($L683&gt;O$5,MAX(0,O$3+ROUND((O$9*($L683-O$5)),0)),IF($L683&gt;O$4,O$3,ROUND($L683*O$7,0)))</f>
        <v/>
      </c>
      <c r="E683" s="448">
        <f>IF($L683&gt;P$5,MAX(0,P$3+ROUND((P$9*($L683-P$5)),0)),IF($L683&gt;P$4,P$3,ROUND($L683*P$7,0)))</f>
        <v/>
      </c>
      <c r="F683" s="447">
        <f>IF($L683&gt;Q$5,MAX(0,Q$3+ROUND((Q$9*($L683-Q$5)),0)),IF($L683&gt;Q$4,Q$3,ROUND($L683*Q$7,0)))</f>
        <v/>
      </c>
      <c r="G683" s="1378">
        <f>IF($L683&gt;R$5,MAX(0,R$3+ROUND((R$9*($L683-R$5)),0)),IF($L683&gt;R$4,R$3,ROUND($L683*R$7,0)))</f>
        <v/>
      </c>
      <c r="H683" s="448">
        <f>IF($L683&gt;S$5,MAX(0,S$3+ROUND((S$9*($L683-S$5)),0)),IF($L683&gt;S$4,S$3,ROUND($L683*S$7,0)))</f>
        <v/>
      </c>
      <c r="I683" s="448">
        <f>IF($L683&gt;T$5,MAX(0,T$3+ROUND((T$9*($L683-T$5)),0)),IF($L683&gt;T$4,T$3,ROUND($L683*T$7,0)))</f>
        <v/>
      </c>
      <c r="J683" s="447">
        <f>IF($L683&gt;U$5,MAX(0,U$3+ROUND((U$9*($L683-U$5)),0)),IF($L683&gt;U$4,U$3,ROUND($L683*U$7,0)))</f>
        <v/>
      </c>
      <c r="K683" s="422" t="n"/>
      <c r="L683" s="448">
        <f>ROUND((A683+B683)/2,2)</f>
        <v/>
      </c>
    </row>
    <row r="684" ht="13.5" customHeight="1" s="7635">
      <c r="A684" s="448" t="n">
        <v>33950</v>
      </c>
      <c r="B684" s="447" t="n">
        <v>34000</v>
      </c>
      <c r="C684" s="1378">
        <f>IF($L684&gt;N$5,MAX(0,N$3+ROUND((N$9*($L684-N$5)),0)),IF($L684&gt;N$4,N$3,ROUND($L684*N$7,0)))</f>
        <v/>
      </c>
      <c r="D684" s="448">
        <f>IF($L684&gt;O$5,MAX(0,O$3+ROUND((O$9*($L684-O$5)),0)),IF($L684&gt;O$4,O$3,ROUND($L684*O$7,0)))</f>
        <v/>
      </c>
      <c r="E684" s="448">
        <f>IF($L684&gt;P$5,MAX(0,P$3+ROUND((P$9*($L684-P$5)),0)),IF($L684&gt;P$4,P$3,ROUND($L684*P$7,0)))</f>
        <v/>
      </c>
      <c r="F684" s="447">
        <f>IF($L684&gt;Q$5,MAX(0,Q$3+ROUND((Q$9*($L684-Q$5)),0)),IF($L684&gt;Q$4,Q$3,ROUND($L684*Q$7,0)))</f>
        <v/>
      </c>
      <c r="G684" s="1378">
        <f>IF($L684&gt;R$5,MAX(0,R$3+ROUND((R$9*($L684-R$5)),0)),IF($L684&gt;R$4,R$3,ROUND($L684*R$7,0)))</f>
        <v/>
      </c>
      <c r="H684" s="448">
        <f>IF($L684&gt;S$5,MAX(0,S$3+ROUND((S$9*($L684-S$5)),0)),IF($L684&gt;S$4,S$3,ROUND($L684*S$7,0)))</f>
        <v/>
      </c>
      <c r="I684" s="448">
        <f>IF($L684&gt;T$5,MAX(0,T$3+ROUND((T$9*($L684-T$5)),0)),IF($L684&gt;T$4,T$3,ROUND($L684*T$7,0)))</f>
        <v/>
      </c>
      <c r="J684" s="447">
        <f>IF($L684&gt;U$5,MAX(0,U$3+ROUND((U$9*($L684-U$5)),0)),IF($L684&gt;U$4,U$3,ROUND($L684*U$7,0)))</f>
        <v/>
      </c>
      <c r="K684" s="422" t="n"/>
      <c r="L684" s="448">
        <f>ROUND((A684+B684)/2,2)</f>
        <v/>
      </c>
    </row>
    <row r="685" ht="13.5" customHeight="1" s="7635">
      <c r="A685" s="448" t="n">
        <v>34000</v>
      </c>
      <c r="B685" s="447" t="n">
        <v>34050</v>
      </c>
      <c r="C685" s="1378">
        <f>IF($L685&gt;N$5,MAX(0,N$3+ROUND((N$9*($L685-N$5)),0)),IF($L685&gt;N$4,N$3,ROUND($L685*N$7,0)))</f>
        <v/>
      </c>
      <c r="D685" s="448">
        <f>IF($L685&gt;O$5,MAX(0,O$3+ROUND((O$9*($L685-O$5)),0)),IF($L685&gt;O$4,O$3,ROUND($L685*O$7,0)))</f>
        <v/>
      </c>
      <c r="E685" s="448">
        <f>IF($L685&gt;P$5,MAX(0,P$3+ROUND((P$9*($L685-P$5)),0)),IF($L685&gt;P$4,P$3,ROUND($L685*P$7,0)))</f>
        <v/>
      </c>
      <c r="F685" s="447">
        <f>IF($L685&gt;Q$5,MAX(0,Q$3+ROUND((Q$9*($L685-Q$5)),0)),IF($L685&gt;Q$4,Q$3,ROUND($L685*Q$7,0)))</f>
        <v/>
      </c>
      <c r="G685" s="1378">
        <f>IF($L685&gt;R$5,MAX(0,R$3+ROUND((R$9*($L685-R$5)),0)),IF($L685&gt;R$4,R$3,ROUND($L685*R$7,0)))</f>
        <v/>
      </c>
      <c r="H685" s="448">
        <f>IF($L685&gt;S$5,MAX(0,S$3+ROUND((S$9*($L685-S$5)),0)),IF($L685&gt;S$4,S$3,ROUND($L685*S$7,0)))</f>
        <v/>
      </c>
      <c r="I685" s="448">
        <f>IF($L685&gt;T$5,MAX(0,T$3+ROUND((T$9*($L685-T$5)),0)),IF($L685&gt;T$4,T$3,ROUND($L685*T$7,0)))</f>
        <v/>
      </c>
      <c r="J685" s="447">
        <f>IF($L685&gt;U$5,MAX(0,U$3+ROUND((U$9*($L685-U$5)),0)),IF($L685&gt;U$4,U$3,ROUND($L685*U$7,0)))</f>
        <v/>
      </c>
      <c r="K685" s="422" t="n"/>
      <c r="L685" s="448">
        <f>ROUND((A685+B685)/2,2)</f>
        <v/>
      </c>
    </row>
    <row r="686" ht="13.5" customHeight="1" s="7635">
      <c r="A686" s="448" t="n">
        <v>34050</v>
      </c>
      <c r="B686" s="447" t="n">
        <v>34100</v>
      </c>
      <c r="C686" s="1378">
        <f>IF($L686&gt;N$5,MAX(0,N$3+ROUND((N$9*($L686-N$5)),0)),IF($L686&gt;N$4,N$3,ROUND($L686*N$7,0)))</f>
        <v/>
      </c>
      <c r="D686" s="448">
        <f>IF($L686&gt;O$5,MAX(0,O$3+ROUND((O$9*($L686-O$5)),0)),IF($L686&gt;O$4,O$3,ROUND($L686*O$7,0)))</f>
        <v/>
      </c>
      <c r="E686" s="448">
        <f>IF($L686&gt;P$5,MAX(0,P$3+ROUND((P$9*($L686-P$5)),0)),IF($L686&gt;P$4,P$3,ROUND($L686*P$7,0)))</f>
        <v/>
      </c>
      <c r="F686" s="447">
        <f>IF($L686&gt;Q$5,MAX(0,Q$3+ROUND((Q$9*($L686-Q$5)),0)),IF($L686&gt;Q$4,Q$3,ROUND($L686*Q$7,0)))</f>
        <v/>
      </c>
      <c r="G686" s="1378">
        <f>IF($L686&gt;R$5,MAX(0,R$3+ROUND((R$9*($L686-R$5)),0)),IF($L686&gt;R$4,R$3,ROUND($L686*R$7,0)))</f>
        <v/>
      </c>
      <c r="H686" s="448">
        <f>IF($L686&gt;S$5,MAX(0,S$3+ROUND((S$9*($L686-S$5)),0)),IF($L686&gt;S$4,S$3,ROUND($L686*S$7,0)))</f>
        <v/>
      </c>
      <c r="I686" s="448">
        <f>IF($L686&gt;T$5,MAX(0,T$3+ROUND((T$9*($L686-T$5)),0)),IF($L686&gt;T$4,T$3,ROUND($L686*T$7,0)))</f>
        <v/>
      </c>
      <c r="J686" s="447">
        <f>IF($L686&gt;U$5,MAX(0,U$3+ROUND((U$9*($L686-U$5)),0)),IF($L686&gt;U$4,U$3,ROUND($L686*U$7,0)))</f>
        <v/>
      </c>
      <c r="K686" s="422" t="n"/>
      <c r="L686" s="448">
        <f>ROUND((A686+B686)/2,2)</f>
        <v/>
      </c>
    </row>
    <row r="687" ht="13.5" customHeight="1" s="7635">
      <c r="A687" s="448" t="n">
        <v>34100</v>
      </c>
      <c r="B687" s="447" t="n">
        <v>34150</v>
      </c>
      <c r="C687" s="1378">
        <f>IF($L687&gt;N$5,MAX(0,N$3+ROUND((N$9*($L687-N$5)),0)),IF($L687&gt;N$4,N$3,ROUND($L687*N$7,0)))</f>
        <v/>
      </c>
      <c r="D687" s="448">
        <f>IF($L687&gt;O$5,MAX(0,O$3+ROUND((O$9*($L687-O$5)),0)),IF($L687&gt;O$4,O$3,ROUND($L687*O$7,0)))</f>
        <v/>
      </c>
      <c r="E687" s="448">
        <f>IF($L687&gt;P$5,MAX(0,P$3+ROUND((P$9*($L687-P$5)),0)),IF($L687&gt;P$4,P$3,ROUND($L687*P$7,0)))</f>
        <v/>
      </c>
      <c r="F687" s="447">
        <f>IF($L687&gt;Q$5,MAX(0,Q$3+ROUND((Q$9*($L687-Q$5)),0)),IF($L687&gt;Q$4,Q$3,ROUND($L687*Q$7,0)))</f>
        <v/>
      </c>
      <c r="G687" s="1378">
        <f>IF($L687&gt;R$5,MAX(0,R$3+ROUND((R$9*($L687-R$5)),0)),IF($L687&gt;R$4,R$3,ROUND($L687*R$7,0)))</f>
        <v/>
      </c>
      <c r="H687" s="448">
        <f>IF($L687&gt;S$5,MAX(0,S$3+ROUND((S$9*($L687-S$5)),0)),IF($L687&gt;S$4,S$3,ROUND($L687*S$7,0)))</f>
        <v/>
      </c>
      <c r="I687" s="448">
        <f>IF($L687&gt;T$5,MAX(0,T$3+ROUND((T$9*($L687-T$5)),0)),IF($L687&gt;T$4,T$3,ROUND($L687*T$7,0)))</f>
        <v/>
      </c>
      <c r="J687" s="447">
        <f>IF($L687&gt;U$5,MAX(0,U$3+ROUND((U$9*($L687-U$5)),0)),IF($L687&gt;U$4,U$3,ROUND($L687*U$7,0)))</f>
        <v/>
      </c>
      <c r="K687" s="422" t="n"/>
      <c r="L687" s="448">
        <f>ROUND((A687+B687)/2,2)</f>
        <v/>
      </c>
    </row>
    <row r="688" ht="13.5" customHeight="1" s="7635">
      <c r="A688" s="448" t="n">
        <v>34150</v>
      </c>
      <c r="B688" s="447" t="n">
        <v>34200</v>
      </c>
      <c r="C688" s="1378">
        <f>IF($L688&gt;N$5,MAX(0,N$3+ROUND((N$9*($L688-N$5)),0)),IF($L688&gt;N$4,N$3,ROUND($L688*N$7,0)))</f>
        <v/>
      </c>
      <c r="D688" s="448">
        <f>IF($L688&gt;O$5,MAX(0,O$3+ROUND((O$9*($L688-O$5)),0)),IF($L688&gt;O$4,O$3,ROUND($L688*O$7,0)))</f>
        <v/>
      </c>
      <c r="E688" s="448">
        <f>IF($L688&gt;P$5,MAX(0,P$3+ROUND((P$9*($L688-P$5)),0)),IF($L688&gt;P$4,P$3,ROUND($L688*P$7,0)))</f>
        <v/>
      </c>
      <c r="F688" s="447">
        <f>IF($L688&gt;Q$5,MAX(0,Q$3+ROUND((Q$9*($L688-Q$5)),0)),IF($L688&gt;Q$4,Q$3,ROUND($L688*Q$7,0)))</f>
        <v/>
      </c>
      <c r="G688" s="1378">
        <f>IF($L688&gt;R$5,MAX(0,R$3+ROUND((R$9*($L688-R$5)),0)),IF($L688&gt;R$4,R$3,ROUND($L688*R$7,0)))</f>
        <v/>
      </c>
      <c r="H688" s="448">
        <f>IF($L688&gt;S$5,MAX(0,S$3+ROUND((S$9*($L688-S$5)),0)),IF($L688&gt;S$4,S$3,ROUND($L688*S$7,0)))</f>
        <v/>
      </c>
      <c r="I688" s="448">
        <f>IF($L688&gt;T$5,MAX(0,T$3+ROUND((T$9*($L688-T$5)),0)),IF($L688&gt;T$4,T$3,ROUND($L688*T$7,0)))</f>
        <v/>
      </c>
      <c r="J688" s="447">
        <f>IF($L688&gt;U$5,MAX(0,U$3+ROUND((U$9*($L688-U$5)),0)),IF($L688&gt;U$4,U$3,ROUND($L688*U$7,0)))</f>
        <v/>
      </c>
      <c r="K688" s="422" t="n"/>
      <c r="L688" s="448">
        <f>ROUND((A688+B688)/2,2)</f>
        <v/>
      </c>
    </row>
    <row r="689" ht="13.5" customHeight="1" s="7635">
      <c r="A689" s="448" t="n">
        <v>34200</v>
      </c>
      <c r="B689" s="447" t="n">
        <v>34250</v>
      </c>
      <c r="C689" s="1378">
        <f>IF($L689&gt;N$5,MAX(0,N$3+ROUND((N$9*($L689-N$5)),0)),IF($L689&gt;N$4,N$3,ROUND($L689*N$7,0)))</f>
        <v/>
      </c>
      <c r="D689" s="448">
        <f>IF($L689&gt;O$5,MAX(0,O$3+ROUND((O$9*($L689-O$5)),0)),IF($L689&gt;O$4,O$3,ROUND($L689*O$7,0)))</f>
        <v/>
      </c>
      <c r="E689" s="448">
        <f>IF($L689&gt;P$5,MAX(0,P$3+ROUND((P$9*($L689-P$5)),0)),IF($L689&gt;P$4,P$3,ROUND($L689*P$7,0)))</f>
        <v/>
      </c>
      <c r="F689" s="447">
        <f>IF($L689&gt;Q$5,MAX(0,Q$3+ROUND((Q$9*($L689-Q$5)),0)),IF($L689&gt;Q$4,Q$3,ROUND($L689*Q$7,0)))</f>
        <v/>
      </c>
      <c r="G689" s="1378">
        <f>IF($L689&gt;R$5,MAX(0,R$3+ROUND((R$9*($L689-R$5)),0)),IF($L689&gt;R$4,R$3,ROUND($L689*R$7,0)))</f>
        <v/>
      </c>
      <c r="H689" s="448">
        <f>IF($L689&gt;S$5,MAX(0,S$3+ROUND((S$9*($L689-S$5)),0)),IF($L689&gt;S$4,S$3,ROUND($L689*S$7,0)))</f>
        <v/>
      </c>
      <c r="I689" s="448">
        <f>IF($L689&gt;T$5,MAX(0,T$3+ROUND((T$9*($L689-T$5)),0)),IF($L689&gt;T$4,T$3,ROUND($L689*T$7,0)))</f>
        <v/>
      </c>
      <c r="J689" s="447">
        <f>IF($L689&gt;U$5,MAX(0,U$3+ROUND((U$9*($L689-U$5)),0)),IF($L689&gt;U$4,U$3,ROUND($L689*U$7,0)))</f>
        <v/>
      </c>
      <c r="K689" s="422" t="n"/>
      <c r="L689" s="448">
        <f>ROUND((A689+B689)/2,2)</f>
        <v/>
      </c>
    </row>
    <row r="690" ht="13.5" customHeight="1" s="7635">
      <c r="A690" s="448" t="n">
        <v>34250</v>
      </c>
      <c r="B690" s="447" t="n">
        <v>34300</v>
      </c>
      <c r="C690" s="1378">
        <f>IF($L690&gt;N$5,MAX(0,N$3+ROUND((N$9*($L690-N$5)),0)),IF($L690&gt;N$4,N$3,ROUND($L690*N$7,0)))</f>
        <v/>
      </c>
      <c r="D690" s="448">
        <f>IF($L690&gt;O$5,MAX(0,O$3+ROUND((O$9*($L690-O$5)),0)),IF($L690&gt;O$4,O$3,ROUND($L690*O$7,0)))</f>
        <v/>
      </c>
      <c r="E690" s="448">
        <f>IF($L690&gt;P$5,MAX(0,P$3+ROUND((P$9*($L690-P$5)),0)),IF($L690&gt;P$4,P$3,ROUND($L690*P$7,0)))</f>
        <v/>
      </c>
      <c r="F690" s="447">
        <f>IF($L690&gt;Q$5,MAX(0,Q$3+ROUND((Q$9*($L690-Q$5)),0)),IF($L690&gt;Q$4,Q$3,ROUND($L690*Q$7,0)))</f>
        <v/>
      </c>
      <c r="G690" s="1378">
        <f>IF($L690&gt;R$5,MAX(0,R$3+ROUND((R$9*($L690-R$5)),0)),IF($L690&gt;R$4,R$3,ROUND($L690*R$7,0)))</f>
        <v/>
      </c>
      <c r="H690" s="448">
        <f>IF($L690&gt;S$5,MAX(0,S$3+ROUND((S$9*($L690-S$5)),0)),IF($L690&gt;S$4,S$3,ROUND($L690*S$7,0)))</f>
        <v/>
      </c>
      <c r="I690" s="448">
        <f>IF($L690&gt;T$5,MAX(0,T$3+ROUND((T$9*($L690-T$5)),0)),IF($L690&gt;T$4,T$3,ROUND($L690*T$7,0)))</f>
        <v/>
      </c>
      <c r="J690" s="447">
        <f>IF($L690&gt;U$5,MAX(0,U$3+ROUND((U$9*($L690-U$5)),0)),IF($L690&gt;U$4,U$3,ROUND($L690*U$7,0)))</f>
        <v/>
      </c>
      <c r="K690" s="422" t="n"/>
      <c r="L690" s="448">
        <f>ROUND((A690+B690)/2,2)</f>
        <v/>
      </c>
    </row>
    <row r="691" ht="13.5" customHeight="1" s="7635">
      <c r="A691" s="448" t="n">
        <v>34300</v>
      </c>
      <c r="B691" s="447" t="n">
        <v>34350</v>
      </c>
      <c r="C691" s="1378">
        <f>IF($L691&gt;N$5,MAX(0,N$3+ROUND((N$9*($L691-N$5)),0)),IF($L691&gt;N$4,N$3,ROUND($L691*N$7,0)))</f>
        <v/>
      </c>
      <c r="D691" s="448">
        <f>IF($L691&gt;O$5,MAX(0,O$3+ROUND((O$9*($L691-O$5)),0)),IF($L691&gt;O$4,O$3,ROUND($L691*O$7,0)))</f>
        <v/>
      </c>
      <c r="E691" s="448">
        <f>IF($L691&gt;P$5,MAX(0,P$3+ROUND((P$9*($L691-P$5)),0)),IF($L691&gt;P$4,P$3,ROUND($L691*P$7,0)))</f>
        <v/>
      </c>
      <c r="F691" s="447">
        <f>IF($L691&gt;Q$5,MAX(0,Q$3+ROUND((Q$9*($L691-Q$5)),0)),IF($L691&gt;Q$4,Q$3,ROUND($L691*Q$7,0)))</f>
        <v/>
      </c>
      <c r="G691" s="1378">
        <f>IF($L691&gt;R$5,MAX(0,R$3+ROUND((R$9*($L691-R$5)),0)),IF($L691&gt;R$4,R$3,ROUND($L691*R$7,0)))</f>
        <v/>
      </c>
      <c r="H691" s="448">
        <f>IF($L691&gt;S$5,MAX(0,S$3+ROUND((S$9*($L691-S$5)),0)),IF($L691&gt;S$4,S$3,ROUND($L691*S$7,0)))</f>
        <v/>
      </c>
      <c r="I691" s="448">
        <f>IF($L691&gt;T$5,MAX(0,T$3+ROUND((T$9*($L691-T$5)),0)),IF($L691&gt;T$4,T$3,ROUND($L691*T$7,0)))</f>
        <v/>
      </c>
      <c r="J691" s="447">
        <f>IF($L691&gt;U$5,MAX(0,U$3+ROUND((U$9*($L691-U$5)),0)),IF($L691&gt;U$4,U$3,ROUND($L691*U$7,0)))</f>
        <v/>
      </c>
      <c r="K691" s="422" t="n"/>
      <c r="L691" s="448">
        <f>ROUND((A691+B691)/2,2)</f>
        <v/>
      </c>
    </row>
    <row r="692" ht="13.5" customHeight="1" s="7635">
      <c r="A692" s="448" t="n">
        <v>34350</v>
      </c>
      <c r="B692" s="447" t="n">
        <v>34400</v>
      </c>
      <c r="C692" s="1378">
        <f>IF($L692&gt;N$5,MAX(0,N$3+ROUND((N$9*($L692-N$5)),0)),IF($L692&gt;N$4,N$3,ROUND($L692*N$7,0)))</f>
        <v/>
      </c>
      <c r="D692" s="448">
        <f>IF($L692&gt;O$5,MAX(0,O$3+ROUND((O$9*($L692-O$5)),0)),IF($L692&gt;O$4,O$3,ROUND($L692*O$7,0)))</f>
        <v/>
      </c>
      <c r="E692" s="448">
        <f>IF($L692&gt;P$5,MAX(0,P$3+ROUND((P$9*($L692-P$5)),0)),IF($L692&gt;P$4,P$3,ROUND($L692*P$7,0)))</f>
        <v/>
      </c>
      <c r="F692" s="447">
        <f>IF($L692&gt;Q$5,MAX(0,Q$3+ROUND((Q$9*($L692-Q$5)),0)),IF($L692&gt;Q$4,Q$3,ROUND($L692*Q$7,0)))</f>
        <v/>
      </c>
      <c r="G692" s="1378">
        <f>IF($L692&gt;R$5,MAX(0,R$3+ROUND((R$9*($L692-R$5)),0)),IF($L692&gt;R$4,R$3,ROUND($L692*R$7,0)))</f>
        <v/>
      </c>
      <c r="H692" s="448">
        <f>IF($L692&gt;S$5,MAX(0,S$3+ROUND((S$9*($L692-S$5)),0)),IF($L692&gt;S$4,S$3,ROUND($L692*S$7,0)))</f>
        <v/>
      </c>
      <c r="I692" s="448">
        <f>IF($L692&gt;T$5,MAX(0,T$3+ROUND((T$9*($L692-T$5)),0)),IF($L692&gt;T$4,T$3,ROUND($L692*T$7,0)))</f>
        <v/>
      </c>
      <c r="J692" s="447">
        <f>IF($L692&gt;U$5,MAX(0,U$3+ROUND((U$9*($L692-U$5)),0)),IF($L692&gt;U$4,U$3,ROUND($L692*U$7,0)))</f>
        <v/>
      </c>
      <c r="K692" s="422" t="n"/>
      <c r="L692" s="448">
        <f>ROUND((A692+B692)/2,2)</f>
        <v/>
      </c>
    </row>
    <row r="693" ht="13.5" customHeight="1" s="7635">
      <c r="A693" s="448" t="n">
        <v>34400</v>
      </c>
      <c r="B693" s="447" t="n">
        <v>34450</v>
      </c>
      <c r="C693" s="1378">
        <f>IF($L693&gt;N$5,MAX(0,N$3+ROUND((N$9*($L693-N$5)),0)),IF($L693&gt;N$4,N$3,ROUND($L693*N$7,0)))</f>
        <v/>
      </c>
      <c r="D693" s="448">
        <f>IF($L693&gt;O$5,MAX(0,O$3+ROUND((O$9*($L693-O$5)),0)),IF($L693&gt;O$4,O$3,ROUND($L693*O$7,0)))</f>
        <v/>
      </c>
      <c r="E693" s="448">
        <f>IF($L693&gt;P$5,MAX(0,P$3+ROUND((P$9*($L693-P$5)),0)),IF($L693&gt;P$4,P$3,ROUND($L693*P$7,0)))</f>
        <v/>
      </c>
      <c r="F693" s="447">
        <f>IF($L693&gt;Q$5,MAX(0,Q$3+ROUND((Q$9*($L693-Q$5)),0)),IF($L693&gt;Q$4,Q$3,ROUND($L693*Q$7,0)))</f>
        <v/>
      </c>
      <c r="G693" s="1378">
        <f>IF($L693&gt;R$5,MAX(0,R$3+ROUND((R$9*($L693-R$5)),0)),IF($L693&gt;R$4,R$3,ROUND($L693*R$7,0)))</f>
        <v/>
      </c>
      <c r="H693" s="448">
        <f>IF($L693&gt;S$5,MAX(0,S$3+ROUND((S$9*($L693-S$5)),0)),IF($L693&gt;S$4,S$3,ROUND($L693*S$7,0)))</f>
        <v/>
      </c>
      <c r="I693" s="448">
        <f>IF($L693&gt;T$5,MAX(0,T$3+ROUND((T$9*($L693-T$5)),0)),IF($L693&gt;T$4,T$3,ROUND($L693*T$7,0)))</f>
        <v/>
      </c>
      <c r="J693" s="447">
        <f>IF($L693&gt;U$5,MAX(0,U$3+ROUND((U$9*($L693-U$5)),0)),IF($L693&gt;U$4,U$3,ROUND($L693*U$7,0)))</f>
        <v/>
      </c>
      <c r="K693" s="422" t="n"/>
      <c r="L693" s="448">
        <f>ROUND((A693+B693)/2,2)</f>
        <v/>
      </c>
    </row>
    <row r="694" ht="13.5" customHeight="1" s="7635">
      <c r="A694" s="448" t="n">
        <v>34450</v>
      </c>
      <c r="B694" s="447" t="n">
        <v>34500</v>
      </c>
      <c r="C694" s="1378">
        <f>IF($L694&gt;N$5,MAX(0,N$3+ROUND((N$9*($L694-N$5)),0)),IF($L694&gt;N$4,N$3,ROUND($L694*N$7,0)))</f>
        <v/>
      </c>
      <c r="D694" s="448">
        <f>IF($L694&gt;O$5,MAX(0,O$3+ROUND((O$9*($L694-O$5)),0)),IF($L694&gt;O$4,O$3,ROUND($L694*O$7,0)))</f>
        <v/>
      </c>
      <c r="E694" s="448">
        <f>IF($L694&gt;P$5,MAX(0,P$3+ROUND((P$9*($L694-P$5)),0)),IF($L694&gt;P$4,P$3,ROUND($L694*P$7,0)))</f>
        <v/>
      </c>
      <c r="F694" s="447">
        <f>IF($L694&gt;Q$5,MAX(0,Q$3+ROUND((Q$9*($L694-Q$5)),0)),IF($L694&gt;Q$4,Q$3,ROUND($L694*Q$7,0)))</f>
        <v/>
      </c>
      <c r="G694" s="1378">
        <f>IF($L694&gt;R$5,MAX(0,R$3+ROUND((R$9*($L694-R$5)),0)),IF($L694&gt;R$4,R$3,ROUND($L694*R$7,0)))</f>
        <v/>
      </c>
      <c r="H694" s="448">
        <f>IF($L694&gt;S$5,MAX(0,S$3+ROUND((S$9*($L694-S$5)),0)),IF($L694&gt;S$4,S$3,ROUND($L694*S$7,0)))</f>
        <v/>
      </c>
      <c r="I694" s="448">
        <f>IF($L694&gt;T$5,MAX(0,T$3+ROUND((T$9*($L694-T$5)),0)),IF($L694&gt;T$4,T$3,ROUND($L694*T$7,0)))</f>
        <v/>
      </c>
      <c r="J694" s="447">
        <f>IF($L694&gt;U$5,MAX(0,U$3+ROUND((U$9*($L694-U$5)),0)),IF($L694&gt;U$4,U$3,ROUND($L694*U$7,0)))</f>
        <v/>
      </c>
      <c r="K694" s="422" t="n"/>
      <c r="L694" s="448">
        <f>ROUND((A694+B694)/2,2)</f>
        <v/>
      </c>
    </row>
    <row r="695" ht="13.5" customHeight="1" s="7635">
      <c r="A695" s="448" t="n">
        <v>34500</v>
      </c>
      <c r="B695" s="447" t="n">
        <v>34550</v>
      </c>
      <c r="C695" s="1378">
        <f>IF($L695&gt;N$5,MAX(0,N$3+ROUND((N$9*($L695-N$5)),0)),IF($L695&gt;N$4,N$3,ROUND($L695*N$7,0)))</f>
        <v/>
      </c>
      <c r="D695" s="448">
        <f>IF($L695&gt;O$5,MAX(0,O$3+ROUND((O$9*($L695-O$5)),0)),IF($L695&gt;O$4,O$3,ROUND($L695*O$7,0)))</f>
        <v/>
      </c>
      <c r="E695" s="448">
        <f>IF($L695&gt;P$5,MAX(0,P$3+ROUND((P$9*($L695-P$5)),0)),IF($L695&gt;P$4,P$3,ROUND($L695*P$7,0)))</f>
        <v/>
      </c>
      <c r="F695" s="447">
        <f>IF($L695&gt;Q$5,MAX(0,Q$3+ROUND((Q$9*($L695-Q$5)),0)),IF($L695&gt;Q$4,Q$3,ROUND($L695*Q$7,0)))</f>
        <v/>
      </c>
      <c r="G695" s="1378">
        <f>IF($L695&gt;R$5,MAX(0,R$3+ROUND((R$9*($L695-R$5)),0)),IF($L695&gt;R$4,R$3,ROUND($L695*R$7,0)))</f>
        <v/>
      </c>
      <c r="H695" s="448">
        <f>IF($L695&gt;S$5,MAX(0,S$3+ROUND((S$9*($L695-S$5)),0)),IF($L695&gt;S$4,S$3,ROUND($L695*S$7,0)))</f>
        <v/>
      </c>
      <c r="I695" s="448">
        <f>IF($L695&gt;T$5,MAX(0,T$3+ROUND((T$9*($L695-T$5)),0)),IF($L695&gt;T$4,T$3,ROUND($L695*T$7,0)))</f>
        <v/>
      </c>
      <c r="J695" s="447">
        <f>IF($L695&gt;U$5,MAX(0,U$3+ROUND((U$9*($L695-U$5)),0)),IF($L695&gt;U$4,U$3,ROUND($L695*U$7,0)))</f>
        <v/>
      </c>
      <c r="K695" s="422" t="n"/>
      <c r="L695" s="448">
        <f>ROUND((A695+B695)/2,2)</f>
        <v/>
      </c>
    </row>
    <row r="696" ht="13.5" customHeight="1" s="7635">
      <c r="A696" s="448" t="n">
        <v>34550</v>
      </c>
      <c r="B696" s="447" t="n">
        <v>34600</v>
      </c>
      <c r="C696" s="1378">
        <f>IF($L696&gt;N$5,MAX(0,N$3+ROUND((N$9*($L696-N$5)),0)),IF($L696&gt;N$4,N$3,ROUND($L696*N$7,0)))</f>
        <v/>
      </c>
      <c r="D696" s="448">
        <f>IF($L696&gt;O$5,MAX(0,O$3+ROUND((O$9*($L696-O$5)),0)),IF($L696&gt;O$4,O$3,ROUND($L696*O$7,0)))</f>
        <v/>
      </c>
      <c r="E696" s="448">
        <f>IF($L696&gt;P$5,MAX(0,P$3+ROUND((P$9*($L696-P$5)),0)),IF($L696&gt;P$4,P$3,ROUND($L696*P$7,0)))</f>
        <v/>
      </c>
      <c r="F696" s="447">
        <f>IF($L696&gt;Q$5,MAX(0,Q$3+ROUND((Q$9*($L696-Q$5)),0)),IF($L696&gt;Q$4,Q$3,ROUND($L696*Q$7,0)))</f>
        <v/>
      </c>
      <c r="G696" s="1378">
        <f>IF($L696&gt;R$5,MAX(0,R$3+ROUND((R$9*($L696-R$5)),0)),IF($L696&gt;R$4,R$3,ROUND($L696*R$7,0)))</f>
        <v/>
      </c>
      <c r="H696" s="448">
        <f>IF($L696&gt;S$5,MAX(0,S$3+ROUND((S$9*($L696-S$5)),0)),IF($L696&gt;S$4,S$3,ROUND($L696*S$7,0)))</f>
        <v/>
      </c>
      <c r="I696" s="448">
        <f>IF($L696&gt;T$5,MAX(0,T$3+ROUND((T$9*($L696-T$5)),0)),IF($L696&gt;T$4,T$3,ROUND($L696*T$7,0)))</f>
        <v/>
      </c>
      <c r="J696" s="447">
        <f>IF($L696&gt;U$5,MAX(0,U$3+ROUND((U$9*($L696-U$5)),0)),IF($L696&gt;U$4,U$3,ROUND($L696*U$7,0)))</f>
        <v/>
      </c>
      <c r="K696" s="422" t="n"/>
      <c r="L696" s="448">
        <f>ROUND((A696+B696)/2,2)</f>
        <v/>
      </c>
    </row>
    <row r="697" ht="13.5" customHeight="1" s="7635">
      <c r="A697" s="448" t="n">
        <v>34600</v>
      </c>
      <c r="B697" s="447" t="n">
        <v>34650</v>
      </c>
      <c r="C697" s="1378">
        <f>IF($L697&gt;N$5,MAX(0,N$3+ROUND((N$9*($L697-N$5)),0)),IF($L697&gt;N$4,N$3,ROUND($L697*N$7,0)))</f>
        <v/>
      </c>
      <c r="D697" s="448">
        <f>IF($L697&gt;O$5,MAX(0,O$3+ROUND((O$9*($L697-O$5)),0)),IF($L697&gt;O$4,O$3,ROUND($L697*O$7,0)))</f>
        <v/>
      </c>
      <c r="E697" s="448">
        <f>IF($L697&gt;P$5,MAX(0,P$3+ROUND((P$9*($L697-P$5)),0)),IF($L697&gt;P$4,P$3,ROUND($L697*P$7,0)))</f>
        <v/>
      </c>
      <c r="F697" s="447">
        <f>IF($L697&gt;Q$5,MAX(0,Q$3+ROUND((Q$9*($L697-Q$5)),0)),IF($L697&gt;Q$4,Q$3,ROUND($L697*Q$7,0)))</f>
        <v/>
      </c>
      <c r="G697" s="1378">
        <f>IF($L697&gt;R$5,MAX(0,R$3+ROUND((R$9*($L697-R$5)),0)),IF($L697&gt;R$4,R$3,ROUND($L697*R$7,0)))</f>
        <v/>
      </c>
      <c r="H697" s="448">
        <f>IF($L697&gt;S$5,MAX(0,S$3+ROUND((S$9*($L697-S$5)),0)),IF($L697&gt;S$4,S$3,ROUND($L697*S$7,0)))</f>
        <v/>
      </c>
      <c r="I697" s="448">
        <f>IF($L697&gt;T$5,MAX(0,T$3+ROUND((T$9*($L697-T$5)),0)),IF($L697&gt;T$4,T$3,ROUND($L697*T$7,0)))</f>
        <v/>
      </c>
      <c r="J697" s="447">
        <f>IF($L697&gt;U$5,MAX(0,U$3+ROUND((U$9*($L697-U$5)),0)),IF($L697&gt;U$4,U$3,ROUND($L697*U$7,0)))</f>
        <v/>
      </c>
      <c r="K697" s="422" t="n"/>
      <c r="L697" s="448">
        <f>ROUND((A697+B697)/2,2)</f>
        <v/>
      </c>
    </row>
    <row r="698" ht="13.5" customHeight="1" s="7635">
      <c r="A698" s="448" t="n">
        <v>34650</v>
      </c>
      <c r="B698" s="447" t="n">
        <v>34700</v>
      </c>
      <c r="C698" s="1378">
        <f>IF($L698&gt;N$5,MAX(0,N$3+ROUND((N$9*($L698-N$5)),0)),IF($L698&gt;N$4,N$3,ROUND($L698*N$7,0)))</f>
        <v/>
      </c>
      <c r="D698" s="448">
        <f>IF($L698&gt;O$5,MAX(0,O$3+ROUND((O$9*($L698-O$5)),0)),IF($L698&gt;O$4,O$3,ROUND($L698*O$7,0)))</f>
        <v/>
      </c>
      <c r="E698" s="448">
        <f>IF($L698&gt;P$5,MAX(0,P$3+ROUND((P$9*($L698-P$5)),0)),IF($L698&gt;P$4,P$3,ROUND($L698*P$7,0)))</f>
        <v/>
      </c>
      <c r="F698" s="447">
        <f>IF($L698&gt;Q$5,MAX(0,Q$3+ROUND((Q$9*($L698-Q$5)),0)),IF($L698&gt;Q$4,Q$3,ROUND($L698*Q$7,0)))</f>
        <v/>
      </c>
      <c r="G698" s="1378">
        <f>IF($L698&gt;R$5,MAX(0,R$3+ROUND((R$9*($L698-R$5)),0)),IF($L698&gt;R$4,R$3,ROUND($L698*R$7,0)))</f>
        <v/>
      </c>
      <c r="H698" s="448">
        <f>IF($L698&gt;S$5,MAX(0,S$3+ROUND((S$9*($L698-S$5)),0)),IF($L698&gt;S$4,S$3,ROUND($L698*S$7,0)))</f>
        <v/>
      </c>
      <c r="I698" s="448">
        <f>IF($L698&gt;T$5,MAX(0,T$3+ROUND((T$9*($L698-T$5)),0)),IF($L698&gt;T$4,T$3,ROUND($L698*T$7,0)))</f>
        <v/>
      </c>
      <c r="J698" s="447">
        <f>IF($L698&gt;U$5,MAX(0,U$3+ROUND((U$9*($L698-U$5)),0)),IF($L698&gt;U$4,U$3,ROUND($L698*U$7,0)))</f>
        <v/>
      </c>
      <c r="K698" s="422" t="n"/>
      <c r="L698" s="448">
        <f>ROUND((A698+B698)/2,2)</f>
        <v/>
      </c>
    </row>
    <row r="699" ht="13.5" customHeight="1" s="7635">
      <c r="A699" s="448" t="n">
        <v>34700</v>
      </c>
      <c r="B699" s="447" t="n">
        <v>34750</v>
      </c>
      <c r="C699" s="1378">
        <f>IF($L699&gt;N$5,MAX(0,N$3+ROUND((N$9*($L699-N$5)),0)),IF($L699&gt;N$4,N$3,ROUND($L699*N$7,0)))</f>
        <v/>
      </c>
      <c r="D699" s="448">
        <f>IF($L699&gt;O$5,MAX(0,O$3+ROUND((O$9*($L699-O$5)),0)),IF($L699&gt;O$4,O$3,ROUND($L699*O$7,0)))</f>
        <v/>
      </c>
      <c r="E699" s="448">
        <f>IF($L699&gt;P$5,MAX(0,P$3+ROUND((P$9*($L699-P$5)),0)),IF($L699&gt;P$4,P$3,ROUND($L699*P$7,0)))</f>
        <v/>
      </c>
      <c r="F699" s="447">
        <f>IF($L699&gt;Q$5,MAX(0,Q$3+ROUND((Q$9*($L699-Q$5)),0)),IF($L699&gt;Q$4,Q$3,ROUND($L699*Q$7,0)))</f>
        <v/>
      </c>
      <c r="G699" s="1378">
        <f>IF($L699&gt;R$5,MAX(0,R$3+ROUND((R$9*($L699-R$5)),0)),IF($L699&gt;R$4,R$3,ROUND($L699*R$7,0)))</f>
        <v/>
      </c>
      <c r="H699" s="448">
        <f>IF($L699&gt;S$5,MAX(0,S$3+ROUND((S$9*($L699-S$5)),0)),IF($L699&gt;S$4,S$3,ROUND($L699*S$7,0)))</f>
        <v/>
      </c>
      <c r="I699" s="448">
        <f>IF($L699&gt;T$5,MAX(0,T$3+ROUND((T$9*($L699-T$5)),0)),IF($L699&gt;T$4,T$3,ROUND($L699*T$7,0)))</f>
        <v/>
      </c>
      <c r="J699" s="447">
        <f>IF($L699&gt;U$5,MAX(0,U$3+ROUND((U$9*($L699-U$5)),0)),IF($L699&gt;U$4,U$3,ROUND($L699*U$7,0)))</f>
        <v/>
      </c>
      <c r="K699" s="422" t="n"/>
      <c r="L699" s="448">
        <f>ROUND((A699+B699)/2,2)</f>
        <v/>
      </c>
    </row>
    <row r="700" ht="13.5" customHeight="1" s="7635">
      <c r="A700" s="448" t="n">
        <v>34750</v>
      </c>
      <c r="B700" s="447" t="n">
        <v>34800</v>
      </c>
      <c r="C700" s="1378">
        <f>IF($L700&gt;N$5,MAX(0,N$3+ROUND((N$9*($L700-N$5)),0)),IF($L700&gt;N$4,N$3,ROUND($L700*N$7,0)))</f>
        <v/>
      </c>
      <c r="D700" s="448">
        <f>IF($L700&gt;O$5,MAX(0,O$3+ROUND((O$9*($L700-O$5)),0)),IF($L700&gt;O$4,O$3,ROUND($L700*O$7,0)))</f>
        <v/>
      </c>
      <c r="E700" s="448">
        <f>IF($L700&gt;P$5,MAX(0,P$3+ROUND((P$9*($L700-P$5)),0)),IF($L700&gt;P$4,P$3,ROUND($L700*P$7,0)))</f>
        <v/>
      </c>
      <c r="F700" s="447">
        <f>IF($L700&gt;Q$5,MAX(0,Q$3+ROUND((Q$9*($L700-Q$5)),0)),IF($L700&gt;Q$4,Q$3,ROUND($L700*Q$7,0)))</f>
        <v/>
      </c>
      <c r="G700" s="1378">
        <f>IF($L700&gt;R$5,MAX(0,R$3+ROUND((R$9*($L700-R$5)),0)),IF($L700&gt;R$4,R$3,ROUND($L700*R$7,0)))</f>
        <v/>
      </c>
      <c r="H700" s="448">
        <f>IF($L700&gt;S$5,MAX(0,S$3+ROUND((S$9*($L700-S$5)),0)),IF($L700&gt;S$4,S$3,ROUND($L700*S$7,0)))</f>
        <v/>
      </c>
      <c r="I700" s="448">
        <f>IF($L700&gt;T$5,MAX(0,T$3+ROUND((T$9*($L700-T$5)),0)),IF($L700&gt;T$4,T$3,ROUND($L700*T$7,0)))</f>
        <v/>
      </c>
      <c r="J700" s="447">
        <f>IF($L700&gt;U$5,MAX(0,U$3+ROUND((U$9*($L700-U$5)),0)),IF($L700&gt;U$4,U$3,ROUND($L700*U$7,0)))</f>
        <v/>
      </c>
      <c r="K700" s="422" t="n"/>
      <c r="L700" s="448">
        <f>ROUND((A700+B700)/2,2)</f>
        <v/>
      </c>
    </row>
    <row r="701" ht="13.5" customHeight="1" s="7635">
      <c r="A701" s="448" t="n">
        <v>34800</v>
      </c>
      <c r="B701" s="447" t="n">
        <v>34850</v>
      </c>
      <c r="C701" s="1378">
        <f>IF($L701&gt;N$5,MAX(0,N$3+ROUND((N$9*($L701-N$5)),0)),IF($L701&gt;N$4,N$3,ROUND($L701*N$7,0)))</f>
        <v/>
      </c>
      <c r="D701" s="448">
        <f>IF($L701&gt;O$5,MAX(0,O$3+ROUND((O$9*($L701-O$5)),0)),IF($L701&gt;O$4,O$3,ROUND($L701*O$7,0)))</f>
        <v/>
      </c>
      <c r="E701" s="448">
        <f>IF($L701&gt;P$5,MAX(0,P$3+ROUND((P$9*($L701-P$5)),0)),IF($L701&gt;P$4,P$3,ROUND($L701*P$7,0)))</f>
        <v/>
      </c>
      <c r="F701" s="447">
        <f>IF($L701&gt;Q$5,MAX(0,Q$3+ROUND((Q$9*($L701-Q$5)),0)),IF($L701&gt;Q$4,Q$3,ROUND($L701*Q$7,0)))</f>
        <v/>
      </c>
      <c r="G701" s="1378">
        <f>IF($L701&gt;R$5,MAX(0,R$3+ROUND((R$9*($L701-R$5)),0)),IF($L701&gt;R$4,R$3,ROUND($L701*R$7,0)))</f>
        <v/>
      </c>
      <c r="H701" s="448">
        <f>IF($L701&gt;S$5,MAX(0,S$3+ROUND((S$9*($L701-S$5)),0)),IF($L701&gt;S$4,S$3,ROUND($L701*S$7,0)))</f>
        <v/>
      </c>
      <c r="I701" s="448">
        <f>IF($L701&gt;T$5,MAX(0,T$3+ROUND((T$9*($L701-T$5)),0)),IF($L701&gt;T$4,T$3,ROUND($L701*T$7,0)))</f>
        <v/>
      </c>
      <c r="J701" s="447">
        <f>IF($L701&gt;U$5,MAX(0,U$3+ROUND((U$9*($L701-U$5)),0)),IF($L701&gt;U$4,U$3,ROUND($L701*U$7,0)))</f>
        <v/>
      </c>
      <c r="K701" s="422" t="n"/>
      <c r="L701" s="448">
        <f>ROUND((A701+B701)/2,2)</f>
        <v/>
      </c>
    </row>
    <row r="702" ht="13.5" customHeight="1" s="7635">
      <c r="A702" s="448" t="n">
        <v>34850</v>
      </c>
      <c r="B702" s="447" t="n">
        <v>34900</v>
      </c>
      <c r="C702" s="1378">
        <f>IF($L702&gt;N$5,MAX(0,N$3+ROUND((N$9*($L702-N$5)),0)),IF($L702&gt;N$4,N$3,ROUND($L702*N$7,0)))</f>
        <v/>
      </c>
      <c r="D702" s="448">
        <f>IF($L702&gt;O$5,MAX(0,O$3+ROUND((O$9*($L702-O$5)),0)),IF($L702&gt;O$4,O$3,ROUND($L702*O$7,0)))</f>
        <v/>
      </c>
      <c r="E702" s="448">
        <f>IF($L702&gt;P$5,MAX(0,P$3+ROUND((P$9*($L702-P$5)),0)),IF($L702&gt;P$4,P$3,ROUND($L702*P$7,0)))</f>
        <v/>
      </c>
      <c r="F702" s="447">
        <f>IF($L702&gt;Q$5,MAX(0,Q$3+ROUND((Q$9*($L702-Q$5)),0)),IF($L702&gt;Q$4,Q$3,ROUND($L702*Q$7,0)))</f>
        <v/>
      </c>
      <c r="G702" s="1378">
        <f>IF($L702&gt;R$5,MAX(0,R$3+ROUND((R$9*($L702-R$5)),0)),IF($L702&gt;R$4,R$3,ROUND($L702*R$7,0)))</f>
        <v/>
      </c>
      <c r="H702" s="448">
        <f>IF($L702&gt;S$5,MAX(0,S$3+ROUND((S$9*($L702-S$5)),0)),IF($L702&gt;S$4,S$3,ROUND($L702*S$7,0)))</f>
        <v/>
      </c>
      <c r="I702" s="448">
        <f>IF($L702&gt;T$5,MAX(0,T$3+ROUND((T$9*($L702-T$5)),0)),IF($L702&gt;T$4,T$3,ROUND($L702*T$7,0)))</f>
        <v/>
      </c>
      <c r="J702" s="447">
        <f>IF($L702&gt;U$5,MAX(0,U$3+ROUND((U$9*($L702-U$5)),0)),IF($L702&gt;U$4,U$3,ROUND($L702*U$7,0)))</f>
        <v/>
      </c>
      <c r="K702" s="422" t="n"/>
      <c r="L702" s="448">
        <f>ROUND((A702+B702)/2,2)</f>
        <v/>
      </c>
    </row>
    <row r="703" ht="13.5" customHeight="1" s="7635">
      <c r="A703" s="448" t="n">
        <v>34900</v>
      </c>
      <c r="B703" s="447" t="n">
        <v>34950</v>
      </c>
      <c r="C703" s="1378">
        <f>IF($L703&gt;N$5,MAX(0,N$3+ROUND((N$9*($L703-N$5)),0)),IF($L703&gt;N$4,N$3,ROUND($L703*N$7,0)))</f>
        <v/>
      </c>
      <c r="D703" s="448">
        <f>IF($L703&gt;O$5,MAX(0,O$3+ROUND((O$9*($L703-O$5)),0)),IF($L703&gt;O$4,O$3,ROUND($L703*O$7,0)))</f>
        <v/>
      </c>
      <c r="E703" s="448">
        <f>IF($L703&gt;P$5,MAX(0,P$3+ROUND((P$9*($L703-P$5)),0)),IF($L703&gt;P$4,P$3,ROUND($L703*P$7,0)))</f>
        <v/>
      </c>
      <c r="F703" s="447">
        <f>IF($L703&gt;Q$5,MAX(0,Q$3+ROUND((Q$9*($L703-Q$5)),0)),IF($L703&gt;Q$4,Q$3,ROUND($L703*Q$7,0)))</f>
        <v/>
      </c>
      <c r="G703" s="1378">
        <f>IF($L703&gt;R$5,MAX(0,R$3+ROUND((R$9*($L703-R$5)),0)),IF($L703&gt;R$4,R$3,ROUND($L703*R$7,0)))</f>
        <v/>
      </c>
      <c r="H703" s="448">
        <f>IF($L703&gt;S$5,MAX(0,S$3+ROUND((S$9*($L703-S$5)),0)),IF($L703&gt;S$4,S$3,ROUND($L703*S$7,0)))</f>
        <v/>
      </c>
      <c r="I703" s="448">
        <f>IF($L703&gt;T$5,MAX(0,T$3+ROUND((T$9*($L703-T$5)),0)),IF($L703&gt;T$4,T$3,ROUND($L703*T$7,0)))</f>
        <v/>
      </c>
      <c r="J703" s="447">
        <f>IF($L703&gt;U$5,MAX(0,U$3+ROUND((U$9*($L703-U$5)),0)),IF($L703&gt;U$4,U$3,ROUND($L703*U$7,0)))</f>
        <v/>
      </c>
      <c r="K703" s="422" t="n"/>
      <c r="L703" s="448">
        <f>ROUND((A703+B703)/2,2)</f>
        <v/>
      </c>
    </row>
    <row r="704" ht="13.5" customHeight="1" s="7635">
      <c r="A704" s="448" t="n">
        <v>34950</v>
      </c>
      <c r="B704" s="447" t="n">
        <v>35000</v>
      </c>
      <c r="C704" s="1378">
        <f>IF($L704&gt;N$5,MAX(0,N$3+ROUND((N$9*($L704-N$5)),0)),IF($L704&gt;N$4,N$3,ROUND($L704*N$7,0)))</f>
        <v/>
      </c>
      <c r="D704" s="448">
        <f>IF($L704&gt;O$5,MAX(0,O$3+ROUND((O$9*($L704-O$5)),0)),IF($L704&gt;O$4,O$3,ROUND($L704*O$7,0)))</f>
        <v/>
      </c>
      <c r="E704" s="448">
        <f>IF($L704&gt;P$5,MAX(0,P$3+ROUND((P$9*($L704-P$5)),0)),IF($L704&gt;P$4,P$3,ROUND($L704*P$7,0)))</f>
        <v/>
      </c>
      <c r="F704" s="447">
        <f>IF($L704&gt;Q$5,MAX(0,Q$3+ROUND((Q$9*($L704-Q$5)),0)),IF($L704&gt;Q$4,Q$3,ROUND($L704*Q$7,0)))</f>
        <v/>
      </c>
      <c r="G704" s="1378">
        <f>IF($L704&gt;R$5,MAX(0,R$3+ROUND((R$9*($L704-R$5)),0)),IF($L704&gt;R$4,R$3,ROUND($L704*R$7,0)))</f>
        <v/>
      </c>
      <c r="H704" s="448">
        <f>IF($L704&gt;S$5,MAX(0,S$3+ROUND((S$9*($L704-S$5)),0)),IF($L704&gt;S$4,S$3,ROUND($L704*S$7,0)))</f>
        <v/>
      </c>
      <c r="I704" s="448">
        <f>IF($L704&gt;T$5,MAX(0,T$3+ROUND((T$9*($L704-T$5)),0)),IF($L704&gt;T$4,T$3,ROUND($L704*T$7,0)))</f>
        <v/>
      </c>
      <c r="J704" s="447">
        <f>IF($L704&gt;U$5,MAX(0,U$3+ROUND((U$9*($L704-U$5)),0)),IF($L704&gt;U$4,U$3,ROUND($L704*U$7,0)))</f>
        <v/>
      </c>
      <c r="K704" s="422" t="n"/>
      <c r="L704" s="448">
        <f>ROUND((A704+B704)/2,2)</f>
        <v/>
      </c>
    </row>
    <row r="705" ht="13.5" customHeight="1" s="7635">
      <c r="A705" s="448" t="n">
        <v>35000</v>
      </c>
      <c r="B705" s="447" t="n">
        <v>35050</v>
      </c>
      <c r="C705" s="1378">
        <f>IF($L705&gt;N$5,MAX(0,N$3+ROUND((N$9*($L705-N$5)),0)),IF($L705&gt;N$4,N$3,ROUND($L705*N$7,0)))</f>
        <v/>
      </c>
      <c r="D705" s="448">
        <f>IF($L705&gt;O$5,MAX(0,O$3+ROUND((O$9*($L705-O$5)),0)),IF($L705&gt;O$4,O$3,ROUND($L705*O$7,0)))</f>
        <v/>
      </c>
      <c r="E705" s="448">
        <f>IF($L705&gt;P$5,MAX(0,P$3+ROUND((P$9*($L705-P$5)),0)),IF($L705&gt;P$4,P$3,ROUND($L705*P$7,0)))</f>
        <v/>
      </c>
      <c r="F705" s="447">
        <f>IF($L705&gt;Q$5,MAX(0,Q$3+ROUND((Q$9*($L705-Q$5)),0)),IF($L705&gt;Q$4,Q$3,ROUND($L705*Q$7,0)))</f>
        <v/>
      </c>
      <c r="G705" s="1378">
        <f>IF($L705&gt;R$5,MAX(0,R$3+ROUND((R$9*($L705-R$5)),0)),IF($L705&gt;R$4,R$3,ROUND($L705*R$7,0)))</f>
        <v/>
      </c>
      <c r="H705" s="448">
        <f>IF($L705&gt;S$5,MAX(0,S$3+ROUND((S$9*($L705-S$5)),0)),IF($L705&gt;S$4,S$3,ROUND($L705*S$7,0)))</f>
        <v/>
      </c>
      <c r="I705" s="448">
        <f>IF($L705&gt;T$5,MAX(0,T$3+ROUND((T$9*($L705-T$5)),0)),IF($L705&gt;T$4,T$3,ROUND($L705*T$7,0)))</f>
        <v/>
      </c>
      <c r="J705" s="447">
        <f>IF($L705&gt;U$5,MAX(0,U$3+ROUND((U$9*($L705-U$5)),0)),IF($L705&gt;U$4,U$3,ROUND($L705*U$7,0)))</f>
        <v/>
      </c>
      <c r="K705" s="422" t="n"/>
      <c r="L705" s="448">
        <f>ROUND((A705+B705)/2,2)</f>
        <v/>
      </c>
    </row>
    <row r="706" ht="13.5" customHeight="1" s="7635">
      <c r="A706" s="448" t="n">
        <v>35050</v>
      </c>
      <c r="B706" s="447" t="n">
        <v>35100</v>
      </c>
      <c r="C706" s="1378">
        <f>IF($L706&gt;N$5,MAX(0,N$3+ROUND((N$9*($L706-N$5)),0)),IF($L706&gt;N$4,N$3,ROUND($L706*N$7,0)))</f>
        <v/>
      </c>
      <c r="D706" s="448">
        <f>IF($L706&gt;O$5,MAX(0,O$3+ROUND((O$9*($L706-O$5)),0)),IF($L706&gt;O$4,O$3,ROUND($L706*O$7,0)))</f>
        <v/>
      </c>
      <c r="E706" s="448">
        <f>IF($L706&gt;P$5,MAX(0,P$3+ROUND((P$9*($L706-P$5)),0)),IF($L706&gt;P$4,P$3,ROUND($L706*P$7,0)))</f>
        <v/>
      </c>
      <c r="F706" s="447">
        <f>IF($L706&gt;Q$5,MAX(0,Q$3+ROUND((Q$9*($L706-Q$5)),0)),IF($L706&gt;Q$4,Q$3,ROUND($L706*Q$7,0)))</f>
        <v/>
      </c>
      <c r="G706" s="1378">
        <f>IF($L706&gt;R$5,MAX(0,R$3+ROUND((R$9*($L706-R$5)),0)),IF($L706&gt;R$4,R$3,ROUND($L706*R$7,0)))</f>
        <v/>
      </c>
      <c r="H706" s="448">
        <f>IF($L706&gt;S$5,MAX(0,S$3+ROUND((S$9*($L706-S$5)),0)),IF($L706&gt;S$4,S$3,ROUND($L706*S$7,0)))</f>
        <v/>
      </c>
      <c r="I706" s="448">
        <f>IF($L706&gt;T$5,MAX(0,T$3+ROUND((T$9*($L706-T$5)),0)),IF($L706&gt;T$4,T$3,ROUND($L706*T$7,0)))</f>
        <v/>
      </c>
      <c r="J706" s="447">
        <f>IF($L706&gt;U$5,MAX(0,U$3+ROUND((U$9*($L706-U$5)),0)),IF($L706&gt;U$4,U$3,ROUND($L706*U$7,0)))</f>
        <v/>
      </c>
      <c r="K706" s="422" t="n"/>
      <c r="L706" s="448">
        <f>ROUND((A706+B706)/2,2)</f>
        <v/>
      </c>
    </row>
    <row r="707" ht="13.5" customHeight="1" s="7635">
      <c r="A707" s="448" t="n">
        <v>35100</v>
      </c>
      <c r="B707" s="447" t="n">
        <v>35150</v>
      </c>
      <c r="C707" s="1378">
        <f>IF($L707&gt;N$5,MAX(0,N$3+ROUND((N$9*($L707-N$5)),0)),IF($L707&gt;N$4,N$3,ROUND($L707*N$7,0)))</f>
        <v/>
      </c>
      <c r="D707" s="448">
        <f>IF($L707&gt;O$5,MAX(0,O$3+ROUND((O$9*($L707-O$5)),0)),IF($L707&gt;O$4,O$3,ROUND($L707*O$7,0)))</f>
        <v/>
      </c>
      <c r="E707" s="448">
        <f>IF($L707&gt;P$5,MAX(0,P$3+ROUND((P$9*($L707-P$5)),0)),IF($L707&gt;P$4,P$3,ROUND($L707*P$7,0)))</f>
        <v/>
      </c>
      <c r="F707" s="447">
        <f>IF($L707&gt;Q$5,MAX(0,Q$3+ROUND((Q$9*($L707-Q$5)),0)),IF($L707&gt;Q$4,Q$3,ROUND($L707*Q$7,0)))</f>
        <v/>
      </c>
      <c r="G707" s="1378">
        <f>IF($L707&gt;R$5,MAX(0,R$3+ROUND((R$9*($L707-R$5)),0)),IF($L707&gt;R$4,R$3,ROUND($L707*R$7,0)))</f>
        <v/>
      </c>
      <c r="H707" s="448">
        <f>IF($L707&gt;S$5,MAX(0,S$3+ROUND((S$9*($L707-S$5)),0)),IF($L707&gt;S$4,S$3,ROUND($L707*S$7,0)))</f>
        <v/>
      </c>
      <c r="I707" s="448">
        <f>IF($L707&gt;T$5,MAX(0,T$3+ROUND((T$9*($L707-T$5)),0)),IF($L707&gt;T$4,T$3,ROUND($L707*T$7,0)))</f>
        <v/>
      </c>
      <c r="J707" s="447">
        <f>IF($L707&gt;U$5,MAX(0,U$3+ROUND((U$9*($L707-U$5)),0)),IF($L707&gt;U$4,U$3,ROUND($L707*U$7,0)))</f>
        <v/>
      </c>
      <c r="K707" s="422" t="n"/>
      <c r="L707" s="448">
        <f>ROUND((A707+B707)/2,2)</f>
        <v/>
      </c>
    </row>
    <row r="708" ht="13.5" customHeight="1" s="7635">
      <c r="A708" s="448" t="n">
        <v>35150</v>
      </c>
      <c r="B708" s="447" t="n">
        <v>35200</v>
      </c>
      <c r="C708" s="1378">
        <f>IF($L708&gt;N$5,MAX(0,N$3+ROUND((N$9*($L708-N$5)),0)),IF($L708&gt;N$4,N$3,ROUND($L708*N$7,0)))</f>
        <v/>
      </c>
      <c r="D708" s="448">
        <f>IF($L708&gt;O$5,MAX(0,O$3+ROUND((O$9*($L708-O$5)),0)),IF($L708&gt;O$4,O$3,ROUND($L708*O$7,0)))</f>
        <v/>
      </c>
      <c r="E708" s="448">
        <f>IF($L708&gt;P$5,MAX(0,P$3+ROUND((P$9*($L708-P$5)),0)),IF($L708&gt;P$4,P$3,ROUND($L708*P$7,0)))</f>
        <v/>
      </c>
      <c r="F708" s="447">
        <f>IF($L708&gt;Q$5,MAX(0,Q$3+ROUND((Q$9*($L708-Q$5)),0)),IF($L708&gt;Q$4,Q$3,ROUND($L708*Q$7,0)))</f>
        <v/>
      </c>
      <c r="G708" s="1378">
        <f>IF($L708&gt;R$5,MAX(0,R$3+ROUND((R$9*($L708-R$5)),0)),IF($L708&gt;R$4,R$3,ROUND($L708*R$7,0)))</f>
        <v/>
      </c>
      <c r="H708" s="448">
        <f>IF($L708&gt;S$5,MAX(0,S$3+ROUND((S$9*($L708-S$5)),0)),IF($L708&gt;S$4,S$3,ROUND($L708*S$7,0)))</f>
        <v/>
      </c>
      <c r="I708" s="448">
        <f>IF($L708&gt;T$5,MAX(0,T$3+ROUND((T$9*($L708-T$5)),0)),IF($L708&gt;T$4,T$3,ROUND($L708*T$7,0)))</f>
        <v/>
      </c>
      <c r="J708" s="447">
        <f>IF($L708&gt;U$5,MAX(0,U$3+ROUND((U$9*($L708-U$5)),0)),IF($L708&gt;U$4,U$3,ROUND($L708*U$7,0)))</f>
        <v/>
      </c>
      <c r="K708" s="422" t="n"/>
      <c r="L708" s="448">
        <f>ROUND((A708+B708)/2,2)</f>
        <v/>
      </c>
    </row>
    <row r="709" ht="13.5" customHeight="1" s="7635">
      <c r="A709" s="448" t="n">
        <v>35200</v>
      </c>
      <c r="B709" s="447" t="n">
        <v>35250</v>
      </c>
      <c r="C709" s="1378">
        <f>IF($L709&gt;N$5,MAX(0,N$3+ROUND((N$9*($L709-N$5)),0)),IF($L709&gt;N$4,N$3,ROUND($L709*N$7,0)))</f>
        <v/>
      </c>
      <c r="D709" s="448">
        <f>IF($L709&gt;O$5,MAX(0,O$3+ROUND((O$9*($L709-O$5)),0)),IF($L709&gt;O$4,O$3,ROUND($L709*O$7,0)))</f>
        <v/>
      </c>
      <c r="E709" s="448">
        <f>IF($L709&gt;P$5,MAX(0,P$3+ROUND((P$9*($L709-P$5)),0)),IF($L709&gt;P$4,P$3,ROUND($L709*P$7,0)))</f>
        <v/>
      </c>
      <c r="F709" s="447">
        <f>IF($L709&gt;Q$5,MAX(0,Q$3+ROUND((Q$9*($L709-Q$5)),0)),IF($L709&gt;Q$4,Q$3,ROUND($L709*Q$7,0)))</f>
        <v/>
      </c>
      <c r="G709" s="1378">
        <f>IF($L709&gt;R$5,MAX(0,R$3+ROUND((R$9*($L709-R$5)),0)),IF($L709&gt;R$4,R$3,ROUND($L709*R$7,0)))</f>
        <v/>
      </c>
      <c r="H709" s="448">
        <f>IF($L709&gt;S$5,MAX(0,S$3+ROUND((S$9*($L709-S$5)),0)),IF($L709&gt;S$4,S$3,ROUND($L709*S$7,0)))</f>
        <v/>
      </c>
      <c r="I709" s="448">
        <f>IF($L709&gt;T$5,MAX(0,T$3+ROUND((T$9*($L709-T$5)),0)),IF($L709&gt;T$4,T$3,ROUND($L709*T$7,0)))</f>
        <v/>
      </c>
      <c r="J709" s="447">
        <f>IF($L709&gt;U$5,MAX(0,U$3+ROUND((U$9*($L709-U$5)),0)),IF($L709&gt;U$4,U$3,ROUND($L709*U$7,0)))</f>
        <v/>
      </c>
      <c r="K709" s="422" t="n"/>
      <c r="L709" s="448">
        <f>ROUND((A709+B709)/2,2)</f>
        <v/>
      </c>
    </row>
    <row r="710" ht="13.5" customHeight="1" s="7635">
      <c r="A710" s="448" t="n">
        <v>35250</v>
      </c>
      <c r="B710" s="447" t="n">
        <v>35300</v>
      </c>
      <c r="C710" s="1378">
        <f>IF($L710&gt;N$5,MAX(0,N$3+ROUND((N$9*($L710-N$5)),0)),IF($L710&gt;N$4,N$3,ROUND($L710*N$7,0)))</f>
        <v/>
      </c>
      <c r="D710" s="448">
        <f>IF($L710&gt;O$5,MAX(0,O$3+ROUND((O$9*($L710-O$5)),0)),IF($L710&gt;O$4,O$3,ROUND($L710*O$7,0)))</f>
        <v/>
      </c>
      <c r="E710" s="448">
        <f>IF($L710&gt;P$5,MAX(0,P$3+ROUND((P$9*($L710-P$5)),0)),IF($L710&gt;P$4,P$3,ROUND($L710*P$7,0)))</f>
        <v/>
      </c>
      <c r="F710" s="447">
        <f>IF($L710&gt;Q$5,MAX(0,Q$3+ROUND((Q$9*($L710-Q$5)),0)),IF($L710&gt;Q$4,Q$3,ROUND($L710*Q$7,0)))</f>
        <v/>
      </c>
      <c r="G710" s="1378">
        <f>IF($L710&gt;R$5,MAX(0,R$3+ROUND((R$9*($L710-R$5)),0)),IF($L710&gt;R$4,R$3,ROUND($L710*R$7,0)))</f>
        <v/>
      </c>
      <c r="H710" s="448">
        <f>IF($L710&gt;S$5,MAX(0,S$3+ROUND((S$9*($L710-S$5)),0)),IF($L710&gt;S$4,S$3,ROUND($L710*S$7,0)))</f>
        <v/>
      </c>
      <c r="I710" s="448">
        <f>IF($L710&gt;T$5,MAX(0,T$3+ROUND((T$9*($L710-T$5)),0)),IF($L710&gt;T$4,T$3,ROUND($L710*T$7,0)))</f>
        <v/>
      </c>
      <c r="J710" s="447">
        <f>IF($L710&gt;U$5,MAX(0,U$3+ROUND((U$9*($L710-U$5)),0)),IF($L710&gt;U$4,U$3,ROUND($L710*U$7,0)))</f>
        <v/>
      </c>
      <c r="K710" s="422" t="n"/>
      <c r="L710" s="448">
        <f>ROUND((A710+B710)/2,2)</f>
        <v/>
      </c>
    </row>
    <row r="711" ht="13.5" customHeight="1" s="7635">
      <c r="A711" s="448" t="n">
        <v>35300</v>
      </c>
      <c r="B711" s="447" t="n">
        <v>35350</v>
      </c>
      <c r="C711" s="1378">
        <f>IF($L711&gt;N$5,MAX(0,N$3+ROUND((N$9*($L711-N$5)),0)),IF($L711&gt;N$4,N$3,ROUND($L711*N$7,0)))</f>
        <v/>
      </c>
      <c r="D711" s="448">
        <f>IF($L711&gt;O$5,MAX(0,O$3+ROUND((O$9*($L711-O$5)),0)),IF($L711&gt;O$4,O$3,ROUND($L711*O$7,0)))</f>
        <v/>
      </c>
      <c r="E711" s="448">
        <f>IF($L711&gt;P$5,MAX(0,P$3+ROUND((P$9*($L711-P$5)),0)),IF($L711&gt;P$4,P$3,ROUND($L711*P$7,0)))</f>
        <v/>
      </c>
      <c r="F711" s="447">
        <f>IF($L711&gt;Q$5,MAX(0,Q$3+ROUND((Q$9*($L711-Q$5)),0)),IF($L711&gt;Q$4,Q$3,ROUND($L711*Q$7,0)))</f>
        <v/>
      </c>
      <c r="G711" s="1378">
        <f>IF($L711&gt;R$5,MAX(0,R$3+ROUND((R$9*($L711-R$5)),0)),IF($L711&gt;R$4,R$3,ROUND($L711*R$7,0)))</f>
        <v/>
      </c>
      <c r="H711" s="448">
        <f>IF($L711&gt;S$5,MAX(0,S$3+ROUND((S$9*($L711-S$5)),0)),IF($L711&gt;S$4,S$3,ROUND($L711*S$7,0)))</f>
        <v/>
      </c>
      <c r="I711" s="448">
        <f>IF($L711&gt;T$5,MAX(0,T$3+ROUND((T$9*($L711-T$5)),0)),IF($L711&gt;T$4,T$3,ROUND($L711*T$7,0)))</f>
        <v/>
      </c>
      <c r="J711" s="447">
        <f>IF($L711&gt;U$5,MAX(0,U$3+ROUND((U$9*($L711-U$5)),0)),IF($L711&gt;U$4,U$3,ROUND($L711*U$7,0)))</f>
        <v/>
      </c>
      <c r="K711" s="422" t="n"/>
      <c r="L711" s="448">
        <f>ROUND((A711+B711)/2,2)</f>
        <v/>
      </c>
    </row>
    <row r="712" ht="13.5" customHeight="1" s="7635">
      <c r="A712" s="448" t="n">
        <v>35350</v>
      </c>
      <c r="B712" s="447" t="n">
        <v>35400</v>
      </c>
      <c r="C712" s="1378">
        <f>IF($L712&gt;N$5,MAX(0,N$3+ROUND((N$9*($L712-N$5)),0)),IF($L712&gt;N$4,N$3,ROUND($L712*N$7,0)))</f>
        <v/>
      </c>
      <c r="D712" s="448">
        <f>IF($L712&gt;O$5,MAX(0,O$3+ROUND((O$9*($L712-O$5)),0)),IF($L712&gt;O$4,O$3,ROUND($L712*O$7,0)))</f>
        <v/>
      </c>
      <c r="E712" s="448">
        <f>IF($L712&gt;P$5,MAX(0,P$3+ROUND((P$9*($L712-P$5)),0)),IF($L712&gt;P$4,P$3,ROUND($L712*P$7,0)))</f>
        <v/>
      </c>
      <c r="F712" s="447">
        <f>IF($L712&gt;Q$5,MAX(0,Q$3+ROUND((Q$9*($L712-Q$5)),0)),IF($L712&gt;Q$4,Q$3,ROUND($L712*Q$7,0)))</f>
        <v/>
      </c>
      <c r="G712" s="1378">
        <f>IF($L712&gt;R$5,MAX(0,R$3+ROUND((R$9*($L712-R$5)),0)),IF($L712&gt;R$4,R$3,ROUND($L712*R$7,0)))</f>
        <v/>
      </c>
      <c r="H712" s="448">
        <f>IF($L712&gt;S$5,MAX(0,S$3+ROUND((S$9*($L712-S$5)),0)),IF($L712&gt;S$4,S$3,ROUND($L712*S$7,0)))</f>
        <v/>
      </c>
      <c r="I712" s="448">
        <f>IF($L712&gt;T$5,MAX(0,T$3+ROUND((T$9*($L712-T$5)),0)),IF($L712&gt;T$4,T$3,ROUND($L712*T$7,0)))</f>
        <v/>
      </c>
      <c r="J712" s="447">
        <f>IF($L712&gt;U$5,MAX(0,U$3+ROUND((U$9*($L712-U$5)),0)),IF($L712&gt;U$4,U$3,ROUND($L712*U$7,0)))</f>
        <v/>
      </c>
      <c r="K712" s="422" t="n"/>
      <c r="L712" s="448">
        <f>ROUND((A712+B712)/2,2)</f>
        <v/>
      </c>
    </row>
    <row r="713" ht="13.5" customHeight="1" s="7635">
      <c r="A713" s="448" t="n">
        <v>35400</v>
      </c>
      <c r="B713" s="447" t="n">
        <v>35450</v>
      </c>
      <c r="C713" s="1378">
        <f>IF($L713&gt;N$5,MAX(0,N$3+ROUND((N$9*($L713-N$5)),0)),IF($L713&gt;N$4,N$3,ROUND($L713*N$7,0)))</f>
        <v/>
      </c>
      <c r="D713" s="448">
        <f>IF($L713&gt;O$5,MAX(0,O$3+ROUND((O$9*($L713-O$5)),0)),IF($L713&gt;O$4,O$3,ROUND($L713*O$7,0)))</f>
        <v/>
      </c>
      <c r="E713" s="448">
        <f>IF($L713&gt;P$5,MAX(0,P$3+ROUND((P$9*($L713-P$5)),0)),IF($L713&gt;P$4,P$3,ROUND($L713*P$7,0)))</f>
        <v/>
      </c>
      <c r="F713" s="447">
        <f>IF($L713&gt;Q$5,MAX(0,Q$3+ROUND((Q$9*($L713-Q$5)),0)),IF($L713&gt;Q$4,Q$3,ROUND($L713*Q$7,0)))</f>
        <v/>
      </c>
      <c r="G713" s="1378">
        <f>IF($L713&gt;R$5,MAX(0,R$3+ROUND((R$9*($L713-R$5)),0)),IF($L713&gt;R$4,R$3,ROUND($L713*R$7,0)))</f>
        <v/>
      </c>
      <c r="H713" s="448">
        <f>IF($L713&gt;S$5,MAX(0,S$3+ROUND((S$9*($L713-S$5)),0)),IF($L713&gt;S$4,S$3,ROUND($L713*S$7,0)))</f>
        <v/>
      </c>
      <c r="I713" s="448">
        <f>IF($L713&gt;T$5,MAX(0,T$3+ROUND((T$9*($L713-T$5)),0)),IF($L713&gt;T$4,T$3,ROUND($L713*T$7,0)))</f>
        <v/>
      </c>
      <c r="J713" s="447">
        <f>IF($L713&gt;U$5,MAX(0,U$3+ROUND((U$9*($L713-U$5)),0)),IF($L713&gt;U$4,U$3,ROUND($L713*U$7,0)))</f>
        <v/>
      </c>
      <c r="K713" s="422" t="n"/>
      <c r="L713" s="448">
        <f>ROUND((A713+B713)/2,2)</f>
        <v/>
      </c>
    </row>
    <row r="714" ht="13.5" customHeight="1" s="7635">
      <c r="A714" s="448" t="n">
        <v>35450</v>
      </c>
      <c r="B714" s="447" t="n">
        <v>35500</v>
      </c>
      <c r="C714" s="1378">
        <f>IF($L714&gt;N$5,MAX(0,N$3+ROUND((N$9*($L714-N$5)),0)),IF($L714&gt;N$4,N$3,ROUND($L714*N$7,0)))</f>
        <v/>
      </c>
      <c r="D714" s="448">
        <f>IF($L714&gt;O$5,MAX(0,O$3+ROUND((O$9*($L714-O$5)),0)),IF($L714&gt;O$4,O$3,ROUND($L714*O$7,0)))</f>
        <v/>
      </c>
      <c r="E714" s="448">
        <f>IF($L714&gt;P$5,MAX(0,P$3+ROUND((P$9*($L714-P$5)),0)),IF($L714&gt;P$4,P$3,ROUND($L714*P$7,0)))</f>
        <v/>
      </c>
      <c r="F714" s="447">
        <f>IF($L714&gt;Q$5,MAX(0,Q$3+ROUND((Q$9*($L714-Q$5)),0)),IF($L714&gt;Q$4,Q$3,ROUND($L714*Q$7,0)))</f>
        <v/>
      </c>
      <c r="G714" s="1378">
        <f>IF($L714&gt;R$5,MAX(0,R$3+ROUND((R$9*($L714-R$5)),0)),IF($L714&gt;R$4,R$3,ROUND($L714*R$7,0)))</f>
        <v/>
      </c>
      <c r="H714" s="448">
        <f>IF($L714&gt;S$5,MAX(0,S$3+ROUND((S$9*($L714-S$5)),0)),IF($L714&gt;S$4,S$3,ROUND($L714*S$7,0)))</f>
        <v/>
      </c>
      <c r="I714" s="448">
        <f>IF($L714&gt;T$5,MAX(0,T$3+ROUND((T$9*($L714-T$5)),0)),IF($L714&gt;T$4,T$3,ROUND($L714*T$7,0)))</f>
        <v/>
      </c>
      <c r="J714" s="447">
        <f>IF($L714&gt;U$5,MAX(0,U$3+ROUND((U$9*($L714-U$5)),0)),IF($L714&gt;U$4,U$3,ROUND($L714*U$7,0)))</f>
        <v/>
      </c>
      <c r="K714" s="422" t="n"/>
      <c r="L714" s="448">
        <f>ROUND((A714+B714)/2,2)</f>
        <v/>
      </c>
    </row>
    <row r="715" ht="13.5" customHeight="1" s="7635">
      <c r="A715" s="448" t="n">
        <v>35500</v>
      </c>
      <c r="B715" s="447" t="n">
        <v>35550</v>
      </c>
      <c r="C715" s="1378">
        <f>IF($L715&gt;N$5,MAX(0,N$3+ROUND((N$9*($L715-N$5)),0)),IF($L715&gt;N$4,N$3,ROUND($L715*N$7,0)))</f>
        <v/>
      </c>
      <c r="D715" s="448">
        <f>IF($L715&gt;O$5,MAX(0,O$3+ROUND((O$9*($L715-O$5)),0)),IF($L715&gt;O$4,O$3,ROUND($L715*O$7,0)))</f>
        <v/>
      </c>
      <c r="E715" s="448">
        <f>IF($L715&gt;P$5,MAX(0,P$3+ROUND((P$9*($L715-P$5)),0)),IF($L715&gt;P$4,P$3,ROUND($L715*P$7,0)))</f>
        <v/>
      </c>
      <c r="F715" s="447">
        <f>IF($L715&gt;Q$5,MAX(0,Q$3+ROUND((Q$9*($L715-Q$5)),0)),IF($L715&gt;Q$4,Q$3,ROUND($L715*Q$7,0)))</f>
        <v/>
      </c>
      <c r="G715" s="1378">
        <f>IF($L715&gt;R$5,MAX(0,R$3+ROUND((R$9*($L715-R$5)),0)),IF($L715&gt;R$4,R$3,ROUND($L715*R$7,0)))</f>
        <v/>
      </c>
      <c r="H715" s="448">
        <f>IF($L715&gt;S$5,MAX(0,S$3+ROUND((S$9*($L715-S$5)),0)),IF($L715&gt;S$4,S$3,ROUND($L715*S$7,0)))</f>
        <v/>
      </c>
      <c r="I715" s="448">
        <f>IF($L715&gt;T$5,MAX(0,T$3+ROUND((T$9*($L715-T$5)),0)),IF($L715&gt;T$4,T$3,ROUND($L715*T$7,0)))</f>
        <v/>
      </c>
      <c r="J715" s="447">
        <f>IF($L715&gt;U$5,MAX(0,U$3+ROUND((U$9*($L715-U$5)),0)),IF($L715&gt;U$4,U$3,ROUND($L715*U$7,0)))</f>
        <v/>
      </c>
      <c r="K715" s="422" t="n"/>
      <c r="L715" s="448">
        <f>ROUND((A715+B715)/2,2)</f>
        <v/>
      </c>
    </row>
    <row r="716" ht="13.5" customHeight="1" s="7635">
      <c r="A716" s="448" t="n">
        <v>35550</v>
      </c>
      <c r="B716" s="447" t="n">
        <v>35600</v>
      </c>
      <c r="C716" s="1378">
        <f>IF($L716&gt;N$5,MAX(0,N$3+ROUND((N$9*($L716-N$5)),0)),IF($L716&gt;N$4,N$3,ROUND($L716*N$7,0)))</f>
        <v/>
      </c>
      <c r="D716" s="448">
        <f>IF($L716&gt;O$5,MAX(0,O$3+ROUND((O$9*($L716-O$5)),0)),IF($L716&gt;O$4,O$3,ROUND($L716*O$7,0)))</f>
        <v/>
      </c>
      <c r="E716" s="448">
        <f>IF($L716&gt;P$5,MAX(0,P$3+ROUND((P$9*($L716-P$5)),0)),IF($L716&gt;P$4,P$3,ROUND($L716*P$7,0)))</f>
        <v/>
      </c>
      <c r="F716" s="447">
        <f>IF($L716&gt;Q$5,MAX(0,Q$3+ROUND((Q$9*($L716-Q$5)),0)),IF($L716&gt;Q$4,Q$3,ROUND($L716*Q$7,0)))</f>
        <v/>
      </c>
      <c r="G716" s="1378">
        <f>IF($L716&gt;R$5,MAX(0,R$3+ROUND((R$9*($L716-R$5)),0)),IF($L716&gt;R$4,R$3,ROUND($L716*R$7,0)))</f>
        <v/>
      </c>
      <c r="H716" s="448">
        <f>IF($L716&gt;S$5,MAX(0,S$3+ROUND((S$9*($L716-S$5)),0)),IF($L716&gt;S$4,S$3,ROUND($L716*S$7,0)))</f>
        <v/>
      </c>
      <c r="I716" s="448">
        <f>IF($L716&gt;T$5,MAX(0,T$3+ROUND((T$9*($L716-T$5)),0)),IF($L716&gt;T$4,T$3,ROUND($L716*T$7,0)))</f>
        <v/>
      </c>
      <c r="J716" s="447">
        <f>IF($L716&gt;U$5,MAX(0,U$3+ROUND((U$9*($L716-U$5)),0)),IF($L716&gt;U$4,U$3,ROUND($L716*U$7,0)))</f>
        <v/>
      </c>
      <c r="K716" s="422" t="n"/>
      <c r="L716" s="448">
        <f>ROUND((A716+B716)/2,2)</f>
        <v/>
      </c>
    </row>
    <row r="717" ht="13.5" customHeight="1" s="7635">
      <c r="A717" s="448" t="n">
        <v>35600</v>
      </c>
      <c r="B717" s="447" t="n">
        <v>35650</v>
      </c>
      <c r="C717" s="1378">
        <f>IF($L717&gt;N$5,MAX(0,N$3+ROUND((N$9*($L717-N$5)),0)),IF($L717&gt;N$4,N$3,ROUND($L717*N$7,0)))</f>
        <v/>
      </c>
      <c r="D717" s="448">
        <f>IF($L717&gt;O$5,MAX(0,O$3+ROUND((O$9*($L717-O$5)),0)),IF($L717&gt;O$4,O$3,ROUND($L717*O$7,0)))</f>
        <v/>
      </c>
      <c r="E717" s="448">
        <f>IF($L717&gt;P$5,MAX(0,P$3+ROUND((P$9*($L717-P$5)),0)),IF($L717&gt;P$4,P$3,ROUND($L717*P$7,0)))</f>
        <v/>
      </c>
      <c r="F717" s="447">
        <f>IF($L717&gt;Q$5,MAX(0,Q$3+ROUND((Q$9*($L717-Q$5)),0)),IF($L717&gt;Q$4,Q$3,ROUND($L717*Q$7,0)))</f>
        <v/>
      </c>
      <c r="G717" s="1378">
        <f>IF($L717&gt;R$5,MAX(0,R$3+ROUND((R$9*($L717-R$5)),0)),IF($L717&gt;R$4,R$3,ROUND($L717*R$7,0)))</f>
        <v/>
      </c>
      <c r="H717" s="448">
        <f>IF($L717&gt;S$5,MAX(0,S$3+ROUND((S$9*($L717-S$5)),0)),IF($L717&gt;S$4,S$3,ROUND($L717*S$7,0)))</f>
        <v/>
      </c>
      <c r="I717" s="448">
        <f>IF($L717&gt;T$5,MAX(0,T$3+ROUND((T$9*($L717-T$5)),0)),IF($L717&gt;T$4,T$3,ROUND($L717*T$7,0)))</f>
        <v/>
      </c>
      <c r="J717" s="447">
        <f>IF($L717&gt;U$5,MAX(0,U$3+ROUND((U$9*($L717-U$5)),0)),IF($L717&gt;U$4,U$3,ROUND($L717*U$7,0)))</f>
        <v/>
      </c>
      <c r="K717" s="422" t="n"/>
      <c r="L717" s="448">
        <f>ROUND((A717+B717)/2,2)</f>
        <v/>
      </c>
    </row>
    <row r="718" ht="13.5" customHeight="1" s="7635">
      <c r="A718" s="448" t="n">
        <v>35650</v>
      </c>
      <c r="B718" s="447" t="n">
        <v>35700</v>
      </c>
      <c r="C718" s="1378">
        <f>IF($L718&gt;N$5,MAX(0,N$3+ROUND((N$9*($L718-N$5)),0)),IF($L718&gt;N$4,N$3,ROUND($L718*N$7,0)))</f>
        <v/>
      </c>
      <c r="D718" s="448">
        <f>IF($L718&gt;O$5,MAX(0,O$3+ROUND((O$9*($L718-O$5)),0)),IF($L718&gt;O$4,O$3,ROUND($L718*O$7,0)))</f>
        <v/>
      </c>
      <c r="E718" s="448">
        <f>IF($L718&gt;P$5,MAX(0,P$3+ROUND((P$9*($L718-P$5)),0)),IF($L718&gt;P$4,P$3,ROUND($L718*P$7,0)))</f>
        <v/>
      </c>
      <c r="F718" s="447">
        <f>IF($L718&gt;Q$5,MAX(0,Q$3+ROUND((Q$9*($L718-Q$5)),0)),IF($L718&gt;Q$4,Q$3,ROUND($L718*Q$7,0)))</f>
        <v/>
      </c>
      <c r="G718" s="1378">
        <f>IF($L718&gt;R$5,MAX(0,R$3+ROUND((R$9*($L718-R$5)),0)),IF($L718&gt;R$4,R$3,ROUND($L718*R$7,0)))</f>
        <v/>
      </c>
      <c r="H718" s="448">
        <f>IF($L718&gt;S$5,MAX(0,S$3+ROUND((S$9*($L718-S$5)),0)),IF($L718&gt;S$4,S$3,ROUND($L718*S$7,0)))</f>
        <v/>
      </c>
      <c r="I718" s="448">
        <f>IF($L718&gt;T$5,MAX(0,T$3+ROUND((T$9*($L718-T$5)),0)),IF($L718&gt;T$4,T$3,ROUND($L718*T$7,0)))</f>
        <v/>
      </c>
      <c r="J718" s="447">
        <f>IF($L718&gt;U$5,MAX(0,U$3+ROUND((U$9*($L718-U$5)),0)),IF($L718&gt;U$4,U$3,ROUND($L718*U$7,0)))</f>
        <v/>
      </c>
      <c r="K718" s="422" t="n"/>
      <c r="L718" s="448">
        <f>ROUND((A718+B718)/2,2)</f>
        <v/>
      </c>
    </row>
    <row r="719" ht="13.5" customHeight="1" s="7635">
      <c r="A719" s="448" t="n">
        <v>35700</v>
      </c>
      <c r="B719" s="447" t="n">
        <v>35750</v>
      </c>
      <c r="C719" s="1378">
        <f>IF($L719&gt;N$5,MAX(0,N$3+ROUND((N$9*($L719-N$5)),0)),IF($L719&gt;N$4,N$3,ROUND($L719*N$7,0)))</f>
        <v/>
      </c>
      <c r="D719" s="448">
        <f>IF($L719&gt;O$5,MAX(0,O$3+ROUND((O$9*($L719-O$5)),0)),IF($L719&gt;O$4,O$3,ROUND($L719*O$7,0)))</f>
        <v/>
      </c>
      <c r="E719" s="448">
        <f>IF($L719&gt;P$5,MAX(0,P$3+ROUND((P$9*($L719-P$5)),0)),IF($L719&gt;P$4,P$3,ROUND($L719*P$7,0)))</f>
        <v/>
      </c>
      <c r="F719" s="447">
        <f>IF($L719&gt;Q$5,MAX(0,Q$3+ROUND((Q$9*($L719-Q$5)),0)),IF($L719&gt;Q$4,Q$3,ROUND($L719*Q$7,0)))</f>
        <v/>
      </c>
      <c r="G719" s="1378">
        <f>IF($L719&gt;R$5,MAX(0,R$3+ROUND((R$9*($L719-R$5)),0)),IF($L719&gt;R$4,R$3,ROUND($L719*R$7,0)))</f>
        <v/>
      </c>
      <c r="H719" s="448">
        <f>IF($L719&gt;S$5,MAX(0,S$3+ROUND((S$9*($L719-S$5)),0)),IF($L719&gt;S$4,S$3,ROUND($L719*S$7,0)))</f>
        <v/>
      </c>
      <c r="I719" s="448">
        <f>IF($L719&gt;T$5,MAX(0,T$3+ROUND((T$9*($L719-T$5)),0)),IF($L719&gt;T$4,T$3,ROUND($L719*T$7,0)))</f>
        <v/>
      </c>
      <c r="J719" s="447">
        <f>IF($L719&gt;U$5,MAX(0,U$3+ROUND((U$9*($L719-U$5)),0)),IF($L719&gt;U$4,U$3,ROUND($L719*U$7,0)))</f>
        <v/>
      </c>
      <c r="K719" s="422" t="n"/>
      <c r="L719" s="448">
        <f>ROUND((A719+B719)/2,2)</f>
        <v/>
      </c>
    </row>
    <row r="720" ht="13.5" customHeight="1" s="7635">
      <c r="A720" s="448" t="n">
        <v>35750</v>
      </c>
      <c r="B720" s="447" t="n">
        <v>35800</v>
      </c>
      <c r="C720" s="1378">
        <f>IF($L720&gt;N$5,MAX(0,N$3+ROUND((N$9*($L720-N$5)),0)),IF($L720&gt;N$4,N$3,ROUND($L720*N$7,0)))</f>
        <v/>
      </c>
      <c r="D720" s="448">
        <f>IF($L720&gt;O$5,MAX(0,O$3+ROUND((O$9*($L720-O$5)),0)),IF($L720&gt;O$4,O$3,ROUND($L720*O$7,0)))</f>
        <v/>
      </c>
      <c r="E720" s="448">
        <f>IF($L720&gt;P$5,MAX(0,P$3+ROUND((P$9*($L720-P$5)),0)),IF($L720&gt;P$4,P$3,ROUND($L720*P$7,0)))</f>
        <v/>
      </c>
      <c r="F720" s="447">
        <f>IF($L720&gt;Q$5,MAX(0,Q$3+ROUND((Q$9*($L720-Q$5)),0)),IF($L720&gt;Q$4,Q$3,ROUND($L720*Q$7,0)))</f>
        <v/>
      </c>
      <c r="G720" s="1378">
        <f>IF($L720&gt;R$5,MAX(0,R$3+ROUND((R$9*($L720-R$5)),0)),IF($L720&gt;R$4,R$3,ROUND($L720*R$7,0)))</f>
        <v/>
      </c>
      <c r="H720" s="448">
        <f>IF($L720&gt;S$5,MAX(0,S$3+ROUND((S$9*($L720-S$5)),0)),IF($L720&gt;S$4,S$3,ROUND($L720*S$7,0)))</f>
        <v/>
      </c>
      <c r="I720" s="448">
        <f>IF($L720&gt;T$5,MAX(0,T$3+ROUND((T$9*($L720-T$5)),0)),IF($L720&gt;T$4,T$3,ROUND($L720*T$7,0)))</f>
        <v/>
      </c>
      <c r="J720" s="447">
        <f>IF($L720&gt;U$5,MAX(0,U$3+ROUND((U$9*($L720-U$5)),0)),IF($L720&gt;U$4,U$3,ROUND($L720*U$7,0)))</f>
        <v/>
      </c>
      <c r="K720" s="422" t="n"/>
      <c r="L720" s="448">
        <f>ROUND((A720+B720)/2,2)</f>
        <v/>
      </c>
    </row>
    <row r="721" ht="13.5" customHeight="1" s="7635">
      <c r="A721" s="448" t="n">
        <v>35800</v>
      </c>
      <c r="B721" s="447" t="n">
        <v>35850</v>
      </c>
      <c r="C721" s="1378">
        <f>IF($L721&gt;N$5,MAX(0,N$3+ROUND((N$9*($L721-N$5)),0)),IF($L721&gt;N$4,N$3,ROUND($L721*N$7,0)))</f>
        <v/>
      </c>
      <c r="D721" s="448">
        <f>IF($L721&gt;O$5,MAX(0,O$3+ROUND((O$9*($L721-O$5)),0)),IF($L721&gt;O$4,O$3,ROUND($L721*O$7,0)))</f>
        <v/>
      </c>
      <c r="E721" s="448">
        <f>IF($L721&gt;P$5,MAX(0,P$3+ROUND((P$9*($L721-P$5)),0)),IF($L721&gt;P$4,P$3,ROUND($L721*P$7,0)))</f>
        <v/>
      </c>
      <c r="F721" s="447">
        <f>IF($L721&gt;Q$5,MAX(0,Q$3+ROUND((Q$9*($L721-Q$5)),0)),IF($L721&gt;Q$4,Q$3,ROUND($L721*Q$7,0)))</f>
        <v/>
      </c>
      <c r="G721" s="1378">
        <f>IF($L721&gt;R$5,MAX(0,R$3+ROUND((R$9*($L721-R$5)),0)),IF($L721&gt;R$4,R$3,ROUND($L721*R$7,0)))</f>
        <v/>
      </c>
      <c r="H721" s="448">
        <f>IF($L721&gt;S$5,MAX(0,S$3+ROUND((S$9*($L721-S$5)),0)),IF($L721&gt;S$4,S$3,ROUND($L721*S$7,0)))</f>
        <v/>
      </c>
      <c r="I721" s="448">
        <f>IF($L721&gt;T$5,MAX(0,T$3+ROUND((T$9*($L721-T$5)),0)),IF($L721&gt;T$4,T$3,ROUND($L721*T$7,0)))</f>
        <v/>
      </c>
      <c r="J721" s="447">
        <f>IF($L721&gt;U$5,MAX(0,U$3+ROUND((U$9*($L721-U$5)),0)),IF($L721&gt;U$4,U$3,ROUND($L721*U$7,0)))</f>
        <v/>
      </c>
      <c r="K721" s="422" t="n"/>
      <c r="L721" s="448">
        <f>ROUND((A721+B721)/2,2)</f>
        <v/>
      </c>
    </row>
    <row r="722" ht="13.5" customHeight="1" s="7635">
      <c r="A722" s="448" t="n">
        <v>35850</v>
      </c>
      <c r="B722" s="447" t="n">
        <v>35900</v>
      </c>
      <c r="C722" s="1378">
        <f>IF($L722&gt;N$5,MAX(0,N$3+ROUND((N$9*($L722-N$5)),0)),IF($L722&gt;N$4,N$3,ROUND($L722*N$7,0)))</f>
        <v/>
      </c>
      <c r="D722" s="448">
        <f>IF($L722&gt;O$5,MAX(0,O$3+ROUND((O$9*($L722-O$5)),0)),IF($L722&gt;O$4,O$3,ROUND($L722*O$7,0)))</f>
        <v/>
      </c>
      <c r="E722" s="448">
        <f>IF($L722&gt;P$5,MAX(0,P$3+ROUND((P$9*($L722-P$5)),0)),IF($L722&gt;P$4,P$3,ROUND($L722*P$7,0)))</f>
        <v/>
      </c>
      <c r="F722" s="447">
        <f>IF($L722&gt;Q$5,MAX(0,Q$3+ROUND((Q$9*($L722-Q$5)),0)),IF($L722&gt;Q$4,Q$3,ROUND($L722*Q$7,0)))</f>
        <v/>
      </c>
      <c r="G722" s="1378">
        <f>IF($L722&gt;R$5,MAX(0,R$3+ROUND((R$9*($L722-R$5)),0)),IF($L722&gt;R$4,R$3,ROUND($L722*R$7,0)))</f>
        <v/>
      </c>
      <c r="H722" s="448">
        <f>IF($L722&gt;S$5,MAX(0,S$3+ROUND((S$9*($L722-S$5)),0)),IF($L722&gt;S$4,S$3,ROUND($L722*S$7,0)))</f>
        <v/>
      </c>
      <c r="I722" s="448">
        <f>IF($L722&gt;T$5,MAX(0,T$3+ROUND((T$9*($L722-T$5)),0)),IF($L722&gt;T$4,T$3,ROUND($L722*T$7,0)))</f>
        <v/>
      </c>
      <c r="J722" s="447">
        <f>IF($L722&gt;U$5,MAX(0,U$3+ROUND((U$9*($L722-U$5)),0)),IF($L722&gt;U$4,U$3,ROUND($L722*U$7,0)))</f>
        <v/>
      </c>
      <c r="K722" s="422" t="n"/>
      <c r="L722" s="448">
        <f>ROUND((A722+B722)/2,2)</f>
        <v/>
      </c>
    </row>
    <row r="723" ht="13.5" customHeight="1" s="7635">
      <c r="A723" s="448" t="n">
        <v>35900</v>
      </c>
      <c r="B723" s="447" t="n">
        <v>35950</v>
      </c>
      <c r="C723" s="1378">
        <f>IF($L723&gt;N$5,MAX(0,N$3+ROUND((N$9*($L723-N$5)),0)),IF($L723&gt;N$4,N$3,ROUND($L723*N$7,0)))</f>
        <v/>
      </c>
      <c r="D723" s="448">
        <f>IF($L723&gt;O$5,MAX(0,O$3+ROUND((O$9*($L723-O$5)),0)),IF($L723&gt;O$4,O$3,ROUND($L723*O$7,0)))</f>
        <v/>
      </c>
      <c r="E723" s="448">
        <f>IF($L723&gt;P$5,MAX(0,P$3+ROUND((P$9*($L723-P$5)),0)),IF($L723&gt;P$4,P$3,ROUND($L723*P$7,0)))</f>
        <v/>
      </c>
      <c r="F723" s="447">
        <f>IF($L723&gt;Q$5,MAX(0,Q$3+ROUND((Q$9*($L723-Q$5)),0)),IF($L723&gt;Q$4,Q$3,ROUND($L723*Q$7,0)))</f>
        <v/>
      </c>
      <c r="G723" s="1378">
        <f>IF($L723&gt;R$5,MAX(0,R$3+ROUND((R$9*($L723-R$5)),0)),IF($L723&gt;R$4,R$3,ROUND($L723*R$7,0)))</f>
        <v/>
      </c>
      <c r="H723" s="448">
        <f>IF($L723&gt;S$5,MAX(0,S$3+ROUND((S$9*($L723-S$5)),0)),IF($L723&gt;S$4,S$3,ROUND($L723*S$7,0)))</f>
        <v/>
      </c>
      <c r="I723" s="448">
        <f>IF($L723&gt;T$5,MAX(0,T$3+ROUND((T$9*($L723-T$5)),0)),IF($L723&gt;T$4,T$3,ROUND($L723*T$7,0)))</f>
        <v/>
      </c>
      <c r="J723" s="447">
        <f>IF($L723&gt;U$5,MAX(0,U$3+ROUND((U$9*($L723-U$5)),0)),IF($L723&gt;U$4,U$3,ROUND($L723*U$7,0)))</f>
        <v/>
      </c>
      <c r="K723" s="422" t="n"/>
      <c r="L723" s="448">
        <f>ROUND((A723+B723)/2,2)</f>
        <v/>
      </c>
    </row>
    <row r="724" ht="13.5" customHeight="1" s="7635">
      <c r="A724" s="448" t="n">
        <v>35950</v>
      </c>
      <c r="B724" s="447" t="n">
        <v>36000</v>
      </c>
      <c r="C724" s="1378">
        <f>IF($L724&gt;N$5,MAX(0,N$3+ROUND((N$9*($L724-N$5)),0)),IF($L724&gt;N$4,N$3,ROUND($L724*N$7,0)))</f>
        <v/>
      </c>
      <c r="D724" s="448">
        <f>IF($L724&gt;O$5,MAX(0,O$3+ROUND((O$9*($L724-O$5)),0)),IF($L724&gt;O$4,O$3,ROUND($L724*O$7,0)))</f>
        <v/>
      </c>
      <c r="E724" s="448">
        <f>IF($L724&gt;P$5,MAX(0,P$3+ROUND((P$9*($L724-P$5)),0)),IF($L724&gt;P$4,P$3,ROUND($L724*P$7,0)))</f>
        <v/>
      </c>
      <c r="F724" s="447">
        <f>IF($L724&gt;Q$5,MAX(0,Q$3+ROUND((Q$9*($L724-Q$5)),0)),IF($L724&gt;Q$4,Q$3,ROUND($L724*Q$7,0)))</f>
        <v/>
      </c>
      <c r="G724" s="1378">
        <f>IF($L724&gt;R$5,MAX(0,R$3+ROUND((R$9*($L724-R$5)),0)),IF($L724&gt;R$4,R$3,ROUND($L724*R$7,0)))</f>
        <v/>
      </c>
      <c r="H724" s="448">
        <f>IF($L724&gt;S$5,MAX(0,S$3+ROUND((S$9*($L724-S$5)),0)),IF($L724&gt;S$4,S$3,ROUND($L724*S$7,0)))</f>
        <v/>
      </c>
      <c r="I724" s="448">
        <f>IF($L724&gt;T$5,MAX(0,T$3+ROUND((T$9*($L724-T$5)),0)),IF($L724&gt;T$4,T$3,ROUND($L724*T$7,0)))</f>
        <v/>
      </c>
      <c r="J724" s="447">
        <f>IF($L724&gt;U$5,MAX(0,U$3+ROUND((U$9*($L724-U$5)),0)),IF($L724&gt;U$4,U$3,ROUND($L724*U$7,0)))</f>
        <v/>
      </c>
      <c r="K724" s="422" t="n"/>
      <c r="L724" s="448">
        <f>ROUND((A724+B724)/2,2)</f>
        <v/>
      </c>
    </row>
    <row r="725" ht="13.5" customHeight="1" s="7635">
      <c r="A725" s="448" t="n">
        <v>36000</v>
      </c>
      <c r="B725" s="447" t="n">
        <v>36050</v>
      </c>
      <c r="C725" s="1378">
        <f>IF($L725&gt;N$5,MAX(0,N$3+ROUND((N$9*($L725-N$5)),0)),IF($L725&gt;N$4,N$3,ROUND($L725*N$7,0)))</f>
        <v/>
      </c>
      <c r="D725" s="448">
        <f>IF($L725&gt;O$5,MAX(0,O$3+ROUND((O$9*($L725-O$5)),0)),IF($L725&gt;O$4,O$3,ROUND($L725*O$7,0)))</f>
        <v/>
      </c>
      <c r="E725" s="448">
        <f>IF($L725&gt;P$5,MAX(0,P$3+ROUND((P$9*($L725-P$5)),0)),IF($L725&gt;P$4,P$3,ROUND($L725*P$7,0)))</f>
        <v/>
      </c>
      <c r="F725" s="447">
        <f>IF($L725&gt;Q$5,MAX(0,Q$3+ROUND((Q$9*($L725-Q$5)),0)),IF($L725&gt;Q$4,Q$3,ROUND($L725*Q$7,0)))</f>
        <v/>
      </c>
      <c r="G725" s="1378">
        <f>IF($L725&gt;R$5,MAX(0,R$3+ROUND((R$9*($L725-R$5)),0)),IF($L725&gt;R$4,R$3,ROUND($L725*R$7,0)))</f>
        <v/>
      </c>
      <c r="H725" s="448">
        <f>IF($L725&gt;S$5,MAX(0,S$3+ROUND((S$9*($L725-S$5)),0)),IF($L725&gt;S$4,S$3,ROUND($L725*S$7,0)))</f>
        <v/>
      </c>
      <c r="I725" s="448">
        <f>IF($L725&gt;T$5,MAX(0,T$3+ROUND((T$9*($L725-T$5)),0)),IF($L725&gt;T$4,T$3,ROUND($L725*T$7,0)))</f>
        <v/>
      </c>
      <c r="J725" s="447">
        <f>IF($L725&gt;U$5,MAX(0,U$3+ROUND((U$9*($L725-U$5)),0)),IF($L725&gt;U$4,U$3,ROUND($L725*U$7,0)))</f>
        <v/>
      </c>
      <c r="K725" s="422" t="n"/>
      <c r="L725" s="448">
        <f>ROUND((A725+B725)/2,2)</f>
        <v/>
      </c>
    </row>
    <row r="726" ht="13.5" customHeight="1" s="7635">
      <c r="A726" s="448" t="n">
        <v>36050</v>
      </c>
      <c r="B726" s="447" t="n">
        <v>36100</v>
      </c>
      <c r="C726" s="1378">
        <f>IF($L726&gt;N$5,MAX(0,N$3+ROUND((N$9*($L726-N$5)),0)),IF($L726&gt;N$4,N$3,ROUND($L726*N$7,0)))</f>
        <v/>
      </c>
      <c r="D726" s="448">
        <f>IF($L726&gt;O$5,MAX(0,O$3+ROUND((O$9*($L726-O$5)),0)),IF($L726&gt;O$4,O$3,ROUND($L726*O$7,0)))</f>
        <v/>
      </c>
      <c r="E726" s="448">
        <f>IF($L726&gt;P$5,MAX(0,P$3+ROUND((P$9*($L726-P$5)),0)),IF($L726&gt;P$4,P$3,ROUND($L726*P$7,0)))</f>
        <v/>
      </c>
      <c r="F726" s="447">
        <f>IF($L726&gt;Q$5,MAX(0,Q$3+ROUND((Q$9*($L726-Q$5)),0)),IF($L726&gt;Q$4,Q$3,ROUND($L726*Q$7,0)))</f>
        <v/>
      </c>
      <c r="G726" s="1378">
        <f>IF($L726&gt;R$5,MAX(0,R$3+ROUND((R$9*($L726-R$5)),0)),IF($L726&gt;R$4,R$3,ROUND($L726*R$7,0)))</f>
        <v/>
      </c>
      <c r="H726" s="448">
        <f>IF($L726&gt;S$5,MAX(0,S$3+ROUND((S$9*($L726-S$5)),0)),IF($L726&gt;S$4,S$3,ROUND($L726*S$7,0)))</f>
        <v/>
      </c>
      <c r="I726" s="448">
        <f>IF($L726&gt;T$5,MAX(0,T$3+ROUND((T$9*($L726-T$5)),0)),IF($L726&gt;T$4,T$3,ROUND($L726*T$7,0)))</f>
        <v/>
      </c>
      <c r="J726" s="447">
        <f>IF($L726&gt;U$5,MAX(0,U$3+ROUND((U$9*($L726-U$5)),0)),IF($L726&gt;U$4,U$3,ROUND($L726*U$7,0)))</f>
        <v/>
      </c>
      <c r="K726" s="422" t="n"/>
      <c r="L726" s="448">
        <f>ROUND((A726+B726)/2,2)</f>
        <v/>
      </c>
    </row>
    <row r="727" ht="13.5" customHeight="1" s="7635">
      <c r="A727" s="448" t="n">
        <v>36100</v>
      </c>
      <c r="B727" s="447" t="n">
        <v>36150</v>
      </c>
      <c r="C727" s="1378">
        <f>IF($L727&gt;N$5,MAX(0,N$3+ROUND((N$9*($L727-N$5)),0)),IF($L727&gt;N$4,N$3,ROUND($L727*N$7,0)))</f>
        <v/>
      </c>
      <c r="D727" s="448">
        <f>IF($L727&gt;O$5,MAX(0,O$3+ROUND((O$9*($L727-O$5)),0)),IF($L727&gt;O$4,O$3,ROUND($L727*O$7,0)))</f>
        <v/>
      </c>
      <c r="E727" s="448">
        <f>IF($L727&gt;P$5,MAX(0,P$3+ROUND((P$9*($L727-P$5)),0)),IF($L727&gt;P$4,P$3,ROUND($L727*P$7,0)))</f>
        <v/>
      </c>
      <c r="F727" s="447">
        <f>IF($L727&gt;Q$5,MAX(0,Q$3+ROUND((Q$9*($L727-Q$5)),0)),IF($L727&gt;Q$4,Q$3,ROUND($L727*Q$7,0)))</f>
        <v/>
      </c>
      <c r="G727" s="1378">
        <f>IF($L727&gt;R$5,MAX(0,R$3+ROUND((R$9*($L727-R$5)),0)),IF($L727&gt;R$4,R$3,ROUND($L727*R$7,0)))</f>
        <v/>
      </c>
      <c r="H727" s="448">
        <f>IF($L727&gt;S$5,MAX(0,S$3+ROUND((S$9*($L727-S$5)),0)),IF($L727&gt;S$4,S$3,ROUND($L727*S$7,0)))</f>
        <v/>
      </c>
      <c r="I727" s="448">
        <f>IF($L727&gt;T$5,MAX(0,T$3+ROUND((T$9*($L727-T$5)),0)),IF($L727&gt;T$4,T$3,ROUND($L727*T$7,0)))</f>
        <v/>
      </c>
      <c r="J727" s="447">
        <f>IF($L727&gt;U$5,MAX(0,U$3+ROUND((U$9*($L727-U$5)),0)),IF($L727&gt;U$4,U$3,ROUND($L727*U$7,0)))</f>
        <v/>
      </c>
      <c r="K727" s="422" t="n"/>
      <c r="L727" s="448">
        <f>ROUND((A727+B727)/2,2)</f>
        <v/>
      </c>
    </row>
    <row r="728" ht="13.5" customHeight="1" s="7635">
      <c r="A728" s="448" t="n">
        <v>36150</v>
      </c>
      <c r="B728" s="447" t="n">
        <v>36200</v>
      </c>
      <c r="C728" s="1378">
        <f>IF($L728&gt;N$5,MAX(0,N$3+ROUND((N$9*($L728-N$5)),0)),IF($L728&gt;N$4,N$3,ROUND($L728*N$7,0)))</f>
        <v/>
      </c>
      <c r="D728" s="448">
        <f>IF($L728&gt;O$5,MAX(0,O$3+ROUND((O$9*($L728-O$5)),0)),IF($L728&gt;O$4,O$3,ROUND($L728*O$7,0)))</f>
        <v/>
      </c>
      <c r="E728" s="448">
        <f>IF($L728&gt;P$5,MAX(0,P$3+ROUND((P$9*($L728-P$5)),0)),IF($L728&gt;P$4,P$3,ROUND($L728*P$7,0)))</f>
        <v/>
      </c>
      <c r="F728" s="447">
        <f>IF($L728&gt;Q$5,MAX(0,Q$3+ROUND((Q$9*($L728-Q$5)),0)),IF($L728&gt;Q$4,Q$3,ROUND($L728*Q$7,0)))</f>
        <v/>
      </c>
      <c r="G728" s="1378">
        <f>IF($L728&gt;R$5,MAX(0,R$3+ROUND((R$9*($L728-R$5)),0)),IF($L728&gt;R$4,R$3,ROUND($L728*R$7,0)))</f>
        <v/>
      </c>
      <c r="H728" s="448">
        <f>IF($L728&gt;S$5,MAX(0,S$3+ROUND((S$9*($L728-S$5)),0)),IF($L728&gt;S$4,S$3,ROUND($L728*S$7,0)))</f>
        <v/>
      </c>
      <c r="I728" s="448">
        <f>IF($L728&gt;T$5,MAX(0,T$3+ROUND((T$9*($L728-T$5)),0)),IF($L728&gt;T$4,T$3,ROUND($L728*T$7,0)))</f>
        <v/>
      </c>
      <c r="J728" s="447">
        <f>IF($L728&gt;U$5,MAX(0,U$3+ROUND((U$9*($L728-U$5)),0)),IF($L728&gt;U$4,U$3,ROUND($L728*U$7,0)))</f>
        <v/>
      </c>
      <c r="K728" s="422" t="n"/>
      <c r="L728" s="448">
        <f>ROUND((A728+B728)/2,2)</f>
        <v/>
      </c>
    </row>
    <row r="729" ht="13.5" customHeight="1" s="7635">
      <c r="A729" s="448" t="n">
        <v>36200</v>
      </c>
      <c r="B729" s="447" t="n">
        <v>36250</v>
      </c>
      <c r="C729" s="1378">
        <f>IF($L729&gt;N$5,MAX(0,N$3+ROUND((N$9*($L729-N$5)),0)),IF($L729&gt;N$4,N$3,ROUND($L729*N$7,0)))</f>
        <v/>
      </c>
      <c r="D729" s="448">
        <f>IF($L729&gt;O$5,MAX(0,O$3+ROUND((O$9*($L729-O$5)),0)),IF($L729&gt;O$4,O$3,ROUND($L729*O$7,0)))</f>
        <v/>
      </c>
      <c r="E729" s="448">
        <f>IF($L729&gt;P$5,MAX(0,P$3+ROUND((P$9*($L729-P$5)),0)),IF($L729&gt;P$4,P$3,ROUND($L729*P$7,0)))</f>
        <v/>
      </c>
      <c r="F729" s="447">
        <f>IF($L729&gt;Q$5,MAX(0,Q$3+ROUND((Q$9*($L729-Q$5)),0)),IF($L729&gt;Q$4,Q$3,ROUND($L729*Q$7,0)))</f>
        <v/>
      </c>
      <c r="G729" s="1378">
        <f>IF($L729&gt;R$5,MAX(0,R$3+ROUND((R$9*($L729-R$5)),0)),IF($L729&gt;R$4,R$3,ROUND($L729*R$7,0)))</f>
        <v/>
      </c>
      <c r="H729" s="448">
        <f>IF($L729&gt;S$5,MAX(0,S$3+ROUND((S$9*($L729-S$5)),0)),IF($L729&gt;S$4,S$3,ROUND($L729*S$7,0)))</f>
        <v/>
      </c>
      <c r="I729" s="448">
        <f>IF($L729&gt;T$5,MAX(0,T$3+ROUND((T$9*($L729-T$5)),0)),IF($L729&gt;T$4,T$3,ROUND($L729*T$7,0)))</f>
        <v/>
      </c>
      <c r="J729" s="447">
        <f>IF($L729&gt;U$5,MAX(0,U$3+ROUND((U$9*($L729-U$5)),0)),IF($L729&gt;U$4,U$3,ROUND($L729*U$7,0)))</f>
        <v/>
      </c>
      <c r="K729" s="422" t="n"/>
      <c r="L729" s="448">
        <f>ROUND((A729+B729)/2,2)</f>
        <v/>
      </c>
    </row>
    <row r="730" ht="13.5" customHeight="1" s="7635">
      <c r="A730" s="448" t="n">
        <v>36250</v>
      </c>
      <c r="B730" s="447" t="n">
        <v>36300</v>
      </c>
      <c r="C730" s="1378">
        <f>IF($L730&gt;N$5,MAX(0,N$3+ROUND((N$9*($L730-N$5)),0)),IF($L730&gt;N$4,N$3,ROUND($L730*N$7,0)))</f>
        <v/>
      </c>
      <c r="D730" s="448">
        <f>IF($L730&gt;O$5,MAX(0,O$3+ROUND((O$9*($L730-O$5)),0)),IF($L730&gt;O$4,O$3,ROUND($L730*O$7,0)))</f>
        <v/>
      </c>
      <c r="E730" s="448">
        <f>IF($L730&gt;P$5,MAX(0,P$3+ROUND((P$9*($L730-P$5)),0)),IF($L730&gt;P$4,P$3,ROUND($L730*P$7,0)))</f>
        <v/>
      </c>
      <c r="F730" s="447">
        <f>IF($L730&gt;Q$5,MAX(0,Q$3+ROUND((Q$9*($L730-Q$5)),0)),IF($L730&gt;Q$4,Q$3,ROUND($L730*Q$7,0)))</f>
        <v/>
      </c>
      <c r="G730" s="1378">
        <f>IF($L730&gt;R$5,MAX(0,R$3+ROUND((R$9*($L730-R$5)),0)),IF($L730&gt;R$4,R$3,ROUND($L730*R$7,0)))</f>
        <v/>
      </c>
      <c r="H730" s="448">
        <f>IF($L730&gt;S$5,MAX(0,S$3+ROUND((S$9*($L730-S$5)),0)),IF($L730&gt;S$4,S$3,ROUND($L730*S$7,0)))</f>
        <v/>
      </c>
      <c r="I730" s="448">
        <f>IF($L730&gt;T$5,MAX(0,T$3+ROUND((T$9*($L730-T$5)),0)),IF($L730&gt;T$4,T$3,ROUND($L730*T$7,0)))</f>
        <v/>
      </c>
      <c r="J730" s="447">
        <f>IF($L730&gt;U$5,MAX(0,U$3+ROUND((U$9*($L730-U$5)),0)),IF($L730&gt;U$4,U$3,ROUND($L730*U$7,0)))</f>
        <v/>
      </c>
      <c r="K730" s="422" t="n"/>
      <c r="L730" s="448">
        <f>ROUND((A730+B730)/2,2)</f>
        <v/>
      </c>
    </row>
    <row r="731" ht="13.5" customHeight="1" s="7635">
      <c r="A731" s="448" t="n">
        <v>36300</v>
      </c>
      <c r="B731" s="447" t="n">
        <v>36350</v>
      </c>
      <c r="C731" s="1378">
        <f>IF($L731&gt;N$5,MAX(0,N$3+ROUND((N$9*($L731-N$5)),0)),IF($L731&gt;N$4,N$3,ROUND($L731*N$7,0)))</f>
        <v/>
      </c>
      <c r="D731" s="448">
        <f>IF($L731&gt;O$5,MAX(0,O$3+ROUND((O$9*($L731-O$5)),0)),IF($L731&gt;O$4,O$3,ROUND($L731*O$7,0)))</f>
        <v/>
      </c>
      <c r="E731" s="448">
        <f>IF($L731&gt;P$5,MAX(0,P$3+ROUND((P$9*($L731-P$5)),0)),IF($L731&gt;P$4,P$3,ROUND($L731*P$7,0)))</f>
        <v/>
      </c>
      <c r="F731" s="447">
        <f>IF($L731&gt;Q$5,MAX(0,Q$3+ROUND((Q$9*($L731-Q$5)),0)),IF($L731&gt;Q$4,Q$3,ROUND($L731*Q$7,0)))</f>
        <v/>
      </c>
      <c r="G731" s="1378">
        <f>IF($L731&gt;R$5,MAX(0,R$3+ROUND((R$9*($L731-R$5)),0)),IF($L731&gt;R$4,R$3,ROUND($L731*R$7,0)))</f>
        <v/>
      </c>
      <c r="H731" s="448">
        <f>IF($L731&gt;S$5,MAX(0,S$3+ROUND((S$9*($L731-S$5)),0)),IF($L731&gt;S$4,S$3,ROUND($L731*S$7,0)))</f>
        <v/>
      </c>
      <c r="I731" s="448">
        <f>IF($L731&gt;T$5,MAX(0,T$3+ROUND((T$9*($L731-T$5)),0)),IF($L731&gt;T$4,T$3,ROUND($L731*T$7,0)))</f>
        <v/>
      </c>
      <c r="J731" s="447">
        <f>IF($L731&gt;U$5,MAX(0,U$3+ROUND((U$9*($L731-U$5)),0)),IF($L731&gt;U$4,U$3,ROUND($L731*U$7,0)))</f>
        <v/>
      </c>
      <c r="K731" s="422" t="n"/>
      <c r="L731" s="448">
        <f>ROUND((A731+B731)/2,2)</f>
        <v/>
      </c>
    </row>
    <row r="732" ht="13.5" customHeight="1" s="7635">
      <c r="A732" s="448" t="n">
        <v>36350</v>
      </c>
      <c r="B732" s="447" t="n">
        <v>36400</v>
      </c>
      <c r="C732" s="1378">
        <f>IF($L732&gt;N$5,MAX(0,N$3+ROUND((N$9*($L732-N$5)),0)),IF($L732&gt;N$4,N$3,ROUND($L732*N$7,0)))</f>
        <v/>
      </c>
      <c r="D732" s="448">
        <f>IF($L732&gt;O$5,MAX(0,O$3+ROUND((O$9*($L732-O$5)),0)),IF($L732&gt;O$4,O$3,ROUND($L732*O$7,0)))</f>
        <v/>
      </c>
      <c r="E732" s="448">
        <f>IF($L732&gt;P$5,MAX(0,P$3+ROUND((P$9*($L732-P$5)),0)),IF($L732&gt;P$4,P$3,ROUND($L732*P$7,0)))</f>
        <v/>
      </c>
      <c r="F732" s="447">
        <f>IF($L732&gt;Q$5,MAX(0,Q$3+ROUND((Q$9*($L732-Q$5)),0)),IF($L732&gt;Q$4,Q$3,ROUND($L732*Q$7,0)))</f>
        <v/>
      </c>
      <c r="G732" s="1378">
        <f>IF($L732&gt;R$5,MAX(0,R$3+ROUND((R$9*($L732-R$5)),0)),IF($L732&gt;R$4,R$3,ROUND($L732*R$7,0)))</f>
        <v/>
      </c>
      <c r="H732" s="448">
        <f>IF($L732&gt;S$5,MAX(0,S$3+ROUND((S$9*($L732-S$5)),0)),IF($L732&gt;S$4,S$3,ROUND($L732*S$7,0)))</f>
        <v/>
      </c>
      <c r="I732" s="448">
        <f>IF($L732&gt;T$5,MAX(0,T$3+ROUND((T$9*($L732-T$5)),0)),IF($L732&gt;T$4,T$3,ROUND($L732*T$7,0)))</f>
        <v/>
      </c>
      <c r="J732" s="447">
        <f>IF($L732&gt;U$5,MAX(0,U$3+ROUND((U$9*($L732-U$5)),0)),IF($L732&gt;U$4,U$3,ROUND($L732*U$7,0)))</f>
        <v/>
      </c>
      <c r="K732" s="422" t="n"/>
      <c r="L732" s="448">
        <f>ROUND((A732+B732)/2,2)</f>
        <v/>
      </c>
    </row>
    <row r="733" ht="13.5" customHeight="1" s="7635">
      <c r="A733" s="448" t="n">
        <v>36400</v>
      </c>
      <c r="B733" s="447" t="n">
        <v>36450</v>
      </c>
      <c r="C733" s="1378">
        <f>IF($L733&gt;N$5,MAX(0,N$3+ROUND((N$9*($L733-N$5)),0)),IF($L733&gt;N$4,N$3,ROUND($L733*N$7,0)))</f>
        <v/>
      </c>
      <c r="D733" s="448">
        <f>IF($L733&gt;O$5,MAX(0,O$3+ROUND((O$9*($L733-O$5)),0)),IF($L733&gt;O$4,O$3,ROUND($L733*O$7,0)))</f>
        <v/>
      </c>
      <c r="E733" s="448">
        <f>IF($L733&gt;P$5,MAX(0,P$3+ROUND((P$9*($L733-P$5)),0)),IF($L733&gt;P$4,P$3,ROUND($L733*P$7,0)))</f>
        <v/>
      </c>
      <c r="F733" s="447">
        <f>IF($L733&gt;Q$5,MAX(0,Q$3+ROUND((Q$9*($L733-Q$5)),0)),IF($L733&gt;Q$4,Q$3,ROUND($L733*Q$7,0)))</f>
        <v/>
      </c>
      <c r="G733" s="1378">
        <f>IF($L733&gt;R$5,MAX(0,R$3+ROUND((R$9*($L733-R$5)),0)),IF($L733&gt;R$4,R$3,ROUND($L733*R$7,0)))</f>
        <v/>
      </c>
      <c r="H733" s="448">
        <f>IF($L733&gt;S$5,MAX(0,S$3+ROUND((S$9*($L733-S$5)),0)),IF($L733&gt;S$4,S$3,ROUND($L733*S$7,0)))</f>
        <v/>
      </c>
      <c r="I733" s="448">
        <f>IF($L733&gt;T$5,MAX(0,T$3+ROUND((T$9*($L733-T$5)),0)),IF($L733&gt;T$4,T$3,ROUND($L733*T$7,0)))</f>
        <v/>
      </c>
      <c r="J733" s="447">
        <f>IF($L733&gt;U$5,MAX(0,U$3+ROUND((U$9*($L733-U$5)),0)),IF($L733&gt;U$4,U$3,ROUND($L733*U$7,0)))</f>
        <v/>
      </c>
      <c r="K733" s="422" t="n"/>
      <c r="L733" s="448">
        <f>ROUND((A733+B733)/2,2)</f>
        <v/>
      </c>
    </row>
    <row r="734" ht="13.5" customHeight="1" s="7635">
      <c r="A734" s="448" t="n">
        <v>36450</v>
      </c>
      <c r="B734" s="447" t="n">
        <v>36500</v>
      </c>
      <c r="C734" s="1378">
        <f>IF($L734&gt;N$5,MAX(0,N$3+ROUND((N$9*($L734-N$5)),0)),IF($L734&gt;N$4,N$3,ROUND($L734*N$7,0)))</f>
        <v/>
      </c>
      <c r="D734" s="448">
        <f>IF($L734&gt;O$5,MAX(0,O$3+ROUND((O$9*($L734-O$5)),0)),IF($L734&gt;O$4,O$3,ROUND($L734*O$7,0)))</f>
        <v/>
      </c>
      <c r="E734" s="448">
        <f>IF($L734&gt;P$5,MAX(0,P$3+ROUND((P$9*($L734-P$5)),0)),IF($L734&gt;P$4,P$3,ROUND($L734*P$7,0)))</f>
        <v/>
      </c>
      <c r="F734" s="447">
        <f>IF($L734&gt;Q$5,MAX(0,Q$3+ROUND((Q$9*($L734-Q$5)),0)),IF($L734&gt;Q$4,Q$3,ROUND($L734*Q$7,0)))</f>
        <v/>
      </c>
      <c r="G734" s="1378">
        <f>IF($L734&gt;R$5,MAX(0,R$3+ROUND((R$9*($L734-R$5)),0)),IF($L734&gt;R$4,R$3,ROUND($L734*R$7,0)))</f>
        <v/>
      </c>
      <c r="H734" s="448">
        <f>IF($L734&gt;S$5,MAX(0,S$3+ROUND((S$9*($L734-S$5)),0)),IF($L734&gt;S$4,S$3,ROUND($L734*S$7,0)))</f>
        <v/>
      </c>
      <c r="I734" s="448">
        <f>IF($L734&gt;T$5,MAX(0,T$3+ROUND((T$9*($L734-T$5)),0)),IF($L734&gt;T$4,T$3,ROUND($L734*T$7,0)))</f>
        <v/>
      </c>
      <c r="J734" s="447">
        <f>IF($L734&gt;U$5,MAX(0,U$3+ROUND((U$9*($L734-U$5)),0)),IF($L734&gt;U$4,U$3,ROUND($L734*U$7,0)))</f>
        <v/>
      </c>
      <c r="K734" s="422" t="n"/>
      <c r="L734" s="448">
        <f>ROUND((A734+B734)/2,2)</f>
        <v/>
      </c>
    </row>
    <row r="735" ht="13.5" customHeight="1" s="7635">
      <c r="A735" s="448" t="n">
        <v>36500</v>
      </c>
      <c r="B735" s="447" t="n">
        <v>36550</v>
      </c>
      <c r="C735" s="1378">
        <f>IF($L735&gt;N$5,MAX(0,N$3+ROUND((N$9*($L735-N$5)),0)),IF($L735&gt;N$4,N$3,ROUND($L735*N$7,0)))</f>
        <v/>
      </c>
      <c r="D735" s="448">
        <f>IF($L735&gt;O$5,MAX(0,O$3+ROUND((O$9*($L735-O$5)),0)),IF($L735&gt;O$4,O$3,ROUND($L735*O$7,0)))</f>
        <v/>
      </c>
      <c r="E735" s="448">
        <f>IF($L735&gt;P$5,MAX(0,P$3+ROUND((P$9*($L735-P$5)),0)),IF($L735&gt;P$4,P$3,ROUND($L735*P$7,0)))</f>
        <v/>
      </c>
      <c r="F735" s="447">
        <f>IF($L735&gt;Q$5,MAX(0,Q$3+ROUND((Q$9*($L735-Q$5)),0)),IF($L735&gt;Q$4,Q$3,ROUND($L735*Q$7,0)))</f>
        <v/>
      </c>
      <c r="G735" s="1378">
        <f>IF($L735&gt;R$5,MAX(0,R$3+ROUND((R$9*($L735-R$5)),0)),IF($L735&gt;R$4,R$3,ROUND($L735*R$7,0)))</f>
        <v/>
      </c>
      <c r="H735" s="448">
        <f>IF($L735&gt;S$5,MAX(0,S$3+ROUND((S$9*($L735-S$5)),0)),IF($L735&gt;S$4,S$3,ROUND($L735*S$7,0)))</f>
        <v/>
      </c>
      <c r="I735" s="448">
        <f>IF($L735&gt;T$5,MAX(0,T$3+ROUND((T$9*($L735-T$5)),0)),IF($L735&gt;T$4,T$3,ROUND($L735*T$7,0)))</f>
        <v/>
      </c>
      <c r="J735" s="447">
        <f>IF($L735&gt;U$5,MAX(0,U$3+ROUND((U$9*($L735-U$5)),0)),IF($L735&gt;U$4,U$3,ROUND($L735*U$7,0)))</f>
        <v/>
      </c>
      <c r="K735" s="422" t="n"/>
      <c r="L735" s="448">
        <f>ROUND((A735+B735)/2,2)</f>
        <v/>
      </c>
    </row>
    <row r="736" ht="13.5" customHeight="1" s="7635">
      <c r="A736" s="448" t="n">
        <v>36550</v>
      </c>
      <c r="B736" s="447" t="n">
        <v>36600</v>
      </c>
      <c r="C736" s="1378">
        <f>IF($L736&gt;N$5,MAX(0,N$3+ROUND((N$9*($L736-N$5)),0)),IF($L736&gt;N$4,N$3,ROUND($L736*N$7,0)))</f>
        <v/>
      </c>
      <c r="D736" s="448">
        <f>IF($L736&gt;O$5,MAX(0,O$3+ROUND((O$9*($L736-O$5)),0)),IF($L736&gt;O$4,O$3,ROUND($L736*O$7,0)))</f>
        <v/>
      </c>
      <c r="E736" s="448">
        <f>IF($L736&gt;P$5,MAX(0,P$3+ROUND((P$9*($L736-P$5)),0)),IF($L736&gt;P$4,P$3,ROUND($L736*P$7,0)))</f>
        <v/>
      </c>
      <c r="F736" s="447">
        <f>IF($L736&gt;Q$5,MAX(0,Q$3+ROUND((Q$9*($L736-Q$5)),0)),IF($L736&gt;Q$4,Q$3,ROUND($L736*Q$7,0)))</f>
        <v/>
      </c>
      <c r="G736" s="1378">
        <f>IF($L736&gt;R$5,MAX(0,R$3+ROUND((R$9*($L736-R$5)),0)),IF($L736&gt;R$4,R$3,ROUND($L736*R$7,0)))</f>
        <v/>
      </c>
      <c r="H736" s="448">
        <f>IF($L736&gt;S$5,MAX(0,S$3+ROUND((S$9*($L736-S$5)),0)),IF($L736&gt;S$4,S$3,ROUND($L736*S$7,0)))</f>
        <v/>
      </c>
      <c r="I736" s="448">
        <f>IF($L736&gt;T$5,MAX(0,T$3+ROUND((T$9*($L736-T$5)),0)),IF($L736&gt;T$4,T$3,ROUND($L736*T$7,0)))</f>
        <v/>
      </c>
      <c r="J736" s="447">
        <f>IF($L736&gt;U$5,MAX(0,U$3+ROUND((U$9*($L736-U$5)),0)),IF($L736&gt;U$4,U$3,ROUND($L736*U$7,0)))</f>
        <v/>
      </c>
      <c r="K736" s="422" t="n"/>
      <c r="L736" s="448">
        <f>ROUND((A736+B736)/2,2)</f>
        <v/>
      </c>
    </row>
    <row r="737" ht="13.5" customHeight="1" s="7635">
      <c r="A737" s="448" t="n">
        <v>36600</v>
      </c>
      <c r="B737" s="447" t="n">
        <v>36650</v>
      </c>
      <c r="C737" s="1378">
        <f>IF($L737&gt;N$5,MAX(0,N$3+ROUND((N$9*($L737-N$5)),0)),IF($L737&gt;N$4,N$3,ROUND($L737*N$7,0)))</f>
        <v/>
      </c>
      <c r="D737" s="448">
        <f>IF($L737&gt;O$5,MAX(0,O$3+ROUND((O$9*($L737-O$5)),0)),IF($L737&gt;O$4,O$3,ROUND($L737*O$7,0)))</f>
        <v/>
      </c>
      <c r="E737" s="448">
        <f>IF($L737&gt;P$5,MAX(0,P$3+ROUND((P$9*($L737-P$5)),0)),IF($L737&gt;P$4,P$3,ROUND($L737*P$7,0)))</f>
        <v/>
      </c>
      <c r="F737" s="447">
        <f>IF($L737&gt;Q$5,MAX(0,Q$3+ROUND((Q$9*($L737-Q$5)),0)),IF($L737&gt;Q$4,Q$3,ROUND($L737*Q$7,0)))</f>
        <v/>
      </c>
      <c r="G737" s="1378">
        <f>IF($L737&gt;R$5,MAX(0,R$3+ROUND((R$9*($L737-R$5)),0)),IF($L737&gt;R$4,R$3,ROUND($L737*R$7,0)))</f>
        <v/>
      </c>
      <c r="H737" s="448">
        <f>IF($L737&gt;S$5,MAX(0,S$3+ROUND((S$9*($L737-S$5)),0)),IF($L737&gt;S$4,S$3,ROUND($L737*S$7,0)))</f>
        <v/>
      </c>
      <c r="I737" s="448">
        <f>IF($L737&gt;T$5,MAX(0,T$3+ROUND((T$9*($L737-T$5)),0)),IF($L737&gt;T$4,T$3,ROUND($L737*T$7,0)))</f>
        <v/>
      </c>
      <c r="J737" s="447">
        <f>IF($L737&gt;U$5,MAX(0,U$3+ROUND((U$9*($L737-U$5)),0)),IF($L737&gt;U$4,U$3,ROUND($L737*U$7,0)))</f>
        <v/>
      </c>
      <c r="K737" s="422" t="n"/>
      <c r="L737" s="448">
        <f>ROUND((A737+B737)/2,2)</f>
        <v/>
      </c>
    </row>
    <row r="738" ht="13.5" customHeight="1" s="7635">
      <c r="A738" s="448" t="n">
        <v>36650</v>
      </c>
      <c r="B738" s="447" t="n">
        <v>36700</v>
      </c>
      <c r="C738" s="1378">
        <f>IF($L738&gt;N$5,MAX(0,N$3+ROUND((N$9*($L738-N$5)),0)),IF($L738&gt;N$4,N$3,ROUND($L738*N$7,0)))</f>
        <v/>
      </c>
      <c r="D738" s="448">
        <f>IF($L738&gt;O$5,MAX(0,O$3+ROUND((O$9*($L738-O$5)),0)),IF($L738&gt;O$4,O$3,ROUND($L738*O$7,0)))</f>
        <v/>
      </c>
      <c r="E738" s="448">
        <f>IF($L738&gt;P$5,MAX(0,P$3+ROUND((P$9*($L738-P$5)),0)),IF($L738&gt;P$4,P$3,ROUND($L738*P$7,0)))</f>
        <v/>
      </c>
      <c r="F738" s="447">
        <f>IF($L738&gt;Q$5,MAX(0,Q$3+ROUND((Q$9*($L738-Q$5)),0)),IF($L738&gt;Q$4,Q$3,ROUND($L738*Q$7,0)))</f>
        <v/>
      </c>
      <c r="G738" s="1378">
        <f>IF($L738&gt;R$5,MAX(0,R$3+ROUND((R$9*($L738-R$5)),0)),IF($L738&gt;R$4,R$3,ROUND($L738*R$7,0)))</f>
        <v/>
      </c>
      <c r="H738" s="448">
        <f>IF($L738&gt;S$5,MAX(0,S$3+ROUND((S$9*($L738-S$5)),0)),IF($L738&gt;S$4,S$3,ROUND($L738*S$7,0)))</f>
        <v/>
      </c>
      <c r="I738" s="448">
        <f>IF($L738&gt;T$5,MAX(0,T$3+ROUND((T$9*($L738-T$5)),0)),IF($L738&gt;T$4,T$3,ROUND($L738*T$7,0)))</f>
        <v/>
      </c>
      <c r="J738" s="447">
        <f>IF($L738&gt;U$5,MAX(0,U$3+ROUND((U$9*($L738-U$5)),0)),IF($L738&gt;U$4,U$3,ROUND($L738*U$7,0)))</f>
        <v/>
      </c>
      <c r="K738" s="422" t="n"/>
      <c r="L738" s="448">
        <f>ROUND((A738+B738)/2,2)</f>
        <v/>
      </c>
    </row>
    <row r="739" ht="13.5" customHeight="1" s="7635">
      <c r="A739" s="448" t="n">
        <v>36700</v>
      </c>
      <c r="B739" s="447" t="n">
        <v>36750</v>
      </c>
      <c r="C739" s="1378">
        <f>IF($L739&gt;N$5,MAX(0,N$3+ROUND((N$9*($L739-N$5)),0)),IF($L739&gt;N$4,N$3,ROUND($L739*N$7,0)))</f>
        <v/>
      </c>
      <c r="D739" s="448">
        <f>IF($L739&gt;O$5,MAX(0,O$3+ROUND((O$9*($L739-O$5)),0)),IF($L739&gt;O$4,O$3,ROUND($L739*O$7,0)))</f>
        <v/>
      </c>
      <c r="E739" s="448">
        <f>IF($L739&gt;P$5,MAX(0,P$3+ROUND((P$9*($L739-P$5)),0)),IF($L739&gt;P$4,P$3,ROUND($L739*P$7,0)))</f>
        <v/>
      </c>
      <c r="F739" s="447">
        <f>IF($L739&gt;Q$5,MAX(0,Q$3+ROUND((Q$9*($L739-Q$5)),0)),IF($L739&gt;Q$4,Q$3,ROUND($L739*Q$7,0)))</f>
        <v/>
      </c>
      <c r="G739" s="1378">
        <f>IF($L739&gt;R$5,MAX(0,R$3+ROUND((R$9*($L739-R$5)),0)),IF($L739&gt;R$4,R$3,ROUND($L739*R$7,0)))</f>
        <v/>
      </c>
      <c r="H739" s="448">
        <f>IF($L739&gt;S$5,MAX(0,S$3+ROUND((S$9*($L739-S$5)),0)),IF($L739&gt;S$4,S$3,ROUND($L739*S$7,0)))</f>
        <v/>
      </c>
      <c r="I739" s="448">
        <f>IF($L739&gt;T$5,MAX(0,T$3+ROUND((T$9*($L739-T$5)),0)),IF($L739&gt;T$4,T$3,ROUND($L739*T$7,0)))</f>
        <v/>
      </c>
      <c r="J739" s="447">
        <f>IF($L739&gt;U$5,MAX(0,U$3+ROUND((U$9*($L739-U$5)),0)),IF($L739&gt;U$4,U$3,ROUND($L739*U$7,0)))</f>
        <v/>
      </c>
      <c r="K739" s="422" t="n"/>
      <c r="L739" s="448">
        <f>ROUND((A739+B739)/2,2)</f>
        <v/>
      </c>
    </row>
    <row r="740" ht="13.5" customHeight="1" s="7635">
      <c r="A740" s="448" t="n">
        <v>36750</v>
      </c>
      <c r="B740" s="447" t="n">
        <v>36800</v>
      </c>
      <c r="C740" s="1378">
        <f>IF($L740&gt;N$5,MAX(0,N$3+ROUND((N$9*($L740-N$5)),0)),IF($L740&gt;N$4,N$3,ROUND($L740*N$7,0)))</f>
        <v/>
      </c>
      <c r="D740" s="448">
        <f>IF($L740&gt;O$5,MAX(0,O$3+ROUND((O$9*($L740-O$5)),0)),IF($L740&gt;O$4,O$3,ROUND($L740*O$7,0)))</f>
        <v/>
      </c>
      <c r="E740" s="448">
        <f>IF($L740&gt;P$5,MAX(0,P$3+ROUND((P$9*($L740-P$5)),0)),IF($L740&gt;P$4,P$3,ROUND($L740*P$7,0)))</f>
        <v/>
      </c>
      <c r="F740" s="447">
        <f>IF($L740&gt;Q$5,MAX(0,Q$3+ROUND((Q$9*($L740-Q$5)),0)),IF($L740&gt;Q$4,Q$3,ROUND($L740*Q$7,0)))</f>
        <v/>
      </c>
      <c r="G740" s="1378">
        <f>IF($L740&gt;R$5,MAX(0,R$3+ROUND((R$9*($L740-R$5)),0)),IF($L740&gt;R$4,R$3,ROUND($L740*R$7,0)))</f>
        <v/>
      </c>
      <c r="H740" s="448">
        <f>IF($L740&gt;S$5,MAX(0,S$3+ROUND((S$9*($L740-S$5)),0)),IF($L740&gt;S$4,S$3,ROUND($L740*S$7,0)))</f>
        <v/>
      </c>
      <c r="I740" s="448">
        <f>IF($L740&gt;T$5,MAX(0,T$3+ROUND((T$9*($L740-T$5)),0)),IF($L740&gt;T$4,T$3,ROUND($L740*T$7,0)))</f>
        <v/>
      </c>
      <c r="J740" s="447">
        <f>IF($L740&gt;U$5,MAX(0,U$3+ROUND((U$9*($L740-U$5)),0)),IF($L740&gt;U$4,U$3,ROUND($L740*U$7,0)))</f>
        <v/>
      </c>
      <c r="K740" s="422" t="n"/>
      <c r="L740" s="448">
        <f>ROUND((A740+B740)/2,2)</f>
        <v/>
      </c>
    </row>
    <row r="741" ht="13.5" customHeight="1" s="7635">
      <c r="A741" s="448" t="n">
        <v>36800</v>
      </c>
      <c r="B741" s="447" t="n">
        <v>36850</v>
      </c>
      <c r="C741" s="1378">
        <f>IF($L741&gt;N$5,MAX(0,N$3+ROUND((N$9*($L741-N$5)),0)),IF($L741&gt;N$4,N$3,ROUND($L741*N$7,0)))</f>
        <v/>
      </c>
      <c r="D741" s="448">
        <f>IF($L741&gt;O$5,MAX(0,O$3+ROUND((O$9*($L741-O$5)),0)),IF($L741&gt;O$4,O$3,ROUND($L741*O$7,0)))</f>
        <v/>
      </c>
      <c r="E741" s="448">
        <f>IF($L741&gt;P$5,MAX(0,P$3+ROUND((P$9*($L741-P$5)),0)),IF($L741&gt;P$4,P$3,ROUND($L741*P$7,0)))</f>
        <v/>
      </c>
      <c r="F741" s="447">
        <f>IF($L741&gt;Q$5,MAX(0,Q$3+ROUND((Q$9*($L741-Q$5)),0)),IF($L741&gt;Q$4,Q$3,ROUND($L741*Q$7,0)))</f>
        <v/>
      </c>
      <c r="G741" s="1378">
        <f>IF($L741&gt;R$5,MAX(0,R$3+ROUND((R$9*($L741-R$5)),0)),IF($L741&gt;R$4,R$3,ROUND($L741*R$7,0)))</f>
        <v/>
      </c>
      <c r="H741" s="448">
        <f>IF($L741&gt;S$5,MAX(0,S$3+ROUND((S$9*($L741-S$5)),0)),IF($L741&gt;S$4,S$3,ROUND($L741*S$7,0)))</f>
        <v/>
      </c>
      <c r="I741" s="448">
        <f>IF($L741&gt;T$5,MAX(0,T$3+ROUND((T$9*($L741-T$5)),0)),IF($L741&gt;T$4,T$3,ROUND($L741*T$7,0)))</f>
        <v/>
      </c>
      <c r="J741" s="447">
        <f>IF($L741&gt;U$5,MAX(0,U$3+ROUND((U$9*($L741-U$5)),0)),IF($L741&gt;U$4,U$3,ROUND($L741*U$7,0)))</f>
        <v/>
      </c>
      <c r="K741" s="422" t="n"/>
      <c r="L741" s="448">
        <f>ROUND((A741+B741)/2,2)</f>
        <v/>
      </c>
    </row>
    <row r="742" ht="13.5" customHeight="1" s="7635">
      <c r="A742" s="448" t="n">
        <v>36850</v>
      </c>
      <c r="B742" s="447" t="n">
        <v>36900</v>
      </c>
      <c r="C742" s="1378">
        <f>IF($L742&gt;N$5,MAX(0,N$3+ROUND((N$9*($L742-N$5)),0)),IF($L742&gt;N$4,N$3,ROUND($L742*N$7,0)))</f>
        <v/>
      </c>
      <c r="D742" s="448">
        <f>IF($L742&gt;O$5,MAX(0,O$3+ROUND((O$9*($L742-O$5)),0)),IF($L742&gt;O$4,O$3,ROUND($L742*O$7,0)))</f>
        <v/>
      </c>
      <c r="E742" s="448">
        <f>IF($L742&gt;P$5,MAX(0,P$3+ROUND((P$9*($L742-P$5)),0)),IF($L742&gt;P$4,P$3,ROUND($L742*P$7,0)))</f>
        <v/>
      </c>
      <c r="F742" s="447">
        <f>IF($L742&gt;Q$5,MAX(0,Q$3+ROUND((Q$9*($L742-Q$5)),0)),IF($L742&gt;Q$4,Q$3,ROUND($L742*Q$7,0)))</f>
        <v/>
      </c>
      <c r="G742" s="1378">
        <f>IF($L742&gt;R$5,MAX(0,R$3+ROUND((R$9*($L742-R$5)),0)),IF($L742&gt;R$4,R$3,ROUND($L742*R$7,0)))</f>
        <v/>
      </c>
      <c r="H742" s="448">
        <f>IF($L742&gt;S$5,MAX(0,S$3+ROUND((S$9*($L742-S$5)),0)),IF($L742&gt;S$4,S$3,ROUND($L742*S$7,0)))</f>
        <v/>
      </c>
      <c r="I742" s="448">
        <f>IF($L742&gt;T$5,MAX(0,T$3+ROUND((T$9*($L742-T$5)),0)),IF($L742&gt;T$4,T$3,ROUND($L742*T$7,0)))</f>
        <v/>
      </c>
      <c r="J742" s="447">
        <f>IF($L742&gt;U$5,MAX(0,U$3+ROUND((U$9*($L742-U$5)),0)),IF($L742&gt;U$4,U$3,ROUND($L742*U$7,0)))</f>
        <v/>
      </c>
      <c r="K742" s="422" t="n"/>
      <c r="L742" s="448">
        <f>ROUND((A742+B742)/2,2)</f>
        <v/>
      </c>
    </row>
    <row r="743" ht="13.5" customHeight="1" s="7635">
      <c r="A743" s="448" t="n">
        <v>36900</v>
      </c>
      <c r="B743" s="447" t="n">
        <v>36950</v>
      </c>
      <c r="C743" s="1378">
        <f>IF($L743&gt;N$5,MAX(0,N$3+ROUND((N$9*($L743-N$5)),0)),IF($L743&gt;N$4,N$3,ROUND($L743*N$7,0)))</f>
        <v/>
      </c>
      <c r="D743" s="448">
        <f>IF($L743&gt;O$5,MAX(0,O$3+ROUND((O$9*($L743-O$5)),0)),IF($L743&gt;O$4,O$3,ROUND($L743*O$7,0)))</f>
        <v/>
      </c>
      <c r="E743" s="448">
        <f>IF($L743&gt;P$5,MAX(0,P$3+ROUND((P$9*($L743-P$5)),0)),IF($L743&gt;P$4,P$3,ROUND($L743*P$7,0)))</f>
        <v/>
      </c>
      <c r="F743" s="447">
        <f>IF($L743&gt;Q$5,MAX(0,Q$3+ROUND((Q$9*($L743-Q$5)),0)),IF($L743&gt;Q$4,Q$3,ROUND($L743*Q$7,0)))</f>
        <v/>
      </c>
      <c r="G743" s="1378">
        <f>IF($L743&gt;R$5,MAX(0,R$3+ROUND((R$9*($L743-R$5)),0)),IF($L743&gt;R$4,R$3,ROUND($L743*R$7,0)))</f>
        <v/>
      </c>
      <c r="H743" s="448">
        <f>IF($L743&gt;S$5,MAX(0,S$3+ROUND((S$9*($L743-S$5)),0)),IF($L743&gt;S$4,S$3,ROUND($L743*S$7,0)))</f>
        <v/>
      </c>
      <c r="I743" s="448">
        <f>IF($L743&gt;T$5,MAX(0,T$3+ROUND((T$9*($L743-T$5)),0)),IF($L743&gt;T$4,T$3,ROUND($L743*T$7,0)))</f>
        <v/>
      </c>
      <c r="J743" s="447">
        <f>IF($L743&gt;U$5,MAX(0,U$3+ROUND((U$9*($L743-U$5)),0)),IF($L743&gt;U$4,U$3,ROUND($L743*U$7,0)))</f>
        <v/>
      </c>
      <c r="K743" s="422" t="n"/>
      <c r="L743" s="448">
        <f>ROUND((A743+B743)/2,2)</f>
        <v/>
      </c>
    </row>
    <row r="744" ht="13.5" customHeight="1" s="7635">
      <c r="A744" s="448" t="n">
        <v>36950</v>
      </c>
      <c r="B744" s="447" t="n">
        <v>37000</v>
      </c>
      <c r="C744" s="1378">
        <f>IF($L744&gt;N$5,MAX(0,N$3+ROUND((N$9*($L744-N$5)),0)),IF($L744&gt;N$4,N$3,ROUND($L744*N$7,0)))</f>
        <v/>
      </c>
      <c r="D744" s="448">
        <f>IF($L744&gt;O$5,MAX(0,O$3+ROUND((O$9*($L744-O$5)),0)),IF($L744&gt;O$4,O$3,ROUND($L744*O$7,0)))</f>
        <v/>
      </c>
      <c r="E744" s="448">
        <f>IF($L744&gt;P$5,MAX(0,P$3+ROUND((P$9*($L744-P$5)),0)),IF($L744&gt;P$4,P$3,ROUND($L744*P$7,0)))</f>
        <v/>
      </c>
      <c r="F744" s="447">
        <f>IF($L744&gt;Q$5,MAX(0,Q$3+ROUND((Q$9*($L744-Q$5)),0)),IF($L744&gt;Q$4,Q$3,ROUND($L744*Q$7,0)))</f>
        <v/>
      </c>
      <c r="G744" s="1378">
        <f>IF($L744&gt;R$5,MAX(0,R$3+ROUND((R$9*($L744-R$5)),0)),IF($L744&gt;R$4,R$3,ROUND($L744*R$7,0)))</f>
        <v/>
      </c>
      <c r="H744" s="448">
        <f>IF($L744&gt;S$5,MAX(0,S$3+ROUND((S$9*($L744-S$5)),0)),IF($L744&gt;S$4,S$3,ROUND($L744*S$7,0)))</f>
        <v/>
      </c>
      <c r="I744" s="448">
        <f>IF($L744&gt;T$5,MAX(0,T$3+ROUND((T$9*($L744-T$5)),0)),IF($L744&gt;T$4,T$3,ROUND($L744*T$7,0)))</f>
        <v/>
      </c>
      <c r="J744" s="447">
        <f>IF($L744&gt;U$5,MAX(0,U$3+ROUND((U$9*($L744-U$5)),0)),IF($L744&gt;U$4,U$3,ROUND($L744*U$7,0)))</f>
        <v/>
      </c>
      <c r="K744" s="422" t="n"/>
      <c r="L744" s="448">
        <f>ROUND((A744+B744)/2,2)</f>
        <v/>
      </c>
    </row>
    <row r="745" ht="13.5" customHeight="1" s="7635">
      <c r="A745" s="448" t="n">
        <v>37000</v>
      </c>
      <c r="B745" s="447" t="n">
        <v>37050</v>
      </c>
      <c r="C745" s="1378">
        <f>IF($L745&gt;N$5,MAX(0,N$3+ROUND((N$9*($L745-N$5)),0)),IF($L745&gt;N$4,N$3,ROUND($L745*N$7,0)))</f>
        <v/>
      </c>
      <c r="D745" s="448">
        <f>IF($L745&gt;O$5,MAX(0,O$3+ROUND((O$9*($L745-O$5)),0)),IF($L745&gt;O$4,O$3,ROUND($L745*O$7,0)))</f>
        <v/>
      </c>
      <c r="E745" s="448">
        <f>IF($L745&gt;P$5,MAX(0,P$3+ROUND((P$9*($L745-P$5)),0)),IF($L745&gt;P$4,P$3,ROUND($L745*P$7,0)))</f>
        <v/>
      </c>
      <c r="F745" s="447">
        <f>IF($L745&gt;Q$5,MAX(0,Q$3+ROUND((Q$9*($L745-Q$5)),0)),IF($L745&gt;Q$4,Q$3,ROUND($L745*Q$7,0)))</f>
        <v/>
      </c>
      <c r="G745" s="1378">
        <f>IF($L745&gt;R$5,MAX(0,R$3+ROUND((R$9*($L745-R$5)),0)),IF($L745&gt;R$4,R$3,ROUND($L745*R$7,0)))</f>
        <v/>
      </c>
      <c r="H745" s="448">
        <f>IF($L745&gt;S$5,MAX(0,S$3+ROUND((S$9*($L745-S$5)),0)),IF($L745&gt;S$4,S$3,ROUND($L745*S$7,0)))</f>
        <v/>
      </c>
      <c r="I745" s="448">
        <f>IF($L745&gt;T$5,MAX(0,T$3+ROUND((T$9*($L745-T$5)),0)),IF($L745&gt;T$4,T$3,ROUND($L745*T$7,0)))</f>
        <v/>
      </c>
      <c r="J745" s="447">
        <f>IF($L745&gt;U$5,MAX(0,U$3+ROUND((U$9*($L745-U$5)),0)),IF($L745&gt;U$4,U$3,ROUND($L745*U$7,0)))</f>
        <v/>
      </c>
      <c r="K745" s="422" t="n"/>
      <c r="L745" s="448">
        <f>ROUND((A745+B745)/2,2)</f>
        <v/>
      </c>
    </row>
    <row r="746" ht="13.5" customHeight="1" s="7635">
      <c r="A746" s="448" t="n">
        <v>37050</v>
      </c>
      <c r="B746" s="447" t="n">
        <v>37100</v>
      </c>
      <c r="C746" s="1378">
        <f>IF($L746&gt;N$5,MAX(0,N$3+ROUND((N$9*($L746-N$5)),0)),IF($L746&gt;N$4,N$3,ROUND($L746*N$7,0)))</f>
        <v/>
      </c>
      <c r="D746" s="448">
        <f>IF($L746&gt;O$5,MAX(0,O$3+ROUND((O$9*($L746-O$5)),0)),IF($L746&gt;O$4,O$3,ROUND($L746*O$7,0)))</f>
        <v/>
      </c>
      <c r="E746" s="448">
        <f>IF($L746&gt;P$5,MAX(0,P$3+ROUND((P$9*($L746-P$5)),0)),IF($L746&gt;P$4,P$3,ROUND($L746*P$7,0)))</f>
        <v/>
      </c>
      <c r="F746" s="447">
        <f>IF($L746&gt;Q$5,MAX(0,Q$3+ROUND((Q$9*($L746-Q$5)),0)),IF($L746&gt;Q$4,Q$3,ROUND($L746*Q$7,0)))</f>
        <v/>
      </c>
      <c r="G746" s="1378">
        <f>IF($L746&gt;R$5,MAX(0,R$3+ROUND((R$9*($L746-R$5)),0)),IF($L746&gt;R$4,R$3,ROUND($L746*R$7,0)))</f>
        <v/>
      </c>
      <c r="H746" s="448">
        <f>IF($L746&gt;S$5,MAX(0,S$3+ROUND((S$9*($L746-S$5)),0)),IF($L746&gt;S$4,S$3,ROUND($L746*S$7,0)))</f>
        <v/>
      </c>
      <c r="I746" s="448">
        <f>IF($L746&gt;T$5,MAX(0,T$3+ROUND((T$9*($L746-T$5)),0)),IF($L746&gt;T$4,T$3,ROUND($L746*T$7,0)))</f>
        <v/>
      </c>
      <c r="J746" s="447">
        <f>IF($L746&gt;U$5,MAX(0,U$3+ROUND((U$9*($L746-U$5)),0)),IF($L746&gt;U$4,U$3,ROUND($L746*U$7,0)))</f>
        <v/>
      </c>
      <c r="K746" s="422" t="n"/>
      <c r="L746" s="448">
        <f>ROUND((A746+B746)/2,2)</f>
        <v/>
      </c>
    </row>
    <row r="747" ht="13.5" customHeight="1" s="7635">
      <c r="A747" s="448" t="n">
        <v>37100</v>
      </c>
      <c r="B747" s="447" t="n">
        <v>37150</v>
      </c>
      <c r="C747" s="1378">
        <f>IF($L747&gt;N$5,MAX(0,N$3+ROUND((N$9*($L747-N$5)),0)),IF($L747&gt;N$4,N$3,ROUND($L747*N$7,0)))</f>
        <v/>
      </c>
      <c r="D747" s="448">
        <f>IF($L747&gt;O$5,MAX(0,O$3+ROUND((O$9*($L747-O$5)),0)),IF($L747&gt;O$4,O$3,ROUND($L747*O$7,0)))</f>
        <v/>
      </c>
      <c r="E747" s="448">
        <f>IF($L747&gt;P$5,MAX(0,P$3+ROUND((P$9*($L747-P$5)),0)),IF($L747&gt;P$4,P$3,ROUND($L747*P$7,0)))</f>
        <v/>
      </c>
      <c r="F747" s="447">
        <f>IF($L747&gt;Q$5,MAX(0,Q$3+ROUND((Q$9*($L747-Q$5)),0)),IF($L747&gt;Q$4,Q$3,ROUND($L747*Q$7,0)))</f>
        <v/>
      </c>
      <c r="G747" s="1378">
        <f>IF($L747&gt;R$5,MAX(0,R$3+ROUND((R$9*($L747-R$5)),0)),IF($L747&gt;R$4,R$3,ROUND($L747*R$7,0)))</f>
        <v/>
      </c>
      <c r="H747" s="448">
        <f>IF($L747&gt;S$5,MAX(0,S$3+ROUND((S$9*($L747-S$5)),0)),IF($L747&gt;S$4,S$3,ROUND($L747*S$7,0)))</f>
        <v/>
      </c>
      <c r="I747" s="448">
        <f>IF($L747&gt;T$5,MAX(0,T$3+ROUND((T$9*($L747-T$5)),0)),IF($L747&gt;T$4,T$3,ROUND($L747*T$7,0)))</f>
        <v/>
      </c>
      <c r="J747" s="447">
        <f>IF($L747&gt;U$5,MAX(0,U$3+ROUND((U$9*($L747-U$5)),0)),IF($L747&gt;U$4,U$3,ROUND($L747*U$7,0)))</f>
        <v/>
      </c>
      <c r="K747" s="422" t="n"/>
      <c r="L747" s="448">
        <f>ROUND((A747+B747)/2,2)</f>
        <v/>
      </c>
    </row>
    <row r="748" ht="13.5" customHeight="1" s="7635">
      <c r="A748" s="448" t="n">
        <v>37150</v>
      </c>
      <c r="B748" s="447" t="n">
        <v>37200</v>
      </c>
      <c r="C748" s="1378">
        <f>IF($L748&gt;N$5,MAX(0,N$3+ROUND((N$9*($L748-N$5)),0)),IF($L748&gt;N$4,N$3,ROUND($L748*N$7,0)))</f>
        <v/>
      </c>
      <c r="D748" s="448">
        <f>IF($L748&gt;O$5,MAX(0,O$3+ROUND((O$9*($L748-O$5)),0)),IF($L748&gt;O$4,O$3,ROUND($L748*O$7,0)))</f>
        <v/>
      </c>
      <c r="E748" s="448">
        <f>IF($L748&gt;P$5,MAX(0,P$3+ROUND((P$9*($L748-P$5)),0)),IF($L748&gt;P$4,P$3,ROUND($L748*P$7,0)))</f>
        <v/>
      </c>
      <c r="F748" s="447">
        <f>IF($L748&gt;Q$5,MAX(0,Q$3+ROUND((Q$9*($L748-Q$5)),0)),IF($L748&gt;Q$4,Q$3,ROUND($L748*Q$7,0)))</f>
        <v/>
      </c>
      <c r="G748" s="1378">
        <f>IF($L748&gt;R$5,MAX(0,R$3+ROUND((R$9*($L748-R$5)),0)),IF($L748&gt;R$4,R$3,ROUND($L748*R$7,0)))</f>
        <v/>
      </c>
      <c r="H748" s="448">
        <f>IF($L748&gt;S$5,MAX(0,S$3+ROUND((S$9*($L748-S$5)),0)),IF($L748&gt;S$4,S$3,ROUND($L748*S$7,0)))</f>
        <v/>
      </c>
      <c r="I748" s="448">
        <f>IF($L748&gt;T$5,MAX(0,T$3+ROUND((T$9*($L748-T$5)),0)),IF($L748&gt;T$4,T$3,ROUND($L748*T$7,0)))</f>
        <v/>
      </c>
      <c r="J748" s="447">
        <f>IF($L748&gt;U$5,MAX(0,U$3+ROUND((U$9*($L748-U$5)),0)),IF($L748&gt;U$4,U$3,ROUND($L748*U$7,0)))</f>
        <v/>
      </c>
      <c r="K748" s="422" t="n"/>
      <c r="L748" s="448">
        <f>ROUND((A748+B748)/2,2)</f>
        <v/>
      </c>
    </row>
    <row r="749" ht="13.5" customHeight="1" s="7635">
      <c r="A749" s="448" t="n">
        <v>37200</v>
      </c>
      <c r="B749" s="447" t="n">
        <v>37250</v>
      </c>
      <c r="C749" s="1378">
        <f>IF($L749&gt;N$5,MAX(0,N$3+ROUND((N$9*($L749-N$5)),0)),IF($L749&gt;N$4,N$3,ROUND($L749*N$7,0)))</f>
        <v/>
      </c>
      <c r="D749" s="448">
        <f>IF($L749&gt;O$5,MAX(0,O$3+ROUND((O$9*($L749-O$5)),0)),IF($L749&gt;O$4,O$3,ROUND($L749*O$7,0)))</f>
        <v/>
      </c>
      <c r="E749" s="448">
        <f>IF($L749&gt;P$5,MAX(0,P$3+ROUND((P$9*($L749-P$5)),0)),IF($L749&gt;P$4,P$3,ROUND($L749*P$7,0)))</f>
        <v/>
      </c>
      <c r="F749" s="447">
        <f>IF($L749&gt;Q$5,MAX(0,Q$3+ROUND((Q$9*($L749-Q$5)),0)),IF($L749&gt;Q$4,Q$3,ROUND($L749*Q$7,0)))</f>
        <v/>
      </c>
      <c r="G749" s="1378">
        <f>IF($L749&gt;R$5,MAX(0,R$3+ROUND((R$9*($L749-R$5)),0)),IF($L749&gt;R$4,R$3,ROUND($L749*R$7,0)))</f>
        <v/>
      </c>
      <c r="H749" s="448">
        <f>IF($L749&gt;S$5,MAX(0,S$3+ROUND((S$9*($L749-S$5)),0)),IF($L749&gt;S$4,S$3,ROUND($L749*S$7,0)))</f>
        <v/>
      </c>
      <c r="I749" s="448">
        <f>IF($L749&gt;T$5,MAX(0,T$3+ROUND((T$9*($L749-T$5)),0)),IF($L749&gt;T$4,T$3,ROUND($L749*T$7,0)))</f>
        <v/>
      </c>
      <c r="J749" s="447">
        <f>IF($L749&gt;U$5,MAX(0,U$3+ROUND((U$9*($L749-U$5)),0)),IF($L749&gt;U$4,U$3,ROUND($L749*U$7,0)))</f>
        <v/>
      </c>
      <c r="K749" s="422" t="n"/>
      <c r="L749" s="448">
        <f>ROUND((A749+B749)/2,2)</f>
        <v/>
      </c>
    </row>
    <row r="750" ht="13.5" customHeight="1" s="7635">
      <c r="A750" s="448" t="n">
        <v>37250</v>
      </c>
      <c r="B750" s="447" t="n">
        <v>37300</v>
      </c>
      <c r="C750" s="1378">
        <f>IF($L750&gt;N$5,MAX(0,N$3+ROUND((N$9*($L750-N$5)),0)),IF($L750&gt;N$4,N$3,ROUND($L750*N$7,0)))</f>
        <v/>
      </c>
      <c r="D750" s="448">
        <f>IF($L750&gt;O$5,MAX(0,O$3+ROUND((O$9*($L750-O$5)),0)),IF($L750&gt;O$4,O$3,ROUND($L750*O$7,0)))</f>
        <v/>
      </c>
      <c r="E750" s="448">
        <f>IF($L750&gt;P$5,MAX(0,P$3+ROUND((P$9*($L750-P$5)),0)),IF($L750&gt;P$4,P$3,ROUND($L750*P$7,0)))</f>
        <v/>
      </c>
      <c r="F750" s="447">
        <f>IF($L750&gt;Q$5,MAX(0,Q$3+ROUND((Q$9*($L750-Q$5)),0)),IF($L750&gt;Q$4,Q$3,ROUND($L750*Q$7,0)))</f>
        <v/>
      </c>
      <c r="G750" s="1378">
        <f>IF($L750&gt;R$5,MAX(0,R$3+ROUND((R$9*($L750-R$5)),0)),IF($L750&gt;R$4,R$3,ROUND($L750*R$7,0)))</f>
        <v/>
      </c>
      <c r="H750" s="448">
        <f>IF($L750&gt;S$5,MAX(0,S$3+ROUND((S$9*($L750-S$5)),0)),IF($L750&gt;S$4,S$3,ROUND($L750*S$7,0)))</f>
        <v/>
      </c>
      <c r="I750" s="448">
        <f>IF($L750&gt;T$5,MAX(0,T$3+ROUND((T$9*($L750-T$5)),0)),IF($L750&gt;T$4,T$3,ROUND($L750*T$7,0)))</f>
        <v/>
      </c>
      <c r="J750" s="447">
        <f>IF($L750&gt;U$5,MAX(0,U$3+ROUND((U$9*($L750-U$5)),0)),IF($L750&gt;U$4,U$3,ROUND($L750*U$7,0)))</f>
        <v/>
      </c>
      <c r="K750" s="422" t="n"/>
      <c r="L750" s="448">
        <f>ROUND((A750+B750)/2,2)</f>
        <v/>
      </c>
    </row>
    <row r="751" ht="13.5" customHeight="1" s="7635">
      <c r="A751" s="448" t="n">
        <v>37300</v>
      </c>
      <c r="B751" s="447" t="n">
        <v>37350</v>
      </c>
      <c r="C751" s="1378">
        <f>IF($L751&gt;N$5,MAX(0,N$3+ROUND((N$9*($L751-N$5)),0)),IF($L751&gt;N$4,N$3,ROUND($L751*N$7,0)))</f>
        <v/>
      </c>
      <c r="D751" s="448">
        <f>IF($L751&gt;O$5,MAX(0,O$3+ROUND((O$9*($L751-O$5)),0)),IF($L751&gt;O$4,O$3,ROUND($L751*O$7,0)))</f>
        <v/>
      </c>
      <c r="E751" s="448">
        <f>IF($L751&gt;P$5,MAX(0,P$3+ROUND((P$9*($L751-P$5)),0)),IF($L751&gt;P$4,P$3,ROUND($L751*P$7,0)))</f>
        <v/>
      </c>
      <c r="F751" s="447">
        <f>IF($L751&gt;Q$5,MAX(0,Q$3+ROUND((Q$9*($L751-Q$5)),0)),IF($L751&gt;Q$4,Q$3,ROUND($L751*Q$7,0)))</f>
        <v/>
      </c>
      <c r="G751" s="1378">
        <f>IF($L751&gt;R$5,MAX(0,R$3+ROUND((R$9*($L751-R$5)),0)),IF($L751&gt;R$4,R$3,ROUND($L751*R$7,0)))</f>
        <v/>
      </c>
      <c r="H751" s="448">
        <f>IF($L751&gt;S$5,MAX(0,S$3+ROUND((S$9*($L751-S$5)),0)),IF($L751&gt;S$4,S$3,ROUND($L751*S$7,0)))</f>
        <v/>
      </c>
      <c r="I751" s="448">
        <f>IF($L751&gt;T$5,MAX(0,T$3+ROUND((T$9*($L751-T$5)),0)),IF($L751&gt;T$4,T$3,ROUND($L751*T$7,0)))</f>
        <v/>
      </c>
      <c r="J751" s="447">
        <f>IF($L751&gt;U$5,MAX(0,U$3+ROUND((U$9*($L751-U$5)),0)),IF($L751&gt;U$4,U$3,ROUND($L751*U$7,0)))</f>
        <v/>
      </c>
      <c r="K751" s="422" t="n"/>
      <c r="L751" s="448">
        <f>ROUND((A751+B751)/2,2)</f>
        <v/>
      </c>
    </row>
    <row r="752" ht="13.5" customHeight="1" s="7635">
      <c r="A752" s="448" t="n">
        <v>37350</v>
      </c>
      <c r="B752" s="447" t="n">
        <v>37400</v>
      </c>
      <c r="C752" s="1378">
        <f>IF($L752&gt;N$5,MAX(0,N$3+ROUND((N$9*($L752-N$5)),0)),IF($L752&gt;N$4,N$3,ROUND($L752*N$7,0)))</f>
        <v/>
      </c>
      <c r="D752" s="448">
        <f>IF($L752&gt;O$5,MAX(0,O$3+ROUND((O$9*($L752-O$5)),0)),IF($L752&gt;O$4,O$3,ROUND($L752*O$7,0)))</f>
        <v/>
      </c>
      <c r="E752" s="448">
        <f>IF($L752&gt;P$5,MAX(0,P$3+ROUND((P$9*($L752-P$5)),0)),IF($L752&gt;P$4,P$3,ROUND($L752*P$7,0)))</f>
        <v/>
      </c>
      <c r="F752" s="447">
        <f>IF($L752&gt;Q$5,MAX(0,Q$3+ROUND((Q$9*($L752-Q$5)),0)),IF($L752&gt;Q$4,Q$3,ROUND($L752*Q$7,0)))</f>
        <v/>
      </c>
      <c r="G752" s="1378">
        <f>IF($L752&gt;R$5,MAX(0,R$3+ROUND((R$9*($L752-R$5)),0)),IF($L752&gt;R$4,R$3,ROUND($L752*R$7,0)))</f>
        <v/>
      </c>
      <c r="H752" s="448">
        <f>IF($L752&gt;S$5,MAX(0,S$3+ROUND((S$9*($L752-S$5)),0)),IF($L752&gt;S$4,S$3,ROUND($L752*S$7,0)))</f>
        <v/>
      </c>
      <c r="I752" s="448">
        <f>IF($L752&gt;T$5,MAX(0,T$3+ROUND((T$9*($L752-T$5)),0)),IF($L752&gt;T$4,T$3,ROUND($L752*T$7,0)))</f>
        <v/>
      </c>
      <c r="J752" s="447">
        <f>IF($L752&gt;U$5,MAX(0,U$3+ROUND((U$9*($L752-U$5)),0)),IF($L752&gt;U$4,U$3,ROUND($L752*U$7,0)))</f>
        <v/>
      </c>
      <c r="K752" s="422" t="n"/>
      <c r="L752" s="448">
        <f>ROUND((A752+B752)/2,2)</f>
        <v/>
      </c>
    </row>
    <row r="753" ht="13.5" customHeight="1" s="7635">
      <c r="A753" s="448" t="n">
        <v>37400</v>
      </c>
      <c r="B753" s="447" t="n">
        <v>37450</v>
      </c>
      <c r="C753" s="1378">
        <f>IF($L753&gt;N$5,MAX(0,N$3+ROUND((N$9*($L753-N$5)),0)),IF($L753&gt;N$4,N$3,ROUND($L753*N$7,0)))</f>
        <v/>
      </c>
      <c r="D753" s="448">
        <f>IF($L753&gt;O$5,MAX(0,O$3+ROUND((O$9*($L753-O$5)),0)),IF($L753&gt;O$4,O$3,ROUND($L753*O$7,0)))</f>
        <v/>
      </c>
      <c r="E753" s="448">
        <f>IF($L753&gt;P$5,MAX(0,P$3+ROUND((P$9*($L753-P$5)),0)),IF($L753&gt;P$4,P$3,ROUND($L753*P$7,0)))</f>
        <v/>
      </c>
      <c r="F753" s="447">
        <f>IF($L753&gt;Q$5,MAX(0,Q$3+ROUND((Q$9*($L753-Q$5)),0)),IF($L753&gt;Q$4,Q$3,ROUND($L753*Q$7,0)))</f>
        <v/>
      </c>
      <c r="G753" s="1378">
        <f>IF($L753&gt;R$5,MAX(0,R$3+ROUND((R$9*($L753-R$5)),0)),IF($L753&gt;R$4,R$3,ROUND($L753*R$7,0)))</f>
        <v/>
      </c>
      <c r="H753" s="448">
        <f>IF($L753&gt;S$5,MAX(0,S$3+ROUND((S$9*($L753-S$5)),0)),IF($L753&gt;S$4,S$3,ROUND($L753*S$7,0)))</f>
        <v/>
      </c>
      <c r="I753" s="448">
        <f>IF($L753&gt;T$5,MAX(0,T$3+ROUND((T$9*($L753-T$5)),0)),IF($L753&gt;T$4,T$3,ROUND($L753*T$7,0)))</f>
        <v/>
      </c>
      <c r="J753" s="447">
        <f>IF($L753&gt;U$5,MAX(0,U$3+ROUND((U$9*($L753-U$5)),0)),IF($L753&gt;U$4,U$3,ROUND($L753*U$7,0)))</f>
        <v/>
      </c>
      <c r="K753" s="422" t="n"/>
      <c r="L753" s="448">
        <f>ROUND((A753+B753)/2,2)</f>
        <v/>
      </c>
    </row>
    <row r="754" ht="13.5" customHeight="1" s="7635">
      <c r="A754" s="448" t="n">
        <v>37450</v>
      </c>
      <c r="B754" s="447" t="n">
        <v>37500</v>
      </c>
      <c r="C754" s="1378">
        <f>IF($L754&gt;N$5,MAX(0,N$3+ROUND((N$9*($L754-N$5)),0)),IF($L754&gt;N$4,N$3,ROUND($L754*N$7,0)))</f>
        <v/>
      </c>
      <c r="D754" s="448">
        <f>IF($L754&gt;O$5,MAX(0,O$3+ROUND((O$9*($L754-O$5)),0)),IF($L754&gt;O$4,O$3,ROUND($L754*O$7,0)))</f>
        <v/>
      </c>
      <c r="E754" s="448">
        <f>IF($L754&gt;P$5,MAX(0,P$3+ROUND((P$9*($L754-P$5)),0)),IF($L754&gt;P$4,P$3,ROUND($L754*P$7,0)))</f>
        <v/>
      </c>
      <c r="F754" s="447">
        <f>IF($L754&gt;Q$5,MAX(0,Q$3+ROUND((Q$9*($L754-Q$5)),0)),IF($L754&gt;Q$4,Q$3,ROUND($L754*Q$7,0)))</f>
        <v/>
      </c>
      <c r="G754" s="1378">
        <f>IF($L754&gt;R$5,MAX(0,R$3+ROUND((R$9*($L754-R$5)),0)),IF($L754&gt;R$4,R$3,ROUND($L754*R$7,0)))</f>
        <v/>
      </c>
      <c r="H754" s="448">
        <f>IF($L754&gt;S$5,MAX(0,S$3+ROUND((S$9*($L754-S$5)),0)),IF($L754&gt;S$4,S$3,ROUND($L754*S$7,0)))</f>
        <v/>
      </c>
      <c r="I754" s="448">
        <f>IF($L754&gt;T$5,MAX(0,T$3+ROUND((T$9*($L754-T$5)),0)),IF($L754&gt;T$4,T$3,ROUND($L754*T$7,0)))</f>
        <v/>
      </c>
      <c r="J754" s="447">
        <f>IF($L754&gt;U$5,MAX(0,U$3+ROUND((U$9*($L754-U$5)),0)),IF($L754&gt;U$4,U$3,ROUND($L754*U$7,0)))</f>
        <v/>
      </c>
      <c r="K754" s="422" t="n"/>
      <c r="L754" s="448">
        <f>ROUND((A754+B754)/2,2)</f>
        <v/>
      </c>
    </row>
    <row r="755" ht="13.5" customHeight="1" s="7635">
      <c r="A755" s="448" t="n">
        <v>37500</v>
      </c>
      <c r="B755" s="447" t="n">
        <v>37550</v>
      </c>
      <c r="C755" s="1378">
        <f>IF($L755&gt;N$5,MAX(0,N$3+ROUND((N$9*($L755-N$5)),0)),IF($L755&gt;N$4,N$3,ROUND($L755*N$7,0)))</f>
        <v/>
      </c>
      <c r="D755" s="448">
        <f>IF($L755&gt;O$5,MAX(0,O$3+ROUND((O$9*($L755-O$5)),0)),IF($L755&gt;O$4,O$3,ROUND($L755*O$7,0)))</f>
        <v/>
      </c>
      <c r="E755" s="448">
        <f>IF($L755&gt;P$5,MAX(0,P$3+ROUND((P$9*($L755-P$5)),0)),IF($L755&gt;P$4,P$3,ROUND($L755*P$7,0)))</f>
        <v/>
      </c>
      <c r="F755" s="447">
        <f>IF($L755&gt;Q$5,MAX(0,Q$3+ROUND((Q$9*($L755-Q$5)),0)),IF($L755&gt;Q$4,Q$3,ROUND($L755*Q$7,0)))</f>
        <v/>
      </c>
      <c r="G755" s="1378">
        <f>IF($L755&gt;R$5,MAX(0,R$3+ROUND((R$9*($L755-R$5)),0)),IF($L755&gt;R$4,R$3,ROUND($L755*R$7,0)))</f>
        <v/>
      </c>
      <c r="H755" s="448">
        <f>IF($L755&gt;S$5,MAX(0,S$3+ROUND((S$9*($L755-S$5)),0)),IF($L755&gt;S$4,S$3,ROUND($L755*S$7,0)))</f>
        <v/>
      </c>
      <c r="I755" s="448">
        <f>IF($L755&gt;T$5,MAX(0,T$3+ROUND((T$9*($L755-T$5)),0)),IF($L755&gt;T$4,T$3,ROUND($L755*T$7,0)))</f>
        <v/>
      </c>
      <c r="J755" s="447">
        <f>IF($L755&gt;U$5,MAX(0,U$3+ROUND((U$9*($L755-U$5)),0)),IF($L755&gt;U$4,U$3,ROUND($L755*U$7,0)))</f>
        <v/>
      </c>
      <c r="K755" s="422" t="n"/>
      <c r="L755" s="448">
        <f>ROUND((A755+B755)/2,2)</f>
        <v/>
      </c>
    </row>
    <row r="756" ht="13.5" customHeight="1" s="7635">
      <c r="A756" s="448" t="n">
        <v>37550</v>
      </c>
      <c r="B756" s="447" t="n">
        <v>37600</v>
      </c>
      <c r="C756" s="1378">
        <f>IF($L756&gt;N$5,MAX(0,N$3+ROUND((N$9*($L756-N$5)),0)),IF($L756&gt;N$4,N$3,ROUND($L756*N$7,0)))</f>
        <v/>
      </c>
      <c r="D756" s="448">
        <f>IF($L756&gt;O$5,MAX(0,O$3+ROUND((O$9*($L756-O$5)),0)),IF($L756&gt;O$4,O$3,ROUND($L756*O$7,0)))</f>
        <v/>
      </c>
      <c r="E756" s="448">
        <f>IF($L756&gt;P$5,MAX(0,P$3+ROUND((P$9*($L756-P$5)),0)),IF($L756&gt;P$4,P$3,ROUND($L756*P$7,0)))</f>
        <v/>
      </c>
      <c r="F756" s="447">
        <f>IF($L756&gt;Q$5,MAX(0,Q$3+ROUND((Q$9*($L756-Q$5)),0)),IF($L756&gt;Q$4,Q$3,ROUND($L756*Q$7,0)))</f>
        <v/>
      </c>
      <c r="G756" s="1378">
        <f>IF($L756&gt;R$5,MAX(0,R$3+ROUND((R$9*($L756-R$5)),0)),IF($L756&gt;R$4,R$3,ROUND($L756*R$7,0)))</f>
        <v/>
      </c>
      <c r="H756" s="448">
        <f>IF($L756&gt;S$5,MAX(0,S$3+ROUND((S$9*($L756-S$5)),0)),IF($L756&gt;S$4,S$3,ROUND($L756*S$7,0)))</f>
        <v/>
      </c>
      <c r="I756" s="448">
        <f>IF($L756&gt;T$5,MAX(0,T$3+ROUND((T$9*($L756-T$5)),0)),IF($L756&gt;T$4,T$3,ROUND($L756*T$7,0)))</f>
        <v/>
      </c>
      <c r="J756" s="447">
        <f>IF($L756&gt;U$5,MAX(0,U$3+ROUND((U$9*($L756-U$5)),0)),IF($L756&gt;U$4,U$3,ROUND($L756*U$7,0)))</f>
        <v/>
      </c>
      <c r="K756" s="422" t="n"/>
      <c r="L756" s="448">
        <f>ROUND((A756+B756)/2,2)</f>
        <v/>
      </c>
    </row>
    <row r="757" ht="13.5" customHeight="1" s="7635">
      <c r="A757" s="448" t="n">
        <v>37600</v>
      </c>
      <c r="B757" s="447" t="n">
        <v>37650</v>
      </c>
      <c r="C757" s="1378">
        <f>IF($L757&gt;N$5,MAX(0,N$3+ROUND((N$9*($L757-N$5)),0)),IF($L757&gt;N$4,N$3,ROUND($L757*N$7,0)))</f>
        <v/>
      </c>
      <c r="D757" s="448">
        <f>IF($L757&gt;O$5,MAX(0,O$3+ROUND((O$9*($L757-O$5)),0)),IF($L757&gt;O$4,O$3,ROUND($L757*O$7,0)))</f>
        <v/>
      </c>
      <c r="E757" s="448">
        <f>IF($L757&gt;P$5,MAX(0,P$3+ROUND((P$9*($L757-P$5)),0)),IF($L757&gt;P$4,P$3,ROUND($L757*P$7,0)))</f>
        <v/>
      </c>
      <c r="F757" s="447">
        <f>IF($L757&gt;Q$5,MAX(0,Q$3+ROUND((Q$9*($L757-Q$5)),0)),IF($L757&gt;Q$4,Q$3,ROUND($L757*Q$7,0)))</f>
        <v/>
      </c>
      <c r="G757" s="1378">
        <f>IF($L757&gt;R$5,MAX(0,R$3+ROUND((R$9*($L757-R$5)),0)),IF($L757&gt;R$4,R$3,ROUND($L757*R$7,0)))</f>
        <v/>
      </c>
      <c r="H757" s="448">
        <f>IF($L757&gt;S$5,MAX(0,S$3+ROUND((S$9*($L757-S$5)),0)),IF($L757&gt;S$4,S$3,ROUND($L757*S$7,0)))</f>
        <v/>
      </c>
      <c r="I757" s="448">
        <f>IF($L757&gt;T$5,MAX(0,T$3+ROUND((T$9*($L757-T$5)),0)),IF($L757&gt;T$4,T$3,ROUND($L757*T$7,0)))</f>
        <v/>
      </c>
      <c r="J757" s="447">
        <f>IF($L757&gt;U$5,MAX(0,U$3+ROUND((U$9*($L757-U$5)),0)),IF($L757&gt;U$4,U$3,ROUND($L757*U$7,0)))</f>
        <v/>
      </c>
      <c r="K757" s="422" t="n"/>
      <c r="L757" s="448">
        <f>ROUND((A757+B757)/2,2)</f>
        <v/>
      </c>
    </row>
    <row r="758" ht="13.5" customHeight="1" s="7635">
      <c r="A758" s="448" t="n">
        <v>37650</v>
      </c>
      <c r="B758" s="447" t="n">
        <v>37700</v>
      </c>
      <c r="C758" s="1378">
        <f>IF($L758&gt;N$5,MAX(0,N$3+ROUND((N$9*($L758-N$5)),0)),IF($L758&gt;N$4,N$3,ROUND($L758*N$7,0)))</f>
        <v/>
      </c>
      <c r="D758" s="448">
        <f>IF($L758&gt;O$5,MAX(0,O$3+ROUND((O$9*($L758-O$5)),0)),IF($L758&gt;O$4,O$3,ROUND($L758*O$7,0)))</f>
        <v/>
      </c>
      <c r="E758" s="448">
        <f>IF($L758&gt;P$5,MAX(0,P$3+ROUND((P$9*($L758-P$5)),0)),IF($L758&gt;P$4,P$3,ROUND($L758*P$7,0)))</f>
        <v/>
      </c>
      <c r="F758" s="447">
        <f>IF($L758&gt;Q$5,MAX(0,Q$3+ROUND((Q$9*($L758-Q$5)),0)),IF($L758&gt;Q$4,Q$3,ROUND($L758*Q$7,0)))</f>
        <v/>
      </c>
      <c r="G758" s="1378">
        <f>IF($L758&gt;R$5,MAX(0,R$3+ROUND((R$9*($L758-R$5)),0)),IF($L758&gt;R$4,R$3,ROUND($L758*R$7,0)))</f>
        <v/>
      </c>
      <c r="H758" s="448">
        <f>IF($L758&gt;S$5,MAX(0,S$3+ROUND((S$9*($L758-S$5)),0)),IF($L758&gt;S$4,S$3,ROUND($L758*S$7,0)))</f>
        <v/>
      </c>
      <c r="I758" s="448">
        <f>IF($L758&gt;T$5,MAX(0,T$3+ROUND((T$9*($L758-T$5)),0)),IF($L758&gt;T$4,T$3,ROUND($L758*T$7,0)))</f>
        <v/>
      </c>
      <c r="J758" s="447">
        <f>IF($L758&gt;U$5,MAX(0,U$3+ROUND((U$9*($L758-U$5)),0)),IF($L758&gt;U$4,U$3,ROUND($L758*U$7,0)))</f>
        <v/>
      </c>
      <c r="K758" s="422" t="n"/>
      <c r="L758" s="448">
        <f>ROUND((A758+B758)/2,2)</f>
        <v/>
      </c>
    </row>
    <row r="759" ht="13.5" customHeight="1" s="7635">
      <c r="A759" s="448" t="n">
        <v>37700</v>
      </c>
      <c r="B759" s="447" t="n">
        <v>37750</v>
      </c>
      <c r="C759" s="1378">
        <f>IF($L759&gt;N$5,MAX(0,N$3+ROUND((N$9*($L759-N$5)),0)),IF($L759&gt;N$4,N$3,ROUND($L759*N$7,0)))</f>
        <v/>
      </c>
      <c r="D759" s="448">
        <f>IF($L759&gt;O$5,MAX(0,O$3+ROUND((O$9*($L759-O$5)),0)),IF($L759&gt;O$4,O$3,ROUND($L759*O$7,0)))</f>
        <v/>
      </c>
      <c r="E759" s="448">
        <f>IF($L759&gt;P$5,MAX(0,P$3+ROUND((P$9*($L759-P$5)),0)),IF($L759&gt;P$4,P$3,ROUND($L759*P$7,0)))</f>
        <v/>
      </c>
      <c r="F759" s="447">
        <f>IF($L759&gt;Q$5,MAX(0,Q$3+ROUND((Q$9*($L759-Q$5)),0)),IF($L759&gt;Q$4,Q$3,ROUND($L759*Q$7,0)))</f>
        <v/>
      </c>
      <c r="G759" s="1378">
        <f>IF($L759&gt;R$5,MAX(0,R$3+ROUND((R$9*($L759-R$5)),0)),IF($L759&gt;R$4,R$3,ROUND($L759*R$7,0)))</f>
        <v/>
      </c>
      <c r="H759" s="448">
        <f>IF($L759&gt;S$5,MAX(0,S$3+ROUND((S$9*($L759-S$5)),0)),IF($L759&gt;S$4,S$3,ROUND($L759*S$7,0)))</f>
        <v/>
      </c>
      <c r="I759" s="448">
        <f>IF($L759&gt;T$5,MAX(0,T$3+ROUND((T$9*($L759-T$5)),0)),IF($L759&gt;T$4,T$3,ROUND($L759*T$7,0)))</f>
        <v/>
      </c>
      <c r="J759" s="447">
        <f>IF($L759&gt;U$5,MAX(0,U$3+ROUND((U$9*($L759-U$5)),0)),IF($L759&gt;U$4,U$3,ROUND($L759*U$7,0)))</f>
        <v/>
      </c>
      <c r="K759" s="422" t="n"/>
      <c r="L759" s="448">
        <f>ROUND((A759+B759)/2,2)</f>
        <v/>
      </c>
    </row>
    <row r="760" ht="13.5" customHeight="1" s="7635">
      <c r="A760" s="448" t="n">
        <v>37750</v>
      </c>
      <c r="B760" s="447" t="n">
        <v>37800</v>
      </c>
      <c r="C760" s="1378">
        <f>IF($L760&gt;N$5,MAX(0,N$3+ROUND((N$9*($L760-N$5)),0)),IF($L760&gt;N$4,N$3,ROUND($L760*N$7,0)))</f>
        <v/>
      </c>
      <c r="D760" s="448">
        <f>IF($L760&gt;O$5,MAX(0,O$3+ROUND((O$9*($L760-O$5)),0)),IF($L760&gt;O$4,O$3,ROUND($L760*O$7,0)))</f>
        <v/>
      </c>
      <c r="E760" s="448">
        <f>IF($L760&gt;P$5,MAX(0,P$3+ROUND((P$9*($L760-P$5)),0)),IF($L760&gt;P$4,P$3,ROUND($L760*P$7,0)))</f>
        <v/>
      </c>
      <c r="F760" s="447">
        <f>IF($L760&gt;Q$5,MAX(0,Q$3+ROUND((Q$9*($L760-Q$5)),0)),IF($L760&gt;Q$4,Q$3,ROUND($L760*Q$7,0)))</f>
        <v/>
      </c>
      <c r="G760" s="1378">
        <f>IF($L760&gt;R$5,MAX(0,R$3+ROUND((R$9*($L760-R$5)),0)),IF($L760&gt;R$4,R$3,ROUND($L760*R$7,0)))</f>
        <v/>
      </c>
      <c r="H760" s="448">
        <f>IF($L760&gt;S$5,MAX(0,S$3+ROUND((S$9*($L760-S$5)),0)),IF($L760&gt;S$4,S$3,ROUND($L760*S$7,0)))</f>
        <v/>
      </c>
      <c r="I760" s="448">
        <f>IF($L760&gt;T$5,MAX(0,T$3+ROUND((T$9*($L760-T$5)),0)),IF($L760&gt;T$4,T$3,ROUND($L760*T$7,0)))</f>
        <v/>
      </c>
      <c r="J760" s="447">
        <f>IF($L760&gt;U$5,MAX(0,U$3+ROUND((U$9*($L760-U$5)),0)),IF($L760&gt;U$4,U$3,ROUND($L760*U$7,0)))</f>
        <v/>
      </c>
      <c r="K760" s="422" t="n"/>
      <c r="L760" s="448">
        <f>ROUND((A760+B760)/2,2)</f>
        <v/>
      </c>
    </row>
    <row r="761" ht="13.5" customHeight="1" s="7635">
      <c r="A761" s="448" t="n">
        <v>37800</v>
      </c>
      <c r="B761" s="447" t="n">
        <v>37850</v>
      </c>
      <c r="C761" s="1378">
        <f>IF($L761&gt;N$5,MAX(0,N$3+ROUND((N$9*($L761-N$5)),0)),IF($L761&gt;N$4,N$3,ROUND($L761*N$7,0)))</f>
        <v/>
      </c>
      <c r="D761" s="448">
        <f>IF($L761&gt;O$5,MAX(0,O$3+ROUND((O$9*($L761-O$5)),0)),IF($L761&gt;O$4,O$3,ROUND($L761*O$7,0)))</f>
        <v/>
      </c>
      <c r="E761" s="448">
        <f>IF($L761&gt;P$5,MAX(0,P$3+ROUND((P$9*($L761-P$5)),0)),IF($L761&gt;P$4,P$3,ROUND($L761*P$7,0)))</f>
        <v/>
      </c>
      <c r="F761" s="447">
        <f>IF($L761&gt;Q$5,MAX(0,Q$3+ROUND((Q$9*($L761-Q$5)),0)),IF($L761&gt;Q$4,Q$3,ROUND($L761*Q$7,0)))</f>
        <v/>
      </c>
      <c r="G761" s="1378">
        <f>IF($L761&gt;R$5,MAX(0,R$3+ROUND((R$9*($L761-R$5)),0)),IF($L761&gt;R$4,R$3,ROUND($L761*R$7,0)))</f>
        <v/>
      </c>
      <c r="H761" s="448">
        <f>IF($L761&gt;S$5,MAX(0,S$3+ROUND((S$9*($L761-S$5)),0)),IF($L761&gt;S$4,S$3,ROUND($L761*S$7,0)))</f>
        <v/>
      </c>
      <c r="I761" s="448">
        <f>IF($L761&gt;T$5,MAX(0,T$3+ROUND((T$9*($L761-T$5)),0)),IF($L761&gt;T$4,T$3,ROUND($L761*T$7,0)))</f>
        <v/>
      </c>
      <c r="J761" s="447">
        <f>IF($L761&gt;U$5,MAX(0,U$3+ROUND((U$9*($L761-U$5)),0)),IF($L761&gt;U$4,U$3,ROUND($L761*U$7,0)))</f>
        <v/>
      </c>
      <c r="K761" s="422" t="n"/>
      <c r="L761" s="448">
        <f>ROUND((A761+B761)/2,2)</f>
        <v/>
      </c>
    </row>
    <row r="762" ht="13.5" customHeight="1" s="7635">
      <c r="A762" s="448" t="n">
        <v>37850</v>
      </c>
      <c r="B762" s="447" t="n">
        <v>37900</v>
      </c>
      <c r="C762" s="1378">
        <f>IF($L762&gt;N$5,MAX(0,N$3+ROUND((N$9*($L762-N$5)),0)),IF($L762&gt;N$4,N$3,ROUND($L762*N$7,0)))</f>
        <v/>
      </c>
      <c r="D762" s="448">
        <f>IF($L762&gt;O$5,MAX(0,O$3+ROUND((O$9*($L762-O$5)),0)),IF($L762&gt;O$4,O$3,ROUND($L762*O$7,0)))</f>
        <v/>
      </c>
      <c r="E762" s="448">
        <f>IF($L762&gt;P$5,MAX(0,P$3+ROUND((P$9*($L762-P$5)),0)),IF($L762&gt;P$4,P$3,ROUND($L762*P$7,0)))</f>
        <v/>
      </c>
      <c r="F762" s="447">
        <f>IF($L762&gt;Q$5,MAX(0,Q$3+ROUND((Q$9*($L762-Q$5)),0)),IF($L762&gt;Q$4,Q$3,ROUND($L762*Q$7,0)))</f>
        <v/>
      </c>
      <c r="G762" s="1378">
        <f>IF($L762&gt;R$5,MAX(0,R$3+ROUND((R$9*($L762-R$5)),0)),IF($L762&gt;R$4,R$3,ROUND($L762*R$7,0)))</f>
        <v/>
      </c>
      <c r="H762" s="448">
        <f>IF($L762&gt;S$5,MAX(0,S$3+ROUND((S$9*($L762-S$5)),0)),IF($L762&gt;S$4,S$3,ROUND($L762*S$7,0)))</f>
        <v/>
      </c>
      <c r="I762" s="448">
        <f>IF($L762&gt;T$5,MAX(0,T$3+ROUND((T$9*($L762-T$5)),0)),IF($L762&gt;T$4,T$3,ROUND($L762*T$7,0)))</f>
        <v/>
      </c>
      <c r="J762" s="447">
        <f>IF($L762&gt;U$5,MAX(0,U$3+ROUND((U$9*($L762-U$5)),0)),IF($L762&gt;U$4,U$3,ROUND($L762*U$7,0)))</f>
        <v/>
      </c>
      <c r="K762" s="422" t="n"/>
      <c r="L762" s="448">
        <f>ROUND((A762+B762)/2,2)</f>
        <v/>
      </c>
    </row>
    <row r="763" ht="13.5" customHeight="1" s="7635">
      <c r="A763" s="448" t="n">
        <v>37900</v>
      </c>
      <c r="B763" s="447" t="n">
        <v>37950</v>
      </c>
      <c r="C763" s="1378">
        <f>IF($L763&gt;N$5,MAX(0,N$3+ROUND((N$9*($L763-N$5)),0)),IF($L763&gt;N$4,N$3,ROUND($L763*N$7,0)))</f>
        <v/>
      </c>
      <c r="D763" s="448">
        <f>IF($L763&gt;O$5,MAX(0,O$3+ROUND((O$9*($L763-O$5)),0)),IF($L763&gt;O$4,O$3,ROUND($L763*O$7,0)))</f>
        <v/>
      </c>
      <c r="E763" s="448">
        <f>IF($L763&gt;P$5,MAX(0,P$3+ROUND((P$9*($L763-P$5)),0)),IF($L763&gt;P$4,P$3,ROUND($L763*P$7,0)))</f>
        <v/>
      </c>
      <c r="F763" s="447">
        <f>IF($L763&gt;Q$5,MAX(0,Q$3+ROUND((Q$9*($L763-Q$5)),0)),IF($L763&gt;Q$4,Q$3,ROUND($L763*Q$7,0)))</f>
        <v/>
      </c>
      <c r="G763" s="1378">
        <f>IF($L763&gt;R$5,MAX(0,R$3+ROUND((R$9*($L763-R$5)),0)),IF($L763&gt;R$4,R$3,ROUND($L763*R$7,0)))</f>
        <v/>
      </c>
      <c r="H763" s="448">
        <f>IF($L763&gt;S$5,MAX(0,S$3+ROUND((S$9*($L763-S$5)),0)),IF($L763&gt;S$4,S$3,ROUND($L763*S$7,0)))</f>
        <v/>
      </c>
      <c r="I763" s="448">
        <f>IF($L763&gt;T$5,MAX(0,T$3+ROUND((T$9*($L763-T$5)),0)),IF($L763&gt;T$4,T$3,ROUND($L763*T$7,0)))</f>
        <v/>
      </c>
      <c r="J763" s="447">
        <f>IF($L763&gt;U$5,MAX(0,U$3+ROUND((U$9*($L763-U$5)),0)),IF($L763&gt;U$4,U$3,ROUND($L763*U$7,0)))</f>
        <v/>
      </c>
      <c r="K763" s="422" t="n"/>
      <c r="L763" s="448">
        <f>ROUND((A763+B763)/2,2)</f>
        <v/>
      </c>
    </row>
    <row r="764" ht="13.5" customHeight="1" s="7635">
      <c r="A764" s="448" t="n">
        <v>37950</v>
      </c>
      <c r="B764" s="447" t="n">
        <v>38000</v>
      </c>
      <c r="C764" s="1378">
        <f>IF($L764&gt;N$5,MAX(0,N$3+ROUND((N$9*($L764-N$5)),0)),IF($L764&gt;N$4,N$3,ROUND($L764*N$7,0)))</f>
        <v/>
      </c>
      <c r="D764" s="448">
        <f>IF($L764&gt;O$5,MAX(0,O$3+ROUND((O$9*($L764-O$5)),0)),IF($L764&gt;O$4,O$3,ROUND($L764*O$7,0)))</f>
        <v/>
      </c>
      <c r="E764" s="448">
        <f>IF($L764&gt;P$5,MAX(0,P$3+ROUND((P$9*($L764-P$5)),0)),IF($L764&gt;P$4,P$3,ROUND($L764*P$7,0)))</f>
        <v/>
      </c>
      <c r="F764" s="447">
        <f>IF($L764&gt;Q$5,MAX(0,Q$3+ROUND((Q$9*($L764-Q$5)),0)),IF($L764&gt;Q$4,Q$3,ROUND($L764*Q$7,0)))</f>
        <v/>
      </c>
      <c r="G764" s="1378">
        <f>IF($L764&gt;R$5,MAX(0,R$3+ROUND((R$9*($L764-R$5)),0)),IF($L764&gt;R$4,R$3,ROUND($L764*R$7,0)))</f>
        <v/>
      </c>
      <c r="H764" s="448">
        <f>IF($L764&gt;S$5,MAX(0,S$3+ROUND((S$9*($L764-S$5)),0)),IF($L764&gt;S$4,S$3,ROUND($L764*S$7,0)))</f>
        <v/>
      </c>
      <c r="I764" s="448">
        <f>IF($L764&gt;T$5,MAX(0,T$3+ROUND((T$9*($L764-T$5)),0)),IF($L764&gt;T$4,T$3,ROUND($L764*T$7,0)))</f>
        <v/>
      </c>
      <c r="J764" s="447">
        <f>IF($L764&gt;U$5,MAX(0,U$3+ROUND((U$9*($L764-U$5)),0)),IF($L764&gt;U$4,U$3,ROUND($L764*U$7,0)))</f>
        <v/>
      </c>
      <c r="K764" s="422" t="n"/>
      <c r="L764" s="448">
        <f>ROUND((A764+B764)/2,2)</f>
        <v/>
      </c>
    </row>
    <row r="765" ht="13.5" customHeight="1" s="7635">
      <c r="A765" s="448" t="n">
        <v>38000</v>
      </c>
      <c r="B765" s="447" t="n">
        <v>38050</v>
      </c>
      <c r="C765" s="1378">
        <f>IF($L765&gt;N$5,MAX(0,N$3+ROUND((N$9*($L765-N$5)),0)),IF($L765&gt;N$4,N$3,ROUND($L765*N$7,0)))</f>
        <v/>
      </c>
      <c r="D765" s="448">
        <f>IF($L765&gt;O$5,MAX(0,O$3+ROUND((O$9*($L765-O$5)),0)),IF($L765&gt;O$4,O$3,ROUND($L765*O$7,0)))</f>
        <v/>
      </c>
      <c r="E765" s="448">
        <f>IF($L765&gt;P$5,MAX(0,P$3+ROUND((P$9*($L765-P$5)),0)),IF($L765&gt;P$4,P$3,ROUND($L765*P$7,0)))</f>
        <v/>
      </c>
      <c r="F765" s="447">
        <f>IF($L765&gt;Q$5,MAX(0,Q$3+ROUND((Q$9*($L765-Q$5)),0)),IF($L765&gt;Q$4,Q$3,ROUND($L765*Q$7,0)))</f>
        <v/>
      </c>
      <c r="G765" s="1378">
        <f>IF($L765&gt;R$5,MAX(0,R$3+ROUND((R$9*($L765-R$5)),0)),IF($L765&gt;R$4,R$3,ROUND($L765*R$7,0)))</f>
        <v/>
      </c>
      <c r="H765" s="448">
        <f>IF($L765&gt;S$5,MAX(0,S$3+ROUND((S$9*($L765-S$5)),0)),IF($L765&gt;S$4,S$3,ROUND($L765*S$7,0)))</f>
        <v/>
      </c>
      <c r="I765" s="448">
        <f>IF($L765&gt;T$5,MAX(0,T$3+ROUND((T$9*($L765-T$5)),0)),IF($L765&gt;T$4,T$3,ROUND($L765*T$7,0)))</f>
        <v/>
      </c>
      <c r="J765" s="447">
        <f>IF($L765&gt;U$5,MAX(0,U$3+ROUND((U$9*($L765-U$5)),0)),IF($L765&gt;U$4,U$3,ROUND($L765*U$7,0)))</f>
        <v/>
      </c>
      <c r="K765" s="422" t="n"/>
      <c r="L765" s="448">
        <f>ROUND((A765+B765)/2,2)</f>
        <v/>
      </c>
    </row>
    <row r="766" ht="13.5" customHeight="1" s="7635">
      <c r="A766" s="448" t="n">
        <v>38050</v>
      </c>
      <c r="B766" s="447" t="n">
        <v>38100</v>
      </c>
      <c r="C766" s="1378">
        <f>IF($L766&gt;N$5,MAX(0,N$3+ROUND((N$9*($L766-N$5)),0)),IF($L766&gt;N$4,N$3,ROUND($L766*N$7,0)))</f>
        <v/>
      </c>
      <c r="D766" s="448">
        <f>IF($L766&gt;O$5,MAX(0,O$3+ROUND((O$9*($L766-O$5)),0)),IF($L766&gt;O$4,O$3,ROUND($L766*O$7,0)))</f>
        <v/>
      </c>
      <c r="E766" s="448">
        <f>IF($L766&gt;P$5,MAX(0,P$3+ROUND((P$9*($L766-P$5)),0)),IF($L766&gt;P$4,P$3,ROUND($L766*P$7,0)))</f>
        <v/>
      </c>
      <c r="F766" s="447">
        <f>IF($L766&gt;Q$5,MAX(0,Q$3+ROUND((Q$9*($L766-Q$5)),0)),IF($L766&gt;Q$4,Q$3,ROUND($L766*Q$7,0)))</f>
        <v/>
      </c>
      <c r="G766" s="1378">
        <f>IF($L766&gt;R$5,MAX(0,R$3+ROUND((R$9*($L766-R$5)),0)),IF($L766&gt;R$4,R$3,ROUND($L766*R$7,0)))</f>
        <v/>
      </c>
      <c r="H766" s="448">
        <f>IF($L766&gt;S$5,MAX(0,S$3+ROUND((S$9*($L766-S$5)),0)),IF($L766&gt;S$4,S$3,ROUND($L766*S$7,0)))</f>
        <v/>
      </c>
      <c r="I766" s="448">
        <f>IF($L766&gt;T$5,MAX(0,T$3+ROUND((T$9*($L766-T$5)),0)),IF($L766&gt;T$4,T$3,ROUND($L766*T$7,0)))</f>
        <v/>
      </c>
      <c r="J766" s="447">
        <f>IF($L766&gt;U$5,MAX(0,U$3+ROUND((U$9*($L766-U$5)),0)),IF($L766&gt;U$4,U$3,ROUND($L766*U$7,0)))</f>
        <v/>
      </c>
      <c r="K766" s="422" t="n"/>
      <c r="L766" s="448">
        <f>ROUND((A766+B766)/2,2)</f>
        <v/>
      </c>
    </row>
    <row r="767" ht="13.5" customHeight="1" s="7635">
      <c r="A767" s="448" t="n">
        <v>38100</v>
      </c>
      <c r="B767" s="447" t="n">
        <v>38150</v>
      </c>
      <c r="C767" s="1378">
        <f>IF($L767&gt;N$5,MAX(0,N$3+ROUND((N$9*($L767-N$5)),0)),IF($L767&gt;N$4,N$3,ROUND($L767*N$7,0)))</f>
        <v/>
      </c>
      <c r="D767" s="448">
        <f>IF($L767&gt;O$5,MAX(0,O$3+ROUND((O$9*($L767-O$5)),0)),IF($L767&gt;O$4,O$3,ROUND($L767*O$7,0)))</f>
        <v/>
      </c>
      <c r="E767" s="448">
        <f>IF($L767&gt;P$5,MAX(0,P$3+ROUND((P$9*($L767-P$5)),0)),IF($L767&gt;P$4,P$3,ROUND($L767*P$7,0)))</f>
        <v/>
      </c>
      <c r="F767" s="447">
        <f>IF($L767&gt;Q$5,MAX(0,Q$3+ROUND((Q$9*($L767-Q$5)),0)),IF($L767&gt;Q$4,Q$3,ROUND($L767*Q$7,0)))</f>
        <v/>
      </c>
      <c r="G767" s="1378">
        <f>IF($L767&gt;R$5,MAX(0,R$3+ROUND((R$9*($L767-R$5)),0)),IF($L767&gt;R$4,R$3,ROUND($L767*R$7,0)))</f>
        <v/>
      </c>
      <c r="H767" s="448">
        <f>IF($L767&gt;S$5,MAX(0,S$3+ROUND((S$9*($L767-S$5)),0)),IF($L767&gt;S$4,S$3,ROUND($L767*S$7,0)))</f>
        <v/>
      </c>
      <c r="I767" s="448">
        <f>IF($L767&gt;T$5,MAX(0,T$3+ROUND((T$9*($L767-T$5)),0)),IF($L767&gt;T$4,T$3,ROUND($L767*T$7,0)))</f>
        <v/>
      </c>
      <c r="J767" s="447">
        <f>IF($L767&gt;U$5,MAX(0,U$3+ROUND((U$9*($L767-U$5)),0)),IF($L767&gt;U$4,U$3,ROUND($L767*U$7,0)))</f>
        <v/>
      </c>
      <c r="K767" s="422" t="n"/>
      <c r="L767" s="448">
        <f>ROUND((A767+B767)/2,2)</f>
        <v/>
      </c>
    </row>
    <row r="768" ht="13.5" customHeight="1" s="7635">
      <c r="A768" s="448" t="n">
        <v>38150</v>
      </c>
      <c r="B768" s="447" t="n">
        <v>38200</v>
      </c>
      <c r="C768" s="1378">
        <f>IF($L768&gt;N$5,MAX(0,N$3+ROUND((N$9*($L768-N$5)),0)),IF($L768&gt;N$4,N$3,ROUND($L768*N$7,0)))</f>
        <v/>
      </c>
      <c r="D768" s="448">
        <f>IF($L768&gt;O$5,MAX(0,O$3+ROUND((O$9*($L768-O$5)),0)),IF($L768&gt;O$4,O$3,ROUND($L768*O$7,0)))</f>
        <v/>
      </c>
      <c r="E768" s="448">
        <f>IF($L768&gt;P$5,MAX(0,P$3+ROUND((P$9*($L768-P$5)),0)),IF($L768&gt;P$4,P$3,ROUND($L768*P$7,0)))</f>
        <v/>
      </c>
      <c r="F768" s="447">
        <f>IF($L768&gt;Q$5,MAX(0,Q$3+ROUND((Q$9*($L768-Q$5)),0)),IF($L768&gt;Q$4,Q$3,ROUND($L768*Q$7,0)))</f>
        <v/>
      </c>
      <c r="G768" s="1378">
        <f>IF($L768&gt;R$5,MAX(0,R$3+ROUND((R$9*($L768-R$5)),0)),IF($L768&gt;R$4,R$3,ROUND($L768*R$7,0)))</f>
        <v/>
      </c>
      <c r="H768" s="448">
        <f>IF($L768&gt;S$5,MAX(0,S$3+ROUND((S$9*($L768-S$5)),0)),IF($L768&gt;S$4,S$3,ROUND($L768*S$7,0)))</f>
        <v/>
      </c>
      <c r="I768" s="448">
        <f>IF($L768&gt;T$5,MAX(0,T$3+ROUND((T$9*($L768-T$5)),0)),IF($L768&gt;T$4,T$3,ROUND($L768*T$7,0)))</f>
        <v/>
      </c>
      <c r="J768" s="447">
        <f>IF($L768&gt;U$5,MAX(0,U$3+ROUND((U$9*($L768-U$5)),0)),IF($L768&gt;U$4,U$3,ROUND($L768*U$7,0)))</f>
        <v/>
      </c>
      <c r="K768" s="422" t="n"/>
      <c r="L768" s="448">
        <f>ROUND((A768+B768)/2,2)</f>
        <v/>
      </c>
    </row>
    <row r="769" ht="13.5" customHeight="1" s="7635">
      <c r="A769" s="448" t="n">
        <v>38200</v>
      </c>
      <c r="B769" s="447" t="n">
        <v>38250</v>
      </c>
      <c r="C769" s="1378">
        <f>IF($L769&gt;N$5,MAX(0,N$3+ROUND((N$9*($L769-N$5)),0)),IF($L769&gt;N$4,N$3,ROUND($L769*N$7,0)))</f>
        <v/>
      </c>
      <c r="D769" s="448">
        <f>IF($L769&gt;O$5,MAX(0,O$3+ROUND((O$9*($L769-O$5)),0)),IF($L769&gt;O$4,O$3,ROUND($L769*O$7,0)))</f>
        <v/>
      </c>
      <c r="E769" s="448">
        <f>IF($L769&gt;P$5,MAX(0,P$3+ROUND((P$9*($L769-P$5)),0)),IF($L769&gt;P$4,P$3,ROUND($L769*P$7,0)))</f>
        <v/>
      </c>
      <c r="F769" s="447">
        <f>IF($L769&gt;Q$5,MAX(0,Q$3+ROUND((Q$9*($L769-Q$5)),0)),IF($L769&gt;Q$4,Q$3,ROUND($L769*Q$7,0)))</f>
        <v/>
      </c>
      <c r="G769" s="1378">
        <f>IF($L769&gt;R$5,MAX(0,R$3+ROUND((R$9*($L769-R$5)),0)),IF($L769&gt;R$4,R$3,ROUND($L769*R$7,0)))</f>
        <v/>
      </c>
      <c r="H769" s="448">
        <f>IF($L769&gt;S$5,MAX(0,S$3+ROUND((S$9*($L769-S$5)),0)),IF($L769&gt;S$4,S$3,ROUND($L769*S$7,0)))</f>
        <v/>
      </c>
      <c r="I769" s="448">
        <f>IF($L769&gt;T$5,MAX(0,T$3+ROUND((T$9*($L769-T$5)),0)),IF($L769&gt;T$4,T$3,ROUND($L769*T$7,0)))</f>
        <v/>
      </c>
      <c r="J769" s="447">
        <f>IF($L769&gt;U$5,MAX(0,U$3+ROUND((U$9*($L769-U$5)),0)),IF($L769&gt;U$4,U$3,ROUND($L769*U$7,0)))</f>
        <v/>
      </c>
      <c r="K769" s="422" t="n"/>
      <c r="L769" s="448">
        <f>ROUND((A769+B769)/2,2)</f>
        <v/>
      </c>
    </row>
    <row r="770" ht="13.5" customHeight="1" s="7635">
      <c r="A770" s="448" t="n">
        <v>38250</v>
      </c>
      <c r="B770" s="447" t="n">
        <v>38300</v>
      </c>
      <c r="C770" s="1378">
        <f>IF($L770&gt;N$5,MAX(0,N$3+ROUND((N$9*($L770-N$5)),0)),IF($L770&gt;N$4,N$3,ROUND($L770*N$7,0)))</f>
        <v/>
      </c>
      <c r="D770" s="448">
        <f>IF($L770&gt;O$5,MAX(0,O$3+ROUND((O$9*($L770-O$5)),0)),IF($L770&gt;O$4,O$3,ROUND($L770*O$7,0)))</f>
        <v/>
      </c>
      <c r="E770" s="448">
        <f>IF($L770&gt;P$5,MAX(0,P$3+ROUND((P$9*($L770-P$5)),0)),IF($L770&gt;P$4,P$3,ROUND($L770*P$7,0)))</f>
        <v/>
      </c>
      <c r="F770" s="447">
        <f>IF($L770&gt;Q$5,MAX(0,Q$3+ROUND((Q$9*($L770-Q$5)),0)),IF($L770&gt;Q$4,Q$3,ROUND($L770*Q$7,0)))</f>
        <v/>
      </c>
      <c r="G770" s="1378">
        <f>IF($L770&gt;R$5,MAX(0,R$3+ROUND((R$9*($L770-R$5)),0)),IF($L770&gt;R$4,R$3,ROUND($L770*R$7,0)))</f>
        <v/>
      </c>
      <c r="H770" s="448">
        <f>IF($L770&gt;S$5,MAX(0,S$3+ROUND((S$9*($L770-S$5)),0)),IF($L770&gt;S$4,S$3,ROUND($L770*S$7,0)))</f>
        <v/>
      </c>
      <c r="I770" s="448">
        <f>IF($L770&gt;T$5,MAX(0,T$3+ROUND((T$9*($L770-T$5)),0)),IF($L770&gt;T$4,T$3,ROUND($L770*T$7,0)))</f>
        <v/>
      </c>
      <c r="J770" s="447">
        <f>IF($L770&gt;U$5,MAX(0,U$3+ROUND((U$9*($L770-U$5)),0)),IF($L770&gt;U$4,U$3,ROUND($L770*U$7,0)))</f>
        <v/>
      </c>
      <c r="K770" s="422" t="n"/>
      <c r="L770" s="448">
        <f>ROUND((A770+B770)/2,2)</f>
        <v/>
      </c>
    </row>
    <row r="771" ht="13.5" customHeight="1" s="7635">
      <c r="A771" s="448" t="n">
        <v>38300</v>
      </c>
      <c r="B771" s="447" t="n">
        <v>38350</v>
      </c>
      <c r="C771" s="1378">
        <f>IF($L771&gt;N$5,MAX(0,N$3+ROUND((N$9*($L771-N$5)),0)),IF($L771&gt;N$4,N$3,ROUND($L771*N$7,0)))</f>
        <v/>
      </c>
      <c r="D771" s="448">
        <f>IF($L771&gt;O$5,MAX(0,O$3+ROUND((O$9*($L771-O$5)),0)),IF($L771&gt;O$4,O$3,ROUND($L771*O$7,0)))</f>
        <v/>
      </c>
      <c r="E771" s="448">
        <f>IF($L771&gt;P$5,MAX(0,P$3+ROUND((P$9*($L771-P$5)),0)),IF($L771&gt;P$4,P$3,ROUND($L771*P$7,0)))</f>
        <v/>
      </c>
      <c r="F771" s="447">
        <f>IF($L771&gt;Q$5,MAX(0,Q$3+ROUND((Q$9*($L771-Q$5)),0)),IF($L771&gt;Q$4,Q$3,ROUND($L771*Q$7,0)))</f>
        <v/>
      </c>
      <c r="G771" s="1378">
        <f>IF($L771&gt;R$5,MAX(0,R$3+ROUND((R$9*($L771-R$5)),0)),IF($L771&gt;R$4,R$3,ROUND($L771*R$7,0)))</f>
        <v/>
      </c>
      <c r="H771" s="448">
        <f>IF($L771&gt;S$5,MAX(0,S$3+ROUND((S$9*($L771-S$5)),0)),IF($L771&gt;S$4,S$3,ROUND($L771*S$7,0)))</f>
        <v/>
      </c>
      <c r="I771" s="448">
        <f>IF($L771&gt;T$5,MAX(0,T$3+ROUND((T$9*($L771-T$5)),0)),IF($L771&gt;T$4,T$3,ROUND($L771*T$7,0)))</f>
        <v/>
      </c>
      <c r="J771" s="447">
        <f>IF($L771&gt;U$5,MAX(0,U$3+ROUND((U$9*($L771-U$5)),0)),IF($L771&gt;U$4,U$3,ROUND($L771*U$7,0)))</f>
        <v/>
      </c>
      <c r="K771" s="422" t="n"/>
      <c r="L771" s="448">
        <f>ROUND((A771+B771)/2,2)</f>
        <v/>
      </c>
    </row>
    <row r="772" ht="13.5" customHeight="1" s="7635">
      <c r="A772" s="448" t="n">
        <v>38350</v>
      </c>
      <c r="B772" s="447" t="n">
        <v>38400</v>
      </c>
      <c r="C772" s="1378">
        <f>IF($L772&gt;N$5,MAX(0,N$3+ROUND((N$9*($L772-N$5)),0)),IF($L772&gt;N$4,N$3,ROUND($L772*N$7,0)))</f>
        <v/>
      </c>
      <c r="D772" s="448">
        <f>IF($L772&gt;O$5,MAX(0,O$3+ROUND((O$9*($L772-O$5)),0)),IF($L772&gt;O$4,O$3,ROUND($L772*O$7,0)))</f>
        <v/>
      </c>
      <c r="E772" s="448">
        <f>IF($L772&gt;P$5,MAX(0,P$3+ROUND((P$9*($L772-P$5)),0)),IF($L772&gt;P$4,P$3,ROUND($L772*P$7,0)))</f>
        <v/>
      </c>
      <c r="F772" s="447">
        <f>IF($L772&gt;Q$5,MAX(0,Q$3+ROUND((Q$9*($L772-Q$5)),0)),IF($L772&gt;Q$4,Q$3,ROUND($L772*Q$7,0)))</f>
        <v/>
      </c>
      <c r="G772" s="1378">
        <f>IF($L772&gt;R$5,MAX(0,R$3+ROUND((R$9*($L772-R$5)),0)),IF($L772&gt;R$4,R$3,ROUND($L772*R$7,0)))</f>
        <v/>
      </c>
      <c r="H772" s="448">
        <f>IF($L772&gt;S$5,MAX(0,S$3+ROUND((S$9*($L772-S$5)),0)),IF($L772&gt;S$4,S$3,ROUND($L772*S$7,0)))</f>
        <v/>
      </c>
      <c r="I772" s="448">
        <f>IF($L772&gt;T$5,MAX(0,T$3+ROUND((T$9*($L772-T$5)),0)),IF($L772&gt;T$4,T$3,ROUND($L772*T$7,0)))</f>
        <v/>
      </c>
      <c r="J772" s="447">
        <f>IF($L772&gt;U$5,MAX(0,U$3+ROUND((U$9*($L772-U$5)),0)),IF($L772&gt;U$4,U$3,ROUND($L772*U$7,0)))</f>
        <v/>
      </c>
      <c r="K772" s="422" t="n"/>
      <c r="L772" s="448">
        <f>ROUND((A772+B772)/2,2)</f>
        <v/>
      </c>
    </row>
    <row r="773" ht="13.5" customHeight="1" s="7635">
      <c r="A773" s="448" t="n">
        <v>38400</v>
      </c>
      <c r="B773" s="447" t="n">
        <v>38450</v>
      </c>
      <c r="C773" s="1378">
        <f>IF($L773&gt;N$5,MAX(0,N$3+ROUND((N$9*($L773-N$5)),0)),IF($L773&gt;N$4,N$3,ROUND($L773*N$7,0)))</f>
        <v/>
      </c>
      <c r="D773" s="448">
        <f>IF($L773&gt;O$5,MAX(0,O$3+ROUND((O$9*($L773-O$5)),0)),IF($L773&gt;O$4,O$3,ROUND($L773*O$7,0)))</f>
        <v/>
      </c>
      <c r="E773" s="448">
        <f>IF($L773&gt;P$5,MAX(0,P$3+ROUND((P$9*($L773-P$5)),0)),IF($L773&gt;P$4,P$3,ROUND($L773*P$7,0)))</f>
        <v/>
      </c>
      <c r="F773" s="447">
        <f>IF($L773&gt;Q$5,MAX(0,Q$3+ROUND((Q$9*($L773-Q$5)),0)),IF($L773&gt;Q$4,Q$3,ROUND($L773*Q$7,0)))</f>
        <v/>
      </c>
      <c r="G773" s="1378">
        <f>IF($L773&gt;R$5,MAX(0,R$3+ROUND((R$9*($L773-R$5)),0)),IF($L773&gt;R$4,R$3,ROUND($L773*R$7,0)))</f>
        <v/>
      </c>
      <c r="H773" s="448">
        <f>IF($L773&gt;S$5,MAX(0,S$3+ROUND((S$9*($L773-S$5)),0)),IF($L773&gt;S$4,S$3,ROUND($L773*S$7,0)))</f>
        <v/>
      </c>
      <c r="I773" s="448">
        <f>IF($L773&gt;T$5,MAX(0,T$3+ROUND((T$9*($L773-T$5)),0)),IF($L773&gt;T$4,T$3,ROUND($L773*T$7,0)))</f>
        <v/>
      </c>
      <c r="J773" s="447">
        <f>IF($L773&gt;U$5,MAX(0,U$3+ROUND((U$9*($L773-U$5)),0)),IF($L773&gt;U$4,U$3,ROUND($L773*U$7,0)))</f>
        <v/>
      </c>
      <c r="K773" s="422" t="n"/>
      <c r="L773" s="448">
        <f>ROUND((A773+B773)/2,2)</f>
        <v/>
      </c>
    </row>
    <row r="774" ht="13.5" customHeight="1" s="7635">
      <c r="A774" s="448" t="n">
        <v>38450</v>
      </c>
      <c r="B774" s="447" t="n">
        <v>38500</v>
      </c>
      <c r="C774" s="1378">
        <f>IF($L774&gt;N$5,MAX(0,N$3+ROUND((N$9*($L774-N$5)),0)),IF($L774&gt;N$4,N$3,ROUND($L774*N$7,0)))</f>
        <v/>
      </c>
      <c r="D774" s="448">
        <f>IF($L774&gt;O$5,MAX(0,O$3+ROUND((O$9*($L774-O$5)),0)),IF($L774&gt;O$4,O$3,ROUND($L774*O$7,0)))</f>
        <v/>
      </c>
      <c r="E774" s="448">
        <f>IF($L774&gt;P$5,MAX(0,P$3+ROUND((P$9*($L774-P$5)),0)),IF($L774&gt;P$4,P$3,ROUND($L774*P$7,0)))</f>
        <v/>
      </c>
      <c r="F774" s="447">
        <f>IF($L774&gt;Q$5,MAX(0,Q$3+ROUND((Q$9*($L774-Q$5)),0)),IF($L774&gt;Q$4,Q$3,ROUND($L774*Q$7,0)))</f>
        <v/>
      </c>
      <c r="G774" s="1378">
        <f>IF($L774&gt;R$5,MAX(0,R$3+ROUND((R$9*($L774-R$5)),0)),IF($L774&gt;R$4,R$3,ROUND($L774*R$7,0)))</f>
        <v/>
      </c>
      <c r="H774" s="448">
        <f>IF($L774&gt;S$5,MAX(0,S$3+ROUND((S$9*($L774-S$5)),0)),IF($L774&gt;S$4,S$3,ROUND($L774*S$7,0)))</f>
        <v/>
      </c>
      <c r="I774" s="448">
        <f>IF($L774&gt;T$5,MAX(0,T$3+ROUND((T$9*($L774-T$5)),0)),IF($L774&gt;T$4,T$3,ROUND($L774*T$7,0)))</f>
        <v/>
      </c>
      <c r="J774" s="447">
        <f>IF($L774&gt;U$5,MAX(0,U$3+ROUND((U$9*($L774-U$5)),0)),IF($L774&gt;U$4,U$3,ROUND($L774*U$7,0)))</f>
        <v/>
      </c>
      <c r="K774" s="422" t="n"/>
      <c r="L774" s="448">
        <f>ROUND((A774+B774)/2,2)</f>
        <v/>
      </c>
    </row>
    <row r="775" ht="13.5" customHeight="1" s="7635">
      <c r="A775" s="448" t="n">
        <v>38500</v>
      </c>
      <c r="B775" s="447" t="n">
        <v>38550</v>
      </c>
      <c r="C775" s="1378">
        <f>IF($L775&gt;N$5,MAX(0,N$3+ROUND((N$9*($L775-N$5)),0)),IF($L775&gt;N$4,N$3,ROUND($L775*N$7,0)))</f>
        <v/>
      </c>
      <c r="D775" s="448">
        <f>IF($L775&gt;O$5,MAX(0,O$3+ROUND((O$9*($L775-O$5)),0)),IF($L775&gt;O$4,O$3,ROUND($L775*O$7,0)))</f>
        <v/>
      </c>
      <c r="E775" s="448">
        <f>IF($L775&gt;P$5,MAX(0,P$3+ROUND((P$9*($L775-P$5)),0)),IF($L775&gt;P$4,P$3,ROUND($L775*P$7,0)))</f>
        <v/>
      </c>
      <c r="F775" s="447">
        <f>IF($L775&gt;Q$5,MAX(0,Q$3+ROUND((Q$9*($L775-Q$5)),0)),IF($L775&gt;Q$4,Q$3,ROUND($L775*Q$7,0)))</f>
        <v/>
      </c>
      <c r="G775" s="1378">
        <f>IF($L775&gt;R$5,MAX(0,R$3+ROUND((R$9*($L775-R$5)),0)),IF($L775&gt;R$4,R$3,ROUND($L775*R$7,0)))</f>
        <v/>
      </c>
      <c r="H775" s="448">
        <f>IF($L775&gt;S$5,MAX(0,S$3+ROUND((S$9*($L775-S$5)),0)),IF($L775&gt;S$4,S$3,ROUND($L775*S$7,0)))</f>
        <v/>
      </c>
      <c r="I775" s="448">
        <f>IF($L775&gt;T$5,MAX(0,T$3+ROUND((T$9*($L775-T$5)),0)),IF($L775&gt;T$4,T$3,ROUND($L775*T$7,0)))</f>
        <v/>
      </c>
      <c r="J775" s="447">
        <f>IF($L775&gt;U$5,MAX(0,U$3+ROUND((U$9*($L775-U$5)),0)),IF($L775&gt;U$4,U$3,ROUND($L775*U$7,0)))</f>
        <v/>
      </c>
      <c r="K775" s="422" t="n"/>
      <c r="L775" s="448">
        <f>ROUND((A775+B775)/2,2)</f>
        <v/>
      </c>
    </row>
    <row r="776" ht="13.5" customHeight="1" s="7635">
      <c r="A776" s="448" t="n">
        <v>38550</v>
      </c>
      <c r="B776" s="447" t="n">
        <v>38600</v>
      </c>
      <c r="C776" s="1378">
        <f>IF($L776&gt;N$5,MAX(0,N$3+ROUND((N$9*($L776-N$5)),0)),IF($L776&gt;N$4,N$3,ROUND($L776*N$7,0)))</f>
        <v/>
      </c>
      <c r="D776" s="448">
        <f>IF($L776&gt;O$5,MAX(0,O$3+ROUND((O$9*($L776-O$5)),0)),IF($L776&gt;O$4,O$3,ROUND($L776*O$7,0)))</f>
        <v/>
      </c>
      <c r="E776" s="448">
        <f>IF($L776&gt;P$5,MAX(0,P$3+ROUND((P$9*($L776-P$5)),0)),IF($L776&gt;P$4,P$3,ROUND($L776*P$7,0)))</f>
        <v/>
      </c>
      <c r="F776" s="447">
        <f>IF($L776&gt;Q$5,MAX(0,Q$3+ROUND((Q$9*($L776-Q$5)),0)),IF($L776&gt;Q$4,Q$3,ROUND($L776*Q$7,0)))</f>
        <v/>
      </c>
      <c r="G776" s="1378">
        <f>IF($L776&gt;R$5,MAX(0,R$3+ROUND((R$9*($L776-R$5)),0)),IF($L776&gt;R$4,R$3,ROUND($L776*R$7,0)))</f>
        <v/>
      </c>
      <c r="H776" s="448">
        <f>IF($L776&gt;S$5,MAX(0,S$3+ROUND((S$9*($L776-S$5)),0)),IF($L776&gt;S$4,S$3,ROUND($L776*S$7,0)))</f>
        <v/>
      </c>
      <c r="I776" s="448">
        <f>IF($L776&gt;T$5,MAX(0,T$3+ROUND((T$9*($L776-T$5)),0)),IF($L776&gt;T$4,T$3,ROUND($L776*T$7,0)))</f>
        <v/>
      </c>
      <c r="J776" s="447">
        <f>IF($L776&gt;U$5,MAX(0,U$3+ROUND((U$9*($L776-U$5)),0)),IF($L776&gt;U$4,U$3,ROUND($L776*U$7,0)))</f>
        <v/>
      </c>
      <c r="K776" s="422" t="n"/>
      <c r="L776" s="448">
        <f>ROUND((A776+B776)/2,2)</f>
        <v/>
      </c>
    </row>
    <row r="777" ht="13.5" customHeight="1" s="7635">
      <c r="A777" s="448" t="n">
        <v>38600</v>
      </c>
      <c r="B777" s="447" t="n">
        <v>38650</v>
      </c>
      <c r="C777" s="1378">
        <f>IF($L777&gt;N$5,MAX(0,N$3+ROUND((N$9*($L777-N$5)),0)),IF($L777&gt;N$4,N$3,ROUND($L777*N$7,0)))</f>
        <v/>
      </c>
      <c r="D777" s="448">
        <f>IF($L777&gt;O$5,MAX(0,O$3+ROUND((O$9*($L777-O$5)),0)),IF($L777&gt;O$4,O$3,ROUND($L777*O$7,0)))</f>
        <v/>
      </c>
      <c r="E777" s="448">
        <f>IF($L777&gt;P$5,MAX(0,P$3+ROUND((P$9*($L777-P$5)),0)),IF($L777&gt;P$4,P$3,ROUND($L777*P$7,0)))</f>
        <v/>
      </c>
      <c r="F777" s="447">
        <f>IF($L777&gt;Q$5,MAX(0,Q$3+ROUND((Q$9*($L777-Q$5)),0)),IF($L777&gt;Q$4,Q$3,ROUND($L777*Q$7,0)))</f>
        <v/>
      </c>
      <c r="G777" s="1378">
        <f>IF($L777&gt;R$5,MAX(0,R$3+ROUND((R$9*($L777-R$5)),0)),IF($L777&gt;R$4,R$3,ROUND($L777*R$7,0)))</f>
        <v/>
      </c>
      <c r="H777" s="448">
        <f>IF($L777&gt;S$5,MAX(0,S$3+ROUND((S$9*($L777-S$5)),0)),IF($L777&gt;S$4,S$3,ROUND($L777*S$7,0)))</f>
        <v/>
      </c>
      <c r="I777" s="448">
        <f>IF($L777&gt;T$5,MAX(0,T$3+ROUND((T$9*($L777-T$5)),0)),IF($L777&gt;T$4,T$3,ROUND($L777*T$7,0)))</f>
        <v/>
      </c>
      <c r="J777" s="447">
        <f>IF($L777&gt;U$5,MAX(0,U$3+ROUND((U$9*($L777-U$5)),0)),IF($L777&gt;U$4,U$3,ROUND($L777*U$7,0)))</f>
        <v/>
      </c>
      <c r="K777" s="422" t="n"/>
      <c r="L777" s="448">
        <f>ROUND((A777+B777)/2,2)</f>
        <v/>
      </c>
    </row>
    <row r="778" ht="13.5" customHeight="1" s="7635">
      <c r="A778" s="448" t="n">
        <v>38650</v>
      </c>
      <c r="B778" s="447" t="n">
        <v>38700</v>
      </c>
      <c r="C778" s="1378">
        <f>IF($L778&gt;N$5,MAX(0,N$3+ROUND((N$9*($L778-N$5)),0)),IF($L778&gt;N$4,N$3,ROUND($L778*N$7,0)))</f>
        <v/>
      </c>
      <c r="D778" s="448">
        <f>IF($L778&gt;O$5,MAX(0,O$3+ROUND((O$9*($L778-O$5)),0)),IF($L778&gt;O$4,O$3,ROUND($L778*O$7,0)))</f>
        <v/>
      </c>
      <c r="E778" s="448">
        <f>IF($L778&gt;P$5,MAX(0,P$3+ROUND((P$9*($L778-P$5)),0)),IF($L778&gt;P$4,P$3,ROUND($L778*P$7,0)))</f>
        <v/>
      </c>
      <c r="F778" s="447">
        <f>IF($L778&gt;Q$5,MAX(0,Q$3+ROUND((Q$9*($L778-Q$5)),0)),IF($L778&gt;Q$4,Q$3,ROUND($L778*Q$7,0)))</f>
        <v/>
      </c>
      <c r="G778" s="1378">
        <f>IF($L778&gt;R$5,MAX(0,R$3+ROUND((R$9*($L778-R$5)),0)),IF($L778&gt;R$4,R$3,ROUND($L778*R$7,0)))</f>
        <v/>
      </c>
      <c r="H778" s="448">
        <f>IF($L778&gt;S$5,MAX(0,S$3+ROUND((S$9*($L778-S$5)),0)),IF($L778&gt;S$4,S$3,ROUND($L778*S$7,0)))</f>
        <v/>
      </c>
      <c r="I778" s="448">
        <f>IF($L778&gt;T$5,MAX(0,T$3+ROUND((T$9*($L778-T$5)),0)),IF($L778&gt;T$4,T$3,ROUND($L778*T$7,0)))</f>
        <v/>
      </c>
      <c r="J778" s="447">
        <f>IF($L778&gt;U$5,MAX(0,U$3+ROUND((U$9*($L778-U$5)),0)),IF($L778&gt;U$4,U$3,ROUND($L778*U$7,0)))</f>
        <v/>
      </c>
      <c r="K778" s="422" t="n"/>
      <c r="L778" s="448">
        <f>ROUND((A778+B778)/2,2)</f>
        <v/>
      </c>
    </row>
    <row r="779" ht="13.5" customHeight="1" s="7635">
      <c r="A779" s="448" t="n">
        <v>38700</v>
      </c>
      <c r="B779" s="447" t="n">
        <v>38750</v>
      </c>
      <c r="C779" s="1378">
        <f>IF($L779&gt;N$5,MAX(0,N$3+ROUND((N$9*($L779-N$5)),0)),IF($L779&gt;N$4,N$3,ROUND($L779*N$7,0)))</f>
        <v/>
      </c>
      <c r="D779" s="448">
        <f>IF($L779&gt;O$5,MAX(0,O$3+ROUND((O$9*($L779-O$5)),0)),IF($L779&gt;O$4,O$3,ROUND($L779*O$7,0)))</f>
        <v/>
      </c>
      <c r="E779" s="448">
        <f>IF($L779&gt;P$5,MAX(0,P$3+ROUND((P$9*($L779-P$5)),0)),IF($L779&gt;P$4,P$3,ROUND($L779*P$7,0)))</f>
        <v/>
      </c>
      <c r="F779" s="447">
        <f>IF($L779&gt;Q$5,MAX(0,Q$3+ROUND((Q$9*($L779-Q$5)),0)),IF($L779&gt;Q$4,Q$3,ROUND($L779*Q$7,0)))</f>
        <v/>
      </c>
      <c r="G779" s="1378">
        <f>IF($L779&gt;R$5,MAX(0,R$3+ROUND((R$9*($L779-R$5)),0)),IF($L779&gt;R$4,R$3,ROUND($L779*R$7,0)))</f>
        <v/>
      </c>
      <c r="H779" s="448">
        <f>IF($L779&gt;S$5,MAX(0,S$3+ROUND((S$9*($L779-S$5)),0)),IF($L779&gt;S$4,S$3,ROUND($L779*S$7,0)))</f>
        <v/>
      </c>
      <c r="I779" s="448">
        <f>IF($L779&gt;T$5,MAX(0,T$3+ROUND((T$9*($L779-T$5)),0)),IF($L779&gt;T$4,T$3,ROUND($L779*T$7,0)))</f>
        <v/>
      </c>
      <c r="J779" s="447">
        <f>IF($L779&gt;U$5,MAX(0,U$3+ROUND((U$9*($L779-U$5)),0)),IF($L779&gt;U$4,U$3,ROUND($L779*U$7,0)))</f>
        <v/>
      </c>
      <c r="K779" s="422" t="n"/>
      <c r="L779" s="448">
        <f>ROUND((A779+B779)/2,2)</f>
        <v/>
      </c>
    </row>
    <row r="780" ht="13.5" customHeight="1" s="7635">
      <c r="A780" s="448" t="n">
        <v>38750</v>
      </c>
      <c r="B780" s="447" t="n">
        <v>38800</v>
      </c>
      <c r="C780" s="1378">
        <f>IF($L780&gt;N$5,MAX(0,N$3+ROUND((N$9*($L780-N$5)),0)),IF($L780&gt;N$4,N$3,ROUND($L780*N$7,0)))</f>
        <v/>
      </c>
      <c r="D780" s="448">
        <f>IF($L780&gt;O$5,MAX(0,O$3+ROUND((O$9*($L780-O$5)),0)),IF($L780&gt;O$4,O$3,ROUND($L780*O$7,0)))</f>
        <v/>
      </c>
      <c r="E780" s="448">
        <f>IF($L780&gt;P$5,MAX(0,P$3+ROUND((P$9*($L780-P$5)),0)),IF($L780&gt;P$4,P$3,ROUND($L780*P$7,0)))</f>
        <v/>
      </c>
      <c r="F780" s="447">
        <f>IF($L780&gt;Q$5,MAX(0,Q$3+ROUND((Q$9*($L780-Q$5)),0)),IF($L780&gt;Q$4,Q$3,ROUND($L780*Q$7,0)))</f>
        <v/>
      </c>
      <c r="G780" s="1378">
        <f>IF($L780&gt;R$5,MAX(0,R$3+ROUND((R$9*($L780-R$5)),0)),IF($L780&gt;R$4,R$3,ROUND($L780*R$7,0)))</f>
        <v/>
      </c>
      <c r="H780" s="448">
        <f>IF($L780&gt;S$5,MAX(0,S$3+ROUND((S$9*($L780-S$5)),0)),IF($L780&gt;S$4,S$3,ROUND($L780*S$7,0)))</f>
        <v/>
      </c>
      <c r="I780" s="448">
        <f>IF($L780&gt;T$5,MAX(0,T$3+ROUND((T$9*($L780-T$5)),0)),IF($L780&gt;T$4,T$3,ROUND($L780*T$7,0)))</f>
        <v/>
      </c>
      <c r="J780" s="447">
        <f>IF($L780&gt;U$5,MAX(0,U$3+ROUND((U$9*($L780-U$5)),0)),IF($L780&gt;U$4,U$3,ROUND($L780*U$7,0)))</f>
        <v/>
      </c>
      <c r="K780" s="422" t="n"/>
      <c r="L780" s="448">
        <f>ROUND((A780+B780)/2,2)</f>
        <v/>
      </c>
    </row>
    <row r="781" ht="13.5" customHeight="1" s="7635">
      <c r="A781" s="448" t="n">
        <v>38800</v>
      </c>
      <c r="B781" s="447" t="n">
        <v>38850</v>
      </c>
      <c r="C781" s="1378">
        <f>IF($L781&gt;N$5,MAX(0,N$3+ROUND((N$9*($L781-N$5)),0)),IF($L781&gt;N$4,N$3,ROUND($L781*N$7,0)))</f>
        <v/>
      </c>
      <c r="D781" s="448">
        <f>IF($L781&gt;O$5,MAX(0,O$3+ROUND((O$9*($L781-O$5)),0)),IF($L781&gt;O$4,O$3,ROUND($L781*O$7,0)))</f>
        <v/>
      </c>
      <c r="E781" s="448">
        <f>IF($L781&gt;P$5,MAX(0,P$3+ROUND((P$9*($L781-P$5)),0)),IF($L781&gt;P$4,P$3,ROUND($L781*P$7,0)))</f>
        <v/>
      </c>
      <c r="F781" s="447">
        <f>IF($L781&gt;Q$5,MAX(0,Q$3+ROUND((Q$9*($L781-Q$5)),0)),IF($L781&gt;Q$4,Q$3,ROUND($L781*Q$7,0)))</f>
        <v/>
      </c>
      <c r="G781" s="1378">
        <f>IF($L781&gt;R$5,MAX(0,R$3+ROUND((R$9*($L781-R$5)),0)),IF($L781&gt;R$4,R$3,ROUND($L781*R$7,0)))</f>
        <v/>
      </c>
      <c r="H781" s="448">
        <f>IF($L781&gt;S$5,MAX(0,S$3+ROUND((S$9*($L781-S$5)),0)),IF($L781&gt;S$4,S$3,ROUND($L781*S$7,0)))</f>
        <v/>
      </c>
      <c r="I781" s="448">
        <f>IF($L781&gt;T$5,MAX(0,T$3+ROUND((T$9*($L781-T$5)),0)),IF($L781&gt;T$4,T$3,ROUND($L781*T$7,0)))</f>
        <v/>
      </c>
      <c r="J781" s="447">
        <f>IF($L781&gt;U$5,MAX(0,U$3+ROUND((U$9*($L781-U$5)),0)),IF($L781&gt;U$4,U$3,ROUND($L781*U$7,0)))</f>
        <v/>
      </c>
      <c r="K781" s="422" t="n"/>
      <c r="L781" s="448">
        <f>ROUND((A781+B781)/2,2)</f>
        <v/>
      </c>
    </row>
    <row r="782" ht="13.5" customHeight="1" s="7635">
      <c r="A782" s="448" t="n">
        <v>38850</v>
      </c>
      <c r="B782" s="447" t="n">
        <v>38900</v>
      </c>
      <c r="C782" s="1378">
        <f>IF($L782&gt;N$5,MAX(0,N$3+ROUND((N$9*($L782-N$5)),0)),IF($L782&gt;N$4,N$3,ROUND($L782*N$7,0)))</f>
        <v/>
      </c>
      <c r="D782" s="448">
        <f>IF($L782&gt;O$5,MAX(0,O$3+ROUND((O$9*($L782-O$5)),0)),IF($L782&gt;O$4,O$3,ROUND($L782*O$7,0)))</f>
        <v/>
      </c>
      <c r="E782" s="448">
        <f>IF($L782&gt;P$5,MAX(0,P$3+ROUND((P$9*($L782-P$5)),0)),IF($L782&gt;P$4,P$3,ROUND($L782*P$7,0)))</f>
        <v/>
      </c>
      <c r="F782" s="447">
        <f>IF($L782&gt;Q$5,MAX(0,Q$3+ROUND((Q$9*($L782-Q$5)),0)),IF($L782&gt;Q$4,Q$3,ROUND($L782*Q$7,0)))</f>
        <v/>
      </c>
      <c r="G782" s="1378">
        <f>IF($L782&gt;R$5,MAX(0,R$3+ROUND((R$9*($L782-R$5)),0)),IF($L782&gt;R$4,R$3,ROUND($L782*R$7,0)))</f>
        <v/>
      </c>
      <c r="H782" s="448">
        <f>IF($L782&gt;S$5,MAX(0,S$3+ROUND((S$9*($L782-S$5)),0)),IF($L782&gt;S$4,S$3,ROUND($L782*S$7,0)))</f>
        <v/>
      </c>
      <c r="I782" s="448">
        <f>IF($L782&gt;T$5,MAX(0,T$3+ROUND((T$9*($L782-T$5)),0)),IF($L782&gt;T$4,T$3,ROUND($L782*T$7,0)))</f>
        <v/>
      </c>
      <c r="J782" s="447">
        <f>IF($L782&gt;U$5,MAX(0,U$3+ROUND((U$9*($L782-U$5)),0)),IF($L782&gt;U$4,U$3,ROUND($L782*U$7,0)))</f>
        <v/>
      </c>
      <c r="K782" s="422" t="n"/>
      <c r="L782" s="448">
        <f>ROUND((A782+B782)/2,2)</f>
        <v/>
      </c>
    </row>
    <row r="783" ht="13.5" customHeight="1" s="7635">
      <c r="A783" s="448" t="n">
        <v>38900</v>
      </c>
      <c r="B783" s="447" t="n">
        <v>38950</v>
      </c>
      <c r="C783" s="1378">
        <f>IF($L783&gt;N$5,MAX(0,N$3+ROUND((N$9*($L783-N$5)),0)),IF($L783&gt;N$4,N$3,ROUND($L783*N$7,0)))</f>
        <v/>
      </c>
      <c r="D783" s="448">
        <f>IF($L783&gt;O$5,MAX(0,O$3+ROUND((O$9*($L783-O$5)),0)),IF($L783&gt;O$4,O$3,ROUND($L783*O$7,0)))</f>
        <v/>
      </c>
      <c r="E783" s="448">
        <f>IF($L783&gt;P$5,MAX(0,P$3+ROUND((P$9*($L783-P$5)),0)),IF($L783&gt;P$4,P$3,ROUND($L783*P$7,0)))</f>
        <v/>
      </c>
      <c r="F783" s="447">
        <f>IF($L783&gt;Q$5,MAX(0,Q$3+ROUND((Q$9*($L783-Q$5)),0)),IF($L783&gt;Q$4,Q$3,ROUND($L783*Q$7,0)))</f>
        <v/>
      </c>
      <c r="G783" s="1378">
        <f>IF($L783&gt;R$5,MAX(0,R$3+ROUND((R$9*($L783-R$5)),0)),IF($L783&gt;R$4,R$3,ROUND($L783*R$7,0)))</f>
        <v/>
      </c>
      <c r="H783" s="448">
        <f>IF($L783&gt;S$5,MAX(0,S$3+ROUND((S$9*($L783-S$5)),0)),IF($L783&gt;S$4,S$3,ROUND($L783*S$7,0)))</f>
        <v/>
      </c>
      <c r="I783" s="448">
        <f>IF($L783&gt;T$5,MAX(0,T$3+ROUND((T$9*($L783-T$5)),0)),IF($L783&gt;T$4,T$3,ROUND($L783*T$7,0)))</f>
        <v/>
      </c>
      <c r="J783" s="447">
        <f>IF($L783&gt;U$5,MAX(0,U$3+ROUND((U$9*($L783-U$5)),0)),IF($L783&gt;U$4,U$3,ROUND($L783*U$7,0)))</f>
        <v/>
      </c>
      <c r="K783" s="422" t="n"/>
      <c r="L783" s="448">
        <f>ROUND((A783+B783)/2,2)</f>
        <v/>
      </c>
    </row>
    <row r="784" ht="13.5" customHeight="1" s="7635">
      <c r="A784" s="448" t="n">
        <v>38950</v>
      </c>
      <c r="B784" s="447" t="n">
        <v>39000</v>
      </c>
      <c r="C784" s="1378">
        <f>IF($L784&gt;N$5,MAX(0,N$3+ROUND((N$9*($L784-N$5)),0)),IF($L784&gt;N$4,N$3,ROUND($L784*N$7,0)))</f>
        <v/>
      </c>
      <c r="D784" s="448">
        <f>IF($L784&gt;O$5,MAX(0,O$3+ROUND((O$9*($L784-O$5)),0)),IF($L784&gt;O$4,O$3,ROUND($L784*O$7,0)))</f>
        <v/>
      </c>
      <c r="E784" s="448">
        <f>IF($L784&gt;P$5,MAX(0,P$3+ROUND((P$9*($L784-P$5)),0)),IF($L784&gt;P$4,P$3,ROUND($L784*P$7,0)))</f>
        <v/>
      </c>
      <c r="F784" s="447">
        <f>IF($L784&gt;Q$5,MAX(0,Q$3+ROUND((Q$9*($L784-Q$5)),0)),IF($L784&gt;Q$4,Q$3,ROUND($L784*Q$7,0)))</f>
        <v/>
      </c>
      <c r="G784" s="1378">
        <f>IF($L784&gt;R$5,MAX(0,R$3+ROUND((R$9*($L784-R$5)),0)),IF($L784&gt;R$4,R$3,ROUND($L784*R$7,0)))</f>
        <v/>
      </c>
      <c r="H784" s="448">
        <f>IF($L784&gt;S$5,MAX(0,S$3+ROUND((S$9*($L784-S$5)),0)),IF($L784&gt;S$4,S$3,ROUND($L784*S$7,0)))</f>
        <v/>
      </c>
      <c r="I784" s="448">
        <f>IF($L784&gt;T$5,MAX(0,T$3+ROUND((T$9*($L784-T$5)),0)),IF($L784&gt;T$4,T$3,ROUND($L784*T$7,0)))</f>
        <v/>
      </c>
      <c r="J784" s="447">
        <f>IF($L784&gt;U$5,MAX(0,U$3+ROUND((U$9*($L784-U$5)),0)),IF($L784&gt;U$4,U$3,ROUND($L784*U$7,0)))</f>
        <v/>
      </c>
      <c r="K784" s="422" t="n"/>
      <c r="L784" s="448">
        <f>ROUND((A784+B784)/2,2)</f>
        <v/>
      </c>
    </row>
    <row r="785" ht="13.5" customHeight="1" s="7635">
      <c r="A785" s="448" t="n">
        <v>39000</v>
      </c>
      <c r="B785" s="447" t="n">
        <v>39050</v>
      </c>
      <c r="C785" s="1378">
        <f>IF($L785&gt;N$5,MAX(0,N$3+ROUND((N$9*($L785-N$5)),0)),IF($L785&gt;N$4,N$3,ROUND($L785*N$7,0)))</f>
        <v/>
      </c>
      <c r="D785" s="448">
        <f>IF($L785&gt;O$5,MAX(0,O$3+ROUND((O$9*($L785-O$5)),0)),IF($L785&gt;O$4,O$3,ROUND($L785*O$7,0)))</f>
        <v/>
      </c>
      <c r="E785" s="448">
        <f>IF($L785&gt;P$5,MAX(0,P$3+ROUND((P$9*($L785-P$5)),0)),IF($L785&gt;P$4,P$3,ROUND($L785*P$7,0)))</f>
        <v/>
      </c>
      <c r="F785" s="447">
        <f>IF($L785&gt;Q$5,MAX(0,Q$3+ROUND((Q$9*($L785-Q$5)),0)),IF($L785&gt;Q$4,Q$3,ROUND($L785*Q$7,0)))</f>
        <v/>
      </c>
      <c r="G785" s="1378">
        <f>IF($L785&gt;R$5,MAX(0,R$3+ROUND((R$9*($L785-R$5)),0)),IF($L785&gt;R$4,R$3,ROUND($L785*R$7,0)))</f>
        <v/>
      </c>
      <c r="H785" s="448">
        <f>IF($L785&gt;S$5,MAX(0,S$3+ROUND((S$9*($L785-S$5)),0)),IF($L785&gt;S$4,S$3,ROUND($L785*S$7,0)))</f>
        <v/>
      </c>
      <c r="I785" s="448">
        <f>IF($L785&gt;T$5,MAX(0,T$3+ROUND((T$9*($L785-T$5)),0)),IF($L785&gt;T$4,T$3,ROUND($L785*T$7,0)))</f>
        <v/>
      </c>
      <c r="J785" s="447">
        <f>IF($L785&gt;U$5,MAX(0,U$3+ROUND((U$9*($L785-U$5)),0)),IF($L785&gt;U$4,U$3,ROUND($L785*U$7,0)))</f>
        <v/>
      </c>
      <c r="K785" s="422" t="n"/>
      <c r="L785" s="448">
        <f>ROUND((A785+B785)/2,2)</f>
        <v/>
      </c>
    </row>
    <row r="786" ht="13.5" customHeight="1" s="7635">
      <c r="A786" s="448" t="n">
        <v>39050</v>
      </c>
      <c r="B786" s="447" t="n">
        <v>39100</v>
      </c>
      <c r="C786" s="1378">
        <f>IF($L786&gt;N$5,MAX(0,N$3+ROUND((N$9*($L786-N$5)),0)),IF($L786&gt;N$4,N$3,ROUND($L786*N$7,0)))</f>
        <v/>
      </c>
      <c r="D786" s="448">
        <f>IF($L786&gt;O$5,MAX(0,O$3+ROUND((O$9*($L786-O$5)),0)),IF($L786&gt;O$4,O$3,ROUND($L786*O$7,0)))</f>
        <v/>
      </c>
      <c r="E786" s="448">
        <f>IF($L786&gt;P$5,MAX(0,P$3+ROUND((P$9*($L786-P$5)),0)),IF($L786&gt;P$4,P$3,ROUND($L786*P$7,0)))</f>
        <v/>
      </c>
      <c r="F786" s="447">
        <f>IF($L786&gt;Q$5,MAX(0,Q$3+ROUND((Q$9*($L786-Q$5)),0)),IF($L786&gt;Q$4,Q$3,ROUND($L786*Q$7,0)))</f>
        <v/>
      </c>
      <c r="G786" s="1378">
        <f>IF($L786&gt;R$5,MAX(0,R$3+ROUND((R$9*($L786-R$5)),0)),IF($L786&gt;R$4,R$3,ROUND($L786*R$7,0)))</f>
        <v/>
      </c>
      <c r="H786" s="448">
        <f>IF($L786&gt;S$5,MAX(0,S$3+ROUND((S$9*($L786-S$5)),0)),IF($L786&gt;S$4,S$3,ROUND($L786*S$7,0)))</f>
        <v/>
      </c>
      <c r="I786" s="448">
        <f>IF($L786&gt;T$5,MAX(0,T$3+ROUND((T$9*($L786-T$5)),0)),IF($L786&gt;T$4,T$3,ROUND($L786*T$7,0)))</f>
        <v/>
      </c>
      <c r="J786" s="447">
        <f>IF($L786&gt;U$5,MAX(0,U$3+ROUND((U$9*($L786-U$5)),0)),IF($L786&gt;U$4,U$3,ROUND($L786*U$7,0)))</f>
        <v/>
      </c>
      <c r="K786" s="422" t="n"/>
      <c r="L786" s="448">
        <f>ROUND((A786+B786)/2,2)</f>
        <v/>
      </c>
    </row>
    <row r="787" ht="13.5" customHeight="1" s="7635">
      <c r="A787" s="448" t="n">
        <v>39100</v>
      </c>
      <c r="B787" s="447" t="n">
        <v>39150</v>
      </c>
      <c r="C787" s="1378">
        <f>IF($L787&gt;N$5,MAX(0,N$3+ROUND((N$9*($L787-N$5)),0)),IF($L787&gt;N$4,N$3,ROUND($L787*N$7,0)))</f>
        <v/>
      </c>
      <c r="D787" s="448">
        <f>IF($L787&gt;O$5,MAX(0,O$3+ROUND((O$9*($L787-O$5)),0)),IF($L787&gt;O$4,O$3,ROUND($L787*O$7,0)))</f>
        <v/>
      </c>
      <c r="E787" s="448">
        <f>IF($L787&gt;P$5,MAX(0,P$3+ROUND((P$9*($L787-P$5)),0)),IF($L787&gt;P$4,P$3,ROUND($L787*P$7,0)))</f>
        <v/>
      </c>
      <c r="F787" s="447">
        <f>IF($L787&gt;Q$5,MAX(0,Q$3+ROUND((Q$9*($L787-Q$5)),0)),IF($L787&gt;Q$4,Q$3,ROUND($L787*Q$7,0)))</f>
        <v/>
      </c>
      <c r="G787" s="1378">
        <f>IF($L787&gt;R$5,MAX(0,R$3+ROUND((R$9*($L787-R$5)),0)),IF($L787&gt;R$4,R$3,ROUND($L787*R$7,0)))</f>
        <v/>
      </c>
      <c r="H787" s="448">
        <f>IF($L787&gt;S$5,MAX(0,S$3+ROUND((S$9*($L787-S$5)),0)),IF($L787&gt;S$4,S$3,ROUND($L787*S$7,0)))</f>
        <v/>
      </c>
      <c r="I787" s="448">
        <f>IF($L787&gt;T$5,MAX(0,T$3+ROUND((T$9*($L787-T$5)),0)),IF($L787&gt;T$4,T$3,ROUND($L787*T$7,0)))</f>
        <v/>
      </c>
      <c r="J787" s="447">
        <f>IF($L787&gt;U$5,MAX(0,U$3+ROUND((U$9*($L787-U$5)),0)),IF($L787&gt;U$4,U$3,ROUND($L787*U$7,0)))</f>
        <v/>
      </c>
      <c r="K787" s="422" t="n"/>
      <c r="L787" s="448">
        <f>ROUND((A787+B787)/2,2)</f>
        <v/>
      </c>
    </row>
    <row r="788" ht="13.5" customHeight="1" s="7635">
      <c r="A788" s="448" t="n">
        <v>39150</v>
      </c>
      <c r="B788" s="447" t="n">
        <v>39200</v>
      </c>
      <c r="C788" s="1378">
        <f>IF($L788&gt;N$5,MAX(0,N$3+ROUND((N$9*($L788-N$5)),0)),IF($L788&gt;N$4,N$3,ROUND($L788*N$7,0)))</f>
        <v/>
      </c>
      <c r="D788" s="448">
        <f>IF($L788&gt;O$5,MAX(0,O$3+ROUND((O$9*($L788-O$5)),0)),IF($L788&gt;O$4,O$3,ROUND($L788*O$7,0)))</f>
        <v/>
      </c>
      <c r="E788" s="448">
        <f>IF($L788&gt;P$5,MAX(0,P$3+ROUND((P$9*($L788-P$5)),0)),IF($L788&gt;P$4,P$3,ROUND($L788*P$7,0)))</f>
        <v/>
      </c>
      <c r="F788" s="447">
        <f>IF($L788&gt;Q$5,MAX(0,Q$3+ROUND((Q$9*($L788-Q$5)),0)),IF($L788&gt;Q$4,Q$3,ROUND($L788*Q$7,0)))</f>
        <v/>
      </c>
      <c r="G788" s="1378">
        <f>IF($L788&gt;R$5,MAX(0,R$3+ROUND((R$9*($L788-R$5)),0)),IF($L788&gt;R$4,R$3,ROUND($L788*R$7,0)))</f>
        <v/>
      </c>
      <c r="H788" s="448">
        <f>IF($L788&gt;S$5,MAX(0,S$3+ROUND((S$9*($L788-S$5)),0)),IF($L788&gt;S$4,S$3,ROUND($L788*S$7,0)))</f>
        <v/>
      </c>
      <c r="I788" s="448">
        <f>IF($L788&gt;T$5,MAX(0,T$3+ROUND((T$9*($L788-T$5)),0)),IF($L788&gt;T$4,T$3,ROUND($L788*T$7,0)))</f>
        <v/>
      </c>
      <c r="J788" s="447">
        <f>IF($L788&gt;U$5,MAX(0,U$3+ROUND((U$9*($L788-U$5)),0)),IF($L788&gt;U$4,U$3,ROUND($L788*U$7,0)))</f>
        <v/>
      </c>
      <c r="K788" s="422" t="n"/>
      <c r="L788" s="448">
        <f>ROUND((A788+B788)/2,2)</f>
        <v/>
      </c>
    </row>
    <row r="789" ht="13.5" customHeight="1" s="7635">
      <c r="A789" s="448" t="n">
        <v>39200</v>
      </c>
      <c r="B789" s="447" t="n">
        <v>39250</v>
      </c>
      <c r="C789" s="1378">
        <f>IF($L789&gt;N$5,MAX(0,N$3+ROUND((N$9*($L789-N$5)),0)),IF($L789&gt;N$4,N$3,ROUND($L789*N$7,0)))</f>
        <v/>
      </c>
      <c r="D789" s="448">
        <f>IF($L789&gt;O$5,MAX(0,O$3+ROUND((O$9*($L789-O$5)),0)),IF($L789&gt;O$4,O$3,ROUND($L789*O$7,0)))</f>
        <v/>
      </c>
      <c r="E789" s="448">
        <f>IF($L789&gt;P$5,MAX(0,P$3+ROUND((P$9*($L789-P$5)),0)),IF($L789&gt;P$4,P$3,ROUND($L789*P$7,0)))</f>
        <v/>
      </c>
      <c r="F789" s="447">
        <f>IF($L789&gt;Q$5,MAX(0,Q$3+ROUND((Q$9*($L789-Q$5)),0)),IF($L789&gt;Q$4,Q$3,ROUND($L789*Q$7,0)))</f>
        <v/>
      </c>
      <c r="G789" s="1378">
        <f>IF($L789&gt;R$5,MAX(0,R$3+ROUND((R$9*($L789-R$5)),0)),IF($L789&gt;R$4,R$3,ROUND($L789*R$7,0)))</f>
        <v/>
      </c>
      <c r="H789" s="448">
        <f>IF($L789&gt;S$5,MAX(0,S$3+ROUND((S$9*($L789-S$5)),0)),IF($L789&gt;S$4,S$3,ROUND($L789*S$7,0)))</f>
        <v/>
      </c>
      <c r="I789" s="448">
        <f>IF($L789&gt;T$5,MAX(0,T$3+ROUND((T$9*($L789-T$5)),0)),IF($L789&gt;T$4,T$3,ROUND($L789*T$7,0)))</f>
        <v/>
      </c>
      <c r="J789" s="447">
        <f>IF($L789&gt;U$5,MAX(0,U$3+ROUND((U$9*($L789-U$5)),0)),IF($L789&gt;U$4,U$3,ROUND($L789*U$7,0)))</f>
        <v/>
      </c>
      <c r="K789" s="422" t="n"/>
      <c r="L789" s="448">
        <f>ROUND((A789+B789)/2,2)</f>
        <v/>
      </c>
    </row>
    <row r="790" ht="13.5" customHeight="1" s="7635">
      <c r="A790" s="448" t="n">
        <v>39250</v>
      </c>
      <c r="B790" s="447" t="n">
        <v>39300</v>
      </c>
      <c r="C790" s="1378">
        <f>IF($L790&gt;N$5,MAX(0,N$3+ROUND((N$9*($L790-N$5)),0)),IF($L790&gt;N$4,N$3,ROUND($L790*N$7,0)))</f>
        <v/>
      </c>
      <c r="D790" s="448">
        <f>IF($L790&gt;O$5,MAX(0,O$3+ROUND((O$9*($L790-O$5)),0)),IF($L790&gt;O$4,O$3,ROUND($L790*O$7,0)))</f>
        <v/>
      </c>
      <c r="E790" s="448">
        <f>IF($L790&gt;P$5,MAX(0,P$3+ROUND((P$9*($L790-P$5)),0)),IF($L790&gt;P$4,P$3,ROUND($L790*P$7,0)))</f>
        <v/>
      </c>
      <c r="F790" s="447">
        <f>IF($L790&gt;Q$5,MAX(0,Q$3+ROUND((Q$9*($L790-Q$5)),0)),IF($L790&gt;Q$4,Q$3,ROUND($L790*Q$7,0)))</f>
        <v/>
      </c>
      <c r="G790" s="1378">
        <f>IF($L790&gt;R$5,MAX(0,R$3+ROUND((R$9*($L790-R$5)),0)),IF($L790&gt;R$4,R$3,ROUND($L790*R$7,0)))</f>
        <v/>
      </c>
      <c r="H790" s="448">
        <f>IF($L790&gt;S$5,MAX(0,S$3+ROUND((S$9*($L790-S$5)),0)),IF($L790&gt;S$4,S$3,ROUND($L790*S$7,0)))</f>
        <v/>
      </c>
      <c r="I790" s="448">
        <f>IF($L790&gt;T$5,MAX(0,T$3+ROUND((T$9*($L790-T$5)),0)),IF($L790&gt;T$4,T$3,ROUND($L790*T$7,0)))</f>
        <v/>
      </c>
      <c r="J790" s="447">
        <f>IF($L790&gt;U$5,MAX(0,U$3+ROUND((U$9*($L790-U$5)),0)),IF($L790&gt;U$4,U$3,ROUND($L790*U$7,0)))</f>
        <v/>
      </c>
      <c r="K790" s="422" t="n"/>
      <c r="L790" s="448">
        <f>ROUND((A790+B790)/2,2)</f>
        <v/>
      </c>
    </row>
    <row r="791" ht="13.5" customHeight="1" s="7635">
      <c r="A791" s="448" t="n">
        <v>39300</v>
      </c>
      <c r="B791" s="447" t="n">
        <v>39350</v>
      </c>
      <c r="C791" s="1378">
        <f>IF($L791&gt;N$5,MAX(0,N$3+ROUND((N$9*($L791-N$5)),0)),IF($L791&gt;N$4,N$3,ROUND($L791*N$7,0)))</f>
        <v/>
      </c>
      <c r="D791" s="448">
        <f>IF($L791&gt;O$5,MAX(0,O$3+ROUND((O$9*($L791-O$5)),0)),IF($L791&gt;O$4,O$3,ROUND($L791*O$7,0)))</f>
        <v/>
      </c>
      <c r="E791" s="448">
        <f>IF($L791&gt;P$5,MAX(0,P$3+ROUND((P$9*($L791-P$5)),0)),IF($L791&gt;P$4,P$3,ROUND($L791*P$7,0)))</f>
        <v/>
      </c>
      <c r="F791" s="447">
        <f>IF($L791&gt;Q$5,MAX(0,Q$3+ROUND((Q$9*($L791-Q$5)),0)),IF($L791&gt;Q$4,Q$3,ROUND($L791*Q$7,0)))</f>
        <v/>
      </c>
      <c r="G791" s="1378">
        <f>IF($L791&gt;R$5,MAX(0,R$3+ROUND((R$9*($L791-R$5)),0)),IF($L791&gt;R$4,R$3,ROUND($L791*R$7,0)))</f>
        <v/>
      </c>
      <c r="H791" s="448">
        <f>IF($L791&gt;S$5,MAX(0,S$3+ROUND((S$9*($L791-S$5)),0)),IF($L791&gt;S$4,S$3,ROUND($L791*S$7,0)))</f>
        <v/>
      </c>
      <c r="I791" s="448">
        <f>IF($L791&gt;T$5,MAX(0,T$3+ROUND((T$9*($L791-T$5)),0)),IF($L791&gt;T$4,T$3,ROUND($L791*T$7,0)))</f>
        <v/>
      </c>
      <c r="J791" s="447">
        <f>IF($L791&gt;U$5,MAX(0,U$3+ROUND((U$9*($L791-U$5)),0)),IF($L791&gt;U$4,U$3,ROUND($L791*U$7,0)))</f>
        <v/>
      </c>
      <c r="K791" s="422" t="n"/>
      <c r="L791" s="448">
        <f>ROUND((A791+B791)/2,2)</f>
        <v/>
      </c>
    </row>
    <row r="792" ht="13.5" customHeight="1" s="7635">
      <c r="A792" s="448" t="n">
        <v>39350</v>
      </c>
      <c r="B792" s="447" t="n">
        <v>39400</v>
      </c>
      <c r="C792" s="1378">
        <f>IF($L792&gt;N$5,MAX(0,N$3+ROUND((N$9*($L792-N$5)),0)),IF($L792&gt;N$4,N$3,ROUND($L792*N$7,0)))</f>
        <v/>
      </c>
      <c r="D792" s="448">
        <f>IF($L792&gt;O$5,MAX(0,O$3+ROUND((O$9*($L792-O$5)),0)),IF($L792&gt;O$4,O$3,ROUND($L792*O$7,0)))</f>
        <v/>
      </c>
      <c r="E792" s="448">
        <f>IF($L792&gt;P$5,MAX(0,P$3+ROUND((P$9*($L792-P$5)),0)),IF($L792&gt;P$4,P$3,ROUND($L792*P$7,0)))</f>
        <v/>
      </c>
      <c r="F792" s="447">
        <f>IF($L792&gt;Q$5,MAX(0,Q$3+ROUND((Q$9*($L792-Q$5)),0)),IF($L792&gt;Q$4,Q$3,ROUND($L792*Q$7,0)))</f>
        <v/>
      </c>
      <c r="G792" s="1378">
        <f>IF($L792&gt;R$5,MAX(0,R$3+ROUND((R$9*($L792-R$5)),0)),IF($L792&gt;R$4,R$3,ROUND($L792*R$7,0)))</f>
        <v/>
      </c>
      <c r="H792" s="448">
        <f>IF($L792&gt;S$5,MAX(0,S$3+ROUND((S$9*($L792-S$5)),0)),IF($L792&gt;S$4,S$3,ROUND($L792*S$7,0)))</f>
        <v/>
      </c>
      <c r="I792" s="448">
        <f>IF($L792&gt;T$5,MAX(0,T$3+ROUND((T$9*($L792-T$5)),0)),IF($L792&gt;T$4,T$3,ROUND($L792*T$7,0)))</f>
        <v/>
      </c>
      <c r="J792" s="447">
        <f>IF($L792&gt;U$5,MAX(0,U$3+ROUND((U$9*($L792-U$5)),0)),IF($L792&gt;U$4,U$3,ROUND($L792*U$7,0)))</f>
        <v/>
      </c>
      <c r="K792" s="422" t="n"/>
      <c r="L792" s="448">
        <f>ROUND((A792+B792)/2,2)</f>
        <v/>
      </c>
    </row>
    <row r="793" ht="13.5" customHeight="1" s="7635">
      <c r="A793" s="448" t="n">
        <v>39400</v>
      </c>
      <c r="B793" s="447" t="n">
        <v>39450</v>
      </c>
      <c r="C793" s="1378">
        <f>IF($L793&gt;N$5,MAX(0,N$3+ROUND((N$9*($L793-N$5)),0)),IF($L793&gt;N$4,N$3,ROUND($L793*N$7,0)))</f>
        <v/>
      </c>
      <c r="D793" s="448">
        <f>IF($L793&gt;O$5,MAX(0,O$3+ROUND((O$9*($L793-O$5)),0)),IF($L793&gt;O$4,O$3,ROUND($L793*O$7,0)))</f>
        <v/>
      </c>
      <c r="E793" s="448">
        <f>IF($L793&gt;P$5,MAX(0,P$3+ROUND((P$9*($L793-P$5)),0)),IF($L793&gt;P$4,P$3,ROUND($L793*P$7,0)))</f>
        <v/>
      </c>
      <c r="F793" s="447">
        <f>IF($L793&gt;Q$5,MAX(0,Q$3+ROUND((Q$9*($L793-Q$5)),0)),IF($L793&gt;Q$4,Q$3,ROUND($L793*Q$7,0)))</f>
        <v/>
      </c>
      <c r="G793" s="1378">
        <f>IF($L793&gt;R$5,MAX(0,R$3+ROUND((R$9*($L793-R$5)),0)),IF($L793&gt;R$4,R$3,ROUND($L793*R$7,0)))</f>
        <v/>
      </c>
      <c r="H793" s="448">
        <f>IF($L793&gt;S$5,MAX(0,S$3+ROUND((S$9*($L793-S$5)),0)),IF($L793&gt;S$4,S$3,ROUND($L793*S$7,0)))</f>
        <v/>
      </c>
      <c r="I793" s="448">
        <f>IF($L793&gt;T$5,MAX(0,T$3+ROUND((T$9*($L793-T$5)),0)),IF($L793&gt;T$4,T$3,ROUND($L793*T$7,0)))</f>
        <v/>
      </c>
      <c r="J793" s="447">
        <f>IF($L793&gt;U$5,MAX(0,U$3+ROUND((U$9*($L793-U$5)),0)),IF($L793&gt;U$4,U$3,ROUND($L793*U$7,0)))</f>
        <v/>
      </c>
      <c r="K793" s="422" t="n"/>
      <c r="L793" s="448">
        <f>ROUND((A793+B793)/2,2)</f>
        <v/>
      </c>
    </row>
    <row r="794" ht="13.5" customHeight="1" s="7635">
      <c r="A794" s="448" t="n">
        <v>39450</v>
      </c>
      <c r="B794" s="447" t="n">
        <v>39500</v>
      </c>
      <c r="C794" s="1378">
        <f>IF($L794&gt;N$5,MAX(0,N$3+ROUND((N$9*($L794-N$5)),0)),IF($L794&gt;N$4,N$3,ROUND($L794*N$7,0)))</f>
        <v/>
      </c>
      <c r="D794" s="448">
        <f>IF($L794&gt;O$5,MAX(0,O$3+ROUND((O$9*($L794-O$5)),0)),IF($L794&gt;O$4,O$3,ROUND($L794*O$7,0)))</f>
        <v/>
      </c>
      <c r="E794" s="448">
        <f>IF($L794&gt;P$5,MAX(0,P$3+ROUND((P$9*($L794-P$5)),0)),IF($L794&gt;P$4,P$3,ROUND($L794*P$7,0)))</f>
        <v/>
      </c>
      <c r="F794" s="447">
        <f>IF($L794&gt;Q$5,MAX(0,Q$3+ROUND((Q$9*($L794-Q$5)),0)),IF($L794&gt;Q$4,Q$3,ROUND($L794*Q$7,0)))</f>
        <v/>
      </c>
      <c r="G794" s="1378">
        <f>IF($L794&gt;R$5,MAX(0,R$3+ROUND((R$9*($L794-R$5)),0)),IF($L794&gt;R$4,R$3,ROUND($L794*R$7,0)))</f>
        <v/>
      </c>
      <c r="H794" s="448">
        <f>IF($L794&gt;S$5,MAX(0,S$3+ROUND((S$9*($L794-S$5)),0)),IF($L794&gt;S$4,S$3,ROUND($L794*S$7,0)))</f>
        <v/>
      </c>
      <c r="I794" s="448">
        <f>IF($L794&gt;T$5,MAX(0,T$3+ROUND((T$9*($L794-T$5)),0)),IF($L794&gt;T$4,T$3,ROUND($L794*T$7,0)))</f>
        <v/>
      </c>
      <c r="J794" s="447">
        <f>IF($L794&gt;U$5,MAX(0,U$3+ROUND((U$9*($L794-U$5)),0)),IF($L794&gt;U$4,U$3,ROUND($L794*U$7,0)))</f>
        <v/>
      </c>
      <c r="K794" s="422" t="n"/>
      <c r="L794" s="448">
        <f>ROUND((A794+B794)/2,2)</f>
        <v/>
      </c>
    </row>
    <row r="795" ht="13.5" customHeight="1" s="7635">
      <c r="A795" s="448" t="n">
        <v>39500</v>
      </c>
      <c r="B795" s="447" t="n">
        <v>39550</v>
      </c>
      <c r="C795" s="1378">
        <f>IF($L795&gt;N$5,MAX(0,N$3+ROUND((N$9*($L795-N$5)),0)),IF($L795&gt;N$4,N$3,ROUND($L795*N$7,0)))</f>
        <v/>
      </c>
      <c r="D795" s="448">
        <f>IF($L795&gt;O$5,MAX(0,O$3+ROUND((O$9*($L795-O$5)),0)),IF($L795&gt;O$4,O$3,ROUND($L795*O$7,0)))</f>
        <v/>
      </c>
      <c r="E795" s="448">
        <f>IF($L795&gt;P$5,MAX(0,P$3+ROUND((P$9*($L795-P$5)),0)),IF($L795&gt;P$4,P$3,ROUND($L795*P$7,0)))</f>
        <v/>
      </c>
      <c r="F795" s="447">
        <f>IF($L795&gt;Q$5,MAX(0,Q$3+ROUND((Q$9*($L795-Q$5)),0)),IF($L795&gt;Q$4,Q$3,ROUND($L795*Q$7,0)))</f>
        <v/>
      </c>
      <c r="G795" s="1378">
        <f>IF($L795&gt;R$5,MAX(0,R$3+ROUND((R$9*($L795-R$5)),0)),IF($L795&gt;R$4,R$3,ROUND($L795*R$7,0)))</f>
        <v/>
      </c>
      <c r="H795" s="448">
        <f>IF($L795&gt;S$5,MAX(0,S$3+ROUND((S$9*($L795-S$5)),0)),IF($L795&gt;S$4,S$3,ROUND($L795*S$7,0)))</f>
        <v/>
      </c>
      <c r="I795" s="448">
        <f>IF($L795&gt;T$5,MAX(0,T$3+ROUND((T$9*($L795-T$5)),0)),IF($L795&gt;T$4,T$3,ROUND($L795*T$7,0)))</f>
        <v/>
      </c>
      <c r="J795" s="447">
        <f>IF($L795&gt;U$5,MAX(0,U$3+ROUND((U$9*($L795-U$5)),0)),IF($L795&gt;U$4,U$3,ROUND($L795*U$7,0)))</f>
        <v/>
      </c>
      <c r="K795" s="422" t="n"/>
      <c r="L795" s="448">
        <f>ROUND((A795+B795)/2,2)</f>
        <v/>
      </c>
    </row>
    <row r="796" ht="13.5" customHeight="1" s="7635">
      <c r="A796" s="448" t="n">
        <v>39550</v>
      </c>
      <c r="B796" s="447" t="n">
        <v>39600</v>
      </c>
      <c r="C796" s="1378">
        <f>IF($L796&gt;N$5,MAX(0,N$3+ROUND((N$9*($L796-N$5)),0)),IF($L796&gt;N$4,N$3,ROUND($L796*N$7,0)))</f>
        <v/>
      </c>
      <c r="D796" s="448">
        <f>IF($L796&gt;O$5,MAX(0,O$3+ROUND((O$9*($L796-O$5)),0)),IF($L796&gt;O$4,O$3,ROUND($L796*O$7,0)))</f>
        <v/>
      </c>
      <c r="E796" s="448">
        <f>IF($L796&gt;P$5,MAX(0,P$3+ROUND((P$9*($L796-P$5)),0)),IF($L796&gt;P$4,P$3,ROUND($L796*P$7,0)))</f>
        <v/>
      </c>
      <c r="F796" s="447">
        <f>IF($L796&gt;Q$5,MAX(0,Q$3+ROUND((Q$9*($L796-Q$5)),0)),IF($L796&gt;Q$4,Q$3,ROUND($L796*Q$7,0)))</f>
        <v/>
      </c>
      <c r="G796" s="1378">
        <f>IF($L796&gt;R$5,MAX(0,R$3+ROUND((R$9*($L796-R$5)),0)),IF($L796&gt;R$4,R$3,ROUND($L796*R$7,0)))</f>
        <v/>
      </c>
      <c r="H796" s="448">
        <f>IF($L796&gt;S$5,MAX(0,S$3+ROUND((S$9*($L796-S$5)),0)),IF($L796&gt;S$4,S$3,ROUND($L796*S$7,0)))</f>
        <v/>
      </c>
      <c r="I796" s="448">
        <f>IF($L796&gt;T$5,MAX(0,T$3+ROUND((T$9*($L796-T$5)),0)),IF($L796&gt;T$4,T$3,ROUND($L796*T$7,0)))</f>
        <v/>
      </c>
      <c r="J796" s="447">
        <f>IF($L796&gt;U$5,MAX(0,U$3+ROUND((U$9*($L796-U$5)),0)),IF($L796&gt;U$4,U$3,ROUND($L796*U$7,0)))</f>
        <v/>
      </c>
      <c r="K796" s="422" t="n"/>
      <c r="L796" s="448">
        <f>ROUND((A796+B796)/2,2)</f>
        <v/>
      </c>
    </row>
    <row r="797" ht="13.5" customHeight="1" s="7635">
      <c r="A797" s="448" t="n">
        <v>39600</v>
      </c>
      <c r="B797" s="447" t="n">
        <v>39650</v>
      </c>
      <c r="C797" s="1378">
        <f>IF($L797&gt;N$5,MAX(0,N$3+ROUND((N$9*($L797-N$5)),0)),IF($L797&gt;N$4,N$3,ROUND($L797*N$7,0)))</f>
        <v/>
      </c>
      <c r="D797" s="448">
        <f>IF($L797&gt;O$5,MAX(0,O$3+ROUND((O$9*($L797-O$5)),0)),IF($L797&gt;O$4,O$3,ROUND($L797*O$7,0)))</f>
        <v/>
      </c>
      <c r="E797" s="448">
        <f>IF($L797&gt;P$5,MAX(0,P$3+ROUND((P$9*($L797-P$5)),0)),IF($L797&gt;P$4,P$3,ROUND($L797*P$7,0)))</f>
        <v/>
      </c>
      <c r="F797" s="447">
        <f>IF($L797&gt;Q$5,MAX(0,Q$3+ROUND((Q$9*($L797-Q$5)),0)),IF($L797&gt;Q$4,Q$3,ROUND($L797*Q$7,0)))</f>
        <v/>
      </c>
      <c r="G797" s="1378">
        <f>IF($L797&gt;R$5,MAX(0,R$3+ROUND((R$9*($L797-R$5)),0)),IF($L797&gt;R$4,R$3,ROUND($L797*R$7,0)))</f>
        <v/>
      </c>
      <c r="H797" s="448">
        <f>IF($L797&gt;S$5,MAX(0,S$3+ROUND((S$9*($L797-S$5)),0)),IF($L797&gt;S$4,S$3,ROUND($L797*S$7,0)))</f>
        <v/>
      </c>
      <c r="I797" s="448">
        <f>IF($L797&gt;T$5,MAX(0,T$3+ROUND((T$9*($L797-T$5)),0)),IF($L797&gt;T$4,T$3,ROUND($L797*T$7,0)))</f>
        <v/>
      </c>
      <c r="J797" s="447">
        <f>IF($L797&gt;U$5,MAX(0,U$3+ROUND((U$9*($L797-U$5)),0)),IF($L797&gt;U$4,U$3,ROUND($L797*U$7,0)))</f>
        <v/>
      </c>
      <c r="K797" s="422" t="n"/>
      <c r="L797" s="448">
        <f>ROUND((A797+B797)/2,2)</f>
        <v/>
      </c>
    </row>
    <row r="798" ht="13.5" customHeight="1" s="7635">
      <c r="A798" s="448" t="n">
        <v>39650</v>
      </c>
      <c r="B798" s="447" t="n">
        <v>39700</v>
      </c>
      <c r="C798" s="1378">
        <f>IF($L798&gt;N$5,MAX(0,N$3+ROUND((N$9*($L798-N$5)),0)),IF($L798&gt;N$4,N$3,ROUND($L798*N$7,0)))</f>
        <v/>
      </c>
      <c r="D798" s="448">
        <f>IF($L798&gt;O$5,MAX(0,O$3+ROUND((O$9*($L798-O$5)),0)),IF($L798&gt;O$4,O$3,ROUND($L798*O$7,0)))</f>
        <v/>
      </c>
      <c r="E798" s="448">
        <f>IF($L798&gt;P$5,MAX(0,P$3+ROUND((P$9*($L798-P$5)),0)),IF($L798&gt;P$4,P$3,ROUND($L798*P$7,0)))</f>
        <v/>
      </c>
      <c r="F798" s="447">
        <f>IF($L798&gt;Q$5,MAX(0,Q$3+ROUND((Q$9*($L798-Q$5)),0)),IF($L798&gt;Q$4,Q$3,ROUND($L798*Q$7,0)))</f>
        <v/>
      </c>
      <c r="G798" s="1378">
        <f>IF($L798&gt;R$5,MAX(0,R$3+ROUND((R$9*($L798-R$5)),0)),IF($L798&gt;R$4,R$3,ROUND($L798*R$7,0)))</f>
        <v/>
      </c>
      <c r="H798" s="448">
        <f>IF($L798&gt;S$5,MAX(0,S$3+ROUND((S$9*($L798-S$5)),0)),IF($L798&gt;S$4,S$3,ROUND($L798*S$7,0)))</f>
        <v/>
      </c>
      <c r="I798" s="448">
        <f>IF($L798&gt;T$5,MAX(0,T$3+ROUND((T$9*($L798-T$5)),0)),IF($L798&gt;T$4,T$3,ROUND($L798*T$7,0)))</f>
        <v/>
      </c>
      <c r="J798" s="447">
        <f>IF($L798&gt;U$5,MAX(0,U$3+ROUND((U$9*($L798-U$5)),0)),IF($L798&gt;U$4,U$3,ROUND($L798*U$7,0)))</f>
        <v/>
      </c>
      <c r="K798" s="422" t="n"/>
      <c r="L798" s="448">
        <f>ROUND((A798+B798)/2,2)</f>
        <v/>
      </c>
    </row>
    <row r="799" ht="13.5" customHeight="1" s="7635">
      <c r="A799" s="448" t="n">
        <v>39700</v>
      </c>
      <c r="B799" s="447" t="n">
        <v>39750</v>
      </c>
      <c r="C799" s="1378">
        <f>IF($L799&gt;N$5,MAX(0,N$3+ROUND((N$9*($L799-N$5)),0)),IF($L799&gt;N$4,N$3,ROUND($L799*N$7,0)))</f>
        <v/>
      </c>
      <c r="D799" s="448">
        <f>IF($L799&gt;O$5,MAX(0,O$3+ROUND((O$9*($L799-O$5)),0)),IF($L799&gt;O$4,O$3,ROUND($L799*O$7,0)))</f>
        <v/>
      </c>
      <c r="E799" s="448">
        <f>IF($L799&gt;P$5,MAX(0,P$3+ROUND((P$9*($L799-P$5)),0)),IF($L799&gt;P$4,P$3,ROUND($L799*P$7,0)))</f>
        <v/>
      </c>
      <c r="F799" s="447">
        <f>IF($L799&gt;Q$5,MAX(0,Q$3+ROUND((Q$9*($L799-Q$5)),0)),IF($L799&gt;Q$4,Q$3,ROUND($L799*Q$7,0)))</f>
        <v/>
      </c>
      <c r="G799" s="1378">
        <f>IF($L799&gt;R$5,MAX(0,R$3+ROUND((R$9*($L799-R$5)),0)),IF($L799&gt;R$4,R$3,ROUND($L799*R$7,0)))</f>
        <v/>
      </c>
      <c r="H799" s="448">
        <f>IF($L799&gt;S$5,MAX(0,S$3+ROUND((S$9*($L799-S$5)),0)),IF($L799&gt;S$4,S$3,ROUND($L799*S$7,0)))</f>
        <v/>
      </c>
      <c r="I799" s="448">
        <f>IF($L799&gt;T$5,MAX(0,T$3+ROUND((T$9*($L799-T$5)),0)),IF($L799&gt;T$4,T$3,ROUND($L799*T$7,0)))</f>
        <v/>
      </c>
      <c r="J799" s="447">
        <f>IF($L799&gt;U$5,MAX(0,U$3+ROUND((U$9*($L799-U$5)),0)),IF($L799&gt;U$4,U$3,ROUND($L799*U$7,0)))</f>
        <v/>
      </c>
      <c r="K799" s="422" t="n"/>
      <c r="L799" s="448">
        <f>ROUND((A799+B799)/2,2)</f>
        <v/>
      </c>
    </row>
    <row r="800" ht="13.5" customHeight="1" s="7635">
      <c r="A800" s="448" t="n">
        <v>39750</v>
      </c>
      <c r="B800" s="447" t="n">
        <v>39800</v>
      </c>
      <c r="C800" s="1378">
        <f>IF($L800&gt;N$5,MAX(0,N$3+ROUND((N$9*($L800-N$5)),0)),IF($L800&gt;N$4,N$3,ROUND($L800*N$7,0)))</f>
        <v/>
      </c>
      <c r="D800" s="448">
        <f>IF($L800&gt;O$5,MAX(0,O$3+ROUND((O$9*($L800-O$5)),0)),IF($L800&gt;O$4,O$3,ROUND($L800*O$7,0)))</f>
        <v/>
      </c>
      <c r="E800" s="448">
        <f>IF($L800&gt;P$5,MAX(0,P$3+ROUND((P$9*($L800-P$5)),0)),IF($L800&gt;P$4,P$3,ROUND($L800*P$7,0)))</f>
        <v/>
      </c>
      <c r="F800" s="447">
        <f>IF($L800&gt;Q$5,MAX(0,Q$3+ROUND((Q$9*($L800-Q$5)),0)),IF($L800&gt;Q$4,Q$3,ROUND($L800*Q$7,0)))</f>
        <v/>
      </c>
      <c r="G800" s="1378">
        <f>IF($L800&gt;R$5,MAX(0,R$3+ROUND((R$9*($L800-R$5)),0)),IF($L800&gt;R$4,R$3,ROUND($L800*R$7,0)))</f>
        <v/>
      </c>
      <c r="H800" s="448">
        <f>IF($L800&gt;S$5,MAX(0,S$3+ROUND((S$9*($L800-S$5)),0)),IF($L800&gt;S$4,S$3,ROUND($L800*S$7,0)))</f>
        <v/>
      </c>
      <c r="I800" s="448">
        <f>IF($L800&gt;T$5,MAX(0,T$3+ROUND((T$9*($L800-T$5)),0)),IF($L800&gt;T$4,T$3,ROUND($L800*T$7,0)))</f>
        <v/>
      </c>
      <c r="J800" s="447">
        <f>IF($L800&gt;U$5,MAX(0,U$3+ROUND((U$9*($L800-U$5)),0)),IF($L800&gt;U$4,U$3,ROUND($L800*U$7,0)))</f>
        <v/>
      </c>
      <c r="K800" s="422" t="n"/>
      <c r="L800" s="448">
        <f>ROUND((A800+B800)/2,2)</f>
        <v/>
      </c>
    </row>
    <row r="801" ht="13.5" customHeight="1" s="7635">
      <c r="A801" s="448" t="n">
        <v>39800</v>
      </c>
      <c r="B801" s="447" t="n">
        <v>39850</v>
      </c>
      <c r="C801" s="1378">
        <f>IF($L801&gt;N$5,MAX(0,N$3+ROUND((N$9*($L801-N$5)),0)),IF($L801&gt;N$4,N$3,ROUND($L801*N$7,0)))</f>
        <v/>
      </c>
      <c r="D801" s="448">
        <f>IF($L801&gt;O$5,MAX(0,O$3+ROUND((O$9*($L801-O$5)),0)),IF($L801&gt;O$4,O$3,ROUND($L801*O$7,0)))</f>
        <v/>
      </c>
      <c r="E801" s="448">
        <f>IF($L801&gt;P$5,MAX(0,P$3+ROUND((P$9*($L801-P$5)),0)),IF($L801&gt;P$4,P$3,ROUND($L801*P$7,0)))</f>
        <v/>
      </c>
      <c r="F801" s="447">
        <f>IF($L801&gt;Q$5,MAX(0,Q$3+ROUND((Q$9*($L801-Q$5)),0)),IF($L801&gt;Q$4,Q$3,ROUND($L801*Q$7,0)))</f>
        <v/>
      </c>
      <c r="G801" s="1378">
        <f>IF($L801&gt;R$5,MAX(0,R$3+ROUND((R$9*($L801-R$5)),0)),IF($L801&gt;R$4,R$3,ROUND($L801*R$7,0)))</f>
        <v/>
      </c>
      <c r="H801" s="448">
        <f>IF($L801&gt;S$5,MAX(0,S$3+ROUND((S$9*($L801-S$5)),0)),IF($L801&gt;S$4,S$3,ROUND($L801*S$7,0)))</f>
        <v/>
      </c>
      <c r="I801" s="448">
        <f>IF($L801&gt;T$5,MAX(0,T$3+ROUND((T$9*($L801-T$5)),0)),IF($L801&gt;T$4,T$3,ROUND($L801*T$7,0)))</f>
        <v/>
      </c>
      <c r="J801" s="447">
        <f>IF($L801&gt;U$5,MAX(0,U$3+ROUND((U$9*($L801-U$5)),0)),IF($L801&gt;U$4,U$3,ROUND($L801*U$7,0)))</f>
        <v/>
      </c>
      <c r="K801" s="422" t="n"/>
      <c r="L801" s="448">
        <f>ROUND((A801+B801)/2,2)</f>
        <v/>
      </c>
    </row>
    <row r="802" ht="13.5" customHeight="1" s="7635">
      <c r="A802" s="448" t="n">
        <v>39850</v>
      </c>
      <c r="B802" s="447" t="n">
        <v>39900</v>
      </c>
      <c r="C802" s="1378">
        <f>IF($L802&gt;N$5,MAX(0,N$3+ROUND((N$9*($L802-N$5)),0)),IF($L802&gt;N$4,N$3,ROUND($L802*N$7,0)))</f>
        <v/>
      </c>
      <c r="D802" s="448">
        <f>IF($L802&gt;O$5,MAX(0,O$3+ROUND((O$9*($L802-O$5)),0)),IF($L802&gt;O$4,O$3,ROUND($L802*O$7,0)))</f>
        <v/>
      </c>
      <c r="E802" s="448">
        <f>IF($L802&gt;P$5,MAX(0,P$3+ROUND((P$9*($L802-P$5)),0)),IF($L802&gt;P$4,P$3,ROUND($L802*P$7,0)))</f>
        <v/>
      </c>
      <c r="F802" s="447">
        <f>IF($L802&gt;Q$5,MAX(0,Q$3+ROUND((Q$9*($L802-Q$5)),0)),IF($L802&gt;Q$4,Q$3,ROUND($L802*Q$7,0)))</f>
        <v/>
      </c>
      <c r="G802" s="1378">
        <f>IF($L802&gt;R$5,MAX(0,R$3+ROUND((R$9*($L802-R$5)),0)),IF($L802&gt;R$4,R$3,ROUND($L802*R$7,0)))</f>
        <v/>
      </c>
      <c r="H802" s="448">
        <f>IF($L802&gt;S$5,MAX(0,S$3+ROUND((S$9*($L802-S$5)),0)),IF($L802&gt;S$4,S$3,ROUND($L802*S$7,0)))</f>
        <v/>
      </c>
      <c r="I802" s="448">
        <f>IF($L802&gt;T$5,MAX(0,T$3+ROUND((T$9*($L802-T$5)),0)),IF($L802&gt;T$4,T$3,ROUND($L802*T$7,0)))</f>
        <v/>
      </c>
      <c r="J802" s="447">
        <f>IF($L802&gt;U$5,MAX(0,U$3+ROUND((U$9*($L802-U$5)),0)),IF($L802&gt;U$4,U$3,ROUND($L802*U$7,0)))</f>
        <v/>
      </c>
      <c r="K802" s="422" t="n"/>
      <c r="L802" s="448">
        <f>ROUND((A802+B802)/2,2)</f>
        <v/>
      </c>
    </row>
    <row r="803" ht="13.5" customHeight="1" s="7635">
      <c r="A803" s="448" t="n">
        <v>39900</v>
      </c>
      <c r="B803" s="447" t="n">
        <v>39950</v>
      </c>
      <c r="C803" s="1378">
        <f>IF($L803&gt;N$5,MAX(0,N$3+ROUND((N$9*($L803-N$5)),0)),IF($L803&gt;N$4,N$3,ROUND($L803*N$7,0)))</f>
        <v/>
      </c>
      <c r="D803" s="448">
        <f>IF($L803&gt;O$5,MAX(0,O$3+ROUND((O$9*($L803-O$5)),0)),IF($L803&gt;O$4,O$3,ROUND($L803*O$7,0)))</f>
        <v/>
      </c>
      <c r="E803" s="448">
        <f>IF($L803&gt;P$5,MAX(0,P$3+ROUND((P$9*($L803-P$5)),0)),IF($L803&gt;P$4,P$3,ROUND($L803*P$7,0)))</f>
        <v/>
      </c>
      <c r="F803" s="447">
        <f>IF($L803&gt;Q$5,MAX(0,Q$3+ROUND((Q$9*($L803-Q$5)),0)),IF($L803&gt;Q$4,Q$3,ROUND($L803*Q$7,0)))</f>
        <v/>
      </c>
      <c r="G803" s="1378">
        <f>IF($L803&gt;R$5,MAX(0,R$3+ROUND((R$9*($L803-R$5)),0)),IF($L803&gt;R$4,R$3,ROUND($L803*R$7,0)))</f>
        <v/>
      </c>
      <c r="H803" s="448">
        <f>IF($L803&gt;S$5,MAX(0,S$3+ROUND((S$9*($L803-S$5)),0)),IF($L803&gt;S$4,S$3,ROUND($L803*S$7,0)))</f>
        <v/>
      </c>
      <c r="I803" s="448">
        <f>IF($L803&gt;T$5,MAX(0,T$3+ROUND((T$9*($L803-T$5)),0)),IF($L803&gt;T$4,T$3,ROUND($L803*T$7,0)))</f>
        <v/>
      </c>
      <c r="J803" s="447">
        <f>IF($L803&gt;U$5,MAX(0,U$3+ROUND((U$9*($L803-U$5)),0)),IF($L803&gt;U$4,U$3,ROUND($L803*U$7,0)))</f>
        <v/>
      </c>
      <c r="K803" s="422" t="n"/>
      <c r="L803" s="448">
        <f>ROUND((A803+B803)/2,2)</f>
        <v/>
      </c>
    </row>
    <row r="804" ht="13.5" customHeight="1" s="7635">
      <c r="A804" s="448" t="n">
        <v>39950</v>
      </c>
      <c r="B804" s="447" t="n">
        <v>40000</v>
      </c>
      <c r="C804" s="1378">
        <f>IF($L804&gt;N$5,MAX(0,N$3+ROUND((N$9*($L804-N$5)),0)),IF($L804&gt;N$4,N$3,ROUND($L804*N$7,0)))</f>
        <v/>
      </c>
      <c r="D804" s="448">
        <f>IF($L804&gt;O$5,MAX(0,O$3+ROUND((O$9*($L804-O$5)),0)),IF($L804&gt;O$4,O$3,ROUND($L804*O$7,0)))</f>
        <v/>
      </c>
      <c r="E804" s="448">
        <f>IF($L804&gt;P$5,MAX(0,P$3+ROUND((P$9*($L804-P$5)),0)),IF($L804&gt;P$4,P$3,ROUND($L804*P$7,0)))</f>
        <v/>
      </c>
      <c r="F804" s="447">
        <f>IF($L804&gt;Q$5,MAX(0,Q$3+ROUND((Q$9*($L804-Q$5)),0)),IF($L804&gt;Q$4,Q$3,ROUND($L804*Q$7,0)))</f>
        <v/>
      </c>
      <c r="G804" s="1378">
        <f>IF($L804&gt;R$5,MAX(0,R$3+ROUND((R$9*($L804-R$5)),0)),IF($L804&gt;R$4,R$3,ROUND($L804*R$7,0)))</f>
        <v/>
      </c>
      <c r="H804" s="448">
        <f>IF($L804&gt;S$5,MAX(0,S$3+ROUND((S$9*($L804-S$5)),0)),IF($L804&gt;S$4,S$3,ROUND($L804*S$7,0)))</f>
        <v/>
      </c>
      <c r="I804" s="448">
        <f>IF($L804&gt;T$5,MAX(0,T$3+ROUND((T$9*($L804-T$5)),0)),IF($L804&gt;T$4,T$3,ROUND($L804*T$7,0)))</f>
        <v/>
      </c>
      <c r="J804" s="447">
        <f>IF($L804&gt;U$5,MAX(0,U$3+ROUND((U$9*($L804-U$5)),0)),IF($L804&gt;U$4,U$3,ROUND($L804*U$7,0)))</f>
        <v/>
      </c>
      <c r="K804" s="422" t="n"/>
      <c r="L804" s="448">
        <f>ROUND((A804+B804)/2,2)</f>
        <v/>
      </c>
    </row>
    <row r="805" ht="13.5" customHeight="1" s="7635">
      <c r="A805" s="448" t="n">
        <v>40000</v>
      </c>
      <c r="B805" s="447" t="n">
        <v>40050</v>
      </c>
      <c r="C805" s="1378">
        <f>IF($L805&gt;N$5,MAX(0,N$3+ROUND((N$9*($L805-N$5)),0)),IF($L805&gt;N$4,N$3,ROUND($L805*N$7,0)))</f>
        <v/>
      </c>
      <c r="D805" s="448">
        <f>IF($L805&gt;O$5,MAX(0,O$3+ROUND((O$9*($L805-O$5)),0)),IF($L805&gt;O$4,O$3,ROUND($L805*O$7,0)))</f>
        <v/>
      </c>
      <c r="E805" s="448">
        <f>IF($L805&gt;P$5,MAX(0,P$3+ROUND((P$9*($L805-P$5)),0)),IF($L805&gt;P$4,P$3,ROUND($L805*P$7,0)))</f>
        <v/>
      </c>
      <c r="F805" s="447">
        <f>IF($L805&gt;Q$5,MAX(0,Q$3+ROUND((Q$9*($L805-Q$5)),0)),IF($L805&gt;Q$4,Q$3,ROUND($L805*Q$7,0)))</f>
        <v/>
      </c>
      <c r="G805" s="1378">
        <f>IF($L805&gt;R$5,MAX(0,R$3+ROUND((R$9*($L805-R$5)),0)),IF($L805&gt;R$4,R$3,ROUND($L805*R$7,0)))</f>
        <v/>
      </c>
      <c r="H805" s="448">
        <f>IF($L805&gt;S$5,MAX(0,S$3+ROUND((S$9*($L805-S$5)),0)),IF($L805&gt;S$4,S$3,ROUND($L805*S$7,0)))</f>
        <v/>
      </c>
      <c r="I805" s="448">
        <f>IF($L805&gt;T$5,MAX(0,T$3+ROUND((T$9*($L805-T$5)),0)),IF($L805&gt;T$4,T$3,ROUND($L805*T$7,0)))</f>
        <v/>
      </c>
      <c r="J805" s="447">
        <f>IF($L805&gt;U$5,MAX(0,U$3+ROUND((U$9*($L805-U$5)),0)),IF($L805&gt;U$4,U$3,ROUND($L805*U$7,0)))</f>
        <v/>
      </c>
      <c r="K805" s="422" t="n"/>
      <c r="L805" s="448">
        <f>ROUND((A805+B805)/2,2)</f>
        <v/>
      </c>
    </row>
    <row r="806" ht="13.5" customHeight="1" s="7635">
      <c r="A806" s="448" t="n">
        <v>40050</v>
      </c>
      <c r="B806" s="447" t="n">
        <v>40100</v>
      </c>
      <c r="C806" s="1378">
        <f>IF($L806&gt;N$5,MAX(0,N$3+ROUND((N$9*($L806-N$5)),0)),IF($L806&gt;N$4,N$3,ROUND($L806*N$7,0)))</f>
        <v/>
      </c>
      <c r="D806" s="448">
        <f>IF($L806&gt;O$5,MAX(0,O$3+ROUND((O$9*($L806-O$5)),0)),IF($L806&gt;O$4,O$3,ROUND($L806*O$7,0)))</f>
        <v/>
      </c>
      <c r="E806" s="448">
        <f>IF($L806&gt;P$5,MAX(0,P$3+ROUND((P$9*($L806-P$5)),0)),IF($L806&gt;P$4,P$3,ROUND($L806*P$7,0)))</f>
        <v/>
      </c>
      <c r="F806" s="447">
        <f>IF($L806&gt;Q$5,MAX(0,Q$3+ROUND((Q$9*($L806-Q$5)),0)),IF($L806&gt;Q$4,Q$3,ROUND($L806*Q$7,0)))</f>
        <v/>
      </c>
      <c r="G806" s="1378">
        <f>IF($L806&gt;R$5,MAX(0,R$3+ROUND((R$9*($L806-R$5)),0)),IF($L806&gt;R$4,R$3,ROUND($L806*R$7,0)))</f>
        <v/>
      </c>
      <c r="H806" s="448">
        <f>IF($L806&gt;S$5,MAX(0,S$3+ROUND((S$9*($L806-S$5)),0)),IF($L806&gt;S$4,S$3,ROUND($L806*S$7,0)))</f>
        <v/>
      </c>
      <c r="I806" s="448">
        <f>IF($L806&gt;T$5,MAX(0,T$3+ROUND((T$9*($L806-T$5)),0)),IF($L806&gt;T$4,T$3,ROUND($L806*T$7,0)))</f>
        <v/>
      </c>
      <c r="J806" s="447">
        <f>IF($L806&gt;U$5,MAX(0,U$3+ROUND((U$9*($L806-U$5)),0)),IF($L806&gt;U$4,U$3,ROUND($L806*U$7,0)))</f>
        <v/>
      </c>
      <c r="K806" s="422" t="n"/>
      <c r="L806" s="448">
        <f>ROUND((A806+B806)/2,2)</f>
        <v/>
      </c>
    </row>
    <row r="807" ht="13.5" customHeight="1" s="7635">
      <c r="A807" s="448" t="n">
        <v>40100</v>
      </c>
      <c r="B807" s="447" t="n">
        <v>40150</v>
      </c>
      <c r="C807" s="1378">
        <f>IF($L807&gt;N$5,MAX(0,N$3+ROUND((N$9*($L807-N$5)),0)),IF($L807&gt;N$4,N$3,ROUND($L807*N$7,0)))</f>
        <v/>
      </c>
      <c r="D807" s="448">
        <f>IF($L807&gt;O$5,MAX(0,O$3+ROUND((O$9*($L807-O$5)),0)),IF($L807&gt;O$4,O$3,ROUND($L807*O$7,0)))</f>
        <v/>
      </c>
      <c r="E807" s="448">
        <f>IF($L807&gt;P$5,MAX(0,P$3+ROUND((P$9*($L807-P$5)),0)),IF($L807&gt;P$4,P$3,ROUND($L807*P$7,0)))</f>
        <v/>
      </c>
      <c r="F807" s="447">
        <f>IF($L807&gt;Q$5,MAX(0,Q$3+ROUND((Q$9*($L807-Q$5)),0)),IF($L807&gt;Q$4,Q$3,ROUND($L807*Q$7,0)))</f>
        <v/>
      </c>
      <c r="G807" s="1378">
        <f>IF($L807&gt;R$5,MAX(0,R$3+ROUND((R$9*($L807-R$5)),0)),IF($L807&gt;R$4,R$3,ROUND($L807*R$7,0)))</f>
        <v/>
      </c>
      <c r="H807" s="448">
        <f>IF($L807&gt;S$5,MAX(0,S$3+ROUND((S$9*($L807-S$5)),0)),IF($L807&gt;S$4,S$3,ROUND($L807*S$7,0)))</f>
        <v/>
      </c>
      <c r="I807" s="448">
        <f>IF($L807&gt;T$5,MAX(0,T$3+ROUND((T$9*($L807-T$5)),0)),IF($L807&gt;T$4,T$3,ROUND($L807*T$7,0)))</f>
        <v/>
      </c>
      <c r="J807" s="447">
        <f>IF($L807&gt;U$5,MAX(0,U$3+ROUND((U$9*($L807-U$5)),0)),IF($L807&gt;U$4,U$3,ROUND($L807*U$7,0)))</f>
        <v/>
      </c>
      <c r="K807" s="422" t="n"/>
      <c r="L807" s="448">
        <f>ROUND((A807+B807)/2,2)</f>
        <v/>
      </c>
    </row>
    <row r="808" ht="13.5" customHeight="1" s="7635">
      <c r="A808" s="448" t="n">
        <v>40150</v>
      </c>
      <c r="B808" s="447" t="n">
        <v>40200</v>
      </c>
      <c r="C808" s="1378">
        <f>IF($L808&gt;N$5,MAX(0,N$3+ROUND((N$9*($L808-N$5)),0)),IF($L808&gt;N$4,N$3,ROUND($L808*N$7,0)))</f>
        <v/>
      </c>
      <c r="D808" s="448">
        <f>IF($L808&gt;O$5,MAX(0,O$3+ROUND((O$9*($L808-O$5)),0)),IF($L808&gt;O$4,O$3,ROUND($L808*O$7,0)))</f>
        <v/>
      </c>
      <c r="E808" s="448">
        <f>IF($L808&gt;P$5,MAX(0,P$3+ROUND((P$9*($L808-P$5)),0)),IF($L808&gt;P$4,P$3,ROUND($L808*P$7,0)))</f>
        <v/>
      </c>
      <c r="F808" s="447">
        <f>IF($L808&gt;Q$5,MAX(0,Q$3+ROUND((Q$9*($L808-Q$5)),0)),IF($L808&gt;Q$4,Q$3,ROUND($L808*Q$7,0)))</f>
        <v/>
      </c>
      <c r="G808" s="1378">
        <f>IF($L808&gt;R$5,MAX(0,R$3+ROUND((R$9*($L808-R$5)),0)),IF($L808&gt;R$4,R$3,ROUND($L808*R$7,0)))</f>
        <v/>
      </c>
      <c r="H808" s="448">
        <f>IF($L808&gt;S$5,MAX(0,S$3+ROUND((S$9*($L808-S$5)),0)),IF($L808&gt;S$4,S$3,ROUND($L808*S$7,0)))</f>
        <v/>
      </c>
      <c r="I808" s="448">
        <f>IF($L808&gt;T$5,MAX(0,T$3+ROUND((T$9*($L808-T$5)),0)),IF($L808&gt;T$4,T$3,ROUND($L808*T$7,0)))</f>
        <v/>
      </c>
      <c r="J808" s="447">
        <f>IF($L808&gt;U$5,MAX(0,U$3+ROUND((U$9*($L808-U$5)),0)),IF($L808&gt;U$4,U$3,ROUND($L808*U$7,0)))</f>
        <v/>
      </c>
      <c r="K808" s="422" t="n"/>
      <c r="L808" s="448">
        <f>ROUND((A808+B808)/2,2)</f>
        <v/>
      </c>
    </row>
    <row r="809" ht="13.5" customHeight="1" s="7635">
      <c r="A809" s="448" t="n">
        <v>40200</v>
      </c>
      <c r="B809" s="447" t="n">
        <v>40250</v>
      </c>
      <c r="C809" s="1378">
        <f>IF($L809&gt;N$5,MAX(0,N$3+ROUND((N$9*($L809-N$5)),0)),IF($L809&gt;N$4,N$3,ROUND($L809*N$7,0)))</f>
        <v/>
      </c>
      <c r="D809" s="448">
        <f>IF($L809&gt;O$5,MAX(0,O$3+ROUND((O$9*($L809-O$5)),0)),IF($L809&gt;O$4,O$3,ROUND($L809*O$7,0)))</f>
        <v/>
      </c>
      <c r="E809" s="448">
        <f>IF($L809&gt;P$5,MAX(0,P$3+ROUND((P$9*($L809-P$5)),0)),IF($L809&gt;P$4,P$3,ROUND($L809*P$7,0)))</f>
        <v/>
      </c>
      <c r="F809" s="447">
        <f>IF($L809&gt;Q$5,MAX(0,Q$3+ROUND((Q$9*($L809-Q$5)),0)),IF($L809&gt;Q$4,Q$3,ROUND($L809*Q$7,0)))</f>
        <v/>
      </c>
      <c r="G809" s="1378">
        <f>IF($L809&gt;R$5,MAX(0,R$3+ROUND((R$9*($L809-R$5)),0)),IF($L809&gt;R$4,R$3,ROUND($L809*R$7,0)))</f>
        <v/>
      </c>
      <c r="H809" s="448">
        <f>IF($L809&gt;S$5,MAX(0,S$3+ROUND((S$9*($L809-S$5)),0)),IF($L809&gt;S$4,S$3,ROUND($L809*S$7,0)))</f>
        <v/>
      </c>
      <c r="I809" s="448">
        <f>IF($L809&gt;T$5,MAX(0,T$3+ROUND((T$9*($L809-T$5)),0)),IF($L809&gt;T$4,T$3,ROUND($L809*T$7,0)))</f>
        <v/>
      </c>
      <c r="J809" s="447">
        <f>IF($L809&gt;U$5,MAX(0,U$3+ROUND((U$9*($L809-U$5)),0)),IF($L809&gt;U$4,U$3,ROUND($L809*U$7,0)))</f>
        <v/>
      </c>
      <c r="K809" s="422" t="n"/>
      <c r="L809" s="448">
        <f>ROUND((A809+B809)/2,2)</f>
        <v/>
      </c>
    </row>
    <row r="810" ht="13.5" customHeight="1" s="7635">
      <c r="A810" s="448" t="n">
        <v>40250</v>
      </c>
      <c r="B810" s="447" t="n">
        <v>40300</v>
      </c>
      <c r="C810" s="1378">
        <f>IF($L810&gt;N$5,MAX(0,N$3+ROUND((N$9*($L810-N$5)),0)),IF($L810&gt;N$4,N$3,ROUND($L810*N$7,0)))</f>
        <v/>
      </c>
      <c r="D810" s="448">
        <f>IF($L810&gt;O$5,MAX(0,O$3+ROUND((O$9*($L810-O$5)),0)),IF($L810&gt;O$4,O$3,ROUND($L810*O$7,0)))</f>
        <v/>
      </c>
      <c r="E810" s="448">
        <f>IF($L810&gt;P$5,MAX(0,P$3+ROUND((P$9*($L810-P$5)),0)),IF($L810&gt;P$4,P$3,ROUND($L810*P$7,0)))</f>
        <v/>
      </c>
      <c r="F810" s="447">
        <f>IF($L810&gt;Q$5,MAX(0,Q$3+ROUND((Q$9*($L810-Q$5)),0)),IF($L810&gt;Q$4,Q$3,ROUND($L810*Q$7,0)))</f>
        <v/>
      </c>
      <c r="G810" s="1378">
        <f>IF($L810&gt;R$5,MAX(0,R$3+ROUND((R$9*($L810-R$5)),0)),IF($L810&gt;R$4,R$3,ROUND($L810*R$7,0)))</f>
        <v/>
      </c>
      <c r="H810" s="448">
        <f>IF($L810&gt;S$5,MAX(0,S$3+ROUND((S$9*($L810-S$5)),0)),IF($L810&gt;S$4,S$3,ROUND($L810*S$7,0)))</f>
        <v/>
      </c>
      <c r="I810" s="448">
        <f>IF($L810&gt;T$5,MAX(0,T$3+ROUND((T$9*($L810-T$5)),0)),IF($L810&gt;T$4,T$3,ROUND($L810*T$7,0)))</f>
        <v/>
      </c>
      <c r="J810" s="447">
        <f>IF($L810&gt;U$5,MAX(0,U$3+ROUND((U$9*($L810-U$5)),0)),IF($L810&gt;U$4,U$3,ROUND($L810*U$7,0)))</f>
        <v/>
      </c>
      <c r="K810" s="422" t="n"/>
      <c r="L810" s="448">
        <f>ROUND((A810+B810)/2,2)</f>
        <v/>
      </c>
    </row>
    <row r="811" ht="13.5" customHeight="1" s="7635">
      <c r="A811" s="448" t="n">
        <v>40300</v>
      </c>
      <c r="B811" s="447" t="n">
        <v>40350</v>
      </c>
      <c r="C811" s="1378">
        <f>IF($L811&gt;N$5,MAX(0,N$3+ROUND((N$9*($L811-N$5)),0)),IF($L811&gt;N$4,N$3,ROUND($L811*N$7,0)))</f>
        <v/>
      </c>
      <c r="D811" s="448">
        <f>IF($L811&gt;O$5,MAX(0,O$3+ROUND((O$9*($L811-O$5)),0)),IF($L811&gt;O$4,O$3,ROUND($L811*O$7,0)))</f>
        <v/>
      </c>
      <c r="E811" s="448">
        <f>IF($L811&gt;P$5,MAX(0,P$3+ROUND((P$9*($L811-P$5)),0)),IF($L811&gt;P$4,P$3,ROUND($L811*P$7,0)))</f>
        <v/>
      </c>
      <c r="F811" s="447">
        <f>IF($L811&gt;Q$5,MAX(0,Q$3+ROUND((Q$9*($L811-Q$5)),0)),IF($L811&gt;Q$4,Q$3,ROUND($L811*Q$7,0)))</f>
        <v/>
      </c>
      <c r="G811" s="1378">
        <f>IF($L811&gt;R$5,MAX(0,R$3+ROUND((R$9*($L811-R$5)),0)),IF($L811&gt;R$4,R$3,ROUND($L811*R$7,0)))</f>
        <v/>
      </c>
      <c r="H811" s="448">
        <f>IF($L811&gt;S$5,MAX(0,S$3+ROUND((S$9*($L811-S$5)),0)),IF($L811&gt;S$4,S$3,ROUND($L811*S$7,0)))</f>
        <v/>
      </c>
      <c r="I811" s="448">
        <f>IF($L811&gt;T$5,MAX(0,T$3+ROUND((T$9*($L811-T$5)),0)),IF($L811&gt;T$4,T$3,ROUND($L811*T$7,0)))</f>
        <v/>
      </c>
      <c r="J811" s="447">
        <f>IF($L811&gt;U$5,MAX(0,U$3+ROUND((U$9*($L811-U$5)),0)),IF($L811&gt;U$4,U$3,ROUND($L811*U$7,0)))</f>
        <v/>
      </c>
      <c r="K811" s="422" t="n"/>
      <c r="L811" s="448">
        <f>ROUND((A811+B811)/2,2)</f>
        <v/>
      </c>
    </row>
    <row r="812" ht="13.5" customHeight="1" s="7635">
      <c r="A812" s="448" t="n">
        <v>40350</v>
      </c>
      <c r="B812" s="447" t="n">
        <v>40400</v>
      </c>
      <c r="C812" s="1378">
        <f>IF($L812&gt;N$5,MAX(0,N$3+ROUND((N$9*($L812-N$5)),0)),IF($L812&gt;N$4,N$3,ROUND($L812*N$7,0)))</f>
        <v/>
      </c>
      <c r="D812" s="448">
        <f>IF($L812&gt;O$5,MAX(0,O$3+ROUND((O$9*($L812-O$5)),0)),IF($L812&gt;O$4,O$3,ROUND($L812*O$7,0)))</f>
        <v/>
      </c>
      <c r="E812" s="448">
        <f>IF($L812&gt;P$5,MAX(0,P$3+ROUND((P$9*($L812-P$5)),0)),IF($L812&gt;P$4,P$3,ROUND($L812*P$7,0)))</f>
        <v/>
      </c>
      <c r="F812" s="447">
        <f>IF($L812&gt;Q$5,MAX(0,Q$3+ROUND((Q$9*($L812-Q$5)),0)),IF($L812&gt;Q$4,Q$3,ROUND($L812*Q$7,0)))</f>
        <v/>
      </c>
      <c r="G812" s="1378">
        <f>IF($L812&gt;R$5,MAX(0,R$3+ROUND((R$9*($L812-R$5)),0)),IF($L812&gt;R$4,R$3,ROUND($L812*R$7,0)))</f>
        <v/>
      </c>
      <c r="H812" s="448">
        <f>IF($L812&gt;S$5,MAX(0,S$3+ROUND((S$9*($L812-S$5)),0)),IF($L812&gt;S$4,S$3,ROUND($L812*S$7,0)))</f>
        <v/>
      </c>
      <c r="I812" s="448">
        <f>IF($L812&gt;T$5,MAX(0,T$3+ROUND((T$9*($L812-T$5)),0)),IF($L812&gt;T$4,T$3,ROUND($L812*T$7,0)))</f>
        <v/>
      </c>
      <c r="J812" s="447">
        <f>IF($L812&gt;U$5,MAX(0,U$3+ROUND((U$9*($L812-U$5)),0)),IF($L812&gt;U$4,U$3,ROUND($L812*U$7,0)))</f>
        <v/>
      </c>
      <c r="K812" s="422" t="n"/>
      <c r="L812" s="448">
        <f>ROUND((A812+B812)/2,2)</f>
        <v/>
      </c>
    </row>
    <row r="813" ht="13.5" customHeight="1" s="7635">
      <c r="A813" s="448" t="n">
        <v>40400</v>
      </c>
      <c r="B813" s="447" t="n">
        <v>40450</v>
      </c>
      <c r="C813" s="1378">
        <f>IF($L813&gt;N$5,MAX(0,N$3+ROUND((N$9*($L813-N$5)),0)),IF($L813&gt;N$4,N$3,ROUND($L813*N$7,0)))</f>
        <v/>
      </c>
      <c r="D813" s="448">
        <f>IF($L813&gt;O$5,MAX(0,O$3+ROUND((O$9*($L813-O$5)),0)),IF($L813&gt;O$4,O$3,ROUND($L813*O$7,0)))</f>
        <v/>
      </c>
      <c r="E813" s="448">
        <f>IF($L813&gt;P$5,MAX(0,P$3+ROUND((P$9*($L813-P$5)),0)),IF($L813&gt;P$4,P$3,ROUND($L813*P$7,0)))</f>
        <v/>
      </c>
      <c r="F813" s="447">
        <f>IF($L813&gt;Q$5,MAX(0,Q$3+ROUND((Q$9*($L813-Q$5)),0)),IF($L813&gt;Q$4,Q$3,ROUND($L813*Q$7,0)))</f>
        <v/>
      </c>
      <c r="G813" s="1378">
        <f>IF($L813&gt;R$5,MAX(0,R$3+ROUND((R$9*($L813-R$5)),0)),IF($L813&gt;R$4,R$3,ROUND($L813*R$7,0)))</f>
        <v/>
      </c>
      <c r="H813" s="448">
        <f>IF($L813&gt;S$5,MAX(0,S$3+ROUND((S$9*($L813-S$5)),0)),IF($L813&gt;S$4,S$3,ROUND($L813*S$7,0)))</f>
        <v/>
      </c>
      <c r="I813" s="448">
        <f>IF($L813&gt;T$5,MAX(0,T$3+ROUND((T$9*($L813-T$5)),0)),IF($L813&gt;T$4,T$3,ROUND($L813*T$7,0)))</f>
        <v/>
      </c>
      <c r="J813" s="447">
        <f>IF($L813&gt;U$5,MAX(0,U$3+ROUND((U$9*($L813-U$5)),0)),IF($L813&gt;U$4,U$3,ROUND($L813*U$7,0)))</f>
        <v/>
      </c>
      <c r="K813" s="422" t="n"/>
      <c r="L813" s="448">
        <f>ROUND((A813+B813)/2,2)</f>
        <v/>
      </c>
    </row>
    <row r="814" ht="13.5" customHeight="1" s="7635">
      <c r="A814" s="448" t="n">
        <v>40450</v>
      </c>
      <c r="B814" s="447" t="n">
        <v>40500</v>
      </c>
      <c r="C814" s="1378">
        <f>IF($L814&gt;N$5,MAX(0,N$3+ROUND((N$9*($L814-N$5)),0)),IF($L814&gt;N$4,N$3,ROUND($L814*N$7,0)))</f>
        <v/>
      </c>
      <c r="D814" s="448">
        <f>IF($L814&gt;O$5,MAX(0,O$3+ROUND((O$9*($L814-O$5)),0)),IF($L814&gt;O$4,O$3,ROUND($L814*O$7,0)))</f>
        <v/>
      </c>
      <c r="E814" s="448">
        <f>IF($L814&gt;P$5,MAX(0,P$3+ROUND((P$9*($L814-P$5)),0)),IF($L814&gt;P$4,P$3,ROUND($L814*P$7,0)))</f>
        <v/>
      </c>
      <c r="F814" s="447">
        <f>IF($L814&gt;Q$5,MAX(0,Q$3+ROUND((Q$9*($L814-Q$5)),0)),IF($L814&gt;Q$4,Q$3,ROUND($L814*Q$7,0)))</f>
        <v/>
      </c>
      <c r="G814" s="1378">
        <f>IF($L814&gt;R$5,MAX(0,R$3+ROUND((R$9*($L814-R$5)),0)),IF($L814&gt;R$4,R$3,ROUND($L814*R$7,0)))</f>
        <v/>
      </c>
      <c r="H814" s="448">
        <f>IF($L814&gt;S$5,MAX(0,S$3+ROUND((S$9*($L814-S$5)),0)),IF($L814&gt;S$4,S$3,ROUND($L814*S$7,0)))</f>
        <v/>
      </c>
      <c r="I814" s="448">
        <f>IF($L814&gt;T$5,MAX(0,T$3+ROUND((T$9*($L814-T$5)),0)),IF($L814&gt;T$4,T$3,ROUND($L814*T$7,0)))</f>
        <v/>
      </c>
      <c r="J814" s="447">
        <f>IF($L814&gt;U$5,MAX(0,U$3+ROUND((U$9*($L814-U$5)),0)),IF($L814&gt;U$4,U$3,ROUND($L814*U$7,0)))</f>
        <v/>
      </c>
      <c r="K814" s="422" t="n"/>
      <c r="L814" s="448">
        <f>ROUND((A814+B814)/2,2)</f>
        <v/>
      </c>
    </row>
    <row r="815" ht="13.5" customHeight="1" s="7635">
      <c r="A815" s="448" t="n">
        <v>40500</v>
      </c>
      <c r="B815" s="447" t="n">
        <v>40550</v>
      </c>
      <c r="C815" s="1378">
        <f>IF($L815&gt;N$5,MAX(0,N$3+ROUND((N$9*($L815-N$5)),0)),IF($L815&gt;N$4,N$3,ROUND($L815*N$7,0)))</f>
        <v/>
      </c>
      <c r="D815" s="448">
        <f>IF($L815&gt;O$5,MAX(0,O$3+ROUND((O$9*($L815-O$5)),0)),IF($L815&gt;O$4,O$3,ROUND($L815*O$7,0)))</f>
        <v/>
      </c>
      <c r="E815" s="448">
        <f>IF($L815&gt;P$5,MAX(0,P$3+ROUND((P$9*($L815-P$5)),0)),IF($L815&gt;P$4,P$3,ROUND($L815*P$7,0)))</f>
        <v/>
      </c>
      <c r="F815" s="447">
        <f>IF($L815&gt;Q$5,MAX(0,Q$3+ROUND((Q$9*($L815-Q$5)),0)),IF($L815&gt;Q$4,Q$3,ROUND($L815*Q$7,0)))</f>
        <v/>
      </c>
      <c r="G815" s="1378">
        <f>IF($L815&gt;R$5,MAX(0,R$3+ROUND((R$9*($L815-R$5)),0)),IF($L815&gt;R$4,R$3,ROUND($L815*R$7,0)))</f>
        <v/>
      </c>
      <c r="H815" s="448">
        <f>IF($L815&gt;S$5,MAX(0,S$3+ROUND((S$9*($L815-S$5)),0)),IF($L815&gt;S$4,S$3,ROUND($L815*S$7,0)))</f>
        <v/>
      </c>
      <c r="I815" s="448">
        <f>IF($L815&gt;T$5,MAX(0,T$3+ROUND((T$9*($L815-T$5)),0)),IF($L815&gt;T$4,T$3,ROUND($L815*T$7,0)))</f>
        <v/>
      </c>
      <c r="J815" s="447">
        <f>IF($L815&gt;U$5,MAX(0,U$3+ROUND((U$9*($L815-U$5)),0)),IF($L815&gt;U$4,U$3,ROUND($L815*U$7,0)))</f>
        <v/>
      </c>
      <c r="K815" s="422" t="n"/>
      <c r="L815" s="448">
        <f>ROUND((A815+B815)/2,2)</f>
        <v/>
      </c>
    </row>
    <row r="816" ht="13.5" customHeight="1" s="7635">
      <c r="A816" s="448" t="n">
        <v>40550</v>
      </c>
      <c r="B816" s="447" t="n">
        <v>40600</v>
      </c>
      <c r="C816" s="1378">
        <f>IF($L816&gt;N$5,MAX(0,N$3+ROUND((N$9*($L816-N$5)),0)),IF($L816&gt;N$4,N$3,ROUND($L816*N$7,0)))</f>
        <v/>
      </c>
      <c r="D816" s="448">
        <f>IF($L816&gt;O$5,MAX(0,O$3+ROUND((O$9*($L816-O$5)),0)),IF($L816&gt;O$4,O$3,ROUND($L816*O$7,0)))</f>
        <v/>
      </c>
      <c r="E816" s="448">
        <f>IF($L816&gt;P$5,MAX(0,P$3+ROUND((P$9*($L816-P$5)),0)),IF($L816&gt;P$4,P$3,ROUND($L816*P$7,0)))</f>
        <v/>
      </c>
      <c r="F816" s="447">
        <f>IF($L816&gt;Q$5,MAX(0,Q$3+ROUND((Q$9*($L816-Q$5)),0)),IF($L816&gt;Q$4,Q$3,ROUND($L816*Q$7,0)))</f>
        <v/>
      </c>
      <c r="G816" s="1378">
        <f>IF($L816&gt;R$5,MAX(0,R$3+ROUND((R$9*($L816-R$5)),0)),IF($L816&gt;R$4,R$3,ROUND($L816*R$7,0)))</f>
        <v/>
      </c>
      <c r="H816" s="448">
        <f>IF($L816&gt;S$5,MAX(0,S$3+ROUND((S$9*($L816-S$5)),0)),IF($L816&gt;S$4,S$3,ROUND($L816*S$7,0)))</f>
        <v/>
      </c>
      <c r="I816" s="448">
        <f>IF($L816&gt;T$5,MAX(0,T$3+ROUND((T$9*($L816-T$5)),0)),IF($L816&gt;T$4,T$3,ROUND($L816*T$7,0)))</f>
        <v/>
      </c>
      <c r="J816" s="447">
        <f>IF($L816&gt;U$5,MAX(0,U$3+ROUND((U$9*($L816-U$5)),0)),IF($L816&gt;U$4,U$3,ROUND($L816*U$7,0)))</f>
        <v/>
      </c>
      <c r="K816" s="422" t="n"/>
      <c r="L816" s="448">
        <f>ROUND((A816+B816)/2,2)</f>
        <v/>
      </c>
    </row>
    <row r="817" ht="13.5" customHeight="1" s="7635">
      <c r="A817" s="448" t="n">
        <v>40600</v>
      </c>
      <c r="B817" s="447" t="n">
        <v>40650</v>
      </c>
      <c r="C817" s="1378">
        <f>IF($L817&gt;N$5,MAX(0,N$3+ROUND((N$9*($L817-N$5)),0)),IF($L817&gt;N$4,N$3,ROUND($L817*N$7,0)))</f>
        <v/>
      </c>
      <c r="D817" s="448">
        <f>IF($L817&gt;O$5,MAX(0,O$3+ROUND((O$9*($L817-O$5)),0)),IF($L817&gt;O$4,O$3,ROUND($L817*O$7,0)))</f>
        <v/>
      </c>
      <c r="E817" s="448">
        <f>IF($L817&gt;P$5,MAX(0,P$3+ROUND((P$9*($L817-P$5)),0)),IF($L817&gt;P$4,P$3,ROUND($L817*P$7,0)))</f>
        <v/>
      </c>
      <c r="F817" s="447">
        <f>IF($L817&gt;Q$5,MAX(0,Q$3+ROUND((Q$9*($L817-Q$5)),0)),IF($L817&gt;Q$4,Q$3,ROUND($L817*Q$7,0)))</f>
        <v/>
      </c>
      <c r="G817" s="1378">
        <f>IF($L817&gt;R$5,MAX(0,R$3+ROUND((R$9*($L817-R$5)),0)),IF($L817&gt;R$4,R$3,ROUND($L817*R$7,0)))</f>
        <v/>
      </c>
      <c r="H817" s="448">
        <f>IF($L817&gt;S$5,MAX(0,S$3+ROUND((S$9*($L817-S$5)),0)),IF($L817&gt;S$4,S$3,ROUND($L817*S$7,0)))</f>
        <v/>
      </c>
      <c r="I817" s="448">
        <f>IF($L817&gt;T$5,MAX(0,T$3+ROUND((T$9*($L817-T$5)),0)),IF($L817&gt;T$4,T$3,ROUND($L817*T$7,0)))</f>
        <v/>
      </c>
      <c r="J817" s="447">
        <f>IF($L817&gt;U$5,MAX(0,U$3+ROUND((U$9*($L817-U$5)),0)),IF($L817&gt;U$4,U$3,ROUND($L817*U$7,0)))</f>
        <v/>
      </c>
      <c r="K817" s="422" t="n"/>
      <c r="L817" s="448">
        <f>ROUND((A817+B817)/2,2)</f>
        <v/>
      </c>
    </row>
    <row r="818" ht="13.5" customHeight="1" s="7635">
      <c r="A818" s="448" t="n">
        <v>40650</v>
      </c>
      <c r="B818" s="447" t="n">
        <v>40700</v>
      </c>
      <c r="C818" s="1378">
        <f>IF($L818&gt;N$5,MAX(0,N$3+ROUND((N$9*($L818-N$5)),0)),IF($L818&gt;N$4,N$3,ROUND($L818*N$7,0)))</f>
        <v/>
      </c>
      <c r="D818" s="448">
        <f>IF($L818&gt;O$5,MAX(0,O$3+ROUND((O$9*($L818-O$5)),0)),IF($L818&gt;O$4,O$3,ROUND($L818*O$7,0)))</f>
        <v/>
      </c>
      <c r="E818" s="448">
        <f>IF($L818&gt;P$5,MAX(0,P$3+ROUND((P$9*($L818-P$5)),0)),IF($L818&gt;P$4,P$3,ROUND($L818*P$7,0)))</f>
        <v/>
      </c>
      <c r="F818" s="447">
        <f>IF($L818&gt;Q$5,MAX(0,Q$3+ROUND((Q$9*($L818-Q$5)),0)),IF($L818&gt;Q$4,Q$3,ROUND($L818*Q$7,0)))</f>
        <v/>
      </c>
      <c r="G818" s="1378">
        <f>IF($L818&gt;R$5,MAX(0,R$3+ROUND((R$9*($L818-R$5)),0)),IF($L818&gt;R$4,R$3,ROUND($L818*R$7,0)))</f>
        <v/>
      </c>
      <c r="H818" s="448">
        <f>IF($L818&gt;S$5,MAX(0,S$3+ROUND((S$9*($L818-S$5)),0)),IF($L818&gt;S$4,S$3,ROUND($L818*S$7,0)))</f>
        <v/>
      </c>
      <c r="I818" s="448">
        <f>IF($L818&gt;T$5,MAX(0,T$3+ROUND((T$9*($L818-T$5)),0)),IF($L818&gt;T$4,T$3,ROUND($L818*T$7,0)))</f>
        <v/>
      </c>
      <c r="J818" s="447">
        <f>IF($L818&gt;U$5,MAX(0,U$3+ROUND((U$9*($L818-U$5)),0)),IF($L818&gt;U$4,U$3,ROUND($L818*U$7,0)))</f>
        <v/>
      </c>
      <c r="K818" s="422" t="n"/>
      <c r="L818" s="448">
        <f>ROUND((A818+B818)/2,2)</f>
        <v/>
      </c>
    </row>
    <row r="819" ht="13.5" customHeight="1" s="7635">
      <c r="A819" s="448" t="n">
        <v>40700</v>
      </c>
      <c r="B819" s="447" t="n">
        <v>40750</v>
      </c>
      <c r="C819" s="1378">
        <f>IF($L819&gt;N$5,MAX(0,N$3+ROUND((N$9*($L819-N$5)),0)),IF($L819&gt;N$4,N$3,ROUND($L819*N$7,0)))</f>
        <v/>
      </c>
      <c r="D819" s="448">
        <f>IF($L819&gt;O$5,MAX(0,O$3+ROUND((O$9*($L819-O$5)),0)),IF($L819&gt;O$4,O$3,ROUND($L819*O$7,0)))</f>
        <v/>
      </c>
      <c r="E819" s="448">
        <f>IF($L819&gt;P$5,MAX(0,P$3+ROUND((P$9*($L819-P$5)),0)),IF($L819&gt;P$4,P$3,ROUND($L819*P$7,0)))</f>
        <v/>
      </c>
      <c r="F819" s="447">
        <f>IF($L819&gt;Q$5,MAX(0,Q$3+ROUND((Q$9*($L819-Q$5)),0)),IF($L819&gt;Q$4,Q$3,ROUND($L819*Q$7,0)))</f>
        <v/>
      </c>
      <c r="G819" s="1378">
        <f>IF($L819&gt;R$5,MAX(0,R$3+ROUND((R$9*($L819-R$5)),0)),IF($L819&gt;R$4,R$3,ROUND($L819*R$7,0)))</f>
        <v/>
      </c>
      <c r="H819" s="448">
        <f>IF($L819&gt;S$5,MAX(0,S$3+ROUND((S$9*($L819-S$5)),0)),IF($L819&gt;S$4,S$3,ROUND($L819*S$7,0)))</f>
        <v/>
      </c>
      <c r="I819" s="448">
        <f>IF($L819&gt;T$5,MAX(0,T$3+ROUND((T$9*($L819-T$5)),0)),IF($L819&gt;T$4,T$3,ROUND($L819*T$7,0)))</f>
        <v/>
      </c>
      <c r="J819" s="447">
        <f>IF($L819&gt;U$5,MAX(0,U$3+ROUND((U$9*($L819-U$5)),0)),IF($L819&gt;U$4,U$3,ROUND($L819*U$7,0)))</f>
        <v/>
      </c>
      <c r="K819" s="422" t="n"/>
      <c r="L819" s="448">
        <f>ROUND((A819+B819)/2,2)</f>
        <v/>
      </c>
    </row>
    <row r="820" ht="13.5" customHeight="1" s="7635">
      <c r="A820" s="448" t="n">
        <v>40750</v>
      </c>
      <c r="B820" s="447" t="n">
        <v>40800</v>
      </c>
      <c r="C820" s="1378">
        <f>IF($L820&gt;N$5,MAX(0,N$3+ROUND((N$9*($L820-N$5)),0)),IF($L820&gt;N$4,N$3,ROUND($L820*N$7,0)))</f>
        <v/>
      </c>
      <c r="D820" s="448">
        <f>IF($L820&gt;O$5,MAX(0,O$3+ROUND((O$9*($L820-O$5)),0)),IF($L820&gt;O$4,O$3,ROUND($L820*O$7,0)))</f>
        <v/>
      </c>
      <c r="E820" s="448">
        <f>IF($L820&gt;P$5,MAX(0,P$3+ROUND((P$9*($L820-P$5)),0)),IF($L820&gt;P$4,P$3,ROUND($L820*P$7,0)))</f>
        <v/>
      </c>
      <c r="F820" s="447">
        <f>IF($L820&gt;Q$5,MAX(0,Q$3+ROUND((Q$9*($L820-Q$5)),0)),IF($L820&gt;Q$4,Q$3,ROUND($L820*Q$7,0)))</f>
        <v/>
      </c>
      <c r="G820" s="1378">
        <f>IF($L820&gt;R$5,MAX(0,R$3+ROUND((R$9*($L820-R$5)),0)),IF($L820&gt;R$4,R$3,ROUND($L820*R$7,0)))</f>
        <v/>
      </c>
      <c r="H820" s="448">
        <f>IF($L820&gt;S$5,MAX(0,S$3+ROUND((S$9*($L820-S$5)),0)),IF($L820&gt;S$4,S$3,ROUND($L820*S$7,0)))</f>
        <v/>
      </c>
      <c r="I820" s="448">
        <f>IF($L820&gt;T$5,MAX(0,T$3+ROUND((T$9*($L820-T$5)),0)),IF($L820&gt;T$4,T$3,ROUND($L820*T$7,0)))</f>
        <v/>
      </c>
      <c r="J820" s="447">
        <f>IF($L820&gt;U$5,MAX(0,U$3+ROUND((U$9*($L820-U$5)),0)),IF($L820&gt;U$4,U$3,ROUND($L820*U$7,0)))</f>
        <v/>
      </c>
      <c r="K820" s="422" t="n"/>
      <c r="L820" s="448">
        <f>ROUND((A820+B820)/2,2)</f>
        <v/>
      </c>
    </row>
    <row r="821" ht="13.5" customHeight="1" s="7635">
      <c r="A821" s="448" t="n">
        <v>40800</v>
      </c>
      <c r="B821" s="447" t="n">
        <v>40850</v>
      </c>
      <c r="C821" s="1378">
        <f>IF($L821&gt;N$5,MAX(0,N$3+ROUND((N$9*($L821-N$5)),0)),IF($L821&gt;N$4,N$3,ROUND($L821*N$7,0)))</f>
        <v/>
      </c>
      <c r="D821" s="448">
        <f>IF($L821&gt;O$5,MAX(0,O$3+ROUND((O$9*($L821-O$5)),0)),IF($L821&gt;O$4,O$3,ROUND($L821*O$7,0)))</f>
        <v/>
      </c>
      <c r="E821" s="448">
        <f>IF($L821&gt;P$5,MAX(0,P$3+ROUND((P$9*($L821-P$5)),0)),IF($L821&gt;P$4,P$3,ROUND($L821*P$7,0)))</f>
        <v/>
      </c>
      <c r="F821" s="447">
        <f>IF($L821&gt;Q$5,MAX(0,Q$3+ROUND((Q$9*($L821-Q$5)),0)),IF($L821&gt;Q$4,Q$3,ROUND($L821*Q$7,0)))</f>
        <v/>
      </c>
      <c r="G821" s="1378">
        <f>IF($L821&gt;R$5,MAX(0,R$3+ROUND((R$9*($L821-R$5)),0)),IF($L821&gt;R$4,R$3,ROUND($L821*R$7,0)))</f>
        <v/>
      </c>
      <c r="H821" s="448">
        <f>IF($L821&gt;S$5,MAX(0,S$3+ROUND((S$9*($L821-S$5)),0)),IF($L821&gt;S$4,S$3,ROUND($L821*S$7,0)))</f>
        <v/>
      </c>
      <c r="I821" s="448">
        <f>IF($L821&gt;T$5,MAX(0,T$3+ROUND((T$9*($L821-T$5)),0)),IF($L821&gt;T$4,T$3,ROUND($L821*T$7,0)))</f>
        <v/>
      </c>
      <c r="J821" s="447">
        <f>IF($L821&gt;U$5,MAX(0,U$3+ROUND((U$9*($L821-U$5)),0)),IF($L821&gt;U$4,U$3,ROUND($L821*U$7,0)))</f>
        <v/>
      </c>
      <c r="K821" s="422" t="n"/>
      <c r="L821" s="448">
        <f>ROUND((A821+B821)/2,2)</f>
        <v/>
      </c>
    </row>
    <row r="822" ht="13.5" customHeight="1" s="7635">
      <c r="A822" s="448" t="n">
        <v>40850</v>
      </c>
      <c r="B822" s="447" t="n">
        <v>40900</v>
      </c>
      <c r="C822" s="1378">
        <f>IF($L822&gt;N$5,MAX(0,N$3+ROUND((N$9*($L822-N$5)),0)),IF($L822&gt;N$4,N$3,ROUND($L822*N$7,0)))</f>
        <v/>
      </c>
      <c r="D822" s="448">
        <f>IF($L822&gt;O$5,MAX(0,O$3+ROUND((O$9*($L822-O$5)),0)),IF($L822&gt;O$4,O$3,ROUND($L822*O$7,0)))</f>
        <v/>
      </c>
      <c r="E822" s="448">
        <f>IF($L822&gt;P$5,MAX(0,P$3+ROUND((P$9*($L822-P$5)),0)),IF($L822&gt;P$4,P$3,ROUND($L822*P$7,0)))</f>
        <v/>
      </c>
      <c r="F822" s="447">
        <f>IF($L822&gt;Q$5,MAX(0,Q$3+ROUND((Q$9*($L822-Q$5)),0)),IF($L822&gt;Q$4,Q$3,ROUND($L822*Q$7,0)))</f>
        <v/>
      </c>
      <c r="G822" s="1378">
        <f>IF($L822&gt;R$5,MAX(0,R$3+ROUND((R$9*($L822-R$5)),0)),IF($L822&gt;R$4,R$3,ROUND($L822*R$7,0)))</f>
        <v/>
      </c>
      <c r="H822" s="448">
        <f>IF($L822&gt;S$5,MAX(0,S$3+ROUND((S$9*($L822-S$5)),0)),IF($L822&gt;S$4,S$3,ROUND($L822*S$7,0)))</f>
        <v/>
      </c>
      <c r="I822" s="448">
        <f>IF($L822&gt;T$5,MAX(0,T$3+ROUND((T$9*($L822-T$5)),0)),IF($L822&gt;T$4,T$3,ROUND($L822*T$7,0)))</f>
        <v/>
      </c>
      <c r="J822" s="447">
        <f>IF($L822&gt;U$5,MAX(0,U$3+ROUND((U$9*($L822-U$5)),0)),IF($L822&gt;U$4,U$3,ROUND($L822*U$7,0)))</f>
        <v/>
      </c>
      <c r="K822" s="422" t="n"/>
      <c r="L822" s="448">
        <f>ROUND((A822+B822)/2,2)</f>
        <v/>
      </c>
    </row>
    <row r="823" ht="13.5" customHeight="1" s="7635">
      <c r="A823" s="448" t="n">
        <v>40900</v>
      </c>
      <c r="B823" s="447" t="n">
        <v>40950</v>
      </c>
      <c r="C823" s="1378">
        <f>IF($L823&gt;N$5,MAX(0,N$3+ROUND((N$9*($L823-N$5)),0)),IF($L823&gt;N$4,N$3,ROUND($L823*N$7,0)))</f>
        <v/>
      </c>
      <c r="D823" s="448">
        <f>IF($L823&gt;O$5,MAX(0,O$3+ROUND((O$9*($L823-O$5)),0)),IF($L823&gt;O$4,O$3,ROUND($L823*O$7,0)))</f>
        <v/>
      </c>
      <c r="E823" s="448">
        <f>IF($L823&gt;P$5,MAX(0,P$3+ROUND((P$9*($L823-P$5)),0)),IF($L823&gt;P$4,P$3,ROUND($L823*P$7,0)))</f>
        <v/>
      </c>
      <c r="F823" s="447">
        <f>IF($L823&gt;Q$5,MAX(0,Q$3+ROUND((Q$9*($L823-Q$5)),0)),IF($L823&gt;Q$4,Q$3,ROUND($L823*Q$7,0)))</f>
        <v/>
      </c>
      <c r="G823" s="1378">
        <f>IF($L823&gt;R$5,MAX(0,R$3+ROUND((R$9*($L823-R$5)),0)),IF($L823&gt;R$4,R$3,ROUND($L823*R$7,0)))</f>
        <v/>
      </c>
      <c r="H823" s="448">
        <f>IF($L823&gt;S$5,MAX(0,S$3+ROUND((S$9*($L823-S$5)),0)),IF($L823&gt;S$4,S$3,ROUND($L823*S$7,0)))</f>
        <v/>
      </c>
      <c r="I823" s="448">
        <f>IF($L823&gt;T$5,MAX(0,T$3+ROUND((T$9*($L823-T$5)),0)),IF($L823&gt;T$4,T$3,ROUND($L823*T$7,0)))</f>
        <v/>
      </c>
      <c r="J823" s="447">
        <f>IF($L823&gt;U$5,MAX(0,U$3+ROUND((U$9*($L823-U$5)),0)),IF($L823&gt;U$4,U$3,ROUND($L823*U$7,0)))</f>
        <v/>
      </c>
      <c r="K823" s="422" t="n"/>
      <c r="L823" s="448">
        <f>ROUND((A823+B823)/2,2)</f>
        <v/>
      </c>
    </row>
    <row r="824" ht="13.5" customHeight="1" s="7635">
      <c r="A824" s="448" t="n">
        <v>40950</v>
      </c>
      <c r="B824" s="447" t="n">
        <v>41000</v>
      </c>
      <c r="C824" s="1378">
        <f>IF($L824&gt;N$5,MAX(0,N$3+ROUND((N$9*($L824-N$5)),0)),IF($L824&gt;N$4,N$3,ROUND($L824*N$7,0)))</f>
        <v/>
      </c>
      <c r="D824" s="448">
        <f>IF($L824&gt;O$5,MAX(0,O$3+ROUND((O$9*($L824-O$5)),0)),IF($L824&gt;O$4,O$3,ROUND($L824*O$7,0)))</f>
        <v/>
      </c>
      <c r="E824" s="448">
        <f>IF($L824&gt;P$5,MAX(0,P$3+ROUND((P$9*($L824-P$5)),0)),IF($L824&gt;P$4,P$3,ROUND($L824*P$7,0)))</f>
        <v/>
      </c>
      <c r="F824" s="447">
        <f>IF($L824&gt;Q$5,MAX(0,Q$3+ROUND((Q$9*($L824-Q$5)),0)),IF($L824&gt;Q$4,Q$3,ROUND($L824*Q$7,0)))</f>
        <v/>
      </c>
      <c r="G824" s="1378">
        <f>IF($L824&gt;R$5,MAX(0,R$3+ROUND((R$9*($L824-R$5)),0)),IF($L824&gt;R$4,R$3,ROUND($L824*R$7,0)))</f>
        <v/>
      </c>
      <c r="H824" s="448">
        <f>IF($L824&gt;S$5,MAX(0,S$3+ROUND((S$9*($L824-S$5)),0)),IF($L824&gt;S$4,S$3,ROUND($L824*S$7,0)))</f>
        <v/>
      </c>
      <c r="I824" s="448">
        <f>IF($L824&gt;T$5,MAX(0,T$3+ROUND((T$9*($L824-T$5)),0)),IF($L824&gt;T$4,T$3,ROUND($L824*T$7,0)))</f>
        <v/>
      </c>
      <c r="J824" s="447">
        <f>IF($L824&gt;U$5,MAX(0,U$3+ROUND((U$9*($L824-U$5)),0)),IF($L824&gt;U$4,U$3,ROUND($L824*U$7,0)))</f>
        <v/>
      </c>
      <c r="K824" s="422" t="n"/>
      <c r="L824" s="448">
        <f>ROUND((A824+B824)/2,2)</f>
        <v/>
      </c>
    </row>
    <row r="825" ht="13.5" customHeight="1" s="7635">
      <c r="A825" s="448" t="n">
        <v>41000</v>
      </c>
      <c r="B825" s="447" t="n">
        <v>41050</v>
      </c>
      <c r="C825" s="1378">
        <f>IF($L825&gt;N$5,MAX(0,N$3+ROUND((N$9*($L825-N$5)),0)),IF($L825&gt;N$4,N$3,ROUND($L825*N$7,0)))</f>
        <v/>
      </c>
      <c r="D825" s="448">
        <f>IF($L825&gt;O$5,MAX(0,O$3+ROUND((O$9*($L825-O$5)),0)),IF($L825&gt;O$4,O$3,ROUND($L825*O$7,0)))</f>
        <v/>
      </c>
      <c r="E825" s="448">
        <f>IF($L825&gt;P$5,MAX(0,P$3+ROUND((P$9*($L825-P$5)),0)),IF($L825&gt;P$4,P$3,ROUND($L825*P$7,0)))</f>
        <v/>
      </c>
      <c r="F825" s="447">
        <f>IF($L825&gt;Q$5,MAX(0,Q$3+ROUND((Q$9*($L825-Q$5)),0)),IF($L825&gt;Q$4,Q$3,ROUND($L825*Q$7,0)))</f>
        <v/>
      </c>
      <c r="G825" s="1378">
        <f>IF($L825&gt;R$5,MAX(0,R$3+ROUND((R$9*($L825-R$5)),0)),IF($L825&gt;R$4,R$3,ROUND($L825*R$7,0)))</f>
        <v/>
      </c>
      <c r="H825" s="448">
        <f>IF($L825&gt;S$5,MAX(0,S$3+ROUND((S$9*($L825-S$5)),0)),IF($L825&gt;S$4,S$3,ROUND($L825*S$7,0)))</f>
        <v/>
      </c>
      <c r="I825" s="448">
        <f>IF($L825&gt;T$5,MAX(0,T$3+ROUND((T$9*($L825-T$5)),0)),IF($L825&gt;T$4,T$3,ROUND($L825*T$7,0)))</f>
        <v/>
      </c>
      <c r="J825" s="447">
        <f>IF($L825&gt;U$5,MAX(0,U$3+ROUND((U$9*($L825-U$5)),0)),IF($L825&gt;U$4,U$3,ROUND($L825*U$7,0)))</f>
        <v/>
      </c>
      <c r="K825" s="422" t="n"/>
      <c r="L825" s="448">
        <f>ROUND((A825+B825)/2,2)</f>
        <v/>
      </c>
    </row>
    <row r="826" ht="13.5" customHeight="1" s="7635">
      <c r="A826" s="448" t="n">
        <v>41050</v>
      </c>
      <c r="B826" s="447" t="n">
        <v>41100</v>
      </c>
      <c r="C826" s="1378">
        <f>IF($L826&gt;N$5,MAX(0,N$3+ROUND((N$9*($L826-N$5)),0)),IF($L826&gt;N$4,N$3,ROUND($L826*N$7,0)))</f>
        <v/>
      </c>
      <c r="D826" s="448">
        <f>IF($L826&gt;O$5,MAX(0,O$3+ROUND((O$9*($L826-O$5)),0)),IF($L826&gt;O$4,O$3,ROUND($L826*O$7,0)))</f>
        <v/>
      </c>
      <c r="E826" s="448">
        <f>IF($L826&gt;P$5,MAX(0,P$3+ROUND((P$9*($L826-P$5)),0)),IF($L826&gt;P$4,P$3,ROUND($L826*P$7,0)))</f>
        <v/>
      </c>
      <c r="F826" s="447">
        <f>IF($L826&gt;Q$5,MAX(0,Q$3+ROUND((Q$9*($L826-Q$5)),0)),IF($L826&gt;Q$4,Q$3,ROUND($L826*Q$7,0)))</f>
        <v/>
      </c>
      <c r="G826" s="1378">
        <f>IF($L826&gt;R$5,MAX(0,R$3+ROUND((R$9*($L826-R$5)),0)),IF($L826&gt;R$4,R$3,ROUND($L826*R$7,0)))</f>
        <v/>
      </c>
      <c r="H826" s="448">
        <f>IF($L826&gt;S$5,MAX(0,S$3+ROUND((S$9*($L826-S$5)),0)),IF($L826&gt;S$4,S$3,ROUND($L826*S$7,0)))</f>
        <v/>
      </c>
      <c r="I826" s="448">
        <f>IF($L826&gt;T$5,MAX(0,T$3+ROUND((T$9*($L826-T$5)),0)),IF($L826&gt;T$4,T$3,ROUND($L826*T$7,0)))</f>
        <v/>
      </c>
      <c r="J826" s="447">
        <f>IF($L826&gt;U$5,MAX(0,U$3+ROUND((U$9*($L826-U$5)),0)),IF($L826&gt;U$4,U$3,ROUND($L826*U$7,0)))</f>
        <v/>
      </c>
      <c r="K826" s="422" t="n"/>
      <c r="L826" s="448">
        <f>ROUND((A826+B826)/2,2)</f>
        <v/>
      </c>
    </row>
    <row r="827" ht="13.5" customHeight="1" s="7635">
      <c r="A827" s="448" t="n">
        <v>41100</v>
      </c>
      <c r="B827" s="447" t="n">
        <v>41150</v>
      </c>
      <c r="C827" s="1378">
        <f>IF($L827&gt;N$5,MAX(0,N$3+ROUND((N$9*($L827-N$5)),0)),IF($L827&gt;N$4,N$3,ROUND($L827*N$7,0)))</f>
        <v/>
      </c>
      <c r="D827" s="448">
        <f>IF($L827&gt;O$5,MAX(0,O$3+ROUND((O$9*($L827-O$5)),0)),IF($L827&gt;O$4,O$3,ROUND($L827*O$7,0)))</f>
        <v/>
      </c>
      <c r="E827" s="448">
        <f>IF($L827&gt;P$5,MAX(0,P$3+ROUND((P$9*($L827-P$5)),0)),IF($L827&gt;P$4,P$3,ROUND($L827*P$7,0)))</f>
        <v/>
      </c>
      <c r="F827" s="447">
        <f>IF($L827&gt;Q$5,MAX(0,Q$3+ROUND((Q$9*($L827-Q$5)),0)),IF($L827&gt;Q$4,Q$3,ROUND($L827*Q$7,0)))</f>
        <v/>
      </c>
      <c r="G827" s="1378">
        <f>IF($L827&gt;R$5,MAX(0,R$3+ROUND((R$9*($L827-R$5)),0)),IF($L827&gt;R$4,R$3,ROUND($L827*R$7,0)))</f>
        <v/>
      </c>
      <c r="H827" s="448">
        <f>IF($L827&gt;S$5,MAX(0,S$3+ROUND((S$9*($L827-S$5)),0)),IF($L827&gt;S$4,S$3,ROUND($L827*S$7,0)))</f>
        <v/>
      </c>
      <c r="I827" s="448">
        <f>IF($L827&gt;T$5,MAX(0,T$3+ROUND((T$9*($L827-T$5)),0)),IF($L827&gt;T$4,T$3,ROUND($L827*T$7,0)))</f>
        <v/>
      </c>
      <c r="J827" s="447">
        <f>IF($L827&gt;U$5,MAX(0,U$3+ROUND((U$9*($L827-U$5)),0)),IF($L827&gt;U$4,U$3,ROUND($L827*U$7,0)))</f>
        <v/>
      </c>
      <c r="K827" s="422" t="n"/>
      <c r="L827" s="448">
        <f>ROUND((A827+B827)/2,2)</f>
        <v/>
      </c>
    </row>
    <row r="828" ht="13.5" customHeight="1" s="7635">
      <c r="A828" s="448" t="n">
        <v>41150</v>
      </c>
      <c r="B828" s="447" t="n">
        <v>41200</v>
      </c>
      <c r="C828" s="1378">
        <f>IF($L828&gt;N$5,MAX(0,N$3+ROUND((N$9*($L828-N$5)),0)),IF($L828&gt;N$4,N$3,ROUND($L828*N$7,0)))</f>
        <v/>
      </c>
      <c r="D828" s="448">
        <f>IF($L828&gt;O$5,MAX(0,O$3+ROUND((O$9*($L828-O$5)),0)),IF($L828&gt;O$4,O$3,ROUND($L828*O$7,0)))</f>
        <v/>
      </c>
      <c r="E828" s="448">
        <f>IF($L828&gt;P$5,MAX(0,P$3+ROUND((P$9*($L828-P$5)),0)),IF($L828&gt;P$4,P$3,ROUND($L828*P$7,0)))</f>
        <v/>
      </c>
      <c r="F828" s="447">
        <f>IF($L828&gt;Q$5,MAX(0,Q$3+ROUND((Q$9*($L828-Q$5)),0)),IF($L828&gt;Q$4,Q$3,ROUND($L828*Q$7,0)))</f>
        <v/>
      </c>
      <c r="G828" s="1378">
        <f>IF($L828&gt;R$5,MAX(0,R$3+ROUND((R$9*($L828-R$5)),0)),IF($L828&gt;R$4,R$3,ROUND($L828*R$7,0)))</f>
        <v/>
      </c>
      <c r="H828" s="448">
        <f>IF($L828&gt;S$5,MAX(0,S$3+ROUND((S$9*($L828-S$5)),0)),IF($L828&gt;S$4,S$3,ROUND($L828*S$7,0)))</f>
        <v/>
      </c>
      <c r="I828" s="448">
        <f>IF($L828&gt;T$5,MAX(0,T$3+ROUND((T$9*($L828-T$5)),0)),IF($L828&gt;T$4,T$3,ROUND($L828*T$7,0)))</f>
        <v/>
      </c>
      <c r="J828" s="447">
        <f>IF($L828&gt;U$5,MAX(0,U$3+ROUND((U$9*($L828-U$5)),0)),IF($L828&gt;U$4,U$3,ROUND($L828*U$7,0)))</f>
        <v/>
      </c>
      <c r="K828" s="422" t="n"/>
      <c r="L828" s="448">
        <f>ROUND((A828+B828)/2,2)</f>
        <v/>
      </c>
    </row>
    <row r="829" ht="13.5" customHeight="1" s="7635">
      <c r="A829" s="448" t="n">
        <v>41200</v>
      </c>
      <c r="B829" s="447" t="n">
        <v>41250</v>
      </c>
      <c r="C829" s="1378">
        <f>IF($L829&gt;N$5,MAX(0,N$3+ROUND((N$9*($L829-N$5)),0)),IF($L829&gt;N$4,N$3,ROUND($L829*N$7,0)))</f>
        <v/>
      </c>
      <c r="D829" s="448">
        <f>IF($L829&gt;O$5,MAX(0,O$3+ROUND((O$9*($L829-O$5)),0)),IF($L829&gt;O$4,O$3,ROUND($L829*O$7,0)))</f>
        <v/>
      </c>
      <c r="E829" s="448">
        <f>IF($L829&gt;P$5,MAX(0,P$3+ROUND((P$9*($L829-P$5)),0)),IF($L829&gt;P$4,P$3,ROUND($L829*P$7,0)))</f>
        <v/>
      </c>
      <c r="F829" s="447">
        <f>IF($L829&gt;Q$5,MAX(0,Q$3+ROUND((Q$9*($L829-Q$5)),0)),IF($L829&gt;Q$4,Q$3,ROUND($L829*Q$7,0)))</f>
        <v/>
      </c>
      <c r="G829" s="1378">
        <f>IF($L829&gt;R$5,MAX(0,R$3+ROUND((R$9*($L829-R$5)),0)),IF($L829&gt;R$4,R$3,ROUND($L829*R$7,0)))</f>
        <v/>
      </c>
      <c r="H829" s="448">
        <f>IF($L829&gt;S$5,MAX(0,S$3+ROUND((S$9*($L829-S$5)),0)),IF($L829&gt;S$4,S$3,ROUND($L829*S$7,0)))</f>
        <v/>
      </c>
      <c r="I829" s="448">
        <f>IF($L829&gt;T$5,MAX(0,T$3+ROUND((T$9*($L829-T$5)),0)),IF($L829&gt;T$4,T$3,ROUND($L829*T$7,0)))</f>
        <v/>
      </c>
      <c r="J829" s="447">
        <f>IF($L829&gt;U$5,MAX(0,U$3+ROUND((U$9*($L829-U$5)),0)),IF($L829&gt;U$4,U$3,ROUND($L829*U$7,0)))</f>
        <v/>
      </c>
      <c r="K829" s="422" t="n"/>
      <c r="L829" s="448">
        <f>ROUND((A829+B829)/2,2)</f>
        <v/>
      </c>
    </row>
    <row r="830" ht="13.5" customHeight="1" s="7635">
      <c r="A830" s="448" t="n">
        <v>41250</v>
      </c>
      <c r="B830" s="447" t="n">
        <v>41300</v>
      </c>
      <c r="C830" s="1378">
        <f>IF($L830&gt;N$5,MAX(0,N$3+ROUND((N$9*($L830-N$5)),0)),IF($L830&gt;N$4,N$3,ROUND($L830*N$7,0)))</f>
        <v/>
      </c>
      <c r="D830" s="448">
        <f>IF($L830&gt;O$5,MAX(0,O$3+ROUND((O$9*($L830-O$5)),0)),IF($L830&gt;O$4,O$3,ROUND($L830*O$7,0)))</f>
        <v/>
      </c>
      <c r="E830" s="448">
        <f>IF($L830&gt;P$5,MAX(0,P$3+ROUND((P$9*($L830-P$5)),0)),IF($L830&gt;P$4,P$3,ROUND($L830*P$7,0)))</f>
        <v/>
      </c>
      <c r="F830" s="447">
        <f>IF($L830&gt;Q$5,MAX(0,Q$3+ROUND((Q$9*($L830-Q$5)),0)),IF($L830&gt;Q$4,Q$3,ROUND($L830*Q$7,0)))</f>
        <v/>
      </c>
      <c r="G830" s="1378">
        <f>IF($L830&gt;R$5,MAX(0,R$3+ROUND((R$9*($L830-R$5)),0)),IF($L830&gt;R$4,R$3,ROUND($L830*R$7,0)))</f>
        <v/>
      </c>
      <c r="H830" s="448">
        <f>IF($L830&gt;S$5,MAX(0,S$3+ROUND((S$9*($L830-S$5)),0)),IF($L830&gt;S$4,S$3,ROUND($L830*S$7,0)))</f>
        <v/>
      </c>
      <c r="I830" s="448">
        <f>IF($L830&gt;T$5,MAX(0,T$3+ROUND((T$9*($L830-T$5)),0)),IF($L830&gt;T$4,T$3,ROUND($L830*T$7,0)))</f>
        <v/>
      </c>
      <c r="J830" s="447">
        <f>IF($L830&gt;U$5,MAX(0,U$3+ROUND((U$9*($L830-U$5)),0)),IF($L830&gt;U$4,U$3,ROUND($L830*U$7,0)))</f>
        <v/>
      </c>
      <c r="K830" s="422" t="n"/>
      <c r="L830" s="448">
        <f>ROUND((A830+B830)/2,2)</f>
        <v/>
      </c>
    </row>
    <row r="831" ht="13.5" customHeight="1" s="7635">
      <c r="A831" s="448" t="n">
        <v>41300</v>
      </c>
      <c r="B831" s="447" t="n">
        <v>41350</v>
      </c>
      <c r="C831" s="1378">
        <f>IF($L831&gt;N$5,MAX(0,N$3+ROUND((N$9*($L831-N$5)),0)),IF($L831&gt;N$4,N$3,ROUND($L831*N$7,0)))</f>
        <v/>
      </c>
      <c r="D831" s="448">
        <f>IF($L831&gt;O$5,MAX(0,O$3+ROUND((O$9*($L831-O$5)),0)),IF($L831&gt;O$4,O$3,ROUND($L831*O$7,0)))</f>
        <v/>
      </c>
      <c r="E831" s="448">
        <f>IF($L831&gt;P$5,MAX(0,P$3+ROUND((P$9*($L831-P$5)),0)),IF($L831&gt;P$4,P$3,ROUND($L831*P$7,0)))</f>
        <v/>
      </c>
      <c r="F831" s="447">
        <f>IF($L831&gt;Q$5,MAX(0,Q$3+ROUND((Q$9*($L831-Q$5)),0)),IF($L831&gt;Q$4,Q$3,ROUND($L831*Q$7,0)))</f>
        <v/>
      </c>
      <c r="G831" s="1378">
        <f>IF($L831&gt;R$5,MAX(0,R$3+ROUND((R$9*($L831-R$5)),0)),IF($L831&gt;R$4,R$3,ROUND($L831*R$7,0)))</f>
        <v/>
      </c>
      <c r="H831" s="448">
        <f>IF($L831&gt;S$5,MAX(0,S$3+ROUND((S$9*($L831-S$5)),0)),IF($L831&gt;S$4,S$3,ROUND($L831*S$7,0)))</f>
        <v/>
      </c>
      <c r="I831" s="448">
        <f>IF($L831&gt;T$5,MAX(0,T$3+ROUND((T$9*($L831-T$5)),0)),IF($L831&gt;T$4,T$3,ROUND($L831*T$7,0)))</f>
        <v/>
      </c>
      <c r="J831" s="447">
        <f>IF($L831&gt;U$5,MAX(0,U$3+ROUND((U$9*($L831-U$5)),0)),IF($L831&gt;U$4,U$3,ROUND($L831*U$7,0)))</f>
        <v/>
      </c>
      <c r="K831" s="422" t="n"/>
      <c r="L831" s="448">
        <f>ROUND((A831+B831)/2,2)</f>
        <v/>
      </c>
    </row>
    <row r="832" ht="13.5" customHeight="1" s="7635">
      <c r="A832" s="448" t="n">
        <v>41350</v>
      </c>
      <c r="B832" s="447" t="n">
        <v>41400</v>
      </c>
      <c r="C832" s="1378">
        <f>IF($L832&gt;N$5,MAX(0,N$3+ROUND((N$9*($L832-N$5)),0)),IF($L832&gt;N$4,N$3,ROUND($L832*N$7,0)))</f>
        <v/>
      </c>
      <c r="D832" s="448">
        <f>IF($L832&gt;O$5,MAX(0,O$3+ROUND((O$9*($L832-O$5)),0)),IF($L832&gt;O$4,O$3,ROUND($L832*O$7,0)))</f>
        <v/>
      </c>
      <c r="E832" s="448">
        <f>IF($L832&gt;P$5,MAX(0,P$3+ROUND((P$9*($L832-P$5)),0)),IF($L832&gt;P$4,P$3,ROUND($L832*P$7,0)))</f>
        <v/>
      </c>
      <c r="F832" s="447">
        <f>IF($L832&gt;Q$5,MAX(0,Q$3+ROUND((Q$9*($L832-Q$5)),0)),IF($L832&gt;Q$4,Q$3,ROUND($L832*Q$7,0)))</f>
        <v/>
      </c>
      <c r="G832" s="1378">
        <f>IF($L832&gt;R$5,MAX(0,R$3+ROUND((R$9*($L832-R$5)),0)),IF($L832&gt;R$4,R$3,ROUND($L832*R$7,0)))</f>
        <v/>
      </c>
      <c r="H832" s="448">
        <f>IF($L832&gt;S$5,MAX(0,S$3+ROUND((S$9*($L832-S$5)),0)),IF($L832&gt;S$4,S$3,ROUND($L832*S$7,0)))</f>
        <v/>
      </c>
      <c r="I832" s="448">
        <f>IF($L832&gt;T$5,MAX(0,T$3+ROUND((T$9*($L832-T$5)),0)),IF($L832&gt;T$4,T$3,ROUND($L832*T$7,0)))</f>
        <v/>
      </c>
      <c r="J832" s="447">
        <f>IF($L832&gt;U$5,MAX(0,U$3+ROUND((U$9*($L832-U$5)),0)),IF($L832&gt;U$4,U$3,ROUND($L832*U$7,0)))</f>
        <v/>
      </c>
      <c r="K832" s="422" t="n"/>
      <c r="L832" s="448">
        <f>ROUND((A832+B832)/2,2)</f>
        <v/>
      </c>
    </row>
    <row r="833" ht="13.5" customHeight="1" s="7635">
      <c r="A833" s="448" t="n">
        <v>41400</v>
      </c>
      <c r="B833" s="447" t="n">
        <v>41450</v>
      </c>
      <c r="C833" s="1378">
        <f>IF($L833&gt;N$5,MAX(0,N$3+ROUND((N$9*($L833-N$5)),0)),IF($L833&gt;N$4,N$3,ROUND($L833*N$7,0)))</f>
        <v/>
      </c>
      <c r="D833" s="448">
        <f>IF($L833&gt;O$5,MAX(0,O$3+ROUND((O$9*($L833-O$5)),0)),IF($L833&gt;O$4,O$3,ROUND($L833*O$7,0)))</f>
        <v/>
      </c>
      <c r="E833" s="448">
        <f>IF($L833&gt;P$5,MAX(0,P$3+ROUND((P$9*($L833-P$5)),0)),IF($L833&gt;P$4,P$3,ROUND($L833*P$7,0)))</f>
        <v/>
      </c>
      <c r="F833" s="447">
        <f>IF($L833&gt;Q$5,MAX(0,Q$3+ROUND((Q$9*($L833-Q$5)),0)),IF($L833&gt;Q$4,Q$3,ROUND($L833*Q$7,0)))</f>
        <v/>
      </c>
      <c r="G833" s="1378">
        <f>IF($L833&gt;R$5,MAX(0,R$3+ROUND((R$9*($L833-R$5)),0)),IF($L833&gt;R$4,R$3,ROUND($L833*R$7,0)))</f>
        <v/>
      </c>
      <c r="H833" s="448">
        <f>IF($L833&gt;S$5,MAX(0,S$3+ROUND((S$9*($L833-S$5)),0)),IF($L833&gt;S$4,S$3,ROUND($L833*S$7,0)))</f>
        <v/>
      </c>
      <c r="I833" s="448">
        <f>IF($L833&gt;T$5,MAX(0,T$3+ROUND((T$9*($L833-T$5)),0)),IF($L833&gt;T$4,T$3,ROUND($L833*T$7,0)))</f>
        <v/>
      </c>
      <c r="J833" s="447">
        <f>IF($L833&gt;U$5,MAX(0,U$3+ROUND((U$9*($L833-U$5)),0)),IF($L833&gt;U$4,U$3,ROUND($L833*U$7,0)))</f>
        <v/>
      </c>
      <c r="K833" s="422" t="n"/>
      <c r="L833" s="448">
        <f>ROUND((A833+B833)/2,2)</f>
        <v/>
      </c>
    </row>
    <row r="834" ht="13.5" customHeight="1" s="7635">
      <c r="A834" s="448" t="n">
        <v>41450</v>
      </c>
      <c r="B834" s="447" t="n">
        <v>41500</v>
      </c>
      <c r="C834" s="1378">
        <f>IF($L834&gt;N$5,MAX(0,N$3+ROUND((N$9*($L834-N$5)),0)),IF($L834&gt;N$4,N$3,ROUND($L834*N$7,0)))</f>
        <v/>
      </c>
      <c r="D834" s="448">
        <f>IF($L834&gt;O$5,MAX(0,O$3+ROUND((O$9*($L834-O$5)),0)),IF($L834&gt;O$4,O$3,ROUND($L834*O$7,0)))</f>
        <v/>
      </c>
      <c r="E834" s="448">
        <f>IF($L834&gt;P$5,MAX(0,P$3+ROUND((P$9*($L834-P$5)),0)),IF($L834&gt;P$4,P$3,ROUND($L834*P$7,0)))</f>
        <v/>
      </c>
      <c r="F834" s="447">
        <f>IF($L834&gt;Q$5,MAX(0,Q$3+ROUND((Q$9*($L834-Q$5)),0)),IF($L834&gt;Q$4,Q$3,ROUND($L834*Q$7,0)))</f>
        <v/>
      </c>
      <c r="G834" s="1378">
        <f>IF($L834&gt;R$5,MAX(0,R$3+ROUND((R$9*($L834-R$5)),0)),IF($L834&gt;R$4,R$3,ROUND($L834*R$7,0)))</f>
        <v/>
      </c>
      <c r="H834" s="448">
        <f>IF($L834&gt;S$5,MAX(0,S$3+ROUND((S$9*($L834-S$5)),0)),IF($L834&gt;S$4,S$3,ROUND($L834*S$7,0)))</f>
        <v/>
      </c>
      <c r="I834" s="448">
        <f>IF($L834&gt;T$5,MAX(0,T$3+ROUND((T$9*($L834-T$5)),0)),IF($L834&gt;T$4,T$3,ROUND($L834*T$7,0)))</f>
        <v/>
      </c>
      <c r="J834" s="447">
        <f>IF($L834&gt;U$5,MAX(0,U$3+ROUND((U$9*($L834-U$5)),0)),IF($L834&gt;U$4,U$3,ROUND($L834*U$7,0)))</f>
        <v/>
      </c>
      <c r="K834" s="422" t="n"/>
      <c r="L834" s="448">
        <f>ROUND((A834+B834)/2,2)</f>
        <v/>
      </c>
    </row>
    <row r="835" ht="13.5" customHeight="1" s="7635">
      <c r="A835" s="448" t="n">
        <v>41500</v>
      </c>
      <c r="B835" s="447" t="n">
        <v>41550</v>
      </c>
      <c r="C835" s="1378">
        <f>IF($L835&gt;N$5,MAX(0,N$3+ROUND((N$9*($L835-N$5)),0)),IF($L835&gt;N$4,N$3,ROUND($L835*N$7,0)))</f>
        <v/>
      </c>
      <c r="D835" s="448">
        <f>IF($L835&gt;O$5,MAX(0,O$3+ROUND((O$9*($L835-O$5)),0)),IF($L835&gt;O$4,O$3,ROUND($L835*O$7,0)))</f>
        <v/>
      </c>
      <c r="E835" s="448">
        <f>IF($L835&gt;P$5,MAX(0,P$3+ROUND((P$9*($L835-P$5)),0)),IF($L835&gt;P$4,P$3,ROUND($L835*P$7,0)))</f>
        <v/>
      </c>
      <c r="F835" s="447">
        <f>IF($L835&gt;Q$5,MAX(0,Q$3+ROUND((Q$9*($L835-Q$5)),0)),IF($L835&gt;Q$4,Q$3,ROUND($L835*Q$7,0)))</f>
        <v/>
      </c>
      <c r="G835" s="1378">
        <f>IF($L835&gt;R$5,MAX(0,R$3+ROUND((R$9*($L835-R$5)),0)),IF($L835&gt;R$4,R$3,ROUND($L835*R$7,0)))</f>
        <v/>
      </c>
      <c r="H835" s="448">
        <f>IF($L835&gt;S$5,MAX(0,S$3+ROUND((S$9*($L835-S$5)),0)),IF($L835&gt;S$4,S$3,ROUND($L835*S$7,0)))</f>
        <v/>
      </c>
      <c r="I835" s="448">
        <f>IF($L835&gt;T$5,MAX(0,T$3+ROUND((T$9*($L835-T$5)),0)),IF($L835&gt;T$4,T$3,ROUND($L835*T$7,0)))</f>
        <v/>
      </c>
      <c r="J835" s="447">
        <f>IF($L835&gt;U$5,MAX(0,U$3+ROUND((U$9*($L835-U$5)),0)),IF($L835&gt;U$4,U$3,ROUND($L835*U$7,0)))</f>
        <v/>
      </c>
      <c r="K835" s="422" t="n"/>
      <c r="L835" s="448">
        <f>ROUND((A835+B835)/2,2)</f>
        <v/>
      </c>
    </row>
    <row r="836" ht="13.5" customHeight="1" s="7635">
      <c r="A836" s="448" t="n">
        <v>41550</v>
      </c>
      <c r="B836" s="447" t="n">
        <v>41600</v>
      </c>
      <c r="C836" s="1378">
        <f>IF($L836&gt;N$5,MAX(0,N$3+ROUND((N$9*($L836-N$5)),0)),IF($L836&gt;N$4,N$3,ROUND($L836*N$7,0)))</f>
        <v/>
      </c>
      <c r="D836" s="448">
        <f>IF($L836&gt;O$5,MAX(0,O$3+ROUND((O$9*($L836-O$5)),0)),IF($L836&gt;O$4,O$3,ROUND($L836*O$7,0)))</f>
        <v/>
      </c>
      <c r="E836" s="448">
        <f>IF($L836&gt;P$5,MAX(0,P$3+ROUND((P$9*($L836-P$5)),0)),IF($L836&gt;P$4,P$3,ROUND($L836*P$7,0)))</f>
        <v/>
      </c>
      <c r="F836" s="447">
        <f>IF($L836&gt;Q$5,MAX(0,Q$3+ROUND((Q$9*($L836-Q$5)),0)),IF($L836&gt;Q$4,Q$3,ROUND($L836*Q$7,0)))</f>
        <v/>
      </c>
      <c r="G836" s="1378">
        <f>IF($L836&gt;R$5,MAX(0,R$3+ROUND((R$9*($L836-R$5)),0)),IF($L836&gt;R$4,R$3,ROUND($L836*R$7,0)))</f>
        <v/>
      </c>
      <c r="H836" s="448">
        <f>IF($L836&gt;S$5,MAX(0,S$3+ROUND((S$9*($L836-S$5)),0)),IF($L836&gt;S$4,S$3,ROUND($L836*S$7,0)))</f>
        <v/>
      </c>
      <c r="I836" s="448">
        <f>IF($L836&gt;T$5,MAX(0,T$3+ROUND((T$9*($L836-T$5)),0)),IF($L836&gt;T$4,T$3,ROUND($L836*T$7,0)))</f>
        <v/>
      </c>
      <c r="J836" s="447">
        <f>IF($L836&gt;U$5,MAX(0,U$3+ROUND((U$9*($L836-U$5)),0)),IF($L836&gt;U$4,U$3,ROUND($L836*U$7,0)))</f>
        <v/>
      </c>
      <c r="K836" s="422" t="n"/>
      <c r="L836" s="448">
        <f>ROUND((A836+B836)/2,2)</f>
        <v/>
      </c>
    </row>
    <row r="837" ht="13.5" customHeight="1" s="7635">
      <c r="A837" s="448" t="n">
        <v>41600</v>
      </c>
      <c r="B837" s="447" t="n">
        <v>41650</v>
      </c>
      <c r="C837" s="1378">
        <f>IF($L837&gt;N$5,MAX(0,N$3+ROUND((N$9*($L837-N$5)),0)),IF($L837&gt;N$4,N$3,ROUND($L837*N$7,0)))</f>
        <v/>
      </c>
      <c r="D837" s="448">
        <f>IF($L837&gt;O$5,MAX(0,O$3+ROUND((O$9*($L837-O$5)),0)),IF($L837&gt;O$4,O$3,ROUND($L837*O$7,0)))</f>
        <v/>
      </c>
      <c r="E837" s="448">
        <f>IF($L837&gt;P$5,MAX(0,P$3+ROUND((P$9*($L837-P$5)),0)),IF($L837&gt;P$4,P$3,ROUND($L837*P$7,0)))</f>
        <v/>
      </c>
      <c r="F837" s="447">
        <f>IF($L837&gt;Q$5,MAX(0,Q$3+ROUND((Q$9*($L837-Q$5)),0)),IF($L837&gt;Q$4,Q$3,ROUND($L837*Q$7,0)))</f>
        <v/>
      </c>
      <c r="G837" s="1378">
        <f>IF($L837&gt;R$5,MAX(0,R$3+ROUND((R$9*($L837-R$5)),0)),IF($L837&gt;R$4,R$3,ROUND($L837*R$7,0)))</f>
        <v/>
      </c>
      <c r="H837" s="448">
        <f>IF($L837&gt;S$5,MAX(0,S$3+ROUND((S$9*($L837-S$5)),0)),IF($L837&gt;S$4,S$3,ROUND($L837*S$7,0)))</f>
        <v/>
      </c>
      <c r="I837" s="448">
        <f>IF($L837&gt;T$5,MAX(0,T$3+ROUND((T$9*($L837-T$5)),0)),IF($L837&gt;T$4,T$3,ROUND($L837*T$7,0)))</f>
        <v/>
      </c>
      <c r="J837" s="447">
        <f>IF($L837&gt;U$5,MAX(0,U$3+ROUND((U$9*($L837-U$5)),0)),IF($L837&gt;U$4,U$3,ROUND($L837*U$7,0)))</f>
        <v/>
      </c>
      <c r="K837" s="422" t="n"/>
      <c r="L837" s="448">
        <f>ROUND((A837+B837)/2,2)</f>
        <v/>
      </c>
    </row>
    <row r="838" ht="13.5" customHeight="1" s="7635">
      <c r="A838" s="448" t="n">
        <v>41650</v>
      </c>
      <c r="B838" s="447" t="n">
        <v>41700</v>
      </c>
      <c r="C838" s="1378">
        <f>IF($L838&gt;N$5,MAX(0,N$3+ROUND((N$9*($L838-N$5)),0)),IF($L838&gt;N$4,N$3,ROUND($L838*N$7,0)))</f>
        <v/>
      </c>
      <c r="D838" s="448">
        <f>IF($L838&gt;O$5,MAX(0,O$3+ROUND((O$9*($L838-O$5)),0)),IF($L838&gt;O$4,O$3,ROUND($L838*O$7,0)))</f>
        <v/>
      </c>
      <c r="E838" s="448">
        <f>IF($L838&gt;P$5,MAX(0,P$3+ROUND((P$9*($L838-P$5)),0)),IF($L838&gt;P$4,P$3,ROUND($L838*P$7,0)))</f>
        <v/>
      </c>
      <c r="F838" s="447">
        <f>IF($L838&gt;Q$5,MAX(0,Q$3+ROUND((Q$9*($L838-Q$5)),0)),IF($L838&gt;Q$4,Q$3,ROUND($L838*Q$7,0)))</f>
        <v/>
      </c>
      <c r="G838" s="1378">
        <f>IF($L838&gt;R$5,MAX(0,R$3+ROUND((R$9*($L838-R$5)),0)),IF($L838&gt;R$4,R$3,ROUND($L838*R$7,0)))</f>
        <v/>
      </c>
      <c r="H838" s="448">
        <f>IF($L838&gt;S$5,MAX(0,S$3+ROUND((S$9*($L838-S$5)),0)),IF($L838&gt;S$4,S$3,ROUND($L838*S$7,0)))</f>
        <v/>
      </c>
      <c r="I838" s="448">
        <f>IF($L838&gt;T$5,MAX(0,T$3+ROUND((T$9*($L838-T$5)),0)),IF($L838&gt;T$4,T$3,ROUND($L838*T$7,0)))</f>
        <v/>
      </c>
      <c r="J838" s="447">
        <f>IF($L838&gt;U$5,MAX(0,U$3+ROUND((U$9*($L838-U$5)),0)),IF($L838&gt;U$4,U$3,ROUND($L838*U$7,0)))</f>
        <v/>
      </c>
      <c r="K838" s="422" t="n"/>
      <c r="L838" s="448">
        <f>ROUND((A838+B838)/2,2)</f>
        <v/>
      </c>
    </row>
    <row r="839" ht="13.5" customHeight="1" s="7635">
      <c r="A839" s="448" t="n">
        <v>41700</v>
      </c>
      <c r="B839" s="447" t="n">
        <v>41750</v>
      </c>
      <c r="C839" s="1378">
        <f>IF($L839&gt;N$5,MAX(0,N$3+ROUND((N$9*($L839-N$5)),0)),IF($L839&gt;N$4,N$3,ROUND($L839*N$7,0)))</f>
        <v/>
      </c>
      <c r="D839" s="448">
        <f>IF($L839&gt;O$5,MAX(0,O$3+ROUND((O$9*($L839-O$5)),0)),IF($L839&gt;O$4,O$3,ROUND($L839*O$7,0)))</f>
        <v/>
      </c>
      <c r="E839" s="448">
        <f>IF($L839&gt;P$5,MAX(0,P$3+ROUND((P$9*($L839-P$5)),0)),IF($L839&gt;P$4,P$3,ROUND($L839*P$7,0)))</f>
        <v/>
      </c>
      <c r="F839" s="447">
        <f>IF($L839&gt;Q$5,MAX(0,Q$3+ROUND((Q$9*($L839-Q$5)),0)),IF($L839&gt;Q$4,Q$3,ROUND($L839*Q$7,0)))</f>
        <v/>
      </c>
      <c r="G839" s="1378">
        <f>IF($L839&gt;R$5,MAX(0,R$3+ROUND((R$9*($L839-R$5)),0)),IF($L839&gt;R$4,R$3,ROUND($L839*R$7,0)))</f>
        <v/>
      </c>
      <c r="H839" s="448">
        <f>IF($L839&gt;S$5,MAX(0,S$3+ROUND((S$9*($L839-S$5)),0)),IF($L839&gt;S$4,S$3,ROUND($L839*S$7,0)))</f>
        <v/>
      </c>
      <c r="I839" s="448">
        <f>IF($L839&gt;T$5,MAX(0,T$3+ROUND((T$9*($L839-T$5)),0)),IF($L839&gt;T$4,T$3,ROUND($L839*T$7,0)))</f>
        <v/>
      </c>
      <c r="J839" s="447">
        <f>IF($L839&gt;U$5,MAX(0,U$3+ROUND((U$9*($L839-U$5)),0)),IF($L839&gt;U$4,U$3,ROUND($L839*U$7,0)))</f>
        <v/>
      </c>
      <c r="K839" s="422" t="n"/>
      <c r="L839" s="448">
        <f>ROUND((A839+B839)/2,2)</f>
        <v/>
      </c>
    </row>
    <row r="840" ht="13.5" customHeight="1" s="7635">
      <c r="A840" s="448" t="n">
        <v>41750</v>
      </c>
      <c r="B840" s="447" t="n">
        <v>41800</v>
      </c>
      <c r="C840" s="1378">
        <f>IF($L840&gt;N$5,MAX(0,N$3+ROUND((N$9*($L840-N$5)),0)),IF($L840&gt;N$4,N$3,ROUND($L840*N$7,0)))</f>
        <v/>
      </c>
      <c r="D840" s="448">
        <f>IF($L840&gt;O$5,MAX(0,O$3+ROUND((O$9*($L840-O$5)),0)),IF($L840&gt;O$4,O$3,ROUND($L840*O$7,0)))</f>
        <v/>
      </c>
      <c r="E840" s="448">
        <f>IF($L840&gt;P$5,MAX(0,P$3+ROUND((P$9*($L840-P$5)),0)),IF($L840&gt;P$4,P$3,ROUND($L840*P$7,0)))</f>
        <v/>
      </c>
      <c r="F840" s="447">
        <f>IF($L840&gt;Q$5,MAX(0,Q$3+ROUND((Q$9*($L840-Q$5)),0)),IF($L840&gt;Q$4,Q$3,ROUND($L840*Q$7,0)))</f>
        <v/>
      </c>
      <c r="G840" s="1378">
        <f>IF($L840&gt;R$5,MAX(0,R$3+ROUND((R$9*($L840-R$5)),0)),IF($L840&gt;R$4,R$3,ROUND($L840*R$7,0)))</f>
        <v/>
      </c>
      <c r="H840" s="448">
        <f>IF($L840&gt;S$5,MAX(0,S$3+ROUND((S$9*($L840-S$5)),0)),IF($L840&gt;S$4,S$3,ROUND($L840*S$7,0)))</f>
        <v/>
      </c>
      <c r="I840" s="448">
        <f>IF($L840&gt;T$5,MAX(0,T$3+ROUND((T$9*($L840-T$5)),0)),IF($L840&gt;T$4,T$3,ROUND($L840*T$7,0)))</f>
        <v/>
      </c>
      <c r="J840" s="447">
        <f>IF($L840&gt;U$5,MAX(0,U$3+ROUND((U$9*($L840-U$5)),0)),IF($L840&gt;U$4,U$3,ROUND($L840*U$7,0)))</f>
        <v/>
      </c>
      <c r="K840" s="422" t="n"/>
      <c r="L840" s="448">
        <f>ROUND((A840+B840)/2,2)</f>
        <v/>
      </c>
    </row>
    <row r="841" ht="13.5" customHeight="1" s="7635">
      <c r="A841" s="448" t="n">
        <v>41800</v>
      </c>
      <c r="B841" s="447" t="n">
        <v>41850</v>
      </c>
      <c r="C841" s="1378">
        <f>IF($L841&gt;N$5,MAX(0,N$3+ROUND((N$9*($L841-N$5)),0)),IF($L841&gt;N$4,N$3,ROUND($L841*N$7,0)))</f>
        <v/>
      </c>
      <c r="D841" s="448">
        <f>IF($L841&gt;O$5,MAX(0,O$3+ROUND((O$9*($L841-O$5)),0)),IF($L841&gt;O$4,O$3,ROUND($L841*O$7,0)))</f>
        <v/>
      </c>
      <c r="E841" s="448">
        <f>IF($L841&gt;P$5,MAX(0,P$3+ROUND((P$9*($L841-P$5)),0)),IF($L841&gt;P$4,P$3,ROUND($L841*P$7,0)))</f>
        <v/>
      </c>
      <c r="F841" s="447">
        <f>IF($L841&gt;Q$5,MAX(0,Q$3+ROUND((Q$9*($L841-Q$5)),0)),IF($L841&gt;Q$4,Q$3,ROUND($L841*Q$7,0)))</f>
        <v/>
      </c>
      <c r="G841" s="1378">
        <f>IF($L841&gt;R$5,MAX(0,R$3+ROUND((R$9*($L841-R$5)),0)),IF($L841&gt;R$4,R$3,ROUND($L841*R$7,0)))</f>
        <v/>
      </c>
      <c r="H841" s="448">
        <f>IF($L841&gt;S$5,MAX(0,S$3+ROUND((S$9*($L841-S$5)),0)),IF($L841&gt;S$4,S$3,ROUND($L841*S$7,0)))</f>
        <v/>
      </c>
      <c r="I841" s="448">
        <f>IF($L841&gt;T$5,MAX(0,T$3+ROUND((T$9*($L841-T$5)),0)),IF($L841&gt;T$4,T$3,ROUND($L841*T$7,0)))</f>
        <v/>
      </c>
      <c r="J841" s="447">
        <f>IF($L841&gt;U$5,MAX(0,U$3+ROUND((U$9*($L841-U$5)),0)),IF($L841&gt;U$4,U$3,ROUND($L841*U$7,0)))</f>
        <v/>
      </c>
      <c r="K841" s="422" t="n"/>
      <c r="L841" s="448">
        <f>ROUND((A841+B841)/2,2)</f>
        <v/>
      </c>
    </row>
    <row r="842" ht="13.5" customHeight="1" s="7635">
      <c r="A842" s="448" t="n">
        <v>41850</v>
      </c>
      <c r="B842" s="447" t="n">
        <v>41900</v>
      </c>
      <c r="C842" s="1378">
        <f>IF($L842&gt;N$5,MAX(0,N$3+ROUND((N$9*($L842-N$5)),0)),IF($L842&gt;N$4,N$3,ROUND($L842*N$7,0)))</f>
        <v/>
      </c>
      <c r="D842" s="448">
        <f>IF($L842&gt;O$5,MAX(0,O$3+ROUND((O$9*($L842-O$5)),0)),IF($L842&gt;O$4,O$3,ROUND($L842*O$7,0)))</f>
        <v/>
      </c>
      <c r="E842" s="448">
        <f>IF($L842&gt;P$5,MAX(0,P$3+ROUND((P$9*($L842-P$5)),0)),IF($L842&gt;P$4,P$3,ROUND($L842*P$7,0)))</f>
        <v/>
      </c>
      <c r="F842" s="447">
        <f>IF($L842&gt;Q$5,MAX(0,Q$3+ROUND((Q$9*($L842-Q$5)),0)),IF($L842&gt;Q$4,Q$3,ROUND($L842*Q$7,0)))</f>
        <v/>
      </c>
      <c r="G842" s="1378">
        <f>IF($L842&gt;R$5,MAX(0,R$3+ROUND((R$9*($L842-R$5)),0)),IF($L842&gt;R$4,R$3,ROUND($L842*R$7,0)))</f>
        <v/>
      </c>
      <c r="H842" s="448">
        <f>IF($L842&gt;S$5,MAX(0,S$3+ROUND((S$9*($L842-S$5)),0)),IF($L842&gt;S$4,S$3,ROUND($L842*S$7,0)))</f>
        <v/>
      </c>
      <c r="I842" s="448">
        <f>IF($L842&gt;T$5,MAX(0,T$3+ROUND((T$9*($L842-T$5)),0)),IF($L842&gt;T$4,T$3,ROUND($L842*T$7,0)))</f>
        <v/>
      </c>
      <c r="J842" s="447">
        <f>IF($L842&gt;U$5,MAX(0,U$3+ROUND((U$9*($L842-U$5)),0)),IF($L842&gt;U$4,U$3,ROUND($L842*U$7,0)))</f>
        <v/>
      </c>
      <c r="K842" s="422" t="n"/>
      <c r="L842" s="448">
        <f>ROUND((A842+B842)/2,2)</f>
        <v/>
      </c>
    </row>
    <row r="843" ht="13.5" customHeight="1" s="7635">
      <c r="A843" s="448" t="n">
        <v>41900</v>
      </c>
      <c r="B843" s="447" t="n">
        <v>41950</v>
      </c>
      <c r="C843" s="1378">
        <f>IF($L843&gt;N$5,MAX(0,N$3+ROUND((N$9*($L843-N$5)),0)),IF($L843&gt;N$4,N$3,ROUND($L843*N$7,0)))</f>
        <v/>
      </c>
      <c r="D843" s="448">
        <f>IF($L843&gt;O$5,MAX(0,O$3+ROUND((O$9*($L843-O$5)),0)),IF($L843&gt;O$4,O$3,ROUND($L843*O$7,0)))</f>
        <v/>
      </c>
      <c r="E843" s="448">
        <f>IF($L843&gt;P$5,MAX(0,P$3+ROUND((P$9*($L843-P$5)),0)),IF($L843&gt;P$4,P$3,ROUND($L843*P$7,0)))</f>
        <v/>
      </c>
      <c r="F843" s="447">
        <f>IF($L843&gt;Q$5,MAX(0,Q$3+ROUND((Q$9*($L843-Q$5)),0)),IF($L843&gt;Q$4,Q$3,ROUND($L843*Q$7,0)))</f>
        <v/>
      </c>
      <c r="G843" s="1378">
        <f>IF($L843&gt;R$5,MAX(0,R$3+ROUND((R$9*($L843-R$5)),0)),IF($L843&gt;R$4,R$3,ROUND($L843*R$7,0)))</f>
        <v/>
      </c>
      <c r="H843" s="448">
        <f>IF($L843&gt;S$5,MAX(0,S$3+ROUND((S$9*($L843-S$5)),0)),IF($L843&gt;S$4,S$3,ROUND($L843*S$7,0)))</f>
        <v/>
      </c>
      <c r="I843" s="448">
        <f>IF($L843&gt;T$5,MAX(0,T$3+ROUND((T$9*($L843-T$5)),0)),IF($L843&gt;T$4,T$3,ROUND($L843*T$7,0)))</f>
        <v/>
      </c>
      <c r="J843" s="447">
        <f>IF($L843&gt;U$5,MAX(0,U$3+ROUND((U$9*($L843-U$5)),0)),IF($L843&gt;U$4,U$3,ROUND($L843*U$7,0)))</f>
        <v/>
      </c>
      <c r="K843" s="422" t="n"/>
      <c r="L843" s="448">
        <f>ROUND((A843+B843)/2,2)</f>
        <v/>
      </c>
    </row>
    <row r="844" ht="13.5" customHeight="1" s="7635">
      <c r="A844" s="448" t="n">
        <v>41950</v>
      </c>
      <c r="B844" s="447" t="n">
        <v>42000</v>
      </c>
      <c r="C844" s="1378">
        <f>IF($L844&gt;N$5,MAX(0,N$3+ROUND((N$9*($L844-N$5)),0)),IF($L844&gt;N$4,N$3,ROUND($L844*N$7,0)))</f>
        <v/>
      </c>
      <c r="D844" s="448">
        <f>IF($L844&gt;O$5,MAX(0,O$3+ROUND((O$9*($L844-O$5)),0)),IF($L844&gt;O$4,O$3,ROUND($L844*O$7,0)))</f>
        <v/>
      </c>
      <c r="E844" s="448">
        <f>IF($L844&gt;P$5,MAX(0,P$3+ROUND((P$9*($L844-P$5)),0)),IF($L844&gt;P$4,P$3,ROUND($L844*P$7,0)))</f>
        <v/>
      </c>
      <c r="F844" s="447">
        <f>IF($L844&gt;Q$5,MAX(0,Q$3+ROUND((Q$9*($L844-Q$5)),0)),IF($L844&gt;Q$4,Q$3,ROUND($L844*Q$7,0)))</f>
        <v/>
      </c>
      <c r="G844" s="1378">
        <f>IF($L844&gt;R$5,MAX(0,R$3+ROUND((R$9*($L844-R$5)),0)),IF($L844&gt;R$4,R$3,ROUND($L844*R$7,0)))</f>
        <v/>
      </c>
      <c r="H844" s="448">
        <f>IF($L844&gt;S$5,MAX(0,S$3+ROUND((S$9*($L844-S$5)),0)),IF($L844&gt;S$4,S$3,ROUND($L844*S$7,0)))</f>
        <v/>
      </c>
      <c r="I844" s="448">
        <f>IF($L844&gt;T$5,MAX(0,T$3+ROUND((T$9*($L844-T$5)),0)),IF($L844&gt;T$4,T$3,ROUND($L844*T$7,0)))</f>
        <v/>
      </c>
      <c r="J844" s="447">
        <f>IF($L844&gt;U$5,MAX(0,U$3+ROUND((U$9*($L844-U$5)),0)),IF($L844&gt;U$4,U$3,ROUND($L844*U$7,0)))</f>
        <v/>
      </c>
      <c r="K844" s="422" t="n"/>
      <c r="L844" s="448">
        <f>ROUND((A844+B844)/2,2)</f>
        <v/>
      </c>
    </row>
    <row r="845" ht="13.5" customHeight="1" s="7635">
      <c r="A845" s="448" t="n">
        <v>42000</v>
      </c>
      <c r="B845" s="447" t="n">
        <v>42050</v>
      </c>
      <c r="C845" s="1378">
        <f>IF($L845&gt;N$5,MAX(0,N$3+ROUND((N$9*($L845-N$5)),0)),IF($L845&gt;N$4,N$3,ROUND($L845*N$7,0)))</f>
        <v/>
      </c>
      <c r="D845" s="448">
        <f>IF($L845&gt;O$5,MAX(0,O$3+ROUND((O$9*($L845-O$5)),0)),IF($L845&gt;O$4,O$3,ROUND($L845*O$7,0)))</f>
        <v/>
      </c>
      <c r="E845" s="448">
        <f>IF($L845&gt;P$5,MAX(0,P$3+ROUND((P$9*($L845-P$5)),0)),IF($L845&gt;P$4,P$3,ROUND($L845*P$7,0)))</f>
        <v/>
      </c>
      <c r="F845" s="447">
        <f>IF($L845&gt;Q$5,MAX(0,Q$3+ROUND((Q$9*($L845-Q$5)),0)),IF($L845&gt;Q$4,Q$3,ROUND($L845*Q$7,0)))</f>
        <v/>
      </c>
      <c r="G845" s="1378">
        <f>IF($L845&gt;R$5,MAX(0,R$3+ROUND((R$9*($L845-R$5)),0)),IF($L845&gt;R$4,R$3,ROUND($L845*R$7,0)))</f>
        <v/>
      </c>
      <c r="H845" s="448">
        <f>IF($L845&gt;S$5,MAX(0,S$3+ROUND((S$9*($L845-S$5)),0)),IF($L845&gt;S$4,S$3,ROUND($L845*S$7,0)))</f>
        <v/>
      </c>
      <c r="I845" s="448">
        <f>IF($L845&gt;T$5,MAX(0,T$3+ROUND((T$9*($L845-T$5)),0)),IF($L845&gt;T$4,T$3,ROUND($L845*T$7,0)))</f>
        <v/>
      </c>
      <c r="J845" s="447">
        <f>IF($L845&gt;U$5,MAX(0,U$3+ROUND((U$9*($L845-U$5)),0)),IF($L845&gt;U$4,U$3,ROUND($L845*U$7,0)))</f>
        <v/>
      </c>
      <c r="K845" s="422" t="n"/>
      <c r="L845" s="448">
        <f>ROUND((A845+B845)/2,2)</f>
        <v/>
      </c>
    </row>
    <row r="846" ht="13.5" customHeight="1" s="7635">
      <c r="A846" s="448" t="n">
        <v>42050</v>
      </c>
      <c r="B846" s="447" t="n">
        <v>42100</v>
      </c>
      <c r="C846" s="1378">
        <f>IF($L846&gt;N$5,MAX(0,N$3+ROUND((N$9*($L846-N$5)),0)),IF($L846&gt;N$4,N$3,ROUND($L846*N$7,0)))</f>
        <v/>
      </c>
      <c r="D846" s="448">
        <f>IF($L846&gt;O$5,MAX(0,O$3+ROUND((O$9*($L846-O$5)),0)),IF($L846&gt;O$4,O$3,ROUND($L846*O$7,0)))</f>
        <v/>
      </c>
      <c r="E846" s="448">
        <f>IF($L846&gt;P$5,MAX(0,P$3+ROUND((P$9*($L846-P$5)),0)),IF($L846&gt;P$4,P$3,ROUND($L846*P$7,0)))</f>
        <v/>
      </c>
      <c r="F846" s="447">
        <f>IF($L846&gt;Q$5,MAX(0,Q$3+ROUND((Q$9*($L846-Q$5)),0)),IF($L846&gt;Q$4,Q$3,ROUND($L846*Q$7,0)))</f>
        <v/>
      </c>
      <c r="G846" s="1378">
        <f>IF($L846&gt;R$5,MAX(0,R$3+ROUND((R$9*($L846-R$5)),0)),IF($L846&gt;R$4,R$3,ROUND($L846*R$7,0)))</f>
        <v/>
      </c>
      <c r="H846" s="448">
        <f>IF($L846&gt;S$5,MAX(0,S$3+ROUND((S$9*($L846-S$5)),0)),IF($L846&gt;S$4,S$3,ROUND($L846*S$7,0)))</f>
        <v/>
      </c>
      <c r="I846" s="448">
        <f>IF($L846&gt;T$5,MAX(0,T$3+ROUND((T$9*($L846-T$5)),0)),IF($L846&gt;T$4,T$3,ROUND($L846*T$7,0)))</f>
        <v/>
      </c>
      <c r="J846" s="447">
        <f>IF($L846&gt;U$5,MAX(0,U$3+ROUND((U$9*($L846-U$5)),0)),IF($L846&gt;U$4,U$3,ROUND($L846*U$7,0)))</f>
        <v/>
      </c>
      <c r="K846" s="422" t="n"/>
      <c r="L846" s="448">
        <f>ROUND((A846+B846)/2,2)</f>
        <v/>
      </c>
    </row>
    <row r="847" ht="13.5" customHeight="1" s="7635">
      <c r="A847" s="448" t="n">
        <v>42100</v>
      </c>
      <c r="B847" s="447" t="n">
        <v>42150</v>
      </c>
      <c r="C847" s="1378">
        <f>IF($L847&gt;N$5,MAX(0,N$3+ROUND((N$9*($L847-N$5)),0)),IF($L847&gt;N$4,N$3,ROUND($L847*N$7,0)))</f>
        <v/>
      </c>
      <c r="D847" s="448">
        <f>IF($L847&gt;O$5,MAX(0,O$3+ROUND((O$9*($L847-O$5)),0)),IF($L847&gt;O$4,O$3,ROUND($L847*O$7,0)))</f>
        <v/>
      </c>
      <c r="E847" s="448">
        <f>IF($L847&gt;P$5,MAX(0,P$3+ROUND((P$9*($L847-P$5)),0)),IF($L847&gt;P$4,P$3,ROUND($L847*P$7,0)))</f>
        <v/>
      </c>
      <c r="F847" s="447">
        <f>IF($L847&gt;Q$5,MAX(0,Q$3+ROUND((Q$9*($L847-Q$5)),0)),IF($L847&gt;Q$4,Q$3,ROUND($L847*Q$7,0)))</f>
        <v/>
      </c>
      <c r="G847" s="1378">
        <f>IF($L847&gt;R$5,MAX(0,R$3+ROUND((R$9*($L847-R$5)),0)),IF($L847&gt;R$4,R$3,ROUND($L847*R$7,0)))</f>
        <v/>
      </c>
      <c r="H847" s="448">
        <f>IF($L847&gt;S$5,MAX(0,S$3+ROUND((S$9*($L847-S$5)),0)),IF($L847&gt;S$4,S$3,ROUND($L847*S$7,0)))</f>
        <v/>
      </c>
      <c r="I847" s="448">
        <f>IF($L847&gt;T$5,MAX(0,T$3+ROUND((T$9*($L847-T$5)),0)),IF($L847&gt;T$4,T$3,ROUND($L847*T$7,0)))</f>
        <v/>
      </c>
      <c r="J847" s="447">
        <f>IF($L847&gt;U$5,MAX(0,U$3+ROUND((U$9*($L847-U$5)),0)),IF($L847&gt;U$4,U$3,ROUND($L847*U$7,0)))</f>
        <v/>
      </c>
      <c r="K847" s="422" t="n"/>
      <c r="L847" s="448">
        <f>ROUND((A847+B847)/2,2)</f>
        <v/>
      </c>
    </row>
    <row r="848" ht="13.5" customHeight="1" s="7635">
      <c r="A848" s="448" t="n">
        <v>42150</v>
      </c>
      <c r="B848" s="447" t="n">
        <v>42200</v>
      </c>
      <c r="C848" s="1378">
        <f>IF($L848&gt;N$5,MAX(0,N$3+ROUND((N$9*($L848-N$5)),0)),IF($L848&gt;N$4,N$3,ROUND($L848*N$7,0)))</f>
        <v/>
      </c>
      <c r="D848" s="448">
        <f>IF($L848&gt;O$5,MAX(0,O$3+ROUND((O$9*($L848-O$5)),0)),IF($L848&gt;O$4,O$3,ROUND($L848*O$7,0)))</f>
        <v/>
      </c>
      <c r="E848" s="448">
        <f>IF($L848&gt;P$5,MAX(0,P$3+ROUND((P$9*($L848-P$5)),0)),IF($L848&gt;P$4,P$3,ROUND($L848*P$7,0)))</f>
        <v/>
      </c>
      <c r="F848" s="447">
        <f>IF($L848&gt;Q$5,MAX(0,Q$3+ROUND((Q$9*($L848-Q$5)),0)),IF($L848&gt;Q$4,Q$3,ROUND($L848*Q$7,0)))</f>
        <v/>
      </c>
      <c r="G848" s="1378">
        <f>IF($L848&gt;R$5,MAX(0,R$3+ROUND((R$9*($L848-R$5)),0)),IF($L848&gt;R$4,R$3,ROUND($L848*R$7,0)))</f>
        <v/>
      </c>
      <c r="H848" s="448">
        <f>IF($L848&gt;S$5,MAX(0,S$3+ROUND((S$9*($L848-S$5)),0)),IF($L848&gt;S$4,S$3,ROUND($L848*S$7,0)))</f>
        <v/>
      </c>
      <c r="I848" s="448">
        <f>IF($L848&gt;T$5,MAX(0,T$3+ROUND((T$9*($L848-T$5)),0)),IF($L848&gt;T$4,T$3,ROUND($L848*T$7,0)))</f>
        <v/>
      </c>
      <c r="J848" s="447">
        <f>IF($L848&gt;U$5,MAX(0,U$3+ROUND((U$9*($L848-U$5)),0)),IF($L848&gt;U$4,U$3,ROUND($L848*U$7,0)))</f>
        <v/>
      </c>
      <c r="K848" s="422" t="n"/>
      <c r="L848" s="448">
        <f>ROUND((A848+B848)/2,2)</f>
        <v/>
      </c>
    </row>
    <row r="849" ht="13.5" customHeight="1" s="7635">
      <c r="A849" s="448" t="n">
        <v>42200</v>
      </c>
      <c r="B849" s="447" t="n">
        <v>42250</v>
      </c>
      <c r="C849" s="1378">
        <f>IF($L849&gt;N$5,MAX(0,N$3+ROUND((N$9*($L849-N$5)),0)),IF($L849&gt;N$4,N$3,ROUND($L849*N$7,0)))</f>
        <v/>
      </c>
      <c r="D849" s="448">
        <f>IF($L849&gt;O$5,MAX(0,O$3+ROUND((O$9*($L849-O$5)),0)),IF($L849&gt;O$4,O$3,ROUND($L849*O$7,0)))</f>
        <v/>
      </c>
      <c r="E849" s="448">
        <f>IF($L849&gt;P$5,MAX(0,P$3+ROUND((P$9*($L849-P$5)),0)),IF($L849&gt;P$4,P$3,ROUND($L849*P$7,0)))</f>
        <v/>
      </c>
      <c r="F849" s="447">
        <f>IF($L849&gt;Q$5,MAX(0,Q$3+ROUND((Q$9*($L849-Q$5)),0)),IF($L849&gt;Q$4,Q$3,ROUND($L849*Q$7,0)))</f>
        <v/>
      </c>
      <c r="G849" s="1378">
        <f>IF($L849&gt;R$5,MAX(0,R$3+ROUND((R$9*($L849-R$5)),0)),IF($L849&gt;R$4,R$3,ROUND($L849*R$7,0)))</f>
        <v/>
      </c>
      <c r="H849" s="448">
        <f>IF($L849&gt;S$5,MAX(0,S$3+ROUND((S$9*($L849-S$5)),0)),IF($L849&gt;S$4,S$3,ROUND($L849*S$7,0)))</f>
        <v/>
      </c>
      <c r="I849" s="448">
        <f>IF($L849&gt;T$5,MAX(0,T$3+ROUND((T$9*($L849-T$5)),0)),IF($L849&gt;T$4,T$3,ROUND($L849*T$7,0)))</f>
        <v/>
      </c>
      <c r="J849" s="447">
        <f>IF($L849&gt;U$5,MAX(0,U$3+ROUND((U$9*($L849-U$5)),0)),IF($L849&gt;U$4,U$3,ROUND($L849*U$7,0)))</f>
        <v/>
      </c>
      <c r="K849" s="422" t="n"/>
      <c r="L849" s="448">
        <f>ROUND((A849+B849)/2,2)</f>
        <v/>
      </c>
    </row>
    <row r="850" ht="13.5" customHeight="1" s="7635">
      <c r="A850" s="448" t="n">
        <v>42250</v>
      </c>
      <c r="B850" s="447" t="n">
        <v>42300</v>
      </c>
      <c r="C850" s="1378">
        <f>IF($L850&gt;N$5,MAX(0,N$3+ROUND((N$9*($L850-N$5)),0)),IF($L850&gt;N$4,N$3,ROUND($L850*N$7,0)))</f>
        <v/>
      </c>
      <c r="D850" s="448">
        <f>IF($L850&gt;O$5,MAX(0,O$3+ROUND((O$9*($L850-O$5)),0)),IF($L850&gt;O$4,O$3,ROUND($L850*O$7,0)))</f>
        <v/>
      </c>
      <c r="E850" s="448">
        <f>IF($L850&gt;P$5,MAX(0,P$3+ROUND((P$9*($L850-P$5)),0)),IF($L850&gt;P$4,P$3,ROUND($L850*P$7,0)))</f>
        <v/>
      </c>
      <c r="F850" s="447">
        <f>IF($L850&gt;Q$5,MAX(0,Q$3+ROUND((Q$9*($L850-Q$5)),0)),IF($L850&gt;Q$4,Q$3,ROUND($L850*Q$7,0)))</f>
        <v/>
      </c>
      <c r="G850" s="1378">
        <f>IF($L850&gt;R$5,MAX(0,R$3+ROUND((R$9*($L850-R$5)),0)),IF($L850&gt;R$4,R$3,ROUND($L850*R$7,0)))</f>
        <v/>
      </c>
      <c r="H850" s="448">
        <f>IF($L850&gt;S$5,MAX(0,S$3+ROUND((S$9*($L850-S$5)),0)),IF($L850&gt;S$4,S$3,ROUND($L850*S$7,0)))</f>
        <v/>
      </c>
      <c r="I850" s="448">
        <f>IF($L850&gt;T$5,MAX(0,T$3+ROUND((T$9*($L850-T$5)),0)),IF($L850&gt;T$4,T$3,ROUND($L850*T$7,0)))</f>
        <v/>
      </c>
      <c r="J850" s="447">
        <f>IF($L850&gt;U$5,MAX(0,U$3+ROUND((U$9*($L850-U$5)),0)),IF($L850&gt;U$4,U$3,ROUND($L850*U$7,0)))</f>
        <v/>
      </c>
      <c r="K850" s="422" t="n"/>
      <c r="L850" s="448">
        <f>ROUND((A850+B850)/2,2)</f>
        <v/>
      </c>
    </row>
    <row r="851" ht="13.5" customHeight="1" s="7635">
      <c r="A851" s="448" t="n">
        <v>42300</v>
      </c>
      <c r="B851" s="447" t="n">
        <v>42350</v>
      </c>
      <c r="C851" s="1378">
        <f>IF($L851&gt;N$5,MAX(0,N$3+ROUND((N$9*($L851-N$5)),0)),IF($L851&gt;N$4,N$3,ROUND($L851*N$7,0)))</f>
        <v/>
      </c>
      <c r="D851" s="448">
        <f>IF($L851&gt;O$5,MAX(0,O$3+ROUND((O$9*($L851-O$5)),0)),IF($L851&gt;O$4,O$3,ROUND($L851*O$7,0)))</f>
        <v/>
      </c>
      <c r="E851" s="448">
        <f>IF($L851&gt;P$5,MAX(0,P$3+ROUND((P$9*($L851-P$5)),0)),IF($L851&gt;P$4,P$3,ROUND($L851*P$7,0)))</f>
        <v/>
      </c>
      <c r="F851" s="447">
        <f>IF($L851&gt;Q$5,MAX(0,Q$3+ROUND((Q$9*($L851-Q$5)),0)),IF($L851&gt;Q$4,Q$3,ROUND($L851*Q$7,0)))</f>
        <v/>
      </c>
      <c r="G851" s="1378">
        <f>IF($L851&gt;R$5,MAX(0,R$3+ROUND((R$9*($L851-R$5)),0)),IF($L851&gt;R$4,R$3,ROUND($L851*R$7,0)))</f>
        <v/>
      </c>
      <c r="H851" s="448">
        <f>IF($L851&gt;S$5,MAX(0,S$3+ROUND((S$9*($L851-S$5)),0)),IF($L851&gt;S$4,S$3,ROUND($L851*S$7,0)))</f>
        <v/>
      </c>
      <c r="I851" s="448">
        <f>IF($L851&gt;T$5,MAX(0,T$3+ROUND((T$9*($L851-T$5)),0)),IF($L851&gt;T$4,T$3,ROUND($L851*T$7,0)))</f>
        <v/>
      </c>
      <c r="J851" s="447">
        <f>IF($L851&gt;U$5,MAX(0,U$3+ROUND((U$9*($L851-U$5)),0)),IF($L851&gt;U$4,U$3,ROUND($L851*U$7,0)))</f>
        <v/>
      </c>
      <c r="K851" s="422" t="n"/>
      <c r="L851" s="448">
        <f>ROUND((A851+B851)/2,2)</f>
        <v/>
      </c>
    </row>
    <row r="852" ht="13.5" customHeight="1" s="7635">
      <c r="A852" s="448" t="n">
        <v>42350</v>
      </c>
      <c r="B852" s="447" t="n">
        <v>42400</v>
      </c>
      <c r="C852" s="1378">
        <f>IF($L852&gt;N$5,MAX(0,N$3+ROUND((N$9*($L852-N$5)),0)),IF($L852&gt;N$4,N$3,ROUND($L852*N$7,0)))</f>
        <v/>
      </c>
      <c r="D852" s="448">
        <f>IF($L852&gt;O$5,MAX(0,O$3+ROUND((O$9*($L852-O$5)),0)),IF($L852&gt;O$4,O$3,ROUND($L852*O$7,0)))</f>
        <v/>
      </c>
      <c r="E852" s="448">
        <f>IF($L852&gt;P$5,MAX(0,P$3+ROUND((P$9*($L852-P$5)),0)),IF($L852&gt;P$4,P$3,ROUND($L852*P$7,0)))</f>
        <v/>
      </c>
      <c r="F852" s="447">
        <f>IF($L852&gt;Q$5,MAX(0,Q$3+ROUND((Q$9*($L852-Q$5)),0)),IF($L852&gt;Q$4,Q$3,ROUND($L852*Q$7,0)))</f>
        <v/>
      </c>
      <c r="G852" s="1378">
        <f>IF($L852&gt;R$5,MAX(0,R$3+ROUND((R$9*($L852-R$5)),0)),IF($L852&gt;R$4,R$3,ROUND($L852*R$7,0)))</f>
        <v/>
      </c>
      <c r="H852" s="448">
        <f>IF($L852&gt;S$5,MAX(0,S$3+ROUND((S$9*($L852-S$5)),0)),IF($L852&gt;S$4,S$3,ROUND($L852*S$7,0)))</f>
        <v/>
      </c>
      <c r="I852" s="448">
        <f>IF($L852&gt;T$5,MAX(0,T$3+ROUND((T$9*($L852-T$5)),0)),IF($L852&gt;T$4,T$3,ROUND($L852*T$7,0)))</f>
        <v/>
      </c>
      <c r="J852" s="447">
        <f>IF($L852&gt;U$5,MAX(0,U$3+ROUND((U$9*($L852-U$5)),0)),IF($L852&gt;U$4,U$3,ROUND($L852*U$7,0)))</f>
        <v/>
      </c>
      <c r="K852" s="422" t="n"/>
      <c r="L852" s="448">
        <f>ROUND((A852+B852)/2,2)</f>
        <v/>
      </c>
    </row>
    <row r="853" ht="13.5" customHeight="1" s="7635">
      <c r="A853" s="448" t="n">
        <v>42400</v>
      </c>
      <c r="B853" s="447" t="n">
        <v>42450</v>
      </c>
      <c r="C853" s="1378">
        <f>IF($L853&gt;N$5,MAX(0,N$3+ROUND((N$9*($L853-N$5)),0)),IF($L853&gt;N$4,N$3,ROUND($L853*N$7,0)))</f>
        <v/>
      </c>
      <c r="D853" s="448">
        <f>IF($L853&gt;O$5,MAX(0,O$3+ROUND((O$9*($L853-O$5)),0)),IF($L853&gt;O$4,O$3,ROUND($L853*O$7,0)))</f>
        <v/>
      </c>
      <c r="E853" s="448">
        <f>IF($L853&gt;P$5,MAX(0,P$3+ROUND((P$9*($L853-P$5)),0)),IF($L853&gt;P$4,P$3,ROUND($L853*P$7,0)))</f>
        <v/>
      </c>
      <c r="F853" s="447">
        <f>IF($L853&gt;Q$5,MAX(0,Q$3+ROUND((Q$9*($L853-Q$5)),0)),IF($L853&gt;Q$4,Q$3,ROUND($L853*Q$7,0)))</f>
        <v/>
      </c>
      <c r="G853" s="1378">
        <f>IF($L853&gt;R$5,MAX(0,R$3+ROUND((R$9*($L853-R$5)),0)),IF($L853&gt;R$4,R$3,ROUND($L853*R$7,0)))</f>
        <v/>
      </c>
      <c r="H853" s="448">
        <f>IF($L853&gt;S$5,MAX(0,S$3+ROUND((S$9*($L853-S$5)),0)),IF($L853&gt;S$4,S$3,ROUND($L853*S$7,0)))</f>
        <v/>
      </c>
      <c r="I853" s="448">
        <f>IF($L853&gt;T$5,MAX(0,T$3+ROUND((T$9*($L853-T$5)),0)),IF($L853&gt;T$4,T$3,ROUND($L853*T$7,0)))</f>
        <v/>
      </c>
      <c r="J853" s="447">
        <f>IF($L853&gt;U$5,MAX(0,U$3+ROUND((U$9*($L853-U$5)),0)),IF($L853&gt;U$4,U$3,ROUND($L853*U$7,0)))</f>
        <v/>
      </c>
      <c r="K853" s="422" t="n"/>
      <c r="L853" s="448">
        <f>ROUND((A853+B853)/2,2)</f>
        <v/>
      </c>
    </row>
    <row r="854" ht="13.5" customHeight="1" s="7635">
      <c r="A854" s="448" t="n">
        <v>42450</v>
      </c>
      <c r="B854" s="447" t="n">
        <v>42500</v>
      </c>
      <c r="C854" s="1378">
        <f>IF($L854&gt;N$5,MAX(0,N$3+ROUND((N$9*($L854-N$5)),0)),IF($L854&gt;N$4,N$3,ROUND($L854*N$7,0)))</f>
        <v/>
      </c>
      <c r="D854" s="448">
        <f>IF($L854&gt;O$5,MAX(0,O$3+ROUND((O$9*($L854-O$5)),0)),IF($L854&gt;O$4,O$3,ROUND($L854*O$7,0)))</f>
        <v/>
      </c>
      <c r="E854" s="448">
        <f>IF($L854&gt;P$5,MAX(0,P$3+ROUND((P$9*($L854-P$5)),0)),IF($L854&gt;P$4,P$3,ROUND($L854*P$7,0)))</f>
        <v/>
      </c>
      <c r="F854" s="447">
        <f>IF($L854&gt;Q$5,MAX(0,Q$3+ROUND((Q$9*($L854-Q$5)),0)),IF($L854&gt;Q$4,Q$3,ROUND($L854*Q$7,0)))</f>
        <v/>
      </c>
      <c r="G854" s="1378">
        <f>IF($L854&gt;R$5,MAX(0,R$3+ROUND((R$9*($L854-R$5)),0)),IF($L854&gt;R$4,R$3,ROUND($L854*R$7,0)))</f>
        <v/>
      </c>
      <c r="H854" s="448">
        <f>IF($L854&gt;S$5,MAX(0,S$3+ROUND((S$9*($L854-S$5)),0)),IF($L854&gt;S$4,S$3,ROUND($L854*S$7,0)))</f>
        <v/>
      </c>
      <c r="I854" s="448">
        <f>IF($L854&gt;T$5,MAX(0,T$3+ROUND((T$9*($L854-T$5)),0)),IF($L854&gt;T$4,T$3,ROUND($L854*T$7,0)))</f>
        <v/>
      </c>
      <c r="J854" s="447">
        <f>IF($L854&gt;U$5,MAX(0,U$3+ROUND((U$9*($L854-U$5)),0)),IF($L854&gt;U$4,U$3,ROUND($L854*U$7,0)))</f>
        <v/>
      </c>
      <c r="K854" s="422" t="n"/>
      <c r="L854" s="448">
        <f>ROUND((A854+B854)/2,2)</f>
        <v/>
      </c>
    </row>
    <row r="855" ht="13.5" customHeight="1" s="7635">
      <c r="A855" s="448" t="n">
        <v>42500</v>
      </c>
      <c r="B855" s="447" t="n">
        <v>42550</v>
      </c>
      <c r="C855" s="1378">
        <f>IF($L855&gt;N$5,MAX(0,N$3+ROUND((N$9*($L855-N$5)),0)),IF($L855&gt;N$4,N$3,ROUND($L855*N$7,0)))</f>
        <v/>
      </c>
      <c r="D855" s="448">
        <f>IF($L855&gt;O$5,MAX(0,O$3+ROUND((O$9*($L855-O$5)),0)),IF($L855&gt;O$4,O$3,ROUND($L855*O$7,0)))</f>
        <v/>
      </c>
      <c r="E855" s="448">
        <f>IF($L855&gt;P$5,MAX(0,P$3+ROUND((P$9*($L855-P$5)),0)),IF($L855&gt;P$4,P$3,ROUND($L855*P$7,0)))</f>
        <v/>
      </c>
      <c r="F855" s="447">
        <f>IF($L855&gt;Q$5,MAX(0,Q$3+ROUND((Q$9*($L855-Q$5)),0)),IF($L855&gt;Q$4,Q$3,ROUND($L855*Q$7,0)))</f>
        <v/>
      </c>
      <c r="G855" s="1378">
        <f>IF($L855&gt;R$5,MAX(0,R$3+ROUND((R$9*($L855-R$5)),0)),IF($L855&gt;R$4,R$3,ROUND($L855*R$7,0)))</f>
        <v/>
      </c>
      <c r="H855" s="448">
        <f>IF($L855&gt;S$5,MAX(0,S$3+ROUND((S$9*($L855-S$5)),0)),IF($L855&gt;S$4,S$3,ROUND($L855*S$7,0)))</f>
        <v/>
      </c>
      <c r="I855" s="448">
        <f>IF($L855&gt;T$5,MAX(0,T$3+ROUND((T$9*($L855-T$5)),0)),IF($L855&gt;T$4,T$3,ROUND($L855*T$7,0)))</f>
        <v/>
      </c>
      <c r="J855" s="447">
        <f>IF($L855&gt;U$5,MAX(0,U$3+ROUND((U$9*($L855-U$5)),0)),IF($L855&gt;U$4,U$3,ROUND($L855*U$7,0)))</f>
        <v/>
      </c>
      <c r="K855" s="422" t="n"/>
      <c r="L855" s="448">
        <f>ROUND((A855+B855)/2,2)</f>
        <v/>
      </c>
    </row>
    <row r="856" ht="13.5" customHeight="1" s="7635">
      <c r="A856" s="448" t="n">
        <v>42550</v>
      </c>
      <c r="B856" s="447" t="n">
        <v>42600</v>
      </c>
      <c r="C856" s="1378">
        <f>IF($L856&gt;N$5,MAX(0,N$3+ROUND((N$9*($L856-N$5)),0)),IF($L856&gt;N$4,N$3,ROUND($L856*N$7,0)))</f>
        <v/>
      </c>
      <c r="D856" s="448">
        <f>IF($L856&gt;O$5,MAX(0,O$3+ROUND((O$9*($L856-O$5)),0)),IF($L856&gt;O$4,O$3,ROUND($L856*O$7,0)))</f>
        <v/>
      </c>
      <c r="E856" s="448">
        <f>IF($L856&gt;P$5,MAX(0,P$3+ROUND((P$9*($L856-P$5)),0)),IF($L856&gt;P$4,P$3,ROUND($L856*P$7,0)))</f>
        <v/>
      </c>
      <c r="F856" s="447">
        <f>IF($L856&gt;Q$5,MAX(0,Q$3+ROUND((Q$9*($L856-Q$5)),0)),IF($L856&gt;Q$4,Q$3,ROUND($L856*Q$7,0)))</f>
        <v/>
      </c>
      <c r="G856" s="1378">
        <f>IF($L856&gt;R$5,MAX(0,R$3+ROUND((R$9*($L856-R$5)),0)),IF($L856&gt;R$4,R$3,ROUND($L856*R$7,0)))</f>
        <v/>
      </c>
      <c r="H856" s="448">
        <f>IF($L856&gt;S$5,MAX(0,S$3+ROUND((S$9*($L856-S$5)),0)),IF($L856&gt;S$4,S$3,ROUND($L856*S$7,0)))</f>
        <v/>
      </c>
      <c r="I856" s="448">
        <f>IF($L856&gt;T$5,MAX(0,T$3+ROUND((T$9*($L856-T$5)),0)),IF($L856&gt;T$4,T$3,ROUND($L856*T$7,0)))</f>
        <v/>
      </c>
      <c r="J856" s="447">
        <f>IF($L856&gt;U$5,MAX(0,U$3+ROUND((U$9*($L856-U$5)),0)),IF($L856&gt;U$4,U$3,ROUND($L856*U$7,0)))</f>
        <v/>
      </c>
      <c r="K856" s="422" t="n"/>
      <c r="L856" s="448">
        <f>ROUND((A856+B856)/2,2)</f>
        <v/>
      </c>
    </row>
    <row r="857" ht="13.5" customHeight="1" s="7635">
      <c r="A857" s="448" t="n">
        <v>42600</v>
      </c>
      <c r="B857" s="447" t="n">
        <v>42650</v>
      </c>
      <c r="C857" s="1378">
        <f>IF($L857&gt;N$5,MAX(0,N$3+ROUND((N$9*($L857-N$5)),0)),IF($L857&gt;N$4,N$3,ROUND($L857*N$7,0)))</f>
        <v/>
      </c>
      <c r="D857" s="448">
        <f>IF($L857&gt;O$5,MAX(0,O$3+ROUND((O$9*($L857-O$5)),0)),IF($L857&gt;O$4,O$3,ROUND($L857*O$7,0)))</f>
        <v/>
      </c>
      <c r="E857" s="448">
        <f>IF($L857&gt;P$5,MAX(0,P$3+ROUND((P$9*($L857-P$5)),0)),IF($L857&gt;P$4,P$3,ROUND($L857*P$7,0)))</f>
        <v/>
      </c>
      <c r="F857" s="447">
        <f>IF($L857&gt;Q$5,MAX(0,Q$3+ROUND((Q$9*($L857-Q$5)),0)),IF($L857&gt;Q$4,Q$3,ROUND($L857*Q$7,0)))</f>
        <v/>
      </c>
      <c r="G857" s="1378">
        <f>IF($L857&gt;R$5,MAX(0,R$3+ROUND((R$9*($L857-R$5)),0)),IF($L857&gt;R$4,R$3,ROUND($L857*R$7,0)))</f>
        <v/>
      </c>
      <c r="H857" s="448">
        <f>IF($L857&gt;S$5,MAX(0,S$3+ROUND((S$9*($L857-S$5)),0)),IF($L857&gt;S$4,S$3,ROUND($L857*S$7,0)))</f>
        <v/>
      </c>
      <c r="I857" s="448">
        <f>IF($L857&gt;T$5,MAX(0,T$3+ROUND((T$9*($L857-T$5)),0)),IF($L857&gt;T$4,T$3,ROUND($L857*T$7,0)))</f>
        <v/>
      </c>
      <c r="J857" s="447">
        <f>IF($L857&gt;U$5,MAX(0,U$3+ROUND((U$9*($L857-U$5)),0)),IF($L857&gt;U$4,U$3,ROUND($L857*U$7,0)))</f>
        <v/>
      </c>
      <c r="K857" s="422" t="n"/>
      <c r="L857" s="448">
        <f>ROUND((A857+B857)/2,2)</f>
        <v/>
      </c>
    </row>
    <row r="858" ht="13.5" customHeight="1" s="7635">
      <c r="A858" s="448" t="n">
        <v>42650</v>
      </c>
      <c r="B858" s="447" t="n">
        <v>42700</v>
      </c>
      <c r="C858" s="1378">
        <f>IF($L858&gt;N$5,MAX(0,N$3+ROUND((N$9*($L858-N$5)),0)),IF($L858&gt;N$4,N$3,ROUND($L858*N$7,0)))</f>
        <v/>
      </c>
      <c r="D858" s="448">
        <f>IF($L858&gt;O$5,MAX(0,O$3+ROUND((O$9*($L858-O$5)),0)),IF($L858&gt;O$4,O$3,ROUND($L858*O$7,0)))</f>
        <v/>
      </c>
      <c r="E858" s="448">
        <f>IF($L858&gt;P$5,MAX(0,P$3+ROUND((P$9*($L858-P$5)),0)),IF($L858&gt;P$4,P$3,ROUND($L858*P$7,0)))</f>
        <v/>
      </c>
      <c r="F858" s="447">
        <f>IF($L858&gt;Q$5,MAX(0,Q$3+ROUND((Q$9*($L858-Q$5)),0)),IF($L858&gt;Q$4,Q$3,ROUND($L858*Q$7,0)))</f>
        <v/>
      </c>
      <c r="G858" s="1378">
        <f>IF($L858&gt;R$5,MAX(0,R$3+ROUND((R$9*($L858-R$5)),0)),IF($L858&gt;R$4,R$3,ROUND($L858*R$7,0)))</f>
        <v/>
      </c>
      <c r="H858" s="448">
        <f>IF($L858&gt;S$5,MAX(0,S$3+ROUND((S$9*($L858-S$5)),0)),IF($L858&gt;S$4,S$3,ROUND($L858*S$7,0)))</f>
        <v/>
      </c>
      <c r="I858" s="448">
        <f>IF($L858&gt;T$5,MAX(0,T$3+ROUND((T$9*($L858-T$5)),0)),IF($L858&gt;T$4,T$3,ROUND($L858*T$7,0)))</f>
        <v/>
      </c>
      <c r="J858" s="447">
        <f>IF($L858&gt;U$5,MAX(0,U$3+ROUND((U$9*($L858-U$5)),0)),IF($L858&gt;U$4,U$3,ROUND($L858*U$7,0)))</f>
        <v/>
      </c>
      <c r="K858" s="422" t="n"/>
      <c r="L858" s="448">
        <f>ROUND((A858+B858)/2,2)</f>
        <v/>
      </c>
    </row>
    <row r="859" ht="13.5" customHeight="1" s="7635">
      <c r="A859" s="448" t="n">
        <v>42700</v>
      </c>
      <c r="B859" s="447" t="n">
        <v>42750</v>
      </c>
      <c r="C859" s="1378">
        <f>IF($L859&gt;N$5,MAX(0,N$3+ROUND((N$9*($L859-N$5)),0)),IF($L859&gt;N$4,N$3,ROUND($L859*N$7,0)))</f>
        <v/>
      </c>
      <c r="D859" s="448">
        <f>IF($L859&gt;O$5,MAX(0,O$3+ROUND((O$9*($L859-O$5)),0)),IF($L859&gt;O$4,O$3,ROUND($L859*O$7,0)))</f>
        <v/>
      </c>
      <c r="E859" s="448">
        <f>IF($L859&gt;P$5,MAX(0,P$3+ROUND((P$9*($L859-P$5)),0)),IF($L859&gt;P$4,P$3,ROUND($L859*P$7,0)))</f>
        <v/>
      </c>
      <c r="F859" s="447">
        <f>IF($L859&gt;Q$5,MAX(0,Q$3+ROUND((Q$9*($L859-Q$5)),0)),IF($L859&gt;Q$4,Q$3,ROUND($L859*Q$7,0)))</f>
        <v/>
      </c>
      <c r="G859" s="1378">
        <f>IF($L859&gt;R$5,MAX(0,R$3+ROUND((R$9*($L859-R$5)),0)),IF($L859&gt;R$4,R$3,ROUND($L859*R$7,0)))</f>
        <v/>
      </c>
      <c r="H859" s="448">
        <f>IF($L859&gt;S$5,MAX(0,S$3+ROUND((S$9*($L859-S$5)),0)),IF($L859&gt;S$4,S$3,ROUND($L859*S$7,0)))</f>
        <v/>
      </c>
      <c r="I859" s="448">
        <f>IF($L859&gt;T$5,MAX(0,T$3+ROUND((T$9*($L859-T$5)),0)),IF($L859&gt;T$4,T$3,ROUND($L859*T$7,0)))</f>
        <v/>
      </c>
      <c r="J859" s="447">
        <f>IF($L859&gt;U$5,MAX(0,U$3+ROUND((U$9*($L859-U$5)),0)),IF($L859&gt;U$4,U$3,ROUND($L859*U$7,0)))</f>
        <v/>
      </c>
      <c r="K859" s="422" t="n"/>
      <c r="L859" s="448">
        <f>ROUND((A859+B859)/2,2)</f>
        <v/>
      </c>
    </row>
    <row r="860" ht="13.5" customHeight="1" s="7635">
      <c r="A860" s="448" t="n">
        <v>42750</v>
      </c>
      <c r="B860" s="447" t="n">
        <v>42800</v>
      </c>
      <c r="C860" s="1378">
        <f>IF($L860&gt;N$5,MAX(0,N$3+ROUND((N$9*($L860-N$5)),0)),IF($L860&gt;N$4,N$3,ROUND($L860*N$7,0)))</f>
        <v/>
      </c>
      <c r="D860" s="448">
        <f>IF($L860&gt;O$5,MAX(0,O$3+ROUND((O$9*($L860-O$5)),0)),IF($L860&gt;O$4,O$3,ROUND($L860*O$7,0)))</f>
        <v/>
      </c>
      <c r="E860" s="448">
        <f>IF($L860&gt;P$5,MAX(0,P$3+ROUND((P$9*($L860-P$5)),0)),IF($L860&gt;P$4,P$3,ROUND($L860*P$7,0)))</f>
        <v/>
      </c>
      <c r="F860" s="447">
        <f>IF($L860&gt;Q$5,MAX(0,Q$3+ROUND((Q$9*($L860-Q$5)),0)),IF($L860&gt;Q$4,Q$3,ROUND($L860*Q$7,0)))</f>
        <v/>
      </c>
      <c r="G860" s="1378">
        <f>IF($L860&gt;R$5,MAX(0,R$3+ROUND((R$9*($L860-R$5)),0)),IF($L860&gt;R$4,R$3,ROUND($L860*R$7,0)))</f>
        <v/>
      </c>
      <c r="H860" s="448">
        <f>IF($L860&gt;S$5,MAX(0,S$3+ROUND((S$9*($L860-S$5)),0)),IF($L860&gt;S$4,S$3,ROUND($L860*S$7,0)))</f>
        <v/>
      </c>
      <c r="I860" s="448">
        <f>IF($L860&gt;T$5,MAX(0,T$3+ROUND((T$9*($L860-T$5)),0)),IF($L860&gt;T$4,T$3,ROUND($L860*T$7,0)))</f>
        <v/>
      </c>
      <c r="J860" s="447">
        <f>IF($L860&gt;U$5,MAX(0,U$3+ROUND((U$9*($L860-U$5)),0)),IF($L860&gt;U$4,U$3,ROUND($L860*U$7,0)))</f>
        <v/>
      </c>
      <c r="K860" s="422" t="n"/>
      <c r="L860" s="448">
        <f>ROUND((A860+B860)/2,2)</f>
        <v/>
      </c>
    </row>
    <row r="861" ht="13.5" customHeight="1" s="7635">
      <c r="A861" s="448" t="n">
        <v>42800</v>
      </c>
      <c r="B861" s="447" t="n">
        <v>42850</v>
      </c>
      <c r="C861" s="1378">
        <f>IF($L861&gt;N$5,MAX(0,N$3+ROUND((N$9*($L861-N$5)),0)),IF($L861&gt;N$4,N$3,ROUND($L861*N$7,0)))</f>
        <v/>
      </c>
      <c r="D861" s="448">
        <f>IF($L861&gt;O$5,MAX(0,O$3+ROUND((O$9*($L861-O$5)),0)),IF($L861&gt;O$4,O$3,ROUND($L861*O$7,0)))</f>
        <v/>
      </c>
      <c r="E861" s="448">
        <f>IF($L861&gt;P$5,MAX(0,P$3+ROUND((P$9*($L861-P$5)),0)),IF($L861&gt;P$4,P$3,ROUND($L861*P$7,0)))</f>
        <v/>
      </c>
      <c r="F861" s="447">
        <f>IF($L861&gt;Q$5,MAX(0,Q$3+ROUND((Q$9*($L861-Q$5)),0)),IF($L861&gt;Q$4,Q$3,ROUND($L861*Q$7,0)))</f>
        <v/>
      </c>
      <c r="G861" s="1378">
        <f>IF($L861&gt;R$5,MAX(0,R$3+ROUND((R$9*($L861-R$5)),0)),IF($L861&gt;R$4,R$3,ROUND($L861*R$7,0)))</f>
        <v/>
      </c>
      <c r="H861" s="448">
        <f>IF($L861&gt;S$5,MAX(0,S$3+ROUND((S$9*($L861-S$5)),0)),IF($L861&gt;S$4,S$3,ROUND($L861*S$7,0)))</f>
        <v/>
      </c>
      <c r="I861" s="448">
        <f>IF($L861&gt;T$5,MAX(0,T$3+ROUND((T$9*($L861-T$5)),0)),IF($L861&gt;T$4,T$3,ROUND($L861*T$7,0)))</f>
        <v/>
      </c>
      <c r="J861" s="447">
        <f>IF($L861&gt;U$5,MAX(0,U$3+ROUND((U$9*($L861-U$5)),0)),IF($L861&gt;U$4,U$3,ROUND($L861*U$7,0)))</f>
        <v/>
      </c>
      <c r="K861" s="422" t="n"/>
      <c r="L861" s="448">
        <f>ROUND((A861+B861)/2,2)</f>
        <v/>
      </c>
    </row>
    <row r="862" ht="13.5" customHeight="1" s="7635">
      <c r="A862" s="448" t="n">
        <v>42850</v>
      </c>
      <c r="B862" s="447" t="n">
        <v>42900</v>
      </c>
      <c r="C862" s="1378">
        <f>IF($L862&gt;N$5,MAX(0,N$3+ROUND((N$9*($L862-N$5)),0)),IF($L862&gt;N$4,N$3,ROUND($L862*N$7,0)))</f>
        <v/>
      </c>
      <c r="D862" s="448">
        <f>IF($L862&gt;O$5,MAX(0,O$3+ROUND((O$9*($L862-O$5)),0)),IF($L862&gt;O$4,O$3,ROUND($L862*O$7,0)))</f>
        <v/>
      </c>
      <c r="E862" s="448">
        <f>IF($L862&gt;P$5,MAX(0,P$3+ROUND((P$9*($L862-P$5)),0)),IF($L862&gt;P$4,P$3,ROUND($L862*P$7,0)))</f>
        <v/>
      </c>
      <c r="F862" s="447">
        <f>IF($L862&gt;Q$5,MAX(0,Q$3+ROUND((Q$9*($L862-Q$5)),0)),IF($L862&gt;Q$4,Q$3,ROUND($L862*Q$7,0)))</f>
        <v/>
      </c>
      <c r="G862" s="1378">
        <f>IF($L862&gt;R$5,MAX(0,R$3+ROUND((R$9*($L862-R$5)),0)),IF($L862&gt;R$4,R$3,ROUND($L862*R$7,0)))</f>
        <v/>
      </c>
      <c r="H862" s="448">
        <f>IF($L862&gt;S$5,MAX(0,S$3+ROUND((S$9*($L862-S$5)),0)),IF($L862&gt;S$4,S$3,ROUND($L862*S$7,0)))</f>
        <v/>
      </c>
      <c r="I862" s="448">
        <f>IF($L862&gt;T$5,MAX(0,T$3+ROUND((T$9*($L862-T$5)),0)),IF($L862&gt;T$4,T$3,ROUND($L862*T$7,0)))</f>
        <v/>
      </c>
      <c r="J862" s="447">
        <f>IF($L862&gt;U$5,MAX(0,U$3+ROUND((U$9*($L862-U$5)),0)),IF($L862&gt;U$4,U$3,ROUND($L862*U$7,0)))</f>
        <v/>
      </c>
      <c r="K862" s="422" t="n"/>
      <c r="L862" s="448">
        <f>ROUND((A862+B862)/2,2)</f>
        <v/>
      </c>
    </row>
    <row r="863" ht="13.5" customHeight="1" s="7635">
      <c r="A863" s="448" t="n">
        <v>42900</v>
      </c>
      <c r="B863" s="447" t="n">
        <v>42950</v>
      </c>
      <c r="C863" s="1378">
        <f>IF($L863&gt;N$5,MAX(0,N$3+ROUND((N$9*($L863-N$5)),0)),IF($L863&gt;N$4,N$3,ROUND($L863*N$7,0)))</f>
        <v/>
      </c>
      <c r="D863" s="448">
        <f>IF($L863&gt;O$5,MAX(0,O$3+ROUND((O$9*($L863-O$5)),0)),IF($L863&gt;O$4,O$3,ROUND($L863*O$7,0)))</f>
        <v/>
      </c>
      <c r="E863" s="448">
        <f>IF($L863&gt;P$5,MAX(0,P$3+ROUND((P$9*($L863-P$5)),0)),IF($L863&gt;P$4,P$3,ROUND($L863*P$7,0)))</f>
        <v/>
      </c>
      <c r="F863" s="447">
        <f>IF($L863&gt;Q$5,MAX(0,Q$3+ROUND((Q$9*($L863-Q$5)),0)),IF($L863&gt;Q$4,Q$3,ROUND($L863*Q$7,0)))</f>
        <v/>
      </c>
      <c r="G863" s="1378">
        <f>IF($L863&gt;R$5,MAX(0,R$3+ROUND((R$9*($L863-R$5)),0)),IF($L863&gt;R$4,R$3,ROUND($L863*R$7,0)))</f>
        <v/>
      </c>
      <c r="H863" s="448">
        <f>IF($L863&gt;S$5,MAX(0,S$3+ROUND((S$9*($L863-S$5)),0)),IF($L863&gt;S$4,S$3,ROUND($L863*S$7,0)))</f>
        <v/>
      </c>
      <c r="I863" s="448">
        <f>IF($L863&gt;T$5,MAX(0,T$3+ROUND((T$9*($L863-T$5)),0)),IF($L863&gt;T$4,T$3,ROUND($L863*T$7,0)))</f>
        <v/>
      </c>
      <c r="J863" s="447">
        <f>IF($L863&gt;U$5,MAX(0,U$3+ROUND((U$9*($L863-U$5)),0)),IF($L863&gt;U$4,U$3,ROUND($L863*U$7,0)))</f>
        <v/>
      </c>
      <c r="K863" s="422" t="n"/>
      <c r="L863" s="448">
        <f>ROUND((A863+B863)/2,2)</f>
        <v/>
      </c>
    </row>
    <row r="864" ht="13.5" customHeight="1" s="7635">
      <c r="A864" s="448" t="n">
        <v>42950</v>
      </c>
      <c r="B864" s="447" t="n">
        <v>43000</v>
      </c>
      <c r="C864" s="1378">
        <f>IF($L864&gt;N$5,MAX(0,N$3+ROUND((N$9*($L864-N$5)),0)),IF($L864&gt;N$4,N$3,ROUND($L864*N$7,0)))</f>
        <v/>
      </c>
      <c r="D864" s="448">
        <f>IF($L864&gt;O$5,MAX(0,O$3+ROUND((O$9*($L864-O$5)),0)),IF($L864&gt;O$4,O$3,ROUND($L864*O$7,0)))</f>
        <v/>
      </c>
      <c r="E864" s="448">
        <f>IF($L864&gt;P$5,MAX(0,P$3+ROUND((P$9*($L864-P$5)),0)),IF($L864&gt;P$4,P$3,ROUND($L864*P$7,0)))</f>
        <v/>
      </c>
      <c r="F864" s="447">
        <f>IF($L864&gt;Q$5,MAX(0,Q$3+ROUND((Q$9*($L864-Q$5)),0)),IF($L864&gt;Q$4,Q$3,ROUND($L864*Q$7,0)))</f>
        <v/>
      </c>
      <c r="G864" s="1378">
        <f>IF($L864&gt;R$5,MAX(0,R$3+ROUND((R$9*($L864-R$5)),0)),IF($L864&gt;R$4,R$3,ROUND($L864*R$7,0)))</f>
        <v/>
      </c>
      <c r="H864" s="448">
        <f>IF($L864&gt;S$5,MAX(0,S$3+ROUND((S$9*($L864-S$5)),0)),IF($L864&gt;S$4,S$3,ROUND($L864*S$7,0)))</f>
        <v/>
      </c>
      <c r="I864" s="448">
        <f>IF($L864&gt;T$5,MAX(0,T$3+ROUND((T$9*($L864-T$5)),0)),IF($L864&gt;T$4,T$3,ROUND($L864*T$7,0)))</f>
        <v/>
      </c>
      <c r="J864" s="447">
        <f>IF($L864&gt;U$5,MAX(0,U$3+ROUND((U$9*($L864-U$5)),0)),IF($L864&gt;U$4,U$3,ROUND($L864*U$7,0)))</f>
        <v/>
      </c>
      <c r="K864" s="422" t="n"/>
      <c r="L864" s="448">
        <f>ROUND((A864+B864)/2,2)</f>
        <v/>
      </c>
    </row>
    <row r="865" ht="13.5" customHeight="1" s="7635">
      <c r="A865" s="448" t="n">
        <v>43000</v>
      </c>
      <c r="B865" s="447" t="n">
        <v>43050</v>
      </c>
      <c r="C865" s="1378">
        <f>IF($L865&gt;N$5,MAX(0,N$3+ROUND((N$9*($L865-N$5)),0)),IF($L865&gt;N$4,N$3,ROUND($L865*N$7,0)))</f>
        <v/>
      </c>
      <c r="D865" s="448">
        <f>IF($L865&gt;O$5,MAX(0,O$3+ROUND((O$9*($L865-O$5)),0)),IF($L865&gt;O$4,O$3,ROUND($L865*O$7,0)))</f>
        <v/>
      </c>
      <c r="E865" s="448">
        <f>IF($L865&gt;P$5,MAX(0,P$3+ROUND((P$9*($L865-P$5)),0)),IF($L865&gt;P$4,P$3,ROUND($L865*P$7,0)))</f>
        <v/>
      </c>
      <c r="F865" s="447">
        <f>IF($L865&gt;Q$5,MAX(0,Q$3+ROUND((Q$9*($L865-Q$5)),0)),IF($L865&gt;Q$4,Q$3,ROUND($L865*Q$7,0)))</f>
        <v/>
      </c>
      <c r="G865" s="1378">
        <f>IF($L865&gt;R$5,MAX(0,R$3+ROUND((R$9*($L865-R$5)),0)),IF($L865&gt;R$4,R$3,ROUND($L865*R$7,0)))</f>
        <v/>
      </c>
      <c r="H865" s="448">
        <f>IF($L865&gt;S$5,MAX(0,S$3+ROUND((S$9*($L865-S$5)),0)),IF($L865&gt;S$4,S$3,ROUND($L865*S$7,0)))</f>
        <v/>
      </c>
      <c r="I865" s="448">
        <f>IF($L865&gt;T$5,MAX(0,T$3+ROUND((T$9*($L865-T$5)),0)),IF($L865&gt;T$4,T$3,ROUND($L865*T$7,0)))</f>
        <v/>
      </c>
      <c r="J865" s="447">
        <f>IF($L865&gt;U$5,MAX(0,U$3+ROUND((U$9*($L865-U$5)),0)),IF($L865&gt;U$4,U$3,ROUND($L865*U$7,0)))</f>
        <v/>
      </c>
      <c r="K865" s="422" t="n"/>
      <c r="L865" s="448">
        <f>ROUND((A865+B865)/2,2)</f>
        <v/>
      </c>
    </row>
    <row r="866" ht="13.5" customHeight="1" s="7635">
      <c r="A866" s="448" t="n">
        <v>43050</v>
      </c>
      <c r="B866" s="447" t="n">
        <v>43100</v>
      </c>
      <c r="C866" s="1378">
        <f>IF($L866&gt;N$5,MAX(0,N$3+ROUND((N$9*($L866-N$5)),0)),IF($L866&gt;N$4,N$3,ROUND($L866*N$7,0)))</f>
        <v/>
      </c>
      <c r="D866" s="448">
        <f>IF($L866&gt;O$5,MAX(0,O$3+ROUND((O$9*($L866-O$5)),0)),IF($L866&gt;O$4,O$3,ROUND($L866*O$7,0)))</f>
        <v/>
      </c>
      <c r="E866" s="448">
        <f>IF($L866&gt;P$5,MAX(0,P$3+ROUND((P$9*($L866-P$5)),0)),IF($L866&gt;P$4,P$3,ROUND($L866*P$7,0)))</f>
        <v/>
      </c>
      <c r="F866" s="447">
        <f>IF($L866&gt;Q$5,MAX(0,Q$3+ROUND((Q$9*($L866-Q$5)),0)),IF($L866&gt;Q$4,Q$3,ROUND($L866*Q$7,0)))</f>
        <v/>
      </c>
      <c r="G866" s="1378">
        <f>IF($L866&gt;R$5,MAX(0,R$3+ROUND((R$9*($L866-R$5)),0)),IF($L866&gt;R$4,R$3,ROUND($L866*R$7,0)))</f>
        <v/>
      </c>
      <c r="H866" s="448">
        <f>IF($L866&gt;S$5,MAX(0,S$3+ROUND((S$9*($L866-S$5)),0)),IF($L866&gt;S$4,S$3,ROUND($L866*S$7,0)))</f>
        <v/>
      </c>
      <c r="I866" s="448">
        <f>IF($L866&gt;T$5,MAX(0,T$3+ROUND((T$9*($L866-T$5)),0)),IF($L866&gt;T$4,T$3,ROUND($L866*T$7,0)))</f>
        <v/>
      </c>
      <c r="J866" s="447">
        <f>IF($L866&gt;U$5,MAX(0,U$3+ROUND((U$9*($L866-U$5)),0)),IF($L866&gt;U$4,U$3,ROUND($L866*U$7,0)))</f>
        <v/>
      </c>
      <c r="K866" s="422" t="n"/>
      <c r="L866" s="448">
        <f>ROUND((A866+B866)/2,2)</f>
        <v/>
      </c>
    </row>
    <row r="867" ht="13.5" customHeight="1" s="7635">
      <c r="A867" s="448" t="n">
        <v>43100</v>
      </c>
      <c r="B867" s="447" t="n">
        <v>43150</v>
      </c>
      <c r="C867" s="1378">
        <f>IF($L867&gt;N$5,MAX(0,N$3+ROUND((N$9*($L867-N$5)),0)),IF($L867&gt;N$4,N$3,ROUND($L867*N$7,0)))</f>
        <v/>
      </c>
      <c r="D867" s="448">
        <f>IF($L867&gt;O$5,MAX(0,O$3+ROUND((O$9*($L867-O$5)),0)),IF($L867&gt;O$4,O$3,ROUND($L867*O$7,0)))</f>
        <v/>
      </c>
      <c r="E867" s="448">
        <f>IF($L867&gt;P$5,MAX(0,P$3+ROUND((P$9*($L867-P$5)),0)),IF($L867&gt;P$4,P$3,ROUND($L867*P$7,0)))</f>
        <v/>
      </c>
      <c r="F867" s="447">
        <f>IF($L867&gt;Q$5,MAX(0,Q$3+ROUND((Q$9*($L867-Q$5)),0)),IF($L867&gt;Q$4,Q$3,ROUND($L867*Q$7,0)))</f>
        <v/>
      </c>
      <c r="G867" s="1378">
        <f>IF($L867&gt;R$5,MAX(0,R$3+ROUND((R$9*($L867-R$5)),0)),IF($L867&gt;R$4,R$3,ROUND($L867*R$7,0)))</f>
        <v/>
      </c>
      <c r="H867" s="448">
        <f>IF($L867&gt;S$5,MAX(0,S$3+ROUND((S$9*($L867-S$5)),0)),IF($L867&gt;S$4,S$3,ROUND($L867*S$7,0)))</f>
        <v/>
      </c>
      <c r="I867" s="448">
        <f>IF($L867&gt;T$5,MAX(0,T$3+ROUND((T$9*($L867-T$5)),0)),IF($L867&gt;T$4,T$3,ROUND($L867*T$7,0)))</f>
        <v/>
      </c>
      <c r="J867" s="447">
        <f>IF($L867&gt;U$5,MAX(0,U$3+ROUND((U$9*($L867-U$5)),0)),IF($L867&gt;U$4,U$3,ROUND($L867*U$7,0)))</f>
        <v/>
      </c>
      <c r="K867" s="422" t="n"/>
      <c r="L867" s="448">
        <f>ROUND((A867+B867)/2,2)</f>
        <v/>
      </c>
    </row>
    <row r="868" ht="13.5" customHeight="1" s="7635">
      <c r="A868" s="448" t="n">
        <v>43150</v>
      </c>
      <c r="B868" s="447" t="n">
        <v>43200</v>
      </c>
      <c r="C868" s="1378">
        <f>IF($L868&gt;N$5,MAX(0,N$3+ROUND((N$9*($L868-N$5)),0)),IF($L868&gt;N$4,N$3,ROUND($L868*N$7,0)))</f>
        <v/>
      </c>
      <c r="D868" s="448">
        <f>IF($L868&gt;O$5,MAX(0,O$3+ROUND((O$9*($L868-O$5)),0)),IF($L868&gt;O$4,O$3,ROUND($L868*O$7,0)))</f>
        <v/>
      </c>
      <c r="E868" s="448">
        <f>IF($L868&gt;P$5,MAX(0,P$3+ROUND((P$9*($L868-P$5)),0)),IF($L868&gt;P$4,P$3,ROUND($L868*P$7,0)))</f>
        <v/>
      </c>
      <c r="F868" s="447">
        <f>IF($L868&gt;Q$5,MAX(0,Q$3+ROUND((Q$9*($L868-Q$5)),0)),IF($L868&gt;Q$4,Q$3,ROUND($L868*Q$7,0)))</f>
        <v/>
      </c>
      <c r="G868" s="1378">
        <f>IF($L868&gt;R$5,MAX(0,R$3+ROUND((R$9*($L868-R$5)),0)),IF($L868&gt;R$4,R$3,ROUND($L868*R$7,0)))</f>
        <v/>
      </c>
      <c r="H868" s="448">
        <f>IF($L868&gt;S$5,MAX(0,S$3+ROUND((S$9*($L868-S$5)),0)),IF($L868&gt;S$4,S$3,ROUND($L868*S$7,0)))</f>
        <v/>
      </c>
      <c r="I868" s="448">
        <f>IF($L868&gt;T$5,MAX(0,T$3+ROUND((T$9*($L868-T$5)),0)),IF($L868&gt;T$4,T$3,ROUND($L868*T$7,0)))</f>
        <v/>
      </c>
      <c r="J868" s="447">
        <f>IF($L868&gt;U$5,MAX(0,U$3+ROUND((U$9*($L868-U$5)),0)),IF($L868&gt;U$4,U$3,ROUND($L868*U$7,0)))</f>
        <v/>
      </c>
      <c r="K868" s="422" t="n"/>
      <c r="L868" s="448">
        <f>ROUND((A868+B868)/2,2)</f>
        <v/>
      </c>
    </row>
    <row r="869" ht="13.5" customHeight="1" s="7635">
      <c r="A869" s="448" t="n">
        <v>43200</v>
      </c>
      <c r="B869" s="447" t="n">
        <v>43250</v>
      </c>
      <c r="C869" s="1378">
        <f>IF($L869&gt;N$5,MAX(0,N$3+ROUND((N$9*($L869-N$5)),0)),IF($L869&gt;N$4,N$3,ROUND($L869*N$7,0)))</f>
        <v/>
      </c>
      <c r="D869" s="448">
        <f>IF($L869&gt;O$5,MAX(0,O$3+ROUND((O$9*($L869-O$5)),0)),IF($L869&gt;O$4,O$3,ROUND($L869*O$7,0)))</f>
        <v/>
      </c>
      <c r="E869" s="448">
        <f>IF($L869&gt;P$5,MAX(0,P$3+ROUND((P$9*($L869-P$5)),0)),IF($L869&gt;P$4,P$3,ROUND($L869*P$7,0)))</f>
        <v/>
      </c>
      <c r="F869" s="447">
        <f>IF($L869&gt;Q$5,MAX(0,Q$3+ROUND((Q$9*($L869-Q$5)),0)),IF($L869&gt;Q$4,Q$3,ROUND($L869*Q$7,0)))</f>
        <v/>
      </c>
      <c r="G869" s="1378">
        <f>IF($L869&gt;R$5,MAX(0,R$3+ROUND((R$9*($L869-R$5)),0)),IF($L869&gt;R$4,R$3,ROUND($L869*R$7,0)))</f>
        <v/>
      </c>
      <c r="H869" s="448">
        <f>IF($L869&gt;S$5,MAX(0,S$3+ROUND((S$9*($L869-S$5)),0)),IF($L869&gt;S$4,S$3,ROUND($L869*S$7,0)))</f>
        <v/>
      </c>
      <c r="I869" s="448">
        <f>IF($L869&gt;T$5,MAX(0,T$3+ROUND((T$9*($L869-T$5)),0)),IF($L869&gt;T$4,T$3,ROUND($L869*T$7,0)))</f>
        <v/>
      </c>
      <c r="J869" s="447">
        <f>IF($L869&gt;U$5,MAX(0,U$3+ROUND((U$9*($L869-U$5)),0)),IF($L869&gt;U$4,U$3,ROUND($L869*U$7,0)))</f>
        <v/>
      </c>
      <c r="K869" s="422" t="n"/>
      <c r="L869" s="448">
        <f>ROUND((A869+B869)/2,2)</f>
        <v/>
      </c>
    </row>
    <row r="870" ht="13.5" customHeight="1" s="7635">
      <c r="A870" s="448" t="n">
        <v>43250</v>
      </c>
      <c r="B870" s="447" t="n">
        <v>43300</v>
      </c>
      <c r="C870" s="1378">
        <f>IF($L870&gt;N$5,MAX(0,N$3+ROUND((N$9*($L870-N$5)),0)),IF($L870&gt;N$4,N$3,ROUND($L870*N$7,0)))</f>
        <v/>
      </c>
      <c r="D870" s="448">
        <f>IF($L870&gt;O$5,MAX(0,O$3+ROUND((O$9*($L870-O$5)),0)),IF($L870&gt;O$4,O$3,ROUND($L870*O$7,0)))</f>
        <v/>
      </c>
      <c r="E870" s="448">
        <f>IF($L870&gt;P$5,MAX(0,P$3+ROUND((P$9*($L870-P$5)),0)),IF($L870&gt;P$4,P$3,ROUND($L870*P$7,0)))</f>
        <v/>
      </c>
      <c r="F870" s="447">
        <f>IF($L870&gt;Q$5,MAX(0,Q$3+ROUND((Q$9*($L870-Q$5)),0)),IF($L870&gt;Q$4,Q$3,ROUND($L870*Q$7,0)))</f>
        <v/>
      </c>
      <c r="G870" s="1378">
        <f>IF($L870&gt;R$5,MAX(0,R$3+ROUND((R$9*($L870-R$5)),0)),IF($L870&gt;R$4,R$3,ROUND($L870*R$7,0)))</f>
        <v/>
      </c>
      <c r="H870" s="448">
        <f>IF($L870&gt;S$5,MAX(0,S$3+ROUND((S$9*($L870-S$5)),0)),IF($L870&gt;S$4,S$3,ROUND($L870*S$7,0)))</f>
        <v/>
      </c>
      <c r="I870" s="448">
        <f>IF($L870&gt;T$5,MAX(0,T$3+ROUND((T$9*($L870-T$5)),0)),IF($L870&gt;T$4,T$3,ROUND($L870*T$7,0)))</f>
        <v/>
      </c>
      <c r="J870" s="447">
        <f>IF($L870&gt;U$5,MAX(0,U$3+ROUND((U$9*($L870-U$5)),0)),IF($L870&gt;U$4,U$3,ROUND($L870*U$7,0)))</f>
        <v/>
      </c>
      <c r="K870" s="422" t="n"/>
      <c r="L870" s="448">
        <f>ROUND((A870+B870)/2,2)</f>
        <v/>
      </c>
    </row>
    <row r="871" ht="13.5" customHeight="1" s="7635">
      <c r="A871" s="448" t="n">
        <v>43300</v>
      </c>
      <c r="B871" s="447" t="n">
        <v>43350</v>
      </c>
      <c r="C871" s="1378">
        <f>IF($L871&gt;N$5,MAX(0,N$3+ROUND((N$9*($L871-N$5)),0)),IF($L871&gt;N$4,N$3,ROUND($L871*N$7,0)))</f>
        <v/>
      </c>
      <c r="D871" s="448">
        <f>IF($L871&gt;O$5,MAX(0,O$3+ROUND((O$9*($L871-O$5)),0)),IF($L871&gt;O$4,O$3,ROUND($L871*O$7,0)))</f>
        <v/>
      </c>
      <c r="E871" s="448">
        <f>IF($L871&gt;P$5,MAX(0,P$3+ROUND((P$9*($L871-P$5)),0)),IF($L871&gt;P$4,P$3,ROUND($L871*P$7,0)))</f>
        <v/>
      </c>
      <c r="F871" s="447">
        <f>IF($L871&gt;Q$5,MAX(0,Q$3+ROUND((Q$9*($L871-Q$5)),0)),IF($L871&gt;Q$4,Q$3,ROUND($L871*Q$7,0)))</f>
        <v/>
      </c>
      <c r="G871" s="1378">
        <f>IF($L871&gt;R$5,MAX(0,R$3+ROUND((R$9*($L871-R$5)),0)),IF($L871&gt;R$4,R$3,ROUND($L871*R$7,0)))</f>
        <v/>
      </c>
      <c r="H871" s="448">
        <f>IF($L871&gt;S$5,MAX(0,S$3+ROUND((S$9*($L871-S$5)),0)),IF($L871&gt;S$4,S$3,ROUND($L871*S$7,0)))</f>
        <v/>
      </c>
      <c r="I871" s="448">
        <f>IF($L871&gt;T$5,MAX(0,T$3+ROUND((T$9*($L871-T$5)),0)),IF($L871&gt;T$4,T$3,ROUND($L871*T$7,0)))</f>
        <v/>
      </c>
      <c r="J871" s="447">
        <f>IF($L871&gt;U$5,MAX(0,U$3+ROUND((U$9*($L871-U$5)),0)),IF($L871&gt;U$4,U$3,ROUND($L871*U$7,0)))</f>
        <v/>
      </c>
      <c r="K871" s="422" t="n"/>
      <c r="L871" s="448">
        <f>ROUND((A871+B871)/2,2)</f>
        <v/>
      </c>
    </row>
    <row r="872" ht="13.5" customHeight="1" s="7635">
      <c r="A872" s="448" t="n">
        <v>43350</v>
      </c>
      <c r="B872" s="447" t="n">
        <v>43400</v>
      </c>
      <c r="C872" s="1378">
        <f>IF($L872&gt;N$5,MAX(0,N$3+ROUND((N$9*($L872-N$5)),0)),IF($L872&gt;N$4,N$3,ROUND($L872*N$7,0)))</f>
        <v/>
      </c>
      <c r="D872" s="448">
        <f>IF($L872&gt;O$5,MAX(0,O$3+ROUND((O$9*($L872-O$5)),0)),IF($L872&gt;O$4,O$3,ROUND($L872*O$7,0)))</f>
        <v/>
      </c>
      <c r="E872" s="448">
        <f>IF($L872&gt;P$5,MAX(0,P$3+ROUND((P$9*($L872-P$5)),0)),IF($L872&gt;P$4,P$3,ROUND($L872*P$7,0)))</f>
        <v/>
      </c>
      <c r="F872" s="447">
        <f>IF($L872&gt;Q$5,MAX(0,Q$3+ROUND((Q$9*($L872-Q$5)),0)),IF($L872&gt;Q$4,Q$3,ROUND($L872*Q$7,0)))</f>
        <v/>
      </c>
      <c r="G872" s="1378">
        <f>IF($L872&gt;R$5,MAX(0,R$3+ROUND((R$9*($L872-R$5)),0)),IF($L872&gt;R$4,R$3,ROUND($L872*R$7,0)))</f>
        <v/>
      </c>
      <c r="H872" s="448">
        <f>IF($L872&gt;S$5,MAX(0,S$3+ROUND((S$9*($L872-S$5)),0)),IF($L872&gt;S$4,S$3,ROUND($L872*S$7,0)))</f>
        <v/>
      </c>
      <c r="I872" s="448">
        <f>IF($L872&gt;T$5,MAX(0,T$3+ROUND((T$9*($L872-T$5)),0)),IF($L872&gt;T$4,T$3,ROUND($L872*T$7,0)))</f>
        <v/>
      </c>
      <c r="J872" s="447">
        <f>IF($L872&gt;U$5,MAX(0,U$3+ROUND((U$9*($L872-U$5)),0)),IF($L872&gt;U$4,U$3,ROUND($L872*U$7,0)))</f>
        <v/>
      </c>
      <c r="K872" s="422" t="n"/>
      <c r="L872" s="448">
        <f>ROUND((A872+B872)/2,2)</f>
        <v/>
      </c>
    </row>
    <row r="873" ht="13.5" customHeight="1" s="7635">
      <c r="A873" s="448" t="n">
        <v>43400</v>
      </c>
      <c r="B873" s="447" t="n">
        <v>43450</v>
      </c>
      <c r="C873" s="1378">
        <f>IF($L873&gt;N$5,MAX(0,N$3+ROUND((N$9*($L873-N$5)),0)),IF($L873&gt;N$4,N$3,ROUND($L873*N$7,0)))</f>
        <v/>
      </c>
      <c r="D873" s="448">
        <f>IF($L873&gt;O$5,MAX(0,O$3+ROUND((O$9*($L873-O$5)),0)),IF($L873&gt;O$4,O$3,ROUND($L873*O$7,0)))</f>
        <v/>
      </c>
      <c r="E873" s="448">
        <f>IF($L873&gt;P$5,MAX(0,P$3+ROUND((P$9*($L873-P$5)),0)),IF($L873&gt;P$4,P$3,ROUND($L873*P$7,0)))</f>
        <v/>
      </c>
      <c r="F873" s="447">
        <f>IF($L873&gt;Q$5,MAX(0,Q$3+ROUND((Q$9*($L873-Q$5)),0)),IF($L873&gt;Q$4,Q$3,ROUND($L873*Q$7,0)))</f>
        <v/>
      </c>
      <c r="G873" s="1378">
        <f>IF($L873&gt;R$5,MAX(0,R$3+ROUND((R$9*($L873-R$5)),0)),IF($L873&gt;R$4,R$3,ROUND($L873*R$7,0)))</f>
        <v/>
      </c>
      <c r="H873" s="448">
        <f>IF($L873&gt;S$5,MAX(0,S$3+ROUND((S$9*($L873-S$5)),0)),IF($L873&gt;S$4,S$3,ROUND($L873*S$7,0)))</f>
        <v/>
      </c>
      <c r="I873" s="448">
        <f>IF($L873&gt;T$5,MAX(0,T$3+ROUND((T$9*($L873-T$5)),0)),IF($L873&gt;T$4,T$3,ROUND($L873*T$7,0)))</f>
        <v/>
      </c>
      <c r="J873" s="447">
        <f>IF($L873&gt;U$5,MAX(0,U$3+ROUND((U$9*($L873-U$5)),0)),IF($L873&gt;U$4,U$3,ROUND($L873*U$7,0)))</f>
        <v/>
      </c>
      <c r="K873" s="422" t="n"/>
      <c r="L873" s="448">
        <f>ROUND((A873+B873)/2,2)</f>
        <v/>
      </c>
    </row>
    <row r="874" ht="13.5" customHeight="1" s="7635">
      <c r="A874" s="448" t="n">
        <v>43450</v>
      </c>
      <c r="B874" s="447" t="n">
        <v>43500</v>
      </c>
      <c r="C874" s="1378">
        <f>IF($L874&gt;N$5,MAX(0,N$3+ROUND((N$9*($L874-N$5)),0)),IF($L874&gt;N$4,N$3,ROUND($L874*N$7,0)))</f>
        <v/>
      </c>
      <c r="D874" s="448">
        <f>IF($L874&gt;O$5,MAX(0,O$3+ROUND((O$9*($L874-O$5)),0)),IF($L874&gt;O$4,O$3,ROUND($L874*O$7,0)))</f>
        <v/>
      </c>
      <c r="E874" s="448">
        <f>IF($L874&gt;P$5,MAX(0,P$3+ROUND((P$9*($L874-P$5)),0)),IF($L874&gt;P$4,P$3,ROUND($L874*P$7,0)))</f>
        <v/>
      </c>
      <c r="F874" s="447">
        <f>IF($L874&gt;Q$5,MAX(0,Q$3+ROUND((Q$9*($L874-Q$5)),0)),IF($L874&gt;Q$4,Q$3,ROUND($L874*Q$7,0)))</f>
        <v/>
      </c>
      <c r="G874" s="1378">
        <f>IF($L874&gt;R$5,MAX(0,R$3+ROUND((R$9*($L874-R$5)),0)),IF($L874&gt;R$4,R$3,ROUND($L874*R$7,0)))</f>
        <v/>
      </c>
      <c r="H874" s="448">
        <f>IF($L874&gt;S$5,MAX(0,S$3+ROUND((S$9*($L874-S$5)),0)),IF($L874&gt;S$4,S$3,ROUND($L874*S$7,0)))</f>
        <v/>
      </c>
      <c r="I874" s="448">
        <f>IF($L874&gt;T$5,MAX(0,T$3+ROUND((T$9*($L874-T$5)),0)),IF($L874&gt;T$4,T$3,ROUND($L874*T$7,0)))</f>
        <v/>
      </c>
      <c r="J874" s="447">
        <f>IF($L874&gt;U$5,MAX(0,U$3+ROUND((U$9*($L874-U$5)),0)),IF($L874&gt;U$4,U$3,ROUND($L874*U$7,0)))</f>
        <v/>
      </c>
      <c r="K874" s="422" t="n"/>
      <c r="L874" s="448">
        <f>ROUND((A874+B874)/2,2)</f>
        <v/>
      </c>
    </row>
    <row r="875" ht="13.5" customHeight="1" s="7635">
      <c r="A875" s="448" t="n">
        <v>43500</v>
      </c>
      <c r="B875" s="447" t="n">
        <v>43550</v>
      </c>
      <c r="C875" s="1378">
        <f>IF($L875&gt;N$5,MAX(0,N$3+ROUND((N$9*($L875-N$5)),0)),IF($L875&gt;N$4,N$3,ROUND($L875*N$7,0)))</f>
        <v/>
      </c>
      <c r="D875" s="448">
        <f>IF($L875&gt;O$5,MAX(0,O$3+ROUND((O$9*($L875-O$5)),0)),IF($L875&gt;O$4,O$3,ROUND($L875*O$7,0)))</f>
        <v/>
      </c>
      <c r="E875" s="448">
        <f>IF($L875&gt;P$5,MAX(0,P$3+ROUND((P$9*($L875-P$5)),0)),IF($L875&gt;P$4,P$3,ROUND($L875*P$7,0)))</f>
        <v/>
      </c>
      <c r="F875" s="447">
        <f>IF($L875&gt;Q$5,MAX(0,Q$3+ROUND((Q$9*($L875-Q$5)),0)),IF($L875&gt;Q$4,Q$3,ROUND($L875*Q$7,0)))</f>
        <v/>
      </c>
      <c r="G875" s="1378">
        <f>IF($L875&gt;R$5,MAX(0,R$3+ROUND((R$9*($L875-R$5)),0)),IF($L875&gt;R$4,R$3,ROUND($L875*R$7,0)))</f>
        <v/>
      </c>
      <c r="H875" s="448">
        <f>IF($L875&gt;S$5,MAX(0,S$3+ROUND((S$9*($L875-S$5)),0)),IF($L875&gt;S$4,S$3,ROUND($L875*S$7,0)))</f>
        <v/>
      </c>
      <c r="I875" s="448">
        <f>IF($L875&gt;T$5,MAX(0,T$3+ROUND((T$9*($L875-T$5)),0)),IF($L875&gt;T$4,T$3,ROUND($L875*T$7,0)))</f>
        <v/>
      </c>
      <c r="J875" s="447">
        <f>IF($L875&gt;U$5,MAX(0,U$3+ROUND((U$9*($L875-U$5)),0)),IF($L875&gt;U$4,U$3,ROUND($L875*U$7,0)))</f>
        <v/>
      </c>
      <c r="K875" s="422" t="n"/>
      <c r="L875" s="448">
        <f>ROUND((A875+B875)/2,2)</f>
        <v/>
      </c>
    </row>
    <row r="876" ht="13.5" customHeight="1" s="7635">
      <c r="A876" s="448" t="n">
        <v>43550</v>
      </c>
      <c r="B876" s="447" t="n">
        <v>43600</v>
      </c>
      <c r="C876" s="1378">
        <f>IF($L876&gt;N$5,MAX(0,N$3+ROUND((N$9*($L876-N$5)),0)),IF($L876&gt;N$4,N$3,ROUND($L876*N$7,0)))</f>
        <v/>
      </c>
      <c r="D876" s="448">
        <f>IF($L876&gt;O$5,MAX(0,O$3+ROUND((O$9*($L876-O$5)),0)),IF($L876&gt;O$4,O$3,ROUND($L876*O$7,0)))</f>
        <v/>
      </c>
      <c r="E876" s="448">
        <f>IF($L876&gt;P$5,MAX(0,P$3+ROUND((P$9*($L876-P$5)),0)),IF($L876&gt;P$4,P$3,ROUND($L876*P$7,0)))</f>
        <v/>
      </c>
      <c r="F876" s="447">
        <f>IF($L876&gt;Q$5,MAX(0,Q$3+ROUND((Q$9*($L876-Q$5)),0)),IF($L876&gt;Q$4,Q$3,ROUND($L876*Q$7,0)))</f>
        <v/>
      </c>
      <c r="G876" s="1378">
        <f>IF($L876&gt;R$5,MAX(0,R$3+ROUND((R$9*($L876-R$5)),0)),IF($L876&gt;R$4,R$3,ROUND($L876*R$7,0)))</f>
        <v/>
      </c>
      <c r="H876" s="448">
        <f>IF($L876&gt;S$5,MAX(0,S$3+ROUND((S$9*($L876-S$5)),0)),IF($L876&gt;S$4,S$3,ROUND($L876*S$7,0)))</f>
        <v/>
      </c>
      <c r="I876" s="448">
        <f>IF($L876&gt;T$5,MAX(0,T$3+ROUND((T$9*($L876-T$5)),0)),IF($L876&gt;T$4,T$3,ROUND($L876*T$7,0)))</f>
        <v/>
      </c>
      <c r="J876" s="447">
        <f>IF($L876&gt;U$5,MAX(0,U$3+ROUND((U$9*($L876-U$5)),0)),IF($L876&gt;U$4,U$3,ROUND($L876*U$7,0)))</f>
        <v/>
      </c>
      <c r="K876" s="422" t="n"/>
      <c r="L876" s="448">
        <f>ROUND((A876+B876)/2,2)</f>
        <v/>
      </c>
    </row>
    <row r="877" ht="13.5" customHeight="1" s="7635">
      <c r="A877" s="448" t="n">
        <v>43600</v>
      </c>
      <c r="B877" s="447" t="n">
        <v>43650</v>
      </c>
      <c r="C877" s="1378">
        <f>IF($L877&gt;N$5,MAX(0,N$3+ROUND((N$9*($L877-N$5)),0)),IF($L877&gt;N$4,N$3,ROUND($L877*N$7,0)))</f>
        <v/>
      </c>
      <c r="D877" s="448">
        <f>IF($L877&gt;O$5,MAX(0,O$3+ROUND((O$9*($L877-O$5)),0)),IF($L877&gt;O$4,O$3,ROUND($L877*O$7,0)))</f>
        <v/>
      </c>
      <c r="E877" s="448">
        <f>IF($L877&gt;P$5,MAX(0,P$3+ROUND((P$9*($L877-P$5)),0)),IF($L877&gt;P$4,P$3,ROUND($L877*P$7,0)))</f>
        <v/>
      </c>
      <c r="F877" s="447">
        <f>IF($L877&gt;Q$5,MAX(0,Q$3+ROUND((Q$9*($L877-Q$5)),0)),IF($L877&gt;Q$4,Q$3,ROUND($L877*Q$7,0)))</f>
        <v/>
      </c>
      <c r="G877" s="1378">
        <f>IF($L877&gt;R$5,MAX(0,R$3+ROUND((R$9*($L877-R$5)),0)),IF($L877&gt;R$4,R$3,ROUND($L877*R$7,0)))</f>
        <v/>
      </c>
      <c r="H877" s="448">
        <f>IF($L877&gt;S$5,MAX(0,S$3+ROUND((S$9*($L877-S$5)),0)),IF($L877&gt;S$4,S$3,ROUND($L877*S$7,0)))</f>
        <v/>
      </c>
      <c r="I877" s="448">
        <f>IF($L877&gt;T$5,MAX(0,T$3+ROUND((T$9*($L877-T$5)),0)),IF($L877&gt;T$4,T$3,ROUND($L877*T$7,0)))</f>
        <v/>
      </c>
      <c r="J877" s="447">
        <f>IF($L877&gt;U$5,MAX(0,U$3+ROUND((U$9*($L877-U$5)),0)),IF($L877&gt;U$4,U$3,ROUND($L877*U$7,0)))</f>
        <v/>
      </c>
      <c r="K877" s="422" t="n"/>
      <c r="L877" s="448">
        <f>ROUND((A877+B877)/2,2)</f>
        <v/>
      </c>
    </row>
    <row r="878" ht="13.5" customHeight="1" s="7635">
      <c r="A878" s="448" t="n">
        <v>43650</v>
      </c>
      <c r="B878" s="447" t="n">
        <v>43700</v>
      </c>
      <c r="C878" s="1378">
        <f>IF($L878&gt;N$5,MAX(0,N$3+ROUND((N$9*($L878-N$5)),0)),IF($L878&gt;N$4,N$3,ROUND($L878*N$7,0)))</f>
        <v/>
      </c>
      <c r="D878" s="448">
        <f>IF($L878&gt;O$5,MAX(0,O$3+ROUND((O$9*($L878-O$5)),0)),IF($L878&gt;O$4,O$3,ROUND($L878*O$7,0)))</f>
        <v/>
      </c>
      <c r="E878" s="448">
        <f>IF($L878&gt;P$5,MAX(0,P$3+ROUND((P$9*($L878-P$5)),0)),IF($L878&gt;P$4,P$3,ROUND($L878*P$7,0)))</f>
        <v/>
      </c>
      <c r="F878" s="447">
        <f>IF($L878&gt;Q$5,MAX(0,Q$3+ROUND((Q$9*($L878-Q$5)),0)),IF($L878&gt;Q$4,Q$3,ROUND($L878*Q$7,0)))</f>
        <v/>
      </c>
      <c r="G878" s="1378">
        <f>IF($L878&gt;R$5,MAX(0,R$3+ROUND((R$9*($L878-R$5)),0)),IF($L878&gt;R$4,R$3,ROUND($L878*R$7,0)))</f>
        <v/>
      </c>
      <c r="H878" s="448">
        <f>IF($L878&gt;S$5,MAX(0,S$3+ROUND((S$9*($L878-S$5)),0)),IF($L878&gt;S$4,S$3,ROUND($L878*S$7,0)))</f>
        <v/>
      </c>
      <c r="I878" s="448">
        <f>IF($L878&gt;T$5,MAX(0,T$3+ROUND((T$9*($L878-T$5)),0)),IF($L878&gt;T$4,T$3,ROUND($L878*T$7,0)))</f>
        <v/>
      </c>
      <c r="J878" s="447">
        <f>IF($L878&gt;U$5,MAX(0,U$3+ROUND((U$9*($L878-U$5)),0)),IF($L878&gt;U$4,U$3,ROUND($L878*U$7,0)))</f>
        <v/>
      </c>
      <c r="K878" s="422" t="n"/>
      <c r="L878" s="448">
        <f>ROUND((A878+B878)/2,2)</f>
        <v/>
      </c>
    </row>
    <row r="879" ht="13.5" customHeight="1" s="7635">
      <c r="A879" s="448" t="n">
        <v>43700</v>
      </c>
      <c r="B879" s="447" t="n">
        <v>43750</v>
      </c>
      <c r="C879" s="1378">
        <f>IF($L879&gt;N$5,MAX(0,N$3+ROUND((N$9*($L879-N$5)),0)),IF($L879&gt;N$4,N$3,ROUND($L879*N$7,0)))</f>
        <v/>
      </c>
      <c r="D879" s="448">
        <f>IF($L879&gt;O$5,MAX(0,O$3+ROUND((O$9*($L879-O$5)),0)),IF($L879&gt;O$4,O$3,ROUND($L879*O$7,0)))</f>
        <v/>
      </c>
      <c r="E879" s="448">
        <f>IF($L879&gt;P$5,MAX(0,P$3+ROUND((P$9*($L879-P$5)),0)),IF($L879&gt;P$4,P$3,ROUND($L879*P$7,0)))</f>
        <v/>
      </c>
      <c r="F879" s="447">
        <f>IF($L879&gt;Q$5,MAX(0,Q$3+ROUND((Q$9*($L879-Q$5)),0)),IF($L879&gt;Q$4,Q$3,ROUND($L879*Q$7,0)))</f>
        <v/>
      </c>
      <c r="G879" s="1378">
        <f>IF($L879&gt;R$5,MAX(0,R$3+ROUND((R$9*($L879-R$5)),0)),IF($L879&gt;R$4,R$3,ROUND($L879*R$7,0)))</f>
        <v/>
      </c>
      <c r="H879" s="448">
        <f>IF($L879&gt;S$5,MAX(0,S$3+ROUND((S$9*($L879-S$5)),0)),IF($L879&gt;S$4,S$3,ROUND($L879*S$7,0)))</f>
        <v/>
      </c>
      <c r="I879" s="448">
        <f>IF($L879&gt;T$5,MAX(0,T$3+ROUND((T$9*($L879-T$5)),0)),IF($L879&gt;T$4,T$3,ROUND($L879*T$7,0)))</f>
        <v/>
      </c>
      <c r="J879" s="447">
        <f>IF($L879&gt;U$5,MAX(0,U$3+ROUND((U$9*($L879-U$5)),0)),IF($L879&gt;U$4,U$3,ROUND($L879*U$7,0)))</f>
        <v/>
      </c>
      <c r="K879" s="422" t="n"/>
      <c r="L879" s="448">
        <f>ROUND((A879+B879)/2,2)</f>
        <v/>
      </c>
    </row>
    <row r="880" ht="13.5" customHeight="1" s="7635">
      <c r="A880" s="448" t="n">
        <v>43750</v>
      </c>
      <c r="B880" s="447" t="n">
        <v>43800</v>
      </c>
      <c r="C880" s="1378">
        <f>IF($L880&gt;N$5,MAX(0,N$3+ROUND((N$9*($L880-N$5)),0)),IF($L880&gt;N$4,N$3,ROUND($L880*N$7,0)))</f>
        <v/>
      </c>
      <c r="D880" s="448">
        <f>IF($L880&gt;O$5,MAX(0,O$3+ROUND((O$9*($L880-O$5)),0)),IF($L880&gt;O$4,O$3,ROUND($L880*O$7,0)))</f>
        <v/>
      </c>
      <c r="E880" s="448">
        <f>IF($L880&gt;P$5,MAX(0,P$3+ROUND((P$9*($L880-P$5)),0)),IF($L880&gt;P$4,P$3,ROUND($L880*P$7,0)))</f>
        <v/>
      </c>
      <c r="F880" s="447">
        <f>IF($L880&gt;Q$5,MAX(0,Q$3+ROUND((Q$9*($L880-Q$5)),0)),IF($L880&gt;Q$4,Q$3,ROUND($L880*Q$7,0)))</f>
        <v/>
      </c>
      <c r="G880" s="1378">
        <f>IF($L880&gt;R$5,MAX(0,R$3+ROUND((R$9*($L880-R$5)),0)),IF($L880&gt;R$4,R$3,ROUND($L880*R$7,0)))</f>
        <v/>
      </c>
      <c r="H880" s="448">
        <f>IF($L880&gt;S$5,MAX(0,S$3+ROUND((S$9*($L880-S$5)),0)),IF($L880&gt;S$4,S$3,ROUND($L880*S$7,0)))</f>
        <v/>
      </c>
      <c r="I880" s="448">
        <f>IF($L880&gt;T$5,MAX(0,T$3+ROUND((T$9*($L880-T$5)),0)),IF($L880&gt;T$4,T$3,ROUND($L880*T$7,0)))</f>
        <v/>
      </c>
      <c r="J880" s="447">
        <f>IF($L880&gt;U$5,MAX(0,U$3+ROUND((U$9*($L880-U$5)),0)),IF($L880&gt;U$4,U$3,ROUND($L880*U$7,0)))</f>
        <v/>
      </c>
      <c r="K880" s="422" t="n"/>
      <c r="L880" s="448">
        <f>ROUND((A880+B880)/2,2)</f>
        <v/>
      </c>
    </row>
    <row r="881" ht="13.5" customHeight="1" s="7635">
      <c r="A881" s="448" t="n">
        <v>43800</v>
      </c>
      <c r="B881" s="447" t="n">
        <v>43850</v>
      </c>
      <c r="C881" s="1378">
        <f>IF($L881&gt;N$5,MAX(0,N$3+ROUND((N$9*($L881-N$5)),0)),IF($L881&gt;N$4,N$3,ROUND($L881*N$7,0)))</f>
        <v/>
      </c>
      <c r="D881" s="448">
        <f>IF($L881&gt;O$5,MAX(0,O$3+ROUND((O$9*($L881-O$5)),0)),IF($L881&gt;O$4,O$3,ROUND($L881*O$7,0)))</f>
        <v/>
      </c>
      <c r="E881" s="448">
        <f>IF($L881&gt;P$5,MAX(0,P$3+ROUND((P$9*($L881-P$5)),0)),IF($L881&gt;P$4,P$3,ROUND($L881*P$7,0)))</f>
        <v/>
      </c>
      <c r="F881" s="447">
        <f>IF($L881&gt;Q$5,MAX(0,Q$3+ROUND((Q$9*($L881-Q$5)),0)),IF($L881&gt;Q$4,Q$3,ROUND($L881*Q$7,0)))</f>
        <v/>
      </c>
      <c r="G881" s="1378">
        <f>IF($L881&gt;R$5,MAX(0,R$3+ROUND((R$9*($L881-R$5)),0)),IF($L881&gt;R$4,R$3,ROUND($L881*R$7,0)))</f>
        <v/>
      </c>
      <c r="H881" s="448">
        <f>IF($L881&gt;S$5,MAX(0,S$3+ROUND((S$9*($L881-S$5)),0)),IF($L881&gt;S$4,S$3,ROUND($L881*S$7,0)))</f>
        <v/>
      </c>
      <c r="I881" s="448">
        <f>IF($L881&gt;T$5,MAX(0,T$3+ROUND((T$9*($L881-T$5)),0)),IF($L881&gt;T$4,T$3,ROUND($L881*T$7,0)))</f>
        <v/>
      </c>
      <c r="J881" s="447">
        <f>IF($L881&gt;U$5,MAX(0,U$3+ROUND((U$9*($L881-U$5)),0)),IF($L881&gt;U$4,U$3,ROUND($L881*U$7,0)))</f>
        <v/>
      </c>
      <c r="K881" s="422" t="n"/>
      <c r="L881" s="448">
        <f>ROUND((A881+B881)/2,2)</f>
        <v/>
      </c>
    </row>
    <row r="882" ht="13.5" customHeight="1" s="7635">
      <c r="A882" s="448" t="n">
        <v>43850</v>
      </c>
      <c r="B882" s="447" t="n">
        <v>43900</v>
      </c>
      <c r="C882" s="1378">
        <f>IF($L882&gt;N$5,MAX(0,N$3+ROUND((N$9*($L882-N$5)),0)),IF($L882&gt;N$4,N$3,ROUND($L882*N$7,0)))</f>
        <v/>
      </c>
      <c r="D882" s="448">
        <f>IF($L882&gt;O$5,MAX(0,O$3+ROUND((O$9*($L882-O$5)),0)),IF($L882&gt;O$4,O$3,ROUND($L882*O$7,0)))</f>
        <v/>
      </c>
      <c r="E882" s="448">
        <f>IF($L882&gt;P$5,MAX(0,P$3+ROUND((P$9*($L882-P$5)),0)),IF($L882&gt;P$4,P$3,ROUND($L882*P$7,0)))</f>
        <v/>
      </c>
      <c r="F882" s="447">
        <f>IF($L882&gt;Q$5,MAX(0,Q$3+ROUND((Q$9*($L882-Q$5)),0)),IF($L882&gt;Q$4,Q$3,ROUND($L882*Q$7,0)))</f>
        <v/>
      </c>
      <c r="G882" s="1378">
        <f>IF($L882&gt;R$5,MAX(0,R$3+ROUND((R$9*($L882-R$5)),0)),IF($L882&gt;R$4,R$3,ROUND($L882*R$7,0)))</f>
        <v/>
      </c>
      <c r="H882" s="448">
        <f>IF($L882&gt;S$5,MAX(0,S$3+ROUND((S$9*($L882-S$5)),0)),IF($L882&gt;S$4,S$3,ROUND($L882*S$7,0)))</f>
        <v/>
      </c>
      <c r="I882" s="448">
        <f>IF($L882&gt;T$5,MAX(0,T$3+ROUND((T$9*($L882-T$5)),0)),IF($L882&gt;T$4,T$3,ROUND($L882*T$7,0)))</f>
        <v/>
      </c>
      <c r="J882" s="447">
        <f>IF($L882&gt;U$5,MAX(0,U$3+ROUND((U$9*($L882-U$5)),0)),IF($L882&gt;U$4,U$3,ROUND($L882*U$7,0)))</f>
        <v/>
      </c>
      <c r="K882" s="422" t="n"/>
      <c r="L882" s="448">
        <f>ROUND((A882+B882)/2,2)</f>
        <v/>
      </c>
    </row>
    <row r="883" ht="13.5" customHeight="1" s="7635">
      <c r="A883" s="448" t="n">
        <v>43900</v>
      </c>
      <c r="B883" s="447" t="n">
        <v>43950</v>
      </c>
      <c r="C883" s="1378">
        <f>IF($L883&gt;N$5,MAX(0,N$3+ROUND((N$9*($L883-N$5)),0)),IF($L883&gt;N$4,N$3,ROUND($L883*N$7,0)))</f>
        <v/>
      </c>
      <c r="D883" s="448">
        <f>IF($L883&gt;O$5,MAX(0,O$3+ROUND((O$9*($L883-O$5)),0)),IF($L883&gt;O$4,O$3,ROUND($L883*O$7,0)))</f>
        <v/>
      </c>
      <c r="E883" s="448">
        <f>IF($L883&gt;P$5,MAX(0,P$3+ROUND((P$9*($L883-P$5)),0)),IF($L883&gt;P$4,P$3,ROUND($L883*P$7,0)))</f>
        <v/>
      </c>
      <c r="F883" s="447">
        <f>IF($L883&gt;Q$5,MAX(0,Q$3+ROUND((Q$9*($L883-Q$5)),0)),IF($L883&gt;Q$4,Q$3,ROUND($L883*Q$7,0)))</f>
        <v/>
      </c>
      <c r="G883" s="1378">
        <f>IF($L883&gt;R$5,MAX(0,R$3+ROUND((R$9*($L883-R$5)),0)),IF($L883&gt;R$4,R$3,ROUND($L883*R$7,0)))</f>
        <v/>
      </c>
      <c r="H883" s="448">
        <f>IF($L883&gt;S$5,MAX(0,S$3+ROUND((S$9*($L883-S$5)),0)),IF($L883&gt;S$4,S$3,ROUND($L883*S$7,0)))</f>
        <v/>
      </c>
      <c r="I883" s="448">
        <f>IF($L883&gt;T$5,MAX(0,T$3+ROUND((T$9*($L883-T$5)),0)),IF($L883&gt;T$4,T$3,ROUND($L883*T$7,0)))</f>
        <v/>
      </c>
      <c r="J883" s="447">
        <f>IF($L883&gt;U$5,MAX(0,U$3+ROUND((U$9*($L883-U$5)),0)),IF($L883&gt;U$4,U$3,ROUND($L883*U$7,0)))</f>
        <v/>
      </c>
      <c r="K883" s="422" t="n"/>
      <c r="L883" s="448">
        <f>ROUND((A883+B883)/2,2)</f>
        <v/>
      </c>
    </row>
    <row r="884" ht="13.5" customHeight="1" s="7635">
      <c r="A884" s="448" t="n">
        <v>43950</v>
      </c>
      <c r="B884" s="447" t="n">
        <v>44000</v>
      </c>
      <c r="C884" s="1378">
        <f>IF($L884&gt;N$5,MAX(0,N$3+ROUND((N$9*($L884-N$5)),0)),IF($L884&gt;N$4,N$3,ROUND($L884*N$7,0)))</f>
        <v/>
      </c>
      <c r="D884" s="448">
        <f>IF($L884&gt;O$5,MAX(0,O$3+ROUND((O$9*($L884-O$5)),0)),IF($L884&gt;O$4,O$3,ROUND($L884*O$7,0)))</f>
        <v/>
      </c>
      <c r="E884" s="448">
        <f>IF($L884&gt;P$5,MAX(0,P$3+ROUND((P$9*($L884-P$5)),0)),IF($L884&gt;P$4,P$3,ROUND($L884*P$7,0)))</f>
        <v/>
      </c>
      <c r="F884" s="447">
        <f>IF($L884&gt;Q$5,MAX(0,Q$3+ROUND((Q$9*($L884-Q$5)),0)),IF($L884&gt;Q$4,Q$3,ROUND($L884*Q$7,0)))</f>
        <v/>
      </c>
      <c r="G884" s="1378">
        <f>IF($L884&gt;R$5,MAX(0,R$3+ROUND((R$9*($L884-R$5)),0)),IF($L884&gt;R$4,R$3,ROUND($L884*R$7,0)))</f>
        <v/>
      </c>
      <c r="H884" s="448">
        <f>IF($L884&gt;S$5,MAX(0,S$3+ROUND((S$9*($L884-S$5)),0)),IF($L884&gt;S$4,S$3,ROUND($L884*S$7,0)))</f>
        <v/>
      </c>
      <c r="I884" s="448">
        <f>IF($L884&gt;T$5,MAX(0,T$3+ROUND((T$9*($L884-T$5)),0)),IF($L884&gt;T$4,T$3,ROUND($L884*T$7,0)))</f>
        <v/>
      </c>
      <c r="J884" s="447">
        <f>IF($L884&gt;U$5,MAX(0,U$3+ROUND((U$9*($L884-U$5)),0)),IF($L884&gt;U$4,U$3,ROUND($L884*U$7,0)))</f>
        <v/>
      </c>
      <c r="K884" s="422" t="n"/>
      <c r="L884" s="448">
        <f>ROUND((A884+B884)/2,2)</f>
        <v/>
      </c>
    </row>
    <row r="885" ht="13.5" customHeight="1" s="7635">
      <c r="A885" s="448" t="n">
        <v>44000</v>
      </c>
      <c r="B885" s="447" t="n">
        <v>44050</v>
      </c>
      <c r="C885" s="1378">
        <f>IF($L885&gt;N$5,MAX(0,N$3+ROUND((N$9*($L885-N$5)),0)),IF($L885&gt;N$4,N$3,ROUND($L885*N$7,0)))</f>
        <v/>
      </c>
      <c r="D885" s="448">
        <f>IF($L885&gt;O$5,MAX(0,O$3+ROUND((O$9*($L885-O$5)),0)),IF($L885&gt;O$4,O$3,ROUND($L885*O$7,0)))</f>
        <v/>
      </c>
      <c r="E885" s="448">
        <f>IF($L885&gt;P$5,MAX(0,P$3+ROUND((P$9*($L885-P$5)),0)),IF($L885&gt;P$4,P$3,ROUND($L885*P$7,0)))</f>
        <v/>
      </c>
      <c r="F885" s="447">
        <f>IF($L885&gt;Q$5,MAX(0,Q$3+ROUND((Q$9*($L885-Q$5)),0)),IF($L885&gt;Q$4,Q$3,ROUND($L885*Q$7,0)))</f>
        <v/>
      </c>
      <c r="G885" s="1378">
        <f>IF($L885&gt;R$5,MAX(0,R$3+ROUND((R$9*($L885-R$5)),0)),IF($L885&gt;R$4,R$3,ROUND($L885*R$7,0)))</f>
        <v/>
      </c>
      <c r="H885" s="448">
        <f>IF($L885&gt;S$5,MAX(0,S$3+ROUND((S$9*($L885-S$5)),0)),IF($L885&gt;S$4,S$3,ROUND($L885*S$7,0)))</f>
        <v/>
      </c>
      <c r="I885" s="448">
        <f>IF($L885&gt;T$5,MAX(0,T$3+ROUND((T$9*($L885-T$5)),0)),IF($L885&gt;T$4,T$3,ROUND($L885*T$7,0)))</f>
        <v/>
      </c>
      <c r="J885" s="447">
        <f>IF($L885&gt;U$5,MAX(0,U$3+ROUND((U$9*($L885-U$5)),0)),IF($L885&gt;U$4,U$3,ROUND($L885*U$7,0)))</f>
        <v/>
      </c>
      <c r="K885" s="422" t="n"/>
      <c r="L885" s="448">
        <f>ROUND((A885+B885)/2,2)</f>
        <v/>
      </c>
    </row>
    <row r="886" ht="13.5" customHeight="1" s="7635">
      <c r="A886" s="448" t="n">
        <v>44050</v>
      </c>
      <c r="B886" s="447" t="n">
        <v>44100</v>
      </c>
      <c r="C886" s="1378">
        <f>IF($L886&gt;N$5,MAX(0,N$3+ROUND((N$9*($L886-N$5)),0)),IF($L886&gt;N$4,N$3,ROUND($L886*N$7,0)))</f>
        <v/>
      </c>
      <c r="D886" s="448">
        <f>IF($L886&gt;O$5,MAX(0,O$3+ROUND((O$9*($L886-O$5)),0)),IF($L886&gt;O$4,O$3,ROUND($L886*O$7,0)))</f>
        <v/>
      </c>
      <c r="E886" s="448">
        <f>IF($L886&gt;P$5,MAX(0,P$3+ROUND((P$9*($L886-P$5)),0)),IF($L886&gt;P$4,P$3,ROUND($L886*P$7,0)))</f>
        <v/>
      </c>
      <c r="F886" s="447">
        <f>IF($L886&gt;Q$5,MAX(0,Q$3+ROUND((Q$9*($L886-Q$5)),0)),IF($L886&gt;Q$4,Q$3,ROUND($L886*Q$7,0)))</f>
        <v/>
      </c>
      <c r="G886" s="1378">
        <f>IF($L886&gt;R$5,MAX(0,R$3+ROUND((R$9*($L886-R$5)),0)),IF($L886&gt;R$4,R$3,ROUND($L886*R$7,0)))</f>
        <v/>
      </c>
      <c r="H886" s="448">
        <f>IF($L886&gt;S$5,MAX(0,S$3+ROUND((S$9*($L886-S$5)),0)),IF($L886&gt;S$4,S$3,ROUND($L886*S$7,0)))</f>
        <v/>
      </c>
      <c r="I886" s="448">
        <f>IF($L886&gt;T$5,MAX(0,T$3+ROUND((T$9*($L886-T$5)),0)),IF($L886&gt;T$4,T$3,ROUND($L886*T$7,0)))</f>
        <v/>
      </c>
      <c r="J886" s="447">
        <f>IF($L886&gt;U$5,MAX(0,U$3+ROUND((U$9*($L886-U$5)),0)),IF($L886&gt;U$4,U$3,ROUND($L886*U$7,0)))</f>
        <v/>
      </c>
      <c r="K886" s="422" t="n"/>
      <c r="L886" s="448">
        <f>ROUND((A886+B886)/2,2)</f>
        <v/>
      </c>
    </row>
    <row r="887" ht="13.5" customHeight="1" s="7635">
      <c r="A887" s="448" t="n">
        <v>44100</v>
      </c>
      <c r="B887" s="447" t="n">
        <v>44150</v>
      </c>
      <c r="C887" s="1378">
        <f>IF($L887&gt;N$5,MAX(0,N$3+ROUND((N$9*($L887-N$5)),0)),IF($L887&gt;N$4,N$3,ROUND($L887*N$7,0)))</f>
        <v/>
      </c>
      <c r="D887" s="448">
        <f>IF($L887&gt;O$5,MAX(0,O$3+ROUND((O$9*($L887-O$5)),0)),IF($L887&gt;O$4,O$3,ROUND($L887*O$7,0)))</f>
        <v/>
      </c>
      <c r="E887" s="448">
        <f>IF($L887&gt;P$5,MAX(0,P$3+ROUND((P$9*($L887-P$5)),0)),IF($L887&gt;P$4,P$3,ROUND($L887*P$7,0)))</f>
        <v/>
      </c>
      <c r="F887" s="447">
        <f>IF($L887&gt;Q$5,MAX(0,Q$3+ROUND((Q$9*($L887-Q$5)),0)),IF($L887&gt;Q$4,Q$3,ROUND($L887*Q$7,0)))</f>
        <v/>
      </c>
      <c r="G887" s="1378">
        <f>IF($L887&gt;R$5,MAX(0,R$3+ROUND((R$9*($L887-R$5)),0)),IF($L887&gt;R$4,R$3,ROUND($L887*R$7,0)))</f>
        <v/>
      </c>
      <c r="H887" s="448">
        <f>IF($L887&gt;S$5,MAX(0,S$3+ROUND((S$9*($L887-S$5)),0)),IF($L887&gt;S$4,S$3,ROUND($L887*S$7,0)))</f>
        <v/>
      </c>
      <c r="I887" s="448">
        <f>IF($L887&gt;T$5,MAX(0,T$3+ROUND((T$9*($L887-T$5)),0)),IF($L887&gt;T$4,T$3,ROUND($L887*T$7,0)))</f>
        <v/>
      </c>
      <c r="J887" s="447">
        <f>IF($L887&gt;U$5,MAX(0,U$3+ROUND((U$9*($L887-U$5)),0)),IF($L887&gt;U$4,U$3,ROUND($L887*U$7,0)))</f>
        <v/>
      </c>
      <c r="K887" s="422" t="n"/>
      <c r="L887" s="448">
        <f>ROUND((A887+B887)/2,2)</f>
        <v/>
      </c>
    </row>
    <row r="888" ht="13.5" customHeight="1" s="7635">
      <c r="A888" s="448" t="n">
        <v>44150</v>
      </c>
      <c r="B888" s="447" t="n">
        <v>44200</v>
      </c>
      <c r="C888" s="1378">
        <f>IF($L888&gt;N$5,MAX(0,N$3+ROUND((N$9*($L888-N$5)),0)),IF($L888&gt;N$4,N$3,ROUND($L888*N$7,0)))</f>
        <v/>
      </c>
      <c r="D888" s="448">
        <f>IF($L888&gt;O$5,MAX(0,O$3+ROUND((O$9*($L888-O$5)),0)),IF($L888&gt;O$4,O$3,ROUND($L888*O$7,0)))</f>
        <v/>
      </c>
      <c r="E888" s="448">
        <f>IF($L888&gt;P$5,MAX(0,P$3+ROUND((P$9*($L888-P$5)),0)),IF($L888&gt;P$4,P$3,ROUND($L888*P$7,0)))</f>
        <v/>
      </c>
      <c r="F888" s="447">
        <f>IF($L888&gt;Q$5,MAX(0,Q$3+ROUND((Q$9*($L888-Q$5)),0)),IF($L888&gt;Q$4,Q$3,ROUND($L888*Q$7,0)))</f>
        <v/>
      </c>
      <c r="G888" s="1378">
        <f>IF($L888&gt;R$5,MAX(0,R$3+ROUND((R$9*($L888-R$5)),0)),IF($L888&gt;R$4,R$3,ROUND($L888*R$7,0)))</f>
        <v/>
      </c>
      <c r="H888" s="448">
        <f>IF($L888&gt;S$5,MAX(0,S$3+ROUND((S$9*($L888-S$5)),0)),IF($L888&gt;S$4,S$3,ROUND($L888*S$7,0)))</f>
        <v/>
      </c>
      <c r="I888" s="448">
        <f>IF($L888&gt;T$5,MAX(0,T$3+ROUND((T$9*($L888-T$5)),0)),IF($L888&gt;T$4,T$3,ROUND($L888*T$7,0)))</f>
        <v/>
      </c>
      <c r="J888" s="447">
        <f>IF($L888&gt;U$5,MAX(0,U$3+ROUND((U$9*($L888-U$5)),0)),IF($L888&gt;U$4,U$3,ROUND($L888*U$7,0)))</f>
        <v/>
      </c>
      <c r="K888" s="422" t="n"/>
      <c r="L888" s="448">
        <f>ROUND((A888+B888)/2,2)</f>
        <v/>
      </c>
    </row>
    <row r="889" ht="13.5" customHeight="1" s="7635">
      <c r="A889" s="448" t="n">
        <v>44200</v>
      </c>
      <c r="B889" s="447" t="n">
        <v>44250</v>
      </c>
      <c r="C889" s="1378">
        <f>IF($L889&gt;N$5,MAX(0,N$3+ROUND((N$9*($L889-N$5)),0)),IF($L889&gt;N$4,N$3,ROUND($L889*N$7,0)))</f>
        <v/>
      </c>
      <c r="D889" s="448">
        <f>IF($L889&gt;O$5,MAX(0,O$3+ROUND((O$9*($L889-O$5)),0)),IF($L889&gt;O$4,O$3,ROUND($L889*O$7,0)))</f>
        <v/>
      </c>
      <c r="E889" s="448">
        <f>IF($L889&gt;P$5,MAX(0,P$3+ROUND((P$9*($L889-P$5)),0)),IF($L889&gt;P$4,P$3,ROUND($L889*P$7,0)))</f>
        <v/>
      </c>
      <c r="F889" s="447">
        <f>IF($L889&gt;Q$5,MAX(0,Q$3+ROUND((Q$9*($L889-Q$5)),0)),IF($L889&gt;Q$4,Q$3,ROUND($L889*Q$7,0)))</f>
        <v/>
      </c>
      <c r="G889" s="1378">
        <f>IF($L889&gt;R$5,MAX(0,R$3+ROUND((R$9*($L889-R$5)),0)),IF($L889&gt;R$4,R$3,ROUND($L889*R$7,0)))</f>
        <v/>
      </c>
      <c r="H889" s="448">
        <f>IF($L889&gt;S$5,MAX(0,S$3+ROUND((S$9*($L889-S$5)),0)),IF($L889&gt;S$4,S$3,ROUND($L889*S$7,0)))</f>
        <v/>
      </c>
      <c r="I889" s="448">
        <f>IF($L889&gt;T$5,MAX(0,T$3+ROUND((T$9*($L889-T$5)),0)),IF($L889&gt;T$4,T$3,ROUND($L889*T$7,0)))</f>
        <v/>
      </c>
      <c r="J889" s="447">
        <f>IF($L889&gt;U$5,MAX(0,U$3+ROUND((U$9*($L889-U$5)),0)),IF($L889&gt;U$4,U$3,ROUND($L889*U$7,0)))</f>
        <v/>
      </c>
      <c r="K889" s="422" t="n"/>
      <c r="L889" s="448">
        <f>ROUND((A889+B889)/2,2)</f>
        <v/>
      </c>
    </row>
    <row r="890" ht="13.5" customHeight="1" s="7635">
      <c r="A890" s="448" t="n">
        <v>44250</v>
      </c>
      <c r="B890" s="447" t="n">
        <v>44300</v>
      </c>
      <c r="C890" s="1378">
        <f>IF($L890&gt;N$5,MAX(0,N$3+ROUND((N$9*($L890-N$5)),0)),IF($L890&gt;N$4,N$3,ROUND($L890*N$7,0)))</f>
        <v/>
      </c>
      <c r="D890" s="448">
        <f>IF($L890&gt;O$5,MAX(0,O$3+ROUND((O$9*($L890-O$5)),0)),IF($L890&gt;O$4,O$3,ROUND($L890*O$7,0)))</f>
        <v/>
      </c>
      <c r="E890" s="448">
        <f>IF($L890&gt;P$5,MAX(0,P$3+ROUND((P$9*($L890-P$5)),0)),IF($L890&gt;P$4,P$3,ROUND($L890*P$7,0)))</f>
        <v/>
      </c>
      <c r="F890" s="447">
        <f>IF($L890&gt;Q$5,MAX(0,Q$3+ROUND((Q$9*($L890-Q$5)),0)),IF($L890&gt;Q$4,Q$3,ROUND($L890*Q$7,0)))</f>
        <v/>
      </c>
      <c r="G890" s="1378">
        <f>IF($L890&gt;R$5,MAX(0,R$3+ROUND((R$9*($L890-R$5)),0)),IF($L890&gt;R$4,R$3,ROUND($L890*R$7,0)))</f>
        <v/>
      </c>
      <c r="H890" s="448">
        <f>IF($L890&gt;S$5,MAX(0,S$3+ROUND((S$9*($L890-S$5)),0)),IF($L890&gt;S$4,S$3,ROUND($L890*S$7,0)))</f>
        <v/>
      </c>
      <c r="I890" s="448">
        <f>IF($L890&gt;T$5,MAX(0,T$3+ROUND((T$9*($L890-T$5)),0)),IF($L890&gt;T$4,T$3,ROUND($L890*T$7,0)))</f>
        <v/>
      </c>
      <c r="J890" s="447">
        <f>IF($L890&gt;U$5,MAX(0,U$3+ROUND((U$9*($L890-U$5)),0)),IF($L890&gt;U$4,U$3,ROUND($L890*U$7,0)))</f>
        <v/>
      </c>
      <c r="K890" s="422" t="n"/>
      <c r="L890" s="448">
        <f>ROUND((A890+B890)/2,2)</f>
        <v/>
      </c>
    </row>
    <row r="891" ht="13.5" customHeight="1" s="7635">
      <c r="A891" s="448" t="n">
        <v>44300</v>
      </c>
      <c r="B891" s="447" t="n">
        <v>44350</v>
      </c>
      <c r="C891" s="1378">
        <f>IF($L891&gt;N$5,MAX(0,N$3+ROUND((N$9*($L891-N$5)),0)),IF($L891&gt;N$4,N$3,ROUND($L891*N$7,0)))</f>
        <v/>
      </c>
      <c r="D891" s="448">
        <f>IF($L891&gt;O$5,MAX(0,O$3+ROUND((O$9*($L891-O$5)),0)),IF($L891&gt;O$4,O$3,ROUND($L891*O$7,0)))</f>
        <v/>
      </c>
      <c r="E891" s="448">
        <f>IF($L891&gt;P$5,MAX(0,P$3+ROUND((P$9*($L891-P$5)),0)),IF($L891&gt;P$4,P$3,ROUND($L891*P$7,0)))</f>
        <v/>
      </c>
      <c r="F891" s="447">
        <f>IF($L891&gt;Q$5,MAX(0,Q$3+ROUND((Q$9*($L891-Q$5)),0)),IF($L891&gt;Q$4,Q$3,ROUND($L891*Q$7,0)))</f>
        <v/>
      </c>
      <c r="G891" s="1378">
        <f>IF($L891&gt;R$5,MAX(0,R$3+ROUND((R$9*($L891-R$5)),0)),IF($L891&gt;R$4,R$3,ROUND($L891*R$7,0)))</f>
        <v/>
      </c>
      <c r="H891" s="448">
        <f>IF($L891&gt;S$5,MAX(0,S$3+ROUND((S$9*($L891-S$5)),0)),IF($L891&gt;S$4,S$3,ROUND($L891*S$7,0)))</f>
        <v/>
      </c>
      <c r="I891" s="448">
        <f>IF($L891&gt;T$5,MAX(0,T$3+ROUND((T$9*($L891-T$5)),0)),IF($L891&gt;T$4,T$3,ROUND($L891*T$7,0)))</f>
        <v/>
      </c>
      <c r="J891" s="447">
        <f>IF($L891&gt;U$5,MAX(0,U$3+ROUND((U$9*($L891-U$5)),0)),IF($L891&gt;U$4,U$3,ROUND($L891*U$7,0)))</f>
        <v/>
      </c>
      <c r="K891" s="422" t="n"/>
      <c r="L891" s="448">
        <f>ROUND((A891+B891)/2,2)</f>
        <v/>
      </c>
    </row>
    <row r="892" ht="13.5" customHeight="1" s="7635">
      <c r="A892" s="448" t="n">
        <v>44350</v>
      </c>
      <c r="B892" s="447" t="n">
        <v>44400</v>
      </c>
      <c r="C892" s="1378">
        <f>IF($L892&gt;N$5,MAX(0,N$3+ROUND((N$9*($L892-N$5)),0)),IF($L892&gt;N$4,N$3,ROUND($L892*N$7,0)))</f>
        <v/>
      </c>
      <c r="D892" s="448">
        <f>IF($L892&gt;O$5,MAX(0,O$3+ROUND((O$9*($L892-O$5)),0)),IF($L892&gt;O$4,O$3,ROUND($L892*O$7,0)))</f>
        <v/>
      </c>
      <c r="E892" s="448">
        <f>IF($L892&gt;P$5,MAX(0,P$3+ROUND((P$9*($L892-P$5)),0)),IF($L892&gt;P$4,P$3,ROUND($L892*P$7,0)))</f>
        <v/>
      </c>
      <c r="F892" s="447">
        <f>IF($L892&gt;Q$5,MAX(0,Q$3+ROUND((Q$9*($L892-Q$5)),0)),IF($L892&gt;Q$4,Q$3,ROUND($L892*Q$7,0)))</f>
        <v/>
      </c>
      <c r="G892" s="1378">
        <f>IF($L892&gt;R$5,MAX(0,R$3+ROUND((R$9*($L892-R$5)),0)),IF($L892&gt;R$4,R$3,ROUND($L892*R$7,0)))</f>
        <v/>
      </c>
      <c r="H892" s="448">
        <f>IF($L892&gt;S$5,MAX(0,S$3+ROUND((S$9*($L892-S$5)),0)),IF($L892&gt;S$4,S$3,ROUND($L892*S$7,0)))</f>
        <v/>
      </c>
      <c r="I892" s="448">
        <f>IF($L892&gt;T$5,MAX(0,T$3+ROUND((T$9*($L892-T$5)),0)),IF($L892&gt;T$4,T$3,ROUND($L892*T$7,0)))</f>
        <v/>
      </c>
      <c r="J892" s="447">
        <f>IF($L892&gt;U$5,MAX(0,U$3+ROUND((U$9*($L892-U$5)),0)),IF($L892&gt;U$4,U$3,ROUND($L892*U$7,0)))</f>
        <v/>
      </c>
      <c r="K892" s="422" t="n"/>
      <c r="L892" s="448">
        <f>ROUND((A892+B892)/2,2)</f>
        <v/>
      </c>
    </row>
    <row r="893" ht="13.5" customHeight="1" s="7635">
      <c r="A893" s="448" t="n">
        <v>44400</v>
      </c>
      <c r="B893" s="447" t="n">
        <v>44450</v>
      </c>
      <c r="C893" s="1378">
        <f>IF($L893&gt;N$5,MAX(0,N$3+ROUND((N$9*($L893-N$5)),0)),IF($L893&gt;N$4,N$3,ROUND($L893*N$7,0)))</f>
        <v/>
      </c>
      <c r="D893" s="448">
        <f>IF($L893&gt;O$5,MAX(0,O$3+ROUND((O$9*($L893-O$5)),0)),IF($L893&gt;O$4,O$3,ROUND($L893*O$7,0)))</f>
        <v/>
      </c>
      <c r="E893" s="448">
        <f>IF($L893&gt;P$5,MAX(0,P$3+ROUND((P$9*($L893-P$5)),0)),IF($L893&gt;P$4,P$3,ROUND($L893*P$7,0)))</f>
        <v/>
      </c>
      <c r="F893" s="447">
        <f>IF($L893&gt;Q$5,MAX(0,Q$3+ROUND((Q$9*($L893-Q$5)),0)),IF($L893&gt;Q$4,Q$3,ROUND($L893*Q$7,0)))</f>
        <v/>
      </c>
      <c r="G893" s="1378">
        <f>IF($L893&gt;R$5,MAX(0,R$3+ROUND((R$9*($L893-R$5)),0)),IF($L893&gt;R$4,R$3,ROUND($L893*R$7,0)))</f>
        <v/>
      </c>
      <c r="H893" s="448">
        <f>IF($L893&gt;S$5,MAX(0,S$3+ROUND((S$9*($L893-S$5)),0)),IF($L893&gt;S$4,S$3,ROUND($L893*S$7,0)))</f>
        <v/>
      </c>
      <c r="I893" s="448">
        <f>IF($L893&gt;T$5,MAX(0,T$3+ROUND((T$9*($L893-T$5)),0)),IF($L893&gt;T$4,T$3,ROUND($L893*T$7,0)))</f>
        <v/>
      </c>
      <c r="J893" s="447">
        <f>IF($L893&gt;U$5,MAX(0,U$3+ROUND((U$9*($L893-U$5)),0)),IF($L893&gt;U$4,U$3,ROUND($L893*U$7,0)))</f>
        <v/>
      </c>
      <c r="K893" s="422" t="n"/>
      <c r="L893" s="448">
        <f>ROUND((A893+B893)/2,2)</f>
        <v/>
      </c>
    </row>
    <row r="894" ht="13.5" customHeight="1" s="7635">
      <c r="A894" s="448" t="n">
        <v>44450</v>
      </c>
      <c r="B894" s="447" t="n">
        <v>44500</v>
      </c>
      <c r="C894" s="1378">
        <f>IF($L894&gt;N$5,MAX(0,N$3+ROUND((N$9*($L894-N$5)),0)),IF($L894&gt;N$4,N$3,ROUND($L894*N$7,0)))</f>
        <v/>
      </c>
      <c r="D894" s="448">
        <f>IF($L894&gt;O$5,MAX(0,O$3+ROUND((O$9*($L894-O$5)),0)),IF($L894&gt;O$4,O$3,ROUND($L894*O$7,0)))</f>
        <v/>
      </c>
      <c r="E894" s="448">
        <f>IF($L894&gt;P$5,MAX(0,P$3+ROUND((P$9*($L894-P$5)),0)),IF($L894&gt;P$4,P$3,ROUND($L894*P$7,0)))</f>
        <v/>
      </c>
      <c r="F894" s="447">
        <f>IF($L894&gt;Q$5,MAX(0,Q$3+ROUND((Q$9*($L894-Q$5)),0)),IF($L894&gt;Q$4,Q$3,ROUND($L894*Q$7,0)))</f>
        <v/>
      </c>
      <c r="G894" s="1378">
        <f>IF($L894&gt;R$5,MAX(0,R$3+ROUND((R$9*($L894-R$5)),0)),IF($L894&gt;R$4,R$3,ROUND($L894*R$7,0)))</f>
        <v/>
      </c>
      <c r="H894" s="448">
        <f>IF($L894&gt;S$5,MAX(0,S$3+ROUND((S$9*($L894-S$5)),0)),IF($L894&gt;S$4,S$3,ROUND($L894*S$7,0)))</f>
        <v/>
      </c>
      <c r="I894" s="448">
        <f>IF($L894&gt;T$5,MAX(0,T$3+ROUND((T$9*($L894-T$5)),0)),IF($L894&gt;T$4,T$3,ROUND($L894*T$7,0)))</f>
        <v/>
      </c>
      <c r="J894" s="447">
        <f>IF($L894&gt;U$5,MAX(0,U$3+ROUND((U$9*($L894-U$5)),0)),IF($L894&gt;U$4,U$3,ROUND($L894*U$7,0)))</f>
        <v/>
      </c>
      <c r="K894" s="422" t="n"/>
      <c r="L894" s="448">
        <f>ROUND((A894+B894)/2,2)</f>
        <v/>
      </c>
    </row>
    <row r="895" ht="13.5" customHeight="1" s="7635">
      <c r="A895" s="448" t="n">
        <v>44500</v>
      </c>
      <c r="B895" s="447" t="n">
        <v>44550</v>
      </c>
      <c r="C895" s="1378">
        <f>IF($L895&gt;N$5,MAX(0,N$3+ROUND((N$9*($L895-N$5)),0)),IF($L895&gt;N$4,N$3,ROUND($L895*N$7,0)))</f>
        <v/>
      </c>
      <c r="D895" s="448">
        <f>IF($L895&gt;O$5,MAX(0,O$3+ROUND((O$9*($L895-O$5)),0)),IF($L895&gt;O$4,O$3,ROUND($L895*O$7,0)))</f>
        <v/>
      </c>
      <c r="E895" s="448">
        <f>IF($L895&gt;P$5,MAX(0,P$3+ROUND((P$9*($L895-P$5)),0)),IF($L895&gt;P$4,P$3,ROUND($L895*P$7,0)))</f>
        <v/>
      </c>
      <c r="F895" s="447">
        <f>IF($L895&gt;Q$5,MAX(0,Q$3+ROUND((Q$9*($L895-Q$5)),0)),IF($L895&gt;Q$4,Q$3,ROUND($L895*Q$7,0)))</f>
        <v/>
      </c>
      <c r="G895" s="1378">
        <f>IF($L895&gt;R$5,MAX(0,R$3+ROUND((R$9*($L895-R$5)),0)),IF($L895&gt;R$4,R$3,ROUND($L895*R$7,0)))</f>
        <v/>
      </c>
      <c r="H895" s="448">
        <f>IF($L895&gt;S$5,MAX(0,S$3+ROUND((S$9*($L895-S$5)),0)),IF($L895&gt;S$4,S$3,ROUND($L895*S$7,0)))</f>
        <v/>
      </c>
      <c r="I895" s="448">
        <f>IF($L895&gt;T$5,MAX(0,T$3+ROUND((T$9*($L895-T$5)),0)),IF($L895&gt;T$4,T$3,ROUND($L895*T$7,0)))</f>
        <v/>
      </c>
      <c r="J895" s="447">
        <f>IF($L895&gt;U$5,MAX(0,U$3+ROUND((U$9*($L895-U$5)),0)),IF($L895&gt;U$4,U$3,ROUND($L895*U$7,0)))</f>
        <v/>
      </c>
      <c r="K895" s="422" t="n"/>
      <c r="L895" s="448">
        <f>ROUND((A895+B895)/2,2)</f>
        <v/>
      </c>
    </row>
    <row r="896" ht="13.5" customHeight="1" s="7635">
      <c r="A896" s="448" t="n">
        <v>44550</v>
      </c>
      <c r="B896" s="447" t="n">
        <v>44600</v>
      </c>
      <c r="C896" s="1378">
        <f>IF($L896&gt;N$5,MAX(0,N$3+ROUND((N$9*($L896-N$5)),0)),IF($L896&gt;N$4,N$3,ROUND($L896*N$7,0)))</f>
        <v/>
      </c>
      <c r="D896" s="448">
        <f>IF($L896&gt;O$5,MAX(0,O$3+ROUND((O$9*($L896-O$5)),0)),IF($L896&gt;O$4,O$3,ROUND($L896*O$7,0)))</f>
        <v/>
      </c>
      <c r="E896" s="448">
        <f>IF($L896&gt;P$5,MAX(0,P$3+ROUND((P$9*($L896-P$5)),0)),IF($L896&gt;P$4,P$3,ROUND($L896*P$7,0)))</f>
        <v/>
      </c>
      <c r="F896" s="447">
        <f>IF($L896&gt;Q$5,MAX(0,Q$3+ROUND((Q$9*($L896-Q$5)),0)),IF($L896&gt;Q$4,Q$3,ROUND($L896*Q$7,0)))</f>
        <v/>
      </c>
      <c r="G896" s="1378">
        <f>IF($L896&gt;R$5,MAX(0,R$3+ROUND((R$9*($L896-R$5)),0)),IF($L896&gt;R$4,R$3,ROUND($L896*R$7,0)))</f>
        <v/>
      </c>
      <c r="H896" s="448">
        <f>IF($L896&gt;S$5,MAX(0,S$3+ROUND((S$9*($L896-S$5)),0)),IF($L896&gt;S$4,S$3,ROUND($L896*S$7,0)))</f>
        <v/>
      </c>
      <c r="I896" s="448">
        <f>IF($L896&gt;T$5,MAX(0,T$3+ROUND((T$9*($L896-T$5)),0)),IF($L896&gt;T$4,T$3,ROUND($L896*T$7,0)))</f>
        <v/>
      </c>
      <c r="J896" s="447">
        <f>IF($L896&gt;U$5,MAX(0,U$3+ROUND((U$9*($L896-U$5)),0)),IF($L896&gt;U$4,U$3,ROUND($L896*U$7,0)))</f>
        <v/>
      </c>
      <c r="K896" s="422" t="n"/>
      <c r="L896" s="448">
        <f>ROUND((A896+B896)/2,2)</f>
        <v/>
      </c>
    </row>
    <row r="897" ht="13.5" customHeight="1" s="7635">
      <c r="A897" s="448" t="n">
        <v>44600</v>
      </c>
      <c r="B897" s="447" t="n">
        <v>44650</v>
      </c>
      <c r="C897" s="1378">
        <f>IF($L897&gt;N$5,MAX(0,N$3+ROUND((N$9*($L897-N$5)),0)),IF($L897&gt;N$4,N$3,ROUND($L897*N$7,0)))</f>
        <v/>
      </c>
      <c r="D897" s="448">
        <f>IF($L897&gt;O$5,MAX(0,O$3+ROUND((O$9*($L897-O$5)),0)),IF($L897&gt;O$4,O$3,ROUND($L897*O$7,0)))</f>
        <v/>
      </c>
      <c r="E897" s="448">
        <f>IF($L897&gt;P$5,MAX(0,P$3+ROUND((P$9*($L897-P$5)),0)),IF($L897&gt;P$4,P$3,ROUND($L897*P$7,0)))</f>
        <v/>
      </c>
      <c r="F897" s="447">
        <f>IF($L897&gt;Q$5,MAX(0,Q$3+ROUND((Q$9*($L897-Q$5)),0)),IF($L897&gt;Q$4,Q$3,ROUND($L897*Q$7,0)))</f>
        <v/>
      </c>
      <c r="G897" s="1378">
        <f>IF($L897&gt;R$5,MAX(0,R$3+ROUND((R$9*($L897-R$5)),0)),IF($L897&gt;R$4,R$3,ROUND($L897*R$7,0)))</f>
        <v/>
      </c>
      <c r="H897" s="448">
        <f>IF($L897&gt;S$5,MAX(0,S$3+ROUND((S$9*($L897-S$5)),0)),IF($L897&gt;S$4,S$3,ROUND($L897*S$7,0)))</f>
        <v/>
      </c>
      <c r="I897" s="448">
        <f>IF($L897&gt;T$5,MAX(0,T$3+ROUND((T$9*($L897-T$5)),0)),IF($L897&gt;T$4,T$3,ROUND($L897*T$7,0)))</f>
        <v/>
      </c>
      <c r="J897" s="447">
        <f>IF($L897&gt;U$5,MAX(0,U$3+ROUND((U$9*($L897-U$5)),0)),IF($L897&gt;U$4,U$3,ROUND($L897*U$7,0)))</f>
        <v/>
      </c>
      <c r="K897" s="422" t="n"/>
      <c r="L897" s="448">
        <f>ROUND((A897+B897)/2,2)</f>
        <v/>
      </c>
    </row>
    <row r="898" ht="13.5" customHeight="1" s="7635">
      <c r="A898" s="448" t="n">
        <v>44650</v>
      </c>
      <c r="B898" s="447" t="n">
        <v>44700</v>
      </c>
      <c r="C898" s="1378">
        <f>IF($L898&gt;N$5,MAX(0,N$3+ROUND((N$9*($L898-N$5)),0)),IF($L898&gt;N$4,N$3,ROUND($L898*N$7,0)))</f>
        <v/>
      </c>
      <c r="D898" s="448">
        <f>IF($L898&gt;O$5,MAX(0,O$3+ROUND((O$9*($L898-O$5)),0)),IF($L898&gt;O$4,O$3,ROUND($L898*O$7,0)))</f>
        <v/>
      </c>
      <c r="E898" s="448">
        <f>IF($L898&gt;P$5,MAX(0,P$3+ROUND((P$9*($L898-P$5)),0)),IF($L898&gt;P$4,P$3,ROUND($L898*P$7,0)))</f>
        <v/>
      </c>
      <c r="F898" s="447">
        <f>IF($L898&gt;Q$5,MAX(0,Q$3+ROUND((Q$9*($L898-Q$5)),0)),IF($L898&gt;Q$4,Q$3,ROUND($L898*Q$7,0)))</f>
        <v/>
      </c>
      <c r="G898" s="1378">
        <f>IF($L898&gt;R$5,MAX(0,R$3+ROUND((R$9*($L898-R$5)),0)),IF($L898&gt;R$4,R$3,ROUND($L898*R$7,0)))</f>
        <v/>
      </c>
      <c r="H898" s="448">
        <f>IF($L898&gt;S$5,MAX(0,S$3+ROUND((S$9*($L898-S$5)),0)),IF($L898&gt;S$4,S$3,ROUND($L898*S$7,0)))</f>
        <v/>
      </c>
      <c r="I898" s="448">
        <f>IF($L898&gt;T$5,MAX(0,T$3+ROUND((T$9*($L898-T$5)),0)),IF($L898&gt;T$4,T$3,ROUND($L898*T$7,0)))</f>
        <v/>
      </c>
      <c r="J898" s="447">
        <f>IF($L898&gt;U$5,MAX(0,U$3+ROUND((U$9*($L898-U$5)),0)),IF($L898&gt;U$4,U$3,ROUND($L898*U$7,0)))</f>
        <v/>
      </c>
      <c r="K898" s="422" t="n"/>
      <c r="L898" s="448">
        <f>ROUND((A898+B898)/2,2)</f>
        <v/>
      </c>
    </row>
    <row r="899" ht="13.5" customHeight="1" s="7635">
      <c r="A899" s="448" t="n">
        <v>44700</v>
      </c>
      <c r="B899" s="447" t="n">
        <v>44750</v>
      </c>
      <c r="C899" s="1378">
        <f>IF($L899&gt;N$5,MAX(0,N$3+ROUND((N$9*($L899-N$5)),0)),IF($L899&gt;N$4,N$3,ROUND($L899*N$7,0)))</f>
        <v/>
      </c>
      <c r="D899" s="448">
        <f>IF($L899&gt;O$5,MAX(0,O$3+ROUND((O$9*($L899-O$5)),0)),IF($L899&gt;O$4,O$3,ROUND($L899*O$7,0)))</f>
        <v/>
      </c>
      <c r="E899" s="448">
        <f>IF($L899&gt;P$5,MAX(0,P$3+ROUND((P$9*($L899-P$5)),0)),IF($L899&gt;P$4,P$3,ROUND($L899*P$7,0)))</f>
        <v/>
      </c>
      <c r="F899" s="447">
        <f>IF($L899&gt;Q$5,MAX(0,Q$3+ROUND((Q$9*($L899-Q$5)),0)),IF($L899&gt;Q$4,Q$3,ROUND($L899*Q$7,0)))</f>
        <v/>
      </c>
      <c r="G899" s="1378">
        <f>IF($L899&gt;R$5,MAX(0,R$3+ROUND((R$9*($L899-R$5)),0)),IF($L899&gt;R$4,R$3,ROUND($L899*R$7,0)))</f>
        <v/>
      </c>
      <c r="H899" s="448">
        <f>IF($L899&gt;S$5,MAX(0,S$3+ROUND((S$9*($L899-S$5)),0)),IF($L899&gt;S$4,S$3,ROUND($L899*S$7,0)))</f>
        <v/>
      </c>
      <c r="I899" s="448">
        <f>IF($L899&gt;T$5,MAX(0,T$3+ROUND((T$9*($L899-T$5)),0)),IF($L899&gt;T$4,T$3,ROUND($L899*T$7,0)))</f>
        <v/>
      </c>
      <c r="J899" s="447">
        <f>IF($L899&gt;U$5,MAX(0,U$3+ROUND((U$9*($L899-U$5)),0)),IF($L899&gt;U$4,U$3,ROUND($L899*U$7,0)))</f>
        <v/>
      </c>
      <c r="K899" s="422" t="n"/>
      <c r="L899" s="448">
        <f>ROUND((A899+B899)/2,2)</f>
        <v/>
      </c>
    </row>
    <row r="900" ht="13.5" customHeight="1" s="7635">
      <c r="A900" s="448" t="n">
        <v>44750</v>
      </c>
      <c r="B900" s="447" t="n">
        <v>44800</v>
      </c>
      <c r="C900" s="1378">
        <f>IF($L900&gt;N$5,MAX(0,N$3+ROUND((N$9*($L900-N$5)),0)),IF($L900&gt;N$4,N$3,ROUND($L900*N$7,0)))</f>
        <v/>
      </c>
      <c r="D900" s="448">
        <f>IF($L900&gt;O$5,MAX(0,O$3+ROUND((O$9*($L900-O$5)),0)),IF($L900&gt;O$4,O$3,ROUND($L900*O$7,0)))</f>
        <v/>
      </c>
      <c r="E900" s="448">
        <f>IF($L900&gt;P$5,MAX(0,P$3+ROUND((P$9*($L900-P$5)),0)),IF($L900&gt;P$4,P$3,ROUND($L900*P$7,0)))</f>
        <v/>
      </c>
      <c r="F900" s="447">
        <f>IF($L900&gt;Q$5,MAX(0,Q$3+ROUND((Q$9*($L900-Q$5)),0)),IF($L900&gt;Q$4,Q$3,ROUND($L900*Q$7,0)))</f>
        <v/>
      </c>
      <c r="G900" s="1378">
        <f>IF($L900&gt;R$5,MAX(0,R$3+ROUND((R$9*($L900-R$5)),0)),IF($L900&gt;R$4,R$3,ROUND($L900*R$7,0)))</f>
        <v/>
      </c>
      <c r="H900" s="448">
        <f>IF($L900&gt;S$5,MAX(0,S$3+ROUND((S$9*($L900-S$5)),0)),IF($L900&gt;S$4,S$3,ROUND($L900*S$7,0)))</f>
        <v/>
      </c>
      <c r="I900" s="448">
        <f>IF($L900&gt;T$5,MAX(0,T$3+ROUND((T$9*($L900-T$5)),0)),IF($L900&gt;T$4,T$3,ROUND($L900*T$7,0)))</f>
        <v/>
      </c>
      <c r="J900" s="447">
        <f>IF($L900&gt;U$5,MAX(0,U$3+ROUND((U$9*($L900-U$5)),0)),IF($L900&gt;U$4,U$3,ROUND($L900*U$7,0)))</f>
        <v/>
      </c>
      <c r="K900" s="422" t="n"/>
      <c r="L900" s="448">
        <f>ROUND((A900+B900)/2,2)</f>
        <v/>
      </c>
    </row>
    <row r="901" ht="13.5" customHeight="1" s="7635">
      <c r="A901" s="448" t="n">
        <v>44800</v>
      </c>
      <c r="B901" s="447" t="n">
        <v>44850</v>
      </c>
      <c r="C901" s="1378">
        <f>IF($L901&gt;N$5,MAX(0,N$3+ROUND((N$9*($L901-N$5)),0)),IF($L901&gt;N$4,N$3,ROUND($L901*N$7,0)))</f>
        <v/>
      </c>
      <c r="D901" s="448">
        <f>IF($L901&gt;O$5,MAX(0,O$3+ROUND((O$9*($L901-O$5)),0)),IF($L901&gt;O$4,O$3,ROUND($L901*O$7,0)))</f>
        <v/>
      </c>
      <c r="E901" s="448">
        <f>IF($L901&gt;P$5,MAX(0,P$3+ROUND((P$9*($L901-P$5)),0)),IF($L901&gt;P$4,P$3,ROUND($L901*P$7,0)))</f>
        <v/>
      </c>
      <c r="F901" s="447">
        <f>IF($L901&gt;Q$5,MAX(0,Q$3+ROUND((Q$9*($L901-Q$5)),0)),IF($L901&gt;Q$4,Q$3,ROUND($L901*Q$7,0)))</f>
        <v/>
      </c>
      <c r="G901" s="1378">
        <f>IF($L901&gt;R$5,MAX(0,R$3+ROUND((R$9*($L901-R$5)),0)),IF($L901&gt;R$4,R$3,ROUND($L901*R$7,0)))</f>
        <v/>
      </c>
      <c r="H901" s="448">
        <f>IF($L901&gt;S$5,MAX(0,S$3+ROUND((S$9*($L901-S$5)),0)),IF($L901&gt;S$4,S$3,ROUND($L901*S$7,0)))</f>
        <v/>
      </c>
      <c r="I901" s="448">
        <f>IF($L901&gt;T$5,MAX(0,T$3+ROUND((T$9*($L901-T$5)),0)),IF($L901&gt;T$4,T$3,ROUND($L901*T$7,0)))</f>
        <v/>
      </c>
      <c r="J901" s="447">
        <f>IF($L901&gt;U$5,MAX(0,U$3+ROUND((U$9*($L901-U$5)),0)),IF($L901&gt;U$4,U$3,ROUND($L901*U$7,0)))</f>
        <v/>
      </c>
      <c r="K901" s="422" t="n"/>
      <c r="L901" s="448">
        <f>ROUND((A901+B901)/2,2)</f>
        <v/>
      </c>
    </row>
    <row r="902" ht="13.5" customHeight="1" s="7635">
      <c r="A902" s="448" t="n">
        <v>44850</v>
      </c>
      <c r="B902" s="447" t="n">
        <v>44900</v>
      </c>
      <c r="C902" s="1378">
        <f>IF($L902&gt;N$5,MAX(0,N$3+ROUND((N$9*($L902-N$5)),0)),IF($L902&gt;N$4,N$3,ROUND($L902*N$7,0)))</f>
        <v/>
      </c>
      <c r="D902" s="448">
        <f>IF($L902&gt;O$5,MAX(0,O$3+ROUND((O$9*($L902-O$5)),0)),IF($L902&gt;O$4,O$3,ROUND($L902*O$7,0)))</f>
        <v/>
      </c>
      <c r="E902" s="448">
        <f>IF($L902&gt;P$5,MAX(0,P$3+ROUND((P$9*($L902-P$5)),0)),IF($L902&gt;P$4,P$3,ROUND($L902*P$7,0)))</f>
        <v/>
      </c>
      <c r="F902" s="447">
        <f>IF($L902&gt;Q$5,MAX(0,Q$3+ROUND((Q$9*($L902-Q$5)),0)),IF($L902&gt;Q$4,Q$3,ROUND($L902*Q$7,0)))</f>
        <v/>
      </c>
      <c r="G902" s="1378">
        <f>IF($L902&gt;R$5,MAX(0,R$3+ROUND((R$9*($L902-R$5)),0)),IF($L902&gt;R$4,R$3,ROUND($L902*R$7,0)))</f>
        <v/>
      </c>
      <c r="H902" s="448">
        <f>IF($L902&gt;S$5,MAX(0,S$3+ROUND((S$9*($L902-S$5)),0)),IF($L902&gt;S$4,S$3,ROUND($L902*S$7,0)))</f>
        <v/>
      </c>
      <c r="I902" s="448">
        <f>IF($L902&gt;T$5,MAX(0,T$3+ROUND((T$9*($L902-T$5)),0)),IF($L902&gt;T$4,T$3,ROUND($L902*T$7,0)))</f>
        <v/>
      </c>
      <c r="J902" s="447">
        <f>IF($L902&gt;U$5,MAX(0,U$3+ROUND((U$9*($L902-U$5)),0)),IF($L902&gt;U$4,U$3,ROUND($L902*U$7,0)))</f>
        <v/>
      </c>
      <c r="K902" s="422" t="n"/>
      <c r="L902" s="448">
        <f>ROUND((A902+B902)/2,2)</f>
        <v/>
      </c>
    </row>
    <row r="903" ht="13.5" customHeight="1" s="7635">
      <c r="A903" s="448" t="n">
        <v>44900</v>
      </c>
      <c r="B903" s="447" t="n">
        <v>44950</v>
      </c>
      <c r="C903" s="1378">
        <f>IF($L903&gt;N$5,MAX(0,N$3+ROUND((N$9*($L903-N$5)),0)),IF($L903&gt;N$4,N$3,ROUND($L903*N$7,0)))</f>
        <v/>
      </c>
      <c r="D903" s="448">
        <f>IF($L903&gt;O$5,MAX(0,O$3+ROUND((O$9*($L903-O$5)),0)),IF($L903&gt;O$4,O$3,ROUND($L903*O$7,0)))</f>
        <v/>
      </c>
      <c r="E903" s="448">
        <f>IF($L903&gt;P$5,MAX(0,P$3+ROUND((P$9*($L903-P$5)),0)),IF($L903&gt;P$4,P$3,ROUND($L903*P$7,0)))</f>
        <v/>
      </c>
      <c r="F903" s="447">
        <f>IF($L903&gt;Q$5,MAX(0,Q$3+ROUND((Q$9*($L903-Q$5)),0)),IF($L903&gt;Q$4,Q$3,ROUND($L903*Q$7,0)))</f>
        <v/>
      </c>
      <c r="G903" s="1378">
        <f>IF($L903&gt;R$5,MAX(0,R$3+ROUND((R$9*($L903-R$5)),0)),IF($L903&gt;R$4,R$3,ROUND($L903*R$7,0)))</f>
        <v/>
      </c>
      <c r="H903" s="448">
        <f>IF($L903&gt;S$5,MAX(0,S$3+ROUND((S$9*($L903-S$5)),0)),IF($L903&gt;S$4,S$3,ROUND($L903*S$7,0)))</f>
        <v/>
      </c>
      <c r="I903" s="448">
        <f>IF($L903&gt;T$5,MAX(0,T$3+ROUND((T$9*($L903-T$5)),0)),IF($L903&gt;T$4,T$3,ROUND($L903*T$7,0)))</f>
        <v/>
      </c>
      <c r="J903" s="447">
        <f>IF($L903&gt;U$5,MAX(0,U$3+ROUND((U$9*($L903-U$5)),0)),IF($L903&gt;U$4,U$3,ROUND($L903*U$7,0)))</f>
        <v/>
      </c>
      <c r="K903" s="422" t="n"/>
      <c r="L903" s="448">
        <f>ROUND((A903+B903)/2,2)</f>
        <v/>
      </c>
    </row>
    <row r="904" ht="13.5" customHeight="1" s="7635">
      <c r="A904" s="448" t="n">
        <v>44950</v>
      </c>
      <c r="B904" s="447" t="n">
        <v>45000</v>
      </c>
      <c r="C904" s="1378">
        <f>IF($L904&gt;N$5,MAX(0,N$3+ROUND((N$9*($L904-N$5)),0)),IF($L904&gt;N$4,N$3,ROUND($L904*N$7,0)))</f>
        <v/>
      </c>
      <c r="D904" s="448">
        <f>IF($L904&gt;O$5,MAX(0,O$3+ROUND((O$9*($L904-O$5)),0)),IF($L904&gt;O$4,O$3,ROUND($L904*O$7,0)))</f>
        <v/>
      </c>
      <c r="E904" s="448">
        <f>IF($L904&gt;P$5,MAX(0,P$3+ROUND((P$9*($L904-P$5)),0)),IF($L904&gt;P$4,P$3,ROUND($L904*P$7,0)))</f>
        <v/>
      </c>
      <c r="F904" s="447">
        <f>IF($L904&gt;Q$5,MAX(0,Q$3+ROUND((Q$9*($L904-Q$5)),0)),IF($L904&gt;Q$4,Q$3,ROUND($L904*Q$7,0)))</f>
        <v/>
      </c>
      <c r="G904" s="1378">
        <f>IF($L904&gt;R$5,MAX(0,R$3+ROUND((R$9*($L904-R$5)),0)),IF($L904&gt;R$4,R$3,ROUND($L904*R$7,0)))</f>
        <v/>
      </c>
      <c r="H904" s="448">
        <f>IF($L904&gt;S$5,MAX(0,S$3+ROUND((S$9*($L904-S$5)),0)),IF($L904&gt;S$4,S$3,ROUND($L904*S$7,0)))</f>
        <v/>
      </c>
      <c r="I904" s="448">
        <f>IF($L904&gt;T$5,MAX(0,T$3+ROUND((T$9*($L904-T$5)),0)),IF($L904&gt;T$4,T$3,ROUND($L904*T$7,0)))</f>
        <v/>
      </c>
      <c r="J904" s="447">
        <f>IF($L904&gt;U$5,MAX(0,U$3+ROUND((U$9*($L904-U$5)),0)),IF($L904&gt;U$4,U$3,ROUND($L904*U$7,0)))</f>
        <v/>
      </c>
      <c r="K904" s="422" t="n"/>
      <c r="L904" s="448">
        <f>ROUND((A904+B904)/2,2)</f>
        <v/>
      </c>
    </row>
    <row r="905" ht="13.5" customHeight="1" s="7635">
      <c r="A905" s="448" t="n">
        <v>45000</v>
      </c>
      <c r="B905" s="447" t="n">
        <v>45050</v>
      </c>
      <c r="C905" s="1378">
        <f>IF($L905&gt;N$5,MAX(0,N$3+ROUND((N$9*($L905-N$5)),0)),IF($L905&gt;N$4,N$3,ROUND($L905*N$7,0)))</f>
        <v/>
      </c>
      <c r="D905" s="448">
        <f>IF($L905&gt;O$5,MAX(0,O$3+ROUND((O$9*($L905-O$5)),0)),IF($L905&gt;O$4,O$3,ROUND($L905*O$7,0)))</f>
        <v/>
      </c>
      <c r="E905" s="448">
        <f>IF($L905&gt;P$5,MAX(0,P$3+ROUND((P$9*($L905-P$5)),0)),IF($L905&gt;P$4,P$3,ROUND($L905*P$7,0)))</f>
        <v/>
      </c>
      <c r="F905" s="447">
        <f>IF($L905&gt;Q$5,MAX(0,Q$3+ROUND((Q$9*($L905-Q$5)),0)),IF($L905&gt;Q$4,Q$3,ROUND($L905*Q$7,0)))</f>
        <v/>
      </c>
      <c r="G905" s="1378">
        <f>IF($L905&gt;R$5,MAX(0,R$3+ROUND((R$9*($L905-R$5)),0)),IF($L905&gt;R$4,R$3,ROUND($L905*R$7,0)))</f>
        <v/>
      </c>
      <c r="H905" s="448">
        <f>IF($L905&gt;S$5,MAX(0,S$3+ROUND((S$9*($L905-S$5)),0)),IF($L905&gt;S$4,S$3,ROUND($L905*S$7,0)))</f>
        <v/>
      </c>
      <c r="I905" s="448">
        <f>IF($L905&gt;T$5,MAX(0,T$3+ROUND((T$9*($L905-T$5)),0)),IF($L905&gt;T$4,T$3,ROUND($L905*T$7,0)))</f>
        <v/>
      </c>
      <c r="J905" s="447">
        <f>IF($L905&gt;U$5,MAX(0,U$3+ROUND((U$9*($L905-U$5)),0)),IF($L905&gt;U$4,U$3,ROUND($L905*U$7,0)))</f>
        <v/>
      </c>
      <c r="K905" s="422" t="n"/>
      <c r="L905" s="448">
        <f>ROUND((A905+B905)/2,2)</f>
        <v/>
      </c>
    </row>
    <row r="906" ht="13.5" customHeight="1" s="7635">
      <c r="A906" s="448" t="n">
        <v>45050</v>
      </c>
      <c r="B906" s="447" t="n">
        <v>45100</v>
      </c>
      <c r="C906" s="1378">
        <f>IF($L906&gt;N$5,MAX(0,N$3+ROUND((N$9*($L906-N$5)),0)),IF($L906&gt;N$4,N$3,ROUND($L906*N$7,0)))</f>
        <v/>
      </c>
      <c r="D906" s="448">
        <f>IF($L906&gt;O$5,MAX(0,O$3+ROUND((O$9*($L906-O$5)),0)),IF($L906&gt;O$4,O$3,ROUND($L906*O$7,0)))</f>
        <v/>
      </c>
      <c r="E906" s="448">
        <f>IF($L906&gt;P$5,MAX(0,P$3+ROUND((P$9*($L906-P$5)),0)),IF($L906&gt;P$4,P$3,ROUND($L906*P$7,0)))</f>
        <v/>
      </c>
      <c r="F906" s="447">
        <f>IF($L906&gt;Q$5,MAX(0,Q$3+ROUND((Q$9*($L906-Q$5)),0)),IF($L906&gt;Q$4,Q$3,ROUND($L906*Q$7,0)))</f>
        <v/>
      </c>
      <c r="G906" s="1378">
        <f>IF($L906&gt;R$5,MAX(0,R$3+ROUND((R$9*($L906-R$5)),0)),IF($L906&gt;R$4,R$3,ROUND($L906*R$7,0)))</f>
        <v/>
      </c>
      <c r="H906" s="448">
        <f>IF($L906&gt;S$5,MAX(0,S$3+ROUND((S$9*($L906-S$5)),0)),IF($L906&gt;S$4,S$3,ROUND($L906*S$7,0)))</f>
        <v/>
      </c>
      <c r="I906" s="448">
        <f>IF($L906&gt;T$5,MAX(0,T$3+ROUND((T$9*($L906-T$5)),0)),IF($L906&gt;T$4,T$3,ROUND($L906*T$7,0)))</f>
        <v/>
      </c>
      <c r="J906" s="447">
        <f>IF($L906&gt;U$5,MAX(0,U$3+ROUND((U$9*($L906-U$5)),0)),IF($L906&gt;U$4,U$3,ROUND($L906*U$7,0)))</f>
        <v/>
      </c>
      <c r="K906" s="422" t="n"/>
      <c r="L906" s="448">
        <f>ROUND((A906+B906)/2,2)</f>
        <v/>
      </c>
    </row>
    <row r="907" ht="13.5" customHeight="1" s="7635">
      <c r="A907" s="448" t="n">
        <v>45100</v>
      </c>
      <c r="B907" s="447" t="n">
        <v>45150</v>
      </c>
      <c r="C907" s="1378">
        <f>IF($L907&gt;N$5,MAX(0,N$3+ROUND((N$9*($L907-N$5)),0)),IF($L907&gt;N$4,N$3,ROUND($L907*N$7,0)))</f>
        <v/>
      </c>
      <c r="D907" s="448">
        <f>IF($L907&gt;O$5,MAX(0,O$3+ROUND((O$9*($L907-O$5)),0)),IF($L907&gt;O$4,O$3,ROUND($L907*O$7,0)))</f>
        <v/>
      </c>
      <c r="E907" s="448">
        <f>IF($L907&gt;P$5,MAX(0,P$3+ROUND((P$9*($L907-P$5)),0)),IF($L907&gt;P$4,P$3,ROUND($L907*P$7,0)))</f>
        <v/>
      </c>
      <c r="F907" s="447">
        <f>IF($L907&gt;Q$5,MAX(0,Q$3+ROUND((Q$9*($L907-Q$5)),0)),IF($L907&gt;Q$4,Q$3,ROUND($L907*Q$7,0)))</f>
        <v/>
      </c>
      <c r="G907" s="1378">
        <f>IF($L907&gt;R$5,MAX(0,R$3+ROUND((R$9*($L907-R$5)),0)),IF($L907&gt;R$4,R$3,ROUND($L907*R$7,0)))</f>
        <v/>
      </c>
      <c r="H907" s="448">
        <f>IF($L907&gt;S$5,MAX(0,S$3+ROUND((S$9*($L907-S$5)),0)),IF($L907&gt;S$4,S$3,ROUND($L907*S$7,0)))</f>
        <v/>
      </c>
      <c r="I907" s="448">
        <f>IF($L907&gt;T$5,MAX(0,T$3+ROUND((T$9*($L907-T$5)),0)),IF($L907&gt;T$4,T$3,ROUND($L907*T$7,0)))</f>
        <v/>
      </c>
      <c r="J907" s="447">
        <f>IF($L907&gt;U$5,MAX(0,U$3+ROUND((U$9*($L907-U$5)),0)),IF($L907&gt;U$4,U$3,ROUND($L907*U$7,0)))</f>
        <v/>
      </c>
      <c r="K907" s="422" t="n"/>
      <c r="L907" s="448">
        <f>ROUND((A907+B907)/2,2)</f>
        <v/>
      </c>
    </row>
    <row r="908" ht="13.5" customHeight="1" s="7635">
      <c r="A908" s="448" t="n">
        <v>45150</v>
      </c>
      <c r="B908" s="447" t="n">
        <v>45200</v>
      </c>
      <c r="C908" s="1378">
        <f>IF($L908&gt;N$5,MAX(0,N$3+ROUND((N$9*($L908-N$5)),0)),IF($L908&gt;N$4,N$3,ROUND($L908*N$7,0)))</f>
        <v/>
      </c>
      <c r="D908" s="448">
        <f>IF($L908&gt;O$5,MAX(0,O$3+ROUND((O$9*($L908-O$5)),0)),IF($L908&gt;O$4,O$3,ROUND($L908*O$7,0)))</f>
        <v/>
      </c>
      <c r="E908" s="448">
        <f>IF($L908&gt;P$5,MAX(0,P$3+ROUND((P$9*($L908-P$5)),0)),IF($L908&gt;P$4,P$3,ROUND($L908*P$7,0)))</f>
        <v/>
      </c>
      <c r="F908" s="447">
        <f>IF($L908&gt;Q$5,MAX(0,Q$3+ROUND((Q$9*($L908-Q$5)),0)),IF($L908&gt;Q$4,Q$3,ROUND($L908*Q$7,0)))</f>
        <v/>
      </c>
      <c r="G908" s="1378">
        <f>IF($L908&gt;R$5,MAX(0,R$3+ROUND((R$9*($L908-R$5)),0)),IF($L908&gt;R$4,R$3,ROUND($L908*R$7,0)))</f>
        <v/>
      </c>
      <c r="H908" s="448">
        <f>IF($L908&gt;S$5,MAX(0,S$3+ROUND((S$9*($L908-S$5)),0)),IF($L908&gt;S$4,S$3,ROUND($L908*S$7,0)))</f>
        <v/>
      </c>
      <c r="I908" s="448">
        <f>IF($L908&gt;T$5,MAX(0,T$3+ROUND((T$9*($L908-T$5)),0)),IF($L908&gt;T$4,T$3,ROUND($L908*T$7,0)))</f>
        <v/>
      </c>
      <c r="J908" s="447">
        <f>IF($L908&gt;U$5,MAX(0,U$3+ROUND((U$9*($L908-U$5)),0)),IF($L908&gt;U$4,U$3,ROUND($L908*U$7,0)))</f>
        <v/>
      </c>
      <c r="K908" s="422" t="n"/>
      <c r="L908" s="448">
        <f>ROUND((A908+B908)/2,2)</f>
        <v/>
      </c>
    </row>
    <row r="909" ht="13.5" customHeight="1" s="7635">
      <c r="A909" s="448" t="n">
        <v>45200</v>
      </c>
      <c r="B909" s="447" t="n">
        <v>45250</v>
      </c>
      <c r="C909" s="1378">
        <f>IF($L909&gt;N$5,MAX(0,N$3+ROUND((N$9*($L909-N$5)),0)),IF($L909&gt;N$4,N$3,ROUND($L909*N$7,0)))</f>
        <v/>
      </c>
      <c r="D909" s="448">
        <f>IF($L909&gt;O$5,MAX(0,O$3+ROUND((O$9*($L909-O$5)),0)),IF($L909&gt;O$4,O$3,ROUND($L909*O$7,0)))</f>
        <v/>
      </c>
      <c r="E909" s="448">
        <f>IF($L909&gt;P$5,MAX(0,P$3+ROUND((P$9*($L909-P$5)),0)),IF($L909&gt;P$4,P$3,ROUND($L909*P$7,0)))</f>
        <v/>
      </c>
      <c r="F909" s="447">
        <f>IF($L909&gt;Q$5,MAX(0,Q$3+ROUND((Q$9*($L909-Q$5)),0)),IF($L909&gt;Q$4,Q$3,ROUND($L909*Q$7,0)))</f>
        <v/>
      </c>
      <c r="G909" s="1378">
        <f>IF($L909&gt;R$5,MAX(0,R$3+ROUND((R$9*($L909-R$5)),0)),IF($L909&gt;R$4,R$3,ROUND($L909*R$7,0)))</f>
        <v/>
      </c>
      <c r="H909" s="448">
        <f>IF($L909&gt;S$5,MAX(0,S$3+ROUND((S$9*($L909-S$5)),0)),IF($L909&gt;S$4,S$3,ROUND($L909*S$7,0)))</f>
        <v/>
      </c>
      <c r="I909" s="448">
        <f>IF($L909&gt;T$5,MAX(0,T$3+ROUND((T$9*($L909-T$5)),0)),IF($L909&gt;T$4,T$3,ROUND($L909*T$7,0)))</f>
        <v/>
      </c>
      <c r="J909" s="447">
        <f>IF($L909&gt;U$5,MAX(0,U$3+ROUND((U$9*($L909-U$5)),0)),IF($L909&gt;U$4,U$3,ROUND($L909*U$7,0)))</f>
        <v/>
      </c>
      <c r="K909" s="422" t="n"/>
      <c r="L909" s="448">
        <f>ROUND((A909+B909)/2,2)</f>
        <v/>
      </c>
    </row>
    <row r="910" ht="13.5" customHeight="1" s="7635">
      <c r="A910" s="448" t="n">
        <v>45250</v>
      </c>
      <c r="B910" s="447" t="n">
        <v>45300</v>
      </c>
      <c r="C910" s="1378">
        <f>IF($L910&gt;N$5,MAX(0,N$3+ROUND((N$9*($L910-N$5)),0)),IF($L910&gt;N$4,N$3,ROUND($L910*N$7,0)))</f>
        <v/>
      </c>
      <c r="D910" s="448">
        <f>IF($L910&gt;O$5,MAX(0,O$3+ROUND((O$9*($L910-O$5)),0)),IF($L910&gt;O$4,O$3,ROUND($L910*O$7,0)))</f>
        <v/>
      </c>
      <c r="E910" s="448">
        <f>IF($L910&gt;P$5,MAX(0,P$3+ROUND((P$9*($L910-P$5)),0)),IF($L910&gt;P$4,P$3,ROUND($L910*P$7,0)))</f>
        <v/>
      </c>
      <c r="F910" s="447">
        <f>IF($L910&gt;Q$5,MAX(0,Q$3+ROUND((Q$9*($L910-Q$5)),0)),IF($L910&gt;Q$4,Q$3,ROUND($L910*Q$7,0)))</f>
        <v/>
      </c>
      <c r="G910" s="1378">
        <f>IF($L910&gt;R$5,MAX(0,R$3+ROUND((R$9*($L910-R$5)),0)),IF($L910&gt;R$4,R$3,ROUND($L910*R$7,0)))</f>
        <v/>
      </c>
      <c r="H910" s="448">
        <f>IF($L910&gt;S$5,MAX(0,S$3+ROUND((S$9*($L910-S$5)),0)),IF($L910&gt;S$4,S$3,ROUND($L910*S$7,0)))</f>
        <v/>
      </c>
      <c r="I910" s="448">
        <f>IF($L910&gt;T$5,MAX(0,T$3+ROUND((T$9*($L910-T$5)),0)),IF($L910&gt;T$4,T$3,ROUND($L910*T$7,0)))</f>
        <v/>
      </c>
      <c r="J910" s="447">
        <f>IF($L910&gt;U$5,MAX(0,U$3+ROUND((U$9*($L910-U$5)),0)),IF($L910&gt;U$4,U$3,ROUND($L910*U$7,0)))</f>
        <v/>
      </c>
      <c r="K910" s="422" t="n"/>
      <c r="L910" s="448">
        <f>ROUND((A910+B910)/2,2)</f>
        <v/>
      </c>
    </row>
    <row r="911" ht="13.5" customHeight="1" s="7635">
      <c r="A911" s="448" t="n">
        <v>45300</v>
      </c>
      <c r="B911" s="447" t="n">
        <v>45350</v>
      </c>
      <c r="C911" s="1378">
        <f>IF($L911&gt;N$5,MAX(0,N$3+ROUND((N$9*($L911-N$5)),0)),IF($L911&gt;N$4,N$3,ROUND($L911*N$7,0)))</f>
        <v/>
      </c>
      <c r="D911" s="448">
        <f>IF($L911&gt;O$5,MAX(0,O$3+ROUND((O$9*($L911-O$5)),0)),IF($L911&gt;O$4,O$3,ROUND($L911*O$7,0)))</f>
        <v/>
      </c>
      <c r="E911" s="448">
        <f>IF($L911&gt;P$5,MAX(0,P$3+ROUND((P$9*($L911-P$5)),0)),IF($L911&gt;P$4,P$3,ROUND($L911*P$7,0)))</f>
        <v/>
      </c>
      <c r="F911" s="447">
        <f>IF($L911&gt;Q$5,MAX(0,Q$3+ROUND((Q$9*($L911-Q$5)),0)),IF($L911&gt;Q$4,Q$3,ROUND($L911*Q$7,0)))</f>
        <v/>
      </c>
      <c r="G911" s="1378">
        <f>IF($L911&gt;R$5,MAX(0,R$3+ROUND((R$9*($L911-R$5)),0)),IF($L911&gt;R$4,R$3,ROUND($L911*R$7,0)))</f>
        <v/>
      </c>
      <c r="H911" s="448">
        <f>IF($L911&gt;S$5,MAX(0,S$3+ROUND((S$9*($L911-S$5)),0)),IF($L911&gt;S$4,S$3,ROUND($L911*S$7,0)))</f>
        <v/>
      </c>
      <c r="I911" s="448">
        <f>IF($L911&gt;T$5,MAX(0,T$3+ROUND((T$9*($L911-T$5)),0)),IF($L911&gt;T$4,T$3,ROUND($L911*T$7,0)))</f>
        <v/>
      </c>
      <c r="J911" s="447">
        <f>IF($L911&gt;U$5,MAX(0,U$3+ROUND((U$9*($L911-U$5)),0)),IF($L911&gt;U$4,U$3,ROUND($L911*U$7,0)))</f>
        <v/>
      </c>
      <c r="K911" s="422" t="n"/>
      <c r="L911" s="448">
        <f>ROUND((A911+B911)/2,2)</f>
        <v/>
      </c>
    </row>
    <row r="912" ht="13.5" customHeight="1" s="7635">
      <c r="A912" s="448" t="n">
        <v>45350</v>
      </c>
      <c r="B912" s="447" t="n">
        <v>45400</v>
      </c>
      <c r="C912" s="1378">
        <f>IF($L912&gt;N$5,MAX(0,N$3+ROUND((N$9*($L912-N$5)),0)),IF($L912&gt;N$4,N$3,ROUND($L912*N$7,0)))</f>
        <v/>
      </c>
      <c r="D912" s="448">
        <f>IF($L912&gt;O$5,MAX(0,O$3+ROUND((O$9*($L912-O$5)),0)),IF($L912&gt;O$4,O$3,ROUND($L912*O$7,0)))</f>
        <v/>
      </c>
      <c r="E912" s="448">
        <f>IF($L912&gt;P$5,MAX(0,P$3+ROUND((P$9*($L912-P$5)),0)),IF($L912&gt;P$4,P$3,ROUND($L912*P$7,0)))</f>
        <v/>
      </c>
      <c r="F912" s="447">
        <f>IF($L912&gt;Q$5,MAX(0,Q$3+ROUND((Q$9*($L912-Q$5)),0)),IF($L912&gt;Q$4,Q$3,ROUND($L912*Q$7,0)))</f>
        <v/>
      </c>
      <c r="G912" s="1378">
        <f>IF($L912&gt;R$5,MAX(0,R$3+ROUND((R$9*($L912-R$5)),0)),IF($L912&gt;R$4,R$3,ROUND($L912*R$7,0)))</f>
        <v/>
      </c>
      <c r="H912" s="448">
        <f>IF($L912&gt;S$5,MAX(0,S$3+ROUND((S$9*($L912-S$5)),0)),IF($L912&gt;S$4,S$3,ROUND($L912*S$7,0)))</f>
        <v/>
      </c>
      <c r="I912" s="448">
        <f>IF($L912&gt;T$5,MAX(0,T$3+ROUND((T$9*($L912-T$5)),0)),IF($L912&gt;T$4,T$3,ROUND($L912*T$7,0)))</f>
        <v/>
      </c>
      <c r="J912" s="447">
        <f>IF($L912&gt;U$5,MAX(0,U$3+ROUND((U$9*($L912-U$5)),0)),IF($L912&gt;U$4,U$3,ROUND($L912*U$7,0)))</f>
        <v/>
      </c>
      <c r="K912" s="422" t="n"/>
      <c r="L912" s="448">
        <f>ROUND((A912+B912)/2,2)</f>
        <v/>
      </c>
    </row>
    <row r="913" ht="13.5" customHeight="1" s="7635">
      <c r="A913" s="448" t="n">
        <v>45400</v>
      </c>
      <c r="B913" s="447" t="n">
        <v>45450</v>
      </c>
      <c r="C913" s="1378">
        <f>IF($L913&gt;N$5,MAX(0,N$3+ROUND((N$9*($L913-N$5)),0)),IF($L913&gt;N$4,N$3,ROUND($L913*N$7,0)))</f>
        <v/>
      </c>
      <c r="D913" s="448">
        <f>IF($L913&gt;O$5,MAX(0,O$3+ROUND((O$9*($L913-O$5)),0)),IF($L913&gt;O$4,O$3,ROUND($L913*O$7,0)))</f>
        <v/>
      </c>
      <c r="E913" s="448">
        <f>IF($L913&gt;P$5,MAX(0,P$3+ROUND((P$9*($L913-P$5)),0)),IF($L913&gt;P$4,P$3,ROUND($L913*P$7,0)))</f>
        <v/>
      </c>
      <c r="F913" s="447">
        <f>IF($L913&gt;Q$5,MAX(0,Q$3+ROUND((Q$9*($L913-Q$5)),0)),IF($L913&gt;Q$4,Q$3,ROUND($L913*Q$7,0)))</f>
        <v/>
      </c>
      <c r="G913" s="1378">
        <f>IF($L913&gt;R$5,MAX(0,R$3+ROUND((R$9*($L913-R$5)),0)),IF($L913&gt;R$4,R$3,ROUND($L913*R$7,0)))</f>
        <v/>
      </c>
      <c r="H913" s="448">
        <f>IF($L913&gt;S$5,MAX(0,S$3+ROUND((S$9*($L913-S$5)),0)),IF($L913&gt;S$4,S$3,ROUND($L913*S$7,0)))</f>
        <v/>
      </c>
      <c r="I913" s="448">
        <f>IF($L913&gt;T$5,MAX(0,T$3+ROUND((T$9*($L913-T$5)),0)),IF($L913&gt;T$4,T$3,ROUND($L913*T$7,0)))</f>
        <v/>
      </c>
      <c r="J913" s="447">
        <f>IF($L913&gt;U$5,MAX(0,U$3+ROUND((U$9*($L913-U$5)),0)),IF($L913&gt;U$4,U$3,ROUND($L913*U$7,0)))</f>
        <v/>
      </c>
      <c r="K913" s="422" t="n"/>
      <c r="L913" s="448">
        <f>ROUND((A913+B913)/2,2)</f>
        <v/>
      </c>
    </row>
    <row r="914" ht="13.5" customHeight="1" s="7635">
      <c r="A914" s="448" t="n">
        <v>45450</v>
      </c>
      <c r="B914" s="447" t="n">
        <v>45500</v>
      </c>
      <c r="C914" s="1378">
        <f>IF($L914&gt;N$5,MAX(0,N$3+ROUND((N$9*($L914-N$5)),0)),IF($L914&gt;N$4,N$3,ROUND($L914*N$7,0)))</f>
        <v/>
      </c>
      <c r="D914" s="448">
        <f>IF($L914&gt;O$5,MAX(0,O$3+ROUND((O$9*($L914-O$5)),0)),IF($L914&gt;O$4,O$3,ROUND($L914*O$7,0)))</f>
        <v/>
      </c>
      <c r="E914" s="448">
        <f>IF($L914&gt;P$5,MAX(0,P$3+ROUND((P$9*($L914-P$5)),0)),IF($L914&gt;P$4,P$3,ROUND($L914*P$7,0)))</f>
        <v/>
      </c>
      <c r="F914" s="447">
        <f>IF($L914&gt;Q$5,MAX(0,Q$3+ROUND((Q$9*($L914-Q$5)),0)),IF($L914&gt;Q$4,Q$3,ROUND($L914*Q$7,0)))</f>
        <v/>
      </c>
      <c r="G914" s="1378">
        <f>IF($L914&gt;R$5,MAX(0,R$3+ROUND((R$9*($L914-R$5)),0)),IF($L914&gt;R$4,R$3,ROUND($L914*R$7,0)))</f>
        <v/>
      </c>
      <c r="H914" s="448">
        <f>IF($L914&gt;S$5,MAX(0,S$3+ROUND((S$9*($L914-S$5)),0)),IF($L914&gt;S$4,S$3,ROUND($L914*S$7,0)))</f>
        <v/>
      </c>
      <c r="I914" s="448">
        <f>IF($L914&gt;T$5,MAX(0,T$3+ROUND((T$9*($L914-T$5)),0)),IF($L914&gt;T$4,T$3,ROUND($L914*T$7,0)))</f>
        <v/>
      </c>
      <c r="J914" s="447">
        <f>IF($L914&gt;U$5,MAX(0,U$3+ROUND((U$9*($L914-U$5)),0)),IF($L914&gt;U$4,U$3,ROUND($L914*U$7,0)))</f>
        <v/>
      </c>
      <c r="K914" s="422" t="n"/>
      <c r="L914" s="448">
        <f>ROUND((A914+B914)/2,2)</f>
        <v/>
      </c>
    </row>
    <row r="915" ht="13.5" customHeight="1" s="7635">
      <c r="A915" s="448" t="n">
        <v>45500</v>
      </c>
      <c r="B915" s="447" t="n">
        <v>45550</v>
      </c>
      <c r="C915" s="1378">
        <f>IF($L915&gt;N$5,MAX(0,N$3+ROUND((N$9*($L915-N$5)),0)),IF($L915&gt;N$4,N$3,ROUND($L915*N$7,0)))</f>
        <v/>
      </c>
      <c r="D915" s="448">
        <f>IF($L915&gt;O$5,MAX(0,O$3+ROUND((O$9*($L915-O$5)),0)),IF($L915&gt;O$4,O$3,ROUND($L915*O$7,0)))</f>
        <v/>
      </c>
      <c r="E915" s="448">
        <f>IF($L915&gt;P$5,MAX(0,P$3+ROUND((P$9*($L915-P$5)),0)),IF($L915&gt;P$4,P$3,ROUND($L915*P$7,0)))</f>
        <v/>
      </c>
      <c r="F915" s="447">
        <f>IF($L915&gt;Q$5,MAX(0,Q$3+ROUND((Q$9*($L915-Q$5)),0)),IF($L915&gt;Q$4,Q$3,ROUND($L915*Q$7,0)))</f>
        <v/>
      </c>
      <c r="G915" s="1378">
        <f>IF($L915&gt;R$5,MAX(0,R$3+ROUND((R$9*($L915-R$5)),0)),IF($L915&gt;R$4,R$3,ROUND($L915*R$7,0)))</f>
        <v/>
      </c>
      <c r="H915" s="448">
        <f>IF($L915&gt;S$5,MAX(0,S$3+ROUND((S$9*($L915-S$5)),0)),IF($L915&gt;S$4,S$3,ROUND($L915*S$7,0)))</f>
        <v/>
      </c>
      <c r="I915" s="448">
        <f>IF($L915&gt;T$5,MAX(0,T$3+ROUND((T$9*($L915-T$5)),0)),IF($L915&gt;T$4,T$3,ROUND($L915*T$7,0)))</f>
        <v/>
      </c>
      <c r="J915" s="447">
        <f>IF($L915&gt;U$5,MAX(0,U$3+ROUND((U$9*($L915-U$5)),0)),IF($L915&gt;U$4,U$3,ROUND($L915*U$7,0)))</f>
        <v/>
      </c>
      <c r="K915" s="422" t="n"/>
      <c r="L915" s="448">
        <f>ROUND((A915+B915)/2,2)</f>
        <v/>
      </c>
    </row>
    <row r="916" ht="13.5" customHeight="1" s="7635">
      <c r="A916" s="448" t="n">
        <v>45550</v>
      </c>
      <c r="B916" s="447" t="n">
        <v>45600</v>
      </c>
      <c r="C916" s="1378">
        <f>IF($L916&gt;N$5,MAX(0,N$3+ROUND((N$9*($L916-N$5)),0)),IF($L916&gt;N$4,N$3,ROUND($L916*N$7,0)))</f>
        <v/>
      </c>
      <c r="D916" s="448">
        <f>IF($L916&gt;O$5,MAX(0,O$3+ROUND((O$9*($L916-O$5)),0)),IF($L916&gt;O$4,O$3,ROUND($L916*O$7,0)))</f>
        <v/>
      </c>
      <c r="E916" s="448">
        <f>IF($L916&gt;P$5,MAX(0,P$3+ROUND((P$9*($L916-P$5)),0)),IF($L916&gt;P$4,P$3,ROUND($L916*P$7,0)))</f>
        <v/>
      </c>
      <c r="F916" s="447">
        <f>IF($L916&gt;Q$5,MAX(0,Q$3+ROUND((Q$9*($L916-Q$5)),0)),IF($L916&gt;Q$4,Q$3,ROUND($L916*Q$7,0)))</f>
        <v/>
      </c>
      <c r="G916" s="1378">
        <f>IF($L916&gt;R$5,MAX(0,R$3+ROUND((R$9*($L916-R$5)),0)),IF($L916&gt;R$4,R$3,ROUND($L916*R$7,0)))</f>
        <v/>
      </c>
      <c r="H916" s="448">
        <f>IF($L916&gt;S$5,MAX(0,S$3+ROUND((S$9*($L916-S$5)),0)),IF($L916&gt;S$4,S$3,ROUND($L916*S$7,0)))</f>
        <v/>
      </c>
      <c r="I916" s="448">
        <f>IF($L916&gt;T$5,MAX(0,T$3+ROUND((T$9*($L916-T$5)),0)),IF($L916&gt;T$4,T$3,ROUND($L916*T$7,0)))</f>
        <v/>
      </c>
      <c r="J916" s="447">
        <f>IF($L916&gt;U$5,MAX(0,U$3+ROUND((U$9*($L916-U$5)),0)),IF($L916&gt;U$4,U$3,ROUND($L916*U$7,0)))</f>
        <v/>
      </c>
      <c r="K916" s="422" t="n"/>
      <c r="L916" s="448">
        <f>ROUND((A916+B916)/2,2)</f>
        <v/>
      </c>
    </row>
    <row r="917" ht="13.5" customHeight="1" s="7635">
      <c r="A917" s="448" t="n">
        <v>45600</v>
      </c>
      <c r="B917" s="447" t="n">
        <v>45650</v>
      </c>
      <c r="C917" s="1378">
        <f>IF($L917&gt;N$5,MAX(0,N$3+ROUND((N$9*($L917-N$5)),0)),IF($L917&gt;N$4,N$3,ROUND($L917*N$7,0)))</f>
        <v/>
      </c>
      <c r="D917" s="448">
        <f>IF($L917&gt;O$5,MAX(0,O$3+ROUND((O$9*($L917-O$5)),0)),IF($L917&gt;O$4,O$3,ROUND($L917*O$7,0)))</f>
        <v/>
      </c>
      <c r="E917" s="448">
        <f>IF($L917&gt;P$5,MAX(0,P$3+ROUND((P$9*($L917-P$5)),0)),IF($L917&gt;P$4,P$3,ROUND($L917*P$7,0)))</f>
        <v/>
      </c>
      <c r="F917" s="447">
        <f>IF($L917&gt;Q$5,MAX(0,Q$3+ROUND((Q$9*($L917-Q$5)),0)),IF($L917&gt;Q$4,Q$3,ROUND($L917*Q$7,0)))</f>
        <v/>
      </c>
      <c r="G917" s="1378">
        <f>IF($L917&gt;R$5,MAX(0,R$3+ROUND((R$9*($L917-R$5)),0)),IF($L917&gt;R$4,R$3,ROUND($L917*R$7,0)))</f>
        <v/>
      </c>
      <c r="H917" s="448">
        <f>IF($L917&gt;S$5,MAX(0,S$3+ROUND((S$9*($L917-S$5)),0)),IF($L917&gt;S$4,S$3,ROUND($L917*S$7,0)))</f>
        <v/>
      </c>
      <c r="I917" s="448">
        <f>IF($L917&gt;T$5,MAX(0,T$3+ROUND((T$9*($L917-T$5)),0)),IF($L917&gt;T$4,T$3,ROUND($L917*T$7,0)))</f>
        <v/>
      </c>
      <c r="J917" s="447">
        <f>IF($L917&gt;U$5,MAX(0,U$3+ROUND((U$9*($L917-U$5)),0)),IF($L917&gt;U$4,U$3,ROUND($L917*U$7,0)))</f>
        <v/>
      </c>
      <c r="K917" s="422" t="n"/>
      <c r="L917" s="448">
        <f>ROUND((A917+B917)/2,2)</f>
        <v/>
      </c>
    </row>
    <row r="918" ht="13.5" customHeight="1" s="7635">
      <c r="A918" s="448" t="n">
        <v>45650</v>
      </c>
      <c r="B918" s="447" t="n">
        <v>45700</v>
      </c>
      <c r="C918" s="1378">
        <f>IF($L918&gt;N$5,MAX(0,N$3+ROUND((N$9*($L918-N$5)),0)),IF($L918&gt;N$4,N$3,ROUND($L918*N$7,0)))</f>
        <v/>
      </c>
      <c r="D918" s="448">
        <f>IF($L918&gt;O$5,MAX(0,O$3+ROUND((O$9*($L918-O$5)),0)),IF($L918&gt;O$4,O$3,ROUND($L918*O$7,0)))</f>
        <v/>
      </c>
      <c r="E918" s="448">
        <f>IF($L918&gt;P$5,MAX(0,P$3+ROUND((P$9*($L918-P$5)),0)),IF($L918&gt;P$4,P$3,ROUND($L918*P$7,0)))</f>
        <v/>
      </c>
      <c r="F918" s="447">
        <f>IF($L918&gt;Q$5,MAX(0,Q$3+ROUND((Q$9*($L918-Q$5)),0)),IF($L918&gt;Q$4,Q$3,ROUND($L918*Q$7,0)))</f>
        <v/>
      </c>
      <c r="G918" s="1378">
        <f>IF($L918&gt;R$5,MAX(0,R$3+ROUND((R$9*($L918-R$5)),0)),IF($L918&gt;R$4,R$3,ROUND($L918*R$7,0)))</f>
        <v/>
      </c>
      <c r="H918" s="448">
        <f>IF($L918&gt;S$5,MAX(0,S$3+ROUND((S$9*($L918-S$5)),0)),IF($L918&gt;S$4,S$3,ROUND($L918*S$7,0)))</f>
        <v/>
      </c>
      <c r="I918" s="448">
        <f>IF($L918&gt;T$5,MAX(0,T$3+ROUND((T$9*($L918-T$5)),0)),IF($L918&gt;T$4,T$3,ROUND($L918*T$7,0)))</f>
        <v/>
      </c>
      <c r="J918" s="447">
        <f>IF($L918&gt;U$5,MAX(0,U$3+ROUND((U$9*($L918-U$5)),0)),IF($L918&gt;U$4,U$3,ROUND($L918*U$7,0)))</f>
        <v/>
      </c>
      <c r="K918" s="422" t="n"/>
      <c r="L918" s="448">
        <f>ROUND((A918+B918)/2,2)</f>
        <v/>
      </c>
    </row>
    <row r="919" ht="13.5" customHeight="1" s="7635">
      <c r="A919" s="448" t="n">
        <v>45700</v>
      </c>
      <c r="B919" s="447" t="n">
        <v>45750</v>
      </c>
      <c r="C919" s="1378">
        <f>IF($L919&gt;N$5,MAX(0,N$3+ROUND((N$9*($L919-N$5)),0)),IF($L919&gt;N$4,N$3,ROUND($L919*N$7,0)))</f>
        <v/>
      </c>
      <c r="D919" s="448">
        <f>IF($L919&gt;O$5,MAX(0,O$3+ROUND((O$9*($L919-O$5)),0)),IF($L919&gt;O$4,O$3,ROUND($L919*O$7,0)))</f>
        <v/>
      </c>
      <c r="E919" s="448">
        <f>IF($L919&gt;P$5,MAX(0,P$3+ROUND((P$9*($L919-P$5)),0)),IF($L919&gt;P$4,P$3,ROUND($L919*P$7,0)))</f>
        <v/>
      </c>
      <c r="F919" s="447">
        <f>IF($L919&gt;Q$5,MAX(0,Q$3+ROUND((Q$9*($L919-Q$5)),0)),IF($L919&gt;Q$4,Q$3,ROUND($L919*Q$7,0)))</f>
        <v/>
      </c>
      <c r="G919" s="1378">
        <f>IF($L919&gt;R$5,MAX(0,R$3+ROUND((R$9*($L919-R$5)),0)),IF($L919&gt;R$4,R$3,ROUND($L919*R$7,0)))</f>
        <v/>
      </c>
      <c r="H919" s="448">
        <f>IF($L919&gt;S$5,MAX(0,S$3+ROUND((S$9*($L919-S$5)),0)),IF($L919&gt;S$4,S$3,ROUND($L919*S$7,0)))</f>
        <v/>
      </c>
      <c r="I919" s="448">
        <f>IF($L919&gt;T$5,MAX(0,T$3+ROUND((T$9*($L919-T$5)),0)),IF($L919&gt;T$4,T$3,ROUND($L919*T$7,0)))</f>
        <v/>
      </c>
      <c r="J919" s="447">
        <f>IF($L919&gt;U$5,MAX(0,U$3+ROUND((U$9*($L919-U$5)),0)),IF($L919&gt;U$4,U$3,ROUND($L919*U$7,0)))</f>
        <v/>
      </c>
      <c r="K919" s="422" t="n"/>
      <c r="L919" s="448">
        <f>ROUND((A919+B919)/2,2)</f>
        <v/>
      </c>
    </row>
    <row r="920" ht="13.5" customHeight="1" s="7635">
      <c r="A920" s="448" t="n">
        <v>45750</v>
      </c>
      <c r="B920" s="447" t="n">
        <v>45800</v>
      </c>
      <c r="C920" s="1378">
        <f>IF($L920&gt;N$5,MAX(0,N$3+ROUND((N$9*($L920-N$5)),0)),IF($L920&gt;N$4,N$3,ROUND($L920*N$7,0)))</f>
        <v/>
      </c>
      <c r="D920" s="448">
        <f>IF($L920&gt;O$5,MAX(0,O$3+ROUND((O$9*($L920-O$5)),0)),IF($L920&gt;O$4,O$3,ROUND($L920*O$7,0)))</f>
        <v/>
      </c>
      <c r="E920" s="448">
        <f>IF($L920&gt;P$5,MAX(0,P$3+ROUND((P$9*($L920-P$5)),0)),IF($L920&gt;P$4,P$3,ROUND($L920*P$7,0)))</f>
        <v/>
      </c>
      <c r="F920" s="447">
        <f>IF($L920&gt;Q$5,MAX(0,Q$3+ROUND((Q$9*($L920-Q$5)),0)),IF($L920&gt;Q$4,Q$3,ROUND($L920*Q$7,0)))</f>
        <v/>
      </c>
      <c r="G920" s="1378">
        <f>IF($L920&gt;R$5,MAX(0,R$3+ROUND((R$9*($L920-R$5)),0)),IF($L920&gt;R$4,R$3,ROUND($L920*R$7,0)))</f>
        <v/>
      </c>
      <c r="H920" s="448">
        <f>IF($L920&gt;S$5,MAX(0,S$3+ROUND((S$9*($L920-S$5)),0)),IF($L920&gt;S$4,S$3,ROUND($L920*S$7,0)))</f>
        <v/>
      </c>
      <c r="I920" s="448">
        <f>IF($L920&gt;T$5,MAX(0,T$3+ROUND((T$9*($L920-T$5)),0)),IF($L920&gt;T$4,T$3,ROUND($L920*T$7,0)))</f>
        <v/>
      </c>
      <c r="J920" s="447">
        <f>IF($L920&gt;U$5,MAX(0,U$3+ROUND((U$9*($L920-U$5)),0)),IF($L920&gt;U$4,U$3,ROUND($L920*U$7,0)))</f>
        <v/>
      </c>
      <c r="K920" s="422" t="n"/>
      <c r="L920" s="448">
        <f>ROUND((A920+B920)/2,2)</f>
        <v/>
      </c>
    </row>
    <row r="921" ht="13.5" customHeight="1" s="7635">
      <c r="A921" s="448" t="n">
        <v>45800</v>
      </c>
      <c r="B921" s="447" t="n">
        <v>45850</v>
      </c>
      <c r="C921" s="1378">
        <f>IF($L921&gt;N$5,MAX(0,N$3+ROUND((N$9*($L921-N$5)),0)),IF($L921&gt;N$4,N$3,ROUND($L921*N$7,0)))</f>
        <v/>
      </c>
      <c r="D921" s="448">
        <f>IF($L921&gt;O$5,MAX(0,O$3+ROUND((O$9*($L921-O$5)),0)),IF($L921&gt;O$4,O$3,ROUND($L921*O$7,0)))</f>
        <v/>
      </c>
      <c r="E921" s="448">
        <f>IF($L921&gt;P$5,MAX(0,P$3+ROUND((P$9*($L921-P$5)),0)),IF($L921&gt;P$4,P$3,ROUND($L921*P$7,0)))</f>
        <v/>
      </c>
      <c r="F921" s="447">
        <f>IF($L921&gt;Q$5,MAX(0,Q$3+ROUND((Q$9*($L921-Q$5)),0)),IF($L921&gt;Q$4,Q$3,ROUND($L921*Q$7,0)))</f>
        <v/>
      </c>
      <c r="G921" s="1378">
        <f>IF($L921&gt;R$5,MAX(0,R$3+ROUND((R$9*($L921-R$5)),0)),IF($L921&gt;R$4,R$3,ROUND($L921*R$7,0)))</f>
        <v/>
      </c>
      <c r="H921" s="448">
        <f>IF($L921&gt;S$5,MAX(0,S$3+ROUND((S$9*($L921-S$5)),0)),IF($L921&gt;S$4,S$3,ROUND($L921*S$7,0)))</f>
        <v/>
      </c>
      <c r="I921" s="448">
        <f>IF($L921&gt;T$5,MAX(0,T$3+ROUND((T$9*($L921-T$5)),0)),IF($L921&gt;T$4,T$3,ROUND($L921*T$7,0)))</f>
        <v/>
      </c>
      <c r="J921" s="447">
        <f>IF($L921&gt;U$5,MAX(0,U$3+ROUND((U$9*($L921-U$5)),0)),IF($L921&gt;U$4,U$3,ROUND($L921*U$7,0)))</f>
        <v/>
      </c>
      <c r="K921" s="422" t="n"/>
      <c r="L921" s="448">
        <f>ROUND((A921+B921)/2,2)</f>
        <v/>
      </c>
    </row>
    <row r="922" ht="13.5" customHeight="1" s="7635">
      <c r="A922" s="448" t="n">
        <v>45850</v>
      </c>
      <c r="B922" s="447" t="n">
        <v>45900</v>
      </c>
      <c r="C922" s="1378">
        <f>IF($L922&gt;N$5,MAX(0,N$3+ROUND((N$9*($L922-N$5)),0)),IF($L922&gt;N$4,N$3,ROUND($L922*N$7,0)))</f>
        <v/>
      </c>
      <c r="D922" s="448">
        <f>IF($L922&gt;O$5,MAX(0,O$3+ROUND((O$9*($L922-O$5)),0)),IF($L922&gt;O$4,O$3,ROUND($L922*O$7,0)))</f>
        <v/>
      </c>
      <c r="E922" s="448">
        <f>IF($L922&gt;P$5,MAX(0,P$3+ROUND((P$9*($L922-P$5)),0)),IF($L922&gt;P$4,P$3,ROUND($L922*P$7,0)))</f>
        <v/>
      </c>
      <c r="F922" s="447">
        <f>IF($L922&gt;Q$5,MAX(0,Q$3+ROUND((Q$9*($L922-Q$5)),0)),IF($L922&gt;Q$4,Q$3,ROUND($L922*Q$7,0)))</f>
        <v/>
      </c>
      <c r="G922" s="1378">
        <f>IF($L922&gt;R$5,MAX(0,R$3+ROUND((R$9*($L922-R$5)),0)),IF($L922&gt;R$4,R$3,ROUND($L922*R$7,0)))</f>
        <v/>
      </c>
      <c r="H922" s="448">
        <f>IF($L922&gt;S$5,MAX(0,S$3+ROUND((S$9*($L922-S$5)),0)),IF($L922&gt;S$4,S$3,ROUND($L922*S$7,0)))</f>
        <v/>
      </c>
      <c r="I922" s="448">
        <f>IF($L922&gt;T$5,MAX(0,T$3+ROUND((T$9*($L922-T$5)),0)),IF($L922&gt;T$4,T$3,ROUND($L922*T$7,0)))</f>
        <v/>
      </c>
      <c r="J922" s="447">
        <f>IF($L922&gt;U$5,MAX(0,U$3+ROUND((U$9*($L922-U$5)),0)),IF($L922&gt;U$4,U$3,ROUND($L922*U$7,0)))</f>
        <v/>
      </c>
      <c r="K922" s="422" t="n"/>
      <c r="L922" s="448">
        <f>ROUND((A922+B922)/2,2)</f>
        <v/>
      </c>
    </row>
    <row r="923" ht="13.5" customHeight="1" s="7635">
      <c r="A923" s="448" t="n">
        <v>45900</v>
      </c>
      <c r="B923" s="447" t="n">
        <v>45950</v>
      </c>
      <c r="C923" s="1378">
        <f>IF($L923&gt;N$5,MAX(0,N$3+ROUND((N$9*($L923-N$5)),0)),IF($L923&gt;N$4,N$3,ROUND($L923*N$7,0)))</f>
        <v/>
      </c>
      <c r="D923" s="448">
        <f>IF($L923&gt;O$5,MAX(0,O$3+ROUND((O$9*($L923-O$5)),0)),IF($L923&gt;O$4,O$3,ROUND($L923*O$7,0)))</f>
        <v/>
      </c>
      <c r="E923" s="448">
        <f>IF($L923&gt;P$5,MAX(0,P$3+ROUND((P$9*($L923-P$5)),0)),IF($L923&gt;P$4,P$3,ROUND($L923*P$7,0)))</f>
        <v/>
      </c>
      <c r="F923" s="447">
        <f>IF($L923&gt;Q$5,MAX(0,Q$3+ROUND((Q$9*($L923-Q$5)),0)),IF($L923&gt;Q$4,Q$3,ROUND($L923*Q$7,0)))</f>
        <v/>
      </c>
      <c r="G923" s="1378">
        <f>IF($L923&gt;R$5,MAX(0,R$3+ROUND((R$9*($L923-R$5)),0)),IF($L923&gt;R$4,R$3,ROUND($L923*R$7,0)))</f>
        <v/>
      </c>
      <c r="H923" s="448">
        <f>IF($L923&gt;S$5,MAX(0,S$3+ROUND((S$9*($L923-S$5)),0)),IF($L923&gt;S$4,S$3,ROUND($L923*S$7,0)))</f>
        <v/>
      </c>
      <c r="I923" s="448">
        <f>IF($L923&gt;T$5,MAX(0,T$3+ROUND((T$9*($L923-T$5)),0)),IF($L923&gt;T$4,T$3,ROUND($L923*T$7,0)))</f>
        <v/>
      </c>
      <c r="J923" s="447">
        <f>IF($L923&gt;U$5,MAX(0,U$3+ROUND((U$9*($L923-U$5)),0)),IF($L923&gt;U$4,U$3,ROUND($L923*U$7,0)))</f>
        <v/>
      </c>
      <c r="K923" s="422" t="n"/>
      <c r="L923" s="448">
        <f>ROUND((A923+B923)/2,2)</f>
        <v/>
      </c>
    </row>
    <row r="924" ht="13.5" customHeight="1" s="7635">
      <c r="A924" s="448" t="n">
        <v>45950</v>
      </c>
      <c r="B924" s="447" t="n">
        <v>46000</v>
      </c>
      <c r="C924" s="1378">
        <f>IF($L924&gt;N$5,MAX(0,N$3+ROUND((N$9*($L924-N$5)),0)),IF($L924&gt;N$4,N$3,ROUND($L924*N$7,0)))</f>
        <v/>
      </c>
      <c r="D924" s="448">
        <f>IF($L924&gt;O$5,MAX(0,O$3+ROUND((O$9*($L924-O$5)),0)),IF($L924&gt;O$4,O$3,ROUND($L924*O$7,0)))</f>
        <v/>
      </c>
      <c r="E924" s="448">
        <f>IF($L924&gt;P$5,MAX(0,P$3+ROUND((P$9*($L924-P$5)),0)),IF($L924&gt;P$4,P$3,ROUND($L924*P$7,0)))</f>
        <v/>
      </c>
      <c r="F924" s="447">
        <f>IF($L924&gt;Q$5,MAX(0,Q$3+ROUND((Q$9*($L924-Q$5)),0)),IF($L924&gt;Q$4,Q$3,ROUND($L924*Q$7,0)))</f>
        <v/>
      </c>
      <c r="G924" s="1378">
        <f>IF($L924&gt;R$5,MAX(0,R$3+ROUND((R$9*($L924-R$5)),0)),IF($L924&gt;R$4,R$3,ROUND($L924*R$7,0)))</f>
        <v/>
      </c>
      <c r="H924" s="448">
        <f>IF($L924&gt;S$5,MAX(0,S$3+ROUND((S$9*($L924-S$5)),0)),IF($L924&gt;S$4,S$3,ROUND($L924*S$7,0)))</f>
        <v/>
      </c>
      <c r="I924" s="448">
        <f>IF($L924&gt;T$5,MAX(0,T$3+ROUND((T$9*($L924-T$5)),0)),IF($L924&gt;T$4,T$3,ROUND($L924*T$7,0)))</f>
        <v/>
      </c>
      <c r="J924" s="447">
        <f>IF($L924&gt;U$5,MAX(0,U$3+ROUND((U$9*($L924-U$5)),0)),IF($L924&gt;U$4,U$3,ROUND($L924*U$7,0)))</f>
        <v/>
      </c>
      <c r="K924" s="422" t="n"/>
      <c r="L924" s="448">
        <f>ROUND((A924+B924)/2,2)</f>
        <v/>
      </c>
    </row>
    <row r="925" ht="13.5" customHeight="1" s="7635">
      <c r="A925" s="448" t="n">
        <v>46000</v>
      </c>
      <c r="B925" s="447" t="n">
        <v>46050</v>
      </c>
      <c r="C925" s="1378">
        <f>IF($L925&gt;N$5,MAX(0,N$3+ROUND((N$9*($L925-N$5)),0)),IF($L925&gt;N$4,N$3,ROUND($L925*N$7,0)))</f>
        <v/>
      </c>
      <c r="D925" s="448">
        <f>IF($L925&gt;O$5,MAX(0,O$3+ROUND((O$9*($L925-O$5)),0)),IF($L925&gt;O$4,O$3,ROUND($L925*O$7,0)))</f>
        <v/>
      </c>
      <c r="E925" s="448">
        <f>IF($L925&gt;P$5,MAX(0,P$3+ROUND((P$9*($L925-P$5)),0)),IF($L925&gt;P$4,P$3,ROUND($L925*P$7,0)))</f>
        <v/>
      </c>
      <c r="F925" s="447">
        <f>IF($L925&gt;Q$5,MAX(0,Q$3+ROUND((Q$9*($L925-Q$5)),0)),IF($L925&gt;Q$4,Q$3,ROUND($L925*Q$7,0)))</f>
        <v/>
      </c>
      <c r="G925" s="1378">
        <f>IF($L925&gt;R$5,MAX(0,R$3+ROUND((R$9*($L925-R$5)),0)),IF($L925&gt;R$4,R$3,ROUND($L925*R$7,0)))</f>
        <v/>
      </c>
      <c r="H925" s="448">
        <f>IF($L925&gt;S$5,MAX(0,S$3+ROUND((S$9*($L925-S$5)),0)),IF($L925&gt;S$4,S$3,ROUND($L925*S$7,0)))</f>
        <v/>
      </c>
      <c r="I925" s="448">
        <f>IF($L925&gt;T$5,MAX(0,T$3+ROUND((T$9*($L925-T$5)),0)),IF($L925&gt;T$4,T$3,ROUND($L925*T$7,0)))</f>
        <v/>
      </c>
      <c r="J925" s="447">
        <f>IF($L925&gt;U$5,MAX(0,U$3+ROUND((U$9*($L925-U$5)),0)),IF($L925&gt;U$4,U$3,ROUND($L925*U$7,0)))</f>
        <v/>
      </c>
      <c r="K925" s="422" t="n"/>
      <c r="L925" s="448">
        <f>ROUND((A925+B925)/2,2)</f>
        <v/>
      </c>
    </row>
    <row r="926" ht="13.5" customHeight="1" s="7635">
      <c r="A926" s="448" t="n">
        <v>46050</v>
      </c>
      <c r="B926" s="447" t="n">
        <v>46100</v>
      </c>
      <c r="C926" s="1378">
        <f>IF($L926&gt;N$5,MAX(0,N$3+ROUND((N$9*($L926-N$5)),0)),IF($L926&gt;N$4,N$3,ROUND($L926*N$7,0)))</f>
        <v/>
      </c>
      <c r="D926" s="448">
        <f>IF($L926&gt;O$5,MAX(0,O$3+ROUND((O$9*($L926-O$5)),0)),IF($L926&gt;O$4,O$3,ROUND($L926*O$7,0)))</f>
        <v/>
      </c>
      <c r="E926" s="448">
        <f>IF($L926&gt;P$5,MAX(0,P$3+ROUND((P$9*($L926-P$5)),0)),IF($L926&gt;P$4,P$3,ROUND($L926*P$7,0)))</f>
        <v/>
      </c>
      <c r="F926" s="447">
        <f>IF($L926&gt;Q$5,MAX(0,Q$3+ROUND((Q$9*($L926-Q$5)),0)),IF($L926&gt;Q$4,Q$3,ROUND($L926*Q$7,0)))</f>
        <v/>
      </c>
      <c r="G926" s="1378">
        <f>IF($L926&gt;R$5,MAX(0,R$3+ROUND((R$9*($L926-R$5)),0)),IF($L926&gt;R$4,R$3,ROUND($L926*R$7,0)))</f>
        <v/>
      </c>
      <c r="H926" s="448">
        <f>IF($L926&gt;S$5,MAX(0,S$3+ROUND((S$9*($L926-S$5)),0)),IF($L926&gt;S$4,S$3,ROUND($L926*S$7,0)))</f>
        <v/>
      </c>
      <c r="I926" s="448">
        <f>IF($L926&gt;T$5,MAX(0,T$3+ROUND((T$9*($L926-T$5)),0)),IF($L926&gt;T$4,T$3,ROUND($L926*T$7,0)))</f>
        <v/>
      </c>
      <c r="J926" s="447">
        <f>IF($L926&gt;U$5,MAX(0,U$3+ROUND((U$9*($L926-U$5)),0)),IF($L926&gt;U$4,U$3,ROUND($L926*U$7,0)))</f>
        <v/>
      </c>
      <c r="K926" s="422" t="n"/>
      <c r="L926" s="448">
        <f>ROUND((A926+B926)/2,2)</f>
        <v/>
      </c>
    </row>
    <row r="927" ht="13.5" customHeight="1" s="7635">
      <c r="A927" s="448" t="n">
        <v>46100</v>
      </c>
      <c r="B927" s="447" t="n">
        <v>46150</v>
      </c>
      <c r="C927" s="1378">
        <f>IF($L927&gt;N$5,MAX(0,N$3+ROUND((N$9*($L927-N$5)),0)),IF($L927&gt;N$4,N$3,ROUND($L927*N$7,0)))</f>
        <v/>
      </c>
      <c r="D927" s="448">
        <f>IF($L927&gt;O$5,MAX(0,O$3+ROUND((O$9*($L927-O$5)),0)),IF($L927&gt;O$4,O$3,ROUND($L927*O$7,0)))</f>
        <v/>
      </c>
      <c r="E927" s="448">
        <f>IF($L927&gt;P$5,MAX(0,P$3+ROUND((P$9*($L927-P$5)),0)),IF($L927&gt;P$4,P$3,ROUND($L927*P$7,0)))</f>
        <v/>
      </c>
      <c r="F927" s="447">
        <f>IF($L927&gt;Q$5,MAX(0,Q$3+ROUND((Q$9*($L927-Q$5)),0)),IF($L927&gt;Q$4,Q$3,ROUND($L927*Q$7,0)))</f>
        <v/>
      </c>
      <c r="G927" s="1378">
        <f>IF($L927&gt;R$5,MAX(0,R$3+ROUND((R$9*($L927-R$5)),0)),IF($L927&gt;R$4,R$3,ROUND($L927*R$7,0)))</f>
        <v/>
      </c>
      <c r="H927" s="448">
        <f>IF($L927&gt;S$5,MAX(0,S$3+ROUND((S$9*($L927-S$5)),0)),IF($L927&gt;S$4,S$3,ROUND($L927*S$7,0)))</f>
        <v/>
      </c>
      <c r="I927" s="448">
        <f>IF($L927&gt;T$5,MAX(0,T$3+ROUND((T$9*($L927-T$5)),0)),IF($L927&gt;T$4,T$3,ROUND($L927*T$7,0)))</f>
        <v/>
      </c>
      <c r="J927" s="447">
        <f>IF($L927&gt;U$5,MAX(0,U$3+ROUND((U$9*($L927-U$5)),0)),IF($L927&gt;U$4,U$3,ROUND($L927*U$7,0)))</f>
        <v/>
      </c>
      <c r="K927" s="422" t="n"/>
      <c r="L927" s="448">
        <f>ROUND((A927+B927)/2,2)</f>
        <v/>
      </c>
    </row>
    <row r="928" ht="13.5" customHeight="1" s="7635">
      <c r="A928" s="448" t="n">
        <v>46150</v>
      </c>
      <c r="B928" s="447" t="n">
        <v>46200</v>
      </c>
      <c r="C928" s="1378">
        <f>IF($L928&gt;N$5,MAX(0,N$3+ROUND((N$9*($L928-N$5)),0)),IF($L928&gt;N$4,N$3,ROUND($L928*N$7,0)))</f>
        <v/>
      </c>
      <c r="D928" s="448">
        <f>IF($L928&gt;O$5,MAX(0,O$3+ROUND((O$9*($L928-O$5)),0)),IF($L928&gt;O$4,O$3,ROUND($L928*O$7,0)))</f>
        <v/>
      </c>
      <c r="E928" s="448">
        <f>IF($L928&gt;P$5,MAX(0,P$3+ROUND((P$9*($L928-P$5)),0)),IF($L928&gt;P$4,P$3,ROUND($L928*P$7,0)))</f>
        <v/>
      </c>
      <c r="F928" s="447">
        <f>IF($L928&gt;Q$5,MAX(0,Q$3+ROUND((Q$9*($L928-Q$5)),0)),IF($L928&gt;Q$4,Q$3,ROUND($L928*Q$7,0)))</f>
        <v/>
      </c>
      <c r="G928" s="1378">
        <f>IF($L928&gt;R$5,MAX(0,R$3+ROUND((R$9*($L928-R$5)),0)),IF($L928&gt;R$4,R$3,ROUND($L928*R$7,0)))</f>
        <v/>
      </c>
      <c r="H928" s="448">
        <f>IF($L928&gt;S$5,MAX(0,S$3+ROUND((S$9*($L928-S$5)),0)),IF($L928&gt;S$4,S$3,ROUND($L928*S$7,0)))</f>
        <v/>
      </c>
      <c r="I928" s="448">
        <f>IF($L928&gt;T$5,MAX(0,T$3+ROUND((T$9*($L928-T$5)),0)),IF($L928&gt;T$4,T$3,ROUND($L928*T$7,0)))</f>
        <v/>
      </c>
      <c r="J928" s="447">
        <f>IF($L928&gt;U$5,MAX(0,U$3+ROUND((U$9*($L928-U$5)),0)),IF($L928&gt;U$4,U$3,ROUND($L928*U$7,0)))</f>
        <v/>
      </c>
      <c r="K928" s="422" t="n"/>
      <c r="L928" s="448">
        <f>ROUND((A928+B928)/2,2)</f>
        <v/>
      </c>
    </row>
    <row r="929" ht="13.5" customHeight="1" s="7635">
      <c r="A929" s="448" t="n">
        <v>46200</v>
      </c>
      <c r="B929" s="447" t="n">
        <v>46250</v>
      </c>
      <c r="C929" s="1378">
        <f>IF($L929&gt;N$5,MAX(0,N$3+ROUND((N$9*($L929-N$5)),0)),IF($L929&gt;N$4,N$3,ROUND($L929*N$7,0)))</f>
        <v/>
      </c>
      <c r="D929" s="448">
        <f>IF($L929&gt;O$5,MAX(0,O$3+ROUND((O$9*($L929-O$5)),0)),IF($L929&gt;O$4,O$3,ROUND($L929*O$7,0)))</f>
        <v/>
      </c>
      <c r="E929" s="448">
        <f>IF($L929&gt;P$5,MAX(0,P$3+ROUND((P$9*($L929-P$5)),0)),IF($L929&gt;P$4,P$3,ROUND($L929*P$7,0)))</f>
        <v/>
      </c>
      <c r="F929" s="447">
        <f>IF($L929&gt;Q$5,MAX(0,Q$3+ROUND((Q$9*($L929-Q$5)),0)),IF($L929&gt;Q$4,Q$3,ROUND($L929*Q$7,0)))</f>
        <v/>
      </c>
      <c r="G929" s="1378">
        <f>IF($L929&gt;R$5,MAX(0,R$3+ROUND((R$9*($L929-R$5)),0)),IF($L929&gt;R$4,R$3,ROUND($L929*R$7,0)))</f>
        <v/>
      </c>
      <c r="H929" s="448">
        <f>IF($L929&gt;S$5,MAX(0,S$3+ROUND((S$9*($L929-S$5)),0)),IF($L929&gt;S$4,S$3,ROUND($L929*S$7,0)))</f>
        <v/>
      </c>
      <c r="I929" s="448">
        <f>IF($L929&gt;T$5,MAX(0,T$3+ROUND((T$9*($L929-T$5)),0)),IF($L929&gt;T$4,T$3,ROUND($L929*T$7,0)))</f>
        <v/>
      </c>
      <c r="J929" s="447">
        <f>IF($L929&gt;U$5,MAX(0,U$3+ROUND((U$9*($L929-U$5)),0)),IF($L929&gt;U$4,U$3,ROUND($L929*U$7,0)))</f>
        <v/>
      </c>
      <c r="K929" s="422" t="n"/>
      <c r="L929" s="448">
        <f>ROUND((A929+B929)/2,2)</f>
        <v/>
      </c>
    </row>
    <row r="930" ht="13.5" customHeight="1" s="7635">
      <c r="A930" s="448" t="n">
        <v>46250</v>
      </c>
      <c r="B930" s="447" t="n">
        <v>46300</v>
      </c>
      <c r="C930" s="1378">
        <f>IF($L930&gt;N$5,MAX(0,N$3+ROUND((N$9*($L930-N$5)),0)),IF($L930&gt;N$4,N$3,ROUND($L930*N$7,0)))</f>
        <v/>
      </c>
      <c r="D930" s="448">
        <f>IF($L930&gt;O$5,MAX(0,O$3+ROUND((O$9*($L930-O$5)),0)),IF($L930&gt;O$4,O$3,ROUND($L930*O$7,0)))</f>
        <v/>
      </c>
      <c r="E930" s="448">
        <f>IF($L930&gt;P$5,MAX(0,P$3+ROUND((P$9*($L930-P$5)),0)),IF($L930&gt;P$4,P$3,ROUND($L930*P$7,0)))</f>
        <v/>
      </c>
      <c r="F930" s="447">
        <f>IF($L930&gt;Q$5,MAX(0,Q$3+ROUND((Q$9*($L930-Q$5)),0)),IF($L930&gt;Q$4,Q$3,ROUND($L930*Q$7,0)))</f>
        <v/>
      </c>
      <c r="G930" s="1378">
        <f>IF($L930&gt;R$5,MAX(0,R$3+ROUND((R$9*($L930-R$5)),0)),IF($L930&gt;R$4,R$3,ROUND($L930*R$7,0)))</f>
        <v/>
      </c>
      <c r="H930" s="448">
        <f>IF($L930&gt;S$5,MAX(0,S$3+ROUND((S$9*($L930-S$5)),0)),IF($L930&gt;S$4,S$3,ROUND($L930*S$7,0)))</f>
        <v/>
      </c>
      <c r="I930" s="448">
        <f>IF($L930&gt;T$5,MAX(0,T$3+ROUND((T$9*($L930-T$5)),0)),IF($L930&gt;T$4,T$3,ROUND($L930*T$7,0)))</f>
        <v/>
      </c>
      <c r="J930" s="447">
        <f>IF($L930&gt;U$5,MAX(0,U$3+ROUND((U$9*($L930-U$5)),0)),IF($L930&gt;U$4,U$3,ROUND($L930*U$7,0)))</f>
        <v/>
      </c>
      <c r="K930" s="422" t="n"/>
      <c r="L930" s="448">
        <f>ROUND((A930+B930)/2,2)</f>
        <v/>
      </c>
    </row>
    <row r="931" ht="13.5" customHeight="1" s="7635">
      <c r="A931" s="448" t="n">
        <v>46300</v>
      </c>
      <c r="B931" s="447" t="n">
        <v>46350</v>
      </c>
      <c r="C931" s="1378">
        <f>IF($L931&gt;N$5,MAX(0,N$3+ROUND((N$9*($L931-N$5)),0)),IF($L931&gt;N$4,N$3,ROUND($L931*N$7,0)))</f>
        <v/>
      </c>
      <c r="D931" s="448">
        <f>IF($L931&gt;O$5,MAX(0,O$3+ROUND((O$9*($L931-O$5)),0)),IF($L931&gt;O$4,O$3,ROUND($L931*O$7,0)))</f>
        <v/>
      </c>
      <c r="E931" s="448">
        <f>IF($L931&gt;P$5,MAX(0,P$3+ROUND((P$9*($L931-P$5)),0)),IF($L931&gt;P$4,P$3,ROUND($L931*P$7,0)))</f>
        <v/>
      </c>
      <c r="F931" s="447">
        <f>IF($L931&gt;Q$5,MAX(0,Q$3+ROUND((Q$9*($L931-Q$5)),0)),IF($L931&gt;Q$4,Q$3,ROUND($L931*Q$7,0)))</f>
        <v/>
      </c>
      <c r="G931" s="1378">
        <f>IF($L931&gt;R$5,MAX(0,R$3+ROUND((R$9*($L931-R$5)),0)),IF($L931&gt;R$4,R$3,ROUND($L931*R$7,0)))</f>
        <v/>
      </c>
      <c r="H931" s="448">
        <f>IF($L931&gt;S$5,MAX(0,S$3+ROUND((S$9*($L931-S$5)),0)),IF($L931&gt;S$4,S$3,ROUND($L931*S$7,0)))</f>
        <v/>
      </c>
      <c r="I931" s="448">
        <f>IF($L931&gt;T$5,MAX(0,T$3+ROUND((T$9*($L931-T$5)),0)),IF($L931&gt;T$4,T$3,ROUND($L931*T$7,0)))</f>
        <v/>
      </c>
      <c r="J931" s="447">
        <f>IF($L931&gt;U$5,MAX(0,U$3+ROUND((U$9*($L931-U$5)),0)),IF($L931&gt;U$4,U$3,ROUND($L931*U$7,0)))</f>
        <v/>
      </c>
      <c r="K931" s="422" t="n"/>
      <c r="L931" s="448">
        <f>ROUND((A931+B931)/2,2)</f>
        <v/>
      </c>
    </row>
    <row r="932" ht="13.5" customHeight="1" s="7635">
      <c r="A932" s="448" t="n">
        <v>46350</v>
      </c>
      <c r="B932" s="447" t="n">
        <v>46400</v>
      </c>
      <c r="C932" s="1378">
        <f>IF($L932&gt;N$5,MAX(0,N$3+ROUND((N$9*($L932-N$5)),0)),IF($L932&gt;N$4,N$3,ROUND($L932*N$7,0)))</f>
        <v/>
      </c>
      <c r="D932" s="448">
        <f>IF($L932&gt;O$5,MAX(0,O$3+ROUND((O$9*($L932-O$5)),0)),IF($L932&gt;O$4,O$3,ROUND($L932*O$7,0)))</f>
        <v/>
      </c>
      <c r="E932" s="448">
        <f>IF($L932&gt;P$5,MAX(0,P$3+ROUND((P$9*($L932-P$5)),0)),IF($L932&gt;P$4,P$3,ROUND($L932*P$7,0)))</f>
        <v/>
      </c>
      <c r="F932" s="447">
        <f>IF($L932&gt;Q$5,MAX(0,Q$3+ROUND((Q$9*($L932-Q$5)),0)),IF($L932&gt;Q$4,Q$3,ROUND($L932*Q$7,0)))</f>
        <v/>
      </c>
      <c r="G932" s="1378">
        <f>IF($L932&gt;R$5,MAX(0,R$3+ROUND((R$9*($L932-R$5)),0)),IF($L932&gt;R$4,R$3,ROUND($L932*R$7,0)))</f>
        <v/>
      </c>
      <c r="H932" s="448">
        <f>IF($L932&gt;S$5,MAX(0,S$3+ROUND((S$9*($L932-S$5)),0)),IF($L932&gt;S$4,S$3,ROUND($L932*S$7,0)))</f>
        <v/>
      </c>
      <c r="I932" s="448">
        <f>IF($L932&gt;T$5,MAX(0,T$3+ROUND((T$9*($L932-T$5)),0)),IF($L932&gt;T$4,T$3,ROUND($L932*T$7,0)))</f>
        <v/>
      </c>
      <c r="J932" s="447">
        <f>IF($L932&gt;U$5,MAX(0,U$3+ROUND((U$9*($L932-U$5)),0)),IF($L932&gt;U$4,U$3,ROUND($L932*U$7,0)))</f>
        <v/>
      </c>
      <c r="K932" s="422" t="n"/>
      <c r="L932" s="448">
        <f>ROUND((A932+B932)/2,2)</f>
        <v/>
      </c>
    </row>
    <row r="933" ht="13.5" customHeight="1" s="7635">
      <c r="A933" s="448" t="n">
        <v>46400</v>
      </c>
      <c r="B933" s="447" t="n">
        <v>46450</v>
      </c>
      <c r="C933" s="1378">
        <f>IF($L933&gt;N$5,MAX(0,N$3+ROUND((N$9*($L933-N$5)),0)),IF($L933&gt;N$4,N$3,ROUND($L933*N$7,0)))</f>
        <v/>
      </c>
      <c r="D933" s="448">
        <f>IF($L933&gt;O$5,MAX(0,O$3+ROUND((O$9*($L933-O$5)),0)),IF($L933&gt;O$4,O$3,ROUND($L933*O$7,0)))</f>
        <v/>
      </c>
      <c r="E933" s="448">
        <f>IF($L933&gt;P$5,MAX(0,P$3+ROUND((P$9*($L933-P$5)),0)),IF($L933&gt;P$4,P$3,ROUND($L933*P$7,0)))</f>
        <v/>
      </c>
      <c r="F933" s="447">
        <f>IF($L933&gt;Q$5,MAX(0,Q$3+ROUND((Q$9*($L933-Q$5)),0)),IF($L933&gt;Q$4,Q$3,ROUND($L933*Q$7,0)))</f>
        <v/>
      </c>
      <c r="G933" s="1378">
        <f>IF($L933&gt;R$5,MAX(0,R$3+ROUND((R$9*($L933-R$5)),0)),IF($L933&gt;R$4,R$3,ROUND($L933*R$7,0)))</f>
        <v/>
      </c>
      <c r="H933" s="448">
        <f>IF($L933&gt;S$5,MAX(0,S$3+ROUND((S$9*($L933-S$5)),0)),IF($L933&gt;S$4,S$3,ROUND($L933*S$7,0)))</f>
        <v/>
      </c>
      <c r="I933" s="448">
        <f>IF($L933&gt;T$5,MAX(0,T$3+ROUND((T$9*($L933-T$5)),0)),IF($L933&gt;T$4,T$3,ROUND($L933*T$7,0)))</f>
        <v/>
      </c>
      <c r="J933" s="447">
        <f>IF($L933&gt;U$5,MAX(0,U$3+ROUND((U$9*($L933-U$5)),0)),IF($L933&gt;U$4,U$3,ROUND($L933*U$7,0)))</f>
        <v/>
      </c>
      <c r="K933" s="422" t="n"/>
      <c r="L933" s="448">
        <f>ROUND((A933+B933)/2,2)</f>
        <v/>
      </c>
    </row>
    <row r="934" ht="13.5" customHeight="1" s="7635">
      <c r="A934" s="448" t="n">
        <v>46450</v>
      </c>
      <c r="B934" s="447" t="n">
        <v>46500</v>
      </c>
      <c r="C934" s="1378">
        <f>IF($L934&gt;N$5,MAX(0,N$3+ROUND((N$9*($L934-N$5)),0)),IF($L934&gt;N$4,N$3,ROUND($L934*N$7,0)))</f>
        <v/>
      </c>
      <c r="D934" s="448">
        <f>IF($L934&gt;O$5,MAX(0,O$3+ROUND((O$9*($L934-O$5)),0)),IF($L934&gt;O$4,O$3,ROUND($L934*O$7,0)))</f>
        <v/>
      </c>
      <c r="E934" s="448">
        <f>IF($L934&gt;P$5,MAX(0,P$3+ROUND((P$9*($L934-P$5)),0)),IF($L934&gt;P$4,P$3,ROUND($L934*P$7,0)))</f>
        <v/>
      </c>
      <c r="F934" s="447">
        <f>IF($L934&gt;Q$5,MAX(0,Q$3+ROUND((Q$9*($L934-Q$5)),0)),IF($L934&gt;Q$4,Q$3,ROUND($L934*Q$7,0)))</f>
        <v/>
      </c>
      <c r="G934" s="1378">
        <f>IF($L934&gt;R$5,MAX(0,R$3+ROUND((R$9*($L934-R$5)),0)),IF($L934&gt;R$4,R$3,ROUND($L934*R$7,0)))</f>
        <v/>
      </c>
      <c r="H934" s="448">
        <f>IF($L934&gt;S$5,MAX(0,S$3+ROUND((S$9*($L934-S$5)),0)),IF($L934&gt;S$4,S$3,ROUND($L934*S$7,0)))</f>
        <v/>
      </c>
      <c r="I934" s="448">
        <f>IF($L934&gt;T$5,MAX(0,T$3+ROUND((T$9*($L934-T$5)),0)),IF($L934&gt;T$4,T$3,ROUND($L934*T$7,0)))</f>
        <v/>
      </c>
      <c r="J934" s="447">
        <f>IF($L934&gt;U$5,MAX(0,U$3+ROUND((U$9*($L934-U$5)),0)),IF($L934&gt;U$4,U$3,ROUND($L934*U$7,0)))</f>
        <v/>
      </c>
      <c r="K934" s="422" t="n"/>
      <c r="L934" s="448">
        <f>ROUND((A934+B934)/2,2)</f>
        <v/>
      </c>
    </row>
    <row r="935" ht="13.5" customHeight="1" s="7635">
      <c r="A935" s="448" t="n">
        <v>46500</v>
      </c>
      <c r="B935" s="447" t="n">
        <v>46550</v>
      </c>
      <c r="C935" s="1378">
        <f>IF($L935&gt;N$5,MAX(0,N$3+ROUND((N$9*($L935-N$5)),0)),IF($L935&gt;N$4,N$3,ROUND($L935*N$7,0)))</f>
        <v/>
      </c>
      <c r="D935" s="448">
        <f>IF($L935&gt;O$5,MAX(0,O$3+ROUND((O$9*($L935-O$5)),0)),IF($L935&gt;O$4,O$3,ROUND($L935*O$7,0)))</f>
        <v/>
      </c>
      <c r="E935" s="448">
        <f>IF($L935&gt;P$5,MAX(0,P$3+ROUND((P$9*($L935-P$5)),0)),IF($L935&gt;P$4,P$3,ROUND($L935*P$7,0)))</f>
        <v/>
      </c>
      <c r="F935" s="447">
        <f>IF($L935&gt;Q$5,MAX(0,Q$3+ROUND((Q$9*($L935-Q$5)),0)),IF($L935&gt;Q$4,Q$3,ROUND($L935*Q$7,0)))</f>
        <v/>
      </c>
      <c r="G935" s="1378">
        <f>IF($L935&gt;R$5,MAX(0,R$3+ROUND((R$9*($L935-R$5)),0)),IF($L935&gt;R$4,R$3,ROUND($L935*R$7,0)))</f>
        <v/>
      </c>
      <c r="H935" s="448">
        <f>IF($L935&gt;S$5,MAX(0,S$3+ROUND((S$9*($L935-S$5)),0)),IF($L935&gt;S$4,S$3,ROUND($L935*S$7,0)))</f>
        <v/>
      </c>
      <c r="I935" s="448">
        <f>IF($L935&gt;T$5,MAX(0,T$3+ROUND((T$9*($L935-T$5)),0)),IF($L935&gt;T$4,T$3,ROUND($L935*T$7,0)))</f>
        <v/>
      </c>
      <c r="J935" s="447">
        <f>IF($L935&gt;U$5,MAX(0,U$3+ROUND((U$9*($L935-U$5)),0)),IF($L935&gt;U$4,U$3,ROUND($L935*U$7,0)))</f>
        <v/>
      </c>
      <c r="K935" s="422" t="n"/>
      <c r="L935" s="448">
        <f>ROUND((A935+B935)/2,2)</f>
        <v/>
      </c>
    </row>
    <row r="936" ht="13.5" customHeight="1" s="7635">
      <c r="A936" s="448" t="n">
        <v>46550</v>
      </c>
      <c r="B936" s="447" t="n">
        <v>46600</v>
      </c>
      <c r="C936" s="1378">
        <f>IF($L936&gt;N$5,MAX(0,N$3+ROUND((N$9*($L936-N$5)),0)),IF($L936&gt;N$4,N$3,ROUND($L936*N$7,0)))</f>
        <v/>
      </c>
      <c r="D936" s="448">
        <f>IF($L936&gt;O$5,MAX(0,O$3+ROUND((O$9*($L936-O$5)),0)),IF($L936&gt;O$4,O$3,ROUND($L936*O$7,0)))</f>
        <v/>
      </c>
      <c r="E936" s="448">
        <f>IF($L936&gt;P$5,MAX(0,P$3+ROUND((P$9*($L936-P$5)),0)),IF($L936&gt;P$4,P$3,ROUND($L936*P$7,0)))</f>
        <v/>
      </c>
      <c r="F936" s="447">
        <f>IF($L936&gt;Q$5,MAX(0,Q$3+ROUND((Q$9*($L936-Q$5)),0)),IF($L936&gt;Q$4,Q$3,ROUND($L936*Q$7,0)))</f>
        <v/>
      </c>
      <c r="G936" s="1378">
        <f>IF($L936&gt;R$5,MAX(0,R$3+ROUND((R$9*($L936-R$5)),0)),IF($L936&gt;R$4,R$3,ROUND($L936*R$7,0)))</f>
        <v/>
      </c>
      <c r="H936" s="448">
        <f>IF($L936&gt;S$5,MAX(0,S$3+ROUND((S$9*($L936-S$5)),0)),IF($L936&gt;S$4,S$3,ROUND($L936*S$7,0)))</f>
        <v/>
      </c>
      <c r="I936" s="448">
        <f>IF($L936&gt;T$5,MAX(0,T$3+ROUND((T$9*($L936-T$5)),0)),IF($L936&gt;T$4,T$3,ROUND($L936*T$7,0)))</f>
        <v/>
      </c>
      <c r="J936" s="447">
        <f>IF($L936&gt;U$5,MAX(0,U$3+ROUND((U$9*($L936-U$5)),0)),IF($L936&gt;U$4,U$3,ROUND($L936*U$7,0)))</f>
        <v/>
      </c>
      <c r="K936" s="422" t="n"/>
      <c r="L936" s="448">
        <f>ROUND((A936+B936)/2,2)</f>
        <v/>
      </c>
    </row>
    <row r="937" ht="13.5" customFormat="1" customHeight="1" s="1525">
      <c r="A937" s="448" t="n">
        <v>46600</v>
      </c>
      <c r="B937" s="447" t="n">
        <v>46650</v>
      </c>
      <c r="C937" s="1378">
        <f>IF($L937&gt;N$5,MAX(0,N$3+ROUND((N$9*($L937-N$5)),0)),IF($L937&gt;N$4,N$3,ROUND($L937*N$7,0)))</f>
        <v/>
      </c>
      <c r="D937" s="448">
        <f>IF($L937&gt;O$5,MAX(0,O$3+ROUND((O$9*($L937-O$5)),0)),IF($L937&gt;O$4,O$3,ROUND($L937*O$7,0)))</f>
        <v/>
      </c>
      <c r="E937" s="448">
        <f>IF($L937&gt;P$5,MAX(0,P$3+ROUND((P$9*($L937-P$5)),0)),IF($L937&gt;P$4,P$3,ROUND($L937*P$7,0)))</f>
        <v/>
      </c>
      <c r="F937" s="447">
        <f>IF($L937&gt;Q$5,MAX(0,Q$3+ROUND((Q$9*($L937-Q$5)),0)),IF($L937&gt;Q$4,Q$3,ROUND($L937*Q$7,0)))</f>
        <v/>
      </c>
      <c r="G937" s="1378">
        <f>IF($L937&gt;R$5,MAX(0,R$3+ROUND((R$9*($L937-R$5)),0)),IF($L937&gt;R$4,R$3,ROUND($L937*R$7,0)))</f>
        <v/>
      </c>
      <c r="H937" s="448">
        <f>IF($L937&gt;S$5,MAX(0,S$3+ROUND((S$9*($L937-S$5)),0)),IF($L937&gt;S$4,S$3,ROUND($L937*S$7,0)))</f>
        <v/>
      </c>
      <c r="I937" s="448">
        <f>IF($L937&gt;T$5,MAX(0,T$3+ROUND((T$9*($L937-T$5)),0)),IF($L937&gt;T$4,T$3,ROUND($L937*T$7,0)))</f>
        <v/>
      </c>
      <c r="J937" s="447">
        <f>IF($L937&gt;U$5,MAX(0,U$3+ROUND((U$9*($L937-U$5)),0)),IF($L937&gt;U$4,U$3,ROUND($L937*U$7,0)))</f>
        <v/>
      </c>
      <c r="K937" s="422" t="n"/>
      <c r="L937" s="448">
        <f>ROUND((A937+B937)/2,2)</f>
        <v/>
      </c>
      <c r="M937" s="422" t="n"/>
    </row>
    <row r="938" ht="13.5" customFormat="1" customHeight="1" s="1525">
      <c r="A938" s="448" t="n">
        <v>46650</v>
      </c>
      <c r="B938" s="447" t="n">
        <v>46700</v>
      </c>
      <c r="C938" s="1378">
        <f>IF($L938&gt;N$5,MAX(0,N$3+ROUND((N$9*($L938-N$5)),0)),IF($L938&gt;N$4,N$3,ROUND($L938*N$7,0)))</f>
        <v/>
      </c>
      <c r="D938" s="448">
        <f>IF($L938&gt;O$5,MAX(0,O$3+ROUND((O$9*($L938-O$5)),0)),IF($L938&gt;O$4,O$3,ROUND($L938*O$7,0)))</f>
        <v/>
      </c>
      <c r="E938" s="448">
        <f>IF($L938&gt;P$5,MAX(0,P$3+ROUND((P$9*($L938-P$5)),0)),IF($L938&gt;P$4,P$3,ROUND($L938*P$7,0)))</f>
        <v/>
      </c>
      <c r="F938" s="447">
        <f>IF($L938&gt;Q$5,MAX(0,Q$3+ROUND((Q$9*($L938-Q$5)),0)),IF($L938&gt;Q$4,Q$3,ROUND($L938*Q$7,0)))</f>
        <v/>
      </c>
      <c r="G938" s="1378">
        <f>IF($L938&gt;R$5,MAX(0,R$3+ROUND((R$9*($L938-R$5)),0)),IF($L938&gt;R$4,R$3,ROUND($L938*R$7,0)))</f>
        <v/>
      </c>
      <c r="H938" s="448">
        <f>IF($L938&gt;S$5,MAX(0,S$3+ROUND((S$9*($L938-S$5)),0)),IF($L938&gt;S$4,S$3,ROUND($L938*S$7,0)))</f>
        <v/>
      </c>
      <c r="I938" s="448">
        <f>IF($L938&gt;T$5,MAX(0,T$3+ROUND((T$9*($L938-T$5)),0)),IF($L938&gt;T$4,T$3,ROUND($L938*T$7,0)))</f>
        <v/>
      </c>
      <c r="J938" s="447">
        <f>IF($L938&gt;U$5,MAX(0,U$3+ROUND((U$9*($L938-U$5)),0)),IF($L938&gt;U$4,U$3,ROUND($L938*U$7,0)))</f>
        <v/>
      </c>
      <c r="K938" s="422" t="n"/>
      <c r="L938" s="448">
        <f>ROUND((A938+B938)/2,2)</f>
        <v/>
      </c>
      <c r="M938" s="422" t="n"/>
    </row>
    <row r="939" ht="13.5" customHeight="1" s="7635">
      <c r="A939" s="448" t="n">
        <v>46700</v>
      </c>
      <c r="B939" s="447" t="n">
        <v>46750</v>
      </c>
      <c r="C939" s="1378">
        <f>IF($L939&gt;N$5,MAX(0,N$3+ROUND((N$9*($L939-N$5)),0)),IF($L939&gt;N$4,N$3,ROUND($L939*N$7,0)))</f>
        <v/>
      </c>
      <c r="D939" s="448">
        <f>IF($L939&gt;O$5,MAX(0,O$3+ROUND((O$9*($L939-O$5)),0)),IF($L939&gt;O$4,O$3,ROUND($L939*O$7,0)))</f>
        <v/>
      </c>
      <c r="E939" s="448">
        <f>IF($L939&gt;P$5,MAX(0,P$3+ROUND((P$9*($L939-P$5)),0)),IF($L939&gt;P$4,P$3,ROUND($L939*P$7,0)))</f>
        <v/>
      </c>
      <c r="F939" s="447">
        <f>IF($L939&gt;Q$5,MAX(0,Q$3+ROUND((Q$9*($L939-Q$5)),0)),IF($L939&gt;Q$4,Q$3,ROUND($L939*Q$7,0)))</f>
        <v/>
      </c>
      <c r="G939" s="1378">
        <f>IF($L939&gt;R$5,MAX(0,R$3+ROUND((R$9*($L939-R$5)),0)),IF($L939&gt;R$4,R$3,ROUND($L939*R$7,0)))</f>
        <v/>
      </c>
      <c r="H939" s="448">
        <f>IF($L939&gt;S$5,MAX(0,S$3+ROUND((S$9*($L939-S$5)),0)),IF($L939&gt;S$4,S$3,ROUND($L939*S$7,0)))</f>
        <v/>
      </c>
      <c r="I939" s="448">
        <f>IF($L939&gt;T$5,MAX(0,T$3+ROUND((T$9*($L939-T$5)),0)),IF($L939&gt;T$4,T$3,ROUND($L939*T$7,0)))</f>
        <v/>
      </c>
      <c r="J939" s="447">
        <f>IF($L939&gt;U$5,MAX(0,U$3+ROUND((U$9*($L939-U$5)),0)),IF($L939&gt;U$4,U$3,ROUND($L939*U$7,0)))</f>
        <v/>
      </c>
      <c r="K939" s="422" t="n"/>
      <c r="L939" s="448">
        <f>ROUND((A939+B939)/2,2)</f>
        <v/>
      </c>
    </row>
    <row r="940" ht="13.5" customHeight="1" s="7635">
      <c r="A940" s="448" t="n">
        <v>46750</v>
      </c>
      <c r="B940" s="447" t="n">
        <v>46800</v>
      </c>
      <c r="C940" s="1378">
        <f>IF($L940&gt;N$5,MAX(0,N$3+ROUND((N$9*($L940-N$5)),0)),IF($L940&gt;N$4,N$3,ROUND($L940*N$7,0)))</f>
        <v/>
      </c>
      <c r="D940" s="448">
        <f>IF($L940&gt;O$5,MAX(0,O$3+ROUND((O$9*($L940-O$5)),0)),IF($L940&gt;O$4,O$3,ROUND($L940*O$7,0)))</f>
        <v/>
      </c>
      <c r="E940" s="448">
        <f>IF($L940&gt;P$5,MAX(0,P$3+ROUND((P$9*($L940-P$5)),0)),IF($L940&gt;P$4,P$3,ROUND($L940*P$7,0)))</f>
        <v/>
      </c>
      <c r="F940" s="447">
        <f>IF($L940&gt;Q$5,MAX(0,Q$3+ROUND((Q$9*($L940-Q$5)),0)),IF($L940&gt;Q$4,Q$3,ROUND($L940*Q$7,0)))</f>
        <v/>
      </c>
      <c r="G940" s="1378">
        <f>IF($L940&gt;R$5,MAX(0,R$3+ROUND((R$9*($L940-R$5)),0)),IF($L940&gt;R$4,R$3,ROUND($L940*R$7,0)))</f>
        <v/>
      </c>
      <c r="H940" s="448">
        <f>IF($L940&gt;S$5,MAX(0,S$3+ROUND((S$9*($L940-S$5)),0)),IF($L940&gt;S$4,S$3,ROUND($L940*S$7,0)))</f>
        <v/>
      </c>
      <c r="I940" s="448">
        <f>IF($L940&gt;T$5,MAX(0,T$3+ROUND((T$9*($L940-T$5)),0)),IF($L940&gt;T$4,T$3,ROUND($L940*T$7,0)))</f>
        <v/>
      </c>
      <c r="J940" s="447">
        <f>IF($L940&gt;U$5,MAX(0,U$3+ROUND((U$9*($L940-U$5)),0)),IF($L940&gt;U$4,U$3,ROUND($L940*U$7,0)))</f>
        <v/>
      </c>
      <c r="K940" s="422" t="n"/>
      <c r="L940" s="448">
        <f>ROUND((A940+B940)/2,2)</f>
        <v/>
      </c>
    </row>
    <row r="941" ht="13.5" customHeight="1" s="7635">
      <c r="A941" s="448" t="n">
        <v>46800</v>
      </c>
      <c r="B941" s="447" t="n">
        <v>46850</v>
      </c>
      <c r="C941" s="1378">
        <f>IF($L941&gt;N$5,MAX(0,N$3+ROUND((N$9*($L941-N$5)),0)),IF($L941&gt;N$4,N$3,ROUND($L941*N$7,0)))</f>
        <v/>
      </c>
      <c r="D941" s="448">
        <f>IF($L941&gt;O$5,MAX(0,O$3+ROUND((O$9*($L941-O$5)),0)),IF($L941&gt;O$4,O$3,ROUND($L941*O$7,0)))</f>
        <v/>
      </c>
      <c r="E941" s="448">
        <f>IF($L941&gt;P$5,MAX(0,P$3+ROUND((P$9*($L941-P$5)),0)),IF($L941&gt;P$4,P$3,ROUND($L941*P$7,0)))</f>
        <v/>
      </c>
      <c r="F941" s="447">
        <f>IF($L941&gt;Q$5,MAX(0,Q$3+ROUND((Q$9*($L941-Q$5)),0)),IF($L941&gt;Q$4,Q$3,ROUND($L941*Q$7,0)))</f>
        <v/>
      </c>
      <c r="G941" s="1378">
        <f>IF($L941&gt;R$5,MAX(0,R$3+ROUND((R$9*($L941-R$5)),0)),IF($L941&gt;R$4,R$3,ROUND($L941*R$7,0)))</f>
        <v/>
      </c>
      <c r="H941" s="448">
        <f>IF($L941&gt;S$5,MAX(0,S$3+ROUND((S$9*($L941-S$5)),0)),IF($L941&gt;S$4,S$3,ROUND($L941*S$7,0)))</f>
        <v/>
      </c>
      <c r="I941" s="448">
        <f>IF($L941&gt;T$5,MAX(0,T$3+ROUND((T$9*($L941-T$5)),0)),IF($L941&gt;T$4,T$3,ROUND($L941*T$7,0)))</f>
        <v/>
      </c>
      <c r="J941" s="447">
        <f>IF($L941&gt;U$5,MAX(0,U$3+ROUND((U$9*($L941-U$5)),0)),IF($L941&gt;U$4,U$3,ROUND($L941*U$7,0)))</f>
        <v/>
      </c>
      <c r="K941" s="422" t="n"/>
      <c r="L941" s="448">
        <f>ROUND((A941+B941)/2,2)</f>
        <v/>
      </c>
    </row>
    <row r="942" ht="13.5" customHeight="1" s="7635">
      <c r="A942" s="448" t="n">
        <v>46850</v>
      </c>
      <c r="B942" s="447" t="n">
        <v>46900</v>
      </c>
      <c r="C942" s="1378">
        <f>IF($L942&gt;N$5,MAX(0,N$3+ROUND((N$9*($L942-N$5)),0)),IF($L942&gt;N$4,N$3,ROUND($L942*N$7,0)))</f>
        <v/>
      </c>
      <c r="D942" s="448">
        <f>IF($L942&gt;O$5,MAX(0,O$3+ROUND((O$9*($L942-O$5)),0)),IF($L942&gt;O$4,O$3,ROUND($L942*O$7,0)))</f>
        <v/>
      </c>
      <c r="E942" s="448">
        <f>IF($L942&gt;P$5,MAX(0,P$3+ROUND((P$9*($L942-P$5)),0)),IF($L942&gt;P$4,P$3,ROUND($L942*P$7,0)))</f>
        <v/>
      </c>
      <c r="F942" s="447">
        <f>IF($L942&gt;Q$5,MAX(0,Q$3+ROUND((Q$9*($L942-Q$5)),0)),IF($L942&gt;Q$4,Q$3,ROUND($L942*Q$7,0)))</f>
        <v/>
      </c>
      <c r="G942" s="1378">
        <f>IF($L942&gt;R$5,MAX(0,R$3+ROUND((R$9*($L942-R$5)),0)),IF($L942&gt;R$4,R$3,ROUND($L942*R$7,0)))</f>
        <v/>
      </c>
      <c r="H942" s="448">
        <f>IF($L942&gt;S$5,MAX(0,S$3+ROUND((S$9*($L942-S$5)),0)),IF($L942&gt;S$4,S$3,ROUND($L942*S$7,0)))</f>
        <v/>
      </c>
      <c r="I942" s="448">
        <f>IF($L942&gt;T$5,MAX(0,T$3+ROUND((T$9*($L942-T$5)),0)),IF($L942&gt;T$4,T$3,ROUND($L942*T$7,0)))</f>
        <v/>
      </c>
      <c r="J942" s="447">
        <f>IF($L942&gt;U$5,MAX(0,U$3+ROUND((U$9*($L942-U$5)),0)),IF($L942&gt;U$4,U$3,ROUND($L942*U$7,0)))</f>
        <v/>
      </c>
      <c r="K942" s="422" t="n"/>
      <c r="L942" s="448">
        <f>ROUND((A942+B942)/2,2)</f>
        <v/>
      </c>
    </row>
    <row r="943" ht="13.5" customHeight="1" s="7635">
      <c r="A943" s="448" t="n">
        <v>46900</v>
      </c>
      <c r="B943" s="447" t="n">
        <v>46950</v>
      </c>
      <c r="C943" s="1378">
        <f>IF($L943&gt;N$5,MAX(0,N$3+ROUND((N$9*($L943-N$5)),0)),IF($L943&gt;N$4,N$3,ROUND($L943*N$7,0)))</f>
        <v/>
      </c>
      <c r="D943" s="448">
        <f>IF($L943&gt;O$5,MAX(0,O$3+ROUND((O$9*($L943-O$5)),0)),IF($L943&gt;O$4,O$3,ROUND($L943*O$7,0)))</f>
        <v/>
      </c>
      <c r="E943" s="448">
        <f>IF($L943&gt;P$5,MAX(0,P$3+ROUND((P$9*($L943-P$5)),0)),IF($L943&gt;P$4,P$3,ROUND($L943*P$7,0)))</f>
        <v/>
      </c>
      <c r="F943" s="447">
        <f>IF($L943&gt;Q$5,MAX(0,Q$3+ROUND((Q$9*($L943-Q$5)),0)),IF($L943&gt;Q$4,Q$3,ROUND($L943*Q$7,0)))</f>
        <v/>
      </c>
      <c r="G943" s="1378">
        <f>IF($L943&gt;R$5,MAX(0,R$3+ROUND((R$9*($L943-R$5)),0)),IF($L943&gt;R$4,R$3,ROUND($L943*R$7,0)))</f>
        <v/>
      </c>
      <c r="H943" s="448">
        <f>IF($L943&gt;S$5,MAX(0,S$3+ROUND((S$9*($L943-S$5)),0)),IF($L943&gt;S$4,S$3,ROUND($L943*S$7,0)))</f>
        <v/>
      </c>
      <c r="I943" s="448">
        <f>IF($L943&gt;T$5,MAX(0,T$3+ROUND((T$9*($L943-T$5)),0)),IF($L943&gt;T$4,T$3,ROUND($L943*T$7,0)))</f>
        <v/>
      </c>
      <c r="J943" s="447">
        <f>IF($L943&gt;U$5,MAX(0,U$3+ROUND((U$9*($L943-U$5)),0)),IF($L943&gt;U$4,U$3,ROUND($L943*U$7,0)))</f>
        <v/>
      </c>
      <c r="K943" s="422" t="n"/>
      <c r="L943" s="448">
        <f>ROUND((A943+B943)/2,2)</f>
        <v/>
      </c>
    </row>
    <row r="944" ht="13.5" customHeight="1" s="7635">
      <c r="A944" s="448" t="n">
        <v>46950</v>
      </c>
      <c r="B944" s="447" t="n">
        <v>47000</v>
      </c>
      <c r="C944" s="1378">
        <f>IF($L944&gt;N$5,MAX(0,N$3+ROUND((N$9*($L944-N$5)),0)),IF($L944&gt;N$4,N$3,ROUND($L944*N$7,0)))</f>
        <v/>
      </c>
      <c r="D944" s="448">
        <f>IF($L944&gt;O$5,MAX(0,O$3+ROUND((O$9*($L944-O$5)),0)),IF($L944&gt;O$4,O$3,ROUND($L944*O$7,0)))</f>
        <v/>
      </c>
      <c r="E944" s="448">
        <f>IF($L944&gt;P$5,MAX(0,P$3+ROUND((P$9*($L944-P$5)),0)),IF($L944&gt;P$4,P$3,ROUND($L944*P$7,0)))</f>
        <v/>
      </c>
      <c r="F944" s="447">
        <f>IF($L944&gt;Q$5,MAX(0,Q$3+ROUND((Q$9*($L944-Q$5)),0)),IF($L944&gt;Q$4,Q$3,ROUND($L944*Q$7,0)))</f>
        <v/>
      </c>
      <c r="G944" s="1378">
        <f>IF($L944&gt;R$5,MAX(0,R$3+ROUND((R$9*($L944-R$5)),0)),IF($L944&gt;R$4,R$3,ROUND($L944*R$7,0)))</f>
        <v/>
      </c>
      <c r="H944" s="448">
        <f>IF($L944&gt;S$5,MAX(0,S$3+ROUND((S$9*($L944-S$5)),0)),IF($L944&gt;S$4,S$3,ROUND($L944*S$7,0)))</f>
        <v/>
      </c>
      <c r="I944" s="448">
        <f>IF($L944&gt;T$5,MAX(0,T$3+ROUND((T$9*($L944-T$5)),0)),IF($L944&gt;T$4,T$3,ROUND($L944*T$7,0)))</f>
        <v/>
      </c>
      <c r="J944" s="447">
        <f>IF($L944&gt;U$5,MAX(0,U$3+ROUND((U$9*($L944-U$5)),0)),IF($L944&gt;U$4,U$3,ROUND($L944*U$7,0)))</f>
        <v/>
      </c>
      <c r="K944" s="422" t="n"/>
      <c r="L944" s="448">
        <f>ROUND((A944+B944)/2,2)</f>
        <v/>
      </c>
    </row>
    <row r="945" ht="13.5" customHeight="1" s="7635">
      <c r="A945" s="448" t="n">
        <v>47000</v>
      </c>
      <c r="B945" s="447" t="n">
        <v>47050</v>
      </c>
      <c r="C945" s="1378">
        <f>IF($L945&gt;N$5,MAX(0,N$3+ROUND((N$9*($L945-N$5)),0)),IF($L945&gt;N$4,N$3,ROUND($L945*N$7,0)))</f>
        <v/>
      </c>
      <c r="D945" s="448">
        <f>IF($L945&gt;O$5,MAX(0,O$3+ROUND((O$9*($L945-O$5)),0)),IF($L945&gt;O$4,O$3,ROUND($L945*O$7,0)))</f>
        <v/>
      </c>
      <c r="E945" s="448">
        <f>IF($L945&gt;P$5,MAX(0,P$3+ROUND((P$9*($L945-P$5)),0)),IF($L945&gt;P$4,P$3,ROUND($L945*P$7,0)))</f>
        <v/>
      </c>
      <c r="F945" s="447">
        <f>IF($L945&gt;Q$5,MAX(0,Q$3+ROUND((Q$9*($L945-Q$5)),0)),IF($L945&gt;Q$4,Q$3,ROUND($L945*Q$7,0)))</f>
        <v/>
      </c>
      <c r="G945" s="1378">
        <f>IF($L945&gt;R$5,MAX(0,R$3+ROUND((R$9*($L945-R$5)),0)),IF($L945&gt;R$4,R$3,ROUND($L945*R$7,0)))</f>
        <v/>
      </c>
      <c r="H945" s="448">
        <f>IF($L945&gt;S$5,MAX(0,S$3+ROUND((S$9*($L945-S$5)),0)),IF($L945&gt;S$4,S$3,ROUND($L945*S$7,0)))</f>
        <v/>
      </c>
      <c r="I945" s="448">
        <f>IF($L945&gt;T$5,MAX(0,T$3+ROUND((T$9*($L945-T$5)),0)),IF($L945&gt;T$4,T$3,ROUND($L945*T$7,0)))</f>
        <v/>
      </c>
      <c r="J945" s="447">
        <f>IF($L945&gt;U$5,MAX(0,U$3+ROUND((U$9*($L945-U$5)),0)),IF($L945&gt;U$4,U$3,ROUND($L945*U$7,0)))</f>
        <v/>
      </c>
      <c r="K945" s="422" t="n"/>
      <c r="L945" s="448">
        <f>ROUND((A945+B945)/2,2)</f>
        <v/>
      </c>
    </row>
    <row r="946" ht="13.5" customHeight="1" s="7635">
      <c r="A946" s="448" t="n">
        <v>47050</v>
      </c>
      <c r="B946" s="447" t="n">
        <v>47100</v>
      </c>
      <c r="C946" s="1378">
        <f>IF($L946&gt;N$5,MAX(0,N$3+ROUND((N$9*($L946-N$5)),0)),IF($L946&gt;N$4,N$3,ROUND($L946*N$7,0)))</f>
        <v/>
      </c>
      <c r="D946" s="448">
        <f>IF($L946&gt;O$5,MAX(0,O$3+ROUND((O$9*($L946-O$5)),0)),IF($L946&gt;O$4,O$3,ROUND($L946*O$7,0)))</f>
        <v/>
      </c>
      <c r="E946" s="448">
        <f>IF($L946&gt;P$5,MAX(0,P$3+ROUND((P$9*($L946-P$5)),0)),IF($L946&gt;P$4,P$3,ROUND($L946*P$7,0)))</f>
        <v/>
      </c>
      <c r="F946" s="447">
        <f>IF($L946&gt;Q$5,MAX(0,Q$3+ROUND((Q$9*($L946-Q$5)),0)),IF($L946&gt;Q$4,Q$3,ROUND($L946*Q$7,0)))</f>
        <v/>
      </c>
      <c r="G946" s="1378">
        <f>IF($L946&gt;R$5,MAX(0,R$3+ROUND((R$9*($L946-R$5)),0)),IF($L946&gt;R$4,R$3,ROUND($L946*R$7,0)))</f>
        <v/>
      </c>
      <c r="H946" s="448">
        <f>IF($L946&gt;S$5,MAX(0,S$3+ROUND((S$9*($L946-S$5)),0)),IF($L946&gt;S$4,S$3,ROUND($L946*S$7,0)))</f>
        <v/>
      </c>
      <c r="I946" s="448">
        <f>IF($L946&gt;T$5,MAX(0,T$3+ROUND((T$9*($L946-T$5)),0)),IF($L946&gt;T$4,T$3,ROUND($L946*T$7,0)))</f>
        <v/>
      </c>
      <c r="J946" s="447">
        <f>IF($L946&gt;U$5,MAX(0,U$3+ROUND((U$9*($L946-U$5)),0)),IF($L946&gt;U$4,U$3,ROUND($L946*U$7,0)))</f>
        <v/>
      </c>
      <c r="K946" s="422" t="n"/>
      <c r="L946" s="448">
        <f>ROUND((A946+B946)/2,2)</f>
        <v/>
      </c>
    </row>
    <row r="947" ht="13.5" customHeight="1" s="7635">
      <c r="A947" s="448" t="n">
        <v>47100</v>
      </c>
      <c r="B947" s="447" t="n">
        <v>47150</v>
      </c>
      <c r="C947" s="1378">
        <f>IF($L947&gt;N$5,MAX(0,N$3+ROUND((N$9*($L947-N$5)),0)),IF($L947&gt;N$4,N$3,ROUND($L947*N$7,0)))</f>
        <v/>
      </c>
      <c r="D947" s="448">
        <f>IF($L947&gt;O$5,MAX(0,O$3+ROUND((O$9*($L947-O$5)),0)),IF($L947&gt;O$4,O$3,ROUND($L947*O$7,0)))</f>
        <v/>
      </c>
      <c r="E947" s="448">
        <f>IF($L947&gt;P$5,MAX(0,P$3+ROUND((P$9*($L947-P$5)),0)),IF($L947&gt;P$4,P$3,ROUND($L947*P$7,0)))</f>
        <v/>
      </c>
      <c r="F947" s="447">
        <f>IF($L947&gt;Q$5,MAX(0,Q$3+ROUND((Q$9*($L947-Q$5)),0)),IF($L947&gt;Q$4,Q$3,ROUND($L947*Q$7,0)))</f>
        <v/>
      </c>
      <c r="G947" s="1378">
        <f>IF($L947&gt;R$5,MAX(0,R$3+ROUND((R$9*($L947-R$5)),0)),IF($L947&gt;R$4,R$3,ROUND($L947*R$7,0)))</f>
        <v/>
      </c>
      <c r="H947" s="448">
        <f>IF($L947&gt;S$5,MAX(0,S$3+ROUND((S$9*($L947-S$5)),0)),IF($L947&gt;S$4,S$3,ROUND($L947*S$7,0)))</f>
        <v/>
      </c>
      <c r="I947" s="448">
        <f>IF($L947&gt;T$5,MAX(0,T$3+ROUND((T$9*($L947-T$5)),0)),IF($L947&gt;T$4,T$3,ROUND($L947*T$7,0)))</f>
        <v/>
      </c>
      <c r="J947" s="447">
        <f>IF($L947&gt;U$5,MAX(0,U$3+ROUND((U$9*($L947-U$5)),0)),IF($L947&gt;U$4,U$3,ROUND($L947*U$7,0)))</f>
        <v/>
      </c>
      <c r="K947" s="422" t="n"/>
      <c r="L947" s="448">
        <f>ROUND((A947+B947)/2,2)</f>
        <v/>
      </c>
    </row>
    <row r="948" ht="13.5" customHeight="1" s="7635">
      <c r="A948" s="448" t="n">
        <v>47150</v>
      </c>
      <c r="B948" s="447" t="n">
        <v>47200</v>
      </c>
      <c r="C948" s="1378">
        <f>IF($L948&gt;N$5,MAX(0,N$3+ROUND((N$9*($L948-N$5)),0)),IF($L948&gt;N$4,N$3,ROUND($L948*N$7,0)))</f>
        <v/>
      </c>
      <c r="D948" s="448">
        <f>IF($L948&gt;O$5,MAX(0,O$3+ROUND((O$9*($L948-O$5)),0)),IF($L948&gt;O$4,O$3,ROUND($L948*O$7,0)))</f>
        <v/>
      </c>
      <c r="E948" s="448">
        <f>IF($L948&gt;P$5,MAX(0,P$3+ROUND((P$9*($L948-P$5)),0)),IF($L948&gt;P$4,P$3,ROUND($L948*P$7,0)))</f>
        <v/>
      </c>
      <c r="F948" s="447">
        <f>IF($L948&gt;Q$5,MAX(0,Q$3+ROUND((Q$9*($L948-Q$5)),0)),IF($L948&gt;Q$4,Q$3,ROUND($L948*Q$7,0)))</f>
        <v/>
      </c>
      <c r="G948" s="1378">
        <f>IF($L948&gt;R$5,MAX(0,R$3+ROUND((R$9*($L948-R$5)),0)),IF($L948&gt;R$4,R$3,ROUND($L948*R$7,0)))</f>
        <v/>
      </c>
      <c r="H948" s="448">
        <f>IF($L948&gt;S$5,MAX(0,S$3+ROUND((S$9*($L948-S$5)),0)),IF($L948&gt;S$4,S$3,ROUND($L948*S$7,0)))</f>
        <v/>
      </c>
      <c r="I948" s="448">
        <f>IF($L948&gt;T$5,MAX(0,T$3+ROUND((T$9*($L948-T$5)),0)),IF($L948&gt;T$4,T$3,ROUND($L948*T$7,0)))</f>
        <v/>
      </c>
      <c r="J948" s="447">
        <f>IF($L948&gt;U$5,MAX(0,U$3+ROUND((U$9*($L948-U$5)),0)),IF($L948&gt;U$4,U$3,ROUND($L948*U$7,0)))</f>
        <v/>
      </c>
      <c r="K948" s="422" t="n"/>
      <c r="L948" s="448">
        <f>ROUND((A948+B948)/2,2)</f>
        <v/>
      </c>
    </row>
    <row r="949" ht="13.5" customHeight="1" s="7635">
      <c r="A949" s="448" t="n">
        <v>47200</v>
      </c>
      <c r="B949" s="447" t="n">
        <v>47250</v>
      </c>
      <c r="C949" s="1378">
        <f>IF($L949&gt;N$5,MAX(0,N$3+ROUND((N$9*($L949-N$5)),0)),IF($L949&gt;N$4,N$3,ROUND($L949*N$7,0)))</f>
        <v/>
      </c>
      <c r="D949" s="448">
        <f>IF($L949&gt;O$5,MAX(0,O$3+ROUND((O$9*($L949-O$5)),0)),IF($L949&gt;O$4,O$3,ROUND($L949*O$7,0)))</f>
        <v/>
      </c>
      <c r="E949" s="448">
        <f>IF($L949&gt;P$5,MAX(0,P$3+ROUND((P$9*($L949-P$5)),0)),IF($L949&gt;P$4,P$3,ROUND($L949*P$7,0)))</f>
        <v/>
      </c>
      <c r="F949" s="447">
        <f>IF($L949&gt;Q$5,MAX(0,Q$3+ROUND((Q$9*($L949-Q$5)),0)),IF($L949&gt;Q$4,Q$3,ROUND($L949*Q$7,0)))</f>
        <v/>
      </c>
      <c r="G949" s="1378">
        <f>IF($L949&gt;R$5,MAX(0,R$3+ROUND((R$9*($L949-R$5)),0)),IF($L949&gt;R$4,R$3,ROUND($L949*R$7,0)))</f>
        <v/>
      </c>
      <c r="H949" s="448">
        <f>IF($L949&gt;S$5,MAX(0,S$3+ROUND((S$9*($L949-S$5)),0)),IF($L949&gt;S$4,S$3,ROUND($L949*S$7,0)))</f>
        <v/>
      </c>
      <c r="I949" s="448">
        <f>IF($L949&gt;T$5,MAX(0,T$3+ROUND((T$9*($L949-T$5)),0)),IF($L949&gt;T$4,T$3,ROUND($L949*T$7,0)))</f>
        <v/>
      </c>
      <c r="J949" s="447">
        <f>IF($L949&gt;U$5,MAX(0,U$3+ROUND((U$9*($L949-U$5)),0)),IF($L949&gt;U$4,U$3,ROUND($L949*U$7,0)))</f>
        <v/>
      </c>
      <c r="K949" s="422" t="n"/>
      <c r="L949" s="448">
        <f>ROUND((A949+B949)/2,2)</f>
        <v/>
      </c>
    </row>
    <row r="950" ht="13.5" customHeight="1" s="7635">
      <c r="A950" s="448" t="n">
        <v>47250</v>
      </c>
      <c r="B950" s="447" t="n">
        <v>47300</v>
      </c>
      <c r="C950" s="1378">
        <f>IF($L950&gt;N$5,MAX(0,N$3+ROUND((N$9*($L950-N$5)),0)),IF($L950&gt;N$4,N$3,ROUND($L950*N$7,0)))</f>
        <v/>
      </c>
      <c r="D950" s="448">
        <f>IF($L950&gt;O$5,MAX(0,O$3+ROUND((O$9*($L950-O$5)),0)),IF($L950&gt;O$4,O$3,ROUND($L950*O$7,0)))</f>
        <v/>
      </c>
      <c r="E950" s="448">
        <f>IF($L950&gt;P$5,MAX(0,P$3+ROUND((P$9*($L950-P$5)),0)),IF($L950&gt;P$4,P$3,ROUND($L950*P$7,0)))</f>
        <v/>
      </c>
      <c r="F950" s="447">
        <f>IF($L950&gt;Q$5,MAX(0,Q$3+ROUND((Q$9*($L950-Q$5)),0)),IF($L950&gt;Q$4,Q$3,ROUND($L950*Q$7,0)))</f>
        <v/>
      </c>
      <c r="G950" s="1378">
        <f>IF($L950&gt;R$5,MAX(0,R$3+ROUND((R$9*($L950-R$5)),0)),IF($L950&gt;R$4,R$3,ROUND($L950*R$7,0)))</f>
        <v/>
      </c>
      <c r="H950" s="448">
        <f>IF($L950&gt;S$5,MAX(0,S$3+ROUND((S$9*($L950-S$5)),0)),IF($L950&gt;S$4,S$3,ROUND($L950*S$7,0)))</f>
        <v/>
      </c>
      <c r="I950" s="448">
        <f>IF($L950&gt;T$5,MAX(0,T$3+ROUND((T$9*($L950-T$5)),0)),IF($L950&gt;T$4,T$3,ROUND($L950*T$7,0)))</f>
        <v/>
      </c>
      <c r="J950" s="447">
        <f>IF($L950&gt;U$5,MAX(0,U$3+ROUND((U$9*($L950-U$5)),0)),IF($L950&gt;U$4,U$3,ROUND($L950*U$7,0)))</f>
        <v/>
      </c>
      <c r="K950" s="422" t="n"/>
      <c r="L950" s="448">
        <f>ROUND((A950+B950)/2,2)</f>
        <v/>
      </c>
    </row>
    <row r="951" ht="13.5" customHeight="1" s="7635">
      <c r="A951" s="448" t="n">
        <v>47300</v>
      </c>
      <c r="B951" s="447" t="n">
        <v>47350</v>
      </c>
      <c r="C951" s="1378">
        <f>IF($L951&gt;N$5,MAX(0,N$3+ROUND((N$9*($L951-N$5)),0)),IF($L951&gt;N$4,N$3,ROUND($L951*N$7,0)))</f>
        <v/>
      </c>
      <c r="D951" s="448">
        <f>IF($L951&gt;O$5,MAX(0,O$3+ROUND((O$9*($L951-O$5)),0)),IF($L951&gt;O$4,O$3,ROUND($L951*O$7,0)))</f>
        <v/>
      </c>
      <c r="E951" s="448">
        <f>IF($L951&gt;P$5,MAX(0,P$3+ROUND((P$9*($L951-P$5)),0)),IF($L951&gt;P$4,P$3,ROUND($L951*P$7,0)))</f>
        <v/>
      </c>
      <c r="F951" s="447">
        <f>IF($L951&gt;Q$5,MAX(0,Q$3+ROUND((Q$9*($L951-Q$5)),0)),IF($L951&gt;Q$4,Q$3,ROUND($L951*Q$7,0)))</f>
        <v/>
      </c>
      <c r="G951" s="1378">
        <f>IF($L951&gt;R$5,MAX(0,R$3+ROUND((R$9*($L951-R$5)),0)),IF($L951&gt;R$4,R$3,ROUND($L951*R$7,0)))</f>
        <v/>
      </c>
      <c r="H951" s="448">
        <f>IF($L951&gt;S$5,MAX(0,S$3+ROUND((S$9*($L951-S$5)),0)),IF($L951&gt;S$4,S$3,ROUND($L951*S$7,0)))</f>
        <v/>
      </c>
      <c r="I951" s="448">
        <f>IF($L951&gt;T$5,MAX(0,T$3+ROUND((T$9*($L951-T$5)),0)),IF($L951&gt;T$4,T$3,ROUND($L951*T$7,0)))</f>
        <v/>
      </c>
      <c r="J951" s="447">
        <f>IF($L951&gt;U$5,MAX(0,U$3+ROUND((U$9*($L951-U$5)),0)),IF($L951&gt;U$4,U$3,ROUND($L951*U$7,0)))</f>
        <v/>
      </c>
      <c r="K951" s="422" t="n"/>
      <c r="L951" s="448">
        <f>ROUND((A951+B951)/2,2)</f>
        <v/>
      </c>
    </row>
    <row r="952" ht="13.5" customHeight="1" s="7635">
      <c r="A952" s="448" t="n">
        <v>47350</v>
      </c>
      <c r="B952" s="447" t="n">
        <v>47400</v>
      </c>
      <c r="C952" s="1378">
        <f>IF($L952&gt;N$5,MAX(0,N$3+ROUND((N$9*($L952-N$5)),0)),IF($L952&gt;N$4,N$3,ROUND($L952*N$7,0)))</f>
        <v/>
      </c>
      <c r="D952" s="448">
        <f>IF($L952&gt;O$5,MAX(0,O$3+ROUND((O$9*($L952-O$5)),0)),IF($L952&gt;O$4,O$3,ROUND($L952*O$7,0)))</f>
        <v/>
      </c>
      <c r="E952" s="448">
        <f>IF($L952&gt;P$5,MAX(0,P$3+ROUND((P$9*($L952-P$5)),0)),IF($L952&gt;P$4,P$3,ROUND($L952*P$7,0)))</f>
        <v/>
      </c>
      <c r="F952" s="447">
        <f>IF($L952&gt;Q$5,MAX(0,Q$3+ROUND((Q$9*($L952-Q$5)),0)),IF($L952&gt;Q$4,Q$3,ROUND($L952*Q$7,0)))</f>
        <v/>
      </c>
      <c r="G952" s="1378">
        <f>IF($L952&gt;R$5,MAX(0,R$3+ROUND((R$9*($L952-R$5)),0)),IF($L952&gt;R$4,R$3,ROUND($L952*R$7,0)))</f>
        <v/>
      </c>
      <c r="H952" s="448">
        <f>IF($L952&gt;S$5,MAX(0,S$3+ROUND((S$9*($L952-S$5)),0)),IF($L952&gt;S$4,S$3,ROUND($L952*S$7,0)))</f>
        <v/>
      </c>
      <c r="I952" s="448">
        <f>IF($L952&gt;T$5,MAX(0,T$3+ROUND((T$9*($L952-T$5)),0)),IF($L952&gt;T$4,T$3,ROUND($L952*T$7,0)))</f>
        <v/>
      </c>
      <c r="J952" s="447">
        <f>IF($L952&gt;U$5,MAX(0,U$3+ROUND((U$9*($L952-U$5)),0)),IF($L952&gt;U$4,U$3,ROUND($L952*U$7,0)))</f>
        <v/>
      </c>
      <c r="K952" s="422" t="n"/>
      <c r="L952" s="448">
        <f>ROUND((A952+B952)/2,2)</f>
        <v/>
      </c>
    </row>
    <row r="953" ht="13.5" customHeight="1" s="7635">
      <c r="A953" s="448" t="n">
        <v>47400</v>
      </c>
      <c r="B953" s="447" t="n">
        <v>47450</v>
      </c>
      <c r="C953" s="1378">
        <f>IF($L953&gt;N$5,MAX(0,N$3+ROUND((N$9*($L953-N$5)),0)),IF($L953&gt;N$4,N$3,ROUND($L953*N$7,0)))</f>
        <v/>
      </c>
      <c r="D953" s="448">
        <f>IF($L953&gt;O$5,MAX(0,O$3+ROUND((O$9*($L953-O$5)),0)),IF($L953&gt;O$4,O$3,ROUND($L953*O$7,0)))</f>
        <v/>
      </c>
      <c r="E953" s="448">
        <f>IF($L953&gt;P$5,MAX(0,P$3+ROUND((P$9*($L953-P$5)),0)),IF($L953&gt;P$4,P$3,ROUND($L953*P$7,0)))</f>
        <v/>
      </c>
      <c r="F953" s="447">
        <f>IF($L953&gt;Q$5,MAX(0,Q$3+ROUND((Q$9*($L953-Q$5)),0)),IF($L953&gt;Q$4,Q$3,ROUND($L953*Q$7,0)))</f>
        <v/>
      </c>
      <c r="G953" s="1378">
        <f>IF($L953&gt;R$5,MAX(0,R$3+ROUND((R$9*($L953-R$5)),0)),IF($L953&gt;R$4,R$3,ROUND($L953*R$7,0)))</f>
        <v/>
      </c>
      <c r="H953" s="448">
        <f>IF($L953&gt;S$5,MAX(0,S$3+ROUND((S$9*($L953-S$5)),0)),IF($L953&gt;S$4,S$3,ROUND($L953*S$7,0)))</f>
        <v/>
      </c>
      <c r="I953" s="448">
        <f>IF($L953&gt;T$5,MAX(0,T$3+ROUND((T$9*($L953-T$5)),0)),IF($L953&gt;T$4,T$3,ROUND($L953*T$7,0)))</f>
        <v/>
      </c>
      <c r="J953" s="447">
        <f>IF($L953&gt;U$5,MAX(0,U$3+ROUND((U$9*($L953-U$5)),0)),IF($L953&gt;U$4,U$3,ROUND($L953*U$7,0)))</f>
        <v/>
      </c>
      <c r="K953" s="422" t="n"/>
      <c r="L953" s="448">
        <f>ROUND((A953+B953)/2,2)</f>
        <v/>
      </c>
    </row>
    <row r="954" ht="13.5" customHeight="1" s="7635">
      <c r="A954" s="448" t="n">
        <v>47450</v>
      </c>
      <c r="B954" s="447" t="n">
        <v>47500</v>
      </c>
      <c r="C954" s="1378">
        <f>IF($L954&gt;N$5,MAX(0,N$3+ROUND((N$9*($L954-N$5)),0)),IF($L954&gt;N$4,N$3,ROUND($L954*N$7,0)))</f>
        <v/>
      </c>
      <c r="D954" s="448">
        <f>IF($L954&gt;O$5,MAX(0,O$3+ROUND((O$9*($L954-O$5)),0)),IF($L954&gt;O$4,O$3,ROUND($L954*O$7,0)))</f>
        <v/>
      </c>
      <c r="E954" s="448">
        <f>IF($L954&gt;P$5,MAX(0,P$3+ROUND((P$9*($L954-P$5)),0)),IF($L954&gt;P$4,P$3,ROUND($L954*P$7,0)))</f>
        <v/>
      </c>
      <c r="F954" s="447">
        <f>IF($L954&gt;Q$5,MAX(0,Q$3+ROUND((Q$9*($L954-Q$5)),0)),IF($L954&gt;Q$4,Q$3,ROUND($L954*Q$7,0)))</f>
        <v/>
      </c>
      <c r="G954" s="1378">
        <f>IF($L954&gt;R$5,MAX(0,R$3+ROUND((R$9*($L954-R$5)),0)),IF($L954&gt;R$4,R$3,ROUND($L954*R$7,0)))</f>
        <v/>
      </c>
      <c r="H954" s="448">
        <f>IF($L954&gt;S$5,MAX(0,S$3+ROUND((S$9*($L954-S$5)),0)),IF($L954&gt;S$4,S$3,ROUND($L954*S$7,0)))</f>
        <v/>
      </c>
      <c r="I954" s="448">
        <f>IF($L954&gt;T$5,MAX(0,T$3+ROUND((T$9*($L954-T$5)),0)),IF($L954&gt;T$4,T$3,ROUND($L954*T$7,0)))</f>
        <v/>
      </c>
      <c r="J954" s="447">
        <f>IF($L954&gt;U$5,MAX(0,U$3+ROUND((U$9*($L954-U$5)),0)),IF($L954&gt;U$4,U$3,ROUND($L954*U$7,0)))</f>
        <v/>
      </c>
      <c r="K954" s="422" t="n"/>
      <c r="L954" s="448">
        <f>ROUND((A954+B954)/2,2)</f>
        <v/>
      </c>
    </row>
    <row r="955" ht="13.5" customHeight="1" s="7635">
      <c r="A955" s="448" t="n">
        <v>47500</v>
      </c>
      <c r="B955" s="447" t="n">
        <v>47550</v>
      </c>
      <c r="C955" s="1378">
        <f>IF($L955&gt;N$5,MAX(0,N$3+ROUND((N$9*($L955-N$5)),0)),IF($L955&gt;N$4,N$3,ROUND($L955*N$7,0)))</f>
        <v/>
      </c>
      <c r="D955" s="448">
        <f>IF($L955&gt;O$5,MAX(0,O$3+ROUND((O$9*($L955-O$5)),0)),IF($L955&gt;O$4,O$3,ROUND($L955*O$7,0)))</f>
        <v/>
      </c>
      <c r="E955" s="448">
        <f>IF($L955&gt;P$5,MAX(0,P$3+ROUND((P$9*($L955-P$5)),0)),IF($L955&gt;P$4,P$3,ROUND($L955*P$7,0)))</f>
        <v/>
      </c>
      <c r="F955" s="447">
        <f>IF($L955&gt;Q$5,MAX(0,Q$3+ROUND((Q$9*($L955-Q$5)),0)),IF($L955&gt;Q$4,Q$3,ROUND($L955*Q$7,0)))</f>
        <v/>
      </c>
      <c r="G955" s="1378">
        <f>IF($L955&gt;R$5,MAX(0,R$3+ROUND((R$9*($L955-R$5)),0)),IF($L955&gt;R$4,R$3,ROUND($L955*R$7,0)))</f>
        <v/>
      </c>
      <c r="H955" s="448">
        <f>IF($L955&gt;S$5,MAX(0,S$3+ROUND((S$9*($L955-S$5)),0)),IF($L955&gt;S$4,S$3,ROUND($L955*S$7,0)))</f>
        <v/>
      </c>
      <c r="I955" s="448">
        <f>IF($L955&gt;T$5,MAX(0,T$3+ROUND((T$9*($L955-T$5)),0)),IF($L955&gt;T$4,T$3,ROUND($L955*T$7,0)))</f>
        <v/>
      </c>
      <c r="J955" s="447">
        <f>IF($L955&gt;U$5,MAX(0,U$3+ROUND((U$9*($L955-U$5)),0)),IF($L955&gt;U$4,U$3,ROUND($L955*U$7,0)))</f>
        <v/>
      </c>
      <c r="K955" s="422" t="n"/>
      <c r="L955" s="448">
        <f>ROUND((A955+B955)/2,2)</f>
        <v/>
      </c>
    </row>
    <row r="956" ht="13.5" customHeight="1" s="7635">
      <c r="A956" s="448" t="n">
        <v>47550</v>
      </c>
      <c r="B956" s="447" t="n">
        <v>47600</v>
      </c>
      <c r="C956" s="1378">
        <f>IF($L956&gt;N$5,MAX(0,N$3+ROUND((N$9*($L956-N$5)),0)),IF($L956&gt;N$4,N$3,ROUND($L956*N$7,0)))</f>
        <v/>
      </c>
      <c r="D956" s="448">
        <f>IF($L956&gt;O$5,MAX(0,O$3+ROUND((O$9*($L956-O$5)),0)),IF($L956&gt;O$4,O$3,ROUND($L956*O$7,0)))</f>
        <v/>
      </c>
      <c r="E956" s="448">
        <f>IF($L956&gt;P$5,MAX(0,P$3+ROUND((P$9*($L956-P$5)),0)),IF($L956&gt;P$4,P$3,ROUND($L956*P$7,0)))</f>
        <v/>
      </c>
      <c r="F956" s="447">
        <f>IF($L956&gt;Q$5,MAX(0,Q$3+ROUND((Q$9*($L956-Q$5)),0)),IF($L956&gt;Q$4,Q$3,ROUND($L956*Q$7,0)))</f>
        <v/>
      </c>
      <c r="G956" s="1378">
        <f>IF($L956&gt;R$5,MAX(0,R$3+ROUND((R$9*($L956-R$5)),0)),IF($L956&gt;R$4,R$3,ROUND($L956*R$7,0)))</f>
        <v/>
      </c>
      <c r="H956" s="448">
        <f>IF($L956&gt;S$5,MAX(0,S$3+ROUND((S$9*($L956-S$5)),0)),IF($L956&gt;S$4,S$3,ROUND($L956*S$7,0)))</f>
        <v/>
      </c>
      <c r="I956" s="448">
        <f>IF($L956&gt;T$5,MAX(0,T$3+ROUND((T$9*($L956-T$5)),0)),IF($L956&gt;T$4,T$3,ROUND($L956*T$7,0)))</f>
        <v/>
      </c>
      <c r="J956" s="447">
        <f>IF($L956&gt;U$5,MAX(0,U$3+ROUND((U$9*($L956-U$5)),0)),IF($L956&gt;U$4,U$3,ROUND($L956*U$7,0)))</f>
        <v/>
      </c>
      <c r="K956" s="422" t="n"/>
      <c r="L956" s="448">
        <f>ROUND((A956+B956)/2,2)</f>
        <v/>
      </c>
    </row>
    <row r="957" ht="13.5" customHeight="1" s="7635">
      <c r="A957" s="448" t="n">
        <v>47600</v>
      </c>
      <c r="B957" s="447" t="n">
        <v>47650</v>
      </c>
      <c r="C957" s="1378">
        <f>IF($L957&gt;N$5,MAX(0,N$3+ROUND((N$9*($L957-N$5)),0)),IF($L957&gt;N$4,N$3,ROUND($L957*N$7,0)))</f>
        <v/>
      </c>
      <c r="D957" s="448">
        <f>IF($L957&gt;O$5,MAX(0,O$3+ROUND((O$9*($L957-O$5)),0)),IF($L957&gt;O$4,O$3,ROUND($L957*O$7,0)))</f>
        <v/>
      </c>
      <c r="E957" s="448">
        <f>IF($L957&gt;P$5,MAX(0,P$3+ROUND((P$9*($L957-P$5)),0)),IF($L957&gt;P$4,P$3,ROUND($L957*P$7,0)))</f>
        <v/>
      </c>
      <c r="F957" s="447">
        <f>IF($L957&gt;Q$5,MAX(0,Q$3+ROUND((Q$9*($L957-Q$5)),0)),IF($L957&gt;Q$4,Q$3,ROUND($L957*Q$7,0)))</f>
        <v/>
      </c>
      <c r="G957" s="1378">
        <f>IF($L957&gt;R$5,MAX(0,R$3+ROUND((R$9*($L957-R$5)),0)),IF($L957&gt;R$4,R$3,ROUND($L957*R$7,0)))</f>
        <v/>
      </c>
      <c r="H957" s="448">
        <f>IF($L957&gt;S$5,MAX(0,S$3+ROUND((S$9*($L957-S$5)),0)),IF($L957&gt;S$4,S$3,ROUND($L957*S$7,0)))</f>
        <v/>
      </c>
      <c r="I957" s="448">
        <f>IF($L957&gt;T$5,MAX(0,T$3+ROUND((T$9*($L957-T$5)),0)),IF($L957&gt;T$4,T$3,ROUND($L957*T$7,0)))</f>
        <v/>
      </c>
      <c r="J957" s="447">
        <f>IF($L957&gt;U$5,MAX(0,U$3+ROUND((U$9*($L957-U$5)),0)),IF($L957&gt;U$4,U$3,ROUND($L957*U$7,0)))</f>
        <v/>
      </c>
      <c r="K957" s="422" t="n"/>
      <c r="L957" s="448">
        <f>ROUND((A957+B957)/2,2)</f>
        <v/>
      </c>
    </row>
    <row r="958" ht="13.5" customHeight="1" s="7635">
      <c r="A958" s="448" t="n">
        <v>47650</v>
      </c>
      <c r="B958" s="447" t="n">
        <v>47700</v>
      </c>
      <c r="C958" s="1378">
        <f>IF($L958&gt;N$5,MAX(0,N$3+ROUND((N$9*($L958-N$5)),0)),IF($L958&gt;N$4,N$3,ROUND($L958*N$7,0)))</f>
        <v/>
      </c>
      <c r="D958" s="448">
        <f>IF($L958&gt;O$5,MAX(0,O$3+ROUND((O$9*($L958-O$5)),0)),IF($L958&gt;O$4,O$3,ROUND($L958*O$7,0)))</f>
        <v/>
      </c>
      <c r="E958" s="448">
        <f>IF($L958&gt;P$5,MAX(0,P$3+ROUND((P$9*($L958-P$5)),0)),IF($L958&gt;P$4,P$3,ROUND($L958*P$7,0)))</f>
        <v/>
      </c>
      <c r="F958" s="447">
        <f>IF($L958&gt;Q$5,MAX(0,Q$3+ROUND((Q$9*($L958-Q$5)),0)),IF($L958&gt;Q$4,Q$3,ROUND($L958*Q$7,0)))</f>
        <v/>
      </c>
      <c r="G958" s="1378">
        <f>IF($L958&gt;R$5,MAX(0,R$3+ROUND((R$9*($L958-R$5)),0)),IF($L958&gt;R$4,R$3,ROUND($L958*R$7,0)))</f>
        <v/>
      </c>
      <c r="H958" s="448">
        <f>IF($L958&gt;S$5,MAX(0,S$3+ROUND((S$9*($L958-S$5)),0)),IF($L958&gt;S$4,S$3,ROUND($L958*S$7,0)))</f>
        <v/>
      </c>
      <c r="I958" s="448">
        <f>IF($L958&gt;T$5,MAX(0,T$3+ROUND((T$9*($L958-T$5)),0)),IF($L958&gt;T$4,T$3,ROUND($L958*T$7,0)))</f>
        <v/>
      </c>
      <c r="J958" s="447">
        <f>IF($L958&gt;U$5,MAX(0,U$3+ROUND((U$9*($L958-U$5)),0)),IF($L958&gt;U$4,U$3,ROUND($L958*U$7,0)))</f>
        <v/>
      </c>
      <c r="K958" s="422" t="n"/>
      <c r="L958" s="448">
        <f>ROUND((A958+B958)/2,2)</f>
        <v/>
      </c>
    </row>
    <row r="959" ht="13.5" customHeight="1" s="7635">
      <c r="A959" s="448" t="n">
        <v>47700</v>
      </c>
      <c r="B959" s="447" t="n">
        <v>47750</v>
      </c>
      <c r="C959" s="1378">
        <f>IF($L959&gt;N$5,MAX(0,N$3+ROUND((N$9*($L959-N$5)),0)),IF($L959&gt;N$4,N$3,ROUND($L959*N$7,0)))</f>
        <v/>
      </c>
      <c r="D959" s="448">
        <f>IF($L959&gt;O$5,MAX(0,O$3+ROUND((O$9*($L959-O$5)),0)),IF($L959&gt;O$4,O$3,ROUND($L959*O$7,0)))</f>
        <v/>
      </c>
      <c r="E959" s="448">
        <f>IF($L959&gt;P$5,MAX(0,P$3+ROUND((P$9*($L959-P$5)),0)),IF($L959&gt;P$4,P$3,ROUND($L959*P$7,0)))</f>
        <v/>
      </c>
      <c r="F959" s="447">
        <f>IF($L959&gt;Q$5,MAX(0,Q$3+ROUND((Q$9*($L959-Q$5)),0)),IF($L959&gt;Q$4,Q$3,ROUND($L959*Q$7,0)))</f>
        <v/>
      </c>
      <c r="G959" s="1378">
        <f>IF($L959&gt;R$5,MAX(0,R$3+ROUND((R$9*($L959-R$5)),0)),IF($L959&gt;R$4,R$3,ROUND($L959*R$7,0)))</f>
        <v/>
      </c>
      <c r="H959" s="448">
        <f>IF($L959&gt;S$5,MAX(0,S$3+ROUND((S$9*($L959-S$5)),0)),IF($L959&gt;S$4,S$3,ROUND($L959*S$7,0)))</f>
        <v/>
      </c>
      <c r="I959" s="448">
        <f>IF($L959&gt;T$5,MAX(0,T$3+ROUND((T$9*($L959-T$5)),0)),IF($L959&gt;T$4,T$3,ROUND($L959*T$7,0)))</f>
        <v/>
      </c>
      <c r="J959" s="447">
        <f>IF($L959&gt;U$5,MAX(0,U$3+ROUND((U$9*($L959-U$5)),0)),IF($L959&gt;U$4,U$3,ROUND($L959*U$7,0)))</f>
        <v/>
      </c>
      <c r="K959" s="422" t="n"/>
      <c r="L959" s="448">
        <f>ROUND((A959+B959)/2,2)</f>
        <v/>
      </c>
    </row>
    <row r="960" ht="13.5" customHeight="1" s="7635">
      <c r="A960" s="448" t="n">
        <v>47750</v>
      </c>
      <c r="B960" s="447" t="n">
        <v>47800</v>
      </c>
      <c r="C960" s="1378">
        <f>IF($L960&gt;N$5,MAX(0,N$3+ROUND((N$9*($L960-N$5)),0)),IF($L960&gt;N$4,N$3,ROUND($L960*N$7,0)))</f>
        <v/>
      </c>
      <c r="D960" s="448">
        <f>IF($L960&gt;O$5,MAX(0,O$3+ROUND((O$9*($L960-O$5)),0)),IF($L960&gt;O$4,O$3,ROUND($L960*O$7,0)))</f>
        <v/>
      </c>
      <c r="E960" s="448">
        <f>IF($L960&gt;P$5,MAX(0,P$3+ROUND((P$9*($L960-P$5)),0)),IF($L960&gt;P$4,P$3,ROUND($L960*P$7,0)))</f>
        <v/>
      </c>
      <c r="F960" s="447">
        <f>IF($L960&gt;Q$5,MAX(0,Q$3+ROUND((Q$9*($L960-Q$5)),0)),IF($L960&gt;Q$4,Q$3,ROUND($L960*Q$7,0)))</f>
        <v/>
      </c>
      <c r="G960" s="1378">
        <f>IF($L960&gt;R$5,MAX(0,R$3+ROUND((R$9*($L960-R$5)),0)),IF($L960&gt;R$4,R$3,ROUND($L960*R$7,0)))</f>
        <v/>
      </c>
      <c r="H960" s="448">
        <f>IF($L960&gt;S$5,MAX(0,S$3+ROUND((S$9*($L960-S$5)),0)),IF($L960&gt;S$4,S$3,ROUND($L960*S$7,0)))</f>
        <v/>
      </c>
      <c r="I960" s="448">
        <f>IF($L960&gt;T$5,MAX(0,T$3+ROUND((T$9*($L960-T$5)),0)),IF($L960&gt;T$4,T$3,ROUND($L960*T$7,0)))</f>
        <v/>
      </c>
      <c r="J960" s="447">
        <f>IF($L960&gt;U$5,MAX(0,U$3+ROUND((U$9*($L960-U$5)),0)),IF($L960&gt;U$4,U$3,ROUND($L960*U$7,0)))</f>
        <v/>
      </c>
      <c r="K960" s="422" t="n"/>
      <c r="L960" s="448">
        <f>ROUND((A960+B960)/2,2)</f>
        <v/>
      </c>
    </row>
    <row r="961" ht="13.5" customHeight="1" s="7635">
      <c r="A961" s="448" t="n">
        <v>47800</v>
      </c>
      <c r="B961" s="447" t="n">
        <v>47850</v>
      </c>
      <c r="C961" s="1378">
        <f>IF($L961&gt;N$5,MAX(0,N$3+ROUND((N$9*($L961-N$5)),0)),IF($L961&gt;N$4,N$3,ROUND($L961*N$7,0)))</f>
        <v/>
      </c>
      <c r="D961" s="448">
        <f>IF($L961&gt;O$5,MAX(0,O$3+ROUND((O$9*($L961-O$5)),0)),IF($L961&gt;O$4,O$3,ROUND($L961*O$7,0)))</f>
        <v/>
      </c>
      <c r="E961" s="448">
        <f>IF($L961&gt;P$5,MAX(0,P$3+ROUND((P$9*($L961-P$5)),0)),IF($L961&gt;P$4,P$3,ROUND($L961*P$7,0)))</f>
        <v/>
      </c>
      <c r="F961" s="447">
        <f>IF($L961&gt;Q$5,MAX(0,Q$3+ROUND((Q$9*($L961-Q$5)),0)),IF($L961&gt;Q$4,Q$3,ROUND($L961*Q$7,0)))</f>
        <v/>
      </c>
      <c r="G961" s="1378">
        <f>IF($L961&gt;R$5,MAX(0,R$3+ROUND((R$9*($L961-R$5)),0)),IF($L961&gt;R$4,R$3,ROUND($L961*R$7,0)))</f>
        <v/>
      </c>
      <c r="H961" s="448">
        <f>IF($L961&gt;S$5,MAX(0,S$3+ROUND((S$9*($L961-S$5)),0)),IF($L961&gt;S$4,S$3,ROUND($L961*S$7,0)))</f>
        <v/>
      </c>
      <c r="I961" s="448">
        <f>IF($L961&gt;T$5,MAX(0,T$3+ROUND((T$9*($L961-T$5)),0)),IF($L961&gt;T$4,T$3,ROUND($L961*T$7,0)))</f>
        <v/>
      </c>
      <c r="J961" s="447">
        <f>IF($L961&gt;U$5,MAX(0,U$3+ROUND((U$9*($L961-U$5)),0)),IF($L961&gt;U$4,U$3,ROUND($L961*U$7,0)))</f>
        <v/>
      </c>
      <c r="K961" s="422" t="n"/>
      <c r="L961" s="448">
        <f>ROUND((A961+B961)/2,2)</f>
        <v/>
      </c>
    </row>
    <row r="962" ht="13.5" customHeight="1" s="7635">
      <c r="A962" s="448" t="n">
        <v>47850</v>
      </c>
      <c r="B962" s="447" t="n">
        <v>47900</v>
      </c>
      <c r="C962" s="1378">
        <f>IF($L962&gt;N$5,MAX(0,N$3+ROUND((N$9*($L962-N$5)),0)),IF($L962&gt;N$4,N$3,ROUND($L962*N$7,0)))</f>
        <v/>
      </c>
      <c r="D962" s="448">
        <f>IF($L962&gt;O$5,MAX(0,O$3+ROUND((O$9*($L962-O$5)),0)),IF($L962&gt;O$4,O$3,ROUND($L962*O$7,0)))</f>
        <v/>
      </c>
      <c r="E962" s="448">
        <f>IF($L962&gt;P$5,MAX(0,P$3+ROUND((P$9*($L962-P$5)),0)),IF($L962&gt;P$4,P$3,ROUND($L962*P$7,0)))</f>
        <v/>
      </c>
      <c r="F962" s="447">
        <f>IF($L962&gt;Q$5,MAX(0,Q$3+ROUND((Q$9*($L962-Q$5)),0)),IF($L962&gt;Q$4,Q$3,ROUND($L962*Q$7,0)))</f>
        <v/>
      </c>
      <c r="G962" s="1378">
        <f>IF($L962&gt;R$5,MAX(0,R$3+ROUND((R$9*($L962-R$5)),0)),IF($L962&gt;R$4,R$3,ROUND($L962*R$7,0)))</f>
        <v/>
      </c>
      <c r="H962" s="448">
        <f>IF($L962&gt;S$5,MAX(0,S$3+ROUND((S$9*($L962-S$5)),0)),IF($L962&gt;S$4,S$3,ROUND($L962*S$7,0)))</f>
        <v/>
      </c>
      <c r="I962" s="448">
        <f>IF($L962&gt;T$5,MAX(0,T$3+ROUND((T$9*($L962-T$5)),0)),IF($L962&gt;T$4,T$3,ROUND($L962*T$7,0)))</f>
        <v/>
      </c>
      <c r="J962" s="447">
        <f>IF($L962&gt;U$5,MAX(0,U$3+ROUND((U$9*($L962-U$5)),0)),IF($L962&gt;U$4,U$3,ROUND($L962*U$7,0)))</f>
        <v/>
      </c>
      <c r="K962" s="422" t="n"/>
      <c r="L962" s="448">
        <f>ROUND((A962+B962)/2,2)</f>
        <v/>
      </c>
    </row>
    <row r="963" ht="13.5" customHeight="1" s="7635">
      <c r="A963" s="448" t="n">
        <v>47900</v>
      </c>
      <c r="B963" s="447" t="n">
        <v>47950</v>
      </c>
      <c r="C963" s="1378">
        <f>IF($L963&gt;N$5,MAX(0,N$3+ROUND((N$9*($L963-N$5)),0)),IF($L963&gt;N$4,N$3,ROUND($L963*N$7,0)))</f>
        <v/>
      </c>
      <c r="D963" s="448">
        <f>IF($L963&gt;O$5,MAX(0,O$3+ROUND((O$9*($L963-O$5)),0)),IF($L963&gt;O$4,O$3,ROUND($L963*O$7,0)))</f>
        <v/>
      </c>
      <c r="E963" s="448">
        <f>IF($L963&gt;P$5,MAX(0,P$3+ROUND((P$9*($L963-P$5)),0)),IF($L963&gt;P$4,P$3,ROUND($L963*P$7,0)))</f>
        <v/>
      </c>
      <c r="F963" s="447">
        <f>IF($L963&gt;Q$5,MAX(0,Q$3+ROUND((Q$9*($L963-Q$5)),0)),IF($L963&gt;Q$4,Q$3,ROUND($L963*Q$7,0)))</f>
        <v/>
      </c>
      <c r="G963" s="1378">
        <f>IF($L963&gt;R$5,MAX(0,R$3+ROUND((R$9*($L963-R$5)),0)),IF($L963&gt;R$4,R$3,ROUND($L963*R$7,0)))</f>
        <v/>
      </c>
      <c r="H963" s="448">
        <f>IF($L963&gt;S$5,MAX(0,S$3+ROUND((S$9*($L963-S$5)),0)),IF($L963&gt;S$4,S$3,ROUND($L963*S$7,0)))</f>
        <v/>
      </c>
      <c r="I963" s="448">
        <f>IF($L963&gt;T$5,MAX(0,T$3+ROUND((T$9*($L963-T$5)),0)),IF($L963&gt;T$4,T$3,ROUND($L963*T$7,0)))</f>
        <v/>
      </c>
      <c r="J963" s="447">
        <f>IF($L963&gt;U$5,MAX(0,U$3+ROUND((U$9*($L963-U$5)),0)),IF($L963&gt;U$4,U$3,ROUND($L963*U$7,0)))</f>
        <v/>
      </c>
      <c r="K963" s="422" t="n"/>
      <c r="L963" s="448">
        <f>ROUND((A963+B963)/2,2)</f>
        <v/>
      </c>
    </row>
    <row r="964" ht="13.5" customHeight="1" s="7635">
      <c r="A964" s="448" t="n">
        <v>47950</v>
      </c>
      <c r="B964" s="447" t="n">
        <v>48000</v>
      </c>
      <c r="C964" s="1378">
        <f>IF($L964&gt;N$5,MAX(0,N$3+ROUND((N$9*($L964-N$5)),0)),IF($L964&gt;N$4,N$3,ROUND($L964*N$7,0)))</f>
        <v/>
      </c>
      <c r="D964" s="448">
        <f>IF($L964&gt;O$5,MAX(0,O$3+ROUND((O$9*($L964-O$5)),0)),IF($L964&gt;O$4,O$3,ROUND($L964*O$7,0)))</f>
        <v/>
      </c>
      <c r="E964" s="448">
        <f>IF($L964&gt;P$5,MAX(0,P$3+ROUND((P$9*($L964-P$5)),0)),IF($L964&gt;P$4,P$3,ROUND($L964*P$7,0)))</f>
        <v/>
      </c>
      <c r="F964" s="447">
        <f>IF($L964&gt;Q$5,MAX(0,Q$3+ROUND((Q$9*($L964-Q$5)),0)),IF($L964&gt;Q$4,Q$3,ROUND($L964*Q$7,0)))</f>
        <v/>
      </c>
      <c r="G964" s="1378">
        <f>IF($L964&gt;R$5,MAX(0,R$3+ROUND((R$9*($L964-R$5)),0)),IF($L964&gt;R$4,R$3,ROUND($L964*R$7,0)))</f>
        <v/>
      </c>
      <c r="H964" s="448">
        <f>IF($L964&gt;S$5,MAX(0,S$3+ROUND((S$9*($L964-S$5)),0)),IF($L964&gt;S$4,S$3,ROUND($L964*S$7,0)))</f>
        <v/>
      </c>
      <c r="I964" s="448">
        <f>IF($L964&gt;T$5,MAX(0,T$3+ROUND((T$9*($L964-T$5)),0)),IF($L964&gt;T$4,T$3,ROUND($L964*T$7,0)))</f>
        <v/>
      </c>
      <c r="J964" s="447">
        <f>IF($L964&gt;U$5,MAX(0,U$3+ROUND((U$9*($L964-U$5)),0)),IF($L964&gt;U$4,U$3,ROUND($L964*U$7,0)))</f>
        <v/>
      </c>
      <c r="K964" s="422" t="n"/>
      <c r="L964" s="448">
        <f>ROUND((A964+B964)/2,2)</f>
        <v/>
      </c>
    </row>
    <row r="965" ht="13.5" customHeight="1" s="7635">
      <c r="A965" s="448" t="n">
        <v>48000</v>
      </c>
      <c r="B965" s="447" t="n">
        <v>48050</v>
      </c>
      <c r="C965" s="1378">
        <f>IF($L965&gt;N$5,MAX(0,N$3+ROUND((N$9*($L965-N$5)),0)),IF($L965&gt;N$4,N$3,ROUND($L965*N$7,0)))</f>
        <v/>
      </c>
      <c r="D965" s="448">
        <f>IF($L965&gt;O$5,MAX(0,O$3+ROUND((O$9*($L965-O$5)),0)),IF($L965&gt;O$4,O$3,ROUND($L965*O$7,0)))</f>
        <v/>
      </c>
      <c r="E965" s="448">
        <f>IF($L965&gt;P$5,MAX(0,P$3+ROUND((P$9*($L965-P$5)),0)),IF($L965&gt;P$4,P$3,ROUND($L965*P$7,0)))</f>
        <v/>
      </c>
      <c r="F965" s="447">
        <f>IF($L965&gt;Q$5,MAX(0,Q$3+ROUND((Q$9*($L965-Q$5)),0)),IF($L965&gt;Q$4,Q$3,ROUND($L965*Q$7,0)))</f>
        <v/>
      </c>
      <c r="G965" s="1378">
        <f>IF($L965&gt;R$5,MAX(0,R$3+ROUND((R$9*($L965-R$5)),0)),IF($L965&gt;R$4,R$3,ROUND($L965*R$7,0)))</f>
        <v/>
      </c>
      <c r="H965" s="448">
        <f>IF($L965&gt;S$5,MAX(0,S$3+ROUND((S$9*($L965-S$5)),0)),IF($L965&gt;S$4,S$3,ROUND($L965*S$7,0)))</f>
        <v/>
      </c>
      <c r="I965" s="448">
        <f>IF($L965&gt;T$5,MAX(0,T$3+ROUND((T$9*($L965-T$5)),0)),IF($L965&gt;T$4,T$3,ROUND($L965*T$7,0)))</f>
        <v/>
      </c>
      <c r="J965" s="447">
        <f>IF($L965&gt;U$5,MAX(0,U$3+ROUND((U$9*($L965-U$5)),0)),IF($L965&gt;U$4,U$3,ROUND($L965*U$7,0)))</f>
        <v/>
      </c>
      <c r="K965" s="422" t="n"/>
      <c r="L965" s="448">
        <f>ROUND((A965+B965)/2,2)</f>
        <v/>
      </c>
    </row>
    <row r="966" ht="13.5" customHeight="1" s="7635">
      <c r="A966" s="448" t="n">
        <v>48050</v>
      </c>
      <c r="B966" s="447" t="n">
        <v>48100</v>
      </c>
      <c r="C966" s="1378">
        <f>IF($L966&gt;N$5,MAX(0,N$3+ROUND((N$9*($L966-N$5)),0)),IF($L966&gt;N$4,N$3,ROUND($L966*N$7,0)))</f>
        <v/>
      </c>
      <c r="D966" s="448">
        <f>IF($L966&gt;O$5,MAX(0,O$3+ROUND((O$9*($L966-O$5)),0)),IF($L966&gt;O$4,O$3,ROUND($L966*O$7,0)))</f>
        <v/>
      </c>
      <c r="E966" s="448">
        <f>IF($L966&gt;P$5,MAX(0,P$3+ROUND((P$9*($L966-P$5)),0)),IF($L966&gt;P$4,P$3,ROUND($L966*P$7,0)))</f>
        <v/>
      </c>
      <c r="F966" s="447">
        <f>IF($L966&gt;Q$5,MAX(0,Q$3+ROUND((Q$9*($L966-Q$5)),0)),IF($L966&gt;Q$4,Q$3,ROUND($L966*Q$7,0)))</f>
        <v/>
      </c>
      <c r="G966" s="1378">
        <f>IF($L966&gt;R$5,MAX(0,R$3+ROUND((R$9*($L966-R$5)),0)),IF($L966&gt;R$4,R$3,ROUND($L966*R$7,0)))</f>
        <v/>
      </c>
      <c r="H966" s="448">
        <f>IF($L966&gt;S$5,MAX(0,S$3+ROUND((S$9*($L966-S$5)),0)),IF($L966&gt;S$4,S$3,ROUND($L966*S$7,0)))</f>
        <v/>
      </c>
      <c r="I966" s="448">
        <f>IF($L966&gt;T$5,MAX(0,T$3+ROUND((T$9*($L966-T$5)),0)),IF($L966&gt;T$4,T$3,ROUND($L966*T$7,0)))</f>
        <v/>
      </c>
      <c r="J966" s="447">
        <f>IF($L966&gt;U$5,MAX(0,U$3+ROUND((U$9*($L966-U$5)),0)),IF($L966&gt;U$4,U$3,ROUND($L966*U$7,0)))</f>
        <v/>
      </c>
      <c r="K966" s="422" t="n"/>
      <c r="L966" s="448">
        <f>ROUND((A966+B966)/2,2)</f>
        <v/>
      </c>
    </row>
    <row r="967" ht="13.5" customHeight="1" s="7635">
      <c r="A967" s="448" t="n">
        <v>48100</v>
      </c>
      <c r="B967" s="447" t="n">
        <v>48150</v>
      </c>
      <c r="C967" s="1378">
        <f>IF($L967&gt;N$5,MAX(0,N$3+ROUND((N$9*($L967-N$5)),0)),IF($L967&gt;N$4,N$3,ROUND($L967*N$7,0)))</f>
        <v/>
      </c>
      <c r="D967" s="448">
        <f>IF($L967&gt;O$5,MAX(0,O$3+ROUND((O$9*($L967-O$5)),0)),IF($L967&gt;O$4,O$3,ROUND($L967*O$7,0)))</f>
        <v/>
      </c>
      <c r="E967" s="448">
        <f>IF($L967&gt;P$5,MAX(0,P$3+ROUND((P$9*($L967-P$5)),0)),IF($L967&gt;P$4,P$3,ROUND($L967*P$7,0)))</f>
        <v/>
      </c>
      <c r="F967" s="447">
        <f>IF($L967&gt;Q$5,MAX(0,Q$3+ROUND((Q$9*($L967-Q$5)),0)),IF($L967&gt;Q$4,Q$3,ROUND($L967*Q$7,0)))</f>
        <v/>
      </c>
      <c r="G967" s="1378">
        <f>IF($L967&gt;R$5,MAX(0,R$3+ROUND((R$9*($L967-R$5)),0)),IF($L967&gt;R$4,R$3,ROUND($L967*R$7,0)))</f>
        <v/>
      </c>
      <c r="H967" s="448">
        <f>IF($L967&gt;S$5,MAX(0,S$3+ROUND((S$9*($L967-S$5)),0)),IF($L967&gt;S$4,S$3,ROUND($L967*S$7,0)))</f>
        <v/>
      </c>
      <c r="I967" s="448">
        <f>IF($L967&gt;T$5,MAX(0,T$3+ROUND((T$9*($L967-T$5)),0)),IF($L967&gt;T$4,T$3,ROUND($L967*T$7,0)))</f>
        <v/>
      </c>
      <c r="J967" s="447">
        <f>IF($L967&gt;U$5,MAX(0,U$3+ROUND((U$9*($L967-U$5)),0)),IF($L967&gt;U$4,U$3,ROUND($L967*U$7,0)))</f>
        <v/>
      </c>
      <c r="K967" s="422" t="n"/>
      <c r="L967" s="448">
        <f>ROUND((A967+B967)/2,2)</f>
        <v/>
      </c>
    </row>
    <row r="968" ht="13.5" customHeight="1" s="7635">
      <c r="A968" s="448" t="n">
        <v>48150</v>
      </c>
      <c r="B968" s="447" t="n">
        <v>48200</v>
      </c>
      <c r="C968" s="1378">
        <f>IF($L968&gt;N$5,MAX(0,N$3+ROUND((N$9*($L968-N$5)),0)),IF($L968&gt;N$4,N$3,ROUND($L968*N$7,0)))</f>
        <v/>
      </c>
      <c r="D968" s="448">
        <f>IF($L968&gt;O$5,MAX(0,O$3+ROUND((O$9*($L968-O$5)),0)),IF($L968&gt;O$4,O$3,ROUND($L968*O$7,0)))</f>
        <v/>
      </c>
      <c r="E968" s="448">
        <f>IF($L968&gt;P$5,MAX(0,P$3+ROUND((P$9*($L968-P$5)),0)),IF($L968&gt;P$4,P$3,ROUND($L968*P$7,0)))</f>
        <v/>
      </c>
      <c r="F968" s="447">
        <f>IF($L968&gt;Q$5,MAX(0,Q$3+ROUND((Q$9*($L968-Q$5)),0)),IF($L968&gt;Q$4,Q$3,ROUND($L968*Q$7,0)))</f>
        <v/>
      </c>
      <c r="G968" s="1378">
        <f>IF($L968&gt;R$5,MAX(0,R$3+ROUND((R$9*($L968-R$5)),0)),IF($L968&gt;R$4,R$3,ROUND($L968*R$7,0)))</f>
        <v/>
      </c>
      <c r="H968" s="448">
        <f>IF($L968&gt;S$5,MAX(0,S$3+ROUND((S$9*($L968-S$5)),0)),IF($L968&gt;S$4,S$3,ROUND($L968*S$7,0)))</f>
        <v/>
      </c>
      <c r="I968" s="448">
        <f>IF($L968&gt;T$5,MAX(0,T$3+ROUND((T$9*($L968-T$5)),0)),IF($L968&gt;T$4,T$3,ROUND($L968*T$7,0)))</f>
        <v/>
      </c>
      <c r="J968" s="447">
        <f>IF($L968&gt;U$5,MAX(0,U$3+ROUND((U$9*($L968-U$5)),0)),IF($L968&gt;U$4,U$3,ROUND($L968*U$7,0)))</f>
        <v/>
      </c>
      <c r="K968" s="422" t="n"/>
      <c r="L968" s="448">
        <f>ROUND((A968+B968)/2,2)</f>
        <v/>
      </c>
    </row>
    <row r="969" ht="13.5" customHeight="1" s="7635">
      <c r="A969" s="448" t="n">
        <v>48200</v>
      </c>
      <c r="B969" s="447" t="n">
        <v>48250</v>
      </c>
      <c r="C969" s="1378">
        <f>IF($L969&gt;N$5,MAX(0,N$3+ROUND((N$9*($L969-N$5)),0)),IF($L969&gt;N$4,N$3,ROUND($L969*N$7,0)))</f>
        <v/>
      </c>
      <c r="D969" s="448">
        <f>IF($L969&gt;O$5,MAX(0,O$3+ROUND((O$9*($L969-O$5)),0)),IF($L969&gt;O$4,O$3,ROUND($L969*O$7,0)))</f>
        <v/>
      </c>
      <c r="E969" s="448">
        <f>IF($L969&gt;P$5,MAX(0,P$3+ROUND((P$9*($L969-P$5)),0)),IF($L969&gt;P$4,P$3,ROUND($L969*P$7,0)))</f>
        <v/>
      </c>
      <c r="F969" s="447">
        <f>IF($L969&gt;Q$5,MAX(0,Q$3+ROUND((Q$9*($L969-Q$5)),0)),IF($L969&gt;Q$4,Q$3,ROUND($L969*Q$7,0)))</f>
        <v/>
      </c>
      <c r="G969" s="1378">
        <f>IF($L969&gt;R$5,MAX(0,R$3+ROUND((R$9*($L969-R$5)),0)),IF($L969&gt;R$4,R$3,ROUND($L969*R$7,0)))</f>
        <v/>
      </c>
      <c r="H969" s="448">
        <f>IF($L969&gt;S$5,MAX(0,S$3+ROUND((S$9*($L969-S$5)),0)),IF($L969&gt;S$4,S$3,ROUND($L969*S$7,0)))</f>
        <v/>
      </c>
      <c r="I969" s="448">
        <f>IF($L969&gt;T$5,MAX(0,T$3+ROUND((T$9*($L969-T$5)),0)),IF($L969&gt;T$4,T$3,ROUND($L969*T$7,0)))</f>
        <v/>
      </c>
      <c r="J969" s="447">
        <f>IF($L969&gt;U$5,MAX(0,U$3+ROUND((U$9*($L969-U$5)),0)),IF($L969&gt;U$4,U$3,ROUND($L969*U$7,0)))</f>
        <v/>
      </c>
      <c r="K969" s="422" t="n"/>
      <c r="L969" s="448">
        <f>ROUND((A969+B969)/2,2)</f>
        <v/>
      </c>
    </row>
    <row r="970" ht="13.5" customHeight="1" s="7635">
      <c r="A970" s="448" t="n">
        <v>48250</v>
      </c>
      <c r="B970" s="447" t="n">
        <v>48300</v>
      </c>
      <c r="C970" s="1378">
        <f>IF($L970&gt;N$5,MAX(0,N$3+ROUND((N$9*($L970-N$5)),0)),IF($L970&gt;N$4,N$3,ROUND($L970*N$7,0)))</f>
        <v/>
      </c>
      <c r="D970" s="448">
        <f>IF($L970&gt;O$5,MAX(0,O$3+ROUND((O$9*($L970-O$5)),0)),IF($L970&gt;O$4,O$3,ROUND($L970*O$7,0)))</f>
        <v/>
      </c>
      <c r="E970" s="448">
        <f>IF($L970&gt;P$5,MAX(0,P$3+ROUND((P$9*($L970-P$5)),0)),IF($L970&gt;P$4,P$3,ROUND($L970*P$7,0)))</f>
        <v/>
      </c>
      <c r="F970" s="447">
        <f>IF($L970&gt;Q$5,MAX(0,Q$3+ROUND((Q$9*($L970-Q$5)),0)),IF($L970&gt;Q$4,Q$3,ROUND($L970*Q$7,0)))</f>
        <v/>
      </c>
      <c r="G970" s="1378">
        <f>IF($L970&gt;R$5,MAX(0,R$3+ROUND((R$9*($L970-R$5)),0)),IF($L970&gt;R$4,R$3,ROUND($L970*R$7,0)))</f>
        <v/>
      </c>
      <c r="H970" s="448">
        <f>IF($L970&gt;S$5,MAX(0,S$3+ROUND((S$9*($L970-S$5)),0)),IF($L970&gt;S$4,S$3,ROUND($L970*S$7,0)))</f>
        <v/>
      </c>
      <c r="I970" s="448">
        <f>IF($L970&gt;T$5,MAX(0,T$3+ROUND((T$9*($L970-T$5)),0)),IF($L970&gt;T$4,T$3,ROUND($L970*T$7,0)))</f>
        <v/>
      </c>
      <c r="J970" s="447">
        <f>IF($L970&gt;U$5,MAX(0,U$3+ROUND((U$9*($L970-U$5)),0)),IF($L970&gt;U$4,U$3,ROUND($L970*U$7,0)))</f>
        <v/>
      </c>
      <c r="K970" s="422" t="n"/>
      <c r="L970" s="448">
        <f>ROUND((A970+B970)/2,2)</f>
        <v/>
      </c>
    </row>
    <row r="971" ht="13.5" customHeight="1" s="7635">
      <c r="A971" s="448" t="n">
        <v>48300</v>
      </c>
      <c r="B971" s="447" t="n">
        <v>48350</v>
      </c>
      <c r="C971" s="1378">
        <f>IF($L971&gt;N$5,MAX(0,N$3+ROUND((N$9*($L971-N$5)),0)),IF($L971&gt;N$4,N$3,ROUND($L971*N$7,0)))</f>
        <v/>
      </c>
      <c r="D971" s="448">
        <f>IF($L971&gt;O$5,MAX(0,O$3+ROUND((O$9*($L971-O$5)),0)),IF($L971&gt;O$4,O$3,ROUND($L971*O$7,0)))</f>
        <v/>
      </c>
      <c r="E971" s="448">
        <f>IF($L971&gt;P$5,MAX(0,P$3+ROUND((P$9*($L971-P$5)),0)),IF($L971&gt;P$4,P$3,ROUND($L971*P$7,0)))</f>
        <v/>
      </c>
      <c r="F971" s="447">
        <f>IF($L971&gt;Q$5,MAX(0,Q$3+ROUND((Q$9*($L971-Q$5)),0)),IF($L971&gt;Q$4,Q$3,ROUND($L971*Q$7,0)))</f>
        <v/>
      </c>
      <c r="G971" s="1378">
        <f>IF($L971&gt;R$5,MAX(0,R$3+ROUND((R$9*($L971-R$5)),0)),IF($L971&gt;R$4,R$3,ROUND($L971*R$7,0)))</f>
        <v/>
      </c>
      <c r="H971" s="448">
        <f>IF($L971&gt;S$5,MAX(0,S$3+ROUND((S$9*($L971-S$5)),0)),IF($L971&gt;S$4,S$3,ROUND($L971*S$7,0)))</f>
        <v/>
      </c>
      <c r="I971" s="448">
        <f>IF($L971&gt;T$5,MAX(0,T$3+ROUND((T$9*($L971-T$5)),0)),IF($L971&gt;T$4,T$3,ROUND($L971*T$7,0)))</f>
        <v/>
      </c>
      <c r="J971" s="447">
        <f>IF($L971&gt;U$5,MAX(0,U$3+ROUND((U$9*($L971-U$5)),0)),IF($L971&gt;U$4,U$3,ROUND($L971*U$7,0)))</f>
        <v/>
      </c>
      <c r="K971" s="422" t="n"/>
      <c r="L971" s="448">
        <f>ROUND((A971+B971)/2,2)</f>
        <v/>
      </c>
    </row>
    <row r="972" ht="13.5" customHeight="1" s="7635">
      <c r="A972" s="448" t="n">
        <v>48350</v>
      </c>
      <c r="B972" s="447" t="n">
        <v>48400</v>
      </c>
      <c r="C972" s="1378">
        <f>IF($L972&gt;N$5,MAX(0,N$3+ROUND((N$9*($L972-N$5)),0)),IF($L972&gt;N$4,N$3,ROUND($L972*N$7,0)))</f>
        <v/>
      </c>
      <c r="D972" s="448">
        <f>IF($L972&gt;O$5,MAX(0,O$3+ROUND((O$9*($L972-O$5)),0)),IF($L972&gt;O$4,O$3,ROUND($L972*O$7,0)))</f>
        <v/>
      </c>
      <c r="E972" s="448">
        <f>IF($L972&gt;P$5,MAX(0,P$3+ROUND((P$9*($L972-P$5)),0)),IF($L972&gt;P$4,P$3,ROUND($L972*P$7,0)))</f>
        <v/>
      </c>
      <c r="F972" s="447">
        <f>IF($L972&gt;Q$5,MAX(0,Q$3+ROUND((Q$9*($L972-Q$5)),0)),IF($L972&gt;Q$4,Q$3,ROUND($L972*Q$7,0)))</f>
        <v/>
      </c>
      <c r="G972" s="1378">
        <f>IF($L972&gt;R$5,MAX(0,R$3+ROUND((R$9*($L972-R$5)),0)),IF($L972&gt;R$4,R$3,ROUND($L972*R$7,0)))</f>
        <v/>
      </c>
      <c r="H972" s="448">
        <f>IF($L972&gt;S$5,MAX(0,S$3+ROUND((S$9*($L972-S$5)),0)),IF($L972&gt;S$4,S$3,ROUND($L972*S$7,0)))</f>
        <v/>
      </c>
      <c r="I972" s="448">
        <f>IF($L972&gt;T$5,MAX(0,T$3+ROUND((T$9*($L972-T$5)),0)),IF($L972&gt;T$4,T$3,ROUND($L972*T$7,0)))</f>
        <v/>
      </c>
      <c r="J972" s="447">
        <f>IF($L972&gt;U$5,MAX(0,U$3+ROUND((U$9*($L972-U$5)),0)),IF($L972&gt;U$4,U$3,ROUND($L972*U$7,0)))</f>
        <v/>
      </c>
      <c r="K972" s="422" t="n"/>
      <c r="L972" s="448">
        <f>ROUND((A972+B972)/2,2)</f>
        <v/>
      </c>
    </row>
    <row r="973" ht="13.5" customHeight="1" s="7635">
      <c r="A973" s="448" t="n">
        <v>48400</v>
      </c>
      <c r="B973" s="447" t="n">
        <v>48450</v>
      </c>
      <c r="C973" s="1378">
        <f>IF($L973&gt;N$5,MAX(0,N$3+ROUND((N$9*($L973-N$5)),0)),IF($L973&gt;N$4,N$3,ROUND($L973*N$7,0)))</f>
        <v/>
      </c>
      <c r="D973" s="448">
        <f>IF($L973&gt;O$5,MAX(0,O$3+ROUND((O$9*($L973-O$5)),0)),IF($L973&gt;O$4,O$3,ROUND($L973*O$7,0)))</f>
        <v/>
      </c>
      <c r="E973" s="448">
        <f>IF($L973&gt;P$5,MAX(0,P$3+ROUND((P$9*($L973-P$5)),0)),IF($L973&gt;P$4,P$3,ROUND($L973*P$7,0)))</f>
        <v/>
      </c>
      <c r="F973" s="447">
        <f>IF($L973&gt;Q$5,MAX(0,Q$3+ROUND((Q$9*($L973-Q$5)),0)),IF($L973&gt;Q$4,Q$3,ROUND($L973*Q$7,0)))</f>
        <v/>
      </c>
      <c r="G973" s="1378">
        <f>IF($L973&gt;R$5,MAX(0,R$3+ROUND((R$9*($L973-R$5)),0)),IF($L973&gt;R$4,R$3,ROUND($L973*R$7,0)))</f>
        <v/>
      </c>
      <c r="H973" s="448">
        <f>IF($L973&gt;S$5,MAX(0,S$3+ROUND((S$9*($L973-S$5)),0)),IF($L973&gt;S$4,S$3,ROUND($L973*S$7,0)))</f>
        <v/>
      </c>
      <c r="I973" s="448">
        <f>IF($L973&gt;T$5,MAX(0,T$3+ROUND((T$9*($L973-T$5)),0)),IF($L973&gt;T$4,T$3,ROUND($L973*T$7,0)))</f>
        <v/>
      </c>
      <c r="J973" s="447">
        <f>IF($L973&gt;U$5,MAX(0,U$3+ROUND((U$9*($L973-U$5)),0)),IF($L973&gt;U$4,U$3,ROUND($L973*U$7,0)))</f>
        <v/>
      </c>
      <c r="K973" s="422" t="n"/>
      <c r="L973" s="448">
        <f>ROUND((A973+B973)/2,2)</f>
        <v/>
      </c>
    </row>
    <row r="974" ht="13.5" customHeight="1" s="7635">
      <c r="A974" s="448" t="n">
        <v>48450</v>
      </c>
      <c r="B974" s="447" t="n">
        <v>48500</v>
      </c>
      <c r="C974" s="1378">
        <f>IF($L974&gt;N$5,MAX(0,N$3+ROUND((N$9*($L974-N$5)),0)),IF($L974&gt;N$4,N$3,ROUND($L974*N$7,0)))</f>
        <v/>
      </c>
      <c r="D974" s="448">
        <f>IF($L974&gt;O$5,MAX(0,O$3+ROUND((O$9*($L974-O$5)),0)),IF($L974&gt;O$4,O$3,ROUND($L974*O$7,0)))</f>
        <v/>
      </c>
      <c r="E974" s="448">
        <f>IF($L974&gt;P$5,MAX(0,P$3+ROUND((P$9*($L974-P$5)),0)),IF($L974&gt;P$4,P$3,ROUND($L974*P$7,0)))</f>
        <v/>
      </c>
      <c r="F974" s="447">
        <f>IF($L974&gt;Q$5,MAX(0,Q$3+ROUND((Q$9*($L974-Q$5)),0)),IF($L974&gt;Q$4,Q$3,ROUND($L974*Q$7,0)))</f>
        <v/>
      </c>
      <c r="G974" s="1378">
        <f>IF($L974&gt;R$5,MAX(0,R$3+ROUND((R$9*($L974-R$5)),0)),IF($L974&gt;R$4,R$3,ROUND($L974*R$7,0)))</f>
        <v/>
      </c>
      <c r="H974" s="448">
        <f>IF($L974&gt;S$5,MAX(0,S$3+ROUND((S$9*($L974-S$5)),0)),IF($L974&gt;S$4,S$3,ROUND($L974*S$7,0)))</f>
        <v/>
      </c>
      <c r="I974" s="448">
        <f>IF($L974&gt;T$5,MAX(0,T$3+ROUND((T$9*($L974-T$5)),0)),IF($L974&gt;T$4,T$3,ROUND($L974*T$7,0)))</f>
        <v/>
      </c>
      <c r="J974" s="447">
        <f>IF($L974&gt;U$5,MAX(0,U$3+ROUND((U$9*($L974-U$5)),0)),IF($L974&gt;U$4,U$3,ROUND($L974*U$7,0)))</f>
        <v/>
      </c>
      <c r="K974" s="422" t="n"/>
      <c r="L974" s="448">
        <f>ROUND((A974+B974)/2,2)</f>
        <v/>
      </c>
    </row>
    <row r="975" ht="13.5" customHeight="1" s="7635">
      <c r="A975" s="448" t="n">
        <v>48500</v>
      </c>
      <c r="B975" s="447" t="n">
        <v>48550</v>
      </c>
      <c r="C975" s="1378">
        <f>IF($L975&gt;N$5,MAX(0,N$3+ROUND((N$9*($L975-N$5)),0)),IF($L975&gt;N$4,N$3,ROUND($L975*N$7,0)))</f>
        <v/>
      </c>
      <c r="D975" s="448">
        <f>IF($L975&gt;O$5,MAX(0,O$3+ROUND((O$9*($L975-O$5)),0)),IF($L975&gt;O$4,O$3,ROUND($L975*O$7,0)))</f>
        <v/>
      </c>
      <c r="E975" s="448">
        <f>IF($L975&gt;P$5,MAX(0,P$3+ROUND((P$9*($L975-P$5)),0)),IF($L975&gt;P$4,P$3,ROUND($L975*P$7,0)))</f>
        <v/>
      </c>
      <c r="F975" s="447">
        <f>IF($L975&gt;Q$5,MAX(0,Q$3+ROUND((Q$9*($L975-Q$5)),0)),IF($L975&gt;Q$4,Q$3,ROUND($L975*Q$7,0)))</f>
        <v/>
      </c>
      <c r="G975" s="1378">
        <f>IF($L975&gt;R$5,MAX(0,R$3+ROUND((R$9*($L975-R$5)),0)),IF($L975&gt;R$4,R$3,ROUND($L975*R$7,0)))</f>
        <v/>
      </c>
      <c r="H975" s="448">
        <f>IF($L975&gt;S$5,MAX(0,S$3+ROUND((S$9*($L975-S$5)),0)),IF($L975&gt;S$4,S$3,ROUND($L975*S$7,0)))</f>
        <v/>
      </c>
      <c r="I975" s="448">
        <f>IF($L975&gt;T$5,MAX(0,T$3+ROUND((T$9*($L975-T$5)),0)),IF($L975&gt;T$4,T$3,ROUND($L975*T$7,0)))</f>
        <v/>
      </c>
      <c r="J975" s="447">
        <f>IF($L975&gt;U$5,MAX(0,U$3+ROUND((U$9*($L975-U$5)),0)),IF($L975&gt;U$4,U$3,ROUND($L975*U$7,0)))</f>
        <v/>
      </c>
      <c r="K975" s="422" t="n"/>
      <c r="L975" s="448">
        <f>ROUND((A975+B975)/2,2)</f>
        <v/>
      </c>
    </row>
    <row r="976" ht="13.5" customHeight="1" s="7635">
      <c r="A976" s="448" t="n">
        <v>48550</v>
      </c>
      <c r="B976" s="447" t="n">
        <v>48600</v>
      </c>
      <c r="C976" s="1378">
        <f>IF($L976&gt;N$5,MAX(0,N$3+ROUND((N$9*($L976-N$5)),0)),IF($L976&gt;N$4,N$3,ROUND($L976*N$7,0)))</f>
        <v/>
      </c>
      <c r="D976" s="448">
        <f>IF($L976&gt;O$5,MAX(0,O$3+ROUND((O$9*($L976-O$5)),0)),IF($L976&gt;O$4,O$3,ROUND($L976*O$7,0)))</f>
        <v/>
      </c>
      <c r="E976" s="448">
        <f>IF($L976&gt;P$5,MAX(0,P$3+ROUND((P$9*($L976-P$5)),0)),IF($L976&gt;P$4,P$3,ROUND($L976*P$7,0)))</f>
        <v/>
      </c>
      <c r="F976" s="447">
        <f>IF($L976&gt;Q$5,MAX(0,Q$3+ROUND((Q$9*($L976-Q$5)),0)),IF($L976&gt;Q$4,Q$3,ROUND($L976*Q$7,0)))</f>
        <v/>
      </c>
      <c r="G976" s="1378">
        <f>IF($L976&gt;R$5,MAX(0,R$3+ROUND((R$9*($L976-R$5)),0)),IF($L976&gt;R$4,R$3,ROUND($L976*R$7,0)))</f>
        <v/>
      </c>
      <c r="H976" s="448">
        <f>IF($L976&gt;S$5,MAX(0,S$3+ROUND((S$9*($L976-S$5)),0)),IF($L976&gt;S$4,S$3,ROUND($L976*S$7,0)))</f>
        <v/>
      </c>
      <c r="I976" s="448">
        <f>IF($L976&gt;T$5,MAX(0,T$3+ROUND((T$9*($L976-T$5)),0)),IF($L976&gt;T$4,T$3,ROUND($L976*T$7,0)))</f>
        <v/>
      </c>
      <c r="J976" s="447">
        <f>IF($L976&gt;U$5,MAX(0,U$3+ROUND((U$9*($L976-U$5)),0)),IF($L976&gt;U$4,U$3,ROUND($L976*U$7,0)))</f>
        <v/>
      </c>
      <c r="K976" s="422" t="n"/>
      <c r="L976" s="448">
        <f>ROUND((A976+B976)/2,2)</f>
        <v/>
      </c>
    </row>
    <row r="977" ht="13.5" customHeight="1" s="7635">
      <c r="A977" s="448" t="n">
        <v>48600</v>
      </c>
      <c r="B977" s="447" t="n">
        <v>48650</v>
      </c>
      <c r="C977" s="1378">
        <f>IF($L977&gt;N$5,MAX(0,N$3+ROUND((N$9*($L977-N$5)),0)),IF($L977&gt;N$4,N$3,ROUND($L977*N$7,0)))</f>
        <v/>
      </c>
      <c r="D977" s="448">
        <f>IF($L977&gt;O$5,MAX(0,O$3+ROUND((O$9*($L977-O$5)),0)),IF($L977&gt;O$4,O$3,ROUND($L977*O$7,0)))</f>
        <v/>
      </c>
      <c r="E977" s="448">
        <f>IF($L977&gt;P$5,MAX(0,P$3+ROUND((P$9*($L977-P$5)),0)),IF($L977&gt;P$4,P$3,ROUND($L977*P$7,0)))</f>
        <v/>
      </c>
      <c r="F977" s="447">
        <f>IF($L977&gt;Q$5,MAX(0,Q$3+ROUND((Q$9*($L977-Q$5)),0)),IF($L977&gt;Q$4,Q$3,ROUND($L977*Q$7,0)))</f>
        <v/>
      </c>
      <c r="G977" s="1378">
        <f>IF($L977&gt;R$5,MAX(0,R$3+ROUND((R$9*($L977-R$5)),0)),IF($L977&gt;R$4,R$3,ROUND($L977*R$7,0)))</f>
        <v/>
      </c>
      <c r="H977" s="448">
        <f>IF($L977&gt;S$5,MAX(0,S$3+ROUND((S$9*($L977-S$5)),0)),IF($L977&gt;S$4,S$3,ROUND($L977*S$7,0)))</f>
        <v/>
      </c>
      <c r="I977" s="448">
        <f>IF($L977&gt;T$5,MAX(0,T$3+ROUND((T$9*($L977-T$5)),0)),IF($L977&gt;T$4,T$3,ROUND($L977*T$7,0)))</f>
        <v/>
      </c>
      <c r="J977" s="447">
        <f>IF($L977&gt;U$5,MAX(0,U$3+ROUND((U$9*($L977-U$5)),0)),IF($L977&gt;U$4,U$3,ROUND($L977*U$7,0)))</f>
        <v/>
      </c>
      <c r="K977" s="422" t="n"/>
      <c r="L977" s="448">
        <f>ROUND((A977+B977)/2,2)</f>
        <v/>
      </c>
    </row>
    <row r="978" ht="13.5" customHeight="1" s="7635">
      <c r="A978" s="448" t="n">
        <v>48650</v>
      </c>
      <c r="B978" s="447" t="n">
        <v>48700</v>
      </c>
      <c r="C978" s="1378">
        <f>IF($L978&gt;N$5,MAX(0,N$3+ROUND((N$9*($L978-N$5)),0)),IF($L978&gt;N$4,N$3,ROUND($L978*N$7,0)))</f>
        <v/>
      </c>
      <c r="D978" s="448">
        <f>IF($L978&gt;O$5,MAX(0,O$3+ROUND((O$9*($L978-O$5)),0)),IF($L978&gt;O$4,O$3,ROUND($L978*O$7,0)))</f>
        <v/>
      </c>
      <c r="E978" s="448">
        <f>IF($L978&gt;P$5,MAX(0,P$3+ROUND((P$9*($L978-P$5)),0)),IF($L978&gt;P$4,P$3,ROUND($L978*P$7,0)))</f>
        <v/>
      </c>
      <c r="F978" s="447">
        <f>IF($L978&gt;Q$5,MAX(0,Q$3+ROUND((Q$9*($L978-Q$5)),0)),IF($L978&gt;Q$4,Q$3,ROUND($L978*Q$7,0)))</f>
        <v/>
      </c>
      <c r="G978" s="1378">
        <f>IF($L978&gt;R$5,MAX(0,R$3+ROUND((R$9*($L978-R$5)),0)),IF($L978&gt;R$4,R$3,ROUND($L978*R$7,0)))</f>
        <v/>
      </c>
      <c r="H978" s="448">
        <f>IF($L978&gt;S$5,MAX(0,S$3+ROUND((S$9*($L978-S$5)),0)),IF($L978&gt;S$4,S$3,ROUND($L978*S$7,0)))</f>
        <v/>
      </c>
      <c r="I978" s="448">
        <f>IF($L978&gt;T$5,MAX(0,T$3+ROUND((T$9*($L978-T$5)),0)),IF($L978&gt;T$4,T$3,ROUND($L978*T$7,0)))</f>
        <v/>
      </c>
      <c r="J978" s="447">
        <f>IF($L978&gt;U$5,MAX(0,U$3+ROUND((U$9*($L978-U$5)),0)),IF($L978&gt;U$4,U$3,ROUND($L978*U$7,0)))</f>
        <v/>
      </c>
      <c r="K978" s="422" t="n"/>
      <c r="L978" s="448">
        <f>ROUND((A978+B978)/2,2)</f>
        <v/>
      </c>
    </row>
    <row r="979" ht="13.5" customHeight="1" s="7635">
      <c r="A979" s="448" t="n">
        <v>48700</v>
      </c>
      <c r="B979" s="447" t="n">
        <v>48750</v>
      </c>
      <c r="C979" s="1378">
        <f>IF($L979&gt;N$5,MAX(0,N$3+ROUND((N$9*($L979-N$5)),0)),IF($L979&gt;N$4,N$3,ROUND($L979*N$7,0)))</f>
        <v/>
      </c>
      <c r="D979" s="448">
        <f>IF($L979&gt;O$5,MAX(0,O$3+ROUND((O$9*($L979-O$5)),0)),IF($L979&gt;O$4,O$3,ROUND($L979*O$7,0)))</f>
        <v/>
      </c>
      <c r="E979" s="448">
        <f>IF($L979&gt;P$5,MAX(0,P$3+ROUND((P$9*($L979-P$5)),0)),IF($L979&gt;P$4,P$3,ROUND($L979*P$7,0)))</f>
        <v/>
      </c>
      <c r="F979" s="447">
        <f>IF($L979&gt;Q$5,MAX(0,Q$3+ROUND((Q$9*($L979-Q$5)),0)),IF($L979&gt;Q$4,Q$3,ROUND($L979*Q$7,0)))</f>
        <v/>
      </c>
      <c r="G979" s="1378">
        <f>IF($L979&gt;R$5,MAX(0,R$3+ROUND((R$9*($L979-R$5)),0)),IF($L979&gt;R$4,R$3,ROUND($L979*R$7,0)))</f>
        <v/>
      </c>
      <c r="H979" s="448">
        <f>IF($L979&gt;S$5,MAX(0,S$3+ROUND((S$9*($L979-S$5)),0)),IF($L979&gt;S$4,S$3,ROUND($L979*S$7,0)))</f>
        <v/>
      </c>
      <c r="I979" s="448">
        <f>IF($L979&gt;T$5,MAX(0,T$3+ROUND((T$9*($L979-T$5)),0)),IF($L979&gt;T$4,T$3,ROUND($L979*T$7,0)))</f>
        <v/>
      </c>
      <c r="J979" s="447">
        <f>IF($L979&gt;U$5,MAX(0,U$3+ROUND((U$9*($L979-U$5)),0)),IF($L979&gt;U$4,U$3,ROUND($L979*U$7,0)))</f>
        <v/>
      </c>
      <c r="K979" s="422" t="n"/>
      <c r="L979" s="448">
        <f>ROUND((A979+B979)/2,2)</f>
        <v/>
      </c>
    </row>
    <row r="980" ht="13.5" customHeight="1" s="7635">
      <c r="A980" s="448" t="n">
        <v>48750</v>
      </c>
      <c r="B980" s="447" t="n">
        <v>48800</v>
      </c>
      <c r="C980" s="1378">
        <f>IF($L980&gt;N$5,MAX(0,N$3+ROUND((N$9*($L980-N$5)),0)),IF($L980&gt;N$4,N$3,ROUND($L980*N$7,0)))</f>
        <v/>
      </c>
      <c r="D980" s="448">
        <f>IF($L980&gt;O$5,MAX(0,O$3+ROUND((O$9*($L980-O$5)),0)),IF($L980&gt;O$4,O$3,ROUND($L980*O$7,0)))</f>
        <v/>
      </c>
      <c r="E980" s="448">
        <f>IF($L980&gt;P$5,MAX(0,P$3+ROUND((P$9*($L980-P$5)),0)),IF($L980&gt;P$4,P$3,ROUND($L980*P$7,0)))</f>
        <v/>
      </c>
      <c r="F980" s="447">
        <f>IF($L980&gt;Q$5,MAX(0,Q$3+ROUND((Q$9*($L980-Q$5)),0)),IF($L980&gt;Q$4,Q$3,ROUND($L980*Q$7,0)))</f>
        <v/>
      </c>
      <c r="G980" s="1378">
        <f>IF($L980&gt;R$5,MAX(0,R$3+ROUND((R$9*($L980-R$5)),0)),IF($L980&gt;R$4,R$3,ROUND($L980*R$7,0)))</f>
        <v/>
      </c>
      <c r="H980" s="448">
        <f>IF($L980&gt;S$5,MAX(0,S$3+ROUND((S$9*($L980-S$5)),0)),IF($L980&gt;S$4,S$3,ROUND($L980*S$7,0)))</f>
        <v/>
      </c>
      <c r="I980" s="448">
        <f>IF($L980&gt;T$5,MAX(0,T$3+ROUND((T$9*($L980-T$5)),0)),IF($L980&gt;T$4,T$3,ROUND($L980*T$7,0)))</f>
        <v/>
      </c>
      <c r="J980" s="447">
        <f>IF($L980&gt;U$5,MAX(0,U$3+ROUND((U$9*($L980-U$5)),0)),IF($L980&gt;U$4,U$3,ROUND($L980*U$7,0)))</f>
        <v/>
      </c>
      <c r="K980" s="422" t="n"/>
      <c r="L980" s="448">
        <f>ROUND((A980+B980)/2,2)</f>
        <v/>
      </c>
    </row>
    <row r="981" ht="13.5" customHeight="1" s="7635">
      <c r="A981" s="448" t="n">
        <v>48800</v>
      </c>
      <c r="B981" s="447" t="n">
        <v>48850</v>
      </c>
      <c r="C981" s="1378">
        <f>IF($L981&gt;N$5,MAX(0,N$3+ROUND((N$9*($L981-N$5)),0)),IF($L981&gt;N$4,N$3,ROUND($L981*N$7,0)))</f>
        <v/>
      </c>
      <c r="D981" s="448">
        <f>IF($L981&gt;O$5,MAX(0,O$3+ROUND((O$9*($L981-O$5)),0)),IF($L981&gt;O$4,O$3,ROUND($L981*O$7,0)))</f>
        <v/>
      </c>
      <c r="E981" s="448">
        <f>IF($L981&gt;P$5,MAX(0,P$3+ROUND((P$9*($L981-P$5)),0)),IF($L981&gt;P$4,P$3,ROUND($L981*P$7,0)))</f>
        <v/>
      </c>
      <c r="F981" s="447">
        <f>IF($L981&gt;Q$5,MAX(0,Q$3+ROUND((Q$9*($L981-Q$5)),0)),IF($L981&gt;Q$4,Q$3,ROUND($L981*Q$7,0)))</f>
        <v/>
      </c>
      <c r="G981" s="1378">
        <f>IF($L981&gt;R$5,MAX(0,R$3+ROUND((R$9*($L981-R$5)),0)),IF($L981&gt;R$4,R$3,ROUND($L981*R$7,0)))</f>
        <v/>
      </c>
      <c r="H981" s="448">
        <f>IF($L981&gt;S$5,MAX(0,S$3+ROUND((S$9*($L981-S$5)),0)),IF($L981&gt;S$4,S$3,ROUND($L981*S$7,0)))</f>
        <v/>
      </c>
      <c r="I981" s="448">
        <f>IF($L981&gt;T$5,MAX(0,T$3+ROUND((T$9*($L981-T$5)),0)),IF($L981&gt;T$4,T$3,ROUND($L981*T$7,0)))</f>
        <v/>
      </c>
      <c r="J981" s="447">
        <f>IF($L981&gt;U$5,MAX(0,U$3+ROUND((U$9*($L981-U$5)),0)),IF($L981&gt;U$4,U$3,ROUND($L981*U$7,0)))</f>
        <v/>
      </c>
      <c r="K981" s="422" t="n"/>
      <c r="L981" s="448">
        <f>ROUND((A981+B981)/2,2)</f>
        <v/>
      </c>
    </row>
    <row r="982" ht="13.5" customHeight="1" s="7635">
      <c r="A982" s="448" t="n">
        <v>48850</v>
      </c>
      <c r="B982" s="447" t="n">
        <v>48900</v>
      </c>
      <c r="C982" s="1378">
        <f>IF($L982&gt;N$5,MAX(0,N$3+ROUND((N$9*($L982-N$5)),0)),IF($L982&gt;N$4,N$3,ROUND($L982*N$7,0)))</f>
        <v/>
      </c>
      <c r="D982" s="448">
        <f>IF($L982&gt;O$5,MAX(0,O$3+ROUND((O$9*($L982-O$5)),0)),IF($L982&gt;O$4,O$3,ROUND($L982*O$7,0)))</f>
        <v/>
      </c>
      <c r="E982" s="448">
        <f>IF($L982&gt;P$5,MAX(0,P$3+ROUND((P$9*($L982-P$5)),0)),IF($L982&gt;P$4,P$3,ROUND($L982*P$7,0)))</f>
        <v/>
      </c>
      <c r="F982" s="447">
        <f>IF($L982&gt;Q$5,MAX(0,Q$3+ROUND((Q$9*($L982-Q$5)),0)),IF($L982&gt;Q$4,Q$3,ROUND($L982*Q$7,0)))</f>
        <v/>
      </c>
      <c r="G982" s="1378">
        <f>IF($L982&gt;R$5,MAX(0,R$3+ROUND((R$9*($L982-R$5)),0)),IF($L982&gt;R$4,R$3,ROUND($L982*R$7,0)))</f>
        <v/>
      </c>
      <c r="H982" s="448">
        <f>IF($L982&gt;S$5,MAX(0,S$3+ROUND((S$9*($L982-S$5)),0)),IF($L982&gt;S$4,S$3,ROUND($L982*S$7,0)))</f>
        <v/>
      </c>
      <c r="I982" s="448">
        <f>IF($L982&gt;T$5,MAX(0,T$3+ROUND((T$9*($L982-T$5)),0)),IF($L982&gt;T$4,T$3,ROUND($L982*T$7,0)))</f>
        <v/>
      </c>
      <c r="J982" s="447">
        <f>IF($L982&gt;U$5,MAX(0,U$3+ROUND((U$9*($L982-U$5)),0)),IF($L982&gt;U$4,U$3,ROUND($L982*U$7,0)))</f>
        <v/>
      </c>
      <c r="K982" s="422" t="n"/>
      <c r="L982" s="448">
        <f>ROUND((A982+B982)/2,2)</f>
        <v/>
      </c>
    </row>
    <row r="983" ht="13.5" customHeight="1" s="7635">
      <c r="A983" s="448" t="n">
        <v>48900</v>
      </c>
      <c r="B983" s="447" t="n">
        <v>48950</v>
      </c>
      <c r="C983" s="1378">
        <f>IF($L983&gt;N$5,MAX(0,N$3+ROUND((N$9*($L983-N$5)),0)),IF($L983&gt;N$4,N$3,ROUND($L983*N$7,0)))</f>
        <v/>
      </c>
      <c r="D983" s="448">
        <f>IF($L983&gt;O$5,MAX(0,O$3+ROUND((O$9*($L983-O$5)),0)),IF($L983&gt;O$4,O$3,ROUND($L983*O$7,0)))</f>
        <v/>
      </c>
      <c r="E983" s="448">
        <f>IF($L983&gt;P$5,MAX(0,P$3+ROUND((P$9*($L983-P$5)),0)),IF($L983&gt;P$4,P$3,ROUND($L983*P$7,0)))</f>
        <v/>
      </c>
      <c r="F983" s="447">
        <f>IF($L983&gt;Q$5,MAX(0,Q$3+ROUND((Q$9*($L983-Q$5)),0)),IF($L983&gt;Q$4,Q$3,ROUND($L983*Q$7,0)))</f>
        <v/>
      </c>
      <c r="G983" s="1378">
        <f>IF($L983&gt;R$5,MAX(0,R$3+ROUND((R$9*($L983-R$5)),0)),IF($L983&gt;R$4,R$3,ROUND($L983*R$7,0)))</f>
        <v/>
      </c>
      <c r="H983" s="448">
        <f>IF($L983&gt;S$5,MAX(0,S$3+ROUND((S$9*($L983-S$5)),0)),IF($L983&gt;S$4,S$3,ROUND($L983*S$7,0)))</f>
        <v/>
      </c>
      <c r="I983" s="448">
        <f>IF($L983&gt;T$5,MAX(0,T$3+ROUND((T$9*($L983-T$5)),0)),IF($L983&gt;T$4,T$3,ROUND($L983*T$7,0)))</f>
        <v/>
      </c>
      <c r="J983" s="447">
        <f>IF($L983&gt;U$5,MAX(0,U$3+ROUND((U$9*($L983-U$5)),0)),IF($L983&gt;U$4,U$3,ROUND($L983*U$7,0)))</f>
        <v/>
      </c>
      <c r="K983" s="422" t="n"/>
      <c r="L983" s="448">
        <f>ROUND((A983+B983)/2,2)</f>
        <v/>
      </c>
    </row>
    <row r="984" ht="13.5" customHeight="1" s="7635">
      <c r="A984" s="448" t="n">
        <v>48950</v>
      </c>
      <c r="B984" s="447" t="n">
        <v>49000</v>
      </c>
      <c r="C984" s="1378">
        <f>IF($L984&gt;N$5,MAX(0,N$3+ROUND((N$9*($L984-N$5)),0)),IF($L984&gt;N$4,N$3,ROUND($L984*N$7,0)))</f>
        <v/>
      </c>
      <c r="D984" s="448">
        <f>IF($L984&gt;O$5,MAX(0,O$3+ROUND((O$9*($L984-O$5)),0)),IF($L984&gt;O$4,O$3,ROUND($L984*O$7,0)))</f>
        <v/>
      </c>
      <c r="E984" s="448">
        <f>IF($L984&gt;P$5,MAX(0,P$3+ROUND((P$9*($L984-P$5)),0)),IF($L984&gt;P$4,P$3,ROUND($L984*P$7,0)))</f>
        <v/>
      </c>
      <c r="F984" s="447">
        <f>IF($L984&gt;Q$5,MAX(0,Q$3+ROUND((Q$9*($L984-Q$5)),0)),IF($L984&gt;Q$4,Q$3,ROUND($L984*Q$7,0)))</f>
        <v/>
      </c>
      <c r="G984" s="1378">
        <f>IF($L984&gt;R$5,MAX(0,R$3+ROUND((R$9*($L984-R$5)),0)),IF($L984&gt;R$4,R$3,ROUND($L984*R$7,0)))</f>
        <v/>
      </c>
      <c r="H984" s="448">
        <f>IF($L984&gt;S$5,MAX(0,S$3+ROUND((S$9*($L984-S$5)),0)),IF($L984&gt;S$4,S$3,ROUND($L984*S$7,0)))</f>
        <v/>
      </c>
      <c r="I984" s="448">
        <f>IF($L984&gt;T$5,MAX(0,T$3+ROUND((T$9*($L984-T$5)),0)),IF($L984&gt;T$4,T$3,ROUND($L984*T$7,0)))</f>
        <v/>
      </c>
      <c r="J984" s="447">
        <f>IF($L984&gt;U$5,MAX(0,U$3+ROUND((U$9*($L984-U$5)),0)),IF($L984&gt;U$4,U$3,ROUND($L984*U$7,0)))</f>
        <v/>
      </c>
      <c r="K984" s="422" t="n"/>
      <c r="L984" s="448">
        <f>ROUND((A984+B984)/2,2)</f>
        <v/>
      </c>
    </row>
    <row r="985" ht="13.5" customHeight="1" s="7635">
      <c r="A985" s="448" t="n">
        <v>49000</v>
      </c>
      <c r="B985" s="447" t="n">
        <v>49050</v>
      </c>
      <c r="C985" s="1378">
        <f>IF($L985&gt;N$5,MAX(0,N$3+ROUND((N$9*($L985-N$5)),0)),IF($L985&gt;N$4,N$3,ROUND($L985*N$7,0)))</f>
        <v/>
      </c>
      <c r="D985" s="448">
        <f>IF($L985&gt;O$5,MAX(0,O$3+ROUND((O$9*($L985-O$5)),0)),IF($L985&gt;O$4,O$3,ROUND($L985*O$7,0)))</f>
        <v/>
      </c>
      <c r="E985" s="448">
        <f>IF($L985&gt;P$5,MAX(0,P$3+ROUND((P$9*($L985-P$5)),0)),IF($L985&gt;P$4,P$3,ROUND($L985*P$7,0)))</f>
        <v/>
      </c>
      <c r="F985" s="447">
        <f>IF($L985&gt;Q$5,MAX(0,Q$3+ROUND((Q$9*($L985-Q$5)),0)),IF($L985&gt;Q$4,Q$3,ROUND($L985*Q$7,0)))</f>
        <v/>
      </c>
      <c r="G985" s="1378">
        <f>IF($L985&gt;R$5,MAX(0,R$3+ROUND((R$9*($L985-R$5)),0)),IF($L985&gt;R$4,R$3,ROUND($L985*R$7,0)))</f>
        <v/>
      </c>
      <c r="H985" s="448">
        <f>IF($L985&gt;S$5,MAX(0,S$3+ROUND((S$9*($L985-S$5)),0)),IF($L985&gt;S$4,S$3,ROUND($L985*S$7,0)))</f>
        <v/>
      </c>
      <c r="I985" s="448">
        <f>IF($L985&gt;T$5,MAX(0,T$3+ROUND((T$9*($L985-T$5)),0)),IF($L985&gt;T$4,T$3,ROUND($L985*T$7,0)))</f>
        <v/>
      </c>
      <c r="J985" s="447">
        <f>IF($L985&gt;U$5,MAX(0,U$3+ROUND((U$9*($L985-U$5)),0)),IF($L985&gt;U$4,U$3,ROUND($L985*U$7,0)))</f>
        <v/>
      </c>
      <c r="K985" s="422" t="n"/>
      <c r="L985" s="448">
        <f>ROUND((A985+B985)/2,2)</f>
        <v/>
      </c>
    </row>
    <row r="986" ht="13.5" customHeight="1" s="7635">
      <c r="A986" s="448" t="n">
        <v>49050</v>
      </c>
      <c r="B986" s="447" t="n">
        <v>49100</v>
      </c>
      <c r="C986" s="1378">
        <f>IF($L986&gt;N$5,MAX(0,N$3+ROUND((N$9*($L986-N$5)),0)),IF($L986&gt;N$4,N$3,ROUND($L986*N$7,0)))</f>
        <v/>
      </c>
      <c r="D986" s="448">
        <f>IF($L986&gt;O$5,MAX(0,O$3+ROUND((O$9*($L986-O$5)),0)),IF($L986&gt;O$4,O$3,ROUND($L986*O$7,0)))</f>
        <v/>
      </c>
      <c r="E986" s="448">
        <f>IF($L986&gt;P$5,MAX(0,P$3+ROUND((P$9*($L986-P$5)),0)),IF($L986&gt;P$4,P$3,ROUND($L986*P$7,0)))</f>
        <v/>
      </c>
      <c r="F986" s="447">
        <f>IF($L986&gt;Q$5,MAX(0,Q$3+ROUND((Q$9*($L986-Q$5)),0)),IF($L986&gt;Q$4,Q$3,ROUND($L986*Q$7,0)))</f>
        <v/>
      </c>
      <c r="G986" s="1378">
        <f>IF($L986&gt;R$5,MAX(0,R$3+ROUND((R$9*($L986-R$5)),0)),IF($L986&gt;R$4,R$3,ROUND($L986*R$7,0)))</f>
        <v/>
      </c>
      <c r="H986" s="448">
        <f>IF($L986&gt;S$5,MAX(0,S$3+ROUND((S$9*($L986-S$5)),0)),IF($L986&gt;S$4,S$3,ROUND($L986*S$7,0)))</f>
        <v/>
      </c>
      <c r="I986" s="448">
        <f>IF($L986&gt;T$5,MAX(0,T$3+ROUND((T$9*($L986-T$5)),0)),IF($L986&gt;T$4,T$3,ROUND($L986*T$7,0)))</f>
        <v/>
      </c>
      <c r="J986" s="447">
        <f>IF($L986&gt;U$5,MAX(0,U$3+ROUND((U$9*($L986-U$5)),0)),IF($L986&gt;U$4,U$3,ROUND($L986*U$7,0)))</f>
        <v/>
      </c>
      <c r="K986" s="422" t="n"/>
      <c r="L986" s="448">
        <f>ROUND((A986+B986)/2,2)</f>
        <v/>
      </c>
    </row>
    <row r="987" ht="13.5" customHeight="1" s="7635">
      <c r="A987" s="448" t="n">
        <v>49100</v>
      </c>
      <c r="B987" s="447" t="n">
        <v>49150</v>
      </c>
      <c r="C987" s="1378">
        <f>IF($L987&gt;N$5,MAX(0,N$3+ROUND((N$9*($L987-N$5)),0)),IF($L987&gt;N$4,N$3,ROUND($L987*N$7,0)))</f>
        <v/>
      </c>
      <c r="D987" s="448">
        <f>IF($L987&gt;O$5,MAX(0,O$3+ROUND((O$9*($L987-O$5)),0)),IF($L987&gt;O$4,O$3,ROUND($L987*O$7,0)))</f>
        <v/>
      </c>
      <c r="E987" s="448">
        <f>IF($L987&gt;P$5,MAX(0,P$3+ROUND((P$9*($L987-P$5)),0)),IF($L987&gt;P$4,P$3,ROUND($L987*P$7,0)))</f>
        <v/>
      </c>
      <c r="F987" s="447">
        <f>IF($L987&gt;Q$5,MAX(0,Q$3+ROUND((Q$9*($L987-Q$5)),0)),IF($L987&gt;Q$4,Q$3,ROUND($L987*Q$7,0)))</f>
        <v/>
      </c>
      <c r="G987" s="1378">
        <f>IF($L987&gt;R$5,MAX(0,R$3+ROUND((R$9*($L987-R$5)),0)),IF($L987&gt;R$4,R$3,ROUND($L987*R$7,0)))</f>
        <v/>
      </c>
      <c r="H987" s="448">
        <f>IF($L987&gt;S$5,MAX(0,S$3+ROUND((S$9*($L987-S$5)),0)),IF($L987&gt;S$4,S$3,ROUND($L987*S$7,0)))</f>
        <v/>
      </c>
      <c r="I987" s="448">
        <f>IF($L987&gt;T$5,MAX(0,T$3+ROUND((T$9*($L987-T$5)),0)),IF($L987&gt;T$4,T$3,ROUND($L987*T$7,0)))</f>
        <v/>
      </c>
      <c r="J987" s="447">
        <f>IF($L987&gt;U$5,MAX(0,U$3+ROUND((U$9*($L987-U$5)),0)),IF($L987&gt;U$4,U$3,ROUND($L987*U$7,0)))</f>
        <v/>
      </c>
      <c r="K987" s="422" t="n"/>
      <c r="L987" s="448">
        <f>ROUND((A987+B987)/2,2)</f>
        <v/>
      </c>
    </row>
    <row r="988" ht="13.5" customHeight="1" s="7635">
      <c r="A988" s="448" t="n">
        <v>49150</v>
      </c>
      <c r="B988" s="447" t="n">
        <v>49200</v>
      </c>
      <c r="C988" s="1378">
        <f>IF($L988&gt;N$5,MAX(0,N$3+ROUND((N$9*($L988-N$5)),0)),IF($L988&gt;N$4,N$3,ROUND($L988*N$7,0)))</f>
        <v/>
      </c>
      <c r="D988" s="448">
        <f>IF($L988&gt;O$5,MAX(0,O$3+ROUND((O$9*($L988-O$5)),0)),IF($L988&gt;O$4,O$3,ROUND($L988*O$7,0)))</f>
        <v/>
      </c>
      <c r="E988" s="448">
        <f>IF($L988&gt;P$5,MAX(0,P$3+ROUND((P$9*($L988-P$5)),0)),IF($L988&gt;P$4,P$3,ROUND($L988*P$7,0)))</f>
        <v/>
      </c>
      <c r="F988" s="447">
        <f>IF($L988&gt;Q$5,MAX(0,Q$3+ROUND((Q$9*($L988-Q$5)),0)),IF($L988&gt;Q$4,Q$3,ROUND($L988*Q$7,0)))</f>
        <v/>
      </c>
      <c r="G988" s="1378">
        <f>IF($L988&gt;R$5,MAX(0,R$3+ROUND((R$9*($L988-R$5)),0)),IF($L988&gt;R$4,R$3,ROUND($L988*R$7,0)))</f>
        <v/>
      </c>
      <c r="H988" s="448">
        <f>IF($L988&gt;S$5,MAX(0,S$3+ROUND((S$9*($L988-S$5)),0)),IF($L988&gt;S$4,S$3,ROUND($L988*S$7,0)))</f>
        <v/>
      </c>
      <c r="I988" s="448">
        <f>IF($L988&gt;T$5,MAX(0,T$3+ROUND((T$9*($L988-T$5)),0)),IF($L988&gt;T$4,T$3,ROUND($L988*T$7,0)))</f>
        <v/>
      </c>
      <c r="J988" s="447">
        <f>IF($L988&gt;U$5,MAX(0,U$3+ROUND((U$9*($L988-U$5)),0)),IF($L988&gt;U$4,U$3,ROUND($L988*U$7,0)))</f>
        <v/>
      </c>
      <c r="K988" s="422" t="n"/>
      <c r="L988" s="448">
        <f>ROUND((A988+B988)/2,2)</f>
        <v/>
      </c>
    </row>
    <row r="989" ht="13.5" customHeight="1" s="7635">
      <c r="A989" s="448" t="n">
        <v>49200</v>
      </c>
      <c r="B989" s="447" t="n">
        <v>49250</v>
      </c>
      <c r="C989" s="1378">
        <f>IF($L989&gt;N$5,MAX(0,N$3+ROUND((N$9*($L989-N$5)),0)),IF($L989&gt;N$4,N$3,ROUND($L989*N$7,0)))</f>
        <v/>
      </c>
      <c r="D989" s="448">
        <f>IF($L989&gt;O$5,MAX(0,O$3+ROUND((O$9*($L989-O$5)),0)),IF($L989&gt;O$4,O$3,ROUND($L989*O$7,0)))</f>
        <v/>
      </c>
      <c r="E989" s="448">
        <f>IF($L989&gt;P$5,MAX(0,P$3+ROUND((P$9*($L989-P$5)),0)),IF($L989&gt;P$4,P$3,ROUND($L989*P$7,0)))</f>
        <v/>
      </c>
      <c r="F989" s="447">
        <f>IF($L989&gt;Q$5,MAX(0,Q$3+ROUND((Q$9*($L989-Q$5)),0)),IF($L989&gt;Q$4,Q$3,ROUND($L989*Q$7,0)))</f>
        <v/>
      </c>
      <c r="G989" s="1378">
        <f>IF($L989&gt;R$5,MAX(0,R$3+ROUND((R$9*($L989-R$5)),0)),IF($L989&gt;R$4,R$3,ROUND($L989*R$7,0)))</f>
        <v/>
      </c>
      <c r="H989" s="448">
        <f>IF($L989&gt;S$5,MAX(0,S$3+ROUND((S$9*($L989-S$5)),0)),IF($L989&gt;S$4,S$3,ROUND($L989*S$7,0)))</f>
        <v/>
      </c>
      <c r="I989" s="448">
        <f>IF($L989&gt;T$5,MAX(0,T$3+ROUND((T$9*($L989-T$5)),0)),IF($L989&gt;T$4,T$3,ROUND($L989*T$7,0)))</f>
        <v/>
      </c>
      <c r="J989" s="447">
        <f>IF($L989&gt;U$5,MAX(0,U$3+ROUND((U$9*($L989-U$5)),0)),IF($L989&gt;U$4,U$3,ROUND($L989*U$7,0)))</f>
        <v/>
      </c>
      <c r="K989" s="422" t="n"/>
      <c r="L989" s="448">
        <f>ROUND((A989+B989)/2,2)</f>
        <v/>
      </c>
    </row>
    <row r="990" ht="13.5" customHeight="1" s="7635">
      <c r="A990" s="448" t="n">
        <v>49250</v>
      </c>
      <c r="B990" s="447" t="n">
        <v>49300</v>
      </c>
      <c r="C990" s="1378">
        <f>IF($L990&gt;N$5,MAX(0,N$3+ROUND((N$9*($L990-N$5)),0)),IF($L990&gt;N$4,N$3,ROUND($L990*N$7,0)))</f>
        <v/>
      </c>
      <c r="D990" s="448">
        <f>IF($L990&gt;O$5,MAX(0,O$3+ROUND((O$9*($L990-O$5)),0)),IF($L990&gt;O$4,O$3,ROUND($L990*O$7,0)))</f>
        <v/>
      </c>
      <c r="E990" s="448">
        <f>IF($L990&gt;P$5,MAX(0,P$3+ROUND((P$9*($L990-P$5)),0)),IF($L990&gt;P$4,P$3,ROUND($L990*P$7,0)))</f>
        <v/>
      </c>
      <c r="F990" s="447">
        <f>IF($L990&gt;Q$5,MAX(0,Q$3+ROUND((Q$9*($L990-Q$5)),0)),IF($L990&gt;Q$4,Q$3,ROUND($L990*Q$7,0)))</f>
        <v/>
      </c>
      <c r="G990" s="1378">
        <f>IF($L990&gt;R$5,MAX(0,R$3+ROUND((R$9*($L990-R$5)),0)),IF($L990&gt;R$4,R$3,ROUND($L990*R$7,0)))</f>
        <v/>
      </c>
      <c r="H990" s="448">
        <f>IF($L990&gt;S$5,MAX(0,S$3+ROUND((S$9*($L990-S$5)),0)),IF($L990&gt;S$4,S$3,ROUND($L990*S$7,0)))</f>
        <v/>
      </c>
      <c r="I990" s="448">
        <f>IF($L990&gt;T$5,MAX(0,T$3+ROUND((T$9*($L990-T$5)),0)),IF($L990&gt;T$4,T$3,ROUND($L990*T$7,0)))</f>
        <v/>
      </c>
      <c r="J990" s="447">
        <f>IF($L990&gt;U$5,MAX(0,U$3+ROUND((U$9*($L990-U$5)),0)),IF($L990&gt;U$4,U$3,ROUND($L990*U$7,0)))</f>
        <v/>
      </c>
      <c r="K990" s="422" t="n"/>
      <c r="L990" s="448">
        <f>ROUND((A990+B990)/2,2)</f>
        <v/>
      </c>
    </row>
    <row r="991" ht="13.5" customHeight="1" s="7635">
      <c r="A991" s="448" t="n">
        <v>49300</v>
      </c>
      <c r="B991" s="447" t="n">
        <v>49350</v>
      </c>
      <c r="C991" s="1378">
        <f>IF($L991&gt;N$5,MAX(0,N$3+ROUND((N$9*($L991-N$5)),0)),IF($L991&gt;N$4,N$3,ROUND($L991*N$7,0)))</f>
        <v/>
      </c>
      <c r="D991" s="448">
        <f>IF($L991&gt;O$5,MAX(0,O$3+ROUND((O$9*($L991-O$5)),0)),IF($L991&gt;O$4,O$3,ROUND($L991*O$7,0)))</f>
        <v/>
      </c>
      <c r="E991" s="448">
        <f>IF($L991&gt;P$5,MAX(0,P$3+ROUND((P$9*($L991-P$5)),0)),IF($L991&gt;P$4,P$3,ROUND($L991*P$7,0)))</f>
        <v/>
      </c>
      <c r="F991" s="447">
        <f>IF($L991&gt;Q$5,MAX(0,Q$3+ROUND((Q$9*($L991-Q$5)),0)),IF($L991&gt;Q$4,Q$3,ROUND($L991*Q$7,0)))</f>
        <v/>
      </c>
      <c r="G991" s="1378">
        <f>IF($L991&gt;R$5,MAX(0,R$3+ROUND((R$9*($L991-R$5)),0)),IF($L991&gt;R$4,R$3,ROUND($L991*R$7,0)))</f>
        <v/>
      </c>
      <c r="H991" s="448">
        <f>IF($L991&gt;S$5,MAX(0,S$3+ROUND((S$9*($L991-S$5)),0)),IF($L991&gt;S$4,S$3,ROUND($L991*S$7,0)))</f>
        <v/>
      </c>
      <c r="I991" s="448">
        <f>IF($L991&gt;T$5,MAX(0,T$3+ROUND((T$9*($L991-T$5)),0)),IF($L991&gt;T$4,T$3,ROUND($L991*T$7,0)))</f>
        <v/>
      </c>
      <c r="J991" s="447">
        <f>IF($L991&gt;U$5,MAX(0,U$3+ROUND((U$9*($L991-U$5)),0)),IF($L991&gt;U$4,U$3,ROUND($L991*U$7,0)))</f>
        <v/>
      </c>
      <c r="K991" s="422" t="n"/>
      <c r="L991" s="448">
        <f>ROUND((A991+B991)/2,2)</f>
        <v/>
      </c>
    </row>
    <row r="992" ht="13.5" customHeight="1" s="7635">
      <c r="A992" s="448" t="n">
        <v>49350</v>
      </c>
      <c r="B992" s="447" t="n">
        <v>49400</v>
      </c>
      <c r="C992" s="1378">
        <f>IF($L992&gt;N$5,MAX(0,N$3+ROUND((N$9*($L992-N$5)),0)),IF($L992&gt;N$4,N$3,ROUND($L992*N$7,0)))</f>
        <v/>
      </c>
      <c r="D992" s="448">
        <f>IF($L992&gt;O$5,MAX(0,O$3+ROUND((O$9*($L992-O$5)),0)),IF($L992&gt;O$4,O$3,ROUND($L992*O$7,0)))</f>
        <v/>
      </c>
      <c r="E992" s="448">
        <f>IF($L992&gt;P$5,MAX(0,P$3+ROUND((P$9*($L992-P$5)),0)),IF($L992&gt;P$4,P$3,ROUND($L992*P$7,0)))</f>
        <v/>
      </c>
      <c r="F992" s="447">
        <f>IF($L992&gt;Q$5,MAX(0,Q$3+ROUND((Q$9*($L992-Q$5)),0)),IF($L992&gt;Q$4,Q$3,ROUND($L992*Q$7,0)))</f>
        <v/>
      </c>
      <c r="G992" s="1378">
        <f>IF($L992&gt;R$5,MAX(0,R$3+ROUND((R$9*($L992-R$5)),0)),IF($L992&gt;R$4,R$3,ROUND($L992*R$7,0)))</f>
        <v/>
      </c>
      <c r="H992" s="448">
        <f>IF($L992&gt;S$5,MAX(0,S$3+ROUND((S$9*($L992-S$5)),0)),IF($L992&gt;S$4,S$3,ROUND($L992*S$7,0)))</f>
        <v/>
      </c>
      <c r="I992" s="448">
        <f>IF($L992&gt;T$5,MAX(0,T$3+ROUND((T$9*($L992-T$5)),0)),IF($L992&gt;T$4,T$3,ROUND($L992*T$7,0)))</f>
        <v/>
      </c>
      <c r="J992" s="447">
        <f>IF($L992&gt;U$5,MAX(0,U$3+ROUND((U$9*($L992-U$5)),0)),IF($L992&gt;U$4,U$3,ROUND($L992*U$7,0)))</f>
        <v/>
      </c>
      <c r="K992" s="422" t="n"/>
      <c r="L992" s="448">
        <f>ROUND((A992+B992)/2,2)</f>
        <v/>
      </c>
    </row>
    <row r="993" ht="13.5" customHeight="1" s="7635">
      <c r="A993" s="448" t="n">
        <v>49400</v>
      </c>
      <c r="B993" s="447" t="n">
        <v>49450</v>
      </c>
      <c r="C993" s="1378">
        <f>IF($L993&gt;N$5,MAX(0,N$3+ROUND((N$9*($L993-N$5)),0)),IF($L993&gt;N$4,N$3,ROUND($L993*N$7,0)))</f>
        <v/>
      </c>
      <c r="D993" s="448">
        <f>IF($L993&gt;O$5,MAX(0,O$3+ROUND((O$9*($L993-O$5)),0)),IF($L993&gt;O$4,O$3,ROUND($L993*O$7,0)))</f>
        <v/>
      </c>
      <c r="E993" s="448">
        <f>IF($L993&gt;P$5,MAX(0,P$3+ROUND((P$9*($L993-P$5)),0)),IF($L993&gt;P$4,P$3,ROUND($L993*P$7,0)))</f>
        <v/>
      </c>
      <c r="F993" s="447">
        <f>IF($L993&gt;Q$5,MAX(0,Q$3+ROUND((Q$9*($L993-Q$5)),0)),IF($L993&gt;Q$4,Q$3,ROUND($L993*Q$7,0)))</f>
        <v/>
      </c>
      <c r="G993" s="1378">
        <f>IF($L993&gt;R$5,MAX(0,R$3+ROUND((R$9*($L993-R$5)),0)),IF($L993&gt;R$4,R$3,ROUND($L993*R$7,0)))</f>
        <v/>
      </c>
      <c r="H993" s="448">
        <f>IF($L993&gt;S$5,MAX(0,S$3+ROUND((S$9*($L993-S$5)),0)),IF($L993&gt;S$4,S$3,ROUND($L993*S$7,0)))</f>
        <v/>
      </c>
      <c r="I993" s="448">
        <f>IF($L993&gt;T$5,MAX(0,T$3+ROUND((T$9*($L993-T$5)),0)),IF($L993&gt;T$4,T$3,ROUND($L993*T$7,0)))</f>
        <v/>
      </c>
      <c r="J993" s="447">
        <f>IF($L993&gt;U$5,MAX(0,U$3+ROUND((U$9*($L993-U$5)),0)),IF($L993&gt;U$4,U$3,ROUND($L993*U$7,0)))</f>
        <v/>
      </c>
      <c r="K993" s="422" t="n"/>
      <c r="L993" s="448">
        <f>ROUND((A993+B993)/2,2)</f>
        <v/>
      </c>
    </row>
    <row r="994" ht="13.5" customHeight="1" s="7635">
      <c r="A994" s="448" t="n">
        <v>49450</v>
      </c>
      <c r="B994" s="447" t="n">
        <v>49500</v>
      </c>
      <c r="C994" s="1378">
        <f>IF($L994&gt;N$5,MAX(0,N$3+ROUND((N$9*($L994-N$5)),0)),IF($L994&gt;N$4,N$3,ROUND($L994*N$7,0)))</f>
        <v/>
      </c>
      <c r="D994" s="448">
        <f>IF($L994&gt;O$5,MAX(0,O$3+ROUND((O$9*($L994-O$5)),0)),IF($L994&gt;O$4,O$3,ROUND($L994*O$7,0)))</f>
        <v/>
      </c>
      <c r="E994" s="448">
        <f>IF($L994&gt;P$5,MAX(0,P$3+ROUND((P$9*($L994-P$5)),0)),IF($L994&gt;P$4,P$3,ROUND($L994*P$7,0)))</f>
        <v/>
      </c>
      <c r="F994" s="447">
        <f>IF($L994&gt;Q$5,MAX(0,Q$3+ROUND((Q$9*($L994-Q$5)),0)),IF($L994&gt;Q$4,Q$3,ROUND($L994*Q$7,0)))</f>
        <v/>
      </c>
      <c r="G994" s="1378">
        <f>IF($L994&gt;R$5,MAX(0,R$3+ROUND((R$9*($L994-R$5)),0)),IF($L994&gt;R$4,R$3,ROUND($L994*R$7,0)))</f>
        <v/>
      </c>
      <c r="H994" s="448">
        <f>IF($L994&gt;S$5,MAX(0,S$3+ROUND((S$9*($L994-S$5)),0)),IF($L994&gt;S$4,S$3,ROUND($L994*S$7,0)))</f>
        <v/>
      </c>
      <c r="I994" s="448">
        <f>IF($L994&gt;T$5,MAX(0,T$3+ROUND((T$9*($L994-T$5)),0)),IF($L994&gt;T$4,T$3,ROUND($L994*T$7,0)))</f>
        <v/>
      </c>
      <c r="J994" s="447">
        <f>IF($L994&gt;U$5,MAX(0,U$3+ROUND((U$9*($L994-U$5)),0)),IF($L994&gt;U$4,U$3,ROUND($L994*U$7,0)))</f>
        <v/>
      </c>
      <c r="K994" s="422" t="n"/>
      <c r="L994" s="448">
        <f>ROUND((A994+B994)/2,2)</f>
        <v/>
      </c>
    </row>
    <row r="995" ht="13.5" customHeight="1" s="7635">
      <c r="A995" s="448" t="n">
        <v>49500</v>
      </c>
      <c r="B995" s="447" t="n">
        <v>49550</v>
      </c>
      <c r="C995" s="1378">
        <f>IF($L995&gt;N$5,MAX(0,N$3+ROUND((N$9*($L995-N$5)),0)),IF($L995&gt;N$4,N$3,ROUND($L995*N$7,0)))</f>
        <v/>
      </c>
      <c r="D995" s="448">
        <f>IF($L995&gt;O$5,MAX(0,O$3+ROUND((O$9*($L995-O$5)),0)),IF($L995&gt;O$4,O$3,ROUND($L995*O$7,0)))</f>
        <v/>
      </c>
      <c r="E995" s="448">
        <f>IF($L995&gt;P$5,MAX(0,P$3+ROUND((P$9*($L995-P$5)),0)),IF($L995&gt;P$4,P$3,ROUND($L995*P$7,0)))</f>
        <v/>
      </c>
      <c r="F995" s="447">
        <f>IF($L995&gt;Q$5,MAX(0,Q$3+ROUND((Q$9*($L995-Q$5)),0)),IF($L995&gt;Q$4,Q$3,ROUND($L995*Q$7,0)))</f>
        <v/>
      </c>
      <c r="G995" s="1378">
        <f>IF($L995&gt;R$5,MAX(0,R$3+ROUND((R$9*($L995-R$5)),0)),IF($L995&gt;R$4,R$3,ROUND($L995*R$7,0)))</f>
        <v/>
      </c>
      <c r="H995" s="448">
        <f>IF($L995&gt;S$5,MAX(0,S$3+ROUND((S$9*($L995-S$5)),0)),IF($L995&gt;S$4,S$3,ROUND($L995*S$7,0)))</f>
        <v/>
      </c>
      <c r="I995" s="448">
        <f>IF($L995&gt;T$5,MAX(0,T$3+ROUND((T$9*($L995-T$5)),0)),IF($L995&gt;T$4,T$3,ROUND($L995*T$7,0)))</f>
        <v/>
      </c>
      <c r="J995" s="447">
        <f>IF($L995&gt;U$5,MAX(0,U$3+ROUND((U$9*($L995-U$5)),0)),IF($L995&gt;U$4,U$3,ROUND($L995*U$7,0)))</f>
        <v/>
      </c>
      <c r="K995" s="422" t="n"/>
      <c r="L995" s="448">
        <f>ROUND((A995+B995)/2,2)</f>
        <v/>
      </c>
    </row>
    <row r="996" ht="13.5" customHeight="1" s="7635">
      <c r="A996" s="448" t="n">
        <v>49550</v>
      </c>
      <c r="B996" s="447" t="n">
        <v>49600</v>
      </c>
      <c r="C996" s="1378">
        <f>IF($L996&gt;N$5,MAX(0,N$3+ROUND((N$9*($L996-N$5)),0)),IF($L996&gt;N$4,N$3,ROUND($L996*N$7,0)))</f>
        <v/>
      </c>
      <c r="D996" s="448">
        <f>IF($L996&gt;O$5,MAX(0,O$3+ROUND((O$9*($L996-O$5)),0)),IF($L996&gt;O$4,O$3,ROUND($L996*O$7,0)))</f>
        <v/>
      </c>
      <c r="E996" s="448">
        <f>IF($L996&gt;P$5,MAX(0,P$3+ROUND((P$9*($L996-P$5)),0)),IF($L996&gt;P$4,P$3,ROUND($L996*P$7,0)))</f>
        <v/>
      </c>
      <c r="F996" s="447">
        <f>IF($L996&gt;Q$5,MAX(0,Q$3+ROUND((Q$9*($L996-Q$5)),0)),IF($L996&gt;Q$4,Q$3,ROUND($L996*Q$7,0)))</f>
        <v/>
      </c>
      <c r="G996" s="1378">
        <f>IF($L996&gt;R$5,MAX(0,R$3+ROUND((R$9*($L996-R$5)),0)),IF($L996&gt;R$4,R$3,ROUND($L996*R$7,0)))</f>
        <v/>
      </c>
      <c r="H996" s="448">
        <f>IF($L996&gt;S$5,MAX(0,S$3+ROUND((S$9*($L996-S$5)),0)),IF($L996&gt;S$4,S$3,ROUND($L996*S$7,0)))</f>
        <v/>
      </c>
      <c r="I996" s="448">
        <f>IF($L996&gt;T$5,MAX(0,T$3+ROUND((T$9*($L996-T$5)),0)),IF($L996&gt;T$4,T$3,ROUND($L996*T$7,0)))</f>
        <v/>
      </c>
      <c r="J996" s="447">
        <f>IF($L996&gt;U$5,MAX(0,U$3+ROUND((U$9*($L996-U$5)),0)),IF($L996&gt;U$4,U$3,ROUND($L996*U$7,0)))</f>
        <v/>
      </c>
      <c r="K996" s="422" t="n"/>
      <c r="L996" s="448">
        <f>ROUND((A996+B996)/2,2)</f>
        <v/>
      </c>
    </row>
    <row r="997" ht="13.5" customHeight="1" s="7635">
      <c r="A997" s="448" t="n">
        <v>49600</v>
      </c>
      <c r="B997" s="447" t="n">
        <v>49650</v>
      </c>
      <c r="C997" s="1378">
        <f>IF($L997&gt;N$5,MAX(0,N$3+ROUND((N$9*($L997-N$5)),0)),IF($L997&gt;N$4,N$3,ROUND($L997*N$7,0)))</f>
        <v/>
      </c>
      <c r="D997" s="448">
        <f>IF($L997&gt;O$5,MAX(0,O$3+ROUND((O$9*($L997-O$5)),0)),IF($L997&gt;O$4,O$3,ROUND($L997*O$7,0)))</f>
        <v/>
      </c>
      <c r="E997" s="448">
        <f>IF($L997&gt;P$5,MAX(0,P$3+ROUND((P$9*($L997-P$5)),0)),IF($L997&gt;P$4,P$3,ROUND($L997*P$7,0)))</f>
        <v/>
      </c>
      <c r="F997" s="447">
        <f>IF($L997&gt;Q$5,MAX(0,Q$3+ROUND((Q$9*($L997-Q$5)),0)),IF($L997&gt;Q$4,Q$3,ROUND($L997*Q$7,0)))</f>
        <v/>
      </c>
      <c r="G997" s="1378">
        <f>IF($L997&gt;R$5,MAX(0,R$3+ROUND((R$9*($L997-R$5)),0)),IF($L997&gt;R$4,R$3,ROUND($L997*R$7,0)))</f>
        <v/>
      </c>
      <c r="H997" s="448">
        <f>IF($L997&gt;S$5,MAX(0,S$3+ROUND((S$9*($L997-S$5)),0)),IF($L997&gt;S$4,S$3,ROUND($L997*S$7,0)))</f>
        <v/>
      </c>
      <c r="I997" s="448">
        <f>IF($L997&gt;T$5,MAX(0,T$3+ROUND((T$9*($L997-T$5)),0)),IF($L997&gt;T$4,T$3,ROUND($L997*T$7,0)))</f>
        <v/>
      </c>
      <c r="J997" s="447">
        <f>IF($L997&gt;U$5,MAX(0,U$3+ROUND((U$9*($L997-U$5)),0)),IF($L997&gt;U$4,U$3,ROUND($L997*U$7,0)))</f>
        <v/>
      </c>
      <c r="K997" s="422" t="n"/>
      <c r="L997" s="448">
        <f>ROUND((A997+B997)/2,2)</f>
        <v/>
      </c>
    </row>
    <row r="998" ht="13.5" customHeight="1" s="7635">
      <c r="A998" s="448" t="n">
        <v>49650</v>
      </c>
      <c r="B998" s="447" t="n">
        <v>49700</v>
      </c>
      <c r="C998" s="1378">
        <f>IF($L998&gt;N$5,MAX(0,N$3+ROUND((N$9*($L998-N$5)),0)),IF($L998&gt;N$4,N$3,ROUND($L998*N$7,0)))</f>
        <v/>
      </c>
      <c r="D998" s="448">
        <f>IF($L998&gt;O$5,MAX(0,O$3+ROUND((O$9*($L998-O$5)),0)),IF($L998&gt;O$4,O$3,ROUND($L998*O$7,0)))</f>
        <v/>
      </c>
      <c r="E998" s="448">
        <f>IF($L998&gt;P$5,MAX(0,P$3+ROUND((P$9*($L998-P$5)),0)),IF($L998&gt;P$4,P$3,ROUND($L998*P$7,0)))</f>
        <v/>
      </c>
      <c r="F998" s="447">
        <f>IF($L998&gt;Q$5,MAX(0,Q$3+ROUND((Q$9*($L998-Q$5)),0)),IF($L998&gt;Q$4,Q$3,ROUND($L998*Q$7,0)))</f>
        <v/>
      </c>
      <c r="G998" s="1378">
        <f>IF($L998&gt;R$5,MAX(0,R$3+ROUND((R$9*($L998-R$5)),0)),IF($L998&gt;R$4,R$3,ROUND($L998*R$7,0)))</f>
        <v/>
      </c>
      <c r="H998" s="448">
        <f>IF($L998&gt;S$5,MAX(0,S$3+ROUND((S$9*($L998-S$5)),0)),IF($L998&gt;S$4,S$3,ROUND($L998*S$7,0)))</f>
        <v/>
      </c>
      <c r="I998" s="448">
        <f>IF($L998&gt;T$5,MAX(0,T$3+ROUND((T$9*($L998-T$5)),0)),IF($L998&gt;T$4,T$3,ROUND($L998*T$7,0)))</f>
        <v/>
      </c>
      <c r="J998" s="447">
        <f>IF($L998&gt;U$5,MAX(0,U$3+ROUND((U$9*($L998-U$5)),0)),IF($L998&gt;U$4,U$3,ROUND($L998*U$7,0)))</f>
        <v/>
      </c>
      <c r="K998" s="422" t="n"/>
      <c r="L998" s="448">
        <f>ROUND((A998+B998)/2,2)</f>
        <v/>
      </c>
    </row>
    <row r="999" ht="13.5" customHeight="1" s="7635">
      <c r="A999" s="448" t="n">
        <v>49700</v>
      </c>
      <c r="B999" s="447" t="n">
        <v>49750</v>
      </c>
      <c r="C999" s="1378">
        <f>IF($L999&gt;N$5,MAX(0,N$3+ROUND((N$9*($L999-N$5)),0)),IF($L999&gt;N$4,N$3,ROUND($L999*N$7,0)))</f>
        <v/>
      </c>
      <c r="D999" s="448">
        <f>IF($L999&gt;O$5,MAX(0,O$3+ROUND((O$9*($L999-O$5)),0)),IF($L999&gt;O$4,O$3,ROUND($L999*O$7,0)))</f>
        <v/>
      </c>
      <c r="E999" s="448">
        <f>IF($L999&gt;P$5,MAX(0,P$3+ROUND((P$9*($L999-P$5)),0)),IF($L999&gt;P$4,P$3,ROUND($L999*P$7,0)))</f>
        <v/>
      </c>
      <c r="F999" s="447">
        <f>IF($L999&gt;Q$5,MAX(0,Q$3+ROUND((Q$9*($L999-Q$5)),0)),IF($L999&gt;Q$4,Q$3,ROUND($L999*Q$7,0)))</f>
        <v/>
      </c>
      <c r="G999" s="1378">
        <f>IF($L999&gt;R$5,MAX(0,R$3+ROUND((R$9*($L999-R$5)),0)),IF($L999&gt;R$4,R$3,ROUND($L999*R$7,0)))</f>
        <v/>
      </c>
      <c r="H999" s="448">
        <f>IF($L999&gt;S$5,MAX(0,S$3+ROUND((S$9*($L999-S$5)),0)),IF($L999&gt;S$4,S$3,ROUND($L999*S$7,0)))</f>
        <v/>
      </c>
      <c r="I999" s="448">
        <f>IF($L999&gt;T$5,MAX(0,T$3+ROUND((T$9*($L999-T$5)),0)),IF($L999&gt;T$4,T$3,ROUND($L999*T$7,0)))</f>
        <v/>
      </c>
      <c r="J999" s="447">
        <f>IF($L999&gt;U$5,MAX(0,U$3+ROUND((U$9*($L999-U$5)),0)),IF($L999&gt;U$4,U$3,ROUND($L999*U$7,0)))</f>
        <v/>
      </c>
      <c r="K999" s="422" t="n"/>
      <c r="L999" s="448">
        <f>ROUND((A999+B999)/2,2)</f>
        <v/>
      </c>
    </row>
    <row r="1000" ht="13.5" customHeight="1" s="7635">
      <c r="A1000" s="448" t="n">
        <v>49750</v>
      </c>
      <c r="B1000" s="447" t="n">
        <v>49800</v>
      </c>
      <c r="C1000" s="1378">
        <f>IF($L1000&gt;N$5,MAX(0,N$3+ROUND((N$9*($L1000-N$5)),0)),IF($L1000&gt;N$4,N$3,ROUND($L1000*N$7,0)))</f>
        <v/>
      </c>
      <c r="D1000" s="448">
        <f>IF($L1000&gt;O$5,MAX(0,O$3+ROUND((O$9*($L1000-O$5)),0)),IF($L1000&gt;O$4,O$3,ROUND($L1000*O$7,0)))</f>
        <v/>
      </c>
      <c r="E1000" s="448">
        <f>IF($L1000&gt;P$5,MAX(0,P$3+ROUND((P$9*($L1000-P$5)),0)),IF($L1000&gt;P$4,P$3,ROUND($L1000*P$7,0)))</f>
        <v/>
      </c>
      <c r="F1000" s="447">
        <f>IF($L1000&gt;Q$5,MAX(0,Q$3+ROUND((Q$9*($L1000-Q$5)),0)),IF($L1000&gt;Q$4,Q$3,ROUND($L1000*Q$7,0)))</f>
        <v/>
      </c>
      <c r="G1000" s="1378">
        <f>IF($L1000&gt;R$5,MAX(0,R$3+ROUND((R$9*($L1000-R$5)),0)),IF($L1000&gt;R$4,R$3,ROUND($L1000*R$7,0)))</f>
        <v/>
      </c>
      <c r="H1000" s="448">
        <f>IF($L1000&gt;S$5,MAX(0,S$3+ROUND((S$9*($L1000-S$5)),0)),IF($L1000&gt;S$4,S$3,ROUND($L1000*S$7,0)))</f>
        <v/>
      </c>
      <c r="I1000" s="448">
        <f>IF($L1000&gt;T$5,MAX(0,T$3+ROUND((T$9*($L1000-T$5)),0)),IF($L1000&gt;T$4,T$3,ROUND($L1000*T$7,0)))</f>
        <v/>
      </c>
      <c r="J1000" s="447">
        <f>IF($L1000&gt;U$5,MAX(0,U$3+ROUND((U$9*($L1000-U$5)),0)),IF($L1000&gt;U$4,U$3,ROUND($L1000*U$7,0)))</f>
        <v/>
      </c>
      <c r="K1000" s="422" t="n"/>
      <c r="L1000" s="448">
        <f>ROUND((A1000+B1000)/2,2)</f>
        <v/>
      </c>
    </row>
    <row r="1001" ht="13.5" customHeight="1" s="7635">
      <c r="A1001" s="448" t="n">
        <v>49800</v>
      </c>
      <c r="B1001" s="447" t="n">
        <v>49850</v>
      </c>
      <c r="C1001" s="1378">
        <f>IF($L1001&gt;N$5,MAX(0,N$3+ROUND((N$9*($L1001-N$5)),0)),IF($L1001&gt;N$4,N$3,ROUND($L1001*N$7,0)))</f>
        <v/>
      </c>
      <c r="D1001" s="448">
        <f>IF($L1001&gt;O$5,MAX(0,O$3+ROUND((O$9*($L1001-O$5)),0)),IF($L1001&gt;O$4,O$3,ROUND($L1001*O$7,0)))</f>
        <v/>
      </c>
      <c r="E1001" s="448">
        <f>IF($L1001&gt;P$5,MAX(0,P$3+ROUND((P$9*($L1001-P$5)),0)),IF($L1001&gt;P$4,P$3,ROUND($L1001*P$7,0)))</f>
        <v/>
      </c>
      <c r="F1001" s="447">
        <f>IF($L1001&gt;Q$5,MAX(0,Q$3+ROUND((Q$9*($L1001-Q$5)),0)),IF($L1001&gt;Q$4,Q$3,ROUND($L1001*Q$7,0)))</f>
        <v/>
      </c>
      <c r="G1001" s="1378">
        <f>IF($L1001&gt;R$5,MAX(0,R$3+ROUND((R$9*($L1001-R$5)),0)),IF($L1001&gt;R$4,R$3,ROUND($L1001*R$7,0)))</f>
        <v/>
      </c>
      <c r="H1001" s="448">
        <f>IF($L1001&gt;S$5,MAX(0,S$3+ROUND((S$9*($L1001-S$5)),0)),IF($L1001&gt;S$4,S$3,ROUND($L1001*S$7,0)))</f>
        <v/>
      </c>
      <c r="I1001" s="448">
        <f>IF($L1001&gt;T$5,MAX(0,T$3+ROUND((T$9*($L1001-T$5)),0)),IF($L1001&gt;T$4,T$3,ROUND($L1001*T$7,0)))</f>
        <v/>
      </c>
      <c r="J1001" s="447">
        <f>IF($L1001&gt;U$5,MAX(0,U$3+ROUND((U$9*($L1001-U$5)),0)),IF($L1001&gt;U$4,U$3,ROUND($L1001*U$7,0)))</f>
        <v/>
      </c>
      <c r="K1001" s="422" t="n"/>
      <c r="L1001" s="448">
        <f>ROUND((A1001+B1001)/2,2)</f>
        <v/>
      </c>
    </row>
    <row r="1002" ht="13.5" customHeight="1" s="7635">
      <c r="A1002" s="448" t="n">
        <v>49850</v>
      </c>
      <c r="B1002" s="447" t="n">
        <v>49900</v>
      </c>
      <c r="C1002" s="1378">
        <f>IF($L1002&gt;N$5,MAX(0,N$3+ROUND((N$9*($L1002-N$5)),0)),IF($L1002&gt;N$4,N$3,ROUND($L1002*N$7,0)))</f>
        <v/>
      </c>
      <c r="D1002" s="448">
        <f>IF($L1002&gt;O$5,MAX(0,O$3+ROUND((O$9*($L1002-O$5)),0)),IF($L1002&gt;O$4,O$3,ROUND($L1002*O$7,0)))</f>
        <v/>
      </c>
      <c r="E1002" s="448">
        <f>IF($L1002&gt;P$5,MAX(0,P$3+ROUND((P$9*($L1002-P$5)),0)),IF($L1002&gt;P$4,P$3,ROUND($L1002*P$7,0)))</f>
        <v/>
      </c>
      <c r="F1002" s="447">
        <f>IF($L1002&gt;Q$5,MAX(0,Q$3+ROUND((Q$9*($L1002-Q$5)),0)),IF($L1002&gt;Q$4,Q$3,ROUND($L1002*Q$7,0)))</f>
        <v/>
      </c>
      <c r="G1002" s="1378">
        <f>IF($L1002&gt;R$5,MAX(0,R$3+ROUND((R$9*($L1002-R$5)),0)),IF($L1002&gt;R$4,R$3,ROUND($L1002*R$7,0)))</f>
        <v/>
      </c>
      <c r="H1002" s="448">
        <f>IF($L1002&gt;S$5,MAX(0,S$3+ROUND((S$9*($L1002-S$5)),0)),IF($L1002&gt;S$4,S$3,ROUND($L1002*S$7,0)))</f>
        <v/>
      </c>
      <c r="I1002" s="448">
        <f>IF($L1002&gt;T$5,MAX(0,T$3+ROUND((T$9*($L1002-T$5)),0)),IF($L1002&gt;T$4,T$3,ROUND($L1002*T$7,0)))</f>
        <v/>
      </c>
      <c r="J1002" s="447">
        <f>IF($L1002&gt;U$5,MAX(0,U$3+ROUND((U$9*($L1002-U$5)),0)),IF($L1002&gt;U$4,U$3,ROUND($L1002*U$7,0)))</f>
        <v/>
      </c>
      <c r="K1002" s="422" t="n"/>
      <c r="L1002" s="448">
        <f>ROUND((A1002+B1002)/2,2)</f>
        <v/>
      </c>
    </row>
    <row r="1003" ht="13.5" customHeight="1" s="7635">
      <c r="A1003" s="448" t="n">
        <v>49900</v>
      </c>
      <c r="B1003" s="447" t="n">
        <v>49950</v>
      </c>
      <c r="C1003" s="1378">
        <f>IF($L1003&gt;N$5,MAX(0,N$3+ROUND((N$9*($L1003-N$5)),0)),IF($L1003&gt;N$4,N$3,ROUND($L1003*N$7,0)))</f>
        <v/>
      </c>
      <c r="D1003" s="448">
        <f>IF($L1003&gt;O$5,MAX(0,O$3+ROUND((O$9*($L1003-O$5)),0)),IF($L1003&gt;O$4,O$3,ROUND($L1003*O$7,0)))</f>
        <v/>
      </c>
      <c r="E1003" s="448">
        <f>IF($L1003&gt;P$5,MAX(0,P$3+ROUND((P$9*($L1003-P$5)),0)),IF($L1003&gt;P$4,P$3,ROUND($L1003*P$7,0)))</f>
        <v/>
      </c>
      <c r="F1003" s="447">
        <f>IF($L1003&gt;Q$5,MAX(0,Q$3+ROUND((Q$9*($L1003-Q$5)),0)),IF($L1003&gt;Q$4,Q$3,ROUND($L1003*Q$7,0)))</f>
        <v/>
      </c>
      <c r="G1003" s="1378">
        <f>IF($L1003&gt;R$5,MAX(0,R$3+ROUND((R$9*($L1003-R$5)),0)),IF($L1003&gt;R$4,R$3,ROUND($L1003*R$7,0)))</f>
        <v/>
      </c>
      <c r="H1003" s="448">
        <f>IF($L1003&gt;S$5,MAX(0,S$3+ROUND((S$9*($L1003-S$5)),0)),IF($L1003&gt;S$4,S$3,ROUND($L1003*S$7,0)))</f>
        <v/>
      </c>
      <c r="I1003" s="448">
        <f>IF($L1003&gt;T$5,MAX(0,T$3+ROUND((T$9*($L1003-T$5)),0)),IF($L1003&gt;T$4,T$3,ROUND($L1003*T$7,0)))</f>
        <v/>
      </c>
      <c r="J1003" s="447">
        <f>IF($L1003&gt;U$5,MAX(0,U$3+ROUND((U$9*($L1003-U$5)),0)),IF($L1003&gt;U$4,U$3,ROUND($L1003*U$7,0)))</f>
        <v/>
      </c>
      <c r="K1003" s="422" t="n"/>
      <c r="L1003" s="448">
        <f>ROUND((A1003+B1003)/2,2)</f>
        <v/>
      </c>
    </row>
    <row r="1004" ht="13.5" customHeight="1" s="7635">
      <c r="A1004" s="448" t="n">
        <v>49950</v>
      </c>
      <c r="B1004" s="447" t="n">
        <v>50000</v>
      </c>
      <c r="C1004" s="1378">
        <f>IF($L1004&gt;N$5,MAX(0,N$3+ROUND((N$9*($L1004-N$5)),0)),IF($L1004&gt;N$4,N$3,ROUND($L1004*N$7,0)))</f>
        <v/>
      </c>
      <c r="D1004" s="448">
        <f>IF($L1004&gt;O$5,MAX(0,O$3+ROUND((O$9*($L1004-O$5)),0)),IF($L1004&gt;O$4,O$3,ROUND($L1004*O$7,0)))</f>
        <v/>
      </c>
      <c r="E1004" s="448">
        <f>IF($L1004&gt;P$5,MAX(0,P$3+ROUND((P$9*($L1004-P$5)),0)),IF($L1004&gt;P$4,P$3,ROUND($L1004*P$7,0)))</f>
        <v/>
      </c>
      <c r="F1004" s="447">
        <f>IF($L1004&gt;Q$5,MAX(0,Q$3+ROUND((Q$9*($L1004-Q$5)),0)),IF($L1004&gt;Q$4,Q$3,ROUND($L1004*Q$7,0)))</f>
        <v/>
      </c>
      <c r="G1004" s="1378">
        <f>IF($L1004&gt;R$5,MAX(0,R$3+ROUND((R$9*($L1004-R$5)),0)),IF($L1004&gt;R$4,R$3,ROUND($L1004*R$7,0)))</f>
        <v/>
      </c>
      <c r="H1004" s="448">
        <f>IF($L1004&gt;S$5,MAX(0,S$3+ROUND((S$9*($L1004-S$5)),0)),IF($L1004&gt;S$4,S$3,ROUND($L1004*S$7,0)))</f>
        <v/>
      </c>
      <c r="I1004" s="448">
        <f>IF($L1004&gt;T$5,MAX(0,T$3+ROUND((T$9*($L1004-T$5)),0)),IF($L1004&gt;T$4,T$3,ROUND($L1004*T$7,0)))</f>
        <v/>
      </c>
      <c r="J1004" s="447">
        <f>IF($L1004&gt;U$5,MAX(0,U$3+ROUND((U$9*($L1004-U$5)),0)),IF($L1004&gt;U$4,U$3,ROUND($L1004*U$7,0)))</f>
        <v/>
      </c>
      <c r="K1004" s="422" t="n"/>
      <c r="L1004" s="448">
        <f>ROUND((A1004+B1004)/2,2)</f>
        <v/>
      </c>
    </row>
    <row r="1005" ht="13.5" customHeight="1" s="7635">
      <c r="A1005" s="448" t="n">
        <v>50000</v>
      </c>
      <c r="B1005" s="447" t="n">
        <v>50050</v>
      </c>
      <c r="C1005" s="1378">
        <f>IF($L1005&gt;N$5,MAX(0,N$3+ROUND((N$9*($L1005-N$5)),0)),IF($L1005&gt;N$4,N$3,ROUND($L1005*N$7,0)))</f>
        <v/>
      </c>
      <c r="D1005" s="448">
        <f>IF($L1005&gt;O$5,MAX(0,O$3+ROUND((O$9*($L1005-O$5)),0)),IF($L1005&gt;O$4,O$3,ROUND($L1005*O$7,0)))</f>
        <v/>
      </c>
      <c r="E1005" s="448">
        <f>IF($L1005&gt;P$5,MAX(0,P$3+ROUND((P$9*($L1005-P$5)),0)),IF($L1005&gt;P$4,P$3,ROUND($L1005*P$7,0)))</f>
        <v/>
      </c>
      <c r="F1005" s="447">
        <f>IF($L1005&gt;Q$5,MAX(0,Q$3+ROUND((Q$9*($L1005-Q$5)),0)),IF($L1005&gt;Q$4,Q$3,ROUND($L1005*Q$7,0)))</f>
        <v/>
      </c>
      <c r="G1005" s="1378">
        <f>IF($L1005&gt;R$5,MAX(0,R$3+ROUND((R$9*($L1005-R$5)),0)),IF($L1005&gt;R$4,R$3,ROUND($L1005*R$7,0)))</f>
        <v/>
      </c>
      <c r="H1005" s="448">
        <f>IF($L1005&gt;S$5,MAX(0,S$3+ROUND((S$9*($L1005-S$5)),0)),IF($L1005&gt;S$4,S$3,ROUND($L1005*S$7,0)))</f>
        <v/>
      </c>
      <c r="I1005" s="448">
        <f>IF($L1005&gt;T$5,MAX(0,T$3+ROUND((T$9*($L1005-T$5)),0)),IF($L1005&gt;T$4,T$3,ROUND($L1005*T$7,0)))</f>
        <v/>
      </c>
      <c r="J1005" s="447">
        <f>IF($L1005&gt;U$5,MAX(0,U$3+ROUND((U$9*($L1005-U$5)),0)),IF($L1005&gt;U$4,U$3,ROUND($L1005*U$7,0)))</f>
        <v/>
      </c>
      <c r="K1005" s="422" t="n"/>
      <c r="L1005" s="448">
        <f>ROUND((A1005+B1005)/2,2)</f>
        <v/>
      </c>
    </row>
    <row r="1006" ht="13.5" customHeight="1" s="7635">
      <c r="A1006" s="448" t="n">
        <v>50050</v>
      </c>
      <c r="B1006" s="447" t="n">
        <v>50100</v>
      </c>
      <c r="C1006" s="1378">
        <f>IF($L1006&gt;N$5,MAX(0,N$3+ROUND((N$9*($L1006-N$5)),0)),IF($L1006&gt;N$4,N$3,ROUND($L1006*N$7,0)))</f>
        <v/>
      </c>
      <c r="D1006" s="448">
        <f>IF($L1006&gt;O$5,MAX(0,O$3+ROUND((O$9*($L1006-O$5)),0)),IF($L1006&gt;O$4,O$3,ROUND($L1006*O$7,0)))</f>
        <v/>
      </c>
      <c r="E1006" s="448">
        <f>IF($L1006&gt;P$5,MAX(0,P$3+ROUND((P$9*($L1006-P$5)),0)),IF($L1006&gt;P$4,P$3,ROUND($L1006*P$7,0)))</f>
        <v/>
      </c>
      <c r="F1006" s="447">
        <f>IF($L1006&gt;Q$5,MAX(0,Q$3+ROUND((Q$9*($L1006-Q$5)),0)),IF($L1006&gt;Q$4,Q$3,ROUND($L1006*Q$7,0)))</f>
        <v/>
      </c>
      <c r="G1006" s="1378">
        <f>IF($L1006&gt;R$5,MAX(0,R$3+ROUND((R$9*($L1006-R$5)),0)),IF($L1006&gt;R$4,R$3,ROUND($L1006*R$7,0)))</f>
        <v/>
      </c>
      <c r="H1006" s="448">
        <f>IF($L1006&gt;S$5,MAX(0,S$3+ROUND((S$9*($L1006-S$5)),0)),IF($L1006&gt;S$4,S$3,ROUND($L1006*S$7,0)))</f>
        <v/>
      </c>
      <c r="I1006" s="448">
        <f>IF($L1006&gt;T$5,MAX(0,T$3+ROUND((T$9*($L1006-T$5)),0)),IF($L1006&gt;T$4,T$3,ROUND($L1006*T$7,0)))</f>
        <v/>
      </c>
      <c r="J1006" s="447">
        <f>IF($L1006&gt;U$5,MAX(0,U$3+ROUND((U$9*($L1006-U$5)),0)),IF($L1006&gt;U$4,U$3,ROUND($L1006*U$7,0)))</f>
        <v/>
      </c>
      <c r="K1006" s="422" t="n"/>
      <c r="L1006" s="448">
        <f>ROUND((A1006+B1006)/2,2)</f>
        <v/>
      </c>
    </row>
    <row r="1007" ht="13.5" customHeight="1" s="7635">
      <c r="A1007" s="448" t="n">
        <v>50100</v>
      </c>
      <c r="B1007" s="447" t="n">
        <v>50150</v>
      </c>
      <c r="C1007" s="1378">
        <f>IF($L1007&gt;N$5,MAX(0,N$3+ROUND((N$9*($L1007-N$5)),0)),IF($L1007&gt;N$4,N$3,ROUND($L1007*N$7,0)))</f>
        <v/>
      </c>
      <c r="D1007" s="448">
        <f>IF($L1007&gt;O$5,MAX(0,O$3+ROUND((O$9*($L1007-O$5)),0)),IF($L1007&gt;O$4,O$3,ROUND($L1007*O$7,0)))</f>
        <v/>
      </c>
      <c r="E1007" s="448">
        <f>IF($L1007&gt;P$5,MAX(0,P$3+ROUND((P$9*($L1007-P$5)),0)),IF($L1007&gt;P$4,P$3,ROUND($L1007*P$7,0)))</f>
        <v/>
      </c>
      <c r="F1007" s="447">
        <f>IF($L1007&gt;Q$5,MAX(0,Q$3+ROUND((Q$9*($L1007-Q$5)),0)),IF($L1007&gt;Q$4,Q$3,ROUND($L1007*Q$7,0)))</f>
        <v/>
      </c>
      <c r="G1007" s="1378">
        <f>IF($L1007&gt;R$5,MAX(0,R$3+ROUND((R$9*($L1007-R$5)),0)),IF($L1007&gt;R$4,R$3,ROUND($L1007*R$7,0)))</f>
        <v/>
      </c>
      <c r="H1007" s="448">
        <f>IF($L1007&gt;S$5,MAX(0,S$3+ROUND((S$9*($L1007-S$5)),0)),IF($L1007&gt;S$4,S$3,ROUND($L1007*S$7,0)))</f>
        <v/>
      </c>
      <c r="I1007" s="448">
        <f>IF($L1007&gt;T$5,MAX(0,T$3+ROUND((T$9*($L1007-T$5)),0)),IF($L1007&gt;T$4,T$3,ROUND($L1007*T$7,0)))</f>
        <v/>
      </c>
      <c r="J1007" s="447">
        <f>IF($L1007&gt;U$5,MAX(0,U$3+ROUND((U$9*($L1007-U$5)),0)),IF($L1007&gt;U$4,U$3,ROUND($L1007*U$7,0)))</f>
        <v/>
      </c>
      <c r="K1007" s="422" t="n"/>
      <c r="L1007" s="448">
        <f>ROUND((A1007+B1007)/2,2)</f>
        <v/>
      </c>
    </row>
    <row r="1008" ht="13.5" customHeight="1" s="7635">
      <c r="A1008" s="448" t="n">
        <v>50150</v>
      </c>
      <c r="B1008" s="447" t="n">
        <v>50200</v>
      </c>
      <c r="C1008" s="1378">
        <f>IF($L1008&gt;N$5,MAX(0,N$3+ROUND((N$9*($L1008-N$5)),0)),IF($L1008&gt;N$4,N$3,ROUND($L1008*N$7,0)))</f>
        <v/>
      </c>
      <c r="D1008" s="448">
        <f>IF($L1008&gt;O$5,MAX(0,O$3+ROUND((O$9*($L1008-O$5)),0)),IF($L1008&gt;O$4,O$3,ROUND($L1008*O$7,0)))</f>
        <v/>
      </c>
      <c r="E1008" s="448">
        <f>IF($L1008&gt;P$5,MAX(0,P$3+ROUND((P$9*($L1008-P$5)),0)),IF($L1008&gt;P$4,P$3,ROUND($L1008*P$7,0)))</f>
        <v/>
      </c>
      <c r="F1008" s="447">
        <f>IF($L1008&gt;Q$5,MAX(0,Q$3+ROUND((Q$9*($L1008-Q$5)),0)),IF($L1008&gt;Q$4,Q$3,ROUND($L1008*Q$7,0)))</f>
        <v/>
      </c>
      <c r="G1008" s="1378">
        <f>IF($L1008&gt;R$5,MAX(0,R$3+ROUND((R$9*($L1008-R$5)),0)),IF($L1008&gt;R$4,R$3,ROUND($L1008*R$7,0)))</f>
        <v/>
      </c>
      <c r="H1008" s="448">
        <f>IF($L1008&gt;S$5,MAX(0,S$3+ROUND((S$9*($L1008-S$5)),0)),IF($L1008&gt;S$4,S$3,ROUND($L1008*S$7,0)))</f>
        <v/>
      </c>
      <c r="I1008" s="448">
        <f>IF($L1008&gt;T$5,MAX(0,T$3+ROUND((T$9*($L1008-T$5)),0)),IF($L1008&gt;T$4,T$3,ROUND($L1008*T$7,0)))</f>
        <v/>
      </c>
      <c r="J1008" s="447">
        <f>IF($L1008&gt;U$5,MAX(0,U$3+ROUND((U$9*($L1008-U$5)),0)),IF($L1008&gt;U$4,U$3,ROUND($L1008*U$7,0)))</f>
        <v/>
      </c>
      <c r="K1008" s="422" t="n"/>
      <c r="L1008" s="448">
        <f>ROUND((A1008+B1008)/2,2)</f>
        <v/>
      </c>
    </row>
    <row r="1009" ht="13.5" customHeight="1" s="7635">
      <c r="A1009" s="448" t="n">
        <v>50200</v>
      </c>
      <c r="B1009" s="447" t="n">
        <v>50250</v>
      </c>
      <c r="C1009" s="1378">
        <f>IF($L1009&gt;N$5,MAX(0,N$3+ROUND((N$9*($L1009-N$5)),0)),IF($L1009&gt;N$4,N$3,ROUND($L1009*N$7,0)))</f>
        <v/>
      </c>
      <c r="D1009" s="448">
        <f>IF($L1009&gt;O$5,MAX(0,O$3+ROUND((O$9*($L1009-O$5)),0)),IF($L1009&gt;O$4,O$3,ROUND($L1009*O$7,0)))</f>
        <v/>
      </c>
      <c r="E1009" s="448">
        <f>IF($L1009&gt;P$5,MAX(0,P$3+ROUND((P$9*($L1009-P$5)),0)),IF($L1009&gt;P$4,P$3,ROUND($L1009*P$7,0)))</f>
        <v/>
      </c>
      <c r="F1009" s="447">
        <f>IF($L1009&gt;Q$5,MAX(0,Q$3+ROUND((Q$9*($L1009-Q$5)),0)),IF($L1009&gt;Q$4,Q$3,ROUND($L1009*Q$7,0)))</f>
        <v/>
      </c>
      <c r="G1009" s="1378">
        <f>IF($L1009&gt;R$5,MAX(0,R$3+ROUND((R$9*($L1009-R$5)),0)),IF($L1009&gt;R$4,R$3,ROUND($L1009*R$7,0)))</f>
        <v/>
      </c>
      <c r="H1009" s="448">
        <f>IF($L1009&gt;S$5,MAX(0,S$3+ROUND((S$9*($L1009-S$5)),0)),IF($L1009&gt;S$4,S$3,ROUND($L1009*S$7,0)))</f>
        <v/>
      </c>
      <c r="I1009" s="448">
        <f>IF($L1009&gt;T$5,MAX(0,T$3+ROUND((T$9*($L1009-T$5)),0)),IF($L1009&gt;T$4,T$3,ROUND($L1009*T$7,0)))</f>
        <v/>
      </c>
      <c r="J1009" s="447">
        <f>IF($L1009&gt;U$5,MAX(0,U$3+ROUND((U$9*($L1009-U$5)),0)),IF($L1009&gt;U$4,U$3,ROUND($L1009*U$7,0)))</f>
        <v/>
      </c>
      <c r="K1009" s="422" t="n"/>
      <c r="L1009" s="448">
        <f>ROUND((A1009+B1009)/2,2)</f>
        <v/>
      </c>
    </row>
    <row r="1010" ht="13.5" customHeight="1" s="7635">
      <c r="A1010" s="448" t="n">
        <v>50250</v>
      </c>
      <c r="B1010" s="447" t="n">
        <v>50300</v>
      </c>
      <c r="C1010" s="1378">
        <f>IF($L1010&gt;N$5,MAX(0,N$3+ROUND((N$9*($L1010-N$5)),0)),IF($L1010&gt;N$4,N$3,ROUND($L1010*N$7,0)))</f>
        <v/>
      </c>
      <c r="D1010" s="448">
        <f>IF($L1010&gt;O$5,MAX(0,O$3+ROUND((O$9*($L1010-O$5)),0)),IF($L1010&gt;O$4,O$3,ROUND($L1010*O$7,0)))</f>
        <v/>
      </c>
      <c r="E1010" s="448">
        <f>IF($L1010&gt;P$5,MAX(0,P$3+ROUND((P$9*($L1010-P$5)),0)),IF($L1010&gt;P$4,P$3,ROUND($L1010*P$7,0)))</f>
        <v/>
      </c>
      <c r="F1010" s="447">
        <f>IF($L1010&gt;Q$5,MAX(0,Q$3+ROUND((Q$9*($L1010-Q$5)),0)),IF($L1010&gt;Q$4,Q$3,ROUND($L1010*Q$7,0)))</f>
        <v/>
      </c>
      <c r="G1010" s="1378">
        <f>IF($L1010&gt;R$5,MAX(0,R$3+ROUND((R$9*($L1010-R$5)),0)),IF($L1010&gt;R$4,R$3,ROUND($L1010*R$7,0)))</f>
        <v/>
      </c>
      <c r="H1010" s="448">
        <f>IF($L1010&gt;S$5,MAX(0,S$3+ROUND((S$9*($L1010-S$5)),0)),IF($L1010&gt;S$4,S$3,ROUND($L1010*S$7,0)))</f>
        <v/>
      </c>
      <c r="I1010" s="448">
        <f>IF($L1010&gt;T$5,MAX(0,T$3+ROUND((T$9*($L1010-T$5)),0)),IF($L1010&gt;T$4,T$3,ROUND($L1010*T$7,0)))</f>
        <v/>
      </c>
      <c r="J1010" s="447">
        <f>IF($L1010&gt;U$5,MAX(0,U$3+ROUND((U$9*($L1010-U$5)),0)),IF($L1010&gt;U$4,U$3,ROUND($L1010*U$7,0)))</f>
        <v/>
      </c>
      <c r="K1010" s="422" t="n"/>
      <c r="L1010" s="448">
        <f>ROUND((A1010+B1010)/2,2)</f>
        <v/>
      </c>
    </row>
    <row r="1011" ht="13.5" customHeight="1" s="7635">
      <c r="A1011" s="448" t="n">
        <v>50300</v>
      </c>
      <c r="B1011" s="447" t="n">
        <v>50350</v>
      </c>
      <c r="C1011" s="1378">
        <f>IF($L1011&gt;N$5,MAX(0,N$3+ROUND((N$9*($L1011-N$5)),0)),IF($L1011&gt;N$4,N$3,ROUND($L1011*N$7,0)))</f>
        <v/>
      </c>
      <c r="D1011" s="448">
        <f>IF($L1011&gt;O$5,MAX(0,O$3+ROUND((O$9*($L1011-O$5)),0)),IF($L1011&gt;O$4,O$3,ROUND($L1011*O$7,0)))</f>
        <v/>
      </c>
      <c r="E1011" s="448">
        <f>IF($L1011&gt;P$5,MAX(0,P$3+ROUND((P$9*($L1011-P$5)),0)),IF($L1011&gt;P$4,P$3,ROUND($L1011*P$7,0)))</f>
        <v/>
      </c>
      <c r="F1011" s="447">
        <f>IF($L1011&gt;Q$5,MAX(0,Q$3+ROUND((Q$9*($L1011-Q$5)),0)),IF($L1011&gt;Q$4,Q$3,ROUND($L1011*Q$7,0)))</f>
        <v/>
      </c>
      <c r="G1011" s="1378">
        <f>IF($L1011&gt;R$5,MAX(0,R$3+ROUND((R$9*($L1011-R$5)),0)),IF($L1011&gt;R$4,R$3,ROUND($L1011*R$7,0)))</f>
        <v/>
      </c>
      <c r="H1011" s="448">
        <f>IF($L1011&gt;S$5,MAX(0,S$3+ROUND((S$9*($L1011-S$5)),0)),IF($L1011&gt;S$4,S$3,ROUND($L1011*S$7,0)))</f>
        <v/>
      </c>
      <c r="I1011" s="448">
        <f>IF($L1011&gt;T$5,MAX(0,T$3+ROUND((T$9*($L1011-T$5)),0)),IF($L1011&gt;T$4,T$3,ROUND($L1011*T$7,0)))</f>
        <v/>
      </c>
      <c r="J1011" s="447">
        <f>IF($L1011&gt;U$5,MAX(0,U$3+ROUND((U$9*($L1011-U$5)),0)),IF($L1011&gt;U$4,U$3,ROUND($L1011*U$7,0)))</f>
        <v/>
      </c>
      <c r="K1011" s="422" t="n"/>
      <c r="L1011" s="448">
        <f>ROUND((A1011+B1011)/2,2)</f>
        <v/>
      </c>
    </row>
    <row r="1012" ht="14.25" customHeight="1" s="7635" thickBot="1">
      <c r="A1012" s="448" t="n">
        <v>50350</v>
      </c>
      <c r="B1012" s="447" t="n">
        <v>50400</v>
      </c>
      <c r="C1012" s="1378">
        <f>IF($L1012&gt;N$5,MAX(0,N$3+ROUND((N$9*($L1012-N$5)),0)),IF($L1012&gt;N$4,N$3,ROUND($L1012*N$7,0)))</f>
        <v/>
      </c>
      <c r="D1012" s="448">
        <f>IF($L1012&gt;O$5,MAX(0,O$3+ROUND((O$9*($L1012-O$5)),0)),IF($L1012&gt;O$4,O$3,ROUND($L1012*O$7,0)))</f>
        <v/>
      </c>
      <c r="E1012" s="448">
        <f>IF($L1012&gt;P$5,MAX(0,P$3+ROUND((P$9*($L1012-P$5)),0)),IF($L1012&gt;P$4,P$3,ROUND($L1012*P$7,0)))</f>
        <v/>
      </c>
      <c r="F1012" s="447">
        <f>IF($L1012&gt;Q$5,MAX(0,Q$3+ROUND((Q$9*($L1012-Q$5)),0)),IF($L1012&gt;Q$4,Q$3,ROUND($L1012*Q$7,0)))</f>
        <v/>
      </c>
      <c r="G1012" s="1378">
        <f>IF($L1012&gt;R$5,MAX(0,R$3+ROUND((R$9*($L1012-R$5)),0)),IF($L1012&gt;R$4,R$3,ROUND($L1012*R$7,0)))</f>
        <v/>
      </c>
      <c r="H1012" s="448">
        <f>IF($L1012&gt;S$5,MAX(0,S$3+ROUND((S$9*($L1012-S$5)),0)),IF($L1012&gt;S$4,S$3,ROUND($L1012*S$7,0)))</f>
        <v/>
      </c>
      <c r="I1012" s="448">
        <f>IF($L1012&gt;T$5,MAX(0,T$3+ROUND((T$9*($L1012-T$5)),0)),IF($L1012&gt;T$4,T$3,ROUND($L1012*T$7,0)))</f>
        <v/>
      </c>
      <c r="J1012" s="447">
        <f>IF($L1012&gt;U$5,MAX(0,U$3+ROUND((U$9*($L1012-U$5)),0)),IF($L1012&gt;U$4,U$3,ROUND($L1012*U$7,0)))</f>
        <v/>
      </c>
      <c r="K1012" s="422" t="n"/>
      <c r="L1012" s="448">
        <f>ROUND((A1012+B1012)/2,2)</f>
        <v/>
      </c>
    </row>
    <row r="1013" ht="13.5" customHeight="1" s="7635">
      <c r="A1013" s="6556" t="n">
        <v>50400</v>
      </c>
      <c r="B1013" s="6557" t="n">
        <v>50434</v>
      </c>
      <c r="C1013" s="1378">
        <f>IF($L1013&gt;N$5,MAX(0,N$3+ROUND((N$9*($L1013-N$5)),0)),IF($L1013&gt;N$4,N$3,ROUND($L1013*N$7,0)))</f>
        <v/>
      </c>
      <c r="D1013" s="448">
        <f>IF($L1013&gt;O$5,MAX(0,O$3+ROUND((O$9*($L1013-O$5)),0)),IF($L1013&gt;O$4,O$3,ROUND($L1013*O$7,0)))</f>
        <v/>
      </c>
      <c r="E1013" s="448">
        <f>IF($L1013&gt;P$5,MAX(0,P$3+ROUND((P$9*($L1013-P$5)),0)),IF($L1013&gt;P$4,P$3,ROUND($L1013*P$7,0)))</f>
        <v/>
      </c>
      <c r="F1013" s="447">
        <f>IF($L1013&gt;Q$5,MAX(0,Q$3+ROUND((Q$9*($L1013-Q$5)),0)),IF($L1013&gt;Q$4,Q$3,ROUND($L1013*Q$7,0)))</f>
        <v/>
      </c>
      <c r="G1013" s="1378">
        <f>IF($L1013&gt;R$5,MAX(0,R$3+ROUND((R$9*($L1013-R$5)),0)),IF($L1013&gt;R$4,R$3,ROUND($L1013*R$7,0)))</f>
        <v/>
      </c>
      <c r="H1013" s="448">
        <f>IF($L1013&gt;S$5,MAX(0,S$3+ROUND((S$9*($L1013-S$5)),0)),IF($L1013&gt;S$4,S$3,ROUND($L1013*S$7,0)))</f>
        <v/>
      </c>
      <c r="I1013" s="448">
        <f>IF($L1013&gt;T$5,MAX(0,T$3+ROUND((T$9*($L1013-T$5)),0)),IF($L1013&gt;T$4,T$3,ROUND($L1013*T$7,0)))</f>
        <v/>
      </c>
      <c r="J1013" s="447">
        <f>IF($L1013&gt;U$5,MAX(0,U$3+ROUND((U$9*($L1013-U$5)),0)),IF($L1013&gt;U$4,U$3,ROUND($L1013*U$7,0)))</f>
        <v/>
      </c>
      <c r="K1013" s="422" t="n"/>
      <c r="L1013" s="448">
        <f>ROUND((A1013+B1013)/2,2)</f>
        <v/>
      </c>
    </row>
    <row r="1014" ht="14.25" customHeight="1" s="7635" thickBot="1">
      <c r="A1014" s="6558" t="n">
        <v>50434</v>
      </c>
      <c r="B1014" s="6559" t="n">
        <v>50450</v>
      </c>
      <c r="C1014" s="1378">
        <f>IF($L1014&gt;N$5,MAX(0,N$3+ROUND((N$9*($L1014-N$5)),0)),IF($L1014&gt;N$4,N$3,ROUND($L1014*N$7,0)))</f>
        <v/>
      </c>
      <c r="D1014" s="448">
        <f>IF($L1014&gt;O$5,MAX(0,O$3+ROUND((O$9*($L1014-O$5)),0)),IF($L1014&gt;O$4,O$3,ROUND($L1014*O$7,0)))</f>
        <v/>
      </c>
      <c r="E1014" s="448" t="n">
        <v>1452</v>
      </c>
      <c r="F1014" s="447" t="n">
        <v>2346</v>
      </c>
      <c r="G1014" s="1378" t="n">
        <v>0</v>
      </c>
      <c r="H1014" s="448" t="n">
        <v>1140</v>
      </c>
      <c r="I1014" s="448" t="n">
        <v>2951</v>
      </c>
      <c r="J1014" s="447" t="n">
        <v>3845</v>
      </c>
      <c r="K1014" s="422" t="n"/>
      <c r="L1014" s="448">
        <f>ROUND((A1014+B1014)/2,2)</f>
        <v/>
      </c>
    </row>
    <row r="1015" ht="13.5" customHeight="1" s="7635">
      <c r="A1015" s="448" t="n">
        <v>50450</v>
      </c>
      <c r="B1015" s="447" t="n">
        <v>50500</v>
      </c>
      <c r="C1015" s="1378">
        <f>IF($L1015&gt;N$5,MAX(0,N$3+ROUND((N$9*($L1015-N$5)),0)),IF($L1015&gt;N$4,N$3,ROUND($L1015*N$7,0)))</f>
        <v/>
      </c>
      <c r="D1015" s="448">
        <f>IF($L1015&gt;O$5,MAX(0,O$3+ROUND((O$9*($L1015-O$5)),0)),IF($L1015&gt;O$4,O$3,ROUND($L1015*O$7,0)))</f>
        <v/>
      </c>
      <c r="E1015" s="448">
        <f>IF($L1015&gt;P$5,MAX(0,P$3+ROUND((P$9*($L1015-P$5)),0)),IF($L1015&gt;P$4,P$3,ROUND($L1015*P$7,0)))</f>
        <v/>
      </c>
      <c r="F1015" s="447">
        <f>IF($L1015&gt;Q$5,MAX(0,Q$3+ROUND((Q$9*($L1015-Q$5)),0)),IF($L1015&gt;Q$4,Q$3,ROUND($L1015*Q$7,0)))</f>
        <v/>
      </c>
      <c r="G1015" s="1378">
        <f>IF($L1015&gt;R$5,MAX(0,R$3+ROUND((R$9*($L1015-R$5)),0)),IF($L1015&gt;R$4,R$3,ROUND($L1015*R$7,0)))</f>
        <v/>
      </c>
      <c r="H1015" s="448">
        <f>IF($L1015&gt;S$5,MAX(0,S$3+ROUND((S$9*($L1015-S$5)),0)),IF($L1015&gt;S$4,S$3,ROUND($L1015*S$7,0)))</f>
        <v/>
      </c>
      <c r="I1015" s="448">
        <f>IF($L1015&gt;T$5,MAX(0,T$3+ROUND((T$9*($L1015-T$5)),0)),IF($L1015&gt;T$4,T$3,ROUND($L1015*T$7,0)))</f>
        <v/>
      </c>
      <c r="J1015" s="447">
        <f>IF($L1015&gt;U$5,MAX(0,U$3+ROUND((U$9*($L1015-U$5)),0)),IF($L1015&gt;U$4,U$3,ROUND($L1015*U$7,0)))</f>
        <v/>
      </c>
      <c r="K1015" s="422" t="n"/>
      <c r="L1015" s="448">
        <f>ROUND((A1015+B1015)/2,2)</f>
        <v/>
      </c>
    </row>
    <row r="1016" ht="13.5" customHeight="1" s="7635">
      <c r="A1016" s="448" t="n">
        <v>50500</v>
      </c>
      <c r="B1016" s="447" t="n">
        <v>50550</v>
      </c>
      <c r="C1016" s="1378">
        <f>IF($L1016&gt;N$5,MAX(0,N$3+ROUND((N$9*($L1016-N$5)),0)),IF($L1016&gt;N$4,N$3,ROUND($L1016*N$7,0)))</f>
        <v/>
      </c>
      <c r="D1016" s="448">
        <f>IF($L1016&gt;O$5,MAX(0,O$3+ROUND((O$9*($L1016-O$5)),0)),IF($L1016&gt;O$4,O$3,ROUND($L1016*O$7,0)))</f>
        <v/>
      </c>
      <c r="E1016" s="448">
        <f>IF($L1016&gt;P$5,MAX(0,P$3+ROUND((P$9*($L1016-P$5)),0)),IF($L1016&gt;P$4,P$3,ROUND($L1016*P$7,0)))</f>
        <v/>
      </c>
      <c r="F1016" s="447">
        <f>IF($L1016&gt;Q$5,MAX(0,Q$3+ROUND((Q$9*($L1016-Q$5)),0)),IF($L1016&gt;Q$4,Q$3,ROUND($L1016*Q$7,0)))</f>
        <v/>
      </c>
      <c r="G1016" s="1378">
        <f>IF($L1016&gt;R$5,MAX(0,R$3+ROUND((R$9*($L1016-R$5)),0)),IF($L1016&gt;R$4,R$3,ROUND($L1016*R$7,0)))</f>
        <v/>
      </c>
      <c r="H1016" s="448">
        <f>IF($L1016&gt;S$5,MAX(0,S$3+ROUND((S$9*($L1016-S$5)),0)),IF($L1016&gt;S$4,S$3,ROUND($L1016*S$7,0)))</f>
        <v/>
      </c>
      <c r="I1016" s="448">
        <f>IF($L1016&gt;T$5,MAX(0,T$3+ROUND((T$9*($L1016-T$5)),0)),IF($L1016&gt;T$4,T$3,ROUND($L1016*T$7,0)))</f>
        <v/>
      </c>
      <c r="J1016" s="447">
        <f>IF($L1016&gt;U$5,MAX(0,U$3+ROUND((U$9*($L1016-U$5)),0)),IF($L1016&gt;U$4,U$3,ROUND($L1016*U$7,0)))</f>
        <v/>
      </c>
      <c r="K1016" s="422" t="n"/>
      <c r="L1016" s="448">
        <f>ROUND((A1016+B1016)/2,2)</f>
        <v/>
      </c>
    </row>
    <row r="1017" ht="13.5" customHeight="1" s="7635">
      <c r="A1017" s="448" t="n">
        <v>50550</v>
      </c>
      <c r="B1017" s="447" t="n">
        <v>50600</v>
      </c>
      <c r="C1017" s="1378">
        <f>IF($L1017&gt;N$5,MAX(0,N$3+ROUND((N$9*($L1017-N$5)),0)),IF($L1017&gt;N$4,N$3,ROUND($L1017*N$7,0)))</f>
        <v/>
      </c>
      <c r="D1017" s="448">
        <f>IF($L1017&gt;O$5,MAX(0,O$3+ROUND((O$9*($L1017-O$5)),0)),IF($L1017&gt;O$4,O$3,ROUND($L1017*O$7,0)))</f>
        <v/>
      </c>
      <c r="E1017" s="448">
        <f>IF($L1017&gt;P$5,MAX(0,P$3+ROUND((P$9*($L1017-P$5)),0)),IF($L1017&gt;P$4,P$3,ROUND($L1017*P$7,0)))</f>
        <v/>
      </c>
      <c r="F1017" s="447">
        <f>IF($L1017&gt;Q$5,MAX(0,Q$3+ROUND((Q$9*($L1017-Q$5)),0)),IF($L1017&gt;Q$4,Q$3,ROUND($L1017*Q$7,0)))</f>
        <v/>
      </c>
      <c r="G1017" s="1378">
        <f>IF($L1017&gt;R$5,MAX(0,R$3+ROUND((R$9*($L1017-R$5)),0)),IF($L1017&gt;R$4,R$3,ROUND($L1017*R$7,0)))</f>
        <v/>
      </c>
      <c r="H1017" s="448">
        <f>IF($L1017&gt;S$5,MAX(0,S$3+ROUND((S$9*($L1017-S$5)),0)),IF($L1017&gt;S$4,S$3,ROUND($L1017*S$7,0)))</f>
        <v/>
      </c>
      <c r="I1017" s="448">
        <f>IF($L1017&gt;T$5,MAX(0,T$3+ROUND((T$9*($L1017-T$5)),0)),IF($L1017&gt;T$4,T$3,ROUND($L1017*T$7,0)))</f>
        <v/>
      </c>
      <c r="J1017" s="447">
        <f>IF($L1017&gt;U$5,MAX(0,U$3+ROUND((U$9*($L1017-U$5)),0)),IF($L1017&gt;U$4,U$3,ROUND($L1017*U$7,0)))</f>
        <v/>
      </c>
      <c r="K1017" s="422" t="n"/>
      <c r="L1017" s="448">
        <f>ROUND((A1017+B1017)/2,2)</f>
        <v/>
      </c>
    </row>
    <row r="1018" ht="13.5" customHeight="1" s="7635">
      <c r="A1018" s="448" t="n">
        <v>50600</v>
      </c>
      <c r="B1018" s="447" t="n">
        <v>50650</v>
      </c>
      <c r="C1018" s="1378">
        <f>IF($L1018&gt;N$5,MAX(0,N$3+ROUND((N$9*($L1018-N$5)),0)),IF($L1018&gt;N$4,N$3,ROUND($L1018*N$7,0)))</f>
        <v/>
      </c>
      <c r="D1018" s="448">
        <f>IF($L1018&gt;O$5,MAX(0,O$3+ROUND((O$9*($L1018-O$5)),0)),IF($L1018&gt;O$4,O$3,ROUND($L1018*O$7,0)))</f>
        <v/>
      </c>
      <c r="E1018" s="448">
        <f>IF($L1018&gt;P$5,MAX(0,P$3+ROUND((P$9*($L1018-P$5)),0)),IF($L1018&gt;P$4,P$3,ROUND($L1018*P$7,0)))</f>
        <v/>
      </c>
      <c r="F1018" s="447">
        <f>IF($L1018&gt;Q$5,MAX(0,Q$3+ROUND((Q$9*($L1018-Q$5)),0)),IF($L1018&gt;Q$4,Q$3,ROUND($L1018*Q$7,0)))</f>
        <v/>
      </c>
      <c r="G1018" s="1378">
        <f>IF($L1018&gt;R$5,MAX(0,R$3+ROUND((R$9*($L1018-R$5)),0)),IF($L1018&gt;R$4,R$3,ROUND($L1018*R$7,0)))</f>
        <v/>
      </c>
      <c r="H1018" s="448">
        <f>IF($L1018&gt;S$5,MAX(0,S$3+ROUND((S$9*($L1018-S$5)),0)),IF($L1018&gt;S$4,S$3,ROUND($L1018*S$7,0)))</f>
        <v/>
      </c>
      <c r="I1018" s="448">
        <f>IF($L1018&gt;T$5,MAX(0,T$3+ROUND((T$9*($L1018-T$5)),0)),IF($L1018&gt;T$4,T$3,ROUND($L1018*T$7,0)))</f>
        <v/>
      </c>
      <c r="J1018" s="447">
        <f>IF($L1018&gt;U$5,MAX(0,U$3+ROUND((U$9*($L1018-U$5)),0)),IF($L1018&gt;U$4,U$3,ROUND($L1018*U$7,0)))</f>
        <v/>
      </c>
      <c r="K1018" s="422" t="n"/>
      <c r="L1018" s="448">
        <f>ROUND((A1018+B1018)/2,2)</f>
        <v/>
      </c>
    </row>
    <row r="1019" ht="13.5" customHeight="1" s="7635">
      <c r="A1019" s="448" t="n">
        <v>50650</v>
      </c>
      <c r="B1019" s="447" t="n">
        <v>50700</v>
      </c>
      <c r="C1019" s="1378">
        <f>IF($L1019&gt;N$5,MAX(0,N$3+ROUND((N$9*($L1019-N$5)),0)),IF($L1019&gt;N$4,N$3,ROUND($L1019*N$7,0)))</f>
        <v/>
      </c>
      <c r="D1019" s="448">
        <f>IF($L1019&gt;O$5,MAX(0,O$3+ROUND((O$9*($L1019-O$5)),0)),IF($L1019&gt;O$4,O$3,ROUND($L1019*O$7,0)))</f>
        <v/>
      </c>
      <c r="E1019" s="448">
        <f>IF($L1019&gt;P$5,MAX(0,P$3+ROUND((P$9*($L1019-P$5)),0)),IF($L1019&gt;P$4,P$3,ROUND($L1019*P$7,0)))</f>
        <v/>
      </c>
      <c r="F1019" s="447">
        <f>IF($L1019&gt;Q$5,MAX(0,Q$3+ROUND((Q$9*($L1019-Q$5)),0)),IF($L1019&gt;Q$4,Q$3,ROUND($L1019*Q$7,0)))</f>
        <v/>
      </c>
      <c r="G1019" s="1378">
        <f>IF($L1019&gt;R$5,MAX(0,R$3+ROUND((R$9*($L1019-R$5)),0)),IF($L1019&gt;R$4,R$3,ROUND($L1019*R$7,0)))</f>
        <v/>
      </c>
      <c r="H1019" s="448">
        <f>IF($L1019&gt;S$5,MAX(0,S$3+ROUND((S$9*($L1019-S$5)),0)),IF($L1019&gt;S$4,S$3,ROUND($L1019*S$7,0)))</f>
        <v/>
      </c>
      <c r="I1019" s="448">
        <f>IF($L1019&gt;T$5,MAX(0,T$3+ROUND((T$9*($L1019-T$5)),0)),IF($L1019&gt;T$4,T$3,ROUND($L1019*T$7,0)))</f>
        <v/>
      </c>
      <c r="J1019" s="447">
        <f>IF($L1019&gt;U$5,MAX(0,U$3+ROUND((U$9*($L1019-U$5)),0)),IF($L1019&gt;U$4,U$3,ROUND($L1019*U$7,0)))</f>
        <v/>
      </c>
      <c r="K1019" s="422" t="n"/>
      <c r="L1019" s="448">
        <f>ROUND((A1019+B1019)/2,2)</f>
        <v/>
      </c>
    </row>
    <row r="1020" ht="13.5" customHeight="1" s="7635">
      <c r="A1020" s="448" t="n">
        <v>50700</v>
      </c>
      <c r="B1020" s="447" t="n">
        <v>50750</v>
      </c>
      <c r="C1020" s="1378">
        <f>IF($L1020&gt;N$5,MAX(0,N$3+ROUND((N$9*($L1020-N$5)),0)),IF($L1020&gt;N$4,N$3,ROUND($L1020*N$7,0)))</f>
        <v/>
      </c>
      <c r="D1020" s="448">
        <f>IF($L1020&gt;O$5,MAX(0,O$3+ROUND((O$9*($L1020-O$5)),0)),IF($L1020&gt;O$4,O$3,ROUND($L1020*O$7,0)))</f>
        <v/>
      </c>
      <c r="E1020" s="448">
        <f>IF($L1020&gt;P$5,MAX(0,P$3+ROUND((P$9*($L1020-P$5)),0)),IF($L1020&gt;P$4,P$3,ROUND($L1020*P$7,0)))</f>
        <v/>
      </c>
      <c r="F1020" s="447">
        <f>IF($L1020&gt;Q$5,MAX(0,Q$3+ROUND((Q$9*($L1020-Q$5)),0)),IF($L1020&gt;Q$4,Q$3,ROUND($L1020*Q$7,0)))</f>
        <v/>
      </c>
      <c r="G1020" s="1378">
        <f>IF($L1020&gt;R$5,MAX(0,R$3+ROUND((R$9*($L1020-R$5)),0)),IF($L1020&gt;R$4,R$3,ROUND($L1020*R$7,0)))</f>
        <v/>
      </c>
      <c r="H1020" s="448">
        <f>IF($L1020&gt;S$5,MAX(0,S$3+ROUND((S$9*($L1020-S$5)),0)),IF($L1020&gt;S$4,S$3,ROUND($L1020*S$7,0)))</f>
        <v/>
      </c>
      <c r="I1020" s="448">
        <f>IF($L1020&gt;T$5,MAX(0,T$3+ROUND((T$9*($L1020-T$5)),0)),IF($L1020&gt;T$4,T$3,ROUND($L1020*T$7,0)))</f>
        <v/>
      </c>
      <c r="J1020" s="447">
        <f>IF($L1020&gt;U$5,MAX(0,U$3+ROUND((U$9*($L1020-U$5)),0)),IF($L1020&gt;U$4,U$3,ROUND($L1020*U$7,0)))</f>
        <v/>
      </c>
      <c r="K1020" s="422" t="n"/>
      <c r="L1020" s="448">
        <f>ROUND((A1020+B1020)/2,2)</f>
        <v/>
      </c>
    </row>
    <row r="1021" ht="13.5" customHeight="1" s="7635">
      <c r="A1021" s="448" t="n">
        <v>50750</v>
      </c>
      <c r="B1021" s="447" t="n">
        <v>50800</v>
      </c>
      <c r="C1021" s="1378">
        <f>IF($L1021&gt;N$5,MAX(0,N$3+ROUND((N$9*($L1021-N$5)),0)),IF($L1021&gt;N$4,N$3,ROUND($L1021*N$7,0)))</f>
        <v/>
      </c>
      <c r="D1021" s="448">
        <f>IF($L1021&gt;O$5,MAX(0,O$3+ROUND((O$9*($L1021-O$5)),0)),IF($L1021&gt;O$4,O$3,ROUND($L1021*O$7,0)))</f>
        <v/>
      </c>
      <c r="E1021" s="448">
        <f>IF($L1021&gt;P$5,MAX(0,P$3+ROUND((P$9*($L1021-P$5)),0)),IF($L1021&gt;P$4,P$3,ROUND($L1021*P$7,0)))</f>
        <v/>
      </c>
      <c r="F1021" s="447">
        <f>IF($L1021&gt;Q$5,MAX(0,Q$3+ROUND((Q$9*($L1021-Q$5)),0)),IF($L1021&gt;Q$4,Q$3,ROUND($L1021*Q$7,0)))</f>
        <v/>
      </c>
      <c r="G1021" s="1378">
        <f>IF($L1021&gt;R$5,MAX(0,R$3+ROUND((R$9*($L1021-R$5)),0)),IF($L1021&gt;R$4,R$3,ROUND($L1021*R$7,0)))</f>
        <v/>
      </c>
      <c r="H1021" s="448">
        <f>IF($L1021&gt;S$5,MAX(0,S$3+ROUND((S$9*($L1021-S$5)),0)),IF($L1021&gt;S$4,S$3,ROUND($L1021*S$7,0)))</f>
        <v/>
      </c>
      <c r="I1021" s="448">
        <f>IF($L1021&gt;T$5,MAX(0,T$3+ROUND((T$9*($L1021-T$5)),0)),IF($L1021&gt;T$4,T$3,ROUND($L1021*T$7,0)))</f>
        <v/>
      </c>
      <c r="J1021" s="447">
        <f>IF($L1021&gt;U$5,MAX(0,U$3+ROUND((U$9*($L1021-U$5)),0)),IF($L1021&gt;U$4,U$3,ROUND($L1021*U$7,0)))</f>
        <v/>
      </c>
      <c r="K1021" s="422" t="n"/>
      <c r="L1021" s="448">
        <f>ROUND((A1021+B1021)/2,2)</f>
        <v/>
      </c>
    </row>
    <row r="1022" ht="13.5" customHeight="1" s="7635">
      <c r="A1022" s="448" t="n">
        <v>50800</v>
      </c>
      <c r="B1022" s="447" t="n">
        <v>50850</v>
      </c>
      <c r="C1022" s="1378">
        <f>IF($L1022&gt;N$5,MAX(0,N$3+ROUND((N$9*($L1022-N$5)),0)),IF($L1022&gt;N$4,N$3,ROUND($L1022*N$7,0)))</f>
        <v/>
      </c>
      <c r="D1022" s="448">
        <f>IF($L1022&gt;O$5,MAX(0,O$3+ROUND((O$9*($L1022-O$5)),0)),IF($L1022&gt;O$4,O$3,ROUND($L1022*O$7,0)))</f>
        <v/>
      </c>
      <c r="E1022" s="448">
        <f>IF($L1022&gt;P$5,MAX(0,P$3+ROUND((P$9*($L1022-P$5)),0)),IF($L1022&gt;P$4,P$3,ROUND($L1022*P$7,0)))</f>
        <v/>
      </c>
      <c r="F1022" s="447">
        <f>IF($L1022&gt;Q$5,MAX(0,Q$3+ROUND((Q$9*($L1022-Q$5)),0)),IF($L1022&gt;Q$4,Q$3,ROUND($L1022*Q$7,0)))</f>
        <v/>
      </c>
      <c r="G1022" s="1378">
        <f>IF($L1022&gt;R$5,MAX(0,R$3+ROUND((R$9*($L1022-R$5)),0)),IF($L1022&gt;R$4,R$3,ROUND($L1022*R$7,0)))</f>
        <v/>
      </c>
      <c r="H1022" s="448">
        <f>IF($L1022&gt;S$5,MAX(0,S$3+ROUND((S$9*($L1022-S$5)),0)),IF($L1022&gt;S$4,S$3,ROUND($L1022*S$7,0)))</f>
        <v/>
      </c>
      <c r="I1022" s="448">
        <f>IF($L1022&gt;T$5,MAX(0,T$3+ROUND((T$9*($L1022-T$5)),0)),IF($L1022&gt;T$4,T$3,ROUND($L1022*T$7,0)))</f>
        <v/>
      </c>
      <c r="J1022" s="447">
        <f>IF($L1022&gt;U$5,MAX(0,U$3+ROUND((U$9*($L1022-U$5)),0)),IF($L1022&gt;U$4,U$3,ROUND($L1022*U$7,0)))</f>
        <v/>
      </c>
      <c r="K1022" s="422" t="n"/>
      <c r="L1022" s="448">
        <f>ROUND((A1022+B1022)/2,2)</f>
        <v/>
      </c>
    </row>
    <row r="1023" ht="13.5" customHeight="1" s="7635">
      <c r="A1023" s="448" t="n">
        <v>50850</v>
      </c>
      <c r="B1023" s="447" t="n">
        <v>50900</v>
      </c>
      <c r="C1023" s="1378">
        <f>IF($L1023&gt;N$5,MAX(0,N$3+ROUND((N$9*($L1023-N$5)),0)),IF($L1023&gt;N$4,N$3,ROUND($L1023*N$7,0)))</f>
        <v/>
      </c>
      <c r="D1023" s="448">
        <f>IF($L1023&gt;O$5,MAX(0,O$3+ROUND((O$9*($L1023-O$5)),0)),IF($L1023&gt;O$4,O$3,ROUND($L1023*O$7,0)))</f>
        <v/>
      </c>
      <c r="E1023" s="448">
        <f>IF($L1023&gt;P$5,MAX(0,P$3+ROUND((P$9*($L1023-P$5)),0)),IF($L1023&gt;P$4,P$3,ROUND($L1023*P$7,0)))</f>
        <v/>
      </c>
      <c r="F1023" s="447">
        <f>IF($L1023&gt;Q$5,MAX(0,Q$3+ROUND((Q$9*($L1023-Q$5)),0)),IF($L1023&gt;Q$4,Q$3,ROUND($L1023*Q$7,0)))</f>
        <v/>
      </c>
      <c r="G1023" s="1378">
        <f>IF($L1023&gt;R$5,MAX(0,R$3+ROUND((R$9*($L1023-R$5)),0)),IF($L1023&gt;R$4,R$3,ROUND($L1023*R$7,0)))</f>
        <v/>
      </c>
      <c r="H1023" s="448">
        <f>IF($L1023&gt;S$5,MAX(0,S$3+ROUND((S$9*($L1023-S$5)),0)),IF($L1023&gt;S$4,S$3,ROUND($L1023*S$7,0)))</f>
        <v/>
      </c>
      <c r="I1023" s="448">
        <f>IF($L1023&gt;T$5,MAX(0,T$3+ROUND((T$9*($L1023-T$5)),0)),IF($L1023&gt;T$4,T$3,ROUND($L1023*T$7,0)))</f>
        <v/>
      </c>
      <c r="J1023" s="447">
        <f>IF($L1023&gt;U$5,MAX(0,U$3+ROUND((U$9*($L1023-U$5)),0)),IF($L1023&gt;U$4,U$3,ROUND($L1023*U$7,0)))</f>
        <v/>
      </c>
      <c r="K1023" s="422" t="n"/>
      <c r="L1023" s="448">
        <f>ROUND((A1023+B1023)/2,2)</f>
        <v/>
      </c>
    </row>
    <row r="1024" ht="13.5" customHeight="1" s="7635">
      <c r="A1024" s="448" t="n">
        <v>50900</v>
      </c>
      <c r="B1024" s="447" t="n">
        <v>50950</v>
      </c>
      <c r="C1024" s="1378">
        <f>IF($L1024&gt;N$5,MAX(0,N$3+ROUND((N$9*($L1024-N$5)),0)),IF($L1024&gt;N$4,N$3,ROUND($L1024*N$7,0)))</f>
        <v/>
      </c>
      <c r="D1024" s="448">
        <f>IF($L1024&gt;O$5,MAX(0,O$3+ROUND((O$9*($L1024-O$5)),0)),IF($L1024&gt;O$4,O$3,ROUND($L1024*O$7,0)))</f>
        <v/>
      </c>
      <c r="E1024" s="448">
        <f>IF($L1024&gt;P$5,MAX(0,P$3+ROUND((P$9*($L1024-P$5)),0)),IF($L1024&gt;P$4,P$3,ROUND($L1024*P$7,0)))</f>
        <v/>
      </c>
      <c r="F1024" s="447">
        <f>IF($L1024&gt;Q$5,MAX(0,Q$3+ROUND((Q$9*($L1024-Q$5)),0)),IF($L1024&gt;Q$4,Q$3,ROUND($L1024*Q$7,0)))</f>
        <v/>
      </c>
      <c r="G1024" s="1378">
        <f>IF($L1024&gt;R$5,MAX(0,R$3+ROUND((R$9*($L1024-R$5)),0)),IF($L1024&gt;R$4,R$3,ROUND($L1024*R$7,0)))</f>
        <v/>
      </c>
      <c r="H1024" s="448">
        <f>IF($L1024&gt;S$5,MAX(0,S$3+ROUND((S$9*($L1024-S$5)),0)),IF($L1024&gt;S$4,S$3,ROUND($L1024*S$7,0)))</f>
        <v/>
      </c>
      <c r="I1024" s="448">
        <f>IF($L1024&gt;T$5,MAX(0,T$3+ROUND((T$9*($L1024-T$5)),0)),IF($L1024&gt;T$4,T$3,ROUND($L1024*T$7,0)))</f>
        <v/>
      </c>
      <c r="J1024" s="447">
        <f>IF($L1024&gt;U$5,MAX(0,U$3+ROUND((U$9*($L1024-U$5)),0)),IF($L1024&gt;U$4,U$3,ROUND($L1024*U$7,0)))</f>
        <v/>
      </c>
      <c r="K1024" s="422" t="n"/>
      <c r="L1024" s="448">
        <f>ROUND((A1024+B1024)/2,2)</f>
        <v/>
      </c>
    </row>
    <row r="1025" ht="13.5" customHeight="1" s="7635">
      <c r="A1025" s="448" t="n">
        <v>50950</v>
      </c>
      <c r="B1025" s="447" t="n">
        <v>51000</v>
      </c>
      <c r="C1025" s="1378">
        <f>IF($L1025&gt;N$5,MAX(0,N$3+ROUND((N$9*($L1025-N$5)),0)),IF($L1025&gt;N$4,N$3,ROUND($L1025*N$7,0)))</f>
        <v/>
      </c>
      <c r="D1025" s="448">
        <f>IF($L1025&gt;O$5,MAX(0,O$3+ROUND((O$9*($L1025-O$5)),0)),IF($L1025&gt;O$4,O$3,ROUND($L1025*O$7,0)))</f>
        <v/>
      </c>
      <c r="E1025" s="448">
        <f>IF($L1025&gt;P$5,MAX(0,P$3+ROUND((P$9*($L1025-P$5)),0)),IF($L1025&gt;P$4,P$3,ROUND($L1025*P$7,0)))</f>
        <v/>
      </c>
      <c r="F1025" s="447">
        <f>IF($L1025&gt;Q$5,MAX(0,Q$3+ROUND((Q$9*($L1025-Q$5)),0)),IF($L1025&gt;Q$4,Q$3,ROUND($L1025*Q$7,0)))</f>
        <v/>
      </c>
      <c r="G1025" s="1378">
        <f>IF($L1025&gt;R$5,MAX(0,R$3+ROUND((R$9*($L1025-R$5)),0)),IF($L1025&gt;R$4,R$3,ROUND($L1025*R$7,0)))</f>
        <v/>
      </c>
      <c r="H1025" s="448">
        <f>IF($L1025&gt;S$5,MAX(0,S$3+ROUND((S$9*($L1025-S$5)),0)),IF($L1025&gt;S$4,S$3,ROUND($L1025*S$7,0)))</f>
        <v/>
      </c>
      <c r="I1025" s="448">
        <f>IF($L1025&gt;T$5,MAX(0,T$3+ROUND((T$9*($L1025-T$5)),0)),IF($L1025&gt;T$4,T$3,ROUND($L1025*T$7,0)))</f>
        <v/>
      </c>
      <c r="J1025" s="447">
        <f>IF($L1025&gt;U$5,MAX(0,U$3+ROUND((U$9*($L1025-U$5)),0)),IF($L1025&gt;U$4,U$3,ROUND($L1025*U$7,0)))</f>
        <v/>
      </c>
      <c r="K1025" s="422" t="n"/>
      <c r="L1025" s="448">
        <f>ROUND((A1025+B1025)/2,2)</f>
        <v/>
      </c>
    </row>
    <row r="1026" ht="13.5" customHeight="1" s="7635">
      <c r="A1026" s="448" t="n">
        <v>51000</v>
      </c>
      <c r="B1026" s="447" t="n">
        <v>51050</v>
      </c>
      <c r="C1026" s="1378">
        <f>IF($L1026&gt;N$5,MAX(0,N$3+ROUND((N$9*($L1026-N$5)),0)),IF($L1026&gt;N$4,N$3,ROUND($L1026*N$7,0)))</f>
        <v/>
      </c>
      <c r="D1026" s="448">
        <f>IF($L1026&gt;O$5,MAX(0,O$3+ROUND((O$9*($L1026-O$5)),0)),IF($L1026&gt;O$4,O$3,ROUND($L1026*O$7,0)))</f>
        <v/>
      </c>
      <c r="E1026" s="448">
        <f>IF($L1026&gt;P$5,MAX(0,P$3+ROUND((P$9*($L1026-P$5)),0)),IF($L1026&gt;P$4,P$3,ROUND($L1026*P$7,0)))</f>
        <v/>
      </c>
      <c r="F1026" s="447">
        <f>IF($L1026&gt;Q$5,MAX(0,Q$3+ROUND((Q$9*($L1026-Q$5)),0)),IF($L1026&gt;Q$4,Q$3,ROUND($L1026*Q$7,0)))</f>
        <v/>
      </c>
      <c r="G1026" s="1378">
        <f>IF($L1026&gt;R$5,MAX(0,R$3+ROUND((R$9*($L1026-R$5)),0)),IF($L1026&gt;R$4,R$3,ROUND($L1026*R$7,0)))</f>
        <v/>
      </c>
      <c r="H1026" s="448">
        <f>IF($L1026&gt;S$5,MAX(0,S$3+ROUND((S$9*($L1026-S$5)),0)),IF($L1026&gt;S$4,S$3,ROUND($L1026*S$7,0)))</f>
        <v/>
      </c>
      <c r="I1026" s="448">
        <f>IF($L1026&gt;T$5,MAX(0,T$3+ROUND((T$9*($L1026-T$5)),0)),IF($L1026&gt;T$4,T$3,ROUND($L1026*T$7,0)))</f>
        <v/>
      </c>
      <c r="J1026" s="447">
        <f>IF($L1026&gt;U$5,MAX(0,U$3+ROUND((U$9*($L1026-U$5)),0)),IF($L1026&gt;U$4,U$3,ROUND($L1026*U$7,0)))</f>
        <v/>
      </c>
      <c r="K1026" s="422" t="n"/>
      <c r="L1026" s="448">
        <f>ROUND((A1026+B1026)/2,2)</f>
        <v/>
      </c>
    </row>
    <row r="1027" ht="13.5" customHeight="1" s="7635">
      <c r="A1027" s="448" t="n">
        <v>51050</v>
      </c>
      <c r="B1027" s="447" t="n">
        <v>51100</v>
      </c>
      <c r="C1027" s="1378">
        <f>IF($L1027&gt;N$5,MAX(0,N$3+ROUND((N$9*($L1027-N$5)),0)),IF($L1027&gt;N$4,N$3,ROUND($L1027*N$7,0)))</f>
        <v/>
      </c>
      <c r="D1027" s="448">
        <f>IF($L1027&gt;O$5,MAX(0,O$3+ROUND((O$9*($L1027-O$5)),0)),IF($L1027&gt;O$4,O$3,ROUND($L1027*O$7,0)))</f>
        <v/>
      </c>
      <c r="E1027" s="448">
        <f>IF($L1027&gt;P$5,MAX(0,P$3+ROUND((P$9*($L1027-P$5)),0)),IF($L1027&gt;P$4,P$3,ROUND($L1027*P$7,0)))</f>
        <v/>
      </c>
      <c r="F1027" s="447">
        <f>IF($L1027&gt;Q$5,MAX(0,Q$3+ROUND((Q$9*($L1027-Q$5)),0)),IF($L1027&gt;Q$4,Q$3,ROUND($L1027*Q$7,0)))</f>
        <v/>
      </c>
      <c r="G1027" s="1378">
        <f>IF($L1027&gt;R$5,MAX(0,R$3+ROUND((R$9*($L1027-R$5)),0)),IF($L1027&gt;R$4,R$3,ROUND($L1027*R$7,0)))</f>
        <v/>
      </c>
      <c r="H1027" s="448">
        <f>IF($L1027&gt;S$5,MAX(0,S$3+ROUND((S$9*($L1027-S$5)),0)),IF($L1027&gt;S$4,S$3,ROUND($L1027*S$7,0)))</f>
        <v/>
      </c>
      <c r="I1027" s="448">
        <f>IF($L1027&gt;T$5,MAX(0,T$3+ROUND((T$9*($L1027-T$5)),0)),IF($L1027&gt;T$4,T$3,ROUND($L1027*T$7,0)))</f>
        <v/>
      </c>
      <c r="J1027" s="447">
        <f>IF($L1027&gt;U$5,MAX(0,U$3+ROUND((U$9*($L1027-U$5)),0)),IF($L1027&gt;U$4,U$3,ROUND($L1027*U$7,0)))</f>
        <v/>
      </c>
      <c r="K1027" s="422" t="n"/>
      <c r="L1027" s="448">
        <f>ROUND((A1027+B1027)/2,2)</f>
        <v/>
      </c>
    </row>
    <row r="1028" ht="13.5" customHeight="1" s="7635">
      <c r="A1028" s="448" t="n">
        <v>51100</v>
      </c>
      <c r="B1028" s="447" t="n">
        <v>51150</v>
      </c>
      <c r="C1028" s="1378">
        <f>IF($L1028&gt;N$5,MAX(0,N$3+ROUND((N$9*($L1028-N$5)),0)),IF($L1028&gt;N$4,N$3,ROUND($L1028*N$7,0)))</f>
        <v/>
      </c>
      <c r="D1028" s="448">
        <f>IF($L1028&gt;O$5,MAX(0,O$3+ROUND((O$9*($L1028-O$5)),0)),IF($L1028&gt;O$4,O$3,ROUND($L1028*O$7,0)))</f>
        <v/>
      </c>
      <c r="E1028" s="448">
        <f>IF($L1028&gt;P$5,MAX(0,P$3+ROUND((P$9*($L1028-P$5)),0)),IF($L1028&gt;P$4,P$3,ROUND($L1028*P$7,0)))</f>
        <v/>
      </c>
      <c r="F1028" s="447">
        <f>IF($L1028&gt;Q$5,MAX(0,Q$3+ROUND((Q$9*($L1028-Q$5)),0)),IF($L1028&gt;Q$4,Q$3,ROUND($L1028*Q$7,0)))</f>
        <v/>
      </c>
      <c r="G1028" s="1378">
        <f>IF($L1028&gt;R$5,MAX(0,R$3+ROUND((R$9*($L1028-R$5)),0)),IF($L1028&gt;R$4,R$3,ROUND($L1028*R$7,0)))</f>
        <v/>
      </c>
      <c r="H1028" s="448">
        <f>IF($L1028&gt;S$5,MAX(0,S$3+ROUND((S$9*($L1028-S$5)),0)),IF($L1028&gt;S$4,S$3,ROUND($L1028*S$7,0)))</f>
        <v/>
      </c>
      <c r="I1028" s="448">
        <f>IF($L1028&gt;T$5,MAX(0,T$3+ROUND((T$9*($L1028-T$5)),0)),IF($L1028&gt;T$4,T$3,ROUND($L1028*T$7,0)))</f>
        <v/>
      </c>
      <c r="J1028" s="447">
        <f>IF($L1028&gt;U$5,MAX(0,U$3+ROUND((U$9*($L1028-U$5)),0)),IF($L1028&gt;U$4,U$3,ROUND($L1028*U$7,0)))</f>
        <v/>
      </c>
      <c r="K1028" s="422" t="n"/>
      <c r="L1028" s="448">
        <f>ROUND((A1028+B1028)/2,2)</f>
        <v/>
      </c>
    </row>
    <row r="1029" ht="13.5" customHeight="1" s="7635">
      <c r="A1029" s="448" t="n">
        <v>51150</v>
      </c>
      <c r="B1029" s="447" t="n">
        <v>51200</v>
      </c>
      <c r="C1029" s="1378">
        <f>IF($L1029&gt;N$5,MAX(0,N$3+ROUND((N$9*($L1029-N$5)),0)),IF($L1029&gt;N$4,N$3,ROUND($L1029*N$7,0)))</f>
        <v/>
      </c>
      <c r="D1029" s="448">
        <f>IF($L1029&gt;O$5,MAX(0,O$3+ROUND((O$9*($L1029-O$5)),0)),IF($L1029&gt;O$4,O$3,ROUND($L1029*O$7,0)))</f>
        <v/>
      </c>
      <c r="E1029" s="448">
        <f>IF($L1029&gt;P$5,MAX(0,P$3+ROUND((P$9*($L1029-P$5)),0)),IF($L1029&gt;P$4,P$3,ROUND($L1029*P$7,0)))</f>
        <v/>
      </c>
      <c r="F1029" s="447">
        <f>IF($L1029&gt;Q$5,MAX(0,Q$3+ROUND((Q$9*($L1029-Q$5)),0)),IF($L1029&gt;Q$4,Q$3,ROUND($L1029*Q$7,0)))</f>
        <v/>
      </c>
      <c r="G1029" s="1378">
        <f>IF($L1029&gt;R$5,MAX(0,R$3+ROUND((R$9*($L1029-R$5)),0)),IF($L1029&gt;R$4,R$3,ROUND($L1029*R$7,0)))</f>
        <v/>
      </c>
      <c r="H1029" s="448">
        <f>IF($L1029&gt;S$5,MAX(0,S$3+ROUND((S$9*($L1029-S$5)),0)),IF($L1029&gt;S$4,S$3,ROUND($L1029*S$7,0)))</f>
        <v/>
      </c>
      <c r="I1029" s="448">
        <f>IF($L1029&gt;T$5,MAX(0,T$3+ROUND((T$9*($L1029-T$5)),0)),IF($L1029&gt;T$4,T$3,ROUND($L1029*T$7,0)))</f>
        <v/>
      </c>
      <c r="J1029" s="447">
        <f>IF($L1029&gt;U$5,MAX(0,U$3+ROUND((U$9*($L1029-U$5)),0)),IF($L1029&gt;U$4,U$3,ROUND($L1029*U$7,0)))</f>
        <v/>
      </c>
      <c r="K1029" s="422" t="n"/>
      <c r="L1029" s="448">
        <f>ROUND((A1029+B1029)/2,2)</f>
        <v/>
      </c>
    </row>
    <row r="1030" ht="13.5" customHeight="1" s="7635">
      <c r="A1030" s="448" t="n">
        <v>51200</v>
      </c>
      <c r="B1030" s="447" t="n">
        <v>51250</v>
      </c>
      <c r="C1030" s="1378">
        <f>IF($L1030&gt;N$5,MAX(0,N$3+ROUND((N$9*($L1030-N$5)),0)),IF($L1030&gt;N$4,N$3,ROUND($L1030*N$7,0)))</f>
        <v/>
      </c>
      <c r="D1030" s="448">
        <f>IF($L1030&gt;O$5,MAX(0,O$3+ROUND((O$9*($L1030-O$5)),0)),IF($L1030&gt;O$4,O$3,ROUND($L1030*O$7,0)))</f>
        <v/>
      </c>
      <c r="E1030" s="448">
        <f>IF($L1030&gt;P$5,MAX(0,P$3+ROUND((P$9*($L1030-P$5)),0)),IF($L1030&gt;P$4,P$3,ROUND($L1030*P$7,0)))</f>
        <v/>
      </c>
      <c r="F1030" s="447">
        <f>IF($L1030&gt;Q$5,MAX(0,Q$3+ROUND((Q$9*($L1030-Q$5)),0)),IF($L1030&gt;Q$4,Q$3,ROUND($L1030*Q$7,0)))</f>
        <v/>
      </c>
      <c r="G1030" s="1378">
        <f>IF($L1030&gt;R$5,MAX(0,R$3+ROUND((R$9*($L1030-R$5)),0)),IF($L1030&gt;R$4,R$3,ROUND($L1030*R$7,0)))</f>
        <v/>
      </c>
      <c r="H1030" s="448">
        <f>IF($L1030&gt;S$5,MAX(0,S$3+ROUND((S$9*($L1030-S$5)),0)),IF($L1030&gt;S$4,S$3,ROUND($L1030*S$7,0)))</f>
        <v/>
      </c>
      <c r="I1030" s="448">
        <f>IF($L1030&gt;T$5,MAX(0,T$3+ROUND((T$9*($L1030-T$5)),0)),IF($L1030&gt;T$4,T$3,ROUND($L1030*T$7,0)))</f>
        <v/>
      </c>
      <c r="J1030" s="447">
        <f>IF($L1030&gt;U$5,MAX(0,U$3+ROUND((U$9*($L1030-U$5)),0)),IF($L1030&gt;U$4,U$3,ROUND($L1030*U$7,0)))</f>
        <v/>
      </c>
      <c r="K1030" s="422" t="n"/>
      <c r="L1030" s="448">
        <f>ROUND((A1030+B1030)/2,2)</f>
        <v/>
      </c>
    </row>
    <row r="1031" ht="13.5" customHeight="1" s="7635">
      <c r="A1031" s="448" t="n">
        <v>51250</v>
      </c>
      <c r="B1031" s="447" t="n">
        <v>51300</v>
      </c>
      <c r="C1031" s="1378">
        <f>IF($L1031&gt;N$5,MAX(0,N$3+ROUND((N$9*($L1031-N$5)),0)),IF($L1031&gt;N$4,N$3,ROUND($L1031*N$7,0)))</f>
        <v/>
      </c>
      <c r="D1031" s="448">
        <f>IF($L1031&gt;O$5,MAX(0,O$3+ROUND((O$9*($L1031-O$5)),0)),IF($L1031&gt;O$4,O$3,ROUND($L1031*O$7,0)))</f>
        <v/>
      </c>
      <c r="E1031" s="448">
        <f>IF($L1031&gt;P$5,MAX(0,P$3+ROUND((P$9*($L1031-P$5)),0)),IF($L1031&gt;P$4,P$3,ROUND($L1031*P$7,0)))</f>
        <v/>
      </c>
      <c r="F1031" s="447">
        <f>IF($L1031&gt;Q$5,MAX(0,Q$3+ROUND((Q$9*($L1031-Q$5)),0)),IF($L1031&gt;Q$4,Q$3,ROUND($L1031*Q$7,0)))</f>
        <v/>
      </c>
      <c r="G1031" s="1378">
        <f>IF($L1031&gt;R$5,MAX(0,R$3+ROUND((R$9*($L1031-R$5)),0)),IF($L1031&gt;R$4,R$3,ROUND($L1031*R$7,0)))</f>
        <v/>
      </c>
      <c r="H1031" s="448">
        <f>IF($L1031&gt;S$5,MAX(0,S$3+ROUND((S$9*($L1031-S$5)),0)),IF($L1031&gt;S$4,S$3,ROUND($L1031*S$7,0)))</f>
        <v/>
      </c>
      <c r="I1031" s="448">
        <f>IF($L1031&gt;T$5,MAX(0,T$3+ROUND((T$9*($L1031-T$5)),0)),IF($L1031&gt;T$4,T$3,ROUND($L1031*T$7,0)))</f>
        <v/>
      </c>
      <c r="J1031" s="447">
        <f>IF($L1031&gt;U$5,MAX(0,U$3+ROUND((U$9*($L1031-U$5)),0)),IF($L1031&gt;U$4,U$3,ROUND($L1031*U$7,0)))</f>
        <v/>
      </c>
      <c r="K1031" s="422" t="n"/>
      <c r="L1031" s="448">
        <f>ROUND((A1031+B1031)/2,2)</f>
        <v/>
      </c>
    </row>
    <row r="1032" ht="13.5" customHeight="1" s="7635">
      <c r="A1032" s="448" t="n">
        <v>51300</v>
      </c>
      <c r="B1032" s="447" t="n">
        <v>51350</v>
      </c>
      <c r="C1032" s="1378">
        <f>IF($L1032&gt;N$5,MAX(0,N$3+ROUND((N$9*($L1032-N$5)),0)),IF($L1032&gt;N$4,N$3,ROUND($L1032*N$7,0)))</f>
        <v/>
      </c>
      <c r="D1032" s="448">
        <f>IF($L1032&gt;O$5,MAX(0,O$3+ROUND((O$9*($L1032-O$5)),0)),IF($L1032&gt;O$4,O$3,ROUND($L1032*O$7,0)))</f>
        <v/>
      </c>
      <c r="E1032" s="448">
        <f>IF($L1032&gt;P$5,MAX(0,P$3+ROUND((P$9*($L1032-P$5)),0)),IF($L1032&gt;P$4,P$3,ROUND($L1032*P$7,0)))</f>
        <v/>
      </c>
      <c r="F1032" s="447">
        <f>IF($L1032&gt;Q$5,MAX(0,Q$3+ROUND((Q$9*($L1032-Q$5)),0)),IF($L1032&gt;Q$4,Q$3,ROUND($L1032*Q$7,0)))</f>
        <v/>
      </c>
      <c r="G1032" s="1378">
        <f>IF($L1032&gt;R$5,MAX(0,R$3+ROUND((R$9*($L1032-R$5)),0)),IF($L1032&gt;R$4,R$3,ROUND($L1032*R$7,0)))</f>
        <v/>
      </c>
      <c r="H1032" s="448">
        <f>IF($L1032&gt;S$5,MAX(0,S$3+ROUND((S$9*($L1032-S$5)),0)),IF($L1032&gt;S$4,S$3,ROUND($L1032*S$7,0)))</f>
        <v/>
      </c>
      <c r="I1032" s="448">
        <f>IF($L1032&gt;T$5,MAX(0,T$3+ROUND((T$9*($L1032-T$5)),0)),IF($L1032&gt;T$4,T$3,ROUND($L1032*T$7,0)))</f>
        <v/>
      </c>
      <c r="J1032" s="447">
        <f>IF($L1032&gt;U$5,MAX(0,U$3+ROUND((U$9*($L1032-U$5)),0)),IF($L1032&gt;U$4,U$3,ROUND($L1032*U$7,0)))</f>
        <v/>
      </c>
      <c r="K1032" s="422" t="n"/>
      <c r="L1032" s="448">
        <f>ROUND((A1032+B1032)/2,2)</f>
        <v/>
      </c>
    </row>
    <row r="1033" ht="13.5" customHeight="1" s="7635">
      <c r="A1033" s="448" t="n">
        <v>51350</v>
      </c>
      <c r="B1033" s="447" t="n">
        <v>51400</v>
      </c>
      <c r="C1033" s="1378">
        <f>IF($L1033&gt;N$5,MAX(0,N$3+ROUND((N$9*($L1033-N$5)),0)),IF($L1033&gt;N$4,N$3,ROUND($L1033*N$7,0)))</f>
        <v/>
      </c>
      <c r="D1033" s="448">
        <f>IF($L1033&gt;O$5,MAX(0,O$3+ROUND((O$9*($L1033-O$5)),0)),IF($L1033&gt;O$4,O$3,ROUND($L1033*O$7,0)))</f>
        <v/>
      </c>
      <c r="E1033" s="448">
        <f>IF($L1033&gt;P$5,MAX(0,P$3+ROUND((P$9*($L1033-P$5)),0)),IF($L1033&gt;P$4,P$3,ROUND($L1033*P$7,0)))</f>
        <v/>
      </c>
      <c r="F1033" s="447">
        <f>IF($L1033&gt;Q$5,MAX(0,Q$3+ROUND((Q$9*($L1033-Q$5)),0)),IF($L1033&gt;Q$4,Q$3,ROUND($L1033*Q$7,0)))</f>
        <v/>
      </c>
      <c r="G1033" s="1378">
        <f>IF($L1033&gt;R$5,MAX(0,R$3+ROUND((R$9*($L1033-R$5)),0)),IF($L1033&gt;R$4,R$3,ROUND($L1033*R$7,0)))</f>
        <v/>
      </c>
      <c r="H1033" s="448">
        <f>IF($L1033&gt;S$5,MAX(0,S$3+ROUND((S$9*($L1033-S$5)),0)),IF($L1033&gt;S$4,S$3,ROUND($L1033*S$7,0)))</f>
        <v/>
      </c>
      <c r="I1033" s="448">
        <f>IF($L1033&gt;T$5,MAX(0,T$3+ROUND((T$9*($L1033-T$5)),0)),IF($L1033&gt;T$4,T$3,ROUND($L1033*T$7,0)))</f>
        <v/>
      </c>
      <c r="J1033" s="447">
        <f>IF($L1033&gt;U$5,MAX(0,U$3+ROUND((U$9*($L1033-U$5)),0)),IF($L1033&gt;U$4,U$3,ROUND($L1033*U$7,0)))</f>
        <v/>
      </c>
      <c r="K1033" s="422" t="n"/>
      <c r="L1033" s="448">
        <f>ROUND((A1033+B1033)/2,2)</f>
        <v/>
      </c>
    </row>
    <row r="1034" ht="13.5" customHeight="1" s="7635">
      <c r="A1034" s="448" t="n">
        <v>51400</v>
      </c>
      <c r="B1034" s="447" t="n">
        <v>51450</v>
      </c>
      <c r="C1034" s="1378">
        <f>IF($L1034&gt;N$5,MAX(0,N$3+ROUND((N$9*($L1034-N$5)),0)),IF($L1034&gt;N$4,N$3,ROUND($L1034*N$7,0)))</f>
        <v/>
      </c>
      <c r="D1034" s="448">
        <f>IF($L1034&gt;O$5,MAX(0,O$3+ROUND((O$9*($L1034-O$5)),0)),IF($L1034&gt;O$4,O$3,ROUND($L1034*O$7,0)))</f>
        <v/>
      </c>
      <c r="E1034" s="448">
        <f>IF($L1034&gt;P$5,MAX(0,P$3+ROUND((P$9*($L1034-P$5)),0)),IF($L1034&gt;P$4,P$3,ROUND($L1034*P$7,0)))</f>
        <v/>
      </c>
      <c r="F1034" s="447">
        <f>IF($L1034&gt;Q$5,MAX(0,Q$3+ROUND((Q$9*($L1034-Q$5)),0)),IF($L1034&gt;Q$4,Q$3,ROUND($L1034*Q$7,0)))</f>
        <v/>
      </c>
      <c r="G1034" s="1378">
        <f>IF($L1034&gt;R$5,MAX(0,R$3+ROUND((R$9*($L1034-R$5)),0)),IF($L1034&gt;R$4,R$3,ROUND($L1034*R$7,0)))</f>
        <v/>
      </c>
      <c r="H1034" s="448">
        <f>IF($L1034&gt;S$5,MAX(0,S$3+ROUND((S$9*($L1034-S$5)),0)),IF($L1034&gt;S$4,S$3,ROUND($L1034*S$7,0)))</f>
        <v/>
      </c>
      <c r="I1034" s="448">
        <f>IF($L1034&gt;T$5,MAX(0,T$3+ROUND((T$9*($L1034-T$5)),0)),IF($L1034&gt;T$4,T$3,ROUND($L1034*T$7,0)))</f>
        <v/>
      </c>
      <c r="J1034" s="447">
        <f>IF($L1034&gt;U$5,MAX(0,U$3+ROUND((U$9*($L1034-U$5)),0)),IF($L1034&gt;U$4,U$3,ROUND($L1034*U$7,0)))</f>
        <v/>
      </c>
      <c r="K1034" s="422" t="n"/>
      <c r="L1034" s="448">
        <f>ROUND((A1034+B1034)/2,2)</f>
        <v/>
      </c>
    </row>
    <row r="1035" ht="13.5" customHeight="1" s="7635">
      <c r="A1035" s="448" t="n">
        <v>51450</v>
      </c>
      <c r="B1035" s="447" t="n">
        <v>51500</v>
      </c>
      <c r="C1035" s="1378">
        <f>IF($L1035&gt;N$5,MAX(0,N$3+ROUND((N$9*($L1035-N$5)),0)),IF($L1035&gt;N$4,N$3,ROUND($L1035*N$7,0)))</f>
        <v/>
      </c>
      <c r="D1035" s="448">
        <f>IF($L1035&gt;O$5,MAX(0,O$3+ROUND((O$9*($L1035-O$5)),0)),IF($L1035&gt;O$4,O$3,ROUND($L1035*O$7,0)))</f>
        <v/>
      </c>
      <c r="E1035" s="448">
        <f>IF($L1035&gt;P$5,MAX(0,P$3+ROUND((P$9*($L1035-P$5)),0)),IF($L1035&gt;P$4,P$3,ROUND($L1035*P$7,0)))</f>
        <v/>
      </c>
      <c r="F1035" s="447">
        <f>IF($L1035&gt;Q$5,MAX(0,Q$3+ROUND((Q$9*($L1035-Q$5)),0)),IF($L1035&gt;Q$4,Q$3,ROUND($L1035*Q$7,0)))</f>
        <v/>
      </c>
      <c r="G1035" s="1378">
        <f>IF($L1035&gt;R$5,MAX(0,R$3+ROUND((R$9*($L1035-R$5)),0)),IF($L1035&gt;R$4,R$3,ROUND($L1035*R$7,0)))</f>
        <v/>
      </c>
      <c r="H1035" s="448">
        <f>IF($L1035&gt;S$5,MAX(0,S$3+ROUND((S$9*($L1035-S$5)),0)),IF($L1035&gt;S$4,S$3,ROUND($L1035*S$7,0)))</f>
        <v/>
      </c>
      <c r="I1035" s="448">
        <f>IF($L1035&gt;T$5,MAX(0,T$3+ROUND((T$9*($L1035-T$5)),0)),IF($L1035&gt;T$4,T$3,ROUND($L1035*T$7,0)))</f>
        <v/>
      </c>
      <c r="J1035" s="447">
        <f>IF($L1035&gt;U$5,MAX(0,U$3+ROUND((U$9*($L1035-U$5)),0)),IF($L1035&gt;U$4,U$3,ROUND($L1035*U$7,0)))</f>
        <v/>
      </c>
      <c r="K1035" s="422" t="n"/>
      <c r="L1035" s="448">
        <f>ROUND((A1035+B1035)/2,2)</f>
        <v/>
      </c>
    </row>
    <row r="1036" ht="13.5" customHeight="1" s="7635">
      <c r="A1036" s="448" t="n">
        <v>51500</v>
      </c>
      <c r="B1036" s="447" t="n">
        <v>51550</v>
      </c>
      <c r="C1036" s="1378">
        <f>IF($L1036&gt;N$5,MAX(0,N$3+ROUND((N$9*($L1036-N$5)),0)),IF($L1036&gt;N$4,N$3,ROUND($L1036*N$7,0)))</f>
        <v/>
      </c>
      <c r="D1036" s="448">
        <f>IF($L1036&gt;O$5,MAX(0,O$3+ROUND((O$9*($L1036-O$5)),0)),IF($L1036&gt;O$4,O$3,ROUND($L1036*O$7,0)))</f>
        <v/>
      </c>
      <c r="E1036" s="448">
        <f>IF($L1036&gt;P$5,MAX(0,P$3+ROUND((P$9*($L1036-P$5)),0)),IF($L1036&gt;P$4,P$3,ROUND($L1036*P$7,0)))</f>
        <v/>
      </c>
      <c r="F1036" s="447">
        <f>IF($L1036&gt;Q$5,MAX(0,Q$3+ROUND((Q$9*($L1036-Q$5)),0)),IF($L1036&gt;Q$4,Q$3,ROUND($L1036*Q$7,0)))</f>
        <v/>
      </c>
      <c r="G1036" s="1378">
        <f>IF($L1036&gt;R$5,MAX(0,R$3+ROUND((R$9*($L1036-R$5)),0)),IF($L1036&gt;R$4,R$3,ROUND($L1036*R$7,0)))</f>
        <v/>
      </c>
      <c r="H1036" s="448">
        <f>IF($L1036&gt;S$5,MAX(0,S$3+ROUND((S$9*($L1036-S$5)),0)),IF($L1036&gt;S$4,S$3,ROUND($L1036*S$7,0)))</f>
        <v/>
      </c>
      <c r="I1036" s="448">
        <f>IF($L1036&gt;T$5,MAX(0,T$3+ROUND((T$9*($L1036-T$5)),0)),IF($L1036&gt;T$4,T$3,ROUND($L1036*T$7,0)))</f>
        <v/>
      </c>
      <c r="J1036" s="447">
        <f>IF($L1036&gt;U$5,MAX(0,U$3+ROUND((U$9*($L1036-U$5)),0)),IF($L1036&gt;U$4,U$3,ROUND($L1036*U$7,0)))</f>
        <v/>
      </c>
      <c r="K1036" s="422" t="n"/>
      <c r="L1036" s="448">
        <f>ROUND((A1036+B1036)/2,2)</f>
        <v/>
      </c>
    </row>
    <row r="1037" ht="13.5" customHeight="1" s="7635">
      <c r="A1037" s="448" t="n">
        <v>51550</v>
      </c>
      <c r="B1037" s="447" t="n">
        <v>51600</v>
      </c>
      <c r="C1037" s="1378">
        <f>IF($L1037&gt;N$5,MAX(0,N$3+ROUND((N$9*($L1037-N$5)),0)),IF($L1037&gt;N$4,N$3,ROUND($L1037*N$7,0)))</f>
        <v/>
      </c>
      <c r="D1037" s="448">
        <f>IF($L1037&gt;O$5,MAX(0,O$3+ROUND((O$9*($L1037-O$5)),0)),IF($L1037&gt;O$4,O$3,ROUND($L1037*O$7,0)))</f>
        <v/>
      </c>
      <c r="E1037" s="448">
        <f>IF($L1037&gt;P$5,MAX(0,P$3+ROUND((P$9*($L1037-P$5)),0)),IF($L1037&gt;P$4,P$3,ROUND($L1037*P$7,0)))</f>
        <v/>
      </c>
      <c r="F1037" s="447">
        <f>IF($L1037&gt;Q$5,MAX(0,Q$3+ROUND((Q$9*($L1037-Q$5)),0)),IF($L1037&gt;Q$4,Q$3,ROUND($L1037*Q$7,0)))</f>
        <v/>
      </c>
      <c r="G1037" s="1378">
        <f>IF($L1037&gt;R$5,MAX(0,R$3+ROUND((R$9*($L1037-R$5)),0)),IF($L1037&gt;R$4,R$3,ROUND($L1037*R$7,0)))</f>
        <v/>
      </c>
      <c r="H1037" s="448">
        <f>IF($L1037&gt;S$5,MAX(0,S$3+ROUND((S$9*($L1037-S$5)),0)),IF($L1037&gt;S$4,S$3,ROUND($L1037*S$7,0)))</f>
        <v/>
      </c>
      <c r="I1037" s="448">
        <f>IF($L1037&gt;T$5,MAX(0,T$3+ROUND((T$9*($L1037-T$5)),0)),IF($L1037&gt;T$4,T$3,ROUND($L1037*T$7,0)))</f>
        <v/>
      </c>
      <c r="J1037" s="447">
        <f>IF($L1037&gt;U$5,MAX(0,U$3+ROUND((U$9*($L1037-U$5)),0)),IF($L1037&gt;U$4,U$3,ROUND($L1037*U$7,0)))</f>
        <v/>
      </c>
      <c r="K1037" s="422" t="n"/>
      <c r="L1037" s="448">
        <f>ROUND((A1037+B1037)/2,2)</f>
        <v/>
      </c>
    </row>
    <row r="1038" ht="13.5" customHeight="1" s="7635">
      <c r="A1038" s="448" t="n">
        <v>51600</v>
      </c>
      <c r="B1038" s="447" t="n">
        <v>51650</v>
      </c>
      <c r="C1038" s="1378">
        <f>IF($L1038&gt;N$5,MAX(0,N$3+ROUND((N$9*($L1038-N$5)),0)),IF($L1038&gt;N$4,N$3,ROUND($L1038*N$7,0)))</f>
        <v/>
      </c>
      <c r="D1038" s="448">
        <f>IF($L1038&gt;O$5,MAX(0,O$3+ROUND((O$9*($L1038-O$5)),0)),IF($L1038&gt;O$4,O$3,ROUND($L1038*O$7,0)))</f>
        <v/>
      </c>
      <c r="E1038" s="448">
        <f>IF($L1038&gt;P$5,MAX(0,P$3+ROUND((P$9*($L1038-P$5)),0)),IF($L1038&gt;P$4,P$3,ROUND($L1038*P$7,0)))</f>
        <v/>
      </c>
      <c r="F1038" s="447">
        <f>IF($L1038&gt;Q$5,MAX(0,Q$3+ROUND((Q$9*($L1038-Q$5)),0)),IF($L1038&gt;Q$4,Q$3,ROUND($L1038*Q$7,0)))</f>
        <v/>
      </c>
      <c r="G1038" s="1378">
        <f>IF($L1038&gt;R$5,MAX(0,R$3+ROUND((R$9*($L1038-R$5)),0)),IF($L1038&gt;R$4,R$3,ROUND($L1038*R$7,0)))</f>
        <v/>
      </c>
      <c r="H1038" s="448">
        <f>IF($L1038&gt;S$5,MAX(0,S$3+ROUND((S$9*($L1038-S$5)),0)),IF($L1038&gt;S$4,S$3,ROUND($L1038*S$7,0)))</f>
        <v/>
      </c>
      <c r="I1038" s="448">
        <f>IF($L1038&gt;T$5,MAX(0,T$3+ROUND((T$9*($L1038-T$5)),0)),IF($L1038&gt;T$4,T$3,ROUND($L1038*T$7,0)))</f>
        <v/>
      </c>
      <c r="J1038" s="447">
        <f>IF($L1038&gt;U$5,MAX(0,U$3+ROUND((U$9*($L1038-U$5)),0)),IF($L1038&gt;U$4,U$3,ROUND($L1038*U$7,0)))</f>
        <v/>
      </c>
      <c r="K1038" s="422" t="n"/>
      <c r="L1038" s="448">
        <f>ROUND((A1038+B1038)/2,2)</f>
        <v/>
      </c>
    </row>
    <row r="1039" ht="13.5" customHeight="1" s="7635">
      <c r="A1039" s="448" t="n">
        <v>51650</v>
      </c>
      <c r="B1039" s="447" t="n">
        <v>51700</v>
      </c>
      <c r="C1039" s="1378">
        <f>IF($L1039&gt;N$5,MAX(0,N$3+ROUND((N$9*($L1039-N$5)),0)),IF($L1039&gt;N$4,N$3,ROUND($L1039*N$7,0)))</f>
        <v/>
      </c>
      <c r="D1039" s="448">
        <f>IF($L1039&gt;O$5,MAX(0,O$3+ROUND((O$9*($L1039-O$5)),0)),IF($L1039&gt;O$4,O$3,ROUND($L1039*O$7,0)))</f>
        <v/>
      </c>
      <c r="E1039" s="448">
        <f>IF($L1039&gt;P$5,MAX(0,P$3+ROUND((P$9*($L1039-P$5)),0)),IF($L1039&gt;P$4,P$3,ROUND($L1039*P$7,0)))</f>
        <v/>
      </c>
      <c r="F1039" s="447">
        <f>IF($L1039&gt;Q$5,MAX(0,Q$3+ROUND((Q$9*($L1039-Q$5)),0)),IF($L1039&gt;Q$4,Q$3,ROUND($L1039*Q$7,0)))</f>
        <v/>
      </c>
      <c r="G1039" s="1378">
        <f>IF($L1039&gt;R$5,MAX(0,R$3+ROUND((R$9*($L1039-R$5)),0)),IF($L1039&gt;R$4,R$3,ROUND($L1039*R$7,0)))</f>
        <v/>
      </c>
      <c r="H1039" s="448">
        <f>IF($L1039&gt;S$5,MAX(0,S$3+ROUND((S$9*($L1039-S$5)),0)),IF($L1039&gt;S$4,S$3,ROUND($L1039*S$7,0)))</f>
        <v/>
      </c>
      <c r="I1039" s="448">
        <f>IF($L1039&gt;T$5,MAX(0,T$3+ROUND((T$9*($L1039-T$5)),0)),IF($L1039&gt;T$4,T$3,ROUND($L1039*T$7,0)))</f>
        <v/>
      </c>
      <c r="J1039" s="447">
        <f>IF($L1039&gt;U$5,MAX(0,U$3+ROUND((U$9*($L1039-U$5)),0)),IF($L1039&gt;U$4,U$3,ROUND($L1039*U$7,0)))</f>
        <v/>
      </c>
      <c r="K1039" s="422" t="n"/>
      <c r="L1039" s="448">
        <f>ROUND((A1039+B1039)/2,2)</f>
        <v/>
      </c>
    </row>
    <row r="1040" ht="13.5" customHeight="1" s="7635">
      <c r="A1040" s="448" t="n">
        <v>51700</v>
      </c>
      <c r="B1040" s="447" t="n">
        <v>51750</v>
      </c>
      <c r="C1040" s="1378">
        <f>IF($L1040&gt;N$5,MAX(0,N$3+ROUND((N$9*($L1040-N$5)),0)),IF($L1040&gt;N$4,N$3,ROUND($L1040*N$7,0)))</f>
        <v/>
      </c>
      <c r="D1040" s="448">
        <f>IF($L1040&gt;O$5,MAX(0,O$3+ROUND((O$9*($L1040-O$5)),0)),IF($L1040&gt;O$4,O$3,ROUND($L1040*O$7,0)))</f>
        <v/>
      </c>
      <c r="E1040" s="448">
        <f>IF($L1040&gt;P$5,MAX(0,P$3+ROUND((P$9*($L1040-P$5)),0)),IF($L1040&gt;P$4,P$3,ROUND($L1040*P$7,0)))</f>
        <v/>
      </c>
      <c r="F1040" s="447">
        <f>IF($L1040&gt;Q$5,MAX(0,Q$3+ROUND((Q$9*($L1040-Q$5)),0)),IF($L1040&gt;Q$4,Q$3,ROUND($L1040*Q$7,0)))</f>
        <v/>
      </c>
      <c r="G1040" s="1378">
        <f>IF($L1040&gt;R$5,MAX(0,R$3+ROUND((R$9*($L1040-R$5)),0)),IF($L1040&gt;R$4,R$3,ROUND($L1040*R$7,0)))</f>
        <v/>
      </c>
      <c r="H1040" s="448">
        <f>IF($L1040&gt;S$5,MAX(0,S$3+ROUND((S$9*($L1040-S$5)),0)),IF($L1040&gt;S$4,S$3,ROUND($L1040*S$7,0)))</f>
        <v/>
      </c>
      <c r="I1040" s="448">
        <f>IF($L1040&gt;T$5,MAX(0,T$3+ROUND((T$9*($L1040-T$5)),0)),IF($L1040&gt;T$4,T$3,ROUND($L1040*T$7,0)))</f>
        <v/>
      </c>
      <c r="J1040" s="447">
        <f>IF($L1040&gt;U$5,MAX(0,U$3+ROUND((U$9*($L1040-U$5)),0)),IF($L1040&gt;U$4,U$3,ROUND($L1040*U$7,0)))</f>
        <v/>
      </c>
      <c r="K1040" s="422" t="n"/>
      <c r="L1040" s="448">
        <f>ROUND((A1040+B1040)/2,2)</f>
        <v/>
      </c>
    </row>
    <row r="1041" ht="13.5" customHeight="1" s="7635">
      <c r="A1041" s="448" t="n">
        <v>51750</v>
      </c>
      <c r="B1041" s="447" t="n">
        <v>51800</v>
      </c>
      <c r="C1041" s="1378">
        <f>IF($L1041&gt;N$5,MAX(0,N$3+ROUND((N$9*($L1041-N$5)),0)),IF($L1041&gt;N$4,N$3,ROUND($L1041*N$7,0)))</f>
        <v/>
      </c>
      <c r="D1041" s="448">
        <f>IF($L1041&gt;O$5,MAX(0,O$3+ROUND((O$9*($L1041-O$5)),0)),IF($L1041&gt;O$4,O$3,ROUND($L1041*O$7,0)))</f>
        <v/>
      </c>
      <c r="E1041" s="448">
        <f>IF($L1041&gt;P$5,MAX(0,P$3+ROUND((P$9*($L1041-P$5)),0)),IF($L1041&gt;P$4,P$3,ROUND($L1041*P$7,0)))</f>
        <v/>
      </c>
      <c r="F1041" s="447">
        <f>IF($L1041&gt;Q$5,MAX(0,Q$3+ROUND((Q$9*($L1041-Q$5)),0)),IF($L1041&gt;Q$4,Q$3,ROUND($L1041*Q$7,0)))</f>
        <v/>
      </c>
      <c r="G1041" s="1378">
        <f>IF($L1041&gt;R$5,MAX(0,R$3+ROUND((R$9*($L1041-R$5)),0)),IF($L1041&gt;R$4,R$3,ROUND($L1041*R$7,0)))</f>
        <v/>
      </c>
      <c r="H1041" s="448">
        <f>IF($L1041&gt;S$5,MAX(0,S$3+ROUND((S$9*($L1041-S$5)),0)),IF($L1041&gt;S$4,S$3,ROUND($L1041*S$7,0)))</f>
        <v/>
      </c>
      <c r="I1041" s="448">
        <f>IF($L1041&gt;T$5,MAX(0,T$3+ROUND((T$9*($L1041-T$5)),0)),IF($L1041&gt;T$4,T$3,ROUND($L1041*T$7,0)))</f>
        <v/>
      </c>
      <c r="J1041" s="447">
        <f>IF($L1041&gt;U$5,MAX(0,U$3+ROUND((U$9*($L1041-U$5)),0)),IF($L1041&gt;U$4,U$3,ROUND($L1041*U$7,0)))</f>
        <v/>
      </c>
      <c r="K1041" s="422" t="n"/>
      <c r="L1041" s="448">
        <f>ROUND((A1041+B1041)/2,2)</f>
        <v/>
      </c>
    </row>
    <row r="1042" ht="13.5" customHeight="1" s="7635">
      <c r="A1042" s="448" t="n">
        <v>51800</v>
      </c>
      <c r="B1042" s="447" t="n">
        <v>51850</v>
      </c>
      <c r="C1042" s="1378">
        <f>IF($L1042&gt;N$5,MAX(0,N$3+ROUND((N$9*($L1042-N$5)),0)),IF($L1042&gt;N$4,N$3,ROUND($L1042*N$7,0)))</f>
        <v/>
      </c>
      <c r="D1042" s="448">
        <f>IF($L1042&gt;O$5,MAX(0,O$3+ROUND((O$9*($L1042-O$5)),0)),IF($L1042&gt;O$4,O$3,ROUND($L1042*O$7,0)))</f>
        <v/>
      </c>
      <c r="E1042" s="448">
        <f>IF($L1042&gt;P$5,MAX(0,P$3+ROUND((P$9*($L1042-P$5)),0)),IF($L1042&gt;P$4,P$3,ROUND($L1042*P$7,0)))</f>
        <v/>
      </c>
      <c r="F1042" s="447">
        <f>IF($L1042&gt;Q$5,MAX(0,Q$3+ROUND((Q$9*($L1042-Q$5)),0)),IF($L1042&gt;Q$4,Q$3,ROUND($L1042*Q$7,0)))</f>
        <v/>
      </c>
      <c r="G1042" s="1378">
        <f>IF($L1042&gt;R$5,MAX(0,R$3+ROUND((R$9*($L1042-R$5)),0)),IF($L1042&gt;R$4,R$3,ROUND($L1042*R$7,0)))</f>
        <v/>
      </c>
      <c r="H1042" s="448">
        <f>IF($L1042&gt;S$5,MAX(0,S$3+ROUND((S$9*($L1042-S$5)),0)),IF($L1042&gt;S$4,S$3,ROUND($L1042*S$7,0)))</f>
        <v/>
      </c>
      <c r="I1042" s="448">
        <f>IF($L1042&gt;T$5,MAX(0,T$3+ROUND((T$9*($L1042-T$5)),0)),IF($L1042&gt;T$4,T$3,ROUND($L1042*T$7,0)))</f>
        <v/>
      </c>
      <c r="J1042" s="447">
        <f>IF($L1042&gt;U$5,MAX(0,U$3+ROUND((U$9*($L1042-U$5)),0)),IF($L1042&gt;U$4,U$3,ROUND($L1042*U$7,0)))</f>
        <v/>
      </c>
      <c r="K1042" s="422" t="n"/>
      <c r="L1042" s="448">
        <f>ROUND((A1042+B1042)/2,2)</f>
        <v/>
      </c>
    </row>
    <row r="1043" ht="13.5" customHeight="1" s="7635">
      <c r="A1043" s="448" t="n">
        <v>51850</v>
      </c>
      <c r="B1043" s="447" t="n">
        <v>51900</v>
      </c>
      <c r="C1043" s="1378">
        <f>IF($L1043&gt;N$5,MAX(0,N$3+ROUND((N$9*($L1043-N$5)),0)),IF($L1043&gt;N$4,N$3,ROUND($L1043*N$7,0)))</f>
        <v/>
      </c>
      <c r="D1043" s="448">
        <f>IF($L1043&gt;O$5,MAX(0,O$3+ROUND((O$9*($L1043-O$5)),0)),IF($L1043&gt;O$4,O$3,ROUND($L1043*O$7,0)))</f>
        <v/>
      </c>
      <c r="E1043" s="448">
        <f>IF($L1043&gt;P$5,MAX(0,P$3+ROUND((P$9*($L1043-P$5)),0)),IF($L1043&gt;P$4,P$3,ROUND($L1043*P$7,0)))</f>
        <v/>
      </c>
      <c r="F1043" s="447">
        <f>IF($L1043&gt;Q$5,MAX(0,Q$3+ROUND((Q$9*($L1043-Q$5)),0)),IF($L1043&gt;Q$4,Q$3,ROUND($L1043*Q$7,0)))</f>
        <v/>
      </c>
      <c r="G1043" s="1378">
        <f>IF($L1043&gt;R$5,MAX(0,R$3+ROUND((R$9*($L1043-R$5)),0)),IF($L1043&gt;R$4,R$3,ROUND($L1043*R$7,0)))</f>
        <v/>
      </c>
      <c r="H1043" s="448">
        <f>IF($L1043&gt;S$5,MAX(0,S$3+ROUND((S$9*($L1043-S$5)),0)),IF($L1043&gt;S$4,S$3,ROUND($L1043*S$7,0)))</f>
        <v/>
      </c>
      <c r="I1043" s="448">
        <f>IF($L1043&gt;T$5,MAX(0,T$3+ROUND((T$9*($L1043-T$5)),0)),IF($L1043&gt;T$4,T$3,ROUND($L1043*T$7,0)))</f>
        <v/>
      </c>
      <c r="J1043" s="447">
        <f>IF($L1043&gt;U$5,MAX(0,U$3+ROUND((U$9*($L1043-U$5)),0)),IF($L1043&gt;U$4,U$3,ROUND($L1043*U$7,0)))</f>
        <v/>
      </c>
      <c r="K1043" s="422" t="n"/>
      <c r="L1043" s="448">
        <f>ROUND((A1043+B1043)/2,2)</f>
        <v/>
      </c>
    </row>
    <row r="1044" ht="13.5" customHeight="1" s="7635">
      <c r="A1044" s="448" t="n">
        <v>51900</v>
      </c>
      <c r="B1044" s="447" t="n">
        <v>51950</v>
      </c>
      <c r="C1044" s="1378">
        <f>IF($L1044&gt;N$5,MAX(0,N$3+ROUND((N$9*($L1044-N$5)),0)),IF($L1044&gt;N$4,N$3,ROUND($L1044*N$7,0)))</f>
        <v/>
      </c>
      <c r="D1044" s="448">
        <f>IF($L1044&gt;O$5,MAX(0,O$3+ROUND((O$9*($L1044-O$5)),0)),IF($L1044&gt;O$4,O$3,ROUND($L1044*O$7,0)))</f>
        <v/>
      </c>
      <c r="E1044" s="448">
        <f>IF($L1044&gt;P$5,MAX(0,P$3+ROUND((P$9*($L1044-P$5)),0)),IF($L1044&gt;P$4,P$3,ROUND($L1044*P$7,0)))</f>
        <v/>
      </c>
      <c r="F1044" s="447">
        <f>IF($L1044&gt;Q$5,MAX(0,Q$3+ROUND((Q$9*($L1044-Q$5)),0)),IF($L1044&gt;Q$4,Q$3,ROUND($L1044*Q$7,0)))</f>
        <v/>
      </c>
      <c r="G1044" s="1378">
        <f>IF($L1044&gt;R$5,MAX(0,R$3+ROUND((R$9*($L1044-R$5)),0)),IF($L1044&gt;R$4,R$3,ROUND($L1044*R$7,0)))</f>
        <v/>
      </c>
      <c r="H1044" s="448">
        <f>IF($L1044&gt;S$5,MAX(0,S$3+ROUND((S$9*($L1044-S$5)),0)),IF($L1044&gt;S$4,S$3,ROUND($L1044*S$7,0)))</f>
        <v/>
      </c>
      <c r="I1044" s="448">
        <f>IF($L1044&gt;T$5,MAX(0,T$3+ROUND((T$9*($L1044-T$5)),0)),IF($L1044&gt;T$4,T$3,ROUND($L1044*T$7,0)))</f>
        <v/>
      </c>
      <c r="J1044" s="447">
        <f>IF($L1044&gt;U$5,MAX(0,U$3+ROUND((U$9*($L1044-U$5)),0)),IF($L1044&gt;U$4,U$3,ROUND($L1044*U$7,0)))</f>
        <v/>
      </c>
      <c r="K1044" s="422" t="n"/>
      <c r="L1044" s="448">
        <f>ROUND((A1044+B1044)/2,2)</f>
        <v/>
      </c>
    </row>
    <row r="1045" ht="13.5" customHeight="1" s="7635">
      <c r="A1045" s="448" t="n">
        <v>51950</v>
      </c>
      <c r="B1045" s="447" t="n">
        <v>52000</v>
      </c>
      <c r="C1045" s="1378">
        <f>IF($L1045&gt;N$5,MAX(0,N$3+ROUND((N$9*($L1045-N$5)),0)),IF($L1045&gt;N$4,N$3,ROUND($L1045*N$7,0)))</f>
        <v/>
      </c>
      <c r="D1045" s="448">
        <f>IF($L1045&gt;O$5,MAX(0,O$3+ROUND((O$9*($L1045-O$5)),0)),IF($L1045&gt;O$4,O$3,ROUND($L1045*O$7,0)))</f>
        <v/>
      </c>
      <c r="E1045" s="448">
        <f>IF($L1045&gt;P$5,MAX(0,P$3+ROUND((P$9*($L1045-P$5)),0)),IF($L1045&gt;P$4,P$3,ROUND($L1045*P$7,0)))</f>
        <v/>
      </c>
      <c r="F1045" s="447">
        <f>IF($L1045&gt;Q$5,MAX(0,Q$3+ROUND((Q$9*($L1045-Q$5)),0)),IF($L1045&gt;Q$4,Q$3,ROUND($L1045*Q$7,0)))</f>
        <v/>
      </c>
      <c r="G1045" s="1378">
        <f>IF($L1045&gt;R$5,MAX(0,R$3+ROUND((R$9*($L1045-R$5)),0)),IF($L1045&gt;R$4,R$3,ROUND($L1045*R$7,0)))</f>
        <v/>
      </c>
      <c r="H1045" s="448">
        <f>IF($L1045&gt;S$5,MAX(0,S$3+ROUND((S$9*($L1045-S$5)),0)),IF($L1045&gt;S$4,S$3,ROUND($L1045*S$7,0)))</f>
        <v/>
      </c>
      <c r="I1045" s="448">
        <f>IF($L1045&gt;T$5,MAX(0,T$3+ROUND((T$9*($L1045-T$5)),0)),IF($L1045&gt;T$4,T$3,ROUND($L1045*T$7,0)))</f>
        <v/>
      </c>
      <c r="J1045" s="447">
        <f>IF($L1045&gt;U$5,MAX(0,U$3+ROUND((U$9*($L1045-U$5)),0)),IF($L1045&gt;U$4,U$3,ROUND($L1045*U$7,0)))</f>
        <v/>
      </c>
      <c r="K1045" s="422" t="n"/>
      <c r="L1045" s="448">
        <f>ROUND((A1045+B1045)/2,2)</f>
        <v/>
      </c>
    </row>
    <row r="1046" ht="13.5" customHeight="1" s="7635">
      <c r="A1046" s="448" t="n">
        <v>52000</v>
      </c>
      <c r="B1046" s="447" t="n">
        <v>52050</v>
      </c>
      <c r="C1046" s="1378">
        <f>IF($L1046&gt;N$5,MAX(0,N$3+ROUND((N$9*($L1046-N$5)),0)),IF($L1046&gt;N$4,N$3,ROUND($L1046*N$7,0)))</f>
        <v/>
      </c>
      <c r="D1046" s="448">
        <f>IF($L1046&gt;O$5,MAX(0,O$3+ROUND((O$9*($L1046-O$5)),0)),IF($L1046&gt;O$4,O$3,ROUND($L1046*O$7,0)))</f>
        <v/>
      </c>
      <c r="E1046" s="448">
        <f>IF($L1046&gt;P$5,MAX(0,P$3+ROUND((P$9*($L1046-P$5)),0)),IF($L1046&gt;P$4,P$3,ROUND($L1046*P$7,0)))</f>
        <v/>
      </c>
      <c r="F1046" s="447">
        <f>IF($L1046&gt;Q$5,MAX(0,Q$3+ROUND((Q$9*($L1046-Q$5)),0)),IF($L1046&gt;Q$4,Q$3,ROUND($L1046*Q$7,0)))</f>
        <v/>
      </c>
      <c r="G1046" s="1378">
        <f>IF($L1046&gt;R$5,MAX(0,R$3+ROUND((R$9*($L1046-R$5)),0)),IF($L1046&gt;R$4,R$3,ROUND($L1046*R$7,0)))</f>
        <v/>
      </c>
      <c r="H1046" s="448">
        <f>IF($L1046&gt;S$5,MAX(0,S$3+ROUND((S$9*($L1046-S$5)),0)),IF($L1046&gt;S$4,S$3,ROUND($L1046*S$7,0)))</f>
        <v/>
      </c>
      <c r="I1046" s="448">
        <f>IF($L1046&gt;T$5,MAX(0,T$3+ROUND((T$9*($L1046-T$5)),0)),IF($L1046&gt;T$4,T$3,ROUND($L1046*T$7,0)))</f>
        <v/>
      </c>
      <c r="J1046" s="447">
        <f>IF($L1046&gt;U$5,MAX(0,U$3+ROUND((U$9*($L1046-U$5)),0)),IF($L1046&gt;U$4,U$3,ROUND($L1046*U$7,0)))</f>
        <v/>
      </c>
      <c r="K1046" s="422" t="n"/>
      <c r="L1046" s="448">
        <f>ROUND((A1046+B1046)/2,2)</f>
        <v/>
      </c>
    </row>
    <row r="1047" ht="13.5" customHeight="1" s="7635">
      <c r="A1047" s="448" t="n">
        <v>52050</v>
      </c>
      <c r="B1047" s="447" t="n">
        <v>52100</v>
      </c>
      <c r="C1047" s="1378">
        <f>IF($L1047&gt;N$5,MAX(0,N$3+ROUND((N$9*($L1047-N$5)),0)),IF($L1047&gt;N$4,N$3,ROUND($L1047*N$7,0)))</f>
        <v/>
      </c>
      <c r="D1047" s="448">
        <f>IF($L1047&gt;O$5,MAX(0,O$3+ROUND((O$9*($L1047-O$5)),0)),IF($L1047&gt;O$4,O$3,ROUND($L1047*O$7,0)))</f>
        <v/>
      </c>
      <c r="E1047" s="448">
        <f>IF($L1047&gt;P$5,MAX(0,P$3+ROUND((P$9*($L1047-P$5)),0)),IF($L1047&gt;P$4,P$3,ROUND($L1047*P$7,0)))</f>
        <v/>
      </c>
      <c r="F1047" s="447">
        <f>IF($L1047&gt;Q$5,MAX(0,Q$3+ROUND((Q$9*($L1047-Q$5)),0)),IF($L1047&gt;Q$4,Q$3,ROUND($L1047*Q$7,0)))</f>
        <v/>
      </c>
      <c r="G1047" s="1378">
        <f>IF($L1047&gt;R$5,MAX(0,R$3+ROUND((R$9*($L1047-R$5)),0)),IF($L1047&gt;R$4,R$3,ROUND($L1047*R$7,0)))</f>
        <v/>
      </c>
      <c r="H1047" s="448">
        <f>IF($L1047&gt;S$5,MAX(0,S$3+ROUND((S$9*($L1047-S$5)),0)),IF($L1047&gt;S$4,S$3,ROUND($L1047*S$7,0)))</f>
        <v/>
      </c>
      <c r="I1047" s="448">
        <f>IF($L1047&gt;T$5,MAX(0,T$3+ROUND((T$9*($L1047-T$5)),0)),IF($L1047&gt;T$4,T$3,ROUND($L1047*T$7,0)))</f>
        <v/>
      </c>
      <c r="J1047" s="447">
        <f>IF($L1047&gt;U$5,MAX(0,U$3+ROUND((U$9*($L1047-U$5)),0)),IF($L1047&gt;U$4,U$3,ROUND($L1047*U$7,0)))</f>
        <v/>
      </c>
      <c r="K1047" s="422" t="n"/>
      <c r="L1047" s="448">
        <f>ROUND((A1047+B1047)/2,2)</f>
        <v/>
      </c>
    </row>
    <row r="1048" ht="13.5" customHeight="1" s="7635">
      <c r="A1048" s="448" t="n">
        <v>52100</v>
      </c>
      <c r="B1048" s="447" t="n">
        <v>52150</v>
      </c>
      <c r="C1048" s="1378">
        <f>IF($L1048&gt;N$5,MAX(0,N$3+ROUND((N$9*($L1048-N$5)),0)),IF($L1048&gt;N$4,N$3,ROUND($L1048*N$7,0)))</f>
        <v/>
      </c>
      <c r="D1048" s="448">
        <f>IF($L1048&gt;O$5,MAX(0,O$3+ROUND((O$9*($L1048-O$5)),0)),IF($L1048&gt;O$4,O$3,ROUND($L1048*O$7,0)))</f>
        <v/>
      </c>
      <c r="E1048" s="448">
        <f>IF($L1048&gt;P$5,MAX(0,P$3+ROUND((P$9*($L1048-P$5)),0)),IF($L1048&gt;P$4,P$3,ROUND($L1048*P$7,0)))</f>
        <v/>
      </c>
      <c r="F1048" s="447">
        <f>IF($L1048&gt;Q$5,MAX(0,Q$3+ROUND((Q$9*($L1048-Q$5)),0)),IF($L1048&gt;Q$4,Q$3,ROUND($L1048*Q$7,0)))</f>
        <v/>
      </c>
      <c r="G1048" s="1378">
        <f>IF($L1048&gt;R$5,MAX(0,R$3+ROUND((R$9*($L1048-R$5)),0)),IF($L1048&gt;R$4,R$3,ROUND($L1048*R$7,0)))</f>
        <v/>
      </c>
      <c r="H1048" s="448">
        <f>IF($L1048&gt;S$5,MAX(0,S$3+ROUND((S$9*($L1048-S$5)),0)),IF($L1048&gt;S$4,S$3,ROUND($L1048*S$7,0)))</f>
        <v/>
      </c>
      <c r="I1048" s="448">
        <f>IF($L1048&gt;T$5,MAX(0,T$3+ROUND((T$9*($L1048-T$5)),0)),IF($L1048&gt;T$4,T$3,ROUND($L1048*T$7,0)))</f>
        <v/>
      </c>
      <c r="J1048" s="447">
        <f>IF($L1048&gt;U$5,MAX(0,U$3+ROUND((U$9*($L1048-U$5)),0)),IF($L1048&gt;U$4,U$3,ROUND($L1048*U$7,0)))</f>
        <v/>
      </c>
      <c r="K1048" s="422" t="n"/>
      <c r="L1048" s="448">
        <f>ROUND((A1048+B1048)/2,2)</f>
        <v/>
      </c>
    </row>
    <row r="1049" ht="13.5" customHeight="1" s="7635">
      <c r="A1049" s="448" t="n">
        <v>52150</v>
      </c>
      <c r="B1049" s="447" t="n">
        <v>52200</v>
      </c>
      <c r="C1049" s="1378">
        <f>IF($L1049&gt;N$5,MAX(0,N$3+ROUND((N$9*($L1049-N$5)),0)),IF($L1049&gt;N$4,N$3,ROUND($L1049*N$7,0)))</f>
        <v/>
      </c>
      <c r="D1049" s="448">
        <f>IF($L1049&gt;O$5,MAX(0,O$3+ROUND((O$9*($L1049-O$5)),0)),IF($L1049&gt;O$4,O$3,ROUND($L1049*O$7,0)))</f>
        <v/>
      </c>
      <c r="E1049" s="448">
        <f>IF($L1049&gt;P$5,MAX(0,P$3+ROUND((P$9*($L1049-P$5)),0)),IF($L1049&gt;P$4,P$3,ROUND($L1049*P$7,0)))</f>
        <v/>
      </c>
      <c r="F1049" s="447">
        <f>IF($L1049&gt;Q$5,MAX(0,Q$3+ROUND((Q$9*($L1049-Q$5)),0)),IF($L1049&gt;Q$4,Q$3,ROUND($L1049*Q$7,0)))</f>
        <v/>
      </c>
      <c r="G1049" s="1378">
        <f>IF($L1049&gt;R$5,MAX(0,R$3+ROUND((R$9*($L1049-R$5)),0)),IF($L1049&gt;R$4,R$3,ROUND($L1049*R$7,0)))</f>
        <v/>
      </c>
      <c r="H1049" s="448">
        <f>IF($L1049&gt;S$5,MAX(0,S$3+ROUND((S$9*($L1049-S$5)),0)),IF($L1049&gt;S$4,S$3,ROUND($L1049*S$7,0)))</f>
        <v/>
      </c>
      <c r="I1049" s="448">
        <f>IF($L1049&gt;T$5,MAX(0,T$3+ROUND((T$9*($L1049-T$5)),0)),IF($L1049&gt;T$4,T$3,ROUND($L1049*T$7,0)))</f>
        <v/>
      </c>
      <c r="J1049" s="447">
        <f>IF($L1049&gt;U$5,MAX(0,U$3+ROUND((U$9*($L1049-U$5)),0)),IF($L1049&gt;U$4,U$3,ROUND($L1049*U$7,0)))</f>
        <v/>
      </c>
      <c r="K1049" s="422" t="n"/>
      <c r="L1049" s="448">
        <f>ROUND((A1049+B1049)/2,2)</f>
        <v/>
      </c>
    </row>
    <row r="1050" ht="13.5" customHeight="1" s="7635">
      <c r="A1050" s="448" t="n">
        <v>52200</v>
      </c>
      <c r="B1050" s="447" t="n">
        <v>52250</v>
      </c>
      <c r="C1050" s="1378">
        <f>IF($L1050&gt;N$5,MAX(0,N$3+ROUND((N$9*($L1050-N$5)),0)),IF($L1050&gt;N$4,N$3,ROUND($L1050*N$7,0)))</f>
        <v/>
      </c>
      <c r="D1050" s="448">
        <f>IF($L1050&gt;O$5,MAX(0,O$3+ROUND((O$9*($L1050-O$5)),0)),IF($L1050&gt;O$4,O$3,ROUND($L1050*O$7,0)))</f>
        <v/>
      </c>
      <c r="E1050" s="448">
        <f>IF($L1050&gt;P$5,MAX(0,P$3+ROUND((P$9*($L1050-P$5)),0)),IF($L1050&gt;P$4,P$3,ROUND($L1050*P$7,0)))</f>
        <v/>
      </c>
      <c r="F1050" s="447">
        <f>IF($L1050&gt;Q$5,MAX(0,Q$3+ROUND((Q$9*($L1050-Q$5)),0)),IF($L1050&gt;Q$4,Q$3,ROUND($L1050*Q$7,0)))</f>
        <v/>
      </c>
      <c r="G1050" s="1378">
        <f>IF($L1050&gt;R$5,MAX(0,R$3+ROUND((R$9*($L1050-R$5)),0)),IF($L1050&gt;R$4,R$3,ROUND($L1050*R$7,0)))</f>
        <v/>
      </c>
      <c r="H1050" s="448">
        <f>IF($L1050&gt;S$5,MAX(0,S$3+ROUND((S$9*($L1050-S$5)),0)),IF($L1050&gt;S$4,S$3,ROUND($L1050*S$7,0)))</f>
        <v/>
      </c>
      <c r="I1050" s="448">
        <f>IF($L1050&gt;T$5,MAX(0,T$3+ROUND((T$9*($L1050-T$5)),0)),IF($L1050&gt;T$4,T$3,ROUND($L1050*T$7,0)))</f>
        <v/>
      </c>
      <c r="J1050" s="447">
        <f>IF($L1050&gt;U$5,MAX(0,U$3+ROUND((U$9*($L1050-U$5)),0)),IF($L1050&gt;U$4,U$3,ROUND($L1050*U$7,0)))</f>
        <v/>
      </c>
      <c r="K1050" s="422" t="n"/>
      <c r="L1050" s="448">
        <f>ROUND((A1050+B1050)/2,2)</f>
        <v/>
      </c>
    </row>
    <row r="1051" ht="13.5" customHeight="1" s="7635">
      <c r="A1051" s="448" t="n">
        <v>52250</v>
      </c>
      <c r="B1051" s="447" t="n">
        <v>52300</v>
      </c>
      <c r="C1051" s="1378">
        <f>IF($L1051&gt;N$5,MAX(0,N$3+ROUND((N$9*($L1051-N$5)),0)),IF($L1051&gt;N$4,N$3,ROUND($L1051*N$7,0)))</f>
        <v/>
      </c>
      <c r="D1051" s="448">
        <f>IF($L1051&gt;O$5,MAX(0,O$3+ROUND((O$9*($L1051-O$5)),0)),IF($L1051&gt;O$4,O$3,ROUND($L1051*O$7,0)))</f>
        <v/>
      </c>
      <c r="E1051" s="448">
        <f>IF($L1051&gt;P$5,MAX(0,P$3+ROUND((P$9*($L1051-P$5)),0)),IF($L1051&gt;P$4,P$3,ROUND($L1051*P$7,0)))</f>
        <v/>
      </c>
      <c r="F1051" s="447">
        <f>IF($L1051&gt;Q$5,MAX(0,Q$3+ROUND((Q$9*($L1051-Q$5)),0)),IF($L1051&gt;Q$4,Q$3,ROUND($L1051*Q$7,0)))</f>
        <v/>
      </c>
      <c r="G1051" s="1378">
        <f>IF($L1051&gt;R$5,MAX(0,R$3+ROUND((R$9*($L1051-R$5)),0)),IF($L1051&gt;R$4,R$3,ROUND($L1051*R$7,0)))</f>
        <v/>
      </c>
      <c r="H1051" s="448">
        <f>IF($L1051&gt;S$5,MAX(0,S$3+ROUND((S$9*($L1051-S$5)),0)),IF($L1051&gt;S$4,S$3,ROUND($L1051*S$7,0)))</f>
        <v/>
      </c>
      <c r="I1051" s="448">
        <f>IF($L1051&gt;T$5,MAX(0,T$3+ROUND((T$9*($L1051-T$5)),0)),IF($L1051&gt;T$4,T$3,ROUND($L1051*T$7,0)))</f>
        <v/>
      </c>
      <c r="J1051" s="447">
        <f>IF($L1051&gt;U$5,MAX(0,U$3+ROUND((U$9*($L1051-U$5)),0)),IF($L1051&gt;U$4,U$3,ROUND($L1051*U$7,0)))</f>
        <v/>
      </c>
      <c r="K1051" s="422" t="n"/>
      <c r="L1051" s="448">
        <f>ROUND((A1051+B1051)/2,2)</f>
        <v/>
      </c>
    </row>
    <row r="1052" ht="13.5" customHeight="1" s="7635">
      <c r="A1052" s="448" t="n">
        <v>52300</v>
      </c>
      <c r="B1052" s="447" t="n">
        <v>52350</v>
      </c>
      <c r="C1052" s="1378">
        <f>IF($L1052&gt;N$5,MAX(0,N$3+ROUND((N$9*($L1052-N$5)),0)),IF($L1052&gt;N$4,N$3,ROUND($L1052*N$7,0)))</f>
        <v/>
      </c>
      <c r="D1052" s="448">
        <f>IF($L1052&gt;O$5,MAX(0,O$3+ROUND((O$9*($L1052-O$5)),0)),IF($L1052&gt;O$4,O$3,ROUND($L1052*O$7,0)))</f>
        <v/>
      </c>
      <c r="E1052" s="448">
        <f>IF($L1052&gt;P$5,MAX(0,P$3+ROUND((P$9*($L1052-P$5)),0)),IF($L1052&gt;P$4,P$3,ROUND($L1052*P$7,0)))</f>
        <v/>
      </c>
      <c r="F1052" s="447">
        <f>IF($L1052&gt;Q$5,MAX(0,Q$3+ROUND((Q$9*($L1052-Q$5)),0)),IF($L1052&gt;Q$4,Q$3,ROUND($L1052*Q$7,0)))</f>
        <v/>
      </c>
      <c r="G1052" s="1378">
        <f>IF($L1052&gt;R$5,MAX(0,R$3+ROUND((R$9*($L1052-R$5)),0)),IF($L1052&gt;R$4,R$3,ROUND($L1052*R$7,0)))</f>
        <v/>
      </c>
      <c r="H1052" s="448">
        <f>IF($L1052&gt;S$5,MAX(0,S$3+ROUND((S$9*($L1052-S$5)),0)),IF($L1052&gt;S$4,S$3,ROUND($L1052*S$7,0)))</f>
        <v/>
      </c>
      <c r="I1052" s="448">
        <f>IF($L1052&gt;T$5,MAX(0,T$3+ROUND((T$9*($L1052-T$5)),0)),IF($L1052&gt;T$4,T$3,ROUND($L1052*T$7,0)))</f>
        <v/>
      </c>
      <c r="J1052" s="447">
        <f>IF($L1052&gt;U$5,MAX(0,U$3+ROUND((U$9*($L1052-U$5)),0)),IF($L1052&gt;U$4,U$3,ROUND($L1052*U$7,0)))</f>
        <v/>
      </c>
      <c r="K1052" s="422" t="n"/>
      <c r="L1052" s="448">
        <f>ROUND((A1052+B1052)/2,2)</f>
        <v/>
      </c>
    </row>
    <row r="1053" ht="13.5" customHeight="1" s="7635">
      <c r="A1053" s="448" t="n">
        <v>52350</v>
      </c>
      <c r="B1053" s="447" t="n">
        <v>52400</v>
      </c>
      <c r="C1053" s="1378">
        <f>IF($L1053&gt;N$5,MAX(0,N$3+ROUND((N$9*($L1053-N$5)),0)),IF($L1053&gt;N$4,N$3,ROUND($L1053*N$7,0)))</f>
        <v/>
      </c>
      <c r="D1053" s="448">
        <f>IF($L1053&gt;O$5,MAX(0,O$3+ROUND((O$9*($L1053-O$5)),0)),IF($L1053&gt;O$4,O$3,ROUND($L1053*O$7,0)))</f>
        <v/>
      </c>
      <c r="E1053" s="448">
        <f>IF($L1053&gt;P$5,MAX(0,P$3+ROUND((P$9*($L1053-P$5)),0)),IF($L1053&gt;P$4,P$3,ROUND($L1053*P$7,0)))</f>
        <v/>
      </c>
      <c r="F1053" s="447">
        <f>IF($L1053&gt;Q$5,MAX(0,Q$3+ROUND((Q$9*($L1053-Q$5)),0)),IF($L1053&gt;Q$4,Q$3,ROUND($L1053*Q$7,0)))</f>
        <v/>
      </c>
      <c r="G1053" s="1378">
        <f>IF($L1053&gt;R$5,MAX(0,R$3+ROUND((R$9*($L1053-R$5)),0)),IF($L1053&gt;R$4,R$3,ROUND($L1053*R$7,0)))</f>
        <v/>
      </c>
      <c r="H1053" s="448">
        <f>IF($L1053&gt;S$5,MAX(0,S$3+ROUND((S$9*($L1053-S$5)),0)),IF($L1053&gt;S$4,S$3,ROUND($L1053*S$7,0)))</f>
        <v/>
      </c>
      <c r="I1053" s="448">
        <f>IF($L1053&gt;T$5,MAX(0,T$3+ROUND((T$9*($L1053-T$5)),0)),IF($L1053&gt;T$4,T$3,ROUND($L1053*T$7,0)))</f>
        <v/>
      </c>
      <c r="J1053" s="447">
        <f>IF($L1053&gt;U$5,MAX(0,U$3+ROUND((U$9*($L1053-U$5)),0)),IF($L1053&gt;U$4,U$3,ROUND($L1053*U$7,0)))</f>
        <v/>
      </c>
      <c r="K1053" s="422" t="n"/>
      <c r="L1053" s="448">
        <f>ROUND((A1053+B1053)/2,2)</f>
        <v/>
      </c>
    </row>
    <row r="1054" ht="13.5" customHeight="1" s="7635">
      <c r="A1054" s="448" t="n">
        <v>52400</v>
      </c>
      <c r="B1054" s="447" t="n">
        <v>52450</v>
      </c>
      <c r="C1054" s="1378">
        <f>IF($L1054&gt;N$5,MAX(0,N$3+ROUND((N$9*($L1054-N$5)),0)),IF($L1054&gt;N$4,N$3,ROUND($L1054*N$7,0)))</f>
        <v/>
      </c>
      <c r="D1054" s="448">
        <f>IF($L1054&gt;O$5,MAX(0,O$3+ROUND((O$9*($L1054-O$5)),0)),IF($L1054&gt;O$4,O$3,ROUND($L1054*O$7,0)))</f>
        <v/>
      </c>
      <c r="E1054" s="448">
        <f>IF($L1054&gt;P$5,MAX(0,P$3+ROUND((P$9*($L1054-P$5)),0)),IF($L1054&gt;P$4,P$3,ROUND($L1054*P$7,0)))</f>
        <v/>
      </c>
      <c r="F1054" s="447">
        <f>IF($L1054&gt;Q$5,MAX(0,Q$3+ROUND((Q$9*($L1054-Q$5)),0)),IF($L1054&gt;Q$4,Q$3,ROUND($L1054*Q$7,0)))</f>
        <v/>
      </c>
      <c r="G1054" s="1378">
        <f>IF($L1054&gt;R$5,MAX(0,R$3+ROUND((R$9*($L1054-R$5)),0)),IF($L1054&gt;R$4,R$3,ROUND($L1054*R$7,0)))</f>
        <v/>
      </c>
      <c r="H1054" s="448">
        <f>IF($L1054&gt;S$5,MAX(0,S$3+ROUND((S$9*($L1054-S$5)),0)),IF($L1054&gt;S$4,S$3,ROUND($L1054*S$7,0)))</f>
        <v/>
      </c>
      <c r="I1054" s="448">
        <f>IF($L1054&gt;T$5,MAX(0,T$3+ROUND((T$9*($L1054-T$5)),0)),IF($L1054&gt;T$4,T$3,ROUND($L1054*T$7,0)))</f>
        <v/>
      </c>
      <c r="J1054" s="447">
        <f>IF($L1054&gt;U$5,MAX(0,U$3+ROUND((U$9*($L1054-U$5)),0)),IF($L1054&gt;U$4,U$3,ROUND($L1054*U$7,0)))</f>
        <v/>
      </c>
      <c r="K1054" s="422" t="n"/>
      <c r="L1054" s="448">
        <f>ROUND((A1054+B1054)/2,2)</f>
        <v/>
      </c>
    </row>
    <row r="1055" ht="13.5" customHeight="1" s="7635">
      <c r="A1055" s="448" t="n">
        <v>52450</v>
      </c>
      <c r="B1055" s="447" t="n">
        <v>52500</v>
      </c>
      <c r="C1055" s="1378">
        <f>IF($L1055&gt;N$5,MAX(0,N$3+ROUND((N$9*($L1055-N$5)),0)),IF($L1055&gt;N$4,N$3,ROUND($L1055*N$7,0)))</f>
        <v/>
      </c>
      <c r="D1055" s="448">
        <f>IF($L1055&gt;O$5,MAX(0,O$3+ROUND((O$9*($L1055-O$5)),0)),IF($L1055&gt;O$4,O$3,ROUND($L1055*O$7,0)))</f>
        <v/>
      </c>
      <c r="E1055" s="448">
        <f>IF($L1055&gt;P$5,MAX(0,P$3+ROUND((P$9*($L1055-P$5)),0)),IF($L1055&gt;P$4,P$3,ROUND($L1055*P$7,0)))</f>
        <v/>
      </c>
      <c r="F1055" s="447">
        <f>IF($L1055&gt;Q$5,MAX(0,Q$3+ROUND((Q$9*($L1055-Q$5)),0)),IF($L1055&gt;Q$4,Q$3,ROUND($L1055*Q$7,0)))</f>
        <v/>
      </c>
      <c r="G1055" s="1378">
        <f>IF($L1055&gt;R$5,MAX(0,R$3+ROUND((R$9*($L1055-R$5)),0)),IF($L1055&gt;R$4,R$3,ROUND($L1055*R$7,0)))</f>
        <v/>
      </c>
      <c r="H1055" s="448">
        <f>IF($L1055&gt;S$5,MAX(0,S$3+ROUND((S$9*($L1055-S$5)),0)),IF($L1055&gt;S$4,S$3,ROUND($L1055*S$7,0)))</f>
        <v/>
      </c>
      <c r="I1055" s="448">
        <f>IF($L1055&gt;T$5,MAX(0,T$3+ROUND((T$9*($L1055-T$5)),0)),IF($L1055&gt;T$4,T$3,ROUND($L1055*T$7,0)))</f>
        <v/>
      </c>
      <c r="J1055" s="447">
        <f>IF($L1055&gt;U$5,MAX(0,U$3+ROUND((U$9*($L1055-U$5)),0)),IF($L1055&gt;U$4,U$3,ROUND($L1055*U$7,0)))</f>
        <v/>
      </c>
      <c r="K1055" s="422" t="n"/>
      <c r="L1055" s="448">
        <f>ROUND((A1055+B1055)/2,2)</f>
        <v/>
      </c>
    </row>
    <row r="1056" ht="13.5" customHeight="1" s="7635">
      <c r="A1056" s="448" t="n">
        <v>52500</v>
      </c>
      <c r="B1056" s="447" t="n">
        <v>52550</v>
      </c>
      <c r="C1056" s="1378">
        <f>IF($L1056&gt;N$5,MAX(0,N$3+ROUND((N$9*($L1056-N$5)),0)),IF($L1056&gt;N$4,N$3,ROUND($L1056*N$7,0)))</f>
        <v/>
      </c>
      <c r="D1056" s="448">
        <f>IF($L1056&gt;O$5,MAX(0,O$3+ROUND((O$9*($L1056-O$5)),0)),IF($L1056&gt;O$4,O$3,ROUND($L1056*O$7,0)))</f>
        <v/>
      </c>
      <c r="E1056" s="448">
        <f>IF($L1056&gt;P$5,MAX(0,P$3+ROUND((P$9*($L1056-P$5)),0)),IF($L1056&gt;P$4,P$3,ROUND($L1056*P$7,0)))</f>
        <v/>
      </c>
      <c r="F1056" s="447">
        <f>IF($L1056&gt;Q$5,MAX(0,Q$3+ROUND((Q$9*($L1056-Q$5)),0)),IF($L1056&gt;Q$4,Q$3,ROUND($L1056*Q$7,0)))</f>
        <v/>
      </c>
      <c r="G1056" s="1378">
        <f>IF($L1056&gt;R$5,MAX(0,R$3+ROUND((R$9*($L1056-R$5)),0)),IF($L1056&gt;R$4,R$3,ROUND($L1056*R$7,0)))</f>
        <v/>
      </c>
      <c r="H1056" s="448">
        <f>IF($L1056&gt;S$5,MAX(0,S$3+ROUND((S$9*($L1056-S$5)),0)),IF($L1056&gt;S$4,S$3,ROUND($L1056*S$7,0)))</f>
        <v/>
      </c>
      <c r="I1056" s="448">
        <f>IF($L1056&gt;T$5,MAX(0,T$3+ROUND((T$9*($L1056-T$5)),0)),IF($L1056&gt;T$4,T$3,ROUND($L1056*T$7,0)))</f>
        <v/>
      </c>
      <c r="J1056" s="447">
        <f>IF($L1056&gt;U$5,MAX(0,U$3+ROUND((U$9*($L1056-U$5)),0)),IF($L1056&gt;U$4,U$3,ROUND($L1056*U$7,0)))</f>
        <v/>
      </c>
      <c r="K1056" s="422" t="n"/>
      <c r="L1056" s="448">
        <f>ROUND((A1056+B1056)/2,2)</f>
        <v/>
      </c>
    </row>
    <row r="1057" ht="13.5" customHeight="1" s="7635">
      <c r="A1057" s="448" t="n">
        <v>52550</v>
      </c>
      <c r="B1057" s="447" t="n">
        <v>52600</v>
      </c>
      <c r="C1057" s="1378">
        <f>IF($L1057&gt;N$5,MAX(0,N$3+ROUND((N$9*($L1057-N$5)),0)),IF($L1057&gt;N$4,N$3,ROUND($L1057*N$7,0)))</f>
        <v/>
      </c>
      <c r="D1057" s="448">
        <f>IF($L1057&gt;O$5,MAX(0,O$3+ROUND((O$9*($L1057-O$5)),0)),IF($L1057&gt;O$4,O$3,ROUND($L1057*O$7,0)))</f>
        <v/>
      </c>
      <c r="E1057" s="448">
        <f>IF($L1057&gt;P$5,MAX(0,P$3+ROUND((P$9*($L1057-P$5)),0)),IF($L1057&gt;P$4,P$3,ROUND($L1057*P$7,0)))</f>
        <v/>
      </c>
      <c r="F1057" s="447">
        <f>IF($L1057&gt;Q$5,MAX(0,Q$3+ROUND((Q$9*($L1057-Q$5)),0)),IF($L1057&gt;Q$4,Q$3,ROUND($L1057*Q$7,0)))</f>
        <v/>
      </c>
      <c r="G1057" s="1378">
        <f>IF($L1057&gt;R$5,MAX(0,R$3+ROUND((R$9*($L1057-R$5)),0)),IF($L1057&gt;R$4,R$3,ROUND($L1057*R$7,0)))</f>
        <v/>
      </c>
      <c r="H1057" s="448">
        <f>IF($L1057&gt;S$5,MAX(0,S$3+ROUND((S$9*($L1057-S$5)),0)),IF($L1057&gt;S$4,S$3,ROUND($L1057*S$7,0)))</f>
        <v/>
      </c>
      <c r="I1057" s="448">
        <f>IF($L1057&gt;T$5,MAX(0,T$3+ROUND((T$9*($L1057-T$5)),0)),IF($L1057&gt;T$4,T$3,ROUND($L1057*T$7,0)))</f>
        <v/>
      </c>
      <c r="J1057" s="447">
        <f>IF($L1057&gt;U$5,MAX(0,U$3+ROUND((U$9*($L1057-U$5)),0)),IF($L1057&gt;U$4,U$3,ROUND($L1057*U$7,0)))</f>
        <v/>
      </c>
      <c r="K1057" s="422" t="n"/>
      <c r="L1057" s="448">
        <f>ROUND((A1057+B1057)/2,2)</f>
        <v/>
      </c>
    </row>
    <row r="1058" ht="13.5" customHeight="1" s="7635">
      <c r="A1058" s="448" t="n">
        <v>52600</v>
      </c>
      <c r="B1058" s="447" t="n">
        <v>52650</v>
      </c>
      <c r="C1058" s="1378">
        <f>IF($L1058&gt;N$5,MAX(0,N$3+ROUND((N$9*($L1058-N$5)),0)),IF($L1058&gt;N$4,N$3,ROUND($L1058*N$7,0)))</f>
        <v/>
      </c>
      <c r="D1058" s="448">
        <f>IF($L1058&gt;O$5,MAX(0,O$3+ROUND((O$9*($L1058-O$5)),0)),IF($L1058&gt;O$4,O$3,ROUND($L1058*O$7,0)))</f>
        <v/>
      </c>
      <c r="E1058" s="448">
        <f>IF($L1058&gt;P$5,MAX(0,P$3+ROUND((P$9*($L1058-P$5)),0)),IF($L1058&gt;P$4,P$3,ROUND($L1058*P$7,0)))</f>
        <v/>
      </c>
      <c r="F1058" s="447">
        <f>IF($L1058&gt;Q$5,MAX(0,Q$3+ROUND((Q$9*($L1058-Q$5)),0)),IF($L1058&gt;Q$4,Q$3,ROUND($L1058*Q$7,0)))</f>
        <v/>
      </c>
      <c r="G1058" s="1378">
        <f>IF($L1058&gt;R$5,MAX(0,R$3+ROUND((R$9*($L1058-R$5)),0)),IF($L1058&gt;R$4,R$3,ROUND($L1058*R$7,0)))</f>
        <v/>
      </c>
      <c r="H1058" s="448">
        <f>IF($L1058&gt;S$5,MAX(0,S$3+ROUND((S$9*($L1058-S$5)),0)),IF($L1058&gt;S$4,S$3,ROUND($L1058*S$7,0)))</f>
        <v/>
      </c>
      <c r="I1058" s="448">
        <f>IF($L1058&gt;T$5,MAX(0,T$3+ROUND((T$9*($L1058-T$5)),0)),IF($L1058&gt;T$4,T$3,ROUND($L1058*T$7,0)))</f>
        <v/>
      </c>
      <c r="J1058" s="447">
        <f>IF($L1058&gt;U$5,MAX(0,U$3+ROUND((U$9*($L1058-U$5)),0)),IF($L1058&gt;U$4,U$3,ROUND($L1058*U$7,0)))</f>
        <v/>
      </c>
      <c r="K1058" s="422" t="n"/>
      <c r="L1058" s="448">
        <f>ROUND((A1058+B1058)/2,2)</f>
        <v/>
      </c>
    </row>
    <row r="1059" ht="13.5" customHeight="1" s="7635">
      <c r="A1059" s="448" t="n">
        <v>52650</v>
      </c>
      <c r="B1059" s="447" t="n">
        <v>52700</v>
      </c>
      <c r="C1059" s="1378">
        <f>IF($L1059&gt;N$5,MAX(0,N$3+ROUND((N$9*($L1059-N$5)),0)),IF($L1059&gt;N$4,N$3,ROUND($L1059*N$7,0)))</f>
        <v/>
      </c>
      <c r="D1059" s="448">
        <f>IF($L1059&gt;O$5,MAX(0,O$3+ROUND((O$9*($L1059-O$5)),0)),IF($L1059&gt;O$4,O$3,ROUND($L1059*O$7,0)))</f>
        <v/>
      </c>
      <c r="E1059" s="448">
        <f>IF($L1059&gt;P$5,MAX(0,P$3+ROUND((P$9*($L1059-P$5)),0)),IF($L1059&gt;P$4,P$3,ROUND($L1059*P$7,0)))</f>
        <v/>
      </c>
      <c r="F1059" s="447">
        <f>IF($L1059&gt;Q$5,MAX(0,Q$3+ROUND((Q$9*($L1059-Q$5)),0)),IF($L1059&gt;Q$4,Q$3,ROUND($L1059*Q$7,0)))</f>
        <v/>
      </c>
      <c r="G1059" s="1378">
        <f>IF($L1059&gt;R$5,MAX(0,R$3+ROUND((R$9*($L1059-R$5)),0)),IF($L1059&gt;R$4,R$3,ROUND($L1059*R$7,0)))</f>
        <v/>
      </c>
      <c r="H1059" s="448">
        <f>IF($L1059&gt;S$5,MAX(0,S$3+ROUND((S$9*($L1059-S$5)),0)),IF($L1059&gt;S$4,S$3,ROUND($L1059*S$7,0)))</f>
        <v/>
      </c>
      <c r="I1059" s="448">
        <f>IF($L1059&gt;T$5,MAX(0,T$3+ROUND((T$9*($L1059-T$5)),0)),IF($L1059&gt;T$4,T$3,ROUND($L1059*T$7,0)))</f>
        <v/>
      </c>
      <c r="J1059" s="447">
        <f>IF($L1059&gt;U$5,MAX(0,U$3+ROUND((U$9*($L1059-U$5)),0)),IF($L1059&gt;U$4,U$3,ROUND($L1059*U$7,0)))</f>
        <v/>
      </c>
      <c r="K1059" s="422" t="n"/>
      <c r="L1059" s="448">
        <f>ROUND((A1059+B1059)/2,2)</f>
        <v/>
      </c>
    </row>
    <row r="1060" ht="13.5" customHeight="1" s="7635">
      <c r="A1060" s="448" t="n">
        <v>52700</v>
      </c>
      <c r="B1060" s="447" t="n">
        <v>52750</v>
      </c>
      <c r="C1060" s="1378">
        <f>IF($L1060&gt;N$5,MAX(0,N$3+ROUND((N$9*($L1060-N$5)),0)),IF($L1060&gt;N$4,N$3,ROUND($L1060*N$7,0)))</f>
        <v/>
      </c>
      <c r="D1060" s="448">
        <f>IF($L1060&gt;O$5,MAX(0,O$3+ROUND((O$9*($L1060-O$5)),0)),IF($L1060&gt;O$4,O$3,ROUND($L1060*O$7,0)))</f>
        <v/>
      </c>
      <c r="E1060" s="448">
        <f>IF($L1060&gt;P$5,MAX(0,P$3+ROUND((P$9*($L1060-P$5)),0)),IF($L1060&gt;P$4,P$3,ROUND($L1060*P$7,0)))</f>
        <v/>
      </c>
      <c r="F1060" s="447">
        <f>IF($L1060&gt;Q$5,MAX(0,Q$3+ROUND((Q$9*($L1060-Q$5)),0)),IF($L1060&gt;Q$4,Q$3,ROUND($L1060*Q$7,0)))</f>
        <v/>
      </c>
      <c r="G1060" s="1378">
        <f>IF($L1060&gt;R$5,MAX(0,R$3+ROUND((R$9*($L1060-R$5)),0)),IF($L1060&gt;R$4,R$3,ROUND($L1060*R$7,0)))</f>
        <v/>
      </c>
      <c r="H1060" s="448">
        <f>IF($L1060&gt;S$5,MAX(0,S$3+ROUND((S$9*($L1060-S$5)),0)),IF($L1060&gt;S$4,S$3,ROUND($L1060*S$7,0)))</f>
        <v/>
      </c>
      <c r="I1060" s="448">
        <f>IF($L1060&gt;T$5,MAX(0,T$3+ROUND((T$9*($L1060-T$5)),0)),IF($L1060&gt;T$4,T$3,ROUND($L1060*T$7,0)))</f>
        <v/>
      </c>
      <c r="J1060" s="447">
        <f>IF($L1060&gt;U$5,MAX(0,U$3+ROUND((U$9*($L1060-U$5)),0)),IF($L1060&gt;U$4,U$3,ROUND($L1060*U$7,0)))</f>
        <v/>
      </c>
      <c r="K1060" s="422" t="n"/>
      <c r="L1060" s="448">
        <f>ROUND((A1060+B1060)/2,2)</f>
        <v/>
      </c>
    </row>
    <row r="1061" ht="13.5" customHeight="1" s="7635">
      <c r="A1061" s="448" t="n">
        <v>52750</v>
      </c>
      <c r="B1061" s="447" t="n">
        <v>52800</v>
      </c>
      <c r="C1061" s="1378">
        <f>IF($L1061&gt;N$5,MAX(0,N$3+ROUND((N$9*($L1061-N$5)),0)),IF($L1061&gt;N$4,N$3,ROUND($L1061*N$7,0)))</f>
        <v/>
      </c>
      <c r="D1061" s="448">
        <f>IF($L1061&gt;O$5,MAX(0,O$3+ROUND((O$9*($L1061-O$5)),0)),IF($L1061&gt;O$4,O$3,ROUND($L1061*O$7,0)))</f>
        <v/>
      </c>
      <c r="E1061" s="448">
        <f>IF($L1061&gt;P$5,MAX(0,P$3+ROUND((P$9*($L1061-P$5)),0)),IF($L1061&gt;P$4,P$3,ROUND($L1061*P$7,0)))</f>
        <v/>
      </c>
      <c r="F1061" s="447">
        <f>IF($L1061&gt;Q$5,MAX(0,Q$3+ROUND((Q$9*($L1061-Q$5)),0)),IF($L1061&gt;Q$4,Q$3,ROUND($L1061*Q$7,0)))</f>
        <v/>
      </c>
      <c r="G1061" s="1378">
        <f>IF($L1061&gt;R$5,MAX(0,R$3+ROUND((R$9*($L1061-R$5)),0)),IF($L1061&gt;R$4,R$3,ROUND($L1061*R$7,0)))</f>
        <v/>
      </c>
      <c r="H1061" s="448">
        <f>IF($L1061&gt;S$5,MAX(0,S$3+ROUND((S$9*($L1061-S$5)),0)),IF($L1061&gt;S$4,S$3,ROUND($L1061*S$7,0)))</f>
        <v/>
      </c>
      <c r="I1061" s="448">
        <f>IF($L1061&gt;T$5,MAX(0,T$3+ROUND((T$9*($L1061-T$5)),0)),IF($L1061&gt;T$4,T$3,ROUND($L1061*T$7,0)))</f>
        <v/>
      </c>
      <c r="J1061" s="447">
        <f>IF($L1061&gt;U$5,MAX(0,U$3+ROUND((U$9*($L1061-U$5)),0)),IF($L1061&gt;U$4,U$3,ROUND($L1061*U$7,0)))</f>
        <v/>
      </c>
      <c r="K1061" s="422" t="n"/>
      <c r="L1061" s="448">
        <f>ROUND((A1061+B1061)/2,2)</f>
        <v/>
      </c>
    </row>
    <row r="1062" ht="13.5" customHeight="1" s="7635">
      <c r="A1062" s="448" t="n">
        <v>52800</v>
      </c>
      <c r="B1062" s="447" t="n">
        <v>52850</v>
      </c>
      <c r="C1062" s="1378">
        <f>IF($L1062&gt;N$5,MAX(0,N$3+ROUND((N$9*($L1062-N$5)),0)),IF($L1062&gt;N$4,N$3,ROUND($L1062*N$7,0)))</f>
        <v/>
      </c>
      <c r="D1062" s="448">
        <f>IF($L1062&gt;O$5,MAX(0,O$3+ROUND((O$9*($L1062-O$5)),0)),IF($L1062&gt;O$4,O$3,ROUND($L1062*O$7,0)))</f>
        <v/>
      </c>
      <c r="E1062" s="448">
        <f>IF($L1062&gt;P$5,MAX(0,P$3+ROUND((P$9*($L1062-P$5)),0)),IF($L1062&gt;P$4,P$3,ROUND($L1062*P$7,0)))</f>
        <v/>
      </c>
      <c r="F1062" s="447">
        <f>IF($L1062&gt;Q$5,MAX(0,Q$3+ROUND((Q$9*($L1062-Q$5)),0)),IF($L1062&gt;Q$4,Q$3,ROUND($L1062*Q$7,0)))</f>
        <v/>
      </c>
      <c r="G1062" s="1378">
        <f>IF($L1062&gt;R$5,MAX(0,R$3+ROUND((R$9*($L1062-R$5)),0)),IF($L1062&gt;R$4,R$3,ROUND($L1062*R$7,0)))</f>
        <v/>
      </c>
      <c r="H1062" s="448">
        <f>IF($L1062&gt;S$5,MAX(0,S$3+ROUND((S$9*($L1062-S$5)),0)),IF($L1062&gt;S$4,S$3,ROUND($L1062*S$7,0)))</f>
        <v/>
      </c>
      <c r="I1062" s="448">
        <f>IF($L1062&gt;T$5,MAX(0,T$3+ROUND((T$9*($L1062-T$5)),0)),IF($L1062&gt;T$4,T$3,ROUND($L1062*T$7,0)))</f>
        <v/>
      </c>
      <c r="J1062" s="447">
        <f>IF($L1062&gt;U$5,MAX(0,U$3+ROUND((U$9*($L1062-U$5)),0)),IF($L1062&gt;U$4,U$3,ROUND($L1062*U$7,0)))</f>
        <v/>
      </c>
      <c r="K1062" s="422" t="n"/>
      <c r="L1062" s="448">
        <f>ROUND((A1062+B1062)/2,2)</f>
        <v/>
      </c>
    </row>
    <row r="1063" ht="13.5" customHeight="1" s="7635">
      <c r="A1063" s="448" t="n">
        <v>52850</v>
      </c>
      <c r="B1063" s="447" t="n">
        <v>52900</v>
      </c>
      <c r="C1063" s="1378">
        <f>IF($L1063&gt;N$5,MAX(0,N$3+ROUND((N$9*($L1063-N$5)),0)),IF($L1063&gt;N$4,N$3,ROUND($L1063*N$7,0)))</f>
        <v/>
      </c>
      <c r="D1063" s="448">
        <f>IF($L1063&gt;O$5,MAX(0,O$3+ROUND((O$9*($L1063-O$5)),0)),IF($L1063&gt;O$4,O$3,ROUND($L1063*O$7,0)))</f>
        <v/>
      </c>
      <c r="E1063" s="448">
        <f>IF($L1063&gt;P$5,MAX(0,P$3+ROUND((P$9*($L1063-P$5)),0)),IF($L1063&gt;P$4,P$3,ROUND($L1063*P$7,0)))</f>
        <v/>
      </c>
      <c r="F1063" s="447">
        <f>IF($L1063&gt;Q$5,MAX(0,Q$3+ROUND((Q$9*($L1063-Q$5)),0)),IF($L1063&gt;Q$4,Q$3,ROUND($L1063*Q$7,0)))</f>
        <v/>
      </c>
      <c r="G1063" s="1378">
        <f>IF($L1063&gt;R$5,MAX(0,R$3+ROUND((R$9*($L1063-R$5)),0)),IF($L1063&gt;R$4,R$3,ROUND($L1063*R$7,0)))</f>
        <v/>
      </c>
      <c r="H1063" s="448">
        <f>IF($L1063&gt;S$5,MAX(0,S$3+ROUND((S$9*($L1063-S$5)),0)),IF($L1063&gt;S$4,S$3,ROUND($L1063*S$7,0)))</f>
        <v/>
      </c>
      <c r="I1063" s="448">
        <f>IF($L1063&gt;T$5,MAX(0,T$3+ROUND((T$9*($L1063-T$5)),0)),IF($L1063&gt;T$4,T$3,ROUND($L1063*T$7,0)))</f>
        <v/>
      </c>
      <c r="J1063" s="447">
        <f>IF($L1063&gt;U$5,MAX(0,U$3+ROUND((U$9*($L1063-U$5)),0)),IF($L1063&gt;U$4,U$3,ROUND($L1063*U$7,0)))</f>
        <v/>
      </c>
      <c r="K1063" s="422" t="n"/>
      <c r="L1063" s="448">
        <f>ROUND((A1063+B1063)/2,2)</f>
        <v/>
      </c>
    </row>
    <row r="1064" ht="13.5" customHeight="1" s="7635">
      <c r="A1064" s="448" t="n">
        <v>52900</v>
      </c>
      <c r="B1064" s="447" t="n">
        <v>52950</v>
      </c>
      <c r="C1064" s="1378">
        <f>IF($L1064&gt;N$5,MAX(0,N$3+ROUND((N$9*($L1064-N$5)),0)),IF($L1064&gt;N$4,N$3,ROUND($L1064*N$7,0)))</f>
        <v/>
      </c>
      <c r="D1064" s="448">
        <f>IF($L1064&gt;O$5,MAX(0,O$3+ROUND((O$9*($L1064-O$5)),0)),IF($L1064&gt;O$4,O$3,ROUND($L1064*O$7,0)))</f>
        <v/>
      </c>
      <c r="E1064" s="448">
        <f>IF($L1064&gt;P$5,MAX(0,P$3+ROUND((P$9*($L1064-P$5)),0)),IF($L1064&gt;P$4,P$3,ROUND($L1064*P$7,0)))</f>
        <v/>
      </c>
      <c r="F1064" s="447">
        <f>IF($L1064&gt;Q$5,MAX(0,Q$3+ROUND((Q$9*($L1064-Q$5)),0)),IF($L1064&gt;Q$4,Q$3,ROUND($L1064*Q$7,0)))</f>
        <v/>
      </c>
      <c r="G1064" s="1378">
        <f>IF($L1064&gt;R$5,MAX(0,R$3+ROUND((R$9*($L1064-R$5)),0)),IF($L1064&gt;R$4,R$3,ROUND($L1064*R$7,0)))</f>
        <v/>
      </c>
      <c r="H1064" s="448">
        <f>IF($L1064&gt;S$5,MAX(0,S$3+ROUND((S$9*($L1064-S$5)),0)),IF($L1064&gt;S$4,S$3,ROUND($L1064*S$7,0)))</f>
        <v/>
      </c>
      <c r="I1064" s="448">
        <f>IF($L1064&gt;T$5,MAX(0,T$3+ROUND((T$9*($L1064-T$5)),0)),IF($L1064&gt;T$4,T$3,ROUND($L1064*T$7,0)))</f>
        <v/>
      </c>
      <c r="J1064" s="447">
        <f>IF($L1064&gt;U$5,MAX(0,U$3+ROUND((U$9*($L1064-U$5)),0)),IF($L1064&gt;U$4,U$3,ROUND($L1064*U$7,0)))</f>
        <v/>
      </c>
      <c r="K1064" s="422" t="n"/>
      <c r="L1064" s="448">
        <f>ROUND((A1064+B1064)/2,2)</f>
        <v/>
      </c>
    </row>
    <row r="1065" ht="13.5" customHeight="1" s="7635">
      <c r="A1065" s="448" t="n">
        <v>52950</v>
      </c>
      <c r="B1065" s="447" t="n">
        <v>53000</v>
      </c>
      <c r="C1065" s="1378">
        <f>IF($L1065&gt;N$5,MAX(0,N$3+ROUND((N$9*($L1065-N$5)),0)),IF($L1065&gt;N$4,N$3,ROUND($L1065*N$7,0)))</f>
        <v/>
      </c>
      <c r="D1065" s="448">
        <f>IF($L1065&gt;O$5,MAX(0,O$3+ROUND((O$9*($L1065-O$5)),0)),IF($L1065&gt;O$4,O$3,ROUND($L1065*O$7,0)))</f>
        <v/>
      </c>
      <c r="E1065" s="448">
        <f>IF($L1065&gt;P$5,MAX(0,P$3+ROUND((P$9*($L1065-P$5)),0)),IF($L1065&gt;P$4,P$3,ROUND($L1065*P$7,0)))</f>
        <v/>
      </c>
      <c r="F1065" s="447">
        <f>IF($L1065&gt;Q$5,MAX(0,Q$3+ROUND((Q$9*($L1065-Q$5)),0)),IF($L1065&gt;Q$4,Q$3,ROUND($L1065*Q$7,0)))</f>
        <v/>
      </c>
      <c r="G1065" s="1378">
        <f>IF($L1065&gt;R$5,MAX(0,R$3+ROUND((R$9*($L1065-R$5)),0)),IF($L1065&gt;R$4,R$3,ROUND($L1065*R$7,0)))</f>
        <v/>
      </c>
      <c r="H1065" s="448">
        <f>IF($L1065&gt;S$5,MAX(0,S$3+ROUND((S$9*($L1065-S$5)),0)),IF($L1065&gt;S$4,S$3,ROUND($L1065*S$7,0)))</f>
        <v/>
      </c>
      <c r="I1065" s="448">
        <f>IF($L1065&gt;T$5,MAX(0,T$3+ROUND((T$9*($L1065-T$5)),0)),IF($L1065&gt;T$4,T$3,ROUND($L1065*T$7,0)))</f>
        <v/>
      </c>
      <c r="J1065" s="447">
        <f>IF($L1065&gt;U$5,MAX(0,U$3+ROUND((U$9*($L1065-U$5)),0)),IF($L1065&gt;U$4,U$3,ROUND($L1065*U$7,0)))</f>
        <v/>
      </c>
      <c r="K1065" s="422" t="n"/>
      <c r="L1065" s="448">
        <f>ROUND((A1065+B1065)/2,2)</f>
        <v/>
      </c>
    </row>
    <row r="1066" ht="13.5" customHeight="1" s="7635">
      <c r="A1066" s="448" t="n">
        <v>53000</v>
      </c>
      <c r="B1066" s="447" t="n">
        <v>53050</v>
      </c>
      <c r="C1066" s="1378">
        <f>IF($L1066&gt;N$5,MAX(0,N$3+ROUND((N$9*($L1066-N$5)),0)),IF($L1066&gt;N$4,N$3,ROUND($L1066*N$7,0)))</f>
        <v/>
      </c>
      <c r="D1066" s="448">
        <f>IF($L1066&gt;O$5,MAX(0,O$3+ROUND((O$9*($L1066-O$5)),0)),IF($L1066&gt;O$4,O$3,ROUND($L1066*O$7,0)))</f>
        <v/>
      </c>
      <c r="E1066" s="448">
        <f>IF($L1066&gt;P$5,MAX(0,P$3+ROUND((P$9*($L1066-P$5)),0)),IF($L1066&gt;P$4,P$3,ROUND($L1066*P$7,0)))</f>
        <v/>
      </c>
      <c r="F1066" s="447">
        <f>IF($L1066&gt;Q$5,MAX(0,Q$3+ROUND((Q$9*($L1066-Q$5)),0)),IF($L1066&gt;Q$4,Q$3,ROUND($L1066*Q$7,0)))</f>
        <v/>
      </c>
      <c r="G1066" s="1378">
        <f>IF($L1066&gt;R$5,MAX(0,R$3+ROUND((R$9*($L1066-R$5)),0)),IF($L1066&gt;R$4,R$3,ROUND($L1066*R$7,0)))</f>
        <v/>
      </c>
      <c r="H1066" s="448">
        <f>IF($L1066&gt;S$5,MAX(0,S$3+ROUND((S$9*($L1066-S$5)),0)),IF($L1066&gt;S$4,S$3,ROUND($L1066*S$7,0)))</f>
        <v/>
      </c>
      <c r="I1066" s="448">
        <f>IF($L1066&gt;T$5,MAX(0,T$3+ROUND((T$9*($L1066-T$5)),0)),IF($L1066&gt;T$4,T$3,ROUND($L1066*T$7,0)))</f>
        <v/>
      </c>
      <c r="J1066" s="447">
        <f>IF($L1066&gt;U$5,MAX(0,U$3+ROUND((U$9*($L1066-U$5)),0)),IF($L1066&gt;U$4,U$3,ROUND($L1066*U$7,0)))</f>
        <v/>
      </c>
      <c r="K1066" s="422" t="n"/>
      <c r="L1066" s="448">
        <f>ROUND((A1066+B1066)/2,2)</f>
        <v/>
      </c>
    </row>
    <row r="1067" ht="13.5" customHeight="1" s="7635">
      <c r="A1067" s="448" t="n">
        <v>53050</v>
      </c>
      <c r="B1067" s="447" t="n">
        <v>53100</v>
      </c>
      <c r="C1067" s="1378">
        <f>IF($L1067&gt;N$5,MAX(0,N$3+ROUND((N$9*($L1067-N$5)),0)),IF($L1067&gt;N$4,N$3,ROUND($L1067*N$7,0)))</f>
        <v/>
      </c>
      <c r="D1067" s="448">
        <f>IF($L1067&gt;O$5,MAX(0,O$3+ROUND((O$9*($L1067-O$5)),0)),IF($L1067&gt;O$4,O$3,ROUND($L1067*O$7,0)))</f>
        <v/>
      </c>
      <c r="E1067" s="448">
        <f>IF($L1067&gt;P$5,MAX(0,P$3+ROUND((P$9*($L1067-P$5)),0)),IF($L1067&gt;P$4,P$3,ROUND($L1067*P$7,0)))</f>
        <v/>
      </c>
      <c r="F1067" s="447">
        <f>IF($L1067&gt;Q$5,MAX(0,Q$3+ROUND((Q$9*($L1067-Q$5)),0)),IF($L1067&gt;Q$4,Q$3,ROUND($L1067*Q$7,0)))</f>
        <v/>
      </c>
      <c r="G1067" s="1378">
        <f>IF($L1067&gt;R$5,MAX(0,R$3+ROUND((R$9*($L1067-R$5)),0)),IF($L1067&gt;R$4,R$3,ROUND($L1067*R$7,0)))</f>
        <v/>
      </c>
      <c r="H1067" s="448">
        <f>IF($L1067&gt;S$5,MAX(0,S$3+ROUND((S$9*($L1067-S$5)),0)),IF($L1067&gt;S$4,S$3,ROUND($L1067*S$7,0)))</f>
        <v/>
      </c>
      <c r="I1067" s="448">
        <f>IF($L1067&gt;T$5,MAX(0,T$3+ROUND((T$9*($L1067-T$5)),0)),IF($L1067&gt;T$4,T$3,ROUND($L1067*T$7,0)))</f>
        <v/>
      </c>
      <c r="J1067" s="447">
        <f>IF($L1067&gt;U$5,MAX(0,U$3+ROUND((U$9*($L1067-U$5)),0)),IF($L1067&gt;U$4,U$3,ROUND($L1067*U$7,0)))</f>
        <v/>
      </c>
      <c r="K1067" s="422" t="n"/>
      <c r="L1067" s="448">
        <f>ROUND((A1067+B1067)/2,2)</f>
        <v/>
      </c>
    </row>
    <row r="1068" ht="13.5" customHeight="1" s="7635">
      <c r="A1068" s="448" t="n">
        <v>53100</v>
      </c>
      <c r="B1068" s="447" t="n">
        <v>53150</v>
      </c>
      <c r="C1068" s="1378">
        <f>IF($L1068&gt;N$5,MAX(0,N$3+ROUND((N$9*($L1068-N$5)),0)),IF($L1068&gt;N$4,N$3,ROUND($L1068*N$7,0)))</f>
        <v/>
      </c>
      <c r="D1068" s="448">
        <f>IF($L1068&gt;O$5,MAX(0,O$3+ROUND((O$9*($L1068-O$5)),0)),IF($L1068&gt;O$4,O$3,ROUND($L1068*O$7,0)))</f>
        <v/>
      </c>
      <c r="E1068" s="448">
        <f>IF($L1068&gt;P$5,MAX(0,P$3+ROUND((P$9*($L1068-P$5)),0)),IF($L1068&gt;P$4,P$3,ROUND($L1068*P$7,0)))</f>
        <v/>
      </c>
      <c r="F1068" s="447">
        <f>IF($L1068&gt;Q$5,MAX(0,Q$3+ROUND((Q$9*($L1068-Q$5)),0)),IF($L1068&gt;Q$4,Q$3,ROUND($L1068*Q$7,0)))</f>
        <v/>
      </c>
      <c r="G1068" s="1378">
        <f>IF($L1068&gt;R$5,MAX(0,R$3+ROUND((R$9*($L1068-R$5)),0)),IF($L1068&gt;R$4,R$3,ROUND($L1068*R$7,0)))</f>
        <v/>
      </c>
      <c r="H1068" s="448">
        <f>IF($L1068&gt;S$5,MAX(0,S$3+ROUND((S$9*($L1068-S$5)),0)),IF($L1068&gt;S$4,S$3,ROUND($L1068*S$7,0)))</f>
        <v/>
      </c>
      <c r="I1068" s="448">
        <f>IF($L1068&gt;T$5,MAX(0,T$3+ROUND((T$9*($L1068-T$5)),0)),IF($L1068&gt;T$4,T$3,ROUND($L1068*T$7,0)))</f>
        <v/>
      </c>
      <c r="J1068" s="447">
        <f>IF($L1068&gt;U$5,MAX(0,U$3+ROUND((U$9*($L1068-U$5)),0)),IF($L1068&gt;U$4,U$3,ROUND($L1068*U$7,0)))</f>
        <v/>
      </c>
      <c r="K1068" s="422" t="n"/>
      <c r="L1068" s="448">
        <f>ROUND((A1068+B1068)/2,2)</f>
        <v/>
      </c>
    </row>
    <row r="1069" ht="13.5" customHeight="1" s="7635">
      <c r="A1069" s="448" t="n">
        <v>53150</v>
      </c>
      <c r="B1069" s="447" t="n">
        <v>53200</v>
      </c>
      <c r="C1069" s="1378">
        <f>IF($L1069&gt;N$5,MAX(0,N$3+ROUND((N$9*($L1069-N$5)),0)),IF($L1069&gt;N$4,N$3,ROUND($L1069*N$7,0)))</f>
        <v/>
      </c>
      <c r="D1069" s="448">
        <f>IF($L1069&gt;O$5,MAX(0,O$3+ROUND((O$9*($L1069-O$5)),0)),IF($L1069&gt;O$4,O$3,ROUND($L1069*O$7,0)))</f>
        <v/>
      </c>
      <c r="E1069" s="448">
        <f>IF($L1069&gt;P$5,MAX(0,P$3+ROUND((P$9*($L1069-P$5)),0)),IF($L1069&gt;P$4,P$3,ROUND($L1069*P$7,0)))</f>
        <v/>
      </c>
      <c r="F1069" s="447">
        <f>IF($L1069&gt;Q$5,MAX(0,Q$3+ROUND((Q$9*($L1069-Q$5)),0)),IF($L1069&gt;Q$4,Q$3,ROUND($L1069*Q$7,0)))</f>
        <v/>
      </c>
      <c r="G1069" s="1378">
        <f>IF($L1069&gt;R$5,MAX(0,R$3+ROUND((R$9*($L1069-R$5)),0)),IF($L1069&gt;R$4,R$3,ROUND($L1069*R$7,0)))</f>
        <v/>
      </c>
      <c r="H1069" s="448">
        <f>IF($L1069&gt;S$5,MAX(0,S$3+ROUND((S$9*($L1069-S$5)),0)),IF($L1069&gt;S$4,S$3,ROUND($L1069*S$7,0)))</f>
        <v/>
      </c>
      <c r="I1069" s="448">
        <f>IF($L1069&gt;T$5,MAX(0,T$3+ROUND((T$9*($L1069-T$5)),0)),IF($L1069&gt;T$4,T$3,ROUND($L1069*T$7,0)))</f>
        <v/>
      </c>
      <c r="J1069" s="447">
        <f>IF($L1069&gt;U$5,MAX(0,U$3+ROUND((U$9*($L1069-U$5)),0)),IF($L1069&gt;U$4,U$3,ROUND($L1069*U$7,0)))</f>
        <v/>
      </c>
      <c r="K1069" s="422" t="n"/>
      <c r="L1069" s="448">
        <f>ROUND((A1069+B1069)/2,2)</f>
        <v/>
      </c>
    </row>
    <row r="1070" ht="13.5" customHeight="1" s="7635">
      <c r="A1070" s="448" t="n">
        <v>53200</v>
      </c>
      <c r="B1070" s="447" t="n">
        <v>53250</v>
      </c>
      <c r="C1070" s="1378">
        <f>IF($L1070&gt;N$5,MAX(0,N$3+ROUND((N$9*($L1070-N$5)),0)),IF($L1070&gt;N$4,N$3,ROUND($L1070*N$7,0)))</f>
        <v/>
      </c>
      <c r="D1070" s="448">
        <f>IF($L1070&gt;O$5,MAX(0,O$3+ROUND((O$9*($L1070-O$5)),0)),IF($L1070&gt;O$4,O$3,ROUND($L1070*O$7,0)))</f>
        <v/>
      </c>
      <c r="E1070" s="448">
        <f>IF($L1070&gt;P$5,MAX(0,P$3+ROUND((P$9*($L1070-P$5)),0)),IF($L1070&gt;P$4,P$3,ROUND($L1070*P$7,0)))</f>
        <v/>
      </c>
      <c r="F1070" s="447">
        <f>IF($L1070&gt;Q$5,MAX(0,Q$3+ROUND((Q$9*($L1070-Q$5)),0)),IF($L1070&gt;Q$4,Q$3,ROUND($L1070*Q$7,0)))</f>
        <v/>
      </c>
      <c r="G1070" s="1378">
        <f>IF($L1070&gt;R$5,MAX(0,R$3+ROUND((R$9*($L1070-R$5)),0)),IF($L1070&gt;R$4,R$3,ROUND($L1070*R$7,0)))</f>
        <v/>
      </c>
      <c r="H1070" s="448">
        <f>IF($L1070&gt;S$5,MAX(0,S$3+ROUND((S$9*($L1070-S$5)),0)),IF($L1070&gt;S$4,S$3,ROUND($L1070*S$7,0)))</f>
        <v/>
      </c>
      <c r="I1070" s="448">
        <f>IF($L1070&gt;T$5,MAX(0,T$3+ROUND((T$9*($L1070-T$5)),0)),IF($L1070&gt;T$4,T$3,ROUND($L1070*T$7,0)))</f>
        <v/>
      </c>
      <c r="J1070" s="447">
        <f>IF($L1070&gt;U$5,MAX(0,U$3+ROUND((U$9*($L1070-U$5)),0)),IF($L1070&gt;U$4,U$3,ROUND($L1070*U$7,0)))</f>
        <v/>
      </c>
      <c r="K1070" s="422" t="n"/>
      <c r="L1070" s="448">
        <f>ROUND((A1070+B1070)/2,2)</f>
        <v/>
      </c>
    </row>
    <row r="1071" ht="13.5" customHeight="1" s="7635">
      <c r="A1071" s="448" t="n">
        <v>53250</v>
      </c>
      <c r="B1071" s="447" t="n">
        <v>53300</v>
      </c>
      <c r="C1071" s="1378">
        <f>IF($L1071&gt;N$5,MAX(0,N$3+ROUND((N$9*($L1071-N$5)),0)),IF($L1071&gt;N$4,N$3,ROUND($L1071*N$7,0)))</f>
        <v/>
      </c>
      <c r="D1071" s="448">
        <f>IF($L1071&gt;O$5,MAX(0,O$3+ROUND((O$9*($L1071-O$5)),0)),IF($L1071&gt;O$4,O$3,ROUND($L1071*O$7,0)))</f>
        <v/>
      </c>
      <c r="E1071" s="448">
        <f>IF($L1071&gt;P$5,MAX(0,P$3+ROUND((P$9*($L1071-P$5)),0)),IF($L1071&gt;P$4,P$3,ROUND($L1071*P$7,0)))</f>
        <v/>
      </c>
      <c r="F1071" s="447">
        <f>IF($L1071&gt;Q$5,MAX(0,Q$3+ROUND((Q$9*($L1071-Q$5)),0)),IF($L1071&gt;Q$4,Q$3,ROUND($L1071*Q$7,0)))</f>
        <v/>
      </c>
      <c r="G1071" s="1378">
        <f>IF($L1071&gt;R$5,MAX(0,R$3+ROUND((R$9*($L1071-R$5)),0)),IF($L1071&gt;R$4,R$3,ROUND($L1071*R$7,0)))</f>
        <v/>
      </c>
      <c r="H1071" s="448">
        <f>IF($L1071&gt;S$5,MAX(0,S$3+ROUND((S$9*($L1071-S$5)),0)),IF($L1071&gt;S$4,S$3,ROUND($L1071*S$7,0)))</f>
        <v/>
      </c>
      <c r="I1071" s="448">
        <f>IF($L1071&gt;T$5,MAX(0,T$3+ROUND((T$9*($L1071-T$5)),0)),IF($L1071&gt;T$4,T$3,ROUND($L1071*T$7,0)))</f>
        <v/>
      </c>
      <c r="J1071" s="447">
        <f>IF($L1071&gt;U$5,MAX(0,U$3+ROUND((U$9*($L1071-U$5)),0)),IF($L1071&gt;U$4,U$3,ROUND($L1071*U$7,0)))</f>
        <v/>
      </c>
      <c r="K1071" s="422" t="n"/>
      <c r="L1071" s="448">
        <f>ROUND((A1071+B1071)/2,2)</f>
        <v/>
      </c>
    </row>
    <row r="1072" ht="13.5" customHeight="1" s="7635">
      <c r="A1072" s="448" t="n">
        <v>53300</v>
      </c>
      <c r="B1072" s="447" t="n">
        <v>53350</v>
      </c>
      <c r="C1072" s="1378">
        <f>IF($L1072&gt;N$5,MAX(0,N$3+ROUND((N$9*($L1072-N$5)),0)),IF($L1072&gt;N$4,N$3,ROUND($L1072*N$7,0)))</f>
        <v/>
      </c>
      <c r="D1072" s="448">
        <f>IF($L1072&gt;O$5,MAX(0,O$3+ROUND((O$9*($L1072-O$5)),0)),IF($L1072&gt;O$4,O$3,ROUND($L1072*O$7,0)))</f>
        <v/>
      </c>
      <c r="E1072" s="448">
        <f>IF($L1072&gt;P$5,MAX(0,P$3+ROUND((P$9*($L1072-P$5)),0)),IF($L1072&gt;P$4,P$3,ROUND($L1072*P$7,0)))</f>
        <v/>
      </c>
      <c r="F1072" s="447">
        <f>IF($L1072&gt;Q$5,MAX(0,Q$3+ROUND((Q$9*($L1072-Q$5)),0)),IF($L1072&gt;Q$4,Q$3,ROUND($L1072*Q$7,0)))</f>
        <v/>
      </c>
      <c r="G1072" s="1378">
        <f>IF($L1072&gt;R$5,MAX(0,R$3+ROUND((R$9*($L1072-R$5)),0)),IF($L1072&gt;R$4,R$3,ROUND($L1072*R$7,0)))</f>
        <v/>
      </c>
      <c r="H1072" s="448">
        <f>IF($L1072&gt;S$5,MAX(0,S$3+ROUND((S$9*($L1072-S$5)),0)),IF($L1072&gt;S$4,S$3,ROUND($L1072*S$7,0)))</f>
        <v/>
      </c>
      <c r="I1072" s="448">
        <f>IF($L1072&gt;T$5,MAX(0,T$3+ROUND((T$9*($L1072-T$5)),0)),IF($L1072&gt;T$4,T$3,ROUND($L1072*T$7,0)))</f>
        <v/>
      </c>
      <c r="J1072" s="447">
        <f>IF($L1072&gt;U$5,MAX(0,U$3+ROUND((U$9*($L1072-U$5)),0)),IF($L1072&gt;U$4,U$3,ROUND($L1072*U$7,0)))</f>
        <v/>
      </c>
      <c r="K1072" s="422" t="n"/>
      <c r="L1072" s="448">
        <f>ROUND((A1072+B1072)/2,2)</f>
        <v/>
      </c>
    </row>
    <row r="1073" ht="13.5" customHeight="1" s="7635">
      <c r="A1073" s="448" t="n">
        <v>53350</v>
      </c>
      <c r="B1073" s="447" t="n">
        <v>53400</v>
      </c>
      <c r="C1073" s="1378">
        <f>IF($L1073&gt;N$5,MAX(0,N$3+ROUND((N$9*($L1073-N$5)),0)),IF($L1073&gt;N$4,N$3,ROUND($L1073*N$7,0)))</f>
        <v/>
      </c>
      <c r="D1073" s="448">
        <f>IF($L1073&gt;O$5,MAX(0,O$3+ROUND((O$9*($L1073-O$5)),0)),IF($L1073&gt;O$4,O$3,ROUND($L1073*O$7,0)))</f>
        <v/>
      </c>
      <c r="E1073" s="448">
        <f>IF($L1073&gt;P$5,MAX(0,P$3+ROUND((P$9*($L1073-P$5)),0)),IF($L1073&gt;P$4,P$3,ROUND($L1073*P$7,0)))</f>
        <v/>
      </c>
      <c r="F1073" s="447">
        <f>IF($L1073&gt;Q$5,MAX(0,Q$3+ROUND((Q$9*($L1073-Q$5)),0)),IF($L1073&gt;Q$4,Q$3,ROUND($L1073*Q$7,0)))</f>
        <v/>
      </c>
      <c r="G1073" s="1378">
        <f>IF($L1073&gt;R$5,MAX(0,R$3+ROUND((R$9*($L1073-R$5)),0)),IF($L1073&gt;R$4,R$3,ROUND($L1073*R$7,0)))</f>
        <v/>
      </c>
      <c r="H1073" s="448">
        <f>IF($L1073&gt;S$5,MAX(0,S$3+ROUND((S$9*($L1073-S$5)),0)),IF($L1073&gt;S$4,S$3,ROUND($L1073*S$7,0)))</f>
        <v/>
      </c>
      <c r="I1073" s="448">
        <f>IF($L1073&gt;T$5,MAX(0,T$3+ROUND((T$9*($L1073-T$5)),0)),IF($L1073&gt;T$4,T$3,ROUND($L1073*T$7,0)))</f>
        <v/>
      </c>
      <c r="J1073" s="447">
        <f>IF($L1073&gt;U$5,MAX(0,U$3+ROUND((U$9*($L1073-U$5)),0)),IF($L1073&gt;U$4,U$3,ROUND($L1073*U$7,0)))</f>
        <v/>
      </c>
      <c r="K1073" s="422" t="n"/>
      <c r="L1073" s="448">
        <f>ROUND((A1073+B1073)/2,2)</f>
        <v/>
      </c>
    </row>
    <row r="1074" ht="13.5" customHeight="1" s="7635">
      <c r="A1074" s="448" t="n">
        <v>53400</v>
      </c>
      <c r="B1074" s="447" t="n">
        <v>53450</v>
      </c>
      <c r="C1074" s="1378">
        <f>IF($L1074&gt;N$5,MAX(0,N$3+ROUND((N$9*($L1074-N$5)),0)),IF($L1074&gt;N$4,N$3,ROUND($L1074*N$7,0)))</f>
        <v/>
      </c>
      <c r="D1074" s="448">
        <f>IF($L1074&gt;O$5,MAX(0,O$3+ROUND((O$9*($L1074-O$5)),0)),IF($L1074&gt;O$4,O$3,ROUND($L1074*O$7,0)))</f>
        <v/>
      </c>
      <c r="E1074" s="448">
        <f>IF($L1074&gt;P$5,MAX(0,P$3+ROUND((P$9*($L1074-P$5)),0)),IF($L1074&gt;P$4,P$3,ROUND($L1074*P$7,0)))</f>
        <v/>
      </c>
      <c r="F1074" s="447">
        <f>IF($L1074&gt;Q$5,MAX(0,Q$3+ROUND((Q$9*($L1074-Q$5)),0)),IF($L1074&gt;Q$4,Q$3,ROUND($L1074*Q$7,0)))</f>
        <v/>
      </c>
      <c r="G1074" s="1378">
        <f>IF($L1074&gt;R$5,MAX(0,R$3+ROUND((R$9*($L1074-R$5)),0)),IF($L1074&gt;R$4,R$3,ROUND($L1074*R$7,0)))</f>
        <v/>
      </c>
      <c r="H1074" s="448">
        <f>IF($L1074&gt;S$5,MAX(0,S$3+ROUND((S$9*($L1074-S$5)),0)),IF($L1074&gt;S$4,S$3,ROUND($L1074*S$7,0)))</f>
        <v/>
      </c>
      <c r="I1074" s="448">
        <f>IF($L1074&gt;T$5,MAX(0,T$3+ROUND((T$9*($L1074-T$5)),0)),IF($L1074&gt;T$4,T$3,ROUND($L1074*T$7,0)))</f>
        <v/>
      </c>
      <c r="J1074" s="447">
        <f>IF($L1074&gt;U$5,MAX(0,U$3+ROUND((U$9*($L1074-U$5)),0)),IF($L1074&gt;U$4,U$3,ROUND($L1074*U$7,0)))</f>
        <v/>
      </c>
      <c r="K1074" s="422" t="n"/>
      <c r="L1074" s="448">
        <f>ROUND((A1074+B1074)/2,2)</f>
        <v/>
      </c>
    </row>
    <row r="1075" ht="13.5" customHeight="1" s="7635">
      <c r="A1075" s="448" t="n">
        <v>53450</v>
      </c>
      <c r="B1075" s="447" t="n">
        <v>53500</v>
      </c>
      <c r="C1075" s="1378">
        <f>IF($L1075&gt;N$5,MAX(0,N$3+ROUND((N$9*($L1075-N$5)),0)),IF($L1075&gt;N$4,N$3,ROUND($L1075*N$7,0)))</f>
        <v/>
      </c>
      <c r="D1075" s="448">
        <f>IF($L1075&gt;O$5,MAX(0,O$3+ROUND((O$9*($L1075-O$5)),0)),IF($L1075&gt;O$4,O$3,ROUND($L1075*O$7,0)))</f>
        <v/>
      </c>
      <c r="E1075" s="448">
        <f>IF($L1075&gt;P$5,MAX(0,P$3+ROUND((P$9*($L1075-P$5)),0)),IF($L1075&gt;P$4,P$3,ROUND($L1075*P$7,0)))</f>
        <v/>
      </c>
      <c r="F1075" s="447">
        <f>IF($L1075&gt;Q$5,MAX(0,Q$3+ROUND((Q$9*($L1075-Q$5)),0)),IF($L1075&gt;Q$4,Q$3,ROUND($L1075*Q$7,0)))</f>
        <v/>
      </c>
      <c r="G1075" s="1378">
        <f>IF($L1075&gt;R$5,MAX(0,R$3+ROUND((R$9*($L1075-R$5)),0)),IF($L1075&gt;R$4,R$3,ROUND($L1075*R$7,0)))</f>
        <v/>
      </c>
      <c r="H1075" s="448">
        <f>IF($L1075&gt;S$5,MAX(0,S$3+ROUND((S$9*($L1075-S$5)),0)),IF($L1075&gt;S$4,S$3,ROUND($L1075*S$7,0)))</f>
        <v/>
      </c>
      <c r="I1075" s="448">
        <f>IF($L1075&gt;T$5,MAX(0,T$3+ROUND((T$9*($L1075-T$5)),0)),IF($L1075&gt;T$4,T$3,ROUND($L1075*T$7,0)))</f>
        <v/>
      </c>
      <c r="J1075" s="447">
        <f>IF($L1075&gt;U$5,MAX(0,U$3+ROUND((U$9*($L1075-U$5)),0)),IF($L1075&gt;U$4,U$3,ROUND($L1075*U$7,0)))</f>
        <v/>
      </c>
      <c r="K1075" s="422" t="n"/>
      <c r="L1075" s="448">
        <f>ROUND((A1075+B1075)/2,2)</f>
        <v/>
      </c>
    </row>
    <row r="1076" ht="13.5" customHeight="1" s="7635">
      <c r="A1076" s="448" t="n">
        <v>53500</v>
      </c>
      <c r="B1076" s="447" t="n">
        <v>53550</v>
      </c>
      <c r="C1076" s="1378">
        <f>IF($L1076&gt;N$5,MAX(0,N$3+ROUND((N$9*($L1076-N$5)),0)),IF($L1076&gt;N$4,N$3,ROUND($L1076*N$7,0)))</f>
        <v/>
      </c>
      <c r="D1076" s="448">
        <f>IF($L1076&gt;O$5,MAX(0,O$3+ROUND((O$9*($L1076-O$5)),0)),IF($L1076&gt;O$4,O$3,ROUND($L1076*O$7,0)))</f>
        <v/>
      </c>
      <c r="E1076" s="448">
        <f>IF($L1076&gt;P$5,MAX(0,P$3+ROUND((P$9*($L1076-P$5)),0)),IF($L1076&gt;P$4,P$3,ROUND($L1076*P$7,0)))</f>
        <v/>
      </c>
      <c r="F1076" s="447">
        <f>IF($L1076&gt;Q$5,MAX(0,Q$3+ROUND((Q$9*($L1076-Q$5)),0)),IF($L1076&gt;Q$4,Q$3,ROUND($L1076*Q$7,0)))</f>
        <v/>
      </c>
      <c r="G1076" s="1378">
        <f>IF($L1076&gt;R$5,MAX(0,R$3+ROUND((R$9*($L1076-R$5)),0)),IF($L1076&gt;R$4,R$3,ROUND($L1076*R$7,0)))</f>
        <v/>
      </c>
      <c r="H1076" s="448">
        <f>IF($L1076&gt;S$5,MAX(0,S$3+ROUND((S$9*($L1076-S$5)),0)),IF($L1076&gt;S$4,S$3,ROUND($L1076*S$7,0)))</f>
        <v/>
      </c>
      <c r="I1076" s="448">
        <f>IF($L1076&gt;T$5,MAX(0,T$3+ROUND((T$9*($L1076-T$5)),0)),IF($L1076&gt;T$4,T$3,ROUND($L1076*T$7,0)))</f>
        <v/>
      </c>
      <c r="J1076" s="447">
        <f>IF($L1076&gt;U$5,MAX(0,U$3+ROUND((U$9*($L1076-U$5)),0)),IF($L1076&gt;U$4,U$3,ROUND($L1076*U$7,0)))</f>
        <v/>
      </c>
      <c r="K1076" s="422" t="n"/>
      <c r="L1076" s="448">
        <f>ROUND((A1076+B1076)/2,2)</f>
        <v/>
      </c>
    </row>
    <row r="1077" ht="13.5" customHeight="1" s="7635">
      <c r="A1077" s="448" t="n">
        <v>53550</v>
      </c>
      <c r="B1077" s="447" t="n">
        <v>53600</v>
      </c>
      <c r="C1077" s="1378">
        <f>IF($L1077&gt;N$5,MAX(0,N$3+ROUND((N$9*($L1077-N$5)),0)),IF($L1077&gt;N$4,N$3,ROUND($L1077*N$7,0)))</f>
        <v/>
      </c>
      <c r="D1077" s="448">
        <f>IF($L1077&gt;O$5,MAX(0,O$3+ROUND((O$9*($L1077-O$5)),0)),IF($L1077&gt;O$4,O$3,ROUND($L1077*O$7,0)))</f>
        <v/>
      </c>
      <c r="E1077" s="448">
        <f>IF($L1077&gt;P$5,MAX(0,P$3+ROUND((P$9*($L1077-P$5)),0)),IF($L1077&gt;P$4,P$3,ROUND($L1077*P$7,0)))</f>
        <v/>
      </c>
      <c r="F1077" s="447">
        <f>IF($L1077&gt;Q$5,MAX(0,Q$3+ROUND((Q$9*($L1077-Q$5)),0)),IF($L1077&gt;Q$4,Q$3,ROUND($L1077*Q$7,0)))</f>
        <v/>
      </c>
      <c r="G1077" s="1378">
        <f>IF($L1077&gt;R$5,MAX(0,R$3+ROUND((R$9*($L1077-R$5)),0)),IF($L1077&gt;R$4,R$3,ROUND($L1077*R$7,0)))</f>
        <v/>
      </c>
      <c r="H1077" s="448">
        <f>IF($L1077&gt;S$5,MAX(0,S$3+ROUND((S$9*($L1077-S$5)),0)),IF($L1077&gt;S$4,S$3,ROUND($L1077*S$7,0)))</f>
        <v/>
      </c>
      <c r="I1077" s="448">
        <f>IF($L1077&gt;T$5,MAX(0,T$3+ROUND((T$9*($L1077-T$5)),0)),IF($L1077&gt;T$4,T$3,ROUND($L1077*T$7,0)))</f>
        <v/>
      </c>
      <c r="J1077" s="447">
        <f>IF($L1077&gt;U$5,MAX(0,U$3+ROUND((U$9*($L1077-U$5)),0)),IF($L1077&gt;U$4,U$3,ROUND($L1077*U$7,0)))</f>
        <v/>
      </c>
      <c r="K1077" s="422" t="n"/>
      <c r="L1077" s="448">
        <f>ROUND((A1077+B1077)/2,2)</f>
        <v/>
      </c>
    </row>
    <row r="1078" ht="13.5" customHeight="1" s="7635">
      <c r="A1078" s="448" t="n">
        <v>53600</v>
      </c>
      <c r="B1078" s="447" t="n">
        <v>53650</v>
      </c>
      <c r="C1078" s="1378">
        <f>IF($L1078&gt;N$5,MAX(0,N$3+ROUND((N$9*($L1078-N$5)),0)),IF($L1078&gt;N$4,N$3,ROUND($L1078*N$7,0)))</f>
        <v/>
      </c>
      <c r="D1078" s="448">
        <f>IF($L1078&gt;O$5,MAX(0,O$3+ROUND((O$9*($L1078-O$5)),0)),IF($L1078&gt;O$4,O$3,ROUND($L1078*O$7,0)))</f>
        <v/>
      </c>
      <c r="E1078" s="448">
        <f>IF($L1078&gt;P$5,MAX(0,P$3+ROUND((P$9*($L1078-P$5)),0)),IF($L1078&gt;P$4,P$3,ROUND($L1078*P$7,0)))</f>
        <v/>
      </c>
      <c r="F1078" s="447">
        <f>IF($L1078&gt;Q$5,MAX(0,Q$3+ROUND((Q$9*($L1078-Q$5)),0)),IF($L1078&gt;Q$4,Q$3,ROUND($L1078*Q$7,0)))</f>
        <v/>
      </c>
      <c r="G1078" s="1378">
        <f>IF($L1078&gt;R$5,MAX(0,R$3+ROUND((R$9*($L1078-R$5)),0)),IF($L1078&gt;R$4,R$3,ROUND($L1078*R$7,0)))</f>
        <v/>
      </c>
      <c r="H1078" s="448">
        <f>IF($L1078&gt;S$5,MAX(0,S$3+ROUND((S$9*($L1078-S$5)),0)),IF($L1078&gt;S$4,S$3,ROUND($L1078*S$7,0)))</f>
        <v/>
      </c>
      <c r="I1078" s="448">
        <f>IF($L1078&gt;T$5,MAX(0,T$3+ROUND((T$9*($L1078-T$5)),0)),IF($L1078&gt;T$4,T$3,ROUND($L1078*T$7,0)))</f>
        <v/>
      </c>
      <c r="J1078" s="447">
        <f>IF($L1078&gt;U$5,MAX(0,U$3+ROUND((U$9*($L1078-U$5)),0)),IF($L1078&gt;U$4,U$3,ROUND($L1078*U$7,0)))</f>
        <v/>
      </c>
      <c r="K1078" s="422" t="n"/>
      <c r="L1078" s="448">
        <f>ROUND((A1078+B1078)/2,2)</f>
        <v/>
      </c>
    </row>
    <row r="1079" ht="13.5" customHeight="1" s="7635">
      <c r="A1079" s="448" t="n">
        <v>53650</v>
      </c>
      <c r="B1079" s="447" t="n">
        <v>53700</v>
      </c>
      <c r="C1079" s="1378">
        <f>IF($L1079&gt;N$5,MAX(0,N$3+ROUND((N$9*($L1079-N$5)),0)),IF($L1079&gt;N$4,N$3,ROUND($L1079*N$7,0)))</f>
        <v/>
      </c>
      <c r="D1079" s="448">
        <f>IF($L1079&gt;O$5,MAX(0,O$3+ROUND((O$9*($L1079-O$5)),0)),IF($L1079&gt;O$4,O$3,ROUND($L1079*O$7,0)))</f>
        <v/>
      </c>
      <c r="E1079" s="448">
        <f>IF($L1079&gt;P$5,MAX(0,P$3+ROUND((P$9*($L1079-P$5)),0)),IF($L1079&gt;P$4,P$3,ROUND($L1079*P$7,0)))</f>
        <v/>
      </c>
      <c r="F1079" s="447">
        <f>IF($L1079&gt;Q$5,MAX(0,Q$3+ROUND((Q$9*($L1079-Q$5)),0)),IF($L1079&gt;Q$4,Q$3,ROUND($L1079*Q$7,0)))</f>
        <v/>
      </c>
      <c r="G1079" s="1378">
        <f>IF($L1079&gt;R$5,MAX(0,R$3+ROUND((R$9*($L1079-R$5)),0)),IF($L1079&gt;R$4,R$3,ROUND($L1079*R$7,0)))</f>
        <v/>
      </c>
      <c r="H1079" s="448">
        <f>IF($L1079&gt;S$5,MAX(0,S$3+ROUND((S$9*($L1079-S$5)),0)),IF($L1079&gt;S$4,S$3,ROUND($L1079*S$7,0)))</f>
        <v/>
      </c>
      <c r="I1079" s="448">
        <f>IF($L1079&gt;T$5,MAX(0,T$3+ROUND((T$9*($L1079-T$5)),0)),IF($L1079&gt;T$4,T$3,ROUND($L1079*T$7,0)))</f>
        <v/>
      </c>
      <c r="J1079" s="447">
        <f>IF($L1079&gt;U$5,MAX(0,U$3+ROUND((U$9*($L1079-U$5)),0)),IF($L1079&gt;U$4,U$3,ROUND($L1079*U$7,0)))</f>
        <v/>
      </c>
      <c r="K1079" s="422" t="n"/>
      <c r="L1079" s="448">
        <f>ROUND((A1079+B1079)/2,2)</f>
        <v/>
      </c>
    </row>
    <row r="1080" ht="13.5" customHeight="1" s="7635">
      <c r="A1080" s="448" t="n">
        <v>53700</v>
      </c>
      <c r="B1080" s="447" t="n">
        <v>53750</v>
      </c>
      <c r="C1080" s="1378">
        <f>IF($L1080&gt;N$5,MAX(0,N$3+ROUND((N$9*($L1080-N$5)),0)),IF($L1080&gt;N$4,N$3,ROUND($L1080*N$7,0)))</f>
        <v/>
      </c>
      <c r="D1080" s="448">
        <f>IF($L1080&gt;O$5,MAX(0,O$3+ROUND((O$9*($L1080-O$5)),0)),IF($L1080&gt;O$4,O$3,ROUND($L1080*O$7,0)))</f>
        <v/>
      </c>
      <c r="E1080" s="448">
        <f>IF($L1080&gt;P$5,MAX(0,P$3+ROUND((P$9*($L1080-P$5)),0)),IF($L1080&gt;P$4,P$3,ROUND($L1080*P$7,0)))</f>
        <v/>
      </c>
      <c r="F1080" s="447">
        <f>IF($L1080&gt;Q$5,MAX(0,Q$3+ROUND((Q$9*($L1080-Q$5)),0)),IF($L1080&gt;Q$4,Q$3,ROUND($L1080*Q$7,0)))</f>
        <v/>
      </c>
      <c r="G1080" s="1378">
        <f>IF($L1080&gt;R$5,MAX(0,R$3+ROUND((R$9*($L1080-R$5)),0)),IF($L1080&gt;R$4,R$3,ROUND($L1080*R$7,0)))</f>
        <v/>
      </c>
      <c r="H1080" s="448">
        <f>IF($L1080&gt;S$5,MAX(0,S$3+ROUND((S$9*($L1080-S$5)),0)),IF($L1080&gt;S$4,S$3,ROUND($L1080*S$7,0)))</f>
        <v/>
      </c>
      <c r="I1080" s="448">
        <f>IF($L1080&gt;T$5,MAX(0,T$3+ROUND((T$9*($L1080-T$5)),0)),IF($L1080&gt;T$4,T$3,ROUND($L1080*T$7,0)))</f>
        <v/>
      </c>
      <c r="J1080" s="447">
        <f>IF($L1080&gt;U$5,MAX(0,U$3+ROUND((U$9*($L1080-U$5)),0)),IF($L1080&gt;U$4,U$3,ROUND($L1080*U$7,0)))</f>
        <v/>
      </c>
      <c r="K1080" s="422" t="n"/>
      <c r="L1080" s="448">
        <f>ROUND((A1080+B1080)/2,2)</f>
        <v/>
      </c>
    </row>
    <row r="1081" ht="13.5" customHeight="1" s="7635">
      <c r="A1081" s="448" t="n">
        <v>53750</v>
      </c>
      <c r="B1081" s="447" t="n">
        <v>53800</v>
      </c>
      <c r="C1081" s="1378">
        <f>IF($L1081&gt;N$5,MAX(0,N$3+ROUND((N$9*($L1081-N$5)),0)),IF($L1081&gt;N$4,N$3,ROUND($L1081*N$7,0)))</f>
        <v/>
      </c>
      <c r="D1081" s="448">
        <f>IF($L1081&gt;O$5,MAX(0,O$3+ROUND((O$9*($L1081-O$5)),0)),IF($L1081&gt;O$4,O$3,ROUND($L1081*O$7,0)))</f>
        <v/>
      </c>
      <c r="E1081" s="448">
        <f>IF($L1081&gt;P$5,MAX(0,P$3+ROUND((P$9*($L1081-P$5)),0)),IF($L1081&gt;P$4,P$3,ROUND($L1081*P$7,0)))</f>
        <v/>
      </c>
      <c r="F1081" s="447">
        <f>IF($L1081&gt;Q$5,MAX(0,Q$3+ROUND((Q$9*($L1081-Q$5)),0)),IF($L1081&gt;Q$4,Q$3,ROUND($L1081*Q$7,0)))</f>
        <v/>
      </c>
      <c r="G1081" s="1378">
        <f>IF($L1081&gt;R$5,MAX(0,R$3+ROUND((R$9*($L1081-R$5)),0)),IF($L1081&gt;R$4,R$3,ROUND($L1081*R$7,0)))</f>
        <v/>
      </c>
      <c r="H1081" s="448">
        <f>IF($L1081&gt;S$5,MAX(0,S$3+ROUND((S$9*($L1081-S$5)),0)),IF($L1081&gt;S$4,S$3,ROUND($L1081*S$7,0)))</f>
        <v/>
      </c>
      <c r="I1081" s="448">
        <f>IF($L1081&gt;T$5,MAX(0,T$3+ROUND((T$9*($L1081-T$5)),0)),IF($L1081&gt;T$4,T$3,ROUND($L1081*T$7,0)))</f>
        <v/>
      </c>
      <c r="J1081" s="447">
        <f>IF($L1081&gt;U$5,MAX(0,U$3+ROUND((U$9*($L1081-U$5)),0)),IF($L1081&gt;U$4,U$3,ROUND($L1081*U$7,0)))</f>
        <v/>
      </c>
      <c r="K1081" s="422" t="n"/>
      <c r="L1081" s="448">
        <f>ROUND((A1081+B1081)/2,2)</f>
        <v/>
      </c>
    </row>
    <row r="1082" ht="13.5" customHeight="1" s="7635">
      <c r="A1082" s="448" t="n">
        <v>53800</v>
      </c>
      <c r="B1082" s="447" t="n">
        <v>53850</v>
      </c>
      <c r="C1082" s="1378">
        <f>IF($L1082&gt;N$5,MAX(0,N$3+ROUND((N$9*($L1082-N$5)),0)),IF($L1082&gt;N$4,N$3,ROUND($L1082*N$7,0)))</f>
        <v/>
      </c>
      <c r="D1082" s="448">
        <f>IF($L1082&gt;O$5,MAX(0,O$3+ROUND((O$9*($L1082-O$5)),0)),IF($L1082&gt;O$4,O$3,ROUND($L1082*O$7,0)))</f>
        <v/>
      </c>
      <c r="E1082" s="448">
        <f>IF($L1082&gt;P$5,MAX(0,P$3+ROUND((P$9*($L1082-P$5)),0)),IF($L1082&gt;P$4,P$3,ROUND($L1082*P$7,0)))</f>
        <v/>
      </c>
      <c r="F1082" s="447">
        <f>IF($L1082&gt;Q$5,MAX(0,Q$3+ROUND((Q$9*($L1082-Q$5)),0)),IF($L1082&gt;Q$4,Q$3,ROUND($L1082*Q$7,0)))</f>
        <v/>
      </c>
      <c r="G1082" s="1378">
        <f>IF($L1082&gt;R$5,MAX(0,R$3+ROUND((R$9*($L1082-R$5)),0)),IF($L1082&gt;R$4,R$3,ROUND($L1082*R$7,0)))</f>
        <v/>
      </c>
      <c r="H1082" s="448">
        <f>IF($L1082&gt;S$5,MAX(0,S$3+ROUND((S$9*($L1082-S$5)),0)),IF($L1082&gt;S$4,S$3,ROUND($L1082*S$7,0)))</f>
        <v/>
      </c>
      <c r="I1082" s="448">
        <f>IF($L1082&gt;T$5,MAX(0,T$3+ROUND((T$9*($L1082-T$5)),0)),IF($L1082&gt;T$4,T$3,ROUND($L1082*T$7,0)))</f>
        <v/>
      </c>
      <c r="J1082" s="447">
        <f>IF($L1082&gt;U$5,MAX(0,U$3+ROUND((U$9*($L1082-U$5)),0)),IF($L1082&gt;U$4,U$3,ROUND($L1082*U$7,0)))</f>
        <v/>
      </c>
      <c r="K1082" s="422" t="n"/>
      <c r="L1082" s="448">
        <f>ROUND((A1082+B1082)/2,2)</f>
        <v/>
      </c>
    </row>
    <row r="1083" ht="13.5" customHeight="1" s="7635">
      <c r="A1083" s="448" t="n">
        <v>53850</v>
      </c>
      <c r="B1083" s="447" t="n">
        <v>53900</v>
      </c>
      <c r="C1083" s="1378">
        <f>IF($L1083&gt;N$5,MAX(0,N$3+ROUND((N$9*($L1083-N$5)),0)),IF($L1083&gt;N$4,N$3,ROUND($L1083*N$7,0)))</f>
        <v/>
      </c>
      <c r="D1083" s="448">
        <f>IF($L1083&gt;O$5,MAX(0,O$3+ROUND((O$9*($L1083-O$5)),0)),IF($L1083&gt;O$4,O$3,ROUND($L1083*O$7,0)))</f>
        <v/>
      </c>
      <c r="E1083" s="448">
        <f>IF($L1083&gt;P$5,MAX(0,P$3+ROUND((P$9*($L1083-P$5)),0)),IF($L1083&gt;P$4,P$3,ROUND($L1083*P$7,0)))</f>
        <v/>
      </c>
      <c r="F1083" s="447">
        <f>IF($L1083&gt;Q$5,MAX(0,Q$3+ROUND((Q$9*($L1083-Q$5)),0)),IF($L1083&gt;Q$4,Q$3,ROUND($L1083*Q$7,0)))</f>
        <v/>
      </c>
      <c r="G1083" s="1378">
        <f>IF($L1083&gt;R$5,MAX(0,R$3+ROUND((R$9*($L1083-R$5)),0)),IF($L1083&gt;R$4,R$3,ROUND($L1083*R$7,0)))</f>
        <v/>
      </c>
      <c r="H1083" s="448">
        <f>IF($L1083&gt;S$5,MAX(0,S$3+ROUND((S$9*($L1083-S$5)),0)),IF($L1083&gt;S$4,S$3,ROUND($L1083*S$7,0)))</f>
        <v/>
      </c>
      <c r="I1083" s="448">
        <f>IF($L1083&gt;T$5,MAX(0,T$3+ROUND((T$9*($L1083-T$5)),0)),IF($L1083&gt;T$4,T$3,ROUND($L1083*T$7,0)))</f>
        <v/>
      </c>
      <c r="J1083" s="447">
        <f>IF($L1083&gt;U$5,MAX(0,U$3+ROUND((U$9*($L1083-U$5)),0)),IF($L1083&gt;U$4,U$3,ROUND($L1083*U$7,0)))</f>
        <v/>
      </c>
      <c r="K1083" s="422" t="n"/>
      <c r="L1083" s="448">
        <f>ROUND((A1083+B1083)/2,2)</f>
        <v/>
      </c>
    </row>
    <row r="1084" ht="13.5" customHeight="1" s="7635">
      <c r="A1084" s="448" t="n">
        <v>53900</v>
      </c>
      <c r="B1084" s="447" t="n">
        <v>53950</v>
      </c>
      <c r="C1084" s="1378">
        <f>IF($L1084&gt;N$5,MAX(0,N$3+ROUND((N$9*($L1084-N$5)),0)),IF($L1084&gt;N$4,N$3,ROUND($L1084*N$7,0)))</f>
        <v/>
      </c>
      <c r="D1084" s="448">
        <f>IF($L1084&gt;O$5,MAX(0,O$3+ROUND((O$9*($L1084-O$5)),0)),IF($L1084&gt;O$4,O$3,ROUND($L1084*O$7,0)))</f>
        <v/>
      </c>
      <c r="E1084" s="448">
        <f>IF($L1084&gt;P$5,MAX(0,P$3+ROUND((P$9*($L1084-P$5)),0)),IF($L1084&gt;P$4,P$3,ROUND($L1084*P$7,0)))</f>
        <v/>
      </c>
      <c r="F1084" s="447">
        <f>IF($L1084&gt;Q$5,MAX(0,Q$3+ROUND((Q$9*($L1084-Q$5)),0)),IF($L1084&gt;Q$4,Q$3,ROUND($L1084*Q$7,0)))</f>
        <v/>
      </c>
      <c r="G1084" s="1378">
        <f>IF($L1084&gt;R$5,MAX(0,R$3+ROUND((R$9*($L1084-R$5)),0)),IF($L1084&gt;R$4,R$3,ROUND($L1084*R$7,0)))</f>
        <v/>
      </c>
      <c r="H1084" s="448">
        <f>IF($L1084&gt;S$5,MAX(0,S$3+ROUND((S$9*($L1084-S$5)),0)),IF($L1084&gt;S$4,S$3,ROUND($L1084*S$7,0)))</f>
        <v/>
      </c>
      <c r="I1084" s="448">
        <f>IF($L1084&gt;T$5,MAX(0,T$3+ROUND((T$9*($L1084-T$5)),0)),IF($L1084&gt;T$4,T$3,ROUND($L1084*T$7,0)))</f>
        <v/>
      </c>
      <c r="J1084" s="447">
        <f>IF($L1084&gt;U$5,MAX(0,U$3+ROUND((U$9*($L1084-U$5)),0)),IF($L1084&gt;U$4,U$3,ROUND($L1084*U$7,0)))</f>
        <v/>
      </c>
      <c r="K1084" s="422" t="n"/>
      <c r="L1084" s="448">
        <f>ROUND((A1084+B1084)/2,2)</f>
        <v/>
      </c>
    </row>
    <row r="1085" ht="13.5" customHeight="1" s="7635">
      <c r="A1085" s="448" t="n">
        <v>53950</v>
      </c>
      <c r="B1085" s="447" t="n">
        <v>54000</v>
      </c>
      <c r="C1085" s="1378">
        <f>IF($L1085&gt;N$5,MAX(0,N$3+ROUND((N$9*($L1085-N$5)),0)),IF($L1085&gt;N$4,N$3,ROUND($L1085*N$7,0)))</f>
        <v/>
      </c>
      <c r="D1085" s="448">
        <f>IF($L1085&gt;O$5,MAX(0,O$3+ROUND((O$9*($L1085-O$5)),0)),IF($L1085&gt;O$4,O$3,ROUND($L1085*O$7,0)))</f>
        <v/>
      </c>
      <c r="E1085" s="448">
        <f>IF($L1085&gt;P$5,MAX(0,P$3+ROUND((P$9*($L1085-P$5)),0)),IF($L1085&gt;P$4,P$3,ROUND($L1085*P$7,0)))</f>
        <v/>
      </c>
      <c r="F1085" s="447">
        <f>IF($L1085&gt;Q$5,MAX(0,Q$3+ROUND((Q$9*($L1085-Q$5)),0)),IF($L1085&gt;Q$4,Q$3,ROUND($L1085*Q$7,0)))</f>
        <v/>
      </c>
      <c r="G1085" s="1378">
        <f>IF($L1085&gt;R$5,MAX(0,R$3+ROUND((R$9*($L1085-R$5)),0)),IF($L1085&gt;R$4,R$3,ROUND($L1085*R$7,0)))</f>
        <v/>
      </c>
      <c r="H1085" s="448">
        <f>IF($L1085&gt;S$5,MAX(0,S$3+ROUND((S$9*($L1085-S$5)),0)),IF($L1085&gt;S$4,S$3,ROUND($L1085*S$7,0)))</f>
        <v/>
      </c>
      <c r="I1085" s="448">
        <f>IF($L1085&gt;T$5,MAX(0,T$3+ROUND((T$9*($L1085-T$5)),0)),IF($L1085&gt;T$4,T$3,ROUND($L1085*T$7,0)))</f>
        <v/>
      </c>
      <c r="J1085" s="447">
        <f>IF($L1085&gt;U$5,MAX(0,U$3+ROUND((U$9*($L1085-U$5)),0)),IF($L1085&gt;U$4,U$3,ROUND($L1085*U$7,0)))</f>
        <v/>
      </c>
      <c r="K1085" s="422" t="n"/>
      <c r="L1085" s="448">
        <f>ROUND((A1085+B1085)/2,2)</f>
        <v/>
      </c>
    </row>
    <row r="1086" ht="13.5" customHeight="1" s="7635">
      <c r="A1086" s="448" t="n">
        <v>54000</v>
      </c>
      <c r="B1086" s="447" t="n">
        <v>54050</v>
      </c>
      <c r="C1086" s="1378">
        <f>IF($L1086&gt;N$5,MAX(0,N$3+ROUND((N$9*($L1086-N$5)),0)),IF($L1086&gt;N$4,N$3,ROUND($L1086*N$7,0)))</f>
        <v/>
      </c>
      <c r="D1086" s="448">
        <f>IF($L1086&gt;O$5,MAX(0,O$3+ROUND((O$9*($L1086-O$5)),0)),IF($L1086&gt;O$4,O$3,ROUND($L1086*O$7,0)))</f>
        <v/>
      </c>
      <c r="E1086" s="448">
        <f>IF($L1086&gt;P$5,MAX(0,P$3+ROUND((P$9*($L1086-P$5)),0)),IF($L1086&gt;P$4,P$3,ROUND($L1086*P$7,0)))</f>
        <v/>
      </c>
      <c r="F1086" s="447">
        <f>IF($L1086&gt;Q$5,MAX(0,Q$3+ROUND((Q$9*($L1086-Q$5)),0)),IF($L1086&gt;Q$4,Q$3,ROUND($L1086*Q$7,0)))</f>
        <v/>
      </c>
      <c r="G1086" s="1378">
        <f>IF($L1086&gt;R$5,MAX(0,R$3+ROUND((R$9*($L1086-R$5)),0)),IF($L1086&gt;R$4,R$3,ROUND($L1086*R$7,0)))</f>
        <v/>
      </c>
      <c r="H1086" s="448">
        <f>IF($L1086&gt;S$5,MAX(0,S$3+ROUND((S$9*($L1086-S$5)),0)),IF($L1086&gt;S$4,S$3,ROUND($L1086*S$7,0)))</f>
        <v/>
      </c>
      <c r="I1086" s="448">
        <f>IF($L1086&gt;T$5,MAX(0,T$3+ROUND((T$9*($L1086-T$5)),0)),IF($L1086&gt;T$4,T$3,ROUND($L1086*T$7,0)))</f>
        <v/>
      </c>
      <c r="J1086" s="447">
        <f>IF($L1086&gt;U$5,MAX(0,U$3+ROUND((U$9*($L1086-U$5)),0)),IF($L1086&gt;U$4,U$3,ROUND($L1086*U$7,0)))</f>
        <v/>
      </c>
      <c r="K1086" s="422" t="n"/>
      <c r="L1086" s="448">
        <f>ROUND((A1086+B1086)/2,2)</f>
        <v/>
      </c>
    </row>
    <row r="1087" ht="13.5" customHeight="1" s="7635">
      <c r="A1087" s="448" t="n">
        <v>54050</v>
      </c>
      <c r="B1087" s="447" t="n">
        <v>54100</v>
      </c>
      <c r="C1087" s="1378">
        <f>IF($L1087&gt;N$5,MAX(0,N$3+ROUND((N$9*($L1087-N$5)),0)),IF($L1087&gt;N$4,N$3,ROUND($L1087*N$7,0)))</f>
        <v/>
      </c>
      <c r="D1087" s="448">
        <f>IF($L1087&gt;O$5,MAX(0,O$3+ROUND((O$9*($L1087-O$5)),0)),IF($L1087&gt;O$4,O$3,ROUND($L1087*O$7,0)))</f>
        <v/>
      </c>
      <c r="E1087" s="448">
        <f>IF($L1087&gt;P$5,MAX(0,P$3+ROUND((P$9*($L1087-P$5)),0)),IF($L1087&gt;P$4,P$3,ROUND($L1087*P$7,0)))</f>
        <v/>
      </c>
      <c r="F1087" s="447">
        <f>IF($L1087&gt;Q$5,MAX(0,Q$3+ROUND((Q$9*($L1087-Q$5)),0)),IF($L1087&gt;Q$4,Q$3,ROUND($L1087*Q$7,0)))</f>
        <v/>
      </c>
      <c r="G1087" s="1378">
        <f>IF($L1087&gt;R$5,MAX(0,R$3+ROUND((R$9*($L1087-R$5)),0)),IF($L1087&gt;R$4,R$3,ROUND($L1087*R$7,0)))</f>
        <v/>
      </c>
      <c r="H1087" s="448">
        <f>IF($L1087&gt;S$5,MAX(0,S$3+ROUND((S$9*($L1087-S$5)),0)),IF($L1087&gt;S$4,S$3,ROUND($L1087*S$7,0)))</f>
        <v/>
      </c>
      <c r="I1087" s="448">
        <f>IF($L1087&gt;T$5,MAX(0,T$3+ROUND((T$9*($L1087-T$5)),0)),IF($L1087&gt;T$4,T$3,ROUND($L1087*T$7,0)))</f>
        <v/>
      </c>
      <c r="J1087" s="447">
        <f>IF($L1087&gt;U$5,MAX(0,U$3+ROUND((U$9*($L1087-U$5)),0)),IF($L1087&gt;U$4,U$3,ROUND($L1087*U$7,0)))</f>
        <v/>
      </c>
      <c r="K1087" s="422" t="n"/>
      <c r="L1087" s="448">
        <f>ROUND((A1087+B1087)/2,2)</f>
        <v/>
      </c>
    </row>
    <row r="1088" ht="13.5" customHeight="1" s="7635">
      <c r="A1088" s="448" t="n">
        <v>54100</v>
      </c>
      <c r="B1088" s="447" t="n">
        <v>54150</v>
      </c>
      <c r="C1088" s="1378">
        <f>IF($L1088&gt;N$5,MAX(0,N$3+ROUND((N$9*($L1088-N$5)),0)),IF($L1088&gt;N$4,N$3,ROUND($L1088*N$7,0)))</f>
        <v/>
      </c>
      <c r="D1088" s="448">
        <f>IF($L1088&gt;O$5,MAX(0,O$3+ROUND((O$9*($L1088-O$5)),0)),IF($L1088&gt;O$4,O$3,ROUND($L1088*O$7,0)))</f>
        <v/>
      </c>
      <c r="E1088" s="448">
        <f>IF($L1088&gt;P$5,MAX(0,P$3+ROUND((P$9*($L1088-P$5)),0)),IF($L1088&gt;P$4,P$3,ROUND($L1088*P$7,0)))</f>
        <v/>
      </c>
      <c r="F1088" s="447">
        <f>IF($L1088&gt;Q$5,MAX(0,Q$3+ROUND((Q$9*($L1088-Q$5)),0)),IF($L1088&gt;Q$4,Q$3,ROUND($L1088*Q$7,0)))</f>
        <v/>
      </c>
      <c r="G1088" s="1378">
        <f>IF($L1088&gt;R$5,MAX(0,R$3+ROUND((R$9*($L1088-R$5)),0)),IF($L1088&gt;R$4,R$3,ROUND($L1088*R$7,0)))</f>
        <v/>
      </c>
      <c r="H1088" s="448">
        <f>IF($L1088&gt;S$5,MAX(0,S$3+ROUND((S$9*($L1088-S$5)),0)),IF($L1088&gt;S$4,S$3,ROUND($L1088*S$7,0)))</f>
        <v/>
      </c>
      <c r="I1088" s="448">
        <f>IF($L1088&gt;T$5,MAX(0,T$3+ROUND((T$9*($L1088-T$5)),0)),IF($L1088&gt;T$4,T$3,ROUND($L1088*T$7,0)))</f>
        <v/>
      </c>
      <c r="J1088" s="447">
        <f>IF($L1088&gt;U$5,MAX(0,U$3+ROUND((U$9*($L1088-U$5)),0)),IF($L1088&gt;U$4,U$3,ROUND($L1088*U$7,0)))</f>
        <v/>
      </c>
      <c r="K1088" s="422" t="n"/>
      <c r="L1088" s="448">
        <f>ROUND((A1088+B1088)/2,2)</f>
        <v/>
      </c>
    </row>
    <row r="1089" ht="13.5" customHeight="1" s="7635">
      <c r="A1089" s="448" t="n">
        <v>54150</v>
      </c>
      <c r="B1089" s="447" t="n">
        <v>54200</v>
      </c>
      <c r="C1089" s="1378">
        <f>IF($L1089&gt;N$5,MAX(0,N$3+ROUND((N$9*($L1089-N$5)),0)),IF($L1089&gt;N$4,N$3,ROUND($L1089*N$7,0)))</f>
        <v/>
      </c>
      <c r="D1089" s="448">
        <f>IF($L1089&gt;O$5,MAX(0,O$3+ROUND((O$9*($L1089-O$5)),0)),IF($L1089&gt;O$4,O$3,ROUND($L1089*O$7,0)))</f>
        <v/>
      </c>
      <c r="E1089" s="448">
        <f>IF($L1089&gt;P$5,MAX(0,P$3+ROUND((P$9*($L1089-P$5)),0)),IF($L1089&gt;P$4,P$3,ROUND($L1089*P$7,0)))</f>
        <v/>
      </c>
      <c r="F1089" s="447">
        <f>IF($L1089&gt;Q$5,MAX(0,Q$3+ROUND((Q$9*($L1089-Q$5)),0)),IF($L1089&gt;Q$4,Q$3,ROUND($L1089*Q$7,0)))</f>
        <v/>
      </c>
      <c r="G1089" s="1378">
        <f>IF($L1089&gt;R$5,MAX(0,R$3+ROUND((R$9*($L1089-R$5)),0)),IF($L1089&gt;R$4,R$3,ROUND($L1089*R$7,0)))</f>
        <v/>
      </c>
      <c r="H1089" s="448">
        <f>IF($L1089&gt;S$5,MAX(0,S$3+ROUND((S$9*($L1089-S$5)),0)),IF($L1089&gt;S$4,S$3,ROUND($L1089*S$7,0)))</f>
        <v/>
      </c>
      <c r="I1089" s="448">
        <f>IF($L1089&gt;T$5,MAX(0,T$3+ROUND((T$9*($L1089-T$5)),0)),IF($L1089&gt;T$4,T$3,ROUND($L1089*T$7,0)))</f>
        <v/>
      </c>
      <c r="J1089" s="447">
        <f>IF($L1089&gt;U$5,MAX(0,U$3+ROUND((U$9*($L1089-U$5)),0)),IF($L1089&gt;U$4,U$3,ROUND($L1089*U$7,0)))</f>
        <v/>
      </c>
      <c r="K1089" s="422" t="n"/>
      <c r="L1089" s="448">
        <f>ROUND((A1089+B1089)/2,2)</f>
        <v/>
      </c>
    </row>
    <row r="1090" ht="13.5" customHeight="1" s="7635">
      <c r="A1090" s="448" t="n">
        <v>54200</v>
      </c>
      <c r="B1090" s="447" t="n">
        <v>54250</v>
      </c>
      <c r="C1090" s="1378">
        <f>IF($L1090&gt;N$5,MAX(0,N$3+ROUND((N$9*($L1090-N$5)),0)),IF($L1090&gt;N$4,N$3,ROUND($L1090*N$7,0)))</f>
        <v/>
      </c>
      <c r="D1090" s="448">
        <f>IF($L1090&gt;O$5,MAX(0,O$3+ROUND((O$9*($L1090-O$5)),0)),IF($L1090&gt;O$4,O$3,ROUND($L1090*O$7,0)))</f>
        <v/>
      </c>
      <c r="E1090" s="448">
        <f>IF($L1090&gt;P$5,MAX(0,P$3+ROUND((P$9*($L1090-P$5)),0)),IF($L1090&gt;P$4,P$3,ROUND($L1090*P$7,0)))</f>
        <v/>
      </c>
      <c r="F1090" s="447">
        <f>IF($L1090&gt;Q$5,MAX(0,Q$3+ROUND((Q$9*($L1090-Q$5)),0)),IF($L1090&gt;Q$4,Q$3,ROUND($L1090*Q$7,0)))</f>
        <v/>
      </c>
      <c r="G1090" s="1378">
        <f>IF($L1090&gt;R$5,MAX(0,R$3+ROUND((R$9*($L1090-R$5)),0)),IF($L1090&gt;R$4,R$3,ROUND($L1090*R$7,0)))</f>
        <v/>
      </c>
      <c r="H1090" s="448">
        <f>IF($L1090&gt;S$5,MAX(0,S$3+ROUND((S$9*($L1090-S$5)),0)),IF($L1090&gt;S$4,S$3,ROUND($L1090*S$7,0)))</f>
        <v/>
      </c>
      <c r="I1090" s="448">
        <f>IF($L1090&gt;T$5,MAX(0,T$3+ROUND((T$9*($L1090-T$5)),0)),IF($L1090&gt;T$4,T$3,ROUND($L1090*T$7,0)))</f>
        <v/>
      </c>
      <c r="J1090" s="447">
        <f>IF($L1090&gt;U$5,MAX(0,U$3+ROUND((U$9*($L1090-U$5)),0)),IF($L1090&gt;U$4,U$3,ROUND($L1090*U$7,0)))</f>
        <v/>
      </c>
      <c r="K1090" s="422" t="n"/>
      <c r="L1090" s="448">
        <f>ROUND((A1090+B1090)/2,2)</f>
        <v/>
      </c>
    </row>
    <row r="1091" ht="13.5" customHeight="1" s="7635">
      <c r="A1091" s="448" t="n">
        <v>54250</v>
      </c>
      <c r="B1091" s="447" t="n">
        <v>54300</v>
      </c>
      <c r="C1091" s="1378">
        <f>IF($L1091&gt;N$5,MAX(0,N$3+ROUND((N$9*($L1091-N$5)),0)),IF($L1091&gt;N$4,N$3,ROUND($L1091*N$7,0)))</f>
        <v/>
      </c>
      <c r="D1091" s="448">
        <f>IF($L1091&gt;O$5,MAX(0,O$3+ROUND((O$9*($L1091-O$5)),0)),IF($L1091&gt;O$4,O$3,ROUND($L1091*O$7,0)))</f>
        <v/>
      </c>
      <c r="E1091" s="448">
        <f>IF($L1091&gt;P$5,MAX(0,P$3+ROUND((P$9*($L1091-P$5)),0)),IF($L1091&gt;P$4,P$3,ROUND($L1091*P$7,0)))</f>
        <v/>
      </c>
      <c r="F1091" s="447">
        <f>IF($L1091&gt;Q$5,MAX(0,Q$3+ROUND((Q$9*($L1091-Q$5)),0)),IF($L1091&gt;Q$4,Q$3,ROUND($L1091*Q$7,0)))</f>
        <v/>
      </c>
      <c r="G1091" s="1378">
        <f>IF($L1091&gt;R$5,MAX(0,R$3+ROUND((R$9*($L1091-R$5)),0)),IF($L1091&gt;R$4,R$3,ROUND($L1091*R$7,0)))</f>
        <v/>
      </c>
      <c r="H1091" s="448">
        <f>IF($L1091&gt;S$5,MAX(0,S$3+ROUND((S$9*($L1091-S$5)),0)),IF($L1091&gt;S$4,S$3,ROUND($L1091*S$7,0)))</f>
        <v/>
      </c>
      <c r="I1091" s="448">
        <f>IF($L1091&gt;T$5,MAX(0,T$3+ROUND((T$9*($L1091-T$5)),0)),IF($L1091&gt;T$4,T$3,ROUND($L1091*T$7,0)))</f>
        <v/>
      </c>
      <c r="J1091" s="447">
        <f>IF($L1091&gt;U$5,MAX(0,U$3+ROUND((U$9*($L1091-U$5)),0)),IF($L1091&gt;U$4,U$3,ROUND($L1091*U$7,0)))</f>
        <v/>
      </c>
      <c r="K1091" s="422" t="n"/>
      <c r="L1091" s="448">
        <f>ROUND((A1091+B1091)/2,2)</f>
        <v/>
      </c>
    </row>
    <row r="1092" ht="13.5" customHeight="1" s="7635">
      <c r="A1092" s="448" t="n">
        <v>54300</v>
      </c>
      <c r="B1092" s="447" t="n">
        <v>54350</v>
      </c>
      <c r="C1092" s="1378">
        <f>IF($L1092&gt;N$5,MAX(0,N$3+ROUND((N$9*($L1092-N$5)),0)),IF($L1092&gt;N$4,N$3,ROUND($L1092*N$7,0)))</f>
        <v/>
      </c>
      <c r="D1092" s="448">
        <f>IF($L1092&gt;O$5,MAX(0,O$3+ROUND((O$9*($L1092-O$5)),0)),IF($L1092&gt;O$4,O$3,ROUND($L1092*O$7,0)))</f>
        <v/>
      </c>
      <c r="E1092" s="448">
        <f>IF($L1092&gt;P$5,MAX(0,P$3+ROUND((P$9*($L1092-P$5)),0)),IF($L1092&gt;P$4,P$3,ROUND($L1092*P$7,0)))</f>
        <v/>
      </c>
      <c r="F1092" s="447">
        <f>IF($L1092&gt;Q$5,MAX(0,Q$3+ROUND((Q$9*($L1092-Q$5)),0)),IF($L1092&gt;Q$4,Q$3,ROUND($L1092*Q$7,0)))</f>
        <v/>
      </c>
      <c r="G1092" s="1378">
        <f>IF($L1092&gt;R$5,MAX(0,R$3+ROUND((R$9*($L1092-R$5)),0)),IF($L1092&gt;R$4,R$3,ROUND($L1092*R$7,0)))</f>
        <v/>
      </c>
      <c r="H1092" s="448">
        <f>IF($L1092&gt;S$5,MAX(0,S$3+ROUND((S$9*($L1092-S$5)),0)),IF($L1092&gt;S$4,S$3,ROUND($L1092*S$7,0)))</f>
        <v/>
      </c>
      <c r="I1092" s="448">
        <f>IF($L1092&gt;T$5,MAX(0,T$3+ROUND((T$9*($L1092-T$5)),0)),IF($L1092&gt;T$4,T$3,ROUND($L1092*T$7,0)))</f>
        <v/>
      </c>
      <c r="J1092" s="447">
        <f>IF($L1092&gt;U$5,MAX(0,U$3+ROUND((U$9*($L1092-U$5)),0)),IF($L1092&gt;U$4,U$3,ROUND($L1092*U$7,0)))</f>
        <v/>
      </c>
      <c r="K1092" s="422" t="n"/>
      <c r="L1092" s="448">
        <f>ROUND((A1092+B1092)/2,2)</f>
        <v/>
      </c>
    </row>
    <row r="1093" ht="13.5" customHeight="1" s="7635">
      <c r="A1093" s="448" t="n">
        <v>54350</v>
      </c>
      <c r="B1093" s="447" t="n">
        <v>54400</v>
      </c>
      <c r="C1093" s="1378">
        <f>IF($L1093&gt;N$5,MAX(0,N$3+ROUND((N$9*($L1093-N$5)),0)),IF($L1093&gt;N$4,N$3,ROUND($L1093*N$7,0)))</f>
        <v/>
      </c>
      <c r="D1093" s="448">
        <f>IF($L1093&gt;O$5,MAX(0,O$3+ROUND((O$9*($L1093-O$5)),0)),IF($L1093&gt;O$4,O$3,ROUND($L1093*O$7,0)))</f>
        <v/>
      </c>
      <c r="E1093" s="448">
        <f>IF($L1093&gt;P$5,MAX(0,P$3+ROUND((P$9*($L1093-P$5)),0)),IF($L1093&gt;P$4,P$3,ROUND($L1093*P$7,0)))</f>
        <v/>
      </c>
      <c r="F1093" s="447">
        <f>IF($L1093&gt;Q$5,MAX(0,Q$3+ROUND((Q$9*($L1093-Q$5)),0)),IF($L1093&gt;Q$4,Q$3,ROUND($L1093*Q$7,0)))</f>
        <v/>
      </c>
      <c r="G1093" s="1378">
        <f>IF($L1093&gt;R$5,MAX(0,R$3+ROUND((R$9*($L1093-R$5)),0)),IF($L1093&gt;R$4,R$3,ROUND($L1093*R$7,0)))</f>
        <v/>
      </c>
      <c r="H1093" s="448">
        <f>IF($L1093&gt;S$5,MAX(0,S$3+ROUND((S$9*($L1093-S$5)),0)),IF($L1093&gt;S$4,S$3,ROUND($L1093*S$7,0)))</f>
        <v/>
      </c>
      <c r="I1093" s="448">
        <f>IF($L1093&gt;T$5,MAX(0,T$3+ROUND((T$9*($L1093-T$5)),0)),IF($L1093&gt;T$4,T$3,ROUND($L1093*T$7,0)))</f>
        <v/>
      </c>
      <c r="J1093" s="447">
        <f>IF($L1093&gt;U$5,MAX(0,U$3+ROUND((U$9*($L1093-U$5)),0)),IF($L1093&gt;U$4,U$3,ROUND($L1093*U$7,0)))</f>
        <v/>
      </c>
      <c r="K1093" s="422" t="n"/>
      <c r="L1093" s="448">
        <f>ROUND((A1093+B1093)/2,2)</f>
        <v/>
      </c>
    </row>
    <row r="1094" ht="13.5" customHeight="1" s="7635">
      <c r="A1094" s="448" t="n">
        <v>54400</v>
      </c>
      <c r="B1094" s="447" t="n">
        <v>54450</v>
      </c>
      <c r="C1094" s="1378">
        <f>IF($L1094&gt;N$5,MAX(0,N$3+ROUND((N$9*($L1094-N$5)),0)),IF($L1094&gt;N$4,N$3,ROUND($L1094*N$7,0)))</f>
        <v/>
      </c>
      <c r="D1094" s="448">
        <f>IF($L1094&gt;O$5,MAX(0,O$3+ROUND((O$9*($L1094-O$5)),0)),IF($L1094&gt;O$4,O$3,ROUND($L1094*O$7,0)))</f>
        <v/>
      </c>
      <c r="E1094" s="448">
        <f>IF($L1094&gt;P$5,MAX(0,P$3+ROUND((P$9*($L1094-P$5)),0)),IF($L1094&gt;P$4,P$3,ROUND($L1094*P$7,0)))</f>
        <v/>
      </c>
      <c r="F1094" s="447">
        <f>IF($L1094&gt;Q$5,MAX(0,Q$3+ROUND((Q$9*($L1094-Q$5)),0)),IF($L1094&gt;Q$4,Q$3,ROUND($L1094*Q$7,0)))</f>
        <v/>
      </c>
      <c r="G1094" s="1378">
        <f>IF($L1094&gt;R$5,MAX(0,R$3+ROUND((R$9*($L1094-R$5)),0)),IF($L1094&gt;R$4,R$3,ROUND($L1094*R$7,0)))</f>
        <v/>
      </c>
      <c r="H1094" s="448">
        <f>IF($L1094&gt;S$5,MAX(0,S$3+ROUND((S$9*($L1094-S$5)),0)),IF($L1094&gt;S$4,S$3,ROUND($L1094*S$7,0)))</f>
        <v/>
      </c>
      <c r="I1094" s="448">
        <f>IF($L1094&gt;T$5,MAX(0,T$3+ROUND((T$9*($L1094-T$5)),0)),IF($L1094&gt;T$4,T$3,ROUND($L1094*T$7,0)))</f>
        <v/>
      </c>
      <c r="J1094" s="447">
        <f>IF($L1094&gt;U$5,MAX(0,U$3+ROUND((U$9*($L1094-U$5)),0)),IF($L1094&gt;U$4,U$3,ROUND($L1094*U$7,0)))</f>
        <v/>
      </c>
      <c r="K1094" s="422" t="n"/>
      <c r="L1094" s="448">
        <f>ROUND((A1094+B1094)/2,2)</f>
        <v/>
      </c>
    </row>
    <row r="1095" ht="13.5" customHeight="1" s="7635">
      <c r="A1095" s="448" t="n">
        <v>54450</v>
      </c>
      <c r="B1095" s="447" t="n">
        <v>54500</v>
      </c>
      <c r="C1095" s="1378">
        <f>IF($L1095&gt;N$5,MAX(0,N$3+ROUND((N$9*($L1095-N$5)),0)),IF($L1095&gt;N$4,N$3,ROUND($L1095*N$7,0)))</f>
        <v/>
      </c>
      <c r="D1095" s="448">
        <f>IF($L1095&gt;O$5,MAX(0,O$3+ROUND((O$9*($L1095-O$5)),0)),IF($L1095&gt;O$4,O$3,ROUND($L1095*O$7,0)))</f>
        <v/>
      </c>
      <c r="E1095" s="448">
        <f>IF($L1095&gt;P$5,MAX(0,P$3+ROUND((P$9*($L1095-P$5)),0)),IF($L1095&gt;P$4,P$3,ROUND($L1095*P$7,0)))</f>
        <v/>
      </c>
      <c r="F1095" s="447">
        <f>IF($L1095&gt;Q$5,MAX(0,Q$3+ROUND((Q$9*($L1095-Q$5)),0)),IF($L1095&gt;Q$4,Q$3,ROUND($L1095*Q$7,0)))</f>
        <v/>
      </c>
      <c r="G1095" s="1378">
        <f>IF($L1095&gt;R$5,MAX(0,R$3+ROUND((R$9*($L1095-R$5)),0)),IF($L1095&gt;R$4,R$3,ROUND($L1095*R$7,0)))</f>
        <v/>
      </c>
      <c r="H1095" s="448">
        <f>IF($L1095&gt;S$5,MAX(0,S$3+ROUND((S$9*($L1095-S$5)),0)),IF($L1095&gt;S$4,S$3,ROUND($L1095*S$7,0)))</f>
        <v/>
      </c>
      <c r="I1095" s="448">
        <f>IF($L1095&gt;T$5,MAX(0,T$3+ROUND((T$9*($L1095-T$5)),0)),IF($L1095&gt;T$4,T$3,ROUND($L1095*T$7,0)))</f>
        <v/>
      </c>
      <c r="J1095" s="447">
        <f>IF($L1095&gt;U$5,MAX(0,U$3+ROUND((U$9*($L1095-U$5)),0)),IF($L1095&gt;U$4,U$3,ROUND($L1095*U$7,0)))</f>
        <v/>
      </c>
      <c r="K1095" s="422" t="n"/>
      <c r="L1095" s="448">
        <f>ROUND((A1095+B1095)/2,2)</f>
        <v/>
      </c>
    </row>
    <row r="1096" ht="13.5" customHeight="1" s="7635">
      <c r="A1096" s="448" t="n">
        <v>54500</v>
      </c>
      <c r="B1096" s="447" t="n">
        <v>54550</v>
      </c>
      <c r="C1096" s="1378">
        <f>IF($L1096&gt;N$5,MAX(0,N$3+ROUND((N$9*($L1096-N$5)),0)),IF($L1096&gt;N$4,N$3,ROUND($L1096*N$7,0)))</f>
        <v/>
      </c>
      <c r="D1096" s="448">
        <f>IF($L1096&gt;O$5,MAX(0,O$3+ROUND((O$9*($L1096-O$5)),0)),IF($L1096&gt;O$4,O$3,ROUND($L1096*O$7,0)))</f>
        <v/>
      </c>
      <c r="E1096" s="448">
        <f>IF($L1096&gt;P$5,MAX(0,P$3+ROUND((P$9*($L1096-P$5)),0)),IF($L1096&gt;P$4,P$3,ROUND($L1096*P$7,0)))</f>
        <v/>
      </c>
      <c r="F1096" s="447">
        <f>IF($L1096&gt;Q$5,MAX(0,Q$3+ROUND((Q$9*($L1096-Q$5)),0)),IF($L1096&gt;Q$4,Q$3,ROUND($L1096*Q$7,0)))</f>
        <v/>
      </c>
      <c r="G1096" s="1378">
        <f>IF($L1096&gt;R$5,MAX(0,R$3+ROUND((R$9*($L1096-R$5)),0)),IF($L1096&gt;R$4,R$3,ROUND($L1096*R$7,0)))</f>
        <v/>
      </c>
      <c r="H1096" s="448">
        <f>IF($L1096&gt;S$5,MAX(0,S$3+ROUND((S$9*($L1096-S$5)),0)),IF($L1096&gt;S$4,S$3,ROUND($L1096*S$7,0)))</f>
        <v/>
      </c>
      <c r="I1096" s="448">
        <f>IF($L1096&gt;T$5,MAX(0,T$3+ROUND((T$9*($L1096-T$5)),0)),IF($L1096&gt;T$4,T$3,ROUND($L1096*T$7,0)))</f>
        <v/>
      </c>
      <c r="J1096" s="447">
        <f>IF($L1096&gt;U$5,MAX(0,U$3+ROUND((U$9*($L1096-U$5)),0)),IF($L1096&gt;U$4,U$3,ROUND($L1096*U$7,0)))</f>
        <v/>
      </c>
      <c r="K1096" s="422" t="n"/>
      <c r="L1096" s="448">
        <f>ROUND((A1096+B1096)/2,2)</f>
        <v/>
      </c>
    </row>
    <row r="1097" ht="13.5" customHeight="1" s="7635">
      <c r="A1097" s="448" t="n">
        <v>54550</v>
      </c>
      <c r="B1097" s="447" t="n">
        <v>54600</v>
      </c>
      <c r="C1097" s="1378">
        <f>IF($L1097&gt;N$5,MAX(0,N$3+ROUND((N$9*($L1097-N$5)),0)),IF($L1097&gt;N$4,N$3,ROUND($L1097*N$7,0)))</f>
        <v/>
      </c>
      <c r="D1097" s="448">
        <f>IF($L1097&gt;O$5,MAX(0,O$3+ROUND((O$9*($L1097-O$5)),0)),IF($L1097&gt;O$4,O$3,ROUND($L1097*O$7,0)))</f>
        <v/>
      </c>
      <c r="E1097" s="448">
        <f>IF($L1097&gt;P$5,MAX(0,P$3+ROUND((P$9*($L1097-P$5)),0)),IF($L1097&gt;P$4,P$3,ROUND($L1097*P$7,0)))</f>
        <v/>
      </c>
      <c r="F1097" s="447">
        <f>IF($L1097&gt;Q$5,MAX(0,Q$3+ROUND((Q$9*($L1097-Q$5)),0)),IF($L1097&gt;Q$4,Q$3,ROUND($L1097*Q$7,0)))</f>
        <v/>
      </c>
      <c r="G1097" s="1378">
        <f>IF($L1097&gt;R$5,MAX(0,R$3+ROUND((R$9*($L1097-R$5)),0)),IF($L1097&gt;R$4,R$3,ROUND($L1097*R$7,0)))</f>
        <v/>
      </c>
      <c r="H1097" s="448">
        <f>IF($L1097&gt;S$5,MAX(0,S$3+ROUND((S$9*($L1097-S$5)),0)),IF($L1097&gt;S$4,S$3,ROUND($L1097*S$7,0)))</f>
        <v/>
      </c>
      <c r="I1097" s="448">
        <f>IF($L1097&gt;T$5,MAX(0,T$3+ROUND((T$9*($L1097-T$5)),0)),IF($L1097&gt;T$4,T$3,ROUND($L1097*T$7,0)))</f>
        <v/>
      </c>
      <c r="J1097" s="447">
        <f>IF($L1097&gt;U$5,MAX(0,U$3+ROUND((U$9*($L1097-U$5)),0)),IF($L1097&gt;U$4,U$3,ROUND($L1097*U$7,0)))</f>
        <v/>
      </c>
      <c r="K1097" s="422" t="n"/>
      <c r="L1097" s="448">
        <f>ROUND((A1097+B1097)/2,2)</f>
        <v/>
      </c>
    </row>
    <row r="1098" ht="13.5" customHeight="1" s="7635">
      <c r="A1098" s="448" t="n">
        <v>54600</v>
      </c>
      <c r="B1098" s="447" t="n">
        <v>54650</v>
      </c>
      <c r="C1098" s="1378">
        <f>IF($L1098&gt;N$5,MAX(0,N$3+ROUND((N$9*($L1098-N$5)),0)),IF($L1098&gt;N$4,N$3,ROUND($L1098*N$7,0)))</f>
        <v/>
      </c>
      <c r="D1098" s="448">
        <f>IF($L1098&gt;O$5,MAX(0,O$3+ROUND((O$9*($L1098-O$5)),0)),IF($L1098&gt;O$4,O$3,ROUND($L1098*O$7,0)))</f>
        <v/>
      </c>
      <c r="E1098" s="448">
        <f>IF($L1098&gt;P$5,MAX(0,P$3+ROUND((P$9*($L1098-P$5)),0)),IF($L1098&gt;P$4,P$3,ROUND($L1098*P$7,0)))</f>
        <v/>
      </c>
      <c r="F1098" s="447">
        <f>IF($L1098&gt;Q$5,MAX(0,Q$3+ROUND((Q$9*($L1098-Q$5)),0)),IF($L1098&gt;Q$4,Q$3,ROUND($L1098*Q$7,0)))</f>
        <v/>
      </c>
      <c r="G1098" s="1378">
        <f>IF($L1098&gt;R$5,MAX(0,R$3+ROUND((R$9*($L1098-R$5)),0)),IF($L1098&gt;R$4,R$3,ROUND($L1098*R$7,0)))</f>
        <v/>
      </c>
      <c r="H1098" s="448">
        <f>IF($L1098&gt;S$5,MAX(0,S$3+ROUND((S$9*($L1098-S$5)),0)),IF($L1098&gt;S$4,S$3,ROUND($L1098*S$7,0)))</f>
        <v/>
      </c>
      <c r="I1098" s="448">
        <f>IF($L1098&gt;T$5,MAX(0,T$3+ROUND((T$9*($L1098-T$5)),0)),IF($L1098&gt;T$4,T$3,ROUND($L1098*T$7,0)))</f>
        <v/>
      </c>
      <c r="J1098" s="447">
        <f>IF($L1098&gt;U$5,MAX(0,U$3+ROUND((U$9*($L1098-U$5)),0)),IF($L1098&gt;U$4,U$3,ROUND($L1098*U$7,0)))</f>
        <v/>
      </c>
      <c r="K1098" s="422" t="n"/>
      <c r="L1098" s="448">
        <f>ROUND((A1098+B1098)/2,2)</f>
        <v/>
      </c>
    </row>
    <row r="1099" ht="13.5" customHeight="1" s="7635">
      <c r="A1099" s="448" t="n">
        <v>54650</v>
      </c>
      <c r="B1099" s="447" t="n">
        <v>54700</v>
      </c>
      <c r="C1099" s="1378">
        <f>IF($L1099&gt;N$5,MAX(0,N$3+ROUND((N$9*($L1099-N$5)),0)),IF($L1099&gt;N$4,N$3,ROUND($L1099*N$7,0)))</f>
        <v/>
      </c>
      <c r="D1099" s="448">
        <f>IF($L1099&gt;O$5,MAX(0,O$3+ROUND((O$9*($L1099-O$5)),0)),IF($L1099&gt;O$4,O$3,ROUND($L1099*O$7,0)))</f>
        <v/>
      </c>
      <c r="E1099" s="448">
        <f>IF($L1099&gt;P$5,MAX(0,P$3+ROUND((P$9*($L1099-P$5)),0)),IF($L1099&gt;P$4,P$3,ROUND($L1099*P$7,0)))</f>
        <v/>
      </c>
      <c r="F1099" s="447">
        <f>IF($L1099&gt;Q$5,MAX(0,Q$3+ROUND((Q$9*($L1099-Q$5)),0)),IF($L1099&gt;Q$4,Q$3,ROUND($L1099*Q$7,0)))</f>
        <v/>
      </c>
      <c r="G1099" s="1378">
        <f>IF($L1099&gt;R$5,MAX(0,R$3+ROUND((R$9*($L1099-R$5)),0)),IF($L1099&gt;R$4,R$3,ROUND($L1099*R$7,0)))</f>
        <v/>
      </c>
      <c r="H1099" s="448">
        <f>IF($L1099&gt;S$5,MAX(0,S$3+ROUND((S$9*($L1099-S$5)),0)),IF($L1099&gt;S$4,S$3,ROUND($L1099*S$7,0)))</f>
        <v/>
      </c>
      <c r="I1099" s="448">
        <f>IF($L1099&gt;T$5,MAX(0,T$3+ROUND((T$9*($L1099-T$5)),0)),IF($L1099&gt;T$4,T$3,ROUND($L1099*T$7,0)))</f>
        <v/>
      </c>
      <c r="J1099" s="447">
        <f>IF($L1099&gt;U$5,MAX(0,U$3+ROUND((U$9*($L1099-U$5)),0)),IF($L1099&gt;U$4,U$3,ROUND($L1099*U$7,0)))</f>
        <v/>
      </c>
      <c r="K1099" s="422" t="n"/>
      <c r="L1099" s="448">
        <f>ROUND((A1099+B1099)/2,2)</f>
        <v/>
      </c>
    </row>
    <row r="1100" ht="13.5" customHeight="1" s="7635">
      <c r="A1100" s="448" t="n">
        <v>54700</v>
      </c>
      <c r="B1100" s="447" t="n">
        <v>54750</v>
      </c>
      <c r="C1100" s="1378">
        <f>IF($L1100&gt;N$5,MAX(0,N$3+ROUND((N$9*($L1100-N$5)),0)),IF($L1100&gt;N$4,N$3,ROUND($L1100*N$7,0)))</f>
        <v/>
      </c>
      <c r="D1100" s="448">
        <f>IF($L1100&gt;O$5,MAX(0,O$3+ROUND((O$9*($L1100-O$5)),0)),IF($L1100&gt;O$4,O$3,ROUND($L1100*O$7,0)))</f>
        <v/>
      </c>
      <c r="E1100" s="448">
        <f>IF($L1100&gt;P$5,MAX(0,P$3+ROUND((P$9*($L1100-P$5)),0)),IF($L1100&gt;P$4,P$3,ROUND($L1100*P$7,0)))</f>
        <v/>
      </c>
      <c r="F1100" s="447">
        <f>IF($L1100&gt;Q$5,MAX(0,Q$3+ROUND((Q$9*($L1100-Q$5)),0)),IF($L1100&gt;Q$4,Q$3,ROUND($L1100*Q$7,0)))</f>
        <v/>
      </c>
      <c r="G1100" s="1378">
        <f>IF($L1100&gt;R$5,MAX(0,R$3+ROUND((R$9*($L1100-R$5)),0)),IF($L1100&gt;R$4,R$3,ROUND($L1100*R$7,0)))</f>
        <v/>
      </c>
      <c r="H1100" s="448">
        <f>IF($L1100&gt;S$5,MAX(0,S$3+ROUND((S$9*($L1100-S$5)),0)),IF($L1100&gt;S$4,S$3,ROUND($L1100*S$7,0)))</f>
        <v/>
      </c>
      <c r="I1100" s="448">
        <f>IF($L1100&gt;T$5,MAX(0,T$3+ROUND((T$9*($L1100-T$5)),0)),IF($L1100&gt;T$4,T$3,ROUND($L1100*T$7,0)))</f>
        <v/>
      </c>
      <c r="J1100" s="447">
        <f>IF($L1100&gt;U$5,MAX(0,U$3+ROUND((U$9*($L1100-U$5)),0)),IF($L1100&gt;U$4,U$3,ROUND($L1100*U$7,0)))</f>
        <v/>
      </c>
      <c r="K1100" s="422" t="n"/>
      <c r="L1100" s="448">
        <f>ROUND((A1100+B1100)/2,2)</f>
        <v/>
      </c>
    </row>
    <row r="1101" ht="13.5" customHeight="1" s="7635">
      <c r="A1101" s="448" t="n">
        <v>54750</v>
      </c>
      <c r="B1101" s="447" t="n">
        <v>54800</v>
      </c>
      <c r="C1101" s="1378">
        <f>IF($L1101&gt;N$5,MAX(0,N$3+ROUND((N$9*($L1101-N$5)),0)),IF($L1101&gt;N$4,N$3,ROUND($L1101*N$7,0)))</f>
        <v/>
      </c>
      <c r="D1101" s="448">
        <f>IF($L1101&gt;O$5,MAX(0,O$3+ROUND((O$9*($L1101-O$5)),0)),IF($L1101&gt;O$4,O$3,ROUND($L1101*O$7,0)))</f>
        <v/>
      </c>
      <c r="E1101" s="448">
        <f>IF($L1101&gt;P$5,MAX(0,P$3+ROUND((P$9*($L1101-P$5)),0)),IF($L1101&gt;P$4,P$3,ROUND($L1101*P$7,0)))</f>
        <v/>
      </c>
      <c r="F1101" s="447">
        <f>IF($L1101&gt;Q$5,MAX(0,Q$3+ROUND((Q$9*($L1101-Q$5)),0)),IF($L1101&gt;Q$4,Q$3,ROUND($L1101*Q$7,0)))</f>
        <v/>
      </c>
      <c r="G1101" s="1378">
        <f>IF($L1101&gt;R$5,MAX(0,R$3+ROUND((R$9*($L1101-R$5)),0)),IF($L1101&gt;R$4,R$3,ROUND($L1101*R$7,0)))</f>
        <v/>
      </c>
      <c r="H1101" s="448">
        <f>IF($L1101&gt;S$5,MAX(0,S$3+ROUND((S$9*($L1101-S$5)),0)),IF($L1101&gt;S$4,S$3,ROUND($L1101*S$7,0)))</f>
        <v/>
      </c>
      <c r="I1101" s="448">
        <f>IF($L1101&gt;T$5,MAX(0,T$3+ROUND((T$9*($L1101-T$5)),0)),IF($L1101&gt;T$4,T$3,ROUND($L1101*T$7,0)))</f>
        <v/>
      </c>
      <c r="J1101" s="447">
        <f>IF($L1101&gt;U$5,MAX(0,U$3+ROUND((U$9*($L1101-U$5)),0)),IF($L1101&gt;U$4,U$3,ROUND($L1101*U$7,0)))</f>
        <v/>
      </c>
      <c r="K1101" s="422" t="n"/>
      <c r="L1101" s="448">
        <f>ROUND((A1101+B1101)/2,2)</f>
        <v/>
      </c>
    </row>
    <row r="1102" ht="13.5" customHeight="1" s="7635">
      <c r="A1102" s="448" t="n">
        <v>54800</v>
      </c>
      <c r="B1102" s="447" t="n">
        <v>54850</v>
      </c>
      <c r="C1102" s="1378">
        <f>IF($L1102&gt;N$5,MAX(0,N$3+ROUND((N$9*($L1102-N$5)),0)),IF($L1102&gt;N$4,N$3,ROUND($L1102*N$7,0)))</f>
        <v/>
      </c>
      <c r="D1102" s="448">
        <f>IF($L1102&gt;O$5,MAX(0,O$3+ROUND((O$9*($L1102-O$5)),0)),IF($L1102&gt;O$4,O$3,ROUND($L1102*O$7,0)))</f>
        <v/>
      </c>
      <c r="E1102" s="448">
        <f>IF($L1102&gt;P$5,MAX(0,P$3+ROUND((P$9*($L1102-P$5)),0)),IF($L1102&gt;P$4,P$3,ROUND($L1102*P$7,0)))</f>
        <v/>
      </c>
      <c r="F1102" s="447">
        <f>IF($L1102&gt;Q$5,MAX(0,Q$3+ROUND((Q$9*($L1102-Q$5)),0)),IF($L1102&gt;Q$4,Q$3,ROUND($L1102*Q$7,0)))</f>
        <v/>
      </c>
      <c r="G1102" s="1378">
        <f>IF($L1102&gt;R$5,MAX(0,R$3+ROUND((R$9*($L1102-R$5)),0)),IF($L1102&gt;R$4,R$3,ROUND($L1102*R$7,0)))</f>
        <v/>
      </c>
      <c r="H1102" s="448">
        <f>IF($L1102&gt;S$5,MAX(0,S$3+ROUND((S$9*($L1102-S$5)),0)),IF($L1102&gt;S$4,S$3,ROUND($L1102*S$7,0)))</f>
        <v/>
      </c>
      <c r="I1102" s="448">
        <f>IF($L1102&gt;T$5,MAX(0,T$3+ROUND((T$9*($L1102-T$5)),0)),IF($L1102&gt;T$4,T$3,ROUND($L1102*T$7,0)))</f>
        <v/>
      </c>
      <c r="J1102" s="447">
        <f>IF($L1102&gt;U$5,MAX(0,U$3+ROUND((U$9*($L1102-U$5)),0)),IF($L1102&gt;U$4,U$3,ROUND($L1102*U$7,0)))</f>
        <v/>
      </c>
      <c r="K1102" s="422" t="n"/>
      <c r="L1102" s="448">
        <f>ROUND((A1102+B1102)/2,2)</f>
        <v/>
      </c>
    </row>
    <row r="1103" ht="13.5" customHeight="1" s="7635">
      <c r="A1103" s="448" t="n">
        <v>54850</v>
      </c>
      <c r="B1103" s="447" t="n">
        <v>54900</v>
      </c>
      <c r="C1103" s="1378">
        <f>IF($L1103&gt;N$5,MAX(0,N$3+ROUND((N$9*($L1103-N$5)),0)),IF($L1103&gt;N$4,N$3,ROUND($L1103*N$7,0)))</f>
        <v/>
      </c>
      <c r="D1103" s="448">
        <f>IF($L1103&gt;O$5,MAX(0,O$3+ROUND((O$9*($L1103-O$5)),0)),IF($L1103&gt;O$4,O$3,ROUND($L1103*O$7,0)))</f>
        <v/>
      </c>
      <c r="E1103" s="448">
        <f>IF($L1103&gt;P$5,MAX(0,P$3+ROUND((P$9*($L1103-P$5)),0)),IF($L1103&gt;P$4,P$3,ROUND($L1103*P$7,0)))</f>
        <v/>
      </c>
      <c r="F1103" s="447">
        <f>IF($L1103&gt;Q$5,MAX(0,Q$3+ROUND((Q$9*($L1103-Q$5)),0)),IF($L1103&gt;Q$4,Q$3,ROUND($L1103*Q$7,0)))</f>
        <v/>
      </c>
      <c r="G1103" s="1378">
        <f>IF($L1103&gt;R$5,MAX(0,R$3+ROUND((R$9*($L1103-R$5)),0)),IF($L1103&gt;R$4,R$3,ROUND($L1103*R$7,0)))</f>
        <v/>
      </c>
      <c r="H1103" s="448">
        <f>IF($L1103&gt;S$5,MAX(0,S$3+ROUND((S$9*($L1103-S$5)),0)),IF($L1103&gt;S$4,S$3,ROUND($L1103*S$7,0)))</f>
        <v/>
      </c>
      <c r="I1103" s="448">
        <f>IF($L1103&gt;T$5,MAX(0,T$3+ROUND((T$9*($L1103-T$5)),0)),IF($L1103&gt;T$4,T$3,ROUND($L1103*T$7,0)))</f>
        <v/>
      </c>
      <c r="J1103" s="447">
        <f>IF($L1103&gt;U$5,MAX(0,U$3+ROUND((U$9*($L1103-U$5)),0)),IF($L1103&gt;U$4,U$3,ROUND($L1103*U$7,0)))</f>
        <v/>
      </c>
      <c r="K1103" s="422" t="n"/>
      <c r="L1103" s="448">
        <f>ROUND((A1103+B1103)/2,2)</f>
        <v/>
      </c>
    </row>
    <row r="1104" ht="13.5" customHeight="1" s="7635">
      <c r="A1104" s="448" t="n">
        <v>54900</v>
      </c>
      <c r="B1104" s="447" t="n">
        <v>54950</v>
      </c>
      <c r="C1104" s="1378">
        <f>IF($L1104&gt;N$5,MAX(0,N$3+ROUND((N$9*($L1104-N$5)),0)),IF($L1104&gt;N$4,N$3,ROUND($L1104*N$7,0)))</f>
        <v/>
      </c>
      <c r="D1104" s="448">
        <f>IF($L1104&gt;O$5,MAX(0,O$3+ROUND((O$9*($L1104-O$5)),0)),IF($L1104&gt;O$4,O$3,ROUND($L1104*O$7,0)))</f>
        <v/>
      </c>
      <c r="E1104" s="448">
        <f>IF($L1104&gt;P$5,MAX(0,P$3+ROUND((P$9*($L1104-P$5)),0)),IF($L1104&gt;P$4,P$3,ROUND($L1104*P$7,0)))</f>
        <v/>
      </c>
      <c r="F1104" s="447">
        <f>IF($L1104&gt;Q$5,MAX(0,Q$3+ROUND((Q$9*($L1104-Q$5)),0)),IF($L1104&gt;Q$4,Q$3,ROUND($L1104*Q$7,0)))</f>
        <v/>
      </c>
      <c r="G1104" s="1378">
        <f>IF($L1104&gt;R$5,MAX(0,R$3+ROUND((R$9*($L1104-R$5)),0)),IF($L1104&gt;R$4,R$3,ROUND($L1104*R$7,0)))</f>
        <v/>
      </c>
      <c r="H1104" s="448">
        <f>IF($L1104&gt;S$5,MAX(0,S$3+ROUND((S$9*($L1104-S$5)),0)),IF($L1104&gt;S$4,S$3,ROUND($L1104*S$7,0)))</f>
        <v/>
      </c>
      <c r="I1104" s="448">
        <f>IF($L1104&gt;T$5,MAX(0,T$3+ROUND((T$9*($L1104-T$5)),0)),IF($L1104&gt;T$4,T$3,ROUND($L1104*T$7,0)))</f>
        <v/>
      </c>
      <c r="J1104" s="447">
        <f>IF($L1104&gt;U$5,MAX(0,U$3+ROUND((U$9*($L1104-U$5)),0)),IF($L1104&gt;U$4,U$3,ROUND($L1104*U$7,0)))</f>
        <v/>
      </c>
      <c r="K1104" s="422" t="n"/>
      <c r="L1104" s="448">
        <f>ROUND((A1104+B1104)/2,2)</f>
        <v/>
      </c>
    </row>
    <row r="1105" ht="13.5" customHeight="1" s="7635">
      <c r="A1105" s="448" t="n">
        <v>54950</v>
      </c>
      <c r="B1105" s="447" t="n">
        <v>55000</v>
      </c>
      <c r="C1105" s="1378">
        <f>IF($L1105&gt;N$5,MAX(0,N$3+ROUND((N$9*($L1105-N$5)),0)),IF($L1105&gt;N$4,N$3,ROUND($L1105*N$7,0)))</f>
        <v/>
      </c>
      <c r="D1105" s="448">
        <f>IF($L1105&gt;O$5,MAX(0,O$3+ROUND((O$9*($L1105-O$5)),0)),IF($L1105&gt;O$4,O$3,ROUND($L1105*O$7,0)))</f>
        <v/>
      </c>
      <c r="E1105" s="448">
        <f>IF($L1105&gt;P$5,MAX(0,P$3+ROUND((P$9*($L1105-P$5)),0)),IF($L1105&gt;P$4,P$3,ROUND($L1105*P$7,0)))</f>
        <v/>
      </c>
      <c r="F1105" s="447">
        <f>IF($L1105&gt;Q$5,MAX(0,Q$3+ROUND((Q$9*($L1105-Q$5)),0)),IF($L1105&gt;Q$4,Q$3,ROUND($L1105*Q$7,0)))</f>
        <v/>
      </c>
      <c r="G1105" s="1378">
        <f>IF($L1105&gt;R$5,MAX(0,R$3+ROUND((R$9*($L1105-R$5)),0)),IF($L1105&gt;R$4,R$3,ROUND($L1105*R$7,0)))</f>
        <v/>
      </c>
      <c r="H1105" s="448">
        <f>IF($L1105&gt;S$5,MAX(0,S$3+ROUND((S$9*($L1105-S$5)),0)),IF($L1105&gt;S$4,S$3,ROUND($L1105*S$7,0)))</f>
        <v/>
      </c>
      <c r="I1105" s="448">
        <f>IF($L1105&gt;T$5,MAX(0,T$3+ROUND((T$9*($L1105-T$5)),0)),IF($L1105&gt;T$4,T$3,ROUND($L1105*T$7,0)))</f>
        <v/>
      </c>
      <c r="J1105" s="447">
        <f>IF($L1105&gt;U$5,MAX(0,U$3+ROUND((U$9*($L1105-U$5)),0)),IF($L1105&gt;U$4,U$3,ROUND($L1105*U$7,0)))</f>
        <v/>
      </c>
      <c r="K1105" s="422" t="n"/>
      <c r="L1105" s="448">
        <f>ROUND((A1105+B1105)/2,2)</f>
        <v/>
      </c>
    </row>
    <row r="1106" ht="13.5" customHeight="1" s="7635">
      <c r="A1106" s="448" t="n">
        <v>55000</v>
      </c>
      <c r="B1106" s="447" t="n">
        <v>55050</v>
      </c>
      <c r="C1106" s="1378">
        <f>IF($L1106&gt;N$5,MAX(0,N$3+ROUND((N$9*($L1106-N$5)),0)),IF($L1106&gt;N$4,N$3,ROUND($L1106*N$7,0)))</f>
        <v/>
      </c>
      <c r="D1106" s="448">
        <f>IF($L1106&gt;O$5,MAX(0,O$3+ROUND((O$9*($L1106-O$5)),0)),IF($L1106&gt;O$4,O$3,ROUND($L1106*O$7,0)))</f>
        <v/>
      </c>
      <c r="E1106" s="448">
        <f>IF($L1106&gt;P$5,MAX(0,P$3+ROUND((P$9*($L1106-P$5)),0)),IF($L1106&gt;P$4,P$3,ROUND($L1106*P$7,0)))</f>
        <v/>
      </c>
      <c r="F1106" s="447">
        <f>IF($L1106&gt;Q$5,MAX(0,Q$3+ROUND((Q$9*($L1106-Q$5)),0)),IF($L1106&gt;Q$4,Q$3,ROUND($L1106*Q$7,0)))</f>
        <v/>
      </c>
      <c r="G1106" s="1378">
        <f>IF($L1106&gt;R$5,MAX(0,R$3+ROUND((R$9*($L1106-R$5)),0)),IF($L1106&gt;R$4,R$3,ROUND($L1106*R$7,0)))</f>
        <v/>
      </c>
      <c r="H1106" s="448">
        <f>IF($L1106&gt;S$5,MAX(0,S$3+ROUND((S$9*($L1106-S$5)),0)),IF($L1106&gt;S$4,S$3,ROUND($L1106*S$7,0)))</f>
        <v/>
      </c>
      <c r="I1106" s="448">
        <f>IF($L1106&gt;T$5,MAX(0,T$3+ROUND((T$9*($L1106-T$5)),0)),IF($L1106&gt;T$4,T$3,ROUND($L1106*T$7,0)))</f>
        <v/>
      </c>
      <c r="J1106" s="447">
        <f>IF($L1106&gt;U$5,MAX(0,U$3+ROUND((U$9*($L1106-U$5)),0)),IF($L1106&gt;U$4,U$3,ROUND($L1106*U$7,0)))</f>
        <v/>
      </c>
      <c r="K1106" s="422" t="n"/>
      <c r="L1106" s="448">
        <f>ROUND((A1106+B1106)/2,2)</f>
        <v/>
      </c>
    </row>
    <row r="1107" ht="13.5" customHeight="1" s="7635">
      <c r="A1107" s="448" t="n">
        <v>55050</v>
      </c>
      <c r="B1107" s="447" t="n">
        <v>55100</v>
      </c>
      <c r="C1107" s="1378">
        <f>IF($L1107&gt;N$5,MAX(0,N$3+ROUND((N$9*($L1107-N$5)),0)),IF($L1107&gt;N$4,N$3,ROUND($L1107*N$7,0)))</f>
        <v/>
      </c>
      <c r="D1107" s="448">
        <f>IF($L1107&gt;O$5,MAX(0,O$3+ROUND((O$9*($L1107-O$5)),0)),IF($L1107&gt;O$4,O$3,ROUND($L1107*O$7,0)))</f>
        <v/>
      </c>
      <c r="E1107" s="448">
        <f>IF($L1107&gt;P$5,MAX(0,P$3+ROUND((P$9*($L1107-P$5)),0)),IF($L1107&gt;P$4,P$3,ROUND($L1107*P$7,0)))</f>
        <v/>
      </c>
      <c r="F1107" s="447">
        <f>IF($L1107&gt;Q$5,MAX(0,Q$3+ROUND((Q$9*($L1107-Q$5)),0)),IF($L1107&gt;Q$4,Q$3,ROUND($L1107*Q$7,0)))</f>
        <v/>
      </c>
      <c r="G1107" s="1378">
        <f>IF($L1107&gt;R$5,MAX(0,R$3+ROUND((R$9*($L1107-R$5)),0)),IF($L1107&gt;R$4,R$3,ROUND($L1107*R$7,0)))</f>
        <v/>
      </c>
      <c r="H1107" s="448">
        <f>IF($L1107&gt;S$5,MAX(0,S$3+ROUND((S$9*($L1107-S$5)),0)),IF($L1107&gt;S$4,S$3,ROUND($L1107*S$7,0)))</f>
        <v/>
      </c>
      <c r="I1107" s="448">
        <f>IF($L1107&gt;T$5,MAX(0,T$3+ROUND((T$9*($L1107-T$5)),0)),IF($L1107&gt;T$4,T$3,ROUND($L1107*T$7,0)))</f>
        <v/>
      </c>
      <c r="J1107" s="447">
        <f>IF($L1107&gt;U$5,MAX(0,U$3+ROUND((U$9*($L1107-U$5)),0)),IF($L1107&gt;U$4,U$3,ROUND($L1107*U$7,0)))</f>
        <v/>
      </c>
      <c r="K1107" s="422" t="n"/>
      <c r="L1107" s="448">
        <f>ROUND((A1107+B1107)/2,2)</f>
        <v/>
      </c>
    </row>
    <row r="1108" ht="13.5" customHeight="1" s="7635">
      <c r="A1108" s="448" t="n">
        <v>55100</v>
      </c>
      <c r="B1108" s="447" t="n">
        <v>55150</v>
      </c>
      <c r="C1108" s="1378">
        <f>IF($L1108&gt;N$5,MAX(0,N$3+ROUND((N$9*($L1108-N$5)),0)),IF($L1108&gt;N$4,N$3,ROUND($L1108*N$7,0)))</f>
        <v/>
      </c>
      <c r="D1108" s="448">
        <f>IF($L1108&gt;O$5,MAX(0,O$3+ROUND((O$9*($L1108-O$5)),0)),IF($L1108&gt;O$4,O$3,ROUND($L1108*O$7,0)))</f>
        <v/>
      </c>
      <c r="E1108" s="448">
        <f>IF($L1108&gt;P$5,MAX(0,P$3+ROUND((P$9*($L1108-P$5)),0)),IF($L1108&gt;P$4,P$3,ROUND($L1108*P$7,0)))</f>
        <v/>
      </c>
      <c r="F1108" s="447">
        <f>IF($L1108&gt;Q$5,MAX(0,Q$3+ROUND((Q$9*($L1108-Q$5)),0)),IF($L1108&gt;Q$4,Q$3,ROUND($L1108*Q$7,0)))</f>
        <v/>
      </c>
      <c r="G1108" s="1378">
        <f>IF($L1108&gt;R$5,MAX(0,R$3+ROUND((R$9*($L1108-R$5)),0)),IF($L1108&gt;R$4,R$3,ROUND($L1108*R$7,0)))</f>
        <v/>
      </c>
      <c r="H1108" s="448">
        <f>IF($L1108&gt;S$5,MAX(0,S$3+ROUND((S$9*($L1108-S$5)),0)),IF($L1108&gt;S$4,S$3,ROUND($L1108*S$7,0)))</f>
        <v/>
      </c>
      <c r="I1108" s="448">
        <f>IF($L1108&gt;T$5,MAX(0,T$3+ROUND((T$9*($L1108-T$5)),0)),IF($L1108&gt;T$4,T$3,ROUND($L1108*T$7,0)))</f>
        <v/>
      </c>
      <c r="J1108" s="447">
        <f>IF($L1108&gt;U$5,MAX(0,U$3+ROUND((U$9*($L1108-U$5)),0)),IF($L1108&gt;U$4,U$3,ROUND($L1108*U$7,0)))</f>
        <v/>
      </c>
      <c r="K1108" s="422" t="n"/>
      <c r="L1108" s="448">
        <f>ROUND((A1108+B1108)/2,2)</f>
        <v/>
      </c>
    </row>
    <row r="1109" ht="13.5" customHeight="1" s="7635">
      <c r="A1109" s="448" t="n">
        <v>55150</v>
      </c>
      <c r="B1109" s="447" t="n">
        <v>55200</v>
      </c>
      <c r="C1109" s="1378">
        <f>IF($L1109&gt;N$5,MAX(0,N$3+ROUND((N$9*($L1109-N$5)),0)),IF($L1109&gt;N$4,N$3,ROUND($L1109*N$7,0)))</f>
        <v/>
      </c>
      <c r="D1109" s="448">
        <f>IF($L1109&gt;O$5,MAX(0,O$3+ROUND((O$9*($L1109-O$5)),0)),IF($L1109&gt;O$4,O$3,ROUND($L1109*O$7,0)))</f>
        <v/>
      </c>
      <c r="E1109" s="448">
        <f>IF($L1109&gt;P$5,MAX(0,P$3+ROUND((P$9*($L1109-P$5)),0)),IF($L1109&gt;P$4,P$3,ROUND($L1109*P$7,0)))</f>
        <v/>
      </c>
      <c r="F1109" s="447">
        <f>IF($L1109&gt;Q$5,MAX(0,Q$3+ROUND((Q$9*($L1109-Q$5)),0)),IF($L1109&gt;Q$4,Q$3,ROUND($L1109*Q$7,0)))</f>
        <v/>
      </c>
      <c r="G1109" s="1378">
        <f>IF($L1109&gt;R$5,MAX(0,R$3+ROUND((R$9*($L1109-R$5)),0)),IF($L1109&gt;R$4,R$3,ROUND($L1109*R$7,0)))</f>
        <v/>
      </c>
      <c r="H1109" s="448">
        <f>IF($L1109&gt;S$5,MAX(0,S$3+ROUND((S$9*($L1109-S$5)),0)),IF($L1109&gt;S$4,S$3,ROUND($L1109*S$7,0)))</f>
        <v/>
      </c>
      <c r="I1109" s="448">
        <f>IF($L1109&gt;T$5,MAX(0,T$3+ROUND((T$9*($L1109-T$5)),0)),IF($L1109&gt;T$4,T$3,ROUND($L1109*T$7,0)))</f>
        <v/>
      </c>
      <c r="J1109" s="447">
        <f>IF($L1109&gt;U$5,MAX(0,U$3+ROUND((U$9*($L1109-U$5)),0)),IF($L1109&gt;U$4,U$3,ROUND($L1109*U$7,0)))</f>
        <v/>
      </c>
      <c r="K1109" s="422" t="n"/>
      <c r="L1109" s="448">
        <f>ROUND((A1109+B1109)/2,2)</f>
        <v/>
      </c>
    </row>
    <row r="1110" ht="13.5" customHeight="1" s="7635">
      <c r="A1110" s="448" t="n">
        <v>55200</v>
      </c>
      <c r="B1110" s="447" t="n">
        <v>55250</v>
      </c>
      <c r="C1110" s="1378">
        <f>IF($L1110&gt;N$5,MAX(0,N$3+ROUND((N$9*($L1110-N$5)),0)),IF($L1110&gt;N$4,N$3,ROUND($L1110*N$7,0)))</f>
        <v/>
      </c>
      <c r="D1110" s="448">
        <f>IF($L1110&gt;O$5,MAX(0,O$3+ROUND((O$9*($L1110-O$5)),0)),IF($L1110&gt;O$4,O$3,ROUND($L1110*O$7,0)))</f>
        <v/>
      </c>
      <c r="E1110" s="448">
        <f>IF($L1110&gt;P$5,MAX(0,P$3+ROUND((P$9*($L1110-P$5)),0)),IF($L1110&gt;P$4,P$3,ROUND($L1110*P$7,0)))</f>
        <v/>
      </c>
      <c r="F1110" s="447">
        <f>IF($L1110&gt;Q$5,MAX(0,Q$3+ROUND((Q$9*($L1110-Q$5)),0)),IF($L1110&gt;Q$4,Q$3,ROUND($L1110*Q$7,0)))</f>
        <v/>
      </c>
      <c r="G1110" s="1378">
        <f>IF($L1110&gt;R$5,MAX(0,R$3+ROUND((R$9*($L1110-R$5)),0)),IF($L1110&gt;R$4,R$3,ROUND($L1110*R$7,0)))</f>
        <v/>
      </c>
      <c r="H1110" s="448">
        <f>IF($L1110&gt;S$5,MAX(0,S$3+ROUND((S$9*($L1110-S$5)),0)),IF($L1110&gt;S$4,S$3,ROUND($L1110*S$7,0)))</f>
        <v/>
      </c>
      <c r="I1110" s="448">
        <f>IF($L1110&gt;T$5,MAX(0,T$3+ROUND((T$9*($L1110-T$5)),0)),IF($L1110&gt;T$4,T$3,ROUND($L1110*T$7,0)))</f>
        <v/>
      </c>
      <c r="J1110" s="447">
        <f>IF($L1110&gt;U$5,MAX(0,U$3+ROUND((U$9*($L1110-U$5)),0)),IF($L1110&gt;U$4,U$3,ROUND($L1110*U$7,0)))</f>
        <v/>
      </c>
      <c r="K1110" s="422" t="n"/>
      <c r="L1110" s="448">
        <f>ROUND((A1110+B1110)/2,2)</f>
        <v/>
      </c>
    </row>
    <row r="1111" ht="13.5" customHeight="1" s="7635">
      <c r="A1111" s="448" t="n">
        <v>55250</v>
      </c>
      <c r="B1111" s="447" t="n">
        <v>55300</v>
      </c>
      <c r="C1111" s="1378">
        <f>IF($L1111&gt;N$5,MAX(0,N$3+ROUND((N$9*($L1111-N$5)),0)),IF($L1111&gt;N$4,N$3,ROUND($L1111*N$7,0)))</f>
        <v/>
      </c>
      <c r="D1111" s="448">
        <f>IF($L1111&gt;O$5,MAX(0,O$3+ROUND((O$9*($L1111-O$5)),0)),IF($L1111&gt;O$4,O$3,ROUND($L1111*O$7,0)))</f>
        <v/>
      </c>
      <c r="E1111" s="448">
        <f>IF($L1111&gt;P$5,MAX(0,P$3+ROUND((P$9*($L1111-P$5)),0)),IF($L1111&gt;P$4,P$3,ROUND($L1111*P$7,0)))</f>
        <v/>
      </c>
      <c r="F1111" s="447">
        <f>IF($L1111&gt;Q$5,MAX(0,Q$3+ROUND((Q$9*($L1111-Q$5)),0)),IF($L1111&gt;Q$4,Q$3,ROUND($L1111*Q$7,0)))</f>
        <v/>
      </c>
      <c r="G1111" s="1378">
        <f>IF($L1111&gt;R$5,MAX(0,R$3+ROUND((R$9*($L1111-R$5)),0)),IF($L1111&gt;R$4,R$3,ROUND($L1111*R$7,0)))</f>
        <v/>
      </c>
      <c r="H1111" s="448">
        <f>IF($L1111&gt;S$5,MAX(0,S$3+ROUND((S$9*($L1111-S$5)),0)),IF($L1111&gt;S$4,S$3,ROUND($L1111*S$7,0)))</f>
        <v/>
      </c>
      <c r="I1111" s="448">
        <f>IF($L1111&gt;T$5,MAX(0,T$3+ROUND((T$9*($L1111-T$5)),0)),IF($L1111&gt;T$4,T$3,ROUND($L1111*T$7,0)))</f>
        <v/>
      </c>
      <c r="J1111" s="447">
        <f>IF($L1111&gt;U$5,MAX(0,U$3+ROUND((U$9*($L1111-U$5)),0)),IF($L1111&gt;U$4,U$3,ROUND($L1111*U$7,0)))</f>
        <v/>
      </c>
      <c r="K1111" s="422" t="n"/>
      <c r="L1111" s="448">
        <f>ROUND((A1111+B1111)/2,2)</f>
        <v/>
      </c>
    </row>
    <row r="1112" ht="13.5" customHeight="1" s="7635">
      <c r="A1112" s="448" t="n">
        <v>55300</v>
      </c>
      <c r="B1112" s="447" t="n">
        <v>55350</v>
      </c>
      <c r="C1112" s="1378">
        <f>IF($L1112&gt;N$5,MAX(0,N$3+ROUND((N$9*($L1112-N$5)),0)),IF($L1112&gt;N$4,N$3,ROUND($L1112*N$7,0)))</f>
        <v/>
      </c>
      <c r="D1112" s="448">
        <f>IF($L1112&gt;O$5,MAX(0,O$3+ROUND((O$9*($L1112-O$5)),0)),IF($L1112&gt;O$4,O$3,ROUND($L1112*O$7,0)))</f>
        <v/>
      </c>
      <c r="E1112" s="448">
        <f>IF($L1112&gt;P$5,MAX(0,P$3+ROUND((P$9*($L1112-P$5)),0)),IF($L1112&gt;P$4,P$3,ROUND($L1112*P$7,0)))</f>
        <v/>
      </c>
      <c r="F1112" s="447">
        <f>IF($L1112&gt;Q$5,MAX(0,Q$3+ROUND((Q$9*($L1112-Q$5)),0)),IF($L1112&gt;Q$4,Q$3,ROUND($L1112*Q$7,0)))</f>
        <v/>
      </c>
      <c r="G1112" s="1378">
        <f>IF($L1112&gt;R$5,MAX(0,R$3+ROUND((R$9*($L1112-R$5)),0)),IF($L1112&gt;R$4,R$3,ROUND($L1112*R$7,0)))</f>
        <v/>
      </c>
      <c r="H1112" s="448">
        <f>IF($L1112&gt;S$5,MAX(0,S$3+ROUND((S$9*($L1112-S$5)),0)),IF($L1112&gt;S$4,S$3,ROUND($L1112*S$7,0)))</f>
        <v/>
      </c>
      <c r="I1112" s="448">
        <f>IF($L1112&gt;T$5,MAX(0,T$3+ROUND((T$9*($L1112-T$5)),0)),IF($L1112&gt;T$4,T$3,ROUND($L1112*T$7,0)))</f>
        <v/>
      </c>
      <c r="J1112" s="447">
        <f>IF($L1112&gt;U$5,MAX(0,U$3+ROUND((U$9*($L1112-U$5)),0)),IF($L1112&gt;U$4,U$3,ROUND($L1112*U$7,0)))</f>
        <v/>
      </c>
      <c r="K1112" s="422" t="n"/>
      <c r="L1112" s="448">
        <f>ROUND((A1112+B1112)/2,2)</f>
        <v/>
      </c>
    </row>
    <row r="1113" ht="13.5" customHeight="1" s="7635">
      <c r="A1113" s="448" t="n">
        <v>55350</v>
      </c>
      <c r="B1113" s="447" t="n">
        <v>55400</v>
      </c>
      <c r="C1113" s="1378">
        <f>IF($L1113&gt;N$5,MAX(0,N$3+ROUND((N$9*($L1113-N$5)),0)),IF($L1113&gt;N$4,N$3,ROUND($L1113*N$7,0)))</f>
        <v/>
      </c>
      <c r="D1113" s="448">
        <f>IF($L1113&gt;O$5,MAX(0,O$3+ROUND((O$9*($L1113-O$5)),0)),IF($L1113&gt;O$4,O$3,ROUND($L1113*O$7,0)))</f>
        <v/>
      </c>
      <c r="E1113" s="448">
        <f>IF($L1113&gt;P$5,MAX(0,P$3+ROUND((P$9*($L1113-P$5)),0)),IF($L1113&gt;P$4,P$3,ROUND($L1113*P$7,0)))</f>
        <v/>
      </c>
      <c r="F1113" s="447">
        <f>IF($L1113&gt;Q$5,MAX(0,Q$3+ROUND((Q$9*($L1113-Q$5)),0)),IF($L1113&gt;Q$4,Q$3,ROUND($L1113*Q$7,0)))</f>
        <v/>
      </c>
      <c r="G1113" s="1378">
        <f>IF($L1113&gt;R$5,MAX(0,R$3+ROUND((R$9*($L1113-R$5)),0)),IF($L1113&gt;R$4,R$3,ROUND($L1113*R$7,0)))</f>
        <v/>
      </c>
      <c r="H1113" s="448">
        <f>IF($L1113&gt;S$5,MAX(0,S$3+ROUND((S$9*($L1113-S$5)),0)),IF($L1113&gt;S$4,S$3,ROUND($L1113*S$7,0)))</f>
        <v/>
      </c>
      <c r="I1113" s="448">
        <f>IF($L1113&gt;T$5,MAX(0,T$3+ROUND((T$9*($L1113-T$5)),0)),IF($L1113&gt;T$4,T$3,ROUND($L1113*T$7,0)))</f>
        <v/>
      </c>
      <c r="J1113" s="447">
        <f>IF($L1113&gt;U$5,MAX(0,U$3+ROUND((U$9*($L1113-U$5)),0)),IF($L1113&gt;U$4,U$3,ROUND($L1113*U$7,0)))</f>
        <v/>
      </c>
      <c r="K1113" s="422" t="n"/>
      <c r="L1113" s="448">
        <f>ROUND((A1113+B1113)/2,2)</f>
        <v/>
      </c>
    </row>
    <row r="1114" ht="13.5" customHeight="1" s="7635">
      <c r="A1114" s="448" t="n">
        <v>55400</v>
      </c>
      <c r="B1114" s="447" t="n">
        <v>55450</v>
      </c>
      <c r="C1114" s="1378">
        <f>IF($L1114&gt;N$5,MAX(0,N$3+ROUND((N$9*($L1114-N$5)),0)),IF($L1114&gt;N$4,N$3,ROUND($L1114*N$7,0)))</f>
        <v/>
      </c>
      <c r="D1114" s="448">
        <f>IF($L1114&gt;O$5,MAX(0,O$3+ROUND((O$9*($L1114-O$5)),0)),IF($L1114&gt;O$4,O$3,ROUND($L1114*O$7,0)))</f>
        <v/>
      </c>
      <c r="E1114" s="448">
        <f>IF($L1114&gt;P$5,MAX(0,P$3+ROUND((P$9*($L1114-P$5)),0)),IF($L1114&gt;P$4,P$3,ROUND($L1114*P$7,0)))</f>
        <v/>
      </c>
      <c r="F1114" s="447">
        <f>IF($L1114&gt;Q$5,MAX(0,Q$3+ROUND((Q$9*($L1114-Q$5)),0)),IF($L1114&gt;Q$4,Q$3,ROUND($L1114*Q$7,0)))</f>
        <v/>
      </c>
      <c r="G1114" s="1378">
        <f>IF($L1114&gt;R$5,MAX(0,R$3+ROUND((R$9*($L1114-R$5)),0)),IF($L1114&gt;R$4,R$3,ROUND($L1114*R$7,0)))</f>
        <v/>
      </c>
      <c r="H1114" s="448">
        <f>IF($L1114&gt;S$5,MAX(0,S$3+ROUND((S$9*($L1114-S$5)),0)),IF($L1114&gt;S$4,S$3,ROUND($L1114*S$7,0)))</f>
        <v/>
      </c>
      <c r="I1114" s="448">
        <f>IF($L1114&gt;T$5,MAX(0,T$3+ROUND((T$9*($L1114-T$5)),0)),IF($L1114&gt;T$4,T$3,ROUND($L1114*T$7,0)))</f>
        <v/>
      </c>
      <c r="J1114" s="447">
        <f>IF($L1114&gt;U$5,MAX(0,U$3+ROUND((U$9*($L1114-U$5)),0)),IF($L1114&gt;U$4,U$3,ROUND($L1114*U$7,0)))</f>
        <v/>
      </c>
      <c r="K1114" s="422" t="n"/>
      <c r="L1114" s="448">
        <f>ROUND((A1114+B1114)/2,2)</f>
        <v/>
      </c>
    </row>
    <row r="1115" ht="13.5" customHeight="1" s="7635">
      <c r="A1115" s="448" t="n">
        <v>55450</v>
      </c>
      <c r="B1115" s="447" t="n">
        <v>55500</v>
      </c>
      <c r="C1115" s="1378">
        <f>IF($L1115&gt;N$5,MAX(0,N$3+ROUND((N$9*($L1115-N$5)),0)),IF($L1115&gt;N$4,N$3,ROUND($L1115*N$7,0)))</f>
        <v/>
      </c>
      <c r="D1115" s="448">
        <f>IF($L1115&gt;O$5,MAX(0,O$3+ROUND((O$9*($L1115-O$5)),0)),IF($L1115&gt;O$4,O$3,ROUND($L1115*O$7,0)))</f>
        <v/>
      </c>
      <c r="E1115" s="448">
        <f>IF($L1115&gt;P$5,MAX(0,P$3+ROUND((P$9*($L1115-P$5)),0)),IF($L1115&gt;P$4,P$3,ROUND($L1115*P$7,0)))</f>
        <v/>
      </c>
      <c r="F1115" s="447">
        <f>IF($L1115&gt;Q$5,MAX(0,Q$3+ROUND((Q$9*($L1115-Q$5)),0)),IF($L1115&gt;Q$4,Q$3,ROUND($L1115*Q$7,0)))</f>
        <v/>
      </c>
      <c r="G1115" s="1378">
        <f>IF($L1115&gt;R$5,MAX(0,R$3+ROUND((R$9*($L1115-R$5)),0)),IF($L1115&gt;R$4,R$3,ROUND($L1115*R$7,0)))</f>
        <v/>
      </c>
      <c r="H1115" s="448">
        <f>IF($L1115&gt;S$5,MAX(0,S$3+ROUND((S$9*($L1115-S$5)),0)),IF($L1115&gt;S$4,S$3,ROUND($L1115*S$7,0)))</f>
        <v/>
      </c>
      <c r="I1115" s="448">
        <f>IF($L1115&gt;T$5,MAX(0,T$3+ROUND((T$9*($L1115-T$5)),0)),IF($L1115&gt;T$4,T$3,ROUND($L1115*T$7,0)))</f>
        <v/>
      </c>
      <c r="J1115" s="447">
        <f>IF($L1115&gt;U$5,MAX(0,U$3+ROUND((U$9*($L1115-U$5)),0)),IF($L1115&gt;U$4,U$3,ROUND($L1115*U$7,0)))</f>
        <v/>
      </c>
      <c r="K1115" s="422" t="n"/>
      <c r="L1115" s="448">
        <f>ROUND((A1115+B1115)/2,2)</f>
        <v/>
      </c>
    </row>
    <row r="1116" ht="13.5" customHeight="1" s="7635">
      <c r="A1116" s="448" t="n">
        <v>55500</v>
      </c>
      <c r="B1116" s="447" t="n">
        <v>55550</v>
      </c>
      <c r="C1116" s="1378">
        <f>IF($L1116&gt;N$5,MAX(0,N$3+ROUND((N$9*($L1116-N$5)),0)),IF($L1116&gt;N$4,N$3,ROUND($L1116*N$7,0)))</f>
        <v/>
      </c>
      <c r="D1116" s="448">
        <f>IF($L1116&gt;O$5,MAX(0,O$3+ROUND((O$9*($L1116-O$5)),0)),IF($L1116&gt;O$4,O$3,ROUND($L1116*O$7,0)))</f>
        <v/>
      </c>
      <c r="E1116" s="448">
        <f>IF($L1116&gt;P$5,MAX(0,P$3+ROUND((P$9*($L1116-P$5)),0)),IF($L1116&gt;P$4,P$3,ROUND($L1116*P$7,0)))</f>
        <v/>
      </c>
      <c r="F1116" s="447">
        <f>IF($L1116&gt;Q$5,MAX(0,Q$3+ROUND((Q$9*($L1116-Q$5)),0)),IF($L1116&gt;Q$4,Q$3,ROUND($L1116*Q$7,0)))</f>
        <v/>
      </c>
      <c r="G1116" s="1378">
        <f>IF($L1116&gt;R$5,MAX(0,R$3+ROUND((R$9*($L1116-R$5)),0)),IF($L1116&gt;R$4,R$3,ROUND($L1116*R$7,0)))</f>
        <v/>
      </c>
      <c r="H1116" s="448">
        <f>IF($L1116&gt;S$5,MAX(0,S$3+ROUND((S$9*($L1116-S$5)),0)),IF($L1116&gt;S$4,S$3,ROUND($L1116*S$7,0)))</f>
        <v/>
      </c>
      <c r="I1116" s="448">
        <f>IF($L1116&gt;T$5,MAX(0,T$3+ROUND((T$9*($L1116-T$5)),0)),IF($L1116&gt;T$4,T$3,ROUND($L1116*T$7,0)))</f>
        <v/>
      </c>
      <c r="J1116" s="447">
        <f>IF($L1116&gt;U$5,MAX(0,U$3+ROUND((U$9*($L1116-U$5)),0)),IF($L1116&gt;U$4,U$3,ROUND($L1116*U$7,0)))</f>
        <v/>
      </c>
      <c r="K1116" s="422" t="n"/>
      <c r="L1116" s="448">
        <f>ROUND((A1116+B1116)/2,2)</f>
        <v/>
      </c>
    </row>
    <row r="1117" ht="13.5" customHeight="1" s="7635">
      <c r="A1117" s="448" t="n">
        <v>55550</v>
      </c>
      <c r="B1117" s="447" t="n">
        <v>55600</v>
      </c>
      <c r="C1117" s="1378">
        <f>IF($L1117&gt;N$5,MAX(0,N$3+ROUND((N$9*($L1117-N$5)),0)),IF($L1117&gt;N$4,N$3,ROUND($L1117*N$7,0)))</f>
        <v/>
      </c>
      <c r="D1117" s="448">
        <f>IF($L1117&gt;O$5,MAX(0,O$3+ROUND((O$9*($L1117-O$5)),0)),IF($L1117&gt;O$4,O$3,ROUND($L1117*O$7,0)))</f>
        <v/>
      </c>
      <c r="E1117" s="448">
        <f>IF($L1117&gt;P$5,MAX(0,P$3+ROUND((P$9*($L1117-P$5)),0)),IF($L1117&gt;P$4,P$3,ROUND($L1117*P$7,0)))</f>
        <v/>
      </c>
      <c r="F1117" s="447">
        <f>IF($L1117&gt;Q$5,MAX(0,Q$3+ROUND((Q$9*($L1117-Q$5)),0)),IF($L1117&gt;Q$4,Q$3,ROUND($L1117*Q$7,0)))</f>
        <v/>
      </c>
      <c r="G1117" s="1378">
        <f>IF($L1117&gt;R$5,MAX(0,R$3+ROUND((R$9*($L1117-R$5)),0)),IF($L1117&gt;R$4,R$3,ROUND($L1117*R$7,0)))</f>
        <v/>
      </c>
      <c r="H1117" s="448">
        <f>IF($L1117&gt;S$5,MAX(0,S$3+ROUND((S$9*($L1117-S$5)),0)),IF($L1117&gt;S$4,S$3,ROUND($L1117*S$7,0)))</f>
        <v/>
      </c>
      <c r="I1117" s="448">
        <f>IF($L1117&gt;T$5,MAX(0,T$3+ROUND((T$9*($L1117-T$5)),0)),IF($L1117&gt;T$4,T$3,ROUND($L1117*T$7,0)))</f>
        <v/>
      </c>
      <c r="J1117" s="447">
        <f>IF($L1117&gt;U$5,MAX(0,U$3+ROUND((U$9*($L1117-U$5)),0)),IF($L1117&gt;U$4,U$3,ROUND($L1117*U$7,0)))</f>
        <v/>
      </c>
      <c r="K1117" s="422" t="n"/>
      <c r="L1117" s="448">
        <f>ROUND((A1117+B1117)/2,2)</f>
        <v/>
      </c>
    </row>
    <row r="1118" ht="13.5" customHeight="1" s="7635">
      <c r="A1118" s="448" t="n">
        <v>55600</v>
      </c>
      <c r="B1118" s="447" t="n">
        <v>55650</v>
      </c>
      <c r="C1118" s="1378">
        <f>IF($L1118&gt;N$5,MAX(0,N$3+ROUND((N$9*($L1118-N$5)),0)),IF($L1118&gt;N$4,N$3,ROUND($L1118*N$7,0)))</f>
        <v/>
      </c>
      <c r="D1118" s="448">
        <f>IF($L1118&gt;O$5,MAX(0,O$3+ROUND((O$9*($L1118-O$5)),0)),IF($L1118&gt;O$4,O$3,ROUND($L1118*O$7,0)))</f>
        <v/>
      </c>
      <c r="E1118" s="448">
        <f>IF($L1118&gt;P$5,MAX(0,P$3+ROUND((P$9*($L1118-P$5)),0)),IF($L1118&gt;P$4,P$3,ROUND($L1118*P$7,0)))</f>
        <v/>
      </c>
      <c r="F1118" s="447">
        <f>IF($L1118&gt;Q$5,MAX(0,Q$3+ROUND((Q$9*($L1118-Q$5)),0)),IF($L1118&gt;Q$4,Q$3,ROUND($L1118*Q$7,0)))</f>
        <v/>
      </c>
      <c r="G1118" s="1378">
        <f>IF($L1118&gt;R$5,MAX(0,R$3+ROUND((R$9*($L1118-R$5)),0)),IF($L1118&gt;R$4,R$3,ROUND($L1118*R$7,0)))</f>
        <v/>
      </c>
      <c r="H1118" s="448">
        <f>IF($L1118&gt;S$5,MAX(0,S$3+ROUND((S$9*($L1118-S$5)),0)),IF($L1118&gt;S$4,S$3,ROUND($L1118*S$7,0)))</f>
        <v/>
      </c>
      <c r="I1118" s="448">
        <f>IF($L1118&gt;T$5,MAX(0,T$3+ROUND((T$9*($L1118-T$5)),0)),IF($L1118&gt;T$4,T$3,ROUND($L1118*T$7,0)))</f>
        <v/>
      </c>
      <c r="J1118" s="447">
        <f>IF($L1118&gt;U$5,MAX(0,U$3+ROUND((U$9*($L1118-U$5)),0)),IF($L1118&gt;U$4,U$3,ROUND($L1118*U$7,0)))</f>
        <v/>
      </c>
      <c r="K1118" s="422" t="n"/>
      <c r="L1118" s="448">
        <f>ROUND((A1118+B1118)/2,2)</f>
        <v/>
      </c>
    </row>
    <row r="1119" ht="13.5" customHeight="1" s="7635">
      <c r="A1119" s="448" t="n">
        <v>55650</v>
      </c>
      <c r="B1119" s="447" t="n">
        <v>55700</v>
      </c>
      <c r="C1119" s="1378">
        <f>IF($L1119&gt;N$5,MAX(0,N$3+ROUND((N$9*($L1119-N$5)),0)),IF($L1119&gt;N$4,N$3,ROUND($L1119*N$7,0)))</f>
        <v/>
      </c>
      <c r="D1119" s="448">
        <f>IF($L1119&gt;O$5,MAX(0,O$3+ROUND((O$9*($L1119-O$5)),0)),IF($L1119&gt;O$4,O$3,ROUND($L1119*O$7,0)))</f>
        <v/>
      </c>
      <c r="E1119" s="448">
        <f>IF($L1119&gt;P$5,MAX(0,P$3+ROUND((P$9*($L1119-P$5)),0)),IF($L1119&gt;P$4,P$3,ROUND($L1119*P$7,0)))</f>
        <v/>
      </c>
      <c r="F1119" s="447">
        <f>IF($L1119&gt;Q$5,MAX(0,Q$3+ROUND((Q$9*($L1119-Q$5)),0)),IF($L1119&gt;Q$4,Q$3,ROUND($L1119*Q$7,0)))</f>
        <v/>
      </c>
      <c r="G1119" s="1378">
        <f>IF($L1119&gt;R$5,MAX(0,R$3+ROUND((R$9*($L1119-R$5)),0)),IF($L1119&gt;R$4,R$3,ROUND($L1119*R$7,0)))</f>
        <v/>
      </c>
      <c r="H1119" s="448">
        <f>IF($L1119&gt;S$5,MAX(0,S$3+ROUND((S$9*($L1119-S$5)),0)),IF($L1119&gt;S$4,S$3,ROUND($L1119*S$7,0)))</f>
        <v/>
      </c>
      <c r="I1119" s="448">
        <f>IF($L1119&gt;T$5,MAX(0,T$3+ROUND((T$9*($L1119-T$5)),0)),IF($L1119&gt;T$4,T$3,ROUND($L1119*T$7,0)))</f>
        <v/>
      </c>
      <c r="J1119" s="447">
        <f>IF($L1119&gt;U$5,MAX(0,U$3+ROUND((U$9*($L1119-U$5)),0)),IF($L1119&gt;U$4,U$3,ROUND($L1119*U$7,0)))</f>
        <v/>
      </c>
      <c r="K1119" s="422" t="n"/>
      <c r="L1119" s="448">
        <f>ROUND((A1119+B1119)/2,2)</f>
        <v/>
      </c>
    </row>
    <row r="1120" ht="13.5" customHeight="1" s="7635">
      <c r="A1120" s="448" t="n">
        <v>55700</v>
      </c>
      <c r="B1120" s="447" t="n">
        <v>55750</v>
      </c>
      <c r="C1120" s="1378">
        <f>IF($L1120&gt;N$5,MAX(0,N$3+ROUND((N$9*($L1120-N$5)),0)),IF($L1120&gt;N$4,N$3,ROUND($L1120*N$7,0)))</f>
        <v/>
      </c>
      <c r="D1120" s="448">
        <f>IF($L1120&gt;O$5,MAX(0,O$3+ROUND((O$9*($L1120-O$5)),0)),IF($L1120&gt;O$4,O$3,ROUND($L1120*O$7,0)))</f>
        <v/>
      </c>
      <c r="E1120" s="448">
        <f>IF($L1120&gt;P$5,MAX(0,P$3+ROUND((P$9*($L1120-P$5)),0)),IF($L1120&gt;P$4,P$3,ROUND($L1120*P$7,0)))</f>
        <v/>
      </c>
      <c r="F1120" s="447">
        <f>IF($L1120&gt;Q$5,MAX(0,Q$3+ROUND((Q$9*($L1120-Q$5)),0)),IF($L1120&gt;Q$4,Q$3,ROUND($L1120*Q$7,0)))</f>
        <v/>
      </c>
      <c r="G1120" s="1378">
        <f>IF($L1120&gt;R$5,MAX(0,R$3+ROUND((R$9*($L1120-R$5)),0)),IF($L1120&gt;R$4,R$3,ROUND($L1120*R$7,0)))</f>
        <v/>
      </c>
      <c r="H1120" s="448">
        <f>IF($L1120&gt;S$5,MAX(0,S$3+ROUND((S$9*($L1120-S$5)),0)),IF($L1120&gt;S$4,S$3,ROUND($L1120*S$7,0)))</f>
        <v/>
      </c>
      <c r="I1120" s="448">
        <f>IF($L1120&gt;T$5,MAX(0,T$3+ROUND((T$9*($L1120-T$5)),0)),IF($L1120&gt;T$4,T$3,ROUND($L1120*T$7,0)))</f>
        <v/>
      </c>
      <c r="J1120" s="447">
        <f>IF($L1120&gt;U$5,MAX(0,U$3+ROUND((U$9*($L1120-U$5)),0)),IF($L1120&gt;U$4,U$3,ROUND($L1120*U$7,0)))</f>
        <v/>
      </c>
      <c r="K1120" s="422" t="n"/>
      <c r="L1120" s="448">
        <f>ROUND((A1120+B1120)/2,2)</f>
        <v/>
      </c>
    </row>
    <row r="1121" ht="13.5" customHeight="1" s="7635">
      <c r="A1121" s="448" t="n">
        <v>55750</v>
      </c>
      <c r="B1121" s="447" t="n">
        <v>55800</v>
      </c>
      <c r="C1121" s="1378">
        <f>IF($L1121&gt;N$5,MAX(0,N$3+ROUND((N$9*($L1121-N$5)),0)),IF($L1121&gt;N$4,N$3,ROUND($L1121*N$7,0)))</f>
        <v/>
      </c>
      <c r="D1121" s="448">
        <f>IF($L1121&gt;O$5,MAX(0,O$3+ROUND((O$9*($L1121-O$5)),0)),IF($L1121&gt;O$4,O$3,ROUND($L1121*O$7,0)))</f>
        <v/>
      </c>
      <c r="E1121" s="448">
        <f>IF($L1121&gt;P$5,MAX(0,P$3+ROUND((P$9*($L1121-P$5)),0)),IF($L1121&gt;P$4,P$3,ROUND($L1121*P$7,0)))</f>
        <v/>
      </c>
      <c r="F1121" s="447">
        <f>IF($L1121&gt;Q$5,MAX(0,Q$3+ROUND((Q$9*($L1121-Q$5)),0)),IF($L1121&gt;Q$4,Q$3,ROUND($L1121*Q$7,0)))</f>
        <v/>
      </c>
      <c r="G1121" s="1378">
        <f>IF($L1121&gt;R$5,MAX(0,R$3+ROUND((R$9*($L1121-R$5)),0)),IF($L1121&gt;R$4,R$3,ROUND($L1121*R$7,0)))</f>
        <v/>
      </c>
      <c r="H1121" s="448">
        <f>IF($L1121&gt;S$5,MAX(0,S$3+ROUND((S$9*($L1121-S$5)),0)),IF($L1121&gt;S$4,S$3,ROUND($L1121*S$7,0)))</f>
        <v/>
      </c>
      <c r="I1121" s="448">
        <f>IF($L1121&gt;T$5,MAX(0,T$3+ROUND((T$9*($L1121-T$5)),0)),IF($L1121&gt;T$4,T$3,ROUND($L1121*T$7,0)))</f>
        <v/>
      </c>
      <c r="J1121" s="447">
        <f>IF($L1121&gt;U$5,MAX(0,U$3+ROUND((U$9*($L1121-U$5)),0)),IF($L1121&gt;U$4,U$3,ROUND($L1121*U$7,0)))</f>
        <v/>
      </c>
      <c r="K1121" s="422" t="n"/>
      <c r="L1121" s="448">
        <f>ROUND((A1121+B1121)/2,2)</f>
        <v/>
      </c>
    </row>
    <row r="1122" ht="13.5" customHeight="1" s="7635">
      <c r="A1122" s="448" t="n">
        <v>55800</v>
      </c>
      <c r="B1122" s="447" t="n">
        <v>55850</v>
      </c>
      <c r="C1122" s="1378">
        <f>IF($L1122&gt;N$5,MAX(0,N$3+ROUND((N$9*($L1122-N$5)),0)),IF($L1122&gt;N$4,N$3,ROUND($L1122*N$7,0)))</f>
        <v/>
      </c>
      <c r="D1122" s="448">
        <f>IF($L1122&gt;O$5,MAX(0,O$3+ROUND((O$9*($L1122-O$5)),0)),IF($L1122&gt;O$4,O$3,ROUND($L1122*O$7,0)))</f>
        <v/>
      </c>
      <c r="E1122" s="448">
        <f>IF($L1122&gt;P$5,MAX(0,P$3+ROUND((P$9*($L1122-P$5)),0)),IF($L1122&gt;P$4,P$3,ROUND($L1122*P$7,0)))</f>
        <v/>
      </c>
      <c r="F1122" s="447">
        <f>IF($L1122&gt;Q$5,MAX(0,Q$3+ROUND((Q$9*($L1122-Q$5)),0)),IF($L1122&gt;Q$4,Q$3,ROUND($L1122*Q$7,0)))</f>
        <v/>
      </c>
      <c r="G1122" s="1378">
        <f>IF($L1122&gt;R$5,MAX(0,R$3+ROUND((R$9*($L1122-R$5)),0)),IF($L1122&gt;R$4,R$3,ROUND($L1122*R$7,0)))</f>
        <v/>
      </c>
      <c r="H1122" s="448">
        <f>IF($L1122&gt;S$5,MAX(0,S$3+ROUND((S$9*($L1122-S$5)),0)),IF($L1122&gt;S$4,S$3,ROUND($L1122*S$7,0)))</f>
        <v/>
      </c>
      <c r="I1122" s="448">
        <f>IF($L1122&gt;T$5,MAX(0,T$3+ROUND((T$9*($L1122-T$5)),0)),IF($L1122&gt;T$4,T$3,ROUND($L1122*T$7,0)))</f>
        <v/>
      </c>
      <c r="J1122" s="447">
        <f>IF($L1122&gt;U$5,MAX(0,U$3+ROUND((U$9*($L1122-U$5)),0)),IF($L1122&gt;U$4,U$3,ROUND($L1122*U$7,0)))</f>
        <v/>
      </c>
      <c r="K1122" s="422" t="n"/>
      <c r="L1122" s="448">
        <f>ROUND((A1122+B1122)/2,2)</f>
        <v/>
      </c>
    </row>
    <row r="1123" ht="13.5" customHeight="1" s="7635">
      <c r="A1123" s="448" t="n">
        <v>55850</v>
      </c>
      <c r="B1123" s="447" t="n">
        <v>55900</v>
      </c>
      <c r="C1123" s="1378">
        <f>IF($L1123&gt;N$5,MAX(0,N$3+ROUND((N$9*($L1123-N$5)),0)),IF($L1123&gt;N$4,N$3,ROUND($L1123*N$7,0)))</f>
        <v/>
      </c>
      <c r="D1123" s="448">
        <f>IF($L1123&gt;O$5,MAX(0,O$3+ROUND((O$9*($L1123-O$5)),0)),IF($L1123&gt;O$4,O$3,ROUND($L1123*O$7,0)))</f>
        <v/>
      </c>
      <c r="E1123" s="448">
        <f>IF($L1123&gt;P$5,MAX(0,P$3+ROUND((P$9*($L1123-P$5)),0)),IF($L1123&gt;P$4,P$3,ROUND($L1123*P$7,0)))</f>
        <v/>
      </c>
      <c r="F1123" s="447">
        <f>IF($L1123&gt;Q$5,MAX(0,Q$3+ROUND((Q$9*($L1123-Q$5)),0)),IF($L1123&gt;Q$4,Q$3,ROUND($L1123*Q$7,0)))</f>
        <v/>
      </c>
      <c r="G1123" s="1378">
        <f>IF($L1123&gt;R$5,MAX(0,R$3+ROUND((R$9*($L1123-R$5)),0)),IF($L1123&gt;R$4,R$3,ROUND($L1123*R$7,0)))</f>
        <v/>
      </c>
      <c r="H1123" s="448">
        <f>IF($L1123&gt;S$5,MAX(0,S$3+ROUND((S$9*($L1123-S$5)),0)),IF($L1123&gt;S$4,S$3,ROUND($L1123*S$7,0)))</f>
        <v/>
      </c>
      <c r="I1123" s="448">
        <f>IF($L1123&gt;T$5,MAX(0,T$3+ROUND((T$9*($L1123-T$5)),0)),IF($L1123&gt;T$4,T$3,ROUND($L1123*T$7,0)))</f>
        <v/>
      </c>
      <c r="J1123" s="447">
        <f>IF($L1123&gt;U$5,MAX(0,U$3+ROUND((U$9*($L1123-U$5)),0)),IF($L1123&gt;U$4,U$3,ROUND($L1123*U$7,0)))</f>
        <v/>
      </c>
      <c r="K1123" s="422" t="n"/>
      <c r="L1123" s="448">
        <f>ROUND((A1123+B1123)/2,2)</f>
        <v/>
      </c>
    </row>
    <row r="1124" ht="13.5" customHeight="1" s="7635">
      <c r="A1124" s="448" t="n">
        <v>55900</v>
      </c>
      <c r="B1124" s="447" t="n">
        <v>55950</v>
      </c>
      <c r="C1124" s="1378">
        <f>IF($L1124&gt;N$5,MAX(0,N$3+ROUND((N$9*($L1124-N$5)),0)),IF($L1124&gt;N$4,N$3,ROUND($L1124*N$7,0)))</f>
        <v/>
      </c>
      <c r="D1124" s="448">
        <f>IF($L1124&gt;O$5,MAX(0,O$3+ROUND((O$9*($L1124-O$5)),0)),IF($L1124&gt;O$4,O$3,ROUND($L1124*O$7,0)))</f>
        <v/>
      </c>
      <c r="E1124" s="448">
        <f>IF($L1124&gt;P$5,MAX(0,P$3+ROUND((P$9*($L1124-P$5)),0)),IF($L1124&gt;P$4,P$3,ROUND($L1124*P$7,0)))</f>
        <v/>
      </c>
      <c r="F1124" s="447">
        <f>IF($L1124&gt;Q$5,MAX(0,Q$3+ROUND((Q$9*($L1124-Q$5)),0)),IF($L1124&gt;Q$4,Q$3,ROUND($L1124*Q$7,0)))</f>
        <v/>
      </c>
      <c r="G1124" s="1378">
        <f>IF($L1124&gt;R$5,MAX(0,R$3+ROUND((R$9*($L1124-R$5)),0)),IF($L1124&gt;R$4,R$3,ROUND($L1124*R$7,0)))</f>
        <v/>
      </c>
      <c r="H1124" s="448">
        <f>IF($L1124&gt;S$5,MAX(0,S$3+ROUND((S$9*($L1124-S$5)),0)),IF($L1124&gt;S$4,S$3,ROUND($L1124*S$7,0)))</f>
        <v/>
      </c>
      <c r="I1124" s="448">
        <f>IF($L1124&gt;T$5,MAX(0,T$3+ROUND((T$9*($L1124-T$5)),0)),IF($L1124&gt;T$4,T$3,ROUND($L1124*T$7,0)))</f>
        <v/>
      </c>
      <c r="J1124" s="447">
        <f>IF($L1124&gt;U$5,MAX(0,U$3+ROUND((U$9*($L1124-U$5)),0)),IF($L1124&gt;U$4,U$3,ROUND($L1124*U$7,0)))</f>
        <v/>
      </c>
      <c r="K1124" s="422" t="n"/>
      <c r="L1124" s="448">
        <f>ROUND((A1124+B1124)/2,2)</f>
        <v/>
      </c>
    </row>
    <row r="1125" ht="13.5" customHeight="1" s="7635">
      <c r="A1125" s="448" t="n">
        <v>55950</v>
      </c>
      <c r="B1125" s="447" t="n">
        <v>56000</v>
      </c>
      <c r="C1125" s="1378">
        <f>IF($L1125&gt;N$5,MAX(0,N$3+ROUND((N$9*($L1125-N$5)),0)),IF($L1125&gt;N$4,N$3,ROUND($L1125*N$7,0)))</f>
        <v/>
      </c>
      <c r="D1125" s="448">
        <f>IF($L1125&gt;O$5,MAX(0,O$3+ROUND((O$9*($L1125-O$5)),0)),IF($L1125&gt;O$4,O$3,ROUND($L1125*O$7,0)))</f>
        <v/>
      </c>
      <c r="E1125" s="448">
        <f>IF($L1125&gt;P$5,MAX(0,P$3+ROUND((P$9*($L1125-P$5)),0)),IF($L1125&gt;P$4,P$3,ROUND($L1125*P$7,0)))</f>
        <v/>
      </c>
      <c r="F1125" s="447">
        <f>IF($L1125&gt;Q$5,MAX(0,Q$3+ROUND((Q$9*($L1125-Q$5)),0)),IF($L1125&gt;Q$4,Q$3,ROUND($L1125*Q$7,0)))</f>
        <v/>
      </c>
      <c r="G1125" s="1378">
        <f>IF($L1125&gt;R$5,MAX(0,R$3+ROUND((R$9*($L1125-R$5)),0)),IF($L1125&gt;R$4,R$3,ROUND($L1125*R$7,0)))</f>
        <v/>
      </c>
      <c r="H1125" s="448">
        <f>IF($L1125&gt;S$5,MAX(0,S$3+ROUND((S$9*($L1125-S$5)),0)),IF($L1125&gt;S$4,S$3,ROUND($L1125*S$7,0)))</f>
        <v/>
      </c>
      <c r="I1125" s="448">
        <f>IF($L1125&gt;T$5,MAX(0,T$3+ROUND((T$9*($L1125-T$5)),0)),IF($L1125&gt;T$4,T$3,ROUND($L1125*T$7,0)))</f>
        <v/>
      </c>
      <c r="J1125" s="447">
        <f>IF($L1125&gt;U$5,MAX(0,U$3+ROUND((U$9*($L1125-U$5)),0)),IF($L1125&gt;U$4,U$3,ROUND($L1125*U$7,0)))</f>
        <v/>
      </c>
      <c r="K1125" s="422" t="n"/>
      <c r="L1125" s="448">
        <f>ROUND((A1125+B1125)/2,2)</f>
        <v/>
      </c>
    </row>
    <row r="1126" ht="13.5" customHeight="1" s="7635">
      <c r="A1126" s="448" t="n">
        <v>56000</v>
      </c>
      <c r="B1126" s="447" t="n">
        <v>56050</v>
      </c>
      <c r="C1126" s="1378">
        <f>IF($L1126&gt;N$5,MAX(0,N$3+ROUND((N$9*($L1126-N$5)),0)),IF($L1126&gt;N$4,N$3,ROUND($L1126*N$7,0)))</f>
        <v/>
      </c>
      <c r="D1126" s="448">
        <f>IF($L1126&gt;O$5,MAX(0,O$3+ROUND((O$9*($L1126-O$5)),0)),IF($L1126&gt;O$4,O$3,ROUND($L1126*O$7,0)))</f>
        <v/>
      </c>
      <c r="E1126" s="448">
        <f>IF($L1126&gt;P$5,MAX(0,P$3+ROUND((P$9*($L1126-P$5)),0)),IF($L1126&gt;P$4,P$3,ROUND($L1126*P$7,0)))</f>
        <v/>
      </c>
      <c r="F1126" s="447">
        <f>IF($L1126&gt;Q$5,MAX(0,Q$3+ROUND((Q$9*($L1126-Q$5)),0)),IF($L1126&gt;Q$4,Q$3,ROUND($L1126*Q$7,0)))</f>
        <v/>
      </c>
      <c r="G1126" s="1378">
        <f>IF($L1126&gt;R$5,MAX(0,R$3+ROUND((R$9*($L1126-R$5)),0)),IF($L1126&gt;R$4,R$3,ROUND($L1126*R$7,0)))</f>
        <v/>
      </c>
      <c r="H1126" s="448">
        <f>IF($L1126&gt;S$5,MAX(0,S$3+ROUND((S$9*($L1126-S$5)),0)),IF($L1126&gt;S$4,S$3,ROUND($L1126*S$7,0)))</f>
        <v/>
      </c>
      <c r="I1126" s="448">
        <f>IF($L1126&gt;T$5,MAX(0,T$3+ROUND((T$9*($L1126-T$5)),0)),IF($L1126&gt;T$4,T$3,ROUND($L1126*T$7,0)))</f>
        <v/>
      </c>
      <c r="J1126" s="447">
        <f>IF($L1126&gt;U$5,MAX(0,U$3+ROUND((U$9*($L1126-U$5)),0)),IF($L1126&gt;U$4,U$3,ROUND($L1126*U$7,0)))</f>
        <v/>
      </c>
      <c r="K1126" s="422" t="n"/>
      <c r="L1126" s="448">
        <f>ROUND((A1126+B1126)/2,2)</f>
        <v/>
      </c>
    </row>
    <row r="1127" ht="13.5" customHeight="1" s="7635">
      <c r="A1127" s="448" t="n">
        <v>56050</v>
      </c>
      <c r="B1127" s="447" t="n">
        <v>56100</v>
      </c>
      <c r="C1127" s="1378">
        <f>IF($L1127&gt;N$5,MAX(0,N$3+ROUND((N$9*($L1127-N$5)),0)),IF($L1127&gt;N$4,N$3,ROUND($L1127*N$7,0)))</f>
        <v/>
      </c>
      <c r="D1127" s="448">
        <f>IF($L1127&gt;O$5,MAX(0,O$3+ROUND((O$9*($L1127-O$5)),0)),IF($L1127&gt;O$4,O$3,ROUND($L1127*O$7,0)))</f>
        <v/>
      </c>
      <c r="E1127" s="448">
        <f>IF($L1127&gt;P$5,MAX(0,P$3+ROUND((P$9*($L1127-P$5)),0)),IF($L1127&gt;P$4,P$3,ROUND($L1127*P$7,0)))</f>
        <v/>
      </c>
      <c r="F1127" s="447">
        <f>IF($L1127&gt;Q$5,MAX(0,Q$3+ROUND((Q$9*($L1127-Q$5)),0)),IF($L1127&gt;Q$4,Q$3,ROUND($L1127*Q$7,0)))</f>
        <v/>
      </c>
      <c r="G1127" s="1378">
        <f>IF($L1127&gt;R$5,MAX(0,R$3+ROUND((R$9*($L1127-R$5)),0)),IF($L1127&gt;R$4,R$3,ROUND($L1127*R$7,0)))</f>
        <v/>
      </c>
      <c r="H1127" s="448">
        <f>IF($L1127&gt;S$5,MAX(0,S$3+ROUND((S$9*($L1127-S$5)),0)),IF($L1127&gt;S$4,S$3,ROUND($L1127*S$7,0)))</f>
        <v/>
      </c>
      <c r="I1127" s="448">
        <f>IF($L1127&gt;T$5,MAX(0,T$3+ROUND((T$9*($L1127-T$5)),0)),IF($L1127&gt;T$4,T$3,ROUND($L1127*T$7,0)))</f>
        <v/>
      </c>
      <c r="J1127" s="447">
        <f>IF($L1127&gt;U$5,MAX(0,U$3+ROUND((U$9*($L1127-U$5)),0)),IF($L1127&gt;U$4,U$3,ROUND($L1127*U$7,0)))</f>
        <v/>
      </c>
      <c r="K1127" s="422" t="n"/>
      <c r="L1127" s="448">
        <f>ROUND((A1127+B1127)/2,2)</f>
        <v/>
      </c>
    </row>
    <row r="1128" ht="13.5" customHeight="1" s="7635">
      <c r="A1128" s="448" t="n">
        <v>56100</v>
      </c>
      <c r="B1128" s="447" t="n">
        <v>56150</v>
      </c>
      <c r="C1128" s="1378">
        <f>IF($L1128&gt;N$5,MAX(0,N$3+ROUND((N$9*($L1128-N$5)),0)),IF($L1128&gt;N$4,N$3,ROUND($L1128*N$7,0)))</f>
        <v/>
      </c>
      <c r="D1128" s="448">
        <f>IF($L1128&gt;O$5,MAX(0,O$3+ROUND((O$9*($L1128-O$5)),0)),IF($L1128&gt;O$4,O$3,ROUND($L1128*O$7,0)))</f>
        <v/>
      </c>
      <c r="E1128" s="448">
        <f>IF($L1128&gt;P$5,MAX(0,P$3+ROUND((P$9*($L1128-P$5)),0)),IF($L1128&gt;P$4,P$3,ROUND($L1128*P$7,0)))</f>
        <v/>
      </c>
      <c r="F1128" s="447">
        <f>IF($L1128&gt;Q$5,MAX(0,Q$3+ROUND((Q$9*($L1128-Q$5)),0)),IF($L1128&gt;Q$4,Q$3,ROUND($L1128*Q$7,0)))</f>
        <v/>
      </c>
      <c r="G1128" s="1378">
        <f>IF($L1128&gt;R$5,MAX(0,R$3+ROUND((R$9*($L1128-R$5)),0)),IF($L1128&gt;R$4,R$3,ROUND($L1128*R$7,0)))</f>
        <v/>
      </c>
      <c r="H1128" s="448">
        <f>IF($L1128&gt;S$5,MAX(0,S$3+ROUND((S$9*($L1128-S$5)),0)),IF($L1128&gt;S$4,S$3,ROUND($L1128*S$7,0)))</f>
        <v/>
      </c>
      <c r="I1128" s="448">
        <f>IF($L1128&gt;T$5,MAX(0,T$3+ROUND((T$9*($L1128-T$5)),0)),IF($L1128&gt;T$4,T$3,ROUND($L1128*T$7,0)))</f>
        <v/>
      </c>
      <c r="J1128" s="447">
        <f>IF($L1128&gt;U$5,MAX(0,U$3+ROUND((U$9*($L1128-U$5)),0)),IF($L1128&gt;U$4,U$3,ROUND($L1128*U$7,0)))</f>
        <v/>
      </c>
      <c r="K1128" s="422" t="n"/>
      <c r="L1128" s="448">
        <f>ROUND((A1128+B1128)/2,2)</f>
        <v/>
      </c>
    </row>
    <row r="1129" ht="13.5" customHeight="1" s="7635">
      <c r="A1129" s="448" t="n">
        <v>56150</v>
      </c>
      <c r="B1129" s="447" t="n">
        <v>56200</v>
      </c>
      <c r="C1129" s="1378">
        <f>IF($L1129&gt;N$5,MAX(0,N$3+ROUND((N$9*($L1129-N$5)),0)),IF($L1129&gt;N$4,N$3,ROUND($L1129*N$7,0)))</f>
        <v/>
      </c>
      <c r="D1129" s="448">
        <f>IF($L1129&gt;O$5,MAX(0,O$3+ROUND((O$9*($L1129-O$5)),0)),IF($L1129&gt;O$4,O$3,ROUND($L1129*O$7,0)))</f>
        <v/>
      </c>
      <c r="E1129" s="448">
        <f>IF($L1129&gt;P$5,MAX(0,P$3+ROUND((P$9*($L1129-P$5)),0)),IF($L1129&gt;P$4,P$3,ROUND($L1129*P$7,0)))</f>
        <v/>
      </c>
      <c r="F1129" s="447">
        <f>IF($L1129&gt;Q$5,MAX(0,Q$3+ROUND((Q$9*($L1129-Q$5)),0)),IF($L1129&gt;Q$4,Q$3,ROUND($L1129*Q$7,0)))</f>
        <v/>
      </c>
      <c r="G1129" s="1378">
        <f>IF($L1129&gt;R$5,MAX(0,R$3+ROUND((R$9*($L1129-R$5)),0)),IF($L1129&gt;R$4,R$3,ROUND($L1129*R$7,0)))</f>
        <v/>
      </c>
      <c r="H1129" s="448">
        <f>IF($L1129&gt;S$5,MAX(0,S$3+ROUND((S$9*($L1129-S$5)),0)),IF($L1129&gt;S$4,S$3,ROUND($L1129*S$7,0)))</f>
        <v/>
      </c>
      <c r="I1129" s="448">
        <f>IF($L1129&gt;T$5,MAX(0,T$3+ROUND((T$9*($L1129-T$5)),0)),IF($L1129&gt;T$4,T$3,ROUND($L1129*T$7,0)))</f>
        <v/>
      </c>
      <c r="J1129" s="447">
        <f>IF($L1129&gt;U$5,MAX(0,U$3+ROUND((U$9*($L1129-U$5)),0)),IF($L1129&gt;U$4,U$3,ROUND($L1129*U$7,0)))</f>
        <v/>
      </c>
      <c r="K1129" s="422" t="n"/>
      <c r="L1129" s="448">
        <f>ROUND((A1129+B1129)/2,2)</f>
        <v/>
      </c>
    </row>
    <row r="1130" ht="13.5" customHeight="1" s="7635">
      <c r="A1130" s="448" t="n">
        <v>56200</v>
      </c>
      <c r="B1130" s="447" t="n">
        <v>56250</v>
      </c>
      <c r="C1130" s="1378">
        <f>IF($L1130&gt;N$5,MAX(0,N$3+ROUND((N$9*($L1130-N$5)),0)),IF($L1130&gt;N$4,N$3,ROUND($L1130*N$7,0)))</f>
        <v/>
      </c>
      <c r="D1130" s="448">
        <f>IF($L1130&gt;O$5,MAX(0,O$3+ROUND((O$9*($L1130-O$5)),0)),IF($L1130&gt;O$4,O$3,ROUND($L1130*O$7,0)))</f>
        <v/>
      </c>
      <c r="E1130" s="448">
        <f>IF($L1130&gt;P$5,MAX(0,P$3+ROUND((P$9*($L1130-P$5)),0)),IF($L1130&gt;P$4,P$3,ROUND($L1130*P$7,0)))</f>
        <v/>
      </c>
      <c r="F1130" s="447">
        <f>IF($L1130&gt;Q$5,MAX(0,Q$3+ROUND((Q$9*($L1130-Q$5)),0)),IF($L1130&gt;Q$4,Q$3,ROUND($L1130*Q$7,0)))</f>
        <v/>
      </c>
      <c r="G1130" s="1378">
        <f>IF($L1130&gt;R$5,MAX(0,R$3+ROUND((R$9*($L1130-R$5)),0)),IF($L1130&gt;R$4,R$3,ROUND($L1130*R$7,0)))</f>
        <v/>
      </c>
      <c r="H1130" s="448">
        <f>IF($L1130&gt;S$5,MAX(0,S$3+ROUND((S$9*($L1130-S$5)),0)),IF($L1130&gt;S$4,S$3,ROUND($L1130*S$7,0)))</f>
        <v/>
      </c>
      <c r="I1130" s="448">
        <f>IF($L1130&gt;T$5,MAX(0,T$3+ROUND((T$9*($L1130-T$5)),0)),IF($L1130&gt;T$4,T$3,ROUND($L1130*T$7,0)))</f>
        <v/>
      </c>
      <c r="J1130" s="447">
        <f>IF($L1130&gt;U$5,MAX(0,U$3+ROUND((U$9*($L1130-U$5)),0)),IF($L1130&gt;U$4,U$3,ROUND($L1130*U$7,0)))</f>
        <v/>
      </c>
      <c r="K1130" s="422" t="n"/>
      <c r="L1130" s="448">
        <f>ROUND((A1130+B1130)/2,2)</f>
        <v/>
      </c>
    </row>
    <row r="1131" ht="13.5" customHeight="1" s="7635">
      <c r="A1131" s="448" t="n">
        <v>56250</v>
      </c>
      <c r="B1131" s="447" t="n">
        <v>56300</v>
      </c>
      <c r="C1131" s="1378">
        <f>IF($L1131&gt;N$5,MAX(0,N$3+ROUND((N$9*($L1131-N$5)),0)),IF($L1131&gt;N$4,N$3,ROUND($L1131*N$7,0)))</f>
        <v/>
      </c>
      <c r="D1131" s="448">
        <f>IF($L1131&gt;O$5,MAX(0,O$3+ROUND((O$9*($L1131-O$5)),0)),IF($L1131&gt;O$4,O$3,ROUND($L1131*O$7,0)))</f>
        <v/>
      </c>
      <c r="E1131" s="448">
        <f>IF($L1131&gt;P$5,MAX(0,P$3+ROUND((P$9*($L1131-P$5)),0)),IF($L1131&gt;P$4,P$3,ROUND($L1131*P$7,0)))</f>
        <v/>
      </c>
      <c r="F1131" s="447">
        <f>IF($L1131&gt;Q$5,MAX(0,Q$3+ROUND((Q$9*($L1131-Q$5)),0)),IF($L1131&gt;Q$4,Q$3,ROUND($L1131*Q$7,0)))</f>
        <v/>
      </c>
      <c r="G1131" s="1378">
        <f>IF($L1131&gt;R$5,MAX(0,R$3+ROUND((R$9*($L1131-R$5)),0)),IF($L1131&gt;R$4,R$3,ROUND($L1131*R$7,0)))</f>
        <v/>
      </c>
      <c r="H1131" s="448">
        <f>IF($L1131&gt;S$5,MAX(0,S$3+ROUND((S$9*($L1131-S$5)),0)),IF($L1131&gt;S$4,S$3,ROUND($L1131*S$7,0)))</f>
        <v/>
      </c>
      <c r="I1131" s="448">
        <f>IF($L1131&gt;T$5,MAX(0,T$3+ROUND((T$9*($L1131-T$5)),0)),IF($L1131&gt;T$4,T$3,ROUND($L1131*T$7,0)))</f>
        <v/>
      </c>
      <c r="J1131" s="447">
        <f>IF($L1131&gt;U$5,MAX(0,U$3+ROUND((U$9*($L1131-U$5)),0)),IF($L1131&gt;U$4,U$3,ROUND($L1131*U$7,0)))</f>
        <v/>
      </c>
      <c r="K1131" s="422" t="n"/>
      <c r="L1131" s="448">
        <f>ROUND((A1131+B1131)/2,2)</f>
        <v/>
      </c>
    </row>
    <row r="1132" ht="13.5" customHeight="1" s="7635">
      <c r="A1132" s="448" t="n">
        <v>56300</v>
      </c>
      <c r="B1132" s="447" t="n">
        <v>56350</v>
      </c>
      <c r="C1132" s="1378">
        <f>IF($L1132&gt;N$5,MAX(0,N$3+ROUND((N$9*($L1132-N$5)),0)),IF($L1132&gt;N$4,N$3,ROUND($L1132*N$7,0)))</f>
        <v/>
      </c>
      <c r="D1132" s="448">
        <f>IF($L1132&gt;O$5,MAX(0,O$3+ROUND((O$9*($L1132-O$5)),0)),IF($L1132&gt;O$4,O$3,ROUND($L1132*O$7,0)))</f>
        <v/>
      </c>
      <c r="E1132" s="448">
        <f>IF($L1132&gt;P$5,MAX(0,P$3+ROUND((P$9*($L1132-P$5)),0)),IF($L1132&gt;P$4,P$3,ROUND($L1132*P$7,0)))</f>
        <v/>
      </c>
      <c r="F1132" s="447">
        <f>IF($L1132&gt;Q$5,MAX(0,Q$3+ROUND((Q$9*($L1132-Q$5)),0)),IF($L1132&gt;Q$4,Q$3,ROUND($L1132*Q$7,0)))</f>
        <v/>
      </c>
      <c r="G1132" s="1378">
        <f>IF($L1132&gt;R$5,MAX(0,R$3+ROUND((R$9*($L1132-R$5)),0)),IF($L1132&gt;R$4,R$3,ROUND($L1132*R$7,0)))</f>
        <v/>
      </c>
      <c r="H1132" s="448">
        <f>IF($L1132&gt;S$5,MAX(0,S$3+ROUND((S$9*($L1132-S$5)),0)),IF($L1132&gt;S$4,S$3,ROUND($L1132*S$7,0)))</f>
        <v/>
      </c>
      <c r="I1132" s="448">
        <f>IF($L1132&gt;T$5,MAX(0,T$3+ROUND((T$9*($L1132-T$5)),0)),IF($L1132&gt;T$4,T$3,ROUND($L1132*T$7,0)))</f>
        <v/>
      </c>
      <c r="J1132" s="447">
        <f>IF($L1132&gt;U$5,MAX(0,U$3+ROUND((U$9*($L1132-U$5)),0)),IF($L1132&gt;U$4,U$3,ROUND($L1132*U$7,0)))</f>
        <v/>
      </c>
      <c r="K1132" s="422" t="n"/>
      <c r="L1132" s="448">
        <f>ROUND((A1132+B1132)/2,2)</f>
        <v/>
      </c>
    </row>
    <row r="1133" ht="13.5" customHeight="1" s="7635">
      <c r="A1133" s="448" t="n">
        <v>56350</v>
      </c>
      <c r="B1133" s="447" t="n">
        <v>56400</v>
      </c>
      <c r="C1133" s="1378">
        <f>IF($L1133&gt;N$5,MAX(0,N$3+ROUND((N$9*($L1133-N$5)),0)),IF($L1133&gt;N$4,N$3,ROUND($L1133*N$7,0)))</f>
        <v/>
      </c>
      <c r="D1133" s="448">
        <f>IF($L1133&gt;O$5,MAX(0,O$3+ROUND((O$9*($L1133-O$5)),0)),IF($L1133&gt;O$4,O$3,ROUND($L1133*O$7,0)))</f>
        <v/>
      </c>
      <c r="E1133" s="448">
        <f>IF($L1133&gt;P$5,MAX(0,P$3+ROUND((P$9*($L1133-P$5)),0)),IF($L1133&gt;P$4,P$3,ROUND($L1133*P$7,0)))</f>
        <v/>
      </c>
      <c r="F1133" s="447">
        <f>IF($L1133&gt;Q$5,MAX(0,Q$3+ROUND((Q$9*($L1133-Q$5)),0)),IF($L1133&gt;Q$4,Q$3,ROUND($L1133*Q$7,0)))</f>
        <v/>
      </c>
      <c r="G1133" s="1378">
        <f>IF($L1133&gt;R$5,MAX(0,R$3+ROUND((R$9*($L1133-R$5)),0)),IF($L1133&gt;R$4,R$3,ROUND($L1133*R$7,0)))</f>
        <v/>
      </c>
      <c r="H1133" s="448">
        <f>IF($L1133&gt;S$5,MAX(0,S$3+ROUND((S$9*($L1133-S$5)),0)),IF($L1133&gt;S$4,S$3,ROUND($L1133*S$7,0)))</f>
        <v/>
      </c>
      <c r="I1133" s="448">
        <f>IF($L1133&gt;T$5,MAX(0,T$3+ROUND((T$9*($L1133-T$5)),0)),IF($L1133&gt;T$4,T$3,ROUND($L1133*T$7,0)))</f>
        <v/>
      </c>
      <c r="J1133" s="447">
        <f>IF($L1133&gt;U$5,MAX(0,U$3+ROUND((U$9*($L1133-U$5)),0)),IF($L1133&gt;U$4,U$3,ROUND($L1133*U$7,0)))</f>
        <v/>
      </c>
      <c r="K1133" s="422" t="n"/>
      <c r="L1133" s="448">
        <f>ROUND((A1133+B1133)/2,2)</f>
        <v/>
      </c>
    </row>
    <row r="1134" ht="13.5" customHeight="1" s="7635">
      <c r="A1134" s="448" t="n">
        <v>56400</v>
      </c>
      <c r="B1134" s="447" t="n">
        <v>56450</v>
      </c>
      <c r="C1134" s="1378">
        <f>IF($L1134&gt;N$5,MAX(0,N$3+ROUND((N$9*($L1134-N$5)),0)),IF($L1134&gt;N$4,N$3,ROUND($L1134*N$7,0)))</f>
        <v/>
      </c>
      <c r="D1134" s="448">
        <f>IF($L1134&gt;O$5,MAX(0,O$3+ROUND((O$9*($L1134-O$5)),0)),IF($L1134&gt;O$4,O$3,ROUND($L1134*O$7,0)))</f>
        <v/>
      </c>
      <c r="E1134" s="448">
        <f>IF($L1134&gt;P$5,MAX(0,P$3+ROUND((P$9*($L1134-P$5)),0)),IF($L1134&gt;P$4,P$3,ROUND($L1134*P$7,0)))</f>
        <v/>
      </c>
      <c r="F1134" s="447">
        <f>IF($L1134&gt;Q$5,MAX(0,Q$3+ROUND((Q$9*($L1134-Q$5)),0)),IF($L1134&gt;Q$4,Q$3,ROUND($L1134*Q$7,0)))</f>
        <v/>
      </c>
      <c r="G1134" s="1378">
        <f>IF($L1134&gt;R$5,MAX(0,R$3+ROUND((R$9*($L1134-R$5)),0)),IF($L1134&gt;R$4,R$3,ROUND($L1134*R$7,0)))</f>
        <v/>
      </c>
      <c r="H1134" s="448">
        <f>IF($L1134&gt;S$5,MAX(0,S$3+ROUND((S$9*($L1134-S$5)),0)),IF($L1134&gt;S$4,S$3,ROUND($L1134*S$7,0)))</f>
        <v/>
      </c>
      <c r="I1134" s="448">
        <f>IF($L1134&gt;T$5,MAX(0,T$3+ROUND((T$9*($L1134-T$5)),0)),IF($L1134&gt;T$4,T$3,ROUND($L1134*T$7,0)))</f>
        <v/>
      </c>
      <c r="J1134" s="447">
        <f>IF($L1134&gt;U$5,MAX(0,U$3+ROUND((U$9*($L1134-U$5)),0)),IF($L1134&gt;U$4,U$3,ROUND($L1134*U$7,0)))</f>
        <v/>
      </c>
      <c r="K1134" s="422" t="n"/>
      <c r="L1134" s="448">
        <f>ROUND((A1134+B1134)/2,2)</f>
        <v/>
      </c>
    </row>
    <row r="1135" ht="13.5" customHeight="1" s="7635">
      <c r="A1135" s="448" t="n">
        <v>56450</v>
      </c>
      <c r="B1135" s="447" t="n">
        <v>56500</v>
      </c>
      <c r="C1135" s="1378">
        <f>IF($L1135&gt;N$5,MAX(0,N$3+ROUND((N$9*($L1135-N$5)),0)),IF($L1135&gt;N$4,N$3,ROUND($L1135*N$7,0)))</f>
        <v/>
      </c>
      <c r="D1135" s="448">
        <f>IF($L1135&gt;O$5,MAX(0,O$3+ROUND((O$9*($L1135-O$5)),0)),IF($L1135&gt;O$4,O$3,ROUND($L1135*O$7,0)))</f>
        <v/>
      </c>
      <c r="E1135" s="448">
        <f>IF($L1135&gt;P$5,MAX(0,P$3+ROUND((P$9*($L1135-P$5)),0)),IF($L1135&gt;P$4,P$3,ROUND($L1135*P$7,0)))</f>
        <v/>
      </c>
      <c r="F1135" s="447">
        <f>IF($L1135&gt;Q$5,MAX(0,Q$3+ROUND((Q$9*($L1135-Q$5)),0)),IF($L1135&gt;Q$4,Q$3,ROUND($L1135*Q$7,0)))</f>
        <v/>
      </c>
      <c r="G1135" s="1378">
        <f>IF($L1135&gt;R$5,MAX(0,R$3+ROUND((R$9*($L1135-R$5)),0)),IF($L1135&gt;R$4,R$3,ROUND($L1135*R$7,0)))</f>
        <v/>
      </c>
      <c r="H1135" s="448">
        <f>IF($L1135&gt;S$5,MAX(0,S$3+ROUND((S$9*($L1135-S$5)),0)),IF($L1135&gt;S$4,S$3,ROUND($L1135*S$7,0)))</f>
        <v/>
      </c>
      <c r="I1135" s="448">
        <f>IF($L1135&gt;T$5,MAX(0,T$3+ROUND((T$9*($L1135-T$5)),0)),IF($L1135&gt;T$4,T$3,ROUND($L1135*T$7,0)))</f>
        <v/>
      </c>
      <c r="J1135" s="447">
        <f>IF($L1135&gt;U$5,MAX(0,U$3+ROUND((U$9*($L1135-U$5)),0)),IF($L1135&gt;U$4,U$3,ROUND($L1135*U$7,0)))</f>
        <v/>
      </c>
      <c r="K1135" s="422" t="n"/>
      <c r="L1135" s="448">
        <f>ROUND((A1135+B1135)/2,2)</f>
        <v/>
      </c>
    </row>
    <row r="1136" ht="13.5" customHeight="1" s="7635">
      <c r="A1136" s="448" t="n">
        <v>56500</v>
      </c>
      <c r="B1136" s="447" t="n">
        <v>56550</v>
      </c>
      <c r="C1136" s="1378">
        <f>IF($L1136&gt;N$5,MAX(0,N$3+ROUND((N$9*($L1136-N$5)),0)),IF($L1136&gt;N$4,N$3,ROUND($L1136*N$7,0)))</f>
        <v/>
      </c>
      <c r="D1136" s="448">
        <f>IF($L1136&gt;O$5,MAX(0,O$3+ROUND((O$9*($L1136-O$5)),0)),IF($L1136&gt;O$4,O$3,ROUND($L1136*O$7,0)))</f>
        <v/>
      </c>
      <c r="E1136" s="448">
        <f>IF($L1136&gt;P$5,MAX(0,P$3+ROUND((P$9*($L1136-P$5)),0)),IF($L1136&gt;P$4,P$3,ROUND($L1136*P$7,0)))</f>
        <v/>
      </c>
      <c r="F1136" s="447">
        <f>IF($L1136&gt;Q$5,MAX(0,Q$3+ROUND((Q$9*($L1136-Q$5)),0)),IF($L1136&gt;Q$4,Q$3,ROUND($L1136*Q$7,0)))</f>
        <v/>
      </c>
      <c r="G1136" s="1378">
        <f>IF($L1136&gt;R$5,MAX(0,R$3+ROUND((R$9*($L1136-R$5)),0)),IF($L1136&gt;R$4,R$3,ROUND($L1136*R$7,0)))</f>
        <v/>
      </c>
      <c r="H1136" s="448">
        <f>IF($L1136&gt;S$5,MAX(0,S$3+ROUND((S$9*($L1136-S$5)),0)),IF($L1136&gt;S$4,S$3,ROUND($L1136*S$7,0)))</f>
        <v/>
      </c>
      <c r="I1136" s="448">
        <f>IF($L1136&gt;T$5,MAX(0,T$3+ROUND((T$9*($L1136-T$5)),0)),IF($L1136&gt;T$4,T$3,ROUND($L1136*T$7,0)))</f>
        <v/>
      </c>
      <c r="J1136" s="447">
        <f>IF($L1136&gt;U$5,MAX(0,U$3+ROUND((U$9*($L1136-U$5)),0)),IF($L1136&gt;U$4,U$3,ROUND($L1136*U$7,0)))</f>
        <v/>
      </c>
      <c r="K1136" s="422" t="n"/>
      <c r="L1136" s="448">
        <f>ROUND((A1136+B1136)/2,2)</f>
        <v/>
      </c>
    </row>
    <row r="1137" ht="13.5" customHeight="1" s="7635">
      <c r="A1137" s="448" t="n">
        <v>56550</v>
      </c>
      <c r="B1137" s="447" t="n">
        <v>56600</v>
      </c>
      <c r="C1137" s="1378">
        <f>IF($L1137&gt;N$5,MAX(0,N$3+ROUND((N$9*($L1137-N$5)),0)),IF($L1137&gt;N$4,N$3,ROUND($L1137*N$7,0)))</f>
        <v/>
      </c>
      <c r="D1137" s="448">
        <f>IF($L1137&gt;O$5,MAX(0,O$3+ROUND((O$9*($L1137-O$5)),0)),IF($L1137&gt;O$4,O$3,ROUND($L1137*O$7,0)))</f>
        <v/>
      </c>
      <c r="E1137" s="448">
        <f>IF($L1137&gt;P$5,MAX(0,P$3+ROUND((P$9*($L1137-P$5)),0)),IF($L1137&gt;P$4,P$3,ROUND($L1137*P$7,0)))</f>
        <v/>
      </c>
      <c r="F1137" s="447">
        <f>IF($L1137&gt;Q$5,MAX(0,Q$3+ROUND((Q$9*($L1137-Q$5)),0)),IF($L1137&gt;Q$4,Q$3,ROUND($L1137*Q$7,0)))</f>
        <v/>
      </c>
      <c r="G1137" s="1378">
        <f>IF($L1137&gt;R$5,MAX(0,R$3+ROUND((R$9*($L1137-R$5)),0)),IF($L1137&gt;R$4,R$3,ROUND($L1137*R$7,0)))</f>
        <v/>
      </c>
      <c r="H1137" s="448">
        <f>IF($L1137&gt;S$5,MAX(0,S$3+ROUND((S$9*($L1137-S$5)),0)),IF($L1137&gt;S$4,S$3,ROUND($L1137*S$7,0)))</f>
        <v/>
      </c>
      <c r="I1137" s="448">
        <f>IF($L1137&gt;T$5,MAX(0,T$3+ROUND((T$9*($L1137-T$5)),0)),IF($L1137&gt;T$4,T$3,ROUND($L1137*T$7,0)))</f>
        <v/>
      </c>
      <c r="J1137" s="447">
        <f>IF($L1137&gt;U$5,MAX(0,U$3+ROUND((U$9*($L1137-U$5)),0)),IF($L1137&gt;U$4,U$3,ROUND($L1137*U$7,0)))</f>
        <v/>
      </c>
      <c r="K1137" s="422" t="n"/>
      <c r="L1137" s="448">
        <f>ROUND((A1137+B1137)/2,2)</f>
        <v/>
      </c>
    </row>
    <row r="1138" ht="13.5" customHeight="1" s="7635">
      <c r="A1138" s="448" t="n">
        <v>56600</v>
      </c>
      <c r="B1138" s="447" t="n">
        <v>56650</v>
      </c>
      <c r="C1138" s="1378">
        <f>IF($L1138&gt;N$5,MAX(0,N$3+ROUND((N$9*($L1138-N$5)),0)),IF($L1138&gt;N$4,N$3,ROUND($L1138*N$7,0)))</f>
        <v/>
      </c>
      <c r="D1138" s="448">
        <f>IF($L1138&gt;O$5,MAX(0,O$3+ROUND((O$9*($L1138-O$5)),0)),IF($L1138&gt;O$4,O$3,ROUND($L1138*O$7,0)))</f>
        <v/>
      </c>
      <c r="E1138" s="448">
        <f>IF($L1138&gt;P$5,MAX(0,P$3+ROUND((P$9*($L1138-P$5)),0)),IF($L1138&gt;P$4,P$3,ROUND($L1138*P$7,0)))</f>
        <v/>
      </c>
      <c r="F1138" s="447">
        <f>IF($L1138&gt;Q$5,MAX(0,Q$3+ROUND((Q$9*($L1138-Q$5)),0)),IF($L1138&gt;Q$4,Q$3,ROUND($L1138*Q$7,0)))</f>
        <v/>
      </c>
      <c r="G1138" s="1378">
        <f>IF($L1138&gt;R$5,MAX(0,R$3+ROUND((R$9*($L1138-R$5)),0)),IF($L1138&gt;R$4,R$3,ROUND($L1138*R$7,0)))</f>
        <v/>
      </c>
      <c r="H1138" s="448">
        <f>IF($L1138&gt;S$5,MAX(0,S$3+ROUND((S$9*($L1138-S$5)),0)),IF($L1138&gt;S$4,S$3,ROUND($L1138*S$7,0)))</f>
        <v/>
      </c>
      <c r="I1138" s="448">
        <f>IF($L1138&gt;T$5,MAX(0,T$3+ROUND((T$9*($L1138-T$5)),0)),IF($L1138&gt;T$4,T$3,ROUND($L1138*T$7,0)))</f>
        <v/>
      </c>
      <c r="J1138" s="447">
        <f>IF($L1138&gt;U$5,MAX(0,U$3+ROUND((U$9*($L1138-U$5)),0)),IF($L1138&gt;U$4,U$3,ROUND($L1138*U$7,0)))</f>
        <v/>
      </c>
      <c r="K1138" s="422" t="n"/>
      <c r="L1138" s="448">
        <f>ROUND((A1138+B1138)/2,2)</f>
        <v/>
      </c>
    </row>
    <row r="1139" ht="13.5" customHeight="1" s="7635">
      <c r="A1139" s="448" t="n">
        <v>56650</v>
      </c>
      <c r="B1139" s="447" t="n">
        <v>56700</v>
      </c>
      <c r="C1139" s="1378">
        <f>IF($L1139&gt;N$5,MAX(0,N$3+ROUND((N$9*($L1139-N$5)),0)),IF($L1139&gt;N$4,N$3,ROUND($L1139*N$7,0)))</f>
        <v/>
      </c>
      <c r="D1139" s="448">
        <f>IF($L1139&gt;O$5,MAX(0,O$3+ROUND((O$9*($L1139-O$5)),0)),IF($L1139&gt;O$4,O$3,ROUND($L1139*O$7,0)))</f>
        <v/>
      </c>
      <c r="E1139" s="448">
        <f>IF($L1139&gt;P$5,MAX(0,P$3+ROUND((P$9*($L1139-P$5)),0)),IF($L1139&gt;P$4,P$3,ROUND($L1139*P$7,0)))</f>
        <v/>
      </c>
      <c r="F1139" s="447">
        <f>IF($L1139&gt;Q$5,MAX(0,Q$3+ROUND((Q$9*($L1139-Q$5)),0)),IF($L1139&gt;Q$4,Q$3,ROUND($L1139*Q$7,0)))</f>
        <v/>
      </c>
      <c r="G1139" s="1378">
        <f>IF($L1139&gt;R$5,MAX(0,R$3+ROUND((R$9*($L1139-R$5)),0)),IF($L1139&gt;R$4,R$3,ROUND($L1139*R$7,0)))</f>
        <v/>
      </c>
      <c r="H1139" s="448">
        <f>IF($L1139&gt;S$5,MAX(0,S$3+ROUND((S$9*($L1139-S$5)),0)),IF($L1139&gt;S$4,S$3,ROUND($L1139*S$7,0)))</f>
        <v/>
      </c>
      <c r="I1139" s="448">
        <f>IF($L1139&gt;T$5,MAX(0,T$3+ROUND((T$9*($L1139-T$5)),0)),IF($L1139&gt;T$4,T$3,ROUND($L1139*T$7,0)))</f>
        <v/>
      </c>
      <c r="J1139" s="447">
        <f>IF($L1139&gt;U$5,MAX(0,U$3+ROUND((U$9*($L1139-U$5)),0)),IF($L1139&gt;U$4,U$3,ROUND($L1139*U$7,0)))</f>
        <v/>
      </c>
      <c r="K1139" s="422" t="n"/>
      <c r="L1139" s="448">
        <f>ROUND((A1139+B1139)/2,2)</f>
        <v/>
      </c>
    </row>
    <row r="1140" ht="13.5" customHeight="1" s="7635">
      <c r="A1140" s="448" t="n">
        <v>56700</v>
      </c>
      <c r="B1140" s="447" t="n">
        <v>56750</v>
      </c>
      <c r="C1140" s="1378">
        <f>IF($L1140&gt;N$5,MAX(0,N$3+ROUND((N$9*($L1140-N$5)),0)),IF($L1140&gt;N$4,N$3,ROUND($L1140*N$7,0)))</f>
        <v/>
      </c>
      <c r="D1140" s="448">
        <f>IF($L1140&gt;O$5,MAX(0,O$3+ROUND((O$9*($L1140-O$5)),0)),IF($L1140&gt;O$4,O$3,ROUND($L1140*O$7,0)))</f>
        <v/>
      </c>
      <c r="E1140" s="448">
        <f>IF($L1140&gt;P$5,MAX(0,P$3+ROUND((P$9*($L1140-P$5)),0)),IF($L1140&gt;P$4,P$3,ROUND($L1140*P$7,0)))</f>
        <v/>
      </c>
      <c r="F1140" s="447">
        <f>IF($L1140&gt;Q$5,MAX(0,Q$3+ROUND((Q$9*($L1140-Q$5)),0)),IF($L1140&gt;Q$4,Q$3,ROUND($L1140*Q$7,0)))</f>
        <v/>
      </c>
      <c r="G1140" s="1378">
        <f>IF($L1140&gt;R$5,MAX(0,R$3+ROUND((R$9*($L1140-R$5)),0)),IF($L1140&gt;R$4,R$3,ROUND($L1140*R$7,0)))</f>
        <v/>
      </c>
      <c r="H1140" s="448">
        <f>IF($L1140&gt;S$5,MAX(0,S$3+ROUND((S$9*($L1140-S$5)),0)),IF($L1140&gt;S$4,S$3,ROUND($L1140*S$7,0)))</f>
        <v/>
      </c>
      <c r="I1140" s="448">
        <f>IF($L1140&gt;T$5,MAX(0,T$3+ROUND((T$9*($L1140-T$5)),0)),IF($L1140&gt;T$4,T$3,ROUND($L1140*T$7,0)))</f>
        <v/>
      </c>
      <c r="J1140" s="447">
        <f>IF($L1140&gt;U$5,MAX(0,U$3+ROUND((U$9*($L1140-U$5)),0)),IF($L1140&gt;U$4,U$3,ROUND($L1140*U$7,0)))</f>
        <v/>
      </c>
      <c r="K1140" s="422" t="n"/>
      <c r="L1140" s="448">
        <f>ROUND((A1140+B1140)/2,2)</f>
        <v/>
      </c>
    </row>
    <row r="1141" ht="13.5" customHeight="1" s="7635">
      <c r="A1141" s="448" t="n">
        <v>56750</v>
      </c>
      <c r="B1141" s="447" t="n">
        <v>56800</v>
      </c>
      <c r="C1141" s="1378">
        <f>IF($L1141&gt;N$5,MAX(0,N$3+ROUND((N$9*($L1141-N$5)),0)),IF($L1141&gt;N$4,N$3,ROUND($L1141*N$7,0)))</f>
        <v/>
      </c>
      <c r="D1141" s="448">
        <f>IF($L1141&gt;O$5,MAX(0,O$3+ROUND((O$9*($L1141-O$5)),0)),IF($L1141&gt;O$4,O$3,ROUND($L1141*O$7,0)))</f>
        <v/>
      </c>
      <c r="E1141" s="448">
        <f>IF($L1141&gt;P$5,MAX(0,P$3+ROUND((P$9*($L1141-P$5)),0)),IF($L1141&gt;P$4,P$3,ROUND($L1141*P$7,0)))</f>
        <v/>
      </c>
      <c r="F1141" s="447">
        <f>IF($L1141&gt;Q$5,MAX(0,Q$3+ROUND((Q$9*($L1141-Q$5)),0)),IF($L1141&gt;Q$4,Q$3,ROUND($L1141*Q$7,0)))</f>
        <v/>
      </c>
      <c r="G1141" s="1378">
        <f>IF($L1141&gt;R$5,MAX(0,R$3+ROUND((R$9*($L1141-R$5)),0)),IF($L1141&gt;R$4,R$3,ROUND($L1141*R$7,0)))</f>
        <v/>
      </c>
      <c r="H1141" s="448">
        <f>IF($L1141&gt;S$5,MAX(0,S$3+ROUND((S$9*($L1141-S$5)),0)),IF($L1141&gt;S$4,S$3,ROUND($L1141*S$7,0)))</f>
        <v/>
      </c>
      <c r="I1141" s="448">
        <f>IF($L1141&gt;T$5,MAX(0,T$3+ROUND((T$9*($L1141-T$5)),0)),IF($L1141&gt;T$4,T$3,ROUND($L1141*T$7,0)))</f>
        <v/>
      </c>
      <c r="J1141" s="447">
        <f>IF($L1141&gt;U$5,MAX(0,U$3+ROUND((U$9*($L1141-U$5)),0)),IF($L1141&gt;U$4,U$3,ROUND($L1141*U$7,0)))</f>
        <v/>
      </c>
      <c r="K1141" s="422" t="n"/>
      <c r="L1141" s="448">
        <f>ROUND((A1141+B1141)/2,2)</f>
        <v/>
      </c>
    </row>
    <row r="1142" ht="13.5" customHeight="1" s="7635">
      <c r="A1142" s="448" t="n">
        <v>56800</v>
      </c>
      <c r="B1142" s="447" t="n">
        <v>56850</v>
      </c>
      <c r="C1142" s="1378">
        <f>IF($L1142&gt;N$5,MAX(0,N$3+ROUND((N$9*($L1142-N$5)),0)),IF($L1142&gt;N$4,N$3,ROUND($L1142*N$7,0)))</f>
        <v/>
      </c>
      <c r="D1142" s="448">
        <f>IF($L1142&gt;O$5,MAX(0,O$3+ROUND((O$9*($L1142-O$5)),0)),IF($L1142&gt;O$4,O$3,ROUND($L1142*O$7,0)))</f>
        <v/>
      </c>
      <c r="E1142" s="448">
        <f>IF($L1142&gt;P$5,MAX(0,P$3+ROUND((P$9*($L1142-P$5)),0)),IF($L1142&gt;P$4,P$3,ROUND($L1142*P$7,0)))</f>
        <v/>
      </c>
      <c r="F1142" s="447">
        <f>IF($L1142&gt;Q$5,MAX(0,Q$3+ROUND((Q$9*($L1142-Q$5)),0)),IF($L1142&gt;Q$4,Q$3,ROUND($L1142*Q$7,0)))</f>
        <v/>
      </c>
      <c r="G1142" s="1378">
        <f>IF($L1142&gt;R$5,MAX(0,R$3+ROUND((R$9*($L1142-R$5)),0)),IF($L1142&gt;R$4,R$3,ROUND($L1142*R$7,0)))</f>
        <v/>
      </c>
      <c r="H1142" s="448">
        <f>IF($L1142&gt;S$5,MAX(0,S$3+ROUND((S$9*($L1142-S$5)),0)),IF($L1142&gt;S$4,S$3,ROUND($L1142*S$7,0)))</f>
        <v/>
      </c>
      <c r="I1142" s="448">
        <f>IF($L1142&gt;T$5,MAX(0,T$3+ROUND((T$9*($L1142-T$5)),0)),IF($L1142&gt;T$4,T$3,ROUND($L1142*T$7,0)))</f>
        <v/>
      </c>
      <c r="J1142" s="447">
        <f>IF($L1142&gt;U$5,MAX(0,U$3+ROUND((U$9*($L1142-U$5)),0)),IF($L1142&gt;U$4,U$3,ROUND($L1142*U$7,0)))</f>
        <v/>
      </c>
      <c r="K1142" s="422" t="n"/>
      <c r="L1142" s="448">
        <f>ROUND((A1142+B1142)/2,2)</f>
        <v/>
      </c>
      <c r="M1142" s="2865" t="n"/>
    </row>
    <row r="1143" ht="13.5" customHeight="1" s="7635">
      <c r="A1143" s="448" t="n">
        <v>56850</v>
      </c>
      <c r="B1143" s="447" t="n">
        <v>56900</v>
      </c>
      <c r="C1143" s="1378">
        <f>IF($L1143&gt;N$5,MAX(0,N$3+ROUND((N$9*($L1143-N$5)),0)),IF($L1143&gt;N$4,N$3,ROUND($L1143*N$7,0)))</f>
        <v/>
      </c>
      <c r="D1143" s="448">
        <f>IF($L1143&gt;O$5,MAX(0,O$3+ROUND((O$9*($L1143-O$5)),0)),IF($L1143&gt;O$4,O$3,ROUND($L1143*O$7,0)))</f>
        <v/>
      </c>
      <c r="E1143" s="448">
        <f>IF($L1143&gt;P$5,MAX(0,P$3+ROUND((P$9*($L1143-P$5)),0)),IF($L1143&gt;P$4,P$3,ROUND($L1143*P$7,0)))</f>
        <v/>
      </c>
      <c r="F1143" s="447">
        <f>IF($L1143&gt;Q$5,MAX(0,Q$3+ROUND((Q$9*($L1143-Q$5)),0)),IF($L1143&gt;Q$4,Q$3,ROUND($L1143*Q$7,0)))</f>
        <v/>
      </c>
      <c r="G1143" s="1378">
        <f>IF($L1143&gt;R$5,MAX(0,R$3+ROUND((R$9*($L1143-R$5)),0)),IF($L1143&gt;R$4,R$3,ROUND($L1143*R$7,0)))</f>
        <v/>
      </c>
      <c r="H1143" s="448">
        <f>IF($L1143&gt;S$5,MAX(0,S$3+ROUND((S$9*($L1143-S$5)),0)),IF($L1143&gt;S$4,S$3,ROUND($L1143*S$7,0)))</f>
        <v/>
      </c>
      <c r="I1143" s="448">
        <f>IF($L1143&gt;T$5,MAX(0,T$3+ROUND((T$9*($L1143-T$5)),0)),IF($L1143&gt;T$4,T$3,ROUND($L1143*T$7,0)))</f>
        <v/>
      </c>
      <c r="J1143" s="447">
        <f>IF($L1143&gt;U$5,MAX(0,U$3+ROUND((U$9*($L1143-U$5)),0)),IF($L1143&gt;U$4,U$3,ROUND($L1143*U$7,0)))</f>
        <v/>
      </c>
      <c r="K1143" s="422" t="n"/>
      <c r="L1143" s="448">
        <f>ROUND((A1143+B1143)/2,2)</f>
        <v/>
      </c>
    </row>
    <row r="1144" ht="13.5" customHeight="1" s="7635">
      <c r="A1144" s="448" t="n">
        <v>56900</v>
      </c>
      <c r="B1144" s="447" t="n">
        <v>56950</v>
      </c>
      <c r="C1144" s="1378">
        <f>IF($L1144&gt;N$5,MAX(0,N$3+ROUND((N$9*($L1144-N$5)),0)),IF($L1144&gt;N$4,N$3,ROUND($L1144*N$7,0)))</f>
        <v/>
      </c>
      <c r="D1144" s="448">
        <f>IF($L1144&gt;O$5,MAX(0,O$3+ROUND((O$9*($L1144-O$5)),0)),IF($L1144&gt;O$4,O$3,ROUND($L1144*O$7,0)))</f>
        <v/>
      </c>
      <c r="E1144" s="448">
        <f>IF($L1144&gt;P$5,MAX(0,P$3+ROUND((P$9*($L1144-P$5)),0)),IF($L1144&gt;P$4,P$3,ROUND($L1144*P$7,0)))</f>
        <v/>
      </c>
      <c r="F1144" s="447">
        <f>IF($L1144&gt;Q$5,MAX(0,Q$3+ROUND((Q$9*($L1144-Q$5)),0)),IF($L1144&gt;Q$4,Q$3,ROUND($L1144*Q$7,0)))</f>
        <v/>
      </c>
      <c r="G1144" s="1378">
        <f>IF($L1144&gt;R$5,MAX(0,R$3+ROUND((R$9*($L1144-R$5)),0)),IF($L1144&gt;R$4,R$3,ROUND($L1144*R$7,0)))</f>
        <v/>
      </c>
      <c r="H1144" s="448">
        <f>IF($L1144&gt;S$5,MAX(0,S$3+ROUND((S$9*($L1144-S$5)),0)),IF($L1144&gt;S$4,S$3,ROUND($L1144*S$7,0)))</f>
        <v/>
      </c>
      <c r="I1144" s="448">
        <f>IF($L1144&gt;T$5,MAX(0,T$3+ROUND((T$9*($L1144-T$5)),0)),IF($L1144&gt;T$4,T$3,ROUND($L1144*T$7,0)))</f>
        <v/>
      </c>
      <c r="J1144" s="447">
        <f>IF($L1144&gt;U$5,MAX(0,U$3+ROUND((U$9*($L1144-U$5)),0)),IF($L1144&gt;U$4,U$3,ROUND($L1144*U$7,0)))</f>
        <v/>
      </c>
      <c r="K1144" s="422" t="n"/>
      <c r="L1144" s="448">
        <f>ROUND((A1144+B1144)/2,2)</f>
        <v/>
      </c>
    </row>
    <row r="1145" ht="13.5" customHeight="1" s="7635">
      <c r="A1145" s="448" t="n">
        <v>56950</v>
      </c>
      <c r="B1145" s="447" t="n">
        <v>57000</v>
      </c>
      <c r="C1145" s="1378">
        <f>IF($L1145&gt;N$5,MAX(0,N$3+ROUND((N$9*($L1145-N$5)),0)),IF($L1145&gt;N$4,N$3,ROUND($L1145*N$7,0)))</f>
        <v/>
      </c>
      <c r="D1145" s="448">
        <f>IF($L1145&gt;O$5,MAX(0,O$3+ROUND((O$9*($L1145-O$5)),0)),IF($L1145&gt;O$4,O$3,ROUND($L1145*O$7,0)))</f>
        <v/>
      </c>
      <c r="E1145" s="448">
        <f>IF($L1145&gt;P$5,MAX(0,P$3+ROUND((P$9*($L1145-P$5)),0)),IF($L1145&gt;P$4,P$3,ROUND($L1145*P$7,0)))</f>
        <v/>
      </c>
      <c r="F1145" s="447">
        <f>IF($L1145&gt;Q$5,MAX(0,Q$3+ROUND((Q$9*($L1145-Q$5)),0)),IF($L1145&gt;Q$4,Q$3,ROUND($L1145*Q$7,0)))</f>
        <v/>
      </c>
      <c r="G1145" s="1378">
        <f>IF($L1145&gt;R$5,MAX(0,R$3+ROUND((R$9*($L1145-R$5)),0)),IF($L1145&gt;R$4,R$3,ROUND($L1145*R$7,0)))</f>
        <v/>
      </c>
      <c r="H1145" s="448">
        <f>IF($L1145&gt;S$5,MAX(0,S$3+ROUND((S$9*($L1145-S$5)),0)),IF($L1145&gt;S$4,S$3,ROUND($L1145*S$7,0)))</f>
        <v/>
      </c>
      <c r="I1145" s="448">
        <f>IF($L1145&gt;T$5,MAX(0,T$3+ROUND((T$9*($L1145-T$5)),0)),IF($L1145&gt;T$4,T$3,ROUND($L1145*T$7,0)))</f>
        <v/>
      </c>
      <c r="J1145" s="447">
        <f>IF($L1145&gt;U$5,MAX(0,U$3+ROUND((U$9*($L1145-U$5)),0)),IF($L1145&gt;U$4,U$3,ROUND($L1145*U$7,0)))</f>
        <v/>
      </c>
      <c r="K1145" s="422" t="n"/>
      <c r="L1145" s="448">
        <f>ROUND((A1145+B1145)/2,2)</f>
        <v/>
      </c>
    </row>
    <row r="1146" ht="13.5" customHeight="1" s="7635">
      <c r="A1146" s="448" t="n">
        <v>57000</v>
      </c>
      <c r="B1146" s="447" t="n">
        <v>57050</v>
      </c>
      <c r="C1146" s="1378">
        <f>IF($L1146&gt;N$5,MAX(0,N$3+ROUND((N$9*($L1146-N$5)),0)),IF($L1146&gt;N$4,N$3,ROUND($L1146*N$7,0)))</f>
        <v/>
      </c>
      <c r="D1146" s="448">
        <f>IF($L1146&gt;O$5,MAX(0,O$3+ROUND((O$9*($L1146-O$5)),0)),IF($L1146&gt;O$4,O$3,ROUND($L1146*O$7,0)))</f>
        <v/>
      </c>
      <c r="E1146" s="448">
        <f>IF($L1146&gt;P$5,MAX(0,P$3+ROUND((P$9*($L1146-P$5)),0)),IF($L1146&gt;P$4,P$3,ROUND($L1146*P$7,0)))</f>
        <v/>
      </c>
      <c r="F1146" s="447">
        <f>IF($L1146&gt;Q$5,MAX(0,Q$3+ROUND((Q$9*($L1146-Q$5)),0)),IF($L1146&gt;Q$4,Q$3,ROUND($L1146*Q$7,0)))</f>
        <v/>
      </c>
      <c r="G1146" s="1378">
        <f>IF($L1146&gt;R$5,MAX(0,R$3+ROUND((R$9*($L1146-R$5)),0)),IF($L1146&gt;R$4,R$3,ROUND($L1146*R$7,0)))</f>
        <v/>
      </c>
      <c r="H1146" s="448">
        <f>IF($L1146&gt;S$5,MAX(0,S$3+ROUND((S$9*($L1146-S$5)),0)),IF($L1146&gt;S$4,S$3,ROUND($L1146*S$7,0)))</f>
        <v/>
      </c>
      <c r="I1146" s="448">
        <f>IF($L1146&gt;T$5,MAX(0,T$3+ROUND((T$9*($L1146-T$5)),0)),IF($L1146&gt;T$4,T$3,ROUND($L1146*T$7,0)))</f>
        <v/>
      </c>
      <c r="J1146" s="447">
        <f>IF($L1146&gt;U$5,MAX(0,U$3+ROUND((U$9*($L1146-U$5)),0)),IF($L1146&gt;U$4,U$3,ROUND($L1146*U$7,0)))</f>
        <v/>
      </c>
      <c r="K1146" s="422" t="n"/>
      <c r="L1146" s="448">
        <f>ROUND((A1146+B1146)/2,2)</f>
        <v/>
      </c>
    </row>
    <row r="1147" ht="13.5" customHeight="1" s="7635">
      <c r="A1147" s="448" t="n">
        <v>57050</v>
      </c>
      <c r="B1147" s="447" t="n">
        <v>57100</v>
      </c>
      <c r="C1147" s="1378">
        <f>IF($L1147&gt;N$5,MAX(0,N$3+ROUND((N$9*($L1147-N$5)),0)),IF($L1147&gt;N$4,N$3,ROUND($L1147*N$7,0)))</f>
        <v/>
      </c>
      <c r="D1147" s="448">
        <f>IF($L1147&gt;O$5,MAX(0,O$3+ROUND((O$9*($L1147-O$5)),0)),IF($L1147&gt;O$4,O$3,ROUND($L1147*O$7,0)))</f>
        <v/>
      </c>
      <c r="E1147" s="448">
        <f>IF($L1147&gt;P$5,MAX(0,P$3+ROUND((P$9*($L1147-P$5)),0)),IF($L1147&gt;P$4,P$3,ROUND($L1147*P$7,0)))</f>
        <v/>
      </c>
      <c r="F1147" s="447">
        <f>IF($L1147&gt;Q$5,MAX(0,Q$3+ROUND((Q$9*($L1147-Q$5)),0)),IF($L1147&gt;Q$4,Q$3,ROUND($L1147*Q$7,0)))</f>
        <v/>
      </c>
      <c r="G1147" s="1378">
        <f>IF($L1147&gt;R$5,MAX(0,R$3+ROUND((R$9*($L1147-R$5)),0)),IF($L1147&gt;R$4,R$3,ROUND($L1147*R$7,0)))</f>
        <v/>
      </c>
      <c r="H1147" s="448">
        <f>IF($L1147&gt;S$5,MAX(0,S$3+ROUND((S$9*($L1147-S$5)),0)),IF($L1147&gt;S$4,S$3,ROUND($L1147*S$7,0)))</f>
        <v/>
      </c>
      <c r="I1147" s="448">
        <f>IF($L1147&gt;T$5,MAX(0,T$3+ROUND((T$9*($L1147-T$5)),0)),IF($L1147&gt;T$4,T$3,ROUND($L1147*T$7,0)))</f>
        <v/>
      </c>
      <c r="J1147" s="447">
        <f>IF($L1147&gt;U$5,MAX(0,U$3+ROUND((U$9*($L1147-U$5)),0)),IF($L1147&gt;U$4,U$3,ROUND($L1147*U$7,0)))</f>
        <v/>
      </c>
      <c r="K1147" s="422" t="n"/>
      <c r="L1147" s="448">
        <f>ROUND((A1147+B1147)/2,2)</f>
        <v/>
      </c>
    </row>
    <row r="1148" ht="13.5" customHeight="1" s="7635">
      <c r="A1148" s="448" t="n">
        <v>57100</v>
      </c>
      <c r="B1148" s="447" t="n">
        <v>57150</v>
      </c>
      <c r="C1148" s="1378">
        <f>IF($L1148&gt;N$5,MAX(0,N$3+ROUND((N$9*($L1148-N$5)),0)),IF($L1148&gt;N$4,N$3,ROUND($L1148*N$7,0)))</f>
        <v/>
      </c>
      <c r="D1148" s="448">
        <f>IF($L1148&gt;O$5,MAX(0,O$3+ROUND((O$9*($L1148-O$5)),0)),IF($L1148&gt;O$4,O$3,ROUND($L1148*O$7,0)))</f>
        <v/>
      </c>
      <c r="E1148" s="448">
        <f>IF($L1148&gt;P$5,MAX(0,P$3+ROUND((P$9*($L1148-P$5)),0)),IF($L1148&gt;P$4,P$3,ROUND($L1148*P$7,0)))</f>
        <v/>
      </c>
      <c r="F1148" s="447">
        <f>IF($L1148&gt;Q$5,MAX(0,Q$3+ROUND((Q$9*($L1148-Q$5)),0)),IF($L1148&gt;Q$4,Q$3,ROUND($L1148*Q$7,0)))</f>
        <v/>
      </c>
      <c r="G1148" s="1378">
        <f>IF($L1148&gt;R$5,MAX(0,R$3+ROUND((R$9*($L1148-R$5)),0)),IF($L1148&gt;R$4,R$3,ROUND($L1148*R$7,0)))</f>
        <v/>
      </c>
      <c r="H1148" s="448">
        <f>IF($L1148&gt;S$5,MAX(0,S$3+ROUND((S$9*($L1148-S$5)),0)),IF($L1148&gt;S$4,S$3,ROUND($L1148*S$7,0)))</f>
        <v/>
      </c>
      <c r="I1148" s="448">
        <f>IF($L1148&gt;T$5,MAX(0,T$3+ROUND((T$9*($L1148-T$5)),0)),IF($L1148&gt;T$4,T$3,ROUND($L1148*T$7,0)))</f>
        <v/>
      </c>
      <c r="J1148" s="447">
        <f>IF($L1148&gt;U$5,MAX(0,U$3+ROUND((U$9*($L1148-U$5)),0)),IF($L1148&gt;U$4,U$3,ROUND($L1148*U$7,0)))</f>
        <v/>
      </c>
      <c r="K1148" s="422" t="n"/>
      <c r="L1148" s="448">
        <f>ROUND((A1148+B1148)/2,2)</f>
        <v/>
      </c>
    </row>
    <row r="1149" ht="13.5" customHeight="1" s="7635">
      <c r="A1149" s="448" t="n">
        <v>57150</v>
      </c>
      <c r="B1149" s="447" t="n">
        <v>57200</v>
      </c>
      <c r="C1149" s="1378">
        <f>IF($L1149&gt;N$5,MAX(0,N$3+ROUND((N$9*($L1149-N$5)),0)),IF($L1149&gt;N$4,N$3,ROUND($L1149*N$7,0)))</f>
        <v/>
      </c>
      <c r="D1149" s="448">
        <f>IF($L1149&gt;O$5,MAX(0,O$3+ROUND((O$9*($L1149-O$5)),0)),IF($L1149&gt;O$4,O$3,ROUND($L1149*O$7,0)))</f>
        <v/>
      </c>
      <c r="E1149" s="448">
        <f>IF($L1149&gt;P$5,MAX(0,P$3+ROUND((P$9*($L1149-P$5)),0)),IF($L1149&gt;P$4,P$3,ROUND($L1149*P$7,0)))</f>
        <v/>
      </c>
      <c r="F1149" s="447">
        <f>IF($L1149&gt;Q$5,MAX(0,Q$3+ROUND((Q$9*($L1149-Q$5)),0)),IF($L1149&gt;Q$4,Q$3,ROUND($L1149*Q$7,0)))</f>
        <v/>
      </c>
      <c r="G1149" s="1378">
        <f>IF($L1149&gt;R$5,MAX(0,R$3+ROUND((R$9*($L1149-R$5)),0)),IF($L1149&gt;R$4,R$3,ROUND($L1149*R$7,0)))</f>
        <v/>
      </c>
      <c r="H1149" s="448">
        <f>IF($L1149&gt;S$5,MAX(0,S$3+ROUND((S$9*($L1149-S$5)),0)),IF($L1149&gt;S$4,S$3,ROUND($L1149*S$7,0)))</f>
        <v/>
      </c>
      <c r="I1149" s="448">
        <f>IF($L1149&gt;T$5,MAX(0,T$3+ROUND((T$9*($L1149-T$5)),0)),IF($L1149&gt;T$4,T$3,ROUND($L1149*T$7,0)))</f>
        <v/>
      </c>
      <c r="J1149" s="447">
        <f>IF($L1149&gt;U$5,MAX(0,U$3+ROUND((U$9*($L1149-U$5)),0)),IF($L1149&gt;U$4,U$3,ROUND($L1149*U$7,0)))</f>
        <v/>
      </c>
      <c r="K1149" s="422" t="n"/>
      <c r="L1149" s="448">
        <f>ROUND((A1149+B1149)/2,2)</f>
        <v/>
      </c>
    </row>
    <row r="1150" ht="13.5" customHeight="1" s="7635">
      <c r="A1150" s="448" t="n">
        <v>57200</v>
      </c>
      <c r="B1150" s="447" t="n">
        <v>57250</v>
      </c>
      <c r="C1150" s="1378">
        <f>IF($L1150&gt;N$5,MAX(0,N$3+ROUND((N$9*($L1150-N$5)),0)),IF($L1150&gt;N$4,N$3,ROUND($L1150*N$7,0)))</f>
        <v/>
      </c>
      <c r="D1150" s="448">
        <f>IF($L1150&gt;O$5,MAX(0,O$3+ROUND((O$9*($L1150-O$5)),0)),IF($L1150&gt;O$4,O$3,ROUND($L1150*O$7,0)))</f>
        <v/>
      </c>
      <c r="E1150" s="448">
        <f>IF($L1150&gt;P$5,MAX(0,P$3+ROUND((P$9*($L1150-P$5)),0)),IF($L1150&gt;P$4,P$3,ROUND($L1150*P$7,0)))</f>
        <v/>
      </c>
      <c r="F1150" s="447">
        <f>IF($L1150&gt;Q$5,MAX(0,Q$3+ROUND((Q$9*($L1150-Q$5)),0)),IF($L1150&gt;Q$4,Q$3,ROUND($L1150*Q$7,0)))</f>
        <v/>
      </c>
      <c r="G1150" s="1378">
        <f>IF($L1150&gt;R$5,MAX(0,R$3+ROUND((R$9*($L1150-R$5)),0)),IF($L1150&gt;R$4,R$3,ROUND($L1150*R$7,0)))</f>
        <v/>
      </c>
      <c r="H1150" s="448">
        <f>IF($L1150&gt;S$5,MAX(0,S$3+ROUND((S$9*($L1150-S$5)),0)),IF($L1150&gt;S$4,S$3,ROUND($L1150*S$7,0)))</f>
        <v/>
      </c>
      <c r="I1150" s="448">
        <f>IF($L1150&gt;T$5,MAX(0,T$3+ROUND((T$9*($L1150-T$5)),0)),IF($L1150&gt;T$4,T$3,ROUND($L1150*T$7,0)))</f>
        <v/>
      </c>
      <c r="J1150" s="447">
        <f>IF($L1150&gt;U$5,MAX(0,U$3+ROUND((U$9*($L1150-U$5)),0)),IF($L1150&gt;U$4,U$3,ROUND($L1150*U$7,0)))</f>
        <v/>
      </c>
      <c r="K1150" s="422" t="n"/>
      <c r="L1150" s="448">
        <f>ROUND((A1150+B1150)/2,2)</f>
        <v/>
      </c>
    </row>
    <row r="1151" ht="14.25" customHeight="1" s="7635" thickBot="1">
      <c r="A1151" s="448" t="n">
        <v>57250</v>
      </c>
      <c r="B1151" s="447" t="n">
        <v>57300</v>
      </c>
      <c r="C1151" s="1378">
        <f>IF($L1151&gt;N$5,MAX(0,N$3+ROUND((N$9*($L1151-N$5)),0)),IF($L1151&gt;N$4,N$3,ROUND($L1151*N$7,0)))</f>
        <v/>
      </c>
      <c r="D1151" s="448">
        <f>IF($L1151&gt;O$5,MAX(0,O$3+ROUND((O$9*($L1151-O$5)),0)),IF($L1151&gt;O$4,O$3,ROUND($L1151*O$7,0)))</f>
        <v/>
      </c>
      <c r="E1151" s="448">
        <f>IF($L1151&gt;P$5,MAX(0,P$3+ROUND((P$9*($L1151-P$5)),0)),IF($L1151&gt;P$4,P$3,ROUND($L1151*P$7,0)))</f>
        <v/>
      </c>
      <c r="F1151" s="447">
        <f>IF($L1151&gt;Q$5,MAX(0,Q$3+ROUND((Q$9*($L1151-Q$5)),0)),IF($L1151&gt;Q$4,Q$3,ROUND($L1151*Q$7,0)))</f>
        <v/>
      </c>
      <c r="G1151" s="1378">
        <f>IF($L1151&gt;R$5,MAX(0,R$3+ROUND((R$9*($L1151-R$5)),0)),IF($L1151&gt;R$4,R$3,ROUND($L1151*R$7,0)))</f>
        <v/>
      </c>
      <c r="H1151" s="448">
        <f>IF($L1151&gt;S$5,MAX(0,S$3+ROUND((S$9*($L1151-S$5)),0)),IF($L1151&gt;S$4,S$3,ROUND($L1151*S$7,0)))</f>
        <v/>
      </c>
      <c r="I1151" s="448">
        <f>IF($L1151&gt;T$5,MAX(0,T$3+ROUND((T$9*($L1151-T$5)),0)),IF($L1151&gt;T$4,T$3,ROUND($L1151*T$7,0)))</f>
        <v/>
      </c>
      <c r="J1151" s="447">
        <f>IF($L1151&gt;U$5,MAX(0,U$3+ROUND((U$9*($L1151-U$5)),0)),IF($L1151&gt;U$4,U$3,ROUND($L1151*U$7,0)))</f>
        <v/>
      </c>
      <c r="K1151" s="422" t="n"/>
      <c r="L1151" s="448">
        <f>ROUND((A1151+B1151)/2,2)</f>
        <v/>
      </c>
    </row>
    <row r="1152" ht="13.5" customHeight="1" s="7635">
      <c r="A1152" s="6556" t="n">
        <v>57300</v>
      </c>
      <c r="B1152" s="6557" t="n">
        <v>57310</v>
      </c>
      <c r="C1152" s="1378">
        <f>IF($L1152&gt;N$5,MAX(0,N$3+ROUND((N$9*($L1152-N$5)),0)),IF($L1152&gt;N$4,N$3,ROUND($L1152*N$7,0)))</f>
        <v/>
      </c>
      <c r="D1152" s="448">
        <f>IF($L1152&gt;O$5,MAX(0,O$3+ROUND((O$9*($L1152-O$5)),0)),IF($L1152&gt;O$4,O$3,ROUND($L1152*O$7,0)))</f>
        <v/>
      </c>
      <c r="E1152" s="448">
        <f>IF($L1152&gt;P$5,MAX(0,P$3+ROUND((P$9*($L1152-P$5)),0)),IF($L1152&gt;P$4,P$3,ROUND($L1152*P$7,0)))</f>
        <v/>
      </c>
      <c r="F1152" s="447">
        <f>IF($L1152&gt;Q$5,MAX(0,Q$3+ROUND((Q$9*($L1152-Q$5)),0)),IF($L1152&gt;Q$4,Q$3,ROUND($L1152*Q$7,0)))</f>
        <v/>
      </c>
      <c r="G1152" s="1378">
        <f>IF($L1152&gt;R$5,MAX(0,R$3+ROUND((R$9*($L1152-R$5)),0)),IF($L1152&gt;R$4,R$3,ROUND($L1152*R$7,0)))</f>
        <v/>
      </c>
      <c r="H1152" s="448">
        <f>IF($L1152&gt;S$5,MAX(0,S$3+ROUND((S$9*($L1152-S$5)),0)),IF($L1152&gt;S$4,S$3,ROUND($L1152*S$7,0)))</f>
        <v/>
      </c>
      <c r="I1152" s="448">
        <f>IF($L1152&gt;T$5,MAX(0,T$3+ROUND((T$9*($L1152-T$5)),0)),IF($L1152&gt;T$4,T$3,ROUND($L1152*T$7,0)))</f>
        <v/>
      </c>
      <c r="J1152" s="447">
        <f>IF($L1152&gt;U$5,MAX(0,U$3+ROUND((U$9*($L1152-U$5)),0)),IF($L1152&gt;U$4,U$3,ROUND($L1152*U$7,0)))</f>
        <v/>
      </c>
      <c r="K1152" s="422" t="n"/>
      <c r="L1152" s="448">
        <f>ROUND((A1152+B1152)/2,2)</f>
        <v/>
      </c>
    </row>
    <row r="1153" ht="14.25" customHeight="1" s="7635" thickBot="1">
      <c r="A1153" s="6558" t="n">
        <v>57310</v>
      </c>
      <c r="B1153" s="6559" t="n">
        <v>57350</v>
      </c>
      <c r="C1153" s="1378">
        <f>IF($L1153&gt;N$5,MAX(0,N$3+ROUND((N$9*($L1153-N$5)),0)),IF($L1153&gt;N$4,N$3,ROUND($L1153*N$7,0)))</f>
        <v/>
      </c>
      <c r="D1153" s="448">
        <f>IF($L1153&gt;O$5,MAX(0,O$3+ROUND((O$9*($L1153-O$5)),0)),IF($L1153&gt;O$4,O$3,ROUND($L1153*O$7,0)))</f>
        <v/>
      </c>
      <c r="E1153" s="448">
        <f>IF($L1153&gt;P$5,MAX(0,P$3+ROUND((P$9*($L1153-P$5)),0)),IF($L1153&gt;P$4,P$3,ROUND($L1153*P$7,0)))</f>
        <v/>
      </c>
      <c r="F1153" s="6561" t="n">
        <v>895</v>
      </c>
      <c r="G1153" s="6562">
        <f>IF($L1153&gt;R$5,MAX(0,R$3+ROUND((R$9*($L1153-R$5)),0)),IF($L1153&gt;R$4,R$3,ROUND($L1153*R$7,0)))</f>
        <v/>
      </c>
      <c r="H1153" s="6560" t="n">
        <v>40</v>
      </c>
      <c r="I1153" s="6560" t="n">
        <v>1501</v>
      </c>
      <c r="J1153" s="6561" t="n">
        <v>2395</v>
      </c>
      <c r="K1153" s="422" t="n"/>
      <c r="L1153" s="448">
        <f>ROUND((A1153+B1153)/2,2)</f>
        <v/>
      </c>
    </row>
    <row r="1154" ht="13.5" customHeight="1" s="7635">
      <c r="A1154" s="448" t="n">
        <v>57350</v>
      </c>
      <c r="B1154" s="447" t="n">
        <v>57400</v>
      </c>
      <c r="C1154" s="1378">
        <f>IF($L1154&gt;N$5,MAX(0,N$3+ROUND((N$9*($L1154-N$5)),0)),IF($L1154&gt;N$4,N$3,ROUND($L1154*N$7,0)))</f>
        <v/>
      </c>
      <c r="D1154" s="448">
        <f>IF($L1154&gt;O$5,MAX(0,O$3+ROUND((O$9*($L1154-O$5)),0)),IF($L1154&gt;O$4,O$3,ROUND($L1154*O$7,0)))</f>
        <v/>
      </c>
      <c r="E1154" s="448">
        <f>IF($L1154&gt;P$5,MAX(0,P$3+ROUND((P$9*($L1154-P$5)),0)),IF($L1154&gt;P$4,P$3,ROUND($L1154*P$7,0)))</f>
        <v/>
      </c>
      <c r="F1154" s="447">
        <f>IF($L1154&gt;Q$5,MAX(0,Q$3+ROUND((Q$9*($L1154-Q$5)),0)),IF($L1154&gt;Q$4,Q$3,ROUND($L1154*Q$7,0)))</f>
        <v/>
      </c>
      <c r="G1154" s="1378">
        <f>IF($L1154&gt;R$5,MAX(0,R$3+ROUND((R$9*($L1154-R$5)),0)),IF($L1154&gt;R$4,R$3,ROUND($L1154*R$7,0)))</f>
        <v/>
      </c>
      <c r="H1154" s="448">
        <f>IF($L1154&gt;S$5,MAX(0,S$3+ROUND((S$9*($L1154-S$5)),0)),IF($L1154&gt;S$4,S$3,ROUND($L1154*S$7,0)))</f>
        <v/>
      </c>
      <c r="I1154" s="448">
        <f>IF($L1154&gt;T$5,MAX(0,T$3+ROUND((T$9*($L1154-T$5)),0)),IF($L1154&gt;T$4,T$3,ROUND($L1154*T$7,0)))</f>
        <v/>
      </c>
      <c r="J1154" s="447">
        <f>IF($L1154&gt;U$5,MAX(0,U$3+ROUND((U$9*($L1154-U$5)),0)),IF($L1154&gt;U$4,U$3,ROUND($L1154*U$7,0)))</f>
        <v/>
      </c>
      <c r="K1154" s="422" t="n"/>
      <c r="L1154" s="448">
        <f>ROUND((A1154+B1154)/2,2)</f>
        <v/>
      </c>
    </row>
    <row r="1155" ht="13.5" customHeight="1" s="7635">
      <c r="A1155" s="448" t="n">
        <v>57400</v>
      </c>
      <c r="B1155" s="447" t="n">
        <v>57450</v>
      </c>
      <c r="C1155" s="1378">
        <f>IF($L1155&gt;N$5,MAX(0,N$3+ROUND((N$9*($L1155-N$5)),0)),IF($L1155&gt;N$4,N$3,ROUND($L1155*N$7,0)))</f>
        <v/>
      </c>
      <c r="D1155" s="448">
        <f>IF($L1155&gt;O$5,MAX(0,O$3+ROUND((O$9*($L1155-O$5)),0)),IF($L1155&gt;O$4,O$3,ROUND($L1155*O$7,0)))</f>
        <v/>
      </c>
      <c r="E1155" s="448">
        <f>IF($L1155&gt;P$5,MAX(0,P$3+ROUND((P$9*($L1155-P$5)),0)),IF($L1155&gt;P$4,P$3,ROUND($L1155*P$7,0)))</f>
        <v/>
      </c>
      <c r="F1155" s="447">
        <f>IF($L1155&gt;Q$5,MAX(0,Q$3+ROUND((Q$9*($L1155-Q$5)),0)),IF($L1155&gt;Q$4,Q$3,ROUND($L1155*Q$7,0)))</f>
        <v/>
      </c>
      <c r="G1155" s="1378">
        <f>IF($L1155&gt;R$5,MAX(0,R$3+ROUND((R$9*($L1155-R$5)),0)),IF($L1155&gt;R$4,R$3,ROUND($L1155*R$7,0)))</f>
        <v/>
      </c>
      <c r="H1155" s="448">
        <f>IF($L1155&gt;S$5,MAX(0,S$3+ROUND((S$9*($L1155-S$5)),0)),IF($L1155&gt;S$4,S$3,ROUND($L1155*S$7,0)))</f>
        <v/>
      </c>
      <c r="I1155" s="448">
        <f>IF($L1155&gt;T$5,MAX(0,T$3+ROUND((T$9*($L1155-T$5)),0)),IF($L1155&gt;T$4,T$3,ROUND($L1155*T$7,0)))</f>
        <v/>
      </c>
      <c r="J1155" s="447">
        <f>IF($L1155&gt;U$5,MAX(0,U$3+ROUND((U$9*($L1155-U$5)),0)),IF($L1155&gt;U$4,U$3,ROUND($L1155*U$7,0)))</f>
        <v/>
      </c>
      <c r="K1155" s="422" t="n"/>
      <c r="L1155" s="448">
        <f>ROUND((A1155+B1155)/2,2)</f>
        <v/>
      </c>
    </row>
    <row r="1156" ht="13.5" customHeight="1" s="7635">
      <c r="A1156" s="448" t="n">
        <v>57450</v>
      </c>
      <c r="B1156" s="447" t="n">
        <v>57500</v>
      </c>
      <c r="C1156" s="1378">
        <f>IF($L1156&gt;N$5,MAX(0,N$3+ROUND((N$9*($L1156-N$5)),0)),IF($L1156&gt;N$4,N$3,ROUND($L1156*N$7,0)))</f>
        <v/>
      </c>
      <c r="D1156" s="448">
        <f>IF($L1156&gt;O$5,MAX(0,O$3+ROUND((O$9*($L1156-O$5)),0)),IF($L1156&gt;O$4,O$3,ROUND($L1156*O$7,0)))</f>
        <v/>
      </c>
      <c r="E1156" s="448">
        <f>IF($L1156&gt;P$5,MAX(0,P$3+ROUND((P$9*($L1156-P$5)),0)),IF($L1156&gt;P$4,P$3,ROUND($L1156*P$7,0)))</f>
        <v/>
      </c>
      <c r="F1156" s="447">
        <f>IF($L1156&gt;Q$5,MAX(0,Q$3+ROUND((Q$9*($L1156-Q$5)),0)),IF($L1156&gt;Q$4,Q$3,ROUND($L1156*Q$7,0)))</f>
        <v/>
      </c>
      <c r="G1156" s="1378">
        <f>IF($L1156&gt;R$5,MAX(0,R$3+ROUND((R$9*($L1156-R$5)),0)),IF($L1156&gt;R$4,R$3,ROUND($L1156*R$7,0)))</f>
        <v/>
      </c>
      <c r="H1156" s="448">
        <f>IF($L1156&gt;S$5,MAX(0,S$3+ROUND((S$9*($L1156-S$5)),0)),IF($L1156&gt;S$4,S$3,ROUND($L1156*S$7,0)))</f>
        <v/>
      </c>
      <c r="I1156" s="448">
        <f>IF($L1156&gt;T$5,MAX(0,T$3+ROUND((T$9*($L1156-T$5)),0)),IF($L1156&gt;T$4,T$3,ROUND($L1156*T$7,0)))</f>
        <v/>
      </c>
      <c r="J1156" s="447">
        <f>IF($L1156&gt;U$5,MAX(0,U$3+ROUND((U$9*($L1156-U$5)),0)),IF($L1156&gt;U$4,U$3,ROUND($L1156*U$7,0)))</f>
        <v/>
      </c>
      <c r="K1156" s="422" t="n"/>
      <c r="L1156" s="448">
        <f>ROUND((A1156+B1156)/2,2)</f>
        <v/>
      </c>
    </row>
    <row r="1157" ht="14.25" customHeight="1" s="7635" thickBot="1">
      <c r="A1157" s="448" t="n">
        <v>57500</v>
      </c>
      <c r="B1157" s="447" t="n">
        <v>57550</v>
      </c>
      <c r="C1157" s="1378">
        <f>IF($L1157&gt;N$5,MAX(0,N$3+ROUND((N$9*($L1157-N$5)),0)),IF($L1157&gt;N$4,N$3,ROUND($L1157*N$7,0)))</f>
        <v/>
      </c>
      <c r="D1157" s="448">
        <f>IF($L1157&gt;O$5,MAX(0,O$3+ROUND((O$9*($L1157-O$5)),0)),IF($L1157&gt;O$4,O$3,ROUND($L1157*O$7,0)))</f>
        <v/>
      </c>
      <c r="E1157" s="448">
        <f>IF($L1157&gt;P$5,MAX(0,P$3+ROUND((P$9*($L1157-P$5)),0)),IF($L1157&gt;P$4,P$3,ROUND($L1157*P$7,0)))</f>
        <v/>
      </c>
      <c r="F1157" s="447">
        <f>IF($L1157&gt;Q$5,MAX(0,Q$3+ROUND((Q$9*($L1157-Q$5)),0)),IF($L1157&gt;Q$4,Q$3,ROUND($L1157*Q$7,0)))</f>
        <v/>
      </c>
      <c r="G1157" s="1378">
        <f>IF($L1157&gt;R$5,MAX(0,R$3+ROUND((R$9*($L1157-R$5)),0)),IF($L1157&gt;R$4,R$3,ROUND($L1157*R$7,0)))</f>
        <v/>
      </c>
      <c r="H1157" s="448">
        <f>IF($L1157&gt;S$5,MAX(0,S$3+ROUND((S$9*($L1157-S$5)),0)),IF($L1157&gt;S$4,S$3,ROUND($L1157*S$7,0)))</f>
        <v/>
      </c>
      <c r="I1157" s="448">
        <f>IF($L1157&gt;T$5,MAX(0,T$3+ROUND((T$9*($L1157-T$5)),0)),IF($L1157&gt;T$4,T$3,ROUND($L1157*T$7,0)))</f>
        <v/>
      </c>
      <c r="J1157" s="447">
        <f>IF($L1157&gt;U$5,MAX(0,U$3+ROUND((U$9*($L1157-U$5)),0)),IF($L1157&gt;U$4,U$3,ROUND($L1157*U$7,0)))</f>
        <v/>
      </c>
      <c r="K1157" s="422" t="n"/>
      <c r="L1157" s="448">
        <f>ROUND((A1157+B1157)/2,2)</f>
        <v/>
      </c>
    </row>
    <row r="1158" ht="13.5" customHeight="1" s="7635">
      <c r="A1158" s="6556" t="n">
        <v>57550</v>
      </c>
      <c r="B1158" s="6557" t="n">
        <v>57554</v>
      </c>
      <c r="C1158" s="1378">
        <f>IF($L1158&gt;N$5,MAX(0,N$3+ROUND((N$9*($L1158-N$5)),0)),IF($L1158&gt;N$4,N$3,ROUND($L1158*N$7,0)))</f>
        <v/>
      </c>
      <c r="D1158" s="448">
        <f>IF($L1158&gt;O$5,MAX(0,O$3+ROUND((O$9*($L1158-O$5)),0)),IF($L1158&gt;O$4,O$3,ROUND($L1158*O$7,0)))</f>
        <v/>
      </c>
      <c r="E1158" s="448">
        <f>IF($L1158&gt;P$5,MAX(0,P$3+ROUND((P$9*($L1158-P$5)),0)),IF($L1158&gt;P$4,P$3,ROUND($L1158*P$7,0)))</f>
        <v/>
      </c>
      <c r="F1158" s="447">
        <f>IF($L1158&gt;Q$5,MAX(0,Q$3+ROUND((Q$9*($L1158-Q$5)),0)),IF($L1158&gt;Q$4,Q$3,ROUND($L1158*Q$7,0)))</f>
        <v/>
      </c>
      <c r="G1158" s="1378">
        <f>IF($L1158&gt;R$5,MAX(0,R$3+ROUND((R$9*($L1158-R$5)),0)),IF($L1158&gt;R$4,R$3,ROUND($L1158*R$7,0)))</f>
        <v/>
      </c>
      <c r="H1158" s="448">
        <f>IF($L1158&gt;S$5,MAX(0,S$3+ROUND((S$9*($L1158-S$5)),0)),IF($L1158&gt;S$4,S$3,ROUND($L1158*S$7,0)))</f>
        <v/>
      </c>
      <c r="I1158" s="448">
        <f>IF($L1158&gt;T$5,MAX(0,T$3+ROUND((T$9*($L1158-T$5)),0)),IF($L1158&gt;T$4,T$3,ROUND($L1158*T$7,0)))</f>
        <v/>
      </c>
      <c r="J1158" s="447">
        <f>IF($L1158&gt;U$5,MAX(0,U$3+ROUND((U$9*($L1158-U$5)),0)),IF($L1158&gt;U$4,U$3,ROUND($L1158*U$7,0)))</f>
        <v/>
      </c>
      <c r="K1158" s="422" t="n"/>
      <c r="L1158" s="448">
        <f>ROUND((A1158+B1158)/2,2)</f>
        <v/>
      </c>
    </row>
    <row r="1159" ht="14.25" customHeight="1" s="7635" thickBot="1">
      <c r="A1159" s="6558" t="n">
        <v>57554</v>
      </c>
      <c r="B1159" s="6559" t="n">
        <v>57600</v>
      </c>
      <c r="C1159" s="1378">
        <f>IF($L1159&gt;N$5,MAX(0,N$3+ROUND((N$9*($L1159-N$5)),0)),IF($L1159&gt;N$4,N$3,ROUND($L1159*N$7,0)))</f>
        <v/>
      </c>
      <c r="D1159" s="448">
        <f>IF($L1159&gt;O$5,MAX(0,O$3+ROUND((O$9*($L1159-O$5)),0)),IF($L1159&gt;O$4,O$3,ROUND($L1159*O$7,0)))</f>
        <v/>
      </c>
      <c r="E1159" s="448">
        <f>IF($L1159&gt;P$5,MAX(0,P$3+ROUND((P$9*($L1159-P$5)),0)),IF($L1159&gt;P$4,P$3,ROUND($L1159*P$7,0)))</f>
        <v/>
      </c>
      <c r="F1159" s="6561" t="n">
        <v>843</v>
      </c>
      <c r="G1159" s="1378">
        <f>IF($L1159&gt;R$5,MAX(0,R$3+ROUND((R$9*($L1159-R$5)),0)),IF($L1159&gt;R$4,R$3,ROUND($L1159*R$7,0)))</f>
        <v/>
      </c>
      <c r="H1159" s="448">
        <f>IF($L1159&gt;S$5,MAX(0,S$3+ROUND((S$9*($L1159-S$5)),0)),IF($L1159&gt;S$4,S$3,ROUND($L1159*S$7,0)))</f>
        <v/>
      </c>
      <c r="I1159" s="6560" t="n">
        <v>1449</v>
      </c>
      <c r="J1159" s="6561" t="n">
        <v>2343</v>
      </c>
      <c r="K1159" s="422" t="n"/>
      <c r="L1159" s="448">
        <f>ROUND((A1159+B1159)/2,2)</f>
        <v/>
      </c>
    </row>
    <row r="1160" ht="13.5" customHeight="1" s="7635">
      <c r="A1160" s="448" t="n">
        <v>57600</v>
      </c>
      <c r="B1160" s="447" t="n">
        <v>57650</v>
      </c>
      <c r="C1160" s="1378">
        <f>IF($L1160&gt;N$5,MAX(0,N$3+ROUND((N$9*($L1160-N$5)),0)),IF($L1160&gt;N$4,N$3,ROUND($L1160*N$7,0)))</f>
        <v/>
      </c>
      <c r="D1160" s="448">
        <f>IF($L1160&gt;O$5,MAX(0,O$3+ROUND((O$9*($L1160-O$5)),0)),IF($L1160&gt;O$4,O$3,ROUND($L1160*O$7,0)))</f>
        <v/>
      </c>
      <c r="E1160" s="448">
        <f>IF($L1160&gt;P$5,MAX(0,P$3+ROUND((P$9*($L1160-P$5)),0)),IF($L1160&gt;P$4,P$3,ROUND($L1160*P$7,0)))</f>
        <v/>
      </c>
      <c r="F1160" s="447">
        <f>IF($L1160&gt;Q$5,MAX(0,Q$3+ROUND((Q$9*($L1160-Q$5)),0)),IF($L1160&gt;Q$4,Q$3,ROUND($L1160*Q$7,0)))</f>
        <v/>
      </c>
      <c r="G1160" s="1378">
        <f>IF($L1160&gt;R$5,MAX(0,R$3+ROUND((R$9*($L1160-R$5)),0)),IF($L1160&gt;R$4,R$3,ROUND($L1160*R$7,0)))</f>
        <v/>
      </c>
      <c r="H1160" s="448">
        <f>IF($L1160&gt;S$5,MAX(0,S$3+ROUND((S$9*($L1160-S$5)),0)),IF($L1160&gt;S$4,S$3,ROUND($L1160*S$7,0)))</f>
        <v/>
      </c>
      <c r="I1160" s="448">
        <f>IF($L1160&gt;T$5,MAX(0,T$3+ROUND((T$9*($L1160-T$5)),0)),IF($L1160&gt;T$4,T$3,ROUND($L1160*T$7,0)))</f>
        <v/>
      </c>
      <c r="J1160" s="447">
        <f>IF($L1160&gt;U$5,MAX(0,U$3+ROUND((U$9*($L1160-U$5)),0)),IF($L1160&gt;U$4,U$3,ROUND($L1160*U$7,0)))</f>
        <v/>
      </c>
      <c r="K1160" s="422" t="n"/>
      <c r="L1160" s="448">
        <f>ROUND((A1160+B1160)/2,2)</f>
        <v/>
      </c>
    </row>
    <row r="1161" ht="13.5" customHeight="1" s="7635">
      <c r="A1161" s="448" t="n">
        <v>57650</v>
      </c>
      <c r="B1161" s="447" t="n">
        <v>57700</v>
      </c>
      <c r="C1161" s="1378">
        <f>IF($L1161&gt;N$5,MAX(0,N$3+ROUND((N$9*($L1161-N$5)),0)),IF($L1161&gt;N$4,N$3,ROUND($L1161*N$7,0)))</f>
        <v/>
      </c>
      <c r="D1161" s="448">
        <f>IF($L1161&gt;O$5,MAX(0,O$3+ROUND((O$9*($L1161-O$5)),0)),IF($L1161&gt;O$4,O$3,ROUND($L1161*O$7,0)))</f>
        <v/>
      </c>
      <c r="E1161" s="448">
        <f>IF($L1161&gt;P$5,MAX(0,P$3+ROUND((P$9*($L1161-P$5)),0)),IF($L1161&gt;P$4,P$3,ROUND($L1161*P$7,0)))</f>
        <v/>
      </c>
      <c r="F1161" s="447">
        <f>IF($L1161&gt;Q$5,MAX(0,Q$3+ROUND((Q$9*($L1161-Q$5)),0)),IF($L1161&gt;Q$4,Q$3,ROUND($L1161*Q$7,0)))</f>
        <v/>
      </c>
      <c r="G1161" s="1378">
        <f>IF($L1161&gt;R$5,MAX(0,R$3+ROUND((R$9*($L1161-R$5)),0)),IF($L1161&gt;R$4,R$3,ROUND($L1161*R$7,0)))</f>
        <v/>
      </c>
      <c r="H1161" s="448">
        <f>IF($L1161&gt;S$5,MAX(0,S$3+ROUND((S$9*($L1161-S$5)),0)),IF($L1161&gt;S$4,S$3,ROUND($L1161*S$7,0)))</f>
        <v/>
      </c>
      <c r="I1161" s="448">
        <f>IF($L1161&gt;T$5,MAX(0,T$3+ROUND((T$9*($L1161-T$5)),0)),IF($L1161&gt;T$4,T$3,ROUND($L1161*T$7,0)))</f>
        <v/>
      </c>
      <c r="J1161" s="447">
        <f>IF($L1161&gt;U$5,MAX(0,U$3+ROUND((U$9*($L1161-U$5)),0)),IF($L1161&gt;U$4,U$3,ROUND($L1161*U$7,0)))</f>
        <v/>
      </c>
      <c r="K1161" s="422" t="n"/>
      <c r="L1161" s="448">
        <f>ROUND((A1161+B1161)/2,2)</f>
        <v/>
      </c>
    </row>
    <row r="1162" ht="13.5" customHeight="1" s="7635">
      <c r="A1162" s="448" t="n">
        <v>57700</v>
      </c>
      <c r="B1162" s="447" t="n">
        <v>57750</v>
      </c>
      <c r="C1162" s="1378">
        <f>IF($L1162&gt;N$5,MAX(0,N$3+ROUND((N$9*($L1162-N$5)),0)),IF($L1162&gt;N$4,N$3,ROUND($L1162*N$7,0)))</f>
        <v/>
      </c>
      <c r="D1162" s="448">
        <f>IF($L1162&gt;O$5,MAX(0,O$3+ROUND((O$9*($L1162-O$5)),0)),IF($L1162&gt;O$4,O$3,ROUND($L1162*O$7,0)))</f>
        <v/>
      </c>
      <c r="E1162" s="448">
        <f>IF($L1162&gt;P$5,MAX(0,P$3+ROUND((P$9*($L1162-P$5)),0)),IF($L1162&gt;P$4,P$3,ROUND($L1162*P$7,0)))</f>
        <v/>
      </c>
      <c r="F1162" s="447">
        <f>IF($L1162&gt;Q$5,MAX(0,Q$3+ROUND((Q$9*($L1162-Q$5)),0)),IF($L1162&gt;Q$4,Q$3,ROUND($L1162*Q$7,0)))</f>
        <v/>
      </c>
      <c r="G1162" s="1378">
        <f>IF($L1162&gt;R$5,MAX(0,R$3+ROUND((R$9*($L1162-R$5)),0)),IF($L1162&gt;R$4,R$3,ROUND($L1162*R$7,0)))</f>
        <v/>
      </c>
      <c r="H1162" s="448">
        <f>IF($L1162&gt;S$5,MAX(0,S$3+ROUND((S$9*($L1162-S$5)),0)),IF($L1162&gt;S$4,S$3,ROUND($L1162*S$7,0)))</f>
        <v/>
      </c>
      <c r="I1162" s="448">
        <f>IF($L1162&gt;T$5,MAX(0,T$3+ROUND((T$9*($L1162-T$5)),0)),IF($L1162&gt;T$4,T$3,ROUND($L1162*T$7,0)))</f>
        <v/>
      </c>
      <c r="J1162" s="447">
        <f>IF($L1162&gt;U$5,MAX(0,U$3+ROUND((U$9*($L1162-U$5)),0)),IF($L1162&gt;U$4,U$3,ROUND($L1162*U$7,0)))</f>
        <v/>
      </c>
      <c r="K1162" s="422" t="n"/>
      <c r="L1162" s="448">
        <f>ROUND((A1162+B1162)/2,2)</f>
        <v/>
      </c>
    </row>
    <row r="1163" ht="13.5" customHeight="1" s="7635">
      <c r="A1163" s="448" t="n">
        <v>57750</v>
      </c>
      <c r="B1163" s="447" t="n">
        <v>57800</v>
      </c>
      <c r="C1163" s="1378">
        <f>IF($L1163&gt;N$5,MAX(0,N$3+ROUND((N$9*($L1163-N$5)),0)),IF($L1163&gt;N$4,N$3,ROUND($L1163*N$7,0)))</f>
        <v/>
      </c>
      <c r="D1163" s="448">
        <f>IF($L1163&gt;O$5,MAX(0,O$3+ROUND((O$9*($L1163-O$5)),0)),IF($L1163&gt;O$4,O$3,ROUND($L1163*O$7,0)))</f>
        <v/>
      </c>
      <c r="E1163" s="448">
        <f>IF($L1163&gt;P$5,MAX(0,P$3+ROUND((P$9*($L1163-P$5)),0)),IF($L1163&gt;P$4,P$3,ROUND($L1163*P$7,0)))</f>
        <v/>
      </c>
      <c r="F1163" s="447">
        <f>IF($L1163&gt;Q$5,MAX(0,Q$3+ROUND((Q$9*($L1163-Q$5)),0)),IF($L1163&gt;Q$4,Q$3,ROUND($L1163*Q$7,0)))</f>
        <v/>
      </c>
      <c r="G1163" s="1378">
        <f>IF($L1163&gt;R$5,MAX(0,R$3+ROUND((R$9*($L1163-R$5)),0)),IF($L1163&gt;R$4,R$3,ROUND($L1163*R$7,0)))</f>
        <v/>
      </c>
      <c r="H1163" s="448">
        <f>IF($L1163&gt;S$5,MAX(0,S$3+ROUND((S$9*($L1163-S$5)),0)),IF($L1163&gt;S$4,S$3,ROUND($L1163*S$7,0)))</f>
        <v/>
      </c>
      <c r="I1163" s="448">
        <f>IF($L1163&gt;T$5,MAX(0,T$3+ROUND((T$9*($L1163-T$5)),0)),IF($L1163&gt;T$4,T$3,ROUND($L1163*T$7,0)))</f>
        <v/>
      </c>
      <c r="J1163" s="447">
        <f>IF($L1163&gt;U$5,MAX(0,U$3+ROUND((U$9*($L1163-U$5)),0)),IF($L1163&gt;U$4,U$3,ROUND($L1163*U$7,0)))</f>
        <v/>
      </c>
      <c r="K1163" s="422" t="n"/>
      <c r="L1163" s="448">
        <f>ROUND((A1163+B1163)/2,2)</f>
        <v/>
      </c>
    </row>
    <row r="1164" ht="13.5" customHeight="1" s="7635">
      <c r="A1164" s="448" t="n">
        <v>57800</v>
      </c>
      <c r="B1164" s="447" t="n">
        <v>57850</v>
      </c>
      <c r="C1164" s="1378">
        <f>IF($L1164&gt;N$5,MAX(0,N$3+ROUND((N$9*($L1164-N$5)),0)),IF($L1164&gt;N$4,N$3,ROUND($L1164*N$7,0)))</f>
        <v/>
      </c>
      <c r="D1164" s="448">
        <f>IF($L1164&gt;O$5,MAX(0,O$3+ROUND((O$9*($L1164-O$5)),0)),IF($L1164&gt;O$4,O$3,ROUND($L1164*O$7,0)))</f>
        <v/>
      </c>
      <c r="E1164" s="448">
        <f>IF($L1164&gt;P$5,MAX(0,P$3+ROUND((P$9*($L1164-P$5)),0)),IF($L1164&gt;P$4,P$3,ROUND($L1164*P$7,0)))</f>
        <v/>
      </c>
      <c r="F1164" s="447">
        <f>IF($L1164&gt;Q$5,MAX(0,Q$3+ROUND((Q$9*($L1164-Q$5)),0)),IF($L1164&gt;Q$4,Q$3,ROUND($L1164*Q$7,0)))</f>
        <v/>
      </c>
      <c r="G1164" s="1378">
        <f>IF($L1164&gt;R$5,MAX(0,R$3+ROUND((R$9*($L1164-R$5)),0)),IF($L1164&gt;R$4,R$3,ROUND($L1164*R$7,0)))</f>
        <v/>
      </c>
      <c r="H1164" s="448">
        <f>IF($L1164&gt;S$5,MAX(0,S$3+ROUND((S$9*($L1164-S$5)),0)),IF($L1164&gt;S$4,S$3,ROUND($L1164*S$7,0)))</f>
        <v/>
      </c>
      <c r="I1164" s="448">
        <f>IF($L1164&gt;T$5,MAX(0,T$3+ROUND((T$9*($L1164-T$5)),0)),IF($L1164&gt;T$4,T$3,ROUND($L1164*T$7,0)))</f>
        <v/>
      </c>
      <c r="J1164" s="447">
        <f>IF($L1164&gt;U$5,MAX(0,U$3+ROUND((U$9*($L1164-U$5)),0)),IF($L1164&gt;U$4,U$3,ROUND($L1164*U$7,0)))</f>
        <v/>
      </c>
      <c r="K1164" s="422" t="n"/>
      <c r="L1164" s="448">
        <f>ROUND((A1164+B1164)/2,2)</f>
        <v/>
      </c>
    </row>
    <row r="1165" ht="13.5" customHeight="1" s="7635">
      <c r="A1165" s="448" t="n">
        <v>57850</v>
      </c>
      <c r="B1165" s="447" t="n">
        <v>57900</v>
      </c>
      <c r="C1165" s="1378">
        <f>IF($L1165&gt;N$5,MAX(0,N$3+ROUND((N$9*($L1165-N$5)),0)),IF($L1165&gt;N$4,N$3,ROUND($L1165*N$7,0)))</f>
        <v/>
      </c>
      <c r="D1165" s="448">
        <f>IF($L1165&gt;O$5,MAX(0,O$3+ROUND((O$9*($L1165-O$5)),0)),IF($L1165&gt;O$4,O$3,ROUND($L1165*O$7,0)))</f>
        <v/>
      </c>
      <c r="E1165" s="448">
        <f>IF($L1165&gt;P$5,MAX(0,P$3+ROUND((P$9*($L1165-P$5)),0)),IF($L1165&gt;P$4,P$3,ROUND($L1165*P$7,0)))</f>
        <v/>
      </c>
      <c r="F1165" s="447">
        <f>IF($L1165&gt;Q$5,MAX(0,Q$3+ROUND((Q$9*($L1165-Q$5)),0)),IF($L1165&gt;Q$4,Q$3,ROUND($L1165*Q$7,0)))</f>
        <v/>
      </c>
      <c r="G1165" s="1378">
        <f>IF($L1165&gt;R$5,MAX(0,R$3+ROUND((R$9*($L1165-R$5)),0)),IF($L1165&gt;R$4,R$3,ROUND($L1165*R$7,0)))</f>
        <v/>
      </c>
      <c r="H1165" s="448">
        <f>IF($L1165&gt;S$5,MAX(0,S$3+ROUND((S$9*($L1165-S$5)),0)),IF($L1165&gt;S$4,S$3,ROUND($L1165*S$7,0)))</f>
        <v/>
      </c>
      <c r="I1165" s="448">
        <f>IF($L1165&gt;T$5,MAX(0,T$3+ROUND((T$9*($L1165-T$5)),0)),IF($L1165&gt;T$4,T$3,ROUND($L1165*T$7,0)))</f>
        <v/>
      </c>
      <c r="J1165" s="447">
        <f>IF($L1165&gt;U$5,MAX(0,U$3+ROUND((U$9*($L1165-U$5)),0)),IF($L1165&gt;U$4,U$3,ROUND($L1165*U$7,0)))</f>
        <v/>
      </c>
      <c r="K1165" s="422" t="n"/>
      <c r="L1165" s="448">
        <f>ROUND((A1165+B1165)/2,2)</f>
        <v/>
      </c>
    </row>
    <row r="1166" ht="13.5" customHeight="1" s="7635">
      <c r="A1166" s="448" t="n">
        <v>57900</v>
      </c>
      <c r="B1166" s="447" t="n">
        <v>57950</v>
      </c>
      <c r="C1166" s="1378">
        <f>IF($L1166&gt;N$5,MAX(0,N$3+ROUND((N$9*($L1166-N$5)),0)),IF($L1166&gt;N$4,N$3,ROUND($L1166*N$7,0)))</f>
        <v/>
      </c>
      <c r="D1166" s="448">
        <f>IF($L1166&gt;O$5,MAX(0,O$3+ROUND((O$9*($L1166-O$5)),0)),IF($L1166&gt;O$4,O$3,ROUND($L1166*O$7,0)))</f>
        <v/>
      </c>
      <c r="E1166" s="448">
        <f>IF($L1166&gt;P$5,MAX(0,P$3+ROUND((P$9*($L1166-P$5)),0)),IF($L1166&gt;P$4,P$3,ROUND($L1166*P$7,0)))</f>
        <v/>
      </c>
      <c r="F1166" s="447">
        <f>IF($L1166&gt;Q$5,MAX(0,Q$3+ROUND((Q$9*($L1166-Q$5)),0)),IF($L1166&gt;Q$4,Q$3,ROUND($L1166*Q$7,0)))</f>
        <v/>
      </c>
      <c r="G1166" s="1378">
        <f>IF($L1166&gt;R$5,MAX(0,R$3+ROUND((R$9*($L1166-R$5)),0)),IF($L1166&gt;R$4,R$3,ROUND($L1166*R$7,0)))</f>
        <v/>
      </c>
      <c r="H1166" s="448">
        <f>IF($L1166&gt;S$5,MAX(0,S$3+ROUND((S$9*($L1166-S$5)),0)),IF($L1166&gt;S$4,S$3,ROUND($L1166*S$7,0)))</f>
        <v/>
      </c>
      <c r="I1166" s="448">
        <f>IF($L1166&gt;T$5,MAX(0,T$3+ROUND((T$9*($L1166-T$5)),0)),IF($L1166&gt;T$4,T$3,ROUND($L1166*T$7,0)))</f>
        <v/>
      </c>
      <c r="J1166" s="447">
        <f>IF($L1166&gt;U$5,MAX(0,U$3+ROUND((U$9*($L1166-U$5)),0)),IF($L1166&gt;U$4,U$3,ROUND($L1166*U$7,0)))</f>
        <v/>
      </c>
      <c r="L1166" s="448">
        <f>ROUND((A1166+B1166)/2,2)</f>
        <v/>
      </c>
    </row>
    <row r="1167" ht="13.5" customHeight="1" s="7635">
      <c r="A1167" s="448" t="n">
        <v>57950</v>
      </c>
      <c r="B1167" s="447" t="n">
        <v>58000</v>
      </c>
      <c r="C1167" s="1378">
        <f>IF($L1167&gt;N$5,MAX(0,N$3+ROUND((N$9*($L1167-N$5)),0)),IF($L1167&gt;N$4,N$3,ROUND($L1167*N$7,0)))</f>
        <v/>
      </c>
      <c r="D1167" s="448">
        <f>IF($L1167&gt;O$5,MAX(0,O$3+ROUND((O$9*($L1167-O$5)),0)),IF($L1167&gt;O$4,O$3,ROUND($L1167*O$7,0)))</f>
        <v/>
      </c>
      <c r="E1167" s="448">
        <f>IF($L1167&gt;P$5,MAX(0,P$3+ROUND((P$9*($L1167-P$5)),0)),IF($L1167&gt;P$4,P$3,ROUND($L1167*P$7,0)))</f>
        <v/>
      </c>
      <c r="F1167" s="447">
        <f>IF($L1167&gt;Q$5,MAX(0,Q$3+ROUND((Q$9*($L1167-Q$5)),0)),IF($L1167&gt;Q$4,Q$3,ROUND($L1167*Q$7,0)))</f>
        <v/>
      </c>
      <c r="G1167" s="1378">
        <f>IF($L1167&gt;R$5,MAX(0,R$3+ROUND((R$9*($L1167-R$5)),0)),IF($L1167&gt;R$4,R$3,ROUND($L1167*R$7,0)))</f>
        <v/>
      </c>
      <c r="H1167" s="448">
        <f>IF($L1167&gt;S$5,MAX(0,S$3+ROUND((S$9*($L1167-S$5)),0)),IF($L1167&gt;S$4,S$3,ROUND($L1167*S$7,0)))</f>
        <v/>
      </c>
      <c r="I1167" s="448">
        <f>IF($L1167&gt;T$5,MAX(0,T$3+ROUND((T$9*($L1167-T$5)),0)),IF($L1167&gt;T$4,T$3,ROUND($L1167*T$7,0)))</f>
        <v/>
      </c>
      <c r="J1167" s="447">
        <f>IF($L1167&gt;U$5,MAX(0,U$3+ROUND((U$9*($L1167-U$5)),0)),IF($L1167&gt;U$4,U$3,ROUND($L1167*U$7,0)))</f>
        <v/>
      </c>
      <c r="L1167" s="448">
        <f>ROUND((A1167+B1167)/2,2)</f>
        <v/>
      </c>
    </row>
    <row r="1168" ht="13.5" customHeight="1" s="7635">
      <c r="A1168" s="448" t="n">
        <v>58000</v>
      </c>
      <c r="B1168" s="447" t="n">
        <v>58050</v>
      </c>
      <c r="C1168" s="1378">
        <f>IF($L1168&gt;N$5,MAX(0,N$3+ROUND((N$9*($L1168-N$5)),0)),IF($L1168&gt;N$4,N$3,ROUND($L1168*N$7,0)))</f>
        <v/>
      </c>
      <c r="D1168" s="448">
        <f>IF($L1168&gt;O$5,MAX(0,O$3+ROUND((O$9*($L1168-O$5)),0)),IF($L1168&gt;O$4,O$3,ROUND($L1168*O$7,0)))</f>
        <v/>
      </c>
      <c r="E1168" s="448">
        <f>IF($L1168&gt;P$5,MAX(0,P$3+ROUND((P$9*($L1168-P$5)),0)),IF($L1168&gt;P$4,P$3,ROUND($L1168*P$7,0)))</f>
        <v/>
      </c>
      <c r="F1168" s="447">
        <f>IF($L1168&gt;Q$5,MAX(0,Q$3+ROUND((Q$9*($L1168-Q$5)),0)),IF($L1168&gt;Q$4,Q$3,ROUND($L1168*Q$7,0)))</f>
        <v/>
      </c>
      <c r="G1168" s="1378">
        <f>IF($L1168&gt;R$5,MAX(0,R$3+ROUND((R$9*($L1168-R$5)),0)),IF($L1168&gt;R$4,R$3,ROUND($L1168*R$7,0)))</f>
        <v/>
      </c>
      <c r="H1168" s="448">
        <f>IF($L1168&gt;S$5,MAX(0,S$3+ROUND((S$9*($L1168-S$5)),0)),IF($L1168&gt;S$4,S$3,ROUND($L1168*S$7,0)))</f>
        <v/>
      </c>
      <c r="I1168" s="448">
        <f>IF($L1168&gt;T$5,MAX(0,T$3+ROUND((T$9*($L1168-T$5)),0)),IF($L1168&gt;T$4,T$3,ROUND($L1168*T$7,0)))</f>
        <v/>
      </c>
      <c r="J1168" s="447">
        <f>IF($L1168&gt;U$5,MAX(0,U$3+ROUND((U$9*($L1168-U$5)),0)),IF($L1168&gt;U$4,U$3,ROUND($L1168*U$7,0)))</f>
        <v/>
      </c>
      <c r="L1168" s="448">
        <f>ROUND((A1168+B1168)/2,2)</f>
        <v/>
      </c>
    </row>
    <row r="1169" ht="13.5" customHeight="1" s="7635">
      <c r="A1169" s="448" t="n">
        <v>58050</v>
      </c>
      <c r="B1169" s="447" t="n">
        <v>58100</v>
      </c>
      <c r="C1169" s="1378">
        <f>IF($L1169&gt;N$5,MAX(0,N$3+ROUND((N$9*($L1169-N$5)),0)),IF($L1169&gt;N$4,N$3,ROUND($L1169*N$7,0)))</f>
        <v/>
      </c>
      <c r="D1169" s="448">
        <f>IF($L1169&gt;O$5,MAX(0,O$3+ROUND((O$9*($L1169-O$5)),0)),IF($L1169&gt;O$4,O$3,ROUND($L1169*O$7,0)))</f>
        <v/>
      </c>
      <c r="E1169" s="448">
        <f>IF($L1169&gt;P$5,MAX(0,P$3+ROUND((P$9*($L1169-P$5)),0)),IF($L1169&gt;P$4,P$3,ROUND($L1169*P$7,0)))</f>
        <v/>
      </c>
      <c r="F1169" s="447">
        <f>IF($L1169&gt;Q$5,MAX(0,Q$3+ROUND((Q$9*($L1169-Q$5)),0)),IF($L1169&gt;Q$4,Q$3,ROUND($L1169*Q$7,0)))</f>
        <v/>
      </c>
      <c r="G1169" s="1378">
        <f>IF($L1169&gt;R$5,MAX(0,R$3+ROUND((R$9*($L1169-R$5)),0)),IF($L1169&gt;R$4,R$3,ROUND($L1169*R$7,0)))</f>
        <v/>
      </c>
      <c r="H1169" s="448">
        <f>IF($L1169&gt;S$5,MAX(0,S$3+ROUND((S$9*($L1169-S$5)),0)),IF($L1169&gt;S$4,S$3,ROUND($L1169*S$7,0)))</f>
        <v/>
      </c>
      <c r="I1169" s="448">
        <f>IF($L1169&gt;T$5,MAX(0,T$3+ROUND((T$9*($L1169-T$5)),0)),IF($L1169&gt;T$4,T$3,ROUND($L1169*T$7,0)))</f>
        <v/>
      </c>
      <c r="J1169" s="447">
        <f>IF($L1169&gt;U$5,MAX(0,U$3+ROUND((U$9*($L1169-U$5)),0)),IF($L1169&gt;U$4,U$3,ROUND($L1169*U$7,0)))</f>
        <v/>
      </c>
      <c r="L1169" s="448">
        <f>ROUND((A1169+B1169)/2,2)</f>
        <v/>
      </c>
    </row>
    <row r="1170" ht="13.5" customHeight="1" s="7635">
      <c r="A1170" s="448" t="n">
        <v>58100</v>
      </c>
      <c r="B1170" s="447" t="n">
        <v>58150</v>
      </c>
      <c r="C1170" s="1378">
        <f>IF($L1170&gt;N$5,MAX(0,N$3+ROUND((N$9*($L1170-N$5)),0)),IF($L1170&gt;N$4,N$3,ROUND($L1170*N$7,0)))</f>
        <v/>
      </c>
      <c r="D1170" s="448">
        <f>IF($L1170&gt;O$5,MAX(0,O$3+ROUND((O$9*($L1170-O$5)),0)),IF($L1170&gt;O$4,O$3,ROUND($L1170*O$7,0)))</f>
        <v/>
      </c>
      <c r="E1170" s="448">
        <f>IF($L1170&gt;P$5,MAX(0,P$3+ROUND((P$9*($L1170-P$5)),0)),IF($L1170&gt;P$4,P$3,ROUND($L1170*P$7,0)))</f>
        <v/>
      </c>
      <c r="F1170" s="447">
        <f>IF($L1170&gt;Q$5,MAX(0,Q$3+ROUND((Q$9*($L1170-Q$5)),0)),IF($L1170&gt;Q$4,Q$3,ROUND($L1170*Q$7,0)))</f>
        <v/>
      </c>
      <c r="G1170" s="1378">
        <f>IF($L1170&gt;R$5,MAX(0,R$3+ROUND((R$9*($L1170-R$5)),0)),IF($L1170&gt;R$4,R$3,ROUND($L1170*R$7,0)))</f>
        <v/>
      </c>
      <c r="H1170" s="448">
        <f>IF($L1170&gt;S$5,MAX(0,S$3+ROUND((S$9*($L1170-S$5)),0)),IF($L1170&gt;S$4,S$3,ROUND($L1170*S$7,0)))</f>
        <v/>
      </c>
      <c r="I1170" s="448">
        <f>IF($L1170&gt;T$5,MAX(0,T$3+ROUND((T$9*($L1170-T$5)),0)),IF($L1170&gt;T$4,T$3,ROUND($L1170*T$7,0)))</f>
        <v/>
      </c>
      <c r="J1170" s="447">
        <f>IF($L1170&gt;U$5,MAX(0,U$3+ROUND((U$9*($L1170-U$5)),0)),IF($L1170&gt;U$4,U$3,ROUND($L1170*U$7,0)))</f>
        <v/>
      </c>
      <c r="L1170" s="448">
        <f>ROUND((A1170+B1170)/2,2)</f>
        <v/>
      </c>
    </row>
    <row r="1171" ht="13.5" customHeight="1" s="7635">
      <c r="A1171" s="448" t="n">
        <v>58150</v>
      </c>
      <c r="B1171" s="447" t="n">
        <v>58200</v>
      </c>
      <c r="C1171" s="1378">
        <f>IF($L1171&gt;N$5,MAX(0,N$3+ROUND((N$9*($L1171-N$5)),0)),IF($L1171&gt;N$4,N$3,ROUND($L1171*N$7,0)))</f>
        <v/>
      </c>
      <c r="D1171" s="448">
        <f>IF($L1171&gt;O$5,MAX(0,O$3+ROUND((O$9*($L1171-O$5)),0)),IF($L1171&gt;O$4,O$3,ROUND($L1171*O$7,0)))</f>
        <v/>
      </c>
      <c r="E1171" s="448">
        <f>IF($L1171&gt;P$5,MAX(0,P$3+ROUND((P$9*($L1171-P$5)),0)),IF($L1171&gt;P$4,P$3,ROUND($L1171*P$7,0)))</f>
        <v/>
      </c>
      <c r="F1171" s="447">
        <f>IF($L1171&gt;Q$5,MAX(0,Q$3+ROUND((Q$9*($L1171-Q$5)),0)),IF($L1171&gt;Q$4,Q$3,ROUND($L1171*Q$7,0)))</f>
        <v/>
      </c>
      <c r="G1171" s="1378">
        <f>IF($L1171&gt;R$5,MAX(0,R$3+ROUND((R$9*($L1171-R$5)),0)),IF($L1171&gt;R$4,R$3,ROUND($L1171*R$7,0)))</f>
        <v/>
      </c>
      <c r="H1171" s="448">
        <f>IF($L1171&gt;S$5,MAX(0,S$3+ROUND((S$9*($L1171-S$5)),0)),IF($L1171&gt;S$4,S$3,ROUND($L1171*S$7,0)))</f>
        <v/>
      </c>
      <c r="I1171" s="448">
        <f>IF($L1171&gt;T$5,MAX(0,T$3+ROUND((T$9*($L1171-T$5)),0)),IF($L1171&gt;T$4,T$3,ROUND($L1171*T$7,0)))</f>
        <v/>
      </c>
      <c r="J1171" s="447">
        <f>IF($L1171&gt;U$5,MAX(0,U$3+ROUND((U$9*($L1171-U$5)),0)),IF($L1171&gt;U$4,U$3,ROUND($L1171*U$7,0)))</f>
        <v/>
      </c>
      <c r="L1171" s="448">
        <f>ROUND((A1171+B1171)/2,2)</f>
        <v/>
      </c>
    </row>
    <row r="1172" ht="13.5" customHeight="1" s="7635">
      <c r="A1172" s="448" t="n">
        <v>58200</v>
      </c>
      <c r="B1172" s="447" t="n">
        <v>58250</v>
      </c>
      <c r="C1172" s="1378">
        <f>IF($L1172&gt;N$5,MAX(0,N$3+ROUND((N$9*($L1172-N$5)),0)),IF($L1172&gt;N$4,N$3,ROUND($L1172*N$7,0)))</f>
        <v/>
      </c>
      <c r="D1172" s="448">
        <f>IF($L1172&gt;O$5,MAX(0,O$3+ROUND((O$9*($L1172-O$5)),0)),IF($L1172&gt;O$4,O$3,ROUND($L1172*O$7,0)))</f>
        <v/>
      </c>
      <c r="E1172" s="448">
        <f>IF($L1172&gt;P$5,MAX(0,P$3+ROUND((P$9*($L1172-P$5)),0)),IF($L1172&gt;P$4,P$3,ROUND($L1172*P$7,0)))</f>
        <v/>
      </c>
      <c r="F1172" s="447">
        <f>IF($L1172&gt;Q$5,MAX(0,Q$3+ROUND((Q$9*($L1172-Q$5)),0)),IF($L1172&gt;Q$4,Q$3,ROUND($L1172*Q$7,0)))</f>
        <v/>
      </c>
      <c r="G1172" s="1378">
        <f>IF($L1172&gt;R$5,MAX(0,R$3+ROUND((R$9*($L1172-R$5)),0)),IF($L1172&gt;R$4,R$3,ROUND($L1172*R$7,0)))</f>
        <v/>
      </c>
      <c r="H1172" s="448">
        <f>IF($L1172&gt;S$5,MAX(0,S$3+ROUND((S$9*($L1172-S$5)),0)),IF($L1172&gt;S$4,S$3,ROUND($L1172*S$7,0)))</f>
        <v/>
      </c>
      <c r="I1172" s="448">
        <f>IF($L1172&gt;T$5,MAX(0,T$3+ROUND((T$9*($L1172-T$5)),0)),IF($L1172&gt;T$4,T$3,ROUND($L1172*T$7,0)))</f>
        <v/>
      </c>
      <c r="J1172" s="447">
        <f>IF($L1172&gt;U$5,MAX(0,U$3+ROUND((U$9*($L1172-U$5)),0)),IF($L1172&gt;U$4,U$3,ROUND($L1172*U$7,0)))</f>
        <v/>
      </c>
      <c r="L1172" s="448">
        <f>ROUND((A1172+B1172)/2,2)</f>
        <v/>
      </c>
    </row>
    <row r="1173" ht="13.5" customHeight="1" s="7635">
      <c r="A1173" s="448" t="n">
        <v>58250</v>
      </c>
      <c r="B1173" s="447" t="n">
        <v>58300</v>
      </c>
      <c r="C1173" s="1378">
        <f>IF($L1173&gt;N$5,MAX(0,N$3+ROUND((N$9*($L1173-N$5)),0)),IF($L1173&gt;N$4,N$3,ROUND($L1173*N$7,0)))</f>
        <v/>
      </c>
      <c r="D1173" s="448">
        <f>IF($L1173&gt;O$5,MAX(0,O$3+ROUND((O$9*($L1173-O$5)),0)),IF($L1173&gt;O$4,O$3,ROUND($L1173*O$7,0)))</f>
        <v/>
      </c>
      <c r="E1173" s="448">
        <f>IF($L1173&gt;P$5,MAX(0,P$3+ROUND((P$9*($L1173-P$5)),0)),IF($L1173&gt;P$4,P$3,ROUND($L1173*P$7,0)))</f>
        <v/>
      </c>
      <c r="F1173" s="447">
        <f>IF($L1173&gt;Q$5,MAX(0,Q$3+ROUND((Q$9*($L1173-Q$5)),0)),IF($L1173&gt;Q$4,Q$3,ROUND($L1173*Q$7,0)))</f>
        <v/>
      </c>
      <c r="G1173" s="1378">
        <f>IF($L1173&gt;R$5,MAX(0,R$3+ROUND((R$9*($L1173-R$5)),0)),IF($L1173&gt;R$4,R$3,ROUND($L1173*R$7,0)))</f>
        <v/>
      </c>
      <c r="H1173" s="448">
        <f>IF($L1173&gt;S$5,MAX(0,S$3+ROUND((S$9*($L1173-S$5)),0)),IF($L1173&gt;S$4,S$3,ROUND($L1173*S$7,0)))</f>
        <v/>
      </c>
      <c r="I1173" s="448">
        <f>IF($L1173&gt;T$5,MAX(0,T$3+ROUND((T$9*($L1173-T$5)),0)),IF($L1173&gt;T$4,T$3,ROUND($L1173*T$7,0)))</f>
        <v/>
      </c>
      <c r="J1173" s="447">
        <f>IF($L1173&gt;U$5,MAX(0,U$3+ROUND((U$9*($L1173-U$5)),0)),IF($L1173&gt;U$4,U$3,ROUND($L1173*U$7,0)))</f>
        <v/>
      </c>
      <c r="L1173" s="448">
        <f>ROUND((A1173+B1173)/2,2)</f>
        <v/>
      </c>
    </row>
    <row r="1174" ht="13.5" customHeight="1" s="7635">
      <c r="A1174" s="448" t="n">
        <v>58300</v>
      </c>
      <c r="B1174" s="447" t="n">
        <v>58350</v>
      </c>
      <c r="C1174" s="1378">
        <f>IF($L1174&gt;N$5,MAX(0,N$3+ROUND((N$9*($L1174-N$5)),0)),IF($L1174&gt;N$4,N$3,ROUND($L1174*N$7,0)))</f>
        <v/>
      </c>
      <c r="D1174" s="448">
        <f>IF($L1174&gt;O$5,MAX(0,O$3+ROUND((O$9*($L1174-O$5)),0)),IF($L1174&gt;O$4,O$3,ROUND($L1174*O$7,0)))</f>
        <v/>
      </c>
      <c r="E1174" s="448">
        <f>IF($L1174&gt;P$5,MAX(0,P$3+ROUND((P$9*($L1174-P$5)),0)),IF($L1174&gt;P$4,P$3,ROUND($L1174*P$7,0)))</f>
        <v/>
      </c>
      <c r="F1174" s="447">
        <f>IF($L1174&gt;Q$5,MAX(0,Q$3+ROUND((Q$9*($L1174-Q$5)),0)),IF($L1174&gt;Q$4,Q$3,ROUND($L1174*Q$7,0)))</f>
        <v/>
      </c>
      <c r="G1174" s="1378">
        <f>IF($L1174&gt;R$5,MAX(0,R$3+ROUND((R$9*($L1174-R$5)),0)),IF($L1174&gt;R$4,R$3,ROUND($L1174*R$7,0)))</f>
        <v/>
      </c>
      <c r="H1174" s="448">
        <f>IF($L1174&gt;S$5,MAX(0,S$3+ROUND((S$9*($L1174-S$5)),0)),IF($L1174&gt;S$4,S$3,ROUND($L1174*S$7,0)))</f>
        <v/>
      </c>
      <c r="I1174" s="448">
        <f>IF($L1174&gt;T$5,MAX(0,T$3+ROUND((T$9*($L1174-T$5)),0)),IF($L1174&gt;T$4,T$3,ROUND($L1174*T$7,0)))</f>
        <v/>
      </c>
      <c r="J1174" s="447">
        <f>IF($L1174&gt;U$5,MAX(0,U$3+ROUND((U$9*($L1174-U$5)),0)),IF($L1174&gt;U$4,U$3,ROUND($L1174*U$7,0)))</f>
        <v/>
      </c>
      <c r="L1174" s="448">
        <f>ROUND((A1174+B1174)/2,2)</f>
        <v/>
      </c>
    </row>
    <row r="1175" ht="13.5" customHeight="1" s="7635">
      <c r="A1175" s="448" t="n">
        <v>58350</v>
      </c>
      <c r="B1175" s="447" t="n">
        <v>58400</v>
      </c>
      <c r="C1175" s="1378">
        <f>IF($L1175&gt;N$5,MAX(0,N$3+ROUND((N$9*($L1175-N$5)),0)),IF($L1175&gt;N$4,N$3,ROUND($L1175*N$7,0)))</f>
        <v/>
      </c>
      <c r="D1175" s="448">
        <f>IF($L1175&gt;O$5,MAX(0,O$3+ROUND((O$9*($L1175-O$5)),0)),IF($L1175&gt;O$4,O$3,ROUND($L1175*O$7,0)))</f>
        <v/>
      </c>
      <c r="E1175" s="448">
        <f>IF($L1175&gt;P$5,MAX(0,P$3+ROUND((P$9*($L1175-P$5)),0)),IF($L1175&gt;P$4,P$3,ROUND($L1175*P$7,0)))</f>
        <v/>
      </c>
      <c r="F1175" s="447">
        <f>IF($L1175&gt;Q$5,MAX(0,Q$3+ROUND((Q$9*($L1175-Q$5)),0)),IF($L1175&gt;Q$4,Q$3,ROUND($L1175*Q$7,0)))</f>
        <v/>
      </c>
      <c r="G1175" s="1378">
        <f>IF($L1175&gt;R$5,MAX(0,R$3+ROUND((R$9*($L1175-R$5)),0)),IF($L1175&gt;R$4,R$3,ROUND($L1175*R$7,0)))</f>
        <v/>
      </c>
      <c r="H1175" s="448">
        <f>IF($L1175&gt;S$5,MAX(0,S$3+ROUND((S$9*($L1175-S$5)),0)),IF($L1175&gt;S$4,S$3,ROUND($L1175*S$7,0)))</f>
        <v/>
      </c>
      <c r="I1175" s="448">
        <f>IF($L1175&gt;T$5,MAX(0,T$3+ROUND((T$9*($L1175-T$5)),0)),IF($L1175&gt;T$4,T$3,ROUND($L1175*T$7,0)))</f>
        <v/>
      </c>
      <c r="J1175" s="447">
        <f>IF($L1175&gt;U$5,MAX(0,U$3+ROUND((U$9*($L1175-U$5)),0)),IF($L1175&gt;U$4,U$3,ROUND($L1175*U$7,0)))</f>
        <v/>
      </c>
      <c r="L1175" s="448">
        <f>ROUND((A1175+B1175)/2,2)</f>
        <v/>
      </c>
    </row>
    <row r="1176" ht="13.5" customHeight="1" s="7635">
      <c r="A1176" s="448" t="n">
        <v>58400</v>
      </c>
      <c r="B1176" s="447" t="n">
        <v>58450</v>
      </c>
      <c r="C1176" s="1378">
        <f>IF($L1176&gt;N$5,MAX(0,N$3+ROUND((N$9*($L1176-N$5)),0)),IF($L1176&gt;N$4,N$3,ROUND($L1176*N$7,0)))</f>
        <v/>
      </c>
      <c r="D1176" s="448">
        <f>IF($L1176&gt;O$5,MAX(0,O$3+ROUND((O$9*($L1176-O$5)),0)),IF($L1176&gt;O$4,O$3,ROUND($L1176*O$7,0)))</f>
        <v/>
      </c>
      <c r="E1176" s="448">
        <f>IF($L1176&gt;P$5,MAX(0,P$3+ROUND((P$9*($L1176-P$5)),0)),IF($L1176&gt;P$4,P$3,ROUND($L1176*P$7,0)))</f>
        <v/>
      </c>
      <c r="F1176" s="447">
        <f>IF($L1176&gt;Q$5,MAX(0,Q$3+ROUND((Q$9*($L1176-Q$5)),0)),IF($L1176&gt;Q$4,Q$3,ROUND($L1176*Q$7,0)))</f>
        <v/>
      </c>
      <c r="G1176" s="1378">
        <f>IF($L1176&gt;R$5,MAX(0,R$3+ROUND((R$9*($L1176-R$5)),0)),IF($L1176&gt;R$4,R$3,ROUND($L1176*R$7,0)))</f>
        <v/>
      </c>
      <c r="H1176" s="448">
        <f>IF($L1176&gt;S$5,MAX(0,S$3+ROUND((S$9*($L1176-S$5)),0)),IF($L1176&gt;S$4,S$3,ROUND($L1176*S$7,0)))</f>
        <v/>
      </c>
      <c r="I1176" s="448">
        <f>IF($L1176&gt;T$5,MAX(0,T$3+ROUND((T$9*($L1176-T$5)),0)),IF($L1176&gt;T$4,T$3,ROUND($L1176*T$7,0)))</f>
        <v/>
      </c>
      <c r="J1176" s="447">
        <f>IF($L1176&gt;U$5,MAX(0,U$3+ROUND((U$9*($L1176-U$5)),0)),IF($L1176&gt;U$4,U$3,ROUND($L1176*U$7,0)))</f>
        <v/>
      </c>
      <c r="L1176" s="448">
        <f>ROUND((A1176+B1176)/2,2)</f>
        <v/>
      </c>
    </row>
    <row r="1177" ht="13.5" customHeight="1" s="7635">
      <c r="A1177" s="448" t="n">
        <v>58450</v>
      </c>
      <c r="B1177" s="447" t="n">
        <v>58500</v>
      </c>
      <c r="C1177" s="1378">
        <f>IF($L1177&gt;N$5,MAX(0,N$3+ROUND((N$9*($L1177-N$5)),0)),IF($L1177&gt;N$4,N$3,ROUND($L1177*N$7,0)))</f>
        <v/>
      </c>
      <c r="D1177" s="448">
        <f>IF($L1177&gt;O$5,MAX(0,O$3+ROUND((O$9*($L1177-O$5)),0)),IF($L1177&gt;O$4,O$3,ROUND($L1177*O$7,0)))</f>
        <v/>
      </c>
      <c r="E1177" s="448">
        <f>IF($L1177&gt;P$5,MAX(0,P$3+ROUND((P$9*($L1177-P$5)),0)),IF($L1177&gt;P$4,P$3,ROUND($L1177*P$7,0)))</f>
        <v/>
      </c>
      <c r="F1177" s="447">
        <f>IF($L1177&gt;Q$5,MAX(0,Q$3+ROUND((Q$9*($L1177-Q$5)),0)),IF($L1177&gt;Q$4,Q$3,ROUND($L1177*Q$7,0)))</f>
        <v/>
      </c>
      <c r="G1177" s="1378">
        <f>IF($L1177&gt;R$5,MAX(0,R$3+ROUND((R$9*($L1177-R$5)),0)),IF($L1177&gt;R$4,R$3,ROUND($L1177*R$7,0)))</f>
        <v/>
      </c>
      <c r="H1177" s="448">
        <f>IF($L1177&gt;S$5,MAX(0,S$3+ROUND((S$9*($L1177-S$5)),0)),IF($L1177&gt;S$4,S$3,ROUND($L1177*S$7,0)))</f>
        <v/>
      </c>
      <c r="I1177" s="448">
        <f>IF($L1177&gt;T$5,MAX(0,T$3+ROUND((T$9*($L1177-T$5)),0)),IF($L1177&gt;T$4,T$3,ROUND($L1177*T$7,0)))</f>
        <v/>
      </c>
      <c r="J1177" s="447">
        <f>IF($L1177&gt;U$5,MAX(0,U$3+ROUND((U$9*($L1177-U$5)),0)),IF($L1177&gt;U$4,U$3,ROUND($L1177*U$7,0)))</f>
        <v/>
      </c>
      <c r="L1177" s="448">
        <f>ROUND((A1177+B1177)/2,2)</f>
        <v/>
      </c>
    </row>
    <row r="1178" ht="13.5" customHeight="1" s="7635">
      <c r="A1178" s="448" t="n">
        <v>58500</v>
      </c>
      <c r="B1178" s="447" t="n">
        <v>58550</v>
      </c>
      <c r="C1178" s="1378">
        <f>IF($L1178&gt;N$5,MAX(0,N$3+ROUND((N$9*($L1178-N$5)),0)),IF($L1178&gt;N$4,N$3,ROUND($L1178*N$7,0)))</f>
        <v/>
      </c>
      <c r="D1178" s="448">
        <f>IF($L1178&gt;O$5,MAX(0,O$3+ROUND((O$9*($L1178-O$5)),0)),IF($L1178&gt;O$4,O$3,ROUND($L1178*O$7,0)))</f>
        <v/>
      </c>
      <c r="E1178" s="448">
        <f>IF($L1178&gt;P$5,MAX(0,P$3+ROUND((P$9*($L1178-P$5)),0)),IF($L1178&gt;P$4,P$3,ROUND($L1178*P$7,0)))</f>
        <v/>
      </c>
      <c r="F1178" s="447">
        <f>IF($L1178&gt;Q$5,MAX(0,Q$3+ROUND((Q$9*($L1178-Q$5)),0)),IF($L1178&gt;Q$4,Q$3,ROUND($L1178*Q$7,0)))</f>
        <v/>
      </c>
      <c r="G1178" s="1378">
        <f>IF($L1178&gt;R$5,MAX(0,R$3+ROUND((R$9*($L1178-R$5)),0)),IF($L1178&gt;R$4,R$3,ROUND($L1178*R$7,0)))</f>
        <v/>
      </c>
      <c r="H1178" s="448">
        <f>IF($L1178&gt;S$5,MAX(0,S$3+ROUND((S$9*($L1178-S$5)),0)),IF($L1178&gt;S$4,S$3,ROUND($L1178*S$7,0)))</f>
        <v/>
      </c>
      <c r="I1178" s="448">
        <f>IF($L1178&gt;T$5,MAX(0,T$3+ROUND((T$9*($L1178-T$5)),0)),IF($L1178&gt;T$4,T$3,ROUND($L1178*T$7,0)))</f>
        <v/>
      </c>
      <c r="J1178" s="447">
        <f>IF($L1178&gt;U$5,MAX(0,U$3+ROUND((U$9*($L1178-U$5)),0)),IF($L1178&gt;U$4,U$3,ROUND($L1178*U$7,0)))</f>
        <v/>
      </c>
      <c r="L1178" s="448">
        <f>ROUND((A1178+B1178)/2,2)</f>
        <v/>
      </c>
    </row>
    <row r="1179" ht="13.5" customHeight="1" s="7635">
      <c r="A1179" s="448" t="n">
        <v>58550</v>
      </c>
      <c r="B1179" s="447" t="n">
        <v>58600</v>
      </c>
      <c r="C1179" s="1378">
        <f>IF($L1179&gt;N$5,MAX(0,N$3+ROUND((N$9*($L1179-N$5)),0)),IF($L1179&gt;N$4,N$3,ROUND($L1179*N$7,0)))</f>
        <v/>
      </c>
      <c r="D1179" s="448">
        <f>IF($L1179&gt;O$5,MAX(0,O$3+ROUND((O$9*($L1179-O$5)),0)),IF($L1179&gt;O$4,O$3,ROUND($L1179*O$7,0)))</f>
        <v/>
      </c>
      <c r="E1179" s="448">
        <f>IF($L1179&gt;P$5,MAX(0,P$3+ROUND((P$9*($L1179-P$5)),0)),IF($L1179&gt;P$4,P$3,ROUND($L1179*P$7,0)))</f>
        <v/>
      </c>
      <c r="F1179" s="447">
        <f>IF($L1179&gt;Q$5,MAX(0,Q$3+ROUND((Q$9*($L1179-Q$5)),0)),IF($L1179&gt;Q$4,Q$3,ROUND($L1179*Q$7,0)))</f>
        <v/>
      </c>
      <c r="G1179" s="1378">
        <f>IF($L1179&gt;R$5,MAX(0,R$3+ROUND((R$9*($L1179-R$5)),0)),IF($L1179&gt;R$4,R$3,ROUND($L1179*R$7,0)))</f>
        <v/>
      </c>
      <c r="H1179" s="448">
        <f>IF($L1179&gt;S$5,MAX(0,S$3+ROUND((S$9*($L1179-S$5)),0)),IF($L1179&gt;S$4,S$3,ROUND($L1179*S$7,0)))</f>
        <v/>
      </c>
      <c r="I1179" s="448">
        <f>IF($L1179&gt;T$5,MAX(0,T$3+ROUND((T$9*($L1179-T$5)),0)),IF($L1179&gt;T$4,T$3,ROUND($L1179*T$7,0)))</f>
        <v/>
      </c>
      <c r="J1179" s="447">
        <f>IF($L1179&gt;U$5,MAX(0,U$3+ROUND((U$9*($L1179-U$5)),0)),IF($L1179&gt;U$4,U$3,ROUND($L1179*U$7,0)))</f>
        <v/>
      </c>
      <c r="L1179" s="448">
        <f>ROUND((A1179+B1179)/2,2)</f>
        <v/>
      </c>
    </row>
    <row r="1180" ht="13.5" customHeight="1" s="7635">
      <c r="A1180" s="448" t="n">
        <v>58600</v>
      </c>
      <c r="B1180" s="447" t="n">
        <v>58650</v>
      </c>
      <c r="C1180" s="1378">
        <f>IF($L1180&gt;N$5,MAX(0,N$3+ROUND((N$9*($L1180-N$5)),0)),IF($L1180&gt;N$4,N$3,ROUND($L1180*N$7,0)))</f>
        <v/>
      </c>
      <c r="D1180" s="448">
        <f>IF($L1180&gt;O$5,MAX(0,O$3+ROUND((O$9*($L1180-O$5)),0)),IF($L1180&gt;O$4,O$3,ROUND($L1180*O$7,0)))</f>
        <v/>
      </c>
      <c r="E1180" s="448">
        <f>IF($L1180&gt;P$5,MAX(0,P$3+ROUND((P$9*($L1180-P$5)),0)),IF($L1180&gt;P$4,P$3,ROUND($L1180*P$7,0)))</f>
        <v/>
      </c>
      <c r="F1180" s="447">
        <f>IF($L1180&gt;Q$5,MAX(0,Q$3+ROUND((Q$9*($L1180-Q$5)),0)),IF($L1180&gt;Q$4,Q$3,ROUND($L1180*Q$7,0)))</f>
        <v/>
      </c>
      <c r="G1180" s="1378">
        <f>IF($L1180&gt;R$5,MAX(0,R$3+ROUND((R$9*($L1180-R$5)),0)),IF($L1180&gt;R$4,R$3,ROUND($L1180*R$7,0)))</f>
        <v/>
      </c>
      <c r="H1180" s="448">
        <f>IF($L1180&gt;S$5,MAX(0,S$3+ROUND((S$9*($L1180-S$5)),0)),IF($L1180&gt;S$4,S$3,ROUND($L1180*S$7,0)))</f>
        <v/>
      </c>
      <c r="I1180" s="448">
        <f>IF($L1180&gt;T$5,MAX(0,T$3+ROUND((T$9*($L1180-T$5)),0)),IF($L1180&gt;T$4,T$3,ROUND($L1180*T$7,0)))</f>
        <v/>
      </c>
      <c r="J1180" s="447">
        <f>IF($L1180&gt;U$5,MAX(0,U$3+ROUND((U$9*($L1180-U$5)),0)),IF($L1180&gt;U$4,U$3,ROUND($L1180*U$7,0)))</f>
        <v/>
      </c>
      <c r="L1180" s="448">
        <f>ROUND((A1180+B1180)/2,2)</f>
        <v/>
      </c>
    </row>
    <row r="1181" ht="13.5" customHeight="1" s="7635">
      <c r="A1181" s="448" t="n">
        <v>58650</v>
      </c>
      <c r="B1181" s="447" t="n">
        <v>58700</v>
      </c>
      <c r="C1181" s="1378">
        <f>IF($L1181&gt;N$5,MAX(0,N$3+ROUND((N$9*($L1181-N$5)),0)),IF($L1181&gt;N$4,N$3,ROUND($L1181*N$7,0)))</f>
        <v/>
      </c>
      <c r="D1181" s="448">
        <f>IF($L1181&gt;O$5,MAX(0,O$3+ROUND((O$9*($L1181-O$5)),0)),IF($L1181&gt;O$4,O$3,ROUND($L1181*O$7,0)))</f>
        <v/>
      </c>
      <c r="E1181" s="448">
        <f>IF($L1181&gt;P$5,MAX(0,P$3+ROUND((P$9*($L1181-P$5)),0)),IF($L1181&gt;P$4,P$3,ROUND($L1181*P$7,0)))</f>
        <v/>
      </c>
      <c r="F1181" s="447">
        <f>IF($L1181&gt;Q$5,MAX(0,Q$3+ROUND((Q$9*($L1181-Q$5)),0)),IF($L1181&gt;Q$4,Q$3,ROUND($L1181*Q$7,0)))</f>
        <v/>
      </c>
      <c r="G1181" s="1378">
        <f>IF($L1181&gt;R$5,MAX(0,R$3+ROUND((R$9*($L1181-R$5)),0)),IF($L1181&gt;R$4,R$3,ROUND($L1181*R$7,0)))</f>
        <v/>
      </c>
      <c r="H1181" s="448">
        <f>IF($L1181&gt;S$5,MAX(0,S$3+ROUND((S$9*($L1181-S$5)),0)),IF($L1181&gt;S$4,S$3,ROUND($L1181*S$7,0)))</f>
        <v/>
      </c>
      <c r="I1181" s="448">
        <f>IF($L1181&gt;T$5,MAX(0,T$3+ROUND((T$9*($L1181-T$5)),0)),IF($L1181&gt;T$4,T$3,ROUND($L1181*T$7,0)))</f>
        <v/>
      </c>
      <c r="J1181" s="447">
        <f>IF($L1181&gt;U$5,MAX(0,U$3+ROUND((U$9*($L1181-U$5)),0)),IF($L1181&gt;U$4,U$3,ROUND($L1181*U$7,0)))</f>
        <v/>
      </c>
      <c r="L1181" s="448">
        <f>ROUND((A1181+B1181)/2,2)</f>
        <v/>
      </c>
    </row>
    <row r="1182" ht="13.5" customHeight="1" s="7635">
      <c r="A1182" s="448" t="n">
        <v>58700</v>
      </c>
      <c r="B1182" s="447" t="n">
        <v>58750</v>
      </c>
      <c r="C1182" s="1378">
        <f>IF($L1182&gt;N$5,MAX(0,N$3+ROUND((N$9*($L1182-N$5)),0)),IF($L1182&gt;N$4,N$3,ROUND($L1182*N$7,0)))</f>
        <v/>
      </c>
      <c r="D1182" s="448">
        <f>IF($L1182&gt;O$5,MAX(0,O$3+ROUND((O$9*($L1182-O$5)),0)),IF($L1182&gt;O$4,O$3,ROUND($L1182*O$7,0)))</f>
        <v/>
      </c>
      <c r="E1182" s="448">
        <f>IF($L1182&gt;P$5,MAX(0,P$3+ROUND((P$9*($L1182-P$5)),0)),IF($L1182&gt;P$4,P$3,ROUND($L1182*P$7,0)))</f>
        <v/>
      </c>
      <c r="F1182" s="447">
        <f>IF($L1182&gt;Q$5,MAX(0,Q$3+ROUND((Q$9*($L1182-Q$5)),0)),IF($L1182&gt;Q$4,Q$3,ROUND($L1182*Q$7,0)))</f>
        <v/>
      </c>
      <c r="G1182" s="1378">
        <f>IF($L1182&gt;R$5,MAX(0,R$3+ROUND((R$9*($L1182-R$5)),0)),IF($L1182&gt;R$4,R$3,ROUND($L1182*R$7,0)))</f>
        <v/>
      </c>
      <c r="H1182" s="448">
        <f>IF($L1182&gt;S$5,MAX(0,S$3+ROUND((S$9*($L1182-S$5)),0)),IF($L1182&gt;S$4,S$3,ROUND($L1182*S$7,0)))</f>
        <v/>
      </c>
      <c r="I1182" s="448">
        <f>IF($L1182&gt;T$5,MAX(0,T$3+ROUND((T$9*($L1182-T$5)),0)),IF($L1182&gt;T$4,T$3,ROUND($L1182*T$7,0)))</f>
        <v/>
      </c>
      <c r="J1182" s="447">
        <f>IF($L1182&gt;U$5,MAX(0,U$3+ROUND((U$9*($L1182-U$5)),0)),IF($L1182&gt;U$4,U$3,ROUND($L1182*U$7,0)))</f>
        <v/>
      </c>
      <c r="L1182" s="448">
        <f>ROUND((A1182+B1182)/2,2)</f>
        <v/>
      </c>
    </row>
    <row r="1183" ht="13.5" customHeight="1" s="7635">
      <c r="A1183" s="448" t="n">
        <v>58750</v>
      </c>
      <c r="B1183" s="447" t="n">
        <v>58800</v>
      </c>
      <c r="C1183" s="1378">
        <f>IF($L1183&gt;N$5,MAX(0,N$3+ROUND((N$9*($L1183-N$5)),0)),IF($L1183&gt;N$4,N$3,ROUND($L1183*N$7,0)))</f>
        <v/>
      </c>
      <c r="D1183" s="448">
        <f>IF($L1183&gt;O$5,MAX(0,O$3+ROUND((O$9*($L1183-O$5)),0)),IF($L1183&gt;O$4,O$3,ROUND($L1183*O$7,0)))</f>
        <v/>
      </c>
      <c r="E1183" s="448">
        <f>IF($L1183&gt;P$5,MAX(0,P$3+ROUND((P$9*($L1183-P$5)),0)),IF($L1183&gt;P$4,P$3,ROUND($L1183*P$7,0)))</f>
        <v/>
      </c>
      <c r="F1183" s="447">
        <f>IF($L1183&gt;Q$5,MAX(0,Q$3+ROUND((Q$9*($L1183-Q$5)),0)),IF($L1183&gt;Q$4,Q$3,ROUND($L1183*Q$7,0)))</f>
        <v/>
      </c>
      <c r="G1183" s="1378">
        <f>IF($L1183&gt;R$5,MAX(0,R$3+ROUND((R$9*($L1183-R$5)),0)),IF($L1183&gt;R$4,R$3,ROUND($L1183*R$7,0)))</f>
        <v/>
      </c>
      <c r="H1183" s="448">
        <f>IF($L1183&gt;S$5,MAX(0,S$3+ROUND((S$9*($L1183-S$5)),0)),IF($L1183&gt;S$4,S$3,ROUND($L1183*S$7,0)))</f>
        <v/>
      </c>
      <c r="I1183" s="448">
        <f>IF($L1183&gt;T$5,MAX(0,T$3+ROUND((T$9*($L1183-T$5)),0)),IF($L1183&gt;T$4,T$3,ROUND($L1183*T$7,0)))</f>
        <v/>
      </c>
      <c r="J1183" s="447">
        <f>IF($L1183&gt;U$5,MAX(0,U$3+ROUND((U$9*($L1183-U$5)),0)),IF($L1183&gt;U$4,U$3,ROUND($L1183*U$7,0)))</f>
        <v/>
      </c>
      <c r="L1183" s="448">
        <f>ROUND((A1183+B1183)/2,2)</f>
        <v/>
      </c>
    </row>
    <row r="1184" ht="13.5" customHeight="1" s="7635">
      <c r="A1184" s="448" t="n">
        <v>58800</v>
      </c>
      <c r="B1184" s="447" t="n">
        <v>58850</v>
      </c>
      <c r="C1184" s="1378">
        <f>IF($L1184&gt;N$5,MAX(0,N$3+ROUND((N$9*($L1184-N$5)),0)),IF($L1184&gt;N$4,N$3,ROUND($L1184*N$7,0)))</f>
        <v/>
      </c>
      <c r="D1184" s="448">
        <f>IF($L1184&gt;O$5,MAX(0,O$3+ROUND((O$9*($L1184-O$5)),0)),IF($L1184&gt;O$4,O$3,ROUND($L1184*O$7,0)))</f>
        <v/>
      </c>
      <c r="E1184" s="448">
        <f>IF($L1184&gt;P$5,MAX(0,P$3+ROUND((P$9*($L1184-P$5)),0)),IF($L1184&gt;P$4,P$3,ROUND($L1184*P$7,0)))</f>
        <v/>
      </c>
      <c r="F1184" s="447">
        <f>IF($L1184&gt;Q$5,MAX(0,Q$3+ROUND((Q$9*($L1184-Q$5)),0)),IF($L1184&gt;Q$4,Q$3,ROUND($L1184*Q$7,0)))</f>
        <v/>
      </c>
      <c r="G1184" s="1378">
        <f>IF($L1184&gt;R$5,MAX(0,R$3+ROUND((R$9*($L1184-R$5)),0)),IF($L1184&gt;R$4,R$3,ROUND($L1184*R$7,0)))</f>
        <v/>
      </c>
      <c r="H1184" s="448">
        <f>IF($L1184&gt;S$5,MAX(0,S$3+ROUND((S$9*($L1184-S$5)),0)),IF($L1184&gt;S$4,S$3,ROUND($L1184*S$7,0)))</f>
        <v/>
      </c>
      <c r="I1184" s="448">
        <f>IF($L1184&gt;T$5,MAX(0,T$3+ROUND((T$9*($L1184-T$5)),0)),IF($L1184&gt;T$4,T$3,ROUND($L1184*T$7,0)))</f>
        <v/>
      </c>
      <c r="J1184" s="447">
        <f>IF($L1184&gt;U$5,MAX(0,U$3+ROUND((U$9*($L1184-U$5)),0)),IF($L1184&gt;U$4,U$3,ROUND($L1184*U$7,0)))</f>
        <v/>
      </c>
      <c r="L1184" s="448">
        <f>ROUND((A1184+B1184)/2,2)</f>
        <v/>
      </c>
    </row>
    <row r="1185" ht="13.5" customHeight="1" s="7635">
      <c r="A1185" s="448" t="n">
        <v>58850</v>
      </c>
      <c r="B1185" s="447" t="n">
        <v>58900</v>
      </c>
      <c r="C1185" s="1378">
        <f>IF($L1185&gt;N$5,MAX(0,N$3+ROUND((N$9*($L1185-N$5)),0)),IF($L1185&gt;N$4,N$3,ROUND($L1185*N$7,0)))</f>
        <v/>
      </c>
      <c r="D1185" s="448">
        <f>IF($L1185&gt;O$5,MAX(0,O$3+ROUND((O$9*($L1185-O$5)),0)),IF($L1185&gt;O$4,O$3,ROUND($L1185*O$7,0)))</f>
        <v/>
      </c>
      <c r="E1185" s="448">
        <f>IF($L1185&gt;P$5,MAX(0,P$3+ROUND((P$9*($L1185-P$5)),0)),IF($L1185&gt;P$4,P$3,ROUND($L1185*P$7,0)))</f>
        <v/>
      </c>
      <c r="F1185" s="447">
        <f>IF($L1185&gt;Q$5,MAX(0,Q$3+ROUND((Q$9*($L1185-Q$5)),0)),IF($L1185&gt;Q$4,Q$3,ROUND($L1185*Q$7,0)))</f>
        <v/>
      </c>
      <c r="G1185" s="1378">
        <f>IF($L1185&gt;R$5,MAX(0,R$3+ROUND((R$9*($L1185-R$5)),0)),IF($L1185&gt;R$4,R$3,ROUND($L1185*R$7,0)))</f>
        <v/>
      </c>
      <c r="H1185" s="448">
        <f>IF($L1185&gt;S$5,MAX(0,S$3+ROUND((S$9*($L1185-S$5)),0)),IF($L1185&gt;S$4,S$3,ROUND($L1185*S$7,0)))</f>
        <v/>
      </c>
      <c r="I1185" s="448">
        <f>IF($L1185&gt;T$5,MAX(0,T$3+ROUND((T$9*($L1185-T$5)),0)),IF($L1185&gt;T$4,T$3,ROUND($L1185*T$7,0)))</f>
        <v/>
      </c>
      <c r="J1185" s="447">
        <f>IF($L1185&gt;U$5,MAX(0,U$3+ROUND((U$9*($L1185-U$5)),0)),IF($L1185&gt;U$4,U$3,ROUND($L1185*U$7,0)))</f>
        <v/>
      </c>
      <c r="L1185" s="448">
        <f>ROUND((A1185+B1185)/2,2)</f>
        <v/>
      </c>
    </row>
    <row r="1186" ht="13.5" customHeight="1" s="7635">
      <c r="A1186" s="448" t="n">
        <v>58900</v>
      </c>
      <c r="B1186" s="447" t="n">
        <v>58950</v>
      </c>
      <c r="C1186" s="1378">
        <f>IF($L1186&gt;N$5,MAX(0,N$3+ROUND((N$9*($L1186-N$5)),0)),IF($L1186&gt;N$4,N$3,ROUND($L1186*N$7,0)))</f>
        <v/>
      </c>
      <c r="D1186" s="448">
        <f>IF($L1186&gt;O$5,MAX(0,O$3+ROUND((O$9*($L1186-O$5)),0)),IF($L1186&gt;O$4,O$3,ROUND($L1186*O$7,0)))</f>
        <v/>
      </c>
      <c r="E1186" s="448">
        <f>IF($L1186&gt;P$5,MAX(0,P$3+ROUND((P$9*($L1186-P$5)),0)),IF($L1186&gt;P$4,P$3,ROUND($L1186*P$7,0)))</f>
        <v/>
      </c>
      <c r="F1186" s="447">
        <f>IF($L1186&gt;Q$5,MAX(0,Q$3+ROUND((Q$9*($L1186-Q$5)),0)),IF($L1186&gt;Q$4,Q$3,ROUND($L1186*Q$7,0)))</f>
        <v/>
      </c>
      <c r="G1186" s="1378">
        <f>IF($L1186&gt;R$5,MAX(0,R$3+ROUND((R$9*($L1186-R$5)),0)),IF($L1186&gt;R$4,R$3,ROUND($L1186*R$7,0)))</f>
        <v/>
      </c>
      <c r="H1186" s="448">
        <f>IF($L1186&gt;S$5,MAX(0,S$3+ROUND((S$9*($L1186-S$5)),0)),IF($L1186&gt;S$4,S$3,ROUND($L1186*S$7,0)))</f>
        <v/>
      </c>
      <c r="I1186" s="448">
        <f>IF($L1186&gt;T$5,MAX(0,T$3+ROUND((T$9*($L1186-T$5)),0)),IF($L1186&gt;T$4,T$3,ROUND($L1186*T$7,0)))</f>
        <v/>
      </c>
      <c r="J1186" s="447">
        <f>IF($L1186&gt;U$5,MAX(0,U$3+ROUND((U$9*($L1186-U$5)),0)),IF($L1186&gt;U$4,U$3,ROUND($L1186*U$7,0)))</f>
        <v/>
      </c>
      <c r="L1186" s="448">
        <f>ROUND((A1186+B1186)/2,2)</f>
        <v/>
      </c>
    </row>
    <row r="1187" ht="13.5" customHeight="1" s="7635">
      <c r="A1187" s="448" t="n">
        <v>58950</v>
      </c>
      <c r="B1187" s="447" t="n">
        <v>59000</v>
      </c>
      <c r="C1187" s="1378">
        <f>IF($L1187&gt;N$5,MAX(0,N$3+ROUND((N$9*($L1187-N$5)),0)),IF($L1187&gt;N$4,N$3,ROUND($L1187*N$7,0)))</f>
        <v/>
      </c>
      <c r="D1187" s="448">
        <f>IF($L1187&gt;O$5,MAX(0,O$3+ROUND((O$9*($L1187-O$5)),0)),IF($L1187&gt;O$4,O$3,ROUND($L1187*O$7,0)))</f>
        <v/>
      </c>
      <c r="E1187" s="448">
        <f>IF($L1187&gt;P$5,MAX(0,P$3+ROUND((P$9*($L1187-P$5)),0)),IF($L1187&gt;P$4,P$3,ROUND($L1187*P$7,0)))</f>
        <v/>
      </c>
      <c r="F1187" s="447">
        <f>IF($L1187&gt;Q$5,MAX(0,Q$3+ROUND((Q$9*($L1187-Q$5)),0)),IF($L1187&gt;Q$4,Q$3,ROUND($L1187*Q$7,0)))</f>
        <v/>
      </c>
      <c r="G1187" s="1378">
        <f>IF($L1187&gt;R$5,MAX(0,R$3+ROUND((R$9*($L1187-R$5)),0)),IF($L1187&gt;R$4,R$3,ROUND($L1187*R$7,0)))</f>
        <v/>
      </c>
      <c r="H1187" s="448">
        <f>IF($L1187&gt;S$5,MAX(0,S$3+ROUND((S$9*($L1187-S$5)),0)),IF($L1187&gt;S$4,S$3,ROUND($L1187*S$7,0)))</f>
        <v/>
      </c>
      <c r="I1187" s="448">
        <f>IF($L1187&gt;T$5,MAX(0,T$3+ROUND((T$9*($L1187-T$5)),0)),IF($L1187&gt;T$4,T$3,ROUND($L1187*T$7,0)))</f>
        <v/>
      </c>
      <c r="J1187" s="447">
        <f>IF($L1187&gt;U$5,MAX(0,U$3+ROUND((U$9*($L1187-U$5)),0)),IF($L1187&gt;U$4,U$3,ROUND($L1187*U$7,0)))</f>
        <v/>
      </c>
      <c r="L1187" s="448">
        <f>ROUND((A1187+B1187)/2,2)</f>
        <v/>
      </c>
    </row>
    <row r="1188" ht="13.5" customHeight="1" s="7635">
      <c r="A1188" s="448" t="n">
        <v>59000</v>
      </c>
      <c r="B1188" s="447" t="n">
        <v>59050</v>
      </c>
      <c r="C1188" s="1378">
        <f>IF($L1188&gt;N$5,MAX(0,N$3+ROUND((N$9*($L1188-N$5)),0)),IF($L1188&gt;N$4,N$3,ROUND($L1188*N$7,0)))</f>
        <v/>
      </c>
      <c r="D1188" s="448">
        <f>IF($L1188&gt;O$5,MAX(0,O$3+ROUND((O$9*($L1188-O$5)),0)),IF($L1188&gt;O$4,O$3,ROUND($L1188*O$7,0)))</f>
        <v/>
      </c>
      <c r="E1188" s="448">
        <f>IF($L1188&gt;P$5,MAX(0,P$3+ROUND((P$9*($L1188-P$5)),0)),IF($L1188&gt;P$4,P$3,ROUND($L1188*P$7,0)))</f>
        <v/>
      </c>
      <c r="F1188" s="447">
        <f>IF($L1188&gt;Q$5,MAX(0,Q$3+ROUND((Q$9*($L1188-Q$5)),0)),IF($L1188&gt;Q$4,Q$3,ROUND($L1188*Q$7,0)))</f>
        <v/>
      </c>
      <c r="G1188" s="1378">
        <f>IF($L1188&gt;R$5,MAX(0,R$3+ROUND((R$9*($L1188-R$5)),0)),IF($L1188&gt;R$4,R$3,ROUND($L1188*R$7,0)))</f>
        <v/>
      </c>
      <c r="H1188" s="448">
        <f>IF($L1188&gt;S$5,MAX(0,S$3+ROUND((S$9*($L1188-S$5)),0)),IF($L1188&gt;S$4,S$3,ROUND($L1188*S$7,0)))</f>
        <v/>
      </c>
      <c r="I1188" s="448">
        <f>IF($L1188&gt;T$5,MAX(0,T$3+ROUND((T$9*($L1188-T$5)),0)),IF($L1188&gt;T$4,T$3,ROUND($L1188*T$7,0)))</f>
        <v/>
      </c>
      <c r="J1188" s="447">
        <f>IF($L1188&gt;U$5,MAX(0,U$3+ROUND((U$9*($L1188-U$5)),0)),IF($L1188&gt;U$4,U$3,ROUND($L1188*U$7,0)))</f>
        <v/>
      </c>
      <c r="L1188" s="448">
        <f>ROUND((A1188+B1188)/2,2)</f>
        <v/>
      </c>
    </row>
    <row r="1189" ht="13.5" customHeight="1" s="7635">
      <c r="A1189" s="448" t="n">
        <v>59050</v>
      </c>
      <c r="B1189" s="447" t="n">
        <v>59100</v>
      </c>
      <c r="C1189" s="1378">
        <f>IF($L1189&gt;N$5,MAX(0,N$3+ROUND((N$9*($L1189-N$5)),0)),IF($L1189&gt;N$4,N$3,ROUND($L1189*N$7,0)))</f>
        <v/>
      </c>
      <c r="D1189" s="448">
        <f>IF($L1189&gt;O$5,MAX(0,O$3+ROUND((O$9*($L1189-O$5)),0)),IF($L1189&gt;O$4,O$3,ROUND($L1189*O$7,0)))</f>
        <v/>
      </c>
      <c r="E1189" s="448">
        <f>IF($L1189&gt;P$5,MAX(0,P$3+ROUND((P$9*($L1189-P$5)),0)),IF($L1189&gt;P$4,P$3,ROUND($L1189*P$7,0)))</f>
        <v/>
      </c>
      <c r="F1189" s="447">
        <f>IF($L1189&gt;Q$5,MAX(0,Q$3+ROUND((Q$9*($L1189-Q$5)),0)),IF($L1189&gt;Q$4,Q$3,ROUND($L1189*Q$7,0)))</f>
        <v/>
      </c>
      <c r="G1189" s="1378">
        <f>IF($L1189&gt;R$5,MAX(0,R$3+ROUND((R$9*($L1189-R$5)),0)),IF($L1189&gt;R$4,R$3,ROUND($L1189*R$7,0)))</f>
        <v/>
      </c>
      <c r="H1189" s="448">
        <f>IF($L1189&gt;S$5,MAX(0,S$3+ROUND((S$9*($L1189-S$5)),0)),IF($L1189&gt;S$4,S$3,ROUND($L1189*S$7,0)))</f>
        <v/>
      </c>
      <c r="I1189" s="448">
        <f>IF($L1189&gt;T$5,MAX(0,T$3+ROUND((T$9*($L1189-T$5)),0)),IF($L1189&gt;T$4,T$3,ROUND($L1189*T$7,0)))</f>
        <v/>
      </c>
      <c r="J1189" s="447">
        <f>IF($L1189&gt;U$5,MAX(0,U$3+ROUND((U$9*($L1189-U$5)),0)),IF($L1189&gt;U$4,U$3,ROUND($L1189*U$7,0)))</f>
        <v/>
      </c>
      <c r="L1189" s="448">
        <f>ROUND((A1189+B1189)/2,2)</f>
        <v/>
      </c>
    </row>
    <row r="1190" ht="13.5" customHeight="1" s="7635">
      <c r="A1190" s="448" t="n">
        <v>59100</v>
      </c>
      <c r="B1190" s="447" t="n">
        <v>59150</v>
      </c>
      <c r="C1190" s="1378">
        <f>IF($L1190&gt;N$5,MAX(0,N$3+ROUND((N$9*($L1190-N$5)),0)),IF($L1190&gt;N$4,N$3,ROUND($L1190*N$7,0)))</f>
        <v/>
      </c>
      <c r="D1190" s="448">
        <f>IF($L1190&gt;O$5,MAX(0,O$3+ROUND((O$9*($L1190-O$5)),0)),IF($L1190&gt;O$4,O$3,ROUND($L1190*O$7,0)))</f>
        <v/>
      </c>
      <c r="E1190" s="448">
        <f>IF($L1190&gt;P$5,MAX(0,P$3+ROUND((P$9*($L1190-P$5)),0)),IF($L1190&gt;P$4,P$3,ROUND($L1190*P$7,0)))</f>
        <v/>
      </c>
      <c r="F1190" s="447">
        <f>IF($L1190&gt;Q$5,MAX(0,Q$3+ROUND((Q$9*($L1190-Q$5)),0)),IF($L1190&gt;Q$4,Q$3,ROUND($L1190*Q$7,0)))</f>
        <v/>
      </c>
      <c r="G1190" s="1378">
        <f>IF($L1190&gt;R$5,MAX(0,R$3+ROUND((R$9*($L1190-R$5)),0)),IF($L1190&gt;R$4,R$3,ROUND($L1190*R$7,0)))</f>
        <v/>
      </c>
      <c r="H1190" s="448">
        <f>IF($L1190&gt;S$5,MAX(0,S$3+ROUND((S$9*($L1190-S$5)),0)),IF($L1190&gt;S$4,S$3,ROUND($L1190*S$7,0)))</f>
        <v/>
      </c>
      <c r="I1190" s="448">
        <f>IF($L1190&gt;T$5,MAX(0,T$3+ROUND((T$9*($L1190-T$5)),0)),IF($L1190&gt;T$4,T$3,ROUND($L1190*T$7,0)))</f>
        <v/>
      </c>
      <c r="J1190" s="447">
        <f>IF($L1190&gt;U$5,MAX(0,U$3+ROUND((U$9*($L1190-U$5)),0)),IF($L1190&gt;U$4,U$3,ROUND($L1190*U$7,0)))</f>
        <v/>
      </c>
      <c r="L1190" s="448">
        <f>ROUND((A1190+B1190)/2,2)</f>
        <v/>
      </c>
    </row>
    <row r="1191" ht="13.5" customHeight="1" s="7635">
      <c r="A1191" s="448" t="n">
        <v>59150</v>
      </c>
      <c r="B1191" s="447" t="n">
        <v>59200</v>
      </c>
      <c r="C1191" s="1378">
        <f>IF($L1191&gt;N$5,MAX(0,N$3+ROUND((N$9*($L1191-N$5)),0)),IF($L1191&gt;N$4,N$3,ROUND($L1191*N$7,0)))</f>
        <v/>
      </c>
      <c r="D1191" s="448">
        <f>IF($L1191&gt;O$5,MAX(0,O$3+ROUND((O$9*($L1191-O$5)),0)),IF($L1191&gt;O$4,O$3,ROUND($L1191*O$7,0)))</f>
        <v/>
      </c>
      <c r="E1191" s="448">
        <f>IF($L1191&gt;P$5,MAX(0,P$3+ROUND((P$9*($L1191-P$5)),0)),IF($L1191&gt;P$4,P$3,ROUND($L1191*P$7,0)))</f>
        <v/>
      </c>
      <c r="F1191" s="447">
        <f>IF($L1191&gt;Q$5,MAX(0,Q$3+ROUND((Q$9*($L1191-Q$5)),0)),IF($L1191&gt;Q$4,Q$3,ROUND($L1191*Q$7,0)))</f>
        <v/>
      </c>
      <c r="G1191" s="1378">
        <f>IF($L1191&gt;R$5,MAX(0,R$3+ROUND((R$9*($L1191-R$5)),0)),IF($L1191&gt;R$4,R$3,ROUND($L1191*R$7,0)))</f>
        <v/>
      </c>
      <c r="H1191" s="448">
        <f>IF($L1191&gt;S$5,MAX(0,S$3+ROUND((S$9*($L1191-S$5)),0)),IF($L1191&gt;S$4,S$3,ROUND($L1191*S$7,0)))</f>
        <v/>
      </c>
      <c r="I1191" s="448">
        <f>IF($L1191&gt;T$5,MAX(0,T$3+ROUND((T$9*($L1191-T$5)),0)),IF($L1191&gt;T$4,T$3,ROUND($L1191*T$7,0)))</f>
        <v/>
      </c>
      <c r="J1191" s="447">
        <f>IF($L1191&gt;U$5,MAX(0,U$3+ROUND((U$9*($L1191-U$5)),0)),IF($L1191&gt;U$4,U$3,ROUND($L1191*U$7,0)))</f>
        <v/>
      </c>
      <c r="L1191" s="448">
        <f>ROUND((A1191+B1191)/2,2)</f>
        <v/>
      </c>
    </row>
    <row r="1192" ht="13.5" customHeight="1" s="7635">
      <c r="A1192" s="448" t="n">
        <v>59200</v>
      </c>
      <c r="B1192" s="447" t="n">
        <v>59250</v>
      </c>
      <c r="C1192" s="1378">
        <f>IF($L1192&gt;N$5,MAX(0,N$3+ROUND((N$9*($L1192-N$5)),0)),IF($L1192&gt;N$4,N$3,ROUND($L1192*N$7,0)))</f>
        <v/>
      </c>
      <c r="D1192" s="448">
        <f>IF($L1192&gt;O$5,MAX(0,O$3+ROUND((O$9*($L1192-O$5)),0)),IF($L1192&gt;O$4,O$3,ROUND($L1192*O$7,0)))</f>
        <v/>
      </c>
      <c r="E1192" s="448">
        <f>IF($L1192&gt;P$5,MAX(0,P$3+ROUND((P$9*($L1192-P$5)),0)),IF($L1192&gt;P$4,P$3,ROUND($L1192*P$7,0)))</f>
        <v/>
      </c>
      <c r="F1192" s="447">
        <f>IF($L1192&gt;Q$5,MAX(0,Q$3+ROUND((Q$9*($L1192-Q$5)),0)),IF($L1192&gt;Q$4,Q$3,ROUND($L1192*Q$7,0)))</f>
        <v/>
      </c>
      <c r="G1192" s="1378">
        <f>IF($L1192&gt;R$5,MAX(0,R$3+ROUND((R$9*($L1192-R$5)),0)),IF($L1192&gt;R$4,R$3,ROUND($L1192*R$7,0)))</f>
        <v/>
      </c>
      <c r="H1192" s="448">
        <f>IF($L1192&gt;S$5,MAX(0,S$3+ROUND((S$9*($L1192-S$5)),0)),IF($L1192&gt;S$4,S$3,ROUND($L1192*S$7,0)))</f>
        <v/>
      </c>
      <c r="I1192" s="448">
        <f>IF($L1192&gt;T$5,MAX(0,T$3+ROUND((T$9*($L1192-T$5)),0)),IF($L1192&gt;T$4,T$3,ROUND($L1192*T$7,0)))</f>
        <v/>
      </c>
      <c r="J1192" s="447">
        <f>IF($L1192&gt;U$5,MAX(0,U$3+ROUND((U$9*($L1192-U$5)),0)),IF($L1192&gt;U$4,U$3,ROUND($L1192*U$7,0)))</f>
        <v/>
      </c>
      <c r="L1192" s="448">
        <f>ROUND((A1192+B1192)/2,2)</f>
        <v/>
      </c>
    </row>
    <row r="1193" ht="13.5" customHeight="1" s="7635">
      <c r="A1193" s="448" t="n">
        <v>59250</v>
      </c>
      <c r="B1193" s="447" t="n">
        <v>59300</v>
      </c>
      <c r="C1193" s="1378">
        <f>IF($L1193&gt;N$5,MAX(0,N$3+ROUND((N$9*($L1193-N$5)),0)),IF($L1193&gt;N$4,N$3,ROUND($L1193*N$7,0)))</f>
        <v/>
      </c>
      <c r="D1193" s="448">
        <f>IF($L1193&gt;O$5,MAX(0,O$3+ROUND((O$9*($L1193-O$5)),0)),IF($L1193&gt;O$4,O$3,ROUND($L1193*O$7,0)))</f>
        <v/>
      </c>
      <c r="E1193" s="448">
        <f>IF($L1193&gt;P$5,MAX(0,P$3+ROUND((P$9*($L1193-P$5)),0)),IF($L1193&gt;P$4,P$3,ROUND($L1193*P$7,0)))</f>
        <v/>
      </c>
      <c r="F1193" s="447">
        <f>IF($L1193&gt;Q$5,MAX(0,Q$3+ROUND((Q$9*($L1193-Q$5)),0)),IF($L1193&gt;Q$4,Q$3,ROUND($L1193*Q$7,0)))</f>
        <v/>
      </c>
      <c r="G1193" s="1378">
        <f>IF($L1193&gt;R$5,MAX(0,R$3+ROUND((R$9*($L1193-R$5)),0)),IF($L1193&gt;R$4,R$3,ROUND($L1193*R$7,0)))</f>
        <v/>
      </c>
      <c r="H1193" s="448">
        <f>IF($L1193&gt;S$5,MAX(0,S$3+ROUND((S$9*($L1193-S$5)),0)),IF($L1193&gt;S$4,S$3,ROUND($L1193*S$7,0)))</f>
        <v/>
      </c>
      <c r="I1193" s="448">
        <f>IF($L1193&gt;T$5,MAX(0,T$3+ROUND((T$9*($L1193-T$5)),0)),IF($L1193&gt;T$4,T$3,ROUND($L1193*T$7,0)))</f>
        <v/>
      </c>
      <c r="J1193" s="447">
        <f>IF($L1193&gt;U$5,MAX(0,U$3+ROUND((U$9*($L1193-U$5)),0)),IF($L1193&gt;U$4,U$3,ROUND($L1193*U$7,0)))</f>
        <v/>
      </c>
      <c r="L1193" s="448">
        <f>ROUND((A1193+B1193)/2,2)</f>
        <v/>
      </c>
    </row>
    <row r="1194" ht="13.5" customHeight="1" s="7635">
      <c r="A1194" s="448" t="n">
        <v>59300</v>
      </c>
      <c r="B1194" s="447" t="n">
        <v>59350</v>
      </c>
      <c r="C1194" s="1378">
        <f>IF($L1194&gt;N$5,MAX(0,N$3+ROUND((N$9*($L1194-N$5)),0)),IF($L1194&gt;N$4,N$3,ROUND($L1194*N$7,0)))</f>
        <v/>
      </c>
      <c r="D1194" s="448">
        <f>IF($L1194&gt;O$5,MAX(0,O$3+ROUND((O$9*($L1194-O$5)),0)),IF($L1194&gt;O$4,O$3,ROUND($L1194*O$7,0)))</f>
        <v/>
      </c>
      <c r="E1194" s="448">
        <f>IF($L1194&gt;P$5,MAX(0,P$3+ROUND((P$9*($L1194-P$5)),0)),IF($L1194&gt;P$4,P$3,ROUND($L1194*P$7,0)))</f>
        <v/>
      </c>
      <c r="F1194" s="447">
        <f>IF($L1194&gt;Q$5,MAX(0,Q$3+ROUND((Q$9*($L1194-Q$5)),0)),IF($L1194&gt;Q$4,Q$3,ROUND($L1194*Q$7,0)))</f>
        <v/>
      </c>
      <c r="G1194" s="1378">
        <f>IF($L1194&gt;R$5,MAX(0,R$3+ROUND((R$9*($L1194-R$5)),0)),IF($L1194&gt;R$4,R$3,ROUND($L1194*R$7,0)))</f>
        <v/>
      </c>
      <c r="H1194" s="448">
        <f>IF($L1194&gt;S$5,MAX(0,S$3+ROUND((S$9*($L1194-S$5)),0)),IF($L1194&gt;S$4,S$3,ROUND($L1194*S$7,0)))</f>
        <v/>
      </c>
      <c r="I1194" s="448">
        <f>IF($L1194&gt;T$5,MAX(0,T$3+ROUND((T$9*($L1194-T$5)),0)),IF($L1194&gt;T$4,T$3,ROUND($L1194*T$7,0)))</f>
        <v/>
      </c>
      <c r="J1194" s="447">
        <f>IF($L1194&gt;U$5,MAX(0,U$3+ROUND((U$9*($L1194-U$5)),0)),IF($L1194&gt;U$4,U$3,ROUND($L1194*U$7,0)))</f>
        <v/>
      </c>
      <c r="L1194" s="448">
        <f>ROUND((A1194+B1194)/2,2)</f>
        <v/>
      </c>
    </row>
    <row r="1195" ht="13.5" customHeight="1" s="7635">
      <c r="A1195" s="448" t="n">
        <v>59350</v>
      </c>
      <c r="B1195" s="447" t="n">
        <v>59400</v>
      </c>
      <c r="C1195" s="1378">
        <f>IF($L1195&gt;N$5,MAX(0,N$3+ROUND((N$9*($L1195-N$5)),0)),IF($L1195&gt;N$4,N$3,ROUND($L1195*N$7,0)))</f>
        <v/>
      </c>
      <c r="D1195" s="448">
        <f>IF($L1195&gt;O$5,MAX(0,O$3+ROUND((O$9*($L1195-O$5)),0)),IF($L1195&gt;O$4,O$3,ROUND($L1195*O$7,0)))</f>
        <v/>
      </c>
      <c r="E1195" s="448">
        <f>IF($L1195&gt;P$5,MAX(0,P$3+ROUND((P$9*($L1195-P$5)),0)),IF($L1195&gt;P$4,P$3,ROUND($L1195*P$7,0)))</f>
        <v/>
      </c>
      <c r="F1195" s="447">
        <f>IF($L1195&gt;Q$5,MAX(0,Q$3+ROUND((Q$9*($L1195-Q$5)),0)),IF($L1195&gt;Q$4,Q$3,ROUND($L1195*Q$7,0)))</f>
        <v/>
      </c>
      <c r="G1195" s="1378">
        <f>IF($L1195&gt;R$5,MAX(0,R$3+ROUND((R$9*($L1195-R$5)),0)),IF($L1195&gt;R$4,R$3,ROUND($L1195*R$7,0)))</f>
        <v/>
      </c>
      <c r="H1195" s="448">
        <f>IF($L1195&gt;S$5,MAX(0,S$3+ROUND((S$9*($L1195-S$5)),0)),IF($L1195&gt;S$4,S$3,ROUND($L1195*S$7,0)))</f>
        <v/>
      </c>
      <c r="I1195" s="448">
        <f>IF($L1195&gt;T$5,MAX(0,T$3+ROUND((T$9*($L1195-T$5)),0)),IF($L1195&gt;T$4,T$3,ROUND($L1195*T$7,0)))</f>
        <v/>
      </c>
      <c r="J1195" s="447">
        <f>IF($L1195&gt;U$5,MAX(0,U$3+ROUND((U$9*($L1195-U$5)),0)),IF($L1195&gt;U$4,U$3,ROUND($L1195*U$7,0)))</f>
        <v/>
      </c>
      <c r="L1195" s="448">
        <f>ROUND((A1195+B1195)/2,2)</f>
        <v/>
      </c>
    </row>
    <row r="1196" ht="13.5" customHeight="1" s="7635">
      <c r="A1196" s="448" t="n">
        <v>59400</v>
      </c>
      <c r="B1196" s="447" t="n">
        <v>59450</v>
      </c>
      <c r="C1196" s="1378">
        <f>IF($L1196&gt;N$5,MAX(0,N$3+ROUND((N$9*($L1196-N$5)),0)),IF($L1196&gt;N$4,N$3,ROUND($L1196*N$7,0)))</f>
        <v/>
      </c>
      <c r="D1196" s="448">
        <f>IF($L1196&gt;O$5,MAX(0,O$3+ROUND((O$9*($L1196-O$5)),0)),IF($L1196&gt;O$4,O$3,ROUND($L1196*O$7,0)))</f>
        <v/>
      </c>
      <c r="E1196" s="448">
        <f>IF($L1196&gt;P$5,MAX(0,P$3+ROUND((P$9*($L1196-P$5)),0)),IF($L1196&gt;P$4,P$3,ROUND($L1196*P$7,0)))</f>
        <v/>
      </c>
      <c r="F1196" s="447">
        <f>IF($L1196&gt;Q$5,MAX(0,Q$3+ROUND((Q$9*($L1196-Q$5)),0)),IF($L1196&gt;Q$4,Q$3,ROUND($L1196*Q$7,0)))</f>
        <v/>
      </c>
      <c r="G1196" s="1378">
        <f>IF($L1196&gt;R$5,MAX(0,R$3+ROUND((R$9*($L1196-R$5)),0)),IF($L1196&gt;R$4,R$3,ROUND($L1196*R$7,0)))</f>
        <v/>
      </c>
      <c r="H1196" s="448">
        <f>IF($L1196&gt;S$5,MAX(0,S$3+ROUND((S$9*($L1196-S$5)),0)),IF($L1196&gt;S$4,S$3,ROUND($L1196*S$7,0)))</f>
        <v/>
      </c>
      <c r="I1196" s="448">
        <f>IF($L1196&gt;T$5,MAX(0,T$3+ROUND((T$9*($L1196-T$5)),0)),IF($L1196&gt;T$4,T$3,ROUND($L1196*T$7,0)))</f>
        <v/>
      </c>
      <c r="J1196" s="447">
        <f>IF($L1196&gt;U$5,MAX(0,U$3+ROUND((U$9*($L1196-U$5)),0)),IF($L1196&gt;U$4,U$3,ROUND($L1196*U$7,0)))</f>
        <v/>
      </c>
      <c r="L1196" s="448">
        <f>ROUND((A1196+B1196)/2,2)</f>
        <v/>
      </c>
    </row>
    <row r="1197" ht="13.5" customHeight="1" s="7635">
      <c r="A1197" s="448" t="n">
        <v>59450</v>
      </c>
      <c r="B1197" s="447" t="n">
        <v>59500</v>
      </c>
      <c r="C1197" s="1378">
        <f>IF($L1197&gt;N$5,MAX(0,N$3+ROUND((N$9*($L1197-N$5)),0)),IF($L1197&gt;N$4,N$3,ROUND($L1197*N$7,0)))</f>
        <v/>
      </c>
      <c r="D1197" s="448">
        <f>IF($L1197&gt;O$5,MAX(0,O$3+ROUND((O$9*($L1197-O$5)),0)),IF($L1197&gt;O$4,O$3,ROUND($L1197*O$7,0)))</f>
        <v/>
      </c>
      <c r="E1197" s="448">
        <f>IF($L1197&gt;P$5,MAX(0,P$3+ROUND((P$9*($L1197-P$5)),0)),IF($L1197&gt;P$4,P$3,ROUND($L1197*P$7,0)))</f>
        <v/>
      </c>
      <c r="F1197" s="447">
        <f>IF($L1197&gt;Q$5,MAX(0,Q$3+ROUND((Q$9*($L1197-Q$5)),0)),IF($L1197&gt;Q$4,Q$3,ROUND($L1197*Q$7,0)))</f>
        <v/>
      </c>
      <c r="G1197" s="1378">
        <f>IF($L1197&gt;R$5,MAX(0,R$3+ROUND((R$9*($L1197-R$5)),0)),IF($L1197&gt;R$4,R$3,ROUND($L1197*R$7,0)))</f>
        <v/>
      </c>
      <c r="H1197" s="448">
        <f>IF($L1197&gt;S$5,MAX(0,S$3+ROUND((S$9*($L1197-S$5)),0)),IF($L1197&gt;S$4,S$3,ROUND($L1197*S$7,0)))</f>
        <v/>
      </c>
      <c r="I1197" s="448">
        <f>IF($L1197&gt;T$5,MAX(0,T$3+ROUND((T$9*($L1197-T$5)),0)),IF($L1197&gt;T$4,T$3,ROUND($L1197*T$7,0)))</f>
        <v/>
      </c>
      <c r="J1197" s="447">
        <f>IF($L1197&gt;U$5,MAX(0,U$3+ROUND((U$9*($L1197-U$5)),0)),IF($L1197&gt;U$4,U$3,ROUND($L1197*U$7,0)))</f>
        <v/>
      </c>
      <c r="L1197" s="448">
        <f>ROUND((A1197+B1197)/2,2)</f>
        <v/>
      </c>
    </row>
    <row r="1198" ht="13.5" customHeight="1" s="7635">
      <c r="A1198" s="448" t="n">
        <v>59500</v>
      </c>
      <c r="B1198" s="447" t="n">
        <v>59550</v>
      </c>
      <c r="C1198" s="1378">
        <f>IF($L1198&gt;N$5,MAX(0,N$3+ROUND((N$9*($L1198-N$5)),0)),IF($L1198&gt;N$4,N$3,ROUND($L1198*N$7,0)))</f>
        <v/>
      </c>
      <c r="D1198" s="448">
        <f>IF($L1198&gt;O$5,MAX(0,O$3+ROUND((O$9*($L1198-O$5)),0)),IF($L1198&gt;O$4,O$3,ROUND($L1198*O$7,0)))</f>
        <v/>
      </c>
      <c r="E1198" s="448">
        <f>IF($L1198&gt;P$5,MAX(0,P$3+ROUND((P$9*($L1198-P$5)),0)),IF($L1198&gt;P$4,P$3,ROUND($L1198*P$7,0)))</f>
        <v/>
      </c>
      <c r="F1198" s="447">
        <f>IF($L1198&gt;Q$5,MAX(0,Q$3+ROUND((Q$9*($L1198-Q$5)),0)),IF($L1198&gt;Q$4,Q$3,ROUND($L1198*Q$7,0)))</f>
        <v/>
      </c>
      <c r="G1198" s="1378">
        <f>IF($L1198&gt;R$5,MAX(0,R$3+ROUND((R$9*($L1198-R$5)),0)),IF($L1198&gt;R$4,R$3,ROUND($L1198*R$7,0)))</f>
        <v/>
      </c>
      <c r="H1198" s="448">
        <f>IF($L1198&gt;S$5,MAX(0,S$3+ROUND((S$9*($L1198-S$5)),0)),IF($L1198&gt;S$4,S$3,ROUND($L1198*S$7,0)))</f>
        <v/>
      </c>
      <c r="I1198" s="448">
        <f>IF($L1198&gt;T$5,MAX(0,T$3+ROUND((T$9*($L1198-T$5)),0)),IF($L1198&gt;T$4,T$3,ROUND($L1198*T$7,0)))</f>
        <v/>
      </c>
      <c r="J1198" s="447">
        <f>IF($L1198&gt;U$5,MAX(0,U$3+ROUND((U$9*($L1198-U$5)),0)),IF($L1198&gt;U$4,U$3,ROUND($L1198*U$7,0)))</f>
        <v/>
      </c>
      <c r="L1198" s="448">
        <f>ROUND((A1198+B1198)/2,2)</f>
        <v/>
      </c>
    </row>
    <row r="1199" ht="13.5" customHeight="1" s="7635">
      <c r="A1199" s="448" t="n">
        <v>59550</v>
      </c>
      <c r="B1199" s="447" t="n">
        <v>59600</v>
      </c>
      <c r="C1199" s="1378">
        <f>IF($L1199&gt;N$5,MAX(0,N$3+ROUND((N$9*($L1199-N$5)),0)),IF($L1199&gt;N$4,N$3,ROUND($L1199*N$7,0)))</f>
        <v/>
      </c>
      <c r="D1199" s="448">
        <f>IF($L1199&gt;O$5,MAX(0,O$3+ROUND((O$9*($L1199-O$5)),0)),IF($L1199&gt;O$4,O$3,ROUND($L1199*O$7,0)))</f>
        <v/>
      </c>
      <c r="E1199" s="448">
        <f>IF($L1199&gt;P$5,MAX(0,P$3+ROUND((P$9*($L1199-P$5)),0)),IF($L1199&gt;P$4,P$3,ROUND($L1199*P$7,0)))</f>
        <v/>
      </c>
      <c r="F1199" s="447">
        <f>IF($L1199&gt;Q$5,MAX(0,Q$3+ROUND((Q$9*($L1199-Q$5)),0)),IF($L1199&gt;Q$4,Q$3,ROUND($L1199*Q$7,0)))</f>
        <v/>
      </c>
      <c r="G1199" s="1378">
        <f>IF($L1199&gt;R$5,MAX(0,R$3+ROUND((R$9*($L1199-R$5)),0)),IF($L1199&gt;R$4,R$3,ROUND($L1199*R$7,0)))</f>
        <v/>
      </c>
      <c r="H1199" s="448">
        <f>IF($L1199&gt;S$5,MAX(0,S$3+ROUND((S$9*($L1199-S$5)),0)),IF($L1199&gt;S$4,S$3,ROUND($L1199*S$7,0)))</f>
        <v/>
      </c>
      <c r="I1199" s="448">
        <f>IF($L1199&gt;T$5,MAX(0,T$3+ROUND((T$9*($L1199-T$5)),0)),IF($L1199&gt;T$4,T$3,ROUND($L1199*T$7,0)))</f>
        <v/>
      </c>
      <c r="J1199" s="447">
        <f>IF($L1199&gt;U$5,MAX(0,U$3+ROUND((U$9*($L1199-U$5)),0)),IF($L1199&gt;U$4,U$3,ROUND($L1199*U$7,0)))</f>
        <v/>
      </c>
      <c r="L1199" s="448">
        <f>ROUND((A1199+B1199)/2,2)</f>
        <v/>
      </c>
    </row>
    <row r="1200" ht="13.5" customHeight="1" s="7635">
      <c r="A1200" s="448" t="n">
        <v>59600</v>
      </c>
      <c r="B1200" s="447" t="n">
        <v>59650</v>
      </c>
      <c r="C1200" s="1378">
        <f>IF($L1200&gt;N$5,MAX(0,N$3+ROUND((N$9*($L1200-N$5)),0)),IF($L1200&gt;N$4,N$3,ROUND($L1200*N$7,0)))</f>
        <v/>
      </c>
      <c r="D1200" s="448">
        <f>IF($L1200&gt;O$5,MAX(0,O$3+ROUND((O$9*($L1200-O$5)),0)),IF($L1200&gt;O$4,O$3,ROUND($L1200*O$7,0)))</f>
        <v/>
      </c>
      <c r="E1200" s="448">
        <f>IF($L1200&gt;P$5,MAX(0,P$3+ROUND((P$9*($L1200-P$5)),0)),IF($L1200&gt;P$4,P$3,ROUND($L1200*P$7,0)))</f>
        <v/>
      </c>
      <c r="F1200" s="447">
        <f>IF($L1200&gt;Q$5,MAX(0,Q$3+ROUND((Q$9*($L1200-Q$5)),0)),IF($L1200&gt;Q$4,Q$3,ROUND($L1200*Q$7,0)))</f>
        <v/>
      </c>
      <c r="G1200" s="1378">
        <f>IF($L1200&gt;R$5,MAX(0,R$3+ROUND((R$9*($L1200-R$5)),0)),IF($L1200&gt;R$4,R$3,ROUND($L1200*R$7,0)))</f>
        <v/>
      </c>
      <c r="H1200" s="448">
        <f>IF($L1200&gt;S$5,MAX(0,S$3+ROUND((S$9*($L1200-S$5)),0)),IF($L1200&gt;S$4,S$3,ROUND($L1200*S$7,0)))</f>
        <v/>
      </c>
      <c r="I1200" s="448">
        <f>IF($L1200&gt;T$5,MAX(0,T$3+ROUND((T$9*($L1200-T$5)),0)),IF($L1200&gt;T$4,T$3,ROUND($L1200*T$7,0)))</f>
        <v/>
      </c>
      <c r="J1200" s="447">
        <f>IF($L1200&gt;U$5,MAX(0,U$3+ROUND((U$9*($L1200-U$5)),0)),IF($L1200&gt;U$4,U$3,ROUND($L1200*U$7,0)))</f>
        <v/>
      </c>
      <c r="L1200" s="448">
        <f>ROUND((A1200+B1200)/2,2)</f>
        <v/>
      </c>
    </row>
    <row r="1201" ht="13.5" customHeight="1" s="7635">
      <c r="A1201" s="448" t="n">
        <v>59650</v>
      </c>
      <c r="B1201" s="447" t="n">
        <v>59700</v>
      </c>
      <c r="C1201" s="1378">
        <f>IF($L1201&gt;N$5,MAX(0,N$3+ROUND((N$9*($L1201-N$5)),0)),IF($L1201&gt;N$4,N$3,ROUND($L1201*N$7,0)))</f>
        <v/>
      </c>
      <c r="D1201" s="448">
        <f>IF($L1201&gt;O$5,MAX(0,O$3+ROUND((O$9*($L1201-O$5)),0)),IF($L1201&gt;O$4,O$3,ROUND($L1201*O$7,0)))</f>
        <v/>
      </c>
      <c r="E1201" s="448">
        <f>IF($L1201&gt;P$5,MAX(0,P$3+ROUND((P$9*($L1201-P$5)),0)),IF($L1201&gt;P$4,P$3,ROUND($L1201*P$7,0)))</f>
        <v/>
      </c>
      <c r="F1201" s="447">
        <f>IF($L1201&gt;Q$5,MAX(0,Q$3+ROUND((Q$9*($L1201-Q$5)),0)),IF($L1201&gt;Q$4,Q$3,ROUND($L1201*Q$7,0)))</f>
        <v/>
      </c>
      <c r="G1201" s="1378">
        <f>IF($L1201&gt;R$5,MAX(0,R$3+ROUND((R$9*($L1201-R$5)),0)),IF($L1201&gt;R$4,R$3,ROUND($L1201*R$7,0)))</f>
        <v/>
      </c>
      <c r="H1201" s="448">
        <f>IF($L1201&gt;S$5,MAX(0,S$3+ROUND((S$9*($L1201-S$5)),0)),IF($L1201&gt;S$4,S$3,ROUND($L1201*S$7,0)))</f>
        <v/>
      </c>
      <c r="I1201" s="448">
        <f>IF($L1201&gt;T$5,MAX(0,T$3+ROUND((T$9*($L1201-T$5)),0)),IF($L1201&gt;T$4,T$3,ROUND($L1201*T$7,0)))</f>
        <v/>
      </c>
      <c r="J1201" s="447">
        <f>IF($L1201&gt;U$5,MAX(0,U$3+ROUND((U$9*($L1201-U$5)),0)),IF($L1201&gt;U$4,U$3,ROUND($L1201*U$7,0)))</f>
        <v/>
      </c>
      <c r="L1201" s="448">
        <f>ROUND((A1201+B1201)/2,2)</f>
        <v/>
      </c>
    </row>
    <row r="1202" ht="13.5" customHeight="1" s="7635">
      <c r="A1202" s="448" t="n">
        <v>59700</v>
      </c>
      <c r="B1202" s="447" t="n">
        <v>59750</v>
      </c>
      <c r="C1202" s="1378">
        <f>IF($L1202&gt;N$5,MAX(0,N$3+ROUND((N$9*($L1202-N$5)),0)),IF($L1202&gt;N$4,N$3,ROUND($L1202*N$7,0)))</f>
        <v/>
      </c>
      <c r="D1202" s="448">
        <f>IF($L1202&gt;O$5,MAX(0,O$3+ROUND((O$9*($L1202-O$5)),0)),IF($L1202&gt;O$4,O$3,ROUND($L1202*O$7,0)))</f>
        <v/>
      </c>
      <c r="E1202" s="448">
        <f>IF($L1202&gt;P$5,MAX(0,P$3+ROUND((P$9*($L1202-P$5)),0)),IF($L1202&gt;P$4,P$3,ROUND($L1202*P$7,0)))</f>
        <v/>
      </c>
      <c r="F1202" s="447">
        <f>IF($L1202&gt;Q$5,MAX(0,Q$3+ROUND((Q$9*($L1202-Q$5)),0)),IF($L1202&gt;Q$4,Q$3,ROUND($L1202*Q$7,0)))</f>
        <v/>
      </c>
      <c r="G1202" s="1378">
        <f>IF($L1202&gt;R$5,MAX(0,R$3+ROUND((R$9*($L1202-R$5)),0)),IF($L1202&gt;R$4,R$3,ROUND($L1202*R$7,0)))</f>
        <v/>
      </c>
      <c r="H1202" s="448">
        <f>IF($L1202&gt;S$5,MAX(0,S$3+ROUND((S$9*($L1202-S$5)),0)),IF($L1202&gt;S$4,S$3,ROUND($L1202*S$7,0)))</f>
        <v/>
      </c>
      <c r="I1202" s="448">
        <f>IF($L1202&gt;T$5,MAX(0,T$3+ROUND((T$9*($L1202-T$5)),0)),IF($L1202&gt;T$4,T$3,ROUND($L1202*T$7,0)))</f>
        <v/>
      </c>
      <c r="J1202" s="447">
        <f>IF($L1202&gt;U$5,MAX(0,U$3+ROUND((U$9*($L1202-U$5)),0)),IF($L1202&gt;U$4,U$3,ROUND($L1202*U$7,0)))</f>
        <v/>
      </c>
      <c r="L1202" s="448">
        <f>ROUND((A1202+B1202)/2,2)</f>
        <v/>
      </c>
    </row>
    <row r="1203" ht="13.5" customHeight="1" s="7635">
      <c r="A1203" s="448" t="n">
        <v>59750</v>
      </c>
      <c r="B1203" s="447" t="n">
        <v>59800</v>
      </c>
      <c r="C1203" s="1378">
        <f>IF($L1203&gt;N$5,MAX(0,N$3+ROUND((N$9*($L1203-N$5)),0)),IF($L1203&gt;N$4,N$3,ROUND($L1203*N$7,0)))</f>
        <v/>
      </c>
      <c r="D1203" s="448">
        <f>IF($L1203&gt;O$5,MAX(0,O$3+ROUND((O$9*($L1203-O$5)),0)),IF($L1203&gt;O$4,O$3,ROUND($L1203*O$7,0)))</f>
        <v/>
      </c>
      <c r="E1203" s="448">
        <f>IF($L1203&gt;P$5,MAX(0,P$3+ROUND((P$9*($L1203-P$5)),0)),IF($L1203&gt;P$4,P$3,ROUND($L1203*P$7,0)))</f>
        <v/>
      </c>
      <c r="F1203" s="447">
        <f>IF($L1203&gt;Q$5,MAX(0,Q$3+ROUND((Q$9*($L1203-Q$5)),0)),IF($L1203&gt;Q$4,Q$3,ROUND($L1203*Q$7,0)))</f>
        <v/>
      </c>
      <c r="G1203" s="1378">
        <f>IF($L1203&gt;R$5,MAX(0,R$3+ROUND((R$9*($L1203-R$5)),0)),IF($L1203&gt;R$4,R$3,ROUND($L1203*R$7,0)))</f>
        <v/>
      </c>
      <c r="H1203" s="448">
        <f>IF($L1203&gt;S$5,MAX(0,S$3+ROUND((S$9*($L1203-S$5)),0)),IF($L1203&gt;S$4,S$3,ROUND($L1203*S$7,0)))</f>
        <v/>
      </c>
      <c r="I1203" s="448">
        <f>IF($L1203&gt;T$5,MAX(0,T$3+ROUND((T$9*($L1203-T$5)),0)),IF($L1203&gt;T$4,T$3,ROUND($L1203*T$7,0)))</f>
        <v/>
      </c>
      <c r="J1203" s="447">
        <f>IF($L1203&gt;U$5,MAX(0,U$3+ROUND((U$9*($L1203-U$5)),0)),IF($L1203&gt;U$4,U$3,ROUND($L1203*U$7,0)))</f>
        <v/>
      </c>
      <c r="L1203" s="448">
        <f>ROUND((A1203+B1203)/2,2)</f>
        <v/>
      </c>
    </row>
    <row r="1204" ht="13.5" customHeight="1" s="7635">
      <c r="A1204" s="448" t="n">
        <v>59800</v>
      </c>
      <c r="B1204" s="447" t="n">
        <v>59850</v>
      </c>
      <c r="C1204" s="1378">
        <f>IF($L1204&gt;N$5,MAX(0,N$3+ROUND((N$9*($L1204-N$5)),0)),IF($L1204&gt;N$4,N$3,ROUND($L1204*N$7,0)))</f>
        <v/>
      </c>
      <c r="D1204" s="448">
        <f>IF($L1204&gt;O$5,MAX(0,O$3+ROUND((O$9*($L1204-O$5)),0)),IF($L1204&gt;O$4,O$3,ROUND($L1204*O$7,0)))</f>
        <v/>
      </c>
      <c r="E1204" s="448">
        <f>IF($L1204&gt;P$5,MAX(0,P$3+ROUND((P$9*($L1204-P$5)),0)),IF($L1204&gt;P$4,P$3,ROUND($L1204*P$7,0)))</f>
        <v/>
      </c>
      <c r="F1204" s="447">
        <f>IF($L1204&gt;Q$5,MAX(0,Q$3+ROUND((Q$9*($L1204-Q$5)),0)),IF($L1204&gt;Q$4,Q$3,ROUND($L1204*Q$7,0)))</f>
        <v/>
      </c>
      <c r="G1204" s="1378">
        <f>IF($L1204&gt;R$5,MAX(0,R$3+ROUND((R$9*($L1204-R$5)),0)),IF($L1204&gt;R$4,R$3,ROUND($L1204*R$7,0)))</f>
        <v/>
      </c>
      <c r="H1204" s="448">
        <f>IF($L1204&gt;S$5,MAX(0,S$3+ROUND((S$9*($L1204-S$5)),0)),IF($L1204&gt;S$4,S$3,ROUND($L1204*S$7,0)))</f>
        <v/>
      </c>
      <c r="I1204" s="448">
        <f>IF($L1204&gt;T$5,MAX(0,T$3+ROUND((T$9*($L1204-T$5)),0)),IF($L1204&gt;T$4,T$3,ROUND($L1204*T$7,0)))</f>
        <v/>
      </c>
      <c r="J1204" s="447">
        <f>IF($L1204&gt;U$5,MAX(0,U$3+ROUND((U$9*($L1204-U$5)),0)),IF($L1204&gt;U$4,U$3,ROUND($L1204*U$7,0)))</f>
        <v/>
      </c>
      <c r="L1204" s="448">
        <f>ROUND((A1204+B1204)/2,2)</f>
        <v/>
      </c>
    </row>
    <row r="1205" ht="13.5" customHeight="1" s="7635">
      <c r="A1205" s="448" t="n">
        <v>59850</v>
      </c>
      <c r="B1205" s="447" t="n">
        <v>59900</v>
      </c>
      <c r="C1205" s="1378">
        <f>IF($L1205&gt;N$5,MAX(0,N$3+ROUND((N$9*($L1205-N$5)),0)),IF($L1205&gt;N$4,N$3,ROUND($L1205*N$7,0)))</f>
        <v/>
      </c>
      <c r="D1205" s="448">
        <f>IF($L1205&gt;O$5,MAX(0,O$3+ROUND((O$9*($L1205-O$5)),0)),IF($L1205&gt;O$4,O$3,ROUND($L1205*O$7,0)))</f>
        <v/>
      </c>
      <c r="E1205" s="448">
        <f>IF($L1205&gt;P$5,MAX(0,P$3+ROUND((P$9*($L1205-P$5)),0)),IF($L1205&gt;P$4,P$3,ROUND($L1205*P$7,0)))</f>
        <v/>
      </c>
      <c r="F1205" s="447">
        <f>IF($L1205&gt;Q$5,MAX(0,Q$3+ROUND((Q$9*($L1205-Q$5)),0)),IF($L1205&gt;Q$4,Q$3,ROUND($L1205*Q$7,0)))</f>
        <v/>
      </c>
      <c r="G1205" s="1378">
        <f>IF($L1205&gt;R$5,MAX(0,R$3+ROUND((R$9*($L1205-R$5)),0)),IF($L1205&gt;R$4,R$3,ROUND($L1205*R$7,0)))</f>
        <v/>
      </c>
      <c r="H1205" s="448">
        <f>IF($L1205&gt;S$5,MAX(0,S$3+ROUND((S$9*($L1205-S$5)),0)),IF($L1205&gt;S$4,S$3,ROUND($L1205*S$7,0)))</f>
        <v/>
      </c>
      <c r="I1205" s="448">
        <f>IF($L1205&gt;T$5,MAX(0,T$3+ROUND((T$9*($L1205-T$5)),0)),IF($L1205&gt;T$4,T$3,ROUND($L1205*T$7,0)))</f>
        <v/>
      </c>
      <c r="J1205" s="447">
        <f>IF($L1205&gt;U$5,MAX(0,U$3+ROUND((U$9*($L1205-U$5)),0)),IF($L1205&gt;U$4,U$3,ROUND($L1205*U$7,0)))</f>
        <v/>
      </c>
      <c r="L1205" s="448">
        <f>ROUND((A1205+B1205)/2,2)</f>
        <v/>
      </c>
    </row>
    <row r="1206" ht="13.5" customHeight="1" s="7635">
      <c r="A1206" s="448" t="n">
        <v>59900</v>
      </c>
      <c r="B1206" s="447" t="n">
        <v>59950</v>
      </c>
      <c r="C1206" s="1378">
        <f>IF($L1206&gt;N$5,MAX(0,N$3+ROUND((N$9*($L1206-N$5)),0)),IF($L1206&gt;N$4,N$3,ROUND($L1206*N$7,0)))</f>
        <v/>
      </c>
      <c r="D1206" s="448">
        <f>IF($L1206&gt;O$5,MAX(0,O$3+ROUND((O$9*($L1206-O$5)),0)),IF($L1206&gt;O$4,O$3,ROUND($L1206*O$7,0)))</f>
        <v/>
      </c>
      <c r="E1206" s="448">
        <f>IF($L1206&gt;P$5,MAX(0,P$3+ROUND((P$9*($L1206-P$5)),0)),IF($L1206&gt;P$4,P$3,ROUND($L1206*P$7,0)))</f>
        <v/>
      </c>
      <c r="F1206" s="447">
        <f>IF($L1206&gt;Q$5,MAX(0,Q$3+ROUND((Q$9*($L1206-Q$5)),0)),IF($L1206&gt;Q$4,Q$3,ROUND($L1206*Q$7,0)))</f>
        <v/>
      </c>
      <c r="G1206" s="1378">
        <f>IF($L1206&gt;R$5,MAX(0,R$3+ROUND((R$9*($L1206-R$5)),0)),IF($L1206&gt;R$4,R$3,ROUND($L1206*R$7,0)))</f>
        <v/>
      </c>
      <c r="H1206" s="448">
        <f>IF($L1206&gt;S$5,MAX(0,S$3+ROUND((S$9*($L1206-S$5)),0)),IF($L1206&gt;S$4,S$3,ROUND($L1206*S$7,0)))</f>
        <v/>
      </c>
      <c r="I1206" s="448">
        <f>IF($L1206&gt;T$5,MAX(0,T$3+ROUND((T$9*($L1206-T$5)),0)),IF($L1206&gt;T$4,T$3,ROUND($L1206*T$7,0)))</f>
        <v/>
      </c>
      <c r="J1206" s="447">
        <f>IF($L1206&gt;U$5,MAX(0,U$3+ROUND((U$9*($L1206-U$5)),0)),IF($L1206&gt;U$4,U$3,ROUND($L1206*U$7,0)))</f>
        <v/>
      </c>
      <c r="L1206" s="448">
        <f>ROUND((A1206+B1206)/2,2)</f>
        <v/>
      </c>
    </row>
    <row r="1207" ht="13.5" customHeight="1" s="7635">
      <c r="A1207" s="448" t="n">
        <v>59950</v>
      </c>
      <c r="B1207" s="447" t="n">
        <v>60000</v>
      </c>
      <c r="C1207" s="1378">
        <f>IF($L1207&gt;N$5,MAX(0,N$3+ROUND((N$9*($L1207-N$5)),0)),IF($L1207&gt;N$4,N$3,ROUND($L1207*N$7,0)))</f>
        <v/>
      </c>
      <c r="D1207" s="448">
        <f>IF($L1207&gt;O$5,MAX(0,O$3+ROUND((O$9*($L1207-O$5)),0)),IF($L1207&gt;O$4,O$3,ROUND($L1207*O$7,0)))</f>
        <v/>
      </c>
      <c r="E1207" s="448">
        <f>IF($L1207&gt;P$5,MAX(0,P$3+ROUND((P$9*($L1207-P$5)),0)),IF($L1207&gt;P$4,P$3,ROUND($L1207*P$7,0)))</f>
        <v/>
      </c>
      <c r="F1207" s="447">
        <f>IF($L1207&gt;Q$5,MAX(0,Q$3+ROUND((Q$9*($L1207-Q$5)),0)),IF($L1207&gt;Q$4,Q$3,ROUND($L1207*Q$7,0)))</f>
        <v/>
      </c>
      <c r="G1207" s="1378">
        <f>IF($L1207&gt;R$5,MAX(0,R$3+ROUND((R$9*($L1207-R$5)),0)),IF($L1207&gt;R$4,R$3,ROUND($L1207*R$7,0)))</f>
        <v/>
      </c>
      <c r="H1207" s="448">
        <f>IF($L1207&gt;S$5,MAX(0,S$3+ROUND((S$9*($L1207-S$5)),0)),IF($L1207&gt;S$4,S$3,ROUND($L1207*S$7,0)))</f>
        <v/>
      </c>
      <c r="I1207" s="448">
        <f>IF($L1207&gt;T$5,MAX(0,T$3+ROUND((T$9*($L1207-T$5)),0)),IF($L1207&gt;T$4,T$3,ROUND($L1207*T$7,0)))</f>
        <v/>
      </c>
      <c r="J1207" s="447">
        <f>IF($L1207&gt;U$5,MAX(0,U$3+ROUND((U$9*($L1207-U$5)),0)),IF($L1207&gt;U$4,U$3,ROUND($L1207*U$7,0)))</f>
        <v/>
      </c>
      <c r="L1207" s="448">
        <f>ROUND((A1207+B1207)/2,2)</f>
        <v/>
      </c>
    </row>
    <row r="1208" ht="13.5" customHeight="1" s="7635">
      <c r="A1208" s="448" t="n">
        <v>60000</v>
      </c>
      <c r="B1208" s="447" t="n">
        <v>60050</v>
      </c>
      <c r="C1208" s="1378">
        <f>IF($L1208&gt;N$5,MAX(0,N$3+ROUND((N$9*($L1208-N$5)),0)),IF($L1208&gt;N$4,N$3,ROUND($L1208*N$7,0)))</f>
        <v/>
      </c>
      <c r="D1208" s="448">
        <f>IF($L1208&gt;O$5,MAX(0,O$3+ROUND((O$9*($L1208-O$5)),0)),IF($L1208&gt;O$4,O$3,ROUND($L1208*O$7,0)))</f>
        <v/>
      </c>
      <c r="E1208" s="448">
        <f>IF($L1208&gt;P$5,MAX(0,P$3+ROUND((P$9*($L1208-P$5)),0)),IF($L1208&gt;P$4,P$3,ROUND($L1208*P$7,0)))</f>
        <v/>
      </c>
      <c r="F1208" s="447">
        <f>IF($L1208&gt;Q$5,MAX(0,Q$3+ROUND((Q$9*($L1208-Q$5)),0)),IF($L1208&gt;Q$4,Q$3,ROUND($L1208*Q$7,0)))</f>
        <v/>
      </c>
      <c r="G1208" s="1378">
        <f>IF($L1208&gt;R$5,MAX(0,R$3+ROUND((R$9*($L1208-R$5)),0)),IF($L1208&gt;R$4,R$3,ROUND($L1208*R$7,0)))</f>
        <v/>
      </c>
      <c r="H1208" s="448">
        <f>IF($L1208&gt;S$5,MAX(0,S$3+ROUND((S$9*($L1208-S$5)),0)),IF($L1208&gt;S$4,S$3,ROUND($L1208*S$7,0)))</f>
        <v/>
      </c>
      <c r="I1208" s="448">
        <f>IF($L1208&gt;T$5,MAX(0,T$3+ROUND((T$9*($L1208-T$5)),0)),IF($L1208&gt;T$4,T$3,ROUND($L1208*T$7,0)))</f>
        <v/>
      </c>
      <c r="J1208" s="447">
        <f>IF($L1208&gt;U$5,MAX(0,U$3+ROUND((U$9*($L1208-U$5)),0)),IF($L1208&gt;U$4,U$3,ROUND($L1208*U$7,0)))</f>
        <v/>
      </c>
      <c r="L1208" s="448">
        <f>ROUND((A1208+B1208)/2,2)</f>
        <v/>
      </c>
    </row>
    <row r="1209" ht="13.5" customHeight="1" s="7635">
      <c r="A1209" s="448" t="n">
        <v>60050</v>
      </c>
      <c r="B1209" s="447" t="n">
        <v>60100</v>
      </c>
      <c r="C1209" s="1378">
        <f>IF($L1209&gt;N$5,MAX(0,N$3+ROUND((N$9*($L1209-N$5)),0)),IF($L1209&gt;N$4,N$3,ROUND($L1209*N$7,0)))</f>
        <v/>
      </c>
      <c r="D1209" s="448">
        <f>IF($L1209&gt;O$5,MAX(0,O$3+ROUND((O$9*($L1209-O$5)),0)),IF($L1209&gt;O$4,O$3,ROUND($L1209*O$7,0)))</f>
        <v/>
      </c>
      <c r="E1209" s="448">
        <f>IF($L1209&gt;P$5,MAX(0,P$3+ROUND((P$9*($L1209-P$5)),0)),IF($L1209&gt;P$4,P$3,ROUND($L1209*P$7,0)))</f>
        <v/>
      </c>
      <c r="F1209" s="447">
        <f>IF($L1209&gt;Q$5,MAX(0,Q$3+ROUND((Q$9*($L1209-Q$5)),0)),IF($L1209&gt;Q$4,Q$3,ROUND($L1209*Q$7,0)))</f>
        <v/>
      </c>
      <c r="G1209" s="1378">
        <f>IF($L1209&gt;R$5,MAX(0,R$3+ROUND((R$9*($L1209-R$5)),0)),IF($L1209&gt;R$4,R$3,ROUND($L1209*R$7,0)))</f>
        <v/>
      </c>
      <c r="H1209" s="448">
        <f>IF($L1209&gt;S$5,MAX(0,S$3+ROUND((S$9*($L1209-S$5)),0)),IF($L1209&gt;S$4,S$3,ROUND($L1209*S$7,0)))</f>
        <v/>
      </c>
      <c r="I1209" s="448">
        <f>IF($L1209&gt;T$5,MAX(0,T$3+ROUND((T$9*($L1209-T$5)),0)),IF($L1209&gt;T$4,T$3,ROUND($L1209*T$7,0)))</f>
        <v/>
      </c>
      <c r="J1209" s="447">
        <f>IF($L1209&gt;U$5,MAX(0,U$3+ROUND((U$9*($L1209-U$5)),0)),IF($L1209&gt;U$4,U$3,ROUND($L1209*U$7,0)))</f>
        <v/>
      </c>
      <c r="L1209" s="448">
        <f>ROUND((A1209+B1209)/2,2)</f>
        <v/>
      </c>
    </row>
    <row r="1210" ht="13.5" customHeight="1" s="7635">
      <c r="A1210" s="448" t="n">
        <v>60100</v>
      </c>
      <c r="B1210" s="447" t="n">
        <v>60150</v>
      </c>
      <c r="C1210" s="1378">
        <f>IF($L1210&gt;N$5,MAX(0,N$3+ROUND((N$9*($L1210-N$5)),0)),IF($L1210&gt;N$4,N$3,ROUND($L1210*N$7,0)))</f>
        <v/>
      </c>
      <c r="D1210" s="448">
        <f>IF($L1210&gt;O$5,MAX(0,O$3+ROUND((O$9*($L1210-O$5)),0)),IF($L1210&gt;O$4,O$3,ROUND($L1210*O$7,0)))</f>
        <v/>
      </c>
      <c r="E1210" s="448">
        <f>IF($L1210&gt;P$5,MAX(0,P$3+ROUND((P$9*($L1210-P$5)),0)),IF($L1210&gt;P$4,P$3,ROUND($L1210*P$7,0)))</f>
        <v/>
      </c>
      <c r="F1210" s="447">
        <f>IF($L1210&gt;Q$5,MAX(0,Q$3+ROUND((Q$9*($L1210-Q$5)),0)),IF($L1210&gt;Q$4,Q$3,ROUND($L1210*Q$7,0)))</f>
        <v/>
      </c>
      <c r="G1210" s="1378">
        <f>IF($L1210&gt;R$5,MAX(0,R$3+ROUND((R$9*($L1210-R$5)),0)),IF($L1210&gt;R$4,R$3,ROUND($L1210*R$7,0)))</f>
        <v/>
      </c>
      <c r="H1210" s="448">
        <f>IF($L1210&gt;S$5,MAX(0,S$3+ROUND((S$9*($L1210-S$5)),0)),IF($L1210&gt;S$4,S$3,ROUND($L1210*S$7,0)))</f>
        <v/>
      </c>
      <c r="I1210" s="448">
        <f>IF($L1210&gt;T$5,MAX(0,T$3+ROUND((T$9*($L1210-T$5)),0)),IF($L1210&gt;T$4,T$3,ROUND($L1210*T$7,0)))</f>
        <v/>
      </c>
      <c r="J1210" s="447">
        <f>IF($L1210&gt;U$5,MAX(0,U$3+ROUND((U$9*($L1210-U$5)),0)),IF($L1210&gt;U$4,U$3,ROUND($L1210*U$7,0)))</f>
        <v/>
      </c>
      <c r="L1210" s="448">
        <f>ROUND((A1210+B1210)/2,2)</f>
        <v/>
      </c>
    </row>
    <row r="1211" ht="13.5" customHeight="1" s="7635">
      <c r="A1211" s="448" t="n">
        <v>60150</v>
      </c>
      <c r="B1211" s="447" t="n">
        <v>60200</v>
      </c>
      <c r="C1211" s="1378">
        <f>IF($L1211&gt;N$5,MAX(0,N$3+ROUND((N$9*($L1211-N$5)),0)),IF($L1211&gt;N$4,N$3,ROUND($L1211*N$7,0)))</f>
        <v/>
      </c>
      <c r="D1211" s="448">
        <f>IF($L1211&gt;O$5,MAX(0,O$3+ROUND((O$9*($L1211-O$5)),0)),IF($L1211&gt;O$4,O$3,ROUND($L1211*O$7,0)))</f>
        <v/>
      </c>
      <c r="E1211" s="448">
        <f>IF($L1211&gt;P$5,MAX(0,P$3+ROUND((P$9*($L1211-P$5)),0)),IF($L1211&gt;P$4,P$3,ROUND($L1211*P$7,0)))</f>
        <v/>
      </c>
      <c r="F1211" s="447">
        <f>IF($L1211&gt;Q$5,MAX(0,Q$3+ROUND((Q$9*($L1211-Q$5)),0)),IF($L1211&gt;Q$4,Q$3,ROUND($L1211*Q$7,0)))</f>
        <v/>
      </c>
      <c r="G1211" s="1378">
        <f>IF($L1211&gt;R$5,MAX(0,R$3+ROUND((R$9*($L1211-R$5)),0)),IF($L1211&gt;R$4,R$3,ROUND($L1211*R$7,0)))</f>
        <v/>
      </c>
      <c r="H1211" s="448">
        <f>IF($L1211&gt;S$5,MAX(0,S$3+ROUND((S$9*($L1211-S$5)),0)),IF($L1211&gt;S$4,S$3,ROUND($L1211*S$7,0)))</f>
        <v/>
      </c>
      <c r="I1211" s="448">
        <f>IF($L1211&gt;T$5,MAX(0,T$3+ROUND((T$9*($L1211-T$5)),0)),IF($L1211&gt;T$4,T$3,ROUND($L1211*T$7,0)))</f>
        <v/>
      </c>
      <c r="J1211" s="447">
        <f>IF($L1211&gt;U$5,MAX(0,U$3+ROUND((U$9*($L1211-U$5)),0)),IF($L1211&gt;U$4,U$3,ROUND($L1211*U$7,0)))</f>
        <v/>
      </c>
      <c r="L1211" s="448">
        <f>ROUND((A1211+B1211)/2,2)</f>
        <v/>
      </c>
    </row>
    <row r="1212" ht="13.5" customHeight="1" s="7635">
      <c r="A1212" s="448" t="n">
        <v>60200</v>
      </c>
      <c r="B1212" s="447" t="n">
        <v>60250</v>
      </c>
      <c r="C1212" s="1378">
        <f>IF($L1212&gt;N$5,MAX(0,N$3+ROUND((N$9*($L1212-N$5)),0)),IF($L1212&gt;N$4,N$3,ROUND($L1212*N$7,0)))</f>
        <v/>
      </c>
      <c r="D1212" s="448">
        <f>IF($L1212&gt;O$5,MAX(0,O$3+ROUND((O$9*($L1212-O$5)),0)),IF($L1212&gt;O$4,O$3,ROUND($L1212*O$7,0)))</f>
        <v/>
      </c>
      <c r="E1212" s="448">
        <f>IF($L1212&gt;P$5,MAX(0,P$3+ROUND((P$9*($L1212-P$5)),0)),IF($L1212&gt;P$4,P$3,ROUND($L1212*P$7,0)))</f>
        <v/>
      </c>
      <c r="F1212" s="447">
        <f>IF($L1212&gt;Q$5,MAX(0,Q$3+ROUND((Q$9*($L1212-Q$5)),0)),IF($L1212&gt;Q$4,Q$3,ROUND($L1212*Q$7,0)))</f>
        <v/>
      </c>
      <c r="G1212" s="1378">
        <f>IF($L1212&gt;R$5,MAX(0,R$3+ROUND((R$9*($L1212-R$5)),0)),IF($L1212&gt;R$4,R$3,ROUND($L1212*R$7,0)))</f>
        <v/>
      </c>
      <c r="H1212" s="448">
        <f>IF($L1212&gt;S$5,MAX(0,S$3+ROUND((S$9*($L1212-S$5)),0)),IF($L1212&gt;S$4,S$3,ROUND($L1212*S$7,0)))</f>
        <v/>
      </c>
      <c r="I1212" s="448">
        <f>IF($L1212&gt;T$5,MAX(0,T$3+ROUND((T$9*($L1212-T$5)),0)),IF($L1212&gt;T$4,T$3,ROUND($L1212*T$7,0)))</f>
        <v/>
      </c>
      <c r="J1212" s="447">
        <f>IF($L1212&gt;U$5,MAX(0,U$3+ROUND((U$9*($L1212-U$5)),0)),IF($L1212&gt;U$4,U$3,ROUND($L1212*U$7,0)))</f>
        <v/>
      </c>
      <c r="L1212" s="448">
        <f>ROUND((A1212+B1212)/2,2)</f>
        <v/>
      </c>
    </row>
    <row r="1213" ht="13.5" customHeight="1" s="7635">
      <c r="A1213" s="448" t="n">
        <v>60250</v>
      </c>
      <c r="B1213" s="447" t="n">
        <v>60300</v>
      </c>
      <c r="C1213" s="1378">
        <f>IF($L1213&gt;N$5,MAX(0,N$3+ROUND((N$9*($L1213-N$5)),0)),IF($L1213&gt;N$4,N$3,ROUND($L1213*N$7,0)))</f>
        <v/>
      </c>
      <c r="D1213" s="448">
        <f>IF($L1213&gt;O$5,MAX(0,O$3+ROUND((O$9*($L1213-O$5)),0)),IF($L1213&gt;O$4,O$3,ROUND($L1213*O$7,0)))</f>
        <v/>
      </c>
      <c r="E1213" s="448">
        <f>IF($L1213&gt;P$5,MAX(0,P$3+ROUND((P$9*($L1213-P$5)),0)),IF($L1213&gt;P$4,P$3,ROUND($L1213*P$7,0)))</f>
        <v/>
      </c>
      <c r="F1213" s="447">
        <f>IF($L1213&gt;Q$5,MAX(0,Q$3+ROUND((Q$9*($L1213-Q$5)),0)),IF($L1213&gt;Q$4,Q$3,ROUND($L1213*Q$7,0)))</f>
        <v/>
      </c>
      <c r="G1213" s="1378">
        <f>IF($L1213&gt;R$5,MAX(0,R$3+ROUND((R$9*($L1213-R$5)),0)),IF($L1213&gt;R$4,R$3,ROUND($L1213*R$7,0)))</f>
        <v/>
      </c>
      <c r="H1213" s="448">
        <f>IF($L1213&gt;S$5,MAX(0,S$3+ROUND((S$9*($L1213-S$5)),0)),IF($L1213&gt;S$4,S$3,ROUND($L1213*S$7,0)))</f>
        <v/>
      </c>
      <c r="I1213" s="448">
        <f>IF($L1213&gt;T$5,MAX(0,T$3+ROUND((T$9*($L1213-T$5)),0)),IF($L1213&gt;T$4,T$3,ROUND($L1213*T$7,0)))</f>
        <v/>
      </c>
      <c r="J1213" s="447">
        <f>IF($L1213&gt;U$5,MAX(0,U$3+ROUND((U$9*($L1213-U$5)),0)),IF($L1213&gt;U$4,U$3,ROUND($L1213*U$7,0)))</f>
        <v/>
      </c>
      <c r="L1213" s="448">
        <f>ROUND((A1213+B1213)/2,2)</f>
        <v/>
      </c>
    </row>
    <row r="1214" ht="13.5" customHeight="1" s="7635">
      <c r="A1214" s="448" t="n">
        <v>60300</v>
      </c>
      <c r="B1214" s="447" t="n">
        <v>60350</v>
      </c>
      <c r="C1214" s="1378">
        <f>IF($L1214&gt;N$5,MAX(0,N$3+ROUND((N$9*($L1214-N$5)),0)),IF($L1214&gt;N$4,N$3,ROUND($L1214*N$7,0)))</f>
        <v/>
      </c>
      <c r="D1214" s="448">
        <f>IF($L1214&gt;O$5,MAX(0,O$3+ROUND((O$9*($L1214-O$5)),0)),IF($L1214&gt;O$4,O$3,ROUND($L1214*O$7,0)))</f>
        <v/>
      </c>
      <c r="E1214" s="448">
        <f>IF($L1214&gt;P$5,MAX(0,P$3+ROUND((P$9*($L1214-P$5)),0)),IF($L1214&gt;P$4,P$3,ROUND($L1214*P$7,0)))</f>
        <v/>
      </c>
      <c r="F1214" s="447">
        <f>IF($L1214&gt;Q$5,MAX(0,Q$3+ROUND((Q$9*($L1214-Q$5)),0)),IF($L1214&gt;Q$4,Q$3,ROUND($L1214*Q$7,0)))</f>
        <v/>
      </c>
      <c r="G1214" s="1378">
        <f>IF($L1214&gt;R$5,MAX(0,R$3+ROUND((R$9*($L1214-R$5)),0)),IF($L1214&gt;R$4,R$3,ROUND($L1214*R$7,0)))</f>
        <v/>
      </c>
      <c r="H1214" s="448">
        <f>IF($L1214&gt;S$5,MAX(0,S$3+ROUND((S$9*($L1214-S$5)),0)),IF($L1214&gt;S$4,S$3,ROUND($L1214*S$7,0)))</f>
        <v/>
      </c>
      <c r="I1214" s="448">
        <f>IF($L1214&gt;T$5,MAX(0,T$3+ROUND((T$9*($L1214-T$5)),0)),IF($L1214&gt;T$4,T$3,ROUND($L1214*T$7,0)))</f>
        <v/>
      </c>
      <c r="J1214" s="447">
        <f>IF($L1214&gt;U$5,MAX(0,U$3+ROUND((U$9*($L1214-U$5)),0)),IF($L1214&gt;U$4,U$3,ROUND($L1214*U$7,0)))</f>
        <v/>
      </c>
      <c r="L1214" s="448">
        <f>ROUND((A1214+B1214)/2,2)</f>
        <v/>
      </c>
    </row>
    <row r="1215" ht="13.5" customHeight="1" s="7635">
      <c r="A1215" s="448" t="n">
        <v>60350</v>
      </c>
      <c r="B1215" s="447" t="n">
        <v>60400</v>
      </c>
      <c r="C1215" s="1378">
        <f>IF($L1215&gt;N$5,MAX(0,N$3+ROUND((N$9*($L1215-N$5)),0)),IF($L1215&gt;N$4,N$3,ROUND($L1215*N$7,0)))</f>
        <v/>
      </c>
      <c r="D1215" s="448">
        <f>IF($L1215&gt;O$5,MAX(0,O$3+ROUND((O$9*($L1215-O$5)),0)),IF($L1215&gt;O$4,O$3,ROUND($L1215*O$7,0)))</f>
        <v/>
      </c>
      <c r="E1215" s="448">
        <f>IF($L1215&gt;P$5,MAX(0,P$3+ROUND((P$9*($L1215-P$5)),0)),IF($L1215&gt;P$4,P$3,ROUND($L1215*P$7,0)))</f>
        <v/>
      </c>
      <c r="F1215" s="447">
        <f>IF($L1215&gt;Q$5,MAX(0,Q$3+ROUND((Q$9*($L1215-Q$5)),0)),IF($L1215&gt;Q$4,Q$3,ROUND($L1215*Q$7,0)))</f>
        <v/>
      </c>
      <c r="G1215" s="1378">
        <f>IF($L1215&gt;R$5,MAX(0,R$3+ROUND((R$9*($L1215-R$5)),0)),IF($L1215&gt;R$4,R$3,ROUND($L1215*R$7,0)))</f>
        <v/>
      </c>
      <c r="H1215" s="448">
        <f>IF($L1215&gt;S$5,MAX(0,S$3+ROUND((S$9*($L1215-S$5)),0)),IF($L1215&gt;S$4,S$3,ROUND($L1215*S$7,0)))</f>
        <v/>
      </c>
      <c r="I1215" s="448">
        <f>IF($L1215&gt;T$5,MAX(0,T$3+ROUND((T$9*($L1215-T$5)),0)),IF($L1215&gt;T$4,T$3,ROUND($L1215*T$7,0)))</f>
        <v/>
      </c>
      <c r="J1215" s="447">
        <f>IF($L1215&gt;U$5,MAX(0,U$3+ROUND((U$9*($L1215-U$5)),0)),IF($L1215&gt;U$4,U$3,ROUND($L1215*U$7,0)))</f>
        <v/>
      </c>
      <c r="L1215" s="448">
        <f>ROUND((A1215+B1215)/2,2)</f>
        <v/>
      </c>
    </row>
    <row r="1216" ht="13.5" customHeight="1" s="7635">
      <c r="A1216" s="448" t="n">
        <v>60400</v>
      </c>
      <c r="B1216" s="447" t="n">
        <v>60450</v>
      </c>
      <c r="C1216" s="1378">
        <f>IF($L1216&gt;N$5,MAX(0,N$3+ROUND((N$9*($L1216-N$5)),0)),IF($L1216&gt;N$4,N$3,ROUND($L1216*N$7,0)))</f>
        <v/>
      </c>
      <c r="D1216" s="448">
        <f>IF($L1216&gt;O$5,MAX(0,O$3+ROUND((O$9*($L1216-O$5)),0)),IF($L1216&gt;O$4,O$3,ROUND($L1216*O$7,0)))</f>
        <v/>
      </c>
      <c r="E1216" s="448">
        <f>IF($L1216&gt;P$5,MAX(0,P$3+ROUND((P$9*($L1216-P$5)),0)),IF($L1216&gt;P$4,P$3,ROUND($L1216*P$7,0)))</f>
        <v/>
      </c>
      <c r="F1216" s="447">
        <f>IF($L1216&gt;Q$5,MAX(0,Q$3+ROUND((Q$9*($L1216-Q$5)),0)),IF($L1216&gt;Q$4,Q$3,ROUND($L1216*Q$7,0)))</f>
        <v/>
      </c>
      <c r="G1216" s="1378">
        <f>IF($L1216&gt;R$5,MAX(0,R$3+ROUND((R$9*($L1216-R$5)),0)),IF($L1216&gt;R$4,R$3,ROUND($L1216*R$7,0)))</f>
        <v/>
      </c>
      <c r="H1216" s="448">
        <f>IF($L1216&gt;S$5,MAX(0,S$3+ROUND((S$9*($L1216-S$5)),0)),IF($L1216&gt;S$4,S$3,ROUND($L1216*S$7,0)))</f>
        <v/>
      </c>
      <c r="I1216" s="448">
        <f>IF($L1216&gt;T$5,MAX(0,T$3+ROUND((T$9*($L1216-T$5)),0)),IF($L1216&gt;T$4,T$3,ROUND($L1216*T$7,0)))</f>
        <v/>
      </c>
      <c r="J1216" s="447">
        <f>IF($L1216&gt;U$5,MAX(0,U$3+ROUND((U$9*($L1216-U$5)),0)),IF($L1216&gt;U$4,U$3,ROUND($L1216*U$7,0)))</f>
        <v/>
      </c>
      <c r="L1216" s="448">
        <f>ROUND((A1216+B1216)/2,2)</f>
        <v/>
      </c>
    </row>
    <row r="1217" ht="13.5" customHeight="1" s="7635">
      <c r="A1217" s="448" t="n">
        <v>60450</v>
      </c>
      <c r="B1217" s="447" t="n">
        <v>60500</v>
      </c>
      <c r="C1217" s="1378">
        <f>IF($L1217&gt;N$5,MAX(0,N$3+ROUND((N$9*($L1217-N$5)),0)),IF($L1217&gt;N$4,N$3,ROUND($L1217*N$7,0)))</f>
        <v/>
      </c>
      <c r="D1217" s="448">
        <f>IF($L1217&gt;O$5,MAX(0,O$3+ROUND((O$9*($L1217-O$5)),0)),IF($L1217&gt;O$4,O$3,ROUND($L1217*O$7,0)))</f>
        <v/>
      </c>
      <c r="E1217" s="448">
        <f>IF($L1217&gt;P$5,MAX(0,P$3+ROUND((P$9*($L1217-P$5)),0)),IF($L1217&gt;P$4,P$3,ROUND($L1217*P$7,0)))</f>
        <v/>
      </c>
      <c r="F1217" s="447">
        <f>IF($L1217&gt;Q$5,MAX(0,Q$3+ROUND((Q$9*($L1217-Q$5)),0)),IF($L1217&gt;Q$4,Q$3,ROUND($L1217*Q$7,0)))</f>
        <v/>
      </c>
      <c r="G1217" s="1378">
        <f>IF($L1217&gt;R$5,MAX(0,R$3+ROUND((R$9*($L1217-R$5)),0)),IF($L1217&gt;R$4,R$3,ROUND($L1217*R$7,0)))</f>
        <v/>
      </c>
      <c r="H1217" s="448">
        <f>IF($L1217&gt;S$5,MAX(0,S$3+ROUND((S$9*($L1217-S$5)),0)),IF($L1217&gt;S$4,S$3,ROUND($L1217*S$7,0)))</f>
        <v/>
      </c>
      <c r="I1217" s="448">
        <f>IF($L1217&gt;T$5,MAX(0,T$3+ROUND((T$9*($L1217-T$5)),0)),IF($L1217&gt;T$4,T$3,ROUND($L1217*T$7,0)))</f>
        <v/>
      </c>
      <c r="J1217" s="447">
        <f>IF($L1217&gt;U$5,MAX(0,U$3+ROUND((U$9*($L1217-U$5)),0)),IF($L1217&gt;U$4,U$3,ROUND($L1217*U$7,0)))</f>
        <v/>
      </c>
      <c r="L1217" s="448">
        <f>ROUND((A1217+B1217)/2,2)</f>
        <v/>
      </c>
    </row>
    <row r="1218" ht="13.5" customHeight="1" s="7635">
      <c r="A1218" s="448" t="n">
        <v>60500</v>
      </c>
      <c r="B1218" s="447" t="n">
        <v>60550</v>
      </c>
      <c r="C1218" s="1378">
        <f>IF($L1218&gt;N$5,MAX(0,N$3+ROUND((N$9*($L1218-N$5)),0)),IF($L1218&gt;N$4,N$3,ROUND($L1218*N$7,0)))</f>
        <v/>
      </c>
      <c r="D1218" s="448">
        <f>IF($L1218&gt;O$5,MAX(0,O$3+ROUND((O$9*($L1218-O$5)),0)),IF($L1218&gt;O$4,O$3,ROUND($L1218*O$7,0)))</f>
        <v/>
      </c>
      <c r="E1218" s="448">
        <f>IF($L1218&gt;P$5,MAX(0,P$3+ROUND((P$9*($L1218-P$5)),0)),IF($L1218&gt;P$4,P$3,ROUND($L1218*P$7,0)))</f>
        <v/>
      </c>
      <c r="F1218" s="447">
        <f>IF($L1218&gt;Q$5,MAX(0,Q$3+ROUND((Q$9*($L1218-Q$5)),0)),IF($L1218&gt;Q$4,Q$3,ROUND($L1218*Q$7,0)))</f>
        <v/>
      </c>
      <c r="G1218" s="1378">
        <f>IF($L1218&gt;R$5,MAX(0,R$3+ROUND((R$9*($L1218-R$5)),0)),IF($L1218&gt;R$4,R$3,ROUND($L1218*R$7,0)))</f>
        <v/>
      </c>
      <c r="H1218" s="448">
        <f>IF($L1218&gt;S$5,MAX(0,S$3+ROUND((S$9*($L1218-S$5)),0)),IF($L1218&gt;S$4,S$3,ROUND($L1218*S$7,0)))</f>
        <v/>
      </c>
      <c r="I1218" s="448">
        <f>IF($L1218&gt;T$5,MAX(0,T$3+ROUND((T$9*($L1218-T$5)),0)),IF($L1218&gt;T$4,T$3,ROUND($L1218*T$7,0)))</f>
        <v/>
      </c>
      <c r="J1218" s="447">
        <f>IF($L1218&gt;U$5,MAX(0,U$3+ROUND((U$9*($L1218-U$5)),0)),IF($L1218&gt;U$4,U$3,ROUND($L1218*U$7,0)))</f>
        <v/>
      </c>
      <c r="L1218" s="448">
        <f>ROUND((A1218+B1218)/2,2)</f>
        <v/>
      </c>
    </row>
    <row r="1219" ht="13.5" customHeight="1" s="7635">
      <c r="A1219" s="448" t="n">
        <v>60550</v>
      </c>
      <c r="B1219" s="447" t="n">
        <v>60600</v>
      </c>
      <c r="C1219" s="1378">
        <f>IF($L1219&gt;N$5,MAX(0,N$3+ROUND((N$9*($L1219-N$5)),0)),IF($L1219&gt;N$4,N$3,ROUND($L1219*N$7,0)))</f>
        <v/>
      </c>
      <c r="D1219" s="448">
        <f>IF($L1219&gt;O$5,MAX(0,O$3+ROUND((O$9*($L1219-O$5)),0)),IF($L1219&gt;O$4,O$3,ROUND($L1219*O$7,0)))</f>
        <v/>
      </c>
      <c r="E1219" s="448">
        <f>IF($L1219&gt;P$5,MAX(0,P$3+ROUND((P$9*($L1219-P$5)),0)),IF($L1219&gt;P$4,P$3,ROUND($L1219*P$7,0)))</f>
        <v/>
      </c>
      <c r="F1219" s="447">
        <f>IF($L1219&gt;Q$5,MAX(0,Q$3+ROUND((Q$9*($L1219-Q$5)),0)),IF($L1219&gt;Q$4,Q$3,ROUND($L1219*Q$7,0)))</f>
        <v/>
      </c>
      <c r="G1219" s="1378">
        <f>IF($L1219&gt;R$5,MAX(0,R$3+ROUND((R$9*($L1219-R$5)),0)),IF($L1219&gt;R$4,R$3,ROUND($L1219*R$7,0)))</f>
        <v/>
      </c>
      <c r="H1219" s="448">
        <f>IF($L1219&gt;S$5,MAX(0,S$3+ROUND((S$9*($L1219-S$5)),0)),IF($L1219&gt;S$4,S$3,ROUND($L1219*S$7,0)))</f>
        <v/>
      </c>
      <c r="I1219" s="448">
        <f>IF($L1219&gt;T$5,MAX(0,T$3+ROUND((T$9*($L1219-T$5)),0)),IF($L1219&gt;T$4,T$3,ROUND($L1219*T$7,0)))</f>
        <v/>
      </c>
      <c r="J1219" s="447">
        <f>IF($L1219&gt;U$5,MAX(0,U$3+ROUND((U$9*($L1219-U$5)),0)),IF($L1219&gt;U$4,U$3,ROUND($L1219*U$7,0)))</f>
        <v/>
      </c>
      <c r="L1219" s="448">
        <f>ROUND((A1219+B1219)/2,2)</f>
        <v/>
      </c>
    </row>
    <row r="1220" ht="13.5" customHeight="1" s="7635">
      <c r="A1220" s="448" t="n">
        <v>60600</v>
      </c>
      <c r="B1220" s="447" t="n">
        <v>60650</v>
      </c>
      <c r="C1220" s="1378">
        <f>IF($L1220&gt;N$5,MAX(0,N$3+ROUND((N$9*($L1220-N$5)),0)),IF($L1220&gt;N$4,N$3,ROUND($L1220*N$7,0)))</f>
        <v/>
      </c>
      <c r="D1220" s="448">
        <f>IF($L1220&gt;O$5,MAX(0,O$3+ROUND((O$9*($L1220-O$5)),0)),IF($L1220&gt;O$4,O$3,ROUND($L1220*O$7,0)))</f>
        <v/>
      </c>
      <c r="E1220" s="448">
        <f>IF($L1220&gt;P$5,MAX(0,P$3+ROUND((P$9*($L1220-P$5)),0)),IF($L1220&gt;P$4,P$3,ROUND($L1220*P$7,0)))</f>
        <v/>
      </c>
      <c r="F1220" s="447">
        <f>IF($L1220&gt;Q$5,MAX(0,Q$3+ROUND((Q$9*($L1220-Q$5)),0)),IF($L1220&gt;Q$4,Q$3,ROUND($L1220*Q$7,0)))</f>
        <v/>
      </c>
      <c r="G1220" s="1378">
        <f>IF($L1220&gt;R$5,MAX(0,R$3+ROUND((R$9*($L1220-R$5)),0)),IF($L1220&gt;R$4,R$3,ROUND($L1220*R$7,0)))</f>
        <v/>
      </c>
      <c r="H1220" s="448">
        <f>IF($L1220&gt;S$5,MAX(0,S$3+ROUND((S$9*($L1220-S$5)),0)),IF($L1220&gt;S$4,S$3,ROUND($L1220*S$7,0)))</f>
        <v/>
      </c>
      <c r="I1220" s="448">
        <f>IF($L1220&gt;T$5,MAX(0,T$3+ROUND((T$9*($L1220-T$5)),0)),IF($L1220&gt;T$4,T$3,ROUND($L1220*T$7,0)))</f>
        <v/>
      </c>
      <c r="J1220" s="447">
        <f>IF($L1220&gt;U$5,MAX(0,U$3+ROUND((U$9*($L1220-U$5)),0)),IF($L1220&gt;U$4,U$3,ROUND($L1220*U$7,0)))</f>
        <v/>
      </c>
      <c r="L1220" s="448">
        <f>ROUND((A1220+B1220)/2,2)</f>
        <v/>
      </c>
    </row>
    <row r="1221" ht="13.5" customHeight="1" s="7635">
      <c r="A1221" s="448" t="n">
        <v>60650</v>
      </c>
      <c r="B1221" s="447" t="n">
        <v>60700</v>
      </c>
      <c r="C1221" s="1378">
        <f>IF($L1221&gt;N$5,MAX(0,N$3+ROUND((N$9*($L1221-N$5)),0)),IF($L1221&gt;N$4,N$3,ROUND($L1221*N$7,0)))</f>
        <v/>
      </c>
      <c r="D1221" s="448">
        <f>IF($L1221&gt;O$5,MAX(0,O$3+ROUND((O$9*($L1221-O$5)),0)),IF($L1221&gt;O$4,O$3,ROUND($L1221*O$7,0)))</f>
        <v/>
      </c>
      <c r="E1221" s="448">
        <f>IF($L1221&gt;P$5,MAX(0,P$3+ROUND((P$9*($L1221-P$5)),0)),IF($L1221&gt;P$4,P$3,ROUND($L1221*P$7,0)))</f>
        <v/>
      </c>
      <c r="F1221" s="447">
        <f>IF($L1221&gt;Q$5,MAX(0,Q$3+ROUND((Q$9*($L1221-Q$5)),0)),IF($L1221&gt;Q$4,Q$3,ROUND($L1221*Q$7,0)))</f>
        <v/>
      </c>
      <c r="G1221" s="1378">
        <f>IF($L1221&gt;R$5,MAX(0,R$3+ROUND((R$9*($L1221-R$5)),0)),IF($L1221&gt;R$4,R$3,ROUND($L1221*R$7,0)))</f>
        <v/>
      </c>
      <c r="H1221" s="448">
        <f>IF($L1221&gt;S$5,MAX(0,S$3+ROUND((S$9*($L1221-S$5)),0)),IF($L1221&gt;S$4,S$3,ROUND($L1221*S$7,0)))</f>
        <v/>
      </c>
      <c r="I1221" s="448">
        <f>IF($L1221&gt;T$5,MAX(0,T$3+ROUND((T$9*($L1221-T$5)),0)),IF($L1221&gt;T$4,T$3,ROUND($L1221*T$7,0)))</f>
        <v/>
      </c>
      <c r="J1221" s="447">
        <f>IF($L1221&gt;U$5,MAX(0,U$3+ROUND((U$9*($L1221-U$5)),0)),IF($L1221&gt;U$4,U$3,ROUND($L1221*U$7,0)))</f>
        <v/>
      </c>
      <c r="L1221" s="448">
        <f>ROUND((A1221+B1221)/2,2)</f>
        <v/>
      </c>
    </row>
    <row r="1222" ht="13.5" customHeight="1" s="7635">
      <c r="A1222" s="448" t="n">
        <v>60700</v>
      </c>
      <c r="B1222" s="447" t="n">
        <v>60750</v>
      </c>
      <c r="C1222" s="1378">
        <f>IF($L1222&gt;N$5,MAX(0,N$3+ROUND((N$9*($L1222-N$5)),0)),IF($L1222&gt;N$4,N$3,ROUND($L1222*N$7,0)))</f>
        <v/>
      </c>
      <c r="D1222" s="448">
        <f>IF($L1222&gt;O$5,MAX(0,O$3+ROUND((O$9*($L1222-O$5)),0)),IF($L1222&gt;O$4,O$3,ROUND($L1222*O$7,0)))</f>
        <v/>
      </c>
      <c r="E1222" s="448">
        <f>IF($L1222&gt;P$5,MAX(0,P$3+ROUND((P$9*($L1222-P$5)),0)),IF($L1222&gt;P$4,P$3,ROUND($L1222*P$7,0)))</f>
        <v/>
      </c>
      <c r="F1222" s="447">
        <f>IF($L1222&gt;Q$5,MAX(0,Q$3+ROUND((Q$9*($L1222-Q$5)),0)),IF($L1222&gt;Q$4,Q$3,ROUND($L1222*Q$7,0)))</f>
        <v/>
      </c>
      <c r="G1222" s="1378">
        <f>IF($L1222&gt;R$5,MAX(0,R$3+ROUND((R$9*($L1222-R$5)),0)),IF($L1222&gt;R$4,R$3,ROUND($L1222*R$7,0)))</f>
        <v/>
      </c>
      <c r="H1222" s="448">
        <f>IF($L1222&gt;S$5,MAX(0,S$3+ROUND((S$9*($L1222-S$5)),0)),IF($L1222&gt;S$4,S$3,ROUND($L1222*S$7,0)))</f>
        <v/>
      </c>
      <c r="I1222" s="448">
        <f>IF($L1222&gt;T$5,MAX(0,T$3+ROUND((T$9*($L1222-T$5)),0)),IF($L1222&gt;T$4,T$3,ROUND($L1222*T$7,0)))</f>
        <v/>
      </c>
      <c r="J1222" s="447">
        <f>IF($L1222&gt;U$5,MAX(0,U$3+ROUND((U$9*($L1222-U$5)),0)),IF($L1222&gt;U$4,U$3,ROUND($L1222*U$7,0)))</f>
        <v/>
      </c>
      <c r="L1222" s="448">
        <f>ROUND((A1222+B1222)/2,2)</f>
        <v/>
      </c>
    </row>
    <row r="1223" ht="13.5" customHeight="1" s="7635">
      <c r="A1223" s="448" t="n">
        <v>60750</v>
      </c>
      <c r="B1223" s="447" t="n">
        <v>60800</v>
      </c>
      <c r="C1223" s="1378">
        <f>IF($L1223&gt;N$5,MAX(0,N$3+ROUND((N$9*($L1223-N$5)),0)),IF($L1223&gt;N$4,N$3,ROUND($L1223*N$7,0)))</f>
        <v/>
      </c>
      <c r="D1223" s="448">
        <f>IF($L1223&gt;O$5,MAX(0,O$3+ROUND((O$9*($L1223-O$5)),0)),IF($L1223&gt;O$4,O$3,ROUND($L1223*O$7,0)))</f>
        <v/>
      </c>
      <c r="E1223" s="448">
        <f>IF($L1223&gt;P$5,MAX(0,P$3+ROUND((P$9*($L1223-P$5)),0)),IF($L1223&gt;P$4,P$3,ROUND($L1223*P$7,0)))</f>
        <v/>
      </c>
      <c r="F1223" s="447">
        <f>IF($L1223&gt;Q$5,MAX(0,Q$3+ROUND((Q$9*($L1223-Q$5)),0)),IF($L1223&gt;Q$4,Q$3,ROUND($L1223*Q$7,0)))</f>
        <v/>
      </c>
      <c r="G1223" s="1378">
        <f>IF($L1223&gt;R$5,MAX(0,R$3+ROUND((R$9*($L1223-R$5)),0)),IF($L1223&gt;R$4,R$3,ROUND($L1223*R$7,0)))</f>
        <v/>
      </c>
      <c r="H1223" s="448">
        <f>IF($L1223&gt;S$5,MAX(0,S$3+ROUND((S$9*($L1223-S$5)),0)),IF($L1223&gt;S$4,S$3,ROUND($L1223*S$7,0)))</f>
        <v/>
      </c>
      <c r="I1223" s="448">
        <f>IF($L1223&gt;T$5,MAX(0,T$3+ROUND((T$9*($L1223-T$5)),0)),IF($L1223&gt;T$4,T$3,ROUND($L1223*T$7,0)))</f>
        <v/>
      </c>
      <c r="J1223" s="447">
        <f>IF($L1223&gt;U$5,MAX(0,U$3+ROUND((U$9*($L1223-U$5)),0)),IF($L1223&gt;U$4,U$3,ROUND($L1223*U$7,0)))</f>
        <v/>
      </c>
      <c r="L1223" s="448">
        <f>ROUND((A1223+B1223)/2,2)</f>
        <v/>
      </c>
    </row>
    <row r="1224" ht="13.5" customHeight="1" s="7635">
      <c r="A1224" s="448" t="n">
        <v>60800</v>
      </c>
      <c r="B1224" s="447" t="n">
        <v>60850</v>
      </c>
      <c r="C1224" s="1378">
        <f>IF($L1224&gt;N$5,MAX(0,N$3+ROUND((N$9*($L1224-N$5)),0)),IF($L1224&gt;N$4,N$3,ROUND($L1224*N$7,0)))</f>
        <v/>
      </c>
      <c r="D1224" s="448">
        <f>IF($L1224&gt;O$5,MAX(0,O$3+ROUND((O$9*($L1224-O$5)),0)),IF($L1224&gt;O$4,O$3,ROUND($L1224*O$7,0)))</f>
        <v/>
      </c>
      <c r="E1224" s="448">
        <f>IF($L1224&gt;P$5,MAX(0,P$3+ROUND((P$9*($L1224-P$5)),0)),IF($L1224&gt;P$4,P$3,ROUND($L1224*P$7,0)))</f>
        <v/>
      </c>
      <c r="F1224" s="447">
        <f>IF($L1224&gt;Q$5,MAX(0,Q$3+ROUND((Q$9*($L1224-Q$5)),0)),IF($L1224&gt;Q$4,Q$3,ROUND($L1224*Q$7,0)))</f>
        <v/>
      </c>
      <c r="G1224" s="1378">
        <f>IF($L1224&gt;R$5,MAX(0,R$3+ROUND((R$9*($L1224-R$5)),0)),IF($L1224&gt;R$4,R$3,ROUND($L1224*R$7,0)))</f>
        <v/>
      </c>
      <c r="H1224" s="448">
        <f>IF($L1224&gt;S$5,MAX(0,S$3+ROUND((S$9*($L1224-S$5)),0)),IF($L1224&gt;S$4,S$3,ROUND($L1224*S$7,0)))</f>
        <v/>
      </c>
      <c r="I1224" s="448">
        <f>IF($L1224&gt;T$5,MAX(0,T$3+ROUND((T$9*($L1224-T$5)),0)),IF($L1224&gt;T$4,T$3,ROUND($L1224*T$7,0)))</f>
        <v/>
      </c>
      <c r="J1224" s="447">
        <f>IF($L1224&gt;U$5,MAX(0,U$3+ROUND((U$9*($L1224-U$5)),0)),IF($L1224&gt;U$4,U$3,ROUND($L1224*U$7,0)))</f>
        <v/>
      </c>
      <c r="L1224" s="448">
        <f>ROUND((A1224+B1224)/2,2)</f>
        <v/>
      </c>
    </row>
    <row r="1225" ht="13.5" customHeight="1" s="7635">
      <c r="A1225" s="448" t="n">
        <v>60850</v>
      </c>
      <c r="B1225" s="447" t="n">
        <v>60900</v>
      </c>
      <c r="C1225" s="1378">
        <f>IF($L1225&gt;N$5,MAX(0,N$3+ROUND((N$9*($L1225-N$5)),0)),IF($L1225&gt;N$4,N$3,ROUND($L1225*N$7,0)))</f>
        <v/>
      </c>
      <c r="D1225" s="448">
        <f>IF($L1225&gt;O$5,MAX(0,O$3+ROUND((O$9*($L1225-O$5)),0)),IF($L1225&gt;O$4,O$3,ROUND($L1225*O$7,0)))</f>
        <v/>
      </c>
      <c r="E1225" s="448">
        <f>IF($L1225&gt;P$5,MAX(0,P$3+ROUND((P$9*($L1225-P$5)),0)),IF($L1225&gt;P$4,P$3,ROUND($L1225*P$7,0)))</f>
        <v/>
      </c>
      <c r="F1225" s="447">
        <f>IF($L1225&gt;Q$5,MAX(0,Q$3+ROUND((Q$9*($L1225-Q$5)),0)),IF($L1225&gt;Q$4,Q$3,ROUND($L1225*Q$7,0)))</f>
        <v/>
      </c>
      <c r="G1225" s="1378">
        <f>IF($L1225&gt;R$5,MAX(0,R$3+ROUND((R$9*($L1225-R$5)),0)),IF($L1225&gt;R$4,R$3,ROUND($L1225*R$7,0)))</f>
        <v/>
      </c>
      <c r="H1225" s="448">
        <f>IF($L1225&gt;S$5,MAX(0,S$3+ROUND((S$9*($L1225-S$5)),0)),IF($L1225&gt;S$4,S$3,ROUND($L1225*S$7,0)))</f>
        <v/>
      </c>
      <c r="I1225" s="448">
        <f>IF($L1225&gt;T$5,MAX(0,T$3+ROUND((T$9*($L1225-T$5)),0)),IF($L1225&gt;T$4,T$3,ROUND($L1225*T$7,0)))</f>
        <v/>
      </c>
      <c r="J1225" s="447">
        <f>IF($L1225&gt;U$5,MAX(0,U$3+ROUND((U$9*($L1225-U$5)),0)),IF($L1225&gt;U$4,U$3,ROUND($L1225*U$7,0)))</f>
        <v/>
      </c>
      <c r="L1225" s="448">
        <f>ROUND((A1225+B1225)/2,2)</f>
        <v/>
      </c>
    </row>
    <row r="1226" ht="13.5" customHeight="1" s="7635">
      <c r="A1226" s="448" t="n">
        <v>60900</v>
      </c>
      <c r="B1226" s="447" t="n">
        <v>60950</v>
      </c>
      <c r="C1226" s="1378">
        <f>IF($L1226&gt;N$5,MAX(0,N$3+ROUND((N$9*($L1226-N$5)),0)),IF($L1226&gt;N$4,N$3,ROUND($L1226*N$7,0)))</f>
        <v/>
      </c>
      <c r="D1226" s="448">
        <f>IF($L1226&gt;O$5,MAX(0,O$3+ROUND((O$9*($L1226-O$5)),0)),IF($L1226&gt;O$4,O$3,ROUND($L1226*O$7,0)))</f>
        <v/>
      </c>
      <c r="E1226" s="448">
        <f>IF($L1226&gt;P$5,MAX(0,P$3+ROUND((P$9*($L1226-P$5)),0)),IF($L1226&gt;P$4,P$3,ROUND($L1226*P$7,0)))</f>
        <v/>
      </c>
      <c r="F1226" s="447">
        <f>IF($L1226&gt;Q$5,MAX(0,Q$3+ROUND((Q$9*($L1226-Q$5)),0)),IF($L1226&gt;Q$4,Q$3,ROUND($L1226*Q$7,0)))</f>
        <v/>
      </c>
      <c r="G1226" s="1378">
        <f>IF($L1226&gt;R$5,MAX(0,R$3+ROUND((R$9*($L1226-R$5)),0)),IF($L1226&gt;R$4,R$3,ROUND($L1226*R$7,0)))</f>
        <v/>
      </c>
      <c r="H1226" s="448">
        <f>IF($L1226&gt;S$5,MAX(0,S$3+ROUND((S$9*($L1226-S$5)),0)),IF($L1226&gt;S$4,S$3,ROUND($L1226*S$7,0)))</f>
        <v/>
      </c>
      <c r="I1226" s="448">
        <f>IF($L1226&gt;T$5,MAX(0,T$3+ROUND((T$9*($L1226-T$5)),0)),IF($L1226&gt;T$4,T$3,ROUND($L1226*T$7,0)))</f>
        <v/>
      </c>
      <c r="J1226" s="447">
        <f>IF($L1226&gt;U$5,MAX(0,U$3+ROUND((U$9*($L1226-U$5)),0)),IF($L1226&gt;U$4,U$3,ROUND($L1226*U$7,0)))</f>
        <v/>
      </c>
      <c r="L1226" s="448">
        <f>ROUND((A1226+B1226)/2,2)</f>
        <v/>
      </c>
    </row>
    <row r="1227" ht="13.5" customHeight="1" s="7635">
      <c r="A1227" s="448" t="n">
        <v>60950</v>
      </c>
      <c r="B1227" s="447" t="n">
        <v>61000</v>
      </c>
      <c r="C1227" s="1378">
        <f>IF($L1227&gt;N$5,MAX(0,N$3+ROUND((N$9*($L1227-N$5)),0)),IF($L1227&gt;N$4,N$3,ROUND($L1227*N$7,0)))</f>
        <v/>
      </c>
      <c r="D1227" s="448">
        <f>IF($L1227&gt;O$5,MAX(0,O$3+ROUND((O$9*($L1227-O$5)),0)),IF($L1227&gt;O$4,O$3,ROUND($L1227*O$7,0)))</f>
        <v/>
      </c>
      <c r="E1227" s="448">
        <f>IF($L1227&gt;P$5,MAX(0,P$3+ROUND((P$9*($L1227-P$5)),0)),IF($L1227&gt;P$4,P$3,ROUND($L1227*P$7,0)))</f>
        <v/>
      </c>
      <c r="F1227" s="447">
        <f>IF($L1227&gt;Q$5,MAX(0,Q$3+ROUND((Q$9*($L1227-Q$5)),0)),IF($L1227&gt;Q$4,Q$3,ROUND($L1227*Q$7,0)))</f>
        <v/>
      </c>
      <c r="G1227" s="1378">
        <f>IF($L1227&gt;R$5,MAX(0,R$3+ROUND((R$9*($L1227-R$5)),0)),IF($L1227&gt;R$4,R$3,ROUND($L1227*R$7,0)))</f>
        <v/>
      </c>
      <c r="H1227" s="448">
        <f>IF($L1227&gt;S$5,MAX(0,S$3+ROUND((S$9*($L1227-S$5)),0)),IF($L1227&gt;S$4,S$3,ROUND($L1227*S$7,0)))</f>
        <v/>
      </c>
      <c r="I1227" s="448">
        <f>IF($L1227&gt;T$5,MAX(0,T$3+ROUND((T$9*($L1227-T$5)),0)),IF($L1227&gt;T$4,T$3,ROUND($L1227*T$7,0)))</f>
        <v/>
      </c>
      <c r="J1227" s="447">
        <f>IF($L1227&gt;U$5,MAX(0,U$3+ROUND((U$9*($L1227-U$5)),0)),IF($L1227&gt;U$4,U$3,ROUND($L1227*U$7,0)))</f>
        <v/>
      </c>
      <c r="L1227" s="448">
        <f>ROUND((A1227+B1227)/2,2)</f>
        <v/>
      </c>
    </row>
    <row r="1228" ht="13.5" customHeight="1" s="7635">
      <c r="A1228" s="448" t="n">
        <v>61000</v>
      </c>
      <c r="B1228" s="447" t="n">
        <v>61050</v>
      </c>
      <c r="C1228" s="1378">
        <f>IF($L1228&gt;N$5,MAX(0,N$3+ROUND((N$9*($L1228-N$5)),0)),IF($L1228&gt;N$4,N$3,ROUND($L1228*N$7,0)))</f>
        <v/>
      </c>
      <c r="D1228" s="448">
        <f>IF($L1228&gt;O$5,MAX(0,O$3+ROUND((O$9*($L1228-O$5)),0)),IF($L1228&gt;O$4,O$3,ROUND($L1228*O$7,0)))</f>
        <v/>
      </c>
      <c r="E1228" s="448">
        <f>IF($L1228&gt;P$5,MAX(0,P$3+ROUND((P$9*($L1228-P$5)),0)),IF($L1228&gt;P$4,P$3,ROUND($L1228*P$7,0)))</f>
        <v/>
      </c>
      <c r="F1228" s="447">
        <f>IF($L1228&gt;Q$5,MAX(0,Q$3+ROUND((Q$9*($L1228-Q$5)),0)),IF($L1228&gt;Q$4,Q$3,ROUND($L1228*Q$7,0)))</f>
        <v/>
      </c>
      <c r="G1228" s="1378">
        <f>IF($L1228&gt;R$5,MAX(0,R$3+ROUND((R$9*($L1228-R$5)),0)),IF($L1228&gt;R$4,R$3,ROUND($L1228*R$7,0)))</f>
        <v/>
      </c>
      <c r="H1228" s="448">
        <f>IF($L1228&gt;S$5,MAX(0,S$3+ROUND((S$9*($L1228-S$5)),0)),IF($L1228&gt;S$4,S$3,ROUND($L1228*S$7,0)))</f>
        <v/>
      </c>
      <c r="I1228" s="448">
        <f>IF($L1228&gt;T$5,MAX(0,T$3+ROUND((T$9*($L1228-T$5)),0)),IF($L1228&gt;T$4,T$3,ROUND($L1228*T$7,0)))</f>
        <v/>
      </c>
      <c r="J1228" s="447">
        <f>IF($L1228&gt;U$5,MAX(0,U$3+ROUND((U$9*($L1228-U$5)),0)),IF($L1228&gt;U$4,U$3,ROUND($L1228*U$7,0)))</f>
        <v/>
      </c>
      <c r="L1228" s="448">
        <f>ROUND((A1228+B1228)/2,2)</f>
        <v/>
      </c>
    </row>
    <row r="1229" ht="13.5" customHeight="1" s="7635">
      <c r="A1229" s="448" t="n">
        <v>61050</v>
      </c>
      <c r="B1229" s="447" t="n">
        <v>61100</v>
      </c>
      <c r="C1229" s="1378">
        <f>IF($L1229&gt;N$5,MAX(0,N$3+ROUND((N$9*($L1229-N$5)),0)),IF($L1229&gt;N$4,N$3,ROUND($L1229*N$7,0)))</f>
        <v/>
      </c>
      <c r="D1229" s="448">
        <f>IF($L1229&gt;O$5,MAX(0,O$3+ROUND((O$9*($L1229-O$5)),0)),IF($L1229&gt;O$4,O$3,ROUND($L1229*O$7,0)))</f>
        <v/>
      </c>
      <c r="E1229" s="448">
        <f>IF($L1229&gt;P$5,MAX(0,P$3+ROUND((P$9*($L1229-P$5)),0)),IF($L1229&gt;P$4,P$3,ROUND($L1229*P$7,0)))</f>
        <v/>
      </c>
      <c r="F1229" s="447">
        <f>IF($L1229&gt;Q$5,MAX(0,Q$3+ROUND((Q$9*($L1229-Q$5)),0)),IF($L1229&gt;Q$4,Q$3,ROUND($L1229*Q$7,0)))</f>
        <v/>
      </c>
      <c r="G1229" s="1378">
        <f>IF($L1229&gt;R$5,MAX(0,R$3+ROUND((R$9*($L1229-R$5)),0)),IF($L1229&gt;R$4,R$3,ROUND($L1229*R$7,0)))</f>
        <v/>
      </c>
      <c r="H1229" s="448">
        <f>IF($L1229&gt;S$5,MAX(0,S$3+ROUND((S$9*($L1229-S$5)),0)),IF($L1229&gt;S$4,S$3,ROUND($L1229*S$7,0)))</f>
        <v/>
      </c>
      <c r="I1229" s="448">
        <f>IF($L1229&gt;T$5,MAX(0,T$3+ROUND((T$9*($L1229-T$5)),0)),IF($L1229&gt;T$4,T$3,ROUND($L1229*T$7,0)))</f>
        <v/>
      </c>
      <c r="J1229" s="447">
        <f>IF($L1229&gt;U$5,MAX(0,U$3+ROUND((U$9*($L1229-U$5)),0)),IF($L1229&gt;U$4,U$3,ROUND($L1229*U$7,0)))</f>
        <v/>
      </c>
      <c r="L1229" s="448">
        <f>ROUND((A1229+B1229)/2,2)</f>
        <v/>
      </c>
    </row>
    <row r="1230" ht="13.5" customHeight="1" s="7635">
      <c r="A1230" s="448" t="n">
        <v>61100</v>
      </c>
      <c r="B1230" s="447" t="n">
        <v>61150</v>
      </c>
      <c r="C1230" s="1378">
        <f>IF($L1230&gt;N$5,MAX(0,N$3+ROUND((N$9*($L1230-N$5)),0)),IF($L1230&gt;N$4,N$3,ROUND($L1230*N$7,0)))</f>
        <v/>
      </c>
      <c r="D1230" s="448">
        <f>IF($L1230&gt;O$5,MAX(0,O$3+ROUND((O$9*($L1230-O$5)),0)),IF($L1230&gt;O$4,O$3,ROUND($L1230*O$7,0)))</f>
        <v/>
      </c>
      <c r="E1230" s="448">
        <f>IF($L1230&gt;P$5,MAX(0,P$3+ROUND((P$9*($L1230-P$5)),0)),IF($L1230&gt;P$4,P$3,ROUND($L1230*P$7,0)))</f>
        <v/>
      </c>
      <c r="F1230" s="447">
        <f>IF($L1230&gt;Q$5,MAX(0,Q$3+ROUND((Q$9*($L1230-Q$5)),0)),IF($L1230&gt;Q$4,Q$3,ROUND($L1230*Q$7,0)))</f>
        <v/>
      </c>
      <c r="G1230" s="1378">
        <f>IF($L1230&gt;R$5,MAX(0,R$3+ROUND((R$9*($L1230-R$5)),0)),IF($L1230&gt;R$4,R$3,ROUND($L1230*R$7,0)))</f>
        <v/>
      </c>
      <c r="H1230" s="448">
        <f>IF($L1230&gt;S$5,MAX(0,S$3+ROUND((S$9*($L1230-S$5)),0)),IF($L1230&gt;S$4,S$3,ROUND($L1230*S$7,0)))</f>
        <v/>
      </c>
      <c r="I1230" s="448">
        <f>IF($L1230&gt;T$5,MAX(0,T$3+ROUND((T$9*($L1230-T$5)),0)),IF($L1230&gt;T$4,T$3,ROUND($L1230*T$7,0)))</f>
        <v/>
      </c>
      <c r="J1230" s="447">
        <f>IF($L1230&gt;U$5,MAX(0,U$3+ROUND((U$9*($L1230-U$5)),0)),IF($L1230&gt;U$4,U$3,ROUND($L1230*U$7,0)))</f>
        <v/>
      </c>
      <c r="L1230" s="448">
        <f>ROUND((A1230+B1230)/2,2)</f>
        <v/>
      </c>
    </row>
    <row r="1231" ht="13.5" customHeight="1" s="7635">
      <c r="A1231" s="448" t="n">
        <v>61150</v>
      </c>
      <c r="B1231" s="447" t="n">
        <v>61200</v>
      </c>
      <c r="C1231" s="1378">
        <f>IF($L1231&gt;N$5,MAX(0,N$3+ROUND((N$9*($L1231-N$5)),0)),IF($L1231&gt;N$4,N$3,ROUND($L1231*N$7,0)))</f>
        <v/>
      </c>
      <c r="D1231" s="448">
        <f>IF($L1231&gt;O$5,MAX(0,O$3+ROUND((O$9*($L1231-O$5)),0)),IF($L1231&gt;O$4,O$3,ROUND($L1231*O$7,0)))</f>
        <v/>
      </c>
      <c r="E1231" s="448">
        <f>IF($L1231&gt;P$5,MAX(0,P$3+ROUND((P$9*($L1231-P$5)),0)),IF($L1231&gt;P$4,P$3,ROUND($L1231*P$7,0)))</f>
        <v/>
      </c>
      <c r="F1231" s="447">
        <f>IF($L1231&gt;Q$5,MAX(0,Q$3+ROUND((Q$9*($L1231-Q$5)),0)),IF($L1231&gt;Q$4,Q$3,ROUND($L1231*Q$7,0)))</f>
        <v/>
      </c>
      <c r="G1231" s="1378">
        <f>IF($L1231&gt;R$5,MAX(0,R$3+ROUND((R$9*($L1231-R$5)),0)),IF($L1231&gt;R$4,R$3,ROUND($L1231*R$7,0)))</f>
        <v/>
      </c>
      <c r="H1231" s="448">
        <f>IF($L1231&gt;S$5,MAX(0,S$3+ROUND((S$9*($L1231-S$5)),0)),IF($L1231&gt;S$4,S$3,ROUND($L1231*S$7,0)))</f>
        <v/>
      </c>
      <c r="I1231" s="448">
        <f>IF($L1231&gt;T$5,MAX(0,T$3+ROUND((T$9*($L1231-T$5)),0)),IF($L1231&gt;T$4,T$3,ROUND($L1231*T$7,0)))</f>
        <v/>
      </c>
      <c r="J1231" s="447">
        <f>IF($L1231&gt;U$5,MAX(0,U$3+ROUND((U$9*($L1231-U$5)),0)),IF($L1231&gt;U$4,U$3,ROUND($L1231*U$7,0)))</f>
        <v/>
      </c>
      <c r="L1231" s="448">
        <f>ROUND((A1231+B1231)/2,2)</f>
        <v/>
      </c>
    </row>
    <row r="1232" ht="13.5" customHeight="1" s="7635">
      <c r="A1232" s="448" t="n">
        <v>61200</v>
      </c>
      <c r="B1232" s="447" t="n">
        <v>61250</v>
      </c>
      <c r="C1232" s="1378">
        <f>IF($L1232&gt;N$5,MAX(0,N$3+ROUND((N$9*($L1232-N$5)),0)),IF($L1232&gt;N$4,N$3,ROUND($L1232*N$7,0)))</f>
        <v/>
      </c>
      <c r="D1232" s="448">
        <f>IF($L1232&gt;O$5,MAX(0,O$3+ROUND((O$9*($L1232-O$5)),0)),IF($L1232&gt;O$4,O$3,ROUND($L1232*O$7,0)))</f>
        <v/>
      </c>
      <c r="E1232" s="448">
        <f>IF($L1232&gt;P$5,MAX(0,P$3+ROUND((P$9*($L1232-P$5)),0)),IF($L1232&gt;P$4,P$3,ROUND($L1232*P$7,0)))</f>
        <v/>
      </c>
      <c r="F1232" s="447">
        <f>IF($L1232&gt;Q$5,MAX(0,Q$3+ROUND((Q$9*($L1232-Q$5)),0)),IF($L1232&gt;Q$4,Q$3,ROUND($L1232*Q$7,0)))</f>
        <v/>
      </c>
      <c r="G1232" s="1378">
        <f>IF($L1232&gt;R$5,MAX(0,R$3+ROUND((R$9*($L1232-R$5)),0)),IF($L1232&gt;R$4,R$3,ROUND($L1232*R$7,0)))</f>
        <v/>
      </c>
      <c r="H1232" s="448">
        <f>IF($L1232&gt;S$5,MAX(0,S$3+ROUND((S$9*($L1232-S$5)),0)),IF($L1232&gt;S$4,S$3,ROUND($L1232*S$7,0)))</f>
        <v/>
      </c>
      <c r="I1232" s="448">
        <f>IF($L1232&gt;T$5,MAX(0,T$3+ROUND((T$9*($L1232-T$5)),0)),IF($L1232&gt;T$4,T$3,ROUND($L1232*T$7,0)))</f>
        <v/>
      </c>
      <c r="J1232" s="447">
        <f>IF($L1232&gt;U$5,MAX(0,U$3+ROUND((U$9*($L1232-U$5)),0)),IF($L1232&gt;U$4,U$3,ROUND($L1232*U$7,0)))</f>
        <v/>
      </c>
      <c r="L1232" s="448">
        <f>ROUND((A1232+B1232)/2,2)</f>
        <v/>
      </c>
    </row>
    <row r="1233" ht="13.5" customHeight="1" s="7635">
      <c r="A1233" s="448" t="n">
        <v>61250</v>
      </c>
      <c r="B1233" s="447" t="n">
        <v>61300</v>
      </c>
      <c r="C1233" s="1378">
        <f>IF($L1233&gt;N$5,MAX(0,N$3+ROUND((N$9*($L1233-N$5)),0)),IF($L1233&gt;N$4,N$3,ROUND($L1233*N$7,0)))</f>
        <v/>
      </c>
      <c r="D1233" s="448">
        <f>IF($L1233&gt;O$5,MAX(0,O$3+ROUND((O$9*($L1233-O$5)),0)),IF($L1233&gt;O$4,O$3,ROUND($L1233*O$7,0)))</f>
        <v/>
      </c>
      <c r="E1233" s="448">
        <f>IF($L1233&gt;P$5,MAX(0,P$3+ROUND((P$9*($L1233-P$5)),0)),IF($L1233&gt;P$4,P$3,ROUND($L1233*P$7,0)))</f>
        <v/>
      </c>
      <c r="F1233" s="447">
        <f>IF($L1233&gt;Q$5,MAX(0,Q$3+ROUND((Q$9*($L1233-Q$5)),0)),IF($L1233&gt;Q$4,Q$3,ROUND($L1233*Q$7,0)))</f>
        <v/>
      </c>
      <c r="G1233" s="1378">
        <f>IF($L1233&gt;R$5,MAX(0,R$3+ROUND((R$9*($L1233-R$5)),0)),IF($L1233&gt;R$4,R$3,ROUND($L1233*R$7,0)))</f>
        <v/>
      </c>
      <c r="H1233" s="448">
        <f>IF($L1233&gt;S$5,MAX(0,S$3+ROUND((S$9*($L1233-S$5)),0)),IF($L1233&gt;S$4,S$3,ROUND($L1233*S$7,0)))</f>
        <v/>
      </c>
      <c r="I1233" s="448">
        <f>IF($L1233&gt;T$5,MAX(0,T$3+ROUND((T$9*($L1233-T$5)),0)),IF($L1233&gt;T$4,T$3,ROUND($L1233*T$7,0)))</f>
        <v/>
      </c>
      <c r="J1233" s="447">
        <f>IF($L1233&gt;U$5,MAX(0,U$3+ROUND((U$9*($L1233-U$5)),0)),IF($L1233&gt;U$4,U$3,ROUND($L1233*U$7,0)))</f>
        <v/>
      </c>
      <c r="L1233" s="448">
        <f>ROUND((A1233+B1233)/2,2)</f>
        <v/>
      </c>
    </row>
    <row r="1234" ht="13.5" customHeight="1" s="7635">
      <c r="A1234" s="448" t="n">
        <v>61300</v>
      </c>
      <c r="B1234" s="447" t="n">
        <v>61350</v>
      </c>
      <c r="C1234" s="1378">
        <f>IF($L1234&gt;N$5,MAX(0,N$3+ROUND((N$9*($L1234-N$5)),0)),IF($L1234&gt;N$4,N$3,ROUND($L1234*N$7,0)))</f>
        <v/>
      </c>
      <c r="D1234" s="448">
        <f>IF($L1234&gt;O$5,MAX(0,O$3+ROUND((O$9*($L1234-O$5)),0)),IF($L1234&gt;O$4,O$3,ROUND($L1234*O$7,0)))</f>
        <v/>
      </c>
      <c r="E1234" s="448">
        <f>IF($L1234&gt;P$5,MAX(0,P$3+ROUND((P$9*($L1234-P$5)),0)),IF($L1234&gt;P$4,P$3,ROUND($L1234*P$7,0)))</f>
        <v/>
      </c>
      <c r="F1234" s="447">
        <f>IF($L1234&gt;Q$5,MAX(0,Q$3+ROUND((Q$9*($L1234-Q$5)),0)),IF($L1234&gt;Q$4,Q$3,ROUND($L1234*Q$7,0)))</f>
        <v/>
      </c>
      <c r="G1234" s="1378">
        <f>IF($L1234&gt;R$5,MAX(0,R$3+ROUND((R$9*($L1234-R$5)),0)),IF($L1234&gt;R$4,R$3,ROUND($L1234*R$7,0)))</f>
        <v/>
      </c>
      <c r="H1234" s="448">
        <f>IF($L1234&gt;S$5,MAX(0,S$3+ROUND((S$9*($L1234-S$5)),0)),IF($L1234&gt;S$4,S$3,ROUND($L1234*S$7,0)))</f>
        <v/>
      </c>
      <c r="I1234" s="448">
        <f>IF($L1234&gt;T$5,MAX(0,T$3+ROUND((T$9*($L1234-T$5)),0)),IF($L1234&gt;T$4,T$3,ROUND($L1234*T$7,0)))</f>
        <v/>
      </c>
      <c r="J1234" s="447">
        <f>IF($L1234&gt;U$5,MAX(0,U$3+ROUND((U$9*($L1234-U$5)),0)),IF($L1234&gt;U$4,U$3,ROUND($L1234*U$7,0)))</f>
        <v/>
      </c>
      <c r="L1234" s="448">
        <f>ROUND((A1234+B1234)/2,2)</f>
        <v/>
      </c>
    </row>
    <row r="1235" ht="13.5" customHeight="1" s="7635">
      <c r="A1235" s="448" t="n">
        <v>61350</v>
      </c>
      <c r="B1235" s="447" t="n">
        <v>61400</v>
      </c>
      <c r="C1235" s="1378">
        <f>IF($L1235&gt;N$5,MAX(0,N$3+ROUND((N$9*($L1235-N$5)),0)),IF($L1235&gt;N$4,N$3,ROUND($L1235*N$7,0)))</f>
        <v/>
      </c>
      <c r="D1235" s="448">
        <f>IF($L1235&gt;O$5,MAX(0,O$3+ROUND((O$9*($L1235-O$5)),0)),IF($L1235&gt;O$4,O$3,ROUND($L1235*O$7,0)))</f>
        <v/>
      </c>
      <c r="E1235" s="448">
        <f>IF($L1235&gt;P$5,MAX(0,P$3+ROUND((P$9*($L1235-P$5)),0)),IF($L1235&gt;P$4,P$3,ROUND($L1235*P$7,0)))</f>
        <v/>
      </c>
      <c r="F1235" s="447">
        <f>IF($L1235&gt;Q$5,MAX(0,Q$3+ROUND((Q$9*($L1235-Q$5)),0)),IF($L1235&gt;Q$4,Q$3,ROUND($L1235*Q$7,0)))</f>
        <v/>
      </c>
      <c r="G1235" s="1378">
        <f>IF($L1235&gt;R$5,MAX(0,R$3+ROUND((R$9*($L1235-R$5)),0)),IF($L1235&gt;R$4,R$3,ROUND($L1235*R$7,0)))</f>
        <v/>
      </c>
      <c r="H1235" s="448">
        <f>IF($L1235&gt;S$5,MAX(0,S$3+ROUND((S$9*($L1235-S$5)),0)),IF($L1235&gt;S$4,S$3,ROUND($L1235*S$7,0)))</f>
        <v/>
      </c>
      <c r="I1235" s="448">
        <f>IF($L1235&gt;T$5,MAX(0,T$3+ROUND((T$9*($L1235-T$5)),0)),IF($L1235&gt;T$4,T$3,ROUND($L1235*T$7,0)))</f>
        <v/>
      </c>
      <c r="J1235" s="447">
        <f>IF($L1235&gt;U$5,MAX(0,U$3+ROUND((U$9*($L1235-U$5)),0)),IF($L1235&gt;U$4,U$3,ROUND($L1235*U$7,0)))</f>
        <v/>
      </c>
      <c r="L1235" s="448">
        <f>ROUND((A1235+B1235)/2,2)</f>
        <v/>
      </c>
    </row>
    <row r="1236" ht="13.5" customHeight="1" s="7635">
      <c r="A1236" s="448" t="n">
        <v>61400</v>
      </c>
      <c r="B1236" s="447" t="n">
        <v>61450</v>
      </c>
      <c r="C1236" s="1378">
        <f>IF($L1236&gt;N$5,MAX(0,N$3+ROUND((N$9*($L1236-N$5)),0)),IF($L1236&gt;N$4,N$3,ROUND($L1236*N$7,0)))</f>
        <v/>
      </c>
      <c r="D1236" s="448">
        <f>IF($L1236&gt;O$5,MAX(0,O$3+ROUND((O$9*($L1236-O$5)),0)),IF($L1236&gt;O$4,O$3,ROUND($L1236*O$7,0)))</f>
        <v/>
      </c>
      <c r="E1236" s="448">
        <f>IF($L1236&gt;P$5,MAX(0,P$3+ROUND((P$9*($L1236-P$5)),0)),IF($L1236&gt;P$4,P$3,ROUND($L1236*P$7,0)))</f>
        <v/>
      </c>
      <c r="F1236" s="447">
        <f>IF($L1236&gt;Q$5,MAX(0,Q$3+ROUND((Q$9*($L1236-Q$5)),0)),IF($L1236&gt;Q$4,Q$3,ROUND($L1236*Q$7,0)))</f>
        <v/>
      </c>
      <c r="G1236" s="1378">
        <f>IF($L1236&gt;R$5,MAX(0,R$3+ROUND((R$9*($L1236-R$5)),0)),IF($L1236&gt;R$4,R$3,ROUND($L1236*R$7,0)))</f>
        <v/>
      </c>
      <c r="H1236" s="448">
        <f>IF($L1236&gt;S$5,MAX(0,S$3+ROUND((S$9*($L1236-S$5)),0)),IF($L1236&gt;S$4,S$3,ROUND($L1236*S$7,0)))</f>
        <v/>
      </c>
      <c r="I1236" s="448">
        <f>IF($L1236&gt;T$5,MAX(0,T$3+ROUND((T$9*($L1236-T$5)),0)),IF($L1236&gt;T$4,T$3,ROUND($L1236*T$7,0)))</f>
        <v/>
      </c>
      <c r="J1236" s="447">
        <f>IF($L1236&gt;U$5,MAX(0,U$3+ROUND((U$9*($L1236-U$5)),0)),IF($L1236&gt;U$4,U$3,ROUND($L1236*U$7,0)))</f>
        <v/>
      </c>
      <c r="L1236" s="448">
        <f>ROUND((A1236+B1236)/2,2)</f>
        <v/>
      </c>
    </row>
    <row r="1237" ht="13.5" customHeight="1" s="7635">
      <c r="A1237" s="448" t="n">
        <v>61450</v>
      </c>
      <c r="B1237" s="447" t="n">
        <v>61500</v>
      </c>
      <c r="C1237" s="1378">
        <f>IF($L1237&gt;N$5,MAX(0,N$3+ROUND((N$9*($L1237-N$5)),0)),IF($L1237&gt;N$4,N$3,ROUND($L1237*N$7,0)))</f>
        <v/>
      </c>
      <c r="D1237" s="448">
        <f>IF($L1237&gt;O$5,MAX(0,O$3+ROUND((O$9*($L1237-O$5)),0)),IF($L1237&gt;O$4,O$3,ROUND($L1237*O$7,0)))</f>
        <v/>
      </c>
      <c r="E1237" s="448">
        <f>IF($L1237&gt;P$5,MAX(0,P$3+ROUND((P$9*($L1237-P$5)),0)),IF($L1237&gt;P$4,P$3,ROUND($L1237*P$7,0)))</f>
        <v/>
      </c>
      <c r="F1237" s="447">
        <f>IF($L1237&gt;Q$5,MAX(0,Q$3+ROUND((Q$9*($L1237-Q$5)),0)),IF($L1237&gt;Q$4,Q$3,ROUND($L1237*Q$7,0)))</f>
        <v/>
      </c>
      <c r="G1237" s="1378">
        <f>IF($L1237&gt;R$5,MAX(0,R$3+ROUND((R$9*($L1237-R$5)),0)),IF($L1237&gt;R$4,R$3,ROUND($L1237*R$7,0)))</f>
        <v/>
      </c>
      <c r="H1237" s="448">
        <f>IF($L1237&gt;S$5,MAX(0,S$3+ROUND((S$9*($L1237-S$5)),0)),IF($L1237&gt;S$4,S$3,ROUND($L1237*S$7,0)))</f>
        <v/>
      </c>
      <c r="I1237" s="448">
        <f>IF($L1237&gt;T$5,MAX(0,T$3+ROUND((T$9*($L1237-T$5)),0)),IF($L1237&gt;T$4,T$3,ROUND($L1237*T$7,0)))</f>
        <v/>
      </c>
      <c r="J1237" s="447">
        <f>IF($L1237&gt;U$5,MAX(0,U$3+ROUND((U$9*($L1237-U$5)),0)),IF($L1237&gt;U$4,U$3,ROUND($L1237*U$7,0)))</f>
        <v/>
      </c>
      <c r="L1237" s="448">
        <f>ROUND((A1237+B1237)/2,2)</f>
        <v/>
      </c>
    </row>
    <row r="1238" ht="14.25" customHeight="1" s="7635" thickBot="1">
      <c r="A1238" s="448" t="n">
        <v>61500</v>
      </c>
      <c r="B1238" s="447" t="n">
        <v>61550</v>
      </c>
      <c r="C1238" s="1378">
        <f>IF($L1238&gt;N$5,MAX(0,N$3+ROUND((N$9*($L1238-N$5)),0)),IF($L1238&gt;N$4,N$3,ROUND($L1238*N$7,0)))</f>
        <v/>
      </c>
      <c r="D1238" s="448">
        <f>IF($L1238&gt;O$5,MAX(0,O$3+ROUND((O$9*($L1238-O$5)),0)),IF($L1238&gt;O$4,O$3,ROUND($L1238*O$7,0)))</f>
        <v/>
      </c>
      <c r="E1238" s="448">
        <f>IF($L1238&gt;P$5,MAX(0,P$3+ROUND((P$9*($L1238-P$5)),0)),IF($L1238&gt;P$4,P$3,ROUND($L1238*P$7,0)))</f>
        <v/>
      </c>
      <c r="F1238" s="447">
        <f>IF($L1238&gt;Q$5,MAX(0,Q$3+ROUND((Q$9*($L1238-Q$5)),0)),IF($L1238&gt;Q$4,Q$3,ROUND($L1238*Q$7,0)))</f>
        <v/>
      </c>
      <c r="G1238" s="1378">
        <f>IF($L1238&gt;R$5,MAX(0,R$3+ROUND((R$9*($L1238-R$5)),0)),IF($L1238&gt;R$4,R$3,ROUND($L1238*R$7,0)))</f>
        <v/>
      </c>
      <c r="H1238" s="448">
        <f>IF($L1238&gt;S$5,MAX(0,S$3+ROUND((S$9*($L1238-S$5)),0)),IF($L1238&gt;S$4,S$3,ROUND($L1238*S$7,0)))</f>
        <v/>
      </c>
      <c r="I1238" s="448">
        <f>IF($L1238&gt;T$5,MAX(0,T$3+ROUND((T$9*($L1238-T$5)),0)),IF($L1238&gt;T$4,T$3,ROUND($L1238*T$7,0)))</f>
        <v/>
      </c>
      <c r="J1238" s="447">
        <f>IF($L1238&gt;U$5,MAX(0,U$3+ROUND((U$9*($L1238-U$5)),0)),IF($L1238&gt;U$4,U$3,ROUND($L1238*U$7,0)))</f>
        <v/>
      </c>
      <c r="L1238" s="448">
        <f>ROUND((A1238+B1238)/2,2)</f>
        <v/>
      </c>
    </row>
    <row r="1239" ht="13.5" customHeight="1" s="7635">
      <c r="A1239" s="6556" t="n">
        <v>61550</v>
      </c>
      <c r="B1239" s="6557" t="n">
        <v>61555</v>
      </c>
      <c r="C1239" s="1378">
        <f>IF($L1239&gt;N$5,MAX(0,N$3+ROUND((N$9*($L1239-N$5)),0)),IF($L1239&gt;N$4,N$3,ROUND($L1239*N$7,0)))</f>
        <v/>
      </c>
      <c r="D1239" s="448">
        <f>IF($L1239&gt;O$5,MAX(0,O$3+ROUND((O$9*($L1239-O$5)),0)),IF($L1239&gt;O$4,O$3,ROUND($L1239*O$7,0)))</f>
        <v/>
      </c>
      <c r="E1239" s="448">
        <f>IF($L1239&gt;P$5,MAX(0,P$3+ROUND((P$9*($L1239-P$5)),0)),IF($L1239&gt;P$4,P$3,ROUND($L1239*P$7,0)))</f>
        <v/>
      </c>
      <c r="F1239" s="447">
        <f>IF($L1239&gt;Q$5,MAX(0,Q$3+ROUND((Q$9*($L1239-Q$5)),0)),IF($L1239&gt;Q$4,Q$3,ROUND($L1239*Q$7,0)))</f>
        <v/>
      </c>
      <c r="G1239" s="1378">
        <f>IF($L1239&gt;R$5,MAX(0,R$3+ROUND((R$9*($L1239-R$5)),0)),IF($L1239&gt;R$4,R$3,ROUND($L1239*R$7,0)))</f>
        <v/>
      </c>
      <c r="H1239" s="448">
        <f>IF($L1239&gt;S$5,MAX(0,S$3+ROUND((S$9*($L1239-S$5)),0)),IF($L1239&gt;S$4,S$3,ROUND($L1239*S$7,0)))</f>
        <v/>
      </c>
      <c r="I1239" s="448">
        <f>IF($L1239&gt;T$5,MAX(0,T$3+ROUND((T$9*($L1239-T$5)),0)),IF($L1239&gt;T$4,T$3,ROUND($L1239*T$7,0)))</f>
        <v/>
      </c>
      <c r="J1239" s="447">
        <f>IF($L1239&gt;U$5,MAX(0,U$3+ROUND((U$9*($L1239-U$5)),0)),IF($L1239&gt;U$4,U$3,ROUND($L1239*U$7,0)))</f>
        <v/>
      </c>
      <c r="L1239" s="448">
        <f>ROUND((A1239+B1239)/2,2)</f>
        <v/>
      </c>
    </row>
    <row r="1240" ht="14.25" customHeight="1" s="7635" thickBot="1">
      <c r="A1240" s="6558" t="n">
        <v>61555</v>
      </c>
      <c r="B1240" s="6559" t="n">
        <v>61600</v>
      </c>
      <c r="C1240" s="6562">
        <f>IF($L1240&gt;N$5,MAX(0,N$3+ROUND((N$9*($L1240-N$5)),0)),IF($L1240&gt;N$4,N$3,ROUND($L1240*N$7,0)))</f>
        <v/>
      </c>
      <c r="D1240" s="6560">
        <f>IF($L1240&gt;O$5,MAX(0,O$3+ROUND((O$9*($L1240-O$5)),0)),IF($L1240&gt;O$4,O$3,ROUND($L1240*O$7,0)))</f>
        <v/>
      </c>
      <c r="E1240" s="6560">
        <f>IF($L1240&gt;P$5,MAX(0,P$3+ROUND((P$9*($L1240-P$5)),0)),IF($L1240&gt;P$4,P$3,ROUND($L1240*P$7,0)))</f>
        <v/>
      </c>
      <c r="F1240" s="6561" t="n">
        <v>0</v>
      </c>
      <c r="G1240" s="6562">
        <f>IF($L1240&gt;R$5,MAX(0,R$3+ROUND((R$9*($L1240-R$5)),0)),IF($L1240&gt;R$4,R$3,ROUND($L1240*R$7,0)))</f>
        <v/>
      </c>
      <c r="H1240" s="6560">
        <f>IF($L1240&gt;S$5,MAX(0,S$3+ROUND((S$9*($L1240-S$5)),0)),IF($L1240&gt;S$4,S$3,ROUND($L1240*S$7,0)))</f>
        <v/>
      </c>
      <c r="I1240" s="6560" t="n">
        <v>606</v>
      </c>
      <c r="J1240" s="6561" t="n">
        <v>1500</v>
      </c>
      <c r="K1240" s="6563" t="n"/>
      <c r="L1240" s="6560" t="n">
        <v>61552.5</v>
      </c>
    </row>
    <row r="1241" ht="13.5" customHeight="1" s="7635">
      <c r="A1241" s="448" t="n">
        <v>61600</v>
      </c>
      <c r="B1241" s="447" t="n">
        <v>61650</v>
      </c>
      <c r="C1241" s="1378">
        <f>IF($L1241&gt;N$5,MAX(0,N$3+ROUND((N$9*($L1241-N$5)),0)),IF($L1241&gt;N$4,N$3,ROUND($L1241*N$7,0)))</f>
        <v/>
      </c>
      <c r="D1241" s="448">
        <f>IF($L1241&gt;O$5,MAX(0,O$3+ROUND((O$9*($L1241-O$5)),0)),IF($L1241&gt;O$4,O$3,ROUND($L1241*O$7,0)))</f>
        <v/>
      </c>
      <c r="E1241" s="448">
        <f>IF($L1241&gt;P$5,MAX(0,P$3+ROUND((P$9*($L1241-P$5)),0)),IF($L1241&gt;P$4,P$3,ROUND($L1241*P$7,0)))</f>
        <v/>
      </c>
      <c r="F1241" s="447">
        <f>IF($L1241&gt;Q$5,MAX(0,Q$3+ROUND((Q$9*($L1241-Q$5)),0)),IF($L1241&gt;Q$4,Q$3,ROUND($L1241*Q$7,0)))</f>
        <v/>
      </c>
      <c r="G1241" s="1378">
        <f>IF($L1241&gt;R$5,MAX(0,R$3+ROUND((R$9*($L1241-R$5)),0)),IF($L1241&gt;R$4,R$3,ROUND($L1241*R$7,0)))</f>
        <v/>
      </c>
      <c r="H1241" s="448">
        <f>IF($L1241&gt;S$5,MAX(0,S$3+ROUND((S$9*($L1241-S$5)),0)),IF($L1241&gt;S$4,S$3,ROUND($L1241*S$7,0)))</f>
        <v/>
      </c>
      <c r="I1241" s="448">
        <f>IF($L1241&gt;T$5,MAX(0,T$3+ROUND((T$9*($L1241-T$5)),0)),IF($L1241&gt;T$4,T$3,ROUND($L1241*T$7,0)))</f>
        <v/>
      </c>
      <c r="J1241" s="447">
        <f>IF($L1241&gt;U$5,MAX(0,U$3+ROUND((U$9*($L1241-U$5)),0)),IF($L1241&gt;U$4,U$3,ROUND($L1241*U$7,0)))</f>
        <v/>
      </c>
      <c r="L1241" s="448">
        <f>ROUND((A1241+B1241)/2,2)</f>
        <v/>
      </c>
    </row>
    <row r="1242" ht="13.5" customHeight="1" s="7635">
      <c r="A1242" s="448" t="n">
        <v>61650</v>
      </c>
      <c r="B1242" s="447" t="n">
        <v>61700</v>
      </c>
      <c r="C1242" s="1378">
        <f>IF($L1242&gt;N$5,MAX(0,N$3+ROUND((N$9*($L1242-N$5)),0)),IF($L1242&gt;N$4,N$3,ROUND($L1242*N$7,0)))</f>
        <v/>
      </c>
      <c r="D1242" s="448">
        <f>IF($L1242&gt;O$5,MAX(0,O$3+ROUND((O$9*($L1242-O$5)),0)),IF($L1242&gt;O$4,O$3,ROUND($L1242*O$7,0)))</f>
        <v/>
      </c>
      <c r="E1242" s="448">
        <f>IF($L1242&gt;P$5,MAX(0,P$3+ROUND((P$9*($L1242-P$5)),0)),IF($L1242&gt;P$4,P$3,ROUND($L1242*P$7,0)))</f>
        <v/>
      </c>
      <c r="F1242" s="447">
        <f>IF($L1242&gt;Q$5,MAX(0,Q$3+ROUND((Q$9*($L1242-Q$5)),0)),IF($L1242&gt;Q$4,Q$3,ROUND($L1242*Q$7,0)))</f>
        <v/>
      </c>
      <c r="G1242" s="1378">
        <f>IF($L1242&gt;R$5,MAX(0,R$3+ROUND((R$9*($L1242-R$5)),0)),IF($L1242&gt;R$4,R$3,ROUND($L1242*R$7,0)))</f>
        <v/>
      </c>
      <c r="H1242" s="448">
        <f>IF($L1242&gt;S$5,MAX(0,S$3+ROUND((S$9*($L1242-S$5)),0)),IF($L1242&gt;S$4,S$3,ROUND($L1242*S$7,0)))</f>
        <v/>
      </c>
      <c r="I1242" s="448">
        <f>IF($L1242&gt;T$5,MAX(0,T$3+ROUND((T$9*($L1242-T$5)),0)),IF($L1242&gt;T$4,T$3,ROUND($L1242*T$7,0)))</f>
        <v/>
      </c>
      <c r="J1242" s="447">
        <f>IF($L1242&gt;U$5,MAX(0,U$3+ROUND((U$9*($L1242-U$5)),0)),IF($L1242&gt;U$4,U$3,ROUND($L1242*U$7,0)))</f>
        <v/>
      </c>
      <c r="L1242" s="448">
        <f>ROUND((A1242+B1242)/2,2)</f>
        <v/>
      </c>
    </row>
    <row r="1243" ht="13.5" customHeight="1" s="7635">
      <c r="A1243" s="448" t="n">
        <v>61700</v>
      </c>
      <c r="B1243" s="447" t="n">
        <v>61750</v>
      </c>
      <c r="C1243" s="1378">
        <f>IF($L1243&gt;N$5,MAX(0,N$3+ROUND((N$9*($L1243-N$5)),0)),IF($L1243&gt;N$4,N$3,ROUND($L1243*N$7,0)))</f>
        <v/>
      </c>
      <c r="D1243" s="448">
        <f>IF($L1243&gt;O$5,MAX(0,O$3+ROUND((O$9*($L1243-O$5)),0)),IF($L1243&gt;O$4,O$3,ROUND($L1243*O$7,0)))</f>
        <v/>
      </c>
      <c r="E1243" s="448">
        <f>IF($L1243&gt;P$5,MAX(0,P$3+ROUND((P$9*($L1243-P$5)),0)),IF($L1243&gt;P$4,P$3,ROUND($L1243*P$7,0)))</f>
        <v/>
      </c>
      <c r="F1243" s="447">
        <f>IF($L1243&gt;Q$5,MAX(0,Q$3+ROUND((Q$9*($L1243-Q$5)),0)),IF($L1243&gt;Q$4,Q$3,ROUND($L1243*Q$7,0)))</f>
        <v/>
      </c>
      <c r="G1243" s="1378">
        <f>IF($L1243&gt;R$5,MAX(0,R$3+ROUND((R$9*($L1243-R$5)),0)),IF($L1243&gt;R$4,R$3,ROUND($L1243*R$7,0)))</f>
        <v/>
      </c>
      <c r="H1243" s="448">
        <f>IF($L1243&gt;S$5,MAX(0,S$3+ROUND((S$9*($L1243-S$5)),0)),IF($L1243&gt;S$4,S$3,ROUND($L1243*S$7,0)))</f>
        <v/>
      </c>
      <c r="I1243" s="448">
        <f>IF($L1243&gt;T$5,MAX(0,T$3+ROUND((T$9*($L1243-T$5)),0)),IF($L1243&gt;T$4,T$3,ROUND($L1243*T$7,0)))</f>
        <v/>
      </c>
      <c r="J1243" s="447">
        <f>IF($L1243&gt;U$5,MAX(0,U$3+ROUND((U$9*($L1243-U$5)),0)),IF($L1243&gt;U$4,U$3,ROUND($L1243*U$7,0)))</f>
        <v/>
      </c>
      <c r="L1243" s="448">
        <f>ROUND((A1243+B1243)/2,2)</f>
        <v/>
      </c>
    </row>
    <row r="1244" ht="13.5" customHeight="1" s="7635">
      <c r="A1244" s="448" t="n">
        <v>61750</v>
      </c>
      <c r="B1244" s="447" t="n">
        <v>61800</v>
      </c>
      <c r="C1244" s="1378">
        <f>IF($L1244&gt;N$5,MAX(0,N$3+ROUND((N$9*($L1244-N$5)),0)),IF($L1244&gt;N$4,N$3,ROUND($L1244*N$7,0)))</f>
        <v/>
      </c>
      <c r="D1244" s="448">
        <f>IF($L1244&gt;O$5,MAX(0,O$3+ROUND((O$9*($L1244-O$5)),0)),IF($L1244&gt;O$4,O$3,ROUND($L1244*O$7,0)))</f>
        <v/>
      </c>
      <c r="E1244" s="448">
        <f>IF($L1244&gt;P$5,MAX(0,P$3+ROUND((P$9*($L1244-P$5)),0)),IF($L1244&gt;P$4,P$3,ROUND($L1244*P$7,0)))</f>
        <v/>
      </c>
      <c r="F1244" s="447">
        <f>IF($L1244&gt;Q$5,MAX(0,Q$3+ROUND((Q$9*($L1244-Q$5)),0)),IF($L1244&gt;Q$4,Q$3,ROUND($L1244*Q$7,0)))</f>
        <v/>
      </c>
      <c r="G1244" s="1378">
        <f>IF($L1244&gt;R$5,MAX(0,R$3+ROUND((R$9*($L1244-R$5)),0)),IF($L1244&gt;R$4,R$3,ROUND($L1244*R$7,0)))</f>
        <v/>
      </c>
      <c r="H1244" s="448">
        <f>IF($L1244&gt;S$5,MAX(0,S$3+ROUND((S$9*($L1244-S$5)),0)),IF($L1244&gt;S$4,S$3,ROUND($L1244*S$7,0)))</f>
        <v/>
      </c>
      <c r="I1244" s="448">
        <f>IF($L1244&gt;T$5,MAX(0,T$3+ROUND((T$9*($L1244-T$5)),0)),IF($L1244&gt;T$4,T$3,ROUND($L1244*T$7,0)))</f>
        <v/>
      </c>
      <c r="J1244" s="447">
        <f>IF($L1244&gt;U$5,MAX(0,U$3+ROUND((U$9*($L1244-U$5)),0)),IF($L1244&gt;U$4,U$3,ROUND($L1244*U$7,0)))</f>
        <v/>
      </c>
      <c r="L1244" s="448">
        <f>ROUND((A1244+B1244)/2,2)</f>
        <v/>
      </c>
    </row>
    <row r="1245" ht="13.5" customHeight="1" s="7635">
      <c r="A1245" s="448" t="n">
        <v>61800</v>
      </c>
      <c r="B1245" s="447" t="n">
        <v>61850</v>
      </c>
      <c r="C1245" s="1378">
        <f>IF($L1245&gt;N$5,MAX(0,N$3+ROUND((N$9*($L1245-N$5)),0)),IF($L1245&gt;N$4,N$3,ROUND($L1245*N$7,0)))</f>
        <v/>
      </c>
      <c r="D1245" s="448">
        <f>IF($L1245&gt;O$5,MAX(0,O$3+ROUND((O$9*($L1245-O$5)),0)),IF($L1245&gt;O$4,O$3,ROUND($L1245*O$7,0)))</f>
        <v/>
      </c>
      <c r="E1245" s="448">
        <f>IF($L1245&gt;P$5,MAX(0,P$3+ROUND((P$9*($L1245-P$5)),0)),IF($L1245&gt;P$4,P$3,ROUND($L1245*P$7,0)))</f>
        <v/>
      </c>
      <c r="F1245" s="447">
        <f>IF($L1245&gt;Q$5,MAX(0,Q$3+ROUND((Q$9*($L1245-Q$5)),0)),IF($L1245&gt;Q$4,Q$3,ROUND($L1245*Q$7,0)))</f>
        <v/>
      </c>
      <c r="G1245" s="1378">
        <f>IF($L1245&gt;R$5,MAX(0,R$3+ROUND((R$9*($L1245-R$5)),0)),IF($L1245&gt;R$4,R$3,ROUND($L1245*R$7,0)))</f>
        <v/>
      </c>
      <c r="H1245" s="448">
        <f>IF($L1245&gt;S$5,MAX(0,S$3+ROUND((S$9*($L1245-S$5)),0)),IF($L1245&gt;S$4,S$3,ROUND($L1245*S$7,0)))</f>
        <v/>
      </c>
      <c r="I1245" s="448">
        <f>IF($L1245&gt;T$5,MAX(0,T$3+ROUND((T$9*($L1245-T$5)),0)),IF($L1245&gt;T$4,T$3,ROUND($L1245*T$7,0)))</f>
        <v/>
      </c>
      <c r="J1245" s="447">
        <f>IF($L1245&gt;U$5,MAX(0,U$3+ROUND((U$9*($L1245-U$5)),0)),IF($L1245&gt;U$4,U$3,ROUND($L1245*U$7,0)))</f>
        <v/>
      </c>
      <c r="L1245" s="448">
        <f>ROUND((A1245+B1245)/2,2)</f>
        <v/>
      </c>
    </row>
    <row r="1246" ht="13.5" customHeight="1" s="7635">
      <c r="A1246" s="448" t="n">
        <v>61850</v>
      </c>
      <c r="B1246" s="447" t="n">
        <v>61900</v>
      </c>
      <c r="C1246" s="1378">
        <f>IF($L1246&gt;N$5,MAX(0,N$3+ROUND((N$9*($L1246-N$5)),0)),IF($L1246&gt;N$4,N$3,ROUND($L1246*N$7,0)))</f>
        <v/>
      </c>
      <c r="D1246" s="448">
        <f>IF($L1246&gt;O$5,MAX(0,O$3+ROUND((O$9*($L1246-O$5)),0)),IF($L1246&gt;O$4,O$3,ROUND($L1246*O$7,0)))</f>
        <v/>
      </c>
      <c r="E1246" s="448">
        <f>IF($L1246&gt;P$5,MAX(0,P$3+ROUND((P$9*($L1246-P$5)),0)),IF($L1246&gt;P$4,P$3,ROUND($L1246*P$7,0)))</f>
        <v/>
      </c>
      <c r="F1246" s="447">
        <f>IF($L1246&gt;Q$5,MAX(0,Q$3+ROUND((Q$9*($L1246-Q$5)),0)),IF($L1246&gt;Q$4,Q$3,ROUND($L1246*Q$7,0)))</f>
        <v/>
      </c>
      <c r="G1246" s="1378">
        <f>IF($L1246&gt;R$5,MAX(0,R$3+ROUND((R$9*($L1246-R$5)),0)),IF($L1246&gt;R$4,R$3,ROUND($L1246*R$7,0)))</f>
        <v/>
      </c>
      <c r="H1246" s="448">
        <f>IF($L1246&gt;S$5,MAX(0,S$3+ROUND((S$9*($L1246-S$5)),0)),IF($L1246&gt;S$4,S$3,ROUND($L1246*S$7,0)))</f>
        <v/>
      </c>
      <c r="I1246" s="448">
        <f>IF($L1246&gt;T$5,MAX(0,T$3+ROUND((T$9*($L1246-T$5)),0)),IF($L1246&gt;T$4,T$3,ROUND($L1246*T$7,0)))</f>
        <v/>
      </c>
      <c r="J1246" s="447">
        <f>IF($L1246&gt;U$5,MAX(0,U$3+ROUND((U$9*($L1246-U$5)),0)),IF($L1246&gt;U$4,U$3,ROUND($L1246*U$7,0)))</f>
        <v/>
      </c>
      <c r="L1246" s="448">
        <f>ROUND((A1246+B1246)/2,2)</f>
        <v/>
      </c>
    </row>
    <row r="1247" ht="13.5" customHeight="1" s="7635">
      <c r="A1247" s="448" t="n">
        <v>61900</v>
      </c>
      <c r="B1247" s="447" t="n">
        <v>61950</v>
      </c>
      <c r="C1247" s="1378">
        <f>IF($L1247&gt;N$5,MAX(0,N$3+ROUND((N$9*($L1247-N$5)),0)),IF($L1247&gt;N$4,N$3,ROUND($L1247*N$7,0)))</f>
        <v/>
      </c>
      <c r="D1247" s="448">
        <f>IF($L1247&gt;O$5,MAX(0,O$3+ROUND((O$9*($L1247-O$5)),0)),IF($L1247&gt;O$4,O$3,ROUND($L1247*O$7,0)))</f>
        <v/>
      </c>
      <c r="E1247" s="448">
        <f>IF($L1247&gt;P$5,MAX(0,P$3+ROUND((P$9*($L1247-P$5)),0)),IF($L1247&gt;P$4,P$3,ROUND($L1247*P$7,0)))</f>
        <v/>
      </c>
      <c r="F1247" s="447">
        <f>IF($L1247&gt;Q$5,MAX(0,Q$3+ROUND((Q$9*($L1247-Q$5)),0)),IF($L1247&gt;Q$4,Q$3,ROUND($L1247*Q$7,0)))</f>
        <v/>
      </c>
      <c r="G1247" s="1378">
        <f>IF($L1247&gt;R$5,MAX(0,R$3+ROUND((R$9*($L1247-R$5)),0)),IF($L1247&gt;R$4,R$3,ROUND($L1247*R$7,0)))</f>
        <v/>
      </c>
      <c r="H1247" s="448">
        <f>IF($L1247&gt;S$5,MAX(0,S$3+ROUND((S$9*($L1247-S$5)),0)),IF($L1247&gt;S$4,S$3,ROUND($L1247*S$7,0)))</f>
        <v/>
      </c>
      <c r="I1247" s="448">
        <f>IF($L1247&gt;T$5,MAX(0,T$3+ROUND((T$9*($L1247-T$5)),0)),IF($L1247&gt;T$4,T$3,ROUND($L1247*T$7,0)))</f>
        <v/>
      </c>
      <c r="J1247" s="447">
        <f>IF($L1247&gt;U$5,MAX(0,U$3+ROUND((U$9*($L1247-U$5)),0)),IF($L1247&gt;U$4,U$3,ROUND($L1247*U$7,0)))</f>
        <v/>
      </c>
      <c r="L1247" s="448">
        <f>ROUND((A1247+B1247)/2,2)</f>
        <v/>
      </c>
    </row>
    <row r="1248" ht="13.5" customHeight="1" s="7635">
      <c r="A1248" s="448" t="n">
        <v>61950</v>
      </c>
      <c r="B1248" s="447" t="n">
        <v>62000</v>
      </c>
      <c r="C1248" s="1378">
        <f>IF($L1248&gt;N$5,MAX(0,N$3+ROUND((N$9*($L1248-N$5)),0)),IF($L1248&gt;N$4,N$3,ROUND($L1248*N$7,0)))</f>
        <v/>
      </c>
      <c r="D1248" s="448">
        <f>IF($L1248&gt;O$5,MAX(0,O$3+ROUND((O$9*($L1248-O$5)),0)),IF($L1248&gt;O$4,O$3,ROUND($L1248*O$7,0)))</f>
        <v/>
      </c>
      <c r="E1248" s="448">
        <f>IF($L1248&gt;P$5,MAX(0,P$3+ROUND((P$9*($L1248-P$5)),0)),IF($L1248&gt;P$4,P$3,ROUND($L1248*P$7,0)))</f>
        <v/>
      </c>
      <c r="F1248" s="447">
        <f>IF($L1248&gt;Q$5,MAX(0,Q$3+ROUND((Q$9*($L1248-Q$5)),0)),IF($L1248&gt;Q$4,Q$3,ROUND($L1248*Q$7,0)))</f>
        <v/>
      </c>
      <c r="G1248" s="1378">
        <f>IF($L1248&gt;R$5,MAX(0,R$3+ROUND((R$9*($L1248-R$5)),0)),IF($L1248&gt;R$4,R$3,ROUND($L1248*R$7,0)))</f>
        <v/>
      </c>
      <c r="H1248" s="448">
        <f>IF($L1248&gt;S$5,MAX(0,S$3+ROUND((S$9*($L1248-S$5)),0)),IF($L1248&gt;S$4,S$3,ROUND($L1248*S$7,0)))</f>
        <v/>
      </c>
      <c r="I1248" s="448">
        <f>IF($L1248&gt;T$5,MAX(0,T$3+ROUND((T$9*($L1248-T$5)),0)),IF($L1248&gt;T$4,T$3,ROUND($L1248*T$7,0)))</f>
        <v/>
      </c>
      <c r="J1248" s="447">
        <f>IF($L1248&gt;U$5,MAX(0,U$3+ROUND((U$9*($L1248-U$5)),0)),IF($L1248&gt;U$4,U$3,ROUND($L1248*U$7,0)))</f>
        <v/>
      </c>
      <c r="L1248" s="448">
        <f>ROUND((A1248+B1248)/2,2)</f>
        <v/>
      </c>
    </row>
    <row r="1249" ht="13.5" customHeight="1" s="7635">
      <c r="A1249" s="448" t="n">
        <v>62000</v>
      </c>
      <c r="B1249" s="447" t="n">
        <v>62050</v>
      </c>
      <c r="C1249" s="1378">
        <f>IF($L1249&gt;N$5,MAX(0,N$3+ROUND((N$9*($L1249-N$5)),0)),IF($L1249&gt;N$4,N$3,ROUND($L1249*N$7,0)))</f>
        <v/>
      </c>
      <c r="D1249" s="448">
        <f>IF($L1249&gt;O$5,MAX(0,O$3+ROUND((O$9*($L1249-O$5)),0)),IF($L1249&gt;O$4,O$3,ROUND($L1249*O$7,0)))</f>
        <v/>
      </c>
      <c r="E1249" s="448">
        <f>IF($L1249&gt;P$5,MAX(0,P$3+ROUND((P$9*($L1249-P$5)),0)),IF($L1249&gt;P$4,P$3,ROUND($L1249*P$7,0)))</f>
        <v/>
      </c>
      <c r="F1249" s="447">
        <f>IF($L1249&gt;Q$5,MAX(0,Q$3+ROUND((Q$9*($L1249-Q$5)),0)),IF($L1249&gt;Q$4,Q$3,ROUND($L1249*Q$7,0)))</f>
        <v/>
      </c>
      <c r="G1249" s="1378">
        <f>IF($L1249&gt;R$5,MAX(0,R$3+ROUND((R$9*($L1249-R$5)),0)),IF($L1249&gt;R$4,R$3,ROUND($L1249*R$7,0)))</f>
        <v/>
      </c>
      <c r="H1249" s="448">
        <f>IF($L1249&gt;S$5,MAX(0,S$3+ROUND((S$9*($L1249-S$5)),0)),IF($L1249&gt;S$4,S$3,ROUND($L1249*S$7,0)))</f>
        <v/>
      </c>
      <c r="I1249" s="448">
        <f>IF($L1249&gt;T$5,MAX(0,T$3+ROUND((T$9*($L1249-T$5)),0)),IF($L1249&gt;T$4,T$3,ROUND($L1249*T$7,0)))</f>
        <v/>
      </c>
      <c r="J1249" s="447">
        <f>IF($L1249&gt;U$5,MAX(0,U$3+ROUND((U$9*($L1249-U$5)),0)),IF($L1249&gt;U$4,U$3,ROUND($L1249*U$7,0)))</f>
        <v/>
      </c>
      <c r="L1249" s="448">
        <f>ROUND((A1249+B1249)/2,2)</f>
        <v/>
      </c>
    </row>
    <row r="1250" ht="13.5" customHeight="1" s="7635">
      <c r="A1250" s="448" t="n">
        <v>62050</v>
      </c>
      <c r="B1250" s="447" t="n">
        <v>62100</v>
      </c>
      <c r="C1250" s="1378">
        <f>IF($L1250&gt;N$5,MAX(0,N$3+ROUND((N$9*($L1250-N$5)),0)),IF($L1250&gt;N$4,N$3,ROUND($L1250*N$7,0)))</f>
        <v/>
      </c>
      <c r="D1250" s="448">
        <f>IF($L1250&gt;O$5,MAX(0,O$3+ROUND((O$9*($L1250-O$5)),0)),IF($L1250&gt;O$4,O$3,ROUND($L1250*O$7,0)))</f>
        <v/>
      </c>
      <c r="E1250" s="448">
        <f>IF($L1250&gt;P$5,MAX(0,P$3+ROUND((P$9*($L1250-P$5)),0)),IF($L1250&gt;P$4,P$3,ROUND($L1250*P$7,0)))</f>
        <v/>
      </c>
      <c r="F1250" s="447">
        <f>IF($L1250&gt;Q$5,MAX(0,Q$3+ROUND((Q$9*($L1250-Q$5)),0)),IF($L1250&gt;Q$4,Q$3,ROUND($L1250*Q$7,0)))</f>
        <v/>
      </c>
      <c r="G1250" s="1378">
        <f>IF($L1250&gt;R$5,MAX(0,R$3+ROUND((R$9*($L1250-R$5)),0)),IF($L1250&gt;R$4,R$3,ROUND($L1250*R$7,0)))</f>
        <v/>
      </c>
      <c r="H1250" s="448">
        <f>IF($L1250&gt;S$5,MAX(0,S$3+ROUND((S$9*($L1250-S$5)),0)),IF($L1250&gt;S$4,S$3,ROUND($L1250*S$7,0)))</f>
        <v/>
      </c>
      <c r="I1250" s="448">
        <f>IF($L1250&gt;T$5,MAX(0,T$3+ROUND((T$9*($L1250-T$5)),0)),IF($L1250&gt;T$4,T$3,ROUND($L1250*T$7,0)))</f>
        <v/>
      </c>
      <c r="J1250" s="447">
        <f>IF($L1250&gt;U$5,MAX(0,U$3+ROUND((U$9*($L1250-U$5)),0)),IF($L1250&gt;U$4,U$3,ROUND($L1250*U$7,0)))</f>
        <v/>
      </c>
      <c r="L1250" s="448">
        <f>ROUND((A1250+B1250)/2,2)</f>
        <v/>
      </c>
    </row>
    <row r="1251" ht="13.5" customHeight="1" s="7635">
      <c r="A1251" s="448" t="n">
        <v>62100</v>
      </c>
      <c r="B1251" s="447" t="n">
        <v>62150</v>
      </c>
      <c r="C1251" s="1378">
        <f>IF($L1251&gt;N$5,MAX(0,N$3+ROUND((N$9*($L1251-N$5)),0)),IF($L1251&gt;N$4,N$3,ROUND($L1251*N$7,0)))</f>
        <v/>
      </c>
      <c r="D1251" s="448">
        <f>IF($L1251&gt;O$5,MAX(0,O$3+ROUND((O$9*($L1251-O$5)),0)),IF($L1251&gt;O$4,O$3,ROUND($L1251*O$7,0)))</f>
        <v/>
      </c>
      <c r="E1251" s="448">
        <f>IF($L1251&gt;P$5,MAX(0,P$3+ROUND((P$9*($L1251-P$5)),0)),IF($L1251&gt;P$4,P$3,ROUND($L1251*P$7,0)))</f>
        <v/>
      </c>
      <c r="F1251" s="447">
        <f>IF($L1251&gt;Q$5,MAX(0,Q$3+ROUND((Q$9*($L1251-Q$5)),0)),IF($L1251&gt;Q$4,Q$3,ROUND($L1251*Q$7,0)))</f>
        <v/>
      </c>
      <c r="G1251" s="1378">
        <f>IF($L1251&gt;R$5,MAX(0,R$3+ROUND((R$9*($L1251-R$5)),0)),IF($L1251&gt;R$4,R$3,ROUND($L1251*R$7,0)))</f>
        <v/>
      </c>
      <c r="H1251" s="448">
        <f>IF($L1251&gt;S$5,MAX(0,S$3+ROUND((S$9*($L1251-S$5)),0)),IF($L1251&gt;S$4,S$3,ROUND($L1251*S$7,0)))</f>
        <v/>
      </c>
      <c r="I1251" s="448">
        <f>IF($L1251&gt;T$5,MAX(0,T$3+ROUND((T$9*($L1251-T$5)),0)),IF($L1251&gt;T$4,T$3,ROUND($L1251*T$7,0)))</f>
        <v/>
      </c>
      <c r="J1251" s="447">
        <f>IF($L1251&gt;U$5,MAX(0,U$3+ROUND((U$9*($L1251-U$5)),0)),IF($L1251&gt;U$4,U$3,ROUND($L1251*U$7,0)))</f>
        <v/>
      </c>
      <c r="L1251" s="448">
        <f>ROUND((A1251+B1251)/2,2)</f>
        <v/>
      </c>
    </row>
    <row r="1252" ht="13.5" customHeight="1" s="7635">
      <c r="A1252" s="448" t="n">
        <v>62150</v>
      </c>
      <c r="B1252" s="447" t="n">
        <v>62200</v>
      </c>
      <c r="C1252" s="1378">
        <f>IF($L1252&gt;N$5,MAX(0,N$3+ROUND((N$9*($L1252-N$5)),0)),IF($L1252&gt;N$4,N$3,ROUND($L1252*N$7,0)))</f>
        <v/>
      </c>
      <c r="D1252" s="448">
        <f>IF($L1252&gt;O$5,MAX(0,O$3+ROUND((O$9*($L1252-O$5)),0)),IF($L1252&gt;O$4,O$3,ROUND($L1252*O$7,0)))</f>
        <v/>
      </c>
      <c r="E1252" s="448">
        <f>IF($L1252&gt;P$5,MAX(0,P$3+ROUND((P$9*($L1252-P$5)),0)),IF($L1252&gt;P$4,P$3,ROUND($L1252*P$7,0)))</f>
        <v/>
      </c>
      <c r="F1252" s="447">
        <f>IF($L1252&gt;Q$5,MAX(0,Q$3+ROUND((Q$9*($L1252-Q$5)),0)),IF($L1252&gt;Q$4,Q$3,ROUND($L1252*Q$7,0)))</f>
        <v/>
      </c>
      <c r="G1252" s="1378">
        <f>IF($L1252&gt;R$5,MAX(0,R$3+ROUND((R$9*($L1252-R$5)),0)),IF($L1252&gt;R$4,R$3,ROUND($L1252*R$7,0)))</f>
        <v/>
      </c>
      <c r="H1252" s="448">
        <f>IF($L1252&gt;S$5,MAX(0,S$3+ROUND((S$9*($L1252-S$5)),0)),IF($L1252&gt;S$4,S$3,ROUND($L1252*S$7,0)))</f>
        <v/>
      </c>
      <c r="I1252" s="448">
        <f>IF($L1252&gt;T$5,MAX(0,T$3+ROUND((T$9*($L1252-T$5)),0)),IF($L1252&gt;T$4,T$3,ROUND($L1252*T$7,0)))</f>
        <v/>
      </c>
      <c r="J1252" s="447">
        <f>IF($L1252&gt;U$5,MAX(0,U$3+ROUND((U$9*($L1252-U$5)),0)),IF($L1252&gt;U$4,U$3,ROUND($L1252*U$7,0)))</f>
        <v/>
      </c>
      <c r="L1252" s="448">
        <f>ROUND((A1252+B1252)/2,2)</f>
        <v/>
      </c>
    </row>
    <row r="1253" ht="13.5" customHeight="1" s="7635">
      <c r="A1253" s="448" t="n">
        <v>62200</v>
      </c>
      <c r="B1253" s="447" t="n">
        <v>62250</v>
      </c>
      <c r="C1253" s="1378">
        <f>IF($L1253&gt;N$5,MAX(0,N$3+ROUND((N$9*($L1253-N$5)),0)),IF($L1253&gt;N$4,N$3,ROUND($L1253*N$7,0)))</f>
        <v/>
      </c>
      <c r="D1253" s="448">
        <f>IF($L1253&gt;O$5,MAX(0,O$3+ROUND((O$9*($L1253-O$5)),0)),IF($L1253&gt;O$4,O$3,ROUND($L1253*O$7,0)))</f>
        <v/>
      </c>
      <c r="E1253" s="448">
        <f>IF($L1253&gt;P$5,MAX(0,P$3+ROUND((P$9*($L1253-P$5)),0)),IF($L1253&gt;P$4,P$3,ROUND($L1253*P$7,0)))</f>
        <v/>
      </c>
      <c r="F1253" s="447">
        <f>IF($L1253&gt;Q$5,MAX(0,Q$3+ROUND((Q$9*($L1253-Q$5)),0)),IF($L1253&gt;Q$4,Q$3,ROUND($L1253*Q$7,0)))</f>
        <v/>
      </c>
      <c r="G1253" s="1378">
        <f>IF($L1253&gt;R$5,MAX(0,R$3+ROUND((R$9*($L1253-R$5)),0)),IF($L1253&gt;R$4,R$3,ROUND($L1253*R$7,0)))</f>
        <v/>
      </c>
      <c r="H1253" s="448">
        <f>IF($L1253&gt;S$5,MAX(0,S$3+ROUND((S$9*($L1253-S$5)),0)),IF($L1253&gt;S$4,S$3,ROUND($L1253*S$7,0)))</f>
        <v/>
      </c>
      <c r="I1253" s="448">
        <f>IF($L1253&gt;T$5,MAX(0,T$3+ROUND((T$9*($L1253-T$5)),0)),IF($L1253&gt;T$4,T$3,ROUND($L1253*T$7,0)))</f>
        <v/>
      </c>
      <c r="J1253" s="447">
        <f>IF($L1253&gt;U$5,MAX(0,U$3+ROUND((U$9*($L1253-U$5)),0)),IF($L1253&gt;U$4,U$3,ROUND($L1253*U$7,0)))</f>
        <v/>
      </c>
      <c r="L1253" s="448">
        <f>ROUND((A1253+B1253)/2,2)</f>
        <v/>
      </c>
    </row>
    <row r="1254" ht="13.5" customHeight="1" s="7635">
      <c r="A1254" s="448" t="n">
        <v>62250</v>
      </c>
      <c r="B1254" s="447" t="n">
        <v>62300</v>
      </c>
      <c r="C1254" s="1378">
        <f>IF($L1254&gt;N$5,MAX(0,N$3+ROUND((N$9*($L1254-N$5)),0)),IF($L1254&gt;N$4,N$3,ROUND($L1254*N$7,0)))</f>
        <v/>
      </c>
      <c r="D1254" s="448">
        <f>IF($L1254&gt;O$5,MAX(0,O$3+ROUND((O$9*($L1254-O$5)),0)),IF($L1254&gt;O$4,O$3,ROUND($L1254*O$7,0)))</f>
        <v/>
      </c>
      <c r="E1254" s="448">
        <f>IF($L1254&gt;P$5,MAX(0,P$3+ROUND((P$9*($L1254-P$5)),0)),IF($L1254&gt;P$4,P$3,ROUND($L1254*P$7,0)))</f>
        <v/>
      </c>
      <c r="F1254" s="447">
        <f>IF($L1254&gt;Q$5,MAX(0,Q$3+ROUND((Q$9*($L1254-Q$5)),0)),IF($L1254&gt;Q$4,Q$3,ROUND($L1254*Q$7,0)))</f>
        <v/>
      </c>
      <c r="G1254" s="1378">
        <f>IF($L1254&gt;R$5,MAX(0,R$3+ROUND((R$9*($L1254-R$5)),0)),IF($L1254&gt;R$4,R$3,ROUND($L1254*R$7,0)))</f>
        <v/>
      </c>
      <c r="H1254" s="448">
        <f>IF($L1254&gt;S$5,MAX(0,S$3+ROUND((S$9*($L1254-S$5)),0)),IF($L1254&gt;S$4,S$3,ROUND($L1254*S$7,0)))</f>
        <v/>
      </c>
      <c r="I1254" s="448">
        <f>IF($L1254&gt;T$5,MAX(0,T$3+ROUND((T$9*($L1254-T$5)),0)),IF($L1254&gt;T$4,T$3,ROUND($L1254*T$7,0)))</f>
        <v/>
      </c>
      <c r="J1254" s="447">
        <f>IF($L1254&gt;U$5,MAX(0,U$3+ROUND((U$9*($L1254-U$5)),0)),IF($L1254&gt;U$4,U$3,ROUND($L1254*U$7,0)))</f>
        <v/>
      </c>
      <c r="L1254" s="448">
        <f>ROUND((A1254+B1254)/2,2)</f>
        <v/>
      </c>
    </row>
    <row r="1255" ht="13.5" customHeight="1" s="7635">
      <c r="A1255" s="448" t="n">
        <v>62300</v>
      </c>
      <c r="B1255" s="447" t="n">
        <v>62350</v>
      </c>
      <c r="C1255" s="1378">
        <f>IF($L1255&gt;N$5,MAX(0,N$3+ROUND((N$9*($L1255-N$5)),0)),IF($L1255&gt;N$4,N$3,ROUND($L1255*N$7,0)))</f>
        <v/>
      </c>
      <c r="D1255" s="448">
        <f>IF($L1255&gt;O$5,MAX(0,O$3+ROUND((O$9*($L1255-O$5)),0)),IF($L1255&gt;O$4,O$3,ROUND($L1255*O$7,0)))</f>
        <v/>
      </c>
      <c r="E1255" s="448">
        <f>IF($L1255&gt;P$5,MAX(0,P$3+ROUND((P$9*($L1255-P$5)),0)),IF($L1255&gt;P$4,P$3,ROUND($L1255*P$7,0)))</f>
        <v/>
      </c>
      <c r="F1255" s="447">
        <f>IF($L1255&gt;Q$5,MAX(0,Q$3+ROUND((Q$9*($L1255-Q$5)),0)),IF($L1255&gt;Q$4,Q$3,ROUND($L1255*Q$7,0)))</f>
        <v/>
      </c>
      <c r="G1255" s="1378">
        <f>IF($L1255&gt;R$5,MAX(0,R$3+ROUND((R$9*($L1255-R$5)),0)),IF($L1255&gt;R$4,R$3,ROUND($L1255*R$7,0)))</f>
        <v/>
      </c>
      <c r="H1255" s="448">
        <f>IF($L1255&gt;S$5,MAX(0,S$3+ROUND((S$9*($L1255-S$5)),0)),IF($L1255&gt;S$4,S$3,ROUND($L1255*S$7,0)))</f>
        <v/>
      </c>
      <c r="I1255" s="448">
        <f>IF($L1255&gt;T$5,MAX(0,T$3+ROUND((T$9*($L1255-T$5)),0)),IF($L1255&gt;T$4,T$3,ROUND($L1255*T$7,0)))</f>
        <v/>
      </c>
      <c r="J1255" s="447">
        <f>IF($L1255&gt;U$5,MAX(0,U$3+ROUND((U$9*($L1255-U$5)),0)),IF($L1255&gt;U$4,U$3,ROUND($L1255*U$7,0)))</f>
        <v/>
      </c>
      <c r="L1255" s="448">
        <f>ROUND((A1255+B1255)/2,2)</f>
        <v/>
      </c>
    </row>
    <row r="1256" ht="13.5" customHeight="1" s="7635">
      <c r="A1256" s="448" t="n">
        <v>62350</v>
      </c>
      <c r="B1256" s="447" t="n">
        <v>62400</v>
      </c>
      <c r="C1256" s="1378">
        <f>IF($L1256&gt;N$5,MAX(0,N$3+ROUND((N$9*($L1256-N$5)),0)),IF($L1256&gt;N$4,N$3,ROUND($L1256*N$7,0)))</f>
        <v/>
      </c>
      <c r="D1256" s="448">
        <f>IF($L1256&gt;O$5,MAX(0,O$3+ROUND((O$9*($L1256-O$5)),0)),IF($L1256&gt;O$4,O$3,ROUND($L1256*O$7,0)))</f>
        <v/>
      </c>
      <c r="E1256" s="448">
        <f>IF($L1256&gt;P$5,MAX(0,P$3+ROUND((P$9*($L1256-P$5)),0)),IF($L1256&gt;P$4,P$3,ROUND($L1256*P$7,0)))</f>
        <v/>
      </c>
      <c r="F1256" s="447">
        <f>IF($L1256&gt;Q$5,MAX(0,Q$3+ROUND((Q$9*($L1256-Q$5)),0)),IF($L1256&gt;Q$4,Q$3,ROUND($L1256*Q$7,0)))</f>
        <v/>
      </c>
      <c r="G1256" s="1378">
        <f>IF($L1256&gt;R$5,MAX(0,R$3+ROUND((R$9*($L1256-R$5)),0)),IF($L1256&gt;R$4,R$3,ROUND($L1256*R$7,0)))</f>
        <v/>
      </c>
      <c r="H1256" s="448">
        <f>IF($L1256&gt;S$5,MAX(0,S$3+ROUND((S$9*($L1256-S$5)),0)),IF($L1256&gt;S$4,S$3,ROUND($L1256*S$7,0)))</f>
        <v/>
      </c>
      <c r="I1256" s="448">
        <f>IF($L1256&gt;T$5,MAX(0,T$3+ROUND((T$9*($L1256-T$5)),0)),IF($L1256&gt;T$4,T$3,ROUND($L1256*T$7,0)))</f>
        <v/>
      </c>
      <c r="J1256" s="447">
        <f>IF($L1256&gt;U$5,MAX(0,U$3+ROUND((U$9*($L1256-U$5)),0)),IF($L1256&gt;U$4,U$3,ROUND($L1256*U$7,0)))</f>
        <v/>
      </c>
      <c r="L1256" s="448">
        <f>ROUND((A1256+B1256)/2,2)</f>
        <v/>
      </c>
    </row>
    <row r="1257" ht="13.5" customHeight="1" s="7635">
      <c r="A1257" s="448" t="n">
        <v>62400</v>
      </c>
      <c r="B1257" s="447" t="n">
        <v>62450</v>
      </c>
      <c r="C1257" s="1378">
        <f>IF($L1257&gt;N$5,MAX(0,N$3+ROUND((N$9*($L1257-N$5)),0)),IF($L1257&gt;N$4,N$3,ROUND($L1257*N$7,0)))</f>
        <v/>
      </c>
      <c r="D1257" s="448">
        <f>IF($L1257&gt;O$5,MAX(0,O$3+ROUND((O$9*($L1257-O$5)),0)),IF($L1257&gt;O$4,O$3,ROUND($L1257*O$7,0)))</f>
        <v/>
      </c>
      <c r="E1257" s="448">
        <f>IF($L1257&gt;P$5,MAX(0,P$3+ROUND((P$9*($L1257-P$5)),0)),IF($L1257&gt;P$4,P$3,ROUND($L1257*P$7,0)))</f>
        <v/>
      </c>
      <c r="F1257" s="447">
        <f>IF($L1257&gt;Q$5,MAX(0,Q$3+ROUND((Q$9*($L1257-Q$5)),0)),IF($L1257&gt;Q$4,Q$3,ROUND($L1257*Q$7,0)))</f>
        <v/>
      </c>
      <c r="G1257" s="1378">
        <f>IF($L1257&gt;R$5,MAX(0,R$3+ROUND((R$9*($L1257-R$5)),0)),IF($L1257&gt;R$4,R$3,ROUND($L1257*R$7,0)))</f>
        <v/>
      </c>
      <c r="H1257" s="448">
        <f>IF($L1257&gt;S$5,MAX(0,S$3+ROUND((S$9*($L1257-S$5)),0)),IF($L1257&gt;S$4,S$3,ROUND($L1257*S$7,0)))</f>
        <v/>
      </c>
      <c r="I1257" s="448">
        <f>IF($L1257&gt;T$5,MAX(0,T$3+ROUND((T$9*($L1257-T$5)),0)),IF($L1257&gt;T$4,T$3,ROUND($L1257*T$7,0)))</f>
        <v/>
      </c>
      <c r="J1257" s="447">
        <f>IF($L1257&gt;U$5,MAX(0,U$3+ROUND((U$9*($L1257-U$5)),0)),IF($L1257&gt;U$4,U$3,ROUND($L1257*U$7,0)))</f>
        <v/>
      </c>
      <c r="L1257" s="448">
        <f>ROUND((A1257+B1257)/2,2)</f>
        <v/>
      </c>
    </row>
    <row r="1258" ht="13.5" customHeight="1" s="7635">
      <c r="A1258" s="448" t="n">
        <v>62450</v>
      </c>
      <c r="B1258" s="447" t="n">
        <v>62500</v>
      </c>
      <c r="C1258" s="1378">
        <f>IF($L1258&gt;N$5,MAX(0,N$3+ROUND((N$9*($L1258-N$5)),0)),IF($L1258&gt;N$4,N$3,ROUND($L1258*N$7,0)))</f>
        <v/>
      </c>
      <c r="D1258" s="448">
        <f>IF($L1258&gt;O$5,MAX(0,O$3+ROUND((O$9*($L1258-O$5)),0)),IF($L1258&gt;O$4,O$3,ROUND($L1258*O$7,0)))</f>
        <v/>
      </c>
      <c r="E1258" s="448">
        <f>IF($L1258&gt;P$5,MAX(0,P$3+ROUND((P$9*($L1258-P$5)),0)),IF($L1258&gt;P$4,P$3,ROUND($L1258*P$7,0)))</f>
        <v/>
      </c>
      <c r="F1258" s="447">
        <f>IF($L1258&gt;Q$5,MAX(0,Q$3+ROUND((Q$9*($L1258-Q$5)),0)),IF($L1258&gt;Q$4,Q$3,ROUND($L1258*Q$7,0)))</f>
        <v/>
      </c>
      <c r="G1258" s="1378">
        <f>IF($L1258&gt;R$5,MAX(0,R$3+ROUND((R$9*($L1258-R$5)),0)),IF($L1258&gt;R$4,R$3,ROUND($L1258*R$7,0)))</f>
        <v/>
      </c>
      <c r="H1258" s="448">
        <f>IF($L1258&gt;S$5,MAX(0,S$3+ROUND((S$9*($L1258-S$5)),0)),IF($L1258&gt;S$4,S$3,ROUND($L1258*S$7,0)))</f>
        <v/>
      </c>
      <c r="I1258" s="448">
        <f>IF($L1258&gt;T$5,MAX(0,T$3+ROUND((T$9*($L1258-T$5)),0)),IF($L1258&gt;T$4,T$3,ROUND($L1258*T$7,0)))</f>
        <v/>
      </c>
      <c r="J1258" s="447">
        <f>IF($L1258&gt;U$5,MAX(0,U$3+ROUND((U$9*($L1258-U$5)),0)),IF($L1258&gt;U$4,U$3,ROUND($L1258*U$7,0)))</f>
        <v/>
      </c>
      <c r="L1258" s="448">
        <f>ROUND((A1258+B1258)/2,2)</f>
        <v/>
      </c>
    </row>
    <row r="1259" ht="13.5" customHeight="1" s="7635">
      <c r="A1259" s="448" t="n">
        <v>62500</v>
      </c>
      <c r="B1259" s="447" t="n">
        <v>62550</v>
      </c>
      <c r="C1259" s="1378">
        <f>IF($L1259&gt;N$5,MAX(0,N$3+ROUND((N$9*($L1259-N$5)),0)),IF($L1259&gt;N$4,N$3,ROUND($L1259*N$7,0)))</f>
        <v/>
      </c>
      <c r="D1259" s="448">
        <f>IF($L1259&gt;O$5,MAX(0,O$3+ROUND((O$9*($L1259-O$5)),0)),IF($L1259&gt;O$4,O$3,ROUND($L1259*O$7,0)))</f>
        <v/>
      </c>
      <c r="E1259" s="448">
        <f>IF($L1259&gt;P$5,MAX(0,P$3+ROUND((P$9*($L1259-P$5)),0)),IF($L1259&gt;P$4,P$3,ROUND($L1259*P$7,0)))</f>
        <v/>
      </c>
      <c r="F1259" s="447">
        <f>IF($L1259&gt;Q$5,MAX(0,Q$3+ROUND((Q$9*($L1259-Q$5)),0)),IF($L1259&gt;Q$4,Q$3,ROUND($L1259*Q$7,0)))</f>
        <v/>
      </c>
      <c r="G1259" s="1378">
        <f>IF($L1259&gt;R$5,MAX(0,R$3+ROUND((R$9*($L1259-R$5)),0)),IF($L1259&gt;R$4,R$3,ROUND($L1259*R$7,0)))</f>
        <v/>
      </c>
      <c r="H1259" s="448">
        <f>IF($L1259&gt;S$5,MAX(0,S$3+ROUND((S$9*($L1259-S$5)),0)),IF($L1259&gt;S$4,S$3,ROUND($L1259*S$7,0)))</f>
        <v/>
      </c>
      <c r="I1259" s="448">
        <f>IF($L1259&gt;T$5,MAX(0,T$3+ROUND((T$9*($L1259-T$5)),0)),IF($L1259&gt;T$4,T$3,ROUND($L1259*T$7,0)))</f>
        <v/>
      </c>
      <c r="J1259" s="447">
        <f>IF($L1259&gt;U$5,MAX(0,U$3+ROUND((U$9*($L1259-U$5)),0)),IF($L1259&gt;U$4,U$3,ROUND($L1259*U$7,0)))</f>
        <v/>
      </c>
      <c r="L1259" s="448">
        <f>ROUND((A1259+B1259)/2,2)</f>
        <v/>
      </c>
    </row>
    <row r="1260" ht="13.5" customHeight="1" s="7635">
      <c r="A1260" s="448" t="n">
        <v>62550</v>
      </c>
      <c r="B1260" s="447" t="n">
        <v>62600</v>
      </c>
      <c r="C1260" s="1378">
        <f>IF($L1260&gt;N$5,MAX(0,N$3+ROUND((N$9*($L1260-N$5)),0)),IF($L1260&gt;N$4,N$3,ROUND($L1260*N$7,0)))</f>
        <v/>
      </c>
      <c r="D1260" s="448">
        <f>IF($L1260&gt;O$5,MAX(0,O$3+ROUND((O$9*($L1260-O$5)),0)),IF($L1260&gt;O$4,O$3,ROUND($L1260*O$7,0)))</f>
        <v/>
      </c>
      <c r="E1260" s="448">
        <f>IF($L1260&gt;P$5,MAX(0,P$3+ROUND((P$9*($L1260-P$5)),0)),IF($L1260&gt;P$4,P$3,ROUND($L1260*P$7,0)))</f>
        <v/>
      </c>
      <c r="F1260" s="447">
        <f>IF($L1260&gt;Q$5,MAX(0,Q$3+ROUND((Q$9*($L1260-Q$5)),0)),IF($L1260&gt;Q$4,Q$3,ROUND($L1260*Q$7,0)))</f>
        <v/>
      </c>
      <c r="G1260" s="1378">
        <f>IF($L1260&gt;R$5,MAX(0,R$3+ROUND((R$9*($L1260-R$5)),0)),IF($L1260&gt;R$4,R$3,ROUND($L1260*R$7,0)))</f>
        <v/>
      </c>
      <c r="H1260" s="448">
        <f>IF($L1260&gt;S$5,MAX(0,S$3+ROUND((S$9*($L1260-S$5)),0)),IF($L1260&gt;S$4,S$3,ROUND($L1260*S$7,0)))</f>
        <v/>
      </c>
      <c r="I1260" s="448">
        <f>IF($L1260&gt;T$5,MAX(0,T$3+ROUND((T$9*($L1260-T$5)),0)),IF($L1260&gt;T$4,T$3,ROUND($L1260*T$7,0)))</f>
        <v/>
      </c>
      <c r="J1260" s="447">
        <f>IF($L1260&gt;U$5,MAX(0,U$3+ROUND((U$9*($L1260-U$5)),0)),IF($L1260&gt;U$4,U$3,ROUND($L1260*U$7,0)))</f>
        <v/>
      </c>
      <c r="L1260" s="448">
        <f>ROUND((A1260+B1260)/2,2)</f>
        <v/>
      </c>
    </row>
    <row r="1261" ht="13.5" customHeight="1" s="7635">
      <c r="A1261" s="448" t="n">
        <v>62600</v>
      </c>
      <c r="B1261" s="447" t="n">
        <v>62650</v>
      </c>
      <c r="C1261" s="1378">
        <f>IF($L1261&gt;N$5,MAX(0,N$3+ROUND((N$9*($L1261-N$5)),0)),IF($L1261&gt;N$4,N$3,ROUND($L1261*N$7,0)))</f>
        <v/>
      </c>
      <c r="D1261" s="448">
        <f>IF($L1261&gt;O$5,MAX(0,O$3+ROUND((O$9*($L1261-O$5)),0)),IF($L1261&gt;O$4,O$3,ROUND($L1261*O$7,0)))</f>
        <v/>
      </c>
      <c r="E1261" s="448">
        <f>IF($L1261&gt;P$5,MAX(0,P$3+ROUND((P$9*($L1261-P$5)),0)),IF($L1261&gt;P$4,P$3,ROUND($L1261*P$7,0)))</f>
        <v/>
      </c>
      <c r="F1261" s="447">
        <f>IF($L1261&gt;Q$5,MAX(0,Q$3+ROUND((Q$9*($L1261-Q$5)),0)),IF($L1261&gt;Q$4,Q$3,ROUND($L1261*Q$7,0)))</f>
        <v/>
      </c>
      <c r="G1261" s="1378">
        <f>IF($L1261&gt;R$5,MAX(0,R$3+ROUND((R$9*($L1261-R$5)),0)),IF($L1261&gt;R$4,R$3,ROUND($L1261*R$7,0)))</f>
        <v/>
      </c>
      <c r="H1261" s="448">
        <f>IF($L1261&gt;S$5,MAX(0,S$3+ROUND((S$9*($L1261-S$5)),0)),IF($L1261&gt;S$4,S$3,ROUND($L1261*S$7,0)))</f>
        <v/>
      </c>
      <c r="I1261" s="448">
        <f>IF($L1261&gt;T$5,MAX(0,T$3+ROUND((T$9*($L1261-T$5)),0)),IF($L1261&gt;T$4,T$3,ROUND($L1261*T$7,0)))</f>
        <v/>
      </c>
      <c r="J1261" s="447">
        <f>IF($L1261&gt;U$5,MAX(0,U$3+ROUND((U$9*($L1261-U$5)),0)),IF($L1261&gt;U$4,U$3,ROUND($L1261*U$7,0)))</f>
        <v/>
      </c>
      <c r="L1261" s="448">
        <f>ROUND((A1261+B1261)/2,2)</f>
        <v/>
      </c>
    </row>
    <row r="1262" ht="13.5" customHeight="1" s="7635">
      <c r="A1262" s="448" t="n">
        <v>62650</v>
      </c>
      <c r="B1262" s="447" t="n">
        <v>62700</v>
      </c>
      <c r="C1262" s="1378">
        <f>IF($L1262&gt;N$5,MAX(0,N$3+ROUND((N$9*($L1262-N$5)),0)),IF($L1262&gt;N$4,N$3,ROUND($L1262*N$7,0)))</f>
        <v/>
      </c>
      <c r="D1262" s="448">
        <f>IF($L1262&gt;O$5,MAX(0,O$3+ROUND((O$9*($L1262-O$5)),0)),IF($L1262&gt;O$4,O$3,ROUND($L1262*O$7,0)))</f>
        <v/>
      </c>
      <c r="E1262" s="448">
        <f>IF($L1262&gt;P$5,MAX(0,P$3+ROUND((P$9*($L1262-P$5)),0)),IF($L1262&gt;P$4,P$3,ROUND($L1262*P$7,0)))</f>
        <v/>
      </c>
      <c r="F1262" s="447">
        <f>IF($L1262&gt;Q$5,MAX(0,Q$3+ROUND((Q$9*($L1262-Q$5)),0)),IF($L1262&gt;Q$4,Q$3,ROUND($L1262*Q$7,0)))</f>
        <v/>
      </c>
      <c r="G1262" s="1378">
        <f>IF($L1262&gt;R$5,MAX(0,R$3+ROUND((R$9*($L1262-R$5)),0)),IF($L1262&gt;R$4,R$3,ROUND($L1262*R$7,0)))</f>
        <v/>
      </c>
      <c r="H1262" s="448">
        <f>IF($L1262&gt;S$5,MAX(0,S$3+ROUND((S$9*($L1262-S$5)),0)),IF($L1262&gt;S$4,S$3,ROUND($L1262*S$7,0)))</f>
        <v/>
      </c>
      <c r="I1262" s="448">
        <f>IF($L1262&gt;T$5,MAX(0,T$3+ROUND((T$9*($L1262-T$5)),0)),IF($L1262&gt;T$4,T$3,ROUND($L1262*T$7,0)))</f>
        <v/>
      </c>
      <c r="J1262" s="447">
        <f>IF($L1262&gt;U$5,MAX(0,U$3+ROUND((U$9*($L1262-U$5)),0)),IF($L1262&gt;U$4,U$3,ROUND($L1262*U$7,0)))</f>
        <v/>
      </c>
      <c r="L1262" s="448">
        <f>ROUND((A1262+B1262)/2,2)</f>
        <v/>
      </c>
    </row>
    <row r="1263" ht="13.5" customHeight="1" s="7635">
      <c r="A1263" s="448" t="n">
        <v>62700</v>
      </c>
      <c r="B1263" s="447" t="n">
        <v>62750</v>
      </c>
      <c r="C1263" s="1378">
        <f>IF($L1263&gt;N$5,MAX(0,N$3+ROUND((N$9*($L1263-N$5)),0)),IF($L1263&gt;N$4,N$3,ROUND($L1263*N$7,0)))</f>
        <v/>
      </c>
      <c r="D1263" s="448">
        <f>IF($L1263&gt;O$5,MAX(0,O$3+ROUND((O$9*($L1263-O$5)),0)),IF($L1263&gt;O$4,O$3,ROUND($L1263*O$7,0)))</f>
        <v/>
      </c>
      <c r="E1263" s="448">
        <f>IF($L1263&gt;P$5,MAX(0,P$3+ROUND((P$9*($L1263-P$5)),0)),IF($L1263&gt;P$4,P$3,ROUND($L1263*P$7,0)))</f>
        <v/>
      </c>
      <c r="F1263" s="447">
        <f>IF($L1263&gt;Q$5,MAX(0,Q$3+ROUND((Q$9*($L1263-Q$5)),0)),IF($L1263&gt;Q$4,Q$3,ROUND($L1263*Q$7,0)))</f>
        <v/>
      </c>
      <c r="G1263" s="1378">
        <f>IF($L1263&gt;R$5,MAX(0,R$3+ROUND((R$9*($L1263-R$5)),0)),IF($L1263&gt;R$4,R$3,ROUND($L1263*R$7,0)))</f>
        <v/>
      </c>
      <c r="H1263" s="448">
        <f>IF($L1263&gt;S$5,MAX(0,S$3+ROUND((S$9*($L1263-S$5)),0)),IF($L1263&gt;S$4,S$3,ROUND($L1263*S$7,0)))</f>
        <v/>
      </c>
      <c r="I1263" s="448">
        <f>IF($L1263&gt;T$5,MAX(0,T$3+ROUND((T$9*($L1263-T$5)),0)),IF($L1263&gt;T$4,T$3,ROUND($L1263*T$7,0)))</f>
        <v/>
      </c>
      <c r="J1263" s="447">
        <f>IF($L1263&gt;U$5,MAX(0,U$3+ROUND((U$9*($L1263-U$5)),0)),IF($L1263&gt;U$4,U$3,ROUND($L1263*U$7,0)))</f>
        <v/>
      </c>
      <c r="L1263" s="448">
        <f>ROUND((A1263+B1263)/2,2)</f>
        <v/>
      </c>
    </row>
    <row r="1264" ht="13.5" customHeight="1" s="7635">
      <c r="A1264" s="448" t="n">
        <v>62750</v>
      </c>
      <c r="B1264" s="447" t="n">
        <v>62800</v>
      </c>
      <c r="C1264" s="1378">
        <f>IF($L1264&gt;N$5,MAX(0,N$3+ROUND((N$9*($L1264-N$5)),0)),IF($L1264&gt;N$4,N$3,ROUND($L1264*N$7,0)))</f>
        <v/>
      </c>
      <c r="D1264" s="448">
        <f>IF($L1264&gt;O$5,MAX(0,O$3+ROUND((O$9*($L1264-O$5)),0)),IF($L1264&gt;O$4,O$3,ROUND($L1264*O$7,0)))</f>
        <v/>
      </c>
      <c r="E1264" s="448">
        <f>IF($L1264&gt;P$5,MAX(0,P$3+ROUND((P$9*($L1264-P$5)),0)),IF($L1264&gt;P$4,P$3,ROUND($L1264*P$7,0)))</f>
        <v/>
      </c>
      <c r="F1264" s="447">
        <f>IF($L1264&gt;Q$5,MAX(0,Q$3+ROUND((Q$9*($L1264-Q$5)),0)),IF($L1264&gt;Q$4,Q$3,ROUND($L1264*Q$7,0)))</f>
        <v/>
      </c>
      <c r="G1264" s="1378">
        <f>IF($L1264&gt;R$5,MAX(0,R$3+ROUND((R$9*($L1264-R$5)),0)),IF($L1264&gt;R$4,R$3,ROUND($L1264*R$7,0)))</f>
        <v/>
      </c>
      <c r="H1264" s="448">
        <f>IF($L1264&gt;S$5,MAX(0,S$3+ROUND((S$9*($L1264-S$5)),0)),IF($L1264&gt;S$4,S$3,ROUND($L1264*S$7,0)))</f>
        <v/>
      </c>
      <c r="I1264" s="448">
        <f>IF($L1264&gt;T$5,MAX(0,T$3+ROUND((T$9*($L1264-T$5)),0)),IF($L1264&gt;T$4,T$3,ROUND($L1264*T$7,0)))</f>
        <v/>
      </c>
      <c r="J1264" s="447">
        <f>IF($L1264&gt;U$5,MAX(0,U$3+ROUND((U$9*($L1264-U$5)),0)),IF($L1264&gt;U$4,U$3,ROUND($L1264*U$7,0)))</f>
        <v/>
      </c>
      <c r="L1264" s="448">
        <f>ROUND((A1264+B1264)/2,2)</f>
        <v/>
      </c>
    </row>
    <row r="1265" ht="13.5" customHeight="1" s="7635">
      <c r="A1265" s="448" t="n">
        <v>62800</v>
      </c>
      <c r="B1265" s="447" t="n">
        <v>62850</v>
      </c>
      <c r="C1265" s="1378">
        <f>IF($L1265&gt;N$5,MAX(0,N$3+ROUND((N$9*($L1265-N$5)),0)),IF($L1265&gt;N$4,N$3,ROUND($L1265*N$7,0)))</f>
        <v/>
      </c>
      <c r="D1265" s="448">
        <f>IF($L1265&gt;O$5,MAX(0,O$3+ROUND((O$9*($L1265-O$5)),0)),IF($L1265&gt;O$4,O$3,ROUND($L1265*O$7,0)))</f>
        <v/>
      </c>
      <c r="E1265" s="448">
        <f>IF($L1265&gt;P$5,MAX(0,P$3+ROUND((P$9*($L1265-P$5)),0)),IF($L1265&gt;P$4,P$3,ROUND($L1265*P$7,0)))</f>
        <v/>
      </c>
      <c r="F1265" s="447">
        <f>IF($L1265&gt;Q$5,MAX(0,Q$3+ROUND((Q$9*($L1265-Q$5)),0)),IF($L1265&gt;Q$4,Q$3,ROUND($L1265*Q$7,0)))</f>
        <v/>
      </c>
      <c r="G1265" s="1378">
        <f>IF($L1265&gt;R$5,MAX(0,R$3+ROUND((R$9*($L1265-R$5)),0)),IF($L1265&gt;R$4,R$3,ROUND($L1265*R$7,0)))</f>
        <v/>
      </c>
      <c r="H1265" s="448">
        <f>IF($L1265&gt;S$5,MAX(0,S$3+ROUND((S$9*($L1265-S$5)),0)),IF($L1265&gt;S$4,S$3,ROUND($L1265*S$7,0)))</f>
        <v/>
      </c>
      <c r="I1265" s="448">
        <f>IF($L1265&gt;T$5,MAX(0,T$3+ROUND((T$9*($L1265-T$5)),0)),IF($L1265&gt;T$4,T$3,ROUND($L1265*T$7,0)))</f>
        <v/>
      </c>
      <c r="J1265" s="447">
        <f>IF($L1265&gt;U$5,MAX(0,U$3+ROUND((U$9*($L1265-U$5)),0)),IF($L1265&gt;U$4,U$3,ROUND($L1265*U$7,0)))</f>
        <v/>
      </c>
      <c r="L1265" s="448">
        <f>ROUND((A1265+B1265)/2,2)</f>
        <v/>
      </c>
    </row>
    <row r="1266" ht="13.5" customHeight="1" s="7635">
      <c r="A1266" s="448" t="n">
        <v>62850</v>
      </c>
      <c r="B1266" s="447" t="n">
        <v>62900</v>
      </c>
      <c r="C1266" s="1378">
        <f>IF($L1266&gt;N$5,MAX(0,N$3+ROUND((N$9*($L1266-N$5)),0)),IF($L1266&gt;N$4,N$3,ROUND($L1266*N$7,0)))</f>
        <v/>
      </c>
      <c r="D1266" s="448">
        <f>IF($L1266&gt;O$5,MAX(0,O$3+ROUND((O$9*($L1266-O$5)),0)),IF($L1266&gt;O$4,O$3,ROUND($L1266*O$7,0)))</f>
        <v/>
      </c>
      <c r="E1266" s="448">
        <f>IF($L1266&gt;P$5,MAX(0,P$3+ROUND((P$9*($L1266-P$5)),0)),IF($L1266&gt;P$4,P$3,ROUND($L1266*P$7,0)))</f>
        <v/>
      </c>
      <c r="F1266" s="447">
        <f>IF($L1266&gt;Q$5,MAX(0,Q$3+ROUND((Q$9*($L1266-Q$5)),0)),IF($L1266&gt;Q$4,Q$3,ROUND($L1266*Q$7,0)))</f>
        <v/>
      </c>
      <c r="G1266" s="1378">
        <f>IF($L1266&gt;R$5,MAX(0,R$3+ROUND((R$9*($L1266-R$5)),0)),IF($L1266&gt;R$4,R$3,ROUND($L1266*R$7,0)))</f>
        <v/>
      </c>
      <c r="H1266" s="448">
        <f>IF($L1266&gt;S$5,MAX(0,S$3+ROUND((S$9*($L1266-S$5)),0)),IF($L1266&gt;S$4,S$3,ROUND($L1266*S$7,0)))</f>
        <v/>
      </c>
      <c r="I1266" s="448">
        <f>IF($L1266&gt;T$5,MAX(0,T$3+ROUND((T$9*($L1266-T$5)),0)),IF($L1266&gt;T$4,T$3,ROUND($L1266*T$7,0)))</f>
        <v/>
      </c>
      <c r="J1266" s="447">
        <f>IF($L1266&gt;U$5,MAX(0,U$3+ROUND((U$9*($L1266-U$5)),0)),IF($L1266&gt;U$4,U$3,ROUND($L1266*U$7,0)))</f>
        <v/>
      </c>
      <c r="L1266" s="448">
        <f>ROUND((A1266+B1266)/2,2)</f>
        <v/>
      </c>
    </row>
    <row r="1267" ht="13.5" customHeight="1" s="7635">
      <c r="A1267" s="448" t="n">
        <v>62900</v>
      </c>
      <c r="B1267" s="447" t="n">
        <v>62950</v>
      </c>
      <c r="C1267" s="1378">
        <f>IF($L1267&gt;N$5,MAX(0,N$3+ROUND((N$9*($L1267-N$5)),0)),IF($L1267&gt;N$4,N$3,ROUND($L1267*N$7,0)))</f>
        <v/>
      </c>
      <c r="D1267" s="448">
        <f>IF($L1267&gt;O$5,MAX(0,O$3+ROUND((O$9*($L1267-O$5)),0)),IF($L1267&gt;O$4,O$3,ROUND($L1267*O$7,0)))</f>
        <v/>
      </c>
      <c r="E1267" s="448">
        <f>IF($L1267&gt;P$5,MAX(0,P$3+ROUND((P$9*($L1267-P$5)),0)),IF($L1267&gt;P$4,P$3,ROUND($L1267*P$7,0)))</f>
        <v/>
      </c>
      <c r="F1267" s="447">
        <f>IF($L1267&gt;Q$5,MAX(0,Q$3+ROUND((Q$9*($L1267-Q$5)),0)),IF($L1267&gt;Q$4,Q$3,ROUND($L1267*Q$7,0)))</f>
        <v/>
      </c>
      <c r="G1267" s="1378">
        <f>IF($L1267&gt;R$5,MAX(0,R$3+ROUND((R$9*($L1267-R$5)),0)),IF($L1267&gt;R$4,R$3,ROUND($L1267*R$7,0)))</f>
        <v/>
      </c>
      <c r="H1267" s="448">
        <f>IF($L1267&gt;S$5,MAX(0,S$3+ROUND((S$9*($L1267-S$5)),0)),IF($L1267&gt;S$4,S$3,ROUND($L1267*S$7,0)))</f>
        <v/>
      </c>
      <c r="I1267" s="448">
        <f>IF($L1267&gt;T$5,MAX(0,T$3+ROUND((T$9*($L1267-T$5)),0)),IF($L1267&gt;T$4,T$3,ROUND($L1267*T$7,0)))</f>
        <v/>
      </c>
      <c r="J1267" s="447">
        <f>IF($L1267&gt;U$5,MAX(0,U$3+ROUND((U$9*($L1267-U$5)),0)),IF($L1267&gt;U$4,U$3,ROUND($L1267*U$7,0)))</f>
        <v/>
      </c>
      <c r="L1267" s="448">
        <f>ROUND((A1267+B1267)/2,2)</f>
        <v/>
      </c>
    </row>
    <row r="1268" ht="13.5" customHeight="1" s="7635">
      <c r="A1268" s="448" t="n">
        <v>62950</v>
      </c>
      <c r="B1268" s="447" t="n">
        <v>63000</v>
      </c>
      <c r="C1268" s="1378">
        <f>IF($L1268&gt;N$5,MAX(0,N$3+ROUND((N$9*($L1268-N$5)),0)),IF($L1268&gt;N$4,N$3,ROUND($L1268*N$7,0)))</f>
        <v/>
      </c>
      <c r="D1268" s="448">
        <f>IF($L1268&gt;O$5,MAX(0,O$3+ROUND((O$9*($L1268-O$5)),0)),IF($L1268&gt;O$4,O$3,ROUND($L1268*O$7,0)))</f>
        <v/>
      </c>
      <c r="E1268" s="448">
        <f>IF($L1268&gt;P$5,MAX(0,P$3+ROUND((P$9*($L1268-P$5)),0)),IF($L1268&gt;P$4,P$3,ROUND($L1268*P$7,0)))</f>
        <v/>
      </c>
      <c r="F1268" s="447">
        <f>IF($L1268&gt;Q$5,MAX(0,Q$3+ROUND((Q$9*($L1268-Q$5)),0)),IF($L1268&gt;Q$4,Q$3,ROUND($L1268*Q$7,0)))</f>
        <v/>
      </c>
      <c r="G1268" s="1378">
        <f>IF($L1268&gt;R$5,MAX(0,R$3+ROUND((R$9*($L1268-R$5)),0)),IF($L1268&gt;R$4,R$3,ROUND($L1268*R$7,0)))</f>
        <v/>
      </c>
      <c r="H1268" s="448">
        <f>IF($L1268&gt;S$5,MAX(0,S$3+ROUND((S$9*($L1268-S$5)),0)),IF($L1268&gt;S$4,S$3,ROUND($L1268*S$7,0)))</f>
        <v/>
      </c>
      <c r="I1268" s="448">
        <f>IF($L1268&gt;T$5,MAX(0,T$3+ROUND((T$9*($L1268-T$5)),0)),IF($L1268&gt;T$4,T$3,ROUND($L1268*T$7,0)))</f>
        <v/>
      </c>
      <c r="J1268" s="447">
        <f>IF($L1268&gt;U$5,MAX(0,U$3+ROUND((U$9*($L1268-U$5)),0)),IF($L1268&gt;U$4,U$3,ROUND($L1268*U$7,0)))</f>
        <v/>
      </c>
      <c r="L1268" s="448">
        <f>ROUND((A1268+B1268)/2,2)</f>
        <v/>
      </c>
    </row>
    <row r="1269" ht="13.5" customHeight="1" s="7635">
      <c r="A1269" s="448" t="n">
        <v>63000</v>
      </c>
      <c r="B1269" s="447" t="n">
        <v>63050</v>
      </c>
      <c r="C1269" s="1378">
        <f>IF($L1269&gt;N$5,MAX(0,N$3+ROUND((N$9*($L1269-N$5)),0)),IF($L1269&gt;N$4,N$3,ROUND($L1269*N$7,0)))</f>
        <v/>
      </c>
      <c r="D1269" s="448">
        <f>IF($L1269&gt;O$5,MAX(0,O$3+ROUND((O$9*($L1269-O$5)),0)),IF($L1269&gt;O$4,O$3,ROUND($L1269*O$7,0)))</f>
        <v/>
      </c>
      <c r="E1269" s="448">
        <f>IF($L1269&gt;P$5,MAX(0,P$3+ROUND((P$9*($L1269-P$5)),0)),IF($L1269&gt;P$4,P$3,ROUND($L1269*P$7,0)))</f>
        <v/>
      </c>
      <c r="F1269" s="447">
        <f>IF($L1269&gt;Q$5,MAX(0,Q$3+ROUND((Q$9*($L1269-Q$5)),0)),IF($L1269&gt;Q$4,Q$3,ROUND($L1269*Q$7,0)))</f>
        <v/>
      </c>
      <c r="G1269" s="1378">
        <f>IF($L1269&gt;R$5,MAX(0,R$3+ROUND((R$9*($L1269-R$5)),0)),IF($L1269&gt;R$4,R$3,ROUND($L1269*R$7,0)))</f>
        <v/>
      </c>
      <c r="H1269" s="448">
        <f>IF($L1269&gt;S$5,MAX(0,S$3+ROUND((S$9*($L1269-S$5)),0)),IF($L1269&gt;S$4,S$3,ROUND($L1269*S$7,0)))</f>
        <v/>
      </c>
      <c r="I1269" s="448">
        <f>IF($L1269&gt;T$5,MAX(0,T$3+ROUND((T$9*($L1269-T$5)),0)),IF($L1269&gt;T$4,T$3,ROUND($L1269*T$7,0)))</f>
        <v/>
      </c>
      <c r="J1269" s="447">
        <f>IF($L1269&gt;U$5,MAX(0,U$3+ROUND((U$9*($L1269-U$5)),0)),IF($L1269&gt;U$4,U$3,ROUND($L1269*U$7,0)))</f>
        <v/>
      </c>
      <c r="L1269" s="448">
        <f>ROUND((A1269+B1269)/2,2)</f>
        <v/>
      </c>
    </row>
    <row r="1270" ht="13.5" customHeight="1" s="7635">
      <c r="A1270" s="448" t="n">
        <v>63050</v>
      </c>
      <c r="B1270" s="447" t="n">
        <v>63100</v>
      </c>
      <c r="C1270" s="1378">
        <f>IF($L1270&gt;N$5,MAX(0,N$3+ROUND((N$9*($L1270-N$5)),0)),IF($L1270&gt;N$4,N$3,ROUND($L1270*N$7,0)))</f>
        <v/>
      </c>
      <c r="D1270" s="448">
        <f>IF($L1270&gt;O$5,MAX(0,O$3+ROUND((O$9*($L1270-O$5)),0)),IF($L1270&gt;O$4,O$3,ROUND($L1270*O$7,0)))</f>
        <v/>
      </c>
      <c r="E1270" s="448">
        <f>IF($L1270&gt;P$5,MAX(0,P$3+ROUND((P$9*($L1270-P$5)),0)),IF($L1270&gt;P$4,P$3,ROUND($L1270*P$7,0)))</f>
        <v/>
      </c>
      <c r="F1270" s="447">
        <f>IF($L1270&gt;Q$5,MAX(0,Q$3+ROUND((Q$9*($L1270-Q$5)),0)),IF($L1270&gt;Q$4,Q$3,ROUND($L1270*Q$7,0)))</f>
        <v/>
      </c>
      <c r="G1270" s="1378">
        <f>IF($L1270&gt;R$5,MAX(0,R$3+ROUND((R$9*($L1270-R$5)),0)),IF($L1270&gt;R$4,R$3,ROUND($L1270*R$7,0)))</f>
        <v/>
      </c>
      <c r="H1270" s="448">
        <f>IF($L1270&gt;S$5,MAX(0,S$3+ROUND((S$9*($L1270-S$5)),0)),IF($L1270&gt;S$4,S$3,ROUND($L1270*S$7,0)))</f>
        <v/>
      </c>
      <c r="I1270" s="448">
        <f>IF($L1270&gt;T$5,MAX(0,T$3+ROUND((T$9*($L1270-T$5)),0)),IF($L1270&gt;T$4,T$3,ROUND($L1270*T$7,0)))</f>
        <v/>
      </c>
      <c r="J1270" s="447">
        <f>IF($L1270&gt;U$5,MAX(0,U$3+ROUND((U$9*($L1270-U$5)),0)),IF($L1270&gt;U$4,U$3,ROUND($L1270*U$7,0)))</f>
        <v/>
      </c>
      <c r="L1270" s="448">
        <f>ROUND((A1270+B1270)/2,2)</f>
        <v/>
      </c>
    </row>
    <row r="1271" ht="13.5" customHeight="1" s="7635">
      <c r="A1271" s="448" t="n">
        <v>63100</v>
      </c>
      <c r="B1271" s="447" t="n">
        <v>63150</v>
      </c>
      <c r="C1271" s="1378">
        <f>IF($L1271&gt;N$5,MAX(0,N$3+ROUND((N$9*($L1271-N$5)),0)),IF($L1271&gt;N$4,N$3,ROUND($L1271*N$7,0)))</f>
        <v/>
      </c>
      <c r="D1271" s="448">
        <f>IF($L1271&gt;O$5,MAX(0,O$3+ROUND((O$9*($L1271-O$5)),0)),IF($L1271&gt;O$4,O$3,ROUND($L1271*O$7,0)))</f>
        <v/>
      </c>
      <c r="E1271" s="448">
        <f>IF($L1271&gt;P$5,MAX(0,P$3+ROUND((P$9*($L1271-P$5)),0)),IF($L1271&gt;P$4,P$3,ROUND($L1271*P$7,0)))</f>
        <v/>
      </c>
      <c r="F1271" s="447">
        <f>IF($L1271&gt;Q$5,MAX(0,Q$3+ROUND((Q$9*($L1271-Q$5)),0)),IF($L1271&gt;Q$4,Q$3,ROUND($L1271*Q$7,0)))</f>
        <v/>
      </c>
      <c r="G1271" s="1378">
        <f>IF($L1271&gt;R$5,MAX(0,R$3+ROUND((R$9*($L1271-R$5)),0)),IF($L1271&gt;R$4,R$3,ROUND($L1271*R$7,0)))</f>
        <v/>
      </c>
      <c r="H1271" s="448">
        <f>IF($L1271&gt;S$5,MAX(0,S$3+ROUND((S$9*($L1271-S$5)),0)),IF($L1271&gt;S$4,S$3,ROUND($L1271*S$7,0)))</f>
        <v/>
      </c>
      <c r="I1271" s="448">
        <f>IF($L1271&gt;T$5,MAX(0,T$3+ROUND((T$9*($L1271-T$5)),0)),IF($L1271&gt;T$4,T$3,ROUND($L1271*T$7,0)))</f>
        <v/>
      </c>
      <c r="J1271" s="447">
        <f>IF($L1271&gt;U$5,MAX(0,U$3+ROUND((U$9*($L1271-U$5)),0)),IF($L1271&gt;U$4,U$3,ROUND($L1271*U$7,0)))</f>
        <v/>
      </c>
      <c r="L1271" s="448">
        <f>ROUND((A1271+B1271)/2,2)</f>
        <v/>
      </c>
    </row>
    <row r="1272" ht="13.5" customHeight="1" s="7635">
      <c r="A1272" s="448" t="n">
        <v>63150</v>
      </c>
      <c r="B1272" s="447" t="n">
        <v>63200</v>
      </c>
      <c r="C1272" s="1378">
        <f>IF($L1272&gt;N$5,MAX(0,N$3+ROUND((N$9*($L1272-N$5)),0)),IF($L1272&gt;N$4,N$3,ROUND($L1272*N$7,0)))</f>
        <v/>
      </c>
      <c r="D1272" s="448">
        <f>IF($L1272&gt;O$5,MAX(0,O$3+ROUND((O$9*($L1272-O$5)),0)),IF($L1272&gt;O$4,O$3,ROUND($L1272*O$7,0)))</f>
        <v/>
      </c>
      <c r="E1272" s="448">
        <f>IF($L1272&gt;P$5,MAX(0,P$3+ROUND((P$9*($L1272-P$5)),0)),IF($L1272&gt;P$4,P$3,ROUND($L1272*P$7,0)))</f>
        <v/>
      </c>
      <c r="F1272" s="447">
        <f>IF($L1272&gt;Q$5,MAX(0,Q$3+ROUND((Q$9*($L1272-Q$5)),0)),IF($L1272&gt;Q$4,Q$3,ROUND($L1272*Q$7,0)))</f>
        <v/>
      </c>
      <c r="G1272" s="1378">
        <f>IF($L1272&gt;R$5,MAX(0,R$3+ROUND((R$9*($L1272-R$5)),0)),IF($L1272&gt;R$4,R$3,ROUND($L1272*R$7,0)))</f>
        <v/>
      </c>
      <c r="H1272" s="448">
        <f>IF($L1272&gt;S$5,MAX(0,S$3+ROUND((S$9*($L1272-S$5)),0)),IF($L1272&gt;S$4,S$3,ROUND($L1272*S$7,0)))</f>
        <v/>
      </c>
      <c r="I1272" s="448">
        <f>IF($L1272&gt;T$5,MAX(0,T$3+ROUND((T$9*($L1272-T$5)),0)),IF($L1272&gt;T$4,T$3,ROUND($L1272*T$7,0)))</f>
        <v/>
      </c>
      <c r="J1272" s="447">
        <f>IF($L1272&gt;U$5,MAX(0,U$3+ROUND((U$9*($L1272-U$5)),0)),IF($L1272&gt;U$4,U$3,ROUND($L1272*U$7,0)))</f>
        <v/>
      </c>
      <c r="L1272" s="448">
        <f>ROUND((A1272+B1272)/2,2)</f>
        <v/>
      </c>
    </row>
    <row r="1273" ht="13.5" customHeight="1" s="7635">
      <c r="A1273" s="448" t="n">
        <v>63200</v>
      </c>
      <c r="B1273" s="447" t="n">
        <v>63250</v>
      </c>
      <c r="C1273" s="1378">
        <f>IF($L1273&gt;N$5,MAX(0,N$3+ROUND((N$9*($L1273-N$5)),0)),IF($L1273&gt;N$4,N$3,ROUND($L1273*N$7,0)))</f>
        <v/>
      </c>
      <c r="D1273" s="448">
        <f>IF($L1273&gt;O$5,MAX(0,O$3+ROUND((O$9*($L1273-O$5)),0)),IF($L1273&gt;O$4,O$3,ROUND($L1273*O$7,0)))</f>
        <v/>
      </c>
      <c r="E1273" s="448">
        <f>IF($L1273&gt;P$5,MAX(0,P$3+ROUND((P$9*($L1273-P$5)),0)),IF($L1273&gt;P$4,P$3,ROUND($L1273*P$7,0)))</f>
        <v/>
      </c>
      <c r="F1273" s="447">
        <f>IF($L1273&gt;Q$5,MAX(0,Q$3+ROUND((Q$9*($L1273-Q$5)),0)),IF($L1273&gt;Q$4,Q$3,ROUND($L1273*Q$7,0)))</f>
        <v/>
      </c>
      <c r="G1273" s="1378">
        <f>IF($L1273&gt;R$5,MAX(0,R$3+ROUND((R$9*($L1273-R$5)),0)),IF($L1273&gt;R$4,R$3,ROUND($L1273*R$7,0)))</f>
        <v/>
      </c>
      <c r="H1273" s="448">
        <f>IF($L1273&gt;S$5,MAX(0,S$3+ROUND((S$9*($L1273-S$5)),0)),IF($L1273&gt;S$4,S$3,ROUND($L1273*S$7,0)))</f>
        <v/>
      </c>
      <c r="I1273" s="448">
        <f>IF($L1273&gt;T$5,MAX(0,T$3+ROUND((T$9*($L1273-T$5)),0)),IF($L1273&gt;T$4,T$3,ROUND($L1273*T$7,0)))</f>
        <v/>
      </c>
      <c r="J1273" s="447">
        <f>IF($L1273&gt;U$5,MAX(0,U$3+ROUND((U$9*($L1273-U$5)),0)),IF($L1273&gt;U$4,U$3,ROUND($L1273*U$7,0)))</f>
        <v/>
      </c>
      <c r="L1273" s="448">
        <f>ROUND((A1273+B1273)/2,2)</f>
        <v/>
      </c>
    </row>
    <row r="1274" ht="13.5" customHeight="1" s="7635">
      <c r="A1274" s="448" t="n">
        <v>63250</v>
      </c>
      <c r="B1274" s="447" t="n">
        <v>63300</v>
      </c>
      <c r="C1274" s="1378">
        <f>IF($L1274&gt;N$5,MAX(0,N$3+ROUND((N$9*($L1274-N$5)),0)),IF($L1274&gt;N$4,N$3,ROUND($L1274*N$7,0)))</f>
        <v/>
      </c>
      <c r="D1274" s="448">
        <f>IF($L1274&gt;O$5,MAX(0,O$3+ROUND((O$9*($L1274-O$5)),0)),IF($L1274&gt;O$4,O$3,ROUND($L1274*O$7,0)))</f>
        <v/>
      </c>
      <c r="E1274" s="448">
        <f>IF($L1274&gt;P$5,MAX(0,P$3+ROUND((P$9*($L1274-P$5)),0)),IF($L1274&gt;P$4,P$3,ROUND($L1274*P$7,0)))</f>
        <v/>
      </c>
      <c r="F1274" s="447">
        <f>IF($L1274&gt;Q$5,MAX(0,Q$3+ROUND((Q$9*($L1274-Q$5)),0)),IF($L1274&gt;Q$4,Q$3,ROUND($L1274*Q$7,0)))</f>
        <v/>
      </c>
      <c r="G1274" s="1378">
        <f>IF($L1274&gt;R$5,MAX(0,R$3+ROUND((R$9*($L1274-R$5)),0)),IF($L1274&gt;R$4,R$3,ROUND($L1274*R$7,0)))</f>
        <v/>
      </c>
      <c r="H1274" s="448">
        <f>IF($L1274&gt;S$5,MAX(0,S$3+ROUND((S$9*($L1274-S$5)),0)),IF($L1274&gt;S$4,S$3,ROUND($L1274*S$7,0)))</f>
        <v/>
      </c>
      <c r="I1274" s="448">
        <f>IF($L1274&gt;T$5,MAX(0,T$3+ROUND((T$9*($L1274-T$5)),0)),IF($L1274&gt;T$4,T$3,ROUND($L1274*T$7,0)))</f>
        <v/>
      </c>
      <c r="J1274" s="447">
        <f>IF($L1274&gt;U$5,MAX(0,U$3+ROUND((U$9*($L1274-U$5)),0)),IF($L1274&gt;U$4,U$3,ROUND($L1274*U$7,0)))</f>
        <v/>
      </c>
      <c r="L1274" s="448">
        <f>ROUND((A1274+B1274)/2,2)</f>
        <v/>
      </c>
    </row>
    <row r="1275" ht="13.5" customHeight="1" s="7635">
      <c r="A1275" s="448" t="n">
        <v>63300</v>
      </c>
      <c r="B1275" s="447" t="n">
        <v>63350</v>
      </c>
      <c r="C1275" s="1378">
        <f>IF($L1275&gt;N$5,MAX(0,N$3+ROUND((N$9*($L1275-N$5)),0)),IF($L1275&gt;N$4,N$3,ROUND($L1275*N$7,0)))</f>
        <v/>
      </c>
      <c r="D1275" s="448">
        <f>IF($L1275&gt;O$5,MAX(0,O$3+ROUND((O$9*($L1275-O$5)),0)),IF($L1275&gt;O$4,O$3,ROUND($L1275*O$7,0)))</f>
        <v/>
      </c>
      <c r="E1275" s="448">
        <f>IF($L1275&gt;P$5,MAX(0,P$3+ROUND((P$9*($L1275-P$5)),0)),IF($L1275&gt;P$4,P$3,ROUND($L1275*P$7,0)))</f>
        <v/>
      </c>
      <c r="F1275" s="447">
        <f>IF($L1275&gt;Q$5,MAX(0,Q$3+ROUND((Q$9*($L1275-Q$5)),0)),IF($L1275&gt;Q$4,Q$3,ROUND($L1275*Q$7,0)))</f>
        <v/>
      </c>
      <c r="G1275" s="1378">
        <f>IF($L1275&gt;R$5,MAX(0,R$3+ROUND((R$9*($L1275-R$5)),0)),IF($L1275&gt;R$4,R$3,ROUND($L1275*R$7,0)))</f>
        <v/>
      </c>
      <c r="H1275" s="448">
        <f>IF($L1275&gt;S$5,MAX(0,S$3+ROUND((S$9*($L1275-S$5)),0)),IF($L1275&gt;S$4,S$3,ROUND($L1275*S$7,0)))</f>
        <v/>
      </c>
      <c r="I1275" s="448">
        <f>IF($L1275&gt;T$5,MAX(0,T$3+ROUND((T$9*($L1275-T$5)),0)),IF($L1275&gt;T$4,T$3,ROUND($L1275*T$7,0)))</f>
        <v/>
      </c>
      <c r="J1275" s="447">
        <f>IF($L1275&gt;U$5,MAX(0,U$3+ROUND((U$9*($L1275-U$5)),0)),IF($L1275&gt;U$4,U$3,ROUND($L1275*U$7,0)))</f>
        <v/>
      </c>
      <c r="L1275" s="448">
        <f>ROUND((A1275+B1275)/2,2)</f>
        <v/>
      </c>
    </row>
    <row r="1276" ht="13.5" customHeight="1" s="7635">
      <c r="A1276" s="448" t="n">
        <v>63350</v>
      </c>
      <c r="B1276" s="447" t="n">
        <v>63400</v>
      </c>
      <c r="C1276" s="1378">
        <f>IF($L1276&gt;N$5,MAX(0,N$3+ROUND((N$9*($L1276-N$5)),0)),IF($L1276&gt;N$4,N$3,ROUND($L1276*N$7,0)))</f>
        <v/>
      </c>
      <c r="D1276" s="448">
        <f>IF($L1276&gt;O$5,MAX(0,O$3+ROUND((O$9*($L1276-O$5)),0)),IF($L1276&gt;O$4,O$3,ROUND($L1276*O$7,0)))</f>
        <v/>
      </c>
      <c r="E1276" s="448">
        <f>IF($L1276&gt;P$5,MAX(0,P$3+ROUND((P$9*($L1276-P$5)),0)),IF($L1276&gt;P$4,P$3,ROUND($L1276*P$7,0)))</f>
        <v/>
      </c>
      <c r="F1276" s="447">
        <f>IF($L1276&gt;Q$5,MAX(0,Q$3+ROUND((Q$9*($L1276-Q$5)),0)),IF($L1276&gt;Q$4,Q$3,ROUND($L1276*Q$7,0)))</f>
        <v/>
      </c>
      <c r="G1276" s="1378">
        <f>IF($L1276&gt;R$5,MAX(0,R$3+ROUND((R$9*($L1276-R$5)),0)),IF($L1276&gt;R$4,R$3,ROUND($L1276*R$7,0)))</f>
        <v/>
      </c>
      <c r="H1276" s="448">
        <f>IF($L1276&gt;S$5,MAX(0,S$3+ROUND((S$9*($L1276-S$5)),0)),IF($L1276&gt;S$4,S$3,ROUND($L1276*S$7,0)))</f>
        <v/>
      </c>
      <c r="I1276" s="448">
        <f>IF($L1276&gt;T$5,MAX(0,T$3+ROUND((T$9*($L1276-T$5)),0)),IF($L1276&gt;T$4,T$3,ROUND($L1276*T$7,0)))</f>
        <v/>
      </c>
      <c r="J1276" s="447">
        <f>IF($L1276&gt;U$5,MAX(0,U$3+ROUND((U$9*($L1276-U$5)),0)),IF($L1276&gt;U$4,U$3,ROUND($L1276*U$7,0)))</f>
        <v/>
      </c>
      <c r="L1276" s="448">
        <f>ROUND((A1276+B1276)/2,2)</f>
        <v/>
      </c>
    </row>
    <row r="1277" ht="13.5" customHeight="1" s="7635">
      <c r="A1277" s="448" t="n">
        <v>63400</v>
      </c>
      <c r="B1277" s="447" t="n">
        <v>63450</v>
      </c>
      <c r="C1277" s="1378">
        <f>IF($L1277&gt;N$5,MAX(0,N$3+ROUND((N$9*($L1277-N$5)),0)),IF($L1277&gt;N$4,N$3,ROUND($L1277*N$7,0)))</f>
        <v/>
      </c>
      <c r="D1277" s="448">
        <f>IF($L1277&gt;O$5,MAX(0,O$3+ROUND((O$9*($L1277-O$5)),0)),IF($L1277&gt;O$4,O$3,ROUND($L1277*O$7,0)))</f>
        <v/>
      </c>
      <c r="E1277" s="448">
        <f>IF($L1277&gt;P$5,MAX(0,P$3+ROUND((P$9*($L1277-P$5)),0)),IF($L1277&gt;P$4,P$3,ROUND($L1277*P$7,0)))</f>
        <v/>
      </c>
      <c r="F1277" s="447">
        <f>IF($L1277&gt;Q$5,MAX(0,Q$3+ROUND((Q$9*($L1277-Q$5)),0)),IF($L1277&gt;Q$4,Q$3,ROUND($L1277*Q$7,0)))</f>
        <v/>
      </c>
      <c r="G1277" s="1378">
        <f>IF($L1277&gt;R$5,MAX(0,R$3+ROUND((R$9*($L1277-R$5)),0)),IF($L1277&gt;R$4,R$3,ROUND($L1277*R$7,0)))</f>
        <v/>
      </c>
      <c r="H1277" s="448">
        <f>IF($L1277&gt;S$5,MAX(0,S$3+ROUND((S$9*($L1277-S$5)),0)),IF($L1277&gt;S$4,S$3,ROUND($L1277*S$7,0)))</f>
        <v/>
      </c>
      <c r="I1277" s="448">
        <f>IF($L1277&gt;T$5,MAX(0,T$3+ROUND((T$9*($L1277-T$5)),0)),IF($L1277&gt;T$4,T$3,ROUND($L1277*T$7,0)))</f>
        <v/>
      </c>
      <c r="J1277" s="447">
        <f>IF($L1277&gt;U$5,MAX(0,U$3+ROUND((U$9*($L1277-U$5)),0)),IF($L1277&gt;U$4,U$3,ROUND($L1277*U$7,0)))</f>
        <v/>
      </c>
      <c r="L1277" s="448">
        <f>ROUND((A1277+B1277)/2,2)</f>
        <v/>
      </c>
    </row>
    <row r="1278" ht="13.5" customHeight="1" s="7635">
      <c r="A1278" s="448" t="n">
        <v>63450</v>
      </c>
      <c r="B1278" s="447" t="n">
        <v>63500</v>
      </c>
      <c r="C1278" s="1378">
        <f>IF($L1278&gt;N$5,MAX(0,N$3+ROUND((N$9*($L1278-N$5)),0)),IF($L1278&gt;N$4,N$3,ROUND($L1278*N$7,0)))</f>
        <v/>
      </c>
      <c r="D1278" s="448">
        <f>IF($L1278&gt;O$5,MAX(0,O$3+ROUND((O$9*($L1278-O$5)),0)),IF($L1278&gt;O$4,O$3,ROUND($L1278*O$7,0)))</f>
        <v/>
      </c>
      <c r="E1278" s="448">
        <f>IF($L1278&gt;P$5,MAX(0,P$3+ROUND((P$9*($L1278-P$5)),0)),IF($L1278&gt;P$4,P$3,ROUND($L1278*P$7,0)))</f>
        <v/>
      </c>
      <c r="F1278" s="447">
        <f>IF($L1278&gt;Q$5,MAX(0,Q$3+ROUND((Q$9*($L1278-Q$5)),0)),IF($L1278&gt;Q$4,Q$3,ROUND($L1278*Q$7,0)))</f>
        <v/>
      </c>
      <c r="G1278" s="1378">
        <f>IF($L1278&gt;R$5,MAX(0,R$3+ROUND((R$9*($L1278-R$5)),0)),IF($L1278&gt;R$4,R$3,ROUND($L1278*R$7,0)))</f>
        <v/>
      </c>
      <c r="H1278" s="448">
        <f>IF($L1278&gt;S$5,MAX(0,S$3+ROUND((S$9*($L1278-S$5)),0)),IF($L1278&gt;S$4,S$3,ROUND($L1278*S$7,0)))</f>
        <v/>
      </c>
      <c r="I1278" s="448">
        <f>IF($L1278&gt;T$5,MAX(0,T$3+ROUND((T$9*($L1278-T$5)),0)),IF($L1278&gt;T$4,T$3,ROUND($L1278*T$7,0)))</f>
        <v/>
      </c>
      <c r="J1278" s="447">
        <f>IF($L1278&gt;U$5,MAX(0,U$3+ROUND((U$9*($L1278-U$5)),0)),IF($L1278&gt;U$4,U$3,ROUND($L1278*U$7,0)))</f>
        <v/>
      </c>
      <c r="L1278" s="448">
        <f>ROUND((A1278+B1278)/2,2)</f>
        <v/>
      </c>
    </row>
    <row r="1279" ht="13.5" customHeight="1" s="7635">
      <c r="A1279" s="448" t="n">
        <v>63500</v>
      </c>
      <c r="B1279" s="447" t="n">
        <v>63550</v>
      </c>
      <c r="C1279" s="1378">
        <f>IF($L1279&gt;N$5,MAX(0,N$3+ROUND((N$9*($L1279-N$5)),0)),IF($L1279&gt;N$4,N$3,ROUND($L1279*N$7,0)))</f>
        <v/>
      </c>
      <c r="D1279" s="448">
        <f>IF($L1279&gt;O$5,MAX(0,O$3+ROUND((O$9*($L1279-O$5)),0)),IF($L1279&gt;O$4,O$3,ROUND($L1279*O$7,0)))</f>
        <v/>
      </c>
      <c r="E1279" s="448">
        <f>IF($L1279&gt;P$5,MAX(0,P$3+ROUND((P$9*($L1279-P$5)),0)),IF($L1279&gt;P$4,P$3,ROUND($L1279*P$7,0)))</f>
        <v/>
      </c>
      <c r="F1279" s="447">
        <f>IF($L1279&gt;Q$5,MAX(0,Q$3+ROUND((Q$9*($L1279-Q$5)),0)),IF($L1279&gt;Q$4,Q$3,ROUND($L1279*Q$7,0)))</f>
        <v/>
      </c>
      <c r="G1279" s="1378">
        <f>IF($L1279&gt;R$5,MAX(0,R$3+ROUND((R$9*($L1279-R$5)),0)),IF($L1279&gt;R$4,R$3,ROUND($L1279*R$7,0)))</f>
        <v/>
      </c>
      <c r="H1279" s="448">
        <f>IF($L1279&gt;S$5,MAX(0,S$3+ROUND((S$9*($L1279-S$5)),0)),IF($L1279&gt;S$4,S$3,ROUND($L1279*S$7,0)))</f>
        <v/>
      </c>
      <c r="I1279" s="448">
        <f>IF($L1279&gt;T$5,MAX(0,T$3+ROUND((T$9*($L1279-T$5)),0)),IF($L1279&gt;T$4,T$3,ROUND($L1279*T$7,0)))</f>
        <v/>
      </c>
      <c r="J1279" s="447">
        <f>IF($L1279&gt;U$5,MAX(0,U$3+ROUND((U$9*($L1279-U$5)),0)),IF($L1279&gt;U$4,U$3,ROUND($L1279*U$7,0)))</f>
        <v/>
      </c>
      <c r="L1279" s="448">
        <f>ROUND((A1279+B1279)/2,2)</f>
        <v/>
      </c>
    </row>
    <row r="1280" ht="13.5" customHeight="1" s="7635">
      <c r="A1280" s="448" t="n">
        <v>63550</v>
      </c>
      <c r="B1280" s="447" t="n">
        <v>63600</v>
      </c>
      <c r="C1280" s="1378">
        <f>IF($L1280&gt;N$5,MAX(0,N$3+ROUND((N$9*($L1280-N$5)),0)),IF($L1280&gt;N$4,N$3,ROUND($L1280*N$7,0)))</f>
        <v/>
      </c>
      <c r="D1280" s="448">
        <f>IF($L1280&gt;O$5,MAX(0,O$3+ROUND((O$9*($L1280-O$5)),0)),IF($L1280&gt;O$4,O$3,ROUND($L1280*O$7,0)))</f>
        <v/>
      </c>
      <c r="E1280" s="448">
        <f>IF($L1280&gt;P$5,MAX(0,P$3+ROUND((P$9*($L1280-P$5)),0)),IF($L1280&gt;P$4,P$3,ROUND($L1280*P$7,0)))</f>
        <v/>
      </c>
      <c r="F1280" s="447">
        <f>IF($L1280&gt;Q$5,MAX(0,Q$3+ROUND((Q$9*($L1280-Q$5)),0)),IF($L1280&gt;Q$4,Q$3,ROUND($L1280*Q$7,0)))</f>
        <v/>
      </c>
      <c r="G1280" s="1378">
        <f>IF($L1280&gt;R$5,MAX(0,R$3+ROUND((R$9*($L1280-R$5)),0)),IF($L1280&gt;R$4,R$3,ROUND($L1280*R$7,0)))</f>
        <v/>
      </c>
      <c r="H1280" s="448">
        <f>IF($L1280&gt;S$5,MAX(0,S$3+ROUND((S$9*($L1280-S$5)),0)),IF($L1280&gt;S$4,S$3,ROUND($L1280*S$7,0)))</f>
        <v/>
      </c>
      <c r="I1280" s="448">
        <f>IF($L1280&gt;T$5,MAX(0,T$3+ROUND((T$9*($L1280-T$5)),0)),IF($L1280&gt;T$4,T$3,ROUND($L1280*T$7,0)))</f>
        <v/>
      </c>
      <c r="J1280" s="447">
        <f>IF($L1280&gt;U$5,MAX(0,U$3+ROUND((U$9*($L1280-U$5)),0)),IF($L1280&gt;U$4,U$3,ROUND($L1280*U$7,0)))</f>
        <v/>
      </c>
      <c r="L1280" s="448">
        <f>ROUND((A1280+B1280)/2,2)</f>
        <v/>
      </c>
    </row>
    <row r="1281" ht="13.5" customHeight="1" s="7635">
      <c r="A1281" s="448" t="n">
        <v>63600</v>
      </c>
      <c r="B1281" s="447" t="n">
        <v>63650</v>
      </c>
      <c r="C1281" s="1378">
        <f>IF($L1281&gt;N$5,MAX(0,N$3+ROUND((N$9*($L1281-N$5)),0)),IF($L1281&gt;N$4,N$3,ROUND($L1281*N$7,0)))</f>
        <v/>
      </c>
      <c r="D1281" s="448">
        <f>IF($L1281&gt;O$5,MAX(0,O$3+ROUND((O$9*($L1281-O$5)),0)),IF($L1281&gt;O$4,O$3,ROUND($L1281*O$7,0)))</f>
        <v/>
      </c>
      <c r="E1281" s="448">
        <f>IF($L1281&gt;P$5,MAX(0,P$3+ROUND((P$9*($L1281-P$5)),0)),IF($L1281&gt;P$4,P$3,ROUND($L1281*P$7,0)))</f>
        <v/>
      </c>
      <c r="F1281" s="447">
        <f>IF($L1281&gt;Q$5,MAX(0,Q$3+ROUND((Q$9*($L1281-Q$5)),0)),IF($L1281&gt;Q$4,Q$3,ROUND($L1281*Q$7,0)))</f>
        <v/>
      </c>
      <c r="G1281" s="1378">
        <f>IF($L1281&gt;R$5,MAX(0,R$3+ROUND((R$9*($L1281-R$5)),0)),IF($L1281&gt;R$4,R$3,ROUND($L1281*R$7,0)))</f>
        <v/>
      </c>
      <c r="H1281" s="448">
        <f>IF($L1281&gt;S$5,MAX(0,S$3+ROUND((S$9*($L1281-S$5)),0)),IF($L1281&gt;S$4,S$3,ROUND($L1281*S$7,0)))</f>
        <v/>
      </c>
      <c r="I1281" s="448">
        <f>IF($L1281&gt;T$5,MAX(0,T$3+ROUND((T$9*($L1281-T$5)),0)),IF($L1281&gt;T$4,T$3,ROUND($L1281*T$7,0)))</f>
        <v/>
      </c>
      <c r="J1281" s="447">
        <f>IF($L1281&gt;U$5,MAX(0,U$3+ROUND((U$9*($L1281-U$5)),0)),IF($L1281&gt;U$4,U$3,ROUND($L1281*U$7,0)))</f>
        <v/>
      </c>
      <c r="L1281" s="448">
        <f>ROUND((A1281+B1281)/2,2)</f>
        <v/>
      </c>
    </row>
    <row r="1282" ht="13.5" customHeight="1" s="7635">
      <c r="A1282" s="448" t="n">
        <v>63650</v>
      </c>
      <c r="B1282" s="447" t="n">
        <v>63700</v>
      </c>
      <c r="C1282" s="1378">
        <f>IF($L1282&gt;N$5,MAX(0,N$3+ROUND((N$9*($L1282-N$5)),0)),IF($L1282&gt;N$4,N$3,ROUND($L1282*N$7,0)))</f>
        <v/>
      </c>
      <c r="D1282" s="448">
        <f>IF($L1282&gt;O$5,MAX(0,O$3+ROUND((O$9*($L1282-O$5)),0)),IF($L1282&gt;O$4,O$3,ROUND($L1282*O$7,0)))</f>
        <v/>
      </c>
      <c r="E1282" s="448">
        <f>IF($L1282&gt;P$5,MAX(0,P$3+ROUND((P$9*($L1282-P$5)),0)),IF($L1282&gt;P$4,P$3,ROUND($L1282*P$7,0)))</f>
        <v/>
      </c>
      <c r="F1282" s="447">
        <f>IF($L1282&gt;Q$5,MAX(0,Q$3+ROUND((Q$9*($L1282-Q$5)),0)),IF($L1282&gt;Q$4,Q$3,ROUND($L1282*Q$7,0)))</f>
        <v/>
      </c>
      <c r="G1282" s="1378">
        <f>IF($L1282&gt;R$5,MAX(0,R$3+ROUND((R$9*($L1282-R$5)),0)),IF($L1282&gt;R$4,R$3,ROUND($L1282*R$7,0)))</f>
        <v/>
      </c>
      <c r="H1282" s="448">
        <f>IF($L1282&gt;S$5,MAX(0,S$3+ROUND((S$9*($L1282-S$5)),0)),IF($L1282&gt;S$4,S$3,ROUND($L1282*S$7,0)))</f>
        <v/>
      </c>
      <c r="I1282" s="448">
        <f>IF($L1282&gt;T$5,MAX(0,T$3+ROUND((T$9*($L1282-T$5)),0)),IF($L1282&gt;T$4,T$3,ROUND($L1282*T$7,0)))</f>
        <v/>
      </c>
      <c r="J1282" s="447">
        <f>IF($L1282&gt;U$5,MAX(0,U$3+ROUND((U$9*($L1282-U$5)),0)),IF($L1282&gt;U$4,U$3,ROUND($L1282*U$7,0)))</f>
        <v/>
      </c>
      <c r="L1282" s="448">
        <f>ROUND((A1282+B1282)/2,2)</f>
        <v/>
      </c>
    </row>
    <row r="1283" ht="13.5" customHeight="1" s="7635">
      <c r="A1283" s="448" t="n">
        <v>63700</v>
      </c>
      <c r="B1283" s="447" t="n">
        <v>63750</v>
      </c>
      <c r="C1283" s="1378">
        <f>IF($L1283&gt;N$5,MAX(0,N$3+ROUND((N$9*($L1283-N$5)),0)),IF($L1283&gt;N$4,N$3,ROUND($L1283*N$7,0)))</f>
        <v/>
      </c>
      <c r="D1283" s="448">
        <f>IF($L1283&gt;O$5,MAX(0,O$3+ROUND((O$9*($L1283-O$5)),0)),IF($L1283&gt;O$4,O$3,ROUND($L1283*O$7,0)))</f>
        <v/>
      </c>
      <c r="E1283" s="448">
        <f>IF($L1283&gt;P$5,MAX(0,P$3+ROUND((P$9*($L1283-P$5)),0)),IF($L1283&gt;P$4,P$3,ROUND($L1283*P$7,0)))</f>
        <v/>
      </c>
      <c r="F1283" s="447">
        <f>IF($L1283&gt;Q$5,MAX(0,Q$3+ROUND((Q$9*($L1283-Q$5)),0)),IF($L1283&gt;Q$4,Q$3,ROUND($L1283*Q$7,0)))</f>
        <v/>
      </c>
      <c r="G1283" s="1378">
        <f>IF($L1283&gt;R$5,MAX(0,R$3+ROUND((R$9*($L1283-R$5)),0)),IF($L1283&gt;R$4,R$3,ROUND($L1283*R$7,0)))</f>
        <v/>
      </c>
      <c r="H1283" s="448">
        <f>IF($L1283&gt;S$5,MAX(0,S$3+ROUND((S$9*($L1283-S$5)),0)),IF($L1283&gt;S$4,S$3,ROUND($L1283*S$7,0)))</f>
        <v/>
      </c>
      <c r="I1283" s="448">
        <f>IF($L1283&gt;T$5,MAX(0,T$3+ROUND((T$9*($L1283-T$5)),0)),IF($L1283&gt;T$4,T$3,ROUND($L1283*T$7,0)))</f>
        <v/>
      </c>
      <c r="J1283" s="447">
        <f>IF($L1283&gt;U$5,MAX(0,U$3+ROUND((U$9*($L1283-U$5)),0)),IF($L1283&gt;U$4,U$3,ROUND($L1283*U$7,0)))</f>
        <v/>
      </c>
      <c r="L1283" s="448">
        <f>ROUND((A1283+B1283)/2,2)</f>
        <v/>
      </c>
    </row>
    <row r="1284" ht="13.5" customHeight="1" s="7635">
      <c r="A1284" s="448" t="n">
        <v>63750</v>
      </c>
      <c r="B1284" s="447" t="n">
        <v>63800</v>
      </c>
      <c r="C1284" s="1378">
        <f>IF($L1284&gt;N$5,MAX(0,N$3+ROUND((N$9*($L1284-N$5)),0)),IF($L1284&gt;N$4,N$3,ROUND($L1284*N$7,0)))</f>
        <v/>
      </c>
      <c r="D1284" s="448">
        <f>IF($L1284&gt;O$5,MAX(0,O$3+ROUND((O$9*($L1284-O$5)),0)),IF($L1284&gt;O$4,O$3,ROUND($L1284*O$7,0)))</f>
        <v/>
      </c>
      <c r="E1284" s="448">
        <f>IF($L1284&gt;P$5,MAX(0,P$3+ROUND((P$9*($L1284-P$5)),0)),IF($L1284&gt;P$4,P$3,ROUND($L1284*P$7,0)))</f>
        <v/>
      </c>
      <c r="F1284" s="447">
        <f>IF($L1284&gt;Q$5,MAX(0,Q$3+ROUND((Q$9*($L1284-Q$5)),0)),IF($L1284&gt;Q$4,Q$3,ROUND($L1284*Q$7,0)))</f>
        <v/>
      </c>
      <c r="G1284" s="1378">
        <f>IF($L1284&gt;R$5,MAX(0,R$3+ROUND((R$9*($L1284-R$5)),0)),IF($L1284&gt;R$4,R$3,ROUND($L1284*R$7,0)))</f>
        <v/>
      </c>
      <c r="H1284" s="448">
        <f>IF($L1284&gt;S$5,MAX(0,S$3+ROUND((S$9*($L1284-S$5)),0)),IF($L1284&gt;S$4,S$3,ROUND($L1284*S$7,0)))</f>
        <v/>
      </c>
      <c r="I1284" s="448">
        <f>IF($L1284&gt;T$5,MAX(0,T$3+ROUND((T$9*($L1284-T$5)),0)),IF($L1284&gt;T$4,T$3,ROUND($L1284*T$7,0)))</f>
        <v/>
      </c>
      <c r="J1284" s="447">
        <f>IF($L1284&gt;U$5,MAX(0,U$3+ROUND((U$9*($L1284-U$5)),0)),IF($L1284&gt;U$4,U$3,ROUND($L1284*U$7,0)))</f>
        <v/>
      </c>
      <c r="L1284" s="448">
        <f>ROUND((A1284+B1284)/2,2)</f>
        <v/>
      </c>
    </row>
    <row r="1285" ht="13.5" customHeight="1" s="7635">
      <c r="A1285" s="448" t="n">
        <v>63800</v>
      </c>
      <c r="B1285" s="447" t="n">
        <v>63850</v>
      </c>
      <c r="C1285" s="1378">
        <f>IF($L1285&gt;N$5,MAX(0,N$3+ROUND((N$9*($L1285-N$5)),0)),IF($L1285&gt;N$4,N$3,ROUND($L1285*N$7,0)))</f>
        <v/>
      </c>
      <c r="D1285" s="448">
        <f>IF($L1285&gt;O$5,MAX(0,O$3+ROUND((O$9*($L1285-O$5)),0)),IF($L1285&gt;O$4,O$3,ROUND($L1285*O$7,0)))</f>
        <v/>
      </c>
      <c r="E1285" s="448">
        <f>IF($L1285&gt;P$5,MAX(0,P$3+ROUND((P$9*($L1285-P$5)),0)),IF($L1285&gt;P$4,P$3,ROUND($L1285*P$7,0)))</f>
        <v/>
      </c>
      <c r="F1285" s="447">
        <f>IF($L1285&gt;Q$5,MAX(0,Q$3+ROUND((Q$9*($L1285-Q$5)),0)),IF($L1285&gt;Q$4,Q$3,ROUND($L1285*Q$7,0)))</f>
        <v/>
      </c>
      <c r="G1285" s="1378">
        <f>IF($L1285&gt;R$5,MAX(0,R$3+ROUND((R$9*($L1285-R$5)),0)),IF($L1285&gt;R$4,R$3,ROUND($L1285*R$7,0)))</f>
        <v/>
      </c>
      <c r="H1285" s="448">
        <f>IF($L1285&gt;S$5,MAX(0,S$3+ROUND((S$9*($L1285-S$5)),0)),IF($L1285&gt;S$4,S$3,ROUND($L1285*S$7,0)))</f>
        <v/>
      </c>
      <c r="I1285" s="448">
        <f>IF($L1285&gt;T$5,MAX(0,T$3+ROUND((T$9*($L1285-T$5)),0)),IF($L1285&gt;T$4,T$3,ROUND($L1285*T$7,0)))</f>
        <v/>
      </c>
      <c r="J1285" s="447">
        <f>IF($L1285&gt;U$5,MAX(0,U$3+ROUND((U$9*($L1285-U$5)),0)),IF($L1285&gt;U$4,U$3,ROUND($L1285*U$7,0)))</f>
        <v/>
      </c>
      <c r="L1285" s="448">
        <f>ROUND((A1285+B1285)/2,2)</f>
        <v/>
      </c>
    </row>
    <row r="1286" ht="13.5" customHeight="1" s="7635">
      <c r="A1286" s="448" t="n">
        <v>63850</v>
      </c>
      <c r="B1286" s="447" t="n">
        <v>63900</v>
      </c>
      <c r="C1286" s="1378">
        <f>IF($L1286&gt;N$5,MAX(0,N$3+ROUND((N$9*($L1286-N$5)),0)),IF($L1286&gt;N$4,N$3,ROUND($L1286*N$7,0)))</f>
        <v/>
      </c>
      <c r="D1286" s="448">
        <f>IF($L1286&gt;O$5,MAX(0,O$3+ROUND((O$9*($L1286-O$5)),0)),IF($L1286&gt;O$4,O$3,ROUND($L1286*O$7,0)))</f>
        <v/>
      </c>
      <c r="E1286" s="448">
        <f>IF($L1286&gt;P$5,MAX(0,P$3+ROUND((P$9*($L1286-P$5)),0)),IF($L1286&gt;P$4,P$3,ROUND($L1286*P$7,0)))</f>
        <v/>
      </c>
      <c r="F1286" s="447">
        <f>IF($L1286&gt;Q$5,MAX(0,Q$3+ROUND((Q$9*($L1286-Q$5)),0)),IF($L1286&gt;Q$4,Q$3,ROUND($L1286*Q$7,0)))</f>
        <v/>
      </c>
      <c r="G1286" s="1378">
        <f>IF($L1286&gt;R$5,MAX(0,R$3+ROUND((R$9*($L1286-R$5)),0)),IF($L1286&gt;R$4,R$3,ROUND($L1286*R$7,0)))</f>
        <v/>
      </c>
      <c r="H1286" s="448">
        <f>IF($L1286&gt;S$5,MAX(0,S$3+ROUND((S$9*($L1286-S$5)),0)),IF($L1286&gt;S$4,S$3,ROUND($L1286*S$7,0)))</f>
        <v/>
      </c>
      <c r="I1286" s="448">
        <f>IF($L1286&gt;T$5,MAX(0,T$3+ROUND((T$9*($L1286-T$5)),0)),IF($L1286&gt;T$4,T$3,ROUND($L1286*T$7,0)))</f>
        <v/>
      </c>
      <c r="J1286" s="447">
        <f>IF($L1286&gt;U$5,MAX(0,U$3+ROUND((U$9*($L1286-U$5)),0)),IF($L1286&gt;U$4,U$3,ROUND($L1286*U$7,0)))</f>
        <v/>
      </c>
      <c r="L1286" s="448">
        <f>ROUND((A1286+B1286)/2,2)</f>
        <v/>
      </c>
    </row>
    <row r="1287" ht="13.5" customHeight="1" s="7635">
      <c r="A1287" s="448" t="n">
        <v>63900</v>
      </c>
      <c r="B1287" s="447" t="n">
        <v>63950</v>
      </c>
      <c r="C1287" s="1378">
        <f>IF($L1287&gt;N$5,MAX(0,N$3+ROUND((N$9*($L1287-N$5)),0)),IF($L1287&gt;N$4,N$3,ROUND($L1287*N$7,0)))</f>
        <v/>
      </c>
      <c r="D1287" s="448">
        <f>IF($L1287&gt;O$5,MAX(0,O$3+ROUND((O$9*($L1287-O$5)),0)),IF($L1287&gt;O$4,O$3,ROUND($L1287*O$7,0)))</f>
        <v/>
      </c>
      <c r="E1287" s="448">
        <f>IF($L1287&gt;P$5,MAX(0,P$3+ROUND((P$9*($L1287-P$5)),0)),IF($L1287&gt;P$4,P$3,ROUND($L1287*P$7,0)))</f>
        <v/>
      </c>
      <c r="F1287" s="447">
        <f>IF($L1287&gt;Q$5,MAX(0,Q$3+ROUND((Q$9*($L1287-Q$5)),0)),IF($L1287&gt;Q$4,Q$3,ROUND($L1287*Q$7,0)))</f>
        <v/>
      </c>
      <c r="G1287" s="1378">
        <f>IF($L1287&gt;R$5,MAX(0,R$3+ROUND((R$9*($L1287-R$5)),0)),IF($L1287&gt;R$4,R$3,ROUND($L1287*R$7,0)))</f>
        <v/>
      </c>
      <c r="H1287" s="448">
        <f>IF($L1287&gt;S$5,MAX(0,S$3+ROUND((S$9*($L1287-S$5)),0)),IF($L1287&gt;S$4,S$3,ROUND($L1287*S$7,0)))</f>
        <v/>
      </c>
      <c r="I1287" s="448">
        <f>IF($L1287&gt;T$5,MAX(0,T$3+ROUND((T$9*($L1287-T$5)),0)),IF($L1287&gt;T$4,T$3,ROUND($L1287*T$7,0)))</f>
        <v/>
      </c>
      <c r="J1287" s="447">
        <f>IF($L1287&gt;U$5,MAX(0,U$3+ROUND((U$9*($L1287-U$5)),0)),IF($L1287&gt;U$4,U$3,ROUND($L1287*U$7,0)))</f>
        <v/>
      </c>
      <c r="L1287" s="448">
        <f>ROUND((A1287+B1287)/2,2)</f>
        <v/>
      </c>
    </row>
    <row r="1288" ht="13.5" customHeight="1" s="7635">
      <c r="A1288" s="448" t="n">
        <v>63950</v>
      </c>
      <c r="B1288" s="447" t="n">
        <v>64000</v>
      </c>
      <c r="C1288" s="1378">
        <f>IF($L1288&gt;N$5,MAX(0,N$3+ROUND((N$9*($L1288-N$5)),0)),IF($L1288&gt;N$4,N$3,ROUND($L1288*N$7,0)))</f>
        <v/>
      </c>
      <c r="D1288" s="448">
        <f>IF($L1288&gt;O$5,MAX(0,O$3+ROUND((O$9*($L1288-O$5)),0)),IF($L1288&gt;O$4,O$3,ROUND($L1288*O$7,0)))</f>
        <v/>
      </c>
      <c r="E1288" s="448">
        <f>IF($L1288&gt;P$5,MAX(0,P$3+ROUND((P$9*($L1288-P$5)),0)),IF($L1288&gt;P$4,P$3,ROUND($L1288*P$7,0)))</f>
        <v/>
      </c>
      <c r="F1288" s="447">
        <f>IF($L1288&gt;Q$5,MAX(0,Q$3+ROUND((Q$9*($L1288-Q$5)),0)),IF($L1288&gt;Q$4,Q$3,ROUND($L1288*Q$7,0)))</f>
        <v/>
      </c>
      <c r="G1288" s="1378">
        <f>IF($L1288&gt;R$5,MAX(0,R$3+ROUND((R$9*($L1288-R$5)),0)),IF($L1288&gt;R$4,R$3,ROUND($L1288*R$7,0)))</f>
        <v/>
      </c>
      <c r="H1288" s="448">
        <f>IF($L1288&gt;S$5,MAX(0,S$3+ROUND((S$9*($L1288-S$5)),0)),IF($L1288&gt;S$4,S$3,ROUND($L1288*S$7,0)))</f>
        <v/>
      </c>
      <c r="I1288" s="448">
        <f>IF($L1288&gt;T$5,MAX(0,T$3+ROUND((T$9*($L1288-T$5)),0)),IF($L1288&gt;T$4,T$3,ROUND($L1288*T$7,0)))</f>
        <v/>
      </c>
      <c r="J1288" s="447">
        <f>IF($L1288&gt;U$5,MAX(0,U$3+ROUND((U$9*($L1288-U$5)),0)),IF($L1288&gt;U$4,U$3,ROUND($L1288*U$7,0)))</f>
        <v/>
      </c>
      <c r="L1288" s="448">
        <f>ROUND((A1288+B1288)/2,2)</f>
        <v/>
      </c>
    </row>
    <row r="1289" ht="13.5" customHeight="1" s="7635">
      <c r="A1289" s="448" t="n">
        <v>64000</v>
      </c>
      <c r="B1289" s="447" t="n">
        <v>64050</v>
      </c>
      <c r="C1289" s="1378">
        <f>IF($L1289&gt;N$5,MAX(0,N$3+ROUND((N$9*($L1289-N$5)),0)),IF($L1289&gt;N$4,N$3,ROUND($L1289*N$7,0)))</f>
        <v/>
      </c>
      <c r="D1289" s="448">
        <f>IF($L1289&gt;O$5,MAX(0,O$3+ROUND((O$9*($L1289-O$5)),0)),IF($L1289&gt;O$4,O$3,ROUND($L1289*O$7,0)))</f>
        <v/>
      </c>
      <c r="E1289" s="448">
        <f>IF($L1289&gt;P$5,MAX(0,P$3+ROUND((P$9*($L1289-P$5)),0)),IF($L1289&gt;P$4,P$3,ROUND($L1289*P$7,0)))</f>
        <v/>
      </c>
      <c r="F1289" s="447">
        <f>IF($L1289&gt;Q$5,MAX(0,Q$3+ROUND((Q$9*($L1289-Q$5)),0)),IF($L1289&gt;Q$4,Q$3,ROUND($L1289*Q$7,0)))</f>
        <v/>
      </c>
      <c r="G1289" s="1378">
        <f>IF($L1289&gt;R$5,MAX(0,R$3+ROUND((R$9*($L1289-R$5)),0)),IF($L1289&gt;R$4,R$3,ROUND($L1289*R$7,0)))</f>
        <v/>
      </c>
      <c r="H1289" s="448">
        <f>IF($L1289&gt;S$5,MAX(0,S$3+ROUND((S$9*($L1289-S$5)),0)),IF($L1289&gt;S$4,S$3,ROUND($L1289*S$7,0)))</f>
        <v/>
      </c>
      <c r="I1289" s="448">
        <f>IF($L1289&gt;T$5,MAX(0,T$3+ROUND((T$9*($L1289-T$5)),0)),IF($L1289&gt;T$4,T$3,ROUND($L1289*T$7,0)))</f>
        <v/>
      </c>
      <c r="J1289" s="447">
        <f>IF($L1289&gt;U$5,MAX(0,U$3+ROUND((U$9*($L1289-U$5)),0)),IF($L1289&gt;U$4,U$3,ROUND($L1289*U$7,0)))</f>
        <v/>
      </c>
      <c r="L1289" s="448">
        <f>ROUND((A1289+B1289)/2,2)</f>
        <v/>
      </c>
    </row>
    <row r="1290" ht="13.5" customHeight="1" s="7635">
      <c r="A1290" s="448" t="n">
        <v>64050</v>
      </c>
      <c r="B1290" s="447" t="n">
        <v>64100</v>
      </c>
      <c r="C1290" s="1378">
        <f>IF($L1290&gt;N$5,MAX(0,N$3+ROUND((N$9*($L1290-N$5)),0)),IF($L1290&gt;N$4,N$3,ROUND($L1290*N$7,0)))</f>
        <v/>
      </c>
      <c r="D1290" s="448">
        <f>IF($L1290&gt;O$5,MAX(0,O$3+ROUND((O$9*($L1290-O$5)),0)),IF($L1290&gt;O$4,O$3,ROUND($L1290*O$7,0)))</f>
        <v/>
      </c>
      <c r="E1290" s="448">
        <f>IF($L1290&gt;P$5,MAX(0,P$3+ROUND((P$9*($L1290-P$5)),0)),IF($L1290&gt;P$4,P$3,ROUND($L1290*P$7,0)))</f>
        <v/>
      </c>
      <c r="F1290" s="447">
        <f>IF($L1290&gt;Q$5,MAX(0,Q$3+ROUND((Q$9*($L1290-Q$5)),0)),IF($L1290&gt;Q$4,Q$3,ROUND($L1290*Q$7,0)))</f>
        <v/>
      </c>
      <c r="G1290" s="1378">
        <f>IF($L1290&gt;R$5,MAX(0,R$3+ROUND((R$9*($L1290-R$5)),0)),IF($L1290&gt;R$4,R$3,ROUND($L1290*R$7,0)))</f>
        <v/>
      </c>
      <c r="H1290" s="448">
        <f>IF($L1290&gt;S$5,MAX(0,S$3+ROUND((S$9*($L1290-S$5)),0)),IF($L1290&gt;S$4,S$3,ROUND($L1290*S$7,0)))</f>
        <v/>
      </c>
      <c r="I1290" s="448">
        <f>IF($L1290&gt;T$5,MAX(0,T$3+ROUND((T$9*($L1290-T$5)),0)),IF($L1290&gt;T$4,T$3,ROUND($L1290*T$7,0)))</f>
        <v/>
      </c>
      <c r="J1290" s="447">
        <f>IF($L1290&gt;U$5,MAX(0,U$3+ROUND((U$9*($L1290-U$5)),0)),IF($L1290&gt;U$4,U$3,ROUND($L1290*U$7,0)))</f>
        <v/>
      </c>
      <c r="L1290" s="448">
        <f>ROUND((A1290+B1290)/2,2)</f>
        <v/>
      </c>
    </row>
    <row r="1291" ht="13.5" customHeight="1" s="7635">
      <c r="A1291" s="448" t="n">
        <v>64100</v>
      </c>
      <c r="B1291" s="447" t="n">
        <v>64150</v>
      </c>
      <c r="C1291" s="1378">
        <f>IF($L1291&gt;N$5,MAX(0,N$3+ROUND((N$9*($L1291-N$5)),0)),IF($L1291&gt;N$4,N$3,ROUND($L1291*N$7,0)))</f>
        <v/>
      </c>
      <c r="D1291" s="448">
        <f>IF($L1291&gt;O$5,MAX(0,O$3+ROUND((O$9*($L1291-O$5)),0)),IF($L1291&gt;O$4,O$3,ROUND($L1291*O$7,0)))</f>
        <v/>
      </c>
      <c r="E1291" s="448">
        <f>IF($L1291&gt;P$5,MAX(0,P$3+ROUND((P$9*($L1291-P$5)),0)),IF($L1291&gt;P$4,P$3,ROUND($L1291*P$7,0)))</f>
        <v/>
      </c>
      <c r="F1291" s="447">
        <f>IF($L1291&gt;Q$5,MAX(0,Q$3+ROUND((Q$9*($L1291-Q$5)),0)),IF($L1291&gt;Q$4,Q$3,ROUND($L1291*Q$7,0)))</f>
        <v/>
      </c>
      <c r="G1291" s="1378">
        <f>IF($L1291&gt;R$5,MAX(0,R$3+ROUND((R$9*($L1291-R$5)),0)),IF($L1291&gt;R$4,R$3,ROUND($L1291*R$7,0)))</f>
        <v/>
      </c>
      <c r="H1291" s="448">
        <f>IF($L1291&gt;S$5,MAX(0,S$3+ROUND((S$9*($L1291-S$5)),0)),IF($L1291&gt;S$4,S$3,ROUND($L1291*S$7,0)))</f>
        <v/>
      </c>
      <c r="I1291" s="448">
        <f>IF($L1291&gt;T$5,MAX(0,T$3+ROUND((T$9*($L1291-T$5)),0)),IF($L1291&gt;T$4,T$3,ROUND($L1291*T$7,0)))</f>
        <v/>
      </c>
      <c r="J1291" s="447">
        <f>IF($L1291&gt;U$5,MAX(0,U$3+ROUND((U$9*($L1291-U$5)),0)),IF($L1291&gt;U$4,U$3,ROUND($L1291*U$7,0)))</f>
        <v/>
      </c>
      <c r="L1291" s="448">
        <f>ROUND((A1291+B1291)/2,2)</f>
        <v/>
      </c>
    </row>
    <row r="1292" ht="13.5" customHeight="1" s="7635">
      <c r="A1292" s="448" t="n">
        <v>64150</v>
      </c>
      <c r="B1292" s="447" t="n">
        <v>64200</v>
      </c>
      <c r="C1292" s="1378">
        <f>IF($L1292&gt;N$5,MAX(0,N$3+ROUND((N$9*($L1292-N$5)),0)),IF($L1292&gt;N$4,N$3,ROUND($L1292*N$7,0)))</f>
        <v/>
      </c>
      <c r="D1292" s="448">
        <f>IF($L1292&gt;O$5,MAX(0,O$3+ROUND((O$9*($L1292-O$5)),0)),IF($L1292&gt;O$4,O$3,ROUND($L1292*O$7,0)))</f>
        <v/>
      </c>
      <c r="E1292" s="448">
        <f>IF($L1292&gt;P$5,MAX(0,P$3+ROUND((P$9*($L1292-P$5)),0)),IF($L1292&gt;P$4,P$3,ROUND($L1292*P$7,0)))</f>
        <v/>
      </c>
      <c r="F1292" s="447">
        <f>IF($L1292&gt;Q$5,MAX(0,Q$3+ROUND((Q$9*($L1292-Q$5)),0)),IF($L1292&gt;Q$4,Q$3,ROUND($L1292*Q$7,0)))</f>
        <v/>
      </c>
      <c r="G1292" s="1378">
        <f>IF($L1292&gt;R$5,MAX(0,R$3+ROUND((R$9*($L1292-R$5)),0)),IF($L1292&gt;R$4,R$3,ROUND($L1292*R$7,0)))</f>
        <v/>
      </c>
      <c r="H1292" s="448">
        <f>IF($L1292&gt;S$5,MAX(0,S$3+ROUND((S$9*($L1292-S$5)),0)),IF($L1292&gt;S$4,S$3,ROUND($L1292*S$7,0)))</f>
        <v/>
      </c>
      <c r="I1292" s="448">
        <f>IF($L1292&gt;T$5,MAX(0,T$3+ROUND((T$9*($L1292-T$5)),0)),IF($L1292&gt;T$4,T$3,ROUND($L1292*T$7,0)))</f>
        <v/>
      </c>
      <c r="J1292" s="447">
        <f>IF($L1292&gt;U$5,MAX(0,U$3+ROUND((U$9*($L1292-U$5)),0)),IF($L1292&gt;U$4,U$3,ROUND($L1292*U$7,0)))</f>
        <v/>
      </c>
      <c r="L1292" s="448">
        <f>ROUND((A1292+B1292)/2,2)</f>
        <v/>
      </c>
    </row>
    <row r="1293" ht="13.5" customHeight="1" s="7635">
      <c r="A1293" s="448" t="n">
        <v>64200</v>
      </c>
      <c r="B1293" s="447" t="n">
        <v>64250</v>
      </c>
      <c r="C1293" s="1378">
        <f>IF($L1293&gt;N$5,MAX(0,N$3+ROUND((N$9*($L1293-N$5)),0)),IF($L1293&gt;N$4,N$3,ROUND($L1293*N$7,0)))</f>
        <v/>
      </c>
      <c r="D1293" s="448">
        <f>IF($L1293&gt;O$5,MAX(0,O$3+ROUND((O$9*($L1293-O$5)),0)),IF($L1293&gt;O$4,O$3,ROUND($L1293*O$7,0)))</f>
        <v/>
      </c>
      <c r="E1293" s="448">
        <f>IF($L1293&gt;P$5,MAX(0,P$3+ROUND((P$9*($L1293-P$5)),0)),IF($L1293&gt;P$4,P$3,ROUND($L1293*P$7,0)))</f>
        <v/>
      </c>
      <c r="F1293" s="447">
        <f>IF($L1293&gt;Q$5,MAX(0,Q$3+ROUND((Q$9*($L1293-Q$5)),0)),IF($L1293&gt;Q$4,Q$3,ROUND($L1293*Q$7,0)))</f>
        <v/>
      </c>
      <c r="G1293" s="1378">
        <f>IF($L1293&gt;R$5,MAX(0,R$3+ROUND((R$9*($L1293-R$5)),0)),IF($L1293&gt;R$4,R$3,ROUND($L1293*R$7,0)))</f>
        <v/>
      </c>
      <c r="H1293" s="448">
        <f>IF($L1293&gt;S$5,MAX(0,S$3+ROUND((S$9*($L1293-S$5)),0)),IF($L1293&gt;S$4,S$3,ROUND($L1293*S$7,0)))</f>
        <v/>
      </c>
      <c r="I1293" s="448">
        <f>IF($L1293&gt;T$5,MAX(0,T$3+ROUND((T$9*($L1293-T$5)),0)),IF($L1293&gt;T$4,T$3,ROUND($L1293*T$7,0)))</f>
        <v/>
      </c>
      <c r="J1293" s="447">
        <f>IF($L1293&gt;U$5,MAX(0,U$3+ROUND((U$9*($L1293-U$5)),0)),IF($L1293&gt;U$4,U$3,ROUND($L1293*U$7,0)))</f>
        <v/>
      </c>
      <c r="L1293" s="448">
        <f>ROUND((A1293+B1293)/2,2)</f>
        <v/>
      </c>
    </row>
    <row r="1294" ht="13.5" customHeight="1" s="7635">
      <c r="A1294" s="448" t="n">
        <v>64250</v>
      </c>
      <c r="B1294" s="447" t="n">
        <v>64300</v>
      </c>
      <c r="C1294" s="1378">
        <f>IF($L1294&gt;N$5,MAX(0,N$3+ROUND((N$9*($L1294-N$5)),0)),IF($L1294&gt;N$4,N$3,ROUND($L1294*N$7,0)))</f>
        <v/>
      </c>
      <c r="D1294" s="448">
        <f>IF($L1294&gt;O$5,MAX(0,O$3+ROUND((O$9*($L1294-O$5)),0)),IF($L1294&gt;O$4,O$3,ROUND($L1294*O$7,0)))</f>
        <v/>
      </c>
      <c r="E1294" s="448">
        <f>IF($L1294&gt;P$5,MAX(0,P$3+ROUND((P$9*($L1294-P$5)),0)),IF($L1294&gt;P$4,P$3,ROUND($L1294*P$7,0)))</f>
        <v/>
      </c>
      <c r="F1294" s="447">
        <f>IF($L1294&gt;Q$5,MAX(0,Q$3+ROUND((Q$9*($L1294-Q$5)),0)),IF($L1294&gt;Q$4,Q$3,ROUND($L1294*Q$7,0)))</f>
        <v/>
      </c>
      <c r="G1294" s="1378">
        <f>IF($L1294&gt;R$5,MAX(0,R$3+ROUND((R$9*($L1294-R$5)),0)),IF($L1294&gt;R$4,R$3,ROUND($L1294*R$7,0)))</f>
        <v/>
      </c>
      <c r="H1294" s="448">
        <f>IF($L1294&gt;S$5,MAX(0,S$3+ROUND((S$9*($L1294-S$5)),0)),IF($L1294&gt;S$4,S$3,ROUND($L1294*S$7,0)))</f>
        <v/>
      </c>
      <c r="I1294" s="448">
        <f>IF($L1294&gt;T$5,MAX(0,T$3+ROUND((T$9*($L1294-T$5)),0)),IF($L1294&gt;T$4,T$3,ROUND($L1294*T$7,0)))</f>
        <v/>
      </c>
      <c r="J1294" s="447">
        <f>IF($L1294&gt;U$5,MAX(0,U$3+ROUND((U$9*($L1294-U$5)),0)),IF($L1294&gt;U$4,U$3,ROUND($L1294*U$7,0)))</f>
        <v/>
      </c>
      <c r="L1294" s="448">
        <f>ROUND((A1294+B1294)/2,2)</f>
        <v/>
      </c>
    </row>
    <row r="1295" ht="13.5" customHeight="1" s="7635">
      <c r="A1295" s="448" t="n">
        <v>64300</v>
      </c>
      <c r="B1295" s="447" t="n">
        <v>64350</v>
      </c>
      <c r="C1295" s="1378">
        <f>IF($L1295&gt;N$5,MAX(0,N$3+ROUND((N$9*($L1295-N$5)),0)),IF($L1295&gt;N$4,N$3,ROUND($L1295*N$7,0)))</f>
        <v/>
      </c>
      <c r="D1295" s="448">
        <f>IF($L1295&gt;O$5,MAX(0,O$3+ROUND((O$9*($L1295-O$5)),0)),IF($L1295&gt;O$4,O$3,ROUND($L1295*O$7,0)))</f>
        <v/>
      </c>
      <c r="E1295" s="448">
        <f>IF($L1295&gt;P$5,MAX(0,P$3+ROUND((P$9*($L1295-P$5)),0)),IF($L1295&gt;P$4,P$3,ROUND($L1295*P$7,0)))</f>
        <v/>
      </c>
      <c r="F1295" s="447">
        <f>IF($L1295&gt;Q$5,MAX(0,Q$3+ROUND((Q$9*($L1295-Q$5)),0)),IF($L1295&gt;Q$4,Q$3,ROUND($L1295*Q$7,0)))</f>
        <v/>
      </c>
      <c r="G1295" s="1378">
        <f>IF($L1295&gt;R$5,MAX(0,R$3+ROUND((R$9*($L1295-R$5)),0)),IF($L1295&gt;R$4,R$3,ROUND($L1295*R$7,0)))</f>
        <v/>
      </c>
      <c r="H1295" s="448">
        <f>IF($L1295&gt;S$5,MAX(0,S$3+ROUND((S$9*($L1295-S$5)),0)),IF($L1295&gt;S$4,S$3,ROUND($L1295*S$7,0)))</f>
        <v/>
      </c>
      <c r="I1295" s="448">
        <f>IF($L1295&gt;T$5,MAX(0,T$3+ROUND((T$9*($L1295-T$5)),0)),IF($L1295&gt;T$4,T$3,ROUND($L1295*T$7,0)))</f>
        <v/>
      </c>
      <c r="J1295" s="447">
        <f>IF($L1295&gt;U$5,MAX(0,U$3+ROUND((U$9*($L1295-U$5)),0)),IF($L1295&gt;U$4,U$3,ROUND($L1295*U$7,0)))</f>
        <v/>
      </c>
      <c r="L1295" s="448">
        <f>ROUND((A1295+B1295)/2,2)</f>
        <v/>
      </c>
    </row>
    <row r="1296" ht="14.25" customHeight="1" s="7635" thickBot="1">
      <c r="A1296" s="448" t="n">
        <v>64350</v>
      </c>
      <c r="B1296" s="447" t="n">
        <v>64400</v>
      </c>
      <c r="C1296" s="1378">
        <f>IF($L1296&gt;N$5,MAX(0,N$3+ROUND((N$9*($L1296-N$5)),0)),IF($L1296&gt;N$4,N$3,ROUND($L1296*N$7,0)))</f>
        <v/>
      </c>
      <c r="D1296" s="448">
        <f>IF($L1296&gt;O$5,MAX(0,O$3+ROUND((O$9*($L1296-O$5)),0)),IF($L1296&gt;O$4,O$3,ROUND($L1296*O$7,0)))</f>
        <v/>
      </c>
      <c r="E1296" s="448">
        <f>IF($L1296&gt;P$5,MAX(0,P$3+ROUND((P$9*($L1296-P$5)),0)),IF($L1296&gt;P$4,P$3,ROUND($L1296*P$7,0)))</f>
        <v/>
      </c>
      <c r="F1296" s="447">
        <f>IF($L1296&gt;Q$5,MAX(0,Q$3+ROUND((Q$9*($L1296-Q$5)),0)),IF($L1296&gt;Q$4,Q$3,ROUND($L1296*Q$7,0)))</f>
        <v/>
      </c>
      <c r="G1296" s="1378">
        <f>IF($L1296&gt;R$5,MAX(0,R$3+ROUND((R$9*($L1296-R$5)),0)),IF($L1296&gt;R$4,R$3,ROUND($L1296*R$7,0)))</f>
        <v/>
      </c>
      <c r="H1296" s="448">
        <f>IF($L1296&gt;S$5,MAX(0,S$3+ROUND((S$9*($L1296-S$5)),0)),IF($L1296&gt;S$4,S$3,ROUND($L1296*S$7,0)))</f>
        <v/>
      </c>
      <c r="I1296" s="448">
        <f>IF($L1296&gt;T$5,MAX(0,T$3+ROUND((T$9*($L1296-T$5)),0)),IF($L1296&gt;T$4,T$3,ROUND($L1296*T$7,0)))</f>
        <v/>
      </c>
      <c r="J1296" s="447">
        <f>IF($L1296&gt;U$5,MAX(0,U$3+ROUND((U$9*($L1296-U$5)),0)),IF($L1296&gt;U$4,U$3,ROUND($L1296*U$7,0)))</f>
        <v/>
      </c>
      <c r="L1296" s="448">
        <f>ROUND((A1296+B1296)/2,2)</f>
        <v/>
      </c>
    </row>
    <row r="1297" ht="13.5" customHeight="1" s="7635">
      <c r="A1297" s="6556" t="n">
        <v>64400</v>
      </c>
      <c r="B1297" s="6557" t="n">
        <v>64430</v>
      </c>
      <c r="C1297" s="1378">
        <f>IF($L1297&gt;N$5,MAX(0,N$3+ROUND((N$9*($L1297-N$5)),0)),IF($L1297&gt;N$4,N$3,ROUND($L1297*N$7,0)))</f>
        <v/>
      </c>
      <c r="D1297" s="448">
        <f>IF($L1297&gt;O$5,MAX(0,O$3+ROUND((O$9*($L1297-O$5)),0)),IF($L1297&gt;O$4,O$3,ROUND($L1297*O$7,0)))</f>
        <v/>
      </c>
      <c r="E1297" s="448">
        <f>IF($L1297&gt;P$5,MAX(0,P$3+ROUND((P$9*($L1297-P$5)),0)),IF($L1297&gt;P$4,P$3,ROUND($L1297*P$7,0)))</f>
        <v/>
      </c>
      <c r="F1297" s="447">
        <f>IF($L1297&gt;Q$5,MAX(0,Q$3+ROUND((Q$9*($L1297-Q$5)),0)),IF($L1297&gt;Q$4,Q$3,ROUND($L1297*Q$7,0)))</f>
        <v/>
      </c>
      <c r="G1297" s="1378">
        <f>IF($L1297&gt;R$5,MAX(0,R$3+ROUND((R$9*($L1297-R$5)),0)),IF($L1297&gt;R$4,R$3,ROUND($L1297*R$7,0)))</f>
        <v/>
      </c>
      <c r="H1297" s="448">
        <f>IF($L1297&gt;S$5,MAX(0,S$3+ROUND((S$9*($L1297-S$5)),0)),IF($L1297&gt;S$4,S$3,ROUND($L1297*S$7,0)))</f>
        <v/>
      </c>
      <c r="I1297" s="448">
        <f>IF($L1297&gt;T$5,MAX(0,T$3+ROUND((T$9*($L1297-T$5)),0)),IF($L1297&gt;T$4,T$3,ROUND($L1297*T$7,0)))</f>
        <v/>
      </c>
      <c r="J1297" s="447">
        <f>IF($L1297&gt;U$5,MAX(0,U$3+ROUND((U$9*($L1297-U$5)),0)),IF($L1297&gt;U$4,U$3,ROUND($L1297*U$7,0)))</f>
        <v/>
      </c>
      <c r="L1297" s="448">
        <f>ROUND((A1297+B1297)/2,2)</f>
        <v/>
      </c>
    </row>
    <row r="1298" ht="14.25" customHeight="1" s="7635" thickBot="1">
      <c r="A1298" s="6558" t="n">
        <v>64430</v>
      </c>
      <c r="B1298" s="6559" t="n">
        <v>64450</v>
      </c>
      <c r="C1298" s="1378">
        <f>IF($L1298&gt;N$5,MAX(0,N$3+ROUND((N$9*($L1298-N$5)),0)),IF($L1298&gt;N$4,N$3,ROUND($L1298*N$7,0)))</f>
        <v/>
      </c>
      <c r="D1298" s="448">
        <f>IF($L1298&gt;O$5,MAX(0,O$3+ROUND((O$9*($L1298-O$5)),0)),IF($L1298&gt;O$4,O$3,ROUND($L1298*O$7,0)))</f>
        <v/>
      </c>
      <c r="E1298" s="448">
        <f>IF($L1298&gt;P$5,MAX(0,P$3+ROUND((P$9*($L1298-P$5)),0)),IF($L1298&gt;P$4,P$3,ROUND($L1298*P$7,0)))</f>
        <v/>
      </c>
      <c r="F1298" s="447">
        <f>IF($L1298&gt;Q$5,MAX(0,Q$3+ROUND((Q$9*($L1298-Q$5)),0)),IF($L1298&gt;Q$4,Q$3,ROUND($L1298*Q$7,0)))</f>
        <v/>
      </c>
      <c r="G1298" s="1378">
        <f>IF($L1298&gt;R$5,MAX(0,R$3+ROUND((R$9*($L1298-R$5)),0)),IF($L1298&gt;R$4,R$3,ROUND($L1298*R$7,0)))</f>
        <v/>
      </c>
      <c r="H1298" s="448">
        <f>IF($L1298&gt;S$5,MAX(0,S$3+ROUND((S$9*($L1298-S$5)),0)),IF($L1298&gt;S$4,S$3,ROUND($L1298*S$7,0)))</f>
        <v/>
      </c>
      <c r="I1298" s="448">
        <f>IF($L1298&gt;T$5,MAX(0,T$3+ROUND((T$9*($L1298-T$5)),0)),IF($L1298&gt;T$4,T$3,ROUND($L1298*T$7,0)))</f>
        <v/>
      </c>
      <c r="J1298" s="6561" t="n">
        <v>897</v>
      </c>
      <c r="L1298" s="448">
        <f>ROUND((A1298+B1298)/2,2)</f>
        <v/>
      </c>
    </row>
    <row r="1299" ht="13.5" customHeight="1" s="7635">
      <c r="A1299" s="448" t="n">
        <v>64450</v>
      </c>
      <c r="B1299" s="447" t="n">
        <v>64500</v>
      </c>
      <c r="C1299" s="1378">
        <f>IF($L1299&gt;N$5,MAX(0,N$3+ROUND((N$9*($L1299-N$5)),0)),IF($L1299&gt;N$4,N$3,ROUND($L1299*N$7,0)))</f>
        <v/>
      </c>
      <c r="D1299" s="448">
        <f>IF($L1299&gt;O$5,MAX(0,O$3+ROUND((O$9*($L1299-O$5)),0)),IF($L1299&gt;O$4,O$3,ROUND($L1299*O$7,0)))</f>
        <v/>
      </c>
      <c r="E1299" s="448">
        <f>IF($L1299&gt;P$5,MAX(0,P$3+ROUND((P$9*($L1299-P$5)),0)),IF($L1299&gt;P$4,P$3,ROUND($L1299*P$7,0)))</f>
        <v/>
      </c>
      <c r="F1299" s="447">
        <f>IF($L1299&gt;Q$5,MAX(0,Q$3+ROUND((Q$9*($L1299-Q$5)),0)),IF($L1299&gt;Q$4,Q$3,ROUND($L1299*Q$7,0)))</f>
        <v/>
      </c>
      <c r="G1299" s="1378">
        <f>IF($L1299&gt;R$5,MAX(0,R$3+ROUND((R$9*($L1299-R$5)),0)),IF($L1299&gt;R$4,R$3,ROUND($L1299*R$7,0)))</f>
        <v/>
      </c>
      <c r="H1299" s="448">
        <f>IF($L1299&gt;S$5,MAX(0,S$3+ROUND((S$9*($L1299-S$5)),0)),IF($L1299&gt;S$4,S$3,ROUND($L1299*S$7,0)))</f>
        <v/>
      </c>
      <c r="I1299" s="448">
        <f>IF($L1299&gt;T$5,MAX(0,T$3+ROUND((T$9*($L1299-T$5)),0)),IF($L1299&gt;T$4,T$3,ROUND($L1299*T$7,0)))</f>
        <v/>
      </c>
      <c r="J1299" s="447">
        <f>IF($L1299&gt;U$5,MAX(0,U$3+ROUND((U$9*($L1299-U$5)),0)),IF($L1299&gt;U$4,U$3,ROUND($L1299*U$7,0)))</f>
        <v/>
      </c>
      <c r="L1299" s="448">
        <f>ROUND((A1299+B1299)/2,2)</f>
        <v/>
      </c>
    </row>
    <row r="1300" ht="13.5" customHeight="1" s="7635">
      <c r="A1300" s="448" t="n">
        <v>64500</v>
      </c>
      <c r="B1300" s="447" t="n">
        <v>64550</v>
      </c>
      <c r="C1300" s="1378">
        <f>IF($L1300&gt;N$5,MAX(0,N$3+ROUND((N$9*($L1300-N$5)),0)),IF($L1300&gt;N$4,N$3,ROUND($L1300*N$7,0)))</f>
        <v/>
      </c>
      <c r="D1300" s="448">
        <f>IF($L1300&gt;O$5,MAX(0,O$3+ROUND((O$9*($L1300-O$5)),0)),IF($L1300&gt;O$4,O$3,ROUND($L1300*O$7,0)))</f>
        <v/>
      </c>
      <c r="E1300" s="448">
        <f>IF($L1300&gt;P$5,MAX(0,P$3+ROUND((P$9*($L1300-P$5)),0)),IF($L1300&gt;P$4,P$3,ROUND($L1300*P$7,0)))</f>
        <v/>
      </c>
      <c r="F1300" s="447">
        <f>IF($L1300&gt;Q$5,MAX(0,Q$3+ROUND((Q$9*($L1300-Q$5)),0)),IF($L1300&gt;Q$4,Q$3,ROUND($L1300*Q$7,0)))</f>
        <v/>
      </c>
      <c r="G1300" s="1378">
        <f>IF($L1300&gt;R$5,MAX(0,R$3+ROUND((R$9*($L1300-R$5)),0)),IF($L1300&gt;R$4,R$3,ROUND($L1300*R$7,0)))</f>
        <v/>
      </c>
      <c r="H1300" s="448">
        <f>IF($L1300&gt;S$5,MAX(0,S$3+ROUND((S$9*($L1300-S$5)),0)),IF($L1300&gt;S$4,S$3,ROUND($L1300*S$7,0)))</f>
        <v/>
      </c>
      <c r="I1300" s="448">
        <f>IF($L1300&gt;T$5,MAX(0,T$3+ROUND((T$9*($L1300-T$5)),0)),IF($L1300&gt;T$4,T$3,ROUND($L1300*T$7,0)))</f>
        <v/>
      </c>
      <c r="J1300" s="447">
        <f>IF($L1300&gt;U$5,MAX(0,U$3+ROUND((U$9*($L1300-U$5)),0)),IF($L1300&gt;U$4,U$3,ROUND($L1300*U$7,0)))</f>
        <v/>
      </c>
      <c r="L1300" s="448">
        <f>ROUND((A1300+B1300)/2,2)</f>
        <v/>
      </c>
    </row>
    <row r="1301" ht="13.5" customHeight="1" s="7635">
      <c r="A1301" s="448" t="n">
        <v>64550</v>
      </c>
      <c r="B1301" s="447" t="n">
        <v>64600</v>
      </c>
      <c r="C1301" s="1378">
        <f>IF($L1301&gt;N$5,MAX(0,N$3+ROUND((N$9*($L1301-N$5)),0)),IF($L1301&gt;N$4,N$3,ROUND($L1301*N$7,0)))</f>
        <v/>
      </c>
      <c r="D1301" s="448">
        <f>IF($L1301&gt;O$5,MAX(0,O$3+ROUND((O$9*($L1301-O$5)),0)),IF($L1301&gt;O$4,O$3,ROUND($L1301*O$7,0)))</f>
        <v/>
      </c>
      <c r="E1301" s="448">
        <f>IF($L1301&gt;P$5,MAX(0,P$3+ROUND((P$9*($L1301-P$5)),0)),IF($L1301&gt;P$4,P$3,ROUND($L1301*P$7,0)))</f>
        <v/>
      </c>
      <c r="F1301" s="447">
        <f>IF($L1301&gt;Q$5,MAX(0,Q$3+ROUND((Q$9*($L1301-Q$5)),0)),IF($L1301&gt;Q$4,Q$3,ROUND($L1301*Q$7,0)))</f>
        <v/>
      </c>
      <c r="G1301" s="1378">
        <f>IF($L1301&gt;R$5,MAX(0,R$3+ROUND((R$9*($L1301-R$5)),0)),IF($L1301&gt;R$4,R$3,ROUND($L1301*R$7,0)))</f>
        <v/>
      </c>
      <c r="H1301" s="448">
        <f>IF($L1301&gt;S$5,MAX(0,S$3+ROUND((S$9*($L1301-S$5)),0)),IF($L1301&gt;S$4,S$3,ROUND($L1301*S$7,0)))</f>
        <v/>
      </c>
      <c r="I1301" s="448">
        <f>IF($L1301&gt;T$5,MAX(0,T$3+ROUND((T$9*($L1301-T$5)),0)),IF($L1301&gt;T$4,T$3,ROUND($L1301*T$7,0)))</f>
        <v/>
      </c>
      <c r="J1301" s="447">
        <f>IF($L1301&gt;U$5,MAX(0,U$3+ROUND((U$9*($L1301-U$5)),0)),IF($L1301&gt;U$4,U$3,ROUND($L1301*U$7,0)))</f>
        <v/>
      </c>
      <c r="L1301" s="448">
        <f>ROUND((A1301+B1301)/2,2)</f>
        <v/>
      </c>
    </row>
    <row r="1302" ht="13.5" customHeight="1" s="7635">
      <c r="A1302" s="448" t="n">
        <v>64600</v>
      </c>
      <c r="B1302" s="447" t="n">
        <v>64650</v>
      </c>
      <c r="C1302" s="1378">
        <f>IF($L1302&gt;N$5,MAX(0,N$3+ROUND((N$9*($L1302-N$5)),0)),IF($L1302&gt;N$4,N$3,ROUND($L1302*N$7,0)))</f>
        <v/>
      </c>
      <c r="D1302" s="448">
        <f>IF($L1302&gt;O$5,MAX(0,O$3+ROUND((O$9*($L1302-O$5)),0)),IF($L1302&gt;O$4,O$3,ROUND($L1302*O$7,0)))</f>
        <v/>
      </c>
      <c r="E1302" s="448">
        <f>IF($L1302&gt;P$5,MAX(0,P$3+ROUND((P$9*($L1302-P$5)),0)),IF($L1302&gt;P$4,P$3,ROUND($L1302*P$7,0)))</f>
        <v/>
      </c>
      <c r="F1302" s="447">
        <f>IF($L1302&gt;Q$5,MAX(0,Q$3+ROUND((Q$9*($L1302-Q$5)),0)),IF($L1302&gt;Q$4,Q$3,ROUND($L1302*Q$7,0)))</f>
        <v/>
      </c>
      <c r="G1302" s="1378">
        <f>IF($L1302&gt;R$5,MAX(0,R$3+ROUND((R$9*($L1302-R$5)),0)),IF($L1302&gt;R$4,R$3,ROUND($L1302*R$7,0)))</f>
        <v/>
      </c>
      <c r="H1302" s="448">
        <f>IF($L1302&gt;S$5,MAX(0,S$3+ROUND((S$9*($L1302-S$5)),0)),IF($L1302&gt;S$4,S$3,ROUND($L1302*S$7,0)))</f>
        <v/>
      </c>
      <c r="I1302" s="448">
        <f>IF($L1302&gt;T$5,MAX(0,T$3+ROUND((T$9*($L1302-T$5)),0)),IF($L1302&gt;T$4,T$3,ROUND($L1302*T$7,0)))</f>
        <v/>
      </c>
      <c r="J1302" s="447">
        <f>IF($L1302&gt;U$5,MAX(0,U$3+ROUND((U$9*($L1302-U$5)),0)),IF($L1302&gt;U$4,U$3,ROUND($L1302*U$7,0)))</f>
        <v/>
      </c>
      <c r="L1302" s="448">
        <f>ROUND((A1302+B1302)/2,2)</f>
        <v/>
      </c>
    </row>
    <row r="1303" ht="13.5" customHeight="1" s="7635">
      <c r="A1303" s="448" t="n">
        <v>64650</v>
      </c>
      <c r="B1303" s="447" t="n">
        <v>64700</v>
      </c>
      <c r="C1303" s="1378">
        <f>IF($L1303&gt;N$5,MAX(0,N$3+ROUND((N$9*($L1303-N$5)),0)),IF($L1303&gt;N$4,N$3,ROUND($L1303*N$7,0)))</f>
        <v/>
      </c>
      <c r="D1303" s="448">
        <f>IF($L1303&gt;O$5,MAX(0,O$3+ROUND((O$9*($L1303-O$5)),0)),IF($L1303&gt;O$4,O$3,ROUND($L1303*O$7,0)))</f>
        <v/>
      </c>
      <c r="E1303" s="448">
        <f>IF($L1303&gt;P$5,MAX(0,P$3+ROUND((P$9*($L1303-P$5)),0)),IF($L1303&gt;P$4,P$3,ROUND($L1303*P$7,0)))</f>
        <v/>
      </c>
      <c r="F1303" s="447">
        <f>IF($L1303&gt;Q$5,MAX(0,Q$3+ROUND((Q$9*($L1303-Q$5)),0)),IF($L1303&gt;Q$4,Q$3,ROUND($L1303*Q$7,0)))</f>
        <v/>
      </c>
      <c r="G1303" s="1378">
        <f>IF($L1303&gt;R$5,MAX(0,R$3+ROUND((R$9*($L1303-R$5)),0)),IF($L1303&gt;R$4,R$3,ROUND($L1303*R$7,0)))</f>
        <v/>
      </c>
      <c r="H1303" s="448">
        <f>IF($L1303&gt;S$5,MAX(0,S$3+ROUND((S$9*($L1303-S$5)),0)),IF($L1303&gt;S$4,S$3,ROUND($L1303*S$7,0)))</f>
        <v/>
      </c>
      <c r="I1303" s="448">
        <f>IF($L1303&gt;T$5,MAX(0,T$3+ROUND((T$9*($L1303-T$5)),0)),IF($L1303&gt;T$4,T$3,ROUND($L1303*T$7,0)))</f>
        <v/>
      </c>
      <c r="J1303" s="447">
        <f>IF($L1303&gt;U$5,MAX(0,U$3+ROUND((U$9*($L1303-U$5)),0)),IF($L1303&gt;U$4,U$3,ROUND($L1303*U$7,0)))</f>
        <v/>
      </c>
      <c r="L1303" s="448">
        <f>ROUND((A1303+B1303)/2,2)</f>
        <v/>
      </c>
    </row>
    <row r="1304" ht="13.5" customHeight="1" s="7635">
      <c r="A1304" s="448" t="n">
        <v>64700</v>
      </c>
      <c r="B1304" s="447" t="n">
        <v>64750</v>
      </c>
      <c r="C1304" s="1378">
        <f>IF($L1304&gt;N$5,MAX(0,N$3+ROUND((N$9*($L1304-N$5)),0)),IF($L1304&gt;N$4,N$3,ROUND($L1304*N$7,0)))</f>
        <v/>
      </c>
      <c r="D1304" s="448">
        <f>IF($L1304&gt;O$5,MAX(0,O$3+ROUND((O$9*($L1304-O$5)),0)),IF($L1304&gt;O$4,O$3,ROUND($L1304*O$7,0)))</f>
        <v/>
      </c>
      <c r="E1304" s="448">
        <f>IF($L1304&gt;P$5,MAX(0,P$3+ROUND((P$9*($L1304-P$5)),0)),IF($L1304&gt;P$4,P$3,ROUND($L1304*P$7,0)))</f>
        <v/>
      </c>
      <c r="F1304" s="447">
        <f>IF($L1304&gt;Q$5,MAX(0,Q$3+ROUND((Q$9*($L1304-Q$5)),0)),IF($L1304&gt;Q$4,Q$3,ROUND($L1304*Q$7,0)))</f>
        <v/>
      </c>
      <c r="G1304" s="1378">
        <f>IF($L1304&gt;R$5,MAX(0,R$3+ROUND((R$9*($L1304-R$5)),0)),IF($L1304&gt;R$4,R$3,ROUND($L1304*R$7,0)))</f>
        <v/>
      </c>
      <c r="H1304" s="448">
        <f>IF($L1304&gt;S$5,MAX(0,S$3+ROUND((S$9*($L1304-S$5)),0)),IF($L1304&gt;S$4,S$3,ROUND($L1304*S$7,0)))</f>
        <v/>
      </c>
      <c r="I1304" s="448">
        <f>IF($L1304&gt;T$5,MAX(0,T$3+ROUND((T$9*($L1304-T$5)),0)),IF($L1304&gt;T$4,T$3,ROUND($L1304*T$7,0)))</f>
        <v/>
      </c>
      <c r="J1304" s="447">
        <f>IF($L1304&gt;U$5,MAX(0,U$3+ROUND((U$9*($L1304-U$5)),0)),IF($L1304&gt;U$4,U$3,ROUND($L1304*U$7,0)))</f>
        <v/>
      </c>
      <c r="L1304" s="448">
        <f>ROUND((A1304+B1304)/2,2)</f>
        <v/>
      </c>
    </row>
    <row r="1305" ht="13.5" customHeight="1" s="7635">
      <c r="A1305" s="448" t="n">
        <v>64750</v>
      </c>
      <c r="B1305" s="447" t="n">
        <v>64800</v>
      </c>
      <c r="C1305" s="1378">
        <f>IF($L1305&gt;N$5,MAX(0,N$3+ROUND((N$9*($L1305-N$5)),0)),IF($L1305&gt;N$4,N$3,ROUND($L1305*N$7,0)))</f>
        <v/>
      </c>
      <c r="D1305" s="448">
        <f>IF($L1305&gt;O$5,MAX(0,O$3+ROUND((O$9*($L1305-O$5)),0)),IF($L1305&gt;O$4,O$3,ROUND($L1305*O$7,0)))</f>
        <v/>
      </c>
      <c r="E1305" s="448">
        <f>IF($L1305&gt;P$5,MAX(0,P$3+ROUND((P$9*($L1305-P$5)),0)),IF($L1305&gt;P$4,P$3,ROUND($L1305*P$7,0)))</f>
        <v/>
      </c>
      <c r="F1305" s="447">
        <f>IF($L1305&gt;Q$5,MAX(0,Q$3+ROUND((Q$9*($L1305-Q$5)),0)),IF($L1305&gt;Q$4,Q$3,ROUND($L1305*Q$7,0)))</f>
        <v/>
      </c>
      <c r="G1305" s="1378">
        <f>IF($L1305&gt;R$5,MAX(0,R$3+ROUND((R$9*($L1305-R$5)),0)),IF($L1305&gt;R$4,R$3,ROUND($L1305*R$7,0)))</f>
        <v/>
      </c>
      <c r="H1305" s="448">
        <f>IF($L1305&gt;S$5,MAX(0,S$3+ROUND((S$9*($L1305-S$5)),0)),IF($L1305&gt;S$4,S$3,ROUND($L1305*S$7,0)))</f>
        <v/>
      </c>
      <c r="I1305" s="448">
        <f>IF($L1305&gt;T$5,MAX(0,T$3+ROUND((T$9*($L1305-T$5)),0)),IF($L1305&gt;T$4,T$3,ROUND($L1305*T$7,0)))</f>
        <v/>
      </c>
      <c r="J1305" s="447">
        <f>IF($L1305&gt;U$5,MAX(0,U$3+ROUND((U$9*($L1305-U$5)),0)),IF($L1305&gt;U$4,U$3,ROUND($L1305*U$7,0)))</f>
        <v/>
      </c>
      <c r="L1305" s="448">
        <f>ROUND((A1305+B1305)/2,2)</f>
        <v/>
      </c>
    </row>
    <row r="1306" ht="13.5" customHeight="1" s="7635">
      <c r="A1306" s="448" t="n">
        <v>64800</v>
      </c>
      <c r="B1306" s="447" t="n">
        <v>64850</v>
      </c>
      <c r="C1306" s="1378">
        <f>IF($L1306&gt;N$5,MAX(0,N$3+ROUND((N$9*($L1306-N$5)),0)),IF($L1306&gt;N$4,N$3,ROUND($L1306*N$7,0)))</f>
        <v/>
      </c>
      <c r="D1306" s="448">
        <f>IF($L1306&gt;O$5,MAX(0,O$3+ROUND((O$9*($L1306-O$5)),0)),IF($L1306&gt;O$4,O$3,ROUND($L1306*O$7,0)))</f>
        <v/>
      </c>
      <c r="E1306" s="448">
        <f>IF($L1306&gt;P$5,MAX(0,P$3+ROUND((P$9*($L1306-P$5)),0)),IF($L1306&gt;P$4,P$3,ROUND($L1306*P$7,0)))</f>
        <v/>
      </c>
      <c r="F1306" s="447">
        <f>IF($L1306&gt;Q$5,MAX(0,Q$3+ROUND((Q$9*($L1306-Q$5)),0)),IF($L1306&gt;Q$4,Q$3,ROUND($L1306*Q$7,0)))</f>
        <v/>
      </c>
      <c r="G1306" s="1378">
        <f>IF($L1306&gt;R$5,MAX(0,R$3+ROUND((R$9*($L1306-R$5)),0)),IF($L1306&gt;R$4,R$3,ROUND($L1306*R$7,0)))</f>
        <v/>
      </c>
      <c r="H1306" s="448">
        <f>IF($L1306&gt;S$5,MAX(0,S$3+ROUND((S$9*($L1306-S$5)),0)),IF($L1306&gt;S$4,S$3,ROUND($L1306*S$7,0)))</f>
        <v/>
      </c>
      <c r="I1306" s="448">
        <f>IF($L1306&gt;T$5,MAX(0,T$3+ROUND((T$9*($L1306-T$5)),0)),IF($L1306&gt;T$4,T$3,ROUND($L1306*T$7,0)))</f>
        <v/>
      </c>
      <c r="J1306" s="447">
        <f>IF($L1306&gt;U$5,MAX(0,U$3+ROUND((U$9*($L1306-U$5)),0)),IF($L1306&gt;U$4,U$3,ROUND($L1306*U$7,0)))</f>
        <v/>
      </c>
      <c r="L1306" s="448">
        <f>ROUND((A1306+B1306)/2,2)</f>
        <v/>
      </c>
    </row>
    <row r="1307" ht="13.5" customHeight="1" s="7635">
      <c r="A1307" s="448" t="n">
        <v>64850</v>
      </c>
      <c r="B1307" s="447" t="n">
        <v>64900</v>
      </c>
      <c r="C1307" s="1378">
        <f>IF($L1307&gt;N$5,MAX(0,N$3+ROUND((N$9*($L1307-N$5)),0)),IF($L1307&gt;N$4,N$3,ROUND($L1307*N$7,0)))</f>
        <v/>
      </c>
      <c r="D1307" s="448">
        <f>IF($L1307&gt;O$5,MAX(0,O$3+ROUND((O$9*($L1307-O$5)),0)),IF($L1307&gt;O$4,O$3,ROUND($L1307*O$7,0)))</f>
        <v/>
      </c>
      <c r="E1307" s="448">
        <f>IF($L1307&gt;P$5,MAX(0,P$3+ROUND((P$9*($L1307-P$5)),0)),IF($L1307&gt;P$4,P$3,ROUND($L1307*P$7,0)))</f>
        <v/>
      </c>
      <c r="F1307" s="447">
        <f>IF($L1307&gt;Q$5,MAX(0,Q$3+ROUND((Q$9*($L1307-Q$5)),0)),IF($L1307&gt;Q$4,Q$3,ROUND($L1307*Q$7,0)))</f>
        <v/>
      </c>
      <c r="G1307" s="1378">
        <f>IF($L1307&gt;R$5,MAX(0,R$3+ROUND((R$9*($L1307-R$5)),0)),IF($L1307&gt;R$4,R$3,ROUND($L1307*R$7,0)))</f>
        <v/>
      </c>
      <c r="H1307" s="448">
        <f>IF($L1307&gt;S$5,MAX(0,S$3+ROUND((S$9*($L1307-S$5)),0)),IF($L1307&gt;S$4,S$3,ROUND($L1307*S$7,0)))</f>
        <v/>
      </c>
      <c r="I1307" s="448">
        <f>IF($L1307&gt;T$5,MAX(0,T$3+ROUND((T$9*($L1307-T$5)),0)),IF($L1307&gt;T$4,T$3,ROUND($L1307*T$7,0)))</f>
        <v/>
      </c>
      <c r="J1307" s="447">
        <f>IF($L1307&gt;U$5,MAX(0,U$3+ROUND((U$9*($L1307-U$5)),0)),IF($L1307&gt;U$4,U$3,ROUND($L1307*U$7,0)))</f>
        <v/>
      </c>
      <c r="L1307" s="448">
        <f>ROUND((A1307+B1307)/2,2)</f>
        <v/>
      </c>
    </row>
    <row r="1308" ht="13.5" customHeight="1" s="7635">
      <c r="A1308" s="448" t="n">
        <v>64900</v>
      </c>
      <c r="B1308" s="447" t="n">
        <v>64950</v>
      </c>
      <c r="C1308" s="1378">
        <f>IF($L1308&gt;N$5,MAX(0,N$3+ROUND((N$9*($L1308-N$5)),0)),IF($L1308&gt;N$4,N$3,ROUND($L1308*N$7,0)))</f>
        <v/>
      </c>
      <c r="D1308" s="448">
        <f>IF($L1308&gt;O$5,MAX(0,O$3+ROUND((O$9*($L1308-O$5)),0)),IF($L1308&gt;O$4,O$3,ROUND($L1308*O$7,0)))</f>
        <v/>
      </c>
      <c r="E1308" s="448">
        <f>IF($L1308&gt;P$5,MAX(0,P$3+ROUND((P$9*($L1308-P$5)),0)),IF($L1308&gt;P$4,P$3,ROUND($L1308*P$7,0)))</f>
        <v/>
      </c>
      <c r="F1308" s="447">
        <f>IF($L1308&gt;Q$5,MAX(0,Q$3+ROUND((Q$9*($L1308-Q$5)),0)),IF($L1308&gt;Q$4,Q$3,ROUND($L1308*Q$7,0)))</f>
        <v/>
      </c>
      <c r="G1308" s="1378">
        <f>IF($L1308&gt;R$5,MAX(0,R$3+ROUND((R$9*($L1308-R$5)),0)),IF($L1308&gt;R$4,R$3,ROUND($L1308*R$7,0)))</f>
        <v/>
      </c>
      <c r="H1308" s="448">
        <f>IF($L1308&gt;S$5,MAX(0,S$3+ROUND((S$9*($L1308-S$5)),0)),IF($L1308&gt;S$4,S$3,ROUND($L1308*S$7,0)))</f>
        <v/>
      </c>
      <c r="I1308" s="448">
        <f>IF($L1308&gt;T$5,MAX(0,T$3+ROUND((T$9*($L1308-T$5)),0)),IF($L1308&gt;T$4,T$3,ROUND($L1308*T$7,0)))</f>
        <v/>
      </c>
      <c r="J1308" s="447">
        <f>IF($L1308&gt;U$5,MAX(0,U$3+ROUND((U$9*($L1308-U$5)),0)),IF($L1308&gt;U$4,U$3,ROUND($L1308*U$7,0)))</f>
        <v/>
      </c>
      <c r="L1308" s="448">
        <f>ROUND((A1308+B1308)/2,2)</f>
        <v/>
      </c>
    </row>
    <row r="1309" ht="13.5" customHeight="1" s="7635">
      <c r="A1309" s="448" t="n">
        <v>64950</v>
      </c>
      <c r="B1309" s="447" t="n">
        <v>65000</v>
      </c>
      <c r="C1309" s="1378">
        <f>IF($L1309&gt;N$5,MAX(0,N$3+ROUND((N$9*($L1309-N$5)),0)),IF($L1309&gt;N$4,N$3,ROUND($L1309*N$7,0)))</f>
        <v/>
      </c>
      <c r="D1309" s="448">
        <f>IF($L1309&gt;O$5,MAX(0,O$3+ROUND((O$9*($L1309-O$5)),0)),IF($L1309&gt;O$4,O$3,ROUND($L1309*O$7,0)))</f>
        <v/>
      </c>
      <c r="E1309" s="448">
        <f>IF($L1309&gt;P$5,MAX(0,P$3+ROUND((P$9*($L1309-P$5)),0)),IF($L1309&gt;P$4,P$3,ROUND($L1309*P$7,0)))</f>
        <v/>
      </c>
      <c r="F1309" s="447">
        <f>IF($L1309&gt;Q$5,MAX(0,Q$3+ROUND((Q$9*($L1309-Q$5)),0)),IF($L1309&gt;Q$4,Q$3,ROUND($L1309*Q$7,0)))</f>
        <v/>
      </c>
      <c r="G1309" s="1378">
        <f>IF($L1309&gt;R$5,MAX(0,R$3+ROUND((R$9*($L1309-R$5)),0)),IF($L1309&gt;R$4,R$3,ROUND($L1309*R$7,0)))</f>
        <v/>
      </c>
      <c r="H1309" s="448">
        <f>IF($L1309&gt;S$5,MAX(0,S$3+ROUND((S$9*($L1309-S$5)),0)),IF($L1309&gt;S$4,S$3,ROUND($L1309*S$7,0)))</f>
        <v/>
      </c>
      <c r="I1309" s="448">
        <f>IF($L1309&gt;T$5,MAX(0,T$3+ROUND((T$9*($L1309-T$5)),0)),IF($L1309&gt;T$4,T$3,ROUND($L1309*T$7,0)))</f>
        <v/>
      </c>
      <c r="J1309" s="447">
        <f>IF($L1309&gt;U$5,MAX(0,U$3+ROUND((U$9*($L1309-U$5)),0)),IF($L1309&gt;U$4,U$3,ROUND($L1309*U$7,0)))</f>
        <v/>
      </c>
      <c r="L1309" s="448">
        <f>ROUND((A1309+B1309)/2,2)</f>
        <v/>
      </c>
    </row>
    <row r="1310" ht="13.5" customHeight="1" s="7635">
      <c r="A1310" s="448" t="n">
        <v>65000</v>
      </c>
      <c r="B1310" s="447" t="n">
        <v>65050</v>
      </c>
      <c r="C1310" s="1378">
        <f>IF($L1310&gt;N$5,MAX(0,N$3+ROUND((N$9*($L1310-N$5)),0)),IF($L1310&gt;N$4,N$3,ROUND($L1310*N$7,0)))</f>
        <v/>
      </c>
      <c r="D1310" s="448">
        <f>IF($L1310&gt;O$5,MAX(0,O$3+ROUND((O$9*($L1310-O$5)),0)),IF($L1310&gt;O$4,O$3,ROUND($L1310*O$7,0)))</f>
        <v/>
      </c>
      <c r="E1310" s="448">
        <f>IF($L1310&gt;P$5,MAX(0,P$3+ROUND((P$9*($L1310-P$5)),0)),IF($L1310&gt;P$4,P$3,ROUND($L1310*P$7,0)))</f>
        <v/>
      </c>
      <c r="F1310" s="447">
        <f>IF($L1310&gt;Q$5,MAX(0,Q$3+ROUND((Q$9*($L1310-Q$5)),0)),IF($L1310&gt;Q$4,Q$3,ROUND($L1310*Q$7,0)))</f>
        <v/>
      </c>
      <c r="G1310" s="1378">
        <f>IF($L1310&gt;R$5,MAX(0,R$3+ROUND((R$9*($L1310-R$5)),0)),IF($L1310&gt;R$4,R$3,ROUND($L1310*R$7,0)))</f>
        <v/>
      </c>
      <c r="H1310" s="448">
        <f>IF($L1310&gt;S$5,MAX(0,S$3+ROUND((S$9*($L1310-S$5)),0)),IF($L1310&gt;S$4,S$3,ROUND($L1310*S$7,0)))</f>
        <v/>
      </c>
      <c r="I1310" s="448">
        <f>IF($L1310&gt;T$5,MAX(0,T$3+ROUND((T$9*($L1310-T$5)),0)),IF($L1310&gt;T$4,T$3,ROUND($L1310*T$7,0)))</f>
        <v/>
      </c>
      <c r="J1310" s="447">
        <f>IF($L1310&gt;U$5,MAX(0,U$3+ROUND((U$9*($L1310-U$5)),0)),IF($L1310&gt;U$4,U$3,ROUND($L1310*U$7,0)))</f>
        <v/>
      </c>
      <c r="L1310" s="448">
        <f>ROUND((A1310+B1310)/2,2)</f>
        <v/>
      </c>
    </row>
    <row r="1311" ht="13.5" customHeight="1" s="7635">
      <c r="A1311" s="448" t="n">
        <v>65050</v>
      </c>
      <c r="B1311" s="447" t="n">
        <v>65100</v>
      </c>
      <c r="C1311" s="1378">
        <f>IF($L1311&gt;N$5,MAX(0,N$3+ROUND((N$9*($L1311-N$5)),0)),IF($L1311&gt;N$4,N$3,ROUND($L1311*N$7,0)))</f>
        <v/>
      </c>
      <c r="D1311" s="448">
        <f>IF($L1311&gt;O$5,MAX(0,O$3+ROUND((O$9*($L1311-O$5)),0)),IF($L1311&gt;O$4,O$3,ROUND($L1311*O$7,0)))</f>
        <v/>
      </c>
      <c r="E1311" s="448">
        <f>IF($L1311&gt;P$5,MAX(0,P$3+ROUND((P$9*($L1311-P$5)),0)),IF($L1311&gt;P$4,P$3,ROUND($L1311*P$7,0)))</f>
        <v/>
      </c>
      <c r="F1311" s="447">
        <f>IF($L1311&gt;Q$5,MAX(0,Q$3+ROUND((Q$9*($L1311-Q$5)),0)),IF($L1311&gt;Q$4,Q$3,ROUND($L1311*Q$7,0)))</f>
        <v/>
      </c>
      <c r="G1311" s="1378">
        <f>IF($L1311&gt;R$5,MAX(0,R$3+ROUND((R$9*($L1311-R$5)),0)),IF($L1311&gt;R$4,R$3,ROUND($L1311*R$7,0)))</f>
        <v/>
      </c>
      <c r="H1311" s="448">
        <f>IF($L1311&gt;S$5,MAX(0,S$3+ROUND((S$9*($L1311-S$5)),0)),IF($L1311&gt;S$4,S$3,ROUND($L1311*S$7,0)))</f>
        <v/>
      </c>
      <c r="I1311" s="448">
        <f>IF($L1311&gt;T$5,MAX(0,T$3+ROUND((T$9*($L1311-T$5)),0)),IF($L1311&gt;T$4,T$3,ROUND($L1311*T$7,0)))</f>
        <v/>
      </c>
      <c r="J1311" s="447">
        <f>IF($L1311&gt;U$5,MAX(0,U$3+ROUND((U$9*($L1311-U$5)),0)),IF($L1311&gt;U$4,U$3,ROUND($L1311*U$7,0)))</f>
        <v/>
      </c>
      <c r="L1311" s="448">
        <f>ROUND((A1311+B1311)/2,2)</f>
        <v/>
      </c>
    </row>
    <row r="1312" ht="13.5" customHeight="1" s="7635">
      <c r="A1312" s="448" t="n">
        <v>65100</v>
      </c>
      <c r="B1312" s="447" t="n">
        <v>65150</v>
      </c>
      <c r="C1312" s="1378">
        <f>IF($L1312&gt;N$5,MAX(0,N$3+ROUND((N$9*($L1312-N$5)),0)),IF($L1312&gt;N$4,N$3,ROUND($L1312*N$7,0)))</f>
        <v/>
      </c>
      <c r="D1312" s="448">
        <f>IF($L1312&gt;O$5,MAX(0,O$3+ROUND((O$9*($L1312-O$5)),0)),IF($L1312&gt;O$4,O$3,ROUND($L1312*O$7,0)))</f>
        <v/>
      </c>
      <c r="E1312" s="448">
        <f>IF($L1312&gt;P$5,MAX(0,P$3+ROUND((P$9*($L1312-P$5)),0)),IF($L1312&gt;P$4,P$3,ROUND($L1312*P$7,0)))</f>
        <v/>
      </c>
      <c r="F1312" s="447">
        <f>IF($L1312&gt;Q$5,MAX(0,Q$3+ROUND((Q$9*($L1312-Q$5)),0)),IF($L1312&gt;Q$4,Q$3,ROUND($L1312*Q$7,0)))</f>
        <v/>
      </c>
      <c r="G1312" s="1378">
        <f>IF($L1312&gt;R$5,MAX(0,R$3+ROUND((R$9*($L1312-R$5)),0)),IF($L1312&gt;R$4,R$3,ROUND($L1312*R$7,0)))</f>
        <v/>
      </c>
      <c r="H1312" s="448">
        <f>IF($L1312&gt;S$5,MAX(0,S$3+ROUND((S$9*($L1312-S$5)),0)),IF($L1312&gt;S$4,S$3,ROUND($L1312*S$7,0)))</f>
        <v/>
      </c>
      <c r="I1312" s="448">
        <f>IF($L1312&gt;T$5,MAX(0,T$3+ROUND((T$9*($L1312-T$5)),0)),IF($L1312&gt;T$4,T$3,ROUND($L1312*T$7,0)))</f>
        <v/>
      </c>
      <c r="J1312" s="447">
        <f>IF($L1312&gt;U$5,MAX(0,U$3+ROUND((U$9*($L1312-U$5)),0)),IF($L1312&gt;U$4,U$3,ROUND($L1312*U$7,0)))</f>
        <v/>
      </c>
      <c r="L1312" s="448">
        <f>ROUND((A1312+B1312)/2,2)</f>
        <v/>
      </c>
    </row>
    <row r="1313" ht="13.5" customHeight="1" s="7635">
      <c r="A1313" s="448" t="n">
        <v>65150</v>
      </c>
      <c r="B1313" s="447" t="n">
        <v>65200</v>
      </c>
      <c r="C1313" s="1378">
        <f>IF($L1313&gt;N$5,MAX(0,N$3+ROUND((N$9*($L1313-N$5)),0)),IF($L1313&gt;N$4,N$3,ROUND($L1313*N$7,0)))</f>
        <v/>
      </c>
      <c r="D1313" s="448">
        <f>IF($L1313&gt;O$5,MAX(0,O$3+ROUND((O$9*($L1313-O$5)),0)),IF($L1313&gt;O$4,O$3,ROUND($L1313*O$7,0)))</f>
        <v/>
      </c>
      <c r="E1313" s="448">
        <f>IF($L1313&gt;P$5,MAX(0,P$3+ROUND((P$9*($L1313-P$5)),0)),IF($L1313&gt;P$4,P$3,ROUND($L1313*P$7,0)))</f>
        <v/>
      </c>
      <c r="F1313" s="447">
        <f>IF($L1313&gt;Q$5,MAX(0,Q$3+ROUND((Q$9*($L1313-Q$5)),0)),IF($L1313&gt;Q$4,Q$3,ROUND($L1313*Q$7,0)))</f>
        <v/>
      </c>
      <c r="G1313" s="1378">
        <f>IF($L1313&gt;R$5,MAX(0,R$3+ROUND((R$9*($L1313-R$5)),0)),IF($L1313&gt;R$4,R$3,ROUND($L1313*R$7,0)))</f>
        <v/>
      </c>
      <c r="H1313" s="448">
        <f>IF($L1313&gt;S$5,MAX(0,S$3+ROUND((S$9*($L1313-S$5)),0)),IF($L1313&gt;S$4,S$3,ROUND($L1313*S$7,0)))</f>
        <v/>
      </c>
      <c r="I1313" s="448">
        <f>IF($L1313&gt;T$5,MAX(0,T$3+ROUND((T$9*($L1313-T$5)),0)),IF($L1313&gt;T$4,T$3,ROUND($L1313*T$7,0)))</f>
        <v/>
      </c>
      <c r="J1313" s="447">
        <f>IF($L1313&gt;U$5,MAX(0,U$3+ROUND((U$9*($L1313-U$5)),0)),IF($L1313&gt;U$4,U$3,ROUND($L1313*U$7,0)))</f>
        <v/>
      </c>
      <c r="L1313" s="448">
        <f>ROUND((A1313+B1313)/2,2)</f>
        <v/>
      </c>
    </row>
    <row r="1314" ht="13.5" customHeight="1" s="7635">
      <c r="A1314" s="448" t="n">
        <v>65200</v>
      </c>
      <c r="B1314" s="447" t="n">
        <v>65250</v>
      </c>
      <c r="C1314" s="1378">
        <f>IF($L1314&gt;N$5,MAX(0,N$3+ROUND((N$9*($L1314-N$5)),0)),IF($L1314&gt;N$4,N$3,ROUND($L1314*N$7,0)))</f>
        <v/>
      </c>
      <c r="D1314" s="448">
        <f>IF($L1314&gt;O$5,MAX(0,O$3+ROUND((O$9*($L1314-O$5)),0)),IF($L1314&gt;O$4,O$3,ROUND($L1314*O$7,0)))</f>
        <v/>
      </c>
      <c r="E1314" s="448">
        <f>IF($L1314&gt;P$5,MAX(0,P$3+ROUND((P$9*($L1314-P$5)),0)),IF($L1314&gt;P$4,P$3,ROUND($L1314*P$7,0)))</f>
        <v/>
      </c>
      <c r="F1314" s="447">
        <f>IF($L1314&gt;Q$5,MAX(0,Q$3+ROUND((Q$9*($L1314-Q$5)),0)),IF($L1314&gt;Q$4,Q$3,ROUND($L1314*Q$7,0)))</f>
        <v/>
      </c>
      <c r="G1314" s="1378">
        <f>IF($L1314&gt;R$5,MAX(0,R$3+ROUND((R$9*($L1314-R$5)),0)),IF($L1314&gt;R$4,R$3,ROUND($L1314*R$7,0)))</f>
        <v/>
      </c>
      <c r="H1314" s="448">
        <f>IF($L1314&gt;S$5,MAX(0,S$3+ROUND((S$9*($L1314-S$5)),0)),IF($L1314&gt;S$4,S$3,ROUND($L1314*S$7,0)))</f>
        <v/>
      </c>
      <c r="I1314" s="448">
        <f>IF($L1314&gt;T$5,MAX(0,T$3+ROUND((T$9*($L1314-T$5)),0)),IF($L1314&gt;T$4,T$3,ROUND($L1314*T$7,0)))</f>
        <v/>
      </c>
      <c r="J1314" s="447">
        <f>IF($L1314&gt;U$5,MAX(0,U$3+ROUND((U$9*($L1314-U$5)),0)),IF($L1314&gt;U$4,U$3,ROUND($L1314*U$7,0)))</f>
        <v/>
      </c>
      <c r="L1314" s="448">
        <f>ROUND((A1314+B1314)/2,2)</f>
        <v/>
      </c>
    </row>
    <row r="1315" ht="13.5" customHeight="1" s="7635">
      <c r="A1315" s="448" t="n">
        <v>65250</v>
      </c>
      <c r="B1315" s="447" t="n">
        <v>65300</v>
      </c>
      <c r="C1315" s="1378">
        <f>IF($L1315&gt;N$5,MAX(0,N$3+ROUND((N$9*($L1315-N$5)),0)),IF($L1315&gt;N$4,N$3,ROUND($L1315*N$7,0)))</f>
        <v/>
      </c>
      <c r="D1315" s="448">
        <f>IF($L1315&gt;O$5,MAX(0,O$3+ROUND((O$9*($L1315-O$5)),0)),IF($L1315&gt;O$4,O$3,ROUND($L1315*O$7,0)))</f>
        <v/>
      </c>
      <c r="E1315" s="448">
        <f>IF($L1315&gt;P$5,MAX(0,P$3+ROUND((P$9*($L1315-P$5)),0)),IF($L1315&gt;P$4,P$3,ROUND($L1315*P$7,0)))</f>
        <v/>
      </c>
      <c r="F1315" s="447">
        <f>IF($L1315&gt;Q$5,MAX(0,Q$3+ROUND((Q$9*($L1315-Q$5)),0)),IF($L1315&gt;Q$4,Q$3,ROUND($L1315*Q$7,0)))</f>
        <v/>
      </c>
      <c r="G1315" s="1378">
        <f>IF($L1315&gt;R$5,MAX(0,R$3+ROUND((R$9*($L1315-R$5)),0)),IF($L1315&gt;R$4,R$3,ROUND($L1315*R$7,0)))</f>
        <v/>
      </c>
      <c r="H1315" s="448">
        <f>IF($L1315&gt;S$5,MAX(0,S$3+ROUND((S$9*($L1315-S$5)),0)),IF($L1315&gt;S$4,S$3,ROUND($L1315*S$7,0)))</f>
        <v/>
      </c>
      <c r="I1315" s="448">
        <f>IF($L1315&gt;T$5,MAX(0,T$3+ROUND((T$9*($L1315-T$5)),0)),IF($L1315&gt;T$4,T$3,ROUND($L1315*T$7,0)))</f>
        <v/>
      </c>
      <c r="J1315" s="447">
        <f>IF($L1315&gt;U$5,MAX(0,U$3+ROUND((U$9*($L1315-U$5)),0)),IF($L1315&gt;U$4,U$3,ROUND($L1315*U$7,0)))</f>
        <v/>
      </c>
      <c r="L1315" s="448">
        <f>ROUND((A1315+B1315)/2,2)</f>
        <v/>
      </c>
    </row>
    <row r="1316" ht="13.5" customHeight="1" s="7635">
      <c r="A1316" s="448" t="n">
        <v>65300</v>
      </c>
      <c r="B1316" s="447" t="n">
        <v>65350</v>
      </c>
      <c r="C1316" s="1378">
        <f>IF($L1316&gt;N$5,MAX(0,N$3+ROUND((N$9*($L1316-N$5)),0)),IF($L1316&gt;N$4,N$3,ROUND($L1316*N$7,0)))</f>
        <v/>
      </c>
      <c r="D1316" s="448">
        <f>IF($L1316&gt;O$5,MAX(0,O$3+ROUND((O$9*($L1316-O$5)),0)),IF($L1316&gt;O$4,O$3,ROUND($L1316*O$7,0)))</f>
        <v/>
      </c>
      <c r="E1316" s="448">
        <f>IF($L1316&gt;P$5,MAX(0,P$3+ROUND((P$9*($L1316-P$5)),0)),IF($L1316&gt;P$4,P$3,ROUND($L1316*P$7,0)))</f>
        <v/>
      </c>
      <c r="F1316" s="447">
        <f>IF($L1316&gt;Q$5,MAX(0,Q$3+ROUND((Q$9*($L1316-Q$5)),0)),IF($L1316&gt;Q$4,Q$3,ROUND($L1316*Q$7,0)))</f>
        <v/>
      </c>
      <c r="G1316" s="1378">
        <f>IF($L1316&gt;R$5,MAX(0,R$3+ROUND((R$9*($L1316-R$5)),0)),IF($L1316&gt;R$4,R$3,ROUND($L1316*R$7,0)))</f>
        <v/>
      </c>
      <c r="H1316" s="448">
        <f>IF($L1316&gt;S$5,MAX(0,S$3+ROUND((S$9*($L1316-S$5)),0)),IF($L1316&gt;S$4,S$3,ROUND($L1316*S$7,0)))</f>
        <v/>
      </c>
      <c r="I1316" s="448">
        <f>IF($L1316&gt;T$5,MAX(0,T$3+ROUND((T$9*($L1316-T$5)),0)),IF($L1316&gt;T$4,T$3,ROUND($L1316*T$7,0)))</f>
        <v/>
      </c>
      <c r="J1316" s="447">
        <f>IF($L1316&gt;U$5,MAX(0,U$3+ROUND((U$9*($L1316-U$5)),0)),IF($L1316&gt;U$4,U$3,ROUND($L1316*U$7,0)))</f>
        <v/>
      </c>
      <c r="L1316" s="448">
        <f>ROUND((A1316+B1316)/2,2)</f>
        <v/>
      </c>
    </row>
    <row r="1317" ht="13.5" customHeight="1" s="7635">
      <c r="A1317" s="448" t="n">
        <v>65350</v>
      </c>
      <c r="B1317" s="447" t="n">
        <v>65400</v>
      </c>
      <c r="C1317" s="1378">
        <f>IF($L1317&gt;N$5,MAX(0,N$3+ROUND((N$9*($L1317-N$5)),0)),IF($L1317&gt;N$4,N$3,ROUND($L1317*N$7,0)))</f>
        <v/>
      </c>
      <c r="D1317" s="448">
        <f>IF($L1317&gt;O$5,MAX(0,O$3+ROUND((O$9*($L1317-O$5)),0)),IF($L1317&gt;O$4,O$3,ROUND($L1317*O$7,0)))</f>
        <v/>
      </c>
      <c r="E1317" s="448">
        <f>IF($L1317&gt;P$5,MAX(0,P$3+ROUND((P$9*($L1317-P$5)),0)),IF($L1317&gt;P$4,P$3,ROUND($L1317*P$7,0)))</f>
        <v/>
      </c>
      <c r="F1317" s="447">
        <f>IF($L1317&gt;Q$5,MAX(0,Q$3+ROUND((Q$9*($L1317-Q$5)),0)),IF($L1317&gt;Q$4,Q$3,ROUND($L1317*Q$7,0)))</f>
        <v/>
      </c>
      <c r="G1317" s="1378">
        <f>IF($L1317&gt;R$5,MAX(0,R$3+ROUND((R$9*($L1317-R$5)),0)),IF($L1317&gt;R$4,R$3,ROUND($L1317*R$7,0)))</f>
        <v/>
      </c>
      <c r="H1317" s="448">
        <f>IF($L1317&gt;S$5,MAX(0,S$3+ROUND((S$9*($L1317-S$5)),0)),IF($L1317&gt;S$4,S$3,ROUND($L1317*S$7,0)))</f>
        <v/>
      </c>
      <c r="I1317" s="448">
        <f>IF($L1317&gt;T$5,MAX(0,T$3+ROUND((T$9*($L1317-T$5)),0)),IF($L1317&gt;T$4,T$3,ROUND($L1317*T$7,0)))</f>
        <v/>
      </c>
      <c r="J1317" s="447">
        <f>IF($L1317&gt;U$5,MAX(0,U$3+ROUND((U$9*($L1317-U$5)),0)),IF($L1317&gt;U$4,U$3,ROUND($L1317*U$7,0)))</f>
        <v/>
      </c>
      <c r="L1317" s="448">
        <f>ROUND((A1317+B1317)/2,2)</f>
        <v/>
      </c>
    </row>
    <row r="1318" ht="13.5" customHeight="1" s="7635">
      <c r="A1318" s="448" t="n">
        <v>65400</v>
      </c>
      <c r="B1318" s="447" t="n">
        <v>65450</v>
      </c>
      <c r="C1318" s="1378">
        <f>IF($L1318&gt;N$5,MAX(0,N$3+ROUND((N$9*($L1318-N$5)),0)),IF($L1318&gt;N$4,N$3,ROUND($L1318*N$7,0)))</f>
        <v/>
      </c>
      <c r="D1318" s="448">
        <f>IF($L1318&gt;O$5,MAX(0,O$3+ROUND((O$9*($L1318-O$5)),0)),IF($L1318&gt;O$4,O$3,ROUND($L1318*O$7,0)))</f>
        <v/>
      </c>
      <c r="E1318" s="448">
        <f>IF($L1318&gt;P$5,MAX(0,P$3+ROUND((P$9*($L1318-P$5)),0)),IF($L1318&gt;P$4,P$3,ROUND($L1318*P$7,0)))</f>
        <v/>
      </c>
      <c r="F1318" s="447">
        <f>IF($L1318&gt;Q$5,MAX(0,Q$3+ROUND((Q$9*($L1318-Q$5)),0)),IF($L1318&gt;Q$4,Q$3,ROUND($L1318*Q$7,0)))</f>
        <v/>
      </c>
      <c r="G1318" s="1378">
        <f>IF($L1318&gt;R$5,MAX(0,R$3+ROUND((R$9*($L1318-R$5)),0)),IF($L1318&gt;R$4,R$3,ROUND($L1318*R$7,0)))</f>
        <v/>
      </c>
      <c r="H1318" s="448">
        <f>IF($L1318&gt;S$5,MAX(0,S$3+ROUND((S$9*($L1318-S$5)),0)),IF($L1318&gt;S$4,S$3,ROUND($L1318*S$7,0)))</f>
        <v/>
      </c>
      <c r="I1318" s="448">
        <f>IF($L1318&gt;T$5,MAX(0,T$3+ROUND((T$9*($L1318-T$5)),0)),IF($L1318&gt;T$4,T$3,ROUND($L1318*T$7,0)))</f>
        <v/>
      </c>
      <c r="J1318" s="447">
        <f>IF($L1318&gt;U$5,MAX(0,U$3+ROUND((U$9*($L1318-U$5)),0)),IF($L1318&gt;U$4,U$3,ROUND($L1318*U$7,0)))</f>
        <v/>
      </c>
      <c r="L1318" s="448">
        <f>ROUND((A1318+B1318)/2,2)</f>
        <v/>
      </c>
    </row>
    <row r="1319" ht="13.5" customHeight="1" s="7635">
      <c r="A1319" s="448" t="n">
        <v>65450</v>
      </c>
      <c r="B1319" s="447" t="n">
        <v>65500</v>
      </c>
      <c r="C1319" s="1378">
        <f>IF($L1319&gt;N$5,MAX(0,N$3+ROUND((N$9*($L1319-N$5)),0)),IF($L1319&gt;N$4,N$3,ROUND($L1319*N$7,0)))</f>
        <v/>
      </c>
      <c r="D1319" s="448">
        <f>IF($L1319&gt;O$5,MAX(0,O$3+ROUND((O$9*($L1319-O$5)),0)),IF($L1319&gt;O$4,O$3,ROUND($L1319*O$7,0)))</f>
        <v/>
      </c>
      <c r="E1319" s="448">
        <f>IF($L1319&gt;P$5,MAX(0,P$3+ROUND((P$9*($L1319-P$5)),0)),IF($L1319&gt;P$4,P$3,ROUND($L1319*P$7,0)))</f>
        <v/>
      </c>
      <c r="F1319" s="447">
        <f>IF($L1319&gt;Q$5,MAX(0,Q$3+ROUND((Q$9*($L1319-Q$5)),0)),IF($L1319&gt;Q$4,Q$3,ROUND($L1319*Q$7,0)))</f>
        <v/>
      </c>
      <c r="G1319" s="1378">
        <f>IF($L1319&gt;R$5,MAX(0,R$3+ROUND((R$9*($L1319-R$5)),0)),IF($L1319&gt;R$4,R$3,ROUND($L1319*R$7,0)))</f>
        <v/>
      </c>
      <c r="H1319" s="448">
        <f>IF($L1319&gt;S$5,MAX(0,S$3+ROUND((S$9*($L1319-S$5)),0)),IF($L1319&gt;S$4,S$3,ROUND($L1319*S$7,0)))</f>
        <v/>
      </c>
      <c r="I1319" s="448">
        <f>IF($L1319&gt;T$5,MAX(0,T$3+ROUND((T$9*($L1319-T$5)),0)),IF($L1319&gt;T$4,T$3,ROUND($L1319*T$7,0)))</f>
        <v/>
      </c>
      <c r="J1319" s="447">
        <f>IF($L1319&gt;U$5,MAX(0,U$3+ROUND((U$9*($L1319-U$5)),0)),IF($L1319&gt;U$4,U$3,ROUND($L1319*U$7,0)))</f>
        <v/>
      </c>
      <c r="L1319" s="448">
        <f>ROUND((A1319+B1319)/2,2)</f>
        <v/>
      </c>
    </row>
    <row r="1320" ht="13.5" customHeight="1" s="7635">
      <c r="A1320" s="448" t="n">
        <v>65500</v>
      </c>
      <c r="B1320" s="447" t="n">
        <v>65550</v>
      </c>
      <c r="C1320" s="1378">
        <f>IF($L1320&gt;N$5,MAX(0,N$3+ROUND((N$9*($L1320-N$5)),0)),IF($L1320&gt;N$4,N$3,ROUND($L1320*N$7,0)))</f>
        <v/>
      </c>
      <c r="D1320" s="448">
        <f>IF($L1320&gt;O$5,MAX(0,O$3+ROUND((O$9*($L1320-O$5)),0)),IF($L1320&gt;O$4,O$3,ROUND($L1320*O$7,0)))</f>
        <v/>
      </c>
      <c r="E1320" s="448">
        <f>IF($L1320&gt;P$5,MAX(0,P$3+ROUND((P$9*($L1320-P$5)),0)),IF($L1320&gt;P$4,P$3,ROUND($L1320*P$7,0)))</f>
        <v/>
      </c>
      <c r="F1320" s="447">
        <f>IF($L1320&gt;Q$5,MAX(0,Q$3+ROUND((Q$9*($L1320-Q$5)),0)),IF($L1320&gt;Q$4,Q$3,ROUND($L1320*Q$7,0)))</f>
        <v/>
      </c>
      <c r="G1320" s="1378">
        <f>IF($L1320&gt;R$5,MAX(0,R$3+ROUND((R$9*($L1320-R$5)),0)),IF($L1320&gt;R$4,R$3,ROUND($L1320*R$7,0)))</f>
        <v/>
      </c>
      <c r="H1320" s="448">
        <f>IF($L1320&gt;S$5,MAX(0,S$3+ROUND((S$9*($L1320-S$5)),0)),IF($L1320&gt;S$4,S$3,ROUND($L1320*S$7,0)))</f>
        <v/>
      </c>
      <c r="I1320" s="448">
        <f>IF($L1320&gt;T$5,MAX(0,T$3+ROUND((T$9*($L1320-T$5)),0)),IF($L1320&gt;T$4,T$3,ROUND($L1320*T$7,0)))</f>
        <v/>
      </c>
      <c r="J1320" s="447">
        <f>IF($L1320&gt;U$5,MAX(0,U$3+ROUND((U$9*($L1320-U$5)),0)),IF($L1320&gt;U$4,U$3,ROUND($L1320*U$7,0)))</f>
        <v/>
      </c>
      <c r="L1320" s="448">
        <f>ROUND((A1320+B1320)/2,2)</f>
        <v/>
      </c>
    </row>
    <row r="1321" ht="13.5" customHeight="1" s="7635">
      <c r="A1321" s="448" t="n">
        <v>65550</v>
      </c>
      <c r="B1321" s="447" t="n">
        <v>65600</v>
      </c>
      <c r="C1321" s="1378">
        <f>IF($L1321&gt;N$5,MAX(0,N$3+ROUND((N$9*($L1321-N$5)),0)),IF($L1321&gt;N$4,N$3,ROUND($L1321*N$7,0)))</f>
        <v/>
      </c>
      <c r="D1321" s="448">
        <f>IF($L1321&gt;O$5,MAX(0,O$3+ROUND((O$9*($L1321-O$5)),0)),IF($L1321&gt;O$4,O$3,ROUND($L1321*O$7,0)))</f>
        <v/>
      </c>
      <c r="E1321" s="448">
        <f>IF($L1321&gt;P$5,MAX(0,P$3+ROUND((P$9*($L1321-P$5)),0)),IF($L1321&gt;P$4,P$3,ROUND($L1321*P$7,0)))</f>
        <v/>
      </c>
      <c r="F1321" s="447">
        <f>IF($L1321&gt;Q$5,MAX(0,Q$3+ROUND((Q$9*($L1321-Q$5)),0)),IF($L1321&gt;Q$4,Q$3,ROUND($L1321*Q$7,0)))</f>
        <v/>
      </c>
      <c r="G1321" s="1378">
        <f>IF($L1321&gt;R$5,MAX(0,R$3+ROUND((R$9*($L1321-R$5)),0)),IF($L1321&gt;R$4,R$3,ROUND($L1321*R$7,0)))</f>
        <v/>
      </c>
      <c r="H1321" s="448">
        <f>IF($L1321&gt;S$5,MAX(0,S$3+ROUND((S$9*($L1321-S$5)),0)),IF($L1321&gt;S$4,S$3,ROUND($L1321*S$7,0)))</f>
        <v/>
      </c>
      <c r="I1321" s="448">
        <f>IF($L1321&gt;T$5,MAX(0,T$3+ROUND((T$9*($L1321-T$5)),0)),IF($L1321&gt;T$4,T$3,ROUND($L1321*T$7,0)))</f>
        <v/>
      </c>
      <c r="J1321" s="447">
        <f>IF($L1321&gt;U$5,MAX(0,U$3+ROUND((U$9*($L1321-U$5)),0)),IF($L1321&gt;U$4,U$3,ROUND($L1321*U$7,0)))</f>
        <v/>
      </c>
      <c r="L1321" s="448">
        <f>ROUND((A1321+B1321)/2,2)</f>
        <v/>
      </c>
    </row>
    <row r="1322" ht="13.5" customHeight="1" s="7635">
      <c r="A1322" s="448" t="n">
        <v>65600</v>
      </c>
      <c r="B1322" s="447" t="n">
        <v>65650</v>
      </c>
      <c r="C1322" s="1378">
        <f>IF($L1322&gt;N$5,MAX(0,N$3+ROUND((N$9*($L1322-N$5)),0)),IF($L1322&gt;N$4,N$3,ROUND($L1322*N$7,0)))</f>
        <v/>
      </c>
      <c r="D1322" s="448">
        <f>IF($L1322&gt;O$5,MAX(0,O$3+ROUND((O$9*($L1322-O$5)),0)),IF($L1322&gt;O$4,O$3,ROUND($L1322*O$7,0)))</f>
        <v/>
      </c>
      <c r="E1322" s="448">
        <f>IF($L1322&gt;P$5,MAX(0,P$3+ROUND((P$9*($L1322-P$5)),0)),IF($L1322&gt;P$4,P$3,ROUND($L1322*P$7,0)))</f>
        <v/>
      </c>
      <c r="F1322" s="447">
        <f>IF($L1322&gt;Q$5,MAX(0,Q$3+ROUND((Q$9*($L1322-Q$5)),0)),IF($L1322&gt;Q$4,Q$3,ROUND($L1322*Q$7,0)))</f>
        <v/>
      </c>
      <c r="G1322" s="1378">
        <f>IF($L1322&gt;R$5,MAX(0,R$3+ROUND((R$9*($L1322-R$5)),0)),IF($L1322&gt;R$4,R$3,ROUND($L1322*R$7,0)))</f>
        <v/>
      </c>
      <c r="H1322" s="448">
        <f>IF($L1322&gt;S$5,MAX(0,S$3+ROUND((S$9*($L1322-S$5)),0)),IF($L1322&gt;S$4,S$3,ROUND($L1322*S$7,0)))</f>
        <v/>
      </c>
      <c r="I1322" s="448">
        <f>IF($L1322&gt;T$5,MAX(0,T$3+ROUND((T$9*($L1322-T$5)),0)),IF($L1322&gt;T$4,T$3,ROUND($L1322*T$7,0)))</f>
        <v/>
      </c>
      <c r="J1322" s="447">
        <f>IF($L1322&gt;U$5,MAX(0,U$3+ROUND((U$9*($L1322-U$5)),0)),IF($L1322&gt;U$4,U$3,ROUND($L1322*U$7,0)))</f>
        <v/>
      </c>
      <c r="L1322" s="448">
        <f>ROUND((A1322+B1322)/2,2)</f>
        <v/>
      </c>
    </row>
    <row r="1323" ht="13.5" customHeight="1" s="7635">
      <c r="A1323" s="448" t="n">
        <v>65650</v>
      </c>
      <c r="B1323" s="447" t="n">
        <v>65700</v>
      </c>
      <c r="C1323" s="1378">
        <f>IF($L1323&gt;N$5,MAX(0,N$3+ROUND((N$9*($L1323-N$5)),0)),IF($L1323&gt;N$4,N$3,ROUND($L1323*N$7,0)))</f>
        <v/>
      </c>
      <c r="D1323" s="448">
        <f>IF($L1323&gt;O$5,MAX(0,O$3+ROUND((O$9*($L1323-O$5)),0)),IF($L1323&gt;O$4,O$3,ROUND($L1323*O$7,0)))</f>
        <v/>
      </c>
      <c r="E1323" s="448">
        <f>IF($L1323&gt;P$5,MAX(0,P$3+ROUND((P$9*($L1323-P$5)),0)),IF($L1323&gt;P$4,P$3,ROUND($L1323*P$7,0)))</f>
        <v/>
      </c>
      <c r="F1323" s="447">
        <f>IF($L1323&gt;Q$5,MAX(0,Q$3+ROUND((Q$9*($L1323-Q$5)),0)),IF($L1323&gt;Q$4,Q$3,ROUND($L1323*Q$7,0)))</f>
        <v/>
      </c>
      <c r="G1323" s="1378">
        <f>IF($L1323&gt;R$5,MAX(0,R$3+ROUND((R$9*($L1323-R$5)),0)),IF($L1323&gt;R$4,R$3,ROUND($L1323*R$7,0)))</f>
        <v/>
      </c>
      <c r="H1323" s="448">
        <f>IF($L1323&gt;S$5,MAX(0,S$3+ROUND((S$9*($L1323-S$5)),0)),IF($L1323&gt;S$4,S$3,ROUND($L1323*S$7,0)))</f>
        <v/>
      </c>
      <c r="I1323" s="448">
        <f>IF($L1323&gt;T$5,MAX(0,T$3+ROUND((T$9*($L1323-T$5)),0)),IF($L1323&gt;T$4,T$3,ROUND($L1323*T$7,0)))</f>
        <v/>
      </c>
      <c r="J1323" s="447">
        <f>IF($L1323&gt;U$5,MAX(0,U$3+ROUND((U$9*($L1323-U$5)),0)),IF($L1323&gt;U$4,U$3,ROUND($L1323*U$7,0)))</f>
        <v/>
      </c>
      <c r="L1323" s="448">
        <f>ROUND((A1323+B1323)/2,2)</f>
        <v/>
      </c>
    </row>
    <row r="1324" ht="13.5" customHeight="1" s="7635">
      <c r="A1324" s="448" t="n">
        <v>65700</v>
      </c>
      <c r="B1324" s="447" t="n">
        <v>65750</v>
      </c>
      <c r="C1324" s="1378">
        <f>IF($L1324&gt;N$5,MAX(0,N$3+ROUND((N$9*($L1324-N$5)),0)),IF($L1324&gt;N$4,N$3,ROUND($L1324*N$7,0)))</f>
        <v/>
      </c>
      <c r="D1324" s="448">
        <f>IF($L1324&gt;O$5,MAX(0,O$3+ROUND((O$9*($L1324-O$5)),0)),IF($L1324&gt;O$4,O$3,ROUND($L1324*O$7,0)))</f>
        <v/>
      </c>
      <c r="E1324" s="448">
        <f>IF($L1324&gt;P$5,MAX(0,P$3+ROUND((P$9*($L1324-P$5)),0)),IF($L1324&gt;P$4,P$3,ROUND($L1324*P$7,0)))</f>
        <v/>
      </c>
      <c r="F1324" s="447">
        <f>IF($L1324&gt;Q$5,MAX(0,Q$3+ROUND((Q$9*($L1324-Q$5)),0)),IF($L1324&gt;Q$4,Q$3,ROUND($L1324*Q$7,0)))</f>
        <v/>
      </c>
      <c r="G1324" s="1378">
        <f>IF($L1324&gt;R$5,MAX(0,R$3+ROUND((R$9*($L1324-R$5)),0)),IF($L1324&gt;R$4,R$3,ROUND($L1324*R$7,0)))</f>
        <v/>
      </c>
      <c r="H1324" s="448">
        <f>IF($L1324&gt;S$5,MAX(0,S$3+ROUND((S$9*($L1324-S$5)),0)),IF($L1324&gt;S$4,S$3,ROUND($L1324*S$7,0)))</f>
        <v/>
      </c>
      <c r="I1324" s="448">
        <f>IF($L1324&gt;T$5,MAX(0,T$3+ROUND((T$9*($L1324-T$5)),0)),IF($L1324&gt;T$4,T$3,ROUND($L1324*T$7,0)))</f>
        <v/>
      </c>
      <c r="J1324" s="447">
        <f>IF($L1324&gt;U$5,MAX(0,U$3+ROUND((U$9*($L1324-U$5)),0)),IF($L1324&gt;U$4,U$3,ROUND($L1324*U$7,0)))</f>
        <v/>
      </c>
      <c r="L1324" s="448">
        <f>ROUND((A1324+B1324)/2,2)</f>
        <v/>
      </c>
    </row>
    <row r="1325" ht="13.5" customHeight="1" s="7635">
      <c r="A1325" s="448" t="n">
        <v>65750</v>
      </c>
      <c r="B1325" s="447" t="n">
        <v>65800</v>
      </c>
      <c r="C1325" s="1378">
        <f>IF($L1325&gt;N$5,MAX(0,N$3+ROUND((N$9*($L1325-N$5)),0)),IF($L1325&gt;N$4,N$3,ROUND($L1325*N$7,0)))</f>
        <v/>
      </c>
      <c r="D1325" s="448">
        <f>IF($L1325&gt;O$5,MAX(0,O$3+ROUND((O$9*($L1325-O$5)),0)),IF($L1325&gt;O$4,O$3,ROUND($L1325*O$7,0)))</f>
        <v/>
      </c>
      <c r="E1325" s="448">
        <f>IF($L1325&gt;P$5,MAX(0,P$3+ROUND((P$9*($L1325-P$5)),0)),IF($L1325&gt;P$4,P$3,ROUND($L1325*P$7,0)))</f>
        <v/>
      </c>
      <c r="F1325" s="447">
        <f>IF($L1325&gt;Q$5,MAX(0,Q$3+ROUND((Q$9*($L1325-Q$5)),0)),IF($L1325&gt;Q$4,Q$3,ROUND($L1325*Q$7,0)))</f>
        <v/>
      </c>
      <c r="G1325" s="1378">
        <f>IF($L1325&gt;R$5,MAX(0,R$3+ROUND((R$9*($L1325-R$5)),0)),IF($L1325&gt;R$4,R$3,ROUND($L1325*R$7,0)))</f>
        <v/>
      </c>
      <c r="H1325" s="448">
        <f>IF($L1325&gt;S$5,MAX(0,S$3+ROUND((S$9*($L1325-S$5)),0)),IF($L1325&gt;S$4,S$3,ROUND($L1325*S$7,0)))</f>
        <v/>
      </c>
      <c r="I1325" s="448">
        <f>IF($L1325&gt;T$5,MAX(0,T$3+ROUND((T$9*($L1325-T$5)),0)),IF($L1325&gt;T$4,T$3,ROUND($L1325*T$7,0)))</f>
        <v/>
      </c>
      <c r="J1325" s="447">
        <f>IF($L1325&gt;U$5,MAX(0,U$3+ROUND((U$9*($L1325-U$5)),0)),IF($L1325&gt;U$4,U$3,ROUND($L1325*U$7,0)))</f>
        <v/>
      </c>
      <c r="L1325" s="448">
        <f>ROUND((A1325+B1325)/2,2)</f>
        <v/>
      </c>
    </row>
    <row r="1326" ht="13.5" customHeight="1" s="7635">
      <c r="A1326" s="448" t="n">
        <v>65800</v>
      </c>
      <c r="B1326" s="447" t="n">
        <v>65850</v>
      </c>
      <c r="C1326" s="1378">
        <f>IF($L1326&gt;N$5,MAX(0,N$3+ROUND((N$9*($L1326-N$5)),0)),IF($L1326&gt;N$4,N$3,ROUND($L1326*N$7,0)))</f>
        <v/>
      </c>
      <c r="D1326" s="448">
        <f>IF($L1326&gt;O$5,MAX(0,O$3+ROUND((O$9*($L1326-O$5)),0)),IF($L1326&gt;O$4,O$3,ROUND($L1326*O$7,0)))</f>
        <v/>
      </c>
      <c r="E1326" s="448">
        <f>IF($L1326&gt;P$5,MAX(0,P$3+ROUND((P$9*($L1326-P$5)),0)),IF($L1326&gt;P$4,P$3,ROUND($L1326*P$7,0)))</f>
        <v/>
      </c>
      <c r="F1326" s="447">
        <f>IF($L1326&gt;Q$5,MAX(0,Q$3+ROUND((Q$9*($L1326-Q$5)),0)),IF($L1326&gt;Q$4,Q$3,ROUND($L1326*Q$7,0)))</f>
        <v/>
      </c>
      <c r="G1326" s="1378">
        <f>IF($L1326&gt;R$5,MAX(0,R$3+ROUND((R$9*($L1326-R$5)),0)),IF($L1326&gt;R$4,R$3,ROUND($L1326*R$7,0)))</f>
        <v/>
      </c>
      <c r="H1326" s="448">
        <f>IF($L1326&gt;S$5,MAX(0,S$3+ROUND((S$9*($L1326-S$5)),0)),IF($L1326&gt;S$4,S$3,ROUND($L1326*S$7,0)))</f>
        <v/>
      </c>
      <c r="I1326" s="448">
        <f>IF($L1326&gt;T$5,MAX(0,T$3+ROUND((T$9*($L1326-T$5)),0)),IF($L1326&gt;T$4,T$3,ROUND($L1326*T$7,0)))</f>
        <v/>
      </c>
      <c r="J1326" s="447">
        <f>IF($L1326&gt;U$5,MAX(0,U$3+ROUND((U$9*($L1326-U$5)),0)),IF($L1326&gt;U$4,U$3,ROUND($L1326*U$7,0)))</f>
        <v/>
      </c>
      <c r="L1326" s="448">
        <f>ROUND((A1326+B1326)/2,2)</f>
        <v/>
      </c>
    </row>
    <row r="1327" ht="13.5" customHeight="1" s="7635">
      <c r="A1327" s="448" t="n">
        <v>65850</v>
      </c>
      <c r="B1327" s="447" t="n">
        <v>65900</v>
      </c>
      <c r="C1327" s="1378">
        <f>IF($L1327&gt;N$5,MAX(0,N$3+ROUND((N$9*($L1327-N$5)),0)),IF($L1327&gt;N$4,N$3,ROUND($L1327*N$7,0)))</f>
        <v/>
      </c>
      <c r="D1327" s="448">
        <f>IF($L1327&gt;O$5,MAX(0,O$3+ROUND((O$9*($L1327-O$5)),0)),IF($L1327&gt;O$4,O$3,ROUND($L1327*O$7,0)))</f>
        <v/>
      </c>
      <c r="E1327" s="448">
        <f>IF($L1327&gt;P$5,MAX(0,P$3+ROUND((P$9*($L1327-P$5)),0)),IF($L1327&gt;P$4,P$3,ROUND($L1327*P$7,0)))</f>
        <v/>
      </c>
      <c r="F1327" s="447">
        <f>IF($L1327&gt;Q$5,MAX(0,Q$3+ROUND((Q$9*($L1327-Q$5)),0)),IF($L1327&gt;Q$4,Q$3,ROUND($L1327*Q$7,0)))</f>
        <v/>
      </c>
      <c r="G1327" s="1378">
        <f>IF($L1327&gt;R$5,MAX(0,R$3+ROUND((R$9*($L1327-R$5)),0)),IF($L1327&gt;R$4,R$3,ROUND($L1327*R$7,0)))</f>
        <v/>
      </c>
      <c r="H1327" s="448">
        <f>IF($L1327&gt;S$5,MAX(0,S$3+ROUND((S$9*($L1327-S$5)),0)),IF($L1327&gt;S$4,S$3,ROUND($L1327*S$7,0)))</f>
        <v/>
      </c>
      <c r="I1327" s="448">
        <f>IF($L1327&gt;T$5,MAX(0,T$3+ROUND((T$9*($L1327-T$5)),0)),IF($L1327&gt;T$4,T$3,ROUND($L1327*T$7,0)))</f>
        <v/>
      </c>
      <c r="J1327" s="447">
        <f>IF($L1327&gt;U$5,MAX(0,U$3+ROUND((U$9*($L1327-U$5)),0)),IF($L1327&gt;U$4,U$3,ROUND($L1327*U$7,0)))</f>
        <v/>
      </c>
      <c r="L1327" s="448">
        <f>ROUND((A1327+B1327)/2,2)</f>
        <v/>
      </c>
    </row>
    <row r="1328" ht="13.5" customHeight="1" s="7635">
      <c r="A1328" s="448" t="n">
        <v>65900</v>
      </c>
      <c r="B1328" s="447" t="n">
        <v>65950</v>
      </c>
      <c r="C1328" s="1378">
        <f>IF($L1328&gt;N$5,MAX(0,N$3+ROUND((N$9*($L1328-N$5)),0)),IF($L1328&gt;N$4,N$3,ROUND($L1328*N$7,0)))</f>
        <v/>
      </c>
      <c r="D1328" s="448">
        <f>IF($L1328&gt;O$5,MAX(0,O$3+ROUND((O$9*($L1328-O$5)),0)),IF($L1328&gt;O$4,O$3,ROUND($L1328*O$7,0)))</f>
        <v/>
      </c>
      <c r="E1328" s="448">
        <f>IF($L1328&gt;P$5,MAX(0,P$3+ROUND((P$9*($L1328-P$5)),0)),IF($L1328&gt;P$4,P$3,ROUND($L1328*P$7,0)))</f>
        <v/>
      </c>
      <c r="F1328" s="447">
        <f>IF($L1328&gt;Q$5,MAX(0,Q$3+ROUND((Q$9*($L1328-Q$5)),0)),IF($L1328&gt;Q$4,Q$3,ROUND($L1328*Q$7,0)))</f>
        <v/>
      </c>
      <c r="G1328" s="1378">
        <f>IF($L1328&gt;R$5,MAX(0,R$3+ROUND((R$9*($L1328-R$5)),0)),IF($L1328&gt;R$4,R$3,ROUND($L1328*R$7,0)))</f>
        <v/>
      </c>
      <c r="H1328" s="448">
        <f>IF($L1328&gt;S$5,MAX(0,S$3+ROUND((S$9*($L1328-S$5)),0)),IF($L1328&gt;S$4,S$3,ROUND($L1328*S$7,0)))</f>
        <v/>
      </c>
      <c r="I1328" s="448">
        <f>IF($L1328&gt;T$5,MAX(0,T$3+ROUND((T$9*($L1328-T$5)),0)),IF($L1328&gt;T$4,T$3,ROUND($L1328*T$7,0)))</f>
        <v/>
      </c>
      <c r="J1328" s="447">
        <f>IF($L1328&gt;U$5,MAX(0,U$3+ROUND((U$9*($L1328-U$5)),0)),IF($L1328&gt;U$4,U$3,ROUND($L1328*U$7,0)))</f>
        <v/>
      </c>
      <c r="L1328" s="448">
        <f>ROUND((A1328+B1328)/2,2)</f>
        <v/>
      </c>
    </row>
    <row r="1329" ht="13.5" customHeight="1" s="7635">
      <c r="A1329" s="448" t="n">
        <v>65950</v>
      </c>
      <c r="B1329" s="447" t="n">
        <v>66000</v>
      </c>
      <c r="C1329" s="1378">
        <f>IF($L1329&gt;N$5,MAX(0,N$3+ROUND((N$9*($L1329-N$5)),0)),IF($L1329&gt;N$4,N$3,ROUND($L1329*N$7,0)))</f>
        <v/>
      </c>
      <c r="D1329" s="448">
        <f>IF($L1329&gt;O$5,MAX(0,O$3+ROUND((O$9*($L1329-O$5)),0)),IF($L1329&gt;O$4,O$3,ROUND($L1329*O$7,0)))</f>
        <v/>
      </c>
      <c r="E1329" s="448">
        <f>IF($L1329&gt;P$5,MAX(0,P$3+ROUND((P$9*($L1329-P$5)),0)),IF($L1329&gt;P$4,P$3,ROUND($L1329*P$7,0)))</f>
        <v/>
      </c>
      <c r="F1329" s="447">
        <f>IF($L1329&gt;Q$5,MAX(0,Q$3+ROUND((Q$9*($L1329-Q$5)),0)),IF($L1329&gt;Q$4,Q$3,ROUND($L1329*Q$7,0)))</f>
        <v/>
      </c>
      <c r="G1329" s="1378">
        <f>IF($L1329&gt;R$5,MAX(0,R$3+ROUND((R$9*($L1329-R$5)),0)),IF($L1329&gt;R$4,R$3,ROUND($L1329*R$7,0)))</f>
        <v/>
      </c>
      <c r="H1329" s="448">
        <f>IF($L1329&gt;S$5,MAX(0,S$3+ROUND((S$9*($L1329-S$5)),0)),IF($L1329&gt;S$4,S$3,ROUND($L1329*S$7,0)))</f>
        <v/>
      </c>
      <c r="I1329" s="448">
        <f>IF($L1329&gt;T$5,MAX(0,T$3+ROUND((T$9*($L1329-T$5)),0)),IF($L1329&gt;T$4,T$3,ROUND($L1329*T$7,0)))</f>
        <v/>
      </c>
      <c r="J1329" s="447">
        <f>IF($L1329&gt;U$5,MAX(0,U$3+ROUND((U$9*($L1329-U$5)),0)),IF($L1329&gt;U$4,U$3,ROUND($L1329*U$7,0)))</f>
        <v/>
      </c>
      <c r="L1329" s="448">
        <f>ROUND((A1329+B1329)/2,2)</f>
        <v/>
      </c>
    </row>
    <row r="1330" ht="13.5" customHeight="1" s="7635">
      <c r="A1330" s="448" t="n">
        <v>66000</v>
      </c>
      <c r="B1330" s="447" t="n">
        <v>66050</v>
      </c>
      <c r="C1330" s="1378">
        <f>IF($L1330&gt;N$5,MAX(0,N$3+ROUND((N$9*($L1330-N$5)),0)),IF($L1330&gt;N$4,N$3,ROUND($L1330*N$7,0)))</f>
        <v/>
      </c>
      <c r="D1330" s="448">
        <f>IF($L1330&gt;O$5,MAX(0,O$3+ROUND((O$9*($L1330-O$5)),0)),IF($L1330&gt;O$4,O$3,ROUND($L1330*O$7,0)))</f>
        <v/>
      </c>
      <c r="E1330" s="448">
        <f>IF($L1330&gt;P$5,MAX(0,P$3+ROUND((P$9*($L1330-P$5)),0)),IF($L1330&gt;P$4,P$3,ROUND($L1330*P$7,0)))</f>
        <v/>
      </c>
      <c r="F1330" s="447">
        <f>IF($L1330&gt;Q$5,MAX(0,Q$3+ROUND((Q$9*($L1330-Q$5)),0)),IF($L1330&gt;Q$4,Q$3,ROUND($L1330*Q$7,0)))</f>
        <v/>
      </c>
      <c r="G1330" s="1378">
        <f>IF($L1330&gt;R$5,MAX(0,R$3+ROUND((R$9*($L1330-R$5)),0)),IF($L1330&gt;R$4,R$3,ROUND($L1330*R$7,0)))</f>
        <v/>
      </c>
      <c r="H1330" s="448">
        <f>IF($L1330&gt;S$5,MAX(0,S$3+ROUND((S$9*($L1330-S$5)),0)),IF($L1330&gt;S$4,S$3,ROUND($L1330*S$7,0)))</f>
        <v/>
      </c>
      <c r="I1330" s="448">
        <f>IF($L1330&gt;T$5,MAX(0,T$3+ROUND((T$9*($L1330-T$5)),0)),IF($L1330&gt;T$4,T$3,ROUND($L1330*T$7,0)))</f>
        <v/>
      </c>
      <c r="J1330" s="447">
        <f>IF($L1330&gt;U$5,MAX(0,U$3+ROUND((U$9*($L1330-U$5)),0)),IF($L1330&gt;U$4,U$3,ROUND($L1330*U$7,0)))</f>
        <v/>
      </c>
      <c r="L1330" s="448">
        <f>ROUND((A1330+B1330)/2,2)</f>
        <v/>
      </c>
    </row>
    <row r="1331" ht="13.5" customHeight="1" s="7635">
      <c r="A1331" s="448" t="n">
        <v>66050</v>
      </c>
      <c r="B1331" s="447" t="n">
        <v>66100</v>
      </c>
      <c r="C1331" s="1378">
        <f>IF($L1331&gt;N$5,MAX(0,N$3+ROUND((N$9*($L1331-N$5)),0)),IF($L1331&gt;N$4,N$3,ROUND($L1331*N$7,0)))</f>
        <v/>
      </c>
      <c r="D1331" s="448">
        <f>IF($L1331&gt;O$5,MAX(0,O$3+ROUND((O$9*($L1331-O$5)),0)),IF($L1331&gt;O$4,O$3,ROUND($L1331*O$7,0)))</f>
        <v/>
      </c>
      <c r="E1331" s="448">
        <f>IF($L1331&gt;P$5,MAX(0,P$3+ROUND((P$9*($L1331-P$5)),0)),IF($L1331&gt;P$4,P$3,ROUND($L1331*P$7,0)))</f>
        <v/>
      </c>
      <c r="F1331" s="447">
        <f>IF($L1331&gt;Q$5,MAX(0,Q$3+ROUND((Q$9*($L1331-Q$5)),0)),IF($L1331&gt;Q$4,Q$3,ROUND($L1331*Q$7,0)))</f>
        <v/>
      </c>
      <c r="G1331" s="1378">
        <f>IF($L1331&gt;R$5,MAX(0,R$3+ROUND((R$9*($L1331-R$5)),0)),IF($L1331&gt;R$4,R$3,ROUND($L1331*R$7,0)))</f>
        <v/>
      </c>
      <c r="H1331" s="448">
        <f>IF($L1331&gt;S$5,MAX(0,S$3+ROUND((S$9*($L1331-S$5)),0)),IF($L1331&gt;S$4,S$3,ROUND($L1331*S$7,0)))</f>
        <v/>
      </c>
      <c r="I1331" s="448">
        <f>IF($L1331&gt;T$5,MAX(0,T$3+ROUND((T$9*($L1331-T$5)),0)),IF($L1331&gt;T$4,T$3,ROUND($L1331*T$7,0)))</f>
        <v/>
      </c>
      <c r="J1331" s="447">
        <f>IF($L1331&gt;U$5,MAX(0,U$3+ROUND((U$9*($L1331-U$5)),0)),IF($L1331&gt;U$4,U$3,ROUND($L1331*U$7,0)))</f>
        <v/>
      </c>
      <c r="L1331" s="448">
        <f>ROUND((A1331+B1331)/2,2)</f>
        <v/>
      </c>
    </row>
    <row r="1332" ht="13.5" customHeight="1" s="7635">
      <c r="A1332" s="448" t="n">
        <v>66100</v>
      </c>
      <c r="B1332" s="447" t="n">
        <v>66150</v>
      </c>
      <c r="C1332" s="1378">
        <f>IF($L1332&gt;N$5,MAX(0,N$3+ROUND((N$9*($L1332-N$5)),0)),IF($L1332&gt;N$4,N$3,ROUND($L1332*N$7,0)))</f>
        <v/>
      </c>
      <c r="D1332" s="448">
        <f>IF($L1332&gt;O$5,MAX(0,O$3+ROUND((O$9*($L1332-O$5)),0)),IF($L1332&gt;O$4,O$3,ROUND($L1332*O$7,0)))</f>
        <v/>
      </c>
      <c r="E1332" s="448">
        <f>IF($L1332&gt;P$5,MAX(0,P$3+ROUND((P$9*($L1332-P$5)),0)),IF($L1332&gt;P$4,P$3,ROUND($L1332*P$7,0)))</f>
        <v/>
      </c>
      <c r="F1332" s="447">
        <f>IF($L1332&gt;Q$5,MAX(0,Q$3+ROUND((Q$9*($L1332-Q$5)),0)),IF($L1332&gt;Q$4,Q$3,ROUND($L1332*Q$7,0)))</f>
        <v/>
      </c>
      <c r="G1332" s="1378">
        <f>IF($L1332&gt;R$5,MAX(0,R$3+ROUND((R$9*($L1332-R$5)),0)),IF($L1332&gt;R$4,R$3,ROUND($L1332*R$7,0)))</f>
        <v/>
      </c>
      <c r="H1332" s="448">
        <f>IF($L1332&gt;S$5,MAX(0,S$3+ROUND((S$9*($L1332-S$5)),0)),IF($L1332&gt;S$4,S$3,ROUND($L1332*S$7,0)))</f>
        <v/>
      </c>
      <c r="I1332" s="448">
        <f>IF($L1332&gt;T$5,MAX(0,T$3+ROUND((T$9*($L1332-T$5)),0)),IF($L1332&gt;T$4,T$3,ROUND($L1332*T$7,0)))</f>
        <v/>
      </c>
      <c r="J1332" s="447">
        <f>IF($L1332&gt;U$5,MAX(0,U$3+ROUND((U$9*($L1332-U$5)),0)),IF($L1332&gt;U$4,U$3,ROUND($L1332*U$7,0)))</f>
        <v/>
      </c>
      <c r="L1332" s="448">
        <f>ROUND((A1332+B1332)/2,2)</f>
        <v/>
      </c>
    </row>
    <row r="1333" ht="13.5" customHeight="1" s="7635">
      <c r="A1333" s="448" t="n">
        <v>66150</v>
      </c>
      <c r="B1333" s="447" t="n">
        <v>66200</v>
      </c>
      <c r="C1333" s="1378">
        <f>IF($L1333&gt;N$5,MAX(0,N$3+ROUND((N$9*($L1333-N$5)),0)),IF($L1333&gt;N$4,N$3,ROUND($L1333*N$7,0)))</f>
        <v/>
      </c>
      <c r="D1333" s="448">
        <f>IF($L1333&gt;O$5,MAX(0,O$3+ROUND((O$9*($L1333-O$5)),0)),IF($L1333&gt;O$4,O$3,ROUND($L1333*O$7,0)))</f>
        <v/>
      </c>
      <c r="E1333" s="448">
        <f>IF($L1333&gt;P$5,MAX(0,P$3+ROUND((P$9*($L1333-P$5)),0)),IF($L1333&gt;P$4,P$3,ROUND($L1333*P$7,0)))</f>
        <v/>
      </c>
      <c r="F1333" s="447">
        <f>IF($L1333&gt;Q$5,MAX(0,Q$3+ROUND((Q$9*($L1333-Q$5)),0)),IF($L1333&gt;Q$4,Q$3,ROUND($L1333*Q$7,0)))</f>
        <v/>
      </c>
      <c r="G1333" s="1378">
        <f>IF($L1333&gt;R$5,MAX(0,R$3+ROUND((R$9*($L1333-R$5)),0)),IF($L1333&gt;R$4,R$3,ROUND($L1333*R$7,0)))</f>
        <v/>
      </c>
      <c r="H1333" s="448">
        <f>IF($L1333&gt;S$5,MAX(0,S$3+ROUND((S$9*($L1333-S$5)),0)),IF($L1333&gt;S$4,S$3,ROUND($L1333*S$7,0)))</f>
        <v/>
      </c>
      <c r="I1333" s="448">
        <f>IF($L1333&gt;T$5,MAX(0,T$3+ROUND((T$9*($L1333-T$5)),0)),IF($L1333&gt;T$4,T$3,ROUND($L1333*T$7,0)))</f>
        <v/>
      </c>
      <c r="J1333" s="447">
        <f>IF($L1333&gt;U$5,MAX(0,U$3+ROUND((U$9*($L1333-U$5)),0)),IF($L1333&gt;U$4,U$3,ROUND($L1333*U$7,0)))</f>
        <v/>
      </c>
      <c r="L1333" s="448">
        <f>ROUND((A1333+B1333)/2,2)</f>
        <v/>
      </c>
    </row>
    <row r="1334" ht="13.5" customHeight="1" s="7635">
      <c r="A1334" s="448" t="n">
        <v>66200</v>
      </c>
      <c r="B1334" s="447" t="n">
        <v>66250</v>
      </c>
      <c r="C1334" s="1378">
        <f>IF($L1334&gt;N$5,MAX(0,N$3+ROUND((N$9*($L1334-N$5)),0)),IF($L1334&gt;N$4,N$3,ROUND($L1334*N$7,0)))</f>
        <v/>
      </c>
      <c r="D1334" s="448">
        <f>IF($L1334&gt;O$5,MAX(0,O$3+ROUND((O$9*($L1334-O$5)),0)),IF($L1334&gt;O$4,O$3,ROUND($L1334*O$7,0)))</f>
        <v/>
      </c>
      <c r="E1334" s="448">
        <f>IF($L1334&gt;P$5,MAX(0,P$3+ROUND((P$9*($L1334-P$5)),0)),IF($L1334&gt;P$4,P$3,ROUND($L1334*P$7,0)))</f>
        <v/>
      </c>
      <c r="F1334" s="447">
        <f>IF($L1334&gt;Q$5,MAX(0,Q$3+ROUND((Q$9*($L1334-Q$5)),0)),IF($L1334&gt;Q$4,Q$3,ROUND($L1334*Q$7,0)))</f>
        <v/>
      </c>
      <c r="G1334" s="1378">
        <f>IF($L1334&gt;R$5,MAX(0,R$3+ROUND((R$9*($L1334-R$5)),0)),IF($L1334&gt;R$4,R$3,ROUND($L1334*R$7,0)))</f>
        <v/>
      </c>
      <c r="H1334" s="448">
        <f>IF($L1334&gt;S$5,MAX(0,S$3+ROUND((S$9*($L1334-S$5)),0)),IF($L1334&gt;S$4,S$3,ROUND($L1334*S$7,0)))</f>
        <v/>
      </c>
      <c r="I1334" s="448">
        <f>IF($L1334&gt;T$5,MAX(0,T$3+ROUND((T$9*($L1334-T$5)),0)),IF($L1334&gt;T$4,T$3,ROUND($L1334*T$7,0)))</f>
        <v/>
      </c>
      <c r="J1334" s="447">
        <f>IF($L1334&gt;U$5,MAX(0,U$3+ROUND((U$9*($L1334-U$5)),0)),IF($L1334&gt;U$4,U$3,ROUND($L1334*U$7,0)))</f>
        <v/>
      </c>
      <c r="L1334" s="448">
        <f>ROUND((A1334+B1334)/2,2)</f>
        <v/>
      </c>
    </row>
    <row r="1335" ht="13.5" customHeight="1" s="7635">
      <c r="A1335" s="448" t="n">
        <v>66250</v>
      </c>
      <c r="B1335" s="447" t="n">
        <v>66300</v>
      </c>
      <c r="C1335" s="1378">
        <f>IF($L1335&gt;N$5,MAX(0,N$3+ROUND((N$9*($L1335-N$5)),0)),IF($L1335&gt;N$4,N$3,ROUND($L1335*N$7,0)))</f>
        <v/>
      </c>
      <c r="D1335" s="448">
        <f>IF($L1335&gt;O$5,MAX(0,O$3+ROUND((O$9*($L1335-O$5)),0)),IF($L1335&gt;O$4,O$3,ROUND($L1335*O$7,0)))</f>
        <v/>
      </c>
      <c r="E1335" s="448">
        <f>IF($L1335&gt;P$5,MAX(0,P$3+ROUND((P$9*($L1335-P$5)),0)),IF($L1335&gt;P$4,P$3,ROUND($L1335*P$7,0)))</f>
        <v/>
      </c>
      <c r="F1335" s="447">
        <f>IF($L1335&gt;Q$5,MAX(0,Q$3+ROUND((Q$9*($L1335-Q$5)),0)),IF($L1335&gt;Q$4,Q$3,ROUND($L1335*Q$7,0)))</f>
        <v/>
      </c>
      <c r="G1335" s="1378">
        <f>IF($L1335&gt;R$5,MAX(0,R$3+ROUND((R$9*($L1335-R$5)),0)),IF($L1335&gt;R$4,R$3,ROUND($L1335*R$7,0)))</f>
        <v/>
      </c>
      <c r="H1335" s="448">
        <f>IF($L1335&gt;S$5,MAX(0,S$3+ROUND((S$9*($L1335-S$5)),0)),IF($L1335&gt;S$4,S$3,ROUND($L1335*S$7,0)))</f>
        <v/>
      </c>
      <c r="I1335" s="448">
        <f>IF($L1335&gt;T$5,MAX(0,T$3+ROUND((T$9*($L1335-T$5)),0)),IF($L1335&gt;T$4,T$3,ROUND($L1335*T$7,0)))</f>
        <v/>
      </c>
      <c r="J1335" s="447">
        <f>IF($L1335&gt;U$5,MAX(0,U$3+ROUND((U$9*($L1335-U$5)),0)),IF($L1335&gt;U$4,U$3,ROUND($L1335*U$7,0)))</f>
        <v/>
      </c>
      <c r="L1335" s="448">
        <f>ROUND((A1335+B1335)/2,2)</f>
        <v/>
      </c>
    </row>
    <row r="1336" ht="13.5" customHeight="1" s="7635">
      <c r="A1336" s="448" t="n">
        <v>66300</v>
      </c>
      <c r="B1336" s="447" t="n">
        <v>66350</v>
      </c>
      <c r="C1336" s="1378">
        <f>IF($L1336&gt;N$5,MAX(0,N$3+ROUND((N$9*($L1336-N$5)),0)),IF($L1336&gt;N$4,N$3,ROUND($L1336*N$7,0)))</f>
        <v/>
      </c>
      <c r="D1336" s="448">
        <f>IF($L1336&gt;O$5,MAX(0,O$3+ROUND((O$9*($L1336-O$5)),0)),IF($L1336&gt;O$4,O$3,ROUND($L1336*O$7,0)))</f>
        <v/>
      </c>
      <c r="E1336" s="448">
        <f>IF($L1336&gt;P$5,MAX(0,P$3+ROUND((P$9*($L1336-P$5)),0)),IF($L1336&gt;P$4,P$3,ROUND($L1336*P$7,0)))</f>
        <v/>
      </c>
      <c r="F1336" s="447">
        <f>IF($L1336&gt;Q$5,MAX(0,Q$3+ROUND((Q$9*($L1336-Q$5)),0)),IF($L1336&gt;Q$4,Q$3,ROUND($L1336*Q$7,0)))</f>
        <v/>
      </c>
      <c r="G1336" s="1378">
        <f>IF($L1336&gt;R$5,MAX(0,R$3+ROUND((R$9*($L1336-R$5)),0)),IF($L1336&gt;R$4,R$3,ROUND($L1336*R$7,0)))</f>
        <v/>
      </c>
      <c r="H1336" s="448">
        <f>IF($L1336&gt;S$5,MAX(0,S$3+ROUND((S$9*($L1336-S$5)),0)),IF($L1336&gt;S$4,S$3,ROUND($L1336*S$7,0)))</f>
        <v/>
      </c>
      <c r="I1336" s="448">
        <f>IF($L1336&gt;T$5,MAX(0,T$3+ROUND((T$9*($L1336-T$5)),0)),IF($L1336&gt;T$4,T$3,ROUND($L1336*T$7,0)))</f>
        <v/>
      </c>
      <c r="J1336" s="447">
        <f>IF($L1336&gt;U$5,MAX(0,U$3+ROUND((U$9*($L1336-U$5)),0)),IF($L1336&gt;U$4,U$3,ROUND($L1336*U$7,0)))</f>
        <v/>
      </c>
      <c r="L1336" s="448">
        <f>ROUND((A1336+B1336)/2,2)</f>
        <v/>
      </c>
    </row>
    <row r="1337" ht="13.5" customHeight="1" s="7635">
      <c r="A1337" s="448" t="n">
        <v>66350</v>
      </c>
      <c r="B1337" s="447" t="n">
        <v>66400</v>
      </c>
      <c r="C1337" s="1378">
        <f>IF($L1337&gt;N$5,MAX(0,N$3+ROUND((N$9*($L1337-N$5)),0)),IF($L1337&gt;N$4,N$3,ROUND($L1337*N$7,0)))</f>
        <v/>
      </c>
      <c r="D1337" s="448">
        <f>IF($L1337&gt;O$5,MAX(0,O$3+ROUND((O$9*($L1337-O$5)),0)),IF($L1337&gt;O$4,O$3,ROUND($L1337*O$7,0)))</f>
        <v/>
      </c>
      <c r="E1337" s="448">
        <f>IF($L1337&gt;P$5,MAX(0,P$3+ROUND((P$9*($L1337-P$5)),0)),IF($L1337&gt;P$4,P$3,ROUND($L1337*P$7,0)))</f>
        <v/>
      </c>
      <c r="F1337" s="447">
        <f>IF($L1337&gt;Q$5,MAX(0,Q$3+ROUND((Q$9*($L1337-Q$5)),0)),IF($L1337&gt;Q$4,Q$3,ROUND($L1337*Q$7,0)))</f>
        <v/>
      </c>
      <c r="G1337" s="1378">
        <f>IF($L1337&gt;R$5,MAX(0,R$3+ROUND((R$9*($L1337-R$5)),0)),IF($L1337&gt;R$4,R$3,ROUND($L1337*R$7,0)))</f>
        <v/>
      </c>
      <c r="H1337" s="448">
        <f>IF($L1337&gt;S$5,MAX(0,S$3+ROUND((S$9*($L1337-S$5)),0)),IF($L1337&gt;S$4,S$3,ROUND($L1337*S$7,0)))</f>
        <v/>
      </c>
      <c r="I1337" s="448">
        <f>IF($L1337&gt;T$5,MAX(0,T$3+ROUND((T$9*($L1337-T$5)),0)),IF($L1337&gt;T$4,T$3,ROUND($L1337*T$7,0)))</f>
        <v/>
      </c>
      <c r="J1337" s="447">
        <f>IF($L1337&gt;U$5,MAX(0,U$3+ROUND((U$9*($L1337-U$5)),0)),IF($L1337&gt;U$4,U$3,ROUND($L1337*U$7,0)))</f>
        <v/>
      </c>
      <c r="L1337" s="448">
        <f>ROUND((A1337+B1337)/2,2)</f>
        <v/>
      </c>
    </row>
    <row r="1338" ht="13.5" customHeight="1" s="7635">
      <c r="A1338" s="448" t="n">
        <v>66400</v>
      </c>
      <c r="B1338" s="447" t="n">
        <v>66450</v>
      </c>
      <c r="C1338" s="1378">
        <f>IF($L1338&gt;N$5,MAX(0,N$3+ROUND((N$9*($L1338-N$5)),0)),IF($L1338&gt;N$4,N$3,ROUND($L1338*N$7,0)))</f>
        <v/>
      </c>
      <c r="D1338" s="448">
        <f>IF($L1338&gt;O$5,MAX(0,O$3+ROUND((O$9*($L1338-O$5)),0)),IF($L1338&gt;O$4,O$3,ROUND($L1338*O$7,0)))</f>
        <v/>
      </c>
      <c r="E1338" s="448">
        <f>IF($L1338&gt;P$5,MAX(0,P$3+ROUND((P$9*($L1338-P$5)),0)),IF($L1338&gt;P$4,P$3,ROUND($L1338*P$7,0)))</f>
        <v/>
      </c>
      <c r="F1338" s="447">
        <f>IF($L1338&gt;Q$5,MAX(0,Q$3+ROUND((Q$9*($L1338-Q$5)),0)),IF($L1338&gt;Q$4,Q$3,ROUND($L1338*Q$7,0)))</f>
        <v/>
      </c>
      <c r="G1338" s="1378">
        <f>IF($L1338&gt;R$5,MAX(0,R$3+ROUND((R$9*($L1338-R$5)),0)),IF($L1338&gt;R$4,R$3,ROUND($L1338*R$7,0)))</f>
        <v/>
      </c>
      <c r="H1338" s="448">
        <f>IF($L1338&gt;S$5,MAX(0,S$3+ROUND((S$9*($L1338-S$5)),0)),IF($L1338&gt;S$4,S$3,ROUND($L1338*S$7,0)))</f>
        <v/>
      </c>
      <c r="I1338" s="448">
        <f>IF($L1338&gt;T$5,MAX(0,T$3+ROUND((T$9*($L1338-T$5)),0)),IF($L1338&gt;T$4,T$3,ROUND($L1338*T$7,0)))</f>
        <v/>
      </c>
      <c r="J1338" s="447">
        <f>IF($L1338&gt;U$5,MAX(0,U$3+ROUND((U$9*($L1338-U$5)),0)),IF($L1338&gt;U$4,U$3,ROUND($L1338*U$7,0)))</f>
        <v/>
      </c>
      <c r="L1338" s="448">
        <f>ROUND((A1338+B1338)/2,2)</f>
        <v/>
      </c>
    </row>
    <row r="1339" ht="13.5" customHeight="1" s="7635">
      <c r="A1339" s="448" t="n">
        <v>66450</v>
      </c>
      <c r="B1339" s="447" t="n">
        <v>66500</v>
      </c>
      <c r="C1339" s="1378">
        <f>IF($L1339&gt;N$5,MAX(0,N$3+ROUND((N$9*($L1339-N$5)),0)),IF($L1339&gt;N$4,N$3,ROUND($L1339*N$7,0)))</f>
        <v/>
      </c>
      <c r="D1339" s="448">
        <f>IF($L1339&gt;O$5,MAX(0,O$3+ROUND((O$9*($L1339-O$5)),0)),IF($L1339&gt;O$4,O$3,ROUND($L1339*O$7,0)))</f>
        <v/>
      </c>
      <c r="E1339" s="448">
        <f>IF($L1339&gt;P$5,MAX(0,P$3+ROUND((P$9*($L1339-P$5)),0)),IF($L1339&gt;P$4,P$3,ROUND($L1339*P$7,0)))</f>
        <v/>
      </c>
      <c r="F1339" s="447">
        <f>IF($L1339&gt;Q$5,MAX(0,Q$3+ROUND((Q$9*($L1339-Q$5)),0)),IF($L1339&gt;Q$4,Q$3,ROUND($L1339*Q$7,0)))</f>
        <v/>
      </c>
      <c r="G1339" s="1378">
        <f>IF($L1339&gt;R$5,MAX(0,R$3+ROUND((R$9*($L1339-R$5)),0)),IF($L1339&gt;R$4,R$3,ROUND($L1339*R$7,0)))</f>
        <v/>
      </c>
      <c r="H1339" s="448">
        <f>IF($L1339&gt;S$5,MAX(0,S$3+ROUND((S$9*($L1339-S$5)),0)),IF($L1339&gt;S$4,S$3,ROUND($L1339*S$7,0)))</f>
        <v/>
      </c>
      <c r="I1339" s="448">
        <f>IF($L1339&gt;T$5,MAX(0,T$3+ROUND((T$9*($L1339-T$5)),0)),IF($L1339&gt;T$4,T$3,ROUND($L1339*T$7,0)))</f>
        <v/>
      </c>
      <c r="J1339" s="447">
        <f>IF($L1339&gt;U$5,MAX(0,U$3+ROUND((U$9*($L1339-U$5)),0)),IF($L1339&gt;U$4,U$3,ROUND($L1339*U$7,0)))</f>
        <v/>
      </c>
      <c r="L1339" s="448">
        <f>ROUND((A1339+B1339)/2,2)</f>
        <v/>
      </c>
    </row>
    <row r="1340" ht="13.5" customHeight="1" s="7635">
      <c r="A1340" s="448" t="n">
        <v>66500</v>
      </c>
      <c r="B1340" s="447" t="n">
        <v>66550</v>
      </c>
      <c r="C1340" s="1378">
        <f>IF($L1340&gt;N$5,MAX(0,N$3+ROUND((N$9*($L1340-N$5)),0)),IF($L1340&gt;N$4,N$3,ROUND($L1340*N$7,0)))</f>
        <v/>
      </c>
      <c r="D1340" s="448">
        <f>IF($L1340&gt;O$5,MAX(0,O$3+ROUND((O$9*($L1340-O$5)),0)),IF($L1340&gt;O$4,O$3,ROUND($L1340*O$7,0)))</f>
        <v/>
      </c>
      <c r="E1340" s="448">
        <f>IF($L1340&gt;P$5,MAX(0,P$3+ROUND((P$9*($L1340-P$5)),0)),IF($L1340&gt;P$4,P$3,ROUND($L1340*P$7,0)))</f>
        <v/>
      </c>
      <c r="F1340" s="447">
        <f>IF($L1340&gt;Q$5,MAX(0,Q$3+ROUND((Q$9*($L1340-Q$5)),0)),IF($L1340&gt;Q$4,Q$3,ROUND($L1340*Q$7,0)))</f>
        <v/>
      </c>
      <c r="G1340" s="1378">
        <f>IF($L1340&gt;R$5,MAX(0,R$3+ROUND((R$9*($L1340-R$5)),0)),IF($L1340&gt;R$4,R$3,ROUND($L1340*R$7,0)))</f>
        <v/>
      </c>
      <c r="H1340" s="448">
        <f>IF($L1340&gt;S$5,MAX(0,S$3+ROUND((S$9*($L1340-S$5)),0)),IF($L1340&gt;S$4,S$3,ROUND($L1340*S$7,0)))</f>
        <v/>
      </c>
      <c r="I1340" s="448">
        <f>IF($L1340&gt;T$5,MAX(0,T$3+ROUND((T$9*($L1340-T$5)),0)),IF($L1340&gt;T$4,T$3,ROUND($L1340*T$7,0)))</f>
        <v/>
      </c>
      <c r="J1340" s="447">
        <f>IF($L1340&gt;U$5,MAX(0,U$3+ROUND((U$9*($L1340-U$5)),0)),IF($L1340&gt;U$4,U$3,ROUND($L1340*U$7,0)))</f>
        <v/>
      </c>
      <c r="L1340" s="448">
        <f>ROUND((A1340+B1340)/2,2)</f>
        <v/>
      </c>
    </row>
    <row r="1341" ht="13.5" customHeight="1" s="7635">
      <c r="A1341" s="448" t="n">
        <v>66550</v>
      </c>
      <c r="B1341" s="447" t="n">
        <v>66600</v>
      </c>
      <c r="C1341" s="1378">
        <f>IF($L1341&gt;N$5,MAX(0,N$3+ROUND((N$9*($L1341-N$5)),0)),IF($L1341&gt;N$4,N$3,ROUND($L1341*N$7,0)))</f>
        <v/>
      </c>
      <c r="D1341" s="448">
        <f>IF($L1341&gt;O$5,MAX(0,O$3+ROUND((O$9*($L1341-O$5)),0)),IF($L1341&gt;O$4,O$3,ROUND($L1341*O$7,0)))</f>
        <v/>
      </c>
      <c r="E1341" s="448">
        <f>IF($L1341&gt;P$5,MAX(0,P$3+ROUND((P$9*($L1341-P$5)),0)),IF($L1341&gt;P$4,P$3,ROUND($L1341*P$7,0)))</f>
        <v/>
      </c>
      <c r="F1341" s="447">
        <f>IF($L1341&gt;Q$5,MAX(0,Q$3+ROUND((Q$9*($L1341-Q$5)),0)),IF($L1341&gt;Q$4,Q$3,ROUND($L1341*Q$7,0)))</f>
        <v/>
      </c>
      <c r="G1341" s="1378">
        <f>IF($L1341&gt;R$5,MAX(0,R$3+ROUND((R$9*($L1341-R$5)),0)),IF($L1341&gt;R$4,R$3,ROUND($L1341*R$7,0)))</f>
        <v/>
      </c>
      <c r="H1341" s="448">
        <f>IF($L1341&gt;S$5,MAX(0,S$3+ROUND((S$9*($L1341-S$5)),0)),IF($L1341&gt;S$4,S$3,ROUND($L1341*S$7,0)))</f>
        <v/>
      </c>
      <c r="I1341" s="448">
        <f>IF($L1341&gt;T$5,MAX(0,T$3+ROUND((T$9*($L1341-T$5)),0)),IF($L1341&gt;T$4,T$3,ROUND($L1341*T$7,0)))</f>
        <v/>
      </c>
      <c r="J1341" s="447">
        <f>IF($L1341&gt;U$5,MAX(0,U$3+ROUND((U$9*($L1341-U$5)),0)),IF($L1341&gt;U$4,U$3,ROUND($L1341*U$7,0)))</f>
        <v/>
      </c>
      <c r="L1341" s="448">
        <f>ROUND((A1341+B1341)/2,2)</f>
        <v/>
      </c>
    </row>
    <row r="1342" ht="13.5" customHeight="1" s="7635">
      <c r="A1342" s="448" t="n">
        <v>66600</v>
      </c>
      <c r="B1342" s="447" t="n">
        <v>66650</v>
      </c>
      <c r="C1342" s="1378">
        <f>IF($L1342&gt;N$5,MAX(0,N$3+ROUND((N$9*($L1342-N$5)),0)),IF($L1342&gt;N$4,N$3,ROUND($L1342*N$7,0)))</f>
        <v/>
      </c>
      <c r="D1342" s="448">
        <f>IF($L1342&gt;O$5,MAX(0,O$3+ROUND((O$9*($L1342-O$5)),0)),IF($L1342&gt;O$4,O$3,ROUND($L1342*O$7,0)))</f>
        <v/>
      </c>
      <c r="E1342" s="448">
        <f>IF($L1342&gt;P$5,MAX(0,P$3+ROUND((P$9*($L1342-P$5)),0)),IF($L1342&gt;P$4,P$3,ROUND($L1342*P$7,0)))</f>
        <v/>
      </c>
      <c r="F1342" s="447">
        <f>IF($L1342&gt;Q$5,MAX(0,Q$3+ROUND((Q$9*($L1342-Q$5)),0)),IF($L1342&gt;Q$4,Q$3,ROUND($L1342*Q$7,0)))</f>
        <v/>
      </c>
      <c r="G1342" s="1378">
        <f>IF($L1342&gt;R$5,MAX(0,R$3+ROUND((R$9*($L1342-R$5)),0)),IF($L1342&gt;R$4,R$3,ROUND($L1342*R$7,0)))</f>
        <v/>
      </c>
      <c r="H1342" s="448">
        <f>IF($L1342&gt;S$5,MAX(0,S$3+ROUND((S$9*($L1342-S$5)),0)),IF($L1342&gt;S$4,S$3,ROUND($L1342*S$7,0)))</f>
        <v/>
      </c>
      <c r="I1342" s="448">
        <f>IF($L1342&gt;T$5,MAX(0,T$3+ROUND((T$9*($L1342-T$5)),0)),IF($L1342&gt;T$4,T$3,ROUND($L1342*T$7,0)))</f>
        <v/>
      </c>
      <c r="J1342" s="447">
        <f>IF($L1342&gt;U$5,MAX(0,U$3+ROUND((U$9*($L1342-U$5)),0)),IF($L1342&gt;U$4,U$3,ROUND($L1342*U$7,0)))</f>
        <v/>
      </c>
      <c r="L1342" s="448">
        <f>ROUND((A1342+B1342)/2,2)</f>
        <v/>
      </c>
    </row>
    <row r="1343" ht="13.5" customHeight="1" s="7635">
      <c r="A1343" s="448" t="n">
        <v>66650</v>
      </c>
      <c r="B1343" s="447" t="n">
        <v>66700</v>
      </c>
      <c r="C1343" s="1378">
        <f>IF($L1343&gt;N$5,MAX(0,N$3+ROUND((N$9*($L1343-N$5)),0)),IF($L1343&gt;N$4,N$3,ROUND($L1343*N$7,0)))</f>
        <v/>
      </c>
      <c r="D1343" s="448">
        <f>IF($L1343&gt;O$5,MAX(0,O$3+ROUND((O$9*($L1343-O$5)),0)),IF($L1343&gt;O$4,O$3,ROUND($L1343*O$7,0)))</f>
        <v/>
      </c>
      <c r="E1343" s="448">
        <f>IF($L1343&gt;P$5,MAX(0,P$3+ROUND((P$9*($L1343-P$5)),0)),IF($L1343&gt;P$4,P$3,ROUND($L1343*P$7,0)))</f>
        <v/>
      </c>
      <c r="F1343" s="447">
        <f>IF($L1343&gt;Q$5,MAX(0,Q$3+ROUND((Q$9*($L1343-Q$5)),0)),IF($L1343&gt;Q$4,Q$3,ROUND($L1343*Q$7,0)))</f>
        <v/>
      </c>
      <c r="G1343" s="1378">
        <f>IF($L1343&gt;R$5,MAX(0,R$3+ROUND((R$9*($L1343-R$5)),0)),IF($L1343&gt;R$4,R$3,ROUND($L1343*R$7,0)))</f>
        <v/>
      </c>
      <c r="H1343" s="448">
        <f>IF($L1343&gt;S$5,MAX(0,S$3+ROUND((S$9*($L1343-S$5)),0)),IF($L1343&gt;S$4,S$3,ROUND($L1343*S$7,0)))</f>
        <v/>
      </c>
      <c r="I1343" s="448">
        <f>IF($L1343&gt;T$5,MAX(0,T$3+ROUND((T$9*($L1343-T$5)),0)),IF($L1343&gt;T$4,T$3,ROUND($L1343*T$7,0)))</f>
        <v/>
      </c>
      <c r="J1343" s="447">
        <f>IF($L1343&gt;U$5,MAX(0,U$3+ROUND((U$9*($L1343-U$5)),0)),IF($L1343&gt;U$4,U$3,ROUND($L1343*U$7,0)))</f>
        <v/>
      </c>
      <c r="L1343" s="448">
        <f>ROUND((A1343+B1343)/2,2)</f>
        <v/>
      </c>
    </row>
    <row r="1344" ht="13.5" customHeight="1" s="7635">
      <c r="A1344" s="448" t="n">
        <v>66700</v>
      </c>
      <c r="B1344" s="447" t="n">
        <v>66750</v>
      </c>
      <c r="C1344" s="1378">
        <f>IF($L1344&gt;N$5,MAX(0,N$3+ROUND((N$9*($L1344-N$5)),0)),IF($L1344&gt;N$4,N$3,ROUND($L1344*N$7,0)))</f>
        <v/>
      </c>
      <c r="D1344" s="448">
        <f>IF($L1344&gt;O$5,MAX(0,O$3+ROUND((O$9*($L1344-O$5)),0)),IF($L1344&gt;O$4,O$3,ROUND($L1344*O$7,0)))</f>
        <v/>
      </c>
      <c r="E1344" s="448">
        <f>IF($L1344&gt;P$5,MAX(0,P$3+ROUND((P$9*($L1344-P$5)),0)),IF($L1344&gt;P$4,P$3,ROUND($L1344*P$7,0)))</f>
        <v/>
      </c>
      <c r="F1344" s="447">
        <f>IF($L1344&gt;Q$5,MAX(0,Q$3+ROUND((Q$9*($L1344-Q$5)),0)),IF($L1344&gt;Q$4,Q$3,ROUND($L1344*Q$7,0)))</f>
        <v/>
      </c>
      <c r="G1344" s="1378">
        <f>IF($L1344&gt;R$5,MAX(0,R$3+ROUND((R$9*($L1344-R$5)),0)),IF($L1344&gt;R$4,R$3,ROUND($L1344*R$7,0)))</f>
        <v/>
      </c>
      <c r="H1344" s="448">
        <f>IF($L1344&gt;S$5,MAX(0,S$3+ROUND((S$9*($L1344-S$5)),0)),IF($L1344&gt;S$4,S$3,ROUND($L1344*S$7,0)))</f>
        <v/>
      </c>
      <c r="I1344" s="448">
        <f>IF($L1344&gt;T$5,MAX(0,T$3+ROUND((T$9*($L1344-T$5)),0)),IF($L1344&gt;T$4,T$3,ROUND($L1344*T$7,0)))</f>
        <v/>
      </c>
      <c r="J1344" s="447">
        <f>IF($L1344&gt;U$5,MAX(0,U$3+ROUND((U$9*($L1344-U$5)),0)),IF($L1344&gt;U$4,U$3,ROUND($L1344*U$7,0)))</f>
        <v/>
      </c>
      <c r="L1344" s="448">
        <f>ROUND((A1344+B1344)/2,2)</f>
        <v/>
      </c>
    </row>
    <row r="1345" ht="13.5" customHeight="1" s="7635">
      <c r="A1345" s="448" t="n">
        <v>66750</v>
      </c>
      <c r="B1345" s="447" t="n">
        <v>66800</v>
      </c>
      <c r="C1345" s="1378">
        <f>IF($L1345&gt;N$5,MAX(0,N$3+ROUND((N$9*($L1345-N$5)),0)),IF($L1345&gt;N$4,N$3,ROUND($L1345*N$7,0)))</f>
        <v/>
      </c>
      <c r="D1345" s="448">
        <f>IF($L1345&gt;O$5,MAX(0,O$3+ROUND((O$9*($L1345-O$5)),0)),IF($L1345&gt;O$4,O$3,ROUND($L1345*O$7,0)))</f>
        <v/>
      </c>
      <c r="E1345" s="448">
        <f>IF($L1345&gt;P$5,MAX(0,P$3+ROUND((P$9*($L1345-P$5)),0)),IF($L1345&gt;P$4,P$3,ROUND($L1345*P$7,0)))</f>
        <v/>
      </c>
      <c r="F1345" s="447">
        <f>IF($L1345&gt;Q$5,MAX(0,Q$3+ROUND((Q$9*($L1345-Q$5)),0)),IF($L1345&gt;Q$4,Q$3,ROUND($L1345*Q$7,0)))</f>
        <v/>
      </c>
      <c r="G1345" s="1378">
        <f>IF($L1345&gt;R$5,MAX(0,R$3+ROUND((R$9*($L1345-R$5)),0)),IF($L1345&gt;R$4,R$3,ROUND($L1345*R$7,0)))</f>
        <v/>
      </c>
      <c r="H1345" s="448">
        <f>IF($L1345&gt;S$5,MAX(0,S$3+ROUND((S$9*($L1345-S$5)),0)),IF($L1345&gt;S$4,S$3,ROUND($L1345*S$7,0)))</f>
        <v/>
      </c>
      <c r="I1345" s="448">
        <f>IF($L1345&gt;T$5,MAX(0,T$3+ROUND((T$9*($L1345-T$5)),0)),IF($L1345&gt;T$4,T$3,ROUND($L1345*T$7,0)))</f>
        <v/>
      </c>
      <c r="J1345" s="447">
        <f>IF($L1345&gt;U$5,MAX(0,U$3+ROUND((U$9*($L1345-U$5)),0)),IF($L1345&gt;U$4,U$3,ROUND($L1345*U$7,0)))</f>
        <v/>
      </c>
      <c r="L1345" s="448">
        <f>ROUND((A1345+B1345)/2,2)</f>
        <v/>
      </c>
    </row>
    <row r="1346" ht="13.5" customHeight="1" s="7635">
      <c r="A1346" s="448" t="n">
        <v>66800</v>
      </c>
      <c r="B1346" s="447" t="n">
        <v>66850</v>
      </c>
      <c r="C1346" s="1378">
        <f>IF($L1346&gt;N$5,MAX(0,N$3+ROUND((N$9*($L1346-N$5)),0)),IF($L1346&gt;N$4,N$3,ROUND($L1346*N$7,0)))</f>
        <v/>
      </c>
      <c r="D1346" s="448">
        <f>IF($L1346&gt;O$5,MAX(0,O$3+ROUND((O$9*($L1346-O$5)),0)),IF($L1346&gt;O$4,O$3,ROUND($L1346*O$7,0)))</f>
        <v/>
      </c>
      <c r="E1346" s="448">
        <f>IF($L1346&gt;P$5,MAX(0,P$3+ROUND((P$9*($L1346-P$5)),0)),IF($L1346&gt;P$4,P$3,ROUND($L1346*P$7,0)))</f>
        <v/>
      </c>
      <c r="F1346" s="447">
        <f>IF($L1346&gt;Q$5,MAX(0,Q$3+ROUND((Q$9*($L1346-Q$5)),0)),IF($L1346&gt;Q$4,Q$3,ROUND($L1346*Q$7,0)))</f>
        <v/>
      </c>
      <c r="G1346" s="1378">
        <f>IF($L1346&gt;R$5,MAX(0,R$3+ROUND((R$9*($L1346-R$5)),0)),IF($L1346&gt;R$4,R$3,ROUND($L1346*R$7,0)))</f>
        <v/>
      </c>
      <c r="H1346" s="448">
        <f>IF($L1346&gt;S$5,MAX(0,S$3+ROUND((S$9*($L1346-S$5)),0)),IF($L1346&gt;S$4,S$3,ROUND($L1346*S$7,0)))</f>
        <v/>
      </c>
      <c r="I1346" s="448">
        <f>IF($L1346&gt;T$5,MAX(0,T$3+ROUND((T$9*($L1346-T$5)),0)),IF($L1346&gt;T$4,T$3,ROUND($L1346*T$7,0)))</f>
        <v/>
      </c>
      <c r="J1346" s="447">
        <f>IF($L1346&gt;U$5,MAX(0,U$3+ROUND((U$9*($L1346-U$5)),0)),IF($L1346&gt;U$4,U$3,ROUND($L1346*U$7,0)))</f>
        <v/>
      </c>
      <c r="L1346" s="448">
        <f>ROUND((A1346+B1346)/2,2)</f>
        <v/>
      </c>
    </row>
    <row r="1347" ht="13.5" customHeight="1" s="7635">
      <c r="A1347" s="448" t="n">
        <v>66850</v>
      </c>
      <c r="B1347" s="447" t="n">
        <v>66900</v>
      </c>
      <c r="C1347" s="1378">
        <f>IF($L1347&gt;N$5,MAX(0,N$3+ROUND((N$9*($L1347-N$5)),0)),IF($L1347&gt;N$4,N$3,ROUND($L1347*N$7,0)))</f>
        <v/>
      </c>
      <c r="D1347" s="448">
        <f>IF($L1347&gt;O$5,MAX(0,O$3+ROUND((O$9*($L1347-O$5)),0)),IF($L1347&gt;O$4,O$3,ROUND($L1347*O$7,0)))</f>
        <v/>
      </c>
      <c r="E1347" s="448">
        <f>IF($L1347&gt;P$5,MAX(0,P$3+ROUND((P$9*($L1347-P$5)),0)),IF($L1347&gt;P$4,P$3,ROUND($L1347*P$7,0)))</f>
        <v/>
      </c>
      <c r="F1347" s="447">
        <f>IF($L1347&gt;Q$5,MAX(0,Q$3+ROUND((Q$9*($L1347-Q$5)),0)),IF($L1347&gt;Q$4,Q$3,ROUND($L1347*Q$7,0)))</f>
        <v/>
      </c>
      <c r="G1347" s="1378">
        <f>IF($L1347&gt;R$5,MAX(0,R$3+ROUND((R$9*($L1347-R$5)),0)),IF($L1347&gt;R$4,R$3,ROUND($L1347*R$7,0)))</f>
        <v/>
      </c>
      <c r="H1347" s="448">
        <f>IF($L1347&gt;S$5,MAX(0,S$3+ROUND((S$9*($L1347-S$5)),0)),IF($L1347&gt;S$4,S$3,ROUND($L1347*S$7,0)))</f>
        <v/>
      </c>
      <c r="I1347" s="448">
        <f>IF($L1347&gt;T$5,MAX(0,T$3+ROUND((T$9*($L1347-T$5)),0)),IF($L1347&gt;T$4,T$3,ROUND($L1347*T$7,0)))</f>
        <v/>
      </c>
      <c r="J1347" s="447">
        <f>IF($L1347&gt;U$5,MAX(0,U$3+ROUND((U$9*($L1347-U$5)),0)),IF($L1347&gt;U$4,U$3,ROUND($L1347*U$7,0)))</f>
        <v/>
      </c>
      <c r="L1347" s="448">
        <f>ROUND((A1347+B1347)/2,2)</f>
        <v/>
      </c>
    </row>
    <row r="1348" ht="13.5" customHeight="1" s="7635">
      <c r="A1348" s="448" t="n">
        <v>66900</v>
      </c>
      <c r="B1348" s="447" t="n">
        <v>66950</v>
      </c>
      <c r="C1348" s="1378">
        <f>IF($L1348&gt;N$5,MAX(0,N$3+ROUND((N$9*($L1348-N$5)),0)),IF($L1348&gt;N$4,N$3,ROUND($L1348*N$7,0)))</f>
        <v/>
      </c>
      <c r="D1348" s="448">
        <f>IF($L1348&gt;O$5,MAX(0,O$3+ROUND((O$9*($L1348-O$5)),0)),IF($L1348&gt;O$4,O$3,ROUND($L1348*O$7,0)))</f>
        <v/>
      </c>
      <c r="E1348" s="448">
        <f>IF($L1348&gt;P$5,MAX(0,P$3+ROUND((P$9*($L1348-P$5)),0)),IF($L1348&gt;P$4,P$3,ROUND($L1348*P$7,0)))</f>
        <v/>
      </c>
      <c r="F1348" s="447">
        <f>IF($L1348&gt;Q$5,MAX(0,Q$3+ROUND((Q$9*($L1348-Q$5)),0)),IF($L1348&gt;Q$4,Q$3,ROUND($L1348*Q$7,0)))</f>
        <v/>
      </c>
      <c r="G1348" s="1378">
        <f>IF($L1348&gt;R$5,MAX(0,R$3+ROUND((R$9*($L1348-R$5)),0)),IF($L1348&gt;R$4,R$3,ROUND($L1348*R$7,0)))</f>
        <v/>
      </c>
      <c r="H1348" s="448">
        <f>IF($L1348&gt;S$5,MAX(0,S$3+ROUND((S$9*($L1348-S$5)),0)),IF($L1348&gt;S$4,S$3,ROUND($L1348*S$7,0)))</f>
        <v/>
      </c>
      <c r="I1348" s="448">
        <f>IF($L1348&gt;T$5,MAX(0,T$3+ROUND((T$9*($L1348-T$5)),0)),IF($L1348&gt;T$4,T$3,ROUND($L1348*T$7,0)))</f>
        <v/>
      </c>
      <c r="J1348" s="447">
        <f>IF($L1348&gt;U$5,MAX(0,U$3+ROUND((U$9*($L1348-U$5)),0)),IF($L1348&gt;U$4,U$3,ROUND($L1348*U$7,0)))</f>
        <v/>
      </c>
      <c r="L1348" s="448">
        <f>ROUND((A1348+B1348)/2,2)</f>
        <v/>
      </c>
    </row>
    <row r="1349" ht="13.5" customHeight="1" s="7635">
      <c r="A1349" s="448" t="n">
        <v>66950</v>
      </c>
      <c r="B1349" s="447" t="n">
        <v>67000</v>
      </c>
      <c r="C1349" s="1378">
        <f>IF($L1349&gt;N$5,MAX(0,N$3+ROUND((N$9*($L1349-N$5)),0)),IF($L1349&gt;N$4,N$3,ROUND($L1349*N$7,0)))</f>
        <v/>
      </c>
      <c r="D1349" s="448">
        <f>IF($L1349&gt;O$5,MAX(0,O$3+ROUND((O$9*($L1349-O$5)),0)),IF($L1349&gt;O$4,O$3,ROUND($L1349*O$7,0)))</f>
        <v/>
      </c>
      <c r="E1349" s="448">
        <f>IF($L1349&gt;P$5,MAX(0,P$3+ROUND((P$9*($L1349-P$5)),0)),IF($L1349&gt;P$4,P$3,ROUND($L1349*P$7,0)))</f>
        <v/>
      </c>
      <c r="F1349" s="447">
        <f>IF($L1349&gt;Q$5,MAX(0,Q$3+ROUND((Q$9*($L1349-Q$5)),0)),IF($L1349&gt;Q$4,Q$3,ROUND($L1349*Q$7,0)))</f>
        <v/>
      </c>
      <c r="G1349" s="1378">
        <f>IF($L1349&gt;R$5,MAX(0,R$3+ROUND((R$9*($L1349-R$5)),0)),IF($L1349&gt;R$4,R$3,ROUND($L1349*R$7,0)))</f>
        <v/>
      </c>
      <c r="H1349" s="448">
        <f>IF($L1349&gt;S$5,MAX(0,S$3+ROUND((S$9*($L1349-S$5)),0)),IF($L1349&gt;S$4,S$3,ROUND($L1349*S$7,0)))</f>
        <v/>
      </c>
      <c r="I1349" s="448">
        <f>IF($L1349&gt;T$5,MAX(0,T$3+ROUND((T$9*($L1349-T$5)),0)),IF($L1349&gt;T$4,T$3,ROUND($L1349*T$7,0)))</f>
        <v/>
      </c>
      <c r="J1349" s="447">
        <f>IF($L1349&gt;U$5,MAX(0,U$3+ROUND((U$9*($L1349-U$5)),0)),IF($L1349&gt;U$4,U$3,ROUND($L1349*U$7,0)))</f>
        <v/>
      </c>
      <c r="L1349" s="448">
        <f>ROUND((A1349+B1349)/2,2)</f>
        <v/>
      </c>
    </row>
    <row r="1350" ht="13.5" customHeight="1" s="7635">
      <c r="A1350" s="448" t="n">
        <v>67000</v>
      </c>
      <c r="B1350" s="447" t="n">
        <v>67050</v>
      </c>
      <c r="C1350" s="1378">
        <f>IF($L1350&gt;N$5,MAX(0,N$3+ROUND((N$9*($L1350-N$5)),0)),IF($L1350&gt;N$4,N$3,ROUND($L1350*N$7,0)))</f>
        <v/>
      </c>
      <c r="D1350" s="448">
        <f>IF($L1350&gt;O$5,MAX(0,O$3+ROUND((O$9*($L1350-O$5)),0)),IF($L1350&gt;O$4,O$3,ROUND($L1350*O$7,0)))</f>
        <v/>
      </c>
      <c r="E1350" s="448">
        <f>IF($L1350&gt;P$5,MAX(0,P$3+ROUND((P$9*($L1350-P$5)),0)),IF($L1350&gt;P$4,P$3,ROUND($L1350*P$7,0)))</f>
        <v/>
      </c>
      <c r="F1350" s="447">
        <f>IF($L1350&gt;Q$5,MAX(0,Q$3+ROUND((Q$9*($L1350-Q$5)),0)),IF($L1350&gt;Q$4,Q$3,ROUND($L1350*Q$7,0)))</f>
        <v/>
      </c>
      <c r="G1350" s="1378">
        <f>IF($L1350&gt;R$5,MAX(0,R$3+ROUND((R$9*($L1350-R$5)),0)),IF($L1350&gt;R$4,R$3,ROUND($L1350*R$7,0)))</f>
        <v/>
      </c>
      <c r="H1350" s="448">
        <f>IF($L1350&gt;S$5,MAX(0,S$3+ROUND((S$9*($L1350-S$5)),0)),IF($L1350&gt;S$4,S$3,ROUND($L1350*S$7,0)))</f>
        <v/>
      </c>
      <c r="I1350" s="448">
        <f>IF($L1350&gt;T$5,MAX(0,T$3+ROUND((T$9*($L1350-T$5)),0)),IF($L1350&gt;T$4,T$3,ROUND($L1350*T$7,0)))</f>
        <v/>
      </c>
      <c r="J1350" s="447">
        <f>IF($L1350&gt;U$5,MAX(0,U$3+ROUND((U$9*($L1350-U$5)),0)),IF($L1350&gt;U$4,U$3,ROUND($L1350*U$7,0)))</f>
        <v/>
      </c>
      <c r="L1350" s="448">
        <f>ROUND((A1350+B1350)/2,2)</f>
        <v/>
      </c>
    </row>
    <row r="1351" ht="13.5" customHeight="1" s="7635">
      <c r="A1351" s="448" t="n">
        <v>67050</v>
      </c>
      <c r="B1351" s="447" t="n">
        <v>67100</v>
      </c>
      <c r="C1351" s="1378">
        <f>IF($L1351&gt;N$5,MAX(0,N$3+ROUND((N$9*($L1351-N$5)),0)),IF($L1351&gt;N$4,N$3,ROUND($L1351*N$7,0)))</f>
        <v/>
      </c>
      <c r="D1351" s="448">
        <f>IF($L1351&gt;O$5,MAX(0,O$3+ROUND((O$9*($L1351-O$5)),0)),IF($L1351&gt;O$4,O$3,ROUND($L1351*O$7,0)))</f>
        <v/>
      </c>
      <c r="E1351" s="448">
        <f>IF($L1351&gt;P$5,MAX(0,P$3+ROUND((P$9*($L1351-P$5)),0)),IF($L1351&gt;P$4,P$3,ROUND($L1351*P$7,0)))</f>
        <v/>
      </c>
      <c r="F1351" s="447">
        <f>IF($L1351&gt;Q$5,MAX(0,Q$3+ROUND((Q$9*($L1351-Q$5)),0)),IF($L1351&gt;Q$4,Q$3,ROUND($L1351*Q$7,0)))</f>
        <v/>
      </c>
      <c r="G1351" s="1378">
        <f>IF($L1351&gt;R$5,MAX(0,R$3+ROUND((R$9*($L1351-R$5)),0)),IF($L1351&gt;R$4,R$3,ROUND($L1351*R$7,0)))</f>
        <v/>
      </c>
      <c r="H1351" s="448">
        <f>IF($L1351&gt;S$5,MAX(0,S$3+ROUND((S$9*($L1351-S$5)),0)),IF($L1351&gt;S$4,S$3,ROUND($L1351*S$7,0)))</f>
        <v/>
      </c>
      <c r="I1351" s="448">
        <f>IF($L1351&gt;T$5,MAX(0,T$3+ROUND((T$9*($L1351-T$5)),0)),IF($L1351&gt;T$4,T$3,ROUND($L1351*T$7,0)))</f>
        <v/>
      </c>
      <c r="J1351" s="447">
        <f>IF($L1351&gt;U$5,MAX(0,U$3+ROUND((U$9*($L1351-U$5)),0)),IF($L1351&gt;U$4,U$3,ROUND($L1351*U$7,0)))</f>
        <v/>
      </c>
      <c r="L1351" s="448">
        <f>ROUND((A1351+B1351)/2,2)</f>
        <v/>
      </c>
    </row>
    <row r="1352" ht="13.5" customHeight="1" s="7635">
      <c r="A1352" s="448" t="n">
        <v>67100</v>
      </c>
      <c r="B1352" s="447" t="n">
        <v>67150</v>
      </c>
      <c r="C1352" s="1378">
        <f>IF($L1352&gt;N$5,MAX(0,N$3+ROUND((N$9*($L1352-N$5)),0)),IF($L1352&gt;N$4,N$3,ROUND($L1352*N$7,0)))</f>
        <v/>
      </c>
      <c r="D1352" s="448">
        <f>IF($L1352&gt;O$5,MAX(0,O$3+ROUND((O$9*($L1352-O$5)),0)),IF($L1352&gt;O$4,O$3,ROUND($L1352*O$7,0)))</f>
        <v/>
      </c>
      <c r="E1352" s="448">
        <f>IF($L1352&gt;P$5,MAX(0,P$3+ROUND((P$9*($L1352-P$5)),0)),IF($L1352&gt;P$4,P$3,ROUND($L1352*P$7,0)))</f>
        <v/>
      </c>
      <c r="F1352" s="447">
        <f>IF($L1352&gt;Q$5,MAX(0,Q$3+ROUND((Q$9*($L1352-Q$5)),0)),IF($L1352&gt;Q$4,Q$3,ROUND($L1352*Q$7,0)))</f>
        <v/>
      </c>
      <c r="G1352" s="1378">
        <f>IF($L1352&gt;R$5,MAX(0,R$3+ROUND((R$9*($L1352-R$5)),0)),IF($L1352&gt;R$4,R$3,ROUND($L1352*R$7,0)))</f>
        <v/>
      </c>
      <c r="H1352" s="448">
        <f>IF($L1352&gt;S$5,MAX(0,S$3+ROUND((S$9*($L1352-S$5)),0)),IF($L1352&gt;S$4,S$3,ROUND($L1352*S$7,0)))</f>
        <v/>
      </c>
      <c r="I1352" s="448">
        <f>IF($L1352&gt;T$5,MAX(0,T$3+ROUND((T$9*($L1352-T$5)),0)),IF($L1352&gt;T$4,T$3,ROUND($L1352*T$7,0)))</f>
        <v/>
      </c>
      <c r="J1352" s="447">
        <f>IF($L1352&gt;U$5,MAX(0,U$3+ROUND((U$9*($L1352-U$5)),0)),IF($L1352&gt;U$4,U$3,ROUND($L1352*U$7,0)))</f>
        <v/>
      </c>
      <c r="L1352" s="448">
        <f>ROUND((A1352+B1352)/2,2)</f>
        <v/>
      </c>
    </row>
    <row r="1353" ht="13.5" customHeight="1" s="7635">
      <c r="A1353" s="448" t="n">
        <v>67150</v>
      </c>
      <c r="B1353" s="447" t="n">
        <v>67200</v>
      </c>
      <c r="C1353" s="1378">
        <f>IF($L1353&gt;N$5,MAX(0,N$3+ROUND((N$9*($L1353-N$5)),0)),IF($L1353&gt;N$4,N$3,ROUND($L1353*N$7,0)))</f>
        <v/>
      </c>
      <c r="D1353" s="448">
        <f>IF($L1353&gt;O$5,MAX(0,O$3+ROUND((O$9*($L1353-O$5)),0)),IF($L1353&gt;O$4,O$3,ROUND($L1353*O$7,0)))</f>
        <v/>
      </c>
      <c r="E1353" s="448">
        <f>IF($L1353&gt;P$5,MAX(0,P$3+ROUND((P$9*($L1353-P$5)),0)),IF($L1353&gt;P$4,P$3,ROUND($L1353*P$7,0)))</f>
        <v/>
      </c>
      <c r="F1353" s="447">
        <f>IF($L1353&gt;Q$5,MAX(0,Q$3+ROUND((Q$9*($L1353-Q$5)),0)),IF($L1353&gt;Q$4,Q$3,ROUND($L1353*Q$7,0)))</f>
        <v/>
      </c>
      <c r="G1353" s="1378">
        <f>IF($L1353&gt;R$5,MAX(0,R$3+ROUND((R$9*($L1353-R$5)),0)),IF($L1353&gt;R$4,R$3,ROUND($L1353*R$7,0)))</f>
        <v/>
      </c>
      <c r="H1353" s="448">
        <f>IF($L1353&gt;S$5,MAX(0,S$3+ROUND((S$9*($L1353-S$5)),0)),IF($L1353&gt;S$4,S$3,ROUND($L1353*S$7,0)))</f>
        <v/>
      </c>
      <c r="I1353" s="448">
        <f>IF($L1353&gt;T$5,MAX(0,T$3+ROUND((T$9*($L1353-T$5)),0)),IF($L1353&gt;T$4,T$3,ROUND($L1353*T$7,0)))</f>
        <v/>
      </c>
      <c r="J1353" s="447">
        <f>IF($L1353&gt;U$5,MAX(0,U$3+ROUND((U$9*($L1353-U$5)),0)),IF($L1353&gt;U$4,U$3,ROUND($L1353*U$7,0)))</f>
        <v/>
      </c>
      <c r="L1353" s="448">
        <f>ROUND((A1353+B1353)/2,2)</f>
        <v/>
      </c>
    </row>
    <row r="1354" ht="13.5" customHeight="1" s="7635">
      <c r="A1354" s="448" t="n">
        <v>67200</v>
      </c>
      <c r="B1354" s="447" t="n">
        <v>67250</v>
      </c>
      <c r="C1354" s="1378">
        <f>IF($L1354&gt;N$5,MAX(0,N$3+ROUND((N$9*($L1354-N$5)),0)),IF($L1354&gt;N$4,N$3,ROUND($L1354*N$7,0)))</f>
        <v/>
      </c>
      <c r="D1354" s="448">
        <f>IF($L1354&gt;O$5,MAX(0,O$3+ROUND((O$9*($L1354-O$5)),0)),IF($L1354&gt;O$4,O$3,ROUND($L1354*O$7,0)))</f>
        <v/>
      </c>
      <c r="E1354" s="448">
        <f>IF($L1354&gt;P$5,MAX(0,P$3+ROUND((P$9*($L1354-P$5)),0)),IF($L1354&gt;P$4,P$3,ROUND($L1354*P$7,0)))</f>
        <v/>
      </c>
      <c r="F1354" s="447">
        <f>IF($L1354&gt;Q$5,MAX(0,Q$3+ROUND((Q$9*($L1354-Q$5)),0)),IF($L1354&gt;Q$4,Q$3,ROUND($L1354*Q$7,0)))</f>
        <v/>
      </c>
      <c r="G1354" s="1378">
        <f>IF($L1354&gt;R$5,MAX(0,R$3+ROUND((R$9*($L1354-R$5)),0)),IF($L1354&gt;R$4,R$3,ROUND($L1354*R$7,0)))</f>
        <v/>
      </c>
      <c r="H1354" s="448">
        <f>IF($L1354&gt;S$5,MAX(0,S$3+ROUND((S$9*($L1354-S$5)),0)),IF($L1354&gt;S$4,S$3,ROUND($L1354*S$7,0)))</f>
        <v/>
      </c>
      <c r="I1354" s="448">
        <f>IF($L1354&gt;T$5,MAX(0,T$3+ROUND((T$9*($L1354-T$5)),0)),IF($L1354&gt;T$4,T$3,ROUND($L1354*T$7,0)))</f>
        <v/>
      </c>
      <c r="J1354" s="447">
        <f>IF($L1354&gt;U$5,MAX(0,U$3+ROUND((U$9*($L1354-U$5)),0)),IF($L1354&gt;U$4,U$3,ROUND($L1354*U$7,0)))</f>
        <v/>
      </c>
      <c r="L1354" s="448">
        <f>ROUND((A1354+B1354)/2,2)</f>
        <v/>
      </c>
    </row>
    <row r="1355" ht="13.5" customHeight="1" s="7635">
      <c r="A1355" s="448" t="n">
        <v>67250</v>
      </c>
      <c r="B1355" s="447" t="n">
        <v>67300</v>
      </c>
      <c r="C1355" s="1378">
        <f>IF($L1355&gt;N$5,MAX(0,N$3+ROUND((N$9*($L1355-N$5)),0)),IF($L1355&gt;N$4,N$3,ROUND($L1355*N$7,0)))</f>
        <v/>
      </c>
      <c r="D1355" s="448">
        <f>IF($L1355&gt;O$5,MAX(0,O$3+ROUND((O$9*($L1355-O$5)),0)),IF($L1355&gt;O$4,O$3,ROUND($L1355*O$7,0)))</f>
        <v/>
      </c>
      <c r="E1355" s="448">
        <f>IF($L1355&gt;P$5,MAX(0,P$3+ROUND((P$9*($L1355-P$5)),0)),IF($L1355&gt;P$4,P$3,ROUND($L1355*P$7,0)))</f>
        <v/>
      </c>
      <c r="F1355" s="447">
        <f>IF($L1355&gt;Q$5,MAX(0,Q$3+ROUND((Q$9*($L1355-Q$5)),0)),IF($L1355&gt;Q$4,Q$3,ROUND($L1355*Q$7,0)))</f>
        <v/>
      </c>
      <c r="G1355" s="1378">
        <f>IF($L1355&gt;R$5,MAX(0,R$3+ROUND((R$9*($L1355-R$5)),0)),IF($L1355&gt;R$4,R$3,ROUND($L1355*R$7,0)))</f>
        <v/>
      </c>
      <c r="H1355" s="448">
        <f>IF($L1355&gt;S$5,MAX(0,S$3+ROUND((S$9*($L1355-S$5)),0)),IF($L1355&gt;S$4,S$3,ROUND($L1355*S$7,0)))</f>
        <v/>
      </c>
      <c r="I1355" s="448">
        <f>IF($L1355&gt;T$5,MAX(0,T$3+ROUND((T$9*($L1355-T$5)),0)),IF($L1355&gt;T$4,T$3,ROUND($L1355*T$7,0)))</f>
        <v/>
      </c>
      <c r="J1355" s="447">
        <f>IF($L1355&gt;U$5,MAX(0,U$3+ROUND((U$9*($L1355-U$5)),0)),IF($L1355&gt;U$4,U$3,ROUND($L1355*U$7,0)))</f>
        <v/>
      </c>
      <c r="L1355" s="448">
        <f>ROUND((A1355+B1355)/2,2)</f>
        <v/>
      </c>
    </row>
    <row r="1356" ht="13.5" customHeight="1" s="7635">
      <c r="A1356" s="448" t="n">
        <v>67300</v>
      </c>
      <c r="B1356" s="447" t="n">
        <v>67350</v>
      </c>
      <c r="C1356" s="1378">
        <f>IF($L1356&gt;N$5,MAX(0,N$3+ROUND((N$9*($L1356-N$5)),0)),IF($L1356&gt;N$4,N$3,ROUND($L1356*N$7,0)))</f>
        <v/>
      </c>
      <c r="D1356" s="448">
        <f>IF($L1356&gt;O$5,MAX(0,O$3+ROUND((O$9*($L1356-O$5)),0)),IF($L1356&gt;O$4,O$3,ROUND($L1356*O$7,0)))</f>
        <v/>
      </c>
      <c r="E1356" s="448">
        <f>IF($L1356&gt;P$5,MAX(0,P$3+ROUND((P$9*($L1356-P$5)),0)),IF($L1356&gt;P$4,P$3,ROUND($L1356*P$7,0)))</f>
        <v/>
      </c>
      <c r="F1356" s="447">
        <f>IF($L1356&gt;Q$5,MAX(0,Q$3+ROUND((Q$9*($L1356-Q$5)),0)),IF($L1356&gt;Q$4,Q$3,ROUND($L1356*Q$7,0)))</f>
        <v/>
      </c>
      <c r="G1356" s="1378">
        <f>IF($L1356&gt;R$5,MAX(0,R$3+ROUND((R$9*($L1356-R$5)),0)),IF($L1356&gt;R$4,R$3,ROUND($L1356*R$7,0)))</f>
        <v/>
      </c>
      <c r="H1356" s="448">
        <f>IF($L1356&gt;S$5,MAX(0,S$3+ROUND((S$9*($L1356-S$5)),0)),IF($L1356&gt;S$4,S$3,ROUND($L1356*S$7,0)))</f>
        <v/>
      </c>
      <c r="I1356" s="448">
        <f>IF($L1356&gt;T$5,MAX(0,T$3+ROUND((T$9*($L1356-T$5)),0)),IF($L1356&gt;T$4,T$3,ROUND($L1356*T$7,0)))</f>
        <v/>
      </c>
      <c r="J1356" s="447">
        <f>IF($L1356&gt;U$5,MAX(0,U$3+ROUND((U$9*($L1356-U$5)),0)),IF($L1356&gt;U$4,U$3,ROUND($L1356*U$7,0)))</f>
        <v/>
      </c>
      <c r="L1356" s="448">
        <f>ROUND((A1356+B1356)/2,2)</f>
        <v/>
      </c>
    </row>
    <row r="1357" ht="13.5" customHeight="1" s="7635">
      <c r="A1357" s="448" t="n">
        <v>67350</v>
      </c>
      <c r="B1357" s="447" t="n">
        <v>67400</v>
      </c>
      <c r="C1357" s="1378">
        <f>IF($L1357&gt;N$5,MAX(0,N$3+ROUND((N$9*($L1357-N$5)),0)),IF($L1357&gt;N$4,N$3,ROUND($L1357*N$7,0)))</f>
        <v/>
      </c>
      <c r="D1357" s="448">
        <f>IF($L1357&gt;O$5,MAX(0,O$3+ROUND((O$9*($L1357-O$5)),0)),IF($L1357&gt;O$4,O$3,ROUND($L1357*O$7,0)))</f>
        <v/>
      </c>
      <c r="E1357" s="448">
        <f>IF($L1357&gt;P$5,MAX(0,P$3+ROUND((P$9*($L1357-P$5)),0)),IF($L1357&gt;P$4,P$3,ROUND($L1357*P$7,0)))</f>
        <v/>
      </c>
      <c r="F1357" s="447">
        <f>IF($L1357&gt;Q$5,MAX(0,Q$3+ROUND((Q$9*($L1357-Q$5)),0)),IF($L1357&gt;Q$4,Q$3,ROUND($L1357*Q$7,0)))</f>
        <v/>
      </c>
      <c r="G1357" s="1378">
        <f>IF($L1357&gt;R$5,MAX(0,R$3+ROUND((R$9*($L1357-R$5)),0)),IF($L1357&gt;R$4,R$3,ROUND($L1357*R$7,0)))</f>
        <v/>
      </c>
      <c r="H1357" s="448">
        <f>IF($L1357&gt;S$5,MAX(0,S$3+ROUND((S$9*($L1357-S$5)),0)),IF($L1357&gt;S$4,S$3,ROUND($L1357*S$7,0)))</f>
        <v/>
      </c>
      <c r="I1357" s="448">
        <f>IF($L1357&gt;T$5,MAX(0,T$3+ROUND((T$9*($L1357-T$5)),0)),IF($L1357&gt;T$4,T$3,ROUND($L1357*T$7,0)))</f>
        <v/>
      </c>
      <c r="J1357" s="447">
        <f>IF($L1357&gt;U$5,MAX(0,U$3+ROUND((U$9*($L1357-U$5)),0)),IF($L1357&gt;U$4,U$3,ROUND($L1357*U$7,0)))</f>
        <v/>
      </c>
      <c r="L1357" s="448">
        <f>ROUND((A1357+B1357)/2,2)</f>
        <v/>
      </c>
    </row>
    <row r="1358" ht="13.5" customHeight="1" s="7635">
      <c r="A1358" s="448" t="n">
        <v>67400</v>
      </c>
      <c r="B1358" s="447" t="n">
        <v>67450</v>
      </c>
      <c r="C1358" s="1378">
        <f>IF($L1358&gt;N$5,MAX(0,N$3+ROUND((N$9*($L1358-N$5)),0)),IF($L1358&gt;N$4,N$3,ROUND($L1358*N$7,0)))</f>
        <v/>
      </c>
      <c r="D1358" s="448">
        <f>IF($L1358&gt;O$5,MAX(0,O$3+ROUND((O$9*($L1358-O$5)),0)),IF($L1358&gt;O$4,O$3,ROUND($L1358*O$7,0)))</f>
        <v/>
      </c>
      <c r="E1358" s="448">
        <f>IF($L1358&gt;P$5,MAX(0,P$3+ROUND((P$9*($L1358-P$5)),0)),IF($L1358&gt;P$4,P$3,ROUND($L1358*P$7,0)))</f>
        <v/>
      </c>
      <c r="F1358" s="447">
        <f>IF($L1358&gt;Q$5,MAX(0,Q$3+ROUND((Q$9*($L1358-Q$5)),0)),IF($L1358&gt;Q$4,Q$3,ROUND($L1358*Q$7,0)))</f>
        <v/>
      </c>
      <c r="G1358" s="1378">
        <f>IF($L1358&gt;R$5,MAX(0,R$3+ROUND((R$9*($L1358-R$5)),0)),IF($L1358&gt;R$4,R$3,ROUND($L1358*R$7,0)))</f>
        <v/>
      </c>
      <c r="H1358" s="448">
        <f>IF($L1358&gt;S$5,MAX(0,S$3+ROUND((S$9*($L1358-S$5)),0)),IF($L1358&gt;S$4,S$3,ROUND($L1358*S$7,0)))</f>
        <v/>
      </c>
      <c r="I1358" s="448">
        <f>IF($L1358&gt;T$5,MAX(0,T$3+ROUND((T$9*($L1358-T$5)),0)),IF($L1358&gt;T$4,T$3,ROUND($L1358*T$7,0)))</f>
        <v/>
      </c>
      <c r="J1358" s="447">
        <f>IF($L1358&gt;U$5,MAX(0,U$3+ROUND((U$9*($L1358-U$5)),0)),IF($L1358&gt;U$4,U$3,ROUND($L1358*U$7,0)))</f>
        <v/>
      </c>
      <c r="L1358" s="448">
        <f>ROUND((A1358+B1358)/2,2)</f>
        <v/>
      </c>
    </row>
    <row r="1359" ht="13.5" customHeight="1" s="7635">
      <c r="A1359" s="448" t="n">
        <v>67450</v>
      </c>
      <c r="B1359" s="447" t="n">
        <v>67500</v>
      </c>
      <c r="C1359" s="1378">
        <f>IF($L1359&gt;N$5,MAX(0,N$3+ROUND((N$9*($L1359-N$5)),0)),IF($L1359&gt;N$4,N$3,ROUND($L1359*N$7,0)))</f>
        <v/>
      </c>
      <c r="D1359" s="448">
        <f>IF($L1359&gt;O$5,MAX(0,O$3+ROUND((O$9*($L1359-O$5)),0)),IF($L1359&gt;O$4,O$3,ROUND($L1359*O$7,0)))</f>
        <v/>
      </c>
      <c r="E1359" s="448">
        <f>IF($L1359&gt;P$5,MAX(0,P$3+ROUND((P$9*($L1359-P$5)),0)),IF($L1359&gt;P$4,P$3,ROUND($L1359*P$7,0)))</f>
        <v/>
      </c>
      <c r="F1359" s="447">
        <f>IF($L1359&gt;Q$5,MAX(0,Q$3+ROUND((Q$9*($L1359-Q$5)),0)),IF($L1359&gt;Q$4,Q$3,ROUND($L1359*Q$7,0)))</f>
        <v/>
      </c>
      <c r="G1359" s="1378">
        <f>IF($L1359&gt;R$5,MAX(0,R$3+ROUND((R$9*($L1359-R$5)),0)),IF($L1359&gt;R$4,R$3,ROUND($L1359*R$7,0)))</f>
        <v/>
      </c>
      <c r="H1359" s="448">
        <f>IF($L1359&gt;S$5,MAX(0,S$3+ROUND((S$9*($L1359-S$5)),0)),IF($L1359&gt;S$4,S$3,ROUND($L1359*S$7,0)))</f>
        <v/>
      </c>
      <c r="I1359" s="448">
        <f>IF($L1359&gt;T$5,MAX(0,T$3+ROUND((T$9*($L1359-T$5)),0)),IF($L1359&gt;T$4,T$3,ROUND($L1359*T$7,0)))</f>
        <v/>
      </c>
      <c r="J1359" s="447">
        <f>IF($L1359&gt;U$5,MAX(0,U$3+ROUND((U$9*($L1359-U$5)),0)),IF($L1359&gt;U$4,U$3,ROUND($L1359*U$7,0)))</f>
        <v/>
      </c>
      <c r="L1359" s="448">
        <f>ROUND((A1359+B1359)/2,2)</f>
        <v/>
      </c>
    </row>
    <row r="1360" ht="13.5" customHeight="1" s="7635">
      <c r="A1360" s="448" t="n">
        <v>67500</v>
      </c>
      <c r="B1360" s="447" t="n">
        <v>67550</v>
      </c>
      <c r="C1360" s="1378">
        <f>IF($L1360&gt;N$5,MAX(0,N$3+ROUND((N$9*($L1360-N$5)),0)),IF($L1360&gt;N$4,N$3,ROUND($L1360*N$7,0)))</f>
        <v/>
      </c>
      <c r="D1360" s="448">
        <f>IF($L1360&gt;O$5,MAX(0,O$3+ROUND((O$9*($L1360-O$5)),0)),IF($L1360&gt;O$4,O$3,ROUND($L1360*O$7,0)))</f>
        <v/>
      </c>
      <c r="E1360" s="448">
        <f>IF($L1360&gt;P$5,MAX(0,P$3+ROUND((P$9*($L1360-P$5)),0)),IF($L1360&gt;P$4,P$3,ROUND($L1360*P$7,0)))</f>
        <v/>
      </c>
      <c r="F1360" s="447">
        <f>IF($L1360&gt;Q$5,MAX(0,Q$3+ROUND((Q$9*($L1360-Q$5)),0)),IF($L1360&gt;Q$4,Q$3,ROUND($L1360*Q$7,0)))</f>
        <v/>
      </c>
      <c r="G1360" s="1378">
        <f>IF($L1360&gt;R$5,MAX(0,R$3+ROUND((R$9*($L1360-R$5)),0)),IF($L1360&gt;R$4,R$3,ROUND($L1360*R$7,0)))</f>
        <v/>
      </c>
      <c r="H1360" s="448">
        <f>IF($L1360&gt;S$5,MAX(0,S$3+ROUND((S$9*($L1360-S$5)),0)),IF($L1360&gt;S$4,S$3,ROUND($L1360*S$7,0)))</f>
        <v/>
      </c>
      <c r="I1360" s="448">
        <f>IF($L1360&gt;T$5,MAX(0,T$3+ROUND((T$9*($L1360-T$5)),0)),IF($L1360&gt;T$4,T$3,ROUND($L1360*T$7,0)))</f>
        <v/>
      </c>
      <c r="J1360" s="447">
        <f>IF($L1360&gt;U$5,MAX(0,U$3+ROUND((U$9*($L1360-U$5)),0)),IF($L1360&gt;U$4,U$3,ROUND($L1360*U$7,0)))</f>
        <v/>
      </c>
      <c r="L1360" s="448">
        <f>ROUND((A1360+B1360)/2,2)</f>
        <v/>
      </c>
    </row>
    <row r="1361" ht="13.5" customHeight="1" s="7635">
      <c r="A1361" s="448" t="n">
        <v>67550</v>
      </c>
      <c r="B1361" s="447" t="n">
        <v>67600</v>
      </c>
      <c r="C1361" s="1378">
        <f>IF($L1361&gt;N$5,MAX(0,N$3+ROUND((N$9*($L1361-N$5)),0)),IF($L1361&gt;N$4,N$3,ROUND($L1361*N$7,0)))</f>
        <v/>
      </c>
      <c r="D1361" s="448">
        <f>IF($L1361&gt;O$5,MAX(0,O$3+ROUND((O$9*($L1361-O$5)),0)),IF($L1361&gt;O$4,O$3,ROUND($L1361*O$7,0)))</f>
        <v/>
      </c>
      <c r="E1361" s="448">
        <f>IF($L1361&gt;P$5,MAX(0,P$3+ROUND((P$9*($L1361-P$5)),0)),IF($L1361&gt;P$4,P$3,ROUND($L1361*P$7,0)))</f>
        <v/>
      </c>
      <c r="F1361" s="447">
        <f>IF($L1361&gt;Q$5,MAX(0,Q$3+ROUND((Q$9*($L1361-Q$5)),0)),IF($L1361&gt;Q$4,Q$3,ROUND($L1361*Q$7,0)))</f>
        <v/>
      </c>
      <c r="G1361" s="1378">
        <f>IF($L1361&gt;R$5,MAX(0,R$3+ROUND((R$9*($L1361-R$5)),0)),IF($L1361&gt;R$4,R$3,ROUND($L1361*R$7,0)))</f>
        <v/>
      </c>
      <c r="H1361" s="448">
        <f>IF($L1361&gt;S$5,MAX(0,S$3+ROUND((S$9*($L1361-S$5)),0)),IF($L1361&gt;S$4,S$3,ROUND($L1361*S$7,0)))</f>
        <v/>
      </c>
      <c r="I1361" s="448">
        <f>IF($L1361&gt;T$5,MAX(0,T$3+ROUND((T$9*($L1361-T$5)),0)),IF($L1361&gt;T$4,T$3,ROUND($L1361*T$7,0)))</f>
        <v/>
      </c>
      <c r="J1361" s="447">
        <f>IF($L1361&gt;U$5,MAX(0,U$3+ROUND((U$9*($L1361-U$5)),0)),IF($L1361&gt;U$4,U$3,ROUND($L1361*U$7,0)))</f>
        <v/>
      </c>
      <c r="L1361" s="448">
        <f>ROUND((A1361+B1361)/2,2)</f>
        <v/>
      </c>
    </row>
    <row r="1362" ht="13.5" customHeight="1" s="7635">
      <c r="A1362" s="448" t="n">
        <v>67600</v>
      </c>
      <c r="B1362" s="447" t="n">
        <v>67650</v>
      </c>
      <c r="C1362" s="1378">
        <f>IF($L1362&gt;N$5,MAX(0,N$3+ROUND((N$9*($L1362-N$5)),0)),IF($L1362&gt;N$4,N$3,ROUND($L1362*N$7,0)))</f>
        <v/>
      </c>
      <c r="D1362" s="448">
        <f>IF($L1362&gt;O$5,MAX(0,O$3+ROUND((O$9*($L1362-O$5)),0)),IF($L1362&gt;O$4,O$3,ROUND($L1362*O$7,0)))</f>
        <v/>
      </c>
      <c r="E1362" s="448">
        <f>IF($L1362&gt;P$5,MAX(0,P$3+ROUND((P$9*($L1362-P$5)),0)),IF($L1362&gt;P$4,P$3,ROUND($L1362*P$7,0)))</f>
        <v/>
      </c>
      <c r="F1362" s="447">
        <f>IF($L1362&gt;Q$5,MAX(0,Q$3+ROUND((Q$9*($L1362-Q$5)),0)),IF($L1362&gt;Q$4,Q$3,ROUND($L1362*Q$7,0)))</f>
        <v/>
      </c>
      <c r="G1362" s="1378">
        <f>IF($L1362&gt;R$5,MAX(0,R$3+ROUND((R$9*($L1362-R$5)),0)),IF($L1362&gt;R$4,R$3,ROUND($L1362*R$7,0)))</f>
        <v/>
      </c>
      <c r="H1362" s="448">
        <f>IF($L1362&gt;S$5,MAX(0,S$3+ROUND((S$9*($L1362-S$5)),0)),IF($L1362&gt;S$4,S$3,ROUND($L1362*S$7,0)))</f>
        <v/>
      </c>
      <c r="I1362" s="448">
        <f>IF($L1362&gt;T$5,MAX(0,T$3+ROUND((T$9*($L1362-T$5)),0)),IF($L1362&gt;T$4,T$3,ROUND($L1362*T$7,0)))</f>
        <v/>
      </c>
      <c r="J1362" s="447">
        <f>IF($L1362&gt;U$5,MAX(0,U$3+ROUND((U$9*($L1362-U$5)),0)),IF($L1362&gt;U$4,U$3,ROUND($L1362*U$7,0)))</f>
        <v/>
      </c>
      <c r="L1362" s="448">
        <f>ROUND((A1362+B1362)/2,2)</f>
        <v/>
      </c>
    </row>
    <row r="1363" ht="13.5" customHeight="1" s="7635">
      <c r="A1363" s="448" t="n">
        <v>67650</v>
      </c>
      <c r="B1363" s="447" t="n">
        <v>67700</v>
      </c>
      <c r="C1363" s="1378">
        <f>IF($L1363&gt;N$5,MAX(0,N$3+ROUND((N$9*($L1363-N$5)),0)),IF($L1363&gt;N$4,N$3,ROUND($L1363*N$7,0)))</f>
        <v/>
      </c>
      <c r="D1363" s="448">
        <f>IF($L1363&gt;O$5,MAX(0,O$3+ROUND((O$9*($L1363-O$5)),0)),IF($L1363&gt;O$4,O$3,ROUND($L1363*O$7,0)))</f>
        <v/>
      </c>
      <c r="E1363" s="448">
        <f>IF($L1363&gt;P$5,MAX(0,P$3+ROUND((P$9*($L1363-P$5)),0)),IF($L1363&gt;P$4,P$3,ROUND($L1363*P$7,0)))</f>
        <v/>
      </c>
      <c r="F1363" s="447">
        <f>IF($L1363&gt;Q$5,MAX(0,Q$3+ROUND((Q$9*($L1363-Q$5)),0)),IF($L1363&gt;Q$4,Q$3,ROUND($L1363*Q$7,0)))</f>
        <v/>
      </c>
      <c r="G1363" s="1378">
        <f>IF($L1363&gt;R$5,MAX(0,R$3+ROUND((R$9*($L1363-R$5)),0)),IF($L1363&gt;R$4,R$3,ROUND($L1363*R$7,0)))</f>
        <v/>
      </c>
      <c r="H1363" s="448">
        <f>IF($L1363&gt;S$5,MAX(0,S$3+ROUND((S$9*($L1363-S$5)),0)),IF($L1363&gt;S$4,S$3,ROUND($L1363*S$7,0)))</f>
        <v/>
      </c>
      <c r="I1363" s="448">
        <f>IF($L1363&gt;T$5,MAX(0,T$3+ROUND((T$9*($L1363-T$5)),0)),IF($L1363&gt;T$4,T$3,ROUND($L1363*T$7,0)))</f>
        <v/>
      </c>
      <c r="J1363" s="447">
        <f>IF($L1363&gt;U$5,MAX(0,U$3+ROUND((U$9*($L1363-U$5)),0)),IF($L1363&gt;U$4,U$3,ROUND($L1363*U$7,0)))</f>
        <v/>
      </c>
      <c r="L1363" s="448">
        <f>ROUND((A1363+B1363)/2,2)</f>
        <v/>
      </c>
    </row>
    <row r="1364" ht="13.5" customHeight="1" s="7635">
      <c r="A1364" s="448" t="n">
        <v>67700</v>
      </c>
      <c r="B1364" s="447" t="n">
        <v>67750</v>
      </c>
      <c r="C1364" s="1378">
        <f>IF($L1364&gt;N$5,MAX(0,N$3+ROUND((N$9*($L1364-N$5)),0)),IF($L1364&gt;N$4,N$3,ROUND($L1364*N$7,0)))</f>
        <v/>
      </c>
      <c r="D1364" s="448">
        <f>IF($L1364&gt;O$5,MAX(0,O$3+ROUND((O$9*($L1364-O$5)),0)),IF($L1364&gt;O$4,O$3,ROUND($L1364*O$7,0)))</f>
        <v/>
      </c>
      <c r="E1364" s="448">
        <f>IF($L1364&gt;P$5,MAX(0,P$3+ROUND((P$9*($L1364-P$5)),0)),IF($L1364&gt;P$4,P$3,ROUND($L1364*P$7,0)))</f>
        <v/>
      </c>
      <c r="F1364" s="447">
        <f>IF($L1364&gt;Q$5,MAX(0,Q$3+ROUND((Q$9*($L1364-Q$5)),0)),IF($L1364&gt;Q$4,Q$3,ROUND($L1364*Q$7,0)))</f>
        <v/>
      </c>
      <c r="G1364" s="1378">
        <f>IF($L1364&gt;R$5,MAX(0,R$3+ROUND((R$9*($L1364-R$5)),0)),IF($L1364&gt;R$4,R$3,ROUND($L1364*R$7,0)))</f>
        <v/>
      </c>
      <c r="H1364" s="448">
        <f>IF($L1364&gt;S$5,MAX(0,S$3+ROUND((S$9*($L1364-S$5)),0)),IF($L1364&gt;S$4,S$3,ROUND($L1364*S$7,0)))</f>
        <v/>
      </c>
      <c r="I1364" s="448">
        <f>IF($L1364&gt;T$5,MAX(0,T$3+ROUND((T$9*($L1364-T$5)),0)),IF($L1364&gt;T$4,T$3,ROUND($L1364*T$7,0)))</f>
        <v/>
      </c>
      <c r="J1364" s="447">
        <f>IF($L1364&gt;U$5,MAX(0,U$3+ROUND((U$9*($L1364-U$5)),0)),IF($L1364&gt;U$4,U$3,ROUND($L1364*U$7,0)))</f>
        <v/>
      </c>
      <c r="L1364" s="448">
        <f>ROUND((A1364+B1364)/2,2)</f>
        <v/>
      </c>
    </row>
    <row r="1365" ht="13.5" customHeight="1" s="7635">
      <c r="A1365" s="448" t="n">
        <v>67750</v>
      </c>
      <c r="B1365" s="447" t="n">
        <v>67800</v>
      </c>
      <c r="C1365" s="1378">
        <f>IF($L1365&gt;N$5,MAX(0,N$3+ROUND((N$9*($L1365-N$5)),0)),IF($L1365&gt;N$4,N$3,ROUND($L1365*N$7,0)))</f>
        <v/>
      </c>
      <c r="D1365" s="448">
        <f>IF($L1365&gt;O$5,MAX(0,O$3+ROUND((O$9*($L1365-O$5)),0)),IF($L1365&gt;O$4,O$3,ROUND($L1365*O$7,0)))</f>
        <v/>
      </c>
      <c r="E1365" s="448">
        <f>IF($L1365&gt;P$5,MAX(0,P$3+ROUND((P$9*($L1365-P$5)),0)),IF($L1365&gt;P$4,P$3,ROUND($L1365*P$7,0)))</f>
        <v/>
      </c>
      <c r="F1365" s="447">
        <f>IF($L1365&gt;Q$5,MAX(0,Q$3+ROUND((Q$9*($L1365-Q$5)),0)),IF($L1365&gt;Q$4,Q$3,ROUND($L1365*Q$7,0)))</f>
        <v/>
      </c>
      <c r="G1365" s="1378">
        <f>IF($L1365&gt;R$5,MAX(0,R$3+ROUND((R$9*($L1365-R$5)),0)),IF($L1365&gt;R$4,R$3,ROUND($L1365*R$7,0)))</f>
        <v/>
      </c>
      <c r="H1365" s="448">
        <f>IF($L1365&gt;S$5,MAX(0,S$3+ROUND((S$9*($L1365-S$5)),0)),IF($L1365&gt;S$4,S$3,ROUND($L1365*S$7,0)))</f>
        <v/>
      </c>
      <c r="I1365" s="448">
        <f>IF($L1365&gt;T$5,MAX(0,T$3+ROUND((T$9*($L1365-T$5)),0)),IF($L1365&gt;T$4,T$3,ROUND($L1365*T$7,0)))</f>
        <v/>
      </c>
      <c r="J1365" s="447">
        <f>IF($L1365&gt;U$5,MAX(0,U$3+ROUND((U$9*($L1365-U$5)),0)),IF($L1365&gt;U$4,U$3,ROUND($L1365*U$7,0)))</f>
        <v/>
      </c>
      <c r="L1365" s="448">
        <f>ROUND((A1365+B1365)/2,2)</f>
        <v/>
      </c>
    </row>
    <row r="1366" ht="13.5" customHeight="1" s="7635">
      <c r="A1366" s="448" t="n">
        <v>67800</v>
      </c>
      <c r="B1366" s="447" t="n">
        <v>67850</v>
      </c>
      <c r="C1366" s="1378">
        <f>IF($L1366&gt;N$5,MAX(0,N$3+ROUND((N$9*($L1366-N$5)),0)),IF($L1366&gt;N$4,N$3,ROUND($L1366*N$7,0)))</f>
        <v/>
      </c>
      <c r="D1366" s="448">
        <f>IF($L1366&gt;O$5,MAX(0,O$3+ROUND((O$9*($L1366-O$5)),0)),IF($L1366&gt;O$4,O$3,ROUND($L1366*O$7,0)))</f>
        <v/>
      </c>
      <c r="E1366" s="448">
        <f>IF($L1366&gt;P$5,MAX(0,P$3+ROUND((P$9*($L1366-P$5)),0)),IF($L1366&gt;P$4,P$3,ROUND($L1366*P$7,0)))</f>
        <v/>
      </c>
      <c r="F1366" s="447">
        <f>IF($L1366&gt;Q$5,MAX(0,Q$3+ROUND((Q$9*($L1366-Q$5)),0)),IF($L1366&gt;Q$4,Q$3,ROUND($L1366*Q$7,0)))</f>
        <v/>
      </c>
      <c r="G1366" s="1378">
        <f>IF($L1366&gt;R$5,MAX(0,R$3+ROUND((R$9*($L1366-R$5)),0)),IF($L1366&gt;R$4,R$3,ROUND($L1366*R$7,0)))</f>
        <v/>
      </c>
      <c r="H1366" s="448">
        <f>IF($L1366&gt;S$5,MAX(0,S$3+ROUND((S$9*($L1366-S$5)),0)),IF($L1366&gt;S$4,S$3,ROUND($L1366*S$7,0)))</f>
        <v/>
      </c>
      <c r="I1366" s="448">
        <f>IF($L1366&gt;T$5,MAX(0,T$3+ROUND((T$9*($L1366-T$5)),0)),IF($L1366&gt;T$4,T$3,ROUND($L1366*T$7,0)))</f>
        <v/>
      </c>
      <c r="J1366" s="447">
        <f>IF($L1366&gt;U$5,MAX(0,U$3+ROUND((U$9*($L1366-U$5)),0)),IF($L1366&gt;U$4,U$3,ROUND($L1366*U$7,0)))</f>
        <v/>
      </c>
      <c r="L1366" s="448">
        <f>ROUND((A1366+B1366)/2,2)</f>
        <v/>
      </c>
    </row>
    <row r="1367" ht="13.5" customHeight="1" s="7635">
      <c r="A1367" s="448" t="n">
        <v>67850</v>
      </c>
      <c r="B1367" s="447" t="n">
        <v>67900</v>
      </c>
      <c r="C1367" s="1378">
        <f>IF($L1367&gt;N$5,MAX(0,N$3+ROUND((N$9*($L1367-N$5)),0)),IF($L1367&gt;N$4,N$3,ROUND($L1367*N$7,0)))</f>
        <v/>
      </c>
      <c r="D1367" s="448">
        <f>IF($L1367&gt;O$5,MAX(0,O$3+ROUND((O$9*($L1367-O$5)),0)),IF($L1367&gt;O$4,O$3,ROUND($L1367*O$7,0)))</f>
        <v/>
      </c>
      <c r="E1367" s="448">
        <f>IF($L1367&gt;P$5,MAX(0,P$3+ROUND((P$9*($L1367-P$5)),0)),IF($L1367&gt;P$4,P$3,ROUND($L1367*P$7,0)))</f>
        <v/>
      </c>
      <c r="F1367" s="447">
        <f>IF($L1367&gt;Q$5,MAX(0,Q$3+ROUND((Q$9*($L1367-Q$5)),0)),IF($L1367&gt;Q$4,Q$3,ROUND($L1367*Q$7,0)))</f>
        <v/>
      </c>
      <c r="G1367" s="1378">
        <f>IF($L1367&gt;R$5,MAX(0,R$3+ROUND((R$9*($L1367-R$5)),0)),IF($L1367&gt;R$4,R$3,ROUND($L1367*R$7,0)))</f>
        <v/>
      </c>
      <c r="H1367" s="448">
        <f>IF($L1367&gt;S$5,MAX(0,S$3+ROUND((S$9*($L1367-S$5)),0)),IF($L1367&gt;S$4,S$3,ROUND($L1367*S$7,0)))</f>
        <v/>
      </c>
      <c r="I1367" s="448">
        <f>IF($L1367&gt;T$5,MAX(0,T$3+ROUND((T$9*($L1367-T$5)),0)),IF($L1367&gt;T$4,T$3,ROUND($L1367*T$7,0)))</f>
        <v/>
      </c>
      <c r="J1367" s="447">
        <f>IF($L1367&gt;U$5,MAX(0,U$3+ROUND((U$9*($L1367-U$5)),0)),IF($L1367&gt;U$4,U$3,ROUND($L1367*U$7,0)))</f>
        <v/>
      </c>
      <c r="L1367" s="448">
        <f>ROUND((A1367+B1367)/2,2)</f>
        <v/>
      </c>
    </row>
    <row r="1368" ht="13.5" customHeight="1" s="7635">
      <c r="A1368" s="448" t="n">
        <v>67900</v>
      </c>
      <c r="B1368" s="447" t="n">
        <v>67950</v>
      </c>
      <c r="C1368" s="1378">
        <f>IF($L1368&gt;N$5,MAX(0,N$3+ROUND((N$9*($L1368-N$5)),0)),IF($L1368&gt;N$4,N$3,ROUND($L1368*N$7,0)))</f>
        <v/>
      </c>
      <c r="D1368" s="448">
        <f>IF($L1368&gt;O$5,MAX(0,O$3+ROUND((O$9*($L1368-O$5)),0)),IF($L1368&gt;O$4,O$3,ROUND($L1368*O$7,0)))</f>
        <v/>
      </c>
      <c r="E1368" s="448">
        <f>IF($L1368&gt;P$5,MAX(0,P$3+ROUND((P$9*($L1368-P$5)),0)),IF($L1368&gt;P$4,P$3,ROUND($L1368*P$7,0)))</f>
        <v/>
      </c>
      <c r="F1368" s="447">
        <f>IF($L1368&gt;Q$5,MAX(0,Q$3+ROUND((Q$9*($L1368-Q$5)),0)),IF($L1368&gt;Q$4,Q$3,ROUND($L1368*Q$7,0)))</f>
        <v/>
      </c>
      <c r="G1368" s="1378">
        <f>IF($L1368&gt;R$5,MAX(0,R$3+ROUND((R$9*($L1368-R$5)),0)),IF($L1368&gt;R$4,R$3,ROUND($L1368*R$7,0)))</f>
        <v/>
      </c>
      <c r="H1368" s="448">
        <f>IF($L1368&gt;S$5,MAX(0,S$3+ROUND((S$9*($L1368-S$5)),0)),IF($L1368&gt;S$4,S$3,ROUND($L1368*S$7,0)))</f>
        <v/>
      </c>
      <c r="I1368" s="448">
        <f>IF($L1368&gt;T$5,MAX(0,T$3+ROUND((T$9*($L1368-T$5)),0)),IF($L1368&gt;T$4,T$3,ROUND($L1368*T$7,0)))</f>
        <v/>
      </c>
      <c r="J1368" s="447">
        <f>IF($L1368&gt;U$5,MAX(0,U$3+ROUND((U$9*($L1368-U$5)),0)),IF($L1368&gt;U$4,U$3,ROUND($L1368*U$7,0)))</f>
        <v/>
      </c>
      <c r="L1368" s="448">
        <f>ROUND((A1368+B1368)/2,2)</f>
        <v/>
      </c>
    </row>
    <row r="1369" ht="13.5" customHeight="1" s="7635">
      <c r="A1369" s="448" t="n">
        <v>67950</v>
      </c>
      <c r="B1369" s="447" t="n">
        <v>68000</v>
      </c>
      <c r="C1369" s="1378">
        <f>IF($L1369&gt;N$5,MAX(0,N$3+ROUND((N$9*($L1369-N$5)),0)),IF($L1369&gt;N$4,N$3,ROUND($L1369*N$7,0)))</f>
        <v/>
      </c>
      <c r="D1369" s="448">
        <f>IF($L1369&gt;O$5,MAX(0,O$3+ROUND((O$9*($L1369-O$5)),0)),IF($L1369&gt;O$4,O$3,ROUND($L1369*O$7,0)))</f>
        <v/>
      </c>
      <c r="E1369" s="448">
        <f>IF($L1369&gt;P$5,MAX(0,P$3+ROUND((P$9*($L1369-P$5)),0)),IF($L1369&gt;P$4,P$3,ROUND($L1369*P$7,0)))</f>
        <v/>
      </c>
      <c r="F1369" s="447">
        <f>IF($L1369&gt;Q$5,MAX(0,Q$3+ROUND((Q$9*($L1369-Q$5)),0)),IF($L1369&gt;Q$4,Q$3,ROUND($L1369*Q$7,0)))</f>
        <v/>
      </c>
      <c r="G1369" s="1378">
        <f>IF($L1369&gt;R$5,MAX(0,R$3+ROUND((R$9*($L1369-R$5)),0)),IF($L1369&gt;R$4,R$3,ROUND($L1369*R$7,0)))</f>
        <v/>
      </c>
      <c r="H1369" s="448">
        <f>IF($L1369&gt;S$5,MAX(0,S$3+ROUND((S$9*($L1369-S$5)),0)),IF($L1369&gt;S$4,S$3,ROUND($L1369*S$7,0)))</f>
        <v/>
      </c>
      <c r="I1369" s="448">
        <f>IF($L1369&gt;T$5,MAX(0,T$3+ROUND((T$9*($L1369-T$5)),0)),IF($L1369&gt;T$4,T$3,ROUND($L1369*T$7,0)))</f>
        <v/>
      </c>
      <c r="J1369" s="447">
        <f>IF($L1369&gt;U$5,MAX(0,U$3+ROUND((U$9*($L1369-U$5)),0)),IF($L1369&gt;U$4,U$3,ROUND($L1369*U$7,0)))</f>
        <v/>
      </c>
      <c r="L1369" s="448">
        <f>ROUND((A1369+B1369)/2,2)</f>
        <v/>
      </c>
    </row>
    <row r="1370" ht="13.5" customHeight="1" s="7635">
      <c r="A1370" s="448" t="n">
        <v>68000</v>
      </c>
      <c r="B1370" s="447" t="n">
        <v>68050</v>
      </c>
      <c r="C1370" s="1378">
        <f>IF($L1370&gt;N$5,MAX(0,N$3+ROUND((N$9*($L1370-N$5)),0)),IF($L1370&gt;N$4,N$3,ROUND($L1370*N$7,0)))</f>
        <v/>
      </c>
      <c r="D1370" s="448">
        <f>IF($L1370&gt;O$5,MAX(0,O$3+ROUND((O$9*($L1370-O$5)),0)),IF($L1370&gt;O$4,O$3,ROUND($L1370*O$7,0)))</f>
        <v/>
      </c>
      <c r="E1370" s="448">
        <f>IF($L1370&gt;P$5,MAX(0,P$3+ROUND((P$9*($L1370-P$5)),0)),IF($L1370&gt;P$4,P$3,ROUND($L1370*P$7,0)))</f>
        <v/>
      </c>
      <c r="F1370" s="447">
        <f>IF($L1370&gt;Q$5,MAX(0,Q$3+ROUND((Q$9*($L1370-Q$5)),0)),IF($L1370&gt;Q$4,Q$3,ROUND($L1370*Q$7,0)))</f>
        <v/>
      </c>
      <c r="G1370" s="1378">
        <f>IF($L1370&gt;R$5,MAX(0,R$3+ROUND((R$9*($L1370-R$5)),0)),IF($L1370&gt;R$4,R$3,ROUND($L1370*R$7,0)))</f>
        <v/>
      </c>
      <c r="H1370" s="448">
        <f>IF($L1370&gt;S$5,MAX(0,S$3+ROUND((S$9*($L1370-S$5)),0)),IF($L1370&gt;S$4,S$3,ROUND($L1370*S$7,0)))</f>
        <v/>
      </c>
      <c r="I1370" s="448">
        <f>IF($L1370&gt;T$5,MAX(0,T$3+ROUND((T$9*($L1370-T$5)),0)),IF($L1370&gt;T$4,T$3,ROUND($L1370*T$7,0)))</f>
        <v/>
      </c>
      <c r="J1370" s="447">
        <f>IF($L1370&gt;U$5,MAX(0,U$3+ROUND((U$9*($L1370-U$5)),0)),IF($L1370&gt;U$4,U$3,ROUND($L1370*U$7,0)))</f>
        <v/>
      </c>
      <c r="L1370" s="448">
        <f>ROUND((A1370+B1370)/2,2)</f>
        <v/>
      </c>
    </row>
    <row r="1371" ht="13.5" customHeight="1" s="7635">
      <c r="A1371" s="448" t="n">
        <v>68050</v>
      </c>
      <c r="B1371" s="447" t="n">
        <v>68100</v>
      </c>
      <c r="C1371" s="1378">
        <f>IF($L1371&gt;N$5,MAX(0,N$3+ROUND((N$9*($L1371-N$5)),0)),IF($L1371&gt;N$4,N$3,ROUND($L1371*N$7,0)))</f>
        <v/>
      </c>
      <c r="D1371" s="448">
        <f>IF($L1371&gt;O$5,MAX(0,O$3+ROUND((O$9*($L1371-O$5)),0)),IF($L1371&gt;O$4,O$3,ROUND($L1371*O$7,0)))</f>
        <v/>
      </c>
      <c r="E1371" s="448">
        <f>IF($L1371&gt;P$5,MAX(0,P$3+ROUND((P$9*($L1371-P$5)),0)),IF($L1371&gt;P$4,P$3,ROUND($L1371*P$7,0)))</f>
        <v/>
      </c>
      <c r="F1371" s="447">
        <f>IF($L1371&gt;Q$5,MAX(0,Q$3+ROUND((Q$9*($L1371-Q$5)),0)),IF($L1371&gt;Q$4,Q$3,ROUND($L1371*Q$7,0)))</f>
        <v/>
      </c>
      <c r="G1371" s="1378">
        <f>IF($L1371&gt;R$5,MAX(0,R$3+ROUND((R$9*($L1371-R$5)),0)),IF($L1371&gt;R$4,R$3,ROUND($L1371*R$7,0)))</f>
        <v/>
      </c>
      <c r="H1371" s="448">
        <f>IF($L1371&gt;S$5,MAX(0,S$3+ROUND((S$9*($L1371-S$5)),0)),IF($L1371&gt;S$4,S$3,ROUND($L1371*S$7,0)))</f>
        <v/>
      </c>
      <c r="I1371" s="448">
        <f>IF($L1371&gt;T$5,MAX(0,T$3+ROUND((T$9*($L1371-T$5)),0)),IF($L1371&gt;T$4,T$3,ROUND($L1371*T$7,0)))</f>
        <v/>
      </c>
      <c r="J1371" s="447">
        <f>IF($L1371&gt;U$5,MAX(0,U$3+ROUND((U$9*($L1371-U$5)),0)),IF($L1371&gt;U$4,U$3,ROUND($L1371*U$7,0)))</f>
        <v/>
      </c>
      <c r="L1371" s="448">
        <f>ROUND((A1371+B1371)/2,2)</f>
        <v/>
      </c>
    </row>
    <row r="1372" ht="13.5" customHeight="1" s="7635">
      <c r="A1372" s="448" t="n">
        <v>68100</v>
      </c>
      <c r="B1372" s="447" t="n">
        <v>68150</v>
      </c>
      <c r="C1372" s="1378">
        <f>IF($L1372&gt;N$5,MAX(0,N$3+ROUND((N$9*($L1372-N$5)),0)),IF($L1372&gt;N$4,N$3,ROUND($L1372*N$7,0)))</f>
        <v/>
      </c>
      <c r="D1372" s="448">
        <f>IF($L1372&gt;O$5,MAX(0,O$3+ROUND((O$9*($L1372-O$5)),0)),IF($L1372&gt;O$4,O$3,ROUND($L1372*O$7,0)))</f>
        <v/>
      </c>
      <c r="E1372" s="448">
        <f>IF($L1372&gt;P$5,MAX(0,P$3+ROUND((P$9*($L1372-P$5)),0)),IF($L1372&gt;P$4,P$3,ROUND($L1372*P$7,0)))</f>
        <v/>
      </c>
      <c r="F1372" s="447">
        <f>IF($L1372&gt;Q$5,MAX(0,Q$3+ROUND((Q$9*($L1372-Q$5)),0)),IF($L1372&gt;Q$4,Q$3,ROUND($L1372*Q$7,0)))</f>
        <v/>
      </c>
      <c r="G1372" s="1378">
        <f>IF($L1372&gt;R$5,MAX(0,R$3+ROUND((R$9*($L1372-R$5)),0)),IF($L1372&gt;R$4,R$3,ROUND($L1372*R$7,0)))</f>
        <v/>
      </c>
      <c r="H1372" s="448">
        <f>IF($L1372&gt;S$5,MAX(0,S$3+ROUND((S$9*($L1372-S$5)),0)),IF($L1372&gt;S$4,S$3,ROUND($L1372*S$7,0)))</f>
        <v/>
      </c>
      <c r="I1372" s="448">
        <f>IF($L1372&gt;T$5,MAX(0,T$3+ROUND((T$9*($L1372-T$5)),0)),IF($L1372&gt;T$4,T$3,ROUND($L1372*T$7,0)))</f>
        <v/>
      </c>
      <c r="J1372" s="447">
        <f>IF($L1372&gt;U$5,MAX(0,U$3+ROUND((U$9*($L1372-U$5)),0)),IF($L1372&gt;U$4,U$3,ROUND($L1372*U$7,0)))</f>
        <v/>
      </c>
      <c r="L1372" s="448">
        <f>ROUND((A1372+B1372)/2,2)</f>
        <v/>
      </c>
    </row>
    <row r="1373" ht="13.5" customHeight="1" s="7635">
      <c r="A1373" s="448" t="n">
        <v>68150</v>
      </c>
      <c r="B1373" s="447" t="n">
        <v>68200</v>
      </c>
      <c r="C1373" s="1378">
        <f>IF($L1373&gt;N$5,MAX(0,N$3+ROUND((N$9*($L1373-N$5)),0)),IF($L1373&gt;N$4,N$3,ROUND($L1373*N$7,0)))</f>
        <v/>
      </c>
      <c r="D1373" s="448">
        <f>IF($L1373&gt;O$5,MAX(0,O$3+ROUND((O$9*($L1373-O$5)),0)),IF($L1373&gt;O$4,O$3,ROUND($L1373*O$7,0)))</f>
        <v/>
      </c>
      <c r="E1373" s="448">
        <f>IF($L1373&gt;P$5,MAX(0,P$3+ROUND((P$9*($L1373-P$5)),0)),IF($L1373&gt;P$4,P$3,ROUND($L1373*P$7,0)))</f>
        <v/>
      </c>
      <c r="F1373" s="447">
        <f>IF($L1373&gt;Q$5,MAX(0,Q$3+ROUND((Q$9*($L1373-Q$5)),0)),IF($L1373&gt;Q$4,Q$3,ROUND($L1373*Q$7,0)))</f>
        <v/>
      </c>
      <c r="G1373" s="1378">
        <f>IF($L1373&gt;R$5,MAX(0,R$3+ROUND((R$9*($L1373-R$5)),0)),IF($L1373&gt;R$4,R$3,ROUND($L1373*R$7,0)))</f>
        <v/>
      </c>
      <c r="H1373" s="448">
        <f>IF($L1373&gt;S$5,MAX(0,S$3+ROUND((S$9*($L1373-S$5)),0)),IF($L1373&gt;S$4,S$3,ROUND($L1373*S$7,0)))</f>
        <v/>
      </c>
      <c r="I1373" s="448">
        <f>IF($L1373&gt;T$5,MAX(0,T$3+ROUND((T$9*($L1373-T$5)),0)),IF($L1373&gt;T$4,T$3,ROUND($L1373*T$7,0)))</f>
        <v/>
      </c>
      <c r="J1373" s="447">
        <f>IF($L1373&gt;U$5,MAX(0,U$3+ROUND((U$9*($L1373-U$5)),0)),IF($L1373&gt;U$4,U$3,ROUND($L1373*U$7,0)))</f>
        <v/>
      </c>
      <c r="L1373" s="448">
        <f>ROUND((A1373+B1373)/2,2)</f>
        <v/>
      </c>
    </row>
    <row r="1374" ht="13.5" customHeight="1" s="7635">
      <c r="A1374" s="448" t="n">
        <v>68200</v>
      </c>
      <c r="B1374" s="447" t="n">
        <v>68250</v>
      </c>
      <c r="C1374" s="1378">
        <f>IF($L1374&gt;N$5,MAX(0,N$3+ROUND((N$9*($L1374-N$5)),0)),IF($L1374&gt;N$4,N$3,ROUND($L1374*N$7,0)))</f>
        <v/>
      </c>
      <c r="D1374" s="448">
        <f>IF($L1374&gt;O$5,MAX(0,O$3+ROUND((O$9*($L1374-O$5)),0)),IF($L1374&gt;O$4,O$3,ROUND($L1374*O$7,0)))</f>
        <v/>
      </c>
      <c r="E1374" s="448">
        <f>IF($L1374&gt;P$5,MAX(0,P$3+ROUND((P$9*($L1374-P$5)),0)),IF($L1374&gt;P$4,P$3,ROUND($L1374*P$7,0)))</f>
        <v/>
      </c>
      <c r="F1374" s="447">
        <f>IF($L1374&gt;Q$5,MAX(0,Q$3+ROUND((Q$9*($L1374-Q$5)),0)),IF($L1374&gt;Q$4,Q$3,ROUND($L1374*Q$7,0)))</f>
        <v/>
      </c>
      <c r="G1374" s="1378">
        <f>IF($L1374&gt;R$5,MAX(0,R$3+ROUND((R$9*($L1374-R$5)),0)),IF($L1374&gt;R$4,R$3,ROUND($L1374*R$7,0)))</f>
        <v/>
      </c>
      <c r="H1374" s="448">
        <f>IF($L1374&gt;S$5,MAX(0,S$3+ROUND((S$9*($L1374-S$5)),0)),IF($L1374&gt;S$4,S$3,ROUND($L1374*S$7,0)))</f>
        <v/>
      </c>
      <c r="I1374" s="448">
        <f>IF($L1374&gt;T$5,MAX(0,T$3+ROUND((T$9*($L1374-T$5)),0)),IF($L1374&gt;T$4,T$3,ROUND($L1374*T$7,0)))</f>
        <v/>
      </c>
      <c r="J1374" s="447">
        <f>IF($L1374&gt;U$5,MAX(0,U$3+ROUND((U$9*($L1374-U$5)),0)),IF($L1374&gt;U$4,U$3,ROUND($L1374*U$7,0)))</f>
        <v/>
      </c>
      <c r="L1374" s="448">
        <f>ROUND((A1374+B1374)/2,2)</f>
        <v/>
      </c>
    </row>
    <row r="1375" ht="13.5" customHeight="1" s="7635">
      <c r="A1375" s="448" t="n">
        <v>68250</v>
      </c>
      <c r="B1375" s="447" t="n">
        <v>68300</v>
      </c>
      <c r="C1375" s="1378">
        <f>IF($L1375&gt;N$5,MAX(0,N$3+ROUND((N$9*($L1375-N$5)),0)),IF($L1375&gt;N$4,N$3,ROUND($L1375*N$7,0)))</f>
        <v/>
      </c>
      <c r="D1375" s="448">
        <f>IF($L1375&gt;O$5,MAX(0,O$3+ROUND((O$9*($L1375-O$5)),0)),IF($L1375&gt;O$4,O$3,ROUND($L1375*O$7,0)))</f>
        <v/>
      </c>
      <c r="E1375" s="448">
        <f>IF($L1375&gt;P$5,MAX(0,P$3+ROUND((P$9*($L1375-P$5)),0)),IF($L1375&gt;P$4,P$3,ROUND($L1375*P$7,0)))</f>
        <v/>
      </c>
      <c r="F1375" s="447">
        <f>IF($L1375&gt;Q$5,MAX(0,Q$3+ROUND((Q$9*($L1375-Q$5)),0)),IF($L1375&gt;Q$4,Q$3,ROUND($L1375*Q$7,0)))</f>
        <v/>
      </c>
      <c r="G1375" s="1378">
        <f>IF($L1375&gt;R$5,MAX(0,R$3+ROUND((R$9*($L1375-R$5)),0)),IF($L1375&gt;R$4,R$3,ROUND($L1375*R$7,0)))</f>
        <v/>
      </c>
      <c r="H1375" s="448">
        <f>IF($L1375&gt;S$5,MAX(0,S$3+ROUND((S$9*($L1375-S$5)),0)),IF($L1375&gt;S$4,S$3,ROUND($L1375*S$7,0)))</f>
        <v/>
      </c>
      <c r="I1375" s="448">
        <f>IF($L1375&gt;T$5,MAX(0,T$3+ROUND((T$9*($L1375-T$5)),0)),IF($L1375&gt;T$4,T$3,ROUND($L1375*T$7,0)))</f>
        <v/>
      </c>
      <c r="J1375" s="447">
        <f>IF($L1375&gt;U$5,MAX(0,U$3+ROUND((U$9*($L1375-U$5)),0)),IF($L1375&gt;U$4,U$3,ROUND($L1375*U$7,0)))</f>
        <v/>
      </c>
      <c r="L1375" s="448">
        <f>ROUND((A1375+B1375)/2,2)</f>
        <v/>
      </c>
    </row>
    <row r="1376" ht="13.5" customHeight="1" s="7635">
      <c r="A1376" s="448" t="n">
        <v>68300</v>
      </c>
      <c r="B1376" s="447" t="n">
        <v>68350</v>
      </c>
      <c r="C1376" s="1378">
        <f>IF($L1376&gt;N$5,MAX(0,N$3+ROUND((N$9*($L1376-N$5)),0)),IF($L1376&gt;N$4,N$3,ROUND($L1376*N$7,0)))</f>
        <v/>
      </c>
      <c r="D1376" s="448">
        <f>IF($L1376&gt;O$5,MAX(0,O$3+ROUND((O$9*($L1376-O$5)),0)),IF($L1376&gt;O$4,O$3,ROUND($L1376*O$7,0)))</f>
        <v/>
      </c>
      <c r="E1376" s="448">
        <f>IF($L1376&gt;P$5,MAX(0,P$3+ROUND((P$9*($L1376-P$5)),0)),IF($L1376&gt;P$4,P$3,ROUND($L1376*P$7,0)))</f>
        <v/>
      </c>
      <c r="F1376" s="447">
        <f>IF($L1376&gt;Q$5,MAX(0,Q$3+ROUND((Q$9*($L1376-Q$5)),0)),IF($L1376&gt;Q$4,Q$3,ROUND($L1376*Q$7,0)))</f>
        <v/>
      </c>
      <c r="G1376" s="1378">
        <f>IF($L1376&gt;R$5,MAX(0,R$3+ROUND((R$9*($L1376-R$5)),0)),IF($L1376&gt;R$4,R$3,ROUND($L1376*R$7,0)))</f>
        <v/>
      </c>
      <c r="H1376" s="448">
        <f>IF($L1376&gt;S$5,MAX(0,S$3+ROUND((S$9*($L1376-S$5)),0)),IF($L1376&gt;S$4,S$3,ROUND($L1376*S$7,0)))</f>
        <v/>
      </c>
      <c r="I1376" s="448">
        <f>IF($L1376&gt;T$5,MAX(0,T$3+ROUND((T$9*($L1376-T$5)),0)),IF($L1376&gt;T$4,T$3,ROUND($L1376*T$7,0)))</f>
        <v/>
      </c>
      <c r="J1376" s="447">
        <f>IF($L1376&gt;U$5,MAX(0,U$3+ROUND((U$9*($L1376-U$5)),0)),IF($L1376&gt;U$4,U$3,ROUND($L1376*U$7,0)))</f>
        <v/>
      </c>
      <c r="L1376" s="448">
        <f>ROUND((A1376+B1376)/2,2)</f>
        <v/>
      </c>
    </row>
    <row r="1377" ht="13.5" customHeight="1" s="7635">
      <c r="A1377" s="448" t="n">
        <v>68350</v>
      </c>
      <c r="B1377" s="447" t="n">
        <v>68400</v>
      </c>
      <c r="C1377" s="1378">
        <f>IF($L1377&gt;N$5,MAX(0,N$3+ROUND((N$9*($L1377-N$5)),0)),IF($L1377&gt;N$4,N$3,ROUND($L1377*N$7,0)))</f>
        <v/>
      </c>
      <c r="D1377" s="448">
        <f>IF($L1377&gt;O$5,MAX(0,O$3+ROUND((O$9*($L1377-O$5)),0)),IF($L1377&gt;O$4,O$3,ROUND($L1377*O$7,0)))</f>
        <v/>
      </c>
      <c r="E1377" s="448">
        <f>IF($L1377&gt;P$5,MAX(0,P$3+ROUND((P$9*($L1377-P$5)),0)),IF($L1377&gt;P$4,P$3,ROUND($L1377*P$7,0)))</f>
        <v/>
      </c>
      <c r="F1377" s="447">
        <f>IF($L1377&gt;Q$5,MAX(0,Q$3+ROUND((Q$9*($L1377-Q$5)),0)),IF($L1377&gt;Q$4,Q$3,ROUND($L1377*Q$7,0)))</f>
        <v/>
      </c>
      <c r="G1377" s="1378">
        <f>IF($L1377&gt;R$5,MAX(0,R$3+ROUND((R$9*($L1377-R$5)),0)),IF($L1377&gt;R$4,R$3,ROUND($L1377*R$7,0)))</f>
        <v/>
      </c>
      <c r="H1377" s="448">
        <f>IF($L1377&gt;S$5,MAX(0,S$3+ROUND((S$9*($L1377-S$5)),0)),IF($L1377&gt;S$4,S$3,ROUND($L1377*S$7,0)))</f>
        <v/>
      </c>
      <c r="I1377" s="448">
        <f>IF($L1377&gt;T$5,MAX(0,T$3+ROUND((T$9*($L1377-T$5)),0)),IF($L1377&gt;T$4,T$3,ROUND($L1377*T$7,0)))</f>
        <v/>
      </c>
      <c r="J1377" s="447">
        <f>IF($L1377&gt;U$5,MAX(0,U$3+ROUND((U$9*($L1377-U$5)),0)),IF($L1377&gt;U$4,U$3,ROUND($L1377*U$7,0)))</f>
        <v/>
      </c>
      <c r="L1377" s="448">
        <f>ROUND((A1377+B1377)/2,2)</f>
        <v/>
      </c>
    </row>
    <row r="1378" ht="13.5" customHeight="1" s="7635">
      <c r="A1378" s="448" t="n">
        <v>68400</v>
      </c>
      <c r="B1378" s="447" t="n">
        <v>68450</v>
      </c>
      <c r="C1378" s="1378">
        <f>IF($L1378&gt;N$5,MAX(0,N$3+ROUND((N$9*($L1378-N$5)),0)),IF($L1378&gt;N$4,N$3,ROUND($L1378*N$7,0)))</f>
        <v/>
      </c>
      <c r="D1378" s="448">
        <f>IF($L1378&gt;O$5,MAX(0,O$3+ROUND((O$9*($L1378-O$5)),0)),IF($L1378&gt;O$4,O$3,ROUND($L1378*O$7,0)))</f>
        <v/>
      </c>
      <c r="E1378" s="448">
        <f>IF($L1378&gt;P$5,MAX(0,P$3+ROUND((P$9*($L1378-P$5)),0)),IF($L1378&gt;P$4,P$3,ROUND($L1378*P$7,0)))</f>
        <v/>
      </c>
      <c r="F1378" s="447">
        <f>IF($L1378&gt;Q$5,MAX(0,Q$3+ROUND((Q$9*($L1378-Q$5)),0)),IF($L1378&gt;Q$4,Q$3,ROUND($L1378*Q$7,0)))</f>
        <v/>
      </c>
      <c r="G1378" s="1378">
        <f>IF($L1378&gt;R$5,MAX(0,R$3+ROUND((R$9*($L1378-R$5)),0)),IF($L1378&gt;R$4,R$3,ROUND($L1378*R$7,0)))</f>
        <v/>
      </c>
      <c r="H1378" s="448">
        <f>IF($L1378&gt;S$5,MAX(0,S$3+ROUND((S$9*($L1378-S$5)),0)),IF($L1378&gt;S$4,S$3,ROUND($L1378*S$7,0)))</f>
        <v/>
      </c>
      <c r="I1378" s="448">
        <f>IF($L1378&gt;T$5,MAX(0,T$3+ROUND((T$9*($L1378-T$5)),0)),IF($L1378&gt;T$4,T$3,ROUND($L1378*T$7,0)))</f>
        <v/>
      </c>
      <c r="J1378" s="447">
        <f>IF($L1378&gt;U$5,MAX(0,U$3+ROUND((U$9*($L1378-U$5)),0)),IF($L1378&gt;U$4,U$3,ROUND($L1378*U$7,0)))</f>
        <v/>
      </c>
      <c r="L1378" s="448">
        <f>ROUND((A1378+B1378)/2,2)</f>
        <v/>
      </c>
    </row>
    <row r="1379" ht="13.5" customHeight="1" s="7635">
      <c r="A1379" s="448" t="n">
        <v>68450</v>
      </c>
      <c r="B1379" s="447" t="n">
        <v>68500</v>
      </c>
      <c r="C1379" s="1378">
        <f>IF($L1379&gt;N$5,MAX(0,N$3+ROUND((N$9*($L1379-N$5)),0)),IF($L1379&gt;N$4,N$3,ROUND($L1379*N$7,0)))</f>
        <v/>
      </c>
      <c r="D1379" s="448">
        <f>IF($L1379&gt;O$5,MAX(0,O$3+ROUND((O$9*($L1379-O$5)),0)),IF($L1379&gt;O$4,O$3,ROUND($L1379*O$7,0)))</f>
        <v/>
      </c>
      <c r="E1379" s="448">
        <f>IF($L1379&gt;P$5,MAX(0,P$3+ROUND((P$9*($L1379-P$5)),0)),IF($L1379&gt;P$4,P$3,ROUND($L1379*P$7,0)))</f>
        <v/>
      </c>
      <c r="F1379" s="447">
        <f>IF($L1379&gt;Q$5,MAX(0,Q$3+ROUND((Q$9*($L1379-Q$5)),0)),IF($L1379&gt;Q$4,Q$3,ROUND($L1379*Q$7,0)))</f>
        <v/>
      </c>
      <c r="G1379" s="1378">
        <f>IF($L1379&gt;R$5,MAX(0,R$3+ROUND((R$9*($L1379-R$5)),0)),IF($L1379&gt;R$4,R$3,ROUND($L1379*R$7,0)))</f>
        <v/>
      </c>
      <c r="H1379" s="448">
        <f>IF($L1379&gt;S$5,MAX(0,S$3+ROUND((S$9*($L1379-S$5)),0)),IF($L1379&gt;S$4,S$3,ROUND($L1379*S$7,0)))</f>
        <v/>
      </c>
      <c r="I1379" s="448">
        <f>IF($L1379&gt;T$5,MAX(0,T$3+ROUND((T$9*($L1379-T$5)),0)),IF($L1379&gt;T$4,T$3,ROUND($L1379*T$7,0)))</f>
        <v/>
      </c>
      <c r="J1379" s="447">
        <f>IF($L1379&gt;U$5,MAX(0,U$3+ROUND((U$9*($L1379-U$5)),0)),IF($L1379&gt;U$4,U$3,ROUND($L1379*U$7,0)))</f>
        <v/>
      </c>
      <c r="L1379" s="448">
        <f>ROUND((A1379+B1379)/2,2)</f>
        <v/>
      </c>
    </row>
    <row r="1380" ht="13.5" customHeight="1" s="7635">
      <c r="A1380" s="448" t="n">
        <v>68500</v>
      </c>
      <c r="B1380" s="447" t="n">
        <v>68550</v>
      </c>
      <c r="C1380" s="1378">
        <f>IF($L1380&gt;N$5,MAX(0,N$3+ROUND((N$9*($L1380-N$5)),0)),IF($L1380&gt;N$4,N$3,ROUND($L1380*N$7,0)))</f>
        <v/>
      </c>
      <c r="D1380" s="448">
        <f>IF($L1380&gt;O$5,MAX(0,O$3+ROUND((O$9*($L1380-O$5)),0)),IF($L1380&gt;O$4,O$3,ROUND($L1380*O$7,0)))</f>
        <v/>
      </c>
      <c r="E1380" s="448">
        <f>IF($L1380&gt;P$5,MAX(0,P$3+ROUND((P$9*($L1380-P$5)),0)),IF($L1380&gt;P$4,P$3,ROUND($L1380*P$7,0)))</f>
        <v/>
      </c>
      <c r="F1380" s="447">
        <f>IF($L1380&gt;Q$5,MAX(0,Q$3+ROUND((Q$9*($L1380-Q$5)),0)),IF($L1380&gt;Q$4,Q$3,ROUND($L1380*Q$7,0)))</f>
        <v/>
      </c>
      <c r="G1380" s="1378">
        <f>IF($L1380&gt;R$5,MAX(0,R$3+ROUND((R$9*($L1380-R$5)),0)),IF($L1380&gt;R$4,R$3,ROUND($L1380*R$7,0)))</f>
        <v/>
      </c>
      <c r="H1380" s="448">
        <f>IF($L1380&gt;S$5,MAX(0,S$3+ROUND((S$9*($L1380-S$5)),0)),IF($L1380&gt;S$4,S$3,ROUND($L1380*S$7,0)))</f>
        <v/>
      </c>
      <c r="I1380" s="448">
        <f>IF($L1380&gt;T$5,MAX(0,T$3+ROUND((T$9*($L1380-T$5)),0)),IF($L1380&gt;T$4,T$3,ROUND($L1380*T$7,0)))</f>
        <v/>
      </c>
      <c r="J1380" s="447">
        <f>IF($L1380&gt;U$5,MAX(0,U$3+ROUND((U$9*($L1380-U$5)),0)),IF($L1380&gt;U$4,U$3,ROUND($L1380*U$7,0)))</f>
        <v/>
      </c>
      <c r="L1380" s="448">
        <f>ROUND((A1380+B1380)/2,2)</f>
        <v/>
      </c>
    </row>
    <row r="1381" ht="13.5" customHeight="1" s="7635">
      <c r="A1381" s="448" t="n">
        <v>68550</v>
      </c>
      <c r="B1381" s="447" t="n">
        <v>68600</v>
      </c>
      <c r="C1381" s="1378">
        <f>IF($L1381&gt;N$5,MAX(0,N$3+ROUND((N$9*($L1381-N$5)),0)),IF($L1381&gt;N$4,N$3,ROUND($L1381*N$7,0)))</f>
        <v/>
      </c>
      <c r="D1381" s="448">
        <f>IF($L1381&gt;O$5,MAX(0,O$3+ROUND((O$9*($L1381-O$5)),0)),IF($L1381&gt;O$4,O$3,ROUND($L1381*O$7,0)))</f>
        <v/>
      </c>
      <c r="E1381" s="448">
        <f>IF($L1381&gt;P$5,MAX(0,P$3+ROUND((P$9*($L1381-P$5)),0)),IF($L1381&gt;P$4,P$3,ROUND($L1381*P$7,0)))</f>
        <v/>
      </c>
      <c r="F1381" s="447">
        <f>IF($L1381&gt;Q$5,MAX(0,Q$3+ROUND((Q$9*($L1381-Q$5)),0)),IF($L1381&gt;Q$4,Q$3,ROUND($L1381*Q$7,0)))</f>
        <v/>
      </c>
      <c r="G1381" s="1378">
        <f>IF($L1381&gt;R$5,MAX(0,R$3+ROUND((R$9*($L1381-R$5)),0)),IF($L1381&gt;R$4,R$3,ROUND($L1381*R$7,0)))</f>
        <v/>
      </c>
      <c r="H1381" s="448">
        <f>IF($L1381&gt;S$5,MAX(0,S$3+ROUND((S$9*($L1381-S$5)),0)),IF($L1381&gt;S$4,S$3,ROUND($L1381*S$7,0)))</f>
        <v/>
      </c>
      <c r="I1381" s="448">
        <f>IF($L1381&gt;T$5,MAX(0,T$3+ROUND((T$9*($L1381-T$5)),0)),IF($L1381&gt;T$4,T$3,ROUND($L1381*T$7,0)))</f>
        <v/>
      </c>
      <c r="J1381" s="447">
        <f>IF($L1381&gt;U$5,MAX(0,U$3+ROUND((U$9*($L1381-U$5)),0)),IF($L1381&gt;U$4,U$3,ROUND($L1381*U$7,0)))</f>
        <v/>
      </c>
      <c r="L1381" s="448">
        <f>ROUND((A1381+B1381)/2,2)</f>
        <v/>
      </c>
    </row>
    <row r="1382" ht="14.25" customHeight="1" s="7635" thickBot="1">
      <c r="A1382" s="448" t="n">
        <v>68600</v>
      </c>
      <c r="B1382" s="447" t="n">
        <v>68650</v>
      </c>
      <c r="C1382" s="1378">
        <f>IF($L1382&gt;N$5,MAX(0,N$3+ROUND((N$9*($L1382-N$5)),0)),IF($L1382&gt;N$4,N$3,ROUND($L1382*N$7,0)))</f>
        <v/>
      </c>
      <c r="D1382" s="448">
        <f>IF($L1382&gt;O$5,MAX(0,O$3+ROUND((O$9*($L1382-O$5)),0)),IF($L1382&gt;O$4,O$3,ROUND($L1382*O$7,0)))</f>
        <v/>
      </c>
      <c r="E1382" s="448">
        <f>IF($L1382&gt;P$5,MAX(0,P$3+ROUND((P$9*($L1382-P$5)),0)),IF($L1382&gt;P$4,P$3,ROUND($L1382*P$7,0)))</f>
        <v/>
      </c>
      <c r="F1382" s="447">
        <f>IF($L1382&gt;Q$5,MAX(0,Q$3+ROUND((Q$9*($L1382-Q$5)),0)),IF($L1382&gt;Q$4,Q$3,ROUND($L1382*Q$7,0)))</f>
        <v/>
      </c>
      <c r="G1382" s="1378">
        <f>IF($L1382&gt;R$5,MAX(0,R$3+ROUND((R$9*($L1382-R$5)),0)),IF($L1382&gt;R$4,R$3,ROUND($L1382*R$7,0)))</f>
        <v/>
      </c>
      <c r="H1382" s="448">
        <f>IF($L1382&gt;S$5,MAX(0,S$3+ROUND((S$9*($L1382-S$5)),0)),IF($L1382&gt;S$4,S$3,ROUND($L1382*S$7,0)))</f>
        <v/>
      </c>
      <c r="I1382" s="448">
        <f>IF($L1382&gt;T$5,MAX(0,T$3+ROUND((T$9*($L1382-T$5)),0)),IF($L1382&gt;T$4,T$3,ROUND($L1382*T$7,0)))</f>
        <v/>
      </c>
      <c r="J1382" s="447">
        <f>IF($L1382&gt;U$5,MAX(0,U$3+ROUND((U$9*($L1382-U$5)),0)),IF($L1382&gt;U$4,U$3,ROUND($L1382*U$7,0)))</f>
        <v/>
      </c>
      <c r="L1382" s="448">
        <f>ROUND((A1382+B1382)/2,2)</f>
        <v/>
      </c>
    </row>
    <row r="1383" ht="13.5" customHeight="1" s="7635">
      <c r="A1383" s="6556" t="n">
        <v>68650</v>
      </c>
      <c r="B1383" s="6557" t="n">
        <v>68675</v>
      </c>
      <c r="C1383" s="1378">
        <f>IF($L1383&gt;N$5,MAX(0,N$3+ROUND((N$9*($L1383-N$5)),0)),IF($L1383&gt;N$4,N$3,ROUND($L1383*N$7,0)))</f>
        <v/>
      </c>
      <c r="D1383" s="448">
        <f>IF($L1383&gt;O$5,MAX(0,O$3+ROUND((O$9*($L1383-O$5)),0)),IF($L1383&gt;O$4,O$3,ROUND($L1383*O$7,0)))</f>
        <v/>
      </c>
      <c r="E1383" s="448">
        <f>IF($L1383&gt;P$5,MAX(0,P$3+ROUND((P$9*($L1383-P$5)),0)),IF($L1383&gt;P$4,P$3,ROUND($L1383*P$7,0)))</f>
        <v/>
      </c>
      <c r="F1383" s="447">
        <f>IF($L1383&gt;Q$5,MAX(0,Q$3+ROUND((Q$9*($L1383-Q$5)),0)),IF($L1383&gt;Q$4,Q$3,ROUND($L1383*Q$7,0)))</f>
        <v/>
      </c>
      <c r="G1383" s="1378">
        <f>IF($L1383&gt;R$5,MAX(0,R$3+ROUND((R$9*($L1383-R$5)),0)),IF($L1383&gt;R$4,R$3,ROUND($L1383*R$7,0)))</f>
        <v/>
      </c>
      <c r="H1383" s="448">
        <f>IF($L1383&gt;S$5,MAX(0,S$3+ROUND((S$9*($L1383-S$5)),0)),IF($L1383&gt;S$4,S$3,ROUND($L1383*S$7,0)))</f>
        <v/>
      </c>
      <c r="I1383" s="448">
        <f>IF($L1383&gt;T$5,MAX(0,T$3+ROUND((T$9*($L1383-T$5)),0)),IF($L1383&gt;T$4,T$3,ROUND($L1383*T$7,0)))</f>
        <v/>
      </c>
      <c r="J1383" s="447">
        <f>IF($L1383&gt;U$5,MAX(0,U$3+ROUND((U$9*($L1383-U$5)),0)),IF($L1383&gt;U$4,U$3,ROUND($L1383*U$7,0)))</f>
        <v/>
      </c>
      <c r="L1383" s="448">
        <f>ROUND((A1383+B1383)/2,2)</f>
        <v/>
      </c>
    </row>
    <row r="1384" ht="14.25" customHeight="1" s="7635" thickBot="1">
      <c r="A1384" s="6558" t="n">
        <v>68675</v>
      </c>
      <c r="B1384" s="6559" t="n">
        <v>68700</v>
      </c>
      <c r="C1384" s="1378">
        <f>IF($L1384&gt;N$5,MAX(0,N$3+ROUND((N$9*($L1384-N$5)),0)),IF($L1384&gt;N$4,N$3,ROUND($L1384*N$7,0)))</f>
        <v/>
      </c>
      <c r="D1384" s="448">
        <f>IF($L1384&gt;O$5,MAX(0,O$3+ROUND((O$9*($L1384-O$5)),0)),IF($L1384&gt;O$4,O$3,ROUND($L1384*O$7,0)))</f>
        <v/>
      </c>
      <c r="E1384" s="448">
        <f>IF($L1384&gt;P$5,MAX(0,P$3+ROUND((P$9*($L1384-P$5)),0)),IF($L1384&gt;P$4,P$3,ROUND($L1384*P$7,0)))</f>
        <v/>
      </c>
      <c r="F1384" s="447">
        <f>IF($L1384&gt;Q$5,MAX(0,Q$3+ROUND((Q$9*($L1384-Q$5)),0)),IF($L1384&gt;Q$4,Q$3,ROUND($L1384*Q$7,0)))</f>
        <v/>
      </c>
      <c r="G1384" s="1378">
        <f>IF($L1384&gt;R$5,MAX(0,R$3+ROUND((R$9*($L1384-R$5)),0)),IF($L1384&gt;R$4,R$3,ROUND($L1384*R$7,0)))</f>
        <v/>
      </c>
      <c r="H1384" s="448">
        <f>IF($L1384&gt;S$5,MAX(0,S$3+ROUND((S$9*($L1384-S$5)),0)),IF($L1384&gt;S$4,S$3,ROUND($L1384*S$7,0)))</f>
        <v/>
      </c>
      <c r="I1384" s="448">
        <f>IF($L1384&gt;T$5,MAX(0,T$3+ROUND((T$9*($L1384-T$5)),0)),IF($L1384&gt;T$4,T$3,ROUND($L1384*T$7,0)))</f>
        <v/>
      </c>
      <c r="J1384" s="447">
        <f>IF($L1384&gt;U$5,MAX(0,U$3+ROUND((U$9*($L1384-U$5)),0)),IF($L1384&gt;U$4,U$3,ROUND($L1384*U$7,0)))</f>
        <v/>
      </c>
      <c r="L1384" s="448">
        <f>ROUND((A1384+B1384)/2,2)</f>
        <v/>
      </c>
    </row>
  </sheetData>
  <sheetProtection selectLockedCells="0" selectUnlockedCells="0" algorithmName="SHA-512" sheet="1" objects="1" insertRows="1" insertHyperlinks="1" autoFilter="1" scenarios="1" formatColumns="1" deleteColumns="1" insertColumns="1" pivotTables="1" deleteRows="1" formatCells="1" saltValue="uFfadOO5Xgpd3zyfh3bKTw==" formatRows="1" sort="1" spinCount="100000" hashValue="yUViLiNMLrR/6GxayRCs4eM84MCs8x/yxU9a7QSWMZbBgu4CjnXjsHCCLNNkvgMOwQtTwzCWps19RtcF31uR7g=="/>
  <mergeCells count="5">
    <mergeCell ref="R1:U1"/>
    <mergeCell ref="N1:Q1"/>
    <mergeCell ref="C1:F1"/>
    <mergeCell ref="G1:J1"/>
    <mergeCell ref="A1:B1"/>
  </mergeCells>
  <conditionalFormatting sqref="B4:B1384">
    <cfRule type="expression" priority="1" dxfId="0">
      <formula>B4&lt;&gt;A4+50</formula>
    </cfRule>
  </conditionalFormatting>
  <pageMargins left="0.75" right="0.25" top="0.36" bottom="0.29" header="0.36" footer="0.21"/>
  <pageSetup orientation="portrait" scale="33" fitToHeight="0"/>
  <drawing xmlns:r="http://schemas.openxmlformats.org/officeDocument/2006/relationships" r:id="rId1"/>
</worksheet>
</file>

<file path=xl/worksheets/sheet65.xml><?xml version="1.0" encoding="utf-8"?>
<worksheet xmlns="http://schemas.openxmlformats.org/spreadsheetml/2006/main">
  <sheetPr codeName="Sheet23">
    <outlinePr summaryBelow="1" summaryRight="1"/>
    <pageSetUpPr fitToPage="1"/>
  </sheetPr>
  <dimension ref="A1:AE2064"/>
  <sheetViews>
    <sheetView topLeftCell="B1" zoomScaleNormal="100" workbookViewId="0">
      <pane ySplit="1" topLeftCell="A2" activePane="bottomLeft" state="frozen"/>
      <selection activeCell="E24" sqref="E24"/>
      <selection pane="bottomLeft" activeCell="B1" sqref="B1"/>
    </sheetView>
  </sheetViews>
  <sheetFormatPr baseColWidth="8" defaultColWidth="11.7109375" defaultRowHeight="16.5"/>
  <cols>
    <col hidden="1" width="15.42578125" customWidth="1" style="625" min="1" max="1"/>
    <col width="15.42578125" customWidth="1" style="446" min="2" max="2"/>
    <col width="12.28515625" customWidth="1" style="446" min="3" max="3"/>
    <col width="12.85546875" bestFit="1" customWidth="1" style="445" min="4" max="4"/>
    <col width="12.28515625" customWidth="1" style="445" min="5" max="7"/>
    <col width="6.7109375" customWidth="1" style="575" min="8" max="8"/>
    <col width="6.7109375" customWidth="1" style="224" min="9" max="9"/>
    <col width="13.7109375" customWidth="1" style="224" min="10" max="10"/>
    <col width="11.7109375" customWidth="1" style="224" min="11" max="12"/>
    <col width="7.85546875" customWidth="1" style="224" min="13" max="13"/>
    <col hidden="1" width="15.5703125" customWidth="1" style="624" min="14" max="16"/>
    <col width="4.28515625" customWidth="1" style="624" min="17" max="17"/>
    <col width="4.28515625" customWidth="1" style="703" min="18" max="18"/>
    <col width="11.7109375" customWidth="1" style="700" min="19" max="19"/>
    <col width="23.85546875" customWidth="1" style="701" min="20" max="20"/>
    <col width="20.5703125" customWidth="1" style="702" min="21" max="21"/>
    <col width="60.42578125" customWidth="1" style="701" min="22" max="22"/>
    <col width="5.140625" customWidth="1" style="224" min="23" max="23"/>
    <col width="11.28515625" customWidth="1" style="1820" min="24" max="24"/>
    <col width="5.7109375" customWidth="1" style="224" min="25" max="25"/>
    <col width="11.7109375" customWidth="1" style="224" min="26" max="30"/>
    <col width="6.7109375" customWidth="1" style="224" min="31" max="31"/>
    <col width="11.7109375" customWidth="1" style="224" min="32" max="16384"/>
  </cols>
  <sheetData>
    <row r="1" ht="65.25" customFormat="1" customHeight="1" s="244" thickBot="1">
      <c r="A1" s="243" t="n"/>
      <c r="B1" s="243" t="inlineStr">
        <is>
          <t>At Least</t>
        </is>
      </c>
      <c r="C1" s="243" t="inlineStr">
        <is>
          <t>But Less Than</t>
        </is>
      </c>
      <c r="D1" s="243" t="inlineStr">
        <is>
          <t>Single</t>
        </is>
      </c>
      <c r="E1" s="243" t="inlineStr">
        <is>
          <t>Married filing jointly</t>
        </is>
      </c>
      <c r="F1" s="243" t="inlineStr">
        <is>
          <t>Married filing          separately</t>
        </is>
      </c>
      <c r="G1" s="243" t="inlineStr">
        <is>
          <t>Head of household</t>
        </is>
      </c>
      <c r="H1" s="574" t="n"/>
      <c r="N1" s="623" t="n"/>
      <c r="O1" s="623" t="n"/>
      <c r="P1" s="623" t="n"/>
      <c r="Q1" s="623" t="n"/>
      <c r="R1" s="708" t="n"/>
      <c r="S1" s="1105" t="n"/>
      <c r="T1" s="1106" t="n"/>
      <c r="U1" s="1085" t="n"/>
      <c r="V1" s="1084" t="n"/>
      <c r="X1" s="1819" t="n"/>
    </row>
    <row r="2" ht="17.25" customHeight="1" s="7635" thickBot="1" thickTop="1">
      <c r="A2" s="625">
        <f>AVERAGE(B2,C2)</f>
        <v/>
      </c>
      <c r="B2" s="554" t="n">
        <v>0</v>
      </c>
      <c r="C2" s="554" t="n">
        <v>5</v>
      </c>
      <c r="D2" s="556">
        <f>IF($A2&gt;BOTT_A4,ROUND(BASE_A4+RATE_A4*($A2-BOTT_A4),0),IF($A2&gt;BOTT_A3,ROUND(BASE_A3+RATE_A3*($A2-BOTT_A3),0),IF($A2&gt;BOTT_A2,ROUND(BASE_A2+RATE_A2*($A2-BOTT_A2),0),ROUND(RATE_A1*$A2,0))))</f>
        <v/>
      </c>
      <c r="E2" s="556">
        <f>IF($A2&gt;BOTT_B4,ROUND(BASE_B4+RATE_B4*($A2-BOTT_B4),0),IF($A2&gt;BOTT_B3,ROUND(BASE_B3+RATE_B3*($A2-BOTT_B3),0),IF($A2&gt;BOTT_B2,ROUND(BASE_B2+RATE_B2*($A2-BOTT_B2),0),ROUND(RATE_B1*$A2,0))))</f>
        <v/>
      </c>
      <c r="F2" s="556">
        <f>IF($A2&gt;BOTT_C4,ROUND(BASE_C4+RATE_C4*($A2-BOTT_C4),0),IF($A2&gt;BOTT_C3,ROUND(BASE_C3+RATE_C3*($A2-BOTT_C3),0),IF($A2&gt;BOTT_C2,ROUND(BASE_C2+RATE_C2*($A2-BOTT_C2),0),ROUND(RATE_C1*$A2,0))))</f>
        <v/>
      </c>
      <c r="G2" s="556">
        <f>IF($A2&gt;BOTT_D4,ROUND(BASE_D4+RATE_D4*($A2-BOTT_D4),0),IF($A2&gt;BOTT_D3,ROUND(BASE_D3+RATE_D3*($A2-BOTT_D3),0),IF($A2&gt;BOTT_D2,ROUND(BASE_D2+RATE_D2*($A2-BOTT_D2),0),ROUND(RATE_D1*$A2,0))))</f>
        <v/>
      </c>
      <c r="I2" s="1080">
        <f>TaxYear&amp;" Tax Computation Worksheet"</f>
        <v/>
      </c>
      <c r="J2" s="552" t="n"/>
      <c r="K2" s="552" t="n"/>
      <c r="L2" s="552" t="n"/>
      <c r="M2" s="553" t="n"/>
      <c r="R2" s="1086" t="n"/>
      <c r="S2" s="1087" t="n"/>
      <c r="T2" s="1088" t="n"/>
      <c r="U2" s="1089" t="n"/>
      <c r="V2" s="1088" t="n"/>
      <c r="W2" s="1090" t="n"/>
    </row>
    <row r="3" s="7635" thickTop="1">
      <c r="A3" s="625">
        <f>AVERAGE(B3,C3)</f>
        <v/>
      </c>
      <c r="B3" s="554" t="n">
        <v>5</v>
      </c>
      <c r="C3" s="554" t="n">
        <v>15</v>
      </c>
      <c r="D3" s="556">
        <f>IF($A3&gt;BOTT_A4,ROUND(BASE_A4+RATE_A4*($A3-BOTT_A4),0),IF($A3&gt;BOTT_A3,ROUND(BASE_A3+RATE_A3*($A3-BOTT_A3),0),IF($A3&gt;BOTT_A2,ROUND(BASE_A2+RATE_A2*($A3-BOTT_A2),0),ROUND(RATE_A1*$A3,0))))</f>
        <v/>
      </c>
      <c r="E3" s="556">
        <f>IF($A3&gt;BOTT_B4,ROUND(BASE_B4+RATE_B4*($A3-BOTT_B4),0),IF($A3&gt;BOTT_B3,ROUND(BASE_B3+RATE_B3*($A3-BOTT_B3),0),IF($A3&gt;BOTT_B2,ROUND(BASE_B2+RATE_B2*($A3-BOTT_B2),0),ROUND(RATE_B1*$A3,0))))</f>
        <v/>
      </c>
      <c r="F3" s="556">
        <f>IF($A3&gt;BOTT_C4,ROUND(BASE_C4+RATE_C4*($A3-BOTT_C4),0),IF($A3&gt;BOTT_C3,ROUND(BASE_C3+RATE_C3*($A3-BOTT_C3),0),IF($A3&gt;BOTT_C2,ROUND(BASE_C2+RATE_C2*($A3-BOTT_C2),0),ROUND(RATE_C1*$A3,0))))</f>
        <v/>
      </c>
      <c r="G3" s="556">
        <f>IF($A3&gt;BOTT_D4,ROUND(BASE_D4+RATE_D4*($A3-BOTT_D4),0),IF($A3&gt;BOTT_D3,ROUND(BASE_D3+RATE_D3*($A3-BOTT_D3),0),IF($A3&gt;BOTT_D2,ROUND(BASE_D2+RATE_D2*($A3-BOTT_D2),0),ROUND(RATE_D1*$A3,0))))</f>
        <v/>
      </c>
      <c r="H3" s="576" t="n"/>
      <c r="I3" s="542" t="n"/>
      <c r="J3" s="561" t="inlineStr">
        <is>
          <t>a</t>
        </is>
      </c>
      <c r="K3" s="561" t="inlineStr">
        <is>
          <t>b</t>
        </is>
      </c>
      <c r="L3" s="561" t="inlineStr">
        <is>
          <t>d</t>
        </is>
      </c>
      <c r="M3" s="543" t="n"/>
      <c r="R3" s="1091" t="n"/>
      <c r="S3" s="508" t="inlineStr">
        <is>
          <t>OFFICIAL TAX RATES</t>
        </is>
      </c>
      <c r="T3" s="1093" t="n"/>
      <c r="U3" s="1094" t="n"/>
      <c r="V3" s="1093" t="n"/>
      <c r="W3" s="1095" t="n"/>
    </row>
    <row r="4">
      <c r="A4" s="625">
        <f>AVERAGE(B4,C4)</f>
        <v/>
      </c>
      <c r="B4" s="554" t="n">
        <v>15</v>
      </c>
      <c r="C4" s="554" t="n">
        <v>25</v>
      </c>
      <c r="D4" s="556">
        <f>IF($A4&gt;BOTT_A4,ROUND(BASE_A4+RATE_A4*($A4-BOTT_A4),0),IF($A4&gt;BOTT_A3,ROUND(BASE_A3+RATE_A3*($A4-BOTT_A3),0),IF($A4&gt;BOTT_A2,ROUND(BASE_A2+RATE_A2*($A4-BOTT_A2),0),ROUND(RATE_A1*$A4,0))))</f>
        <v/>
      </c>
      <c r="E4" s="556">
        <f>IF($A4&gt;BOTT_B4,ROUND(BASE_B4+RATE_B4*($A4-BOTT_B4),0),IF($A4&gt;BOTT_B3,ROUND(BASE_B3+RATE_B3*($A4-BOTT_B3),0),IF($A4&gt;BOTT_B2,ROUND(BASE_B2+RATE_B2*($A4-BOTT_B2),0),ROUND(RATE_B1*$A4,0))))</f>
        <v/>
      </c>
      <c r="F4" s="556">
        <f>IF($A4&gt;BOTT_C4,ROUND(BASE_C4+RATE_C4*($A4-BOTT_C4),0),IF($A4&gt;BOTT_C3,ROUND(BASE_C3+RATE_C3*($A4-BOTT_C3),0),IF($A4&gt;BOTT_C2,ROUND(BASE_C2+RATE_C2*($A4-BOTT_C2),0),ROUND(RATE_C1*$A4,0))))</f>
        <v/>
      </c>
      <c r="G4" s="556">
        <f>IF($A4&gt;BOTT_D4,ROUND(BASE_D4+RATE_D4*($A4-BOTT_D4),0),IF($A4&gt;BOTT_D3,ROUND(BASE_D3+RATE_D3*($A4-BOTT_D3),0),IF($A4&gt;BOTT_D2,ROUND(BASE_D2+RATE_D2*($A4-BOTT_D2),0),ROUND(RATE_D1*$A4,0))))</f>
        <v/>
      </c>
      <c r="H4" s="576" t="n"/>
      <c r="I4" s="544" t="n"/>
      <c r="J4" s="1220" t="inlineStr">
        <is>
          <t>Section A</t>
        </is>
      </c>
      <c r="K4" s="545" t="n"/>
      <c r="L4" s="545" t="n"/>
      <c r="M4" s="546" t="n"/>
      <c r="R4" s="1091" t="n"/>
      <c r="S4" s="1096" t="inlineStr">
        <is>
          <t>RATE</t>
        </is>
      </c>
      <c r="T4" s="1097" t="inlineStr">
        <is>
          <t>BOTT</t>
        </is>
      </c>
      <c r="U4" s="1097" t="inlineStr">
        <is>
          <t>BASE</t>
        </is>
      </c>
      <c r="V4" s="1093" t="n"/>
      <c r="W4" s="1095" t="n"/>
    </row>
    <row r="5" ht="15.75" customHeight="1" s="7635">
      <c r="A5" s="625">
        <f>AVERAGE(B5,C5)</f>
        <v/>
      </c>
      <c r="B5" s="554" t="n">
        <v>25</v>
      </c>
      <c r="C5" s="554" t="n">
        <v>50</v>
      </c>
      <c r="D5" s="556">
        <f>IF($A5&gt;BOTT_A4,ROUND(BASE_A4+RATE_A4*($A5-BOTT_A4),0),IF($A5&gt;BOTT_A3,ROUND(BASE_A3+RATE_A3*($A5-BOTT_A3),0),IF($A5&gt;BOTT_A2,ROUND(BASE_A2+RATE_A2*($A5-BOTT_A2),0),ROUND(RATE_A1*$A5,0))))</f>
        <v/>
      </c>
      <c r="E5" s="556">
        <f>IF($A5&gt;BOTT_B4,ROUND(BASE_B4+RATE_B4*($A5-BOTT_B4),0),IF($A5&gt;BOTT_B3,ROUND(BASE_B3+RATE_B3*($A5-BOTT_B3),0),IF($A5&gt;BOTT_B2,ROUND(BASE_B2+RATE_B2*($A5-BOTT_B2),0),ROUND(RATE_B1*$A5,0))))</f>
        <v/>
      </c>
      <c r="F5" s="556">
        <f>IF($A5&gt;BOTT_C4,ROUND(BASE_C4+RATE_C4*($A5-BOTT_C4),0),IF($A5&gt;BOTT_C3,ROUND(BASE_C3+RATE_C3*($A5-BOTT_C3),0),IF($A5&gt;BOTT_C2,ROUND(BASE_C2+RATE_C2*($A5-BOTT_C2),0),ROUND(RATE_C1*$A5,0))))</f>
        <v/>
      </c>
      <c r="G5" s="556">
        <f>IF($A5&gt;BOTT_D4,ROUND(BASE_D4+RATE_D4*($A5-BOTT_D4),0),IF($A5&gt;BOTT_D3,ROUND(BASE_D3+RATE_D3*($A5-BOTT_D3),0),IF($A5&gt;BOTT_D2,ROUND(BASE_D2+RATE_D2*($A5-BOTT_D2),0),ROUND(RATE_D1*$A5,0))))</f>
        <v/>
      </c>
      <c r="H5" s="576" t="n"/>
      <c r="I5" s="544" t="n"/>
      <c r="J5" s="1093" t="inlineStr">
        <is>
          <t>Filing status:  Single</t>
        </is>
      </c>
      <c r="K5" s="528" t="n"/>
      <c r="L5" s="528" t="n"/>
      <c r="M5" s="546" t="n"/>
      <c r="R5" s="1091" t="inlineStr">
        <is>
          <t>A</t>
        </is>
      </c>
      <c r="S5" s="509" t="inlineStr">
        <is>
          <t>Schedule X -- If your filing status is Single</t>
        </is>
      </c>
      <c r="T5" s="1093" t="n"/>
      <c r="U5" s="1094" t="n"/>
      <c r="V5" s="1093" t="n"/>
      <c r="W5" s="1095" t="n"/>
    </row>
    <row r="6" s="7635" thickBot="1">
      <c r="A6" s="625">
        <f>AVERAGE(B6,C6)</f>
        <v/>
      </c>
      <c r="B6" s="554" t="n">
        <v>50</v>
      </c>
      <c r="C6" s="554" t="n">
        <v>75</v>
      </c>
      <c r="D6" s="556">
        <f>IF($A6&gt;BOTT_A4,ROUND(BASE_A4+RATE_A4*($A6-BOTT_A4),0),IF($A6&gt;BOTT_A3,ROUND(BASE_A3+RATE_A3*($A6-BOTT_A3),0),IF($A6&gt;BOTT_A2,ROUND(BASE_A2+RATE_A2*($A6-BOTT_A2),0),ROUND(RATE_A1*$A6,0))))</f>
        <v/>
      </c>
      <c r="E6" s="556">
        <f>IF($A6&gt;BOTT_B4,ROUND(BASE_B4+RATE_B4*($A6-BOTT_B4),0),IF($A6&gt;BOTT_B3,ROUND(BASE_B3+RATE_B3*($A6-BOTT_B3),0),IF($A6&gt;BOTT_B2,ROUND(BASE_B2+RATE_B2*($A6-BOTT_B2),0),ROUND(RATE_B1*$A6,0))))</f>
        <v/>
      </c>
      <c r="F6" s="556">
        <f>IF($A6&gt;BOTT_C4,ROUND(BASE_C4+RATE_C4*($A6-BOTT_C4),0),IF($A6&gt;BOTT_C3,ROUND(BASE_C3+RATE_C3*($A6-BOTT_C3),0),IF($A6&gt;BOTT_C2,ROUND(BASE_C2+RATE_C2*($A6-BOTT_C2),0),ROUND(RATE_C1*$A6,0))))</f>
        <v/>
      </c>
      <c r="G6" s="556">
        <f>IF($A6&gt;BOTT_D4,ROUND(BASE_D4+RATE_D4*($A6-BOTT_D4),0),IF($A6&gt;BOTT_D3,ROUND(BASE_D3+RATE_D3*($A6-BOTT_D3),0),IF($A6&gt;BOTT_D2,ROUND(BASE_D2+RATE_D2*($A6-BOTT_D2),0),ROUND(RATE_D1*$A6,0))))</f>
        <v/>
      </c>
      <c r="H6" s="576" t="n"/>
      <c r="I6" s="558" t="n">
        <v>1</v>
      </c>
      <c r="J6" s="529" t="inlineStr">
        <is>
          <t>But Not</t>
        </is>
      </c>
      <c r="K6" s="537" t="n"/>
      <c r="L6" s="530" t="n"/>
      <c r="M6" s="546" t="n"/>
      <c r="R6" s="1091" t="n"/>
      <c r="S6" s="1083" t="inlineStr">
        <is>
          <t>Rate</t>
        </is>
      </c>
      <c r="T6" s="1083" t="inlineStr">
        <is>
          <t>Bottom of bracket</t>
        </is>
      </c>
      <c r="U6" s="1098" t="inlineStr">
        <is>
          <t>Base amount</t>
        </is>
      </c>
      <c r="V6" s="704" t="inlineStr">
        <is>
          <t>Additional amount = Rate x (Taxable Income - Bottom of bracket)</t>
        </is>
      </c>
      <c r="W6" s="1095" t="n"/>
    </row>
    <row r="7" s="7635" thickBot="1">
      <c r="A7" s="625">
        <f>AVERAGE(B7,C7)</f>
        <v/>
      </c>
      <c r="B7" s="554" t="n">
        <v>75</v>
      </c>
      <c r="C7" s="554" t="n">
        <v>100</v>
      </c>
      <c r="D7" s="556">
        <f>IF($A7&gt;BOTT_A4,ROUND(BASE_A4+RATE_A4*($A7-BOTT_A4),0),IF($A7&gt;BOTT_A3,ROUND(BASE_A3+RATE_A3*($A7-BOTT_A3),0),IF($A7&gt;BOTT_A2,ROUND(BASE_A2+RATE_A2*($A7-BOTT_A2),0),ROUND(RATE_A1*$A7,0))))</f>
        <v/>
      </c>
      <c r="E7" s="556">
        <f>IF($A7&gt;BOTT_B4,ROUND(BASE_B4+RATE_B4*($A7-BOTT_B4),0),IF($A7&gt;BOTT_B3,ROUND(BASE_B3+RATE_B3*($A7-BOTT_B3),0),IF($A7&gt;BOTT_B2,ROUND(BASE_B2+RATE_B2*($A7-BOTT_B2),0),ROUND(RATE_B1*$A7,0))))</f>
        <v/>
      </c>
      <c r="F7" s="556">
        <f>IF($A7&gt;BOTT_C4,ROUND(BASE_C4+RATE_C4*($A7-BOTT_C4),0),IF($A7&gt;BOTT_C3,ROUND(BASE_C3+RATE_C3*($A7-BOTT_C3),0),IF($A7&gt;BOTT_C2,ROUND(BASE_C2+RATE_C2*($A7-BOTT_C2),0),ROUND(RATE_C1*$A7,0))))</f>
        <v/>
      </c>
      <c r="G7" s="556">
        <f>IF($A7&gt;BOTT_D4,ROUND(BASE_D4+RATE_D4*($A7-BOTT_D4),0),IF($A7&gt;BOTT_D3,ROUND(BASE_D3+RATE_D3*($A7-BOTT_D3),0),IF($A7&gt;BOTT_D2,ROUND(BASE_D2+RATE_D2*($A7-BOTT_D2),0),ROUND(RATE_D1*$A7,0))))</f>
        <v/>
      </c>
      <c r="H7" s="576" t="n"/>
      <c r="I7" s="558" t="n">
        <v>2</v>
      </c>
      <c r="J7" s="531" t="inlineStr">
        <is>
          <t>Over</t>
        </is>
      </c>
      <c r="K7" s="538" t="n"/>
      <c r="L7" s="532" t="n"/>
      <c r="M7" s="546" t="n"/>
      <c r="R7" s="1091" t="n">
        <v>1</v>
      </c>
      <c r="S7" s="763" t="n">
        <v>0.1</v>
      </c>
      <c r="T7" s="12885" t="n">
        <v>0</v>
      </c>
      <c r="U7" s="12885" t="n">
        <v>0</v>
      </c>
      <c r="V7" s="705" t="inlineStr">
        <is>
          <t>10% of Taxable Income</t>
        </is>
      </c>
      <c r="W7" s="1095" t="n"/>
    </row>
    <row r="8" s="7635" thickBot="1">
      <c r="A8" s="625">
        <f>AVERAGE(B8,C8)</f>
        <v/>
      </c>
      <c r="B8" s="554" t="n">
        <v>100</v>
      </c>
      <c r="C8" s="554" t="n">
        <v>125</v>
      </c>
      <c r="D8" s="556">
        <f>IF($A8&gt;BOTT_A4,ROUND(BASE_A4+RATE_A4*($A8-BOTT_A4),0),IF($A8&gt;BOTT_A3,ROUND(BASE_A3+RATE_A3*($A8-BOTT_A3),0),IF($A8&gt;BOTT_A2,ROUND(BASE_A2+RATE_A2*($A8-BOTT_A2),0),ROUND(RATE_A1*$A8,0))))</f>
        <v/>
      </c>
      <c r="E8" s="556">
        <f>IF($A8&gt;BOTT_B4,ROUND(BASE_B4+RATE_B4*($A8-BOTT_B4),0),IF($A8&gt;BOTT_B3,ROUND(BASE_B3+RATE_B3*($A8-BOTT_B3),0),IF($A8&gt;BOTT_B2,ROUND(BASE_B2+RATE_B2*($A8-BOTT_B2),0),ROUND(RATE_B1*$A8,0))))</f>
        <v/>
      </c>
      <c r="F8" s="556">
        <f>IF($A8&gt;BOTT_C4,ROUND(BASE_C4+RATE_C4*($A8-BOTT_C4),0),IF($A8&gt;BOTT_C3,ROUND(BASE_C3+RATE_C3*($A8-BOTT_C3),0),IF($A8&gt;BOTT_C2,ROUND(BASE_C2+RATE_C2*($A8-BOTT_C2),0),ROUND(RATE_C1*$A8,0))))</f>
        <v/>
      </c>
      <c r="G8" s="556">
        <f>IF($A8&gt;BOTT_D4,ROUND(BASE_D4+RATE_D4*($A8-BOTT_D4),0),IF($A8&gt;BOTT_D3,ROUND(BASE_D3+RATE_D3*($A8-BOTT_D3),0),IF($A8&gt;BOTT_D2,ROUND(BASE_D2+RATE_D2*($A8-BOTT_D2),0),ROUND(RATE_D1*$A8,0))))</f>
        <v/>
      </c>
      <c r="H8" s="576" t="n"/>
      <c r="I8" s="558" t="n">
        <v>3</v>
      </c>
      <c r="J8" s="533" t="n">
        <v>100000</v>
      </c>
      <c r="K8" s="538" t="n"/>
      <c r="L8" s="532" t="n"/>
      <c r="M8" s="546" t="n"/>
      <c r="R8" s="1091" t="n">
        <v>2</v>
      </c>
      <c r="S8" s="764" t="n">
        <v>0.12</v>
      </c>
      <c r="T8" s="12886" t="n">
        <v>11925</v>
      </c>
      <c r="U8" s="12886">
        <f>ROUND(RATE_A1*BOTT_A2,2)</f>
        <v/>
      </c>
      <c r="V8" s="706">
        <f>"plus "&amp;TEXT(S8,"0%")&amp;" of the excess over "&amp;TEXT(T8,"$0,000")</f>
        <v/>
      </c>
      <c r="W8" s="1095" t="n"/>
    </row>
    <row r="9" s="7635" thickBot="1">
      <c r="A9" s="625">
        <f>AVERAGE(B9,C9)</f>
        <v/>
      </c>
      <c r="B9" s="554" t="n">
        <v>125</v>
      </c>
      <c r="C9" s="554" t="n">
        <v>150</v>
      </c>
      <c r="D9" s="556">
        <f>IF($A9&gt;BOTT_A4,ROUND(BASE_A4+RATE_A4*($A9-BOTT_A4),0),IF($A9&gt;BOTT_A3,ROUND(BASE_A3+RATE_A3*($A9-BOTT_A3),0),IF($A9&gt;BOTT_A2,ROUND(BASE_A2+RATE_A2*($A9-BOTT_A2),0),ROUND(RATE_A1*$A9,0))))</f>
        <v/>
      </c>
      <c r="E9" s="556">
        <f>IF($A9&gt;BOTT_B4,ROUND(BASE_B4+RATE_B4*($A9-BOTT_B4),0),IF($A9&gt;BOTT_B3,ROUND(BASE_B3+RATE_B3*($A9-BOTT_B3),0),IF($A9&gt;BOTT_B2,ROUND(BASE_B2+RATE_B2*($A9-BOTT_B2),0),ROUND(RATE_B1*$A9,0))))</f>
        <v/>
      </c>
      <c r="F9" s="556">
        <f>IF($A9&gt;BOTT_C4,ROUND(BASE_C4+RATE_C4*($A9-BOTT_C4),0),IF($A9&gt;BOTT_C3,ROUND(BASE_C3+RATE_C3*($A9-BOTT_C3),0),IF($A9&gt;BOTT_C2,ROUND(BASE_C2+RATE_C2*($A9-BOTT_C2),0),ROUND(RATE_C1*$A9,0))))</f>
        <v/>
      </c>
      <c r="G9" s="556">
        <f>IF($A9&gt;BOTT_D4,ROUND(BASE_D4+RATE_D4*($A9-BOTT_D4),0),IF($A9&gt;BOTT_D3,ROUND(BASE_D3+RATE_D3*($A9-BOTT_D3),0),IF($A9&gt;BOTT_D2,ROUND(BASE_D2+RATE_D2*($A9-BOTT_D2),0),ROUND(RATE_D1*$A9,0))))</f>
        <v/>
      </c>
      <c r="H9" s="576" t="n"/>
      <c r="I9" s="558" t="n"/>
      <c r="J9" s="533">
        <f>BOTT_A4</f>
        <v/>
      </c>
      <c r="K9" s="538">
        <f>RATE_A3*100</f>
        <v/>
      </c>
      <c r="L9" s="532">
        <f>P9</f>
        <v/>
      </c>
      <c r="M9" s="546" t="n"/>
      <c r="N9" s="637">
        <f>BOTT_A3*RATE_A3</f>
        <v/>
      </c>
      <c r="O9" s="637">
        <f>BASE_A3</f>
        <v/>
      </c>
      <c r="P9" s="637">
        <f>SUM(N9,-O9)</f>
        <v/>
      </c>
      <c r="R9" s="1091" t="n">
        <v>3</v>
      </c>
      <c r="S9" s="763" t="n">
        <v>0.22</v>
      </c>
      <c r="T9" s="12885" t="n">
        <v>48475</v>
      </c>
      <c r="U9" s="12885">
        <f>ROUND(BASE_A2+RATE_A2*(BOTT_A3-BOTT_A2),2)</f>
        <v/>
      </c>
      <c r="V9" s="705">
        <f>"plus "&amp;TEXT(S9,"0%")&amp;" of the excess over "&amp;TEXT(T9,"$0,000")</f>
        <v/>
      </c>
      <c r="W9" s="1095" t="n"/>
    </row>
    <row r="10" s="7635" thickBot="1">
      <c r="A10" s="625">
        <f>AVERAGE(B10,C10)</f>
        <v/>
      </c>
      <c r="B10" s="554" t="n">
        <v>150</v>
      </c>
      <c r="C10" s="554" t="n">
        <v>175</v>
      </c>
      <c r="D10" s="556">
        <f>IF($A10&gt;BOTT_A4,ROUND(BASE_A4+RATE_A4*($A10-BOTT_A4),0),IF($A10&gt;BOTT_A3,ROUND(BASE_A3+RATE_A3*($A10-BOTT_A3),0),IF($A10&gt;BOTT_A2,ROUND(BASE_A2+RATE_A2*($A10-BOTT_A2),0),ROUND(RATE_A1*$A10,0))))</f>
        <v/>
      </c>
      <c r="E10" s="556">
        <f>IF($A10&gt;BOTT_B4,ROUND(BASE_B4+RATE_B4*($A10-BOTT_B4),0),IF($A10&gt;BOTT_B3,ROUND(BASE_B3+RATE_B3*($A10-BOTT_B3),0),IF($A10&gt;BOTT_B2,ROUND(BASE_B2+RATE_B2*($A10-BOTT_B2),0),ROUND(RATE_B1*$A10,0))))</f>
        <v/>
      </c>
      <c r="F10" s="556">
        <f>IF($A10&gt;BOTT_C4,ROUND(BASE_C4+RATE_C4*($A10-BOTT_C4),0),IF($A10&gt;BOTT_C3,ROUND(BASE_C3+RATE_C3*($A10-BOTT_C3),0),IF($A10&gt;BOTT_C2,ROUND(BASE_C2+RATE_C2*($A10-BOTT_C2),0),ROUND(RATE_C1*$A10,0))))</f>
        <v/>
      </c>
      <c r="G10" s="556">
        <f>IF($A10&gt;BOTT_D4,ROUND(BASE_D4+RATE_D4*($A10-BOTT_D4),0),IF($A10&gt;BOTT_D3,ROUND(BASE_D3+RATE_D3*($A10-BOTT_D3),0),IF($A10&gt;BOTT_D2,ROUND(BASE_D2+RATE_D2*($A10-BOTT_D2),0),ROUND(RATE_D1*$A10,0))))</f>
        <v/>
      </c>
      <c r="H10" s="576" t="n"/>
      <c r="I10" s="558" t="n">
        <v>4</v>
      </c>
      <c r="J10" s="533">
        <f>BOTT_A5</f>
        <v/>
      </c>
      <c r="K10" s="538">
        <f>RATE_A4*100</f>
        <v/>
      </c>
      <c r="L10" s="532">
        <f>P10</f>
        <v/>
      </c>
      <c r="M10" s="546" t="n"/>
      <c r="N10" s="637">
        <f>BOTT_A4*RATE_A4</f>
        <v/>
      </c>
      <c r="O10" s="637">
        <f>BASE_A4</f>
        <v/>
      </c>
      <c r="P10" s="637">
        <f>SUM(N10,-O10)</f>
        <v/>
      </c>
      <c r="R10" s="1091" t="n">
        <v>4</v>
      </c>
      <c r="S10" s="764" t="n">
        <v>0.24</v>
      </c>
      <c r="T10" s="12886" t="n">
        <v>103350</v>
      </c>
      <c r="U10" s="12886">
        <f>ROUND(BASE_A3+RATE_A3*(BOTT_A4-BOTT_A3),2)</f>
        <v/>
      </c>
      <c r="V10" s="706">
        <f>"plus "&amp;TEXT(S10,"0%")&amp;" of the excess over "&amp;TEXT(T10,"$0,000")</f>
        <v/>
      </c>
      <c r="W10" s="1095" t="n"/>
    </row>
    <row r="11" s="7635" thickBot="1">
      <c r="A11" s="625">
        <f>AVERAGE(B11,C11)</f>
        <v/>
      </c>
      <c r="B11" s="554" t="n">
        <v>175</v>
      </c>
      <c r="C11" s="554" t="n">
        <v>200</v>
      </c>
      <c r="D11" s="556">
        <f>IF($A11&gt;BOTT_A4,ROUND(BASE_A4+RATE_A4*($A11-BOTT_A4),0),IF($A11&gt;BOTT_A3,ROUND(BASE_A3+RATE_A3*($A11-BOTT_A3),0),IF($A11&gt;BOTT_A2,ROUND(BASE_A2+RATE_A2*($A11-BOTT_A2),0),ROUND(RATE_A1*$A11,0))))</f>
        <v/>
      </c>
      <c r="E11" s="556">
        <f>IF($A11&gt;BOTT_B4,ROUND(BASE_B4+RATE_B4*($A11-BOTT_B4),0),IF($A11&gt;BOTT_B3,ROUND(BASE_B3+RATE_B3*($A11-BOTT_B3),0),IF($A11&gt;BOTT_B2,ROUND(BASE_B2+RATE_B2*($A11-BOTT_B2),0),ROUND(RATE_B1*$A11,0))))</f>
        <v/>
      </c>
      <c r="F11" s="556">
        <f>IF($A11&gt;BOTT_C4,ROUND(BASE_C4+RATE_C4*($A11-BOTT_C4),0),IF($A11&gt;BOTT_C3,ROUND(BASE_C3+RATE_C3*($A11-BOTT_C3),0),IF($A11&gt;BOTT_C2,ROUND(BASE_C2+RATE_C2*($A11-BOTT_C2),0),ROUND(RATE_C1*$A11,0))))</f>
        <v/>
      </c>
      <c r="G11" s="556">
        <f>IF($A11&gt;BOTT_D4,ROUND(BASE_D4+RATE_D4*($A11-BOTT_D4),0),IF($A11&gt;BOTT_D3,ROUND(BASE_D3+RATE_D3*($A11-BOTT_D3),0),IF($A11&gt;BOTT_D2,ROUND(BASE_D2+RATE_D2*($A11-BOTT_D2),0),ROUND(RATE_D1*$A11,0))))</f>
        <v/>
      </c>
      <c r="H11" s="576" t="n"/>
      <c r="I11" s="558" t="n">
        <v>5</v>
      </c>
      <c r="J11" s="533">
        <f>BOTT_A6</f>
        <v/>
      </c>
      <c r="K11" s="538">
        <f>RATE_A5*100</f>
        <v/>
      </c>
      <c r="L11" s="534">
        <f>P11</f>
        <v/>
      </c>
      <c r="M11" s="546" t="n"/>
      <c r="N11" s="637">
        <f>BOTT_A5*RATE_A5</f>
        <v/>
      </c>
      <c r="O11" s="637">
        <f>BASE_A5</f>
        <v/>
      </c>
      <c r="P11" s="637">
        <f>SUM(N11,-O11)</f>
        <v/>
      </c>
      <c r="R11" s="1091" t="n">
        <v>5</v>
      </c>
      <c r="S11" s="763" t="n">
        <v>0.32</v>
      </c>
      <c r="T11" s="12885" t="n">
        <v>197300</v>
      </c>
      <c r="U11" s="12885">
        <f>ROUND(BASE_A4+RATE_A4*(BOTT_A5-BOTT_A4),2)</f>
        <v/>
      </c>
      <c r="V11" s="705">
        <f>"plus "&amp;TEXT(S11,"0%")&amp;" of the excess over "&amp;TEXT(T11,"$0,000")</f>
        <v/>
      </c>
      <c r="W11" s="1095" t="n"/>
    </row>
    <row r="12" s="7635" thickBot="1">
      <c r="A12" s="625">
        <f>AVERAGE(B12,C12)</f>
        <v/>
      </c>
      <c r="B12" s="554" t="n">
        <v>200</v>
      </c>
      <c r="C12" s="554" t="n">
        <v>225</v>
      </c>
      <c r="D12" s="556">
        <f>IF($A12&gt;BOTT_A4,ROUND(BASE_A4+RATE_A4*($A12-BOTT_A4),0),IF($A12&gt;BOTT_A3,ROUND(BASE_A3+RATE_A3*($A12-BOTT_A3),0),IF($A12&gt;BOTT_A2,ROUND(BASE_A2+RATE_A2*($A12-BOTT_A2),0),ROUND(RATE_A1*$A12,0))))</f>
        <v/>
      </c>
      <c r="E12" s="556">
        <f>IF($A12&gt;BOTT_B4,ROUND(BASE_B4+RATE_B4*($A12-BOTT_B4),0),IF($A12&gt;BOTT_B3,ROUND(BASE_B3+RATE_B3*($A12-BOTT_B3),0),IF($A12&gt;BOTT_B2,ROUND(BASE_B2+RATE_B2*($A12-BOTT_B2),0),ROUND(RATE_B1*$A12,0))))</f>
        <v/>
      </c>
      <c r="F12" s="556">
        <f>IF($A12&gt;BOTT_C4,ROUND(BASE_C4+RATE_C4*($A12-BOTT_C4),0),IF($A12&gt;BOTT_C3,ROUND(BASE_C3+RATE_C3*($A12-BOTT_C3),0),IF($A12&gt;BOTT_C2,ROUND(BASE_C2+RATE_C2*($A12-BOTT_C2),0),ROUND(RATE_C1*$A12,0))))</f>
        <v/>
      </c>
      <c r="G12" s="556">
        <f>IF($A12&gt;BOTT_D4,ROUND(BASE_D4+RATE_D4*($A12-BOTT_D4),0),IF($A12&gt;BOTT_D3,ROUND(BASE_D3+RATE_D3*($A12-BOTT_D3),0),IF($A12&gt;BOTT_D2,ROUND(BASE_D2+RATE_D2*($A12-BOTT_D2),0),ROUND(RATE_D1*$A12,0))))</f>
        <v/>
      </c>
      <c r="H12" s="576" t="n"/>
      <c r="I12" s="558" t="n">
        <v>6</v>
      </c>
      <c r="J12" s="533">
        <f>BOTT_A7</f>
        <v/>
      </c>
      <c r="K12" s="538">
        <f>RATE_A6*100</f>
        <v/>
      </c>
      <c r="L12" s="532">
        <f>P12</f>
        <v/>
      </c>
      <c r="M12" s="546" t="n"/>
      <c r="N12" s="637">
        <f>BOTT_A6*RATE_A6</f>
        <v/>
      </c>
      <c r="O12" s="637">
        <f>BASE_A6</f>
        <v/>
      </c>
      <c r="P12" s="637">
        <f>SUM(N12,-O12)</f>
        <v/>
      </c>
      <c r="R12" s="1091" t="n">
        <v>6</v>
      </c>
      <c r="S12" s="764" t="n">
        <v>0.35</v>
      </c>
      <c r="T12" s="12886" t="n">
        <v>250525</v>
      </c>
      <c r="U12" s="12886">
        <f>BASE_A5+RATE_A5*(BOTT_A6-BOTT_A5)</f>
        <v/>
      </c>
      <c r="V12" s="706">
        <f>"plus "&amp;TEXT(S12,"0%")&amp;" of the excess over "&amp;TEXT(T12,"$0,000")</f>
        <v/>
      </c>
      <c r="W12" s="1095" t="n"/>
    </row>
    <row r="13" s="7635" thickBot="1">
      <c r="A13" s="625">
        <f>AVERAGE(B13,C13)</f>
        <v/>
      </c>
      <c r="B13" s="554" t="n">
        <v>225</v>
      </c>
      <c r="C13" s="554" t="n">
        <v>250</v>
      </c>
      <c r="D13" s="556">
        <f>IF($A13&gt;BOTT_A4,ROUND(BASE_A4+RATE_A4*($A13-BOTT_A4),0),IF($A13&gt;BOTT_A3,ROUND(BASE_A3+RATE_A3*($A13-BOTT_A3),0),IF($A13&gt;BOTT_A2,ROUND(BASE_A2+RATE_A2*($A13-BOTT_A2),0),ROUND(RATE_A1*$A13,0))))</f>
        <v/>
      </c>
      <c r="E13" s="556">
        <f>IF($A13&gt;BOTT_B4,ROUND(BASE_B4+RATE_B4*($A13-BOTT_B4),0),IF($A13&gt;BOTT_B3,ROUND(BASE_B3+RATE_B3*($A13-BOTT_B3),0),IF($A13&gt;BOTT_B2,ROUND(BASE_B2+RATE_B2*($A13-BOTT_B2),0),ROUND(RATE_B1*$A13,0))))</f>
        <v/>
      </c>
      <c r="F13" s="556">
        <f>IF($A13&gt;BOTT_C4,ROUND(BASE_C4+RATE_C4*($A13-BOTT_C4),0),IF($A13&gt;BOTT_C3,ROUND(BASE_C3+RATE_C3*($A13-BOTT_C3),0),IF($A13&gt;BOTT_C2,ROUND(BASE_C2+RATE_C2*($A13-BOTT_C2),0),ROUND(RATE_C1*$A13,0))))</f>
        <v/>
      </c>
      <c r="G13" s="556">
        <f>IF($A13&gt;BOTT_D4,ROUND(BASE_D4+RATE_D4*($A13-BOTT_D4),0),IF($A13&gt;BOTT_D3,ROUND(BASE_D3+RATE_D3*($A13-BOTT_D3),0),IF($A13&gt;BOTT_D2,ROUND(BASE_D2+RATE_D2*($A13-BOTT_D2),0),ROUND(RATE_D1*$A13,0))))</f>
        <v/>
      </c>
      <c r="H13" s="576" t="n"/>
      <c r="I13" s="558" t="n">
        <v>7</v>
      </c>
      <c r="J13" s="535" t="n"/>
      <c r="K13" s="539">
        <f>RATE_A7*100</f>
        <v/>
      </c>
      <c r="L13" s="536">
        <f>P13</f>
        <v/>
      </c>
      <c r="M13" s="546" t="n"/>
      <c r="N13" s="637">
        <f>BOTT_A7*RATE_A7</f>
        <v/>
      </c>
      <c r="O13" s="637">
        <f>BASE_A7</f>
        <v/>
      </c>
      <c r="P13" s="637">
        <f>SUM(N13,-O13)</f>
        <v/>
      </c>
      <c r="R13" s="1091" t="n">
        <v>7</v>
      </c>
      <c r="S13" s="763" t="n">
        <v>0.37</v>
      </c>
      <c r="T13" s="12885" t="n">
        <v>626350</v>
      </c>
      <c r="U13" s="12885">
        <f>ROUND(BASE_A6+RATE_A6*(BOTT_A7-BOTT_A6),2)</f>
        <v/>
      </c>
      <c r="V13" s="705">
        <f>"plus "&amp;TEXT(S13,"0%")&amp;" of the excess over "&amp;TEXT(T13,"$0,000")</f>
        <v/>
      </c>
      <c r="W13" s="1095" t="n"/>
    </row>
    <row r="14" ht="15.75" customHeight="1" s="7635">
      <c r="A14" s="625">
        <f>AVERAGE(B14,C14)</f>
        <v/>
      </c>
      <c r="B14" s="554" t="n">
        <v>250</v>
      </c>
      <c r="C14" s="554" t="n">
        <v>275</v>
      </c>
      <c r="D14" s="556">
        <f>IF($A14&gt;BOTT_A4,ROUND(BASE_A4+RATE_A4*($A14-BOTT_A4),0),IF($A14&gt;BOTT_A3,ROUND(BASE_A3+RATE_A3*($A14-BOTT_A3),0),IF($A14&gt;BOTT_A2,ROUND(BASE_A2+RATE_A2*($A14-BOTT_A2),0),ROUND(RATE_A1*$A14,0))))</f>
        <v/>
      </c>
      <c r="E14" s="556">
        <f>IF($A14&gt;BOTT_B4,ROUND(BASE_B4+RATE_B4*($A14-BOTT_B4),0),IF($A14&gt;BOTT_B3,ROUND(BASE_B3+RATE_B3*($A14-BOTT_B3),0),IF($A14&gt;BOTT_B2,ROUND(BASE_B2+RATE_B2*($A14-BOTT_B2),0),ROUND(RATE_B1*$A14,0))))</f>
        <v/>
      </c>
      <c r="F14" s="556">
        <f>IF($A14&gt;BOTT_C4,ROUND(BASE_C4+RATE_C4*($A14-BOTT_C4),0),IF($A14&gt;BOTT_C3,ROUND(BASE_C3+RATE_C3*($A14-BOTT_C3),0),IF($A14&gt;BOTT_C2,ROUND(BASE_C2+RATE_C2*($A14-BOTT_C2),0),ROUND(RATE_C1*$A14,0))))</f>
        <v/>
      </c>
      <c r="G14" s="556">
        <f>IF($A14&gt;BOTT_D4,ROUND(BASE_D4+RATE_D4*($A14-BOTT_D4),0),IF($A14&gt;BOTT_D3,ROUND(BASE_D3+RATE_D3*($A14-BOTT_D3),0),IF($A14&gt;BOTT_D2,ROUND(BASE_D2+RATE_D2*($A14-BOTT_D2),0),ROUND(RATE_D1*$A14,0))))</f>
        <v/>
      </c>
      <c r="H14" s="576" t="n"/>
      <c r="I14" s="559" t="n"/>
      <c r="J14" s="528" t="n"/>
      <c r="K14" s="528" t="n"/>
      <c r="L14" s="528" t="n"/>
      <c r="M14" s="546" t="n"/>
      <c r="R14" s="1091" t="n"/>
      <c r="S14" s="1096" t="inlineStr">
        <is>
          <t>RATE</t>
        </is>
      </c>
      <c r="T14" s="1097" t="inlineStr">
        <is>
          <t>BOTT</t>
        </is>
      </c>
      <c r="U14" s="1097" t="inlineStr">
        <is>
          <t>BASE</t>
        </is>
      </c>
      <c r="V14" s="1093" t="n"/>
      <c r="W14" s="1095" t="n"/>
      <c r="Y14" s="12887">
        <f>TaxYear&amp;" Manual Income Tax Calculator"</f>
        <v/>
      </c>
      <c r="Z14" s="12051" t="n"/>
      <c r="AA14" s="12051" t="n"/>
      <c r="AB14" s="12051" t="n"/>
      <c r="AC14" s="12051" t="n"/>
      <c r="AD14" s="12051" t="n"/>
      <c r="AE14" s="12201" t="n"/>
    </row>
    <row r="15" ht="15.75" customHeight="1" s="7635">
      <c r="A15" s="625">
        <f>AVERAGE(B15,C15)</f>
        <v/>
      </c>
      <c r="B15" s="554" t="n">
        <v>275</v>
      </c>
      <c r="C15" s="554" t="n">
        <v>300</v>
      </c>
      <c r="D15" s="556">
        <f>IF($A15&gt;BOTT_A4,ROUND(BASE_A4+RATE_A4*($A15-BOTT_A4),0),IF($A15&gt;BOTT_A3,ROUND(BASE_A3+RATE_A3*($A15-BOTT_A3),0),IF($A15&gt;BOTT_A2,ROUND(BASE_A2+RATE_A2*($A15-BOTT_A2),0),ROUND(RATE_A1*$A15,0))))</f>
        <v/>
      </c>
      <c r="E15" s="556">
        <f>IF($A15&gt;BOTT_B4,ROUND(BASE_B4+RATE_B4*($A15-BOTT_B4),0),IF($A15&gt;BOTT_B3,ROUND(BASE_B3+RATE_B3*($A15-BOTT_B3),0),IF($A15&gt;BOTT_B2,ROUND(BASE_B2+RATE_B2*($A15-BOTT_B2),0),ROUND(RATE_B1*$A15,0))))</f>
        <v/>
      </c>
      <c r="F15" s="556">
        <f>IF($A15&gt;BOTT_C4,ROUND(BASE_C4+RATE_C4*($A15-BOTT_C4),0),IF($A15&gt;BOTT_C3,ROUND(BASE_C3+RATE_C3*($A15-BOTT_C3),0),IF($A15&gt;BOTT_C2,ROUND(BASE_C2+RATE_C2*($A15-BOTT_C2),0),ROUND(RATE_C1*$A15,0))))</f>
        <v/>
      </c>
      <c r="G15" s="556">
        <f>IF($A15&gt;BOTT_D4,ROUND(BASE_D4+RATE_D4*($A15-BOTT_D4),0),IF($A15&gt;BOTT_D3,ROUND(BASE_D3+RATE_D3*($A15-BOTT_D3),0),IF($A15&gt;BOTT_D2,ROUND(BASE_D2+RATE_D2*($A15-BOTT_D2),0),ROUND(RATE_D1*$A15,0))))</f>
        <v/>
      </c>
      <c r="H15" s="576" t="n"/>
      <c r="I15" s="559" t="n"/>
      <c r="J15" s="562" t="inlineStr">
        <is>
          <t>a</t>
        </is>
      </c>
      <c r="K15" s="562" t="inlineStr">
        <is>
          <t>b</t>
        </is>
      </c>
      <c r="L15" s="562" t="inlineStr">
        <is>
          <t>d</t>
        </is>
      </c>
      <c r="M15" s="546" t="n"/>
      <c r="R15" s="1091" t="inlineStr">
        <is>
          <t>B</t>
        </is>
      </c>
      <c r="S15" s="509" t="inlineStr">
        <is>
          <t>Schedule Y-1 -- If your filing status is Married filing jointly or Qualifying widow(er)</t>
        </is>
      </c>
      <c r="T15" s="1093" t="n"/>
      <c r="U15" s="1094" t="n"/>
      <c r="V15" s="1093" t="n"/>
      <c r="W15" s="1095" t="n"/>
      <c r="Y15" s="12590" t="n"/>
      <c r="Z15" s="645" t="n"/>
      <c r="AA15" s="645" t="n"/>
      <c r="AB15" s="645" t="n"/>
      <c r="AC15" s="645" t="n"/>
      <c r="AD15" s="645" t="n"/>
      <c r="AE15" s="12187" t="n"/>
    </row>
    <row r="16" ht="17.25" customHeight="1" s="7635" thickBot="1">
      <c r="A16" s="625">
        <f>AVERAGE(B16,C16)</f>
        <v/>
      </c>
      <c r="B16" s="554" t="n">
        <v>300</v>
      </c>
      <c r="C16" s="554" t="n">
        <v>325</v>
      </c>
      <c r="D16" s="556">
        <f>IF($A16&gt;BOTT_A4,ROUND(BASE_A4+RATE_A4*($A16-BOTT_A4),0),IF($A16&gt;BOTT_A3,ROUND(BASE_A3+RATE_A3*($A16-BOTT_A3),0),IF($A16&gt;BOTT_A2,ROUND(BASE_A2+RATE_A2*($A16-BOTT_A2),0),ROUND(RATE_A1*$A16,0))))</f>
        <v/>
      </c>
      <c r="E16" s="556">
        <f>IF($A16&gt;BOTT_B4,ROUND(BASE_B4+RATE_B4*($A16-BOTT_B4),0),IF($A16&gt;BOTT_B3,ROUND(BASE_B3+RATE_B3*($A16-BOTT_B3),0),IF($A16&gt;BOTT_B2,ROUND(BASE_B2+RATE_B2*($A16-BOTT_B2),0),ROUND(RATE_B1*$A16,0))))</f>
        <v/>
      </c>
      <c r="F16" s="556">
        <f>IF($A16&gt;BOTT_C4,ROUND(BASE_C4+RATE_C4*($A16-BOTT_C4),0),IF($A16&gt;BOTT_C3,ROUND(BASE_C3+RATE_C3*($A16-BOTT_C3),0),IF($A16&gt;BOTT_C2,ROUND(BASE_C2+RATE_C2*($A16-BOTT_C2),0),ROUND(RATE_C1*$A16,0))))</f>
        <v/>
      </c>
      <c r="G16" s="556">
        <f>IF($A16&gt;BOTT_D4,ROUND(BASE_D4+RATE_D4*($A16-BOTT_D4),0),IF($A16&gt;BOTT_D3,ROUND(BASE_D3+RATE_D3*($A16-BOTT_D3),0),IF($A16&gt;BOTT_D2,ROUND(BASE_D2+RATE_D2*($A16-BOTT_D2),0),ROUND(RATE_D1*$A16,0))))</f>
        <v/>
      </c>
      <c r="H16" s="576" t="n"/>
      <c r="I16" s="559" t="n"/>
      <c r="J16" s="1221" t="inlineStr">
        <is>
          <t>Section B</t>
        </is>
      </c>
      <c r="K16" s="528" t="n"/>
      <c r="L16" s="528" t="n"/>
      <c r="M16" s="546" t="n"/>
      <c r="R16" s="1091" t="n"/>
      <c r="S16" s="1082" t="inlineStr">
        <is>
          <t>Rate</t>
        </is>
      </c>
      <c r="T16" s="1082" t="inlineStr">
        <is>
          <t>Bottom of bracket</t>
        </is>
      </c>
      <c r="U16" s="1098" t="inlineStr">
        <is>
          <t>Base amount</t>
        </is>
      </c>
      <c r="V16" s="704" t="inlineStr">
        <is>
          <t>Additional amount = Rate x (Taxable Income - Bottom of bracket)</t>
        </is>
      </c>
      <c r="W16" s="1095" t="n"/>
      <c r="Y16" s="1456" t="n"/>
      <c r="Z16" s="1455" t="inlineStr">
        <is>
          <t>Enter</t>
        </is>
      </c>
      <c r="AA16" s="1457" t="n"/>
      <c r="AB16" s="1457" t="n"/>
      <c r="AC16" s="1457" t="n"/>
      <c r="AD16" s="1457" t="n"/>
      <c r="AE16" s="1458" t="n"/>
    </row>
    <row r="17" s="7635" thickBot="1">
      <c r="A17" s="625">
        <f>AVERAGE(B17,C17)</f>
        <v/>
      </c>
      <c r="B17" s="554" t="n">
        <v>325</v>
      </c>
      <c r="C17" s="554" t="n">
        <v>350</v>
      </c>
      <c r="D17" s="556">
        <f>IF($A17&gt;BOTT_A4,ROUND(BASE_A4+RATE_A4*($A17-BOTT_A4),0),IF($A17&gt;BOTT_A3,ROUND(BASE_A3+RATE_A3*($A17-BOTT_A3),0),IF($A17&gt;BOTT_A2,ROUND(BASE_A2+RATE_A2*($A17-BOTT_A2),0),ROUND(RATE_A1*$A17,0))))</f>
        <v/>
      </c>
      <c r="E17" s="556">
        <f>IF($A17&gt;BOTT_B4,ROUND(BASE_B4+RATE_B4*($A17-BOTT_B4),0),IF($A17&gt;BOTT_B3,ROUND(BASE_B3+RATE_B3*($A17-BOTT_B3),0),IF($A17&gt;BOTT_B2,ROUND(BASE_B2+RATE_B2*($A17-BOTT_B2),0),ROUND(RATE_B1*$A17,0))))</f>
        <v/>
      </c>
      <c r="F17" s="556">
        <f>IF($A17&gt;BOTT_C4,ROUND(BASE_C4+RATE_C4*($A17-BOTT_C4),0),IF($A17&gt;BOTT_C3,ROUND(BASE_C3+RATE_C3*($A17-BOTT_C3),0),IF($A17&gt;BOTT_C2,ROUND(BASE_C2+RATE_C2*($A17-BOTT_C2),0),ROUND(RATE_C1*$A17,0))))</f>
        <v/>
      </c>
      <c r="G17" s="556">
        <f>IF($A17&gt;BOTT_D4,ROUND(BASE_D4+RATE_D4*($A17-BOTT_D4),0),IF($A17&gt;BOTT_D3,ROUND(BASE_D3+RATE_D3*($A17-BOTT_D3),0),IF($A17&gt;BOTT_D2,ROUND(BASE_D2+RATE_D2*($A17-BOTT_D2),0),ROUND(RATE_D1*$A17,0))))</f>
        <v/>
      </c>
      <c r="H17" s="576" t="n"/>
      <c r="I17" s="559" t="n"/>
      <c r="J17" s="1093" t="inlineStr">
        <is>
          <t>Filing status:  Married Filing Jointly</t>
        </is>
      </c>
      <c r="K17" s="528" t="n"/>
      <c r="L17" s="528" t="n"/>
      <c r="M17" s="546" t="n"/>
      <c r="R17" s="1091" t="n">
        <v>1</v>
      </c>
      <c r="S17" s="763" t="n">
        <v>0.1</v>
      </c>
      <c r="T17" s="12885" t="n">
        <v>0</v>
      </c>
      <c r="U17" s="12885" t="n">
        <v>0</v>
      </c>
      <c r="V17" s="705" t="inlineStr">
        <is>
          <t>10% of taxable income</t>
        </is>
      </c>
      <c r="W17" s="1095" t="n"/>
      <c r="Y17" s="1459" t="n"/>
      <c r="Z17" s="471" t="inlineStr">
        <is>
          <t>Taxable_Inc</t>
        </is>
      </c>
      <c r="AA17" s="7957" t="inlineStr">
        <is>
          <t>Single</t>
        </is>
      </c>
      <c r="AB17" s="7957" t="inlineStr">
        <is>
          <t>MFJ/QW</t>
        </is>
      </c>
      <c r="AC17" s="7957" t="inlineStr">
        <is>
          <t>MFS</t>
        </is>
      </c>
      <c r="AD17" s="7957" t="inlineStr">
        <is>
          <t>HOH</t>
        </is>
      </c>
      <c r="AE17" s="1460" t="n"/>
    </row>
    <row r="18" ht="17.25" customHeight="1" s="7635" thickBot="1" thickTop="1">
      <c r="A18" s="625">
        <f>AVERAGE(B18,C18)</f>
        <v/>
      </c>
      <c r="B18" s="554" t="n">
        <v>350</v>
      </c>
      <c r="C18" s="554" t="n">
        <v>375</v>
      </c>
      <c r="D18" s="556">
        <f>IF($A18&gt;BOTT_A4,ROUND(BASE_A4+RATE_A4*($A18-BOTT_A4),0),IF($A18&gt;BOTT_A3,ROUND(BASE_A3+RATE_A3*($A18-BOTT_A3),0),IF($A18&gt;BOTT_A2,ROUND(BASE_A2+RATE_A2*($A18-BOTT_A2),0),ROUND(RATE_A1*$A18,0))))</f>
        <v/>
      </c>
      <c r="E18" s="556">
        <f>IF($A18&gt;BOTT_B4,ROUND(BASE_B4+RATE_B4*($A18-BOTT_B4),0),IF($A18&gt;BOTT_B3,ROUND(BASE_B3+RATE_B3*($A18-BOTT_B3),0),IF($A18&gt;BOTT_B2,ROUND(BASE_B2+RATE_B2*($A18-BOTT_B2),0),ROUND(RATE_B1*$A18,0))))</f>
        <v/>
      </c>
      <c r="F18" s="556">
        <f>IF($A18&gt;BOTT_C4,ROUND(BASE_C4+RATE_C4*($A18-BOTT_C4),0),IF($A18&gt;BOTT_C3,ROUND(BASE_C3+RATE_C3*($A18-BOTT_C3),0),IF($A18&gt;BOTT_C2,ROUND(BASE_C2+RATE_C2*($A18-BOTT_C2),0),ROUND(RATE_C1*$A18,0))))</f>
        <v/>
      </c>
      <c r="G18" s="556">
        <f>IF($A18&gt;BOTT_D4,ROUND(BASE_D4+RATE_D4*($A18-BOTT_D4),0),IF($A18&gt;BOTT_D3,ROUND(BASE_D3+RATE_D3*($A18-BOTT_D3),0),IF($A18&gt;BOTT_D2,ROUND(BASE_D2+RATE_D2*($A18-BOTT_D2),0),ROUND(RATE_D1*$A18,0))))</f>
        <v/>
      </c>
      <c r="H18" s="576" t="n"/>
      <c r="I18" s="558" t="n">
        <v>1</v>
      </c>
      <c r="J18" s="529" t="inlineStr">
        <is>
          <t>But Not Over</t>
        </is>
      </c>
      <c r="K18" s="537" t="n"/>
      <c r="L18" s="530" t="n"/>
      <c r="M18" s="546" t="n"/>
      <c r="R18" s="1091" t="n">
        <v>2</v>
      </c>
      <c r="S18" s="764" t="n">
        <v>0.12</v>
      </c>
      <c r="T18" s="12886" t="n">
        <v>23850</v>
      </c>
      <c r="U18" s="12886">
        <f>ROUND(RATE_B1*BOTT_B2,2)</f>
        <v/>
      </c>
      <c r="V18" s="706">
        <f>"plus "&amp;TEXT(S18,"0%")&amp;" of the excess over "&amp;TEXT(T18,"$0,000")</f>
        <v/>
      </c>
      <c r="W18" s="1095" t="n"/>
      <c r="Y18" s="1459" t="n"/>
      <c r="Z18" s="4641" t="n"/>
      <c r="AA18" s="2572">
        <f>LOOKUP(Z18,'Tax Table'!$B$2:$B$2063,'Tax Table'!$D$2:$D$2063)</f>
        <v/>
      </c>
      <c r="AB18" s="2572">
        <f>LOOKUP(Z18,'Tax Table'!$B$2:$B$2063,'Tax Table'!$E$2:$E$2063)</f>
        <v/>
      </c>
      <c r="AC18" s="2572">
        <f>LOOKUP(Z18,'Tax Table'!$B$2:$B$2063,'Tax Table'!$F$2:$F$2063)</f>
        <v/>
      </c>
      <c r="AD18" s="2573">
        <f>LOOKUP(Z18,'Tax Table'!$B$2:$B$2063,'Tax Table'!$G$2:$G$2063)</f>
        <v/>
      </c>
      <c r="AE18" s="1460" t="n"/>
    </row>
    <row r="19" s="7635" thickBot="1">
      <c r="A19" s="625">
        <f>AVERAGE(B19,C19)</f>
        <v/>
      </c>
      <c r="B19" s="554" t="n">
        <v>375</v>
      </c>
      <c r="C19" s="554" t="n">
        <v>400</v>
      </c>
      <c r="D19" s="556">
        <f>IF($A19&gt;BOTT_A4,ROUND(BASE_A4+RATE_A4*($A19-BOTT_A4),0),IF($A19&gt;BOTT_A3,ROUND(BASE_A3+RATE_A3*($A19-BOTT_A3),0),IF($A19&gt;BOTT_A2,ROUND(BASE_A2+RATE_A2*($A19-BOTT_A2),0),ROUND(RATE_A1*$A19,0))))</f>
        <v/>
      </c>
      <c r="E19" s="556">
        <f>IF($A19&gt;BOTT_B4,ROUND(BASE_B4+RATE_B4*($A19-BOTT_B4),0),IF($A19&gt;BOTT_B3,ROUND(BASE_B3+RATE_B3*($A19-BOTT_B3),0),IF($A19&gt;BOTT_B2,ROUND(BASE_B2+RATE_B2*($A19-BOTT_B2),0),ROUND(RATE_B1*$A19,0))))</f>
        <v/>
      </c>
      <c r="F19" s="556">
        <f>IF($A19&gt;BOTT_C4,ROUND(BASE_C4+RATE_C4*($A19-BOTT_C4),0),IF($A19&gt;BOTT_C3,ROUND(BASE_C3+RATE_C3*($A19-BOTT_C3),0),IF($A19&gt;BOTT_C2,ROUND(BASE_C2+RATE_C2*($A19-BOTT_C2),0),ROUND(RATE_C1*$A19,0))))</f>
        <v/>
      </c>
      <c r="G19" s="556">
        <f>IF($A19&gt;BOTT_D4,ROUND(BASE_D4+RATE_D4*($A19-BOTT_D4),0),IF($A19&gt;BOTT_D3,ROUND(BASE_D3+RATE_D3*($A19-BOTT_D3),0),IF($A19&gt;BOTT_D2,ROUND(BASE_D2+RATE_D2*($A19-BOTT_D2),0),ROUND(RATE_D1*$A19,0))))</f>
        <v/>
      </c>
      <c r="H19" s="576" t="n"/>
      <c r="I19" s="558" t="n">
        <v>2</v>
      </c>
      <c r="J19" s="533" t="n">
        <v>100000</v>
      </c>
      <c r="K19" s="538" t="n"/>
      <c r="L19" s="532" t="n"/>
      <c r="M19" s="546" t="n"/>
      <c r="R19" s="1091" t="n">
        <v>3</v>
      </c>
      <c r="S19" s="763" t="n">
        <v>0.22</v>
      </c>
      <c r="T19" s="12885" t="n">
        <v>96950</v>
      </c>
      <c r="U19" s="12885">
        <f>ROUND(BASE_B2+RATE_B2*(BOTT_B3-BOTT_B2),2)</f>
        <v/>
      </c>
      <c r="V19" s="705">
        <f>"plus "&amp;TEXT(S19,"0%")&amp;" of the excess over "&amp;TEXT(T19,"$0,000")</f>
        <v/>
      </c>
      <c r="W19" s="1095" t="n"/>
      <c r="Y19" s="1459" t="n"/>
      <c r="Z19" s="4640" t="n"/>
      <c r="AA19" s="2574">
        <f>IF(Z18&lt;SectA_a2,"---",IF(Z18&lt;=SectA_a3,ROUND(Z18*(SectA_b3/100),0)-SectA_d3,IF(Z18&lt;=SectA_a4,ROUND(Z18*(SectA_b4/100),0)-SectA_d4,IF(Z18&lt;=SectA_a5,ROUND(Z18*(SectA_b5/100),0)-SectA_d5,IF(Z18&lt;=SectA_a6,ROUND(Z18*(SectA_b6/100),0)-SectA_d6,ROUND(Z18*(SectA_b7/100),0)-SectA_d7)))))</f>
        <v/>
      </c>
      <c r="AB19" s="2574">
        <f>IF(Z18&lt;SectB_a2,"---",IF(Z18&lt;=SectB_a3,ROUND(Z18*(SectB_b3/100),0)-SectB_d3,IF(Z18&lt;=SectB_a4,ROUND(Z18*(SectB_b4/100),0)-SectB_d4,IF(Z18&lt;=SectB_a5,ROUND(Z18*(SectB_b5/100),0)-SectB_d5,IF(Z18&lt;=SectB_a6,ROUND(Z18*(SectB_b6/100),0)-SectB_d6,ROUND(Z18*(SectB_b7/100),0)-SectB_d7)))))</f>
        <v/>
      </c>
      <c r="AC19" s="2574">
        <f>IF(Z18&lt;SectC_a1,"---",IF(Z18&lt;=SectC_a2,ROUND(Z18*(SectC_b2/100),0)-SectC_d2,IF(Z18&lt;=SectC_a3,ROUND(Z18*(SectC_b3/100),0)-SectC_d3,IF(Z18&lt;=SectC_a4,ROUND(Z18*(SectC_b4/100),0)-SectC_d4,IF(Z18&lt;=SectC_a5,ROUND(Z18*(SectC_b5/100),0)-SectC_d5,ROUND(Z18*(SectC_b6/100),0)-SectC_d6)))))</f>
        <v/>
      </c>
      <c r="AD19" s="2575">
        <f>IF(Z18&lt;SectD_a2,"---",IF(Z18&lt;=SectD_a3,ROUND(Z18*(SectD_b3/100),0)-SectD_d3,IF(Z18&lt;=SectD_a4,ROUND(Z18*(SectD_b4/100),0)-SectD_d4,IF(Z18&lt;=SectD_a5,ROUND(Z18*(SectD_b5/100),0)-SectD_d5,IF(Z18&lt;=SectD_a6,ROUND(Z18*(SectD_b6/100),0)-SectD_d6,ROUND(Z18*(SectD_b7/100),0)-SectD_d7)))))</f>
        <v/>
      </c>
      <c r="AE19" s="1460" t="n"/>
    </row>
    <row r="20" s="7635" thickBot="1">
      <c r="A20" s="625">
        <f>AVERAGE(B20,C20)</f>
        <v/>
      </c>
      <c r="B20" s="554" t="n">
        <v>400</v>
      </c>
      <c r="C20" s="554" t="n">
        <v>425</v>
      </c>
      <c r="D20" s="556">
        <f>IF($A20&gt;BOTT_A4,ROUND(BASE_A4+RATE_A4*($A20-BOTT_A4),0),IF($A20&gt;BOTT_A3,ROUND(BASE_A3+RATE_A3*($A20-BOTT_A3),0),IF($A20&gt;BOTT_A2,ROUND(BASE_A2+RATE_A2*($A20-BOTT_A2),0),ROUND(RATE_A1*$A20,0))))</f>
        <v/>
      </c>
      <c r="E20" s="556">
        <f>IF($A20&gt;BOTT_B4,ROUND(BASE_B4+RATE_B4*($A20-BOTT_B4),0),IF($A20&gt;BOTT_B3,ROUND(BASE_B3+RATE_B3*($A20-BOTT_B3),0),IF($A20&gt;BOTT_B2,ROUND(BASE_B2+RATE_B2*($A20-BOTT_B2),0),ROUND(RATE_B1*$A20,0))))</f>
        <v/>
      </c>
      <c r="F20" s="556">
        <f>IF($A20&gt;BOTT_C4,ROUND(BASE_C4+RATE_C4*($A20-BOTT_C4),0),IF($A20&gt;BOTT_C3,ROUND(BASE_C3+RATE_C3*($A20-BOTT_C3),0),IF($A20&gt;BOTT_C2,ROUND(BASE_C2+RATE_C2*($A20-BOTT_C2),0),ROUND(RATE_C1*$A20,0))))</f>
        <v/>
      </c>
      <c r="G20" s="556">
        <f>IF($A20&gt;BOTT_D4,ROUND(BASE_D4+RATE_D4*($A20-BOTT_D4),0),IF($A20&gt;BOTT_D3,ROUND(BASE_D3+RATE_D3*($A20-BOTT_D3),0),IF($A20&gt;BOTT_D2,ROUND(BASE_D2+RATE_D2*($A20-BOTT_D2),0),ROUND(RATE_D1*$A20,0))))</f>
        <v/>
      </c>
      <c r="H20" s="576" t="n"/>
      <c r="I20" s="558" t="n">
        <v>3</v>
      </c>
      <c r="J20" s="533">
        <f>BOTT_B4</f>
        <v/>
      </c>
      <c r="K20" s="538">
        <f>RATE_B3*100</f>
        <v/>
      </c>
      <c r="L20" s="532">
        <f>P20</f>
        <v/>
      </c>
      <c r="M20" s="546" t="n"/>
      <c r="N20" s="637">
        <f>BOTT_B3*RATE_B3</f>
        <v/>
      </c>
      <c r="O20" s="637">
        <f>BASE_B3</f>
        <v/>
      </c>
      <c r="P20" s="637">
        <f>SUM(N20,-O20)</f>
        <v/>
      </c>
      <c r="R20" s="1091" t="n">
        <v>4</v>
      </c>
      <c r="S20" s="764" t="n">
        <v>0.24</v>
      </c>
      <c r="T20" s="12886" t="n">
        <v>206700</v>
      </c>
      <c r="U20" s="12886">
        <f>ROUND(BASE_B3+RATE_B3*(BOTT_B4-BOTT_B3),2)</f>
        <v/>
      </c>
      <c r="V20" s="706">
        <f>"plus "&amp;TEXT(S20,"0%")&amp;" of the excess over "&amp;TEXT(T20,"$0,000")</f>
        <v/>
      </c>
      <c r="W20" s="1095" t="n"/>
      <c r="Y20" s="1459" t="n"/>
      <c r="Z20" s="2576">
        <f>IF(File_Single&lt;&gt;"",AA18,IF(File_Marr_Joint&lt;&gt;"",AB18,IF(File_Marr_Sep&lt;&gt;"", AC18,IF(File_Head&lt;&gt;"",AD18,IF(File_Qual_Widow&lt;&gt;"",AB18,"Filing status?")))))</f>
        <v/>
      </c>
      <c r="AA20" s="1061">
        <f>"&lt;100k"</f>
        <v/>
      </c>
      <c r="AB20" s="1061" t="n"/>
      <c r="AC20" s="1061" t="n"/>
      <c r="AD20" s="2577" t="n"/>
      <c r="AE20" s="1460" t="n"/>
    </row>
    <row r="21" s="7635" thickBot="1">
      <c r="A21" s="625">
        <f>AVERAGE(B21,C21)</f>
        <v/>
      </c>
      <c r="B21" s="554" t="n">
        <v>425</v>
      </c>
      <c r="C21" s="554" t="n">
        <v>450</v>
      </c>
      <c r="D21" s="556">
        <f>IF($A21&gt;BOTT_A4,ROUND(BASE_A4+RATE_A4*($A21-BOTT_A4),0),IF($A21&gt;BOTT_A3,ROUND(BASE_A3+RATE_A3*($A21-BOTT_A3),0),IF($A21&gt;BOTT_A2,ROUND(BASE_A2+RATE_A2*($A21-BOTT_A2),0),ROUND(RATE_A1*$A21,0))))</f>
        <v/>
      </c>
      <c r="E21" s="556">
        <f>IF($A21&gt;BOTT_B4,ROUND(BASE_B4+RATE_B4*($A21-BOTT_B4),0),IF($A21&gt;BOTT_B3,ROUND(BASE_B3+RATE_B3*($A21-BOTT_B3),0),IF($A21&gt;BOTT_B2,ROUND(BASE_B2+RATE_B2*($A21-BOTT_B2),0),ROUND(RATE_B1*$A21,0))))</f>
        <v/>
      </c>
      <c r="F21" s="556">
        <f>IF($A21&gt;BOTT_C4,ROUND(BASE_C4+RATE_C4*($A21-BOTT_C4),0),IF($A21&gt;BOTT_C3,ROUND(BASE_C3+RATE_C3*($A21-BOTT_C3),0),IF($A21&gt;BOTT_C2,ROUND(BASE_C2+RATE_C2*($A21-BOTT_C2),0),ROUND(RATE_C1*$A21,0))))</f>
        <v/>
      </c>
      <c r="G21" s="556">
        <f>IF($A21&gt;BOTT_D4,ROUND(BASE_D4+RATE_D4*($A21-BOTT_D4),0),IF($A21&gt;BOTT_D3,ROUND(BASE_D3+RATE_D3*($A21-BOTT_D3),0),IF($A21&gt;BOTT_D2,ROUND(BASE_D2+RATE_D2*($A21-BOTT_D2),0),ROUND(RATE_D1*$A21,0))))</f>
        <v/>
      </c>
      <c r="H21" s="576" t="n"/>
      <c r="I21" s="558" t="n">
        <v>4</v>
      </c>
      <c r="J21" s="533">
        <f>BOTT_B5</f>
        <v/>
      </c>
      <c r="K21" s="538">
        <f>RATE_B4*100</f>
        <v/>
      </c>
      <c r="L21" s="532">
        <f>P21</f>
        <v/>
      </c>
      <c r="M21" s="546" t="n"/>
      <c r="N21" s="637">
        <f>BOTT_B4*RATE_B4</f>
        <v/>
      </c>
      <c r="O21" s="637">
        <f>BASE_B4</f>
        <v/>
      </c>
      <c r="P21" s="637">
        <f>SUM(N21,-O21)</f>
        <v/>
      </c>
      <c r="R21" s="1091" t="n">
        <v>5</v>
      </c>
      <c r="S21" s="763" t="n">
        <v>0.32</v>
      </c>
      <c r="T21" s="12885" t="n">
        <v>394600</v>
      </c>
      <c r="U21" s="12885">
        <f>ROUND(BASE_B4+RATE_B4*(BOTT_B5-BOTT_B4),2)</f>
        <v/>
      </c>
      <c r="V21" s="705">
        <f>"plus "&amp;TEXT(S21,"0%")&amp;" of the excess over "&amp;TEXT(T21,"$0,000")</f>
        <v/>
      </c>
      <c r="W21" s="1095" t="n"/>
      <c r="Y21" s="1459" t="n"/>
      <c r="Z21" s="2579">
        <f>IF(File_Single&lt;&gt;"",AA19,IF(OR(File_Marr_Joint&lt;&gt;"",File_Qual_Widow&lt;&gt;""),AB19,IF(File_Marr_Sep&lt;&gt;"", AC19,IF(File_Head&lt;&gt;"",AD19,"Filing status?"))))</f>
        <v/>
      </c>
      <c r="AA21" s="2580">
        <f>"&gt;=100k"</f>
        <v/>
      </c>
      <c r="AB21" s="2580" t="n"/>
      <c r="AC21" s="2580" t="inlineStr">
        <is>
          <t>Tax &gt;&gt;</t>
        </is>
      </c>
      <c r="AD21" s="2581">
        <f>IF(NumFileStatusBoxes=0,"FilingStatus?",IF(Z18&gt;100000,ROUND(Z21,0),ROUND(Z20,0)))</f>
        <v/>
      </c>
      <c r="AE21" s="1460" t="n"/>
    </row>
    <row r="22" s="7635" thickBot="1">
      <c r="A22" s="625">
        <f>AVERAGE(B22,C22)</f>
        <v/>
      </c>
      <c r="B22" s="554" t="n">
        <v>450</v>
      </c>
      <c r="C22" s="554" t="n">
        <v>475</v>
      </c>
      <c r="D22" s="556">
        <f>IF($A22&gt;BOTT_A4,ROUND(BASE_A4+RATE_A4*($A22-BOTT_A4),0),IF($A22&gt;BOTT_A3,ROUND(BASE_A3+RATE_A3*($A22-BOTT_A3),0),IF($A22&gt;BOTT_A2,ROUND(BASE_A2+RATE_A2*($A22-BOTT_A2),0),ROUND(RATE_A1*$A22,0))))</f>
        <v/>
      </c>
      <c r="E22" s="556">
        <f>IF($A22&gt;BOTT_B4,ROUND(BASE_B4+RATE_B4*($A22-BOTT_B4),0),IF($A22&gt;BOTT_B3,ROUND(BASE_B3+RATE_B3*($A22-BOTT_B3),0),IF($A22&gt;BOTT_B2,ROUND(BASE_B2+RATE_B2*($A22-BOTT_B2),0),ROUND(RATE_B1*$A22,0))))</f>
        <v/>
      </c>
      <c r="F22" s="556">
        <f>IF($A22&gt;BOTT_C4,ROUND(BASE_C4+RATE_C4*($A22-BOTT_C4),0),IF($A22&gt;BOTT_C3,ROUND(BASE_C3+RATE_C3*($A22-BOTT_C3),0),IF($A22&gt;BOTT_C2,ROUND(BASE_C2+RATE_C2*($A22-BOTT_C2),0),ROUND(RATE_C1*$A22,0))))</f>
        <v/>
      </c>
      <c r="G22" s="556">
        <f>IF($A22&gt;BOTT_D4,ROUND(BASE_D4+RATE_D4*($A22-BOTT_D4),0),IF($A22&gt;BOTT_D3,ROUND(BASE_D3+RATE_D3*($A22-BOTT_D3),0),IF($A22&gt;BOTT_D2,ROUND(BASE_D2+RATE_D2*($A22-BOTT_D2),0),ROUND(RATE_D1*$A22,0))))</f>
        <v/>
      </c>
      <c r="H22" s="576" t="n"/>
      <c r="I22" s="558" t="n">
        <v>5</v>
      </c>
      <c r="J22" s="533">
        <f>BOTT_B6</f>
        <v/>
      </c>
      <c r="K22" s="538">
        <f>RATE_B5*100</f>
        <v/>
      </c>
      <c r="L22" s="534">
        <f>P22</f>
        <v/>
      </c>
      <c r="M22" s="546" t="n"/>
      <c r="N22" s="637">
        <f>BOTT_B5*RATE_B5</f>
        <v/>
      </c>
      <c r="O22" s="637">
        <f>BASE_B5</f>
        <v/>
      </c>
      <c r="P22" s="637">
        <f>SUM(N22,-O22)</f>
        <v/>
      </c>
      <c r="R22" s="1091" t="n">
        <v>6</v>
      </c>
      <c r="S22" s="764" t="n">
        <v>0.35</v>
      </c>
      <c r="T22" s="12886" t="n">
        <v>501050</v>
      </c>
      <c r="U22" s="12886">
        <f>ROUND(BASE_B5+RATE_B5*(BOTT_B6-BOTT_B5),2)</f>
        <v/>
      </c>
      <c r="V22" s="706">
        <f>"plus "&amp;TEXT(S22,"0%")&amp;" of the excess over "&amp;TEXT(T22,"$0,000")</f>
        <v/>
      </c>
      <c r="W22" s="1095" t="n"/>
      <c r="Y22" s="1461" t="n"/>
      <c r="Z22" s="1462" t="n"/>
      <c r="AA22" s="1462" t="n"/>
      <c r="AB22" s="1462" t="n"/>
      <c r="AC22" s="1462" t="n"/>
      <c r="AD22" s="1462" t="n"/>
      <c r="AE22" s="1463" t="n"/>
    </row>
    <row r="23" s="7635" thickBot="1">
      <c r="A23" s="625">
        <f>AVERAGE(B23,C23)</f>
        <v/>
      </c>
      <c r="B23" s="554" t="n">
        <v>475</v>
      </c>
      <c r="C23" s="554" t="n">
        <v>500</v>
      </c>
      <c r="D23" s="556">
        <f>IF($A23&gt;BOTT_A4,ROUND(BASE_A4+RATE_A4*($A23-BOTT_A4),0),IF($A23&gt;BOTT_A3,ROUND(BASE_A3+RATE_A3*($A23-BOTT_A3),0),IF($A23&gt;BOTT_A2,ROUND(BASE_A2+RATE_A2*($A23-BOTT_A2),0),ROUND(RATE_A1*$A23,0))))</f>
        <v/>
      </c>
      <c r="E23" s="556">
        <f>IF($A23&gt;BOTT_B4,ROUND(BASE_B4+RATE_B4*($A23-BOTT_B4),0),IF($A23&gt;BOTT_B3,ROUND(BASE_B3+RATE_B3*($A23-BOTT_B3),0),IF($A23&gt;BOTT_B2,ROUND(BASE_B2+RATE_B2*($A23-BOTT_B2),0),ROUND(RATE_B1*$A23,0))))</f>
        <v/>
      </c>
      <c r="F23" s="556">
        <f>IF($A23&gt;BOTT_C4,ROUND(BASE_C4+RATE_C4*($A23-BOTT_C4),0),IF($A23&gt;BOTT_C3,ROUND(BASE_C3+RATE_C3*($A23-BOTT_C3),0),IF($A23&gt;BOTT_C2,ROUND(BASE_C2+RATE_C2*($A23-BOTT_C2),0),ROUND(RATE_C1*$A23,0))))</f>
        <v/>
      </c>
      <c r="G23" s="556">
        <f>IF($A23&gt;BOTT_D4,ROUND(BASE_D4+RATE_D4*($A23-BOTT_D4),0),IF($A23&gt;BOTT_D3,ROUND(BASE_D3+RATE_D3*($A23-BOTT_D3),0),IF($A23&gt;BOTT_D2,ROUND(BASE_D2+RATE_D2*($A23-BOTT_D2),0),ROUND(RATE_D1*$A23,0))))</f>
        <v/>
      </c>
      <c r="H23" s="576" t="n"/>
      <c r="I23" s="558" t="n">
        <v>6</v>
      </c>
      <c r="J23" s="533">
        <f>BOTT_B7</f>
        <v/>
      </c>
      <c r="K23" s="538">
        <f>RATE_B6*100</f>
        <v/>
      </c>
      <c r="L23" s="532">
        <f>P23</f>
        <v/>
      </c>
      <c r="M23" s="546" t="n"/>
      <c r="N23" s="637">
        <f>BOTT_B6*RATE_B6</f>
        <v/>
      </c>
      <c r="O23" s="637">
        <f>BASE_B6</f>
        <v/>
      </c>
      <c r="P23" s="637">
        <f>SUM(N23,-O23)</f>
        <v/>
      </c>
      <c r="R23" s="1091" t="n">
        <v>7</v>
      </c>
      <c r="S23" s="763" t="n">
        <v>0.37</v>
      </c>
      <c r="T23" s="12885" t="n">
        <v>751600</v>
      </c>
      <c r="U23" s="12885">
        <f>ROUND(BASE_B6+RATE_B6*(BOTT_B7-BOTT_B6),2)</f>
        <v/>
      </c>
      <c r="V23" s="705">
        <f>"plus "&amp;TEXT(S23,"0%")&amp;" of the excess over "&amp;TEXT(T23,"$0,000")</f>
        <v/>
      </c>
      <c r="W23" s="1095" t="n"/>
    </row>
    <row r="24" ht="15.75" customHeight="1" s="7635">
      <c r="A24" s="625">
        <f>AVERAGE(B24,C24)</f>
        <v/>
      </c>
      <c r="B24" s="554" t="n">
        <v>500</v>
      </c>
      <c r="C24" s="554" t="n">
        <v>525</v>
      </c>
      <c r="D24" s="556">
        <f>IF($A24&gt;BOTT_A4,ROUND(BASE_A4+RATE_A4*($A24-BOTT_A4),0),IF($A24&gt;BOTT_A3,ROUND(BASE_A3+RATE_A3*($A24-BOTT_A3),0),IF($A24&gt;BOTT_A2,ROUND(BASE_A2+RATE_A2*($A24-BOTT_A2),0),ROUND(RATE_A1*$A24,0))))</f>
        <v/>
      </c>
      <c r="E24" s="556">
        <f>IF($A24&gt;BOTT_B4,ROUND(BASE_B4+RATE_B4*($A24-BOTT_B4),0),IF($A24&gt;BOTT_B3,ROUND(BASE_B3+RATE_B3*($A24-BOTT_B3),0),IF($A24&gt;BOTT_B2,ROUND(BASE_B2+RATE_B2*($A24-BOTT_B2),0),ROUND(RATE_B1*$A24,0))))</f>
        <v/>
      </c>
      <c r="F24" s="556">
        <f>IF($A24&gt;BOTT_C4,ROUND(BASE_C4+RATE_C4*($A24-BOTT_C4),0),IF($A24&gt;BOTT_C3,ROUND(BASE_C3+RATE_C3*($A24-BOTT_C3),0),IF($A24&gt;BOTT_C2,ROUND(BASE_C2+RATE_C2*($A24-BOTT_C2),0),ROUND(RATE_C1*$A24,0))))</f>
        <v/>
      </c>
      <c r="G24" s="556">
        <f>IF($A24&gt;BOTT_D4,ROUND(BASE_D4+RATE_D4*($A24-BOTT_D4),0),IF($A24&gt;BOTT_D3,ROUND(BASE_D3+RATE_D3*($A24-BOTT_D3),0),IF($A24&gt;BOTT_D2,ROUND(BASE_D2+RATE_D2*($A24-BOTT_D2),0),ROUND(RATE_D1*$A24,0))))</f>
        <v/>
      </c>
      <c r="H24" s="576" t="n"/>
      <c r="I24" s="558" t="n">
        <v>7</v>
      </c>
      <c r="J24" s="535" t="n"/>
      <c r="K24" s="539">
        <f>RATE_B7*100</f>
        <v/>
      </c>
      <c r="L24" s="536">
        <f>P24</f>
        <v/>
      </c>
      <c r="M24" s="546" t="n"/>
      <c r="N24" s="637">
        <f>BOTT_B7*RATE_B7</f>
        <v/>
      </c>
      <c r="O24" s="637">
        <f>BASE_B7</f>
        <v/>
      </c>
      <c r="P24" s="637">
        <f>SUM(N24,-O24)</f>
        <v/>
      </c>
      <c r="R24" s="1091" t="n"/>
      <c r="S24" s="1096" t="inlineStr">
        <is>
          <t>RATE</t>
        </is>
      </c>
      <c r="T24" s="1097" t="inlineStr">
        <is>
          <t>BOTT</t>
        </is>
      </c>
      <c r="U24" s="1097" t="inlineStr">
        <is>
          <t>BASE</t>
        </is>
      </c>
      <c r="V24" s="1093" t="n"/>
      <c r="W24" s="1095" t="n"/>
    </row>
    <row r="25" ht="15.75" customHeight="1" s="7635">
      <c r="A25" s="625">
        <f>AVERAGE(B25,C25)</f>
        <v/>
      </c>
      <c r="B25" s="554" t="n">
        <v>525</v>
      </c>
      <c r="C25" s="554" t="n">
        <v>550</v>
      </c>
      <c r="D25" s="556">
        <f>IF($A25&gt;BOTT_A4,ROUND(BASE_A4+RATE_A4*($A25-BOTT_A4),0),IF($A25&gt;BOTT_A3,ROUND(BASE_A3+RATE_A3*($A25-BOTT_A3),0),IF($A25&gt;BOTT_A2,ROUND(BASE_A2+RATE_A2*($A25-BOTT_A2),0),ROUND(RATE_A1*$A25,0))))</f>
        <v/>
      </c>
      <c r="E25" s="556">
        <f>IF($A25&gt;BOTT_B4,ROUND(BASE_B4+RATE_B4*($A25-BOTT_B4),0),IF($A25&gt;BOTT_B3,ROUND(BASE_B3+RATE_B3*($A25-BOTT_B3),0),IF($A25&gt;BOTT_B2,ROUND(BASE_B2+RATE_B2*($A25-BOTT_B2),0),ROUND(RATE_B1*$A25,0))))</f>
        <v/>
      </c>
      <c r="F25" s="556">
        <f>IF($A25&gt;BOTT_C4,ROUND(BASE_C4+RATE_C4*($A25-BOTT_C4),0),IF($A25&gt;BOTT_C3,ROUND(BASE_C3+RATE_C3*($A25-BOTT_C3),0),IF($A25&gt;BOTT_C2,ROUND(BASE_C2+RATE_C2*($A25-BOTT_C2),0),ROUND(RATE_C1*$A25,0))))</f>
        <v/>
      </c>
      <c r="G25" s="556">
        <f>IF($A25&gt;BOTT_D4,ROUND(BASE_D4+RATE_D4*($A25-BOTT_D4),0),IF($A25&gt;BOTT_D3,ROUND(BASE_D3+RATE_D3*($A25-BOTT_D3),0),IF($A25&gt;BOTT_D2,ROUND(BASE_D2+RATE_D2*($A25-BOTT_D2),0),ROUND(RATE_D1*$A25,0))))</f>
        <v/>
      </c>
      <c r="H25" s="576" t="n"/>
      <c r="I25" s="559" t="n"/>
      <c r="J25" s="528" t="n"/>
      <c r="K25" s="528" t="n"/>
      <c r="L25" s="538" t="n"/>
      <c r="M25" s="546" t="n"/>
      <c r="R25" s="1091" t="inlineStr">
        <is>
          <t>C</t>
        </is>
      </c>
      <c r="S25" s="509" t="inlineStr">
        <is>
          <t>Schedule Y-2 -- If your filing status is Married filing separately</t>
        </is>
      </c>
      <c r="T25" s="1093" t="n"/>
      <c r="U25" s="1094" t="n"/>
      <c r="V25" s="1093" t="n"/>
      <c r="W25" s="1095" t="n"/>
    </row>
    <row r="26" s="7635" thickBot="1">
      <c r="A26" s="625">
        <f>AVERAGE(B26,C26)</f>
        <v/>
      </c>
      <c r="B26" s="554" t="n">
        <v>550</v>
      </c>
      <c r="C26" s="554" t="n">
        <v>575</v>
      </c>
      <c r="D26" s="556">
        <f>IF($A26&gt;BOTT_A4,ROUND(BASE_A4+RATE_A4*($A26-BOTT_A4),0),IF($A26&gt;BOTT_A3,ROUND(BASE_A3+RATE_A3*($A26-BOTT_A3),0),IF($A26&gt;BOTT_A2,ROUND(BASE_A2+RATE_A2*($A26-BOTT_A2),0),ROUND(RATE_A1*$A26,0))))</f>
        <v/>
      </c>
      <c r="E26" s="556">
        <f>IF($A26&gt;BOTT_B4,ROUND(BASE_B4+RATE_B4*($A26-BOTT_B4),0),IF($A26&gt;BOTT_B3,ROUND(BASE_B3+RATE_B3*($A26-BOTT_B3),0),IF($A26&gt;BOTT_B2,ROUND(BASE_B2+RATE_B2*($A26-BOTT_B2),0),ROUND(RATE_B1*$A26,0))))</f>
        <v/>
      </c>
      <c r="F26" s="556">
        <f>IF($A26&gt;BOTT_C4,ROUND(BASE_C4+RATE_C4*($A26-BOTT_C4),0),IF($A26&gt;BOTT_C3,ROUND(BASE_C3+RATE_C3*($A26-BOTT_C3),0),IF($A26&gt;BOTT_C2,ROUND(BASE_C2+RATE_C2*($A26-BOTT_C2),0),ROUND(RATE_C1*$A26,0))))</f>
        <v/>
      </c>
      <c r="G26" s="556">
        <f>IF($A26&gt;BOTT_D4,ROUND(BASE_D4+RATE_D4*($A26-BOTT_D4),0),IF($A26&gt;BOTT_D3,ROUND(BASE_D3+RATE_D3*($A26-BOTT_D3),0),IF($A26&gt;BOTT_D2,ROUND(BASE_D2+RATE_D2*($A26-BOTT_D2),0),ROUND(RATE_D1*$A26,0))))</f>
        <v/>
      </c>
      <c r="H26" s="576" t="n"/>
      <c r="I26" s="559" t="n"/>
      <c r="J26" s="562" t="inlineStr">
        <is>
          <t>a</t>
        </is>
      </c>
      <c r="K26" s="562" t="inlineStr">
        <is>
          <t>b</t>
        </is>
      </c>
      <c r="L26" s="562" t="inlineStr">
        <is>
          <t>d</t>
        </is>
      </c>
      <c r="M26" s="546" t="n"/>
      <c r="R26" s="1091" t="n"/>
      <c r="S26" s="1082" t="inlineStr">
        <is>
          <t>Rate</t>
        </is>
      </c>
      <c r="T26" s="1082" t="inlineStr">
        <is>
          <t>Bottom of bracket</t>
        </is>
      </c>
      <c r="U26" s="1098" t="inlineStr">
        <is>
          <t>Base amount</t>
        </is>
      </c>
      <c r="V26" s="704" t="inlineStr">
        <is>
          <t>Additional amount = Rate x (Taxable Income - Bottom of bracket)</t>
        </is>
      </c>
      <c r="W26" s="1095" t="n"/>
    </row>
    <row r="27" ht="17.25" customHeight="1" s="7635" thickBot="1">
      <c r="A27" s="625">
        <f>AVERAGE(B27,C27)</f>
        <v/>
      </c>
      <c r="B27" s="554" t="n">
        <v>575</v>
      </c>
      <c r="C27" s="554" t="n">
        <v>600</v>
      </c>
      <c r="D27" s="556">
        <f>IF($A27&gt;BOTT_A4,ROUND(BASE_A4+RATE_A4*($A27-BOTT_A4),0),IF($A27&gt;BOTT_A3,ROUND(BASE_A3+RATE_A3*($A27-BOTT_A3),0),IF($A27&gt;BOTT_A2,ROUND(BASE_A2+RATE_A2*($A27-BOTT_A2),0),ROUND(RATE_A1*$A27,0))))</f>
        <v/>
      </c>
      <c r="E27" s="556">
        <f>IF($A27&gt;BOTT_B4,ROUND(BASE_B4+RATE_B4*($A27-BOTT_B4),0),IF($A27&gt;BOTT_B3,ROUND(BASE_B3+RATE_B3*($A27-BOTT_B3),0),IF($A27&gt;BOTT_B2,ROUND(BASE_B2+RATE_B2*($A27-BOTT_B2),0),ROUND(RATE_B1*$A27,0))))</f>
        <v/>
      </c>
      <c r="F27" s="556">
        <f>IF($A27&gt;BOTT_C4,ROUND(BASE_C4+RATE_C4*($A27-BOTT_C4),0),IF($A27&gt;BOTT_C3,ROUND(BASE_C3+RATE_C3*($A27-BOTT_C3),0),IF($A27&gt;BOTT_C2,ROUND(BASE_C2+RATE_C2*($A27-BOTT_C2),0),ROUND(RATE_C1*$A27,0))))</f>
        <v/>
      </c>
      <c r="G27" s="556">
        <f>IF($A27&gt;BOTT_D4,ROUND(BASE_D4+RATE_D4*($A27-BOTT_D4),0),IF($A27&gt;BOTT_D3,ROUND(BASE_D3+RATE_D3*($A27-BOTT_D3),0),IF($A27&gt;BOTT_D2,ROUND(BASE_D2+RATE_D2*($A27-BOTT_D2),0),ROUND(RATE_D1*$A27,0))))</f>
        <v/>
      </c>
      <c r="H27" s="576" t="n"/>
      <c r="I27" s="559" t="n"/>
      <c r="J27" s="1221" t="inlineStr">
        <is>
          <t>Section C</t>
        </is>
      </c>
      <c r="K27" s="528" t="n"/>
      <c r="L27" s="538" t="n"/>
      <c r="M27" s="546" t="n"/>
      <c r="R27" s="1091" t="n">
        <v>1</v>
      </c>
      <c r="S27" s="763" t="n">
        <v>0.1</v>
      </c>
      <c r="T27" s="12885" t="n">
        <v>0</v>
      </c>
      <c r="U27" s="12885" t="n">
        <v>0</v>
      </c>
      <c r="V27" s="707" t="inlineStr">
        <is>
          <t>10% of taxable income</t>
        </is>
      </c>
      <c r="W27" s="1095" t="n"/>
    </row>
    <row r="28" s="7635" thickBot="1">
      <c r="A28" s="625">
        <f>AVERAGE(B28,C28)</f>
        <v/>
      </c>
      <c r="B28" s="554" t="n">
        <v>600</v>
      </c>
      <c r="C28" s="554" t="n">
        <v>625</v>
      </c>
      <c r="D28" s="556">
        <f>IF($A28&gt;BOTT_A4,ROUND(BASE_A4+RATE_A4*($A28-BOTT_A4),0),IF($A28&gt;BOTT_A3,ROUND(BASE_A3+RATE_A3*($A28-BOTT_A3),0),IF($A28&gt;BOTT_A2,ROUND(BASE_A2+RATE_A2*($A28-BOTT_A2),0),ROUND(RATE_A1*$A28,0))))</f>
        <v/>
      </c>
      <c r="E28" s="556">
        <f>IF($A28&gt;BOTT_B4,ROUND(BASE_B4+RATE_B4*($A28-BOTT_B4),0),IF($A28&gt;BOTT_B3,ROUND(BASE_B3+RATE_B3*($A28-BOTT_B3),0),IF($A28&gt;BOTT_B2,ROUND(BASE_B2+RATE_B2*($A28-BOTT_B2),0),ROUND(RATE_B1*$A28,0))))</f>
        <v/>
      </c>
      <c r="F28" s="556">
        <f>IF($A28&gt;BOTT_C4,ROUND(BASE_C4+RATE_C4*($A28-BOTT_C4),0),IF($A28&gt;BOTT_C3,ROUND(BASE_C3+RATE_C3*($A28-BOTT_C3),0),IF($A28&gt;BOTT_C2,ROUND(BASE_C2+RATE_C2*($A28-BOTT_C2),0),ROUND(RATE_C1*$A28,0))))</f>
        <v/>
      </c>
      <c r="G28" s="556">
        <f>IF($A28&gt;BOTT_D4,ROUND(BASE_D4+RATE_D4*($A28-BOTT_D4),0),IF($A28&gt;BOTT_D3,ROUND(BASE_D3+RATE_D3*($A28-BOTT_D3),0),IF($A28&gt;BOTT_D2,ROUND(BASE_D2+RATE_D2*($A28-BOTT_D2),0),ROUND(RATE_D1*$A28,0))))</f>
        <v/>
      </c>
      <c r="H28" s="576" t="n"/>
      <c r="I28" s="559" t="n"/>
      <c r="J28" s="1093" t="inlineStr">
        <is>
          <t>Filing status:  Married Filing Separately</t>
        </is>
      </c>
      <c r="K28" s="528" t="n"/>
      <c r="L28" s="547" t="n"/>
      <c r="M28" s="546" t="n"/>
      <c r="R28" s="1091" t="n">
        <v>2</v>
      </c>
      <c r="S28" s="764" t="n">
        <v>0.12</v>
      </c>
      <c r="T28" s="12886">
        <f>BOTT_A2</f>
        <v/>
      </c>
      <c r="U28" s="12886">
        <f>ROUND(RATE_C1*BOTT_C2,2)</f>
        <v/>
      </c>
      <c r="V28" s="706">
        <f>"plus "&amp;TEXT(S28,"0%")&amp;" of the excess over "&amp;TEXT(T28,"$0,000")</f>
        <v/>
      </c>
      <c r="W28" s="1095" t="n"/>
    </row>
    <row r="29" s="7635" thickBot="1">
      <c r="A29" s="625">
        <f>AVERAGE(B29,C29)</f>
        <v/>
      </c>
      <c r="B29" s="554" t="n">
        <v>625</v>
      </c>
      <c r="C29" s="554" t="n">
        <v>650</v>
      </c>
      <c r="D29" s="556">
        <f>IF($A29&gt;BOTT_A4,ROUND(BASE_A4+RATE_A4*($A29-BOTT_A4),0),IF($A29&gt;BOTT_A3,ROUND(BASE_A3+RATE_A3*($A29-BOTT_A3),0),IF($A29&gt;BOTT_A2,ROUND(BASE_A2+RATE_A2*($A29-BOTT_A2),0),ROUND(RATE_A1*$A29,0))))</f>
        <v/>
      </c>
      <c r="E29" s="556">
        <f>IF($A29&gt;BOTT_B4,ROUND(BASE_B4+RATE_B4*($A29-BOTT_B4),0),IF($A29&gt;BOTT_B3,ROUND(BASE_B3+RATE_B3*($A29-BOTT_B3),0),IF($A29&gt;BOTT_B2,ROUND(BASE_B2+RATE_B2*($A29-BOTT_B2),0),ROUND(RATE_B1*$A29,0))))</f>
        <v/>
      </c>
      <c r="F29" s="556">
        <f>IF($A29&gt;BOTT_C4,ROUND(BASE_C4+RATE_C4*($A29-BOTT_C4),0),IF($A29&gt;BOTT_C3,ROUND(BASE_C3+RATE_C3*($A29-BOTT_C3),0),IF($A29&gt;BOTT_C2,ROUND(BASE_C2+RATE_C2*($A29-BOTT_C2),0),ROUND(RATE_C1*$A29,0))))</f>
        <v/>
      </c>
      <c r="G29" s="556">
        <f>IF($A29&gt;BOTT_D4,ROUND(BASE_D4+RATE_D4*($A29-BOTT_D4),0),IF($A29&gt;BOTT_D3,ROUND(BASE_D3+RATE_D3*($A29-BOTT_D3),0),IF($A29&gt;BOTT_D2,ROUND(BASE_D2+RATE_D2*($A29-BOTT_D2),0),ROUND(RATE_D1*$A29,0))))</f>
        <v/>
      </c>
      <c r="H29" s="576" t="n"/>
      <c r="I29" s="558" t="n">
        <v>1</v>
      </c>
      <c r="J29" s="529" t="inlineStr">
        <is>
          <t>But Not Over</t>
        </is>
      </c>
      <c r="K29" s="537" t="n"/>
      <c r="L29" s="530" t="n"/>
      <c r="M29" s="546" t="n"/>
      <c r="R29" s="1091" t="n">
        <v>3</v>
      </c>
      <c r="S29" s="763" t="n">
        <v>0.22</v>
      </c>
      <c r="T29" s="12885">
        <f>BOTT_A3</f>
        <v/>
      </c>
      <c r="U29" s="12885">
        <f>ROUND(BASE_C2+RATE_C2*(BOTT_C3-BOTT_C2),2)</f>
        <v/>
      </c>
      <c r="V29" s="705">
        <f>"plus "&amp;TEXT(S29,"0%")&amp;" of the excess over "&amp;TEXT(T29,"$0,000")</f>
        <v/>
      </c>
      <c r="W29" s="1095" t="n"/>
    </row>
    <row r="30" s="7635" thickBot="1">
      <c r="A30" s="625">
        <f>AVERAGE(B30,C30)</f>
        <v/>
      </c>
      <c r="B30" s="554" t="n">
        <v>650</v>
      </c>
      <c r="C30" s="554" t="n">
        <v>675</v>
      </c>
      <c r="D30" s="556">
        <f>IF($A30&gt;BOTT_A4,ROUND(BASE_A4+RATE_A4*($A30-BOTT_A4),0),IF($A30&gt;BOTT_A3,ROUND(BASE_A3+RATE_A3*($A30-BOTT_A3),0),IF($A30&gt;BOTT_A2,ROUND(BASE_A2+RATE_A2*($A30-BOTT_A2),0),ROUND(RATE_A1*$A30,0))))</f>
        <v/>
      </c>
      <c r="E30" s="556">
        <f>IF($A30&gt;BOTT_B4,ROUND(BASE_B4+RATE_B4*($A30-BOTT_B4),0),IF($A30&gt;BOTT_B3,ROUND(BASE_B3+RATE_B3*($A30-BOTT_B3),0),IF($A30&gt;BOTT_B2,ROUND(BASE_B2+RATE_B2*($A30-BOTT_B2),0),ROUND(RATE_B1*$A30,0))))</f>
        <v/>
      </c>
      <c r="F30" s="556">
        <f>IF($A30&gt;BOTT_C4,ROUND(BASE_C4+RATE_C4*($A30-BOTT_C4),0),IF($A30&gt;BOTT_C3,ROUND(BASE_C3+RATE_C3*($A30-BOTT_C3),0),IF($A30&gt;BOTT_C2,ROUND(BASE_C2+RATE_C2*($A30-BOTT_C2),0),ROUND(RATE_C1*$A30,0))))</f>
        <v/>
      </c>
      <c r="G30" s="556">
        <f>IF($A30&gt;BOTT_D4,ROUND(BASE_D4+RATE_D4*($A30-BOTT_D4),0),IF($A30&gt;BOTT_D3,ROUND(BASE_D3+RATE_D3*($A30-BOTT_D3),0),IF($A30&gt;BOTT_D2,ROUND(BASE_D2+RATE_D2*($A30-BOTT_D2),0),ROUND(RATE_D1*$A30,0))))</f>
        <v/>
      </c>
      <c r="H30" s="576" t="n"/>
      <c r="I30" s="558" t="n">
        <v>2</v>
      </c>
      <c r="J30" s="533" t="n">
        <v>100000</v>
      </c>
      <c r="K30" s="538" t="n"/>
      <c r="L30" s="532" t="n"/>
      <c r="M30" s="546" t="n"/>
      <c r="R30" s="1091" t="n">
        <v>4</v>
      </c>
      <c r="S30" s="764" t="n">
        <v>0.24</v>
      </c>
      <c r="T30" s="12886">
        <f>BOTT_A4</f>
        <v/>
      </c>
      <c r="U30" s="12886">
        <f>ROUND(BASE_C3+RATE_C3*(BOTT_C4-BOTT_C3),2)</f>
        <v/>
      </c>
      <c r="V30" s="706">
        <f>"plus "&amp;TEXT(S30,"0%")&amp;" of the excess over "&amp;TEXT(T30,"$0,000")</f>
        <v/>
      </c>
      <c r="W30" s="1095" t="n"/>
    </row>
    <row r="31" s="7635" thickBot="1">
      <c r="A31" s="625">
        <f>AVERAGE(B31,C31)</f>
        <v/>
      </c>
      <c r="B31" s="554" t="n">
        <v>675</v>
      </c>
      <c r="C31" s="554" t="n">
        <v>700</v>
      </c>
      <c r="D31" s="556">
        <f>IF($A31&gt;BOTT_A4,ROUND(BASE_A4+RATE_A4*($A31-BOTT_A4),0),IF($A31&gt;BOTT_A3,ROUND(BASE_A3+RATE_A3*($A31-BOTT_A3),0),IF($A31&gt;BOTT_A2,ROUND(BASE_A2+RATE_A2*($A31-BOTT_A2),0),ROUND(RATE_A1*$A31,0))))</f>
        <v/>
      </c>
      <c r="E31" s="556">
        <f>IF($A31&gt;BOTT_B4,ROUND(BASE_B4+RATE_B4*($A31-BOTT_B4),0),IF($A31&gt;BOTT_B3,ROUND(BASE_B3+RATE_B3*($A31-BOTT_B3),0),IF($A31&gt;BOTT_B2,ROUND(BASE_B2+RATE_B2*($A31-BOTT_B2),0),ROUND(RATE_B1*$A31,0))))</f>
        <v/>
      </c>
      <c r="F31" s="556">
        <f>IF($A31&gt;BOTT_C4,ROUND(BASE_C4+RATE_C4*($A31-BOTT_C4),0),IF($A31&gt;BOTT_C3,ROUND(BASE_C3+RATE_C3*($A31-BOTT_C3),0),IF($A31&gt;BOTT_C2,ROUND(BASE_C2+RATE_C2*($A31-BOTT_C2),0),ROUND(RATE_C1*$A31,0))))</f>
        <v/>
      </c>
      <c r="G31" s="556">
        <f>IF($A31&gt;BOTT_D4,ROUND(BASE_D4+RATE_D4*($A31-BOTT_D4),0),IF($A31&gt;BOTT_D3,ROUND(BASE_D3+RATE_D3*($A31-BOTT_D3),0),IF($A31&gt;BOTT_D2,ROUND(BASE_D2+RATE_D2*($A31-BOTT_D2),0),ROUND(RATE_D1*$A31,0))))</f>
        <v/>
      </c>
      <c r="H31" s="576" t="n"/>
      <c r="I31" s="558" t="n"/>
      <c r="J31" s="533">
        <f>BOTT_C4</f>
        <v/>
      </c>
      <c r="K31" s="538">
        <f>RATE_C3*100</f>
        <v/>
      </c>
      <c r="L31" s="532">
        <f>P31</f>
        <v/>
      </c>
      <c r="M31" s="546" t="n"/>
      <c r="N31" s="637">
        <f>BOTT_C3*RATE_C3</f>
        <v/>
      </c>
      <c r="O31" s="637">
        <f>BASE_C3</f>
        <v/>
      </c>
      <c r="P31" s="637">
        <f>SUM(N31,-O31)</f>
        <v/>
      </c>
      <c r="R31" s="1091" t="n">
        <v>5</v>
      </c>
      <c r="S31" s="763" t="n">
        <v>0.32</v>
      </c>
      <c r="T31" s="12885">
        <f>BOTT_A5</f>
        <v/>
      </c>
      <c r="U31" s="12885">
        <f>ROUND(BASE_C4+RATE_C4*(BOTT_C5-BOTT_C4),2)</f>
        <v/>
      </c>
      <c r="V31" s="705">
        <f>"plus "&amp;TEXT(S31,"0%")&amp;" of the excess over "&amp;TEXT(T31,"$0,000")</f>
        <v/>
      </c>
      <c r="W31" s="1095" t="n"/>
    </row>
    <row r="32" s="7635" thickBot="1">
      <c r="A32" s="625">
        <f>AVERAGE(B32,C32)</f>
        <v/>
      </c>
      <c r="B32" s="554" t="n">
        <v>700</v>
      </c>
      <c r="C32" s="554" t="n">
        <v>725</v>
      </c>
      <c r="D32" s="556">
        <f>IF($A32&gt;BOTT_A4,ROUND(BASE_A4+RATE_A4*($A32-BOTT_A4),0),IF($A32&gt;BOTT_A3,ROUND(BASE_A3+RATE_A3*($A32-BOTT_A3),0),IF($A32&gt;BOTT_A2,ROUND(BASE_A2+RATE_A2*($A32-BOTT_A2),0),ROUND(RATE_A1*$A32,0))))</f>
        <v/>
      </c>
      <c r="E32" s="556">
        <f>IF($A32&gt;BOTT_B4,ROUND(BASE_B4+RATE_B4*($A32-BOTT_B4),0),IF($A32&gt;BOTT_B3,ROUND(BASE_B3+RATE_B3*($A32-BOTT_B3),0),IF($A32&gt;BOTT_B2,ROUND(BASE_B2+RATE_B2*($A32-BOTT_B2),0),ROUND(RATE_B1*$A32,0))))</f>
        <v/>
      </c>
      <c r="F32" s="556">
        <f>IF($A32&gt;BOTT_C4,ROUND(BASE_C4+RATE_C4*($A32-BOTT_C4),0),IF($A32&gt;BOTT_C3,ROUND(BASE_C3+RATE_C3*($A32-BOTT_C3),0),IF($A32&gt;BOTT_C2,ROUND(BASE_C2+RATE_C2*($A32-BOTT_C2),0),ROUND(RATE_C1*$A32,0))))</f>
        <v/>
      </c>
      <c r="G32" s="556">
        <f>IF($A32&gt;BOTT_D4,ROUND(BASE_D4+RATE_D4*($A32-BOTT_D4),0),IF($A32&gt;BOTT_D3,ROUND(BASE_D3+RATE_D3*($A32-BOTT_D3),0),IF($A32&gt;BOTT_D2,ROUND(BASE_D2+RATE_D2*($A32-BOTT_D2),0),ROUND(RATE_D1*$A32,0))))</f>
        <v/>
      </c>
      <c r="H32" s="576" t="n"/>
      <c r="I32" s="558" t="n">
        <v>3</v>
      </c>
      <c r="J32" s="533">
        <f>BOTT_C5</f>
        <v/>
      </c>
      <c r="K32" s="538">
        <f>RATE_C4*100</f>
        <v/>
      </c>
      <c r="L32" s="532">
        <f>P32</f>
        <v/>
      </c>
      <c r="M32" s="546" t="n"/>
      <c r="N32" s="637">
        <f>BOTT_C4*RATE_C4</f>
        <v/>
      </c>
      <c r="O32" s="637">
        <f>BASE_C4</f>
        <v/>
      </c>
      <c r="P32" s="637">
        <f>SUM(N32,-O32)</f>
        <v/>
      </c>
      <c r="R32" s="1091" t="n">
        <v>6</v>
      </c>
      <c r="S32" s="764" t="n">
        <v>0.35</v>
      </c>
      <c r="T32" s="12886">
        <f>BOTT_A6</f>
        <v/>
      </c>
      <c r="U32" s="12886">
        <f>ROUND(BASE_C5+RATE_C5*(BOTT_C6-BOTT_C5),2)</f>
        <v/>
      </c>
      <c r="V32" s="706">
        <f>"plus "&amp;TEXT(S32,"0%")&amp;" of the excess over "&amp;TEXT(T32,"$0,000")</f>
        <v/>
      </c>
      <c r="W32" s="1095" t="n"/>
    </row>
    <row r="33" s="7635" thickBot="1">
      <c r="A33" s="625">
        <f>AVERAGE(B33,C33)</f>
        <v/>
      </c>
      <c r="B33" s="554" t="n">
        <v>725</v>
      </c>
      <c r="C33" s="554" t="n">
        <v>750</v>
      </c>
      <c r="D33" s="556">
        <f>IF($A33&gt;BOTT_A4,ROUND(BASE_A4+RATE_A4*($A33-BOTT_A4),0),IF($A33&gt;BOTT_A3,ROUND(BASE_A3+RATE_A3*($A33-BOTT_A3),0),IF($A33&gt;BOTT_A2,ROUND(BASE_A2+RATE_A2*($A33-BOTT_A2),0),ROUND(RATE_A1*$A33,0))))</f>
        <v/>
      </c>
      <c r="E33" s="556">
        <f>IF($A33&gt;BOTT_B4,ROUND(BASE_B4+RATE_B4*($A33-BOTT_B4),0),IF($A33&gt;BOTT_B3,ROUND(BASE_B3+RATE_B3*($A33-BOTT_B3),0),IF($A33&gt;BOTT_B2,ROUND(BASE_B2+RATE_B2*($A33-BOTT_B2),0),ROUND(RATE_B1*$A33,0))))</f>
        <v/>
      </c>
      <c r="F33" s="556">
        <f>IF($A33&gt;BOTT_C4,ROUND(BASE_C4+RATE_C4*($A33-BOTT_C4),0),IF($A33&gt;BOTT_C3,ROUND(BASE_C3+RATE_C3*($A33-BOTT_C3),0),IF($A33&gt;BOTT_C2,ROUND(BASE_C2+RATE_C2*($A33-BOTT_C2),0),ROUND(RATE_C1*$A33,0))))</f>
        <v/>
      </c>
      <c r="G33" s="556">
        <f>IF($A33&gt;BOTT_D4,ROUND(BASE_D4+RATE_D4*($A33-BOTT_D4),0),IF($A33&gt;BOTT_D3,ROUND(BASE_D3+RATE_D3*($A33-BOTT_D3),0),IF($A33&gt;BOTT_D2,ROUND(BASE_D2+RATE_D2*($A33-BOTT_D2),0),ROUND(RATE_D1*$A33,0))))</f>
        <v/>
      </c>
      <c r="H33" s="576" t="n"/>
      <c r="I33" s="558" t="n">
        <v>4</v>
      </c>
      <c r="J33" s="533">
        <f>BOTT_C6</f>
        <v/>
      </c>
      <c r="K33" s="538">
        <f>RATE_C5*100</f>
        <v/>
      </c>
      <c r="L33" s="534">
        <f>P33</f>
        <v/>
      </c>
      <c r="M33" s="546" t="n"/>
      <c r="N33" s="637">
        <f>BOTT_C5*RATE_C5</f>
        <v/>
      </c>
      <c r="O33" s="637">
        <f>BASE_C5</f>
        <v/>
      </c>
      <c r="P33" s="637">
        <f>SUM(N33,-O33)</f>
        <v/>
      </c>
      <c r="R33" s="1091" t="n">
        <v>7</v>
      </c>
      <c r="S33" s="763" t="n">
        <v>0.37</v>
      </c>
      <c r="T33" s="12885">
        <f>ROUND(0.599985*BOTT_A7,0)</f>
        <v/>
      </c>
      <c r="U33" s="12885">
        <f>ROUND(BASE_C6+RATE_C6*(BOTT_C7-BOTT_C6),2)</f>
        <v/>
      </c>
      <c r="V33" s="705">
        <f>"plus "&amp;TEXT(S33,"0%")&amp;" of the excess over "&amp;TEXT(T33,"$0,000")</f>
        <v/>
      </c>
      <c r="W33" s="1095" t="n"/>
    </row>
    <row r="34" ht="15.75" customHeight="1" s="7635">
      <c r="A34" s="625">
        <f>AVERAGE(B34,C34)</f>
        <v/>
      </c>
      <c r="B34" s="554" t="n">
        <v>750</v>
      </c>
      <c r="C34" s="554" t="n">
        <v>775</v>
      </c>
      <c r="D34" s="556">
        <f>IF($A34&gt;BOTT_A4,ROUND(BASE_A4+RATE_A4*($A34-BOTT_A4),0),IF($A34&gt;BOTT_A3,ROUND(BASE_A3+RATE_A3*($A34-BOTT_A3),0),IF($A34&gt;BOTT_A2,ROUND(BASE_A2+RATE_A2*($A34-BOTT_A2),0),ROUND(RATE_A1*$A34,0))))</f>
        <v/>
      </c>
      <c r="E34" s="556">
        <f>IF($A34&gt;BOTT_B4,ROUND(BASE_B4+RATE_B4*($A34-BOTT_B4),0),IF($A34&gt;BOTT_B3,ROUND(BASE_B3+RATE_B3*($A34-BOTT_B3),0),IF($A34&gt;BOTT_B2,ROUND(BASE_B2+RATE_B2*($A34-BOTT_B2),0),ROUND(RATE_B1*$A34,0))))</f>
        <v/>
      </c>
      <c r="F34" s="556">
        <f>IF($A34&gt;BOTT_C4,ROUND(BASE_C4+RATE_C4*($A34-BOTT_C4),0),IF($A34&gt;BOTT_C3,ROUND(BASE_C3+RATE_C3*($A34-BOTT_C3),0),IF($A34&gt;BOTT_C2,ROUND(BASE_C2+RATE_C2*($A34-BOTT_C2),0),ROUND(RATE_C1*$A34,0))))</f>
        <v/>
      </c>
      <c r="G34" s="556">
        <f>IF($A34&gt;BOTT_D4,ROUND(BASE_D4+RATE_D4*($A34-BOTT_D4),0),IF($A34&gt;BOTT_D3,ROUND(BASE_D3+RATE_D3*($A34-BOTT_D3),0),IF($A34&gt;BOTT_D2,ROUND(BASE_D2+RATE_D2*($A34-BOTT_D2),0),ROUND(RATE_D1*$A34,0))))</f>
        <v/>
      </c>
      <c r="H34" s="576" t="n"/>
      <c r="I34" s="558" t="n">
        <v>5</v>
      </c>
      <c r="J34" s="533">
        <f>BOTT_C7</f>
        <v/>
      </c>
      <c r="K34" s="538">
        <f>RATE_C6*100</f>
        <v/>
      </c>
      <c r="L34" s="534">
        <f>P34</f>
        <v/>
      </c>
      <c r="M34" s="546" t="n"/>
      <c r="N34" s="637">
        <f>BOTT_C6*RATE_C6</f>
        <v/>
      </c>
      <c r="O34" s="637">
        <f>BASE_C6</f>
        <v/>
      </c>
      <c r="P34" s="637">
        <f>SUM(N34,-O34)</f>
        <v/>
      </c>
      <c r="R34" s="1091" t="n"/>
      <c r="S34" s="1092" t="n"/>
      <c r="T34" s="1093" t="n"/>
      <c r="U34" s="1094" t="n"/>
      <c r="V34" s="1093" t="n"/>
      <c r="W34" s="1095" t="n"/>
    </row>
    <row r="35" ht="15.75" customHeight="1" s="7635">
      <c r="A35" s="625">
        <f>AVERAGE(B35,C35)</f>
        <v/>
      </c>
      <c r="B35" s="554" t="n">
        <v>775</v>
      </c>
      <c r="C35" s="554" t="n">
        <v>800</v>
      </c>
      <c r="D35" s="556">
        <f>IF($A35&gt;BOTT_A4,ROUND(BASE_A4+RATE_A4*($A35-BOTT_A4),0),IF($A35&gt;BOTT_A3,ROUND(BASE_A3+RATE_A3*($A35-BOTT_A3),0),IF($A35&gt;BOTT_A2,ROUND(BASE_A2+RATE_A2*($A35-BOTT_A2),0),ROUND(RATE_A1*$A35,0))))</f>
        <v/>
      </c>
      <c r="E35" s="556">
        <f>IF($A35&gt;BOTT_B4,ROUND(BASE_B4+RATE_B4*($A35-BOTT_B4),0),IF($A35&gt;BOTT_B3,ROUND(BASE_B3+RATE_B3*($A35-BOTT_B3),0),IF($A35&gt;BOTT_B2,ROUND(BASE_B2+RATE_B2*($A35-BOTT_B2),0),ROUND(RATE_B1*$A35,0))))</f>
        <v/>
      </c>
      <c r="F35" s="556">
        <f>IF($A35&gt;BOTT_C4,ROUND(BASE_C4+RATE_C4*($A35-BOTT_C4),0),IF($A35&gt;BOTT_C3,ROUND(BASE_C3+RATE_C3*($A35-BOTT_C3),0),IF($A35&gt;BOTT_C2,ROUND(BASE_C2+RATE_C2*($A35-BOTT_C2),0),ROUND(RATE_C1*$A35,0))))</f>
        <v/>
      </c>
      <c r="G35" s="556">
        <f>IF($A35&gt;BOTT_D4,ROUND(BASE_D4+RATE_D4*($A35-BOTT_D4),0),IF($A35&gt;BOTT_D3,ROUND(BASE_D3+RATE_D3*($A35-BOTT_D3),0),IF($A35&gt;BOTT_D2,ROUND(BASE_D2+RATE_D2*($A35-BOTT_D2),0),ROUND(RATE_D1*$A35,0))))</f>
        <v/>
      </c>
      <c r="H35" s="576" t="n"/>
      <c r="I35" s="558" t="n">
        <v>6</v>
      </c>
      <c r="J35" s="535" t="n"/>
      <c r="K35" s="539">
        <f>RATE_C7*100</f>
        <v/>
      </c>
      <c r="L35" s="536">
        <f>P35</f>
        <v/>
      </c>
      <c r="M35" s="546" t="n"/>
      <c r="N35" s="637">
        <f>BOTT_C7*RATE_C7</f>
        <v/>
      </c>
      <c r="O35" s="637">
        <f>BASE_C7</f>
        <v/>
      </c>
      <c r="P35" s="637">
        <f>SUM(N35,-O35)</f>
        <v/>
      </c>
      <c r="R35" s="1091" t="n"/>
      <c r="S35" s="1096" t="inlineStr">
        <is>
          <t>RATE</t>
        </is>
      </c>
      <c r="T35" s="1097" t="inlineStr">
        <is>
          <t>BOTT</t>
        </is>
      </c>
      <c r="U35" s="1097" t="inlineStr">
        <is>
          <t>BASE</t>
        </is>
      </c>
      <c r="V35" s="1093" t="n"/>
      <c r="W35" s="1095" t="n"/>
    </row>
    <row r="36" ht="15.75" customHeight="1" s="7635">
      <c r="A36" s="625">
        <f>AVERAGE(B36,C36)</f>
        <v/>
      </c>
      <c r="B36" s="554" t="n">
        <v>800</v>
      </c>
      <c r="C36" s="554" t="n">
        <v>825</v>
      </c>
      <c r="D36" s="556">
        <f>IF($A36&gt;BOTT_A4,ROUND(BASE_A4+RATE_A4*($A36-BOTT_A4),0),IF($A36&gt;BOTT_A3,ROUND(BASE_A3+RATE_A3*($A36-BOTT_A3),0),IF($A36&gt;BOTT_A2,ROUND(BASE_A2+RATE_A2*($A36-BOTT_A2),0),ROUND(RATE_A1*$A36,0))))</f>
        <v/>
      </c>
      <c r="E36" s="556">
        <f>IF($A36&gt;BOTT_B4,ROUND(BASE_B4+RATE_B4*($A36-BOTT_B4),0),IF($A36&gt;BOTT_B3,ROUND(BASE_B3+RATE_B3*($A36-BOTT_B3),0),IF($A36&gt;BOTT_B2,ROUND(BASE_B2+RATE_B2*($A36-BOTT_B2),0),ROUND(RATE_B1*$A36,0))))</f>
        <v/>
      </c>
      <c r="F36" s="556">
        <f>IF($A36&gt;BOTT_C4,ROUND(BASE_C4+RATE_C4*($A36-BOTT_C4),0),IF($A36&gt;BOTT_C3,ROUND(BASE_C3+RATE_C3*($A36-BOTT_C3),0),IF($A36&gt;BOTT_C2,ROUND(BASE_C2+RATE_C2*($A36-BOTT_C2),0),ROUND(RATE_C1*$A36,0))))</f>
        <v/>
      </c>
      <c r="G36" s="556">
        <f>IF($A36&gt;BOTT_D4,ROUND(BASE_D4+RATE_D4*($A36-BOTT_D4),0),IF($A36&gt;BOTT_D3,ROUND(BASE_D3+RATE_D3*($A36-BOTT_D3),0),IF($A36&gt;BOTT_D2,ROUND(BASE_D2+RATE_D2*($A36-BOTT_D2),0),ROUND(RATE_D1*$A36,0))))</f>
        <v/>
      </c>
      <c r="H36" s="576" t="n"/>
      <c r="I36" s="559" t="n"/>
      <c r="J36" s="540" t="n"/>
      <c r="K36" s="540" t="n"/>
      <c r="L36" s="541" t="n"/>
      <c r="M36" s="546" t="n"/>
      <c r="R36" s="1091" t="inlineStr">
        <is>
          <t>D</t>
        </is>
      </c>
      <c r="S36" s="509" t="inlineStr">
        <is>
          <t>Schedule Z -- If your filing status is Head of household</t>
        </is>
      </c>
      <c r="T36" s="1093" t="n"/>
      <c r="U36" s="1094" t="n"/>
      <c r="V36" s="1093" t="n"/>
      <c r="W36" s="1095" t="n"/>
    </row>
    <row r="37" s="7635" thickBot="1">
      <c r="A37" s="625">
        <f>AVERAGE(B37,C37)</f>
        <v/>
      </c>
      <c r="B37" s="554" t="n">
        <v>825</v>
      </c>
      <c r="C37" s="554" t="n">
        <v>850</v>
      </c>
      <c r="D37" s="556">
        <f>IF($A37&gt;BOTT_A4,ROUND(BASE_A4+RATE_A4*($A37-BOTT_A4),0),IF($A37&gt;BOTT_A3,ROUND(BASE_A3+RATE_A3*($A37-BOTT_A3),0),IF($A37&gt;BOTT_A2,ROUND(BASE_A2+RATE_A2*($A37-BOTT_A2),0),ROUND(RATE_A1*$A37,0))))</f>
        <v/>
      </c>
      <c r="E37" s="556">
        <f>IF($A37&gt;BOTT_B4,ROUND(BASE_B4+RATE_B4*($A37-BOTT_B4),0),IF($A37&gt;BOTT_B3,ROUND(BASE_B3+RATE_B3*($A37-BOTT_B3),0),IF($A37&gt;BOTT_B2,ROUND(BASE_B2+RATE_B2*($A37-BOTT_B2),0),ROUND(RATE_B1*$A37,0))))</f>
        <v/>
      </c>
      <c r="F37" s="556">
        <f>IF($A37&gt;BOTT_C4,ROUND(BASE_C4+RATE_C4*($A37-BOTT_C4),0),IF($A37&gt;BOTT_C3,ROUND(BASE_C3+RATE_C3*($A37-BOTT_C3),0),IF($A37&gt;BOTT_C2,ROUND(BASE_C2+RATE_C2*($A37-BOTT_C2),0),ROUND(RATE_C1*$A37,0))))</f>
        <v/>
      </c>
      <c r="G37" s="556">
        <f>IF($A37&gt;BOTT_D4,ROUND(BASE_D4+RATE_D4*($A37-BOTT_D4),0),IF($A37&gt;BOTT_D3,ROUND(BASE_D3+RATE_D3*($A37-BOTT_D3),0),IF($A37&gt;BOTT_D2,ROUND(BASE_D2+RATE_D2*($A37-BOTT_D2),0),ROUND(RATE_D1*$A37,0))))</f>
        <v/>
      </c>
      <c r="H37" s="576" t="n"/>
      <c r="I37" s="559" t="n"/>
      <c r="J37" s="562" t="inlineStr">
        <is>
          <t>a</t>
        </is>
      </c>
      <c r="K37" s="562" t="inlineStr">
        <is>
          <t>b</t>
        </is>
      </c>
      <c r="L37" s="562" t="inlineStr">
        <is>
          <t>d</t>
        </is>
      </c>
      <c r="M37" s="546" t="n"/>
      <c r="R37" s="1091" t="n"/>
      <c r="S37" s="1082" t="inlineStr">
        <is>
          <t>Rate</t>
        </is>
      </c>
      <c r="T37" s="1082" t="inlineStr">
        <is>
          <t>Bottom of bracket</t>
        </is>
      </c>
      <c r="U37" s="1099" t="inlineStr">
        <is>
          <t>Base amount</t>
        </is>
      </c>
      <c r="V37" s="1081" t="inlineStr">
        <is>
          <t>Additional amount = Rate x (Taxable Income - Bottom of bracket)</t>
        </is>
      </c>
      <c r="W37" s="1095" t="n"/>
    </row>
    <row r="38" ht="17.25" customHeight="1" s="7635" thickBot="1">
      <c r="A38" s="625">
        <f>AVERAGE(B38,C38)</f>
        <v/>
      </c>
      <c r="B38" s="554" t="n">
        <v>850</v>
      </c>
      <c r="C38" s="554" t="n">
        <v>875</v>
      </c>
      <c r="D38" s="556">
        <f>IF($A38&gt;BOTT_A4,ROUND(BASE_A4+RATE_A4*($A38-BOTT_A4),0),IF($A38&gt;BOTT_A3,ROUND(BASE_A3+RATE_A3*($A38-BOTT_A3),0),IF($A38&gt;BOTT_A2,ROUND(BASE_A2+RATE_A2*($A38-BOTT_A2),0),ROUND(RATE_A1*$A38,0))))</f>
        <v/>
      </c>
      <c r="E38" s="556">
        <f>IF($A38&gt;BOTT_B4,ROUND(BASE_B4+RATE_B4*($A38-BOTT_B4),0),IF($A38&gt;BOTT_B3,ROUND(BASE_B3+RATE_B3*($A38-BOTT_B3),0),IF($A38&gt;BOTT_B2,ROUND(BASE_B2+RATE_B2*($A38-BOTT_B2),0),ROUND(RATE_B1*$A38,0))))</f>
        <v/>
      </c>
      <c r="F38" s="556">
        <f>IF($A38&gt;BOTT_C4,ROUND(BASE_C4+RATE_C4*($A38-BOTT_C4),0),IF($A38&gt;BOTT_C3,ROUND(BASE_C3+RATE_C3*($A38-BOTT_C3),0),IF($A38&gt;BOTT_C2,ROUND(BASE_C2+RATE_C2*($A38-BOTT_C2),0),ROUND(RATE_C1*$A38,0))))</f>
        <v/>
      </c>
      <c r="G38" s="556">
        <f>IF($A38&gt;BOTT_D4,ROUND(BASE_D4+RATE_D4*($A38-BOTT_D4),0),IF($A38&gt;BOTT_D3,ROUND(BASE_D3+RATE_D3*($A38-BOTT_D3),0),IF($A38&gt;BOTT_D2,ROUND(BASE_D2+RATE_D2*($A38-BOTT_D2),0),ROUND(RATE_D1*$A38,0))))</f>
        <v/>
      </c>
      <c r="H38" s="576" t="n"/>
      <c r="I38" s="559" t="n"/>
      <c r="J38" s="1221" t="inlineStr">
        <is>
          <t>Section D</t>
        </is>
      </c>
      <c r="K38" s="548" t="n"/>
      <c r="L38" s="549" t="n"/>
      <c r="M38" s="546" t="n"/>
      <c r="R38" s="1091" t="n">
        <v>1</v>
      </c>
      <c r="S38" s="763" t="n">
        <v>0.1</v>
      </c>
      <c r="T38" s="12885" t="n">
        <v>0</v>
      </c>
      <c r="U38" s="12885" t="n">
        <v>0</v>
      </c>
      <c r="V38" s="705" t="inlineStr">
        <is>
          <t>10% of taxable income</t>
        </is>
      </c>
      <c r="W38" s="1095" t="n"/>
    </row>
    <row r="39" s="7635" thickBot="1">
      <c r="A39" s="625">
        <f>AVERAGE(B39,C39)</f>
        <v/>
      </c>
      <c r="B39" s="554" t="n">
        <v>875</v>
      </c>
      <c r="C39" s="554" t="n">
        <v>900</v>
      </c>
      <c r="D39" s="556">
        <f>IF($A39&gt;BOTT_A4,ROUND(BASE_A4+RATE_A4*($A39-BOTT_A4),0),IF($A39&gt;BOTT_A3,ROUND(BASE_A3+RATE_A3*($A39-BOTT_A3),0),IF($A39&gt;BOTT_A2,ROUND(BASE_A2+RATE_A2*($A39-BOTT_A2),0),ROUND(RATE_A1*$A39,0))))</f>
        <v/>
      </c>
      <c r="E39" s="556">
        <f>IF($A39&gt;BOTT_B4,ROUND(BASE_B4+RATE_B4*($A39-BOTT_B4),0),IF($A39&gt;BOTT_B3,ROUND(BASE_B3+RATE_B3*($A39-BOTT_B3),0),IF($A39&gt;BOTT_B2,ROUND(BASE_B2+RATE_B2*($A39-BOTT_B2),0),ROUND(RATE_B1*$A39,0))))</f>
        <v/>
      </c>
      <c r="F39" s="556">
        <f>IF($A39&gt;BOTT_C4,ROUND(BASE_C4+RATE_C4*($A39-BOTT_C4),0),IF($A39&gt;BOTT_C3,ROUND(BASE_C3+RATE_C3*($A39-BOTT_C3),0),IF($A39&gt;BOTT_C2,ROUND(BASE_C2+RATE_C2*($A39-BOTT_C2),0),ROUND(RATE_C1*$A39,0))))</f>
        <v/>
      </c>
      <c r="G39" s="556">
        <f>IF($A39&gt;BOTT_D4,ROUND(BASE_D4+RATE_D4*($A39-BOTT_D4),0),IF($A39&gt;BOTT_D3,ROUND(BASE_D3+RATE_D3*($A39-BOTT_D3),0),IF($A39&gt;BOTT_D2,ROUND(BASE_D2+RATE_D2*($A39-BOTT_D2),0),ROUND(RATE_D1*$A39,0))))</f>
        <v/>
      </c>
      <c r="H39" s="576" t="n"/>
      <c r="I39" s="559" t="n"/>
      <c r="J39" s="1093" t="inlineStr">
        <is>
          <t>Filing status:  Head of Household</t>
        </is>
      </c>
      <c r="K39" s="548" t="n"/>
      <c r="L39" s="549" t="n"/>
      <c r="M39" s="546" t="n"/>
      <c r="R39" s="1091" t="n">
        <v>2</v>
      </c>
      <c r="S39" s="764" t="n">
        <v>0.12</v>
      </c>
      <c r="T39" s="12886" t="n">
        <v>17000</v>
      </c>
      <c r="U39" s="12886">
        <f>ROUND(RATE_D1*BOTT_D2,2)</f>
        <v/>
      </c>
      <c r="V39" s="706">
        <f>"plus "&amp;TEXT(S39,"0%")&amp;" of the excess over "&amp;TEXT(T39,"$0,000")</f>
        <v/>
      </c>
      <c r="W39" s="1095" t="n"/>
    </row>
    <row r="40" s="7635" thickBot="1">
      <c r="A40" s="625">
        <f>AVERAGE(B40,C40)</f>
        <v/>
      </c>
      <c r="B40" s="554" t="n">
        <v>900</v>
      </c>
      <c r="C40" s="554" t="n">
        <v>925</v>
      </c>
      <c r="D40" s="556">
        <f>IF($A40&gt;BOTT_A4,ROUND(BASE_A4+RATE_A4*($A40-BOTT_A4),0),IF($A40&gt;BOTT_A3,ROUND(BASE_A3+RATE_A3*($A40-BOTT_A3),0),IF($A40&gt;BOTT_A2,ROUND(BASE_A2+RATE_A2*($A40-BOTT_A2),0),ROUND(RATE_A1*$A40,0))))</f>
        <v/>
      </c>
      <c r="E40" s="556">
        <f>IF($A40&gt;BOTT_B4,ROUND(BASE_B4+RATE_B4*($A40-BOTT_B4),0),IF($A40&gt;BOTT_B3,ROUND(BASE_B3+RATE_B3*($A40-BOTT_B3),0),IF($A40&gt;BOTT_B2,ROUND(BASE_B2+RATE_B2*($A40-BOTT_B2),0),ROUND(RATE_B1*$A40,0))))</f>
        <v/>
      </c>
      <c r="F40" s="556">
        <f>IF($A40&gt;BOTT_C4,ROUND(BASE_C4+RATE_C4*($A40-BOTT_C4),0),IF($A40&gt;BOTT_C3,ROUND(BASE_C3+RATE_C3*($A40-BOTT_C3),0),IF($A40&gt;BOTT_C2,ROUND(BASE_C2+RATE_C2*($A40-BOTT_C2),0),ROUND(RATE_C1*$A40,0))))</f>
        <v/>
      </c>
      <c r="G40" s="556">
        <f>IF($A40&gt;BOTT_D4,ROUND(BASE_D4+RATE_D4*($A40-BOTT_D4),0),IF($A40&gt;BOTT_D3,ROUND(BASE_D3+RATE_D3*($A40-BOTT_D3),0),IF($A40&gt;BOTT_D2,ROUND(BASE_D2+RATE_D2*($A40-BOTT_D2),0),ROUND(RATE_D1*$A40,0))))</f>
        <v/>
      </c>
      <c r="H40" s="576" t="n"/>
      <c r="I40" s="558" t="n">
        <v>1</v>
      </c>
      <c r="J40" s="529" t="inlineStr">
        <is>
          <t>But Not Over</t>
        </is>
      </c>
      <c r="K40" s="537" t="n"/>
      <c r="L40" s="530" t="n"/>
      <c r="M40" s="546" t="n"/>
      <c r="R40" s="1091" t="n">
        <v>3</v>
      </c>
      <c r="S40" s="763" t="n">
        <v>0.22</v>
      </c>
      <c r="T40" s="12885" t="n">
        <v>64850</v>
      </c>
      <c r="U40" s="12885">
        <f>ROUND(BASE_D2+RATE_D2*(BOTT_D3-BOTT_D2),2)</f>
        <v/>
      </c>
      <c r="V40" s="705">
        <f>"plus "&amp;TEXT(S40,"0%")&amp;" of the excess over "&amp;TEXT(T40,"$0,000")</f>
        <v/>
      </c>
      <c r="W40" s="1095" t="n"/>
    </row>
    <row r="41" s="7635" thickBot="1">
      <c r="A41" s="625">
        <f>AVERAGE(B41,C41)</f>
        <v/>
      </c>
      <c r="B41" s="554" t="n">
        <v>925</v>
      </c>
      <c r="C41" s="554" t="n">
        <v>950</v>
      </c>
      <c r="D41" s="556">
        <f>IF($A41&gt;BOTT_A4,ROUND(BASE_A4+RATE_A4*($A41-BOTT_A4),0),IF($A41&gt;BOTT_A3,ROUND(BASE_A3+RATE_A3*($A41-BOTT_A3),0),IF($A41&gt;BOTT_A2,ROUND(BASE_A2+RATE_A2*($A41-BOTT_A2),0),ROUND(RATE_A1*$A41,0))))</f>
        <v/>
      </c>
      <c r="E41" s="556">
        <f>IF($A41&gt;BOTT_B4,ROUND(BASE_B4+RATE_B4*($A41-BOTT_B4),0),IF($A41&gt;BOTT_B3,ROUND(BASE_B3+RATE_B3*($A41-BOTT_B3),0),IF($A41&gt;BOTT_B2,ROUND(BASE_B2+RATE_B2*($A41-BOTT_B2),0),ROUND(RATE_B1*$A41,0))))</f>
        <v/>
      </c>
      <c r="F41" s="556">
        <f>IF($A41&gt;BOTT_C4,ROUND(BASE_C4+RATE_C4*($A41-BOTT_C4),0),IF($A41&gt;BOTT_C3,ROUND(BASE_C3+RATE_C3*($A41-BOTT_C3),0),IF($A41&gt;BOTT_C2,ROUND(BASE_C2+RATE_C2*($A41-BOTT_C2),0),ROUND(RATE_C1*$A41,0))))</f>
        <v/>
      </c>
      <c r="G41" s="556">
        <f>IF($A41&gt;BOTT_D4,ROUND(BASE_D4+RATE_D4*($A41-BOTT_D4),0),IF($A41&gt;BOTT_D3,ROUND(BASE_D3+RATE_D3*($A41-BOTT_D3),0),IF($A41&gt;BOTT_D2,ROUND(BASE_D2+RATE_D2*($A41-BOTT_D2),0),ROUND(RATE_D1*$A41,0))))</f>
        <v/>
      </c>
      <c r="H41" s="576" t="n"/>
      <c r="I41" s="558" t="n">
        <v>2</v>
      </c>
      <c r="J41" s="533" t="n">
        <v>100000</v>
      </c>
      <c r="K41" s="538" t="n"/>
      <c r="L41" s="532" t="n"/>
      <c r="M41" s="546" t="n"/>
      <c r="R41" s="1091" t="n">
        <v>4</v>
      </c>
      <c r="S41" s="764" t="n">
        <v>0.24</v>
      </c>
      <c r="T41" s="12886" t="n">
        <v>103350</v>
      </c>
      <c r="U41" s="12886">
        <f>ROUND(BASE_D3+RATE_D3*(BOTT_D4-BOTT_D3),2)</f>
        <v/>
      </c>
      <c r="V41" s="706">
        <f>"plus "&amp;TEXT(S41,"0%")&amp;" of the excess over "&amp;TEXT(T41,"$0,000")</f>
        <v/>
      </c>
      <c r="W41" s="1095" t="n"/>
    </row>
    <row r="42" s="7635" thickBot="1">
      <c r="A42" s="625">
        <f>AVERAGE(B42,C42)</f>
        <v/>
      </c>
      <c r="B42" s="554" t="n">
        <v>950</v>
      </c>
      <c r="C42" s="554" t="n">
        <v>975</v>
      </c>
      <c r="D42" s="556">
        <f>IF($A42&gt;BOTT_A4,ROUND(BASE_A4+RATE_A4*($A42-BOTT_A4),0),IF($A42&gt;BOTT_A3,ROUND(BASE_A3+RATE_A3*($A42-BOTT_A3),0),IF($A42&gt;BOTT_A2,ROUND(BASE_A2+RATE_A2*($A42-BOTT_A2),0),ROUND(RATE_A1*$A42,0))))</f>
        <v/>
      </c>
      <c r="E42" s="556">
        <f>IF($A42&gt;BOTT_B4,ROUND(BASE_B4+RATE_B4*($A42-BOTT_B4),0),IF($A42&gt;BOTT_B3,ROUND(BASE_B3+RATE_B3*($A42-BOTT_B3),0),IF($A42&gt;BOTT_B2,ROUND(BASE_B2+RATE_B2*($A42-BOTT_B2),0),ROUND(RATE_B1*$A42,0))))</f>
        <v/>
      </c>
      <c r="F42" s="556">
        <f>IF($A42&gt;BOTT_C4,ROUND(BASE_C4+RATE_C4*($A42-BOTT_C4),0),IF($A42&gt;BOTT_C3,ROUND(BASE_C3+RATE_C3*($A42-BOTT_C3),0),IF($A42&gt;BOTT_C2,ROUND(BASE_C2+RATE_C2*($A42-BOTT_C2),0),ROUND(RATE_C1*$A42,0))))</f>
        <v/>
      </c>
      <c r="G42" s="556">
        <f>IF($A42&gt;BOTT_D4,ROUND(BASE_D4+RATE_D4*($A42-BOTT_D4),0),IF($A42&gt;BOTT_D3,ROUND(BASE_D3+RATE_D3*($A42-BOTT_D3),0),IF($A42&gt;BOTT_D2,ROUND(BASE_D2+RATE_D2*($A42-BOTT_D2),0),ROUND(RATE_D1*$A42,0))))</f>
        <v/>
      </c>
      <c r="H42" s="576" t="n"/>
      <c r="I42" s="558" t="n">
        <v>3</v>
      </c>
      <c r="J42" s="533">
        <f>BOTT_D4</f>
        <v/>
      </c>
      <c r="K42" s="538">
        <f>RATE_D3*100</f>
        <v/>
      </c>
      <c r="L42" s="532">
        <f>P42</f>
        <v/>
      </c>
      <c r="M42" s="546" t="n"/>
      <c r="N42" s="637">
        <f>BOTT_D3*RATE_D3</f>
        <v/>
      </c>
      <c r="O42" s="637">
        <f>BASE_D3</f>
        <v/>
      </c>
      <c r="P42" s="637">
        <f>SUM(N42,-O42)</f>
        <v/>
      </c>
      <c r="R42" s="1091" t="n">
        <v>5</v>
      </c>
      <c r="S42" s="763" t="n">
        <v>0.32</v>
      </c>
      <c r="T42" s="12885" t="n">
        <v>197300</v>
      </c>
      <c r="U42" s="12885">
        <f>ROUND(BASE_D4+RATE_D4*(BOTT_D5-BOTT_D4),2)</f>
        <v/>
      </c>
      <c r="V42" s="705">
        <f>"plus "&amp;TEXT(S42,"0%")&amp;" of the excess over "&amp;TEXT(T42,"$0,000")</f>
        <v/>
      </c>
      <c r="W42" s="1095" t="n"/>
    </row>
    <row r="43" s="7635" thickBot="1">
      <c r="A43" s="625">
        <f>AVERAGE(B43,C43)</f>
        <v/>
      </c>
      <c r="B43" s="554" t="n">
        <v>975</v>
      </c>
      <c r="C43" s="555" t="n">
        <v>1000</v>
      </c>
      <c r="D43" s="556">
        <f>IF($A43&gt;BOTT_A4,ROUND(BASE_A4+RATE_A4*($A43-BOTT_A4),0),IF($A43&gt;BOTT_A3,ROUND(BASE_A3+RATE_A3*($A43-BOTT_A3),0),IF($A43&gt;BOTT_A2,ROUND(BASE_A2+RATE_A2*($A43-BOTT_A2),0),ROUND(RATE_A1*$A43,0))))</f>
        <v/>
      </c>
      <c r="E43" s="556">
        <f>IF($A43&gt;BOTT_B4,ROUND(BASE_B4+RATE_B4*($A43-BOTT_B4),0),IF($A43&gt;BOTT_B3,ROUND(BASE_B3+RATE_B3*($A43-BOTT_B3),0),IF($A43&gt;BOTT_B2,ROUND(BASE_B2+RATE_B2*($A43-BOTT_B2),0),ROUND(RATE_B1*$A43,0))))</f>
        <v/>
      </c>
      <c r="F43" s="556">
        <f>IF($A43&gt;BOTT_C4,ROUND(BASE_C4+RATE_C4*($A43-BOTT_C4),0),IF($A43&gt;BOTT_C3,ROUND(BASE_C3+RATE_C3*($A43-BOTT_C3),0),IF($A43&gt;BOTT_C2,ROUND(BASE_C2+RATE_C2*($A43-BOTT_C2),0),ROUND(RATE_C1*$A43,0))))</f>
        <v/>
      </c>
      <c r="G43" s="556">
        <f>IF($A43&gt;BOTT_D4,ROUND(BASE_D4+RATE_D4*($A43-BOTT_D4),0),IF($A43&gt;BOTT_D3,ROUND(BASE_D3+RATE_D3*($A43-BOTT_D3),0),IF($A43&gt;BOTT_D2,ROUND(BASE_D2+RATE_D2*($A43-BOTT_D2),0),ROUND(RATE_D1*$A43,0))))</f>
        <v/>
      </c>
      <c r="H43" s="576" t="n"/>
      <c r="I43" s="558" t="n">
        <v>4</v>
      </c>
      <c r="J43" s="533">
        <f>BOTT_D5</f>
        <v/>
      </c>
      <c r="K43" s="538">
        <f>RATE_D4*100</f>
        <v/>
      </c>
      <c r="L43" s="532">
        <f>P43</f>
        <v/>
      </c>
      <c r="M43" s="546" t="n"/>
      <c r="N43" s="637">
        <f>BOTT_D4*RATE_D4</f>
        <v/>
      </c>
      <c r="O43" s="637">
        <f>BASE_D4</f>
        <v/>
      </c>
      <c r="P43" s="637">
        <f>SUM(N43,-O43)</f>
        <v/>
      </c>
      <c r="R43" s="1091" t="n">
        <v>6</v>
      </c>
      <c r="S43" s="764" t="n">
        <v>0.35</v>
      </c>
      <c r="T43" s="12886" t="n">
        <v>250500</v>
      </c>
      <c r="U43" s="12886">
        <f>ROUND(BASE_D5+RATE_D5*(BOTT_D6-BOTT_D5),2)</f>
        <v/>
      </c>
      <c r="V43" s="706">
        <f>"plus "&amp;TEXT(S43,"0%")&amp;" of the excess over "&amp;TEXT(T43,"$0,000")</f>
        <v/>
      </c>
      <c r="W43" s="1095" t="n"/>
    </row>
    <row r="44" s="7635" thickBot="1">
      <c r="A44" s="625">
        <f>AVERAGE(B44,C44)</f>
        <v/>
      </c>
      <c r="B44" s="555" t="n">
        <v>1000</v>
      </c>
      <c r="C44" s="555" t="n">
        <v>1025</v>
      </c>
      <c r="D44" s="556">
        <f>IF($A44&gt;BOTT_A4,ROUND(BASE_A4+RATE_A4*($A44-BOTT_A4),0),IF($A44&gt;BOTT_A3,ROUND(BASE_A3+RATE_A3*($A44-BOTT_A3),0),IF($A44&gt;BOTT_A2,ROUND(BASE_A2+RATE_A2*($A44-BOTT_A2),0),ROUND(RATE_A1*$A44,0))))</f>
        <v/>
      </c>
      <c r="E44" s="556">
        <f>IF($A44&gt;BOTT_B4,ROUND(BASE_B4+RATE_B4*($A44-BOTT_B4),0),IF($A44&gt;BOTT_B3,ROUND(BASE_B3+RATE_B3*($A44-BOTT_B3),0),IF($A44&gt;BOTT_B2,ROUND(BASE_B2+RATE_B2*($A44-BOTT_B2),0),ROUND(RATE_B1*$A44,0))))</f>
        <v/>
      </c>
      <c r="F44" s="556">
        <f>IF($A44&gt;BOTT_C4,ROUND(BASE_C4+RATE_C4*($A44-BOTT_C4),0),IF($A44&gt;BOTT_C3,ROUND(BASE_C3+RATE_C3*($A44-BOTT_C3),0),IF($A44&gt;BOTT_C2,ROUND(BASE_C2+RATE_C2*($A44-BOTT_C2),0),ROUND(RATE_C1*$A44,0))))</f>
        <v/>
      </c>
      <c r="G44" s="556">
        <f>IF($A44&gt;BOTT_D4,ROUND(BASE_D4+RATE_D4*($A44-BOTT_D4),0),IF($A44&gt;BOTT_D3,ROUND(BASE_D3+RATE_D3*($A44-BOTT_D3),0),IF($A44&gt;BOTT_D2,ROUND(BASE_D2+RATE_D2*($A44-BOTT_D2),0),ROUND(RATE_D1*$A44,0))))</f>
        <v/>
      </c>
      <c r="H44" s="576" t="n"/>
      <c r="I44" s="558" t="n">
        <v>5</v>
      </c>
      <c r="J44" s="533">
        <f>BOTT_D6</f>
        <v/>
      </c>
      <c r="K44" s="538">
        <f>RATE_D5*100</f>
        <v/>
      </c>
      <c r="L44" s="532">
        <f>P44</f>
        <v/>
      </c>
      <c r="M44" s="546" t="n"/>
      <c r="N44" s="637">
        <f>BOTT_D5*RATE_D5</f>
        <v/>
      </c>
      <c r="O44" s="637">
        <f>BASE_D5</f>
        <v/>
      </c>
      <c r="P44" s="637">
        <f>SUM(N44,-O44)</f>
        <v/>
      </c>
      <c r="R44" s="1091" t="n">
        <v>7</v>
      </c>
      <c r="S44" s="763" t="n">
        <v>0.37</v>
      </c>
      <c r="T44" s="12885" t="n">
        <v>626350</v>
      </c>
      <c r="U44" s="12885">
        <f>ROUND(BASE_D6+RATE_D6*(BOTT_D7-BOTT_D6),2)</f>
        <v/>
      </c>
      <c r="V44" s="705">
        <f>"plus "&amp;TEXT(S44,"0%")&amp;" of the excess over "&amp;TEXT(T44,"$0,000")</f>
        <v/>
      </c>
      <c r="W44" s="1095" t="n"/>
    </row>
    <row r="45" s="7635" thickBot="1">
      <c r="A45" s="625">
        <f>AVERAGE(B45,C45)</f>
        <v/>
      </c>
      <c r="B45" s="555" t="n">
        <v>1025</v>
      </c>
      <c r="C45" s="555" t="n">
        <v>1050</v>
      </c>
      <c r="D45" s="556">
        <f>IF($A45&gt;BOTT_A4,ROUND(BASE_A4+RATE_A4*($A45-BOTT_A4),0),IF($A45&gt;BOTT_A3,ROUND(BASE_A3+RATE_A3*($A45-BOTT_A3),0),IF($A45&gt;BOTT_A2,ROUND(BASE_A2+RATE_A2*($A45-BOTT_A2),0),ROUND(RATE_A1*$A45,0))))</f>
        <v/>
      </c>
      <c r="E45" s="556">
        <f>IF($A45&gt;BOTT_B4,ROUND(BASE_B4+RATE_B4*($A45-BOTT_B4),0),IF($A45&gt;BOTT_B3,ROUND(BASE_B3+RATE_B3*($A45-BOTT_B3),0),IF($A45&gt;BOTT_B2,ROUND(BASE_B2+RATE_B2*($A45-BOTT_B2),0),ROUND(RATE_B1*$A45,0))))</f>
        <v/>
      </c>
      <c r="F45" s="556">
        <f>IF($A45&gt;BOTT_C4,ROUND(BASE_C4+RATE_C4*($A45-BOTT_C4),0),IF($A45&gt;BOTT_C3,ROUND(BASE_C3+RATE_C3*($A45-BOTT_C3),0),IF($A45&gt;BOTT_C2,ROUND(BASE_C2+RATE_C2*($A45-BOTT_C2),0),ROUND(RATE_C1*$A45,0))))</f>
        <v/>
      </c>
      <c r="G45" s="556">
        <f>IF($A45&gt;BOTT_D4,ROUND(BASE_D4+RATE_D4*($A45-BOTT_D4),0),IF($A45&gt;BOTT_D3,ROUND(BASE_D3+RATE_D3*($A45-BOTT_D3),0),IF($A45&gt;BOTT_D2,ROUND(BASE_D2+RATE_D2*($A45-BOTT_D2),0),ROUND(RATE_D1*$A45,0))))</f>
        <v/>
      </c>
      <c r="H45" s="576" t="n"/>
      <c r="I45" s="558" t="n">
        <v>6</v>
      </c>
      <c r="J45" s="533">
        <f>BOTT_D7</f>
        <v/>
      </c>
      <c r="K45" s="538">
        <f>RATE_D6*100</f>
        <v/>
      </c>
      <c r="L45" s="532">
        <f>P45</f>
        <v/>
      </c>
      <c r="M45" s="546" t="n"/>
      <c r="N45" s="637">
        <f>BOTT_D6*RATE_D6</f>
        <v/>
      </c>
      <c r="O45" s="637">
        <f>BASE_D6</f>
        <v/>
      </c>
      <c r="P45" s="637">
        <f>SUM(N45,-O45)</f>
        <v/>
      </c>
      <c r="R45" s="1100" t="n"/>
      <c r="S45" s="1101" t="n"/>
      <c r="T45" s="1102" t="n"/>
      <c r="U45" s="1103" t="n"/>
      <c r="V45" s="1102" t="n"/>
      <c r="W45" s="1104" t="n"/>
    </row>
    <row r="46" ht="15.75" customHeight="1" s="7635">
      <c r="A46" s="625">
        <f>AVERAGE(B46,C46)</f>
        <v/>
      </c>
      <c r="B46" s="555" t="n">
        <v>1050</v>
      </c>
      <c r="C46" s="555" t="n">
        <v>1075</v>
      </c>
      <c r="D46" s="556">
        <f>IF($A46&gt;BOTT_A4,ROUND(BASE_A4+RATE_A4*($A46-BOTT_A4),0),IF($A46&gt;BOTT_A3,ROUND(BASE_A3+RATE_A3*($A46-BOTT_A3),0),IF($A46&gt;BOTT_A2,ROUND(BASE_A2+RATE_A2*($A46-BOTT_A2),0),ROUND(RATE_A1*$A46,0))))</f>
        <v/>
      </c>
      <c r="E46" s="556">
        <f>IF($A46&gt;BOTT_B4,ROUND(BASE_B4+RATE_B4*($A46-BOTT_B4),0),IF($A46&gt;BOTT_B3,ROUND(BASE_B3+RATE_B3*($A46-BOTT_B3),0),IF($A46&gt;BOTT_B2,ROUND(BASE_B2+RATE_B2*($A46-BOTT_B2),0),ROUND(RATE_B1*$A46,0))))</f>
        <v/>
      </c>
      <c r="F46" s="556">
        <f>IF($A46&gt;BOTT_C4,ROUND(BASE_C4+RATE_C4*($A46-BOTT_C4),0),IF($A46&gt;BOTT_C3,ROUND(BASE_C3+RATE_C3*($A46-BOTT_C3),0),IF($A46&gt;BOTT_C2,ROUND(BASE_C2+RATE_C2*($A46-BOTT_C2),0),ROUND(RATE_C1*$A46,0))))</f>
        <v/>
      </c>
      <c r="G46" s="556">
        <f>IF($A46&gt;BOTT_D4,ROUND(BASE_D4+RATE_D4*($A46-BOTT_D4),0),IF($A46&gt;BOTT_D3,ROUND(BASE_D3+RATE_D3*($A46-BOTT_D3),0),IF($A46&gt;BOTT_D2,ROUND(BASE_D2+RATE_D2*($A46-BOTT_D2),0),ROUND(RATE_D1*$A46,0))))</f>
        <v/>
      </c>
      <c r="H46" s="576" t="n"/>
      <c r="I46" s="558" t="n">
        <v>7</v>
      </c>
      <c r="J46" s="535" t="n"/>
      <c r="K46" s="539">
        <f>RATE_D7*100</f>
        <v/>
      </c>
      <c r="L46" s="536">
        <f>P46</f>
        <v/>
      </c>
      <c r="M46" s="546" t="n"/>
      <c r="N46" s="637">
        <f>BOTT_D7*RATE_D7</f>
        <v/>
      </c>
      <c r="O46" s="637">
        <f>BASE_D7</f>
        <v/>
      </c>
      <c r="P46" s="637">
        <f>SUM(N46,-O46)</f>
        <v/>
      </c>
    </row>
    <row r="47" s="7635" thickBot="1">
      <c r="A47" s="625">
        <f>AVERAGE(B47,C47)</f>
        <v/>
      </c>
      <c r="B47" s="555" t="n">
        <v>1075</v>
      </c>
      <c r="C47" s="555" t="n">
        <v>1100</v>
      </c>
      <c r="D47" s="556">
        <f>IF($A47&gt;BOTT_A4,ROUND(BASE_A4+RATE_A4*($A47-BOTT_A4),0),IF($A47&gt;BOTT_A3,ROUND(BASE_A3+RATE_A3*($A47-BOTT_A3),0),IF($A47&gt;BOTT_A2,ROUND(BASE_A2+RATE_A2*($A47-BOTT_A2),0),ROUND(RATE_A1*$A47,0))))</f>
        <v/>
      </c>
      <c r="E47" s="556">
        <f>IF($A47&gt;BOTT_B4,ROUND(BASE_B4+RATE_B4*($A47-BOTT_B4),0),IF($A47&gt;BOTT_B3,ROUND(BASE_B3+RATE_B3*($A47-BOTT_B3),0),IF($A47&gt;BOTT_B2,ROUND(BASE_B2+RATE_B2*($A47-BOTT_B2),0),ROUND(RATE_B1*$A47,0))))</f>
        <v/>
      </c>
      <c r="F47" s="556">
        <f>IF($A47&gt;BOTT_C4,ROUND(BASE_C4+RATE_C4*($A47-BOTT_C4),0),IF($A47&gt;BOTT_C3,ROUND(BASE_C3+RATE_C3*($A47-BOTT_C3),0),IF($A47&gt;BOTT_C2,ROUND(BASE_C2+RATE_C2*($A47-BOTT_C2),0),ROUND(RATE_C1*$A47,0))))</f>
        <v/>
      </c>
      <c r="G47" s="556">
        <f>IF($A47&gt;BOTT_D4,ROUND(BASE_D4+RATE_D4*($A47-BOTT_D4),0),IF($A47&gt;BOTT_D3,ROUND(BASE_D3+RATE_D3*($A47-BOTT_D3),0),IF($A47&gt;BOTT_D2,ROUND(BASE_D2+RATE_D2*($A47-BOTT_D2),0),ROUND(RATE_D1*$A47,0))))</f>
        <v/>
      </c>
      <c r="I47" s="560" t="n"/>
      <c r="J47" s="550" t="n"/>
      <c r="K47" s="550" t="n"/>
      <c r="L47" s="550" t="n"/>
      <c r="M47" s="551" t="n"/>
    </row>
    <row r="48" s="7635" thickTop="1">
      <c r="A48" s="625">
        <f>AVERAGE(B48,C48)</f>
        <v/>
      </c>
      <c r="B48" s="555" t="n">
        <v>1100</v>
      </c>
      <c r="C48" s="555" t="n">
        <v>1125</v>
      </c>
      <c r="D48" s="556">
        <f>IF($A48&gt;BOTT_A4,ROUND(BASE_A4+RATE_A4*($A48-BOTT_A4),0),IF($A48&gt;BOTT_A3,ROUND(BASE_A3+RATE_A3*($A48-BOTT_A3),0),IF($A48&gt;BOTT_A2,ROUND(BASE_A2+RATE_A2*($A48-BOTT_A2),0),ROUND(RATE_A1*$A48,0))))</f>
        <v/>
      </c>
      <c r="E48" s="556">
        <f>IF($A48&gt;BOTT_B4,ROUND(BASE_B4+RATE_B4*($A48-BOTT_B4),0),IF($A48&gt;BOTT_B3,ROUND(BASE_B3+RATE_B3*($A48-BOTT_B3),0),IF($A48&gt;BOTT_B2,ROUND(BASE_B2+RATE_B2*($A48-BOTT_B2),0),ROUND(RATE_B1*$A48,0))))</f>
        <v/>
      </c>
      <c r="F48" s="556">
        <f>IF($A48&gt;BOTT_C4,ROUND(BASE_C4+RATE_C4*($A48-BOTT_C4),0),IF($A48&gt;BOTT_C3,ROUND(BASE_C3+RATE_C3*($A48-BOTT_C3),0),IF($A48&gt;BOTT_C2,ROUND(BASE_C2+RATE_C2*($A48-BOTT_C2),0),ROUND(RATE_C1*$A48,0))))</f>
        <v/>
      </c>
      <c r="G48" s="556">
        <f>IF($A48&gt;BOTT_D4,ROUND(BASE_D4+RATE_D4*($A48-BOTT_D4),0),IF($A48&gt;BOTT_D3,ROUND(BASE_D3+RATE_D3*($A48-BOTT_D3),0),IF($A48&gt;BOTT_D2,ROUND(BASE_D2+RATE_D2*($A48-BOTT_D2),0),ROUND(RATE_D1*$A48,0))))</f>
        <v/>
      </c>
    </row>
    <row r="49" ht="15.75" customHeight="1" s="7635">
      <c r="A49" s="625">
        <f>AVERAGE(B49,C49)</f>
        <v/>
      </c>
      <c r="B49" s="555" t="n">
        <v>1125</v>
      </c>
      <c r="C49" s="555" t="n">
        <v>1150</v>
      </c>
      <c r="D49" s="556">
        <f>IF($A49&gt;BOTT_A4,ROUND(BASE_A4+RATE_A4*($A49-BOTT_A4),0),IF($A49&gt;BOTT_A3,ROUND(BASE_A3+RATE_A3*($A49-BOTT_A3),0),IF($A49&gt;BOTT_A2,ROUND(BASE_A2+RATE_A2*($A49-BOTT_A2),0),ROUND(RATE_A1*$A49,0))))</f>
        <v/>
      </c>
      <c r="E49" s="556">
        <f>IF($A49&gt;BOTT_B4,ROUND(BASE_B4+RATE_B4*($A49-BOTT_B4),0),IF($A49&gt;BOTT_B3,ROUND(BASE_B3+RATE_B3*($A49-BOTT_B3),0),IF($A49&gt;BOTT_B2,ROUND(BASE_B2+RATE_B2*($A49-BOTT_B2),0),ROUND(RATE_B1*$A49,0))))</f>
        <v/>
      </c>
      <c r="F49" s="556">
        <f>IF($A49&gt;BOTT_C4,ROUND(BASE_C4+RATE_C4*($A49-BOTT_C4),0),IF($A49&gt;BOTT_C3,ROUND(BASE_C3+RATE_C3*($A49-BOTT_C3),0),IF($A49&gt;BOTT_C2,ROUND(BASE_C2+RATE_C2*($A49-BOTT_C2),0),ROUND(RATE_C1*$A49,0))))</f>
        <v/>
      </c>
      <c r="G49" s="556">
        <f>IF($A49&gt;BOTT_D4,ROUND(BASE_D4+RATE_D4*($A49-BOTT_D4),0),IF($A49&gt;BOTT_D3,ROUND(BASE_D3+RATE_D3*($A49-BOTT_D3),0),IF($A49&gt;BOTT_D2,ROUND(BASE_D2+RATE_D2*($A49-BOTT_D2),0),ROUND(RATE_D1*$A49,0))))</f>
        <v/>
      </c>
    </row>
    <row r="50" ht="15.75" customHeight="1" s="7635">
      <c r="A50" s="625">
        <f>AVERAGE(B50,C50)</f>
        <v/>
      </c>
      <c r="B50" s="555" t="n">
        <v>1150</v>
      </c>
      <c r="C50" s="555" t="n">
        <v>1175</v>
      </c>
      <c r="D50" s="556">
        <f>IF($A50&gt;BOTT_A4,ROUND(BASE_A4+RATE_A4*($A50-BOTT_A4),0),IF($A50&gt;BOTT_A3,ROUND(BASE_A3+RATE_A3*($A50-BOTT_A3),0),IF($A50&gt;BOTT_A2,ROUND(BASE_A2+RATE_A2*($A50-BOTT_A2),0),ROUND(RATE_A1*$A50,0))))</f>
        <v/>
      </c>
      <c r="E50" s="556">
        <f>IF($A50&gt;BOTT_B4,ROUND(BASE_B4+RATE_B4*($A50-BOTT_B4),0),IF($A50&gt;BOTT_B3,ROUND(BASE_B3+RATE_B3*($A50-BOTT_B3),0),IF($A50&gt;BOTT_B2,ROUND(BASE_B2+RATE_B2*($A50-BOTT_B2),0),ROUND(RATE_B1*$A50,0))))</f>
        <v/>
      </c>
      <c r="F50" s="556">
        <f>IF($A50&gt;BOTT_C4,ROUND(BASE_C4+RATE_C4*($A50-BOTT_C4),0),IF($A50&gt;BOTT_C3,ROUND(BASE_C3+RATE_C3*($A50-BOTT_C3),0),IF($A50&gt;BOTT_C2,ROUND(BASE_C2+RATE_C2*($A50-BOTT_C2),0),ROUND(RATE_C1*$A50,0))))</f>
        <v/>
      </c>
      <c r="G50" s="556">
        <f>IF($A50&gt;BOTT_D4,ROUND(BASE_D4+RATE_D4*($A50-BOTT_D4),0),IF($A50&gt;BOTT_D3,ROUND(BASE_D3+RATE_D3*($A50-BOTT_D3),0),IF($A50&gt;BOTT_D2,ROUND(BASE_D2+RATE_D2*($A50-BOTT_D2),0),ROUND(RATE_D1*$A50,0))))</f>
        <v/>
      </c>
    </row>
    <row r="51" ht="15.75" customHeight="1" s="7635">
      <c r="A51" s="625">
        <f>AVERAGE(B51,C51)</f>
        <v/>
      </c>
      <c r="B51" s="555" t="n">
        <v>1175</v>
      </c>
      <c r="C51" s="555" t="n">
        <v>1200</v>
      </c>
      <c r="D51" s="556">
        <f>IF($A51&gt;BOTT_A4,ROUND(BASE_A4+RATE_A4*($A51-BOTT_A4),0),IF($A51&gt;BOTT_A3,ROUND(BASE_A3+RATE_A3*($A51-BOTT_A3),0),IF($A51&gt;BOTT_A2,ROUND(BASE_A2+RATE_A2*($A51-BOTT_A2),0),ROUND(RATE_A1*$A51,0))))</f>
        <v/>
      </c>
      <c r="E51" s="556">
        <f>IF($A51&gt;BOTT_B4,ROUND(BASE_B4+RATE_B4*($A51-BOTT_B4),0),IF($A51&gt;BOTT_B3,ROUND(BASE_B3+RATE_B3*($A51-BOTT_B3),0),IF($A51&gt;BOTT_B2,ROUND(BASE_B2+RATE_B2*($A51-BOTT_B2),0),ROUND(RATE_B1*$A51,0))))</f>
        <v/>
      </c>
      <c r="F51" s="556">
        <f>IF($A51&gt;BOTT_C4,ROUND(BASE_C4+RATE_C4*($A51-BOTT_C4),0),IF($A51&gt;BOTT_C3,ROUND(BASE_C3+RATE_C3*($A51-BOTT_C3),0),IF($A51&gt;BOTT_C2,ROUND(BASE_C2+RATE_C2*($A51-BOTT_C2),0),ROUND(RATE_C1*$A51,0))))</f>
        <v/>
      </c>
      <c r="G51" s="556">
        <f>IF($A51&gt;BOTT_D4,ROUND(BASE_D4+RATE_D4*($A51-BOTT_D4),0),IF($A51&gt;BOTT_D3,ROUND(BASE_D3+RATE_D3*($A51-BOTT_D3),0),IF($A51&gt;BOTT_D2,ROUND(BASE_D2+RATE_D2*($A51-BOTT_D2),0),ROUND(RATE_D1*$A51,0))))</f>
        <v/>
      </c>
    </row>
    <row r="52" ht="15.75" customHeight="1" s="7635">
      <c r="A52" s="625">
        <f>AVERAGE(B52,C52)</f>
        <v/>
      </c>
      <c r="B52" s="555" t="n">
        <v>1200</v>
      </c>
      <c r="C52" s="555" t="n">
        <v>1225</v>
      </c>
      <c r="D52" s="556">
        <f>IF($A52&gt;BOTT_A4,ROUND(BASE_A4+RATE_A4*($A52-BOTT_A4),0),IF($A52&gt;BOTT_A3,ROUND(BASE_A3+RATE_A3*($A52-BOTT_A3),0),IF($A52&gt;BOTT_A2,ROUND(BASE_A2+RATE_A2*($A52-BOTT_A2),0),ROUND(RATE_A1*$A52,0))))</f>
        <v/>
      </c>
      <c r="E52" s="556">
        <f>IF($A52&gt;BOTT_B4,ROUND(BASE_B4+RATE_B4*($A52-BOTT_B4),0),IF($A52&gt;BOTT_B3,ROUND(BASE_B3+RATE_B3*($A52-BOTT_B3),0),IF($A52&gt;BOTT_B2,ROUND(BASE_B2+RATE_B2*($A52-BOTT_B2),0),ROUND(RATE_B1*$A52,0))))</f>
        <v/>
      </c>
      <c r="F52" s="556">
        <f>IF($A52&gt;BOTT_C4,ROUND(BASE_C4+RATE_C4*($A52-BOTT_C4),0),IF($A52&gt;BOTT_C3,ROUND(BASE_C3+RATE_C3*($A52-BOTT_C3),0),IF($A52&gt;BOTT_C2,ROUND(BASE_C2+RATE_C2*($A52-BOTT_C2),0),ROUND(RATE_C1*$A52,0))))</f>
        <v/>
      </c>
      <c r="G52" s="556">
        <f>IF($A52&gt;BOTT_D4,ROUND(BASE_D4+RATE_D4*($A52-BOTT_D4),0),IF($A52&gt;BOTT_D3,ROUND(BASE_D3+RATE_D3*($A52-BOTT_D3),0),IF($A52&gt;BOTT_D2,ROUND(BASE_D2+RATE_D2*($A52-BOTT_D2),0),ROUND(RATE_D1*$A52,0))))</f>
        <v/>
      </c>
    </row>
    <row r="53" ht="15.75" customHeight="1" s="7635">
      <c r="A53" s="625">
        <f>AVERAGE(B53,C53)</f>
        <v/>
      </c>
      <c r="B53" s="555" t="n">
        <v>1225</v>
      </c>
      <c r="C53" s="555" t="n">
        <v>1250</v>
      </c>
      <c r="D53" s="556">
        <f>IF($A53&gt;BOTT_A4,ROUND(BASE_A4+RATE_A4*($A53-BOTT_A4),0),IF($A53&gt;BOTT_A3,ROUND(BASE_A3+RATE_A3*($A53-BOTT_A3),0),IF($A53&gt;BOTT_A2,ROUND(BASE_A2+RATE_A2*($A53-BOTT_A2),0),ROUND(RATE_A1*$A53,0))))</f>
        <v/>
      </c>
      <c r="E53" s="556">
        <f>IF($A53&gt;BOTT_B4,ROUND(BASE_B4+RATE_B4*($A53-BOTT_B4),0),IF($A53&gt;BOTT_B3,ROUND(BASE_B3+RATE_B3*($A53-BOTT_B3),0),IF($A53&gt;BOTT_B2,ROUND(BASE_B2+RATE_B2*($A53-BOTT_B2),0),ROUND(RATE_B1*$A53,0))))</f>
        <v/>
      </c>
      <c r="F53" s="556">
        <f>IF($A53&gt;BOTT_C4,ROUND(BASE_C4+RATE_C4*($A53-BOTT_C4),0),IF($A53&gt;BOTT_C3,ROUND(BASE_C3+RATE_C3*($A53-BOTT_C3),0),IF($A53&gt;BOTT_C2,ROUND(BASE_C2+RATE_C2*($A53-BOTT_C2),0),ROUND(RATE_C1*$A53,0))))</f>
        <v/>
      </c>
      <c r="G53" s="556">
        <f>IF($A53&gt;BOTT_D4,ROUND(BASE_D4+RATE_D4*($A53-BOTT_D4),0),IF($A53&gt;BOTT_D3,ROUND(BASE_D3+RATE_D3*($A53-BOTT_D3),0),IF($A53&gt;BOTT_D2,ROUND(BASE_D2+RATE_D2*($A53-BOTT_D2),0),ROUND(RATE_D1*$A53,0))))</f>
        <v/>
      </c>
    </row>
    <row r="54" ht="15.75" customHeight="1" s="7635">
      <c r="A54" s="625">
        <f>AVERAGE(B54,C54)</f>
        <v/>
      </c>
      <c r="B54" s="555" t="n">
        <v>1250</v>
      </c>
      <c r="C54" s="555" t="n">
        <v>1275</v>
      </c>
      <c r="D54" s="556">
        <f>IF($A54&gt;BOTT_A4,ROUND(BASE_A4+RATE_A4*($A54-BOTT_A4),0),IF($A54&gt;BOTT_A3,ROUND(BASE_A3+RATE_A3*($A54-BOTT_A3),0),IF($A54&gt;BOTT_A2,ROUND(BASE_A2+RATE_A2*($A54-BOTT_A2),0),ROUND(RATE_A1*$A54,0))))</f>
        <v/>
      </c>
      <c r="E54" s="556">
        <f>IF($A54&gt;BOTT_B4,ROUND(BASE_B4+RATE_B4*($A54-BOTT_B4),0),IF($A54&gt;BOTT_B3,ROUND(BASE_B3+RATE_B3*($A54-BOTT_B3),0),IF($A54&gt;BOTT_B2,ROUND(BASE_B2+RATE_B2*($A54-BOTT_B2),0),ROUND(RATE_B1*$A54,0))))</f>
        <v/>
      </c>
      <c r="F54" s="556">
        <f>IF($A54&gt;BOTT_C4,ROUND(BASE_C4+RATE_C4*($A54-BOTT_C4),0),IF($A54&gt;BOTT_C3,ROUND(BASE_C3+RATE_C3*($A54-BOTT_C3),0),IF($A54&gt;BOTT_C2,ROUND(BASE_C2+RATE_C2*($A54-BOTT_C2),0),ROUND(RATE_C1*$A54,0))))</f>
        <v/>
      </c>
      <c r="G54" s="556">
        <f>IF($A54&gt;BOTT_D4,ROUND(BASE_D4+RATE_D4*($A54-BOTT_D4),0),IF($A54&gt;BOTT_D3,ROUND(BASE_D3+RATE_D3*($A54-BOTT_D3),0),IF($A54&gt;BOTT_D2,ROUND(BASE_D2+RATE_D2*($A54-BOTT_D2),0),ROUND(RATE_D1*$A54,0))))</f>
        <v/>
      </c>
    </row>
    <row r="55" ht="15.75" customHeight="1" s="7635">
      <c r="A55" s="625">
        <f>AVERAGE(B55,C55)</f>
        <v/>
      </c>
      <c r="B55" s="555" t="n">
        <v>1275</v>
      </c>
      <c r="C55" s="555" t="n">
        <v>1300</v>
      </c>
      <c r="D55" s="556">
        <f>IF($A55&gt;BOTT_A4,ROUND(BASE_A4+RATE_A4*($A55-BOTT_A4),0),IF($A55&gt;BOTT_A3,ROUND(BASE_A3+RATE_A3*($A55-BOTT_A3),0),IF($A55&gt;BOTT_A2,ROUND(BASE_A2+RATE_A2*($A55-BOTT_A2),0),ROUND(RATE_A1*$A55,0))))</f>
        <v/>
      </c>
      <c r="E55" s="556">
        <f>IF($A55&gt;BOTT_B4,ROUND(BASE_B4+RATE_B4*($A55-BOTT_B4),0),IF($A55&gt;BOTT_B3,ROUND(BASE_B3+RATE_B3*($A55-BOTT_B3),0),IF($A55&gt;BOTT_B2,ROUND(BASE_B2+RATE_B2*($A55-BOTT_B2),0),ROUND(RATE_B1*$A55,0))))</f>
        <v/>
      </c>
      <c r="F55" s="556">
        <f>IF($A55&gt;BOTT_C4,ROUND(BASE_C4+RATE_C4*($A55-BOTT_C4),0),IF($A55&gt;BOTT_C3,ROUND(BASE_C3+RATE_C3*($A55-BOTT_C3),0),IF($A55&gt;BOTT_C2,ROUND(BASE_C2+RATE_C2*($A55-BOTT_C2),0),ROUND(RATE_C1*$A55,0))))</f>
        <v/>
      </c>
      <c r="G55" s="556">
        <f>IF($A55&gt;BOTT_D4,ROUND(BASE_D4+RATE_D4*($A55-BOTT_D4),0),IF($A55&gt;BOTT_D3,ROUND(BASE_D3+RATE_D3*($A55-BOTT_D3),0),IF($A55&gt;BOTT_D2,ROUND(BASE_D2+RATE_D2*($A55-BOTT_D2),0),ROUND(RATE_D1*$A55,0))))</f>
        <v/>
      </c>
    </row>
    <row r="56" ht="15.75" customHeight="1" s="7635">
      <c r="A56" s="625">
        <f>AVERAGE(B56,C56)</f>
        <v/>
      </c>
      <c r="B56" s="555" t="n">
        <v>1300</v>
      </c>
      <c r="C56" s="555" t="n">
        <v>1325</v>
      </c>
      <c r="D56" s="556">
        <f>IF($A56&gt;BOTT_A4,ROUND(BASE_A4+RATE_A4*($A56-BOTT_A4),0),IF($A56&gt;BOTT_A3,ROUND(BASE_A3+RATE_A3*($A56-BOTT_A3),0),IF($A56&gt;BOTT_A2,ROUND(BASE_A2+RATE_A2*($A56-BOTT_A2),0),ROUND(RATE_A1*$A56,0))))</f>
        <v/>
      </c>
      <c r="E56" s="556">
        <f>IF($A56&gt;BOTT_B4,ROUND(BASE_B4+RATE_B4*($A56-BOTT_B4),0),IF($A56&gt;BOTT_B3,ROUND(BASE_B3+RATE_B3*($A56-BOTT_B3),0),IF($A56&gt;BOTT_B2,ROUND(BASE_B2+RATE_B2*($A56-BOTT_B2),0),ROUND(RATE_B1*$A56,0))))</f>
        <v/>
      </c>
      <c r="F56" s="556">
        <f>IF($A56&gt;BOTT_C4,ROUND(BASE_C4+RATE_C4*($A56-BOTT_C4),0),IF($A56&gt;BOTT_C3,ROUND(BASE_C3+RATE_C3*($A56-BOTT_C3),0),IF($A56&gt;BOTT_C2,ROUND(BASE_C2+RATE_C2*($A56-BOTT_C2),0),ROUND(RATE_C1*$A56,0))))</f>
        <v/>
      </c>
      <c r="G56" s="556">
        <f>IF($A56&gt;BOTT_D4,ROUND(BASE_D4+RATE_D4*($A56-BOTT_D4),0),IF($A56&gt;BOTT_D3,ROUND(BASE_D3+RATE_D3*($A56-BOTT_D3),0),IF($A56&gt;BOTT_D2,ROUND(BASE_D2+RATE_D2*($A56-BOTT_D2),0),ROUND(RATE_D1*$A56,0))))</f>
        <v/>
      </c>
    </row>
    <row r="57" ht="15.75" customHeight="1" s="7635">
      <c r="A57" s="625">
        <f>AVERAGE(B57,C57)</f>
        <v/>
      </c>
      <c r="B57" s="555" t="n">
        <v>1325</v>
      </c>
      <c r="C57" s="555" t="n">
        <v>1350</v>
      </c>
      <c r="D57" s="556">
        <f>IF($A57&gt;BOTT_A4,ROUND(BASE_A4+RATE_A4*($A57-BOTT_A4),0),IF($A57&gt;BOTT_A3,ROUND(BASE_A3+RATE_A3*($A57-BOTT_A3),0),IF($A57&gt;BOTT_A2,ROUND(BASE_A2+RATE_A2*($A57-BOTT_A2),0),ROUND(RATE_A1*$A57,0))))</f>
        <v/>
      </c>
      <c r="E57" s="556">
        <f>IF($A57&gt;BOTT_B4,ROUND(BASE_B4+RATE_B4*($A57-BOTT_B4),0),IF($A57&gt;BOTT_B3,ROUND(BASE_B3+RATE_B3*($A57-BOTT_B3),0),IF($A57&gt;BOTT_B2,ROUND(BASE_B2+RATE_B2*($A57-BOTT_B2),0),ROUND(RATE_B1*$A57,0))))</f>
        <v/>
      </c>
      <c r="F57" s="556">
        <f>IF($A57&gt;BOTT_C4,ROUND(BASE_C4+RATE_C4*($A57-BOTT_C4),0),IF($A57&gt;BOTT_C3,ROUND(BASE_C3+RATE_C3*($A57-BOTT_C3),0),IF($A57&gt;BOTT_C2,ROUND(BASE_C2+RATE_C2*($A57-BOTT_C2),0),ROUND(RATE_C1*$A57,0))))</f>
        <v/>
      </c>
      <c r="G57" s="556">
        <f>IF($A57&gt;BOTT_D4,ROUND(BASE_D4+RATE_D4*($A57-BOTT_D4),0),IF($A57&gt;BOTT_D3,ROUND(BASE_D3+RATE_D3*($A57-BOTT_D3),0),IF($A57&gt;BOTT_D2,ROUND(BASE_D2+RATE_D2*($A57-BOTT_D2),0),ROUND(RATE_D1*$A57,0))))</f>
        <v/>
      </c>
    </row>
    <row r="58" ht="15.75" customHeight="1" s="7635">
      <c r="A58" s="625">
        <f>AVERAGE(B58,C58)</f>
        <v/>
      </c>
      <c r="B58" s="555" t="n">
        <v>1350</v>
      </c>
      <c r="C58" s="555" t="n">
        <v>1375</v>
      </c>
      <c r="D58" s="556">
        <f>IF($A58&gt;BOTT_A4,ROUND(BASE_A4+RATE_A4*($A58-BOTT_A4),0),IF($A58&gt;BOTT_A3,ROUND(BASE_A3+RATE_A3*($A58-BOTT_A3),0),IF($A58&gt;BOTT_A2,ROUND(BASE_A2+RATE_A2*($A58-BOTT_A2),0),ROUND(RATE_A1*$A58,0))))</f>
        <v/>
      </c>
      <c r="E58" s="556">
        <f>IF($A58&gt;BOTT_B4,ROUND(BASE_B4+RATE_B4*($A58-BOTT_B4),0),IF($A58&gt;BOTT_B3,ROUND(BASE_B3+RATE_B3*($A58-BOTT_B3),0),IF($A58&gt;BOTT_B2,ROUND(BASE_B2+RATE_B2*($A58-BOTT_B2),0),ROUND(RATE_B1*$A58,0))))</f>
        <v/>
      </c>
      <c r="F58" s="556">
        <f>IF($A58&gt;BOTT_C4,ROUND(BASE_C4+RATE_C4*($A58-BOTT_C4),0),IF($A58&gt;BOTT_C3,ROUND(BASE_C3+RATE_C3*($A58-BOTT_C3),0),IF($A58&gt;BOTT_C2,ROUND(BASE_C2+RATE_C2*($A58-BOTT_C2),0),ROUND(RATE_C1*$A58,0))))</f>
        <v/>
      </c>
      <c r="G58" s="556">
        <f>IF($A58&gt;BOTT_D4,ROUND(BASE_D4+RATE_D4*($A58-BOTT_D4),0),IF($A58&gt;BOTT_D3,ROUND(BASE_D3+RATE_D3*($A58-BOTT_D3),0),IF($A58&gt;BOTT_D2,ROUND(BASE_D2+RATE_D2*($A58-BOTT_D2),0),ROUND(RATE_D1*$A58,0))))</f>
        <v/>
      </c>
    </row>
    <row r="59" ht="15.75" customHeight="1" s="7635">
      <c r="A59" s="625">
        <f>AVERAGE(B59,C59)</f>
        <v/>
      </c>
      <c r="B59" s="555" t="n">
        <v>1375</v>
      </c>
      <c r="C59" s="555" t="n">
        <v>1400</v>
      </c>
      <c r="D59" s="556">
        <f>IF($A59&gt;BOTT_A4,ROUND(BASE_A4+RATE_A4*($A59-BOTT_A4),0),IF($A59&gt;BOTT_A3,ROUND(BASE_A3+RATE_A3*($A59-BOTT_A3),0),IF($A59&gt;BOTT_A2,ROUND(BASE_A2+RATE_A2*($A59-BOTT_A2),0),ROUND(RATE_A1*$A59,0))))</f>
        <v/>
      </c>
      <c r="E59" s="556">
        <f>IF($A59&gt;BOTT_B4,ROUND(BASE_B4+RATE_B4*($A59-BOTT_B4),0),IF($A59&gt;BOTT_B3,ROUND(BASE_B3+RATE_B3*($A59-BOTT_B3),0),IF($A59&gt;BOTT_B2,ROUND(BASE_B2+RATE_B2*($A59-BOTT_B2),0),ROUND(RATE_B1*$A59,0))))</f>
        <v/>
      </c>
      <c r="F59" s="556">
        <f>IF($A59&gt;BOTT_C4,ROUND(BASE_C4+RATE_C4*($A59-BOTT_C4),0),IF($A59&gt;BOTT_C3,ROUND(BASE_C3+RATE_C3*($A59-BOTT_C3),0),IF($A59&gt;BOTT_C2,ROUND(BASE_C2+RATE_C2*($A59-BOTT_C2),0),ROUND(RATE_C1*$A59,0))))</f>
        <v/>
      </c>
      <c r="G59" s="556">
        <f>IF($A59&gt;BOTT_D4,ROUND(BASE_D4+RATE_D4*($A59-BOTT_D4),0),IF($A59&gt;BOTT_D3,ROUND(BASE_D3+RATE_D3*($A59-BOTT_D3),0),IF($A59&gt;BOTT_D2,ROUND(BASE_D2+RATE_D2*($A59-BOTT_D2),0),ROUND(RATE_D1*$A59,0))))</f>
        <v/>
      </c>
    </row>
    <row r="60" ht="15.75" customHeight="1" s="7635">
      <c r="A60" s="625">
        <f>AVERAGE(B60,C60)</f>
        <v/>
      </c>
      <c r="B60" s="555" t="n">
        <v>1400</v>
      </c>
      <c r="C60" s="555" t="n">
        <v>1425</v>
      </c>
      <c r="D60" s="556">
        <f>IF($A60&gt;BOTT_A4,ROUND(BASE_A4+RATE_A4*($A60-BOTT_A4),0),IF($A60&gt;BOTT_A3,ROUND(BASE_A3+RATE_A3*($A60-BOTT_A3),0),IF($A60&gt;BOTT_A2,ROUND(BASE_A2+RATE_A2*($A60-BOTT_A2),0),ROUND(RATE_A1*$A60,0))))</f>
        <v/>
      </c>
      <c r="E60" s="556">
        <f>IF($A60&gt;BOTT_B4,ROUND(BASE_B4+RATE_B4*($A60-BOTT_B4),0),IF($A60&gt;BOTT_B3,ROUND(BASE_B3+RATE_B3*($A60-BOTT_B3),0),IF($A60&gt;BOTT_B2,ROUND(BASE_B2+RATE_B2*($A60-BOTT_B2),0),ROUND(RATE_B1*$A60,0))))</f>
        <v/>
      </c>
      <c r="F60" s="556">
        <f>IF($A60&gt;BOTT_C4,ROUND(BASE_C4+RATE_C4*($A60-BOTT_C4),0),IF($A60&gt;BOTT_C3,ROUND(BASE_C3+RATE_C3*($A60-BOTT_C3),0),IF($A60&gt;BOTT_C2,ROUND(BASE_C2+RATE_C2*($A60-BOTT_C2),0),ROUND(RATE_C1*$A60,0))))</f>
        <v/>
      </c>
      <c r="G60" s="556">
        <f>IF($A60&gt;BOTT_D4,ROUND(BASE_D4+RATE_D4*($A60-BOTT_D4),0),IF($A60&gt;BOTT_D3,ROUND(BASE_D3+RATE_D3*($A60-BOTT_D3),0),IF($A60&gt;BOTT_D2,ROUND(BASE_D2+RATE_D2*($A60-BOTT_D2),0),ROUND(RATE_D1*$A60,0))))</f>
        <v/>
      </c>
    </row>
    <row r="61" ht="15.75" customHeight="1" s="7635">
      <c r="A61" s="625">
        <f>AVERAGE(B61,C61)</f>
        <v/>
      </c>
      <c r="B61" s="555" t="n">
        <v>1425</v>
      </c>
      <c r="C61" s="555" t="n">
        <v>1450</v>
      </c>
      <c r="D61" s="556">
        <f>IF($A61&gt;BOTT_A4,ROUND(BASE_A4+RATE_A4*($A61-BOTT_A4),0),IF($A61&gt;BOTT_A3,ROUND(BASE_A3+RATE_A3*($A61-BOTT_A3),0),IF($A61&gt;BOTT_A2,ROUND(BASE_A2+RATE_A2*($A61-BOTT_A2),0),ROUND(RATE_A1*$A61,0))))</f>
        <v/>
      </c>
      <c r="E61" s="556">
        <f>IF($A61&gt;BOTT_B4,ROUND(BASE_B4+RATE_B4*($A61-BOTT_B4),0),IF($A61&gt;BOTT_B3,ROUND(BASE_B3+RATE_B3*($A61-BOTT_B3),0),IF($A61&gt;BOTT_B2,ROUND(BASE_B2+RATE_B2*($A61-BOTT_B2),0),ROUND(RATE_B1*$A61,0))))</f>
        <v/>
      </c>
      <c r="F61" s="556">
        <f>IF($A61&gt;BOTT_C4,ROUND(BASE_C4+RATE_C4*($A61-BOTT_C4),0),IF($A61&gt;BOTT_C3,ROUND(BASE_C3+RATE_C3*($A61-BOTT_C3),0),IF($A61&gt;BOTT_C2,ROUND(BASE_C2+RATE_C2*($A61-BOTT_C2),0),ROUND(RATE_C1*$A61,0))))</f>
        <v/>
      </c>
      <c r="G61" s="556">
        <f>IF($A61&gt;BOTT_D4,ROUND(BASE_D4+RATE_D4*($A61-BOTT_D4),0),IF($A61&gt;BOTT_D3,ROUND(BASE_D3+RATE_D3*($A61-BOTT_D3),0),IF($A61&gt;BOTT_D2,ROUND(BASE_D2+RATE_D2*($A61-BOTT_D2),0),ROUND(RATE_D1*$A61,0))))</f>
        <v/>
      </c>
    </row>
    <row r="62" ht="15.75" customHeight="1" s="7635">
      <c r="A62" s="625">
        <f>AVERAGE(B62,C62)</f>
        <v/>
      </c>
      <c r="B62" s="555" t="n">
        <v>1450</v>
      </c>
      <c r="C62" s="555" t="n">
        <v>1475</v>
      </c>
      <c r="D62" s="556">
        <f>IF($A62&gt;BOTT_A4,ROUND(BASE_A4+RATE_A4*($A62-BOTT_A4),0),IF($A62&gt;BOTT_A3,ROUND(BASE_A3+RATE_A3*($A62-BOTT_A3),0),IF($A62&gt;BOTT_A2,ROUND(BASE_A2+RATE_A2*($A62-BOTT_A2),0),ROUND(RATE_A1*$A62,0))))</f>
        <v/>
      </c>
      <c r="E62" s="556">
        <f>IF($A62&gt;BOTT_B4,ROUND(BASE_B4+RATE_B4*($A62-BOTT_B4),0),IF($A62&gt;BOTT_B3,ROUND(BASE_B3+RATE_B3*($A62-BOTT_B3),0),IF($A62&gt;BOTT_B2,ROUND(BASE_B2+RATE_B2*($A62-BOTT_B2),0),ROUND(RATE_B1*$A62,0))))</f>
        <v/>
      </c>
      <c r="F62" s="556">
        <f>IF($A62&gt;BOTT_C4,ROUND(BASE_C4+RATE_C4*($A62-BOTT_C4),0),IF($A62&gt;BOTT_C3,ROUND(BASE_C3+RATE_C3*($A62-BOTT_C3),0),IF($A62&gt;BOTT_C2,ROUND(BASE_C2+RATE_C2*($A62-BOTT_C2),0),ROUND(RATE_C1*$A62,0))))</f>
        <v/>
      </c>
      <c r="G62" s="556">
        <f>IF($A62&gt;BOTT_D4,ROUND(BASE_D4+RATE_D4*($A62-BOTT_D4),0),IF($A62&gt;BOTT_D3,ROUND(BASE_D3+RATE_D3*($A62-BOTT_D3),0),IF($A62&gt;BOTT_D2,ROUND(BASE_D2+RATE_D2*($A62-BOTT_D2),0),ROUND(RATE_D1*$A62,0))))</f>
        <v/>
      </c>
    </row>
    <row r="63" ht="15.75" customHeight="1" s="7635">
      <c r="A63" s="625">
        <f>AVERAGE(B63,C63)</f>
        <v/>
      </c>
      <c r="B63" s="555" t="n">
        <v>1475</v>
      </c>
      <c r="C63" s="555" t="n">
        <v>1500</v>
      </c>
      <c r="D63" s="556">
        <f>IF($A63&gt;BOTT_A4,ROUND(BASE_A4+RATE_A4*($A63-BOTT_A4),0),IF($A63&gt;BOTT_A3,ROUND(BASE_A3+RATE_A3*($A63-BOTT_A3),0),IF($A63&gt;BOTT_A2,ROUND(BASE_A2+RATE_A2*($A63-BOTT_A2),0),ROUND(RATE_A1*$A63,0))))</f>
        <v/>
      </c>
      <c r="E63" s="556">
        <f>IF($A63&gt;BOTT_B4,ROUND(BASE_B4+RATE_B4*($A63-BOTT_B4),0),IF($A63&gt;BOTT_B3,ROUND(BASE_B3+RATE_B3*($A63-BOTT_B3),0),IF($A63&gt;BOTT_B2,ROUND(BASE_B2+RATE_B2*($A63-BOTT_B2),0),ROUND(RATE_B1*$A63,0))))</f>
        <v/>
      </c>
      <c r="F63" s="556">
        <f>IF($A63&gt;BOTT_C4,ROUND(BASE_C4+RATE_C4*($A63-BOTT_C4),0),IF($A63&gt;BOTT_C3,ROUND(BASE_C3+RATE_C3*($A63-BOTT_C3),0),IF($A63&gt;BOTT_C2,ROUND(BASE_C2+RATE_C2*($A63-BOTT_C2),0),ROUND(RATE_C1*$A63,0))))</f>
        <v/>
      </c>
      <c r="G63" s="556">
        <f>IF($A63&gt;BOTT_D4,ROUND(BASE_D4+RATE_D4*($A63-BOTT_D4),0),IF($A63&gt;BOTT_D3,ROUND(BASE_D3+RATE_D3*($A63-BOTT_D3),0),IF($A63&gt;BOTT_D2,ROUND(BASE_D2+RATE_D2*($A63-BOTT_D2),0),ROUND(RATE_D1*$A63,0))))</f>
        <v/>
      </c>
    </row>
    <row r="64" ht="15.75" customHeight="1" s="7635">
      <c r="A64" s="625">
        <f>AVERAGE(B64,C64)</f>
        <v/>
      </c>
      <c r="B64" s="555" t="n">
        <v>1500</v>
      </c>
      <c r="C64" s="555" t="n">
        <v>1525</v>
      </c>
      <c r="D64" s="556">
        <f>IF($A64&gt;BOTT_A4,ROUND(BASE_A4+RATE_A4*($A64-BOTT_A4),0),IF($A64&gt;BOTT_A3,ROUND(BASE_A3+RATE_A3*($A64-BOTT_A3),0),IF($A64&gt;BOTT_A2,ROUND(BASE_A2+RATE_A2*($A64-BOTT_A2),0),ROUND(RATE_A1*$A64,0))))</f>
        <v/>
      </c>
      <c r="E64" s="556">
        <f>IF($A64&gt;BOTT_B4,ROUND(BASE_B4+RATE_B4*($A64-BOTT_B4),0),IF($A64&gt;BOTT_B3,ROUND(BASE_B3+RATE_B3*($A64-BOTT_B3),0),IF($A64&gt;BOTT_B2,ROUND(BASE_B2+RATE_B2*($A64-BOTT_B2),0),ROUND(RATE_B1*$A64,0))))</f>
        <v/>
      </c>
      <c r="F64" s="556">
        <f>IF($A64&gt;BOTT_C4,ROUND(BASE_C4+RATE_C4*($A64-BOTT_C4),0),IF($A64&gt;BOTT_C3,ROUND(BASE_C3+RATE_C3*($A64-BOTT_C3),0),IF($A64&gt;BOTT_C2,ROUND(BASE_C2+RATE_C2*($A64-BOTT_C2),0),ROUND(RATE_C1*$A64,0))))</f>
        <v/>
      </c>
      <c r="G64" s="556">
        <f>IF($A64&gt;BOTT_D4,ROUND(BASE_D4+RATE_D4*($A64-BOTT_D4),0),IF($A64&gt;BOTT_D3,ROUND(BASE_D3+RATE_D3*($A64-BOTT_D3),0),IF($A64&gt;BOTT_D2,ROUND(BASE_D2+RATE_D2*($A64-BOTT_D2),0),ROUND(RATE_D1*$A64,0))))</f>
        <v/>
      </c>
    </row>
    <row r="65" ht="15.75" customHeight="1" s="7635">
      <c r="A65" s="625">
        <f>AVERAGE(B65,C65)</f>
        <v/>
      </c>
      <c r="B65" s="555" t="n">
        <v>1525</v>
      </c>
      <c r="C65" s="555" t="n">
        <v>1550</v>
      </c>
      <c r="D65" s="556">
        <f>IF($A65&gt;BOTT_A4,ROUND(BASE_A4+RATE_A4*($A65-BOTT_A4),0),IF($A65&gt;BOTT_A3,ROUND(BASE_A3+RATE_A3*($A65-BOTT_A3),0),IF($A65&gt;BOTT_A2,ROUND(BASE_A2+RATE_A2*($A65-BOTT_A2),0),ROUND(RATE_A1*$A65,0))))</f>
        <v/>
      </c>
      <c r="E65" s="556">
        <f>IF($A65&gt;BOTT_B4,ROUND(BASE_B4+RATE_B4*($A65-BOTT_B4),0),IF($A65&gt;BOTT_B3,ROUND(BASE_B3+RATE_B3*($A65-BOTT_B3),0),IF($A65&gt;BOTT_B2,ROUND(BASE_B2+RATE_B2*($A65-BOTT_B2),0),ROUND(RATE_B1*$A65,0))))</f>
        <v/>
      </c>
      <c r="F65" s="556">
        <f>IF($A65&gt;BOTT_C4,ROUND(BASE_C4+RATE_C4*($A65-BOTT_C4),0),IF($A65&gt;BOTT_C3,ROUND(BASE_C3+RATE_C3*($A65-BOTT_C3),0),IF($A65&gt;BOTT_C2,ROUND(BASE_C2+RATE_C2*($A65-BOTT_C2),0),ROUND(RATE_C1*$A65,0))))</f>
        <v/>
      </c>
      <c r="G65" s="556">
        <f>IF($A65&gt;BOTT_D4,ROUND(BASE_D4+RATE_D4*($A65-BOTT_D4),0),IF($A65&gt;BOTT_D3,ROUND(BASE_D3+RATE_D3*($A65-BOTT_D3),0),IF($A65&gt;BOTT_D2,ROUND(BASE_D2+RATE_D2*($A65-BOTT_D2),0),ROUND(RATE_D1*$A65,0))))</f>
        <v/>
      </c>
    </row>
    <row r="66" ht="15.75" customHeight="1" s="7635">
      <c r="A66" s="625">
        <f>AVERAGE(B66,C66)</f>
        <v/>
      </c>
      <c r="B66" s="555" t="n">
        <v>1550</v>
      </c>
      <c r="C66" s="555" t="n">
        <v>1575</v>
      </c>
      <c r="D66" s="556">
        <f>IF($A66&gt;BOTT_A4,ROUND(BASE_A4+RATE_A4*($A66-BOTT_A4),0),IF($A66&gt;BOTT_A3,ROUND(BASE_A3+RATE_A3*($A66-BOTT_A3),0),IF($A66&gt;BOTT_A2,ROUND(BASE_A2+RATE_A2*($A66-BOTT_A2),0),ROUND(RATE_A1*$A66,0))))</f>
        <v/>
      </c>
      <c r="E66" s="556">
        <f>IF($A66&gt;BOTT_B4,ROUND(BASE_B4+RATE_B4*($A66-BOTT_B4),0),IF($A66&gt;BOTT_B3,ROUND(BASE_B3+RATE_B3*($A66-BOTT_B3),0),IF($A66&gt;BOTT_B2,ROUND(BASE_B2+RATE_B2*($A66-BOTT_B2),0),ROUND(RATE_B1*$A66,0))))</f>
        <v/>
      </c>
      <c r="F66" s="556">
        <f>IF($A66&gt;BOTT_C4,ROUND(BASE_C4+RATE_C4*($A66-BOTT_C4),0),IF($A66&gt;BOTT_C3,ROUND(BASE_C3+RATE_C3*($A66-BOTT_C3),0),IF($A66&gt;BOTT_C2,ROUND(BASE_C2+RATE_C2*($A66-BOTT_C2),0),ROUND(RATE_C1*$A66,0))))</f>
        <v/>
      </c>
      <c r="G66" s="556">
        <f>IF($A66&gt;BOTT_D4,ROUND(BASE_D4+RATE_D4*($A66-BOTT_D4),0),IF($A66&gt;BOTT_D3,ROUND(BASE_D3+RATE_D3*($A66-BOTT_D3),0),IF($A66&gt;BOTT_D2,ROUND(BASE_D2+RATE_D2*($A66-BOTT_D2),0),ROUND(RATE_D1*$A66,0))))</f>
        <v/>
      </c>
    </row>
    <row r="67" ht="15.75" customHeight="1" s="7635">
      <c r="A67" s="625">
        <f>AVERAGE(B67,C67)</f>
        <v/>
      </c>
      <c r="B67" s="555" t="n">
        <v>1575</v>
      </c>
      <c r="C67" s="555" t="n">
        <v>1600</v>
      </c>
      <c r="D67" s="556">
        <f>IF($A67&gt;BOTT_A4,ROUND(BASE_A4+RATE_A4*($A67-BOTT_A4),0),IF($A67&gt;BOTT_A3,ROUND(BASE_A3+RATE_A3*($A67-BOTT_A3),0),IF($A67&gt;BOTT_A2,ROUND(BASE_A2+RATE_A2*($A67-BOTT_A2),0),ROUND(RATE_A1*$A67,0))))</f>
        <v/>
      </c>
      <c r="E67" s="556">
        <f>IF($A67&gt;BOTT_B4,ROUND(BASE_B4+RATE_B4*($A67-BOTT_B4),0),IF($A67&gt;BOTT_B3,ROUND(BASE_B3+RATE_B3*($A67-BOTT_B3),0),IF($A67&gt;BOTT_B2,ROUND(BASE_B2+RATE_B2*($A67-BOTT_B2),0),ROUND(RATE_B1*$A67,0))))</f>
        <v/>
      </c>
      <c r="F67" s="556">
        <f>IF($A67&gt;BOTT_C4,ROUND(BASE_C4+RATE_C4*($A67-BOTT_C4),0),IF($A67&gt;BOTT_C3,ROUND(BASE_C3+RATE_C3*($A67-BOTT_C3),0),IF($A67&gt;BOTT_C2,ROUND(BASE_C2+RATE_C2*($A67-BOTT_C2),0),ROUND(RATE_C1*$A67,0))))</f>
        <v/>
      </c>
      <c r="G67" s="556">
        <f>IF($A67&gt;BOTT_D4,ROUND(BASE_D4+RATE_D4*($A67-BOTT_D4),0),IF($A67&gt;BOTT_D3,ROUND(BASE_D3+RATE_D3*($A67-BOTT_D3),0),IF($A67&gt;BOTT_D2,ROUND(BASE_D2+RATE_D2*($A67-BOTT_D2),0),ROUND(RATE_D1*$A67,0))))</f>
        <v/>
      </c>
    </row>
    <row r="68" ht="15.75" customHeight="1" s="7635">
      <c r="A68" s="625">
        <f>AVERAGE(B68,C68)</f>
        <v/>
      </c>
      <c r="B68" s="555" t="n">
        <v>1600</v>
      </c>
      <c r="C68" s="555" t="n">
        <v>1625</v>
      </c>
      <c r="D68" s="556">
        <f>IF($A68&gt;BOTT_A4,ROUND(BASE_A4+RATE_A4*($A68-BOTT_A4),0),IF($A68&gt;BOTT_A3,ROUND(BASE_A3+RATE_A3*($A68-BOTT_A3),0),IF($A68&gt;BOTT_A2,ROUND(BASE_A2+RATE_A2*($A68-BOTT_A2),0),ROUND(RATE_A1*$A68,0))))</f>
        <v/>
      </c>
      <c r="E68" s="556">
        <f>IF($A68&gt;BOTT_B4,ROUND(BASE_B4+RATE_B4*($A68-BOTT_B4),0),IF($A68&gt;BOTT_B3,ROUND(BASE_B3+RATE_B3*($A68-BOTT_B3),0),IF($A68&gt;BOTT_B2,ROUND(BASE_B2+RATE_B2*($A68-BOTT_B2),0),ROUND(RATE_B1*$A68,0))))</f>
        <v/>
      </c>
      <c r="F68" s="556">
        <f>IF($A68&gt;BOTT_C4,ROUND(BASE_C4+RATE_C4*($A68-BOTT_C4),0),IF($A68&gt;BOTT_C3,ROUND(BASE_C3+RATE_C3*($A68-BOTT_C3),0),IF($A68&gt;BOTT_C2,ROUND(BASE_C2+RATE_C2*($A68-BOTT_C2),0),ROUND(RATE_C1*$A68,0))))</f>
        <v/>
      </c>
      <c r="G68" s="556">
        <f>IF($A68&gt;BOTT_D4,ROUND(BASE_D4+RATE_D4*($A68-BOTT_D4),0),IF($A68&gt;BOTT_D3,ROUND(BASE_D3+RATE_D3*($A68-BOTT_D3),0),IF($A68&gt;BOTT_D2,ROUND(BASE_D2+RATE_D2*($A68-BOTT_D2),0),ROUND(RATE_D1*$A68,0))))</f>
        <v/>
      </c>
    </row>
    <row r="69" ht="15.75" customHeight="1" s="7635">
      <c r="A69" s="625">
        <f>AVERAGE(B69,C69)</f>
        <v/>
      </c>
      <c r="B69" s="555" t="n">
        <v>1625</v>
      </c>
      <c r="C69" s="555" t="n">
        <v>1650</v>
      </c>
      <c r="D69" s="556">
        <f>IF($A69&gt;BOTT_A4,ROUND(BASE_A4+RATE_A4*($A69-BOTT_A4),0),IF($A69&gt;BOTT_A3,ROUND(BASE_A3+RATE_A3*($A69-BOTT_A3),0),IF($A69&gt;BOTT_A2,ROUND(BASE_A2+RATE_A2*($A69-BOTT_A2),0),ROUND(RATE_A1*$A69,0))))</f>
        <v/>
      </c>
      <c r="E69" s="556">
        <f>IF($A69&gt;BOTT_B4,ROUND(BASE_B4+RATE_B4*($A69-BOTT_B4),0),IF($A69&gt;BOTT_B3,ROUND(BASE_B3+RATE_B3*($A69-BOTT_B3),0),IF($A69&gt;BOTT_B2,ROUND(BASE_B2+RATE_B2*($A69-BOTT_B2),0),ROUND(RATE_B1*$A69,0))))</f>
        <v/>
      </c>
      <c r="F69" s="556">
        <f>IF($A69&gt;BOTT_C4,ROUND(BASE_C4+RATE_C4*($A69-BOTT_C4),0),IF($A69&gt;BOTT_C3,ROUND(BASE_C3+RATE_C3*($A69-BOTT_C3),0),IF($A69&gt;BOTT_C2,ROUND(BASE_C2+RATE_C2*($A69-BOTT_C2),0),ROUND(RATE_C1*$A69,0))))</f>
        <v/>
      </c>
      <c r="G69" s="556">
        <f>IF($A69&gt;BOTT_D4,ROUND(BASE_D4+RATE_D4*($A69-BOTT_D4),0),IF($A69&gt;BOTT_D3,ROUND(BASE_D3+RATE_D3*($A69-BOTT_D3),0),IF($A69&gt;BOTT_D2,ROUND(BASE_D2+RATE_D2*($A69-BOTT_D2),0),ROUND(RATE_D1*$A69,0))))</f>
        <v/>
      </c>
    </row>
    <row r="70" ht="15.75" customHeight="1" s="7635">
      <c r="A70" s="625">
        <f>AVERAGE(B70,C70)</f>
        <v/>
      </c>
      <c r="B70" s="555" t="n">
        <v>1650</v>
      </c>
      <c r="C70" s="555" t="n">
        <v>1675</v>
      </c>
      <c r="D70" s="556">
        <f>IF($A70&gt;BOTT_A4,ROUND(BASE_A4+RATE_A4*($A70-BOTT_A4),0),IF($A70&gt;BOTT_A3,ROUND(BASE_A3+RATE_A3*($A70-BOTT_A3),0),IF($A70&gt;BOTT_A2,ROUND(BASE_A2+RATE_A2*($A70-BOTT_A2),0),ROUND(RATE_A1*$A70,0))))</f>
        <v/>
      </c>
      <c r="E70" s="556">
        <f>IF($A70&gt;BOTT_B4,ROUND(BASE_B4+RATE_B4*($A70-BOTT_B4),0),IF($A70&gt;BOTT_B3,ROUND(BASE_B3+RATE_B3*($A70-BOTT_B3),0),IF($A70&gt;BOTT_B2,ROUND(BASE_B2+RATE_B2*($A70-BOTT_B2),0),ROUND(RATE_B1*$A70,0))))</f>
        <v/>
      </c>
      <c r="F70" s="556">
        <f>IF($A70&gt;BOTT_C4,ROUND(BASE_C4+RATE_C4*($A70-BOTT_C4),0),IF($A70&gt;BOTT_C3,ROUND(BASE_C3+RATE_C3*($A70-BOTT_C3),0),IF($A70&gt;BOTT_C2,ROUND(BASE_C2+RATE_C2*($A70-BOTT_C2),0),ROUND(RATE_C1*$A70,0))))</f>
        <v/>
      </c>
      <c r="G70" s="556">
        <f>IF($A70&gt;BOTT_D4,ROUND(BASE_D4+RATE_D4*($A70-BOTT_D4),0),IF($A70&gt;BOTT_D3,ROUND(BASE_D3+RATE_D3*($A70-BOTT_D3),0),IF($A70&gt;BOTT_D2,ROUND(BASE_D2+RATE_D2*($A70-BOTT_D2),0),ROUND(RATE_D1*$A70,0))))</f>
        <v/>
      </c>
    </row>
    <row r="71" ht="15.75" customHeight="1" s="7635">
      <c r="A71" s="625">
        <f>AVERAGE(B71,C71)</f>
        <v/>
      </c>
      <c r="B71" s="555" t="n">
        <v>1675</v>
      </c>
      <c r="C71" s="555" t="n">
        <v>1700</v>
      </c>
      <c r="D71" s="556">
        <f>IF($A71&gt;BOTT_A4,ROUND(BASE_A4+RATE_A4*($A71-BOTT_A4),0),IF($A71&gt;BOTT_A3,ROUND(BASE_A3+RATE_A3*($A71-BOTT_A3),0),IF($A71&gt;BOTT_A2,ROUND(BASE_A2+RATE_A2*($A71-BOTT_A2),0),ROUND(RATE_A1*$A71,0))))</f>
        <v/>
      </c>
      <c r="E71" s="556">
        <f>IF($A71&gt;BOTT_B4,ROUND(BASE_B4+RATE_B4*($A71-BOTT_B4),0),IF($A71&gt;BOTT_B3,ROUND(BASE_B3+RATE_B3*($A71-BOTT_B3),0),IF($A71&gt;BOTT_B2,ROUND(BASE_B2+RATE_B2*($A71-BOTT_B2),0),ROUND(RATE_B1*$A71,0))))</f>
        <v/>
      </c>
      <c r="F71" s="556">
        <f>IF($A71&gt;BOTT_C4,ROUND(BASE_C4+RATE_C4*($A71-BOTT_C4),0),IF($A71&gt;BOTT_C3,ROUND(BASE_C3+RATE_C3*($A71-BOTT_C3),0),IF($A71&gt;BOTT_C2,ROUND(BASE_C2+RATE_C2*($A71-BOTT_C2),0),ROUND(RATE_C1*$A71,0))))</f>
        <v/>
      </c>
      <c r="G71" s="556">
        <f>IF($A71&gt;BOTT_D4,ROUND(BASE_D4+RATE_D4*($A71-BOTT_D4),0),IF($A71&gt;BOTT_D3,ROUND(BASE_D3+RATE_D3*($A71-BOTT_D3),0),IF($A71&gt;BOTT_D2,ROUND(BASE_D2+RATE_D2*($A71-BOTT_D2),0),ROUND(RATE_D1*$A71,0))))</f>
        <v/>
      </c>
    </row>
    <row r="72" ht="15.75" customHeight="1" s="7635">
      <c r="A72" s="625">
        <f>AVERAGE(B72,C72)</f>
        <v/>
      </c>
      <c r="B72" s="555" t="n">
        <v>1700</v>
      </c>
      <c r="C72" s="555" t="n">
        <v>1725</v>
      </c>
      <c r="D72" s="556">
        <f>IF($A72&gt;BOTT_A4,ROUND(BASE_A4+RATE_A4*($A72-BOTT_A4),0),IF($A72&gt;BOTT_A3,ROUND(BASE_A3+RATE_A3*($A72-BOTT_A3),0),IF($A72&gt;BOTT_A2,ROUND(BASE_A2+RATE_A2*($A72-BOTT_A2),0),ROUND(RATE_A1*$A72,0))))</f>
        <v/>
      </c>
      <c r="E72" s="556">
        <f>IF($A72&gt;BOTT_B4,ROUND(BASE_B4+RATE_B4*($A72-BOTT_B4),0),IF($A72&gt;BOTT_B3,ROUND(BASE_B3+RATE_B3*($A72-BOTT_B3),0),IF($A72&gt;BOTT_B2,ROUND(BASE_B2+RATE_B2*($A72-BOTT_B2),0),ROUND(RATE_B1*$A72,0))))</f>
        <v/>
      </c>
      <c r="F72" s="556">
        <f>IF($A72&gt;BOTT_C4,ROUND(BASE_C4+RATE_C4*($A72-BOTT_C4),0),IF($A72&gt;BOTT_C3,ROUND(BASE_C3+RATE_C3*($A72-BOTT_C3),0),IF($A72&gt;BOTT_C2,ROUND(BASE_C2+RATE_C2*($A72-BOTT_C2),0),ROUND(RATE_C1*$A72,0))))</f>
        <v/>
      </c>
      <c r="G72" s="556">
        <f>IF($A72&gt;BOTT_D4,ROUND(BASE_D4+RATE_D4*($A72-BOTT_D4),0),IF($A72&gt;BOTT_D3,ROUND(BASE_D3+RATE_D3*($A72-BOTT_D3),0),IF($A72&gt;BOTT_D2,ROUND(BASE_D2+RATE_D2*($A72-BOTT_D2),0),ROUND(RATE_D1*$A72,0))))</f>
        <v/>
      </c>
    </row>
    <row r="73" ht="15.75" customHeight="1" s="7635">
      <c r="A73" s="625">
        <f>AVERAGE(B73,C73)</f>
        <v/>
      </c>
      <c r="B73" s="555" t="n">
        <v>1725</v>
      </c>
      <c r="C73" s="555" t="n">
        <v>1750</v>
      </c>
      <c r="D73" s="556">
        <f>IF($A73&gt;BOTT_A4,ROUND(BASE_A4+RATE_A4*($A73-BOTT_A4),0),IF($A73&gt;BOTT_A3,ROUND(BASE_A3+RATE_A3*($A73-BOTT_A3),0),IF($A73&gt;BOTT_A2,ROUND(BASE_A2+RATE_A2*($A73-BOTT_A2),0),ROUND(RATE_A1*$A73,0))))</f>
        <v/>
      </c>
      <c r="E73" s="556">
        <f>IF($A73&gt;BOTT_B4,ROUND(BASE_B4+RATE_B4*($A73-BOTT_B4),0),IF($A73&gt;BOTT_B3,ROUND(BASE_B3+RATE_B3*($A73-BOTT_B3),0),IF($A73&gt;BOTT_B2,ROUND(BASE_B2+RATE_B2*($A73-BOTT_B2),0),ROUND(RATE_B1*$A73,0))))</f>
        <v/>
      </c>
      <c r="F73" s="556">
        <f>IF($A73&gt;BOTT_C4,ROUND(BASE_C4+RATE_C4*($A73-BOTT_C4),0),IF($A73&gt;BOTT_C3,ROUND(BASE_C3+RATE_C3*($A73-BOTT_C3),0),IF($A73&gt;BOTT_C2,ROUND(BASE_C2+RATE_C2*($A73-BOTT_C2),0),ROUND(RATE_C1*$A73,0))))</f>
        <v/>
      </c>
      <c r="G73" s="556">
        <f>IF($A73&gt;BOTT_D4,ROUND(BASE_D4+RATE_D4*($A73-BOTT_D4),0),IF($A73&gt;BOTT_D3,ROUND(BASE_D3+RATE_D3*($A73-BOTT_D3),0),IF($A73&gt;BOTT_D2,ROUND(BASE_D2+RATE_D2*($A73-BOTT_D2),0),ROUND(RATE_D1*$A73,0))))</f>
        <v/>
      </c>
    </row>
    <row r="74" ht="15.75" customHeight="1" s="7635">
      <c r="A74" s="625">
        <f>AVERAGE(B74,C74)</f>
        <v/>
      </c>
      <c r="B74" s="555" t="n">
        <v>1750</v>
      </c>
      <c r="C74" s="555" t="n">
        <v>1775</v>
      </c>
      <c r="D74" s="556">
        <f>IF($A74&gt;BOTT_A4,ROUND(BASE_A4+RATE_A4*($A74-BOTT_A4),0),IF($A74&gt;BOTT_A3,ROUND(BASE_A3+RATE_A3*($A74-BOTT_A3),0),IF($A74&gt;BOTT_A2,ROUND(BASE_A2+RATE_A2*($A74-BOTT_A2),0),ROUND(RATE_A1*$A74,0))))</f>
        <v/>
      </c>
      <c r="E74" s="556">
        <f>IF($A74&gt;BOTT_B4,ROUND(BASE_B4+RATE_B4*($A74-BOTT_B4),0),IF($A74&gt;BOTT_B3,ROUND(BASE_B3+RATE_B3*($A74-BOTT_B3),0),IF($A74&gt;BOTT_B2,ROUND(BASE_B2+RATE_B2*($A74-BOTT_B2),0),ROUND(RATE_B1*$A74,0))))</f>
        <v/>
      </c>
      <c r="F74" s="556">
        <f>IF($A74&gt;BOTT_C4,ROUND(BASE_C4+RATE_C4*($A74-BOTT_C4),0),IF($A74&gt;BOTT_C3,ROUND(BASE_C3+RATE_C3*($A74-BOTT_C3),0),IF($A74&gt;BOTT_C2,ROUND(BASE_C2+RATE_C2*($A74-BOTT_C2),0),ROUND(RATE_C1*$A74,0))))</f>
        <v/>
      </c>
      <c r="G74" s="556">
        <f>IF($A74&gt;BOTT_D4,ROUND(BASE_D4+RATE_D4*($A74-BOTT_D4),0),IF($A74&gt;BOTT_D3,ROUND(BASE_D3+RATE_D3*($A74-BOTT_D3),0),IF($A74&gt;BOTT_D2,ROUND(BASE_D2+RATE_D2*($A74-BOTT_D2),0),ROUND(RATE_D1*$A74,0))))</f>
        <v/>
      </c>
    </row>
    <row r="75" ht="15.75" customHeight="1" s="7635">
      <c r="A75" s="625">
        <f>AVERAGE(B75,C75)</f>
        <v/>
      </c>
      <c r="B75" s="555" t="n">
        <v>1775</v>
      </c>
      <c r="C75" s="555" t="n">
        <v>1800</v>
      </c>
      <c r="D75" s="556">
        <f>IF($A75&gt;BOTT_A4,ROUND(BASE_A4+RATE_A4*($A75-BOTT_A4),0),IF($A75&gt;BOTT_A3,ROUND(BASE_A3+RATE_A3*($A75-BOTT_A3),0),IF($A75&gt;BOTT_A2,ROUND(BASE_A2+RATE_A2*($A75-BOTT_A2),0),ROUND(RATE_A1*$A75,0))))</f>
        <v/>
      </c>
      <c r="E75" s="556">
        <f>IF($A75&gt;BOTT_B4,ROUND(BASE_B4+RATE_B4*($A75-BOTT_B4),0),IF($A75&gt;BOTT_B3,ROUND(BASE_B3+RATE_B3*($A75-BOTT_B3),0),IF($A75&gt;BOTT_B2,ROUND(BASE_B2+RATE_B2*($A75-BOTT_B2),0),ROUND(RATE_B1*$A75,0))))</f>
        <v/>
      </c>
      <c r="F75" s="556">
        <f>IF($A75&gt;BOTT_C4,ROUND(BASE_C4+RATE_C4*($A75-BOTT_C4),0),IF($A75&gt;BOTT_C3,ROUND(BASE_C3+RATE_C3*($A75-BOTT_C3),0),IF($A75&gt;BOTT_C2,ROUND(BASE_C2+RATE_C2*($A75-BOTT_C2),0),ROUND(RATE_C1*$A75,0))))</f>
        <v/>
      </c>
      <c r="G75" s="556">
        <f>IF($A75&gt;BOTT_D4,ROUND(BASE_D4+RATE_D4*($A75-BOTT_D4),0),IF($A75&gt;BOTT_D3,ROUND(BASE_D3+RATE_D3*($A75-BOTT_D3),0),IF($A75&gt;BOTT_D2,ROUND(BASE_D2+RATE_D2*($A75-BOTT_D2),0),ROUND(RATE_D1*$A75,0))))</f>
        <v/>
      </c>
    </row>
    <row r="76" ht="15.75" customHeight="1" s="7635">
      <c r="A76" s="625">
        <f>AVERAGE(B76,C76)</f>
        <v/>
      </c>
      <c r="B76" s="555" t="n">
        <v>1800</v>
      </c>
      <c r="C76" s="555" t="n">
        <v>1825</v>
      </c>
      <c r="D76" s="556">
        <f>IF($A76&gt;BOTT_A4,ROUND(BASE_A4+RATE_A4*($A76-BOTT_A4),0),IF($A76&gt;BOTT_A3,ROUND(BASE_A3+RATE_A3*($A76-BOTT_A3),0),IF($A76&gt;BOTT_A2,ROUND(BASE_A2+RATE_A2*($A76-BOTT_A2),0),ROUND(RATE_A1*$A76,0))))</f>
        <v/>
      </c>
      <c r="E76" s="556">
        <f>IF($A76&gt;BOTT_B4,ROUND(BASE_B4+RATE_B4*($A76-BOTT_B4),0),IF($A76&gt;BOTT_B3,ROUND(BASE_B3+RATE_B3*($A76-BOTT_B3),0),IF($A76&gt;BOTT_B2,ROUND(BASE_B2+RATE_B2*($A76-BOTT_B2),0),ROUND(RATE_B1*$A76,0))))</f>
        <v/>
      </c>
      <c r="F76" s="556">
        <f>IF($A76&gt;BOTT_C4,ROUND(BASE_C4+RATE_C4*($A76-BOTT_C4),0),IF($A76&gt;BOTT_C3,ROUND(BASE_C3+RATE_C3*($A76-BOTT_C3),0),IF($A76&gt;BOTT_C2,ROUND(BASE_C2+RATE_C2*($A76-BOTT_C2),0),ROUND(RATE_C1*$A76,0))))</f>
        <v/>
      </c>
      <c r="G76" s="556">
        <f>IF($A76&gt;BOTT_D4,ROUND(BASE_D4+RATE_D4*($A76-BOTT_D4),0),IF($A76&gt;BOTT_D3,ROUND(BASE_D3+RATE_D3*($A76-BOTT_D3),0),IF($A76&gt;BOTT_D2,ROUND(BASE_D2+RATE_D2*($A76-BOTT_D2),0),ROUND(RATE_D1*$A76,0))))</f>
        <v/>
      </c>
    </row>
    <row r="77" ht="15.75" customHeight="1" s="7635">
      <c r="A77" s="625">
        <f>AVERAGE(B77,C77)</f>
        <v/>
      </c>
      <c r="B77" s="555" t="n">
        <v>1825</v>
      </c>
      <c r="C77" s="555" t="n">
        <v>1850</v>
      </c>
      <c r="D77" s="556">
        <f>IF($A77&gt;BOTT_A4,ROUND(BASE_A4+RATE_A4*($A77-BOTT_A4),0),IF($A77&gt;BOTT_A3,ROUND(BASE_A3+RATE_A3*($A77-BOTT_A3),0),IF($A77&gt;BOTT_A2,ROUND(BASE_A2+RATE_A2*($A77-BOTT_A2),0),ROUND(RATE_A1*$A77,0))))</f>
        <v/>
      </c>
      <c r="E77" s="556">
        <f>IF($A77&gt;BOTT_B4,ROUND(BASE_B4+RATE_B4*($A77-BOTT_B4),0),IF($A77&gt;BOTT_B3,ROUND(BASE_B3+RATE_B3*($A77-BOTT_B3),0),IF($A77&gt;BOTT_B2,ROUND(BASE_B2+RATE_B2*($A77-BOTT_B2),0),ROUND(RATE_B1*$A77,0))))</f>
        <v/>
      </c>
      <c r="F77" s="556">
        <f>IF($A77&gt;BOTT_C4,ROUND(BASE_C4+RATE_C4*($A77-BOTT_C4),0),IF($A77&gt;BOTT_C3,ROUND(BASE_C3+RATE_C3*($A77-BOTT_C3),0),IF($A77&gt;BOTT_C2,ROUND(BASE_C2+RATE_C2*($A77-BOTT_C2),0),ROUND(RATE_C1*$A77,0))))</f>
        <v/>
      </c>
      <c r="G77" s="556">
        <f>IF($A77&gt;BOTT_D4,ROUND(BASE_D4+RATE_D4*($A77-BOTT_D4),0),IF($A77&gt;BOTT_D3,ROUND(BASE_D3+RATE_D3*($A77-BOTT_D3),0),IF($A77&gt;BOTT_D2,ROUND(BASE_D2+RATE_D2*($A77-BOTT_D2),0),ROUND(RATE_D1*$A77,0))))</f>
        <v/>
      </c>
    </row>
    <row r="78" ht="15.75" customHeight="1" s="7635">
      <c r="A78" s="625">
        <f>AVERAGE(B78,C78)</f>
        <v/>
      </c>
      <c r="B78" s="555" t="n">
        <v>1850</v>
      </c>
      <c r="C78" s="555" t="n">
        <v>1875</v>
      </c>
      <c r="D78" s="556">
        <f>IF($A78&gt;BOTT_A4,ROUND(BASE_A4+RATE_A4*($A78-BOTT_A4),0),IF($A78&gt;BOTT_A3,ROUND(BASE_A3+RATE_A3*($A78-BOTT_A3),0),IF($A78&gt;BOTT_A2,ROUND(BASE_A2+RATE_A2*($A78-BOTT_A2),0),ROUND(RATE_A1*$A78,0))))</f>
        <v/>
      </c>
      <c r="E78" s="556">
        <f>IF($A78&gt;BOTT_B4,ROUND(BASE_B4+RATE_B4*($A78-BOTT_B4),0),IF($A78&gt;BOTT_B3,ROUND(BASE_B3+RATE_B3*($A78-BOTT_B3),0),IF($A78&gt;BOTT_B2,ROUND(BASE_B2+RATE_B2*($A78-BOTT_B2),0),ROUND(RATE_B1*$A78,0))))</f>
        <v/>
      </c>
      <c r="F78" s="556">
        <f>IF($A78&gt;BOTT_C4,ROUND(BASE_C4+RATE_C4*($A78-BOTT_C4),0),IF($A78&gt;BOTT_C3,ROUND(BASE_C3+RATE_C3*($A78-BOTT_C3),0),IF($A78&gt;BOTT_C2,ROUND(BASE_C2+RATE_C2*($A78-BOTT_C2),0),ROUND(RATE_C1*$A78,0))))</f>
        <v/>
      </c>
      <c r="G78" s="556">
        <f>IF($A78&gt;BOTT_D4,ROUND(BASE_D4+RATE_D4*($A78-BOTT_D4),0),IF($A78&gt;BOTT_D3,ROUND(BASE_D3+RATE_D3*($A78-BOTT_D3),0),IF($A78&gt;BOTT_D2,ROUND(BASE_D2+RATE_D2*($A78-BOTT_D2),0),ROUND(RATE_D1*$A78,0))))</f>
        <v/>
      </c>
    </row>
    <row r="79" ht="15.75" customHeight="1" s="7635">
      <c r="A79" s="625">
        <f>AVERAGE(B79,C79)</f>
        <v/>
      </c>
      <c r="B79" s="555" t="n">
        <v>1875</v>
      </c>
      <c r="C79" s="555" t="n">
        <v>1900</v>
      </c>
      <c r="D79" s="556">
        <f>IF($A79&gt;BOTT_A4,ROUND(BASE_A4+RATE_A4*($A79-BOTT_A4),0),IF($A79&gt;BOTT_A3,ROUND(BASE_A3+RATE_A3*($A79-BOTT_A3),0),IF($A79&gt;BOTT_A2,ROUND(BASE_A2+RATE_A2*($A79-BOTT_A2),0),ROUND(RATE_A1*$A79,0))))</f>
        <v/>
      </c>
      <c r="E79" s="556">
        <f>IF($A79&gt;BOTT_B4,ROUND(BASE_B4+RATE_B4*($A79-BOTT_B4),0),IF($A79&gt;BOTT_B3,ROUND(BASE_B3+RATE_B3*($A79-BOTT_B3),0),IF($A79&gt;BOTT_B2,ROUND(BASE_B2+RATE_B2*($A79-BOTT_B2),0),ROUND(RATE_B1*$A79,0))))</f>
        <v/>
      </c>
      <c r="F79" s="556">
        <f>IF($A79&gt;BOTT_C4,ROUND(BASE_C4+RATE_C4*($A79-BOTT_C4),0),IF($A79&gt;BOTT_C3,ROUND(BASE_C3+RATE_C3*($A79-BOTT_C3),0),IF($A79&gt;BOTT_C2,ROUND(BASE_C2+RATE_C2*($A79-BOTT_C2),0),ROUND(RATE_C1*$A79,0))))</f>
        <v/>
      </c>
      <c r="G79" s="556">
        <f>IF($A79&gt;BOTT_D4,ROUND(BASE_D4+RATE_D4*($A79-BOTT_D4),0),IF($A79&gt;BOTT_D3,ROUND(BASE_D3+RATE_D3*($A79-BOTT_D3),0),IF($A79&gt;BOTT_D2,ROUND(BASE_D2+RATE_D2*($A79-BOTT_D2),0),ROUND(RATE_D1*$A79,0))))</f>
        <v/>
      </c>
    </row>
    <row r="80" ht="15.75" customHeight="1" s="7635">
      <c r="A80" s="625">
        <f>AVERAGE(B80,C80)</f>
        <v/>
      </c>
      <c r="B80" s="555" t="n">
        <v>1900</v>
      </c>
      <c r="C80" s="555" t="n">
        <v>1925</v>
      </c>
      <c r="D80" s="556">
        <f>IF($A80&gt;BOTT_A4,ROUND(BASE_A4+RATE_A4*($A80-BOTT_A4),0),IF($A80&gt;BOTT_A3,ROUND(BASE_A3+RATE_A3*($A80-BOTT_A3),0),IF($A80&gt;BOTT_A2,ROUND(BASE_A2+RATE_A2*($A80-BOTT_A2),0),ROUND(RATE_A1*$A80,0))))</f>
        <v/>
      </c>
      <c r="E80" s="556">
        <f>IF($A80&gt;BOTT_B4,ROUND(BASE_B4+RATE_B4*($A80-BOTT_B4),0),IF($A80&gt;BOTT_B3,ROUND(BASE_B3+RATE_B3*($A80-BOTT_B3),0),IF($A80&gt;BOTT_B2,ROUND(BASE_B2+RATE_B2*($A80-BOTT_B2),0),ROUND(RATE_B1*$A80,0))))</f>
        <v/>
      </c>
      <c r="F80" s="556">
        <f>IF($A80&gt;BOTT_C4,ROUND(BASE_C4+RATE_C4*($A80-BOTT_C4),0),IF($A80&gt;BOTT_C3,ROUND(BASE_C3+RATE_C3*($A80-BOTT_C3),0),IF($A80&gt;BOTT_C2,ROUND(BASE_C2+RATE_C2*($A80-BOTT_C2),0),ROUND(RATE_C1*$A80,0))))</f>
        <v/>
      </c>
      <c r="G80" s="556">
        <f>IF($A80&gt;BOTT_D4,ROUND(BASE_D4+RATE_D4*($A80-BOTT_D4),0),IF($A80&gt;BOTT_D3,ROUND(BASE_D3+RATE_D3*($A80-BOTT_D3),0),IF($A80&gt;BOTT_D2,ROUND(BASE_D2+RATE_D2*($A80-BOTT_D2),0),ROUND(RATE_D1*$A80,0))))</f>
        <v/>
      </c>
    </row>
    <row r="81" ht="15.75" customHeight="1" s="7635">
      <c r="A81" s="625">
        <f>AVERAGE(B81,C81)</f>
        <v/>
      </c>
      <c r="B81" s="555" t="n">
        <v>1925</v>
      </c>
      <c r="C81" s="555" t="n">
        <v>1950</v>
      </c>
      <c r="D81" s="556">
        <f>IF($A81&gt;BOTT_A4,ROUND(BASE_A4+RATE_A4*($A81-BOTT_A4),0),IF($A81&gt;BOTT_A3,ROUND(BASE_A3+RATE_A3*($A81-BOTT_A3),0),IF($A81&gt;BOTT_A2,ROUND(BASE_A2+RATE_A2*($A81-BOTT_A2),0),ROUND(RATE_A1*$A81,0))))</f>
        <v/>
      </c>
      <c r="E81" s="556">
        <f>IF($A81&gt;BOTT_B4,ROUND(BASE_B4+RATE_B4*($A81-BOTT_B4),0),IF($A81&gt;BOTT_B3,ROUND(BASE_B3+RATE_B3*($A81-BOTT_B3),0),IF($A81&gt;BOTT_B2,ROUND(BASE_B2+RATE_B2*($A81-BOTT_B2),0),ROUND(RATE_B1*$A81,0))))</f>
        <v/>
      </c>
      <c r="F81" s="556">
        <f>IF($A81&gt;BOTT_C4,ROUND(BASE_C4+RATE_C4*($A81-BOTT_C4),0),IF($A81&gt;BOTT_C3,ROUND(BASE_C3+RATE_C3*($A81-BOTT_C3),0),IF($A81&gt;BOTT_C2,ROUND(BASE_C2+RATE_C2*($A81-BOTT_C2),0),ROUND(RATE_C1*$A81,0))))</f>
        <v/>
      </c>
      <c r="G81" s="556">
        <f>IF($A81&gt;BOTT_D4,ROUND(BASE_D4+RATE_D4*($A81-BOTT_D4),0),IF($A81&gt;BOTT_D3,ROUND(BASE_D3+RATE_D3*($A81-BOTT_D3),0),IF($A81&gt;BOTT_D2,ROUND(BASE_D2+RATE_D2*($A81-BOTT_D2),0),ROUND(RATE_D1*$A81,0))))</f>
        <v/>
      </c>
    </row>
    <row r="82" ht="15.75" customHeight="1" s="7635">
      <c r="A82" s="625">
        <f>AVERAGE(B82,C82)</f>
        <v/>
      </c>
      <c r="B82" s="555" t="n">
        <v>1950</v>
      </c>
      <c r="C82" s="555" t="n">
        <v>1975</v>
      </c>
      <c r="D82" s="556">
        <f>IF($A82&gt;BOTT_A4,ROUND(BASE_A4+RATE_A4*($A82-BOTT_A4),0),IF($A82&gt;BOTT_A3,ROUND(BASE_A3+RATE_A3*($A82-BOTT_A3),0),IF($A82&gt;BOTT_A2,ROUND(BASE_A2+RATE_A2*($A82-BOTT_A2),0),ROUND(RATE_A1*$A82,0))))</f>
        <v/>
      </c>
      <c r="E82" s="556">
        <f>IF($A82&gt;BOTT_B4,ROUND(BASE_B4+RATE_B4*($A82-BOTT_B4),0),IF($A82&gt;BOTT_B3,ROUND(BASE_B3+RATE_B3*($A82-BOTT_B3),0),IF($A82&gt;BOTT_B2,ROUND(BASE_B2+RATE_B2*($A82-BOTT_B2),0),ROUND(RATE_B1*$A82,0))))</f>
        <v/>
      </c>
      <c r="F82" s="556">
        <f>IF($A82&gt;BOTT_C4,ROUND(BASE_C4+RATE_C4*($A82-BOTT_C4),0),IF($A82&gt;BOTT_C3,ROUND(BASE_C3+RATE_C3*($A82-BOTT_C3),0),IF($A82&gt;BOTT_C2,ROUND(BASE_C2+RATE_C2*($A82-BOTT_C2),0),ROUND(RATE_C1*$A82,0))))</f>
        <v/>
      </c>
      <c r="G82" s="556">
        <f>IF($A82&gt;BOTT_D4,ROUND(BASE_D4+RATE_D4*($A82-BOTT_D4),0),IF($A82&gt;BOTT_D3,ROUND(BASE_D3+RATE_D3*($A82-BOTT_D3),0),IF($A82&gt;BOTT_D2,ROUND(BASE_D2+RATE_D2*($A82-BOTT_D2),0),ROUND(RATE_D1*$A82,0))))</f>
        <v/>
      </c>
    </row>
    <row r="83" ht="15.75" customHeight="1" s="7635">
      <c r="A83" s="625">
        <f>AVERAGE(B83,C83)</f>
        <v/>
      </c>
      <c r="B83" s="555" t="n">
        <v>1975</v>
      </c>
      <c r="C83" s="555" t="n">
        <v>2000</v>
      </c>
      <c r="D83" s="556">
        <f>IF($A83&gt;BOTT_A4,ROUND(BASE_A4+RATE_A4*($A83-BOTT_A4),0),IF($A83&gt;BOTT_A3,ROUND(BASE_A3+RATE_A3*($A83-BOTT_A3),0),IF($A83&gt;BOTT_A2,ROUND(BASE_A2+RATE_A2*($A83-BOTT_A2),0),ROUND(RATE_A1*$A83,0))))</f>
        <v/>
      </c>
      <c r="E83" s="556">
        <f>IF($A83&gt;BOTT_B4,ROUND(BASE_B4+RATE_B4*($A83-BOTT_B4),0),IF($A83&gt;BOTT_B3,ROUND(BASE_B3+RATE_B3*($A83-BOTT_B3),0),IF($A83&gt;BOTT_B2,ROUND(BASE_B2+RATE_B2*($A83-BOTT_B2),0),ROUND(RATE_B1*$A83,0))))</f>
        <v/>
      </c>
      <c r="F83" s="556">
        <f>IF($A83&gt;BOTT_C4,ROUND(BASE_C4+RATE_C4*($A83-BOTT_C4),0),IF($A83&gt;BOTT_C3,ROUND(BASE_C3+RATE_C3*($A83-BOTT_C3),0),IF($A83&gt;BOTT_C2,ROUND(BASE_C2+RATE_C2*($A83-BOTT_C2),0),ROUND(RATE_C1*$A83,0))))</f>
        <v/>
      </c>
      <c r="G83" s="556">
        <f>IF($A83&gt;BOTT_D4,ROUND(BASE_D4+RATE_D4*($A83-BOTT_D4),0),IF($A83&gt;BOTT_D3,ROUND(BASE_D3+RATE_D3*($A83-BOTT_D3),0),IF($A83&gt;BOTT_D2,ROUND(BASE_D2+RATE_D2*($A83-BOTT_D2),0),ROUND(RATE_D1*$A83,0))))</f>
        <v/>
      </c>
    </row>
    <row r="84" ht="15.75" customHeight="1" s="7635">
      <c r="A84" s="625">
        <f>AVERAGE(B84,C84)</f>
        <v/>
      </c>
      <c r="B84" s="555" t="n">
        <v>2000</v>
      </c>
      <c r="C84" s="555" t="n">
        <v>2025</v>
      </c>
      <c r="D84" s="556">
        <f>IF($A84&gt;BOTT_A4,ROUND(BASE_A4+RATE_A4*($A84-BOTT_A4),0),IF($A84&gt;BOTT_A3,ROUND(BASE_A3+RATE_A3*($A84-BOTT_A3),0),IF($A84&gt;BOTT_A2,ROUND(BASE_A2+RATE_A2*($A84-BOTT_A2),0),ROUND(RATE_A1*$A84,0))))</f>
        <v/>
      </c>
      <c r="E84" s="556">
        <f>IF($A84&gt;BOTT_B4,ROUND(BASE_B4+RATE_B4*($A84-BOTT_B4),0),IF($A84&gt;BOTT_B3,ROUND(BASE_B3+RATE_B3*($A84-BOTT_B3),0),IF($A84&gt;BOTT_B2,ROUND(BASE_B2+RATE_B2*($A84-BOTT_B2),0),ROUND(RATE_B1*$A84,0))))</f>
        <v/>
      </c>
      <c r="F84" s="556">
        <f>IF($A84&gt;BOTT_C4,ROUND(BASE_C4+RATE_C4*($A84-BOTT_C4),0),IF($A84&gt;BOTT_C3,ROUND(BASE_C3+RATE_C3*($A84-BOTT_C3),0),IF($A84&gt;BOTT_C2,ROUND(BASE_C2+RATE_C2*($A84-BOTT_C2),0),ROUND(RATE_C1*$A84,0))))</f>
        <v/>
      </c>
      <c r="G84" s="556">
        <f>IF($A84&gt;BOTT_D4,ROUND(BASE_D4+RATE_D4*($A84-BOTT_D4),0),IF($A84&gt;BOTT_D3,ROUND(BASE_D3+RATE_D3*($A84-BOTT_D3),0),IF($A84&gt;BOTT_D2,ROUND(BASE_D2+RATE_D2*($A84-BOTT_D2),0),ROUND(RATE_D1*$A84,0))))</f>
        <v/>
      </c>
    </row>
    <row r="85" ht="15.75" customHeight="1" s="7635">
      <c r="A85" s="625">
        <f>AVERAGE(B85,C85)</f>
        <v/>
      </c>
      <c r="B85" s="555" t="n">
        <v>2025</v>
      </c>
      <c r="C85" s="555" t="n">
        <v>2050</v>
      </c>
      <c r="D85" s="556">
        <f>IF($A85&gt;BOTT_A4,ROUND(BASE_A4+RATE_A4*($A85-BOTT_A4),0),IF($A85&gt;BOTT_A3,ROUND(BASE_A3+RATE_A3*($A85-BOTT_A3),0),IF($A85&gt;BOTT_A2,ROUND(BASE_A2+RATE_A2*($A85-BOTT_A2),0),ROUND(RATE_A1*$A85,0))))</f>
        <v/>
      </c>
      <c r="E85" s="556">
        <f>IF($A85&gt;BOTT_B4,ROUND(BASE_B4+RATE_B4*($A85-BOTT_B4),0),IF($A85&gt;BOTT_B3,ROUND(BASE_B3+RATE_B3*($A85-BOTT_B3),0),IF($A85&gt;BOTT_B2,ROUND(BASE_B2+RATE_B2*($A85-BOTT_B2),0),ROUND(RATE_B1*$A85,0))))</f>
        <v/>
      </c>
      <c r="F85" s="556">
        <f>IF($A85&gt;BOTT_C4,ROUND(BASE_C4+RATE_C4*($A85-BOTT_C4),0),IF($A85&gt;BOTT_C3,ROUND(BASE_C3+RATE_C3*($A85-BOTT_C3),0),IF($A85&gt;BOTT_C2,ROUND(BASE_C2+RATE_C2*($A85-BOTT_C2),0),ROUND(RATE_C1*$A85,0))))</f>
        <v/>
      </c>
      <c r="G85" s="556">
        <f>IF($A85&gt;BOTT_D4,ROUND(BASE_D4+RATE_D4*($A85-BOTT_D4),0),IF($A85&gt;BOTT_D3,ROUND(BASE_D3+RATE_D3*($A85-BOTT_D3),0),IF($A85&gt;BOTT_D2,ROUND(BASE_D2+RATE_D2*($A85-BOTT_D2),0),ROUND(RATE_D1*$A85,0))))</f>
        <v/>
      </c>
    </row>
    <row r="86" ht="15.75" customHeight="1" s="7635">
      <c r="A86" s="625">
        <f>AVERAGE(B86,C86)</f>
        <v/>
      </c>
      <c r="B86" s="555" t="n">
        <v>2050</v>
      </c>
      <c r="C86" s="555" t="n">
        <v>2075</v>
      </c>
      <c r="D86" s="556">
        <f>IF($A86&gt;BOTT_A4,ROUND(BASE_A4+RATE_A4*($A86-BOTT_A4),0),IF($A86&gt;BOTT_A3,ROUND(BASE_A3+RATE_A3*($A86-BOTT_A3),0),IF($A86&gt;BOTT_A2,ROUND(BASE_A2+RATE_A2*($A86-BOTT_A2),0),ROUND(RATE_A1*$A86,0))))</f>
        <v/>
      </c>
      <c r="E86" s="556">
        <f>IF($A86&gt;BOTT_B4,ROUND(BASE_B4+RATE_B4*($A86-BOTT_B4),0),IF($A86&gt;BOTT_B3,ROUND(BASE_B3+RATE_B3*($A86-BOTT_B3),0),IF($A86&gt;BOTT_B2,ROUND(BASE_B2+RATE_B2*($A86-BOTT_B2),0),ROUND(RATE_B1*$A86,0))))</f>
        <v/>
      </c>
      <c r="F86" s="556">
        <f>IF($A86&gt;BOTT_C4,ROUND(BASE_C4+RATE_C4*($A86-BOTT_C4),0),IF($A86&gt;BOTT_C3,ROUND(BASE_C3+RATE_C3*($A86-BOTT_C3),0),IF($A86&gt;BOTT_C2,ROUND(BASE_C2+RATE_C2*($A86-BOTT_C2),0),ROUND(RATE_C1*$A86,0))))</f>
        <v/>
      </c>
      <c r="G86" s="556">
        <f>IF($A86&gt;BOTT_D4,ROUND(BASE_D4+RATE_D4*($A86-BOTT_D4),0),IF($A86&gt;BOTT_D3,ROUND(BASE_D3+RATE_D3*($A86-BOTT_D3),0),IF($A86&gt;BOTT_D2,ROUND(BASE_D2+RATE_D2*($A86-BOTT_D2),0),ROUND(RATE_D1*$A86,0))))</f>
        <v/>
      </c>
    </row>
    <row r="87" ht="15.75" customHeight="1" s="7635">
      <c r="A87" s="625">
        <f>AVERAGE(B87,C87)</f>
        <v/>
      </c>
      <c r="B87" s="555" t="n">
        <v>2075</v>
      </c>
      <c r="C87" s="555" t="n">
        <v>2100</v>
      </c>
      <c r="D87" s="556">
        <f>IF($A87&gt;BOTT_A4,ROUND(BASE_A4+RATE_A4*($A87-BOTT_A4),0),IF($A87&gt;BOTT_A3,ROUND(BASE_A3+RATE_A3*($A87-BOTT_A3),0),IF($A87&gt;BOTT_A2,ROUND(BASE_A2+RATE_A2*($A87-BOTT_A2),0),ROUND(RATE_A1*$A87,0))))</f>
        <v/>
      </c>
      <c r="E87" s="556">
        <f>IF($A87&gt;BOTT_B4,ROUND(BASE_B4+RATE_B4*($A87-BOTT_B4),0),IF($A87&gt;BOTT_B3,ROUND(BASE_B3+RATE_B3*($A87-BOTT_B3),0),IF($A87&gt;BOTT_B2,ROUND(BASE_B2+RATE_B2*($A87-BOTT_B2),0),ROUND(RATE_B1*$A87,0))))</f>
        <v/>
      </c>
      <c r="F87" s="556">
        <f>IF($A87&gt;BOTT_C4,ROUND(BASE_C4+RATE_C4*($A87-BOTT_C4),0),IF($A87&gt;BOTT_C3,ROUND(BASE_C3+RATE_C3*($A87-BOTT_C3),0),IF($A87&gt;BOTT_C2,ROUND(BASE_C2+RATE_C2*($A87-BOTT_C2),0),ROUND(RATE_C1*$A87,0))))</f>
        <v/>
      </c>
      <c r="G87" s="556">
        <f>IF($A87&gt;BOTT_D4,ROUND(BASE_D4+RATE_D4*($A87-BOTT_D4),0),IF($A87&gt;BOTT_D3,ROUND(BASE_D3+RATE_D3*($A87-BOTT_D3),0),IF($A87&gt;BOTT_D2,ROUND(BASE_D2+RATE_D2*($A87-BOTT_D2),0),ROUND(RATE_D1*$A87,0))))</f>
        <v/>
      </c>
    </row>
    <row r="88" ht="15.75" customHeight="1" s="7635">
      <c r="A88" s="625">
        <f>AVERAGE(B88,C88)</f>
        <v/>
      </c>
      <c r="B88" s="555" t="n">
        <v>2100</v>
      </c>
      <c r="C88" s="555" t="n">
        <v>2125</v>
      </c>
      <c r="D88" s="556">
        <f>IF($A88&gt;BOTT_A4,ROUND(BASE_A4+RATE_A4*($A88-BOTT_A4),0),IF($A88&gt;BOTT_A3,ROUND(BASE_A3+RATE_A3*($A88-BOTT_A3),0),IF($A88&gt;BOTT_A2,ROUND(BASE_A2+RATE_A2*($A88-BOTT_A2),0),ROUND(RATE_A1*$A88,0))))</f>
        <v/>
      </c>
      <c r="E88" s="556">
        <f>IF($A88&gt;BOTT_B4,ROUND(BASE_B4+RATE_B4*($A88-BOTT_B4),0),IF($A88&gt;BOTT_B3,ROUND(BASE_B3+RATE_B3*($A88-BOTT_B3),0),IF($A88&gt;BOTT_B2,ROUND(BASE_B2+RATE_B2*($A88-BOTT_B2),0),ROUND(RATE_B1*$A88,0))))</f>
        <v/>
      </c>
      <c r="F88" s="556">
        <f>IF($A88&gt;BOTT_C4,ROUND(BASE_C4+RATE_C4*($A88-BOTT_C4),0),IF($A88&gt;BOTT_C3,ROUND(BASE_C3+RATE_C3*($A88-BOTT_C3),0),IF($A88&gt;BOTT_C2,ROUND(BASE_C2+RATE_C2*($A88-BOTT_C2),0),ROUND(RATE_C1*$A88,0))))</f>
        <v/>
      </c>
      <c r="G88" s="556">
        <f>IF($A88&gt;BOTT_D4,ROUND(BASE_D4+RATE_D4*($A88-BOTT_D4),0),IF($A88&gt;BOTT_D3,ROUND(BASE_D3+RATE_D3*($A88-BOTT_D3),0),IF($A88&gt;BOTT_D2,ROUND(BASE_D2+RATE_D2*($A88-BOTT_D2),0),ROUND(RATE_D1*$A88,0))))</f>
        <v/>
      </c>
    </row>
    <row r="89" ht="15.75" customHeight="1" s="7635">
      <c r="A89" s="625">
        <f>AVERAGE(B89,C89)</f>
        <v/>
      </c>
      <c r="B89" s="555" t="n">
        <v>2125</v>
      </c>
      <c r="C89" s="555" t="n">
        <v>2150</v>
      </c>
      <c r="D89" s="556">
        <f>IF($A89&gt;BOTT_A4,ROUND(BASE_A4+RATE_A4*($A89-BOTT_A4),0),IF($A89&gt;BOTT_A3,ROUND(BASE_A3+RATE_A3*($A89-BOTT_A3),0),IF($A89&gt;BOTT_A2,ROUND(BASE_A2+RATE_A2*($A89-BOTT_A2),0),ROUND(RATE_A1*$A89,0))))</f>
        <v/>
      </c>
      <c r="E89" s="556">
        <f>IF($A89&gt;BOTT_B4,ROUND(BASE_B4+RATE_B4*($A89-BOTT_B4),0),IF($A89&gt;BOTT_B3,ROUND(BASE_B3+RATE_B3*($A89-BOTT_B3),0),IF($A89&gt;BOTT_B2,ROUND(BASE_B2+RATE_B2*($A89-BOTT_B2),0),ROUND(RATE_B1*$A89,0))))</f>
        <v/>
      </c>
      <c r="F89" s="556">
        <f>IF($A89&gt;BOTT_C4,ROUND(BASE_C4+RATE_C4*($A89-BOTT_C4),0),IF($A89&gt;BOTT_C3,ROUND(BASE_C3+RATE_C3*($A89-BOTT_C3),0),IF($A89&gt;BOTT_C2,ROUND(BASE_C2+RATE_C2*($A89-BOTT_C2),0),ROUND(RATE_C1*$A89,0))))</f>
        <v/>
      </c>
      <c r="G89" s="556">
        <f>IF($A89&gt;BOTT_D4,ROUND(BASE_D4+RATE_D4*($A89-BOTT_D4),0),IF($A89&gt;BOTT_D3,ROUND(BASE_D3+RATE_D3*($A89-BOTT_D3),0),IF($A89&gt;BOTT_D2,ROUND(BASE_D2+RATE_D2*($A89-BOTT_D2),0),ROUND(RATE_D1*$A89,0))))</f>
        <v/>
      </c>
    </row>
    <row r="90" ht="15.75" customHeight="1" s="7635">
      <c r="A90" s="625">
        <f>AVERAGE(B90,C90)</f>
        <v/>
      </c>
      <c r="B90" s="555" t="n">
        <v>2150</v>
      </c>
      <c r="C90" s="555" t="n">
        <v>2175</v>
      </c>
      <c r="D90" s="556">
        <f>IF($A90&gt;BOTT_A4,ROUND(BASE_A4+RATE_A4*($A90-BOTT_A4),0),IF($A90&gt;BOTT_A3,ROUND(BASE_A3+RATE_A3*($A90-BOTT_A3),0),IF($A90&gt;BOTT_A2,ROUND(BASE_A2+RATE_A2*($A90-BOTT_A2),0),ROUND(RATE_A1*$A90,0))))</f>
        <v/>
      </c>
      <c r="E90" s="556">
        <f>IF($A90&gt;BOTT_B4,ROUND(BASE_B4+RATE_B4*($A90-BOTT_B4),0),IF($A90&gt;BOTT_B3,ROUND(BASE_B3+RATE_B3*($A90-BOTT_B3),0),IF($A90&gt;BOTT_B2,ROUND(BASE_B2+RATE_B2*($A90-BOTT_B2),0),ROUND(RATE_B1*$A90,0))))</f>
        <v/>
      </c>
      <c r="F90" s="556">
        <f>IF($A90&gt;BOTT_C4,ROUND(BASE_C4+RATE_C4*($A90-BOTT_C4),0),IF($A90&gt;BOTT_C3,ROUND(BASE_C3+RATE_C3*($A90-BOTT_C3),0),IF($A90&gt;BOTT_C2,ROUND(BASE_C2+RATE_C2*($A90-BOTT_C2),0),ROUND(RATE_C1*$A90,0))))</f>
        <v/>
      </c>
      <c r="G90" s="556">
        <f>IF($A90&gt;BOTT_D4,ROUND(BASE_D4+RATE_D4*($A90-BOTT_D4),0),IF($A90&gt;BOTT_D3,ROUND(BASE_D3+RATE_D3*($A90-BOTT_D3),0),IF($A90&gt;BOTT_D2,ROUND(BASE_D2+RATE_D2*($A90-BOTT_D2),0),ROUND(RATE_D1*$A90,0))))</f>
        <v/>
      </c>
    </row>
    <row r="91" ht="15.75" customHeight="1" s="7635">
      <c r="A91" s="625">
        <f>AVERAGE(B91,C91)</f>
        <v/>
      </c>
      <c r="B91" s="555" t="n">
        <v>2175</v>
      </c>
      <c r="C91" s="555" t="n">
        <v>2200</v>
      </c>
      <c r="D91" s="556">
        <f>IF($A91&gt;BOTT_A4,ROUND(BASE_A4+RATE_A4*($A91-BOTT_A4),0),IF($A91&gt;BOTT_A3,ROUND(BASE_A3+RATE_A3*($A91-BOTT_A3),0),IF($A91&gt;BOTT_A2,ROUND(BASE_A2+RATE_A2*($A91-BOTT_A2),0),ROUND(RATE_A1*$A91,0))))</f>
        <v/>
      </c>
      <c r="E91" s="556">
        <f>IF($A91&gt;BOTT_B4,ROUND(BASE_B4+RATE_B4*($A91-BOTT_B4),0),IF($A91&gt;BOTT_B3,ROUND(BASE_B3+RATE_B3*($A91-BOTT_B3),0),IF($A91&gt;BOTT_B2,ROUND(BASE_B2+RATE_B2*($A91-BOTT_B2),0),ROUND(RATE_B1*$A91,0))))</f>
        <v/>
      </c>
      <c r="F91" s="556">
        <f>IF($A91&gt;BOTT_C4,ROUND(BASE_C4+RATE_C4*($A91-BOTT_C4),0),IF($A91&gt;BOTT_C3,ROUND(BASE_C3+RATE_C3*($A91-BOTT_C3),0),IF($A91&gt;BOTT_C2,ROUND(BASE_C2+RATE_C2*($A91-BOTT_C2),0),ROUND(RATE_C1*$A91,0))))</f>
        <v/>
      </c>
      <c r="G91" s="556">
        <f>IF($A91&gt;BOTT_D4,ROUND(BASE_D4+RATE_D4*($A91-BOTT_D4),0),IF($A91&gt;BOTT_D3,ROUND(BASE_D3+RATE_D3*($A91-BOTT_D3),0),IF($A91&gt;BOTT_D2,ROUND(BASE_D2+RATE_D2*($A91-BOTT_D2),0),ROUND(RATE_D1*$A91,0))))</f>
        <v/>
      </c>
    </row>
    <row r="92" ht="15.75" customHeight="1" s="7635">
      <c r="A92" s="625">
        <f>AVERAGE(B92,C92)</f>
        <v/>
      </c>
      <c r="B92" s="555" t="n">
        <v>2200</v>
      </c>
      <c r="C92" s="555" t="n">
        <v>2225</v>
      </c>
      <c r="D92" s="556">
        <f>IF($A92&gt;BOTT_A4,ROUND(BASE_A4+RATE_A4*($A92-BOTT_A4),0),IF($A92&gt;BOTT_A3,ROUND(BASE_A3+RATE_A3*($A92-BOTT_A3),0),IF($A92&gt;BOTT_A2,ROUND(BASE_A2+RATE_A2*($A92-BOTT_A2),0),ROUND(RATE_A1*$A92,0))))</f>
        <v/>
      </c>
      <c r="E92" s="556">
        <f>IF($A92&gt;BOTT_B4,ROUND(BASE_B4+RATE_B4*($A92-BOTT_B4),0),IF($A92&gt;BOTT_B3,ROUND(BASE_B3+RATE_B3*($A92-BOTT_B3),0),IF($A92&gt;BOTT_B2,ROUND(BASE_B2+RATE_B2*($A92-BOTT_B2),0),ROUND(RATE_B1*$A92,0))))</f>
        <v/>
      </c>
      <c r="F92" s="556">
        <f>IF($A92&gt;BOTT_C4,ROUND(BASE_C4+RATE_C4*($A92-BOTT_C4),0),IF($A92&gt;BOTT_C3,ROUND(BASE_C3+RATE_C3*($A92-BOTT_C3),0),IF($A92&gt;BOTT_C2,ROUND(BASE_C2+RATE_C2*($A92-BOTT_C2),0),ROUND(RATE_C1*$A92,0))))</f>
        <v/>
      </c>
      <c r="G92" s="556">
        <f>IF($A92&gt;BOTT_D4,ROUND(BASE_D4+RATE_D4*($A92-BOTT_D4),0),IF($A92&gt;BOTT_D3,ROUND(BASE_D3+RATE_D3*($A92-BOTT_D3),0),IF($A92&gt;BOTT_D2,ROUND(BASE_D2+RATE_D2*($A92-BOTT_D2),0),ROUND(RATE_D1*$A92,0))))</f>
        <v/>
      </c>
    </row>
    <row r="93" ht="15.75" customHeight="1" s="7635">
      <c r="A93" s="625">
        <f>AVERAGE(B93,C93)</f>
        <v/>
      </c>
      <c r="B93" s="555" t="n">
        <v>2225</v>
      </c>
      <c r="C93" s="555" t="n">
        <v>2250</v>
      </c>
      <c r="D93" s="556">
        <f>IF($A93&gt;BOTT_A4,ROUND(BASE_A4+RATE_A4*($A93-BOTT_A4),0),IF($A93&gt;BOTT_A3,ROUND(BASE_A3+RATE_A3*($A93-BOTT_A3),0),IF($A93&gt;BOTT_A2,ROUND(BASE_A2+RATE_A2*($A93-BOTT_A2),0),ROUND(RATE_A1*$A93,0))))</f>
        <v/>
      </c>
      <c r="E93" s="556">
        <f>IF($A93&gt;BOTT_B4,ROUND(BASE_B4+RATE_B4*($A93-BOTT_B4),0),IF($A93&gt;BOTT_B3,ROUND(BASE_B3+RATE_B3*($A93-BOTT_B3),0),IF($A93&gt;BOTT_B2,ROUND(BASE_B2+RATE_B2*($A93-BOTT_B2),0),ROUND(RATE_B1*$A93,0))))</f>
        <v/>
      </c>
      <c r="F93" s="556">
        <f>IF($A93&gt;BOTT_C4,ROUND(BASE_C4+RATE_C4*($A93-BOTT_C4),0),IF($A93&gt;BOTT_C3,ROUND(BASE_C3+RATE_C3*($A93-BOTT_C3),0),IF($A93&gt;BOTT_C2,ROUND(BASE_C2+RATE_C2*($A93-BOTT_C2),0),ROUND(RATE_C1*$A93,0))))</f>
        <v/>
      </c>
      <c r="G93" s="556">
        <f>IF($A93&gt;BOTT_D4,ROUND(BASE_D4+RATE_D4*($A93-BOTT_D4),0),IF($A93&gt;BOTT_D3,ROUND(BASE_D3+RATE_D3*($A93-BOTT_D3),0),IF($A93&gt;BOTT_D2,ROUND(BASE_D2+RATE_D2*($A93-BOTT_D2),0),ROUND(RATE_D1*$A93,0))))</f>
        <v/>
      </c>
    </row>
    <row r="94" ht="15.75" customHeight="1" s="7635">
      <c r="A94" s="625">
        <f>AVERAGE(B94,C94)</f>
        <v/>
      </c>
      <c r="B94" s="555" t="n">
        <v>2250</v>
      </c>
      <c r="C94" s="555" t="n">
        <v>2275</v>
      </c>
      <c r="D94" s="556">
        <f>IF($A94&gt;BOTT_A4,ROUND(BASE_A4+RATE_A4*($A94-BOTT_A4),0),IF($A94&gt;BOTT_A3,ROUND(BASE_A3+RATE_A3*($A94-BOTT_A3),0),IF($A94&gt;BOTT_A2,ROUND(BASE_A2+RATE_A2*($A94-BOTT_A2),0),ROUND(RATE_A1*$A94,0))))</f>
        <v/>
      </c>
      <c r="E94" s="556">
        <f>IF($A94&gt;BOTT_B4,ROUND(BASE_B4+RATE_B4*($A94-BOTT_B4),0),IF($A94&gt;BOTT_B3,ROUND(BASE_B3+RATE_B3*($A94-BOTT_B3),0),IF($A94&gt;BOTT_B2,ROUND(BASE_B2+RATE_B2*($A94-BOTT_B2),0),ROUND(RATE_B1*$A94,0))))</f>
        <v/>
      </c>
      <c r="F94" s="556">
        <f>IF($A94&gt;BOTT_C4,ROUND(BASE_C4+RATE_C4*($A94-BOTT_C4),0),IF($A94&gt;BOTT_C3,ROUND(BASE_C3+RATE_C3*($A94-BOTT_C3),0),IF($A94&gt;BOTT_C2,ROUND(BASE_C2+RATE_C2*($A94-BOTT_C2),0),ROUND(RATE_C1*$A94,0))))</f>
        <v/>
      </c>
      <c r="G94" s="556">
        <f>IF($A94&gt;BOTT_D4,ROUND(BASE_D4+RATE_D4*($A94-BOTT_D4),0),IF($A94&gt;BOTT_D3,ROUND(BASE_D3+RATE_D3*($A94-BOTT_D3),0),IF($A94&gt;BOTT_D2,ROUND(BASE_D2+RATE_D2*($A94-BOTT_D2),0),ROUND(RATE_D1*$A94,0))))</f>
        <v/>
      </c>
    </row>
    <row r="95" ht="15.75" customHeight="1" s="7635">
      <c r="A95" s="625">
        <f>AVERAGE(B95,C95)</f>
        <v/>
      </c>
      <c r="B95" s="555" t="n">
        <v>2275</v>
      </c>
      <c r="C95" s="555" t="n">
        <v>2300</v>
      </c>
      <c r="D95" s="556">
        <f>IF($A95&gt;BOTT_A4,ROUND(BASE_A4+RATE_A4*($A95-BOTT_A4),0),IF($A95&gt;BOTT_A3,ROUND(BASE_A3+RATE_A3*($A95-BOTT_A3),0),IF($A95&gt;BOTT_A2,ROUND(BASE_A2+RATE_A2*($A95-BOTT_A2),0),ROUND(RATE_A1*$A95,0))))</f>
        <v/>
      </c>
      <c r="E95" s="556">
        <f>IF($A95&gt;BOTT_B4,ROUND(BASE_B4+RATE_B4*($A95-BOTT_B4),0),IF($A95&gt;BOTT_B3,ROUND(BASE_B3+RATE_B3*($A95-BOTT_B3),0),IF($A95&gt;BOTT_B2,ROUND(BASE_B2+RATE_B2*($A95-BOTT_B2),0),ROUND(RATE_B1*$A95,0))))</f>
        <v/>
      </c>
      <c r="F95" s="556">
        <f>IF($A95&gt;BOTT_C4,ROUND(BASE_C4+RATE_C4*($A95-BOTT_C4),0),IF($A95&gt;BOTT_C3,ROUND(BASE_C3+RATE_C3*($A95-BOTT_C3),0),IF($A95&gt;BOTT_C2,ROUND(BASE_C2+RATE_C2*($A95-BOTT_C2),0),ROUND(RATE_C1*$A95,0))))</f>
        <v/>
      </c>
      <c r="G95" s="556">
        <f>IF($A95&gt;BOTT_D4,ROUND(BASE_D4+RATE_D4*($A95-BOTT_D4),0),IF($A95&gt;BOTT_D3,ROUND(BASE_D3+RATE_D3*($A95-BOTT_D3),0),IF($A95&gt;BOTT_D2,ROUND(BASE_D2+RATE_D2*($A95-BOTT_D2),0),ROUND(RATE_D1*$A95,0))))</f>
        <v/>
      </c>
    </row>
    <row r="96" ht="15.75" customHeight="1" s="7635">
      <c r="A96" s="625">
        <f>AVERAGE(B96,C96)</f>
        <v/>
      </c>
      <c r="B96" s="555" t="n">
        <v>2300</v>
      </c>
      <c r="C96" s="555" t="n">
        <v>2325</v>
      </c>
      <c r="D96" s="556">
        <f>IF($A96&gt;BOTT_A4,ROUND(BASE_A4+RATE_A4*($A96-BOTT_A4),0),IF($A96&gt;BOTT_A3,ROUND(BASE_A3+RATE_A3*($A96-BOTT_A3),0),IF($A96&gt;BOTT_A2,ROUND(BASE_A2+RATE_A2*($A96-BOTT_A2),0),ROUND(RATE_A1*$A96,0))))</f>
        <v/>
      </c>
      <c r="E96" s="556">
        <f>IF($A96&gt;BOTT_B4,ROUND(BASE_B4+RATE_B4*($A96-BOTT_B4),0),IF($A96&gt;BOTT_B3,ROUND(BASE_B3+RATE_B3*($A96-BOTT_B3),0),IF($A96&gt;BOTT_B2,ROUND(BASE_B2+RATE_B2*($A96-BOTT_B2),0),ROUND(RATE_B1*$A96,0))))</f>
        <v/>
      </c>
      <c r="F96" s="556">
        <f>IF($A96&gt;BOTT_C4,ROUND(BASE_C4+RATE_C4*($A96-BOTT_C4),0),IF($A96&gt;BOTT_C3,ROUND(BASE_C3+RATE_C3*($A96-BOTT_C3),0),IF($A96&gt;BOTT_C2,ROUND(BASE_C2+RATE_C2*($A96-BOTT_C2),0),ROUND(RATE_C1*$A96,0))))</f>
        <v/>
      </c>
      <c r="G96" s="556">
        <f>IF($A96&gt;BOTT_D4,ROUND(BASE_D4+RATE_D4*($A96-BOTT_D4),0),IF($A96&gt;BOTT_D3,ROUND(BASE_D3+RATE_D3*($A96-BOTT_D3),0),IF($A96&gt;BOTT_D2,ROUND(BASE_D2+RATE_D2*($A96-BOTT_D2),0),ROUND(RATE_D1*$A96,0))))</f>
        <v/>
      </c>
    </row>
    <row r="97" ht="15.75" customHeight="1" s="7635">
      <c r="A97" s="625">
        <f>AVERAGE(B97,C97)</f>
        <v/>
      </c>
      <c r="B97" s="555" t="n">
        <v>2325</v>
      </c>
      <c r="C97" s="555" t="n">
        <v>2350</v>
      </c>
      <c r="D97" s="556">
        <f>IF($A97&gt;BOTT_A4,ROUND(BASE_A4+RATE_A4*($A97-BOTT_A4),0),IF($A97&gt;BOTT_A3,ROUND(BASE_A3+RATE_A3*($A97-BOTT_A3),0),IF($A97&gt;BOTT_A2,ROUND(BASE_A2+RATE_A2*($A97-BOTT_A2),0),ROUND(RATE_A1*$A97,0))))</f>
        <v/>
      </c>
      <c r="E97" s="556">
        <f>IF($A97&gt;BOTT_B4,ROUND(BASE_B4+RATE_B4*($A97-BOTT_B4),0),IF($A97&gt;BOTT_B3,ROUND(BASE_B3+RATE_B3*($A97-BOTT_B3),0),IF($A97&gt;BOTT_B2,ROUND(BASE_B2+RATE_B2*($A97-BOTT_B2),0),ROUND(RATE_B1*$A97,0))))</f>
        <v/>
      </c>
      <c r="F97" s="556">
        <f>IF($A97&gt;BOTT_C4,ROUND(BASE_C4+RATE_C4*($A97-BOTT_C4),0),IF($A97&gt;BOTT_C3,ROUND(BASE_C3+RATE_C3*($A97-BOTT_C3),0),IF($A97&gt;BOTT_C2,ROUND(BASE_C2+RATE_C2*($A97-BOTT_C2),0),ROUND(RATE_C1*$A97,0))))</f>
        <v/>
      </c>
      <c r="G97" s="556">
        <f>IF($A97&gt;BOTT_D4,ROUND(BASE_D4+RATE_D4*($A97-BOTT_D4),0),IF($A97&gt;BOTT_D3,ROUND(BASE_D3+RATE_D3*($A97-BOTT_D3),0),IF($A97&gt;BOTT_D2,ROUND(BASE_D2+RATE_D2*($A97-BOTT_D2),0),ROUND(RATE_D1*$A97,0))))</f>
        <v/>
      </c>
    </row>
    <row r="98" ht="15.75" customHeight="1" s="7635">
      <c r="A98" s="625">
        <f>AVERAGE(B98,C98)</f>
        <v/>
      </c>
      <c r="B98" s="555" t="n">
        <v>2350</v>
      </c>
      <c r="C98" s="555" t="n">
        <v>2375</v>
      </c>
      <c r="D98" s="556">
        <f>IF($A98&gt;BOTT_A4,ROUND(BASE_A4+RATE_A4*($A98-BOTT_A4),0),IF($A98&gt;BOTT_A3,ROUND(BASE_A3+RATE_A3*($A98-BOTT_A3),0),IF($A98&gt;BOTT_A2,ROUND(BASE_A2+RATE_A2*($A98-BOTT_A2),0),ROUND(RATE_A1*$A98,0))))</f>
        <v/>
      </c>
      <c r="E98" s="556">
        <f>IF($A98&gt;BOTT_B4,ROUND(BASE_B4+RATE_B4*($A98-BOTT_B4),0),IF($A98&gt;BOTT_B3,ROUND(BASE_B3+RATE_B3*($A98-BOTT_B3),0),IF($A98&gt;BOTT_B2,ROUND(BASE_B2+RATE_B2*($A98-BOTT_B2),0),ROUND(RATE_B1*$A98,0))))</f>
        <v/>
      </c>
      <c r="F98" s="556">
        <f>IF($A98&gt;BOTT_C4,ROUND(BASE_C4+RATE_C4*($A98-BOTT_C4),0),IF($A98&gt;BOTT_C3,ROUND(BASE_C3+RATE_C3*($A98-BOTT_C3),0),IF($A98&gt;BOTT_C2,ROUND(BASE_C2+RATE_C2*($A98-BOTT_C2),0),ROUND(RATE_C1*$A98,0))))</f>
        <v/>
      </c>
      <c r="G98" s="556">
        <f>IF($A98&gt;BOTT_D4,ROUND(BASE_D4+RATE_D4*($A98-BOTT_D4),0),IF($A98&gt;BOTT_D3,ROUND(BASE_D3+RATE_D3*($A98-BOTT_D3),0),IF($A98&gt;BOTT_D2,ROUND(BASE_D2+RATE_D2*($A98-BOTT_D2),0),ROUND(RATE_D1*$A98,0))))</f>
        <v/>
      </c>
    </row>
    <row r="99" ht="15.75" customHeight="1" s="7635">
      <c r="A99" s="625">
        <f>AVERAGE(B99,C99)</f>
        <v/>
      </c>
      <c r="B99" s="555" t="n">
        <v>2375</v>
      </c>
      <c r="C99" s="555" t="n">
        <v>2400</v>
      </c>
      <c r="D99" s="556">
        <f>IF($A99&gt;BOTT_A4,ROUND(BASE_A4+RATE_A4*($A99-BOTT_A4),0),IF($A99&gt;BOTT_A3,ROUND(BASE_A3+RATE_A3*($A99-BOTT_A3),0),IF($A99&gt;BOTT_A2,ROUND(BASE_A2+RATE_A2*($A99-BOTT_A2),0),ROUND(RATE_A1*$A99,0))))</f>
        <v/>
      </c>
      <c r="E99" s="556">
        <f>IF($A99&gt;BOTT_B4,ROUND(BASE_B4+RATE_B4*($A99-BOTT_B4),0),IF($A99&gt;BOTT_B3,ROUND(BASE_B3+RATE_B3*($A99-BOTT_B3),0),IF($A99&gt;BOTT_B2,ROUND(BASE_B2+RATE_B2*($A99-BOTT_B2),0),ROUND(RATE_B1*$A99,0))))</f>
        <v/>
      </c>
      <c r="F99" s="556">
        <f>IF($A99&gt;BOTT_C4,ROUND(BASE_C4+RATE_C4*($A99-BOTT_C4),0),IF($A99&gt;BOTT_C3,ROUND(BASE_C3+RATE_C3*($A99-BOTT_C3),0),IF($A99&gt;BOTT_C2,ROUND(BASE_C2+RATE_C2*($A99-BOTT_C2),0),ROUND(RATE_C1*$A99,0))))</f>
        <v/>
      </c>
      <c r="G99" s="556">
        <f>IF($A99&gt;BOTT_D4,ROUND(BASE_D4+RATE_D4*($A99-BOTT_D4),0),IF($A99&gt;BOTT_D3,ROUND(BASE_D3+RATE_D3*($A99-BOTT_D3),0),IF($A99&gt;BOTT_D2,ROUND(BASE_D2+RATE_D2*($A99-BOTT_D2),0),ROUND(RATE_D1*$A99,0))))</f>
        <v/>
      </c>
    </row>
    <row r="100" ht="15.75" customHeight="1" s="7635">
      <c r="A100" s="625">
        <f>AVERAGE(B100,C100)</f>
        <v/>
      </c>
      <c r="B100" s="555" t="n">
        <v>2400</v>
      </c>
      <c r="C100" s="555" t="n">
        <v>2425</v>
      </c>
      <c r="D100" s="556">
        <f>IF($A100&gt;BOTT_A4,ROUND(BASE_A4+RATE_A4*($A100-BOTT_A4),0),IF($A100&gt;BOTT_A3,ROUND(BASE_A3+RATE_A3*($A100-BOTT_A3),0),IF($A100&gt;BOTT_A2,ROUND(BASE_A2+RATE_A2*($A100-BOTT_A2),0),ROUND(RATE_A1*$A100,0))))</f>
        <v/>
      </c>
      <c r="E100" s="556">
        <f>IF($A100&gt;BOTT_B4,ROUND(BASE_B4+RATE_B4*($A100-BOTT_B4),0),IF($A100&gt;BOTT_B3,ROUND(BASE_B3+RATE_B3*($A100-BOTT_B3),0),IF($A100&gt;BOTT_B2,ROUND(BASE_B2+RATE_B2*($A100-BOTT_B2),0),ROUND(RATE_B1*$A100,0))))</f>
        <v/>
      </c>
      <c r="F100" s="556">
        <f>IF($A100&gt;BOTT_C4,ROUND(BASE_C4+RATE_C4*($A100-BOTT_C4),0),IF($A100&gt;BOTT_C3,ROUND(BASE_C3+RATE_C3*($A100-BOTT_C3),0),IF($A100&gt;BOTT_C2,ROUND(BASE_C2+RATE_C2*($A100-BOTT_C2),0),ROUND(RATE_C1*$A100,0))))</f>
        <v/>
      </c>
      <c r="G100" s="556">
        <f>IF($A100&gt;BOTT_D4,ROUND(BASE_D4+RATE_D4*($A100-BOTT_D4),0),IF($A100&gt;BOTT_D3,ROUND(BASE_D3+RATE_D3*($A100-BOTT_D3),0),IF($A100&gt;BOTT_D2,ROUND(BASE_D2+RATE_D2*($A100-BOTT_D2),0),ROUND(RATE_D1*$A100,0))))</f>
        <v/>
      </c>
    </row>
    <row r="101" ht="15.75" customHeight="1" s="7635">
      <c r="A101" s="625">
        <f>AVERAGE(B101,C101)</f>
        <v/>
      </c>
      <c r="B101" s="555" t="n">
        <v>2425</v>
      </c>
      <c r="C101" s="555" t="n">
        <v>2450</v>
      </c>
      <c r="D101" s="556">
        <f>IF($A101&gt;BOTT_A4,ROUND(BASE_A4+RATE_A4*($A101-BOTT_A4),0),IF($A101&gt;BOTT_A3,ROUND(BASE_A3+RATE_A3*($A101-BOTT_A3),0),IF($A101&gt;BOTT_A2,ROUND(BASE_A2+RATE_A2*($A101-BOTT_A2),0),ROUND(RATE_A1*$A101,0))))</f>
        <v/>
      </c>
      <c r="E101" s="556">
        <f>IF($A101&gt;BOTT_B4,ROUND(BASE_B4+RATE_B4*($A101-BOTT_B4),0),IF($A101&gt;BOTT_B3,ROUND(BASE_B3+RATE_B3*($A101-BOTT_B3),0),IF($A101&gt;BOTT_B2,ROUND(BASE_B2+RATE_B2*($A101-BOTT_B2),0),ROUND(RATE_B1*$A101,0))))</f>
        <v/>
      </c>
      <c r="F101" s="556">
        <f>IF($A101&gt;BOTT_C4,ROUND(BASE_C4+RATE_C4*($A101-BOTT_C4),0),IF($A101&gt;BOTT_C3,ROUND(BASE_C3+RATE_C3*($A101-BOTT_C3),0),IF($A101&gt;BOTT_C2,ROUND(BASE_C2+RATE_C2*($A101-BOTT_C2),0),ROUND(RATE_C1*$A101,0))))</f>
        <v/>
      </c>
      <c r="G101" s="556">
        <f>IF($A101&gt;BOTT_D4,ROUND(BASE_D4+RATE_D4*($A101-BOTT_D4),0),IF($A101&gt;BOTT_D3,ROUND(BASE_D3+RATE_D3*($A101-BOTT_D3),0),IF($A101&gt;BOTT_D2,ROUND(BASE_D2+RATE_D2*($A101-BOTT_D2),0),ROUND(RATE_D1*$A101,0))))</f>
        <v/>
      </c>
    </row>
    <row r="102" ht="15.75" customHeight="1" s="7635">
      <c r="A102" s="625">
        <f>AVERAGE(B102,C102)</f>
        <v/>
      </c>
      <c r="B102" s="555" t="n">
        <v>2450</v>
      </c>
      <c r="C102" s="555" t="n">
        <v>2475</v>
      </c>
      <c r="D102" s="556">
        <f>IF($A102&gt;BOTT_A4,ROUND(BASE_A4+RATE_A4*($A102-BOTT_A4),0),IF($A102&gt;BOTT_A3,ROUND(BASE_A3+RATE_A3*($A102-BOTT_A3),0),IF($A102&gt;BOTT_A2,ROUND(BASE_A2+RATE_A2*($A102-BOTT_A2),0),ROUND(RATE_A1*$A102,0))))</f>
        <v/>
      </c>
      <c r="E102" s="556">
        <f>IF($A102&gt;BOTT_B4,ROUND(BASE_B4+RATE_B4*($A102-BOTT_B4),0),IF($A102&gt;BOTT_B3,ROUND(BASE_B3+RATE_B3*($A102-BOTT_B3),0),IF($A102&gt;BOTT_B2,ROUND(BASE_B2+RATE_B2*($A102-BOTT_B2),0),ROUND(RATE_B1*$A102,0))))</f>
        <v/>
      </c>
      <c r="F102" s="556">
        <f>IF($A102&gt;BOTT_C4,ROUND(BASE_C4+RATE_C4*($A102-BOTT_C4),0),IF($A102&gt;BOTT_C3,ROUND(BASE_C3+RATE_C3*($A102-BOTT_C3),0),IF($A102&gt;BOTT_C2,ROUND(BASE_C2+RATE_C2*($A102-BOTT_C2),0),ROUND(RATE_C1*$A102,0))))</f>
        <v/>
      </c>
      <c r="G102" s="556">
        <f>IF($A102&gt;BOTT_D4,ROUND(BASE_D4+RATE_D4*($A102-BOTT_D4),0),IF($A102&gt;BOTT_D3,ROUND(BASE_D3+RATE_D3*($A102-BOTT_D3),0),IF($A102&gt;BOTT_D2,ROUND(BASE_D2+RATE_D2*($A102-BOTT_D2),0),ROUND(RATE_D1*$A102,0))))</f>
        <v/>
      </c>
    </row>
    <row r="103" ht="15.75" customHeight="1" s="7635">
      <c r="A103" s="625">
        <f>AVERAGE(B103,C103)</f>
        <v/>
      </c>
      <c r="B103" s="555" t="n">
        <v>2475</v>
      </c>
      <c r="C103" s="555" t="n">
        <v>2500</v>
      </c>
      <c r="D103" s="556">
        <f>IF($A103&gt;BOTT_A4,ROUND(BASE_A4+RATE_A4*($A103-BOTT_A4),0),IF($A103&gt;BOTT_A3,ROUND(BASE_A3+RATE_A3*($A103-BOTT_A3),0),IF($A103&gt;BOTT_A2,ROUND(BASE_A2+RATE_A2*($A103-BOTT_A2),0),ROUND(RATE_A1*$A103,0))))</f>
        <v/>
      </c>
      <c r="E103" s="556">
        <f>IF($A103&gt;BOTT_B4,ROUND(BASE_B4+RATE_B4*($A103-BOTT_B4),0),IF($A103&gt;BOTT_B3,ROUND(BASE_B3+RATE_B3*($A103-BOTT_B3),0),IF($A103&gt;BOTT_B2,ROUND(BASE_B2+RATE_B2*($A103-BOTT_B2),0),ROUND(RATE_B1*$A103,0))))</f>
        <v/>
      </c>
      <c r="F103" s="556">
        <f>IF($A103&gt;BOTT_C4,ROUND(BASE_C4+RATE_C4*($A103-BOTT_C4),0),IF($A103&gt;BOTT_C3,ROUND(BASE_C3+RATE_C3*($A103-BOTT_C3),0),IF($A103&gt;BOTT_C2,ROUND(BASE_C2+RATE_C2*($A103-BOTT_C2),0),ROUND(RATE_C1*$A103,0))))</f>
        <v/>
      </c>
      <c r="G103" s="556">
        <f>IF($A103&gt;BOTT_D4,ROUND(BASE_D4+RATE_D4*($A103-BOTT_D4),0),IF($A103&gt;BOTT_D3,ROUND(BASE_D3+RATE_D3*($A103-BOTT_D3),0),IF($A103&gt;BOTT_D2,ROUND(BASE_D2+RATE_D2*($A103-BOTT_D2),0),ROUND(RATE_D1*$A103,0))))</f>
        <v/>
      </c>
    </row>
    <row r="104" ht="15.75" customHeight="1" s="7635">
      <c r="A104" s="625">
        <f>AVERAGE(B104,C104)</f>
        <v/>
      </c>
      <c r="B104" s="555" t="n">
        <v>2500</v>
      </c>
      <c r="C104" s="555" t="n">
        <v>2525</v>
      </c>
      <c r="D104" s="556">
        <f>IF($A104&gt;BOTT_A4,ROUND(BASE_A4+RATE_A4*($A104-BOTT_A4),0),IF($A104&gt;BOTT_A3,ROUND(BASE_A3+RATE_A3*($A104-BOTT_A3),0),IF($A104&gt;BOTT_A2,ROUND(BASE_A2+RATE_A2*($A104-BOTT_A2),0),ROUND(RATE_A1*$A104,0))))</f>
        <v/>
      </c>
      <c r="E104" s="556">
        <f>IF($A104&gt;BOTT_B4,ROUND(BASE_B4+RATE_B4*($A104-BOTT_B4),0),IF($A104&gt;BOTT_B3,ROUND(BASE_B3+RATE_B3*($A104-BOTT_B3),0),IF($A104&gt;BOTT_B2,ROUND(BASE_B2+RATE_B2*($A104-BOTT_B2),0),ROUND(RATE_B1*$A104,0))))</f>
        <v/>
      </c>
      <c r="F104" s="556">
        <f>IF($A104&gt;BOTT_C4,ROUND(BASE_C4+RATE_C4*($A104-BOTT_C4),0),IF($A104&gt;BOTT_C3,ROUND(BASE_C3+RATE_C3*($A104-BOTT_C3),0),IF($A104&gt;BOTT_C2,ROUND(BASE_C2+RATE_C2*($A104-BOTT_C2),0),ROUND(RATE_C1*$A104,0))))</f>
        <v/>
      </c>
      <c r="G104" s="556">
        <f>IF($A104&gt;BOTT_D4,ROUND(BASE_D4+RATE_D4*($A104-BOTT_D4),0),IF($A104&gt;BOTT_D3,ROUND(BASE_D3+RATE_D3*($A104-BOTT_D3),0),IF($A104&gt;BOTT_D2,ROUND(BASE_D2+RATE_D2*($A104-BOTT_D2),0),ROUND(RATE_D1*$A104,0))))</f>
        <v/>
      </c>
    </row>
    <row r="105" ht="15.75" customHeight="1" s="7635">
      <c r="A105" s="625">
        <f>AVERAGE(B105,C105)</f>
        <v/>
      </c>
      <c r="B105" s="555" t="n">
        <v>2525</v>
      </c>
      <c r="C105" s="555" t="n">
        <v>2550</v>
      </c>
      <c r="D105" s="556">
        <f>IF($A105&gt;BOTT_A4,ROUND(BASE_A4+RATE_A4*($A105-BOTT_A4),0),IF($A105&gt;BOTT_A3,ROUND(BASE_A3+RATE_A3*($A105-BOTT_A3),0),IF($A105&gt;BOTT_A2,ROUND(BASE_A2+RATE_A2*($A105-BOTT_A2),0),ROUND(RATE_A1*$A105,0))))</f>
        <v/>
      </c>
      <c r="E105" s="556">
        <f>IF($A105&gt;BOTT_B4,ROUND(BASE_B4+RATE_B4*($A105-BOTT_B4),0),IF($A105&gt;BOTT_B3,ROUND(BASE_B3+RATE_B3*($A105-BOTT_B3),0),IF($A105&gt;BOTT_B2,ROUND(BASE_B2+RATE_B2*($A105-BOTT_B2),0),ROUND(RATE_B1*$A105,0))))</f>
        <v/>
      </c>
      <c r="F105" s="556">
        <f>IF($A105&gt;BOTT_C4,ROUND(BASE_C4+RATE_C4*($A105-BOTT_C4),0),IF($A105&gt;BOTT_C3,ROUND(BASE_C3+RATE_C3*($A105-BOTT_C3),0),IF($A105&gt;BOTT_C2,ROUND(BASE_C2+RATE_C2*($A105-BOTT_C2),0),ROUND(RATE_C1*$A105,0))))</f>
        <v/>
      </c>
      <c r="G105" s="556">
        <f>IF($A105&gt;BOTT_D4,ROUND(BASE_D4+RATE_D4*($A105-BOTT_D4),0),IF($A105&gt;BOTT_D3,ROUND(BASE_D3+RATE_D3*($A105-BOTT_D3),0),IF($A105&gt;BOTT_D2,ROUND(BASE_D2+RATE_D2*($A105-BOTT_D2),0),ROUND(RATE_D1*$A105,0))))</f>
        <v/>
      </c>
    </row>
    <row r="106" ht="15.75" customHeight="1" s="7635">
      <c r="A106" s="625">
        <f>AVERAGE(B106,C106)</f>
        <v/>
      </c>
      <c r="B106" s="555" t="n">
        <v>2550</v>
      </c>
      <c r="C106" s="555" t="n">
        <v>2575</v>
      </c>
      <c r="D106" s="556">
        <f>IF($A106&gt;BOTT_A4,ROUND(BASE_A4+RATE_A4*($A106-BOTT_A4),0),IF($A106&gt;BOTT_A3,ROUND(BASE_A3+RATE_A3*($A106-BOTT_A3),0),IF($A106&gt;BOTT_A2,ROUND(BASE_A2+RATE_A2*($A106-BOTT_A2),0),ROUND(RATE_A1*$A106,0))))</f>
        <v/>
      </c>
      <c r="E106" s="556">
        <f>IF($A106&gt;BOTT_B4,ROUND(BASE_B4+RATE_B4*($A106-BOTT_B4),0),IF($A106&gt;BOTT_B3,ROUND(BASE_B3+RATE_B3*($A106-BOTT_B3),0),IF($A106&gt;BOTT_B2,ROUND(BASE_B2+RATE_B2*($A106-BOTT_B2),0),ROUND(RATE_B1*$A106,0))))</f>
        <v/>
      </c>
      <c r="F106" s="556">
        <f>IF($A106&gt;BOTT_C4,ROUND(BASE_C4+RATE_C4*($A106-BOTT_C4),0),IF($A106&gt;BOTT_C3,ROUND(BASE_C3+RATE_C3*($A106-BOTT_C3),0),IF($A106&gt;BOTT_C2,ROUND(BASE_C2+RATE_C2*($A106-BOTT_C2),0),ROUND(RATE_C1*$A106,0))))</f>
        <v/>
      </c>
      <c r="G106" s="556">
        <f>IF($A106&gt;BOTT_D4,ROUND(BASE_D4+RATE_D4*($A106-BOTT_D4),0),IF($A106&gt;BOTT_D3,ROUND(BASE_D3+RATE_D3*($A106-BOTT_D3),0),IF($A106&gt;BOTT_D2,ROUND(BASE_D2+RATE_D2*($A106-BOTT_D2),0),ROUND(RATE_D1*$A106,0))))</f>
        <v/>
      </c>
    </row>
    <row r="107" ht="15.75" customHeight="1" s="7635">
      <c r="A107" s="625">
        <f>AVERAGE(B107,C107)</f>
        <v/>
      </c>
      <c r="B107" s="555" t="n">
        <v>2575</v>
      </c>
      <c r="C107" s="555" t="n">
        <v>2600</v>
      </c>
      <c r="D107" s="556">
        <f>IF($A107&gt;BOTT_A4,ROUND(BASE_A4+RATE_A4*($A107-BOTT_A4),0),IF($A107&gt;BOTT_A3,ROUND(BASE_A3+RATE_A3*($A107-BOTT_A3),0),IF($A107&gt;BOTT_A2,ROUND(BASE_A2+RATE_A2*($A107-BOTT_A2),0),ROUND(RATE_A1*$A107,0))))</f>
        <v/>
      </c>
      <c r="E107" s="556">
        <f>IF($A107&gt;BOTT_B4,ROUND(BASE_B4+RATE_B4*($A107-BOTT_B4),0),IF($A107&gt;BOTT_B3,ROUND(BASE_B3+RATE_B3*($A107-BOTT_B3),0),IF($A107&gt;BOTT_B2,ROUND(BASE_B2+RATE_B2*($A107-BOTT_B2),0),ROUND(RATE_B1*$A107,0))))</f>
        <v/>
      </c>
      <c r="F107" s="556">
        <f>IF($A107&gt;BOTT_C4,ROUND(BASE_C4+RATE_C4*($A107-BOTT_C4),0),IF($A107&gt;BOTT_C3,ROUND(BASE_C3+RATE_C3*($A107-BOTT_C3),0),IF($A107&gt;BOTT_C2,ROUND(BASE_C2+RATE_C2*($A107-BOTT_C2),0),ROUND(RATE_C1*$A107,0))))</f>
        <v/>
      </c>
      <c r="G107" s="556">
        <f>IF($A107&gt;BOTT_D4,ROUND(BASE_D4+RATE_D4*($A107-BOTT_D4),0),IF($A107&gt;BOTT_D3,ROUND(BASE_D3+RATE_D3*($A107-BOTT_D3),0),IF($A107&gt;BOTT_D2,ROUND(BASE_D2+RATE_D2*($A107-BOTT_D2),0),ROUND(RATE_D1*$A107,0))))</f>
        <v/>
      </c>
    </row>
    <row r="108" ht="15.75" customHeight="1" s="7635">
      <c r="A108" s="625">
        <f>AVERAGE(B108,C108)</f>
        <v/>
      </c>
      <c r="B108" s="555" t="n">
        <v>2600</v>
      </c>
      <c r="C108" s="555" t="n">
        <v>2625</v>
      </c>
      <c r="D108" s="556">
        <f>IF($A108&gt;BOTT_A4,ROUND(BASE_A4+RATE_A4*($A108-BOTT_A4),0),IF($A108&gt;BOTT_A3,ROUND(BASE_A3+RATE_A3*($A108-BOTT_A3),0),IF($A108&gt;BOTT_A2,ROUND(BASE_A2+RATE_A2*($A108-BOTT_A2),0),ROUND(RATE_A1*$A108,0))))</f>
        <v/>
      </c>
      <c r="E108" s="556">
        <f>IF($A108&gt;BOTT_B4,ROUND(BASE_B4+RATE_B4*($A108-BOTT_B4),0),IF($A108&gt;BOTT_B3,ROUND(BASE_B3+RATE_B3*($A108-BOTT_B3),0),IF($A108&gt;BOTT_B2,ROUND(BASE_B2+RATE_B2*($A108-BOTT_B2),0),ROUND(RATE_B1*$A108,0))))</f>
        <v/>
      </c>
      <c r="F108" s="556">
        <f>IF($A108&gt;BOTT_C4,ROUND(BASE_C4+RATE_C4*($A108-BOTT_C4),0),IF($A108&gt;BOTT_C3,ROUND(BASE_C3+RATE_C3*($A108-BOTT_C3),0),IF($A108&gt;BOTT_C2,ROUND(BASE_C2+RATE_C2*($A108-BOTT_C2),0),ROUND(RATE_C1*$A108,0))))</f>
        <v/>
      </c>
      <c r="G108" s="556">
        <f>IF($A108&gt;BOTT_D4,ROUND(BASE_D4+RATE_D4*($A108-BOTT_D4),0),IF($A108&gt;BOTT_D3,ROUND(BASE_D3+RATE_D3*($A108-BOTT_D3),0),IF($A108&gt;BOTT_D2,ROUND(BASE_D2+RATE_D2*($A108-BOTT_D2),0),ROUND(RATE_D1*$A108,0))))</f>
        <v/>
      </c>
    </row>
    <row r="109" ht="15.75" customHeight="1" s="7635">
      <c r="A109" s="625">
        <f>AVERAGE(B109,C109)</f>
        <v/>
      </c>
      <c r="B109" s="555" t="n">
        <v>2625</v>
      </c>
      <c r="C109" s="555" t="n">
        <v>2650</v>
      </c>
      <c r="D109" s="556">
        <f>IF($A109&gt;BOTT_A4,ROUND(BASE_A4+RATE_A4*($A109-BOTT_A4),0),IF($A109&gt;BOTT_A3,ROUND(BASE_A3+RATE_A3*($A109-BOTT_A3),0),IF($A109&gt;BOTT_A2,ROUND(BASE_A2+RATE_A2*($A109-BOTT_A2),0),ROUND(RATE_A1*$A109,0))))</f>
        <v/>
      </c>
      <c r="E109" s="556">
        <f>IF($A109&gt;BOTT_B4,ROUND(BASE_B4+RATE_B4*($A109-BOTT_B4),0),IF($A109&gt;BOTT_B3,ROUND(BASE_B3+RATE_B3*($A109-BOTT_B3),0),IF($A109&gt;BOTT_B2,ROUND(BASE_B2+RATE_B2*($A109-BOTT_B2),0),ROUND(RATE_B1*$A109,0))))</f>
        <v/>
      </c>
      <c r="F109" s="556">
        <f>IF($A109&gt;BOTT_C4,ROUND(BASE_C4+RATE_C4*($A109-BOTT_C4),0),IF($A109&gt;BOTT_C3,ROUND(BASE_C3+RATE_C3*($A109-BOTT_C3),0),IF($A109&gt;BOTT_C2,ROUND(BASE_C2+RATE_C2*($A109-BOTT_C2),0),ROUND(RATE_C1*$A109,0))))</f>
        <v/>
      </c>
      <c r="G109" s="556">
        <f>IF($A109&gt;BOTT_D4,ROUND(BASE_D4+RATE_D4*($A109-BOTT_D4),0),IF($A109&gt;BOTT_D3,ROUND(BASE_D3+RATE_D3*($A109-BOTT_D3),0),IF($A109&gt;BOTT_D2,ROUND(BASE_D2+RATE_D2*($A109-BOTT_D2),0),ROUND(RATE_D1*$A109,0))))</f>
        <v/>
      </c>
    </row>
    <row r="110" ht="15.75" customHeight="1" s="7635">
      <c r="A110" s="625">
        <f>AVERAGE(B110,C110)</f>
        <v/>
      </c>
      <c r="B110" s="555" t="n">
        <v>2650</v>
      </c>
      <c r="C110" s="555" t="n">
        <v>2675</v>
      </c>
      <c r="D110" s="556">
        <f>IF($A110&gt;BOTT_A4,ROUND(BASE_A4+RATE_A4*($A110-BOTT_A4),0),IF($A110&gt;BOTT_A3,ROUND(BASE_A3+RATE_A3*($A110-BOTT_A3),0),IF($A110&gt;BOTT_A2,ROUND(BASE_A2+RATE_A2*($A110-BOTT_A2),0),ROUND(RATE_A1*$A110,0))))</f>
        <v/>
      </c>
      <c r="E110" s="556">
        <f>IF($A110&gt;BOTT_B4,ROUND(BASE_B4+RATE_B4*($A110-BOTT_B4),0),IF($A110&gt;BOTT_B3,ROUND(BASE_B3+RATE_B3*($A110-BOTT_B3),0),IF($A110&gt;BOTT_B2,ROUND(BASE_B2+RATE_B2*($A110-BOTT_B2),0),ROUND(RATE_B1*$A110,0))))</f>
        <v/>
      </c>
      <c r="F110" s="556">
        <f>IF($A110&gt;BOTT_C4,ROUND(BASE_C4+RATE_C4*($A110-BOTT_C4),0),IF($A110&gt;BOTT_C3,ROUND(BASE_C3+RATE_C3*($A110-BOTT_C3),0),IF($A110&gt;BOTT_C2,ROUND(BASE_C2+RATE_C2*($A110-BOTT_C2),0),ROUND(RATE_C1*$A110,0))))</f>
        <v/>
      </c>
      <c r="G110" s="556">
        <f>IF($A110&gt;BOTT_D4,ROUND(BASE_D4+RATE_D4*($A110-BOTT_D4),0),IF($A110&gt;BOTT_D3,ROUND(BASE_D3+RATE_D3*($A110-BOTT_D3),0),IF($A110&gt;BOTT_D2,ROUND(BASE_D2+RATE_D2*($A110-BOTT_D2),0),ROUND(RATE_D1*$A110,0))))</f>
        <v/>
      </c>
    </row>
    <row r="111" ht="15.75" customHeight="1" s="7635">
      <c r="A111" s="625">
        <f>AVERAGE(B111,C111)</f>
        <v/>
      </c>
      <c r="B111" s="555" t="n">
        <v>2675</v>
      </c>
      <c r="C111" s="555" t="n">
        <v>2700</v>
      </c>
      <c r="D111" s="556">
        <f>IF($A111&gt;BOTT_A4,ROUND(BASE_A4+RATE_A4*($A111-BOTT_A4),0),IF($A111&gt;BOTT_A3,ROUND(BASE_A3+RATE_A3*($A111-BOTT_A3),0),IF($A111&gt;BOTT_A2,ROUND(BASE_A2+RATE_A2*($A111-BOTT_A2),0),ROUND(RATE_A1*$A111,0))))</f>
        <v/>
      </c>
      <c r="E111" s="556">
        <f>IF($A111&gt;BOTT_B4,ROUND(BASE_B4+RATE_B4*($A111-BOTT_B4),0),IF($A111&gt;BOTT_B3,ROUND(BASE_B3+RATE_B3*($A111-BOTT_B3),0),IF($A111&gt;BOTT_B2,ROUND(BASE_B2+RATE_B2*($A111-BOTT_B2),0),ROUND(RATE_B1*$A111,0))))</f>
        <v/>
      </c>
      <c r="F111" s="556">
        <f>IF($A111&gt;BOTT_C4,ROUND(BASE_C4+RATE_C4*($A111-BOTT_C4),0),IF($A111&gt;BOTT_C3,ROUND(BASE_C3+RATE_C3*($A111-BOTT_C3),0),IF($A111&gt;BOTT_C2,ROUND(BASE_C2+RATE_C2*($A111-BOTT_C2),0),ROUND(RATE_C1*$A111,0))))</f>
        <v/>
      </c>
      <c r="G111" s="556">
        <f>IF($A111&gt;BOTT_D4,ROUND(BASE_D4+RATE_D4*($A111-BOTT_D4),0),IF($A111&gt;BOTT_D3,ROUND(BASE_D3+RATE_D3*($A111-BOTT_D3),0),IF($A111&gt;BOTT_D2,ROUND(BASE_D2+RATE_D2*($A111-BOTT_D2),0),ROUND(RATE_D1*$A111,0))))</f>
        <v/>
      </c>
    </row>
    <row r="112" ht="15.75" customHeight="1" s="7635">
      <c r="A112" s="625">
        <f>AVERAGE(B112,C112)</f>
        <v/>
      </c>
      <c r="B112" s="555" t="n">
        <v>2700</v>
      </c>
      <c r="C112" s="555" t="n">
        <v>2725</v>
      </c>
      <c r="D112" s="556">
        <f>IF($A112&gt;BOTT_A4,ROUND(BASE_A4+RATE_A4*($A112-BOTT_A4),0),IF($A112&gt;BOTT_A3,ROUND(BASE_A3+RATE_A3*($A112-BOTT_A3),0),IF($A112&gt;BOTT_A2,ROUND(BASE_A2+RATE_A2*($A112-BOTT_A2),0),ROUND(RATE_A1*$A112,0))))</f>
        <v/>
      </c>
      <c r="E112" s="556">
        <f>IF($A112&gt;BOTT_B4,ROUND(BASE_B4+RATE_B4*($A112-BOTT_B4),0),IF($A112&gt;BOTT_B3,ROUND(BASE_B3+RATE_B3*($A112-BOTT_B3),0),IF($A112&gt;BOTT_B2,ROUND(BASE_B2+RATE_B2*($A112-BOTT_B2),0),ROUND(RATE_B1*$A112,0))))</f>
        <v/>
      </c>
      <c r="F112" s="556">
        <f>IF($A112&gt;BOTT_C4,ROUND(BASE_C4+RATE_C4*($A112-BOTT_C4),0),IF($A112&gt;BOTT_C3,ROUND(BASE_C3+RATE_C3*($A112-BOTT_C3),0),IF($A112&gt;BOTT_C2,ROUND(BASE_C2+RATE_C2*($A112-BOTT_C2),0),ROUND(RATE_C1*$A112,0))))</f>
        <v/>
      </c>
      <c r="G112" s="556">
        <f>IF($A112&gt;BOTT_D4,ROUND(BASE_D4+RATE_D4*($A112-BOTT_D4),0),IF($A112&gt;BOTT_D3,ROUND(BASE_D3+RATE_D3*($A112-BOTT_D3),0),IF($A112&gt;BOTT_D2,ROUND(BASE_D2+RATE_D2*($A112-BOTT_D2),0),ROUND(RATE_D1*$A112,0))))</f>
        <v/>
      </c>
    </row>
    <row r="113" ht="15.75" customHeight="1" s="7635">
      <c r="A113" s="625">
        <f>AVERAGE(B113,C113)</f>
        <v/>
      </c>
      <c r="B113" s="555" t="n">
        <v>2725</v>
      </c>
      <c r="C113" s="555" t="n">
        <v>2750</v>
      </c>
      <c r="D113" s="556">
        <f>IF($A113&gt;BOTT_A4,ROUND(BASE_A4+RATE_A4*($A113-BOTT_A4),0),IF($A113&gt;BOTT_A3,ROUND(BASE_A3+RATE_A3*($A113-BOTT_A3),0),IF($A113&gt;BOTT_A2,ROUND(BASE_A2+RATE_A2*($A113-BOTT_A2),0),ROUND(RATE_A1*$A113,0))))</f>
        <v/>
      </c>
      <c r="E113" s="556">
        <f>IF($A113&gt;BOTT_B4,ROUND(BASE_B4+RATE_B4*($A113-BOTT_B4),0),IF($A113&gt;BOTT_B3,ROUND(BASE_B3+RATE_B3*($A113-BOTT_B3),0),IF($A113&gt;BOTT_B2,ROUND(BASE_B2+RATE_B2*($A113-BOTT_B2),0),ROUND(RATE_B1*$A113,0))))</f>
        <v/>
      </c>
      <c r="F113" s="556">
        <f>IF($A113&gt;BOTT_C4,ROUND(BASE_C4+RATE_C4*($A113-BOTT_C4),0),IF($A113&gt;BOTT_C3,ROUND(BASE_C3+RATE_C3*($A113-BOTT_C3),0),IF($A113&gt;BOTT_C2,ROUND(BASE_C2+RATE_C2*($A113-BOTT_C2),0),ROUND(RATE_C1*$A113,0))))</f>
        <v/>
      </c>
      <c r="G113" s="556">
        <f>IF($A113&gt;BOTT_D4,ROUND(BASE_D4+RATE_D4*($A113-BOTT_D4),0),IF($A113&gt;BOTT_D3,ROUND(BASE_D3+RATE_D3*($A113-BOTT_D3),0),IF($A113&gt;BOTT_D2,ROUND(BASE_D2+RATE_D2*($A113-BOTT_D2),0),ROUND(RATE_D1*$A113,0))))</f>
        <v/>
      </c>
    </row>
    <row r="114" ht="15.75" customHeight="1" s="7635">
      <c r="A114" s="625">
        <f>AVERAGE(B114,C114)</f>
        <v/>
      </c>
      <c r="B114" s="555" t="n">
        <v>2750</v>
      </c>
      <c r="C114" s="555" t="n">
        <v>2775</v>
      </c>
      <c r="D114" s="556">
        <f>IF($A114&gt;BOTT_A4,ROUND(BASE_A4+RATE_A4*($A114-BOTT_A4),0),IF($A114&gt;BOTT_A3,ROUND(BASE_A3+RATE_A3*($A114-BOTT_A3),0),IF($A114&gt;BOTT_A2,ROUND(BASE_A2+RATE_A2*($A114-BOTT_A2),0),ROUND(RATE_A1*$A114,0))))</f>
        <v/>
      </c>
      <c r="E114" s="556">
        <f>IF($A114&gt;BOTT_B4,ROUND(BASE_B4+RATE_B4*($A114-BOTT_B4),0),IF($A114&gt;BOTT_B3,ROUND(BASE_B3+RATE_B3*($A114-BOTT_B3),0),IF($A114&gt;BOTT_B2,ROUND(BASE_B2+RATE_B2*($A114-BOTT_B2),0),ROUND(RATE_B1*$A114,0))))</f>
        <v/>
      </c>
      <c r="F114" s="556">
        <f>IF($A114&gt;BOTT_C4,ROUND(BASE_C4+RATE_C4*($A114-BOTT_C4),0),IF($A114&gt;BOTT_C3,ROUND(BASE_C3+RATE_C3*($A114-BOTT_C3),0),IF($A114&gt;BOTT_C2,ROUND(BASE_C2+RATE_C2*($A114-BOTT_C2),0),ROUND(RATE_C1*$A114,0))))</f>
        <v/>
      </c>
      <c r="G114" s="556">
        <f>IF($A114&gt;BOTT_D4,ROUND(BASE_D4+RATE_D4*($A114-BOTT_D4),0),IF($A114&gt;BOTT_D3,ROUND(BASE_D3+RATE_D3*($A114-BOTT_D3),0),IF($A114&gt;BOTT_D2,ROUND(BASE_D2+RATE_D2*($A114-BOTT_D2),0),ROUND(RATE_D1*$A114,0))))</f>
        <v/>
      </c>
    </row>
    <row r="115" ht="15.75" customHeight="1" s="7635">
      <c r="A115" s="625">
        <f>AVERAGE(B115,C115)</f>
        <v/>
      </c>
      <c r="B115" s="555" t="n">
        <v>2775</v>
      </c>
      <c r="C115" s="555" t="n">
        <v>2800</v>
      </c>
      <c r="D115" s="556">
        <f>IF($A115&gt;BOTT_A4,ROUND(BASE_A4+RATE_A4*($A115-BOTT_A4),0),IF($A115&gt;BOTT_A3,ROUND(BASE_A3+RATE_A3*($A115-BOTT_A3),0),IF($A115&gt;BOTT_A2,ROUND(BASE_A2+RATE_A2*($A115-BOTT_A2),0),ROUND(RATE_A1*$A115,0))))</f>
        <v/>
      </c>
      <c r="E115" s="556">
        <f>IF($A115&gt;BOTT_B4,ROUND(BASE_B4+RATE_B4*($A115-BOTT_B4),0),IF($A115&gt;BOTT_B3,ROUND(BASE_B3+RATE_B3*($A115-BOTT_B3),0),IF($A115&gt;BOTT_B2,ROUND(BASE_B2+RATE_B2*($A115-BOTT_B2),0),ROUND(RATE_B1*$A115,0))))</f>
        <v/>
      </c>
      <c r="F115" s="556">
        <f>IF($A115&gt;BOTT_C4,ROUND(BASE_C4+RATE_C4*($A115-BOTT_C4),0),IF($A115&gt;BOTT_C3,ROUND(BASE_C3+RATE_C3*($A115-BOTT_C3),0),IF($A115&gt;BOTT_C2,ROUND(BASE_C2+RATE_C2*($A115-BOTT_C2),0),ROUND(RATE_C1*$A115,0))))</f>
        <v/>
      </c>
      <c r="G115" s="556">
        <f>IF($A115&gt;BOTT_D4,ROUND(BASE_D4+RATE_D4*($A115-BOTT_D4),0),IF($A115&gt;BOTT_D3,ROUND(BASE_D3+RATE_D3*($A115-BOTT_D3),0),IF($A115&gt;BOTT_D2,ROUND(BASE_D2+RATE_D2*($A115-BOTT_D2),0),ROUND(RATE_D1*$A115,0))))</f>
        <v/>
      </c>
    </row>
    <row r="116" ht="15.75" customHeight="1" s="7635">
      <c r="A116" s="625">
        <f>AVERAGE(B116,C116)</f>
        <v/>
      </c>
      <c r="B116" s="555" t="n">
        <v>2800</v>
      </c>
      <c r="C116" s="555" t="n">
        <v>2825</v>
      </c>
      <c r="D116" s="556">
        <f>IF($A116&gt;BOTT_A4,ROUND(BASE_A4+RATE_A4*($A116-BOTT_A4),0),IF($A116&gt;BOTT_A3,ROUND(BASE_A3+RATE_A3*($A116-BOTT_A3),0),IF($A116&gt;BOTT_A2,ROUND(BASE_A2+RATE_A2*($A116-BOTT_A2),0),ROUND(RATE_A1*$A116,0))))</f>
        <v/>
      </c>
      <c r="E116" s="556">
        <f>IF($A116&gt;BOTT_B4,ROUND(BASE_B4+RATE_B4*($A116-BOTT_B4),0),IF($A116&gt;BOTT_B3,ROUND(BASE_B3+RATE_B3*($A116-BOTT_B3),0),IF($A116&gt;BOTT_B2,ROUND(BASE_B2+RATE_B2*($A116-BOTT_B2),0),ROUND(RATE_B1*$A116,0))))</f>
        <v/>
      </c>
      <c r="F116" s="556">
        <f>IF($A116&gt;BOTT_C4,ROUND(BASE_C4+RATE_C4*($A116-BOTT_C4),0),IF($A116&gt;BOTT_C3,ROUND(BASE_C3+RATE_C3*($A116-BOTT_C3),0),IF($A116&gt;BOTT_C2,ROUND(BASE_C2+RATE_C2*($A116-BOTT_C2),0),ROUND(RATE_C1*$A116,0))))</f>
        <v/>
      </c>
      <c r="G116" s="556">
        <f>IF($A116&gt;BOTT_D4,ROUND(BASE_D4+RATE_D4*($A116-BOTT_D4),0),IF($A116&gt;BOTT_D3,ROUND(BASE_D3+RATE_D3*($A116-BOTT_D3),0),IF($A116&gt;BOTT_D2,ROUND(BASE_D2+RATE_D2*($A116-BOTT_D2),0),ROUND(RATE_D1*$A116,0))))</f>
        <v/>
      </c>
    </row>
    <row r="117" ht="15.75" customHeight="1" s="7635">
      <c r="A117" s="625">
        <f>AVERAGE(B117,C117)</f>
        <v/>
      </c>
      <c r="B117" s="555" t="n">
        <v>2825</v>
      </c>
      <c r="C117" s="555" t="n">
        <v>2850</v>
      </c>
      <c r="D117" s="556">
        <f>IF($A117&gt;BOTT_A4,ROUND(BASE_A4+RATE_A4*($A117-BOTT_A4),0),IF($A117&gt;BOTT_A3,ROUND(BASE_A3+RATE_A3*($A117-BOTT_A3),0),IF($A117&gt;BOTT_A2,ROUND(BASE_A2+RATE_A2*($A117-BOTT_A2),0),ROUND(RATE_A1*$A117,0))))</f>
        <v/>
      </c>
      <c r="E117" s="556">
        <f>IF($A117&gt;BOTT_B4,ROUND(BASE_B4+RATE_B4*($A117-BOTT_B4),0),IF($A117&gt;BOTT_B3,ROUND(BASE_B3+RATE_B3*($A117-BOTT_B3),0),IF($A117&gt;BOTT_B2,ROUND(BASE_B2+RATE_B2*($A117-BOTT_B2),0),ROUND(RATE_B1*$A117,0))))</f>
        <v/>
      </c>
      <c r="F117" s="556">
        <f>IF($A117&gt;BOTT_C4,ROUND(BASE_C4+RATE_C4*($A117-BOTT_C4),0),IF($A117&gt;BOTT_C3,ROUND(BASE_C3+RATE_C3*($A117-BOTT_C3),0),IF($A117&gt;BOTT_C2,ROUND(BASE_C2+RATE_C2*($A117-BOTT_C2),0),ROUND(RATE_C1*$A117,0))))</f>
        <v/>
      </c>
      <c r="G117" s="556">
        <f>IF($A117&gt;BOTT_D4,ROUND(BASE_D4+RATE_D4*($A117-BOTT_D4),0),IF($A117&gt;BOTT_D3,ROUND(BASE_D3+RATE_D3*($A117-BOTT_D3),0),IF($A117&gt;BOTT_D2,ROUND(BASE_D2+RATE_D2*($A117-BOTT_D2),0),ROUND(RATE_D1*$A117,0))))</f>
        <v/>
      </c>
    </row>
    <row r="118" ht="15.75" customHeight="1" s="7635">
      <c r="A118" s="625">
        <f>AVERAGE(B118,C118)</f>
        <v/>
      </c>
      <c r="B118" s="555" t="n">
        <v>2850</v>
      </c>
      <c r="C118" s="555" t="n">
        <v>2875</v>
      </c>
      <c r="D118" s="556">
        <f>IF($A118&gt;BOTT_A4,ROUND(BASE_A4+RATE_A4*($A118-BOTT_A4),0),IF($A118&gt;BOTT_A3,ROUND(BASE_A3+RATE_A3*($A118-BOTT_A3),0),IF($A118&gt;BOTT_A2,ROUND(BASE_A2+RATE_A2*($A118-BOTT_A2),0),ROUND(RATE_A1*$A118,0))))</f>
        <v/>
      </c>
      <c r="E118" s="556">
        <f>IF($A118&gt;BOTT_B4,ROUND(BASE_B4+RATE_B4*($A118-BOTT_B4),0),IF($A118&gt;BOTT_B3,ROUND(BASE_B3+RATE_B3*($A118-BOTT_B3),0),IF($A118&gt;BOTT_B2,ROUND(BASE_B2+RATE_B2*($A118-BOTT_B2),0),ROUND(RATE_B1*$A118,0))))</f>
        <v/>
      </c>
      <c r="F118" s="556">
        <f>IF($A118&gt;BOTT_C4,ROUND(BASE_C4+RATE_C4*($A118-BOTT_C4),0),IF($A118&gt;BOTT_C3,ROUND(BASE_C3+RATE_C3*($A118-BOTT_C3),0),IF($A118&gt;BOTT_C2,ROUND(BASE_C2+RATE_C2*($A118-BOTT_C2),0),ROUND(RATE_C1*$A118,0))))</f>
        <v/>
      </c>
      <c r="G118" s="556">
        <f>IF($A118&gt;BOTT_D4,ROUND(BASE_D4+RATE_D4*($A118-BOTT_D4),0),IF($A118&gt;BOTT_D3,ROUND(BASE_D3+RATE_D3*($A118-BOTT_D3),0),IF($A118&gt;BOTT_D2,ROUND(BASE_D2+RATE_D2*($A118-BOTT_D2),0),ROUND(RATE_D1*$A118,0))))</f>
        <v/>
      </c>
    </row>
    <row r="119" ht="15.75" customHeight="1" s="7635">
      <c r="A119" s="625">
        <f>AVERAGE(B119,C119)</f>
        <v/>
      </c>
      <c r="B119" s="555" t="n">
        <v>2875</v>
      </c>
      <c r="C119" s="555" t="n">
        <v>2900</v>
      </c>
      <c r="D119" s="556">
        <f>IF($A119&gt;BOTT_A4,ROUND(BASE_A4+RATE_A4*($A119-BOTT_A4),0),IF($A119&gt;BOTT_A3,ROUND(BASE_A3+RATE_A3*($A119-BOTT_A3),0),IF($A119&gt;BOTT_A2,ROUND(BASE_A2+RATE_A2*($A119-BOTT_A2),0),ROUND(RATE_A1*$A119,0))))</f>
        <v/>
      </c>
      <c r="E119" s="556">
        <f>IF($A119&gt;BOTT_B4,ROUND(BASE_B4+RATE_B4*($A119-BOTT_B4),0),IF($A119&gt;BOTT_B3,ROUND(BASE_B3+RATE_B3*($A119-BOTT_B3),0),IF($A119&gt;BOTT_B2,ROUND(BASE_B2+RATE_B2*($A119-BOTT_B2),0),ROUND(RATE_B1*$A119,0))))</f>
        <v/>
      </c>
      <c r="F119" s="556">
        <f>IF($A119&gt;BOTT_C4,ROUND(BASE_C4+RATE_C4*($A119-BOTT_C4),0),IF($A119&gt;BOTT_C3,ROUND(BASE_C3+RATE_C3*($A119-BOTT_C3),0),IF($A119&gt;BOTT_C2,ROUND(BASE_C2+RATE_C2*($A119-BOTT_C2),0),ROUND(RATE_C1*$A119,0))))</f>
        <v/>
      </c>
      <c r="G119" s="556">
        <f>IF($A119&gt;BOTT_D4,ROUND(BASE_D4+RATE_D4*($A119-BOTT_D4),0),IF($A119&gt;BOTT_D3,ROUND(BASE_D3+RATE_D3*($A119-BOTT_D3),0),IF($A119&gt;BOTT_D2,ROUND(BASE_D2+RATE_D2*($A119-BOTT_D2),0),ROUND(RATE_D1*$A119,0))))</f>
        <v/>
      </c>
    </row>
    <row r="120" ht="15.75" customHeight="1" s="7635">
      <c r="A120" s="625">
        <f>AVERAGE(B120,C120)</f>
        <v/>
      </c>
      <c r="B120" s="555" t="n">
        <v>2900</v>
      </c>
      <c r="C120" s="555" t="n">
        <v>2925</v>
      </c>
      <c r="D120" s="556">
        <f>IF($A120&gt;BOTT_A4,ROUND(BASE_A4+RATE_A4*($A120-BOTT_A4),0),IF($A120&gt;BOTT_A3,ROUND(BASE_A3+RATE_A3*($A120-BOTT_A3),0),IF($A120&gt;BOTT_A2,ROUND(BASE_A2+RATE_A2*($A120-BOTT_A2),0),ROUND(RATE_A1*$A120,0))))</f>
        <v/>
      </c>
      <c r="E120" s="556">
        <f>IF($A120&gt;BOTT_B4,ROUND(BASE_B4+RATE_B4*($A120-BOTT_B4),0),IF($A120&gt;BOTT_B3,ROUND(BASE_B3+RATE_B3*($A120-BOTT_B3),0),IF($A120&gt;BOTT_B2,ROUND(BASE_B2+RATE_B2*($A120-BOTT_B2),0),ROUND(RATE_B1*$A120,0))))</f>
        <v/>
      </c>
      <c r="F120" s="556">
        <f>IF($A120&gt;BOTT_C4,ROUND(BASE_C4+RATE_C4*($A120-BOTT_C4),0),IF($A120&gt;BOTT_C3,ROUND(BASE_C3+RATE_C3*($A120-BOTT_C3),0),IF($A120&gt;BOTT_C2,ROUND(BASE_C2+RATE_C2*($A120-BOTT_C2),0),ROUND(RATE_C1*$A120,0))))</f>
        <v/>
      </c>
      <c r="G120" s="556">
        <f>IF($A120&gt;BOTT_D4,ROUND(BASE_D4+RATE_D4*($A120-BOTT_D4),0),IF($A120&gt;BOTT_D3,ROUND(BASE_D3+RATE_D3*($A120-BOTT_D3),0),IF($A120&gt;BOTT_D2,ROUND(BASE_D2+RATE_D2*($A120-BOTT_D2),0),ROUND(RATE_D1*$A120,0))))</f>
        <v/>
      </c>
    </row>
    <row r="121" ht="15.75" customHeight="1" s="7635">
      <c r="A121" s="625">
        <f>AVERAGE(B121,C121)</f>
        <v/>
      </c>
      <c r="B121" s="555" t="n">
        <v>2925</v>
      </c>
      <c r="C121" s="555" t="n">
        <v>2950</v>
      </c>
      <c r="D121" s="556">
        <f>IF($A121&gt;BOTT_A4,ROUND(BASE_A4+RATE_A4*($A121-BOTT_A4),0),IF($A121&gt;BOTT_A3,ROUND(BASE_A3+RATE_A3*($A121-BOTT_A3),0),IF($A121&gt;BOTT_A2,ROUND(BASE_A2+RATE_A2*($A121-BOTT_A2),0),ROUND(RATE_A1*$A121,0))))</f>
        <v/>
      </c>
      <c r="E121" s="556">
        <f>IF($A121&gt;BOTT_B4,ROUND(BASE_B4+RATE_B4*($A121-BOTT_B4),0),IF($A121&gt;BOTT_B3,ROUND(BASE_B3+RATE_B3*($A121-BOTT_B3),0),IF($A121&gt;BOTT_B2,ROUND(BASE_B2+RATE_B2*($A121-BOTT_B2),0),ROUND(RATE_B1*$A121,0))))</f>
        <v/>
      </c>
      <c r="F121" s="556">
        <f>IF($A121&gt;BOTT_C4,ROUND(BASE_C4+RATE_C4*($A121-BOTT_C4),0),IF($A121&gt;BOTT_C3,ROUND(BASE_C3+RATE_C3*($A121-BOTT_C3),0),IF($A121&gt;BOTT_C2,ROUND(BASE_C2+RATE_C2*($A121-BOTT_C2),0),ROUND(RATE_C1*$A121,0))))</f>
        <v/>
      </c>
      <c r="G121" s="556">
        <f>IF($A121&gt;BOTT_D4,ROUND(BASE_D4+RATE_D4*($A121-BOTT_D4),0),IF($A121&gt;BOTT_D3,ROUND(BASE_D3+RATE_D3*($A121-BOTT_D3),0),IF($A121&gt;BOTT_D2,ROUND(BASE_D2+RATE_D2*($A121-BOTT_D2),0),ROUND(RATE_D1*$A121,0))))</f>
        <v/>
      </c>
    </row>
    <row r="122" ht="15.75" customHeight="1" s="7635">
      <c r="A122" s="625">
        <f>AVERAGE(B122,C122)</f>
        <v/>
      </c>
      <c r="B122" s="555" t="n">
        <v>2950</v>
      </c>
      <c r="C122" s="555" t="n">
        <v>2975</v>
      </c>
      <c r="D122" s="556">
        <f>IF($A122&gt;BOTT_A4,ROUND(BASE_A4+RATE_A4*($A122-BOTT_A4),0),IF($A122&gt;BOTT_A3,ROUND(BASE_A3+RATE_A3*($A122-BOTT_A3),0),IF($A122&gt;BOTT_A2,ROUND(BASE_A2+RATE_A2*($A122-BOTT_A2),0),ROUND(RATE_A1*$A122,0))))</f>
        <v/>
      </c>
      <c r="E122" s="556">
        <f>IF($A122&gt;BOTT_B4,ROUND(BASE_B4+RATE_B4*($A122-BOTT_B4),0),IF($A122&gt;BOTT_B3,ROUND(BASE_B3+RATE_B3*($A122-BOTT_B3),0),IF($A122&gt;BOTT_B2,ROUND(BASE_B2+RATE_B2*($A122-BOTT_B2),0),ROUND(RATE_B1*$A122,0))))</f>
        <v/>
      </c>
      <c r="F122" s="556">
        <f>IF($A122&gt;BOTT_C4,ROUND(BASE_C4+RATE_C4*($A122-BOTT_C4),0),IF($A122&gt;BOTT_C3,ROUND(BASE_C3+RATE_C3*($A122-BOTT_C3),0),IF($A122&gt;BOTT_C2,ROUND(BASE_C2+RATE_C2*($A122-BOTT_C2),0),ROUND(RATE_C1*$A122,0))))</f>
        <v/>
      </c>
      <c r="G122" s="556">
        <f>IF($A122&gt;BOTT_D4,ROUND(BASE_D4+RATE_D4*($A122-BOTT_D4),0),IF($A122&gt;BOTT_D3,ROUND(BASE_D3+RATE_D3*($A122-BOTT_D3),0),IF($A122&gt;BOTT_D2,ROUND(BASE_D2+RATE_D2*($A122-BOTT_D2),0),ROUND(RATE_D1*$A122,0))))</f>
        <v/>
      </c>
    </row>
    <row r="123" ht="15.75" customHeight="1" s="7635">
      <c r="A123" s="625">
        <f>AVERAGE(B123,C123)</f>
        <v/>
      </c>
      <c r="B123" s="555" t="n">
        <v>2975</v>
      </c>
      <c r="C123" s="555" t="n">
        <v>3000</v>
      </c>
      <c r="D123" s="556">
        <f>IF($A123&gt;BOTT_A4,ROUND(BASE_A4+RATE_A4*($A123-BOTT_A4),0),IF($A123&gt;BOTT_A3,ROUND(BASE_A3+RATE_A3*($A123-BOTT_A3),0),IF($A123&gt;BOTT_A2,ROUND(BASE_A2+RATE_A2*($A123-BOTT_A2),0),ROUND(RATE_A1*$A123,0))))</f>
        <v/>
      </c>
      <c r="E123" s="556">
        <f>IF($A123&gt;BOTT_B4,ROUND(BASE_B4+RATE_B4*($A123-BOTT_B4),0),IF($A123&gt;BOTT_B3,ROUND(BASE_B3+RATE_B3*($A123-BOTT_B3),0),IF($A123&gt;BOTT_B2,ROUND(BASE_B2+RATE_B2*($A123-BOTT_B2),0),ROUND(RATE_B1*$A123,0))))</f>
        <v/>
      </c>
      <c r="F123" s="556">
        <f>IF($A123&gt;BOTT_C4,ROUND(BASE_C4+RATE_C4*($A123-BOTT_C4),0),IF($A123&gt;BOTT_C3,ROUND(BASE_C3+RATE_C3*($A123-BOTT_C3),0),IF($A123&gt;BOTT_C2,ROUND(BASE_C2+RATE_C2*($A123-BOTT_C2),0),ROUND(RATE_C1*$A123,0))))</f>
        <v/>
      </c>
      <c r="G123" s="556">
        <f>IF($A123&gt;BOTT_D4,ROUND(BASE_D4+RATE_D4*($A123-BOTT_D4),0),IF($A123&gt;BOTT_D3,ROUND(BASE_D3+RATE_D3*($A123-BOTT_D3),0),IF($A123&gt;BOTT_D2,ROUND(BASE_D2+RATE_D2*($A123-BOTT_D2),0),ROUND(RATE_D1*$A123,0))))</f>
        <v/>
      </c>
    </row>
    <row r="124" ht="15.75" customHeight="1" s="7635">
      <c r="A124" s="625">
        <f>AVERAGE(B124,C124)</f>
        <v/>
      </c>
      <c r="B124" s="555" t="n">
        <v>3000</v>
      </c>
      <c r="C124" s="555" t="n">
        <v>3050</v>
      </c>
      <c r="D124" s="556">
        <f>IF($A124&gt;BOTT_A4,ROUND(BASE_A4+RATE_A4*($A124-BOTT_A4),0),IF($A124&gt;BOTT_A3,ROUND(BASE_A3+RATE_A3*($A124-BOTT_A3),0),IF($A124&gt;BOTT_A2,ROUND(BASE_A2+RATE_A2*($A124-BOTT_A2),0),ROUND(RATE_A1*$A124,0))))</f>
        <v/>
      </c>
      <c r="E124" s="556">
        <f>IF($A124&gt;BOTT_B4,ROUND(BASE_B4+RATE_B4*($A124-BOTT_B4),0),IF($A124&gt;BOTT_B3,ROUND(BASE_B3+RATE_B3*($A124-BOTT_B3),0),IF($A124&gt;BOTT_B2,ROUND(BASE_B2+RATE_B2*($A124-BOTT_B2),0),ROUND(RATE_B1*$A124,0))))</f>
        <v/>
      </c>
      <c r="F124" s="556">
        <f>IF($A124&gt;BOTT_C4,ROUND(BASE_C4+RATE_C4*($A124-BOTT_C4),0),IF($A124&gt;BOTT_C3,ROUND(BASE_C3+RATE_C3*($A124-BOTT_C3),0),IF($A124&gt;BOTT_C2,ROUND(BASE_C2+RATE_C2*($A124-BOTT_C2),0),ROUND(RATE_C1*$A124,0))))</f>
        <v/>
      </c>
      <c r="G124" s="556">
        <f>IF($A124&gt;BOTT_D4,ROUND(BASE_D4+RATE_D4*($A124-BOTT_D4),0),IF($A124&gt;BOTT_D3,ROUND(BASE_D3+RATE_D3*($A124-BOTT_D3),0),IF($A124&gt;BOTT_D2,ROUND(BASE_D2+RATE_D2*($A124-BOTT_D2),0),ROUND(RATE_D1*$A124,0))))</f>
        <v/>
      </c>
    </row>
    <row r="125" ht="15.75" customHeight="1" s="7635">
      <c r="A125" s="625">
        <f>AVERAGE(B125,C125)</f>
        <v/>
      </c>
      <c r="B125" s="555" t="n">
        <v>3050</v>
      </c>
      <c r="C125" s="555" t="n">
        <v>3100</v>
      </c>
      <c r="D125" s="556">
        <f>IF($A125&gt;BOTT_A4,ROUND(BASE_A4+RATE_A4*($A125-BOTT_A4),0),IF($A125&gt;BOTT_A3,ROUND(BASE_A3+RATE_A3*($A125-BOTT_A3),0),IF($A125&gt;BOTT_A2,ROUND(BASE_A2+RATE_A2*($A125-BOTT_A2),0),ROUND(RATE_A1*$A125,0))))</f>
        <v/>
      </c>
      <c r="E125" s="556">
        <f>IF($A125&gt;BOTT_B4,ROUND(BASE_B4+RATE_B4*($A125-BOTT_B4),0),IF($A125&gt;BOTT_B3,ROUND(BASE_B3+RATE_B3*($A125-BOTT_B3),0),IF($A125&gt;BOTT_B2,ROUND(BASE_B2+RATE_B2*($A125-BOTT_B2),0),ROUND(RATE_B1*$A125,0))))</f>
        <v/>
      </c>
      <c r="F125" s="556">
        <f>IF($A125&gt;BOTT_C4,ROUND(BASE_C4+RATE_C4*($A125-BOTT_C4),0),IF($A125&gt;BOTT_C3,ROUND(BASE_C3+RATE_C3*($A125-BOTT_C3),0),IF($A125&gt;BOTT_C2,ROUND(BASE_C2+RATE_C2*($A125-BOTT_C2),0),ROUND(RATE_C1*$A125,0))))</f>
        <v/>
      </c>
      <c r="G125" s="556">
        <f>IF($A125&gt;BOTT_D4,ROUND(BASE_D4+RATE_D4*($A125-BOTT_D4),0),IF($A125&gt;BOTT_D3,ROUND(BASE_D3+RATE_D3*($A125-BOTT_D3),0),IF($A125&gt;BOTT_D2,ROUND(BASE_D2+RATE_D2*($A125-BOTT_D2),0),ROUND(RATE_D1*$A125,0))))</f>
        <v/>
      </c>
    </row>
    <row r="126" ht="15.75" customHeight="1" s="7635">
      <c r="A126" s="625">
        <f>AVERAGE(B126,C126)</f>
        <v/>
      </c>
      <c r="B126" s="555" t="n">
        <v>3100</v>
      </c>
      <c r="C126" s="555" t="n">
        <v>3150</v>
      </c>
      <c r="D126" s="556">
        <f>IF($A126&gt;BOTT_A4,ROUND(BASE_A4+RATE_A4*($A126-BOTT_A4),0),IF($A126&gt;BOTT_A3,ROUND(BASE_A3+RATE_A3*($A126-BOTT_A3),0),IF($A126&gt;BOTT_A2,ROUND(BASE_A2+RATE_A2*($A126-BOTT_A2),0),ROUND(RATE_A1*$A126,0))))</f>
        <v/>
      </c>
      <c r="E126" s="556">
        <f>IF($A126&gt;BOTT_B4,ROUND(BASE_B4+RATE_B4*($A126-BOTT_B4),0),IF($A126&gt;BOTT_B3,ROUND(BASE_B3+RATE_B3*($A126-BOTT_B3),0),IF($A126&gt;BOTT_B2,ROUND(BASE_B2+RATE_B2*($A126-BOTT_B2),0),ROUND(RATE_B1*$A126,0))))</f>
        <v/>
      </c>
      <c r="F126" s="556">
        <f>IF($A126&gt;BOTT_C4,ROUND(BASE_C4+RATE_C4*($A126-BOTT_C4),0),IF($A126&gt;BOTT_C3,ROUND(BASE_C3+RATE_C3*($A126-BOTT_C3),0),IF($A126&gt;BOTT_C2,ROUND(BASE_C2+RATE_C2*($A126-BOTT_C2),0),ROUND(RATE_C1*$A126,0))))</f>
        <v/>
      </c>
      <c r="G126" s="556">
        <f>IF($A126&gt;BOTT_D4,ROUND(BASE_D4+RATE_D4*($A126-BOTT_D4),0),IF($A126&gt;BOTT_D3,ROUND(BASE_D3+RATE_D3*($A126-BOTT_D3),0),IF($A126&gt;BOTT_D2,ROUND(BASE_D2+RATE_D2*($A126-BOTT_D2),0),ROUND(RATE_D1*$A126,0))))</f>
        <v/>
      </c>
    </row>
    <row r="127" ht="15.75" customHeight="1" s="7635">
      <c r="A127" s="625">
        <f>AVERAGE(B127,C127)</f>
        <v/>
      </c>
      <c r="B127" s="555" t="n">
        <v>3150</v>
      </c>
      <c r="C127" s="555" t="n">
        <v>3200</v>
      </c>
      <c r="D127" s="556">
        <f>IF($A127&gt;BOTT_A4,ROUND(BASE_A4+RATE_A4*($A127-BOTT_A4),0),IF($A127&gt;BOTT_A3,ROUND(BASE_A3+RATE_A3*($A127-BOTT_A3),0),IF($A127&gt;BOTT_A2,ROUND(BASE_A2+RATE_A2*($A127-BOTT_A2),0),ROUND(RATE_A1*$A127,0))))</f>
        <v/>
      </c>
      <c r="E127" s="556">
        <f>IF($A127&gt;BOTT_B4,ROUND(BASE_B4+RATE_B4*($A127-BOTT_B4),0),IF($A127&gt;BOTT_B3,ROUND(BASE_B3+RATE_B3*($A127-BOTT_B3),0),IF($A127&gt;BOTT_B2,ROUND(BASE_B2+RATE_B2*($A127-BOTT_B2),0),ROUND(RATE_B1*$A127,0))))</f>
        <v/>
      </c>
      <c r="F127" s="556">
        <f>IF($A127&gt;BOTT_C4,ROUND(BASE_C4+RATE_C4*($A127-BOTT_C4),0),IF($A127&gt;BOTT_C3,ROUND(BASE_C3+RATE_C3*($A127-BOTT_C3),0),IF($A127&gt;BOTT_C2,ROUND(BASE_C2+RATE_C2*($A127-BOTT_C2),0),ROUND(RATE_C1*$A127,0))))</f>
        <v/>
      </c>
      <c r="G127" s="556">
        <f>IF($A127&gt;BOTT_D4,ROUND(BASE_D4+RATE_D4*($A127-BOTT_D4),0),IF($A127&gt;BOTT_D3,ROUND(BASE_D3+RATE_D3*($A127-BOTT_D3),0),IF($A127&gt;BOTT_D2,ROUND(BASE_D2+RATE_D2*($A127-BOTT_D2),0),ROUND(RATE_D1*$A127,0))))</f>
        <v/>
      </c>
    </row>
    <row r="128" ht="15.75" customHeight="1" s="7635">
      <c r="A128" s="625">
        <f>AVERAGE(B128,C128)</f>
        <v/>
      </c>
      <c r="B128" s="555" t="n">
        <v>3200</v>
      </c>
      <c r="C128" s="555" t="n">
        <v>3250</v>
      </c>
      <c r="D128" s="556">
        <f>IF($A128&gt;BOTT_A4,ROUND(BASE_A4+RATE_A4*($A128-BOTT_A4),0),IF($A128&gt;BOTT_A3,ROUND(BASE_A3+RATE_A3*($A128-BOTT_A3),0),IF($A128&gt;BOTT_A2,ROUND(BASE_A2+RATE_A2*($A128-BOTT_A2),0),ROUND(RATE_A1*$A128,0))))</f>
        <v/>
      </c>
      <c r="E128" s="556">
        <f>IF($A128&gt;BOTT_B4,ROUND(BASE_B4+RATE_B4*($A128-BOTT_B4),0),IF($A128&gt;BOTT_B3,ROUND(BASE_B3+RATE_B3*($A128-BOTT_B3),0),IF($A128&gt;BOTT_B2,ROUND(BASE_B2+RATE_B2*($A128-BOTT_B2),0),ROUND(RATE_B1*$A128,0))))</f>
        <v/>
      </c>
      <c r="F128" s="556">
        <f>IF($A128&gt;BOTT_C4,ROUND(BASE_C4+RATE_C4*($A128-BOTT_C4),0),IF($A128&gt;BOTT_C3,ROUND(BASE_C3+RATE_C3*($A128-BOTT_C3),0),IF($A128&gt;BOTT_C2,ROUND(BASE_C2+RATE_C2*($A128-BOTT_C2),0),ROUND(RATE_C1*$A128,0))))</f>
        <v/>
      </c>
      <c r="G128" s="556">
        <f>IF($A128&gt;BOTT_D4,ROUND(BASE_D4+RATE_D4*($A128-BOTT_D4),0),IF($A128&gt;BOTT_D3,ROUND(BASE_D3+RATE_D3*($A128-BOTT_D3),0),IF($A128&gt;BOTT_D2,ROUND(BASE_D2+RATE_D2*($A128-BOTT_D2),0),ROUND(RATE_D1*$A128,0))))</f>
        <v/>
      </c>
    </row>
    <row r="129" ht="15.75" customHeight="1" s="7635">
      <c r="A129" s="625">
        <f>AVERAGE(B129,C129)</f>
        <v/>
      </c>
      <c r="B129" s="555" t="n">
        <v>3250</v>
      </c>
      <c r="C129" s="555" t="n">
        <v>3300</v>
      </c>
      <c r="D129" s="556">
        <f>IF($A129&gt;BOTT_A4,ROUND(BASE_A4+RATE_A4*($A129-BOTT_A4),0),IF($A129&gt;BOTT_A3,ROUND(BASE_A3+RATE_A3*($A129-BOTT_A3),0),IF($A129&gt;BOTT_A2,ROUND(BASE_A2+RATE_A2*($A129-BOTT_A2),0),ROUND(RATE_A1*$A129,0))))</f>
        <v/>
      </c>
      <c r="E129" s="556">
        <f>IF($A129&gt;BOTT_B4,ROUND(BASE_B4+RATE_B4*($A129-BOTT_B4),0),IF($A129&gt;BOTT_B3,ROUND(BASE_B3+RATE_B3*($A129-BOTT_B3),0),IF($A129&gt;BOTT_B2,ROUND(BASE_B2+RATE_B2*($A129-BOTT_B2),0),ROUND(RATE_B1*$A129,0))))</f>
        <v/>
      </c>
      <c r="F129" s="556">
        <f>IF($A129&gt;BOTT_C4,ROUND(BASE_C4+RATE_C4*($A129-BOTT_C4),0),IF($A129&gt;BOTT_C3,ROUND(BASE_C3+RATE_C3*($A129-BOTT_C3),0),IF($A129&gt;BOTT_C2,ROUND(BASE_C2+RATE_C2*($A129-BOTT_C2),0),ROUND(RATE_C1*$A129,0))))</f>
        <v/>
      </c>
      <c r="G129" s="556">
        <f>IF($A129&gt;BOTT_D4,ROUND(BASE_D4+RATE_D4*($A129-BOTT_D4),0),IF($A129&gt;BOTT_D3,ROUND(BASE_D3+RATE_D3*($A129-BOTT_D3),0),IF($A129&gt;BOTT_D2,ROUND(BASE_D2+RATE_D2*($A129-BOTT_D2),0),ROUND(RATE_D1*$A129,0))))</f>
        <v/>
      </c>
    </row>
    <row r="130" ht="15.75" customHeight="1" s="7635">
      <c r="A130" s="625">
        <f>AVERAGE(B130,C130)</f>
        <v/>
      </c>
      <c r="B130" s="555" t="n">
        <v>3300</v>
      </c>
      <c r="C130" s="555" t="n">
        <v>3350</v>
      </c>
      <c r="D130" s="556">
        <f>IF($A130&gt;BOTT_A4,ROUND(BASE_A4+RATE_A4*($A130-BOTT_A4),0),IF($A130&gt;BOTT_A3,ROUND(BASE_A3+RATE_A3*($A130-BOTT_A3),0),IF($A130&gt;BOTT_A2,ROUND(BASE_A2+RATE_A2*($A130-BOTT_A2),0),ROUND(RATE_A1*$A130,0))))</f>
        <v/>
      </c>
      <c r="E130" s="556">
        <f>IF($A130&gt;BOTT_B4,ROUND(BASE_B4+RATE_B4*($A130-BOTT_B4),0),IF($A130&gt;BOTT_B3,ROUND(BASE_B3+RATE_B3*($A130-BOTT_B3),0),IF($A130&gt;BOTT_B2,ROUND(BASE_B2+RATE_B2*($A130-BOTT_B2),0),ROUND(RATE_B1*$A130,0))))</f>
        <v/>
      </c>
      <c r="F130" s="556">
        <f>IF($A130&gt;BOTT_C4,ROUND(BASE_C4+RATE_C4*($A130-BOTT_C4),0),IF($A130&gt;BOTT_C3,ROUND(BASE_C3+RATE_C3*($A130-BOTT_C3),0),IF($A130&gt;BOTT_C2,ROUND(BASE_C2+RATE_C2*($A130-BOTT_C2),0),ROUND(RATE_C1*$A130,0))))</f>
        <v/>
      </c>
      <c r="G130" s="556">
        <f>IF($A130&gt;BOTT_D4,ROUND(BASE_D4+RATE_D4*($A130-BOTT_D4),0),IF($A130&gt;BOTT_D3,ROUND(BASE_D3+RATE_D3*($A130-BOTT_D3),0),IF($A130&gt;BOTT_D2,ROUND(BASE_D2+RATE_D2*($A130-BOTT_D2),0),ROUND(RATE_D1*$A130,0))))</f>
        <v/>
      </c>
    </row>
    <row r="131" ht="15.75" customHeight="1" s="7635">
      <c r="A131" s="625">
        <f>AVERAGE(B131,C131)</f>
        <v/>
      </c>
      <c r="B131" s="555" t="n">
        <v>3350</v>
      </c>
      <c r="C131" s="555" t="n">
        <v>3400</v>
      </c>
      <c r="D131" s="556">
        <f>IF($A131&gt;BOTT_A4,ROUND(BASE_A4+RATE_A4*($A131-BOTT_A4),0),IF($A131&gt;BOTT_A3,ROUND(BASE_A3+RATE_A3*($A131-BOTT_A3),0),IF($A131&gt;BOTT_A2,ROUND(BASE_A2+RATE_A2*($A131-BOTT_A2),0),ROUND(RATE_A1*$A131,0))))</f>
        <v/>
      </c>
      <c r="E131" s="556">
        <f>IF($A131&gt;BOTT_B4,ROUND(BASE_B4+RATE_B4*($A131-BOTT_B4),0),IF($A131&gt;BOTT_B3,ROUND(BASE_B3+RATE_B3*($A131-BOTT_B3),0),IF($A131&gt;BOTT_B2,ROUND(BASE_B2+RATE_B2*($A131-BOTT_B2),0),ROUND(RATE_B1*$A131,0))))</f>
        <v/>
      </c>
      <c r="F131" s="556">
        <f>IF($A131&gt;BOTT_C4,ROUND(BASE_C4+RATE_C4*($A131-BOTT_C4),0),IF($A131&gt;BOTT_C3,ROUND(BASE_C3+RATE_C3*($A131-BOTT_C3),0),IF($A131&gt;BOTT_C2,ROUND(BASE_C2+RATE_C2*($A131-BOTT_C2),0),ROUND(RATE_C1*$A131,0))))</f>
        <v/>
      </c>
      <c r="G131" s="556">
        <f>IF($A131&gt;BOTT_D4,ROUND(BASE_D4+RATE_D4*($A131-BOTT_D4),0),IF($A131&gt;BOTT_D3,ROUND(BASE_D3+RATE_D3*($A131-BOTT_D3),0),IF($A131&gt;BOTT_D2,ROUND(BASE_D2+RATE_D2*($A131-BOTT_D2),0),ROUND(RATE_D1*$A131,0))))</f>
        <v/>
      </c>
    </row>
    <row r="132" ht="15.75" customHeight="1" s="7635">
      <c r="A132" s="625">
        <f>AVERAGE(B132,C132)</f>
        <v/>
      </c>
      <c r="B132" s="555" t="n">
        <v>3400</v>
      </c>
      <c r="C132" s="555" t="n">
        <v>3450</v>
      </c>
      <c r="D132" s="556">
        <f>IF($A132&gt;BOTT_A4,ROUND(BASE_A4+RATE_A4*($A132-BOTT_A4),0),IF($A132&gt;BOTT_A3,ROUND(BASE_A3+RATE_A3*($A132-BOTT_A3),0),IF($A132&gt;BOTT_A2,ROUND(BASE_A2+RATE_A2*($A132-BOTT_A2),0),ROUND(RATE_A1*$A132,0))))</f>
        <v/>
      </c>
      <c r="E132" s="556">
        <f>IF($A132&gt;BOTT_B4,ROUND(BASE_B4+RATE_B4*($A132-BOTT_B4),0),IF($A132&gt;BOTT_B3,ROUND(BASE_B3+RATE_B3*($A132-BOTT_B3),0),IF($A132&gt;BOTT_B2,ROUND(BASE_B2+RATE_B2*($A132-BOTT_B2),0),ROUND(RATE_B1*$A132,0))))</f>
        <v/>
      </c>
      <c r="F132" s="556">
        <f>IF($A132&gt;BOTT_C4,ROUND(BASE_C4+RATE_C4*($A132-BOTT_C4),0),IF($A132&gt;BOTT_C3,ROUND(BASE_C3+RATE_C3*($A132-BOTT_C3),0),IF($A132&gt;BOTT_C2,ROUND(BASE_C2+RATE_C2*($A132-BOTT_C2),0),ROUND(RATE_C1*$A132,0))))</f>
        <v/>
      </c>
      <c r="G132" s="556">
        <f>IF($A132&gt;BOTT_D4,ROUND(BASE_D4+RATE_D4*($A132-BOTT_D4),0),IF($A132&gt;BOTT_D3,ROUND(BASE_D3+RATE_D3*($A132-BOTT_D3),0),IF($A132&gt;BOTT_D2,ROUND(BASE_D2+RATE_D2*($A132-BOTT_D2),0),ROUND(RATE_D1*$A132,0))))</f>
        <v/>
      </c>
    </row>
    <row r="133" ht="15.75" customHeight="1" s="7635">
      <c r="A133" s="625">
        <f>AVERAGE(B133,C133)</f>
        <v/>
      </c>
      <c r="B133" s="555" t="n">
        <v>3450</v>
      </c>
      <c r="C133" s="555" t="n">
        <v>3500</v>
      </c>
      <c r="D133" s="556">
        <f>IF($A133&gt;BOTT_A4,ROUND(BASE_A4+RATE_A4*($A133-BOTT_A4),0),IF($A133&gt;BOTT_A3,ROUND(BASE_A3+RATE_A3*($A133-BOTT_A3),0),IF($A133&gt;BOTT_A2,ROUND(BASE_A2+RATE_A2*($A133-BOTT_A2),0),ROUND(RATE_A1*$A133,0))))</f>
        <v/>
      </c>
      <c r="E133" s="556">
        <f>IF($A133&gt;BOTT_B4,ROUND(BASE_B4+RATE_B4*($A133-BOTT_B4),0),IF($A133&gt;BOTT_B3,ROUND(BASE_B3+RATE_B3*($A133-BOTT_B3),0),IF($A133&gt;BOTT_B2,ROUND(BASE_B2+RATE_B2*($A133-BOTT_B2),0),ROUND(RATE_B1*$A133,0))))</f>
        <v/>
      </c>
      <c r="F133" s="556">
        <f>IF($A133&gt;BOTT_C4,ROUND(BASE_C4+RATE_C4*($A133-BOTT_C4),0),IF($A133&gt;BOTT_C3,ROUND(BASE_C3+RATE_C3*($A133-BOTT_C3),0),IF($A133&gt;BOTT_C2,ROUND(BASE_C2+RATE_C2*($A133-BOTT_C2),0),ROUND(RATE_C1*$A133,0))))</f>
        <v/>
      </c>
      <c r="G133" s="556">
        <f>IF($A133&gt;BOTT_D4,ROUND(BASE_D4+RATE_D4*($A133-BOTT_D4),0),IF($A133&gt;BOTT_D3,ROUND(BASE_D3+RATE_D3*($A133-BOTT_D3),0),IF($A133&gt;BOTT_D2,ROUND(BASE_D2+RATE_D2*($A133-BOTT_D2),0),ROUND(RATE_D1*$A133,0))))</f>
        <v/>
      </c>
    </row>
    <row r="134" ht="15.75" customHeight="1" s="7635">
      <c r="A134" s="625">
        <f>AVERAGE(B134,C134)</f>
        <v/>
      </c>
      <c r="B134" s="555" t="n">
        <v>3500</v>
      </c>
      <c r="C134" s="555" t="n">
        <v>3550</v>
      </c>
      <c r="D134" s="556">
        <f>IF($A134&gt;BOTT_A4,ROUND(BASE_A4+RATE_A4*($A134-BOTT_A4),0),IF($A134&gt;BOTT_A3,ROUND(BASE_A3+RATE_A3*($A134-BOTT_A3),0),IF($A134&gt;BOTT_A2,ROUND(BASE_A2+RATE_A2*($A134-BOTT_A2),0),ROUND(RATE_A1*$A134,0))))</f>
        <v/>
      </c>
      <c r="E134" s="556">
        <f>IF($A134&gt;BOTT_B4,ROUND(BASE_B4+RATE_B4*($A134-BOTT_B4),0),IF($A134&gt;BOTT_B3,ROUND(BASE_B3+RATE_B3*($A134-BOTT_B3),0),IF($A134&gt;BOTT_B2,ROUND(BASE_B2+RATE_B2*($A134-BOTT_B2),0),ROUND(RATE_B1*$A134,0))))</f>
        <v/>
      </c>
      <c r="F134" s="556">
        <f>IF($A134&gt;BOTT_C4,ROUND(BASE_C4+RATE_C4*($A134-BOTT_C4),0),IF($A134&gt;BOTT_C3,ROUND(BASE_C3+RATE_C3*($A134-BOTT_C3),0),IF($A134&gt;BOTT_C2,ROUND(BASE_C2+RATE_C2*($A134-BOTT_C2),0),ROUND(RATE_C1*$A134,0))))</f>
        <v/>
      </c>
      <c r="G134" s="556">
        <f>IF($A134&gt;BOTT_D4,ROUND(BASE_D4+RATE_D4*($A134-BOTT_D4),0),IF($A134&gt;BOTT_D3,ROUND(BASE_D3+RATE_D3*($A134-BOTT_D3),0),IF($A134&gt;BOTT_D2,ROUND(BASE_D2+RATE_D2*($A134-BOTT_D2),0),ROUND(RATE_D1*$A134,0))))</f>
        <v/>
      </c>
    </row>
    <row r="135" ht="15.75" customHeight="1" s="7635">
      <c r="A135" s="625">
        <f>AVERAGE(B135,C135)</f>
        <v/>
      </c>
      <c r="B135" s="555" t="n">
        <v>3550</v>
      </c>
      <c r="C135" s="555" t="n">
        <v>3600</v>
      </c>
      <c r="D135" s="556">
        <f>IF($A135&gt;BOTT_A4,ROUND(BASE_A4+RATE_A4*($A135-BOTT_A4),0),IF($A135&gt;BOTT_A3,ROUND(BASE_A3+RATE_A3*($A135-BOTT_A3),0),IF($A135&gt;BOTT_A2,ROUND(BASE_A2+RATE_A2*($A135-BOTT_A2),0),ROUND(RATE_A1*$A135,0))))</f>
        <v/>
      </c>
      <c r="E135" s="556">
        <f>IF($A135&gt;BOTT_B4,ROUND(BASE_B4+RATE_B4*($A135-BOTT_B4),0),IF($A135&gt;BOTT_B3,ROUND(BASE_B3+RATE_B3*($A135-BOTT_B3),0),IF($A135&gt;BOTT_B2,ROUND(BASE_B2+RATE_B2*($A135-BOTT_B2),0),ROUND(RATE_B1*$A135,0))))</f>
        <v/>
      </c>
      <c r="F135" s="556">
        <f>IF($A135&gt;BOTT_C4,ROUND(BASE_C4+RATE_C4*($A135-BOTT_C4),0),IF($A135&gt;BOTT_C3,ROUND(BASE_C3+RATE_C3*($A135-BOTT_C3),0),IF($A135&gt;BOTT_C2,ROUND(BASE_C2+RATE_C2*($A135-BOTT_C2),0),ROUND(RATE_C1*$A135,0))))</f>
        <v/>
      </c>
      <c r="G135" s="556">
        <f>IF($A135&gt;BOTT_D4,ROUND(BASE_D4+RATE_D4*($A135-BOTT_D4),0),IF($A135&gt;BOTT_D3,ROUND(BASE_D3+RATE_D3*($A135-BOTT_D3),0),IF($A135&gt;BOTT_D2,ROUND(BASE_D2+RATE_D2*($A135-BOTT_D2),0),ROUND(RATE_D1*$A135,0))))</f>
        <v/>
      </c>
    </row>
    <row r="136" ht="15.75" customHeight="1" s="7635">
      <c r="A136" s="625">
        <f>AVERAGE(B136,C136)</f>
        <v/>
      </c>
      <c r="B136" s="555" t="n">
        <v>3600</v>
      </c>
      <c r="C136" s="555" t="n">
        <v>3650</v>
      </c>
      <c r="D136" s="556">
        <f>IF($A136&gt;BOTT_A4,ROUND(BASE_A4+RATE_A4*($A136-BOTT_A4),0),IF($A136&gt;BOTT_A3,ROUND(BASE_A3+RATE_A3*($A136-BOTT_A3),0),IF($A136&gt;BOTT_A2,ROUND(BASE_A2+RATE_A2*($A136-BOTT_A2),0),ROUND(RATE_A1*$A136,0))))</f>
        <v/>
      </c>
      <c r="E136" s="556">
        <f>IF($A136&gt;BOTT_B4,ROUND(BASE_B4+RATE_B4*($A136-BOTT_B4),0),IF($A136&gt;BOTT_B3,ROUND(BASE_B3+RATE_B3*($A136-BOTT_B3),0),IF($A136&gt;BOTT_B2,ROUND(BASE_B2+RATE_B2*($A136-BOTT_B2),0),ROUND(RATE_B1*$A136,0))))</f>
        <v/>
      </c>
      <c r="F136" s="556">
        <f>IF($A136&gt;BOTT_C4,ROUND(BASE_C4+RATE_C4*($A136-BOTT_C4),0),IF($A136&gt;BOTT_C3,ROUND(BASE_C3+RATE_C3*($A136-BOTT_C3),0),IF($A136&gt;BOTT_C2,ROUND(BASE_C2+RATE_C2*($A136-BOTT_C2),0),ROUND(RATE_C1*$A136,0))))</f>
        <v/>
      </c>
      <c r="G136" s="556">
        <f>IF($A136&gt;BOTT_D4,ROUND(BASE_D4+RATE_D4*($A136-BOTT_D4),0),IF($A136&gt;BOTT_D3,ROUND(BASE_D3+RATE_D3*($A136-BOTT_D3),0),IF($A136&gt;BOTT_D2,ROUND(BASE_D2+RATE_D2*($A136-BOTT_D2),0),ROUND(RATE_D1*$A136,0))))</f>
        <v/>
      </c>
    </row>
    <row r="137" ht="15.75" customHeight="1" s="7635">
      <c r="A137" s="625">
        <f>AVERAGE(B137,C137)</f>
        <v/>
      </c>
      <c r="B137" s="555" t="n">
        <v>3650</v>
      </c>
      <c r="C137" s="555" t="n">
        <v>3700</v>
      </c>
      <c r="D137" s="556">
        <f>IF($A137&gt;BOTT_A4,ROUND(BASE_A4+RATE_A4*($A137-BOTT_A4),0),IF($A137&gt;BOTT_A3,ROUND(BASE_A3+RATE_A3*($A137-BOTT_A3),0),IF($A137&gt;BOTT_A2,ROUND(BASE_A2+RATE_A2*($A137-BOTT_A2),0),ROUND(RATE_A1*$A137,0))))</f>
        <v/>
      </c>
      <c r="E137" s="556">
        <f>IF($A137&gt;BOTT_B4,ROUND(BASE_B4+RATE_B4*($A137-BOTT_B4),0),IF($A137&gt;BOTT_B3,ROUND(BASE_B3+RATE_B3*($A137-BOTT_B3),0),IF($A137&gt;BOTT_B2,ROUND(BASE_B2+RATE_B2*($A137-BOTT_B2),0),ROUND(RATE_B1*$A137,0))))</f>
        <v/>
      </c>
      <c r="F137" s="556">
        <f>IF($A137&gt;BOTT_C4,ROUND(BASE_C4+RATE_C4*($A137-BOTT_C4),0),IF($A137&gt;BOTT_C3,ROUND(BASE_C3+RATE_C3*($A137-BOTT_C3),0),IF($A137&gt;BOTT_C2,ROUND(BASE_C2+RATE_C2*($A137-BOTT_C2),0),ROUND(RATE_C1*$A137,0))))</f>
        <v/>
      </c>
      <c r="G137" s="556">
        <f>IF($A137&gt;BOTT_D4,ROUND(BASE_D4+RATE_D4*($A137-BOTT_D4),0),IF($A137&gt;BOTT_D3,ROUND(BASE_D3+RATE_D3*($A137-BOTT_D3),0),IF($A137&gt;BOTT_D2,ROUND(BASE_D2+RATE_D2*($A137-BOTT_D2),0),ROUND(RATE_D1*$A137,0))))</f>
        <v/>
      </c>
    </row>
    <row r="138" ht="15.75" customHeight="1" s="7635">
      <c r="A138" s="625">
        <f>AVERAGE(B138,C138)</f>
        <v/>
      </c>
      <c r="B138" s="555" t="n">
        <v>3700</v>
      </c>
      <c r="C138" s="555" t="n">
        <v>3750</v>
      </c>
      <c r="D138" s="556">
        <f>IF($A138&gt;BOTT_A4,ROUND(BASE_A4+RATE_A4*($A138-BOTT_A4),0),IF($A138&gt;BOTT_A3,ROUND(BASE_A3+RATE_A3*($A138-BOTT_A3),0),IF($A138&gt;BOTT_A2,ROUND(BASE_A2+RATE_A2*($A138-BOTT_A2),0),ROUND(RATE_A1*$A138,0))))</f>
        <v/>
      </c>
      <c r="E138" s="556">
        <f>IF($A138&gt;BOTT_B4,ROUND(BASE_B4+RATE_B4*($A138-BOTT_B4),0),IF($A138&gt;BOTT_B3,ROUND(BASE_B3+RATE_B3*($A138-BOTT_B3),0),IF($A138&gt;BOTT_B2,ROUND(BASE_B2+RATE_B2*($A138-BOTT_B2),0),ROUND(RATE_B1*$A138,0))))</f>
        <v/>
      </c>
      <c r="F138" s="556">
        <f>IF($A138&gt;BOTT_C4,ROUND(BASE_C4+RATE_C4*($A138-BOTT_C4),0),IF($A138&gt;BOTT_C3,ROUND(BASE_C3+RATE_C3*($A138-BOTT_C3),0),IF($A138&gt;BOTT_C2,ROUND(BASE_C2+RATE_C2*($A138-BOTT_C2),0),ROUND(RATE_C1*$A138,0))))</f>
        <v/>
      </c>
      <c r="G138" s="556">
        <f>IF($A138&gt;BOTT_D4,ROUND(BASE_D4+RATE_D4*($A138-BOTT_D4),0),IF($A138&gt;BOTT_D3,ROUND(BASE_D3+RATE_D3*($A138-BOTT_D3),0),IF($A138&gt;BOTT_D2,ROUND(BASE_D2+RATE_D2*($A138-BOTT_D2),0),ROUND(RATE_D1*$A138,0))))</f>
        <v/>
      </c>
    </row>
    <row r="139" ht="15.75" customHeight="1" s="7635">
      <c r="A139" s="625">
        <f>AVERAGE(B139,C139)</f>
        <v/>
      </c>
      <c r="B139" s="555" t="n">
        <v>3750</v>
      </c>
      <c r="C139" s="555" t="n">
        <v>3800</v>
      </c>
      <c r="D139" s="556">
        <f>IF($A139&gt;BOTT_A4,ROUND(BASE_A4+RATE_A4*($A139-BOTT_A4),0),IF($A139&gt;BOTT_A3,ROUND(BASE_A3+RATE_A3*($A139-BOTT_A3),0),IF($A139&gt;BOTT_A2,ROUND(BASE_A2+RATE_A2*($A139-BOTT_A2),0),ROUND(RATE_A1*$A139,0))))</f>
        <v/>
      </c>
      <c r="E139" s="556">
        <f>IF($A139&gt;BOTT_B4,ROUND(BASE_B4+RATE_B4*($A139-BOTT_B4),0),IF($A139&gt;BOTT_B3,ROUND(BASE_B3+RATE_B3*($A139-BOTT_B3),0),IF($A139&gt;BOTT_B2,ROUND(BASE_B2+RATE_B2*($A139-BOTT_B2),0),ROUND(RATE_B1*$A139,0))))</f>
        <v/>
      </c>
      <c r="F139" s="556">
        <f>IF($A139&gt;BOTT_C4,ROUND(BASE_C4+RATE_C4*($A139-BOTT_C4),0),IF($A139&gt;BOTT_C3,ROUND(BASE_C3+RATE_C3*($A139-BOTT_C3),0),IF($A139&gt;BOTT_C2,ROUND(BASE_C2+RATE_C2*($A139-BOTT_C2),0),ROUND(RATE_C1*$A139,0))))</f>
        <v/>
      </c>
      <c r="G139" s="556">
        <f>IF($A139&gt;BOTT_D4,ROUND(BASE_D4+RATE_D4*($A139-BOTT_D4),0),IF($A139&gt;BOTT_D3,ROUND(BASE_D3+RATE_D3*($A139-BOTT_D3),0),IF($A139&gt;BOTT_D2,ROUND(BASE_D2+RATE_D2*($A139-BOTT_D2),0),ROUND(RATE_D1*$A139,0))))</f>
        <v/>
      </c>
    </row>
    <row r="140" ht="15.75" customHeight="1" s="7635">
      <c r="A140" s="625">
        <f>AVERAGE(B140,C140)</f>
        <v/>
      </c>
      <c r="B140" s="555" t="n">
        <v>3800</v>
      </c>
      <c r="C140" s="555" t="n">
        <v>3850</v>
      </c>
      <c r="D140" s="556">
        <f>IF($A140&gt;BOTT_A4,ROUND(BASE_A4+RATE_A4*($A140-BOTT_A4),0),IF($A140&gt;BOTT_A3,ROUND(BASE_A3+RATE_A3*($A140-BOTT_A3),0),IF($A140&gt;BOTT_A2,ROUND(BASE_A2+RATE_A2*($A140-BOTT_A2),0),ROUND(RATE_A1*$A140,0))))</f>
        <v/>
      </c>
      <c r="E140" s="556">
        <f>IF($A140&gt;BOTT_B4,ROUND(BASE_B4+RATE_B4*($A140-BOTT_B4),0),IF($A140&gt;BOTT_B3,ROUND(BASE_B3+RATE_B3*($A140-BOTT_B3),0),IF($A140&gt;BOTT_B2,ROUND(BASE_B2+RATE_B2*($A140-BOTT_B2),0),ROUND(RATE_B1*$A140,0))))</f>
        <v/>
      </c>
      <c r="F140" s="556">
        <f>IF($A140&gt;BOTT_C4,ROUND(BASE_C4+RATE_C4*($A140-BOTT_C4),0),IF($A140&gt;BOTT_C3,ROUND(BASE_C3+RATE_C3*($A140-BOTT_C3),0),IF($A140&gt;BOTT_C2,ROUND(BASE_C2+RATE_C2*($A140-BOTT_C2),0),ROUND(RATE_C1*$A140,0))))</f>
        <v/>
      </c>
      <c r="G140" s="556">
        <f>IF($A140&gt;BOTT_D4,ROUND(BASE_D4+RATE_D4*($A140-BOTT_D4),0),IF($A140&gt;BOTT_D3,ROUND(BASE_D3+RATE_D3*($A140-BOTT_D3),0),IF($A140&gt;BOTT_D2,ROUND(BASE_D2+RATE_D2*($A140-BOTT_D2),0),ROUND(RATE_D1*$A140,0))))</f>
        <v/>
      </c>
    </row>
    <row r="141" ht="15.75" customHeight="1" s="7635">
      <c r="A141" s="625">
        <f>AVERAGE(B141,C141)</f>
        <v/>
      </c>
      <c r="B141" s="555" t="n">
        <v>3850</v>
      </c>
      <c r="C141" s="555" t="n">
        <v>3900</v>
      </c>
      <c r="D141" s="556">
        <f>IF($A141&gt;BOTT_A4,ROUND(BASE_A4+RATE_A4*($A141-BOTT_A4),0),IF($A141&gt;BOTT_A3,ROUND(BASE_A3+RATE_A3*($A141-BOTT_A3),0),IF($A141&gt;BOTT_A2,ROUND(BASE_A2+RATE_A2*($A141-BOTT_A2),0),ROUND(RATE_A1*$A141,0))))</f>
        <v/>
      </c>
      <c r="E141" s="556">
        <f>IF($A141&gt;BOTT_B4,ROUND(BASE_B4+RATE_B4*($A141-BOTT_B4),0),IF($A141&gt;BOTT_B3,ROUND(BASE_B3+RATE_B3*($A141-BOTT_B3),0),IF($A141&gt;BOTT_B2,ROUND(BASE_B2+RATE_B2*($A141-BOTT_B2),0),ROUND(RATE_B1*$A141,0))))</f>
        <v/>
      </c>
      <c r="F141" s="556">
        <f>IF($A141&gt;BOTT_C4,ROUND(BASE_C4+RATE_C4*($A141-BOTT_C4),0),IF($A141&gt;BOTT_C3,ROUND(BASE_C3+RATE_C3*($A141-BOTT_C3),0),IF($A141&gt;BOTT_C2,ROUND(BASE_C2+RATE_C2*($A141-BOTT_C2),0),ROUND(RATE_C1*$A141,0))))</f>
        <v/>
      </c>
      <c r="G141" s="556">
        <f>IF($A141&gt;BOTT_D4,ROUND(BASE_D4+RATE_D4*($A141-BOTT_D4),0),IF($A141&gt;BOTT_D3,ROUND(BASE_D3+RATE_D3*($A141-BOTT_D3),0),IF($A141&gt;BOTT_D2,ROUND(BASE_D2+RATE_D2*($A141-BOTT_D2),0),ROUND(RATE_D1*$A141,0))))</f>
        <v/>
      </c>
    </row>
    <row r="142" ht="15.75" customHeight="1" s="7635">
      <c r="A142" s="625">
        <f>AVERAGE(B142,C142)</f>
        <v/>
      </c>
      <c r="B142" s="555" t="n">
        <v>3900</v>
      </c>
      <c r="C142" s="555" t="n">
        <v>3950</v>
      </c>
      <c r="D142" s="556">
        <f>IF($A142&gt;BOTT_A4,ROUND(BASE_A4+RATE_A4*($A142-BOTT_A4),0),IF($A142&gt;BOTT_A3,ROUND(BASE_A3+RATE_A3*($A142-BOTT_A3),0),IF($A142&gt;BOTT_A2,ROUND(BASE_A2+RATE_A2*($A142-BOTT_A2),0),ROUND(RATE_A1*$A142,0))))</f>
        <v/>
      </c>
      <c r="E142" s="556">
        <f>IF($A142&gt;BOTT_B4,ROUND(BASE_B4+RATE_B4*($A142-BOTT_B4),0),IF($A142&gt;BOTT_B3,ROUND(BASE_B3+RATE_B3*($A142-BOTT_B3),0),IF($A142&gt;BOTT_B2,ROUND(BASE_B2+RATE_B2*($A142-BOTT_B2),0),ROUND(RATE_B1*$A142,0))))</f>
        <v/>
      </c>
      <c r="F142" s="556">
        <f>IF($A142&gt;BOTT_C4,ROUND(BASE_C4+RATE_C4*($A142-BOTT_C4),0),IF($A142&gt;BOTT_C3,ROUND(BASE_C3+RATE_C3*($A142-BOTT_C3),0),IF($A142&gt;BOTT_C2,ROUND(BASE_C2+RATE_C2*($A142-BOTT_C2),0),ROUND(RATE_C1*$A142,0))))</f>
        <v/>
      </c>
      <c r="G142" s="556">
        <f>IF($A142&gt;BOTT_D4,ROUND(BASE_D4+RATE_D4*($A142-BOTT_D4),0),IF($A142&gt;BOTT_D3,ROUND(BASE_D3+RATE_D3*($A142-BOTT_D3),0),IF($A142&gt;BOTT_D2,ROUND(BASE_D2+RATE_D2*($A142-BOTT_D2),0),ROUND(RATE_D1*$A142,0))))</f>
        <v/>
      </c>
    </row>
    <row r="143" ht="15.75" customHeight="1" s="7635">
      <c r="A143" s="625">
        <f>AVERAGE(B143,C143)</f>
        <v/>
      </c>
      <c r="B143" s="555" t="n">
        <v>3950</v>
      </c>
      <c r="C143" s="555" t="n">
        <v>4000</v>
      </c>
      <c r="D143" s="556">
        <f>IF($A143&gt;BOTT_A4,ROUND(BASE_A4+RATE_A4*($A143-BOTT_A4),0),IF($A143&gt;BOTT_A3,ROUND(BASE_A3+RATE_A3*($A143-BOTT_A3),0),IF($A143&gt;BOTT_A2,ROUND(BASE_A2+RATE_A2*($A143-BOTT_A2),0),ROUND(RATE_A1*$A143,0))))</f>
        <v/>
      </c>
      <c r="E143" s="556">
        <f>IF($A143&gt;BOTT_B4,ROUND(BASE_B4+RATE_B4*($A143-BOTT_B4),0),IF($A143&gt;BOTT_B3,ROUND(BASE_B3+RATE_B3*($A143-BOTT_B3),0),IF($A143&gt;BOTT_B2,ROUND(BASE_B2+RATE_B2*($A143-BOTT_B2),0),ROUND(RATE_B1*$A143,0))))</f>
        <v/>
      </c>
      <c r="F143" s="556">
        <f>IF($A143&gt;BOTT_C4,ROUND(BASE_C4+RATE_C4*($A143-BOTT_C4),0),IF($A143&gt;BOTT_C3,ROUND(BASE_C3+RATE_C3*($A143-BOTT_C3),0),IF($A143&gt;BOTT_C2,ROUND(BASE_C2+RATE_C2*($A143-BOTT_C2),0),ROUND(RATE_C1*$A143,0))))</f>
        <v/>
      </c>
      <c r="G143" s="556">
        <f>IF($A143&gt;BOTT_D4,ROUND(BASE_D4+RATE_D4*($A143-BOTT_D4),0),IF($A143&gt;BOTT_D3,ROUND(BASE_D3+RATE_D3*($A143-BOTT_D3),0),IF($A143&gt;BOTT_D2,ROUND(BASE_D2+RATE_D2*($A143-BOTT_D2),0),ROUND(RATE_D1*$A143,0))))</f>
        <v/>
      </c>
    </row>
    <row r="144" ht="15.75" customHeight="1" s="7635">
      <c r="A144" s="625">
        <f>AVERAGE(B144,C144)</f>
        <v/>
      </c>
      <c r="B144" s="555" t="n">
        <v>4000</v>
      </c>
      <c r="C144" s="555" t="n">
        <v>4050</v>
      </c>
      <c r="D144" s="556">
        <f>IF($A144&gt;BOTT_A4,ROUND(BASE_A4+RATE_A4*($A144-BOTT_A4),0),IF($A144&gt;BOTT_A3,ROUND(BASE_A3+RATE_A3*($A144-BOTT_A3),0),IF($A144&gt;BOTT_A2,ROUND(BASE_A2+RATE_A2*($A144-BOTT_A2),0),ROUND(RATE_A1*$A144,0))))</f>
        <v/>
      </c>
      <c r="E144" s="556">
        <f>IF($A144&gt;BOTT_B4,ROUND(BASE_B4+RATE_B4*($A144-BOTT_B4),0),IF($A144&gt;BOTT_B3,ROUND(BASE_B3+RATE_B3*($A144-BOTT_B3),0),IF($A144&gt;BOTT_B2,ROUND(BASE_B2+RATE_B2*($A144-BOTT_B2),0),ROUND(RATE_B1*$A144,0))))</f>
        <v/>
      </c>
      <c r="F144" s="556">
        <f>IF($A144&gt;BOTT_C4,ROUND(BASE_C4+RATE_C4*($A144-BOTT_C4),0),IF($A144&gt;BOTT_C3,ROUND(BASE_C3+RATE_C3*($A144-BOTT_C3),0),IF($A144&gt;BOTT_C2,ROUND(BASE_C2+RATE_C2*($A144-BOTT_C2),0),ROUND(RATE_C1*$A144,0))))</f>
        <v/>
      </c>
      <c r="G144" s="556">
        <f>IF($A144&gt;BOTT_D4,ROUND(BASE_D4+RATE_D4*($A144-BOTT_D4),0),IF($A144&gt;BOTT_D3,ROUND(BASE_D3+RATE_D3*($A144-BOTT_D3),0),IF($A144&gt;BOTT_D2,ROUND(BASE_D2+RATE_D2*($A144-BOTT_D2),0),ROUND(RATE_D1*$A144,0))))</f>
        <v/>
      </c>
    </row>
    <row r="145" ht="15.75" customHeight="1" s="7635">
      <c r="A145" s="625">
        <f>AVERAGE(B145,C145)</f>
        <v/>
      </c>
      <c r="B145" s="555" t="n">
        <v>4050</v>
      </c>
      <c r="C145" s="555" t="n">
        <v>4100</v>
      </c>
      <c r="D145" s="556">
        <f>IF($A145&gt;BOTT_A4,ROUND(BASE_A4+RATE_A4*($A145-BOTT_A4),0),IF($A145&gt;BOTT_A3,ROUND(BASE_A3+RATE_A3*($A145-BOTT_A3),0),IF($A145&gt;BOTT_A2,ROUND(BASE_A2+RATE_A2*($A145-BOTT_A2),0),ROUND(RATE_A1*$A145,0))))</f>
        <v/>
      </c>
      <c r="E145" s="556">
        <f>IF($A145&gt;BOTT_B4,ROUND(BASE_B4+RATE_B4*($A145-BOTT_B4),0),IF($A145&gt;BOTT_B3,ROUND(BASE_B3+RATE_B3*($A145-BOTT_B3),0),IF($A145&gt;BOTT_B2,ROUND(BASE_B2+RATE_B2*($A145-BOTT_B2),0),ROUND(RATE_B1*$A145,0))))</f>
        <v/>
      </c>
      <c r="F145" s="556">
        <f>IF($A145&gt;BOTT_C4,ROUND(BASE_C4+RATE_C4*($A145-BOTT_C4),0),IF($A145&gt;BOTT_C3,ROUND(BASE_C3+RATE_C3*($A145-BOTT_C3),0),IF($A145&gt;BOTT_C2,ROUND(BASE_C2+RATE_C2*($A145-BOTT_C2),0),ROUND(RATE_C1*$A145,0))))</f>
        <v/>
      </c>
      <c r="G145" s="556">
        <f>IF($A145&gt;BOTT_D4,ROUND(BASE_D4+RATE_D4*($A145-BOTT_D4),0),IF($A145&gt;BOTT_D3,ROUND(BASE_D3+RATE_D3*($A145-BOTT_D3),0),IF($A145&gt;BOTT_D2,ROUND(BASE_D2+RATE_D2*($A145-BOTT_D2),0),ROUND(RATE_D1*$A145,0))))</f>
        <v/>
      </c>
    </row>
    <row r="146" ht="15.75" customHeight="1" s="7635">
      <c r="A146" s="625">
        <f>AVERAGE(B146,C146)</f>
        <v/>
      </c>
      <c r="B146" s="555" t="n">
        <v>4100</v>
      </c>
      <c r="C146" s="555" t="n">
        <v>4150</v>
      </c>
      <c r="D146" s="556">
        <f>IF($A146&gt;BOTT_A4,ROUND(BASE_A4+RATE_A4*($A146-BOTT_A4),0),IF($A146&gt;BOTT_A3,ROUND(BASE_A3+RATE_A3*($A146-BOTT_A3),0),IF($A146&gt;BOTT_A2,ROUND(BASE_A2+RATE_A2*($A146-BOTT_A2),0),ROUND(RATE_A1*$A146,0))))</f>
        <v/>
      </c>
      <c r="E146" s="556">
        <f>IF($A146&gt;BOTT_B4,ROUND(BASE_B4+RATE_B4*($A146-BOTT_B4),0),IF($A146&gt;BOTT_B3,ROUND(BASE_B3+RATE_B3*($A146-BOTT_B3),0),IF($A146&gt;BOTT_B2,ROUND(BASE_B2+RATE_B2*($A146-BOTT_B2),0),ROUND(RATE_B1*$A146,0))))</f>
        <v/>
      </c>
      <c r="F146" s="556">
        <f>IF($A146&gt;BOTT_C4,ROUND(BASE_C4+RATE_C4*($A146-BOTT_C4),0),IF($A146&gt;BOTT_C3,ROUND(BASE_C3+RATE_C3*($A146-BOTT_C3),0),IF($A146&gt;BOTT_C2,ROUND(BASE_C2+RATE_C2*($A146-BOTT_C2),0),ROUND(RATE_C1*$A146,0))))</f>
        <v/>
      </c>
      <c r="G146" s="556">
        <f>IF($A146&gt;BOTT_D4,ROUND(BASE_D4+RATE_D4*($A146-BOTT_D4),0),IF($A146&gt;BOTT_D3,ROUND(BASE_D3+RATE_D3*($A146-BOTT_D3),0),IF($A146&gt;BOTT_D2,ROUND(BASE_D2+RATE_D2*($A146-BOTT_D2),0),ROUND(RATE_D1*$A146,0))))</f>
        <v/>
      </c>
    </row>
    <row r="147" ht="15.75" customHeight="1" s="7635">
      <c r="A147" s="625">
        <f>AVERAGE(B147,C147)</f>
        <v/>
      </c>
      <c r="B147" s="555" t="n">
        <v>4150</v>
      </c>
      <c r="C147" s="555" t="n">
        <v>4200</v>
      </c>
      <c r="D147" s="556">
        <f>IF($A147&gt;BOTT_A4,ROUND(BASE_A4+RATE_A4*($A147-BOTT_A4),0),IF($A147&gt;BOTT_A3,ROUND(BASE_A3+RATE_A3*($A147-BOTT_A3),0),IF($A147&gt;BOTT_A2,ROUND(BASE_A2+RATE_A2*($A147-BOTT_A2),0),ROUND(RATE_A1*$A147,0))))</f>
        <v/>
      </c>
      <c r="E147" s="556">
        <f>IF($A147&gt;BOTT_B4,ROUND(BASE_B4+RATE_B4*($A147-BOTT_B4),0),IF($A147&gt;BOTT_B3,ROUND(BASE_B3+RATE_B3*($A147-BOTT_B3),0),IF($A147&gt;BOTT_B2,ROUND(BASE_B2+RATE_B2*($A147-BOTT_B2),0),ROUND(RATE_B1*$A147,0))))</f>
        <v/>
      </c>
      <c r="F147" s="556">
        <f>IF($A147&gt;BOTT_C4,ROUND(BASE_C4+RATE_C4*($A147-BOTT_C4),0),IF($A147&gt;BOTT_C3,ROUND(BASE_C3+RATE_C3*($A147-BOTT_C3),0),IF($A147&gt;BOTT_C2,ROUND(BASE_C2+RATE_C2*($A147-BOTT_C2),0),ROUND(RATE_C1*$A147,0))))</f>
        <v/>
      </c>
      <c r="G147" s="556">
        <f>IF($A147&gt;BOTT_D4,ROUND(BASE_D4+RATE_D4*($A147-BOTT_D4),0),IF($A147&gt;BOTT_D3,ROUND(BASE_D3+RATE_D3*($A147-BOTT_D3),0),IF($A147&gt;BOTT_D2,ROUND(BASE_D2+RATE_D2*($A147-BOTT_D2),0),ROUND(RATE_D1*$A147,0))))</f>
        <v/>
      </c>
    </row>
    <row r="148" ht="15.75" customHeight="1" s="7635">
      <c r="A148" s="625">
        <f>AVERAGE(B148,C148)</f>
        <v/>
      </c>
      <c r="B148" s="555" t="n">
        <v>4200</v>
      </c>
      <c r="C148" s="555" t="n">
        <v>4250</v>
      </c>
      <c r="D148" s="556">
        <f>IF($A148&gt;BOTT_A4,ROUND(BASE_A4+RATE_A4*($A148-BOTT_A4),0),IF($A148&gt;BOTT_A3,ROUND(BASE_A3+RATE_A3*($A148-BOTT_A3),0),IF($A148&gt;BOTT_A2,ROUND(BASE_A2+RATE_A2*($A148-BOTT_A2),0),ROUND(RATE_A1*$A148,0))))</f>
        <v/>
      </c>
      <c r="E148" s="556">
        <f>IF($A148&gt;BOTT_B4,ROUND(BASE_B4+RATE_B4*($A148-BOTT_B4),0),IF($A148&gt;BOTT_B3,ROUND(BASE_B3+RATE_B3*($A148-BOTT_B3),0),IF($A148&gt;BOTT_B2,ROUND(BASE_B2+RATE_B2*($A148-BOTT_B2),0),ROUND(RATE_B1*$A148,0))))</f>
        <v/>
      </c>
      <c r="F148" s="556">
        <f>IF($A148&gt;BOTT_C4,ROUND(BASE_C4+RATE_C4*($A148-BOTT_C4),0),IF($A148&gt;BOTT_C3,ROUND(BASE_C3+RATE_C3*($A148-BOTT_C3),0),IF($A148&gt;BOTT_C2,ROUND(BASE_C2+RATE_C2*($A148-BOTT_C2),0),ROUND(RATE_C1*$A148,0))))</f>
        <v/>
      </c>
      <c r="G148" s="556">
        <f>IF($A148&gt;BOTT_D4,ROUND(BASE_D4+RATE_D4*($A148-BOTT_D4),0),IF($A148&gt;BOTT_D3,ROUND(BASE_D3+RATE_D3*($A148-BOTT_D3),0),IF($A148&gt;BOTT_D2,ROUND(BASE_D2+RATE_D2*($A148-BOTT_D2),0),ROUND(RATE_D1*$A148,0))))</f>
        <v/>
      </c>
    </row>
    <row r="149" ht="15.75" customHeight="1" s="7635">
      <c r="A149" s="625">
        <f>AVERAGE(B149,C149)</f>
        <v/>
      </c>
      <c r="B149" s="555" t="n">
        <v>4250</v>
      </c>
      <c r="C149" s="555" t="n">
        <v>4300</v>
      </c>
      <c r="D149" s="556">
        <f>IF($A149&gt;BOTT_A4,ROUND(BASE_A4+RATE_A4*($A149-BOTT_A4),0),IF($A149&gt;BOTT_A3,ROUND(BASE_A3+RATE_A3*($A149-BOTT_A3),0),IF($A149&gt;BOTT_A2,ROUND(BASE_A2+RATE_A2*($A149-BOTT_A2),0),ROUND(RATE_A1*$A149,0))))</f>
        <v/>
      </c>
      <c r="E149" s="556">
        <f>IF($A149&gt;BOTT_B4,ROUND(BASE_B4+RATE_B4*($A149-BOTT_B4),0),IF($A149&gt;BOTT_B3,ROUND(BASE_B3+RATE_B3*($A149-BOTT_B3),0),IF($A149&gt;BOTT_B2,ROUND(BASE_B2+RATE_B2*($A149-BOTT_B2),0),ROUND(RATE_B1*$A149,0))))</f>
        <v/>
      </c>
      <c r="F149" s="556">
        <f>IF($A149&gt;BOTT_C4,ROUND(BASE_C4+RATE_C4*($A149-BOTT_C4),0),IF($A149&gt;BOTT_C3,ROUND(BASE_C3+RATE_C3*($A149-BOTT_C3),0),IF($A149&gt;BOTT_C2,ROUND(BASE_C2+RATE_C2*($A149-BOTT_C2),0),ROUND(RATE_C1*$A149,0))))</f>
        <v/>
      </c>
      <c r="G149" s="556">
        <f>IF($A149&gt;BOTT_D4,ROUND(BASE_D4+RATE_D4*($A149-BOTT_D4),0),IF($A149&gt;BOTT_D3,ROUND(BASE_D3+RATE_D3*($A149-BOTT_D3),0),IF($A149&gt;BOTT_D2,ROUND(BASE_D2+RATE_D2*($A149-BOTT_D2),0),ROUND(RATE_D1*$A149,0))))</f>
        <v/>
      </c>
    </row>
    <row r="150" ht="15.75" customHeight="1" s="7635">
      <c r="A150" s="625">
        <f>AVERAGE(B150,C150)</f>
        <v/>
      </c>
      <c r="B150" s="555" t="n">
        <v>4300</v>
      </c>
      <c r="C150" s="555" t="n">
        <v>4350</v>
      </c>
      <c r="D150" s="556">
        <f>IF($A150&gt;BOTT_A4,ROUND(BASE_A4+RATE_A4*($A150-BOTT_A4),0),IF($A150&gt;BOTT_A3,ROUND(BASE_A3+RATE_A3*($A150-BOTT_A3),0),IF($A150&gt;BOTT_A2,ROUND(BASE_A2+RATE_A2*($A150-BOTT_A2),0),ROUND(RATE_A1*$A150,0))))</f>
        <v/>
      </c>
      <c r="E150" s="556">
        <f>IF($A150&gt;BOTT_B4,ROUND(BASE_B4+RATE_B4*($A150-BOTT_B4),0),IF($A150&gt;BOTT_B3,ROUND(BASE_B3+RATE_B3*($A150-BOTT_B3),0),IF($A150&gt;BOTT_B2,ROUND(BASE_B2+RATE_B2*($A150-BOTT_B2),0),ROUND(RATE_B1*$A150,0))))</f>
        <v/>
      </c>
      <c r="F150" s="556">
        <f>IF($A150&gt;BOTT_C4,ROUND(BASE_C4+RATE_C4*($A150-BOTT_C4),0),IF($A150&gt;BOTT_C3,ROUND(BASE_C3+RATE_C3*($A150-BOTT_C3),0),IF($A150&gt;BOTT_C2,ROUND(BASE_C2+RATE_C2*($A150-BOTT_C2),0),ROUND(RATE_C1*$A150,0))))</f>
        <v/>
      </c>
      <c r="G150" s="556">
        <f>IF($A150&gt;BOTT_D4,ROUND(BASE_D4+RATE_D4*($A150-BOTT_D4),0),IF($A150&gt;BOTT_D3,ROUND(BASE_D3+RATE_D3*($A150-BOTT_D3),0),IF($A150&gt;BOTT_D2,ROUND(BASE_D2+RATE_D2*($A150-BOTT_D2),0),ROUND(RATE_D1*$A150,0))))</f>
        <v/>
      </c>
    </row>
    <row r="151" ht="15.75" customHeight="1" s="7635">
      <c r="A151" s="625">
        <f>AVERAGE(B151,C151)</f>
        <v/>
      </c>
      <c r="B151" s="555" t="n">
        <v>4350</v>
      </c>
      <c r="C151" s="555" t="n">
        <v>4400</v>
      </c>
      <c r="D151" s="556">
        <f>IF($A151&gt;BOTT_A4,ROUND(BASE_A4+RATE_A4*($A151-BOTT_A4),0),IF($A151&gt;BOTT_A3,ROUND(BASE_A3+RATE_A3*($A151-BOTT_A3),0),IF($A151&gt;BOTT_A2,ROUND(BASE_A2+RATE_A2*($A151-BOTT_A2),0),ROUND(RATE_A1*$A151,0))))</f>
        <v/>
      </c>
      <c r="E151" s="556">
        <f>IF($A151&gt;BOTT_B4,ROUND(BASE_B4+RATE_B4*($A151-BOTT_B4),0),IF($A151&gt;BOTT_B3,ROUND(BASE_B3+RATE_B3*($A151-BOTT_B3),0),IF($A151&gt;BOTT_B2,ROUND(BASE_B2+RATE_B2*($A151-BOTT_B2),0),ROUND(RATE_B1*$A151,0))))</f>
        <v/>
      </c>
      <c r="F151" s="556">
        <f>IF($A151&gt;BOTT_C4,ROUND(BASE_C4+RATE_C4*($A151-BOTT_C4),0),IF($A151&gt;BOTT_C3,ROUND(BASE_C3+RATE_C3*($A151-BOTT_C3),0),IF($A151&gt;BOTT_C2,ROUND(BASE_C2+RATE_C2*($A151-BOTT_C2),0),ROUND(RATE_C1*$A151,0))))</f>
        <v/>
      </c>
      <c r="G151" s="556">
        <f>IF($A151&gt;BOTT_D4,ROUND(BASE_D4+RATE_D4*($A151-BOTT_D4),0),IF($A151&gt;BOTT_D3,ROUND(BASE_D3+RATE_D3*($A151-BOTT_D3),0),IF($A151&gt;BOTT_D2,ROUND(BASE_D2+RATE_D2*($A151-BOTT_D2),0),ROUND(RATE_D1*$A151,0))))</f>
        <v/>
      </c>
    </row>
    <row r="152" ht="15.75" customHeight="1" s="7635">
      <c r="A152" s="625">
        <f>AVERAGE(B152,C152)</f>
        <v/>
      </c>
      <c r="B152" s="555" t="n">
        <v>4400</v>
      </c>
      <c r="C152" s="555" t="n">
        <v>4450</v>
      </c>
      <c r="D152" s="556">
        <f>IF($A152&gt;BOTT_A4,ROUND(BASE_A4+RATE_A4*($A152-BOTT_A4),0),IF($A152&gt;BOTT_A3,ROUND(BASE_A3+RATE_A3*($A152-BOTT_A3),0),IF($A152&gt;BOTT_A2,ROUND(BASE_A2+RATE_A2*($A152-BOTT_A2),0),ROUND(RATE_A1*$A152,0))))</f>
        <v/>
      </c>
      <c r="E152" s="556">
        <f>IF($A152&gt;BOTT_B4,ROUND(BASE_B4+RATE_B4*($A152-BOTT_B4),0),IF($A152&gt;BOTT_B3,ROUND(BASE_B3+RATE_B3*($A152-BOTT_B3),0),IF($A152&gt;BOTT_B2,ROUND(BASE_B2+RATE_B2*($A152-BOTT_B2),0),ROUND(RATE_B1*$A152,0))))</f>
        <v/>
      </c>
      <c r="F152" s="556">
        <f>IF($A152&gt;BOTT_C4,ROUND(BASE_C4+RATE_C4*($A152-BOTT_C4),0),IF($A152&gt;BOTT_C3,ROUND(BASE_C3+RATE_C3*($A152-BOTT_C3),0),IF($A152&gt;BOTT_C2,ROUND(BASE_C2+RATE_C2*($A152-BOTT_C2),0),ROUND(RATE_C1*$A152,0))))</f>
        <v/>
      </c>
      <c r="G152" s="556">
        <f>IF($A152&gt;BOTT_D4,ROUND(BASE_D4+RATE_D4*($A152-BOTT_D4),0),IF($A152&gt;BOTT_D3,ROUND(BASE_D3+RATE_D3*($A152-BOTT_D3),0),IF($A152&gt;BOTT_D2,ROUND(BASE_D2+RATE_D2*($A152-BOTT_D2),0),ROUND(RATE_D1*$A152,0))))</f>
        <v/>
      </c>
    </row>
    <row r="153" ht="15.75" customHeight="1" s="7635">
      <c r="A153" s="625">
        <f>AVERAGE(B153,C153)</f>
        <v/>
      </c>
      <c r="B153" s="555" t="n">
        <v>4450</v>
      </c>
      <c r="C153" s="555" t="n">
        <v>4500</v>
      </c>
      <c r="D153" s="556">
        <f>IF($A153&gt;BOTT_A4,ROUND(BASE_A4+RATE_A4*($A153-BOTT_A4),0),IF($A153&gt;BOTT_A3,ROUND(BASE_A3+RATE_A3*($A153-BOTT_A3),0),IF($A153&gt;BOTT_A2,ROUND(BASE_A2+RATE_A2*($A153-BOTT_A2),0),ROUND(RATE_A1*$A153,0))))</f>
        <v/>
      </c>
      <c r="E153" s="556">
        <f>IF($A153&gt;BOTT_B4,ROUND(BASE_B4+RATE_B4*($A153-BOTT_B4),0),IF($A153&gt;BOTT_B3,ROUND(BASE_B3+RATE_B3*($A153-BOTT_B3),0),IF($A153&gt;BOTT_B2,ROUND(BASE_B2+RATE_B2*($A153-BOTT_B2),0),ROUND(RATE_B1*$A153,0))))</f>
        <v/>
      </c>
      <c r="F153" s="556">
        <f>IF($A153&gt;BOTT_C4,ROUND(BASE_C4+RATE_C4*($A153-BOTT_C4),0),IF($A153&gt;BOTT_C3,ROUND(BASE_C3+RATE_C3*($A153-BOTT_C3),0),IF($A153&gt;BOTT_C2,ROUND(BASE_C2+RATE_C2*($A153-BOTT_C2),0),ROUND(RATE_C1*$A153,0))))</f>
        <v/>
      </c>
      <c r="G153" s="556">
        <f>IF($A153&gt;BOTT_D4,ROUND(BASE_D4+RATE_D4*($A153-BOTT_D4),0),IF($A153&gt;BOTT_D3,ROUND(BASE_D3+RATE_D3*($A153-BOTT_D3),0),IF($A153&gt;BOTT_D2,ROUND(BASE_D2+RATE_D2*($A153-BOTT_D2),0),ROUND(RATE_D1*$A153,0))))</f>
        <v/>
      </c>
    </row>
    <row r="154" ht="15.75" customHeight="1" s="7635">
      <c r="A154" s="625">
        <f>AVERAGE(B154,C154)</f>
        <v/>
      </c>
      <c r="B154" s="555" t="n">
        <v>4500</v>
      </c>
      <c r="C154" s="555" t="n">
        <v>4550</v>
      </c>
      <c r="D154" s="556">
        <f>IF($A154&gt;BOTT_A4,ROUND(BASE_A4+RATE_A4*($A154-BOTT_A4),0),IF($A154&gt;BOTT_A3,ROUND(BASE_A3+RATE_A3*($A154-BOTT_A3),0),IF($A154&gt;BOTT_A2,ROUND(BASE_A2+RATE_A2*($A154-BOTT_A2),0),ROUND(RATE_A1*$A154,0))))</f>
        <v/>
      </c>
      <c r="E154" s="556">
        <f>IF($A154&gt;BOTT_B4,ROUND(BASE_B4+RATE_B4*($A154-BOTT_B4),0),IF($A154&gt;BOTT_B3,ROUND(BASE_B3+RATE_B3*($A154-BOTT_B3),0),IF($A154&gt;BOTT_B2,ROUND(BASE_B2+RATE_B2*($A154-BOTT_B2),0),ROUND(RATE_B1*$A154,0))))</f>
        <v/>
      </c>
      <c r="F154" s="556">
        <f>IF($A154&gt;BOTT_C4,ROUND(BASE_C4+RATE_C4*($A154-BOTT_C4),0),IF($A154&gt;BOTT_C3,ROUND(BASE_C3+RATE_C3*($A154-BOTT_C3),0),IF($A154&gt;BOTT_C2,ROUND(BASE_C2+RATE_C2*($A154-BOTT_C2),0),ROUND(RATE_C1*$A154,0))))</f>
        <v/>
      </c>
      <c r="G154" s="556">
        <f>IF($A154&gt;BOTT_D4,ROUND(BASE_D4+RATE_D4*($A154-BOTT_D4),0),IF($A154&gt;BOTT_D3,ROUND(BASE_D3+RATE_D3*($A154-BOTT_D3),0),IF($A154&gt;BOTT_D2,ROUND(BASE_D2+RATE_D2*($A154-BOTT_D2),0),ROUND(RATE_D1*$A154,0))))</f>
        <v/>
      </c>
    </row>
    <row r="155" ht="15.75" customHeight="1" s="7635">
      <c r="A155" s="625">
        <f>AVERAGE(B155,C155)</f>
        <v/>
      </c>
      <c r="B155" s="555" t="n">
        <v>4550</v>
      </c>
      <c r="C155" s="555" t="n">
        <v>4600</v>
      </c>
      <c r="D155" s="556">
        <f>IF($A155&gt;BOTT_A4,ROUND(BASE_A4+RATE_A4*($A155-BOTT_A4),0),IF($A155&gt;BOTT_A3,ROUND(BASE_A3+RATE_A3*($A155-BOTT_A3),0),IF($A155&gt;BOTT_A2,ROUND(BASE_A2+RATE_A2*($A155-BOTT_A2),0),ROUND(RATE_A1*$A155,0))))</f>
        <v/>
      </c>
      <c r="E155" s="556">
        <f>IF($A155&gt;BOTT_B4,ROUND(BASE_B4+RATE_B4*($A155-BOTT_B4),0),IF($A155&gt;BOTT_B3,ROUND(BASE_B3+RATE_B3*($A155-BOTT_B3),0),IF($A155&gt;BOTT_B2,ROUND(BASE_B2+RATE_B2*($A155-BOTT_B2),0),ROUND(RATE_B1*$A155,0))))</f>
        <v/>
      </c>
      <c r="F155" s="556">
        <f>IF($A155&gt;BOTT_C4,ROUND(BASE_C4+RATE_C4*($A155-BOTT_C4),0),IF($A155&gt;BOTT_C3,ROUND(BASE_C3+RATE_C3*($A155-BOTT_C3),0),IF($A155&gt;BOTT_C2,ROUND(BASE_C2+RATE_C2*($A155-BOTT_C2),0),ROUND(RATE_C1*$A155,0))))</f>
        <v/>
      </c>
      <c r="G155" s="556">
        <f>IF($A155&gt;BOTT_D4,ROUND(BASE_D4+RATE_D4*($A155-BOTT_D4),0),IF($A155&gt;BOTT_D3,ROUND(BASE_D3+RATE_D3*($A155-BOTT_D3),0),IF($A155&gt;BOTT_D2,ROUND(BASE_D2+RATE_D2*($A155-BOTT_D2),0),ROUND(RATE_D1*$A155,0))))</f>
        <v/>
      </c>
    </row>
    <row r="156" ht="15.75" customHeight="1" s="7635">
      <c r="A156" s="625">
        <f>AVERAGE(B156,C156)</f>
        <v/>
      </c>
      <c r="B156" s="555" t="n">
        <v>4600</v>
      </c>
      <c r="C156" s="555" t="n">
        <v>4650</v>
      </c>
      <c r="D156" s="556">
        <f>IF($A156&gt;BOTT_A4,ROUND(BASE_A4+RATE_A4*($A156-BOTT_A4),0),IF($A156&gt;BOTT_A3,ROUND(BASE_A3+RATE_A3*($A156-BOTT_A3),0),IF($A156&gt;BOTT_A2,ROUND(BASE_A2+RATE_A2*($A156-BOTT_A2),0),ROUND(RATE_A1*$A156,0))))</f>
        <v/>
      </c>
      <c r="E156" s="556">
        <f>IF($A156&gt;BOTT_B4,ROUND(BASE_B4+RATE_B4*($A156-BOTT_B4),0),IF($A156&gt;BOTT_B3,ROUND(BASE_B3+RATE_B3*($A156-BOTT_B3),0),IF($A156&gt;BOTT_B2,ROUND(BASE_B2+RATE_B2*($A156-BOTT_B2),0),ROUND(RATE_B1*$A156,0))))</f>
        <v/>
      </c>
      <c r="F156" s="556">
        <f>IF($A156&gt;BOTT_C4,ROUND(BASE_C4+RATE_C4*($A156-BOTT_C4),0),IF($A156&gt;BOTT_C3,ROUND(BASE_C3+RATE_C3*($A156-BOTT_C3),0),IF($A156&gt;BOTT_C2,ROUND(BASE_C2+RATE_C2*($A156-BOTT_C2),0),ROUND(RATE_C1*$A156,0))))</f>
        <v/>
      </c>
      <c r="G156" s="556">
        <f>IF($A156&gt;BOTT_D4,ROUND(BASE_D4+RATE_D4*($A156-BOTT_D4),0),IF($A156&gt;BOTT_D3,ROUND(BASE_D3+RATE_D3*($A156-BOTT_D3),0),IF($A156&gt;BOTT_D2,ROUND(BASE_D2+RATE_D2*($A156-BOTT_D2),0),ROUND(RATE_D1*$A156,0))))</f>
        <v/>
      </c>
    </row>
    <row r="157" ht="15.75" customHeight="1" s="7635">
      <c r="A157" s="625">
        <f>AVERAGE(B157,C157)</f>
        <v/>
      </c>
      <c r="B157" s="555" t="n">
        <v>4650</v>
      </c>
      <c r="C157" s="555" t="n">
        <v>4700</v>
      </c>
      <c r="D157" s="556">
        <f>IF($A157&gt;BOTT_A4,ROUND(BASE_A4+RATE_A4*($A157-BOTT_A4),0),IF($A157&gt;BOTT_A3,ROUND(BASE_A3+RATE_A3*($A157-BOTT_A3),0),IF($A157&gt;BOTT_A2,ROUND(BASE_A2+RATE_A2*($A157-BOTT_A2),0),ROUND(RATE_A1*$A157,0))))</f>
        <v/>
      </c>
      <c r="E157" s="556">
        <f>IF($A157&gt;BOTT_B4,ROUND(BASE_B4+RATE_B4*($A157-BOTT_B4),0),IF($A157&gt;BOTT_B3,ROUND(BASE_B3+RATE_B3*($A157-BOTT_B3),0),IF($A157&gt;BOTT_B2,ROUND(BASE_B2+RATE_B2*($A157-BOTT_B2),0),ROUND(RATE_B1*$A157,0))))</f>
        <v/>
      </c>
      <c r="F157" s="556">
        <f>IF($A157&gt;BOTT_C4,ROUND(BASE_C4+RATE_C4*($A157-BOTT_C4),0),IF($A157&gt;BOTT_C3,ROUND(BASE_C3+RATE_C3*($A157-BOTT_C3),0),IF($A157&gt;BOTT_C2,ROUND(BASE_C2+RATE_C2*($A157-BOTT_C2),0),ROUND(RATE_C1*$A157,0))))</f>
        <v/>
      </c>
      <c r="G157" s="556">
        <f>IF($A157&gt;BOTT_D4,ROUND(BASE_D4+RATE_D4*($A157-BOTT_D4),0),IF($A157&gt;BOTT_D3,ROUND(BASE_D3+RATE_D3*($A157-BOTT_D3),0),IF($A157&gt;BOTT_D2,ROUND(BASE_D2+RATE_D2*($A157-BOTT_D2),0),ROUND(RATE_D1*$A157,0))))</f>
        <v/>
      </c>
    </row>
    <row r="158" ht="15.75" customHeight="1" s="7635">
      <c r="A158" s="625">
        <f>AVERAGE(B158,C158)</f>
        <v/>
      </c>
      <c r="B158" s="555" t="n">
        <v>4700</v>
      </c>
      <c r="C158" s="555" t="n">
        <v>4750</v>
      </c>
      <c r="D158" s="556">
        <f>IF($A158&gt;BOTT_A4,ROUND(BASE_A4+RATE_A4*($A158-BOTT_A4),0),IF($A158&gt;BOTT_A3,ROUND(BASE_A3+RATE_A3*($A158-BOTT_A3),0),IF($A158&gt;BOTT_A2,ROUND(BASE_A2+RATE_A2*($A158-BOTT_A2),0),ROUND(RATE_A1*$A158,0))))</f>
        <v/>
      </c>
      <c r="E158" s="556">
        <f>IF($A158&gt;BOTT_B4,ROUND(BASE_B4+RATE_B4*($A158-BOTT_B4),0),IF($A158&gt;BOTT_B3,ROUND(BASE_B3+RATE_B3*($A158-BOTT_B3),0),IF($A158&gt;BOTT_B2,ROUND(BASE_B2+RATE_B2*($A158-BOTT_B2),0),ROUND(RATE_B1*$A158,0))))</f>
        <v/>
      </c>
      <c r="F158" s="556">
        <f>IF($A158&gt;BOTT_C4,ROUND(BASE_C4+RATE_C4*($A158-BOTT_C4),0),IF($A158&gt;BOTT_C3,ROUND(BASE_C3+RATE_C3*($A158-BOTT_C3),0),IF($A158&gt;BOTT_C2,ROUND(BASE_C2+RATE_C2*($A158-BOTT_C2),0),ROUND(RATE_C1*$A158,0))))</f>
        <v/>
      </c>
      <c r="G158" s="556">
        <f>IF($A158&gt;BOTT_D4,ROUND(BASE_D4+RATE_D4*($A158-BOTT_D4),0),IF($A158&gt;BOTT_D3,ROUND(BASE_D3+RATE_D3*($A158-BOTT_D3),0),IF($A158&gt;BOTT_D2,ROUND(BASE_D2+RATE_D2*($A158-BOTT_D2),0),ROUND(RATE_D1*$A158,0))))</f>
        <v/>
      </c>
    </row>
    <row r="159" ht="15.75" customHeight="1" s="7635">
      <c r="A159" s="625">
        <f>AVERAGE(B159,C159)</f>
        <v/>
      </c>
      <c r="B159" s="555" t="n">
        <v>4750</v>
      </c>
      <c r="C159" s="555" t="n">
        <v>4800</v>
      </c>
      <c r="D159" s="556">
        <f>IF($A159&gt;BOTT_A4,ROUND(BASE_A4+RATE_A4*($A159-BOTT_A4),0),IF($A159&gt;BOTT_A3,ROUND(BASE_A3+RATE_A3*($A159-BOTT_A3),0),IF($A159&gt;BOTT_A2,ROUND(BASE_A2+RATE_A2*($A159-BOTT_A2),0),ROUND(RATE_A1*$A159,0))))</f>
        <v/>
      </c>
      <c r="E159" s="556">
        <f>IF($A159&gt;BOTT_B4,ROUND(BASE_B4+RATE_B4*($A159-BOTT_B4),0),IF($A159&gt;BOTT_B3,ROUND(BASE_B3+RATE_B3*($A159-BOTT_B3),0),IF($A159&gt;BOTT_B2,ROUND(BASE_B2+RATE_B2*($A159-BOTT_B2),0),ROUND(RATE_B1*$A159,0))))</f>
        <v/>
      </c>
      <c r="F159" s="556">
        <f>IF($A159&gt;BOTT_C4,ROUND(BASE_C4+RATE_C4*($A159-BOTT_C4),0),IF($A159&gt;BOTT_C3,ROUND(BASE_C3+RATE_C3*($A159-BOTT_C3),0),IF($A159&gt;BOTT_C2,ROUND(BASE_C2+RATE_C2*($A159-BOTT_C2),0),ROUND(RATE_C1*$A159,0))))</f>
        <v/>
      </c>
      <c r="G159" s="556">
        <f>IF($A159&gt;BOTT_D4,ROUND(BASE_D4+RATE_D4*($A159-BOTT_D4),0),IF($A159&gt;BOTT_D3,ROUND(BASE_D3+RATE_D3*($A159-BOTT_D3),0),IF($A159&gt;BOTT_D2,ROUND(BASE_D2+RATE_D2*($A159-BOTT_D2),0),ROUND(RATE_D1*$A159,0))))</f>
        <v/>
      </c>
    </row>
    <row r="160" ht="15.75" customHeight="1" s="7635">
      <c r="A160" s="625">
        <f>AVERAGE(B160,C160)</f>
        <v/>
      </c>
      <c r="B160" s="555" t="n">
        <v>4800</v>
      </c>
      <c r="C160" s="555" t="n">
        <v>4850</v>
      </c>
      <c r="D160" s="556">
        <f>IF($A160&gt;BOTT_A4,ROUND(BASE_A4+RATE_A4*($A160-BOTT_A4),0),IF($A160&gt;BOTT_A3,ROUND(BASE_A3+RATE_A3*($A160-BOTT_A3),0),IF($A160&gt;BOTT_A2,ROUND(BASE_A2+RATE_A2*($A160-BOTT_A2),0),ROUND(RATE_A1*$A160,0))))</f>
        <v/>
      </c>
      <c r="E160" s="556">
        <f>IF($A160&gt;BOTT_B4,ROUND(BASE_B4+RATE_B4*($A160-BOTT_B4),0),IF($A160&gt;BOTT_B3,ROUND(BASE_B3+RATE_B3*($A160-BOTT_B3),0),IF($A160&gt;BOTT_B2,ROUND(BASE_B2+RATE_B2*($A160-BOTT_B2),0),ROUND(RATE_B1*$A160,0))))</f>
        <v/>
      </c>
      <c r="F160" s="556">
        <f>IF($A160&gt;BOTT_C4,ROUND(BASE_C4+RATE_C4*($A160-BOTT_C4),0),IF($A160&gt;BOTT_C3,ROUND(BASE_C3+RATE_C3*($A160-BOTT_C3),0),IF($A160&gt;BOTT_C2,ROUND(BASE_C2+RATE_C2*($A160-BOTT_C2),0),ROUND(RATE_C1*$A160,0))))</f>
        <v/>
      </c>
      <c r="G160" s="556">
        <f>IF($A160&gt;BOTT_D4,ROUND(BASE_D4+RATE_D4*($A160-BOTT_D4),0),IF($A160&gt;BOTT_D3,ROUND(BASE_D3+RATE_D3*($A160-BOTT_D3),0),IF($A160&gt;BOTT_D2,ROUND(BASE_D2+RATE_D2*($A160-BOTT_D2),0),ROUND(RATE_D1*$A160,0))))</f>
        <v/>
      </c>
    </row>
    <row r="161" ht="15.75" customHeight="1" s="7635">
      <c r="A161" s="625">
        <f>AVERAGE(B161,C161)</f>
        <v/>
      </c>
      <c r="B161" s="555" t="n">
        <v>4850</v>
      </c>
      <c r="C161" s="555" t="n">
        <v>4900</v>
      </c>
      <c r="D161" s="556">
        <f>IF($A161&gt;BOTT_A4,ROUND(BASE_A4+RATE_A4*($A161-BOTT_A4),0),IF($A161&gt;BOTT_A3,ROUND(BASE_A3+RATE_A3*($A161-BOTT_A3),0),IF($A161&gt;BOTT_A2,ROUND(BASE_A2+RATE_A2*($A161-BOTT_A2),0),ROUND(RATE_A1*$A161,0))))</f>
        <v/>
      </c>
      <c r="E161" s="556">
        <f>IF($A161&gt;BOTT_B4,ROUND(BASE_B4+RATE_B4*($A161-BOTT_B4),0),IF($A161&gt;BOTT_B3,ROUND(BASE_B3+RATE_B3*($A161-BOTT_B3),0),IF($A161&gt;BOTT_B2,ROUND(BASE_B2+RATE_B2*($A161-BOTT_B2),0),ROUND(RATE_B1*$A161,0))))</f>
        <v/>
      </c>
      <c r="F161" s="556">
        <f>IF($A161&gt;BOTT_C4,ROUND(BASE_C4+RATE_C4*($A161-BOTT_C4),0),IF($A161&gt;BOTT_C3,ROUND(BASE_C3+RATE_C3*($A161-BOTT_C3),0),IF($A161&gt;BOTT_C2,ROUND(BASE_C2+RATE_C2*($A161-BOTT_C2),0),ROUND(RATE_C1*$A161,0))))</f>
        <v/>
      </c>
      <c r="G161" s="556">
        <f>IF($A161&gt;BOTT_D4,ROUND(BASE_D4+RATE_D4*($A161-BOTT_D4),0),IF($A161&gt;BOTT_D3,ROUND(BASE_D3+RATE_D3*($A161-BOTT_D3),0),IF($A161&gt;BOTT_D2,ROUND(BASE_D2+RATE_D2*($A161-BOTT_D2),0),ROUND(RATE_D1*$A161,0))))</f>
        <v/>
      </c>
    </row>
    <row r="162" ht="15.75" customHeight="1" s="7635">
      <c r="A162" s="625">
        <f>AVERAGE(B162,C162)</f>
        <v/>
      </c>
      <c r="B162" s="555" t="n">
        <v>4900</v>
      </c>
      <c r="C162" s="555" t="n">
        <v>4950</v>
      </c>
      <c r="D162" s="556">
        <f>IF($A162&gt;BOTT_A4,ROUND(BASE_A4+RATE_A4*($A162-BOTT_A4),0),IF($A162&gt;BOTT_A3,ROUND(BASE_A3+RATE_A3*($A162-BOTT_A3),0),IF($A162&gt;BOTT_A2,ROUND(BASE_A2+RATE_A2*($A162-BOTT_A2),0),ROUND(RATE_A1*$A162,0))))</f>
        <v/>
      </c>
      <c r="E162" s="556">
        <f>IF($A162&gt;BOTT_B4,ROUND(BASE_B4+RATE_B4*($A162-BOTT_B4),0),IF($A162&gt;BOTT_B3,ROUND(BASE_B3+RATE_B3*($A162-BOTT_B3),0),IF($A162&gt;BOTT_B2,ROUND(BASE_B2+RATE_B2*($A162-BOTT_B2),0),ROUND(RATE_B1*$A162,0))))</f>
        <v/>
      </c>
      <c r="F162" s="556">
        <f>IF($A162&gt;BOTT_C4,ROUND(BASE_C4+RATE_C4*($A162-BOTT_C4),0),IF($A162&gt;BOTT_C3,ROUND(BASE_C3+RATE_C3*($A162-BOTT_C3),0),IF($A162&gt;BOTT_C2,ROUND(BASE_C2+RATE_C2*($A162-BOTT_C2),0),ROUND(RATE_C1*$A162,0))))</f>
        <v/>
      </c>
      <c r="G162" s="556">
        <f>IF($A162&gt;BOTT_D4,ROUND(BASE_D4+RATE_D4*($A162-BOTT_D4),0),IF($A162&gt;BOTT_D3,ROUND(BASE_D3+RATE_D3*($A162-BOTT_D3),0),IF($A162&gt;BOTT_D2,ROUND(BASE_D2+RATE_D2*($A162-BOTT_D2),0),ROUND(RATE_D1*$A162,0))))</f>
        <v/>
      </c>
    </row>
    <row r="163" ht="15.75" customHeight="1" s="7635">
      <c r="A163" s="625">
        <f>AVERAGE(B163,C163)</f>
        <v/>
      </c>
      <c r="B163" s="555" t="n">
        <v>4950</v>
      </c>
      <c r="C163" s="555" t="n">
        <v>5000</v>
      </c>
      <c r="D163" s="556">
        <f>IF($A163&gt;BOTT_A4,ROUND(BASE_A4+RATE_A4*($A163-BOTT_A4),0),IF($A163&gt;BOTT_A3,ROUND(BASE_A3+RATE_A3*($A163-BOTT_A3),0),IF($A163&gt;BOTT_A2,ROUND(BASE_A2+RATE_A2*($A163-BOTT_A2),0),ROUND(RATE_A1*$A163,0))))</f>
        <v/>
      </c>
      <c r="E163" s="556">
        <f>IF($A163&gt;BOTT_B4,ROUND(BASE_B4+RATE_B4*($A163-BOTT_B4),0),IF($A163&gt;BOTT_B3,ROUND(BASE_B3+RATE_B3*($A163-BOTT_B3),0),IF($A163&gt;BOTT_B2,ROUND(BASE_B2+RATE_B2*($A163-BOTT_B2),0),ROUND(RATE_B1*$A163,0))))</f>
        <v/>
      </c>
      <c r="F163" s="556">
        <f>IF($A163&gt;BOTT_C4,ROUND(BASE_C4+RATE_C4*($A163-BOTT_C4),0),IF($A163&gt;BOTT_C3,ROUND(BASE_C3+RATE_C3*($A163-BOTT_C3),0),IF($A163&gt;BOTT_C2,ROUND(BASE_C2+RATE_C2*($A163-BOTT_C2),0),ROUND(RATE_C1*$A163,0))))</f>
        <v/>
      </c>
      <c r="G163" s="556">
        <f>IF($A163&gt;BOTT_D4,ROUND(BASE_D4+RATE_D4*($A163-BOTT_D4),0),IF($A163&gt;BOTT_D3,ROUND(BASE_D3+RATE_D3*($A163-BOTT_D3),0),IF($A163&gt;BOTT_D2,ROUND(BASE_D2+RATE_D2*($A163-BOTT_D2),0),ROUND(RATE_D1*$A163,0))))</f>
        <v/>
      </c>
    </row>
    <row r="164" ht="15.75" customHeight="1" s="7635">
      <c r="A164" s="625">
        <f>AVERAGE(B164,C164)</f>
        <v/>
      </c>
      <c r="B164" s="555" t="n">
        <v>5000</v>
      </c>
      <c r="C164" s="555" t="n">
        <v>5050</v>
      </c>
      <c r="D164" s="556">
        <f>IF($A164&gt;BOTT_A4,ROUND(BASE_A4+RATE_A4*($A164-BOTT_A4),0),IF($A164&gt;BOTT_A3,ROUND(BASE_A3+RATE_A3*($A164-BOTT_A3),0),IF($A164&gt;BOTT_A2,ROUND(BASE_A2+RATE_A2*($A164-BOTT_A2),0),ROUND(RATE_A1*$A164,0))))</f>
        <v/>
      </c>
      <c r="E164" s="556">
        <f>IF($A164&gt;BOTT_B4,ROUND(BASE_B4+RATE_B4*($A164-BOTT_B4),0),IF($A164&gt;BOTT_B3,ROUND(BASE_B3+RATE_B3*($A164-BOTT_B3),0),IF($A164&gt;BOTT_B2,ROUND(BASE_B2+RATE_B2*($A164-BOTT_B2),0),ROUND(RATE_B1*$A164,0))))</f>
        <v/>
      </c>
      <c r="F164" s="556">
        <f>IF($A164&gt;BOTT_C4,ROUND(BASE_C4+RATE_C4*($A164-BOTT_C4),0),IF($A164&gt;BOTT_C3,ROUND(BASE_C3+RATE_C3*($A164-BOTT_C3),0),IF($A164&gt;BOTT_C2,ROUND(BASE_C2+RATE_C2*($A164-BOTT_C2),0),ROUND(RATE_C1*$A164,0))))</f>
        <v/>
      </c>
      <c r="G164" s="556">
        <f>IF($A164&gt;BOTT_D4,ROUND(BASE_D4+RATE_D4*($A164-BOTT_D4),0),IF($A164&gt;BOTT_D3,ROUND(BASE_D3+RATE_D3*($A164-BOTT_D3),0),IF($A164&gt;BOTT_D2,ROUND(BASE_D2+RATE_D2*($A164-BOTT_D2),0),ROUND(RATE_D1*$A164,0))))</f>
        <v/>
      </c>
    </row>
    <row r="165" ht="15.75" customHeight="1" s="7635">
      <c r="A165" s="625">
        <f>AVERAGE(B165,C165)</f>
        <v/>
      </c>
      <c r="B165" s="555" t="n">
        <v>5050</v>
      </c>
      <c r="C165" s="555" t="n">
        <v>5100</v>
      </c>
      <c r="D165" s="556">
        <f>IF($A165&gt;BOTT_A4,ROUND(BASE_A4+RATE_A4*($A165-BOTT_A4),0),IF($A165&gt;BOTT_A3,ROUND(BASE_A3+RATE_A3*($A165-BOTT_A3),0),IF($A165&gt;BOTT_A2,ROUND(BASE_A2+RATE_A2*($A165-BOTT_A2),0),ROUND(RATE_A1*$A165,0))))</f>
        <v/>
      </c>
      <c r="E165" s="556">
        <f>IF($A165&gt;BOTT_B4,ROUND(BASE_B4+RATE_B4*($A165-BOTT_B4),0),IF($A165&gt;BOTT_B3,ROUND(BASE_B3+RATE_B3*($A165-BOTT_B3),0),IF($A165&gt;BOTT_B2,ROUND(BASE_B2+RATE_B2*($A165-BOTT_B2),0),ROUND(RATE_B1*$A165,0))))</f>
        <v/>
      </c>
      <c r="F165" s="556">
        <f>IF($A165&gt;BOTT_C4,ROUND(BASE_C4+RATE_C4*($A165-BOTT_C4),0),IF($A165&gt;BOTT_C3,ROUND(BASE_C3+RATE_C3*($A165-BOTT_C3),0),IF($A165&gt;BOTT_C2,ROUND(BASE_C2+RATE_C2*($A165-BOTT_C2),0),ROUND(RATE_C1*$A165,0))))</f>
        <v/>
      </c>
      <c r="G165" s="556">
        <f>IF($A165&gt;BOTT_D4,ROUND(BASE_D4+RATE_D4*($A165-BOTT_D4),0),IF($A165&gt;BOTT_D3,ROUND(BASE_D3+RATE_D3*($A165-BOTT_D3),0),IF($A165&gt;BOTT_D2,ROUND(BASE_D2+RATE_D2*($A165-BOTT_D2),0),ROUND(RATE_D1*$A165,0))))</f>
        <v/>
      </c>
    </row>
    <row r="166" ht="15.75" customHeight="1" s="7635">
      <c r="A166" s="625">
        <f>AVERAGE(B166,C166)</f>
        <v/>
      </c>
      <c r="B166" s="555" t="n">
        <v>5100</v>
      </c>
      <c r="C166" s="555" t="n">
        <v>5150</v>
      </c>
      <c r="D166" s="556">
        <f>IF($A166&gt;BOTT_A4,ROUND(BASE_A4+RATE_A4*($A166-BOTT_A4),0),IF($A166&gt;BOTT_A3,ROUND(BASE_A3+RATE_A3*($A166-BOTT_A3),0),IF($A166&gt;BOTT_A2,ROUND(BASE_A2+RATE_A2*($A166-BOTT_A2),0),ROUND(RATE_A1*$A166,0))))</f>
        <v/>
      </c>
      <c r="E166" s="556">
        <f>IF($A166&gt;BOTT_B4,ROUND(BASE_B4+RATE_B4*($A166-BOTT_B4),0),IF($A166&gt;BOTT_B3,ROUND(BASE_B3+RATE_B3*($A166-BOTT_B3),0),IF($A166&gt;BOTT_B2,ROUND(BASE_B2+RATE_B2*($A166-BOTT_B2),0),ROUND(RATE_B1*$A166,0))))</f>
        <v/>
      </c>
      <c r="F166" s="556">
        <f>IF($A166&gt;BOTT_C4,ROUND(BASE_C4+RATE_C4*($A166-BOTT_C4),0),IF($A166&gt;BOTT_C3,ROUND(BASE_C3+RATE_C3*($A166-BOTT_C3),0),IF($A166&gt;BOTT_C2,ROUND(BASE_C2+RATE_C2*($A166-BOTT_C2),0),ROUND(RATE_C1*$A166,0))))</f>
        <v/>
      </c>
      <c r="G166" s="556">
        <f>IF($A166&gt;BOTT_D4,ROUND(BASE_D4+RATE_D4*($A166-BOTT_D4),0),IF($A166&gt;BOTT_D3,ROUND(BASE_D3+RATE_D3*($A166-BOTT_D3),0),IF($A166&gt;BOTT_D2,ROUND(BASE_D2+RATE_D2*($A166-BOTT_D2),0),ROUND(RATE_D1*$A166,0))))</f>
        <v/>
      </c>
    </row>
    <row r="167" ht="15.75" customHeight="1" s="7635">
      <c r="A167" s="625">
        <f>AVERAGE(B167,C167)</f>
        <v/>
      </c>
      <c r="B167" s="555" t="n">
        <v>5150</v>
      </c>
      <c r="C167" s="555" t="n">
        <v>5200</v>
      </c>
      <c r="D167" s="556">
        <f>IF($A167&gt;BOTT_A4,ROUND(BASE_A4+RATE_A4*($A167-BOTT_A4),0),IF($A167&gt;BOTT_A3,ROUND(BASE_A3+RATE_A3*($A167-BOTT_A3),0),IF($A167&gt;BOTT_A2,ROUND(BASE_A2+RATE_A2*($A167-BOTT_A2),0),ROUND(RATE_A1*$A167,0))))</f>
        <v/>
      </c>
      <c r="E167" s="556">
        <f>IF($A167&gt;BOTT_B4,ROUND(BASE_B4+RATE_B4*($A167-BOTT_B4),0),IF($A167&gt;BOTT_B3,ROUND(BASE_B3+RATE_B3*($A167-BOTT_B3),0),IF($A167&gt;BOTT_B2,ROUND(BASE_B2+RATE_B2*($A167-BOTT_B2),0),ROUND(RATE_B1*$A167,0))))</f>
        <v/>
      </c>
      <c r="F167" s="556">
        <f>IF($A167&gt;BOTT_C4,ROUND(BASE_C4+RATE_C4*($A167-BOTT_C4),0),IF($A167&gt;BOTT_C3,ROUND(BASE_C3+RATE_C3*($A167-BOTT_C3),0),IF($A167&gt;BOTT_C2,ROUND(BASE_C2+RATE_C2*($A167-BOTT_C2),0),ROUND(RATE_C1*$A167,0))))</f>
        <v/>
      </c>
      <c r="G167" s="556">
        <f>IF($A167&gt;BOTT_D4,ROUND(BASE_D4+RATE_D4*($A167-BOTT_D4),0),IF($A167&gt;BOTT_D3,ROUND(BASE_D3+RATE_D3*($A167-BOTT_D3),0),IF($A167&gt;BOTT_D2,ROUND(BASE_D2+RATE_D2*($A167-BOTT_D2),0),ROUND(RATE_D1*$A167,0))))</f>
        <v/>
      </c>
    </row>
    <row r="168" ht="15.75" customHeight="1" s="7635">
      <c r="A168" s="625">
        <f>AVERAGE(B168,C168)</f>
        <v/>
      </c>
      <c r="B168" s="555" t="n">
        <v>5200</v>
      </c>
      <c r="C168" s="555" t="n">
        <v>5250</v>
      </c>
      <c r="D168" s="556">
        <f>IF($A168&gt;BOTT_A4,ROUND(BASE_A4+RATE_A4*($A168-BOTT_A4),0),IF($A168&gt;BOTT_A3,ROUND(BASE_A3+RATE_A3*($A168-BOTT_A3),0),IF($A168&gt;BOTT_A2,ROUND(BASE_A2+RATE_A2*($A168-BOTT_A2),0),ROUND(RATE_A1*$A168,0))))</f>
        <v/>
      </c>
      <c r="E168" s="556">
        <f>IF($A168&gt;BOTT_B4,ROUND(BASE_B4+RATE_B4*($A168-BOTT_B4),0),IF($A168&gt;BOTT_B3,ROUND(BASE_B3+RATE_B3*($A168-BOTT_B3),0),IF($A168&gt;BOTT_B2,ROUND(BASE_B2+RATE_B2*($A168-BOTT_B2),0),ROUND(RATE_B1*$A168,0))))</f>
        <v/>
      </c>
      <c r="F168" s="556">
        <f>IF($A168&gt;BOTT_C4,ROUND(BASE_C4+RATE_C4*($A168-BOTT_C4),0),IF($A168&gt;BOTT_C3,ROUND(BASE_C3+RATE_C3*($A168-BOTT_C3),0),IF($A168&gt;BOTT_C2,ROUND(BASE_C2+RATE_C2*($A168-BOTT_C2),0),ROUND(RATE_C1*$A168,0))))</f>
        <v/>
      </c>
      <c r="G168" s="556">
        <f>IF($A168&gt;BOTT_D4,ROUND(BASE_D4+RATE_D4*($A168-BOTT_D4),0),IF($A168&gt;BOTT_D3,ROUND(BASE_D3+RATE_D3*($A168-BOTT_D3),0),IF($A168&gt;BOTT_D2,ROUND(BASE_D2+RATE_D2*($A168-BOTT_D2),0),ROUND(RATE_D1*$A168,0))))</f>
        <v/>
      </c>
    </row>
    <row r="169" ht="15.75" customHeight="1" s="7635">
      <c r="A169" s="625">
        <f>AVERAGE(B169,C169)</f>
        <v/>
      </c>
      <c r="B169" s="555" t="n">
        <v>5250</v>
      </c>
      <c r="C169" s="555" t="n">
        <v>5300</v>
      </c>
      <c r="D169" s="556">
        <f>IF($A169&gt;BOTT_A4,ROUND(BASE_A4+RATE_A4*($A169-BOTT_A4),0),IF($A169&gt;BOTT_A3,ROUND(BASE_A3+RATE_A3*($A169-BOTT_A3),0),IF($A169&gt;BOTT_A2,ROUND(BASE_A2+RATE_A2*($A169-BOTT_A2),0),ROUND(RATE_A1*$A169,0))))</f>
        <v/>
      </c>
      <c r="E169" s="556">
        <f>IF($A169&gt;BOTT_B4,ROUND(BASE_B4+RATE_B4*($A169-BOTT_B4),0),IF($A169&gt;BOTT_B3,ROUND(BASE_B3+RATE_B3*($A169-BOTT_B3),0),IF($A169&gt;BOTT_B2,ROUND(BASE_B2+RATE_B2*($A169-BOTT_B2),0),ROUND(RATE_B1*$A169,0))))</f>
        <v/>
      </c>
      <c r="F169" s="556">
        <f>IF($A169&gt;BOTT_C4,ROUND(BASE_C4+RATE_C4*($A169-BOTT_C4),0),IF($A169&gt;BOTT_C3,ROUND(BASE_C3+RATE_C3*($A169-BOTT_C3),0),IF($A169&gt;BOTT_C2,ROUND(BASE_C2+RATE_C2*($A169-BOTT_C2),0),ROUND(RATE_C1*$A169,0))))</f>
        <v/>
      </c>
      <c r="G169" s="556">
        <f>IF($A169&gt;BOTT_D4,ROUND(BASE_D4+RATE_D4*($A169-BOTT_D4),0),IF($A169&gt;BOTT_D3,ROUND(BASE_D3+RATE_D3*($A169-BOTT_D3),0),IF($A169&gt;BOTT_D2,ROUND(BASE_D2+RATE_D2*($A169-BOTT_D2),0),ROUND(RATE_D1*$A169,0))))</f>
        <v/>
      </c>
    </row>
    <row r="170" ht="15.75" customHeight="1" s="7635">
      <c r="A170" s="625">
        <f>AVERAGE(B170,C170)</f>
        <v/>
      </c>
      <c r="B170" s="555" t="n">
        <v>5300</v>
      </c>
      <c r="C170" s="555" t="n">
        <v>5350</v>
      </c>
      <c r="D170" s="556">
        <f>IF($A170&gt;BOTT_A4,ROUND(BASE_A4+RATE_A4*($A170-BOTT_A4),0),IF($A170&gt;BOTT_A3,ROUND(BASE_A3+RATE_A3*($A170-BOTT_A3),0),IF($A170&gt;BOTT_A2,ROUND(BASE_A2+RATE_A2*($A170-BOTT_A2),0),ROUND(RATE_A1*$A170,0))))</f>
        <v/>
      </c>
      <c r="E170" s="556">
        <f>IF($A170&gt;BOTT_B4,ROUND(BASE_B4+RATE_B4*($A170-BOTT_B4),0),IF($A170&gt;BOTT_B3,ROUND(BASE_B3+RATE_B3*($A170-BOTT_B3),0),IF($A170&gt;BOTT_B2,ROUND(BASE_B2+RATE_B2*($A170-BOTT_B2),0),ROUND(RATE_B1*$A170,0))))</f>
        <v/>
      </c>
      <c r="F170" s="556">
        <f>IF($A170&gt;BOTT_C4,ROUND(BASE_C4+RATE_C4*($A170-BOTT_C4),0),IF($A170&gt;BOTT_C3,ROUND(BASE_C3+RATE_C3*($A170-BOTT_C3),0),IF($A170&gt;BOTT_C2,ROUND(BASE_C2+RATE_C2*($A170-BOTT_C2),0),ROUND(RATE_C1*$A170,0))))</f>
        <v/>
      </c>
      <c r="G170" s="556">
        <f>IF($A170&gt;BOTT_D4,ROUND(BASE_D4+RATE_D4*($A170-BOTT_D4),0),IF($A170&gt;BOTT_D3,ROUND(BASE_D3+RATE_D3*($A170-BOTT_D3),0),IF($A170&gt;BOTT_D2,ROUND(BASE_D2+RATE_D2*($A170-BOTT_D2),0),ROUND(RATE_D1*$A170,0))))</f>
        <v/>
      </c>
    </row>
    <row r="171" ht="15.75" customHeight="1" s="7635">
      <c r="A171" s="625">
        <f>AVERAGE(B171,C171)</f>
        <v/>
      </c>
      <c r="B171" s="555" t="n">
        <v>5350</v>
      </c>
      <c r="C171" s="555" t="n">
        <v>5400</v>
      </c>
      <c r="D171" s="556">
        <f>IF($A171&gt;BOTT_A4,ROUND(BASE_A4+RATE_A4*($A171-BOTT_A4),0),IF($A171&gt;BOTT_A3,ROUND(BASE_A3+RATE_A3*($A171-BOTT_A3),0),IF($A171&gt;BOTT_A2,ROUND(BASE_A2+RATE_A2*($A171-BOTT_A2),0),ROUND(RATE_A1*$A171,0))))</f>
        <v/>
      </c>
      <c r="E171" s="556">
        <f>IF($A171&gt;BOTT_B4,ROUND(BASE_B4+RATE_B4*($A171-BOTT_B4),0),IF($A171&gt;BOTT_B3,ROUND(BASE_B3+RATE_B3*($A171-BOTT_B3),0),IF($A171&gt;BOTT_B2,ROUND(BASE_B2+RATE_B2*($A171-BOTT_B2),0),ROUND(RATE_B1*$A171,0))))</f>
        <v/>
      </c>
      <c r="F171" s="556">
        <f>IF($A171&gt;BOTT_C4,ROUND(BASE_C4+RATE_C4*($A171-BOTT_C4),0),IF($A171&gt;BOTT_C3,ROUND(BASE_C3+RATE_C3*($A171-BOTT_C3),0),IF($A171&gt;BOTT_C2,ROUND(BASE_C2+RATE_C2*($A171-BOTT_C2),0),ROUND(RATE_C1*$A171,0))))</f>
        <v/>
      </c>
      <c r="G171" s="556">
        <f>IF($A171&gt;BOTT_D4,ROUND(BASE_D4+RATE_D4*($A171-BOTT_D4),0),IF($A171&gt;BOTT_D3,ROUND(BASE_D3+RATE_D3*($A171-BOTT_D3),0),IF($A171&gt;BOTT_D2,ROUND(BASE_D2+RATE_D2*($A171-BOTT_D2),0),ROUND(RATE_D1*$A171,0))))</f>
        <v/>
      </c>
    </row>
    <row r="172" ht="15.75" customHeight="1" s="7635">
      <c r="A172" s="625">
        <f>AVERAGE(B172,C172)</f>
        <v/>
      </c>
      <c r="B172" s="555" t="n">
        <v>5400</v>
      </c>
      <c r="C172" s="555" t="n">
        <v>5450</v>
      </c>
      <c r="D172" s="556">
        <f>IF($A172&gt;BOTT_A4,ROUND(BASE_A4+RATE_A4*($A172-BOTT_A4),0),IF($A172&gt;BOTT_A3,ROUND(BASE_A3+RATE_A3*($A172-BOTT_A3),0),IF($A172&gt;BOTT_A2,ROUND(BASE_A2+RATE_A2*($A172-BOTT_A2),0),ROUND(RATE_A1*$A172,0))))</f>
        <v/>
      </c>
      <c r="E172" s="556">
        <f>IF($A172&gt;BOTT_B4,ROUND(BASE_B4+RATE_B4*($A172-BOTT_B4),0),IF($A172&gt;BOTT_B3,ROUND(BASE_B3+RATE_B3*($A172-BOTT_B3),0),IF($A172&gt;BOTT_B2,ROUND(BASE_B2+RATE_B2*($A172-BOTT_B2),0),ROUND(RATE_B1*$A172,0))))</f>
        <v/>
      </c>
      <c r="F172" s="556">
        <f>IF($A172&gt;BOTT_C4,ROUND(BASE_C4+RATE_C4*($A172-BOTT_C4),0),IF($A172&gt;BOTT_C3,ROUND(BASE_C3+RATE_C3*($A172-BOTT_C3),0),IF($A172&gt;BOTT_C2,ROUND(BASE_C2+RATE_C2*($A172-BOTT_C2),0),ROUND(RATE_C1*$A172,0))))</f>
        <v/>
      </c>
      <c r="G172" s="556">
        <f>IF($A172&gt;BOTT_D4,ROUND(BASE_D4+RATE_D4*($A172-BOTT_D4),0),IF($A172&gt;BOTT_D3,ROUND(BASE_D3+RATE_D3*($A172-BOTT_D3),0),IF($A172&gt;BOTT_D2,ROUND(BASE_D2+RATE_D2*($A172-BOTT_D2),0),ROUND(RATE_D1*$A172,0))))</f>
        <v/>
      </c>
    </row>
    <row r="173" ht="15.75" customHeight="1" s="7635">
      <c r="A173" s="625">
        <f>AVERAGE(B173,C173)</f>
        <v/>
      </c>
      <c r="B173" s="555" t="n">
        <v>5450</v>
      </c>
      <c r="C173" s="555" t="n">
        <v>5500</v>
      </c>
      <c r="D173" s="556">
        <f>IF($A173&gt;BOTT_A4,ROUND(BASE_A4+RATE_A4*($A173-BOTT_A4),0),IF($A173&gt;BOTT_A3,ROUND(BASE_A3+RATE_A3*($A173-BOTT_A3),0),IF($A173&gt;BOTT_A2,ROUND(BASE_A2+RATE_A2*($A173-BOTT_A2),0),ROUND(RATE_A1*$A173,0))))</f>
        <v/>
      </c>
      <c r="E173" s="556">
        <f>IF($A173&gt;BOTT_B4,ROUND(BASE_B4+RATE_B4*($A173-BOTT_B4),0),IF($A173&gt;BOTT_B3,ROUND(BASE_B3+RATE_B3*($A173-BOTT_B3),0),IF($A173&gt;BOTT_B2,ROUND(BASE_B2+RATE_B2*($A173-BOTT_B2),0),ROUND(RATE_B1*$A173,0))))</f>
        <v/>
      </c>
      <c r="F173" s="556">
        <f>IF($A173&gt;BOTT_C4,ROUND(BASE_C4+RATE_C4*($A173-BOTT_C4),0),IF($A173&gt;BOTT_C3,ROUND(BASE_C3+RATE_C3*($A173-BOTT_C3),0),IF($A173&gt;BOTT_C2,ROUND(BASE_C2+RATE_C2*($A173-BOTT_C2),0),ROUND(RATE_C1*$A173,0))))</f>
        <v/>
      </c>
      <c r="G173" s="556">
        <f>IF($A173&gt;BOTT_D4,ROUND(BASE_D4+RATE_D4*($A173-BOTT_D4),0),IF($A173&gt;BOTT_D3,ROUND(BASE_D3+RATE_D3*($A173-BOTT_D3),0),IF($A173&gt;BOTT_D2,ROUND(BASE_D2+RATE_D2*($A173-BOTT_D2),0),ROUND(RATE_D1*$A173,0))))</f>
        <v/>
      </c>
    </row>
    <row r="174" ht="15.75" customHeight="1" s="7635">
      <c r="A174" s="625">
        <f>AVERAGE(B174,C174)</f>
        <v/>
      </c>
      <c r="B174" s="555" t="n">
        <v>5500</v>
      </c>
      <c r="C174" s="555" t="n">
        <v>5550</v>
      </c>
      <c r="D174" s="556">
        <f>IF($A174&gt;BOTT_A4,ROUND(BASE_A4+RATE_A4*($A174-BOTT_A4),0),IF($A174&gt;BOTT_A3,ROUND(BASE_A3+RATE_A3*($A174-BOTT_A3),0),IF($A174&gt;BOTT_A2,ROUND(BASE_A2+RATE_A2*($A174-BOTT_A2),0),ROUND(RATE_A1*$A174,0))))</f>
        <v/>
      </c>
      <c r="E174" s="556">
        <f>IF($A174&gt;BOTT_B4,ROUND(BASE_B4+RATE_B4*($A174-BOTT_B4),0),IF($A174&gt;BOTT_B3,ROUND(BASE_B3+RATE_B3*($A174-BOTT_B3),0),IF($A174&gt;BOTT_B2,ROUND(BASE_B2+RATE_B2*($A174-BOTT_B2),0),ROUND(RATE_B1*$A174,0))))</f>
        <v/>
      </c>
      <c r="F174" s="556">
        <f>IF($A174&gt;BOTT_C4,ROUND(BASE_C4+RATE_C4*($A174-BOTT_C4),0),IF($A174&gt;BOTT_C3,ROUND(BASE_C3+RATE_C3*($A174-BOTT_C3),0),IF($A174&gt;BOTT_C2,ROUND(BASE_C2+RATE_C2*($A174-BOTT_C2),0),ROUND(RATE_C1*$A174,0))))</f>
        <v/>
      </c>
      <c r="G174" s="556">
        <f>IF($A174&gt;BOTT_D4,ROUND(BASE_D4+RATE_D4*($A174-BOTT_D4),0),IF($A174&gt;BOTT_D3,ROUND(BASE_D3+RATE_D3*($A174-BOTT_D3),0),IF($A174&gt;BOTT_D2,ROUND(BASE_D2+RATE_D2*($A174-BOTT_D2),0),ROUND(RATE_D1*$A174,0))))</f>
        <v/>
      </c>
    </row>
    <row r="175" ht="15.75" customHeight="1" s="7635">
      <c r="A175" s="625">
        <f>AVERAGE(B175,C175)</f>
        <v/>
      </c>
      <c r="B175" s="555" t="n">
        <v>5550</v>
      </c>
      <c r="C175" s="555" t="n">
        <v>5600</v>
      </c>
      <c r="D175" s="556">
        <f>IF($A175&gt;BOTT_A4,ROUND(BASE_A4+RATE_A4*($A175-BOTT_A4),0),IF($A175&gt;BOTT_A3,ROUND(BASE_A3+RATE_A3*($A175-BOTT_A3),0),IF($A175&gt;BOTT_A2,ROUND(BASE_A2+RATE_A2*($A175-BOTT_A2),0),ROUND(RATE_A1*$A175,0))))</f>
        <v/>
      </c>
      <c r="E175" s="556">
        <f>IF($A175&gt;BOTT_B4,ROUND(BASE_B4+RATE_B4*($A175-BOTT_B4),0),IF($A175&gt;BOTT_B3,ROUND(BASE_B3+RATE_B3*($A175-BOTT_B3),0),IF($A175&gt;BOTT_B2,ROUND(BASE_B2+RATE_B2*($A175-BOTT_B2),0),ROUND(RATE_B1*$A175,0))))</f>
        <v/>
      </c>
      <c r="F175" s="556">
        <f>IF($A175&gt;BOTT_C4,ROUND(BASE_C4+RATE_C4*($A175-BOTT_C4),0),IF($A175&gt;BOTT_C3,ROUND(BASE_C3+RATE_C3*($A175-BOTT_C3),0),IF($A175&gt;BOTT_C2,ROUND(BASE_C2+RATE_C2*($A175-BOTT_C2),0),ROUND(RATE_C1*$A175,0))))</f>
        <v/>
      </c>
      <c r="G175" s="556">
        <f>IF($A175&gt;BOTT_D4,ROUND(BASE_D4+RATE_D4*($A175-BOTT_D4),0),IF($A175&gt;BOTT_D3,ROUND(BASE_D3+RATE_D3*($A175-BOTT_D3),0),IF($A175&gt;BOTT_D2,ROUND(BASE_D2+RATE_D2*($A175-BOTT_D2),0),ROUND(RATE_D1*$A175,0))))</f>
        <v/>
      </c>
    </row>
    <row r="176" ht="15.75" customHeight="1" s="7635">
      <c r="A176" s="625">
        <f>AVERAGE(B176,C176)</f>
        <v/>
      </c>
      <c r="B176" s="555" t="n">
        <v>5600</v>
      </c>
      <c r="C176" s="555" t="n">
        <v>5650</v>
      </c>
      <c r="D176" s="556">
        <f>IF($A176&gt;BOTT_A4,ROUND(BASE_A4+RATE_A4*($A176-BOTT_A4),0),IF($A176&gt;BOTT_A3,ROUND(BASE_A3+RATE_A3*($A176-BOTT_A3),0),IF($A176&gt;BOTT_A2,ROUND(BASE_A2+RATE_A2*($A176-BOTT_A2),0),ROUND(RATE_A1*$A176,0))))</f>
        <v/>
      </c>
      <c r="E176" s="556">
        <f>IF($A176&gt;BOTT_B4,ROUND(BASE_B4+RATE_B4*($A176-BOTT_B4),0),IF($A176&gt;BOTT_B3,ROUND(BASE_B3+RATE_B3*($A176-BOTT_B3),0),IF($A176&gt;BOTT_B2,ROUND(BASE_B2+RATE_B2*($A176-BOTT_B2),0),ROUND(RATE_B1*$A176,0))))</f>
        <v/>
      </c>
      <c r="F176" s="556">
        <f>IF($A176&gt;BOTT_C4,ROUND(BASE_C4+RATE_C4*($A176-BOTT_C4),0),IF($A176&gt;BOTT_C3,ROUND(BASE_C3+RATE_C3*($A176-BOTT_C3),0),IF($A176&gt;BOTT_C2,ROUND(BASE_C2+RATE_C2*($A176-BOTT_C2),0),ROUND(RATE_C1*$A176,0))))</f>
        <v/>
      </c>
      <c r="G176" s="556">
        <f>IF($A176&gt;BOTT_D4,ROUND(BASE_D4+RATE_D4*($A176-BOTT_D4),0),IF($A176&gt;BOTT_D3,ROUND(BASE_D3+RATE_D3*($A176-BOTT_D3),0),IF($A176&gt;BOTT_D2,ROUND(BASE_D2+RATE_D2*($A176-BOTT_D2),0),ROUND(RATE_D1*$A176,0))))</f>
        <v/>
      </c>
    </row>
    <row r="177" ht="15.75" customHeight="1" s="7635">
      <c r="A177" s="625">
        <f>AVERAGE(B177,C177)</f>
        <v/>
      </c>
      <c r="B177" s="555" t="n">
        <v>5650</v>
      </c>
      <c r="C177" s="555" t="n">
        <v>5700</v>
      </c>
      <c r="D177" s="556">
        <f>IF($A177&gt;BOTT_A4,ROUND(BASE_A4+RATE_A4*($A177-BOTT_A4),0),IF($A177&gt;BOTT_A3,ROUND(BASE_A3+RATE_A3*($A177-BOTT_A3),0),IF($A177&gt;BOTT_A2,ROUND(BASE_A2+RATE_A2*($A177-BOTT_A2),0),ROUND(RATE_A1*$A177,0))))</f>
        <v/>
      </c>
      <c r="E177" s="556">
        <f>IF($A177&gt;BOTT_B4,ROUND(BASE_B4+RATE_B4*($A177-BOTT_B4),0),IF($A177&gt;BOTT_B3,ROUND(BASE_B3+RATE_B3*($A177-BOTT_B3),0),IF($A177&gt;BOTT_B2,ROUND(BASE_B2+RATE_B2*($A177-BOTT_B2),0),ROUND(RATE_B1*$A177,0))))</f>
        <v/>
      </c>
      <c r="F177" s="556">
        <f>IF($A177&gt;BOTT_C4,ROUND(BASE_C4+RATE_C4*($A177-BOTT_C4),0),IF($A177&gt;BOTT_C3,ROUND(BASE_C3+RATE_C3*($A177-BOTT_C3),0),IF($A177&gt;BOTT_C2,ROUND(BASE_C2+RATE_C2*($A177-BOTT_C2),0),ROUND(RATE_C1*$A177,0))))</f>
        <v/>
      </c>
      <c r="G177" s="556">
        <f>IF($A177&gt;BOTT_D4,ROUND(BASE_D4+RATE_D4*($A177-BOTT_D4),0),IF($A177&gt;BOTT_D3,ROUND(BASE_D3+RATE_D3*($A177-BOTT_D3),0),IF($A177&gt;BOTT_D2,ROUND(BASE_D2+RATE_D2*($A177-BOTT_D2),0),ROUND(RATE_D1*$A177,0))))</f>
        <v/>
      </c>
    </row>
    <row r="178" ht="15.75" customHeight="1" s="7635">
      <c r="A178" s="625">
        <f>AVERAGE(B178,C178)</f>
        <v/>
      </c>
      <c r="B178" s="555" t="n">
        <v>5700</v>
      </c>
      <c r="C178" s="555" t="n">
        <v>5750</v>
      </c>
      <c r="D178" s="556">
        <f>IF($A178&gt;BOTT_A4,ROUND(BASE_A4+RATE_A4*($A178-BOTT_A4),0),IF($A178&gt;BOTT_A3,ROUND(BASE_A3+RATE_A3*($A178-BOTT_A3),0),IF($A178&gt;BOTT_A2,ROUND(BASE_A2+RATE_A2*($A178-BOTT_A2),0),ROUND(RATE_A1*$A178,0))))</f>
        <v/>
      </c>
      <c r="E178" s="556">
        <f>IF($A178&gt;BOTT_B4,ROUND(BASE_B4+RATE_B4*($A178-BOTT_B4),0),IF($A178&gt;BOTT_B3,ROUND(BASE_B3+RATE_B3*($A178-BOTT_B3),0),IF($A178&gt;BOTT_B2,ROUND(BASE_B2+RATE_B2*($A178-BOTT_B2),0),ROUND(RATE_B1*$A178,0))))</f>
        <v/>
      </c>
      <c r="F178" s="556">
        <f>IF($A178&gt;BOTT_C4,ROUND(BASE_C4+RATE_C4*($A178-BOTT_C4),0),IF($A178&gt;BOTT_C3,ROUND(BASE_C3+RATE_C3*($A178-BOTT_C3),0),IF($A178&gt;BOTT_C2,ROUND(BASE_C2+RATE_C2*($A178-BOTT_C2),0),ROUND(RATE_C1*$A178,0))))</f>
        <v/>
      </c>
      <c r="G178" s="556">
        <f>IF($A178&gt;BOTT_D4,ROUND(BASE_D4+RATE_D4*($A178-BOTT_D4),0),IF($A178&gt;BOTT_D3,ROUND(BASE_D3+RATE_D3*($A178-BOTT_D3),0),IF($A178&gt;BOTT_D2,ROUND(BASE_D2+RATE_D2*($A178-BOTT_D2),0),ROUND(RATE_D1*$A178,0))))</f>
        <v/>
      </c>
    </row>
    <row r="179" ht="15.75" customHeight="1" s="7635">
      <c r="A179" s="625">
        <f>AVERAGE(B179,C179)</f>
        <v/>
      </c>
      <c r="B179" s="555" t="n">
        <v>5750</v>
      </c>
      <c r="C179" s="555" t="n">
        <v>5800</v>
      </c>
      <c r="D179" s="556">
        <f>IF($A179&gt;BOTT_A4,ROUND(BASE_A4+RATE_A4*($A179-BOTT_A4),0),IF($A179&gt;BOTT_A3,ROUND(BASE_A3+RATE_A3*($A179-BOTT_A3),0),IF($A179&gt;BOTT_A2,ROUND(BASE_A2+RATE_A2*($A179-BOTT_A2),0),ROUND(RATE_A1*$A179,0))))</f>
        <v/>
      </c>
      <c r="E179" s="556">
        <f>IF($A179&gt;BOTT_B4,ROUND(BASE_B4+RATE_B4*($A179-BOTT_B4),0),IF($A179&gt;BOTT_B3,ROUND(BASE_B3+RATE_B3*($A179-BOTT_B3),0),IF($A179&gt;BOTT_B2,ROUND(BASE_B2+RATE_B2*($A179-BOTT_B2),0),ROUND(RATE_B1*$A179,0))))</f>
        <v/>
      </c>
      <c r="F179" s="556">
        <f>IF($A179&gt;BOTT_C4,ROUND(BASE_C4+RATE_C4*($A179-BOTT_C4),0),IF($A179&gt;BOTT_C3,ROUND(BASE_C3+RATE_C3*($A179-BOTT_C3),0),IF($A179&gt;BOTT_C2,ROUND(BASE_C2+RATE_C2*($A179-BOTT_C2),0),ROUND(RATE_C1*$A179,0))))</f>
        <v/>
      </c>
      <c r="G179" s="556">
        <f>IF($A179&gt;BOTT_D4,ROUND(BASE_D4+RATE_D4*($A179-BOTT_D4),0),IF($A179&gt;BOTT_D3,ROUND(BASE_D3+RATE_D3*($A179-BOTT_D3),0),IF($A179&gt;BOTT_D2,ROUND(BASE_D2+RATE_D2*($A179-BOTT_D2),0),ROUND(RATE_D1*$A179,0))))</f>
        <v/>
      </c>
    </row>
    <row r="180" ht="15.75" customHeight="1" s="7635">
      <c r="A180" s="625">
        <f>AVERAGE(B180,C180)</f>
        <v/>
      </c>
      <c r="B180" s="555" t="n">
        <v>5800</v>
      </c>
      <c r="C180" s="555" t="n">
        <v>5850</v>
      </c>
      <c r="D180" s="556">
        <f>IF($A180&gt;BOTT_A4,ROUND(BASE_A4+RATE_A4*($A180-BOTT_A4),0),IF($A180&gt;BOTT_A3,ROUND(BASE_A3+RATE_A3*($A180-BOTT_A3),0),IF($A180&gt;BOTT_A2,ROUND(BASE_A2+RATE_A2*($A180-BOTT_A2),0),ROUND(RATE_A1*$A180,0))))</f>
        <v/>
      </c>
      <c r="E180" s="556">
        <f>IF($A180&gt;BOTT_B4,ROUND(BASE_B4+RATE_B4*($A180-BOTT_B4),0),IF($A180&gt;BOTT_B3,ROUND(BASE_B3+RATE_B3*($A180-BOTT_B3),0),IF($A180&gt;BOTT_B2,ROUND(BASE_B2+RATE_B2*($A180-BOTT_B2),0),ROUND(RATE_B1*$A180,0))))</f>
        <v/>
      </c>
      <c r="F180" s="556">
        <f>IF($A180&gt;BOTT_C4,ROUND(BASE_C4+RATE_C4*($A180-BOTT_C4),0),IF($A180&gt;BOTT_C3,ROUND(BASE_C3+RATE_C3*($A180-BOTT_C3),0),IF($A180&gt;BOTT_C2,ROUND(BASE_C2+RATE_C2*($A180-BOTT_C2),0),ROUND(RATE_C1*$A180,0))))</f>
        <v/>
      </c>
      <c r="G180" s="556">
        <f>IF($A180&gt;BOTT_D4,ROUND(BASE_D4+RATE_D4*($A180-BOTT_D4),0),IF($A180&gt;BOTT_D3,ROUND(BASE_D3+RATE_D3*($A180-BOTT_D3),0),IF($A180&gt;BOTT_D2,ROUND(BASE_D2+RATE_D2*($A180-BOTT_D2),0),ROUND(RATE_D1*$A180,0))))</f>
        <v/>
      </c>
    </row>
    <row r="181" ht="15.75" customHeight="1" s="7635">
      <c r="A181" s="625">
        <f>AVERAGE(B181,C181)</f>
        <v/>
      </c>
      <c r="B181" s="555" t="n">
        <v>5850</v>
      </c>
      <c r="C181" s="555" t="n">
        <v>5900</v>
      </c>
      <c r="D181" s="556">
        <f>IF($A181&gt;BOTT_A4,ROUND(BASE_A4+RATE_A4*($A181-BOTT_A4),0),IF($A181&gt;BOTT_A3,ROUND(BASE_A3+RATE_A3*($A181-BOTT_A3),0),IF($A181&gt;BOTT_A2,ROUND(BASE_A2+RATE_A2*($A181-BOTT_A2),0),ROUND(RATE_A1*$A181,0))))</f>
        <v/>
      </c>
      <c r="E181" s="556">
        <f>IF($A181&gt;BOTT_B4,ROUND(BASE_B4+RATE_B4*($A181-BOTT_B4),0),IF($A181&gt;BOTT_B3,ROUND(BASE_B3+RATE_B3*($A181-BOTT_B3),0),IF($A181&gt;BOTT_B2,ROUND(BASE_B2+RATE_B2*($A181-BOTT_B2),0),ROUND(RATE_B1*$A181,0))))</f>
        <v/>
      </c>
      <c r="F181" s="556">
        <f>IF($A181&gt;BOTT_C4,ROUND(BASE_C4+RATE_C4*($A181-BOTT_C4),0),IF($A181&gt;BOTT_C3,ROUND(BASE_C3+RATE_C3*($A181-BOTT_C3),0),IF($A181&gt;BOTT_C2,ROUND(BASE_C2+RATE_C2*($A181-BOTT_C2),0),ROUND(RATE_C1*$A181,0))))</f>
        <v/>
      </c>
      <c r="G181" s="556">
        <f>IF($A181&gt;BOTT_D4,ROUND(BASE_D4+RATE_D4*($A181-BOTT_D4),0),IF($A181&gt;BOTT_D3,ROUND(BASE_D3+RATE_D3*($A181-BOTT_D3),0),IF($A181&gt;BOTT_D2,ROUND(BASE_D2+RATE_D2*($A181-BOTT_D2),0),ROUND(RATE_D1*$A181,0))))</f>
        <v/>
      </c>
    </row>
    <row r="182" ht="15.75" customHeight="1" s="7635">
      <c r="A182" s="625">
        <f>AVERAGE(B182,C182)</f>
        <v/>
      </c>
      <c r="B182" s="555" t="n">
        <v>5900</v>
      </c>
      <c r="C182" s="555" t="n">
        <v>5950</v>
      </c>
      <c r="D182" s="556">
        <f>IF($A182&gt;BOTT_A4,ROUND(BASE_A4+RATE_A4*($A182-BOTT_A4),0),IF($A182&gt;BOTT_A3,ROUND(BASE_A3+RATE_A3*($A182-BOTT_A3),0),IF($A182&gt;BOTT_A2,ROUND(BASE_A2+RATE_A2*($A182-BOTT_A2),0),ROUND(RATE_A1*$A182,0))))</f>
        <v/>
      </c>
      <c r="E182" s="556">
        <f>IF($A182&gt;BOTT_B4,ROUND(BASE_B4+RATE_B4*($A182-BOTT_B4),0),IF($A182&gt;BOTT_B3,ROUND(BASE_B3+RATE_B3*($A182-BOTT_B3),0),IF($A182&gt;BOTT_B2,ROUND(BASE_B2+RATE_B2*($A182-BOTT_B2),0),ROUND(RATE_B1*$A182,0))))</f>
        <v/>
      </c>
      <c r="F182" s="556">
        <f>IF($A182&gt;BOTT_C4,ROUND(BASE_C4+RATE_C4*($A182-BOTT_C4),0),IF($A182&gt;BOTT_C3,ROUND(BASE_C3+RATE_C3*($A182-BOTT_C3),0),IF($A182&gt;BOTT_C2,ROUND(BASE_C2+RATE_C2*($A182-BOTT_C2),0),ROUND(RATE_C1*$A182,0))))</f>
        <v/>
      </c>
      <c r="G182" s="556">
        <f>IF($A182&gt;BOTT_D4,ROUND(BASE_D4+RATE_D4*($A182-BOTT_D4),0),IF($A182&gt;BOTT_D3,ROUND(BASE_D3+RATE_D3*($A182-BOTT_D3),0),IF($A182&gt;BOTT_D2,ROUND(BASE_D2+RATE_D2*($A182-BOTT_D2),0),ROUND(RATE_D1*$A182,0))))</f>
        <v/>
      </c>
    </row>
    <row r="183" ht="15.75" customHeight="1" s="7635">
      <c r="A183" s="625">
        <f>AVERAGE(B183,C183)</f>
        <v/>
      </c>
      <c r="B183" s="555" t="n">
        <v>5950</v>
      </c>
      <c r="C183" s="555" t="n">
        <v>6000</v>
      </c>
      <c r="D183" s="556">
        <f>IF($A183&gt;BOTT_A4,ROUND(BASE_A4+RATE_A4*($A183-BOTT_A4),0),IF($A183&gt;BOTT_A3,ROUND(BASE_A3+RATE_A3*($A183-BOTT_A3),0),IF($A183&gt;BOTT_A2,ROUND(BASE_A2+RATE_A2*($A183-BOTT_A2),0),ROUND(RATE_A1*$A183,0))))</f>
        <v/>
      </c>
      <c r="E183" s="556">
        <f>IF($A183&gt;BOTT_B4,ROUND(BASE_B4+RATE_B4*($A183-BOTT_B4),0),IF($A183&gt;BOTT_B3,ROUND(BASE_B3+RATE_B3*($A183-BOTT_B3),0),IF($A183&gt;BOTT_B2,ROUND(BASE_B2+RATE_B2*($A183-BOTT_B2),0),ROUND(RATE_B1*$A183,0))))</f>
        <v/>
      </c>
      <c r="F183" s="556">
        <f>IF($A183&gt;BOTT_C4,ROUND(BASE_C4+RATE_C4*($A183-BOTT_C4),0),IF($A183&gt;BOTT_C3,ROUND(BASE_C3+RATE_C3*($A183-BOTT_C3),0),IF($A183&gt;BOTT_C2,ROUND(BASE_C2+RATE_C2*($A183-BOTT_C2),0),ROUND(RATE_C1*$A183,0))))</f>
        <v/>
      </c>
      <c r="G183" s="556">
        <f>IF($A183&gt;BOTT_D4,ROUND(BASE_D4+RATE_D4*($A183-BOTT_D4),0),IF($A183&gt;BOTT_D3,ROUND(BASE_D3+RATE_D3*($A183-BOTT_D3),0),IF($A183&gt;BOTT_D2,ROUND(BASE_D2+RATE_D2*($A183-BOTT_D2),0),ROUND(RATE_D1*$A183,0))))</f>
        <v/>
      </c>
    </row>
    <row r="184" ht="15.75" customHeight="1" s="7635">
      <c r="A184" s="625">
        <f>AVERAGE(B184,C184)</f>
        <v/>
      </c>
      <c r="B184" s="555" t="n">
        <v>6000</v>
      </c>
      <c r="C184" s="555" t="n">
        <v>6050</v>
      </c>
      <c r="D184" s="556">
        <f>IF($A184&gt;BOTT_A4,ROUND(BASE_A4+RATE_A4*($A184-BOTT_A4),0),IF($A184&gt;BOTT_A3,ROUND(BASE_A3+RATE_A3*($A184-BOTT_A3),0),IF($A184&gt;BOTT_A2,ROUND(BASE_A2+RATE_A2*($A184-BOTT_A2),0),ROUND(RATE_A1*$A184,0))))</f>
        <v/>
      </c>
      <c r="E184" s="556">
        <f>IF($A184&gt;BOTT_B4,ROUND(BASE_B4+RATE_B4*($A184-BOTT_B4),0),IF($A184&gt;BOTT_B3,ROUND(BASE_B3+RATE_B3*($A184-BOTT_B3),0),IF($A184&gt;BOTT_B2,ROUND(BASE_B2+RATE_B2*($A184-BOTT_B2),0),ROUND(RATE_B1*$A184,0))))</f>
        <v/>
      </c>
      <c r="F184" s="556">
        <f>IF($A184&gt;BOTT_C4,ROUND(BASE_C4+RATE_C4*($A184-BOTT_C4),0),IF($A184&gt;BOTT_C3,ROUND(BASE_C3+RATE_C3*($A184-BOTT_C3),0),IF($A184&gt;BOTT_C2,ROUND(BASE_C2+RATE_C2*($A184-BOTT_C2),0),ROUND(RATE_C1*$A184,0))))</f>
        <v/>
      </c>
      <c r="G184" s="556">
        <f>IF($A184&gt;BOTT_D4,ROUND(BASE_D4+RATE_D4*($A184-BOTT_D4),0),IF($A184&gt;BOTT_D3,ROUND(BASE_D3+RATE_D3*($A184-BOTT_D3),0),IF($A184&gt;BOTT_D2,ROUND(BASE_D2+RATE_D2*($A184-BOTT_D2),0),ROUND(RATE_D1*$A184,0))))</f>
        <v/>
      </c>
    </row>
    <row r="185" ht="15.75" customHeight="1" s="7635">
      <c r="A185" s="625">
        <f>AVERAGE(B185,C185)</f>
        <v/>
      </c>
      <c r="B185" s="555" t="n">
        <v>6050</v>
      </c>
      <c r="C185" s="555" t="n">
        <v>6100</v>
      </c>
      <c r="D185" s="556">
        <f>IF($A185&gt;BOTT_A4,ROUND(BASE_A4+RATE_A4*($A185-BOTT_A4),0),IF($A185&gt;BOTT_A3,ROUND(BASE_A3+RATE_A3*($A185-BOTT_A3),0),IF($A185&gt;BOTT_A2,ROUND(BASE_A2+RATE_A2*($A185-BOTT_A2),0),ROUND(RATE_A1*$A185,0))))</f>
        <v/>
      </c>
      <c r="E185" s="556">
        <f>IF($A185&gt;BOTT_B4,ROUND(BASE_B4+RATE_B4*($A185-BOTT_B4),0),IF($A185&gt;BOTT_B3,ROUND(BASE_B3+RATE_B3*($A185-BOTT_B3),0),IF($A185&gt;BOTT_B2,ROUND(BASE_B2+RATE_B2*($A185-BOTT_B2),0),ROUND(RATE_B1*$A185,0))))</f>
        <v/>
      </c>
      <c r="F185" s="556">
        <f>IF($A185&gt;BOTT_C4,ROUND(BASE_C4+RATE_C4*($A185-BOTT_C4),0),IF($A185&gt;BOTT_C3,ROUND(BASE_C3+RATE_C3*($A185-BOTT_C3),0),IF($A185&gt;BOTT_C2,ROUND(BASE_C2+RATE_C2*($A185-BOTT_C2),0),ROUND(RATE_C1*$A185,0))))</f>
        <v/>
      </c>
      <c r="G185" s="556">
        <f>IF($A185&gt;BOTT_D4,ROUND(BASE_D4+RATE_D4*($A185-BOTT_D4),0),IF($A185&gt;BOTT_D3,ROUND(BASE_D3+RATE_D3*($A185-BOTT_D3),0),IF($A185&gt;BOTT_D2,ROUND(BASE_D2+RATE_D2*($A185-BOTT_D2),0),ROUND(RATE_D1*$A185,0))))</f>
        <v/>
      </c>
    </row>
    <row r="186" ht="15.75" customHeight="1" s="7635">
      <c r="A186" s="625">
        <f>AVERAGE(B186,C186)</f>
        <v/>
      </c>
      <c r="B186" s="555" t="n">
        <v>6100</v>
      </c>
      <c r="C186" s="555" t="n">
        <v>6150</v>
      </c>
      <c r="D186" s="556">
        <f>IF($A186&gt;BOTT_A4,ROUND(BASE_A4+RATE_A4*($A186-BOTT_A4),0),IF($A186&gt;BOTT_A3,ROUND(BASE_A3+RATE_A3*($A186-BOTT_A3),0),IF($A186&gt;BOTT_A2,ROUND(BASE_A2+RATE_A2*($A186-BOTT_A2),0),ROUND(RATE_A1*$A186,0))))</f>
        <v/>
      </c>
      <c r="E186" s="556">
        <f>IF($A186&gt;BOTT_B4,ROUND(BASE_B4+RATE_B4*($A186-BOTT_B4),0),IF($A186&gt;BOTT_B3,ROUND(BASE_B3+RATE_B3*($A186-BOTT_B3),0),IF($A186&gt;BOTT_B2,ROUND(BASE_B2+RATE_B2*($A186-BOTT_B2),0),ROUND(RATE_B1*$A186,0))))</f>
        <v/>
      </c>
      <c r="F186" s="556">
        <f>IF($A186&gt;BOTT_C4,ROUND(BASE_C4+RATE_C4*($A186-BOTT_C4),0),IF($A186&gt;BOTT_C3,ROUND(BASE_C3+RATE_C3*($A186-BOTT_C3),0),IF($A186&gt;BOTT_C2,ROUND(BASE_C2+RATE_C2*($A186-BOTT_C2),0),ROUND(RATE_C1*$A186,0))))</f>
        <v/>
      </c>
      <c r="G186" s="556">
        <f>IF($A186&gt;BOTT_D4,ROUND(BASE_D4+RATE_D4*($A186-BOTT_D4),0),IF($A186&gt;BOTT_D3,ROUND(BASE_D3+RATE_D3*($A186-BOTT_D3),0),IF($A186&gt;BOTT_D2,ROUND(BASE_D2+RATE_D2*($A186-BOTT_D2),0),ROUND(RATE_D1*$A186,0))))</f>
        <v/>
      </c>
    </row>
    <row r="187" ht="15.75" customHeight="1" s="7635">
      <c r="A187" s="625">
        <f>AVERAGE(B187,C187)</f>
        <v/>
      </c>
      <c r="B187" s="555" t="n">
        <v>6150</v>
      </c>
      <c r="C187" s="555" t="n">
        <v>6200</v>
      </c>
      <c r="D187" s="556">
        <f>IF($A187&gt;BOTT_A4,ROUND(BASE_A4+RATE_A4*($A187-BOTT_A4),0),IF($A187&gt;BOTT_A3,ROUND(BASE_A3+RATE_A3*($A187-BOTT_A3),0),IF($A187&gt;BOTT_A2,ROUND(BASE_A2+RATE_A2*($A187-BOTT_A2),0),ROUND(RATE_A1*$A187,0))))</f>
        <v/>
      </c>
      <c r="E187" s="556">
        <f>IF($A187&gt;BOTT_B4,ROUND(BASE_B4+RATE_B4*($A187-BOTT_B4),0),IF($A187&gt;BOTT_B3,ROUND(BASE_B3+RATE_B3*($A187-BOTT_B3),0),IF($A187&gt;BOTT_B2,ROUND(BASE_B2+RATE_B2*($A187-BOTT_B2),0),ROUND(RATE_B1*$A187,0))))</f>
        <v/>
      </c>
      <c r="F187" s="556">
        <f>IF($A187&gt;BOTT_C4,ROUND(BASE_C4+RATE_C4*($A187-BOTT_C4),0),IF($A187&gt;BOTT_C3,ROUND(BASE_C3+RATE_C3*($A187-BOTT_C3),0),IF($A187&gt;BOTT_C2,ROUND(BASE_C2+RATE_C2*($A187-BOTT_C2),0),ROUND(RATE_C1*$A187,0))))</f>
        <v/>
      </c>
      <c r="G187" s="556">
        <f>IF($A187&gt;BOTT_D4,ROUND(BASE_D4+RATE_D4*($A187-BOTT_D4),0),IF($A187&gt;BOTT_D3,ROUND(BASE_D3+RATE_D3*($A187-BOTT_D3),0),IF($A187&gt;BOTT_D2,ROUND(BASE_D2+RATE_D2*($A187-BOTT_D2),0),ROUND(RATE_D1*$A187,0))))</f>
        <v/>
      </c>
    </row>
    <row r="188" ht="15.75" customHeight="1" s="7635">
      <c r="A188" s="625">
        <f>AVERAGE(B188,C188)</f>
        <v/>
      </c>
      <c r="B188" s="555" t="n">
        <v>6200</v>
      </c>
      <c r="C188" s="555" t="n">
        <v>6250</v>
      </c>
      <c r="D188" s="556">
        <f>IF($A188&gt;BOTT_A4,ROUND(BASE_A4+RATE_A4*($A188-BOTT_A4),0),IF($A188&gt;BOTT_A3,ROUND(BASE_A3+RATE_A3*($A188-BOTT_A3),0),IF($A188&gt;BOTT_A2,ROUND(BASE_A2+RATE_A2*($A188-BOTT_A2),0),ROUND(RATE_A1*$A188,0))))</f>
        <v/>
      </c>
      <c r="E188" s="556">
        <f>IF($A188&gt;BOTT_B4,ROUND(BASE_B4+RATE_B4*($A188-BOTT_B4),0),IF($A188&gt;BOTT_B3,ROUND(BASE_B3+RATE_B3*($A188-BOTT_B3),0),IF($A188&gt;BOTT_B2,ROUND(BASE_B2+RATE_B2*($A188-BOTT_B2),0),ROUND(RATE_B1*$A188,0))))</f>
        <v/>
      </c>
      <c r="F188" s="556">
        <f>IF($A188&gt;BOTT_C4,ROUND(BASE_C4+RATE_C4*($A188-BOTT_C4),0),IF($A188&gt;BOTT_C3,ROUND(BASE_C3+RATE_C3*($A188-BOTT_C3),0),IF($A188&gt;BOTT_C2,ROUND(BASE_C2+RATE_C2*($A188-BOTT_C2),0),ROUND(RATE_C1*$A188,0))))</f>
        <v/>
      </c>
      <c r="G188" s="556">
        <f>IF($A188&gt;BOTT_D4,ROUND(BASE_D4+RATE_D4*($A188-BOTT_D4),0),IF($A188&gt;BOTT_D3,ROUND(BASE_D3+RATE_D3*($A188-BOTT_D3),0),IF($A188&gt;BOTT_D2,ROUND(BASE_D2+RATE_D2*($A188-BOTT_D2),0),ROUND(RATE_D1*$A188,0))))</f>
        <v/>
      </c>
    </row>
    <row r="189" ht="15.75" customHeight="1" s="7635">
      <c r="A189" s="625">
        <f>AVERAGE(B189,C189)</f>
        <v/>
      </c>
      <c r="B189" s="555" t="n">
        <v>6250</v>
      </c>
      <c r="C189" s="555" t="n">
        <v>6300</v>
      </c>
      <c r="D189" s="556">
        <f>IF($A189&gt;BOTT_A4,ROUND(BASE_A4+RATE_A4*($A189-BOTT_A4),0),IF($A189&gt;BOTT_A3,ROUND(BASE_A3+RATE_A3*($A189-BOTT_A3),0),IF($A189&gt;BOTT_A2,ROUND(BASE_A2+RATE_A2*($A189-BOTT_A2),0),ROUND(RATE_A1*$A189,0))))</f>
        <v/>
      </c>
      <c r="E189" s="556">
        <f>IF($A189&gt;BOTT_B4,ROUND(BASE_B4+RATE_B4*($A189-BOTT_B4),0),IF($A189&gt;BOTT_B3,ROUND(BASE_B3+RATE_B3*($A189-BOTT_B3),0),IF($A189&gt;BOTT_B2,ROUND(BASE_B2+RATE_B2*($A189-BOTT_B2),0),ROUND(RATE_B1*$A189,0))))</f>
        <v/>
      </c>
      <c r="F189" s="556">
        <f>IF($A189&gt;BOTT_C4,ROUND(BASE_C4+RATE_C4*($A189-BOTT_C4),0),IF($A189&gt;BOTT_C3,ROUND(BASE_C3+RATE_C3*($A189-BOTT_C3),0),IF($A189&gt;BOTT_C2,ROUND(BASE_C2+RATE_C2*($A189-BOTT_C2),0),ROUND(RATE_C1*$A189,0))))</f>
        <v/>
      </c>
      <c r="G189" s="556">
        <f>IF($A189&gt;BOTT_D4,ROUND(BASE_D4+RATE_D4*($A189-BOTT_D4),0),IF($A189&gt;BOTT_D3,ROUND(BASE_D3+RATE_D3*($A189-BOTT_D3),0),IF($A189&gt;BOTT_D2,ROUND(BASE_D2+RATE_D2*($A189-BOTT_D2),0),ROUND(RATE_D1*$A189,0))))</f>
        <v/>
      </c>
    </row>
    <row r="190" ht="15.75" customHeight="1" s="7635">
      <c r="A190" s="625">
        <f>AVERAGE(B190,C190)</f>
        <v/>
      </c>
      <c r="B190" s="555" t="n">
        <v>6300</v>
      </c>
      <c r="C190" s="555" t="n">
        <v>6350</v>
      </c>
      <c r="D190" s="556">
        <f>IF($A190&gt;BOTT_A4,ROUND(BASE_A4+RATE_A4*($A190-BOTT_A4),0),IF($A190&gt;BOTT_A3,ROUND(BASE_A3+RATE_A3*($A190-BOTT_A3),0),IF($A190&gt;BOTT_A2,ROUND(BASE_A2+RATE_A2*($A190-BOTT_A2),0),ROUND(RATE_A1*$A190,0))))</f>
        <v/>
      </c>
      <c r="E190" s="556">
        <f>IF($A190&gt;BOTT_B4,ROUND(BASE_B4+RATE_B4*($A190-BOTT_B4),0),IF($A190&gt;BOTT_B3,ROUND(BASE_B3+RATE_B3*($A190-BOTT_B3),0),IF($A190&gt;BOTT_B2,ROUND(BASE_B2+RATE_B2*($A190-BOTT_B2),0),ROUND(RATE_B1*$A190,0))))</f>
        <v/>
      </c>
      <c r="F190" s="556">
        <f>IF($A190&gt;BOTT_C4,ROUND(BASE_C4+RATE_C4*($A190-BOTT_C4),0),IF($A190&gt;BOTT_C3,ROUND(BASE_C3+RATE_C3*($A190-BOTT_C3),0),IF($A190&gt;BOTT_C2,ROUND(BASE_C2+RATE_C2*($A190-BOTT_C2),0),ROUND(RATE_C1*$A190,0))))</f>
        <v/>
      </c>
      <c r="G190" s="556">
        <f>IF($A190&gt;BOTT_D4,ROUND(BASE_D4+RATE_D4*($A190-BOTT_D4),0),IF($A190&gt;BOTT_D3,ROUND(BASE_D3+RATE_D3*($A190-BOTT_D3),0),IF($A190&gt;BOTT_D2,ROUND(BASE_D2+RATE_D2*($A190-BOTT_D2),0),ROUND(RATE_D1*$A190,0))))</f>
        <v/>
      </c>
    </row>
    <row r="191" ht="15.75" customHeight="1" s="7635">
      <c r="A191" s="625">
        <f>AVERAGE(B191,C191)</f>
        <v/>
      </c>
      <c r="B191" s="555" t="n">
        <v>6350</v>
      </c>
      <c r="C191" s="555" t="n">
        <v>6400</v>
      </c>
      <c r="D191" s="556">
        <f>IF($A191&gt;BOTT_A4,ROUND(BASE_A4+RATE_A4*($A191-BOTT_A4),0),IF($A191&gt;BOTT_A3,ROUND(BASE_A3+RATE_A3*($A191-BOTT_A3),0),IF($A191&gt;BOTT_A2,ROUND(BASE_A2+RATE_A2*($A191-BOTT_A2),0),ROUND(RATE_A1*$A191,0))))</f>
        <v/>
      </c>
      <c r="E191" s="556">
        <f>IF($A191&gt;BOTT_B4,ROUND(BASE_B4+RATE_B4*($A191-BOTT_B4),0),IF($A191&gt;BOTT_B3,ROUND(BASE_B3+RATE_B3*($A191-BOTT_B3),0),IF($A191&gt;BOTT_B2,ROUND(BASE_B2+RATE_B2*($A191-BOTT_B2),0),ROUND(RATE_B1*$A191,0))))</f>
        <v/>
      </c>
      <c r="F191" s="556">
        <f>IF($A191&gt;BOTT_C4,ROUND(BASE_C4+RATE_C4*($A191-BOTT_C4),0),IF($A191&gt;BOTT_C3,ROUND(BASE_C3+RATE_C3*($A191-BOTT_C3),0),IF($A191&gt;BOTT_C2,ROUND(BASE_C2+RATE_C2*($A191-BOTT_C2),0),ROUND(RATE_C1*$A191,0))))</f>
        <v/>
      </c>
      <c r="G191" s="556">
        <f>IF($A191&gt;BOTT_D4,ROUND(BASE_D4+RATE_D4*($A191-BOTT_D4),0),IF($A191&gt;BOTT_D3,ROUND(BASE_D3+RATE_D3*($A191-BOTT_D3),0),IF($A191&gt;BOTT_D2,ROUND(BASE_D2+RATE_D2*($A191-BOTT_D2),0),ROUND(RATE_D1*$A191,0))))</f>
        <v/>
      </c>
    </row>
    <row r="192" ht="15.75" customHeight="1" s="7635">
      <c r="A192" s="625">
        <f>AVERAGE(B192,C192)</f>
        <v/>
      </c>
      <c r="B192" s="555" t="n">
        <v>6400</v>
      </c>
      <c r="C192" s="555" t="n">
        <v>6450</v>
      </c>
      <c r="D192" s="556">
        <f>IF($A192&gt;BOTT_A4,ROUND(BASE_A4+RATE_A4*($A192-BOTT_A4),0),IF($A192&gt;BOTT_A3,ROUND(BASE_A3+RATE_A3*($A192-BOTT_A3),0),IF($A192&gt;BOTT_A2,ROUND(BASE_A2+RATE_A2*($A192-BOTT_A2),0),ROUND(RATE_A1*$A192,0))))</f>
        <v/>
      </c>
      <c r="E192" s="556">
        <f>IF($A192&gt;BOTT_B4,ROUND(BASE_B4+RATE_B4*($A192-BOTT_B4),0),IF($A192&gt;BOTT_B3,ROUND(BASE_B3+RATE_B3*($A192-BOTT_B3),0),IF($A192&gt;BOTT_B2,ROUND(BASE_B2+RATE_B2*($A192-BOTT_B2),0),ROUND(RATE_B1*$A192,0))))</f>
        <v/>
      </c>
      <c r="F192" s="556">
        <f>IF($A192&gt;BOTT_C4,ROUND(BASE_C4+RATE_C4*($A192-BOTT_C4),0),IF($A192&gt;BOTT_C3,ROUND(BASE_C3+RATE_C3*($A192-BOTT_C3),0),IF($A192&gt;BOTT_C2,ROUND(BASE_C2+RATE_C2*($A192-BOTT_C2),0),ROUND(RATE_C1*$A192,0))))</f>
        <v/>
      </c>
      <c r="G192" s="556">
        <f>IF($A192&gt;BOTT_D4,ROUND(BASE_D4+RATE_D4*($A192-BOTT_D4),0),IF($A192&gt;BOTT_D3,ROUND(BASE_D3+RATE_D3*($A192-BOTT_D3),0),IF($A192&gt;BOTT_D2,ROUND(BASE_D2+RATE_D2*($A192-BOTT_D2),0),ROUND(RATE_D1*$A192,0))))</f>
        <v/>
      </c>
    </row>
    <row r="193" ht="15.75" customHeight="1" s="7635">
      <c r="A193" s="625">
        <f>AVERAGE(B193,C193)</f>
        <v/>
      </c>
      <c r="B193" s="555" t="n">
        <v>6450</v>
      </c>
      <c r="C193" s="555" t="n">
        <v>6500</v>
      </c>
      <c r="D193" s="556">
        <f>IF($A193&gt;BOTT_A4,ROUND(BASE_A4+RATE_A4*($A193-BOTT_A4),0),IF($A193&gt;BOTT_A3,ROUND(BASE_A3+RATE_A3*($A193-BOTT_A3),0),IF($A193&gt;BOTT_A2,ROUND(BASE_A2+RATE_A2*($A193-BOTT_A2),0),ROUND(RATE_A1*$A193,0))))</f>
        <v/>
      </c>
      <c r="E193" s="556">
        <f>IF($A193&gt;BOTT_B4,ROUND(BASE_B4+RATE_B4*($A193-BOTT_B4),0),IF($A193&gt;BOTT_B3,ROUND(BASE_B3+RATE_B3*($A193-BOTT_B3),0),IF($A193&gt;BOTT_B2,ROUND(BASE_B2+RATE_B2*($A193-BOTT_B2),0),ROUND(RATE_B1*$A193,0))))</f>
        <v/>
      </c>
      <c r="F193" s="556">
        <f>IF($A193&gt;BOTT_C4,ROUND(BASE_C4+RATE_C4*($A193-BOTT_C4),0),IF($A193&gt;BOTT_C3,ROUND(BASE_C3+RATE_C3*($A193-BOTT_C3),0),IF($A193&gt;BOTT_C2,ROUND(BASE_C2+RATE_C2*($A193-BOTT_C2),0),ROUND(RATE_C1*$A193,0))))</f>
        <v/>
      </c>
      <c r="G193" s="556">
        <f>IF($A193&gt;BOTT_D4,ROUND(BASE_D4+RATE_D4*($A193-BOTT_D4),0),IF($A193&gt;BOTT_D3,ROUND(BASE_D3+RATE_D3*($A193-BOTT_D3),0),IF($A193&gt;BOTT_D2,ROUND(BASE_D2+RATE_D2*($A193-BOTT_D2),0),ROUND(RATE_D1*$A193,0))))</f>
        <v/>
      </c>
    </row>
    <row r="194" ht="15.75" customHeight="1" s="7635">
      <c r="A194" s="625">
        <f>AVERAGE(B194,C194)</f>
        <v/>
      </c>
      <c r="B194" s="555" t="n">
        <v>6500</v>
      </c>
      <c r="C194" s="555" t="n">
        <v>6550</v>
      </c>
      <c r="D194" s="556">
        <f>IF($A194&gt;BOTT_A4,ROUND(BASE_A4+RATE_A4*($A194-BOTT_A4),0),IF($A194&gt;BOTT_A3,ROUND(BASE_A3+RATE_A3*($A194-BOTT_A3),0),IF($A194&gt;BOTT_A2,ROUND(BASE_A2+RATE_A2*($A194-BOTT_A2),0),ROUND(RATE_A1*$A194,0))))</f>
        <v/>
      </c>
      <c r="E194" s="556">
        <f>IF($A194&gt;BOTT_B4,ROUND(BASE_B4+RATE_B4*($A194-BOTT_B4),0),IF($A194&gt;BOTT_B3,ROUND(BASE_B3+RATE_B3*($A194-BOTT_B3),0),IF($A194&gt;BOTT_B2,ROUND(BASE_B2+RATE_B2*($A194-BOTT_B2),0),ROUND(RATE_B1*$A194,0))))</f>
        <v/>
      </c>
      <c r="F194" s="556">
        <f>IF($A194&gt;BOTT_C4,ROUND(BASE_C4+RATE_C4*($A194-BOTT_C4),0),IF($A194&gt;BOTT_C3,ROUND(BASE_C3+RATE_C3*($A194-BOTT_C3),0),IF($A194&gt;BOTT_C2,ROUND(BASE_C2+RATE_C2*($A194-BOTT_C2),0),ROUND(RATE_C1*$A194,0))))</f>
        <v/>
      </c>
      <c r="G194" s="556">
        <f>IF($A194&gt;BOTT_D4,ROUND(BASE_D4+RATE_D4*($A194-BOTT_D4),0),IF($A194&gt;BOTT_D3,ROUND(BASE_D3+RATE_D3*($A194-BOTT_D3),0),IF($A194&gt;BOTT_D2,ROUND(BASE_D2+RATE_D2*($A194-BOTT_D2),0),ROUND(RATE_D1*$A194,0))))</f>
        <v/>
      </c>
    </row>
    <row r="195" ht="15.75" customHeight="1" s="7635">
      <c r="A195" s="625">
        <f>AVERAGE(B195,C195)</f>
        <v/>
      </c>
      <c r="B195" s="555" t="n">
        <v>6550</v>
      </c>
      <c r="C195" s="555" t="n">
        <v>6600</v>
      </c>
      <c r="D195" s="556">
        <f>IF($A195&gt;BOTT_A4,ROUND(BASE_A4+RATE_A4*($A195-BOTT_A4),0),IF($A195&gt;BOTT_A3,ROUND(BASE_A3+RATE_A3*($A195-BOTT_A3),0),IF($A195&gt;BOTT_A2,ROUND(BASE_A2+RATE_A2*($A195-BOTT_A2),0),ROUND(RATE_A1*$A195,0))))</f>
        <v/>
      </c>
      <c r="E195" s="556">
        <f>IF($A195&gt;BOTT_B4,ROUND(BASE_B4+RATE_B4*($A195-BOTT_B4),0),IF($A195&gt;BOTT_B3,ROUND(BASE_B3+RATE_B3*($A195-BOTT_B3),0),IF($A195&gt;BOTT_B2,ROUND(BASE_B2+RATE_B2*($A195-BOTT_B2),0),ROUND(RATE_B1*$A195,0))))</f>
        <v/>
      </c>
      <c r="F195" s="556">
        <f>IF($A195&gt;BOTT_C4,ROUND(BASE_C4+RATE_C4*($A195-BOTT_C4),0),IF($A195&gt;BOTT_C3,ROUND(BASE_C3+RATE_C3*($A195-BOTT_C3),0),IF($A195&gt;BOTT_C2,ROUND(BASE_C2+RATE_C2*($A195-BOTT_C2),0),ROUND(RATE_C1*$A195,0))))</f>
        <v/>
      </c>
      <c r="G195" s="556">
        <f>IF($A195&gt;BOTT_D4,ROUND(BASE_D4+RATE_D4*($A195-BOTT_D4),0),IF($A195&gt;BOTT_D3,ROUND(BASE_D3+RATE_D3*($A195-BOTT_D3),0),IF($A195&gt;BOTT_D2,ROUND(BASE_D2+RATE_D2*($A195-BOTT_D2),0),ROUND(RATE_D1*$A195,0))))</f>
        <v/>
      </c>
    </row>
    <row r="196" ht="15.75" customHeight="1" s="7635">
      <c r="A196" s="625">
        <f>AVERAGE(B196,C196)</f>
        <v/>
      </c>
      <c r="B196" s="555" t="n">
        <v>6600</v>
      </c>
      <c r="C196" s="555" t="n">
        <v>6650</v>
      </c>
      <c r="D196" s="556">
        <f>IF($A196&gt;BOTT_A4,ROUND(BASE_A4+RATE_A4*($A196-BOTT_A4),0),IF($A196&gt;BOTT_A3,ROUND(BASE_A3+RATE_A3*($A196-BOTT_A3),0),IF($A196&gt;BOTT_A2,ROUND(BASE_A2+RATE_A2*($A196-BOTT_A2),0),ROUND(RATE_A1*$A196,0))))</f>
        <v/>
      </c>
      <c r="E196" s="556">
        <f>IF($A196&gt;BOTT_B4,ROUND(BASE_B4+RATE_B4*($A196-BOTT_B4),0),IF($A196&gt;BOTT_B3,ROUND(BASE_B3+RATE_B3*($A196-BOTT_B3),0),IF($A196&gt;BOTT_B2,ROUND(BASE_B2+RATE_B2*($A196-BOTT_B2),0),ROUND(RATE_B1*$A196,0))))</f>
        <v/>
      </c>
      <c r="F196" s="556">
        <f>IF($A196&gt;BOTT_C4,ROUND(BASE_C4+RATE_C4*($A196-BOTT_C4),0),IF($A196&gt;BOTT_C3,ROUND(BASE_C3+RATE_C3*($A196-BOTT_C3),0),IF($A196&gt;BOTT_C2,ROUND(BASE_C2+RATE_C2*($A196-BOTT_C2),0),ROUND(RATE_C1*$A196,0))))</f>
        <v/>
      </c>
      <c r="G196" s="556">
        <f>IF($A196&gt;BOTT_D4,ROUND(BASE_D4+RATE_D4*($A196-BOTT_D4),0),IF($A196&gt;BOTT_D3,ROUND(BASE_D3+RATE_D3*($A196-BOTT_D3),0),IF($A196&gt;BOTT_D2,ROUND(BASE_D2+RATE_D2*($A196-BOTT_D2),0),ROUND(RATE_D1*$A196,0))))</f>
        <v/>
      </c>
    </row>
    <row r="197" ht="15.75" customHeight="1" s="7635">
      <c r="A197" s="625">
        <f>AVERAGE(B197,C197)</f>
        <v/>
      </c>
      <c r="B197" s="555" t="n">
        <v>6650</v>
      </c>
      <c r="C197" s="555" t="n">
        <v>6700</v>
      </c>
      <c r="D197" s="556">
        <f>IF($A197&gt;BOTT_A4,ROUND(BASE_A4+RATE_A4*($A197-BOTT_A4),0),IF($A197&gt;BOTT_A3,ROUND(BASE_A3+RATE_A3*($A197-BOTT_A3),0),IF($A197&gt;BOTT_A2,ROUND(BASE_A2+RATE_A2*($A197-BOTT_A2),0),ROUND(RATE_A1*$A197,0))))</f>
        <v/>
      </c>
      <c r="E197" s="556">
        <f>IF($A197&gt;BOTT_B4,ROUND(BASE_B4+RATE_B4*($A197-BOTT_B4),0),IF($A197&gt;BOTT_B3,ROUND(BASE_B3+RATE_B3*($A197-BOTT_B3),0),IF($A197&gt;BOTT_B2,ROUND(BASE_B2+RATE_B2*($A197-BOTT_B2),0),ROUND(RATE_B1*$A197,0))))</f>
        <v/>
      </c>
      <c r="F197" s="556">
        <f>IF($A197&gt;BOTT_C4,ROUND(BASE_C4+RATE_C4*($A197-BOTT_C4),0),IF($A197&gt;BOTT_C3,ROUND(BASE_C3+RATE_C3*($A197-BOTT_C3),0),IF($A197&gt;BOTT_C2,ROUND(BASE_C2+RATE_C2*($A197-BOTT_C2),0),ROUND(RATE_C1*$A197,0))))</f>
        <v/>
      </c>
      <c r="G197" s="556">
        <f>IF($A197&gt;BOTT_D4,ROUND(BASE_D4+RATE_D4*($A197-BOTT_D4),0),IF($A197&gt;BOTT_D3,ROUND(BASE_D3+RATE_D3*($A197-BOTT_D3),0),IF($A197&gt;BOTT_D2,ROUND(BASE_D2+RATE_D2*($A197-BOTT_D2),0),ROUND(RATE_D1*$A197,0))))</f>
        <v/>
      </c>
    </row>
    <row r="198" ht="15.75" customHeight="1" s="7635">
      <c r="A198" s="625">
        <f>AVERAGE(B198,C198)</f>
        <v/>
      </c>
      <c r="B198" s="555" t="n">
        <v>6700</v>
      </c>
      <c r="C198" s="555" t="n">
        <v>6750</v>
      </c>
      <c r="D198" s="556">
        <f>IF($A198&gt;BOTT_A4,ROUND(BASE_A4+RATE_A4*($A198-BOTT_A4),0),IF($A198&gt;BOTT_A3,ROUND(BASE_A3+RATE_A3*($A198-BOTT_A3),0),IF($A198&gt;BOTT_A2,ROUND(BASE_A2+RATE_A2*($A198-BOTT_A2),0),ROUND(RATE_A1*$A198,0))))</f>
        <v/>
      </c>
      <c r="E198" s="556">
        <f>IF($A198&gt;BOTT_B4,ROUND(BASE_B4+RATE_B4*($A198-BOTT_B4),0),IF($A198&gt;BOTT_B3,ROUND(BASE_B3+RATE_B3*($A198-BOTT_B3),0),IF($A198&gt;BOTT_B2,ROUND(BASE_B2+RATE_B2*($A198-BOTT_B2),0),ROUND(RATE_B1*$A198,0))))</f>
        <v/>
      </c>
      <c r="F198" s="556">
        <f>IF($A198&gt;BOTT_C4,ROUND(BASE_C4+RATE_C4*($A198-BOTT_C4),0),IF($A198&gt;BOTT_C3,ROUND(BASE_C3+RATE_C3*($A198-BOTT_C3),0),IF($A198&gt;BOTT_C2,ROUND(BASE_C2+RATE_C2*($A198-BOTT_C2),0),ROUND(RATE_C1*$A198,0))))</f>
        <v/>
      </c>
      <c r="G198" s="556">
        <f>IF($A198&gt;BOTT_D4,ROUND(BASE_D4+RATE_D4*($A198-BOTT_D4),0),IF($A198&gt;BOTT_D3,ROUND(BASE_D3+RATE_D3*($A198-BOTT_D3),0),IF($A198&gt;BOTT_D2,ROUND(BASE_D2+RATE_D2*($A198-BOTT_D2),0),ROUND(RATE_D1*$A198,0))))</f>
        <v/>
      </c>
    </row>
    <row r="199" ht="15.75" customHeight="1" s="7635">
      <c r="A199" s="625">
        <f>AVERAGE(B199,C199)</f>
        <v/>
      </c>
      <c r="B199" s="555" t="n">
        <v>6750</v>
      </c>
      <c r="C199" s="555" t="n">
        <v>6800</v>
      </c>
      <c r="D199" s="556">
        <f>IF($A199&gt;BOTT_A4,ROUND(BASE_A4+RATE_A4*($A199-BOTT_A4),0),IF($A199&gt;BOTT_A3,ROUND(BASE_A3+RATE_A3*($A199-BOTT_A3),0),IF($A199&gt;BOTT_A2,ROUND(BASE_A2+RATE_A2*($A199-BOTT_A2),0),ROUND(RATE_A1*$A199,0))))</f>
        <v/>
      </c>
      <c r="E199" s="556">
        <f>IF($A199&gt;BOTT_B4,ROUND(BASE_B4+RATE_B4*($A199-BOTT_B4),0),IF($A199&gt;BOTT_B3,ROUND(BASE_B3+RATE_B3*($A199-BOTT_B3),0),IF($A199&gt;BOTT_B2,ROUND(BASE_B2+RATE_B2*($A199-BOTT_B2),0),ROUND(RATE_B1*$A199,0))))</f>
        <v/>
      </c>
      <c r="F199" s="556">
        <f>IF($A199&gt;BOTT_C4,ROUND(BASE_C4+RATE_C4*($A199-BOTT_C4),0),IF($A199&gt;BOTT_C3,ROUND(BASE_C3+RATE_C3*($A199-BOTT_C3),0),IF($A199&gt;BOTT_C2,ROUND(BASE_C2+RATE_C2*($A199-BOTT_C2),0),ROUND(RATE_C1*$A199,0))))</f>
        <v/>
      </c>
      <c r="G199" s="556">
        <f>IF($A199&gt;BOTT_D4,ROUND(BASE_D4+RATE_D4*($A199-BOTT_D4),0),IF($A199&gt;BOTT_D3,ROUND(BASE_D3+RATE_D3*($A199-BOTT_D3),0),IF($A199&gt;BOTT_D2,ROUND(BASE_D2+RATE_D2*($A199-BOTT_D2),0),ROUND(RATE_D1*$A199,0))))</f>
        <v/>
      </c>
    </row>
    <row r="200" ht="15.75" customHeight="1" s="7635">
      <c r="A200" s="625">
        <f>AVERAGE(B200,C200)</f>
        <v/>
      </c>
      <c r="B200" s="555" t="n">
        <v>6800</v>
      </c>
      <c r="C200" s="555" t="n">
        <v>6850</v>
      </c>
      <c r="D200" s="556">
        <f>IF($A200&gt;BOTT_A4,ROUND(BASE_A4+RATE_A4*($A200-BOTT_A4),0),IF($A200&gt;BOTT_A3,ROUND(BASE_A3+RATE_A3*($A200-BOTT_A3),0),IF($A200&gt;BOTT_A2,ROUND(BASE_A2+RATE_A2*($A200-BOTT_A2),0),ROUND(RATE_A1*$A200,0))))</f>
        <v/>
      </c>
      <c r="E200" s="556">
        <f>IF($A200&gt;BOTT_B4,ROUND(BASE_B4+RATE_B4*($A200-BOTT_B4),0),IF($A200&gt;BOTT_B3,ROUND(BASE_B3+RATE_B3*($A200-BOTT_B3),0),IF($A200&gt;BOTT_B2,ROUND(BASE_B2+RATE_B2*($A200-BOTT_B2),0),ROUND(RATE_B1*$A200,0))))</f>
        <v/>
      </c>
      <c r="F200" s="556">
        <f>IF($A200&gt;BOTT_C4,ROUND(BASE_C4+RATE_C4*($A200-BOTT_C4),0),IF($A200&gt;BOTT_C3,ROUND(BASE_C3+RATE_C3*($A200-BOTT_C3),0),IF($A200&gt;BOTT_C2,ROUND(BASE_C2+RATE_C2*($A200-BOTT_C2),0),ROUND(RATE_C1*$A200,0))))</f>
        <v/>
      </c>
      <c r="G200" s="556">
        <f>IF($A200&gt;BOTT_D4,ROUND(BASE_D4+RATE_D4*($A200-BOTT_D4),0),IF($A200&gt;BOTT_D3,ROUND(BASE_D3+RATE_D3*($A200-BOTT_D3),0),IF($A200&gt;BOTT_D2,ROUND(BASE_D2+RATE_D2*($A200-BOTT_D2),0),ROUND(RATE_D1*$A200,0))))</f>
        <v/>
      </c>
    </row>
    <row r="201" ht="15.75" customHeight="1" s="7635">
      <c r="A201" s="625">
        <f>AVERAGE(B201,C201)</f>
        <v/>
      </c>
      <c r="B201" s="555" t="n">
        <v>6850</v>
      </c>
      <c r="C201" s="555" t="n">
        <v>6900</v>
      </c>
      <c r="D201" s="556">
        <f>IF($A201&gt;BOTT_A4,ROUND(BASE_A4+RATE_A4*($A201-BOTT_A4),0),IF($A201&gt;BOTT_A3,ROUND(BASE_A3+RATE_A3*($A201-BOTT_A3),0),IF($A201&gt;BOTT_A2,ROUND(BASE_A2+RATE_A2*($A201-BOTT_A2),0),ROUND(RATE_A1*$A201,0))))</f>
        <v/>
      </c>
      <c r="E201" s="556">
        <f>IF($A201&gt;BOTT_B4,ROUND(BASE_B4+RATE_B4*($A201-BOTT_B4),0),IF($A201&gt;BOTT_B3,ROUND(BASE_B3+RATE_B3*($A201-BOTT_B3),0),IF($A201&gt;BOTT_B2,ROUND(BASE_B2+RATE_B2*($A201-BOTT_B2),0),ROUND(RATE_B1*$A201,0))))</f>
        <v/>
      </c>
      <c r="F201" s="556">
        <f>IF($A201&gt;BOTT_C4,ROUND(BASE_C4+RATE_C4*($A201-BOTT_C4),0),IF($A201&gt;BOTT_C3,ROUND(BASE_C3+RATE_C3*($A201-BOTT_C3),0),IF($A201&gt;BOTT_C2,ROUND(BASE_C2+RATE_C2*($A201-BOTT_C2),0),ROUND(RATE_C1*$A201,0))))</f>
        <v/>
      </c>
      <c r="G201" s="556">
        <f>IF($A201&gt;BOTT_D4,ROUND(BASE_D4+RATE_D4*($A201-BOTT_D4),0),IF($A201&gt;BOTT_D3,ROUND(BASE_D3+RATE_D3*($A201-BOTT_D3),0),IF($A201&gt;BOTT_D2,ROUND(BASE_D2+RATE_D2*($A201-BOTT_D2),0),ROUND(RATE_D1*$A201,0))))</f>
        <v/>
      </c>
    </row>
    <row r="202" ht="15.75" customHeight="1" s="7635">
      <c r="A202" s="625">
        <f>AVERAGE(B202,C202)</f>
        <v/>
      </c>
      <c r="B202" s="555" t="n">
        <v>6900</v>
      </c>
      <c r="C202" s="555" t="n">
        <v>6950</v>
      </c>
      <c r="D202" s="556">
        <f>IF($A202&gt;BOTT_A4,ROUND(BASE_A4+RATE_A4*($A202-BOTT_A4),0),IF($A202&gt;BOTT_A3,ROUND(BASE_A3+RATE_A3*($A202-BOTT_A3),0),IF($A202&gt;BOTT_A2,ROUND(BASE_A2+RATE_A2*($A202-BOTT_A2),0),ROUND(RATE_A1*$A202,0))))</f>
        <v/>
      </c>
      <c r="E202" s="556">
        <f>IF($A202&gt;BOTT_B4,ROUND(BASE_B4+RATE_B4*($A202-BOTT_B4),0),IF($A202&gt;BOTT_B3,ROUND(BASE_B3+RATE_B3*($A202-BOTT_B3),0),IF($A202&gt;BOTT_B2,ROUND(BASE_B2+RATE_B2*($A202-BOTT_B2),0),ROUND(RATE_B1*$A202,0))))</f>
        <v/>
      </c>
      <c r="F202" s="556">
        <f>IF($A202&gt;BOTT_C4,ROUND(BASE_C4+RATE_C4*($A202-BOTT_C4),0),IF($A202&gt;BOTT_C3,ROUND(BASE_C3+RATE_C3*($A202-BOTT_C3),0),IF($A202&gt;BOTT_C2,ROUND(BASE_C2+RATE_C2*($A202-BOTT_C2),0),ROUND(RATE_C1*$A202,0))))</f>
        <v/>
      </c>
      <c r="G202" s="556">
        <f>IF($A202&gt;BOTT_D4,ROUND(BASE_D4+RATE_D4*($A202-BOTT_D4),0),IF($A202&gt;BOTT_D3,ROUND(BASE_D3+RATE_D3*($A202-BOTT_D3),0),IF($A202&gt;BOTT_D2,ROUND(BASE_D2+RATE_D2*($A202-BOTT_D2),0),ROUND(RATE_D1*$A202,0))))</f>
        <v/>
      </c>
    </row>
    <row r="203" ht="15.75" customHeight="1" s="7635">
      <c r="A203" s="625">
        <f>AVERAGE(B203,C203)</f>
        <v/>
      </c>
      <c r="B203" s="555" t="n">
        <v>6950</v>
      </c>
      <c r="C203" s="555" t="n">
        <v>7000</v>
      </c>
      <c r="D203" s="556">
        <f>IF($A203&gt;BOTT_A4,ROUND(BASE_A4+RATE_A4*($A203-BOTT_A4),0),IF($A203&gt;BOTT_A3,ROUND(BASE_A3+RATE_A3*($A203-BOTT_A3),0),IF($A203&gt;BOTT_A2,ROUND(BASE_A2+RATE_A2*($A203-BOTT_A2),0),ROUND(RATE_A1*$A203,0))))</f>
        <v/>
      </c>
      <c r="E203" s="556">
        <f>IF($A203&gt;BOTT_B4,ROUND(BASE_B4+RATE_B4*($A203-BOTT_B4),0),IF($A203&gt;BOTT_B3,ROUND(BASE_B3+RATE_B3*($A203-BOTT_B3),0),IF($A203&gt;BOTT_B2,ROUND(BASE_B2+RATE_B2*($A203-BOTT_B2),0),ROUND(RATE_B1*$A203,0))))</f>
        <v/>
      </c>
      <c r="F203" s="556">
        <f>IF($A203&gt;BOTT_C4,ROUND(BASE_C4+RATE_C4*($A203-BOTT_C4),0),IF($A203&gt;BOTT_C3,ROUND(BASE_C3+RATE_C3*($A203-BOTT_C3),0),IF($A203&gt;BOTT_C2,ROUND(BASE_C2+RATE_C2*($A203-BOTT_C2),0),ROUND(RATE_C1*$A203,0))))</f>
        <v/>
      </c>
      <c r="G203" s="556">
        <f>IF($A203&gt;BOTT_D4,ROUND(BASE_D4+RATE_D4*($A203-BOTT_D4),0),IF($A203&gt;BOTT_D3,ROUND(BASE_D3+RATE_D3*($A203-BOTT_D3),0),IF($A203&gt;BOTT_D2,ROUND(BASE_D2+RATE_D2*($A203-BOTT_D2),0),ROUND(RATE_D1*$A203,0))))</f>
        <v/>
      </c>
    </row>
    <row r="204" ht="15.75" customHeight="1" s="7635">
      <c r="A204" s="625">
        <f>AVERAGE(B204,C204)</f>
        <v/>
      </c>
      <c r="B204" s="555" t="n">
        <v>7000</v>
      </c>
      <c r="C204" s="555" t="n">
        <v>7050</v>
      </c>
      <c r="D204" s="556">
        <f>IF($A204&gt;BOTT_A4,ROUND(BASE_A4+RATE_A4*($A204-BOTT_A4),0),IF($A204&gt;BOTT_A3,ROUND(BASE_A3+RATE_A3*($A204-BOTT_A3),0),IF($A204&gt;BOTT_A2,ROUND(BASE_A2+RATE_A2*($A204-BOTT_A2),0),ROUND(RATE_A1*$A204,0))))</f>
        <v/>
      </c>
      <c r="E204" s="556">
        <f>IF($A204&gt;BOTT_B4,ROUND(BASE_B4+RATE_B4*($A204-BOTT_B4),0),IF($A204&gt;BOTT_B3,ROUND(BASE_B3+RATE_B3*($A204-BOTT_B3),0),IF($A204&gt;BOTT_B2,ROUND(BASE_B2+RATE_B2*($A204-BOTT_B2),0),ROUND(RATE_B1*$A204,0))))</f>
        <v/>
      </c>
      <c r="F204" s="556">
        <f>IF($A204&gt;BOTT_C4,ROUND(BASE_C4+RATE_C4*($A204-BOTT_C4),0),IF($A204&gt;BOTT_C3,ROUND(BASE_C3+RATE_C3*($A204-BOTT_C3),0),IF($A204&gt;BOTT_C2,ROUND(BASE_C2+RATE_C2*($A204-BOTT_C2),0),ROUND(RATE_C1*$A204,0))))</f>
        <v/>
      </c>
      <c r="G204" s="556">
        <f>IF($A204&gt;BOTT_D4,ROUND(BASE_D4+RATE_D4*($A204-BOTT_D4),0),IF($A204&gt;BOTT_D3,ROUND(BASE_D3+RATE_D3*($A204-BOTT_D3),0),IF($A204&gt;BOTT_D2,ROUND(BASE_D2+RATE_D2*($A204-BOTT_D2),0),ROUND(RATE_D1*$A204,0))))</f>
        <v/>
      </c>
    </row>
    <row r="205" ht="15.75" customHeight="1" s="7635">
      <c r="A205" s="625">
        <f>AVERAGE(B205,C205)</f>
        <v/>
      </c>
      <c r="B205" s="555" t="n">
        <v>7050</v>
      </c>
      <c r="C205" s="555" t="n">
        <v>7100</v>
      </c>
      <c r="D205" s="556">
        <f>IF($A205&gt;BOTT_A4,ROUND(BASE_A4+RATE_A4*($A205-BOTT_A4),0),IF($A205&gt;BOTT_A3,ROUND(BASE_A3+RATE_A3*($A205-BOTT_A3),0),IF($A205&gt;BOTT_A2,ROUND(BASE_A2+RATE_A2*($A205-BOTT_A2),0),ROUND(RATE_A1*$A205,0))))</f>
        <v/>
      </c>
      <c r="E205" s="556">
        <f>IF($A205&gt;BOTT_B4,ROUND(BASE_B4+RATE_B4*($A205-BOTT_B4),0),IF($A205&gt;BOTT_B3,ROUND(BASE_B3+RATE_B3*($A205-BOTT_B3),0),IF($A205&gt;BOTT_B2,ROUND(BASE_B2+RATE_B2*($A205-BOTT_B2),0),ROUND(RATE_B1*$A205,0))))</f>
        <v/>
      </c>
      <c r="F205" s="556">
        <f>IF($A205&gt;BOTT_C4,ROUND(BASE_C4+RATE_C4*($A205-BOTT_C4),0),IF($A205&gt;BOTT_C3,ROUND(BASE_C3+RATE_C3*($A205-BOTT_C3),0),IF($A205&gt;BOTT_C2,ROUND(BASE_C2+RATE_C2*($A205-BOTT_C2),0),ROUND(RATE_C1*$A205,0))))</f>
        <v/>
      </c>
      <c r="G205" s="556">
        <f>IF($A205&gt;BOTT_D4,ROUND(BASE_D4+RATE_D4*($A205-BOTT_D4),0),IF($A205&gt;BOTT_D3,ROUND(BASE_D3+RATE_D3*($A205-BOTT_D3),0),IF($A205&gt;BOTT_D2,ROUND(BASE_D2+RATE_D2*($A205-BOTT_D2),0),ROUND(RATE_D1*$A205,0))))</f>
        <v/>
      </c>
    </row>
    <row r="206" ht="15.75" customHeight="1" s="7635">
      <c r="A206" s="625">
        <f>AVERAGE(B206,C206)</f>
        <v/>
      </c>
      <c r="B206" s="555" t="n">
        <v>7100</v>
      </c>
      <c r="C206" s="555" t="n">
        <v>7150</v>
      </c>
      <c r="D206" s="556">
        <f>IF($A206&gt;BOTT_A4,ROUND(BASE_A4+RATE_A4*($A206-BOTT_A4),0),IF($A206&gt;BOTT_A3,ROUND(BASE_A3+RATE_A3*($A206-BOTT_A3),0),IF($A206&gt;BOTT_A2,ROUND(BASE_A2+RATE_A2*($A206-BOTT_A2),0),ROUND(RATE_A1*$A206,0))))</f>
        <v/>
      </c>
      <c r="E206" s="556">
        <f>IF($A206&gt;BOTT_B4,ROUND(BASE_B4+RATE_B4*($A206-BOTT_B4),0),IF($A206&gt;BOTT_B3,ROUND(BASE_B3+RATE_B3*($A206-BOTT_B3),0),IF($A206&gt;BOTT_B2,ROUND(BASE_B2+RATE_B2*($A206-BOTT_B2),0),ROUND(RATE_B1*$A206,0))))</f>
        <v/>
      </c>
      <c r="F206" s="556">
        <f>IF($A206&gt;BOTT_C4,ROUND(BASE_C4+RATE_C4*($A206-BOTT_C4),0),IF($A206&gt;BOTT_C3,ROUND(BASE_C3+RATE_C3*($A206-BOTT_C3),0),IF($A206&gt;BOTT_C2,ROUND(BASE_C2+RATE_C2*($A206-BOTT_C2),0),ROUND(RATE_C1*$A206,0))))</f>
        <v/>
      </c>
      <c r="G206" s="556">
        <f>IF($A206&gt;BOTT_D4,ROUND(BASE_D4+RATE_D4*($A206-BOTT_D4),0),IF($A206&gt;BOTT_D3,ROUND(BASE_D3+RATE_D3*($A206-BOTT_D3),0),IF($A206&gt;BOTT_D2,ROUND(BASE_D2+RATE_D2*($A206-BOTT_D2),0),ROUND(RATE_D1*$A206,0))))</f>
        <v/>
      </c>
    </row>
    <row r="207" ht="15.75" customHeight="1" s="7635">
      <c r="A207" s="625">
        <f>AVERAGE(B207,C207)</f>
        <v/>
      </c>
      <c r="B207" s="555" t="n">
        <v>7150</v>
      </c>
      <c r="C207" s="555" t="n">
        <v>7200</v>
      </c>
      <c r="D207" s="556">
        <f>IF($A207&gt;BOTT_A4,ROUND(BASE_A4+RATE_A4*($A207-BOTT_A4),0),IF($A207&gt;BOTT_A3,ROUND(BASE_A3+RATE_A3*($A207-BOTT_A3),0),IF($A207&gt;BOTT_A2,ROUND(BASE_A2+RATE_A2*($A207-BOTT_A2),0),ROUND(RATE_A1*$A207,0))))</f>
        <v/>
      </c>
      <c r="E207" s="556">
        <f>IF($A207&gt;BOTT_B4,ROUND(BASE_B4+RATE_B4*($A207-BOTT_B4),0),IF($A207&gt;BOTT_B3,ROUND(BASE_B3+RATE_B3*($A207-BOTT_B3),0),IF($A207&gt;BOTT_B2,ROUND(BASE_B2+RATE_B2*($A207-BOTT_B2),0),ROUND(RATE_B1*$A207,0))))</f>
        <v/>
      </c>
      <c r="F207" s="556">
        <f>IF($A207&gt;BOTT_C4,ROUND(BASE_C4+RATE_C4*($A207-BOTT_C4),0),IF($A207&gt;BOTT_C3,ROUND(BASE_C3+RATE_C3*($A207-BOTT_C3),0),IF($A207&gt;BOTT_C2,ROUND(BASE_C2+RATE_C2*($A207-BOTT_C2),0),ROUND(RATE_C1*$A207,0))))</f>
        <v/>
      </c>
      <c r="G207" s="556">
        <f>IF($A207&gt;BOTT_D4,ROUND(BASE_D4+RATE_D4*($A207-BOTT_D4),0),IF($A207&gt;BOTT_D3,ROUND(BASE_D3+RATE_D3*($A207-BOTT_D3),0),IF($A207&gt;BOTT_D2,ROUND(BASE_D2+RATE_D2*($A207-BOTT_D2),0),ROUND(RATE_D1*$A207,0))))</f>
        <v/>
      </c>
    </row>
    <row r="208" ht="15.75" customHeight="1" s="7635">
      <c r="A208" s="625">
        <f>AVERAGE(B208,C208)</f>
        <v/>
      </c>
      <c r="B208" s="555" t="n">
        <v>7200</v>
      </c>
      <c r="C208" s="555" t="n">
        <v>7250</v>
      </c>
      <c r="D208" s="556">
        <f>IF($A208&gt;BOTT_A4,ROUND(BASE_A4+RATE_A4*($A208-BOTT_A4),0),IF($A208&gt;BOTT_A3,ROUND(BASE_A3+RATE_A3*($A208-BOTT_A3),0),IF($A208&gt;BOTT_A2,ROUND(BASE_A2+RATE_A2*($A208-BOTT_A2),0),ROUND(RATE_A1*$A208,0))))</f>
        <v/>
      </c>
      <c r="E208" s="556">
        <f>IF($A208&gt;BOTT_B4,ROUND(BASE_B4+RATE_B4*($A208-BOTT_B4),0),IF($A208&gt;BOTT_B3,ROUND(BASE_B3+RATE_B3*($A208-BOTT_B3),0),IF($A208&gt;BOTT_B2,ROUND(BASE_B2+RATE_B2*($A208-BOTT_B2),0),ROUND(RATE_B1*$A208,0))))</f>
        <v/>
      </c>
      <c r="F208" s="556">
        <f>IF($A208&gt;BOTT_C4,ROUND(BASE_C4+RATE_C4*($A208-BOTT_C4),0),IF($A208&gt;BOTT_C3,ROUND(BASE_C3+RATE_C3*($A208-BOTT_C3),0),IF($A208&gt;BOTT_C2,ROUND(BASE_C2+RATE_C2*($A208-BOTT_C2),0),ROUND(RATE_C1*$A208,0))))</f>
        <v/>
      </c>
      <c r="G208" s="556">
        <f>IF($A208&gt;BOTT_D4,ROUND(BASE_D4+RATE_D4*($A208-BOTT_D4),0),IF($A208&gt;BOTT_D3,ROUND(BASE_D3+RATE_D3*($A208-BOTT_D3),0),IF($A208&gt;BOTT_D2,ROUND(BASE_D2+RATE_D2*($A208-BOTT_D2),0),ROUND(RATE_D1*$A208,0))))</f>
        <v/>
      </c>
    </row>
    <row r="209" ht="15.75" customHeight="1" s="7635">
      <c r="A209" s="625">
        <f>AVERAGE(B209,C209)</f>
        <v/>
      </c>
      <c r="B209" s="555" t="n">
        <v>7250</v>
      </c>
      <c r="C209" s="555" t="n">
        <v>7300</v>
      </c>
      <c r="D209" s="556">
        <f>IF($A209&gt;BOTT_A4,ROUND(BASE_A4+RATE_A4*($A209-BOTT_A4),0),IF($A209&gt;BOTT_A3,ROUND(BASE_A3+RATE_A3*($A209-BOTT_A3),0),IF($A209&gt;BOTT_A2,ROUND(BASE_A2+RATE_A2*($A209-BOTT_A2),0),ROUND(RATE_A1*$A209,0))))</f>
        <v/>
      </c>
      <c r="E209" s="556">
        <f>IF($A209&gt;BOTT_B4,ROUND(BASE_B4+RATE_B4*($A209-BOTT_B4),0),IF($A209&gt;BOTT_B3,ROUND(BASE_B3+RATE_B3*($A209-BOTT_B3),0),IF($A209&gt;BOTT_B2,ROUND(BASE_B2+RATE_B2*($A209-BOTT_B2),0),ROUND(RATE_B1*$A209,0))))</f>
        <v/>
      </c>
      <c r="F209" s="556">
        <f>IF($A209&gt;BOTT_C4,ROUND(BASE_C4+RATE_C4*($A209-BOTT_C4),0),IF($A209&gt;BOTT_C3,ROUND(BASE_C3+RATE_C3*($A209-BOTT_C3),0),IF($A209&gt;BOTT_C2,ROUND(BASE_C2+RATE_C2*($A209-BOTT_C2),0),ROUND(RATE_C1*$A209,0))))</f>
        <v/>
      </c>
      <c r="G209" s="556">
        <f>IF($A209&gt;BOTT_D4,ROUND(BASE_D4+RATE_D4*($A209-BOTT_D4),0),IF($A209&gt;BOTT_D3,ROUND(BASE_D3+RATE_D3*($A209-BOTT_D3),0),IF($A209&gt;BOTT_D2,ROUND(BASE_D2+RATE_D2*($A209-BOTT_D2),0),ROUND(RATE_D1*$A209,0))))</f>
        <v/>
      </c>
    </row>
    <row r="210" ht="15.75" customHeight="1" s="7635">
      <c r="A210" s="625">
        <f>AVERAGE(B210,C210)</f>
        <v/>
      </c>
      <c r="B210" s="555" t="n">
        <v>7300</v>
      </c>
      <c r="C210" s="555" t="n">
        <v>7350</v>
      </c>
      <c r="D210" s="556">
        <f>IF($A210&gt;BOTT_A4,ROUND(BASE_A4+RATE_A4*($A210-BOTT_A4),0),IF($A210&gt;BOTT_A3,ROUND(BASE_A3+RATE_A3*($A210-BOTT_A3),0),IF($A210&gt;BOTT_A2,ROUND(BASE_A2+RATE_A2*($A210-BOTT_A2),0),ROUND(RATE_A1*$A210,0))))</f>
        <v/>
      </c>
      <c r="E210" s="556">
        <f>IF($A210&gt;BOTT_B4,ROUND(BASE_B4+RATE_B4*($A210-BOTT_B4),0),IF($A210&gt;BOTT_B3,ROUND(BASE_B3+RATE_B3*($A210-BOTT_B3),0),IF($A210&gt;BOTT_B2,ROUND(BASE_B2+RATE_B2*($A210-BOTT_B2),0),ROUND(RATE_B1*$A210,0))))</f>
        <v/>
      </c>
      <c r="F210" s="556">
        <f>IF($A210&gt;BOTT_C4,ROUND(BASE_C4+RATE_C4*($A210-BOTT_C4),0),IF($A210&gt;BOTT_C3,ROUND(BASE_C3+RATE_C3*($A210-BOTT_C3),0),IF($A210&gt;BOTT_C2,ROUND(BASE_C2+RATE_C2*($A210-BOTT_C2),0),ROUND(RATE_C1*$A210,0))))</f>
        <v/>
      </c>
      <c r="G210" s="556">
        <f>IF($A210&gt;BOTT_D4,ROUND(BASE_D4+RATE_D4*($A210-BOTT_D4),0),IF($A210&gt;BOTT_D3,ROUND(BASE_D3+RATE_D3*($A210-BOTT_D3),0),IF($A210&gt;BOTT_D2,ROUND(BASE_D2+RATE_D2*($A210-BOTT_D2),0),ROUND(RATE_D1*$A210,0))))</f>
        <v/>
      </c>
    </row>
    <row r="211" ht="15.75" customHeight="1" s="7635">
      <c r="A211" s="625">
        <f>AVERAGE(B211,C211)</f>
        <v/>
      </c>
      <c r="B211" s="555" t="n">
        <v>7350</v>
      </c>
      <c r="C211" s="555" t="n">
        <v>7400</v>
      </c>
      <c r="D211" s="556">
        <f>IF($A211&gt;BOTT_A4,ROUND(BASE_A4+RATE_A4*($A211-BOTT_A4),0),IF($A211&gt;BOTT_A3,ROUND(BASE_A3+RATE_A3*($A211-BOTT_A3),0),IF($A211&gt;BOTT_A2,ROUND(BASE_A2+RATE_A2*($A211-BOTT_A2),0),ROUND(RATE_A1*$A211,0))))</f>
        <v/>
      </c>
      <c r="E211" s="556">
        <f>IF($A211&gt;BOTT_B4,ROUND(BASE_B4+RATE_B4*($A211-BOTT_B4),0),IF($A211&gt;BOTT_B3,ROUND(BASE_B3+RATE_B3*($A211-BOTT_B3),0),IF($A211&gt;BOTT_B2,ROUND(BASE_B2+RATE_B2*($A211-BOTT_B2),0),ROUND(RATE_B1*$A211,0))))</f>
        <v/>
      </c>
      <c r="F211" s="556">
        <f>IF($A211&gt;BOTT_C4,ROUND(BASE_C4+RATE_C4*($A211-BOTT_C4),0),IF($A211&gt;BOTT_C3,ROUND(BASE_C3+RATE_C3*($A211-BOTT_C3),0),IF($A211&gt;BOTT_C2,ROUND(BASE_C2+RATE_C2*($A211-BOTT_C2),0),ROUND(RATE_C1*$A211,0))))</f>
        <v/>
      </c>
      <c r="G211" s="556">
        <f>IF($A211&gt;BOTT_D4,ROUND(BASE_D4+RATE_D4*($A211-BOTT_D4),0),IF($A211&gt;BOTT_D3,ROUND(BASE_D3+RATE_D3*($A211-BOTT_D3),0),IF($A211&gt;BOTT_D2,ROUND(BASE_D2+RATE_D2*($A211-BOTT_D2),0),ROUND(RATE_D1*$A211,0))))</f>
        <v/>
      </c>
    </row>
    <row r="212" ht="15.75" customHeight="1" s="7635">
      <c r="A212" s="625">
        <f>AVERAGE(B212,C212)</f>
        <v/>
      </c>
      <c r="B212" s="555" t="n">
        <v>7400</v>
      </c>
      <c r="C212" s="555" t="n">
        <v>7450</v>
      </c>
      <c r="D212" s="556">
        <f>IF($A212&gt;BOTT_A4,ROUND(BASE_A4+RATE_A4*($A212-BOTT_A4),0),IF($A212&gt;BOTT_A3,ROUND(BASE_A3+RATE_A3*($A212-BOTT_A3),0),IF($A212&gt;BOTT_A2,ROUND(BASE_A2+RATE_A2*($A212-BOTT_A2),0),ROUND(RATE_A1*$A212,0))))</f>
        <v/>
      </c>
      <c r="E212" s="556">
        <f>IF($A212&gt;BOTT_B4,ROUND(BASE_B4+RATE_B4*($A212-BOTT_B4),0),IF($A212&gt;BOTT_B3,ROUND(BASE_B3+RATE_B3*($A212-BOTT_B3),0),IF($A212&gt;BOTT_B2,ROUND(BASE_B2+RATE_B2*($A212-BOTT_B2),0),ROUND(RATE_B1*$A212,0))))</f>
        <v/>
      </c>
      <c r="F212" s="556">
        <f>IF($A212&gt;BOTT_C4,ROUND(BASE_C4+RATE_C4*($A212-BOTT_C4),0),IF($A212&gt;BOTT_C3,ROUND(BASE_C3+RATE_C3*($A212-BOTT_C3),0),IF($A212&gt;BOTT_C2,ROUND(BASE_C2+RATE_C2*($A212-BOTT_C2),0),ROUND(RATE_C1*$A212,0))))</f>
        <v/>
      </c>
      <c r="G212" s="556">
        <f>IF($A212&gt;BOTT_D4,ROUND(BASE_D4+RATE_D4*($A212-BOTT_D4),0),IF($A212&gt;BOTT_D3,ROUND(BASE_D3+RATE_D3*($A212-BOTT_D3),0),IF($A212&gt;BOTT_D2,ROUND(BASE_D2+RATE_D2*($A212-BOTT_D2),0),ROUND(RATE_D1*$A212,0))))</f>
        <v/>
      </c>
    </row>
    <row r="213" ht="15.75" customHeight="1" s="7635">
      <c r="A213" s="625">
        <f>AVERAGE(B213,C213)</f>
        <v/>
      </c>
      <c r="B213" s="555" t="n">
        <v>7450</v>
      </c>
      <c r="C213" s="555" t="n">
        <v>7500</v>
      </c>
      <c r="D213" s="556">
        <f>IF($A213&gt;BOTT_A4,ROUND(BASE_A4+RATE_A4*($A213-BOTT_A4),0),IF($A213&gt;BOTT_A3,ROUND(BASE_A3+RATE_A3*($A213-BOTT_A3),0),IF($A213&gt;BOTT_A2,ROUND(BASE_A2+RATE_A2*($A213-BOTT_A2),0),ROUND(RATE_A1*$A213,0))))</f>
        <v/>
      </c>
      <c r="E213" s="556">
        <f>IF($A213&gt;BOTT_B4,ROUND(BASE_B4+RATE_B4*($A213-BOTT_B4),0),IF($A213&gt;BOTT_B3,ROUND(BASE_B3+RATE_B3*($A213-BOTT_B3),0),IF($A213&gt;BOTT_B2,ROUND(BASE_B2+RATE_B2*($A213-BOTT_B2),0),ROUND(RATE_B1*$A213,0))))</f>
        <v/>
      </c>
      <c r="F213" s="556">
        <f>IF($A213&gt;BOTT_C4,ROUND(BASE_C4+RATE_C4*($A213-BOTT_C4),0),IF($A213&gt;BOTT_C3,ROUND(BASE_C3+RATE_C3*($A213-BOTT_C3),0),IF($A213&gt;BOTT_C2,ROUND(BASE_C2+RATE_C2*($A213-BOTT_C2),0),ROUND(RATE_C1*$A213,0))))</f>
        <v/>
      </c>
      <c r="G213" s="556">
        <f>IF($A213&gt;BOTT_D4,ROUND(BASE_D4+RATE_D4*($A213-BOTT_D4),0),IF($A213&gt;BOTT_D3,ROUND(BASE_D3+RATE_D3*($A213-BOTT_D3),0),IF($A213&gt;BOTT_D2,ROUND(BASE_D2+RATE_D2*($A213-BOTT_D2),0),ROUND(RATE_D1*$A213,0))))</f>
        <v/>
      </c>
    </row>
    <row r="214" ht="15.75" customHeight="1" s="7635">
      <c r="A214" s="625">
        <f>AVERAGE(B214,C214)</f>
        <v/>
      </c>
      <c r="B214" s="555" t="n">
        <v>7500</v>
      </c>
      <c r="C214" s="555" t="n">
        <v>7550</v>
      </c>
      <c r="D214" s="556">
        <f>IF($A214&gt;BOTT_A4,ROUND(BASE_A4+RATE_A4*($A214-BOTT_A4),0),IF($A214&gt;BOTT_A3,ROUND(BASE_A3+RATE_A3*($A214-BOTT_A3),0),IF($A214&gt;BOTT_A2,ROUND(BASE_A2+RATE_A2*($A214-BOTT_A2),0),ROUND(RATE_A1*$A214,0))))</f>
        <v/>
      </c>
      <c r="E214" s="556">
        <f>IF($A214&gt;BOTT_B4,ROUND(BASE_B4+RATE_B4*($A214-BOTT_B4),0),IF($A214&gt;BOTT_B3,ROUND(BASE_B3+RATE_B3*($A214-BOTT_B3),0),IF($A214&gt;BOTT_B2,ROUND(BASE_B2+RATE_B2*($A214-BOTT_B2),0),ROUND(RATE_B1*$A214,0))))</f>
        <v/>
      </c>
      <c r="F214" s="556">
        <f>IF($A214&gt;BOTT_C4,ROUND(BASE_C4+RATE_C4*($A214-BOTT_C4),0),IF($A214&gt;BOTT_C3,ROUND(BASE_C3+RATE_C3*($A214-BOTT_C3),0),IF($A214&gt;BOTT_C2,ROUND(BASE_C2+RATE_C2*($A214-BOTT_C2),0),ROUND(RATE_C1*$A214,0))))</f>
        <v/>
      </c>
      <c r="G214" s="556">
        <f>IF($A214&gt;BOTT_D4,ROUND(BASE_D4+RATE_D4*($A214-BOTT_D4),0),IF($A214&gt;BOTT_D3,ROUND(BASE_D3+RATE_D3*($A214-BOTT_D3),0),IF($A214&gt;BOTT_D2,ROUND(BASE_D2+RATE_D2*($A214-BOTT_D2),0),ROUND(RATE_D1*$A214,0))))</f>
        <v/>
      </c>
    </row>
    <row r="215" ht="15.75" customHeight="1" s="7635">
      <c r="A215" s="625">
        <f>AVERAGE(B215,C215)</f>
        <v/>
      </c>
      <c r="B215" s="555" t="n">
        <v>7550</v>
      </c>
      <c r="C215" s="555" t="n">
        <v>7600</v>
      </c>
      <c r="D215" s="556">
        <f>IF($A215&gt;BOTT_A4,ROUND(BASE_A4+RATE_A4*($A215-BOTT_A4),0),IF($A215&gt;BOTT_A3,ROUND(BASE_A3+RATE_A3*($A215-BOTT_A3),0),IF($A215&gt;BOTT_A2,ROUND(BASE_A2+RATE_A2*($A215-BOTT_A2),0),ROUND(RATE_A1*$A215,0))))</f>
        <v/>
      </c>
      <c r="E215" s="556">
        <f>IF($A215&gt;BOTT_B4,ROUND(BASE_B4+RATE_B4*($A215-BOTT_B4),0),IF($A215&gt;BOTT_B3,ROUND(BASE_B3+RATE_B3*($A215-BOTT_B3),0),IF($A215&gt;BOTT_B2,ROUND(BASE_B2+RATE_B2*($A215-BOTT_B2),0),ROUND(RATE_B1*$A215,0))))</f>
        <v/>
      </c>
      <c r="F215" s="556">
        <f>IF($A215&gt;BOTT_C4,ROUND(BASE_C4+RATE_C4*($A215-BOTT_C4),0),IF($A215&gt;BOTT_C3,ROUND(BASE_C3+RATE_C3*($A215-BOTT_C3),0),IF($A215&gt;BOTT_C2,ROUND(BASE_C2+RATE_C2*($A215-BOTT_C2),0),ROUND(RATE_C1*$A215,0))))</f>
        <v/>
      </c>
      <c r="G215" s="556">
        <f>IF($A215&gt;BOTT_D4,ROUND(BASE_D4+RATE_D4*($A215-BOTT_D4),0),IF($A215&gt;BOTT_D3,ROUND(BASE_D3+RATE_D3*($A215-BOTT_D3),0),IF($A215&gt;BOTT_D2,ROUND(BASE_D2+RATE_D2*($A215-BOTT_D2),0),ROUND(RATE_D1*$A215,0))))</f>
        <v/>
      </c>
    </row>
    <row r="216" ht="15.75" customHeight="1" s="7635">
      <c r="A216" s="625">
        <f>AVERAGE(B216,C216)</f>
        <v/>
      </c>
      <c r="B216" s="555" t="n">
        <v>7600</v>
      </c>
      <c r="C216" s="555" t="n">
        <v>7650</v>
      </c>
      <c r="D216" s="556">
        <f>IF($A216&gt;BOTT_A4,ROUND(BASE_A4+RATE_A4*($A216-BOTT_A4),0),IF($A216&gt;BOTT_A3,ROUND(BASE_A3+RATE_A3*($A216-BOTT_A3),0),IF($A216&gt;BOTT_A2,ROUND(BASE_A2+RATE_A2*($A216-BOTT_A2),0),ROUND(RATE_A1*$A216,0))))</f>
        <v/>
      </c>
      <c r="E216" s="556">
        <f>IF($A216&gt;BOTT_B4,ROUND(BASE_B4+RATE_B4*($A216-BOTT_B4),0),IF($A216&gt;BOTT_B3,ROUND(BASE_B3+RATE_B3*($A216-BOTT_B3),0),IF($A216&gt;BOTT_B2,ROUND(BASE_B2+RATE_B2*($A216-BOTT_B2),0),ROUND(RATE_B1*$A216,0))))</f>
        <v/>
      </c>
      <c r="F216" s="556">
        <f>IF($A216&gt;BOTT_C4,ROUND(BASE_C4+RATE_C4*($A216-BOTT_C4),0),IF($A216&gt;BOTT_C3,ROUND(BASE_C3+RATE_C3*($A216-BOTT_C3),0),IF($A216&gt;BOTT_C2,ROUND(BASE_C2+RATE_C2*($A216-BOTT_C2),0),ROUND(RATE_C1*$A216,0))))</f>
        <v/>
      </c>
      <c r="G216" s="556">
        <f>IF($A216&gt;BOTT_D4,ROUND(BASE_D4+RATE_D4*($A216-BOTT_D4),0),IF($A216&gt;BOTT_D3,ROUND(BASE_D3+RATE_D3*($A216-BOTT_D3),0),IF($A216&gt;BOTT_D2,ROUND(BASE_D2+RATE_D2*($A216-BOTT_D2),0),ROUND(RATE_D1*$A216,0))))</f>
        <v/>
      </c>
    </row>
    <row r="217" ht="15.75" customHeight="1" s="7635">
      <c r="A217" s="625">
        <f>AVERAGE(B217,C217)</f>
        <v/>
      </c>
      <c r="B217" s="555" t="n">
        <v>7650</v>
      </c>
      <c r="C217" s="555" t="n">
        <v>7700</v>
      </c>
      <c r="D217" s="556">
        <f>IF($A217&gt;BOTT_A4,ROUND(BASE_A4+RATE_A4*($A217-BOTT_A4),0),IF($A217&gt;BOTT_A3,ROUND(BASE_A3+RATE_A3*($A217-BOTT_A3),0),IF($A217&gt;BOTT_A2,ROUND(BASE_A2+RATE_A2*($A217-BOTT_A2),0),ROUND(RATE_A1*$A217,0))))</f>
        <v/>
      </c>
      <c r="E217" s="556">
        <f>IF($A217&gt;BOTT_B4,ROUND(BASE_B4+RATE_B4*($A217-BOTT_B4),0),IF($A217&gt;BOTT_B3,ROUND(BASE_B3+RATE_B3*($A217-BOTT_B3),0),IF($A217&gt;BOTT_B2,ROUND(BASE_B2+RATE_B2*($A217-BOTT_B2),0),ROUND(RATE_B1*$A217,0))))</f>
        <v/>
      </c>
      <c r="F217" s="556">
        <f>IF($A217&gt;BOTT_C4,ROUND(BASE_C4+RATE_C4*($A217-BOTT_C4),0),IF($A217&gt;BOTT_C3,ROUND(BASE_C3+RATE_C3*($A217-BOTT_C3),0),IF($A217&gt;BOTT_C2,ROUND(BASE_C2+RATE_C2*($A217-BOTT_C2),0),ROUND(RATE_C1*$A217,0))))</f>
        <v/>
      </c>
      <c r="G217" s="556">
        <f>IF($A217&gt;BOTT_D4,ROUND(BASE_D4+RATE_D4*($A217-BOTT_D4),0),IF($A217&gt;BOTT_D3,ROUND(BASE_D3+RATE_D3*($A217-BOTT_D3),0),IF($A217&gt;BOTT_D2,ROUND(BASE_D2+RATE_D2*($A217-BOTT_D2),0),ROUND(RATE_D1*$A217,0))))</f>
        <v/>
      </c>
    </row>
    <row r="218" ht="15.75" customHeight="1" s="7635">
      <c r="A218" s="625">
        <f>AVERAGE(B218,C218)</f>
        <v/>
      </c>
      <c r="B218" s="555" t="n">
        <v>7700</v>
      </c>
      <c r="C218" s="555" t="n">
        <v>7750</v>
      </c>
      <c r="D218" s="556">
        <f>IF($A218&gt;BOTT_A4,ROUND(BASE_A4+RATE_A4*($A218-BOTT_A4),0),IF($A218&gt;BOTT_A3,ROUND(BASE_A3+RATE_A3*($A218-BOTT_A3),0),IF($A218&gt;BOTT_A2,ROUND(BASE_A2+RATE_A2*($A218-BOTT_A2),0),ROUND(RATE_A1*$A218,0))))</f>
        <v/>
      </c>
      <c r="E218" s="556">
        <f>IF($A218&gt;BOTT_B4,ROUND(BASE_B4+RATE_B4*($A218-BOTT_B4),0),IF($A218&gt;BOTT_B3,ROUND(BASE_B3+RATE_B3*($A218-BOTT_B3),0),IF($A218&gt;BOTT_B2,ROUND(BASE_B2+RATE_B2*($A218-BOTT_B2),0),ROUND(RATE_B1*$A218,0))))</f>
        <v/>
      </c>
      <c r="F218" s="556">
        <f>IF($A218&gt;BOTT_C4,ROUND(BASE_C4+RATE_C4*($A218-BOTT_C4),0),IF($A218&gt;BOTT_C3,ROUND(BASE_C3+RATE_C3*($A218-BOTT_C3),0),IF($A218&gt;BOTT_C2,ROUND(BASE_C2+RATE_C2*($A218-BOTT_C2),0),ROUND(RATE_C1*$A218,0))))</f>
        <v/>
      </c>
      <c r="G218" s="556">
        <f>IF($A218&gt;BOTT_D4,ROUND(BASE_D4+RATE_D4*($A218-BOTT_D4),0),IF($A218&gt;BOTT_D3,ROUND(BASE_D3+RATE_D3*($A218-BOTT_D3),0),IF($A218&gt;BOTT_D2,ROUND(BASE_D2+RATE_D2*($A218-BOTT_D2),0),ROUND(RATE_D1*$A218,0))))</f>
        <v/>
      </c>
    </row>
    <row r="219" ht="15.75" customHeight="1" s="7635">
      <c r="A219" s="625">
        <f>AVERAGE(B219,C219)</f>
        <v/>
      </c>
      <c r="B219" s="555" t="n">
        <v>7750</v>
      </c>
      <c r="C219" s="555" t="n">
        <v>7800</v>
      </c>
      <c r="D219" s="556">
        <f>IF($A219&gt;BOTT_A4,ROUND(BASE_A4+RATE_A4*($A219-BOTT_A4),0),IF($A219&gt;BOTT_A3,ROUND(BASE_A3+RATE_A3*($A219-BOTT_A3),0),IF($A219&gt;BOTT_A2,ROUND(BASE_A2+RATE_A2*($A219-BOTT_A2),0),ROUND(RATE_A1*$A219,0))))</f>
        <v/>
      </c>
      <c r="E219" s="556">
        <f>IF($A219&gt;BOTT_B4,ROUND(BASE_B4+RATE_B4*($A219-BOTT_B4),0),IF($A219&gt;BOTT_B3,ROUND(BASE_B3+RATE_B3*($A219-BOTT_B3),0),IF($A219&gt;BOTT_B2,ROUND(BASE_B2+RATE_B2*($A219-BOTT_B2),0),ROUND(RATE_B1*$A219,0))))</f>
        <v/>
      </c>
      <c r="F219" s="556">
        <f>IF($A219&gt;BOTT_C4,ROUND(BASE_C4+RATE_C4*($A219-BOTT_C4),0),IF($A219&gt;BOTT_C3,ROUND(BASE_C3+RATE_C3*($A219-BOTT_C3),0),IF($A219&gt;BOTT_C2,ROUND(BASE_C2+RATE_C2*($A219-BOTT_C2),0),ROUND(RATE_C1*$A219,0))))</f>
        <v/>
      </c>
      <c r="G219" s="556">
        <f>IF($A219&gt;BOTT_D4,ROUND(BASE_D4+RATE_D4*($A219-BOTT_D4),0),IF($A219&gt;BOTT_D3,ROUND(BASE_D3+RATE_D3*($A219-BOTT_D3),0),IF($A219&gt;BOTT_D2,ROUND(BASE_D2+RATE_D2*($A219-BOTT_D2),0),ROUND(RATE_D1*$A219,0))))</f>
        <v/>
      </c>
    </row>
    <row r="220" ht="15.75" customHeight="1" s="7635">
      <c r="A220" s="625">
        <f>AVERAGE(B220,C220)</f>
        <v/>
      </c>
      <c r="B220" s="555" t="n">
        <v>7800</v>
      </c>
      <c r="C220" s="555" t="n">
        <v>7850</v>
      </c>
      <c r="D220" s="556">
        <f>IF($A220&gt;BOTT_A4,ROUND(BASE_A4+RATE_A4*($A220-BOTT_A4),0),IF($A220&gt;BOTT_A3,ROUND(BASE_A3+RATE_A3*($A220-BOTT_A3),0),IF($A220&gt;BOTT_A2,ROUND(BASE_A2+RATE_A2*($A220-BOTT_A2),0),ROUND(RATE_A1*$A220,0))))</f>
        <v/>
      </c>
      <c r="E220" s="556">
        <f>IF($A220&gt;BOTT_B4,ROUND(BASE_B4+RATE_B4*($A220-BOTT_B4),0),IF($A220&gt;BOTT_B3,ROUND(BASE_B3+RATE_B3*($A220-BOTT_B3),0),IF($A220&gt;BOTT_B2,ROUND(BASE_B2+RATE_B2*($A220-BOTT_B2),0),ROUND(RATE_B1*$A220,0))))</f>
        <v/>
      </c>
      <c r="F220" s="556">
        <f>IF($A220&gt;BOTT_C4,ROUND(BASE_C4+RATE_C4*($A220-BOTT_C4),0),IF($A220&gt;BOTT_C3,ROUND(BASE_C3+RATE_C3*($A220-BOTT_C3),0),IF($A220&gt;BOTT_C2,ROUND(BASE_C2+RATE_C2*($A220-BOTT_C2),0),ROUND(RATE_C1*$A220,0))))</f>
        <v/>
      </c>
      <c r="G220" s="556">
        <f>IF($A220&gt;BOTT_D4,ROUND(BASE_D4+RATE_D4*($A220-BOTT_D4),0),IF($A220&gt;BOTT_D3,ROUND(BASE_D3+RATE_D3*($A220-BOTT_D3),0),IF($A220&gt;BOTT_D2,ROUND(BASE_D2+RATE_D2*($A220-BOTT_D2),0),ROUND(RATE_D1*$A220,0))))</f>
        <v/>
      </c>
    </row>
    <row r="221" ht="15.75" customHeight="1" s="7635">
      <c r="A221" s="625">
        <f>AVERAGE(B221,C221)</f>
        <v/>
      </c>
      <c r="B221" s="555" t="n">
        <v>7850</v>
      </c>
      <c r="C221" s="555" t="n">
        <v>7900</v>
      </c>
      <c r="D221" s="556">
        <f>IF($A221&gt;BOTT_A4,ROUND(BASE_A4+RATE_A4*($A221-BOTT_A4),0),IF($A221&gt;BOTT_A3,ROUND(BASE_A3+RATE_A3*($A221-BOTT_A3),0),IF($A221&gt;BOTT_A2,ROUND(BASE_A2+RATE_A2*($A221-BOTT_A2),0),ROUND(RATE_A1*$A221,0))))</f>
        <v/>
      </c>
      <c r="E221" s="556">
        <f>IF($A221&gt;BOTT_B4,ROUND(BASE_B4+RATE_B4*($A221-BOTT_B4),0),IF($A221&gt;BOTT_B3,ROUND(BASE_B3+RATE_B3*($A221-BOTT_B3),0),IF($A221&gt;BOTT_B2,ROUND(BASE_B2+RATE_B2*($A221-BOTT_B2),0),ROUND(RATE_B1*$A221,0))))</f>
        <v/>
      </c>
      <c r="F221" s="556">
        <f>IF($A221&gt;BOTT_C4,ROUND(BASE_C4+RATE_C4*($A221-BOTT_C4),0),IF($A221&gt;BOTT_C3,ROUND(BASE_C3+RATE_C3*($A221-BOTT_C3),0),IF($A221&gt;BOTT_C2,ROUND(BASE_C2+RATE_C2*($A221-BOTT_C2),0),ROUND(RATE_C1*$A221,0))))</f>
        <v/>
      </c>
      <c r="G221" s="556">
        <f>IF($A221&gt;BOTT_D4,ROUND(BASE_D4+RATE_D4*($A221-BOTT_D4),0),IF($A221&gt;BOTT_D3,ROUND(BASE_D3+RATE_D3*($A221-BOTT_D3),0),IF($A221&gt;BOTT_D2,ROUND(BASE_D2+RATE_D2*($A221-BOTT_D2),0),ROUND(RATE_D1*$A221,0))))</f>
        <v/>
      </c>
    </row>
    <row r="222" ht="15.75" customHeight="1" s="7635">
      <c r="A222" s="625">
        <f>AVERAGE(B222,C222)</f>
        <v/>
      </c>
      <c r="B222" s="555" t="n">
        <v>7900</v>
      </c>
      <c r="C222" s="555" t="n">
        <v>7950</v>
      </c>
      <c r="D222" s="556">
        <f>IF($A222&gt;BOTT_A4,ROUND(BASE_A4+RATE_A4*($A222-BOTT_A4),0),IF($A222&gt;BOTT_A3,ROUND(BASE_A3+RATE_A3*($A222-BOTT_A3),0),IF($A222&gt;BOTT_A2,ROUND(BASE_A2+RATE_A2*($A222-BOTT_A2),0),ROUND(RATE_A1*$A222,0))))</f>
        <v/>
      </c>
      <c r="E222" s="556">
        <f>IF($A222&gt;BOTT_B4,ROUND(BASE_B4+RATE_B4*($A222-BOTT_B4),0),IF($A222&gt;BOTT_B3,ROUND(BASE_B3+RATE_B3*($A222-BOTT_B3),0),IF($A222&gt;BOTT_B2,ROUND(BASE_B2+RATE_B2*($A222-BOTT_B2),0),ROUND(RATE_B1*$A222,0))))</f>
        <v/>
      </c>
      <c r="F222" s="556">
        <f>IF($A222&gt;BOTT_C4,ROUND(BASE_C4+RATE_C4*($A222-BOTT_C4),0),IF($A222&gt;BOTT_C3,ROUND(BASE_C3+RATE_C3*($A222-BOTT_C3),0),IF($A222&gt;BOTT_C2,ROUND(BASE_C2+RATE_C2*($A222-BOTT_C2),0),ROUND(RATE_C1*$A222,0))))</f>
        <v/>
      </c>
      <c r="G222" s="556">
        <f>IF($A222&gt;BOTT_D4,ROUND(BASE_D4+RATE_D4*($A222-BOTT_D4),0),IF($A222&gt;BOTT_D3,ROUND(BASE_D3+RATE_D3*($A222-BOTT_D3),0),IF($A222&gt;BOTT_D2,ROUND(BASE_D2+RATE_D2*($A222-BOTT_D2),0),ROUND(RATE_D1*$A222,0))))</f>
        <v/>
      </c>
    </row>
    <row r="223" ht="15.75" customHeight="1" s="7635">
      <c r="A223" s="625">
        <f>AVERAGE(B223,C223)</f>
        <v/>
      </c>
      <c r="B223" s="555" t="n">
        <v>7950</v>
      </c>
      <c r="C223" s="555" t="n">
        <v>8000</v>
      </c>
      <c r="D223" s="556">
        <f>IF($A223&gt;BOTT_A4,ROUND(BASE_A4+RATE_A4*($A223-BOTT_A4),0),IF($A223&gt;BOTT_A3,ROUND(BASE_A3+RATE_A3*($A223-BOTT_A3),0),IF($A223&gt;BOTT_A2,ROUND(BASE_A2+RATE_A2*($A223-BOTT_A2),0),ROUND(RATE_A1*$A223,0))))</f>
        <v/>
      </c>
      <c r="E223" s="556">
        <f>IF($A223&gt;BOTT_B4,ROUND(BASE_B4+RATE_B4*($A223-BOTT_B4),0),IF($A223&gt;BOTT_B3,ROUND(BASE_B3+RATE_B3*($A223-BOTT_B3),0),IF($A223&gt;BOTT_B2,ROUND(BASE_B2+RATE_B2*($A223-BOTT_B2),0),ROUND(RATE_B1*$A223,0))))</f>
        <v/>
      </c>
      <c r="F223" s="556">
        <f>IF($A223&gt;BOTT_C4,ROUND(BASE_C4+RATE_C4*($A223-BOTT_C4),0),IF($A223&gt;BOTT_C3,ROUND(BASE_C3+RATE_C3*($A223-BOTT_C3),0),IF($A223&gt;BOTT_C2,ROUND(BASE_C2+RATE_C2*($A223-BOTT_C2),0),ROUND(RATE_C1*$A223,0))))</f>
        <v/>
      </c>
      <c r="G223" s="556">
        <f>IF($A223&gt;BOTT_D4,ROUND(BASE_D4+RATE_D4*($A223-BOTT_D4),0),IF($A223&gt;BOTT_D3,ROUND(BASE_D3+RATE_D3*($A223-BOTT_D3),0),IF($A223&gt;BOTT_D2,ROUND(BASE_D2+RATE_D2*($A223-BOTT_D2),0),ROUND(RATE_D1*$A223,0))))</f>
        <v/>
      </c>
    </row>
    <row r="224" ht="15.75" customHeight="1" s="7635">
      <c r="A224" s="625">
        <f>AVERAGE(B224,C224)</f>
        <v/>
      </c>
      <c r="B224" s="555" t="n">
        <v>8000</v>
      </c>
      <c r="C224" s="555" t="n">
        <v>8050</v>
      </c>
      <c r="D224" s="556">
        <f>IF($A224&gt;BOTT_A4,ROUND(BASE_A4+RATE_A4*($A224-BOTT_A4),0),IF($A224&gt;BOTT_A3,ROUND(BASE_A3+RATE_A3*($A224-BOTT_A3),0),IF($A224&gt;BOTT_A2,ROUND(BASE_A2+RATE_A2*($A224-BOTT_A2),0),ROUND(RATE_A1*$A224,0))))</f>
        <v/>
      </c>
      <c r="E224" s="556">
        <f>IF($A224&gt;BOTT_B4,ROUND(BASE_B4+RATE_B4*($A224-BOTT_B4),0),IF($A224&gt;BOTT_B3,ROUND(BASE_B3+RATE_B3*($A224-BOTT_B3),0),IF($A224&gt;BOTT_B2,ROUND(BASE_B2+RATE_B2*($A224-BOTT_B2),0),ROUND(RATE_B1*$A224,0))))</f>
        <v/>
      </c>
      <c r="F224" s="556">
        <f>IF($A224&gt;BOTT_C4,ROUND(BASE_C4+RATE_C4*($A224-BOTT_C4),0),IF($A224&gt;BOTT_C3,ROUND(BASE_C3+RATE_C3*($A224-BOTT_C3),0),IF($A224&gt;BOTT_C2,ROUND(BASE_C2+RATE_C2*($A224-BOTT_C2),0),ROUND(RATE_C1*$A224,0))))</f>
        <v/>
      </c>
      <c r="G224" s="556">
        <f>IF($A224&gt;BOTT_D4,ROUND(BASE_D4+RATE_D4*($A224-BOTT_D4),0),IF($A224&gt;BOTT_D3,ROUND(BASE_D3+RATE_D3*($A224-BOTT_D3),0),IF($A224&gt;BOTT_D2,ROUND(BASE_D2+RATE_D2*($A224-BOTT_D2),0),ROUND(RATE_D1*$A224,0))))</f>
        <v/>
      </c>
    </row>
    <row r="225" ht="15.75" customHeight="1" s="7635">
      <c r="A225" s="625">
        <f>AVERAGE(B225,C225)</f>
        <v/>
      </c>
      <c r="B225" s="555" t="n">
        <v>8050</v>
      </c>
      <c r="C225" s="555" t="n">
        <v>8100</v>
      </c>
      <c r="D225" s="556">
        <f>IF($A225&gt;BOTT_A4,ROUND(BASE_A4+RATE_A4*($A225-BOTT_A4),0),IF($A225&gt;BOTT_A3,ROUND(BASE_A3+RATE_A3*($A225-BOTT_A3),0),IF($A225&gt;BOTT_A2,ROUND(BASE_A2+RATE_A2*($A225-BOTT_A2),0),ROUND(RATE_A1*$A225,0))))</f>
        <v/>
      </c>
      <c r="E225" s="556">
        <f>IF($A225&gt;BOTT_B4,ROUND(BASE_B4+RATE_B4*($A225-BOTT_B4),0),IF($A225&gt;BOTT_B3,ROUND(BASE_B3+RATE_B3*($A225-BOTT_B3),0),IF($A225&gt;BOTT_B2,ROUND(BASE_B2+RATE_B2*($A225-BOTT_B2),0),ROUND(RATE_B1*$A225,0))))</f>
        <v/>
      </c>
      <c r="F225" s="556">
        <f>IF($A225&gt;BOTT_C4,ROUND(BASE_C4+RATE_C4*($A225-BOTT_C4),0),IF($A225&gt;BOTT_C3,ROUND(BASE_C3+RATE_C3*($A225-BOTT_C3),0),IF($A225&gt;BOTT_C2,ROUND(BASE_C2+RATE_C2*($A225-BOTT_C2),0),ROUND(RATE_C1*$A225,0))))</f>
        <v/>
      </c>
      <c r="G225" s="556">
        <f>IF($A225&gt;BOTT_D4,ROUND(BASE_D4+RATE_D4*($A225-BOTT_D4),0),IF($A225&gt;BOTT_D3,ROUND(BASE_D3+RATE_D3*($A225-BOTT_D3),0),IF($A225&gt;BOTT_D2,ROUND(BASE_D2+RATE_D2*($A225-BOTT_D2),0),ROUND(RATE_D1*$A225,0))))</f>
        <v/>
      </c>
    </row>
    <row r="226" ht="15.75" customHeight="1" s="7635">
      <c r="A226" s="625">
        <f>AVERAGE(B226,C226)</f>
        <v/>
      </c>
      <c r="B226" s="555" t="n">
        <v>8100</v>
      </c>
      <c r="C226" s="555" t="n">
        <v>8150</v>
      </c>
      <c r="D226" s="556">
        <f>IF($A226&gt;BOTT_A4,ROUND(BASE_A4+RATE_A4*($A226-BOTT_A4),0),IF($A226&gt;BOTT_A3,ROUND(BASE_A3+RATE_A3*($A226-BOTT_A3),0),IF($A226&gt;BOTT_A2,ROUND(BASE_A2+RATE_A2*($A226-BOTT_A2),0),ROUND(RATE_A1*$A226,0))))</f>
        <v/>
      </c>
      <c r="E226" s="556">
        <f>IF($A226&gt;BOTT_B4,ROUND(BASE_B4+RATE_B4*($A226-BOTT_B4),0),IF($A226&gt;BOTT_B3,ROUND(BASE_B3+RATE_B3*($A226-BOTT_B3),0),IF($A226&gt;BOTT_B2,ROUND(BASE_B2+RATE_B2*($A226-BOTT_B2),0),ROUND(RATE_B1*$A226,0))))</f>
        <v/>
      </c>
      <c r="F226" s="556">
        <f>IF($A226&gt;BOTT_C4,ROUND(BASE_C4+RATE_C4*($A226-BOTT_C4),0),IF($A226&gt;BOTT_C3,ROUND(BASE_C3+RATE_C3*($A226-BOTT_C3),0),IF($A226&gt;BOTT_C2,ROUND(BASE_C2+RATE_C2*($A226-BOTT_C2),0),ROUND(RATE_C1*$A226,0))))</f>
        <v/>
      </c>
      <c r="G226" s="556">
        <f>IF($A226&gt;BOTT_D4,ROUND(BASE_D4+RATE_D4*($A226-BOTT_D4),0),IF($A226&gt;BOTT_D3,ROUND(BASE_D3+RATE_D3*($A226-BOTT_D3),0),IF($A226&gt;BOTT_D2,ROUND(BASE_D2+RATE_D2*($A226-BOTT_D2),0),ROUND(RATE_D1*$A226,0))))</f>
        <v/>
      </c>
    </row>
    <row r="227" ht="15.75" customHeight="1" s="7635">
      <c r="A227" s="625">
        <f>AVERAGE(B227,C227)</f>
        <v/>
      </c>
      <c r="B227" s="555" t="n">
        <v>8150</v>
      </c>
      <c r="C227" s="555" t="n">
        <v>8200</v>
      </c>
      <c r="D227" s="556">
        <f>IF($A227&gt;BOTT_A4,ROUND(BASE_A4+RATE_A4*($A227-BOTT_A4),0),IF($A227&gt;BOTT_A3,ROUND(BASE_A3+RATE_A3*($A227-BOTT_A3),0),IF($A227&gt;BOTT_A2,ROUND(BASE_A2+RATE_A2*($A227-BOTT_A2),0),ROUND(RATE_A1*$A227,0))))</f>
        <v/>
      </c>
      <c r="E227" s="556">
        <f>IF($A227&gt;BOTT_B4,ROUND(BASE_B4+RATE_B4*($A227-BOTT_B4),0),IF($A227&gt;BOTT_B3,ROUND(BASE_B3+RATE_B3*($A227-BOTT_B3),0),IF($A227&gt;BOTT_B2,ROUND(BASE_B2+RATE_B2*($A227-BOTT_B2),0),ROUND(RATE_B1*$A227,0))))</f>
        <v/>
      </c>
      <c r="F227" s="556">
        <f>IF($A227&gt;BOTT_C4,ROUND(BASE_C4+RATE_C4*($A227-BOTT_C4),0),IF($A227&gt;BOTT_C3,ROUND(BASE_C3+RATE_C3*($A227-BOTT_C3),0),IF($A227&gt;BOTT_C2,ROUND(BASE_C2+RATE_C2*($A227-BOTT_C2),0),ROUND(RATE_C1*$A227,0))))</f>
        <v/>
      </c>
      <c r="G227" s="556">
        <f>IF($A227&gt;BOTT_D4,ROUND(BASE_D4+RATE_D4*($A227-BOTT_D4),0),IF($A227&gt;BOTT_D3,ROUND(BASE_D3+RATE_D3*($A227-BOTT_D3),0),IF($A227&gt;BOTT_D2,ROUND(BASE_D2+RATE_D2*($A227-BOTT_D2),0),ROUND(RATE_D1*$A227,0))))</f>
        <v/>
      </c>
    </row>
    <row r="228" ht="15.75" customHeight="1" s="7635">
      <c r="A228" s="625">
        <f>AVERAGE(B228,C228)</f>
        <v/>
      </c>
      <c r="B228" s="555" t="n">
        <v>8200</v>
      </c>
      <c r="C228" s="555" t="n">
        <v>8250</v>
      </c>
      <c r="D228" s="556">
        <f>IF($A228&gt;BOTT_A4,ROUND(BASE_A4+RATE_A4*($A228-BOTT_A4),0),IF($A228&gt;BOTT_A3,ROUND(BASE_A3+RATE_A3*($A228-BOTT_A3),0),IF($A228&gt;BOTT_A2,ROUND(BASE_A2+RATE_A2*($A228-BOTT_A2),0),ROUND(RATE_A1*$A228,0))))</f>
        <v/>
      </c>
      <c r="E228" s="556">
        <f>IF($A228&gt;BOTT_B4,ROUND(BASE_B4+RATE_B4*($A228-BOTT_B4),0),IF($A228&gt;BOTT_B3,ROUND(BASE_B3+RATE_B3*($A228-BOTT_B3),0),IF($A228&gt;BOTT_B2,ROUND(BASE_B2+RATE_B2*($A228-BOTT_B2),0),ROUND(RATE_B1*$A228,0))))</f>
        <v/>
      </c>
      <c r="F228" s="556">
        <f>IF($A228&gt;BOTT_C4,ROUND(BASE_C4+RATE_C4*($A228-BOTT_C4),0),IF($A228&gt;BOTT_C3,ROUND(BASE_C3+RATE_C3*($A228-BOTT_C3),0),IF($A228&gt;BOTT_C2,ROUND(BASE_C2+RATE_C2*($A228-BOTT_C2),0),ROUND(RATE_C1*$A228,0))))</f>
        <v/>
      </c>
      <c r="G228" s="556">
        <f>IF($A228&gt;BOTT_D4,ROUND(BASE_D4+RATE_D4*($A228-BOTT_D4),0),IF($A228&gt;BOTT_D3,ROUND(BASE_D3+RATE_D3*($A228-BOTT_D3),0),IF($A228&gt;BOTT_D2,ROUND(BASE_D2+RATE_D2*($A228-BOTT_D2),0),ROUND(RATE_D1*$A228,0))))</f>
        <v/>
      </c>
    </row>
    <row r="229" ht="15.75" customHeight="1" s="7635">
      <c r="A229" s="625">
        <f>AVERAGE(B229,C229)</f>
        <v/>
      </c>
      <c r="B229" s="555" t="n">
        <v>8250</v>
      </c>
      <c r="C229" s="555" t="n">
        <v>8300</v>
      </c>
      <c r="D229" s="556">
        <f>IF($A229&gt;BOTT_A4,ROUND(BASE_A4+RATE_A4*($A229-BOTT_A4),0),IF($A229&gt;BOTT_A3,ROUND(BASE_A3+RATE_A3*($A229-BOTT_A3),0),IF($A229&gt;BOTT_A2,ROUND(BASE_A2+RATE_A2*($A229-BOTT_A2),0),ROUND(RATE_A1*$A229,0))))</f>
        <v/>
      </c>
      <c r="E229" s="556">
        <f>IF($A229&gt;BOTT_B4,ROUND(BASE_B4+RATE_B4*($A229-BOTT_B4),0),IF($A229&gt;BOTT_B3,ROUND(BASE_B3+RATE_B3*($A229-BOTT_B3),0),IF($A229&gt;BOTT_B2,ROUND(BASE_B2+RATE_B2*($A229-BOTT_B2),0),ROUND(RATE_B1*$A229,0))))</f>
        <v/>
      </c>
      <c r="F229" s="556">
        <f>IF($A229&gt;BOTT_C4,ROUND(BASE_C4+RATE_C4*($A229-BOTT_C4),0),IF($A229&gt;BOTT_C3,ROUND(BASE_C3+RATE_C3*($A229-BOTT_C3),0),IF($A229&gt;BOTT_C2,ROUND(BASE_C2+RATE_C2*($A229-BOTT_C2),0),ROUND(RATE_C1*$A229,0))))</f>
        <v/>
      </c>
      <c r="G229" s="556">
        <f>IF($A229&gt;BOTT_D4,ROUND(BASE_D4+RATE_D4*($A229-BOTT_D4),0),IF($A229&gt;BOTT_D3,ROUND(BASE_D3+RATE_D3*($A229-BOTT_D3),0),IF($A229&gt;BOTT_D2,ROUND(BASE_D2+RATE_D2*($A229-BOTT_D2),0),ROUND(RATE_D1*$A229,0))))</f>
        <v/>
      </c>
    </row>
    <row r="230" ht="15.75" customHeight="1" s="7635">
      <c r="A230" s="625">
        <f>AVERAGE(B230,C230)</f>
        <v/>
      </c>
      <c r="B230" s="555" t="n">
        <v>8300</v>
      </c>
      <c r="C230" s="555" t="n">
        <v>8350</v>
      </c>
      <c r="D230" s="556">
        <f>IF($A230&gt;BOTT_A4,ROUND(BASE_A4+RATE_A4*($A230-BOTT_A4),0),IF($A230&gt;BOTT_A3,ROUND(BASE_A3+RATE_A3*($A230-BOTT_A3),0),IF($A230&gt;BOTT_A2,ROUND(BASE_A2+RATE_A2*($A230-BOTT_A2),0),ROUND(RATE_A1*$A230,0))))</f>
        <v/>
      </c>
      <c r="E230" s="556">
        <f>IF($A230&gt;BOTT_B4,ROUND(BASE_B4+RATE_B4*($A230-BOTT_B4),0),IF($A230&gt;BOTT_B3,ROUND(BASE_B3+RATE_B3*($A230-BOTT_B3),0),IF($A230&gt;BOTT_B2,ROUND(BASE_B2+RATE_B2*($A230-BOTT_B2),0),ROUND(RATE_B1*$A230,0))))</f>
        <v/>
      </c>
      <c r="F230" s="556">
        <f>IF($A230&gt;BOTT_C4,ROUND(BASE_C4+RATE_C4*($A230-BOTT_C4),0),IF($A230&gt;BOTT_C3,ROUND(BASE_C3+RATE_C3*($A230-BOTT_C3),0),IF($A230&gt;BOTT_C2,ROUND(BASE_C2+RATE_C2*($A230-BOTT_C2),0),ROUND(RATE_C1*$A230,0))))</f>
        <v/>
      </c>
      <c r="G230" s="556">
        <f>IF($A230&gt;BOTT_D4,ROUND(BASE_D4+RATE_D4*($A230-BOTT_D4),0),IF($A230&gt;BOTT_D3,ROUND(BASE_D3+RATE_D3*($A230-BOTT_D3),0),IF($A230&gt;BOTT_D2,ROUND(BASE_D2+RATE_D2*($A230-BOTT_D2),0),ROUND(RATE_D1*$A230,0))))</f>
        <v/>
      </c>
    </row>
    <row r="231" ht="15.75" customHeight="1" s="7635">
      <c r="A231" s="625">
        <f>AVERAGE(B231,C231)</f>
        <v/>
      </c>
      <c r="B231" s="555" t="n">
        <v>8350</v>
      </c>
      <c r="C231" s="555" t="n">
        <v>8400</v>
      </c>
      <c r="D231" s="556">
        <f>IF($A231&gt;BOTT_A4,ROUND(BASE_A4+RATE_A4*($A231-BOTT_A4),0),IF($A231&gt;BOTT_A3,ROUND(BASE_A3+RATE_A3*($A231-BOTT_A3),0),IF($A231&gt;BOTT_A2,ROUND(BASE_A2+RATE_A2*($A231-BOTT_A2),0),ROUND(RATE_A1*$A231,0))))</f>
        <v/>
      </c>
      <c r="E231" s="556">
        <f>IF($A231&gt;BOTT_B4,ROUND(BASE_B4+RATE_B4*($A231-BOTT_B4),0),IF($A231&gt;BOTT_B3,ROUND(BASE_B3+RATE_B3*($A231-BOTT_B3),0),IF($A231&gt;BOTT_B2,ROUND(BASE_B2+RATE_B2*($A231-BOTT_B2),0),ROUND(RATE_B1*$A231,0))))</f>
        <v/>
      </c>
      <c r="F231" s="556">
        <f>IF($A231&gt;BOTT_C4,ROUND(BASE_C4+RATE_C4*($A231-BOTT_C4),0),IF($A231&gt;BOTT_C3,ROUND(BASE_C3+RATE_C3*($A231-BOTT_C3),0),IF($A231&gt;BOTT_C2,ROUND(BASE_C2+RATE_C2*($A231-BOTT_C2),0),ROUND(RATE_C1*$A231,0))))</f>
        <v/>
      </c>
      <c r="G231" s="556">
        <f>IF($A231&gt;BOTT_D4,ROUND(BASE_D4+RATE_D4*($A231-BOTT_D4),0),IF($A231&gt;BOTT_D3,ROUND(BASE_D3+RATE_D3*($A231-BOTT_D3),0),IF($A231&gt;BOTT_D2,ROUND(BASE_D2+RATE_D2*($A231-BOTT_D2),0),ROUND(RATE_D1*$A231,0))))</f>
        <v/>
      </c>
    </row>
    <row r="232" ht="15.75" customHeight="1" s="7635">
      <c r="A232" s="625">
        <f>AVERAGE(B232,C232)</f>
        <v/>
      </c>
      <c r="B232" s="555" t="n">
        <v>8400</v>
      </c>
      <c r="C232" s="555" t="n">
        <v>8450</v>
      </c>
      <c r="D232" s="556">
        <f>IF($A232&gt;BOTT_A4,ROUND(BASE_A4+RATE_A4*($A232-BOTT_A4),0),IF($A232&gt;BOTT_A3,ROUND(BASE_A3+RATE_A3*($A232-BOTT_A3),0),IF($A232&gt;BOTT_A2,ROUND(BASE_A2+RATE_A2*($A232-BOTT_A2),0),ROUND(RATE_A1*$A232,0))))</f>
        <v/>
      </c>
      <c r="E232" s="556">
        <f>IF($A232&gt;BOTT_B4,ROUND(BASE_B4+RATE_B4*($A232-BOTT_B4),0),IF($A232&gt;BOTT_B3,ROUND(BASE_B3+RATE_B3*($A232-BOTT_B3),0),IF($A232&gt;BOTT_B2,ROUND(BASE_B2+RATE_B2*($A232-BOTT_B2),0),ROUND(RATE_B1*$A232,0))))</f>
        <v/>
      </c>
      <c r="F232" s="556">
        <f>IF($A232&gt;BOTT_C4,ROUND(BASE_C4+RATE_C4*($A232-BOTT_C4),0),IF($A232&gt;BOTT_C3,ROUND(BASE_C3+RATE_C3*($A232-BOTT_C3),0),IF($A232&gt;BOTT_C2,ROUND(BASE_C2+RATE_C2*($A232-BOTT_C2),0),ROUND(RATE_C1*$A232,0))))</f>
        <v/>
      </c>
      <c r="G232" s="556">
        <f>IF($A232&gt;BOTT_D4,ROUND(BASE_D4+RATE_D4*($A232-BOTT_D4),0),IF($A232&gt;BOTT_D3,ROUND(BASE_D3+RATE_D3*($A232-BOTT_D3),0),IF($A232&gt;BOTT_D2,ROUND(BASE_D2+RATE_D2*($A232-BOTT_D2),0),ROUND(RATE_D1*$A232,0))))</f>
        <v/>
      </c>
    </row>
    <row r="233" ht="15.75" customHeight="1" s="7635">
      <c r="A233" s="625">
        <f>AVERAGE(B233,C233)</f>
        <v/>
      </c>
      <c r="B233" s="555" t="n">
        <v>8450</v>
      </c>
      <c r="C233" s="555" t="n">
        <v>8500</v>
      </c>
      <c r="D233" s="556">
        <f>IF($A233&gt;BOTT_A4,ROUND(BASE_A4+RATE_A4*($A233-BOTT_A4),0),IF($A233&gt;BOTT_A3,ROUND(BASE_A3+RATE_A3*($A233-BOTT_A3),0),IF($A233&gt;BOTT_A2,ROUND(BASE_A2+RATE_A2*($A233-BOTT_A2),0),ROUND(RATE_A1*$A233,0))))</f>
        <v/>
      </c>
      <c r="E233" s="556">
        <f>IF($A233&gt;BOTT_B4,ROUND(BASE_B4+RATE_B4*($A233-BOTT_B4),0),IF($A233&gt;BOTT_B3,ROUND(BASE_B3+RATE_B3*($A233-BOTT_B3),0),IF($A233&gt;BOTT_B2,ROUND(BASE_B2+RATE_B2*($A233-BOTT_B2),0),ROUND(RATE_B1*$A233,0))))</f>
        <v/>
      </c>
      <c r="F233" s="556">
        <f>IF($A233&gt;BOTT_C4,ROUND(BASE_C4+RATE_C4*($A233-BOTT_C4),0),IF($A233&gt;BOTT_C3,ROUND(BASE_C3+RATE_C3*($A233-BOTT_C3),0),IF($A233&gt;BOTT_C2,ROUND(BASE_C2+RATE_C2*($A233-BOTT_C2),0),ROUND(RATE_C1*$A233,0))))</f>
        <v/>
      </c>
      <c r="G233" s="556">
        <f>IF($A233&gt;BOTT_D4,ROUND(BASE_D4+RATE_D4*($A233-BOTT_D4),0),IF($A233&gt;BOTT_D3,ROUND(BASE_D3+RATE_D3*($A233-BOTT_D3),0),IF($A233&gt;BOTT_D2,ROUND(BASE_D2+RATE_D2*($A233-BOTT_D2),0),ROUND(RATE_D1*$A233,0))))</f>
        <v/>
      </c>
    </row>
    <row r="234" ht="15.75" customHeight="1" s="7635">
      <c r="A234" s="625">
        <f>AVERAGE(B234,C234)</f>
        <v/>
      </c>
      <c r="B234" s="555" t="n">
        <v>8500</v>
      </c>
      <c r="C234" s="555" t="n">
        <v>8550</v>
      </c>
      <c r="D234" s="556">
        <f>IF($A234&gt;BOTT_A4,ROUND(BASE_A4+RATE_A4*($A234-BOTT_A4),0),IF($A234&gt;BOTT_A3,ROUND(BASE_A3+RATE_A3*($A234-BOTT_A3),0),IF($A234&gt;BOTT_A2,ROUND(BASE_A2+RATE_A2*($A234-BOTT_A2),0),ROUND(RATE_A1*$A234,0))))</f>
        <v/>
      </c>
      <c r="E234" s="556">
        <f>IF($A234&gt;BOTT_B4,ROUND(BASE_B4+RATE_B4*($A234-BOTT_B4),0),IF($A234&gt;BOTT_B3,ROUND(BASE_B3+RATE_B3*($A234-BOTT_B3),0),IF($A234&gt;BOTT_B2,ROUND(BASE_B2+RATE_B2*($A234-BOTT_B2),0),ROUND(RATE_B1*$A234,0))))</f>
        <v/>
      </c>
      <c r="F234" s="556">
        <f>IF($A234&gt;BOTT_C4,ROUND(BASE_C4+RATE_C4*($A234-BOTT_C4),0),IF($A234&gt;BOTT_C3,ROUND(BASE_C3+RATE_C3*($A234-BOTT_C3),0),IF($A234&gt;BOTT_C2,ROUND(BASE_C2+RATE_C2*($A234-BOTT_C2),0),ROUND(RATE_C1*$A234,0))))</f>
        <v/>
      </c>
      <c r="G234" s="556">
        <f>IF($A234&gt;BOTT_D4,ROUND(BASE_D4+RATE_D4*($A234-BOTT_D4),0),IF($A234&gt;BOTT_D3,ROUND(BASE_D3+RATE_D3*($A234-BOTT_D3),0),IF($A234&gt;BOTT_D2,ROUND(BASE_D2+RATE_D2*($A234-BOTT_D2),0),ROUND(RATE_D1*$A234,0))))</f>
        <v/>
      </c>
    </row>
    <row r="235" ht="15.75" customHeight="1" s="7635">
      <c r="A235" s="625">
        <f>AVERAGE(B235,C235)</f>
        <v/>
      </c>
      <c r="B235" s="555" t="n">
        <v>8550</v>
      </c>
      <c r="C235" s="555" t="n">
        <v>8600</v>
      </c>
      <c r="D235" s="556">
        <f>IF($A235&gt;BOTT_A4,ROUND(BASE_A4+RATE_A4*($A235-BOTT_A4),0),IF($A235&gt;BOTT_A3,ROUND(BASE_A3+RATE_A3*($A235-BOTT_A3),0),IF($A235&gt;BOTT_A2,ROUND(BASE_A2+RATE_A2*($A235-BOTT_A2),0),ROUND(RATE_A1*$A235,0))))</f>
        <v/>
      </c>
      <c r="E235" s="556">
        <f>IF($A235&gt;BOTT_B4,ROUND(BASE_B4+RATE_B4*($A235-BOTT_B4),0),IF($A235&gt;BOTT_B3,ROUND(BASE_B3+RATE_B3*($A235-BOTT_B3),0),IF($A235&gt;BOTT_B2,ROUND(BASE_B2+RATE_B2*($A235-BOTT_B2),0),ROUND(RATE_B1*$A235,0))))</f>
        <v/>
      </c>
      <c r="F235" s="556">
        <f>IF($A235&gt;BOTT_C4,ROUND(BASE_C4+RATE_C4*($A235-BOTT_C4),0),IF($A235&gt;BOTT_C3,ROUND(BASE_C3+RATE_C3*($A235-BOTT_C3),0),IF($A235&gt;BOTT_C2,ROUND(BASE_C2+RATE_C2*($A235-BOTT_C2),0),ROUND(RATE_C1*$A235,0))))</f>
        <v/>
      </c>
      <c r="G235" s="556">
        <f>IF($A235&gt;BOTT_D4,ROUND(BASE_D4+RATE_D4*($A235-BOTT_D4),0),IF($A235&gt;BOTT_D3,ROUND(BASE_D3+RATE_D3*($A235-BOTT_D3),0),IF($A235&gt;BOTT_D2,ROUND(BASE_D2+RATE_D2*($A235-BOTT_D2),0),ROUND(RATE_D1*$A235,0))))</f>
        <v/>
      </c>
    </row>
    <row r="236" ht="15.75" customHeight="1" s="7635">
      <c r="A236" s="625">
        <f>AVERAGE(B236,C236)</f>
        <v/>
      </c>
      <c r="B236" s="555" t="n">
        <v>8600</v>
      </c>
      <c r="C236" s="555" t="n">
        <v>8650</v>
      </c>
      <c r="D236" s="556">
        <f>IF($A236&gt;BOTT_A4,ROUND(BASE_A4+RATE_A4*($A236-BOTT_A4),0),IF($A236&gt;BOTT_A3,ROUND(BASE_A3+RATE_A3*($A236-BOTT_A3),0),IF($A236&gt;BOTT_A2,ROUND(BASE_A2+RATE_A2*($A236-BOTT_A2),0),ROUND(RATE_A1*$A236,0))))</f>
        <v/>
      </c>
      <c r="E236" s="556">
        <f>IF($A236&gt;BOTT_B4,ROUND(BASE_B4+RATE_B4*($A236-BOTT_B4),0),IF($A236&gt;BOTT_B3,ROUND(BASE_B3+RATE_B3*($A236-BOTT_B3),0),IF($A236&gt;BOTT_B2,ROUND(BASE_B2+RATE_B2*($A236-BOTT_B2),0),ROUND(RATE_B1*$A236,0))))</f>
        <v/>
      </c>
      <c r="F236" s="556">
        <f>IF($A236&gt;BOTT_C4,ROUND(BASE_C4+RATE_C4*($A236-BOTT_C4),0),IF($A236&gt;BOTT_C3,ROUND(BASE_C3+RATE_C3*($A236-BOTT_C3),0),IF($A236&gt;BOTT_C2,ROUND(BASE_C2+RATE_C2*($A236-BOTT_C2),0),ROUND(RATE_C1*$A236,0))))</f>
        <v/>
      </c>
      <c r="G236" s="556">
        <f>IF($A236&gt;BOTT_D4,ROUND(BASE_D4+RATE_D4*($A236-BOTT_D4),0),IF($A236&gt;BOTT_D3,ROUND(BASE_D3+RATE_D3*($A236-BOTT_D3),0),IF($A236&gt;BOTT_D2,ROUND(BASE_D2+RATE_D2*($A236-BOTT_D2),0),ROUND(RATE_D1*$A236,0))))</f>
        <v/>
      </c>
    </row>
    <row r="237" ht="15.75" customHeight="1" s="7635">
      <c r="A237" s="625">
        <f>AVERAGE(B237,C237)</f>
        <v/>
      </c>
      <c r="B237" s="555" t="n">
        <v>8650</v>
      </c>
      <c r="C237" s="555" t="n">
        <v>8700</v>
      </c>
      <c r="D237" s="556">
        <f>IF($A237&gt;BOTT_A4,ROUND(BASE_A4+RATE_A4*($A237-BOTT_A4),0),IF($A237&gt;BOTT_A3,ROUND(BASE_A3+RATE_A3*($A237-BOTT_A3),0),IF($A237&gt;BOTT_A2,ROUND(BASE_A2+RATE_A2*($A237-BOTT_A2),0),ROUND(RATE_A1*$A237,0))))</f>
        <v/>
      </c>
      <c r="E237" s="556">
        <f>IF($A237&gt;BOTT_B4,ROUND(BASE_B4+RATE_B4*($A237-BOTT_B4),0),IF($A237&gt;BOTT_B3,ROUND(BASE_B3+RATE_B3*($A237-BOTT_B3),0),IF($A237&gt;BOTT_B2,ROUND(BASE_B2+RATE_B2*($A237-BOTT_B2),0),ROUND(RATE_B1*$A237,0))))</f>
        <v/>
      </c>
      <c r="F237" s="556">
        <f>IF($A237&gt;BOTT_C4,ROUND(BASE_C4+RATE_C4*($A237-BOTT_C4),0),IF($A237&gt;BOTT_C3,ROUND(BASE_C3+RATE_C3*($A237-BOTT_C3),0),IF($A237&gt;BOTT_C2,ROUND(BASE_C2+RATE_C2*($A237-BOTT_C2),0),ROUND(RATE_C1*$A237,0))))</f>
        <v/>
      </c>
      <c r="G237" s="556">
        <f>IF($A237&gt;BOTT_D4,ROUND(BASE_D4+RATE_D4*($A237-BOTT_D4),0),IF($A237&gt;BOTT_D3,ROUND(BASE_D3+RATE_D3*($A237-BOTT_D3),0),IF($A237&gt;BOTT_D2,ROUND(BASE_D2+RATE_D2*($A237-BOTT_D2),0),ROUND(RATE_D1*$A237,0))))</f>
        <v/>
      </c>
    </row>
    <row r="238" ht="15.75" customHeight="1" s="7635">
      <c r="A238" s="625">
        <f>AVERAGE(B238,C238)</f>
        <v/>
      </c>
      <c r="B238" s="555" t="n">
        <v>8700</v>
      </c>
      <c r="C238" s="555" t="n">
        <v>8750</v>
      </c>
      <c r="D238" s="556">
        <f>IF($A238&gt;BOTT_A4,ROUND(BASE_A4+RATE_A4*($A238-BOTT_A4),0),IF($A238&gt;BOTT_A3,ROUND(BASE_A3+RATE_A3*($A238-BOTT_A3),0),IF($A238&gt;BOTT_A2,ROUND(BASE_A2+RATE_A2*($A238-BOTT_A2),0),ROUND(RATE_A1*$A238,0))))</f>
        <v/>
      </c>
      <c r="E238" s="556">
        <f>IF($A238&gt;BOTT_B4,ROUND(BASE_B4+RATE_B4*($A238-BOTT_B4),0),IF($A238&gt;BOTT_B3,ROUND(BASE_B3+RATE_B3*($A238-BOTT_B3),0),IF($A238&gt;BOTT_B2,ROUND(BASE_B2+RATE_B2*($A238-BOTT_B2),0),ROUND(RATE_B1*$A238,0))))</f>
        <v/>
      </c>
      <c r="F238" s="556">
        <f>IF($A238&gt;BOTT_C4,ROUND(BASE_C4+RATE_C4*($A238-BOTT_C4),0),IF($A238&gt;BOTT_C3,ROUND(BASE_C3+RATE_C3*($A238-BOTT_C3),0),IF($A238&gt;BOTT_C2,ROUND(BASE_C2+RATE_C2*($A238-BOTT_C2),0),ROUND(RATE_C1*$A238,0))))</f>
        <v/>
      </c>
      <c r="G238" s="556">
        <f>IF($A238&gt;BOTT_D4,ROUND(BASE_D4+RATE_D4*($A238-BOTT_D4),0),IF($A238&gt;BOTT_D3,ROUND(BASE_D3+RATE_D3*($A238-BOTT_D3),0),IF($A238&gt;BOTT_D2,ROUND(BASE_D2+RATE_D2*($A238-BOTT_D2),0),ROUND(RATE_D1*$A238,0))))</f>
        <v/>
      </c>
    </row>
    <row r="239" ht="15.75" customHeight="1" s="7635">
      <c r="A239" s="625">
        <f>AVERAGE(B239,C239)</f>
        <v/>
      </c>
      <c r="B239" s="555" t="n">
        <v>8750</v>
      </c>
      <c r="C239" s="555" t="n">
        <v>8800</v>
      </c>
      <c r="D239" s="556">
        <f>IF($A239&gt;BOTT_A4,ROUND(BASE_A4+RATE_A4*($A239-BOTT_A4),0),IF($A239&gt;BOTT_A3,ROUND(BASE_A3+RATE_A3*($A239-BOTT_A3),0),IF($A239&gt;BOTT_A2,ROUND(BASE_A2+RATE_A2*($A239-BOTT_A2),0),ROUND(RATE_A1*$A239,0))))</f>
        <v/>
      </c>
      <c r="E239" s="556">
        <f>IF($A239&gt;BOTT_B4,ROUND(BASE_B4+RATE_B4*($A239-BOTT_B4),0),IF($A239&gt;BOTT_B3,ROUND(BASE_B3+RATE_B3*($A239-BOTT_B3),0),IF($A239&gt;BOTT_B2,ROUND(BASE_B2+RATE_B2*($A239-BOTT_B2),0),ROUND(RATE_B1*$A239,0))))</f>
        <v/>
      </c>
      <c r="F239" s="556">
        <f>IF($A239&gt;BOTT_C4,ROUND(BASE_C4+RATE_C4*($A239-BOTT_C4),0),IF($A239&gt;BOTT_C3,ROUND(BASE_C3+RATE_C3*($A239-BOTT_C3),0),IF($A239&gt;BOTT_C2,ROUND(BASE_C2+RATE_C2*($A239-BOTT_C2),0),ROUND(RATE_C1*$A239,0))))</f>
        <v/>
      </c>
      <c r="G239" s="556">
        <f>IF($A239&gt;BOTT_D4,ROUND(BASE_D4+RATE_D4*($A239-BOTT_D4),0),IF($A239&gt;BOTT_D3,ROUND(BASE_D3+RATE_D3*($A239-BOTT_D3),0),IF($A239&gt;BOTT_D2,ROUND(BASE_D2+RATE_D2*($A239-BOTT_D2),0),ROUND(RATE_D1*$A239,0))))</f>
        <v/>
      </c>
    </row>
    <row r="240" ht="15.75" customHeight="1" s="7635">
      <c r="A240" s="625">
        <f>AVERAGE(B240,C240)</f>
        <v/>
      </c>
      <c r="B240" s="555" t="n">
        <v>8800</v>
      </c>
      <c r="C240" s="555" t="n">
        <v>8850</v>
      </c>
      <c r="D240" s="556">
        <f>IF($A240&gt;BOTT_A4,ROUND(BASE_A4+RATE_A4*($A240-BOTT_A4),0),IF($A240&gt;BOTT_A3,ROUND(BASE_A3+RATE_A3*($A240-BOTT_A3),0),IF($A240&gt;BOTT_A2,ROUND(BASE_A2+RATE_A2*($A240-BOTT_A2),0),ROUND(RATE_A1*$A240,0))))</f>
        <v/>
      </c>
      <c r="E240" s="556">
        <f>IF($A240&gt;BOTT_B4,ROUND(BASE_B4+RATE_B4*($A240-BOTT_B4),0),IF($A240&gt;BOTT_B3,ROUND(BASE_B3+RATE_B3*($A240-BOTT_B3),0),IF($A240&gt;BOTT_B2,ROUND(BASE_B2+RATE_B2*($A240-BOTT_B2),0),ROUND(RATE_B1*$A240,0))))</f>
        <v/>
      </c>
      <c r="F240" s="556">
        <f>IF($A240&gt;BOTT_C4,ROUND(BASE_C4+RATE_C4*($A240-BOTT_C4),0),IF($A240&gt;BOTT_C3,ROUND(BASE_C3+RATE_C3*($A240-BOTT_C3),0),IF($A240&gt;BOTT_C2,ROUND(BASE_C2+RATE_C2*($A240-BOTT_C2),0),ROUND(RATE_C1*$A240,0))))</f>
        <v/>
      </c>
      <c r="G240" s="556">
        <f>IF($A240&gt;BOTT_D4,ROUND(BASE_D4+RATE_D4*($A240-BOTT_D4),0),IF($A240&gt;BOTT_D3,ROUND(BASE_D3+RATE_D3*($A240-BOTT_D3),0),IF($A240&gt;BOTT_D2,ROUND(BASE_D2+RATE_D2*($A240-BOTT_D2),0),ROUND(RATE_D1*$A240,0))))</f>
        <v/>
      </c>
    </row>
    <row r="241" ht="15.75" customHeight="1" s="7635">
      <c r="A241" s="625">
        <f>AVERAGE(B241,C241)</f>
        <v/>
      </c>
      <c r="B241" s="555" t="n">
        <v>8850</v>
      </c>
      <c r="C241" s="555" t="n">
        <v>8900</v>
      </c>
      <c r="D241" s="556">
        <f>IF($A241&gt;BOTT_A4,ROUND(BASE_A4+RATE_A4*($A241-BOTT_A4),0),IF($A241&gt;BOTT_A3,ROUND(BASE_A3+RATE_A3*($A241-BOTT_A3),0),IF($A241&gt;BOTT_A2,ROUND(BASE_A2+RATE_A2*($A241-BOTT_A2),0),ROUND(RATE_A1*$A241,0))))</f>
        <v/>
      </c>
      <c r="E241" s="556">
        <f>IF($A241&gt;BOTT_B4,ROUND(BASE_B4+RATE_B4*($A241-BOTT_B4),0),IF($A241&gt;BOTT_B3,ROUND(BASE_B3+RATE_B3*($A241-BOTT_B3),0),IF($A241&gt;BOTT_B2,ROUND(BASE_B2+RATE_B2*($A241-BOTT_B2),0),ROUND(RATE_B1*$A241,0))))</f>
        <v/>
      </c>
      <c r="F241" s="556">
        <f>IF($A241&gt;BOTT_C4,ROUND(BASE_C4+RATE_C4*($A241-BOTT_C4),0),IF($A241&gt;BOTT_C3,ROUND(BASE_C3+RATE_C3*($A241-BOTT_C3),0),IF($A241&gt;BOTT_C2,ROUND(BASE_C2+RATE_C2*($A241-BOTT_C2),0),ROUND(RATE_C1*$A241,0))))</f>
        <v/>
      </c>
      <c r="G241" s="556">
        <f>IF($A241&gt;BOTT_D4,ROUND(BASE_D4+RATE_D4*($A241-BOTT_D4),0),IF($A241&gt;BOTT_D3,ROUND(BASE_D3+RATE_D3*($A241-BOTT_D3),0),IF($A241&gt;BOTT_D2,ROUND(BASE_D2+RATE_D2*($A241-BOTT_D2),0),ROUND(RATE_D1*$A241,0))))</f>
        <v/>
      </c>
    </row>
    <row r="242" ht="15.75" customHeight="1" s="7635">
      <c r="A242" s="625">
        <f>AVERAGE(B242,C242)</f>
        <v/>
      </c>
      <c r="B242" s="555" t="n">
        <v>8900</v>
      </c>
      <c r="C242" s="555" t="n">
        <v>8950</v>
      </c>
      <c r="D242" s="556">
        <f>IF($A242&gt;BOTT_A4,ROUND(BASE_A4+RATE_A4*($A242-BOTT_A4),0),IF($A242&gt;BOTT_A3,ROUND(BASE_A3+RATE_A3*($A242-BOTT_A3),0),IF($A242&gt;BOTT_A2,ROUND(BASE_A2+RATE_A2*($A242-BOTT_A2),0),ROUND(RATE_A1*$A242,0))))</f>
        <v/>
      </c>
      <c r="E242" s="556">
        <f>IF($A242&gt;BOTT_B4,ROUND(BASE_B4+RATE_B4*($A242-BOTT_B4),0),IF($A242&gt;BOTT_B3,ROUND(BASE_B3+RATE_B3*($A242-BOTT_B3),0),IF($A242&gt;BOTT_B2,ROUND(BASE_B2+RATE_B2*($A242-BOTT_B2),0),ROUND(RATE_B1*$A242,0))))</f>
        <v/>
      </c>
      <c r="F242" s="556">
        <f>IF($A242&gt;BOTT_C4,ROUND(BASE_C4+RATE_C4*($A242-BOTT_C4),0),IF($A242&gt;BOTT_C3,ROUND(BASE_C3+RATE_C3*($A242-BOTT_C3),0),IF($A242&gt;BOTT_C2,ROUND(BASE_C2+RATE_C2*($A242-BOTT_C2),0),ROUND(RATE_C1*$A242,0))))</f>
        <v/>
      </c>
      <c r="G242" s="556">
        <f>IF($A242&gt;BOTT_D4,ROUND(BASE_D4+RATE_D4*($A242-BOTT_D4),0),IF($A242&gt;BOTT_D3,ROUND(BASE_D3+RATE_D3*($A242-BOTT_D3),0),IF($A242&gt;BOTT_D2,ROUND(BASE_D2+RATE_D2*($A242-BOTT_D2),0),ROUND(RATE_D1*$A242,0))))</f>
        <v/>
      </c>
    </row>
    <row r="243" ht="15.75" customHeight="1" s="7635">
      <c r="A243" s="625">
        <f>AVERAGE(B243,C243)</f>
        <v/>
      </c>
      <c r="B243" s="555" t="n">
        <v>8950</v>
      </c>
      <c r="C243" s="555" t="n">
        <v>9000</v>
      </c>
      <c r="D243" s="556">
        <f>IF($A243&gt;BOTT_A4,ROUND(BASE_A4+RATE_A4*($A243-BOTT_A4),0),IF($A243&gt;BOTT_A3,ROUND(BASE_A3+RATE_A3*($A243-BOTT_A3),0),IF($A243&gt;BOTT_A2,ROUND(BASE_A2+RATE_A2*($A243-BOTT_A2),0),ROUND(RATE_A1*$A243,0))))</f>
        <v/>
      </c>
      <c r="E243" s="556">
        <f>IF($A243&gt;BOTT_B4,ROUND(BASE_B4+RATE_B4*($A243-BOTT_B4),0),IF($A243&gt;BOTT_B3,ROUND(BASE_B3+RATE_B3*($A243-BOTT_B3),0),IF($A243&gt;BOTT_B2,ROUND(BASE_B2+RATE_B2*($A243-BOTT_B2),0),ROUND(RATE_B1*$A243,0))))</f>
        <v/>
      </c>
      <c r="F243" s="556">
        <f>IF($A243&gt;BOTT_C4,ROUND(BASE_C4+RATE_C4*($A243-BOTT_C4),0),IF($A243&gt;BOTT_C3,ROUND(BASE_C3+RATE_C3*($A243-BOTT_C3),0),IF($A243&gt;BOTT_C2,ROUND(BASE_C2+RATE_C2*($A243-BOTT_C2),0),ROUND(RATE_C1*$A243,0))))</f>
        <v/>
      </c>
      <c r="G243" s="556">
        <f>IF($A243&gt;BOTT_D4,ROUND(BASE_D4+RATE_D4*($A243-BOTT_D4),0),IF($A243&gt;BOTT_D3,ROUND(BASE_D3+RATE_D3*($A243-BOTT_D3),0),IF($A243&gt;BOTT_D2,ROUND(BASE_D2+RATE_D2*($A243-BOTT_D2),0),ROUND(RATE_D1*$A243,0))))</f>
        <v/>
      </c>
    </row>
    <row r="244" ht="15.75" customHeight="1" s="7635">
      <c r="A244" s="625">
        <f>AVERAGE(B244,C244)</f>
        <v/>
      </c>
      <c r="B244" s="555" t="n">
        <v>9000</v>
      </c>
      <c r="C244" s="555" t="n">
        <v>9050</v>
      </c>
      <c r="D244" s="556">
        <f>IF($A244&gt;BOTT_A4,ROUND(BASE_A4+RATE_A4*($A244-BOTT_A4),0),IF($A244&gt;BOTT_A3,ROUND(BASE_A3+RATE_A3*($A244-BOTT_A3),0),IF($A244&gt;BOTT_A2,ROUND(BASE_A2+RATE_A2*($A244-BOTT_A2),0),ROUND(RATE_A1*$A244,0))))</f>
        <v/>
      </c>
      <c r="E244" s="556">
        <f>IF($A244&gt;BOTT_B4,ROUND(BASE_B4+RATE_B4*($A244-BOTT_B4),0),IF($A244&gt;BOTT_B3,ROUND(BASE_B3+RATE_B3*($A244-BOTT_B3),0),IF($A244&gt;BOTT_B2,ROUND(BASE_B2+RATE_B2*($A244-BOTT_B2),0),ROUND(RATE_B1*$A244,0))))</f>
        <v/>
      </c>
      <c r="F244" s="556">
        <f>IF($A244&gt;BOTT_C4,ROUND(BASE_C4+RATE_C4*($A244-BOTT_C4),0),IF($A244&gt;BOTT_C3,ROUND(BASE_C3+RATE_C3*($A244-BOTT_C3),0),IF($A244&gt;BOTT_C2,ROUND(BASE_C2+RATE_C2*($A244-BOTT_C2),0),ROUND(RATE_C1*$A244,0))))</f>
        <v/>
      </c>
      <c r="G244" s="556">
        <f>IF($A244&gt;BOTT_D4,ROUND(BASE_D4+RATE_D4*($A244-BOTT_D4),0),IF($A244&gt;BOTT_D3,ROUND(BASE_D3+RATE_D3*($A244-BOTT_D3),0),IF($A244&gt;BOTT_D2,ROUND(BASE_D2+RATE_D2*($A244-BOTT_D2),0),ROUND(RATE_D1*$A244,0))))</f>
        <v/>
      </c>
    </row>
    <row r="245" ht="15.75" customHeight="1" s="7635">
      <c r="A245" s="625">
        <f>AVERAGE(B245,C245)</f>
        <v/>
      </c>
      <c r="B245" s="555" t="n">
        <v>9050</v>
      </c>
      <c r="C245" s="555" t="n">
        <v>9100</v>
      </c>
      <c r="D245" s="556">
        <f>IF($A245&gt;BOTT_A4,ROUND(BASE_A4+RATE_A4*($A245-BOTT_A4),0),IF($A245&gt;BOTT_A3,ROUND(BASE_A3+RATE_A3*($A245-BOTT_A3),0),IF($A245&gt;BOTT_A2,ROUND(BASE_A2+RATE_A2*($A245-BOTT_A2),0),ROUND(RATE_A1*$A245,0))))</f>
        <v/>
      </c>
      <c r="E245" s="556">
        <f>IF($A245&gt;BOTT_B4,ROUND(BASE_B4+RATE_B4*($A245-BOTT_B4),0),IF($A245&gt;BOTT_B3,ROUND(BASE_B3+RATE_B3*($A245-BOTT_B3),0),IF($A245&gt;BOTT_B2,ROUND(BASE_B2+RATE_B2*($A245-BOTT_B2),0),ROUND(RATE_B1*$A245,0))))</f>
        <v/>
      </c>
      <c r="F245" s="556">
        <f>IF($A245&gt;BOTT_C4,ROUND(BASE_C4+RATE_C4*($A245-BOTT_C4),0),IF($A245&gt;BOTT_C3,ROUND(BASE_C3+RATE_C3*($A245-BOTT_C3),0),IF($A245&gt;BOTT_C2,ROUND(BASE_C2+RATE_C2*($A245-BOTT_C2),0),ROUND(RATE_C1*$A245,0))))</f>
        <v/>
      </c>
      <c r="G245" s="556">
        <f>IF($A245&gt;BOTT_D4,ROUND(BASE_D4+RATE_D4*($A245-BOTT_D4),0),IF($A245&gt;BOTT_D3,ROUND(BASE_D3+RATE_D3*($A245-BOTT_D3),0),IF($A245&gt;BOTT_D2,ROUND(BASE_D2+RATE_D2*($A245-BOTT_D2),0),ROUND(RATE_D1*$A245,0))))</f>
        <v/>
      </c>
    </row>
    <row r="246" ht="15.75" customHeight="1" s="7635">
      <c r="A246" s="625">
        <f>AVERAGE(B246,C246)</f>
        <v/>
      </c>
      <c r="B246" s="555" t="n">
        <v>9100</v>
      </c>
      <c r="C246" s="555" t="n">
        <v>9150</v>
      </c>
      <c r="D246" s="556">
        <f>IF($A246&gt;BOTT_A4,ROUND(BASE_A4+RATE_A4*($A246-BOTT_A4),0),IF($A246&gt;BOTT_A3,ROUND(BASE_A3+RATE_A3*($A246-BOTT_A3),0),IF($A246&gt;BOTT_A2,ROUND(BASE_A2+RATE_A2*($A246-BOTT_A2),0),ROUND(RATE_A1*$A246,0))))</f>
        <v/>
      </c>
      <c r="E246" s="556">
        <f>IF($A246&gt;BOTT_B4,ROUND(BASE_B4+RATE_B4*($A246-BOTT_B4),0),IF($A246&gt;BOTT_B3,ROUND(BASE_B3+RATE_B3*($A246-BOTT_B3),0),IF($A246&gt;BOTT_B2,ROUND(BASE_B2+RATE_B2*($A246-BOTT_B2),0),ROUND(RATE_B1*$A246,0))))</f>
        <v/>
      </c>
      <c r="F246" s="556">
        <f>IF($A246&gt;BOTT_C4,ROUND(BASE_C4+RATE_C4*($A246-BOTT_C4),0),IF($A246&gt;BOTT_C3,ROUND(BASE_C3+RATE_C3*($A246-BOTT_C3),0),IF($A246&gt;BOTT_C2,ROUND(BASE_C2+RATE_C2*($A246-BOTT_C2),0),ROUND(RATE_C1*$A246,0))))</f>
        <v/>
      </c>
      <c r="G246" s="556">
        <f>IF($A246&gt;BOTT_D4,ROUND(BASE_D4+RATE_D4*($A246-BOTT_D4),0),IF($A246&gt;BOTT_D3,ROUND(BASE_D3+RATE_D3*($A246-BOTT_D3),0),IF($A246&gt;BOTT_D2,ROUND(BASE_D2+RATE_D2*($A246-BOTT_D2),0),ROUND(RATE_D1*$A246,0))))</f>
        <v/>
      </c>
    </row>
    <row r="247" ht="15.75" customHeight="1" s="7635">
      <c r="A247" s="625">
        <f>AVERAGE(B247,C247)</f>
        <v/>
      </c>
      <c r="B247" s="555" t="n">
        <v>9150</v>
      </c>
      <c r="C247" s="555" t="n">
        <v>9200</v>
      </c>
      <c r="D247" s="556">
        <f>IF($A247&gt;BOTT_A4,ROUND(BASE_A4+RATE_A4*($A247-BOTT_A4),0),IF($A247&gt;BOTT_A3,ROUND(BASE_A3+RATE_A3*($A247-BOTT_A3),0),IF($A247&gt;BOTT_A2,ROUND(BASE_A2+RATE_A2*($A247-BOTT_A2),0),ROUND(RATE_A1*$A247,0))))</f>
        <v/>
      </c>
      <c r="E247" s="556">
        <f>IF($A247&gt;BOTT_B4,ROUND(BASE_B4+RATE_B4*($A247-BOTT_B4),0),IF($A247&gt;BOTT_B3,ROUND(BASE_B3+RATE_B3*($A247-BOTT_B3),0),IF($A247&gt;BOTT_B2,ROUND(BASE_B2+RATE_B2*($A247-BOTT_B2),0),ROUND(RATE_B1*$A247,0))))</f>
        <v/>
      </c>
      <c r="F247" s="556">
        <f>IF($A247&gt;BOTT_C4,ROUND(BASE_C4+RATE_C4*($A247-BOTT_C4),0),IF($A247&gt;BOTT_C3,ROUND(BASE_C3+RATE_C3*($A247-BOTT_C3),0),IF($A247&gt;BOTT_C2,ROUND(BASE_C2+RATE_C2*($A247-BOTT_C2),0),ROUND(RATE_C1*$A247,0))))</f>
        <v/>
      </c>
      <c r="G247" s="556">
        <f>IF($A247&gt;BOTT_D4,ROUND(BASE_D4+RATE_D4*($A247-BOTT_D4),0),IF($A247&gt;BOTT_D3,ROUND(BASE_D3+RATE_D3*($A247-BOTT_D3),0),IF($A247&gt;BOTT_D2,ROUND(BASE_D2+RATE_D2*($A247-BOTT_D2),0),ROUND(RATE_D1*$A247,0))))</f>
        <v/>
      </c>
    </row>
    <row r="248" ht="15.75" customHeight="1" s="7635">
      <c r="A248" s="625">
        <f>AVERAGE(B248,C248)</f>
        <v/>
      </c>
      <c r="B248" s="555" t="n">
        <v>9200</v>
      </c>
      <c r="C248" s="555" t="n">
        <v>9250</v>
      </c>
      <c r="D248" s="556">
        <f>IF($A248&gt;BOTT_A4,ROUND(BASE_A4+RATE_A4*($A248-BOTT_A4),0),IF($A248&gt;BOTT_A3,ROUND(BASE_A3+RATE_A3*($A248-BOTT_A3),0),IF($A248&gt;BOTT_A2,ROUND(BASE_A2+RATE_A2*($A248-BOTT_A2),0),ROUND(RATE_A1*$A248,0))))</f>
        <v/>
      </c>
      <c r="E248" s="556">
        <f>IF($A248&gt;BOTT_B4,ROUND(BASE_B4+RATE_B4*($A248-BOTT_B4),0),IF($A248&gt;BOTT_B3,ROUND(BASE_B3+RATE_B3*($A248-BOTT_B3),0),IF($A248&gt;BOTT_B2,ROUND(BASE_B2+RATE_B2*($A248-BOTT_B2),0),ROUND(RATE_B1*$A248,0))))</f>
        <v/>
      </c>
      <c r="F248" s="556">
        <f>IF($A248&gt;BOTT_C4,ROUND(BASE_C4+RATE_C4*($A248-BOTT_C4),0),IF($A248&gt;BOTT_C3,ROUND(BASE_C3+RATE_C3*($A248-BOTT_C3),0),IF($A248&gt;BOTT_C2,ROUND(BASE_C2+RATE_C2*($A248-BOTT_C2),0),ROUND(RATE_C1*$A248,0))))</f>
        <v/>
      </c>
      <c r="G248" s="556">
        <f>IF($A248&gt;BOTT_D4,ROUND(BASE_D4+RATE_D4*($A248-BOTT_D4),0),IF($A248&gt;BOTT_D3,ROUND(BASE_D3+RATE_D3*($A248-BOTT_D3),0),IF($A248&gt;BOTT_D2,ROUND(BASE_D2+RATE_D2*($A248-BOTT_D2),0),ROUND(RATE_D1*$A248,0))))</f>
        <v/>
      </c>
    </row>
    <row r="249" ht="15.75" customHeight="1" s="7635">
      <c r="A249" s="625">
        <f>AVERAGE(B249,C249)</f>
        <v/>
      </c>
      <c r="B249" s="555" t="n">
        <v>9250</v>
      </c>
      <c r="C249" s="555" t="n">
        <v>9300</v>
      </c>
      <c r="D249" s="556">
        <f>IF($A249&gt;BOTT_A4,ROUND(BASE_A4+RATE_A4*($A249-BOTT_A4),0),IF($A249&gt;BOTT_A3,ROUND(BASE_A3+RATE_A3*($A249-BOTT_A3),0),IF($A249&gt;BOTT_A2,ROUND(BASE_A2+RATE_A2*($A249-BOTT_A2),0),ROUND(RATE_A1*$A249,0))))</f>
        <v/>
      </c>
      <c r="E249" s="556">
        <f>IF($A249&gt;BOTT_B4,ROUND(BASE_B4+RATE_B4*($A249-BOTT_B4),0),IF($A249&gt;BOTT_B3,ROUND(BASE_B3+RATE_B3*($A249-BOTT_B3),0),IF($A249&gt;BOTT_B2,ROUND(BASE_B2+RATE_B2*($A249-BOTT_B2),0),ROUND(RATE_B1*$A249,0))))</f>
        <v/>
      </c>
      <c r="F249" s="556">
        <f>IF($A249&gt;BOTT_C4,ROUND(BASE_C4+RATE_C4*($A249-BOTT_C4),0),IF($A249&gt;BOTT_C3,ROUND(BASE_C3+RATE_C3*($A249-BOTT_C3),0),IF($A249&gt;BOTT_C2,ROUND(BASE_C2+RATE_C2*($A249-BOTT_C2),0),ROUND(RATE_C1*$A249,0))))</f>
        <v/>
      </c>
      <c r="G249" s="556">
        <f>IF($A249&gt;BOTT_D4,ROUND(BASE_D4+RATE_D4*($A249-BOTT_D4),0),IF($A249&gt;BOTT_D3,ROUND(BASE_D3+RATE_D3*($A249-BOTT_D3),0),IF($A249&gt;BOTT_D2,ROUND(BASE_D2+RATE_D2*($A249-BOTT_D2),0),ROUND(RATE_D1*$A249,0))))</f>
        <v/>
      </c>
    </row>
    <row r="250" ht="15.75" customHeight="1" s="7635">
      <c r="A250" s="625">
        <f>AVERAGE(B250,C250)</f>
        <v/>
      </c>
      <c r="B250" s="555" t="n">
        <v>9300</v>
      </c>
      <c r="C250" s="555" t="n">
        <v>9350</v>
      </c>
      <c r="D250" s="556">
        <f>IF($A250&gt;BOTT_A4,ROUND(BASE_A4+RATE_A4*($A250-BOTT_A4),0),IF($A250&gt;BOTT_A3,ROUND(BASE_A3+RATE_A3*($A250-BOTT_A3),0),IF($A250&gt;BOTT_A2,ROUND(BASE_A2+RATE_A2*($A250-BOTT_A2),0),ROUND(RATE_A1*$A250,0))))</f>
        <v/>
      </c>
      <c r="E250" s="556">
        <f>IF($A250&gt;BOTT_B4,ROUND(BASE_B4+RATE_B4*($A250-BOTT_B4),0),IF($A250&gt;BOTT_B3,ROUND(BASE_B3+RATE_B3*($A250-BOTT_B3),0),IF($A250&gt;BOTT_B2,ROUND(BASE_B2+RATE_B2*($A250-BOTT_B2),0),ROUND(RATE_B1*$A250,0))))</f>
        <v/>
      </c>
      <c r="F250" s="556">
        <f>IF($A250&gt;BOTT_C4,ROUND(BASE_C4+RATE_C4*($A250-BOTT_C4),0),IF($A250&gt;BOTT_C3,ROUND(BASE_C3+RATE_C3*($A250-BOTT_C3),0),IF($A250&gt;BOTT_C2,ROUND(BASE_C2+RATE_C2*($A250-BOTT_C2),0),ROUND(RATE_C1*$A250,0))))</f>
        <v/>
      </c>
      <c r="G250" s="556">
        <f>IF($A250&gt;BOTT_D4,ROUND(BASE_D4+RATE_D4*($A250-BOTT_D4),0),IF($A250&gt;BOTT_D3,ROUND(BASE_D3+RATE_D3*($A250-BOTT_D3),0),IF($A250&gt;BOTT_D2,ROUND(BASE_D2+RATE_D2*($A250-BOTT_D2),0),ROUND(RATE_D1*$A250,0))))</f>
        <v/>
      </c>
    </row>
    <row r="251" ht="15.75" customHeight="1" s="7635">
      <c r="A251" s="625">
        <f>AVERAGE(B251,C251)</f>
        <v/>
      </c>
      <c r="B251" s="555" t="n">
        <v>9350</v>
      </c>
      <c r="C251" s="555" t="n">
        <v>9400</v>
      </c>
      <c r="D251" s="556">
        <f>IF($A251&gt;BOTT_A4,ROUND(BASE_A4+RATE_A4*($A251-BOTT_A4),0),IF($A251&gt;BOTT_A3,ROUND(BASE_A3+RATE_A3*($A251-BOTT_A3),0),IF($A251&gt;BOTT_A2,ROUND(BASE_A2+RATE_A2*($A251-BOTT_A2),0),ROUND(RATE_A1*$A251,0))))</f>
        <v/>
      </c>
      <c r="E251" s="556">
        <f>IF($A251&gt;BOTT_B4,ROUND(BASE_B4+RATE_B4*($A251-BOTT_B4),0),IF($A251&gt;BOTT_B3,ROUND(BASE_B3+RATE_B3*($A251-BOTT_B3),0),IF($A251&gt;BOTT_B2,ROUND(BASE_B2+RATE_B2*($A251-BOTT_B2),0),ROUND(RATE_B1*$A251,0))))</f>
        <v/>
      </c>
      <c r="F251" s="556">
        <f>IF($A251&gt;BOTT_C4,ROUND(BASE_C4+RATE_C4*($A251-BOTT_C4),0),IF($A251&gt;BOTT_C3,ROUND(BASE_C3+RATE_C3*($A251-BOTT_C3),0),IF($A251&gt;BOTT_C2,ROUND(BASE_C2+RATE_C2*($A251-BOTT_C2),0),ROUND(RATE_C1*$A251,0))))</f>
        <v/>
      </c>
      <c r="G251" s="556">
        <f>IF($A251&gt;BOTT_D4,ROUND(BASE_D4+RATE_D4*($A251-BOTT_D4),0),IF($A251&gt;BOTT_D3,ROUND(BASE_D3+RATE_D3*($A251-BOTT_D3),0),IF($A251&gt;BOTT_D2,ROUND(BASE_D2+RATE_D2*($A251-BOTT_D2),0),ROUND(RATE_D1*$A251,0))))</f>
        <v/>
      </c>
    </row>
    <row r="252" ht="15.75" customHeight="1" s="7635">
      <c r="A252" s="625">
        <f>AVERAGE(B252,C252)</f>
        <v/>
      </c>
      <c r="B252" s="555" t="n">
        <v>9400</v>
      </c>
      <c r="C252" s="555" t="n">
        <v>9450</v>
      </c>
      <c r="D252" s="556">
        <f>IF($A252&gt;BOTT_A4,ROUND(BASE_A4+RATE_A4*($A252-BOTT_A4),0),IF($A252&gt;BOTT_A3,ROUND(BASE_A3+RATE_A3*($A252-BOTT_A3),0),IF($A252&gt;BOTT_A2,ROUND(BASE_A2+RATE_A2*($A252-BOTT_A2),0),ROUND(RATE_A1*$A252,0))))</f>
        <v/>
      </c>
      <c r="E252" s="556">
        <f>IF($A252&gt;BOTT_B4,ROUND(BASE_B4+RATE_B4*($A252-BOTT_B4),0),IF($A252&gt;BOTT_B3,ROUND(BASE_B3+RATE_B3*($A252-BOTT_B3),0),IF($A252&gt;BOTT_B2,ROUND(BASE_B2+RATE_B2*($A252-BOTT_B2),0),ROUND(RATE_B1*$A252,0))))</f>
        <v/>
      </c>
      <c r="F252" s="556">
        <f>IF($A252&gt;BOTT_C4,ROUND(BASE_C4+RATE_C4*($A252-BOTT_C4),0),IF($A252&gt;BOTT_C3,ROUND(BASE_C3+RATE_C3*($A252-BOTT_C3),0),IF($A252&gt;BOTT_C2,ROUND(BASE_C2+RATE_C2*($A252-BOTT_C2),0),ROUND(RATE_C1*$A252,0))))</f>
        <v/>
      </c>
      <c r="G252" s="556">
        <f>IF($A252&gt;BOTT_D4,ROUND(BASE_D4+RATE_D4*($A252-BOTT_D4),0),IF($A252&gt;BOTT_D3,ROUND(BASE_D3+RATE_D3*($A252-BOTT_D3),0),IF($A252&gt;BOTT_D2,ROUND(BASE_D2+RATE_D2*($A252-BOTT_D2),0),ROUND(RATE_D1*$A252,0))))</f>
        <v/>
      </c>
    </row>
    <row r="253" ht="15.75" customHeight="1" s="7635">
      <c r="A253" s="625">
        <f>AVERAGE(B253,C253)</f>
        <v/>
      </c>
      <c r="B253" s="555" t="n">
        <v>9450</v>
      </c>
      <c r="C253" s="555" t="n">
        <v>9500</v>
      </c>
      <c r="D253" s="556">
        <f>IF($A253&gt;BOTT_A4,ROUND(BASE_A4+RATE_A4*($A253-BOTT_A4),0),IF($A253&gt;BOTT_A3,ROUND(BASE_A3+RATE_A3*($A253-BOTT_A3),0),IF($A253&gt;BOTT_A2,ROUND(BASE_A2+RATE_A2*($A253-BOTT_A2),0),ROUND(RATE_A1*$A253,0))))</f>
        <v/>
      </c>
      <c r="E253" s="556">
        <f>IF($A253&gt;BOTT_B4,ROUND(BASE_B4+RATE_B4*($A253-BOTT_B4),0),IF($A253&gt;BOTT_B3,ROUND(BASE_B3+RATE_B3*($A253-BOTT_B3),0),IF($A253&gt;BOTT_B2,ROUND(BASE_B2+RATE_B2*($A253-BOTT_B2),0),ROUND(RATE_B1*$A253,0))))</f>
        <v/>
      </c>
      <c r="F253" s="556">
        <f>IF($A253&gt;BOTT_C4,ROUND(BASE_C4+RATE_C4*($A253-BOTT_C4),0),IF($A253&gt;BOTT_C3,ROUND(BASE_C3+RATE_C3*($A253-BOTT_C3),0),IF($A253&gt;BOTT_C2,ROUND(BASE_C2+RATE_C2*($A253-BOTT_C2),0),ROUND(RATE_C1*$A253,0))))</f>
        <v/>
      </c>
      <c r="G253" s="556">
        <f>IF($A253&gt;BOTT_D4,ROUND(BASE_D4+RATE_D4*($A253-BOTT_D4),0),IF($A253&gt;BOTT_D3,ROUND(BASE_D3+RATE_D3*($A253-BOTT_D3),0),IF($A253&gt;BOTT_D2,ROUND(BASE_D2+RATE_D2*($A253-BOTT_D2),0),ROUND(RATE_D1*$A253,0))))</f>
        <v/>
      </c>
    </row>
    <row r="254" ht="15.75" customHeight="1" s="7635">
      <c r="A254" s="625">
        <f>AVERAGE(B254,C254)</f>
        <v/>
      </c>
      <c r="B254" s="555" t="n">
        <v>9500</v>
      </c>
      <c r="C254" s="555" t="n">
        <v>9550</v>
      </c>
      <c r="D254" s="556">
        <f>IF($A254&gt;BOTT_A4,ROUND(BASE_A4+RATE_A4*($A254-BOTT_A4),0),IF($A254&gt;BOTT_A3,ROUND(BASE_A3+RATE_A3*($A254-BOTT_A3),0),IF($A254&gt;BOTT_A2,ROUND(BASE_A2+RATE_A2*($A254-BOTT_A2),0),ROUND(RATE_A1*$A254,0))))</f>
        <v/>
      </c>
      <c r="E254" s="556">
        <f>IF($A254&gt;BOTT_B4,ROUND(BASE_B4+RATE_B4*($A254-BOTT_B4),0),IF($A254&gt;BOTT_B3,ROUND(BASE_B3+RATE_B3*($A254-BOTT_B3),0),IF($A254&gt;BOTT_B2,ROUND(BASE_B2+RATE_B2*($A254-BOTT_B2),0),ROUND(RATE_B1*$A254,0))))</f>
        <v/>
      </c>
      <c r="F254" s="556">
        <f>IF($A254&gt;BOTT_C4,ROUND(BASE_C4+RATE_C4*($A254-BOTT_C4),0),IF($A254&gt;BOTT_C3,ROUND(BASE_C3+RATE_C3*($A254-BOTT_C3),0),IF($A254&gt;BOTT_C2,ROUND(BASE_C2+RATE_C2*($A254-BOTT_C2),0),ROUND(RATE_C1*$A254,0))))</f>
        <v/>
      </c>
      <c r="G254" s="556">
        <f>IF($A254&gt;BOTT_D4,ROUND(BASE_D4+RATE_D4*($A254-BOTT_D4),0),IF($A254&gt;BOTT_D3,ROUND(BASE_D3+RATE_D3*($A254-BOTT_D3),0),IF($A254&gt;BOTT_D2,ROUND(BASE_D2+RATE_D2*($A254-BOTT_D2),0),ROUND(RATE_D1*$A254,0))))</f>
        <v/>
      </c>
    </row>
    <row r="255" ht="15.75" customHeight="1" s="7635">
      <c r="A255" s="625">
        <f>AVERAGE(B255,C255)</f>
        <v/>
      </c>
      <c r="B255" s="555" t="n">
        <v>9550</v>
      </c>
      <c r="C255" s="555" t="n">
        <v>9600</v>
      </c>
      <c r="D255" s="556">
        <f>IF($A255&gt;BOTT_A4,ROUND(BASE_A4+RATE_A4*($A255-BOTT_A4),0),IF($A255&gt;BOTT_A3,ROUND(BASE_A3+RATE_A3*($A255-BOTT_A3),0),IF($A255&gt;BOTT_A2,ROUND(BASE_A2+RATE_A2*($A255-BOTT_A2),0),ROUND(RATE_A1*$A255,0))))</f>
        <v/>
      </c>
      <c r="E255" s="556">
        <f>IF($A255&gt;BOTT_B4,ROUND(BASE_B4+RATE_B4*($A255-BOTT_B4),0),IF($A255&gt;BOTT_B3,ROUND(BASE_B3+RATE_B3*($A255-BOTT_B3),0),IF($A255&gt;BOTT_B2,ROUND(BASE_B2+RATE_B2*($A255-BOTT_B2),0),ROUND(RATE_B1*$A255,0))))</f>
        <v/>
      </c>
      <c r="F255" s="556">
        <f>IF($A255&gt;BOTT_C4,ROUND(BASE_C4+RATE_C4*($A255-BOTT_C4),0),IF($A255&gt;BOTT_C3,ROUND(BASE_C3+RATE_C3*($A255-BOTT_C3),0),IF($A255&gt;BOTT_C2,ROUND(BASE_C2+RATE_C2*($A255-BOTT_C2),0),ROUND(RATE_C1*$A255,0))))</f>
        <v/>
      </c>
      <c r="G255" s="556">
        <f>IF($A255&gt;BOTT_D4,ROUND(BASE_D4+RATE_D4*($A255-BOTT_D4),0),IF($A255&gt;BOTT_D3,ROUND(BASE_D3+RATE_D3*($A255-BOTT_D3),0),IF($A255&gt;BOTT_D2,ROUND(BASE_D2+RATE_D2*($A255-BOTT_D2),0),ROUND(RATE_D1*$A255,0))))</f>
        <v/>
      </c>
    </row>
    <row r="256" ht="15.75" customHeight="1" s="7635">
      <c r="A256" s="625">
        <f>AVERAGE(B256,C256)</f>
        <v/>
      </c>
      <c r="B256" s="555" t="n">
        <v>9600</v>
      </c>
      <c r="C256" s="555" t="n">
        <v>9650</v>
      </c>
      <c r="D256" s="556">
        <f>IF($A256&gt;BOTT_A4,ROUND(BASE_A4+RATE_A4*($A256-BOTT_A4),0),IF($A256&gt;BOTT_A3,ROUND(BASE_A3+RATE_A3*($A256-BOTT_A3),0),IF($A256&gt;BOTT_A2,ROUND(BASE_A2+RATE_A2*($A256-BOTT_A2),0),ROUND(RATE_A1*$A256,0))))</f>
        <v/>
      </c>
      <c r="E256" s="556">
        <f>IF($A256&gt;BOTT_B4,ROUND(BASE_B4+RATE_B4*($A256-BOTT_B4),0),IF($A256&gt;BOTT_B3,ROUND(BASE_B3+RATE_B3*($A256-BOTT_B3),0),IF($A256&gt;BOTT_B2,ROUND(BASE_B2+RATE_B2*($A256-BOTT_B2),0),ROUND(RATE_B1*$A256,0))))</f>
        <v/>
      </c>
      <c r="F256" s="556">
        <f>IF($A256&gt;BOTT_C4,ROUND(BASE_C4+RATE_C4*($A256-BOTT_C4),0),IF($A256&gt;BOTT_C3,ROUND(BASE_C3+RATE_C3*($A256-BOTT_C3),0),IF($A256&gt;BOTT_C2,ROUND(BASE_C2+RATE_C2*($A256-BOTT_C2),0),ROUND(RATE_C1*$A256,0))))</f>
        <v/>
      </c>
      <c r="G256" s="556">
        <f>IF($A256&gt;BOTT_D4,ROUND(BASE_D4+RATE_D4*($A256-BOTT_D4),0),IF($A256&gt;BOTT_D3,ROUND(BASE_D3+RATE_D3*($A256-BOTT_D3),0),IF($A256&gt;BOTT_D2,ROUND(BASE_D2+RATE_D2*($A256-BOTT_D2),0),ROUND(RATE_D1*$A256,0))))</f>
        <v/>
      </c>
    </row>
    <row r="257" ht="15.75" customHeight="1" s="7635">
      <c r="A257" s="625">
        <f>AVERAGE(B257,C257)</f>
        <v/>
      </c>
      <c r="B257" s="555" t="n">
        <v>9650</v>
      </c>
      <c r="C257" s="555" t="n">
        <v>9700</v>
      </c>
      <c r="D257" s="556">
        <f>IF($A257&gt;BOTT_A4,ROUND(BASE_A4+RATE_A4*($A257-BOTT_A4),0),IF($A257&gt;BOTT_A3,ROUND(BASE_A3+RATE_A3*($A257-BOTT_A3),0),IF($A257&gt;BOTT_A2,ROUND(BASE_A2+RATE_A2*($A257-BOTT_A2),0),ROUND(RATE_A1*$A257,0))))</f>
        <v/>
      </c>
      <c r="E257" s="556">
        <f>IF($A257&gt;BOTT_B4,ROUND(BASE_B4+RATE_B4*($A257-BOTT_B4),0),IF($A257&gt;BOTT_B3,ROUND(BASE_B3+RATE_B3*($A257-BOTT_B3),0),IF($A257&gt;BOTT_B2,ROUND(BASE_B2+RATE_B2*($A257-BOTT_B2),0),ROUND(RATE_B1*$A257,0))))</f>
        <v/>
      </c>
      <c r="F257" s="556">
        <f>IF($A257&gt;BOTT_C4,ROUND(BASE_C4+RATE_C4*($A257-BOTT_C4),0),IF($A257&gt;BOTT_C3,ROUND(BASE_C3+RATE_C3*($A257-BOTT_C3),0),IF($A257&gt;BOTT_C2,ROUND(BASE_C2+RATE_C2*($A257-BOTT_C2),0),ROUND(RATE_C1*$A257,0))))</f>
        <v/>
      </c>
      <c r="G257" s="556">
        <f>IF($A257&gt;BOTT_D4,ROUND(BASE_D4+RATE_D4*($A257-BOTT_D4),0),IF($A257&gt;BOTT_D3,ROUND(BASE_D3+RATE_D3*($A257-BOTT_D3),0),IF($A257&gt;BOTT_D2,ROUND(BASE_D2+RATE_D2*($A257-BOTT_D2),0),ROUND(RATE_D1*$A257,0))))</f>
        <v/>
      </c>
    </row>
    <row r="258" ht="15.75" customHeight="1" s="7635">
      <c r="A258" s="625">
        <f>AVERAGE(B258,C258)</f>
        <v/>
      </c>
      <c r="B258" s="555" t="n">
        <v>9700</v>
      </c>
      <c r="C258" s="555" t="n">
        <v>9750</v>
      </c>
      <c r="D258" s="556">
        <f>IF($A258&gt;BOTT_A4,ROUND(BASE_A4+RATE_A4*($A258-BOTT_A4),0),IF($A258&gt;BOTT_A3,ROUND(BASE_A3+RATE_A3*($A258-BOTT_A3),0),IF($A258&gt;BOTT_A2,ROUND(BASE_A2+RATE_A2*($A258-BOTT_A2),0),ROUND(RATE_A1*$A258,0))))</f>
        <v/>
      </c>
      <c r="E258" s="556">
        <f>IF($A258&gt;BOTT_B4,ROUND(BASE_B4+RATE_B4*($A258-BOTT_B4),0),IF($A258&gt;BOTT_B3,ROUND(BASE_B3+RATE_B3*($A258-BOTT_B3),0),IF($A258&gt;BOTT_B2,ROUND(BASE_B2+RATE_B2*($A258-BOTT_B2),0),ROUND(RATE_B1*$A258,0))))</f>
        <v/>
      </c>
      <c r="F258" s="556">
        <f>IF($A258&gt;BOTT_C4,ROUND(BASE_C4+RATE_C4*($A258-BOTT_C4),0),IF($A258&gt;BOTT_C3,ROUND(BASE_C3+RATE_C3*($A258-BOTT_C3),0),IF($A258&gt;BOTT_C2,ROUND(BASE_C2+RATE_C2*($A258-BOTT_C2),0),ROUND(RATE_C1*$A258,0))))</f>
        <v/>
      </c>
      <c r="G258" s="556">
        <f>IF($A258&gt;BOTT_D4,ROUND(BASE_D4+RATE_D4*($A258-BOTT_D4),0),IF($A258&gt;BOTT_D3,ROUND(BASE_D3+RATE_D3*($A258-BOTT_D3),0),IF($A258&gt;BOTT_D2,ROUND(BASE_D2+RATE_D2*($A258-BOTT_D2),0),ROUND(RATE_D1*$A258,0))))</f>
        <v/>
      </c>
    </row>
    <row r="259" ht="15.75" customHeight="1" s="7635">
      <c r="A259" s="625">
        <f>AVERAGE(B259,C259)</f>
        <v/>
      </c>
      <c r="B259" s="555" t="n">
        <v>9750</v>
      </c>
      <c r="C259" s="555" t="n">
        <v>9800</v>
      </c>
      <c r="D259" s="556">
        <f>IF($A259&gt;BOTT_A4,ROUND(BASE_A4+RATE_A4*($A259-BOTT_A4),0),IF($A259&gt;BOTT_A3,ROUND(BASE_A3+RATE_A3*($A259-BOTT_A3),0),IF($A259&gt;BOTT_A2,ROUND(BASE_A2+RATE_A2*($A259-BOTT_A2),0),ROUND(RATE_A1*$A259,0))))</f>
        <v/>
      </c>
      <c r="E259" s="556">
        <f>IF($A259&gt;BOTT_B4,ROUND(BASE_B4+RATE_B4*($A259-BOTT_B4),0),IF($A259&gt;BOTT_B3,ROUND(BASE_B3+RATE_B3*($A259-BOTT_B3),0),IF($A259&gt;BOTT_B2,ROUND(BASE_B2+RATE_B2*($A259-BOTT_B2),0),ROUND(RATE_B1*$A259,0))))</f>
        <v/>
      </c>
      <c r="F259" s="556">
        <f>IF($A259&gt;BOTT_C4,ROUND(BASE_C4+RATE_C4*($A259-BOTT_C4),0),IF($A259&gt;BOTT_C3,ROUND(BASE_C3+RATE_C3*($A259-BOTT_C3),0),IF($A259&gt;BOTT_C2,ROUND(BASE_C2+RATE_C2*($A259-BOTT_C2),0),ROUND(RATE_C1*$A259,0))))</f>
        <v/>
      </c>
      <c r="G259" s="556">
        <f>IF($A259&gt;BOTT_D4,ROUND(BASE_D4+RATE_D4*($A259-BOTT_D4),0),IF($A259&gt;BOTT_D3,ROUND(BASE_D3+RATE_D3*($A259-BOTT_D3),0),IF($A259&gt;BOTT_D2,ROUND(BASE_D2+RATE_D2*($A259-BOTT_D2),0),ROUND(RATE_D1*$A259,0))))</f>
        <v/>
      </c>
    </row>
    <row r="260" ht="15.75" customHeight="1" s="7635">
      <c r="A260" s="625">
        <f>AVERAGE(B260,C260)</f>
        <v/>
      </c>
      <c r="B260" s="555" t="n">
        <v>9800</v>
      </c>
      <c r="C260" s="555" t="n">
        <v>9850</v>
      </c>
      <c r="D260" s="556">
        <f>IF($A260&gt;BOTT_A4,ROUND(BASE_A4+RATE_A4*($A260-BOTT_A4),0),IF($A260&gt;BOTT_A3,ROUND(BASE_A3+RATE_A3*($A260-BOTT_A3),0),IF($A260&gt;BOTT_A2,ROUND(BASE_A2+RATE_A2*($A260-BOTT_A2),0),ROUND(RATE_A1*$A260,0))))</f>
        <v/>
      </c>
      <c r="E260" s="556">
        <f>IF($A260&gt;BOTT_B4,ROUND(BASE_B4+RATE_B4*($A260-BOTT_B4),0),IF($A260&gt;BOTT_B3,ROUND(BASE_B3+RATE_B3*($A260-BOTT_B3),0),IF($A260&gt;BOTT_B2,ROUND(BASE_B2+RATE_B2*($A260-BOTT_B2),0),ROUND(RATE_B1*$A260,0))))</f>
        <v/>
      </c>
      <c r="F260" s="556">
        <f>IF($A260&gt;BOTT_C4,ROUND(BASE_C4+RATE_C4*($A260-BOTT_C4),0),IF($A260&gt;BOTT_C3,ROUND(BASE_C3+RATE_C3*($A260-BOTT_C3),0),IF($A260&gt;BOTT_C2,ROUND(BASE_C2+RATE_C2*($A260-BOTT_C2),0),ROUND(RATE_C1*$A260,0))))</f>
        <v/>
      </c>
      <c r="G260" s="556">
        <f>IF($A260&gt;BOTT_D4,ROUND(BASE_D4+RATE_D4*($A260-BOTT_D4),0),IF($A260&gt;BOTT_D3,ROUND(BASE_D3+RATE_D3*($A260-BOTT_D3),0),IF($A260&gt;BOTT_D2,ROUND(BASE_D2+RATE_D2*($A260-BOTT_D2),0),ROUND(RATE_D1*$A260,0))))</f>
        <v/>
      </c>
    </row>
    <row r="261" ht="15.75" customHeight="1" s="7635">
      <c r="A261" s="625">
        <f>AVERAGE(B261,C261)</f>
        <v/>
      </c>
      <c r="B261" s="555" t="n">
        <v>9850</v>
      </c>
      <c r="C261" s="555" t="n">
        <v>9900</v>
      </c>
      <c r="D261" s="556">
        <f>IF($A261&gt;BOTT_A4,ROUND(BASE_A4+RATE_A4*($A261-BOTT_A4),0),IF($A261&gt;BOTT_A3,ROUND(BASE_A3+RATE_A3*($A261-BOTT_A3),0),IF($A261&gt;BOTT_A2,ROUND(BASE_A2+RATE_A2*($A261-BOTT_A2),0),ROUND(RATE_A1*$A261,0))))</f>
        <v/>
      </c>
      <c r="E261" s="556">
        <f>IF($A261&gt;BOTT_B4,ROUND(BASE_B4+RATE_B4*($A261-BOTT_B4),0),IF($A261&gt;BOTT_B3,ROUND(BASE_B3+RATE_B3*($A261-BOTT_B3),0),IF($A261&gt;BOTT_B2,ROUND(BASE_B2+RATE_B2*($A261-BOTT_B2),0),ROUND(RATE_B1*$A261,0))))</f>
        <v/>
      </c>
      <c r="F261" s="556">
        <f>IF($A261&gt;BOTT_C4,ROUND(BASE_C4+RATE_C4*($A261-BOTT_C4),0),IF($A261&gt;BOTT_C3,ROUND(BASE_C3+RATE_C3*($A261-BOTT_C3),0),IF($A261&gt;BOTT_C2,ROUND(BASE_C2+RATE_C2*($A261-BOTT_C2),0),ROUND(RATE_C1*$A261,0))))</f>
        <v/>
      </c>
      <c r="G261" s="556">
        <f>IF($A261&gt;BOTT_D4,ROUND(BASE_D4+RATE_D4*($A261-BOTT_D4),0),IF($A261&gt;BOTT_D3,ROUND(BASE_D3+RATE_D3*($A261-BOTT_D3),0),IF($A261&gt;BOTT_D2,ROUND(BASE_D2+RATE_D2*($A261-BOTT_D2),0),ROUND(RATE_D1*$A261,0))))</f>
        <v/>
      </c>
    </row>
    <row r="262" ht="15.75" customHeight="1" s="7635">
      <c r="A262" s="625">
        <f>AVERAGE(B262,C262)</f>
        <v/>
      </c>
      <c r="B262" s="555" t="n">
        <v>9900</v>
      </c>
      <c r="C262" s="555" t="n">
        <v>9950</v>
      </c>
      <c r="D262" s="556">
        <f>IF($A262&gt;BOTT_A4,ROUND(BASE_A4+RATE_A4*($A262-BOTT_A4),0),IF($A262&gt;BOTT_A3,ROUND(BASE_A3+RATE_A3*($A262-BOTT_A3),0),IF($A262&gt;BOTT_A2,ROUND(BASE_A2+RATE_A2*($A262-BOTT_A2),0),ROUND(RATE_A1*$A262,0))))</f>
        <v/>
      </c>
      <c r="E262" s="556">
        <f>IF($A262&gt;BOTT_B4,ROUND(BASE_B4+RATE_B4*($A262-BOTT_B4),0),IF($A262&gt;BOTT_B3,ROUND(BASE_B3+RATE_B3*($A262-BOTT_B3),0),IF($A262&gt;BOTT_B2,ROUND(BASE_B2+RATE_B2*($A262-BOTT_B2),0),ROUND(RATE_B1*$A262,0))))</f>
        <v/>
      </c>
      <c r="F262" s="556">
        <f>IF($A262&gt;BOTT_C4,ROUND(BASE_C4+RATE_C4*($A262-BOTT_C4),0),IF($A262&gt;BOTT_C3,ROUND(BASE_C3+RATE_C3*($A262-BOTT_C3),0),IF($A262&gt;BOTT_C2,ROUND(BASE_C2+RATE_C2*($A262-BOTT_C2),0),ROUND(RATE_C1*$A262,0))))</f>
        <v/>
      </c>
      <c r="G262" s="556">
        <f>IF($A262&gt;BOTT_D4,ROUND(BASE_D4+RATE_D4*($A262-BOTT_D4),0),IF($A262&gt;BOTT_D3,ROUND(BASE_D3+RATE_D3*($A262-BOTT_D3),0),IF($A262&gt;BOTT_D2,ROUND(BASE_D2+RATE_D2*($A262-BOTT_D2),0),ROUND(RATE_D1*$A262,0))))</f>
        <v/>
      </c>
    </row>
    <row r="263" ht="15.75" customHeight="1" s="7635">
      <c r="A263" s="625">
        <f>AVERAGE(B263,C263)</f>
        <v/>
      </c>
      <c r="B263" s="555" t="n">
        <v>9950</v>
      </c>
      <c r="C263" s="555" t="n">
        <v>10000</v>
      </c>
      <c r="D263" s="556">
        <f>IF($A263&gt;BOTT_A4,ROUND(BASE_A4+RATE_A4*($A263-BOTT_A4),0),IF($A263&gt;BOTT_A3,ROUND(BASE_A3+RATE_A3*($A263-BOTT_A3),0),IF($A263&gt;BOTT_A2,ROUND(BASE_A2+RATE_A2*($A263-BOTT_A2),0),ROUND(RATE_A1*$A263,0))))</f>
        <v/>
      </c>
      <c r="E263" s="556">
        <f>IF($A263&gt;BOTT_B4,ROUND(BASE_B4+RATE_B4*($A263-BOTT_B4),0),IF($A263&gt;BOTT_B3,ROUND(BASE_B3+RATE_B3*($A263-BOTT_B3),0),IF($A263&gt;BOTT_B2,ROUND(BASE_B2+RATE_B2*($A263-BOTT_B2),0),ROUND(RATE_B1*$A263,0))))</f>
        <v/>
      </c>
      <c r="F263" s="556">
        <f>IF($A263&gt;BOTT_C4,ROUND(BASE_C4+RATE_C4*($A263-BOTT_C4),0),IF($A263&gt;BOTT_C3,ROUND(BASE_C3+RATE_C3*($A263-BOTT_C3),0),IF($A263&gt;BOTT_C2,ROUND(BASE_C2+RATE_C2*($A263-BOTT_C2),0),ROUND(RATE_C1*$A263,0))))</f>
        <v/>
      </c>
      <c r="G263" s="556">
        <f>IF($A263&gt;BOTT_D4,ROUND(BASE_D4+RATE_D4*($A263-BOTT_D4),0),IF($A263&gt;BOTT_D3,ROUND(BASE_D3+RATE_D3*($A263-BOTT_D3),0),IF($A263&gt;BOTT_D2,ROUND(BASE_D2+RATE_D2*($A263-BOTT_D2),0),ROUND(RATE_D1*$A263,0))))</f>
        <v/>
      </c>
    </row>
    <row r="264" ht="15.75" customHeight="1" s="7635">
      <c r="A264" s="625">
        <f>AVERAGE(B264,C264)</f>
        <v/>
      </c>
      <c r="B264" s="555" t="n">
        <v>10000</v>
      </c>
      <c r="C264" s="555" t="n">
        <v>10050</v>
      </c>
      <c r="D264" s="556">
        <f>IF($A264&gt;BOTT_A4,ROUND(BASE_A4+RATE_A4*($A264-BOTT_A4),0),IF($A264&gt;BOTT_A3,ROUND(BASE_A3+RATE_A3*($A264-BOTT_A3),0),IF($A264&gt;BOTT_A2,ROUND(BASE_A2+RATE_A2*($A264-BOTT_A2),0),ROUND(RATE_A1*$A264,0))))</f>
        <v/>
      </c>
      <c r="E264" s="556">
        <f>IF($A264&gt;BOTT_B4,ROUND(BASE_B4+RATE_B4*($A264-BOTT_B4),0),IF($A264&gt;BOTT_B3,ROUND(BASE_B3+RATE_B3*($A264-BOTT_B3),0),IF($A264&gt;BOTT_B2,ROUND(BASE_B2+RATE_B2*($A264-BOTT_B2),0),ROUND(RATE_B1*$A264,0))))</f>
        <v/>
      </c>
      <c r="F264" s="556">
        <f>IF($A264&gt;BOTT_C4,ROUND(BASE_C4+RATE_C4*($A264-BOTT_C4),0),IF($A264&gt;BOTT_C3,ROUND(BASE_C3+RATE_C3*($A264-BOTT_C3),0),IF($A264&gt;BOTT_C2,ROUND(BASE_C2+RATE_C2*($A264-BOTT_C2),0),ROUND(RATE_C1*$A264,0))))</f>
        <v/>
      </c>
      <c r="G264" s="556">
        <f>IF($A264&gt;BOTT_D4,ROUND(BASE_D4+RATE_D4*($A264-BOTT_D4),0),IF($A264&gt;BOTT_D3,ROUND(BASE_D3+RATE_D3*($A264-BOTT_D3),0),IF($A264&gt;BOTT_D2,ROUND(BASE_D2+RATE_D2*($A264-BOTT_D2),0),ROUND(RATE_D1*$A264,0))))</f>
        <v/>
      </c>
    </row>
    <row r="265" ht="15.75" customHeight="1" s="7635">
      <c r="A265" s="625">
        <f>AVERAGE(B265,C265)</f>
        <v/>
      </c>
      <c r="B265" s="555" t="n">
        <v>10050</v>
      </c>
      <c r="C265" s="555" t="n">
        <v>10100</v>
      </c>
      <c r="D265" s="556">
        <f>IF($A265&gt;BOTT_A4,ROUND(BASE_A4+RATE_A4*($A265-BOTT_A4),0),IF($A265&gt;BOTT_A3,ROUND(BASE_A3+RATE_A3*($A265-BOTT_A3),0),IF($A265&gt;BOTT_A2,ROUND(BASE_A2+RATE_A2*($A265-BOTT_A2),0),ROUND(RATE_A1*$A265,0))))</f>
        <v/>
      </c>
      <c r="E265" s="556">
        <f>IF($A265&gt;BOTT_B4,ROUND(BASE_B4+RATE_B4*($A265-BOTT_B4),0),IF($A265&gt;BOTT_B3,ROUND(BASE_B3+RATE_B3*($A265-BOTT_B3),0),IF($A265&gt;BOTT_B2,ROUND(BASE_B2+RATE_B2*($A265-BOTT_B2),0),ROUND(RATE_B1*$A265,0))))</f>
        <v/>
      </c>
      <c r="F265" s="556">
        <f>IF($A265&gt;BOTT_C4,ROUND(BASE_C4+RATE_C4*($A265-BOTT_C4),0),IF($A265&gt;BOTT_C3,ROUND(BASE_C3+RATE_C3*($A265-BOTT_C3),0),IF($A265&gt;BOTT_C2,ROUND(BASE_C2+RATE_C2*($A265-BOTT_C2),0),ROUND(RATE_C1*$A265,0))))</f>
        <v/>
      </c>
      <c r="G265" s="556">
        <f>IF($A265&gt;BOTT_D4,ROUND(BASE_D4+RATE_D4*($A265-BOTT_D4),0),IF($A265&gt;BOTT_D3,ROUND(BASE_D3+RATE_D3*($A265-BOTT_D3),0),IF($A265&gt;BOTT_D2,ROUND(BASE_D2+RATE_D2*($A265-BOTT_D2),0),ROUND(RATE_D1*$A265,0))))</f>
        <v/>
      </c>
    </row>
    <row r="266" ht="15.75" customHeight="1" s="7635">
      <c r="A266" s="625">
        <f>AVERAGE(B266,C266)</f>
        <v/>
      </c>
      <c r="B266" s="555" t="n">
        <v>10100</v>
      </c>
      <c r="C266" s="555" t="n">
        <v>10150</v>
      </c>
      <c r="D266" s="556">
        <f>IF($A266&gt;BOTT_A4,ROUND(BASE_A4+RATE_A4*($A266-BOTT_A4),0),IF($A266&gt;BOTT_A3,ROUND(BASE_A3+RATE_A3*($A266-BOTT_A3),0),IF($A266&gt;BOTT_A2,ROUND(BASE_A2+RATE_A2*($A266-BOTT_A2),0),ROUND(RATE_A1*$A266,0))))</f>
        <v/>
      </c>
      <c r="E266" s="556">
        <f>IF($A266&gt;BOTT_B4,ROUND(BASE_B4+RATE_B4*($A266-BOTT_B4),0),IF($A266&gt;BOTT_B3,ROUND(BASE_B3+RATE_B3*($A266-BOTT_B3),0),IF($A266&gt;BOTT_B2,ROUND(BASE_B2+RATE_B2*($A266-BOTT_B2),0),ROUND(RATE_B1*$A266,0))))</f>
        <v/>
      </c>
      <c r="F266" s="556">
        <f>IF($A266&gt;BOTT_C4,ROUND(BASE_C4+RATE_C4*($A266-BOTT_C4),0),IF($A266&gt;BOTT_C3,ROUND(BASE_C3+RATE_C3*($A266-BOTT_C3),0),IF($A266&gt;BOTT_C2,ROUND(BASE_C2+RATE_C2*($A266-BOTT_C2),0),ROUND(RATE_C1*$A266,0))))</f>
        <v/>
      </c>
      <c r="G266" s="556">
        <f>IF($A266&gt;BOTT_D4,ROUND(BASE_D4+RATE_D4*($A266-BOTT_D4),0),IF($A266&gt;BOTT_D3,ROUND(BASE_D3+RATE_D3*($A266-BOTT_D3),0),IF($A266&gt;BOTT_D2,ROUND(BASE_D2+RATE_D2*($A266-BOTT_D2),0),ROUND(RATE_D1*$A266,0))))</f>
        <v/>
      </c>
    </row>
    <row r="267" ht="15.75" customHeight="1" s="7635">
      <c r="A267" s="625">
        <f>AVERAGE(B267,C267)</f>
        <v/>
      </c>
      <c r="B267" s="555" t="n">
        <v>10150</v>
      </c>
      <c r="C267" s="555" t="n">
        <v>10200</v>
      </c>
      <c r="D267" s="556">
        <f>IF($A267&gt;BOTT_A4,ROUND(BASE_A4+RATE_A4*($A267-BOTT_A4),0),IF($A267&gt;BOTT_A3,ROUND(BASE_A3+RATE_A3*($A267-BOTT_A3),0),IF($A267&gt;BOTT_A2,ROUND(BASE_A2+RATE_A2*($A267-BOTT_A2),0),ROUND(RATE_A1*$A267,0))))</f>
        <v/>
      </c>
      <c r="E267" s="556">
        <f>IF($A267&gt;BOTT_B4,ROUND(BASE_B4+RATE_B4*($A267-BOTT_B4),0),IF($A267&gt;BOTT_B3,ROUND(BASE_B3+RATE_B3*($A267-BOTT_B3),0),IF($A267&gt;BOTT_B2,ROUND(BASE_B2+RATE_B2*($A267-BOTT_B2),0),ROUND(RATE_B1*$A267,0))))</f>
        <v/>
      </c>
      <c r="F267" s="556">
        <f>IF($A267&gt;BOTT_C4,ROUND(BASE_C4+RATE_C4*($A267-BOTT_C4),0),IF($A267&gt;BOTT_C3,ROUND(BASE_C3+RATE_C3*($A267-BOTT_C3),0),IF($A267&gt;BOTT_C2,ROUND(BASE_C2+RATE_C2*($A267-BOTT_C2),0),ROUND(RATE_C1*$A267,0))))</f>
        <v/>
      </c>
      <c r="G267" s="556">
        <f>IF($A267&gt;BOTT_D4,ROUND(BASE_D4+RATE_D4*($A267-BOTT_D4),0),IF($A267&gt;BOTT_D3,ROUND(BASE_D3+RATE_D3*($A267-BOTT_D3),0),IF($A267&gt;BOTT_D2,ROUND(BASE_D2+RATE_D2*($A267-BOTT_D2),0),ROUND(RATE_D1*$A267,0))))</f>
        <v/>
      </c>
    </row>
    <row r="268" ht="15.75" customHeight="1" s="7635">
      <c r="A268" s="625">
        <f>AVERAGE(B268,C268)</f>
        <v/>
      </c>
      <c r="B268" s="555" t="n">
        <v>10200</v>
      </c>
      <c r="C268" s="555" t="n">
        <v>10250</v>
      </c>
      <c r="D268" s="556">
        <f>IF($A268&gt;BOTT_A4,ROUND(BASE_A4+RATE_A4*($A268-BOTT_A4),0),IF($A268&gt;BOTT_A3,ROUND(BASE_A3+RATE_A3*($A268-BOTT_A3),0),IF($A268&gt;BOTT_A2,ROUND(BASE_A2+RATE_A2*($A268-BOTT_A2),0),ROUND(RATE_A1*$A268,0))))</f>
        <v/>
      </c>
      <c r="E268" s="556">
        <f>IF($A268&gt;BOTT_B4,ROUND(BASE_B4+RATE_B4*($A268-BOTT_B4),0),IF($A268&gt;BOTT_B3,ROUND(BASE_B3+RATE_B3*($A268-BOTT_B3),0),IF($A268&gt;BOTT_B2,ROUND(BASE_B2+RATE_B2*($A268-BOTT_B2),0),ROUND(RATE_B1*$A268,0))))</f>
        <v/>
      </c>
      <c r="F268" s="556">
        <f>IF($A268&gt;BOTT_C4,ROUND(BASE_C4+RATE_C4*($A268-BOTT_C4),0),IF($A268&gt;BOTT_C3,ROUND(BASE_C3+RATE_C3*($A268-BOTT_C3),0),IF($A268&gt;BOTT_C2,ROUND(BASE_C2+RATE_C2*($A268-BOTT_C2),0),ROUND(RATE_C1*$A268,0))))</f>
        <v/>
      </c>
      <c r="G268" s="556">
        <f>IF($A268&gt;BOTT_D4,ROUND(BASE_D4+RATE_D4*($A268-BOTT_D4),0),IF($A268&gt;BOTT_D3,ROUND(BASE_D3+RATE_D3*($A268-BOTT_D3),0),IF($A268&gt;BOTT_D2,ROUND(BASE_D2+RATE_D2*($A268-BOTT_D2),0),ROUND(RATE_D1*$A268,0))))</f>
        <v/>
      </c>
    </row>
    <row r="269" ht="15.75" customHeight="1" s="7635">
      <c r="A269" s="625">
        <f>AVERAGE(B269,C269)</f>
        <v/>
      </c>
      <c r="B269" s="555" t="n">
        <v>10250</v>
      </c>
      <c r="C269" s="555" t="n">
        <v>10300</v>
      </c>
      <c r="D269" s="556">
        <f>IF($A269&gt;BOTT_A4,ROUND(BASE_A4+RATE_A4*($A269-BOTT_A4),0),IF($A269&gt;BOTT_A3,ROUND(BASE_A3+RATE_A3*($A269-BOTT_A3),0),IF($A269&gt;BOTT_A2,ROUND(BASE_A2+RATE_A2*($A269-BOTT_A2),0),ROUND(RATE_A1*$A269,0))))</f>
        <v/>
      </c>
      <c r="E269" s="556">
        <f>IF($A269&gt;BOTT_B4,ROUND(BASE_B4+RATE_B4*($A269-BOTT_B4),0),IF($A269&gt;BOTT_B3,ROUND(BASE_B3+RATE_B3*($A269-BOTT_B3),0),IF($A269&gt;BOTT_B2,ROUND(BASE_B2+RATE_B2*($A269-BOTT_B2),0),ROUND(RATE_B1*$A269,0))))</f>
        <v/>
      </c>
      <c r="F269" s="556">
        <f>IF($A269&gt;BOTT_C4,ROUND(BASE_C4+RATE_C4*($A269-BOTT_C4),0),IF($A269&gt;BOTT_C3,ROUND(BASE_C3+RATE_C3*($A269-BOTT_C3),0),IF($A269&gt;BOTT_C2,ROUND(BASE_C2+RATE_C2*($A269-BOTT_C2),0),ROUND(RATE_C1*$A269,0))))</f>
        <v/>
      </c>
      <c r="G269" s="556">
        <f>IF($A269&gt;BOTT_D4,ROUND(BASE_D4+RATE_D4*($A269-BOTT_D4),0),IF($A269&gt;BOTT_D3,ROUND(BASE_D3+RATE_D3*($A269-BOTT_D3),0),IF($A269&gt;BOTT_D2,ROUND(BASE_D2+RATE_D2*($A269-BOTT_D2),0),ROUND(RATE_D1*$A269,0))))</f>
        <v/>
      </c>
    </row>
    <row r="270" ht="15.75" customHeight="1" s="7635">
      <c r="A270" s="625">
        <f>AVERAGE(B270,C270)</f>
        <v/>
      </c>
      <c r="B270" s="555" t="n">
        <v>10300</v>
      </c>
      <c r="C270" s="555" t="n">
        <v>10350</v>
      </c>
      <c r="D270" s="556">
        <f>IF($A270&gt;BOTT_A4,ROUND(BASE_A4+RATE_A4*($A270-BOTT_A4),0),IF($A270&gt;BOTT_A3,ROUND(BASE_A3+RATE_A3*($A270-BOTT_A3),0),IF($A270&gt;BOTT_A2,ROUND(BASE_A2+RATE_A2*($A270-BOTT_A2),0),ROUND(RATE_A1*$A270,0))))</f>
        <v/>
      </c>
      <c r="E270" s="556">
        <f>IF($A270&gt;BOTT_B4,ROUND(BASE_B4+RATE_B4*($A270-BOTT_B4),0),IF($A270&gt;BOTT_B3,ROUND(BASE_B3+RATE_B3*($A270-BOTT_B3),0),IF($A270&gt;BOTT_B2,ROUND(BASE_B2+RATE_B2*($A270-BOTT_B2),0),ROUND(RATE_B1*$A270,0))))</f>
        <v/>
      </c>
      <c r="F270" s="556">
        <f>IF($A270&gt;BOTT_C4,ROUND(BASE_C4+RATE_C4*($A270-BOTT_C4),0),IF($A270&gt;BOTT_C3,ROUND(BASE_C3+RATE_C3*($A270-BOTT_C3),0),IF($A270&gt;BOTT_C2,ROUND(BASE_C2+RATE_C2*($A270-BOTT_C2),0),ROUND(RATE_C1*$A270,0))))</f>
        <v/>
      </c>
      <c r="G270" s="556">
        <f>IF($A270&gt;BOTT_D4,ROUND(BASE_D4+RATE_D4*($A270-BOTT_D4),0),IF($A270&gt;BOTT_D3,ROUND(BASE_D3+RATE_D3*($A270-BOTT_D3),0),IF($A270&gt;BOTT_D2,ROUND(BASE_D2+RATE_D2*($A270-BOTT_D2),0),ROUND(RATE_D1*$A270,0))))</f>
        <v/>
      </c>
    </row>
    <row r="271" ht="15.75" customHeight="1" s="7635">
      <c r="A271" s="625">
        <f>AVERAGE(B271,C271)</f>
        <v/>
      </c>
      <c r="B271" s="555" t="n">
        <v>10350</v>
      </c>
      <c r="C271" s="555" t="n">
        <v>10400</v>
      </c>
      <c r="D271" s="556">
        <f>IF($A271&gt;BOTT_A4,ROUND(BASE_A4+RATE_A4*($A271-BOTT_A4),0),IF($A271&gt;BOTT_A3,ROUND(BASE_A3+RATE_A3*($A271-BOTT_A3),0),IF($A271&gt;BOTT_A2,ROUND(BASE_A2+RATE_A2*($A271-BOTT_A2),0),ROUND(RATE_A1*$A271,0))))</f>
        <v/>
      </c>
      <c r="E271" s="556">
        <f>IF($A271&gt;BOTT_B4,ROUND(BASE_B4+RATE_B4*($A271-BOTT_B4),0),IF($A271&gt;BOTT_B3,ROUND(BASE_B3+RATE_B3*($A271-BOTT_B3),0),IF($A271&gt;BOTT_B2,ROUND(BASE_B2+RATE_B2*($A271-BOTT_B2),0),ROUND(RATE_B1*$A271,0))))</f>
        <v/>
      </c>
      <c r="F271" s="556">
        <f>IF($A271&gt;BOTT_C4,ROUND(BASE_C4+RATE_C4*($A271-BOTT_C4),0),IF($A271&gt;BOTT_C3,ROUND(BASE_C3+RATE_C3*($A271-BOTT_C3),0),IF($A271&gt;BOTT_C2,ROUND(BASE_C2+RATE_C2*($A271-BOTT_C2),0),ROUND(RATE_C1*$A271,0))))</f>
        <v/>
      </c>
      <c r="G271" s="556">
        <f>IF($A271&gt;BOTT_D4,ROUND(BASE_D4+RATE_D4*($A271-BOTT_D4),0),IF($A271&gt;BOTT_D3,ROUND(BASE_D3+RATE_D3*($A271-BOTT_D3),0),IF($A271&gt;BOTT_D2,ROUND(BASE_D2+RATE_D2*($A271-BOTT_D2),0),ROUND(RATE_D1*$A271,0))))</f>
        <v/>
      </c>
    </row>
    <row r="272" ht="15.75" customHeight="1" s="7635">
      <c r="A272" s="625">
        <f>AVERAGE(B272,C272)</f>
        <v/>
      </c>
      <c r="B272" s="555" t="n">
        <v>10400</v>
      </c>
      <c r="C272" s="555" t="n">
        <v>10450</v>
      </c>
      <c r="D272" s="556">
        <f>IF($A272&gt;BOTT_A4,ROUND(BASE_A4+RATE_A4*($A272-BOTT_A4),0),IF($A272&gt;BOTT_A3,ROUND(BASE_A3+RATE_A3*($A272-BOTT_A3),0),IF($A272&gt;BOTT_A2,ROUND(BASE_A2+RATE_A2*($A272-BOTT_A2),0),ROUND(RATE_A1*$A272,0))))</f>
        <v/>
      </c>
      <c r="E272" s="556">
        <f>IF($A272&gt;BOTT_B4,ROUND(BASE_B4+RATE_B4*($A272-BOTT_B4),0),IF($A272&gt;BOTT_B3,ROUND(BASE_B3+RATE_B3*($A272-BOTT_B3),0),IF($A272&gt;BOTT_B2,ROUND(BASE_B2+RATE_B2*($A272-BOTT_B2),0),ROUND(RATE_B1*$A272,0))))</f>
        <v/>
      </c>
      <c r="F272" s="556">
        <f>IF($A272&gt;BOTT_C4,ROUND(BASE_C4+RATE_C4*($A272-BOTT_C4),0),IF($A272&gt;BOTT_C3,ROUND(BASE_C3+RATE_C3*($A272-BOTT_C3),0),IF($A272&gt;BOTT_C2,ROUND(BASE_C2+RATE_C2*($A272-BOTT_C2),0),ROUND(RATE_C1*$A272,0))))</f>
        <v/>
      </c>
      <c r="G272" s="556">
        <f>IF($A272&gt;BOTT_D4,ROUND(BASE_D4+RATE_D4*($A272-BOTT_D4),0),IF($A272&gt;BOTT_D3,ROUND(BASE_D3+RATE_D3*($A272-BOTT_D3),0),IF($A272&gt;BOTT_D2,ROUND(BASE_D2+RATE_D2*($A272-BOTT_D2),0),ROUND(RATE_D1*$A272,0))))</f>
        <v/>
      </c>
    </row>
    <row r="273" ht="15.75" customHeight="1" s="7635">
      <c r="A273" s="625">
        <f>AVERAGE(B273,C273)</f>
        <v/>
      </c>
      <c r="B273" s="555" t="n">
        <v>10450</v>
      </c>
      <c r="C273" s="555" t="n">
        <v>10500</v>
      </c>
      <c r="D273" s="556">
        <f>IF($A273&gt;BOTT_A4,ROUND(BASE_A4+RATE_A4*($A273-BOTT_A4),0),IF($A273&gt;BOTT_A3,ROUND(BASE_A3+RATE_A3*($A273-BOTT_A3),0),IF($A273&gt;BOTT_A2,ROUND(BASE_A2+RATE_A2*($A273-BOTT_A2),0),ROUND(RATE_A1*$A273,0))))</f>
        <v/>
      </c>
      <c r="E273" s="556">
        <f>IF($A273&gt;BOTT_B4,ROUND(BASE_B4+RATE_B4*($A273-BOTT_B4),0),IF($A273&gt;BOTT_B3,ROUND(BASE_B3+RATE_B3*($A273-BOTT_B3),0),IF($A273&gt;BOTT_B2,ROUND(BASE_B2+RATE_B2*($A273-BOTT_B2),0),ROUND(RATE_B1*$A273,0))))</f>
        <v/>
      </c>
      <c r="F273" s="556">
        <f>IF($A273&gt;BOTT_C4,ROUND(BASE_C4+RATE_C4*($A273-BOTT_C4),0),IF($A273&gt;BOTT_C3,ROUND(BASE_C3+RATE_C3*($A273-BOTT_C3),0),IF($A273&gt;BOTT_C2,ROUND(BASE_C2+RATE_C2*($A273-BOTT_C2),0),ROUND(RATE_C1*$A273,0))))</f>
        <v/>
      </c>
      <c r="G273" s="556">
        <f>IF($A273&gt;BOTT_D4,ROUND(BASE_D4+RATE_D4*($A273-BOTT_D4),0),IF($A273&gt;BOTT_D3,ROUND(BASE_D3+RATE_D3*($A273-BOTT_D3),0),IF($A273&gt;BOTT_D2,ROUND(BASE_D2+RATE_D2*($A273-BOTT_D2),0),ROUND(RATE_D1*$A273,0))))</f>
        <v/>
      </c>
    </row>
    <row r="274" ht="15.75" customHeight="1" s="7635">
      <c r="A274" s="625">
        <f>AVERAGE(B274,C274)</f>
        <v/>
      </c>
      <c r="B274" s="555" t="n">
        <v>10500</v>
      </c>
      <c r="C274" s="555" t="n">
        <v>10550</v>
      </c>
      <c r="D274" s="556">
        <f>IF($A274&gt;BOTT_A4,ROUND(BASE_A4+RATE_A4*($A274-BOTT_A4),0),IF($A274&gt;BOTT_A3,ROUND(BASE_A3+RATE_A3*($A274-BOTT_A3),0),IF($A274&gt;BOTT_A2,ROUND(BASE_A2+RATE_A2*($A274-BOTT_A2),0),ROUND(RATE_A1*$A274,0))))</f>
        <v/>
      </c>
      <c r="E274" s="556">
        <f>IF($A274&gt;BOTT_B4,ROUND(BASE_B4+RATE_B4*($A274-BOTT_B4),0),IF($A274&gt;BOTT_B3,ROUND(BASE_B3+RATE_B3*($A274-BOTT_B3),0),IF($A274&gt;BOTT_B2,ROUND(BASE_B2+RATE_B2*($A274-BOTT_B2),0),ROUND(RATE_B1*$A274,0))))</f>
        <v/>
      </c>
      <c r="F274" s="556">
        <f>IF($A274&gt;BOTT_C4,ROUND(BASE_C4+RATE_C4*($A274-BOTT_C4),0),IF($A274&gt;BOTT_C3,ROUND(BASE_C3+RATE_C3*($A274-BOTT_C3),0),IF($A274&gt;BOTT_C2,ROUND(BASE_C2+RATE_C2*($A274-BOTT_C2),0),ROUND(RATE_C1*$A274,0))))</f>
        <v/>
      </c>
      <c r="G274" s="556">
        <f>IF($A274&gt;BOTT_D4,ROUND(BASE_D4+RATE_D4*($A274-BOTT_D4),0),IF($A274&gt;BOTT_D3,ROUND(BASE_D3+RATE_D3*($A274-BOTT_D3),0),IF($A274&gt;BOTT_D2,ROUND(BASE_D2+RATE_D2*($A274-BOTT_D2),0),ROUND(RATE_D1*$A274,0))))</f>
        <v/>
      </c>
    </row>
    <row r="275" ht="15.75" customHeight="1" s="7635">
      <c r="A275" s="625">
        <f>AVERAGE(B275,C275)</f>
        <v/>
      </c>
      <c r="B275" s="555" t="n">
        <v>10550</v>
      </c>
      <c r="C275" s="555" t="n">
        <v>10600</v>
      </c>
      <c r="D275" s="556">
        <f>IF($A275&gt;BOTT_A4,ROUND(BASE_A4+RATE_A4*($A275-BOTT_A4),0),IF($A275&gt;BOTT_A3,ROUND(BASE_A3+RATE_A3*($A275-BOTT_A3),0),IF($A275&gt;BOTT_A2,ROUND(BASE_A2+RATE_A2*($A275-BOTT_A2),0),ROUND(RATE_A1*$A275,0))))</f>
        <v/>
      </c>
      <c r="E275" s="556">
        <f>IF($A275&gt;BOTT_B4,ROUND(BASE_B4+RATE_B4*($A275-BOTT_B4),0),IF($A275&gt;BOTT_B3,ROUND(BASE_B3+RATE_B3*($A275-BOTT_B3),0),IF($A275&gt;BOTT_B2,ROUND(BASE_B2+RATE_B2*($A275-BOTT_B2),0),ROUND(RATE_B1*$A275,0))))</f>
        <v/>
      </c>
      <c r="F275" s="556">
        <f>IF($A275&gt;BOTT_C4,ROUND(BASE_C4+RATE_C4*($A275-BOTT_C4),0),IF($A275&gt;BOTT_C3,ROUND(BASE_C3+RATE_C3*($A275-BOTT_C3),0),IF($A275&gt;BOTT_C2,ROUND(BASE_C2+RATE_C2*($A275-BOTT_C2),0),ROUND(RATE_C1*$A275,0))))</f>
        <v/>
      </c>
      <c r="G275" s="556">
        <f>IF($A275&gt;BOTT_D4,ROUND(BASE_D4+RATE_D4*($A275-BOTT_D4),0),IF($A275&gt;BOTT_D3,ROUND(BASE_D3+RATE_D3*($A275-BOTT_D3),0),IF($A275&gt;BOTT_D2,ROUND(BASE_D2+RATE_D2*($A275-BOTT_D2),0),ROUND(RATE_D1*$A275,0))))</f>
        <v/>
      </c>
    </row>
    <row r="276" ht="15.75" customHeight="1" s="7635">
      <c r="A276" s="625">
        <f>AVERAGE(B276,C276)</f>
        <v/>
      </c>
      <c r="B276" s="555" t="n">
        <v>10600</v>
      </c>
      <c r="C276" s="555" t="n">
        <v>10650</v>
      </c>
      <c r="D276" s="556">
        <f>IF($A276&gt;BOTT_A4,ROUND(BASE_A4+RATE_A4*($A276-BOTT_A4),0),IF($A276&gt;BOTT_A3,ROUND(BASE_A3+RATE_A3*($A276-BOTT_A3),0),IF($A276&gt;BOTT_A2,ROUND(BASE_A2+RATE_A2*($A276-BOTT_A2),0),ROUND(RATE_A1*$A276,0))))</f>
        <v/>
      </c>
      <c r="E276" s="556">
        <f>IF($A276&gt;BOTT_B4,ROUND(BASE_B4+RATE_B4*($A276-BOTT_B4),0),IF($A276&gt;BOTT_B3,ROUND(BASE_B3+RATE_B3*($A276-BOTT_B3),0),IF($A276&gt;BOTT_B2,ROUND(BASE_B2+RATE_B2*($A276-BOTT_B2),0),ROUND(RATE_B1*$A276,0))))</f>
        <v/>
      </c>
      <c r="F276" s="556">
        <f>IF($A276&gt;BOTT_C4,ROUND(BASE_C4+RATE_C4*($A276-BOTT_C4),0),IF($A276&gt;BOTT_C3,ROUND(BASE_C3+RATE_C3*($A276-BOTT_C3),0),IF($A276&gt;BOTT_C2,ROUND(BASE_C2+RATE_C2*($A276-BOTT_C2),0),ROUND(RATE_C1*$A276,0))))</f>
        <v/>
      </c>
      <c r="G276" s="556">
        <f>IF($A276&gt;BOTT_D4,ROUND(BASE_D4+RATE_D4*($A276-BOTT_D4),0),IF($A276&gt;BOTT_D3,ROUND(BASE_D3+RATE_D3*($A276-BOTT_D3),0),IF($A276&gt;BOTT_D2,ROUND(BASE_D2+RATE_D2*($A276-BOTT_D2),0),ROUND(RATE_D1*$A276,0))))</f>
        <v/>
      </c>
    </row>
    <row r="277" ht="15.75" customHeight="1" s="7635">
      <c r="A277" s="625">
        <f>AVERAGE(B277,C277)</f>
        <v/>
      </c>
      <c r="B277" s="555" t="n">
        <v>10650</v>
      </c>
      <c r="C277" s="555" t="n">
        <v>10700</v>
      </c>
      <c r="D277" s="556">
        <f>IF($A277&gt;BOTT_A4,ROUND(BASE_A4+RATE_A4*($A277-BOTT_A4),0),IF($A277&gt;BOTT_A3,ROUND(BASE_A3+RATE_A3*($A277-BOTT_A3),0),IF($A277&gt;BOTT_A2,ROUND(BASE_A2+RATE_A2*($A277-BOTT_A2),0),ROUND(RATE_A1*$A277,0))))</f>
        <v/>
      </c>
      <c r="E277" s="556">
        <f>IF($A277&gt;BOTT_B4,ROUND(BASE_B4+RATE_B4*($A277-BOTT_B4),0),IF($A277&gt;BOTT_B3,ROUND(BASE_B3+RATE_B3*($A277-BOTT_B3),0),IF($A277&gt;BOTT_B2,ROUND(BASE_B2+RATE_B2*($A277-BOTT_B2),0),ROUND(RATE_B1*$A277,0))))</f>
        <v/>
      </c>
      <c r="F277" s="556">
        <f>IF($A277&gt;BOTT_C4,ROUND(BASE_C4+RATE_C4*($A277-BOTT_C4),0),IF($A277&gt;BOTT_C3,ROUND(BASE_C3+RATE_C3*($A277-BOTT_C3),0),IF($A277&gt;BOTT_C2,ROUND(BASE_C2+RATE_C2*($A277-BOTT_C2),0),ROUND(RATE_C1*$A277,0))))</f>
        <v/>
      </c>
      <c r="G277" s="556">
        <f>IF($A277&gt;BOTT_D4,ROUND(BASE_D4+RATE_D4*($A277-BOTT_D4),0),IF($A277&gt;BOTT_D3,ROUND(BASE_D3+RATE_D3*($A277-BOTT_D3),0),IF($A277&gt;BOTT_D2,ROUND(BASE_D2+RATE_D2*($A277-BOTT_D2),0),ROUND(RATE_D1*$A277,0))))</f>
        <v/>
      </c>
    </row>
    <row r="278" ht="15.75" customHeight="1" s="7635">
      <c r="A278" s="625">
        <f>AVERAGE(B278,C278)</f>
        <v/>
      </c>
      <c r="B278" s="555" t="n">
        <v>10700</v>
      </c>
      <c r="C278" s="555" t="n">
        <v>10750</v>
      </c>
      <c r="D278" s="556">
        <f>IF($A278&gt;BOTT_A4,ROUND(BASE_A4+RATE_A4*($A278-BOTT_A4),0),IF($A278&gt;BOTT_A3,ROUND(BASE_A3+RATE_A3*($A278-BOTT_A3),0),IF($A278&gt;BOTT_A2,ROUND(BASE_A2+RATE_A2*($A278-BOTT_A2),0),ROUND(RATE_A1*$A278,0))))</f>
        <v/>
      </c>
      <c r="E278" s="556">
        <f>IF($A278&gt;BOTT_B4,ROUND(BASE_B4+RATE_B4*($A278-BOTT_B4),0),IF($A278&gt;BOTT_B3,ROUND(BASE_B3+RATE_B3*($A278-BOTT_B3),0),IF($A278&gt;BOTT_B2,ROUND(BASE_B2+RATE_B2*($A278-BOTT_B2),0),ROUND(RATE_B1*$A278,0))))</f>
        <v/>
      </c>
      <c r="F278" s="556">
        <f>IF($A278&gt;BOTT_C4,ROUND(BASE_C4+RATE_C4*($A278-BOTT_C4),0),IF($A278&gt;BOTT_C3,ROUND(BASE_C3+RATE_C3*($A278-BOTT_C3),0),IF($A278&gt;BOTT_C2,ROUND(BASE_C2+RATE_C2*($A278-BOTT_C2),0),ROUND(RATE_C1*$A278,0))))</f>
        <v/>
      </c>
      <c r="G278" s="556">
        <f>IF($A278&gt;BOTT_D4,ROUND(BASE_D4+RATE_D4*($A278-BOTT_D4),0),IF($A278&gt;BOTT_D3,ROUND(BASE_D3+RATE_D3*($A278-BOTT_D3),0),IF($A278&gt;BOTT_D2,ROUND(BASE_D2+RATE_D2*($A278-BOTT_D2),0),ROUND(RATE_D1*$A278,0))))</f>
        <v/>
      </c>
    </row>
    <row r="279" ht="15.75" customHeight="1" s="7635">
      <c r="A279" s="625">
        <f>AVERAGE(B279,C279)</f>
        <v/>
      </c>
      <c r="B279" s="555" t="n">
        <v>10750</v>
      </c>
      <c r="C279" s="555" t="n">
        <v>10800</v>
      </c>
      <c r="D279" s="556">
        <f>IF($A279&gt;BOTT_A4,ROUND(BASE_A4+RATE_A4*($A279-BOTT_A4),0),IF($A279&gt;BOTT_A3,ROUND(BASE_A3+RATE_A3*($A279-BOTT_A3),0),IF($A279&gt;BOTT_A2,ROUND(BASE_A2+RATE_A2*($A279-BOTT_A2),0),ROUND(RATE_A1*$A279,0))))</f>
        <v/>
      </c>
      <c r="E279" s="556">
        <f>IF($A279&gt;BOTT_B4,ROUND(BASE_B4+RATE_B4*($A279-BOTT_B4),0),IF($A279&gt;BOTT_B3,ROUND(BASE_B3+RATE_B3*($A279-BOTT_B3),0),IF($A279&gt;BOTT_B2,ROUND(BASE_B2+RATE_B2*($A279-BOTT_B2),0),ROUND(RATE_B1*$A279,0))))</f>
        <v/>
      </c>
      <c r="F279" s="556">
        <f>IF($A279&gt;BOTT_C4,ROUND(BASE_C4+RATE_C4*($A279-BOTT_C4),0),IF($A279&gt;BOTT_C3,ROUND(BASE_C3+RATE_C3*($A279-BOTT_C3),0),IF($A279&gt;BOTT_C2,ROUND(BASE_C2+RATE_C2*($A279-BOTT_C2),0),ROUND(RATE_C1*$A279,0))))</f>
        <v/>
      </c>
      <c r="G279" s="556">
        <f>IF($A279&gt;BOTT_D4,ROUND(BASE_D4+RATE_D4*($A279-BOTT_D4),0),IF($A279&gt;BOTT_D3,ROUND(BASE_D3+RATE_D3*($A279-BOTT_D3),0),IF($A279&gt;BOTT_D2,ROUND(BASE_D2+RATE_D2*($A279-BOTT_D2),0),ROUND(RATE_D1*$A279,0))))</f>
        <v/>
      </c>
    </row>
    <row r="280" ht="15.75" customHeight="1" s="7635">
      <c r="A280" s="625">
        <f>AVERAGE(B280,C280)</f>
        <v/>
      </c>
      <c r="B280" s="555" t="n">
        <v>10800</v>
      </c>
      <c r="C280" s="555" t="n">
        <v>10850</v>
      </c>
      <c r="D280" s="556">
        <f>IF($A280&gt;BOTT_A4,ROUND(BASE_A4+RATE_A4*($A280-BOTT_A4),0),IF($A280&gt;BOTT_A3,ROUND(BASE_A3+RATE_A3*($A280-BOTT_A3),0),IF($A280&gt;BOTT_A2,ROUND(BASE_A2+RATE_A2*($A280-BOTT_A2),0),ROUND(RATE_A1*$A280,0))))</f>
        <v/>
      </c>
      <c r="E280" s="556">
        <f>IF($A280&gt;BOTT_B4,ROUND(BASE_B4+RATE_B4*($A280-BOTT_B4),0),IF($A280&gt;BOTT_B3,ROUND(BASE_B3+RATE_B3*($A280-BOTT_B3),0),IF($A280&gt;BOTT_B2,ROUND(BASE_B2+RATE_B2*($A280-BOTT_B2),0),ROUND(RATE_B1*$A280,0))))</f>
        <v/>
      </c>
      <c r="F280" s="556">
        <f>IF($A280&gt;BOTT_C4,ROUND(BASE_C4+RATE_C4*($A280-BOTT_C4),0),IF($A280&gt;BOTT_C3,ROUND(BASE_C3+RATE_C3*($A280-BOTT_C3),0),IF($A280&gt;BOTT_C2,ROUND(BASE_C2+RATE_C2*($A280-BOTT_C2),0),ROUND(RATE_C1*$A280,0))))</f>
        <v/>
      </c>
      <c r="G280" s="556">
        <f>IF($A280&gt;BOTT_D4,ROUND(BASE_D4+RATE_D4*($A280-BOTT_D4),0),IF($A280&gt;BOTT_D3,ROUND(BASE_D3+RATE_D3*($A280-BOTT_D3),0),IF($A280&gt;BOTT_D2,ROUND(BASE_D2+RATE_D2*($A280-BOTT_D2),0),ROUND(RATE_D1*$A280,0))))</f>
        <v/>
      </c>
    </row>
    <row r="281" ht="15.75" customHeight="1" s="7635">
      <c r="A281" s="625">
        <f>AVERAGE(B281,C281)</f>
        <v/>
      </c>
      <c r="B281" s="555" t="n">
        <v>10850</v>
      </c>
      <c r="C281" s="555" t="n">
        <v>10900</v>
      </c>
      <c r="D281" s="556">
        <f>IF($A281&gt;BOTT_A4,ROUND(BASE_A4+RATE_A4*($A281-BOTT_A4),0),IF($A281&gt;BOTT_A3,ROUND(BASE_A3+RATE_A3*($A281-BOTT_A3),0),IF($A281&gt;BOTT_A2,ROUND(BASE_A2+RATE_A2*($A281-BOTT_A2),0),ROUND(RATE_A1*$A281,0))))</f>
        <v/>
      </c>
      <c r="E281" s="556">
        <f>IF($A281&gt;BOTT_B4,ROUND(BASE_B4+RATE_B4*($A281-BOTT_B4),0),IF($A281&gt;BOTT_B3,ROUND(BASE_B3+RATE_B3*($A281-BOTT_B3),0),IF($A281&gt;BOTT_B2,ROUND(BASE_B2+RATE_B2*($A281-BOTT_B2),0),ROUND(RATE_B1*$A281,0))))</f>
        <v/>
      </c>
      <c r="F281" s="556">
        <f>IF($A281&gt;BOTT_C4,ROUND(BASE_C4+RATE_C4*($A281-BOTT_C4),0),IF($A281&gt;BOTT_C3,ROUND(BASE_C3+RATE_C3*($A281-BOTT_C3),0),IF($A281&gt;BOTT_C2,ROUND(BASE_C2+RATE_C2*($A281-BOTT_C2),0),ROUND(RATE_C1*$A281,0))))</f>
        <v/>
      </c>
      <c r="G281" s="556">
        <f>IF($A281&gt;BOTT_D4,ROUND(BASE_D4+RATE_D4*($A281-BOTT_D4),0),IF($A281&gt;BOTT_D3,ROUND(BASE_D3+RATE_D3*($A281-BOTT_D3),0),IF($A281&gt;BOTT_D2,ROUND(BASE_D2+RATE_D2*($A281-BOTT_D2),0),ROUND(RATE_D1*$A281,0))))</f>
        <v/>
      </c>
    </row>
    <row r="282" ht="15.75" customHeight="1" s="7635">
      <c r="A282" s="625">
        <f>AVERAGE(B282,C282)</f>
        <v/>
      </c>
      <c r="B282" s="555" t="n">
        <v>10900</v>
      </c>
      <c r="C282" s="555" t="n">
        <v>10950</v>
      </c>
      <c r="D282" s="556">
        <f>IF($A282&gt;BOTT_A4,ROUND(BASE_A4+RATE_A4*($A282-BOTT_A4),0),IF($A282&gt;BOTT_A3,ROUND(BASE_A3+RATE_A3*($A282-BOTT_A3),0),IF($A282&gt;BOTT_A2,ROUND(BASE_A2+RATE_A2*($A282-BOTT_A2),0),ROUND(RATE_A1*$A282,0))))</f>
        <v/>
      </c>
      <c r="E282" s="556">
        <f>IF($A282&gt;BOTT_B4,ROUND(BASE_B4+RATE_B4*($A282-BOTT_B4),0),IF($A282&gt;BOTT_B3,ROUND(BASE_B3+RATE_B3*($A282-BOTT_B3),0),IF($A282&gt;BOTT_B2,ROUND(BASE_B2+RATE_B2*($A282-BOTT_B2),0),ROUND(RATE_B1*$A282,0))))</f>
        <v/>
      </c>
      <c r="F282" s="556">
        <f>IF($A282&gt;BOTT_C4,ROUND(BASE_C4+RATE_C4*($A282-BOTT_C4),0),IF($A282&gt;BOTT_C3,ROUND(BASE_C3+RATE_C3*($A282-BOTT_C3),0),IF($A282&gt;BOTT_C2,ROUND(BASE_C2+RATE_C2*($A282-BOTT_C2),0),ROUND(RATE_C1*$A282,0))))</f>
        <v/>
      </c>
      <c r="G282" s="556">
        <f>IF($A282&gt;BOTT_D4,ROUND(BASE_D4+RATE_D4*($A282-BOTT_D4),0),IF($A282&gt;BOTT_D3,ROUND(BASE_D3+RATE_D3*($A282-BOTT_D3),0),IF($A282&gt;BOTT_D2,ROUND(BASE_D2+RATE_D2*($A282-BOTT_D2),0),ROUND(RATE_D1*$A282,0))))</f>
        <v/>
      </c>
    </row>
    <row r="283" ht="15.75" customHeight="1" s="7635">
      <c r="A283" s="625">
        <f>AVERAGE(B283,C283)</f>
        <v/>
      </c>
      <c r="B283" s="555" t="n">
        <v>10950</v>
      </c>
      <c r="C283" s="555" t="n">
        <v>11000</v>
      </c>
      <c r="D283" s="556">
        <f>IF($A283&gt;BOTT_A4,ROUND(BASE_A4+RATE_A4*($A283-BOTT_A4),0),IF($A283&gt;BOTT_A3,ROUND(BASE_A3+RATE_A3*($A283-BOTT_A3),0),IF($A283&gt;BOTT_A2,ROUND(BASE_A2+RATE_A2*($A283-BOTT_A2),0),ROUND(RATE_A1*$A283,0))))</f>
        <v/>
      </c>
      <c r="E283" s="556">
        <f>IF($A283&gt;BOTT_B4,ROUND(BASE_B4+RATE_B4*($A283-BOTT_B4),0),IF($A283&gt;BOTT_B3,ROUND(BASE_B3+RATE_B3*($A283-BOTT_B3),0),IF($A283&gt;BOTT_B2,ROUND(BASE_B2+RATE_B2*($A283-BOTT_B2),0),ROUND(RATE_B1*$A283,0))))</f>
        <v/>
      </c>
      <c r="F283" s="556">
        <f>IF($A283&gt;BOTT_C4,ROUND(BASE_C4+RATE_C4*($A283-BOTT_C4),0),IF($A283&gt;BOTT_C3,ROUND(BASE_C3+RATE_C3*($A283-BOTT_C3),0),IF($A283&gt;BOTT_C2,ROUND(BASE_C2+RATE_C2*($A283-BOTT_C2),0),ROUND(RATE_C1*$A283,0))))</f>
        <v/>
      </c>
      <c r="G283" s="556">
        <f>IF($A283&gt;BOTT_D4,ROUND(BASE_D4+RATE_D4*($A283-BOTT_D4),0),IF($A283&gt;BOTT_D3,ROUND(BASE_D3+RATE_D3*($A283-BOTT_D3),0),IF($A283&gt;BOTT_D2,ROUND(BASE_D2+RATE_D2*($A283-BOTT_D2),0),ROUND(RATE_D1*$A283,0))))</f>
        <v/>
      </c>
    </row>
    <row r="284" ht="15.75" customHeight="1" s="7635">
      <c r="A284" s="625">
        <f>AVERAGE(B284,C284)</f>
        <v/>
      </c>
      <c r="B284" s="555" t="n">
        <v>11000</v>
      </c>
      <c r="C284" s="555" t="n">
        <v>11050</v>
      </c>
      <c r="D284" s="556">
        <f>IF($A284&gt;BOTT_A4,ROUND(BASE_A4+RATE_A4*($A284-BOTT_A4),0),IF($A284&gt;BOTT_A3,ROUND(BASE_A3+RATE_A3*($A284-BOTT_A3),0),IF($A284&gt;BOTT_A2,ROUND(BASE_A2+RATE_A2*($A284-BOTT_A2),0),ROUND(RATE_A1*$A284,0))))</f>
        <v/>
      </c>
      <c r="E284" s="556">
        <f>IF($A284&gt;BOTT_B4,ROUND(BASE_B4+RATE_B4*($A284-BOTT_B4),0),IF($A284&gt;BOTT_B3,ROUND(BASE_B3+RATE_B3*($A284-BOTT_B3),0),IF($A284&gt;BOTT_B2,ROUND(BASE_B2+RATE_B2*($A284-BOTT_B2),0),ROUND(RATE_B1*$A284,0))))</f>
        <v/>
      </c>
      <c r="F284" s="556">
        <f>IF($A284&gt;BOTT_C4,ROUND(BASE_C4+RATE_C4*($A284-BOTT_C4),0),IF($A284&gt;BOTT_C3,ROUND(BASE_C3+RATE_C3*($A284-BOTT_C3),0),IF($A284&gt;BOTT_C2,ROUND(BASE_C2+RATE_C2*($A284-BOTT_C2),0),ROUND(RATE_C1*$A284,0))))</f>
        <v/>
      </c>
      <c r="G284" s="556">
        <f>IF($A284&gt;BOTT_D4,ROUND(BASE_D4+RATE_D4*($A284-BOTT_D4),0),IF($A284&gt;BOTT_D3,ROUND(BASE_D3+RATE_D3*($A284-BOTT_D3),0),IF($A284&gt;BOTT_D2,ROUND(BASE_D2+RATE_D2*($A284-BOTT_D2),0),ROUND(RATE_D1*$A284,0))))</f>
        <v/>
      </c>
    </row>
    <row r="285" ht="15.75" customHeight="1" s="7635">
      <c r="A285" s="625">
        <f>AVERAGE(B285,C285)</f>
        <v/>
      </c>
      <c r="B285" s="555" t="n">
        <v>11050</v>
      </c>
      <c r="C285" s="555" t="n">
        <v>11100</v>
      </c>
      <c r="D285" s="556">
        <f>IF($A285&gt;BOTT_A4,ROUND(BASE_A4+RATE_A4*($A285-BOTT_A4),0),IF($A285&gt;BOTT_A3,ROUND(BASE_A3+RATE_A3*($A285-BOTT_A3),0),IF($A285&gt;BOTT_A2,ROUND(BASE_A2+RATE_A2*($A285-BOTT_A2),0),ROUND(RATE_A1*$A285,0))))</f>
        <v/>
      </c>
      <c r="E285" s="556">
        <f>IF($A285&gt;BOTT_B4,ROUND(BASE_B4+RATE_B4*($A285-BOTT_B4),0),IF($A285&gt;BOTT_B3,ROUND(BASE_B3+RATE_B3*($A285-BOTT_B3),0),IF($A285&gt;BOTT_B2,ROUND(BASE_B2+RATE_B2*($A285-BOTT_B2),0),ROUND(RATE_B1*$A285,0))))</f>
        <v/>
      </c>
      <c r="F285" s="556">
        <f>IF($A285&gt;BOTT_C4,ROUND(BASE_C4+RATE_C4*($A285-BOTT_C4),0),IF($A285&gt;BOTT_C3,ROUND(BASE_C3+RATE_C3*($A285-BOTT_C3),0),IF($A285&gt;BOTT_C2,ROUND(BASE_C2+RATE_C2*($A285-BOTT_C2),0),ROUND(RATE_C1*$A285,0))))</f>
        <v/>
      </c>
      <c r="G285" s="556">
        <f>IF($A285&gt;BOTT_D4,ROUND(BASE_D4+RATE_D4*($A285-BOTT_D4),0),IF($A285&gt;BOTT_D3,ROUND(BASE_D3+RATE_D3*($A285-BOTT_D3),0),IF($A285&gt;BOTT_D2,ROUND(BASE_D2+RATE_D2*($A285-BOTT_D2),0),ROUND(RATE_D1*$A285,0))))</f>
        <v/>
      </c>
    </row>
    <row r="286" ht="15.75" customHeight="1" s="7635">
      <c r="A286" s="625">
        <f>AVERAGE(B286,C286)</f>
        <v/>
      </c>
      <c r="B286" s="555" t="n">
        <v>11100</v>
      </c>
      <c r="C286" s="555" t="n">
        <v>11150</v>
      </c>
      <c r="D286" s="556">
        <f>IF($A286&gt;BOTT_A4,ROUND(BASE_A4+RATE_A4*($A286-BOTT_A4),0),IF($A286&gt;BOTT_A3,ROUND(BASE_A3+RATE_A3*($A286-BOTT_A3),0),IF($A286&gt;BOTT_A2,ROUND(BASE_A2+RATE_A2*($A286-BOTT_A2),0),ROUND(RATE_A1*$A286,0))))</f>
        <v/>
      </c>
      <c r="E286" s="556">
        <f>IF($A286&gt;BOTT_B4,ROUND(BASE_B4+RATE_B4*($A286-BOTT_B4),0),IF($A286&gt;BOTT_B3,ROUND(BASE_B3+RATE_B3*($A286-BOTT_B3),0),IF($A286&gt;BOTT_B2,ROUND(BASE_B2+RATE_B2*($A286-BOTT_B2),0),ROUND(RATE_B1*$A286,0))))</f>
        <v/>
      </c>
      <c r="F286" s="556">
        <f>IF($A286&gt;BOTT_C4,ROUND(BASE_C4+RATE_C4*($A286-BOTT_C4),0),IF($A286&gt;BOTT_C3,ROUND(BASE_C3+RATE_C3*($A286-BOTT_C3),0),IF($A286&gt;BOTT_C2,ROUND(BASE_C2+RATE_C2*($A286-BOTT_C2),0),ROUND(RATE_C1*$A286,0))))</f>
        <v/>
      </c>
      <c r="G286" s="556">
        <f>IF($A286&gt;BOTT_D4,ROUND(BASE_D4+RATE_D4*($A286-BOTT_D4),0),IF($A286&gt;BOTT_D3,ROUND(BASE_D3+RATE_D3*($A286-BOTT_D3),0),IF($A286&gt;BOTT_D2,ROUND(BASE_D2+RATE_D2*($A286-BOTT_D2),0),ROUND(RATE_D1*$A286,0))))</f>
        <v/>
      </c>
    </row>
    <row r="287" ht="15.75" customHeight="1" s="7635">
      <c r="A287" s="625">
        <f>AVERAGE(B287,C287)</f>
        <v/>
      </c>
      <c r="B287" s="555" t="n">
        <v>11150</v>
      </c>
      <c r="C287" s="555" t="n">
        <v>11200</v>
      </c>
      <c r="D287" s="556">
        <f>IF($A287&gt;BOTT_A4,ROUND(BASE_A4+RATE_A4*($A287-BOTT_A4),0),IF($A287&gt;BOTT_A3,ROUND(BASE_A3+RATE_A3*($A287-BOTT_A3),0),IF($A287&gt;BOTT_A2,ROUND(BASE_A2+RATE_A2*($A287-BOTT_A2),0),ROUND(RATE_A1*$A287,0))))</f>
        <v/>
      </c>
      <c r="E287" s="556">
        <f>IF($A287&gt;BOTT_B4,ROUND(BASE_B4+RATE_B4*($A287-BOTT_B4),0),IF($A287&gt;BOTT_B3,ROUND(BASE_B3+RATE_B3*($A287-BOTT_B3),0),IF($A287&gt;BOTT_B2,ROUND(BASE_B2+RATE_B2*($A287-BOTT_B2),0),ROUND(RATE_B1*$A287,0))))</f>
        <v/>
      </c>
      <c r="F287" s="556">
        <f>IF($A287&gt;BOTT_C4,ROUND(BASE_C4+RATE_C4*($A287-BOTT_C4),0),IF($A287&gt;BOTT_C3,ROUND(BASE_C3+RATE_C3*($A287-BOTT_C3),0),IF($A287&gt;BOTT_C2,ROUND(BASE_C2+RATE_C2*($A287-BOTT_C2),0),ROUND(RATE_C1*$A287,0))))</f>
        <v/>
      </c>
      <c r="G287" s="556">
        <f>IF($A287&gt;BOTT_D4,ROUND(BASE_D4+RATE_D4*($A287-BOTT_D4),0),IF($A287&gt;BOTT_D3,ROUND(BASE_D3+RATE_D3*($A287-BOTT_D3),0),IF($A287&gt;BOTT_D2,ROUND(BASE_D2+RATE_D2*($A287-BOTT_D2),0),ROUND(RATE_D1*$A287,0))))</f>
        <v/>
      </c>
    </row>
    <row r="288" ht="15.75" customHeight="1" s="7635">
      <c r="A288" s="625">
        <f>AVERAGE(B288,C288)</f>
        <v/>
      </c>
      <c r="B288" s="555" t="n">
        <v>11200</v>
      </c>
      <c r="C288" s="555" t="n">
        <v>11250</v>
      </c>
      <c r="D288" s="556">
        <f>IF($A288&gt;BOTT_A4,ROUND(BASE_A4+RATE_A4*($A288-BOTT_A4),0),IF($A288&gt;BOTT_A3,ROUND(BASE_A3+RATE_A3*($A288-BOTT_A3),0),IF($A288&gt;BOTT_A2,ROUND(BASE_A2+RATE_A2*($A288-BOTT_A2),0),ROUND(RATE_A1*$A288,0))))</f>
        <v/>
      </c>
      <c r="E288" s="556">
        <f>IF($A288&gt;BOTT_B4,ROUND(BASE_B4+RATE_B4*($A288-BOTT_B4),0),IF($A288&gt;BOTT_B3,ROUND(BASE_B3+RATE_B3*($A288-BOTT_B3),0),IF($A288&gt;BOTT_B2,ROUND(BASE_B2+RATE_B2*($A288-BOTT_B2),0),ROUND(RATE_B1*$A288,0))))</f>
        <v/>
      </c>
      <c r="F288" s="556">
        <f>IF($A288&gt;BOTT_C4,ROUND(BASE_C4+RATE_C4*($A288-BOTT_C4),0),IF($A288&gt;BOTT_C3,ROUND(BASE_C3+RATE_C3*($A288-BOTT_C3),0),IF($A288&gt;BOTT_C2,ROUND(BASE_C2+RATE_C2*($A288-BOTT_C2),0),ROUND(RATE_C1*$A288,0))))</f>
        <v/>
      </c>
      <c r="G288" s="556">
        <f>IF($A288&gt;BOTT_D4,ROUND(BASE_D4+RATE_D4*($A288-BOTT_D4),0),IF($A288&gt;BOTT_D3,ROUND(BASE_D3+RATE_D3*($A288-BOTT_D3),0),IF($A288&gt;BOTT_D2,ROUND(BASE_D2+RATE_D2*($A288-BOTT_D2),0),ROUND(RATE_D1*$A288,0))))</f>
        <v/>
      </c>
    </row>
    <row r="289" ht="15.75" customHeight="1" s="7635">
      <c r="A289" s="625">
        <f>AVERAGE(B289,C289)</f>
        <v/>
      </c>
      <c r="B289" s="555" t="n">
        <v>11250</v>
      </c>
      <c r="C289" s="555" t="n">
        <v>11300</v>
      </c>
      <c r="D289" s="556">
        <f>IF($A289&gt;BOTT_A4,ROUND(BASE_A4+RATE_A4*($A289-BOTT_A4),0),IF($A289&gt;BOTT_A3,ROUND(BASE_A3+RATE_A3*($A289-BOTT_A3),0),IF($A289&gt;BOTT_A2,ROUND(BASE_A2+RATE_A2*($A289-BOTT_A2),0),ROUND(RATE_A1*$A289,0))))</f>
        <v/>
      </c>
      <c r="E289" s="556">
        <f>IF($A289&gt;BOTT_B4,ROUND(BASE_B4+RATE_B4*($A289-BOTT_B4),0),IF($A289&gt;BOTT_B3,ROUND(BASE_B3+RATE_B3*($A289-BOTT_B3),0),IF($A289&gt;BOTT_B2,ROUND(BASE_B2+RATE_B2*($A289-BOTT_B2),0),ROUND(RATE_B1*$A289,0))))</f>
        <v/>
      </c>
      <c r="F289" s="556">
        <f>IF($A289&gt;BOTT_C4,ROUND(BASE_C4+RATE_C4*($A289-BOTT_C4),0),IF($A289&gt;BOTT_C3,ROUND(BASE_C3+RATE_C3*($A289-BOTT_C3),0),IF($A289&gt;BOTT_C2,ROUND(BASE_C2+RATE_C2*($A289-BOTT_C2),0),ROUND(RATE_C1*$A289,0))))</f>
        <v/>
      </c>
      <c r="G289" s="556">
        <f>IF($A289&gt;BOTT_D4,ROUND(BASE_D4+RATE_D4*($A289-BOTT_D4),0),IF($A289&gt;BOTT_D3,ROUND(BASE_D3+RATE_D3*($A289-BOTT_D3),0),IF($A289&gt;BOTT_D2,ROUND(BASE_D2+RATE_D2*($A289-BOTT_D2),0),ROUND(RATE_D1*$A289,0))))</f>
        <v/>
      </c>
    </row>
    <row r="290" ht="15.75" customHeight="1" s="7635">
      <c r="A290" s="625">
        <f>AVERAGE(B290,C290)</f>
        <v/>
      </c>
      <c r="B290" s="555" t="n">
        <v>11300</v>
      </c>
      <c r="C290" s="555" t="n">
        <v>11350</v>
      </c>
      <c r="D290" s="556">
        <f>IF($A290&gt;BOTT_A4,ROUND(BASE_A4+RATE_A4*($A290-BOTT_A4),0),IF($A290&gt;BOTT_A3,ROUND(BASE_A3+RATE_A3*($A290-BOTT_A3),0),IF($A290&gt;BOTT_A2,ROUND(BASE_A2+RATE_A2*($A290-BOTT_A2),0),ROUND(RATE_A1*$A290,0))))</f>
        <v/>
      </c>
      <c r="E290" s="556">
        <f>IF($A290&gt;BOTT_B4,ROUND(BASE_B4+RATE_B4*($A290-BOTT_B4),0),IF($A290&gt;BOTT_B3,ROUND(BASE_B3+RATE_B3*($A290-BOTT_B3),0),IF($A290&gt;BOTT_B2,ROUND(BASE_B2+RATE_B2*($A290-BOTT_B2),0),ROUND(RATE_B1*$A290,0))))</f>
        <v/>
      </c>
      <c r="F290" s="556">
        <f>IF($A290&gt;BOTT_C4,ROUND(BASE_C4+RATE_C4*($A290-BOTT_C4),0),IF($A290&gt;BOTT_C3,ROUND(BASE_C3+RATE_C3*($A290-BOTT_C3),0),IF($A290&gt;BOTT_C2,ROUND(BASE_C2+RATE_C2*($A290-BOTT_C2),0),ROUND(RATE_C1*$A290,0))))</f>
        <v/>
      </c>
      <c r="G290" s="556">
        <f>IF($A290&gt;BOTT_D4,ROUND(BASE_D4+RATE_D4*($A290-BOTT_D4),0),IF($A290&gt;BOTT_D3,ROUND(BASE_D3+RATE_D3*($A290-BOTT_D3),0),IF($A290&gt;BOTT_D2,ROUND(BASE_D2+RATE_D2*($A290-BOTT_D2),0),ROUND(RATE_D1*$A290,0))))</f>
        <v/>
      </c>
    </row>
    <row r="291" ht="15.75" customHeight="1" s="7635">
      <c r="A291" s="625">
        <f>AVERAGE(B291,C291)</f>
        <v/>
      </c>
      <c r="B291" s="555" t="n">
        <v>11350</v>
      </c>
      <c r="C291" s="555" t="n">
        <v>11400</v>
      </c>
      <c r="D291" s="556">
        <f>IF($A291&gt;BOTT_A4,ROUND(BASE_A4+RATE_A4*($A291-BOTT_A4),0),IF($A291&gt;BOTT_A3,ROUND(BASE_A3+RATE_A3*($A291-BOTT_A3),0),IF($A291&gt;BOTT_A2,ROUND(BASE_A2+RATE_A2*($A291-BOTT_A2),0),ROUND(RATE_A1*$A291,0))))</f>
        <v/>
      </c>
      <c r="E291" s="556">
        <f>IF($A291&gt;BOTT_B4,ROUND(BASE_B4+RATE_B4*($A291-BOTT_B4),0),IF($A291&gt;BOTT_B3,ROUND(BASE_B3+RATE_B3*($A291-BOTT_B3),0),IF($A291&gt;BOTT_B2,ROUND(BASE_B2+RATE_B2*($A291-BOTT_B2),0),ROUND(RATE_B1*$A291,0))))</f>
        <v/>
      </c>
      <c r="F291" s="556">
        <f>IF($A291&gt;BOTT_C4,ROUND(BASE_C4+RATE_C4*($A291-BOTT_C4),0),IF($A291&gt;BOTT_C3,ROUND(BASE_C3+RATE_C3*($A291-BOTT_C3),0),IF($A291&gt;BOTT_C2,ROUND(BASE_C2+RATE_C2*($A291-BOTT_C2),0),ROUND(RATE_C1*$A291,0))))</f>
        <v/>
      </c>
      <c r="G291" s="556">
        <f>IF($A291&gt;BOTT_D4,ROUND(BASE_D4+RATE_D4*($A291-BOTT_D4),0),IF($A291&gt;BOTT_D3,ROUND(BASE_D3+RATE_D3*($A291-BOTT_D3),0),IF($A291&gt;BOTT_D2,ROUND(BASE_D2+RATE_D2*($A291-BOTT_D2),0),ROUND(RATE_D1*$A291,0))))</f>
        <v/>
      </c>
    </row>
    <row r="292" ht="15.75" customHeight="1" s="7635">
      <c r="A292" s="625">
        <f>AVERAGE(B292,C292)</f>
        <v/>
      </c>
      <c r="B292" s="555" t="n">
        <v>11400</v>
      </c>
      <c r="C292" s="555" t="n">
        <v>11450</v>
      </c>
      <c r="D292" s="556">
        <f>IF($A292&gt;BOTT_A4,ROUND(BASE_A4+RATE_A4*($A292-BOTT_A4),0),IF($A292&gt;BOTT_A3,ROUND(BASE_A3+RATE_A3*($A292-BOTT_A3),0),IF($A292&gt;BOTT_A2,ROUND(BASE_A2+RATE_A2*($A292-BOTT_A2),0),ROUND(RATE_A1*$A292,0))))</f>
        <v/>
      </c>
      <c r="E292" s="556">
        <f>IF($A292&gt;BOTT_B4,ROUND(BASE_B4+RATE_B4*($A292-BOTT_B4),0),IF($A292&gt;BOTT_B3,ROUND(BASE_B3+RATE_B3*($A292-BOTT_B3),0),IF($A292&gt;BOTT_B2,ROUND(BASE_B2+RATE_B2*($A292-BOTT_B2),0),ROUND(RATE_B1*$A292,0))))</f>
        <v/>
      </c>
      <c r="F292" s="556">
        <f>IF($A292&gt;BOTT_C4,ROUND(BASE_C4+RATE_C4*($A292-BOTT_C4),0),IF($A292&gt;BOTT_C3,ROUND(BASE_C3+RATE_C3*($A292-BOTT_C3),0),IF($A292&gt;BOTT_C2,ROUND(BASE_C2+RATE_C2*($A292-BOTT_C2),0),ROUND(RATE_C1*$A292,0))))</f>
        <v/>
      </c>
      <c r="G292" s="556">
        <f>IF($A292&gt;BOTT_D4,ROUND(BASE_D4+RATE_D4*($A292-BOTT_D4),0),IF($A292&gt;BOTT_D3,ROUND(BASE_D3+RATE_D3*($A292-BOTT_D3),0),IF($A292&gt;BOTT_D2,ROUND(BASE_D2+RATE_D2*($A292-BOTT_D2),0),ROUND(RATE_D1*$A292,0))))</f>
        <v/>
      </c>
    </row>
    <row r="293" ht="15.75" customHeight="1" s="7635">
      <c r="A293" s="625">
        <f>AVERAGE(B293,C293)</f>
        <v/>
      </c>
      <c r="B293" s="555" t="n">
        <v>11450</v>
      </c>
      <c r="C293" s="555" t="n">
        <v>11500</v>
      </c>
      <c r="D293" s="556">
        <f>IF($A293&gt;BOTT_A4,ROUND(BASE_A4+RATE_A4*($A293-BOTT_A4),0),IF($A293&gt;BOTT_A3,ROUND(BASE_A3+RATE_A3*($A293-BOTT_A3),0),IF($A293&gt;BOTT_A2,ROUND(BASE_A2+RATE_A2*($A293-BOTT_A2),0),ROUND(RATE_A1*$A293,0))))</f>
        <v/>
      </c>
      <c r="E293" s="556">
        <f>IF($A293&gt;BOTT_B4,ROUND(BASE_B4+RATE_B4*($A293-BOTT_B4),0),IF($A293&gt;BOTT_B3,ROUND(BASE_B3+RATE_B3*($A293-BOTT_B3),0),IF($A293&gt;BOTT_B2,ROUND(BASE_B2+RATE_B2*($A293-BOTT_B2),0),ROUND(RATE_B1*$A293,0))))</f>
        <v/>
      </c>
      <c r="F293" s="556">
        <f>IF($A293&gt;BOTT_C4,ROUND(BASE_C4+RATE_C4*($A293-BOTT_C4),0),IF($A293&gt;BOTT_C3,ROUND(BASE_C3+RATE_C3*($A293-BOTT_C3),0),IF($A293&gt;BOTT_C2,ROUND(BASE_C2+RATE_C2*($A293-BOTT_C2),0),ROUND(RATE_C1*$A293,0))))</f>
        <v/>
      </c>
      <c r="G293" s="556">
        <f>IF($A293&gt;BOTT_D4,ROUND(BASE_D4+RATE_D4*($A293-BOTT_D4),0),IF($A293&gt;BOTT_D3,ROUND(BASE_D3+RATE_D3*($A293-BOTT_D3),0),IF($A293&gt;BOTT_D2,ROUND(BASE_D2+RATE_D2*($A293-BOTT_D2),0),ROUND(RATE_D1*$A293,0))))</f>
        <v/>
      </c>
    </row>
    <row r="294" ht="15.75" customHeight="1" s="7635">
      <c r="A294" s="625">
        <f>AVERAGE(B294,C294)</f>
        <v/>
      </c>
      <c r="B294" s="555" t="n">
        <v>11500</v>
      </c>
      <c r="C294" s="555" t="n">
        <v>11550</v>
      </c>
      <c r="D294" s="556">
        <f>IF($A294&gt;BOTT_A4,ROUND(BASE_A4+RATE_A4*($A294-BOTT_A4),0),IF($A294&gt;BOTT_A3,ROUND(BASE_A3+RATE_A3*($A294-BOTT_A3),0),IF($A294&gt;BOTT_A2,ROUND(BASE_A2+RATE_A2*($A294-BOTT_A2),0),ROUND(RATE_A1*$A294,0))))</f>
        <v/>
      </c>
      <c r="E294" s="556">
        <f>IF($A294&gt;BOTT_B4,ROUND(BASE_B4+RATE_B4*($A294-BOTT_B4),0),IF($A294&gt;BOTT_B3,ROUND(BASE_B3+RATE_B3*($A294-BOTT_B3),0),IF($A294&gt;BOTT_B2,ROUND(BASE_B2+RATE_B2*($A294-BOTT_B2),0),ROUND(RATE_B1*$A294,0))))</f>
        <v/>
      </c>
      <c r="F294" s="556">
        <f>IF($A294&gt;BOTT_C4,ROUND(BASE_C4+RATE_C4*($A294-BOTT_C4),0),IF($A294&gt;BOTT_C3,ROUND(BASE_C3+RATE_C3*($A294-BOTT_C3),0),IF($A294&gt;BOTT_C2,ROUND(BASE_C2+RATE_C2*($A294-BOTT_C2),0),ROUND(RATE_C1*$A294,0))))</f>
        <v/>
      </c>
      <c r="G294" s="556">
        <f>IF($A294&gt;BOTT_D4,ROUND(BASE_D4+RATE_D4*($A294-BOTT_D4),0),IF($A294&gt;BOTT_D3,ROUND(BASE_D3+RATE_D3*($A294-BOTT_D3),0),IF($A294&gt;BOTT_D2,ROUND(BASE_D2+RATE_D2*($A294-BOTT_D2),0),ROUND(RATE_D1*$A294,0))))</f>
        <v/>
      </c>
    </row>
    <row r="295" ht="15.75" customHeight="1" s="7635">
      <c r="A295" s="625">
        <f>AVERAGE(B295,C295)</f>
        <v/>
      </c>
      <c r="B295" s="555" t="n">
        <v>11550</v>
      </c>
      <c r="C295" s="555" t="n">
        <v>11600</v>
      </c>
      <c r="D295" s="556">
        <f>IF($A295&gt;BOTT_A4,ROUND(BASE_A4+RATE_A4*($A295-BOTT_A4),0),IF($A295&gt;BOTT_A3,ROUND(BASE_A3+RATE_A3*($A295-BOTT_A3),0),IF($A295&gt;BOTT_A2,ROUND(BASE_A2+RATE_A2*($A295-BOTT_A2),0),ROUND(RATE_A1*$A295,0))))</f>
        <v/>
      </c>
      <c r="E295" s="556">
        <f>IF($A295&gt;BOTT_B4,ROUND(BASE_B4+RATE_B4*($A295-BOTT_B4),0),IF($A295&gt;BOTT_B3,ROUND(BASE_B3+RATE_B3*($A295-BOTT_B3),0),IF($A295&gt;BOTT_B2,ROUND(BASE_B2+RATE_B2*($A295-BOTT_B2),0),ROUND(RATE_B1*$A295,0))))</f>
        <v/>
      </c>
      <c r="F295" s="556">
        <f>IF($A295&gt;BOTT_C4,ROUND(BASE_C4+RATE_C4*($A295-BOTT_C4),0),IF($A295&gt;BOTT_C3,ROUND(BASE_C3+RATE_C3*($A295-BOTT_C3),0),IF($A295&gt;BOTT_C2,ROUND(BASE_C2+RATE_C2*($A295-BOTT_C2),0),ROUND(RATE_C1*$A295,0))))</f>
        <v/>
      </c>
      <c r="G295" s="556">
        <f>IF($A295&gt;BOTT_D4,ROUND(BASE_D4+RATE_D4*($A295-BOTT_D4),0),IF($A295&gt;BOTT_D3,ROUND(BASE_D3+RATE_D3*($A295-BOTT_D3),0),IF($A295&gt;BOTT_D2,ROUND(BASE_D2+RATE_D2*($A295-BOTT_D2),0),ROUND(RATE_D1*$A295,0))))</f>
        <v/>
      </c>
    </row>
    <row r="296" ht="15.75" customHeight="1" s="7635">
      <c r="A296" s="625">
        <f>AVERAGE(B296,C296)</f>
        <v/>
      </c>
      <c r="B296" s="555" t="n">
        <v>11600</v>
      </c>
      <c r="C296" s="555" t="n">
        <v>11650</v>
      </c>
      <c r="D296" s="556">
        <f>IF($A296&gt;BOTT_A4,ROUND(BASE_A4+RATE_A4*($A296-BOTT_A4),0),IF($A296&gt;BOTT_A3,ROUND(BASE_A3+RATE_A3*($A296-BOTT_A3),0),IF($A296&gt;BOTT_A2,ROUND(BASE_A2+RATE_A2*($A296-BOTT_A2),0),ROUND(RATE_A1*$A296,0))))</f>
        <v/>
      </c>
      <c r="E296" s="556">
        <f>IF($A296&gt;BOTT_B4,ROUND(BASE_B4+RATE_B4*($A296-BOTT_B4),0),IF($A296&gt;BOTT_B3,ROUND(BASE_B3+RATE_B3*($A296-BOTT_B3),0),IF($A296&gt;BOTT_B2,ROUND(BASE_B2+RATE_B2*($A296-BOTT_B2),0),ROUND(RATE_B1*$A296,0))))</f>
        <v/>
      </c>
      <c r="F296" s="556">
        <f>IF($A296&gt;BOTT_C4,ROUND(BASE_C4+RATE_C4*($A296-BOTT_C4),0),IF($A296&gt;BOTT_C3,ROUND(BASE_C3+RATE_C3*($A296-BOTT_C3),0),IF($A296&gt;BOTT_C2,ROUND(BASE_C2+RATE_C2*($A296-BOTT_C2),0),ROUND(RATE_C1*$A296,0))))</f>
        <v/>
      </c>
      <c r="G296" s="556">
        <f>IF($A296&gt;BOTT_D4,ROUND(BASE_D4+RATE_D4*($A296-BOTT_D4),0),IF($A296&gt;BOTT_D3,ROUND(BASE_D3+RATE_D3*($A296-BOTT_D3),0),IF($A296&gt;BOTT_D2,ROUND(BASE_D2+RATE_D2*($A296-BOTT_D2),0),ROUND(RATE_D1*$A296,0))))</f>
        <v/>
      </c>
    </row>
    <row r="297" ht="15.75" customHeight="1" s="7635">
      <c r="A297" s="625">
        <f>AVERAGE(B297,C297)</f>
        <v/>
      </c>
      <c r="B297" s="555" t="n">
        <v>11650</v>
      </c>
      <c r="C297" s="555" t="n">
        <v>11700</v>
      </c>
      <c r="D297" s="556">
        <f>IF($A297&gt;BOTT_A4,ROUND(BASE_A4+RATE_A4*($A297-BOTT_A4),0),IF($A297&gt;BOTT_A3,ROUND(BASE_A3+RATE_A3*($A297-BOTT_A3),0),IF($A297&gt;BOTT_A2,ROUND(BASE_A2+RATE_A2*($A297-BOTT_A2),0),ROUND(RATE_A1*$A297,0))))</f>
        <v/>
      </c>
      <c r="E297" s="556">
        <f>IF($A297&gt;BOTT_B4,ROUND(BASE_B4+RATE_B4*($A297-BOTT_B4),0),IF($A297&gt;BOTT_B3,ROUND(BASE_B3+RATE_B3*($A297-BOTT_B3),0),IF($A297&gt;BOTT_B2,ROUND(BASE_B2+RATE_B2*($A297-BOTT_B2),0),ROUND(RATE_B1*$A297,0))))</f>
        <v/>
      </c>
      <c r="F297" s="556">
        <f>IF($A297&gt;BOTT_C4,ROUND(BASE_C4+RATE_C4*($A297-BOTT_C4),0),IF($A297&gt;BOTT_C3,ROUND(BASE_C3+RATE_C3*($A297-BOTT_C3),0),IF($A297&gt;BOTT_C2,ROUND(BASE_C2+RATE_C2*($A297-BOTT_C2),0),ROUND(RATE_C1*$A297,0))))</f>
        <v/>
      </c>
      <c r="G297" s="556">
        <f>IF($A297&gt;BOTT_D4,ROUND(BASE_D4+RATE_D4*($A297-BOTT_D4),0),IF($A297&gt;BOTT_D3,ROUND(BASE_D3+RATE_D3*($A297-BOTT_D3),0),IF($A297&gt;BOTT_D2,ROUND(BASE_D2+RATE_D2*($A297-BOTT_D2),0),ROUND(RATE_D1*$A297,0))))</f>
        <v/>
      </c>
    </row>
    <row r="298" ht="15.75" customHeight="1" s="7635">
      <c r="A298" s="625">
        <f>AVERAGE(B298,C298)</f>
        <v/>
      </c>
      <c r="B298" s="555" t="n">
        <v>11700</v>
      </c>
      <c r="C298" s="555" t="n">
        <v>11750</v>
      </c>
      <c r="D298" s="556">
        <f>IF($A298&gt;BOTT_A4,ROUND(BASE_A4+RATE_A4*($A298-BOTT_A4),0),IF($A298&gt;BOTT_A3,ROUND(BASE_A3+RATE_A3*($A298-BOTT_A3),0),IF($A298&gt;BOTT_A2,ROUND(BASE_A2+RATE_A2*($A298-BOTT_A2),0),ROUND(RATE_A1*$A298,0))))</f>
        <v/>
      </c>
      <c r="E298" s="556">
        <f>IF($A298&gt;BOTT_B4,ROUND(BASE_B4+RATE_B4*($A298-BOTT_B4),0),IF($A298&gt;BOTT_B3,ROUND(BASE_B3+RATE_B3*($A298-BOTT_B3),0),IF($A298&gt;BOTT_B2,ROUND(BASE_B2+RATE_B2*($A298-BOTT_B2),0),ROUND(RATE_B1*$A298,0))))</f>
        <v/>
      </c>
      <c r="F298" s="556">
        <f>IF($A298&gt;BOTT_C4,ROUND(BASE_C4+RATE_C4*($A298-BOTT_C4),0),IF($A298&gt;BOTT_C3,ROUND(BASE_C3+RATE_C3*($A298-BOTT_C3),0),IF($A298&gt;BOTT_C2,ROUND(BASE_C2+RATE_C2*($A298-BOTT_C2),0),ROUND(RATE_C1*$A298,0))))</f>
        <v/>
      </c>
      <c r="G298" s="556">
        <f>IF($A298&gt;BOTT_D4,ROUND(BASE_D4+RATE_D4*($A298-BOTT_D4),0),IF($A298&gt;BOTT_D3,ROUND(BASE_D3+RATE_D3*($A298-BOTT_D3),0),IF($A298&gt;BOTT_D2,ROUND(BASE_D2+RATE_D2*($A298-BOTT_D2),0),ROUND(RATE_D1*$A298,0))))</f>
        <v/>
      </c>
    </row>
    <row r="299" ht="15.75" customHeight="1" s="7635">
      <c r="A299" s="625">
        <f>AVERAGE(B299,C299)</f>
        <v/>
      </c>
      <c r="B299" s="555" t="n">
        <v>11750</v>
      </c>
      <c r="C299" s="555" t="n">
        <v>11800</v>
      </c>
      <c r="D299" s="556">
        <f>IF($A299&gt;BOTT_A4,ROUND(BASE_A4+RATE_A4*($A299-BOTT_A4),0),IF($A299&gt;BOTT_A3,ROUND(BASE_A3+RATE_A3*($A299-BOTT_A3),0),IF($A299&gt;BOTT_A2,ROUND(BASE_A2+RATE_A2*($A299-BOTT_A2),0),ROUND(RATE_A1*$A299,0))))</f>
        <v/>
      </c>
      <c r="E299" s="556">
        <f>IF($A299&gt;BOTT_B4,ROUND(BASE_B4+RATE_B4*($A299-BOTT_B4),0),IF($A299&gt;BOTT_B3,ROUND(BASE_B3+RATE_B3*($A299-BOTT_B3),0),IF($A299&gt;BOTT_B2,ROUND(BASE_B2+RATE_B2*($A299-BOTT_B2),0),ROUND(RATE_B1*$A299,0))))</f>
        <v/>
      </c>
      <c r="F299" s="556">
        <f>IF($A299&gt;BOTT_C4,ROUND(BASE_C4+RATE_C4*($A299-BOTT_C4),0),IF($A299&gt;BOTT_C3,ROUND(BASE_C3+RATE_C3*($A299-BOTT_C3),0),IF($A299&gt;BOTT_C2,ROUND(BASE_C2+RATE_C2*($A299-BOTT_C2),0),ROUND(RATE_C1*$A299,0))))</f>
        <v/>
      </c>
      <c r="G299" s="556">
        <f>IF($A299&gt;BOTT_D4,ROUND(BASE_D4+RATE_D4*($A299-BOTT_D4),0),IF($A299&gt;BOTT_D3,ROUND(BASE_D3+RATE_D3*($A299-BOTT_D3),0),IF($A299&gt;BOTT_D2,ROUND(BASE_D2+RATE_D2*($A299-BOTT_D2),0),ROUND(RATE_D1*$A299,0))))</f>
        <v/>
      </c>
    </row>
    <row r="300" ht="15.75" customHeight="1" s="7635">
      <c r="A300" s="625">
        <f>AVERAGE(B300,C300)</f>
        <v/>
      </c>
      <c r="B300" s="555" t="n">
        <v>11800</v>
      </c>
      <c r="C300" s="555" t="n">
        <v>11850</v>
      </c>
      <c r="D300" s="556">
        <f>IF($A300&gt;BOTT_A4,ROUND(BASE_A4+RATE_A4*($A300-BOTT_A4),0),IF($A300&gt;BOTT_A3,ROUND(BASE_A3+RATE_A3*($A300-BOTT_A3),0),IF($A300&gt;BOTT_A2,ROUND(BASE_A2+RATE_A2*($A300-BOTT_A2),0),ROUND(RATE_A1*$A300,0))))</f>
        <v/>
      </c>
      <c r="E300" s="556">
        <f>IF($A300&gt;BOTT_B4,ROUND(BASE_B4+RATE_B4*($A300-BOTT_B4),0),IF($A300&gt;BOTT_B3,ROUND(BASE_B3+RATE_B3*($A300-BOTT_B3),0),IF($A300&gt;BOTT_B2,ROUND(BASE_B2+RATE_B2*($A300-BOTT_B2),0),ROUND(RATE_B1*$A300,0))))</f>
        <v/>
      </c>
      <c r="F300" s="556">
        <f>IF($A300&gt;BOTT_C4,ROUND(BASE_C4+RATE_C4*($A300-BOTT_C4),0),IF($A300&gt;BOTT_C3,ROUND(BASE_C3+RATE_C3*($A300-BOTT_C3),0),IF($A300&gt;BOTT_C2,ROUND(BASE_C2+RATE_C2*($A300-BOTT_C2),0),ROUND(RATE_C1*$A300,0))))</f>
        <v/>
      </c>
      <c r="G300" s="556">
        <f>IF($A300&gt;BOTT_D4,ROUND(BASE_D4+RATE_D4*($A300-BOTT_D4),0),IF($A300&gt;BOTT_D3,ROUND(BASE_D3+RATE_D3*($A300-BOTT_D3),0),IF($A300&gt;BOTT_D2,ROUND(BASE_D2+RATE_D2*($A300-BOTT_D2),0),ROUND(RATE_D1*$A300,0))))</f>
        <v/>
      </c>
    </row>
    <row r="301" ht="15.75" customHeight="1" s="7635">
      <c r="A301" s="625">
        <f>AVERAGE(B301,C301)</f>
        <v/>
      </c>
      <c r="B301" s="555" t="n">
        <v>11850</v>
      </c>
      <c r="C301" s="555" t="n">
        <v>11900</v>
      </c>
      <c r="D301" s="556">
        <f>IF($A301&gt;BOTT_A4,ROUND(BASE_A4+RATE_A4*($A301-BOTT_A4),0),IF($A301&gt;BOTT_A3,ROUND(BASE_A3+RATE_A3*($A301-BOTT_A3),0),IF($A301&gt;BOTT_A2,ROUND(BASE_A2+RATE_A2*($A301-BOTT_A2),0),ROUND(RATE_A1*$A301,0))))</f>
        <v/>
      </c>
      <c r="E301" s="556">
        <f>IF($A301&gt;BOTT_B4,ROUND(BASE_B4+RATE_B4*($A301-BOTT_B4),0),IF($A301&gt;BOTT_B3,ROUND(BASE_B3+RATE_B3*($A301-BOTT_B3),0),IF($A301&gt;BOTT_B2,ROUND(BASE_B2+RATE_B2*($A301-BOTT_B2),0),ROUND(RATE_B1*$A301,0))))</f>
        <v/>
      </c>
      <c r="F301" s="556">
        <f>IF($A301&gt;BOTT_C4,ROUND(BASE_C4+RATE_C4*($A301-BOTT_C4),0),IF($A301&gt;BOTT_C3,ROUND(BASE_C3+RATE_C3*($A301-BOTT_C3),0),IF($A301&gt;BOTT_C2,ROUND(BASE_C2+RATE_C2*($A301-BOTT_C2),0),ROUND(RATE_C1*$A301,0))))</f>
        <v/>
      </c>
      <c r="G301" s="556">
        <f>IF($A301&gt;BOTT_D4,ROUND(BASE_D4+RATE_D4*($A301-BOTT_D4),0),IF($A301&gt;BOTT_D3,ROUND(BASE_D3+RATE_D3*($A301-BOTT_D3),0),IF($A301&gt;BOTT_D2,ROUND(BASE_D2+RATE_D2*($A301-BOTT_D2),0),ROUND(RATE_D1*$A301,0))))</f>
        <v/>
      </c>
    </row>
    <row r="302" ht="15.75" customHeight="1" s="7635">
      <c r="A302" s="625">
        <f>AVERAGE(B302,C302)</f>
        <v/>
      </c>
      <c r="B302" s="555" t="n">
        <v>11900</v>
      </c>
      <c r="C302" s="555" t="n">
        <v>11950</v>
      </c>
      <c r="D302" s="556">
        <f>IF($A302&gt;BOTT_A4,ROUND(BASE_A4+RATE_A4*($A302-BOTT_A4),0),IF($A302&gt;BOTT_A3,ROUND(BASE_A3+RATE_A3*($A302-BOTT_A3),0),IF($A302&gt;BOTT_A2,ROUND(BASE_A2+RATE_A2*($A302-BOTT_A2),0),ROUND(RATE_A1*$A302,0))))</f>
        <v/>
      </c>
      <c r="E302" s="556">
        <f>IF($A302&gt;BOTT_B4,ROUND(BASE_B4+RATE_B4*($A302-BOTT_B4),0),IF($A302&gt;BOTT_B3,ROUND(BASE_B3+RATE_B3*($A302-BOTT_B3),0),IF($A302&gt;BOTT_B2,ROUND(BASE_B2+RATE_B2*($A302-BOTT_B2),0),ROUND(RATE_B1*$A302,0))))</f>
        <v/>
      </c>
      <c r="F302" s="556">
        <f>IF($A302&gt;BOTT_C4,ROUND(BASE_C4+RATE_C4*($A302-BOTT_C4),0),IF($A302&gt;BOTT_C3,ROUND(BASE_C3+RATE_C3*($A302-BOTT_C3),0),IF($A302&gt;BOTT_C2,ROUND(BASE_C2+RATE_C2*($A302-BOTT_C2),0),ROUND(RATE_C1*$A302,0))))</f>
        <v/>
      </c>
      <c r="G302" s="556">
        <f>IF($A302&gt;BOTT_D4,ROUND(BASE_D4+RATE_D4*($A302-BOTT_D4),0),IF($A302&gt;BOTT_D3,ROUND(BASE_D3+RATE_D3*($A302-BOTT_D3),0),IF($A302&gt;BOTT_D2,ROUND(BASE_D2+RATE_D2*($A302-BOTT_D2),0),ROUND(RATE_D1*$A302,0))))</f>
        <v/>
      </c>
    </row>
    <row r="303" ht="15.75" customHeight="1" s="7635">
      <c r="A303" s="625">
        <f>AVERAGE(B303,C303)</f>
        <v/>
      </c>
      <c r="B303" s="555" t="n">
        <v>11950</v>
      </c>
      <c r="C303" s="555" t="n">
        <v>12000</v>
      </c>
      <c r="D303" s="556">
        <f>IF($A303&gt;BOTT_A4,ROUND(BASE_A4+RATE_A4*($A303-BOTT_A4),0),IF($A303&gt;BOTT_A3,ROUND(BASE_A3+RATE_A3*($A303-BOTT_A3),0),IF($A303&gt;BOTT_A2,ROUND(BASE_A2+RATE_A2*($A303-BOTT_A2),0),ROUND(RATE_A1*$A303,0))))</f>
        <v/>
      </c>
      <c r="E303" s="556">
        <f>IF($A303&gt;BOTT_B4,ROUND(BASE_B4+RATE_B4*($A303-BOTT_B4),0),IF($A303&gt;BOTT_B3,ROUND(BASE_B3+RATE_B3*($A303-BOTT_B3),0),IF($A303&gt;BOTT_B2,ROUND(BASE_B2+RATE_B2*($A303-BOTT_B2),0),ROUND(RATE_B1*$A303,0))))</f>
        <v/>
      </c>
      <c r="F303" s="556">
        <f>IF($A303&gt;BOTT_C4,ROUND(BASE_C4+RATE_C4*($A303-BOTT_C4),0),IF($A303&gt;BOTT_C3,ROUND(BASE_C3+RATE_C3*($A303-BOTT_C3),0),IF($A303&gt;BOTT_C2,ROUND(BASE_C2+RATE_C2*($A303-BOTT_C2),0),ROUND(RATE_C1*$A303,0))))</f>
        <v/>
      </c>
      <c r="G303" s="556">
        <f>IF($A303&gt;BOTT_D4,ROUND(BASE_D4+RATE_D4*($A303-BOTT_D4),0),IF($A303&gt;BOTT_D3,ROUND(BASE_D3+RATE_D3*($A303-BOTT_D3),0),IF($A303&gt;BOTT_D2,ROUND(BASE_D2+RATE_D2*($A303-BOTT_D2),0),ROUND(RATE_D1*$A303,0))))</f>
        <v/>
      </c>
    </row>
    <row r="304" ht="15.75" customHeight="1" s="7635">
      <c r="A304" s="625">
        <f>AVERAGE(B304,C304)</f>
        <v/>
      </c>
      <c r="B304" s="555" t="n">
        <v>12000</v>
      </c>
      <c r="C304" s="555" t="n">
        <v>12050</v>
      </c>
      <c r="D304" s="556">
        <f>IF($A304&gt;BOTT_A4,ROUND(BASE_A4+RATE_A4*($A304-BOTT_A4),0),IF($A304&gt;BOTT_A3,ROUND(BASE_A3+RATE_A3*($A304-BOTT_A3),0),IF($A304&gt;BOTT_A2,ROUND(BASE_A2+RATE_A2*($A304-BOTT_A2),0),ROUND(RATE_A1*$A304,0))))</f>
        <v/>
      </c>
      <c r="E304" s="556">
        <f>IF($A304&gt;BOTT_B4,ROUND(BASE_B4+RATE_B4*($A304-BOTT_B4),0),IF($A304&gt;BOTT_B3,ROUND(BASE_B3+RATE_B3*($A304-BOTT_B3),0),IF($A304&gt;BOTT_B2,ROUND(BASE_B2+RATE_B2*($A304-BOTT_B2),0),ROUND(RATE_B1*$A304,0))))</f>
        <v/>
      </c>
      <c r="F304" s="556">
        <f>IF($A304&gt;BOTT_C4,ROUND(BASE_C4+RATE_C4*($A304-BOTT_C4),0),IF($A304&gt;BOTT_C3,ROUND(BASE_C3+RATE_C3*($A304-BOTT_C3),0),IF($A304&gt;BOTT_C2,ROUND(BASE_C2+RATE_C2*($A304-BOTT_C2),0),ROUND(RATE_C1*$A304,0))))</f>
        <v/>
      </c>
      <c r="G304" s="556">
        <f>IF($A304&gt;BOTT_D4,ROUND(BASE_D4+RATE_D4*($A304-BOTT_D4),0),IF($A304&gt;BOTT_D3,ROUND(BASE_D3+RATE_D3*($A304-BOTT_D3),0),IF($A304&gt;BOTT_D2,ROUND(BASE_D2+RATE_D2*($A304-BOTT_D2),0),ROUND(RATE_D1*$A304,0))))</f>
        <v/>
      </c>
    </row>
    <row r="305" ht="15.75" customHeight="1" s="7635">
      <c r="A305" s="625">
        <f>AVERAGE(B305,C305)</f>
        <v/>
      </c>
      <c r="B305" s="555" t="n">
        <v>12050</v>
      </c>
      <c r="C305" s="555" t="n">
        <v>12100</v>
      </c>
      <c r="D305" s="556">
        <f>IF($A305&gt;BOTT_A4,ROUND(BASE_A4+RATE_A4*($A305-BOTT_A4),0),IF($A305&gt;BOTT_A3,ROUND(BASE_A3+RATE_A3*($A305-BOTT_A3),0),IF($A305&gt;BOTT_A2,ROUND(BASE_A2+RATE_A2*($A305-BOTT_A2),0),ROUND(RATE_A1*$A305,0))))</f>
        <v/>
      </c>
      <c r="E305" s="556">
        <f>IF($A305&gt;BOTT_B4,ROUND(BASE_B4+RATE_B4*($A305-BOTT_B4),0),IF($A305&gt;BOTT_B3,ROUND(BASE_B3+RATE_B3*($A305-BOTT_B3),0),IF($A305&gt;BOTT_B2,ROUND(BASE_B2+RATE_B2*($A305-BOTT_B2),0),ROUND(RATE_B1*$A305,0))))</f>
        <v/>
      </c>
      <c r="F305" s="556">
        <f>IF($A305&gt;BOTT_C4,ROUND(BASE_C4+RATE_C4*($A305-BOTT_C4),0),IF($A305&gt;BOTT_C3,ROUND(BASE_C3+RATE_C3*($A305-BOTT_C3),0),IF($A305&gt;BOTT_C2,ROUND(BASE_C2+RATE_C2*($A305-BOTT_C2),0),ROUND(RATE_C1*$A305,0))))</f>
        <v/>
      </c>
      <c r="G305" s="556">
        <f>IF($A305&gt;BOTT_D4,ROUND(BASE_D4+RATE_D4*($A305-BOTT_D4),0),IF($A305&gt;BOTT_D3,ROUND(BASE_D3+RATE_D3*($A305-BOTT_D3),0),IF($A305&gt;BOTT_D2,ROUND(BASE_D2+RATE_D2*($A305-BOTT_D2),0),ROUND(RATE_D1*$A305,0))))</f>
        <v/>
      </c>
    </row>
    <row r="306" ht="15.75" customHeight="1" s="7635">
      <c r="A306" s="625">
        <f>AVERAGE(B306,C306)</f>
        <v/>
      </c>
      <c r="B306" s="555" t="n">
        <v>12100</v>
      </c>
      <c r="C306" s="555" t="n">
        <v>12150</v>
      </c>
      <c r="D306" s="556">
        <f>IF($A306&gt;BOTT_A4,ROUND(BASE_A4+RATE_A4*($A306-BOTT_A4),0),IF($A306&gt;BOTT_A3,ROUND(BASE_A3+RATE_A3*($A306-BOTT_A3),0),IF($A306&gt;BOTT_A2,ROUND(BASE_A2+RATE_A2*($A306-BOTT_A2),0),ROUND(RATE_A1*$A306,0))))</f>
        <v/>
      </c>
      <c r="E306" s="556">
        <f>IF($A306&gt;BOTT_B4,ROUND(BASE_B4+RATE_B4*($A306-BOTT_B4),0),IF($A306&gt;BOTT_B3,ROUND(BASE_B3+RATE_B3*($A306-BOTT_B3),0),IF($A306&gt;BOTT_B2,ROUND(BASE_B2+RATE_B2*($A306-BOTT_B2),0),ROUND(RATE_B1*$A306,0))))</f>
        <v/>
      </c>
      <c r="F306" s="556">
        <f>IF($A306&gt;BOTT_C4,ROUND(BASE_C4+RATE_C4*($A306-BOTT_C4),0),IF($A306&gt;BOTT_C3,ROUND(BASE_C3+RATE_C3*($A306-BOTT_C3),0),IF($A306&gt;BOTT_C2,ROUND(BASE_C2+RATE_C2*($A306-BOTT_C2),0),ROUND(RATE_C1*$A306,0))))</f>
        <v/>
      </c>
      <c r="G306" s="556">
        <f>IF($A306&gt;BOTT_D4,ROUND(BASE_D4+RATE_D4*($A306-BOTT_D4),0),IF($A306&gt;BOTT_D3,ROUND(BASE_D3+RATE_D3*($A306-BOTT_D3),0),IF($A306&gt;BOTT_D2,ROUND(BASE_D2+RATE_D2*($A306-BOTT_D2),0),ROUND(RATE_D1*$A306,0))))</f>
        <v/>
      </c>
    </row>
    <row r="307" ht="15.75" customHeight="1" s="7635">
      <c r="A307" s="625">
        <f>AVERAGE(B307,C307)</f>
        <v/>
      </c>
      <c r="B307" s="555" t="n">
        <v>12150</v>
      </c>
      <c r="C307" s="555" t="n">
        <v>12200</v>
      </c>
      <c r="D307" s="556">
        <f>IF($A307&gt;BOTT_A4,ROUND(BASE_A4+RATE_A4*($A307-BOTT_A4),0),IF($A307&gt;BOTT_A3,ROUND(BASE_A3+RATE_A3*($A307-BOTT_A3),0),IF($A307&gt;BOTT_A2,ROUND(BASE_A2+RATE_A2*($A307-BOTT_A2),0),ROUND(RATE_A1*$A307,0))))</f>
        <v/>
      </c>
      <c r="E307" s="556">
        <f>IF($A307&gt;BOTT_B4,ROUND(BASE_B4+RATE_B4*($A307-BOTT_B4),0),IF($A307&gt;BOTT_B3,ROUND(BASE_B3+RATE_B3*($A307-BOTT_B3),0),IF($A307&gt;BOTT_B2,ROUND(BASE_B2+RATE_B2*($A307-BOTT_B2),0),ROUND(RATE_B1*$A307,0))))</f>
        <v/>
      </c>
      <c r="F307" s="556">
        <f>IF($A307&gt;BOTT_C4,ROUND(BASE_C4+RATE_C4*($A307-BOTT_C4),0),IF($A307&gt;BOTT_C3,ROUND(BASE_C3+RATE_C3*($A307-BOTT_C3),0),IF($A307&gt;BOTT_C2,ROUND(BASE_C2+RATE_C2*($A307-BOTT_C2),0),ROUND(RATE_C1*$A307,0))))</f>
        <v/>
      </c>
      <c r="G307" s="556">
        <f>IF($A307&gt;BOTT_D4,ROUND(BASE_D4+RATE_D4*($A307-BOTT_D4),0),IF($A307&gt;BOTT_D3,ROUND(BASE_D3+RATE_D3*($A307-BOTT_D3),0),IF($A307&gt;BOTT_D2,ROUND(BASE_D2+RATE_D2*($A307-BOTT_D2),0),ROUND(RATE_D1*$A307,0))))</f>
        <v/>
      </c>
    </row>
    <row r="308" ht="15.75" customHeight="1" s="7635">
      <c r="A308" s="625">
        <f>AVERAGE(B308,C308)</f>
        <v/>
      </c>
      <c r="B308" s="555" t="n">
        <v>12200</v>
      </c>
      <c r="C308" s="555" t="n">
        <v>12250</v>
      </c>
      <c r="D308" s="556">
        <f>IF($A308&gt;BOTT_A4,ROUND(BASE_A4+RATE_A4*($A308-BOTT_A4),0),IF($A308&gt;BOTT_A3,ROUND(BASE_A3+RATE_A3*($A308-BOTT_A3),0),IF($A308&gt;BOTT_A2,ROUND(BASE_A2+RATE_A2*($A308-BOTT_A2),0),ROUND(RATE_A1*$A308,0))))</f>
        <v/>
      </c>
      <c r="E308" s="556">
        <f>IF($A308&gt;BOTT_B4,ROUND(BASE_B4+RATE_B4*($A308-BOTT_B4),0),IF($A308&gt;BOTT_B3,ROUND(BASE_B3+RATE_B3*($A308-BOTT_B3),0),IF($A308&gt;BOTT_B2,ROUND(BASE_B2+RATE_B2*($A308-BOTT_B2),0),ROUND(RATE_B1*$A308,0))))</f>
        <v/>
      </c>
      <c r="F308" s="556">
        <f>IF($A308&gt;BOTT_C4,ROUND(BASE_C4+RATE_C4*($A308-BOTT_C4),0),IF($A308&gt;BOTT_C3,ROUND(BASE_C3+RATE_C3*($A308-BOTT_C3),0),IF($A308&gt;BOTT_C2,ROUND(BASE_C2+RATE_C2*($A308-BOTT_C2),0),ROUND(RATE_C1*$A308,0))))</f>
        <v/>
      </c>
      <c r="G308" s="556">
        <f>IF($A308&gt;BOTT_D4,ROUND(BASE_D4+RATE_D4*($A308-BOTT_D4),0),IF($A308&gt;BOTT_D3,ROUND(BASE_D3+RATE_D3*($A308-BOTT_D3),0),IF($A308&gt;BOTT_D2,ROUND(BASE_D2+RATE_D2*($A308-BOTT_D2),0),ROUND(RATE_D1*$A308,0))))</f>
        <v/>
      </c>
    </row>
    <row r="309" ht="15.75" customHeight="1" s="7635">
      <c r="A309" s="625">
        <f>AVERAGE(B309,C309)</f>
        <v/>
      </c>
      <c r="B309" s="555" t="n">
        <v>12250</v>
      </c>
      <c r="C309" s="555" t="n">
        <v>12300</v>
      </c>
      <c r="D309" s="556">
        <f>IF($A309&gt;BOTT_A4,ROUND(BASE_A4+RATE_A4*($A309-BOTT_A4),0),IF($A309&gt;BOTT_A3,ROUND(BASE_A3+RATE_A3*($A309-BOTT_A3),0),IF($A309&gt;BOTT_A2,ROUND(BASE_A2+RATE_A2*($A309-BOTT_A2),0),ROUND(RATE_A1*$A309,0))))</f>
        <v/>
      </c>
      <c r="E309" s="556">
        <f>IF($A309&gt;BOTT_B4,ROUND(BASE_B4+RATE_B4*($A309-BOTT_B4),0),IF($A309&gt;BOTT_B3,ROUND(BASE_B3+RATE_B3*($A309-BOTT_B3),0),IF($A309&gt;BOTT_B2,ROUND(BASE_B2+RATE_B2*($A309-BOTT_B2),0),ROUND(RATE_B1*$A309,0))))</f>
        <v/>
      </c>
      <c r="F309" s="556">
        <f>IF($A309&gt;BOTT_C4,ROUND(BASE_C4+RATE_C4*($A309-BOTT_C4),0),IF($A309&gt;BOTT_C3,ROUND(BASE_C3+RATE_C3*($A309-BOTT_C3),0),IF($A309&gt;BOTT_C2,ROUND(BASE_C2+RATE_C2*($A309-BOTT_C2),0),ROUND(RATE_C1*$A309,0))))</f>
        <v/>
      </c>
      <c r="G309" s="556">
        <f>IF($A309&gt;BOTT_D4,ROUND(BASE_D4+RATE_D4*($A309-BOTT_D4),0),IF($A309&gt;BOTT_D3,ROUND(BASE_D3+RATE_D3*($A309-BOTT_D3),0),IF($A309&gt;BOTT_D2,ROUND(BASE_D2+RATE_D2*($A309-BOTT_D2),0),ROUND(RATE_D1*$A309,0))))</f>
        <v/>
      </c>
    </row>
    <row r="310" ht="15.75" customHeight="1" s="7635">
      <c r="A310" s="625">
        <f>AVERAGE(B310,C310)</f>
        <v/>
      </c>
      <c r="B310" s="555" t="n">
        <v>12300</v>
      </c>
      <c r="C310" s="555" t="n">
        <v>12350</v>
      </c>
      <c r="D310" s="556">
        <f>IF($A310&gt;BOTT_A4,ROUND(BASE_A4+RATE_A4*($A310-BOTT_A4),0),IF($A310&gt;BOTT_A3,ROUND(BASE_A3+RATE_A3*($A310-BOTT_A3),0),IF($A310&gt;BOTT_A2,ROUND(BASE_A2+RATE_A2*($A310-BOTT_A2),0),ROUND(RATE_A1*$A310,0))))</f>
        <v/>
      </c>
      <c r="E310" s="556">
        <f>IF($A310&gt;BOTT_B4,ROUND(BASE_B4+RATE_B4*($A310-BOTT_B4),0),IF($A310&gt;BOTT_B3,ROUND(BASE_B3+RATE_B3*($A310-BOTT_B3),0),IF($A310&gt;BOTT_B2,ROUND(BASE_B2+RATE_B2*($A310-BOTT_B2),0),ROUND(RATE_B1*$A310,0))))</f>
        <v/>
      </c>
      <c r="F310" s="556">
        <f>IF($A310&gt;BOTT_C4,ROUND(BASE_C4+RATE_C4*($A310-BOTT_C4),0),IF($A310&gt;BOTT_C3,ROUND(BASE_C3+RATE_C3*($A310-BOTT_C3),0),IF($A310&gt;BOTT_C2,ROUND(BASE_C2+RATE_C2*($A310-BOTT_C2),0),ROUND(RATE_C1*$A310,0))))</f>
        <v/>
      </c>
      <c r="G310" s="556">
        <f>IF($A310&gt;BOTT_D4,ROUND(BASE_D4+RATE_D4*($A310-BOTT_D4),0),IF($A310&gt;BOTT_D3,ROUND(BASE_D3+RATE_D3*($A310-BOTT_D3),0),IF($A310&gt;BOTT_D2,ROUND(BASE_D2+RATE_D2*($A310-BOTT_D2),0),ROUND(RATE_D1*$A310,0))))</f>
        <v/>
      </c>
    </row>
    <row r="311" ht="15.75" customHeight="1" s="7635">
      <c r="A311" s="625">
        <f>AVERAGE(B311,C311)</f>
        <v/>
      </c>
      <c r="B311" s="555" t="n">
        <v>12350</v>
      </c>
      <c r="C311" s="555" t="n">
        <v>12400</v>
      </c>
      <c r="D311" s="556">
        <f>IF($A311&gt;BOTT_A4,ROUND(BASE_A4+RATE_A4*($A311-BOTT_A4),0),IF($A311&gt;BOTT_A3,ROUND(BASE_A3+RATE_A3*($A311-BOTT_A3),0),IF($A311&gt;BOTT_A2,ROUND(BASE_A2+RATE_A2*($A311-BOTT_A2),0),ROUND(RATE_A1*$A311,0))))</f>
        <v/>
      </c>
      <c r="E311" s="556">
        <f>IF($A311&gt;BOTT_B4,ROUND(BASE_B4+RATE_B4*($A311-BOTT_B4),0),IF($A311&gt;BOTT_B3,ROUND(BASE_B3+RATE_B3*($A311-BOTT_B3),0),IF($A311&gt;BOTT_B2,ROUND(BASE_B2+RATE_B2*($A311-BOTT_B2),0),ROUND(RATE_B1*$A311,0))))</f>
        <v/>
      </c>
      <c r="F311" s="556">
        <f>IF($A311&gt;BOTT_C4,ROUND(BASE_C4+RATE_C4*($A311-BOTT_C4),0),IF($A311&gt;BOTT_C3,ROUND(BASE_C3+RATE_C3*($A311-BOTT_C3),0),IF($A311&gt;BOTT_C2,ROUND(BASE_C2+RATE_C2*($A311-BOTT_C2),0),ROUND(RATE_C1*$A311,0))))</f>
        <v/>
      </c>
      <c r="G311" s="556">
        <f>IF($A311&gt;BOTT_D4,ROUND(BASE_D4+RATE_D4*($A311-BOTT_D4),0),IF($A311&gt;BOTT_D3,ROUND(BASE_D3+RATE_D3*($A311-BOTT_D3),0),IF($A311&gt;BOTT_D2,ROUND(BASE_D2+RATE_D2*($A311-BOTT_D2),0),ROUND(RATE_D1*$A311,0))))</f>
        <v/>
      </c>
    </row>
    <row r="312" ht="15.75" customHeight="1" s="7635">
      <c r="A312" s="625">
        <f>AVERAGE(B312,C312)</f>
        <v/>
      </c>
      <c r="B312" s="555" t="n">
        <v>12400</v>
      </c>
      <c r="C312" s="555" t="n">
        <v>12450</v>
      </c>
      <c r="D312" s="556">
        <f>IF($A312&gt;BOTT_A4,ROUND(BASE_A4+RATE_A4*($A312-BOTT_A4),0),IF($A312&gt;BOTT_A3,ROUND(BASE_A3+RATE_A3*($A312-BOTT_A3),0),IF($A312&gt;BOTT_A2,ROUND(BASE_A2+RATE_A2*($A312-BOTT_A2),0),ROUND(RATE_A1*$A312,0))))</f>
        <v/>
      </c>
      <c r="E312" s="556">
        <f>IF($A312&gt;BOTT_B4,ROUND(BASE_B4+RATE_B4*($A312-BOTT_B4),0),IF($A312&gt;BOTT_B3,ROUND(BASE_B3+RATE_B3*($A312-BOTT_B3),0),IF($A312&gt;BOTT_B2,ROUND(BASE_B2+RATE_B2*($A312-BOTT_B2),0),ROUND(RATE_B1*$A312,0))))</f>
        <v/>
      </c>
      <c r="F312" s="556">
        <f>IF($A312&gt;BOTT_C4,ROUND(BASE_C4+RATE_C4*($A312-BOTT_C4),0),IF($A312&gt;BOTT_C3,ROUND(BASE_C3+RATE_C3*($A312-BOTT_C3),0),IF($A312&gt;BOTT_C2,ROUND(BASE_C2+RATE_C2*($A312-BOTT_C2),0),ROUND(RATE_C1*$A312,0))))</f>
        <v/>
      </c>
      <c r="G312" s="556">
        <f>IF($A312&gt;BOTT_D4,ROUND(BASE_D4+RATE_D4*($A312-BOTT_D4),0),IF($A312&gt;BOTT_D3,ROUND(BASE_D3+RATE_D3*($A312-BOTT_D3),0),IF($A312&gt;BOTT_D2,ROUND(BASE_D2+RATE_D2*($A312-BOTT_D2),0),ROUND(RATE_D1*$A312,0))))</f>
        <v/>
      </c>
    </row>
    <row r="313" ht="15.75" customHeight="1" s="7635">
      <c r="A313" s="625">
        <f>AVERAGE(B313,C313)</f>
        <v/>
      </c>
      <c r="B313" s="555" t="n">
        <v>12450</v>
      </c>
      <c r="C313" s="555" t="n">
        <v>12500</v>
      </c>
      <c r="D313" s="556">
        <f>IF($A313&gt;BOTT_A4,ROUND(BASE_A4+RATE_A4*($A313-BOTT_A4),0),IF($A313&gt;BOTT_A3,ROUND(BASE_A3+RATE_A3*($A313-BOTT_A3),0),IF($A313&gt;BOTT_A2,ROUND(BASE_A2+RATE_A2*($A313-BOTT_A2),0),ROUND(RATE_A1*$A313,0))))</f>
        <v/>
      </c>
      <c r="E313" s="556">
        <f>IF($A313&gt;BOTT_B4,ROUND(BASE_B4+RATE_B4*($A313-BOTT_B4),0),IF($A313&gt;BOTT_B3,ROUND(BASE_B3+RATE_B3*($A313-BOTT_B3),0),IF($A313&gt;BOTT_B2,ROUND(BASE_B2+RATE_B2*($A313-BOTT_B2),0),ROUND(RATE_B1*$A313,0))))</f>
        <v/>
      </c>
      <c r="F313" s="556">
        <f>IF($A313&gt;BOTT_C4,ROUND(BASE_C4+RATE_C4*($A313-BOTT_C4),0),IF($A313&gt;BOTT_C3,ROUND(BASE_C3+RATE_C3*($A313-BOTT_C3),0),IF($A313&gt;BOTT_C2,ROUND(BASE_C2+RATE_C2*($A313-BOTT_C2),0),ROUND(RATE_C1*$A313,0))))</f>
        <v/>
      </c>
      <c r="G313" s="556">
        <f>IF($A313&gt;BOTT_D4,ROUND(BASE_D4+RATE_D4*($A313-BOTT_D4),0),IF($A313&gt;BOTT_D3,ROUND(BASE_D3+RATE_D3*($A313-BOTT_D3),0),IF($A313&gt;BOTT_D2,ROUND(BASE_D2+RATE_D2*($A313-BOTT_D2),0),ROUND(RATE_D1*$A313,0))))</f>
        <v/>
      </c>
    </row>
    <row r="314" ht="15.75" customHeight="1" s="7635">
      <c r="A314" s="625">
        <f>AVERAGE(B314,C314)</f>
        <v/>
      </c>
      <c r="B314" s="555" t="n">
        <v>12500</v>
      </c>
      <c r="C314" s="555" t="n">
        <v>12550</v>
      </c>
      <c r="D314" s="556">
        <f>IF($A314&gt;BOTT_A4,ROUND(BASE_A4+RATE_A4*($A314-BOTT_A4),0),IF($A314&gt;BOTT_A3,ROUND(BASE_A3+RATE_A3*($A314-BOTT_A3),0),IF($A314&gt;BOTT_A2,ROUND(BASE_A2+RATE_A2*($A314-BOTT_A2),0),ROUND(RATE_A1*$A314,0))))</f>
        <v/>
      </c>
      <c r="E314" s="556">
        <f>IF($A314&gt;BOTT_B4,ROUND(BASE_B4+RATE_B4*($A314-BOTT_B4),0),IF($A314&gt;BOTT_B3,ROUND(BASE_B3+RATE_B3*($A314-BOTT_B3),0),IF($A314&gt;BOTT_B2,ROUND(BASE_B2+RATE_B2*($A314-BOTT_B2),0),ROUND(RATE_B1*$A314,0))))</f>
        <v/>
      </c>
      <c r="F314" s="556">
        <f>IF($A314&gt;BOTT_C4,ROUND(BASE_C4+RATE_C4*($A314-BOTT_C4),0),IF($A314&gt;BOTT_C3,ROUND(BASE_C3+RATE_C3*($A314-BOTT_C3),0),IF($A314&gt;BOTT_C2,ROUND(BASE_C2+RATE_C2*($A314-BOTT_C2),0),ROUND(RATE_C1*$A314,0))))</f>
        <v/>
      </c>
      <c r="G314" s="556">
        <f>IF($A314&gt;BOTT_D4,ROUND(BASE_D4+RATE_D4*($A314-BOTT_D4),0),IF($A314&gt;BOTT_D3,ROUND(BASE_D3+RATE_D3*($A314-BOTT_D3),0),IF($A314&gt;BOTT_D2,ROUND(BASE_D2+RATE_D2*($A314-BOTT_D2),0),ROUND(RATE_D1*$A314,0))))</f>
        <v/>
      </c>
    </row>
    <row r="315" ht="15.75" customHeight="1" s="7635">
      <c r="A315" s="625">
        <f>AVERAGE(B315,C315)</f>
        <v/>
      </c>
      <c r="B315" s="555" t="n">
        <v>12550</v>
      </c>
      <c r="C315" s="555" t="n">
        <v>12600</v>
      </c>
      <c r="D315" s="556">
        <f>IF($A315&gt;BOTT_A4,ROUND(BASE_A4+RATE_A4*($A315-BOTT_A4),0),IF($A315&gt;BOTT_A3,ROUND(BASE_A3+RATE_A3*($A315-BOTT_A3),0),IF($A315&gt;BOTT_A2,ROUND(BASE_A2+RATE_A2*($A315-BOTT_A2),0),ROUND(RATE_A1*$A315,0))))</f>
        <v/>
      </c>
      <c r="E315" s="556">
        <f>IF($A315&gt;BOTT_B4,ROUND(BASE_B4+RATE_B4*($A315-BOTT_B4),0),IF($A315&gt;BOTT_B3,ROUND(BASE_B3+RATE_B3*($A315-BOTT_B3),0),IF($A315&gt;BOTT_B2,ROUND(BASE_B2+RATE_B2*($A315-BOTT_B2),0),ROUND(RATE_B1*$A315,0))))</f>
        <v/>
      </c>
      <c r="F315" s="556">
        <f>IF($A315&gt;BOTT_C4,ROUND(BASE_C4+RATE_C4*($A315-BOTT_C4),0),IF($A315&gt;BOTT_C3,ROUND(BASE_C3+RATE_C3*($A315-BOTT_C3),0),IF($A315&gt;BOTT_C2,ROUND(BASE_C2+RATE_C2*($A315-BOTT_C2),0),ROUND(RATE_C1*$A315,0))))</f>
        <v/>
      </c>
      <c r="G315" s="556">
        <f>IF($A315&gt;BOTT_D4,ROUND(BASE_D4+RATE_D4*($A315-BOTT_D4),0),IF($A315&gt;BOTT_D3,ROUND(BASE_D3+RATE_D3*($A315-BOTT_D3),0),IF($A315&gt;BOTT_D2,ROUND(BASE_D2+RATE_D2*($A315-BOTT_D2),0),ROUND(RATE_D1*$A315,0))))</f>
        <v/>
      </c>
    </row>
    <row r="316" ht="15.75" customHeight="1" s="7635">
      <c r="A316" s="625">
        <f>AVERAGE(B316,C316)</f>
        <v/>
      </c>
      <c r="B316" s="555" t="n">
        <v>12600</v>
      </c>
      <c r="C316" s="555" t="n">
        <v>12650</v>
      </c>
      <c r="D316" s="556">
        <f>IF($A316&gt;BOTT_A4,ROUND(BASE_A4+RATE_A4*($A316-BOTT_A4),0),IF($A316&gt;BOTT_A3,ROUND(BASE_A3+RATE_A3*($A316-BOTT_A3),0),IF($A316&gt;BOTT_A2,ROUND(BASE_A2+RATE_A2*($A316-BOTT_A2),0),ROUND(RATE_A1*$A316,0))))</f>
        <v/>
      </c>
      <c r="E316" s="556">
        <f>IF($A316&gt;BOTT_B4,ROUND(BASE_B4+RATE_B4*($A316-BOTT_B4),0),IF($A316&gt;BOTT_B3,ROUND(BASE_B3+RATE_B3*($A316-BOTT_B3),0),IF($A316&gt;BOTT_B2,ROUND(BASE_B2+RATE_B2*($A316-BOTT_B2),0),ROUND(RATE_B1*$A316,0))))</f>
        <v/>
      </c>
      <c r="F316" s="556">
        <f>IF($A316&gt;BOTT_C4,ROUND(BASE_C4+RATE_C4*($A316-BOTT_C4),0),IF($A316&gt;BOTT_C3,ROUND(BASE_C3+RATE_C3*($A316-BOTT_C3),0),IF($A316&gt;BOTT_C2,ROUND(BASE_C2+RATE_C2*($A316-BOTT_C2),0),ROUND(RATE_C1*$A316,0))))</f>
        <v/>
      </c>
      <c r="G316" s="556">
        <f>IF($A316&gt;BOTT_D4,ROUND(BASE_D4+RATE_D4*($A316-BOTT_D4),0),IF($A316&gt;BOTT_D3,ROUND(BASE_D3+RATE_D3*($A316-BOTT_D3),0),IF($A316&gt;BOTT_D2,ROUND(BASE_D2+RATE_D2*($A316-BOTT_D2),0),ROUND(RATE_D1*$A316,0))))</f>
        <v/>
      </c>
    </row>
    <row r="317" ht="15.75" customHeight="1" s="7635">
      <c r="A317" s="625">
        <f>AVERAGE(B317,C317)</f>
        <v/>
      </c>
      <c r="B317" s="555" t="n">
        <v>12650</v>
      </c>
      <c r="C317" s="555" t="n">
        <v>12700</v>
      </c>
      <c r="D317" s="556">
        <f>IF($A317&gt;BOTT_A4,ROUND(BASE_A4+RATE_A4*($A317-BOTT_A4),0),IF($A317&gt;BOTT_A3,ROUND(BASE_A3+RATE_A3*($A317-BOTT_A3),0),IF($A317&gt;BOTT_A2,ROUND(BASE_A2+RATE_A2*($A317-BOTT_A2),0),ROUND(RATE_A1*$A317,0))))</f>
        <v/>
      </c>
      <c r="E317" s="556">
        <f>IF($A317&gt;BOTT_B4,ROUND(BASE_B4+RATE_B4*($A317-BOTT_B4),0),IF($A317&gt;BOTT_B3,ROUND(BASE_B3+RATE_B3*($A317-BOTT_B3),0),IF($A317&gt;BOTT_B2,ROUND(BASE_B2+RATE_B2*($A317-BOTT_B2),0),ROUND(RATE_B1*$A317,0))))</f>
        <v/>
      </c>
      <c r="F317" s="556">
        <f>IF($A317&gt;BOTT_C4,ROUND(BASE_C4+RATE_C4*($A317-BOTT_C4),0),IF($A317&gt;BOTT_C3,ROUND(BASE_C3+RATE_C3*($A317-BOTT_C3),0),IF($A317&gt;BOTT_C2,ROUND(BASE_C2+RATE_C2*($A317-BOTT_C2),0),ROUND(RATE_C1*$A317,0))))</f>
        <v/>
      </c>
      <c r="G317" s="556">
        <f>IF($A317&gt;BOTT_D4,ROUND(BASE_D4+RATE_D4*($A317-BOTT_D4),0),IF($A317&gt;BOTT_D3,ROUND(BASE_D3+RATE_D3*($A317-BOTT_D3),0),IF($A317&gt;BOTT_D2,ROUND(BASE_D2+RATE_D2*($A317-BOTT_D2),0),ROUND(RATE_D1*$A317,0))))</f>
        <v/>
      </c>
    </row>
    <row r="318" ht="15.75" customHeight="1" s="7635">
      <c r="A318" s="625">
        <f>AVERAGE(B318,C318)</f>
        <v/>
      </c>
      <c r="B318" s="555" t="n">
        <v>12700</v>
      </c>
      <c r="C318" s="555" t="n">
        <v>12750</v>
      </c>
      <c r="D318" s="556">
        <f>IF($A318&gt;BOTT_A4,ROUND(BASE_A4+RATE_A4*($A318-BOTT_A4),0),IF($A318&gt;BOTT_A3,ROUND(BASE_A3+RATE_A3*($A318-BOTT_A3),0),IF($A318&gt;BOTT_A2,ROUND(BASE_A2+RATE_A2*($A318-BOTT_A2),0),ROUND(RATE_A1*$A318,0))))</f>
        <v/>
      </c>
      <c r="E318" s="556">
        <f>IF($A318&gt;BOTT_B4,ROUND(BASE_B4+RATE_B4*($A318-BOTT_B4),0),IF($A318&gt;BOTT_B3,ROUND(BASE_B3+RATE_B3*($A318-BOTT_B3),0),IF($A318&gt;BOTT_B2,ROUND(BASE_B2+RATE_B2*($A318-BOTT_B2),0),ROUND(RATE_B1*$A318,0))))</f>
        <v/>
      </c>
      <c r="F318" s="556">
        <f>IF($A318&gt;BOTT_C4,ROUND(BASE_C4+RATE_C4*($A318-BOTT_C4),0),IF($A318&gt;BOTT_C3,ROUND(BASE_C3+RATE_C3*($A318-BOTT_C3),0),IF($A318&gt;BOTT_C2,ROUND(BASE_C2+RATE_C2*($A318-BOTT_C2),0),ROUND(RATE_C1*$A318,0))))</f>
        <v/>
      </c>
      <c r="G318" s="556">
        <f>IF($A318&gt;BOTT_D4,ROUND(BASE_D4+RATE_D4*($A318-BOTT_D4),0),IF($A318&gt;BOTT_D3,ROUND(BASE_D3+RATE_D3*($A318-BOTT_D3),0),IF($A318&gt;BOTT_D2,ROUND(BASE_D2+RATE_D2*($A318-BOTT_D2),0),ROUND(RATE_D1*$A318,0))))</f>
        <v/>
      </c>
    </row>
    <row r="319" ht="15.75" customHeight="1" s="7635">
      <c r="A319" s="625">
        <f>AVERAGE(B319,C319)</f>
        <v/>
      </c>
      <c r="B319" s="555" t="n">
        <v>12750</v>
      </c>
      <c r="C319" s="555" t="n">
        <v>12800</v>
      </c>
      <c r="D319" s="556">
        <f>IF($A319&gt;BOTT_A4,ROUND(BASE_A4+RATE_A4*($A319-BOTT_A4),0),IF($A319&gt;BOTT_A3,ROUND(BASE_A3+RATE_A3*($A319-BOTT_A3),0),IF($A319&gt;BOTT_A2,ROUND(BASE_A2+RATE_A2*($A319-BOTT_A2),0),ROUND(RATE_A1*$A319,0))))</f>
        <v/>
      </c>
      <c r="E319" s="556">
        <f>IF($A319&gt;BOTT_B4,ROUND(BASE_B4+RATE_B4*($A319-BOTT_B4),0),IF($A319&gt;BOTT_B3,ROUND(BASE_B3+RATE_B3*($A319-BOTT_B3),0),IF($A319&gt;BOTT_B2,ROUND(BASE_B2+RATE_B2*($A319-BOTT_B2),0),ROUND(RATE_B1*$A319,0))))</f>
        <v/>
      </c>
      <c r="F319" s="556">
        <f>IF($A319&gt;BOTT_C4,ROUND(BASE_C4+RATE_C4*($A319-BOTT_C4),0),IF($A319&gt;BOTT_C3,ROUND(BASE_C3+RATE_C3*($A319-BOTT_C3),0),IF($A319&gt;BOTT_C2,ROUND(BASE_C2+RATE_C2*($A319-BOTT_C2),0),ROUND(RATE_C1*$A319,0))))</f>
        <v/>
      </c>
      <c r="G319" s="556">
        <f>IF($A319&gt;BOTT_D4,ROUND(BASE_D4+RATE_D4*($A319-BOTT_D4),0),IF($A319&gt;BOTT_D3,ROUND(BASE_D3+RATE_D3*($A319-BOTT_D3),0),IF($A319&gt;BOTT_D2,ROUND(BASE_D2+RATE_D2*($A319-BOTT_D2),0),ROUND(RATE_D1*$A319,0))))</f>
        <v/>
      </c>
    </row>
    <row r="320" ht="15.75" customHeight="1" s="7635">
      <c r="A320" s="625">
        <f>AVERAGE(B320,C320)</f>
        <v/>
      </c>
      <c r="B320" s="555" t="n">
        <v>12800</v>
      </c>
      <c r="C320" s="555" t="n">
        <v>12850</v>
      </c>
      <c r="D320" s="556">
        <f>IF($A320&gt;BOTT_A4,ROUND(BASE_A4+RATE_A4*($A320-BOTT_A4),0),IF($A320&gt;BOTT_A3,ROUND(BASE_A3+RATE_A3*($A320-BOTT_A3),0),IF($A320&gt;BOTT_A2,ROUND(BASE_A2+RATE_A2*($A320-BOTT_A2),0),ROUND(RATE_A1*$A320,0))))</f>
        <v/>
      </c>
      <c r="E320" s="556">
        <f>IF($A320&gt;BOTT_B4,ROUND(BASE_B4+RATE_B4*($A320-BOTT_B4),0),IF($A320&gt;BOTT_B3,ROUND(BASE_B3+RATE_B3*($A320-BOTT_B3),0),IF($A320&gt;BOTT_B2,ROUND(BASE_B2+RATE_B2*($A320-BOTT_B2),0),ROUND(RATE_B1*$A320,0))))</f>
        <v/>
      </c>
      <c r="F320" s="556">
        <f>IF($A320&gt;BOTT_C4,ROUND(BASE_C4+RATE_C4*($A320-BOTT_C4),0),IF($A320&gt;BOTT_C3,ROUND(BASE_C3+RATE_C3*($A320-BOTT_C3),0),IF($A320&gt;BOTT_C2,ROUND(BASE_C2+RATE_C2*($A320-BOTT_C2),0),ROUND(RATE_C1*$A320,0))))</f>
        <v/>
      </c>
      <c r="G320" s="556">
        <f>IF($A320&gt;BOTT_D4,ROUND(BASE_D4+RATE_D4*($A320-BOTT_D4),0),IF($A320&gt;BOTT_D3,ROUND(BASE_D3+RATE_D3*($A320-BOTT_D3),0),IF($A320&gt;BOTT_D2,ROUND(BASE_D2+RATE_D2*($A320-BOTT_D2),0),ROUND(RATE_D1*$A320,0))))</f>
        <v/>
      </c>
    </row>
    <row r="321" ht="15.75" customHeight="1" s="7635">
      <c r="A321" s="625">
        <f>AVERAGE(B321,C321)</f>
        <v/>
      </c>
      <c r="B321" s="555" t="n">
        <v>12850</v>
      </c>
      <c r="C321" s="555" t="n">
        <v>12900</v>
      </c>
      <c r="D321" s="556">
        <f>IF($A321&gt;BOTT_A4,ROUND(BASE_A4+RATE_A4*($A321-BOTT_A4),0),IF($A321&gt;BOTT_A3,ROUND(BASE_A3+RATE_A3*($A321-BOTT_A3),0),IF($A321&gt;BOTT_A2,ROUND(BASE_A2+RATE_A2*($A321-BOTT_A2),0),ROUND(RATE_A1*$A321,0))))</f>
        <v/>
      </c>
      <c r="E321" s="556">
        <f>IF($A321&gt;BOTT_B4,ROUND(BASE_B4+RATE_B4*($A321-BOTT_B4),0),IF($A321&gt;BOTT_B3,ROUND(BASE_B3+RATE_B3*($A321-BOTT_B3),0),IF($A321&gt;BOTT_B2,ROUND(BASE_B2+RATE_B2*($A321-BOTT_B2),0),ROUND(RATE_B1*$A321,0))))</f>
        <v/>
      </c>
      <c r="F321" s="556">
        <f>IF($A321&gt;BOTT_C4,ROUND(BASE_C4+RATE_C4*($A321-BOTT_C4),0),IF($A321&gt;BOTT_C3,ROUND(BASE_C3+RATE_C3*($A321-BOTT_C3),0),IF($A321&gt;BOTT_C2,ROUND(BASE_C2+RATE_C2*($A321-BOTT_C2),0),ROUND(RATE_C1*$A321,0))))</f>
        <v/>
      </c>
      <c r="G321" s="556">
        <f>IF($A321&gt;BOTT_D4,ROUND(BASE_D4+RATE_D4*($A321-BOTT_D4),0),IF($A321&gt;BOTT_D3,ROUND(BASE_D3+RATE_D3*($A321-BOTT_D3),0),IF($A321&gt;BOTT_D2,ROUND(BASE_D2+RATE_D2*($A321-BOTT_D2),0),ROUND(RATE_D1*$A321,0))))</f>
        <v/>
      </c>
    </row>
    <row r="322" ht="15.75" customHeight="1" s="7635">
      <c r="A322" s="625">
        <f>AVERAGE(B322,C322)</f>
        <v/>
      </c>
      <c r="B322" s="555" t="n">
        <v>12900</v>
      </c>
      <c r="C322" s="555" t="n">
        <v>12950</v>
      </c>
      <c r="D322" s="556">
        <f>IF($A322&gt;BOTT_A4,ROUND(BASE_A4+RATE_A4*($A322-BOTT_A4),0),IF($A322&gt;BOTT_A3,ROUND(BASE_A3+RATE_A3*($A322-BOTT_A3),0),IF($A322&gt;BOTT_A2,ROUND(BASE_A2+RATE_A2*($A322-BOTT_A2),0),ROUND(RATE_A1*$A322,0))))</f>
        <v/>
      </c>
      <c r="E322" s="556">
        <f>IF($A322&gt;BOTT_B4,ROUND(BASE_B4+RATE_B4*($A322-BOTT_B4),0),IF($A322&gt;BOTT_B3,ROUND(BASE_B3+RATE_B3*($A322-BOTT_B3),0),IF($A322&gt;BOTT_B2,ROUND(BASE_B2+RATE_B2*($A322-BOTT_B2),0),ROUND(RATE_B1*$A322,0))))</f>
        <v/>
      </c>
      <c r="F322" s="556">
        <f>IF($A322&gt;BOTT_C4,ROUND(BASE_C4+RATE_C4*($A322-BOTT_C4),0),IF($A322&gt;BOTT_C3,ROUND(BASE_C3+RATE_C3*($A322-BOTT_C3),0),IF($A322&gt;BOTT_C2,ROUND(BASE_C2+RATE_C2*($A322-BOTT_C2),0),ROUND(RATE_C1*$A322,0))))</f>
        <v/>
      </c>
      <c r="G322" s="556">
        <f>IF($A322&gt;BOTT_D4,ROUND(BASE_D4+RATE_D4*($A322-BOTT_D4),0),IF($A322&gt;BOTT_D3,ROUND(BASE_D3+RATE_D3*($A322-BOTT_D3),0),IF($A322&gt;BOTT_D2,ROUND(BASE_D2+RATE_D2*($A322-BOTT_D2),0),ROUND(RATE_D1*$A322,0))))</f>
        <v/>
      </c>
    </row>
    <row r="323" ht="15.75" customHeight="1" s="7635">
      <c r="A323" s="625">
        <f>AVERAGE(B323,C323)</f>
        <v/>
      </c>
      <c r="B323" s="555" t="n">
        <v>12950</v>
      </c>
      <c r="C323" s="555" t="n">
        <v>13000</v>
      </c>
      <c r="D323" s="556">
        <f>IF($A323&gt;BOTT_A4,ROUND(BASE_A4+RATE_A4*($A323-BOTT_A4),0),IF($A323&gt;BOTT_A3,ROUND(BASE_A3+RATE_A3*($A323-BOTT_A3),0),IF($A323&gt;BOTT_A2,ROUND(BASE_A2+RATE_A2*($A323-BOTT_A2),0),ROUND(RATE_A1*$A323,0))))</f>
        <v/>
      </c>
      <c r="E323" s="556">
        <f>IF($A323&gt;BOTT_B4,ROUND(BASE_B4+RATE_B4*($A323-BOTT_B4),0),IF($A323&gt;BOTT_B3,ROUND(BASE_B3+RATE_B3*($A323-BOTT_B3),0),IF($A323&gt;BOTT_B2,ROUND(BASE_B2+RATE_B2*($A323-BOTT_B2),0),ROUND(RATE_B1*$A323,0))))</f>
        <v/>
      </c>
      <c r="F323" s="556">
        <f>IF($A323&gt;BOTT_C4,ROUND(BASE_C4+RATE_C4*($A323-BOTT_C4),0),IF($A323&gt;BOTT_C3,ROUND(BASE_C3+RATE_C3*($A323-BOTT_C3),0),IF($A323&gt;BOTT_C2,ROUND(BASE_C2+RATE_C2*($A323-BOTT_C2),0),ROUND(RATE_C1*$A323,0))))</f>
        <v/>
      </c>
      <c r="G323" s="556">
        <f>IF($A323&gt;BOTT_D4,ROUND(BASE_D4+RATE_D4*($A323-BOTT_D4),0),IF($A323&gt;BOTT_D3,ROUND(BASE_D3+RATE_D3*($A323-BOTT_D3),0),IF($A323&gt;BOTT_D2,ROUND(BASE_D2+RATE_D2*($A323-BOTT_D2),0),ROUND(RATE_D1*$A323,0))))</f>
        <v/>
      </c>
    </row>
    <row r="324" ht="15.75" customHeight="1" s="7635">
      <c r="A324" s="625">
        <f>AVERAGE(B324,C324)</f>
        <v/>
      </c>
      <c r="B324" s="555" t="n">
        <v>13000</v>
      </c>
      <c r="C324" s="555" t="n">
        <v>13050</v>
      </c>
      <c r="D324" s="556">
        <f>IF($A324&gt;BOTT_A4,ROUND(BASE_A4+RATE_A4*($A324-BOTT_A4),0),IF($A324&gt;BOTT_A3,ROUND(BASE_A3+RATE_A3*($A324-BOTT_A3),0),IF($A324&gt;BOTT_A2,ROUND(BASE_A2+RATE_A2*($A324-BOTT_A2),0),ROUND(RATE_A1*$A324,0))))</f>
        <v/>
      </c>
      <c r="E324" s="556">
        <f>IF($A324&gt;BOTT_B4,ROUND(BASE_B4+RATE_B4*($A324-BOTT_B4),0),IF($A324&gt;BOTT_B3,ROUND(BASE_B3+RATE_B3*($A324-BOTT_B3),0),IF($A324&gt;BOTT_B2,ROUND(BASE_B2+RATE_B2*($A324-BOTT_B2),0),ROUND(RATE_B1*$A324,0))))</f>
        <v/>
      </c>
      <c r="F324" s="556">
        <f>IF($A324&gt;BOTT_C4,ROUND(BASE_C4+RATE_C4*($A324-BOTT_C4),0),IF($A324&gt;BOTT_C3,ROUND(BASE_C3+RATE_C3*($A324-BOTT_C3),0),IF($A324&gt;BOTT_C2,ROUND(BASE_C2+RATE_C2*($A324-BOTT_C2),0),ROUND(RATE_C1*$A324,0))))</f>
        <v/>
      </c>
      <c r="G324" s="556">
        <f>IF($A324&gt;BOTT_D4,ROUND(BASE_D4+RATE_D4*($A324-BOTT_D4),0),IF($A324&gt;BOTT_D3,ROUND(BASE_D3+RATE_D3*($A324-BOTT_D3),0),IF($A324&gt;BOTT_D2,ROUND(BASE_D2+RATE_D2*($A324-BOTT_D2),0),ROUND(RATE_D1*$A324,0))))</f>
        <v/>
      </c>
    </row>
    <row r="325" ht="15.75" customHeight="1" s="7635">
      <c r="A325" s="625">
        <f>AVERAGE(B325,C325)</f>
        <v/>
      </c>
      <c r="B325" s="555" t="n">
        <v>13050</v>
      </c>
      <c r="C325" s="555" t="n">
        <v>13100</v>
      </c>
      <c r="D325" s="556">
        <f>IF($A325&gt;BOTT_A4,ROUND(BASE_A4+RATE_A4*($A325-BOTT_A4),0),IF($A325&gt;BOTT_A3,ROUND(BASE_A3+RATE_A3*($A325-BOTT_A3),0),IF($A325&gt;BOTT_A2,ROUND(BASE_A2+RATE_A2*($A325-BOTT_A2),0),ROUND(RATE_A1*$A325,0))))</f>
        <v/>
      </c>
      <c r="E325" s="556">
        <f>IF($A325&gt;BOTT_B4,ROUND(BASE_B4+RATE_B4*($A325-BOTT_B4),0),IF($A325&gt;BOTT_B3,ROUND(BASE_B3+RATE_B3*($A325-BOTT_B3),0),IF($A325&gt;BOTT_B2,ROUND(BASE_B2+RATE_B2*($A325-BOTT_B2),0),ROUND(RATE_B1*$A325,0))))</f>
        <v/>
      </c>
      <c r="F325" s="556">
        <f>IF($A325&gt;BOTT_C4,ROUND(BASE_C4+RATE_C4*($A325-BOTT_C4),0),IF($A325&gt;BOTT_C3,ROUND(BASE_C3+RATE_C3*($A325-BOTT_C3),0),IF($A325&gt;BOTT_C2,ROUND(BASE_C2+RATE_C2*($A325-BOTT_C2),0),ROUND(RATE_C1*$A325,0))))</f>
        <v/>
      </c>
      <c r="G325" s="556">
        <f>IF($A325&gt;BOTT_D4,ROUND(BASE_D4+RATE_D4*($A325-BOTT_D4),0),IF($A325&gt;BOTT_D3,ROUND(BASE_D3+RATE_D3*($A325-BOTT_D3),0),IF($A325&gt;BOTT_D2,ROUND(BASE_D2+RATE_D2*($A325-BOTT_D2),0),ROUND(RATE_D1*$A325,0))))</f>
        <v/>
      </c>
    </row>
    <row r="326" ht="15.75" customHeight="1" s="7635">
      <c r="A326" s="625">
        <f>AVERAGE(B326,C326)</f>
        <v/>
      </c>
      <c r="B326" s="555" t="n">
        <v>13100</v>
      </c>
      <c r="C326" s="555" t="n">
        <v>13150</v>
      </c>
      <c r="D326" s="556">
        <f>IF($A326&gt;BOTT_A4,ROUND(BASE_A4+RATE_A4*($A326-BOTT_A4),0),IF($A326&gt;BOTT_A3,ROUND(BASE_A3+RATE_A3*($A326-BOTT_A3),0),IF($A326&gt;BOTT_A2,ROUND(BASE_A2+RATE_A2*($A326-BOTT_A2),0),ROUND(RATE_A1*$A326,0))))</f>
        <v/>
      </c>
      <c r="E326" s="556">
        <f>IF($A326&gt;BOTT_B4,ROUND(BASE_B4+RATE_B4*($A326-BOTT_B4),0),IF($A326&gt;BOTT_B3,ROUND(BASE_B3+RATE_B3*($A326-BOTT_B3),0),IF($A326&gt;BOTT_B2,ROUND(BASE_B2+RATE_B2*($A326-BOTT_B2),0),ROUND(RATE_B1*$A326,0))))</f>
        <v/>
      </c>
      <c r="F326" s="556">
        <f>IF($A326&gt;BOTT_C4,ROUND(BASE_C4+RATE_C4*($A326-BOTT_C4),0),IF($A326&gt;BOTT_C3,ROUND(BASE_C3+RATE_C3*($A326-BOTT_C3),0),IF($A326&gt;BOTT_C2,ROUND(BASE_C2+RATE_C2*($A326-BOTT_C2),0),ROUND(RATE_C1*$A326,0))))</f>
        <v/>
      </c>
      <c r="G326" s="556">
        <f>IF($A326&gt;BOTT_D4,ROUND(BASE_D4+RATE_D4*($A326-BOTT_D4),0),IF($A326&gt;BOTT_D3,ROUND(BASE_D3+RATE_D3*($A326-BOTT_D3),0),IF($A326&gt;BOTT_D2,ROUND(BASE_D2+RATE_D2*($A326-BOTT_D2),0),ROUND(RATE_D1*$A326,0))))</f>
        <v/>
      </c>
    </row>
    <row r="327" ht="15.75" customHeight="1" s="7635">
      <c r="A327" s="625">
        <f>AVERAGE(B327,C327)</f>
        <v/>
      </c>
      <c r="B327" s="555" t="n">
        <v>13150</v>
      </c>
      <c r="C327" s="555" t="n">
        <v>13200</v>
      </c>
      <c r="D327" s="556">
        <f>IF($A327&gt;BOTT_A4,ROUND(BASE_A4+RATE_A4*($A327-BOTT_A4),0),IF($A327&gt;BOTT_A3,ROUND(BASE_A3+RATE_A3*($A327-BOTT_A3),0),IF($A327&gt;BOTT_A2,ROUND(BASE_A2+RATE_A2*($A327-BOTT_A2),0),ROUND(RATE_A1*$A327,0))))</f>
        <v/>
      </c>
      <c r="E327" s="556">
        <f>IF($A327&gt;BOTT_B4,ROUND(BASE_B4+RATE_B4*($A327-BOTT_B4),0),IF($A327&gt;BOTT_B3,ROUND(BASE_B3+RATE_B3*($A327-BOTT_B3),0),IF($A327&gt;BOTT_B2,ROUND(BASE_B2+RATE_B2*($A327-BOTT_B2),0),ROUND(RATE_B1*$A327,0))))</f>
        <v/>
      </c>
      <c r="F327" s="556">
        <f>IF($A327&gt;BOTT_C4,ROUND(BASE_C4+RATE_C4*($A327-BOTT_C4),0),IF($A327&gt;BOTT_C3,ROUND(BASE_C3+RATE_C3*($A327-BOTT_C3),0),IF($A327&gt;BOTT_C2,ROUND(BASE_C2+RATE_C2*($A327-BOTT_C2),0),ROUND(RATE_C1*$A327,0))))</f>
        <v/>
      </c>
      <c r="G327" s="556">
        <f>IF($A327&gt;BOTT_D4,ROUND(BASE_D4+RATE_D4*($A327-BOTT_D4),0),IF($A327&gt;BOTT_D3,ROUND(BASE_D3+RATE_D3*($A327-BOTT_D3),0),IF($A327&gt;BOTT_D2,ROUND(BASE_D2+RATE_D2*($A327-BOTT_D2),0),ROUND(RATE_D1*$A327,0))))</f>
        <v/>
      </c>
    </row>
    <row r="328" ht="15.75" customHeight="1" s="7635">
      <c r="A328" s="625">
        <f>AVERAGE(B328,C328)</f>
        <v/>
      </c>
      <c r="B328" s="555" t="n">
        <v>13200</v>
      </c>
      <c r="C328" s="555" t="n">
        <v>13250</v>
      </c>
      <c r="D328" s="556">
        <f>IF($A328&gt;BOTT_A4,ROUND(BASE_A4+RATE_A4*($A328-BOTT_A4),0),IF($A328&gt;BOTT_A3,ROUND(BASE_A3+RATE_A3*($A328-BOTT_A3),0),IF($A328&gt;BOTT_A2,ROUND(BASE_A2+RATE_A2*($A328-BOTT_A2),0),ROUND(RATE_A1*$A328,0))))</f>
        <v/>
      </c>
      <c r="E328" s="556">
        <f>IF($A328&gt;BOTT_B4,ROUND(BASE_B4+RATE_B4*($A328-BOTT_B4),0),IF($A328&gt;BOTT_B3,ROUND(BASE_B3+RATE_B3*($A328-BOTT_B3),0),IF($A328&gt;BOTT_B2,ROUND(BASE_B2+RATE_B2*($A328-BOTT_B2),0),ROUND(RATE_B1*$A328,0))))</f>
        <v/>
      </c>
      <c r="F328" s="556">
        <f>IF($A328&gt;BOTT_C4,ROUND(BASE_C4+RATE_C4*($A328-BOTT_C4),0),IF($A328&gt;BOTT_C3,ROUND(BASE_C3+RATE_C3*($A328-BOTT_C3),0),IF($A328&gt;BOTT_C2,ROUND(BASE_C2+RATE_C2*($A328-BOTT_C2),0),ROUND(RATE_C1*$A328,0))))</f>
        <v/>
      </c>
      <c r="G328" s="556">
        <f>IF($A328&gt;BOTT_D4,ROUND(BASE_D4+RATE_D4*($A328-BOTT_D4),0),IF($A328&gt;BOTT_D3,ROUND(BASE_D3+RATE_D3*($A328-BOTT_D3),0),IF($A328&gt;BOTT_D2,ROUND(BASE_D2+RATE_D2*($A328-BOTT_D2),0),ROUND(RATE_D1*$A328,0))))</f>
        <v/>
      </c>
    </row>
    <row r="329" ht="15.75" customHeight="1" s="7635">
      <c r="A329" s="625">
        <f>AVERAGE(B329,C329)</f>
        <v/>
      </c>
      <c r="B329" s="555" t="n">
        <v>13250</v>
      </c>
      <c r="C329" s="555" t="n">
        <v>13300</v>
      </c>
      <c r="D329" s="556">
        <f>IF($A329&gt;BOTT_A4,ROUND(BASE_A4+RATE_A4*($A329-BOTT_A4),0),IF($A329&gt;BOTT_A3,ROUND(BASE_A3+RATE_A3*($A329-BOTT_A3),0),IF($A329&gt;BOTT_A2,ROUND(BASE_A2+RATE_A2*($A329-BOTT_A2),0),ROUND(RATE_A1*$A329,0))))</f>
        <v/>
      </c>
      <c r="E329" s="556">
        <f>IF($A329&gt;BOTT_B4,ROUND(BASE_B4+RATE_B4*($A329-BOTT_B4),0),IF($A329&gt;BOTT_B3,ROUND(BASE_B3+RATE_B3*($A329-BOTT_B3),0),IF($A329&gt;BOTT_B2,ROUND(BASE_B2+RATE_B2*($A329-BOTT_B2),0),ROUND(RATE_B1*$A329,0))))</f>
        <v/>
      </c>
      <c r="F329" s="556">
        <f>IF($A329&gt;BOTT_C4,ROUND(BASE_C4+RATE_C4*($A329-BOTT_C4),0),IF($A329&gt;BOTT_C3,ROUND(BASE_C3+RATE_C3*($A329-BOTT_C3),0),IF($A329&gt;BOTT_C2,ROUND(BASE_C2+RATE_C2*($A329-BOTT_C2),0),ROUND(RATE_C1*$A329,0))))</f>
        <v/>
      </c>
      <c r="G329" s="556">
        <f>IF($A329&gt;BOTT_D4,ROUND(BASE_D4+RATE_D4*($A329-BOTT_D4),0),IF($A329&gt;BOTT_D3,ROUND(BASE_D3+RATE_D3*($A329-BOTT_D3),0),IF($A329&gt;BOTT_D2,ROUND(BASE_D2+RATE_D2*($A329-BOTT_D2),0),ROUND(RATE_D1*$A329,0))))</f>
        <v/>
      </c>
    </row>
    <row r="330" ht="15.75" customHeight="1" s="7635">
      <c r="A330" s="625">
        <f>AVERAGE(B330,C330)</f>
        <v/>
      </c>
      <c r="B330" s="555" t="n">
        <v>13300</v>
      </c>
      <c r="C330" s="555" t="n">
        <v>13350</v>
      </c>
      <c r="D330" s="556">
        <f>IF($A330&gt;BOTT_A4,ROUND(BASE_A4+RATE_A4*($A330-BOTT_A4),0),IF($A330&gt;BOTT_A3,ROUND(BASE_A3+RATE_A3*($A330-BOTT_A3),0),IF($A330&gt;BOTT_A2,ROUND(BASE_A2+RATE_A2*($A330-BOTT_A2),0),ROUND(RATE_A1*$A330,0))))</f>
        <v/>
      </c>
      <c r="E330" s="556">
        <f>IF($A330&gt;BOTT_B4,ROUND(BASE_B4+RATE_B4*($A330-BOTT_B4),0),IF($A330&gt;BOTT_B3,ROUND(BASE_B3+RATE_B3*($A330-BOTT_B3),0),IF($A330&gt;BOTT_B2,ROUND(BASE_B2+RATE_B2*($A330-BOTT_B2),0),ROUND(RATE_B1*$A330,0))))</f>
        <v/>
      </c>
      <c r="F330" s="556">
        <f>IF($A330&gt;BOTT_C4,ROUND(BASE_C4+RATE_C4*($A330-BOTT_C4),0),IF($A330&gt;BOTT_C3,ROUND(BASE_C3+RATE_C3*($A330-BOTT_C3),0),IF($A330&gt;BOTT_C2,ROUND(BASE_C2+RATE_C2*($A330-BOTT_C2),0),ROUND(RATE_C1*$A330,0))))</f>
        <v/>
      </c>
      <c r="G330" s="556">
        <f>IF($A330&gt;BOTT_D4,ROUND(BASE_D4+RATE_D4*($A330-BOTT_D4),0),IF($A330&gt;BOTT_D3,ROUND(BASE_D3+RATE_D3*($A330-BOTT_D3),0),IF($A330&gt;BOTT_D2,ROUND(BASE_D2+RATE_D2*($A330-BOTT_D2),0),ROUND(RATE_D1*$A330,0))))</f>
        <v/>
      </c>
    </row>
    <row r="331" ht="15.75" customHeight="1" s="7635">
      <c r="A331" s="625">
        <f>AVERAGE(B331,C331)</f>
        <v/>
      </c>
      <c r="B331" s="555" t="n">
        <v>13350</v>
      </c>
      <c r="C331" s="555" t="n">
        <v>13400</v>
      </c>
      <c r="D331" s="556">
        <f>IF($A331&gt;BOTT_A4,ROUND(BASE_A4+RATE_A4*($A331-BOTT_A4),0),IF($A331&gt;BOTT_A3,ROUND(BASE_A3+RATE_A3*($A331-BOTT_A3),0),IF($A331&gt;BOTT_A2,ROUND(BASE_A2+RATE_A2*($A331-BOTT_A2),0),ROUND(RATE_A1*$A331,0))))</f>
        <v/>
      </c>
      <c r="E331" s="556">
        <f>IF($A331&gt;BOTT_B4,ROUND(BASE_B4+RATE_B4*($A331-BOTT_B4),0),IF($A331&gt;BOTT_B3,ROUND(BASE_B3+RATE_B3*($A331-BOTT_B3),0),IF($A331&gt;BOTT_B2,ROUND(BASE_B2+RATE_B2*($A331-BOTT_B2),0),ROUND(RATE_B1*$A331,0))))</f>
        <v/>
      </c>
      <c r="F331" s="556">
        <f>IF($A331&gt;BOTT_C4,ROUND(BASE_C4+RATE_C4*($A331-BOTT_C4),0),IF($A331&gt;BOTT_C3,ROUND(BASE_C3+RATE_C3*($A331-BOTT_C3),0),IF($A331&gt;BOTT_C2,ROUND(BASE_C2+RATE_C2*($A331-BOTT_C2),0),ROUND(RATE_C1*$A331,0))))</f>
        <v/>
      </c>
      <c r="G331" s="556">
        <f>IF($A331&gt;BOTT_D4,ROUND(BASE_D4+RATE_D4*($A331-BOTT_D4),0),IF($A331&gt;BOTT_D3,ROUND(BASE_D3+RATE_D3*($A331-BOTT_D3),0),IF($A331&gt;BOTT_D2,ROUND(BASE_D2+RATE_D2*($A331-BOTT_D2),0),ROUND(RATE_D1*$A331,0))))</f>
        <v/>
      </c>
    </row>
    <row r="332" ht="15.75" customHeight="1" s="7635">
      <c r="A332" s="625">
        <f>AVERAGE(B332,C332)</f>
        <v/>
      </c>
      <c r="B332" s="555" t="n">
        <v>13400</v>
      </c>
      <c r="C332" s="555" t="n">
        <v>13450</v>
      </c>
      <c r="D332" s="556">
        <f>IF($A332&gt;BOTT_A4,ROUND(BASE_A4+RATE_A4*($A332-BOTT_A4),0),IF($A332&gt;BOTT_A3,ROUND(BASE_A3+RATE_A3*($A332-BOTT_A3),0),IF($A332&gt;BOTT_A2,ROUND(BASE_A2+RATE_A2*($A332-BOTT_A2),0),ROUND(RATE_A1*$A332,0))))</f>
        <v/>
      </c>
      <c r="E332" s="556">
        <f>IF($A332&gt;BOTT_B4,ROUND(BASE_B4+RATE_B4*($A332-BOTT_B4),0),IF($A332&gt;BOTT_B3,ROUND(BASE_B3+RATE_B3*($A332-BOTT_B3),0),IF($A332&gt;BOTT_B2,ROUND(BASE_B2+RATE_B2*($A332-BOTT_B2),0),ROUND(RATE_B1*$A332,0))))</f>
        <v/>
      </c>
      <c r="F332" s="556">
        <f>IF($A332&gt;BOTT_C4,ROUND(BASE_C4+RATE_C4*($A332-BOTT_C4),0),IF($A332&gt;BOTT_C3,ROUND(BASE_C3+RATE_C3*($A332-BOTT_C3),0),IF($A332&gt;BOTT_C2,ROUND(BASE_C2+RATE_C2*($A332-BOTT_C2),0),ROUND(RATE_C1*$A332,0))))</f>
        <v/>
      </c>
      <c r="G332" s="556">
        <f>IF($A332&gt;BOTT_D4,ROUND(BASE_D4+RATE_D4*($A332-BOTT_D4),0),IF($A332&gt;BOTT_D3,ROUND(BASE_D3+RATE_D3*($A332-BOTT_D3),0),IF($A332&gt;BOTT_D2,ROUND(BASE_D2+RATE_D2*($A332-BOTT_D2),0),ROUND(RATE_D1*$A332,0))))</f>
        <v/>
      </c>
    </row>
    <row r="333" ht="15.75" customHeight="1" s="7635">
      <c r="A333" s="625">
        <f>AVERAGE(B333,C333)</f>
        <v/>
      </c>
      <c r="B333" s="555" t="n">
        <v>13450</v>
      </c>
      <c r="C333" s="555" t="n">
        <v>13500</v>
      </c>
      <c r="D333" s="556">
        <f>IF($A333&gt;BOTT_A4,ROUND(BASE_A4+RATE_A4*($A333-BOTT_A4),0),IF($A333&gt;BOTT_A3,ROUND(BASE_A3+RATE_A3*($A333-BOTT_A3),0),IF($A333&gt;BOTT_A2,ROUND(BASE_A2+RATE_A2*($A333-BOTT_A2),0),ROUND(RATE_A1*$A333,0))))</f>
        <v/>
      </c>
      <c r="E333" s="556">
        <f>IF($A333&gt;BOTT_B4,ROUND(BASE_B4+RATE_B4*($A333-BOTT_B4),0),IF($A333&gt;BOTT_B3,ROUND(BASE_B3+RATE_B3*($A333-BOTT_B3),0),IF($A333&gt;BOTT_B2,ROUND(BASE_B2+RATE_B2*($A333-BOTT_B2),0),ROUND(RATE_B1*$A333,0))))</f>
        <v/>
      </c>
      <c r="F333" s="556">
        <f>IF($A333&gt;BOTT_C4,ROUND(BASE_C4+RATE_C4*($A333-BOTT_C4),0),IF($A333&gt;BOTT_C3,ROUND(BASE_C3+RATE_C3*($A333-BOTT_C3),0),IF($A333&gt;BOTT_C2,ROUND(BASE_C2+RATE_C2*($A333-BOTT_C2),0),ROUND(RATE_C1*$A333,0))))</f>
        <v/>
      </c>
      <c r="G333" s="556">
        <f>IF($A333&gt;BOTT_D4,ROUND(BASE_D4+RATE_D4*($A333-BOTT_D4),0),IF($A333&gt;BOTT_D3,ROUND(BASE_D3+RATE_D3*($A333-BOTT_D3),0),IF($A333&gt;BOTT_D2,ROUND(BASE_D2+RATE_D2*($A333-BOTT_D2),0),ROUND(RATE_D1*$A333,0))))</f>
        <v/>
      </c>
    </row>
    <row r="334" ht="15.75" customHeight="1" s="7635">
      <c r="A334" s="625">
        <f>AVERAGE(B334,C334)</f>
        <v/>
      </c>
      <c r="B334" s="555" t="n">
        <v>13500</v>
      </c>
      <c r="C334" s="555" t="n">
        <v>13550</v>
      </c>
      <c r="D334" s="556">
        <f>IF($A334&gt;BOTT_A4,ROUND(BASE_A4+RATE_A4*($A334-BOTT_A4),0),IF($A334&gt;BOTT_A3,ROUND(BASE_A3+RATE_A3*($A334-BOTT_A3),0),IF($A334&gt;BOTT_A2,ROUND(BASE_A2+RATE_A2*($A334-BOTT_A2),0),ROUND(RATE_A1*$A334,0))))</f>
        <v/>
      </c>
      <c r="E334" s="556">
        <f>IF($A334&gt;BOTT_B4,ROUND(BASE_B4+RATE_B4*($A334-BOTT_B4),0),IF($A334&gt;BOTT_B3,ROUND(BASE_B3+RATE_B3*($A334-BOTT_B3),0),IF($A334&gt;BOTT_B2,ROUND(BASE_B2+RATE_B2*($A334-BOTT_B2),0),ROUND(RATE_B1*$A334,0))))</f>
        <v/>
      </c>
      <c r="F334" s="556">
        <f>IF($A334&gt;BOTT_C4,ROUND(BASE_C4+RATE_C4*($A334-BOTT_C4),0),IF($A334&gt;BOTT_C3,ROUND(BASE_C3+RATE_C3*($A334-BOTT_C3),0),IF($A334&gt;BOTT_C2,ROUND(BASE_C2+RATE_C2*($A334-BOTT_C2),0),ROUND(RATE_C1*$A334,0))))</f>
        <v/>
      </c>
      <c r="G334" s="556">
        <f>IF($A334&gt;BOTT_D4,ROUND(BASE_D4+RATE_D4*($A334-BOTT_D4),0),IF($A334&gt;BOTT_D3,ROUND(BASE_D3+RATE_D3*($A334-BOTT_D3),0),IF($A334&gt;BOTT_D2,ROUND(BASE_D2+RATE_D2*($A334-BOTT_D2),0),ROUND(RATE_D1*$A334,0))))</f>
        <v/>
      </c>
    </row>
    <row r="335" ht="15.75" customHeight="1" s="7635">
      <c r="A335" s="625">
        <f>AVERAGE(B335,C335)</f>
        <v/>
      </c>
      <c r="B335" s="555" t="n">
        <v>13550</v>
      </c>
      <c r="C335" s="555" t="n">
        <v>13600</v>
      </c>
      <c r="D335" s="556">
        <f>IF($A335&gt;BOTT_A4,ROUND(BASE_A4+RATE_A4*($A335-BOTT_A4),0),IF($A335&gt;BOTT_A3,ROUND(BASE_A3+RATE_A3*($A335-BOTT_A3),0),IF($A335&gt;BOTT_A2,ROUND(BASE_A2+RATE_A2*($A335-BOTT_A2),0),ROUND(RATE_A1*$A335,0))))</f>
        <v/>
      </c>
      <c r="E335" s="556">
        <f>IF($A335&gt;BOTT_B4,ROUND(BASE_B4+RATE_B4*($A335-BOTT_B4),0),IF($A335&gt;BOTT_B3,ROUND(BASE_B3+RATE_B3*($A335-BOTT_B3),0),IF($A335&gt;BOTT_B2,ROUND(BASE_B2+RATE_B2*($A335-BOTT_B2),0),ROUND(RATE_B1*$A335,0))))</f>
        <v/>
      </c>
      <c r="F335" s="556">
        <f>IF($A335&gt;BOTT_C4,ROUND(BASE_C4+RATE_C4*($A335-BOTT_C4),0),IF($A335&gt;BOTT_C3,ROUND(BASE_C3+RATE_C3*($A335-BOTT_C3),0),IF($A335&gt;BOTT_C2,ROUND(BASE_C2+RATE_C2*($A335-BOTT_C2),0),ROUND(RATE_C1*$A335,0))))</f>
        <v/>
      </c>
      <c r="G335" s="556">
        <f>IF($A335&gt;BOTT_D4,ROUND(BASE_D4+RATE_D4*($A335-BOTT_D4),0),IF($A335&gt;BOTT_D3,ROUND(BASE_D3+RATE_D3*($A335-BOTT_D3),0),IF($A335&gt;BOTT_D2,ROUND(BASE_D2+RATE_D2*($A335-BOTT_D2),0),ROUND(RATE_D1*$A335,0))))</f>
        <v/>
      </c>
    </row>
    <row r="336" ht="15.75" customHeight="1" s="7635">
      <c r="A336" s="625">
        <f>AVERAGE(B336,C336)</f>
        <v/>
      </c>
      <c r="B336" s="555" t="n">
        <v>13600</v>
      </c>
      <c r="C336" s="555" t="n">
        <v>13650</v>
      </c>
      <c r="D336" s="556">
        <f>IF($A336&gt;BOTT_A4,ROUND(BASE_A4+RATE_A4*($A336-BOTT_A4),0),IF($A336&gt;BOTT_A3,ROUND(BASE_A3+RATE_A3*($A336-BOTT_A3),0),IF($A336&gt;BOTT_A2,ROUND(BASE_A2+RATE_A2*($A336-BOTT_A2),0),ROUND(RATE_A1*$A336,0))))</f>
        <v/>
      </c>
      <c r="E336" s="556">
        <f>IF($A336&gt;BOTT_B4,ROUND(BASE_B4+RATE_B4*($A336-BOTT_B4),0),IF($A336&gt;BOTT_B3,ROUND(BASE_B3+RATE_B3*($A336-BOTT_B3),0),IF($A336&gt;BOTT_B2,ROUND(BASE_B2+RATE_B2*($A336-BOTT_B2),0),ROUND(RATE_B1*$A336,0))))</f>
        <v/>
      </c>
      <c r="F336" s="556">
        <f>IF($A336&gt;BOTT_C4,ROUND(BASE_C4+RATE_C4*($A336-BOTT_C4),0),IF($A336&gt;BOTT_C3,ROUND(BASE_C3+RATE_C3*($A336-BOTT_C3),0),IF($A336&gt;BOTT_C2,ROUND(BASE_C2+RATE_C2*($A336-BOTT_C2),0),ROUND(RATE_C1*$A336,0))))</f>
        <v/>
      </c>
      <c r="G336" s="556">
        <f>IF($A336&gt;BOTT_D4,ROUND(BASE_D4+RATE_D4*($A336-BOTT_D4),0),IF($A336&gt;BOTT_D3,ROUND(BASE_D3+RATE_D3*($A336-BOTT_D3),0),IF($A336&gt;BOTT_D2,ROUND(BASE_D2+RATE_D2*($A336-BOTT_D2),0),ROUND(RATE_D1*$A336,0))))</f>
        <v/>
      </c>
    </row>
    <row r="337" ht="15.75" customHeight="1" s="7635">
      <c r="A337" s="625">
        <f>AVERAGE(B337,C337)</f>
        <v/>
      </c>
      <c r="B337" s="555" t="n">
        <v>13650</v>
      </c>
      <c r="C337" s="555" t="n">
        <v>13700</v>
      </c>
      <c r="D337" s="556">
        <f>IF($A337&gt;BOTT_A4,ROUND(BASE_A4+RATE_A4*($A337-BOTT_A4),0),IF($A337&gt;BOTT_A3,ROUND(BASE_A3+RATE_A3*($A337-BOTT_A3),0),IF($A337&gt;BOTT_A2,ROUND(BASE_A2+RATE_A2*($A337-BOTT_A2),0),ROUND(RATE_A1*$A337,0))))</f>
        <v/>
      </c>
      <c r="E337" s="556">
        <f>IF($A337&gt;BOTT_B4,ROUND(BASE_B4+RATE_B4*($A337-BOTT_B4),0),IF($A337&gt;BOTT_B3,ROUND(BASE_B3+RATE_B3*($A337-BOTT_B3),0),IF($A337&gt;BOTT_B2,ROUND(BASE_B2+RATE_B2*($A337-BOTT_B2),0),ROUND(RATE_B1*$A337,0))))</f>
        <v/>
      </c>
      <c r="F337" s="556">
        <f>IF($A337&gt;BOTT_C4,ROUND(BASE_C4+RATE_C4*($A337-BOTT_C4),0),IF($A337&gt;BOTT_C3,ROUND(BASE_C3+RATE_C3*($A337-BOTT_C3),0),IF($A337&gt;BOTT_C2,ROUND(BASE_C2+RATE_C2*($A337-BOTT_C2),0),ROUND(RATE_C1*$A337,0))))</f>
        <v/>
      </c>
      <c r="G337" s="556">
        <f>IF($A337&gt;BOTT_D4,ROUND(BASE_D4+RATE_D4*($A337-BOTT_D4),0),IF($A337&gt;BOTT_D3,ROUND(BASE_D3+RATE_D3*($A337-BOTT_D3),0),IF($A337&gt;BOTT_D2,ROUND(BASE_D2+RATE_D2*($A337-BOTT_D2),0),ROUND(RATE_D1*$A337,0))))</f>
        <v/>
      </c>
    </row>
    <row r="338" ht="15.75" customHeight="1" s="7635">
      <c r="A338" s="625">
        <f>AVERAGE(B338,C338)</f>
        <v/>
      </c>
      <c r="B338" s="555" t="n">
        <v>13700</v>
      </c>
      <c r="C338" s="555" t="n">
        <v>13750</v>
      </c>
      <c r="D338" s="556">
        <f>IF($A338&gt;BOTT_A4,ROUND(BASE_A4+RATE_A4*($A338-BOTT_A4),0),IF($A338&gt;BOTT_A3,ROUND(BASE_A3+RATE_A3*($A338-BOTT_A3),0),IF($A338&gt;BOTT_A2,ROUND(BASE_A2+RATE_A2*($A338-BOTT_A2),0),ROUND(RATE_A1*$A338,0))))</f>
        <v/>
      </c>
      <c r="E338" s="556">
        <f>IF($A338&gt;BOTT_B4,ROUND(BASE_B4+RATE_B4*($A338-BOTT_B4),0),IF($A338&gt;BOTT_B3,ROUND(BASE_B3+RATE_B3*($A338-BOTT_B3),0),IF($A338&gt;BOTT_B2,ROUND(BASE_B2+RATE_B2*($A338-BOTT_B2),0),ROUND(RATE_B1*$A338,0))))</f>
        <v/>
      </c>
      <c r="F338" s="556">
        <f>IF($A338&gt;BOTT_C4,ROUND(BASE_C4+RATE_C4*($A338-BOTT_C4),0),IF($A338&gt;BOTT_C3,ROUND(BASE_C3+RATE_C3*($A338-BOTT_C3),0),IF($A338&gt;BOTT_C2,ROUND(BASE_C2+RATE_C2*($A338-BOTT_C2),0),ROUND(RATE_C1*$A338,0))))</f>
        <v/>
      </c>
      <c r="G338" s="556">
        <f>IF($A338&gt;BOTT_D4,ROUND(BASE_D4+RATE_D4*($A338-BOTT_D4),0),IF($A338&gt;BOTT_D3,ROUND(BASE_D3+RATE_D3*($A338-BOTT_D3),0),IF($A338&gt;BOTT_D2,ROUND(BASE_D2+RATE_D2*($A338-BOTT_D2),0),ROUND(RATE_D1*$A338,0))))</f>
        <v/>
      </c>
    </row>
    <row r="339" ht="15.75" customHeight="1" s="7635">
      <c r="A339" s="625">
        <f>AVERAGE(B339,C339)</f>
        <v/>
      </c>
      <c r="B339" s="555" t="n">
        <v>13750</v>
      </c>
      <c r="C339" s="555" t="n">
        <v>13800</v>
      </c>
      <c r="D339" s="556">
        <f>IF($A339&gt;BOTT_A4,ROUND(BASE_A4+RATE_A4*($A339-BOTT_A4),0),IF($A339&gt;BOTT_A3,ROUND(BASE_A3+RATE_A3*($A339-BOTT_A3),0),IF($A339&gt;BOTT_A2,ROUND(BASE_A2+RATE_A2*($A339-BOTT_A2),0),ROUND(RATE_A1*$A339,0))))</f>
        <v/>
      </c>
      <c r="E339" s="556">
        <f>IF($A339&gt;BOTT_B4,ROUND(BASE_B4+RATE_B4*($A339-BOTT_B4),0),IF($A339&gt;BOTT_B3,ROUND(BASE_B3+RATE_B3*($A339-BOTT_B3),0),IF($A339&gt;BOTT_B2,ROUND(BASE_B2+RATE_B2*($A339-BOTT_B2),0),ROUND(RATE_B1*$A339,0))))</f>
        <v/>
      </c>
      <c r="F339" s="556">
        <f>IF($A339&gt;BOTT_C4,ROUND(BASE_C4+RATE_C4*($A339-BOTT_C4),0),IF($A339&gt;BOTT_C3,ROUND(BASE_C3+RATE_C3*($A339-BOTT_C3),0),IF($A339&gt;BOTT_C2,ROUND(BASE_C2+RATE_C2*($A339-BOTT_C2),0),ROUND(RATE_C1*$A339,0))))</f>
        <v/>
      </c>
      <c r="G339" s="556">
        <f>IF($A339&gt;BOTT_D4,ROUND(BASE_D4+RATE_D4*($A339-BOTT_D4),0),IF($A339&gt;BOTT_D3,ROUND(BASE_D3+RATE_D3*($A339-BOTT_D3),0),IF($A339&gt;BOTT_D2,ROUND(BASE_D2+RATE_D2*($A339-BOTT_D2),0),ROUND(RATE_D1*$A339,0))))</f>
        <v/>
      </c>
    </row>
    <row r="340" ht="15.75" customHeight="1" s="7635">
      <c r="A340" s="625">
        <f>AVERAGE(B340,C340)</f>
        <v/>
      </c>
      <c r="B340" s="555" t="n">
        <v>13800</v>
      </c>
      <c r="C340" s="555" t="n">
        <v>13850</v>
      </c>
      <c r="D340" s="556">
        <f>IF($A340&gt;BOTT_A4,ROUND(BASE_A4+RATE_A4*($A340-BOTT_A4),0),IF($A340&gt;BOTT_A3,ROUND(BASE_A3+RATE_A3*($A340-BOTT_A3),0),IF($A340&gt;BOTT_A2,ROUND(BASE_A2+RATE_A2*($A340-BOTT_A2),0),ROUND(RATE_A1*$A340,0))))</f>
        <v/>
      </c>
      <c r="E340" s="556">
        <f>IF($A340&gt;BOTT_B4,ROUND(BASE_B4+RATE_B4*($A340-BOTT_B4),0),IF($A340&gt;BOTT_B3,ROUND(BASE_B3+RATE_B3*($A340-BOTT_B3),0),IF($A340&gt;BOTT_B2,ROUND(BASE_B2+RATE_B2*($A340-BOTT_B2),0),ROUND(RATE_B1*$A340,0))))</f>
        <v/>
      </c>
      <c r="F340" s="556">
        <f>IF($A340&gt;BOTT_C4,ROUND(BASE_C4+RATE_C4*($A340-BOTT_C4),0),IF($A340&gt;BOTT_C3,ROUND(BASE_C3+RATE_C3*($A340-BOTT_C3),0),IF($A340&gt;BOTT_C2,ROUND(BASE_C2+RATE_C2*($A340-BOTT_C2),0),ROUND(RATE_C1*$A340,0))))</f>
        <v/>
      </c>
      <c r="G340" s="556">
        <f>IF($A340&gt;BOTT_D4,ROUND(BASE_D4+RATE_D4*($A340-BOTT_D4),0),IF($A340&gt;BOTT_D3,ROUND(BASE_D3+RATE_D3*($A340-BOTT_D3),0),IF($A340&gt;BOTT_D2,ROUND(BASE_D2+RATE_D2*($A340-BOTT_D2),0),ROUND(RATE_D1*$A340,0))))</f>
        <v/>
      </c>
    </row>
    <row r="341" ht="15.75" customHeight="1" s="7635">
      <c r="A341" s="625">
        <f>AVERAGE(B341,C341)</f>
        <v/>
      </c>
      <c r="B341" s="555" t="n">
        <v>13850</v>
      </c>
      <c r="C341" s="555" t="n">
        <v>13900</v>
      </c>
      <c r="D341" s="556">
        <f>IF($A341&gt;BOTT_A4,ROUND(BASE_A4+RATE_A4*($A341-BOTT_A4),0),IF($A341&gt;BOTT_A3,ROUND(BASE_A3+RATE_A3*($A341-BOTT_A3),0),IF($A341&gt;BOTT_A2,ROUND(BASE_A2+RATE_A2*($A341-BOTT_A2),0),ROUND(RATE_A1*$A341,0))))</f>
        <v/>
      </c>
      <c r="E341" s="556">
        <f>IF($A341&gt;BOTT_B4,ROUND(BASE_B4+RATE_B4*($A341-BOTT_B4),0),IF($A341&gt;BOTT_B3,ROUND(BASE_B3+RATE_B3*($A341-BOTT_B3),0),IF($A341&gt;BOTT_B2,ROUND(BASE_B2+RATE_B2*($A341-BOTT_B2),0),ROUND(RATE_B1*$A341,0))))</f>
        <v/>
      </c>
      <c r="F341" s="556">
        <f>IF($A341&gt;BOTT_C4,ROUND(BASE_C4+RATE_C4*($A341-BOTT_C4),0),IF($A341&gt;BOTT_C3,ROUND(BASE_C3+RATE_C3*($A341-BOTT_C3),0),IF($A341&gt;BOTT_C2,ROUND(BASE_C2+RATE_C2*($A341-BOTT_C2),0),ROUND(RATE_C1*$A341,0))))</f>
        <v/>
      </c>
      <c r="G341" s="556">
        <f>IF($A341&gt;BOTT_D4,ROUND(BASE_D4+RATE_D4*($A341-BOTT_D4),0),IF($A341&gt;BOTT_D3,ROUND(BASE_D3+RATE_D3*($A341-BOTT_D3),0),IF($A341&gt;BOTT_D2,ROUND(BASE_D2+RATE_D2*($A341-BOTT_D2),0),ROUND(RATE_D1*$A341,0))))</f>
        <v/>
      </c>
    </row>
    <row r="342" ht="15.75" customHeight="1" s="7635">
      <c r="A342" s="625">
        <f>AVERAGE(B342,C342)</f>
        <v/>
      </c>
      <c r="B342" s="555" t="n">
        <v>13900</v>
      </c>
      <c r="C342" s="555" t="n">
        <v>13950</v>
      </c>
      <c r="D342" s="556">
        <f>IF($A342&gt;BOTT_A4,ROUND(BASE_A4+RATE_A4*($A342-BOTT_A4),0),IF($A342&gt;BOTT_A3,ROUND(BASE_A3+RATE_A3*($A342-BOTT_A3),0),IF($A342&gt;BOTT_A2,ROUND(BASE_A2+RATE_A2*($A342-BOTT_A2),0),ROUND(RATE_A1*$A342,0))))</f>
        <v/>
      </c>
      <c r="E342" s="556">
        <f>IF($A342&gt;BOTT_B4,ROUND(BASE_B4+RATE_B4*($A342-BOTT_B4),0),IF($A342&gt;BOTT_B3,ROUND(BASE_B3+RATE_B3*($A342-BOTT_B3),0),IF($A342&gt;BOTT_B2,ROUND(BASE_B2+RATE_B2*($A342-BOTT_B2),0),ROUND(RATE_B1*$A342,0))))</f>
        <v/>
      </c>
      <c r="F342" s="556">
        <f>IF($A342&gt;BOTT_C4,ROUND(BASE_C4+RATE_C4*($A342-BOTT_C4),0),IF($A342&gt;BOTT_C3,ROUND(BASE_C3+RATE_C3*($A342-BOTT_C3),0),IF($A342&gt;BOTT_C2,ROUND(BASE_C2+RATE_C2*($A342-BOTT_C2),0),ROUND(RATE_C1*$A342,0))))</f>
        <v/>
      </c>
      <c r="G342" s="556">
        <f>IF($A342&gt;BOTT_D4,ROUND(BASE_D4+RATE_D4*($A342-BOTT_D4),0),IF($A342&gt;BOTT_D3,ROUND(BASE_D3+RATE_D3*($A342-BOTT_D3),0),IF($A342&gt;BOTT_D2,ROUND(BASE_D2+RATE_D2*($A342-BOTT_D2),0),ROUND(RATE_D1*$A342,0))))</f>
        <v/>
      </c>
    </row>
    <row r="343" ht="15.75" customHeight="1" s="7635">
      <c r="A343" s="625">
        <f>AVERAGE(B343,C343)</f>
        <v/>
      </c>
      <c r="B343" s="555" t="n">
        <v>13950</v>
      </c>
      <c r="C343" s="555" t="n">
        <v>14000</v>
      </c>
      <c r="D343" s="556">
        <f>IF($A343&gt;BOTT_A4,ROUND(BASE_A4+RATE_A4*($A343-BOTT_A4),0),IF($A343&gt;BOTT_A3,ROUND(BASE_A3+RATE_A3*($A343-BOTT_A3),0),IF($A343&gt;BOTT_A2,ROUND(BASE_A2+RATE_A2*($A343-BOTT_A2),0),ROUND(RATE_A1*$A343,0))))</f>
        <v/>
      </c>
      <c r="E343" s="556">
        <f>IF($A343&gt;BOTT_B4,ROUND(BASE_B4+RATE_B4*($A343-BOTT_B4),0),IF($A343&gt;BOTT_B3,ROUND(BASE_B3+RATE_B3*($A343-BOTT_B3),0),IF($A343&gt;BOTT_B2,ROUND(BASE_B2+RATE_B2*($A343-BOTT_B2),0),ROUND(RATE_B1*$A343,0))))</f>
        <v/>
      </c>
      <c r="F343" s="556">
        <f>IF($A343&gt;BOTT_C4,ROUND(BASE_C4+RATE_C4*($A343-BOTT_C4),0),IF($A343&gt;BOTT_C3,ROUND(BASE_C3+RATE_C3*($A343-BOTT_C3),0),IF($A343&gt;BOTT_C2,ROUND(BASE_C2+RATE_C2*($A343-BOTT_C2),0),ROUND(RATE_C1*$A343,0))))</f>
        <v/>
      </c>
      <c r="G343" s="556">
        <f>IF($A343&gt;BOTT_D4,ROUND(BASE_D4+RATE_D4*($A343-BOTT_D4),0),IF($A343&gt;BOTT_D3,ROUND(BASE_D3+RATE_D3*($A343-BOTT_D3),0),IF($A343&gt;BOTT_D2,ROUND(BASE_D2+RATE_D2*($A343-BOTT_D2),0),ROUND(RATE_D1*$A343,0))))</f>
        <v/>
      </c>
    </row>
    <row r="344" ht="15.75" customHeight="1" s="7635">
      <c r="A344" s="625">
        <f>AVERAGE(B344,C344)</f>
        <v/>
      </c>
      <c r="B344" s="555" t="n">
        <v>14000</v>
      </c>
      <c r="C344" s="555" t="n">
        <v>14050</v>
      </c>
      <c r="D344" s="556">
        <f>IF($A344&gt;BOTT_A4,ROUND(BASE_A4+RATE_A4*($A344-BOTT_A4),0),IF($A344&gt;BOTT_A3,ROUND(BASE_A3+RATE_A3*($A344-BOTT_A3),0),IF($A344&gt;BOTT_A2,ROUND(BASE_A2+RATE_A2*($A344-BOTT_A2),0),ROUND(RATE_A1*$A344,0))))</f>
        <v/>
      </c>
      <c r="E344" s="556">
        <f>IF($A344&gt;BOTT_B4,ROUND(BASE_B4+RATE_B4*($A344-BOTT_B4),0),IF($A344&gt;BOTT_B3,ROUND(BASE_B3+RATE_B3*($A344-BOTT_B3),0),IF($A344&gt;BOTT_B2,ROUND(BASE_B2+RATE_B2*($A344-BOTT_B2),0),ROUND(RATE_B1*$A344,0))))</f>
        <v/>
      </c>
      <c r="F344" s="556">
        <f>IF($A344&gt;BOTT_C4,ROUND(BASE_C4+RATE_C4*($A344-BOTT_C4),0),IF($A344&gt;BOTT_C3,ROUND(BASE_C3+RATE_C3*($A344-BOTT_C3),0),IF($A344&gt;BOTT_C2,ROUND(BASE_C2+RATE_C2*($A344-BOTT_C2),0),ROUND(RATE_C1*$A344,0))))</f>
        <v/>
      </c>
      <c r="G344" s="556">
        <f>IF($A344&gt;BOTT_D4,ROUND(BASE_D4+RATE_D4*($A344-BOTT_D4),0),IF($A344&gt;BOTT_D3,ROUND(BASE_D3+RATE_D3*($A344-BOTT_D3),0),IF($A344&gt;BOTT_D2,ROUND(BASE_D2+RATE_D2*($A344-BOTT_D2),0),ROUND(RATE_D1*$A344,0))))</f>
        <v/>
      </c>
    </row>
    <row r="345" ht="15.75" customHeight="1" s="7635">
      <c r="A345" s="625">
        <f>AVERAGE(B345,C345)</f>
        <v/>
      </c>
      <c r="B345" s="555" t="n">
        <v>14050</v>
      </c>
      <c r="C345" s="555" t="n">
        <v>14100</v>
      </c>
      <c r="D345" s="556">
        <f>IF($A345&gt;BOTT_A4,ROUND(BASE_A4+RATE_A4*($A345-BOTT_A4),0),IF($A345&gt;BOTT_A3,ROUND(BASE_A3+RATE_A3*($A345-BOTT_A3),0),IF($A345&gt;BOTT_A2,ROUND(BASE_A2+RATE_A2*($A345-BOTT_A2),0),ROUND(RATE_A1*$A345,0))))</f>
        <v/>
      </c>
      <c r="E345" s="556">
        <f>IF($A345&gt;BOTT_B4,ROUND(BASE_B4+RATE_B4*($A345-BOTT_B4),0),IF($A345&gt;BOTT_B3,ROUND(BASE_B3+RATE_B3*($A345-BOTT_B3),0),IF($A345&gt;BOTT_B2,ROUND(BASE_B2+RATE_B2*($A345-BOTT_B2),0),ROUND(RATE_B1*$A345,0))))</f>
        <v/>
      </c>
      <c r="F345" s="556">
        <f>IF($A345&gt;BOTT_C4,ROUND(BASE_C4+RATE_C4*($A345-BOTT_C4),0),IF($A345&gt;BOTT_C3,ROUND(BASE_C3+RATE_C3*($A345-BOTT_C3),0),IF($A345&gt;BOTT_C2,ROUND(BASE_C2+RATE_C2*($A345-BOTT_C2),0),ROUND(RATE_C1*$A345,0))))</f>
        <v/>
      </c>
      <c r="G345" s="556">
        <f>IF($A345&gt;BOTT_D4,ROUND(BASE_D4+RATE_D4*($A345-BOTT_D4),0),IF($A345&gt;BOTT_D3,ROUND(BASE_D3+RATE_D3*($A345-BOTT_D3),0),IF($A345&gt;BOTT_D2,ROUND(BASE_D2+RATE_D2*($A345-BOTT_D2),0),ROUND(RATE_D1*$A345,0))))</f>
        <v/>
      </c>
    </row>
    <row r="346" ht="15.75" customHeight="1" s="7635">
      <c r="A346" s="625">
        <f>AVERAGE(B346,C346)</f>
        <v/>
      </c>
      <c r="B346" s="555" t="n">
        <v>14100</v>
      </c>
      <c r="C346" s="555" t="n">
        <v>14150</v>
      </c>
      <c r="D346" s="556">
        <f>IF($A346&gt;BOTT_A4,ROUND(BASE_A4+RATE_A4*($A346-BOTT_A4),0),IF($A346&gt;BOTT_A3,ROUND(BASE_A3+RATE_A3*($A346-BOTT_A3),0),IF($A346&gt;BOTT_A2,ROUND(BASE_A2+RATE_A2*($A346-BOTT_A2),0),ROUND(RATE_A1*$A346,0))))</f>
        <v/>
      </c>
      <c r="E346" s="556">
        <f>IF($A346&gt;BOTT_B4,ROUND(BASE_B4+RATE_B4*($A346-BOTT_B4),0),IF($A346&gt;BOTT_B3,ROUND(BASE_B3+RATE_B3*($A346-BOTT_B3),0),IF($A346&gt;BOTT_B2,ROUND(BASE_B2+RATE_B2*($A346-BOTT_B2),0),ROUND(RATE_B1*$A346,0))))</f>
        <v/>
      </c>
      <c r="F346" s="556">
        <f>IF($A346&gt;BOTT_C4,ROUND(BASE_C4+RATE_C4*($A346-BOTT_C4),0),IF($A346&gt;BOTT_C3,ROUND(BASE_C3+RATE_C3*($A346-BOTT_C3),0),IF($A346&gt;BOTT_C2,ROUND(BASE_C2+RATE_C2*($A346-BOTT_C2),0),ROUND(RATE_C1*$A346,0))))</f>
        <v/>
      </c>
      <c r="G346" s="556">
        <f>IF($A346&gt;BOTT_D4,ROUND(BASE_D4+RATE_D4*($A346-BOTT_D4),0),IF($A346&gt;BOTT_D3,ROUND(BASE_D3+RATE_D3*($A346-BOTT_D3),0),IF($A346&gt;BOTT_D2,ROUND(BASE_D2+RATE_D2*($A346-BOTT_D2),0),ROUND(RATE_D1*$A346,0))))</f>
        <v/>
      </c>
    </row>
    <row r="347" ht="15.75" customHeight="1" s="7635">
      <c r="A347" s="625">
        <f>AVERAGE(B347,C347)</f>
        <v/>
      </c>
      <c r="B347" s="555" t="n">
        <v>14150</v>
      </c>
      <c r="C347" s="555" t="n">
        <v>14200</v>
      </c>
      <c r="D347" s="556">
        <f>IF($A347&gt;BOTT_A4,ROUND(BASE_A4+RATE_A4*($A347-BOTT_A4),0),IF($A347&gt;BOTT_A3,ROUND(BASE_A3+RATE_A3*($A347-BOTT_A3),0),IF($A347&gt;BOTT_A2,ROUND(BASE_A2+RATE_A2*($A347-BOTT_A2),0),ROUND(RATE_A1*$A347,0))))</f>
        <v/>
      </c>
      <c r="E347" s="556">
        <f>IF($A347&gt;BOTT_B4,ROUND(BASE_B4+RATE_B4*($A347-BOTT_B4),0),IF($A347&gt;BOTT_B3,ROUND(BASE_B3+RATE_B3*($A347-BOTT_B3),0),IF($A347&gt;BOTT_B2,ROUND(BASE_B2+RATE_B2*($A347-BOTT_B2),0),ROUND(RATE_B1*$A347,0))))</f>
        <v/>
      </c>
      <c r="F347" s="556">
        <f>IF($A347&gt;BOTT_C4,ROUND(BASE_C4+RATE_C4*($A347-BOTT_C4),0),IF($A347&gt;BOTT_C3,ROUND(BASE_C3+RATE_C3*($A347-BOTT_C3),0),IF($A347&gt;BOTT_C2,ROUND(BASE_C2+RATE_C2*($A347-BOTT_C2),0),ROUND(RATE_C1*$A347,0))))</f>
        <v/>
      </c>
      <c r="G347" s="556">
        <f>IF($A347&gt;BOTT_D4,ROUND(BASE_D4+RATE_D4*($A347-BOTT_D4),0),IF($A347&gt;BOTT_D3,ROUND(BASE_D3+RATE_D3*($A347-BOTT_D3),0),IF($A347&gt;BOTT_D2,ROUND(BASE_D2+RATE_D2*($A347-BOTT_D2),0),ROUND(RATE_D1*$A347,0))))</f>
        <v/>
      </c>
    </row>
    <row r="348" ht="15.75" customHeight="1" s="7635">
      <c r="A348" s="625">
        <f>AVERAGE(B348,C348)</f>
        <v/>
      </c>
      <c r="B348" s="555" t="n">
        <v>14200</v>
      </c>
      <c r="C348" s="555" t="n">
        <v>14250</v>
      </c>
      <c r="D348" s="556">
        <f>IF($A348&gt;BOTT_A4,ROUND(BASE_A4+RATE_A4*($A348-BOTT_A4),0),IF($A348&gt;BOTT_A3,ROUND(BASE_A3+RATE_A3*($A348-BOTT_A3),0),IF($A348&gt;BOTT_A2,ROUND(BASE_A2+RATE_A2*($A348-BOTT_A2),0),ROUND(RATE_A1*$A348,0))))</f>
        <v/>
      </c>
      <c r="E348" s="556">
        <f>IF($A348&gt;BOTT_B4,ROUND(BASE_B4+RATE_B4*($A348-BOTT_B4),0),IF($A348&gt;BOTT_B3,ROUND(BASE_B3+RATE_B3*($A348-BOTT_B3),0),IF($A348&gt;BOTT_B2,ROUND(BASE_B2+RATE_B2*($A348-BOTT_B2),0),ROUND(RATE_B1*$A348,0))))</f>
        <v/>
      </c>
      <c r="F348" s="556">
        <f>IF($A348&gt;BOTT_C4,ROUND(BASE_C4+RATE_C4*($A348-BOTT_C4),0),IF($A348&gt;BOTT_C3,ROUND(BASE_C3+RATE_C3*($A348-BOTT_C3),0),IF($A348&gt;BOTT_C2,ROUND(BASE_C2+RATE_C2*($A348-BOTT_C2),0),ROUND(RATE_C1*$A348,0))))</f>
        <v/>
      </c>
      <c r="G348" s="556">
        <f>IF($A348&gt;BOTT_D4,ROUND(BASE_D4+RATE_D4*($A348-BOTT_D4),0),IF($A348&gt;BOTT_D3,ROUND(BASE_D3+RATE_D3*($A348-BOTT_D3),0),IF($A348&gt;BOTT_D2,ROUND(BASE_D2+RATE_D2*($A348-BOTT_D2),0),ROUND(RATE_D1*$A348,0))))</f>
        <v/>
      </c>
    </row>
    <row r="349" ht="15.75" customHeight="1" s="7635">
      <c r="A349" s="625">
        <f>AVERAGE(B349,C349)</f>
        <v/>
      </c>
      <c r="B349" s="555" t="n">
        <v>14250</v>
      </c>
      <c r="C349" s="555" t="n">
        <v>14300</v>
      </c>
      <c r="D349" s="556">
        <f>IF($A349&gt;BOTT_A4,ROUND(BASE_A4+RATE_A4*($A349-BOTT_A4),0),IF($A349&gt;BOTT_A3,ROUND(BASE_A3+RATE_A3*($A349-BOTT_A3),0),IF($A349&gt;BOTT_A2,ROUND(BASE_A2+RATE_A2*($A349-BOTT_A2),0),ROUND(RATE_A1*$A349,0))))</f>
        <v/>
      </c>
      <c r="E349" s="556">
        <f>IF($A349&gt;BOTT_B4,ROUND(BASE_B4+RATE_B4*($A349-BOTT_B4),0),IF($A349&gt;BOTT_B3,ROUND(BASE_B3+RATE_B3*($A349-BOTT_B3),0),IF($A349&gt;BOTT_B2,ROUND(BASE_B2+RATE_B2*($A349-BOTT_B2),0),ROUND(RATE_B1*$A349,0))))</f>
        <v/>
      </c>
      <c r="F349" s="556">
        <f>IF($A349&gt;BOTT_C4,ROUND(BASE_C4+RATE_C4*($A349-BOTT_C4),0),IF($A349&gt;BOTT_C3,ROUND(BASE_C3+RATE_C3*($A349-BOTT_C3),0),IF($A349&gt;BOTT_C2,ROUND(BASE_C2+RATE_C2*($A349-BOTT_C2),0),ROUND(RATE_C1*$A349,0))))</f>
        <v/>
      </c>
      <c r="G349" s="556">
        <f>IF($A349&gt;BOTT_D4,ROUND(BASE_D4+RATE_D4*($A349-BOTT_D4),0),IF($A349&gt;BOTT_D3,ROUND(BASE_D3+RATE_D3*($A349-BOTT_D3),0),IF($A349&gt;BOTT_D2,ROUND(BASE_D2+RATE_D2*($A349-BOTT_D2),0),ROUND(RATE_D1*$A349,0))))</f>
        <v/>
      </c>
    </row>
    <row r="350" ht="15.75" customHeight="1" s="7635">
      <c r="A350" s="625">
        <f>AVERAGE(B350,C350)</f>
        <v/>
      </c>
      <c r="B350" s="555" t="n">
        <v>14300</v>
      </c>
      <c r="C350" s="555" t="n">
        <v>14350</v>
      </c>
      <c r="D350" s="556">
        <f>IF($A350&gt;BOTT_A4,ROUND(BASE_A4+RATE_A4*($A350-BOTT_A4),0),IF($A350&gt;BOTT_A3,ROUND(BASE_A3+RATE_A3*($A350-BOTT_A3),0),IF($A350&gt;BOTT_A2,ROUND(BASE_A2+RATE_A2*($A350-BOTT_A2),0),ROUND(RATE_A1*$A350,0))))</f>
        <v/>
      </c>
      <c r="E350" s="556">
        <f>IF($A350&gt;BOTT_B4,ROUND(BASE_B4+RATE_B4*($A350-BOTT_B4),0),IF($A350&gt;BOTT_B3,ROUND(BASE_B3+RATE_B3*($A350-BOTT_B3),0),IF($A350&gt;BOTT_B2,ROUND(BASE_B2+RATE_B2*($A350-BOTT_B2),0),ROUND(RATE_B1*$A350,0))))</f>
        <v/>
      </c>
      <c r="F350" s="556">
        <f>IF($A350&gt;BOTT_C4,ROUND(BASE_C4+RATE_C4*($A350-BOTT_C4),0),IF($A350&gt;BOTT_C3,ROUND(BASE_C3+RATE_C3*($A350-BOTT_C3),0),IF($A350&gt;BOTT_C2,ROUND(BASE_C2+RATE_C2*($A350-BOTT_C2),0),ROUND(RATE_C1*$A350,0))))</f>
        <v/>
      </c>
      <c r="G350" s="556">
        <f>IF($A350&gt;BOTT_D4,ROUND(BASE_D4+RATE_D4*($A350-BOTT_D4),0),IF($A350&gt;BOTT_D3,ROUND(BASE_D3+RATE_D3*($A350-BOTT_D3),0),IF($A350&gt;BOTT_D2,ROUND(BASE_D2+RATE_D2*($A350-BOTT_D2),0),ROUND(RATE_D1*$A350,0))))</f>
        <v/>
      </c>
    </row>
    <row r="351" ht="15.75" customHeight="1" s="7635">
      <c r="A351" s="625">
        <f>AVERAGE(B351,C351)</f>
        <v/>
      </c>
      <c r="B351" s="555" t="n">
        <v>14350</v>
      </c>
      <c r="C351" s="555" t="n">
        <v>14400</v>
      </c>
      <c r="D351" s="556">
        <f>IF($A351&gt;BOTT_A4,ROUND(BASE_A4+RATE_A4*($A351-BOTT_A4),0),IF($A351&gt;BOTT_A3,ROUND(BASE_A3+RATE_A3*($A351-BOTT_A3),0),IF($A351&gt;BOTT_A2,ROUND(BASE_A2+RATE_A2*($A351-BOTT_A2),0),ROUND(RATE_A1*$A351,0))))</f>
        <v/>
      </c>
      <c r="E351" s="556">
        <f>IF($A351&gt;BOTT_B4,ROUND(BASE_B4+RATE_B4*($A351-BOTT_B4),0),IF($A351&gt;BOTT_B3,ROUND(BASE_B3+RATE_B3*($A351-BOTT_B3),0),IF($A351&gt;BOTT_B2,ROUND(BASE_B2+RATE_B2*($A351-BOTT_B2),0),ROUND(RATE_B1*$A351,0))))</f>
        <v/>
      </c>
      <c r="F351" s="556">
        <f>IF($A351&gt;BOTT_C4,ROUND(BASE_C4+RATE_C4*($A351-BOTT_C4),0),IF($A351&gt;BOTT_C3,ROUND(BASE_C3+RATE_C3*($A351-BOTT_C3),0),IF($A351&gt;BOTT_C2,ROUND(BASE_C2+RATE_C2*($A351-BOTT_C2),0),ROUND(RATE_C1*$A351,0))))</f>
        <v/>
      </c>
      <c r="G351" s="556">
        <f>IF($A351&gt;BOTT_D4,ROUND(BASE_D4+RATE_D4*($A351-BOTT_D4),0),IF($A351&gt;BOTT_D3,ROUND(BASE_D3+RATE_D3*($A351-BOTT_D3),0),IF($A351&gt;BOTT_D2,ROUND(BASE_D2+RATE_D2*($A351-BOTT_D2),0),ROUND(RATE_D1*$A351,0))))</f>
        <v/>
      </c>
    </row>
    <row r="352" ht="15.75" customHeight="1" s="7635">
      <c r="A352" s="625">
        <f>AVERAGE(B352,C352)</f>
        <v/>
      </c>
      <c r="B352" s="555" t="n">
        <v>14400</v>
      </c>
      <c r="C352" s="555" t="n">
        <v>14450</v>
      </c>
      <c r="D352" s="556">
        <f>IF($A352&gt;BOTT_A4,ROUND(BASE_A4+RATE_A4*($A352-BOTT_A4),0),IF($A352&gt;BOTT_A3,ROUND(BASE_A3+RATE_A3*($A352-BOTT_A3),0),IF($A352&gt;BOTT_A2,ROUND(BASE_A2+RATE_A2*($A352-BOTT_A2),0),ROUND(RATE_A1*$A352,0))))</f>
        <v/>
      </c>
      <c r="E352" s="556">
        <f>IF($A352&gt;BOTT_B4,ROUND(BASE_B4+RATE_B4*($A352-BOTT_B4),0),IF($A352&gt;BOTT_B3,ROUND(BASE_B3+RATE_B3*($A352-BOTT_B3),0),IF($A352&gt;BOTT_B2,ROUND(BASE_B2+RATE_B2*($A352-BOTT_B2),0),ROUND(RATE_B1*$A352,0))))</f>
        <v/>
      </c>
      <c r="F352" s="556">
        <f>IF($A352&gt;BOTT_C4,ROUND(BASE_C4+RATE_C4*($A352-BOTT_C4),0),IF($A352&gt;BOTT_C3,ROUND(BASE_C3+RATE_C3*($A352-BOTT_C3),0),IF($A352&gt;BOTT_C2,ROUND(BASE_C2+RATE_C2*($A352-BOTT_C2),0),ROUND(RATE_C1*$A352,0))))</f>
        <v/>
      </c>
      <c r="G352" s="556">
        <f>IF($A352&gt;BOTT_D4,ROUND(BASE_D4+RATE_D4*($A352-BOTT_D4),0),IF($A352&gt;BOTT_D3,ROUND(BASE_D3+RATE_D3*($A352-BOTT_D3),0),IF($A352&gt;BOTT_D2,ROUND(BASE_D2+RATE_D2*($A352-BOTT_D2),0),ROUND(RATE_D1*$A352,0))))</f>
        <v/>
      </c>
    </row>
    <row r="353" ht="15.75" customHeight="1" s="7635">
      <c r="A353" s="625">
        <f>AVERAGE(B353,C353)</f>
        <v/>
      </c>
      <c r="B353" s="555" t="n">
        <v>14450</v>
      </c>
      <c r="C353" s="555" t="n">
        <v>14500</v>
      </c>
      <c r="D353" s="556">
        <f>IF($A353&gt;BOTT_A4,ROUND(BASE_A4+RATE_A4*($A353-BOTT_A4),0),IF($A353&gt;BOTT_A3,ROUND(BASE_A3+RATE_A3*($A353-BOTT_A3),0),IF($A353&gt;BOTT_A2,ROUND(BASE_A2+RATE_A2*($A353-BOTT_A2),0),ROUND(RATE_A1*$A353,0))))</f>
        <v/>
      </c>
      <c r="E353" s="556">
        <f>IF($A353&gt;BOTT_B4,ROUND(BASE_B4+RATE_B4*($A353-BOTT_B4),0),IF($A353&gt;BOTT_B3,ROUND(BASE_B3+RATE_B3*($A353-BOTT_B3),0),IF($A353&gt;BOTT_B2,ROUND(BASE_B2+RATE_B2*($A353-BOTT_B2),0),ROUND(RATE_B1*$A353,0))))</f>
        <v/>
      </c>
      <c r="F353" s="556">
        <f>IF($A353&gt;BOTT_C4,ROUND(BASE_C4+RATE_C4*($A353-BOTT_C4),0),IF($A353&gt;BOTT_C3,ROUND(BASE_C3+RATE_C3*($A353-BOTT_C3),0),IF($A353&gt;BOTT_C2,ROUND(BASE_C2+RATE_C2*($A353-BOTT_C2),0),ROUND(RATE_C1*$A353,0))))</f>
        <v/>
      </c>
      <c r="G353" s="556">
        <f>IF($A353&gt;BOTT_D4,ROUND(BASE_D4+RATE_D4*($A353-BOTT_D4),0),IF($A353&gt;BOTT_D3,ROUND(BASE_D3+RATE_D3*($A353-BOTT_D3),0),IF($A353&gt;BOTT_D2,ROUND(BASE_D2+RATE_D2*($A353-BOTT_D2),0),ROUND(RATE_D1*$A353,0))))</f>
        <v/>
      </c>
    </row>
    <row r="354" ht="15.75" customHeight="1" s="7635">
      <c r="A354" s="625">
        <f>AVERAGE(B354,C354)</f>
        <v/>
      </c>
      <c r="B354" s="555" t="n">
        <v>14500</v>
      </c>
      <c r="C354" s="555" t="n">
        <v>14550</v>
      </c>
      <c r="D354" s="556">
        <f>IF($A354&gt;BOTT_A4,ROUND(BASE_A4+RATE_A4*($A354-BOTT_A4),0),IF($A354&gt;BOTT_A3,ROUND(BASE_A3+RATE_A3*($A354-BOTT_A3),0),IF($A354&gt;BOTT_A2,ROUND(BASE_A2+RATE_A2*($A354-BOTT_A2),0),ROUND(RATE_A1*$A354,0))))</f>
        <v/>
      </c>
      <c r="E354" s="556">
        <f>IF($A354&gt;BOTT_B4,ROUND(BASE_B4+RATE_B4*($A354-BOTT_B4),0),IF($A354&gt;BOTT_B3,ROUND(BASE_B3+RATE_B3*($A354-BOTT_B3),0),IF($A354&gt;BOTT_B2,ROUND(BASE_B2+RATE_B2*($A354-BOTT_B2),0),ROUND(RATE_B1*$A354,0))))</f>
        <v/>
      </c>
      <c r="F354" s="556">
        <f>IF($A354&gt;BOTT_C4,ROUND(BASE_C4+RATE_C4*($A354-BOTT_C4),0),IF($A354&gt;BOTT_C3,ROUND(BASE_C3+RATE_C3*($A354-BOTT_C3),0),IF($A354&gt;BOTT_C2,ROUND(BASE_C2+RATE_C2*($A354-BOTT_C2),0),ROUND(RATE_C1*$A354,0))))</f>
        <v/>
      </c>
      <c r="G354" s="556">
        <f>IF($A354&gt;BOTT_D4,ROUND(BASE_D4+RATE_D4*($A354-BOTT_D4),0),IF($A354&gt;BOTT_D3,ROUND(BASE_D3+RATE_D3*($A354-BOTT_D3),0),IF($A354&gt;BOTT_D2,ROUND(BASE_D2+RATE_D2*($A354-BOTT_D2),0),ROUND(RATE_D1*$A354,0))))</f>
        <v/>
      </c>
    </row>
    <row r="355" ht="15.75" customHeight="1" s="7635">
      <c r="A355" s="625">
        <f>AVERAGE(B355,C355)</f>
        <v/>
      </c>
      <c r="B355" s="555" t="n">
        <v>14550</v>
      </c>
      <c r="C355" s="555" t="n">
        <v>14600</v>
      </c>
      <c r="D355" s="556">
        <f>IF($A355&gt;BOTT_A4,ROUND(BASE_A4+RATE_A4*($A355-BOTT_A4),0),IF($A355&gt;BOTT_A3,ROUND(BASE_A3+RATE_A3*($A355-BOTT_A3),0),IF($A355&gt;BOTT_A2,ROUND(BASE_A2+RATE_A2*($A355-BOTT_A2),0),ROUND(RATE_A1*$A355,0))))</f>
        <v/>
      </c>
      <c r="E355" s="556">
        <f>IF($A355&gt;BOTT_B4,ROUND(BASE_B4+RATE_B4*($A355-BOTT_B4),0),IF($A355&gt;BOTT_B3,ROUND(BASE_B3+RATE_B3*($A355-BOTT_B3),0),IF($A355&gt;BOTT_B2,ROUND(BASE_B2+RATE_B2*($A355-BOTT_B2),0),ROUND(RATE_B1*$A355,0))))</f>
        <v/>
      </c>
      <c r="F355" s="556">
        <f>IF($A355&gt;BOTT_C4,ROUND(BASE_C4+RATE_C4*($A355-BOTT_C4),0),IF($A355&gt;BOTT_C3,ROUND(BASE_C3+RATE_C3*($A355-BOTT_C3),0),IF($A355&gt;BOTT_C2,ROUND(BASE_C2+RATE_C2*($A355-BOTT_C2),0),ROUND(RATE_C1*$A355,0))))</f>
        <v/>
      </c>
      <c r="G355" s="556">
        <f>IF($A355&gt;BOTT_D4,ROUND(BASE_D4+RATE_D4*($A355-BOTT_D4),0),IF($A355&gt;BOTT_D3,ROUND(BASE_D3+RATE_D3*($A355-BOTT_D3),0),IF($A355&gt;BOTT_D2,ROUND(BASE_D2+RATE_D2*($A355-BOTT_D2),0),ROUND(RATE_D1*$A355,0))))</f>
        <v/>
      </c>
    </row>
    <row r="356" ht="15.75" customHeight="1" s="7635">
      <c r="A356" s="625">
        <f>AVERAGE(B356,C356)</f>
        <v/>
      </c>
      <c r="B356" s="555" t="n">
        <v>14600</v>
      </c>
      <c r="C356" s="555" t="n">
        <v>14650</v>
      </c>
      <c r="D356" s="556">
        <f>IF($A356&gt;BOTT_A4,ROUND(BASE_A4+RATE_A4*($A356-BOTT_A4),0),IF($A356&gt;BOTT_A3,ROUND(BASE_A3+RATE_A3*($A356-BOTT_A3),0),IF($A356&gt;BOTT_A2,ROUND(BASE_A2+RATE_A2*($A356-BOTT_A2),0),ROUND(RATE_A1*$A356,0))))</f>
        <v/>
      </c>
      <c r="E356" s="556">
        <f>IF($A356&gt;BOTT_B4,ROUND(BASE_B4+RATE_B4*($A356-BOTT_B4),0),IF($A356&gt;BOTT_B3,ROUND(BASE_B3+RATE_B3*($A356-BOTT_B3),0),IF($A356&gt;BOTT_B2,ROUND(BASE_B2+RATE_B2*($A356-BOTT_B2),0),ROUND(RATE_B1*$A356,0))))</f>
        <v/>
      </c>
      <c r="F356" s="556">
        <f>IF($A356&gt;BOTT_C4,ROUND(BASE_C4+RATE_C4*($A356-BOTT_C4),0),IF($A356&gt;BOTT_C3,ROUND(BASE_C3+RATE_C3*($A356-BOTT_C3),0),IF($A356&gt;BOTT_C2,ROUND(BASE_C2+RATE_C2*($A356-BOTT_C2),0),ROUND(RATE_C1*$A356,0))))</f>
        <v/>
      </c>
      <c r="G356" s="556">
        <f>IF($A356&gt;BOTT_D4,ROUND(BASE_D4+RATE_D4*($A356-BOTT_D4),0),IF($A356&gt;BOTT_D3,ROUND(BASE_D3+RATE_D3*($A356-BOTT_D3),0),IF($A356&gt;BOTT_D2,ROUND(BASE_D2+RATE_D2*($A356-BOTT_D2),0),ROUND(RATE_D1*$A356,0))))</f>
        <v/>
      </c>
    </row>
    <row r="357" ht="15.75" customHeight="1" s="7635">
      <c r="A357" s="625">
        <f>AVERAGE(B357,C357)</f>
        <v/>
      </c>
      <c r="B357" s="555" t="n">
        <v>14650</v>
      </c>
      <c r="C357" s="555" t="n">
        <v>14700</v>
      </c>
      <c r="D357" s="556">
        <f>IF($A357&gt;BOTT_A4,ROUND(BASE_A4+RATE_A4*($A357-BOTT_A4),0),IF($A357&gt;BOTT_A3,ROUND(BASE_A3+RATE_A3*($A357-BOTT_A3),0),IF($A357&gt;BOTT_A2,ROUND(BASE_A2+RATE_A2*($A357-BOTT_A2),0),ROUND(RATE_A1*$A357,0))))</f>
        <v/>
      </c>
      <c r="E357" s="556">
        <f>IF($A357&gt;BOTT_B4,ROUND(BASE_B4+RATE_B4*($A357-BOTT_B4),0),IF($A357&gt;BOTT_B3,ROUND(BASE_B3+RATE_B3*($A357-BOTT_B3),0),IF($A357&gt;BOTT_B2,ROUND(BASE_B2+RATE_B2*($A357-BOTT_B2),0),ROUND(RATE_B1*$A357,0))))</f>
        <v/>
      </c>
      <c r="F357" s="556">
        <f>IF($A357&gt;BOTT_C4,ROUND(BASE_C4+RATE_C4*($A357-BOTT_C4),0),IF($A357&gt;BOTT_C3,ROUND(BASE_C3+RATE_C3*($A357-BOTT_C3),0),IF($A357&gt;BOTT_C2,ROUND(BASE_C2+RATE_C2*($A357-BOTT_C2),0),ROUND(RATE_C1*$A357,0))))</f>
        <v/>
      </c>
      <c r="G357" s="556">
        <f>IF($A357&gt;BOTT_D4,ROUND(BASE_D4+RATE_D4*($A357-BOTT_D4),0),IF($A357&gt;BOTT_D3,ROUND(BASE_D3+RATE_D3*($A357-BOTT_D3),0),IF($A357&gt;BOTT_D2,ROUND(BASE_D2+RATE_D2*($A357-BOTT_D2),0),ROUND(RATE_D1*$A357,0))))</f>
        <v/>
      </c>
    </row>
    <row r="358" ht="15.75" customHeight="1" s="7635">
      <c r="A358" s="625">
        <f>AVERAGE(B358,C358)</f>
        <v/>
      </c>
      <c r="B358" s="555" t="n">
        <v>14700</v>
      </c>
      <c r="C358" s="555" t="n">
        <v>14750</v>
      </c>
      <c r="D358" s="556">
        <f>IF($A358&gt;BOTT_A4,ROUND(BASE_A4+RATE_A4*($A358-BOTT_A4),0),IF($A358&gt;BOTT_A3,ROUND(BASE_A3+RATE_A3*($A358-BOTT_A3),0),IF($A358&gt;BOTT_A2,ROUND(BASE_A2+RATE_A2*($A358-BOTT_A2),0),ROUND(RATE_A1*$A358,0))))</f>
        <v/>
      </c>
      <c r="E358" s="556">
        <f>IF($A358&gt;BOTT_B4,ROUND(BASE_B4+RATE_B4*($A358-BOTT_B4),0),IF($A358&gt;BOTT_B3,ROUND(BASE_B3+RATE_B3*($A358-BOTT_B3),0),IF($A358&gt;BOTT_B2,ROUND(BASE_B2+RATE_B2*($A358-BOTT_B2),0),ROUND(RATE_B1*$A358,0))))</f>
        <v/>
      </c>
      <c r="F358" s="556">
        <f>IF($A358&gt;BOTT_C4,ROUND(BASE_C4+RATE_C4*($A358-BOTT_C4),0),IF($A358&gt;BOTT_C3,ROUND(BASE_C3+RATE_C3*($A358-BOTT_C3),0),IF($A358&gt;BOTT_C2,ROUND(BASE_C2+RATE_C2*($A358-BOTT_C2),0),ROUND(RATE_C1*$A358,0))))</f>
        <v/>
      </c>
      <c r="G358" s="556">
        <f>IF($A358&gt;BOTT_D4,ROUND(BASE_D4+RATE_D4*($A358-BOTT_D4),0),IF($A358&gt;BOTT_D3,ROUND(BASE_D3+RATE_D3*($A358-BOTT_D3),0),IF($A358&gt;BOTT_D2,ROUND(BASE_D2+RATE_D2*($A358-BOTT_D2),0),ROUND(RATE_D1*$A358,0))))</f>
        <v/>
      </c>
    </row>
    <row r="359" ht="15.75" customHeight="1" s="7635">
      <c r="A359" s="625">
        <f>AVERAGE(B359,C359)</f>
        <v/>
      </c>
      <c r="B359" s="555" t="n">
        <v>14750</v>
      </c>
      <c r="C359" s="555" t="n">
        <v>14800</v>
      </c>
      <c r="D359" s="556">
        <f>IF($A359&gt;BOTT_A4,ROUND(BASE_A4+RATE_A4*($A359-BOTT_A4),0),IF($A359&gt;BOTT_A3,ROUND(BASE_A3+RATE_A3*($A359-BOTT_A3),0),IF($A359&gt;BOTT_A2,ROUND(BASE_A2+RATE_A2*($A359-BOTT_A2),0),ROUND(RATE_A1*$A359,0))))</f>
        <v/>
      </c>
      <c r="E359" s="556">
        <f>IF($A359&gt;BOTT_B4,ROUND(BASE_B4+RATE_B4*($A359-BOTT_B4),0),IF($A359&gt;BOTT_B3,ROUND(BASE_B3+RATE_B3*($A359-BOTT_B3),0),IF($A359&gt;BOTT_B2,ROUND(BASE_B2+RATE_B2*($A359-BOTT_B2),0),ROUND(RATE_B1*$A359,0))))</f>
        <v/>
      </c>
      <c r="F359" s="556">
        <f>IF($A359&gt;BOTT_C4,ROUND(BASE_C4+RATE_C4*($A359-BOTT_C4),0),IF($A359&gt;BOTT_C3,ROUND(BASE_C3+RATE_C3*($A359-BOTT_C3),0),IF($A359&gt;BOTT_C2,ROUND(BASE_C2+RATE_C2*($A359-BOTT_C2),0),ROUND(RATE_C1*$A359,0))))</f>
        <v/>
      </c>
      <c r="G359" s="556">
        <f>IF($A359&gt;BOTT_D4,ROUND(BASE_D4+RATE_D4*($A359-BOTT_D4),0),IF($A359&gt;BOTT_D3,ROUND(BASE_D3+RATE_D3*($A359-BOTT_D3),0),IF($A359&gt;BOTT_D2,ROUND(BASE_D2+RATE_D2*($A359-BOTT_D2),0),ROUND(RATE_D1*$A359,0))))</f>
        <v/>
      </c>
    </row>
    <row r="360" ht="15.75" customHeight="1" s="7635">
      <c r="A360" s="625">
        <f>AVERAGE(B360,C360)</f>
        <v/>
      </c>
      <c r="B360" s="555" t="n">
        <v>14800</v>
      </c>
      <c r="C360" s="555" t="n">
        <v>14850</v>
      </c>
      <c r="D360" s="556">
        <f>IF($A360&gt;BOTT_A4,ROUND(BASE_A4+RATE_A4*($A360-BOTT_A4),0),IF($A360&gt;BOTT_A3,ROUND(BASE_A3+RATE_A3*($A360-BOTT_A3),0),IF($A360&gt;BOTT_A2,ROUND(BASE_A2+RATE_A2*($A360-BOTT_A2),0),ROUND(RATE_A1*$A360,0))))</f>
        <v/>
      </c>
      <c r="E360" s="556">
        <f>IF($A360&gt;BOTT_B4,ROUND(BASE_B4+RATE_B4*($A360-BOTT_B4),0),IF($A360&gt;BOTT_B3,ROUND(BASE_B3+RATE_B3*($A360-BOTT_B3),0),IF($A360&gt;BOTT_B2,ROUND(BASE_B2+RATE_B2*($A360-BOTT_B2),0),ROUND(RATE_B1*$A360,0))))</f>
        <v/>
      </c>
      <c r="F360" s="556">
        <f>IF($A360&gt;BOTT_C4,ROUND(BASE_C4+RATE_C4*($A360-BOTT_C4),0),IF($A360&gt;BOTT_C3,ROUND(BASE_C3+RATE_C3*($A360-BOTT_C3),0),IF($A360&gt;BOTT_C2,ROUND(BASE_C2+RATE_C2*($A360-BOTT_C2),0),ROUND(RATE_C1*$A360,0))))</f>
        <v/>
      </c>
      <c r="G360" s="556">
        <f>IF($A360&gt;BOTT_D4,ROUND(BASE_D4+RATE_D4*($A360-BOTT_D4),0),IF($A360&gt;BOTT_D3,ROUND(BASE_D3+RATE_D3*($A360-BOTT_D3),0),IF($A360&gt;BOTT_D2,ROUND(BASE_D2+RATE_D2*($A360-BOTT_D2),0),ROUND(RATE_D1*$A360,0))))</f>
        <v/>
      </c>
    </row>
    <row r="361" ht="15.75" customHeight="1" s="7635">
      <c r="A361" s="625">
        <f>AVERAGE(B361,C361)</f>
        <v/>
      </c>
      <c r="B361" s="555" t="n">
        <v>14850</v>
      </c>
      <c r="C361" s="555" t="n">
        <v>14900</v>
      </c>
      <c r="D361" s="556">
        <f>IF($A361&gt;BOTT_A4,ROUND(BASE_A4+RATE_A4*($A361-BOTT_A4),0),IF($A361&gt;BOTT_A3,ROUND(BASE_A3+RATE_A3*($A361-BOTT_A3),0),IF($A361&gt;BOTT_A2,ROUND(BASE_A2+RATE_A2*($A361-BOTT_A2),0),ROUND(RATE_A1*$A361,0))))</f>
        <v/>
      </c>
      <c r="E361" s="556">
        <f>IF($A361&gt;BOTT_B4,ROUND(BASE_B4+RATE_B4*($A361-BOTT_B4),0),IF($A361&gt;BOTT_B3,ROUND(BASE_B3+RATE_B3*($A361-BOTT_B3),0),IF($A361&gt;BOTT_B2,ROUND(BASE_B2+RATE_B2*($A361-BOTT_B2),0),ROUND(RATE_B1*$A361,0))))</f>
        <v/>
      </c>
      <c r="F361" s="556">
        <f>IF($A361&gt;BOTT_C4,ROUND(BASE_C4+RATE_C4*($A361-BOTT_C4),0),IF($A361&gt;BOTT_C3,ROUND(BASE_C3+RATE_C3*($A361-BOTT_C3),0),IF($A361&gt;BOTT_C2,ROUND(BASE_C2+RATE_C2*($A361-BOTT_C2),0),ROUND(RATE_C1*$A361,0))))</f>
        <v/>
      </c>
      <c r="G361" s="556">
        <f>IF($A361&gt;BOTT_D4,ROUND(BASE_D4+RATE_D4*($A361-BOTT_D4),0),IF($A361&gt;BOTT_D3,ROUND(BASE_D3+RATE_D3*($A361-BOTT_D3),0),IF($A361&gt;BOTT_D2,ROUND(BASE_D2+RATE_D2*($A361-BOTT_D2),0),ROUND(RATE_D1*$A361,0))))</f>
        <v/>
      </c>
    </row>
    <row r="362" ht="15.75" customHeight="1" s="7635">
      <c r="A362" s="625">
        <f>AVERAGE(B362,C362)</f>
        <v/>
      </c>
      <c r="B362" s="555" t="n">
        <v>14900</v>
      </c>
      <c r="C362" s="555" t="n">
        <v>14950</v>
      </c>
      <c r="D362" s="556">
        <f>IF($A362&gt;BOTT_A4,ROUND(BASE_A4+RATE_A4*($A362-BOTT_A4),0),IF($A362&gt;BOTT_A3,ROUND(BASE_A3+RATE_A3*($A362-BOTT_A3),0),IF($A362&gt;BOTT_A2,ROUND(BASE_A2+RATE_A2*($A362-BOTT_A2),0),ROUND(RATE_A1*$A362,0))))</f>
        <v/>
      </c>
      <c r="E362" s="556">
        <f>IF($A362&gt;BOTT_B4,ROUND(BASE_B4+RATE_B4*($A362-BOTT_B4),0),IF($A362&gt;BOTT_B3,ROUND(BASE_B3+RATE_B3*($A362-BOTT_B3),0),IF($A362&gt;BOTT_B2,ROUND(BASE_B2+RATE_B2*($A362-BOTT_B2),0),ROUND(RATE_B1*$A362,0))))</f>
        <v/>
      </c>
      <c r="F362" s="556">
        <f>IF($A362&gt;BOTT_C4,ROUND(BASE_C4+RATE_C4*($A362-BOTT_C4),0),IF($A362&gt;BOTT_C3,ROUND(BASE_C3+RATE_C3*($A362-BOTT_C3),0),IF($A362&gt;BOTT_C2,ROUND(BASE_C2+RATE_C2*($A362-BOTT_C2),0),ROUND(RATE_C1*$A362,0))))</f>
        <v/>
      </c>
      <c r="G362" s="556">
        <f>IF($A362&gt;BOTT_D4,ROUND(BASE_D4+RATE_D4*($A362-BOTT_D4),0),IF($A362&gt;BOTT_D3,ROUND(BASE_D3+RATE_D3*($A362-BOTT_D3),0),IF($A362&gt;BOTT_D2,ROUND(BASE_D2+RATE_D2*($A362-BOTT_D2),0),ROUND(RATE_D1*$A362,0))))</f>
        <v/>
      </c>
    </row>
    <row r="363" ht="15.75" customHeight="1" s="7635">
      <c r="A363" s="625">
        <f>AVERAGE(B363,C363)</f>
        <v/>
      </c>
      <c r="B363" s="555" t="n">
        <v>14950</v>
      </c>
      <c r="C363" s="555" t="n">
        <v>15000</v>
      </c>
      <c r="D363" s="556">
        <f>IF($A363&gt;BOTT_A4,ROUND(BASE_A4+RATE_A4*($A363-BOTT_A4),0),IF($A363&gt;BOTT_A3,ROUND(BASE_A3+RATE_A3*($A363-BOTT_A3),0),IF($A363&gt;BOTT_A2,ROUND(BASE_A2+RATE_A2*($A363-BOTT_A2),0),ROUND(RATE_A1*$A363,0))))</f>
        <v/>
      </c>
      <c r="E363" s="556">
        <f>IF($A363&gt;BOTT_B4,ROUND(BASE_B4+RATE_B4*($A363-BOTT_B4),0),IF($A363&gt;BOTT_B3,ROUND(BASE_B3+RATE_B3*($A363-BOTT_B3),0),IF($A363&gt;BOTT_B2,ROUND(BASE_B2+RATE_B2*($A363-BOTT_B2),0),ROUND(RATE_B1*$A363,0))))</f>
        <v/>
      </c>
      <c r="F363" s="556">
        <f>IF($A363&gt;BOTT_C4,ROUND(BASE_C4+RATE_C4*($A363-BOTT_C4),0),IF($A363&gt;BOTT_C3,ROUND(BASE_C3+RATE_C3*($A363-BOTT_C3),0),IF($A363&gt;BOTT_C2,ROUND(BASE_C2+RATE_C2*($A363-BOTT_C2),0),ROUND(RATE_C1*$A363,0))))</f>
        <v/>
      </c>
      <c r="G363" s="556">
        <f>IF($A363&gt;BOTT_D4,ROUND(BASE_D4+RATE_D4*($A363-BOTT_D4),0),IF($A363&gt;BOTT_D3,ROUND(BASE_D3+RATE_D3*($A363-BOTT_D3),0),IF($A363&gt;BOTT_D2,ROUND(BASE_D2+RATE_D2*($A363-BOTT_D2),0),ROUND(RATE_D1*$A363,0))))</f>
        <v/>
      </c>
    </row>
    <row r="364" ht="15.75" customHeight="1" s="7635">
      <c r="A364" s="625">
        <f>AVERAGE(B364,C364)</f>
        <v/>
      </c>
      <c r="B364" s="555" t="n">
        <v>15000</v>
      </c>
      <c r="C364" s="555" t="n">
        <v>15050</v>
      </c>
      <c r="D364" s="556">
        <f>IF($A364&gt;BOTT_A4,ROUND(BASE_A4+RATE_A4*($A364-BOTT_A4),0),IF($A364&gt;BOTT_A3,ROUND(BASE_A3+RATE_A3*($A364-BOTT_A3),0),IF($A364&gt;BOTT_A2,ROUND(BASE_A2+RATE_A2*($A364-BOTT_A2),0),ROUND(RATE_A1*$A364,0))))</f>
        <v/>
      </c>
      <c r="E364" s="556">
        <f>IF($A364&gt;BOTT_B4,ROUND(BASE_B4+RATE_B4*($A364-BOTT_B4),0),IF($A364&gt;BOTT_B3,ROUND(BASE_B3+RATE_B3*($A364-BOTT_B3),0),IF($A364&gt;BOTT_B2,ROUND(BASE_B2+RATE_B2*($A364-BOTT_B2),0),ROUND(RATE_B1*$A364,0))))</f>
        <v/>
      </c>
      <c r="F364" s="556">
        <f>IF($A364&gt;BOTT_C4,ROUND(BASE_C4+RATE_C4*($A364-BOTT_C4),0),IF($A364&gt;BOTT_C3,ROUND(BASE_C3+RATE_C3*($A364-BOTT_C3),0),IF($A364&gt;BOTT_C2,ROUND(BASE_C2+RATE_C2*($A364-BOTT_C2),0),ROUND(RATE_C1*$A364,0))))</f>
        <v/>
      </c>
      <c r="G364" s="556">
        <f>IF($A364&gt;BOTT_D4,ROUND(BASE_D4+RATE_D4*($A364-BOTT_D4),0),IF($A364&gt;BOTT_D3,ROUND(BASE_D3+RATE_D3*($A364-BOTT_D3),0),IF($A364&gt;BOTT_D2,ROUND(BASE_D2+RATE_D2*($A364-BOTT_D2),0),ROUND(RATE_D1*$A364,0))))</f>
        <v/>
      </c>
    </row>
    <row r="365" ht="15.75" customHeight="1" s="7635">
      <c r="A365" s="625">
        <f>AVERAGE(B365,C365)</f>
        <v/>
      </c>
      <c r="B365" s="555" t="n">
        <v>15050</v>
      </c>
      <c r="C365" s="555" t="n">
        <v>15100</v>
      </c>
      <c r="D365" s="556">
        <f>IF($A365&gt;BOTT_A4,ROUND(BASE_A4+RATE_A4*($A365-BOTT_A4),0),IF($A365&gt;BOTT_A3,ROUND(BASE_A3+RATE_A3*($A365-BOTT_A3),0),IF($A365&gt;BOTT_A2,ROUND(BASE_A2+RATE_A2*($A365-BOTT_A2),0),ROUND(RATE_A1*$A365,0))))</f>
        <v/>
      </c>
      <c r="E365" s="556">
        <f>IF($A365&gt;BOTT_B4,ROUND(BASE_B4+RATE_B4*($A365-BOTT_B4),0),IF($A365&gt;BOTT_B3,ROUND(BASE_B3+RATE_B3*($A365-BOTT_B3),0),IF($A365&gt;BOTT_B2,ROUND(BASE_B2+RATE_B2*($A365-BOTT_B2),0),ROUND(RATE_B1*$A365,0))))</f>
        <v/>
      </c>
      <c r="F365" s="556">
        <f>IF($A365&gt;BOTT_C4,ROUND(BASE_C4+RATE_C4*($A365-BOTT_C4),0),IF($A365&gt;BOTT_C3,ROUND(BASE_C3+RATE_C3*($A365-BOTT_C3),0),IF($A365&gt;BOTT_C2,ROUND(BASE_C2+RATE_C2*($A365-BOTT_C2),0),ROUND(RATE_C1*$A365,0))))</f>
        <v/>
      </c>
      <c r="G365" s="556">
        <f>IF($A365&gt;BOTT_D4,ROUND(BASE_D4+RATE_D4*($A365-BOTT_D4),0),IF($A365&gt;BOTT_D3,ROUND(BASE_D3+RATE_D3*($A365-BOTT_D3),0),IF($A365&gt;BOTT_D2,ROUND(BASE_D2+RATE_D2*($A365-BOTT_D2),0),ROUND(RATE_D1*$A365,0))))</f>
        <v/>
      </c>
    </row>
    <row r="366" ht="15.75" customHeight="1" s="7635">
      <c r="A366" s="625">
        <f>AVERAGE(B366,C366)</f>
        <v/>
      </c>
      <c r="B366" s="555" t="n">
        <v>15100</v>
      </c>
      <c r="C366" s="555" t="n">
        <v>15150</v>
      </c>
      <c r="D366" s="556">
        <f>IF($A366&gt;BOTT_A4,ROUND(BASE_A4+RATE_A4*($A366-BOTT_A4),0),IF($A366&gt;BOTT_A3,ROUND(BASE_A3+RATE_A3*($A366-BOTT_A3),0),IF($A366&gt;BOTT_A2,ROUND(BASE_A2+RATE_A2*($A366-BOTT_A2),0),ROUND(RATE_A1*$A366,0))))</f>
        <v/>
      </c>
      <c r="E366" s="556">
        <f>IF($A366&gt;BOTT_B4,ROUND(BASE_B4+RATE_B4*($A366-BOTT_B4),0),IF($A366&gt;BOTT_B3,ROUND(BASE_B3+RATE_B3*($A366-BOTT_B3),0),IF($A366&gt;BOTT_B2,ROUND(BASE_B2+RATE_B2*($A366-BOTT_B2),0),ROUND(RATE_B1*$A366,0))))</f>
        <v/>
      </c>
      <c r="F366" s="556">
        <f>IF($A366&gt;BOTT_C4,ROUND(BASE_C4+RATE_C4*($A366-BOTT_C4),0),IF($A366&gt;BOTT_C3,ROUND(BASE_C3+RATE_C3*($A366-BOTT_C3),0),IF($A366&gt;BOTT_C2,ROUND(BASE_C2+RATE_C2*($A366-BOTT_C2),0),ROUND(RATE_C1*$A366,0))))</f>
        <v/>
      </c>
      <c r="G366" s="556">
        <f>IF($A366&gt;BOTT_D4,ROUND(BASE_D4+RATE_D4*($A366-BOTT_D4),0),IF($A366&gt;BOTT_D3,ROUND(BASE_D3+RATE_D3*($A366-BOTT_D3),0),IF($A366&gt;BOTT_D2,ROUND(BASE_D2+RATE_D2*($A366-BOTT_D2),0),ROUND(RATE_D1*$A366,0))))</f>
        <v/>
      </c>
    </row>
    <row r="367" ht="15.75" customHeight="1" s="7635">
      <c r="A367" s="625">
        <f>AVERAGE(B367,C367)</f>
        <v/>
      </c>
      <c r="B367" s="555" t="n">
        <v>15150</v>
      </c>
      <c r="C367" s="555" t="n">
        <v>15200</v>
      </c>
      <c r="D367" s="556">
        <f>IF($A367&gt;BOTT_A4,ROUND(BASE_A4+RATE_A4*($A367-BOTT_A4),0),IF($A367&gt;BOTT_A3,ROUND(BASE_A3+RATE_A3*($A367-BOTT_A3),0),IF($A367&gt;BOTT_A2,ROUND(BASE_A2+RATE_A2*($A367-BOTT_A2),0),ROUND(RATE_A1*$A367,0))))</f>
        <v/>
      </c>
      <c r="E367" s="556">
        <f>IF($A367&gt;BOTT_B4,ROUND(BASE_B4+RATE_B4*($A367-BOTT_B4),0),IF($A367&gt;BOTT_B3,ROUND(BASE_B3+RATE_B3*($A367-BOTT_B3),0),IF($A367&gt;BOTT_B2,ROUND(BASE_B2+RATE_B2*($A367-BOTT_B2),0),ROUND(RATE_B1*$A367,0))))</f>
        <v/>
      </c>
      <c r="F367" s="556">
        <f>IF($A367&gt;BOTT_C4,ROUND(BASE_C4+RATE_C4*($A367-BOTT_C4),0),IF($A367&gt;BOTT_C3,ROUND(BASE_C3+RATE_C3*($A367-BOTT_C3),0),IF($A367&gt;BOTT_C2,ROUND(BASE_C2+RATE_C2*($A367-BOTT_C2),0),ROUND(RATE_C1*$A367,0))))</f>
        <v/>
      </c>
      <c r="G367" s="556">
        <f>IF($A367&gt;BOTT_D4,ROUND(BASE_D4+RATE_D4*($A367-BOTT_D4),0),IF($A367&gt;BOTT_D3,ROUND(BASE_D3+RATE_D3*($A367-BOTT_D3),0),IF($A367&gt;BOTT_D2,ROUND(BASE_D2+RATE_D2*($A367-BOTT_D2),0),ROUND(RATE_D1*$A367,0))))</f>
        <v/>
      </c>
    </row>
    <row r="368" ht="15.75" customHeight="1" s="7635">
      <c r="A368" s="625">
        <f>AVERAGE(B368,C368)</f>
        <v/>
      </c>
      <c r="B368" s="555" t="n">
        <v>15200</v>
      </c>
      <c r="C368" s="555" t="n">
        <v>15250</v>
      </c>
      <c r="D368" s="556">
        <f>IF($A368&gt;BOTT_A4,ROUND(BASE_A4+RATE_A4*($A368-BOTT_A4),0),IF($A368&gt;BOTT_A3,ROUND(BASE_A3+RATE_A3*($A368-BOTT_A3),0),IF($A368&gt;BOTT_A2,ROUND(BASE_A2+RATE_A2*($A368-BOTT_A2),0),ROUND(RATE_A1*$A368,0))))</f>
        <v/>
      </c>
      <c r="E368" s="556">
        <f>IF($A368&gt;BOTT_B4,ROUND(BASE_B4+RATE_B4*($A368-BOTT_B4),0),IF($A368&gt;BOTT_B3,ROUND(BASE_B3+RATE_B3*($A368-BOTT_B3),0),IF($A368&gt;BOTT_B2,ROUND(BASE_B2+RATE_B2*($A368-BOTT_B2),0),ROUND(RATE_B1*$A368,0))))</f>
        <v/>
      </c>
      <c r="F368" s="556">
        <f>IF($A368&gt;BOTT_C4,ROUND(BASE_C4+RATE_C4*($A368-BOTT_C4),0),IF($A368&gt;BOTT_C3,ROUND(BASE_C3+RATE_C3*($A368-BOTT_C3),0),IF($A368&gt;BOTT_C2,ROUND(BASE_C2+RATE_C2*($A368-BOTT_C2),0),ROUND(RATE_C1*$A368,0))))</f>
        <v/>
      </c>
      <c r="G368" s="556">
        <f>IF($A368&gt;BOTT_D4,ROUND(BASE_D4+RATE_D4*($A368-BOTT_D4),0),IF($A368&gt;BOTT_D3,ROUND(BASE_D3+RATE_D3*($A368-BOTT_D3),0),IF($A368&gt;BOTT_D2,ROUND(BASE_D2+RATE_D2*($A368-BOTT_D2),0),ROUND(RATE_D1*$A368,0))))</f>
        <v/>
      </c>
    </row>
    <row r="369" ht="15.75" customHeight="1" s="7635">
      <c r="A369" s="625">
        <f>AVERAGE(B369,C369)</f>
        <v/>
      </c>
      <c r="B369" s="555" t="n">
        <v>15250</v>
      </c>
      <c r="C369" s="555" t="n">
        <v>15300</v>
      </c>
      <c r="D369" s="556">
        <f>IF($A369&gt;BOTT_A4,ROUND(BASE_A4+RATE_A4*($A369-BOTT_A4),0),IF($A369&gt;BOTT_A3,ROUND(BASE_A3+RATE_A3*($A369-BOTT_A3),0),IF($A369&gt;BOTT_A2,ROUND(BASE_A2+RATE_A2*($A369-BOTT_A2),0),ROUND(RATE_A1*$A369,0))))</f>
        <v/>
      </c>
      <c r="E369" s="556">
        <f>IF($A369&gt;BOTT_B4,ROUND(BASE_B4+RATE_B4*($A369-BOTT_B4),0),IF($A369&gt;BOTT_B3,ROUND(BASE_B3+RATE_B3*($A369-BOTT_B3),0),IF($A369&gt;BOTT_B2,ROUND(BASE_B2+RATE_B2*($A369-BOTT_B2),0),ROUND(RATE_B1*$A369,0))))</f>
        <v/>
      </c>
      <c r="F369" s="556">
        <f>IF($A369&gt;BOTT_C4,ROUND(BASE_C4+RATE_C4*($A369-BOTT_C4),0),IF($A369&gt;BOTT_C3,ROUND(BASE_C3+RATE_C3*($A369-BOTT_C3),0),IF($A369&gt;BOTT_C2,ROUND(BASE_C2+RATE_C2*($A369-BOTT_C2),0),ROUND(RATE_C1*$A369,0))))</f>
        <v/>
      </c>
      <c r="G369" s="556">
        <f>IF($A369&gt;BOTT_D4,ROUND(BASE_D4+RATE_D4*($A369-BOTT_D4),0),IF($A369&gt;BOTT_D3,ROUND(BASE_D3+RATE_D3*($A369-BOTT_D3),0),IF($A369&gt;BOTT_D2,ROUND(BASE_D2+RATE_D2*($A369-BOTT_D2),0),ROUND(RATE_D1*$A369,0))))</f>
        <v/>
      </c>
    </row>
    <row r="370" ht="15.75" customHeight="1" s="7635">
      <c r="A370" s="625">
        <f>AVERAGE(B370,C370)</f>
        <v/>
      </c>
      <c r="B370" s="555" t="n">
        <v>15300</v>
      </c>
      <c r="C370" s="555" t="n">
        <v>15350</v>
      </c>
      <c r="D370" s="556">
        <f>IF($A370&gt;BOTT_A4,ROUND(BASE_A4+RATE_A4*($A370-BOTT_A4),0),IF($A370&gt;BOTT_A3,ROUND(BASE_A3+RATE_A3*($A370-BOTT_A3),0),IF($A370&gt;BOTT_A2,ROUND(BASE_A2+RATE_A2*($A370-BOTT_A2),0),ROUND(RATE_A1*$A370,0))))</f>
        <v/>
      </c>
      <c r="E370" s="556">
        <f>IF($A370&gt;BOTT_B4,ROUND(BASE_B4+RATE_B4*($A370-BOTT_B4),0),IF($A370&gt;BOTT_B3,ROUND(BASE_B3+RATE_B3*($A370-BOTT_B3),0),IF($A370&gt;BOTT_B2,ROUND(BASE_B2+RATE_B2*($A370-BOTT_B2),0),ROUND(RATE_B1*$A370,0))))</f>
        <v/>
      </c>
      <c r="F370" s="556">
        <f>IF($A370&gt;BOTT_C4,ROUND(BASE_C4+RATE_C4*($A370-BOTT_C4),0),IF($A370&gt;BOTT_C3,ROUND(BASE_C3+RATE_C3*($A370-BOTT_C3),0),IF($A370&gt;BOTT_C2,ROUND(BASE_C2+RATE_C2*($A370-BOTT_C2),0),ROUND(RATE_C1*$A370,0))))</f>
        <v/>
      </c>
      <c r="G370" s="556">
        <f>IF($A370&gt;BOTT_D4,ROUND(BASE_D4+RATE_D4*($A370-BOTT_D4),0),IF($A370&gt;BOTT_D3,ROUND(BASE_D3+RATE_D3*($A370-BOTT_D3),0),IF($A370&gt;BOTT_D2,ROUND(BASE_D2+RATE_D2*($A370-BOTT_D2),0),ROUND(RATE_D1*$A370,0))))</f>
        <v/>
      </c>
    </row>
    <row r="371" ht="15.75" customHeight="1" s="7635">
      <c r="A371" s="625">
        <f>AVERAGE(B371,C371)</f>
        <v/>
      </c>
      <c r="B371" s="555" t="n">
        <v>15350</v>
      </c>
      <c r="C371" s="555" t="n">
        <v>15400</v>
      </c>
      <c r="D371" s="556">
        <f>IF($A371&gt;BOTT_A4,ROUND(BASE_A4+RATE_A4*($A371-BOTT_A4),0),IF($A371&gt;BOTT_A3,ROUND(BASE_A3+RATE_A3*($A371-BOTT_A3),0),IF($A371&gt;BOTT_A2,ROUND(BASE_A2+RATE_A2*($A371-BOTT_A2),0),ROUND(RATE_A1*$A371,0))))</f>
        <v/>
      </c>
      <c r="E371" s="556">
        <f>IF($A371&gt;BOTT_B4,ROUND(BASE_B4+RATE_B4*($A371-BOTT_B4),0),IF($A371&gt;BOTT_B3,ROUND(BASE_B3+RATE_B3*($A371-BOTT_B3),0),IF($A371&gt;BOTT_B2,ROUND(BASE_B2+RATE_B2*($A371-BOTT_B2),0),ROUND(RATE_B1*$A371,0))))</f>
        <v/>
      </c>
      <c r="F371" s="556">
        <f>IF($A371&gt;BOTT_C4,ROUND(BASE_C4+RATE_C4*($A371-BOTT_C4),0),IF($A371&gt;BOTT_C3,ROUND(BASE_C3+RATE_C3*($A371-BOTT_C3),0),IF($A371&gt;BOTT_C2,ROUND(BASE_C2+RATE_C2*($A371-BOTT_C2),0),ROUND(RATE_C1*$A371,0))))</f>
        <v/>
      </c>
      <c r="G371" s="556">
        <f>IF($A371&gt;BOTT_D4,ROUND(BASE_D4+RATE_D4*($A371-BOTT_D4),0),IF($A371&gt;BOTT_D3,ROUND(BASE_D3+RATE_D3*($A371-BOTT_D3),0),IF($A371&gt;BOTT_D2,ROUND(BASE_D2+RATE_D2*($A371-BOTT_D2),0),ROUND(RATE_D1*$A371,0))))</f>
        <v/>
      </c>
    </row>
    <row r="372" ht="15.75" customHeight="1" s="7635">
      <c r="A372" s="625">
        <f>AVERAGE(B372,C372)</f>
        <v/>
      </c>
      <c r="B372" s="555" t="n">
        <v>15400</v>
      </c>
      <c r="C372" s="555" t="n">
        <v>15450</v>
      </c>
      <c r="D372" s="556">
        <f>IF($A372&gt;BOTT_A4,ROUND(BASE_A4+RATE_A4*($A372-BOTT_A4),0),IF($A372&gt;BOTT_A3,ROUND(BASE_A3+RATE_A3*($A372-BOTT_A3),0),IF($A372&gt;BOTT_A2,ROUND(BASE_A2+RATE_A2*($A372-BOTT_A2),0),ROUND(RATE_A1*$A372,0))))</f>
        <v/>
      </c>
      <c r="E372" s="556">
        <f>IF($A372&gt;BOTT_B4,ROUND(BASE_B4+RATE_B4*($A372-BOTT_B4),0),IF($A372&gt;BOTT_B3,ROUND(BASE_B3+RATE_B3*($A372-BOTT_B3),0),IF($A372&gt;BOTT_B2,ROUND(BASE_B2+RATE_B2*($A372-BOTT_B2),0),ROUND(RATE_B1*$A372,0))))</f>
        <v/>
      </c>
      <c r="F372" s="556">
        <f>IF($A372&gt;BOTT_C4,ROUND(BASE_C4+RATE_C4*($A372-BOTT_C4),0),IF($A372&gt;BOTT_C3,ROUND(BASE_C3+RATE_C3*($A372-BOTT_C3),0),IF($A372&gt;BOTT_C2,ROUND(BASE_C2+RATE_C2*($A372-BOTT_C2),0),ROUND(RATE_C1*$A372,0))))</f>
        <v/>
      </c>
      <c r="G372" s="556">
        <f>IF($A372&gt;BOTT_D4,ROUND(BASE_D4+RATE_D4*($A372-BOTT_D4),0),IF($A372&gt;BOTT_D3,ROUND(BASE_D3+RATE_D3*($A372-BOTT_D3),0),IF($A372&gt;BOTT_D2,ROUND(BASE_D2+RATE_D2*($A372-BOTT_D2),0),ROUND(RATE_D1*$A372,0))))</f>
        <v/>
      </c>
    </row>
    <row r="373" ht="15.75" customHeight="1" s="7635">
      <c r="A373" s="625">
        <f>AVERAGE(B373,C373)</f>
        <v/>
      </c>
      <c r="B373" s="555" t="n">
        <v>15450</v>
      </c>
      <c r="C373" s="555" t="n">
        <v>15500</v>
      </c>
      <c r="D373" s="556">
        <f>IF($A373&gt;BOTT_A4,ROUND(BASE_A4+RATE_A4*($A373-BOTT_A4),0),IF($A373&gt;BOTT_A3,ROUND(BASE_A3+RATE_A3*($A373-BOTT_A3),0),IF($A373&gt;BOTT_A2,ROUND(BASE_A2+RATE_A2*($A373-BOTT_A2),0),ROUND(RATE_A1*$A373,0))))</f>
        <v/>
      </c>
      <c r="E373" s="556">
        <f>IF($A373&gt;BOTT_B4,ROUND(BASE_B4+RATE_B4*($A373-BOTT_B4),0),IF($A373&gt;BOTT_B3,ROUND(BASE_B3+RATE_B3*($A373-BOTT_B3),0),IF($A373&gt;BOTT_B2,ROUND(BASE_B2+RATE_B2*($A373-BOTT_B2),0),ROUND(RATE_B1*$A373,0))))</f>
        <v/>
      </c>
      <c r="F373" s="556">
        <f>IF($A373&gt;BOTT_C4,ROUND(BASE_C4+RATE_C4*($A373-BOTT_C4),0),IF($A373&gt;BOTT_C3,ROUND(BASE_C3+RATE_C3*($A373-BOTT_C3),0),IF($A373&gt;BOTT_C2,ROUND(BASE_C2+RATE_C2*($A373-BOTT_C2),0),ROUND(RATE_C1*$A373,0))))</f>
        <v/>
      </c>
      <c r="G373" s="556">
        <f>IF($A373&gt;BOTT_D4,ROUND(BASE_D4+RATE_D4*($A373-BOTT_D4),0),IF($A373&gt;BOTT_D3,ROUND(BASE_D3+RATE_D3*($A373-BOTT_D3),0),IF($A373&gt;BOTT_D2,ROUND(BASE_D2+RATE_D2*($A373-BOTT_D2),0),ROUND(RATE_D1*$A373,0))))</f>
        <v/>
      </c>
    </row>
    <row r="374" ht="15.75" customHeight="1" s="7635">
      <c r="A374" s="625">
        <f>AVERAGE(B374,C374)</f>
        <v/>
      </c>
      <c r="B374" s="555" t="n">
        <v>15500</v>
      </c>
      <c r="C374" s="555" t="n">
        <v>15550</v>
      </c>
      <c r="D374" s="556">
        <f>IF($A374&gt;BOTT_A4,ROUND(BASE_A4+RATE_A4*($A374-BOTT_A4),0),IF($A374&gt;BOTT_A3,ROUND(BASE_A3+RATE_A3*($A374-BOTT_A3),0),IF($A374&gt;BOTT_A2,ROUND(BASE_A2+RATE_A2*($A374-BOTT_A2),0),ROUND(RATE_A1*$A374,0))))</f>
        <v/>
      </c>
      <c r="E374" s="556">
        <f>IF($A374&gt;BOTT_B4,ROUND(BASE_B4+RATE_B4*($A374-BOTT_B4),0),IF($A374&gt;BOTT_B3,ROUND(BASE_B3+RATE_B3*($A374-BOTT_B3),0),IF($A374&gt;BOTT_B2,ROUND(BASE_B2+RATE_B2*($A374-BOTT_B2),0),ROUND(RATE_B1*$A374,0))))</f>
        <v/>
      </c>
      <c r="F374" s="556">
        <f>IF($A374&gt;BOTT_C4,ROUND(BASE_C4+RATE_C4*($A374-BOTT_C4),0),IF($A374&gt;BOTT_C3,ROUND(BASE_C3+RATE_C3*($A374-BOTT_C3),0),IF($A374&gt;BOTT_C2,ROUND(BASE_C2+RATE_C2*($A374-BOTT_C2),0),ROUND(RATE_C1*$A374,0))))</f>
        <v/>
      </c>
      <c r="G374" s="556">
        <f>IF($A374&gt;BOTT_D4,ROUND(BASE_D4+RATE_D4*($A374-BOTT_D4),0),IF($A374&gt;BOTT_D3,ROUND(BASE_D3+RATE_D3*($A374-BOTT_D3),0),IF($A374&gt;BOTT_D2,ROUND(BASE_D2+RATE_D2*($A374-BOTT_D2),0),ROUND(RATE_D1*$A374,0))))</f>
        <v/>
      </c>
    </row>
    <row r="375" ht="15.75" customHeight="1" s="7635">
      <c r="A375" s="625">
        <f>AVERAGE(B375,C375)</f>
        <v/>
      </c>
      <c r="B375" s="555" t="n">
        <v>15550</v>
      </c>
      <c r="C375" s="555" t="n">
        <v>15600</v>
      </c>
      <c r="D375" s="556">
        <f>IF($A375&gt;BOTT_A4,ROUND(BASE_A4+RATE_A4*($A375-BOTT_A4),0),IF($A375&gt;BOTT_A3,ROUND(BASE_A3+RATE_A3*($A375-BOTT_A3),0),IF($A375&gt;BOTT_A2,ROUND(BASE_A2+RATE_A2*($A375-BOTT_A2),0),ROUND(RATE_A1*$A375,0))))</f>
        <v/>
      </c>
      <c r="E375" s="556">
        <f>IF($A375&gt;BOTT_B4,ROUND(BASE_B4+RATE_B4*($A375-BOTT_B4),0),IF($A375&gt;BOTT_B3,ROUND(BASE_B3+RATE_B3*($A375-BOTT_B3),0),IF($A375&gt;BOTT_B2,ROUND(BASE_B2+RATE_B2*($A375-BOTT_B2),0),ROUND(RATE_B1*$A375,0))))</f>
        <v/>
      </c>
      <c r="F375" s="556">
        <f>IF($A375&gt;BOTT_C4,ROUND(BASE_C4+RATE_C4*($A375-BOTT_C4),0),IF($A375&gt;BOTT_C3,ROUND(BASE_C3+RATE_C3*($A375-BOTT_C3),0),IF($A375&gt;BOTT_C2,ROUND(BASE_C2+RATE_C2*($A375-BOTT_C2),0),ROUND(RATE_C1*$A375,0))))</f>
        <v/>
      </c>
      <c r="G375" s="556">
        <f>IF($A375&gt;BOTT_D4,ROUND(BASE_D4+RATE_D4*($A375-BOTT_D4),0),IF($A375&gt;BOTT_D3,ROUND(BASE_D3+RATE_D3*($A375-BOTT_D3),0),IF($A375&gt;BOTT_D2,ROUND(BASE_D2+RATE_D2*($A375-BOTT_D2),0),ROUND(RATE_D1*$A375,0))))</f>
        <v/>
      </c>
    </row>
    <row r="376" ht="15.75" customHeight="1" s="7635">
      <c r="A376" s="625">
        <f>AVERAGE(B376,C376)</f>
        <v/>
      </c>
      <c r="B376" s="555" t="n">
        <v>15600</v>
      </c>
      <c r="C376" s="555" t="n">
        <v>15650</v>
      </c>
      <c r="D376" s="556">
        <f>IF($A376&gt;BOTT_A4,ROUND(BASE_A4+RATE_A4*($A376-BOTT_A4),0),IF($A376&gt;BOTT_A3,ROUND(BASE_A3+RATE_A3*($A376-BOTT_A3),0),IF($A376&gt;BOTT_A2,ROUND(BASE_A2+RATE_A2*($A376-BOTT_A2),0),ROUND(RATE_A1*$A376,0))))</f>
        <v/>
      </c>
      <c r="E376" s="556">
        <f>IF($A376&gt;BOTT_B4,ROUND(BASE_B4+RATE_B4*($A376-BOTT_B4),0),IF($A376&gt;BOTT_B3,ROUND(BASE_B3+RATE_B3*($A376-BOTT_B3),0),IF($A376&gt;BOTT_B2,ROUND(BASE_B2+RATE_B2*($A376-BOTT_B2),0),ROUND(RATE_B1*$A376,0))))</f>
        <v/>
      </c>
      <c r="F376" s="556">
        <f>IF($A376&gt;BOTT_C4,ROUND(BASE_C4+RATE_C4*($A376-BOTT_C4),0),IF($A376&gt;BOTT_C3,ROUND(BASE_C3+RATE_C3*($A376-BOTT_C3),0),IF($A376&gt;BOTT_C2,ROUND(BASE_C2+RATE_C2*($A376-BOTT_C2),0),ROUND(RATE_C1*$A376,0))))</f>
        <v/>
      </c>
      <c r="G376" s="556">
        <f>IF($A376&gt;BOTT_D4,ROUND(BASE_D4+RATE_D4*($A376-BOTT_D4),0),IF($A376&gt;BOTT_D3,ROUND(BASE_D3+RATE_D3*($A376-BOTT_D3),0),IF($A376&gt;BOTT_D2,ROUND(BASE_D2+RATE_D2*($A376-BOTT_D2),0),ROUND(RATE_D1*$A376,0))))</f>
        <v/>
      </c>
    </row>
    <row r="377" ht="15.75" customHeight="1" s="7635">
      <c r="A377" s="625">
        <f>AVERAGE(B377,C377)</f>
        <v/>
      </c>
      <c r="B377" s="555" t="n">
        <v>15650</v>
      </c>
      <c r="C377" s="555" t="n">
        <v>15700</v>
      </c>
      <c r="D377" s="556">
        <f>IF($A377&gt;BOTT_A4,ROUND(BASE_A4+RATE_A4*($A377-BOTT_A4),0),IF($A377&gt;BOTT_A3,ROUND(BASE_A3+RATE_A3*($A377-BOTT_A3),0),IF($A377&gt;BOTT_A2,ROUND(BASE_A2+RATE_A2*($A377-BOTT_A2),0),ROUND(RATE_A1*$A377,0))))</f>
        <v/>
      </c>
      <c r="E377" s="556">
        <f>IF($A377&gt;BOTT_B4,ROUND(BASE_B4+RATE_B4*($A377-BOTT_B4),0),IF($A377&gt;BOTT_B3,ROUND(BASE_B3+RATE_B3*($A377-BOTT_B3),0),IF($A377&gt;BOTT_B2,ROUND(BASE_B2+RATE_B2*($A377-BOTT_B2),0),ROUND(RATE_B1*$A377,0))))</f>
        <v/>
      </c>
      <c r="F377" s="556">
        <f>IF($A377&gt;BOTT_C4,ROUND(BASE_C4+RATE_C4*($A377-BOTT_C4),0),IF($A377&gt;BOTT_C3,ROUND(BASE_C3+RATE_C3*($A377-BOTT_C3),0),IF($A377&gt;BOTT_C2,ROUND(BASE_C2+RATE_C2*($A377-BOTT_C2),0),ROUND(RATE_C1*$A377,0))))</f>
        <v/>
      </c>
      <c r="G377" s="556">
        <f>IF($A377&gt;BOTT_D4,ROUND(BASE_D4+RATE_D4*($A377-BOTT_D4),0),IF($A377&gt;BOTT_D3,ROUND(BASE_D3+RATE_D3*($A377-BOTT_D3),0),IF($A377&gt;BOTT_D2,ROUND(BASE_D2+RATE_D2*($A377-BOTT_D2),0),ROUND(RATE_D1*$A377,0))))</f>
        <v/>
      </c>
    </row>
    <row r="378" ht="15.75" customHeight="1" s="7635">
      <c r="A378" s="625">
        <f>AVERAGE(B378,C378)</f>
        <v/>
      </c>
      <c r="B378" s="555" t="n">
        <v>15700</v>
      </c>
      <c r="C378" s="555" t="n">
        <v>15750</v>
      </c>
      <c r="D378" s="556">
        <f>IF($A378&gt;BOTT_A4,ROUND(BASE_A4+RATE_A4*($A378-BOTT_A4),0),IF($A378&gt;BOTT_A3,ROUND(BASE_A3+RATE_A3*($A378-BOTT_A3),0),IF($A378&gt;BOTT_A2,ROUND(BASE_A2+RATE_A2*($A378-BOTT_A2),0),ROUND(RATE_A1*$A378,0))))</f>
        <v/>
      </c>
      <c r="E378" s="556">
        <f>IF($A378&gt;BOTT_B4,ROUND(BASE_B4+RATE_B4*($A378-BOTT_B4),0),IF($A378&gt;BOTT_B3,ROUND(BASE_B3+RATE_B3*($A378-BOTT_B3),0),IF($A378&gt;BOTT_B2,ROUND(BASE_B2+RATE_B2*($A378-BOTT_B2),0),ROUND(RATE_B1*$A378,0))))</f>
        <v/>
      </c>
      <c r="F378" s="556">
        <f>IF($A378&gt;BOTT_C4,ROUND(BASE_C4+RATE_C4*($A378-BOTT_C4),0),IF($A378&gt;BOTT_C3,ROUND(BASE_C3+RATE_C3*($A378-BOTT_C3),0),IF($A378&gt;BOTT_C2,ROUND(BASE_C2+RATE_C2*($A378-BOTT_C2),0),ROUND(RATE_C1*$A378,0))))</f>
        <v/>
      </c>
      <c r="G378" s="556">
        <f>IF($A378&gt;BOTT_D4,ROUND(BASE_D4+RATE_D4*($A378-BOTT_D4),0),IF($A378&gt;BOTT_D3,ROUND(BASE_D3+RATE_D3*($A378-BOTT_D3),0),IF($A378&gt;BOTT_D2,ROUND(BASE_D2+RATE_D2*($A378-BOTT_D2),0),ROUND(RATE_D1*$A378,0))))</f>
        <v/>
      </c>
    </row>
    <row r="379" ht="15.75" customHeight="1" s="7635">
      <c r="A379" s="625">
        <f>AVERAGE(B379,C379)</f>
        <v/>
      </c>
      <c r="B379" s="555" t="n">
        <v>15750</v>
      </c>
      <c r="C379" s="555" t="n">
        <v>15800</v>
      </c>
      <c r="D379" s="556">
        <f>IF($A379&gt;BOTT_A4,ROUND(BASE_A4+RATE_A4*($A379-BOTT_A4),0),IF($A379&gt;BOTT_A3,ROUND(BASE_A3+RATE_A3*($A379-BOTT_A3),0),IF($A379&gt;BOTT_A2,ROUND(BASE_A2+RATE_A2*($A379-BOTT_A2),0),ROUND(RATE_A1*$A379,0))))</f>
        <v/>
      </c>
      <c r="E379" s="556">
        <f>IF($A379&gt;BOTT_B4,ROUND(BASE_B4+RATE_B4*($A379-BOTT_B4),0),IF($A379&gt;BOTT_B3,ROUND(BASE_B3+RATE_B3*($A379-BOTT_B3),0),IF($A379&gt;BOTT_B2,ROUND(BASE_B2+RATE_B2*($A379-BOTT_B2),0),ROUND(RATE_B1*$A379,0))))</f>
        <v/>
      </c>
      <c r="F379" s="556">
        <f>IF($A379&gt;BOTT_C4,ROUND(BASE_C4+RATE_C4*($A379-BOTT_C4),0),IF($A379&gt;BOTT_C3,ROUND(BASE_C3+RATE_C3*($A379-BOTT_C3),0),IF($A379&gt;BOTT_C2,ROUND(BASE_C2+RATE_C2*($A379-BOTT_C2),0),ROUND(RATE_C1*$A379,0))))</f>
        <v/>
      </c>
      <c r="G379" s="556">
        <f>IF($A379&gt;BOTT_D4,ROUND(BASE_D4+RATE_D4*($A379-BOTT_D4),0),IF($A379&gt;BOTT_D3,ROUND(BASE_D3+RATE_D3*($A379-BOTT_D3),0),IF($A379&gt;BOTT_D2,ROUND(BASE_D2+RATE_D2*($A379-BOTT_D2),0),ROUND(RATE_D1*$A379,0))))</f>
        <v/>
      </c>
    </row>
    <row r="380" ht="15.75" customHeight="1" s="7635">
      <c r="A380" s="625">
        <f>AVERAGE(B380,C380)</f>
        <v/>
      </c>
      <c r="B380" s="555" t="n">
        <v>15800</v>
      </c>
      <c r="C380" s="555" t="n">
        <v>15850</v>
      </c>
      <c r="D380" s="556">
        <f>IF($A380&gt;BOTT_A4,ROUND(BASE_A4+RATE_A4*($A380-BOTT_A4),0),IF($A380&gt;BOTT_A3,ROUND(BASE_A3+RATE_A3*($A380-BOTT_A3),0),IF($A380&gt;BOTT_A2,ROUND(BASE_A2+RATE_A2*($A380-BOTT_A2),0),ROUND(RATE_A1*$A380,0))))</f>
        <v/>
      </c>
      <c r="E380" s="556">
        <f>IF($A380&gt;BOTT_B4,ROUND(BASE_B4+RATE_B4*($A380-BOTT_B4),0),IF($A380&gt;BOTT_B3,ROUND(BASE_B3+RATE_B3*($A380-BOTT_B3),0),IF($A380&gt;BOTT_B2,ROUND(BASE_B2+RATE_B2*($A380-BOTT_B2),0),ROUND(RATE_B1*$A380,0))))</f>
        <v/>
      </c>
      <c r="F380" s="556">
        <f>IF($A380&gt;BOTT_C4,ROUND(BASE_C4+RATE_C4*($A380-BOTT_C4),0),IF($A380&gt;BOTT_C3,ROUND(BASE_C3+RATE_C3*($A380-BOTT_C3),0),IF($A380&gt;BOTT_C2,ROUND(BASE_C2+RATE_C2*($A380-BOTT_C2),0),ROUND(RATE_C1*$A380,0))))</f>
        <v/>
      </c>
      <c r="G380" s="556">
        <f>IF($A380&gt;BOTT_D4,ROUND(BASE_D4+RATE_D4*($A380-BOTT_D4),0),IF($A380&gt;BOTT_D3,ROUND(BASE_D3+RATE_D3*($A380-BOTT_D3),0),IF($A380&gt;BOTT_D2,ROUND(BASE_D2+RATE_D2*($A380-BOTT_D2),0),ROUND(RATE_D1*$A380,0))))</f>
        <v/>
      </c>
    </row>
    <row r="381" ht="15.75" customHeight="1" s="7635">
      <c r="A381" s="625">
        <f>AVERAGE(B381,C381)</f>
        <v/>
      </c>
      <c r="B381" s="555" t="n">
        <v>15850</v>
      </c>
      <c r="C381" s="555" t="n">
        <v>15900</v>
      </c>
      <c r="D381" s="556">
        <f>IF($A381&gt;BOTT_A4,ROUND(BASE_A4+RATE_A4*($A381-BOTT_A4),0),IF($A381&gt;BOTT_A3,ROUND(BASE_A3+RATE_A3*($A381-BOTT_A3),0),IF($A381&gt;BOTT_A2,ROUND(BASE_A2+RATE_A2*($A381-BOTT_A2),0),ROUND(RATE_A1*$A381,0))))</f>
        <v/>
      </c>
      <c r="E381" s="556">
        <f>IF($A381&gt;BOTT_B4,ROUND(BASE_B4+RATE_B4*($A381-BOTT_B4),0),IF($A381&gt;BOTT_B3,ROUND(BASE_B3+RATE_B3*($A381-BOTT_B3),0),IF($A381&gt;BOTT_B2,ROUND(BASE_B2+RATE_B2*($A381-BOTT_B2),0),ROUND(RATE_B1*$A381,0))))</f>
        <v/>
      </c>
      <c r="F381" s="556">
        <f>IF($A381&gt;BOTT_C4,ROUND(BASE_C4+RATE_C4*($A381-BOTT_C4),0),IF($A381&gt;BOTT_C3,ROUND(BASE_C3+RATE_C3*($A381-BOTT_C3),0),IF($A381&gt;BOTT_C2,ROUND(BASE_C2+RATE_C2*($A381-BOTT_C2),0),ROUND(RATE_C1*$A381,0))))</f>
        <v/>
      </c>
      <c r="G381" s="556">
        <f>IF($A381&gt;BOTT_D4,ROUND(BASE_D4+RATE_D4*($A381-BOTT_D4),0),IF($A381&gt;BOTT_D3,ROUND(BASE_D3+RATE_D3*($A381-BOTT_D3),0),IF($A381&gt;BOTT_D2,ROUND(BASE_D2+RATE_D2*($A381-BOTT_D2),0),ROUND(RATE_D1*$A381,0))))</f>
        <v/>
      </c>
    </row>
    <row r="382" ht="15.75" customHeight="1" s="7635">
      <c r="A382" s="625">
        <f>AVERAGE(B382,C382)</f>
        <v/>
      </c>
      <c r="B382" s="555" t="n">
        <v>15900</v>
      </c>
      <c r="C382" s="555" t="n">
        <v>15950</v>
      </c>
      <c r="D382" s="556">
        <f>IF($A382&gt;BOTT_A4,ROUND(BASE_A4+RATE_A4*($A382-BOTT_A4),0),IF($A382&gt;BOTT_A3,ROUND(BASE_A3+RATE_A3*($A382-BOTT_A3),0),IF($A382&gt;BOTT_A2,ROUND(BASE_A2+RATE_A2*($A382-BOTT_A2),0),ROUND(RATE_A1*$A382,0))))</f>
        <v/>
      </c>
      <c r="E382" s="556">
        <f>IF($A382&gt;BOTT_B4,ROUND(BASE_B4+RATE_B4*($A382-BOTT_B4),0),IF($A382&gt;BOTT_B3,ROUND(BASE_B3+RATE_B3*($A382-BOTT_B3),0),IF($A382&gt;BOTT_B2,ROUND(BASE_B2+RATE_B2*($A382-BOTT_B2),0),ROUND(RATE_B1*$A382,0))))</f>
        <v/>
      </c>
      <c r="F382" s="556">
        <f>IF($A382&gt;BOTT_C4,ROUND(BASE_C4+RATE_C4*($A382-BOTT_C4),0),IF($A382&gt;BOTT_C3,ROUND(BASE_C3+RATE_C3*($A382-BOTT_C3),0),IF($A382&gt;BOTT_C2,ROUND(BASE_C2+RATE_C2*($A382-BOTT_C2),0),ROUND(RATE_C1*$A382,0))))</f>
        <v/>
      </c>
      <c r="G382" s="556">
        <f>IF($A382&gt;BOTT_D4,ROUND(BASE_D4+RATE_D4*($A382-BOTT_D4),0),IF($A382&gt;BOTT_D3,ROUND(BASE_D3+RATE_D3*($A382-BOTT_D3),0),IF($A382&gt;BOTT_D2,ROUND(BASE_D2+RATE_D2*($A382-BOTT_D2),0),ROUND(RATE_D1*$A382,0))))</f>
        <v/>
      </c>
    </row>
    <row r="383" ht="15.75" customHeight="1" s="7635">
      <c r="A383" s="625">
        <f>AVERAGE(B383,C383)</f>
        <v/>
      </c>
      <c r="B383" s="555" t="n">
        <v>15950</v>
      </c>
      <c r="C383" s="555" t="n">
        <v>16000</v>
      </c>
      <c r="D383" s="556">
        <f>IF($A383&gt;BOTT_A4,ROUND(BASE_A4+RATE_A4*($A383-BOTT_A4),0),IF($A383&gt;BOTT_A3,ROUND(BASE_A3+RATE_A3*($A383-BOTT_A3),0),IF($A383&gt;BOTT_A2,ROUND(BASE_A2+RATE_A2*($A383-BOTT_A2),0),ROUND(RATE_A1*$A383,0))))</f>
        <v/>
      </c>
      <c r="E383" s="556">
        <f>IF($A383&gt;BOTT_B4,ROUND(BASE_B4+RATE_B4*($A383-BOTT_B4),0),IF($A383&gt;BOTT_B3,ROUND(BASE_B3+RATE_B3*($A383-BOTT_B3),0),IF($A383&gt;BOTT_B2,ROUND(BASE_B2+RATE_B2*($A383-BOTT_B2),0),ROUND(RATE_B1*$A383,0))))</f>
        <v/>
      </c>
      <c r="F383" s="556">
        <f>IF($A383&gt;BOTT_C4,ROUND(BASE_C4+RATE_C4*($A383-BOTT_C4),0),IF($A383&gt;BOTT_C3,ROUND(BASE_C3+RATE_C3*($A383-BOTT_C3),0),IF($A383&gt;BOTT_C2,ROUND(BASE_C2+RATE_C2*($A383-BOTT_C2),0),ROUND(RATE_C1*$A383,0))))</f>
        <v/>
      </c>
      <c r="G383" s="556">
        <f>IF($A383&gt;BOTT_D4,ROUND(BASE_D4+RATE_D4*($A383-BOTT_D4),0),IF($A383&gt;BOTT_D3,ROUND(BASE_D3+RATE_D3*($A383-BOTT_D3),0),IF($A383&gt;BOTT_D2,ROUND(BASE_D2+RATE_D2*($A383-BOTT_D2),0),ROUND(RATE_D1*$A383,0))))</f>
        <v/>
      </c>
    </row>
    <row r="384" ht="15.75" customHeight="1" s="7635">
      <c r="A384" s="625">
        <f>AVERAGE(B384,C384)</f>
        <v/>
      </c>
      <c r="B384" s="555" t="n">
        <v>16000</v>
      </c>
      <c r="C384" s="555" t="n">
        <v>16050</v>
      </c>
      <c r="D384" s="556">
        <f>IF($A384&gt;BOTT_A4,ROUND(BASE_A4+RATE_A4*($A384-BOTT_A4),0),IF($A384&gt;BOTT_A3,ROUND(BASE_A3+RATE_A3*($A384-BOTT_A3),0),IF($A384&gt;BOTT_A2,ROUND(BASE_A2+RATE_A2*($A384-BOTT_A2),0),ROUND(RATE_A1*$A384,0))))</f>
        <v/>
      </c>
      <c r="E384" s="556">
        <f>IF($A384&gt;BOTT_B4,ROUND(BASE_B4+RATE_B4*($A384-BOTT_B4),0),IF($A384&gt;BOTT_B3,ROUND(BASE_B3+RATE_B3*($A384-BOTT_B3),0),IF($A384&gt;BOTT_B2,ROUND(BASE_B2+RATE_B2*($A384-BOTT_B2),0),ROUND(RATE_B1*$A384,0))))</f>
        <v/>
      </c>
      <c r="F384" s="556">
        <f>IF($A384&gt;BOTT_C4,ROUND(BASE_C4+RATE_C4*($A384-BOTT_C4),0),IF($A384&gt;BOTT_C3,ROUND(BASE_C3+RATE_C3*($A384-BOTT_C3),0),IF($A384&gt;BOTT_C2,ROUND(BASE_C2+RATE_C2*($A384-BOTT_C2),0),ROUND(RATE_C1*$A384,0))))</f>
        <v/>
      </c>
      <c r="G384" s="556">
        <f>IF($A384&gt;BOTT_D4,ROUND(BASE_D4+RATE_D4*($A384-BOTT_D4),0),IF($A384&gt;BOTT_D3,ROUND(BASE_D3+RATE_D3*($A384-BOTT_D3),0),IF($A384&gt;BOTT_D2,ROUND(BASE_D2+RATE_D2*($A384-BOTT_D2),0),ROUND(RATE_D1*$A384,0))))</f>
        <v/>
      </c>
    </row>
    <row r="385" ht="15.75" customHeight="1" s="7635">
      <c r="A385" s="625">
        <f>AVERAGE(B385,C385)</f>
        <v/>
      </c>
      <c r="B385" s="555" t="n">
        <v>16050</v>
      </c>
      <c r="C385" s="555" t="n">
        <v>16100</v>
      </c>
      <c r="D385" s="556">
        <f>IF($A385&gt;BOTT_A4,ROUND(BASE_A4+RATE_A4*($A385-BOTT_A4),0),IF($A385&gt;BOTT_A3,ROUND(BASE_A3+RATE_A3*($A385-BOTT_A3),0),IF($A385&gt;BOTT_A2,ROUND(BASE_A2+RATE_A2*($A385-BOTT_A2),0),ROUND(RATE_A1*$A385,0))))</f>
        <v/>
      </c>
      <c r="E385" s="556">
        <f>IF($A385&gt;BOTT_B4,ROUND(BASE_B4+RATE_B4*($A385-BOTT_B4),0),IF($A385&gt;BOTT_B3,ROUND(BASE_B3+RATE_B3*($A385-BOTT_B3),0),IF($A385&gt;BOTT_B2,ROUND(BASE_B2+RATE_B2*($A385-BOTT_B2),0),ROUND(RATE_B1*$A385,0))))</f>
        <v/>
      </c>
      <c r="F385" s="556">
        <f>IF($A385&gt;BOTT_C4,ROUND(BASE_C4+RATE_C4*($A385-BOTT_C4),0),IF($A385&gt;BOTT_C3,ROUND(BASE_C3+RATE_C3*($A385-BOTT_C3),0),IF($A385&gt;BOTT_C2,ROUND(BASE_C2+RATE_C2*($A385-BOTT_C2),0),ROUND(RATE_C1*$A385,0))))</f>
        <v/>
      </c>
      <c r="G385" s="556">
        <f>IF($A385&gt;BOTT_D4,ROUND(BASE_D4+RATE_D4*($A385-BOTT_D4),0),IF($A385&gt;BOTT_D3,ROUND(BASE_D3+RATE_D3*($A385-BOTT_D3),0),IF($A385&gt;BOTT_D2,ROUND(BASE_D2+RATE_D2*($A385-BOTT_D2),0),ROUND(RATE_D1*$A385,0))))</f>
        <v/>
      </c>
    </row>
    <row r="386" ht="15.75" customHeight="1" s="7635">
      <c r="A386" s="625">
        <f>AVERAGE(B386,C386)</f>
        <v/>
      </c>
      <c r="B386" s="555" t="n">
        <v>16100</v>
      </c>
      <c r="C386" s="555" t="n">
        <v>16150</v>
      </c>
      <c r="D386" s="556">
        <f>IF($A386&gt;BOTT_A4,ROUND(BASE_A4+RATE_A4*($A386-BOTT_A4),0),IF($A386&gt;BOTT_A3,ROUND(BASE_A3+RATE_A3*($A386-BOTT_A3),0),IF($A386&gt;BOTT_A2,ROUND(BASE_A2+RATE_A2*($A386-BOTT_A2),0),ROUND(RATE_A1*$A386,0))))</f>
        <v/>
      </c>
      <c r="E386" s="556">
        <f>IF($A386&gt;BOTT_B4,ROUND(BASE_B4+RATE_B4*($A386-BOTT_B4),0),IF($A386&gt;BOTT_B3,ROUND(BASE_B3+RATE_B3*($A386-BOTT_B3),0),IF($A386&gt;BOTT_B2,ROUND(BASE_B2+RATE_B2*($A386-BOTT_B2),0),ROUND(RATE_B1*$A386,0))))</f>
        <v/>
      </c>
      <c r="F386" s="556">
        <f>IF($A386&gt;BOTT_C4,ROUND(BASE_C4+RATE_C4*($A386-BOTT_C4),0),IF($A386&gt;BOTT_C3,ROUND(BASE_C3+RATE_C3*($A386-BOTT_C3),0),IF($A386&gt;BOTT_C2,ROUND(BASE_C2+RATE_C2*($A386-BOTT_C2),0),ROUND(RATE_C1*$A386,0))))</f>
        <v/>
      </c>
      <c r="G386" s="556">
        <f>IF($A386&gt;BOTT_D4,ROUND(BASE_D4+RATE_D4*($A386-BOTT_D4),0),IF($A386&gt;BOTT_D3,ROUND(BASE_D3+RATE_D3*($A386-BOTT_D3),0),IF($A386&gt;BOTT_D2,ROUND(BASE_D2+RATE_D2*($A386-BOTT_D2),0),ROUND(RATE_D1*$A386,0))))</f>
        <v/>
      </c>
    </row>
    <row r="387" ht="15.75" customHeight="1" s="7635">
      <c r="A387" s="625">
        <f>AVERAGE(B387,C387)</f>
        <v/>
      </c>
      <c r="B387" s="555" t="n">
        <v>16150</v>
      </c>
      <c r="C387" s="555" t="n">
        <v>16200</v>
      </c>
      <c r="D387" s="556">
        <f>IF($A387&gt;BOTT_A4,ROUND(BASE_A4+RATE_A4*($A387-BOTT_A4),0),IF($A387&gt;BOTT_A3,ROUND(BASE_A3+RATE_A3*($A387-BOTT_A3),0),IF($A387&gt;BOTT_A2,ROUND(BASE_A2+RATE_A2*($A387-BOTT_A2),0),ROUND(RATE_A1*$A387,0))))</f>
        <v/>
      </c>
      <c r="E387" s="556">
        <f>IF($A387&gt;BOTT_B4,ROUND(BASE_B4+RATE_B4*($A387-BOTT_B4),0),IF($A387&gt;BOTT_B3,ROUND(BASE_B3+RATE_B3*($A387-BOTT_B3),0),IF($A387&gt;BOTT_B2,ROUND(BASE_B2+RATE_B2*($A387-BOTT_B2),0),ROUND(RATE_B1*$A387,0))))</f>
        <v/>
      </c>
      <c r="F387" s="556">
        <f>IF($A387&gt;BOTT_C4,ROUND(BASE_C4+RATE_C4*($A387-BOTT_C4),0),IF($A387&gt;BOTT_C3,ROUND(BASE_C3+RATE_C3*($A387-BOTT_C3),0),IF($A387&gt;BOTT_C2,ROUND(BASE_C2+RATE_C2*($A387-BOTT_C2),0),ROUND(RATE_C1*$A387,0))))</f>
        <v/>
      </c>
      <c r="G387" s="556">
        <f>IF($A387&gt;BOTT_D4,ROUND(BASE_D4+RATE_D4*($A387-BOTT_D4),0),IF($A387&gt;BOTT_D3,ROUND(BASE_D3+RATE_D3*($A387-BOTT_D3),0),IF($A387&gt;BOTT_D2,ROUND(BASE_D2+RATE_D2*($A387-BOTT_D2),0),ROUND(RATE_D1*$A387,0))))</f>
        <v/>
      </c>
    </row>
    <row r="388" ht="15.75" customHeight="1" s="7635">
      <c r="A388" s="625">
        <f>AVERAGE(B388,C388)</f>
        <v/>
      </c>
      <c r="B388" s="555" t="n">
        <v>16200</v>
      </c>
      <c r="C388" s="555" t="n">
        <v>16250</v>
      </c>
      <c r="D388" s="556">
        <f>IF($A388&gt;BOTT_A4,ROUND(BASE_A4+RATE_A4*($A388-BOTT_A4),0),IF($A388&gt;BOTT_A3,ROUND(BASE_A3+RATE_A3*($A388-BOTT_A3),0),IF($A388&gt;BOTT_A2,ROUND(BASE_A2+RATE_A2*($A388-BOTT_A2),0),ROUND(RATE_A1*$A388,0))))</f>
        <v/>
      </c>
      <c r="E388" s="556">
        <f>IF($A388&gt;BOTT_B4,ROUND(BASE_B4+RATE_B4*($A388-BOTT_B4),0),IF($A388&gt;BOTT_B3,ROUND(BASE_B3+RATE_B3*($A388-BOTT_B3),0),IF($A388&gt;BOTT_B2,ROUND(BASE_B2+RATE_B2*($A388-BOTT_B2),0),ROUND(RATE_B1*$A388,0))))</f>
        <v/>
      </c>
      <c r="F388" s="556">
        <f>IF($A388&gt;BOTT_C4,ROUND(BASE_C4+RATE_C4*($A388-BOTT_C4),0),IF($A388&gt;BOTT_C3,ROUND(BASE_C3+RATE_C3*($A388-BOTT_C3),0),IF($A388&gt;BOTT_C2,ROUND(BASE_C2+RATE_C2*($A388-BOTT_C2),0),ROUND(RATE_C1*$A388,0))))</f>
        <v/>
      </c>
      <c r="G388" s="556">
        <f>IF($A388&gt;BOTT_D4,ROUND(BASE_D4+RATE_D4*($A388-BOTT_D4),0),IF($A388&gt;BOTT_D3,ROUND(BASE_D3+RATE_D3*($A388-BOTT_D3),0),IF($A388&gt;BOTT_D2,ROUND(BASE_D2+RATE_D2*($A388-BOTT_D2),0),ROUND(RATE_D1*$A388,0))))</f>
        <v/>
      </c>
    </row>
    <row r="389" ht="15.75" customHeight="1" s="7635">
      <c r="A389" s="625">
        <f>AVERAGE(B389,C389)</f>
        <v/>
      </c>
      <c r="B389" s="555" t="n">
        <v>16250</v>
      </c>
      <c r="C389" s="555" t="n">
        <v>16300</v>
      </c>
      <c r="D389" s="556">
        <f>IF($A389&gt;BOTT_A4,ROUND(BASE_A4+RATE_A4*($A389-BOTT_A4),0),IF($A389&gt;BOTT_A3,ROUND(BASE_A3+RATE_A3*($A389-BOTT_A3),0),IF($A389&gt;BOTT_A2,ROUND(BASE_A2+RATE_A2*($A389-BOTT_A2),0),ROUND(RATE_A1*$A389,0))))</f>
        <v/>
      </c>
      <c r="E389" s="556">
        <f>IF($A389&gt;BOTT_B4,ROUND(BASE_B4+RATE_B4*($A389-BOTT_B4),0),IF($A389&gt;BOTT_B3,ROUND(BASE_B3+RATE_B3*($A389-BOTT_B3),0),IF($A389&gt;BOTT_B2,ROUND(BASE_B2+RATE_B2*($A389-BOTT_B2),0),ROUND(RATE_B1*$A389,0))))</f>
        <v/>
      </c>
      <c r="F389" s="556">
        <f>IF($A389&gt;BOTT_C4,ROUND(BASE_C4+RATE_C4*($A389-BOTT_C4),0),IF($A389&gt;BOTT_C3,ROUND(BASE_C3+RATE_C3*($A389-BOTT_C3),0),IF($A389&gt;BOTT_C2,ROUND(BASE_C2+RATE_C2*($A389-BOTT_C2),0),ROUND(RATE_C1*$A389,0))))</f>
        <v/>
      </c>
      <c r="G389" s="556">
        <f>IF($A389&gt;BOTT_D4,ROUND(BASE_D4+RATE_D4*($A389-BOTT_D4),0),IF($A389&gt;BOTT_D3,ROUND(BASE_D3+RATE_D3*($A389-BOTT_D3),0),IF($A389&gt;BOTT_D2,ROUND(BASE_D2+RATE_D2*($A389-BOTT_D2),0),ROUND(RATE_D1*$A389,0))))</f>
        <v/>
      </c>
    </row>
    <row r="390" ht="15.75" customHeight="1" s="7635">
      <c r="A390" s="625">
        <f>AVERAGE(B390,C390)</f>
        <v/>
      </c>
      <c r="B390" s="555" t="n">
        <v>16300</v>
      </c>
      <c r="C390" s="555" t="n">
        <v>16350</v>
      </c>
      <c r="D390" s="556">
        <f>IF($A390&gt;BOTT_A4,ROUND(BASE_A4+RATE_A4*($A390-BOTT_A4),0),IF($A390&gt;BOTT_A3,ROUND(BASE_A3+RATE_A3*($A390-BOTT_A3),0),IF($A390&gt;BOTT_A2,ROUND(BASE_A2+RATE_A2*($A390-BOTT_A2),0),ROUND(RATE_A1*$A390,0))))</f>
        <v/>
      </c>
      <c r="E390" s="556">
        <f>IF($A390&gt;BOTT_B4,ROUND(BASE_B4+RATE_B4*($A390-BOTT_B4),0),IF($A390&gt;BOTT_B3,ROUND(BASE_B3+RATE_B3*($A390-BOTT_B3),0),IF($A390&gt;BOTT_B2,ROUND(BASE_B2+RATE_B2*($A390-BOTT_B2),0),ROUND(RATE_B1*$A390,0))))</f>
        <v/>
      </c>
      <c r="F390" s="556">
        <f>IF($A390&gt;BOTT_C4,ROUND(BASE_C4+RATE_C4*($A390-BOTT_C4),0),IF($A390&gt;BOTT_C3,ROUND(BASE_C3+RATE_C3*($A390-BOTT_C3),0),IF($A390&gt;BOTT_C2,ROUND(BASE_C2+RATE_C2*($A390-BOTT_C2),0),ROUND(RATE_C1*$A390,0))))</f>
        <v/>
      </c>
      <c r="G390" s="556">
        <f>IF($A390&gt;BOTT_D4,ROUND(BASE_D4+RATE_D4*($A390-BOTT_D4),0),IF($A390&gt;BOTT_D3,ROUND(BASE_D3+RATE_D3*($A390-BOTT_D3),0),IF($A390&gt;BOTT_D2,ROUND(BASE_D2+RATE_D2*($A390-BOTT_D2),0),ROUND(RATE_D1*$A390,0))))</f>
        <v/>
      </c>
    </row>
    <row r="391" ht="15.75" customHeight="1" s="7635">
      <c r="A391" s="625">
        <f>AVERAGE(B391,C391)</f>
        <v/>
      </c>
      <c r="B391" s="555" t="n">
        <v>16350</v>
      </c>
      <c r="C391" s="555" t="n">
        <v>16400</v>
      </c>
      <c r="D391" s="556">
        <f>IF($A391&gt;BOTT_A4,ROUND(BASE_A4+RATE_A4*($A391-BOTT_A4),0),IF($A391&gt;BOTT_A3,ROUND(BASE_A3+RATE_A3*($A391-BOTT_A3),0),IF($A391&gt;BOTT_A2,ROUND(BASE_A2+RATE_A2*($A391-BOTT_A2),0),ROUND(RATE_A1*$A391,0))))</f>
        <v/>
      </c>
      <c r="E391" s="556">
        <f>IF($A391&gt;BOTT_B4,ROUND(BASE_B4+RATE_B4*($A391-BOTT_B4),0),IF($A391&gt;BOTT_B3,ROUND(BASE_B3+RATE_B3*($A391-BOTT_B3),0),IF($A391&gt;BOTT_B2,ROUND(BASE_B2+RATE_B2*($A391-BOTT_B2),0),ROUND(RATE_B1*$A391,0))))</f>
        <v/>
      </c>
      <c r="F391" s="556">
        <f>IF($A391&gt;BOTT_C4,ROUND(BASE_C4+RATE_C4*($A391-BOTT_C4),0),IF($A391&gt;BOTT_C3,ROUND(BASE_C3+RATE_C3*($A391-BOTT_C3),0),IF($A391&gt;BOTT_C2,ROUND(BASE_C2+RATE_C2*($A391-BOTT_C2),0),ROUND(RATE_C1*$A391,0))))</f>
        <v/>
      </c>
      <c r="G391" s="556">
        <f>IF($A391&gt;BOTT_D4,ROUND(BASE_D4+RATE_D4*($A391-BOTT_D4),0),IF($A391&gt;BOTT_D3,ROUND(BASE_D3+RATE_D3*($A391-BOTT_D3),0),IF($A391&gt;BOTT_D2,ROUND(BASE_D2+RATE_D2*($A391-BOTT_D2),0),ROUND(RATE_D1*$A391,0))))</f>
        <v/>
      </c>
    </row>
    <row r="392" ht="15.75" customHeight="1" s="7635">
      <c r="A392" s="625">
        <f>AVERAGE(B392,C392)</f>
        <v/>
      </c>
      <c r="B392" s="555" t="n">
        <v>16400</v>
      </c>
      <c r="C392" s="555" t="n">
        <v>16450</v>
      </c>
      <c r="D392" s="556">
        <f>IF($A392&gt;BOTT_A4,ROUND(BASE_A4+RATE_A4*($A392-BOTT_A4),0),IF($A392&gt;BOTT_A3,ROUND(BASE_A3+RATE_A3*($A392-BOTT_A3),0),IF($A392&gt;BOTT_A2,ROUND(BASE_A2+RATE_A2*($A392-BOTT_A2),0),ROUND(RATE_A1*$A392,0))))</f>
        <v/>
      </c>
      <c r="E392" s="556">
        <f>IF($A392&gt;BOTT_B4,ROUND(BASE_B4+RATE_B4*($A392-BOTT_B4),0),IF($A392&gt;BOTT_B3,ROUND(BASE_B3+RATE_B3*($A392-BOTT_B3),0),IF($A392&gt;BOTT_B2,ROUND(BASE_B2+RATE_B2*($A392-BOTT_B2),0),ROUND(RATE_B1*$A392,0))))</f>
        <v/>
      </c>
      <c r="F392" s="556">
        <f>IF($A392&gt;BOTT_C4,ROUND(BASE_C4+RATE_C4*($A392-BOTT_C4),0),IF($A392&gt;BOTT_C3,ROUND(BASE_C3+RATE_C3*($A392-BOTT_C3),0),IF($A392&gt;BOTT_C2,ROUND(BASE_C2+RATE_C2*($A392-BOTT_C2),0),ROUND(RATE_C1*$A392,0))))</f>
        <v/>
      </c>
      <c r="G392" s="556">
        <f>IF($A392&gt;BOTT_D4,ROUND(BASE_D4+RATE_D4*($A392-BOTT_D4),0),IF($A392&gt;BOTT_D3,ROUND(BASE_D3+RATE_D3*($A392-BOTT_D3),0),IF($A392&gt;BOTT_D2,ROUND(BASE_D2+RATE_D2*($A392-BOTT_D2),0),ROUND(RATE_D1*$A392,0))))</f>
        <v/>
      </c>
    </row>
    <row r="393" ht="15.75" customHeight="1" s="7635">
      <c r="A393" s="625">
        <f>AVERAGE(B393,C393)</f>
        <v/>
      </c>
      <c r="B393" s="555" t="n">
        <v>16450</v>
      </c>
      <c r="C393" s="555" t="n">
        <v>16500</v>
      </c>
      <c r="D393" s="556">
        <f>IF($A393&gt;BOTT_A4,ROUND(BASE_A4+RATE_A4*($A393-BOTT_A4),0),IF($A393&gt;BOTT_A3,ROUND(BASE_A3+RATE_A3*($A393-BOTT_A3),0),IF($A393&gt;BOTT_A2,ROUND(BASE_A2+RATE_A2*($A393-BOTT_A2),0),ROUND(RATE_A1*$A393,0))))</f>
        <v/>
      </c>
      <c r="E393" s="556">
        <f>IF($A393&gt;BOTT_B4,ROUND(BASE_B4+RATE_B4*($A393-BOTT_B4),0),IF($A393&gt;BOTT_B3,ROUND(BASE_B3+RATE_B3*($A393-BOTT_B3),0),IF($A393&gt;BOTT_B2,ROUND(BASE_B2+RATE_B2*($A393-BOTT_B2),0),ROUND(RATE_B1*$A393,0))))</f>
        <v/>
      </c>
      <c r="F393" s="556">
        <f>IF($A393&gt;BOTT_C4,ROUND(BASE_C4+RATE_C4*($A393-BOTT_C4),0),IF($A393&gt;BOTT_C3,ROUND(BASE_C3+RATE_C3*($A393-BOTT_C3),0),IF($A393&gt;BOTT_C2,ROUND(BASE_C2+RATE_C2*($A393-BOTT_C2),0),ROUND(RATE_C1*$A393,0))))</f>
        <v/>
      </c>
      <c r="G393" s="556">
        <f>IF($A393&gt;BOTT_D4,ROUND(BASE_D4+RATE_D4*($A393-BOTT_D4),0),IF($A393&gt;BOTT_D3,ROUND(BASE_D3+RATE_D3*($A393-BOTT_D3),0),IF($A393&gt;BOTT_D2,ROUND(BASE_D2+RATE_D2*($A393-BOTT_D2),0),ROUND(RATE_D1*$A393,0))))</f>
        <v/>
      </c>
    </row>
    <row r="394" ht="15.75" customHeight="1" s="7635">
      <c r="A394" s="625">
        <f>AVERAGE(B394,C394)</f>
        <v/>
      </c>
      <c r="B394" s="555" t="n">
        <v>16500</v>
      </c>
      <c r="C394" s="555" t="n">
        <v>16550</v>
      </c>
      <c r="D394" s="556">
        <f>IF($A394&gt;BOTT_A4,ROUND(BASE_A4+RATE_A4*($A394-BOTT_A4),0),IF($A394&gt;BOTT_A3,ROUND(BASE_A3+RATE_A3*($A394-BOTT_A3),0),IF($A394&gt;BOTT_A2,ROUND(BASE_A2+RATE_A2*($A394-BOTT_A2),0),ROUND(RATE_A1*$A394,0))))</f>
        <v/>
      </c>
      <c r="E394" s="556">
        <f>IF($A394&gt;BOTT_B4,ROUND(BASE_B4+RATE_B4*($A394-BOTT_B4),0),IF($A394&gt;BOTT_B3,ROUND(BASE_B3+RATE_B3*($A394-BOTT_B3),0),IF($A394&gt;BOTT_B2,ROUND(BASE_B2+RATE_B2*($A394-BOTT_B2),0),ROUND(RATE_B1*$A394,0))))</f>
        <v/>
      </c>
      <c r="F394" s="556">
        <f>IF($A394&gt;BOTT_C4,ROUND(BASE_C4+RATE_C4*($A394-BOTT_C4),0),IF($A394&gt;BOTT_C3,ROUND(BASE_C3+RATE_C3*($A394-BOTT_C3),0),IF($A394&gt;BOTT_C2,ROUND(BASE_C2+RATE_C2*($A394-BOTT_C2),0),ROUND(RATE_C1*$A394,0))))</f>
        <v/>
      </c>
      <c r="G394" s="556">
        <f>IF($A394&gt;BOTT_D4,ROUND(BASE_D4+RATE_D4*($A394-BOTT_D4),0),IF($A394&gt;BOTT_D3,ROUND(BASE_D3+RATE_D3*($A394-BOTT_D3),0),IF($A394&gt;BOTT_D2,ROUND(BASE_D2+RATE_D2*($A394-BOTT_D2),0),ROUND(RATE_D1*$A394,0))))</f>
        <v/>
      </c>
    </row>
    <row r="395" ht="15.75" customHeight="1" s="7635">
      <c r="A395" s="625">
        <f>AVERAGE(B395,C395)</f>
        <v/>
      </c>
      <c r="B395" s="555" t="n">
        <v>16550</v>
      </c>
      <c r="C395" s="555" t="n">
        <v>16600</v>
      </c>
      <c r="D395" s="556">
        <f>IF($A395&gt;BOTT_A4,ROUND(BASE_A4+RATE_A4*($A395-BOTT_A4),0),IF($A395&gt;BOTT_A3,ROUND(BASE_A3+RATE_A3*($A395-BOTT_A3),0),IF($A395&gt;BOTT_A2,ROUND(BASE_A2+RATE_A2*($A395-BOTT_A2),0),ROUND(RATE_A1*$A395,0))))</f>
        <v/>
      </c>
      <c r="E395" s="556">
        <f>IF($A395&gt;BOTT_B4,ROUND(BASE_B4+RATE_B4*($A395-BOTT_B4),0),IF($A395&gt;BOTT_B3,ROUND(BASE_B3+RATE_B3*($A395-BOTT_B3),0),IF($A395&gt;BOTT_B2,ROUND(BASE_B2+RATE_B2*($A395-BOTT_B2),0),ROUND(RATE_B1*$A395,0))))</f>
        <v/>
      </c>
      <c r="F395" s="556">
        <f>IF($A395&gt;BOTT_C4,ROUND(BASE_C4+RATE_C4*($A395-BOTT_C4),0),IF($A395&gt;BOTT_C3,ROUND(BASE_C3+RATE_C3*($A395-BOTT_C3),0),IF($A395&gt;BOTT_C2,ROUND(BASE_C2+RATE_C2*($A395-BOTT_C2),0),ROUND(RATE_C1*$A395,0))))</f>
        <v/>
      </c>
      <c r="G395" s="556">
        <f>IF($A395&gt;BOTT_D4,ROUND(BASE_D4+RATE_D4*($A395-BOTT_D4),0),IF($A395&gt;BOTT_D3,ROUND(BASE_D3+RATE_D3*($A395-BOTT_D3),0),IF($A395&gt;BOTT_D2,ROUND(BASE_D2+RATE_D2*($A395-BOTT_D2),0),ROUND(RATE_D1*$A395,0))))</f>
        <v/>
      </c>
    </row>
    <row r="396" ht="15.75" customHeight="1" s="7635">
      <c r="A396" s="625">
        <f>AVERAGE(B396,C396)</f>
        <v/>
      </c>
      <c r="B396" s="555" t="n">
        <v>16600</v>
      </c>
      <c r="C396" s="555" t="n">
        <v>16650</v>
      </c>
      <c r="D396" s="556">
        <f>IF($A396&gt;BOTT_A4,ROUND(BASE_A4+RATE_A4*($A396-BOTT_A4),0),IF($A396&gt;BOTT_A3,ROUND(BASE_A3+RATE_A3*($A396-BOTT_A3),0),IF($A396&gt;BOTT_A2,ROUND(BASE_A2+RATE_A2*($A396-BOTT_A2),0),ROUND(RATE_A1*$A396,0))))</f>
        <v/>
      </c>
      <c r="E396" s="556">
        <f>IF($A396&gt;BOTT_B4,ROUND(BASE_B4+RATE_B4*($A396-BOTT_B4),0),IF($A396&gt;BOTT_B3,ROUND(BASE_B3+RATE_B3*($A396-BOTT_B3),0),IF($A396&gt;BOTT_B2,ROUND(BASE_B2+RATE_B2*($A396-BOTT_B2),0),ROUND(RATE_B1*$A396,0))))</f>
        <v/>
      </c>
      <c r="F396" s="556">
        <f>IF($A396&gt;BOTT_C4,ROUND(BASE_C4+RATE_C4*($A396-BOTT_C4),0),IF($A396&gt;BOTT_C3,ROUND(BASE_C3+RATE_C3*($A396-BOTT_C3),0),IF($A396&gt;BOTT_C2,ROUND(BASE_C2+RATE_C2*($A396-BOTT_C2),0),ROUND(RATE_C1*$A396,0))))</f>
        <v/>
      </c>
      <c r="G396" s="556">
        <f>IF($A396&gt;BOTT_D4,ROUND(BASE_D4+RATE_D4*($A396-BOTT_D4),0),IF($A396&gt;BOTT_D3,ROUND(BASE_D3+RATE_D3*($A396-BOTT_D3),0),IF($A396&gt;BOTT_D2,ROUND(BASE_D2+RATE_D2*($A396-BOTT_D2),0),ROUND(RATE_D1*$A396,0))))</f>
        <v/>
      </c>
    </row>
    <row r="397" ht="15.75" customHeight="1" s="7635">
      <c r="A397" s="625">
        <f>AVERAGE(B397,C397)</f>
        <v/>
      </c>
      <c r="B397" s="555" t="n">
        <v>16650</v>
      </c>
      <c r="C397" s="555" t="n">
        <v>16700</v>
      </c>
      <c r="D397" s="556">
        <f>IF($A397&gt;BOTT_A4,ROUND(BASE_A4+RATE_A4*($A397-BOTT_A4),0),IF($A397&gt;BOTT_A3,ROUND(BASE_A3+RATE_A3*($A397-BOTT_A3),0),IF($A397&gt;BOTT_A2,ROUND(BASE_A2+RATE_A2*($A397-BOTT_A2),0),ROUND(RATE_A1*$A397,0))))</f>
        <v/>
      </c>
      <c r="E397" s="556">
        <f>IF($A397&gt;BOTT_B4,ROUND(BASE_B4+RATE_B4*($A397-BOTT_B4),0),IF($A397&gt;BOTT_B3,ROUND(BASE_B3+RATE_B3*($A397-BOTT_B3),0),IF($A397&gt;BOTT_B2,ROUND(BASE_B2+RATE_B2*($A397-BOTT_B2),0),ROUND(RATE_B1*$A397,0))))</f>
        <v/>
      </c>
      <c r="F397" s="556">
        <f>IF($A397&gt;BOTT_C4,ROUND(BASE_C4+RATE_C4*($A397-BOTT_C4),0),IF($A397&gt;BOTT_C3,ROUND(BASE_C3+RATE_C3*($A397-BOTT_C3),0),IF($A397&gt;BOTT_C2,ROUND(BASE_C2+RATE_C2*($A397-BOTT_C2),0),ROUND(RATE_C1*$A397,0))))</f>
        <v/>
      </c>
      <c r="G397" s="556">
        <f>IF($A397&gt;BOTT_D4,ROUND(BASE_D4+RATE_D4*($A397-BOTT_D4),0),IF($A397&gt;BOTT_D3,ROUND(BASE_D3+RATE_D3*($A397-BOTT_D3),0),IF($A397&gt;BOTT_D2,ROUND(BASE_D2+RATE_D2*($A397-BOTT_D2),0),ROUND(RATE_D1*$A397,0))))</f>
        <v/>
      </c>
    </row>
    <row r="398" ht="15.75" customHeight="1" s="7635">
      <c r="A398" s="625">
        <f>AVERAGE(B398,C398)</f>
        <v/>
      </c>
      <c r="B398" s="555" t="n">
        <v>16700</v>
      </c>
      <c r="C398" s="555" t="n">
        <v>16750</v>
      </c>
      <c r="D398" s="556">
        <f>IF($A398&gt;BOTT_A4,ROUND(BASE_A4+RATE_A4*($A398-BOTT_A4),0),IF($A398&gt;BOTT_A3,ROUND(BASE_A3+RATE_A3*($A398-BOTT_A3),0),IF($A398&gt;BOTT_A2,ROUND(BASE_A2+RATE_A2*($A398-BOTT_A2),0),ROUND(RATE_A1*$A398,0))))</f>
        <v/>
      </c>
      <c r="E398" s="556">
        <f>IF($A398&gt;BOTT_B4,ROUND(BASE_B4+RATE_B4*($A398-BOTT_B4),0),IF($A398&gt;BOTT_B3,ROUND(BASE_B3+RATE_B3*($A398-BOTT_B3),0),IF($A398&gt;BOTT_B2,ROUND(BASE_B2+RATE_B2*($A398-BOTT_B2),0),ROUND(RATE_B1*$A398,0))))</f>
        <v/>
      </c>
      <c r="F398" s="556">
        <f>IF($A398&gt;BOTT_C4,ROUND(BASE_C4+RATE_C4*($A398-BOTT_C4),0),IF($A398&gt;BOTT_C3,ROUND(BASE_C3+RATE_C3*($A398-BOTT_C3),0),IF($A398&gt;BOTT_C2,ROUND(BASE_C2+RATE_C2*($A398-BOTT_C2),0),ROUND(RATE_C1*$A398,0))))</f>
        <v/>
      </c>
      <c r="G398" s="556">
        <f>IF($A398&gt;BOTT_D4,ROUND(BASE_D4+RATE_D4*($A398-BOTT_D4),0),IF($A398&gt;BOTT_D3,ROUND(BASE_D3+RATE_D3*($A398-BOTT_D3),0),IF($A398&gt;BOTT_D2,ROUND(BASE_D2+RATE_D2*($A398-BOTT_D2),0),ROUND(RATE_D1*$A398,0))))</f>
        <v/>
      </c>
    </row>
    <row r="399" ht="15.75" customHeight="1" s="7635">
      <c r="A399" s="625">
        <f>AVERAGE(B399,C399)</f>
        <v/>
      </c>
      <c r="B399" s="555" t="n">
        <v>16750</v>
      </c>
      <c r="C399" s="555" t="n">
        <v>16800</v>
      </c>
      <c r="D399" s="556">
        <f>IF($A399&gt;BOTT_A4,ROUND(BASE_A4+RATE_A4*($A399-BOTT_A4),0),IF($A399&gt;BOTT_A3,ROUND(BASE_A3+RATE_A3*($A399-BOTT_A3),0),IF($A399&gt;BOTT_A2,ROUND(BASE_A2+RATE_A2*($A399-BOTT_A2),0),ROUND(RATE_A1*$A399,0))))</f>
        <v/>
      </c>
      <c r="E399" s="556">
        <f>IF($A399&gt;BOTT_B4,ROUND(BASE_B4+RATE_B4*($A399-BOTT_B4),0),IF($A399&gt;BOTT_B3,ROUND(BASE_B3+RATE_B3*($A399-BOTT_B3),0),IF($A399&gt;BOTT_B2,ROUND(BASE_B2+RATE_B2*($A399-BOTT_B2),0),ROUND(RATE_B1*$A399,0))))</f>
        <v/>
      </c>
      <c r="F399" s="556">
        <f>IF($A399&gt;BOTT_C4,ROUND(BASE_C4+RATE_C4*($A399-BOTT_C4),0),IF($A399&gt;BOTT_C3,ROUND(BASE_C3+RATE_C3*($A399-BOTT_C3),0),IF($A399&gt;BOTT_C2,ROUND(BASE_C2+RATE_C2*($A399-BOTT_C2),0),ROUND(RATE_C1*$A399,0))))</f>
        <v/>
      </c>
      <c r="G399" s="556">
        <f>IF($A399&gt;BOTT_D4,ROUND(BASE_D4+RATE_D4*($A399-BOTT_D4),0),IF($A399&gt;BOTT_D3,ROUND(BASE_D3+RATE_D3*($A399-BOTT_D3),0),IF($A399&gt;BOTT_D2,ROUND(BASE_D2+RATE_D2*($A399-BOTT_D2),0),ROUND(RATE_D1*$A399,0))))</f>
        <v/>
      </c>
    </row>
    <row r="400" ht="15.75" customHeight="1" s="7635">
      <c r="A400" s="625">
        <f>AVERAGE(B400,C400)</f>
        <v/>
      </c>
      <c r="B400" s="555" t="n">
        <v>16800</v>
      </c>
      <c r="C400" s="555" t="n">
        <v>16850</v>
      </c>
      <c r="D400" s="556">
        <f>IF($A400&gt;BOTT_A4,ROUND(BASE_A4+RATE_A4*($A400-BOTT_A4),0),IF($A400&gt;BOTT_A3,ROUND(BASE_A3+RATE_A3*($A400-BOTT_A3),0),IF($A400&gt;BOTT_A2,ROUND(BASE_A2+RATE_A2*($A400-BOTT_A2),0),ROUND(RATE_A1*$A400,0))))</f>
        <v/>
      </c>
      <c r="E400" s="556">
        <f>IF($A400&gt;BOTT_B4,ROUND(BASE_B4+RATE_B4*($A400-BOTT_B4),0),IF($A400&gt;BOTT_B3,ROUND(BASE_B3+RATE_B3*($A400-BOTT_B3),0),IF($A400&gt;BOTT_B2,ROUND(BASE_B2+RATE_B2*($A400-BOTT_B2),0),ROUND(RATE_B1*$A400,0))))</f>
        <v/>
      </c>
      <c r="F400" s="556">
        <f>IF($A400&gt;BOTT_C4,ROUND(BASE_C4+RATE_C4*($A400-BOTT_C4),0),IF($A400&gt;BOTT_C3,ROUND(BASE_C3+RATE_C3*($A400-BOTT_C3),0),IF($A400&gt;BOTT_C2,ROUND(BASE_C2+RATE_C2*($A400-BOTT_C2),0),ROUND(RATE_C1*$A400,0))))</f>
        <v/>
      </c>
      <c r="G400" s="556">
        <f>IF($A400&gt;BOTT_D4,ROUND(BASE_D4+RATE_D4*($A400-BOTT_D4),0),IF($A400&gt;BOTT_D3,ROUND(BASE_D3+RATE_D3*($A400-BOTT_D3),0),IF($A400&gt;BOTT_D2,ROUND(BASE_D2+RATE_D2*($A400-BOTT_D2),0),ROUND(RATE_D1*$A400,0))))</f>
        <v/>
      </c>
    </row>
    <row r="401" ht="15.75" customHeight="1" s="7635">
      <c r="A401" s="625">
        <f>AVERAGE(B401,C401)</f>
        <v/>
      </c>
      <c r="B401" s="555" t="n">
        <v>16850</v>
      </c>
      <c r="C401" s="555" t="n">
        <v>16900</v>
      </c>
      <c r="D401" s="556">
        <f>IF($A401&gt;BOTT_A4,ROUND(BASE_A4+RATE_A4*($A401-BOTT_A4),0),IF($A401&gt;BOTT_A3,ROUND(BASE_A3+RATE_A3*($A401-BOTT_A3),0),IF($A401&gt;BOTT_A2,ROUND(BASE_A2+RATE_A2*($A401-BOTT_A2),0),ROUND(RATE_A1*$A401,0))))</f>
        <v/>
      </c>
      <c r="E401" s="556">
        <f>IF($A401&gt;BOTT_B4,ROUND(BASE_B4+RATE_B4*($A401-BOTT_B4),0),IF($A401&gt;BOTT_B3,ROUND(BASE_B3+RATE_B3*($A401-BOTT_B3),0),IF($A401&gt;BOTT_B2,ROUND(BASE_B2+RATE_B2*($A401-BOTT_B2),0),ROUND(RATE_B1*$A401,0))))</f>
        <v/>
      </c>
      <c r="F401" s="556">
        <f>IF($A401&gt;BOTT_C4,ROUND(BASE_C4+RATE_C4*($A401-BOTT_C4),0),IF($A401&gt;BOTT_C3,ROUND(BASE_C3+RATE_C3*($A401-BOTT_C3),0),IF($A401&gt;BOTT_C2,ROUND(BASE_C2+RATE_C2*($A401-BOTT_C2),0),ROUND(RATE_C1*$A401,0))))</f>
        <v/>
      </c>
      <c r="G401" s="556">
        <f>IF($A401&gt;BOTT_D4,ROUND(BASE_D4+RATE_D4*($A401-BOTT_D4),0),IF($A401&gt;BOTT_D3,ROUND(BASE_D3+RATE_D3*($A401-BOTT_D3),0),IF($A401&gt;BOTT_D2,ROUND(BASE_D2+RATE_D2*($A401-BOTT_D2),0),ROUND(RATE_D1*$A401,0))))</f>
        <v/>
      </c>
    </row>
    <row r="402" ht="15.75" customHeight="1" s="7635">
      <c r="A402" s="625">
        <f>AVERAGE(B402,C402)</f>
        <v/>
      </c>
      <c r="B402" s="555" t="n">
        <v>16900</v>
      </c>
      <c r="C402" s="555" t="n">
        <v>16950</v>
      </c>
      <c r="D402" s="556">
        <f>IF($A402&gt;BOTT_A4,ROUND(BASE_A4+RATE_A4*($A402-BOTT_A4),0),IF($A402&gt;BOTT_A3,ROUND(BASE_A3+RATE_A3*($A402-BOTT_A3),0),IF($A402&gt;BOTT_A2,ROUND(BASE_A2+RATE_A2*($A402-BOTT_A2),0),ROUND(RATE_A1*$A402,0))))</f>
        <v/>
      </c>
      <c r="E402" s="556">
        <f>IF($A402&gt;BOTT_B4,ROUND(BASE_B4+RATE_B4*($A402-BOTT_B4),0),IF($A402&gt;BOTT_B3,ROUND(BASE_B3+RATE_B3*($A402-BOTT_B3),0),IF($A402&gt;BOTT_B2,ROUND(BASE_B2+RATE_B2*($A402-BOTT_B2),0),ROUND(RATE_B1*$A402,0))))</f>
        <v/>
      </c>
      <c r="F402" s="556">
        <f>IF($A402&gt;BOTT_C4,ROUND(BASE_C4+RATE_C4*($A402-BOTT_C4),0),IF($A402&gt;BOTT_C3,ROUND(BASE_C3+RATE_C3*($A402-BOTT_C3),0),IF($A402&gt;BOTT_C2,ROUND(BASE_C2+RATE_C2*($A402-BOTT_C2),0),ROUND(RATE_C1*$A402,0))))</f>
        <v/>
      </c>
      <c r="G402" s="556">
        <f>IF($A402&gt;BOTT_D4,ROUND(BASE_D4+RATE_D4*($A402-BOTT_D4),0),IF($A402&gt;BOTT_D3,ROUND(BASE_D3+RATE_D3*($A402-BOTT_D3),0),IF($A402&gt;BOTT_D2,ROUND(BASE_D2+RATE_D2*($A402-BOTT_D2),0),ROUND(RATE_D1*$A402,0))))</f>
        <v/>
      </c>
    </row>
    <row r="403" ht="15.75" customHeight="1" s="7635">
      <c r="A403" s="625">
        <f>AVERAGE(B403,C403)</f>
        <v/>
      </c>
      <c r="B403" s="555" t="n">
        <v>16950</v>
      </c>
      <c r="C403" s="555" t="n">
        <v>17000</v>
      </c>
      <c r="D403" s="556">
        <f>IF($A403&gt;BOTT_A4,ROUND(BASE_A4+RATE_A4*($A403-BOTT_A4),0),IF($A403&gt;BOTT_A3,ROUND(BASE_A3+RATE_A3*($A403-BOTT_A3),0),IF($A403&gt;BOTT_A2,ROUND(BASE_A2+RATE_A2*($A403-BOTT_A2),0),ROUND(RATE_A1*$A403,0))))</f>
        <v/>
      </c>
      <c r="E403" s="556">
        <f>IF($A403&gt;BOTT_B4,ROUND(BASE_B4+RATE_B4*($A403-BOTT_B4),0),IF($A403&gt;BOTT_B3,ROUND(BASE_B3+RATE_B3*($A403-BOTT_B3),0),IF($A403&gt;BOTT_B2,ROUND(BASE_B2+RATE_B2*($A403-BOTT_B2),0),ROUND(RATE_B1*$A403,0))))</f>
        <v/>
      </c>
      <c r="F403" s="556">
        <f>IF($A403&gt;BOTT_C4,ROUND(BASE_C4+RATE_C4*($A403-BOTT_C4),0),IF($A403&gt;BOTT_C3,ROUND(BASE_C3+RATE_C3*($A403-BOTT_C3),0),IF($A403&gt;BOTT_C2,ROUND(BASE_C2+RATE_C2*($A403-BOTT_C2),0),ROUND(RATE_C1*$A403,0))))</f>
        <v/>
      </c>
      <c r="G403" s="556">
        <f>IF($A403&gt;BOTT_D4,ROUND(BASE_D4+RATE_D4*($A403-BOTT_D4),0),IF($A403&gt;BOTT_D3,ROUND(BASE_D3+RATE_D3*($A403-BOTT_D3),0),IF($A403&gt;BOTT_D2,ROUND(BASE_D2+RATE_D2*($A403-BOTT_D2),0),ROUND(RATE_D1*$A403,0))))</f>
        <v/>
      </c>
    </row>
    <row r="404" ht="15.75" customHeight="1" s="7635">
      <c r="A404" s="625">
        <f>AVERAGE(B404,C404)</f>
        <v/>
      </c>
      <c r="B404" s="555" t="n">
        <v>17000</v>
      </c>
      <c r="C404" s="555" t="n">
        <v>17050</v>
      </c>
      <c r="D404" s="556">
        <f>IF($A404&gt;BOTT_A4,ROUND(BASE_A4+RATE_A4*($A404-BOTT_A4),0),IF($A404&gt;BOTT_A3,ROUND(BASE_A3+RATE_A3*($A404-BOTT_A3),0),IF($A404&gt;BOTT_A2,ROUND(BASE_A2+RATE_A2*($A404-BOTT_A2),0),ROUND(RATE_A1*$A404,0))))</f>
        <v/>
      </c>
      <c r="E404" s="556">
        <f>IF($A404&gt;BOTT_B4,ROUND(BASE_B4+RATE_B4*($A404-BOTT_B4),0),IF($A404&gt;BOTT_B3,ROUND(BASE_B3+RATE_B3*($A404-BOTT_B3),0),IF($A404&gt;BOTT_B2,ROUND(BASE_B2+RATE_B2*($A404-BOTT_B2),0),ROUND(RATE_B1*$A404,0))))</f>
        <v/>
      </c>
      <c r="F404" s="556">
        <f>IF($A404&gt;BOTT_C4,ROUND(BASE_C4+RATE_C4*($A404-BOTT_C4),0),IF($A404&gt;BOTT_C3,ROUND(BASE_C3+RATE_C3*($A404-BOTT_C3),0),IF($A404&gt;BOTT_C2,ROUND(BASE_C2+RATE_C2*($A404-BOTT_C2),0),ROUND(RATE_C1*$A404,0))))</f>
        <v/>
      </c>
      <c r="G404" s="556">
        <f>IF($A404&gt;BOTT_D4,ROUND(BASE_D4+RATE_D4*($A404-BOTT_D4),0),IF($A404&gt;BOTT_D3,ROUND(BASE_D3+RATE_D3*($A404-BOTT_D3),0),IF($A404&gt;BOTT_D2,ROUND(BASE_D2+RATE_D2*($A404-BOTT_D2),0),ROUND(RATE_D1*$A404,0))))</f>
        <v/>
      </c>
    </row>
    <row r="405" ht="15.75" customHeight="1" s="7635">
      <c r="A405" s="625">
        <f>AVERAGE(B405,C405)</f>
        <v/>
      </c>
      <c r="B405" s="555" t="n">
        <v>17050</v>
      </c>
      <c r="C405" s="555" t="n">
        <v>17100</v>
      </c>
      <c r="D405" s="556">
        <f>IF($A405&gt;BOTT_A4,ROUND(BASE_A4+RATE_A4*($A405-BOTT_A4),0),IF($A405&gt;BOTT_A3,ROUND(BASE_A3+RATE_A3*($A405-BOTT_A3),0),IF($A405&gt;BOTT_A2,ROUND(BASE_A2+RATE_A2*($A405-BOTT_A2),0),ROUND(RATE_A1*$A405,0))))</f>
        <v/>
      </c>
      <c r="E405" s="556">
        <f>IF($A405&gt;BOTT_B4,ROUND(BASE_B4+RATE_B4*($A405-BOTT_B4),0),IF($A405&gt;BOTT_B3,ROUND(BASE_B3+RATE_B3*($A405-BOTT_B3),0),IF($A405&gt;BOTT_B2,ROUND(BASE_B2+RATE_B2*($A405-BOTT_B2),0),ROUND(RATE_B1*$A405,0))))</f>
        <v/>
      </c>
      <c r="F405" s="556">
        <f>IF($A405&gt;BOTT_C4,ROUND(BASE_C4+RATE_C4*($A405-BOTT_C4),0),IF($A405&gt;BOTT_C3,ROUND(BASE_C3+RATE_C3*($A405-BOTT_C3),0),IF($A405&gt;BOTT_C2,ROUND(BASE_C2+RATE_C2*($A405-BOTT_C2),0),ROUND(RATE_C1*$A405,0))))</f>
        <v/>
      </c>
      <c r="G405" s="556">
        <f>IF($A405&gt;BOTT_D4,ROUND(BASE_D4+RATE_D4*($A405-BOTT_D4),0),IF($A405&gt;BOTT_D3,ROUND(BASE_D3+RATE_D3*($A405-BOTT_D3),0),IF($A405&gt;BOTT_D2,ROUND(BASE_D2+RATE_D2*($A405-BOTT_D2),0),ROUND(RATE_D1*$A405,0))))</f>
        <v/>
      </c>
    </row>
    <row r="406" ht="15.75" customHeight="1" s="7635">
      <c r="A406" s="625">
        <f>AVERAGE(B406,C406)</f>
        <v/>
      </c>
      <c r="B406" s="555" t="n">
        <v>17100</v>
      </c>
      <c r="C406" s="555" t="n">
        <v>17150</v>
      </c>
      <c r="D406" s="556">
        <f>IF($A406&gt;BOTT_A4,ROUND(BASE_A4+RATE_A4*($A406-BOTT_A4),0),IF($A406&gt;BOTT_A3,ROUND(BASE_A3+RATE_A3*($A406-BOTT_A3),0),IF($A406&gt;BOTT_A2,ROUND(BASE_A2+RATE_A2*($A406-BOTT_A2),0),ROUND(RATE_A1*$A406,0))))</f>
        <v/>
      </c>
      <c r="E406" s="556">
        <f>IF($A406&gt;BOTT_B4,ROUND(BASE_B4+RATE_B4*($A406-BOTT_B4),0),IF($A406&gt;BOTT_B3,ROUND(BASE_B3+RATE_B3*($A406-BOTT_B3),0),IF($A406&gt;BOTT_B2,ROUND(BASE_B2+RATE_B2*($A406-BOTT_B2),0),ROUND(RATE_B1*$A406,0))))</f>
        <v/>
      </c>
      <c r="F406" s="556">
        <f>IF($A406&gt;BOTT_C4,ROUND(BASE_C4+RATE_C4*($A406-BOTT_C4),0),IF($A406&gt;BOTT_C3,ROUND(BASE_C3+RATE_C3*($A406-BOTT_C3),0),IF($A406&gt;BOTT_C2,ROUND(BASE_C2+RATE_C2*($A406-BOTT_C2),0),ROUND(RATE_C1*$A406,0))))</f>
        <v/>
      </c>
      <c r="G406" s="556">
        <f>IF($A406&gt;BOTT_D4,ROUND(BASE_D4+RATE_D4*($A406-BOTT_D4),0),IF($A406&gt;BOTT_D3,ROUND(BASE_D3+RATE_D3*($A406-BOTT_D3),0),IF($A406&gt;BOTT_D2,ROUND(BASE_D2+RATE_D2*($A406-BOTT_D2),0),ROUND(RATE_D1*$A406,0))))</f>
        <v/>
      </c>
    </row>
    <row r="407" ht="15.75" customHeight="1" s="7635">
      <c r="A407" s="625">
        <f>AVERAGE(B407,C407)</f>
        <v/>
      </c>
      <c r="B407" s="555" t="n">
        <v>17150</v>
      </c>
      <c r="C407" s="555" t="n">
        <v>17200</v>
      </c>
      <c r="D407" s="556">
        <f>IF($A407&gt;BOTT_A4,ROUND(BASE_A4+RATE_A4*($A407-BOTT_A4),0),IF($A407&gt;BOTT_A3,ROUND(BASE_A3+RATE_A3*($A407-BOTT_A3),0),IF($A407&gt;BOTT_A2,ROUND(BASE_A2+RATE_A2*($A407-BOTT_A2),0),ROUND(RATE_A1*$A407,0))))</f>
        <v/>
      </c>
      <c r="E407" s="556">
        <f>IF($A407&gt;BOTT_B4,ROUND(BASE_B4+RATE_B4*($A407-BOTT_B4),0),IF($A407&gt;BOTT_B3,ROUND(BASE_B3+RATE_B3*($A407-BOTT_B3),0),IF($A407&gt;BOTT_B2,ROUND(BASE_B2+RATE_B2*($A407-BOTT_B2),0),ROUND(RATE_B1*$A407,0))))</f>
        <v/>
      </c>
      <c r="F407" s="556">
        <f>IF($A407&gt;BOTT_C4,ROUND(BASE_C4+RATE_C4*($A407-BOTT_C4),0),IF($A407&gt;BOTT_C3,ROUND(BASE_C3+RATE_C3*($A407-BOTT_C3),0),IF($A407&gt;BOTT_C2,ROUND(BASE_C2+RATE_C2*($A407-BOTT_C2),0),ROUND(RATE_C1*$A407,0))))</f>
        <v/>
      </c>
      <c r="G407" s="556">
        <f>IF($A407&gt;BOTT_D4,ROUND(BASE_D4+RATE_D4*($A407-BOTT_D4),0),IF($A407&gt;BOTT_D3,ROUND(BASE_D3+RATE_D3*($A407-BOTT_D3),0),IF($A407&gt;BOTT_D2,ROUND(BASE_D2+RATE_D2*($A407-BOTT_D2),0),ROUND(RATE_D1*$A407,0))))</f>
        <v/>
      </c>
    </row>
    <row r="408" ht="15.75" customHeight="1" s="7635">
      <c r="A408" s="625">
        <f>AVERAGE(B408,C408)</f>
        <v/>
      </c>
      <c r="B408" s="555" t="n">
        <v>17200</v>
      </c>
      <c r="C408" s="555" t="n">
        <v>17250</v>
      </c>
      <c r="D408" s="556">
        <f>IF($A408&gt;BOTT_A4,ROUND(BASE_A4+RATE_A4*($A408-BOTT_A4),0),IF($A408&gt;BOTT_A3,ROUND(BASE_A3+RATE_A3*($A408-BOTT_A3),0),IF($A408&gt;BOTT_A2,ROUND(BASE_A2+RATE_A2*($A408-BOTT_A2),0),ROUND(RATE_A1*$A408,0))))</f>
        <v/>
      </c>
      <c r="E408" s="556">
        <f>IF($A408&gt;BOTT_B4,ROUND(BASE_B4+RATE_B4*($A408-BOTT_B4),0),IF($A408&gt;BOTT_B3,ROUND(BASE_B3+RATE_B3*($A408-BOTT_B3),0),IF($A408&gt;BOTT_B2,ROUND(BASE_B2+RATE_B2*($A408-BOTT_B2),0),ROUND(RATE_B1*$A408,0))))</f>
        <v/>
      </c>
      <c r="F408" s="556">
        <f>IF($A408&gt;BOTT_C4,ROUND(BASE_C4+RATE_C4*($A408-BOTT_C4),0),IF($A408&gt;BOTT_C3,ROUND(BASE_C3+RATE_C3*($A408-BOTT_C3),0),IF($A408&gt;BOTT_C2,ROUND(BASE_C2+RATE_C2*($A408-BOTT_C2),0),ROUND(RATE_C1*$A408,0))))</f>
        <v/>
      </c>
      <c r="G408" s="556">
        <f>IF($A408&gt;BOTT_D4,ROUND(BASE_D4+RATE_D4*($A408-BOTT_D4),0),IF($A408&gt;BOTT_D3,ROUND(BASE_D3+RATE_D3*($A408-BOTT_D3),0),IF($A408&gt;BOTT_D2,ROUND(BASE_D2+RATE_D2*($A408-BOTT_D2),0),ROUND(RATE_D1*$A408,0))))</f>
        <v/>
      </c>
    </row>
    <row r="409" ht="15.75" customHeight="1" s="7635">
      <c r="A409" s="625">
        <f>AVERAGE(B409,C409)</f>
        <v/>
      </c>
      <c r="B409" s="555" t="n">
        <v>17250</v>
      </c>
      <c r="C409" s="555" t="n">
        <v>17300</v>
      </c>
      <c r="D409" s="556">
        <f>IF($A409&gt;BOTT_A4,ROUND(BASE_A4+RATE_A4*($A409-BOTT_A4),0),IF($A409&gt;BOTT_A3,ROUND(BASE_A3+RATE_A3*($A409-BOTT_A3),0),IF($A409&gt;BOTT_A2,ROUND(BASE_A2+RATE_A2*($A409-BOTT_A2),0),ROUND(RATE_A1*$A409,0))))</f>
        <v/>
      </c>
      <c r="E409" s="556">
        <f>IF($A409&gt;BOTT_B4,ROUND(BASE_B4+RATE_B4*($A409-BOTT_B4),0),IF($A409&gt;BOTT_B3,ROUND(BASE_B3+RATE_B3*($A409-BOTT_B3),0),IF($A409&gt;BOTT_B2,ROUND(BASE_B2+RATE_B2*($A409-BOTT_B2),0),ROUND(RATE_B1*$A409,0))))</f>
        <v/>
      </c>
      <c r="F409" s="556">
        <f>IF($A409&gt;BOTT_C4,ROUND(BASE_C4+RATE_C4*($A409-BOTT_C4),0),IF($A409&gt;BOTT_C3,ROUND(BASE_C3+RATE_C3*($A409-BOTT_C3),0),IF($A409&gt;BOTT_C2,ROUND(BASE_C2+RATE_C2*($A409-BOTT_C2),0),ROUND(RATE_C1*$A409,0))))</f>
        <v/>
      </c>
      <c r="G409" s="556">
        <f>IF($A409&gt;BOTT_D4,ROUND(BASE_D4+RATE_D4*($A409-BOTT_D4),0),IF($A409&gt;BOTT_D3,ROUND(BASE_D3+RATE_D3*($A409-BOTT_D3),0),IF($A409&gt;BOTT_D2,ROUND(BASE_D2+RATE_D2*($A409-BOTT_D2),0),ROUND(RATE_D1*$A409,0))))</f>
        <v/>
      </c>
    </row>
    <row r="410" ht="15.75" customHeight="1" s="7635">
      <c r="A410" s="625">
        <f>AVERAGE(B410,C410)</f>
        <v/>
      </c>
      <c r="B410" s="555" t="n">
        <v>17300</v>
      </c>
      <c r="C410" s="555" t="n">
        <v>17350</v>
      </c>
      <c r="D410" s="556">
        <f>IF($A410&gt;BOTT_A4,ROUND(BASE_A4+RATE_A4*($A410-BOTT_A4),0),IF($A410&gt;BOTT_A3,ROUND(BASE_A3+RATE_A3*($A410-BOTT_A3),0),IF($A410&gt;BOTT_A2,ROUND(BASE_A2+RATE_A2*($A410-BOTT_A2),0),ROUND(RATE_A1*$A410,0))))</f>
        <v/>
      </c>
      <c r="E410" s="556">
        <f>IF($A410&gt;BOTT_B4,ROUND(BASE_B4+RATE_B4*($A410-BOTT_B4),0),IF($A410&gt;BOTT_B3,ROUND(BASE_B3+RATE_B3*($A410-BOTT_B3),0),IF($A410&gt;BOTT_B2,ROUND(BASE_B2+RATE_B2*($A410-BOTT_B2),0),ROUND(RATE_B1*$A410,0))))</f>
        <v/>
      </c>
      <c r="F410" s="556">
        <f>IF($A410&gt;BOTT_C4,ROUND(BASE_C4+RATE_C4*($A410-BOTT_C4),0),IF($A410&gt;BOTT_C3,ROUND(BASE_C3+RATE_C3*($A410-BOTT_C3),0),IF($A410&gt;BOTT_C2,ROUND(BASE_C2+RATE_C2*($A410-BOTT_C2),0),ROUND(RATE_C1*$A410,0))))</f>
        <v/>
      </c>
      <c r="G410" s="556">
        <f>IF($A410&gt;BOTT_D4,ROUND(BASE_D4+RATE_D4*($A410-BOTT_D4),0),IF($A410&gt;BOTT_D3,ROUND(BASE_D3+RATE_D3*($A410-BOTT_D3),0),IF($A410&gt;BOTT_D2,ROUND(BASE_D2+RATE_D2*($A410-BOTT_D2),0),ROUND(RATE_D1*$A410,0))))</f>
        <v/>
      </c>
    </row>
    <row r="411" ht="15.75" customHeight="1" s="7635">
      <c r="A411" s="625">
        <f>AVERAGE(B411,C411)</f>
        <v/>
      </c>
      <c r="B411" s="555" t="n">
        <v>17350</v>
      </c>
      <c r="C411" s="555" t="n">
        <v>17400</v>
      </c>
      <c r="D411" s="556">
        <f>IF($A411&gt;BOTT_A4,ROUND(BASE_A4+RATE_A4*($A411-BOTT_A4),0),IF($A411&gt;BOTT_A3,ROUND(BASE_A3+RATE_A3*($A411-BOTT_A3),0),IF($A411&gt;BOTT_A2,ROUND(BASE_A2+RATE_A2*($A411-BOTT_A2),0),ROUND(RATE_A1*$A411,0))))</f>
        <v/>
      </c>
      <c r="E411" s="556">
        <f>IF($A411&gt;BOTT_B4,ROUND(BASE_B4+RATE_B4*($A411-BOTT_B4),0),IF($A411&gt;BOTT_B3,ROUND(BASE_B3+RATE_B3*($A411-BOTT_B3),0),IF($A411&gt;BOTT_B2,ROUND(BASE_B2+RATE_B2*($A411-BOTT_B2),0),ROUND(RATE_B1*$A411,0))))</f>
        <v/>
      </c>
      <c r="F411" s="556">
        <f>IF($A411&gt;BOTT_C4,ROUND(BASE_C4+RATE_C4*($A411-BOTT_C4),0),IF($A411&gt;BOTT_C3,ROUND(BASE_C3+RATE_C3*($A411-BOTT_C3),0),IF($A411&gt;BOTT_C2,ROUND(BASE_C2+RATE_C2*($A411-BOTT_C2),0),ROUND(RATE_C1*$A411,0))))</f>
        <v/>
      </c>
      <c r="G411" s="556">
        <f>IF($A411&gt;BOTT_D4,ROUND(BASE_D4+RATE_D4*($A411-BOTT_D4),0),IF($A411&gt;BOTT_D3,ROUND(BASE_D3+RATE_D3*($A411-BOTT_D3),0),IF($A411&gt;BOTT_D2,ROUND(BASE_D2+RATE_D2*($A411-BOTT_D2),0),ROUND(RATE_D1*$A411,0))))</f>
        <v/>
      </c>
    </row>
    <row r="412" ht="15.75" customHeight="1" s="7635">
      <c r="A412" s="625">
        <f>AVERAGE(B412,C412)</f>
        <v/>
      </c>
      <c r="B412" s="555" t="n">
        <v>17400</v>
      </c>
      <c r="C412" s="555" t="n">
        <v>17450</v>
      </c>
      <c r="D412" s="556">
        <f>IF($A412&gt;BOTT_A4,ROUND(BASE_A4+RATE_A4*($A412-BOTT_A4),0),IF($A412&gt;BOTT_A3,ROUND(BASE_A3+RATE_A3*($A412-BOTT_A3),0),IF($A412&gt;BOTT_A2,ROUND(BASE_A2+RATE_A2*($A412-BOTT_A2),0),ROUND(RATE_A1*$A412,0))))</f>
        <v/>
      </c>
      <c r="E412" s="556">
        <f>IF($A412&gt;BOTT_B4,ROUND(BASE_B4+RATE_B4*($A412-BOTT_B4),0),IF($A412&gt;BOTT_B3,ROUND(BASE_B3+RATE_B3*($A412-BOTT_B3),0),IF($A412&gt;BOTT_B2,ROUND(BASE_B2+RATE_B2*($A412-BOTT_B2),0),ROUND(RATE_B1*$A412,0))))</f>
        <v/>
      </c>
      <c r="F412" s="556">
        <f>IF($A412&gt;BOTT_C4,ROUND(BASE_C4+RATE_C4*($A412-BOTT_C4),0),IF($A412&gt;BOTT_C3,ROUND(BASE_C3+RATE_C3*($A412-BOTT_C3),0),IF($A412&gt;BOTT_C2,ROUND(BASE_C2+RATE_C2*($A412-BOTT_C2),0),ROUND(RATE_C1*$A412,0))))</f>
        <v/>
      </c>
      <c r="G412" s="556">
        <f>IF($A412&gt;BOTT_D4,ROUND(BASE_D4+RATE_D4*($A412-BOTT_D4),0),IF($A412&gt;BOTT_D3,ROUND(BASE_D3+RATE_D3*($A412-BOTT_D3),0),IF($A412&gt;BOTT_D2,ROUND(BASE_D2+RATE_D2*($A412-BOTT_D2),0),ROUND(RATE_D1*$A412,0))))</f>
        <v/>
      </c>
    </row>
    <row r="413" ht="15.75" customHeight="1" s="7635">
      <c r="A413" s="625">
        <f>AVERAGE(B413,C413)</f>
        <v/>
      </c>
      <c r="B413" s="555" t="n">
        <v>17450</v>
      </c>
      <c r="C413" s="555" t="n">
        <v>17500</v>
      </c>
      <c r="D413" s="556">
        <f>IF($A413&gt;BOTT_A4,ROUND(BASE_A4+RATE_A4*($A413-BOTT_A4),0),IF($A413&gt;BOTT_A3,ROUND(BASE_A3+RATE_A3*($A413-BOTT_A3),0),IF($A413&gt;BOTT_A2,ROUND(BASE_A2+RATE_A2*($A413-BOTT_A2),0),ROUND(RATE_A1*$A413,0))))</f>
        <v/>
      </c>
      <c r="E413" s="556">
        <f>IF($A413&gt;BOTT_B4,ROUND(BASE_B4+RATE_B4*($A413-BOTT_B4),0),IF($A413&gt;BOTT_B3,ROUND(BASE_B3+RATE_B3*($A413-BOTT_B3),0),IF($A413&gt;BOTT_B2,ROUND(BASE_B2+RATE_B2*($A413-BOTT_B2),0),ROUND(RATE_B1*$A413,0))))</f>
        <v/>
      </c>
      <c r="F413" s="556">
        <f>IF($A413&gt;BOTT_C4,ROUND(BASE_C4+RATE_C4*($A413-BOTT_C4),0),IF($A413&gt;BOTT_C3,ROUND(BASE_C3+RATE_C3*($A413-BOTT_C3),0),IF($A413&gt;BOTT_C2,ROUND(BASE_C2+RATE_C2*($A413-BOTT_C2),0),ROUND(RATE_C1*$A413,0))))</f>
        <v/>
      </c>
      <c r="G413" s="556">
        <f>IF($A413&gt;BOTT_D4,ROUND(BASE_D4+RATE_D4*($A413-BOTT_D4),0),IF($A413&gt;BOTT_D3,ROUND(BASE_D3+RATE_D3*($A413-BOTT_D3),0),IF($A413&gt;BOTT_D2,ROUND(BASE_D2+RATE_D2*($A413-BOTT_D2),0),ROUND(RATE_D1*$A413,0))))</f>
        <v/>
      </c>
    </row>
    <row r="414" ht="15.75" customHeight="1" s="7635">
      <c r="A414" s="625">
        <f>AVERAGE(B414,C414)</f>
        <v/>
      </c>
      <c r="B414" s="555" t="n">
        <v>17500</v>
      </c>
      <c r="C414" s="555" t="n">
        <v>17550</v>
      </c>
      <c r="D414" s="556">
        <f>IF($A414&gt;BOTT_A4,ROUND(BASE_A4+RATE_A4*($A414-BOTT_A4),0),IF($A414&gt;BOTT_A3,ROUND(BASE_A3+RATE_A3*($A414-BOTT_A3),0),IF($A414&gt;BOTT_A2,ROUND(BASE_A2+RATE_A2*($A414-BOTT_A2),0),ROUND(RATE_A1*$A414,0))))</f>
        <v/>
      </c>
      <c r="E414" s="556">
        <f>IF($A414&gt;BOTT_B4,ROUND(BASE_B4+RATE_B4*($A414-BOTT_B4),0),IF($A414&gt;BOTT_B3,ROUND(BASE_B3+RATE_B3*($A414-BOTT_B3),0),IF($A414&gt;BOTT_B2,ROUND(BASE_B2+RATE_B2*($A414-BOTT_B2),0),ROUND(RATE_B1*$A414,0))))</f>
        <v/>
      </c>
      <c r="F414" s="556">
        <f>IF($A414&gt;BOTT_C4,ROUND(BASE_C4+RATE_C4*($A414-BOTT_C4),0),IF($A414&gt;BOTT_C3,ROUND(BASE_C3+RATE_C3*($A414-BOTT_C3),0),IF($A414&gt;BOTT_C2,ROUND(BASE_C2+RATE_C2*($A414-BOTT_C2),0),ROUND(RATE_C1*$A414,0))))</f>
        <v/>
      </c>
      <c r="G414" s="556">
        <f>IF($A414&gt;BOTT_D4,ROUND(BASE_D4+RATE_D4*($A414-BOTT_D4),0),IF($A414&gt;BOTT_D3,ROUND(BASE_D3+RATE_D3*($A414-BOTT_D3),0),IF($A414&gt;BOTT_D2,ROUND(BASE_D2+RATE_D2*($A414-BOTT_D2),0),ROUND(RATE_D1*$A414,0))))</f>
        <v/>
      </c>
    </row>
    <row r="415" ht="15.75" customHeight="1" s="7635">
      <c r="A415" s="625">
        <f>AVERAGE(B415,C415)</f>
        <v/>
      </c>
      <c r="B415" s="555" t="n">
        <v>17550</v>
      </c>
      <c r="C415" s="555" t="n">
        <v>17600</v>
      </c>
      <c r="D415" s="556">
        <f>IF($A415&gt;BOTT_A4,ROUND(BASE_A4+RATE_A4*($A415-BOTT_A4),0),IF($A415&gt;BOTT_A3,ROUND(BASE_A3+RATE_A3*($A415-BOTT_A3),0),IF($A415&gt;BOTT_A2,ROUND(BASE_A2+RATE_A2*($A415-BOTT_A2),0),ROUND(RATE_A1*$A415,0))))</f>
        <v/>
      </c>
      <c r="E415" s="556">
        <f>IF($A415&gt;BOTT_B4,ROUND(BASE_B4+RATE_B4*($A415-BOTT_B4),0),IF($A415&gt;BOTT_B3,ROUND(BASE_B3+RATE_B3*($A415-BOTT_B3),0),IF($A415&gt;BOTT_B2,ROUND(BASE_B2+RATE_B2*($A415-BOTT_B2),0),ROUND(RATE_B1*$A415,0))))</f>
        <v/>
      </c>
      <c r="F415" s="556">
        <f>IF($A415&gt;BOTT_C4,ROUND(BASE_C4+RATE_C4*($A415-BOTT_C4),0),IF($A415&gt;BOTT_C3,ROUND(BASE_C3+RATE_C3*($A415-BOTT_C3),0),IF($A415&gt;BOTT_C2,ROUND(BASE_C2+RATE_C2*($A415-BOTT_C2),0),ROUND(RATE_C1*$A415,0))))</f>
        <v/>
      </c>
      <c r="G415" s="556">
        <f>IF($A415&gt;BOTT_D4,ROUND(BASE_D4+RATE_D4*($A415-BOTT_D4),0),IF($A415&gt;BOTT_D3,ROUND(BASE_D3+RATE_D3*($A415-BOTT_D3),0),IF($A415&gt;BOTT_D2,ROUND(BASE_D2+RATE_D2*($A415-BOTT_D2),0),ROUND(RATE_D1*$A415,0))))</f>
        <v/>
      </c>
    </row>
    <row r="416" ht="15.75" customHeight="1" s="7635">
      <c r="A416" s="625">
        <f>AVERAGE(B416,C416)</f>
        <v/>
      </c>
      <c r="B416" s="555" t="n">
        <v>17600</v>
      </c>
      <c r="C416" s="555" t="n">
        <v>17650</v>
      </c>
      <c r="D416" s="556">
        <f>IF($A416&gt;BOTT_A4,ROUND(BASE_A4+RATE_A4*($A416-BOTT_A4),0),IF($A416&gt;BOTT_A3,ROUND(BASE_A3+RATE_A3*($A416-BOTT_A3),0),IF($A416&gt;BOTT_A2,ROUND(BASE_A2+RATE_A2*($A416-BOTT_A2),0),ROUND(RATE_A1*$A416,0))))</f>
        <v/>
      </c>
      <c r="E416" s="556">
        <f>IF($A416&gt;BOTT_B4,ROUND(BASE_B4+RATE_B4*($A416-BOTT_B4),0),IF($A416&gt;BOTT_B3,ROUND(BASE_B3+RATE_B3*($A416-BOTT_B3),0),IF($A416&gt;BOTT_B2,ROUND(BASE_B2+RATE_B2*($A416-BOTT_B2),0),ROUND(RATE_B1*$A416,0))))</f>
        <v/>
      </c>
      <c r="F416" s="556">
        <f>IF($A416&gt;BOTT_C4,ROUND(BASE_C4+RATE_C4*($A416-BOTT_C4),0),IF($A416&gt;BOTT_C3,ROUND(BASE_C3+RATE_C3*($A416-BOTT_C3),0),IF($A416&gt;BOTT_C2,ROUND(BASE_C2+RATE_C2*($A416-BOTT_C2),0),ROUND(RATE_C1*$A416,0))))</f>
        <v/>
      </c>
      <c r="G416" s="556">
        <f>IF($A416&gt;BOTT_D4,ROUND(BASE_D4+RATE_D4*($A416-BOTT_D4),0),IF($A416&gt;BOTT_D3,ROUND(BASE_D3+RATE_D3*($A416-BOTT_D3),0),IF($A416&gt;BOTT_D2,ROUND(BASE_D2+RATE_D2*($A416-BOTT_D2),0),ROUND(RATE_D1*$A416,0))))</f>
        <v/>
      </c>
    </row>
    <row r="417" ht="15.75" customHeight="1" s="7635">
      <c r="A417" s="625">
        <f>AVERAGE(B417,C417)</f>
        <v/>
      </c>
      <c r="B417" s="555" t="n">
        <v>17650</v>
      </c>
      <c r="C417" s="555" t="n">
        <v>17700</v>
      </c>
      <c r="D417" s="556">
        <f>IF($A417&gt;BOTT_A4,ROUND(BASE_A4+RATE_A4*($A417-BOTT_A4),0),IF($A417&gt;BOTT_A3,ROUND(BASE_A3+RATE_A3*($A417-BOTT_A3),0),IF($A417&gt;BOTT_A2,ROUND(BASE_A2+RATE_A2*($A417-BOTT_A2),0),ROUND(RATE_A1*$A417,0))))</f>
        <v/>
      </c>
      <c r="E417" s="556">
        <f>IF($A417&gt;BOTT_B4,ROUND(BASE_B4+RATE_B4*($A417-BOTT_B4),0),IF($A417&gt;BOTT_B3,ROUND(BASE_B3+RATE_B3*($A417-BOTT_B3),0),IF($A417&gt;BOTT_B2,ROUND(BASE_B2+RATE_B2*($A417-BOTT_B2),0),ROUND(RATE_B1*$A417,0))))</f>
        <v/>
      </c>
      <c r="F417" s="556">
        <f>IF($A417&gt;BOTT_C4,ROUND(BASE_C4+RATE_C4*($A417-BOTT_C4),0),IF($A417&gt;BOTT_C3,ROUND(BASE_C3+RATE_C3*($A417-BOTT_C3),0),IF($A417&gt;BOTT_C2,ROUND(BASE_C2+RATE_C2*($A417-BOTT_C2),0),ROUND(RATE_C1*$A417,0))))</f>
        <v/>
      </c>
      <c r="G417" s="556">
        <f>IF($A417&gt;BOTT_D4,ROUND(BASE_D4+RATE_D4*($A417-BOTT_D4),0),IF($A417&gt;BOTT_D3,ROUND(BASE_D3+RATE_D3*($A417-BOTT_D3),0),IF($A417&gt;BOTT_D2,ROUND(BASE_D2+RATE_D2*($A417-BOTT_D2),0),ROUND(RATE_D1*$A417,0))))</f>
        <v/>
      </c>
    </row>
    <row r="418" ht="15.75" customHeight="1" s="7635">
      <c r="A418" s="625">
        <f>AVERAGE(B418,C418)</f>
        <v/>
      </c>
      <c r="B418" s="555" t="n">
        <v>17700</v>
      </c>
      <c r="C418" s="555" t="n">
        <v>17750</v>
      </c>
      <c r="D418" s="556">
        <f>IF($A418&gt;BOTT_A4,ROUND(BASE_A4+RATE_A4*($A418-BOTT_A4),0),IF($A418&gt;BOTT_A3,ROUND(BASE_A3+RATE_A3*($A418-BOTT_A3),0),IF($A418&gt;BOTT_A2,ROUND(BASE_A2+RATE_A2*($A418-BOTT_A2),0),ROUND(RATE_A1*$A418,0))))</f>
        <v/>
      </c>
      <c r="E418" s="556">
        <f>IF($A418&gt;BOTT_B4,ROUND(BASE_B4+RATE_B4*($A418-BOTT_B4),0),IF($A418&gt;BOTT_B3,ROUND(BASE_B3+RATE_B3*($A418-BOTT_B3),0),IF($A418&gt;BOTT_B2,ROUND(BASE_B2+RATE_B2*($A418-BOTT_B2),0),ROUND(RATE_B1*$A418,0))))</f>
        <v/>
      </c>
      <c r="F418" s="556">
        <f>IF($A418&gt;BOTT_C4,ROUND(BASE_C4+RATE_C4*($A418-BOTT_C4),0),IF($A418&gt;BOTT_C3,ROUND(BASE_C3+RATE_C3*($A418-BOTT_C3),0),IF($A418&gt;BOTT_C2,ROUND(BASE_C2+RATE_C2*($A418-BOTT_C2),0),ROUND(RATE_C1*$A418,0))))</f>
        <v/>
      </c>
      <c r="G418" s="556">
        <f>IF($A418&gt;BOTT_D4,ROUND(BASE_D4+RATE_D4*($A418-BOTT_D4),0),IF($A418&gt;BOTT_D3,ROUND(BASE_D3+RATE_D3*($A418-BOTT_D3),0),IF($A418&gt;BOTT_D2,ROUND(BASE_D2+RATE_D2*($A418-BOTT_D2),0),ROUND(RATE_D1*$A418,0))))</f>
        <v/>
      </c>
    </row>
    <row r="419" ht="15.75" customHeight="1" s="7635">
      <c r="A419" s="625">
        <f>AVERAGE(B419,C419)</f>
        <v/>
      </c>
      <c r="B419" s="555" t="n">
        <v>17750</v>
      </c>
      <c r="C419" s="555" t="n">
        <v>17800</v>
      </c>
      <c r="D419" s="556">
        <f>IF($A419&gt;BOTT_A4,ROUND(BASE_A4+RATE_A4*($A419-BOTT_A4),0),IF($A419&gt;BOTT_A3,ROUND(BASE_A3+RATE_A3*($A419-BOTT_A3),0),IF($A419&gt;BOTT_A2,ROUND(BASE_A2+RATE_A2*($A419-BOTT_A2),0),ROUND(RATE_A1*$A419,0))))</f>
        <v/>
      </c>
      <c r="E419" s="556">
        <f>IF($A419&gt;BOTT_B4,ROUND(BASE_B4+RATE_B4*($A419-BOTT_B4),0),IF($A419&gt;BOTT_B3,ROUND(BASE_B3+RATE_B3*($A419-BOTT_B3),0),IF($A419&gt;BOTT_B2,ROUND(BASE_B2+RATE_B2*($A419-BOTT_B2),0),ROUND(RATE_B1*$A419,0))))</f>
        <v/>
      </c>
      <c r="F419" s="556">
        <f>IF($A419&gt;BOTT_C4,ROUND(BASE_C4+RATE_C4*($A419-BOTT_C4),0),IF($A419&gt;BOTT_C3,ROUND(BASE_C3+RATE_C3*($A419-BOTT_C3),0),IF($A419&gt;BOTT_C2,ROUND(BASE_C2+RATE_C2*($A419-BOTT_C2),0),ROUND(RATE_C1*$A419,0))))</f>
        <v/>
      </c>
      <c r="G419" s="556">
        <f>IF($A419&gt;BOTT_D4,ROUND(BASE_D4+RATE_D4*($A419-BOTT_D4),0),IF($A419&gt;BOTT_D3,ROUND(BASE_D3+RATE_D3*($A419-BOTT_D3),0),IF($A419&gt;BOTT_D2,ROUND(BASE_D2+RATE_D2*($A419-BOTT_D2),0),ROUND(RATE_D1*$A419,0))))</f>
        <v/>
      </c>
    </row>
    <row r="420" ht="15.75" customHeight="1" s="7635">
      <c r="A420" s="625">
        <f>AVERAGE(B420,C420)</f>
        <v/>
      </c>
      <c r="B420" s="555" t="n">
        <v>17800</v>
      </c>
      <c r="C420" s="555" t="n">
        <v>17850</v>
      </c>
      <c r="D420" s="556">
        <f>IF($A420&gt;BOTT_A4,ROUND(BASE_A4+RATE_A4*($A420-BOTT_A4),0),IF($A420&gt;BOTT_A3,ROUND(BASE_A3+RATE_A3*($A420-BOTT_A3),0),IF($A420&gt;BOTT_A2,ROUND(BASE_A2+RATE_A2*($A420-BOTT_A2),0),ROUND(RATE_A1*$A420,0))))</f>
        <v/>
      </c>
      <c r="E420" s="556">
        <f>IF($A420&gt;BOTT_B4,ROUND(BASE_B4+RATE_B4*($A420-BOTT_B4),0),IF($A420&gt;BOTT_B3,ROUND(BASE_B3+RATE_B3*($A420-BOTT_B3),0),IF($A420&gt;BOTT_B2,ROUND(BASE_B2+RATE_B2*($A420-BOTT_B2),0),ROUND(RATE_B1*$A420,0))))</f>
        <v/>
      </c>
      <c r="F420" s="556">
        <f>IF($A420&gt;BOTT_C4,ROUND(BASE_C4+RATE_C4*($A420-BOTT_C4),0),IF($A420&gt;BOTT_C3,ROUND(BASE_C3+RATE_C3*($A420-BOTT_C3),0),IF($A420&gt;BOTT_C2,ROUND(BASE_C2+RATE_C2*($A420-BOTT_C2),0),ROUND(RATE_C1*$A420,0))))</f>
        <v/>
      </c>
      <c r="G420" s="556">
        <f>IF($A420&gt;BOTT_D4,ROUND(BASE_D4+RATE_D4*($A420-BOTT_D4),0),IF($A420&gt;BOTT_D3,ROUND(BASE_D3+RATE_D3*($A420-BOTT_D3),0),IF($A420&gt;BOTT_D2,ROUND(BASE_D2+RATE_D2*($A420-BOTT_D2),0),ROUND(RATE_D1*$A420,0))))</f>
        <v/>
      </c>
    </row>
    <row r="421" ht="15.75" customHeight="1" s="7635">
      <c r="A421" s="625">
        <f>AVERAGE(B421,C421)</f>
        <v/>
      </c>
      <c r="B421" s="555" t="n">
        <v>17850</v>
      </c>
      <c r="C421" s="555" t="n">
        <v>17900</v>
      </c>
      <c r="D421" s="556">
        <f>IF($A421&gt;BOTT_A4,ROUND(BASE_A4+RATE_A4*($A421-BOTT_A4),0),IF($A421&gt;BOTT_A3,ROUND(BASE_A3+RATE_A3*($A421-BOTT_A3),0),IF($A421&gt;BOTT_A2,ROUND(BASE_A2+RATE_A2*($A421-BOTT_A2),0),ROUND(RATE_A1*$A421,0))))</f>
        <v/>
      </c>
      <c r="E421" s="556">
        <f>IF($A421&gt;BOTT_B4,ROUND(BASE_B4+RATE_B4*($A421-BOTT_B4),0),IF($A421&gt;BOTT_B3,ROUND(BASE_B3+RATE_B3*($A421-BOTT_B3),0),IF($A421&gt;BOTT_B2,ROUND(BASE_B2+RATE_B2*($A421-BOTT_B2),0),ROUND(RATE_B1*$A421,0))))</f>
        <v/>
      </c>
      <c r="F421" s="556">
        <f>IF($A421&gt;BOTT_C4,ROUND(BASE_C4+RATE_C4*($A421-BOTT_C4),0),IF($A421&gt;BOTT_C3,ROUND(BASE_C3+RATE_C3*($A421-BOTT_C3),0),IF($A421&gt;BOTT_C2,ROUND(BASE_C2+RATE_C2*($A421-BOTT_C2),0),ROUND(RATE_C1*$A421,0))))</f>
        <v/>
      </c>
      <c r="G421" s="556">
        <f>IF($A421&gt;BOTT_D4,ROUND(BASE_D4+RATE_D4*($A421-BOTT_D4),0),IF($A421&gt;BOTT_D3,ROUND(BASE_D3+RATE_D3*($A421-BOTT_D3),0),IF($A421&gt;BOTT_D2,ROUND(BASE_D2+RATE_D2*($A421-BOTT_D2),0),ROUND(RATE_D1*$A421,0))))</f>
        <v/>
      </c>
    </row>
    <row r="422" ht="15.75" customHeight="1" s="7635">
      <c r="A422" s="625">
        <f>AVERAGE(B422,C422)</f>
        <v/>
      </c>
      <c r="B422" s="555" t="n">
        <v>17900</v>
      </c>
      <c r="C422" s="555" t="n">
        <v>17950</v>
      </c>
      <c r="D422" s="556">
        <f>IF($A422&gt;BOTT_A4,ROUND(BASE_A4+RATE_A4*($A422-BOTT_A4),0),IF($A422&gt;BOTT_A3,ROUND(BASE_A3+RATE_A3*($A422-BOTT_A3),0),IF($A422&gt;BOTT_A2,ROUND(BASE_A2+RATE_A2*($A422-BOTT_A2),0),ROUND(RATE_A1*$A422,0))))</f>
        <v/>
      </c>
      <c r="E422" s="556">
        <f>IF($A422&gt;BOTT_B4,ROUND(BASE_B4+RATE_B4*($A422-BOTT_B4),0),IF($A422&gt;BOTT_B3,ROUND(BASE_B3+RATE_B3*($A422-BOTT_B3),0),IF($A422&gt;BOTT_B2,ROUND(BASE_B2+RATE_B2*($A422-BOTT_B2),0),ROUND(RATE_B1*$A422,0))))</f>
        <v/>
      </c>
      <c r="F422" s="556">
        <f>IF($A422&gt;BOTT_C4,ROUND(BASE_C4+RATE_C4*($A422-BOTT_C4),0),IF($A422&gt;BOTT_C3,ROUND(BASE_C3+RATE_C3*($A422-BOTT_C3),0),IF($A422&gt;BOTT_C2,ROUND(BASE_C2+RATE_C2*($A422-BOTT_C2),0),ROUND(RATE_C1*$A422,0))))</f>
        <v/>
      </c>
      <c r="G422" s="556">
        <f>IF($A422&gt;BOTT_D4,ROUND(BASE_D4+RATE_D4*($A422-BOTT_D4),0),IF($A422&gt;BOTT_D3,ROUND(BASE_D3+RATE_D3*($A422-BOTT_D3),0),IF($A422&gt;BOTT_D2,ROUND(BASE_D2+RATE_D2*($A422-BOTT_D2),0),ROUND(RATE_D1*$A422,0))))</f>
        <v/>
      </c>
    </row>
    <row r="423" ht="15.75" customHeight="1" s="7635">
      <c r="A423" s="625">
        <f>AVERAGE(B423,C423)</f>
        <v/>
      </c>
      <c r="B423" s="555" t="n">
        <v>17950</v>
      </c>
      <c r="C423" s="555" t="n">
        <v>18000</v>
      </c>
      <c r="D423" s="556">
        <f>IF($A423&gt;BOTT_A4,ROUND(BASE_A4+RATE_A4*($A423-BOTT_A4),0),IF($A423&gt;BOTT_A3,ROUND(BASE_A3+RATE_A3*($A423-BOTT_A3),0),IF($A423&gt;BOTT_A2,ROUND(BASE_A2+RATE_A2*($A423-BOTT_A2),0),ROUND(RATE_A1*$A423,0))))</f>
        <v/>
      </c>
      <c r="E423" s="556">
        <f>IF($A423&gt;BOTT_B4,ROUND(BASE_B4+RATE_B4*($A423-BOTT_B4),0),IF($A423&gt;BOTT_B3,ROUND(BASE_B3+RATE_B3*($A423-BOTT_B3),0),IF($A423&gt;BOTT_B2,ROUND(BASE_B2+RATE_B2*($A423-BOTT_B2),0),ROUND(RATE_B1*$A423,0))))</f>
        <v/>
      </c>
      <c r="F423" s="556">
        <f>IF($A423&gt;BOTT_C4,ROUND(BASE_C4+RATE_C4*($A423-BOTT_C4),0),IF($A423&gt;BOTT_C3,ROUND(BASE_C3+RATE_C3*($A423-BOTT_C3),0),IF($A423&gt;BOTT_C2,ROUND(BASE_C2+RATE_C2*($A423-BOTT_C2),0),ROUND(RATE_C1*$A423,0))))</f>
        <v/>
      </c>
      <c r="G423" s="556">
        <f>IF($A423&gt;BOTT_D4,ROUND(BASE_D4+RATE_D4*($A423-BOTT_D4),0),IF($A423&gt;BOTT_D3,ROUND(BASE_D3+RATE_D3*($A423-BOTT_D3),0),IF($A423&gt;BOTT_D2,ROUND(BASE_D2+RATE_D2*($A423-BOTT_D2),0),ROUND(RATE_D1*$A423,0))))</f>
        <v/>
      </c>
    </row>
    <row r="424" ht="15.75" customHeight="1" s="7635">
      <c r="A424" s="625">
        <f>AVERAGE(B424,C424)</f>
        <v/>
      </c>
      <c r="B424" s="555" t="n">
        <v>18000</v>
      </c>
      <c r="C424" s="555" t="n">
        <v>18050</v>
      </c>
      <c r="D424" s="556">
        <f>IF($A424&gt;BOTT_A4,ROUND(BASE_A4+RATE_A4*($A424-BOTT_A4),0),IF($A424&gt;BOTT_A3,ROUND(BASE_A3+RATE_A3*($A424-BOTT_A3),0),IF($A424&gt;BOTT_A2,ROUND(BASE_A2+RATE_A2*($A424-BOTT_A2),0),ROUND(RATE_A1*$A424,0))))</f>
        <v/>
      </c>
      <c r="E424" s="556">
        <f>IF($A424&gt;BOTT_B4,ROUND(BASE_B4+RATE_B4*($A424-BOTT_B4),0),IF($A424&gt;BOTT_B3,ROUND(BASE_B3+RATE_B3*($A424-BOTT_B3),0),IF($A424&gt;BOTT_B2,ROUND(BASE_B2+RATE_B2*($A424-BOTT_B2),0),ROUND(RATE_B1*$A424,0))))</f>
        <v/>
      </c>
      <c r="F424" s="556">
        <f>IF($A424&gt;BOTT_C4,ROUND(BASE_C4+RATE_C4*($A424-BOTT_C4),0),IF($A424&gt;BOTT_C3,ROUND(BASE_C3+RATE_C3*($A424-BOTT_C3),0),IF($A424&gt;BOTT_C2,ROUND(BASE_C2+RATE_C2*($A424-BOTT_C2),0),ROUND(RATE_C1*$A424,0))))</f>
        <v/>
      </c>
      <c r="G424" s="556">
        <f>IF($A424&gt;BOTT_D4,ROUND(BASE_D4+RATE_D4*($A424-BOTT_D4),0),IF($A424&gt;BOTT_D3,ROUND(BASE_D3+RATE_D3*($A424-BOTT_D3),0),IF($A424&gt;BOTT_D2,ROUND(BASE_D2+RATE_D2*($A424-BOTT_D2),0),ROUND(RATE_D1*$A424,0))))</f>
        <v/>
      </c>
    </row>
    <row r="425" ht="15.75" customHeight="1" s="7635">
      <c r="A425" s="625">
        <f>AVERAGE(B425,C425)</f>
        <v/>
      </c>
      <c r="B425" s="555" t="n">
        <v>18050</v>
      </c>
      <c r="C425" s="555" t="n">
        <v>18100</v>
      </c>
      <c r="D425" s="556">
        <f>IF($A425&gt;BOTT_A4,ROUND(BASE_A4+RATE_A4*($A425-BOTT_A4),0),IF($A425&gt;BOTT_A3,ROUND(BASE_A3+RATE_A3*($A425-BOTT_A3),0),IF($A425&gt;BOTT_A2,ROUND(BASE_A2+RATE_A2*($A425-BOTT_A2),0),ROUND(RATE_A1*$A425,0))))</f>
        <v/>
      </c>
      <c r="E425" s="556">
        <f>IF($A425&gt;BOTT_B4,ROUND(BASE_B4+RATE_B4*($A425-BOTT_B4),0),IF($A425&gt;BOTT_B3,ROUND(BASE_B3+RATE_B3*($A425-BOTT_B3),0),IF($A425&gt;BOTT_B2,ROUND(BASE_B2+RATE_B2*($A425-BOTT_B2),0),ROUND(RATE_B1*$A425,0))))</f>
        <v/>
      </c>
      <c r="F425" s="556">
        <f>IF($A425&gt;BOTT_C4,ROUND(BASE_C4+RATE_C4*($A425-BOTT_C4),0),IF($A425&gt;BOTT_C3,ROUND(BASE_C3+RATE_C3*($A425-BOTT_C3),0),IF($A425&gt;BOTT_C2,ROUND(BASE_C2+RATE_C2*($A425-BOTT_C2),0),ROUND(RATE_C1*$A425,0))))</f>
        <v/>
      </c>
      <c r="G425" s="556">
        <f>IF($A425&gt;BOTT_D4,ROUND(BASE_D4+RATE_D4*($A425-BOTT_D4),0),IF($A425&gt;BOTT_D3,ROUND(BASE_D3+RATE_D3*($A425-BOTT_D3),0),IF($A425&gt;BOTT_D2,ROUND(BASE_D2+RATE_D2*($A425-BOTT_D2),0),ROUND(RATE_D1*$A425,0))))</f>
        <v/>
      </c>
    </row>
    <row r="426" ht="15.75" customHeight="1" s="7635">
      <c r="A426" s="625">
        <f>AVERAGE(B426,C426)</f>
        <v/>
      </c>
      <c r="B426" s="555" t="n">
        <v>18100</v>
      </c>
      <c r="C426" s="555" t="n">
        <v>18150</v>
      </c>
      <c r="D426" s="556">
        <f>IF($A426&gt;BOTT_A4,ROUND(BASE_A4+RATE_A4*($A426-BOTT_A4),0),IF($A426&gt;BOTT_A3,ROUND(BASE_A3+RATE_A3*($A426-BOTT_A3),0),IF($A426&gt;BOTT_A2,ROUND(BASE_A2+RATE_A2*($A426-BOTT_A2),0),ROUND(RATE_A1*$A426,0))))</f>
        <v/>
      </c>
      <c r="E426" s="556">
        <f>IF($A426&gt;BOTT_B4,ROUND(BASE_B4+RATE_B4*($A426-BOTT_B4),0),IF($A426&gt;BOTT_B3,ROUND(BASE_B3+RATE_B3*($A426-BOTT_B3),0),IF($A426&gt;BOTT_B2,ROUND(BASE_B2+RATE_B2*($A426-BOTT_B2),0),ROUND(RATE_B1*$A426,0))))</f>
        <v/>
      </c>
      <c r="F426" s="556">
        <f>IF($A426&gt;BOTT_C4,ROUND(BASE_C4+RATE_C4*($A426-BOTT_C4),0),IF($A426&gt;BOTT_C3,ROUND(BASE_C3+RATE_C3*($A426-BOTT_C3),0),IF($A426&gt;BOTT_C2,ROUND(BASE_C2+RATE_C2*($A426-BOTT_C2),0),ROUND(RATE_C1*$A426,0))))</f>
        <v/>
      </c>
      <c r="G426" s="556">
        <f>IF($A426&gt;BOTT_D4,ROUND(BASE_D4+RATE_D4*($A426-BOTT_D4),0),IF($A426&gt;BOTT_D3,ROUND(BASE_D3+RATE_D3*($A426-BOTT_D3),0),IF($A426&gt;BOTT_D2,ROUND(BASE_D2+RATE_D2*($A426-BOTT_D2),0),ROUND(RATE_D1*$A426,0))))</f>
        <v/>
      </c>
    </row>
    <row r="427" ht="15.75" customHeight="1" s="7635">
      <c r="A427" s="625">
        <f>AVERAGE(B427,C427)</f>
        <v/>
      </c>
      <c r="B427" s="555" t="n">
        <v>18150</v>
      </c>
      <c r="C427" s="555" t="n">
        <v>18200</v>
      </c>
      <c r="D427" s="556">
        <f>IF($A427&gt;BOTT_A4,ROUND(BASE_A4+RATE_A4*($A427-BOTT_A4),0),IF($A427&gt;BOTT_A3,ROUND(BASE_A3+RATE_A3*($A427-BOTT_A3),0),IF($A427&gt;BOTT_A2,ROUND(BASE_A2+RATE_A2*($A427-BOTT_A2),0),ROUND(RATE_A1*$A427,0))))</f>
        <v/>
      </c>
      <c r="E427" s="556">
        <f>IF($A427&gt;BOTT_B4,ROUND(BASE_B4+RATE_B4*($A427-BOTT_B4),0),IF($A427&gt;BOTT_B3,ROUND(BASE_B3+RATE_B3*($A427-BOTT_B3),0),IF($A427&gt;BOTT_B2,ROUND(BASE_B2+RATE_B2*($A427-BOTT_B2),0),ROUND(RATE_B1*$A427,0))))</f>
        <v/>
      </c>
      <c r="F427" s="556">
        <f>IF($A427&gt;BOTT_C4,ROUND(BASE_C4+RATE_C4*($A427-BOTT_C4),0),IF($A427&gt;BOTT_C3,ROUND(BASE_C3+RATE_C3*($A427-BOTT_C3),0),IF($A427&gt;BOTT_C2,ROUND(BASE_C2+RATE_C2*($A427-BOTT_C2),0),ROUND(RATE_C1*$A427,0))))</f>
        <v/>
      </c>
      <c r="G427" s="556">
        <f>IF($A427&gt;BOTT_D4,ROUND(BASE_D4+RATE_D4*($A427-BOTT_D4),0),IF($A427&gt;BOTT_D3,ROUND(BASE_D3+RATE_D3*($A427-BOTT_D3),0),IF($A427&gt;BOTT_D2,ROUND(BASE_D2+RATE_D2*($A427-BOTT_D2),0),ROUND(RATE_D1*$A427,0))))</f>
        <v/>
      </c>
    </row>
    <row r="428" ht="15.75" customHeight="1" s="7635">
      <c r="A428" s="625">
        <f>AVERAGE(B428,C428)</f>
        <v/>
      </c>
      <c r="B428" s="555" t="n">
        <v>18200</v>
      </c>
      <c r="C428" s="555" t="n">
        <v>18250</v>
      </c>
      <c r="D428" s="556">
        <f>IF($A428&gt;BOTT_A4,ROUND(BASE_A4+RATE_A4*($A428-BOTT_A4),0),IF($A428&gt;BOTT_A3,ROUND(BASE_A3+RATE_A3*($A428-BOTT_A3),0),IF($A428&gt;BOTT_A2,ROUND(BASE_A2+RATE_A2*($A428-BOTT_A2),0),ROUND(RATE_A1*$A428,0))))</f>
        <v/>
      </c>
      <c r="E428" s="556">
        <f>IF($A428&gt;BOTT_B4,ROUND(BASE_B4+RATE_B4*($A428-BOTT_B4),0),IF($A428&gt;BOTT_B3,ROUND(BASE_B3+RATE_B3*($A428-BOTT_B3),0),IF($A428&gt;BOTT_B2,ROUND(BASE_B2+RATE_B2*($A428-BOTT_B2),0),ROUND(RATE_B1*$A428,0))))</f>
        <v/>
      </c>
      <c r="F428" s="556">
        <f>IF($A428&gt;BOTT_C4,ROUND(BASE_C4+RATE_C4*($A428-BOTT_C4),0),IF($A428&gt;BOTT_C3,ROUND(BASE_C3+RATE_C3*($A428-BOTT_C3),0),IF($A428&gt;BOTT_C2,ROUND(BASE_C2+RATE_C2*($A428-BOTT_C2),0),ROUND(RATE_C1*$A428,0))))</f>
        <v/>
      </c>
      <c r="G428" s="556">
        <f>IF($A428&gt;BOTT_D4,ROUND(BASE_D4+RATE_D4*($A428-BOTT_D4),0),IF($A428&gt;BOTT_D3,ROUND(BASE_D3+RATE_D3*($A428-BOTT_D3),0),IF($A428&gt;BOTT_D2,ROUND(BASE_D2+RATE_D2*($A428-BOTT_D2),0),ROUND(RATE_D1*$A428,0))))</f>
        <v/>
      </c>
    </row>
    <row r="429" ht="15.75" customHeight="1" s="7635">
      <c r="A429" s="625">
        <f>AVERAGE(B429,C429)</f>
        <v/>
      </c>
      <c r="B429" s="555" t="n">
        <v>18250</v>
      </c>
      <c r="C429" s="555" t="n">
        <v>18300</v>
      </c>
      <c r="D429" s="556">
        <f>IF($A429&gt;BOTT_A4,ROUND(BASE_A4+RATE_A4*($A429-BOTT_A4),0),IF($A429&gt;BOTT_A3,ROUND(BASE_A3+RATE_A3*($A429-BOTT_A3),0),IF($A429&gt;BOTT_A2,ROUND(BASE_A2+RATE_A2*($A429-BOTT_A2),0),ROUND(RATE_A1*$A429,0))))</f>
        <v/>
      </c>
      <c r="E429" s="556">
        <f>IF($A429&gt;BOTT_B4,ROUND(BASE_B4+RATE_B4*($A429-BOTT_B4),0),IF($A429&gt;BOTT_B3,ROUND(BASE_B3+RATE_B3*($A429-BOTT_B3),0),IF($A429&gt;BOTT_B2,ROUND(BASE_B2+RATE_B2*($A429-BOTT_B2),0),ROUND(RATE_B1*$A429,0))))</f>
        <v/>
      </c>
      <c r="F429" s="556">
        <f>IF($A429&gt;BOTT_C4,ROUND(BASE_C4+RATE_C4*($A429-BOTT_C4),0),IF($A429&gt;BOTT_C3,ROUND(BASE_C3+RATE_C3*($A429-BOTT_C3),0),IF($A429&gt;BOTT_C2,ROUND(BASE_C2+RATE_C2*($A429-BOTT_C2),0),ROUND(RATE_C1*$A429,0))))</f>
        <v/>
      </c>
      <c r="G429" s="556">
        <f>IF($A429&gt;BOTT_D4,ROUND(BASE_D4+RATE_D4*($A429-BOTT_D4),0),IF($A429&gt;BOTT_D3,ROUND(BASE_D3+RATE_D3*($A429-BOTT_D3),0),IF($A429&gt;BOTT_D2,ROUND(BASE_D2+RATE_D2*($A429-BOTT_D2),0),ROUND(RATE_D1*$A429,0))))</f>
        <v/>
      </c>
    </row>
    <row r="430" ht="15.75" customHeight="1" s="7635">
      <c r="A430" s="625">
        <f>AVERAGE(B430,C430)</f>
        <v/>
      </c>
      <c r="B430" s="555" t="n">
        <v>18300</v>
      </c>
      <c r="C430" s="555" t="n">
        <v>18350</v>
      </c>
      <c r="D430" s="556">
        <f>IF($A430&gt;BOTT_A4,ROUND(BASE_A4+RATE_A4*($A430-BOTT_A4),0),IF($A430&gt;BOTT_A3,ROUND(BASE_A3+RATE_A3*($A430-BOTT_A3),0),IF($A430&gt;BOTT_A2,ROUND(BASE_A2+RATE_A2*($A430-BOTT_A2),0),ROUND(RATE_A1*$A430,0))))</f>
        <v/>
      </c>
      <c r="E430" s="556">
        <f>IF($A430&gt;BOTT_B4,ROUND(BASE_B4+RATE_B4*($A430-BOTT_B4),0),IF($A430&gt;BOTT_B3,ROUND(BASE_B3+RATE_B3*($A430-BOTT_B3),0),IF($A430&gt;BOTT_B2,ROUND(BASE_B2+RATE_B2*($A430-BOTT_B2),0),ROUND(RATE_B1*$A430,0))))</f>
        <v/>
      </c>
      <c r="F430" s="556">
        <f>IF($A430&gt;BOTT_C4,ROUND(BASE_C4+RATE_C4*($A430-BOTT_C4),0),IF($A430&gt;BOTT_C3,ROUND(BASE_C3+RATE_C3*($A430-BOTT_C3),0),IF($A430&gt;BOTT_C2,ROUND(BASE_C2+RATE_C2*($A430-BOTT_C2),0),ROUND(RATE_C1*$A430,0))))</f>
        <v/>
      </c>
      <c r="G430" s="556">
        <f>IF($A430&gt;BOTT_D4,ROUND(BASE_D4+RATE_D4*($A430-BOTT_D4),0),IF($A430&gt;BOTT_D3,ROUND(BASE_D3+RATE_D3*($A430-BOTT_D3),0),IF($A430&gt;BOTT_D2,ROUND(BASE_D2+RATE_D2*($A430-BOTT_D2),0),ROUND(RATE_D1*$A430,0))))</f>
        <v/>
      </c>
    </row>
    <row r="431" ht="15.75" customHeight="1" s="7635">
      <c r="A431" s="625">
        <f>AVERAGE(B431,C431)</f>
        <v/>
      </c>
      <c r="B431" s="555" t="n">
        <v>18350</v>
      </c>
      <c r="C431" s="555" t="n">
        <v>18400</v>
      </c>
      <c r="D431" s="556">
        <f>IF($A431&gt;BOTT_A4,ROUND(BASE_A4+RATE_A4*($A431-BOTT_A4),0),IF($A431&gt;BOTT_A3,ROUND(BASE_A3+RATE_A3*($A431-BOTT_A3),0),IF($A431&gt;BOTT_A2,ROUND(BASE_A2+RATE_A2*($A431-BOTT_A2),0),ROUND(RATE_A1*$A431,0))))</f>
        <v/>
      </c>
      <c r="E431" s="556">
        <f>IF($A431&gt;BOTT_B4,ROUND(BASE_B4+RATE_B4*($A431-BOTT_B4),0),IF($A431&gt;BOTT_B3,ROUND(BASE_B3+RATE_B3*($A431-BOTT_B3),0),IF($A431&gt;BOTT_B2,ROUND(BASE_B2+RATE_B2*($A431-BOTT_B2),0),ROUND(RATE_B1*$A431,0))))</f>
        <v/>
      </c>
      <c r="F431" s="556">
        <f>IF($A431&gt;BOTT_C4,ROUND(BASE_C4+RATE_C4*($A431-BOTT_C4),0),IF($A431&gt;BOTT_C3,ROUND(BASE_C3+RATE_C3*($A431-BOTT_C3),0),IF($A431&gt;BOTT_C2,ROUND(BASE_C2+RATE_C2*($A431-BOTT_C2),0),ROUND(RATE_C1*$A431,0))))</f>
        <v/>
      </c>
      <c r="G431" s="556">
        <f>IF($A431&gt;BOTT_D4,ROUND(BASE_D4+RATE_D4*($A431-BOTT_D4),0),IF($A431&gt;BOTT_D3,ROUND(BASE_D3+RATE_D3*($A431-BOTT_D3),0),IF($A431&gt;BOTT_D2,ROUND(BASE_D2+RATE_D2*($A431-BOTT_D2),0),ROUND(RATE_D1*$A431,0))))</f>
        <v/>
      </c>
    </row>
    <row r="432" ht="15.75" customHeight="1" s="7635">
      <c r="A432" s="625">
        <f>AVERAGE(B432,C432)</f>
        <v/>
      </c>
      <c r="B432" s="555" t="n">
        <v>18400</v>
      </c>
      <c r="C432" s="555" t="n">
        <v>18450</v>
      </c>
      <c r="D432" s="556">
        <f>IF($A432&gt;BOTT_A4,ROUND(BASE_A4+RATE_A4*($A432-BOTT_A4),0),IF($A432&gt;BOTT_A3,ROUND(BASE_A3+RATE_A3*($A432-BOTT_A3),0),IF($A432&gt;BOTT_A2,ROUND(BASE_A2+RATE_A2*($A432-BOTT_A2),0),ROUND(RATE_A1*$A432,0))))</f>
        <v/>
      </c>
      <c r="E432" s="556">
        <f>IF($A432&gt;BOTT_B4,ROUND(BASE_B4+RATE_B4*($A432-BOTT_B4),0),IF($A432&gt;BOTT_B3,ROUND(BASE_B3+RATE_B3*($A432-BOTT_B3),0),IF($A432&gt;BOTT_B2,ROUND(BASE_B2+RATE_B2*($A432-BOTT_B2),0),ROUND(RATE_B1*$A432,0))))</f>
        <v/>
      </c>
      <c r="F432" s="556">
        <f>IF($A432&gt;BOTT_C4,ROUND(BASE_C4+RATE_C4*($A432-BOTT_C4),0),IF($A432&gt;BOTT_C3,ROUND(BASE_C3+RATE_C3*($A432-BOTT_C3),0),IF($A432&gt;BOTT_C2,ROUND(BASE_C2+RATE_C2*($A432-BOTT_C2),0),ROUND(RATE_C1*$A432,0))))</f>
        <v/>
      </c>
      <c r="G432" s="556">
        <f>IF($A432&gt;BOTT_D4,ROUND(BASE_D4+RATE_D4*($A432-BOTT_D4),0),IF($A432&gt;BOTT_D3,ROUND(BASE_D3+RATE_D3*($A432-BOTT_D3),0),IF($A432&gt;BOTT_D2,ROUND(BASE_D2+RATE_D2*($A432-BOTT_D2),0),ROUND(RATE_D1*$A432,0))))</f>
        <v/>
      </c>
    </row>
    <row r="433" ht="15.75" customHeight="1" s="7635">
      <c r="A433" s="625">
        <f>AVERAGE(B433,C433)</f>
        <v/>
      </c>
      <c r="B433" s="555" t="n">
        <v>18450</v>
      </c>
      <c r="C433" s="555" t="n">
        <v>18500</v>
      </c>
      <c r="D433" s="556">
        <f>IF($A433&gt;BOTT_A4,ROUND(BASE_A4+RATE_A4*($A433-BOTT_A4),0),IF($A433&gt;BOTT_A3,ROUND(BASE_A3+RATE_A3*($A433-BOTT_A3),0),IF($A433&gt;BOTT_A2,ROUND(BASE_A2+RATE_A2*($A433-BOTT_A2),0),ROUND(RATE_A1*$A433,0))))</f>
        <v/>
      </c>
      <c r="E433" s="556">
        <f>IF($A433&gt;BOTT_B4,ROUND(BASE_B4+RATE_B4*($A433-BOTT_B4),0),IF($A433&gt;BOTT_B3,ROUND(BASE_B3+RATE_B3*($A433-BOTT_B3),0),IF($A433&gt;BOTT_B2,ROUND(BASE_B2+RATE_B2*($A433-BOTT_B2),0),ROUND(RATE_B1*$A433,0))))</f>
        <v/>
      </c>
      <c r="F433" s="556">
        <f>IF($A433&gt;BOTT_C4,ROUND(BASE_C4+RATE_C4*($A433-BOTT_C4),0),IF($A433&gt;BOTT_C3,ROUND(BASE_C3+RATE_C3*($A433-BOTT_C3),0),IF($A433&gt;BOTT_C2,ROUND(BASE_C2+RATE_C2*($A433-BOTT_C2),0),ROUND(RATE_C1*$A433,0))))</f>
        <v/>
      </c>
      <c r="G433" s="556">
        <f>IF($A433&gt;BOTT_D4,ROUND(BASE_D4+RATE_D4*($A433-BOTT_D4),0),IF($A433&gt;BOTT_D3,ROUND(BASE_D3+RATE_D3*($A433-BOTT_D3),0),IF($A433&gt;BOTT_D2,ROUND(BASE_D2+RATE_D2*($A433-BOTT_D2),0),ROUND(RATE_D1*$A433,0))))</f>
        <v/>
      </c>
    </row>
    <row r="434" ht="15.75" customHeight="1" s="7635">
      <c r="A434" s="625">
        <f>AVERAGE(B434,C434)</f>
        <v/>
      </c>
      <c r="B434" s="555" t="n">
        <v>18500</v>
      </c>
      <c r="C434" s="555" t="n">
        <v>18550</v>
      </c>
      <c r="D434" s="556">
        <f>IF($A434&gt;BOTT_A4,ROUND(BASE_A4+RATE_A4*($A434-BOTT_A4),0),IF($A434&gt;BOTT_A3,ROUND(BASE_A3+RATE_A3*($A434-BOTT_A3),0),IF($A434&gt;BOTT_A2,ROUND(BASE_A2+RATE_A2*($A434-BOTT_A2),0),ROUND(RATE_A1*$A434,0))))</f>
        <v/>
      </c>
      <c r="E434" s="556">
        <f>IF($A434&gt;BOTT_B4,ROUND(BASE_B4+RATE_B4*($A434-BOTT_B4),0),IF($A434&gt;BOTT_B3,ROUND(BASE_B3+RATE_B3*($A434-BOTT_B3),0),IF($A434&gt;BOTT_B2,ROUND(BASE_B2+RATE_B2*($A434-BOTT_B2),0),ROUND(RATE_B1*$A434,0))))</f>
        <v/>
      </c>
      <c r="F434" s="556">
        <f>IF($A434&gt;BOTT_C4,ROUND(BASE_C4+RATE_C4*($A434-BOTT_C4),0),IF($A434&gt;BOTT_C3,ROUND(BASE_C3+RATE_C3*($A434-BOTT_C3),0),IF($A434&gt;BOTT_C2,ROUND(BASE_C2+RATE_C2*($A434-BOTT_C2),0),ROUND(RATE_C1*$A434,0))))</f>
        <v/>
      </c>
      <c r="G434" s="556">
        <f>IF($A434&gt;BOTT_D4,ROUND(BASE_D4+RATE_D4*($A434-BOTT_D4),0),IF($A434&gt;BOTT_D3,ROUND(BASE_D3+RATE_D3*($A434-BOTT_D3),0),IF($A434&gt;BOTT_D2,ROUND(BASE_D2+RATE_D2*($A434-BOTT_D2),0),ROUND(RATE_D1*$A434,0))))</f>
        <v/>
      </c>
    </row>
    <row r="435" ht="15.75" customHeight="1" s="7635">
      <c r="A435" s="625">
        <f>AVERAGE(B435,C435)</f>
        <v/>
      </c>
      <c r="B435" s="555" t="n">
        <v>18550</v>
      </c>
      <c r="C435" s="555" t="n">
        <v>18600</v>
      </c>
      <c r="D435" s="556">
        <f>IF($A435&gt;BOTT_A4,ROUND(BASE_A4+RATE_A4*($A435-BOTT_A4),0),IF($A435&gt;BOTT_A3,ROUND(BASE_A3+RATE_A3*($A435-BOTT_A3),0),IF($A435&gt;BOTT_A2,ROUND(BASE_A2+RATE_A2*($A435-BOTT_A2),0),ROUND(RATE_A1*$A435,0))))</f>
        <v/>
      </c>
      <c r="E435" s="556">
        <f>IF($A435&gt;BOTT_B4,ROUND(BASE_B4+RATE_B4*($A435-BOTT_B4),0),IF($A435&gt;BOTT_B3,ROUND(BASE_B3+RATE_B3*($A435-BOTT_B3),0),IF($A435&gt;BOTT_B2,ROUND(BASE_B2+RATE_B2*($A435-BOTT_B2),0),ROUND(RATE_B1*$A435,0))))</f>
        <v/>
      </c>
      <c r="F435" s="556">
        <f>IF($A435&gt;BOTT_C4,ROUND(BASE_C4+RATE_C4*($A435-BOTT_C4),0),IF($A435&gt;BOTT_C3,ROUND(BASE_C3+RATE_C3*($A435-BOTT_C3),0),IF($A435&gt;BOTT_C2,ROUND(BASE_C2+RATE_C2*($A435-BOTT_C2),0),ROUND(RATE_C1*$A435,0))))</f>
        <v/>
      </c>
      <c r="G435" s="556">
        <f>IF($A435&gt;BOTT_D4,ROUND(BASE_D4+RATE_D4*($A435-BOTT_D4),0),IF($A435&gt;BOTT_D3,ROUND(BASE_D3+RATE_D3*($A435-BOTT_D3),0),IF($A435&gt;BOTT_D2,ROUND(BASE_D2+RATE_D2*($A435-BOTT_D2),0),ROUND(RATE_D1*$A435,0))))</f>
        <v/>
      </c>
    </row>
    <row r="436" ht="15.75" customHeight="1" s="7635">
      <c r="A436" s="625">
        <f>AVERAGE(B436,C436)</f>
        <v/>
      </c>
      <c r="B436" s="555" t="n">
        <v>18600</v>
      </c>
      <c r="C436" s="555" t="n">
        <v>18650</v>
      </c>
      <c r="D436" s="556">
        <f>IF($A436&gt;BOTT_A4,ROUND(BASE_A4+RATE_A4*($A436-BOTT_A4),0),IF($A436&gt;BOTT_A3,ROUND(BASE_A3+RATE_A3*($A436-BOTT_A3),0),IF($A436&gt;BOTT_A2,ROUND(BASE_A2+RATE_A2*($A436-BOTT_A2),0),ROUND(RATE_A1*$A436,0))))</f>
        <v/>
      </c>
      <c r="E436" s="556">
        <f>IF($A436&gt;BOTT_B4,ROUND(BASE_B4+RATE_B4*($A436-BOTT_B4),0),IF($A436&gt;BOTT_B3,ROUND(BASE_B3+RATE_B3*($A436-BOTT_B3),0),IF($A436&gt;BOTT_B2,ROUND(BASE_B2+RATE_B2*($A436-BOTT_B2),0),ROUND(RATE_B1*$A436,0))))</f>
        <v/>
      </c>
      <c r="F436" s="556">
        <f>IF($A436&gt;BOTT_C4,ROUND(BASE_C4+RATE_C4*($A436-BOTT_C4),0),IF($A436&gt;BOTT_C3,ROUND(BASE_C3+RATE_C3*($A436-BOTT_C3),0),IF($A436&gt;BOTT_C2,ROUND(BASE_C2+RATE_C2*($A436-BOTT_C2),0),ROUND(RATE_C1*$A436,0))))</f>
        <v/>
      </c>
      <c r="G436" s="556">
        <f>IF($A436&gt;BOTT_D4,ROUND(BASE_D4+RATE_D4*($A436-BOTT_D4),0),IF($A436&gt;BOTT_D3,ROUND(BASE_D3+RATE_D3*($A436-BOTT_D3),0),IF($A436&gt;BOTT_D2,ROUND(BASE_D2+RATE_D2*($A436-BOTT_D2),0),ROUND(RATE_D1*$A436,0))))</f>
        <v/>
      </c>
    </row>
    <row r="437" ht="15.75" customHeight="1" s="7635">
      <c r="A437" s="625">
        <f>AVERAGE(B437,C437)</f>
        <v/>
      </c>
      <c r="B437" s="555" t="n">
        <v>18650</v>
      </c>
      <c r="C437" s="555" t="n">
        <v>18700</v>
      </c>
      <c r="D437" s="556">
        <f>IF($A437&gt;BOTT_A4,ROUND(BASE_A4+RATE_A4*($A437-BOTT_A4),0),IF($A437&gt;BOTT_A3,ROUND(BASE_A3+RATE_A3*($A437-BOTT_A3),0),IF($A437&gt;BOTT_A2,ROUND(BASE_A2+RATE_A2*($A437-BOTT_A2),0),ROUND(RATE_A1*$A437,0))))</f>
        <v/>
      </c>
      <c r="E437" s="556">
        <f>IF($A437&gt;BOTT_B4,ROUND(BASE_B4+RATE_B4*($A437-BOTT_B4),0),IF($A437&gt;BOTT_B3,ROUND(BASE_B3+RATE_B3*($A437-BOTT_B3),0),IF($A437&gt;BOTT_B2,ROUND(BASE_B2+RATE_B2*($A437-BOTT_B2),0),ROUND(RATE_B1*$A437,0))))</f>
        <v/>
      </c>
      <c r="F437" s="556">
        <f>IF($A437&gt;BOTT_C4,ROUND(BASE_C4+RATE_C4*($A437-BOTT_C4),0),IF($A437&gt;BOTT_C3,ROUND(BASE_C3+RATE_C3*($A437-BOTT_C3),0),IF($A437&gt;BOTT_C2,ROUND(BASE_C2+RATE_C2*($A437-BOTT_C2),0),ROUND(RATE_C1*$A437,0))))</f>
        <v/>
      </c>
      <c r="G437" s="556">
        <f>IF($A437&gt;BOTT_D4,ROUND(BASE_D4+RATE_D4*($A437-BOTT_D4),0),IF($A437&gt;BOTT_D3,ROUND(BASE_D3+RATE_D3*($A437-BOTT_D3),0),IF($A437&gt;BOTT_D2,ROUND(BASE_D2+RATE_D2*($A437-BOTT_D2),0),ROUND(RATE_D1*$A437,0))))</f>
        <v/>
      </c>
    </row>
    <row r="438" ht="15.75" customHeight="1" s="7635">
      <c r="A438" s="625">
        <f>AVERAGE(B438,C438)</f>
        <v/>
      </c>
      <c r="B438" s="555" t="n">
        <v>18700</v>
      </c>
      <c r="C438" s="555" t="n">
        <v>18750</v>
      </c>
      <c r="D438" s="556">
        <f>IF($A438&gt;BOTT_A4,ROUND(BASE_A4+RATE_A4*($A438-BOTT_A4),0),IF($A438&gt;BOTT_A3,ROUND(BASE_A3+RATE_A3*($A438-BOTT_A3),0),IF($A438&gt;BOTT_A2,ROUND(BASE_A2+RATE_A2*($A438-BOTT_A2),0),ROUND(RATE_A1*$A438,0))))</f>
        <v/>
      </c>
      <c r="E438" s="556">
        <f>IF($A438&gt;BOTT_B4,ROUND(BASE_B4+RATE_B4*($A438-BOTT_B4),0),IF($A438&gt;BOTT_B3,ROUND(BASE_B3+RATE_B3*($A438-BOTT_B3),0),IF($A438&gt;BOTT_B2,ROUND(BASE_B2+RATE_B2*($A438-BOTT_B2),0),ROUND(RATE_B1*$A438,0))))</f>
        <v/>
      </c>
      <c r="F438" s="556">
        <f>IF($A438&gt;BOTT_C4,ROUND(BASE_C4+RATE_C4*($A438-BOTT_C4),0),IF($A438&gt;BOTT_C3,ROUND(BASE_C3+RATE_C3*($A438-BOTT_C3),0),IF($A438&gt;BOTT_C2,ROUND(BASE_C2+RATE_C2*($A438-BOTT_C2),0),ROUND(RATE_C1*$A438,0))))</f>
        <v/>
      </c>
      <c r="G438" s="556">
        <f>IF($A438&gt;BOTT_D4,ROUND(BASE_D4+RATE_D4*($A438-BOTT_D4),0),IF($A438&gt;BOTT_D3,ROUND(BASE_D3+RATE_D3*($A438-BOTT_D3),0),IF($A438&gt;BOTT_D2,ROUND(BASE_D2+RATE_D2*($A438-BOTT_D2),0),ROUND(RATE_D1*$A438,0))))</f>
        <v/>
      </c>
    </row>
    <row r="439" ht="15.75" customHeight="1" s="7635">
      <c r="A439" s="625">
        <f>AVERAGE(B439,C439)</f>
        <v/>
      </c>
      <c r="B439" s="555" t="n">
        <v>18750</v>
      </c>
      <c r="C439" s="555" t="n">
        <v>18800</v>
      </c>
      <c r="D439" s="556">
        <f>IF($A439&gt;BOTT_A4,ROUND(BASE_A4+RATE_A4*($A439-BOTT_A4),0),IF($A439&gt;BOTT_A3,ROUND(BASE_A3+RATE_A3*($A439-BOTT_A3),0),IF($A439&gt;BOTT_A2,ROUND(BASE_A2+RATE_A2*($A439-BOTT_A2),0),ROUND(RATE_A1*$A439,0))))</f>
        <v/>
      </c>
      <c r="E439" s="556">
        <f>IF($A439&gt;BOTT_B4,ROUND(BASE_B4+RATE_B4*($A439-BOTT_B4),0),IF($A439&gt;BOTT_B3,ROUND(BASE_B3+RATE_B3*($A439-BOTT_B3),0),IF($A439&gt;BOTT_B2,ROUND(BASE_B2+RATE_B2*($A439-BOTT_B2),0),ROUND(RATE_B1*$A439,0))))</f>
        <v/>
      </c>
      <c r="F439" s="556">
        <f>IF($A439&gt;BOTT_C4,ROUND(BASE_C4+RATE_C4*($A439-BOTT_C4),0),IF($A439&gt;BOTT_C3,ROUND(BASE_C3+RATE_C3*($A439-BOTT_C3),0),IF($A439&gt;BOTT_C2,ROUND(BASE_C2+RATE_C2*($A439-BOTT_C2),0),ROUND(RATE_C1*$A439,0))))</f>
        <v/>
      </c>
      <c r="G439" s="556">
        <f>IF($A439&gt;BOTT_D4,ROUND(BASE_D4+RATE_D4*($A439-BOTT_D4),0),IF($A439&gt;BOTT_D3,ROUND(BASE_D3+RATE_D3*($A439-BOTT_D3),0),IF($A439&gt;BOTT_D2,ROUND(BASE_D2+RATE_D2*($A439-BOTT_D2),0),ROUND(RATE_D1*$A439,0))))</f>
        <v/>
      </c>
    </row>
    <row r="440" ht="15.75" customHeight="1" s="7635">
      <c r="A440" s="625">
        <f>AVERAGE(B440,C440)</f>
        <v/>
      </c>
      <c r="B440" s="555" t="n">
        <v>18800</v>
      </c>
      <c r="C440" s="555" t="n">
        <v>18850</v>
      </c>
      <c r="D440" s="556">
        <f>IF($A440&gt;BOTT_A4,ROUND(BASE_A4+RATE_A4*($A440-BOTT_A4),0),IF($A440&gt;BOTT_A3,ROUND(BASE_A3+RATE_A3*($A440-BOTT_A3),0),IF($A440&gt;BOTT_A2,ROUND(BASE_A2+RATE_A2*($A440-BOTT_A2),0),ROUND(RATE_A1*$A440,0))))</f>
        <v/>
      </c>
      <c r="E440" s="556">
        <f>IF($A440&gt;BOTT_B4,ROUND(BASE_B4+RATE_B4*($A440-BOTT_B4),0),IF($A440&gt;BOTT_B3,ROUND(BASE_B3+RATE_B3*($A440-BOTT_B3),0),IF($A440&gt;BOTT_B2,ROUND(BASE_B2+RATE_B2*($A440-BOTT_B2),0),ROUND(RATE_B1*$A440,0))))</f>
        <v/>
      </c>
      <c r="F440" s="556">
        <f>IF($A440&gt;BOTT_C4,ROUND(BASE_C4+RATE_C4*($A440-BOTT_C4),0),IF($A440&gt;BOTT_C3,ROUND(BASE_C3+RATE_C3*($A440-BOTT_C3),0),IF($A440&gt;BOTT_C2,ROUND(BASE_C2+RATE_C2*($A440-BOTT_C2),0),ROUND(RATE_C1*$A440,0))))</f>
        <v/>
      </c>
      <c r="G440" s="556">
        <f>IF($A440&gt;BOTT_D4,ROUND(BASE_D4+RATE_D4*($A440-BOTT_D4),0),IF($A440&gt;BOTT_D3,ROUND(BASE_D3+RATE_D3*($A440-BOTT_D3),0),IF($A440&gt;BOTT_D2,ROUND(BASE_D2+RATE_D2*($A440-BOTT_D2),0),ROUND(RATE_D1*$A440,0))))</f>
        <v/>
      </c>
    </row>
    <row r="441" ht="15.75" customHeight="1" s="7635">
      <c r="A441" s="625">
        <f>AVERAGE(B441,C441)</f>
        <v/>
      </c>
      <c r="B441" s="555" t="n">
        <v>18850</v>
      </c>
      <c r="C441" s="555" t="n">
        <v>18900</v>
      </c>
      <c r="D441" s="556">
        <f>IF($A441&gt;BOTT_A4,ROUND(BASE_A4+RATE_A4*($A441-BOTT_A4),0),IF($A441&gt;BOTT_A3,ROUND(BASE_A3+RATE_A3*($A441-BOTT_A3),0),IF($A441&gt;BOTT_A2,ROUND(BASE_A2+RATE_A2*($A441-BOTT_A2),0),ROUND(RATE_A1*$A441,0))))</f>
        <v/>
      </c>
      <c r="E441" s="556">
        <f>IF($A441&gt;BOTT_B4,ROUND(BASE_B4+RATE_B4*($A441-BOTT_B4),0),IF($A441&gt;BOTT_B3,ROUND(BASE_B3+RATE_B3*($A441-BOTT_B3),0),IF($A441&gt;BOTT_B2,ROUND(BASE_B2+RATE_B2*($A441-BOTT_B2),0),ROUND(RATE_B1*$A441,0))))</f>
        <v/>
      </c>
      <c r="F441" s="556">
        <f>IF($A441&gt;BOTT_C4,ROUND(BASE_C4+RATE_C4*($A441-BOTT_C4),0),IF($A441&gt;BOTT_C3,ROUND(BASE_C3+RATE_C3*($A441-BOTT_C3),0),IF($A441&gt;BOTT_C2,ROUND(BASE_C2+RATE_C2*($A441-BOTT_C2),0),ROUND(RATE_C1*$A441,0))))</f>
        <v/>
      </c>
      <c r="G441" s="556">
        <f>IF($A441&gt;BOTT_D4,ROUND(BASE_D4+RATE_D4*($A441-BOTT_D4),0),IF($A441&gt;BOTT_D3,ROUND(BASE_D3+RATE_D3*($A441-BOTT_D3),0),IF($A441&gt;BOTT_D2,ROUND(BASE_D2+RATE_D2*($A441-BOTT_D2),0),ROUND(RATE_D1*$A441,0))))</f>
        <v/>
      </c>
    </row>
    <row r="442" ht="15.75" customHeight="1" s="7635">
      <c r="A442" s="625">
        <f>AVERAGE(B442,C442)</f>
        <v/>
      </c>
      <c r="B442" s="555" t="n">
        <v>18900</v>
      </c>
      <c r="C442" s="555" t="n">
        <v>18950</v>
      </c>
      <c r="D442" s="556">
        <f>IF($A442&gt;BOTT_A4,ROUND(BASE_A4+RATE_A4*($A442-BOTT_A4),0),IF($A442&gt;BOTT_A3,ROUND(BASE_A3+RATE_A3*($A442-BOTT_A3),0),IF($A442&gt;BOTT_A2,ROUND(BASE_A2+RATE_A2*($A442-BOTT_A2),0),ROUND(RATE_A1*$A442,0))))</f>
        <v/>
      </c>
      <c r="E442" s="556">
        <f>IF($A442&gt;BOTT_B4,ROUND(BASE_B4+RATE_B4*($A442-BOTT_B4),0),IF($A442&gt;BOTT_B3,ROUND(BASE_B3+RATE_B3*($A442-BOTT_B3),0),IF($A442&gt;BOTT_B2,ROUND(BASE_B2+RATE_B2*($A442-BOTT_B2),0),ROUND(RATE_B1*$A442,0))))</f>
        <v/>
      </c>
      <c r="F442" s="556">
        <f>IF($A442&gt;BOTT_C4,ROUND(BASE_C4+RATE_C4*($A442-BOTT_C4),0),IF($A442&gt;BOTT_C3,ROUND(BASE_C3+RATE_C3*($A442-BOTT_C3),0),IF($A442&gt;BOTT_C2,ROUND(BASE_C2+RATE_C2*($A442-BOTT_C2),0),ROUND(RATE_C1*$A442,0))))</f>
        <v/>
      </c>
      <c r="G442" s="556">
        <f>IF($A442&gt;BOTT_D4,ROUND(BASE_D4+RATE_D4*($A442-BOTT_D4),0),IF($A442&gt;BOTT_D3,ROUND(BASE_D3+RATE_D3*($A442-BOTT_D3),0),IF($A442&gt;BOTT_D2,ROUND(BASE_D2+RATE_D2*($A442-BOTT_D2),0),ROUND(RATE_D1*$A442,0))))</f>
        <v/>
      </c>
    </row>
    <row r="443" ht="15.75" customHeight="1" s="7635">
      <c r="A443" s="625">
        <f>AVERAGE(B443,C443)</f>
        <v/>
      </c>
      <c r="B443" s="555" t="n">
        <v>18950</v>
      </c>
      <c r="C443" s="555" t="n">
        <v>19000</v>
      </c>
      <c r="D443" s="556">
        <f>IF($A443&gt;BOTT_A4,ROUND(BASE_A4+RATE_A4*($A443-BOTT_A4),0),IF($A443&gt;BOTT_A3,ROUND(BASE_A3+RATE_A3*($A443-BOTT_A3),0),IF($A443&gt;BOTT_A2,ROUND(BASE_A2+RATE_A2*($A443-BOTT_A2),0),ROUND(RATE_A1*$A443,0))))</f>
        <v/>
      </c>
      <c r="E443" s="556">
        <f>IF($A443&gt;BOTT_B4,ROUND(BASE_B4+RATE_B4*($A443-BOTT_B4),0),IF($A443&gt;BOTT_B3,ROUND(BASE_B3+RATE_B3*($A443-BOTT_B3),0),IF($A443&gt;BOTT_B2,ROUND(BASE_B2+RATE_B2*($A443-BOTT_B2),0),ROUND(RATE_B1*$A443,0))))</f>
        <v/>
      </c>
      <c r="F443" s="556">
        <f>IF($A443&gt;BOTT_C4,ROUND(BASE_C4+RATE_C4*($A443-BOTT_C4),0),IF($A443&gt;BOTT_C3,ROUND(BASE_C3+RATE_C3*($A443-BOTT_C3),0),IF($A443&gt;BOTT_C2,ROUND(BASE_C2+RATE_C2*($A443-BOTT_C2),0),ROUND(RATE_C1*$A443,0))))</f>
        <v/>
      </c>
      <c r="G443" s="556">
        <f>IF($A443&gt;BOTT_D4,ROUND(BASE_D4+RATE_D4*($A443-BOTT_D4),0),IF($A443&gt;BOTT_D3,ROUND(BASE_D3+RATE_D3*($A443-BOTT_D3),0),IF($A443&gt;BOTT_D2,ROUND(BASE_D2+RATE_D2*($A443-BOTT_D2),0),ROUND(RATE_D1*$A443,0))))</f>
        <v/>
      </c>
    </row>
    <row r="444" ht="15.75" customHeight="1" s="7635">
      <c r="A444" s="625">
        <f>AVERAGE(B444,C444)</f>
        <v/>
      </c>
      <c r="B444" s="555" t="n">
        <v>19000</v>
      </c>
      <c r="C444" s="555" t="n">
        <v>19050</v>
      </c>
      <c r="D444" s="556">
        <f>IF($A444&gt;BOTT_A4,ROUND(BASE_A4+RATE_A4*($A444-BOTT_A4),0),IF($A444&gt;BOTT_A3,ROUND(BASE_A3+RATE_A3*($A444-BOTT_A3),0),IF($A444&gt;BOTT_A2,ROUND(BASE_A2+RATE_A2*($A444-BOTT_A2),0),ROUND(RATE_A1*$A444,0))))</f>
        <v/>
      </c>
      <c r="E444" s="556">
        <f>IF($A444&gt;BOTT_B4,ROUND(BASE_B4+RATE_B4*($A444-BOTT_B4),0),IF($A444&gt;BOTT_B3,ROUND(BASE_B3+RATE_B3*($A444-BOTT_B3),0),IF($A444&gt;BOTT_B2,ROUND(BASE_B2+RATE_B2*($A444-BOTT_B2),0),ROUND(RATE_B1*$A444,0))))</f>
        <v/>
      </c>
      <c r="F444" s="556">
        <f>IF($A444&gt;BOTT_C4,ROUND(BASE_C4+RATE_C4*($A444-BOTT_C4),0),IF($A444&gt;BOTT_C3,ROUND(BASE_C3+RATE_C3*($A444-BOTT_C3),0),IF($A444&gt;BOTT_C2,ROUND(BASE_C2+RATE_C2*($A444-BOTT_C2),0),ROUND(RATE_C1*$A444,0))))</f>
        <v/>
      </c>
      <c r="G444" s="556">
        <f>IF($A444&gt;BOTT_D4,ROUND(BASE_D4+RATE_D4*($A444-BOTT_D4),0),IF($A444&gt;BOTT_D3,ROUND(BASE_D3+RATE_D3*($A444-BOTT_D3),0),IF($A444&gt;BOTT_D2,ROUND(BASE_D2+RATE_D2*($A444-BOTT_D2),0),ROUND(RATE_D1*$A444,0))))</f>
        <v/>
      </c>
    </row>
    <row r="445" ht="15.75" customHeight="1" s="7635">
      <c r="A445" s="625">
        <f>AVERAGE(B445,C445)</f>
        <v/>
      </c>
      <c r="B445" s="555" t="n">
        <v>19050</v>
      </c>
      <c r="C445" s="555" t="n">
        <v>19100</v>
      </c>
      <c r="D445" s="556">
        <f>IF($A445&gt;BOTT_A4,ROUND(BASE_A4+RATE_A4*($A445-BOTT_A4),0),IF($A445&gt;BOTT_A3,ROUND(BASE_A3+RATE_A3*($A445-BOTT_A3),0),IF($A445&gt;BOTT_A2,ROUND(BASE_A2+RATE_A2*($A445-BOTT_A2),0),ROUND(RATE_A1*$A445,0))))</f>
        <v/>
      </c>
      <c r="E445" s="556">
        <f>IF($A445&gt;BOTT_B4,ROUND(BASE_B4+RATE_B4*($A445-BOTT_B4),0),IF($A445&gt;BOTT_B3,ROUND(BASE_B3+RATE_B3*($A445-BOTT_B3),0),IF($A445&gt;BOTT_B2,ROUND(BASE_B2+RATE_B2*($A445-BOTT_B2),0),ROUND(RATE_B1*$A445,0))))</f>
        <v/>
      </c>
      <c r="F445" s="556">
        <f>IF($A445&gt;BOTT_C4,ROUND(BASE_C4+RATE_C4*($A445-BOTT_C4),0),IF($A445&gt;BOTT_C3,ROUND(BASE_C3+RATE_C3*($A445-BOTT_C3),0),IF($A445&gt;BOTT_C2,ROUND(BASE_C2+RATE_C2*($A445-BOTT_C2),0),ROUND(RATE_C1*$A445,0))))</f>
        <v/>
      </c>
      <c r="G445" s="556">
        <f>IF($A445&gt;BOTT_D4,ROUND(BASE_D4+RATE_D4*($A445-BOTT_D4),0),IF($A445&gt;BOTT_D3,ROUND(BASE_D3+RATE_D3*($A445-BOTT_D3),0),IF($A445&gt;BOTT_D2,ROUND(BASE_D2+RATE_D2*($A445-BOTT_D2),0),ROUND(RATE_D1*$A445,0))))</f>
        <v/>
      </c>
    </row>
    <row r="446" ht="15.75" customHeight="1" s="7635">
      <c r="A446" s="625">
        <f>AVERAGE(B446,C446)</f>
        <v/>
      </c>
      <c r="B446" s="555" t="n">
        <v>19100</v>
      </c>
      <c r="C446" s="555" t="n">
        <v>19150</v>
      </c>
      <c r="D446" s="556">
        <f>IF($A446&gt;BOTT_A4,ROUND(BASE_A4+RATE_A4*($A446-BOTT_A4),0),IF($A446&gt;BOTT_A3,ROUND(BASE_A3+RATE_A3*($A446-BOTT_A3),0),IF($A446&gt;BOTT_A2,ROUND(BASE_A2+RATE_A2*($A446-BOTT_A2),0),ROUND(RATE_A1*$A446,0))))</f>
        <v/>
      </c>
      <c r="E446" s="556">
        <f>IF($A446&gt;BOTT_B4,ROUND(BASE_B4+RATE_B4*($A446-BOTT_B4),0),IF($A446&gt;BOTT_B3,ROUND(BASE_B3+RATE_B3*($A446-BOTT_B3),0),IF($A446&gt;BOTT_B2,ROUND(BASE_B2+RATE_B2*($A446-BOTT_B2),0),ROUND(RATE_B1*$A446,0))))</f>
        <v/>
      </c>
      <c r="F446" s="556">
        <f>IF($A446&gt;BOTT_C4,ROUND(BASE_C4+RATE_C4*($A446-BOTT_C4),0),IF($A446&gt;BOTT_C3,ROUND(BASE_C3+RATE_C3*($A446-BOTT_C3),0),IF($A446&gt;BOTT_C2,ROUND(BASE_C2+RATE_C2*($A446-BOTT_C2),0),ROUND(RATE_C1*$A446,0))))</f>
        <v/>
      </c>
      <c r="G446" s="556">
        <f>IF($A446&gt;BOTT_D4,ROUND(BASE_D4+RATE_D4*($A446-BOTT_D4),0),IF($A446&gt;BOTT_D3,ROUND(BASE_D3+RATE_D3*($A446-BOTT_D3),0),IF($A446&gt;BOTT_D2,ROUND(BASE_D2+RATE_D2*($A446-BOTT_D2),0),ROUND(RATE_D1*$A446,0))))</f>
        <v/>
      </c>
    </row>
    <row r="447" ht="15.75" customHeight="1" s="7635">
      <c r="A447" s="625">
        <f>AVERAGE(B447,C447)</f>
        <v/>
      </c>
      <c r="B447" s="555" t="n">
        <v>19150</v>
      </c>
      <c r="C447" s="555" t="n">
        <v>19200</v>
      </c>
      <c r="D447" s="556">
        <f>IF($A447&gt;BOTT_A4,ROUND(BASE_A4+RATE_A4*($A447-BOTT_A4),0),IF($A447&gt;BOTT_A3,ROUND(BASE_A3+RATE_A3*($A447-BOTT_A3),0),IF($A447&gt;BOTT_A2,ROUND(BASE_A2+RATE_A2*($A447-BOTT_A2),0),ROUND(RATE_A1*$A447,0))))</f>
        <v/>
      </c>
      <c r="E447" s="556">
        <f>IF($A447&gt;BOTT_B4,ROUND(BASE_B4+RATE_B4*($A447-BOTT_B4),0),IF($A447&gt;BOTT_B3,ROUND(BASE_B3+RATE_B3*($A447-BOTT_B3),0),IF($A447&gt;BOTT_B2,ROUND(BASE_B2+RATE_B2*($A447-BOTT_B2),0),ROUND(RATE_B1*$A447,0))))</f>
        <v/>
      </c>
      <c r="F447" s="556">
        <f>IF($A447&gt;BOTT_C4,ROUND(BASE_C4+RATE_C4*($A447-BOTT_C4),0),IF($A447&gt;BOTT_C3,ROUND(BASE_C3+RATE_C3*($A447-BOTT_C3),0),IF($A447&gt;BOTT_C2,ROUND(BASE_C2+RATE_C2*($A447-BOTT_C2),0),ROUND(RATE_C1*$A447,0))))</f>
        <v/>
      </c>
      <c r="G447" s="556">
        <f>IF($A447&gt;BOTT_D4,ROUND(BASE_D4+RATE_D4*($A447-BOTT_D4),0),IF($A447&gt;BOTT_D3,ROUND(BASE_D3+RATE_D3*($A447-BOTT_D3),0),IF($A447&gt;BOTT_D2,ROUND(BASE_D2+RATE_D2*($A447-BOTT_D2),0),ROUND(RATE_D1*$A447,0))))</f>
        <v/>
      </c>
    </row>
    <row r="448" ht="15.75" customHeight="1" s="7635">
      <c r="A448" s="625">
        <f>AVERAGE(B448,C448)</f>
        <v/>
      </c>
      <c r="B448" s="555" t="n">
        <v>19200</v>
      </c>
      <c r="C448" s="555" t="n">
        <v>19250</v>
      </c>
      <c r="D448" s="556">
        <f>IF($A448&gt;BOTT_A4,ROUND(BASE_A4+RATE_A4*($A448-BOTT_A4),0),IF($A448&gt;BOTT_A3,ROUND(BASE_A3+RATE_A3*($A448-BOTT_A3),0),IF($A448&gt;BOTT_A2,ROUND(BASE_A2+RATE_A2*($A448-BOTT_A2),0),ROUND(RATE_A1*$A448,0))))</f>
        <v/>
      </c>
      <c r="E448" s="556">
        <f>IF($A448&gt;BOTT_B4,ROUND(BASE_B4+RATE_B4*($A448-BOTT_B4),0),IF($A448&gt;BOTT_B3,ROUND(BASE_B3+RATE_B3*($A448-BOTT_B3),0),IF($A448&gt;BOTT_B2,ROUND(BASE_B2+RATE_B2*($A448-BOTT_B2),0),ROUND(RATE_B1*$A448,0))))</f>
        <v/>
      </c>
      <c r="F448" s="556">
        <f>IF($A448&gt;BOTT_C4,ROUND(BASE_C4+RATE_C4*($A448-BOTT_C4),0),IF($A448&gt;BOTT_C3,ROUND(BASE_C3+RATE_C3*($A448-BOTT_C3),0),IF($A448&gt;BOTT_C2,ROUND(BASE_C2+RATE_C2*($A448-BOTT_C2),0),ROUND(RATE_C1*$A448,0))))</f>
        <v/>
      </c>
      <c r="G448" s="556">
        <f>IF($A448&gt;BOTT_D4,ROUND(BASE_D4+RATE_D4*($A448-BOTT_D4),0),IF($A448&gt;BOTT_D3,ROUND(BASE_D3+RATE_D3*($A448-BOTT_D3),0),IF($A448&gt;BOTT_D2,ROUND(BASE_D2+RATE_D2*($A448-BOTT_D2),0),ROUND(RATE_D1*$A448,0))))</f>
        <v/>
      </c>
    </row>
    <row r="449" ht="15.75" customHeight="1" s="7635">
      <c r="A449" s="625">
        <f>AVERAGE(B449,C449)</f>
        <v/>
      </c>
      <c r="B449" s="555" t="n">
        <v>19250</v>
      </c>
      <c r="C449" s="555" t="n">
        <v>19300</v>
      </c>
      <c r="D449" s="556">
        <f>IF($A449&gt;BOTT_A4,ROUND(BASE_A4+RATE_A4*($A449-BOTT_A4),0),IF($A449&gt;BOTT_A3,ROUND(BASE_A3+RATE_A3*($A449-BOTT_A3),0),IF($A449&gt;BOTT_A2,ROUND(BASE_A2+RATE_A2*($A449-BOTT_A2),0),ROUND(RATE_A1*$A449,0))))</f>
        <v/>
      </c>
      <c r="E449" s="556">
        <f>IF($A449&gt;BOTT_B4,ROUND(BASE_B4+RATE_B4*($A449-BOTT_B4),0),IF($A449&gt;BOTT_B3,ROUND(BASE_B3+RATE_B3*($A449-BOTT_B3),0),IF($A449&gt;BOTT_B2,ROUND(BASE_B2+RATE_B2*($A449-BOTT_B2),0),ROUND(RATE_B1*$A449,0))))</f>
        <v/>
      </c>
      <c r="F449" s="556">
        <f>IF($A449&gt;BOTT_C4,ROUND(BASE_C4+RATE_C4*($A449-BOTT_C4),0),IF($A449&gt;BOTT_C3,ROUND(BASE_C3+RATE_C3*($A449-BOTT_C3),0),IF($A449&gt;BOTT_C2,ROUND(BASE_C2+RATE_C2*($A449-BOTT_C2),0),ROUND(RATE_C1*$A449,0))))</f>
        <v/>
      </c>
      <c r="G449" s="556">
        <f>IF($A449&gt;BOTT_D4,ROUND(BASE_D4+RATE_D4*($A449-BOTT_D4),0),IF($A449&gt;BOTT_D3,ROUND(BASE_D3+RATE_D3*($A449-BOTT_D3),0),IF($A449&gt;BOTT_D2,ROUND(BASE_D2+RATE_D2*($A449-BOTT_D2),0),ROUND(RATE_D1*$A449,0))))</f>
        <v/>
      </c>
    </row>
    <row r="450" ht="15.75" customHeight="1" s="7635">
      <c r="A450" s="625">
        <f>AVERAGE(B450,C450)</f>
        <v/>
      </c>
      <c r="B450" s="555" t="n">
        <v>19300</v>
      </c>
      <c r="C450" s="555" t="n">
        <v>19350</v>
      </c>
      <c r="D450" s="556">
        <f>IF($A450&gt;BOTT_A4,ROUND(BASE_A4+RATE_A4*($A450-BOTT_A4),0),IF($A450&gt;BOTT_A3,ROUND(BASE_A3+RATE_A3*($A450-BOTT_A3),0),IF($A450&gt;BOTT_A2,ROUND(BASE_A2+RATE_A2*($A450-BOTT_A2),0),ROUND(RATE_A1*$A450,0))))</f>
        <v/>
      </c>
      <c r="E450" s="556">
        <f>IF($A450&gt;BOTT_B4,ROUND(BASE_B4+RATE_B4*($A450-BOTT_B4),0),IF($A450&gt;BOTT_B3,ROUND(BASE_B3+RATE_B3*($A450-BOTT_B3),0),IF($A450&gt;BOTT_B2,ROUND(BASE_B2+RATE_B2*($A450-BOTT_B2),0),ROUND(RATE_B1*$A450,0))))</f>
        <v/>
      </c>
      <c r="F450" s="556">
        <f>IF($A450&gt;BOTT_C4,ROUND(BASE_C4+RATE_C4*($A450-BOTT_C4),0),IF($A450&gt;BOTT_C3,ROUND(BASE_C3+RATE_C3*($A450-BOTT_C3),0),IF($A450&gt;BOTT_C2,ROUND(BASE_C2+RATE_C2*($A450-BOTT_C2),0),ROUND(RATE_C1*$A450,0))))</f>
        <v/>
      </c>
      <c r="G450" s="556">
        <f>IF($A450&gt;BOTT_D4,ROUND(BASE_D4+RATE_D4*($A450-BOTT_D4),0),IF($A450&gt;BOTT_D3,ROUND(BASE_D3+RATE_D3*($A450-BOTT_D3),0),IF($A450&gt;BOTT_D2,ROUND(BASE_D2+RATE_D2*($A450-BOTT_D2),0),ROUND(RATE_D1*$A450,0))))</f>
        <v/>
      </c>
    </row>
    <row r="451" ht="15.75" customHeight="1" s="7635">
      <c r="A451" s="625">
        <f>AVERAGE(B451,C451)</f>
        <v/>
      </c>
      <c r="B451" s="555" t="n">
        <v>19350</v>
      </c>
      <c r="C451" s="555" t="n">
        <v>19400</v>
      </c>
      <c r="D451" s="556">
        <f>IF($A451&gt;BOTT_A4,ROUND(BASE_A4+RATE_A4*($A451-BOTT_A4),0),IF($A451&gt;BOTT_A3,ROUND(BASE_A3+RATE_A3*($A451-BOTT_A3),0),IF($A451&gt;BOTT_A2,ROUND(BASE_A2+RATE_A2*($A451-BOTT_A2),0),ROUND(RATE_A1*$A451,0))))</f>
        <v/>
      </c>
      <c r="E451" s="556">
        <f>IF($A451&gt;BOTT_B4,ROUND(BASE_B4+RATE_B4*($A451-BOTT_B4),0),IF($A451&gt;BOTT_B3,ROUND(BASE_B3+RATE_B3*($A451-BOTT_B3),0),IF($A451&gt;BOTT_B2,ROUND(BASE_B2+RATE_B2*($A451-BOTT_B2),0),ROUND(RATE_B1*$A451,0))))</f>
        <v/>
      </c>
      <c r="F451" s="556">
        <f>IF($A451&gt;BOTT_C4,ROUND(BASE_C4+RATE_C4*($A451-BOTT_C4),0),IF($A451&gt;BOTT_C3,ROUND(BASE_C3+RATE_C3*($A451-BOTT_C3),0),IF($A451&gt;BOTT_C2,ROUND(BASE_C2+RATE_C2*($A451-BOTT_C2),0),ROUND(RATE_C1*$A451,0))))</f>
        <v/>
      </c>
      <c r="G451" s="556">
        <f>IF($A451&gt;BOTT_D4,ROUND(BASE_D4+RATE_D4*($A451-BOTT_D4),0),IF($A451&gt;BOTT_D3,ROUND(BASE_D3+RATE_D3*($A451-BOTT_D3),0),IF($A451&gt;BOTT_D2,ROUND(BASE_D2+RATE_D2*($A451-BOTT_D2),0),ROUND(RATE_D1*$A451,0))))</f>
        <v/>
      </c>
    </row>
    <row r="452" ht="15.75" customHeight="1" s="7635">
      <c r="A452" s="625">
        <f>AVERAGE(B452,C452)</f>
        <v/>
      </c>
      <c r="B452" s="555" t="n">
        <v>19400</v>
      </c>
      <c r="C452" s="555" t="n">
        <v>19450</v>
      </c>
      <c r="D452" s="556">
        <f>IF($A452&gt;BOTT_A4,ROUND(BASE_A4+RATE_A4*($A452-BOTT_A4),0),IF($A452&gt;BOTT_A3,ROUND(BASE_A3+RATE_A3*($A452-BOTT_A3),0),IF($A452&gt;BOTT_A2,ROUND(BASE_A2+RATE_A2*($A452-BOTT_A2),0),ROUND(RATE_A1*$A452,0))))</f>
        <v/>
      </c>
      <c r="E452" s="556">
        <f>IF($A452&gt;BOTT_B4,ROUND(BASE_B4+RATE_B4*($A452-BOTT_B4),0),IF($A452&gt;BOTT_B3,ROUND(BASE_B3+RATE_B3*($A452-BOTT_B3),0),IF($A452&gt;BOTT_B2,ROUND(BASE_B2+RATE_B2*($A452-BOTT_B2),0),ROUND(RATE_B1*$A452,0))))</f>
        <v/>
      </c>
      <c r="F452" s="556">
        <f>IF($A452&gt;BOTT_C4,ROUND(BASE_C4+RATE_C4*($A452-BOTT_C4),0),IF($A452&gt;BOTT_C3,ROUND(BASE_C3+RATE_C3*($A452-BOTT_C3),0),IF($A452&gt;BOTT_C2,ROUND(BASE_C2+RATE_C2*($A452-BOTT_C2),0),ROUND(RATE_C1*$A452,0))))</f>
        <v/>
      </c>
      <c r="G452" s="556">
        <f>IF($A452&gt;BOTT_D4,ROUND(BASE_D4+RATE_D4*($A452-BOTT_D4),0),IF($A452&gt;BOTT_D3,ROUND(BASE_D3+RATE_D3*($A452-BOTT_D3),0),IF($A452&gt;BOTT_D2,ROUND(BASE_D2+RATE_D2*($A452-BOTT_D2),0),ROUND(RATE_D1*$A452,0))))</f>
        <v/>
      </c>
    </row>
    <row r="453" ht="15.75" customHeight="1" s="7635">
      <c r="A453" s="625">
        <f>AVERAGE(B453,C453)</f>
        <v/>
      </c>
      <c r="B453" s="555" t="n">
        <v>19450</v>
      </c>
      <c r="C453" s="555" t="n">
        <v>19500</v>
      </c>
      <c r="D453" s="556">
        <f>IF($A453&gt;BOTT_A4,ROUND(BASE_A4+RATE_A4*($A453-BOTT_A4),0),IF($A453&gt;BOTT_A3,ROUND(BASE_A3+RATE_A3*($A453-BOTT_A3),0),IF($A453&gt;BOTT_A2,ROUND(BASE_A2+RATE_A2*($A453-BOTT_A2),0),ROUND(RATE_A1*$A453,0))))</f>
        <v/>
      </c>
      <c r="E453" s="556">
        <f>IF($A453&gt;BOTT_B4,ROUND(BASE_B4+RATE_B4*($A453-BOTT_B4),0),IF($A453&gt;BOTT_B3,ROUND(BASE_B3+RATE_B3*($A453-BOTT_B3),0),IF($A453&gt;BOTT_B2,ROUND(BASE_B2+RATE_B2*($A453-BOTT_B2),0),ROUND(RATE_B1*$A453,0))))</f>
        <v/>
      </c>
      <c r="F453" s="556">
        <f>IF($A453&gt;BOTT_C4,ROUND(BASE_C4+RATE_C4*($A453-BOTT_C4),0),IF($A453&gt;BOTT_C3,ROUND(BASE_C3+RATE_C3*($A453-BOTT_C3),0),IF($A453&gt;BOTT_C2,ROUND(BASE_C2+RATE_C2*($A453-BOTT_C2),0),ROUND(RATE_C1*$A453,0))))</f>
        <v/>
      </c>
      <c r="G453" s="556">
        <f>IF($A453&gt;BOTT_D4,ROUND(BASE_D4+RATE_D4*($A453-BOTT_D4),0),IF($A453&gt;BOTT_D3,ROUND(BASE_D3+RATE_D3*($A453-BOTT_D3),0),IF($A453&gt;BOTT_D2,ROUND(BASE_D2+RATE_D2*($A453-BOTT_D2),0),ROUND(RATE_D1*$A453,0))))</f>
        <v/>
      </c>
    </row>
    <row r="454" ht="15.75" customHeight="1" s="7635">
      <c r="A454" s="625">
        <f>AVERAGE(B454,C454)</f>
        <v/>
      </c>
      <c r="B454" s="555" t="n">
        <v>19500</v>
      </c>
      <c r="C454" s="555" t="n">
        <v>19550</v>
      </c>
      <c r="D454" s="556">
        <f>IF($A454&gt;BOTT_A4,ROUND(BASE_A4+RATE_A4*($A454-BOTT_A4),0),IF($A454&gt;BOTT_A3,ROUND(BASE_A3+RATE_A3*($A454-BOTT_A3),0),IF($A454&gt;BOTT_A2,ROUND(BASE_A2+RATE_A2*($A454-BOTT_A2),0),ROUND(RATE_A1*$A454,0))))</f>
        <v/>
      </c>
      <c r="E454" s="556">
        <f>IF($A454&gt;BOTT_B4,ROUND(BASE_B4+RATE_B4*($A454-BOTT_B4),0),IF($A454&gt;BOTT_B3,ROUND(BASE_B3+RATE_B3*($A454-BOTT_B3),0),IF($A454&gt;BOTT_B2,ROUND(BASE_B2+RATE_B2*($A454-BOTT_B2),0),ROUND(RATE_B1*$A454,0))))</f>
        <v/>
      </c>
      <c r="F454" s="556">
        <f>IF($A454&gt;BOTT_C4,ROUND(BASE_C4+RATE_C4*($A454-BOTT_C4),0),IF($A454&gt;BOTT_C3,ROUND(BASE_C3+RATE_C3*($A454-BOTT_C3),0),IF($A454&gt;BOTT_C2,ROUND(BASE_C2+RATE_C2*($A454-BOTT_C2),0),ROUND(RATE_C1*$A454,0))))</f>
        <v/>
      </c>
      <c r="G454" s="556">
        <f>IF($A454&gt;BOTT_D4,ROUND(BASE_D4+RATE_D4*($A454-BOTT_D4),0),IF($A454&gt;BOTT_D3,ROUND(BASE_D3+RATE_D3*($A454-BOTT_D3),0),IF($A454&gt;BOTT_D2,ROUND(BASE_D2+RATE_D2*($A454-BOTT_D2),0),ROUND(RATE_D1*$A454,0))))</f>
        <v/>
      </c>
    </row>
    <row r="455" ht="15.75" customHeight="1" s="7635">
      <c r="A455" s="625">
        <f>AVERAGE(B455,C455)</f>
        <v/>
      </c>
      <c r="B455" s="555" t="n">
        <v>19550</v>
      </c>
      <c r="C455" s="555" t="n">
        <v>19600</v>
      </c>
      <c r="D455" s="556">
        <f>IF($A455&gt;BOTT_A4,ROUND(BASE_A4+RATE_A4*($A455-BOTT_A4),0),IF($A455&gt;BOTT_A3,ROUND(BASE_A3+RATE_A3*($A455-BOTT_A3),0),IF($A455&gt;BOTT_A2,ROUND(BASE_A2+RATE_A2*($A455-BOTT_A2),0),ROUND(RATE_A1*$A455,0))))</f>
        <v/>
      </c>
      <c r="E455" s="556">
        <f>IF($A455&gt;BOTT_B4,ROUND(BASE_B4+RATE_B4*($A455-BOTT_B4),0),IF($A455&gt;BOTT_B3,ROUND(BASE_B3+RATE_B3*($A455-BOTT_B3),0),IF($A455&gt;BOTT_B2,ROUND(BASE_B2+RATE_B2*($A455-BOTT_B2),0),ROUND(RATE_B1*$A455,0))))</f>
        <v/>
      </c>
      <c r="F455" s="556">
        <f>IF($A455&gt;BOTT_C4,ROUND(BASE_C4+RATE_C4*($A455-BOTT_C4),0),IF($A455&gt;BOTT_C3,ROUND(BASE_C3+RATE_C3*($A455-BOTT_C3),0),IF($A455&gt;BOTT_C2,ROUND(BASE_C2+RATE_C2*($A455-BOTT_C2),0),ROUND(RATE_C1*$A455,0))))</f>
        <v/>
      </c>
      <c r="G455" s="556">
        <f>IF($A455&gt;BOTT_D4,ROUND(BASE_D4+RATE_D4*($A455-BOTT_D4),0),IF($A455&gt;BOTT_D3,ROUND(BASE_D3+RATE_D3*($A455-BOTT_D3),0),IF($A455&gt;BOTT_D2,ROUND(BASE_D2+RATE_D2*($A455-BOTT_D2),0),ROUND(RATE_D1*$A455,0))))</f>
        <v/>
      </c>
    </row>
    <row r="456" ht="15.75" customHeight="1" s="7635">
      <c r="A456" s="625">
        <f>AVERAGE(B456,C456)</f>
        <v/>
      </c>
      <c r="B456" s="555" t="n">
        <v>19600</v>
      </c>
      <c r="C456" s="555" t="n">
        <v>19650</v>
      </c>
      <c r="D456" s="556">
        <f>IF($A456&gt;BOTT_A4,ROUND(BASE_A4+RATE_A4*($A456-BOTT_A4),0),IF($A456&gt;BOTT_A3,ROUND(BASE_A3+RATE_A3*($A456-BOTT_A3),0),IF($A456&gt;BOTT_A2,ROUND(BASE_A2+RATE_A2*($A456-BOTT_A2),0),ROUND(RATE_A1*$A456,0))))</f>
        <v/>
      </c>
      <c r="E456" s="556">
        <f>IF($A456&gt;BOTT_B4,ROUND(BASE_B4+RATE_B4*($A456-BOTT_B4),0),IF($A456&gt;BOTT_B3,ROUND(BASE_B3+RATE_B3*($A456-BOTT_B3),0),IF($A456&gt;BOTT_B2,ROUND(BASE_B2+RATE_B2*($A456-BOTT_B2),0),ROUND(RATE_B1*$A456,0))))</f>
        <v/>
      </c>
      <c r="F456" s="556">
        <f>IF($A456&gt;BOTT_C4,ROUND(BASE_C4+RATE_C4*($A456-BOTT_C4),0),IF($A456&gt;BOTT_C3,ROUND(BASE_C3+RATE_C3*($A456-BOTT_C3),0),IF($A456&gt;BOTT_C2,ROUND(BASE_C2+RATE_C2*($A456-BOTT_C2),0),ROUND(RATE_C1*$A456,0))))</f>
        <v/>
      </c>
      <c r="G456" s="556">
        <f>IF($A456&gt;BOTT_D4,ROUND(BASE_D4+RATE_D4*($A456-BOTT_D4),0),IF($A456&gt;BOTT_D3,ROUND(BASE_D3+RATE_D3*($A456-BOTT_D3),0),IF($A456&gt;BOTT_D2,ROUND(BASE_D2+RATE_D2*($A456-BOTT_D2),0),ROUND(RATE_D1*$A456,0))))</f>
        <v/>
      </c>
    </row>
    <row r="457" ht="15.75" customHeight="1" s="7635">
      <c r="A457" s="625">
        <f>AVERAGE(B457,C457)</f>
        <v/>
      </c>
      <c r="B457" s="555" t="n">
        <v>19650</v>
      </c>
      <c r="C457" s="555" t="n">
        <v>19700</v>
      </c>
      <c r="D457" s="556">
        <f>IF($A457&gt;BOTT_A4,ROUND(BASE_A4+RATE_A4*($A457-BOTT_A4),0),IF($A457&gt;BOTT_A3,ROUND(BASE_A3+RATE_A3*($A457-BOTT_A3),0),IF($A457&gt;BOTT_A2,ROUND(BASE_A2+RATE_A2*($A457-BOTT_A2),0),ROUND(RATE_A1*$A457,0))))</f>
        <v/>
      </c>
      <c r="E457" s="556">
        <f>IF($A457&gt;BOTT_B4,ROUND(BASE_B4+RATE_B4*($A457-BOTT_B4),0),IF($A457&gt;BOTT_B3,ROUND(BASE_B3+RATE_B3*($A457-BOTT_B3),0),IF($A457&gt;BOTT_B2,ROUND(BASE_B2+RATE_B2*($A457-BOTT_B2),0),ROUND(RATE_B1*$A457,0))))</f>
        <v/>
      </c>
      <c r="F457" s="556">
        <f>IF($A457&gt;BOTT_C4,ROUND(BASE_C4+RATE_C4*($A457-BOTT_C4),0),IF($A457&gt;BOTT_C3,ROUND(BASE_C3+RATE_C3*($A457-BOTT_C3),0),IF($A457&gt;BOTT_C2,ROUND(BASE_C2+RATE_C2*($A457-BOTT_C2),0),ROUND(RATE_C1*$A457,0))))</f>
        <v/>
      </c>
      <c r="G457" s="556">
        <f>IF($A457&gt;BOTT_D4,ROUND(BASE_D4+RATE_D4*($A457-BOTT_D4),0),IF($A457&gt;BOTT_D3,ROUND(BASE_D3+RATE_D3*($A457-BOTT_D3),0),IF($A457&gt;BOTT_D2,ROUND(BASE_D2+RATE_D2*($A457-BOTT_D2),0),ROUND(RATE_D1*$A457,0))))</f>
        <v/>
      </c>
    </row>
    <row r="458" ht="15.75" customHeight="1" s="7635">
      <c r="A458" s="625">
        <f>AVERAGE(B458,C458)</f>
        <v/>
      </c>
      <c r="B458" s="555" t="n">
        <v>19700</v>
      </c>
      <c r="C458" s="555" t="n">
        <v>19750</v>
      </c>
      <c r="D458" s="556">
        <f>IF($A458&gt;BOTT_A4,ROUND(BASE_A4+RATE_A4*($A458-BOTT_A4),0),IF($A458&gt;BOTT_A3,ROUND(BASE_A3+RATE_A3*($A458-BOTT_A3),0),IF($A458&gt;BOTT_A2,ROUND(BASE_A2+RATE_A2*($A458-BOTT_A2),0),ROUND(RATE_A1*$A458,0))))</f>
        <v/>
      </c>
      <c r="E458" s="556">
        <f>IF($A458&gt;BOTT_B4,ROUND(BASE_B4+RATE_B4*($A458-BOTT_B4),0),IF($A458&gt;BOTT_B3,ROUND(BASE_B3+RATE_B3*($A458-BOTT_B3),0),IF($A458&gt;BOTT_B2,ROUND(BASE_B2+RATE_B2*($A458-BOTT_B2),0),ROUND(RATE_B1*$A458,0))))</f>
        <v/>
      </c>
      <c r="F458" s="556">
        <f>IF($A458&gt;BOTT_C4,ROUND(BASE_C4+RATE_C4*($A458-BOTT_C4),0),IF($A458&gt;BOTT_C3,ROUND(BASE_C3+RATE_C3*($A458-BOTT_C3),0),IF($A458&gt;BOTT_C2,ROUND(BASE_C2+RATE_C2*($A458-BOTT_C2),0),ROUND(RATE_C1*$A458,0))))</f>
        <v/>
      </c>
      <c r="G458" s="556">
        <f>IF($A458&gt;BOTT_D4,ROUND(BASE_D4+RATE_D4*($A458-BOTT_D4),0),IF($A458&gt;BOTT_D3,ROUND(BASE_D3+RATE_D3*($A458-BOTT_D3),0),IF($A458&gt;BOTT_D2,ROUND(BASE_D2+RATE_D2*($A458-BOTT_D2),0),ROUND(RATE_D1*$A458,0))))</f>
        <v/>
      </c>
    </row>
    <row r="459" ht="15.75" customHeight="1" s="7635">
      <c r="A459" s="625">
        <f>AVERAGE(B459,C459)</f>
        <v/>
      </c>
      <c r="B459" s="555" t="n">
        <v>19750</v>
      </c>
      <c r="C459" s="555" t="n">
        <v>19800</v>
      </c>
      <c r="D459" s="556">
        <f>IF($A459&gt;BOTT_A4,ROUND(BASE_A4+RATE_A4*($A459-BOTT_A4),0),IF($A459&gt;BOTT_A3,ROUND(BASE_A3+RATE_A3*($A459-BOTT_A3),0),IF($A459&gt;BOTT_A2,ROUND(BASE_A2+RATE_A2*($A459-BOTT_A2),0),ROUND(RATE_A1*$A459,0))))</f>
        <v/>
      </c>
      <c r="E459" s="556">
        <f>IF($A459&gt;BOTT_B4,ROUND(BASE_B4+RATE_B4*($A459-BOTT_B4),0),IF($A459&gt;BOTT_B3,ROUND(BASE_B3+RATE_B3*($A459-BOTT_B3),0),IF($A459&gt;BOTT_B2,ROUND(BASE_B2+RATE_B2*($A459-BOTT_B2),0),ROUND(RATE_B1*$A459,0))))</f>
        <v/>
      </c>
      <c r="F459" s="556">
        <f>IF($A459&gt;BOTT_C4,ROUND(BASE_C4+RATE_C4*($A459-BOTT_C4),0),IF($A459&gt;BOTT_C3,ROUND(BASE_C3+RATE_C3*($A459-BOTT_C3),0),IF($A459&gt;BOTT_C2,ROUND(BASE_C2+RATE_C2*($A459-BOTT_C2),0),ROUND(RATE_C1*$A459,0))))</f>
        <v/>
      </c>
      <c r="G459" s="556">
        <f>IF($A459&gt;BOTT_D4,ROUND(BASE_D4+RATE_D4*($A459-BOTT_D4),0),IF($A459&gt;BOTT_D3,ROUND(BASE_D3+RATE_D3*($A459-BOTT_D3),0),IF($A459&gt;BOTT_D2,ROUND(BASE_D2+RATE_D2*($A459-BOTT_D2),0),ROUND(RATE_D1*$A459,0))))</f>
        <v/>
      </c>
    </row>
    <row r="460" ht="15.75" customHeight="1" s="7635">
      <c r="A460" s="625">
        <f>AVERAGE(B460,C460)</f>
        <v/>
      </c>
      <c r="B460" s="555" t="n">
        <v>19800</v>
      </c>
      <c r="C460" s="555" t="n">
        <v>19850</v>
      </c>
      <c r="D460" s="556">
        <f>IF($A460&gt;BOTT_A4,ROUND(BASE_A4+RATE_A4*($A460-BOTT_A4),0),IF($A460&gt;BOTT_A3,ROUND(BASE_A3+RATE_A3*($A460-BOTT_A3),0),IF($A460&gt;BOTT_A2,ROUND(BASE_A2+RATE_A2*($A460-BOTT_A2),0),ROUND(RATE_A1*$A460,0))))</f>
        <v/>
      </c>
      <c r="E460" s="556">
        <f>IF($A460&gt;BOTT_B4,ROUND(BASE_B4+RATE_B4*($A460-BOTT_B4),0),IF($A460&gt;BOTT_B3,ROUND(BASE_B3+RATE_B3*($A460-BOTT_B3),0),IF($A460&gt;BOTT_B2,ROUND(BASE_B2+RATE_B2*($A460-BOTT_B2),0),ROUND(RATE_B1*$A460,0))))</f>
        <v/>
      </c>
      <c r="F460" s="556">
        <f>IF($A460&gt;BOTT_C4,ROUND(BASE_C4+RATE_C4*($A460-BOTT_C4),0),IF($A460&gt;BOTT_C3,ROUND(BASE_C3+RATE_C3*($A460-BOTT_C3),0),IF($A460&gt;BOTT_C2,ROUND(BASE_C2+RATE_C2*($A460-BOTT_C2),0),ROUND(RATE_C1*$A460,0))))</f>
        <v/>
      </c>
      <c r="G460" s="556">
        <f>IF($A460&gt;BOTT_D4,ROUND(BASE_D4+RATE_D4*($A460-BOTT_D4),0),IF($A460&gt;BOTT_D3,ROUND(BASE_D3+RATE_D3*($A460-BOTT_D3),0),IF($A460&gt;BOTT_D2,ROUND(BASE_D2+RATE_D2*($A460-BOTT_D2),0),ROUND(RATE_D1*$A460,0))))</f>
        <v/>
      </c>
    </row>
    <row r="461" ht="15.75" customHeight="1" s="7635">
      <c r="A461" s="625">
        <f>AVERAGE(B461,C461)</f>
        <v/>
      </c>
      <c r="B461" s="555" t="n">
        <v>19850</v>
      </c>
      <c r="C461" s="555" t="n">
        <v>19900</v>
      </c>
      <c r="D461" s="556">
        <f>IF($A461&gt;BOTT_A4,ROUND(BASE_A4+RATE_A4*($A461-BOTT_A4),0),IF($A461&gt;BOTT_A3,ROUND(BASE_A3+RATE_A3*($A461-BOTT_A3),0),IF($A461&gt;BOTT_A2,ROUND(BASE_A2+RATE_A2*($A461-BOTT_A2),0),ROUND(RATE_A1*$A461,0))))</f>
        <v/>
      </c>
      <c r="E461" s="556">
        <f>IF($A461&gt;BOTT_B4,ROUND(BASE_B4+RATE_B4*($A461-BOTT_B4),0),IF($A461&gt;BOTT_B3,ROUND(BASE_B3+RATE_B3*($A461-BOTT_B3),0),IF($A461&gt;BOTT_B2,ROUND(BASE_B2+RATE_B2*($A461-BOTT_B2),0),ROUND(RATE_B1*$A461,0))))</f>
        <v/>
      </c>
      <c r="F461" s="556">
        <f>IF($A461&gt;BOTT_C4,ROUND(BASE_C4+RATE_C4*($A461-BOTT_C4),0),IF($A461&gt;BOTT_C3,ROUND(BASE_C3+RATE_C3*($A461-BOTT_C3),0),IF($A461&gt;BOTT_C2,ROUND(BASE_C2+RATE_C2*($A461-BOTT_C2),0),ROUND(RATE_C1*$A461,0))))</f>
        <v/>
      </c>
      <c r="G461" s="556">
        <f>IF($A461&gt;BOTT_D4,ROUND(BASE_D4+RATE_D4*($A461-BOTT_D4),0),IF($A461&gt;BOTT_D3,ROUND(BASE_D3+RATE_D3*($A461-BOTT_D3),0),IF($A461&gt;BOTT_D2,ROUND(BASE_D2+RATE_D2*($A461-BOTT_D2),0),ROUND(RATE_D1*$A461,0))))</f>
        <v/>
      </c>
    </row>
    <row r="462" ht="15.75" customHeight="1" s="7635">
      <c r="A462" s="625">
        <f>AVERAGE(B462,C462)</f>
        <v/>
      </c>
      <c r="B462" s="555" t="n">
        <v>19900</v>
      </c>
      <c r="C462" s="555" t="n">
        <v>19950</v>
      </c>
      <c r="D462" s="556">
        <f>IF($A462&gt;BOTT_A4,ROUND(BASE_A4+RATE_A4*($A462-BOTT_A4),0),IF($A462&gt;BOTT_A3,ROUND(BASE_A3+RATE_A3*($A462-BOTT_A3),0),IF($A462&gt;BOTT_A2,ROUND(BASE_A2+RATE_A2*($A462-BOTT_A2),0),ROUND(RATE_A1*$A462,0))))</f>
        <v/>
      </c>
      <c r="E462" s="556">
        <f>IF($A462&gt;BOTT_B4,ROUND(BASE_B4+RATE_B4*($A462-BOTT_B4),0),IF($A462&gt;BOTT_B3,ROUND(BASE_B3+RATE_B3*($A462-BOTT_B3),0),IF($A462&gt;BOTT_B2,ROUND(BASE_B2+RATE_B2*($A462-BOTT_B2),0),ROUND(RATE_B1*$A462,0))))</f>
        <v/>
      </c>
      <c r="F462" s="556">
        <f>IF($A462&gt;BOTT_C4,ROUND(BASE_C4+RATE_C4*($A462-BOTT_C4),0),IF($A462&gt;BOTT_C3,ROUND(BASE_C3+RATE_C3*($A462-BOTT_C3),0),IF($A462&gt;BOTT_C2,ROUND(BASE_C2+RATE_C2*($A462-BOTT_C2),0),ROUND(RATE_C1*$A462,0))))</f>
        <v/>
      </c>
      <c r="G462" s="556">
        <f>IF($A462&gt;BOTT_D4,ROUND(BASE_D4+RATE_D4*($A462-BOTT_D4),0),IF($A462&gt;BOTT_D3,ROUND(BASE_D3+RATE_D3*($A462-BOTT_D3),0),IF($A462&gt;BOTT_D2,ROUND(BASE_D2+RATE_D2*($A462-BOTT_D2),0),ROUND(RATE_D1*$A462,0))))</f>
        <v/>
      </c>
    </row>
    <row r="463" ht="15.75" customHeight="1" s="7635">
      <c r="A463" s="625">
        <f>AVERAGE(B463,C463)</f>
        <v/>
      </c>
      <c r="B463" s="555" t="n">
        <v>19950</v>
      </c>
      <c r="C463" s="555" t="n">
        <v>20000</v>
      </c>
      <c r="D463" s="556">
        <f>IF($A463&gt;BOTT_A4,ROUND(BASE_A4+RATE_A4*($A463-BOTT_A4),0),IF($A463&gt;BOTT_A3,ROUND(BASE_A3+RATE_A3*($A463-BOTT_A3),0),IF($A463&gt;BOTT_A2,ROUND(BASE_A2+RATE_A2*($A463-BOTT_A2),0),ROUND(RATE_A1*$A463,0))))</f>
        <v/>
      </c>
      <c r="E463" s="556">
        <f>IF($A463&gt;BOTT_B4,ROUND(BASE_B4+RATE_B4*($A463-BOTT_B4),0),IF($A463&gt;BOTT_B3,ROUND(BASE_B3+RATE_B3*($A463-BOTT_B3),0),IF($A463&gt;BOTT_B2,ROUND(BASE_B2+RATE_B2*($A463-BOTT_B2),0),ROUND(RATE_B1*$A463,0))))</f>
        <v/>
      </c>
      <c r="F463" s="556">
        <f>IF($A463&gt;BOTT_C4,ROUND(BASE_C4+RATE_C4*($A463-BOTT_C4),0),IF($A463&gt;BOTT_C3,ROUND(BASE_C3+RATE_C3*($A463-BOTT_C3),0),IF($A463&gt;BOTT_C2,ROUND(BASE_C2+RATE_C2*($A463-BOTT_C2),0),ROUND(RATE_C1*$A463,0))))</f>
        <v/>
      </c>
      <c r="G463" s="556">
        <f>IF($A463&gt;BOTT_D4,ROUND(BASE_D4+RATE_D4*($A463-BOTT_D4),0),IF($A463&gt;BOTT_D3,ROUND(BASE_D3+RATE_D3*($A463-BOTT_D3),0),IF($A463&gt;BOTT_D2,ROUND(BASE_D2+RATE_D2*($A463-BOTT_D2),0),ROUND(RATE_D1*$A463,0))))</f>
        <v/>
      </c>
    </row>
    <row r="464" ht="15.75" customHeight="1" s="7635">
      <c r="A464" s="625">
        <f>AVERAGE(B464,C464)</f>
        <v/>
      </c>
      <c r="B464" s="555" t="n">
        <v>20000</v>
      </c>
      <c r="C464" s="555" t="n">
        <v>20050</v>
      </c>
      <c r="D464" s="556">
        <f>IF($A464&gt;BOTT_A4,ROUND(BASE_A4+RATE_A4*($A464-BOTT_A4),0),IF($A464&gt;BOTT_A3,ROUND(BASE_A3+RATE_A3*($A464-BOTT_A3),0),IF($A464&gt;BOTT_A2,ROUND(BASE_A2+RATE_A2*($A464-BOTT_A2),0),ROUND(RATE_A1*$A464,0))))</f>
        <v/>
      </c>
      <c r="E464" s="556">
        <f>IF($A464&gt;BOTT_B4,ROUND(BASE_B4+RATE_B4*($A464-BOTT_B4),0),IF($A464&gt;BOTT_B3,ROUND(BASE_B3+RATE_B3*($A464-BOTT_B3),0),IF($A464&gt;BOTT_B2,ROUND(BASE_B2+RATE_B2*($A464-BOTT_B2),0),ROUND(RATE_B1*$A464,0))))</f>
        <v/>
      </c>
      <c r="F464" s="556">
        <f>IF($A464&gt;BOTT_C4,ROUND(BASE_C4+RATE_C4*($A464-BOTT_C4),0),IF($A464&gt;BOTT_C3,ROUND(BASE_C3+RATE_C3*($A464-BOTT_C3),0),IF($A464&gt;BOTT_C2,ROUND(BASE_C2+RATE_C2*($A464-BOTT_C2),0),ROUND(RATE_C1*$A464,0))))</f>
        <v/>
      </c>
      <c r="G464" s="556">
        <f>IF($A464&gt;BOTT_D4,ROUND(BASE_D4+RATE_D4*($A464-BOTT_D4),0),IF($A464&gt;BOTT_D3,ROUND(BASE_D3+RATE_D3*($A464-BOTT_D3),0),IF($A464&gt;BOTT_D2,ROUND(BASE_D2+RATE_D2*($A464-BOTT_D2),0),ROUND(RATE_D1*$A464,0))))</f>
        <v/>
      </c>
    </row>
    <row r="465" ht="15.75" customHeight="1" s="7635">
      <c r="A465" s="625">
        <f>AVERAGE(B465,C465)</f>
        <v/>
      </c>
      <c r="B465" s="555" t="n">
        <v>20050</v>
      </c>
      <c r="C465" s="555" t="n">
        <v>20100</v>
      </c>
      <c r="D465" s="556">
        <f>IF($A465&gt;BOTT_A4,ROUND(BASE_A4+RATE_A4*($A465-BOTT_A4),0),IF($A465&gt;BOTT_A3,ROUND(BASE_A3+RATE_A3*($A465-BOTT_A3),0),IF($A465&gt;BOTT_A2,ROUND(BASE_A2+RATE_A2*($A465-BOTT_A2),0),ROUND(RATE_A1*$A465,0))))</f>
        <v/>
      </c>
      <c r="E465" s="556">
        <f>IF($A465&gt;BOTT_B4,ROUND(BASE_B4+RATE_B4*($A465-BOTT_B4),0),IF($A465&gt;BOTT_B3,ROUND(BASE_B3+RATE_B3*($A465-BOTT_B3),0),IF($A465&gt;BOTT_B2,ROUND(BASE_B2+RATE_B2*($A465-BOTT_B2),0),ROUND(RATE_B1*$A465,0))))</f>
        <v/>
      </c>
      <c r="F465" s="556">
        <f>IF($A465&gt;BOTT_C4,ROUND(BASE_C4+RATE_C4*($A465-BOTT_C4),0),IF($A465&gt;BOTT_C3,ROUND(BASE_C3+RATE_C3*($A465-BOTT_C3),0),IF($A465&gt;BOTT_C2,ROUND(BASE_C2+RATE_C2*($A465-BOTT_C2),0),ROUND(RATE_C1*$A465,0))))</f>
        <v/>
      </c>
      <c r="G465" s="556">
        <f>IF($A465&gt;BOTT_D4,ROUND(BASE_D4+RATE_D4*($A465-BOTT_D4),0),IF($A465&gt;BOTT_D3,ROUND(BASE_D3+RATE_D3*($A465-BOTT_D3),0),IF($A465&gt;BOTT_D2,ROUND(BASE_D2+RATE_D2*($A465-BOTT_D2),0),ROUND(RATE_D1*$A465,0))))</f>
        <v/>
      </c>
    </row>
    <row r="466" ht="15.75" customHeight="1" s="7635">
      <c r="A466" s="625">
        <f>AVERAGE(B466,C466)</f>
        <v/>
      </c>
      <c r="B466" s="555" t="n">
        <v>20100</v>
      </c>
      <c r="C466" s="555" t="n">
        <v>20150</v>
      </c>
      <c r="D466" s="556">
        <f>IF($A466&gt;BOTT_A4,ROUND(BASE_A4+RATE_A4*($A466-BOTT_A4),0),IF($A466&gt;BOTT_A3,ROUND(BASE_A3+RATE_A3*($A466-BOTT_A3),0),IF($A466&gt;BOTT_A2,ROUND(BASE_A2+RATE_A2*($A466-BOTT_A2),0),ROUND(RATE_A1*$A466,0))))</f>
        <v/>
      </c>
      <c r="E466" s="556">
        <f>IF($A466&gt;BOTT_B4,ROUND(BASE_B4+RATE_B4*($A466-BOTT_B4),0),IF($A466&gt;BOTT_B3,ROUND(BASE_B3+RATE_B3*($A466-BOTT_B3),0),IF($A466&gt;BOTT_B2,ROUND(BASE_B2+RATE_B2*($A466-BOTT_B2),0),ROUND(RATE_B1*$A466,0))))</f>
        <v/>
      </c>
      <c r="F466" s="556">
        <f>IF($A466&gt;BOTT_C4,ROUND(BASE_C4+RATE_C4*($A466-BOTT_C4),0),IF($A466&gt;BOTT_C3,ROUND(BASE_C3+RATE_C3*($A466-BOTT_C3),0),IF($A466&gt;BOTT_C2,ROUND(BASE_C2+RATE_C2*($A466-BOTT_C2),0),ROUND(RATE_C1*$A466,0))))</f>
        <v/>
      </c>
      <c r="G466" s="556">
        <f>IF($A466&gt;BOTT_D4,ROUND(BASE_D4+RATE_D4*($A466-BOTT_D4),0),IF($A466&gt;BOTT_D3,ROUND(BASE_D3+RATE_D3*($A466-BOTT_D3),0),IF($A466&gt;BOTT_D2,ROUND(BASE_D2+RATE_D2*($A466-BOTT_D2),0),ROUND(RATE_D1*$A466,0))))</f>
        <v/>
      </c>
    </row>
    <row r="467" ht="15.75" customHeight="1" s="7635">
      <c r="A467" s="625">
        <f>AVERAGE(B467,C467)</f>
        <v/>
      </c>
      <c r="B467" s="555" t="n">
        <v>20150</v>
      </c>
      <c r="C467" s="555" t="n">
        <v>20200</v>
      </c>
      <c r="D467" s="556">
        <f>IF($A467&gt;BOTT_A4,ROUND(BASE_A4+RATE_A4*($A467-BOTT_A4),0),IF($A467&gt;BOTT_A3,ROUND(BASE_A3+RATE_A3*($A467-BOTT_A3),0),IF($A467&gt;BOTT_A2,ROUND(BASE_A2+RATE_A2*($A467-BOTT_A2),0),ROUND(RATE_A1*$A467,0))))</f>
        <v/>
      </c>
      <c r="E467" s="556">
        <f>IF($A467&gt;BOTT_B4,ROUND(BASE_B4+RATE_B4*($A467-BOTT_B4),0),IF($A467&gt;BOTT_B3,ROUND(BASE_B3+RATE_B3*($A467-BOTT_B3),0),IF($A467&gt;BOTT_B2,ROUND(BASE_B2+RATE_B2*($A467-BOTT_B2),0),ROUND(RATE_B1*$A467,0))))</f>
        <v/>
      </c>
      <c r="F467" s="556">
        <f>IF($A467&gt;BOTT_C4,ROUND(BASE_C4+RATE_C4*($A467-BOTT_C4),0),IF($A467&gt;BOTT_C3,ROUND(BASE_C3+RATE_C3*($A467-BOTT_C3),0),IF($A467&gt;BOTT_C2,ROUND(BASE_C2+RATE_C2*($A467-BOTT_C2),0),ROUND(RATE_C1*$A467,0))))</f>
        <v/>
      </c>
      <c r="G467" s="556">
        <f>IF($A467&gt;BOTT_D4,ROUND(BASE_D4+RATE_D4*($A467-BOTT_D4),0),IF($A467&gt;BOTT_D3,ROUND(BASE_D3+RATE_D3*($A467-BOTT_D3),0),IF($A467&gt;BOTT_D2,ROUND(BASE_D2+RATE_D2*($A467-BOTT_D2),0),ROUND(RATE_D1*$A467,0))))</f>
        <v/>
      </c>
    </row>
    <row r="468" ht="15.75" customHeight="1" s="7635">
      <c r="A468" s="625">
        <f>AVERAGE(B468,C468)</f>
        <v/>
      </c>
      <c r="B468" s="555" t="n">
        <v>20200</v>
      </c>
      <c r="C468" s="555" t="n">
        <v>20250</v>
      </c>
      <c r="D468" s="556">
        <f>IF($A468&gt;BOTT_A4,ROUND(BASE_A4+RATE_A4*($A468-BOTT_A4),0),IF($A468&gt;BOTT_A3,ROUND(BASE_A3+RATE_A3*($A468-BOTT_A3),0),IF($A468&gt;BOTT_A2,ROUND(BASE_A2+RATE_A2*($A468-BOTT_A2),0),ROUND(RATE_A1*$A468,0))))</f>
        <v/>
      </c>
      <c r="E468" s="556">
        <f>IF($A468&gt;BOTT_B4,ROUND(BASE_B4+RATE_B4*($A468-BOTT_B4),0),IF($A468&gt;BOTT_B3,ROUND(BASE_B3+RATE_B3*($A468-BOTT_B3),0),IF($A468&gt;BOTT_B2,ROUND(BASE_B2+RATE_B2*($A468-BOTT_B2),0),ROUND(RATE_B1*$A468,0))))</f>
        <v/>
      </c>
      <c r="F468" s="556">
        <f>IF($A468&gt;BOTT_C4,ROUND(BASE_C4+RATE_C4*($A468-BOTT_C4),0),IF($A468&gt;BOTT_C3,ROUND(BASE_C3+RATE_C3*($A468-BOTT_C3),0),IF($A468&gt;BOTT_C2,ROUND(BASE_C2+RATE_C2*($A468-BOTT_C2),0),ROUND(RATE_C1*$A468,0))))</f>
        <v/>
      </c>
      <c r="G468" s="556">
        <f>IF($A468&gt;BOTT_D4,ROUND(BASE_D4+RATE_D4*($A468-BOTT_D4),0),IF($A468&gt;BOTT_D3,ROUND(BASE_D3+RATE_D3*($A468-BOTT_D3),0),IF($A468&gt;BOTT_D2,ROUND(BASE_D2+RATE_D2*($A468-BOTT_D2),0),ROUND(RATE_D1*$A468,0))))</f>
        <v/>
      </c>
    </row>
    <row r="469" ht="15.75" customHeight="1" s="7635">
      <c r="A469" s="625">
        <f>AVERAGE(B469,C469)</f>
        <v/>
      </c>
      <c r="B469" s="555" t="n">
        <v>20250</v>
      </c>
      <c r="C469" s="555" t="n">
        <v>20300</v>
      </c>
      <c r="D469" s="556">
        <f>IF($A469&gt;BOTT_A4,ROUND(BASE_A4+RATE_A4*($A469-BOTT_A4),0),IF($A469&gt;BOTT_A3,ROUND(BASE_A3+RATE_A3*($A469-BOTT_A3),0),IF($A469&gt;BOTT_A2,ROUND(BASE_A2+RATE_A2*($A469-BOTT_A2),0),ROUND(RATE_A1*$A469,0))))</f>
        <v/>
      </c>
      <c r="E469" s="556">
        <f>IF($A469&gt;BOTT_B4,ROUND(BASE_B4+RATE_B4*($A469-BOTT_B4),0),IF($A469&gt;BOTT_B3,ROUND(BASE_B3+RATE_B3*($A469-BOTT_B3),0),IF($A469&gt;BOTT_B2,ROUND(BASE_B2+RATE_B2*($A469-BOTT_B2),0),ROUND(RATE_B1*$A469,0))))</f>
        <v/>
      </c>
      <c r="F469" s="556">
        <f>IF($A469&gt;BOTT_C4,ROUND(BASE_C4+RATE_C4*($A469-BOTT_C4),0),IF($A469&gt;BOTT_C3,ROUND(BASE_C3+RATE_C3*($A469-BOTT_C3),0),IF($A469&gt;BOTT_C2,ROUND(BASE_C2+RATE_C2*($A469-BOTT_C2),0),ROUND(RATE_C1*$A469,0))))</f>
        <v/>
      </c>
      <c r="G469" s="556">
        <f>IF($A469&gt;BOTT_D4,ROUND(BASE_D4+RATE_D4*($A469-BOTT_D4),0),IF($A469&gt;BOTT_D3,ROUND(BASE_D3+RATE_D3*($A469-BOTT_D3),0),IF($A469&gt;BOTT_D2,ROUND(BASE_D2+RATE_D2*($A469-BOTT_D2),0),ROUND(RATE_D1*$A469,0))))</f>
        <v/>
      </c>
    </row>
    <row r="470" ht="15.75" customHeight="1" s="7635">
      <c r="A470" s="625">
        <f>AVERAGE(B470,C470)</f>
        <v/>
      </c>
      <c r="B470" s="555" t="n">
        <v>20300</v>
      </c>
      <c r="C470" s="555" t="n">
        <v>20350</v>
      </c>
      <c r="D470" s="556">
        <f>IF($A470&gt;BOTT_A4,ROUND(BASE_A4+RATE_A4*($A470-BOTT_A4),0),IF($A470&gt;BOTT_A3,ROUND(BASE_A3+RATE_A3*($A470-BOTT_A3),0),IF($A470&gt;BOTT_A2,ROUND(BASE_A2+RATE_A2*($A470-BOTT_A2),0),ROUND(RATE_A1*$A470,0))))</f>
        <v/>
      </c>
      <c r="E470" s="556">
        <f>IF($A470&gt;BOTT_B4,ROUND(BASE_B4+RATE_B4*($A470-BOTT_B4),0),IF($A470&gt;BOTT_B3,ROUND(BASE_B3+RATE_B3*($A470-BOTT_B3),0),IF($A470&gt;BOTT_B2,ROUND(BASE_B2+RATE_B2*($A470-BOTT_B2),0),ROUND(RATE_B1*$A470,0))))</f>
        <v/>
      </c>
      <c r="F470" s="556">
        <f>IF($A470&gt;BOTT_C4,ROUND(BASE_C4+RATE_C4*($A470-BOTT_C4),0),IF($A470&gt;BOTT_C3,ROUND(BASE_C3+RATE_C3*($A470-BOTT_C3),0),IF($A470&gt;BOTT_C2,ROUND(BASE_C2+RATE_C2*($A470-BOTT_C2),0),ROUND(RATE_C1*$A470,0))))</f>
        <v/>
      </c>
      <c r="G470" s="556">
        <f>IF($A470&gt;BOTT_D4,ROUND(BASE_D4+RATE_D4*($A470-BOTT_D4),0),IF($A470&gt;BOTT_D3,ROUND(BASE_D3+RATE_D3*($A470-BOTT_D3),0),IF($A470&gt;BOTT_D2,ROUND(BASE_D2+RATE_D2*($A470-BOTT_D2),0),ROUND(RATE_D1*$A470,0))))</f>
        <v/>
      </c>
    </row>
    <row r="471" ht="15.75" customHeight="1" s="7635">
      <c r="A471" s="625">
        <f>AVERAGE(B471,C471)</f>
        <v/>
      </c>
      <c r="B471" s="555" t="n">
        <v>20350</v>
      </c>
      <c r="C471" s="555" t="n">
        <v>20400</v>
      </c>
      <c r="D471" s="556">
        <f>IF($A471&gt;BOTT_A4,ROUND(BASE_A4+RATE_A4*($A471-BOTT_A4),0),IF($A471&gt;BOTT_A3,ROUND(BASE_A3+RATE_A3*($A471-BOTT_A3),0),IF($A471&gt;BOTT_A2,ROUND(BASE_A2+RATE_A2*($A471-BOTT_A2),0),ROUND(RATE_A1*$A471,0))))</f>
        <v/>
      </c>
      <c r="E471" s="556">
        <f>IF($A471&gt;BOTT_B4,ROUND(BASE_B4+RATE_B4*($A471-BOTT_B4),0),IF($A471&gt;BOTT_B3,ROUND(BASE_B3+RATE_B3*($A471-BOTT_B3),0),IF($A471&gt;BOTT_B2,ROUND(BASE_B2+RATE_B2*($A471-BOTT_B2),0),ROUND(RATE_B1*$A471,0))))</f>
        <v/>
      </c>
      <c r="F471" s="556">
        <f>IF($A471&gt;BOTT_C4,ROUND(BASE_C4+RATE_C4*($A471-BOTT_C4),0),IF($A471&gt;BOTT_C3,ROUND(BASE_C3+RATE_C3*($A471-BOTT_C3),0),IF($A471&gt;BOTT_C2,ROUND(BASE_C2+RATE_C2*($A471-BOTT_C2),0),ROUND(RATE_C1*$A471,0))))</f>
        <v/>
      </c>
      <c r="G471" s="556">
        <f>IF($A471&gt;BOTT_D4,ROUND(BASE_D4+RATE_D4*($A471-BOTT_D4),0),IF($A471&gt;BOTT_D3,ROUND(BASE_D3+RATE_D3*($A471-BOTT_D3),0),IF($A471&gt;BOTT_D2,ROUND(BASE_D2+RATE_D2*($A471-BOTT_D2),0),ROUND(RATE_D1*$A471,0))))</f>
        <v/>
      </c>
    </row>
    <row r="472" ht="15.75" customHeight="1" s="7635">
      <c r="A472" s="625">
        <f>AVERAGE(B472,C472)</f>
        <v/>
      </c>
      <c r="B472" s="555" t="n">
        <v>20400</v>
      </c>
      <c r="C472" s="555" t="n">
        <v>20450</v>
      </c>
      <c r="D472" s="556">
        <f>IF($A472&gt;BOTT_A4,ROUND(BASE_A4+RATE_A4*($A472-BOTT_A4),0),IF($A472&gt;BOTT_A3,ROUND(BASE_A3+RATE_A3*($A472-BOTT_A3),0),IF($A472&gt;BOTT_A2,ROUND(BASE_A2+RATE_A2*($A472-BOTT_A2),0),ROUND(RATE_A1*$A472,0))))</f>
        <v/>
      </c>
      <c r="E472" s="556">
        <f>IF($A472&gt;BOTT_B4,ROUND(BASE_B4+RATE_B4*($A472-BOTT_B4),0),IF($A472&gt;BOTT_B3,ROUND(BASE_B3+RATE_B3*($A472-BOTT_B3),0),IF($A472&gt;BOTT_B2,ROUND(BASE_B2+RATE_B2*($A472-BOTT_B2),0),ROUND(RATE_B1*$A472,0))))</f>
        <v/>
      </c>
      <c r="F472" s="556">
        <f>IF($A472&gt;BOTT_C4,ROUND(BASE_C4+RATE_C4*($A472-BOTT_C4),0),IF($A472&gt;BOTT_C3,ROUND(BASE_C3+RATE_C3*($A472-BOTT_C3),0),IF($A472&gt;BOTT_C2,ROUND(BASE_C2+RATE_C2*($A472-BOTT_C2),0),ROUND(RATE_C1*$A472,0))))</f>
        <v/>
      </c>
      <c r="G472" s="556">
        <f>IF($A472&gt;BOTT_D4,ROUND(BASE_D4+RATE_D4*($A472-BOTT_D4),0),IF($A472&gt;BOTT_D3,ROUND(BASE_D3+RATE_D3*($A472-BOTT_D3),0),IF($A472&gt;BOTT_D2,ROUND(BASE_D2+RATE_D2*($A472-BOTT_D2),0),ROUND(RATE_D1*$A472,0))))</f>
        <v/>
      </c>
    </row>
    <row r="473" ht="15.75" customHeight="1" s="7635">
      <c r="A473" s="625">
        <f>AVERAGE(B473,C473)</f>
        <v/>
      </c>
      <c r="B473" s="555" t="n">
        <v>20450</v>
      </c>
      <c r="C473" s="555" t="n">
        <v>20500</v>
      </c>
      <c r="D473" s="556">
        <f>IF($A473&gt;BOTT_A4,ROUND(BASE_A4+RATE_A4*($A473-BOTT_A4),0),IF($A473&gt;BOTT_A3,ROUND(BASE_A3+RATE_A3*($A473-BOTT_A3),0),IF($A473&gt;BOTT_A2,ROUND(BASE_A2+RATE_A2*($A473-BOTT_A2),0),ROUND(RATE_A1*$A473,0))))</f>
        <v/>
      </c>
      <c r="E473" s="556">
        <f>IF($A473&gt;BOTT_B4,ROUND(BASE_B4+RATE_B4*($A473-BOTT_B4),0),IF($A473&gt;BOTT_B3,ROUND(BASE_B3+RATE_B3*($A473-BOTT_B3),0),IF($A473&gt;BOTT_B2,ROUND(BASE_B2+RATE_B2*($A473-BOTT_B2),0),ROUND(RATE_B1*$A473,0))))</f>
        <v/>
      </c>
      <c r="F473" s="556">
        <f>IF($A473&gt;BOTT_C4,ROUND(BASE_C4+RATE_C4*($A473-BOTT_C4),0),IF($A473&gt;BOTT_C3,ROUND(BASE_C3+RATE_C3*($A473-BOTT_C3),0),IF($A473&gt;BOTT_C2,ROUND(BASE_C2+RATE_C2*($A473-BOTT_C2),0),ROUND(RATE_C1*$A473,0))))</f>
        <v/>
      </c>
      <c r="G473" s="556">
        <f>IF($A473&gt;BOTT_D4,ROUND(BASE_D4+RATE_D4*($A473-BOTT_D4),0),IF($A473&gt;BOTT_D3,ROUND(BASE_D3+RATE_D3*($A473-BOTT_D3),0),IF($A473&gt;BOTT_D2,ROUND(BASE_D2+RATE_D2*($A473-BOTT_D2),0),ROUND(RATE_D1*$A473,0))))</f>
        <v/>
      </c>
    </row>
    <row r="474" ht="15.75" customHeight="1" s="7635">
      <c r="A474" s="625">
        <f>AVERAGE(B474,C474)</f>
        <v/>
      </c>
      <c r="B474" s="555" t="n">
        <v>20500</v>
      </c>
      <c r="C474" s="555" t="n">
        <v>20550</v>
      </c>
      <c r="D474" s="556">
        <f>IF($A474&gt;BOTT_A4,ROUND(BASE_A4+RATE_A4*($A474-BOTT_A4),0),IF($A474&gt;BOTT_A3,ROUND(BASE_A3+RATE_A3*($A474-BOTT_A3),0),IF($A474&gt;BOTT_A2,ROUND(BASE_A2+RATE_A2*($A474-BOTT_A2),0),ROUND(RATE_A1*$A474,0))))</f>
        <v/>
      </c>
      <c r="E474" s="556">
        <f>IF($A474&gt;BOTT_B4,ROUND(BASE_B4+RATE_B4*($A474-BOTT_B4),0),IF($A474&gt;BOTT_B3,ROUND(BASE_B3+RATE_B3*($A474-BOTT_B3),0),IF($A474&gt;BOTT_B2,ROUND(BASE_B2+RATE_B2*($A474-BOTT_B2),0),ROUND(RATE_B1*$A474,0))))</f>
        <v/>
      </c>
      <c r="F474" s="556">
        <f>IF($A474&gt;BOTT_C4,ROUND(BASE_C4+RATE_C4*($A474-BOTT_C4),0),IF($A474&gt;BOTT_C3,ROUND(BASE_C3+RATE_C3*($A474-BOTT_C3),0),IF($A474&gt;BOTT_C2,ROUND(BASE_C2+RATE_C2*($A474-BOTT_C2),0),ROUND(RATE_C1*$A474,0))))</f>
        <v/>
      </c>
      <c r="G474" s="556">
        <f>IF($A474&gt;BOTT_D4,ROUND(BASE_D4+RATE_D4*($A474-BOTT_D4),0),IF($A474&gt;BOTT_D3,ROUND(BASE_D3+RATE_D3*($A474-BOTT_D3),0),IF($A474&gt;BOTT_D2,ROUND(BASE_D2+RATE_D2*($A474-BOTT_D2),0),ROUND(RATE_D1*$A474,0))))</f>
        <v/>
      </c>
    </row>
    <row r="475" ht="15.75" customHeight="1" s="7635">
      <c r="A475" s="625">
        <f>AVERAGE(B475,C475)</f>
        <v/>
      </c>
      <c r="B475" s="555" t="n">
        <v>20550</v>
      </c>
      <c r="C475" s="555" t="n">
        <v>20600</v>
      </c>
      <c r="D475" s="556">
        <f>IF($A475&gt;BOTT_A4,ROUND(BASE_A4+RATE_A4*($A475-BOTT_A4),0),IF($A475&gt;BOTT_A3,ROUND(BASE_A3+RATE_A3*($A475-BOTT_A3),0),IF($A475&gt;BOTT_A2,ROUND(BASE_A2+RATE_A2*($A475-BOTT_A2),0),ROUND(RATE_A1*$A475,0))))</f>
        <v/>
      </c>
      <c r="E475" s="556">
        <f>IF($A475&gt;BOTT_B4,ROUND(BASE_B4+RATE_B4*($A475-BOTT_B4),0),IF($A475&gt;BOTT_B3,ROUND(BASE_B3+RATE_B3*($A475-BOTT_B3),0),IF($A475&gt;BOTT_B2,ROUND(BASE_B2+RATE_B2*($A475-BOTT_B2),0),ROUND(RATE_B1*$A475,0))))</f>
        <v/>
      </c>
      <c r="F475" s="556">
        <f>IF($A475&gt;BOTT_C4,ROUND(BASE_C4+RATE_C4*($A475-BOTT_C4),0),IF($A475&gt;BOTT_C3,ROUND(BASE_C3+RATE_C3*($A475-BOTT_C3),0),IF($A475&gt;BOTT_C2,ROUND(BASE_C2+RATE_C2*($A475-BOTT_C2),0),ROUND(RATE_C1*$A475,0))))</f>
        <v/>
      </c>
      <c r="G475" s="556">
        <f>IF($A475&gt;BOTT_D4,ROUND(BASE_D4+RATE_D4*($A475-BOTT_D4),0),IF($A475&gt;BOTT_D3,ROUND(BASE_D3+RATE_D3*($A475-BOTT_D3),0),IF($A475&gt;BOTT_D2,ROUND(BASE_D2+RATE_D2*($A475-BOTT_D2),0),ROUND(RATE_D1*$A475,0))))</f>
        <v/>
      </c>
    </row>
    <row r="476" ht="15.75" customHeight="1" s="7635">
      <c r="A476" s="625">
        <f>AVERAGE(B476,C476)</f>
        <v/>
      </c>
      <c r="B476" s="555" t="n">
        <v>20600</v>
      </c>
      <c r="C476" s="555" t="n">
        <v>20650</v>
      </c>
      <c r="D476" s="556">
        <f>IF($A476&gt;BOTT_A4,ROUND(BASE_A4+RATE_A4*($A476-BOTT_A4),0),IF($A476&gt;BOTT_A3,ROUND(BASE_A3+RATE_A3*($A476-BOTT_A3),0),IF($A476&gt;BOTT_A2,ROUND(BASE_A2+RATE_A2*($A476-BOTT_A2),0),ROUND(RATE_A1*$A476,0))))</f>
        <v/>
      </c>
      <c r="E476" s="556">
        <f>IF($A476&gt;BOTT_B4,ROUND(BASE_B4+RATE_B4*($A476-BOTT_B4),0),IF($A476&gt;BOTT_B3,ROUND(BASE_B3+RATE_B3*($A476-BOTT_B3),0),IF($A476&gt;BOTT_B2,ROUND(BASE_B2+RATE_B2*($A476-BOTT_B2),0),ROUND(RATE_B1*$A476,0))))</f>
        <v/>
      </c>
      <c r="F476" s="556">
        <f>IF($A476&gt;BOTT_C4,ROUND(BASE_C4+RATE_C4*($A476-BOTT_C4),0),IF($A476&gt;BOTT_C3,ROUND(BASE_C3+RATE_C3*($A476-BOTT_C3),0),IF($A476&gt;BOTT_C2,ROUND(BASE_C2+RATE_C2*($A476-BOTT_C2),0),ROUND(RATE_C1*$A476,0))))</f>
        <v/>
      </c>
      <c r="G476" s="556">
        <f>IF($A476&gt;BOTT_D4,ROUND(BASE_D4+RATE_D4*($A476-BOTT_D4),0),IF($A476&gt;BOTT_D3,ROUND(BASE_D3+RATE_D3*($A476-BOTT_D3),0),IF($A476&gt;BOTT_D2,ROUND(BASE_D2+RATE_D2*($A476-BOTT_D2),0),ROUND(RATE_D1*$A476,0))))</f>
        <v/>
      </c>
    </row>
    <row r="477" ht="15.75" customHeight="1" s="7635">
      <c r="A477" s="625">
        <f>AVERAGE(B477,C477)</f>
        <v/>
      </c>
      <c r="B477" s="555" t="n">
        <v>20650</v>
      </c>
      <c r="C477" s="555" t="n">
        <v>20700</v>
      </c>
      <c r="D477" s="556">
        <f>IF($A477&gt;BOTT_A4,ROUND(BASE_A4+RATE_A4*($A477-BOTT_A4),0),IF($A477&gt;BOTT_A3,ROUND(BASE_A3+RATE_A3*($A477-BOTT_A3),0),IF($A477&gt;BOTT_A2,ROUND(BASE_A2+RATE_A2*($A477-BOTT_A2),0),ROUND(RATE_A1*$A477,0))))</f>
        <v/>
      </c>
      <c r="E477" s="556">
        <f>IF($A477&gt;BOTT_B4,ROUND(BASE_B4+RATE_B4*($A477-BOTT_B4),0),IF($A477&gt;BOTT_B3,ROUND(BASE_B3+RATE_B3*($A477-BOTT_B3),0),IF($A477&gt;BOTT_B2,ROUND(BASE_B2+RATE_B2*($A477-BOTT_B2),0),ROUND(RATE_B1*$A477,0))))</f>
        <v/>
      </c>
      <c r="F477" s="556">
        <f>IF($A477&gt;BOTT_C4,ROUND(BASE_C4+RATE_C4*($A477-BOTT_C4),0),IF($A477&gt;BOTT_C3,ROUND(BASE_C3+RATE_C3*($A477-BOTT_C3),0),IF($A477&gt;BOTT_C2,ROUND(BASE_C2+RATE_C2*($A477-BOTT_C2),0),ROUND(RATE_C1*$A477,0))))</f>
        <v/>
      </c>
      <c r="G477" s="556">
        <f>IF($A477&gt;BOTT_D4,ROUND(BASE_D4+RATE_D4*($A477-BOTT_D4),0),IF($A477&gt;BOTT_D3,ROUND(BASE_D3+RATE_D3*($A477-BOTT_D3),0),IF($A477&gt;BOTT_D2,ROUND(BASE_D2+RATE_D2*($A477-BOTT_D2),0),ROUND(RATE_D1*$A477,0))))</f>
        <v/>
      </c>
    </row>
    <row r="478" ht="15.75" customHeight="1" s="7635">
      <c r="A478" s="625">
        <f>AVERAGE(B478,C478)</f>
        <v/>
      </c>
      <c r="B478" s="555" t="n">
        <v>20700</v>
      </c>
      <c r="C478" s="555" t="n">
        <v>20750</v>
      </c>
      <c r="D478" s="556">
        <f>IF($A478&gt;BOTT_A4,ROUND(BASE_A4+RATE_A4*($A478-BOTT_A4),0),IF($A478&gt;BOTT_A3,ROUND(BASE_A3+RATE_A3*($A478-BOTT_A3),0),IF($A478&gt;BOTT_A2,ROUND(BASE_A2+RATE_A2*($A478-BOTT_A2),0),ROUND(RATE_A1*$A478,0))))</f>
        <v/>
      </c>
      <c r="E478" s="556">
        <f>IF($A478&gt;BOTT_B4,ROUND(BASE_B4+RATE_B4*($A478-BOTT_B4),0),IF($A478&gt;BOTT_B3,ROUND(BASE_B3+RATE_B3*($A478-BOTT_B3),0),IF($A478&gt;BOTT_B2,ROUND(BASE_B2+RATE_B2*($A478-BOTT_B2),0),ROUND(RATE_B1*$A478,0))))</f>
        <v/>
      </c>
      <c r="F478" s="556">
        <f>IF($A478&gt;BOTT_C4,ROUND(BASE_C4+RATE_C4*($A478-BOTT_C4),0),IF($A478&gt;BOTT_C3,ROUND(BASE_C3+RATE_C3*($A478-BOTT_C3),0),IF($A478&gt;BOTT_C2,ROUND(BASE_C2+RATE_C2*($A478-BOTT_C2),0),ROUND(RATE_C1*$A478,0))))</f>
        <v/>
      </c>
      <c r="G478" s="556">
        <f>IF($A478&gt;BOTT_D4,ROUND(BASE_D4+RATE_D4*($A478-BOTT_D4),0),IF($A478&gt;BOTT_D3,ROUND(BASE_D3+RATE_D3*($A478-BOTT_D3),0),IF($A478&gt;BOTT_D2,ROUND(BASE_D2+RATE_D2*($A478-BOTT_D2),0),ROUND(RATE_D1*$A478,0))))</f>
        <v/>
      </c>
    </row>
    <row r="479" ht="15.75" customHeight="1" s="7635">
      <c r="A479" s="625">
        <f>AVERAGE(B479,C479)</f>
        <v/>
      </c>
      <c r="B479" s="555" t="n">
        <v>20750</v>
      </c>
      <c r="C479" s="555" t="n">
        <v>20800</v>
      </c>
      <c r="D479" s="556">
        <f>IF($A479&gt;BOTT_A4,ROUND(BASE_A4+RATE_A4*($A479-BOTT_A4),0),IF($A479&gt;BOTT_A3,ROUND(BASE_A3+RATE_A3*($A479-BOTT_A3),0),IF($A479&gt;BOTT_A2,ROUND(BASE_A2+RATE_A2*($A479-BOTT_A2),0),ROUND(RATE_A1*$A479,0))))</f>
        <v/>
      </c>
      <c r="E479" s="556">
        <f>IF($A479&gt;BOTT_B4,ROUND(BASE_B4+RATE_B4*($A479-BOTT_B4),0),IF($A479&gt;BOTT_B3,ROUND(BASE_B3+RATE_B3*($A479-BOTT_B3),0),IF($A479&gt;BOTT_B2,ROUND(BASE_B2+RATE_B2*($A479-BOTT_B2),0),ROUND(RATE_B1*$A479,0))))</f>
        <v/>
      </c>
      <c r="F479" s="556">
        <f>IF($A479&gt;BOTT_C4,ROUND(BASE_C4+RATE_C4*($A479-BOTT_C4),0),IF($A479&gt;BOTT_C3,ROUND(BASE_C3+RATE_C3*($A479-BOTT_C3),0),IF($A479&gt;BOTT_C2,ROUND(BASE_C2+RATE_C2*($A479-BOTT_C2),0),ROUND(RATE_C1*$A479,0))))</f>
        <v/>
      </c>
      <c r="G479" s="556">
        <f>IF($A479&gt;BOTT_D4,ROUND(BASE_D4+RATE_D4*($A479-BOTT_D4),0),IF($A479&gt;BOTT_D3,ROUND(BASE_D3+RATE_D3*($A479-BOTT_D3),0),IF($A479&gt;BOTT_D2,ROUND(BASE_D2+RATE_D2*($A479-BOTT_D2),0),ROUND(RATE_D1*$A479,0))))</f>
        <v/>
      </c>
    </row>
    <row r="480" ht="15.75" customHeight="1" s="7635">
      <c r="A480" s="625">
        <f>AVERAGE(B480,C480)</f>
        <v/>
      </c>
      <c r="B480" s="555" t="n">
        <v>20800</v>
      </c>
      <c r="C480" s="555" t="n">
        <v>20850</v>
      </c>
      <c r="D480" s="556">
        <f>IF($A480&gt;BOTT_A4,ROUND(BASE_A4+RATE_A4*($A480-BOTT_A4),0),IF($A480&gt;BOTT_A3,ROUND(BASE_A3+RATE_A3*($A480-BOTT_A3),0),IF($A480&gt;BOTT_A2,ROUND(BASE_A2+RATE_A2*($A480-BOTT_A2),0),ROUND(RATE_A1*$A480,0))))</f>
        <v/>
      </c>
      <c r="E480" s="556">
        <f>IF($A480&gt;BOTT_B4,ROUND(BASE_B4+RATE_B4*($A480-BOTT_B4),0),IF($A480&gt;BOTT_B3,ROUND(BASE_B3+RATE_B3*($A480-BOTT_B3),0),IF($A480&gt;BOTT_B2,ROUND(BASE_B2+RATE_B2*($A480-BOTT_B2),0),ROUND(RATE_B1*$A480,0))))</f>
        <v/>
      </c>
      <c r="F480" s="556">
        <f>IF($A480&gt;BOTT_C4,ROUND(BASE_C4+RATE_C4*($A480-BOTT_C4),0),IF($A480&gt;BOTT_C3,ROUND(BASE_C3+RATE_C3*($A480-BOTT_C3),0),IF($A480&gt;BOTT_C2,ROUND(BASE_C2+RATE_C2*($A480-BOTT_C2),0),ROUND(RATE_C1*$A480,0))))</f>
        <v/>
      </c>
      <c r="G480" s="556">
        <f>IF($A480&gt;BOTT_D4,ROUND(BASE_D4+RATE_D4*($A480-BOTT_D4),0),IF($A480&gt;BOTT_D3,ROUND(BASE_D3+RATE_D3*($A480-BOTT_D3),0),IF($A480&gt;BOTT_D2,ROUND(BASE_D2+RATE_D2*($A480-BOTT_D2),0),ROUND(RATE_D1*$A480,0))))</f>
        <v/>
      </c>
    </row>
    <row r="481" ht="15.75" customHeight="1" s="7635">
      <c r="A481" s="625">
        <f>AVERAGE(B481,C481)</f>
        <v/>
      </c>
      <c r="B481" s="555" t="n">
        <v>20850</v>
      </c>
      <c r="C481" s="555" t="n">
        <v>20900</v>
      </c>
      <c r="D481" s="556">
        <f>IF($A481&gt;BOTT_A4,ROUND(BASE_A4+RATE_A4*($A481-BOTT_A4),0),IF($A481&gt;BOTT_A3,ROUND(BASE_A3+RATE_A3*($A481-BOTT_A3),0),IF($A481&gt;BOTT_A2,ROUND(BASE_A2+RATE_A2*($A481-BOTT_A2),0),ROUND(RATE_A1*$A481,0))))</f>
        <v/>
      </c>
      <c r="E481" s="556">
        <f>IF($A481&gt;BOTT_B4,ROUND(BASE_B4+RATE_B4*($A481-BOTT_B4),0),IF($A481&gt;BOTT_B3,ROUND(BASE_B3+RATE_B3*($A481-BOTT_B3),0),IF($A481&gt;BOTT_B2,ROUND(BASE_B2+RATE_B2*($A481-BOTT_B2),0),ROUND(RATE_B1*$A481,0))))</f>
        <v/>
      </c>
      <c r="F481" s="556">
        <f>IF($A481&gt;BOTT_C4,ROUND(BASE_C4+RATE_C4*($A481-BOTT_C4),0),IF($A481&gt;BOTT_C3,ROUND(BASE_C3+RATE_C3*($A481-BOTT_C3),0),IF($A481&gt;BOTT_C2,ROUND(BASE_C2+RATE_C2*($A481-BOTT_C2),0),ROUND(RATE_C1*$A481,0))))</f>
        <v/>
      </c>
      <c r="G481" s="556">
        <f>IF($A481&gt;BOTT_D4,ROUND(BASE_D4+RATE_D4*($A481-BOTT_D4),0),IF($A481&gt;BOTT_D3,ROUND(BASE_D3+RATE_D3*($A481-BOTT_D3),0),IF($A481&gt;BOTT_D2,ROUND(BASE_D2+RATE_D2*($A481-BOTT_D2),0),ROUND(RATE_D1*$A481,0))))</f>
        <v/>
      </c>
    </row>
    <row r="482" ht="15.75" customHeight="1" s="7635">
      <c r="A482" s="625">
        <f>AVERAGE(B482,C482)</f>
        <v/>
      </c>
      <c r="B482" s="555" t="n">
        <v>20900</v>
      </c>
      <c r="C482" s="555" t="n">
        <v>20950</v>
      </c>
      <c r="D482" s="556">
        <f>IF($A482&gt;BOTT_A4,ROUND(BASE_A4+RATE_A4*($A482-BOTT_A4),0),IF($A482&gt;BOTT_A3,ROUND(BASE_A3+RATE_A3*($A482-BOTT_A3),0),IF($A482&gt;BOTT_A2,ROUND(BASE_A2+RATE_A2*($A482-BOTT_A2),0),ROUND(RATE_A1*$A482,0))))</f>
        <v/>
      </c>
      <c r="E482" s="556">
        <f>IF($A482&gt;BOTT_B4,ROUND(BASE_B4+RATE_B4*($A482-BOTT_B4),0),IF($A482&gt;BOTT_B3,ROUND(BASE_B3+RATE_B3*($A482-BOTT_B3),0),IF($A482&gt;BOTT_B2,ROUND(BASE_B2+RATE_B2*($A482-BOTT_B2),0),ROUND(RATE_B1*$A482,0))))</f>
        <v/>
      </c>
      <c r="F482" s="556">
        <f>IF($A482&gt;BOTT_C4,ROUND(BASE_C4+RATE_C4*($A482-BOTT_C4),0),IF($A482&gt;BOTT_C3,ROUND(BASE_C3+RATE_C3*($A482-BOTT_C3),0),IF($A482&gt;BOTT_C2,ROUND(BASE_C2+RATE_C2*($A482-BOTT_C2),0),ROUND(RATE_C1*$A482,0))))</f>
        <v/>
      </c>
      <c r="G482" s="556">
        <f>IF($A482&gt;BOTT_D4,ROUND(BASE_D4+RATE_D4*($A482-BOTT_D4),0),IF($A482&gt;BOTT_D3,ROUND(BASE_D3+RATE_D3*($A482-BOTT_D3),0),IF($A482&gt;BOTT_D2,ROUND(BASE_D2+RATE_D2*($A482-BOTT_D2),0),ROUND(RATE_D1*$A482,0))))</f>
        <v/>
      </c>
    </row>
    <row r="483" ht="15.75" customHeight="1" s="7635">
      <c r="A483" s="625">
        <f>AVERAGE(B483,C483)</f>
        <v/>
      </c>
      <c r="B483" s="555" t="n">
        <v>20950</v>
      </c>
      <c r="C483" s="555" t="n">
        <v>21000</v>
      </c>
      <c r="D483" s="556">
        <f>IF($A483&gt;BOTT_A4,ROUND(BASE_A4+RATE_A4*($A483-BOTT_A4),0),IF($A483&gt;BOTT_A3,ROUND(BASE_A3+RATE_A3*($A483-BOTT_A3),0),IF($A483&gt;BOTT_A2,ROUND(BASE_A2+RATE_A2*($A483-BOTT_A2),0),ROUND(RATE_A1*$A483,0))))</f>
        <v/>
      </c>
      <c r="E483" s="556">
        <f>IF($A483&gt;BOTT_B4,ROUND(BASE_B4+RATE_B4*($A483-BOTT_B4),0),IF($A483&gt;BOTT_B3,ROUND(BASE_B3+RATE_B3*($A483-BOTT_B3),0),IF($A483&gt;BOTT_B2,ROUND(BASE_B2+RATE_B2*($A483-BOTT_B2),0),ROUND(RATE_B1*$A483,0))))</f>
        <v/>
      </c>
      <c r="F483" s="556">
        <f>IF($A483&gt;BOTT_C4,ROUND(BASE_C4+RATE_C4*($A483-BOTT_C4),0),IF($A483&gt;BOTT_C3,ROUND(BASE_C3+RATE_C3*($A483-BOTT_C3),0),IF($A483&gt;BOTT_C2,ROUND(BASE_C2+RATE_C2*($A483-BOTT_C2),0),ROUND(RATE_C1*$A483,0))))</f>
        <v/>
      </c>
      <c r="G483" s="556">
        <f>IF($A483&gt;BOTT_D4,ROUND(BASE_D4+RATE_D4*($A483-BOTT_D4),0),IF($A483&gt;BOTT_D3,ROUND(BASE_D3+RATE_D3*($A483-BOTT_D3),0),IF($A483&gt;BOTT_D2,ROUND(BASE_D2+RATE_D2*($A483-BOTT_D2),0),ROUND(RATE_D1*$A483,0))))</f>
        <v/>
      </c>
    </row>
    <row r="484" ht="15.75" customHeight="1" s="7635">
      <c r="A484" s="625">
        <f>AVERAGE(B484,C484)</f>
        <v/>
      </c>
      <c r="B484" s="555" t="n">
        <v>21000</v>
      </c>
      <c r="C484" s="555" t="n">
        <v>21050</v>
      </c>
      <c r="D484" s="556">
        <f>IF($A484&gt;BOTT_A4,ROUND(BASE_A4+RATE_A4*($A484-BOTT_A4),0),IF($A484&gt;BOTT_A3,ROUND(BASE_A3+RATE_A3*($A484-BOTT_A3),0),IF($A484&gt;BOTT_A2,ROUND(BASE_A2+RATE_A2*($A484-BOTT_A2),0),ROUND(RATE_A1*$A484,0))))</f>
        <v/>
      </c>
      <c r="E484" s="556">
        <f>IF($A484&gt;BOTT_B4,ROUND(BASE_B4+RATE_B4*($A484-BOTT_B4),0),IF($A484&gt;BOTT_B3,ROUND(BASE_B3+RATE_B3*($A484-BOTT_B3),0),IF($A484&gt;BOTT_B2,ROUND(BASE_B2+RATE_B2*($A484-BOTT_B2),0),ROUND(RATE_B1*$A484,0))))</f>
        <v/>
      </c>
      <c r="F484" s="556">
        <f>IF($A484&gt;BOTT_C4,ROUND(BASE_C4+RATE_C4*($A484-BOTT_C4),0),IF($A484&gt;BOTT_C3,ROUND(BASE_C3+RATE_C3*($A484-BOTT_C3),0),IF($A484&gt;BOTT_C2,ROUND(BASE_C2+RATE_C2*($A484-BOTT_C2),0),ROUND(RATE_C1*$A484,0))))</f>
        <v/>
      </c>
      <c r="G484" s="556">
        <f>IF($A484&gt;BOTT_D4,ROUND(BASE_D4+RATE_D4*($A484-BOTT_D4),0),IF($A484&gt;BOTT_D3,ROUND(BASE_D3+RATE_D3*($A484-BOTT_D3),0),IF($A484&gt;BOTT_D2,ROUND(BASE_D2+RATE_D2*($A484-BOTT_D2),0),ROUND(RATE_D1*$A484,0))))</f>
        <v/>
      </c>
    </row>
    <row r="485" ht="15.75" customHeight="1" s="7635">
      <c r="A485" s="625">
        <f>AVERAGE(B485,C485)</f>
        <v/>
      </c>
      <c r="B485" s="555" t="n">
        <v>21050</v>
      </c>
      <c r="C485" s="555" t="n">
        <v>21100</v>
      </c>
      <c r="D485" s="556">
        <f>IF($A485&gt;BOTT_A4,ROUND(BASE_A4+RATE_A4*($A485-BOTT_A4),0),IF($A485&gt;BOTT_A3,ROUND(BASE_A3+RATE_A3*($A485-BOTT_A3),0),IF($A485&gt;BOTT_A2,ROUND(BASE_A2+RATE_A2*($A485-BOTT_A2),0),ROUND(RATE_A1*$A485,0))))</f>
        <v/>
      </c>
      <c r="E485" s="556">
        <f>IF($A485&gt;BOTT_B4,ROUND(BASE_B4+RATE_B4*($A485-BOTT_B4),0),IF($A485&gt;BOTT_B3,ROUND(BASE_B3+RATE_B3*($A485-BOTT_B3),0),IF($A485&gt;BOTT_B2,ROUND(BASE_B2+RATE_B2*($A485-BOTT_B2),0),ROUND(RATE_B1*$A485,0))))</f>
        <v/>
      </c>
      <c r="F485" s="556">
        <f>IF($A485&gt;BOTT_C4,ROUND(BASE_C4+RATE_C4*($A485-BOTT_C4),0),IF($A485&gt;BOTT_C3,ROUND(BASE_C3+RATE_C3*($A485-BOTT_C3),0),IF($A485&gt;BOTT_C2,ROUND(BASE_C2+RATE_C2*($A485-BOTT_C2),0),ROUND(RATE_C1*$A485,0))))</f>
        <v/>
      </c>
      <c r="G485" s="556">
        <f>IF($A485&gt;BOTT_D4,ROUND(BASE_D4+RATE_D4*($A485-BOTT_D4),0),IF($A485&gt;BOTT_D3,ROUND(BASE_D3+RATE_D3*($A485-BOTT_D3),0),IF($A485&gt;BOTT_D2,ROUND(BASE_D2+RATE_D2*($A485-BOTT_D2),0),ROUND(RATE_D1*$A485,0))))</f>
        <v/>
      </c>
    </row>
    <row r="486" ht="15.75" customHeight="1" s="7635">
      <c r="A486" s="625">
        <f>AVERAGE(B486,C486)</f>
        <v/>
      </c>
      <c r="B486" s="555" t="n">
        <v>21100</v>
      </c>
      <c r="C486" s="555" t="n">
        <v>21150</v>
      </c>
      <c r="D486" s="556">
        <f>IF($A486&gt;BOTT_A4,ROUND(BASE_A4+RATE_A4*($A486-BOTT_A4),0),IF($A486&gt;BOTT_A3,ROUND(BASE_A3+RATE_A3*($A486-BOTT_A3),0),IF($A486&gt;BOTT_A2,ROUND(BASE_A2+RATE_A2*($A486-BOTT_A2),0),ROUND(RATE_A1*$A486,0))))</f>
        <v/>
      </c>
      <c r="E486" s="556">
        <f>IF($A486&gt;BOTT_B4,ROUND(BASE_B4+RATE_B4*($A486-BOTT_B4),0),IF($A486&gt;BOTT_B3,ROUND(BASE_B3+RATE_B3*($A486-BOTT_B3),0),IF($A486&gt;BOTT_B2,ROUND(BASE_B2+RATE_B2*($A486-BOTT_B2),0),ROUND(RATE_B1*$A486,0))))</f>
        <v/>
      </c>
      <c r="F486" s="556">
        <f>IF($A486&gt;BOTT_C4,ROUND(BASE_C4+RATE_C4*($A486-BOTT_C4),0),IF($A486&gt;BOTT_C3,ROUND(BASE_C3+RATE_C3*($A486-BOTT_C3),0),IF($A486&gt;BOTT_C2,ROUND(BASE_C2+RATE_C2*($A486-BOTT_C2),0),ROUND(RATE_C1*$A486,0))))</f>
        <v/>
      </c>
      <c r="G486" s="556">
        <f>IF($A486&gt;BOTT_D4,ROUND(BASE_D4+RATE_D4*($A486-BOTT_D4),0),IF($A486&gt;BOTT_D3,ROUND(BASE_D3+RATE_D3*($A486-BOTT_D3),0),IF($A486&gt;BOTT_D2,ROUND(BASE_D2+RATE_D2*($A486-BOTT_D2),0),ROUND(RATE_D1*$A486,0))))</f>
        <v/>
      </c>
    </row>
    <row r="487" ht="15.75" customHeight="1" s="7635">
      <c r="A487" s="625">
        <f>AVERAGE(B487,C487)</f>
        <v/>
      </c>
      <c r="B487" s="555" t="n">
        <v>21150</v>
      </c>
      <c r="C487" s="555" t="n">
        <v>21200</v>
      </c>
      <c r="D487" s="556">
        <f>IF($A487&gt;BOTT_A4,ROUND(BASE_A4+RATE_A4*($A487-BOTT_A4),0),IF($A487&gt;BOTT_A3,ROUND(BASE_A3+RATE_A3*($A487-BOTT_A3),0),IF($A487&gt;BOTT_A2,ROUND(BASE_A2+RATE_A2*($A487-BOTT_A2),0),ROUND(RATE_A1*$A487,0))))</f>
        <v/>
      </c>
      <c r="E487" s="556">
        <f>IF($A487&gt;BOTT_B4,ROUND(BASE_B4+RATE_B4*($A487-BOTT_B4),0),IF($A487&gt;BOTT_B3,ROUND(BASE_B3+RATE_B3*($A487-BOTT_B3),0),IF($A487&gt;BOTT_B2,ROUND(BASE_B2+RATE_B2*($A487-BOTT_B2),0),ROUND(RATE_B1*$A487,0))))</f>
        <v/>
      </c>
      <c r="F487" s="556">
        <f>IF($A487&gt;BOTT_C4,ROUND(BASE_C4+RATE_C4*($A487-BOTT_C4),0),IF($A487&gt;BOTT_C3,ROUND(BASE_C3+RATE_C3*($A487-BOTT_C3),0),IF($A487&gt;BOTT_C2,ROUND(BASE_C2+RATE_C2*($A487-BOTT_C2),0),ROUND(RATE_C1*$A487,0))))</f>
        <v/>
      </c>
      <c r="G487" s="556">
        <f>IF($A487&gt;BOTT_D4,ROUND(BASE_D4+RATE_D4*($A487-BOTT_D4),0),IF($A487&gt;BOTT_D3,ROUND(BASE_D3+RATE_D3*($A487-BOTT_D3),0),IF($A487&gt;BOTT_D2,ROUND(BASE_D2+RATE_D2*($A487-BOTT_D2),0),ROUND(RATE_D1*$A487,0))))</f>
        <v/>
      </c>
    </row>
    <row r="488" ht="15.75" customHeight="1" s="7635">
      <c r="A488" s="625">
        <f>AVERAGE(B488,C488)</f>
        <v/>
      </c>
      <c r="B488" s="555" t="n">
        <v>21200</v>
      </c>
      <c r="C488" s="555" t="n">
        <v>21250</v>
      </c>
      <c r="D488" s="556">
        <f>IF($A488&gt;BOTT_A4,ROUND(BASE_A4+RATE_A4*($A488-BOTT_A4),0),IF($A488&gt;BOTT_A3,ROUND(BASE_A3+RATE_A3*($A488-BOTT_A3),0),IF($A488&gt;BOTT_A2,ROUND(BASE_A2+RATE_A2*($A488-BOTT_A2),0),ROUND(RATE_A1*$A488,0))))</f>
        <v/>
      </c>
      <c r="E488" s="556">
        <f>IF($A488&gt;BOTT_B4,ROUND(BASE_B4+RATE_B4*($A488-BOTT_B4),0),IF($A488&gt;BOTT_B3,ROUND(BASE_B3+RATE_B3*($A488-BOTT_B3),0),IF($A488&gt;BOTT_B2,ROUND(BASE_B2+RATE_B2*($A488-BOTT_B2),0),ROUND(RATE_B1*$A488,0))))</f>
        <v/>
      </c>
      <c r="F488" s="556">
        <f>IF($A488&gt;BOTT_C4,ROUND(BASE_C4+RATE_C4*($A488-BOTT_C4),0),IF($A488&gt;BOTT_C3,ROUND(BASE_C3+RATE_C3*($A488-BOTT_C3),0),IF($A488&gt;BOTT_C2,ROUND(BASE_C2+RATE_C2*($A488-BOTT_C2),0),ROUND(RATE_C1*$A488,0))))</f>
        <v/>
      </c>
      <c r="G488" s="556">
        <f>IF($A488&gt;BOTT_D4,ROUND(BASE_D4+RATE_D4*($A488-BOTT_D4),0),IF($A488&gt;BOTT_D3,ROUND(BASE_D3+RATE_D3*($A488-BOTT_D3),0),IF($A488&gt;BOTT_D2,ROUND(BASE_D2+RATE_D2*($A488-BOTT_D2),0),ROUND(RATE_D1*$A488,0))))</f>
        <v/>
      </c>
    </row>
    <row r="489" ht="15.75" customHeight="1" s="7635">
      <c r="A489" s="625">
        <f>AVERAGE(B489,C489)</f>
        <v/>
      </c>
      <c r="B489" s="555" t="n">
        <v>21250</v>
      </c>
      <c r="C489" s="555" t="n">
        <v>21300</v>
      </c>
      <c r="D489" s="556">
        <f>IF($A489&gt;BOTT_A4,ROUND(BASE_A4+RATE_A4*($A489-BOTT_A4),0),IF($A489&gt;BOTT_A3,ROUND(BASE_A3+RATE_A3*($A489-BOTT_A3),0),IF($A489&gt;BOTT_A2,ROUND(BASE_A2+RATE_A2*($A489-BOTT_A2),0),ROUND(RATE_A1*$A489,0))))</f>
        <v/>
      </c>
      <c r="E489" s="556">
        <f>IF($A489&gt;BOTT_B4,ROUND(BASE_B4+RATE_B4*($A489-BOTT_B4),0),IF($A489&gt;BOTT_B3,ROUND(BASE_B3+RATE_B3*($A489-BOTT_B3),0),IF($A489&gt;BOTT_B2,ROUND(BASE_B2+RATE_B2*($A489-BOTT_B2),0),ROUND(RATE_B1*$A489,0))))</f>
        <v/>
      </c>
      <c r="F489" s="556">
        <f>IF($A489&gt;BOTT_C4,ROUND(BASE_C4+RATE_C4*($A489-BOTT_C4),0),IF($A489&gt;BOTT_C3,ROUND(BASE_C3+RATE_C3*($A489-BOTT_C3),0),IF($A489&gt;BOTT_C2,ROUND(BASE_C2+RATE_C2*($A489-BOTT_C2),0),ROUND(RATE_C1*$A489,0))))</f>
        <v/>
      </c>
      <c r="G489" s="556">
        <f>IF($A489&gt;BOTT_D4,ROUND(BASE_D4+RATE_D4*($A489-BOTT_D4),0),IF($A489&gt;BOTT_D3,ROUND(BASE_D3+RATE_D3*($A489-BOTT_D3),0),IF($A489&gt;BOTT_D2,ROUND(BASE_D2+RATE_D2*($A489-BOTT_D2),0),ROUND(RATE_D1*$A489,0))))</f>
        <v/>
      </c>
    </row>
    <row r="490" ht="15.75" customHeight="1" s="7635">
      <c r="A490" s="625">
        <f>AVERAGE(B490,C490)</f>
        <v/>
      </c>
      <c r="B490" s="555" t="n">
        <v>21300</v>
      </c>
      <c r="C490" s="555" t="n">
        <v>21350</v>
      </c>
      <c r="D490" s="556">
        <f>IF($A490&gt;BOTT_A4,ROUND(BASE_A4+RATE_A4*($A490-BOTT_A4),0),IF($A490&gt;BOTT_A3,ROUND(BASE_A3+RATE_A3*($A490-BOTT_A3),0),IF($A490&gt;BOTT_A2,ROUND(BASE_A2+RATE_A2*($A490-BOTT_A2),0),ROUND(RATE_A1*$A490,0))))</f>
        <v/>
      </c>
      <c r="E490" s="556">
        <f>IF($A490&gt;BOTT_B4,ROUND(BASE_B4+RATE_B4*($A490-BOTT_B4),0),IF($A490&gt;BOTT_B3,ROUND(BASE_B3+RATE_B3*($A490-BOTT_B3),0),IF($A490&gt;BOTT_B2,ROUND(BASE_B2+RATE_B2*($A490-BOTT_B2),0),ROUND(RATE_B1*$A490,0))))</f>
        <v/>
      </c>
      <c r="F490" s="556">
        <f>IF($A490&gt;BOTT_C4,ROUND(BASE_C4+RATE_C4*($A490-BOTT_C4),0),IF($A490&gt;BOTT_C3,ROUND(BASE_C3+RATE_C3*($A490-BOTT_C3),0),IF($A490&gt;BOTT_C2,ROUND(BASE_C2+RATE_C2*($A490-BOTT_C2),0),ROUND(RATE_C1*$A490,0))))</f>
        <v/>
      </c>
      <c r="G490" s="556">
        <f>IF($A490&gt;BOTT_D4,ROUND(BASE_D4+RATE_D4*($A490-BOTT_D4),0),IF($A490&gt;BOTT_D3,ROUND(BASE_D3+RATE_D3*($A490-BOTT_D3),0),IF($A490&gt;BOTT_D2,ROUND(BASE_D2+RATE_D2*($A490-BOTT_D2),0),ROUND(RATE_D1*$A490,0))))</f>
        <v/>
      </c>
    </row>
    <row r="491" ht="15.75" customHeight="1" s="7635">
      <c r="A491" s="625">
        <f>AVERAGE(B491,C491)</f>
        <v/>
      </c>
      <c r="B491" s="555" t="n">
        <v>21350</v>
      </c>
      <c r="C491" s="555" t="n">
        <v>21400</v>
      </c>
      <c r="D491" s="556">
        <f>IF($A491&gt;BOTT_A4,ROUND(BASE_A4+RATE_A4*($A491-BOTT_A4),0),IF($A491&gt;BOTT_A3,ROUND(BASE_A3+RATE_A3*($A491-BOTT_A3),0),IF($A491&gt;BOTT_A2,ROUND(BASE_A2+RATE_A2*($A491-BOTT_A2),0),ROUND(RATE_A1*$A491,0))))</f>
        <v/>
      </c>
      <c r="E491" s="556">
        <f>IF($A491&gt;BOTT_B4,ROUND(BASE_B4+RATE_B4*($A491-BOTT_B4),0),IF($A491&gt;BOTT_B3,ROUND(BASE_B3+RATE_B3*($A491-BOTT_B3),0),IF($A491&gt;BOTT_B2,ROUND(BASE_B2+RATE_B2*($A491-BOTT_B2),0),ROUND(RATE_B1*$A491,0))))</f>
        <v/>
      </c>
      <c r="F491" s="556">
        <f>IF($A491&gt;BOTT_C4,ROUND(BASE_C4+RATE_C4*($A491-BOTT_C4),0),IF($A491&gt;BOTT_C3,ROUND(BASE_C3+RATE_C3*($A491-BOTT_C3),0),IF($A491&gt;BOTT_C2,ROUND(BASE_C2+RATE_C2*($A491-BOTT_C2),0),ROUND(RATE_C1*$A491,0))))</f>
        <v/>
      </c>
      <c r="G491" s="556">
        <f>IF($A491&gt;BOTT_D4,ROUND(BASE_D4+RATE_D4*($A491-BOTT_D4),0),IF($A491&gt;BOTT_D3,ROUND(BASE_D3+RATE_D3*($A491-BOTT_D3),0),IF($A491&gt;BOTT_D2,ROUND(BASE_D2+RATE_D2*($A491-BOTT_D2),0),ROUND(RATE_D1*$A491,0))))</f>
        <v/>
      </c>
    </row>
    <row r="492" ht="15.75" customHeight="1" s="7635">
      <c r="A492" s="625">
        <f>AVERAGE(B492,C492)</f>
        <v/>
      </c>
      <c r="B492" s="555" t="n">
        <v>21400</v>
      </c>
      <c r="C492" s="555" t="n">
        <v>21450</v>
      </c>
      <c r="D492" s="556">
        <f>IF($A492&gt;BOTT_A4,ROUND(BASE_A4+RATE_A4*($A492-BOTT_A4),0),IF($A492&gt;BOTT_A3,ROUND(BASE_A3+RATE_A3*($A492-BOTT_A3),0),IF($A492&gt;BOTT_A2,ROUND(BASE_A2+RATE_A2*($A492-BOTT_A2),0),ROUND(RATE_A1*$A492,0))))</f>
        <v/>
      </c>
      <c r="E492" s="556">
        <f>IF($A492&gt;BOTT_B4,ROUND(BASE_B4+RATE_B4*($A492-BOTT_B4),0),IF($A492&gt;BOTT_B3,ROUND(BASE_B3+RATE_B3*($A492-BOTT_B3),0),IF($A492&gt;BOTT_B2,ROUND(BASE_B2+RATE_B2*($A492-BOTT_B2),0),ROUND(RATE_B1*$A492,0))))</f>
        <v/>
      </c>
      <c r="F492" s="556">
        <f>IF($A492&gt;BOTT_C4,ROUND(BASE_C4+RATE_C4*($A492-BOTT_C4),0),IF($A492&gt;BOTT_C3,ROUND(BASE_C3+RATE_C3*($A492-BOTT_C3),0),IF($A492&gt;BOTT_C2,ROUND(BASE_C2+RATE_C2*($A492-BOTT_C2),0),ROUND(RATE_C1*$A492,0))))</f>
        <v/>
      </c>
      <c r="G492" s="556">
        <f>IF($A492&gt;BOTT_D4,ROUND(BASE_D4+RATE_D4*($A492-BOTT_D4),0),IF($A492&gt;BOTT_D3,ROUND(BASE_D3+RATE_D3*($A492-BOTT_D3),0),IF($A492&gt;BOTT_D2,ROUND(BASE_D2+RATE_D2*($A492-BOTT_D2),0),ROUND(RATE_D1*$A492,0))))</f>
        <v/>
      </c>
    </row>
    <row r="493" ht="15.75" customHeight="1" s="7635">
      <c r="A493" s="625">
        <f>AVERAGE(B493,C493)</f>
        <v/>
      </c>
      <c r="B493" s="555" t="n">
        <v>21450</v>
      </c>
      <c r="C493" s="555" t="n">
        <v>21500</v>
      </c>
      <c r="D493" s="556">
        <f>IF($A493&gt;BOTT_A4,ROUND(BASE_A4+RATE_A4*($A493-BOTT_A4),0),IF($A493&gt;BOTT_A3,ROUND(BASE_A3+RATE_A3*($A493-BOTT_A3),0),IF($A493&gt;BOTT_A2,ROUND(BASE_A2+RATE_A2*($A493-BOTT_A2),0),ROUND(RATE_A1*$A493,0))))</f>
        <v/>
      </c>
      <c r="E493" s="556">
        <f>IF($A493&gt;BOTT_B4,ROUND(BASE_B4+RATE_B4*($A493-BOTT_B4),0),IF($A493&gt;BOTT_B3,ROUND(BASE_B3+RATE_B3*($A493-BOTT_B3),0),IF($A493&gt;BOTT_B2,ROUND(BASE_B2+RATE_B2*($A493-BOTT_B2),0),ROUND(RATE_B1*$A493,0))))</f>
        <v/>
      </c>
      <c r="F493" s="556">
        <f>IF($A493&gt;BOTT_C4,ROUND(BASE_C4+RATE_C4*($A493-BOTT_C4),0),IF($A493&gt;BOTT_C3,ROUND(BASE_C3+RATE_C3*($A493-BOTT_C3),0),IF($A493&gt;BOTT_C2,ROUND(BASE_C2+RATE_C2*($A493-BOTT_C2),0),ROUND(RATE_C1*$A493,0))))</f>
        <v/>
      </c>
      <c r="G493" s="556">
        <f>IF($A493&gt;BOTT_D4,ROUND(BASE_D4+RATE_D4*($A493-BOTT_D4),0),IF($A493&gt;BOTT_D3,ROUND(BASE_D3+RATE_D3*($A493-BOTT_D3),0),IF($A493&gt;BOTT_D2,ROUND(BASE_D2+RATE_D2*($A493-BOTT_D2),0),ROUND(RATE_D1*$A493,0))))</f>
        <v/>
      </c>
    </row>
    <row r="494" ht="15.75" customHeight="1" s="7635">
      <c r="A494" s="625">
        <f>AVERAGE(B494,C494)</f>
        <v/>
      </c>
      <c r="B494" s="555" t="n">
        <v>21500</v>
      </c>
      <c r="C494" s="555" t="n">
        <v>21550</v>
      </c>
      <c r="D494" s="556">
        <f>IF($A494&gt;BOTT_A4,ROUND(BASE_A4+RATE_A4*($A494-BOTT_A4),0),IF($A494&gt;BOTT_A3,ROUND(BASE_A3+RATE_A3*($A494-BOTT_A3),0),IF($A494&gt;BOTT_A2,ROUND(BASE_A2+RATE_A2*($A494-BOTT_A2),0),ROUND(RATE_A1*$A494,0))))</f>
        <v/>
      </c>
      <c r="E494" s="556">
        <f>IF($A494&gt;BOTT_B4,ROUND(BASE_B4+RATE_B4*($A494-BOTT_B4),0),IF($A494&gt;BOTT_B3,ROUND(BASE_B3+RATE_B3*($A494-BOTT_B3),0),IF($A494&gt;BOTT_B2,ROUND(BASE_B2+RATE_B2*($A494-BOTT_B2),0),ROUND(RATE_B1*$A494,0))))</f>
        <v/>
      </c>
      <c r="F494" s="556">
        <f>IF($A494&gt;BOTT_C4,ROUND(BASE_C4+RATE_C4*($A494-BOTT_C4),0),IF($A494&gt;BOTT_C3,ROUND(BASE_C3+RATE_C3*($A494-BOTT_C3),0),IF($A494&gt;BOTT_C2,ROUND(BASE_C2+RATE_C2*($A494-BOTT_C2),0),ROUND(RATE_C1*$A494,0))))</f>
        <v/>
      </c>
      <c r="G494" s="556">
        <f>IF($A494&gt;BOTT_D4,ROUND(BASE_D4+RATE_D4*($A494-BOTT_D4),0),IF($A494&gt;BOTT_D3,ROUND(BASE_D3+RATE_D3*($A494-BOTT_D3),0),IF($A494&gt;BOTT_D2,ROUND(BASE_D2+RATE_D2*($A494-BOTT_D2),0),ROUND(RATE_D1*$A494,0))))</f>
        <v/>
      </c>
    </row>
    <row r="495" ht="15.75" customHeight="1" s="7635">
      <c r="A495" s="625">
        <f>AVERAGE(B495,C495)</f>
        <v/>
      </c>
      <c r="B495" s="555" t="n">
        <v>21550</v>
      </c>
      <c r="C495" s="555" t="n">
        <v>21600</v>
      </c>
      <c r="D495" s="556">
        <f>IF($A495&gt;BOTT_A4,ROUND(BASE_A4+RATE_A4*($A495-BOTT_A4),0),IF($A495&gt;BOTT_A3,ROUND(BASE_A3+RATE_A3*($A495-BOTT_A3),0),IF($A495&gt;BOTT_A2,ROUND(BASE_A2+RATE_A2*($A495-BOTT_A2),0),ROUND(RATE_A1*$A495,0))))</f>
        <v/>
      </c>
      <c r="E495" s="556">
        <f>IF($A495&gt;BOTT_B4,ROUND(BASE_B4+RATE_B4*($A495-BOTT_B4),0),IF($A495&gt;BOTT_B3,ROUND(BASE_B3+RATE_B3*($A495-BOTT_B3),0),IF($A495&gt;BOTT_B2,ROUND(BASE_B2+RATE_B2*($A495-BOTT_B2),0),ROUND(RATE_B1*$A495,0))))</f>
        <v/>
      </c>
      <c r="F495" s="556">
        <f>IF($A495&gt;BOTT_C4,ROUND(BASE_C4+RATE_C4*($A495-BOTT_C4),0),IF($A495&gt;BOTT_C3,ROUND(BASE_C3+RATE_C3*($A495-BOTT_C3),0),IF($A495&gt;BOTT_C2,ROUND(BASE_C2+RATE_C2*($A495-BOTT_C2),0),ROUND(RATE_C1*$A495,0))))</f>
        <v/>
      </c>
      <c r="G495" s="556">
        <f>IF($A495&gt;BOTT_D4,ROUND(BASE_D4+RATE_D4*($A495-BOTT_D4),0),IF($A495&gt;BOTT_D3,ROUND(BASE_D3+RATE_D3*($A495-BOTT_D3),0),IF($A495&gt;BOTT_D2,ROUND(BASE_D2+RATE_D2*($A495-BOTT_D2),0),ROUND(RATE_D1*$A495,0))))</f>
        <v/>
      </c>
    </row>
    <row r="496" ht="15.75" customHeight="1" s="7635">
      <c r="A496" s="625">
        <f>AVERAGE(B496,C496)</f>
        <v/>
      </c>
      <c r="B496" s="555" t="n">
        <v>21600</v>
      </c>
      <c r="C496" s="555" t="n">
        <v>21650</v>
      </c>
      <c r="D496" s="556">
        <f>IF($A496&gt;BOTT_A4,ROUND(BASE_A4+RATE_A4*($A496-BOTT_A4),0),IF($A496&gt;BOTT_A3,ROUND(BASE_A3+RATE_A3*($A496-BOTT_A3),0),IF($A496&gt;BOTT_A2,ROUND(BASE_A2+RATE_A2*($A496-BOTT_A2),0),ROUND(RATE_A1*$A496,0))))</f>
        <v/>
      </c>
      <c r="E496" s="556">
        <f>IF($A496&gt;BOTT_B4,ROUND(BASE_B4+RATE_B4*($A496-BOTT_B4),0),IF($A496&gt;BOTT_B3,ROUND(BASE_B3+RATE_B3*($A496-BOTT_B3),0),IF($A496&gt;BOTT_B2,ROUND(BASE_B2+RATE_B2*($A496-BOTT_B2),0),ROUND(RATE_B1*$A496,0))))</f>
        <v/>
      </c>
      <c r="F496" s="556">
        <f>IF($A496&gt;BOTT_C4,ROUND(BASE_C4+RATE_C4*($A496-BOTT_C4),0),IF($A496&gt;BOTT_C3,ROUND(BASE_C3+RATE_C3*($A496-BOTT_C3),0),IF($A496&gt;BOTT_C2,ROUND(BASE_C2+RATE_C2*($A496-BOTT_C2),0),ROUND(RATE_C1*$A496,0))))</f>
        <v/>
      </c>
      <c r="G496" s="556">
        <f>IF($A496&gt;BOTT_D4,ROUND(BASE_D4+RATE_D4*($A496-BOTT_D4),0),IF($A496&gt;BOTT_D3,ROUND(BASE_D3+RATE_D3*($A496-BOTT_D3),0),IF($A496&gt;BOTT_D2,ROUND(BASE_D2+RATE_D2*($A496-BOTT_D2),0),ROUND(RATE_D1*$A496,0))))</f>
        <v/>
      </c>
    </row>
    <row r="497" ht="15.75" customHeight="1" s="7635">
      <c r="A497" s="625">
        <f>AVERAGE(B497,C497)</f>
        <v/>
      </c>
      <c r="B497" s="555" t="n">
        <v>21650</v>
      </c>
      <c r="C497" s="555" t="n">
        <v>21700</v>
      </c>
      <c r="D497" s="556">
        <f>IF($A497&gt;BOTT_A4,ROUND(BASE_A4+RATE_A4*($A497-BOTT_A4),0),IF($A497&gt;BOTT_A3,ROUND(BASE_A3+RATE_A3*($A497-BOTT_A3),0),IF($A497&gt;BOTT_A2,ROUND(BASE_A2+RATE_A2*($A497-BOTT_A2),0),ROUND(RATE_A1*$A497,0))))</f>
        <v/>
      </c>
      <c r="E497" s="556">
        <f>IF($A497&gt;BOTT_B4,ROUND(BASE_B4+RATE_B4*($A497-BOTT_B4),0),IF($A497&gt;BOTT_B3,ROUND(BASE_B3+RATE_B3*($A497-BOTT_B3),0),IF($A497&gt;BOTT_B2,ROUND(BASE_B2+RATE_B2*($A497-BOTT_B2),0),ROUND(RATE_B1*$A497,0))))</f>
        <v/>
      </c>
      <c r="F497" s="556">
        <f>IF($A497&gt;BOTT_C4,ROUND(BASE_C4+RATE_C4*($A497-BOTT_C4),0),IF($A497&gt;BOTT_C3,ROUND(BASE_C3+RATE_C3*($A497-BOTT_C3),0),IF($A497&gt;BOTT_C2,ROUND(BASE_C2+RATE_C2*($A497-BOTT_C2),0),ROUND(RATE_C1*$A497,0))))</f>
        <v/>
      </c>
      <c r="G497" s="556">
        <f>IF($A497&gt;BOTT_D4,ROUND(BASE_D4+RATE_D4*($A497-BOTT_D4),0),IF($A497&gt;BOTT_D3,ROUND(BASE_D3+RATE_D3*($A497-BOTT_D3),0),IF($A497&gt;BOTT_D2,ROUND(BASE_D2+RATE_D2*($A497-BOTT_D2),0),ROUND(RATE_D1*$A497,0))))</f>
        <v/>
      </c>
    </row>
    <row r="498" ht="15.75" customHeight="1" s="7635">
      <c r="A498" s="625">
        <f>AVERAGE(B498,C498)</f>
        <v/>
      </c>
      <c r="B498" s="555" t="n">
        <v>21700</v>
      </c>
      <c r="C498" s="555" t="n">
        <v>21750</v>
      </c>
      <c r="D498" s="556">
        <f>IF($A498&gt;BOTT_A4,ROUND(BASE_A4+RATE_A4*($A498-BOTT_A4),0),IF($A498&gt;BOTT_A3,ROUND(BASE_A3+RATE_A3*($A498-BOTT_A3),0),IF($A498&gt;BOTT_A2,ROUND(BASE_A2+RATE_A2*($A498-BOTT_A2),0),ROUND(RATE_A1*$A498,0))))</f>
        <v/>
      </c>
      <c r="E498" s="556">
        <f>IF($A498&gt;BOTT_B4,ROUND(BASE_B4+RATE_B4*($A498-BOTT_B4),0),IF($A498&gt;BOTT_B3,ROUND(BASE_B3+RATE_B3*($A498-BOTT_B3),0),IF($A498&gt;BOTT_B2,ROUND(BASE_B2+RATE_B2*($A498-BOTT_B2),0),ROUND(RATE_B1*$A498,0))))</f>
        <v/>
      </c>
      <c r="F498" s="556">
        <f>IF($A498&gt;BOTT_C4,ROUND(BASE_C4+RATE_C4*($A498-BOTT_C4),0),IF($A498&gt;BOTT_C3,ROUND(BASE_C3+RATE_C3*($A498-BOTT_C3),0),IF($A498&gt;BOTT_C2,ROUND(BASE_C2+RATE_C2*($A498-BOTT_C2),0),ROUND(RATE_C1*$A498,0))))</f>
        <v/>
      </c>
      <c r="G498" s="556">
        <f>IF($A498&gt;BOTT_D4,ROUND(BASE_D4+RATE_D4*($A498-BOTT_D4),0),IF($A498&gt;BOTT_D3,ROUND(BASE_D3+RATE_D3*($A498-BOTT_D3),0),IF($A498&gt;BOTT_D2,ROUND(BASE_D2+RATE_D2*($A498-BOTT_D2),0),ROUND(RATE_D1*$A498,0))))</f>
        <v/>
      </c>
    </row>
    <row r="499" ht="15.75" customHeight="1" s="7635">
      <c r="A499" s="625">
        <f>AVERAGE(B499,C499)</f>
        <v/>
      </c>
      <c r="B499" s="555" t="n">
        <v>21750</v>
      </c>
      <c r="C499" s="555" t="n">
        <v>21800</v>
      </c>
      <c r="D499" s="556">
        <f>IF($A499&gt;BOTT_A4,ROUND(BASE_A4+RATE_A4*($A499-BOTT_A4),0),IF($A499&gt;BOTT_A3,ROUND(BASE_A3+RATE_A3*($A499-BOTT_A3),0),IF($A499&gt;BOTT_A2,ROUND(BASE_A2+RATE_A2*($A499-BOTT_A2),0),ROUND(RATE_A1*$A499,0))))</f>
        <v/>
      </c>
      <c r="E499" s="556">
        <f>IF($A499&gt;BOTT_B4,ROUND(BASE_B4+RATE_B4*($A499-BOTT_B4),0),IF($A499&gt;BOTT_B3,ROUND(BASE_B3+RATE_B3*($A499-BOTT_B3),0),IF($A499&gt;BOTT_B2,ROUND(BASE_B2+RATE_B2*($A499-BOTT_B2),0),ROUND(RATE_B1*$A499,0))))</f>
        <v/>
      </c>
      <c r="F499" s="556">
        <f>IF($A499&gt;BOTT_C4,ROUND(BASE_C4+RATE_C4*($A499-BOTT_C4),0),IF($A499&gt;BOTT_C3,ROUND(BASE_C3+RATE_C3*($A499-BOTT_C3),0),IF($A499&gt;BOTT_C2,ROUND(BASE_C2+RATE_C2*($A499-BOTT_C2),0),ROUND(RATE_C1*$A499,0))))</f>
        <v/>
      </c>
      <c r="G499" s="556">
        <f>IF($A499&gt;BOTT_D4,ROUND(BASE_D4+RATE_D4*($A499-BOTT_D4),0),IF($A499&gt;BOTT_D3,ROUND(BASE_D3+RATE_D3*($A499-BOTT_D3),0),IF($A499&gt;BOTT_D2,ROUND(BASE_D2+RATE_D2*($A499-BOTT_D2),0),ROUND(RATE_D1*$A499,0))))</f>
        <v/>
      </c>
    </row>
    <row r="500" ht="15.75" customHeight="1" s="7635">
      <c r="A500" s="625">
        <f>AVERAGE(B500,C500)</f>
        <v/>
      </c>
      <c r="B500" s="555" t="n">
        <v>21800</v>
      </c>
      <c r="C500" s="555" t="n">
        <v>21850</v>
      </c>
      <c r="D500" s="556">
        <f>IF($A500&gt;BOTT_A4,ROUND(BASE_A4+RATE_A4*($A500-BOTT_A4),0),IF($A500&gt;BOTT_A3,ROUND(BASE_A3+RATE_A3*($A500-BOTT_A3),0),IF($A500&gt;BOTT_A2,ROUND(BASE_A2+RATE_A2*($A500-BOTT_A2),0),ROUND(RATE_A1*$A500,0))))</f>
        <v/>
      </c>
      <c r="E500" s="556">
        <f>IF($A500&gt;BOTT_B4,ROUND(BASE_B4+RATE_B4*($A500-BOTT_B4),0),IF($A500&gt;BOTT_B3,ROUND(BASE_B3+RATE_B3*($A500-BOTT_B3),0),IF($A500&gt;BOTT_B2,ROUND(BASE_B2+RATE_B2*($A500-BOTT_B2),0),ROUND(RATE_B1*$A500,0))))</f>
        <v/>
      </c>
      <c r="F500" s="556">
        <f>IF($A500&gt;BOTT_C4,ROUND(BASE_C4+RATE_C4*($A500-BOTT_C4),0),IF($A500&gt;BOTT_C3,ROUND(BASE_C3+RATE_C3*($A500-BOTT_C3),0),IF($A500&gt;BOTT_C2,ROUND(BASE_C2+RATE_C2*($A500-BOTT_C2),0),ROUND(RATE_C1*$A500,0))))</f>
        <v/>
      </c>
      <c r="G500" s="556">
        <f>IF($A500&gt;BOTT_D4,ROUND(BASE_D4+RATE_D4*($A500-BOTT_D4),0),IF($A500&gt;BOTT_D3,ROUND(BASE_D3+RATE_D3*($A500-BOTT_D3),0),IF($A500&gt;BOTT_D2,ROUND(BASE_D2+RATE_D2*($A500-BOTT_D2),0),ROUND(RATE_D1*$A500,0))))</f>
        <v/>
      </c>
    </row>
    <row r="501" ht="15.75" customHeight="1" s="7635">
      <c r="A501" s="625">
        <f>AVERAGE(B501,C501)</f>
        <v/>
      </c>
      <c r="B501" s="555" t="n">
        <v>21850</v>
      </c>
      <c r="C501" s="555" t="n">
        <v>21900</v>
      </c>
      <c r="D501" s="556">
        <f>IF($A501&gt;BOTT_A4,ROUND(BASE_A4+RATE_A4*($A501-BOTT_A4),0),IF($A501&gt;BOTT_A3,ROUND(BASE_A3+RATE_A3*($A501-BOTT_A3),0),IF($A501&gt;BOTT_A2,ROUND(BASE_A2+RATE_A2*($A501-BOTT_A2),0),ROUND(RATE_A1*$A501,0))))</f>
        <v/>
      </c>
      <c r="E501" s="556">
        <f>IF($A501&gt;BOTT_B4,ROUND(BASE_B4+RATE_B4*($A501-BOTT_B4),0),IF($A501&gt;BOTT_B3,ROUND(BASE_B3+RATE_B3*($A501-BOTT_B3),0),IF($A501&gt;BOTT_B2,ROUND(BASE_B2+RATE_B2*($A501-BOTT_B2),0),ROUND(RATE_B1*$A501,0))))</f>
        <v/>
      </c>
      <c r="F501" s="556">
        <f>IF($A501&gt;BOTT_C4,ROUND(BASE_C4+RATE_C4*($A501-BOTT_C4),0),IF($A501&gt;BOTT_C3,ROUND(BASE_C3+RATE_C3*($A501-BOTT_C3),0),IF($A501&gt;BOTT_C2,ROUND(BASE_C2+RATE_C2*($A501-BOTT_C2),0),ROUND(RATE_C1*$A501,0))))</f>
        <v/>
      </c>
      <c r="G501" s="556">
        <f>IF($A501&gt;BOTT_D4,ROUND(BASE_D4+RATE_D4*($A501-BOTT_D4),0),IF($A501&gt;BOTT_D3,ROUND(BASE_D3+RATE_D3*($A501-BOTT_D3),0),IF($A501&gt;BOTT_D2,ROUND(BASE_D2+RATE_D2*($A501-BOTT_D2),0),ROUND(RATE_D1*$A501,0))))</f>
        <v/>
      </c>
    </row>
    <row r="502" ht="15.75" customHeight="1" s="7635">
      <c r="A502" s="625">
        <f>AVERAGE(B502,C502)</f>
        <v/>
      </c>
      <c r="B502" s="555" t="n">
        <v>21900</v>
      </c>
      <c r="C502" s="555" t="n">
        <v>21950</v>
      </c>
      <c r="D502" s="556">
        <f>IF($A502&gt;BOTT_A4,ROUND(BASE_A4+RATE_A4*($A502-BOTT_A4),0),IF($A502&gt;BOTT_A3,ROUND(BASE_A3+RATE_A3*($A502-BOTT_A3),0),IF($A502&gt;BOTT_A2,ROUND(BASE_A2+RATE_A2*($A502-BOTT_A2),0),ROUND(RATE_A1*$A502,0))))</f>
        <v/>
      </c>
      <c r="E502" s="556">
        <f>IF($A502&gt;BOTT_B4,ROUND(BASE_B4+RATE_B4*($A502-BOTT_B4),0),IF($A502&gt;BOTT_B3,ROUND(BASE_B3+RATE_B3*($A502-BOTT_B3),0),IF($A502&gt;BOTT_B2,ROUND(BASE_B2+RATE_B2*($A502-BOTT_B2),0),ROUND(RATE_B1*$A502,0))))</f>
        <v/>
      </c>
      <c r="F502" s="556">
        <f>IF($A502&gt;BOTT_C4,ROUND(BASE_C4+RATE_C4*($A502-BOTT_C4),0),IF($A502&gt;BOTT_C3,ROUND(BASE_C3+RATE_C3*($A502-BOTT_C3),0),IF($A502&gt;BOTT_C2,ROUND(BASE_C2+RATE_C2*($A502-BOTT_C2),0),ROUND(RATE_C1*$A502,0))))</f>
        <v/>
      </c>
      <c r="G502" s="556">
        <f>IF($A502&gt;BOTT_D4,ROUND(BASE_D4+RATE_D4*($A502-BOTT_D4),0),IF($A502&gt;BOTT_D3,ROUND(BASE_D3+RATE_D3*($A502-BOTT_D3),0),IF($A502&gt;BOTT_D2,ROUND(BASE_D2+RATE_D2*($A502-BOTT_D2),0),ROUND(RATE_D1*$A502,0))))</f>
        <v/>
      </c>
    </row>
    <row r="503" ht="15.75" customHeight="1" s="7635">
      <c r="A503" s="625">
        <f>AVERAGE(B503,C503)</f>
        <v/>
      </c>
      <c r="B503" s="555" t="n">
        <v>21950</v>
      </c>
      <c r="C503" s="555" t="n">
        <v>22000</v>
      </c>
      <c r="D503" s="556">
        <f>IF($A503&gt;BOTT_A4,ROUND(BASE_A4+RATE_A4*($A503-BOTT_A4),0),IF($A503&gt;BOTT_A3,ROUND(BASE_A3+RATE_A3*($A503-BOTT_A3),0),IF($A503&gt;BOTT_A2,ROUND(BASE_A2+RATE_A2*($A503-BOTT_A2),0),ROUND(RATE_A1*$A503,0))))</f>
        <v/>
      </c>
      <c r="E503" s="556">
        <f>IF($A503&gt;BOTT_B4,ROUND(BASE_B4+RATE_B4*($A503-BOTT_B4),0),IF($A503&gt;BOTT_B3,ROUND(BASE_B3+RATE_B3*($A503-BOTT_B3),0),IF($A503&gt;BOTT_B2,ROUND(BASE_B2+RATE_B2*($A503-BOTT_B2),0),ROUND(RATE_B1*$A503,0))))</f>
        <v/>
      </c>
      <c r="F503" s="556">
        <f>IF($A503&gt;BOTT_C4,ROUND(BASE_C4+RATE_C4*($A503-BOTT_C4),0),IF($A503&gt;BOTT_C3,ROUND(BASE_C3+RATE_C3*($A503-BOTT_C3),0),IF($A503&gt;BOTT_C2,ROUND(BASE_C2+RATE_C2*($A503-BOTT_C2),0),ROUND(RATE_C1*$A503,0))))</f>
        <v/>
      </c>
      <c r="G503" s="556">
        <f>IF($A503&gt;BOTT_D4,ROUND(BASE_D4+RATE_D4*($A503-BOTT_D4),0),IF($A503&gt;BOTT_D3,ROUND(BASE_D3+RATE_D3*($A503-BOTT_D3),0),IF($A503&gt;BOTT_D2,ROUND(BASE_D2+RATE_D2*($A503-BOTT_D2),0),ROUND(RATE_D1*$A503,0))))</f>
        <v/>
      </c>
    </row>
    <row r="504" ht="15.75" customHeight="1" s="7635">
      <c r="A504" s="625">
        <f>AVERAGE(B504,C504)</f>
        <v/>
      </c>
      <c r="B504" s="555" t="n">
        <v>22000</v>
      </c>
      <c r="C504" s="555" t="n">
        <v>22050</v>
      </c>
      <c r="D504" s="556">
        <f>IF($A504&gt;BOTT_A4,ROUND(BASE_A4+RATE_A4*($A504-BOTT_A4),0),IF($A504&gt;BOTT_A3,ROUND(BASE_A3+RATE_A3*($A504-BOTT_A3),0),IF($A504&gt;BOTT_A2,ROUND(BASE_A2+RATE_A2*($A504-BOTT_A2),0),ROUND(RATE_A1*$A504,0))))</f>
        <v/>
      </c>
      <c r="E504" s="556">
        <f>IF($A504&gt;BOTT_B4,ROUND(BASE_B4+RATE_B4*($A504-BOTT_B4),0),IF($A504&gt;BOTT_B3,ROUND(BASE_B3+RATE_B3*($A504-BOTT_B3),0),IF($A504&gt;BOTT_B2,ROUND(BASE_B2+RATE_B2*($A504-BOTT_B2),0),ROUND(RATE_B1*$A504,0))))</f>
        <v/>
      </c>
      <c r="F504" s="556">
        <f>IF($A504&gt;BOTT_C4,ROUND(BASE_C4+RATE_C4*($A504-BOTT_C4),0),IF($A504&gt;BOTT_C3,ROUND(BASE_C3+RATE_C3*($A504-BOTT_C3),0),IF($A504&gt;BOTT_C2,ROUND(BASE_C2+RATE_C2*($A504-BOTT_C2),0),ROUND(RATE_C1*$A504,0))))</f>
        <v/>
      </c>
      <c r="G504" s="556">
        <f>IF($A504&gt;BOTT_D4,ROUND(BASE_D4+RATE_D4*($A504-BOTT_D4),0),IF($A504&gt;BOTT_D3,ROUND(BASE_D3+RATE_D3*($A504-BOTT_D3),0),IF($A504&gt;BOTT_D2,ROUND(BASE_D2+RATE_D2*($A504-BOTT_D2),0),ROUND(RATE_D1*$A504,0))))</f>
        <v/>
      </c>
    </row>
    <row r="505" ht="15.75" customHeight="1" s="7635">
      <c r="A505" s="625">
        <f>AVERAGE(B505,C505)</f>
        <v/>
      </c>
      <c r="B505" s="555" t="n">
        <v>22050</v>
      </c>
      <c r="C505" s="555" t="n">
        <v>22100</v>
      </c>
      <c r="D505" s="556">
        <f>IF($A505&gt;BOTT_A4,ROUND(BASE_A4+RATE_A4*($A505-BOTT_A4),0),IF($A505&gt;BOTT_A3,ROUND(BASE_A3+RATE_A3*($A505-BOTT_A3),0),IF($A505&gt;BOTT_A2,ROUND(BASE_A2+RATE_A2*($A505-BOTT_A2),0),ROUND(RATE_A1*$A505,0))))</f>
        <v/>
      </c>
      <c r="E505" s="556">
        <f>IF($A505&gt;BOTT_B4,ROUND(BASE_B4+RATE_B4*($A505-BOTT_B4),0),IF($A505&gt;BOTT_B3,ROUND(BASE_B3+RATE_B3*($A505-BOTT_B3),0),IF($A505&gt;BOTT_B2,ROUND(BASE_B2+RATE_B2*($A505-BOTT_B2),0),ROUND(RATE_B1*$A505,0))))</f>
        <v/>
      </c>
      <c r="F505" s="556">
        <f>IF($A505&gt;BOTT_C4,ROUND(BASE_C4+RATE_C4*($A505-BOTT_C4),0),IF($A505&gt;BOTT_C3,ROUND(BASE_C3+RATE_C3*($A505-BOTT_C3),0),IF($A505&gt;BOTT_C2,ROUND(BASE_C2+RATE_C2*($A505-BOTT_C2),0),ROUND(RATE_C1*$A505,0))))</f>
        <v/>
      </c>
      <c r="G505" s="556">
        <f>IF($A505&gt;BOTT_D4,ROUND(BASE_D4+RATE_D4*($A505-BOTT_D4),0),IF($A505&gt;BOTT_D3,ROUND(BASE_D3+RATE_D3*($A505-BOTT_D3),0),IF($A505&gt;BOTT_D2,ROUND(BASE_D2+RATE_D2*($A505-BOTT_D2),0),ROUND(RATE_D1*$A505,0))))</f>
        <v/>
      </c>
    </row>
    <row r="506" ht="15.75" customHeight="1" s="7635">
      <c r="A506" s="625">
        <f>AVERAGE(B506,C506)</f>
        <v/>
      </c>
      <c r="B506" s="555" t="n">
        <v>22100</v>
      </c>
      <c r="C506" s="555" t="n">
        <v>22150</v>
      </c>
      <c r="D506" s="556">
        <f>IF($A506&gt;BOTT_A4,ROUND(BASE_A4+RATE_A4*($A506-BOTT_A4),0),IF($A506&gt;BOTT_A3,ROUND(BASE_A3+RATE_A3*($A506-BOTT_A3),0),IF($A506&gt;BOTT_A2,ROUND(BASE_A2+RATE_A2*($A506-BOTT_A2),0),ROUND(RATE_A1*$A506,0))))</f>
        <v/>
      </c>
      <c r="E506" s="556">
        <f>IF($A506&gt;BOTT_B4,ROUND(BASE_B4+RATE_B4*($A506-BOTT_B4),0),IF($A506&gt;BOTT_B3,ROUND(BASE_B3+RATE_B3*($A506-BOTT_B3),0),IF($A506&gt;BOTT_B2,ROUND(BASE_B2+RATE_B2*($A506-BOTT_B2),0),ROUND(RATE_B1*$A506,0))))</f>
        <v/>
      </c>
      <c r="F506" s="556">
        <f>IF($A506&gt;BOTT_C4,ROUND(BASE_C4+RATE_C4*($A506-BOTT_C4),0),IF($A506&gt;BOTT_C3,ROUND(BASE_C3+RATE_C3*($A506-BOTT_C3),0),IF($A506&gt;BOTT_C2,ROUND(BASE_C2+RATE_C2*($A506-BOTT_C2),0),ROUND(RATE_C1*$A506,0))))</f>
        <v/>
      </c>
      <c r="G506" s="556">
        <f>IF($A506&gt;BOTT_D4,ROUND(BASE_D4+RATE_D4*($A506-BOTT_D4),0),IF($A506&gt;BOTT_D3,ROUND(BASE_D3+RATE_D3*($A506-BOTT_D3),0),IF($A506&gt;BOTT_D2,ROUND(BASE_D2+RATE_D2*($A506-BOTT_D2),0),ROUND(RATE_D1*$A506,0))))</f>
        <v/>
      </c>
    </row>
    <row r="507" ht="15.75" customHeight="1" s="7635">
      <c r="A507" s="625">
        <f>AVERAGE(B507,C507)</f>
        <v/>
      </c>
      <c r="B507" s="555" t="n">
        <v>22150</v>
      </c>
      <c r="C507" s="555" t="n">
        <v>22200</v>
      </c>
      <c r="D507" s="556">
        <f>IF($A507&gt;BOTT_A4,ROUND(BASE_A4+RATE_A4*($A507-BOTT_A4),0),IF($A507&gt;BOTT_A3,ROUND(BASE_A3+RATE_A3*($A507-BOTT_A3),0),IF($A507&gt;BOTT_A2,ROUND(BASE_A2+RATE_A2*($A507-BOTT_A2),0),ROUND(RATE_A1*$A507,0))))</f>
        <v/>
      </c>
      <c r="E507" s="556">
        <f>IF($A507&gt;BOTT_B4,ROUND(BASE_B4+RATE_B4*($A507-BOTT_B4),0),IF($A507&gt;BOTT_B3,ROUND(BASE_B3+RATE_B3*($A507-BOTT_B3),0),IF($A507&gt;BOTT_B2,ROUND(BASE_B2+RATE_B2*($A507-BOTT_B2),0),ROUND(RATE_B1*$A507,0))))</f>
        <v/>
      </c>
      <c r="F507" s="556">
        <f>IF($A507&gt;BOTT_C4,ROUND(BASE_C4+RATE_C4*($A507-BOTT_C4),0),IF($A507&gt;BOTT_C3,ROUND(BASE_C3+RATE_C3*($A507-BOTT_C3),0),IF($A507&gt;BOTT_C2,ROUND(BASE_C2+RATE_C2*($A507-BOTT_C2),0),ROUND(RATE_C1*$A507,0))))</f>
        <v/>
      </c>
      <c r="G507" s="556">
        <f>IF($A507&gt;BOTT_D4,ROUND(BASE_D4+RATE_D4*($A507-BOTT_D4),0),IF($A507&gt;BOTT_D3,ROUND(BASE_D3+RATE_D3*($A507-BOTT_D3),0),IF($A507&gt;BOTT_D2,ROUND(BASE_D2+RATE_D2*($A507-BOTT_D2),0),ROUND(RATE_D1*$A507,0))))</f>
        <v/>
      </c>
    </row>
    <row r="508" ht="15.75" customHeight="1" s="7635">
      <c r="A508" s="625">
        <f>AVERAGE(B508,C508)</f>
        <v/>
      </c>
      <c r="B508" s="555" t="n">
        <v>22200</v>
      </c>
      <c r="C508" s="555" t="n">
        <v>22250</v>
      </c>
      <c r="D508" s="556">
        <f>IF($A508&gt;BOTT_A4,ROUND(BASE_A4+RATE_A4*($A508-BOTT_A4),0),IF($A508&gt;BOTT_A3,ROUND(BASE_A3+RATE_A3*($A508-BOTT_A3),0),IF($A508&gt;BOTT_A2,ROUND(BASE_A2+RATE_A2*($A508-BOTT_A2),0),ROUND(RATE_A1*$A508,0))))</f>
        <v/>
      </c>
      <c r="E508" s="556">
        <f>IF($A508&gt;BOTT_B4,ROUND(BASE_B4+RATE_B4*($A508-BOTT_B4),0),IF($A508&gt;BOTT_B3,ROUND(BASE_B3+RATE_B3*($A508-BOTT_B3),0),IF($A508&gt;BOTT_B2,ROUND(BASE_B2+RATE_B2*($A508-BOTT_B2),0),ROUND(RATE_B1*$A508,0))))</f>
        <v/>
      </c>
      <c r="F508" s="556">
        <f>IF($A508&gt;BOTT_C4,ROUND(BASE_C4+RATE_C4*($A508-BOTT_C4),0),IF($A508&gt;BOTT_C3,ROUND(BASE_C3+RATE_C3*($A508-BOTT_C3),0),IF($A508&gt;BOTT_C2,ROUND(BASE_C2+RATE_C2*($A508-BOTT_C2),0),ROUND(RATE_C1*$A508,0))))</f>
        <v/>
      </c>
      <c r="G508" s="556">
        <f>IF($A508&gt;BOTT_D4,ROUND(BASE_D4+RATE_D4*($A508-BOTT_D4),0),IF($A508&gt;BOTT_D3,ROUND(BASE_D3+RATE_D3*($A508-BOTT_D3),0),IF($A508&gt;BOTT_D2,ROUND(BASE_D2+RATE_D2*($A508-BOTT_D2),0),ROUND(RATE_D1*$A508,0))))</f>
        <v/>
      </c>
    </row>
    <row r="509" ht="15.75" customHeight="1" s="7635">
      <c r="A509" s="625">
        <f>AVERAGE(B509,C509)</f>
        <v/>
      </c>
      <c r="B509" s="555" t="n">
        <v>22250</v>
      </c>
      <c r="C509" s="555" t="n">
        <v>22300</v>
      </c>
      <c r="D509" s="556">
        <f>IF($A509&gt;BOTT_A4,ROUND(BASE_A4+RATE_A4*($A509-BOTT_A4),0),IF($A509&gt;BOTT_A3,ROUND(BASE_A3+RATE_A3*($A509-BOTT_A3),0),IF($A509&gt;BOTT_A2,ROUND(BASE_A2+RATE_A2*($A509-BOTT_A2),0),ROUND(RATE_A1*$A509,0))))</f>
        <v/>
      </c>
      <c r="E509" s="556">
        <f>IF($A509&gt;BOTT_B4,ROUND(BASE_B4+RATE_B4*($A509-BOTT_B4),0),IF($A509&gt;BOTT_B3,ROUND(BASE_B3+RATE_B3*($A509-BOTT_B3),0),IF($A509&gt;BOTT_B2,ROUND(BASE_B2+RATE_B2*($A509-BOTT_B2),0),ROUND(RATE_B1*$A509,0))))</f>
        <v/>
      </c>
      <c r="F509" s="556">
        <f>IF($A509&gt;BOTT_C4,ROUND(BASE_C4+RATE_C4*($A509-BOTT_C4),0),IF($A509&gt;BOTT_C3,ROUND(BASE_C3+RATE_C3*($A509-BOTT_C3),0),IF($A509&gt;BOTT_C2,ROUND(BASE_C2+RATE_C2*($A509-BOTT_C2),0),ROUND(RATE_C1*$A509,0))))</f>
        <v/>
      </c>
      <c r="G509" s="556">
        <f>IF($A509&gt;BOTT_D4,ROUND(BASE_D4+RATE_D4*($A509-BOTT_D4),0),IF($A509&gt;BOTT_D3,ROUND(BASE_D3+RATE_D3*($A509-BOTT_D3),0),IF($A509&gt;BOTT_D2,ROUND(BASE_D2+RATE_D2*($A509-BOTT_D2),0),ROUND(RATE_D1*$A509,0))))</f>
        <v/>
      </c>
    </row>
    <row r="510" ht="15.75" customHeight="1" s="7635">
      <c r="A510" s="625">
        <f>AVERAGE(B510,C510)</f>
        <v/>
      </c>
      <c r="B510" s="555" t="n">
        <v>22300</v>
      </c>
      <c r="C510" s="555" t="n">
        <v>22350</v>
      </c>
      <c r="D510" s="556">
        <f>IF($A510&gt;BOTT_A4,ROUND(BASE_A4+RATE_A4*($A510-BOTT_A4),0),IF($A510&gt;BOTT_A3,ROUND(BASE_A3+RATE_A3*($A510-BOTT_A3),0),IF($A510&gt;BOTT_A2,ROUND(BASE_A2+RATE_A2*($A510-BOTT_A2),0),ROUND(RATE_A1*$A510,0))))</f>
        <v/>
      </c>
      <c r="E510" s="556">
        <f>IF($A510&gt;BOTT_B4,ROUND(BASE_B4+RATE_B4*($A510-BOTT_B4),0),IF($A510&gt;BOTT_B3,ROUND(BASE_B3+RATE_B3*($A510-BOTT_B3),0),IF($A510&gt;BOTT_B2,ROUND(BASE_B2+RATE_B2*($A510-BOTT_B2),0),ROUND(RATE_B1*$A510,0))))</f>
        <v/>
      </c>
      <c r="F510" s="556">
        <f>IF($A510&gt;BOTT_C4,ROUND(BASE_C4+RATE_C4*($A510-BOTT_C4),0),IF($A510&gt;BOTT_C3,ROUND(BASE_C3+RATE_C3*($A510-BOTT_C3),0),IF($A510&gt;BOTT_C2,ROUND(BASE_C2+RATE_C2*($A510-BOTT_C2),0),ROUND(RATE_C1*$A510,0))))</f>
        <v/>
      </c>
      <c r="G510" s="556">
        <f>IF($A510&gt;BOTT_D4,ROUND(BASE_D4+RATE_D4*($A510-BOTT_D4),0),IF($A510&gt;BOTT_D3,ROUND(BASE_D3+RATE_D3*($A510-BOTT_D3),0),IF($A510&gt;BOTT_D2,ROUND(BASE_D2+RATE_D2*($A510-BOTT_D2),0),ROUND(RATE_D1*$A510,0))))</f>
        <v/>
      </c>
    </row>
    <row r="511" ht="15.75" customHeight="1" s="7635">
      <c r="A511" s="625">
        <f>AVERAGE(B511,C511)</f>
        <v/>
      </c>
      <c r="B511" s="555" t="n">
        <v>22350</v>
      </c>
      <c r="C511" s="555" t="n">
        <v>22400</v>
      </c>
      <c r="D511" s="556">
        <f>IF($A511&gt;BOTT_A4,ROUND(BASE_A4+RATE_A4*($A511-BOTT_A4),0),IF($A511&gt;BOTT_A3,ROUND(BASE_A3+RATE_A3*($A511-BOTT_A3),0),IF($A511&gt;BOTT_A2,ROUND(BASE_A2+RATE_A2*($A511-BOTT_A2),0),ROUND(RATE_A1*$A511,0))))</f>
        <v/>
      </c>
      <c r="E511" s="556">
        <f>IF($A511&gt;BOTT_B4,ROUND(BASE_B4+RATE_B4*($A511-BOTT_B4),0),IF($A511&gt;BOTT_B3,ROUND(BASE_B3+RATE_B3*($A511-BOTT_B3),0),IF($A511&gt;BOTT_B2,ROUND(BASE_B2+RATE_B2*($A511-BOTT_B2),0),ROUND(RATE_B1*$A511,0))))</f>
        <v/>
      </c>
      <c r="F511" s="556">
        <f>IF($A511&gt;BOTT_C4,ROUND(BASE_C4+RATE_C4*($A511-BOTT_C4),0),IF($A511&gt;BOTT_C3,ROUND(BASE_C3+RATE_C3*($A511-BOTT_C3),0),IF($A511&gt;BOTT_C2,ROUND(BASE_C2+RATE_C2*($A511-BOTT_C2),0),ROUND(RATE_C1*$A511,0))))</f>
        <v/>
      </c>
      <c r="G511" s="556">
        <f>IF($A511&gt;BOTT_D4,ROUND(BASE_D4+RATE_D4*($A511-BOTT_D4),0),IF($A511&gt;BOTT_D3,ROUND(BASE_D3+RATE_D3*($A511-BOTT_D3),0),IF($A511&gt;BOTT_D2,ROUND(BASE_D2+RATE_D2*($A511-BOTT_D2),0),ROUND(RATE_D1*$A511,0))))</f>
        <v/>
      </c>
    </row>
    <row r="512" ht="15.75" customHeight="1" s="7635">
      <c r="A512" s="625">
        <f>AVERAGE(B512,C512)</f>
        <v/>
      </c>
      <c r="B512" s="555" t="n">
        <v>22400</v>
      </c>
      <c r="C512" s="555" t="n">
        <v>22450</v>
      </c>
      <c r="D512" s="556">
        <f>IF($A512&gt;BOTT_A4,ROUND(BASE_A4+RATE_A4*($A512-BOTT_A4),0),IF($A512&gt;BOTT_A3,ROUND(BASE_A3+RATE_A3*($A512-BOTT_A3),0),IF($A512&gt;BOTT_A2,ROUND(BASE_A2+RATE_A2*($A512-BOTT_A2),0),ROUND(RATE_A1*$A512,0))))</f>
        <v/>
      </c>
      <c r="E512" s="556">
        <f>IF($A512&gt;BOTT_B4,ROUND(BASE_B4+RATE_B4*($A512-BOTT_B4),0),IF($A512&gt;BOTT_B3,ROUND(BASE_B3+RATE_B3*($A512-BOTT_B3),0),IF($A512&gt;BOTT_B2,ROUND(BASE_B2+RATE_B2*($A512-BOTT_B2),0),ROUND(RATE_B1*$A512,0))))</f>
        <v/>
      </c>
      <c r="F512" s="556">
        <f>IF($A512&gt;BOTT_C4,ROUND(BASE_C4+RATE_C4*($A512-BOTT_C4),0),IF($A512&gt;BOTT_C3,ROUND(BASE_C3+RATE_C3*($A512-BOTT_C3),0),IF($A512&gt;BOTT_C2,ROUND(BASE_C2+RATE_C2*($A512-BOTT_C2),0),ROUND(RATE_C1*$A512,0))))</f>
        <v/>
      </c>
      <c r="G512" s="556">
        <f>IF($A512&gt;BOTT_D4,ROUND(BASE_D4+RATE_D4*($A512-BOTT_D4),0),IF($A512&gt;BOTT_D3,ROUND(BASE_D3+RATE_D3*($A512-BOTT_D3),0),IF($A512&gt;BOTT_D2,ROUND(BASE_D2+RATE_D2*($A512-BOTT_D2),0),ROUND(RATE_D1*$A512,0))))</f>
        <v/>
      </c>
    </row>
    <row r="513" ht="15.75" customHeight="1" s="7635">
      <c r="A513" s="625">
        <f>AVERAGE(B513,C513)</f>
        <v/>
      </c>
      <c r="B513" s="555" t="n">
        <v>22450</v>
      </c>
      <c r="C513" s="555" t="n">
        <v>22500</v>
      </c>
      <c r="D513" s="556">
        <f>IF($A513&gt;BOTT_A4,ROUND(BASE_A4+RATE_A4*($A513-BOTT_A4),0),IF($A513&gt;BOTT_A3,ROUND(BASE_A3+RATE_A3*($A513-BOTT_A3),0),IF($A513&gt;BOTT_A2,ROUND(BASE_A2+RATE_A2*($A513-BOTT_A2),0),ROUND(RATE_A1*$A513,0))))</f>
        <v/>
      </c>
      <c r="E513" s="556">
        <f>IF($A513&gt;BOTT_B4,ROUND(BASE_B4+RATE_B4*($A513-BOTT_B4),0),IF($A513&gt;BOTT_B3,ROUND(BASE_B3+RATE_B3*($A513-BOTT_B3),0),IF($A513&gt;BOTT_B2,ROUND(BASE_B2+RATE_B2*($A513-BOTT_B2),0),ROUND(RATE_B1*$A513,0))))</f>
        <v/>
      </c>
      <c r="F513" s="556">
        <f>IF($A513&gt;BOTT_C4,ROUND(BASE_C4+RATE_C4*($A513-BOTT_C4),0),IF($A513&gt;BOTT_C3,ROUND(BASE_C3+RATE_C3*($A513-BOTT_C3),0),IF($A513&gt;BOTT_C2,ROUND(BASE_C2+RATE_C2*($A513-BOTT_C2),0),ROUND(RATE_C1*$A513,0))))</f>
        <v/>
      </c>
      <c r="G513" s="556">
        <f>IF($A513&gt;BOTT_D4,ROUND(BASE_D4+RATE_D4*($A513-BOTT_D4),0),IF($A513&gt;BOTT_D3,ROUND(BASE_D3+RATE_D3*($A513-BOTT_D3),0),IF($A513&gt;BOTT_D2,ROUND(BASE_D2+RATE_D2*($A513-BOTT_D2),0),ROUND(RATE_D1*$A513,0))))</f>
        <v/>
      </c>
    </row>
    <row r="514" ht="15.75" customHeight="1" s="7635">
      <c r="A514" s="625">
        <f>AVERAGE(B514,C514)</f>
        <v/>
      </c>
      <c r="B514" s="555" t="n">
        <v>22500</v>
      </c>
      <c r="C514" s="555" t="n">
        <v>22550</v>
      </c>
      <c r="D514" s="556">
        <f>IF($A514&gt;BOTT_A4,ROUND(BASE_A4+RATE_A4*($A514-BOTT_A4),0),IF($A514&gt;BOTT_A3,ROUND(BASE_A3+RATE_A3*($A514-BOTT_A3),0),IF($A514&gt;BOTT_A2,ROUND(BASE_A2+RATE_A2*($A514-BOTT_A2),0),ROUND(RATE_A1*$A514,0))))</f>
        <v/>
      </c>
      <c r="E514" s="556">
        <f>IF($A514&gt;BOTT_B4,ROUND(BASE_B4+RATE_B4*($A514-BOTT_B4),0),IF($A514&gt;BOTT_B3,ROUND(BASE_B3+RATE_B3*($A514-BOTT_B3),0),IF($A514&gt;BOTT_B2,ROUND(BASE_B2+RATE_B2*($A514-BOTT_B2),0),ROUND(RATE_B1*$A514,0))))</f>
        <v/>
      </c>
      <c r="F514" s="556">
        <f>IF($A514&gt;BOTT_C4,ROUND(BASE_C4+RATE_C4*($A514-BOTT_C4),0),IF($A514&gt;BOTT_C3,ROUND(BASE_C3+RATE_C3*($A514-BOTT_C3),0),IF($A514&gt;BOTT_C2,ROUND(BASE_C2+RATE_C2*($A514-BOTT_C2),0),ROUND(RATE_C1*$A514,0))))</f>
        <v/>
      </c>
      <c r="G514" s="556">
        <f>IF($A514&gt;BOTT_D4,ROUND(BASE_D4+RATE_D4*($A514-BOTT_D4),0),IF($A514&gt;BOTT_D3,ROUND(BASE_D3+RATE_D3*($A514-BOTT_D3),0),IF($A514&gt;BOTT_D2,ROUND(BASE_D2+RATE_D2*($A514-BOTT_D2),0),ROUND(RATE_D1*$A514,0))))</f>
        <v/>
      </c>
    </row>
    <row r="515" ht="15.75" customHeight="1" s="7635">
      <c r="A515" s="625">
        <f>AVERAGE(B515,C515)</f>
        <v/>
      </c>
      <c r="B515" s="555" t="n">
        <v>22550</v>
      </c>
      <c r="C515" s="555" t="n">
        <v>22600</v>
      </c>
      <c r="D515" s="556">
        <f>IF($A515&gt;BOTT_A4,ROUND(BASE_A4+RATE_A4*($A515-BOTT_A4),0),IF($A515&gt;BOTT_A3,ROUND(BASE_A3+RATE_A3*($A515-BOTT_A3),0),IF($A515&gt;BOTT_A2,ROUND(BASE_A2+RATE_A2*($A515-BOTT_A2),0),ROUND(RATE_A1*$A515,0))))</f>
        <v/>
      </c>
      <c r="E515" s="556">
        <f>IF($A515&gt;BOTT_B4,ROUND(BASE_B4+RATE_B4*($A515-BOTT_B4),0),IF($A515&gt;BOTT_B3,ROUND(BASE_B3+RATE_B3*($A515-BOTT_B3),0),IF($A515&gt;BOTT_B2,ROUND(BASE_B2+RATE_B2*($A515-BOTT_B2),0),ROUND(RATE_B1*$A515,0))))</f>
        <v/>
      </c>
      <c r="F515" s="556">
        <f>IF($A515&gt;BOTT_C4,ROUND(BASE_C4+RATE_C4*($A515-BOTT_C4),0),IF($A515&gt;BOTT_C3,ROUND(BASE_C3+RATE_C3*($A515-BOTT_C3),0),IF($A515&gt;BOTT_C2,ROUND(BASE_C2+RATE_C2*($A515-BOTT_C2),0),ROUND(RATE_C1*$A515,0))))</f>
        <v/>
      </c>
      <c r="G515" s="556">
        <f>IF($A515&gt;BOTT_D4,ROUND(BASE_D4+RATE_D4*($A515-BOTT_D4),0),IF($A515&gt;BOTT_D3,ROUND(BASE_D3+RATE_D3*($A515-BOTT_D3),0),IF($A515&gt;BOTT_D2,ROUND(BASE_D2+RATE_D2*($A515-BOTT_D2),0),ROUND(RATE_D1*$A515,0))))</f>
        <v/>
      </c>
    </row>
    <row r="516" ht="15.75" customHeight="1" s="7635">
      <c r="A516" s="625">
        <f>AVERAGE(B516,C516)</f>
        <v/>
      </c>
      <c r="B516" s="555" t="n">
        <v>22600</v>
      </c>
      <c r="C516" s="555" t="n">
        <v>22650</v>
      </c>
      <c r="D516" s="556">
        <f>IF($A516&gt;BOTT_A4,ROUND(BASE_A4+RATE_A4*($A516-BOTT_A4),0),IF($A516&gt;BOTT_A3,ROUND(BASE_A3+RATE_A3*($A516-BOTT_A3),0),IF($A516&gt;BOTT_A2,ROUND(BASE_A2+RATE_A2*($A516-BOTT_A2),0),ROUND(RATE_A1*$A516,0))))</f>
        <v/>
      </c>
      <c r="E516" s="556">
        <f>IF($A516&gt;BOTT_B4,ROUND(BASE_B4+RATE_B4*($A516-BOTT_B4),0),IF($A516&gt;BOTT_B3,ROUND(BASE_B3+RATE_B3*($A516-BOTT_B3),0),IF($A516&gt;BOTT_B2,ROUND(BASE_B2+RATE_B2*($A516-BOTT_B2),0),ROUND(RATE_B1*$A516,0))))</f>
        <v/>
      </c>
      <c r="F516" s="556">
        <f>IF($A516&gt;BOTT_C4,ROUND(BASE_C4+RATE_C4*($A516-BOTT_C4),0),IF($A516&gt;BOTT_C3,ROUND(BASE_C3+RATE_C3*($A516-BOTT_C3),0),IF($A516&gt;BOTT_C2,ROUND(BASE_C2+RATE_C2*($A516-BOTT_C2),0),ROUND(RATE_C1*$A516,0))))</f>
        <v/>
      </c>
      <c r="G516" s="556">
        <f>IF($A516&gt;BOTT_D4,ROUND(BASE_D4+RATE_D4*($A516-BOTT_D4),0),IF($A516&gt;BOTT_D3,ROUND(BASE_D3+RATE_D3*($A516-BOTT_D3),0),IF($A516&gt;BOTT_D2,ROUND(BASE_D2+RATE_D2*($A516-BOTT_D2),0),ROUND(RATE_D1*$A516,0))))</f>
        <v/>
      </c>
    </row>
    <row r="517" ht="15.75" customHeight="1" s="7635">
      <c r="A517" s="625">
        <f>AVERAGE(B517,C517)</f>
        <v/>
      </c>
      <c r="B517" s="555" t="n">
        <v>22650</v>
      </c>
      <c r="C517" s="555" t="n">
        <v>22700</v>
      </c>
      <c r="D517" s="556">
        <f>IF($A517&gt;BOTT_A4,ROUND(BASE_A4+RATE_A4*($A517-BOTT_A4),0),IF($A517&gt;BOTT_A3,ROUND(BASE_A3+RATE_A3*($A517-BOTT_A3),0),IF($A517&gt;BOTT_A2,ROUND(BASE_A2+RATE_A2*($A517-BOTT_A2),0),ROUND(RATE_A1*$A517,0))))</f>
        <v/>
      </c>
      <c r="E517" s="556">
        <f>IF($A517&gt;BOTT_B4,ROUND(BASE_B4+RATE_B4*($A517-BOTT_B4),0),IF($A517&gt;BOTT_B3,ROUND(BASE_B3+RATE_B3*($A517-BOTT_B3),0),IF($A517&gt;BOTT_B2,ROUND(BASE_B2+RATE_B2*($A517-BOTT_B2),0),ROUND(RATE_B1*$A517,0))))</f>
        <v/>
      </c>
      <c r="F517" s="556">
        <f>IF($A517&gt;BOTT_C4,ROUND(BASE_C4+RATE_C4*($A517-BOTT_C4),0),IF($A517&gt;BOTT_C3,ROUND(BASE_C3+RATE_C3*($A517-BOTT_C3),0),IF($A517&gt;BOTT_C2,ROUND(BASE_C2+RATE_C2*($A517-BOTT_C2),0),ROUND(RATE_C1*$A517,0))))</f>
        <v/>
      </c>
      <c r="G517" s="556">
        <f>IF($A517&gt;BOTT_D4,ROUND(BASE_D4+RATE_D4*($A517-BOTT_D4),0),IF($A517&gt;BOTT_D3,ROUND(BASE_D3+RATE_D3*($A517-BOTT_D3),0),IF($A517&gt;BOTT_D2,ROUND(BASE_D2+RATE_D2*($A517-BOTT_D2),0),ROUND(RATE_D1*$A517,0))))</f>
        <v/>
      </c>
    </row>
    <row r="518" ht="15.75" customHeight="1" s="7635">
      <c r="A518" s="625">
        <f>AVERAGE(B518,C518)</f>
        <v/>
      </c>
      <c r="B518" s="555" t="n">
        <v>22700</v>
      </c>
      <c r="C518" s="555" t="n">
        <v>22750</v>
      </c>
      <c r="D518" s="556">
        <f>IF($A518&gt;BOTT_A4,ROUND(BASE_A4+RATE_A4*($A518-BOTT_A4),0),IF($A518&gt;BOTT_A3,ROUND(BASE_A3+RATE_A3*($A518-BOTT_A3),0),IF($A518&gt;BOTT_A2,ROUND(BASE_A2+RATE_A2*($A518-BOTT_A2),0),ROUND(RATE_A1*$A518,0))))</f>
        <v/>
      </c>
      <c r="E518" s="556">
        <f>IF($A518&gt;BOTT_B4,ROUND(BASE_B4+RATE_B4*($A518-BOTT_B4),0),IF($A518&gt;BOTT_B3,ROUND(BASE_B3+RATE_B3*($A518-BOTT_B3),0),IF($A518&gt;BOTT_B2,ROUND(BASE_B2+RATE_B2*($A518-BOTT_B2),0),ROUND(RATE_B1*$A518,0))))</f>
        <v/>
      </c>
      <c r="F518" s="556">
        <f>IF($A518&gt;BOTT_C4,ROUND(BASE_C4+RATE_C4*($A518-BOTT_C4),0),IF($A518&gt;BOTT_C3,ROUND(BASE_C3+RATE_C3*($A518-BOTT_C3),0),IF($A518&gt;BOTT_C2,ROUND(BASE_C2+RATE_C2*($A518-BOTT_C2),0),ROUND(RATE_C1*$A518,0))))</f>
        <v/>
      </c>
      <c r="G518" s="556">
        <f>IF($A518&gt;BOTT_D4,ROUND(BASE_D4+RATE_D4*($A518-BOTT_D4),0),IF($A518&gt;BOTT_D3,ROUND(BASE_D3+RATE_D3*($A518-BOTT_D3),0),IF($A518&gt;BOTT_D2,ROUND(BASE_D2+RATE_D2*($A518-BOTT_D2),0),ROUND(RATE_D1*$A518,0))))</f>
        <v/>
      </c>
    </row>
    <row r="519" ht="15.75" customHeight="1" s="7635">
      <c r="A519" s="625">
        <f>AVERAGE(B519,C519)</f>
        <v/>
      </c>
      <c r="B519" s="555" t="n">
        <v>22750</v>
      </c>
      <c r="C519" s="555" t="n">
        <v>22800</v>
      </c>
      <c r="D519" s="556">
        <f>IF($A519&gt;BOTT_A4,ROUND(BASE_A4+RATE_A4*($A519-BOTT_A4),0),IF($A519&gt;BOTT_A3,ROUND(BASE_A3+RATE_A3*($A519-BOTT_A3),0),IF($A519&gt;BOTT_A2,ROUND(BASE_A2+RATE_A2*($A519-BOTT_A2),0),ROUND(RATE_A1*$A519,0))))</f>
        <v/>
      </c>
      <c r="E519" s="556">
        <f>IF($A519&gt;BOTT_B4,ROUND(BASE_B4+RATE_B4*($A519-BOTT_B4),0),IF($A519&gt;BOTT_B3,ROUND(BASE_B3+RATE_B3*($A519-BOTT_B3),0),IF($A519&gt;BOTT_B2,ROUND(BASE_B2+RATE_B2*($A519-BOTT_B2),0),ROUND(RATE_B1*$A519,0))))</f>
        <v/>
      </c>
      <c r="F519" s="556">
        <f>IF($A519&gt;BOTT_C4,ROUND(BASE_C4+RATE_C4*($A519-BOTT_C4),0),IF($A519&gt;BOTT_C3,ROUND(BASE_C3+RATE_C3*($A519-BOTT_C3),0),IF($A519&gt;BOTT_C2,ROUND(BASE_C2+RATE_C2*($A519-BOTT_C2),0),ROUND(RATE_C1*$A519,0))))</f>
        <v/>
      </c>
      <c r="G519" s="556">
        <f>IF($A519&gt;BOTT_D4,ROUND(BASE_D4+RATE_D4*($A519-BOTT_D4),0),IF($A519&gt;BOTT_D3,ROUND(BASE_D3+RATE_D3*($A519-BOTT_D3),0),IF($A519&gt;BOTT_D2,ROUND(BASE_D2+RATE_D2*($A519-BOTT_D2),0),ROUND(RATE_D1*$A519,0))))</f>
        <v/>
      </c>
    </row>
    <row r="520" ht="15.75" customHeight="1" s="7635">
      <c r="A520" s="625">
        <f>AVERAGE(B520,C520)</f>
        <v/>
      </c>
      <c r="B520" s="555" t="n">
        <v>22800</v>
      </c>
      <c r="C520" s="555" t="n">
        <v>22850</v>
      </c>
      <c r="D520" s="556">
        <f>IF($A520&gt;BOTT_A4,ROUND(BASE_A4+RATE_A4*($A520-BOTT_A4),0),IF($A520&gt;BOTT_A3,ROUND(BASE_A3+RATE_A3*($A520-BOTT_A3),0),IF($A520&gt;BOTT_A2,ROUND(BASE_A2+RATE_A2*($A520-BOTT_A2),0),ROUND(RATE_A1*$A520,0))))</f>
        <v/>
      </c>
      <c r="E520" s="556">
        <f>IF($A520&gt;BOTT_B4,ROUND(BASE_B4+RATE_B4*($A520-BOTT_B4),0),IF($A520&gt;BOTT_B3,ROUND(BASE_B3+RATE_B3*($A520-BOTT_B3),0),IF($A520&gt;BOTT_B2,ROUND(BASE_B2+RATE_B2*($A520-BOTT_B2),0),ROUND(RATE_B1*$A520,0))))</f>
        <v/>
      </c>
      <c r="F520" s="556">
        <f>IF($A520&gt;BOTT_C4,ROUND(BASE_C4+RATE_C4*($A520-BOTT_C4),0),IF($A520&gt;BOTT_C3,ROUND(BASE_C3+RATE_C3*($A520-BOTT_C3),0),IF($A520&gt;BOTT_C2,ROUND(BASE_C2+RATE_C2*($A520-BOTT_C2),0),ROUND(RATE_C1*$A520,0))))</f>
        <v/>
      </c>
      <c r="G520" s="556">
        <f>IF($A520&gt;BOTT_D4,ROUND(BASE_D4+RATE_D4*($A520-BOTT_D4),0),IF($A520&gt;BOTT_D3,ROUND(BASE_D3+RATE_D3*($A520-BOTT_D3),0),IF($A520&gt;BOTT_D2,ROUND(BASE_D2+RATE_D2*($A520-BOTT_D2),0),ROUND(RATE_D1*$A520,0))))</f>
        <v/>
      </c>
    </row>
    <row r="521" ht="15.75" customHeight="1" s="7635">
      <c r="A521" s="625">
        <f>AVERAGE(B521,C521)</f>
        <v/>
      </c>
      <c r="B521" s="555" t="n">
        <v>22850</v>
      </c>
      <c r="C521" s="555" t="n">
        <v>22900</v>
      </c>
      <c r="D521" s="556">
        <f>IF($A521&gt;BOTT_A4,ROUND(BASE_A4+RATE_A4*($A521-BOTT_A4),0),IF($A521&gt;BOTT_A3,ROUND(BASE_A3+RATE_A3*($A521-BOTT_A3),0),IF($A521&gt;BOTT_A2,ROUND(BASE_A2+RATE_A2*($A521-BOTT_A2),0),ROUND(RATE_A1*$A521,0))))</f>
        <v/>
      </c>
      <c r="E521" s="556">
        <f>IF($A521&gt;BOTT_B4,ROUND(BASE_B4+RATE_B4*($A521-BOTT_B4),0),IF($A521&gt;BOTT_B3,ROUND(BASE_B3+RATE_B3*($A521-BOTT_B3),0),IF($A521&gt;BOTT_B2,ROUND(BASE_B2+RATE_B2*($A521-BOTT_B2),0),ROUND(RATE_B1*$A521,0))))</f>
        <v/>
      </c>
      <c r="F521" s="556">
        <f>IF($A521&gt;BOTT_C4,ROUND(BASE_C4+RATE_C4*($A521-BOTT_C4),0),IF($A521&gt;BOTT_C3,ROUND(BASE_C3+RATE_C3*($A521-BOTT_C3),0),IF($A521&gt;BOTT_C2,ROUND(BASE_C2+RATE_C2*($A521-BOTT_C2),0),ROUND(RATE_C1*$A521,0))))</f>
        <v/>
      </c>
      <c r="G521" s="556">
        <f>IF($A521&gt;BOTT_D4,ROUND(BASE_D4+RATE_D4*($A521-BOTT_D4),0),IF($A521&gt;BOTT_D3,ROUND(BASE_D3+RATE_D3*($A521-BOTT_D3),0),IF($A521&gt;BOTT_D2,ROUND(BASE_D2+RATE_D2*($A521-BOTT_D2),0),ROUND(RATE_D1*$A521,0))))</f>
        <v/>
      </c>
    </row>
    <row r="522" ht="15.75" customHeight="1" s="7635">
      <c r="A522" s="625">
        <f>AVERAGE(B522,C522)</f>
        <v/>
      </c>
      <c r="B522" s="555" t="n">
        <v>22900</v>
      </c>
      <c r="C522" s="555" t="n">
        <v>22950</v>
      </c>
      <c r="D522" s="556">
        <f>IF($A522&gt;BOTT_A4,ROUND(BASE_A4+RATE_A4*($A522-BOTT_A4),0),IF($A522&gt;BOTT_A3,ROUND(BASE_A3+RATE_A3*($A522-BOTT_A3),0),IF($A522&gt;BOTT_A2,ROUND(BASE_A2+RATE_A2*($A522-BOTT_A2),0),ROUND(RATE_A1*$A522,0))))</f>
        <v/>
      </c>
      <c r="E522" s="556">
        <f>IF($A522&gt;BOTT_B4,ROUND(BASE_B4+RATE_B4*($A522-BOTT_B4),0),IF($A522&gt;BOTT_B3,ROUND(BASE_B3+RATE_B3*($A522-BOTT_B3),0),IF($A522&gt;BOTT_B2,ROUND(BASE_B2+RATE_B2*($A522-BOTT_B2),0),ROUND(RATE_B1*$A522,0))))</f>
        <v/>
      </c>
      <c r="F522" s="556">
        <f>IF($A522&gt;BOTT_C4,ROUND(BASE_C4+RATE_C4*($A522-BOTT_C4),0),IF($A522&gt;BOTT_C3,ROUND(BASE_C3+RATE_C3*($A522-BOTT_C3),0),IF($A522&gt;BOTT_C2,ROUND(BASE_C2+RATE_C2*($A522-BOTT_C2),0),ROUND(RATE_C1*$A522,0))))</f>
        <v/>
      </c>
      <c r="G522" s="556">
        <f>IF($A522&gt;BOTT_D4,ROUND(BASE_D4+RATE_D4*($A522-BOTT_D4),0),IF($A522&gt;BOTT_D3,ROUND(BASE_D3+RATE_D3*($A522-BOTT_D3),0),IF($A522&gt;BOTT_D2,ROUND(BASE_D2+RATE_D2*($A522-BOTT_D2),0),ROUND(RATE_D1*$A522,0))))</f>
        <v/>
      </c>
    </row>
    <row r="523" ht="15.75" customHeight="1" s="7635">
      <c r="A523" s="625">
        <f>AVERAGE(B523,C523)</f>
        <v/>
      </c>
      <c r="B523" s="555" t="n">
        <v>22950</v>
      </c>
      <c r="C523" s="555" t="n">
        <v>23000</v>
      </c>
      <c r="D523" s="556">
        <f>IF($A523&gt;BOTT_A4,ROUND(BASE_A4+RATE_A4*($A523-BOTT_A4),0),IF($A523&gt;BOTT_A3,ROUND(BASE_A3+RATE_A3*($A523-BOTT_A3),0),IF($A523&gt;BOTT_A2,ROUND(BASE_A2+RATE_A2*($A523-BOTT_A2),0),ROUND(RATE_A1*$A523,0))))</f>
        <v/>
      </c>
      <c r="E523" s="556">
        <f>IF($A523&gt;BOTT_B4,ROUND(BASE_B4+RATE_B4*($A523-BOTT_B4),0),IF($A523&gt;BOTT_B3,ROUND(BASE_B3+RATE_B3*($A523-BOTT_B3),0),IF($A523&gt;BOTT_B2,ROUND(BASE_B2+RATE_B2*($A523-BOTT_B2),0),ROUND(RATE_B1*$A523,0))))</f>
        <v/>
      </c>
      <c r="F523" s="556">
        <f>IF($A523&gt;BOTT_C4,ROUND(BASE_C4+RATE_C4*($A523-BOTT_C4),0),IF($A523&gt;BOTT_C3,ROUND(BASE_C3+RATE_C3*($A523-BOTT_C3),0),IF($A523&gt;BOTT_C2,ROUND(BASE_C2+RATE_C2*($A523-BOTT_C2),0),ROUND(RATE_C1*$A523,0))))</f>
        <v/>
      </c>
      <c r="G523" s="556">
        <f>IF($A523&gt;BOTT_D4,ROUND(BASE_D4+RATE_D4*($A523-BOTT_D4),0),IF($A523&gt;BOTT_D3,ROUND(BASE_D3+RATE_D3*($A523-BOTT_D3),0),IF($A523&gt;BOTT_D2,ROUND(BASE_D2+RATE_D2*($A523-BOTT_D2),0),ROUND(RATE_D1*$A523,0))))</f>
        <v/>
      </c>
    </row>
    <row r="524" ht="15.75" customHeight="1" s="7635">
      <c r="A524" s="625">
        <f>AVERAGE(B524,C524)</f>
        <v/>
      </c>
      <c r="B524" s="555" t="n">
        <v>23000</v>
      </c>
      <c r="C524" s="555" t="n">
        <v>23050</v>
      </c>
      <c r="D524" s="556">
        <f>IF($A524&gt;BOTT_A4,ROUND(BASE_A4+RATE_A4*($A524-BOTT_A4),0),IF($A524&gt;BOTT_A3,ROUND(BASE_A3+RATE_A3*($A524-BOTT_A3),0),IF($A524&gt;BOTT_A2,ROUND(BASE_A2+RATE_A2*($A524-BOTT_A2),0),ROUND(RATE_A1*$A524,0))))</f>
        <v/>
      </c>
      <c r="E524" s="556">
        <f>IF($A524&gt;BOTT_B4,ROUND(BASE_B4+RATE_B4*($A524-BOTT_B4),0),IF($A524&gt;BOTT_B3,ROUND(BASE_B3+RATE_B3*($A524-BOTT_B3),0),IF($A524&gt;BOTT_B2,ROUND(BASE_B2+RATE_B2*($A524-BOTT_B2),0),ROUND(RATE_B1*$A524,0))))</f>
        <v/>
      </c>
      <c r="F524" s="556">
        <f>IF($A524&gt;BOTT_C4,ROUND(BASE_C4+RATE_C4*($A524-BOTT_C4),0),IF($A524&gt;BOTT_C3,ROUND(BASE_C3+RATE_C3*($A524-BOTT_C3),0),IF($A524&gt;BOTT_C2,ROUND(BASE_C2+RATE_C2*($A524-BOTT_C2),0),ROUND(RATE_C1*$A524,0))))</f>
        <v/>
      </c>
      <c r="G524" s="556">
        <f>IF($A524&gt;BOTT_D4,ROUND(BASE_D4+RATE_D4*($A524-BOTT_D4),0),IF($A524&gt;BOTT_D3,ROUND(BASE_D3+RATE_D3*($A524-BOTT_D3),0),IF($A524&gt;BOTT_D2,ROUND(BASE_D2+RATE_D2*($A524-BOTT_D2),0),ROUND(RATE_D1*$A524,0))))</f>
        <v/>
      </c>
    </row>
    <row r="525" ht="15.75" customHeight="1" s="7635">
      <c r="A525" s="625">
        <f>AVERAGE(B525,C525)</f>
        <v/>
      </c>
      <c r="B525" s="555" t="n">
        <v>23050</v>
      </c>
      <c r="C525" s="555" t="n">
        <v>23100</v>
      </c>
      <c r="D525" s="556">
        <f>IF($A525&gt;BOTT_A4,ROUND(BASE_A4+RATE_A4*($A525-BOTT_A4),0),IF($A525&gt;BOTT_A3,ROUND(BASE_A3+RATE_A3*($A525-BOTT_A3),0),IF($A525&gt;BOTT_A2,ROUND(BASE_A2+RATE_A2*($A525-BOTT_A2),0),ROUND(RATE_A1*$A525,0))))</f>
        <v/>
      </c>
      <c r="E525" s="556">
        <f>IF($A525&gt;BOTT_B4,ROUND(BASE_B4+RATE_B4*($A525-BOTT_B4),0),IF($A525&gt;BOTT_B3,ROUND(BASE_B3+RATE_B3*($A525-BOTT_B3),0),IF($A525&gt;BOTT_B2,ROUND(BASE_B2+RATE_B2*($A525-BOTT_B2),0),ROUND(RATE_B1*$A525,0))))</f>
        <v/>
      </c>
      <c r="F525" s="556">
        <f>IF($A525&gt;BOTT_C4,ROUND(BASE_C4+RATE_C4*($A525-BOTT_C4),0),IF($A525&gt;BOTT_C3,ROUND(BASE_C3+RATE_C3*($A525-BOTT_C3),0),IF($A525&gt;BOTT_C2,ROUND(BASE_C2+RATE_C2*($A525-BOTT_C2),0),ROUND(RATE_C1*$A525,0))))</f>
        <v/>
      </c>
      <c r="G525" s="556">
        <f>IF($A525&gt;BOTT_D4,ROUND(BASE_D4+RATE_D4*($A525-BOTT_D4),0),IF($A525&gt;BOTT_D3,ROUND(BASE_D3+RATE_D3*($A525-BOTT_D3),0),IF($A525&gt;BOTT_D2,ROUND(BASE_D2+RATE_D2*($A525-BOTT_D2),0),ROUND(RATE_D1*$A525,0))))</f>
        <v/>
      </c>
    </row>
    <row r="526" ht="15.75" customHeight="1" s="7635">
      <c r="A526" s="625">
        <f>AVERAGE(B526,C526)</f>
        <v/>
      </c>
      <c r="B526" s="555" t="n">
        <v>23100</v>
      </c>
      <c r="C526" s="555" t="n">
        <v>23150</v>
      </c>
      <c r="D526" s="556">
        <f>IF($A526&gt;BOTT_A4,ROUND(BASE_A4+RATE_A4*($A526-BOTT_A4),0),IF($A526&gt;BOTT_A3,ROUND(BASE_A3+RATE_A3*($A526-BOTT_A3),0),IF($A526&gt;BOTT_A2,ROUND(BASE_A2+RATE_A2*($A526-BOTT_A2),0),ROUND(RATE_A1*$A526,0))))</f>
        <v/>
      </c>
      <c r="E526" s="556">
        <f>IF($A526&gt;BOTT_B4,ROUND(BASE_B4+RATE_B4*($A526-BOTT_B4),0),IF($A526&gt;BOTT_B3,ROUND(BASE_B3+RATE_B3*($A526-BOTT_B3),0),IF($A526&gt;BOTT_B2,ROUND(BASE_B2+RATE_B2*($A526-BOTT_B2),0),ROUND(RATE_B1*$A526,0))))</f>
        <v/>
      </c>
      <c r="F526" s="556">
        <f>IF($A526&gt;BOTT_C4,ROUND(BASE_C4+RATE_C4*($A526-BOTT_C4),0),IF($A526&gt;BOTT_C3,ROUND(BASE_C3+RATE_C3*($A526-BOTT_C3),0),IF($A526&gt;BOTT_C2,ROUND(BASE_C2+RATE_C2*($A526-BOTT_C2),0),ROUND(RATE_C1*$A526,0))))</f>
        <v/>
      </c>
      <c r="G526" s="556">
        <f>IF($A526&gt;BOTT_D4,ROUND(BASE_D4+RATE_D4*($A526-BOTT_D4),0),IF($A526&gt;BOTT_D3,ROUND(BASE_D3+RATE_D3*($A526-BOTT_D3),0),IF($A526&gt;BOTT_D2,ROUND(BASE_D2+RATE_D2*($A526-BOTT_D2),0),ROUND(RATE_D1*$A526,0))))</f>
        <v/>
      </c>
    </row>
    <row r="527" ht="15.75" customHeight="1" s="7635">
      <c r="A527" s="625">
        <f>AVERAGE(B527,C527)</f>
        <v/>
      </c>
      <c r="B527" s="555" t="n">
        <v>23150</v>
      </c>
      <c r="C527" s="555" t="n">
        <v>23200</v>
      </c>
      <c r="D527" s="556">
        <f>IF($A527&gt;BOTT_A4,ROUND(BASE_A4+RATE_A4*($A527-BOTT_A4),0),IF($A527&gt;BOTT_A3,ROUND(BASE_A3+RATE_A3*($A527-BOTT_A3),0),IF($A527&gt;BOTT_A2,ROUND(BASE_A2+RATE_A2*($A527-BOTT_A2),0),ROUND(RATE_A1*$A527,0))))</f>
        <v/>
      </c>
      <c r="E527" s="556">
        <f>IF($A527&gt;BOTT_B4,ROUND(BASE_B4+RATE_B4*($A527-BOTT_B4),0),IF($A527&gt;BOTT_B3,ROUND(BASE_B3+RATE_B3*($A527-BOTT_B3),0),IF($A527&gt;BOTT_B2,ROUND(BASE_B2+RATE_B2*($A527-BOTT_B2),0),ROUND(RATE_B1*$A527,0))))</f>
        <v/>
      </c>
      <c r="F527" s="556">
        <f>IF($A527&gt;BOTT_C4,ROUND(BASE_C4+RATE_C4*($A527-BOTT_C4),0),IF($A527&gt;BOTT_C3,ROUND(BASE_C3+RATE_C3*($A527-BOTT_C3),0),IF($A527&gt;BOTT_C2,ROUND(BASE_C2+RATE_C2*($A527-BOTT_C2),0),ROUND(RATE_C1*$A527,0))))</f>
        <v/>
      </c>
      <c r="G527" s="556">
        <f>IF($A527&gt;BOTT_D4,ROUND(BASE_D4+RATE_D4*($A527-BOTT_D4),0),IF($A527&gt;BOTT_D3,ROUND(BASE_D3+RATE_D3*($A527-BOTT_D3),0),IF($A527&gt;BOTT_D2,ROUND(BASE_D2+RATE_D2*($A527-BOTT_D2),0),ROUND(RATE_D1*$A527,0))))</f>
        <v/>
      </c>
    </row>
    <row r="528" ht="15.75" customHeight="1" s="7635">
      <c r="A528" s="625">
        <f>AVERAGE(B528,C528)</f>
        <v/>
      </c>
      <c r="B528" s="555" t="n">
        <v>23200</v>
      </c>
      <c r="C528" s="555" t="n">
        <v>23250</v>
      </c>
      <c r="D528" s="556">
        <f>IF($A528&gt;BOTT_A4,ROUND(BASE_A4+RATE_A4*($A528-BOTT_A4),0),IF($A528&gt;BOTT_A3,ROUND(BASE_A3+RATE_A3*($A528-BOTT_A3),0),IF($A528&gt;BOTT_A2,ROUND(BASE_A2+RATE_A2*($A528-BOTT_A2),0),ROUND(RATE_A1*$A528,0))))</f>
        <v/>
      </c>
      <c r="E528" s="556">
        <f>IF($A528&gt;BOTT_B4,ROUND(BASE_B4+RATE_B4*($A528-BOTT_B4),0),IF($A528&gt;BOTT_B3,ROUND(BASE_B3+RATE_B3*($A528-BOTT_B3),0),IF($A528&gt;BOTT_B2,ROUND(BASE_B2+RATE_B2*($A528-BOTT_B2),0),ROUND(RATE_B1*$A528,0))))</f>
        <v/>
      </c>
      <c r="F528" s="556">
        <f>IF($A528&gt;BOTT_C4,ROUND(BASE_C4+RATE_C4*($A528-BOTT_C4),0),IF($A528&gt;BOTT_C3,ROUND(BASE_C3+RATE_C3*($A528-BOTT_C3),0),IF($A528&gt;BOTT_C2,ROUND(BASE_C2+RATE_C2*($A528-BOTT_C2),0),ROUND(RATE_C1*$A528,0))))</f>
        <v/>
      </c>
      <c r="G528" s="556">
        <f>IF($A528&gt;BOTT_D4,ROUND(BASE_D4+RATE_D4*($A528-BOTT_D4),0),IF($A528&gt;BOTT_D3,ROUND(BASE_D3+RATE_D3*($A528-BOTT_D3),0),IF($A528&gt;BOTT_D2,ROUND(BASE_D2+RATE_D2*($A528-BOTT_D2),0),ROUND(RATE_D1*$A528,0))))</f>
        <v/>
      </c>
    </row>
    <row r="529" ht="15.75" customHeight="1" s="7635">
      <c r="A529" s="625">
        <f>AVERAGE(B529,C529)</f>
        <v/>
      </c>
      <c r="B529" s="555" t="n">
        <v>23250</v>
      </c>
      <c r="C529" s="555" t="n">
        <v>23300</v>
      </c>
      <c r="D529" s="556">
        <f>IF($A529&gt;BOTT_A4,ROUND(BASE_A4+RATE_A4*($A529-BOTT_A4),0),IF($A529&gt;BOTT_A3,ROUND(BASE_A3+RATE_A3*($A529-BOTT_A3),0),IF($A529&gt;BOTT_A2,ROUND(BASE_A2+RATE_A2*($A529-BOTT_A2),0),ROUND(RATE_A1*$A529,0))))</f>
        <v/>
      </c>
      <c r="E529" s="556">
        <f>IF($A529&gt;BOTT_B4,ROUND(BASE_B4+RATE_B4*($A529-BOTT_B4),0),IF($A529&gt;BOTT_B3,ROUND(BASE_B3+RATE_B3*($A529-BOTT_B3),0),IF($A529&gt;BOTT_B2,ROUND(BASE_B2+RATE_B2*($A529-BOTT_B2),0),ROUND(RATE_B1*$A529,0))))</f>
        <v/>
      </c>
      <c r="F529" s="556">
        <f>IF($A529&gt;BOTT_C4,ROUND(BASE_C4+RATE_C4*($A529-BOTT_C4),0),IF($A529&gt;BOTT_C3,ROUND(BASE_C3+RATE_C3*($A529-BOTT_C3),0),IF($A529&gt;BOTT_C2,ROUND(BASE_C2+RATE_C2*($A529-BOTT_C2),0),ROUND(RATE_C1*$A529,0))))</f>
        <v/>
      </c>
      <c r="G529" s="556">
        <f>IF($A529&gt;BOTT_D4,ROUND(BASE_D4+RATE_D4*($A529-BOTT_D4),0),IF($A529&gt;BOTT_D3,ROUND(BASE_D3+RATE_D3*($A529-BOTT_D3),0),IF($A529&gt;BOTT_D2,ROUND(BASE_D2+RATE_D2*($A529-BOTT_D2),0),ROUND(RATE_D1*$A529,0))))</f>
        <v/>
      </c>
    </row>
    <row r="530" ht="15.75" customHeight="1" s="7635">
      <c r="A530" s="625">
        <f>AVERAGE(B530,C530)</f>
        <v/>
      </c>
      <c r="B530" s="555" t="n">
        <v>23300</v>
      </c>
      <c r="C530" s="555" t="n">
        <v>23350</v>
      </c>
      <c r="D530" s="556">
        <f>IF($A530&gt;BOTT_A4,ROUND(BASE_A4+RATE_A4*($A530-BOTT_A4),0),IF($A530&gt;BOTT_A3,ROUND(BASE_A3+RATE_A3*($A530-BOTT_A3),0),IF($A530&gt;BOTT_A2,ROUND(BASE_A2+RATE_A2*($A530-BOTT_A2),0),ROUND(RATE_A1*$A530,0))))</f>
        <v/>
      </c>
      <c r="E530" s="556">
        <f>IF($A530&gt;BOTT_B4,ROUND(BASE_B4+RATE_B4*($A530-BOTT_B4),0),IF($A530&gt;BOTT_B3,ROUND(BASE_B3+RATE_B3*($A530-BOTT_B3),0),IF($A530&gt;BOTT_B2,ROUND(BASE_B2+RATE_B2*($A530-BOTT_B2),0),ROUND(RATE_B1*$A530,0))))</f>
        <v/>
      </c>
      <c r="F530" s="556">
        <f>IF($A530&gt;BOTT_C4,ROUND(BASE_C4+RATE_C4*($A530-BOTT_C4),0),IF($A530&gt;BOTT_C3,ROUND(BASE_C3+RATE_C3*($A530-BOTT_C3),0),IF($A530&gt;BOTT_C2,ROUND(BASE_C2+RATE_C2*($A530-BOTT_C2),0),ROUND(RATE_C1*$A530,0))))</f>
        <v/>
      </c>
      <c r="G530" s="556">
        <f>IF($A530&gt;BOTT_D4,ROUND(BASE_D4+RATE_D4*($A530-BOTT_D4),0),IF($A530&gt;BOTT_D3,ROUND(BASE_D3+RATE_D3*($A530-BOTT_D3),0),IF($A530&gt;BOTT_D2,ROUND(BASE_D2+RATE_D2*($A530-BOTT_D2),0),ROUND(RATE_D1*$A530,0))))</f>
        <v/>
      </c>
    </row>
    <row r="531" ht="15.75" customHeight="1" s="7635">
      <c r="A531" s="625">
        <f>AVERAGE(B531,C531)</f>
        <v/>
      </c>
      <c r="B531" s="555" t="n">
        <v>23350</v>
      </c>
      <c r="C531" s="555" t="n">
        <v>23400</v>
      </c>
      <c r="D531" s="556">
        <f>IF($A531&gt;BOTT_A4,ROUND(BASE_A4+RATE_A4*($A531-BOTT_A4),0),IF($A531&gt;BOTT_A3,ROUND(BASE_A3+RATE_A3*($A531-BOTT_A3),0),IF($A531&gt;BOTT_A2,ROUND(BASE_A2+RATE_A2*($A531-BOTT_A2),0),ROUND(RATE_A1*$A531,0))))</f>
        <v/>
      </c>
      <c r="E531" s="556">
        <f>IF($A531&gt;BOTT_B4,ROUND(BASE_B4+RATE_B4*($A531-BOTT_B4),0),IF($A531&gt;BOTT_B3,ROUND(BASE_B3+RATE_B3*($A531-BOTT_B3),0),IF($A531&gt;BOTT_B2,ROUND(BASE_B2+RATE_B2*($A531-BOTT_B2),0),ROUND(RATE_B1*$A531,0))))</f>
        <v/>
      </c>
      <c r="F531" s="556">
        <f>IF($A531&gt;BOTT_C4,ROUND(BASE_C4+RATE_C4*($A531-BOTT_C4),0),IF($A531&gt;BOTT_C3,ROUND(BASE_C3+RATE_C3*($A531-BOTT_C3),0),IF($A531&gt;BOTT_C2,ROUND(BASE_C2+RATE_C2*($A531-BOTT_C2),0),ROUND(RATE_C1*$A531,0))))</f>
        <v/>
      </c>
      <c r="G531" s="556">
        <f>IF($A531&gt;BOTT_D4,ROUND(BASE_D4+RATE_D4*($A531-BOTT_D4),0),IF($A531&gt;BOTT_D3,ROUND(BASE_D3+RATE_D3*($A531-BOTT_D3),0),IF($A531&gt;BOTT_D2,ROUND(BASE_D2+RATE_D2*($A531-BOTT_D2),0),ROUND(RATE_D1*$A531,0))))</f>
        <v/>
      </c>
    </row>
    <row r="532" ht="15.75" customHeight="1" s="7635">
      <c r="A532" s="625">
        <f>AVERAGE(B532,C532)</f>
        <v/>
      </c>
      <c r="B532" s="555" t="n">
        <v>23400</v>
      </c>
      <c r="C532" s="555" t="n">
        <v>23450</v>
      </c>
      <c r="D532" s="556">
        <f>IF($A532&gt;BOTT_A4,ROUND(BASE_A4+RATE_A4*($A532-BOTT_A4),0),IF($A532&gt;BOTT_A3,ROUND(BASE_A3+RATE_A3*($A532-BOTT_A3),0),IF($A532&gt;BOTT_A2,ROUND(BASE_A2+RATE_A2*($A532-BOTT_A2),0),ROUND(RATE_A1*$A532,0))))</f>
        <v/>
      </c>
      <c r="E532" s="556">
        <f>IF($A532&gt;BOTT_B4,ROUND(BASE_B4+RATE_B4*($A532-BOTT_B4),0),IF($A532&gt;BOTT_B3,ROUND(BASE_B3+RATE_B3*($A532-BOTT_B3),0),IF($A532&gt;BOTT_B2,ROUND(BASE_B2+RATE_B2*($A532-BOTT_B2),0),ROUND(RATE_B1*$A532,0))))</f>
        <v/>
      </c>
      <c r="F532" s="556">
        <f>IF($A532&gt;BOTT_C4,ROUND(BASE_C4+RATE_C4*($A532-BOTT_C4),0),IF($A532&gt;BOTT_C3,ROUND(BASE_C3+RATE_C3*($A532-BOTT_C3),0),IF($A532&gt;BOTT_C2,ROUND(BASE_C2+RATE_C2*($A532-BOTT_C2),0),ROUND(RATE_C1*$A532,0))))</f>
        <v/>
      </c>
      <c r="G532" s="556">
        <f>IF($A532&gt;BOTT_D4,ROUND(BASE_D4+RATE_D4*($A532-BOTT_D4),0),IF($A532&gt;BOTT_D3,ROUND(BASE_D3+RATE_D3*($A532-BOTT_D3),0),IF($A532&gt;BOTT_D2,ROUND(BASE_D2+RATE_D2*($A532-BOTT_D2),0),ROUND(RATE_D1*$A532,0))))</f>
        <v/>
      </c>
    </row>
    <row r="533" ht="15.75" customHeight="1" s="7635">
      <c r="A533" s="625">
        <f>AVERAGE(B533,C533)</f>
        <v/>
      </c>
      <c r="B533" s="555" t="n">
        <v>23450</v>
      </c>
      <c r="C533" s="555" t="n">
        <v>23500</v>
      </c>
      <c r="D533" s="556">
        <f>IF($A533&gt;BOTT_A4,ROUND(BASE_A4+RATE_A4*($A533-BOTT_A4),0),IF($A533&gt;BOTT_A3,ROUND(BASE_A3+RATE_A3*($A533-BOTT_A3),0),IF($A533&gt;BOTT_A2,ROUND(BASE_A2+RATE_A2*($A533-BOTT_A2),0),ROUND(RATE_A1*$A533,0))))</f>
        <v/>
      </c>
      <c r="E533" s="556">
        <f>IF($A533&gt;BOTT_B4,ROUND(BASE_B4+RATE_B4*($A533-BOTT_B4),0),IF($A533&gt;BOTT_B3,ROUND(BASE_B3+RATE_B3*($A533-BOTT_B3),0),IF($A533&gt;BOTT_B2,ROUND(BASE_B2+RATE_B2*($A533-BOTT_B2),0),ROUND(RATE_B1*$A533,0))))</f>
        <v/>
      </c>
      <c r="F533" s="556">
        <f>IF($A533&gt;BOTT_C4,ROUND(BASE_C4+RATE_C4*($A533-BOTT_C4),0),IF($A533&gt;BOTT_C3,ROUND(BASE_C3+RATE_C3*($A533-BOTT_C3),0),IF($A533&gt;BOTT_C2,ROUND(BASE_C2+RATE_C2*($A533-BOTT_C2),0),ROUND(RATE_C1*$A533,0))))</f>
        <v/>
      </c>
      <c r="G533" s="556">
        <f>IF($A533&gt;BOTT_D4,ROUND(BASE_D4+RATE_D4*($A533-BOTT_D4),0),IF($A533&gt;BOTT_D3,ROUND(BASE_D3+RATE_D3*($A533-BOTT_D3),0),IF($A533&gt;BOTT_D2,ROUND(BASE_D2+RATE_D2*($A533-BOTT_D2),0),ROUND(RATE_D1*$A533,0))))</f>
        <v/>
      </c>
    </row>
    <row r="534" ht="15.75" customHeight="1" s="7635">
      <c r="A534" s="625">
        <f>AVERAGE(B534,C534)</f>
        <v/>
      </c>
      <c r="B534" s="555" t="n">
        <v>23500</v>
      </c>
      <c r="C534" s="555" t="n">
        <v>23550</v>
      </c>
      <c r="D534" s="556">
        <f>IF($A534&gt;BOTT_A4,ROUND(BASE_A4+RATE_A4*($A534-BOTT_A4),0),IF($A534&gt;BOTT_A3,ROUND(BASE_A3+RATE_A3*($A534-BOTT_A3),0),IF($A534&gt;BOTT_A2,ROUND(BASE_A2+RATE_A2*($A534-BOTT_A2),0),ROUND(RATE_A1*$A534,0))))</f>
        <v/>
      </c>
      <c r="E534" s="556">
        <f>IF($A534&gt;BOTT_B4,ROUND(BASE_B4+RATE_B4*($A534-BOTT_B4),0),IF($A534&gt;BOTT_B3,ROUND(BASE_B3+RATE_B3*($A534-BOTT_B3),0),IF($A534&gt;BOTT_B2,ROUND(BASE_B2+RATE_B2*($A534-BOTT_B2),0),ROUND(RATE_B1*$A534,0))))</f>
        <v/>
      </c>
      <c r="F534" s="556">
        <f>IF($A534&gt;BOTT_C4,ROUND(BASE_C4+RATE_C4*($A534-BOTT_C4),0),IF($A534&gt;BOTT_C3,ROUND(BASE_C3+RATE_C3*($A534-BOTT_C3),0),IF($A534&gt;BOTT_C2,ROUND(BASE_C2+RATE_C2*($A534-BOTT_C2),0),ROUND(RATE_C1*$A534,0))))</f>
        <v/>
      </c>
      <c r="G534" s="556">
        <f>IF($A534&gt;BOTT_D4,ROUND(BASE_D4+RATE_D4*($A534-BOTT_D4),0),IF($A534&gt;BOTT_D3,ROUND(BASE_D3+RATE_D3*($A534-BOTT_D3),0),IF($A534&gt;BOTT_D2,ROUND(BASE_D2+RATE_D2*($A534-BOTT_D2),0),ROUND(RATE_D1*$A534,0))))</f>
        <v/>
      </c>
    </row>
    <row r="535" ht="15.75" customHeight="1" s="7635">
      <c r="A535" s="625">
        <f>AVERAGE(B535,C535)</f>
        <v/>
      </c>
      <c r="B535" s="555" t="n">
        <v>23550</v>
      </c>
      <c r="C535" s="555" t="n">
        <v>23600</v>
      </c>
      <c r="D535" s="556">
        <f>IF($A535&gt;BOTT_A4,ROUND(BASE_A4+RATE_A4*($A535-BOTT_A4),0),IF($A535&gt;BOTT_A3,ROUND(BASE_A3+RATE_A3*($A535-BOTT_A3),0),IF($A535&gt;BOTT_A2,ROUND(BASE_A2+RATE_A2*($A535-BOTT_A2),0),ROUND(RATE_A1*$A535,0))))</f>
        <v/>
      </c>
      <c r="E535" s="556">
        <f>IF($A535&gt;BOTT_B4,ROUND(BASE_B4+RATE_B4*($A535-BOTT_B4),0),IF($A535&gt;BOTT_B3,ROUND(BASE_B3+RATE_B3*($A535-BOTT_B3),0),IF($A535&gt;BOTT_B2,ROUND(BASE_B2+RATE_B2*($A535-BOTT_B2),0),ROUND(RATE_B1*$A535,0))))</f>
        <v/>
      </c>
      <c r="F535" s="556">
        <f>IF($A535&gt;BOTT_C4,ROUND(BASE_C4+RATE_C4*($A535-BOTT_C4),0),IF($A535&gt;BOTT_C3,ROUND(BASE_C3+RATE_C3*($A535-BOTT_C3),0),IF($A535&gt;BOTT_C2,ROUND(BASE_C2+RATE_C2*($A535-BOTT_C2),0),ROUND(RATE_C1*$A535,0))))</f>
        <v/>
      </c>
      <c r="G535" s="556">
        <f>IF($A535&gt;BOTT_D4,ROUND(BASE_D4+RATE_D4*($A535-BOTT_D4),0),IF($A535&gt;BOTT_D3,ROUND(BASE_D3+RATE_D3*($A535-BOTT_D3),0),IF($A535&gt;BOTT_D2,ROUND(BASE_D2+RATE_D2*($A535-BOTT_D2),0),ROUND(RATE_D1*$A535,0))))</f>
        <v/>
      </c>
    </row>
    <row r="536" ht="15.75" customHeight="1" s="7635">
      <c r="A536" s="625">
        <f>AVERAGE(B536,C536)</f>
        <v/>
      </c>
      <c r="B536" s="555" t="n">
        <v>23600</v>
      </c>
      <c r="C536" s="555" t="n">
        <v>23650</v>
      </c>
      <c r="D536" s="556">
        <f>IF($A536&gt;BOTT_A4,ROUND(BASE_A4+RATE_A4*($A536-BOTT_A4),0),IF($A536&gt;BOTT_A3,ROUND(BASE_A3+RATE_A3*($A536-BOTT_A3),0),IF($A536&gt;BOTT_A2,ROUND(BASE_A2+RATE_A2*($A536-BOTT_A2),0),ROUND(RATE_A1*$A536,0))))</f>
        <v/>
      </c>
      <c r="E536" s="556">
        <f>IF($A536&gt;BOTT_B4,ROUND(BASE_B4+RATE_B4*($A536-BOTT_B4),0),IF($A536&gt;BOTT_B3,ROUND(BASE_B3+RATE_B3*($A536-BOTT_B3),0),IF($A536&gt;BOTT_B2,ROUND(BASE_B2+RATE_B2*($A536-BOTT_B2),0),ROUND(RATE_B1*$A536,0))))</f>
        <v/>
      </c>
      <c r="F536" s="556">
        <f>IF($A536&gt;BOTT_C4,ROUND(BASE_C4+RATE_C4*($A536-BOTT_C4),0),IF($A536&gt;BOTT_C3,ROUND(BASE_C3+RATE_C3*($A536-BOTT_C3),0),IF($A536&gt;BOTT_C2,ROUND(BASE_C2+RATE_C2*($A536-BOTT_C2),0),ROUND(RATE_C1*$A536,0))))</f>
        <v/>
      </c>
      <c r="G536" s="556">
        <f>IF($A536&gt;BOTT_D4,ROUND(BASE_D4+RATE_D4*($A536-BOTT_D4),0),IF($A536&gt;BOTT_D3,ROUND(BASE_D3+RATE_D3*($A536-BOTT_D3),0),IF($A536&gt;BOTT_D2,ROUND(BASE_D2+RATE_D2*($A536-BOTT_D2),0),ROUND(RATE_D1*$A536,0))))</f>
        <v/>
      </c>
    </row>
    <row r="537" ht="15.75" customHeight="1" s="7635">
      <c r="A537" s="625">
        <f>AVERAGE(B537,C537)</f>
        <v/>
      </c>
      <c r="B537" s="555" t="n">
        <v>23650</v>
      </c>
      <c r="C537" s="555" t="n">
        <v>23700</v>
      </c>
      <c r="D537" s="556">
        <f>IF($A537&gt;BOTT_A4,ROUND(BASE_A4+RATE_A4*($A537-BOTT_A4),0),IF($A537&gt;BOTT_A3,ROUND(BASE_A3+RATE_A3*($A537-BOTT_A3),0),IF($A537&gt;BOTT_A2,ROUND(BASE_A2+RATE_A2*($A537-BOTT_A2),0),ROUND(RATE_A1*$A537,0))))</f>
        <v/>
      </c>
      <c r="E537" s="556">
        <f>IF($A537&gt;BOTT_B4,ROUND(BASE_B4+RATE_B4*($A537-BOTT_B4),0),IF($A537&gt;BOTT_B3,ROUND(BASE_B3+RATE_B3*($A537-BOTT_B3),0),IF($A537&gt;BOTT_B2,ROUND(BASE_B2+RATE_B2*($A537-BOTT_B2),0),ROUND(RATE_B1*$A537,0))))</f>
        <v/>
      </c>
      <c r="F537" s="556">
        <f>IF($A537&gt;BOTT_C4,ROUND(BASE_C4+RATE_C4*($A537-BOTT_C4),0),IF($A537&gt;BOTT_C3,ROUND(BASE_C3+RATE_C3*($A537-BOTT_C3),0),IF($A537&gt;BOTT_C2,ROUND(BASE_C2+RATE_C2*($A537-BOTT_C2),0),ROUND(RATE_C1*$A537,0))))</f>
        <v/>
      </c>
      <c r="G537" s="556">
        <f>IF($A537&gt;BOTT_D4,ROUND(BASE_D4+RATE_D4*($A537-BOTT_D4),0),IF($A537&gt;BOTT_D3,ROUND(BASE_D3+RATE_D3*($A537-BOTT_D3),0),IF($A537&gt;BOTT_D2,ROUND(BASE_D2+RATE_D2*($A537-BOTT_D2),0),ROUND(RATE_D1*$A537,0))))</f>
        <v/>
      </c>
    </row>
    <row r="538" ht="15.75" customHeight="1" s="7635">
      <c r="A538" s="625">
        <f>AVERAGE(B538,C538)</f>
        <v/>
      </c>
      <c r="B538" s="555" t="n">
        <v>23700</v>
      </c>
      <c r="C538" s="555" t="n">
        <v>23750</v>
      </c>
      <c r="D538" s="556">
        <f>IF($A538&gt;BOTT_A4,ROUND(BASE_A4+RATE_A4*($A538-BOTT_A4),0),IF($A538&gt;BOTT_A3,ROUND(BASE_A3+RATE_A3*($A538-BOTT_A3),0),IF($A538&gt;BOTT_A2,ROUND(BASE_A2+RATE_A2*($A538-BOTT_A2),0),ROUND(RATE_A1*$A538,0))))</f>
        <v/>
      </c>
      <c r="E538" s="556">
        <f>IF($A538&gt;BOTT_B4,ROUND(BASE_B4+RATE_B4*($A538-BOTT_B4),0),IF($A538&gt;BOTT_B3,ROUND(BASE_B3+RATE_B3*($A538-BOTT_B3),0),IF($A538&gt;BOTT_B2,ROUND(BASE_B2+RATE_B2*($A538-BOTT_B2),0),ROUND(RATE_B1*$A538,0))))</f>
        <v/>
      </c>
      <c r="F538" s="556">
        <f>IF($A538&gt;BOTT_C4,ROUND(BASE_C4+RATE_C4*($A538-BOTT_C4),0),IF($A538&gt;BOTT_C3,ROUND(BASE_C3+RATE_C3*($A538-BOTT_C3),0),IF($A538&gt;BOTT_C2,ROUND(BASE_C2+RATE_C2*($A538-BOTT_C2),0),ROUND(RATE_C1*$A538,0))))</f>
        <v/>
      </c>
      <c r="G538" s="556">
        <f>IF($A538&gt;BOTT_D4,ROUND(BASE_D4+RATE_D4*($A538-BOTT_D4),0),IF($A538&gt;BOTT_D3,ROUND(BASE_D3+RATE_D3*($A538-BOTT_D3),0),IF($A538&gt;BOTT_D2,ROUND(BASE_D2+RATE_D2*($A538-BOTT_D2),0),ROUND(RATE_D1*$A538,0))))</f>
        <v/>
      </c>
    </row>
    <row r="539" ht="15.75" customHeight="1" s="7635">
      <c r="A539" s="625">
        <f>AVERAGE(B539,C539)</f>
        <v/>
      </c>
      <c r="B539" s="555" t="n">
        <v>23750</v>
      </c>
      <c r="C539" s="555" t="n">
        <v>23800</v>
      </c>
      <c r="D539" s="556">
        <f>IF($A539&gt;BOTT_A4,ROUND(BASE_A4+RATE_A4*($A539-BOTT_A4),0),IF($A539&gt;BOTT_A3,ROUND(BASE_A3+RATE_A3*($A539-BOTT_A3),0),IF($A539&gt;BOTT_A2,ROUND(BASE_A2+RATE_A2*($A539-BOTT_A2),0),ROUND(RATE_A1*$A539,0))))</f>
        <v/>
      </c>
      <c r="E539" s="556">
        <f>IF($A539&gt;BOTT_B4,ROUND(BASE_B4+RATE_B4*($A539-BOTT_B4),0),IF($A539&gt;BOTT_B3,ROUND(BASE_B3+RATE_B3*($A539-BOTT_B3),0),IF($A539&gt;BOTT_B2,ROUND(BASE_B2+RATE_B2*($A539-BOTT_B2),0),ROUND(RATE_B1*$A539,0))))</f>
        <v/>
      </c>
      <c r="F539" s="556">
        <f>IF($A539&gt;BOTT_C4,ROUND(BASE_C4+RATE_C4*($A539-BOTT_C4),0),IF($A539&gt;BOTT_C3,ROUND(BASE_C3+RATE_C3*($A539-BOTT_C3),0),IF($A539&gt;BOTT_C2,ROUND(BASE_C2+RATE_C2*($A539-BOTT_C2),0),ROUND(RATE_C1*$A539,0))))</f>
        <v/>
      </c>
      <c r="G539" s="556">
        <f>IF($A539&gt;BOTT_D4,ROUND(BASE_D4+RATE_D4*($A539-BOTT_D4),0),IF($A539&gt;BOTT_D3,ROUND(BASE_D3+RATE_D3*($A539-BOTT_D3),0),IF($A539&gt;BOTT_D2,ROUND(BASE_D2+RATE_D2*($A539-BOTT_D2),0),ROUND(RATE_D1*$A539,0))))</f>
        <v/>
      </c>
    </row>
    <row r="540" ht="15.75" customHeight="1" s="7635">
      <c r="A540" s="625">
        <f>AVERAGE(B540,C540)</f>
        <v/>
      </c>
      <c r="B540" s="555" t="n">
        <v>23800</v>
      </c>
      <c r="C540" s="555" t="n">
        <v>23850</v>
      </c>
      <c r="D540" s="556">
        <f>IF($A540&gt;BOTT_A4,ROUND(BASE_A4+RATE_A4*($A540-BOTT_A4),0),IF($A540&gt;BOTT_A3,ROUND(BASE_A3+RATE_A3*($A540-BOTT_A3),0),IF($A540&gt;BOTT_A2,ROUND(BASE_A2+RATE_A2*($A540-BOTT_A2),0),ROUND(RATE_A1*$A540,0))))</f>
        <v/>
      </c>
      <c r="E540" s="556">
        <f>IF($A540&gt;BOTT_B4,ROUND(BASE_B4+RATE_B4*($A540-BOTT_B4),0),IF($A540&gt;BOTT_B3,ROUND(BASE_B3+RATE_B3*($A540-BOTT_B3),0),IF($A540&gt;BOTT_B2,ROUND(BASE_B2+RATE_B2*($A540-BOTT_B2),0),ROUND(RATE_B1*$A540,0))))</f>
        <v/>
      </c>
      <c r="F540" s="556">
        <f>IF($A540&gt;BOTT_C4,ROUND(BASE_C4+RATE_C4*($A540-BOTT_C4),0),IF($A540&gt;BOTT_C3,ROUND(BASE_C3+RATE_C3*($A540-BOTT_C3),0),IF($A540&gt;BOTT_C2,ROUND(BASE_C2+RATE_C2*($A540-BOTT_C2),0),ROUND(RATE_C1*$A540,0))))</f>
        <v/>
      </c>
      <c r="G540" s="556">
        <f>IF($A540&gt;BOTT_D4,ROUND(BASE_D4+RATE_D4*($A540-BOTT_D4),0),IF($A540&gt;BOTT_D3,ROUND(BASE_D3+RATE_D3*($A540-BOTT_D3),0),IF($A540&gt;BOTT_D2,ROUND(BASE_D2+RATE_D2*($A540-BOTT_D2),0),ROUND(RATE_D1*$A540,0))))</f>
        <v/>
      </c>
    </row>
    <row r="541" ht="15.75" customHeight="1" s="7635">
      <c r="A541" s="625">
        <f>AVERAGE(B541,C541)</f>
        <v/>
      </c>
      <c r="B541" s="555" t="n">
        <v>23850</v>
      </c>
      <c r="C541" s="555" t="n">
        <v>23900</v>
      </c>
      <c r="D541" s="556">
        <f>IF($A541&gt;BOTT_A4,ROUND(BASE_A4+RATE_A4*($A541-BOTT_A4),0),IF($A541&gt;BOTT_A3,ROUND(BASE_A3+RATE_A3*($A541-BOTT_A3),0),IF($A541&gt;BOTT_A2,ROUND(BASE_A2+RATE_A2*($A541-BOTT_A2),0),ROUND(RATE_A1*$A541,0))))</f>
        <v/>
      </c>
      <c r="E541" s="556">
        <f>IF($A541&gt;BOTT_B4,ROUND(BASE_B4+RATE_B4*($A541-BOTT_B4),0),IF($A541&gt;BOTT_B3,ROUND(BASE_B3+RATE_B3*($A541-BOTT_B3),0),IF($A541&gt;BOTT_B2,ROUND(BASE_B2+RATE_B2*($A541-BOTT_B2),0),ROUND(RATE_B1*$A541,0))))</f>
        <v/>
      </c>
      <c r="F541" s="556">
        <f>IF($A541&gt;BOTT_C4,ROUND(BASE_C4+RATE_C4*($A541-BOTT_C4),0),IF($A541&gt;BOTT_C3,ROUND(BASE_C3+RATE_C3*($A541-BOTT_C3),0),IF($A541&gt;BOTT_C2,ROUND(BASE_C2+RATE_C2*($A541-BOTT_C2),0),ROUND(RATE_C1*$A541,0))))</f>
        <v/>
      </c>
      <c r="G541" s="556">
        <f>IF($A541&gt;BOTT_D4,ROUND(BASE_D4+RATE_D4*($A541-BOTT_D4),0),IF($A541&gt;BOTT_D3,ROUND(BASE_D3+RATE_D3*($A541-BOTT_D3),0),IF($A541&gt;BOTT_D2,ROUND(BASE_D2+RATE_D2*($A541-BOTT_D2),0),ROUND(RATE_D1*$A541,0))))</f>
        <v/>
      </c>
    </row>
    <row r="542" ht="15.75" customHeight="1" s="7635">
      <c r="A542" s="625">
        <f>AVERAGE(B542,C542)</f>
        <v/>
      </c>
      <c r="B542" s="555" t="n">
        <v>23900</v>
      </c>
      <c r="C542" s="555" t="n">
        <v>23950</v>
      </c>
      <c r="D542" s="556">
        <f>IF($A542&gt;BOTT_A4,ROUND(BASE_A4+RATE_A4*($A542-BOTT_A4),0),IF($A542&gt;BOTT_A3,ROUND(BASE_A3+RATE_A3*($A542-BOTT_A3),0),IF($A542&gt;BOTT_A2,ROUND(BASE_A2+RATE_A2*($A542-BOTT_A2),0),ROUND(RATE_A1*$A542,0))))</f>
        <v/>
      </c>
      <c r="E542" s="556">
        <f>IF($A542&gt;BOTT_B4,ROUND(BASE_B4+RATE_B4*($A542-BOTT_B4),0),IF($A542&gt;BOTT_B3,ROUND(BASE_B3+RATE_B3*($A542-BOTT_B3),0),IF($A542&gt;BOTT_B2,ROUND(BASE_B2+RATE_B2*($A542-BOTT_B2),0),ROUND(RATE_B1*$A542,0))))</f>
        <v/>
      </c>
      <c r="F542" s="556">
        <f>IF($A542&gt;BOTT_C4,ROUND(BASE_C4+RATE_C4*($A542-BOTT_C4),0),IF($A542&gt;BOTT_C3,ROUND(BASE_C3+RATE_C3*($A542-BOTT_C3),0),IF($A542&gt;BOTT_C2,ROUND(BASE_C2+RATE_C2*($A542-BOTT_C2),0),ROUND(RATE_C1*$A542,0))))</f>
        <v/>
      </c>
      <c r="G542" s="556">
        <f>IF($A542&gt;BOTT_D4,ROUND(BASE_D4+RATE_D4*($A542-BOTT_D4),0),IF($A542&gt;BOTT_D3,ROUND(BASE_D3+RATE_D3*($A542-BOTT_D3),0),IF($A542&gt;BOTT_D2,ROUND(BASE_D2+RATE_D2*($A542-BOTT_D2),0),ROUND(RATE_D1*$A542,0))))</f>
        <v/>
      </c>
    </row>
    <row r="543" ht="15.75" customHeight="1" s="7635">
      <c r="A543" s="625">
        <f>AVERAGE(B543,C543)</f>
        <v/>
      </c>
      <c r="B543" s="555" t="n">
        <v>23950</v>
      </c>
      <c r="C543" s="555" t="n">
        <v>24000</v>
      </c>
      <c r="D543" s="556">
        <f>IF($A543&gt;BOTT_A4,ROUND(BASE_A4+RATE_A4*($A543-BOTT_A4),0),IF($A543&gt;BOTT_A3,ROUND(BASE_A3+RATE_A3*($A543-BOTT_A3),0),IF($A543&gt;BOTT_A2,ROUND(BASE_A2+RATE_A2*($A543-BOTT_A2),0),ROUND(RATE_A1*$A543,0))))</f>
        <v/>
      </c>
      <c r="E543" s="556">
        <f>IF($A543&gt;BOTT_B4,ROUND(BASE_B4+RATE_B4*($A543-BOTT_B4),0),IF($A543&gt;BOTT_B3,ROUND(BASE_B3+RATE_B3*($A543-BOTT_B3),0),IF($A543&gt;BOTT_B2,ROUND(BASE_B2+RATE_B2*($A543-BOTT_B2),0),ROUND(RATE_B1*$A543,0))))</f>
        <v/>
      </c>
      <c r="F543" s="556">
        <f>IF($A543&gt;BOTT_C4,ROUND(BASE_C4+RATE_C4*($A543-BOTT_C4),0),IF($A543&gt;BOTT_C3,ROUND(BASE_C3+RATE_C3*($A543-BOTT_C3),0),IF($A543&gt;BOTT_C2,ROUND(BASE_C2+RATE_C2*($A543-BOTT_C2),0),ROUND(RATE_C1*$A543,0))))</f>
        <v/>
      </c>
      <c r="G543" s="556">
        <f>IF($A543&gt;BOTT_D4,ROUND(BASE_D4+RATE_D4*($A543-BOTT_D4),0),IF($A543&gt;BOTT_D3,ROUND(BASE_D3+RATE_D3*($A543-BOTT_D3),0),IF($A543&gt;BOTT_D2,ROUND(BASE_D2+RATE_D2*($A543-BOTT_D2),0),ROUND(RATE_D1*$A543,0))))</f>
        <v/>
      </c>
    </row>
    <row r="544" ht="15.75" customHeight="1" s="7635">
      <c r="A544" s="625">
        <f>AVERAGE(B544,C544)</f>
        <v/>
      </c>
      <c r="B544" s="555" t="n">
        <v>24000</v>
      </c>
      <c r="C544" s="555" t="n">
        <v>24050</v>
      </c>
      <c r="D544" s="556">
        <f>IF($A544&gt;BOTT_A4,ROUND(BASE_A4+RATE_A4*($A544-BOTT_A4),0),IF($A544&gt;BOTT_A3,ROUND(BASE_A3+RATE_A3*($A544-BOTT_A3),0),IF($A544&gt;BOTT_A2,ROUND(BASE_A2+RATE_A2*($A544-BOTT_A2),0),ROUND(RATE_A1*$A544,0))))</f>
        <v/>
      </c>
      <c r="E544" s="556">
        <f>IF($A544&gt;BOTT_B4,ROUND(BASE_B4+RATE_B4*($A544-BOTT_B4),0),IF($A544&gt;BOTT_B3,ROUND(BASE_B3+RATE_B3*($A544-BOTT_B3),0),IF($A544&gt;BOTT_B2,ROUND(BASE_B2+RATE_B2*($A544-BOTT_B2),0),ROUND(RATE_B1*$A544,0))))</f>
        <v/>
      </c>
      <c r="F544" s="556">
        <f>IF($A544&gt;BOTT_C4,ROUND(BASE_C4+RATE_C4*($A544-BOTT_C4),0),IF($A544&gt;BOTT_C3,ROUND(BASE_C3+RATE_C3*($A544-BOTT_C3),0),IF($A544&gt;BOTT_C2,ROUND(BASE_C2+RATE_C2*($A544-BOTT_C2),0),ROUND(RATE_C1*$A544,0))))</f>
        <v/>
      </c>
      <c r="G544" s="556">
        <f>IF($A544&gt;BOTT_D4,ROUND(BASE_D4+RATE_D4*($A544-BOTT_D4),0),IF($A544&gt;BOTT_D3,ROUND(BASE_D3+RATE_D3*($A544-BOTT_D3),0),IF($A544&gt;BOTT_D2,ROUND(BASE_D2+RATE_D2*($A544-BOTT_D2),0),ROUND(RATE_D1*$A544,0))))</f>
        <v/>
      </c>
    </row>
    <row r="545" ht="15.75" customHeight="1" s="7635">
      <c r="A545" s="625">
        <f>AVERAGE(B545,C545)</f>
        <v/>
      </c>
      <c r="B545" s="555" t="n">
        <v>24050</v>
      </c>
      <c r="C545" s="555" t="n">
        <v>24100</v>
      </c>
      <c r="D545" s="556">
        <f>IF($A545&gt;BOTT_A4,ROUND(BASE_A4+RATE_A4*($A545-BOTT_A4),0),IF($A545&gt;BOTT_A3,ROUND(BASE_A3+RATE_A3*($A545-BOTT_A3),0),IF($A545&gt;BOTT_A2,ROUND(BASE_A2+RATE_A2*($A545-BOTT_A2),0),ROUND(RATE_A1*$A545,0))))</f>
        <v/>
      </c>
      <c r="E545" s="556">
        <f>IF($A545&gt;BOTT_B4,ROUND(BASE_B4+RATE_B4*($A545-BOTT_B4),0),IF($A545&gt;BOTT_B3,ROUND(BASE_B3+RATE_B3*($A545-BOTT_B3),0),IF($A545&gt;BOTT_B2,ROUND(BASE_B2+RATE_B2*($A545-BOTT_B2),0),ROUND(RATE_B1*$A545,0))))</f>
        <v/>
      </c>
      <c r="F545" s="556">
        <f>IF($A545&gt;BOTT_C4,ROUND(BASE_C4+RATE_C4*($A545-BOTT_C4),0),IF($A545&gt;BOTT_C3,ROUND(BASE_C3+RATE_C3*($A545-BOTT_C3),0),IF($A545&gt;BOTT_C2,ROUND(BASE_C2+RATE_C2*($A545-BOTT_C2),0),ROUND(RATE_C1*$A545,0))))</f>
        <v/>
      </c>
      <c r="G545" s="556">
        <f>IF($A545&gt;BOTT_D4,ROUND(BASE_D4+RATE_D4*($A545-BOTT_D4),0),IF($A545&gt;BOTT_D3,ROUND(BASE_D3+RATE_D3*($A545-BOTT_D3),0),IF($A545&gt;BOTT_D2,ROUND(BASE_D2+RATE_D2*($A545-BOTT_D2),0),ROUND(RATE_D1*$A545,0))))</f>
        <v/>
      </c>
    </row>
    <row r="546" ht="15.75" customHeight="1" s="7635">
      <c r="A546" s="625">
        <f>AVERAGE(B546,C546)</f>
        <v/>
      </c>
      <c r="B546" s="555" t="n">
        <v>24100</v>
      </c>
      <c r="C546" s="555" t="n">
        <v>24150</v>
      </c>
      <c r="D546" s="556">
        <f>IF($A546&gt;BOTT_A4,ROUND(BASE_A4+RATE_A4*($A546-BOTT_A4),0),IF($A546&gt;BOTT_A3,ROUND(BASE_A3+RATE_A3*($A546-BOTT_A3),0),IF($A546&gt;BOTT_A2,ROUND(BASE_A2+RATE_A2*($A546-BOTT_A2),0),ROUND(RATE_A1*$A546,0))))</f>
        <v/>
      </c>
      <c r="E546" s="556">
        <f>IF($A546&gt;BOTT_B4,ROUND(BASE_B4+RATE_B4*($A546-BOTT_B4),0),IF($A546&gt;BOTT_B3,ROUND(BASE_B3+RATE_B3*($A546-BOTT_B3),0),IF($A546&gt;BOTT_B2,ROUND(BASE_B2+RATE_B2*($A546-BOTT_B2),0),ROUND(RATE_B1*$A546,0))))</f>
        <v/>
      </c>
      <c r="F546" s="556">
        <f>IF($A546&gt;BOTT_C4,ROUND(BASE_C4+RATE_C4*($A546-BOTT_C4),0),IF($A546&gt;BOTT_C3,ROUND(BASE_C3+RATE_C3*($A546-BOTT_C3),0),IF($A546&gt;BOTT_C2,ROUND(BASE_C2+RATE_C2*($A546-BOTT_C2),0),ROUND(RATE_C1*$A546,0))))</f>
        <v/>
      </c>
      <c r="G546" s="556">
        <f>IF($A546&gt;BOTT_D4,ROUND(BASE_D4+RATE_D4*($A546-BOTT_D4),0),IF($A546&gt;BOTT_D3,ROUND(BASE_D3+RATE_D3*($A546-BOTT_D3),0),IF($A546&gt;BOTT_D2,ROUND(BASE_D2+RATE_D2*($A546-BOTT_D2),0),ROUND(RATE_D1*$A546,0))))</f>
        <v/>
      </c>
    </row>
    <row r="547" ht="15.75" customHeight="1" s="7635">
      <c r="A547" s="625">
        <f>AVERAGE(B547,C547)</f>
        <v/>
      </c>
      <c r="B547" s="555" t="n">
        <v>24150</v>
      </c>
      <c r="C547" s="555" t="n">
        <v>24200</v>
      </c>
      <c r="D547" s="556">
        <f>IF($A547&gt;BOTT_A4,ROUND(BASE_A4+RATE_A4*($A547-BOTT_A4),0),IF($A547&gt;BOTT_A3,ROUND(BASE_A3+RATE_A3*($A547-BOTT_A3),0),IF($A547&gt;BOTT_A2,ROUND(BASE_A2+RATE_A2*($A547-BOTT_A2),0),ROUND(RATE_A1*$A547,0))))</f>
        <v/>
      </c>
      <c r="E547" s="556">
        <f>IF($A547&gt;BOTT_B4,ROUND(BASE_B4+RATE_B4*($A547-BOTT_B4),0),IF($A547&gt;BOTT_B3,ROUND(BASE_B3+RATE_B3*($A547-BOTT_B3),0),IF($A547&gt;BOTT_B2,ROUND(BASE_B2+RATE_B2*($A547-BOTT_B2),0),ROUND(RATE_B1*$A547,0))))</f>
        <v/>
      </c>
      <c r="F547" s="556">
        <f>IF($A547&gt;BOTT_C4,ROUND(BASE_C4+RATE_C4*($A547-BOTT_C4),0),IF($A547&gt;BOTT_C3,ROUND(BASE_C3+RATE_C3*($A547-BOTT_C3),0),IF($A547&gt;BOTT_C2,ROUND(BASE_C2+RATE_C2*($A547-BOTT_C2),0),ROUND(RATE_C1*$A547,0))))</f>
        <v/>
      </c>
      <c r="G547" s="556">
        <f>IF($A547&gt;BOTT_D4,ROUND(BASE_D4+RATE_D4*($A547-BOTT_D4),0),IF($A547&gt;BOTT_D3,ROUND(BASE_D3+RATE_D3*($A547-BOTT_D3),0),IF($A547&gt;BOTT_D2,ROUND(BASE_D2+RATE_D2*($A547-BOTT_D2),0),ROUND(RATE_D1*$A547,0))))</f>
        <v/>
      </c>
    </row>
    <row r="548" ht="15.75" customHeight="1" s="7635">
      <c r="A548" s="625">
        <f>AVERAGE(B548,C548)</f>
        <v/>
      </c>
      <c r="B548" s="555" t="n">
        <v>24200</v>
      </c>
      <c r="C548" s="555" t="n">
        <v>24250</v>
      </c>
      <c r="D548" s="556">
        <f>IF($A548&gt;BOTT_A4,ROUND(BASE_A4+RATE_A4*($A548-BOTT_A4),0),IF($A548&gt;BOTT_A3,ROUND(BASE_A3+RATE_A3*($A548-BOTT_A3),0),IF($A548&gt;BOTT_A2,ROUND(BASE_A2+RATE_A2*($A548-BOTT_A2),0),ROUND(RATE_A1*$A548,0))))</f>
        <v/>
      </c>
      <c r="E548" s="556">
        <f>IF($A548&gt;BOTT_B4,ROUND(BASE_B4+RATE_B4*($A548-BOTT_B4),0),IF($A548&gt;BOTT_B3,ROUND(BASE_B3+RATE_B3*($A548-BOTT_B3),0),IF($A548&gt;BOTT_B2,ROUND(BASE_B2+RATE_B2*($A548-BOTT_B2),0),ROUND(RATE_B1*$A548,0))))</f>
        <v/>
      </c>
      <c r="F548" s="556">
        <f>IF($A548&gt;BOTT_C4,ROUND(BASE_C4+RATE_C4*($A548-BOTT_C4),0),IF($A548&gt;BOTT_C3,ROUND(BASE_C3+RATE_C3*($A548-BOTT_C3),0),IF($A548&gt;BOTT_C2,ROUND(BASE_C2+RATE_C2*($A548-BOTT_C2),0),ROUND(RATE_C1*$A548,0))))</f>
        <v/>
      </c>
      <c r="G548" s="556">
        <f>IF($A548&gt;BOTT_D4,ROUND(BASE_D4+RATE_D4*($A548-BOTT_D4),0),IF($A548&gt;BOTT_D3,ROUND(BASE_D3+RATE_D3*($A548-BOTT_D3),0),IF($A548&gt;BOTT_D2,ROUND(BASE_D2+RATE_D2*($A548-BOTT_D2),0),ROUND(RATE_D1*$A548,0))))</f>
        <v/>
      </c>
    </row>
    <row r="549" ht="15.75" customHeight="1" s="7635">
      <c r="A549" s="625">
        <f>AVERAGE(B549,C549)</f>
        <v/>
      </c>
      <c r="B549" s="555" t="n">
        <v>24250</v>
      </c>
      <c r="C549" s="555" t="n">
        <v>24300</v>
      </c>
      <c r="D549" s="556">
        <f>IF($A549&gt;BOTT_A4,ROUND(BASE_A4+RATE_A4*($A549-BOTT_A4),0),IF($A549&gt;BOTT_A3,ROUND(BASE_A3+RATE_A3*($A549-BOTT_A3),0),IF($A549&gt;BOTT_A2,ROUND(BASE_A2+RATE_A2*($A549-BOTT_A2),0),ROUND(RATE_A1*$A549,0))))</f>
        <v/>
      </c>
      <c r="E549" s="556">
        <f>IF($A549&gt;BOTT_B4,ROUND(BASE_B4+RATE_B4*($A549-BOTT_B4),0),IF($A549&gt;BOTT_B3,ROUND(BASE_B3+RATE_B3*($A549-BOTT_B3),0),IF($A549&gt;BOTT_B2,ROUND(BASE_B2+RATE_B2*($A549-BOTT_B2),0),ROUND(RATE_B1*$A549,0))))</f>
        <v/>
      </c>
      <c r="F549" s="556">
        <f>IF($A549&gt;BOTT_C4,ROUND(BASE_C4+RATE_C4*($A549-BOTT_C4),0),IF($A549&gt;BOTT_C3,ROUND(BASE_C3+RATE_C3*($A549-BOTT_C3),0),IF($A549&gt;BOTT_C2,ROUND(BASE_C2+RATE_C2*($A549-BOTT_C2),0),ROUND(RATE_C1*$A549,0))))</f>
        <v/>
      </c>
      <c r="G549" s="556">
        <f>IF($A549&gt;BOTT_D4,ROUND(BASE_D4+RATE_D4*($A549-BOTT_D4),0),IF($A549&gt;BOTT_D3,ROUND(BASE_D3+RATE_D3*($A549-BOTT_D3),0),IF($A549&gt;BOTT_D2,ROUND(BASE_D2+RATE_D2*($A549-BOTT_D2),0),ROUND(RATE_D1*$A549,0))))</f>
        <v/>
      </c>
    </row>
    <row r="550" ht="15.75" customHeight="1" s="7635">
      <c r="A550" s="625">
        <f>AVERAGE(B550,C550)</f>
        <v/>
      </c>
      <c r="B550" s="555" t="n">
        <v>24300</v>
      </c>
      <c r="C550" s="555" t="n">
        <v>24350</v>
      </c>
      <c r="D550" s="556">
        <f>IF($A550&gt;BOTT_A4,ROUND(BASE_A4+RATE_A4*($A550-BOTT_A4),0),IF($A550&gt;BOTT_A3,ROUND(BASE_A3+RATE_A3*($A550-BOTT_A3),0),IF($A550&gt;BOTT_A2,ROUND(BASE_A2+RATE_A2*($A550-BOTT_A2),0),ROUND(RATE_A1*$A550,0))))</f>
        <v/>
      </c>
      <c r="E550" s="556">
        <f>IF($A550&gt;BOTT_B4,ROUND(BASE_B4+RATE_B4*($A550-BOTT_B4),0),IF($A550&gt;BOTT_B3,ROUND(BASE_B3+RATE_B3*($A550-BOTT_B3),0),IF($A550&gt;BOTT_B2,ROUND(BASE_B2+RATE_B2*($A550-BOTT_B2),0),ROUND(RATE_B1*$A550,0))))</f>
        <v/>
      </c>
      <c r="F550" s="556">
        <f>IF($A550&gt;BOTT_C4,ROUND(BASE_C4+RATE_C4*($A550-BOTT_C4),0),IF($A550&gt;BOTT_C3,ROUND(BASE_C3+RATE_C3*($A550-BOTT_C3),0),IF($A550&gt;BOTT_C2,ROUND(BASE_C2+RATE_C2*($A550-BOTT_C2),0),ROUND(RATE_C1*$A550,0))))</f>
        <v/>
      </c>
      <c r="G550" s="556">
        <f>IF($A550&gt;BOTT_D4,ROUND(BASE_D4+RATE_D4*($A550-BOTT_D4),0),IF($A550&gt;BOTT_D3,ROUND(BASE_D3+RATE_D3*($A550-BOTT_D3),0),IF($A550&gt;BOTT_D2,ROUND(BASE_D2+RATE_D2*($A550-BOTT_D2),0),ROUND(RATE_D1*$A550,0))))</f>
        <v/>
      </c>
    </row>
    <row r="551" ht="15.75" customHeight="1" s="7635">
      <c r="A551" s="625">
        <f>AVERAGE(B551,C551)</f>
        <v/>
      </c>
      <c r="B551" s="555" t="n">
        <v>24350</v>
      </c>
      <c r="C551" s="555" t="n">
        <v>24400</v>
      </c>
      <c r="D551" s="556">
        <f>IF($A551&gt;BOTT_A4,ROUND(BASE_A4+RATE_A4*($A551-BOTT_A4),0),IF($A551&gt;BOTT_A3,ROUND(BASE_A3+RATE_A3*($A551-BOTT_A3),0),IF($A551&gt;BOTT_A2,ROUND(BASE_A2+RATE_A2*($A551-BOTT_A2),0),ROUND(RATE_A1*$A551,0))))</f>
        <v/>
      </c>
      <c r="E551" s="556">
        <f>IF($A551&gt;BOTT_B4,ROUND(BASE_B4+RATE_B4*($A551-BOTT_B4),0),IF($A551&gt;BOTT_B3,ROUND(BASE_B3+RATE_B3*($A551-BOTT_B3),0),IF($A551&gt;BOTT_B2,ROUND(BASE_B2+RATE_B2*($A551-BOTT_B2),0),ROUND(RATE_B1*$A551,0))))</f>
        <v/>
      </c>
      <c r="F551" s="556">
        <f>IF($A551&gt;BOTT_C4,ROUND(BASE_C4+RATE_C4*($A551-BOTT_C4),0),IF($A551&gt;BOTT_C3,ROUND(BASE_C3+RATE_C3*($A551-BOTT_C3),0),IF($A551&gt;BOTT_C2,ROUND(BASE_C2+RATE_C2*($A551-BOTT_C2),0),ROUND(RATE_C1*$A551,0))))</f>
        <v/>
      </c>
      <c r="G551" s="556">
        <f>IF($A551&gt;BOTT_D4,ROUND(BASE_D4+RATE_D4*($A551-BOTT_D4),0),IF($A551&gt;BOTT_D3,ROUND(BASE_D3+RATE_D3*($A551-BOTT_D3),0),IF($A551&gt;BOTT_D2,ROUND(BASE_D2+RATE_D2*($A551-BOTT_D2),0),ROUND(RATE_D1*$A551,0))))</f>
        <v/>
      </c>
    </row>
    <row r="552" ht="15.75" customHeight="1" s="7635">
      <c r="A552" s="625">
        <f>AVERAGE(B552,C552)</f>
        <v/>
      </c>
      <c r="B552" s="555" t="n">
        <v>24400</v>
      </c>
      <c r="C552" s="555" t="n">
        <v>24450</v>
      </c>
      <c r="D552" s="556">
        <f>IF($A552&gt;BOTT_A4,ROUND(BASE_A4+RATE_A4*($A552-BOTT_A4),0),IF($A552&gt;BOTT_A3,ROUND(BASE_A3+RATE_A3*($A552-BOTT_A3),0),IF($A552&gt;BOTT_A2,ROUND(BASE_A2+RATE_A2*($A552-BOTT_A2),0),ROUND(RATE_A1*$A552,0))))</f>
        <v/>
      </c>
      <c r="E552" s="556">
        <f>IF($A552&gt;BOTT_B4,ROUND(BASE_B4+RATE_B4*($A552-BOTT_B4),0),IF($A552&gt;BOTT_B3,ROUND(BASE_B3+RATE_B3*($A552-BOTT_B3),0),IF($A552&gt;BOTT_B2,ROUND(BASE_B2+RATE_B2*($A552-BOTT_B2),0),ROUND(RATE_B1*$A552,0))))</f>
        <v/>
      </c>
      <c r="F552" s="556">
        <f>IF($A552&gt;BOTT_C4,ROUND(BASE_C4+RATE_C4*($A552-BOTT_C4),0),IF($A552&gt;BOTT_C3,ROUND(BASE_C3+RATE_C3*($A552-BOTT_C3),0),IF($A552&gt;BOTT_C2,ROUND(BASE_C2+RATE_C2*($A552-BOTT_C2),0),ROUND(RATE_C1*$A552,0))))</f>
        <v/>
      </c>
      <c r="G552" s="556">
        <f>IF($A552&gt;BOTT_D4,ROUND(BASE_D4+RATE_D4*($A552-BOTT_D4),0),IF($A552&gt;BOTT_D3,ROUND(BASE_D3+RATE_D3*($A552-BOTT_D3),0),IF($A552&gt;BOTT_D2,ROUND(BASE_D2+RATE_D2*($A552-BOTT_D2),0),ROUND(RATE_D1*$A552,0))))</f>
        <v/>
      </c>
    </row>
    <row r="553" ht="15.75" customHeight="1" s="7635">
      <c r="A553" s="625">
        <f>AVERAGE(B553,C553)</f>
        <v/>
      </c>
      <c r="B553" s="555" t="n">
        <v>24450</v>
      </c>
      <c r="C553" s="555" t="n">
        <v>24500</v>
      </c>
      <c r="D553" s="556">
        <f>IF($A553&gt;BOTT_A4,ROUND(BASE_A4+RATE_A4*($A553-BOTT_A4),0),IF($A553&gt;BOTT_A3,ROUND(BASE_A3+RATE_A3*($A553-BOTT_A3),0),IF($A553&gt;BOTT_A2,ROUND(BASE_A2+RATE_A2*($A553-BOTT_A2),0),ROUND(RATE_A1*$A553,0))))</f>
        <v/>
      </c>
      <c r="E553" s="556">
        <f>IF($A553&gt;BOTT_B4,ROUND(BASE_B4+RATE_B4*($A553-BOTT_B4),0),IF($A553&gt;BOTT_B3,ROUND(BASE_B3+RATE_B3*($A553-BOTT_B3),0),IF($A553&gt;BOTT_B2,ROUND(BASE_B2+RATE_B2*($A553-BOTT_B2),0),ROUND(RATE_B1*$A553,0))))</f>
        <v/>
      </c>
      <c r="F553" s="556">
        <f>IF($A553&gt;BOTT_C4,ROUND(BASE_C4+RATE_C4*($A553-BOTT_C4),0),IF($A553&gt;BOTT_C3,ROUND(BASE_C3+RATE_C3*($A553-BOTT_C3),0),IF($A553&gt;BOTT_C2,ROUND(BASE_C2+RATE_C2*($A553-BOTT_C2),0),ROUND(RATE_C1*$A553,0))))</f>
        <v/>
      </c>
      <c r="G553" s="556">
        <f>IF($A553&gt;BOTT_D4,ROUND(BASE_D4+RATE_D4*($A553-BOTT_D4),0),IF($A553&gt;BOTT_D3,ROUND(BASE_D3+RATE_D3*($A553-BOTT_D3),0),IF($A553&gt;BOTT_D2,ROUND(BASE_D2+RATE_D2*($A553-BOTT_D2),0),ROUND(RATE_D1*$A553,0))))</f>
        <v/>
      </c>
    </row>
    <row r="554" ht="15.75" customHeight="1" s="7635">
      <c r="A554" s="625">
        <f>AVERAGE(B554,C554)</f>
        <v/>
      </c>
      <c r="B554" s="555" t="n">
        <v>24500</v>
      </c>
      <c r="C554" s="555" t="n">
        <v>24550</v>
      </c>
      <c r="D554" s="556">
        <f>IF($A554&gt;BOTT_A4,ROUND(BASE_A4+RATE_A4*($A554-BOTT_A4),0),IF($A554&gt;BOTT_A3,ROUND(BASE_A3+RATE_A3*($A554-BOTT_A3),0),IF($A554&gt;BOTT_A2,ROUND(BASE_A2+RATE_A2*($A554-BOTT_A2),0),ROUND(RATE_A1*$A554,0))))</f>
        <v/>
      </c>
      <c r="E554" s="556">
        <f>IF($A554&gt;BOTT_B4,ROUND(BASE_B4+RATE_B4*($A554-BOTT_B4),0),IF($A554&gt;BOTT_B3,ROUND(BASE_B3+RATE_B3*($A554-BOTT_B3),0),IF($A554&gt;BOTT_B2,ROUND(BASE_B2+RATE_B2*($A554-BOTT_B2),0),ROUND(RATE_B1*$A554,0))))</f>
        <v/>
      </c>
      <c r="F554" s="556">
        <f>IF($A554&gt;BOTT_C4,ROUND(BASE_C4+RATE_C4*($A554-BOTT_C4),0),IF($A554&gt;BOTT_C3,ROUND(BASE_C3+RATE_C3*($A554-BOTT_C3),0),IF($A554&gt;BOTT_C2,ROUND(BASE_C2+RATE_C2*($A554-BOTT_C2),0),ROUND(RATE_C1*$A554,0))))</f>
        <v/>
      </c>
      <c r="G554" s="556">
        <f>IF($A554&gt;BOTT_D4,ROUND(BASE_D4+RATE_D4*($A554-BOTT_D4),0),IF($A554&gt;BOTT_D3,ROUND(BASE_D3+RATE_D3*($A554-BOTT_D3),0),IF($A554&gt;BOTT_D2,ROUND(BASE_D2+RATE_D2*($A554-BOTT_D2),0),ROUND(RATE_D1*$A554,0))))</f>
        <v/>
      </c>
    </row>
    <row r="555" ht="15.75" customHeight="1" s="7635">
      <c r="A555" s="625">
        <f>AVERAGE(B555,C555)</f>
        <v/>
      </c>
      <c r="B555" s="555" t="n">
        <v>24550</v>
      </c>
      <c r="C555" s="555" t="n">
        <v>24600</v>
      </c>
      <c r="D555" s="556">
        <f>IF($A555&gt;BOTT_A4,ROUND(BASE_A4+RATE_A4*($A555-BOTT_A4),0),IF($A555&gt;BOTT_A3,ROUND(BASE_A3+RATE_A3*($A555-BOTT_A3),0),IF($A555&gt;BOTT_A2,ROUND(BASE_A2+RATE_A2*($A555-BOTT_A2),0),ROUND(RATE_A1*$A555,0))))</f>
        <v/>
      </c>
      <c r="E555" s="556">
        <f>IF($A555&gt;BOTT_B4,ROUND(BASE_B4+RATE_B4*($A555-BOTT_B4),0),IF($A555&gt;BOTT_B3,ROUND(BASE_B3+RATE_B3*($A555-BOTT_B3),0),IF($A555&gt;BOTT_B2,ROUND(BASE_B2+RATE_B2*($A555-BOTT_B2),0),ROUND(RATE_B1*$A555,0))))</f>
        <v/>
      </c>
      <c r="F555" s="556">
        <f>IF($A555&gt;BOTT_C4,ROUND(BASE_C4+RATE_C4*($A555-BOTT_C4),0),IF($A555&gt;BOTT_C3,ROUND(BASE_C3+RATE_C3*($A555-BOTT_C3),0),IF($A555&gt;BOTT_C2,ROUND(BASE_C2+RATE_C2*($A555-BOTT_C2),0),ROUND(RATE_C1*$A555,0))))</f>
        <v/>
      </c>
      <c r="G555" s="556">
        <f>IF($A555&gt;BOTT_D4,ROUND(BASE_D4+RATE_D4*($A555-BOTT_D4),0),IF($A555&gt;BOTT_D3,ROUND(BASE_D3+RATE_D3*($A555-BOTT_D3),0),IF($A555&gt;BOTT_D2,ROUND(BASE_D2+RATE_D2*($A555-BOTT_D2),0),ROUND(RATE_D1*$A555,0))))</f>
        <v/>
      </c>
    </row>
    <row r="556" ht="15.75" customHeight="1" s="7635">
      <c r="A556" s="625">
        <f>AVERAGE(B556,C556)</f>
        <v/>
      </c>
      <c r="B556" s="555" t="n">
        <v>24600</v>
      </c>
      <c r="C556" s="555" t="n">
        <v>24650</v>
      </c>
      <c r="D556" s="556">
        <f>IF($A556&gt;BOTT_A4,ROUND(BASE_A4+RATE_A4*($A556-BOTT_A4),0),IF($A556&gt;BOTT_A3,ROUND(BASE_A3+RATE_A3*($A556-BOTT_A3),0),IF($A556&gt;BOTT_A2,ROUND(BASE_A2+RATE_A2*($A556-BOTT_A2),0),ROUND(RATE_A1*$A556,0))))</f>
        <v/>
      </c>
      <c r="E556" s="556">
        <f>IF($A556&gt;BOTT_B4,ROUND(BASE_B4+RATE_B4*($A556-BOTT_B4),0),IF($A556&gt;BOTT_B3,ROUND(BASE_B3+RATE_B3*($A556-BOTT_B3),0),IF($A556&gt;BOTT_B2,ROUND(BASE_B2+RATE_B2*($A556-BOTT_B2),0),ROUND(RATE_B1*$A556,0))))</f>
        <v/>
      </c>
      <c r="F556" s="556">
        <f>IF($A556&gt;BOTT_C4,ROUND(BASE_C4+RATE_C4*($A556-BOTT_C4),0),IF($A556&gt;BOTT_C3,ROUND(BASE_C3+RATE_C3*($A556-BOTT_C3),0),IF($A556&gt;BOTT_C2,ROUND(BASE_C2+RATE_C2*($A556-BOTT_C2),0),ROUND(RATE_C1*$A556,0))))</f>
        <v/>
      </c>
      <c r="G556" s="556">
        <f>IF($A556&gt;BOTT_D4,ROUND(BASE_D4+RATE_D4*($A556-BOTT_D4),0),IF($A556&gt;BOTT_D3,ROUND(BASE_D3+RATE_D3*($A556-BOTT_D3),0),IF($A556&gt;BOTT_D2,ROUND(BASE_D2+RATE_D2*($A556-BOTT_D2),0),ROUND(RATE_D1*$A556,0))))</f>
        <v/>
      </c>
    </row>
    <row r="557" ht="15.75" customHeight="1" s="7635">
      <c r="A557" s="625">
        <f>AVERAGE(B557,C557)</f>
        <v/>
      </c>
      <c r="B557" s="555" t="n">
        <v>24650</v>
      </c>
      <c r="C557" s="555" t="n">
        <v>24700</v>
      </c>
      <c r="D557" s="556">
        <f>IF($A557&gt;BOTT_A4,ROUND(BASE_A4+RATE_A4*($A557-BOTT_A4),0),IF($A557&gt;BOTT_A3,ROUND(BASE_A3+RATE_A3*($A557-BOTT_A3),0),IF($A557&gt;BOTT_A2,ROUND(BASE_A2+RATE_A2*($A557-BOTT_A2),0),ROUND(RATE_A1*$A557,0))))</f>
        <v/>
      </c>
      <c r="E557" s="556">
        <f>IF($A557&gt;BOTT_B4,ROUND(BASE_B4+RATE_B4*($A557-BOTT_B4),0),IF($A557&gt;BOTT_B3,ROUND(BASE_B3+RATE_B3*($A557-BOTT_B3),0),IF($A557&gt;BOTT_B2,ROUND(BASE_B2+RATE_B2*($A557-BOTT_B2),0),ROUND(RATE_B1*$A557,0))))</f>
        <v/>
      </c>
      <c r="F557" s="556">
        <f>IF($A557&gt;BOTT_C4,ROUND(BASE_C4+RATE_C4*($A557-BOTT_C4),0),IF($A557&gt;BOTT_C3,ROUND(BASE_C3+RATE_C3*($A557-BOTT_C3),0),IF($A557&gt;BOTT_C2,ROUND(BASE_C2+RATE_C2*($A557-BOTT_C2),0),ROUND(RATE_C1*$A557,0))))</f>
        <v/>
      </c>
      <c r="G557" s="556">
        <f>IF($A557&gt;BOTT_D4,ROUND(BASE_D4+RATE_D4*($A557-BOTT_D4),0),IF($A557&gt;BOTT_D3,ROUND(BASE_D3+RATE_D3*($A557-BOTT_D3),0),IF($A557&gt;BOTT_D2,ROUND(BASE_D2+RATE_D2*($A557-BOTT_D2),0),ROUND(RATE_D1*$A557,0))))</f>
        <v/>
      </c>
    </row>
    <row r="558" ht="15.75" customHeight="1" s="7635">
      <c r="A558" s="625">
        <f>AVERAGE(B558,C558)</f>
        <v/>
      </c>
      <c r="B558" s="555" t="n">
        <v>24700</v>
      </c>
      <c r="C558" s="555" t="n">
        <v>24750</v>
      </c>
      <c r="D558" s="556">
        <f>IF($A558&gt;BOTT_A4,ROUND(BASE_A4+RATE_A4*($A558-BOTT_A4),0),IF($A558&gt;BOTT_A3,ROUND(BASE_A3+RATE_A3*($A558-BOTT_A3),0),IF($A558&gt;BOTT_A2,ROUND(BASE_A2+RATE_A2*($A558-BOTT_A2),0),ROUND(RATE_A1*$A558,0))))</f>
        <v/>
      </c>
      <c r="E558" s="556">
        <f>IF($A558&gt;BOTT_B4,ROUND(BASE_B4+RATE_B4*($A558-BOTT_B4),0),IF($A558&gt;BOTT_B3,ROUND(BASE_B3+RATE_B3*($A558-BOTT_B3),0),IF($A558&gt;BOTT_B2,ROUND(BASE_B2+RATE_B2*($A558-BOTT_B2),0),ROUND(RATE_B1*$A558,0))))</f>
        <v/>
      </c>
      <c r="F558" s="556">
        <f>IF($A558&gt;BOTT_C4,ROUND(BASE_C4+RATE_C4*($A558-BOTT_C4),0),IF($A558&gt;BOTT_C3,ROUND(BASE_C3+RATE_C3*($A558-BOTT_C3),0),IF($A558&gt;BOTT_C2,ROUND(BASE_C2+RATE_C2*($A558-BOTT_C2),0),ROUND(RATE_C1*$A558,0))))</f>
        <v/>
      </c>
      <c r="G558" s="556">
        <f>IF($A558&gt;BOTT_D4,ROUND(BASE_D4+RATE_D4*($A558-BOTT_D4),0),IF($A558&gt;BOTT_D3,ROUND(BASE_D3+RATE_D3*($A558-BOTT_D3),0),IF($A558&gt;BOTT_D2,ROUND(BASE_D2+RATE_D2*($A558-BOTT_D2),0),ROUND(RATE_D1*$A558,0))))</f>
        <v/>
      </c>
    </row>
    <row r="559" ht="15.75" customHeight="1" s="7635">
      <c r="A559" s="625">
        <f>AVERAGE(B559,C559)</f>
        <v/>
      </c>
      <c r="B559" s="555" t="n">
        <v>24750</v>
      </c>
      <c r="C559" s="555" t="n">
        <v>24800</v>
      </c>
      <c r="D559" s="556">
        <f>IF($A559&gt;BOTT_A4,ROUND(BASE_A4+RATE_A4*($A559-BOTT_A4),0),IF($A559&gt;BOTT_A3,ROUND(BASE_A3+RATE_A3*($A559-BOTT_A3),0),IF($A559&gt;BOTT_A2,ROUND(BASE_A2+RATE_A2*($A559-BOTT_A2),0),ROUND(RATE_A1*$A559,0))))</f>
        <v/>
      </c>
      <c r="E559" s="556">
        <f>IF($A559&gt;BOTT_B4,ROUND(BASE_B4+RATE_B4*($A559-BOTT_B4),0),IF($A559&gt;BOTT_B3,ROUND(BASE_B3+RATE_B3*($A559-BOTT_B3),0),IF($A559&gt;BOTT_B2,ROUND(BASE_B2+RATE_B2*($A559-BOTT_B2),0),ROUND(RATE_B1*$A559,0))))</f>
        <v/>
      </c>
      <c r="F559" s="556">
        <f>IF($A559&gt;BOTT_C4,ROUND(BASE_C4+RATE_C4*($A559-BOTT_C4),0),IF($A559&gt;BOTT_C3,ROUND(BASE_C3+RATE_C3*($A559-BOTT_C3),0),IF($A559&gt;BOTT_C2,ROUND(BASE_C2+RATE_C2*($A559-BOTT_C2),0),ROUND(RATE_C1*$A559,0))))</f>
        <v/>
      </c>
      <c r="G559" s="556">
        <f>IF($A559&gt;BOTT_D4,ROUND(BASE_D4+RATE_D4*($A559-BOTT_D4),0),IF($A559&gt;BOTT_D3,ROUND(BASE_D3+RATE_D3*($A559-BOTT_D3),0),IF($A559&gt;BOTT_D2,ROUND(BASE_D2+RATE_D2*($A559-BOTT_D2),0),ROUND(RATE_D1*$A559,0))))</f>
        <v/>
      </c>
    </row>
    <row r="560" ht="15.75" customHeight="1" s="7635">
      <c r="A560" s="625">
        <f>AVERAGE(B560,C560)</f>
        <v/>
      </c>
      <c r="B560" s="555" t="n">
        <v>24800</v>
      </c>
      <c r="C560" s="555" t="n">
        <v>24850</v>
      </c>
      <c r="D560" s="556">
        <f>IF($A560&gt;BOTT_A4,ROUND(BASE_A4+RATE_A4*($A560-BOTT_A4),0),IF($A560&gt;BOTT_A3,ROUND(BASE_A3+RATE_A3*($A560-BOTT_A3),0),IF($A560&gt;BOTT_A2,ROUND(BASE_A2+RATE_A2*($A560-BOTT_A2),0),ROUND(RATE_A1*$A560,0))))</f>
        <v/>
      </c>
      <c r="E560" s="556">
        <f>IF($A560&gt;BOTT_B4,ROUND(BASE_B4+RATE_B4*($A560-BOTT_B4),0),IF($A560&gt;BOTT_B3,ROUND(BASE_B3+RATE_B3*($A560-BOTT_B3),0),IF($A560&gt;BOTT_B2,ROUND(BASE_B2+RATE_B2*($A560-BOTT_B2),0),ROUND(RATE_B1*$A560,0))))</f>
        <v/>
      </c>
      <c r="F560" s="556">
        <f>IF($A560&gt;BOTT_C4,ROUND(BASE_C4+RATE_C4*($A560-BOTT_C4),0),IF($A560&gt;BOTT_C3,ROUND(BASE_C3+RATE_C3*($A560-BOTT_C3),0),IF($A560&gt;BOTT_C2,ROUND(BASE_C2+RATE_C2*($A560-BOTT_C2),0),ROUND(RATE_C1*$A560,0))))</f>
        <v/>
      </c>
      <c r="G560" s="556">
        <f>IF($A560&gt;BOTT_D4,ROUND(BASE_D4+RATE_D4*($A560-BOTT_D4),0),IF($A560&gt;BOTT_D3,ROUND(BASE_D3+RATE_D3*($A560-BOTT_D3),0),IF($A560&gt;BOTT_D2,ROUND(BASE_D2+RATE_D2*($A560-BOTT_D2),0),ROUND(RATE_D1*$A560,0))))</f>
        <v/>
      </c>
    </row>
    <row r="561" ht="15.75" customHeight="1" s="7635">
      <c r="A561" s="625">
        <f>AVERAGE(B561,C561)</f>
        <v/>
      </c>
      <c r="B561" s="555" t="n">
        <v>24850</v>
      </c>
      <c r="C561" s="555" t="n">
        <v>24900</v>
      </c>
      <c r="D561" s="556">
        <f>IF($A561&gt;BOTT_A4,ROUND(BASE_A4+RATE_A4*($A561-BOTT_A4),0),IF($A561&gt;BOTT_A3,ROUND(BASE_A3+RATE_A3*($A561-BOTT_A3),0),IF($A561&gt;BOTT_A2,ROUND(BASE_A2+RATE_A2*($A561-BOTT_A2),0),ROUND(RATE_A1*$A561,0))))</f>
        <v/>
      </c>
      <c r="E561" s="556">
        <f>IF($A561&gt;BOTT_B4,ROUND(BASE_B4+RATE_B4*($A561-BOTT_B4),0),IF($A561&gt;BOTT_B3,ROUND(BASE_B3+RATE_B3*($A561-BOTT_B3),0),IF($A561&gt;BOTT_B2,ROUND(BASE_B2+RATE_B2*($A561-BOTT_B2),0),ROUND(RATE_B1*$A561,0))))</f>
        <v/>
      </c>
      <c r="F561" s="556">
        <f>IF($A561&gt;BOTT_C4,ROUND(BASE_C4+RATE_C4*($A561-BOTT_C4),0),IF($A561&gt;BOTT_C3,ROUND(BASE_C3+RATE_C3*($A561-BOTT_C3),0),IF($A561&gt;BOTT_C2,ROUND(BASE_C2+RATE_C2*($A561-BOTT_C2),0),ROUND(RATE_C1*$A561,0))))</f>
        <v/>
      </c>
      <c r="G561" s="556">
        <f>IF($A561&gt;BOTT_D4,ROUND(BASE_D4+RATE_D4*($A561-BOTT_D4),0),IF($A561&gt;BOTT_D3,ROUND(BASE_D3+RATE_D3*($A561-BOTT_D3),0),IF($A561&gt;BOTT_D2,ROUND(BASE_D2+RATE_D2*($A561-BOTT_D2),0),ROUND(RATE_D1*$A561,0))))</f>
        <v/>
      </c>
    </row>
    <row r="562" ht="15.75" customHeight="1" s="7635">
      <c r="A562" s="625">
        <f>AVERAGE(B562,C562)</f>
        <v/>
      </c>
      <c r="B562" s="555" t="n">
        <v>24900</v>
      </c>
      <c r="C562" s="555" t="n">
        <v>24950</v>
      </c>
      <c r="D562" s="556">
        <f>IF($A562&gt;BOTT_A4,ROUND(BASE_A4+RATE_A4*($A562-BOTT_A4),0),IF($A562&gt;BOTT_A3,ROUND(BASE_A3+RATE_A3*($A562-BOTT_A3),0),IF($A562&gt;BOTT_A2,ROUND(BASE_A2+RATE_A2*($A562-BOTT_A2),0),ROUND(RATE_A1*$A562,0))))</f>
        <v/>
      </c>
      <c r="E562" s="556">
        <f>IF($A562&gt;BOTT_B4,ROUND(BASE_B4+RATE_B4*($A562-BOTT_B4),0),IF($A562&gt;BOTT_B3,ROUND(BASE_B3+RATE_B3*($A562-BOTT_B3),0),IF($A562&gt;BOTT_B2,ROUND(BASE_B2+RATE_B2*($A562-BOTT_B2),0),ROUND(RATE_B1*$A562,0))))</f>
        <v/>
      </c>
      <c r="F562" s="556">
        <f>IF($A562&gt;BOTT_C4,ROUND(BASE_C4+RATE_C4*($A562-BOTT_C4),0),IF($A562&gt;BOTT_C3,ROUND(BASE_C3+RATE_C3*($A562-BOTT_C3),0),IF($A562&gt;BOTT_C2,ROUND(BASE_C2+RATE_C2*($A562-BOTT_C2),0),ROUND(RATE_C1*$A562,0))))</f>
        <v/>
      </c>
      <c r="G562" s="556">
        <f>IF($A562&gt;BOTT_D4,ROUND(BASE_D4+RATE_D4*($A562-BOTT_D4),0),IF($A562&gt;BOTT_D3,ROUND(BASE_D3+RATE_D3*($A562-BOTT_D3),0),IF($A562&gt;BOTT_D2,ROUND(BASE_D2+RATE_D2*($A562-BOTT_D2),0),ROUND(RATE_D1*$A562,0))))</f>
        <v/>
      </c>
    </row>
    <row r="563" ht="15.75" customHeight="1" s="7635">
      <c r="A563" s="625">
        <f>AVERAGE(B563,C563)</f>
        <v/>
      </c>
      <c r="B563" s="555" t="n">
        <v>24950</v>
      </c>
      <c r="C563" s="555" t="n">
        <v>25000</v>
      </c>
      <c r="D563" s="556">
        <f>IF($A563&gt;BOTT_A4,ROUND(BASE_A4+RATE_A4*($A563-BOTT_A4),0),IF($A563&gt;BOTT_A3,ROUND(BASE_A3+RATE_A3*($A563-BOTT_A3),0),IF($A563&gt;BOTT_A2,ROUND(BASE_A2+RATE_A2*($A563-BOTT_A2),0),ROUND(RATE_A1*$A563,0))))</f>
        <v/>
      </c>
      <c r="E563" s="556">
        <f>IF($A563&gt;BOTT_B4,ROUND(BASE_B4+RATE_B4*($A563-BOTT_B4),0),IF($A563&gt;BOTT_B3,ROUND(BASE_B3+RATE_B3*($A563-BOTT_B3),0),IF($A563&gt;BOTT_B2,ROUND(BASE_B2+RATE_B2*($A563-BOTT_B2),0),ROUND(RATE_B1*$A563,0))))</f>
        <v/>
      </c>
      <c r="F563" s="556">
        <f>IF($A563&gt;BOTT_C4,ROUND(BASE_C4+RATE_C4*($A563-BOTT_C4),0),IF($A563&gt;BOTT_C3,ROUND(BASE_C3+RATE_C3*($A563-BOTT_C3),0),IF($A563&gt;BOTT_C2,ROUND(BASE_C2+RATE_C2*($A563-BOTT_C2),0),ROUND(RATE_C1*$A563,0))))</f>
        <v/>
      </c>
      <c r="G563" s="556">
        <f>IF($A563&gt;BOTT_D4,ROUND(BASE_D4+RATE_D4*($A563-BOTT_D4),0),IF($A563&gt;BOTT_D3,ROUND(BASE_D3+RATE_D3*($A563-BOTT_D3),0),IF($A563&gt;BOTT_D2,ROUND(BASE_D2+RATE_D2*($A563-BOTT_D2),0),ROUND(RATE_D1*$A563,0))))</f>
        <v/>
      </c>
    </row>
    <row r="564" ht="15.75" customHeight="1" s="7635">
      <c r="A564" s="625">
        <f>AVERAGE(B564,C564)</f>
        <v/>
      </c>
      <c r="B564" s="555" t="n">
        <v>25000</v>
      </c>
      <c r="C564" s="555" t="n">
        <v>25050</v>
      </c>
      <c r="D564" s="556">
        <f>IF($A564&gt;BOTT_A4,ROUND(BASE_A4+RATE_A4*($A564-BOTT_A4),0),IF($A564&gt;BOTT_A3,ROUND(BASE_A3+RATE_A3*($A564-BOTT_A3),0),IF($A564&gt;BOTT_A2,ROUND(BASE_A2+RATE_A2*($A564-BOTT_A2),0),ROUND(RATE_A1*$A564,0))))</f>
        <v/>
      </c>
      <c r="E564" s="556">
        <f>IF($A564&gt;BOTT_B4,ROUND(BASE_B4+RATE_B4*($A564-BOTT_B4),0),IF($A564&gt;BOTT_B3,ROUND(BASE_B3+RATE_B3*($A564-BOTT_B3),0),IF($A564&gt;BOTT_B2,ROUND(BASE_B2+RATE_B2*($A564-BOTT_B2),0),ROUND(RATE_B1*$A564,0))))</f>
        <v/>
      </c>
      <c r="F564" s="556">
        <f>IF($A564&gt;BOTT_C4,ROUND(BASE_C4+RATE_C4*($A564-BOTT_C4),0),IF($A564&gt;BOTT_C3,ROUND(BASE_C3+RATE_C3*($A564-BOTT_C3),0),IF($A564&gt;BOTT_C2,ROUND(BASE_C2+RATE_C2*($A564-BOTT_C2),0),ROUND(RATE_C1*$A564,0))))</f>
        <v/>
      </c>
      <c r="G564" s="556">
        <f>IF($A564&gt;BOTT_D4,ROUND(BASE_D4+RATE_D4*($A564-BOTT_D4),0),IF($A564&gt;BOTT_D3,ROUND(BASE_D3+RATE_D3*($A564-BOTT_D3),0),IF($A564&gt;BOTT_D2,ROUND(BASE_D2+RATE_D2*($A564-BOTT_D2),0),ROUND(RATE_D1*$A564,0))))</f>
        <v/>
      </c>
    </row>
    <row r="565" ht="15.75" customHeight="1" s="7635">
      <c r="A565" s="625">
        <f>AVERAGE(B565,C565)</f>
        <v/>
      </c>
      <c r="B565" s="555" t="n">
        <v>25050</v>
      </c>
      <c r="C565" s="555" t="n">
        <v>25100</v>
      </c>
      <c r="D565" s="556">
        <f>IF($A565&gt;BOTT_A4,ROUND(BASE_A4+RATE_A4*($A565-BOTT_A4),0),IF($A565&gt;BOTT_A3,ROUND(BASE_A3+RATE_A3*($A565-BOTT_A3),0),IF($A565&gt;BOTT_A2,ROUND(BASE_A2+RATE_A2*($A565-BOTT_A2),0),ROUND(RATE_A1*$A565,0))))</f>
        <v/>
      </c>
      <c r="E565" s="556">
        <f>IF($A565&gt;BOTT_B4,ROUND(BASE_B4+RATE_B4*($A565-BOTT_B4),0),IF($A565&gt;BOTT_B3,ROUND(BASE_B3+RATE_B3*($A565-BOTT_B3),0),IF($A565&gt;BOTT_B2,ROUND(BASE_B2+RATE_B2*($A565-BOTT_B2),0),ROUND(RATE_B1*$A565,0))))</f>
        <v/>
      </c>
      <c r="F565" s="556">
        <f>IF($A565&gt;BOTT_C4,ROUND(BASE_C4+RATE_C4*($A565-BOTT_C4),0),IF($A565&gt;BOTT_C3,ROUND(BASE_C3+RATE_C3*($A565-BOTT_C3),0),IF($A565&gt;BOTT_C2,ROUND(BASE_C2+RATE_C2*($A565-BOTT_C2),0),ROUND(RATE_C1*$A565,0))))</f>
        <v/>
      </c>
      <c r="G565" s="556">
        <f>IF($A565&gt;BOTT_D4,ROUND(BASE_D4+RATE_D4*($A565-BOTT_D4),0),IF($A565&gt;BOTT_D3,ROUND(BASE_D3+RATE_D3*($A565-BOTT_D3),0),IF($A565&gt;BOTT_D2,ROUND(BASE_D2+RATE_D2*($A565-BOTT_D2),0),ROUND(RATE_D1*$A565,0))))</f>
        <v/>
      </c>
    </row>
    <row r="566" ht="15.75" customHeight="1" s="7635">
      <c r="A566" s="625">
        <f>AVERAGE(B566,C566)</f>
        <v/>
      </c>
      <c r="B566" s="555" t="n">
        <v>25100</v>
      </c>
      <c r="C566" s="555" t="n">
        <v>25150</v>
      </c>
      <c r="D566" s="556">
        <f>IF($A566&gt;BOTT_A4,ROUND(BASE_A4+RATE_A4*($A566-BOTT_A4),0),IF($A566&gt;BOTT_A3,ROUND(BASE_A3+RATE_A3*($A566-BOTT_A3),0),IF($A566&gt;BOTT_A2,ROUND(BASE_A2+RATE_A2*($A566-BOTT_A2),0),ROUND(RATE_A1*$A566,0))))</f>
        <v/>
      </c>
      <c r="E566" s="556">
        <f>IF($A566&gt;BOTT_B4,ROUND(BASE_B4+RATE_B4*($A566-BOTT_B4),0),IF($A566&gt;BOTT_B3,ROUND(BASE_B3+RATE_B3*($A566-BOTT_B3),0),IF($A566&gt;BOTT_B2,ROUND(BASE_B2+RATE_B2*($A566-BOTT_B2),0),ROUND(RATE_B1*$A566,0))))</f>
        <v/>
      </c>
      <c r="F566" s="556">
        <f>IF($A566&gt;BOTT_C4,ROUND(BASE_C4+RATE_C4*($A566-BOTT_C4),0),IF($A566&gt;BOTT_C3,ROUND(BASE_C3+RATE_C3*($A566-BOTT_C3),0),IF($A566&gt;BOTT_C2,ROUND(BASE_C2+RATE_C2*($A566-BOTT_C2),0),ROUND(RATE_C1*$A566,0))))</f>
        <v/>
      </c>
      <c r="G566" s="556">
        <f>IF($A566&gt;BOTT_D4,ROUND(BASE_D4+RATE_D4*($A566-BOTT_D4),0),IF($A566&gt;BOTT_D3,ROUND(BASE_D3+RATE_D3*($A566-BOTT_D3),0),IF($A566&gt;BOTT_D2,ROUND(BASE_D2+RATE_D2*($A566-BOTT_D2),0),ROUND(RATE_D1*$A566,0))))</f>
        <v/>
      </c>
    </row>
    <row r="567" ht="15.75" customHeight="1" s="7635">
      <c r="A567" s="625">
        <f>AVERAGE(B567,C567)</f>
        <v/>
      </c>
      <c r="B567" s="555" t="n">
        <v>25150</v>
      </c>
      <c r="C567" s="555" t="n">
        <v>25200</v>
      </c>
      <c r="D567" s="556">
        <f>IF($A567&gt;BOTT_A4,ROUND(BASE_A4+RATE_A4*($A567-BOTT_A4),0),IF($A567&gt;BOTT_A3,ROUND(BASE_A3+RATE_A3*($A567-BOTT_A3),0),IF($A567&gt;BOTT_A2,ROUND(BASE_A2+RATE_A2*($A567-BOTT_A2),0),ROUND(RATE_A1*$A567,0))))</f>
        <v/>
      </c>
      <c r="E567" s="556">
        <f>IF($A567&gt;BOTT_B4,ROUND(BASE_B4+RATE_B4*($A567-BOTT_B4),0),IF($A567&gt;BOTT_B3,ROUND(BASE_B3+RATE_B3*($A567-BOTT_B3),0),IF($A567&gt;BOTT_B2,ROUND(BASE_B2+RATE_B2*($A567-BOTT_B2),0),ROUND(RATE_B1*$A567,0))))</f>
        <v/>
      </c>
      <c r="F567" s="556">
        <f>IF($A567&gt;BOTT_C4,ROUND(BASE_C4+RATE_C4*($A567-BOTT_C4),0),IF($A567&gt;BOTT_C3,ROUND(BASE_C3+RATE_C3*($A567-BOTT_C3),0),IF($A567&gt;BOTT_C2,ROUND(BASE_C2+RATE_C2*($A567-BOTT_C2),0),ROUND(RATE_C1*$A567,0))))</f>
        <v/>
      </c>
      <c r="G567" s="556">
        <f>IF($A567&gt;BOTT_D4,ROUND(BASE_D4+RATE_D4*($A567-BOTT_D4),0),IF($A567&gt;BOTT_D3,ROUND(BASE_D3+RATE_D3*($A567-BOTT_D3),0),IF($A567&gt;BOTT_D2,ROUND(BASE_D2+RATE_D2*($A567-BOTT_D2),0),ROUND(RATE_D1*$A567,0))))</f>
        <v/>
      </c>
    </row>
    <row r="568" ht="15.75" customHeight="1" s="7635">
      <c r="A568" s="625">
        <f>AVERAGE(B568,C568)</f>
        <v/>
      </c>
      <c r="B568" s="555" t="n">
        <v>25200</v>
      </c>
      <c r="C568" s="555" t="n">
        <v>25250</v>
      </c>
      <c r="D568" s="556">
        <f>IF($A568&gt;BOTT_A4,ROUND(BASE_A4+RATE_A4*($A568-BOTT_A4),0),IF($A568&gt;BOTT_A3,ROUND(BASE_A3+RATE_A3*($A568-BOTT_A3),0),IF($A568&gt;BOTT_A2,ROUND(BASE_A2+RATE_A2*($A568-BOTT_A2),0),ROUND(RATE_A1*$A568,0))))</f>
        <v/>
      </c>
      <c r="E568" s="556">
        <f>IF($A568&gt;BOTT_B4,ROUND(BASE_B4+RATE_B4*($A568-BOTT_B4),0),IF($A568&gt;BOTT_B3,ROUND(BASE_B3+RATE_B3*($A568-BOTT_B3),0),IF($A568&gt;BOTT_B2,ROUND(BASE_B2+RATE_B2*($A568-BOTT_B2),0),ROUND(RATE_B1*$A568,0))))</f>
        <v/>
      </c>
      <c r="F568" s="556">
        <f>IF($A568&gt;BOTT_C4,ROUND(BASE_C4+RATE_C4*($A568-BOTT_C4),0),IF($A568&gt;BOTT_C3,ROUND(BASE_C3+RATE_C3*($A568-BOTT_C3),0),IF($A568&gt;BOTT_C2,ROUND(BASE_C2+RATE_C2*($A568-BOTT_C2),0),ROUND(RATE_C1*$A568,0))))</f>
        <v/>
      </c>
      <c r="G568" s="556">
        <f>IF($A568&gt;BOTT_D4,ROUND(BASE_D4+RATE_D4*($A568-BOTT_D4),0),IF($A568&gt;BOTT_D3,ROUND(BASE_D3+RATE_D3*($A568-BOTT_D3),0),IF($A568&gt;BOTT_D2,ROUND(BASE_D2+RATE_D2*($A568-BOTT_D2),0),ROUND(RATE_D1*$A568,0))))</f>
        <v/>
      </c>
    </row>
    <row r="569" ht="15.75" customHeight="1" s="7635">
      <c r="A569" s="625">
        <f>AVERAGE(B569,C569)</f>
        <v/>
      </c>
      <c r="B569" s="555" t="n">
        <v>25250</v>
      </c>
      <c r="C569" s="555" t="n">
        <v>25300</v>
      </c>
      <c r="D569" s="556">
        <f>IF($A569&gt;BOTT_A4,ROUND(BASE_A4+RATE_A4*($A569-BOTT_A4),0),IF($A569&gt;BOTT_A3,ROUND(BASE_A3+RATE_A3*($A569-BOTT_A3),0),IF($A569&gt;BOTT_A2,ROUND(BASE_A2+RATE_A2*($A569-BOTT_A2),0),ROUND(RATE_A1*$A569,0))))</f>
        <v/>
      </c>
      <c r="E569" s="556">
        <f>IF($A569&gt;BOTT_B4,ROUND(BASE_B4+RATE_B4*($A569-BOTT_B4),0),IF($A569&gt;BOTT_B3,ROUND(BASE_B3+RATE_B3*($A569-BOTT_B3),0),IF($A569&gt;BOTT_B2,ROUND(BASE_B2+RATE_B2*($A569-BOTT_B2),0),ROUND(RATE_B1*$A569,0))))</f>
        <v/>
      </c>
      <c r="F569" s="556">
        <f>IF($A569&gt;BOTT_C4,ROUND(BASE_C4+RATE_C4*($A569-BOTT_C4),0),IF($A569&gt;BOTT_C3,ROUND(BASE_C3+RATE_C3*($A569-BOTT_C3),0),IF($A569&gt;BOTT_C2,ROUND(BASE_C2+RATE_C2*($A569-BOTT_C2),0),ROUND(RATE_C1*$A569,0))))</f>
        <v/>
      </c>
      <c r="G569" s="556">
        <f>IF($A569&gt;BOTT_D4,ROUND(BASE_D4+RATE_D4*($A569-BOTT_D4),0),IF($A569&gt;BOTT_D3,ROUND(BASE_D3+RATE_D3*($A569-BOTT_D3),0),IF($A569&gt;BOTT_D2,ROUND(BASE_D2+RATE_D2*($A569-BOTT_D2),0),ROUND(RATE_D1*$A569,0))))</f>
        <v/>
      </c>
    </row>
    <row r="570" ht="15.75" customHeight="1" s="7635">
      <c r="A570" s="625">
        <f>AVERAGE(B570,C570)</f>
        <v/>
      </c>
      <c r="B570" s="555" t="n">
        <v>25300</v>
      </c>
      <c r="C570" s="555" t="n">
        <v>25350</v>
      </c>
      <c r="D570" s="556">
        <f>IF($A570&gt;BOTT_A4,ROUND(BASE_A4+RATE_A4*($A570-BOTT_A4),0),IF($A570&gt;BOTT_A3,ROUND(BASE_A3+RATE_A3*($A570-BOTT_A3),0),IF($A570&gt;BOTT_A2,ROUND(BASE_A2+RATE_A2*($A570-BOTT_A2),0),ROUND(RATE_A1*$A570,0))))</f>
        <v/>
      </c>
      <c r="E570" s="556">
        <f>IF($A570&gt;BOTT_B4,ROUND(BASE_B4+RATE_B4*($A570-BOTT_B4),0),IF($A570&gt;BOTT_B3,ROUND(BASE_B3+RATE_B3*($A570-BOTT_B3),0),IF($A570&gt;BOTT_B2,ROUND(BASE_B2+RATE_B2*($A570-BOTT_B2),0),ROUND(RATE_B1*$A570,0))))</f>
        <v/>
      </c>
      <c r="F570" s="556">
        <f>IF($A570&gt;BOTT_C4,ROUND(BASE_C4+RATE_C4*($A570-BOTT_C4),0),IF($A570&gt;BOTT_C3,ROUND(BASE_C3+RATE_C3*($A570-BOTT_C3),0),IF($A570&gt;BOTT_C2,ROUND(BASE_C2+RATE_C2*($A570-BOTT_C2),0),ROUND(RATE_C1*$A570,0))))</f>
        <v/>
      </c>
      <c r="G570" s="556">
        <f>IF($A570&gt;BOTT_D4,ROUND(BASE_D4+RATE_D4*($A570-BOTT_D4),0),IF($A570&gt;BOTT_D3,ROUND(BASE_D3+RATE_D3*($A570-BOTT_D3),0),IF($A570&gt;BOTT_D2,ROUND(BASE_D2+RATE_D2*($A570-BOTT_D2),0),ROUND(RATE_D1*$A570,0))))</f>
        <v/>
      </c>
    </row>
    <row r="571" ht="15.75" customHeight="1" s="7635">
      <c r="A571" s="625">
        <f>AVERAGE(B571,C571)</f>
        <v/>
      </c>
      <c r="B571" s="555" t="n">
        <v>25350</v>
      </c>
      <c r="C571" s="555" t="n">
        <v>25400</v>
      </c>
      <c r="D571" s="556">
        <f>IF($A571&gt;BOTT_A4,ROUND(BASE_A4+RATE_A4*($A571-BOTT_A4),0),IF($A571&gt;BOTT_A3,ROUND(BASE_A3+RATE_A3*($A571-BOTT_A3),0),IF($A571&gt;BOTT_A2,ROUND(BASE_A2+RATE_A2*($A571-BOTT_A2),0),ROUND(RATE_A1*$A571,0))))</f>
        <v/>
      </c>
      <c r="E571" s="556">
        <f>IF($A571&gt;BOTT_B4,ROUND(BASE_B4+RATE_B4*($A571-BOTT_B4),0),IF($A571&gt;BOTT_B3,ROUND(BASE_B3+RATE_B3*($A571-BOTT_B3),0),IF($A571&gt;BOTT_B2,ROUND(BASE_B2+RATE_B2*($A571-BOTT_B2),0),ROUND(RATE_B1*$A571,0))))</f>
        <v/>
      </c>
      <c r="F571" s="556">
        <f>IF($A571&gt;BOTT_C4,ROUND(BASE_C4+RATE_C4*($A571-BOTT_C4),0),IF($A571&gt;BOTT_C3,ROUND(BASE_C3+RATE_C3*($A571-BOTT_C3),0),IF($A571&gt;BOTT_C2,ROUND(BASE_C2+RATE_C2*($A571-BOTT_C2),0),ROUND(RATE_C1*$A571,0))))</f>
        <v/>
      </c>
      <c r="G571" s="556">
        <f>IF($A571&gt;BOTT_D4,ROUND(BASE_D4+RATE_D4*($A571-BOTT_D4),0),IF($A571&gt;BOTT_D3,ROUND(BASE_D3+RATE_D3*($A571-BOTT_D3),0),IF($A571&gt;BOTT_D2,ROUND(BASE_D2+RATE_D2*($A571-BOTT_D2),0),ROUND(RATE_D1*$A571,0))))</f>
        <v/>
      </c>
    </row>
    <row r="572" ht="15.75" customHeight="1" s="7635">
      <c r="A572" s="625">
        <f>AVERAGE(B572,C572)</f>
        <v/>
      </c>
      <c r="B572" s="555" t="n">
        <v>25400</v>
      </c>
      <c r="C572" s="555" t="n">
        <v>25450</v>
      </c>
      <c r="D572" s="556">
        <f>IF($A572&gt;BOTT_A4,ROUND(BASE_A4+RATE_A4*($A572-BOTT_A4),0),IF($A572&gt;BOTT_A3,ROUND(BASE_A3+RATE_A3*($A572-BOTT_A3),0),IF($A572&gt;BOTT_A2,ROUND(BASE_A2+RATE_A2*($A572-BOTT_A2),0),ROUND(RATE_A1*$A572,0))))</f>
        <v/>
      </c>
      <c r="E572" s="556">
        <f>IF($A572&gt;BOTT_B4,ROUND(BASE_B4+RATE_B4*($A572-BOTT_B4),0),IF($A572&gt;BOTT_B3,ROUND(BASE_B3+RATE_B3*($A572-BOTT_B3),0),IF($A572&gt;BOTT_B2,ROUND(BASE_B2+RATE_B2*($A572-BOTT_B2),0),ROUND(RATE_B1*$A572,0))))</f>
        <v/>
      </c>
      <c r="F572" s="556">
        <f>IF($A572&gt;BOTT_C4,ROUND(BASE_C4+RATE_C4*($A572-BOTT_C4),0),IF($A572&gt;BOTT_C3,ROUND(BASE_C3+RATE_C3*($A572-BOTT_C3),0),IF($A572&gt;BOTT_C2,ROUND(BASE_C2+RATE_C2*($A572-BOTT_C2),0),ROUND(RATE_C1*$A572,0))))</f>
        <v/>
      </c>
      <c r="G572" s="556">
        <f>IF($A572&gt;BOTT_D4,ROUND(BASE_D4+RATE_D4*($A572-BOTT_D4),0),IF($A572&gt;BOTT_D3,ROUND(BASE_D3+RATE_D3*($A572-BOTT_D3),0),IF($A572&gt;BOTT_D2,ROUND(BASE_D2+RATE_D2*($A572-BOTT_D2),0),ROUND(RATE_D1*$A572,0))))</f>
        <v/>
      </c>
    </row>
    <row r="573" ht="15.75" customHeight="1" s="7635">
      <c r="A573" s="625">
        <f>AVERAGE(B573,C573)</f>
        <v/>
      </c>
      <c r="B573" s="555" t="n">
        <v>25450</v>
      </c>
      <c r="C573" s="555" t="n">
        <v>25500</v>
      </c>
      <c r="D573" s="556">
        <f>IF($A573&gt;BOTT_A4,ROUND(BASE_A4+RATE_A4*($A573-BOTT_A4),0),IF($A573&gt;BOTT_A3,ROUND(BASE_A3+RATE_A3*($A573-BOTT_A3),0),IF($A573&gt;BOTT_A2,ROUND(BASE_A2+RATE_A2*($A573-BOTT_A2),0),ROUND(RATE_A1*$A573,0))))</f>
        <v/>
      </c>
      <c r="E573" s="556">
        <f>IF($A573&gt;BOTT_B4,ROUND(BASE_B4+RATE_B4*($A573-BOTT_B4),0),IF($A573&gt;BOTT_B3,ROUND(BASE_B3+RATE_B3*($A573-BOTT_B3),0),IF($A573&gt;BOTT_B2,ROUND(BASE_B2+RATE_B2*($A573-BOTT_B2),0),ROUND(RATE_B1*$A573,0))))</f>
        <v/>
      </c>
      <c r="F573" s="556">
        <f>IF($A573&gt;BOTT_C4,ROUND(BASE_C4+RATE_C4*($A573-BOTT_C4),0),IF($A573&gt;BOTT_C3,ROUND(BASE_C3+RATE_C3*($A573-BOTT_C3),0),IF($A573&gt;BOTT_C2,ROUND(BASE_C2+RATE_C2*($A573-BOTT_C2),0),ROUND(RATE_C1*$A573,0))))</f>
        <v/>
      </c>
      <c r="G573" s="556">
        <f>IF($A573&gt;BOTT_D4,ROUND(BASE_D4+RATE_D4*($A573-BOTT_D4),0),IF($A573&gt;BOTT_D3,ROUND(BASE_D3+RATE_D3*($A573-BOTT_D3),0),IF($A573&gt;BOTT_D2,ROUND(BASE_D2+RATE_D2*($A573-BOTT_D2),0),ROUND(RATE_D1*$A573,0))))</f>
        <v/>
      </c>
    </row>
    <row r="574" ht="15.75" customHeight="1" s="7635">
      <c r="A574" s="625">
        <f>AVERAGE(B574,C574)</f>
        <v/>
      </c>
      <c r="B574" s="555" t="n">
        <v>25500</v>
      </c>
      <c r="C574" s="555" t="n">
        <v>25550</v>
      </c>
      <c r="D574" s="556">
        <f>IF($A574&gt;BOTT_A4,ROUND(BASE_A4+RATE_A4*($A574-BOTT_A4),0),IF($A574&gt;BOTT_A3,ROUND(BASE_A3+RATE_A3*($A574-BOTT_A3),0),IF($A574&gt;BOTT_A2,ROUND(BASE_A2+RATE_A2*($A574-BOTT_A2),0),ROUND(RATE_A1*$A574,0))))</f>
        <v/>
      </c>
      <c r="E574" s="556">
        <f>IF($A574&gt;BOTT_B4,ROUND(BASE_B4+RATE_B4*($A574-BOTT_B4),0),IF($A574&gt;BOTT_B3,ROUND(BASE_B3+RATE_B3*($A574-BOTT_B3),0),IF($A574&gt;BOTT_B2,ROUND(BASE_B2+RATE_B2*($A574-BOTT_B2),0),ROUND(RATE_B1*$A574,0))))</f>
        <v/>
      </c>
      <c r="F574" s="556">
        <f>IF($A574&gt;BOTT_C4,ROUND(BASE_C4+RATE_C4*($A574-BOTT_C4),0),IF($A574&gt;BOTT_C3,ROUND(BASE_C3+RATE_C3*($A574-BOTT_C3),0),IF($A574&gt;BOTT_C2,ROUND(BASE_C2+RATE_C2*($A574-BOTT_C2),0),ROUND(RATE_C1*$A574,0))))</f>
        <v/>
      </c>
      <c r="G574" s="556">
        <f>IF($A574&gt;BOTT_D4,ROUND(BASE_D4+RATE_D4*($A574-BOTT_D4),0),IF($A574&gt;BOTT_D3,ROUND(BASE_D3+RATE_D3*($A574-BOTT_D3),0),IF($A574&gt;BOTT_D2,ROUND(BASE_D2+RATE_D2*($A574-BOTT_D2),0),ROUND(RATE_D1*$A574,0))))</f>
        <v/>
      </c>
    </row>
    <row r="575" ht="15.75" customHeight="1" s="7635">
      <c r="A575" s="625">
        <f>AVERAGE(B575,C575)</f>
        <v/>
      </c>
      <c r="B575" s="555" t="n">
        <v>25550</v>
      </c>
      <c r="C575" s="555" t="n">
        <v>25600</v>
      </c>
      <c r="D575" s="556">
        <f>IF($A575&gt;BOTT_A4,ROUND(BASE_A4+RATE_A4*($A575-BOTT_A4),0),IF($A575&gt;BOTT_A3,ROUND(BASE_A3+RATE_A3*($A575-BOTT_A3),0),IF($A575&gt;BOTT_A2,ROUND(BASE_A2+RATE_A2*($A575-BOTT_A2),0),ROUND(RATE_A1*$A575,0))))</f>
        <v/>
      </c>
      <c r="E575" s="556">
        <f>IF($A575&gt;BOTT_B4,ROUND(BASE_B4+RATE_B4*($A575-BOTT_B4),0),IF($A575&gt;BOTT_B3,ROUND(BASE_B3+RATE_B3*($A575-BOTT_B3),0),IF($A575&gt;BOTT_B2,ROUND(BASE_B2+RATE_B2*($A575-BOTT_B2),0),ROUND(RATE_B1*$A575,0))))</f>
        <v/>
      </c>
      <c r="F575" s="556">
        <f>IF($A575&gt;BOTT_C4,ROUND(BASE_C4+RATE_C4*($A575-BOTT_C4),0),IF($A575&gt;BOTT_C3,ROUND(BASE_C3+RATE_C3*($A575-BOTT_C3),0),IF($A575&gt;BOTT_C2,ROUND(BASE_C2+RATE_C2*($A575-BOTT_C2),0),ROUND(RATE_C1*$A575,0))))</f>
        <v/>
      </c>
      <c r="G575" s="556">
        <f>IF($A575&gt;BOTT_D4,ROUND(BASE_D4+RATE_D4*($A575-BOTT_D4),0),IF($A575&gt;BOTT_D3,ROUND(BASE_D3+RATE_D3*($A575-BOTT_D3),0),IF($A575&gt;BOTT_D2,ROUND(BASE_D2+RATE_D2*($A575-BOTT_D2),0),ROUND(RATE_D1*$A575,0))))</f>
        <v/>
      </c>
    </row>
    <row r="576" ht="15.75" customHeight="1" s="7635">
      <c r="A576" s="625">
        <f>AVERAGE(B576,C576)</f>
        <v/>
      </c>
      <c r="B576" s="555" t="n">
        <v>25600</v>
      </c>
      <c r="C576" s="555" t="n">
        <v>25650</v>
      </c>
      <c r="D576" s="556">
        <f>IF($A576&gt;BOTT_A4,ROUND(BASE_A4+RATE_A4*($A576-BOTT_A4),0),IF($A576&gt;BOTT_A3,ROUND(BASE_A3+RATE_A3*($A576-BOTT_A3),0),IF($A576&gt;BOTT_A2,ROUND(BASE_A2+RATE_A2*($A576-BOTT_A2),0),ROUND(RATE_A1*$A576,0))))</f>
        <v/>
      </c>
      <c r="E576" s="556">
        <f>IF($A576&gt;BOTT_B4,ROUND(BASE_B4+RATE_B4*($A576-BOTT_B4),0),IF($A576&gt;BOTT_B3,ROUND(BASE_B3+RATE_B3*($A576-BOTT_B3),0),IF($A576&gt;BOTT_B2,ROUND(BASE_B2+RATE_B2*($A576-BOTT_B2),0),ROUND(RATE_B1*$A576,0))))</f>
        <v/>
      </c>
      <c r="F576" s="556">
        <f>IF($A576&gt;BOTT_C4,ROUND(BASE_C4+RATE_C4*($A576-BOTT_C4),0),IF($A576&gt;BOTT_C3,ROUND(BASE_C3+RATE_C3*($A576-BOTT_C3),0),IF($A576&gt;BOTT_C2,ROUND(BASE_C2+RATE_C2*($A576-BOTT_C2),0),ROUND(RATE_C1*$A576,0))))</f>
        <v/>
      </c>
      <c r="G576" s="556">
        <f>IF($A576&gt;BOTT_D4,ROUND(BASE_D4+RATE_D4*($A576-BOTT_D4),0),IF($A576&gt;BOTT_D3,ROUND(BASE_D3+RATE_D3*($A576-BOTT_D3),0),IF($A576&gt;BOTT_D2,ROUND(BASE_D2+RATE_D2*($A576-BOTT_D2),0),ROUND(RATE_D1*$A576,0))))</f>
        <v/>
      </c>
    </row>
    <row r="577" ht="15.75" customHeight="1" s="7635">
      <c r="A577" s="625">
        <f>AVERAGE(B577,C577)</f>
        <v/>
      </c>
      <c r="B577" s="555" t="n">
        <v>25650</v>
      </c>
      <c r="C577" s="555" t="n">
        <v>25700</v>
      </c>
      <c r="D577" s="556">
        <f>IF($A577&gt;BOTT_A4,ROUND(BASE_A4+RATE_A4*($A577-BOTT_A4),0),IF($A577&gt;BOTT_A3,ROUND(BASE_A3+RATE_A3*($A577-BOTT_A3),0),IF($A577&gt;BOTT_A2,ROUND(BASE_A2+RATE_A2*($A577-BOTT_A2),0),ROUND(RATE_A1*$A577,0))))</f>
        <v/>
      </c>
      <c r="E577" s="556">
        <f>IF($A577&gt;BOTT_B4,ROUND(BASE_B4+RATE_B4*($A577-BOTT_B4),0),IF($A577&gt;BOTT_B3,ROUND(BASE_B3+RATE_B3*($A577-BOTT_B3),0),IF($A577&gt;BOTT_B2,ROUND(BASE_B2+RATE_B2*($A577-BOTT_B2),0),ROUND(RATE_B1*$A577,0))))</f>
        <v/>
      </c>
      <c r="F577" s="556">
        <f>IF($A577&gt;BOTT_C4,ROUND(BASE_C4+RATE_C4*($A577-BOTT_C4),0),IF($A577&gt;BOTT_C3,ROUND(BASE_C3+RATE_C3*($A577-BOTT_C3),0),IF($A577&gt;BOTT_C2,ROUND(BASE_C2+RATE_C2*($A577-BOTT_C2),0),ROUND(RATE_C1*$A577,0))))</f>
        <v/>
      </c>
      <c r="G577" s="556">
        <f>IF($A577&gt;BOTT_D4,ROUND(BASE_D4+RATE_D4*($A577-BOTT_D4),0),IF($A577&gt;BOTT_D3,ROUND(BASE_D3+RATE_D3*($A577-BOTT_D3),0),IF($A577&gt;BOTT_D2,ROUND(BASE_D2+RATE_D2*($A577-BOTT_D2),0),ROUND(RATE_D1*$A577,0))))</f>
        <v/>
      </c>
    </row>
    <row r="578" ht="15.75" customHeight="1" s="7635">
      <c r="A578" s="625">
        <f>AVERAGE(B578,C578)</f>
        <v/>
      </c>
      <c r="B578" s="555" t="n">
        <v>25700</v>
      </c>
      <c r="C578" s="555" t="n">
        <v>25750</v>
      </c>
      <c r="D578" s="556">
        <f>IF($A578&gt;BOTT_A4,ROUND(BASE_A4+RATE_A4*($A578-BOTT_A4),0),IF($A578&gt;BOTT_A3,ROUND(BASE_A3+RATE_A3*($A578-BOTT_A3),0),IF($A578&gt;BOTT_A2,ROUND(BASE_A2+RATE_A2*($A578-BOTT_A2),0),ROUND(RATE_A1*$A578,0))))</f>
        <v/>
      </c>
      <c r="E578" s="556">
        <f>IF($A578&gt;BOTT_B4,ROUND(BASE_B4+RATE_B4*($A578-BOTT_B4),0),IF($A578&gt;BOTT_B3,ROUND(BASE_B3+RATE_B3*($A578-BOTT_B3),0),IF($A578&gt;BOTT_B2,ROUND(BASE_B2+RATE_B2*($A578-BOTT_B2),0),ROUND(RATE_B1*$A578,0))))</f>
        <v/>
      </c>
      <c r="F578" s="556">
        <f>IF($A578&gt;BOTT_C4,ROUND(BASE_C4+RATE_C4*($A578-BOTT_C4),0),IF($A578&gt;BOTT_C3,ROUND(BASE_C3+RATE_C3*($A578-BOTT_C3),0),IF($A578&gt;BOTT_C2,ROUND(BASE_C2+RATE_C2*($A578-BOTT_C2),0),ROUND(RATE_C1*$A578,0))))</f>
        <v/>
      </c>
      <c r="G578" s="556">
        <f>IF($A578&gt;BOTT_D4,ROUND(BASE_D4+RATE_D4*($A578-BOTT_D4),0),IF($A578&gt;BOTT_D3,ROUND(BASE_D3+RATE_D3*($A578-BOTT_D3),0),IF($A578&gt;BOTT_D2,ROUND(BASE_D2+RATE_D2*($A578-BOTT_D2),0),ROUND(RATE_D1*$A578,0))))</f>
        <v/>
      </c>
    </row>
    <row r="579" ht="15.75" customHeight="1" s="7635">
      <c r="A579" s="625">
        <f>AVERAGE(B579,C579)</f>
        <v/>
      </c>
      <c r="B579" s="555" t="n">
        <v>25750</v>
      </c>
      <c r="C579" s="555" t="n">
        <v>25800</v>
      </c>
      <c r="D579" s="556">
        <f>IF($A579&gt;BOTT_A4,ROUND(BASE_A4+RATE_A4*($A579-BOTT_A4),0),IF($A579&gt;BOTT_A3,ROUND(BASE_A3+RATE_A3*($A579-BOTT_A3),0),IF($A579&gt;BOTT_A2,ROUND(BASE_A2+RATE_A2*($A579-BOTT_A2),0),ROUND(RATE_A1*$A579,0))))</f>
        <v/>
      </c>
      <c r="E579" s="556">
        <f>IF($A579&gt;BOTT_B4,ROUND(BASE_B4+RATE_B4*($A579-BOTT_B4),0),IF($A579&gt;BOTT_B3,ROUND(BASE_B3+RATE_B3*($A579-BOTT_B3),0),IF($A579&gt;BOTT_B2,ROUND(BASE_B2+RATE_B2*($A579-BOTT_B2),0),ROUND(RATE_B1*$A579,0))))</f>
        <v/>
      </c>
      <c r="F579" s="556">
        <f>IF($A579&gt;BOTT_C4,ROUND(BASE_C4+RATE_C4*($A579-BOTT_C4),0),IF($A579&gt;BOTT_C3,ROUND(BASE_C3+RATE_C3*($A579-BOTT_C3),0),IF($A579&gt;BOTT_C2,ROUND(BASE_C2+RATE_C2*($A579-BOTT_C2),0),ROUND(RATE_C1*$A579,0))))</f>
        <v/>
      </c>
      <c r="G579" s="556">
        <f>IF($A579&gt;BOTT_D4,ROUND(BASE_D4+RATE_D4*($A579-BOTT_D4),0),IF($A579&gt;BOTT_D3,ROUND(BASE_D3+RATE_D3*($A579-BOTT_D3),0),IF($A579&gt;BOTT_D2,ROUND(BASE_D2+RATE_D2*($A579-BOTT_D2),0),ROUND(RATE_D1*$A579,0))))</f>
        <v/>
      </c>
    </row>
    <row r="580" ht="15.75" customHeight="1" s="7635">
      <c r="A580" s="625">
        <f>AVERAGE(B580,C580)</f>
        <v/>
      </c>
      <c r="B580" s="555" t="n">
        <v>25800</v>
      </c>
      <c r="C580" s="555" t="n">
        <v>25850</v>
      </c>
      <c r="D580" s="556">
        <f>IF($A580&gt;BOTT_A4,ROUND(BASE_A4+RATE_A4*($A580-BOTT_A4),0),IF($A580&gt;BOTT_A3,ROUND(BASE_A3+RATE_A3*($A580-BOTT_A3),0),IF($A580&gt;BOTT_A2,ROUND(BASE_A2+RATE_A2*($A580-BOTT_A2),0),ROUND(RATE_A1*$A580,0))))</f>
        <v/>
      </c>
      <c r="E580" s="556">
        <f>IF($A580&gt;BOTT_B4,ROUND(BASE_B4+RATE_B4*($A580-BOTT_B4),0),IF($A580&gt;BOTT_B3,ROUND(BASE_B3+RATE_B3*($A580-BOTT_B3),0),IF($A580&gt;BOTT_B2,ROUND(BASE_B2+RATE_B2*($A580-BOTT_B2),0),ROUND(RATE_B1*$A580,0))))</f>
        <v/>
      </c>
      <c r="F580" s="556">
        <f>IF($A580&gt;BOTT_C4,ROUND(BASE_C4+RATE_C4*($A580-BOTT_C4),0),IF($A580&gt;BOTT_C3,ROUND(BASE_C3+RATE_C3*($A580-BOTT_C3),0),IF($A580&gt;BOTT_C2,ROUND(BASE_C2+RATE_C2*($A580-BOTT_C2),0),ROUND(RATE_C1*$A580,0))))</f>
        <v/>
      </c>
      <c r="G580" s="556">
        <f>IF($A580&gt;BOTT_D4,ROUND(BASE_D4+RATE_D4*($A580-BOTT_D4),0),IF($A580&gt;BOTT_D3,ROUND(BASE_D3+RATE_D3*($A580-BOTT_D3),0),IF($A580&gt;BOTT_D2,ROUND(BASE_D2+RATE_D2*($A580-BOTT_D2),0),ROUND(RATE_D1*$A580,0))))</f>
        <v/>
      </c>
    </row>
    <row r="581" ht="15.75" customHeight="1" s="7635">
      <c r="A581" s="625">
        <f>AVERAGE(B581,C581)</f>
        <v/>
      </c>
      <c r="B581" s="555" t="n">
        <v>25850</v>
      </c>
      <c r="C581" s="555" t="n">
        <v>25900</v>
      </c>
      <c r="D581" s="556">
        <f>IF($A581&gt;BOTT_A4,ROUND(BASE_A4+RATE_A4*($A581-BOTT_A4),0),IF($A581&gt;BOTT_A3,ROUND(BASE_A3+RATE_A3*($A581-BOTT_A3),0),IF($A581&gt;BOTT_A2,ROUND(BASE_A2+RATE_A2*($A581-BOTT_A2),0),ROUND(RATE_A1*$A581,0))))</f>
        <v/>
      </c>
      <c r="E581" s="556">
        <f>IF($A581&gt;BOTT_B4,ROUND(BASE_B4+RATE_B4*($A581-BOTT_B4),0),IF($A581&gt;BOTT_B3,ROUND(BASE_B3+RATE_B3*($A581-BOTT_B3),0),IF($A581&gt;BOTT_B2,ROUND(BASE_B2+RATE_B2*($A581-BOTT_B2),0),ROUND(RATE_B1*$A581,0))))</f>
        <v/>
      </c>
      <c r="F581" s="556">
        <f>IF($A581&gt;BOTT_C4,ROUND(BASE_C4+RATE_C4*($A581-BOTT_C4),0),IF($A581&gt;BOTT_C3,ROUND(BASE_C3+RATE_C3*($A581-BOTT_C3),0),IF($A581&gt;BOTT_C2,ROUND(BASE_C2+RATE_C2*($A581-BOTT_C2),0),ROUND(RATE_C1*$A581,0))))</f>
        <v/>
      </c>
      <c r="G581" s="556">
        <f>IF($A581&gt;BOTT_D4,ROUND(BASE_D4+RATE_D4*($A581-BOTT_D4),0),IF($A581&gt;BOTT_D3,ROUND(BASE_D3+RATE_D3*($A581-BOTT_D3),0),IF($A581&gt;BOTT_D2,ROUND(BASE_D2+RATE_D2*($A581-BOTT_D2),0),ROUND(RATE_D1*$A581,0))))</f>
        <v/>
      </c>
    </row>
    <row r="582" ht="15.75" customHeight="1" s="7635">
      <c r="A582" s="625">
        <f>AVERAGE(B582,C582)</f>
        <v/>
      </c>
      <c r="B582" s="555" t="n">
        <v>25900</v>
      </c>
      <c r="C582" s="555" t="n">
        <v>25950</v>
      </c>
      <c r="D582" s="556">
        <f>IF($A582&gt;BOTT_A4,ROUND(BASE_A4+RATE_A4*($A582-BOTT_A4),0),IF($A582&gt;BOTT_A3,ROUND(BASE_A3+RATE_A3*($A582-BOTT_A3),0),IF($A582&gt;BOTT_A2,ROUND(BASE_A2+RATE_A2*($A582-BOTT_A2),0),ROUND(RATE_A1*$A582,0))))</f>
        <v/>
      </c>
      <c r="E582" s="556">
        <f>IF($A582&gt;BOTT_B4,ROUND(BASE_B4+RATE_B4*($A582-BOTT_B4),0),IF($A582&gt;BOTT_B3,ROUND(BASE_B3+RATE_B3*($A582-BOTT_B3),0),IF($A582&gt;BOTT_B2,ROUND(BASE_B2+RATE_B2*($A582-BOTT_B2),0),ROUND(RATE_B1*$A582,0))))</f>
        <v/>
      </c>
      <c r="F582" s="556">
        <f>IF($A582&gt;BOTT_C4,ROUND(BASE_C4+RATE_C4*($A582-BOTT_C4),0),IF($A582&gt;BOTT_C3,ROUND(BASE_C3+RATE_C3*($A582-BOTT_C3),0),IF($A582&gt;BOTT_C2,ROUND(BASE_C2+RATE_C2*($A582-BOTT_C2),0),ROUND(RATE_C1*$A582,0))))</f>
        <v/>
      </c>
      <c r="G582" s="556">
        <f>IF($A582&gt;BOTT_D4,ROUND(BASE_D4+RATE_D4*($A582-BOTT_D4),0),IF($A582&gt;BOTT_D3,ROUND(BASE_D3+RATE_D3*($A582-BOTT_D3),0),IF($A582&gt;BOTT_D2,ROUND(BASE_D2+RATE_D2*($A582-BOTT_D2),0),ROUND(RATE_D1*$A582,0))))</f>
        <v/>
      </c>
    </row>
    <row r="583" ht="15.75" customHeight="1" s="7635">
      <c r="A583" s="625">
        <f>AVERAGE(B583,C583)</f>
        <v/>
      </c>
      <c r="B583" s="555" t="n">
        <v>25950</v>
      </c>
      <c r="C583" s="555" t="n">
        <v>26000</v>
      </c>
      <c r="D583" s="556">
        <f>IF($A583&gt;BOTT_A4,ROUND(BASE_A4+RATE_A4*($A583-BOTT_A4),0),IF($A583&gt;BOTT_A3,ROUND(BASE_A3+RATE_A3*($A583-BOTT_A3),0),IF($A583&gt;BOTT_A2,ROUND(BASE_A2+RATE_A2*($A583-BOTT_A2),0),ROUND(RATE_A1*$A583,0))))</f>
        <v/>
      </c>
      <c r="E583" s="556">
        <f>IF($A583&gt;BOTT_B4,ROUND(BASE_B4+RATE_B4*($A583-BOTT_B4),0),IF($A583&gt;BOTT_B3,ROUND(BASE_B3+RATE_B3*($A583-BOTT_B3),0),IF($A583&gt;BOTT_B2,ROUND(BASE_B2+RATE_B2*($A583-BOTT_B2),0),ROUND(RATE_B1*$A583,0))))</f>
        <v/>
      </c>
      <c r="F583" s="556">
        <f>IF($A583&gt;BOTT_C4,ROUND(BASE_C4+RATE_C4*($A583-BOTT_C4),0),IF($A583&gt;BOTT_C3,ROUND(BASE_C3+RATE_C3*($A583-BOTT_C3),0),IF($A583&gt;BOTT_C2,ROUND(BASE_C2+RATE_C2*($A583-BOTT_C2),0),ROUND(RATE_C1*$A583,0))))</f>
        <v/>
      </c>
      <c r="G583" s="556">
        <f>IF($A583&gt;BOTT_D4,ROUND(BASE_D4+RATE_D4*($A583-BOTT_D4),0),IF($A583&gt;BOTT_D3,ROUND(BASE_D3+RATE_D3*($A583-BOTT_D3),0),IF($A583&gt;BOTT_D2,ROUND(BASE_D2+RATE_D2*($A583-BOTT_D2),0),ROUND(RATE_D1*$A583,0))))</f>
        <v/>
      </c>
    </row>
    <row r="584" ht="15.75" customHeight="1" s="7635">
      <c r="A584" s="625">
        <f>AVERAGE(B584,C584)</f>
        <v/>
      </c>
      <c r="B584" s="555" t="n">
        <v>26000</v>
      </c>
      <c r="C584" s="555" t="n">
        <v>26050</v>
      </c>
      <c r="D584" s="556">
        <f>IF($A584&gt;BOTT_A4,ROUND(BASE_A4+RATE_A4*($A584-BOTT_A4),0),IF($A584&gt;BOTT_A3,ROUND(BASE_A3+RATE_A3*($A584-BOTT_A3),0),IF($A584&gt;BOTT_A2,ROUND(BASE_A2+RATE_A2*($A584-BOTT_A2),0),ROUND(RATE_A1*$A584,0))))</f>
        <v/>
      </c>
      <c r="E584" s="556">
        <f>IF($A584&gt;BOTT_B4,ROUND(BASE_B4+RATE_B4*($A584-BOTT_B4),0),IF($A584&gt;BOTT_B3,ROUND(BASE_B3+RATE_B3*($A584-BOTT_B3),0),IF($A584&gt;BOTT_B2,ROUND(BASE_B2+RATE_B2*($A584-BOTT_B2),0),ROUND(RATE_B1*$A584,0))))</f>
        <v/>
      </c>
      <c r="F584" s="556">
        <f>IF($A584&gt;BOTT_C4,ROUND(BASE_C4+RATE_C4*($A584-BOTT_C4),0),IF($A584&gt;BOTT_C3,ROUND(BASE_C3+RATE_C3*($A584-BOTT_C3),0),IF($A584&gt;BOTT_C2,ROUND(BASE_C2+RATE_C2*($A584-BOTT_C2),0),ROUND(RATE_C1*$A584,0))))</f>
        <v/>
      </c>
      <c r="G584" s="556">
        <f>IF($A584&gt;BOTT_D4,ROUND(BASE_D4+RATE_D4*($A584-BOTT_D4),0),IF($A584&gt;BOTT_D3,ROUND(BASE_D3+RATE_D3*($A584-BOTT_D3),0),IF($A584&gt;BOTT_D2,ROUND(BASE_D2+RATE_D2*($A584-BOTT_D2),0),ROUND(RATE_D1*$A584,0))))</f>
        <v/>
      </c>
    </row>
    <row r="585" ht="15.75" customHeight="1" s="7635">
      <c r="A585" s="625">
        <f>AVERAGE(B585,C585)</f>
        <v/>
      </c>
      <c r="B585" s="555" t="n">
        <v>26050</v>
      </c>
      <c r="C585" s="555" t="n">
        <v>26100</v>
      </c>
      <c r="D585" s="556">
        <f>IF($A585&gt;BOTT_A4,ROUND(BASE_A4+RATE_A4*($A585-BOTT_A4),0),IF($A585&gt;BOTT_A3,ROUND(BASE_A3+RATE_A3*($A585-BOTT_A3),0),IF($A585&gt;BOTT_A2,ROUND(BASE_A2+RATE_A2*($A585-BOTT_A2),0),ROUND(RATE_A1*$A585,0))))</f>
        <v/>
      </c>
      <c r="E585" s="556">
        <f>IF($A585&gt;BOTT_B4,ROUND(BASE_B4+RATE_B4*($A585-BOTT_B4),0),IF($A585&gt;BOTT_B3,ROUND(BASE_B3+RATE_B3*($A585-BOTT_B3),0),IF($A585&gt;BOTT_B2,ROUND(BASE_B2+RATE_B2*($A585-BOTT_B2),0),ROUND(RATE_B1*$A585,0))))</f>
        <v/>
      </c>
      <c r="F585" s="556">
        <f>IF($A585&gt;BOTT_C4,ROUND(BASE_C4+RATE_C4*($A585-BOTT_C4),0),IF($A585&gt;BOTT_C3,ROUND(BASE_C3+RATE_C3*($A585-BOTT_C3),0),IF($A585&gt;BOTT_C2,ROUND(BASE_C2+RATE_C2*($A585-BOTT_C2),0),ROUND(RATE_C1*$A585,0))))</f>
        <v/>
      </c>
      <c r="G585" s="556">
        <f>IF($A585&gt;BOTT_D4,ROUND(BASE_D4+RATE_D4*($A585-BOTT_D4),0),IF($A585&gt;BOTT_D3,ROUND(BASE_D3+RATE_D3*($A585-BOTT_D3),0),IF($A585&gt;BOTT_D2,ROUND(BASE_D2+RATE_D2*($A585-BOTT_D2),0),ROUND(RATE_D1*$A585,0))))</f>
        <v/>
      </c>
    </row>
    <row r="586" ht="15.75" customHeight="1" s="7635">
      <c r="A586" s="625">
        <f>AVERAGE(B586,C586)</f>
        <v/>
      </c>
      <c r="B586" s="555" t="n">
        <v>26100</v>
      </c>
      <c r="C586" s="555" t="n">
        <v>26150</v>
      </c>
      <c r="D586" s="556">
        <f>IF($A586&gt;BOTT_A4,ROUND(BASE_A4+RATE_A4*($A586-BOTT_A4),0),IF($A586&gt;BOTT_A3,ROUND(BASE_A3+RATE_A3*($A586-BOTT_A3),0),IF($A586&gt;BOTT_A2,ROUND(BASE_A2+RATE_A2*($A586-BOTT_A2),0),ROUND(RATE_A1*$A586,0))))</f>
        <v/>
      </c>
      <c r="E586" s="556">
        <f>IF($A586&gt;BOTT_B4,ROUND(BASE_B4+RATE_B4*($A586-BOTT_B4),0),IF($A586&gt;BOTT_B3,ROUND(BASE_B3+RATE_B3*($A586-BOTT_B3),0),IF($A586&gt;BOTT_B2,ROUND(BASE_B2+RATE_B2*($A586-BOTT_B2),0),ROUND(RATE_B1*$A586,0))))</f>
        <v/>
      </c>
      <c r="F586" s="556">
        <f>IF($A586&gt;BOTT_C4,ROUND(BASE_C4+RATE_C4*($A586-BOTT_C4),0),IF($A586&gt;BOTT_C3,ROUND(BASE_C3+RATE_C3*($A586-BOTT_C3),0),IF($A586&gt;BOTT_C2,ROUND(BASE_C2+RATE_C2*($A586-BOTT_C2),0),ROUND(RATE_C1*$A586,0))))</f>
        <v/>
      </c>
      <c r="G586" s="556">
        <f>IF($A586&gt;BOTT_D4,ROUND(BASE_D4+RATE_D4*($A586-BOTT_D4),0),IF($A586&gt;BOTT_D3,ROUND(BASE_D3+RATE_D3*($A586-BOTT_D3),0),IF($A586&gt;BOTT_D2,ROUND(BASE_D2+RATE_D2*($A586-BOTT_D2),0),ROUND(RATE_D1*$A586,0))))</f>
        <v/>
      </c>
    </row>
    <row r="587" ht="15.75" customHeight="1" s="7635">
      <c r="A587" s="625">
        <f>AVERAGE(B587,C587)</f>
        <v/>
      </c>
      <c r="B587" s="555" t="n">
        <v>26150</v>
      </c>
      <c r="C587" s="555" t="n">
        <v>26200</v>
      </c>
      <c r="D587" s="556">
        <f>IF($A587&gt;BOTT_A4,ROUND(BASE_A4+RATE_A4*($A587-BOTT_A4),0),IF($A587&gt;BOTT_A3,ROUND(BASE_A3+RATE_A3*($A587-BOTT_A3),0),IF($A587&gt;BOTT_A2,ROUND(BASE_A2+RATE_A2*($A587-BOTT_A2),0),ROUND(RATE_A1*$A587,0))))</f>
        <v/>
      </c>
      <c r="E587" s="556">
        <f>IF($A587&gt;BOTT_B4,ROUND(BASE_B4+RATE_B4*($A587-BOTT_B4),0),IF($A587&gt;BOTT_B3,ROUND(BASE_B3+RATE_B3*($A587-BOTT_B3),0),IF($A587&gt;BOTT_B2,ROUND(BASE_B2+RATE_B2*($A587-BOTT_B2),0),ROUND(RATE_B1*$A587,0))))</f>
        <v/>
      </c>
      <c r="F587" s="556">
        <f>IF($A587&gt;BOTT_C4,ROUND(BASE_C4+RATE_C4*($A587-BOTT_C4),0),IF($A587&gt;BOTT_C3,ROUND(BASE_C3+RATE_C3*($A587-BOTT_C3),0),IF($A587&gt;BOTT_C2,ROUND(BASE_C2+RATE_C2*($A587-BOTT_C2),0),ROUND(RATE_C1*$A587,0))))</f>
        <v/>
      </c>
      <c r="G587" s="556">
        <f>IF($A587&gt;BOTT_D4,ROUND(BASE_D4+RATE_D4*($A587-BOTT_D4),0),IF($A587&gt;BOTT_D3,ROUND(BASE_D3+RATE_D3*($A587-BOTT_D3),0),IF($A587&gt;BOTT_D2,ROUND(BASE_D2+RATE_D2*($A587-BOTT_D2),0),ROUND(RATE_D1*$A587,0))))</f>
        <v/>
      </c>
    </row>
    <row r="588" ht="15.75" customHeight="1" s="7635">
      <c r="A588" s="625">
        <f>AVERAGE(B588,C588)</f>
        <v/>
      </c>
      <c r="B588" s="555" t="n">
        <v>26200</v>
      </c>
      <c r="C588" s="555" t="n">
        <v>26250</v>
      </c>
      <c r="D588" s="556">
        <f>IF($A588&gt;BOTT_A4,ROUND(BASE_A4+RATE_A4*($A588-BOTT_A4),0),IF($A588&gt;BOTT_A3,ROUND(BASE_A3+RATE_A3*($A588-BOTT_A3),0),IF($A588&gt;BOTT_A2,ROUND(BASE_A2+RATE_A2*($A588-BOTT_A2),0),ROUND(RATE_A1*$A588,0))))</f>
        <v/>
      </c>
      <c r="E588" s="556">
        <f>IF($A588&gt;BOTT_B4,ROUND(BASE_B4+RATE_B4*($A588-BOTT_B4),0),IF($A588&gt;BOTT_B3,ROUND(BASE_B3+RATE_B3*($A588-BOTT_B3),0),IF($A588&gt;BOTT_B2,ROUND(BASE_B2+RATE_B2*($A588-BOTT_B2),0),ROUND(RATE_B1*$A588,0))))</f>
        <v/>
      </c>
      <c r="F588" s="556">
        <f>IF($A588&gt;BOTT_C4,ROUND(BASE_C4+RATE_C4*($A588-BOTT_C4),0),IF($A588&gt;BOTT_C3,ROUND(BASE_C3+RATE_C3*($A588-BOTT_C3),0),IF($A588&gt;BOTT_C2,ROUND(BASE_C2+RATE_C2*($A588-BOTT_C2),0),ROUND(RATE_C1*$A588,0))))</f>
        <v/>
      </c>
      <c r="G588" s="556">
        <f>IF($A588&gt;BOTT_D4,ROUND(BASE_D4+RATE_D4*($A588-BOTT_D4),0),IF($A588&gt;BOTT_D3,ROUND(BASE_D3+RATE_D3*($A588-BOTT_D3),0),IF($A588&gt;BOTT_D2,ROUND(BASE_D2+RATE_D2*($A588-BOTT_D2),0),ROUND(RATE_D1*$A588,0))))</f>
        <v/>
      </c>
    </row>
    <row r="589" ht="15.75" customHeight="1" s="7635">
      <c r="A589" s="625">
        <f>AVERAGE(B589,C589)</f>
        <v/>
      </c>
      <c r="B589" s="555" t="n">
        <v>26250</v>
      </c>
      <c r="C589" s="555" t="n">
        <v>26300</v>
      </c>
      <c r="D589" s="556">
        <f>IF($A589&gt;BOTT_A4,ROUND(BASE_A4+RATE_A4*($A589-BOTT_A4),0),IF($A589&gt;BOTT_A3,ROUND(BASE_A3+RATE_A3*($A589-BOTT_A3),0),IF($A589&gt;BOTT_A2,ROUND(BASE_A2+RATE_A2*($A589-BOTT_A2),0),ROUND(RATE_A1*$A589,0))))</f>
        <v/>
      </c>
      <c r="E589" s="556">
        <f>IF($A589&gt;BOTT_B4,ROUND(BASE_B4+RATE_B4*($A589-BOTT_B4),0),IF($A589&gt;BOTT_B3,ROUND(BASE_B3+RATE_B3*($A589-BOTT_B3),0),IF($A589&gt;BOTT_B2,ROUND(BASE_B2+RATE_B2*($A589-BOTT_B2),0),ROUND(RATE_B1*$A589,0))))</f>
        <v/>
      </c>
      <c r="F589" s="556">
        <f>IF($A589&gt;BOTT_C4,ROUND(BASE_C4+RATE_C4*($A589-BOTT_C4),0),IF($A589&gt;BOTT_C3,ROUND(BASE_C3+RATE_C3*($A589-BOTT_C3),0),IF($A589&gt;BOTT_C2,ROUND(BASE_C2+RATE_C2*($A589-BOTT_C2),0),ROUND(RATE_C1*$A589,0))))</f>
        <v/>
      </c>
      <c r="G589" s="556">
        <f>IF($A589&gt;BOTT_D4,ROUND(BASE_D4+RATE_D4*($A589-BOTT_D4),0),IF($A589&gt;BOTT_D3,ROUND(BASE_D3+RATE_D3*($A589-BOTT_D3),0),IF($A589&gt;BOTT_D2,ROUND(BASE_D2+RATE_D2*($A589-BOTT_D2),0),ROUND(RATE_D1*$A589,0))))</f>
        <v/>
      </c>
    </row>
    <row r="590" ht="15.75" customHeight="1" s="7635">
      <c r="A590" s="625">
        <f>AVERAGE(B590,C590)</f>
        <v/>
      </c>
      <c r="B590" s="555" t="n">
        <v>26300</v>
      </c>
      <c r="C590" s="555" t="n">
        <v>26350</v>
      </c>
      <c r="D590" s="556">
        <f>IF($A590&gt;BOTT_A4,ROUND(BASE_A4+RATE_A4*($A590-BOTT_A4),0),IF($A590&gt;BOTT_A3,ROUND(BASE_A3+RATE_A3*($A590-BOTT_A3),0),IF($A590&gt;BOTT_A2,ROUND(BASE_A2+RATE_A2*($A590-BOTT_A2),0),ROUND(RATE_A1*$A590,0))))</f>
        <v/>
      </c>
      <c r="E590" s="556">
        <f>IF($A590&gt;BOTT_B4,ROUND(BASE_B4+RATE_B4*($A590-BOTT_B4),0),IF($A590&gt;BOTT_B3,ROUND(BASE_B3+RATE_B3*($A590-BOTT_B3),0),IF($A590&gt;BOTT_B2,ROUND(BASE_B2+RATE_B2*($A590-BOTT_B2),0),ROUND(RATE_B1*$A590,0))))</f>
        <v/>
      </c>
      <c r="F590" s="556">
        <f>IF($A590&gt;BOTT_C4,ROUND(BASE_C4+RATE_C4*($A590-BOTT_C4),0),IF($A590&gt;BOTT_C3,ROUND(BASE_C3+RATE_C3*($A590-BOTT_C3),0),IF($A590&gt;BOTT_C2,ROUND(BASE_C2+RATE_C2*($A590-BOTT_C2),0),ROUND(RATE_C1*$A590,0))))</f>
        <v/>
      </c>
      <c r="G590" s="556">
        <f>IF($A590&gt;BOTT_D4,ROUND(BASE_D4+RATE_D4*($A590-BOTT_D4),0),IF($A590&gt;BOTT_D3,ROUND(BASE_D3+RATE_D3*($A590-BOTT_D3),0),IF($A590&gt;BOTT_D2,ROUND(BASE_D2+RATE_D2*($A590-BOTT_D2),0),ROUND(RATE_D1*$A590,0))))</f>
        <v/>
      </c>
    </row>
    <row r="591" ht="15.75" customHeight="1" s="7635">
      <c r="A591" s="625">
        <f>AVERAGE(B591,C591)</f>
        <v/>
      </c>
      <c r="B591" s="555" t="n">
        <v>26350</v>
      </c>
      <c r="C591" s="555" t="n">
        <v>26400</v>
      </c>
      <c r="D591" s="556">
        <f>IF($A591&gt;BOTT_A4,ROUND(BASE_A4+RATE_A4*($A591-BOTT_A4),0),IF($A591&gt;BOTT_A3,ROUND(BASE_A3+RATE_A3*($A591-BOTT_A3),0),IF($A591&gt;BOTT_A2,ROUND(BASE_A2+RATE_A2*($A591-BOTT_A2),0),ROUND(RATE_A1*$A591,0))))</f>
        <v/>
      </c>
      <c r="E591" s="556">
        <f>IF($A591&gt;BOTT_B4,ROUND(BASE_B4+RATE_B4*($A591-BOTT_B4),0),IF($A591&gt;BOTT_B3,ROUND(BASE_B3+RATE_B3*($A591-BOTT_B3),0),IF($A591&gt;BOTT_B2,ROUND(BASE_B2+RATE_B2*($A591-BOTT_B2),0),ROUND(RATE_B1*$A591,0))))</f>
        <v/>
      </c>
      <c r="F591" s="556">
        <f>IF($A591&gt;BOTT_C4,ROUND(BASE_C4+RATE_C4*($A591-BOTT_C4),0),IF($A591&gt;BOTT_C3,ROUND(BASE_C3+RATE_C3*($A591-BOTT_C3),0),IF($A591&gt;BOTT_C2,ROUND(BASE_C2+RATE_C2*($A591-BOTT_C2),0),ROUND(RATE_C1*$A591,0))))</f>
        <v/>
      </c>
      <c r="G591" s="556">
        <f>IF($A591&gt;BOTT_D4,ROUND(BASE_D4+RATE_D4*($A591-BOTT_D4),0),IF($A591&gt;BOTT_D3,ROUND(BASE_D3+RATE_D3*($A591-BOTT_D3),0),IF($A591&gt;BOTT_D2,ROUND(BASE_D2+RATE_D2*($A591-BOTT_D2),0),ROUND(RATE_D1*$A591,0))))</f>
        <v/>
      </c>
    </row>
    <row r="592" ht="15.75" customHeight="1" s="7635">
      <c r="A592" s="625">
        <f>AVERAGE(B592,C592)</f>
        <v/>
      </c>
      <c r="B592" s="555" t="n">
        <v>26400</v>
      </c>
      <c r="C592" s="555" t="n">
        <v>26450</v>
      </c>
      <c r="D592" s="556">
        <f>IF($A592&gt;BOTT_A4,ROUND(BASE_A4+RATE_A4*($A592-BOTT_A4),0),IF($A592&gt;BOTT_A3,ROUND(BASE_A3+RATE_A3*($A592-BOTT_A3),0),IF($A592&gt;BOTT_A2,ROUND(BASE_A2+RATE_A2*($A592-BOTT_A2),0),ROUND(RATE_A1*$A592,0))))</f>
        <v/>
      </c>
      <c r="E592" s="556">
        <f>IF($A592&gt;BOTT_B4,ROUND(BASE_B4+RATE_B4*($A592-BOTT_B4),0),IF($A592&gt;BOTT_B3,ROUND(BASE_B3+RATE_B3*($A592-BOTT_B3),0),IF($A592&gt;BOTT_B2,ROUND(BASE_B2+RATE_B2*($A592-BOTT_B2),0),ROUND(RATE_B1*$A592,0))))</f>
        <v/>
      </c>
      <c r="F592" s="556">
        <f>IF($A592&gt;BOTT_C4,ROUND(BASE_C4+RATE_C4*($A592-BOTT_C4),0),IF($A592&gt;BOTT_C3,ROUND(BASE_C3+RATE_C3*($A592-BOTT_C3),0),IF($A592&gt;BOTT_C2,ROUND(BASE_C2+RATE_C2*($A592-BOTT_C2),0),ROUND(RATE_C1*$A592,0))))</f>
        <v/>
      </c>
      <c r="G592" s="556">
        <f>IF($A592&gt;BOTT_D4,ROUND(BASE_D4+RATE_D4*($A592-BOTT_D4),0),IF($A592&gt;BOTT_D3,ROUND(BASE_D3+RATE_D3*($A592-BOTT_D3),0),IF($A592&gt;BOTT_D2,ROUND(BASE_D2+RATE_D2*($A592-BOTT_D2),0),ROUND(RATE_D1*$A592,0))))</f>
        <v/>
      </c>
    </row>
    <row r="593" ht="15.75" customHeight="1" s="7635">
      <c r="A593" s="625">
        <f>AVERAGE(B593,C593)</f>
        <v/>
      </c>
      <c r="B593" s="555" t="n">
        <v>26450</v>
      </c>
      <c r="C593" s="555" t="n">
        <v>26500</v>
      </c>
      <c r="D593" s="556">
        <f>IF($A593&gt;BOTT_A4,ROUND(BASE_A4+RATE_A4*($A593-BOTT_A4),0),IF($A593&gt;BOTT_A3,ROUND(BASE_A3+RATE_A3*($A593-BOTT_A3),0),IF($A593&gt;BOTT_A2,ROUND(BASE_A2+RATE_A2*($A593-BOTT_A2),0),ROUND(RATE_A1*$A593,0))))</f>
        <v/>
      </c>
      <c r="E593" s="556">
        <f>IF($A593&gt;BOTT_B4,ROUND(BASE_B4+RATE_B4*($A593-BOTT_B4),0),IF($A593&gt;BOTT_B3,ROUND(BASE_B3+RATE_B3*($A593-BOTT_B3),0),IF($A593&gt;BOTT_B2,ROUND(BASE_B2+RATE_B2*($A593-BOTT_B2),0),ROUND(RATE_B1*$A593,0))))</f>
        <v/>
      </c>
      <c r="F593" s="556">
        <f>IF($A593&gt;BOTT_C4,ROUND(BASE_C4+RATE_C4*($A593-BOTT_C4),0),IF($A593&gt;BOTT_C3,ROUND(BASE_C3+RATE_C3*($A593-BOTT_C3),0),IF($A593&gt;BOTT_C2,ROUND(BASE_C2+RATE_C2*($A593-BOTT_C2),0),ROUND(RATE_C1*$A593,0))))</f>
        <v/>
      </c>
      <c r="G593" s="556">
        <f>IF($A593&gt;BOTT_D4,ROUND(BASE_D4+RATE_D4*($A593-BOTT_D4),0),IF($A593&gt;BOTT_D3,ROUND(BASE_D3+RATE_D3*($A593-BOTT_D3),0),IF($A593&gt;BOTT_D2,ROUND(BASE_D2+RATE_D2*($A593-BOTT_D2),0),ROUND(RATE_D1*$A593,0))))</f>
        <v/>
      </c>
    </row>
    <row r="594" ht="15.75" customHeight="1" s="7635">
      <c r="A594" s="625">
        <f>AVERAGE(B594,C594)</f>
        <v/>
      </c>
      <c r="B594" s="555" t="n">
        <v>26500</v>
      </c>
      <c r="C594" s="555" t="n">
        <v>26550</v>
      </c>
      <c r="D594" s="556">
        <f>IF($A594&gt;BOTT_A4,ROUND(BASE_A4+RATE_A4*($A594-BOTT_A4),0),IF($A594&gt;BOTT_A3,ROUND(BASE_A3+RATE_A3*($A594-BOTT_A3),0),IF($A594&gt;BOTT_A2,ROUND(BASE_A2+RATE_A2*($A594-BOTT_A2),0),ROUND(RATE_A1*$A594,0))))</f>
        <v/>
      </c>
      <c r="E594" s="556">
        <f>IF($A594&gt;BOTT_B4,ROUND(BASE_B4+RATE_B4*($A594-BOTT_B4),0),IF($A594&gt;BOTT_B3,ROUND(BASE_B3+RATE_B3*($A594-BOTT_B3),0),IF($A594&gt;BOTT_B2,ROUND(BASE_B2+RATE_B2*($A594-BOTT_B2),0),ROUND(RATE_B1*$A594,0))))</f>
        <v/>
      </c>
      <c r="F594" s="556">
        <f>IF($A594&gt;BOTT_C4,ROUND(BASE_C4+RATE_C4*($A594-BOTT_C4),0),IF($A594&gt;BOTT_C3,ROUND(BASE_C3+RATE_C3*($A594-BOTT_C3),0),IF($A594&gt;BOTT_C2,ROUND(BASE_C2+RATE_C2*($A594-BOTT_C2),0),ROUND(RATE_C1*$A594,0))))</f>
        <v/>
      </c>
      <c r="G594" s="556">
        <f>IF($A594&gt;BOTT_D4,ROUND(BASE_D4+RATE_D4*($A594-BOTT_D4),0),IF($A594&gt;BOTT_D3,ROUND(BASE_D3+RATE_D3*($A594-BOTT_D3),0),IF($A594&gt;BOTT_D2,ROUND(BASE_D2+RATE_D2*($A594-BOTT_D2),0),ROUND(RATE_D1*$A594,0))))</f>
        <v/>
      </c>
    </row>
    <row r="595" ht="15.75" customHeight="1" s="7635">
      <c r="A595" s="625">
        <f>AVERAGE(B595,C595)</f>
        <v/>
      </c>
      <c r="B595" s="555" t="n">
        <v>26550</v>
      </c>
      <c r="C595" s="555" t="n">
        <v>26600</v>
      </c>
      <c r="D595" s="556">
        <f>IF($A595&gt;BOTT_A4,ROUND(BASE_A4+RATE_A4*($A595-BOTT_A4),0),IF($A595&gt;BOTT_A3,ROUND(BASE_A3+RATE_A3*($A595-BOTT_A3),0),IF($A595&gt;BOTT_A2,ROUND(BASE_A2+RATE_A2*($A595-BOTT_A2),0),ROUND(RATE_A1*$A595,0))))</f>
        <v/>
      </c>
      <c r="E595" s="556">
        <f>IF($A595&gt;BOTT_B4,ROUND(BASE_B4+RATE_B4*($A595-BOTT_B4),0),IF($A595&gt;BOTT_B3,ROUND(BASE_B3+RATE_B3*($A595-BOTT_B3),0),IF($A595&gt;BOTT_B2,ROUND(BASE_B2+RATE_B2*($A595-BOTT_B2),0),ROUND(RATE_B1*$A595,0))))</f>
        <v/>
      </c>
      <c r="F595" s="556">
        <f>IF($A595&gt;BOTT_C4,ROUND(BASE_C4+RATE_C4*($A595-BOTT_C4),0),IF($A595&gt;BOTT_C3,ROUND(BASE_C3+RATE_C3*($A595-BOTT_C3),0),IF($A595&gt;BOTT_C2,ROUND(BASE_C2+RATE_C2*($A595-BOTT_C2),0),ROUND(RATE_C1*$A595,0))))</f>
        <v/>
      </c>
      <c r="G595" s="556">
        <f>IF($A595&gt;BOTT_D4,ROUND(BASE_D4+RATE_D4*($A595-BOTT_D4),0),IF($A595&gt;BOTT_D3,ROUND(BASE_D3+RATE_D3*($A595-BOTT_D3),0),IF($A595&gt;BOTT_D2,ROUND(BASE_D2+RATE_D2*($A595-BOTT_D2),0),ROUND(RATE_D1*$A595,0))))</f>
        <v/>
      </c>
    </row>
    <row r="596" ht="15.75" customHeight="1" s="7635">
      <c r="A596" s="625">
        <f>AVERAGE(B596,C596)</f>
        <v/>
      </c>
      <c r="B596" s="555" t="n">
        <v>26600</v>
      </c>
      <c r="C596" s="555" t="n">
        <v>26650</v>
      </c>
      <c r="D596" s="556">
        <f>IF($A596&gt;BOTT_A4,ROUND(BASE_A4+RATE_A4*($A596-BOTT_A4),0),IF($A596&gt;BOTT_A3,ROUND(BASE_A3+RATE_A3*($A596-BOTT_A3),0),IF($A596&gt;BOTT_A2,ROUND(BASE_A2+RATE_A2*($A596-BOTT_A2),0),ROUND(RATE_A1*$A596,0))))</f>
        <v/>
      </c>
      <c r="E596" s="556">
        <f>IF($A596&gt;BOTT_B4,ROUND(BASE_B4+RATE_B4*($A596-BOTT_B4),0),IF($A596&gt;BOTT_B3,ROUND(BASE_B3+RATE_B3*($A596-BOTT_B3),0),IF($A596&gt;BOTT_B2,ROUND(BASE_B2+RATE_B2*($A596-BOTT_B2),0),ROUND(RATE_B1*$A596,0))))</f>
        <v/>
      </c>
      <c r="F596" s="556">
        <f>IF($A596&gt;BOTT_C4,ROUND(BASE_C4+RATE_C4*($A596-BOTT_C4),0),IF($A596&gt;BOTT_C3,ROUND(BASE_C3+RATE_C3*($A596-BOTT_C3),0),IF($A596&gt;BOTT_C2,ROUND(BASE_C2+RATE_C2*($A596-BOTT_C2),0),ROUND(RATE_C1*$A596,0))))</f>
        <v/>
      </c>
      <c r="G596" s="556">
        <f>IF($A596&gt;BOTT_D4,ROUND(BASE_D4+RATE_D4*($A596-BOTT_D4),0),IF($A596&gt;BOTT_D3,ROUND(BASE_D3+RATE_D3*($A596-BOTT_D3),0),IF($A596&gt;BOTT_D2,ROUND(BASE_D2+RATE_D2*($A596-BOTT_D2),0),ROUND(RATE_D1*$A596,0))))</f>
        <v/>
      </c>
    </row>
    <row r="597" ht="15.75" customHeight="1" s="7635">
      <c r="A597" s="625">
        <f>AVERAGE(B597,C597)</f>
        <v/>
      </c>
      <c r="B597" s="555" t="n">
        <v>26650</v>
      </c>
      <c r="C597" s="555" t="n">
        <v>26700</v>
      </c>
      <c r="D597" s="556">
        <f>IF($A597&gt;BOTT_A4,ROUND(BASE_A4+RATE_A4*($A597-BOTT_A4),0),IF($A597&gt;BOTT_A3,ROUND(BASE_A3+RATE_A3*($A597-BOTT_A3),0),IF($A597&gt;BOTT_A2,ROUND(BASE_A2+RATE_A2*($A597-BOTT_A2),0),ROUND(RATE_A1*$A597,0))))</f>
        <v/>
      </c>
      <c r="E597" s="556">
        <f>IF($A597&gt;BOTT_B4,ROUND(BASE_B4+RATE_B4*($A597-BOTT_B4),0),IF($A597&gt;BOTT_B3,ROUND(BASE_B3+RATE_B3*($A597-BOTT_B3),0),IF($A597&gt;BOTT_B2,ROUND(BASE_B2+RATE_B2*($A597-BOTT_B2),0),ROUND(RATE_B1*$A597,0))))</f>
        <v/>
      </c>
      <c r="F597" s="556">
        <f>IF($A597&gt;BOTT_C4,ROUND(BASE_C4+RATE_C4*($A597-BOTT_C4),0),IF($A597&gt;BOTT_C3,ROUND(BASE_C3+RATE_C3*($A597-BOTT_C3),0),IF($A597&gt;BOTT_C2,ROUND(BASE_C2+RATE_C2*($A597-BOTT_C2),0),ROUND(RATE_C1*$A597,0))))</f>
        <v/>
      </c>
      <c r="G597" s="556">
        <f>IF($A597&gt;BOTT_D4,ROUND(BASE_D4+RATE_D4*($A597-BOTT_D4),0),IF($A597&gt;BOTT_D3,ROUND(BASE_D3+RATE_D3*($A597-BOTT_D3),0),IF($A597&gt;BOTT_D2,ROUND(BASE_D2+RATE_D2*($A597-BOTT_D2),0),ROUND(RATE_D1*$A597,0))))</f>
        <v/>
      </c>
    </row>
    <row r="598" ht="15.75" customHeight="1" s="7635">
      <c r="A598" s="625">
        <f>AVERAGE(B598,C598)</f>
        <v/>
      </c>
      <c r="B598" s="555" t="n">
        <v>26700</v>
      </c>
      <c r="C598" s="555" t="n">
        <v>26750</v>
      </c>
      <c r="D598" s="556">
        <f>IF($A598&gt;BOTT_A4,ROUND(BASE_A4+RATE_A4*($A598-BOTT_A4),0),IF($A598&gt;BOTT_A3,ROUND(BASE_A3+RATE_A3*($A598-BOTT_A3),0),IF($A598&gt;BOTT_A2,ROUND(BASE_A2+RATE_A2*($A598-BOTT_A2),0),ROUND(RATE_A1*$A598,0))))</f>
        <v/>
      </c>
      <c r="E598" s="556">
        <f>IF($A598&gt;BOTT_B4,ROUND(BASE_B4+RATE_B4*($A598-BOTT_B4),0),IF($A598&gt;BOTT_B3,ROUND(BASE_B3+RATE_B3*($A598-BOTT_B3),0),IF($A598&gt;BOTT_B2,ROUND(BASE_B2+RATE_B2*($A598-BOTT_B2),0),ROUND(RATE_B1*$A598,0))))</f>
        <v/>
      </c>
      <c r="F598" s="556">
        <f>IF($A598&gt;BOTT_C4,ROUND(BASE_C4+RATE_C4*($A598-BOTT_C4),0),IF($A598&gt;BOTT_C3,ROUND(BASE_C3+RATE_C3*($A598-BOTT_C3),0),IF($A598&gt;BOTT_C2,ROUND(BASE_C2+RATE_C2*($A598-BOTT_C2),0),ROUND(RATE_C1*$A598,0))))</f>
        <v/>
      </c>
      <c r="G598" s="556">
        <f>IF($A598&gt;BOTT_D4,ROUND(BASE_D4+RATE_D4*($A598-BOTT_D4),0),IF($A598&gt;BOTT_D3,ROUND(BASE_D3+RATE_D3*($A598-BOTT_D3),0),IF($A598&gt;BOTT_D2,ROUND(BASE_D2+RATE_D2*($A598-BOTT_D2),0),ROUND(RATE_D1*$A598,0))))</f>
        <v/>
      </c>
    </row>
    <row r="599" ht="15.75" customHeight="1" s="7635">
      <c r="A599" s="625">
        <f>AVERAGE(B599,C599)</f>
        <v/>
      </c>
      <c r="B599" s="555" t="n">
        <v>26750</v>
      </c>
      <c r="C599" s="555" t="n">
        <v>26800</v>
      </c>
      <c r="D599" s="556">
        <f>IF($A599&gt;BOTT_A4,ROUND(BASE_A4+RATE_A4*($A599-BOTT_A4),0),IF($A599&gt;BOTT_A3,ROUND(BASE_A3+RATE_A3*($A599-BOTT_A3),0),IF($A599&gt;BOTT_A2,ROUND(BASE_A2+RATE_A2*($A599-BOTT_A2),0),ROUND(RATE_A1*$A599,0))))</f>
        <v/>
      </c>
      <c r="E599" s="556">
        <f>IF($A599&gt;BOTT_B4,ROUND(BASE_B4+RATE_B4*($A599-BOTT_B4),0),IF($A599&gt;BOTT_B3,ROUND(BASE_B3+RATE_B3*($A599-BOTT_B3),0),IF($A599&gt;BOTT_B2,ROUND(BASE_B2+RATE_B2*($A599-BOTT_B2),0),ROUND(RATE_B1*$A599,0))))</f>
        <v/>
      </c>
      <c r="F599" s="556">
        <f>IF($A599&gt;BOTT_C4,ROUND(BASE_C4+RATE_C4*($A599-BOTT_C4),0),IF($A599&gt;BOTT_C3,ROUND(BASE_C3+RATE_C3*($A599-BOTT_C3),0),IF($A599&gt;BOTT_C2,ROUND(BASE_C2+RATE_C2*($A599-BOTT_C2),0),ROUND(RATE_C1*$A599,0))))</f>
        <v/>
      </c>
      <c r="G599" s="556">
        <f>IF($A599&gt;BOTT_D4,ROUND(BASE_D4+RATE_D4*($A599-BOTT_D4),0),IF($A599&gt;BOTT_D3,ROUND(BASE_D3+RATE_D3*($A599-BOTT_D3),0),IF($A599&gt;BOTT_D2,ROUND(BASE_D2+RATE_D2*($A599-BOTT_D2),0),ROUND(RATE_D1*$A599,0))))</f>
        <v/>
      </c>
    </row>
    <row r="600" ht="15.75" customHeight="1" s="7635">
      <c r="A600" s="625">
        <f>AVERAGE(B600,C600)</f>
        <v/>
      </c>
      <c r="B600" s="555" t="n">
        <v>26800</v>
      </c>
      <c r="C600" s="555" t="n">
        <v>26850</v>
      </c>
      <c r="D600" s="556">
        <f>IF($A600&gt;BOTT_A4,ROUND(BASE_A4+RATE_A4*($A600-BOTT_A4),0),IF($A600&gt;BOTT_A3,ROUND(BASE_A3+RATE_A3*($A600-BOTT_A3),0),IF($A600&gt;BOTT_A2,ROUND(BASE_A2+RATE_A2*($A600-BOTT_A2),0),ROUND(RATE_A1*$A600,0))))</f>
        <v/>
      </c>
      <c r="E600" s="556">
        <f>IF($A600&gt;BOTT_B4,ROUND(BASE_B4+RATE_B4*($A600-BOTT_B4),0),IF($A600&gt;BOTT_B3,ROUND(BASE_B3+RATE_B3*($A600-BOTT_B3),0),IF($A600&gt;BOTT_B2,ROUND(BASE_B2+RATE_B2*($A600-BOTT_B2),0),ROUND(RATE_B1*$A600,0))))</f>
        <v/>
      </c>
      <c r="F600" s="556">
        <f>IF($A600&gt;BOTT_C4,ROUND(BASE_C4+RATE_C4*($A600-BOTT_C4),0),IF($A600&gt;BOTT_C3,ROUND(BASE_C3+RATE_C3*($A600-BOTT_C3),0),IF($A600&gt;BOTT_C2,ROUND(BASE_C2+RATE_C2*($A600-BOTT_C2),0),ROUND(RATE_C1*$A600,0))))</f>
        <v/>
      </c>
      <c r="G600" s="556">
        <f>IF($A600&gt;BOTT_D4,ROUND(BASE_D4+RATE_D4*($A600-BOTT_D4),0),IF($A600&gt;BOTT_D3,ROUND(BASE_D3+RATE_D3*($A600-BOTT_D3),0),IF($A600&gt;BOTT_D2,ROUND(BASE_D2+RATE_D2*($A600-BOTT_D2),0),ROUND(RATE_D1*$A600,0))))</f>
        <v/>
      </c>
    </row>
    <row r="601" ht="15.75" customHeight="1" s="7635">
      <c r="A601" s="625">
        <f>AVERAGE(B601,C601)</f>
        <v/>
      </c>
      <c r="B601" s="555" t="n">
        <v>26850</v>
      </c>
      <c r="C601" s="555" t="n">
        <v>26900</v>
      </c>
      <c r="D601" s="556">
        <f>IF($A601&gt;BOTT_A4,ROUND(BASE_A4+RATE_A4*($A601-BOTT_A4),0),IF($A601&gt;BOTT_A3,ROUND(BASE_A3+RATE_A3*($A601-BOTT_A3),0),IF($A601&gt;BOTT_A2,ROUND(BASE_A2+RATE_A2*($A601-BOTT_A2),0),ROUND(RATE_A1*$A601,0))))</f>
        <v/>
      </c>
      <c r="E601" s="556">
        <f>IF($A601&gt;BOTT_B4,ROUND(BASE_B4+RATE_B4*($A601-BOTT_B4),0),IF($A601&gt;BOTT_B3,ROUND(BASE_B3+RATE_B3*($A601-BOTT_B3),0),IF($A601&gt;BOTT_B2,ROUND(BASE_B2+RATE_B2*($A601-BOTT_B2),0),ROUND(RATE_B1*$A601,0))))</f>
        <v/>
      </c>
      <c r="F601" s="556">
        <f>IF($A601&gt;BOTT_C4,ROUND(BASE_C4+RATE_C4*($A601-BOTT_C4),0),IF($A601&gt;BOTT_C3,ROUND(BASE_C3+RATE_C3*($A601-BOTT_C3),0),IF($A601&gt;BOTT_C2,ROUND(BASE_C2+RATE_C2*($A601-BOTT_C2),0),ROUND(RATE_C1*$A601,0))))</f>
        <v/>
      </c>
      <c r="G601" s="556">
        <f>IF($A601&gt;BOTT_D4,ROUND(BASE_D4+RATE_D4*($A601-BOTT_D4),0),IF($A601&gt;BOTT_D3,ROUND(BASE_D3+RATE_D3*($A601-BOTT_D3),0),IF($A601&gt;BOTT_D2,ROUND(BASE_D2+RATE_D2*($A601-BOTT_D2),0),ROUND(RATE_D1*$A601,0))))</f>
        <v/>
      </c>
    </row>
    <row r="602" ht="15.75" customHeight="1" s="7635">
      <c r="A602" s="625">
        <f>AVERAGE(B602,C602)</f>
        <v/>
      </c>
      <c r="B602" s="555" t="n">
        <v>26900</v>
      </c>
      <c r="C602" s="555" t="n">
        <v>26950</v>
      </c>
      <c r="D602" s="556">
        <f>IF($A602&gt;BOTT_A4,ROUND(BASE_A4+RATE_A4*($A602-BOTT_A4),0),IF($A602&gt;BOTT_A3,ROUND(BASE_A3+RATE_A3*($A602-BOTT_A3),0),IF($A602&gt;BOTT_A2,ROUND(BASE_A2+RATE_A2*($A602-BOTT_A2),0),ROUND(RATE_A1*$A602,0))))</f>
        <v/>
      </c>
      <c r="E602" s="556">
        <f>IF($A602&gt;BOTT_B4,ROUND(BASE_B4+RATE_B4*($A602-BOTT_B4),0),IF($A602&gt;BOTT_B3,ROUND(BASE_B3+RATE_B3*($A602-BOTT_B3),0),IF($A602&gt;BOTT_B2,ROUND(BASE_B2+RATE_B2*($A602-BOTT_B2),0),ROUND(RATE_B1*$A602,0))))</f>
        <v/>
      </c>
      <c r="F602" s="556">
        <f>IF($A602&gt;BOTT_C4,ROUND(BASE_C4+RATE_C4*($A602-BOTT_C4),0),IF($A602&gt;BOTT_C3,ROUND(BASE_C3+RATE_C3*($A602-BOTT_C3),0),IF($A602&gt;BOTT_C2,ROUND(BASE_C2+RATE_C2*($A602-BOTT_C2),0),ROUND(RATE_C1*$A602,0))))</f>
        <v/>
      </c>
      <c r="G602" s="556">
        <f>IF($A602&gt;BOTT_D4,ROUND(BASE_D4+RATE_D4*($A602-BOTT_D4),0),IF($A602&gt;BOTT_D3,ROUND(BASE_D3+RATE_D3*($A602-BOTT_D3),0),IF($A602&gt;BOTT_D2,ROUND(BASE_D2+RATE_D2*($A602-BOTT_D2),0),ROUND(RATE_D1*$A602,0))))</f>
        <v/>
      </c>
    </row>
    <row r="603" ht="15.75" customHeight="1" s="7635">
      <c r="A603" s="625">
        <f>AVERAGE(B603,C603)</f>
        <v/>
      </c>
      <c r="B603" s="555" t="n">
        <v>26950</v>
      </c>
      <c r="C603" s="555" t="n">
        <v>27000</v>
      </c>
      <c r="D603" s="556">
        <f>IF($A603&gt;BOTT_A4,ROUND(BASE_A4+RATE_A4*($A603-BOTT_A4),0),IF($A603&gt;BOTT_A3,ROUND(BASE_A3+RATE_A3*($A603-BOTT_A3),0),IF($A603&gt;BOTT_A2,ROUND(BASE_A2+RATE_A2*($A603-BOTT_A2),0),ROUND(RATE_A1*$A603,0))))</f>
        <v/>
      </c>
      <c r="E603" s="556">
        <f>IF($A603&gt;BOTT_B4,ROUND(BASE_B4+RATE_B4*($A603-BOTT_B4),0),IF($A603&gt;BOTT_B3,ROUND(BASE_B3+RATE_B3*($A603-BOTT_B3),0),IF($A603&gt;BOTT_B2,ROUND(BASE_B2+RATE_B2*($A603-BOTT_B2),0),ROUND(RATE_B1*$A603,0))))</f>
        <v/>
      </c>
      <c r="F603" s="556">
        <f>IF($A603&gt;BOTT_C4,ROUND(BASE_C4+RATE_C4*($A603-BOTT_C4),0),IF($A603&gt;BOTT_C3,ROUND(BASE_C3+RATE_C3*($A603-BOTT_C3),0),IF($A603&gt;BOTT_C2,ROUND(BASE_C2+RATE_C2*($A603-BOTT_C2),0),ROUND(RATE_C1*$A603,0))))</f>
        <v/>
      </c>
      <c r="G603" s="556">
        <f>IF($A603&gt;BOTT_D4,ROUND(BASE_D4+RATE_D4*($A603-BOTT_D4),0),IF($A603&gt;BOTT_D3,ROUND(BASE_D3+RATE_D3*($A603-BOTT_D3),0),IF($A603&gt;BOTT_D2,ROUND(BASE_D2+RATE_D2*($A603-BOTT_D2),0),ROUND(RATE_D1*$A603,0))))</f>
        <v/>
      </c>
    </row>
    <row r="604" ht="15.75" customHeight="1" s="7635">
      <c r="A604" s="625">
        <f>AVERAGE(B604,C604)</f>
        <v/>
      </c>
      <c r="B604" s="555" t="n">
        <v>27000</v>
      </c>
      <c r="C604" s="555" t="n">
        <v>27050</v>
      </c>
      <c r="D604" s="556">
        <f>IF($A604&gt;BOTT_A4,ROUND(BASE_A4+RATE_A4*($A604-BOTT_A4),0),IF($A604&gt;BOTT_A3,ROUND(BASE_A3+RATE_A3*($A604-BOTT_A3),0),IF($A604&gt;BOTT_A2,ROUND(BASE_A2+RATE_A2*($A604-BOTT_A2),0),ROUND(RATE_A1*$A604,0))))</f>
        <v/>
      </c>
      <c r="E604" s="556">
        <f>IF($A604&gt;BOTT_B4,ROUND(BASE_B4+RATE_B4*($A604-BOTT_B4),0),IF($A604&gt;BOTT_B3,ROUND(BASE_B3+RATE_B3*($A604-BOTT_B3),0),IF($A604&gt;BOTT_B2,ROUND(BASE_B2+RATE_B2*($A604-BOTT_B2),0),ROUND(RATE_B1*$A604,0))))</f>
        <v/>
      </c>
      <c r="F604" s="556">
        <f>IF($A604&gt;BOTT_C4,ROUND(BASE_C4+RATE_C4*($A604-BOTT_C4),0),IF($A604&gt;BOTT_C3,ROUND(BASE_C3+RATE_C3*($A604-BOTT_C3),0),IF($A604&gt;BOTT_C2,ROUND(BASE_C2+RATE_C2*($A604-BOTT_C2),0),ROUND(RATE_C1*$A604,0))))</f>
        <v/>
      </c>
      <c r="G604" s="556">
        <f>IF($A604&gt;BOTT_D4,ROUND(BASE_D4+RATE_D4*($A604-BOTT_D4),0),IF($A604&gt;BOTT_D3,ROUND(BASE_D3+RATE_D3*($A604-BOTT_D3),0),IF($A604&gt;BOTT_D2,ROUND(BASE_D2+RATE_D2*($A604-BOTT_D2),0),ROUND(RATE_D1*$A604,0))))</f>
        <v/>
      </c>
    </row>
    <row r="605" ht="15.75" customHeight="1" s="7635">
      <c r="A605" s="625">
        <f>AVERAGE(B605,C605)</f>
        <v/>
      </c>
      <c r="B605" s="555" t="n">
        <v>27050</v>
      </c>
      <c r="C605" s="555" t="n">
        <v>27100</v>
      </c>
      <c r="D605" s="556">
        <f>IF($A605&gt;BOTT_A4,ROUND(BASE_A4+RATE_A4*($A605-BOTT_A4),0),IF($A605&gt;BOTT_A3,ROUND(BASE_A3+RATE_A3*($A605-BOTT_A3),0),IF($A605&gt;BOTT_A2,ROUND(BASE_A2+RATE_A2*($A605-BOTT_A2),0),ROUND(RATE_A1*$A605,0))))</f>
        <v/>
      </c>
      <c r="E605" s="556">
        <f>IF($A605&gt;BOTT_B4,ROUND(BASE_B4+RATE_B4*($A605-BOTT_B4),0),IF($A605&gt;BOTT_B3,ROUND(BASE_B3+RATE_B3*($A605-BOTT_B3),0),IF($A605&gt;BOTT_B2,ROUND(BASE_B2+RATE_B2*($A605-BOTT_B2),0),ROUND(RATE_B1*$A605,0))))</f>
        <v/>
      </c>
      <c r="F605" s="556">
        <f>IF($A605&gt;BOTT_C4,ROUND(BASE_C4+RATE_C4*($A605-BOTT_C4),0),IF($A605&gt;BOTT_C3,ROUND(BASE_C3+RATE_C3*($A605-BOTT_C3),0),IF($A605&gt;BOTT_C2,ROUND(BASE_C2+RATE_C2*($A605-BOTT_C2),0),ROUND(RATE_C1*$A605,0))))</f>
        <v/>
      </c>
      <c r="G605" s="556">
        <f>IF($A605&gt;BOTT_D4,ROUND(BASE_D4+RATE_D4*($A605-BOTT_D4),0),IF($A605&gt;BOTT_D3,ROUND(BASE_D3+RATE_D3*($A605-BOTT_D3),0),IF($A605&gt;BOTT_D2,ROUND(BASE_D2+RATE_D2*($A605-BOTT_D2),0),ROUND(RATE_D1*$A605,0))))</f>
        <v/>
      </c>
    </row>
    <row r="606" ht="15.75" customHeight="1" s="7635">
      <c r="A606" s="625">
        <f>AVERAGE(B606,C606)</f>
        <v/>
      </c>
      <c r="B606" s="555" t="n">
        <v>27100</v>
      </c>
      <c r="C606" s="555" t="n">
        <v>27150</v>
      </c>
      <c r="D606" s="556">
        <f>IF($A606&gt;BOTT_A4,ROUND(BASE_A4+RATE_A4*($A606-BOTT_A4),0),IF($A606&gt;BOTT_A3,ROUND(BASE_A3+RATE_A3*($A606-BOTT_A3),0),IF($A606&gt;BOTT_A2,ROUND(BASE_A2+RATE_A2*($A606-BOTT_A2),0),ROUND(RATE_A1*$A606,0))))</f>
        <v/>
      </c>
      <c r="E606" s="556">
        <f>IF($A606&gt;BOTT_B4,ROUND(BASE_B4+RATE_B4*($A606-BOTT_B4),0),IF($A606&gt;BOTT_B3,ROUND(BASE_B3+RATE_B3*($A606-BOTT_B3),0),IF($A606&gt;BOTT_B2,ROUND(BASE_B2+RATE_B2*($A606-BOTT_B2),0),ROUND(RATE_B1*$A606,0))))</f>
        <v/>
      </c>
      <c r="F606" s="556">
        <f>IF($A606&gt;BOTT_C4,ROUND(BASE_C4+RATE_C4*($A606-BOTT_C4),0),IF($A606&gt;BOTT_C3,ROUND(BASE_C3+RATE_C3*($A606-BOTT_C3),0),IF($A606&gt;BOTT_C2,ROUND(BASE_C2+RATE_C2*($A606-BOTT_C2),0),ROUND(RATE_C1*$A606,0))))</f>
        <v/>
      </c>
      <c r="G606" s="556">
        <f>IF($A606&gt;BOTT_D4,ROUND(BASE_D4+RATE_D4*($A606-BOTT_D4),0),IF($A606&gt;BOTT_D3,ROUND(BASE_D3+RATE_D3*($A606-BOTT_D3),0),IF($A606&gt;BOTT_D2,ROUND(BASE_D2+RATE_D2*($A606-BOTT_D2),0),ROUND(RATE_D1*$A606,0))))</f>
        <v/>
      </c>
    </row>
    <row r="607" ht="15.75" customHeight="1" s="7635">
      <c r="A607" s="625">
        <f>AVERAGE(B607,C607)</f>
        <v/>
      </c>
      <c r="B607" s="555" t="n">
        <v>27150</v>
      </c>
      <c r="C607" s="555" t="n">
        <v>27200</v>
      </c>
      <c r="D607" s="556">
        <f>IF($A607&gt;BOTT_A4,ROUND(BASE_A4+RATE_A4*($A607-BOTT_A4),0),IF($A607&gt;BOTT_A3,ROUND(BASE_A3+RATE_A3*($A607-BOTT_A3),0),IF($A607&gt;BOTT_A2,ROUND(BASE_A2+RATE_A2*($A607-BOTT_A2),0),ROUND(RATE_A1*$A607,0))))</f>
        <v/>
      </c>
      <c r="E607" s="556">
        <f>IF($A607&gt;BOTT_B4,ROUND(BASE_B4+RATE_B4*($A607-BOTT_B4),0),IF($A607&gt;BOTT_B3,ROUND(BASE_B3+RATE_B3*($A607-BOTT_B3),0),IF($A607&gt;BOTT_B2,ROUND(BASE_B2+RATE_B2*($A607-BOTT_B2),0),ROUND(RATE_B1*$A607,0))))</f>
        <v/>
      </c>
      <c r="F607" s="556">
        <f>IF($A607&gt;BOTT_C4,ROUND(BASE_C4+RATE_C4*($A607-BOTT_C4),0),IF($A607&gt;BOTT_C3,ROUND(BASE_C3+RATE_C3*($A607-BOTT_C3),0),IF($A607&gt;BOTT_C2,ROUND(BASE_C2+RATE_C2*($A607-BOTT_C2),0),ROUND(RATE_C1*$A607,0))))</f>
        <v/>
      </c>
      <c r="G607" s="556">
        <f>IF($A607&gt;BOTT_D4,ROUND(BASE_D4+RATE_D4*($A607-BOTT_D4),0),IF($A607&gt;BOTT_D3,ROUND(BASE_D3+RATE_D3*($A607-BOTT_D3),0),IF($A607&gt;BOTT_D2,ROUND(BASE_D2+RATE_D2*($A607-BOTT_D2),0),ROUND(RATE_D1*$A607,0))))</f>
        <v/>
      </c>
    </row>
    <row r="608" ht="15.75" customHeight="1" s="7635">
      <c r="A608" s="625">
        <f>AVERAGE(B608,C608)</f>
        <v/>
      </c>
      <c r="B608" s="555" t="n">
        <v>27200</v>
      </c>
      <c r="C608" s="555" t="n">
        <v>27250</v>
      </c>
      <c r="D608" s="556">
        <f>IF($A608&gt;BOTT_A4,ROUND(BASE_A4+RATE_A4*($A608-BOTT_A4),0),IF($A608&gt;BOTT_A3,ROUND(BASE_A3+RATE_A3*($A608-BOTT_A3),0),IF($A608&gt;BOTT_A2,ROUND(BASE_A2+RATE_A2*($A608-BOTT_A2),0),ROUND(RATE_A1*$A608,0))))</f>
        <v/>
      </c>
      <c r="E608" s="556">
        <f>IF($A608&gt;BOTT_B4,ROUND(BASE_B4+RATE_B4*($A608-BOTT_B4),0),IF($A608&gt;BOTT_B3,ROUND(BASE_B3+RATE_B3*($A608-BOTT_B3),0),IF($A608&gt;BOTT_B2,ROUND(BASE_B2+RATE_B2*($A608-BOTT_B2),0),ROUND(RATE_B1*$A608,0))))</f>
        <v/>
      </c>
      <c r="F608" s="556">
        <f>IF($A608&gt;BOTT_C4,ROUND(BASE_C4+RATE_C4*($A608-BOTT_C4),0),IF($A608&gt;BOTT_C3,ROUND(BASE_C3+RATE_C3*($A608-BOTT_C3),0),IF($A608&gt;BOTT_C2,ROUND(BASE_C2+RATE_C2*($A608-BOTT_C2),0),ROUND(RATE_C1*$A608,0))))</f>
        <v/>
      </c>
      <c r="G608" s="556">
        <f>IF($A608&gt;BOTT_D4,ROUND(BASE_D4+RATE_D4*($A608-BOTT_D4),0),IF($A608&gt;BOTT_D3,ROUND(BASE_D3+RATE_D3*($A608-BOTT_D3),0),IF($A608&gt;BOTT_D2,ROUND(BASE_D2+RATE_D2*($A608-BOTT_D2),0),ROUND(RATE_D1*$A608,0))))</f>
        <v/>
      </c>
    </row>
    <row r="609" ht="15.75" customHeight="1" s="7635">
      <c r="A609" s="625">
        <f>AVERAGE(B609,C609)</f>
        <v/>
      </c>
      <c r="B609" s="555" t="n">
        <v>27250</v>
      </c>
      <c r="C609" s="555" t="n">
        <v>27300</v>
      </c>
      <c r="D609" s="556">
        <f>IF($A609&gt;BOTT_A4,ROUND(BASE_A4+RATE_A4*($A609-BOTT_A4),0),IF($A609&gt;BOTT_A3,ROUND(BASE_A3+RATE_A3*($A609-BOTT_A3),0),IF($A609&gt;BOTT_A2,ROUND(BASE_A2+RATE_A2*($A609-BOTT_A2),0),ROUND(RATE_A1*$A609,0))))</f>
        <v/>
      </c>
      <c r="E609" s="556">
        <f>IF($A609&gt;BOTT_B4,ROUND(BASE_B4+RATE_B4*($A609-BOTT_B4),0),IF($A609&gt;BOTT_B3,ROUND(BASE_B3+RATE_B3*($A609-BOTT_B3),0),IF($A609&gt;BOTT_B2,ROUND(BASE_B2+RATE_B2*($A609-BOTT_B2),0),ROUND(RATE_B1*$A609,0))))</f>
        <v/>
      </c>
      <c r="F609" s="556">
        <f>IF($A609&gt;BOTT_C4,ROUND(BASE_C4+RATE_C4*($A609-BOTT_C4),0),IF($A609&gt;BOTT_C3,ROUND(BASE_C3+RATE_C3*($A609-BOTT_C3),0),IF($A609&gt;BOTT_C2,ROUND(BASE_C2+RATE_C2*($A609-BOTT_C2),0),ROUND(RATE_C1*$A609,0))))</f>
        <v/>
      </c>
      <c r="G609" s="556">
        <f>IF($A609&gt;BOTT_D4,ROUND(BASE_D4+RATE_D4*($A609-BOTT_D4),0),IF($A609&gt;BOTT_D3,ROUND(BASE_D3+RATE_D3*($A609-BOTT_D3),0),IF($A609&gt;BOTT_D2,ROUND(BASE_D2+RATE_D2*($A609-BOTT_D2),0),ROUND(RATE_D1*$A609,0))))</f>
        <v/>
      </c>
    </row>
    <row r="610" ht="15.75" customHeight="1" s="7635">
      <c r="A610" s="625">
        <f>AVERAGE(B610,C610)</f>
        <v/>
      </c>
      <c r="B610" s="555" t="n">
        <v>27300</v>
      </c>
      <c r="C610" s="555" t="n">
        <v>27350</v>
      </c>
      <c r="D610" s="556">
        <f>IF($A610&gt;BOTT_A4,ROUND(BASE_A4+RATE_A4*($A610-BOTT_A4),0),IF($A610&gt;BOTT_A3,ROUND(BASE_A3+RATE_A3*($A610-BOTT_A3),0),IF($A610&gt;BOTT_A2,ROUND(BASE_A2+RATE_A2*($A610-BOTT_A2),0),ROUND(RATE_A1*$A610,0))))</f>
        <v/>
      </c>
      <c r="E610" s="556">
        <f>IF($A610&gt;BOTT_B4,ROUND(BASE_B4+RATE_B4*($A610-BOTT_B4),0),IF($A610&gt;BOTT_B3,ROUND(BASE_B3+RATE_B3*($A610-BOTT_B3),0),IF($A610&gt;BOTT_B2,ROUND(BASE_B2+RATE_B2*($A610-BOTT_B2),0),ROUND(RATE_B1*$A610,0))))</f>
        <v/>
      </c>
      <c r="F610" s="556">
        <f>IF($A610&gt;BOTT_C4,ROUND(BASE_C4+RATE_C4*($A610-BOTT_C4),0),IF($A610&gt;BOTT_C3,ROUND(BASE_C3+RATE_C3*($A610-BOTT_C3),0),IF($A610&gt;BOTT_C2,ROUND(BASE_C2+RATE_C2*($A610-BOTT_C2),0),ROUND(RATE_C1*$A610,0))))</f>
        <v/>
      </c>
      <c r="G610" s="556">
        <f>IF($A610&gt;BOTT_D4,ROUND(BASE_D4+RATE_D4*($A610-BOTT_D4),0),IF($A610&gt;BOTT_D3,ROUND(BASE_D3+RATE_D3*($A610-BOTT_D3),0),IF($A610&gt;BOTT_D2,ROUND(BASE_D2+RATE_D2*($A610-BOTT_D2),0),ROUND(RATE_D1*$A610,0))))</f>
        <v/>
      </c>
    </row>
    <row r="611" ht="15.75" customHeight="1" s="7635">
      <c r="A611" s="625">
        <f>AVERAGE(B611,C611)</f>
        <v/>
      </c>
      <c r="B611" s="555" t="n">
        <v>27350</v>
      </c>
      <c r="C611" s="555" t="n">
        <v>27400</v>
      </c>
      <c r="D611" s="556">
        <f>IF($A611&gt;BOTT_A4,ROUND(BASE_A4+RATE_A4*($A611-BOTT_A4),0),IF($A611&gt;BOTT_A3,ROUND(BASE_A3+RATE_A3*($A611-BOTT_A3),0),IF($A611&gt;BOTT_A2,ROUND(BASE_A2+RATE_A2*($A611-BOTT_A2),0),ROUND(RATE_A1*$A611,0))))</f>
        <v/>
      </c>
      <c r="E611" s="556">
        <f>IF($A611&gt;BOTT_B4,ROUND(BASE_B4+RATE_B4*($A611-BOTT_B4),0),IF($A611&gt;BOTT_B3,ROUND(BASE_B3+RATE_B3*($A611-BOTT_B3),0),IF($A611&gt;BOTT_B2,ROUND(BASE_B2+RATE_B2*($A611-BOTT_B2),0),ROUND(RATE_B1*$A611,0))))</f>
        <v/>
      </c>
      <c r="F611" s="556">
        <f>IF($A611&gt;BOTT_C4,ROUND(BASE_C4+RATE_C4*($A611-BOTT_C4),0),IF($A611&gt;BOTT_C3,ROUND(BASE_C3+RATE_C3*($A611-BOTT_C3),0),IF($A611&gt;BOTT_C2,ROUND(BASE_C2+RATE_C2*($A611-BOTT_C2),0),ROUND(RATE_C1*$A611,0))))</f>
        <v/>
      </c>
      <c r="G611" s="556">
        <f>IF($A611&gt;BOTT_D4,ROUND(BASE_D4+RATE_D4*($A611-BOTT_D4),0),IF($A611&gt;BOTT_D3,ROUND(BASE_D3+RATE_D3*($A611-BOTT_D3),0),IF($A611&gt;BOTT_D2,ROUND(BASE_D2+RATE_D2*($A611-BOTT_D2),0),ROUND(RATE_D1*$A611,0))))</f>
        <v/>
      </c>
    </row>
    <row r="612" ht="15.75" customHeight="1" s="7635">
      <c r="A612" s="625">
        <f>AVERAGE(B612,C612)</f>
        <v/>
      </c>
      <c r="B612" s="555" t="n">
        <v>27400</v>
      </c>
      <c r="C612" s="555" t="n">
        <v>27450</v>
      </c>
      <c r="D612" s="556">
        <f>IF($A612&gt;BOTT_A4,ROUND(BASE_A4+RATE_A4*($A612-BOTT_A4),0),IF($A612&gt;BOTT_A3,ROUND(BASE_A3+RATE_A3*($A612-BOTT_A3),0),IF($A612&gt;BOTT_A2,ROUND(BASE_A2+RATE_A2*($A612-BOTT_A2),0),ROUND(RATE_A1*$A612,0))))</f>
        <v/>
      </c>
      <c r="E612" s="556">
        <f>IF($A612&gt;BOTT_B4,ROUND(BASE_B4+RATE_B4*($A612-BOTT_B4),0),IF($A612&gt;BOTT_B3,ROUND(BASE_B3+RATE_B3*($A612-BOTT_B3),0),IF($A612&gt;BOTT_B2,ROUND(BASE_B2+RATE_B2*($A612-BOTT_B2),0),ROUND(RATE_B1*$A612,0))))</f>
        <v/>
      </c>
      <c r="F612" s="556">
        <f>IF($A612&gt;BOTT_C4,ROUND(BASE_C4+RATE_C4*($A612-BOTT_C4),0),IF($A612&gt;BOTT_C3,ROUND(BASE_C3+RATE_C3*($A612-BOTT_C3),0),IF($A612&gt;BOTT_C2,ROUND(BASE_C2+RATE_C2*($A612-BOTT_C2),0),ROUND(RATE_C1*$A612,0))))</f>
        <v/>
      </c>
      <c r="G612" s="556">
        <f>IF($A612&gt;BOTT_D4,ROUND(BASE_D4+RATE_D4*($A612-BOTT_D4),0),IF($A612&gt;BOTT_D3,ROUND(BASE_D3+RATE_D3*($A612-BOTT_D3),0),IF($A612&gt;BOTT_D2,ROUND(BASE_D2+RATE_D2*($A612-BOTT_D2),0),ROUND(RATE_D1*$A612,0))))</f>
        <v/>
      </c>
    </row>
    <row r="613" ht="15.75" customHeight="1" s="7635">
      <c r="A613" s="625">
        <f>AVERAGE(B613,C613)</f>
        <v/>
      </c>
      <c r="B613" s="555" t="n">
        <v>27450</v>
      </c>
      <c r="C613" s="555" t="n">
        <v>27500</v>
      </c>
      <c r="D613" s="556">
        <f>IF($A613&gt;BOTT_A4,ROUND(BASE_A4+RATE_A4*($A613-BOTT_A4),0),IF($A613&gt;BOTT_A3,ROUND(BASE_A3+RATE_A3*($A613-BOTT_A3),0),IF($A613&gt;BOTT_A2,ROUND(BASE_A2+RATE_A2*($A613-BOTT_A2),0),ROUND(RATE_A1*$A613,0))))</f>
        <v/>
      </c>
      <c r="E613" s="556">
        <f>IF($A613&gt;BOTT_B4,ROUND(BASE_B4+RATE_B4*($A613-BOTT_B4),0),IF($A613&gt;BOTT_B3,ROUND(BASE_B3+RATE_B3*($A613-BOTT_B3),0),IF($A613&gt;BOTT_B2,ROUND(BASE_B2+RATE_B2*($A613-BOTT_B2),0),ROUND(RATE_B1*$A613,0))))</f>
        <v/>
      </c>
      <c r="F613" s="556">
        <f>IF($A613&gt;BOTT_C4,ROUND(BASE_C4+RATE_C4*($A613-BOTT_C4),0),IF($A613&gt;BOTT_C3,ROUND(BASE_C3+RATE_C3*($A613-BOTT_C3),0),IF($A613&gt;BOTT_C2,ROUND(BASE_C2+RATE_C2*($A613-BOTT_C2),0),ROUND(RATE_C1*$A613,0))))</f>
        <v/>
      </c>
      <c r="G613" s="556">
        <f>IF($A613&gt;BOTT_D4,ROUND(BASE_D4+RATE_D4*($A613-BOTT_D4),0),IF($A613&gt;BOTT_D3,ROUND(BASE_D3+RATE_D3*($A613-BOTT_D3),0),IF($A613&gt;BOTT_D2,ROUND(BASE_D2+RATE_D2*($A613-BOTT_D2),0),ROUND(RATE_D1*$A613,0))))</f>
        <v/>
      </c>
    </row>
    <row r="614" ht="15.75" customHeight="1" s="7635">
      <c r="A614" s="625">
        <f>AVERAGE(B614,C614)</f>
        <v/>
      </c>
      <c r="B614" s="555" t="n">
        <v>27500</v>
      </c>
      <c r="C614" s="555" t="n">
        <v>27550</v>
      </c>
      <c r="D614" s="556">
        <f>IF($A614&gt;BOTT_A4,ROUND(BASE_A4+RATE_A4*($A614-BOTT_A4),0),IF($A614&gt;BOTT_A3,ROUND(BASE_A3+RATE_A3*($A614-BOTT_A3),0),IF($A614&gt;BOTT_A2,ROUND(BASE_A2+RATE_A2*($A614-BOTT_A2),0),ROUND(RATE_A1*$A614,0))))</f>
        <v/>
      </c>
      <c r="E614" s="556">
        <f>IF($A614&gt;BOTT_B4,ROUND(BASE_B4+RATE_B4*($A614-BOTT_B4),0),IF($A614&gt;BOTT_B3,ROUND(BASE_B3+RATE_B3*($A614-BOTT_B3),0),IF($A614&gt;BOTT_B2,ROUND(BASE_B2+RATE_B2*($A614-BOTT_B2),0),ROUND(RATE_B1*$A614,0))))</f>
        <v/>
      </c>
      <c r="F614" s="556">
        <f>IF($A614&gt;BOTT_C4,ROUND(BASE_C4+RATE_C4*($A614-BOTT_C4),0),IF($A614&gt;BOTT_C3,ROUND(BASE_C3+RATE_C3*($A614-BOTT_C3),0),IF($A614&gt;BOTT_C2,ROUND(BASE_C2+RATE_C2*($A614-BOTT_C2),0),ROUND(RATE_C1*$A614,0))))</f>
        <v/>
      </c>
      <c r="G614" s="556">
        <f>IF($A614&gt;BOTT_D4,ROUND(BASE_D4+RATE_D4*($A614-BOTT_D4),0),IF($A614&gt;BOTT_D3,ROUND(BASE_D3+RATE_D3*($A614-BOTT_D3),0),IF($A614&gt;BOTT_D2,ROUND(BASE_D2+RATE_D2*($A614-BOTT_D2),0),ROUND(RATE_D1*$A614,0))))</f>
        <v/>
      </c>
    </row>
    <row r="615" ht="15.75" customHeight="1" s="7635">
      <c r="A615" s="625">
        <f>AVERAGE(B615,C615)</f>
        <v/>
      </c>
      <c r="B615" s="555" t="n">
        <v>27550</v>
      </c>
      <c r="C615" s="555" t="n">
        <v>27600</v>
      </c>
      <c r="D615" s="556">
        <f>IF($A615&gt;BOTT_A4,ROUND(BASE_A4+RATE_A4*($A615-BOTT_A4),0),IF($A615&gt;BOTT_A3,ROUND(BASE_A3+RATE_A3*($A615-BOTT_A3),0),IF($A615&gt;BOTT_A2,ROUND(BASE_A2+RATE_A2*($A615-BOTT_A2),0),ROUND(RATE_A1*$A615,0))))</f>
        <v/>
      </c>
      <c r="E615" s="556">
        <f>IF($A615&gt;BOTT_B4,ROUND(BASE_B4+RATE_B4*($A615-BOTT_B4),0),IF($A615&gt;BOTT_B3,ROUND(BASE_B3+RATE_B3*($A615-BOTT_B3),0),IF($A615&gt;BOTT_B2,ROUND(BASE_B2+RATE_B2*($A615-BOTT_B2),0),ROUND(RATE_B1*$A615,0))))</f>
        <v/>
      </c>
      <c r="F615" s="556">
        <f>IF($A615&gt;BOTT_C4,ROUND(BASE_C4+RATE_C4*($A615-BOTT_C4),0),IF($A615&gt;BOTT_C3,ROUND(BASE_C3+RATE_C3*($A615-BOTT_C3),0),IF($A615&gt;BOTT_C2,ROUND(BASE_C2+RATE_C2*($A615-BOTT_C2),0),ROUND(RATE_C1*$A615,0))))</f>
        <v/>
      </c>
      <c r="G615" s="556">
        <f>IF($A615&gt;BOTT_D4,ROUND(BASE_D4+RATE_D4*($A615-BOTT_D4),0),IF($A615&gt;BOTT_D3,ROUND(BASE_D3+RATE_D3*($A615-BOTT_D3),0),IF($A615&gt;BOTT_D2,ROUND(BASE_D2+RATE_D2*($A615-BOTT_D2),0),ROUND(RATE_D1*$A615,0))))</f>
        <v/>
      </c>
    </row>
    <row r="616" ht="15.75" customHeight="1" s="7635">
      <c r="A616" s="625">
        <f>AVERAGE(B616,C616)</f>
        <v/>
      </c>
      <c r="B616" s="555" t="n">
        <v>27600</v>
      </c>
      <c r="C616" s="555" t="n">
        <v>27650</v>
      </c>
      <c r="D616" s="556">
        <f>IF($A616&gt;BOTT_A4,ROUND(BASE_A4+RATE_A4*($A616-BOTT_A4),0),IF($A616&gt;BOTT_A3,ROUND(BASE_A3+RATE_A3*($A616-BOTT_A3),0),IF($A616&gt;BOTT_A2,ROUND(BASE_A2+RATE_A2*($A616-BOTT_A2),0),ROUND(RATE_A1*$A616,0))))</f>
        <v/>
      </c>
      <c r="E616" s="556">
        <f>IF($A616&gt;BOTT_B4,ROUND(BASE_B4+RATE_B4*($A616-BOTT_B4),0),IF($A616&gt;BOTT_B3,ROUND(BASE_B3+RATE_B3*($A616-BOTT_B3),0),IF($A616&gt;BOTT_B2,ROUND(BASE_B2+RATE_B2*($A616-BOTT_B2),0),ROUND(RATE_B1*$A616,0))))</f>
        <v/>
      </c>
      <c r="F616" s="556">
        <f>IF($A616&gt;BOTT_C4,ROUND(BASE_C4+RATE_C4*($A616-BOTT_C4),0),IF($A616&gt;BOTT_C3,ROUND(BASE_C3+RATE_C3*($A616-BOTT_C3),0),IF($A616&gt;BOTT_C2,ROUND(BASE_C2+RATE_C2*($A616-BOTT_C2),0),ROUND(RATE_C1*$A616,0))))</f>
        <v/>
      </c>
      <c r="G616" s="556">
        <f>IF($A616&gt;BOTT_D4,ROUND(BASE_D4+RATE_D4*($A616-BOTT_D4),0),IF($A616&gt;BOTT_D3,ROUND(BASE_D3+RATE_D3*($A616-BOTT_D3),0),IF($A616&gt;BOTT_D2,ROUND(BASE_D2+RATE_D2*($A616-BOTT_D2),0),ROUND(RATE_D1*$A616,0))))</f>
        <v/>
      </c>
    </row>
    <row r="617" ht="15.75" customHeight="1" s="7635">
      <c r="A617" s="625">
        <f>AVERAGE(B617,C617)</f>
        <v/>
      </c>
      <c r="B617" s="555" t="n">
        <v>27650</v>
      </c>
      <c r="C617" s="555" t="n">
        <v>27700</v>
      </c>
      <c r="D617" s="556">
        <f>IF($A617&gt;BOTT_A4,ROUND(BASE_A4+RATE_A4*($A617-BOTT_A4),0),IF($A617&gt;BOTT_A3,ROUND(BASE_A3+RATE_A3*($A617-BOTT_A3),0),IF($A617&gt;BOTT_A2,ROUND(BASE_A2+RATE_A2*($A617-BOTT_A2),0),ROUND(RATE_A1*$A617,0))))</f>
        <v/>
      </c>
      <c r="E617" s="556">
        <f>IF($A617&gt;BOTT_B4,ROUND(BASE_B4+RATE_B4*($A617-BOTT_B4),0),IF($A617&gt;BOTT_B3,ROUND(BASE_B3+RATE_B3*($A617-BOTT_B3),0),IF($A617&gt;BOTT_B2,ROUND(BASE_B2+RATE_B2*($A617-BOTT_B2),0),ROUND(RATE_B1*$A617,0))))</f>
        <v/>
      </c>
      <c r="F617" s="556">
        <f>IF($A617&gt;BOTT_C4,ROUND(BASE_C4+RATE_C4*($A617-BOTT_C4),0),IF($A617&gt;BOTT_C3,ROUND(BASE_C3+RATE_C3*($A617-BOTT_C3),0),IF($A617&gt;BOTT_C2,ROUND(BASE_C2+RATE_C2*($A617-BOTT_C2),0),ROUND(RATE_C1*$A617,0))))</f>
        <v/>
      </c>
      <c r="G617" s="556">
        <f>IF($A617&gt;BOTT_D4,ROUND(BASE_D4+RATE_D4*($A617-BOTT_D4),0),IF($A617&gt;BOTT_D3,ROUND(BASE_D3+RATE_D3*($A617-BOTT_D3),0),IF($A617&gt;BOTT_D2,ROUND(BASE_D2+RATE_D2*($A617-BOTT_D2),0),ROUND(RATE_D1*$A617,0))))</f>
        <v/>
      </c>
    </row>
    <row r="618" ht="15.75" customHeight="1" s="7635">
      <c r="A618" s="625">
        <f>AVERAGE(B618,C618)</f>
        <v/>
      </c>
      <c r="B618" s="555" t="n">
        <v>27700</v>
      </c>
      <c r="C618" s="555" t="n">
        <v>27750</v>
      </c>
      <c r="D618" s="556">
        <f>IF($A618&gt;BOTT_A4,ROUND(BASE_A4+RATE_A4*($A618-BOTT_A4),0),IF($A618&gt;BOTT_A3,ROUND(BASE_A3+RATE_A3*($A618-BOTT_A3),0),IF($A618&gt;BOTT_A2,ROUND(BASE_A2+RATE_A2*($A618-BOTT_A2),0),ROUND(RATE_A1*$A618,0))))</f>
        <v/>
      </c>
      <c r="E618" s="556">
        <f>IF($A618&gt;BOTT_B4,ROUND(BASE_B4+RATE_B4*($A618-BOTT_B4),0),IF($A618&gt;BOTT_B3,ROUND(BASE_B3+RATE_B3*($A618-BOTT_B3),0),IF($A618&gt;BOTT_B2,ROUND(BASE_B2+RATE_B2*($A618-BOTT_B2),0),ROUND(RATE_B1*$A618,0))))</f>
        <v/>
      </c>
      <c r="F618" s="556">
        <f>IF($A618&gt;BOTT_C4,ROUND(BASE_C4+RATE_C4*($A618-BOTT_C4),0),IF($A618&gt;BOTT_C3,ROUND(BASE_C3+RATE_C3*($A618-BOTT_C3),0),IF($A618&gt;BOTT_C2,ROUND(BASE_C2+RATE_C2*($A618-BOTT_C2),0),ROUND(RATE_C1*$A618,0))))</f>
        <v/>
      </c>
      <c r="G618" s="556">
        <f>IF($A618&gt;BOTT_D4,ROUND(BASE_D4+RATE_D4*($A618-BOTT_D4),0),IF($A618&gt;BOTT_D3,ROUND(BASE_D3+RATE_D3*($A618-BOTT_D3),0),IF($A618&gt;BOTT_D2,ROUND(BASE_D2+RATE_D2*($A618-BOTT_D2),0),ROUND(RATE_D1*$A618,0))))</f>
        <v/>
      </c>
    </row>
    <row r="619" ht="15.75" customHeight="1" s="7635">
      <c r="A619" s="625">
        <f>AVERAGE(B619,C619)</f>
        <v/>
      </c>
      <c r="B619" s="555" t="n">
        <v>27750</v>
      </c>
      <c r="C619" s="555" t="n">
        <v>27800</v>
      </c>
      <c r="D619" s="556">
        <f>IF($A619&gt;BOTT_A4,ROUND(BASE_A4+RATE_A4*($A619-BOTT_A4),0),IF($A619&gt;BOTT_A3,ROUND(BASE_A3+RATE_A3*($A619-BOTT_A3),0),IF($A619&gt;BOTT_A2,ROUND(BASE_A2+RATE_A2*($A619-BOTT_A2),0),ROUND(RATE_A1*$A619,0))))</f>
        <v/>
      </c>
      <c r="E619" s="556">
        <f>IF($A619&gt;BOTT_B4,ROUND(BASE_B4+RATE_B4*($A619-BOTT_B4),0),IF($A619&gt;BOTT_B3,ROUND(BASE_B3+RATE_B3*($A619-BOTT_B3),0),IF($A619&gt;BOTT_B2,ROUND(BASE_B2+RATE_B2*($A619-BOTT_B2),0),ROUND(RATE_B1*$A619,0))))</f>
        <v/>
      </c>
      <c r="F619" s="556">
        <f>IF($A619&gt;BOTT_C4,ROUND(BASE_C4+RATE_C4*($A619-BOTT_C4),0),IF($A619&gt;BOTT_C3,ROUND(BASE_C3+RATE_C3*($A619-BOTT_C3),0),IF($A619&gt;BOTT_C2,ROUND(BASE_C2+RATE_C2*($A619-BOTT_C2),0),ROUND(RATE_C1*$A619,0))))</f>
        <v/>
      </c>
      <c r="G619" s="556">
        <f>IF($A619&gt;BOTT_D4,ROUND(BASE_D4+RATE_D4*($A619-BOTT_D4),0),IF($A619&gt;BOTT_D3,ROUND(BASE_D3+RATE_D3*($A619-BOTT_D3),0),IF($A619&gt;BOTT_D2,ROUND(BASE_D2+RATE_D2*($A619-BOTT_D2),0),ROUND(RATE_D1*$A619,0))))</f>
        <v/>
      </c>
    </row>
    <row r="620" ht="15.75" customHeight="1" s="7635">
      <c r="A620" s="625">
        <f>AVERAGE(B620,C620)</f>
        <v/>
      </c>
      <c r="B620" s="555" t="n">
        <v>27800</v>
      </c>
      <c r="C620" s="555" t="n">
        <v>27850</v>
      </c>
      <c r="D620" s="556">
        <f>IF($A620&gt;BOTT_A4,ROUND(BASE_A4+RATE_A4*($A620-BOTT_A4),0),IF($A620&gt;BOTT_A3,ROUND(BASE_A3+RATE_A3*($A620-BOTT_A3),0),IF($A620&gt;BOTT_A2,ROUND(BASE_A2+RATE_A2*($A620-BOTT_A2),0),ROUND(RATE_A1*$A620,0))))</f>
        <v/>
      </c>
      <c r="E620" s="556">
        <f>IF($A620&gt;BOTT_B4,ROUND(BASE_B4+RATE_B4*($A620-BOTT_B4),0),IF($A620&gt;BOTT_B3,ROUND(BASE_B3+RATE_B3*($A620-BOTT_B3),0),IF($A620&gt;BOTT_B2,ROUND(BASE_B2+RATE_B2*($A620-BOTT_B2),0),ROUND(RATE_B1*$A620,0))))</f>
        <v/>
      </c>
      <c r="F620" s="556">
        <f>IF($A620&gt;BOTT_C4,ROUND(BASE_C4+RATE_C4*($A620-BOTT_C4),0),IF($A620&gt;BOTT_C3,ROUND(BASE_C3+RATE_C3*($A620-BOTT_C3),0),IF($A620&gt;BOTT_C2,ROUND(BASE_C2+RATE_C2*($A620-BOTT_C2),0),ROUND(RATE_C1*$A620,0))))</f>
        <v/>
      </c>
      <c r="G620" s="556">
        <f>IF($A620&gt;BOTT_D4,ROUND(BASE_D4+RATE_D4*($A620-BOTT_D4),0),IF($A620&gt;BOTT_D3,ROUND(BASE_D3+RATE_D3*($A620-BOTT_D3),0),IF($A620&gt;BOTT_D2,ROUND(BASE_D2+RATE_D2*($A620-BOTT_D2),0),ROUND(RATE_D1*$A620,0))))</f>
        <v/>
      </c>
    </row>
    <row r="621" ht="15.75" customHeight="1" s="7635">
      <c r="A621" s="625">
        <f>AVERAGE(B621,C621)</f>
        <v/>
      </c>
      <c r="B621" s="555" t="n">
        <v>27850</v>
      </c>
      <c r="C621" s="555" t="n">
        <v>27900</v>
      </c>
      <c r="D621" s="556">
        <f>IF($A621&gt;BOTT_A4,ROUND(BASE_A4+RATE_A4*($A621-BOTT_A4),0),IF($A621&gt;BOTT_A3,ROUND(BASE_A3+RATE_A3*($A621-BOTT_A3),0),IF($A621&gt;BOTT_A2,ROUND(BASE_A2+RATE_A2*($A621-BOTT_A2),0),ROUND(RATE_A1*$A621,0))))</f>
        <v/>
      </c>
      <c r="E621" s="556">
        <f>IF($A621&gt;BOTT_B4,ROUND(BASE_B4+RATE_B4*($A621-BOTT_B4),0),IF($A621&gt;BOTT_B3,ROUND(BASE_B3+RATE_B3*($A621-BOTT_B3),0),IF($A621&gt;BOTT_B2,ROUND(BASE_B2+RATE_B2*($A621-BOTT_B2),0),ROUND(RATE_B1*$A621,0))))</f>
        <v/>
      </c>
      <c r="F621" s="556">
        <f>IF($A621&gt;BOTT_C4,ROUND(BASE_C4+RATE_C4*($A621-BOTT_C4),0),IF($A621&gt;BOTT_C3,ROUND(BASE_C3+RATE_C3*($A621-BOTT_C3),0),IF($A621&gt;BOTT_C2,ROUND(BASE_C2+RATE_C2*($A621-BOTT_C2),0),ROUND(RATE_C1*$A621,0))))</f>
        <v/>
      </c>
      <c r="G621" s="556">
        <f>IF($A621&gt;BOTT_D4,ROUND(BASE_D4+RATE_D4*($A621-BOTT_D4),0),IF($A621&gt;BOTT_D3,ROUND(BASE_D3+RATE_D3*($A621-BOTT_D3),0),IF($A621&gt;BOTT_D2,ROUND(BASE_D2+RATE_D2*($A621-BOTT_D2),0),ROUND(RATE_D1*$A621,0))))</f>
        <v/>
      </c>
    </row>
    <row r="622" ht="15.75" customHeight="1" s="7635">
      <c r="A622" s="625">
        <f>AVERAGE(B622,C622)</f>
        <v/>
      </c>
      <c r="B622" s="555" t="n">
        <v>27900</v>
      </c>
      <c r="C622" s="555" t="n">
        <v>27950</v>
      </c>
      <c r="D622" s="556">
        <f>IF($A622&gt;BOTT_A4,ROUND(BASE_A4+RATE_A4*($A622-BOTT_A4),0),IF($A622&gt;BOTT_A3,ROUND(BASE_A3+RATE_A3*($A622-BOTT_A3),0),IF($A622&gt;BOTT_A2,ROUND(BASE_A2+RATE_A2*($A622-BOTT_A2),0),ROUND(RATE_A1*$A622,0))))</f>
        <v/>
      </c>
      <c r="E622" s="556">
        <f>IF($A622&gt;BOTT_B4,ROUND(BASE_B4+RATE_B4*($A622-BOTT_B4),0),IF($A622&gt;BOTT_B3,ROUND(BASE_B3+RATE_B3*($A622-BOTT_B3),0),IF($A622&gt;BOTT_B2,ROUND(BASE_B2+RATE_B2*($A622-BOTT_B2),0),ROUND(RATE_B1*$A622,0))))</f>
        <v/>
      </c>
      <c r="F622" s="556">
        <f>IF($A622&gt;BOTT_C4,ROUND(BASE_C4+RATE_C4*($A622-BOTT_C4),0),IF($A622&gt;BOTT_C3,ROUND(BASE_C3+RATE_C3*($A622-BOTT_C3),0),IF($A622&gt;BOTT_C2,ROUND(BASE_C2+RATE_C2*($A622-BOTT_C2),0),ROUND(RATE_C1*$A622,0))))</f>
        <v/>
      </c>
      <c r="G622" s="556">
        <f>IF($A622&gt;BOTT_D4,ROUND(BASE_D4+RATE_D4*($A622-BOTT_D4),0),IF($A622&gt;BOTT_D3,ROUND(BASE_D3+RATE_D3*($A622-BOTT_D3),0),IF($A622&gt;BOTT_D2,ROUND(BASE_D2+RATE_D2*($A622-BOTT_D2),0),ROUND(RATE_D1*$A622,0))))</f>
        <v/>
      </c>
    </row>
    <row r="623" ht="15.75" customHeight="1" s="7635">
      <c r="A623" s="625">
        <f>AVERAGE(B623,C623)</f>
        <v/>
      </c>
      <c r="B623" s="555" t="n">
        <v>27950</v>
      </c>
      <c r="C623" s="555" t="n">
        <v>28000</v>
      </c>
      <c r="D623" s="556">
        <f>IF($A623&gt;BOTT_A4,ROUND(BASE_A4+RATE_A4*($A623-BOTT_A4),0),IF($A623&gt;BOTT_A3,ROUND(BASE_A3+RATE_A3*($A623-BOTT_A3),0),IF($A623&gt;BOTT_A2,ROUND(BASE_A2+RATE_A2*($A623-BOTT_A2),0),ROUND(RATE_A1*$A623,0))))</f>
        <v/>
      </c>
      <c r="E623" s="556">
        <f>IF($A623&gt;BOTT_B4,ROUND(BASE_B4+RATE_B4*($A623-BOTT_B4),0),IF($A623&gt;BOTT_B3,ROUND(BASE_B3+RATE_B3*($A623-BOTT_B3),0),IF($A623&gt;BOTT_B2,ROUND(BASE_B2+RATE_B2*($A623-BOTT_B2),0),ROUND(RATE_B1*$A623,0))))</f>
        <v/>
      </c>
      <c r="F623" s="556">
        <f>IF($A623&gt;BOTT_C4,ROUND(BASE_C4+RATE_C4*($A623-BOTT_C4),0),IF($A623&gt;BOTT_C3,ROUND(BASE_C3+RATE_C3*($A623-BOTT_C3),0),IF($A623&gt;BOTT_C2,ROUND(BASE_C2+RATE_C2*($A623-BOTT_C2),0),ROUND(RATE_C1*$A623,0))))</f>
        <v/>
      </c>
      <c r="G623" s="556">
        <f>IF($A623&gt;BOTT_D4,ROUND(BASE_D4+RATE_D4*($A623-BOTT_D4),0),IF($A623&gt;BOTT_D3,ROUND(BASE_D3+RATE_D3*($A623-BOTT_D3),0),IF($A623&gt;BOTT_D2,ROUND(BASE_D2+RATE_D2*($A623-BOTT_D2),0),ROUND(RATE_D1*$A623,0))))</f>
        <v/>
      </c>
    </row>
    <row r="624" ht="15.75" customHeight="1" s="7635">
      <c r="A624" s="625">
        <f>AVERAGE(B624,C624)</f>
        <v/>
      </c>
      <c r="B624" s="555" t="n">
        <v>28000</v>
      </c>
      <c r="C624" s="555" t="n">
        <v>28050</v>
      </c>
      <c r="D624" s="556">
        <f>IF($A624&gt;BOTT_A4,ROUND(BASE_A4+RATE_A4*($A624-BOTT_A4),0),IF($A624&gt;BOTT_A3,ROUND(BASE_A3+RATE_A3*($A624-BOTT_A3),0),IF($A624&gt;BOTT_A2,ROUND(BASE_A2+RATE_A2*($A624-BOTT_A2),0),ROUND(RATE_A1*$A624,0))))</f>
        <v/>
      </c>
      <c r="E624" s="556">
        <f>IF($A624&gt;BOTT_B4,ROUND(BASE_B4+RATE_B4*($A624-BOTT_B4),0),IF($A624&gt;BOTT_B3,ROUND(BASE_B3+RATE_B3*($A624-BOTT_B3),0),IF($A624&gt;BOTT_B2,ROUND(BASE_B2+RATE_B2*($A624-BOTT_B2),0),ROUND(RATE_B1*$A624,0))))</f>
        <v/>
      </c>
      <c r="F624" s="556">
        <f>IF($A624&gt;BOTT_C4,ROUND(BASE_C4+RATE_C4*($A624-BOTT_C4),0),IF($A624&gt;BOTT_C3,ROUND(BASE_C3+RATE_C3*($A624-BOTT_C3),0),IF($A624&gt;BOTT_C2,ROUND(BASE_C2+RATE_C2*($A624-BOTT_C2),0),ROUND(RATE_C1*$A624,0))))</f>
        <v/>
      </c>
      <c r="G624" s="556">
        <f>IF($A624&gt;BOTT_D4,ROUND(BASE_D4+RATE_D4*($A624-BOTT_D4),0),IF($A624&gt;BOTT_D3,ROUND(BASE_D3+RATE_D3*($A624-BOTT_D3),0),IF($A624&gt;BOTT_D2,ROUND(BASE_D2+RATE_D2*($A624-BOTT_D2),0),ROUND(RATE_D1*$A624,0))))</f>
        <v/>
      </c>
    </row>
    <row r="625" ht="15.75" customHeight="1" s="7635">
      <c r="A625" s="625">
        <f>AVERAGE(B625,C625)</f>
        <v/>
      </c>
      <c r="B625" s="555" t="n">
        <v>28050</v>
      </c>
      <c r="C625" s="555" t="n">
        <v>28100</v>
      </c>
      <c r="D625" s="556">
        <f>IF($A625&gt;BOTT_A4,ROUND(BASE_A4+RATE_A4*($A625-BOTT_A4),0),IF($A625&gt;BOTT_A3,ROUND(BASE_A3+RATE_A3*($A625-BOTT_A3),0),IF($A625&gt;BOTT_A2,ROUND(BASE_A2+RATE_A2*($A625-BOTT_A2),0),ROUND(RATE_A1*$A625,0))))</f>
        <v/>
      </c>
      <c r="E625" s="556">
        <f>IF($A625&gt;BOTT_B4,ROUND(BASE_B4+RATE_B4*($A625-BOTT_B4),0),IF($A625&gt;BOTT_B3,ROUND(BASE_B3+RATE_B3*($A625-BOTT_B3),0),IF($A625&gt;BOTT_B2,ROUND(BASE_B2+RATE_B2*($A625-BOTT_B2),0),ROUND(RATE_B1*$A625,0))))</f>
        <v/>
      </c>
      <c r="F625" s="556">
        <f>IF($A625&gt;BOTT_C4,ROUND(BASE_C4+RATE_C4*($A625-BOTT_C4),0),IF($A625&gt;BOTT_C3,ROUND(BASE_C3+RATE_C3*($A625-BOTT_C3),0),IF($A625&gt;BOTT_C2,ROUND(BASE_C2+RATE_C2*($A625-BOTT_C2),0),ROUND(RATE_C1*$A625,0))))</f>
        <v/>
      </c>
      <c r="G625" s="556">
        <f>IF($A625&gt;BOTT_D4,ROUND(BASE_D4+RATE_D4*($A625-BOTT_D4),0),IF($A625&gt;BOTT_D3,ROUND(BASE_D3+RATE_D3*($A625-BOTT_D3),0),IF($A625&gt;BOTT_D2,ROUND(BASE_D2+RATE_D2*($A625-BOTT_D2),0),ROUND(RATE_D1*$A625,0))))</f>
        <v/>
      </c>
    </row>
    <row r="626" ht="15.75" customHeight="1" s="7635">
      <c r="A626" s="625">
        <f>AVERAGE(B626,C626)</f>
        <v/>
      </c>
      <c r="B626" s="555" t="n">
        <v>28100</v>
      </c>
      <c r="C626" s="555" t="n">
        <v>28150</v>
      </c>
      <c r="D626" s="556">
        <f>IF($A626&gt;BOTT_A4,ROUND(BASE_A4+RATE_A4*($A626-BOTT_A4),0),IF($A626&gt;BOTT_A3,ROUND(BASE_A3+RATE_A3*($A626-BOTT_A3),0),IF($A626&gt;BOTT_A2,ROUND(BASE_A2+RATE_A2*($A626-BOTT_A2),0),ROUND(RATE_A1*$A626,0))))</f>
        <v/>
      </c>
      <c r="E626" s="556">
        <f>IF($A626&gt;BOTT_B4,ROUND(BASE_B4+RATE_B4*($A626-BOTT_B4),0),IF($A626&gt;BOTT_B3,ROUND(BASE_B3+RATE_B3*($A626-BOTT_B3),0),IF($A626&gt;BOTT_B2,ROUND(BASE_B2+RATE_B2*($A626-BOTT_B2),0),ROUND(RATE_B1*$A626,0))))</f>
        <v/>
      </c>
      <c r="F626" s="556">
        <f>IF($A626&gt;BOTT_C4,ROUND(BASE_C4+RATE_C4*($A626-BOTT_C4),0),IF($A626&gt;BOTT_C3,ROUND(BASE_C3+RATE_C3*($A626-BOTT_C3),0),IF($A626&gt;BOTT_C2,ROUND(BASE_C2+RATE_C2*($A626-BOTT_C2),0),ROUND(RATE_C1*$A626,0))))</f>
        <v/>
      </c>
      <c r="G626" s="556">
        <f>IF($A626&gt;BOTT_D4,ROUND(BASE_D4+RATE_D4*($A626-BOTT_D4),0),IF($A626&gt;BOTT_D3,ROUND(BASE_D3+RATE_D3*($A626-BOTT_D3),0),IF($A626&gt;BOTT_D2,ROUND(BASE_D2+RATE_D2*($A626-BOTT_D2),0),ROUND(RATE_D1*$A626,0))))</f>
        <v/>
      </c>
    </row>
    <row r="627" ht="15.75" customHeight="1" s="7635">
      <c r="A627" s="625">
        <f>AVERAGE(B627,C627)</f>
        <v/>
      </c>
      <c r="B627" s="555" t="n">
        <v>28150</v>
      </c>
      <c r="C627" s="555" t="n">
        <v>28200</v>
      </c>
      <c r="D627" s="556">
        <f>IF($A627&gt;BOTT_A4,ROUND(BASE_A4+RATE_A4*($A627-BOTT_A4),0),IF($A627&gt;BOTT_A3,ROUND(BASE_A3+RATE_A3*($A627-BOTT_A3),0),IF($A627&gt;BOTT_A2,ROUND(BASE_A2+RATE_A2*($A627-BOTT_A2),0),ROUND(RATE_A1*$A627,0))))</f>
        <v/>
      </c>
      <c r="E627" s="556">
        <f>IF($A627&gt;BOTT_B4,ROUND(BASE_B4+RATE_B4*($A627-BOTT_B4),0),IF($A627&gt;BOTT_B3,ROUND(BASE_B3+RATE_B3*($A627-BOTT_B3),0),IF($A627&gt;BOTT_B2,ROUND(BASE_B2+RATE_B2*($A627-BOTT_B2),0),ROUND(RATE_B1*$A627,0))))</f>
        <v/>
      </c>
      <c r="F627" s="556">
        <f>IF($A627&gt;BOTT_C4,ROUND(BASE_C4+RATE_C4*($A627-BOTT_C4),0),IF($A627&gt;BOTT_C3,ROUND(BASE_C3+RATE_C3*($A627-BOTT_C3),0),IF($A627&gt;BOTT_C2,ROUND(BASE_C2+RATE_C2*($A627-BOTT_C2),0),ROUND(RATE_C1*$A627,0))))</f>
        <v/>
      </c>
      <c r="G627" s="556">
        <f>IF($A627&gt;BOTT_D4,ROUND(BASE_D4+RATE_D4*($A627-BOTT_D4),0),IF($A627&gt;BOTT_D3,ROUND(BASE_D3+RATE_D3*($A627-BOTT_D3),0),IF($A627&gt;BOTT_D2,ROUND(BASE_D2+RATE_D2*($A627-BOTT_D2),0),ROUND(RATE_D1*$A627,0))))</f>
        <v/>
      </c>
    </row>
    <row r="628" ht="15.75" customHeight="1" s="7635">
      <c r="A628" s="625">
        <f>AVERAGE(B628,C628)</f>
        <v/>
      </c>
      <c r="B628" s="555" t="n">
        <v>28200</v>
      </c>
      <c r="C628" s="555" t="n">
        <v>28250</v>
      </c>
      <c r="D628" s="556">
        <f>IF($A628&gt;BOTT_A4,ROUND(BASE_A4+RATE_A4*($A628-BOTT_A4),0),IF($A628&gt;BOTT_A3,ROUND(BASE_A3+RATE_A3*($A628-BOTT_A3),0),IF($A628&gt;BOTT_A2,ROUND(BASE_A2+RATE_A2*($A628-BOTT_A2),0),ROUND(RATE_A1*$A628,0))))</f>
        <v/>
      </c>
      <c r="E628" s="556">
        <f>IF($A628&gt;BOTT_B4,ROUND(BASE_B4+RATE_B4*($A628-BOTT_B4),0),IF($A628&gt;BOTT_B3,ROUND(BASE_B3+RATE_B3*($A628-BOTT_B3),0),IF($A628&gt;BOTT_B2,ROUND(BASE_B2+RATE_B2*($A628-BOTT_B2),0),ROUND(RATE_B1*$A628,0))))</f>
        <v/>
      </c>
      <c r="F628" s="556">
        <f>IF($A628&gt;BOTT_C4,ROUND(BASE_C4+RATE_C4*($A628-BOTT_C4),0),IF($A628&gt;BOTT_C3,ROUND(BASE_C3+RATE_C3*($A628-BOTT_C3),0),IF($A628&gt;BOTT_C2,ROUND(BASE_C2+RATE_C2*($A628-BOTT_C2),0),ROUND(RATE_C1*$A628,0))))</f>
        <v/>
      </c>
      <c r="G628" s="556">
        <f>IF($A628&gt;BOTT_D4,ROUND(BASE_D4+RATE_D4*($A628-BOTT_D4),0),IF($A628&gt;BOTT_D3,ROUND(BASE_D3+RATE_D3*($A628-BOTT_D3),0),IF($A628&gt;BOTT_D2,ROUND(BASE_D2+RATE_D2*($A628-BOTT_D2),0),ROUND(RATE_D1*$A628,0))))</f>
        <v/>
      </c>
    </row>
    <row r="629" ht="15.75" customHeight="1" s="7635">
      <c r="A629" s="625">
        <f>AVERAGE(B629,C629)</f>
        <v/>
      </c>
      <c r="B629" s="555" t="n">
        <v>28250</v>
      </c>
      <c r="C629" s="555" t="n">
        <v>28300</v>
      </c>
      <c r="D629" s="556">
        <f>IF($A629&gt;BOTT_A4,ROUND(BASE_A4+RATE_A4*($A629-BOTT_A4),0),IF($A629&gt;BOTT_A3,ROUND(BASE_A3+RATE_A3*($A629-BOTT_A3),0),IF($A629&gt;BOTT_A2,ROUND(BASE_A2+RATE_A2*($A629-BOTT_A2),0),ROUND(RATE_A1*$A629,0))))</f>
        <v/>
      </c>
      <c r="E629" s="556">
        <f>IF($A629&gt;BOTT_B4,ROUND(BASE_B4+RATE_B4*($A629-BOTT_B4),0),IF($A629&gt;BOTT_B3,ROUND(BASE_B3+RATE_B3*($A629-BOTT_B3),0),IF($A629&gt;BOTT_B2,ROUND(BASE_B2+RATE_B2*($A629-BOTT_B2),0),ROUND(RATE_B1*$A629,0))))</f>
        <v/>
      </c>
      <c r="F629" s="556">
        <f>IF($A629&gt;BOTT_C4,ROUND(BASE_C4+RATE_C4*($A629-BOTT_C4),0),IF($A629&gt;BOTT_C3,ROUND(BASE_C3+RATE_C3*($A629-BOTT_C3),0),IF($A629&gt;BOTT_C2,ROUND(BASE_C2+RATE_C2*($A629-BOTT_C2),0),ROUND(RATE_C1*$A629,0))))</f>
        <v/>
      </c>
      <c r="G629" s="556">
        <f>IF($A629&gt;BOTT_D4,ROUND(BASE_D4+RATE_D4*($A629-BOTT_D4),0),IF($A629&gt;BOTT_D3,ROUND(BASE_D3+RATE_D3*($A629-BOTT_D3),0),IF($A629&gt;BOTT_D2,ROUND(BASE_D2+RATE_D2*($A629-BOTT_D2),0),ROUND(RATE_D1*$A629,0))))</f>
        <v/>
      </c>
    </row>
    <row r="630" ht="15.75" customHeight="1" s="7635">
      <c r="A630" s="625">
        <f>AVERAGE(B630,C630)</f>
        <v/>
      </c>
      <c r="B630" s="555" t="n">
        <v>28300</v>
      </c>
      <c r="C630" s="555" t="n">
        <v>28350</v>
      </c>
      <c r="D630" s="556">
        <f>IF($A630&gt;BOTT_A4,ROUND(BASE_A4+RATE_A4*($A630-BOTT_A4),0),IF($A630&gt;BOTT_A3,ROUND(BASE_A3+RATE_A3*($A630-BOTT_A3),0),IF($A630&gt;BOTT_A2,ROUND(BASE_A2+RATE_A2*($A630-BOTT_A2),0),ROUND(RATE_A1*$A630,0))))</f>
        <v/>
      </c>
      <c r="E630" s="556">
        <f>IF($A630&gt;BOTT_B4,ROUND(BASE_B4+RATE_B4*($A630-BOTT_B4),0),IF($A630&gt;BOTT_B3,ROUND(BASE_B3+RATE_B3*($A630-BOTT_B3),0),IF($A630&gt;BOTT_B2,ROUND(BASE_B2+RATE_B2*($A630-BOTT_B2),0),ROUND(RATE_B1*$A630,0))))</f>
        <v/>
      </c>
      <c r="F630" s="556">
        <f>IF($A630&gt;BOTT_C4,ROUND(BASE_C4+RATE_C4*($A630-BOTT_C4),0),IF($A630&gt;BOTT_C3,ROUND(BASE_C3+RATE_C3*($A630-BOTT_C3),0),IF($A630&gt;BOTT_C2,ROUND(BASE_C2+RATE_C2*($A630-BOTT_C2),0),ROUND(RATE_C1*$A630,0))))</f>
        <v/>
      </c>
      <c r="G630" s="556">
        <f>IF($A630&gt;BOTT_D4,ROUND(BASE_D4+RATE_D4*($A630-BOTT_D4),0),IF($A630&gt;BOTT_D3,ROUND(BASE_D3+RATE_D3*($A630-BOTT_D3),0),IF($A630&gt;BOTT_D2,ROUND(BASE_D2+RATE_D2*($A630-BOTT_D2),0),ROUND(RATE_D1*$A630,0))))</f>
        <v/>
      </c>
    </row>
    <row r="631" ht="15.75" customHeight="1" s="7635">
      <c r="A631" s="625">
        <f>AVERAGE(B631,C631)</f>
        <v/>
      </c>
      <c r="B631" s="555" t="n">
        <v>28350</v>
      </c>
      <c r="C631" s="555" t="n">
        <v>28400</v>
      </c>
      <c r="D631" s="556">
        <f>IF($A631&gt;BOTT_A4,ROUND(BASE_A4+RATE_A4*($A631-BOTT_A4),0),IF($A631&gt;BOTT_A3,ROUND(BASE_A3+RATE_A3*($A631-BOTT_A3),0),IF($A631&gt;BOTT_A2,ROUND(BASE_A2+RATE_A2*($A631-BOTT_A2),0),ROUND(RATE_A1*$A631,0))))</f>
        <v/>
      </c>
      <c r="E631" s="556">
        <f>IF($A631&gt;BOTT_B4,ROUND(BASE_B4+RATE_B4*($A631-BOTT_B4),0),IF($A631&gt;BOTT_B3,ROUND(BASE_B3+RATE_B3*($A631-BOTT_B3),0),IF($A631&gt;BOTT_B2,ROUND(BASE_B2+RATE_B2*($A631-BOTT_B2),0),ROUND(RATE_B1*$A631,0))))</f>
        <v/>
      </c>
      <c r="F631" s="556">
        <f>IF($A631&gt;BOTT_C4,ROUND(BASE_C4+RATE_C4*($A631-BOTT_C4),0),IF($A631&gt;BOTT_C3,ROUND(BASE_C3+RATE_C3*($A631-BOTT_C3),0),IF($A631&gt;BOTT_C2,ROUND(BASE_C2+RATE_C2*($A631-BOTT_C2),0),ROUND(RATE_C1*$A631,0))))</f>
        <v/>
      </c>
      <c r="G631" s="556">
        <f>IF($A631&gt;BOTT_D4,ROUND(BASE_D4+RATE_D4*($A631-BOTT_D4),0),IF($A631&gt;BOTT_D3,ROUND(BASE_D3+RATE_D3*($A631-BOTT_D3),0),IF($A631&gt;BOTT_D2,ROUND(BASE_D2+RATE_D2*($A631-BOTT_D2),0),ROUND(RATE_D1*$A631,0))))</f>
        <v/>
      </c>
    </row>
    <row r="632" ht="15.75" customHeight="1" s="7635">
      <c r="A632" s="625">
        <f>AVERAGE(B632,C632)</f>
        <v/>
      </c>
      <c r="B632" s="555" t="n">
        <v>28400</v>
      </c>
      <c r="C632" s="555" t="n">
        <v>28450</v>
      </c>
      <c r="D632" s="556">
        <f>IF($A632&gt;BOTT_A4,ROUND(BASE_A4+RATE_A4*($A632-BOTT_A4),0),IF($A632&gt;BOTT_A3,ROUND(BASE_A3+RATE_A3*($A632-BOTT_A3),0),IF($A632&gt;BOTT_A2,ROUND(BASE_A2+RATE_A2*($A632-BOTT_A2),0),ROUND(RATE_A1*$A632,0))))</f>
        <v/>
      </c>
      <c r="E632" s="556">
        <f>IF($A632&gt;BOTT_B4,ROUND(BASE_B4+RATE_B4*($A632-BOTT_B4),0),IF($A632&gt;BOTT_B3,ROUND(BASE_B3+RATE_B3*($A632-BOTT_B3),0),IF($A632&gt;BOTT_B2,ROUND(BASE_B2+RATE_B2*($A632-BOTT_B2),0),ROUND(RATE_B1*$A632,0))))</f>
        <v/>
      </c>
      <c r="F632" s="556">
        <f>IF($A632&gt;BOTT_C4,ROUND(BASE_C4+RATE_C4*($A632-BOTT_C4),0),IF($A632&gt;BOTT_C3,ROUND(BASE_C3+RATE_C3*($A632-BOTT_C3),0),IF($A632&gt;BOTT_C2,ROUND(BASE_C2+RATE_C2*($A632-BOTT_C2),0),ROUND(RATE_C1*$A632,0))))</f>
        <v/>
      </c>
      <c r="G632" s="556">
        <f>IF($A632&gt;BOTT_D4,ROUND(BASE_D4+RATE_D4*($A632-BOTT_D4),0),IF($A632&gt;BOTT_D3,ROUND(BASE_D3+RATE_D3*($A632-BOTT_D3),0),IF($A632&gt;BOTT_D2,ROUND(BASE_D2+RATE_D2*($A632-BOTT_D2),0),ROUND(RATE_D1*$A632,0))))</f>
        <v/>
      </c>
    </row>
    <row r="633" ht="15.75" customHeight="1" s="7635">
      <c r="A633" s="625">
        <f>AVERAGE(B633,C633)</f>
        <v/>
      </c>
      <c r="B633" s="555" t="n">
        <v>28450</v>
      </c>
      <c r="C633" s="555" t="n">
        <v>28500</v>
      </c>
      <c r="D633" s="556">
        <f>IF($A633&gt;BOTT_A4,ROUND(BASE_A4+RATE_A4*($A633-BOTT_A4),0),IF($A633&gt;BOTT_A3,ROUND(BASE_A3+RATE_A3*($A633-BOTT_A3),0),IF($A633&gt;BOTT_A2,ROUND(BASE_A2+RATE_A2*($A633-BOTT_A2),0),ROUND(RATE_A1*$A633,0))))</f>
        <v/>
      </c>
      <c r="E633" s="556">
        <f>IF($A633&gt;BOTT_B4,ROUND(BASE_B4+RATE_B4*($A633-BOTT_B4),0),IF($A633&gt;BOTT_B3,ROUND(BASE_B3+RATE_B3*($A633-BOTT_B3),0),IF($A633&gt;BOTT_B2,ROUND(BASE_B2+RATE_B2*($A633-BOTT_B2),0),ROUND(RATE_B1*$A633,0))))</f>
        <v/>
      </c>
      <c r="F633" s="556">
        <f>IF($A633&gt;BOTT_C4,ROUND(BASE_C4+RATE_C4*($A633-BOTT_C4),0),IF($A633&gt;BOTT_C3,ROUND(BASE_C3+RATE_C3*($A633-BOTT_C3),0),IF($A633&gt;BOTT_C2,ROUND(BASE_C2+RATE_C2*($A633-BOTT_C2),0),ROUND(RATE_C1*$A633,0))))</f>
        <v/>
      </c>
      <c r="G633" s="556">
        <f>IF($A633&gt;BOTT_D4,ROUND(BASE_D4+RATE_D4*($A633-BOTT_D4),0),IF($A633&gt;BOTT_D3,ROUND(BASE_D3+RATE_D3*($A633-BOTT_D3),0),IF($A633&gt;BOTT_D2,ROUND(BASE_D2+RATE_D2*($A633-BOTT_D2),0),ROUND(RATE_D1*$A633,0))))</f>
        <v/>
      </c>
    </row>
    <row r="634" ht="15.75" customHeight="1" s="7635">
      <c r="A634" s="625">
        <f>AVERAGE(B634,C634)</f>
        <v/>
      </c>
      <c r="B634" s="555" t="n">
        <v>28500</v>
      </c>
      <c r="C634" s="555" t="n">
        <v>28550</v>
      </c>
      <c r="D634" s="556">
        <f>IF($A634&gt;BOTT_A4,ROUND(BASE_A4+RATE_A4*($A634-BOTT_A4),0),IF($A634&gt;BOTT_A3,ROUND(BASE_A3+RATE_A3*($A634-BOTT_A3),0),IF($A634&gt;BOTT_A2,ROUND(BASE_A2+RATE_A2*($A634-BOTT_A2),0),ROUND(RATE_A1*$A634,0))))</f>
        <v/>
      </c>
      <c r="E634" s="556">
        <f>IF($A634&gt;BOTT_B4,ROUND(BASE_B4+RATE_B4*($A634-BOTT_B4),0),IF($A634&gt;BOTT_B3,ROUND(BASE_B3+RATE_B3*($A634-BOTT_B3),0),IF($A634&gt;BOTT_B2,ROUND(BASE_B2+RATE_B2*($A634-BOTT_B2),0),ROUND(RATE_B1*$A634,0))))</f>
        <v/>
      </c>
      <c r="F634" s="556">
        <f>IF($A634&gt;BOTT_C4,ROUND(BASE_C4+RATE_C4*($A634-BOTT_C4),0),IF($A634&gt;BOTT_C3,ROUND(BASE_C3+RATE_C3*($A634-BOTT_C3),0),IF($A634&gt;BOTT_C2,ROUND(BASE_C2+RATE_C2*($A634-BOTT_C2),0),ROUND(RATE_C1*$A634,0))))</f>
        <v/>
      </c>
      <c r="G634" s="556">
        <f>IF($A634&gt;BOTT_D4,ROUND(BASE_D4+RATE_D4*($A634-BOTT_D4),0),IF($A634&gt;BOTT_D3,ROUND(BASE_D3+RATE_D3*($A634-BOTT_D3),0),IF($A634&gt;BOTT_D2,ROUND(BASE_D2+RATE_D2*($A634-BOTT_D2),0),ROUND(RATE_D1*$A634,0))))</f>
        <v/>
      </c>
    </row>
    <row r="635" ht="15.75" customHeight="1" s="7635">
      <c r="A635" s="625">
        <f>AVERAGE(B635,C635)</f>
        <v/>
      </c>
      <c r="B635" s="555" t="n">
        <v>28550</v>
      </c>
      <c r="C635" s="555" t="n">
        <v>28600</v>
      </c>
      <c r="D635" s="556">
        <f>IF($A635&gt;BOTT_A4,ROUND(BASE_A4+RATE_A4*($A635-BOTT_A4),0),IF($A635&gt;BOTT_A3,ROUND(BASE_A3+RATE_A3*($A635-BOTT_A3),0),IF($A635&gt;BOTT_A2,ROUND(BASE_A2+RATE_A2*($A635-BOTT_A2),0),ROUND(RATE_A1*$A635,0))))</f>
        <v/>
      </c>
      <c r="E635" s="556">
        <f>IF($A635&gt;BOTT_B4,ROUND(BASE_B4+RATE_B4*($A635-BOTT_B4),0),IF($A635&gt;BOTT_B3,ROUND(BASE_B3+RATE_B3*($A635-BOTT_B3),0),IF($A635&gt;BOTT_B2,ROUND(BASE_B2+RATE_B2*($A635-BOTT_B2),0),ROUND(RATE_B1*$A635,0))))</f>
        <v/>
      </c>
      <c r="F635" s="556">
        <f>IF($A635&gt;BOTT_C4,ROUND(BASE_C4+RATE_C4*($A635-BOTT_C4),0),IF($A635&gt;BOTT_C3,ROUND(BASE_C3+RATE_C3*($A635-BOTT_C3),0),IF($A635&gt;BOTT_C2,ROUND(BASE_C2+RATE_C2*($A635-BOTT_C2),0),ROUND(RATE_C1*$A635,0))))</f>
        <v/>
      </c>
      <c r="G635" s="556">
        <f>IF($A635&gt;BOTT_D4,ROUND(BASE_D4+RATE_D4*($A635-BOTT_D4),0),IF($A635&gt;BOTT_D3,ROUND(BASE_D3+RATE_D3*($A635-BOTT_D3),0),IF($A635&gt;BOTT_D2,ROUND(BASE_D2+RATE_D2*($A635-BOTT_D2),0),ROUND(RATE_D1*$A635,0))))</f>
        <v/>
      </c>
    </row>
    <row r="636" ht="15.75" customHeight="1" s="7635">
      <c r="A636" s="625">
        <f>AVERAGE(B636,C636)</f>
        <v/>
      </c>
      <c r="B636" s="555" t="n">
        <v>28600</v>
      </c>
      <c r="C636" s="555" t="n">
        <v>28650</v>
      </c>
      <c r="D636" s="556">
        <f>IF($A636&gt;BOTT_A4,ROUND(BASE_A4+RATE_A4*($A636-BOTT_A4),0),IF($A636&gt;BOTT_A3,ROUND(BASE_A3+RATE_A3*($A636-BOTT_A3),0),IF($A636&gt;BOTT_A2,ROUND(BASE_A2+RATE_A2*($A636-BOTT_A2),0),ROUND(RATE_A1*$A636,0))))</f>
        <v/>
      </c>
      <c r="E636" s="556">
        <f>IF($A636&gt;BOTT_B4,ROUND(BASE_B4+RATE_B4*($A636-BOTT_B4),0),IF($A636&gt;BOTT_B3,ROUND(BASE_B3+RATE_B3*($A636-BOTT_B3),0),IF($A636&gt;BOTT_B2,ROUND(BASE_B2+RATE_B2*($A636-BOTT_B2),0),ROUND(RATE_B1*$A636,0))))</f>
        <v/>
      </c>
      <c r="F636" s="556">
        <f>IF($A636&gt;BOTT_C4,ROUND(BASE_C4+RATE_C4*($A636-BOTT_C4),0),IF($A636&gt;BOTT_C3,ROUND(BASE_C3+RATE_C3*($A636-BOTT_C3),0),IF($A636&gt;BOTT_C2,ROUND(BASE_C2+RATE_C2*($A636-BOTT_C2),0),ROUND(RATE_C1*$A636,0))))</f>
        <v/>
      </c>
      <c r="G636" s="556">
        <f>IF($A636&gt;BOTT_D4,ROUND(BASE_D4+RATE_D4*($A636-BOTT_D4),0),IF($A636&gt;BOTT_D3,ROUND(BASE_D3+RATE_D3*($A636-BOTT_D3),0),IF($A636&gt;BOTT_D2,ROUND(BASE_D2+RATE_D2*($A636-BOTT_D2),0),ROUND(RATE_D1*$A636,0))))</f>
        <v/>
      </c>
    </row>
    <row r="637" ht="15.75" customHeight="1" s="7635">
      <c r="A637" s="625">
        <f>AVERAGE(B637,C637)</f>
        <v/>
      </c>
      <c r="B637" s="555" t="n">
        <v>28650</v>
      </c>
      <c r="C637" s="555" t="n">
        <v>28700</v>
      </c>
      <c r="D637" s="556">
        <f>IF($A637&gt;BOTT_A4,ROUND(BASE_A4+RATE_A4*($A637-BOTT_A4),0),IF($A637&gt;BOTT_A3,ROUND(BASE_A3+RATE_A3*($A637-BOTT_A3),0),IF($A637&gt;BOTT_A2,ROUND(BASE_A2+RATE_A2*($A637-BOTT_A2),0),ROUND(RATE_A1*$A637,0))))</f>
        <v/>
      </c>
      <c r="E637" s="556">
        <f>IF($A637&gt;BOTT_B4,ROUND(BASE_B4+RATE_B4*($A637-BOTT_B4),0),IF($A637&gt;BOTT_B3,ROUND(BASE_B3+RATE_B3*($A637-BOTT_B3),0),IF($A637&gt;BOTT_B2,ROUND(BASE_B2+RATE_B2*($A637-BOTT_B2),0),ROUND(RATE_B1*$A637,0))))</f>
        <v/>
      </c>
      <c r="F637" s="556">
        <f>IF($A637&gt;BOTT_C4,ROUND(BASE_C4+RATE_C4*($A637-BOTT_C4),0),IF($A637&gt;BOTT_C3,ROUND(BASE_C3+RATE_C3*($A637-BOTT_C3),0),IF($A637&gt;BOTT_C2,ROUND(BASE_C2+RATE_C2*($A637-BOTT_C2),0),ROUND(RATE_C1*$A637,0))))</f>
        <v/>
      </c>
      <c r="G637" s="556">
        <f>IF($A637&gt;BOTT_D4,ROUND(BASE_D4+RATE_D4*($A637-BOTT_D4),0),IF($A637&gt;BOTT_D3,ROUND(BASE_D3+RATE_D3*($A637-BOTT_D3),0),IF($A637&gt;BOTT_D2,ROUND(BASE_D2+RATE_D2*($A637-BOTT_D2),0),ROUND(RATE_D1*$A637,0))))</f>
        <v/>
      </c>
    </row>
    <row r="638" ht="15.75" customHeight="1" s="7635">
      <c r="A638" s="625">
        <f>AVERAGE(B638,C638)</f>
        <v/>
      </c>
      <c r="B638" s="555" t="n">
        <v>28700</v>
      </c>
      <c r="C638" s="555" t="n">
        <v>28750</v>
      </c>
      <c r="D638" s="556">
        <f>IF($A638&gt;BOTT_A4,ROUND(BASE_A4+RATE_A4*($A638-BOTT_A4),0),IF($A638&gt;BOTT_A3,ROUND(BASE_A3+RATE_A3*($A638-BOTT_A3),0),IF($A638&gt;BOTT_A2,ROUND(BASE_A2+RATE_A2*($A638-BOTT_A2),0),ROUND(RATE_A1*$A638,0))))</f>
        <v/>
      </c>
      <c r="E638" s="556">
        <f>IF($A638&gt;BOTT_B4,ROUND(BASE_B4+RATE_B4*($A638-BOTT_B4),0),IF($A638&gt;BOTT_B3,ROUND(BASE_B3+RATE_B3*($A638-BOTT_B3),0),IF($A638&gt;BOTT_B2,ROUND(BASE_B2+RATE_B2*($A638-BOTT_B2),0),ROUND(RATE_B1*$A638,0))))</f>
        <v/>
      </c>
      <c r="F638" s="556">
        <f>IF($A638&gt;BOTT_C4,ROUND(BASE_C4+RATE_C4*($A638-BOTT_C4),0),IF($A638&gt;BOTT_C3,ROUND(BASE_C3+RATE_C3*($A638-BOTT_C3),0),IF($A638&gt;BOTT_C2,ROUND(BASE_C2+RATE_C2*($A638-BOTT_C2),0),ROUND(RATE_C1*$A638,0))))</f>
        <v/>
      </c>
      <c r="G638" s="556">
        <f>IF($A638&gt;BOTT_D4,ROUND(BASE_D4+RATE_D4*($A638-BOTT_D4),0),IF($A638&gt;BOTT_D3,ROUND(BASE_D3+RATE_D3*($A638-BOTT_D3),0),IF($A638&gt;BOTT_D2,ROUND(BASE_D2+RATE_D2*($A638-BOTT_D2),0),ROUND(RATE_D1*$A638,0))))</f>
        <v/>
      </c>
    </row>
    <row r="639" ht="15.75" customHeight="1" s="7635">
      <c r="A639" s="625">
        <f>AVERAGE(B639,C639)</f>
        <v/>
      </c>
      <c r="B639" s="555" t="n">
        <v>28750</v>
      </c>
      <c r="C639" s="555" t="n">
        <v>28800</v>
      </c>
      <c r="D639" s="556">
        <f>IF($A639&gt;BOTT_A4,ROUND(BASE_A4+RATE_A4*($A639-BOTT_A4),0),IF($A639&gt;BOTT_A3,ROUND(BASE_A3+RATE_A3*($A639-BOTT_A3),0),IF($A639&gt;BOTT_A2,ROUND(BASE_A2+RATE_A2*($A639-BOTT_A2),0),ROUND(RATE_A1*$A639,0))))</f>
        <v/>
      </c>
      <c r="E639" s="556">
        <f>IF($A639&gt;BOTT_B4,ROUND(BASE_B4+RATE_B4*($A639-BOTT_B4),0),IF($A639&gt;BOTT_B3,ROUND(BASE_B3+RATE_B3*($A639-BOTT_B3),0),IF($A639&gt;BOTT_B2,ROUND(BASE_B2+RATE_B2*($A639-BOTT_B2),0),ROUND(RATE_B1*$A639,0))))</f>
        <v/>
      </c>
      <c r="F639" s="556">
        <f>IF($A639&gt;BOTT_C4,ROUND(BASE_C4+RATE_C4*($A639-BOTT_C4),0),IF($A639&gt;BOTT_C3,ROUND(BASE_C3+RATE_C3*($A639-BOTT_C3),0),IF($A639&gt;BOTT_C2,ROUND(BASE_C2+RATE_C2*($A639-BOTT_C2),0),ROUND(RATE_C1*$A639,0))))</f>
        <v/>
      </c>
      <c r="G639" s="556">
        <f>IF($A639&gt;BOTT_D4,ROUND(BASE_D4+RATE_D4*($A639-BOTT_D4),0),IF($A639&gt;BOTT_D3,ROUND(BASE_D3+RATE_D3*($A639-BOTT_D3),0),IF($A639&gt;BOTT_D2,ROUND(BASE_D2+RATE_D2*($A639-BOTT_D2),0),ROUND(RATE_D1*$A639,0))))</f>
        <v/>
      </c>
    </row>
    <row r="640" ht="15.75" customHeight="1" s="7635">
      <c r="A640" s="625">
        <f>AVERAGE(B640,C640)</f>
        <v/>
      </c>
      <c r="B640" s="555" t="n">
        <v>28800</v>
      </c>
      <c r="C640" s="555" t="n">
        <v>28850</v>
      </c>
      <c r="D640" s="556">
        <f>IF($A640&gt;BOTT_A4,ROUND(BASE_A4+RATE_A4*($A640-BOTT_A4),0),IF($A640&gt;BOTT_A3,ROUND(BASE_A3+RATE_A3*($A640-BOTT_A3),0),IF($A640&gt;BOTT_A2,ROUND(BASE_A2+RATE_A2*($A640-BOTT_A2),0),ROUND(RATE_A1*$A640,0))))</f>
        <v/>
      </c>
      <c r="E640" s="556">
        <f>IF($A640&gt;BOTT_B4,ROUND(BASE_B4+RATE_B4*($A640-BOTT_B4),0),IF($A640&gt;BOTT_B3,ROUND(BASE_B3+RATE_B3*($A640-BOTT_B3),0),IF($A640&gt;BOTT_B2,ROUND(BASE_B2+RATE_B2*($A640-BOTT_B2),0),ROUND(RATE_B1*$A640,0))))</f>
        <v/>
      </c>
      <c r="F640" s="556">
        <f>IF($A640&gt;BOTT_C4,ROUND(BASE_C4+RATE_C4*($A640-BOTT_C4),0),IF($A640&gt;BOTT_C3,ROUND(BASE_C3+RATE_C3*($A640-BOTT_C3),0),IF($A640&gt;BOTT_C2,ROUND(BASE_C2+RATE_C2*($A640-BOTT_C2),0),ROUND(RATE_C1*$A640,0))))</f>
        <v/>
      </c>
      <c r="G640" s="556">
        <f>IF($A640&gt;BOTT_D4,ROUND(BASE_D4+RATE_D4*($A640-BOTT_D4),0),IF($A640&gt;BOTT_D3,ROUND(BASE_D3+RATE_D3*($A640-BOTT_D3),0),IF($A640&gt;BOTT_D2,ROUND(BASE_D2+RATE_D2*($A640-BOTT_D2),0),ROUND(RATE_D1*$A640,0))))</f>
        <v/>
      </c>
    </row>
    <row r="641" ht="15.75" customHeight="1" s="7635">
      <c r="A641" s="625">
        <f>AVERAGE(B641,C641)</f>
        <v/>
      </c>
      <c r="B641" s="555" t="n">
        <v>28850</v>
      </c>
      <c r="C641" s="555" t="n">
        <v>28900</v>
      </c>
      <c r="D641" s="556">
        <f>IF($A641&gt;BOTT_A4,ROUND(BASE_A4+RATE_A4*($A641-BOTT_A4),0),IF($A641&gt;BOTT_A3,ROUND(BASE_A3+RATE_A3*($A641-BOTT_A3),0),IF($A641&gt;BOTT_A2,ROUND(BASE_A2+RATE_A2*($A641-BOTT_A2),0),ROUND(RATE_A1*$A641,0))))</f>
        <v/>
      </c>
      <c r="E641" s="556">
        <f>IF($A641&gt;BOTT_B4,ROUND(BASE_B4+RATE_B4*($A641-BOTT_B4),0),IF($A641&gt;BOTT_B3,ROUND(BASE_B3+RATE_B3*($A641-BOTT_B3),0),IF($A641&gt;BOTT_B2,ROUND(BASE_B2+RATE_B2*($A641-BOTT_B2),0),ROUND(RATE_B1*$A641,0))))</f>
        <v/>
      </c>
      <c r="F641" s="556">
        <f>IF($A641&gt;BOTT_C4,ROUND(BASE_C4+RATE_C4*($A641-BOTT_C4),0),IF($A641&gt;BOTT_C3,ROUND(BASE_C3+RATE_C3*($A641-BOTT_C3),0),IF($A641&gt;BOTT_C2,ROUND(BASE_C2+RATE_C2*($A641-BOTT_C2),0),ROUND(RATE_C1*$A641,0))))</f>
        <v/>
      </c>
      <c r="G641" s="556">
        <f>IF($A641&gt;BOTT_D4,ROUND(BASE_D4+RATE_D4*($A641-BOTT_D4),0),IF($A641&gt;BOTT_D3,ROUND(BASE_D3+RATE_D3*($A641-BOTT_D3),0),IF($A641&gt;BOTT_D2,ROUND(BASE_D2+RATE_D2*($A641-BOTT_D2),0),ROUND(RATE_D1*$A641,0))))</f>
        <v/>
      </c>
    </row>
    <row r="642" ht="15.75" customHeight="1" s="7635">
      <c r="A642" s="625">
        <f>AVERAGE(B642,C642)</f>
        <v/>
      </c>
      <c r="B642" s="555" t="n">
        <v>28900</v>
      </c>
      <c r="C642" s="555" t="n">
        <v>28950</v>
      </c>
      <c r="D642" s="556">
        <f>IF($A642&gt;BOTT_A4,ROUND(BASE_A4+RATE_A4*($A642-BOTT_A4),0),IF($A642&gt;BOTT_A3,ROUND(BASE_A3+RATE_A3*($A642-BOTT_A3),0),IF($A642&gt;BOTT_A2,ROUND(BASE_A2+RATE_A2*($A642-BOTT_A2),0),ROUND(RATE_A1*$A642,0))))</f>
        <v/>
      </c>
      <c r="E642" s="556">
        <f>IF($A642&gt;BOTT_B4,ROUND(BASE_B4+RATE_B4*($A642-BOTT_B4),0),IF($A642&gt;BOTT_B3,ROUND(BASE_B3+RATE_B3*($A642-BOTT_B3),0),IF($A642&gt;BOTT_B2,ROUND(BASE_B2+RATE_B2*($A642-BOTT_B2),0),ROUND(RATE_B1*$A642,0))))</f>
        <v/>
      </c>
      <c r="F642" s="556">
        <f>IF($A642&gt;BOTT_C4,ROUND(BASE_C4+RATE_C4*($A642-BOTT_C4),0),IF($A642&gt;BOTT_C3,ROUND(BASE_C3+RATE_C3*($A642-BOTT_C3),0),IF($A642&gt;BOTT_C2,ROUND(BASE_C2+RATE_C2*($A642-BOTT_C2),0),ROUND(RATE_C1*$A642,0))))</f>
        <v/>
      </c>
      <c r="G642" s="556">
        <f>IF($A642&gt;BOTT_D4,ROUND(BASE_D4+RATE_D4*($A642-BOTT_D4),0),IF($A642&gt;BOTT_D3,ROUND(BASE_D3+RATE_D3*($A642-BOTT_D3),0),IF($A642&gt;BOTT_D2,ROUND(BASE_D2+RATE_D2*($A642-BOTT_D2),0),ROUND(RATE_D1*$A642,0))))</f>
        <v/>
      </c>
    </row>
    <row r="643" ht="15.75" customHeight="1" s="7635">
      <c r="A643" s="625">
        <f>AVERAGE(B643,C643)</f>
        <v/>
      </c>
      <c r="B643" s="555" t="n">
        <v>28950</v>
      </c>
      <c r="C643" s="555" t="n">
        <v>29000</v>
      </c>
      <c r="D643" s="556">
        <f>IF($A643&gt;BOTT_A4,ROUND(BASE_A4+RATE_A4*($A643-BOTT_A4),0),IF($A643&gt;BOTT_A3,ROUND(BASE_A3+RATE_A3*($A643-BOTT_A3),0),IF($A643&gt;BOTT_A2,ROUND(BASE_A2+RATE_A2*($A643-BOTT_A2),0),ROUND(RATE_A1*$A643,0))))</f>
        <v/>
      </c>
      <c r="E643" s="556">
        <f>IF($A643&gt;BOTT_B4,ROUND(BASE_B4+RATE_B4*($A643-BOTT_B4),0),IF($A643&gt;BOTT_B3,ROUND(BASE_B3+RATE_B3*($A643-BOTT_B3),0),IF($A643&gt;BOTT_B2,ROUND(BASE_B2+RATE_B2*($A643-BOTT_B2),0),ROUND(RATE_B1*$A643,0))))</f>
        <v/>
      </c>
      <c r="F643" s="556">
        <f>IF($A643&gt;BOTT_C4,ROUND(BASE_C4+RATE_C4*($A643-BOTT_C4),0),IF($A643&gt;BOTT_C3,ROUND(BASE_C3+RATE_C3*($A643-BOTT_C3),0),IF($A643&gt;BOTT_C2,ROUND(BASE_C2+RATE_C2*($A643-BOTT_C2),0),ROUND(RATE_C1*$A643,0))))</f>
        <v/>
      </c>
      <c r="G643" s="556">
        <f>IF($A643&gt;BOTT_D4,ROUND(BASE_D4+RATE_D4*($A643-BOTT_D4),0),IF($A643&gt;BOTT_D3,ROUND(BASE_D3+RATE_D3*($A643-BOTT_D3),0),IF($A643&gt;BOTT_D2,ROUND(BASE_D2+RATE_D2*($A643-BOTT_D2),0),ROUND(RATE_D1*$A643,0))))</f>
        <v/>
      </c>
    </row>
    <row r="644" ht="15.75" customHeight="1" s="7635">
      <c r="A644" s="625">
        <f>AVERAGE(B644,C644)</f>
        <v/>
      </c>
      <c r="B644" s="555" t="n">
        <v>29000</v>
      </c>
      <c r="C644" s="555" t="n">
        <v>29050</v>
      </c>
      <c r="D644" s="556">
        <f>IF($A644&gt;BOTT_A4,ROUND(BASE_A4+RATE_A4*($A644-BOTT_A4),0),IF($A644&gt;BOTT_A3,ROUND(BASE_A3+RATE_A3*($A644-BOTT_A3),0),IF($A644&gt;BOTT_A2,ROUND(BASE_A2+RATE_A2*($A644-BOTT_A2),0),ROUND(RATE_A1*$A644,0))))</f>
        <v/>
      </c>
      <c r="E644" s="556">
        <f>IF($A644&gt;BOTT_B4,ROUND(BASE_B4+RATE_B4*($A644-BOTT_B4),0),IF($A644&gt;BOTT_B3,ROUND(BASE_B3+RATE_B3*($A644-BOTT_B3),0),IF($A644&gt;BOTT_B2,ROUND(BASE_B2+RATE_B2*($A644-BOTT_B2),0),ROUND(RATE_B1*$A644,0))))</f>
        <v/>
      </c>
      <c r="F644" s="556">
        <f>IF($A644&gt;BOTT_C4,ROUND(BASE_C4+RATE_C4*($A644-BOTT_C4),0),IF($A644&gt;BOTT_C3,ROUND(BASE_C3+RATE_C3*($A644-BOTT_C3),0),IF($A644&gt;BOTT_C2,ROUND(BASE_C2+RATE_C2*($A644-BOTT_C2),0),ROUND(RATE_C1*$A644,0))))</f>
        <v/>
      </c>
      <c r="G644" s="556">
        <f>IF($A644&gt;BOTT_D4,ROUND(BASE_D4+RATE_D4*($A644-BOTT_D4),0),IF($A644&gt;BOTT_D3,ROUND(BASE_D3+RATE_D3*($A644-BOTT_D3),0),IF($A644&gt;BOTT_D2,ROUND(BASE_D2+RATE_D2*($A644-BOTT_D2),0),ROUND(RATE_D1*$A644,0))))</f>
        <v/>
      </c>
    </row>
    <row r="645" ht="15.75" customHeight="1" s="7635">
      <c r="A645" s="625">
        <f>AVERAGE(B645,C645)</f>
        <v/>
      </c>
      <c r="B645" s="555" t="n">
        <v>29050</v>
      </c>
      <c r="C645" s="555" t="n">
        <v>29100</v>
      </c>
      <c r="D645" s="556">
        <f>IF($A645&gt;BOTT_A4,ROUND(BASE_A4+RATE_A4*($A645-BOTT_A4),0),IF($A645&gt;BOTT_A3,ROUND(BASE_A3+RATE_A3*($A645-BOTT_A3),0),IF($A645&gt;BOTT_A2,ROUND(BASE_A2+RATE_A2*($A645-BOTT_A2),0),ROUND(RATE_A1*$A645,0))))</f>
        <v/>
      </c>
      <c r="E645" s="556">
        <f>IF($A645&gt;BOTT_B4,ROUND(BASE_B4+RATE_B4*($A645-BOTT_B4),0),IF($A645&gt;BOTT_B3,ROUND(BASE_B3+RATE_B3*($A645-BOTT_B3),0),IF($A645&gt;BOTT_B2,ROUND(BASE_B2+RATE_B2*($A645-BOTT_B2),0),ROUND(RATE_B1*$A645,0))))</f>
        <v/>
      </c>
      <c r="F645" s="556">
        <f>IF($A645&gt;BOTT_C4,ROUND(BASE_C4+RATE_C4*($A645-BOTT_C4),0),IF($A645&gt;BOTT_C3,ROUND(BASE_C3+RATE_C3*($A645-BOTT_C3),0),IF($A645&gt;BOTT_C2,ROUND(BASE_C2+RATE_C2*($A645-BOTT_C2),0),ROUND(RATE_C1*$A645,0))))</f>
        <v/>
      </c>
      <c r="G645" s="556">
        <f>IF($A645&gt;BOTT_D4,ROUND(BASE_D4+RATE_D4*($A645-BOTT_D4),0),IF($A645&gt;BOTT_D3,ROUND(BASE_D3+RATE_D3*($A645-BOTT_D3),0),IF($A645&gt;BOTT_D2,ROUND(BASE_D2+RATE_D2*($A645-BOTT_D2),0),ROUND(RATE_D1*$A645,0))))</f>
        <v/>
      </c>
    </row>
    <row r="646" ht="15.75" customHeight="1" s="7635">
      <c r="A646" s="625">
        <f>AVERAGE(B646,C646)</f>
        <v/>
      </c>
      <c r="B646" s="555" t="n">
        <v>29100</v>
      </c>
      <c r="C646" s="555" t="n">
        <v>29150</v>
      </c>
      <c r="D646" s="556">
        <f>IF($A646&gt;BOTT_A4,ROUND(BASE_A4+RATE_A4*($A646-BOTT_A4),0),IF($A646&gt;BOTT_A3,ROUND(BASE_A3+RATE_A3*($A646-BOTT_A3),0),IF($A646&gt;BOTT_A2,ROUND(BASE_A2+RATE_A2*($A646-BOTT_A2),0),ROUND(RATE_A1*$A646,0))))</f>
        <v/>
      </c>
      <c r="E646" s="556">
        <f>IF($A646&gt;BOTT_B4,ROUND(BASE_B4+RATE_B4*($A646-BOTT_B4),0),IF($A646&gt;BOTT_B3,ROUND(BASE_B3+RATE_B3*($A646-BOTT_B3),0),IF($A646&gt;BOTT_B2,ROUND(BASE_B2+RATE_B2*($A646-BOTT_B2),0),ROUND(RATE_B1*$A646,0))))</f>
        <v/>
      </c>
      <c r="F646" s="556">
        <f>IF($A646&gt;BOTT_C4,ROUND(BASE_C4+RATE_C4*($A646-BOTT_C4),0),IF($A646&gt;BOTT_C3,ROUND(BASE_C3+RATE_C3*($A646-BOTT_C3),0),IF($A646&gt;BOTT_C2,ROUND(BASE_C2+RATE_C2*($A646-BOTT_C2),0),ROUND(RATE_C1*$A646,0))))</f>
        <v/>
      </c>
      <c r="G646" s="556">
        <f>IF($A646&gt;BOTT_D4,ROUND(BASE_D4+RATE_D4*($A646-BOTT_D4),0),IF($A646&gt;BOTT_D3,ROUND(BASE_D3+RATE_D3*($A646-BOTT_D3),0),IF($A646&gt;BOTT_D2,ROUND(BASE_D2+RATE_D2*($A646-BOTT_D2),0),ROUND(RATE_D1*$A646,0))))</f>
        <v/>
      </c>
    </row>
    <row r="647" ht="15.75" customHeight="1" s="7635">
      <c r="A647" s="625">
        <f>AVERAGE(B647,C647)</f>
        <v/>
      </c>
      <c r="B647" s="555" t="n">
        <v>29150</v>
      </c>
      <c r="C647" s="555" t="n">
        <v>29200</v>
      </c>
      <c r="D647" s="556">
        <f>IF($A647&gt;BOTT_A4,ROUND(BASE_A4+RATE_A4*($A647-BOTT_A4),0),IF($A647&gt;BOTT_A3,ROUND(BASE_A3+RATE_A3*($A647-BOTT_A3),0),IF($A647&gt;BOTT_A2,ROUND(BASE_A2+RATE_A2*($A647-BOTT_A2),0),ROUND(RATE_A1*$A647,0))))</f>
        <v/>
      </c>
      <c r="E647" s="556">
        <f>IF($A647&gt;BOTT_B4,ROUND(BASE_B4+RATE_B4*($A647-BOTT_B4),0),IF($A647&gt;BOTT_B3,ROUND(BASE_B3+RATE_B3*($A647-BOTT_B3),0),IF($A647&gt;BOTT_B2,ROUND(BASE_B2+RATE_B2*($A647-BOTT_B2),0),ROUND(RATE_B1*$A647,0))))</f>
        <v/>
      </c>
      <c r="F647" s="556">
        <f>IF($A647&gt;BOTT_C4,ROUND(BASE_C4+RATE_C4*($A647-BOTT_C4),0),IF($A647&gt;BOTT_C3,ROUND(BASE_C3+RATE_C3*($A647-BOTT_C3),0),IF($A647&gt;BOTT_C2,ROUND(BASE_C2+RATE_C2*($A647-BOTT_C2),0),ROUND(RATE_C1*$A647,0))))</f>
        <v/>
      </c>
      <c r="G647" s="556">
        <f>IF($A647&gt;BOTT_D4,ROUND(BASE_D4+RATE_D4*($A647-BOTT_D4),0),IF($A647&gt;BOTT_D3,ROUND(BASE_D3+RATE_D3*($A647-BOTT_D3),0),IF($A647&gt;BOTT_D2,ROUND(BASE_D2+RATE_D2*($A647-BOTT_D2),0),ROUND(RATE_D1*$A647,0))))</f>
        <v/>
      </c>
    </row>
    <row r="648" ht="15.75" customHeight="1" s="7635">
      <c r="A648" s="625">
        <f>AVERAGE(B648,C648)</f>
        <v/>
      </c>
      <c r="B648" s="555" t="n">
        <v>29200</v>
      </c>
      <c r="C648" s="555" t="n">
        <v>29250</v>
      </c>
      <c r="D648" s="556">
        <f>IF($A648&gt;BOTT_A4,ROUND(BASE_A4+RATE_A4*($A648-BOTT_A4),0),IF($A648&gt;BOTT_A3,ROUND(BASE_A3+RATE_A3*($A648-BOTT_A3),0),IF($A648&gt;BOTT_A2,ROUND(BASE_A2+RATE_A2*($A648-BOTT_A2),0),ROUND(RATE_A1*$A648,0))))</f>
        <v/>
      </c>
      <c r="E648" s="556">
        <f>IF($A648&gt;BOTT_B4,ROUND(BASE_B4+RATE_B4*($A648-BOTT_B4),0),IF($A648&gt;BOTT_B3,ROUND(BASE_B3+RATE_B3*($A648-BOTT_B3),0),IF($A648&gt;BOTT_B2,ROUND(BASE_B2+RATE_B2*($A648-BOTT_B2),0),ROUND(RATE_B1*$A648,0))))</f>
        <v/>
      </c>
      <c r="F648" s="556">
        <f>IF($A648&gt;BOTT_C4,ROUND(BASE_C4+RATE_C4*($A648-BOTT_C4),0),IF($A648&gt;BOTT_C3,ROUND(BASE_C3+RATE_C3*($A648-BOTT_C3),0),IF($A648&gt;BOTT_C2,ROUND(BASE_C2+RATE_C2*($A648-BOTT_C2),0),ROUND(RATE_C1*$A648,0))))</f>
        <v/>
      </c>
      <c r="G648" s="556">
        <f>IF($A648&gt;BOTT_D4,ROUND(BASE_D4+RATE_D4*($A648-BOTT_D4),0),IF($A648&gt;BOTT_D3,ROUND(BASE_D3+RATE_D3*($A648-BOTT_D3),0),IF($A648&gt;BOTT_D2,ROUND(BASE_D2+RATE_D2*($A648-BOTT_D2),0),ROUND(RATE_D1*$A648,0))))</f>
        <v/>
      </c>
    </row>
    <row r="649" ht="15.75" customHeight="1" s="7635">
      <c r="A649" s="625">
        <f>AVERAGE(B649,C649)</f>
        <v/>
      </c>
      <c r="B649" s="555" t="n">
        <v>29250</v>
      </c>
      <c r="C649" s="555" t="n">
        <v>29300</v>
      </c>
      <c r="D649" s="556">
        <f>IF($A649&gt;BOTT_A4,ROUND(BASE_A4+RATE_A4*($A649-BOTT_A4),0),IF($A649&gt;BOTT_A3,ROUND(BASE_A3+RATE_A3*($A649-BOTT_A3),0),IF($A649&gt;BOTT_A2,ROUND(BASE_A2+RATE_A2*($A649-BOTT_A2),0),ROUND(RATE_A1*$A649,0))))</f>
        <v/>
      </c>
      <c r="E649" s="556">
        <f>IF($A649&gt;BOTT_B4,ROUND(BASE_B4+RATE_B4*($A649-BOTT_B4),0),IF($A649&gt;BOTT_B3,ROUND(BASE_B3+RATE_B3*($A649-BOTT_B3),0),IF($A649&gt;BOTT_B2,ROUND(BASE_B2+RATE_B2*($A649-BOTT_B2),0),ROUND(RATE_B1*$A649,0))))</f>
        <v/>
      </c>
      <c r="F649" s="556">
        <f>IF($A649&gt;BOTT_C4,ROUND(BASE_C4+RATE_C4*($A649-BOTT_C4),0),IF($A649&gt;BOTT_C3,ROUND(BASE_C3+RATE_C3*($A649-BOTT_C3),0),IF($A649&gt;BOTT_C2,ROUND(BASE_C2+RATE_C2*($A649-BOTT_C2),0),ROUND(RATE_C1*$A649,0))))</f>
        <v/>
      </c>
      <c r="G649" s="556">
        <f>IF($A649&gt;BOTT_D4,ROUND(BASE_D4+RATE_D4*($A649-BOTT_D4),0),IF($A649&gt;BOTT_D3,ROUND(BASE_D3+RATE_D3*($A649-BOTT_D3),0),IF($A649&gt;BOTT_D2,ROUND(BASE_D2+RATE_D2*($A649-BOTT_D2),0),ROUND(RATE_D1*$A649,0))))</f>
        <v/>
      </c>
    </row>
    <row r="650" ht="15.75" customHeight="1" s="7635">
      <c r="A650" s="625">
        <f>AVERAGE(B650,C650)</f>
        <v/>
      </c>
      <c r="B650" s="555" t="n">
        <v>29300</v>
      </c>
      <c r="C650" s="555" t="n">
        <v>29350</v>
      </c>
      <c r="D650" s="556">
        <f>IF($A650&gt;BOTT_A4,ROUND(BASE_A4+RATE_A4*($A650-BOTT_A4),0),IF($A650&gt;BOTT_A3,ROUND(BASE_A3+RATE_A3*($A650-BOTT_A3),0),IF($A650&gt;BOTT_A2,ROUND(BASE_A2+RATE_A2*($A650-BOTT_A2),0),ROUND(RATE_A1*$A650,0))))</f>
        <v/>
      </c>
      <c r="E650" s="556">
        <f>IF($A650&gt;BOTT_B4,ROUND(BASE_B4+RATE_B4*($A650-BOTT_B4),0),IF($A650&gt;BOTT_B3,ROUND(BASE_B3+RATE_B3*($A650-BOTT_B3),0),IF($A650&gt;BOTT_B2,ROUND(BASE_B2+RATE_B2*($A650-BOTT_B2),0),ROUND(RATE_B1*$A650,0))))</f>
        <v/>
      </c>
      <c r="F650" s="556">
        <f>IF($A650&gt;BOTT_C4,ROUND(BASE_C4+RATE_C4*($A650-BOTT_C4),0),IF($A650&gt;BOTT_C3,ROUND(BASE_C3+RATE_C3*($A650-BOTT_C3),0),IF($A650&gt;BOTT_C2,ROUND(BASE_C2+RATE_C2*($A650-BOTT_C2),0),ROUND(RATE_C1*$A650,0))))</f>
        <v/>
      </c>
      <c r="G650" s="556">
        <f>IF($A650&gt;BOTT_D4,ROUND(BASE_D4+RATE_D4*($A650-BOTT_D4),0),IF($A650&gt;BOTT_D3,ROUND(BASE_D3+RATE_D3*($A650-BOTT_D3),0),IF($A650&gt;BOTT_D2,ROUND(BASE_D2+RATE_D2*($A650-BOTT_D2),0),ROUND(RATE_D1*$A650,0))))</f>
        <v/>
      </c>
    </row>
    <row r="651" ht="15.75" customHeight="1" s="7635">
      <c r="A651" s="625">
        <f>AVERAGE(B651,C651)</f>
        <v/>
      </c>
      <c r="B651" s="555" t="n">
        <v>29350</v>
      </c>
      <c r="C651" s="555" t="n">
        <v>29400</v>
      </c>
      <c r="D651" s="556">
        <f>IF($A651&gt;BOTT_A4,ROUND(BASE_A4+RATE_A4*($A651-BOTT_A4),0),IF($A651&gt;BOTT_A3,ROUND(BASE_A3+RATE_A3*($A651-BOTT_A3),0),IF($A651&gt;BOTT_A2,ROUND(BASE_A2+RATE_A2*($A651-BOTT_A2),0),ROUND(RATE_A1*$A651,0))))</f>
        <v/>
      </c>
      <c r="E651" s="556">
        <f>IF($A651&gt;BOTT_B4,ROUND(BASE_B4+RATE_B4*($A651-BOTT_B4),0),IF($A651&gt;BOTT_B3,ROUND(BASE_B3+RATE_B3*($A651-BOTT_B3),0),IF($A651&gt;BOTT_B2,ROUND(BASE_B2+RATE_B2*($A651-BOTT_B2),0),ROUND(RATE_B1*$A651,0))))</f>
        <v/>
      </c>
      <c r="F651" s="556">
        <f>IF($A651&gt;BOTT_C4,ROUND(BASE_C4+RATE_C4*($A651-BOTT_C4),0),IF($A651&gt;BOTT_C3,ROUND(BASE_C3+RATE_C3*($A651-BOTT_C3),0),IF($A651&gt;BOTT_C2,ROUND(BASE_C2+RATE_C2*($A651-BOTT_C2),0),ROUND(RATE_C1*$A651,0))))</f>
        <v/>
      </c>
      <c r="G651" s="556">
        <f>IF($A651&gt;BOTT_D4,ROUND(BASE_D4+RATE_D4*($A651-BOTT_D4),0),IF($A651&gt;BOTT_D3,ROUND(BASE_D3+RATE_D3*($A651-BOTT_D3),0),IF($A651&gt;BOTT_D2,ROUND(BASE_D2+RATE_D2*($A651-BOTT_D2),0),ROUND(RATE_D1*$A651,0))))</f>
        <v/>
      </c>
    </row>
    <row r="652" ht="15.75" customHeight="1" s="7635">
      <c r="A652" s="625">
        <f>AVERAGE(B652,C652)</f>
        <v/>
      </c>
      <c r="B652" s="555" t="n">
        <v>29400</v>
      </c>
      <c r="C652" s="555" t="n">
        <v>29450</v>
      </c>
      <c r="D652" s="556">
        <f>IF($A652&gt;BOTT_A4,ROUND(BASE_A4+RATE_A4*($A652-BOTT_A4),0),IF($A652&gt;BOTT_A3,ROUND(BASE_A3+RATE_A3*($A652-BOTT_A3),0),IF($A652&gt;BOTT_A2,ROUND(BASE_A2+RATE_A2*($A652-BOTT_A2),0),ROUND(RATE_A1*$A652,0))))</f>
        <v/>
      </c>
      <c r="E652" s="556">
        <f>IF($A652&gt;BOTT_B4,ROUND(BASE_B4+RATE_B4*($A652-BOTT_B4),0),IF($A652&gt;BOTT_B3,ROUND(BASE_B3+RATE_B3*($A652-BOTT_B3),0),IF($A652&gt;BOTT_B2,ROUND(BASE_B2+RATE_B2*($A652-BOTT_B2),0),ROUND(RATE_B1*$A652,0))))</f>
        <v/>
      </c>
      <c r="F652" s="556">
        <f>IF($A652&gt;BOTT_C4,ROUND(BASE_C4+RATE_C4*($A652-BOTT_C4),0),IF($A652&gt;BOTT_C3,ROUND(BASE_C3+RATE_C3*($A652-BOTT_C3),0),IF($A652&gt;BOTT_C2,ROUND(BASE_C2+RATE_C2*($A652-BOTT_C2),0),ROUND(RATE_C1*$A652,0))))</f>
        <v/>
      </c>
      <c r="G652" s="556">
        <f>IF($A652&gt;BOTT_D4,ROUND(BASE_D4+RATE_D4*($A652-BOTT_D4),0),IF($A652&gt;BOTT_D3,ROUND(BASE_D3+RATE_D3*($A652-BOTT_D3),0),IF($A652&gt;BOTT_D2,ROUND(BASE_D2+RATE_D2*($A652-BOTT_D2),0),ROUND(RATE_D1*$A652,0))))</f>
        <v/>
      </c>
    </row>
    <row r="653" ht="15.75" customHeight="1" s="7635">
      <c r="A653" s="625">
        <f>AVERAGE(B653,C653)</f>
        <v/>
      </c>
      <c r="B653" s="555" t="n">
        <v>29450</v>
      </c>
      <c r="C653" s="555" t="n">
        <v>29500</v>
      </c>
      <c r="D653" s="556">
        <f>IF($A653&gt;BOTT_A4,ROUND(BASE_A4+RATE_A4*($A653-BOTT_A4),0),IF($A653&gt;BOTT_A3,ROUND(BASE_A3+RATE_A3*($A653-BOTT_A3),0),IF($A653&gt;BOTT_A2,ROUND(BASE_A2+RATE_A2*($A653-BOTT_A2),0),ROUND(RATE_A1*$A653,0))))</f>
        <v/>
      </c>
      <c r="E653" s="556">
        <f>IF($A653&gt;BOTT_B4,ROUND(BASE_B4+RATE_B4*($A653-BOTT_B4),0),IF($A653&gt;BOTT_B3,ROUND(BASE_B3+RATE_B3*($A653-BOTT_B3),0),IF($A653&gt;BOTT_B2,ROUND(BASE_B2+RATE_B2*($A653-BOTT_B2),0),ROUND(RATE_B1*$A653,0))))</f>
        <v/>
      </c>
      <c r="F653" s="556">
        <f>IF($A653&gt;BOTT_C4,ROUND(BASE_C4+RATE_C4*($A653-BOTT_C4),0),IF($A653&gt;BOTT_C3,ROUND(BASE_C3+RATE_C3*($A653-BOTT_C3),0),IF($A653&gt;BOTT_C2,ROUND(BASE_C2+RATE_C2*($A653-BOTT_C2),0),ROUND(RATE_C1*$A653,0))))</f>
        <v/>
      </c>
      <c r="G653" s="556">
        <f>IF($A653&gt;BOTT_D4,ROUND(BASE_D4+RATE_D4*($A653-BOTT_D4),0),IF($A653&gt;BOTT_D3,ROUND(BASE_D3+RATE_D3*($A653-BOTT_D3),0),IF($A653&gt;BOTT_D2,ROUND(BASE_D2+RATE_D2*($A653-BOTT_D2),0),ROUND(RATE_D1*$A653,0))))</f>
        <v/>
      </c>
    </row>
    <row r="654" ht="15.75" customHeight="1" s="7635">
      <c r="A654" s="625">
        <f>AVERAGE(B654,C654)</f>
        <v/>
      </c>
      <c r="B654" s="555" t="n">
        <v>29500</v>
      </c>
      <c r="C654" s="555" t="n">
        <v>29550</v>
      </c>
      <c r="D654" s="556">
        <f>IF($A654&gt;BOTT_A4,ROUND(BASE_A4+RATE_A4*($A654-BOTT_A4),0),IF($A654&gt;BOTT_A3,ROUND(BASE_A3+RATE_A3*($A654-BOTT_A3),0),IF($A654&gt;BOTT_A2,ROUND(BASE_A2+RATE_A2*($A654-BOTT_A2),0),ROUND(RATE_A1*$A654,0))))</f>
        <v/>
      </c>
      <c r="E654" s="556">
        <f>IF($A654&gt;BOTT_B4,ROUND(BASE_B4+RATE_B4*($A654-BOTT_B4),0),IF($A654&gt;BOTT_B3,ROUND(BASE_B3+RATE_B3*($A654-BOTT_B3),0),IF($A654&gt;BOTT_B2,ROUND(BASE_B2+RATE_B2*($A654-BOTT_B2),0),ROUND(RATE_B1*$A654,0))))</f>
        <v/>
      </c>
      <c r="F654" s="556">
        <f>IF($A654&gt;BOTT_C4,ROUND(BASE_C4+RATE_C4*($A654-BOTT_C4),0),IF($A654&gt;BOTT_C3,ROUND(BASE_C3+RATE_C3*($A654-BOTT_C3),0),IF($A654&gt;BOTT_C2,ROUND(BASE_C2+RATE_C2*($A654-BOTT_C2),0),ROUND(RATE_C1*$A654,0))))</f>
        <v/>
      </c>
      <c r="G654" s="556">
        <f>IF($A654&gt;BOTT_D4,ROUND(BASE_D4+RATE_D4*($A654-BOTT_D4),0),IF($A654&gt;BOTT_D3,ROUND(BASE_D3+RATE_D3*($A654-BOTT_D3),0),IF($A654&gt;BOTT_D2,ROUND(BASE_D2+RATE_D2*($A654-BOTT_D2),0),ROUND(RATE_D1*$A654,0))))</f>
        <v/>
      </c>
    </row>
    <row r="655" ht="15.75" customHeight="1" s="7635">
      <c r="A655" s="625">
        <f>AVERAGE(B655,C655)</f>
        <v/>
      </c>
      <c r="B655" s="555" t="n">
        <v>29550</v>
      </c>
      <c r="C655" s="555" t="n">
        <v>29600</v>
      </c>
      <c r="D655" s="556">
        <f>IF($A655&gt;BOTT_A4,ROUND(BASE_A4+RATE_A4*($A655-BOTT_A4),0),IF($A655&gt;BOTT_A3,ROUND(BASE_A3+RATE_A3*($A655-BOTT_A3),0),IF($A655&gt;BOTT_A2,ROUND(BASE_A2+RATE_A2*($A655-BOTT_A2),0),ROUND(RATE_A1*$A655,0))))</f>
        <v/>
      </c>
      <c r="E655" s="556">
        <f>IF($A655&gt;BOTT_B4,ROUND(BASE_B4+RATE_B4*($A655-BOTT_B4),0),IF($A655&gt;BOTT_B3,ROUND(BASE_B3+RATE_B3*($A655-BOTT_B3),0),IF($A655&gt;BOTT_B2,ROUND(BASE_B2+RATE_B2*($A655-BOTT_B2),0),ROUND(RATE_B1*$A655,0))))</f>
        <v/>
      </c>
      <c r="F655" s="556">
        <f>IF($A655&gt;BOTT_C4,ROUND(BASE_C4+RATE_C4*($A655-BOTT_C4),0),IF($A655&gt;BOTT_C3,ROUND(BASE_C3+RATE_C3*($A655-BOTT_C3),0),IF($A655&gt;BOTT_C2,ROUND(BASE_C2+RATE_C2*($A655-BOTT_C2),0),ROUND(RATE_C1*$A655,0))))</f>
        <v/>
      </c>
      <c r="G655" s="556">
        <f>IF($A655&gt;BOTT_D4,ROUND(BASE_D4+RATE_D4*($A655-BOTT_D4),0),IF($A655&gt;BOTT_D3,ROUND(BASE_D3+RATE_D3*($A655-BOTT_D3),0),IF($A655&gt;BOTT_D2,ROUND(BASE_D2+RATE_D2*($A655-BOTT_D2),0),ROUND(RATE_D1*$A655,0))))</f>
        <v/>
      </c>
    </row>
    <row r="656" ht="15.75" customHeight="1" s="7635">
      <c r="A656" s="625">
        <f>AVERAGE(B656,C656)</f>
        <v/>
      </c>
      <c r="B656" s="555" t="n">
        <v>29600</v>
      </c>
      <c r="C656" s="555" t="n">
        <v>29650</v>
      </c>
      <c r="D656" s="556">
        <f>IF($A656&gt;BOTT_A4,ROUND(BASE_A4+RATE_A4*($A656-BOTT_A4),0),IF($A656&gt;BOTT_A3,ROUND(BASE_A3+RATE_A3*($A656-BOTT_A3),0),IF($A656&gt;BOTT_A2,ROUND(BASE_A2+RATE_A2*($A656-BOTT_A2),0),ROUND(RATE_A1*$A656,0))))</f>
        <v/>
      </c>
      <c r="E656" s="556">
        <f>IF($A656&gt;BOTT_B4,ROUND(BASE_B4+RATE_B4*($A656-BOTT_B4),0),IF($A656&gt;BOTT_B3,ROUND(BASE_B3+RATE_B3*($A656-BOTT_B3),0),IF($A656&gt;BOTT_B2,ROUND(BASE_B2+RATE_B2*($A656-BOTT_B2),0),ROUND(RATE_B1*$A656,0))))</f>
        <v/>
      </c>
      <c r="F656" s="556">
        <f>IF($A656&gt;BOTT_C4,ROUND(BASE_C4+RATE_C4*($A656-BOTT_C4),0),IF($A656&gt;BOTT_C3,ROUND(BASE_C3+RATE_C3*($A656-BOTT_C3),0),IF($A656&gt;BOTT_C2,ROUND(BASE_C2+RATE_C2*($A656-BOTT_C2),0),ROUND(RATE_C1*$A656,0))))</f>
        <v/>
      </c>
      <c r="G656" s="556">
        <f>IF($A656&gt;BOTT_D4,ROUND(BASE_D4+RATE_D4*($A656-BOTT_D4),0),IF($A656&gt;BOTT_D3,ROUND(BASE_D3+RATE_D3*($A656-BOTT_D3),0),IF($A656&gt;BOTT_D2,ROUND(BASE_D2+RATE_D2*($A656-BOTT_D2),0),ROUND(RATE_D1*$A656,0))))</f>
        <v/>
      </c>
    </row>
    <row r="657" ht="15.75" customHeight="1" s="7635">
      <c r="A657" s="625">
        <f>AVERAGE(B657,C657)</f>
        <v/>
      </c>
      <c r="B657" s="555" t="n">
        <v>29650</v>
      </c>
      <c r="C657" s="555" t="n">
        <v>29700</v>
      </c>
      <c r="D657" s="556">
        <f>IF($A657&gt;BOTT_A4,ROUND(BASE_A4+RATE_A4*($A657-BOTT_A4),0),IF($A657&gt;BOTT_A3,ROUND(BASE_A3+RATE_A3*($A657-BOTT_A3),0),IF($A657&gt;BOTT_A2,ROUND(BASE_A2+RATE_A2*($A657-BOTT_A2),0),ROUND(RATE_A1*$A657,0))))</f>
        <v/>
      </c>
      <c r="E657" s="556">
        <f>IF($A657&gt;BOTT_B4,ROUND(BASE_B4+RATE_B4*($A657-BOTT_B4),0),IF($A657&gt;BOTT_B3,ROUND(BASE_B3+RATE_B3*($A657-BOTT_B3),0),IF($A657&gt;BOTT_B2,ROUND(BASE_B2+RATE_B2*($A657-BOTT_B2),0),ROUND(RATE_B1*$A657,0))))</f>
        <v/>
      </c>
      <c r="F657" s="556">
        <f>IF($A657&gt;BOTT_C4,ROUND(BASE_C4+RATE_C4*($A657-BOTT_C4),0),IF($A657&gt;BOTT_C3,ROUND(BASE_C3+RATE_C3*($A657-BOTT_C3),0),IF($A657&gt;BOTT_C2,ROUND(BASE_C2+RATE_C2*($A657-BOTT_C2),0),ROUND(RATE_C1*$A657,0))))</f>
        <v/>
      </c>
      <c r="G657" s="556">
        <f>IF($A657&gt;BOTT_D4,ROUND(BASE_D4+RATE_D4*($A657-BOTT_D4),0),IF($A657&gt;BOTT_D3,ROUND(BASE_D3+RATE_D3*($A657-BOTT_D3),0),IF($A657&gt;BOTT_D2,ROUND(BASE_D2+RATE_D2*($A657-BOTT_D2),0),ROUND(RATE_D1*$A657,0))))</f>
        <v/>
      </c>
    </row>
    <row r="658" ht="15.75" customHeight="1" s="7635">
      <c r="A658" s="625">
        <f>AVERAGE(B658,C658)</f>
        <v/>
      </c>
      <c r="B658" s="555" t="n">
        <v>29700</v>
      </c>
      <c r="C658" s="555" t="n">
        <v>29750</v>
      </c>
      <c r="D658" s="556">
        <f>IF($A658&gt;BOTT_A4,ROUND(BASE_A4+RATE_A4*($A658-BOTT_A4),0),IF($A658&gt;BOTT_A3,ROUND(BASE_A3+RATE_A3*($A658-BOTT_A3),0),IF($A658&gt;BOTT_A2,ROUND(BASE_A2+RATE_A2*($A658-BOTT_A2),0),ROUND(RATE_A1*$A658,0))))</f>
        <v/>
      </c>
      <c r="E658" s="556">
        <f>IF($A658&gt;BOTT_B4,ROUND(BASE_B4+RATE_B4*($A658-BOTT_B4),0),IF($A658&gt;BOTT_B3,ROUND(BASE_B3+RATE_B3*($A658-BOTT_B3),0),IF($A658&gt;BOTT_B2,ROUND(BASE_B2+RATE_B2*($A658-BOTT_B2),0),ROUND(RATE_B1*$A658,0))))</f>
        <v/>
      </c>
      <c r="F658" s="556">
        <f>IF($A658&gt;BOTT_C4,ROUND(BASE_C4+RATE_C4*($A658-BOTT_C4),0),IF($A658&gt;BOTT_C3,ROUND(BASE_C3+RATE_C3*($A658-BOTT_C3),0),IF($A658&gt;BOTT_C2,ROUND(BASE_C2+RATE_C2*($A658-BOTT_C2),0),ROUND(RATE_C1*$A658,0))))</f>
        <v/>
      </c>
      <c r="G658" s="556">
        <f>IF($A658&gt;BOTT_D4,ROUND(BASE_D4+RATE_D4*($A658-BOTT_D4),0),IF($A658&gt;BOTT_D3,ROUND(BASE_D3+RATE_D3*($A658-BOTT_D3),0),IF($A658&gt;BOTT_D2,ROUND(BASE_D2+RATE_D2*($A658-BOTT_D2),0),ROUND(RATE_D1*$A658,0))))</f>
        <v/>
      </c>
    </row>
    <row r="659" ht="15.75" customHeight="1" s="7635">
      <c r="A659" s="625">
        <f>AVERAGE(B659,C659)</f>
        <v/>
      </c>
      <c r="B659" s="555" t="n">
        <v>29750</v>
      </c>
      <c r="C659" s="555" t="n">
        <v>29800</v>
      </c>
      <c r="D659" s="556">
        <f>IF($A659&gt;BOTT_A4,ROUND(BASE_A4+RATE_A4*($A659-BOTT_A4),0),IF($A659&gt;BOTT_A3,ROUND(BASE_A3+RATE_A3*($A659-BOTT_A3),0),IF($A659&gt;BOTT_A2,ROUND(BASE_A2+RATE_A2*($A659-BOTT_A2),0),ROUND(RATE_A1*$A659,0))))</f>
        <v/>
      </c>
      <c r="E659" s="556">
        <f>IF($A659&gt;BOTT_B4,ROUND(BASE_B4+RATE_B4*($A659-BOTT_B4),0),IF($A659&gt;BOTT_B3,ROUND(BASE_B3+RATE_B3*($A659-BOTT_B3),0),IF($A659&gt;BOTT_B2,ROUND(BASE_B2+RATE_B2*($A659-BOTT_B2),0),ROUND(RATE_B1*$A659,0))))</f>
        <v/>
      </c>
      <c r="F659" s="556">
        <f>IF($A659&gt;BOTT_C4,ROUND(BASE_C4+RATE_C4*($A659-BOTT_C4),0),IF($A659&gt;BOTT_C3,ROUND(BASE_C3+RATE_C3*($A659-BOTT_C3),0),IF($A659&gt;BOTT_C2,ROUND(BASE_C2+RATE_C2*($A659-BOTT_C2),0),ROUND(RATE_C1*$A659,0))))</f>
        <v/>
      </c>
      <c r="G659" s="556">
        <f>IF($A659&gt;BOTT_D4,ROUND(BASE_D4+RATE_D4*($A659-BOTT_D4),0),IF($A659&gt;BOTT_D3,ROUND(BASE_D3+RATE_D3*($A659-BOTT_D3),0),IF($A659&gt;BOTT_D2,ROUND(BASE_D2+RATE_D2*($A659-BOTT_D2),0),ROUND(RATE_D1*$A659,0))))</f>
        <v/>
      </c>
    </row>
    <row r="660" ht="15.75" customHeight="1" s="7635">
      <c r="A660" s="625">
        <f>AVERAGE(B660,C660)</f>
        <v/>
      </c>
      <c r="B660" s="555" t="n">
        <v>29800</v>
      </c>
      <c r="C660" s="555" t="n">
        <v>29850</v>
      </c>
      <c r="D660" s="556">
        <f>IF($A660&gt;BOTT_A4,ROUND(BASE_A4+RATE_A4*($A660-BOTT_A4),0),IF($A660&gt;BOTT_A3,ROUND(BASE_A3+RATE_A3*($A660-BOTT_A3),0),IF($A660&gt;BOTT_A2,ROUND(BASE_A2+RATE_A2*($A660-BOTT_A2),0),ROUND(RATE_A1*$A660,0))))</f>
        <v/>
      </c>
      <c r="E660" s="556">
        <f>IF($A660&gt;BOTT_B4,ROUND(BASE_B4+RATE_B4*($A660-BOTT_B4),0),IF($A660&gt;BOTT_B3,ROUND(BASE_B3+RATE_B3*($A660-BOTT_B3),0),IF($A660&gt;BOTT_B2,ROUND(BASE_B2+RATE_B2*($A660-BOTT_B2),0),ROUND(RATE_B1*$A660,0))))</f>
        <v/>
      </c>
      <c r="F660" s="556">
        <f>IF($A660&gt;BOTT_C4,ROUND(BASE_C4+RATE_C4*($A660-BOTT_C4),0),IF($A660&gt;BOTT_C3,ROUND(BASE_C3+RATE_C3*($A660-BOTT_C3),0),IF($A660&gt;BOTT_C2,ROUND(BASE_C2+RATE_C2*($A660-BOTT_C2),0),ROUND(RATE_C1*$A660,0))))</f>
        <v/>
      </c>
      <c r="G660" s="556">
        <f>IF($A660&gt;BOTT_D4,ROUND(BASE_D4+RATE_D4*($A660-BOTT_D4),0),IF($A660&gt;BOTT_D3,ROUND(BASE_D3+RATE_D3*($A660-BOTT_D3),0),IF($A660&gt;BOTT_D2,ROUND(BASE_D2+RATE_D2*($A660-BOTT_D2),0),ROUND(RATE_D1*$A660,0))))</f>
        <v/>
      </c>
    </row>
    <row r="661" ht="15.75" customHeight="1" s="7635">
      <c r="A661" s="625">
        <f>AVERAGE(B661,C661)</f>
        <v/>
      </c>
      <c r="B661" s="555" t="n">
        <v>29850</v>
      </c>
      <c r="C661" s="555" t="n">
        <v>29900</v>
      </c>
      <c r="D661" s="556">
        <f>IF($A661&gt;BOTT_A4,ROUND(BASE_A4+RATE_A4*($A661-BOTT_A4),0),IF($A661&gt;BOTT_A3,ROUND(BASE_A3+RATE_A3*($A661-BOTT_A3),0),IF($A661&gt;BOTT_A2,ROUND(BASE_A2+RATE_A2*($A661-BOTT_A2),0),ROUND(RATE_A1*$A661,0))))</f>
        <v/>
      </c>
      <c r="E661" s="556">
        <f>IF($A661&gt;BOTT_B4,ROUND(BASE_B4+RATE_B4*($A661-BOTT_B4),0),IF($A661&gt;BOTT_B3,ROUND(BASE_B3+RATE_B3*($A661-BOTT_B3),0),IF($A661&gt;BOTT_B2,ROUND(BASE_B2+RATE_B2*($A661-BOTT_B2),0),ROUND(RATE_B1*$A661,0))))</f>
        <v/>
      </c>
      <c r="F661" s="556">
        <f>IF($A661&gt;BOTT_C4,ROUND(BASE_C4+RATE_C4*($A661-BOTT_C4),0),IF($A661&gt;BOTT_C3,ROUND(BASE_C3+RATE_C3*($A661-BOTT_C3),0),IF($A661&gt;BOTT_C2,ROUND(BASE_C2+RATE_C2*($A661-BOTT_C2),0),ROUND(RATE_C1*$A661,0))))</f>
        <v/>
      </c>
      <c r="G661" s="556">
        <f>IF($A661&gt;BOTT_D4,ROUND(BASE_D4+RATE_D4*($A661-BOTT_D4),0),IF($A661&gt;BOTT_D3,ROUND(BASE_D3+RATE_D3*($A661-BOTT_D3),0),IF($A661&gt;BOTT_D2,ROUND(BASE_D2+RATE_D2*($A661-BOTT_D2),0),ROUND(RATE_D1*$A661,0))))</f>
        <v/>
      </c>
    </row>
    <row r="662" ht="15.75" customHeight="1" s="7635">
      <c r="A662" s="625">
        <f>AVERAGE(B662,C662)</f>
        <v/>
      </c>
      <c r="B662" s="555" t="n">
        <v>29900</v>
      </c>
      <c r="C662" s="555" t="n">
        <v>29950</v>
      </c>
      <c r="D662" s="556">
        <f>IF($A662&gt;BOTT_A4,ROUND(BASE_A4+RATE_A4*($A662-BOTT_A4),0),IF($A662&gt;BOTT_A3,ROUND(BASE_A3+RATE_A3*($A662-BOTT_A3),0),IF($A662&gt;BOTT_A2,ROUND(BASE_A2+RATE_A2*($A662-BOTT_A2),0),ROUND(RATE_A1*$A662,0))))</f>
        <v/>
      </c>
      <c r="E662" s="556">
        <f>IF($A662&gt;BOTT_B4,ROUND(BASE_B4+RATE_B4*($A662-BOTT_B4),0),IF($A662&gt;BOTT_B3,ROUND(BASE_B3+RATE_B3*($A662-BOTT_B3),0),IF($A662&gt;BOTT_B2,ROUND(BASE_B2+RATE_B2*($A662-BOTT_B2),0),ROUND(RATE_B1*$A662,0))))</f>
        <v/>
      </c>
      <c r="F662" s="556">
        <f>IF($A662&gt;BOTT_C4,ROUND(BASE_C4+RATE_C4*($A662-BOTT_C4),0),IF($A662&gt;BOTT_C3,ROUND(BASE_C3+RATE_C3*($A662-BOTT_C3),0),IF($A662&gt;BOTT_C2,ROUND(BASE_C2+RATE_C2*($A662-BOTT_C2),0),ROUND(RATE_C1*$A662,0))))</f>
        <v/>
      </c>
      <c r="G662" s="556">
        <f>IF($A662&gt;BOTT_D4,ROUND(BASE_D4+RATE_D4*($A662-BOTT_D4),0),IF($A662&gt;BOTT_D3,ROUND(BASE_D3+RATE_D3*($A662-BOTT_D3),0),IF($A662&gt;BOTT_D2,ROUND(BASE_D2+RATE_D2*($A662-BOTT_D2),0),ROUND(RATE_D1*$A662,0))))</f>
        <v/>
      </c>
    </row>
    <row r="663" ht="15.75" customHeight="1" s="7635">
      <c r="A663" s="625">
        <f>AVERAGE(B663,C663)</f>
        <v/>
      </c>
      <c r="B663" s="555" t="n">
        <v>29950</v>
      </c>
      <c r="C663" s="555" t="n">
        <v>30000</v>
      </c>
      <c r="D663" s="556">
        <f>IF($A663&gt;BOTT_A4,ROUND(BASE_A4+RATE_A4*($A663-BOTT_A4),0),IF($A663&gt;BOTT_A3,ROUND(BASE_A3+RATE_A3*($A663-BOTT_A3),0),IF($A663&gt;BOTT_A2,ROUND(BASE_A2+RATE_A2*($A663-BOTT_A2),0),ROUND(RATE_A1*$A663,0))))</f>
        <v/>
      </c>
      <c r="E663" s="556">
        <f>IF($A663&gt;BOTT_B4,ROUND(BASE_B4+RATE_B4*($A663-BOTT_B4),0),IF($A663&gt;BOTT_B3,ROUND(BASE_B3+RATE_B3*($A663-BOTT_B3),0),IF($A663&gt;BOTT_B2,ROUND(BASE_B2+RATE_B2*($A663-BOTT_B2),0),ROUND(RATE_B1*$A663,0))))</f>
        <v/>
      </c>
      <c r="F663" s="556">
        <f>IF($A663&gt;BOTT_C4,ROUND(BASE_C4+RATE_C4*($A663-BOTT_C4),0),IF($A663&gt;BOTT_C3,ROUND(BASE_C3+RATE_C3*($A663-BOTT_C3),0),IF($A663&gt;BOTT_C2,ROUND(BASE_C2+RATE_C2*($A663-BOTT_C2),0),ROUND(RATE_C1*$A663,0))))</f>
        <v/>
      </c>
      <c r="G663" s="556">
        <f>IF($A663&gt;BOTT_D4,ROUND(BASE_D4+RATE_D4*($A663-BOTT_D4),0),IF($A663&gt;BOTT_D3,ROUND(BASE_D3+RATE_D3*($A663-BOTT_D3),0),IF($A663&gt;BOTT_D2,ROUND(BASE_D2+RATE_D2*($A663-BOTT_D2),0),ROUND(RATE_D1*$A663,0))))</f>
        <v/>
      </c>
    </row>
    <row r="664" ht="15.75" customHeight="1" s="7635">
      <c r="A664" s="625">
        <f>AVERAGE(B664,C664)</f>
        <v/>
      </c>
      <c r="B664" s="555" t="n">
        <v>30000</v>
      </c>
      <c r="C664" s="555" t="n">
        <v>30050</v>
      </c>
      <c r="D664" s="556">
        <f>IF($A664&gt;BOTT_A4,ROUND(BASE_A4+RATE_A4*($A664-BOTT_A4),0),IF($A664&gt;BOTT_A3,ROUND(BASE_A3+RATE_A3*($A664-BOTT_A3),0),IF($A664&gt;BOTT_A2,ROUND(BASE_A2+RATE_A2*($A664-BOTT_A2),0),ROUND(RATE_A1*$A664,0))))</f>
        <v/>
      </c>
      <c r="E664" s="556">
        <f>IF($A664&gt;BOTT_B4,ROUND(BASE_B4+RATE_B4*($A664-BOTT_B4),0),IF($A664&gt;BOTT_B3,ROUND(BASE_B3+RATE_B3*($A664-BOTT_B3),0),IF($A664&gt;BOTT_B2,ROUND(BASE_B2+RATE_B2*($A664-BOTT_B2),0),ROUND(RATE_B1*$A664,0))))</f>
        <v/>
      </c>
      <c r="F664" s="556">
        <f>IF($A664&gt;BOTT_C4,ROUND(BASE_C4+RATE_C4*($A664-BOTT_C4),0),IF($A664&gt;BOTT_C3,ROUND(BASE_C3+RATE_C3*($A664-BOTT_C3),0),IF($A664&gt;BOTT_C2,ROUND(BASE_C2+RATE_C2*($A664-BOTT_C2),0),ROUND(RATE_C1*$A664,0))))</f>
        <v/>
      </c>
      <c r="G664" s="556">
        <f>IF($A664&gt;BOTT_D4,ROUND(BASE_D4+RATE_D4*($A664-BOTT_D4),0),IF($A664&gt;BOTT_D3,ROUND(BASE_D3+RATE_D3*($A664-BOTT_D3),0),IF($A664&gt;BOTT_D2,ROUND(BASE_D2+RATE_D2*($A664-BOTT_D2),0),ROUND(RATE_D1*$A664,0))))</f>
        <v/>
      </c>
    </row>
    <row r="665" ht="15.75" customHeight="1" s="7635">
      <c r="A665" s="625">
        <f>AVERAGE(B665,C665)</f>
        <v/>
      </c>
      <c r="B665" s="555" t="n">
        <v>30050</v>
      </c>
      <c r="C665" s="555" t="n">
        <v>30100</v>
      </c>
      <c r="D665" s="556">
        <f>IF($A665&gt;BOTT_A4,ROUND(BASE_A4+RATE_A4*($A665-BOTT_A4),0),IF($A665&gt;BOTT_A3,ROUND(BASE_A3+RATE_A3*($A665-BOTT_A3),0),IF($A665&gt;BOTT_A2,ROUND(BASE_A2+RATE_A2*($A665-BOTT_A2),0),ROUND(RATE_A1*$A665,0))))</f>
        <v/>
      </c>
      <c r="E665" s="556">
        <f>IF($A665&gt;BOTT_B4,ROUND(BASE_B4+RATE_B4*($A665-BOTT_B4),0),IF($A665&gt;BOTT_B3,ROUND(BASE_B3+RATE_B3*($A665-BOTT_B3),0),IF($A665&gt;BOTT_B2,ROUND(BASE_B2+RATE_B2*($A665-BOTT_B2),0),ROUND(RATE_B1*$A665,0))))</f>
        <v/>
      </c>
      <c r="F665" s="556">
        <f>IF($A665&gt;BOTT_C4,ROUND(BASE_C4+RATE_C4*($A665-BOTT_C4),0),IF($A665&gt;BOTT_C3,ROUND(BASE_C3+RATE_C3*($A665-BOTT_C3),0),IF($A665&gt;BOTT_C2,ROUND(BASE_C2+RATE_C2*($A665-BOTT_C2),0),ROUND(RATE_C1*$A665,0))))</f>
        <v/>
      </c>
      <c r="G665" s="556">
        <f>IF($A665&gt;BOTT_D4,ROUND(BASE_D4+RATE_D4*($A665-BOTT_D4),0),IF($A665&gt;BOTT_D3,ROUND(BASE_D3+RATE_D3*($A665-BOTT_D3),0),IF($A665&gt;BOTT_D2,ROUND(BASE_D2+RATE_D2*($A665-BOTT_D2),0),ROUND(RATE_D1*$A665,0))))</f>
        <v/>
      </c>
    </row>
    <row r="666" ht="15.75" customHeight="1" s="7635">
      <c r="A666" s="625">
        <f>AVERAGE(B666,C666)</f>
        <v/>
      </c>
      <c r="B666" s="555" t="n">
        <v>30100</v>
      </c>
      <c r="C666" s="555" t="n">
        <v>30150</v>
      </c>
      <c r="D666" s="556">
        <f>IF($A666&gt;BOTT_A4,ROUND(BASE_A4+RATE_A4*($A666-BOTT_A4),0),IF($A666&gt;BOTT_A3,ROUND(BASE_A3+RATE_A3*($A666-BOTT_A3),0),IF($A666&gt;BOTT_A2,ROUND(BASE_A2+RATE_A2*($A666-BOTT_A2),0),ROUND(RATE_A1*$A666,0))))</f>
        <v/>
      </c>
      <c r="E666" s="556">
        <f>IF($A666&gt;BOTT_B4,ROUND(BASE_B4+RATE_B4*($A666-BOTT_B4),0),IF($A666&gt;BOTT_B3,ROUND(BASE_B3+RATE_B3*($A666-BOTT_B3),0),IF($A666&gt;BOTT_B2,ROUND(BASE_B2+RATE_B2*($A666-BOTT_B2),0),ROUND(RATE_B1*$A666,0))))</f>
        <v/>
      </c>
      <c r="F666" s="556">
        <f>IF($A666&gt;BOTT_C4,ROUND(BASE_C4+RATE_C4*($A666-BOTT_C4),0),IF($A666&gt;BOTT_C3,ROUND(BASE_C3+RATE_C3*($A666-BOTT_C3),0),IF($A666&gt;BOTT_C2,ROUND(BASE_C2+RATE_C2*($A666-BOTT_C2),0),ROUND(RATE_C1*$A666,0))))</f>
        <v/>
      </c>
      <c r="G666" s="556">
        <f>IF($A666&gt;BOTT_D4,ROUND(BASE_D4+RATE_D4*($A666-BOTT_D4),0),IF($A666&gt;BOTT_D3,ROUND(BASE_D3+RATE_D3*($A666-BOTT_D3),0),IF($A666&gt;BOTT_D2,ROUND(BASE_D2+RATE_D2*($A666-BOTT_D2),0),ROUND(RATE_D1*$A666,0))))</f>
        <v/>
      </c>
    </row>
    <row r="667" ht="15.75" customHeight="1" s="7635">
      <c r="A667" s="625">
        <f>AVERAGE(B667,C667)</f>
        <v/>
      </c>
      <c r="B667" s="555" t="n">
        <v>30150</v>
      </c>
      <c r="C667" s="555" t="n">
        <v>30200</v>
      </c>
      <c r="D667" s="556">
        <f>IF($A667&gt;BOTT_A4,ROUND(BASE_A4+RATE_A4*($A667-BOTT_A4),0),IF($A667&gt;BOTT_A3,ROUND(BASE_A3+RATE_A3*($A667-BOTT_A3),0),IF($A667&gt;BOTT_A2,ROUND(BASE_A2+RATE_A2*($A667-BOTT_A2),0),ROUND(RATE_A1*$A667,0))))</f>
        <v/>
      </c>
      <c r="E667" s="556">
        <f>IF($A667&gt;BOTT_B4,ROUND(BASE_B4+RATE_B4*($A667-BOTT_B4),0),IF($A667&gt;BOTT_B3,ROUND(BASE_B3+RATE_B3*($A667-BOTT_B3),0),IF($A667&gt;BOTT_B2,ROUND(BASE_B2+RATE_B2*($A667-BOTT_B2),0),ROUND(RATE_B1*$A667,0))))</f>
        <v/>
      </c>
      <c r="F667" s="556">
        <f>IF($A667&gt;BOTT_C4,ROUND(BASE_C4+RATE_C4*($A667-BOTT_C4),0),IF($A667&gt;BOTT_C3,ROUND(BASE_C3+RATE_C3*($A667-BOTT_C3),0),IF($A667&gt;BOTT_C2,ROUND(BASE_C2+RATE_C2*($A667-BOTT_C2),0),ROUND(RATE_C1*$A667,0))))</f>
        <v/>
      </c>
      <c r="G667" s="556">
        <f>IF($A667&gt;BOTT_D4,ROUND(BASE_D4+RATE_D4*($A667-BOTT_D4),0),IF($A667&gt;BOTT_D3,ROUND(BASE_D3+RATE_D3*($A667-BOTT_D3),0),IF($A667&gt;BOTT_D2,ROUND(BASE_D2+RATE_D2*($A667-BOTT_D2),0),ROUND(RATE_D1*$A667,0))))</f>
        <v/>
      </c>
    </row>
    <row r="668" ht="15.75" customHeight="1" s="7635">
      <c r="A668" s="625">
        <f>AVERAGE(B668,C668)</f>
        <v/>
      </c>
      <c r="B668" s="555" t="n">
        <v>30200</v>
      </c>
      <c r="C668" s="555" t="n">
        <v>30250</v>
      </c>
      <c r="D668" s="556">
        <f>IF($A668&gt;BOTT_A4,ROUND(BASE_A4+RATE_A4*($A668-BOTT_A4),0),IF($A668&gt;BOTT_A3,ROUND(BASE_A3+RATE_A3*($A668-BOTT_A3),0),IF($A668&gt;BOTT_A2,ROUND(BASE_A2+RATE_A2*($A668-BOTT_A2),0),ROUND(RATE_A1*$A668,0))))</f>
        <v/>
      </c>
      <c r="E668" s="556">
        <f>IF($A668&gt;BOTT_B4,ROUND(BASE_B4+RATE_B4*($A668-BOTT_B4),0),IF($A668&gt;BOTT_B3,ROUND(BASE_B3+RATE_B3*($A668-BOTT_B3),0),IF($A668&gt;BOTT_B2,ROUND(BASE_B2+RATE_B2*($A668-BOTT_B2),0),ROUND(RATE_B1*$A668,0))))</f>
        <v/>
      </c>
      <c r="F668" s="556">
        <f>IF($A668&gt;BOTT_C4,ROUND(BASE_C4+RATE_C4*($A668-BOTT_C4),0),IF($A668&gt;BOTT_C3,ROUND(BASE_C3+RATE_C3*($A668-BOTT_C3),0),IF($A668&gt;BOTT_C2,ROUND(BASE_C2+RATE_C2*($A668-BOTT_C2),0),ROUND(RATE_C1*$A668,0))))</f>
        <v/>
      </c>
      <c r="G668" s="556">
        <f>IF($A668&gt;BOTT_D4,ROUND(BASE_D4+RATE_D4*($A668-BOTT_D4),0),IF($A668&gt;BOTT_D3,ROUND(BASE_D3+RATE_D3*($A668-BOTT_D3),0),IF($A668&gt;BOTT_D2,ROUND(BASE_D2+RATE_D2*($A668-BOTT_D2),0),ROUND(RATE_D1*$A668,0))))</f>
        <v/>
      </c>
    </row>
    <row r="669" ht="15.75" customHeight="1" s="7635">
      <c r="A669" s="625">
        <f>AVERAGE(B669,C669)</f>
        <v/>
      </c>
      <c r="B669" s="555" t="n">
        <v>30250</v>
      </c>
      <c r="C669" s="555" t="n">
        <v>30300</v>
      </c>
      <c r="D669" s="556">
        <f>IF($A669&gt;BOTT_A4,ROUND(BASE_A4+RATE_A4*($A669-BOTT_A4),0),IF($A669&gt;BOTT_A3,ROUND(BASE_A3+RATE_A3*($A669-BOTT_A3),0),IF($A669&gt;BOTT_A2,ROUND(BASE_A2+RATE_A2*($A669-BOTT_A2),0),ROUND(RATE_A1*$A669,0))))</f>
        <v/>
      </c>
      <c r="E669" s="556">
        <f>IF($A669&gt;BOTT_B4,ROUND(BASE_B4+RATE_B4*($A669-BOTT_B4),0),IF($A669&gt;BOTT_B3,ROUND(BASE_B3+RATE_B3*($A669-BOTT_B3),0),IF($A669&gt;BOTT_B2,ROUND(BASE_B2+RATE_B2*($A669-BOTT_B2),0),ROUND(RATE_B1*$A669,0))))</f>
        <v/>
      </c>
      <c r="F669" s="556">
        <f>IF($A669&gt;BOTT_C4,ROUND(BASE_C4+RATE_C4*($A669-BOTT_C4),0),IF($A669&gt;BOTT_C3,ROUND(BASE_C3+RATE_C3*($A669-BOTT_C3),0),IF($A669&gt;BOTT_C2,ROUND(BASE_C2+RATE_C2*($A669-BOTT_C2),0),ROUND(RATE_C1*$A669,0))))</f>
        <v/>
      </c>
      <c r="G669" s="556">
        <f>IF($A669&gt;BOTT_D4,ROUND(BASE_D4+RATE_D4*($A669-BOTT_D4),0),IF($A669&gt;BOTT_D3,ROUND(BASE_D3+RATE_D3*($A669-BOTT_D3),0),IF($A669&gt;BOTT_D2,ROUND(BASE_D2+RATE_D2*($A669-BOTT_D2),0),ROUND(RATE_D1*$A669,0))))</f>
        <v/>
      </c>
    </row>
    <row r="670" ht="15.75" customHeight="1" s="7635">
      <c r="A670" s="625">
        <f>AVERAGE(B670,C670)</f>
        <v/>
      </c>
      <c r="B670" s="555" t="n">
        <v>30300</v>
      </c>
      <c r="C670" s="555" t="n">
        <v>30350</v>
      </c>
      <c r="D670" s="556">
        <f>IF($A670&gt;BOTT_A4,ROUND(BASE_A4+RATE_A4*($A670-BOTT_A4),0),IF($A670&gt;BOTT_A3,ROUND(BASE_A3+RATE_A3*($A670-BOTT_A3),0),IF($A670&gt;BOTT_A2,ROUND(BASE_A2+RATE_A2*($A670-BOTT_A2),0),ROUND(RATE_A1*$A670,0))))</f>
        <v/>
      </c>
      <c r="E670" s="556">
        <f>IF($A670&gt;BOTT_B4,ROUND(BASE_B4+RATE_B4*($A670-BOTT_B4),0),IF($A670&gt;BOTT_B3,ROUND(BASE_B3+RATE_B3*($A670-BOTT_B3),0),IF($A670&gt;BOTT_B2,ROUND(BASE_B2+RATE_B2*($A670-BOTT_B2),0),ROUND(RATE_B1*$A670,0))))</f>
        <v/>
      </c>
      <c r="F670" s="556">
        <f>IF($A670&gt;BOTT_C4,ROUND(BASE_C4+RATE_C4*($A670-BOTT_C4),0),IF($A670&gt;BOTT_C3,ROUND(BASE_C3+RATE_C3*($A670-BOTT_C3),0),IF($A670&gt;BOTT_C2,ROUND(BASE_C2+RATE_C2*($A670-BOTT_C2),0),ROUND(RATE_C1*$A670,0))))</f>
        <v/>
      </c>
      <c r="G670" s="556">
        <f>IF($A670&gt;BOTT_D4,ROUND(BASE_D4+RATE_D4*($A670-BOTT_D4),0),IF($A670&gt;BOTT_D3,ROUND(BASE_D3+RATE_D3*($A670-BOTT_D3),0),IF($A670&gt;BOTT_D2,ROUND(BASE_D2+RATE_D2*($A670-BOTT_D2),0),ROUND(RATE_D1*$A670,0))))</f>
        <v/>
      </c>
    </row>
    <row r="671" ht="15.75" customHeight="1" s="7635">
      <c r="A671" s="625">
        <f>AVERAGE(B671,C671)</f>
        <v/>
      </c>
      <c r="B671" s="555" t="n">
        <v>30350</v>
      </c>
      <c r="C671" s="555" t="n">
        <v>30400</v>
      </c>
      <c r="D671" s="556">
        <f>IF($A671&gt;BOTT_A4,ROUND(BASE_A4+RATE_A4*($A671-BOTT_A4),0),IF($A671&gt;BOTT_A3,ROUND(BASE_A3+RATE_A3*($A671-BOTT_A3),0),IF($A671&gt;BOTT_A2,ROUND(BASE_A2+RATE_A2*($A671-BOTT_A2),0),ROUND(RATE_A1*$A671,0))))</f>
        <v/>
      </c>
      <c r="E671" s="556">
        <f>IF($A671&gt;BOTT_B4,ROUND(BASE_B4+RATE_B4*($A671-BOTT_B4),0),IF($A671&gt;BOTT_B3,ROUND(BASE_B3+RATE_B3*($A671-BOTT_B3),0),IF($A671&gt;BOTT_B2,ROUND(BASE_B2+RATE_B2*($A671-BOTT_B2),0),ROUND(RATE_B1*$A671,0))))</f>
        <v/>
      </c>
      <c r="F671" s="556">
        <f>IF($A671&gt;BOTT_C4,ROUND(BASE_C4+RATE_C4*($A671-BOTT_C4),0),IF($A671&gt;BOTT_C3,ROUND(BASE_C3+RATE_C3*($A671-BOTT_C3),0),IF($A671&gt;BOTT_C2,ROUND(BASE_C2+RATE_C2*($A671-BOTT_C2),0),ROUND(RATE_C1*$A671,0))))</f>
        <v/>
      </c>
      <c r="G671" s="556">
        <f>IF($A671&gt;BOTT_D4,ROUND(BASE_D4+RATE_D4*($A671-BOTT_D4),0),IF($A671&gt;BOTT_D3,ROUND(BASE_D3+RATE_D3*($A671-BOTT_D3),0),IF($A671&gt;BOTT_D2,ROUND(BASE_D2+RATE_D2*($A671-BOTT_D2),0),ROUND(RATE_D1*$A671,0))))</f>
        <v/>
      </c>
    </row>
    <row r="672" ht="15.75" customHeight="1" s="7635">
      <c r="A672" s="625">
        <f>AVERAGE(B672,C672)</f>
        <v/>
      </c>
      <c r="B672" s="555" t="n">
        <v>30400</v>
      </c>
      <c r="C672" s="555" t="n">
        <v>30450</v>
      </c>
      <c r="D672" s="556">
        <f>IF($A672&gt;BOTT_A4,ROUND(BASE_A4+RATE_A4*($A672-BOTT_A4),0),IF($A672&gt;BOTT_A3,ROUND(BASE_A3+RATE_A3*($A672-BOTT_A3),0),IF($A672&gt;BOTT_A2,ROUND(BASE_A2+RATE_A2*($A672-BOTT_A2),0),ROUND(RATE_A1*$A672,0))))</f>
        <v/>
      </c>
      <c r="E672" s="556">
        <f>IF($A672&gt;BOTT_B4,ROUND(BASE_B4+RATE_B4*($A672-BOTT_B4),0),IF($A672&gt;BOTT_B3,ROUND(BASE_B3+RATE_B3*($A672-BOTT_B3),0),IF($A672&gt;BOTT_B2,ROUND(BASE_B2+RATE_B2*($A672-BOTT_B2),0),ROUND(RATE_B1*$A672,0))))</f>
        <v/>
      </c>
      <c r="F672" s="556">
        <f>IF($A672&gt;BOTT_C4,ROUND(BASE_C4+RATE_C4*($A672-BOTT_C4),0),IF($A672&gt;BOTT_C3,ROUND(BASE_C3+RATE_C3*($A672-BOTT_C3),0),IF($A672&gt;BOTT_C2,ROUND(BASE_C2+RATE_C2*($A672-BOTT_C2),0),ROUND(RATE_C1*$A672,0))))</f>
        <v/>
      </c>
      <c r="G672" s="556">
        <f>IF($A672&gt;BOTT_D4,ROUND(BASE_D4+RATE_D4*($A672-BOTT_D4),0),IF($A672&gt;BOTT_D3,ROUND(BASE_D3+RATE_D3*($A672-BOTT_D3),0),IF($A672&gt;BOTT_D2,ROUND(BASE_D2+RATE_D2*($A672-BOTT_D2),0),ROUND(RATE_D1*$A672,0))))</f>
        <v/>
      </c>
    </row>
    <row r="673" ht="15.75" customHeight="1" s="7635">
      <c r="A673" s="625">
        <f>AVERAGE(B673,C673)</f>
        <v/>
      </c>
      <c r="B673" s="555" t="n">
        <v>30450</v>
      </c>
      <c r="C673" s="555" t="n">
        <v>30500</v>
      </c>
      <c r="D673" s="556">
        <f>IF($A673&gt;BOTT_A4,ROUND(BASE_A4+RATE_A4*($A673-BOTT_A4),0),IF($A673&gt;BOTT_A3,ROUND(BASE_A3+RATE_A3*($A673-BOTT_A3),0),IF($A673&gt;BOTT_A2,ROUND(BASE_A2+RATE_A2*($A673-BOTT_A2),0),ROUND(RATE_A1*$A673,0))))</f>
        <v/>
      </c>
      <c r="E673" s="556">
        <f>IF($A673&gt;BOTT_B4,ROUND(BASE_B4+RATE_B4*($A673-BOTT_B4),0),IF($A673&gt;BOTT_B3,ROUND(BASE_B3+RATE_B3*($A673-BOTT_B3),0),IF($A673&gt;BOTT_B2,ROUND(BASE_B2+RATE_B2*($A673-BOTT_B2),0),ROUND(RATE_B1*$A673,0))))</f>
        <v/>
      </c>
      <c r="F673" s="556">
        <f>IF($A673&gt;BOTT_C4,ROUND(BASE_C4+RATE_C4*($A673-BOTT_C4),0),IF($A673&gt;BOTT_C3,ROUND(BASE_C3+RATE_C3*($A673-BOTT_C3),0),IF($A673&gt;BOTT_C2,ROUND(BASE_C2+RATE_C2*($A673-BOTT_C2),0),ROUND(RATE_C1*$A673,0))))</f>
        <v/>
      </c>
      <c r="G673" s="556">
        <f>IF($A673&gt;BOTT_D4,ROUND(BASE_D4+RATE_D4*($A673-BOTT_D4),0),IF($A673&gt;BOTT_D3,ROUND(BASE_D3+RATE_D3*($A673-BOTT_D3),0),IF($A673&gt;BOTT_D2,ROUND(BASE_D2+RATE_D2*($A673-BOTT_D2),0),ROUND(RATE_D1*$A673,0))))</f>
        <v/>
      </c>
    </row>
    <row r="674" ht="15.75" customHeight="1" s="7635">
      <c r="A674" s="625">
        <f>AVERAGE(B674,C674)</f>
        <v/>
      </c>
      <c r="B674" s="555" t="n">
        <v>30500</v>
      </c>
      <c r="C674" s="555" t="n">
        <v>30550</v>
      </c>
      <c r="D674" s="556">
        <f>IF($A674&gt;BOTT_A4,ROUND(BASE_A4+RATE_A4*($A674-BOTT_A4),0),IF($A674&gt;BOTT_A3,ROUND(BASE_A3+RATE_A3*($A674-BOTT_A3),0),IF($A674&gt;BOTT_A2,ROUND(BASE_A2+RATE_A2*($A674-BOTT_A2),0),ROUND(RATE_A1*$A674,0))))</f>
        <v/>
      </c>
      <c r="E674" s="556">
        <f>IF($A674&gt;BOTT_B4,ROUND(BASE_B4+RATE_B4*($A674-BOTT_B4),0),IF($A674&gt;BOTT_B3,ROUND(BASE_B3+RATE_B3*($A674-BOTT_B3),0),IF($A674&gt;BOTT_B2,ROUND(BASE_B2+RATE_B2*($A674-BOTT_B2),0),ROUND(RATE_B1*$A674,0))))</f>
        <v/>
      </c>
      <c r="F674" s="556">
        <f>IF($A674&gt;BOTT_C4,ROUND(BASE_C4+RATE_C4*($A674-BOTT_C4),0),IF($A674&gt;BOTT_C3,ROUND(BASE_C3+RATE_C3*($A674-BOTT_C3),0),IF($A674&gt;BOTT_C2,ROUND(BASE_C2+RATE_C2*($A674-BOTT_C2),0),ROUND(RATE_C1*$A674,0))))</f>
        <v/>
      </c>
      <c r="G674" s="556">
        <f>IF($A674&gt;BOTT_D4,ROUND(BASE_D4+RATE_D4*($A674-BOTT_D4),0),IF($A674&gt;BOTT_D3,ROUND(BASE_D3+RATE_D3*($A674-BOTT_D3),0),IF($A674&gt;BOTT_D2,ROUND(BASE_D2+RATE_D2*($A674-BOTT_D2),0),ROUND(RATE_D1*$A674,0))))</f>
        <v/>
      </c>
    </row>
    <row r="675" ht="15.75" customHeight="1" s="7635">
      <c r="A675" s="625">
        <f>AVERAGE(B675,C675)</f>
        <v/>
      </c>
      <c r="B675" s="555" t="n">
        <v>30550</v>
      </c>
      <c r="C675" s="555" t="n">
        <v>30600</v>
      </c>
      <c r="D675" s="556">
        <f>IF($A675&gt;BOTT_A4,ROUND(BASE_A4+RATE_A4*($A675-BOTT_A4),0),IF($A675&gt;BOTT_A3,ROUND(BASE_A3+RATE_A3*($A675-BOTT_A3),0),IF($A675&gt;BOTT_A2,ROUND(BASE_A2+RATE_A2*($A675-BOTT_A2),0),ROUND(RATE_A1*$A675,0))))</f>
        <v/>
      </c>
      <c r="E675" s="556">
        <f>IF($A675&gt;BOTT_B4,ROUND(BASE_B4+RATE_B4*($A675-BOTT_B4),0),IF($A675&gt;BOTT_B3,ROUND(BASE_B3+RATE_B3*($A675-BOTT_B3),0),IF($A675&gt;BOTT_B2,ROUND(BASE_B2+RATE_B2*($A675-BOTT_B2),0),ROUND(RATE_B1*$A675,0))))</f>
        <v/>
      </c>
      <c r="F675" s="556">
        <f>IF($A675&gt;BOTT_C4,ROUND(BASE_C4+RATE_C4*($A675-BOTT_C4),0),IF($A675&gt;BOTT_C3,ROUND(BASE_C3+RATE_C3*($A675-BOTT_C3),0),IF($A675&gt;BOTT_C2,ROUND(BASE_C2+RATE_C2*($A675-BOTT_C2),0),ROUND(RATE_C1*$A675,0))))</f>
        <v/>
      </c>
      <c r="G675" s="556">
        <f>IF($A675&gt;BOTT_D4,ROUND(BASE_D4+RATE_D4*($A675-BOTT_D4),0),IF($A675&gt;BOTT_D3,ROUND(BASE_D3+RATE_D3*($A675-BOTT_D3),0),IF($A675&gt;BOTT_D2,ROUND(BASE_D2+RATE_D2*($A675-BOTT_D2),0),ROUND(RATE_D1*$A675,0))))</f>
        <v/>
      </c>
    </row>
    <row r="676" ht="15.75" customHeight="1" s="7635">
      <c r="A676" s="625">
        <f>AVERAGE(B676,C676)</f>
        <v/>
      </c>
      <c r="B676" s="555" t="n">
        <v>30600</v>
      </c>
      <c r="C676" s="555" t="n">
        <v>30650</v>
      </c>
      <c r="D676" s="556">
        <f>IF($A676&gt;BOTT_A4,ROUND(BASE_A4+RATE_A4*($A676-BOTT_A4),0),IF($A676&gt;BOTT_A3,ROUND(BASE_A3+RATE_A3*($A676-BOTT_A3),0),IF($A676&gt;BOTT_A2,ROUND(BASE_A2+RATE_A2*($A676-BOTT_A2),0),ROUND(RATE_A1*$A676,0))))</f>
        <v/>
      </c>
      <c r="E676" s="556">
        <f>IF($A676&gt;BOTT_B4,ROUND(BASE_B4+RATE_B4*($A676-BOTT_B4),0),IF($A676&gt;BOTT_B3,ROUND(BASE_B3+RATE_B3*($A676-BOTT_B3),0),IF($A676&gt;BOTT_B2,ROUND(BASE_B2+RATE_B2*($A676-BOTT_B2),0),ROUND(RATE_B1*$A676,0))))</f>
        <v/>
      </c>
      <c r="F676" s="556">
        <f>IF($A676&gt;BOTT_C4,ROUND(BASE_C4+RATE_C4*($A676-BOTT_C4),0),IF($A676&gt;BOTT_C3,ROUND(BASE_C3+RATE_C3*($A676-BOTT_C3),0),IF($A676&gt;BOTT_C2,ROUND(BASE_C2+RATE_C2*($A676-BOTT_C2),0),ROUND(RATE_C1*$A676,0))))</f>
        <v/>
      </c>
      <c r="G676" s="556">
        <f>IF($A676&gt;BOTT_D4,ROUND(BASE_D4+RATE_D4*($A676-BOTT_D4),0),IF($A676&gt;BOTT_D3,ROUND(BASE_D3+RATE_D3*($A676-BOTT_D3),0),IF($A676&gt;BOTT_D2,ROUND(BASE_D2+RATE_D2*($A676-BOTT_D2),0),ROUND(RATE_D1*$A676,0))))</f>
        <v/>
      </c>
    </row>
    <row r="677" ht="15.75" customHeight="1" s="7635">
      <c r="A677" s="625">
        <f>AVERAGE(B677,C677)</f>
        <v/>
      </c>
      <c r="B677" s="555" t="n">
        <v>30650</v>
      </c>
      <c r="C677" s="555" t="n">
        <v>30700</v>
      </c>
      <c r="D677" s="556">
        <f>IF($A677&gt;BOTT_A4,ROUND(BASE_A4+RATE_A4*($A677-BOTT_A4),0),IF($A677&gt;BOTT_A3,ROUND(BASE_A3+RATE_A3*($A677-BOTT_A3),0),IF($A677&gt;BOTT_A2,ROUND(BASE_A2+RATE_A2*($A677-BOTT_A2),0),ROUND(RATE_A1*$A677,0))))</f>
        <v/>
      </c>
      <c r="E677" s="556">
        <f>IF($A677&gt;BOTT_B4,ROUND(BASE_B4+RATE_B4*($A677-BOTT_B4),0),IF($A677&gt;BOTT_B3,ROUND(BASE_B3+RATE_B3*($A677-BOTT_B3),0),IF($A677&gt;BOTT_B2,ROUND(BASE_B2+RATE_B2*($A677-BOTT_B2),0),ROUND(RATE_B1*$A677,0))))</f>
        <v/>
      </c>
      <c r="F677" s="556">
        <f>IF($A677&gt;BOTT_C4,ROUND(BASE_C4+RATE_C4*($A677-BOTT_C4),0),IF($A677&gt;BOTT_C3,ROUND(BASE_C3+RATE_C3*($A677-BOTT_C3),0),IF($A677&gt;BOTT_C2,ROUND(BASE_C2+RATE_C2*($A677-BOTT_C2),0),ROUND(RATE_C1*$A677,0))))</f>
        <v/>
      </c>
      <c r="G677" s="556">
        <f>IF($A677&gt;BOTT_D4,ROUND(BASE_D4+RATE_D4*($A677-BOTT_D4),0),IF($A677&gt;BOTT_D3,ROUND(BASE_D3+RATE_D3*($A677-BOTT_D3),0),IF($A677&gt;BOTT_D2,ROUND(BASE_D2+RATE_D2*($A677-BOTT_D2),0),ROUND(RATE_D1*$A677,0))))</f>
        <v/>
      </c>
    </row>
    <row r="678" ht="15.75" customHeight="1" s="7635">
      <c r="A678" s="625">
        <f>AVERAGE(B678,C678)</f>
        <v/>
      </c>
      <c r="B678" s="555" t="n">
        <v>30700</v>
      </c>
      <c r="C678" s="555" t="n">
        <v>30750</v>
      </c>
      <c r="D678" s="556">
        <f>IF($A678&gt;BOTT_A4,ROUND(BASE_A4+RATE_A4*($A678-BOTT_A4),0),IF($A678&gt;BOTT_A3,ROUND(BASE_A3+RATE_A3*($A678-BOTT_A3),0),IF($A678&gt;BOTT_A2,ROUND(BASE_A2+RATE_A2*($A678-BOTT_A2),0),ROUND(RATE_A1*$A678,0))))</f>
        <v/>
      </c>
      <c r="E678" s="556">
        <f>IF($A678&gt;BOTT_B4,ROUND(BASE_B4+RATE_B4*($A678-BOTT_B4),0),IF($A678&gt;BOTT_B3,ROUND(BASE_B3+RATE_B3*($A678-BOTT_B3),0),IF($A678&gt;BOTT_B2,ROUND(BASE_B2+RATE_B2*($A678-BOTT_B2),0),ROUND(RATE_B1*$A678,0))))</f>
        <v/>
      </c>
      <c r="F678" s="556">
        <f>IF($A678&gt;BOTT_C4,ROUND(BASE_C4+RATE_C4*($A678-BOTT_C4),0),IF($A678&gt;BOTT_C3,ROUND(BASE_C3+RATE_C3*($A678-BOTT_C3),0),IF($A678&gt;BOTT_C2,ROUND(BASE_C2+RATE_C2*($A678-BOTT_C2),0),ROUND(RATE_C1*$A678,0))))</f>
        <v/>
      </c>
      <c r="G678" s="556">
        <f>IF($A678&gt;BOTT_D4,ROUND(BASE_D4+RATE_D4*($A678-BOTT_D4),0),IF($A678&gt;BOTT_D3,ROUND(BASE_D3+RATE_D3*($A678-BOTT_D3),0),IF($A678&gt;BOTT_D2,ROUND(BASE_D2+RATE_D2*($A678-BOTT_D2),0),ROUND(RATE_D1*$A678,0))))</f>
        <v/>
      </c>
    </row>
    <row r="679" ht="15.75" customHeight="1" s="7635">
      <c r="A679" s="625">
        <f>AVERAGE(B679,C679)</f>
        <v/>
      </c>
      <c r="B679" s="555" t="n">
        <v>30750</v>
      </c>
      <c r="C679" s="555" t="n">
        <v>30800</v>
      </c>
      <c r="D679" s="556">
        <f>IF($A679&gt;BOTT_A4,ROUND(BASE_A4+RATE_A4*($A679-BOTT_A4),0),IF($A679&gt;BOTT_A3,ROUND(BASE_A3+RATE_A3*($A679-BOTT_A3),0),IF($A679&gt;BOTT_A2,ROUND(BASE_A2+RATE_A2*($A679-BOTT_A2),0),ROUND(RATE_A1*$A679,0))))</f>
        <v/>
      </c>
      <c r="E679" s="556">
        <f>IF($A679&gt;BOTT_B4,ROUND(BASE_B4+RATE_B4*($A679-BOTT_B4),0),IF($A679&gt;BOTT_B3,ROUND(BASE_B3+RATE_B3*($A679-BOTT_B3),0),IF($A679&gt;BOTT_B2,ROUND(BASE_B2+RATE_B2*($A679-BOTT_B2),0),ROUND(RATE_B1*$A679,0))))</f>
        <v/>
      </c>
      <c r="F679" s="556">
        <f>IF($A679&gt;BOTT_C4,ROUND(BASE_C4+RATE_C4*($A679-BOTT_C4),0),IF($A679&gt;BOTT_C3,ROUND(BASE_C3+RATE_C3*($A679-BOTT_C3),0),IF($A679&gt;BOTT_C2,ROUND(BASE_C2+RATE_C2*($A679-BOTT_C2),0),ROUND(RATE_C1*$A679,0))))</f>
        <v/>
      </c>
      <c r="G679" s="556">
        <f>IF($A679&gt;BOTT_D4,ROUND(BASE_D4+RATE_D4*($A679-BOTT_D4),0),IF($A679&gt;BOTT_D3,ROUND(BASE_D3+RATE_D3*($A679-BOTT_D3),0),IF($A679&gt;BOTT_D2,ROUND(BASE_D2+RATE_D2*($A679-BOTT_D2),0),ROUND(RATE_D1*$A679,0))))</f>
        <v/>
      </c>
    </row>
    <row r="680" ht="15.75" customHeight="1" s="7635">
      <c r="A680" s="625">
        <f>AVERAGE(B680,C680)</f>
        <v/>
      </c>
      <c r="B680" s="555" t="n">
        <v>30800</v>
      </c>
      <c r="C680" s="555" t="n">
        <v>30850</v>
      </c>
      <c r="D680" s="556">
        <f>IF($A680&gt;BOTT_A4,ROUND(BASE_A4+RATE_A4*($A680-BOTT_A4),0),IF($A680&gt;BOTT_A3,ROUND(BASE_A3+RATE_A3*($A680-BOTT_A3),0),IF($A680&gt;BOTT_A2,ROUND(BASE_A2+RATE_A2*($A680-BOTT_A2),0),ROUND(RATE_A1*$A680,0))))</f>
        <v/>
      </c>
      <c r="E680" s="556">
        <f>IF($A680&gt;BOTT_B4,ROUND(BASE_B4+RATE_B4*($A680-BOTT_B4),0),IF($A680&gt;BOTT_B3,ROUND(BASE_B3+RATE_B3*($A680-BOTT_B3),0),IF($A680&gt;BOTT_B2,ROUND(BASE_B2+RATE_B2*($A680-BOTT_B2),0),ROUND(RATE_B1*$A680,0))))</f>
        <v/>
      </c>
      <c r="F680" s="556">
        <f>IF($A680&gt;BOTT_C4,ROUND(BASE_C4+RATE_C4*($A680-BOTT_C4),0),IF($A680&gt;BOTT_C3,ROUND(BASE_C3+RATE_C3*($A680-BOTT_C3),0),IF($A680&gt;BOTT_C2,ROUND(BASE_C2+RATE_C2*($A680-BOTT_C2),0),ROUND(RATE_C1*$A680,0))))</f>
        <v/>
      </c>
      <c r="G680" s="556">
        <f>IF($A680&gt;BOTT_D4,ROUND(BASE_D4+RATE_D4*($A680-BOTT_D4),0),IF($A680&gt;BOTT_D3,ROUND(BASE_D3+RATE_D3*($A680-BOTT_D3),0),IF($A680&gt;BOTT_D2,ROUND(BASE_D2+RATE_D2*($A680-BOTT_D2),0),ROUND(RATE_D1*$A680,0))))</f>
        <v/>
      </c>
    </row>
    <row r="681" ht="15.75" customHeight="1" s="7635">
      <c r="A681" s="625">
        <f>AVERAGE(B681,C681)</f>
        <v/>
      </c>
      <c r="B681" s="555" t="n">
        <v>30850</v>
      </c>
      <c r="C681" s="555" t="n">
        <v>30900</v>
      </c>
      <c r="D681" s="556">
        <f>IF($A681&gt;BOTT_A4,ROUND(BASE_A4+RATE_A4*($A681-BOTT_A4),0),IF($A681&gt;BOTT_A3,ROUND(BASE_A3+RATE_A3*($A681-BOTT_A3),0),IF($A681&gt;BOTT_A2,ROUND(BASE_A2+RATE_A2*($A681-BOTT_A2),0),ROUND(RATE_A1*$A681,0))))</f>
        <v/>
      </c>
      <c r="E681" s="556">
        <f>IF($A681&gt;BOTT_B4,ROUND(BASE_B4+RATE_B4*($A681-BOTT_B4),0),IF($A681&gt;BOTT_B3,ROUND(BASE_B3+RATE_B3*($A681-BOTT_B3),0),IF($A681&gt;BOTT_B2,ROUND(BASE_B2+RATE_B2*($A681-BOTT_B2),0),ROUND(RATE_B1*$A681,0))))</f>
        <v/>
      </c>
      <c r="F681" s="556">
        <f>IF($A681&gt;BOTT_C4,ROUND(BASE_C4+RATE_C4*($A681-BOTT_C4),0),IF($A681&gt;BOTT_C3,ROUND(BASE_C3+RATE_C3*($A681-BOTT_C3),0),IF($A681&gt;BOTT_C2,ROUND(BASE_C2+RATE_C2*($A681-BOTT_C2),0),ROUND(RATE_C1*$A681,0))))</f>
        <v/>
      </c>
      <c r="G681" s="556">
        <f>IF($A681&gt;BOTT_D4,ROUND(BASE_D4+RATE_D4*($A681-BOTT_D4),0),IF($A681&gt;BOTT_D3,ROUND(BASE_D3+RATE_D3*($A681-BOTT_D3),0),IF($A681&gt;BOTT_D2,ROUND(BASE_D2+RATE_D2*($A681-BOTT_D2),0),ROUND(RATE_D1*$A681,0))))</f>
        <v/>
      </c>
    </row>
    <row r="682" ht="15.75" customHeight="1" s="7635">
      <c r="A682" s="625">
        <f>AVERAGE(B682,C682)</f>
        <v/>
      </c>
      <c r="B682" s="555" t="n">
        <v>30900</v>
      </c>
      <c r="C682" s="555" t="n">
        <v>30950</v>
      </c>
      <c r="D682" s="556">
        <f>IF($A682&gt;BOTT_A4,ROUND(BASE_A4+RATE_A4*($A682-BOTT_A4),0),IF($A682&gt;BOTT_A3,ROUND(BASE_A3+RATE_A3*($A682-BOTT_A3),0),IF($A682&gt;BOTT_A2,ROUND(BASE_A2+RATE_A2*($A682-BOTT_A2),0),ROUND(RATE_A1*$A682,0))))</f>
        <v/>
      </c>
      <c r="E682" s="556">
        <f>IF($A682&gt;BOTT_B4,ROUND(BASE_B4+RATE_B4*($A682-BOTT_B4),0),IF($A682&gt;BOTT_B3,ROUND(BASE_B3+RATE_B3*($A682-BOTT_B3),0),IF($A682&gt;BOTT_B2,ROUND(BASE_B2+RATE_B2*($A682-BOTT_B2),0),ROUND(RATE_B1*$A682,0))))</f>
        <v/>
      </c>
      <c r="F682" s="556">
        <f>IF($A682&gt;BOTT_C4,ROUND(BASE_C4+RATE_C4*($A682-BOTT_C4),0),IF($A682&gt;BOTT_C3,ROUND(BASE_C3+RATE_C3*($A682-BOTT_C3),0),IF($A682&gt;BOTT_C2,ROUND(BASE_C2+RATE_C2*($A682-BOTT_C2),0),ROUND(RATE_C1*$A682,0))))</f>
        <v/>
      </c>
      <c r="G682" s="556">
        <f>IF($A682&gt;BOTT_D4,ROUND(BASE_D4+RATE_D4*($A682-BOTT_D4),0),IF($A682&gt;BOTT_D3,ROUND(BASE_D3+RATE_D3*($A682-BOTT_D3),0),IF($A682&gt;BOTT_D2,ROUND(BASE_D2+RATE_D2*($A682-BOTT_D2),0),ROUND(RATE_D1*$A682,0))))</f>
        <v/>
      </c>
    </row>
    <row r="683" ht="15.75" customHeight="1" s="7635">
      <c r="A683" s="625">
        <f>AVERAGE(B683,C683)</f>
        <v/>
      </c>
      <c r="B683" s="555" t="n">
        <v>30950</v>
      </c>
      <c r="C683" s="555" t="n">
        <v>31000</v>
      </c>
      <c r="D683" s="556">
        <f>IF($A683&gt;BOTT_A4,ROUND(BASE_A4+RATE_A4*($A683-BOTT_A4),0),IF($A683&gt;BOTT_A3,ROUND(BASE_A3+RATE_A3*($A683-BOTT_A3),0),IF($A683&gt;BOTT_A2,ROUND(BASE_A2+RATE_A2*($A683-BOTT_A2),0),ROUND(RATE_A1*$A683,0))))</f>
        <v/>
      </c>
      <c r="E683" s="556">
        <f>IF($A683&gt;BOTT_B4,ROUND(BASE_B4+RATE_B4*($A683-BOTT_B4),0),IF($A683&gt;BOTT_B3,ROUND(BASE_B3+RATE_B3*($A683-BOTT_B3),0),IF($A683&gt;BOTT_B2,ROUND(BASE_B2+RATE_B2*($A683-BOTT_B2),0),ROUND(RATE_B1*$A683,0))))</f>
        <v/>
      </c>
      <c r="F683" s="556">
        <f>IF($A683&gt;BOTT_C4,ROUND(BASE_C4+RATE_C4*($A683-BOTT_C4),0),IF($A683&gt;BOTT_C3,ROUND(BASE_C3+RATE_C3*($A683-BOTT_C3),0),IF($A683&gt;BOTT_C2,ROUND(BASE_C2+RATE_C2*($A683-BOTT_C2),0),ROUND(RATE_C1*$A683,0))))</f>
        <v/>
      </c>
      <c r="G683" s="556">
        <f>IF($A683&gt;BOTT_D4,ROUND(BASE_D4+RATE_D4*($A683-BOTT_D4),0),IF($A683&gt;BOTT_D3,ROUND(BASE_D3+RATE_D3*($A683-BOTT_D3),0),IF($A683&gt;BOTT_D2,ROUND(BASE_D2+RATE_D2*($A683-BOTT_D2),0),ROUND(RATE_D1*$A683,0))))</f>
        <v/>
      </c>
    </row>
    <row r="684" ht="15.75" customHeight="1" s="7635">
      <c r="A684" s="625">
        <f>AVERAGE(B684,C684)</f>
        <v/>
      </c>
      <c r="B684" s="555" t="n">
        <v>31000</v>
      </c>
      <c r="C684" s="555" t="n">
        <v>31050</v>
      </c>
      <c r="D684" s="556">
        <f>IF($A684&gt;BOTT_A4,ROUND(BASE_A4+RATE_A4*($A684-BOTT_A4),0),IF($A684&gt;BOTT_A3,ROUND(BASE_A3+RATE_A3*($A684-BOTT_A3),0),IF($A684&gt;BOTT_A2,ROUND(BASE_A2+RATE_A2*($A684-BOTT_A2),0),ROUND(RATE_A1*$A684,0))))</f>
        <v/>
      </c>
      <c r="E684" s="556">
        <f>IF($A684&gt;BOTT_B4,ROUND(BASE_B4+RATE_B4*($A684-BOTT_B4),0),IF($A684&gt;BOTT_B3,ROUND(BASE_B3+RATE_B3*($A684-BOTT_B3),0),IF($A684&gt;BOTT_B2,ROUND(BASE_B2+RATE_B2*($A684-BOTT_B2),0),ROUND(RATE_B1*$A684,0))))</f>
        <v/>
      </c>
      <c r="F684" s="556">
        <f>IF($A684&gt;BOTT_C4,ROUND(BASE_C4+RATE_C4*($A684-BOTT_C4),0),IF($A684&gt;BOTT_C3,ROUND(BASE_C3+RATE_C3*($A684-BOTT_C3),0),IF($A684&gt;BOTT_C2,ROUND(BASE_C2+RATE_C2*($A684-BOTT_C2),0),ROUND(RATE_C1*$A684,0))))</f>
        <v/>
      </c>
      <c r="G684" s="556">
        <f>IF($A684&gt;BOTT_D4,ROUND(BASE_D4+RATE_D4*($A684-BOTT_D4),0),IF($A684&gt;BOTT_D3,ROUND(BASE_D3+RATE_D3*($A684-BOTT_D3),0),IF($A684&gt;BOTT_D2,ROUND(BASE_D2+RATE_D2*($A684-BOTT_D2),0),ROUND(RATE_D1*$A684,0))))</f>
        <v/>
      </c>
    </row>
    <row r="685" ht="15.75" customHeight="1" s="7635">
      <c r="A685" s="625">
        <f>AVERAGE(B685,C685)</f>
        <v/>
      </c>
      <c r="B685" s="555" t="n">
        <v>31050</v>
      </c>
      <c r="C685" s="555" t="n">
        <v>31100</v>
      </c>
      <c r="D685" s="556">
        <f>IF($A685&gt;BOTT_A4,ROUND(BASE_A4+RATE_A4*($A685-BOTT_A4),0),IF($A685&gt;BOTT_A3,ROUND(BASE_A3+RATE_A3*($A685-BOTT_A3),0),IF($A685&gt;BOTT_A2,ROUND(BASE_A2+RATE_A2*($A685-BOTT_A2),0),ROUND(RATE_A1*$A685,0))))</f>
        <v/>
      </c>
      <c r="E685" s="556">
        <f>IF($A685&gt;BOTT_B4,ROUND(BASE_B4+RATE_B4*($A685-BOTT_B4),0),IF($A685&gt;BOTT_B3,ROUND(BASE_B3+RATE_B3*($A685-BOTT_B3),0),IF($A685&gt;BOTT_B2,ROUND(BASE_B2+RATE_B2*($A685-BOTT_B2),0),ROUND(RATE_B1*$A685,0))))</f>
        <v/>
      </c>
      <c r="F685" s="556">
        <f>IF($A685&gt;BOTT_C4,ROUND(BASE_C4+RATE_C4*($A685-BOTT_C4),0),IF($A685&gt;BOTT_C3,ROUND(BASE_C3+RATE_C3*($A685-BOTT_C3),0),IF($A685&gt;BOTT_C2,ROUND(BASE_C2+RATE_C2*($A685-BOTT_C2),0),ROUND(RATE_C1*$A685,0))))</f>
        <v/>
      </c>
      <c r="G685" s="556">
        <f>IF($A685&gt;BOTT_D4,ROUND(BASE_D4+RATE_D4*($A685-BOTT_D4),0),IF($A685&gt;BOTT_D3,ROUND(BASE_D3+RATE_D3*($A685-BOTT_D3),0),IF($A685&gt;BOTT_D2,ROUND(BASE_D2+RATE_D2*($A685-BOTT_D2),0),ROUND(RATE_D1*$A685,0))))</f>
        <v/>
      </c>
    </row>
    <row r="686" ht="15.75" customHeight="1" s="7635">
      <c r="A686" s="625">
        <f>AVERAGE(B686,C686)</f>
        <v/>
      </c>
      <c r="B686" s="555" t="n">
        <v>31100</v>
      </c>
      <c r="C686" s="555" t="n">
        <v>31150</v>
      </c>
      <c r="D686" s="556">
        <f>IF($A686&gt;BOTT_A4,ROUND(BASE_A4+RATE_A4*($A686-BOTT_A4),0),IF($A686&gt;BOTT_A3,ROUND(BASE_A3+RATE_A3*($A686-BOTT_A3),0),IF($A686&gt;BOTT_A2,ROUND(BASE_A2+RATE_A2*($A686-BOTT_A2),0),ROUND(RATE_A1*$A686,0))))</f>
        <v/>
      </c>
      <c r="E686" s="556">
        <f>IF($A686&gt;BOTT_B4,ROUND(BASE_B4+RATE_B4*($A686-BOTT_B4),0),IF($A686&gt;BOTT_B3,ROUND(BASE_B3+RATE_B3*($A686-BOTT_B3),0),IF($A686&gt;BOTT_B2,ROUND(BASE_B2+RATE_B2*($A686-BOTT_B2),0),ROUND(RATE_B1*$A686,0))))</f>
        <v/>
      </c>
      <c r="F686" s="556">
        <f>IF($A686&gt;BOTT_C4,ROUND(BASE_C4+RATE_C4*($A686-BOTT_C4),0),IF($A686&gt;BOTT_C3,ROUND(BASE_C3+RATE_C3*($A686-BOTT_C3),0),IF($A686&gt;BOTT_C2,ROUND(BASE_C2+RATE_C2*($A686-BOTT_C2),0),ROUND(RATE_C1*$A686,0))))</f>
        <v/>
      </c>
      <c r="G686" s="556">
        <f>IF($A686&gt;BOTT_D4,ROUND(BASE_D4+RATE_D4*($A686-BOTT_D4),0),IF($A686&gt;BOTT_D3,ROUND(BASE_D3+RATE_D3*($A686-BOTT_D3),0),IF($A686&gt;BOTT_D2,ROUND(BASE_D2+RATE_D2*($A686-BOTT_D2),0),ROUND(RATE_D1*$A686,0))))</f>
        <v/>
      </c>
    </row>
    <row r="687" ht="15.75" customHeight="1" s="7635">
      <c r="A687" s="625">
        <f>AVERAGE(B687,C687)</f>
        <v/>
      </c>
      <c r="B687" s="555" t="n">
        <v>31150</v>
      </c>
      <c r="C687" s="555" t="n">
        <v>31200</v>
      </c>
      <c r="D687" s="556">
        <f>IF($A687&gt;BOTT_A4,ROUND(BASE_A4+RATE_A4*($A687-BOTT_A4),0),IF($A687&gt;BOTT_A3,ROUND(BASE_A3+RATE_A3*($A687-BOTT_A3),0),IF($A687&gt;BOTT_A2,ROUND(BASE_A2+RATE_A2*($A687-BOTT_A2),0),ROUND(RATE_A1*$A687,0))))</f>
        <v/>
      </c>
      <c r="E687" s="556">
        <f>IF($A687&gt;BOTT_B4,ROUND(BASE_B4+RATE_B4*($A687-BOTT_B4),0),IF($A687&gt;BOTT_B3,ROUND(BASE_B3+RATE_B3*($A687-BOTT_B3),0),IF($A687&gt;BOTT_B2,ROUND(BASE_B2+RATE_B2*($A687-BOTT_B2),0),ROUND(RATE_B1*$A687,0))))</f>
        <v/>
      </c>
      <c r="F687" s="556">
        <f>IF($A687&gt;BOTT_C4,ROUND(BASE_C4+RATE_C4*($A687-BOTT_C4),0),IF($A687&gt;BOTT_C3,ROUND(BASE_C3+RATE_C3*($A687-BOTT_C3),0),IF($A687&gt;BOTT_C2,ROUND(BASE_C2+RATE_C2*($A687-BOTT_C2),0),ROUND(RATE_C1*$A687,0))))</f>
        <v/>
      </c>
      <c r="G687" s="556">
        <f>IF($A687&gt;BOTT_D4,ROUND(BASE_D4+RATE_D4*($A687-BOTT_D4),0),IF($A687&gt;BOTT_D3,ROUND(BASE_D3+RATE_D3*($A687-BOTT_D3),0),IF($A687&gt;BOTT_D2,ROUND(BASE_D2+RATE_D2*($A687-BOTT_D2),0),ROUND(RATE_D1*$A687,0))))</f>
        <v/>
      </c>
    </row>
    <row r="688" ht="15.75" customHeight="1" s="7635">
      <c r="A688" s="625">
        <f>AVERAGE(B688,C688)</f>
        <v/>
      </c>
      <c r="B688" s="555" t="n">
        <v>31200</v>
      </c>
      <c r="C688" s="555" t="n">
        <v>31250</v>
      </c>
      <c r="D688" s="556">
        <f>IF($A688&gt;BOTT_A4,ROUND(BASE_A4+RATE_A4*($A688-BOTT_A4),0),IF($A688&gt;BOTT_A3,ROUND(BASE_A3+RATE_A3*($A688-BOTT_A3),0),IF($A688&gt;BOTT_A2,ROUND(BASE_A2+RATE_A2*($A688-BOTT_A2),0),ROUND(RATE_A1*$A688,0))))</f>
        <v/>
      </c>
      <c r="E688" s="556">
        <f>IF($A688&gt;BOTT_B4,ROUND(BASE_B4+RATE_B4*($A688-BOTT_B4),0),IF($A688&gt;BOTT_B3,ROUND(BASE_B3+RATE_B3*($A688-BOTT_B3),0),IF($A688&gt;BOTT_B2,ROUND(BASE_B2+RATE_B2*($A688-BOTT_B2),0),ROUND(RATE_B1*$A688,0))))</f>
        <v/>
      </c>
      <c r="F688" s="556">
        <f>IF($A688&gt;BOTT_C4,ROUND(BASE_C4+RATE_C4*($A688-BOTT_C4),0),IF($A688&gt;BOTT_C3,ROUND(BASE_C3+RATE_C3*($A688-BOTT_C3),0),IF($A688&gt;BOTT_C2,ROUND(BASE_C2+RATE_C2*($A688-BOTT_C2),0),ROUND(RATE_C1*$A688,0))))</f>
        <v/>
      </c>
      <c r="G688" s="556">
        <f>IF($A688&gt;BOTT_D4,ROUND(BASE_D4+RATE_D4*($A688-BOTT_D4),0),IF($A688&gt;BOTT_D3,ROUND(BASE_D3+RATE_D3*($A688-BOTT_D3),0),IF($A688&gt;BOTT_D2,ROUND(BASE_D2+RATE_D2*($A688-BOTT_D2),0),ROUND(RATE_D1*$A688,0))))</f>
        <v/>
      </c>
    </row>
    <row r="689" ht="15.75" customHeight="1" s="7635">
      <c r="A689" s="625">
        <f>AVERAGE(B689,C689)</f>
        <v/>
      </c>
      <c r="B689" s="555" t="n">
        <v>31250</v>
      </c>
      <c r="C689" s="555" t="n">
        <v>31300</v>
      </c>
      <c r="D689" s="556">
        <f>IF($A689&gt;BOTT_A4,ROUND(BASE_A4+RATE_A4*($A689-BOTT_A4),0),IF($A689&gt;BOTT_A3,ROUND(BASE_A3+RATE_A3*($A689-BOTT_A3),0),IF($A689&gt;BOTT_A2,ROUND(BASE_A2+RATE_A2*($A689-BOTT_A2),0),ROUND(RATE_A1*$A689,0))))</f>
        <v/>
      </c>
      <c r="E689" s="556">
        <f>IF($A689&gt;BOTT_B4,ROUND(BASE_B4+RATE_B4*($A689-BOTT_B4),0),IF($A689&gt;BOTT_B3,ROUND(BASE_B3+RATE_B3*($A689-BOTT_B3),0),IF($A689&gt;BOTT_B2,ROUND(BASE_B2+RATE_B2*($A689-BOTT_B2),0),ROUND(RATE_B1*$A689,0))))</f>
        <v/>
      </c>
      <c r="F689" s="556">
        <f>IF($A689&gt;BOTT_C4,ROUND(BASE_C4+RATE_C4*($A689-BOTT_C4),0),IF($A689&gt;BOTT_C3,ROUND(BASE_C3+RATE_C3*($A689-BOTT_C3),0),IF($A689&gt;BOTT_C2,ROUND(BASE_C2+RATE_C2*($A689-BOTT_C2),0),ROUND(RATE_C1*$A689,0))))</f>
        <v/>
      </c>
      <c r="G689" s="556">
        <f>IF($A689&gt;BOTT_D4,ROUND(BASE_D4+RATE_D4*($A689-BOTT_D4),0),IF($A689&gt;BOTT_D3,ROUND(BASE_D3+RATE_D3*($A689-BOTT_D3),0),IF($A689&gt;BOTT_D2,ROUND(BASE_D2+RATE_D2*($A689-BOTT_D2),0),ROUND(RATE_D1*$A689,0))))</f>
        <v/>
      </c>
    </row>
    <row r="690" ht="15.75" customHeight="1" s="7635">
      <c r="A690" s="625">
        <f>AVERAGE(B690,C690)</f>
        <v/>
      </c>
      <c r="B690" s="555" t="n">
        <v>31300</v>
      </c>
      <c r="C690" s="555" t="n">
        <v>31350</v>
      </c>
      <c r="D690" s="556">
        <f>IF($A690&gt;BOTT_A4,ROUND(BASE_A4+RATE_A4*($A690-BOTT_A4),0),IF($A690&gt;BOTT_A3,ROUND(BASE_A3+RATE_A3*($A690-BOTT_A3),0),IF($A690&gt;BOTT_A2,ROUND(BASE_A2+RATE_A2*($A690-BOTT_A2),0),ROUND(RATE_A1*$A690,0))))</f>
        <v/>
      </c>
      <c r="E690" s="556">
        <f>IF($A690&gt;BOTT_B4,ROUND(BASE_B4+RATE_B4*($A690-BOTT_B4),0),IF($A690&gt;BOTT_B3,ROUND(BASE_B3+RATE_B3*($A690-BOTT_B3),0),IF($A690&gt;BOTT_B2,ROUND(BASE_B2+RATE_B2*($A690-BOTT_B2),0),ROUND(RATE_B1*$A690,0))))</f>
        <v/>
      </c>
      <c r="F690" s="556">
        <f>IF($A690&gt;BOTT_C4,ROUND(BASE_C4+RATE_C4*($A690-BOTT_C4),0),IF($A690&gt;BOTT_C3,ROUND(BASE_C3+RATE_C3*($A690-BOTT_C3),0),IF($A690&gt;BOTT_C2,ROUND(BASE_C2+RATE_C2*($A690-BOTT_C2),0),ROUND(RATE_C1*$A690,0))))</f>
        <v/>
      </c>
      <c r="G690" s="556">
        <f>IF($A690&gt;BOTT_D4,ROUND(BASE_D4+RATE_D4*($A690-BOTT_D4),0),IF($A690&gt;BOTT_D3,ROUND(BASE_D3+RATE_D3*($A690-BOTT_D3),0),IF($A690&gt;BOTT_D2,ROUND(BASE_D2+RATE_D2*($A690-BOTT_D2),0),ROUND(RATE_D1*$A690,0))))</f>
        <v/>
      </c>
    </row>
    <row r="691" ht="15.75" customHeight="1" s="7635">
      <c r="A691" s="625">
        <f>AVERAGE(B691,C691)</f>
        <v/>
      </c>
      <c r="B691" s="555" t="n">
        <v>31350</v>
      </c>
      <c r="C691" s="555" t="n">
        <v>31400</v>
      </c>
      <c r="D691" s="556">
        <f>IF($A691&gt;BOTT_A4,ROUND(BASE_A4+RATE_A4*($A691-BOTT_A4),0),IF($A691&gt;BOTT_A3,ROUND(BASE_A3+RATE_A3*($A691-BOTT_A3),0),IF($A691&gt;BOTT_A2,ROUND(BASE_A2+RATE_A2*($A691-BOTT_A2),0),ROUND(RATE_A1*$A691,0))))</f>
        <v/>
      </c>
      <c r="E691" s="556">
        <f>IF($A691&gt;BOTT_B4,ROUND(BASE_B4+RATE_B4*($A691-BOTT_B4),0),IF($A691&gt;BOTT_B3,ROUND(BASE_B3+RATE_B3*($A691-BOTT_B3),0),IF($A691&gt;BOTT_B2,ROUND(BASE_B2+RATE_B2*($A691-BOTT_B2),0),ROUND(RATE_B1*$A691,0))))</f>
        <v/>
      </c>
      <c r="F691" s="556">
        <f>IF($A691&gt;BOTT_C4,ROUND(BASE_C4+RATE_C4*($A691-BOTT_C4),0),IF($A691&gt;BOTT_C3,ROUND(BASE_C3+RATE_C3*($A691-BOTT_C3),0),IF($A691&gt;BOTT_C2,ROUND(BASE_C2+RATE_C2*($A691-BOTT_C2),0),ROUND(RATE_C1*$A691,0))))</f>
        <v/>
      </c>
      <c r="G691" s="556">
        <f>IF($A691&gt;BOTT_D4,ROUND(BASE_D4+RATE_D4*($A691-BOTT_D4),0),IF($A691&gt;BOTT_D3,ROUND(BASE_D3+RATE_D3*($A691-BOTT_D3),0),IF($A691&gt;BOTT_D2,ROUND(BASE_D2+RATE_D2*($A691-BOTT_D2),0),ROUND(RATE_D1*$A691,0))))</f>
        <v/>
      </c>
    </row>
    <row r="692" ht="15.75" customHeight="1" s="7635">
      <c r="A692" s="625">
        <f>AVERAGE(B692,C692)</f>
        <v/>
      </c>
      <c r="B692" s="555" t="n">
        <v>31400</v>
      </c>
      <c r="C692" s="555" t="n">
        <v>31450</v>
      </c>
      <c r="D692" s="556">
        <f>IF($A692&gt;BOTT_A4,ROUND(BASE_A4+RATE_A4*($A692-BOTT_A4),0),IF($A692&gt;BOTT_A3,ROUND(BASE_A3+RATE_A3*($A692-BOTT_A3),0),IF($A692&gt;BOTT_A2,ROUND(BASE_A2+RATE_A2*($A692-BOTT_A2),0),ROUND(RATE_A1*$A692,0))))</f>
        <v/>
      </c>
      <c r="E692" s="556">
        <f>IF($A692&gt;BOTT_B4,ROUND(BASE_B4+RATE_B4*($A692-BOTT_B4),0),IF($A692&gt;BOTT_B3,ROUND(BASE_B3+RATE_B3*($A692-BOTT_B3),0),IF($A692&gt;BOTT_B2,ROUND(BASE_B2+RATE_B2*($A692-BOTT_B2),0),ROUND(RATE_B1*$A692,0))))</f>
        <v/>
      </c>
      <c r="F692" s="556">
        <f>IF($A692&gt;BOTT_C4,ROUND(BASE_C4+RATE_C4*($A692-BOTT_C4),0),IF($A692&gt;BOTT_C3,ROUND(BASE_C3+RATE_C3*($A692-BOTT_C3),0),IF($A692&gt;BOTT_C2,ROUND(BASE_C2+RATE_C2*($A692-BOTT_C2),0),ROUND(RATE_C1*$A692,0))))</f>
        <v/>
      </c>
      <c r="G692" s="556">
        <f>IF($A692&gt;BOTT_D4,ROUND(BASE_D4+RATE_D4*($A692-BOTT_D4),0),IF($A692&gt;BOTT_D3,ROUND(BASE_D3+RATE_D3*($A692-BOTT_D3),0),IF($A692&gt;BOTT_D2,ROUND(BASE_D2+RATE_D2*($A692-BOTT_D2),0),ROUND(RATE_D1*$A692,0))))</f>
        <v/>
      </c>
    </row>
    <row r="693" ht="15.75" customHeight="1" s="7635">
      <c r="A693" s="625">
        <f>AVERAGE(B693,C693)</f>
        <v/>
      </c>
      <c r="B693" s="555" t="n">
        <v>31450</v>
      </c>
      <c r="C693" s="555" t="n">
        <v>31500</v>
      </c>
      <c r="D693" s="556">
        <f>IF($A693&gt;BOTT_A4,ROUND(BASE_A4+RATE_A4*($A693-BOTT_A4),0),IF($A693&gt;BOTT_A3,ROUND(BASE_A3+RATE_A3*($A693-BOTT_A3),0),IF($A693&gt;BOTT_A2,ROUND(BASE_A2+RATE_A2*($A693-BOTT_A2),0),ROUND(RATE_A1*$A693,0))))</f>
        <v/>
      </c>
      <c r="E693" s="556">
        <f>IF($A693&gt;BOTT_B4,ROUND(BASE_B4+RATE_B4*($A693-BOTT_B4),0),IF($A693&gt;BOTT_B3,ROUND(BASE_B3+RATE_B3*($A693-BOTT_B3),0),IF($A693&gt;BOTT_B2,ROUND(BASE_B2+RATE_B2*($A693-BOTT_B2),0),ROUND(RATE_B1*$A693,0))))</f>
        <v/>
      </c>
      <c r="F693" s="556">
        <f>IF($A693&gt;BOTT_C4,ROUND(BASE_C4+RATE_C4*($A693-BOTT_C4),0),IF($A693&gt;BOTT_C3,ROUND(BASE_C3+RATE_C3*($A693-BOTT_C3),0),IF($A693&gt;BOTT_C2,ROUND(BASE_C2+RATE_C2*($A693-BOTT_C2),0),ROUND(RATE_C1*$A693,0))))</f>
        <v/>
      </c>
      <c r="G693" s="556">
        <f>IF($A693&gt;BOTT_D4,ROUND(BASE_D4+RATE_D4*($A693-BOTT_D4),0),IF($A693&gt;BOTT_D3,ROUND(BASE_D3+RATE_D3*($A693-BOTT_D3),0),IF($A693&gt;BOTT_D2,ROUND(BASE_D2+RATE_D2*($A693-BOTT_D2),0),ROUND(RATE_D1*$A693,0))))</f>
        <v/>
      </c>
    </row>
    <row r="694" ht="15.75" customHeight="1" s="7635">
      <c r="A694" s="625">
        <f>AVERAGE(B694,C694)</f>
        <v/>
      </c>
      <c r="B694" s="555" t="n">
        <v>31500</v>
      </c>
      <c r="C694" s="555" t="n">
        <v>31550</v>
      </c>
      <c r="D694" s="556">
        <f>IF($A694&gt;BOTT_A4,ROUND(BASE_A4+RATE_A4*($A694-BOTT_A4),0),IF($A694&gt;BOTT_A3,ROUND(BASE_A3+RATE_A3*($A694-BOTT_A3),0),IF($A694&gt;BOTT_A2,ROUND(BASE_A2+RATE_A2*($A694-BOTT_A2),0),ROUND(RATE_A1*$A694,0))))</f>
        <v/>
      </c>
      <c r="E694" s="556">
        <f>IF($A694&gt;BOTT_B4,ROUND(BASE_B4+RATE_B4*($A694-BOTT_B4),0),IF($A694&gt;BOTT_B3,ROUND(BASE_B3+RATE_B3*($A694-BOTT_B3),0),IF($A694&gt;BOTT_B2,ROUND(BASE_B2+RATE_B2*($A694-BOTT_B2),0),ROUND(RATE_B1*$A694,0))))</f>
        <v/>
      </c>
      <c r="F694" s="556">
        <f>IF($A694&gt;BOTT_C4,ROUND(BASE_C4+RATE_C4*($A694-BOTT_C4),0),IF($A694&gt;BOTT_C3,ROUND(BASE_C3+RATE_C3*($A694-BOTT_C3),0),IF($A694&gt;BOTT_C2,ROUND(BASE_C2+RATE_C2*($A694-BOTT_C2),0),ROUND(RATE_C1*$A694,0))))</f>
        <v/>
      </c>
      <c r="G694" s="556">
        <f>IF($A694&gt;BOTT_D4,ROUND(BASE_D4+RATE_D4*($A694-BOTT_D4),0),IF($A694&gt;BOTT_D3,ROUND(BASE_D3+RATE_D3*($A694-BOTT_D3),0),IF($A694&gt;BOTT_D2,ROUND(BASE_D2+RATE_D2*($A694-BOTT_D2),0),ROUND(RATE_D1*$A694,0))))</f>
        <v/>
      </c>
    </row>
    <row r="695" ht="15.75" customHeight="1" s="7635">
      <c r="A695" s="625">
        <f>AVERAGE(B695,C695)</f>
        <v/>
      </c>
      <c r="B695" s="555" t="n">
        <v>31550</v>
      </c>
      <c r="C695" s="555" t="n">
        <v>31600</v>
      </c>
      <c r="D695" s="556">
        <f>IF($A695&gt;BOTT_A4,ROUND(BASE_A4+RATE_A4*($A695-BOTT_A4),0),IF($A695&gt;BOTT_A3,ROUND(BASE_A3+RATE_A3*($A695-BOTT_A3),0),IF($A695&gt;BOTT_A2,ROUND(BASE_A2+RATE_A2*($A695-BOTT_A2),0),ROUND(RATE_A1*$A695,0))))</f>
        <v/>
      </c>
      <c r="E695" s="556">
        <f>IF($A695&gt;BOTT_B4,ROUND(BASE_B4+RATE_B4*($A695-BOTT_B4),0),IF($A695&gt;BOTT_B3,ROUND(BASE_B3+RATE_B3*($A695-BOTT_B3),0),IF($A695&gt;BOTT_B2,ROUND(BASE_B2+RATE_B2*($A695-BOTT_B2),0),ROUND(RATE_B1*$A695,0))))</f>
        <v/>
      </c>
      <c r="F695" s="556">
        <f>IF($A695&gt;BOTT_C4,ROUND(BASE_C4+RATE_C4*($A695-BOTT_C4),0),IF($A695&gt;BOTT_C3,ROUND(BASE_C3+RATE_C3*($A695-BOTT_C3),0),IF($A695&gt;BOTT_C2,ROUND(BASE_C2+RATE_C2*($A695-BOTT_C2),0),ROUND(RATE_C1*$A695,0))))</f>
        <v/>
      </c>
      <c r="G695" s="556">
        <f>IF($A695&gt;BOTT_D4,ROUND(BASE_D4+RATE_D4*($A695-BOTT_D4),0),IF($A695&gt;BOTT_D3,ROUND(BASE_D3+RATE_D3*($A695-BOTT_D3),0),IF($A695&gt;BOTT_D2,ROUND(BASE_D2+RATE_D2*($A695-BOTT_D2),0),ROUND(RATE_D1*$A695,0))))</f>
        <v/>
      </c>
    </row>
    <row r="696" ht="15.75" customHeight="1" s="7635">
      <c r="A696" s="625">
        <f>AVERAGE(B696,C696)</f>
        <v/>
      </c>
      <c r="B696" s="555" t="n">
        <v>31600</v>
      </c>
      <c r="C696" s="555" t="n">
        <v>31650</v>
      </c>
      <c r="D696" s="556">
        <f>IF($A696&gt;BOTT_A4,ROUND(BASE_A4+RATE_A4*($A696-BOTT_A4),0),IF($A696&gt;BOTT_A3,ROUND(BASE_A3+RATE_A3*($A696-BOTT_A3),0),IF($A696&gt;BOTT_A2,ROUND(BASE_A2+RATE_A2*($A696-BOTT_A2),0),ROUND(RATE_A1*$A696,0))))</f>
        <v/>
      </c>
      <c r="E696" s="556">
        <f>IF($A696&gt;BOTT_B4,ROUND(BASE_B4+RATE_B4*($A696-BOTT_B4),0),IF($A696&gt;BOTT_B3,ROUND(BASE_B3+RATE_B3*($A696-BOTT_B3),0),IF($A696&gt;BOTT_B2,ROUND(BASE_B2+RATE_B2*($A696-BOTT_B2),0),ROUND(RATE_B1*$A696,0))))</f>
        <v/>
      </c>
      <c r="F696" s="556">
        <f>IF($A696&gt;BOTT_C4,ROUND(BASE_C4+RATE_C4*($A696-BOTT_C4),0),IF($A696&gt;BOTT_C3,ROUND(BASE_C3+RATE_C3*($A696-BOTT_C3),0),IF($A696&gt;BOTT_C2,ROUND(BASE_C2+RATE_C2*($A696-BOTT_C2),0),ROUND(RATE_C1*$A696,0))))</f>
        <v/>
      </c>
      <c r="G696" s="556">
        <f>IF($A696&gt;BOTT_D4,ROUND(BASE_D4+RATE_D4*($A696-BOTT_D4),0),IF($A696&gt;BOTT_D3,ROUND(BASE_D3+RATE_D3*($A696-BOTT_D3),0),IF($A696&gt;BOTT_D2,ROUND(BASE_D2+RATE_D2*($A696-BOTT_D2),0),ROUND(RATE_D1*$A696,0))))</f>
        <v/>
      </c>
    </row>
    <row r="697" ht="15.75" customHeight="1" s="7635">
      <c r="A697" s="625">
        <f>AVERAGE(B697,C697)</f>
        <v/>
      </c>
      <c r="B697" s="555" t="n">
        <v>31650</v>
      </c>
      <c r="C697" s="555" t="n">
        <v>31700</v>
      </c>
      <c r="D697" s="556">
        <f>IF($A697&gt;BOTT_A4,ROUND(BASE_A4+RATE_A4*($A697-BOTT_A4),0),IF($A697&gt;BOTT_A3,ROUND(BASE_A3+RATE_A3*($A697-BOTT_A3),0),IF($A697&gt;BOTT_A2,ROUND(BASE_A2+RATE_A2*($A697-BOTT_A2),0),ROUND(RATE_A1*$A697,0))))</f>
        <v/>
      </c>
      <c r="E697" s="556">
        <f>IF($A697&gt;BOTT_B4,ROUND(BASE_B4+RATE_B4*($A697-BOTT_B4),0),IF($A697&gt;BOTT_B3,ROUND(BASE_B3+RATE_B3*($A697-BOTT_B3),0),IF($A697&gt;BOTT_B2,ROUND(BASE_B2+RATE_B2*($A697-BOTT_B2),0),ROUND(RATE_B1*$A697,0))))</f>
        <v/>
      </c>
      <c r="F697" s="556">
        <f>IF($A697&gt;BOTT_C4,ROUND(BASE_C4+RATE_C4*($A697-BOTT_C4),0),IF($A697&gt;BOTT_C3,ROUND(BASE_C3+RATE_C3*($A697-BOTT_C3),0),IF($A697&gt;BOTT_C2,ROUND(BASE_C2+RATE_C2*($A697-BOTT_C2),0),ROUND(RATE_C1*$A697,0))))</f>
        <v/>
      </c>
      <c r="G697" s="556">
        <f>IF($A697&gt;BOTT_D4,ROUND(BASE_D4+RATE_D4*($A697-BOTT_D4),0),IF($A697&gt;BOTT_D3,ROUND(BASE_D3+RATE_D3*($A697-BOTT_D3),0),IF($A697&gt;BOTT_D2,ROUND(BASE_D2+RATE_D2*($A697-BOTT_D2),0),ROUND(RATE_D1*$A697,0))))</f>
        <v/>
      </c>
    </row>
    <row r="698" ht="15.75" customHeight="1" s="7635">
      <c r="A698" s="625">
        <f>AVERAGE(B698,C698)</f>
        <v/>
      </c>
      <c r="B698" s="555" t="n">
        <v>31700</v>
      </c>
      <c r="C698" s="555" t="n">
        <v>31750</v>
      </c>
      <c r="D698" s="556">
        <f>IF($A698&gt;BOTT_A4,ROUND(BASE_A4+RATE_A4*($A698-BOTT_A4),0),IF($A698&gt;BOTT_A3,ROUND(BASE_A3+RATE_A3*($A698-BOTT_A3),0),IF($A698&gt;BOTT_A2,ROUND(BASE_A2+RATE_A2*($A698-BOTT_A2),0),ROUND(RATE_A1*$A698,0))))</f>
        <v/>
      </c>
      <c r="E698" s="556">
        <f>IF($A698&gt;BOTT_B4,ROUND(BASE_B4+RATE_B4*($A698-BOTT_B4),0),IF($A698&gt;BOTT_B3,ROUND(BASE_B3+RATE_B3*($A698-BOTT_B3),0),IF($A698&gt;BOTT_B2,ROUND(BASE_B2+RATE_B2*($A698-BOTT_B2),0),ROUND(RATE_B1*$A698,0))))</f>
        <v/>
      </c>
      <c r="F698" s="556">
        <f>IF($A698&gt;BOTT_C4,ROUND(BASE_C4+RATE_C4*($A698-BOTT_C4),0),IF($A698&gt;BOTT_C3,ROUND(BASE_C3+RATE_C3*($A698-BOTT_C3),0),IF($A698&gt;BOTT_C2,ROUND(BASE_C2+RATE_C2*($A698-BOTT_C2),0),ROUND(RATE_C1*$A698,0))))</f>
        <v/>
      </c>
      <c r="G698" s="556">
        <f>IF($A698&gt;BOTT_D4,ROUND(BASE_D4+RATE_D4*($A698-BOTT_D4),0),IF($A698&gt;BOTT_D3,ROUND(BASE_D3+RATE_D3*($A698-BOTT_D3),0),IF($A698&gt;BOTT_D2,ROUND(BASE_D2+RATE_D2*($A698-BOTT_D2),0),ROUND(RATE_D1*$A698,0))))</f>
        <v/>
      </c>
    </row>
    <row r="699" ht="15.75" customHeight="1" s="7635">
      <c r="A699" s="625">
        <f>AVERAGE(B699,C699)</f>
        <v/>
      </c>
      <c r="B699" s="555" t="n">
        <v>31750</v>
      </c>
      <c r="C699" s="555" t="n">
        <v>31800</v>
      </c>
      <c r="D699" s="556">
        <f>IF($A699&gt;BOTT_A4,ROUND(BASE_A4+RATE_A4*($A699-BOTT_A4),0),IF($A699&gt;BOTT_A3,ROUND(BASE_A3+RATE_A3*($A699-BOTT_A3),0),IF($A699&gt;BOTT_A2,ROUND(BASE_A2+RATE_A2*($A699-BOTT_A2),0),ROUND(RATE_A1*$A699,0))))</f>
        <v/>
      </c>
      <c r="E699" s="556">
        <f>IF($A699&gt;BOTT_B4,ROUND(BASE_B4+RATE_B4*($A699-BOTT_B4),0),IF($A699&gt;BOTT_B3,ROUND(BASE_B3+RATE_B3*($A699-BOTT_B3),0),IF($A699&gt;BOTT_B2,ROUND(BASE_B2+RATE_B2*($A699-BOTT_B2),0),ROUND(RATE_B1*$A699,0))))</f>
        <v/>
      </c>
      <c r="F699" s="556">
        <f>IF($A699&gt;BOTT_C4,ROUND(BASE_C4+RATE_C4*($A699-BOTT_C4),0),IF($A699&gt;BOTT_C3,ROUND(BASE_C3+RATE_C3*($A699-BOTT_C3),0),IF($A699&gt;BOTT_C2,ROUND(BASE_C2+RATE_C2*($A699-BOTT_C2),0),ROUND(RATE_C1*$A699,0))))</f>
        <v/>
      </c>
      <c r="G699" s="556">
        <f>IF($A699&gt;BOTT_D4,ROUND(BASE_D4+RATE_D4*($A699-BOTT_D4),0),IF($A699&gt;BOTT_D3,ROUND(BASE_D3+RATE_D3*($A699-BOTT_D3),0),IF($A699&gt;BOTT_D2,ROUND(BASE_D2+RATE_D2*($A699-BOTT_D2),0),ROUND(RATE_D1*$A699,0))))</f>
        <v/>
      </c>
    </row>
    <row r="700" ht="15.75" customHeight="1" s="7635">
      <c r="A700" s="625">
        <f>AVERAGE(B700,C700)</f>
        <v/>
      </c>
      <c r="B700" s="555" t="n">
        <v>31800</v>
      </c>
      <c r="C700" s="555" t="n">
        <v>31850</v>
      </c>
      <c r="D700" s="556">
        <f>IF($A700&gt;BOTT_A4,ROUND(BASE_A4+RATE_A4*($A700-BOTT_A4),0),IF($A700&gt;BOTT_A3,ROUND(BASE_A3+RATE_A3*($A700-BOTT_A3),0),IF($A700&gt;BOTT_A2,ROUND(BASE_A2+RATE_A2*($A700-BOTT_A2),0),ROUND(RATE_A1*$A700,0))))</f>
        <v/>
      </c>
      <c r="E700" s="556">
        <f>IF($A700&gt;BOTT_B4,ROUND(BASE_B4+RATE_B4*($A700-BOTT_B4),0),IF($A700&gt;BOTT_B3,ROUND(BASE_B3+RATE_B3*($A700-BOTT_B3),0),IF($A700&gt;BOTT_B2,ROUND(BASE_B2+RATE_B2*($A700-BOTT_B2),0),ROUND(RATE_B1*$A700,0))))</f>
        <v/>
      </c>
      <c r="F700" s="556">
        <f>IF($A700&gt;BOTT_C4,ROUND(BASE_C4+RATE_C4*($A700-BOTT_C4),0),IF($A700&gt;BOTT_C3,ROUND(BASE_C3+RATE_C3*($A700-BOTT_C3),0),IF($A700&gt;BOTT_C2,ROUND(BASE_C2+RATE_C2*($A700-BOTT_C2),0),ROUND(RATE_C1*$A700,0))))</f>
        <v/>
      </c>
      <c r="G700" s="556">
        <f>IF($A700&gt;BOTT_D4,ROUND(BASE_D4+RATE_D4*($A700-BOTT_D4),0),IF($A700&gt;BOTT_D3,ROUND(BASE_D3+RATE_D3*($A700-BOTT_D3),0),IF($A700&gt;BOTT_D2,ROUND(BASE_D2+RATE_D2*($A700-BOTT_D2),0),ROUND(RATE_D1*$A700,0))))</f>
        <v/>
      </c>
    </row>
    <row r="701" ht="15.75" customHeight="1" s="7635">
      <c r="A701" s="625">
        <f>AVERAGE(B701,C701)</f>
        <v/>
      </c>
      <c r="B701" s="555" t="n">
        <v>31850</v>
      </c>
      <c r="C701" s="555" t="n">
        <v>31900</v>
      </c>
      <c r="D701" s="556">
        <f>IF($A701&gt;BOTT_A4,ROUND(BASE_A4+RATE_A4*($A701-BOTT_A4),0),IF($A701&gt;BOTT_A3,ROUND(BASE_A3+RATE_A3*($A701-BOTT_A3),0),IF($A701&gt;BOTT_A2,ROUND(BASE_A2+RATE_A2*($A701-BOTT_A2),0),ROUND(RATE_A1*$A701,0))))</f>
        <v/>
      </c>
      <c r="E701" s="556">
        <f>IF($A701&gt;BOTT_B4,ROUND(BASE_B4+RATE_B4*($A701-BOTT_B4),0),IF($A701&gt;BOTT_B3,ROUND(BASE_B3+RATE_B3*($A701-BOTT_B3),0),IF($A701&gt;BOTT_B2,ROUND(BASE_B2+RATE_B2*($A701-BOTT_B2),0),ROUND(RATE_B1*$A701,0))))</f>
        <v/>
      </c>
      <c r="F701" s="556">
        <f>IF($A701&gt;BOTT_C4,ROUND(BASE_C4+RATE_C4*($A701-BOTT_C4),0),IF($A701&gt;BOTT_C3,ROUND(BASE_C3+RATE_C3*($A701-BOTT_C3),0),IF($A701&gt;BOTT_C2,ROUND(BASE_C2+RATE_C2*($A701-BOTT_C2),0),ROUND(RATE_C1*$A701,0))))</f>
        <v/>
      </c>
      <c r="G701" s="556">
        <f>IF($A701&gt;BOTT_D4,ROUND(BASE_D4+RATE_D4*($A701-BOTT_D4),0),IF($A701&gt;BOTT_D3,ROUND(BASE_D3+RATE_D3*($A701-BOTT_D3),0),IF($A701&gt;BOTT_D2,ROUND(BASE_D2+RATE_D2*($A701-BOTT_D2),0),ROUND(RATE_D1*$A701,0))))</f>
        <v/>
      </c>
    </row>
    <row r="702" ht="15.75" customHeight="1" s="7635">
      <c r="A702" s="625">
        <f>AVERAGE(B702,C702)</f>
        <v/>
      </c>
      <c r="B702" s="555" t="n">
        <v>31900</v>
      </c>
      <c r="C702" s="555" t="n">
        <v>31950</v>
      </c>
      <c r="D702" s="556">
        <f>IF($A702&gt;BOTT_A4,ROUND(BASE_A4+RATE_A4*($A702-BOTT_A4),0),IF($A702&gt;BOTT_A3,ROUND(BASE_A3+RATE_A3*($A702-BOTT_A3),0),IF($A702&gt;BOTT_A2,ROUND(BASE_A2+RATE_A2*($A702-BOTT_A2),0),ROUND(RATE_A1*$A702,0))))</f>
        <v/>
      </c>
      <c r="E702" s="556">
        <f>IF($A702&gt;BOTT_B4,ROUND(BASE_B4+RATE_B4*($A702-BOTT_B4),0),IF($A702&gt;BOTT_B3,ROUND(BASE_B3+RATE_B3*($A702-BOTT_B3),0),IF($A702&gt;BOTT_B2,ROUND(BASE_B2+RATE_B2*($A702-BOTT_B2),0),ROUND(RATE_B1*$A702,0))))</f>
        <v/>
      </c>
      <c r="F702" s="556">
        <f>IF($A702&gt;BOTT_C4,ROUND(BASE_C4+RATE_C4*($A702-BOTT_C4),0),IF($A702&gt;BOTT_C3,ROUND(BASE_C3+RATE_C3*($A702-BOTT_C3),0),IF($A702&gt;BOTT_C2,ROUND(BASE_C2+RATE_C2*($A702-BOTT_C2),0),ROUND(RATE_C1*$A702,0))))</f>
        <v/>
      </c>
      <c r="G702" s="556">
        <f>IF($A702&gt;BOTT_D4,ROUND(BASE_D4+RATE_D4*($A702-BOTT_D4),0),IF($A702&gt;BOTT_D3,ROUND(BASE_D3+RATE_D3*($A702-BOTT_D3),0),IF($A702&gt;BOTT_D2,ROUND(BASE_D2+RATE_D2*($A702-BOTT_D2),0),ROUND(RATE_D1*$A702,0))))</f>
        <v/>
      </c>
    </row>
    <row r="703" ht="15.75" customHeight="1" s="7635">
      <c r="A703" s="625">
        <f>AVERAGE(B703,C703)</f>
        <v/>
      </c>
      <c r="B703" s="555" t="n">
        <v>31950</v>
      </c>
      <c r="C703" s="555" t="n">
        <v>32000</v>
      </c>
      <c r="D703" s="556">
        <f>IF($A703&gt;BOTT_A4,ROUND(BASE_A4+RATE_A4*($A703-BOTT_A4),0),IF($A703&gt;BOTT_A3,ROUND(BASE_A3+RATE_A3*($A703-BOTT_A3),0),IF($A703&gt;BOTT_A2,ROUND(BASE_A2+RATE_A2*($A703-BOTT_A2),0),ROUND(RATE_A1*$A703,0))))</f>
        <v/>
      </c>
      <c r="E703" s="556">
        <f>IF($A703&gt;BOTT_B4,ROUND(BASE_B4+RATE_B4*($A703-BOTT_B4),0),IF($A703&gt;BOTT_B3,ROUND(BASE_B3+RATE_B3*($A703-BOTT_B3),0),IF($A703&gt;BOTT_B2,ROUND(BASE_B2+RATE_B2*($A703-BOTT_B2),0),ROUND(RATE_B1*$A703,0))))</f>
        <v/>
      </c>
      <c r="F703" s="556">
        <f>IF($A703&gt;BOTT_C4,ROUND(BASE_C4+RATE_C4*($A703-BOTT_C4),0),IF($A703&gt;BOTT_C3,ROUND(BASE_C3+RATE_C3*($A703-BOTT_C3),0),IF($A703&gt;BOTT_C2,ROUND(BASE_C2+RATE_C2*($A703-BOTT_C2),0),ROUND(RATE_C1*$A703,0))))</f>
        <v/>
      </c>
      <c r="G703" s="556">
        <f>IF($A703&gt;BOTT_D4,ROUND(BASE_D4+RATE_D4*($A703-BOTT_D4),0),IF($A703&gt;BOTT_D3,ROUND(BASE_D3+RATE_D3*($A703-BOTT_D3),0),IF($A703&gt;BOTT_D2,ROUND(BASE_D2+RATE_D2*($A703-BOTT_D2),0),ROUND(RATE_D1*$A703,0))))</f>
        <v/>
      </c>
    </row>
    <row r="704" ht="15.75" customHeight="1" s="7635">
      <c r="A704" s="625">
        <f>AVERAGE(B704,C704)</f>
        <v/>
      </c>
      <c r="B704" s="555" t="n">
        <v>32000</v>
      </c>
      <c r="C704" s="555" t="n">
        <v>32050</v>
      </c>
      <c r="D704" s="556">
        <f>IF($A704&gt;BOTT_A4,ROUND(BASE_A4+RATE_A4*($A704-BOTT_A4),0),IF($A704&gt;BOTT_A3,ROUND(BASE_A3+RATE_A3*($A704-BOTT_A3),0),IF($A704&gt;BOTT_A2,ROUND(BASE_A2+RATE_A2*($A704-BOTT_A2),0),ROUND(RATE_A1*$A704,0))))</f>
        <v/>
      </c>
      <c r="E704" s="556">
        <f>IF($A704&gt;BOTT_B4,ROUND(BASE_B4+RATE_B4*($A704-BOTT_B4),0),IF($A704&gt;BOTT_B3,ROUND(BASE_B3+RATE_B3*($A704-BOTT_B3),0),IF($A704&gt;BOTT_B2,ROUND(BASE_B2+RATE_B2*($A704-BOTT_B2),0),ROUND(RATE_B1*$A704,0))))</f>
        <v/>
      </c>
      <c r="F704" s="556">
        <f>IF($A704&gt;BOTT_C4,ROUND(BASE_C4+RATE_C4*($A704-BOTT_C4),0),IF($A704&gt;BOTT_C3,ROUND(BASE_C3+RATE_C3*($A704-BOTT_C3),0),IF($A704&gt;BOTT_C2,ROUND(BASE_C2+RATE_C2*($A704-BOTT_C2),0),ROUND(RATE_C1*$A704,0))))</f>
        <v/>
      </c>
      <c r="G704" s="556">
        <f>IF($A704&gt;BOTT_D4,ROUND(BASE_D4+RATE_D4*($A704-BOTT_D4),0),IF($A704&gt;BOTT_D3,ROUND(BASE_D3+RATE_D3*($A704-BOTT_D3),0),IF($A704&gt;BOTT_D2,ROUND(BASE_D2+RATE_D2*($A704-BOTT_D2),0),ROUND(RATE_D1*$A704,0))))</f>
        <v/>
      </c>
    </row>
    <row r="705" ht="15.75" customHeight="1" s="7635">
      <c r="A705" s="625">
        <f>AVERAGE(B705,C705)</f>
        <v/>
      </c>
      <c r="B705" s="555" t="n">
        <v>32050</v>
      </c>
      <c r="C705" s="555" t="n">
        <v>32100</v>
      </c>
      <c r="D705" s="556">
        <f>IF($A705&gt;BOTT_A4,ROUND(BASE_A4+RATE_A4*($A705-BOTT_A4),0),IF($A705&gt;BOTT_A3,ROUND(BASE_A3+RATE_A3*($A705-BOTT_A3),0),IF($A705&gt;BOTT_A2,ROUND(BASE_A2+RATE_A2*($A705-BOTT_A2),0),ROUND(RATE_A1*$A705,0))))</f>
        <v/>
      </c>
      <c r="E705" s="556">
        <f>IF($A705&gt;BOTT_B4,ROUND(BASE_B4+RATE_B4*($A705-BOTT_B4),0),IF($A705&gt;BOTT_B3,ROUND(BASE_B3+RATE_B3*($A705-BOTT_B3),0),IF($A705&gt;BOTT_B2,ROUND(BASE_B2+RATE_B2*($A705-BOTT_B2),0),ROUND(RATE_B1*$A705,0))))</f>
        <v/>
      </c>
      <c r="F705" s="556">
        <f>IF($A705&gt;BOTT_C4,ROUND(BASE_C4+RATE_C4*($A705-BOTT_C4),0),IF($A705&gt;BOTT_C3,ROUND(BASE_C3+RATE_C3*($A705-BOTT_C3),0),IF($A705&gt;BOTT_C2,ROUND(BASE_C2+RATE_C2*($A705-BOTT_C2),0),ROUND(RATE_C1*$A705,0))))</f>
        <v/>
      </c>
      <c r="G705" s="556">
        <f>IF($A705&gt;BOTT_D4,ROUND(BASE_D4+RATE_D4*($A705-BOTT_D4),0),IF($A705&gt;BOTT_D3,ROUND(BASE_D3+RATE_D3*($A705-BOTT_D3),0),IF($A705&gt;BOTT_D2,ROUND(BASE_D2+RATE_D2*($A705-BOTT_D2),0),ROUND(RATE_D1*$A705,0))))</f>
        <v/>
      </c>
    </row>
    <row r="706" ht="15.75" customHeight="1" s="7635">
      <c r="A706" s="625">
        <f>AVERAGE(B706,C706)</f>
        <v/>
      </c>
      <c r="B706" s="555" t="n">
        <v>32100</v>
      </c>
      <c r="C706" s="555" t="n">
        <v>32150</v>
      </c>
      <c r="D706" s="556">
        <f>IF($A706&gt;BOTT_A4,ROUND(BASE_A4+RATE_A4*($A706-BOTT_A4),0),IF($A706&gt;BOTT_A3,ROUND(BASE_A3+RATE_A3*($A706-BOTT_A3),0),IF($A706&gt;BOTT_A2,ROUND(BASE_A2+RATE_A2*($A706-BOTT_A2),0),ROUND(RATE_A1*$A706,0))))</f>
        <v/>
      </c>
      <c r="E706" s="556">
        <f>IF($A706&gt;BOTT_B4,ROUND(BASE_B4+RATE_B4*($A706-BOTT_B4),0),IF($A706&gt;BOTT_B3,ROUND(BASE_B3+RATE_B3*($A706-BOTT_B3),0),IF($A706&gt;BOTT_B2,ROUND(BASE_B2+RATE_B2*($A706-BOTT_B2),0),ROUND(RATE_B1*$A706,0))))</f>
        <v/>
      </c>
      <c r="F706" s="556">
        <f>IF($A706&gt;BOTT_C4,ROUND(BASE_C4+RATE_C4*($A706-BOTT_C4),0),IF($A706&gt;BOTT_C3,ROUND(BASE_C3+RATE_C3*($A706-BOTT_C3),0),IF($A706&gt;BOTT_C2,ROUND(BASE_C2+RATE_C2*($A706-BOTT_C2),0),ROUND(RATE_C1*$A706,0))))</f>
        <v/>
      </c>
      <c r="G706" s="556">
        <f>IF($A706&gt;BOTT_D4,ROUND(BASE_D4+RATE_D4*($A706-BOTT_D4),0),IF($A706&gt;BOTT_D3,ROUND(BASE_D3+RATE_D3*($A706-BOTT_D3),0),IF($A706&gt;BOTT_D2,ROUND(BASE_D2+RATE_D2*($A706-BOTT_D2),0),ROUND(RATE_D1*$A706,0))))</f>
        <v/>
      </c>
    </row>
    <row r="707" ht="15.75" customHeight="1" s="7635">
      <c r="A707" s="625">
        <f>AVERAGE(B707,C707)</f>
        <v/>
      </c>
      <c r="B707" s="555" t="n">
        <v>32150</v>
      </c>
      <c r="C707" s="555" t="n">
        <v>32200</v>
      </c>
      <c r="D707" s="556">
        <f>IF($A707&gt;BOTT_A4,ROUND(BASE_A4+RATE_A4*($A707-BOTT_A4),0),IF($A707&gt;BOTT_A3,ROUND(BASE_A3+RATE_A3*($A707-BOTT_A3),0),IF($A707&gt;BOTT_A2,ROUND(BASE_A2+RATE_A2*($A707-BOTT_A2),0),ROUND(RATE_A1*$A707,0))))</f>
        <v/>
      </c>
      <c r="E707" s="556">
        <f>IF($A707&gt;BOTT_B4,ROUND(BASE_B4+RATE_B4*($A707-BOTT_B4),0),IF($A707&gt;BOTT_B3,ROUND(BASE_B3+RATE_B3*($A707-BOTT_B3),0),IF($A707&gt;BOTT_B2,ROUND(BASE_B2+RATE_B2*($A707-BOTT_B2),0),ROUND(RATE_B1*$A707,0))))</f>
        <v/>
      </c>
      <c r="F707" s="556">
        <f>IF($A707&gt;BOTT_C4,ROUND(BASE_C4+RATE_C4*($A707-BOTT_C4),0),IF($A707&gt;BOTT_C3,ROUND(BASE_C3+RATE_C3*($A707-BOTT_C3),0),IF($A707&gt;BOTT_C2,ROUND(BASE_C2+RATE_C2*($A707-BOTT_C2),0),ROUND(RATE_C1*$A707,0))))</f>
        <v/>
      </c>
      <c r="G707" s="556">
        <f>IF($A707&gt;BOTT_D4,ROUND(BASE_D4+RATE_D4*($A707-BOTT_D4),0),IF($A707&gt;BOTT_D3,ROUND(BASE_D3+RATE_D3*($A707-BOTT_D3),0),IF($A707&gt;BOTT_D2,ROUND(BASE_D2+RATE_D2*($A707-BOTT_D2),0),ROUND(RATE_D1*$A707,0))))</f>
        <v/>
      </c>
    </row>
    <row r="708" ht="15.75" customHeight="1" s="7635">
      <c r="A708" s="625">
        <f>AVERAGE(B708,C708)</f>
        <v/>
      </c>
      <c r="B708" s="555" t="n">
        <v>32200</v>
      </c>
      <c r="C708" s="555" t="n">
        <v>32250</v>
      </c>
      <c r="D708" s="556">
        <f>IF($A708&gt;BOTT_A4,ROUND(BASE_A4+RATE_A4*($A708-BOTT_A4),0),IF($A708&gt;BOTT_A3,ROUND(BASE_A3+RATE_A3*($A708-BOTT_A3),0),IF($A708&gt;BOTT_A2,ROUND(BASE_A2+RATE_A2*($A708-BOTT_A2),0),ROUND(RATE_A1*$A708,0))))</f>
        <v/>
      </c>
      <c r="E708" s="556">
        <f>IF($A708&gt;BOTT_B4,ROUND(BASE_B4+RATE_B4*($A708-BOTT_B4),0),IF($A708&gt;BOTT_B3,ROUND(BASE_B3+RATE_B3*($A708-BOTT_B3),0),IF($A708&gt;BOTT_B2,ROUND(BASE_B2+RATE_B2*($A708-BOTT_B2),0),ROUND(RATE_B1*$A708,0))))</f>
        <v/>
      </c>
      <c r="F708" s="556">
        <f>IF($A708&gt;BOTT_C4,ROUND(BASE_C4+RATE_C4*($A708-BOTT_C4),0),IF($A708&gt;BOTT_C3,ROUND(BASE_C3+RATE_C3*($A708-BOTT_C3),0),IF($A708&gt;BOTT_C2,ROUND(BASE_C2+RATE_C2*($A708-BOTT_C2),0),ROUND(RATE_C1*$A708,0))))</f>
        <v/>
      </c>
      <c r="G708" s="556">
        <f>IF($A708&gt;BOTT_D4,ROUND(BASE_D4+RATE_D4*($A708-BOTT_D4),0),IF($A708&gt;BOTT_D3,ROUND(BASE_D3+RATE_D3*($A708-BOTT_D3),0),IF($A708&gt;BOTT_D2,ROUND(BASE_D2+RATE_D2*($A708-BOTT_D2),0),ROUND(RATE_D1*$A708,0))))</f>
        <v/>
      </c>
    </row>
    <row r="709" ht="15.75" customHeight="1" s="7635">
      <c r="A709" s="625">
        <f>AVERAGE(B709,C709)</f>
        <v/>
      </c>
      <c r="B709" s="555" t="n">
        <v>32250</v>
      </c>
      <c r="C709" s="555" t="n">
        <v>32300</v>
      </c>
      <c r="D709" s="556">
        <f>IF($A709&gt;BOTT_A4,ROUND(BASE_A4+RATE_A4*($A709-BOTT_A4),0),IF($A709&gt;BOTT_A3,ROUND(BASE_A3+RATE_A3*($A709-BOTT_A3),0),IF($A709&gt;BOTT_A2,ROUND(BASE_A2+RATE_A2*($A709-BOTT_A2),0),ROUND(RATE_A1*$A709,0))))</f>
        <v/>
      </c>
      <c r="E709" s="556">
        <f>IF($A709&gt;BOTT_B4,ROUND(BASE_B4+RATE_B4*($A709-BOTT_B4),0),IF($A709&gt;BOTT_B3,ROUND(BASE_B3+RATE_B3*($A709-BOTT_B3),0),IF($A709&gt;BOTT_B2,ROUND(BASE_B2+RATE_B2*($A709-BOTT_B2),0),ROUND(RATE_B1*$A709,0))))</f>
        <v/>
      </c>
      <c r="F709" s="556">
        <f>IF($A709&gt;BOTT_C4,ROUND(BASE_C4+RATE_C4*($A709-BOTT_C4),0),IF($A709&gt;BOTT_C3,ROUND(BASE_C3+RATE_C3*($A709-BOTT_C3),0),IF($A709&gt;BOTT_C2,ROUND(BASE_C2+RATE_C2*($A709-BOTT_C2),0),ROUND(RATE_C1*$A709,0))))</f>
        <v/>
      </c>
      <c r="G709" s="556">
        <f>IF($A709&gt;BOTT_D4,ROUND(BASE_D4+RATE_D4*($A709-BOTT_D4),0),IF($A709&gt;BOTT_D3,ROUND(BASE_D3+RATE_D3*($A709-BOTT_D3),0),IF($A709&gt;BOTT_D2,ROUND(BASE_D2+RATE_D2*($A709-BOTT_D2),0),ROUND(RATE_D1*$A709,0))))</f>
        <v/>
      </c>
    </row>
    <row r="710" ht="15.75" customHeight="1" s="7635">
      <c r="A710" s="625">
        <f>AVERAGE(B710,C710)</f>
        <v/>
      </c>
      <c r="B710" s="555" t="n">
        <v>32300</v>
      </c>
      <c r="C710" s="555" t="n">
        <v>32350</v>
      </c>
      <c r="D710" s="556">
        <f>IF($A710&gt;BOTT_A4,ROUND(BASE_A4+RATE_A4*($A710-BOTT_A4),0),IF($A710&gt;BOTT_A3,ROUND(BASE_A3+RATE_A3*($A710-BOTT_A3),0),IF($A710&gt;BOTT_A2,ROUND(BASE_A2+RATE_A2*($A710-BOTT_A2),0),ROUND(RATE_A1*$A710,0))))</f>
        <v/>
      </c>
      <c r="E710" s="556">
        <f>IF($A710&gt;BOTT_B4,ROUND(BASE_B4+RATE_B4*($A710-BOTT_B4),0),IF($A710&gt;BOTT_B3,ROUND(BASE_B3+RATE_B3*($A710-BOTT_B3),0),IF($A710&gt;BOTT_B2,ROUND(BASE_B2+RATE_B2*($A710-BOTT_B2),0),ROUND(RATE_B1*$A710,0))))</f>
        <v/>
      </c>
      <c r="F710" s="556">
        <f>IF($A710&gt;BOTT_C4,ROUND(BASE_C4+RATE_C4*($A710-BOTT_C4),0),IF($A710&gt;BOTT_C3,ROUND(BASE_C3+RATE_C3*($A710-BOTT_C3),0),IF($A710&gt;BOTT_C2,ROUND(BASE_C2+RATE_C2*($A710-BOTT_C2),0),ROUND(RATE_C1*$A710,0))))</f>
        <v/>
      </c>
      <c r="G710" s="556">
        <f>IF($A710&gt;BOTT_D4,ROUND(BASE_D4+RATE_D4*($A710-BOTT_D4),0),IF($A710&gt;BOTT_D3,ROUND(BASE_D3+RATE_D3*($A710-BOTT_D3),0),IF($A710&gt;BOTT_D2,ROUND(BASE_D2+RATE_D2*($A710-BOTT_D2),0),ROUND(RATE_D1*$A710,0))))</f>
        <v/>
      </c>
    </row>
    <row r="711" ht="15.75" customHeight="1" s="7635">
      <c r="A711" s="625">
        <f>AVERAGE(B711,C711)</f>
        <v/>
      </c>
      <c r="B711" s="555" t="n">
        <v>32350</v>
      </c>
      <c r="C711" s="555" t="n">
        <v>32400</v>
      </c>
      <c r="D711" s="556">
        <f>IF($A711&gt;BOTT_A4,ROUND(BASE_A4+RATE_A4*($A711-BOTT_A4),0),IF($A711&gt;BOTT_A3,ROUND(BASE_A3+RATE_A3*($A711-BOTT_A3),0),IF($A711&gt;BOTT_A2,ROUND(BASE_A2+RATE_A2*($A711-BOTT_A2),0),ROUND(RATE_A1*$A711,0))))</f>
        <v/>
      </c>
      <c r="E711" s="556">
        <f>IF($A711&gt;BOTT_B4,ROUND(BASE_B4+RATE_B4*($A711-BOTT_B4),0),IF($A711&gt;BOTT_B3,ROUND(BASE_B3+RATE_B3*($A711-BOTT_B3),0),IF($A711&gt;BOTT_B2,ROUND(BASE_B2+RATE_B2*($A711-BOTT_B2),0),ROUND(RATE_B1*$A711,0))))</f>
        <v/>
      </c>
      <c r="F711" s="556">
        <f>IF($A711&gt;BOTT_C4,ROUND(BASE_C4+RATE_C4*($A711-BOTT_C4),0),IF($A711&gt;BOTT_C3,ROUND(BASE_C3+RATE_C3*($A711-BOTT_C3),0),IF($A711&gt;BOTT_C2,ROUND(BASE_C2+RATE_C2*($A711-BOTT_C2),0),ROUND(RATE_C1*$A711,0))))</f>
        <v/>
      </c>
      <c r="G711" s="556">
        <f>IF($A711&gt;BOTT_D4,ROUND(BASE_D4+RATE_D4*($A711-BOTT_D4),0),IF($A711&gt;BOTT_D3,ROUND(BASE_D3+RATE_D3*($A711-BOTT_D3),0),IF($A711&gt;BOTT_D2,ROUND(BASE_D2+RATE_D2*($A711-BOTT_D2),0),ROUND(RATE_D1*$A711,0))))</f>
        <v/>
      </c>
    </row>
    <row r="712" ht="15.75" customHeight="1" s="7635">
      <c r="A712" s="625">
        <f>AVERAGE(B712,C712)</f>
        <v/>
      </c>
      <c r="B712" s="555" t="n">
        <v>32400</v>
      </c>
      <c r="C712" s="555" t="n">
        <v>32450</v>
      </c>
      <c r="D712" s="556">
        <f>IF($A712&gt;BOTT_A4,ROUND(BASE_A4+RATE_A4*($A712-BOTT_A4),0),IF($A712&gt;BOTT_A3,ROUND(BASE_A3+RATE_A3*($A712-BOTT_A3),0),IF($A712&gt;BOTT_A2,ROUND(BASE_A2+RATE_A2*($A712-BOTT_A2),0),ROUND(RATE_A1*$A712,0))))</f>
        <v/>
      </c>
      <c r="E712" s="556">
        <f>IF($A712&gt;BOTT_B4,ROUND(BASE_B4+RATE_B4*($A712-BOTT_B4),0),IF($A712&gt;BOTT_B3,ROUND(BASE_B3+RATE_B3*($A712-BOTT_B3),0),IF($A712&gt;BOTT_B2,ROUND(BASE_B2+RATE_B2*($A712-BOTT_B2),0),ROUND(RATE_B1*$A712,0))))</f>
        <v/>
      </c>
      <c r="F712" s="556">
        <f>IF($A712&gt;BOTT_C4,ROUND(BASE_C4+RATE_C4*($A712-BOTT_C4),0),IF($A712&gt;BOTT_C3,ROUND(BASE_C3+RATE_C3*($A712-BOTT_C3),0),IF($A712&gt;BOTT_C2,ROUND(BASE_C2+RATE_C2*($A712-BOTT_C2),0),ROUND(RATE_C1*$A712,0))))</f>
        <v/>
      </c>
      <c r="G712" s="556">
        <f>IF($A712&gt;BOTT_D4,ROUND(BASE_D4+RATE_D4*($A712-BOTT_D4),0),IF($A712&gt;BOTT_D3,ROUND(BASE_D3+RATE_D3*($A712-BOTT_D3),0),IF($A712&gt;BOTT_D2,ROUND(BASE_D2+RATE_D2*($A712-BOTT_D2),0),ROUND(RATE_D1*$A712,0))))</f>
        <v/>
      </c>
    </row>
    <row r="713" ht="15.75" customHeight="1" s="7635">
      <c r="A713" s="625">
        <f>AVERAGE(B713,C713)</f>
        <v/>
      </c>
      <c r="B713" s="555" t="n">
        <v>32450</v>
      </c>
      <c r="C713" s="555" t="n">
        <v>32500</v>
      </c>
      <c r="D713" s="556">
        <f>IF($A713&gt;BOTT_A4,ROUND(BASE_A4+RATE_A4*($A713-BOTT_A4),0),IF($A713&gt;BOTT_A3,ROUND(BASE_A3+RATE_A3*($A713-BOTT_A3),0),IF($A713&gt;BOTT_A2,ROUND(BASE_A2+RATE_A2*($A713-BOTT_A2),0),ROUND(RATE_A1*$A713,0))))</f>
        <v/>
      </c>
      <c r="E713" s="556">
        <f>IF($A713&gt;BOTT_B4,ROUND(BASE_B4+RATE_B4*($A713-BOTT_B4),0),IF($A713&gt;BOTT_B3,ROUND(BASE_B3+RATE_B3*($A713-BOTT_B3),0),IF($A713&gt;BOTT_B2,ROUND(BASE_B2+RATE_B2*($A713-BOTT_B2),0),ROUND(RATE_B1*$A713,0))))</f>
        <v/>
      </c>
      <c r="F713" s="556">
        <f>IF($A713&gt;BOTT_C4,ROUND(BASE_C4+RATE_C4*($A713-BOTT_C4),0),IF($A713&gt;BOTT_C3,ROUND(BASE_C3+RATE_C3*($A713-BOTT_C3),0),IF($A713&gt;BOTT_C2,ROUND(BASE_C2+RATE_C2*($A713-BOTT_C2),0),ROUND(RATE_C1*$A713,0))))</f>
        <v/>
      </c>
      <c r="G713" s="556">
        <f>IF($A713&gt;BOTT_D4,ROUND(BASE_D4+RATE_D4*($A713-BOTT_D4),0),IF($A713&gt;BOTT_D3,ROUND(BASE_D3+RATE_D3*($A713-BOTT_D3),0),IF($A713&gt;BOTT_D2,ROUND(BASE_D2+RATE_D2*($A713-BOTT_D2),0),ROUND(RATE_D1*$A713,0))))</f>
        <v/>
      </c>
    </row>
    <row r="714" ht="15.75" customHeight="1" s="7635">
      <c r="A714" s="625">
        <f>AVERAGE(B714,C714)</f>
        <v/>
      </c>
      <c r="B714" s="555" t="n">
        <v>32500</v>
      </c>
      <c r="C714" s="555" t="n">
        <v>32550</v>
      </c>
      <c r="D714" s="556">
        <f>IF($A714&gt;BOTT_A4,ROUND(BASE_A4+RATE_A4*($A714-BOTT_A4),0),IF($A714&gt;BOTT_A3,ROUND(BASE_A3+RATE_A3*($A714-BOTT_A3),0),IF($A714&gt;BOTT_A2,ROUND(BASE_A2+RATE_A2*($A714-BOTT_A2),0),ROUND(RATE_A1*$A714,0))))</f>
        <v/>
      </c>
      <c r="E714" s="556">
        <f>IF($A714&gt;BOTT_B4,ROUND(BASE_B4+RATE_B4*($A714-BOTT_B4),0),IF($A714&gt;BOTT_B3,ROUND(BASE_B3+RATE_B3*($A714-BOTT_B3),0),IF($A714&gt;BOTT_B2,ROUND(BASE_B2+RATE_B2*($A714-BOTT_B2),0),ROUND(RATE_B1*$A714,0))))</f>
        <v/>
      </c>
      <c r="F714" s="556">
        <f>IF($A714&gt;BOTT_C4,ROUND(BASE_C4+RATE_C4*($A714-BOTT_C4),0),IF($A714&gt;BOTT_C3,ROUND(BASE_C3+RATE_C3*($A714-BOTT_C3),0),IF($A714&gt;BOTT_C2,ROUND(BASE_C2+RATE_C2*($A714-BOTT_C2),0),ROUND(RATE_C1*$A714,0))))</f>
        <v/>
      </c>
      <c r="G714" s="556">
        <f>IF($A714&gt;BOTT_D4,ROUND(BASE_D4+RATE_D4*($A714-BOTT_D4),0),IF($A714&gt;BOTT_D3,ROUND(BASE_D3+RATE_D3*($A714-BOTT_D3),0),IF($A714&gt;BOTT_D2,ROUND(BASE_D2+RATE_D2*($A714-BOTT_D2),0),ROUND(RATE_D1*$A714,0))))</f>
        <v/>
      </c>
    </row>
    <row r="715" ht="15.75" customHeight="1" s="7635">
      <c r="A715" s="625">
        <f>AVERAGE(B715,C715)</f>
        <v/>
      </c>
      <c r="B715" s="555" t="n">
        <v>32550</v>
      </c>
      <c r="C715" s="555" t="n">
        <v>32600</v>
      </c>
      <c r="D715" s="556">
        <f>IF($A715&gt;BOTT_A4,ROUND(BASE_A4+RATE_A4*($A715-BOTT_A4),0),IF($A715&gt;BOTT_A3,ROUND(BASE_A3+RATE_A3*($A715-BOTT_A3),0),IF($A715&gt;BOTT_A2,ROUND(BASE_A2+RATE_A2*($A715-BOTT_A2),0),ROUND(RATE_A1*$A715,0))))</f>
        <v/>
      </c>
      <c r="E715" s="556">
        <f>IF($A715&gt;BOTT_B4,ROUND(BASE_B4+RATE_B4*($A715-BOTT_B4),0),IF($A715&gt;BOTT_B3,ROUND(BASE_B3+RATE_B3*($A715-BOTT_B3),0),IF($A715&gt;BOTT_B2,ROUND(BASE_B2+RATE_B2*($A715-BOTT_B2),0),ROUND(RATE_B1*$A715,0))))</f>
        <v/>
      </c>
      <c r="F715" s="556">
        <f>IF($A715&gt;BOTT_C4,ROUND(BASE_C4+RATE_C4*($A715-BOTT_C4),0),IF($A715&gt;BOTT_C3,ROUND(BASE_C3+RATE_C3*($A715-BOTT_C3),0),IF($A715&gt;BOTT_C2,ROUND(BASE_C2+RATE_C2*($A715-BOTT_C2),0),ROUND(RATE_C1*$A715,0))))</f>
        <v/>
      </c>
      <c r="G715" s="556">
        <f>IF($A715&gt;BOTT_D4,ROUND(BASE_D4+RATE_D4*($A715-BOTT_D4),0),IF($A715&gt;BOTT_D3,ROUND(BASE_D3+RATE_D3*($A715-BOTT_D3),0),IF($A715&gt;BOTT_D2,ROUND(BASE_D2+RATE_D2*($A715-BOTT_D2),0),ROUND(RATE_D1*$A715,0))))</f>
        <v/>
      </c>
    </row>
    <row r="716" ht="15.75" customHeight="1" s="7635">
      <c r="A716" s="625">
        <f>AVERAGE(B716,C716)</f>
        <v/>
      </c>
      <c r="B716" s="555" t="n">
        <v>32600</v>
      </c>
      <c r="C716" s="555" t="n">
        <v>32650</v>
      </c>
      <c r="D716" s="556">
        <f>IF($A716&gt;BOTT_A4,ROUND(BASE_A4+RATE_A4*($A716-BOTT_A4),0),IF($A716&gt;BOTT_A3,ROUND(BASE_A3+RATE_A3*($A716-BOTT_A3),0),IF($A716&gt;BOTT_A2,ROUND(BASE_A2+RATE_A2*($A716-BOTT_A2),0),ROUND(RATE_A1*$A716,0))))</f>
        <v/>
      </c>
      <c r="E716" s="556">
        <f>IF($A716&gt;BOTT_B4,ROUND(BASE_B4+RATE_B4*($A716-BOTT_B4),0),IF($A716&gt;BOTT_B3,ROUND(BASE_B3+RATE_B3*($A716-BOTT_B3),0),IF($A716&gt;BOTT_B2,ROUND(BASE_B2+RATE_B2*($A716-BOTT_B2),0),ROUND(RATE_B1*$A716,0))))</f>
        <v/>
      </c>
      <c r="F716" s="556">
        <f>IF($A716&gt;BOTT_C4,ROUND(BASE_C4+RATE_C4*($A716-BOTT_C4),0),IF($A716&gt;BOTT_C3,ROUND(BASE_C3+RATE_C3*($A716-BOTT_C3),0),IF($A716&gt;BOTT_C2,ROUND(BASE_C2+RATE_C2*($A716-BOTT_C2),0),ROUND(RATE_C1*$A716,0))))</f>
        <v/>
      </c>
      <c r="G716" s="556">
        <f>IF($A716&gt;BOTT_D4,ROUND(BASE_D4+RATE_D4*($A716-BOTT_D4),0),IF($A716&gt;BOTT_D3,ROUND(BASE_D3+RATE_D3*($A716-BOTT_D3),0),IF($A716&gt;BOTT_D2,ROUND(BASE_D2+RATE_D2*($A716-BOTT_D2),0),ROUND(RATE_D1*$A716,0))))</f>
        <v/>
      </c>
    </row>
    <row r="717" ht="15.75" customHeight="1" s="7635">
      <c r="A717" s="625">
        <f>AVERAGE(B717,C717)</f>
        <v/>
      </c>
      <c r="B717" s="555" t="n">
        <v>32650</v>
      </c>
      <c r="C717" s="555" t="n">
        <v>32700</v>
      </c>
      <c r="D717" s="556">
        <f>IF($A717&gt;BOTT_A4,ROUND(BASE_A4+RATE_A4*($A717-BOTT_A4),0),IF($A717&gt;BOTT_A3,ROUND(BASE_A3+RATE_A3*($A717-BOTT_A3),0),IF($A717&gt;BOTT_A2,ROUND(BASE_A2+RATE_A2*($A717-BOTT_A2),0),ROUND(RATE_A1*$A717,0))))</f>
        <v/>
      </c>
      <c r="E717" s="556">
        <f>IF($A717&gt;BOTT_B4,ROUND(BASE_B4+RATE_B4*($A717-BOTT_B4),0),IF($A717&gt;BOTT_B3,ROUND(BASE_B3+RATE_B3*($A717-BOTT_B3),0),IF($A717&gt;BOTT_B2,ROUND(BASE_B2+RATE_B2*($A717-BOTT_B2),0),ROUND(RATE_B1*$A717,0))))</f>
        <v/>
      </c>
      <c r="F717" s="556">
        <f>IF($A717&gt;BOTT_C4,ROUND(BASE_C4+RATE_C4*($A717-BOTT_C4),0),IF($A717&gt;BOTT_C3,ROUND(BASE_C3+RATE_C3*($A717-BOTT_C3),0),IF($A717&gt;BOTT_C2,ROUND(BASE_C2+RATE_C2*($A717-BOTT_C2),0),ROUND(RATE_C1*$A717,0))))</f>
        <v/>
      </c>
      <c r="G717" s="556">
        <f>IF($A717&gt;BOTT_D4,ROUND(BASE_D4+RATE_D4*($A717-BOTT_D4),0),IF($A717&gt;BOTT_D3,ROUND(BASE_D3+RATE_D3*($A717-BOTT_D3),0),IF($A717&gt;BOTT_D2,ROUND(BASE_D2+RATE_D2*($A717-BOTT_D2),0),ROUND(RATE_D1*$A717,0))))</f>
        <v/>
      </c>
    </row>
    <row r="718" ht="15.75" customHeight="1" s="7635">
      <c r="A718" s="625">
        <f>AVERAGE(B718,C718)</f>
        <v/>
      </c>
      <c r="B718" s="555" t="n">
        <v>32700</v>
      </c>
      <c r="C718" s="555" t="n">
        <v>32750</v>
      </c>
      <c r="D718" s="556">
        <f>IF($A718&gt;BOTT_A4,ROUND(BASE_A4+RATE_A4*($A718-BOTT_A4),0),IF($A718&gt;BOTT_A3,ROUND(BASE_A3+RATE_A3*($A718-BOTT_A3),0),IF($A718&gt;BOTT_A2,ROUND(BASE_A2+RATE_A2*($A718-BOTT_A2),0),ROUND(RATE_A1*$A718,0))))</f>
        <v/>
      </c>
      <c r="E718" s="556">
        <f>IF($A718&gt;BOTT_B4,ROUND(BASE_B4+RATE_B4*($A718-BOTT_B4),0),IF($A718&gt;BOTT_B3,ROUND(BASE_B3+RATE_B3*($A718-BOTT_B3),0),IF($A718&gt;BOTT_B2,ROUND(BASE_B2+RATE_B2*($A718-BOTT_B2),0),ROUND(RATE_B1*$A718,0))))</f>
        <v/>
      </c>
      <c r="F718" s="556">
        <f>IF($A718&gt;BOTT_C4,ROUND(BASE_C4+RATE_C4*($A718-BOTT_C4),0),IF($A718&gt;BOTT_C3,ROUND(BASE_C3+RATE_C3*($A718-BOTT_C3),0),IF($A718&gt;BOTT_C2,ROUND(BASE_C2+RATE_C2*($A718-BOTT_C2),0),ROUND(RATE_C1*$A718,0))))</f>
        <v/>
      </c>
      <c r="G718" s="556">
        <f>IF($A718&gt;BOTT_D4,ROUND(BASE_D4+RATE_D4*($A718-BOTT_D4),0),IF($A718&gt;BOTT_D3,ROUND(BASE_D3+RATE_D3*($A718-BOTT_D3),0),IF($A718&gt;BOTT_D2,ROUND(BASE_D2+RATE_D2*($A718-BOTT_D2),0),ROUND(RATE_D1*$A718,0))))</f>
        <v/>
      </c>
    </row>
    <row r="719" ht="15.75" customHeight="1" s="7635">
      <c r="A719" s="625">
        <f>AVERAGE(B719,C719)</f>
        <v/>
      </c>
      <c r="B719" s="555" t="n">
        <v>32750</v>
      </c>
      <c r="C719" s="555" t="n">
        <v>32800</v>
      </c>
      <c r="D719" s="556">
        <f>IF($A719&gt;BOTT_A4,ROUND(BASE_A4+RATE_A4*($A719-BOTT_A4),0),IF($A719&gt;BOTT_A3,ROUND(BASE_A3+RATE_A3*($A719-BOTT_A3),0),IF($A719&gt;BOTT_A2,ROUND(BASE_A2+RATE_A2*($A719-BOTT_A2),0),ROUND(RATE_A1*$A719,0))))</f>
        <v/>
      </c>
      <c r="E719" s="556">
        <f>IF($A719&gt;BOTT_B4,ROUND(BASE_B4+RATE_B4*($A719-BOTT_B4),0),IF($A719&gt;BOTT_B3,ROUND(BASE_B3+RATE_B3*($A719-BOTT_B3),0),IF($A719&gt;BOTT_B2,ROUND(BASE_B2+RATE_B2*($A719-BOTT_B2),0),ROUND(RATE_B1*$A719,0))))</f>
        <v/>
      </c>
      <c r="F719" s="556">
        <f>IF($A719&gt;BOTT_C4,ROUND(BASE_C4+RATE_C4*($A719-BOTT_C4),0),IF($A719&gt;BOTT_C3,ROUND(BASE_C3+RATE_C3*($A719-BOTT_C3),0),IF($A719&gt;BOTT_C2,ROUND(BASE_C2+RATE_C2*($A719-BOTT_C2),0),ROUND(RATE_C1*$A719,0))))</f>
        <v/>
      </c>
      <c r="G719" s="556">
        <f>IF($A719&gt;BOTT_D4,ROUND(BASE_D4+RATE_D4*($A719-BOTT_D4),0),IF($A719&gt;BOTT_D3,ROUND(BASE_D3+RATE_D3*($A719-BOTT_D3),0),IF($A719&gt;BOTT_D2,ROUND(BASE_D2+RATE_D2*($A719-BOTT_D2),0),ROUND(RATE_D1*$A719,0))))</f>
        <v/>
      </c>
    </row>
    <row r="720" ht="15.75" customHeight="1" s="7635">
      <c r="A720" s="625">
        <f>AVERAGE(B720,C720)</f>
        <v/>
      </c>
      <c r="B720" s="555" t="n">
        <v>32800</v>
      </c>
      <c r="C720" s="555" t="n">
        <v>32850</v>
      </c>
      <c r="D720" s="556">
        <f>IF($A720&gt;BOTT_A4,ROUND(BASE_A4+RATE_A4*($A720-BOTT_A4),0),IF($A720&gt;BOTT_A3,ROUND(BASE_A3+RATE_A3*($A720-BOTT_A3),0),IF($A720&gt;BOTT_A2,ROUND(BASE_A2+RATE_A2*($A720-BOTT_A2),0),ROUND(RATE_A1*$A720,0))))</f>
        <v/>
      </c>
      <c r="E720" s="556">
        <f>IF($A720&gt;BOTT_B4,ROUND(BASE_B4+RATE_B4*($A720-BOTT_B4),0),IF($A720&gt;BOTT_B3,ROUND(BASE_B3+RATE_B3*($A720-BOTT_B3),0),IF($A720&gt;BOTT_B2,ROUND(BASE_B2+RATE_B2*($A720-BOTT_B2),0),ROUND(RATE_B1*$A720,0))))</f>
        <v/>
      </c>
      <c r="F720" s="556">
        <f>IF($A720&gt;BOTT_C4,ROUND(BASE_C4+RATE_C4*($A720-BOTT_C4),0),IF($A720&gt;BOTT_C3,ROUND(BASE_C3+RATE_C3*($A720-BOTT_C3),0),IF($A720&gt;BOTT_C2,ROUND(BASE_C2+RATE_C2*($A720-BOTT_C2),0),ROUND(RATE_C1*$A720,0))))</f>
        <v/>
      </c>
      <c r="G720" s="556">
        <f>IF($A720&gt;BOTT_D4,ROUND(BASE_D4+RATE_D4*($A720-BOTT_D4),0),IF($A720&gt;BOTT_D3,ROUND(BASE_D3+RATE_D3*($A720-BOTT_D3),0),IF($A720&gt;BOTT_D2,ROUND(BASE_D2+RATE_D2*($A720-BOTT_D2),0),ROUND(RATE_D1*$A720,0))))</f>
        <v/>
      </c>
    </row>
    <row r="721" ht="15.75" customHeight="1" s="7635">
      <c r="A721" s="625">
        <f>AVERAGE(B721,C721)</f>
        <v/>
      </c>
      <c r="B721" s="555" t="n">
        <v>32850</v>
      </c>
      <c r="C721" s="555" t="n">
        <v>32900</v>
      </c>
      <c r="D721" s="556">
        <f>IF($A721&gt;BOTT_A4,ROUND(BASE_A4+RATE_A4*($A721-BOTT_A4),0),IF($A721&gt;BOTT_A3,ROUND(BASE_A3+RATE_A3*($A721-BOTT_A3),0),IF($A721&gt;BOTT_A2,ROUND(BASE_A2+RATE_A2*($A721-BOTT_A2),0),ROUND(RATE_A1*$A721,0))))</f>
        <v/>
      </c>
      <c r="E721" s="556">
        <f>IF($A721&gt;BOTT_B4,ROUND(BASE_B4+RATE_B4*($A721-BOTT_B4),0),IF($A721&gt;BOTT_B3,ROUND(BASE_B3+RATE_B3*($A721-BOTT_B3),0),IF($A721&gt;BOTT_B2,ROUND(BASE_B2+RATE_B2*($A721-BOTT_B2),0),ROUND(RATE_B1*$A721,0))))</f>
        <v/>
      </c>
      <c r="F721" s="556">
        <f>IF($A721&gt;BOTT_C4,ROUND(BASE_C4+RATE_C4*($A721-BOTT_C4),0),IF($A721&gt;BOTT_C3,ROUND(BASE_C3+RATE_C3*($A721-BOTT_C3),0),IF($A721&gt;BOTT_C2,ROUND(BASE_C2+RATE_C2*($A721-BOTT_C2),0),ROUND(RATE_C1*$A721,0))))</f>
        <v/>
      </c>
      <c r="G721" s="556">
        <f>IF($A721&gt;BOTT_D4,ROUND(BASE_D4+RATE_D4*($A721-BOTT_D4),0),IF($A721&gt;BOTT_D3,ROUND(BASE_D3+RATE_D3*($A721-BOTT_D3),0),IF($A721&gt;BOTT_D2,ROUND(BASE_D2+RATE_D2*($A721-BOTT_D2),0),ROUND(RATE_D1*$A721,0))))</f>
        <v/>
      </c>
    </row>
    <row r="722" ht="15.75" customHeight="1" s="7635">
      <c r="A722" s="625">
        <f>AVERAGE(B722,C722)</f>
        <v/>
      </c>
      <c r="B722" s="555" t="n">
        <v>32900</v>
      </c>
      <c r="C722" s="555" t="n">
        <v>32950</v>
      </c>
      <c r="D722" s="556">
        <f>IF($A722&gt;BOTT_A4,ROUND(BASE_A4+RATE_A4*($A722-BOTT_A4),0),IF($A722&gt;BOTT_A3,ROUND(BASE_A3+RATE_A3*($A722-BOTT_A3),0),IF($A722&gt;BOTT_A2,ROUND(BASE_A2+RATE_A2*($A722-BOTT_A2),0),ROUND(RATE_A1*$A722,0))))</f>
        <v/>
      </c>
      <c r="E722" s="556">
        <f>IF($A722&gt;BOTT_B4,ROUND(BASE_B4+RATE_B4*($A722-BOTT_B4),0),IF($A722&gt;BOTT_B3,ROUND(BASE_B3+RATE_B3*($A722-BOTT_B3),0),IF($A722&gt;BOTT_B2,ROUND(BASE_B2+RATE_B2*($A722-BOTT_B2),0),ROUND(RATE_B1*$A722,0))))</f>
        <v/>
      </c>
      <c r="F722" s="556">
        <f>IF($A722&gt;BOTT_C4,ROUND(BASE_C4+RATE_C4*($A722-BOTT_C4),0),IF($A722&gt;BOTT_C3,ROUND(BASE_C3+RATE_C3*($A722-BOTT_C3),0),IF($A722&gt;BOTT_C2,ROUND(BASE_C2+RATE_C2*($A722-BOTT_C2),0),ROUND(RATE_C1*$A722,0))))</f>
        <v/>
      </c>
      <c r="G722" s="556">
        <f>IF($A722&gt;BOTT_D4,ROUND(BASE_D4+RATE_D4*($A722-BOTT_D4),0),IF($A722&gt;BOTT_D3,ROUND(BASE_D3+RATE_D3*($A722-BOTT_D3),0),IF($A722&gt;BOTT_D2,ROUND(BASE_D2+RATE_D2*($A722-BOTT_D2),0),ROUND(RATE_D1*$A722,0))))</f>
        <v/>
      </c>
    </row>
    <row r="723" ht="15.75" customHeight="1" s="7635">
      <c r="A723" s="625">
        <f>AVERAGE(B723,C723)</f>
        <v/>
      </c>
      <c r="B723" s="555" t="n">
        <v>32950</v>
      </c>
      <c r="C723" s="555" t="n">
        <v>33000</v>
      </c>
      <c r="D723" s="556">
        <f>IF($A723&gt;BOTT_A4,ROUND(BASE_A4+RATE_A4*($A723-BOTT_A4),0),IF($A723&gt;BOTT_A3,ROUND(BASE_A3+RATE_A3*($A723-BOTT_A3),0),IF($A723&gt;BOTT_A2,ROUND(BASE_A2+RATE_A2*($A723-BOTT_A2),0),ROUND(RATE_A1*$A723,0))))</f>
        <v/>
      </c>
      <c r="E723" s="556">
        <f>IF($A723&gt;BOTT_B4,ROUND(BASE_B4+RATE_B4*($A723-BOTT_B4),0),IF($A723&gt;BOTT_B3,ROUND(BASE_B3+RATE_B3*($A723-BOTT_B3),0),IF($A723&gt;BOTT_B2,ROUND(BASE_B2+RATE_B2*($A723-BOTT_B2),0),ROUND(RATE_B1*$A723,0))))</f>
        <v/>
      </c>
      <c r="F723" s="556">
        <f>IF($A723&gt;BOTT_C4,ROUND(BASE_C4+RATE_C4*($A723-BOTT_C4),0),IF($A723&gt;BOTT_C3,ROUND(BASE_C3+RATE_C3*($A723-BOTT_C3),0),IF($A723&gt;BOTT_C2,ROUND(BASE_C2+RATE_C2*($A723-BOTT_C2),0),ROUND(RATE_C1*$A723,0))))</f>
        <v/>
      </c>
      <c r="G723" s="556">
        <f>IF($A723&gt;BOTT_D4,ROUND(BASE_D4+RATE_D4*($A723-BOTT_D4),0),IF($A723&gt;BOTT_D3,ROUND(BASE_D3+RATE_D3*($A723-BOTT_D3),0),IF($A723&gt;BOTT_D2,ROUND(BASE_D2+RATE_D2*($A723-BOTT_D2),0),ROUND(RATE_D1*$A723,0))))</f>
        <v/>
      </c>
    </row>
    <row r="724" ht="15.75" customHeight="1" s="7635">
      <c r="A724" s="625">
        <f>AVERAGE(B724,C724)</f>
        <v/>
      </c>
      <c r="B724" s="555" t="n">
        <v>33000</v>
      </c>
      <c r="C724" s="555" t="n">
        <v>33050</v>
      </c>
      <c r="D724" s="556">
        <f>IF($A724&gt;BOTT_A4,ROUND(BASE_A4+RATE_A4*($A724-BOTT_A4),0),IF($A724&gt;BOTT_A3,ROUND(BASE_A3+RATE_A3*($A724-BOTT_A3),0),IF($A724&gt;BOTT_A2,ROUND(BASE_A2+RATE_A2*($A724-BOTT_A2),0),ROUND(RATE_A1*$A724,0))))</f>
        <v/>
      </c>
      <c r="E724" s="556">
        <f>IF($A724&gt;BOTT_B4,ROUND(BASE_B4+RATE_B4*($A724-BOTT_B4),0),IF($A724&gt;BOTT_B3,ROUND(BASE_B3+RATE_B3*($A724-BOTT_B3),0),IF($A724&gt;BOTT_B2,ROUND(BASE_B2+RATE_B2*($A724-BOTT_B2),0),ROUND(RATE_B1*$A724,0))))</f>
        <v/>
      </c>
      <c r="F724" s="556">
        <f>IF($A724&gt;BOTT_C4,ROUND(BASE_C4+RATE_C4*($A724-BOTT_C4),0),IF($A724&gt;BOTT_C3,ROUND(BASE_C3+RATE_C3*($A724-BOTT_C3),0),IF($A724&gt;BOTT_C2,ROUND(BASE_C2+RATE_C2*($A724-BOTT_C2),0),ROUND(RATE_C1*$A724,0))))</f>
        <v/>
      </c>
      <c r="G724" s="556">
        <f>IF($A724&gt;BOTT_D4,ROUND(BASE_D4+RATE_D4*($A724-BOTT_D4),0),IF($A724&gt;BOTT_D3,ROUND(BASE_D3+RATE_D3*($A724-BOTT_D3),0),IF($A724&gt;BOTT_D2,ROUND(BASE_D2+RATE_D2*($A724-BOTT_D2),0),ROUND(RATE_D1*$A724,0))))</f>
        <v/>
      </c>
    </row>
    <row r="725" ht="15.75" customHeight="1" s="7635">
      <c r="A725" s="625">
        <f>AVERAGE(B725,C725)</f>
        <v/>
      </c>
      <c r="B725" s="555" t="n">
        <v>33050</v>
      </c>
      <c r="C725" s="555" t="n">
        <v>33100</v>
      </c>
      <c r="D725" s="556">
        <f>IF($A725&gt;BOTT_A4,ROUND(BASE_A4+RATE_A4*($A725-BOTT_A4),0),IF($A725&gt;BOTT_A3,ROUND(BASE_A3+RATE_A3*($A725-BOTT_A3),0),IF($A725&gt;BOTT_A2,ROUND(BASE_A2+RATE_A2*($A725-BOTT_A2),0),ROUND(RATE_A1*$A725,0))))</f>
        <v/>
      </c>
      <c r="E725" s="556">
        <f>IF($A725&gt;BOTT_B4,ROUND(BASE_B4+RATE_B4*($A725-BOTT_B4),0),IF($A725&gt;BOTT_B3,ROUND(BASE_B3+RATE_B3*($A725-BOTT_B3),0),IF($A725&gt;BOTT_B2,ROUND(BASE_B2+RATE_B2*($A725-BOTT_B2),0),ROUND(RATE_B1*$A725,0))))</f>
        <v/>
      </c>
      <c r="F725" s="556">
        <f>IF($A725&gt;BOTT_C4,ROUND(BASE_C4+RATE_C4*($A725-BOTT_C4),0),IF($A725&gt;BOTT_C3,ROUND(BASE_C3+RATE_C3*($A725-BOTT_C3),0),IF($A725&gt;BOTT_C2,ROUND(BASE_C2+RATE_C2*($A725-BOTT_C2),0),ROUND(RATE_C1*$A725,0))))</f>
        <v/>
      </c>
      <c r="G725" s="556">
        <f>IF($A725&gt;BOTT_D4,ROUND(BASE_D4+RATE_D4*($A725-BOTT_D4),0),IF($A725&gt;BOTT_D3,ROUND(BASE_D3+RATE_D3*($A725-BOTT_D3),0),IF($A725&gt;BOTT_D2,ROUND(BASE_D2+RATE_D2*($A725-BOTT_D2),0),ROUND(RATE_D1*$A725,0))))</f>
        <v/>
      </c>
    </row>
    <row r="726" ht="15.75" customHeight="1" s="7635">
      <c r="A726" s="625">
        <f>AVERAGE(B726,C726)</f>
        <v/>
      </c>
      <c r="B726" s="555" t="n">
        <v>33100</v>
      </c>
      <c r="C726" s="555" t="n">
        <v>33150</v>
      </c>
      <c r="D726" s="556">
        <f>IF($A726&gt;BOTT_A4,ROUND(BASE_A4+RATE_A4*($A726-BOTT_A4),0),IF($A726&gt;BOTT_A3,ROUND(BASE_A3+RATE_A3*($A726-BOTT_A3),0),IF($A726&gt;BOTT_A2,ROUND(BASE_A2+RATE_A2*($A726-BOTT_A2),0),ROUND(RATE_A1*$A726,0))))</f>
        <v/>
      </c>
      <c r="E726" s="556">
        <f>IF($A726&gt;BOTT_B4,ROUND(BASE_B4+RATE_B4*($A726-BOTT_B4),0),IF($A726&gt;BOTT_B3,ROUND(BASE_B3+RATE_B3*($A726-BOTT_B3),0),IF($A726&gt;BOTT_B2,ROUND(BASE_B2+RATE_B2*($A726-BOTT_B2),0),ROUND(RATE_B1*$A726,0))))</f>
        <v/>
      </c>
      <c r="F726" s="556">
        <f>IF($A726&gt;BOTT_C4,ROUND(BASE_C4+RATE_C4*($A726-BOTT_C4),0),IF($A726&gt;BOTT_C3,ROUND(BASE_C3+RATE_C3*($A726-BOTT_C3),0),IF($A726&gt;BOTT_C2,ROUND(BASE_C2+RATE_C2*($A726-BOTT_C2),0),ROUND(RATE_C1*$A726,0))))</f>
        <v/>
      </c>
      <c r="G726" s="556">
        <f>IF($A726&gt;BOTT_D4,ROUND(BASE_D4+RATE_D4*($A726-BOTT_D4),0),IF($A726&gt;BOTT_D3,ROUND(BASE_D3+RATE_D3*($A726-BOTT_D3),0),IF($A726&gt;BOTT_D2,ROUND(BASE_D2+RATE_D2*($A726-BOTT_D2),0),ROUND(RATE_D1*$A726,0))))</f>
        <v/>
      </c>
    </row>
    <row r="727" ht="15.75" customHeight="1" s="7635">
      <c r="A727" s="625">
        <f>AVERAGE(B727,C727)</f>
        <v/>
      </c>
      <c r="B727" s="555" t="n">
        <v>33150</v>
      </c>
      <c r="C727" s="555" t="n">
        <v>33200</v>
      </c>
      <c r="D727" s="556">
        <f>IF($A727&gt;BOTT_A4,ROUND(BASE_A4+RATE_A4*($A727-BOTT_A4),0),IF($A727&gt;BOTT_A3,ROUND(BASE_A3+RATE_A3*($A727-BOTT_A3),0),IF($A727&gt;BOTT_A2,ROUND(BASE_A2+RATE_A2*($A727-BOTT_A2),0),ROUND(RATE_A1*$A727,0))))</f>
        <v/>
      </c>
      <c r="E727" s="556">
        <f>IF($A727&gt;BOTT_B4,ROUND(BASE_B4+RATE_B4*($A727-BOTT_B4),0),IF($A727&gt;BOTT_B3,ROUND(BASE_B3+RATE_B3*($A727-BOTT_B3),0),IF($A727&gt;BOTT_B2,ROUND(BASE_B2+RATE_B2*($A727-BOTT_B2),0),ROUND(RATE_B1*$A727,0))))</f>
        <v/>
      </c>
      <c r="F727" s="556">
        <f>IF($A727&gt;BOTT_C4,ROUND(BASE_C4+RATE_C4*($A727-BOTT_C4),0),IF($A727&gt;BOTT_C3,ROUND(BASE_C3+RATE_C3*($A727-BOTT_C3),0),IF($A727&gt;BOTT_C2,ROUND(BASE_C2+RATE_C2*($A727-BOTT_C2),0),ROUND(RATE_C1*$A727,0))))</f>
        <v/>
      </c>
      <c r="G727" s="556">
        <f>IF($A727&gt;BOTT_D4,ROUND(BASE_D4+RATE_D4*($A727-BOTT_D4),0),IF($A727&gt;BOTT_D3,ROUND(BASE_D3+RATE_D3*($A727-BOTT_D3),0),IF($A727&gt;BOTT_D2,ROUND(BASE_D2+RATE_D2*($A727-BOTT_D2),0),ROUND(RATE_D1*$A727,0))))</f>
        <v/>
      </c>
    </row>
    <row r="728" ht="15.75" customHeight="1" s="7635">
      <c r="A728" s="625">
        <f>AVERAGE(B728,C728)</f>
        <v/>
      </c>
      <c r="B728" s="555" t="n">
        <v>33200</v>
      </c>
      <c r="C728" s="555" t="n">
        <v>33250</v>
      </c>
      <c r="D728" s="556">
        <f>IF($A728&gt;BOTT_A4,ROUND(BASE_A4+RATE_A4*($A728-BOTT_A4),0),IF($A728&gt;BOTT_A3,ROUND(BASE_A3+RATE_A3*($A728-BOTT_A3),0),IF($A728&gt;BOTT_A2,ROUND(BASE_A2+RATE_A2*($A728-BOTT_A2),0),ROUND(RATE_A1*$A728,0))))</f>
        <v/>
      </c>
      <c r="E728" s="556">
        <f>IF($A728&gt;BOTT_B4,ROUND(BASE_B4+RATE_B4*($A728-BOTT_B4),0),IF($A728&gt;BOTT_B3,ROUND(BASE_B3+RATE_B3*($A728-BOTT_B3),0),IF($A728&gt;BOTT_B2,ROUND(BASE_B2+RATE_B2*($A728-BOTT_B2),0),ROUND(RATE_B1*$A728,0))))</f>
        <v/>
      </c>
      <c r="F728" s="556">
        <f>IF($A728&gt;BOTT_C4,ROUND(BASE_C4+RATE_C4*($A728-BOTT_C4),0),IF($A728&gt;BOTT_C3,ROUND(BASE_C3+RATE_C3*($A728-BOTT_C3),0),IF($A728&gt;BOTT_C2,ROUND(BASE_C2+RATE_C2*($A728-BOTT_C2),0),ROUND(RATE_C1*$A728,0))))</f>
        <v/>
      </c>
      <c r="G728" s="556">
        <f>IF($A728&gt;BOTT_D4,ROUND(BASE_D4+RATE_D4*($A728-BOTT_D4),0),IF($A728&gt;BOTT_D3,ROUND(BASE_D3+RATE_D3*($A728-BOTT_D3),0),IF($A728&gt;BOTT_D2,ROUND(BASE_D2+RATE_D2*($A728-BOTT_D2),0),ROUND(RATE_D1*$A728,0))))</f>
        <v/>
      </c>
    </row>
    <row r="729" ht="15.75" customHeight="1" s="7635">
      <c r="A729" s="625">
        <f>AVERAGE(B729,C729)</f>
        <v/>
      </c>
      <c r="B729" s="555" t="n">
        <v>33250</v>
      </c>
      <c r="C729" s="555" t="n">
        <v>33300</v>
      </c>
      <c r="D729" s="556">
        <f>IF($A729&gt;BOTT_A4,ROUND(BASE_A4+RATE_A4*($A729-BOTT_A4),0),IF($A729&gt;BOTT_A3,ROUND(BASE_A3+RATE_A3*($A729-BOTT_A3),0),IF($A729&gt;BOTT_A2,ROUND(BASE_A2+RATE_A2*($A729-BOTT_A2),0),ROUND(RATE_A1*$A729,0))))</f>
        <v/>
      </c>
      <c r="E729" s="556">
        <f>IF($A729&gt;BOTT_B4,ROUND(BASE_B4+RATE_B4*($A729-BOTT_B4),0),IF($A729&gt;BOTT_B3,ROUND(BASE_B3+RATE_B3*($A729-BOTT_B3),0),IF($A729&gt;BOTT_B2,ROUND(BASE_B2+RATE_B2*($A729-BOTT_B2),0),ROUND(RATE_B1*$A729,0))))</f>
        <v/>
      </c>
      <c r="F729" s="556">
        <f>IF($A729&gt;BOTT_C4,ROUND(BASE_C4+RATE_C4*($A729-BOTT_C4),0),IF($A729&gt;BOTT_C3,ROUND(BASE_C3+RATE_C3*($A729-BOTT_C3),0),IF($A729&gt;BOTT_C2,ROUND(BASE_C2+RATE_C2*($A729-BOTT_C2),0),ROUND(RATE_C1*$A729,0))))</f>
        <v/>
      </c>
      <c r="G729" s="556">
        <f>IF($A729&gt;BOTT_D4,ROUND(BASE_D4+RATE_D4*($A729-BOTT_D4),0),IF($A729&gt;BOTT_D3,ROUND(BASE_D3+RATE_D3*($A729-BOTT_D3),0),IF($A729&gt;BOTT_D2,ROUND(BASE_D2+RATE_D2*($A729-BOTT_D2),0),ROUND(RATE_D1*$A729,0))))</f>
        <v/>
      </c>
    </row>
    <row r="730" ht="15.75" customHeight="1" s="7635">
      <c r="A730" s="625">
        <f>AVERAGE(B730,C730)</f>
        <v/>
      </c>
      <c r="B730" s="555" t="n">
        <v>33300</v>
      </c>
      <c r="C730" s="555" t="n">
        <v>33350</v>
      </c>
      <c r="D730" s="556">
        <f>IF($A730&gt;BOTT_A4,ROUND(BASE_A4+RATE_A4*($A730-BOTT_A4),0),IF($A730&gt;BOTT_A3,ROUND(BASE_A3+RATE_A3*($A730-BOTT_A3),0),IF($A730&gt;BOTT_A2,ROUND(BASE_A2+RATE_A2*($A730-BOTT_A2),0),ROUND(RATE_A1*$A730,0))))</f>
        <v/>
      </c>
      <c r="E730" s="556">
        <f>IF($A730&gt;BOTT_B4,ROUND(BASE_B4+RATE_B4*($A730-BOTT_B4),0),IF($A730&gt;BOTT_B3,ROUND(BASE_B3+RATE_B3*($A730-BOTT_B3),0),IF($A730&gt;BOTT_B2,ROUND(BASE_B2+RATE_B2*($A730-BOTT_B2),0),ROUND(RATE_B1*$A730,0))))</f>
        <v/>
      </c>
      <c r="F730" s="556">
        <f>IF($A730&gt;BOTT_C4,ROUND(BASE_C4+RATE_C4*($A730-BOTT_C4),0),IF($A730&gt;BOTT_C3,ROUND(BASE_C3+RATE_C3*($A730-BOTT_C3),0),IF($A730&gt;BOTT_C2,ROUND(BASE_C2+RATE_C2*($A730-BOTT_C2),0),ROUND(RATE_C1*$A730,0))))</f>
        <v/>
      </c>
      <c r="G730" s="556">
        <f>IF($A730&gt;BOTT_D4,ROUND(BASE_D4+RATE_D4*($A730-BOTT_D4),0),IF($A730&gt;BOTT_D3,ROUND(BASE_D3+RATE_D3*($A730-BOTT_D3),0),IF($A730&gt;BOTT_D2,ROUND(BASE_D2+RATE_D2*($A730-BOTT_D2),0),ROUND(RATE_D1*$A730,0))))</f>
        <v/>
      </c>
    </row>
    <row r="731" ht="15.75" customHeight="1" s="7635">
      <c r="A731" s="625">
        <f>AVERAGE(B731,C731)</f>
        <v/>
      </c>
      <c r="B731" s="555" t="n">
        <v>33350</v>
      </c>
      <c r="C731" s="555" t="n">
        <v>33400</v>
      </c>
      <c r="D731" s="556">
        <f>IF($A731&gt;BOTT_A4,ROUND(BASE_A4+RATE_A4*($A731-BOTT_A4),0),IF($A731&gt;BOTT_A3,ROUND(BASE_A3+RATE_A3*($A731-BOTT_A3),0),IF($A731&gt;BOTT_A2,ROUND(BASE_A2+RATE_A2*($A731-BOTT_A2),0),ROUND(RATE_A1*$A731,0))))</f>
        <v/>
      </c>
      <c r="E731" s="556">
        <f>IF($A731&gt;BOTT_B4,ROUND(BASE_B4+RATE_B4*($A731-BOTT_B4),0),IF($A731&gt;BOTT_B3,ROUND(BASE_B3+RATE_B3*($A731-BOTT_B3),0),IF($A731&gt;BOTT_B2,ROUND(BASE_B2+RATE_B2*($A731-BOTT_B2),0),ROUND(RATE_B1*$A731,0))))</f>
        <v/>
      </c>
      <c r="F731" s="556">
        <f>IF($A731&gt;BOTT_C4,ROUND(BASE_C4+RATE_C4*($A731-BOTT_C4),0),IF($A731&gt;BOTT_C3,ROUND(BASE_C3+RATE_C3*($A731-BOTT_C3),0),IF($A731&gt;BOTT_C2,ROUND(BASE_C2+RATE_C2*($A731-BOTT_C2),0),ROUND(RATE_C1*$A731,0))))</f>
        <v/>
      </c>
      <c r="G731" s="556">
        <f>IF($A731&gt;BOTT_D4,ROUND(BASE_D4+RATE_D4*($A731-BOTT_D4),0),IF($A731&gt;BOTT_D3,ROUND(BASE_D3+RATE_D3*($A731-BOTT_D3),0),IF($A731&gt;BOTT_D2,ROUND(BASE_D2+RATE_D2*($A731-BOTT_D2),0),ROUND(RATE_D1*$A731,0))))</f>
        <v/>
      </c>
    </row>
    <row r="732" ht="15.75" customHeight="1" s="7635">
      <c r="A732" s="625">
        <f>AVERAGE(B732,C732)</f>
        <v/>
      </c>
      <c r="B732" s="555" t="n">
        <v>33400</v>
      </c>
      <c r="C732" s="555" t="n">
        <v>33450</v>
      </c>
      <c r="D732" s="556">
        <f>IF($A732&gt;BOTT_A4,ROUND(BASE_A4+RATE_A4*($A732-BOTT_A4),0),IF($A732&gt;BOTT_A3,ROUND(BASE_A3+RATE_A3*($A732-BOTT_A3),0),IF($A732&gt;BOTT_A2,ROUND(BASE_A2+RATE_A2*($A732-BOTT_A2),0),ROUND(RATE_A1*$A732,0))))</f>
        <v/>
      </c>
      <c r="E732" s="556">
        <f>IF($A732&gt;BOTT_B4,ROUND(BASE_B4+RATE_B4*($A732-BOTT_B4),0),IF($A732&gt;BOTT_B3,ROUND(BASE_B3+RATE_B3*($A732-BOTT_B3),0),IF($A732&gt;BOTT_B2,ROUND(BASE_B2+RATE_B2*($A732-BOTT_B2),0),ROUND(RATE_B1*$A732,0))))</f>
        <v/>
      </c>
      <c r="F732" s="556">
        <f>IF($A732&gt;BOTT_C4,ROUND(BASE_C4+RATE_C4*($A732-BOTT_C4),0),IF($A732&gt;BOTT_C3,ROUND(BASE_C3+RATE_C3*($A732-BOTT_C3),0),IF($A732&gt;BOTT_C2,ROUND(BASE_C2+RATE_C2*($A732-BOTT_C2),0),ROUND(RATE_C1*$A732,0))))</f>
        <v/>
      </c>
      <c r="G732" s="556">
        <f>IF($A732&gt;BOTT_D4,ROUND(BASE_D4+RATE_D4*($A732-BOTT_D4),0),IF($A732&gt;BOTT_D3,ROUND(BASE_D3+RATE_D3*($A732-BOTT_D3),0),IF($A732&gt;BOTT_D2,ROUND(BASE_D2+RATE_D2*($A732-BOTT_D2),0),ROUND(RATE_D1*$A732,0))))</f>
        <v/>
      </c>
    </row>
    <row r="733" ht="15.75" customHeight="1" s="7635">
      <c r="A733" s="625">
        <f>AVERAGE(B733,C733)</f>
        <v/>
      </c>
      <c r="B733" s="555" t="n">
        <v>33450</v>
      </c>
      <c r="C733" s="555" t="n">
        <v>33500</v>
      </c>
      <c r="D733" s="556">
        <f>IF($A733&gt;BOTT_A4,ROUND(BASE_A4+RATE_A4*($A733-BOTT_A4),0),IF($A733&gt;BOTT_A3,ROUND(BASE_A3+RATE_A3*($A733-BOTT_A3),0),IF($A733&gt;BOTT_A2,ROUND(BASE_A2+RATE_A2*($A733-BOTT_A2),0),ROUND(RATE_A1*$A733,0))))</f>
        <v/>
      </c>
      <c r="E733" s="556">
        <f>IF($A733&gt;BOTT_B4,ROUND(BASE_B4+RATE_B4*($A733-BOTT_B4),0),IF($A733&gt;BOTT_B3,ROUND(BASE_B3+RATE_B3*($A733-BOTT_B3),0),IF($A733&gt;BOTT_B2,ROUND(BASE_B2+RATE_B2*($A733-BOTT_B2),0),ROUND(RATE_B1*$A733,0))))</f>
        <v/>
      </c>
      <c r="F733" s="556">
        <f>IF($A733&gt;BOTT_C4,ROUND(BASE_C4+RATE_C4*($A733-BOTT_C4),0),IF($A733&gt;BOTT_C3,ROUND(BASE_C3+RATE_C3*($A733-BOTT_C3),0),IF($A733&gt;BOTT_C2,ROUND(BASE_C2+RATE_C2*($A733-BOTT_C2),0),ROUND(RATE_C1*$A733,0))))</f>
        <v/>
      </c>
      <c r="G733" s="556">
        <f>IF($A733&gt;BOTT_D4,ROUND(BASE_D4+RATE_D4*($A733-BOTT_D4),0),IF($A733&gt;BOTT_D3,ROUND(BASE_D3+RATE_D3*($A733-BOTT_D3),0),IF($A733&gt;BOTT_D2,ROUND(BASE_D2+RATE_D2*($A733-BOTT_D2),0),ROUND(RATE_D1*$A733,0))))</f>
        <v/>
      </c>
    </row>
    <row r="734" ht="15.75" customHeight="1" s="7635">
      <c r="A734" s="625">
        <f>AVERAGE(B734,C734)</f>
        <v/>
      </c>
      <c r="B734" s="555" t="n">
        <v>33500</v>
      </c>
      <c r="C734" s="555" t="n">
        <v>33550</v>
      </c>
      <c r="D734" s="556">
        <f>IF($A734&gt;BOTT_A4,ROUND(BASE_A4+RATE_A4*($A734-BOTT_A4),0),IF($A734&gt;BOTT_A3,ROUND(BASE_A3+RATE_A3*($A734-BOTT_A3),0),IF($A734&gt;BOTT_A2,ROUND(BASE_A2+RATE_A2*($A734-BOTT_A2),0),ROUND(RATE_A1*$A734,0))))</f>
        <v/>
      </c>
      <c r="E734" s="556">
        <f>IF($A734&gt;BOTT_B4,ROUND(BASE_B4+RATE_B4*($A734-BOTT_B4),0),IF($A734&gt;BOTT_B3,ROUND(BASE_B3+RATE_B3*($A734-BOTT_B3),0),IF($A734&gt;BOTT_B2,ROUND(BASE_B2+RATE_B2*($A734-BOTT_B2),0),ROUND(RATE_B1*$A734,0))))</f>
        <v/>
      </c>
      <c r="F734" s="556">
        <f>IF($A734&gt;BOTT_C4,ROUND(BASE_C4+RATE_C4*($A734-BOTT_C4),0),IF($A734&gt;BOTT_C3,ROUND(BASE_C3+RATE_C3*($A734-BOTT_C3),0),IF($A734&gt;BOTT_C2,ROUND(BASE_C2+RATE_C2*($A734-BOTT_C2),0),ROUND(RATE_C1*$A734,0))))</f>
        <v/>
      </c>
      <c r="G734" s="556">
        <f>IF($A734&gt;BOTT_D4,ROUND(BASE_D4+RATE_D4*($A734-BOTT_D4),0),IF($A734&gt;BOTT_D3,ROUND(BASE_D3+RATE_D3*($A734-BOTT_D3),0),IF($A734&gt;BOTT_D2,ROUND(BASE_D2+RATE_D2*($A734-BOTT_D2),0),ROUND(RATE_D1*$A734,0))))</f>
        <v/>
      </c>
    </row>
    <row r="735" ht="15.75" customHeight="1" s="7635">
      <c r="A735" s="625">
        <f>AVERAGE(B735,C735)</f>
        <v/>
      </c>
      <c r="B735" s="555" t="n">
        <v>33550</v>
      </c>
      <c r="C735" s="555" t="n">
        <v>33600</v>
      </c>
      <c r="D735" s="556">
        <f>IF($A735&gt;BOTT_A4,ROUND(BASE_A4+RATE_A4*($A735-BOTT_A4),0),IF($A735&gt;BOTT_A3,ROUND(BASE_A3+RATE_A3*($A735-BOTT_A3),0),IF($A735&gt;BOTT_A2,ROUND(BASE_A2+RATE_A2*($A735-BOTT_A2),0),ROUND(RATE_A1*$A735,0))))</f>
        <v/>
      </c>
      <c r="E735" s="556">
        <f>IF($A735&gt;BOTT_B4,ROUND(BASE_B4+RATE_B4*($A735-BOTT_B4),0),IF($A735&gt;BOTT_B3,ROUND(BASE_B3+RATE_B3*($A735-BOTT_B3),0),IF($A735&gt;BOTT_B2,ROUND(BASE_B2+RATE_B2*($A735-BOTT_B2),0),ROUND(RATE_B1*$A735,0))))</f>
        <v/>
      </c>
      <c r="F735" s="556">
        <f>IF($A735&gt;BOTT_C4,ROUND(BASE_C4+RATE_C4*($A735-BOTT_C4),0),IF($A735&gt;BOTT_C3,ROUND(BASE_C3+RATE_C3*($A735-BOTT_C3),0),IF($A735&gt;BOTT_C2,ROUND(BASE_C2+RATE_C2*($A735-BOTT_C2),0),ROUND(RATE_C1*$A735,0))))</f>
        <v/>
      </c>
      <c r="G735" s="556">
        <f>IF($A735&gt;BOTT_D4,ROUND(BASE_D4+RATE_D4*($A735-BOTT_D4),0),IF($A735&gt;BOTT_D3,ROUND(BASE_D3+RATE_D3*($A735-BOTT_D3),0),IF($A735&gt;BOTT_D2,ROUND(BASE_D2+RATE_D2*($A735-BOTT_D2),0),ROUND(RATE_D1*$A735,0))))</f>
        <v/>
      </c>
    </row>
    <row r="736" ht="15.75" customHeight="1" s="7635">
      <c r="A736" s="625">
        <f>AVERAGE(B736,C736)</f>
        <v/>
      </c>
      <c r="B736" s="555" t="n">
        <v>33600</v>
      </c>
      <c r="C736" s="555" t="n">
        <v>33650</v>
      </c>
      <c r="D736" s="556">
        <f>IF($A736&gt;BOTT_A4,ROUND(BASE_A4+RATE_A4*($A736-BOTT_A4),0),IF($A736&gt;BOTT_A3,ROUND(BASE_A3+RATE_A3*($A736-BOTT_A3),0),IF($A736&gt;BOTT_A2,ROUND(BASE_A2+RATE_A2*($A736-BOTT_A2),0),ROUND(RATE_A1*$A736,0))))</f>
        <v/>
      </c>
      <c r="E736" s="556">
        <f>IF($A736&gt;BOTT_B4,ROUND(BASE_B4+RATE_B4*($A736-BOTT_B4),0),IF($A736&gt;BOTT_B3,ROUND(BASE_B3+RATE_B3*($A736-BOTT_B3),0),IF($A736&gt;BOTT_B2,ROUND(BASE_B2+RATE_B2*($A736-BOTT_B2),0),ROUND(RATE_B1*$A736,0))))</f>
        <v/>
      </c>
      <c r="F736" s="556">
        <f>IF($A736&gt;BOTT_C4,ROUND(BASE_C4+RATE_C4*($A736-BOTT_C4),0),IF($A736&gt;BOTT_C3,ROUND(BASE_C3+RATE_C3*($A736-BOTT_C3),0),IF($A736&gt;BOTT_C2,ROUND(BASE_C2+RATE_C2*($A736-BOTT_C2),0),ROUND(RATE_C1*$A736,0))))</f>
        <v/>
      </c>
      <c r="G736" s="556">
        <f>IF($A736&gt;BOTT_D4,ROUND(BASE_D4+RATE_D4*($A736-BOTT_D4),0),IF($A736&gt;BOTT_D3,ROUND(BASE_D3+RATE_D3*($A736-BOTT_D3),0),IF($A736&gt;BOTT_D2,ROUND(BASE_D2+RATE_D2*($A736-BOTT_D2),0),ROUND(RATE_D1*$A736,0))))</f>
        <v/>
      </c>
    </row>
    <row r="737" ht="15.75" customHeight="1" s="7635">
      <c r="A737" s="625">
        <f>AVERAGE(B737,C737)</f>
        <v/>
      </c>
      <c r="B737" s="555" t="n">
        <v>33650</v>
      </c>
      <c r="C737" s="555" t="n">
        <v>33700</v>
      </c>
      <c r="D737" s="556">
        <f>IF($A737&gt;BOTT_A4,ROUND(BASE_A4+RATE_A4*($A737-BOTT_A4),0),IF($A737&gt;BOTT_A3,ROUND(BASE_A3+RATE_A3*($A737-BOTT_A3),0),IF($A737&gt;BOTT_A2,ROUND(BASE_A2+RATE_A2*($A737-BOTT_A2),0),ROUND(RATE_A1*$A737,0))))</f>
        <v/>
      </c>
      <c r="E737" s="556">
        <f>IF($A737&gt;BOTT_B4,ROUND(BASE_B4+RATE_B4*($A737-BOTT_B4),0),IF($A737&gt;BOTT_B3,ROUND(BASE_B3+RATE_B3*($A737-BOTT_B3),0),IF($A737&gt;BOTT_B2,ROUND(BASE_B2+RATE_B2*($A737-BOTT_B2),0),ROUND(RATE_B1*$A737,0))))</f>
        <v/>
      </c>
      <c r="F737" s="556">
        <f>IF($A737&gt;BOTT_C4,ROUND(BASE_C4+RATE_C4*($A737-BOTT_C4),0),IF($A737&gt;BOTT_C3,ROUND(BASE_C3+RATE_C3*($A737-BOTT_C3),0),IF($A737&gt;BOTT_C2,ROUND(BASE_C2+RATE_C2*($A737-BOTT_C2),0),ROUND(RATE_C1*$A737,0))))</f>
        <v/>
      </c>
      <c r="G737" s="556">
        <f>IF($A737&gt;BOTT_D4,ROUND(BASE_D4+RATE_D4*($A737-BOTT_D4),0),IF($A737&gt;BOTT_D3,ROUND(BASE_D3+RATE_D3*($A737-BOTT_D3),0),IF($A737&gt;BOTT_D2,ROUND(BASE_D2+RATE_D2*($A737-BOTT_D2),0),ROUND(RATE_D1*$A737,0))))</f>
        <v/>
      </c>
    </row>
    <row r="738" ht="15.75" customHeight="1" s="7635">
      <c r="A738" s="625">
        <f>AVERAGE(B738,C738)</f>
        <v/>
      </c>
      <c r="B738" s="555" t="n">
        <v>33700</v>
      </c>
      <c r="C738" s="555" t="n">
        <v>33750</v>
      </c>
      <c r="D738" s="556">
        <f>IF($A738&gt;BOTT_A4,ROUND(BASE_A4+RATE_A4*($A738-BOTT_A4),0),IF($A738&gt;BOTT_A3,ROUND(BASE_A3+RATE_A3*($A738-BOTT_A3),0),IF($A738&gt;BOTT_A2,ROUND(BASE_A2+RATE_A2*($A738-BOTT_A2),0),ROUND(RATE_A1*$A738,0))))</f>
        <v/>
      </c>
      <c r="E738" s="556">
        <f>IF($A738&gt;BOTT_B4,ROUND(BASE_B4+RATE_B4*($A738-BOTT_B4),0),IF($A738&gt;BOTT_B3,ROUND(BASE_B3+RATE_B3*($A738-BOTT_B3),0),IF($A738&gt;BOTT_B2,ROUND(BASE_B2+RATE_B2*($A738-BOTT_B2),0),ROUND(RATE_B1*$A738,0))))</f>
        <v/>
      </c>
      <c r="F738" s="556">
        <f>IF($A738&gt;BOTT_C4,ROUND(BASE_C4+RATE_C4*($A738-BOTT_C4),0),IF($A738&gt;BOTT_C3,ROUND(BASE_C3+RATE_C3*($A738-BOTT_C3),0),IF($A738&gt;BOTT_C2,ROUND(BASE_C2+RATE_C2*($A738-BOTT_C2),0),ROUND(RATE_C1*$A738,0))))</f>
        <v/>
      </c>
      <c r="G738" s="556">
        <f>IF($A738&gt;BOTT_D4,ROUND(BASE_D4+RATE_D4*($A738-BOTT_D4),0),IF($A738&gt;BOTT_D3,ROUND(BASE_D3+RATE_D3*($A738-BOTT_D3),0),IF($A738&gt;BOTT_D2,ROUND(BASE_D2+RATE_D2*($A738-BOTT_D2),0),ROUND(RATE_D1*$A738,0))))</f>
        <v/>
      </c>
    </row>
    <row r="739" ht="15.75" customHeight="1" s="7635">
      <c r="A739" s="625">
        <f>AVERAGE(B739,C739)</f>
        <v/>
      </c>
      <c r="B739" s="555" t="n">
        <v>33750</v>
      </c>
      <c r="C739" s="555" t="n">
        <v>33800</v>
      </c>
      <c r="D739" s="556">
        <f>IF($A739&gt;BOTT_A4,ROUND(BASE_A4+RATE_A4*($A739-BOTT_A4),0),IF($A739&gt;BOTT_A3,ROUND(BASE_A3+RATE_A3*($A739-BOTT_A3),0),IF($A739&gt;BOTT_A2,ROUND(BASE_A2+RATE_A2*($A739-BOTT_A2),0),ROUND(RATE_A1*$A739,0))))</f>
        <v/>
      </c>
      <c r="E739" s="556">
        <f>IF($A739&gt;BOTT_B4,ROUND(BASE_B4+RATE_B4*($A739-BOTT_B4),0),IF($A739&gt;BOTT_B3,ROUND(BASE_B3+RATE_B3*($A739-BOTT_B3),0),IF($A739&gt;BOTT_B2,ROUND(BASE_B2+RATE_B2*($A739-BOTT_B2),0),ROUND(RATE_B1*$A739,0))))</f>
        <v/>
      </c>
      <c r="F739" s="556">
        <f>IF($A739&gt;BOTT_C4,ROUND(BASE_C4+RATE_C4*($A739-BOTT_C4),0),IF($A739&gt;BOTT_C3,ROUND(BASE_C3+RATE_C3*($A739-BOTT_C3),0),IF($A739&gt;BOTT_C2,ROUND(BASE_C2+RATE_C2*($A739-BOTT_C2),0),ROUND(RATE_C1*$A739,0))))</f>
        <v/>
      </c>
      <c r="G739" s="556">
        <f>IF($A739&gt;BOTT_D4,ROUND(BASE_D4+RATE_D4*($A739-BOTT_D4),0),IF($A739&gt;BOTT_D3,ROUND(BASE_D3+RATE_D3*($A739-BOTT_D3),0),IF($A739&gt;BOTT_D2,ROUND(BASE_D2+RATE_D2*($A739-BOTT_D2),0),ROUND(RATE_D1*$A739,0))))</f>
        <v/>
      </c>
    </row>
    <row r="740" ht="15.75" customHeight="1" s="7635">
      <c r="A740" s="625">
        <f>AVERAGE(B740,C740)</f>
        <v/>
      </c>
      <c r="B740" s="555" t="n">
        <v>33800</v>
      </c>
      <c r="C740" s="555" t="n">
        <v>33850</v>
      </c>
      <c r="D740" s="556">
        <f>IF($A740&gt;BOTT_A4,ROUND(BASE_A4+RATE_A4*($A740-BOTT_A4),0),IF($A740&gt;BOTT_A3,ROUND(BASE_A3+RATE_A3*($A740-BOTT_A3),0),IF($A740&gt;BOTT_A2,ROUND(BASE_A2+RATE_A2*($A740-BOTT_A2),0),ROUND(RATE_A1*$A740,0))))</f>
        <v/>
      </c>
      <c r="E740" s="556">
        <f>IF($A740&gt;BOTT_B4,ROUND(BASE_B4+RATE_B4*($A740-BOTT_B4),0),IF($A740&gt;BOTT_B3,ROUND(BASE_B3+RATE_B3*($A740-BOTT_B3),0),IF($A740&gt;BOTT_B2,ROUND(BASE_B2+RATE_B2*($A740-BOTT_B2),0),ROUND(RATE_B1*$A740,0))))</f>
        <v/>
      </c>
      <c r="F740" s="556">
        <f>IF($A740&gt;BOTT_C4,ROUND(BASE_C4+RATE_C4*($A740-BOTT_C4),0),IF($A740&gt;BOTT_C3,ROUND(BASE_C3+RATE_C3*($A740-BOTT_C3),0),IF($A740&gt;BOTT_C2,ROUND(BASE_C2+RATE_C2*($A740-BOTT_C2),0),ROUND(RATE_C1*$A740,0))))</f>
        <v/>
      </c>
      <c r="G740" s="556">
        <f>IF($A740&gt;BOTT_D4,ROUND(BASE_D4+RATE_D4*($A740-BOTT_D4),0),IF($A740&gt;BOTT_D3,ROUND(BASE_D3+RATE_D3*($A740-BOTT_D3),0),IF($A740&gt;BOTT_D2,ROUND(BASE_D2+RATE_D2*($A740-BOTT_D2),0),ROUND(RATE_D1*$A740,0))))</f>
        <v/>
      </c>
    </row>
    <row r="741" ht="15.75" customHeight="1" s="7635">
      <c r="A741" s="625">
        <f>AVERAGE(B741,C741)</f>
        <v/>
      </c>
      <c r="B741" s="555" t="n">
        <v>33850</v>
      </c>
      <c r="C741" s="555" t="n">
        <v>33900</v>
      </c>
      <c r="D741" s="556">
        <f>IF($A741&gt;BOTT_A4,ROUND(BASE_A4+RATE_A4*($A741-BOTT_A4),0),IF($A741&gt;BOTT_A3,ROUND(BASE_A3+RATE_A3*($A741-BOTT_A3),0),IF($A741&gt;BOTT_A2,ROUND(BASE_A2+RATE_A2*($A741-BOTT_A2),0),ROUND(RATE_A1*$A741,0))))</f>
        <v/>
      </c>
      <c r="E741" s="556">
        <f>IF($A741&gt;BOTT_B4,ROUND(BASE_B4+RATE_B4*($A741-BOTT_B4),0),IF($A741&gt;BOTT_B3,ROUND(BASE_B3+RATE_B3*($A741-BOTT_B3),0),IF($A741&gt;BOTT_B2,ROUND(BASE_B2+RATE_B2*($A741-BOTT_B2),0),ROUND(RATE_B1*$A741,0))))</f>
        <v/>
      </c>
      <c r="F741" s="556">
        <f>IF($A741&gt;BOTT_C4,ROUND(BASE_C4+RATE_C4*($A741-BOTT_C4),0),IF($A741&gt;BOTT_C3,ROUND(BASE_C3+RATE_C3*($A741-BOTT_C3),0),IF($A741&gt;BOTT_C2,ROUND(BASE_C2+RATE_C2*($A741-BOTT_C2),0),ROUND(RATE_C1*$A741,0))))</f>
        <v/>
      </c>
      <c r="G741" s="556">
        <f>IF($A741&gt;BOTT_D4,ROUND(BASE_D4+RATE_D4*($A741-BOTT_D4),0),IF($A741&gt;BOTT_D3,ROUND(BASE_D3+RATE_D3*($A741-BOTT_D3),0),IF($A741&gt;BOTT_D2,ROUND(BASE_D2+RATE_D2*($A741-BOTT_D2),0),ROUND(RATE_D1*$A741,0))))</f>
        <v/>
      </c>
    </row>
    <row r="742" ht="15.75" customHeight="1" s="7635">
      <c r="A742" s="625">
        <f>AVERAGE(B742,C742)</f>
        <v/>
      </c>
      <c r="B742" s="555" t="n">
        <v>33900</v>
      </c>
      <c r="C742" s="555" t="n">
        <v>33950</v>
      </c>
      <c r="D742" s="556">
        <f>IF($A742&gt;BOTT_A4,ROUND(BASE_A4+RATE_A4*($A742-BOTT_A4),0),IF($A742&gt;BOTT_A3,ROUND(BASE_A3+RATE_A3*($A742-BOTT_A3),0),IF($A742&gt;BOTT_A2,ROUND(BASE_A2+RATE_A2*($A742-BOTT_A2),0),ROUND(RATE_A1*$A742,0))))</f>
        <v/>
      </c>
      <c r="E742" s="556">
        <f>IF($A742&gt;BOTT_B4,ROUND(BASE_B4+RATE_B4*($A742-BOTT_B4),0),IF($A742&gt;BOTT_B3,ROUND(BASE_B3+RATE_B3*($A742-BOTT_B3),0),IF($A742&gt;BOTT_B2,ROUND(BASE_B2+RATE_B2*($A742-BOTT_B2),0),ROUND(RATE_B1*$A742,0))))</f>
        <v/>
      </c>
      <c r="F742" s="556">
        <f>IF($A742&gt;BOTT_C4,ROUND(BASE_C4+RATE_C4*($A742-BOTT_C4),0),IF($A742&gt;BOTT_C3,ROUND(BASE_C3+RATE_C3*($A742-BOTT_C3),0),IF($A742&gt;BOTT_C2,ROUND(BASE_C2+RATE_C2*($A742-BOTT_C2),0),ROUND(RATE_C1*$A742,0))))</f>
        <v/>
      </c>
      <c r="G742" s="556">
        <f>IF($A742&gt;BOTT_D4,ROUND(BASE_D4+RATE_D4*($A742-BOTT_D4),0),IF($A742&gt;BOTT_D3,ROUND(BASE_D3+RATE_D3*($A742-BOTT_D3),0),IF($A742&gt;BOTT_D2,ROUND(BASE_D2+RATE_D2*($A742-BOTT_D2),0),ROUND(RATE_D1*$A742,0))))</f>
        <v/>
      </c>
    </row>
    <row r="743" ht="15.75" customHeight="1" s="7635">
      <c r="A743" s="625">
        <f>AVERAGE(B743,C743)</f>
        <v/>
      </c>
      <c r="B743" s="555" t="n">
        <v>33950</v>
      </c>
      <c r="C743" s="555" t="n">
        <v>34000</v>
      </c>
      <c r="D743" s="556">
        <f>IF($A743&gt;BOTT_A4,ROUND(BASE_A4+RATE_A4*($A743-BOTT_A4),0),IF($A743&gt;BOTT_A3,ROUND(BASE_A3+RATE_A3*($A743-BOTT_A3),0),IF($A743&gt;BOTT_A2,ROUND(BASE_A2+RATE_A2*($A743-BOTT_A2),0),ROUND(RATE_A1*$A743,0))))</f>
        <v/>
      </c>
      <c r="E743" s="556">
        <f>IF($A743&gt;BOTT_B4,ROUND(BASE_B4+RATE_B4*($A743-BOTT_B4),0),IF($A743&gt;BOTT_B3,ROUND(BASE_B3+RATE_B3*($A743-BOTT_B3),0),IF($A743&gt;BOTT_B2,ROUND(BASE_B2+RATE_B2*($A743-BOTT_B2),0),ROUND(RATE_B1*$A743,0))))</f>
        <v/>
      </c>
      <c r="F743" s="556">
        <f>IF($A743&gt;BOTT_C4,ROUND(BASE_C4+RATE_C4*($A743-BOTT_C4),0),IF($A743&gt;BOTT_C3,ROUND(BASE_C3+RATE_C3*($A743-BOTT_C3),0),IF($A743&gt;BOTT_C2,ROUND(BASE_C2+RATE_C2*($A743-BOTT_C2),0),ROUND(RATE_C1*$A743,0))))</f>
        <v/>
      </c>
      <c r="G743" s="556">
        <f>IF($A743&gt;BOTT_D4,ROUND(BASE_D4+RATE_D4*($A743-BOTT_D4),0),IF($A743&gt;BOTT_D3,ROUND(BASE_D3+RATE_D3*($A743-BOTT_D3),0),IF($A743&gt;BOTT_D2,ROUND(BASE_D2+RATE_D2*($A743-BOTT_D2),0),ROUND(RATE_D1*$A743,0))))</f>
        <v/>
      </c>
    </row>
    <row r="744" ht="15.75" customHeight="1" s="7635">
      <c r="A744" s="625">
        <f>AVERAGE(B744,C744)</f>
        <v/>
      </c>
      <c r="B744" s="555" t="n">
        <v>34000</v>
      </c>
      <c r="C744" s="555" t="n">
        <v>34050</v>
      </c>
      <c r="D744" s="556">
        <f>IF($A744&gt;BOTT_A4,ROUND(BASE_A4+RATE_A4*($A744-BOTT_A4),0),IF($A744&gt;BOTT_A3,ROUND(BASE_A3+RATE_A3*($A744-BOTT_A3),0),IF($A744&gt;BOTT_A2,ROUND(BASE_A2+RATE_A2*($A744-BOTT_A2),0),ROUND(RATE_A1*$A744,0))))</f>
        <v/>
      </c>
      <c r="E744" s="556">
        <f>IF($A744&gt;BOTT_B4,ROUND(BASE_B4+RATE_B4*($A744-BOTT_B4),0),IF($A744&gt;BOTT_B3,ROUND(BASE_B3+RATE_B3*($A744-BOTT_B3),0),IF($A744&gt;BOTT_B2,ROUND(BASE_B2+RATE_B2*($A744-BOTT_B2),0),ROUND(RATE_B1*$A744,0))))</f>
        <v/>
      </c>
      <c r="F744" s="556">
        <f>IF($A744&gt;BOTT_C4,ROUND(BASE_C4+RATE_C4*($A744-BOTT_C4),0),IF($A744&gt;BOTT_C3,ROUND(BASE_C3+RATE_C3*($A744-BOTT_C3),0),IF($A744&gt;BOTT_C2,ROUND(BASE_C2+RATE_C2*($A744-BOTT_C2),0),ROUND(RATE_C1*$A744,0))))</f>
        <v/>
      </c>
      <c r="G744" s="556">
        <f>IF($A744&gt;BOTT_D4,ROUND(BASE_D4+RATE_D4*($A744-BOTT_D4),0),IF($A744&gt;BOTT_D3,ROUND(BASE_D3+RATE_D3*($A744-BOTT_D3),0),IF($A744&gt;BOTT_D2,ROUND(BASE_D2+RATE_D2*($A744-BOTT_D2),0),ROUND(RATE_D1*$A744,0))))</f>
        <v/>
      </c>
    </row>
    <row r="745" ht="15.75" customHeight="1" s="7635">
      <c r="A745" s="625">
        <f>AVERAGE(B745,C745)</f>
        <v/>
      </c>
      <c r="B745" s="555" t="n">
        <v>34050</v>
      </c>
      <c r="C745" s="555" t="n">
        <v>34100</v>
      </c>
      <c r="D745" s="556">
        <f>IF($A745&gt;BOTT_A4,ROUND(BASE_A4+RATE_A4*($A745-BOTT_A4),0),IF($A745&gt;BOTT_A3,ROUND(BASE_A3+RATE_A3*($A745-BOTT_A3),0),IF($A745&gt;BOTT_A2,ROUND(BASE_A2+RATE_A2*($A745-BOTT_A2),0),ROUND(RATE_A1*$A745,0))))</f>
        <v/>
      </c>
      <c r="E745" s="556">
        <f>IF($A745&gt;BOTT_B4,ROUND(BASE_B4+RATE_B4*($A745-BOTT_B4),0),IF($A745&gt;BOTT_B3,ROUND(BASE_B3+RATE_B3*($A745-BOTT_B3),0),IF($A745&gt;BOTT_B2,ROUND(BASE_B2+RATE_B2*($A745-BOTT_B2),0),ROUND(RATE_B1*$A745,0))))</f>
        <v/>
      </c>
      <c r="F745" s="556">
        <f>IF($A745&gt;BOTT_C4,ROUND(BASE_C4+RATE_C4*($A745-BOTT_C4),0),IF($A745&gt;BOTT_C3,ROUND(BASE_C3+RATE_C3*($A745-BOTT_C3),0),IF($A745&gt;BOTT_C2,ROUND(BASE_C2+RATE_C2*($A745-BOTT_C2),0),ROUND(RATE_C1*$A745,0))))</f>
        <v/>
      </c>
      <c r="G745" s="556">
        <f>IF($A745&gt;BOTT_D4,ROUND(BASE_D4+RATE_D4*($A745-BOTT_D4),0),IF($A745&gt;BOTT_D3,ROUND(BASE_D3+RATE_D3*($A745-BOTT_D3),0),IF($A745&gt;BOTT_D2,ROUND(BASE_D2+RATE_D2*($A745-BOTT_D2),0),ROUND(RATE_D1*$A745,0))))</f>
        <v/>
      </c>
    </row>
    <row r="746" ht="15.75" customHeight="1" s="7635">
      <c r="A746" s="625">
        <f>AVERAGE(B746,C746)</f>
        <v/>
      </c>
      <c r="B746" s="555" t="n">
        <v>34100</v>
      </c>
      <c r="C746" s="555" t="n">
        <v>34150</v>
      </c>
      <c r="D746" s="556">
        <f>IF($A746&gt;BOTT_A4,ROUND(BASE_A4+RATE_A4*($A746-BOTT_A4),0),IF($A746&gt;BOTT_A3,ROUND(BASE_A3+RATE_A3*($A746-BOTT_A3),0),IF($A746&gt;BOTT_A2,ROUND(BASE_A2+RATE_A2*($A746-BOTT_A2),0),ROUND(RATE_A1*$A746,0))))</f>
        <v/>
      </c>
      <c r="E746" s="556">
        <f>IF($A746&gt;BOTT_B4,ROUND(BASE_B4+RATE_B4*($A746-BOTT_B4),0),IF($A746&gt;BOTT_B3,ROUND(BASE_B3+RATE_B3*($A746-BOTT_B3),0),IF($A746&gt;BOTT_B2,ROUND(BASE_B2+RATE_B2*($A746-BOTT_B2),0),ROUND(RATE_B1*$A746,0))))</f>
        <v/>
      </c>
      <c r="F746" s="556">
        <f>IF($A746&gt;BOTT_C4,ROUND(BASE_C4+RATE_C4*($A746-BOTT_C4),0),IF($A746&gt;BOTT_C3,ROUND(BASE_C3+RATE_C3*($A746-BOTT_C3),0),IF($A746&gt;BOTT_C2,ROUND(BASE_C2+RATE_C2*($A746-BOTT_C2),0),ROUND(RATE_C1*$A746,0))))</f>
        <v/>
      </c>
      <c r="G746" s="556">
        <f>IF($A746&gt;BOTT_D4,ROUND(BASE_D4+RATE_D4*($A746-BOTT_D4),0),IF($A746&gt;BOTT_D3,ROUND(BASE_D3+RATE_D3*($A746-BOTT_D3),0),IF($A746&gt;BOTT_D2,ROUND(BASE_D2+RATE_D2*($A746-BOTT_D2),0),ROUND(RATE_D1*$A746,0))))</f>
        <v/>
      </c>
    </row>
    <row r="747" ht="15.75" customHeight="1" s="7635">
      <c r="A747" s="625">
        <f>AVERAGE(B747,C747)</f>
        <v/>
      </c>
      <c r="B747" s="555" t="n">
        <v>34150</v>
      </c>
      <c r="C747" s="555" t="n">
        <v>34200</v>
      </c>
      <c r="D747" s="556">
        <f>IF($A747&gt;BOTT_A4,ROUND(BASE_A4+RATE_A4*($A747-BOTT_A4),0),IF($A747&gt;BOTT_A3,ROUND(BASE_A3+RATE_A3*($A747-BOTT_A3),0),IF($A747&gt;BOTT_A2,ROUND(BASE_A2+RATE_A2*($A747-BOTT_A2),0),ROUND(RATE_A1*$A747,0))))</f>
        <v/>
      </c>
      <c r="E747" s="556">
        <f>IF($A747&gt;BOTT_B4,ROUND(BASE_B4+RATE_B4*($A747-BOTT_B4),0),IF($A747&gt;BOTT_B3,ROUND(BASE_B3+RATE_B3*($A747-BOTT_B3),0),IF($A747&gt;BOTT_B2,ROUND(BASE_B2+RATE_B2*($A747-BOTT_B2),0),ROUND(RATE_B1*$A747,0))))</f>
        <v/>
      </c>
      <c r="F747" s="556">
        <f>IF($A747&gt;BOTT_C4,ROUND(BASE_C4+RATE_C4*($A747-BOTT_C4),0),IF($A747&gt;BOTT_C3,ROUND(BASE_C3+RATE_C3*($A747-BOTT_C3),0),IF($A747&gt;BOTT_C2,ROUND(BASE_C2+RATE_C2*($A747-BOTT_C2),0),ROUND(RATE_C1*$A747,0))))</f>
        <v/>
      </c>
      <c r="G747" s="556">
        <f>IF($A747&gt;BOTT_D4,ROUND(BASE_D4+RATE_D4*($A747-BOTT_D4),0),IF($A747&gt;BOTT_D3,ROUND(BASE_D3+RATE_D3*($A747-BOTT_D3),0),IF($A747&gt;BOTT_D2,ROUND(BASE_D2+RATE_D2*($A747-BOTT_D2),0),ROUND(RATE_D1*$A747,0))))</f>
        <v/>
      </c>
    </row>
    <row r="748" ht="15.75" customHeight="1" s="7635">
      <c r="A748" s="625">
        <f>AVERAGE(B748,C748)</f>
        <v/>
      </c>
      <c r="B748" s="555" t="n">
        <v>34200</v>
      </c>
      <c r="C748" s="555" t="n">
        <v>34250</v>
      </c>
      <c r="D748" s="556">
        <f>IF($A748&gt;BOTT_A4,ROUND(BASE_A4+RATE_A4*($A748-BOTT_A4),0),IF($A748&gt;BOTT_A3,ROUND(BASE_A3+RATE_A3*($A748-BOTT_A3),0),IF($A748&gt;BOTT_A2,ROUND(BASE_A2+RATE_A2*($A748-BOTT_A2),0),ROUND(RATE_A1*$A748,0))))</f>
        <v/>
      </c>
      <c r="E748" s="556">
        <f>IF($A748&gt;BOTT_B4,ROUND(BASE_B4+RATE_B4*($A748-BOTT_B4),0),IF($A748&gt;BOTT_B3,ROUND(BASE_B3+RATE_B3*($A748-BOTT_B3),0),IF($A748&gt;BOTT_B2,ROUND(BASE_B2+RATE_B2*($A748-BOTT_B2),0),ROUND(RATE_B1*$A748,0))))</f>
        <v/>
      </c>
      <c r="F748" s="556">
        <f>IF($A748&gt;BOTT_C4,ROUND(BASE_C4+RATE_C4*($A748-BOTT_C4),0),IF($A748&gt;BOTT_C3,ROUND(BASE_C3+RATE_C3*($A748-BOTT_C3),0),IF($A748&gt;BOTT_C2,ROUND(BASE_C2+RATE_C2*($A748-BOTT_C2),0),ROUND(RATE_C1*$A748,0))))</f>
        <v/>
      </c>
      <c r="G748" s="556">
        <f>IF($A748&gt;BOTT_D4,ROUND(BASE_D4+RATE_D4*($A748-BOTT_D4),0),IF($A748&gt;BOTT_D3,ROUND(BASE_D3+RATE_D3*($A748-BOTT_D3),0),IF($A748&gt;BOTT_D2,ROUND(BASE_D2+RATE_D2*($A748-BOTT_D2),0),ROUND(RATE_D1*$A748,0))))</f>
        <v/>
      </c>
    </row>
    <row r="749" ht="15.75" customHeight="1" s="7635">
      <c r="A749" s="625">
        <f>AVERAGE(B749,C749)</f>
        <v/>
      </c>
      <c r="B749" s="555" t="n">
        <v>34250</v>
      </c>
      <c r="C749" s="555" t="n">
        <v>34300</v>
      </c>
      <c r="D749" s="556">
        <f>IF($A749&gt;BOTT_A4,ROUND(BASE_A4+RATE_A4*($A749-BOTT_A4),0),IF($A749&gt;BOTT_A3,ROUND(BASE_A3+RATE_A3*($A749-BOTT_A3),0),IF($A749&gt;BOTT_A2,ROUND(BASE_A2+RATE_A2*($A749-BOTT_A2),0),ROUND(RATE_A1*$A749,0))))</f>
        <v/>
      </c>
      <c r="E749" s="556">
        <f>IF($A749&gt;BOTT_B4,ROUND(BASE_B4+RATE_B4*($A749-BOTT_B4),0),IF($A749&gt;BOTT_B3,ROUND(BASE_B3+RATE_B3*($A749-BOTT_B3),0),IF($A749&gt;BOTT_B2,ROUND(BASE_B2+RATE_B2*($A749-BOTT_B2),0),ROUND(RATE_B1*$A749,0))))</f>
        <v/>
      </c>
      <c r="F749" s="556">
        <f>IF($A749&gt;BOTT_C4,ROUND(BASE_C4+RATE_C4*($A749-BOTT_C4),0),IF($A749&gt;BOTT_C3,ROUND(BASE_C3+RATE_C3*($A749-BOTT_C3),0),IF($A749&gt;BOTT_C2,ROUND(BASE_C2+RATE_C2*($A749-BOTT_C2),0),ROUND(RATE_C1*$A749,0))))</f>
        <v/>
      </c>
      <c r="G749" s="556">
        <f>IF($A749&gt;BOTT_D4,ROUND(BASE_D4+RATE_D4*($A749-BOTT_D4),0),IF($A749&gt;BOTT_D3,ROUND(BASE_D3+RATE_D3*($A749-BOTT_D3),0),IF($A749&gt;BOTT_D2,ROUND(BASE_D2+RATE_D2*($A749-BOTT_D2),0),ROUND(RATE_D1*$A749,0))))</f>
        <v/>
      </c>
    </row>
    <row r="750" ht="15.75" customHeight="1" s="7635">
      <c r="A750" s="625">
        <f>AVERAGE(B750,C750)</f>
        <v/>
      </c>
      <c r="B750" s="555" t="n">
        <v>34300</v>
      </c>
      <c r="C750" s="555" t="n">
        <v>34350</v>
      </c>
      <c r="D750" s="556">
        <f>IF($A750&gt;BOTT_A4,ROUND(BASE_A4+RATE_A4*($A750-BOTT_A4),0),IF($A750&gt;BOTT_A3,ROUND(BASE_A3+RATE_A3*($A750-BOTT_A3),0),IF($A750&gt;BOTT_A2,ROUND(BASE_A2+RATE_A2*($A750-BOTT_A2),0),ROUND(RATE_A1*$A750,0))))</f>
        <v/>
      </c>
      <c r="E750" s="556">
        <f>IF($A750&gt;BOTT_B4,ROUND(BASE_B4+RATE_B4*($A750-BOTT_B4),0),IF($A750&gt;BOTT_B3,ROUND(BASE_B3+RATE_B3*($A750-BOTT_B3),0),IF($A750&gt;BOTT_B2,ROUND(BASE_B2+RATE_B2*($A750-BOTT_B2),0),ROUND(RATE_B1*$A750,0))))</f>
        <v/>
      </c>
      <c r="F750" s="556">
        <f>IF($A750&gt;BOTT_C4,ROUND(BASE_C4+RATE_C4*($A750-BOTT_C4),0),IF($A750&gt;BOTT_C3,ROUND(BASE_C3+RATE_C3*($A750-BOTT_C3),0),IF($A750&gt;BOTT_C2,ROUND(BASE_C2+RATE_C2*($A750-BOTT_C2),0),ROUND(RATE_C1*$A750,0))))</f>
        <v/>
      </c>
      <c r="G750" s="556">
        <f>IF($A750&gt;BOTT_D4,ROUND(BASE_D4+RATE_D4*($A750-BOTT_D4),0),IF($A750&gt;BOTT_D3,ROUND(BASE_D3+RATE_D3*($A750-BOTT_D3),0),IF($A750&gt;BOTT_D2,ROUND(BASE_D2+RATE_D2*($A750-BOTT_D2),0),ROUND(RATE_D1*$A750,0))))</f>
        <v/>
      </c>
    </row>
    <row r="751" ht="15.75" customHeight="1" s="7635">
      <c r="A751" s="625">
        <f>AVERAGE(B751,C751)</f>
        <v/>
      </c>
      <c r="B751" s="555" t="n">
        <v>34350</v>
      </c>
      <c r="C751" s="555" t="n">
        <v>34400</v>
      </c>
      <c r="D751" s="556">
        <f>IF($A751&gt;BOTT_A4,ROUND(BASE_A4+RATE_A4*($A751-BOTT_A4),0),IF($A751&gt;BOTT_A3,ROUND(BASE_A3+RATE_A3*($A751-BOTT_A3),0),IF($A751&gt;BOTT_A2,ROUND(BASE_A2+RATE_A2*($A751-BOTT_A2),0),ROUND(RATE_A1*$A751,0))))</f>
        <v/>
      </c>
      <c r="E751" s="556">
        <f>IF($A751&gt;BOTT_B4,ROUND(BASE_B4+RATE_B4*($A751-BOTT_B4),0),IF($A751&gt;BOTT_B3,ROUND(BASE_B3+RATE_B3*($A751-BOTT_B3),0),IF($A751&gt;BOTT_B2,ROUND(BASE_B2+RATE_B2*($A751-BOTT_B2),0),ROUND(RATE_B1*$A751,0))))</f>
        <v/>
      </c>
      <c r="F751" s="556">
        <f>IF($A751&gt;BOTT_C4,ROUND(BASE_C4+RATE_C4*($A751-BOTT_C4),0),IF($A751&gt;BOTT_C3,ROUND(BASE_C3+RATE_C3*($A751-BOTT_C3),0),IF($A751&gt;BOTT_C2,ROUND(BASE_C2+RATE_C2*($A751-BOTT_C2),0),ROUND(RATE_C1*$A751,0))))</f>
        <v/>
      </c>
      <c r="G751" s="556">
        <f>IF($A751&gt;BOTT_D4,ROUND(BASE_D4+RATE_D4*($A751-BOTT_D4),0),IF($A751&gt;BOTT_D3,ROUND(BASE_D3+RATE_D3*($A751-BOTT_D3),0),IF($A751&gt;BOTT_D2,ROUND(BASE_D2+RATE_D2*($A751-BOTT_D2),0),ROUND(RATE_D1*$A751,0))))</f>
        <v/>
      </c>
    </row>
    <row r="752" ht="15.75" customHeight="1" s="7635">
      <c r="A752" s="625">
        <f>AVERAGE(B752,C752)</f>
        <v/>
      </c>
      <c r="B752" s="555" t="n">
        <v>34400</v>
      </c>
      <c r="C752" s="555" t="n">
        <v>34450</v>
      </c>
      <c r="D752" s="556">
        <f>IF($A752&gt;BOTT_A4,ROUND(BASE_A4+RATE_A4*($A752-BOTT_A4),0),IF($A752&gt;BOTT_A3,ROUND(BASE_A3+RATE_A3*($A752-BOTT_A3),0),IF($A752&gt;BOTT_A2,ROUND(BASE_A2+RATE_A2*($A752-BOTT_A2),0),ROUND(RATE_A1*$A752,0))))</f>
        <v/>
      </c>
      <c r="E752" s="556">
        <f>IF($A752&gt;BOTT_B4,ROUND(BASE_B4+RATE_B4*($A752-BOTT_B4),0),IF($A752&gt;BOTT_B3,ROUND(BASE_B3+RATE_B3*($A752-BOTT_B3),0),IF($A752&gt;BOTT_B2,ROUND(BASE_B2+RATE_B2*($A752-BOTT_B2),0),ROUND(RATE_B1*$A752,0))))</f>
        <v/>
      </c>
      <c r="F752" s="556">
        <f>IF($A752&gt;BOTT_C4,ROUND(BASE_C4+RATE_C4*($A752-BOTT_C4),0),IF($A752&gt;BOTT_C3,ROUND(BASE_C3+RATE_C3*($A752-BOTT_C3),0),IF($A752&gt;BOTT_C2,ROUND(BASE_C2+RATE_C2*($A752-BOTT_C2),0),ROUND(RATE_C1*$A752,0))))</f>
        <v/>
      </c>
      <c r="G752" s="556">
        <f>IF($A752&gt;BOTT_D4,ROUND(BASE_D4+RATE_D4*($A752-BOTT_D4),0),IF($A752&gt;BOTT_D3,ROUND(BASE_D3+RATE_D3*($A752-BOTT_D3),0),IF($A752&gt;BOTT_D2,ROUND(BASE_D2+RATE_D2*($A752-BOTT_D2),0),ROUND(RATE_D1*$A752,0))))</f>
        <v/>
      </c>
    </row>
    <row r="753" ht="15.75" customHeight="1" s="7635">
      <c r="A753" s="625">
        <f>AVERAGE(B753,C753)</f>
        <v/>
      </c>
      <c r="B753" s="555" t="n">
        <v>34450</v>
      </c>
      <c r="C753" s="555" t="n">
        <v>34500</v>
      </c>
      <c r="D753" s="556">
        <f>IF($A753&gt;BOTT_A4,ROUND(BASE_A4+RATE_A4*($A753-BOTT_A4),0),IF($A753&gt;BOTT_A3,ROUND(BASE_A3+RATE_A3*($A753-BOTT_A3),0),IF($A753&gt;BOTT_A2,ROUND(BASE_A2+RATE_A2*($A753-BOTT_A2),0),ROUND(RATE_A1*$A753,0))))</f>
        <v/>
      </c>
      <c r="E753" s="556">
        <f>IF($A753&gt;BOTT_B4,ROUND(BASE_B4+RATE_B4*($A753-BOTT_B4),0),IF($A753&gt;BOTT_B3,ROUND(BASE_B3+RATE_B3*($A753-BOTT_B3),0),IF($A753&gt;BOTT_B2,ROUND(BASE_B2+RATE_B2*($A753-BOTT_B2),0),ROUND(RATE_B1*$A753,0))))</f>
        <v/>
      </c>
      <c r="F753" s="556">
        <f>IF($A753&gt;BOTT_C4,ROUND(BASE_C4+RATE_C4*($A753-BOTT_C4),0),IF($A753&gt;BOTT_C3,ROUND(BASE_C3+RATE_C3*($A753-BOTT_C3),0),IF($A753&gt;BOTT_C2,ROUND(BASE_C2+RATE_C2*($A753-BOTT_C2),0),ROUND(RATE_C1*$A753,0))))</f>
        <v/>
      </c>
      <c r="G753" s="556">
        <f>IF($A753&gt;BOTT_D4,ROUND(BASE_D4+RATE_D4*($A753-BOTT_D4),0),IF($A753&gt;BOTT_D3,ROUND(BASE_D3+RATE_D3*($A753-BOTT_D3),0),IF($A753&gt;BOTT_D2,ROUND(BASE_D2+RATE_D2*($A753-BOTT_D2),0),ROUND(RATE_D1*$A753,0))))</f>
        <v/>
      </c>
    </row>
    <row r="754" ht="15.75" customHeight="1" s="7635">
      <c r="A754" s="625">
        <f>AVERAGE(B754,C754)</f>
        <v/>
      </c>
      <c r="B754" s="555" t="n">
        <v>34500</v>
      </c>
      <c r="C754" s="555" t="n">
        <v>34550</v>
      </c>
      <c r="D754" s="556">
        <f>IF($A754&gt;BOTT_A4,ROUND(BASE_A4+RATE_A4*($A754-BOTT_A4),0),IF($A754&gt;BOTT_A3,ROUND(BASE_A3+RATE_A3*($A754-BOTT_A3),0),IF($A754&gt;BOTT_A2,ROUND(BASE_A2+RATE_A2*($A754-BOTT_A2),0),ROUND(RATE_A1*$A754,0))))</f>
        <v/>
      </c>
      <c r="E754" s="556">
        <f>IF($A754&gt;BOTT_B4,ROUND(BASE_B4+RATE_B4*($A754-BOTT_B4),0),IF($A754&gt;BOTT_B3,ROUND(BASE_B3+RATE_B3*($A754-BOTT_B3),0),IF($A754&gt;BOTT_B2,ROUND(BASE_B2+RATE_B2*($A754-BOTT_B2),0),ROUND(RATE_B1*$A754,0))))</f>
        <v/>
      </c>
      <c r="F754" s="556">
        <f>IF($A754&gt;BOTT_C4,ROUND(BASE_C4+RATE_C4*($A754-BOTT_C4),0),IF($A754&gt;BOTT_C3,ROUND(BASE_C3+RATE_C3*($A754-BOTT_C3),0),IF($A754&gt;BOTT_C2,ROUND(BASE_C2+RATE_C2*($A754-BOTT_C2),0),ROUND(RATE_C1*$A754,0))))</f>
        <v/>
      </c>
      <c r="G754" s="556">
        <f>IF($A754&gt;BOTT_D4,ROUND(BASE_D4+RATE_D4*($A754-BOTT_D4),0),IF($A754&gt;BOTT_D3,ROUND(BASE_D3+RATE_D3*($A754-BOTT_D3),0),IF($A754&gt;BOTT_D2,ROUND(BASE_D2+RATE_D2*($A754-BOTT_D2),0),ROUND(RATE_D1*$A754,0))))</f>
        <v/>
      </c>
    </row>
    <row r="755" ht="15.75" customHeight="1" s="7635">
      <c r="A755" s="625">
        <f>AVERAGE(B755,C755)</f>
        <v/>
      </c>
      <c r="B755" s="555" t="n">
        <v>34550</v>
      </c>
      <c r="C755" s="555" t="n">
        <v>34600</v>
      </c>
      <c r="D755" s="556">
        <f>IF($A755&gt;BOTT_A4,ROUND(BASE_A4+RATE_A4*($A755-BOTT_A4),0),IF($A755&gt;BOTT_A3,ROUND(BASE_A3+RATE_A3*($A755-BOTT_A3),0),IF($A755&gt;BOTT_A2,ROUND(BASE_A2+RATE_A2*($A755-BOTT_A2),0),ROUND(RATE_A1*$A755,0))))</f>
        <v/>
      </c>
      <c r="E755" s="556">
        <f>IF($A755&gt;BOTT_B4,ROUND(BASE_B4+RATE_B4*($A755-BOTT_B4),0),IF($A755&gt;BOTT_B3,ROUND(BASE_B3+RATE_B3*($A755-BOTT_B3),0),IF($A755&gt;BOTT_B2,ROUND(BASE_B2+RATE_B2*($A755-BOTT_B2),0),ROUND(RATE_B1*$A755,0))))</f>
        <v/>
      </c>
      <c r="F755" s="556">
        <f>IF($A755&gt;BOTT_C4,ROUND(BASE_C4+RATE_C4*($A755-BOTT_C4),0),IF($A755&gt;BOTT_C3,ROUND(BASE_C3+RATE_C3*($A755-BOTT_C3),0),IF($A755&gt;BOTT_C2,ROUND(BASE_C2+RATE_C2*($A755-BOTT_C2),0),ROUND(RATE_C1*$A755,0))))</f>
        <v/>
      </c>
      <c r="G755" s="556">
        <f>IF($A755&gt;BOTT_D4,ROUND(BASE_D4+RATE_D4*($A755-BOTT_D4),0),IF($A755&gt;BOTT_D3,ROUND(BASE_D3+RATE_D3*($A755-BOTT_D3),0),IF($A755&gt;BOTT_D2,ROUND(BASE_D2+RATE_D2*($A755-BOTT_D2),0),ROUND(RATE_D1*$A755,0))))</f>
        <v/>
      </c>
    </row>
    <row r="756" ht="15.75" customHeight="1" s="7635">
      <c r="A756" s="625">
        <f>AVERAGE(B756,C756)</f>
        <v/>
      </c>
      <c r="B756" s="555" t="n">
        <v>34600</v>
      </c>
      <c r="C756" s="555" t="n">
        <v>34650</v>
      </c>
      <c r="D756" s="556">
        <f>IF($A756&gt;BOTT_A4,ROUND(BASE_A4+RATE_A4*($A756-BOTT_A4),0),IF($A756&gt;BOTT_A3,ROUND(BASE_A3+RATE_A3*($A756-BOTT_A3),0),IF($A756&gt;BOTT_A2,ROUND(BASE_A2+RATE_A2*($A756-BOTT_A2),0),ROUND(RATE_A1*$A756,0))))</f>
        <v/>
      </c>
      <c r="E756" s="556">
        <f>IF($A756&gt;BOTT_B4,ROUND(BASE_B4+RATE_B4*($A756-BOTT_B4),0),IF($A756&gt;BOTT_B3,ROUND(BASE_B3+RATE_B3*($A756-BOTT_B3),0),IF($A756&gt;BOTT_B2,ROUND(BASE_B2+RATE_B2*($A756-BOTT_B2),0),ROUND(RATE_B1*$A756,0))))</f>
        <v/>
      </c>
      <c r="F756" s="556">
        <f>IF($A756&gt;BOTT_C4,ROUND(BASE_C4+RATE_C4*($A756-BOTT_C4),0),IF($A756&gt;BOTT_C3,ROUND(BASE_C3+RATE_C3*($A756-BOTT_C3),0),IF($A756&gt;BOTT_C2,ROUND(BASE_C2+RATE_C2*($A756-BOTT_C2),0),ROUND(RATE_C1*$A756,0))))</f>
        <v/>
      </c>
      <c r="G756" s="556">
        <f>IF($A756&gt;BOTT_D4,ROUND(BASE_D4+RATE_D4*($A756-BOTT_D4),0),IF($A756&gt;BOTT_D3,ROUND(BASE_D3+RATE_D3*($A756-BOTT_D3),0),IF($A756&gt;BOTT_D2,ROUND(BASE_D2+RATE_D2*($A756-BOTT_D2),0),ROUND(RATE_D1*$A756,0))))</f>
        <v/>
      </c>
    </row>
    <row r="757" ht="15.75" customHeight="1" s="7635">
      <c r="A757" s="625">
        <f>AVERAGE(B757,C757)</f>
        <v/>
      </c>
      <c r="B757" s="555" t="n">
        <v>34650</v>
      </c>
      <c r="C757" s="555" t="n">
        <v>34700</v>
      </c>
      <c r="D757" s="556">
        <f>IF($A757&gt;BOTT_A4,ROUND(BASE_A4+RATE_A4*($A757-BOTT_A4),0),IF($A757&gt;BOTT_A3,ROUND(BASE_A3+RATE_A3*($A757-BOTT_A3),0),IF($A757&gt;BOTT_A2,ROUND(BASE_A2+RATE_A2*($A757-BOTT_A2),0),ROUND(RATE_A1*$A757,0))))</f>
        <v/>
      </c>
      <c r="E757" s="556">
        <f>IF($A757&gt;BOTT_B4,ROUND(BASE_B4+RATE_B4*($A757-BOTT_B4),0),IF($A757&gt;BOTT_B3,ROUND(BASE_B3+RATE_B3*($A757-BOTT_B3),0),IF($A757&gt;BOTT_B2,ROUND(BASE_B2+RATE_B2*($A757-BOTT_B2),0),ROUND(RATE_B1*$A757,0))))</f>
        <v/>
      </c>
      <c r="F757" s="556">
        <f>IF($A757&gt;BOTT_C4,ROUND(BASE_C4+RATE_C4*($A757-BOTT_C4),0),IF($A757&gt;BOTT_C3,ROUND(BASE_C3+RATE_C3*($A757-BOTT_C3),0),IF($A757&gt;BOTT_C2,ROUND(BASE_C2+RATE_C2*($A757-BOTT_C2),0),ROUND(RATE_C1*$A757,0))))</f>
        <v/>
      </c>
      <c r="G757" s="556">
        <f>IF($A757&gt;BOTT_D4,ROUND(BASE_D4+RATE_D4*($A757-BOTT_D4),0),IF($A757&gt;BOTT_D3,ROUND(BASE_D3+RATE_D3*($A757-BOTT_D3),0),IF($A757&gt;BOTT_D2,ROUND(BASE_D2+RATE_D2*($A757-BOTT_D2),0),ROUND(RATE_D1*$A757,0))))</f>
        <v/>
      </c>
    </row>
    <row r="758" ht="15.75" customHeight="1" s="7635">
      <c r="A758" s="625">
        <f>AVERAGE(B758,C758)</f>
        <v/>
      </c>
      <c r="B758" s="555" t="n">
        <v>34700</v>
      </c>
      <c r="C758" s="555" t="n">
        <v>34750</v>
      </c>
      <c r="D758" s="556">
        <f>IF($A758&gt;BOTT_A4,ROUND(BASE_A4+RATE_A4*($A758-BOTT_A4),0),IF($A758&gt;BOTT_A3,ROUND(BASE_A3+RATE_A3*($A758-BOTT_A3),0),IF($A758&gt;BOTT_A2,ROUND(BASE_A2+RATE_A2*($A758-BOTT_A2),0),ROUND(RATE_A1*$A758,0))))</f>
        <v/>
      </c>
      <c r="E758" s="556">
        <f>IF($A758&gt;BOTT_B4,ROUND(BASE_B4+RATE_B4*($A758-BOTT_B4),0),IF($A758&gt;BOTT_B3,ROUND(BASE_B3+RATE_B3*($A758-BOTT_B3),0),IF($A758&gt;BOTT_B2,ROUND(BASE_B2+RATE_B2*($A758-BOTT_B2),0),ROUND(RATE_B1*$A758,0))))</f>
        <v/>
      </c>
      <c r="F758" s="556">
        <f>IF($A758&gt;BOTT_C4,ROUND(BASE_C4+RATE_C4*($A758-BOTT_C4),0),IF($A758&gt;BOTT_C3,ROUND(BASE_C3+RATE_C3*($A758-BOTT_C3),0),IF($A758&gt;BOTT_C2,ROUND(BASE_C2+RATE_C2*($A758-BOTT_C2),0),ROUND(RATE_C1*$A758,0))))</f>
        <v/>
      </c>
      <c r="G758" s="556">
        <f>IF($A758&gt;BOTT_D4,ROUND(BASE_D4+RATE_D4*($A758-BOTT_D4),0),IF($A758&gt;BOTT_D3,ROUND(BASE_D3+RATE_D3*($A758-BOTT_D3),0),IF($A758&gt;BOTT_D2,ROUND(BASE_D2+RATE_D2*($A758-BOTT_D2),0),ROUND(RATE_D1*$A758,0))))</f>
        <v/>
      </c>
    </row>
    <row r="759" ht="15.75" customHeight="1" s="7635">
      <c r="A759" s="625">
        <f>AVERAGE(B759,C759)</f>
        <v/>
      </c>
      <c r="B759" s="555" t="n">
        <v>34750</v>
      </c>
      <c r="C759" s="555" t="n">
        <v>34800</v>
      </c>
      <c r="D759" s="556">
        <f>IF($A759&gt;BOTT_A4,ROUND(BASE_A4+RATE_A4*($A759-BOTT_A4),0),IF($A759&gt;BOTT_A3,ROUND(BASE_A3+RATE_A3*($A759-BOTT_A3),0),IF($A759&gt;BOTT_A2,ROUND(BASE_A2+RATE_A2*($A759-BOTT_A2),0),ROUND(RATE_A1*$A759,0))))</f>
        <v/>
      </c>
      <c r="E759" s="556">
        <f>IF($A759&gt;BOTT_B4,ROUND(BASE_B4+RATE_B4*($A759-BOTT_B4),0),IF($A759&gt;BOTT_B3,ROUND(BASE_B3+RATE_B3*($A759-BOTT_B3),0),IF($A759&gt;BOTT_B2,ROUND(BASE_B2+RATE_B2*($A759-BOTT_B2),0),ROUND(RATE_B1*$A759,0))))</f>
        <v/>
      </c>
      <c r="F759" s="556">
        <f>IF($A759&gt;BOTT_C4,ROUND(BASE_C4+RATE_C4*($A759-BOTT_C4),0),IF($A759&gt;BOTT_C3,ROUND(BASE_C3+RATE_C3*($A759-BOTT_C3),0),IF($A759&gt;BOTT_C2,ROUND(BASE_C2+RATE_C2*($A759-BOTT_C2),0),ROUND(RATE_C1*$A759,0))))</f>
        <v/>
      </c>
      <c r="G759" s="556">
        <f>IF($A759&gt;BOTT_D4,ROUND(BASE_D4+RATE_D4*($A759-BOTT_D4),0),IF($A759&gt;BOTT_D3,ROUND(BASE_D3+RATE_D3*($A759-BOTT_D3),0),IF($A759&gt;BOTT_D2,ROUND(BASE_D2+RATE_D2*($A759-BOTT_D2),0),ROUND(RATE_D1*$A759,0))))</f>
        <v/>
      </c>
    </row>
    <row r="760" ht="15.75" customHeight="1" s="7635">
      <c r="A760" s="625">
        <f>AVERAGE(B760,C760)</f>
        <v/>
      </c>
      <c r="B760" s="555" t="n">
        <v>34800</v>
      </c>
      <c r="C760" s="555" t="n">
        <v>34850</v>
      </c>
      <c r="D760" s="556">
        <f>IF($A760&gt;BOTT_A4,ROUND(BASE_A4+RATE_A4*($A760-BOTT_A4),0),IF($A760&gt;BOTT_A3,ROUND(BASE_A3+RATE_A3*($A760-BOTT_A3),0),IF($A760&gt;BOTT_A2,ROUND(BASE_A2+RATE_A2*($A760-BOTT_A2),0),ROUND(RATE_A1*$A760,0))))</f>
        <v/>
      </c>
      <c r="E760" s="556">
        <f>IF($A760&gt;BOTT_B4,ROUND(BASE_B4+RATE_B4*($A760-BOTT_B4),0),IF($A760&gt;BOTT_B3,ROUND(BASE_B3+RATE_B3*($A760-BOTT_B3),0),IF($A760&gt;BOTT_B2,ROUND(BASE_B2+RATE_B2*($A760-BOTT_B2),0),ROUND(RATE_B1*$A760,0))))</f>
        <v/>
      </c>
      <c r="F760" s="556">
        <f>IF($A760&gt;BOTT_C4,ROUND(BASE_C4+RATE_C4*($A760-BOTT_C4),0),IF($A760&gt;BOTT_C3,ROUND(BASE_C3+RATE_C3*($A760-BOTT_C3),0),IF($A760&gt;BOTT_C2,ROUND(BASE_C2+RATE_C2*($A760-BOTT_C2),0),ROUND(RATE_C1*$A760,0))))</f>
        <v/>
      </c>
      <c r="G760" s="556">
        <f>IF($A760&gt;BOTT_D4,ROUND(BASE_D4+RATE_D4*($A760-BOTT_D4),0),IF($A760&gt;BOTT_D3,ROUND(BASE_D3+RATE_D3*($A760-BOTT_D3),0),IF($A760&gt;BOTT_D2,ROUND(BASE_D2+RATE_D2*($A760-BOTT_D2),0),ROUND(RATE_D1*$A760,0))))</f>
        <v/>
      </c>
    </row>
    <row r="761" ht="15.75" customHeight="1" s="7635">
      <c r="A761" s="625">
        <f>AVERAGE(B761,C761)</f>
        <v/>
      </c>
      <c r="B761" s="555" t="n">
        <v>34850</v>
      </c>
      <c r="C761" s="555" t="n">
        <v>34900</v>
      </c>
      <c r="D761" s="556">
        <f>IF($A761&gt;BOTT_A4,ROUND(BASE_A4+RATE_A4*($A761-BOTT_A4),0),IF($A761&gt;BOTT_A3,ROUND(BASE_A3+RATE_A3*($A761-BOTT_A3),0),IF($A761&gt;BOTT_A2,ROUND(BASE_A2+RATE_A2*($A761-BOTT_A2),0),ROUND(RATE_A1*$A761,0))))</f>
        <v/>
      </c>
      <c r="E761" s="556">
        <f>IF($A761&gt;BOTT_B4,ROUND(BASE_B4+RATE_B4*($A761-BOTT_B4),0),IF($A761&gt;BOTT_B3,ROUND(BASE_B3+RATE_B3*($A761-BOTT_B3),0),IF($A761&gt;BOTT_B2,ROUND(BASE_B2+RATE_B2*($A761-BOTT_B2),0),ROUND(RATE_B1*$A761,0))))</f>
        <v/>
      </c>
      <c r="F761" s="556">
        <f>IF($A761&gt;BOTT_C4,ROUND(BASE_C4+RATE_C4*($A761-BOTT_C4),0),IF($A761&gt;BOTT_C3,ROUND(BASE_C3+RATE_C3*($A761-BOTT_C3),0),IF($A761&gt;BOTT_C2,ROUND(BASE_C2+RATE_C2*($A761-BOTT_C2),0),ROUND(RATE_C1*$A761,0))))</f>
        <v/>
      </c>
      <c r="G761" s="556">
        <f>IF($A761&gt;BOTT_D4,ROUND(BASE_D4+RATE_D4*($A761-BOTT_D4),0),IF($A761&gt;BOTT_D3,ROUND(BASE_D3+RATE_D3*($A761-BOTT_D3),0),IF($A761&gt;BOTT_D2,ROUND(BASE_D2+RATE_D2*($A761-BOTT_D2),0),ROUND(RATE_D1*$A761,0))))</f>
        <v/>
      </c>
    </row>
    <row r="762" ht="15.75" customHeight="1" s="7635">
      <c r="A762" s="625">
        <f>AVERAGE(B762,C762)</f>
        <v/>
      </c>
      <c r="B762" s="555" t="n">
        <v>34900</v>
      </c>
      <c r="C762" s="555" t="n">
        <v>34950</v>
      </c>
      <c r="D762" s="556">
        <f>IF($A762&gt;BOTT_A4,ROUND(BASE_A4+RATE_A4*($A762-BOTT_A4),0),IF($A762&gt;BOTT_A3,ROUND(BASE_A3+RATE_A3*($A762-BOTT_A3),0),IF($A762&gt;BOTT_A2,ROUND(BASE_A2+RATE_A2*($A762-BOTT_A2),0),ROUND(RATE_A1*$A762,0))))</f>
        <v/>
      </c>
      <c r="E762" s="556">
        <f>IF($A762&gt;BOTT_B4,ROUND(BASE_B4+RATE_B4*($A762-BOTT_B4),0),IF($A762&gt;BOTT_B3,ROUND(BASE_B3+RATE_B3*($A762-BOTT_B3),0),IF($A762&gt;BOTT_B2,ROUND(BASE_B2+RATE_B2*($A762-BOTT_B2),0),ROUND(RATE_B1*$A762,0))))</f>
        <v/>
      </c>
      <c r="F762" s="556">
        <f>IF($A762&gt;BOTT_C4,ROUND(BASE_C4+RATE_C4*($A762-BOTT_C4),0),IF($A762&gt;BOTT_C3,ROUND(BASE_C3+RATE_C3*($A762-BOTT_C3),0),IF($A762&gt;BOTT_C2,ROUND(BASE_C2+RATE_C2*($A762-BOTT_C2),0),ROUND(RATE_C1*$A762,0))))</f>
        <v/>
      </c>
      <c r="G762" s="556">
        <f>IF($A762&gt;BOTT_D4,ROUND(BASE_D4+RATE_D4*($A762-BOTT_D4),0),IF($A762&gt;BOTT_D3,ROUND(BASE_D3+RATE_D3*($A762-BOTT_D3),0),IF($A762&gt;BOTT_D2,ROUND(BASE_D2+RATE_D2*($A762-BOTT_D2),0),ROUND(RATE_D1*$A762,0))))</f>
        <v/>
      </c>
    </row>
    <row r="763" ht="15.75" customHeight="1" s="7635">
      <c r="A763" s="625">
        <f>AVERAGE(B763,C763)</f>
        <v/>
      </c>
      <c r="B763" s="555" t="n">
        <v>34950</v>
      </c>
      <c r="C763" s="555" t="n">
        <v>35000</v>
      </c>
      <c r="D763" s="556">
        <f>IF($A763&gt;BOTT_A4,ROUND(BASE_A4+RATE_A4*($A763-BOTT_A4),0),IF($A763&gt;BOTT_A3,ROUND(BASE_A3+RATE_A3*($A763-BOTT_A3),0),IF($A763&gt;BOTT_A2,ROUND(BASE_A2+RATE_A2*($A763-BOTT_A2),0),ROUND(RATE_A1*$A763,0))))</f>
        <v/>
      </c>
      <c r="E763" s="556">
        <f>IF($A763&gt;BOTT_B4,ROUND(BASE_B4+RATE_B4*($A763-BOTT_B4),0),IF($A763&gt;BOTT_B3,ROUND(BASE_B3+RATE_B3*($A763-BOTT_B3),0),IF($A763&gt;BOTT_B2,ROUND(BASE_B2+RATE_B2*($A763-BOTT_B2),0),ROUND(RATE_B1*$A763,0))))</f>
        <v/>
      </c>
      <c r="F763" s="556">
        <f>IF($A763&gt;BOTT_C4,ROUND(BASE_C4+RATE_C4*($A763-BOTT_C4),0),IF($A763&gt;BOTT_C3,ROUND(BASE_C3+RATE_C3*($A763-BOTT_C3),0),IF($A763&gt;BOTT_C2,ROUND(BASE_C2+RATE_C2*($A763-BOTT_C2),0),ROUND(RATE_C1*$A763,0))))</f>
        <v/>
      </c>
      <c r="G763" s="556">
        <f>IF($A763&gt;BOTT_D4,ROUND(BASE_D4+RATE_D4*($A763-BOTT_D4),0),IF($A763&gt;BOTT_D3,ROUND(BASE_D3+RATE_D3*($A763-BOTT_D3),0),IF($A763&gt;BOTT_D2,ROUND(BASE_D2+RATE_D2*($A763-BOTT_D2),0),ROUND(RATE_D1*$A763,0))))</f>
        <v/>
      </c>
    </row>
    <row r="764" ht="15.75" customHeight="1" s="7635">
      <c r="A764" s="625">
        <f>AVERAGE(B764,C764)</f>
        <v/>
      </c>
      <c r="B764" s="555" t="n">
        <v>35000</v>
      </c>
      <c r="C764" s="555" t="n">
        <v>35050</v>
      </c>
      <c r="D764" s="556">
        <f>IF($A764&gt;BOTT_A4,ROUND(BASE_A4+RATE_A4*($A764-BOTT_A4),0),IF($A764&gt;BOTT_A3,ROUND(BASE_A3+RATE_A3*($A764-BOTT_A3),0),IF($A764&gt;BOTT_A2,ROUND(BASE_A2+RATE_A2*($A764-BOTT_A2),0),ROUND(RATE_A1*$A764,0))))</f>
        <v/>
      </c>
      <c r="E764" s="556">
        <f>IF($A764&gt;BOTT_B4,ROUND(BASE_B4+RATE_B4*($A764-BOTT_B4),0),IF($A764&gt;BOTT_B3,ROUND(BASE_B3+RATE_B3*($A764-BOTT_B3),0),IF($A764&gt;BOTT_B2,ROUND(BASE_B2+RATE_B2*($A764-BOTT_B2),0),ROUND(RATE_B1*$A764,0))))</f>
        <v/>
      </c>
      <c r="F764" s="556">
        <f>IF($A764&gt;BOTT_C4,ROUND(BASE_C4+RATE_C4*($A764-BOTT_C4),0),IF($A764&gt;BOTT_C3,ROUND(BASE_C3+RATE_C3*($A764-BOTT_C3),0),IF($A764&gt;BOTT_C2,ROUND(BASE_C2+RATE_C2*($A764-BOTT_C2),0),ROUND(RATE_C1*$A764,0))))</f>
        <v/>
      </c>
      <c r="G764" s="556">
        <f>IF($A764&gt;BOTT_D4,ROUND(BASE_D4+RATE_D4*($A764-BOTT_D4),0),IF($A764&gt;BOTT_D3,ROUND(BASE_D3+RATE_D3*($A764-BOTT_D3),0),IF($A764&gt;BOTT_D2,ROUND(BASE_D2+RATE_D2*($A764-BOTT_D2),0),ROUND(RATE_D1*$A764,0))))</f>
        <v/>
      </c>
    </row>
    <row r="765" ht="15.75" customHeight="1" s="7635">
      <c r="A765" s="625">
        <f>AVERAGE(B765,C765)</f>
        <v/>
      </c>
      <c r="B765" s="555" t="n">
        <v>35050</v>
      </c>
      <c r="C765" s="555" t="n">
        <v>35100</v>
      </c>
      <c r="D765" s="556">
        <f>IF($A765&gt;BOTT_A4,ROUND(BASE_A4+RATE_A4*($A765-BOTT_A4),0),IF($A765&gt;BOTT_A3,ROUND(BASE_A3+RATE_A3*($A765-BOTT_A3),0),IF($A765&gt;BOTT_A2,ROUND(BASE_A2+RATE_A2*($A765-BOTT_A2),0),ROUND(RATE_A1*$A765,0))))</f>
        <v/>
      </c>
      <c r="E765" s="556">
        <f>IF($A765&gt;BOTT_B4,ROUND(BASE_B4+RATE_B4*($A765-BOTT_B4),0),IF($A765&gt;BOTT_B3,ROUND(BASE_B3+RATE_B3*($A765-BOTT_B3),0),IF($A765&gt;BOTT_B2,ROUND(BASE_B2+RATE_B2*($A765-BOTT_B2),0),ROUND(RATE_B1*$A765,0))))</f>
        <v/>
      </c>
      <c r="F765" s="556">
        <f>IF($A765&gt;BOTT_C4,ROUND(BASE_C4+RATE_C4*($A765-BOTT_C4),0),IF($A765&gt;BOTT_C3,ROUND(BASE_C3+RATE_C3*($A765-BOTT_C3),0),IF($A765&gt;BOTT_C2,ROUND(BASE_C2+RATE_C2*($A765-BOTT_C2),0),ROUND(RATE_C1*$A765,0))))</f>
        <v/>
      </c>
      <c r="G765" s="556">
        <f>IF($A765&gt;BOTT_D4,ROUND(BASE_D4+RATE_D4*($A765-BOTT_D4),0),IF($A765&gt;BOTT_D3,ROUND(BASE_D3+RATE_D3*($A765-BOTT_D3),0),IF($A765&gt;BOTT_D2,ROUND(BASE_D2+RATE_D2*($A765-BOTT_D2),0),ROUND(RATE_D1*$A765,0))))</f>
        <v/>
      </c>
    </row>
    <row r="766" ht="15.75" customHeight="1" s="7635">
      <c r="A766" s="625">
        <f>AVERAGE(B766,C766)</f>
        <v/>
      </c>
      <c r="B766" s="555" t="n">
        <v>35100</v>
      </c>
      <c r="C766" s="555" t="n">
        <v>35150</v>
      </c>
      <c r="D766" s="556">
        <f>IF($A766&gt;BOTT_A4,ROUND(BASE_A4+RATE_A4*($A766-BOTT_A4),0),IF($A766&gt;BOTT_A3,ROUND(BASE_A3+RATE_A3*($A766-BOTT_A3),0),IF($A766&gt;BOTT_A2,ROUND(BASE_A2+RATE_A2*($A766-BOTT_A2),0),ROUND(RATE_A1*$A766,0))))</f>
        <v/>
      </c>
      <c r="E766" s="556">
        <f>IF($A766&gt;BOTT_B4,ROUND(BASE_B4+RATE_B4*($A766-BOTT_B4),0),IF($A766&gt;BOTT_B3,ROUND(BASE_B3+RATE_B3*($A766-BOTT_B3),0),IF($A766&gt;BOTT_B2,ROUND(BASE_B2+RATE_B2*($A766-BOTT_B2),0),ROUND(RATE_B1*$A766,0))))</f>
        <v/>
      </c>
      <c r="F766" s="556">
        <f>IF($A766&gt;BOTT_C4,ROUND(BASE_C4+RATE_C4*($A766-BOTT_C4),0),IF($A766&gt;BOTT_C3,ROUND(BASE_C3+RATE_C3*($A766-BOTT_C3),0),IF($A766&gt;BOTT_C2,ROUND(BASE_C2+RATE_C2*($A766-BOTT_C2),0),ROUND(RATE_C1*$A766,0))))</f>
        <v/>
      </c>
      <c r="G766" s="556">
        <f>IF($A766&gt;BOTT_D4,ROUND(BASE_D4+RATE_D4*($A766-BOTT_D4),0),IF($A766&gt;BOTT_D3,ROUND(BASE_D3+RATE_D3*($A766-BOTT_D3),0),IF($A766&gt;BOTT_D2,ROUND(BASE_D2+RATE_D2*($A766-BOTT_D2),0),ROUND(RATE_D1*$A766,0))))</f>
        <v/>
      </c>
    </row>
    <row r="767" ht="15.75" customHeight="1" s="7635">
      <c r="A767" s="625">
        <f>AVERAGE(B767,C767)</f>
        <v/>
      </c>
      <c r="B767" s="555" t="n">
        <v>35150</v>
      </c>
      <c r="C767" s="555" t="n">
        <v>35200</v>
      </c>
      <c r="D767" s="556">
        <f>IF($A767&gt;BOTT_A4,ROUND(BASE_A4+RATE_A4*($A767-BOTT_A4),0),IF($A767&gt;BOTT_A3,ROUND(BASE_A3+RATE_A3*($A767-BOTT_A3),0),IF($A767&gt;BOTT_A2,ROUND(BASE_A2+RATE_A2*($A767-BOTT_A2),0),ROUND(RATE_A1*$A767,0))))</f>
        <v/>
      </c>
      <c r="E767" s="556">
        <f>IF($A767&gt;BOTT_B4,ROUND(BASE_B4+RATE_B4*($A767-BOTT_B4),0),IF($A767&gt;BOTT_B3,ROUND(BASE_B3+RATE_B3*($A767-BOTT_B3),0),IF($A767&gt;BOTT_B2,ROUND(BASE_B2+RATE_B2*($A767-BOTT_B2),0),ROUND(RATE_B1*$A767,0))))</f>
        <v/>
      </c>
      <c r="F767" s="556">
        <f>IF($A767&gt;BOTT_C4,ROUND(BASE_C4+RATE_C4*($A767-BOTT_C4),0),IF($A767&gt;BOTT_C3,ROUND(BASE_C3+RATE_C3*($A767-BOTT_C3),0),IF($A767&gt;BOTT_C2,ROUND(BASE_C2+RATE_C2*($A767-BOTT_C2),0),ROUND(RATE_C1*$A767,0))))</f>
        <v/>
      </c>
      <c r="G767" s="556">
        <f>IF($A767&gt;BOTT_D4,ROUND(BASE_D4+RATE_D4*($A767-BOTT_D4),0),IF($A767&gt;BOTT_D3,ROUND(BASE_D3+RATE_D3*($A767-BOTT_D3),0),IF($A767&gt;BOTT_D2,ROUND(BASE_D2+RATE_D2*($A767-BOTT_D2),0),ROUND(RATE_D1*$A767,0))))</f>
        <v/>
      </c>
    </row>
    <row r="768" ht="15.75" customHeight="1" s="7635">
      <c r="A768" s="625">
        <f>AVERAGE(B768,C768)</f>
        <v/>
      </c>
      <c r="B768" s="555" t="n">
        <v>35200</v>
      </c>
      <c r="C768" s="555" t="n">
        <v>35250</v>
      </c>
      <c r="D768" s="556">
        <f>IF($A768&gt;BOTT_A4,ROUND(BASE_A4+RATE_A4*($A768-BOTT_A4),0),IF($A768&gt;BOTT_A3,ROUND(BASE_A3+RATE_A3*($A768-BOTT_A3),0),IF($A768&gt;BOTT_A2,ROUND(BASE_A2+RATE_A2*($A768-BOTT_A2),0),ROUND(RATE_A1*$A768,0))))</f>
        <v/>
      </c>
      <c r="E768" s="556">
        <f>IF($A768&gt;BOTT_B4,ROUND(BASE_B4+RATE_B4*($A768-BOTT_B4),0),IF($A768&gt;BOTT_B3,ROUND(BASE_B3+RATE_B3*($A768-BOTT_B3),0),IF($A768&gt;BOTT_B2,ROUND(BASE_B2+RATE_B2*($A768-BOTT_B2),0),ROUND(RATE_B1*$A768,0))))</f>
        <v/>
      </c>
      <c r="F768" s="556">
        <f>IF($A768&gt;BOTT_C4,ROUND(BASE_C4+RATE_C4*($A768-BOTT_C4),0),IF($A768&gt;BOTT_C3,ROUND(BASE_C3+RATE_C3*($A768-BOTT_C3),0),IF($A768&gt;BOTT_C2,ROUND(BASE_C2+RATE_C2*($A768-BOTT_C2),0),ROUND(RATE_C1*$A768,0))))</f>
        <v/>
      </c>
      <c r="G768" s="556">
        <f>IF($A768&gt;BOTT_D4,ROUND(BASE_D4+RATE_D4*($A768-BOTT_D4),0),IF($A768&gt;BOTT_D3,ROUND(BASE_D3+RATE_D3*($A768-BOTT_D3),0),IF($A768&gt;BOTT_D2,ROUND(BASE_D2+RATE_D2*($A768-BOTT_D2),0),ROUND(RATE_D1*$A768,0))))</f>
        <v/>
      </c>
    </row>
    <row r="769" ht="15.75" customHeight="1" s="7635">
      <c r="A769" s="625">
        <f>AVERAGE(B769,C769)</f>
        <v/>
      </c>
      <c r="B769" s="555" t="n">
        <v>35250</v>
      </c>
      <c r="C769" s="555" t="n">
        <v>35300</v>
      </c>
      <c r="D769" s="556">
        <f>IF($A769&gt;BOTT_A4,ROUND(BASE_A4+RATE_A4*($A769-BOTT_A4),0),IF($A769&gt;BOTT_A3,ROUND(BASE_A3+RATE_A3*($A769-BOTT_A3),0),IF($A769&gt;BOTT_A2,ROUND(BASE_A2+RATE_A2*($A769-BOTT_A2),0),ROUND(RATE_A1*$A769,0))))</f>
        <v/>
      </c>
      <c r="E769" s="556">
        <f>IF($A769&gt;BOTT_B4,ROUND(BASE_B4+RATE_B4*($A769-BOTT_B4),0),IF($A769&gt;BOTT_B3,ROUND(BASE_B3+RATE_B3*($A769-BOTT_B3),0),IF($A769&gt;BOTT_B2,ROUND(BASE_B2+RATE_B2*($A769-BOTT_B2),0),ROUND(RATE_B1*$A769,0))))</f>
        <v/>
      </c>
      <c r="F769" s="556">
        <f>IF($A769&gt;BOTT_C4,ROUND(BASE_C4+RATE_C4*($A769-BOTT_C4),0),IF($A769&gt;BOTT_C3,ROUND(BASE_C3+RATE_C3*($A769-BOTT_C3),0),IF($A769&gt;BOTT_C2,ROUND(BASE_C2+RATE_C2*($A769-BOTT_C2),0),ROUND(RATE_C1*$A769,0))))</f>
        <v/>
      </c>
      <c r="G769" s="556">
        <f>IF($A769&gt;BOTT_D4,ROUND(BASE_D4+RATE_D4*($A769-BOTT_D4),0),IF($A769&gt;BOTT_D3,ROUND(BASE_D3+RATE_D3*($A769-BOTT_D3),0),IF($A769&gt;BOTT_D2,ROUND(BASE_D2+RATE_D2*($A769-BOTT_D2),0),ROUND(RATE_D1*$A769,0))))</f>
        <v/>
      </c>
    </row>
    <row r="770" ht="15.75" customHeight="1" s="7635">
      <c r="A770" s="625">
        <f>AVERAGE(B770,C770)</f>
        <v/>
      </c>
      <c r="B770" s="555" t="n">
        <v>35300</v>
      </c>
      <c r="C770" s="555" t="n">
        <v>35350</v>
      </c>
      <c r="D770" s="556">
        <f>IF($A770&gt;BOTT_A4,ROUND(BASE_A4+RATE_A4*($A770-BOTT_A4),0),IF($A770&gt;BOTT_A3,ROUND(BASE_A3+RATE_A3*($A770-BOTT_A3),0),IF($A770&gt;BOTT_A2,ROUND(BASE_A2+RATE_A2*($A770-BOTT_A2),0),ROUND(RATE_A1*$A770,0))))</f>
        <v/>
      </c>
      <c r="E770" s="556">
        <f>IF($A770&gt;BOTT_B4,ROUND(BASE_B4+RATE_B4*($A770-BOTT_B4),0),IF($A770&gt;BOTT_B3,ROUND(BASE_B3+RATE_B3*($A770-BOTT_B3),0),IF($A770&gt;BOTT_B2,ROUND(BASE_B2+RATE_B2*($A770-BOTT_B2),0),ROUND(RATE_B1*$A770,0))))</f>
        <v/>
      </c>
      <c r="F770" s="556">
        <f>IF($A770&gt;BOTT_C4,ROUND(BASE_C4+RATE_C4*($A770-BOTT_C4),0),IF($A770&gt;BOTT_C3,ROUND(BASE_C3+RATE_C3*($A770-BOTT_C3),0),IF($A770&gt;BOTT_C2,ROUND(BASE_C2+RATE_C2*($A770-BOTT_C2),0),ROUND(RATE_C1*$A770,0))))</f>
        <v/>
      </c>
      <c r="G770" s="556">
        <f>IF($A770&gt;BOTT_D4,ROUND(BASE_D4+RATE_D4*($A770-BOTT_D4),0),IF($A770&gt;BOTT_D3,ROUND(BASE_D3+RATE_D3*($A770-BOTT_D3),0),IF($A770&gt;BOTT_D2,ROUND(BASE_D2+RATE_D2*($A770-BOTT_D2),0),ROUND(RATE_D1*$A770,0))))</f>
        <v/>
      </c>
    </row>
    <row r="771" ht="15.75" customHeight="1" s="7635">
      <c r="A771" s="625">
        <f>AVERAGE(B771,C771)</f>
        <v/>
      </c>
      <c r="B771" s="555" t="n">
        <v>35350</v>
      </c>
      <c r="C771" s="555" t="n">
        <v>35400</v>
      </c>
      <c r="D771" s="556">
        <f>IF($A771&gt;BOTT_A4,ROUND(BASE_A4+RATE_A4*($A771-BOTT_A4),0),IF($A771&gt;BOTT_A3,ROUND(BASE_A3+RATE_A3*($A771-BOTT_A3),0),IF($A771&gt;BOTT_A2,ROUND(BASE_A2+RATE_A2*($A771-BOTT_A2),0),ROUND(RATE_A1*$A771,0))))</f>
        <v/>
      </c>
      <c r="E771" s="556">
        <f>IF($A771&gt;BOTT_B4,ROUND(BASE_B4+RATE_B4*($A771-BOTT_B4),0),IF($A771&gt;BOTT_B3,ROUND(BASE_B3+RATE_B3*($A771-BOTT_B3),0),IF($A771&gt;BOTT_B2,ROUND(BASE_B2+RATE_B2*($A771-BOTT_B2),0),ROUND(RATE_B1*$A771,0))))</f>
        <v/>
      </c>
      <c r="F771" s="556">
        <f>IF($A771&gt;BOTT_C4,ROUND(BASE_C4+RATE_C4*($A771-BOTT_C4),0),IF($A771&gt;BOTT_C3,ROUND(BASE_C3+RATE_C3*($A771-BOTT_C3),0),IF($A771&gt;BOTT_C2,ROUND(BASE_C2+RATE_C2*($A771-BOTT_C2),0),ROUND(RATE_C1*$A771,0))))</f>
        <v/>
      </c>
      <c r="G771" s="556">
        <f>IF($A771&gt;BOTT_D4,ROUND(BASE_D4+RATE_D4*($A771-BOTT_D4),0),IF($A771&gt;BOTT_D3,ROUND(BASE_D3+RATE_D3*($A771-BOTT_D3),0),IF($A771&gt;BOTT_D2,ROUND(BASE_D2+RATE_D2*($A771-BOTT_D2),0),ROUND(RATE_D1*$A771,0))))</f>
        <v/>
      </c>
    </row>
    <row r="772" ht="15.75" customHeight="1" s="7635">
      <c r="A772" s="625">
        <f>AVERAGE(B772,C772)</f>
        <v/>
      </c>
      <c r="B772" s="555" t="n">
        <v>35400</v>
      </c>
      <c r="C772" s="555" t="n">
        <v>35450</v>
      </c>
      <c r="D772" s="556">
        <f>IF($A772&gt;BOTT_A4,ROUND(BASE_A4+RATE_A4*($A772-BOTT_A4),0),IF($A772&gt;BOTT_A3,ROUND(BASE_A3+RATE_A3*($A772-BOTT_A3),0),IF($A772&gt;BOTT_A2,ROUND(BASE_A2+RATE_A2*($A772-BOTT_A2),0),ROUND(RATE_A1*$A772,0))))</f>
        <v/>
      </c>
      <c r="E772" s="556">
        <f>IF($A772&gt;BOTT_B4,ROUND(BASE_B4+RATE_B4*($A772-BOTT_B4),0),IF($A772&gt;BOTT_B3,ROUND(BASE_B3+RATE_B3*($A772-BOTT_B3),0),IF($A772&gt;BOTT_B2,ROUND(BASE_B2+RATE_B2*($A772-BOTT_B2),0),ROUND(RATE_B1*$A772,0))))</f>
        <v/>
      </c>
      <c r="F772" s="556">
        <f>IF($A772&gt;BOTT_C4,ROUND(BASE_C4+RATE_C4*($A772-BOTT_C4),0),IF($A772&gt;BOTT_C3,ROUND(BASE_C3+RATE_C3*($A772-BOTT_C3),0),IF($A772&gt;BOTT_C2,ROUND(BASE_C2+RATE_C2*($A772-BOTT_C2),0),ROUND(RATE_C1*$A772,0))))</f>
        <v/>
      </c>
      <c r="G772" s="556">
        <f>IF($A772&gt;BOTT_D4,ROUND(BASE_D4+RATE_D4*($A772-BOTT_D4),0),IF($A772&gt;BOTT_D3,ROUND(BASE_D3+RATE_D3*($A772-BOTT_D3),0),IF($A772&gt;BOTT_D2,ROUND(BASE_D2+RATE_D2*($A772-BOTT_D2),0),ROUND(RATE_D1*$A772,0))))</f>
        <v/>
      </c>
    </row>
    <row r="773" ht="15.75" customHeight="1" s="7635">
      <c r="A773" s="625">
        <f>AVERAGE(B773,C773)</f>
        <v/>
      </c>
      <c r="B773" s="555" t="n">
        <v>35450</v>
      </c>
      <c r="C773" s="555" t="n">
        <v>35500</v>
      </c>
      <c r="D773" s="556">
        <f>IF($A773&gt;BOTT_A4,ROUND(BASE_A4+RATE_A4*($A773-BOTT_A4),0),IF($A773&gt;BOTT_A3,ROUND(BASE_A3+RATE_A3*($A773-BOTT_A3),0),IF($A773&gt;BOTT_A2,ROUND(BASE_A2+RATE_A2*($A773-BOTT_A2),0),ROUND(RATE_A1*$A773,0))))</f>
        <v/>
      </c>
      <c r="E773" s="556">
        <f>IF($A773&gt;BOTT_B4,ROUND(BASE_B4+RATE_B4*($A773-BOTT_B4),0),IF($A773&gt;BOTT_B3,ROUND(BASE_B3+RATE_B3*($A773-BOTT_B3),0),IF($A773&gt;BOTT_B2,ROUND(BASE_B2+RATE_B2*($A773-BOTT_B2),0),ROUND(RATE_B1*$A773,0))))</f>
        <v/>
      </c>
      <c r="F773" s="556">
        <f>IF($A773&gt;BOTT_C4,ROUND(BASE_C4+RATE_C4*($A773-BOTT_C4),0),IF($A773&gt;BOTT_C3,ROUND(BASE_C3+RATE_C3*($A773-BOTT_C3),0),IF($A773&gt;BOTT_C2,ROUND(BASE_C2+RATE_C2*($A773-BOTT_C2),0),ROUND(RATE_C1*$A773,0))))</f>
        <v/>
      </c>
      <c r="G773" s="556">
        <f>IF($A773&gt;BOTT_D4,ROUND(BASE_D4+RATE_D4*($A773-BOTT_D4),0),IF($A773&gt;BOTT_D3,ROUND(BASE_D3+RATE_D3*($A773-BOTT_D3),0),IF($A773&gt;BOTT_D2,ROUND(BASE_D2+RATE_D2*($A773-BOTT_D2),0),ROUND(RATE_D1*$A773,0))))</f>
        <v/>
      </c>
    </row>
    <row r="774" ht="15.75" customHeight="1" s="7635">
      <c r="A774" s="625">
        <f>AVERAGE(B774,C774)</f>
        <v/>
      </c>
      <c r="B774" s="555" t="n">
        <v>35500</v>
      </c>
      <c r="C774" s="555" t="n">
        <v>35550</v>
      </c>
      <c r="D774" s="556">
        <f>IF($A774&gt;BOTT_A4,ROUND(BASE_A4+RATE_A4*($A774-BOTT_A4),0),IF($A774&gt;BOTT_A3,ROUND(BASE_A3+RATE_A3*($A774-BOTT_A3),0),IF($A774&gt;BOTT_A2,ROUND(BASE_A2+RATE_A2*($A774-BOTT_A2),0),ROUND(RATE_A1*$A774,0))))</f>
        <v/>
      </c>
      <c r="E774" s="556">
        <f>IF($A774&gt;BOTT_B4,ROUND(BASE_B4+RATE_B4*($A774-BOTT_B4),0),IF($A774&gt;BOTT_B3,ROUND(BASE_B3+RATE_B3*($A774-BOTT_B3),0),IF($A774&gt;BOTT_B2,ROUND(BASE_B2+RATE_B2*($A774-BOTT_B2),0),ROUND(RATE_B1*$A774,0))))</f>
        <v/>
      </c>
      <c r="F774" s="556">
        <f>IF($A774&gt;BOTT_C4,ROUND(BASE_C4+RATE_C4*($A774-BOTT_C4),0),IF($A774&gt;BOTT_C3,ROUND(BASE_C3+RATE_C3*($A774-BOTT_C3),0),IF($A774&gt;BOTT_C2,ROUND(BASE_C2+RATE_C2*($A774-BOTT_C2),0),ROUND(RATE_C1*$A774,0))))</f>
        <v/>
      </c>
      <c r="G774" s="556">
        <f>IF($A774&gt;BOTT_D4,ROUND(BASE_D4+RATE_D4*($A774-BOTT_D4),0),IF($A774&gt;BOTT_D3,ROUND(BASE_D3+RATE_D3*($A774-BOTT_D3),0),IF($A774&gt;BOTT_D2,ROUND(BASE_D2+RATE_D2*($A774-BOTT_D2),0),ROUND(RATE_D1*$A774,0))))</f>
        <v/>
      </c>
    </row>
    <row r="775" ht="15.75" customHeight="1" s="7635">
      <c r="A775" s="625">
        <f>AVERAGE(B775,C775)</f>
        <v/>
      </c>
      <c r="B775" s="555" t="n">
        <v>35550</v>
      </c>
      <c r="C775" s="555" t="n">
        <v>35600</v>
      </c>
      <c r="D775" s="556">
        <f>IF($A775&gt;BOTT_A4,ROUND(BASE_A4+RATE_A4*($A775-BOTT_A4),0),IF($A775&gt;BOTT_A3,ROUND(BASE_A3+RATE_A3*($A775-BOTT_A3),0),IF($A775&gt;BOTT_A2,ROUND(BASE_A2+RATE_A2*($A775-BOTT_A2),0),ROUND(RATE_A1*$A775,0))))</f>
        <v/>
      </c>
      <c r="E775" s="556">
        <f>IF($A775&gt;BOTT_B4,ROUND(BASE_B4+RATE_B4*($A775-BOTT_B4),0),IF($A775&gt;BOTT_B3,ROUND(BASE_B3+RATE_B3*($A775-BOTT_B3),0),IF($A775&gt;BOTT_B2,ROUND(BASE_B2+RATE_B2*($A775-BOTT_B2),0),ROUND(RATE_B1*$A775,0))))</f>
        <v/>
      </c>
      <c r="F775" s="556">
        <f>IF($A775&gt;BOTT_C4,ROUND(BASE_C4+RATE_C4*($A775-BOTT_C4),0),IF($A775&gt;BOTT_C3,ROUND(BASE_C3+RATE_C3*($A775-BOTT_C3),0),IF($A775&gt;BOTT_C2,ROUND(BASE_C2+RATE_C2*($A775-BOTT_C2),0),ROUND(RATE_C1*$A775,0))))</f>
        <v/>
      </c>
      <c r="G775" s="556">
        <f>IF($A775&gt;BOTT_D4,ROUND(BASE_D4+RATE_D4*($A775-BOTT_D4),0),IF($A775&gt;BOTT_D3,ROUND(BASE_D3+RATE_D3*($A775-BOTT_D3),0),IF($A775&gt;BOTT_D2,ROUND(BASE_D2+RATE_D2*($A775-BOTT_D2),0),ROUND(RATE_D1*$A775,0))))</f>
        <v/>
      </c>
    </row>
    <row r="776" ht="15.75" customHeight="1" s="7635">
      <c r="A776" s="625">
        <f>AVERAGE(B776,C776)</f>
        <v/>
      </c>
      <c r="B776" s="555" t="n">
        <v>35600</v>
      </c>
      <c r="C776" s="555" t="n">
        <v>35650</v>
      </c>
      <c r="D776" s="556">
        <f>IF($A776&gt;BOTT_A4,ROUND(BASE_A4+RATE_A4*($A776-BOTT_A4),0),IF($A776&gt;BOTT_A3,ROUND(BASE_A3+RATE_A3*($A776-BOTT_A3),0),IF($A776&gt;BOTT_A2,ROUND(BASE_A2+RATE_A2*($A776-BOTT_A2),0),ROUND(RATE_A1*$A776,0))))</f>
        <v/>
      </c>
      <c r="E776" s="556">
        <f>IF($A776&gt;BOTT_B4,ROUND(BASE_B4+RATE_B4*($A776-BOTT_B4),0),IF($A776&gt;BOTT_B3,ROUND(BASE_B3+RATE_B3*($A776-BOTT_B3),0),IF($A776&gt;BOTT_B2,ROUND(BASE_B2+RATE_B2*($A776-BOTT_B2),0),ROUND(RATE_B1*$A776,0))))</f>
        <v/>
      </c>
      <c r="F776" s="556">
        <f>IF($A776&gt;BOTT_C4,ROUND(BASE_C4+RATE_C4*($A776-BOTT_C4),0),IF($A776&gt;BOTT_C3,ROUND(BASE_C3+RATE_C3*($A776-BOTT_C3),0),IF($A776&gt;BOTT_C2,ROUND(BASE_C2+RATE_C2*($A776-BOTT_C2),0),ROUND(RATE_C1*$A776,0))))</f>
        <v/>
      </c>
      <c r="G776" s="556">
        <f>IF($A776&gt;BOTT_D4,ROUND(BASE_D4+RATE_D4*($A776-BOTT_D4),0),IF($A776&gt;BOTT_D3,ROUND(BASE_D3+RATE_D3*($A776-BOTT_D3),0),IF($A776&gt;BOTT_D2,ROUND(BASE_D2+RATE_D2*($A776-BOTT_D2),0),ROUND(RATE_D1*$A776,0))))</f>
        <v/>
      </c>
    </row>
    <row r="777" ht="15.75" customHeight="1" s="7635">
      <c r="A777" s="625">
        <f>AVERAGE(B777,C777)</f>
        <v/>
      </c>
      <c r="B777" s="555" t="n">
        <v>35650</v>
      </c>
      <c r="C777" s="555" t="n">
        <v>35700</v>
      </c>
      <c r="D777" s="556">
        <f>IF($A777&gt;BOTT_A4,ROUND(BASE_A4+RATE_A4*($A777-BOTT_A4),0),IF($A777&gt;BOTT_A3,ROUND(BASE_A3+RATE_A3*($A777-BOTT_A3),0),IF($A777&gt;BOTT_A2,ROUND(BASE_A2+RATE_A2*($A777-BOTT_A2),0),ROUND(RATE_A1*$A777,0))))</f>
        <v/>
      </c>
      <c r="E777" s="556">
        <f>IF($A777&gt;BOTT_B4,ROUND(BASE_B4+RATE_B4*($A777-BOTT_B4),0),IF($A777&gt;BOTT_B3,ROUND(BASE_B3+RATE_B3*($A777-BOTT_B3),0),IF($A777&gt;BOTT_B2,ROUND(BASE_B2+RATE_B2*($A777-BOTT_B2),0),ROUND(RATE_B1*$A777,0))))</f>
        <v/>
      </c>
      <c r="F777" s="556">
        <f>IF($A777&gt;BOTT_C4,ROUND(BASE_C4+RATE_C4*($A777-BOTT_C4),0),IF($A777&gt;BOTT_C3,ROUND(BASE_C3+RATE_C3*($A777-BOTT_C3),0),IF($A777&gt;BOTT_C2,ROUND(BASE_C2+RATE_C2*($A777-BOTT_C2),0),ROUND(RATE_C1*$A777,0))))</f>
        <v/>
      </c>
      <c r="G777" s="556">
        <f>IF($A777&gt;BOTT_D4,ROUND(BASE_D4+RATE_D4*($A777-BOTT_D4),0),IF($A777&gt;BOTT_D3,ROUND(BASE_D3+RATE_D3*($A777-BOTT_D3),0),IF($A777&gt;BOTT_D2,ROUND(BASE_D2+RATE_D2*($A777-BOTT_D2),0),ROUND(RATE_D1*$A777,0))))</f>
        <v/>
      </c>
    </row>
    <row r="778" ht="15.75" customHeight="1" s="7635">
      <c r="A778" s="625">
        <f>AVERAGE(B778,C778)</f>
        <v/>
      </c>
      <c r="B778" s="555" t="n">
        <v>35700</v>
      </c>
      <c r="C778" s="555" t="n">
        <v>35750</v>
      </c>
      <c r="D778" s="556">
        <f>IF($A778&gt;BOTT_A4,ROUND(BASE_A4+RATE_A4*($A778-BOTT_A4),0),IF($A778&gt;BOTT_A3,ROUND(BASE_A3+RATE_A3*($A778-BOTT_A3),0),IF($A778&gt;BOTT_A2,ROUND(BASE_A2+RATE_A2*($A778-BOTT_A2),0),ROUND(RATE_A1*$A778,0))))</f>
        <v/>
      </c>
      <c r="E778" s="556">
        <f>IF($A778&gt;BOTT_B4,ROUND(BASE_B4+RATE_B4*($A778-BOTT_B4),0),IF($A778&gt;BOTT_B3,ROUND(BASE_B3+RATE_B3*($A778-BOTT_B3),0),IF($A778&gt;BOTT_B2,ROUND(BASE_B2+RATE_B2*($A778-BOTT_B2),0),ROUND(RATE_B1*$A778,0))))</f>
        <v/>
      </c>
      <c r="F778" s="556">
        <f>IF($A778&gt;BOTT_C4,ROUND(BASE_C4+RATE_C4*($A778-BOTT_C4),0),IF($A778&gt;BOTT_C3,ROUND(BASE_C3+RATE_C3*($A778-BOTT_C3),0),IF($A778&gt;BOTT_C2,ROUND(BASE_C2+RATE_C2*($A778-BOTT_C2),0),ROUND(RATE_C1*$A778,0))))</f>
        <v/>
      </c>
      <c r="G778" s="556">
        <f>IF($A778&gt;BOTT_D4,ROUND(BASE_D4+RATE_D4*($A778-BOTT_D4),0),IF($A778&gt;BOTT_D3,ROUND(BASE_D3+RATE_D3*($A778-BOTT_D3),0),IF($A778&gt;BOTT_D2,ROUND(BASE_D2+RATE_D2*($A778-BOTT_D2),0),ROUND(RATE_D1*$A778,0))))</f>
        <v/>
      </c>
    </row>
    <row r="779" ht="15.75" customHeight="1" s="7635">
      <c r="A779" s="625">
        <f>AVERAGE(B779,C779)</f>
        <v/>
      </c>
      <c r="B779" s="555" t="n">
        <v>35750</v>
      </c>
      <c r="C779" s="555" t="n">
        <v>35800</v>
      </c>
      <c r="D779" s="556">
        <f>IF($A779&gt;BOTT_A4,ROUND(BASE_A4+RATE_A4*($A779-BOTT_A4),0),IF($A779&gt;BOTT_A3,ROUND(BASE_A3+RATE_A3*($A779-BOTT_A3),0),IF($A779&gt;BOTT_A2,ROUND(BASE_A2+RATE_A2*($A779-BOTT_A2),0),ROUND(RATE_A1*$A779,0))))</f>
        <v/>
      </c>
      <c r="E779" s="556">
        <f>IF($A779&gt;BOTT_B4,ROUND(BASE_B4+RATE_B4*($A779-BOTT_B4),0),IF($A779&gt;BOTT_B3,ROUND(BASE_B3+RATE_B3*($A779-BOTT_B3),0),IF($A779&gt;BOTT_B2,ROUND(BASE_B2+RATE_B2*($A779-BOTT_B2),0),ROUND(RATE_B1*$A779,0))))</f>
        <v/>
      </c>
      <c r="F779" s="556">
        <f>IF($A779&gt;BOTT_C4,ROUND(BASE_C4+RATE_C4*($A779-BOTT_C4),0),IF($A779&gt;BOTT_C3,ROUND(BASE_C3+RATE_C3*($A779-BOTT_C3),0),IF($A779&gt;BOTT_C2,ROUND(BASE_C2+RATE_C2*($A779-BOTT_C2),0),ROUND(RATE_C1*$A779,0))))</f>
        <v/>
      </c>
      <c r="G779" s="556">
        <f>IF($A779&gt;BOTT_D4,ROUND(BASE_D4+RATE_D4*($A779-BOTT_D4),0),IF($A779&gt;BOTT_D3,ROUND(BASE_D3+RATE_D3*($A779-BOTT_D3),0),IF($A779&gt;BOTT_D2,ROUND(BASE_D2+RATE_D2*($A779-BOTT_D2),0),ROUND(RATE_D1*$A779,0))))</f>
        <v/>
      </c>
    </row>
    <row r="780" ht="15.75" customHeight="1" s="7635">
      <c r="A780" s="625">
        <f>AVERAGE(B780,C780)</f>
        <v/>
      </c>
      <c r="B780" s="555" t="n">
        <v>35800</v>
      </c>
      <c r="C780" s="555" t="n">
        <v>35850</v>
      </c>
      <c r="D780" s="556">
        <f>IF($A780&gt;BOTT_A4,ROUND(BASE_A4+RATE_A4*($A780-BOTT_A4),0),IF($A780&gt;BOTT_A3,ROUND(BASE_A3+RATE_A3*($A780-BOTT_A3),0),IF($A780&gt;BOTT_A2,ROUND(BASE_A2+RATE_A2*($A780-BOTT_A2),0),ROUND(RATE_A1*$A780,0))))</f>
        <v/>
      </c>
      <c r="E780" s="556">
        <f>IF($A780&gt;BOTT_B4,ROUND(BASE_B4+RATE_B4*($A780-BOTT_B4),0),IF($A780&gt;BOTT_B3,ROUND(BASE_B3+RATE_B3*($A780-BOTT_B3),0),IF($A780&gt;BOTT_B2,ROUND(BASE_B2+RATE_B2*($A780-BOTT_B2),0),ROUND(RATE_B1*$A780,0))))</f>
        <v/>
      </c>
      <c r="F780" s="556">
        <f>IF($A780&gt;BOTT_C4,ROUND(BASE_C4+RATE_C4*($A780-BOTT_C4),0),IF($A780&gt;BOTT_C3,ROUND(BASE_C3+RATE_C3*($A780-BOTT_C3),0),IF($A780&gt;BOTT_C2,ROUND(BASE_C2+RATE_C2*($A780-BOTT_C2),0),ROUND(RATE_C1*$A780,0))))</f>
        <v/>
      </c>
      <c r="G780" s="556">
        <f>IF($A780&gt;BOTT_D4,ROUND(BASE_D4+RATE_D4*($A780-BOTT_D4),0),IF($A780&gt;BOTT_D3,ROUND(BASE_D3+RATE_D3*($A780-BOTT_D3),0),IF($A780&gt;BOTT_D2,ROUND(BASE_D2+RATE_D2*($A780-BOTT_D2),0),ROUND(RATE_D1*$A780,0))))</f>
        <v/>
      </c>
    </row>
    <row r="781" ht="15.75" customHeight="1" s="7635">
      <c r="A781" s="625">
        <f>AVERAGE(B781,C781)</f>
        <v/>
      </c>
      <c r="B781" s="555" t="n">
        <v>35850</v>
      </c>
      <c r="C781" s="555" t="n">
        <v>35900</v>
      </c>
      <c r="D781" s="556">
        <f>IF($A781&gt;BOTT_A4,ROUND(BASE_A4+RATE_A4*($A781-BOTT_A4),0),IF($A781&gt;BOTT_A3,ROUND(BASE_A3+RATE_A3*($A781-BOTT_A3),0),IF($A781&gt;BOTT_A2,ROUND(BASE_A2+RATE_A2*($A781-BOTT_A2),0),ROUND(RATE_A1*$A781,0))))</f>
        <v/>
      </c>
      <c r="E781" s="556">
        <f>IF($A781&gt;BOTT_B4,ROUND(BASE_B4+RATE_B4*($A781-BOTT_B4),0),IF($A781&gt;BOTT_B3,ROUND(BASE_B3+RATE_B3*($A781-BOTT_B3),0),IF($A781&gt;BOTT_B2,ROUND(BASE_B2+RATE_B2*($A781-BOTT_B2),0),ROUND(RATE_B1*$A781,0))))</f>
        <v/>
      </c>
      <c r="F781" s="556">
        <f>IF($A781&gt;BOTT_C4,ROUND(BASE_C4+RATE_C4*($A781-BOTT_C4),0),IF($A781&gt;BOTT_C3,ROUND(BASE_C3+RATE_C3*($A781-BOTT_C3),0),IF($A781&gt;BOTT_C2,ROUND(BASE_C2+RATE_C2*($A781-BOTT_C2),0),ROUND(RATE_C1*$A781,0))))</f>
        <v/>
      </c>
      <c r="G781" s="556">
        <f>IF($A781&gt;BOTT_D4,ROUND(BASE_D4+RATE_D4*($A781-BOTT_D4),0),IF($A781&gt;BOTT_D3,ROUND(BASE_D3+RATE_D3*($A781-BOTT_D3),0),IF($A781&gt;BOTT_D2,ROUND(BASE_D2+RATE_D2*($A781-BOTT_D2),0),ROUND(RATE_D1*$A781,0))))</f>
        <v/>
      </c>
    </row>
    <row r="782" ht="15.75" customHeight="1" s="7635">
      <c r="A782" s="625">
        <f>AVERAGE(B782,C782)</f>
        <v/>
      </c>
      <c r="B782" s="555" t="n">
        <v>35900</v>
      </c>
      <c r="C782" s="555" t="n">
        <v>35950</v>
      </c>
      <c r="D782" s="556">
        <f>IF($A782&gt;BOTT_A4,ROUND(BASE_A4+RATE_A4*($A782-BOTT_A4),0),IF($A782&gt;BOTT_A3,ROUND(BASE_A3+RATE_A3*($A782-BOTT_A3),0),IF($A782&gt;BOTT_A2,ROUND(BASE_A2+RATE_A2*($A782-BOTT_A2),0),ROUND(RATE_A1*$A782,0))))</f>
        <v/>
      </c>
      <c r="E782" s="556">
        <f>IF($A782&gt;BOTT_B4,ROUND(BASE_B4+RATE_B4*($A782-BOTT_B4),0),IF($A782&gt;BOTT_B3,ROUND(BASE_B3+RATE_B3*($A782-BOTT_B3),0),IF($A782&gt;BOTT_B2,ROUND(BASE_B2+RATE_B2*($A782-BOTT_B2),0),ROUND(RATE_B1*$A782,0))))</f>
        <v/>
      </c>
      <c r="F782" s="556">
        <f>IF($A782&gt;BOTT_C4,ROUND(BASE_C4+RATE_C4*($A782-BOTT_C4),0),IF($A782&gt;BOTT_C3,ROUND(BASE_C3+RATE_C3*($A782-BOTT_C3),0),IF($A782&gt;BOTT_C2,ROUND(BASE_C2+RATE_C2*($A782-BOTT_C2),0),ROUND(RATE_C1*$A782,0))))</f>
        <v/>
      </c>
      <c r="G782" s="556">
        <f>IF($A782&gt;BOTT_D4,ROUND(BASE_D4+RATE_D4*($A782-BOTT_D4),0),IF($A782&gt;BOTT_D3,ROUND(BASE_D3+RATE_D3*($A782-BOTT_D3),0),IF($A782&gt;BOTT_D2,ROUND(BASE_D2+RATE_D2*($A782-BOTT_D2),0),ROUND(RATE_D1*$A782,0))))</f>
        <v/>
      </c>
    </row>
    <row r="783" ht="15.75" customHeight="1" s="7635">
      <c r="A783" s="625">
        <f>AVERAGE(B783,C783)</f>
        <v/>
      </c>
      <c r="B783" s="555" t="n">
        <v>35950</v>
      </c>
      <c r="C783" s="555" t="n">
        <v>36000</v>
      </c>
      <c r="D783" s="556">
        <f>IF($A783&gt;BOTT_A4,ROUND(BASE_A4+RATE_A4*($A783-BOTT_A4),0),IF($A783&gt;BOTT_A3,ROUND(BASE_A3+RATE_A3*($A783-BOTT_A3),0),IF($A783&gt;BOTT_A2,ROUND(BASE_A2+RATE_A2*($A783-BOTT_A2),0),ROUND(RATE_A1*$A783,0))))</f>
        <v/>
      </c>
      <c r="E783" s="556">
        <f>IF($A783&gt;BOTT_B4,ROUND(BASE_B4+RATE_B4*($A783-BOTT_B4),0),IF($A783&gt;BOTT_B3,ROUND(BASE_B3+RATE_B3*($A783-BOTT_B3),0),IF($A783&gt;BOTT_B2,ROUND(BASE_B2+RATE_B2*($A783-BOTT_B2),0),ROUND(RATE_B1*$A783,0))))</f>
        <v/>
      </c>
      <c r="F783" s="556">
        <f>IF($A783&gt;BOTT_C4,ROUND(BASE_C4+RATE_C4*($A783-BOTT_C4),0),IF($A783&gt;BOTT_C3,ROUND(BASE_C3+RATE_C3*($A783-BOTT_C3),0),IF($A783&gt;BOTT_C2,ROUND(BASE_C2+RATE_C2*($A783-BOTT_C2),0),ROUND(RATE_C1*$A783,0))))</f>
        <v/>
      </c>
      <c r="G783" s="556">
        <f>IF($A783&gt;BOTT_D4,ROUND(BASE_D4+RATE_D4*($A783-BOTT_D4),0),IF($A783&gt;BOTT_D3,ROUND(BASE_D3+RATE_D3*($A783-BOTT_D3),0),IF($A783&gt;BOTT_D2,ROUND(BASE_D2+RATE_D2*($A783-BOTT_D2),0),ROUND(RATE_D1*$A783,0))))</f>
        <v/>
      </c>
    </row>
    <row r="784" ht="15.75" customHeight="1" s="7635">
      <c r="A784" s="625">
        <f>AVERAGE(B784,C784)</f>
        <v/>
      </c>
      <c r="B784" s="555" t="n">
        <v>36000</v>
      </c>
      <c r="C784" s="555" t="n">
        <v>36050</v>
      </c>
      <c r="D784" s="556">
        <f>IF($A784&gt;BOTT_A4,ROUND(BASE_A4+RATE_A4*($A784-BOTT_A4),0),IF($A784&gt;BOTT_A3,ROUND(BASE_A3+RATE_A3*($A784-BOTT_A3),0),IF($A784&gt;BOTT_A2,ROUND(BASE_A2+RATE_A2*($A784-BOTT_A2),0),ROUND(RATE_A1*$A784,0))))</f>
        <v/>
      </c>
      <c r="E784" s="556">
        <f>IF($A784&gt;BOTT_B4,ROUND(BASE_B4+RATE_B4*($A784-BOTT_B4),0),IF($A784&gt;BOTT_B3,ROUND(BASE_B3+RATE_B3*($A784-BOTT_B3),0),IF($A784&gt;BOTT_B2,ROUND(BASE_B2+RATE_B2*($A784-BOTT_B2),0),ROUND(RATE_B1*$A784,0))))</f>
        <v/>
      </c>
      <c r="F784" s="556">
        <f>IF($A784&gt;BOTT_C4,ROUND(BASE_C4+RATE_C4*($A784-BOTT_C4),0),IF($A784&gt;BOTT_C3,ROUND(BASE_C3+RATE_C3*($A784-BOTT_C3),0),IF($A784&gt;BOTT_C2,ROUND(BASE_C2+RATE_C2*($A784-BOTT_C2),0),ROUND(RATE_C1*$A784,0))))</f>
        <v/>
      </c>
      <c r="G784" s="556">
        <f>IF($A784&gt;BOTT_D4,ROUND(BASE_D4+RATE_D4*($A784-BOTT_D4),0),IF($A784&gt;BOTT_D3,ROUND(BASE_D3+RATE_D3*($A784-BOTT_D3),0),IF($A784&gt;BOTT_D2,ROUND(BASE_D2+RATE_D2*($A784-BOTT_D2),0),ROUND(RATE_D1*$A784,0))))</f>
        <v/>
      </c>
    </row>
    <row r="785" ht="15.75" customHeight="1" s="7635">
      <c r="A785" s="625">
        <f>AVERAGE(B785,C785)</f>
        <v/>
      </c>
      <c r="B785" s="555" t="n">
        <v>36050</v>
      </c>
      <c r="C785" s="555" t="n">
        <v>36100</v>
      </c>
      <c r="D785" s="556">
        <f>IF($A785&gt;BOTT_A4,ROUND(BASE_A4+RATE_A4*($A785-BOTT_A4),0),IF($A785&gt;BOTT_A3,ROUND(BASE_A3+RATE_A3*($A785-BOTT_A3),0),IF($A785&gt;BOTT_A2,ROUND(BASE_A2+RATE_A2*($A785-BOTT_A2),0),ROUND(RATE_A1*$A785,0))))</f>
        <v/>
      </c>
      <c r="E785" s="556">
        <f>IF($A785&gt;BOTT_B4,ROUND(BASE_B4+RATE_B4*($A785-BOTT_B4),0),IF($A785&gt;BOTT_B3,ROUND(BASE_B3+RATE_B3*($A785-BOTT_B3),0),IF($A785&gt;BOTT_B2,ROUND(BASE_B2+RATE_B2*($A785-BOTT_B2),0),ROUND(RATE_B1*$A785,0))))</f>
        <v/>
      </c>
      <c r="F785" s="556">
        <f>IF($A785&gt;BOTT_C4,ROUND(BASE_C4+RATE_C4*($A785-BOTT_C4),0),IF($A785&gt;BOTT_C3,ROUND(BASE_C3+RATE_C3*($A785-BOTT_C3),0),IF($A785&gt;BOTT_C2,ROUND(BASE_C2+RATE_C2*($A785-BOTT_C2),0),ROUND(RATE_C1*$A785,0))))</f>
        <v/>
      </c>
      <c r="G785" s="556">
        <f>IF($A785&gt;BOTT_D4,ROUND(BASE_D4+RATE_D4*($A785-BOTT_D4),0),IF($A785&gt;BOTT_D3,ROUND(BASE_D3+RATE_D3*($A785-BOTT_D3),0),IF($A785&gt;BOTT_D2,ROUND(BASE_D2+RATE_D2*($A785-BOTT_D2),0),ROUND(RATE_D1*$A785,0))))</f>
        <v/>
      </c>
    </row>
    <row r="786" ht="15.75" customHeight="1" s="7635">
      <c r="A786" s="625">
        <f>AVERAGE(B786,C786)</f>
        <v/>
      </c>
      <c r="B786" s="555" t="n">
        <v>36100</v>
      </c>
      <c r="C786" s="555" t="n">
        <v>36150</v>
      </c>
      <c r="D786" s="556">
        <f>IF($A786&gt;BOTT_A4,ROUND(BASE_A4+RATE_A4*($A786-BOTT_A4),0),IF($A786&gt;BOTT_A3,ROUND(BASE_A3+RATE_A3*($A786-BOTT_A3),0),IF($A786&gt;BOTT_A2,ROUND(BASE_A2+RATE_A2*($A786-BOTT_A2),0),ROUND(RATE_A1*$A786,0))))</f>
        <v/>
      </c>
      <c r="E786" s="556">
        <f>IF($A786&gt;BOTT_B4,ROUND(BASE_B4+RATE_B4*($A786-BOTT_B4),0),IF($A786&gt;BOTT_B3,ROUND(BASE_B3+RATE_B3*($A786-BOTT_B3),0),IF($A786&gt;BOTT_B2,ROUND(BASE_B2+RATE_B2*($A786-BOTT_B2),0),ROUND(RATE_B1*$A786,0))))</f>
        <v/>
      </c>
      <c r="F786" s="556">
        <f>IF($A786&gt;BOTT_C4,ROUND(BASE_C4+RATE_C4*($A786-BOTT_C4),0),IF($A786&gt;BOTT_C3,ROUND(BASE_C3+RATE_C3*($A786-BOTT_C3),0),IF($A786&gt;BOTT_C2,ROUND(BASE_C2+RATE_C2*($A786-BOTT_C2),0),ROUND(RATE_C1*$A786,0))))</f>
        <v/>
      </c>
      <c r="G786" s="556">
        <f>IF($A786&gt;BOTT_D4,ROUND(BASE_D4+RATE_D4*($A786-BOTT_D4),0),IF($A786&gt;BOTT_D3,ROUND(BASE_D3+RATE_D3*($A786-BOTT_D3),0),IF($A786&gt;BOTT_D2,ROUND(BASE_D2+RATE_D2*($A786-BOTT_D2),0),ROUND(RATE_D1*$A786,0))))</f>
        <v/>
      </c>
    </row>
    <row r="787" ht="15.75" customHeight="1" s="7635">
      <c r="A787" s="625">
        <f>AVERAGE(B787,C787)</f>
        <v/>
      </c>
      <c r="B787" s="555" t="n">
        <v>36150</v>
      </c>
      <c r="C787" s="555" t="n">
        <v>36200</v>
      </c>
      <c r="D787" s="556">
        <f>IF($A787&gt;BOTT_A4,ROUND(BASE_A4+RATE_A4*($A787-BOTT_A4),0),IF($A787&gt;BOTT_A3,ROUND(BASE_A3+RATE_A3*($A787-BOTT_A3),0),IF($A787&gt;BOTT_A2,ROUND(BASE_A2+RATE_A2*($A787-BOTT_A2),0),ROUND(RATE_A1*$A787,0))))</f>
        <v/>
      </c>
      <c r="E787" s="556">
        <f>IF($A787&gt;BOTT_B4,ROUND(BASE_B4+RATE_B4*($A787-BOTT_B4),0),IF($A787&gt;BOTT_B3,ROUND(BASE_B3+RATE_B3*($A787-BOTT_B3),0),IF($A787&gt;BOTT_B2,ROUND(BASE_B2+RATE_B2*($A787-BOTT_B2),0),ROUND(RATE_B1*$A787,0))))</f>
        <v/>
      </c>
      <c r="F787" s="556">
        <f>IF($A787&gt;BOTT_C4,ROUND(BASE_C4+RATE_C4*($A787-BOTT_C4),0),IF($A787&gt;BOTT_C3,ROUND(BASE_C3+RATE_C3*($A787-BOTT_C3),0),IF($A787&gt;BOTT_C2,ROUND(BASE_C2+RATE_C2*($A787-BOTT_C2),0),ROUND(RATE_C1*$A787,0))))</f>
        <v/>
      </c>
      <c r="G787" s="556">
        <f>IF($A787&gt;BOTT_D4,ROUND(BASE_D4+RATE_D4*($A787-BOTT_D4),0),IF($A787&gt;BOTT_D3,ROUND(BASE_D3+RATE_D3*($A787-BOTT_D3),0),IF($A787&gt;BOTT_D2,ROUND(BASE_D2+RATE_D2*($A787-BOTT_D2),0),ROUND(RATE_D1*$A787,0))))</f>
        <v/>
      </c>
    </row>
    <row r="788" ht="15.75" customHeight="1" s="7635">
      <c r="A788" s="625">
        <f>AVERAGE(B788,C788)</f>
        <v/>
      </c>
      <c r="B788" s="555" t="n">
        <v>36200</v>
      </c>
      <c r="C788" s="555" t="n">
        <v>36250</v>
      </c>
      <c r="D788" s="556">
        <f>IF($A788&gt;BOTT_A4,ROUND(BASE_A4+RATE_A4*($A788-BOTT_A4),0),IF($A788&gt;BOTT_A3,ROUND(BASE_A3+RATE_A3*($A788-BOTT_A3),0),IF($A788&gt;BOTT_A2,ROUND(BASE_A2+RATE_A2*($A788-BOTT_A2),0),ROUND(RATE_A1*$A788,0))))</f>
        <v/>
      </c>
      <c r="E788" s="556">
        <f>IF($A788&gt;BOTT_B4,ROUND(BASE_B4+RATE_B4*($A788-BOTT_B4),0),IF($A788&gt;BOTT_B3,ROUND(BASE_B3+RATE_B3*($A788-BOTT_B3),0),IF($A788&gt;BOTT_B2,ROUND(BASE_B2+RATE_B2*($A788-BOTT_B2),0),ROUND(RATE_B1*$A788,0))))</f>
        <v/>
      </c>
      <c r="F788" s="556">
        <f>IF($A788&gt;BOTT_C4,ROUND(BASE_C4+RATE_C4*($A788-BOTT_C4),0),IF($A788&gt;BOTT_C3,ROUND(BASE_C3+RATE_C3*($A788-BOTT_C3),0),IF($A788&gt;BOTT_C2,ROUND(BASE_C2+RATE_C2*($A788-BOTT_C2),0),ROUND(RATE_C1*$A788,0))))</f>
        <v/>
      </c>
      <c r="G788" s="556">
        <f>IF($A788&gt;BOTT_D4,ROUND(BASE_D4+RATE_D4*($A788-BOTT_D4),0),IF($A788&gt;BOTT_D3,ROUND(BASE_D3+RATE_D3*($A788-BOTT_D3),0),IF($A788&gt;BOTT_D2,ROUND(BASE_D2+RATE_D2*($A788-BOTT_D2),0),ROUND(RATE_D1*$A788,0))))</f>
        <v/>
      </c>
    </row>
    <row r="789" ht="15.75" customHeight="1" s="7635">
      <c r="A789" s="625">
        <f>AVERAGE(B789,C789)</f>
        <v/>
      </c>
      <c r="B789" s="555" t="n">
        <v>36250</v>
      </c>
      <c r="C789" s="555" t="n">
        <v>36300</v>
      </c>
      <c r="D789" s="556">
        <f>IF($A789&gt;BOTT_A4,ROUND(BASE_A4+RATE_A4*($A789-BOTT_A4),0),IF($A789&gt;BOTT_A3,ROUND(BASE_A3+RATE_A3*($A789-BOTT_A3),0),IF($A789&gt;BOTT_A2,ROUND(BASE_A2+RATE_A2*($A789-BOTT_A2),0),ROUND(RATE_A1*$A789,0))))</f>
        <v/>
      </c>
      <c r="E789" s="556">
        <f>IF($A789&gt;BOTT_B4,ROUND(BASE_B4+RATE_B4*($A789-BOTT_B4),0),IF($A789&gt;BOTT_B3,ROUND(BASE_B3+RATE_B3*($A789-BOTT_B3),0),IF($A789&gt;BOTT_B2,ROUND(BASE_B2+RATE_B2*($A789-BOTT_B2),0),ROUND(RATE_B1*$A789,0))))</f>
        <v/>
      </c>
      <c r="F789" s="556">
        <f>IF($A789&gt;BOTT_C4,ROUND(BASE_C4+RATE_C4*($A789-BOTT_C4),0),IF($A789&gt;BOTT_C3,ROUND(BASE_C3+RATE_C3*($A789-BOTT_C3),0),IF($A789&gt;BOTT_C2,ROUND(BASE_C2+RATE_C2*($A789-BOTT_C2),0),ROUND(RATE_C1*$A789,0))))</f>
        <v/>
      </c>
      <c r="G789" s="556">
        <f>IF($A789&gt;BOTT_D4,ROUND(BASE_D4+RATE_D4*($A789-BOTT_D4),0),IF($A789&gt;BOTT_D3,ROUND(BASE_D3+RATE_D3*($A789-BOTT_D3),0),IF($A789&gt;BOTT_D2,ROUND(BASE_D2+RATE_D2*($A789-BOTT_D2),0),ROUND(RATE_D1*$A789,0))))</f>
        <v/>
      </c>
    </row>
    <row r="790" ht="15.75" customHeight="1" s="7635">
      <c r="A790" s="625">
        <f>AVERAGE(B790,C790)</f>
        <v/>
      </c>
      <c r="B790" s="555" t="n">
        <v>36300</v>
      </c>
      <c r="C790" s="555" t="n">
        <v>36350</v>
      </c>
      <c r="D790" s="556">
        <f>IF($A790&gt;BOTT_A4,ROUND(BASE_A4+RATE_A4*($A790-BOTT_A4),0),IF($A790&gt;BOTT_A3,ROUND(BASE_A3+RATE_A3*($A790-BOTT_A3),0),IF($A790&gt;BOTT_A2,ROUND(BASE_A2+RATE_A2*($A790-BOTT_A2),0),ROUND(RATE_A1*$A790,0))))</f>
        <v/>
      </c>
      <c r="E790" s="556">
        <f>IF($A790&gt;BOTT_B4,ROUND(BASE_B4+RATE_B4*($A790-BOTT_B4),0),IF($A790&gt;BOTT_B3,ROUND(BASE_B3+RATE_B3*($A790-BOTT_B3),0),IF($A790&gt;BOTT_B2,ROUND(BASE_B2+RATE_B2*($A790-BOTT_B2),0),ROUND(RATE_B1*$A790,0))))</f>
        <v/>
      </c>
      <c r="F790" s="556">
        <f>IF($A790&gt;BOTT_C4,ROUND(BASE_C4+RATE_C4*($A790-BOTT_C4),0),IF($A790&gt;BOTT_C3,ROUND(BASE_C3+RATE_C3*($A790-BOTT_C3),0),IF($A790&gt;BOTT_C2,ROUND(BASE_C2+RATE_C2*($A790-BOTT_C2),0),ROUND(RATE_C1*$A790,0))))</f>
        <v/>
      </c>
      <c r="G790" s="556">
        <f>IF($A790&gt;BOTT_D4,ROUND(BASE_D4+RATE_D4*($A790-BOTT_D4),0),IF($A790&gt;BOTT_D3,ROUND(BASE_D3+RATE_D3*($A790-BOTT_D3),0),IF($A790&gt;BOTT_D2,ROUND(BASE_D2+RATE_D2*($A790-BOTT_D2),0),ROUND(RATE_D1*$A790,0))))</f>
        <v/>
      </c>
    </row>
    <row r="791" ht="15.75" customHeight="1" s="7635">
      <c r="A791" s="625">
        <f>AVERAGE(B791,C791)</f>
        <v/>
      </c>
      <c r="B791" s="555" t="n">
        <v>36350</v>
      </c>
      <c r="C791" s="555" t="n">
        <v>36400</v>
      </c>
      <c r="D791" s="556">
        <f>IF($A791&gt;BOTT_A4,ROUND(BASE_A4+RATE_A4*($A791-BOTT_A4),0),IF($A791&gt;BOTT_A3,ROUND(BASE_A3+RATE_A3*($A791-BOTT_A3),0),IF($A791&gt;BOTT_A2,ROUND(BASE_A2+RATE_A2*($A791-BOTT_A2),0),ROUND(RATE_A1*$A791,0))))</f>
        <v/>
      </c>
      <c r="E791" s="556">
        <f>IF($A791&gt;BOTT_B4,ROUND(BASE_B4+RATE_B4*($A791-BOTT_B4),0),IF($A791&gt;BOTT_B3,ROUND(BASE_B3+RATE_B3*($A791-BOTT_B3),0),IF($A791&gt;BOTT_B2,ROUND(BASE_B2+RATE_B2*($A791-BOTT_B2),0),ROUND(RATE_B1*$A791,0))))</f>
        <v/>
      </c>
      <c r="F791" s="556">
        <f>IF($A791&gt;BOTT_C4,ROUND(BASE_C4+RATE_C4*($A791-BOTT_C4),0),IF($A791&gt;BOTT_C3,ROUND(BASE_C3+RATE_C3*($A791-BOTT_C3),0),IF($A791&gt;BOTT_C2,ROUND(BASE_C2+RATE_C2*($A791-BOTT_C2),0),ROUND(RATE_C1*$A791,0))))</f>
        <v/>
      </c>
      <c r="G791" s="556">
        <f>IF($A791&gt;BOTT_D4,ROUND(BASE_D4+RATE_D4*($A791-BOTT_D4),0),IF($A791&gt;BOTT_D3,ROUND(BASE_D3+RATE_D3*($A791-BOTT_D3),0),IF($A791&gt;BOTT_D2,ROUND(BASE_D2+RATE_D2*($A791-BOTT_D2),0),ROUND(RATE_D1*$A791,0))))</f>
        <v/>
      </c>
    </row>
    <row r="792" ht="15.75" customHeight="1" s="7635">
      <c r="A792" s="625">
        <f>AVERAGE(B792,C792)</f>
        <v/>
      </c>
      <c r="B792" s="555" t="n">
        <v>36400</v>
      </c>
      <c r="C792" s="555" t="n">
        <v>36450</v>
      </c>
      <c r="D792" s="556">
        <f>IF($A792&gt;BOTT_A4,ROUND(BASE_A4+RATE_A4*($A792-BOTT_A4),0),IF($A792&gt;BOTT_A3,ROUND(BASE_A3+RATE_A3*($A792-BOTT_A3),0),IF($A792&gt;BOTT_A2,ROUND(BASE_A2+RATE_A2*($A792-BOTT_A2),0),ROUND(RATE_A1*$A792,0))))</f>
        <v/>
      </c>
      <c r="E792" s="556">
        <f>IF($A792&gt;BOTT_B4,ROUND(BASE_B4+RATE_B4*($A792-BOTT_B4),0),IF($A792&gt;BOTT_B3,ROUND(BASE_B3+RATE_B3*($A792-BOTT_B3),0),IF($A792&gt;BOTT_B2,ROUND(BASE_B2+RATE_B2*($A792-BOTT_B2),0),ROUND(RATE_B1*$A792,0))))</f>
        <v/>
      </c>
      <c r="F792" s="556">
        <f>IF($A792&gt;BOTT_C4,ROUND(BASE_C4+RATE_C4*($A792-BOTT_C4),0),IF($A792&gt;BOTT_C3,ROUND(BASE_C3+RATE_C3*($A792-BOTT_C3),0),IF($A792&gt;BOTT_C2,ROUND(BASE_C2+RATE_C2*($A792-BOTT_C2),0),ROUND(RATE_C1*$A792,0))))</f>
        <v/>
      </c>
      <c r="G792" s="556">
        <f>IF($A792&gt;BOTT_D4,ROUND(BASE_D4+RATE_D4*($A792-BOTT_D4),0),IF($A792&gt;BOTT_D3,ROUND(BASE_D3+RATE_D3*($A792-BOTT_D3),0),IF($A792&gt;BOTT_D2,ROUND(BASE_D2+RATE_D2*($A792-BOTT_D2),0),ROUND(RATE_D1*$A792,0))))</f>
        <v/>
      </c>
    </row>
    <row r="793" ht="15.75" customHeight="1" s="7635">
      <c r="A793" s="625">
        <f>AVERAGE(B793,C793)</f>
        <v/>
      </c>
      <c r="B793" s="555" t="n">
        <v>36450</v>
      </c>
      <c r="C793" s="555" t="n">
        <v>36500</v>
      </c>
      <c r="D793" s="556">
        <f>IF($A793&gt;BOTT_A4,ROUND(BASE_A4+RATE_A4*($A793-BOTT_A4),0),IF($A793&gt;BOTT_A3,ROUND(BASE_A3+RATE_A3*($A793-BOTT_A3),0),IF($A793&gt;BOTT_A2,ROUND(BASE_A2+RATE_A2*($A793-BOTT_A2),0),ROUND(RATE_A1*$A793,0))))</f>
        <v/>
      </c>
      <c r="E793" s="556">
        <f>IF($A793&gt;BOTT_B4,ROUND(BASE_B4+RATE_B4*($A793-BOTT_B4),0),IF($A793&gt;BOTT_B3,ROUND(BASE_B3+RATE_B3*($A793-BOTT_B3),0),IF($A793&gt;BOTT_B2,ROUND(BASE_B2+RATE_B2*($A793-BOTT_B2),0),ROUND(RATE_B1*$A793,0))))</f>
        <v/>
      </c>
      <c r="F793" s="556">
        <f>IF($A793&gt;BOTT_C4,ROUND(BASE_C4+RATE_C4*($A793-BOTT_C4),0),IF($A793&gt;BOTT_C3,ROUND(BASE_C3+RATE_C3*($A793-BOTT_C3),0),IF($A793&gt;BOTT_C2,ROUND(BASE_C2+RATE_C2*($A793-BOTT_C2),0),ROUND(RATE_C1*$A793,0))))</f>
        <v/>
      </c>
      <c r="G793" s="556">
        <f>IF($A793&gt;BOTT_D4,ROUND(BASE_D4+RATE_D4*($A793-BOTT_D4),0),IF($A793&gt;BOTT_D3,ROUND(BASE_D3+RATE_D3*($A793-BOTT_D3),0),IF($A793&gt;BOTT_D2,ROUND(BASE_D2+RATE_D2*($A793-BOTT_D2),0),ROUND(RATE_D1*$A793,0))))</f>
        <v/>
      </c>
    </row>
    <row r="794" ht="15.75" customHeight="1" s="7635">
      <c r="A794" s="625">
        <f>AVERAGE(B794,C794)</f>
        <v/>
      </c>
      <c r="B794" s="555" t="n">
        <v>36500</v>
      </c>
      <c r="C794" s="555" t="n">
        <v>36550</v>
      </c>
      <c r="D794" s="556">
        <f>IF($A794&gt;BOTT_A4,ROUND(BASE_A4+RATE_A4*($A794-BOTT_A4),0),IF($A794&gt;BOTT_A3,ROUND(BASE_A3+RATE_A3*($A794-BOTT_A3),0),IF($A794&gt;BOTT_A2,ROUND(BASE_A2+RATE_A2*($A794-BOTT_A2),0),ROUND(RATE_A1*$A794,0))))</f>
        <v/>
      </c>
      <c r="E794" s="556">
        <f>IF($A794&gt;BOTT_B4,ROUND(BASE_B4+RATE_B4*($A794-BOTT_B4),0),IF($A794&gt;BOTT_B3,ROUND(BASE_B3+RATE_B3*($A794-BOTT_B3),0),IF($A794&gt;BOTT_B2,ROUND(BASE_B2+RATE_B2*($A794-BOTT_B2),0),ROUND(RATE_B1*$A794,0))))</f>
        <v/>
      </c>
      <c r="F794" s="556">
        <f>IF($A794&gt;BOTT_C4,ROUND(BASE_C4+RATE_C4*($A794-BOTT_C4),0),IF($A794&gt;BOTT_C3,ROUND(BASE_C3+RATE_C3*($A794-BOTT_C3),0),IF($A794&gt;BOTT_C2,ROUND(BASE_C2+RATE_C2*($A794-BOTT_C2),0),ROUND(RATE_C1*$A794,0))))</f>
        <v/>
      </c>
      <c r="G794" s="556">
        <f>IF($A794&gt;BOTT_D4,ROUND(BASE_D4+RATE_D4*($A794-BOTT_D4),0),IF($A794&gt;BOTT_D3,ROUND(BASE_D3+RATE_D3*($A794-BOTT_D3),0),IF($A794&gt;BOTT_D2,ROUND(BASE_D2+RATE_D2*($A794-BOTT_D2),0),ROUND(RATE_D1*$A794,0))))</f>
        <v/>
      </c>
    </row>
    <row r="795" ht="15.75" customHeight="1" s="7635">
      <c r="A795" s="625">
        <f>AVERAGE(B795,C795)</f>
        <v/>
      </c>
      <c r="B795" s="555" t="n">
        <v>36550</v>
      </c>
      <c r="C795" s="555" t="n">
        <v>36600</v>
      </c>
      <c r="D795" s="556">
        <f>IF($A795&gt;BOTT_A4,ROUND(BASE_A4+RATE_A4*($A795-BOTT_A4),0),IF($A795&gt;BOTT_A3,ROUND(BASE_A3+RATE_A3*($A795-BOTT_A3),0),IF($A795&gt;BOTT_A2,ROUND(BASE_A2+RATE_A2*($A795-BOTT_A2),0),ROUND(RATE_A1*$A795,0))))</f>
        <v/>
      </c>
      <c r="E795" s="556">
        <f>IF($A795&gt;BOTT_B4,ROUND(BASE_B4+RATE_B4*($A795-BOTT_B4),0),IF($A795&gt;BOTT_B3,ROUND(BASE_B3+RATE_B3*($A795-BOTT_B3),0),IF($A795&gt;BOTT_B2,ROUND(BASE_B2+RATE_B2*($A795-BOTT_B2),0),ROUND(RATE_B1*$A795,0))))</f>
        <v/>
      </c>
      <c r="F795" s="556">
        <f>IF($A795&gt;BOTT_C4,ROUND(BASE_C4+RATE_C4*($A795-BOTT_C4),0),IF($A795&gt;BOTT_C3,ROUND(BASE_C3+RATE_C3*($A795-BOTT_C3),0),IF($A795&gt;BOTT_C2,ROUND(BASE_C2+RATE_C2*($A795-BOTT_C2),0),ROUND(RATE_C1*$A795,0))))</f>
        <v/>
      </c>
      <c r="G795" s="556">
        <f>IF($A795&gt;BOTT_D4,ROUND(BASE_D4+RATE_D4*($A795-BOTT_D4),0),IF($A795&gt;BOTT_D3,ROUND(BASE_D3+RATE_D3*($A795-BOTT_D3),0),IF($A795&gt;BOTT_D2,ROUND(BASE_D2+RATE_D2*($A795-BOTT_D2),0),ROUND(RATE_D1*$A795,0))))</f>
        <v/>
      </c>
    </row>
    <row r="796" ht="15.75" customHeight="1" s="7635">
      <c r="A796" s="625">
        <f>AVERAGE(B796,C796)</f>
        <v/>
      </c>
      <c r="B796" s="555" t="n">
        <v>36600</v>
      </c>
      <c r="C796" s="555" t="n">
        <v>36650</v>
      </c>
      <c r="D796" s="556">
        <f>IF($A796&gt;BOTT_A4,ROUND(BASE_A4+RATE_A4*($A796-BOTT_A4),0),IF($A796&gt;BOTT_A3,ROUND(BASE_A3+RATE_A3*($A796-BOTT_A3),0),IF($A796&gt;BOTT_A2,ROUND(BASE_A2+RATE_A2*($A796-BOTT_A2),0),ROUND(RATE_A1*$A796,0))))</f>
        <v/>
      </c>
      <c r="E796" s="556">
        <f>IF($A796&gt;BOTT_B4,ROUND(BASE_B4+RATE_B4*($A796-BOTT_B4),0),IF($A796&gt;BOTT_B3,ROUND(BASE_B3+RATE_B3*($A796-BOTT_B3),0),IF($A796&gt;BOTT_B2,ROUND(BASE_B2+RATE_B2*($A796-BOTT_B2),0),ROUND(RATE_B1*$A796,0))))</f>
        <v/>
      </c>
      <c r="F796" s="556">
        <f>IF($A796&gt;BOTT_C4,ROUND(BASE_C4+RATE_C4*($A796-BOTT_C4),0),IF($A796&gt;BOTT_C3,ROUND(BASE_C3+RATE_C3*($A796-BOTT_C3),0),IF($A796&gt;BOTT_C2,ROUND(BASE_C2+RATE_C2*($A796-BOTT_C2),0),ROUND(RATE_C1*$A796,0))))</f>
        <v/>
      </c>
      <c r="G796" s="556">
        <f>IF($A796&gt;BOTT_D4,ROUND(BASE_D4+RATE_D4*($A796-BOTT_D4),0),IF($A796&gt;BOTT_D3,ROUND(BASE_D3+RATE_D3*($A796-BOTT_D3),0),IF($A796&gt;BOTT_D2,ROUND(BASE_D2+RATE_D2*($A796-BOTT_D2),0),ROUND(RATE_D1*$A796,0))))</f>
        <v/>
      </c>
    </row>
    <row r="797" ht="15.75" customHeight="1" s="7635">
      <c r="A797" s="625">
        <f>AVERAGE(B797,C797)</f>
        <v/>
      </c>
      <c r="B797" s="555" t="n">
        <v>36650</v>
      </c>
      <c r="C797" s="555" t="n">
        <v>36700</v>
      </c>
      <c r="D797" s="556">
        <f>IF($A797&gt;BOTT_A4,ROUND(BASE_A4+RATE_A4*($A797-BOTT_A4),0),IF($A797&gt;BOTT_A3,ROUND(BASE_A3+RATE_A3*($A797-BOTT_A3),0),IF($A797&gt;BOTT_A2,ROUND(BASE_A2+RATE_A2*($A797-BOTT_A2),0),ROUND(RATE_A1*$A797,0))))</f>
        <v/>
      </c>
      <c r="E797" s="556">
        <f>IF($A797&gt;BOTT_B4,ROUND(BASE_B4+RATE_B4*($A797-BOTT_B4),0),IF($A797&gt;BOTT_B3,ROUND(BASE_B3+RATE_B3*($A797-BOTT_B3),0),IF($A797&gt;BOTT_B2,ROUND(BASE_B2+RATE_B2*($A797-BOTT_B2),0),ROUND(RATE_B1*$A797,0))))</f>
        <v/>
      </c>
      <c r="F797" s="556">
        <f>IF($A797&gt;BOTT_C4,ROUND(BASE_C4+RATE_C4*($A797-BOTT_C4),0),IF($A797&gt;BOTT_C3,ROUND(BASE_C3+RATE_C3*($A797-BOTT_C3),0),IF($A797&gt;BOTT_C2,ROUND(BASE_C2+RATE_C2*($A797-BOTT_C2),0),ROUND(RATE_C1*$A797,0))))</f>
        <v/>
      </c>
      <c r="G797" s="556">
        <f>IF($A797&gt;BOTT_D4,ROUND(BASE_D4+RATE_D4*($A797-BOTT_D4),0),IF($A797&gt;BOTT_D3,ROUND(BASE_D3+RATE_D3*($A797-BOTT_D3),0),IF($A797&gt;BOTT_D2,ROUND(BASE_D2+RATE_D2*($A797-BOTT_D2),0),ROUND(RATE_D1*$A797,0))))</f>
        <v/>
      </c>
    </row>
    <row r="798" ht="15.75" customHeight="1" s="7635">
      <c r="A798" s="625">
        <f>AVERAGE(B798,C798)</f>
        <v/>
      </c>
      <c r="B798" s="555" t="n">
        <v>36700</v>
      </c>
      <c r="C798" s="555" t="n">
        <v>36750</v>
      </c>
      <c r="D798" s="556">
        <f>IF($A798&gt;BOTT_A4,ROUND(BASE_A4+RATE_A4*($A798-BOTT_A4),0),IF($A798&gt;BOTT_A3,ROUND(BASE_A3+RATE_A3*($A798-BOTT_A3),0),IF($A798&gt;BOTT_A2,ROUND(BASE_A2+RATE_A2*($A798-BOTT_A2),0),ROUND(RATE_A1*$A798,0))))</f>
        <v/>
      </c>
      <c r="E798" s="556">
        <f>IF($A798&gt;BOTT_B4,ROUND(BASE_B4+RATE_B4*($A798-BOTT_B4),0),IF($A798&gt;BOTT_B3,ROUND(BASE_B3+RATE_B3*($A798-BOTT_B3),0),IF($A798&gt;BOTT_B2,ROUND(BASE_B2+RATE_B2*($A798-BOTT_B2),0),ROUND(RATE_B1*$A798,0))))</f>
        <v/>
      </c>
      <c r="F798" s="556">
        <f>IF($A798&gt;BOTT_C4,ROUND(BASE_C4+RATE_C4*($A798-BOTT_C4),0),IF($A798&gt;BOTT_C3,ROUND(BASE_C3+RATE_C3*($A798-BOTT_C3),0),IF($A798&gt;BOTT_C2,ROUND(BASE_C2+RATE_C2*($A798-BOTT_C2),0),ROUND(RATE_C1*$A798,0))))</f>
        <v/>
      </c>
      <c r="G798" s="556">
        <f>IF($A798&gt;BOTT_D4,ROUND(BASE_D4+RATE_D4*($A798-BOTT_D4),0),IF($A798&gt;BOTT_D3,ROUND(BASE_D3+RATE_D3*($A798-BOTT_D3),0),IF($A798&gt;BOTT_D2,ROUND(BASE_D2+RATE_D2*($A798-BOTT_D2),0),ROUND(RATE_D1*$A798,0))))</f>
        <v/>
      </c>
    </row>
    <row r="799" ht="15.75" customHeight="1" s="7635">
      <c r="A799" s="625">
        <f>AVERAGE(B799,C799)</f>
        <v/>
      </c>
      <c r="B799" s="555" t="n">
        <v>36750</v>
      </c>
      <c r="C799" s="555" t="n">
        <v>36800</v>
      </c>
      <c r="D799" s="556">
        <f>IF($A799&gt;BOTT_A4,ROUND(BASE_A4+RATE_A4*($A799-BOTT_A4),0),IF($A799&gt;BOTT_A3,ROUND(BASE_A3+RATE_A3*($A799-BOTT_A3),0),IF($A799&gt;BOTT_A2,ROUND(BASE_A2+RATE_A2*($A799-BOTT_A2),0),ROUND(RATE_A1*$A799,0))))</f>
        <v/>
      </c>
      <c r="E799" s="556">
        <f>IF($A799&gt;BOTT_B4,ROUND(BASE_B4+RATE_B4*($A799-BOTT_B4),0),IF($A799&gt;BOTT_B3,ROUND(BASE_B3+RATE_B3*($A799-BOTT_B3),0),IF($A799&gt;BOTT_B2,ROUND(BASE_B2+RATE_B2*($A799-BOTT_B2),0),ROUND(RATE_B1*$A799,0))))</f>
        <v/>
      </c>
      <c r="F799" s="556">
        <f>IF($A799&gt;BOTT_C4,ROUND(BASE_C4+RATE_C4*($A799-BOTT_C4),0),IF($A799&gt;BOTT_C3,ROUND(BASE_C3+RATE_C3*($A799-BOTT_C3),0),IF($A799&gt;BOTT_C2,ROUND(BASE_C2+RATE_C2*($A799-BOTT_C2),0),ROUND(RATE_C1*$A799,0))))</f>
        <v/>
      </c>
      <c r="G799" s="556">
        <f>IF($A799&gt;BOTT_D4,ROUND(BASE_D4+RATE_D4*($A799-BOTT_D4),0),IF($A799&gt;BOTT_D3,ROUND(BASE_D3+RATE_D3*($A799-BOTT_D3),0),IF($A799&gt;BOTT_D2,ROUND(BASE_D2+RATE_D2*($A799-BOTT_D2),0),ROUND(RATE_D1*$A799,0))))</f>
        <v/>
      </c>
    </row>
    <row r="800" ht="15.75" customHeight="1" s="7635">
      <c r="A800" s="625">
        <f>AVERAGE(B800,C800)</f>
        <v/>
      </c>
      <c r="B800" s="555" t="n">
        <v>36800</v>
      </c>
      <c r="C800" s="555" t="n">
        <v>36850</v>
      </c>
      <c r="D800" s="556">
        <f>IF($A800&gt;BOTT_A4,ROUND(BASE_A4+RATE_A4*($A800-BOTT_A4),0),IF($A800&gt;BOTT_A3,ROUND(BASE_A3+RATE_A3*($A800-BOTT_A3),0),IF($A800&gt;BOTT_A2,ROUND(BASE_A2+RATE_A2*($A800-BOTT_A2),0),ROUND(RATE_A1*$A800,0))))</f>
        <v/>
      </c>
      <c r="E800" s="556">
        <f>IF($A800&gt;BOTT_B4,ROUND(BASE_B4+RATE_B4*($A800-BOTT_B4),0),IF($A800&gt;BOTT_B3,ROUND(BASE_B3+RATE_B3*($A800-BOTT_B3),0),IF($A800&gt;BOTT_B2,ROUND(BASE_B2+RATE_B2*($A800-BOTT_B2),0),ROUND(RATE_B1*$A800,0))))</f>
        <v/>
      </c>
      <c r="F800" s="556">
        <f>IF($A800&gt;BOTT_C4,ROUND(BASE_C4+RATE_C4*($A800-BOTT_C4),0),IF($A800&gt;BOTT_C3,ROUND(BASE_C3+RATE_C3*($A800-BOTT_C3),0),IF($A800&gt;BOTT_C2,ROUND(BASE_C2+RATE_C2*($A800-BOTT_C2),0),ROUND(RATE_C1*$A800,0))))</f>
        <v/>
      </c>
      <c r="G800" s="556">
        <f>IF($A800&gt;BOTT_D4,ROUND(BASE_D4+RATE_D4*($A800-BOTT_D4),0),IF($A800&gt;BOTT_D3,ROUND(BASE_D3+RATE_D3*($A800-BOTT_D3),0),IF($A800&gt;BOTT_D2,ROUND(BASE_D2+RATE_D2*($A800-BOTT_D2),0),ROUND(RATE_D1*$A800,0))))</f>
        <v/>
      </c>
    </row>
    <row r="801" ht="15.75" customHeight="1" s="7635">
      <c r="A801" s="625">
        <f>AVERAGE(B801,C801)</f>
        <v/>
      </c>
      <c r="B801" s="555" t="n">
        <v>36850</v>
      </c>
      <c r="C801" s="555" t="n">
        <v>36900</v>
      </c>
      <c r="D801" s="556">
        <f>IF($A801&gt;BOTT_A4,ROUND(BASE_A4+RATE_A4*($A801-BOTT_A4),0),IF($A801&gt;BOTT_A3,ROUND(BASE_A3+RATE_A3*($A801-BOTT_A3),0),IF($A801&gt;BOTT_A2,ROUND(BASE_A2+RATE_A2*($A801-BOTT_A2),0),ROUND(RATE_A1*$A801,0))))</f>
        <v/>
      </c>
      <c r="E801" s="556">
        <f>IF($A801&gt;BOTT_B4,ROUND(BASE_B4+RATE_B4*($A801-BOTT_B4),0),IF($A801&gt;BOTT_B3,ROUND(BASE_B3+RATE_B3*($A801-BOTT_B3),0),IF($A801&gt;BOTT_B2,ROUND(BASE_B2+RATE_B2*($A801-BOTT_B2),0),ROUND(RATE_B1*$A801,0))))</f>
        <v/>
      </c>
      <c r="F801" s="556">
        <f>IF($A801&gt;BOTT_C4,ROUND(BASE_C4+RATE_C4*($A801-BOTT_C4),0),IF($A801&gt;BOTT_C3,ROUND(BASE_C3+RATE_C3*($A801-BOTT_C3),0),IF($A801&gt;BOTT_C2,ROUND(BASE_C2+RATE_C2*($A801-BOTT_C2),0),ROUND(RATE_C1*$A801,0))))</f>
        <v/>
      </c>
      <c r="G801" s="556">
        <f>IF($A801&gt;BOTT_D4,ROUND(BASE_D4+RATE_D4*($A801-BOTT_D4),0),IF($A801&gt;BOTT_D3,ROUND(BASE_D3+RATE_D3*($A801-BOTT_D3),0),IF($A801&gt;BOTT_D2,ROUND(BASE_D2+RATE_D2*($A801-BOTT_D2),0),ROUND(RATE_D1*$A801,0))))</f>
        <v/>
      </c>
    </row>
    <row r="802" ht="15.75" customHeight="1" s="7635">
      <c r="A802" s="625">
        <f>AVERAGE(B802,C802)</f>
        <v/>
      </c>
      <c r="B802" s="555" t="n">
        <v>36900</v>
      </c>
      <c r="C802" s="555" t="n">
        <v>36950</v>
      </c>
      <c r="D802" s="556">
        <f>IF($A802&gt;BOTT_A4,ROUND(BASE_A4+RATE_A4*($A802-BOTT_A4),0),IF($A802&gt;BOTT_A3,ROUND(BASE_A3+RATE_A3*($A802-BOTT_A3),0),IF($A802&gt;BOTT_A2,ROUND(BASE_A2+RATE_A2*($A802-BOTT_A2),0),ROUND(RATE_A1*$A802,0))))</f>
        <v/>
      </c>
      <c r="E802" s="556">
        <f>IF($A802&gt;BOTT_B4,ROUND(BASE_B4+RATE_B4*($A802-BOTT_B4),0),IF($A802&gt;BOTT_B3,ROUND(BASE_B3+RATE_B3*($A802-BOTT_B3),0),IF($A802&gt;BOTT_B2,ROUND(BASE_B2+RATE_B2*($A802-BOTT_B2),0),ROUND(RATE_B1*$A802,0))))</f>
        <v/>
      </c>
      <c r="F802" s="556">
        <f>IF($A802&gt;BOTT_C4,ROUND(BASE_C4+RATE_C4*($A802-BOTT_C4),0),IF($A802&gt;BOTT_C3,ROUND(BASE_C3+RATE_C3*($A802-BOTT_C3),0),IF($A802&gt;BOTT_C2,ROUND(BASE_C2+RATE_C2*($A802-BOTT_C2),0),ROUND(RATE_C1*$A802,0))))</f>
        <v/>
      </c>
      <c r="G802" s="556">
        <f>IF($A802&gt;BOTT_D4,ROUND(BASE_D4+RATE_D4*($A802-BOTT_D4),0),IF($A802&gt;BOTT_D3,ROUND(BASE_D3+RATE_D3*($A802-BOTT_D3),0),IF($A802&gt;BOTT_D2,ROUND(BASE_D2+RATE_D2*($A802-BOTT_D2),0),ROUND(RATE_D1*$A802,0))))</f>
        <v/>
      </c>
    </row>
    <row r="803" ht="15.75" customHeight="1" s="7635">
      <c r="A803" s="625">
        <f>AVERAGE(B803,C803)</f>
        <v/>
      </c>
      <c r="B803" s="555" t="n">
        <v>36950</v>
      </c>
      <c r="C803" s="555" t="n">
        <v>37000</v>
      </c>
      <c r="D803" s="556">
        <f>IF($A803&gt;BOTT_A4,ROUND(BASE_A4+RATE_A4*($A803-BOTT_A4),0),IF($A803&gt;BOTT_A3,ROUND(BASE_A3+RATE_A3*($A803-BOTT_A3),0),IF($A803&gt;BOTT_A2,ROUND(BASE_A2+RATE_A2*($A803-BOTT_A2),0),ROUND(RATE_A1*$A803,0))))</f>
        <v/>
      </c>
      <c r="E803" s="556">
        <f>IF($A803&gt;BOTT_B4,ROUND(BASE_B4+RATE_B4*($A803-BOTT_B4),0),IF($A803&gt;BOTT_B3,ROUND(BASE_B3+RATE_B3*($A803-BOTT_B3),0),IF($A803&gt;BOTT_B2,ROUND(BASE_B2+RATE_B2*($A803-BOTT_B2),0),ROUND(RATE_B1*$A803,0))))</f>
        <v/>
      </c>
      <c r="F803" s="556">
        <f>IF($A803&gt;BOTT_C4,ROUND(BASE_C4+RATE_C4*($A803-BOTT_C4),0),IF($A803&gt;BOTT_C3,ROUND(BASE_C3+RATE_C3*($A803-BOTT_C3),0),IF($A803&gt;BOTT_C2,ROUND(BASE_C2+RATE_C2*($A803-BOTT_C2),0),ROUND(RATE_C1*$A803,0))))</f>
        <v/>
      </c>
      <c r="G803" s="556">
        <f>IF($A803&gt;BOTT_D4,ROUND(BASE_D4+RATE_D4*($A803-BOTT_D4),0),IF($A803&gt;BOTT_D3,ROUND(BASE_D3+RATE_D3*($A803-BOTT_D3),0),IF($A803&gt;BOTT_D2,ROUND(BASE_D2+RATE_D2*($A803-BOTT_D2),0),ROUND(RATE_D1*$A803,0))))</f>
        <v/>
      </c>
    </row>
    <row r="804" ht="15.75" customHeight="1" s="7635">
      <c r="A804" s="625">
        <f>AVERAGE(B804,C804)</f>
        <v/>
      </c>
      <c r="B804" s="555" t="n">
        <v>37000</v>
      </c>
      <c r="C804" s="555" t="n">
        <v>37050</v>
      </c>
      <c r="D804" s="556">
        <f>IF($A804&gt;BOTT_A4,ROUND(BASE_A4+RATE_A4*($A804-BOTT_A4),0),IF($A804&gt;BOTT_A3,ROUND(BASE_A3+RATE_A3*($A804-BOTT_A3),0),IF($A804&gt;BOTT_A2,ROUND(BASE_A2+RATE_A2*($A804-BOTT_A2),0),ROUND(RATE_A1*$A804,0))))</f>
        <v/>
      </c>
      <c r="E804" s="556">
        <f>IF($A804&gt;BOTT_B4,ROUND(BASE_B4+RATE_B4*($A804-BOTT_B4),0),IF($A804&gt;BOTT_B3,ROUND(BASE_B3+RATE_B3*($A804-BOTT_B3),0),IF($A804&gt;BOTT_B2,ROUND(BASE_B2+RATE_B2*($A804-BOTT_B2),0),ROUND(RATE_B1*$A804,0))))</f>
        <v/>
      </c>
      <c r="F804" s="556">
        <f>IF($A804&gt;BOTT_C4,ROUND(BASE_C4+RATE_C4*($A804-BOTT_C4),0),IF($A804&gt;BOTT_C3,ROUND(BASE_C3+RATE_C3*($A804-BOTT_C3),0),IF($A804&gt;BOTT_C2,ROUND(BASE_C2+RATE_C2*($A804-BOTT_C2),0),ROUND(RATE_C1*$A804,0))))</f>
        <v/>
      </c>
      <c r="G804" s="556">
        <f>IF($A804&gt;BOTT_D4,ROUND(BASE_D4+RATE_D4*($A804-BOTT_D4),0),IF($A804&gt;BOTT_D3,ROUND(BASE_D3+RATE_D3*($A804-BOTT_D3),0),IF($A804&gt;BOTT_D2,ROUND(BASE_D2+RATE_D2*($A804-BOTT_D2),0),ROUND(RATE_D1*$A804,0))))</f>
        <v/>
      </c>
    </row>
    <row r="805" ht="15.75" customHeight="1" s="7635">
      <c r="A805" s="625">
        <f>AVERAGE(B805,C805)</f>
        <v/>
      </c>
      <c r="B805" s="555" t="n">
        <v>37050</v>
      </c>
      <c r="C805" s="555" t="n">
        <v>37100</v>
      </c>
      <c r="D805" s="556">
        <f>IF($A805&gt;BOTT_A4,ROUND(BASE_A4+RATE_A4*($A805-BOTT_A4),0),IF($A805&gt;BOTT_A3,ROUND(BASE_A3+RATE_A3*($A805-BOTT_A3),0),IF($A805&gt;BOTT_A2,ROUND(BASE_A2+RATE_A2*($A805-BOTT_A2),0),ROUND(RATE_A1*$A805,0))))</f>
        <v/>
      </c>
      <c r="E805" s="556">
        <f>IF($A805&gt;BOTT_B4,ROUND(BASE_B4+RATE_B4*($A805-BOTT_B4),0),IF($A805&gt;BOTT_B3,ROUND(BASE_B3+RATE_B3*($A805-BOTT_B3),0),IF($A805&gt;BOTT_B2,ROUND(BASE_B2+RATE_B2*($A805-BOTT_B2),0),ROUND(RATE_B1*$A805,0))))</f>
        <v/>
      </c>
      <c r="F805" s="556">
        <f>IF($A805&gt;BOTT_C4,ROUND(BASE_C4+RATE_C4*($A805-BOTT_C4),0),IF($A805&gt;BOTT_C3,ROUND(BASE_C3+RATE_C3*($A805-BOTT_C3),0),IF($A805&gt;BOTT_C2,ROUND(BASE_C2+RATE_C2*($A805-BOTT_C2),0),ROUND(RATE_C1*$A805,0))))</f>
        <v/>
      </c>
      <c r="G805" s="556">
        <f>IF($A805&gt;BOTT_D4,ROUND(BASE_D4+RATE_D4*($A805-BOTT_D4),0),IF($A805&gt;BOTT_D3,ROUND(BASE_D3+RATE_D3*($A805-BOTT_D3),0),IF($A805&gt;BOTT_D2,ROUND(BASE_D2+RATE_D2*($A805-BOTT_D2),0),ROUND(RATE_D1*$A805,0))))</f>
        <v/>
      </c>
    </row>
    <row r="806" ht="15.75" customHeight="1" s="7635">
      <c r="A806" s="625">
        <f>AVERAGE(B806,C806)</f>
        <v/>
      </c>
      <c r="B806" s="555" t="n">
        <v>37100</v>
      </c>
      <c r="C806" s="555" t="n">
        <v>37150</v>
      </c>
      <c r="D806" s="556">
        <f>IF($A806&gt;BOTT_A4,ROUND(BASE_A4+RATE_A4*($A806-BOTT_A4),0),IF($A806&gt;BOTT_A3,ROUND(BASE_A3+RATE_A3*($A806-BOTT_A3),0),IF($A806&gt;BOTT_A2,ROUND(BASE_A2+RATE_A2*($A806-BOTT_A2),0),ROUND(RATE_A1*$A806,0))))</f>
        <v/>
      </c>
      <c r="E806" s="556">
        <f>IF($A806&gt;BOTT_B4,ROUND(BASE_B4+RATE_B4*($A806-BOTT_B4),0),IF($A806&gt;BOTT_B3,ROUND(BASE_B3+RATE_B3*($A806-BOTT_B3),0),IF($A806&gt;BOTT_B2,ROUND(BASE_B2+RATE_B2*($A806-BOTT_B2),0),ROUND(RATE_B1*$A806,0))))</f>
        <v/>
      </c>
      <c r="F806" s="556">
        <f>IF($A806&gt;BOTT_C4,ROUND(BASE_C4+RATE_C4*($A806-BOTT_C4),0),IF($A806&gt;BOTT_C3,ROUND(BASE_C3+RATE_C3*($A806-BOTT_C3),0),IF($A806&gt;BOTT_C2,ROUND(BASE_C2+RATE_C2*($A806-BOTT_C2),0),ROUND(RATE_C1*$A806,0))))</f>
        <v/>
      </c>
      <c r="G806" s="556">
        <f>IF($A806&gt;BOTT_D4,ROUND(BASE_D4+RATE_D4*($A806-BOTT_D4),0),IF($A806&gt;BOTT_D3,ROUND(BASE_D3+RATE_D3*($A806-BOTT_D3),0),IF($A806&gt;BOTT_D2,ROUND(BASE_D2+RATE_D2*($A806-BOTT_D2),0),ROUND(RATE_D1*$A806,0))))</f>
        <v/>
      </c>
    </row>
    <row r="807" ht="15.75" customHeight="1" s="7635">
      <c r="A807" s="625">
        <f>AVERAGE(B807,C807)</f>
        <v/>
      </c>
      <c r="B807" s="555" t="n">
        <v>37150</v>
      </c>
      <c r="C807" s="555" t="n">
        <v>37200</v>
      </c>
      <c r="D807" s="556">
        <f>IF($A807&gt;BOTT_A4,ROUND(BASE_A4+RATE_A4*($A807-BOTT_A4),0),IF($A807&gt;BOTT_A3,ROUND(BASE_A3+RATE_A3*($A807-BOTT_A3),0),IF($A807&gt;BOTT_A2,ROUND(BASE_A2+RATE_A2*($A807-BOTT_A2),0),ROUND(RATE_A1*$A807,0))))</f>
        <v/>
      </c>
      <c r="E807" s="556">
        <f>IF($A807&gt;BOTT_B4,ROUND(BASE_B4+RATE_B4*($A807-BOTT_B4),0),IF($A807&gt;BOTT_B3,ROUND(BASE_B3+RATE_B3*($A807-BOTT_B3),0),IF($A807&gt;BOTT_B2,ROUND(BASE_B2+RATE_B2*($A807-BOTT_B2),0),ROUND(RATE_B1*$A807,0))))</f>
        <v/>
      </c>
      <c r="F807" s="556">
        <f>IF($A807&gt;BOTT_C4,ROUND(BASE_C4+RATE_C4*($A807-BOTT_C4),0),IF($A807&gt;BOTT_C3,ROUND(BASE_C3+RATE_C3*($A807-BOTT_C3),0),IF($A807&gt;BOTT_C2,ROUND(BASE_C2+RATE_C2*($A807-BOTT_C2),0),ROUND(RATE_C1*$A807,0))))</f>
        <v/>
      </c>
      <c r="G807" s="556">
        <f>IF($A807&gt;BOTT_D4,ROUND(BASE_D4+RATE_D4*($A807-BOTT_D4),0),IF($A807&gt;BOTT_D3,ROUND(BASE_D3+RATE_D3*($A807-BOTT_D3),0),IF($A807&gt;BOTT_D2,ROUND(BASE_D2+RATE_D2*($A807-BOTT_D2),0),ROUND(RATE_D1*$A807,0))))</f>
        <v/>
      </c>
    </row>
    <row r="808" ht="15.75" customHeight="1" s="7635">
      <c r="A808" s="625">
        <f>AVERAGE(B808,C808)</f>
        <v/>
      </c>
      <c r="B808" s="555" t="n">
        <v>37200</v>
      </c>
      <c r="C808" s="555" t="n">
        <v>37250</v>
      </c>
      <c r="D808" s="556">
        <f>IF($A808&gt;BOTT_A4,ROUND(BASE_A4+RATE_A4*($A808-BOTT_A4),0),IF($A808&gt;BOTT_A3,ROUND(BASE_A3+RATE_A3*($A808-BOTT_A3),0),IF($A808&gt;BOTT_A2,ROUND(BASE_A2+RATE_A2*($A808-BOTT_A2),0),ROUND(RATE_A1*$A808,0))))</f>
        <v/>
      </c>
      <c r="E808" s="556">
        <f>IF($A808&gt;BOTT_B4,ROUND(BASE_B4+RATE_B4*($A808-BOTT_B4),0),IF($A808&gt;BOTT_B3,ROUND(BASE_B3+RATE_B3*($A808-BOTT_B3),0),IF($A808&gt;BOTT_B2,ROUND(BASE_B2+RATE_B2*($A808-BOTT_B2),0),ROUND(RATE_B1*$A808,0))))</f>
        <v/>
      </c>
      <c r="F808" s="556">
        <f>IF($A808&gt;BOTT_C4,ROUND(BASE_C4+RATE_C4*($A808-BOTT_C4),0),IF($A808&gt;BOTT_C3,ROUND(BASE_C3+RATE_C3*($A808-BOTT_C3),0),IF($A808&gt;BOTT_C2,ROUND(BASE_C2+RATE_C2*($A808-BOTT_C2),0),ROUND(RATE_C1*$A808,0))))</f>
        <v/>
      </c>
      <c r="G808" s="556">
        <f>IF($A808&gt;BOTT_D4,ROUND(BASE_D4+RATE_D4*($A808-BOTT_D4),0),IF($A808&gt;BOTT_D3,ROUND(BASE_D3+RATE_D3*($A808-BOTT_D3),0),IF($A808&gt;BOTT_D2,ROUND(BASE_D2+RATE_D2*($A808-BOTT_D2),0),ROUND(RATE_D1*$A808,0))))</f>
        <v/>
      </c>
    </row>
    <row r="809" ht="15.75" customHeight="1" s="7635">
      <c r="A809" s="625">
        <f>AVERAGE(B809,C809)</f>
        <v/>
      </c>
      <c r="B809" s="555" t="n">
        <v>37250</v>
      </c>
      <c r="C809" s="555" t="n">
        <v>37300</v>
      </c>
      <c r="D809" s="556">
        <f>IF($A809&gt;BOTT_A4,ROUND(BASE_A4+RATE_A4*($A809-BOTT_A4),0),IF($A809&gt;BOTT_A3,ROUND(BASE_A3+RATE_A3*($A809-BOTT_A3),0),IF($A809&gt;BOTT_A2,ROUND(BASE_A2+RATE_A2*($A809-BOTT_A2),0),ROUND(RATE_A1*$A809,0))))</f>
        <v/>
      </c>
      <c r="E809" s="556">
        <f>IF($A809&gt;BOTT_B4,ROUND(BASE_B4+RATE_B4*($A809-BOTT_B4),0),IF($A809&gt;BOTT_B3,ROUND(BASE_B3+RATE_B3*($A809-BOTT_B3),0),IF($A809&gt;BOTT_B2,ROUND(BASE_B2+RATE_B2*($A809-BOTT_B2),0),ROUND(RATE_B1*$A809,0))))</f>
        <v/>
      </c>
      <c r="F809" s="556">
        <f>IF($A809&gt;BOTT_C4,ROUND(BASE_C4+RATE_C4*($A809-BOTT_C4),0),IF($A809&gt;BOTT_C3,ROUND(BASE_C3+RATE_C3*($A809-BOTT_C3),0),IF($A809&gt;BOTT_C2,ROUND(BASE_C2+RATE_C2*($A809-BOTT_C2),0),ROUND(RATE_C1*$A809,0))))</f>
        <v/>
      </c>
      <c r="G809" s="556">
        <f>IF($A809&gt;BOTT_D4,ROUND(BASE_D4+RATE_D4*($A809-BOTT_D4),0),IF($A809&gt;BOTT_D3,ROUND(BASE_D3+RATE_D3*($A809-BOTT_D3),0),IF($A809&gt;BOTT_D2,ROUND(BASE_D2+RATE_D2*($A809-BOTT_D2),0),ROUND(RATE_D1*$A809,0))))</f>
        <v/>
      </c>
    </row>
    <row r="810" ht="15.75" customHeight="1" s="7635">
      <c r="A810" s="625">
        <f>AVERAGE(B810,C810)</f>
        <v/>
      </c>
      <c r="B810" s="555" t="n">
        <v>37300</v>
      </c>
      <c r="C810" s="555" t="n">
        <v>37350</v>
      </c>
      <c r="D810" s="556">
        <f>IF($A810&gt;BOTT_A4,ROUND(BASE_A4+RATE_A4*($A810-BOTT_A4),0),IF($A810&gt;BOTT_A3,ROUND(BASE_A3+RATE_A3*($A810-BOTT_A3),0),IF($A810&gt;BOTT_A2,ROUND(BASE_A2+RATE_A2*($A810-BOTT_A2),0),ROUND(RATE_A1*$A810,0))))</f>
        <v/>
      </c>
      <c r="E810" s="556">
        <f>IF($A810&gt;BOTT_B4,ROUND(BASE_B4+RATE_B4*($A810-BOTT_B4),0),IF($A810&gt;BOTT_B3,ROUND(BASE_B3+RATE_B3*($A810-BOTT_B3),0),IF($A810&gt;BOTT_B2,ROUND(BASE_B2+RATE_B2*($A810-BOTT_B2),0),ROUND(RATE_B1*$A810,0))))</f>
        <v/>
      </c>
      <c r="F810" s="556">
        <f>IF($A810&gt;BOTT_C4,ROUND(BASE_C4+RATE_C4*($A810-BOTT_C4),0),IF($A810&gt;BOTT_C3,ROUND(BASE_C3+RATE_C3*($A810-BOTT_C3),0),IF($A810&gt;BOTT_C2,ROUND(BASE_C2+RATE_C2*($A810-BOTT_C2),0),ROUND(RATE_C1*$A810,0))))</f>
        <v/>
      </c>
      <c r="G810" s="556">
        <f>IF($A810&gt;BOTT_D4,ROUND(BASE_D4+RATE_D4*($A810-BOTT_D4),0),IF($A810&gt;BOTT_D3,ROUND(BASE_D3+RATE_D3*($A810-BOTT_D3),0),IF($A810&gt;BOTT_D2,ROUND(BASE_D2+RATE_D2*($A810-BOTT_D2),0),ROUND(RATE_D1*$A810,0))))</f>
        <v/>
      </c>
    </row>
    <row r="811" ht="15.75" customHeight="1" s="7635">
      <c r="A811" s="625">
        <f>AVERAGE(B811,C811)</f>
        <v/>
      </c>
      <c r="B811" s="555" t="n">
        <v>37350</v>
      </c>
      <c r="C811" s="555" t="n">
        <v>37400</v>
      </c>
      <c r="D811" s="556">
        <f>IF($A811&gt;BOTT_A4,ROUND(BASE_A4+RATE_A4*($A811-BOTT_A4),0),IF($A811&gt;BOTT_A3,ROUND(BASE_A3+RATE_A3*($A811-BOTT_A3),0),IF($A811&gt;BOTT_A2,ROUND(BASE_A2+RATE_A2*($A811-BOTT_A2),0),ROUND(RATE_A1*$A811,0))))</f>
        <v/>
      </c>
      <c r="E811" s="556">
        <f>IF($A811&gt;BOTT_B4,ROUND(BASE_B4+RATE_B4*($A811-BOTT_B4),0),IF($A811&gt;BOTT_B3,ROUND(BASE_B3+RATE_B3*($A811-BOTT_B3),0),IF($A811&gt;BOTT_B2,ROUND(BASE_B2+RATE_B2*($A811-BOTT_B2),0),ROUND(RATE_B1*$A811,0))))</f>
        <v/>
      </c>
      <c r="F811" s="556">
        <f>IF($A811&gt;BOTT_C4,ROUND(BASE_C4+RATE_C4*($A811-BOTT_C4),0),IF($A811&gt;BOTT_C3,ROUND(BASE_C3+RATE_C3*($A811-BOTT_C3),0),IF($A811&gt;BOTT_C2,ROUND(BASE_C2+RATE_C2*($A811-BOTT_C2),0),ROUND(RATE_C1*$A811,0))))</f>
        <v/>
      </c>
      <c r="G811" s="556">
        <f>IF($A811&gt;BOTT_D4,ROUND(BASE_D4+RATE_D4*($A811-BOTT_D4),0),IF($A811&gt;BOTT_D3,ROUND(BASE_D3+RATE_D3*($A811-BOTT_D3),0),IF($A811&gt;BOTT_D2,ROUND(BASE_D2+RATE_D2*($A811-BOTT_D2),0),ROUND(RATE_D1*$A811,0))))</f>
        <v/>
      </c>
    </row>
    <row r="812" ht="15.75" customHeight="1" s="7635">
      <c r="A812" s="625">
        <f>AVERAGE(B812,C812)</f>
        <v/>
      </c>
      <c r="B812" s="555" t="n">
        <v>37400</v>
      </c>
      <c r="C812" s="555" t="n">
        <v>37450</v>
      </c>
      <c r="D812" s="556">
        <f>IF($A812&gt;BOTT_A4,ROUND(BASE_A4+RATE_A4*($A812-BOTT_A4),0),IF($A812&gt;BOTT_A3,ROUND(BASE_A3+RATE_A3*($A812-BOTT_A3),0),IF($A812&gt;BOTT_A2,ROUND(BASE_A2+RATE_A2*($A812-BOTT_A2),0),ROUND(RATE_A1*$A812,0))))</f>
        <v/>
      </c>
      <c r="E812" s="556">
        <f>IF($A812&gt;BOTT_B4,ROUND(BASE_B4+RATE_B4*($A812-BOTT_B4),0),IF($A812&gt;BOTT_B3,ROUND(BASE_B3+RATE_B3*($A812-BOTT_B3),0),IF($A812&gt;BOTT_B2,ROUND(BASE_B2+RATE_B2*($A812-BOTT_B2),0),ROUND(RATE_B1*$A812,0))))</f>
        <v/>
      </c>
      <c r="F812" s="556">
        <f>IF($A812&gt;BOTT_C4,ROUND(BASE_C4+RATE_C4*($A812-BOTT_C4),0),IF($A812&gt;BOTT_C3,ROUND(BASE_C3+RATE_C3*($A812-BOTT_C3),0),IF($A812&gt;BOTT_C2,ROUND(BASE_C2+RATE_C2*($A812-BOTT_C2),0),ROUND(RATE_C1*$A812,0))))</f>
        <v/>
      </c>
      <c r="G812" s="556">
        <f>IF($A812&gt;BOTT_D4,ROUND(BASE_D4+RATE_D4*($A812-BOTT_D4),0),IF($A812&gt;BOTT_D3,ROUND(BASE_D3+RATE_D3*($A812-BOTT_D3),0),IF($A812&gt;BOTT_D2,ROUND(BASE_D2+RATE_D2*($A812-BOTT_D2),0),ROUND(RATE_D1*$A812,0))))</f>
        <v/>
      </c>
    </row>
    <row r="813" ht="15.75" customHeight="1" s="7635">
      <c r="A813" s="625">
        <f>AVERAGE(B813,C813)</f>
        <v/>
      </c>
      <c r="B813" s="555" t="n">
        <v>37450</v>
      </c>
      <c r="C813" s="555" t="n">
        <v>37500</v>
      </c>
      <c r="D813" s="556">
        <f>IF($A813&gt;BOTT_A4,ROUND(BASE_A4+RATE_A4*($A813-BOTT_A4),0),IF($A813&gt;BOTT_A3,ROUND(BASE_A3+RATE_A3*($A813-BOTT_A3),0),IF($A813&gt;BOTT_A2,ROUND(BASE_A2+RATE_A2*($A813-BOTT_A2),0),ROUND(RATE_A1*$A813,0))))</f>
        <v/>
      </c>
      <c r="E813" s="556">
        <f>IF($A813&gt;BOTT_B4,ROUND(BASE_B4+RATE_B4*($A813-BOTT_B4),0),IF($A813&gt;BOTT_B3,ROUND(BASE_B3+RATE_B3*($A813-BOTT_B3),0),IF($A813&gt;BOTT_B2,ROUND(BASE_B2+RATE_B2*($A813-BOTT_B2),0),ROUND(RATE_B1*$A813,0))))</f>
        <v/>
      </c>
      <c r="F813" s="556">
        <f>IF($A813&gt;BOTT_C4,ROUND(BASE_C4+RATE_C4*($A813-BOTT_C4),0),IF($A813&gt;BOTT_C3,ROUND(BASE_C3+RATE_C3*($A813-BOTT_C3),0),IF($A813&gt;BOTT_C2,ROUND(BASE_C2+RATE_C2*($A813-BOTT_C2),0),ROUND(RATE_C1*$A813,0))))</f>
        <v/>
      </c>
      <c r="G813" s="556">
        <f>IF($A813&gt;BOTT_D4,ROUND(BASE_D4+RATE_D4*($A813-BOTT_D4),0),IF($A813&gt;BOTT_D3,ROUND(BASE_D3+RATE_D3*($A813-BOTT_D3),0),IF($A813&gt;BOTT_D2,ROUND(BASE_D2+RATE_D2*($A813-BOTT_D2),0),ROUND(RATE_D1*$A813,0))))</f>
        <v/>
      </c>
    </row>
    <row r="814" ht="15.75" customHeight="1" s="7635">
      <c r="A814" s="625">
        <f>AVERAGE(B814,C814)</f>
        <v/>
      </c>
      <c r="B814" s="555" t="n">
        <v>37500</v>
      </c>
      <c r="C814" s="555" t="n">
        <v>37550</v>
      </c>
      <c r="D814" s="556">
        <f>IF($A814&gt;BOTT_A4,ROUND(BASE_A4+RATE_A4*($A814-BOTT_A4),0),IF($A814&gt;BOTT_A3,ROUND(BASE_A3+RATE_A3*($A814-BOTT_A3),0),IF($A814&gt;BOTT_A2,ROUND(BASE_A2+RATE_A2*($A814-BOTT_A2),0),ROUND(RATE_A1*$A814,0))))</f>
        <v/>
      </c>
      <c r="E814" s="556">
        <f>IF($A814&gt;BOTT_B4,ROUND(BASE_B4+RATE_B4*($A814-BOTT_B4),0),IF($A814&gt;BOTT_B3,ROUND(BASE_B3+RATE_B3*($A814-BOTT_B3),0),IF($A814&gt;BOTT_B2,ROUND(BASE_B2+RATE_B2*($A814-BOTT_B2),0),ROUND(RATE_B1*$A814,0))))</f>
        <v/>
      </c>
      <c r="F814" s="556">
        <f>IF($A814&gt;BOTT_C4,ROUND(BASE_C4+RATE_C4*($A814-BOTT_C4),0),IF($A814&gt;BOTT_C3,ROUND(BASE_C3+RATE_C3*($A814-BOTT_C3),0),IF($A814&gt;BOTT_C2,ROUND(BASE_C2+RATE_C2*($A814-BOTT_C2),0),ROUND(RATE_C1*$A814,0))))</f>
        <v/>
      </c>
      <c r="G814" s="556">
        <f>IF($A814&gt;BOTT_D4,ROUND(BASE_D4+RATE_D4*($A814-BOTT_D4),0),IF($A814&gt;BOTT_D3,ROUND(BASE_D3+RATE_D3*($A814-BOTT_D3),0),IF($A814&gt;BOTT_D2,ROUND(BASE_D2+RATE_D2*($A814-BOTT_D2),0),ROUND(RATE_D1*$A814,0))))</f>
        <v/>
      </c>
    </row>
    <row r="815" ht="15.75" customHeight="1" s="7635">
      <c r="A815" s="625">
        <f>AVERAGE(B815,C815)</f>
        <v/>
      </c>
      <c r="B815" s="555" t="n">
        <v>37550</v>
      </c>
      <c r="C815" s="555" t="n">
        <v>37600</v>
      </c>
      <c r="D815" s="556">
        <f>IF($A815&gt;BOTT_A4,ROUND(BASE_A4+RATE_A4*($A815-BOTT_A4),0),IF($A815&gt;BOTT_A3,ROUND(BASE_A3+RATE_A3*($A815-BOTT_A3),0),IF($A815&gt;BOTT_A2,ROUND(BASE_A2+RATE_A2*($A815-BOTT_A2),0),ROUND(RATE_A1*$A815,0))))</f>
        <v/>
      </c>
      <c r="E815" s="556">
        <f>IF($A815&gt;BOTT_B4,ROUND(BASE_B4+RATE_B4*($A815-BOTT_B4),0),IF($A815&gt;BOTT_B3,ROUND(BASE_B3+RATE_B3*($A815-BOTT_B3),0),IF($A815&gt;BOTT_B2,ROUND(BASE_B2+RATE_B2*($A815-BOTT_B2),0),ROUND(RATE_B1*$A815,0))))</f>
        <v/>
      </c>
      <c r="F815" s="556">
        <f>IF($A815&gt;BOTT_C4,ROUND(BASE_C4+RATE_C4*($A815-BOTT_C4),0),IF($A815&gt;BOTT_C3,ROUND(BASE_C3+RATE_C3*($A815-BOTT_C3),0),IF($A815&gt;BOTT_C2,ROUND(BASE_C2+RATE_C2*($A815-BOTT_C2),0),ROUND(RATE_C1*$A815,0))))</f>
        <v/>
      </c>
      <c r="G815" s="556">
        <f>IF($A815&gt;BOTT_D4,ROUND(BASE_D4+RATE_D4*($A815-BOTT_D4),0),IF($A815&gt;BOTT_D3,ROUND(BASE_D3+RATE_D3*($A815-BOTT_D3),0),IF($A815&gt;BOTT_D2,ROUND(BASE_D2+RATE_D2*($A815-BOTT_D2),0),ROUND(RATE_D1*$A815,0))))</f>
        <v/>
      </c>
    </row>
    <row r="816" ht="15.75" customHeight="1" s="7635">
      <c r="A816" s="625">
        <f>AVERAGE(B816,C816)</f>
        <v/>
      </c>
      <c r="B816" s="555" t="n">
        <v>37600</v>
      </c>
      <c r="C816" s="555" t="n">
        <v>37650</v>
      </c>
      <c r="D816" s="556">
        <f>IF($A816&gt;BOTT_A4,ROUND(BASE_A4+RATE_A4*($A816-BOTT_A4),0),IF($A816&gt;BOTT_A3,ROUND(BASE_A3+RATE_A3*($A816-BOTT_A3),0),IF($A816&gt;BOTT_A2,ROUND(BASE_A2+RATE_A2*($A816-BOTT_A2),0),ROUND(RATE_A1*$A816,0))))</f>
        <v/>
      </c>
      <c r="E816" s="556">
        <f>IF($A816&gt;BOTT_B4,ROUND(BASE_B4+RATE_B4*($A816-BOTT_B4),0),IF($A816&gt;BOTT_B3,ROUND(BASE_B3+RATE_B3*($A816-BOTT_B3),0),IF($A816&gt;BOTT_B2,ROUND(BASE_B2+RATE_B2*($A816-BOTT_B2),0),ROUND(RATE_B1*$A816,0))))</f>
        <v/>
      </c>
      <c r="F816" s="556">
        <f>IF($A816&gt;BOTT_C4,ROUND(BASE_C4+RATE_C4*($A816-BOTT_C4),0),IF($A816&gt;BOTT_C3,ROUND(BASE_C3+RATE_C3*($A816-BOTT_C3),0),IF($A816&gt;BOTT_C2,ROUND(BASE_C2+RATE_C2*($A816-BOTT_C2),0),ROUND(RATE_C1*$A816,0))))</f>
        <v/>
      </c>
      <c r="G816" s="556">
        <f>IF($A816&gt;BOTT_D4,ROUND(BASE_D4+RATE_D4*($A816-BOTT_D4),0),IF($A816&gt;BOTT_D3,ROUND(BASE_D3+RATE_D3*($A816-BOTT_D3),0),IF($A816&gt;BOTT_D2,ROUND(BASE_D2+RATE_D2*($A816-BOTT_D2),0),ROUND(RATE_D1*$A816,0))))</f>
        <v/>
      </c>
    </row>
    <row r="817" ht="15.75" customHeight="1" s="7635">
      <c r="A817" s="625">
        <f>AVERAGE(B817,C817)</f>
        <v/>
      </c>
      <c r="B817" s="555" t="n">
        <v>37650</v>
      </c>
      <c r="C817" s="555" t="n">
        <v>37700</v>
      </c>
      <c r="D817" s="556">
        <f>IF($A817&gt;BOTT_A4,ROUND(BASE_A4+RATE_A4*($A817-BOTT_A4),0),IF($A817&gt;BOTT_A3,ROUND(BASE_A3+RATE_A3*($A817-BOTT_A3),0),IF($A817&gt;BOTT_A2,ROUND(BASE_A2+RATE_A2*($A817-BOTT_A2),0),ROUND(RATE_A1*$A817,0))))</f>
        <v/>
      </c>
      <c r="E817" s="556">
        <f>IF($A817&gt;BOTT_B4,ROUND(BASE_B4+RATE_B4*($A817-BOTT_B4),0),IF($A817&gt;BOTT_B3,ROUND(BASE_B3+RATE_B3*($A817-BOTT_B3),0),IF($A817&gt;BOTT_B2,ROUND(BASE_B2+RATE_B2*($A817-BOTT_B2),0),ROUND(RATE_B1*$A817,0))))</f>
        <v/>
      </c>
      <c r="F817" s="556">
        <f>IF($A817&gt;BOTT_C4,ROUND(BASE_C4+RATE_C4*($A817-BOTT_C4),0),IF($A817&gt;BOTT_C3,ROUND(BASE_C3+RATE_C3*($A817-BOTT_C3),0),IF($A817&gt;BOTT_C2,ROUND(BASE_C2+RATE_C2*($A817-BOTT_C2),0),ROUND(RATE_C1*$A817,0))))</f>
        <v/>
      </c>
      <c r="G817" s="556">
        <f>IF($A817&gt;BOTT_D4,ROUND(BASE_D4+RATE_D4*($A817-BOTT_D4),0),IF($A817&gt;BOTT_D3,ROUND(BASE_D3+RATE_D3*($A817-BOTT_D3),0),IF($A817&gt;BOTT_D2,ROUND(BASE_D2+RATE_D2*($A817-BOTT_D2),0),ROUND(RATE_D1*$A817,0))))</f>
        <v/>
      </c>
    </row>
    <row r="818" ht="15.75" customHeight="1" s="7635">
      <c r="A818" s="625">
        <f>AVERAGE(B818,C818)</f>
        <v/>
      </c>
      <c r="B818" s="555" t="n">
        <v>37700</v>
      </c>
      <c r="C818" s="555" t="n">
        <v>37750</v>
      </c>
      <c r="D818" s="556">
        <f>IF($A818&gt;BOTT_A4,ROUND(BASE_A4+RATE_A4*($A818-BOTT_A4),0),IF($A818&gt;BOTT_A3,ROUND(BASE_A3+RATE_A3*($A818-BOTT_A3),0),IF($A818&gt;BOTT_A2,ROUND(BASE_A2+RATE_A2*($A818-BOTT_A2),0),ROUND(RATE_A1*$A818,0))))</f>
        <v/>
      </c>
      <c r="E818" s="556">
        <f>IF($A818&gt;BOTT_B4,ROUND(BASE_B4+RATE_B4*($A818-BOTT_B4),0),IF($A818&gt;BOTT_B3,ROUND(BASE_B3+RATE_B3*($A818-BOTT_B3),0),IF($A818&gt;BOTT_B2,ROUND(BASE_B2+RATE_B2*($A818-BOTT_B2),0),ROUND(RATE_B1*$A818,0))))</f>
        <v/>
      </c>
      <c r="F818" s="556">
        <f>IF($A818&gt;BOTT_C4,ROUND(BASE_C4+RATE_C4*($A818-BOTT_C4),0),IF($A818&gt;BOTT_C3,ROUND(BASE_C3+RATE_C3*($A818-BOTT_C3),0),IF($A818&gt;BOTT_C2,ROUND(BASE_C2+RATE_C2*($A818-BOTT_C2),0),ROUND(RATE_C1*$A818,0))))</f>
        <v/>
      </c>
      <c r="G818" s="556">
        <f>IF($A818&gt;BOTT_D4,ROUND(BASE_D4+RATE_D4*($A818-BOTT_D4),0),IF($A818&gt;BOTT_D3,ROUND(BASE_D3+RATE_D3*($A818-BOTT_D3),0),IF($A818&gt;BOTT_D2,ROUND(BASE_D2+RATE_D2*($A818-BOTT_D2),0),ROUND(RATE_D1*$A818,0))))</f>
        <v/>
      </c>
    </row>
    <row r="819" ht="15.75" customHeight="1" s="7635">
      <c r="A819" s="625">
        <f>AVERAGE(B819,C819)</f>
        <v/>
      </c>
      <c r="B819" s="555" t="n">
        <v>37750</v>
      </c>
      <c r="C819" s="555" t="n">
        <v>37800</v>
      </c>
      <c r="D819" s="556">
        <f>IF($A819&gt;BOTT_A4,ROUND(BASE_A4+RATE_A4*($A819-BOTT_A4),0),IF($A819&gt;BOTT_A3,ROUND(BASE_A3+RATE_A3*($A819-BOTT_A3),0),IF($A819&gt;BOTT_A2,ROUND(BASE_A2+RATE_A2*($A819-BOTT_A2),0),ROUND(RATE_A1*$A819,0))))</f>
        <v/>
      </c>
      <c r="E819" s="556">
        <f>IF($A819&gt;BOTT_B4,ROUND(BASE_B4+RATE_B4*($A819-BOTT_B4),0),IF($A819&gt;BOTT_B3,ROUND(BASE_B3+RATE_B3*($A819-BOTT_B3),0),IF($A819&gt;BOTT_B2,ROUND(BASE_B2+RATE_B2*($A819-BOTT_B2),0),ROUND(RATE_B1*$A819,0))))</f>
        <v/>
      </c>
      <c r="F819" s="556">
        <f>IF($A819&gt;BOTT_C4,ROUND(BASE_C4+RATE_C4*($A819-BOTT_C4),0),IF($A819&gt;BOTT_C3,ROUND(BASE_C3+RATE_C3*($A819-BOTT_C3),0),IF($A819&gt;BOTT_C2,ROUND(BASE_C2+RATE_C2*($A819-BOTT_C2),0),ROUND(RATE_C1*$A819,0))))</f>
        <v/>
      </c>
      <c r="G819" s="556">
        <f>IF($A819&gt;BOTT_D4,ROUND(BASE_D4+RATE_D4*($A819-BOTT_D4),0),IF($A819&gt;BOTT_D3,ROUND(BASE_D3+RATE_D3*($A819-BOTT_D3),0),IF($A819&gt;BOTT_D2,ROUND(BASE_D2+RATE_D2*($A819-BOTT_D2),0),ROUND(RATE_D1*$A819,0))))</f>
        <v/>
      </c>
    </row>
    <row r="820" ht="15.75" customHeight="1" s="7635">
      <c r="A820" s="625">
        <f>AVERAGE(B820,C820)</f>
        <v/>
      </c>
      <c r="B820" s="555" t="n">
        <v>37800</v>
      </c>
      <c r="C820" s="555" t="n">
        <v>37850</v>
      </c>
      <c r="D820" s="556">
        <f>IF($A820&gt;BOTT_A4,ROUND(BASE_A4+RATE_A4*($A820-BOTT_A4),0),IF($A820&gt;BOTT_A3,ROUND(BASE_A3+RATE_A3*($A820-BOTT_A3),0),IF($A820&gt;BOTT_A2,ROUND(BASE_A2+RATE_A2*($A820-BOTT_A2),0),ROUND(RATE_A1*$A820,0))))</f>
        <v/>
      </c>
      <c r="E820" s="556">
        <f>IF($A820&gt;BOTT_B4,ROUND(BASE_B4+RATE_B4*($A820-BOTT_B4),0),IF($A820&gt;BOTT_B3,ROUND(BASE_B3+RATE_B3*($A820-BOTT_B3),0),IF($A820&gt;BOTT_B2,ROUND(BASE_B2+RATE_B2*($A820-BOTT_B2),0),ROUND(RATE_B1*$A820,0))))</f>
        <v/>
      </c>
      <c r="F820" s="556">
        <f>IF($A820&gt;BOTT_C4,ROUND(BASE_C4+RATE_C4*($A820-BOTT_C4),0),IF($A820&gt;BOTT_C3,ROUND(BASE_C3+RATE_C3*($A820-BOTT_C3),0),IF($A820&gt;BOTT_C2,ROUND(BASE_C2+RATE_C2*($A820-BOTT_C2),0),ROUND(RATE_C1*$A820,0))))</f>
        <v/>
      </c>
      <c r="G820" s="556">
        <f>IF($A820&gt;BOTT_D4,ROUND(BASE_D4+RATE_D4*($A820-BOTT_D4),0),IF($A820&gt;BOTT_D3,ROUND(BASE_D3+RATE_D3*($A820-BOTT_D3),0),IF($A820&gt;BOTT_D2,ROUND(BASE_D2+RATE_D2*($A820-BOTT_D2),0),ROUND(RATE_D1*$A820,0))))</f>
        <v/>
      </c>
    </row>
    <row r="821" ht="15.75" customHeight="1" s="7635">
      <c r="A821" s="625">
        <f>AVERAGE(B821,C821)</f>
        <v/>
      </c>
      <c r="B821" s="555" t="n">
        <v>37850</v>
      </c>
      <c r="C821" s="555" t="n">
        <v>37900</v>
      </c>
      <c r="D821" s="556">
        <f>IF($A821&gt;BOTT_A4,ROUND(BASE_A4+RATE_A4*($A821-BOTT_A4),0),IF($A821&gt;BOTT_A3,ROUND(BASE_A3+RATE_A3*($A821-BOTT_A3),0),IF($A821&gt;BOTT_A2,ROUND(BASE_A2+RATE_A2*($A821-BOTT_A2),0),ROUND(RATE_A1*$A821,0))))</f>
        <v/>
      </c>
      <c r="E821" s="556">
        <f>IF($A821&gt;BOTT_B4,ROUND(BASE_B4+RATE_B4*($A821-BOTT_B4),0),IF($A821&gt;BOTT_B3,ROUND(BASE_B3+RATE_B3*($A821-BOTT_B3),0),IF($A821&gt;BOTT_B2,ROUND(BASE_B2+RATE_B2*($A821-BOTT_B2),0),ROUND(RATE_B1*$A821,0))))</f>
        <v/>
      </c>
      <c r="F821" s="556">
        <f>IF($A821&gt;BOTT_C4,ROUND(BASE_C4+RATE_C4*($A821-BOTT_C4),0),IF($A821&gt;BOTT_C3,ROUND(BASE_C3+RATE_C3*($A821-BOTT_C3),0),IF($A821&gt;BOTT_C2,ROUND(BASE_C2+RATE_C2*($A821-BOTT_C2),0),ROUND(RATE_C1*$A821,0))))</f>
        <v/>
      </c>
      <c r="G821" s="556">
        <f>IF($A821&gt;BOTT_D4,ROUND(BASE_D4+RATE_D4*($A821-BOTT_D4),0),IF($A821&gt;BOTT_D3,ROUND(BASE_D3+RATE_D3*($A821-BOTT_D3),0),IF($A821&gt;BOTT_D2,ROUND(BASE_D2+RATE_D2*($A821-BOTT_D2),0),ROUND(RATE_D1*$A821,0))))</f>
        <v/>
      </c>
    </row>
    <row r="822" ht="15.75" customHeight="1" s="7635">
      <c r="A822" s="625">
        <f>AVERAGE(B822,C822)</f>
        <v/>
      </c>
      <c r="B822" s="555" t="n">
        <v>37900</v>
      </c>
      <c r="C822" s="555" t="n">
        <v>37950</v>
      </c>
      <c r="D822" s="556">
        <f>IF($A822&gt;BOTT_A4,ROUND(BASE_A4+RATE_A4*($A822-BOTT_A4),0),IF($A822&gt;BOTT_A3,ROUND(BASE_A3+RATE_A3*($A822-BOTT_A3),0),IF($A822&gt;BOTT_A2,ROUND(BASE_A2+RATE_A2*($A822-BOTT_A2),0),ROUND(RATE_A1*$A822,0))))</f>
        <v/>
      </c>
      <c r="E822" s="556">
        <f>IF($A822&gt;BOTT_B4,ROUND(BASE_B4+RATE_B4*($A822-BOTT_B4),0),IF($A822&gt;BOTT_B3,ROUND(BASE_B3+RATE_B3*($A822-BOTT_B3),0),IF($A822&gt;BOTT_B2,ROUND(BASE_B2+RATE_B2*($A822-BOTT_B2),0),ROUND(RATE_B1*$A822,0))))</f>
        <v/>
      </c>
      <c r="F822" s="556">
        <f>IF($A822&gt;BOTT_C4,ROUND(BASE_C4+RATE_C4*($A822-BOTT_C4),0),IF($A822&gt;BOTT_C3,ROUND(BASE_C3+RATE_C3*($A822-BOTT_C3),0),IF($A822&gt;BOTT_C2,ROUND(BASE_C2+RATE_C2*($A822-BOTT_C2),0),ROUND(RATE_C1*$A822,0))))</f>
        <v/>
      </c>
      <c r="G822" s="556">
        <f>IF($A822&gt;BOTT_D4,ROUND(BASE_D4+RATE_D4*($A822-BOTT_D4),0),IF($A822&gt;BOTT_D3,ROUND(BASE_D3+RATE_D3*($A822-BOTT_D3),0),IF($A822&gt;BOTT_D2,ROUND(BASE_D2+RATE_D2*($A822-BOTT_D2),0),ROUND(RATE_D1*$A822,0))))</f>
        <v/>
      </c>
    </row>
    <row r="823" ht="15.75" customHeight="1" s="7635">
      <c r="A823" s="625">
        <f>AVERAGE(B823,C823)</f>
        <v/>
      </c>
      <c r="B823" s="555" t="n">
        <v>37950</v>
      </c>
      <c r="C823" s="555" t="n">
        <v>38000</v>
      </c>
      <c r="D823" s="556">
        <f>IF($A823&gt;BOTT_A4,ROUND(BASE_A4+RATE_A4*($A823-BOTT_A4),0),IF($A823&gt;BOTT_A3,ROUND(BASE_A3+RATE_A3*($A823-BOTT_A3),0),IF($A823&gt;BOTT_A2,ROUND(BASE_A2+RATE_A2*($A823-BOTT_A2),0),ROUND(RATE_A1*$A823,0))))</f>
        <v/>
      </c>
      <c r="E823" s="556">
        <f>IF($A823&gt;BOTT_B4,ROUND(BASE_B4+RATE_B4*($A823-BOTT_B4),0),IF($A823&gt;BOTT_B3,ROUND(BASE_B3+RATE_B3*($A823-BOTT_B3),0),IF($A823&gt;BOTT_B2,ROUND(BASE_B2+RATE_B2*($A823-BOTT_B2),0),ROUND(RATE_B1*$A823,0))))</f>
        <v/>
      </c>
      <c r="F823" s="556">
        <f>IF($A823&gt;BOTT_C4,ROUND(BASE_C4+RATE_C4*($A823-BOTT_C4),0),IF($A823&gt;BOTT_C3,ROUND(BASE_C3+RATE_C3*($A823-BOTT_C3),0),IF($A823&gt;BOTT_C2,ROUND(BASE_C2+RATE_C2*($A823-BOTT_C2),0),ROUND(RATE_C1*$A823,0))))</f>
        <v/>
      </c>
      <c r="G823" s="556">
        <f>IF($A823&gt;BOTT_D4,ROUND(BASE_D4+RATE_D4*($A823-BOTT_D4),0),IF($A823&gt;BOTT_D3,ROUND(BASE_D3+RATE_D3*($A823-BOTT_D3),0),IF($A823&gt;BOTT_D2,ROUND(BASE_D2+RATE_D2*($A823-BOTT_D2),0),ROUND(RATE_D1*$A823,0))))</f>
        <v/>
      </c>
    </row>
    <row r="824" ht="15.75" customHeight="1" s="7635">
      <c r="A824" s="625">
        <f>AVERAGE(B824,C824)</f>
        <v/>
      </c>
      <c r="B824" s="555" t="n">
        <v>38000</v>
      </c>
      <c r="C824" s="555" t="n">
        <v>38050</v>
      </c>
      <c r="D824" s="556">
        <f>IF($A824&gt;BOTT_A4,ROUND(BASE_A4+RATE_A4*($A824-BOTT_A4),0),IF($A824&gt;BOTT_A3,ROUND(BASE_A3+RATE_A3*($A824-BOTT_A3),0),IF($A824&gt;BOTT_A2,ROUND(BASE_A2+RATE_A2*($A824-BOTT_A2),0),ROUND(RATE_A1*$A824,0))))</f>
        <v/>
      </c>
      <c r="E824" s="556">
        <f>IF($A824&gt;BOTT_B4,ROUND(BASE_B4+RATE_B4*($A824-BOTT_B4),0),IF($A824&gt;BOTT_B3,ROUND(BASE_B3+RATE_B3*($A824-BOTT_B3),0),IF($A824&gt;BOTT_B2,ROUND(BASE_B2+RATE_B2*($A824-BOTT_B2),0),ROUND(RATE_B1*$A824,0))))</f>
        <v/>
      </c>
      <c r="F824" s="556">
        <f>IF($A824&gt;BOTT_C4,ROUND(BASE_C4+RATE_C4*($A824-BOTT_C4),0),IF($A824&gt;BOTT_C3,ROUND(BASE_C3+RATE_C3*($A824-BOTT_C3),0),IF($A824&gt;BOTT_C2,ROUND(BASE_C2+RATE_C2*($A824-BOTT_C2),0),ROUND(RATE_C1*$A824,0))))</f>
        <v/>
      </c>
      <c r="G824" s="556">
        <f>IF($A824&gt;BOTT_D4,ROUND(BASE_D4+RATE_D4*($A824-BOTT_D4),0),IF($A824&gt;BOTT_D3,ROUND(BASE_D3+RATE_D3*($A824-BOTT_D3),0),IF($A824&gt;BOTT_D2,ROUND(BASE_D2+RATE_D2*($A824-BOTT_D2),0),ROUND(RATE_D1*$A824,0))))</f>
        <v/>
      </c>
    </row>
    <row r="825" ht="15.75" customHeight="1" s="7635">
      <c r="A825" s="625">
        <f>AVERAGE(B825,C825)</f>
        <v/>
      </c>
      <c r="B825" s="555" t="n">
        <v>38050</v>
      </c>
      <c r="C825" s="555" t="n">
        <v>38100</v>
      </c>
      <c r="D825" s="556">
        <f>IF($A825&gt;BOTT_A4,ROUND(BASE_A4+RATE_A4*($A825-BOTT_A4),0),IF($A825&gt;BOTT_A3,ROUND(BASE_A3+RATE_A3*($A825-BOTT_A3),0),IF($A825&gt;BOTT_A2,ROUND(BASE_A2+RATE_A2*($A825-BOTT_A2),0),ROUND(RATE_A1*$A825,0))))</f>
        <v/>
      </c>
      <c r="E825" s="556">
        <f>IF($A825&gt;BOTT_B4,ROUND(BASE_B4+RATE_B4*($A825-BOTT_B4),0),IF($A825&gt;BOTT_B3,ROUND(BASE_B3+RATE_B3*($A825-BOTT_B3),0),IF($A825&gt;BOTT_B2,ROUND(BASE_B2+RATE_B2*($A825-BOTT_B2),0),ROUND(RATE_B1*$A825,0))))</f>
        <v/>
      </c>
      <c r="F825" s="556">
        <f>IF($A825&gt;BOTT_C4,ROUND(BASE_C4+RATE_C4*($A825-BOTT_C4),0),IF($A825&gt;BOTT_C3,ROUND(BASE_C3+RATE_C3*($A825-BOTT_C3),0),IF($A825&gt;BOTT_C2,ROUND(BASE_C2+RATE_C2*($A825-BOTT_C2),0),ROUND(RATE_C1*$A825,0))))</f>
        <v/>
      </c>
      <c r="G825" s="556">
        <f>IF($A825&gt;BOTT_D4,ROUND(BASE_D4+RATE_D4*($A825-BOTT_D4),0),IF($A825&gt;BOTT_D3,ROUND(BASE_D3+RATE_D3*($A825-BOTT_D3),0),IF($A825&gt;BOTT_D2,ROUND(BASE_D2+RATE_D2*($A825-BOTT_D2),0),ROUND(RATE_D1*$A825,0))))</f>
        <v/>
      </c>
    </row>
    <row r="826" ht="15.75" customHeight="1" s="7635">
      <c r="A826" s="625">
        <f>AVERAGE(B826,C826)</f>
        <v/>
      </c>
      <c r="B826" s="555" t="n">
        <v>38100</v>
      </c>
      <c r="C826" s="555" t="n">
        <v>38150</v>
      </c>
      <c r="D826" s="556">
        <f>IF($A826&gt;BOTT_A4,ROUND(BASE_A4+RATE_A4*($A826-BOTT_A4),0),IF($A826&gt;BOTT_A3,ROUND(BASE_A3+RATE_A3*($A826-BOTT_A3),0),IF($A826&gt;BOTT_A2,ROUND(BASE_A2+RATE_A2*($A826-BOTT_A2),0),ROUND(RATE_A1*$A826,0))))</f>
        <v/>
      </c>
      <c r="E826" s="556">
        <f>IF($A826&gt;BOTT_B4,ROUND(BASE_B4+RATE_B4*($A826-BOTT_B4),0),IF($A826&gt;BOTT_B3,ROUND(BASE_B3+RATE_B3*($A826-BOTT_B3),0),IF($A826&gt;BOTT_B2,ROUND(BASE_B2+RATE_B2*($A826-BOTT_B2),0),ROUND(RATE_B1*$A826,0))))</f>
        <v/>
      </c>
      <c r="F826" s="556">
        <f>IF($A826&gt;BOTT_C4,ROUND(BASE_C4+RATE_C4*($A826-BOTT_C4),0),IF($A826&gt;BOTT_C3,ROUND(BASE_C3+RATE_C3*($A826-BOTT_C3),0),IF($A826&gt;BOTT_C2,ROUND(BASE_C2+RATE_C2*($A826-BOTT_C2),0),ROUND(RATE_C1*$A826,0))))</f>
        <v/>
      </c>
      <c r="G826" s="556">
        <f>IF($A826&gt;BOTT_D4,ROUND(BASE_D4+RATE_D4*($A826-BOTT_D4),0),IF($A826&gt;BOTT_D3,ROUND(BASE_D3+RATE_D3*($A826-BOTT_D3),0),IF($A826&gt;BOTT_D2,ROUND(BASE_D2+RATE_D2*($A826-BOTT_D2),0),ROUND(RATE_D1*$A826,0))))</f>
        <v/>
      </c>
    </row>
    <row r="827" ht="15.75" customHeight="1" s="7635">
      <c r="A827" s="625">
        <f>AVERAGE(B827,C827)</f>
        <v/>
      </c>
      <c r="B827" s="555" t="n">
        <v>38150</v>
      </c>
      <c r="C827" s="555" t="n">
        <v>38200</v>
      </c>
      <c r="D827" s="556">
        <f>IF($A827&gt;BOTT_A4,ROUND(BASE_A4+RATE_A4*($A827-BOTT_A4),0),IF($A827&gt;BOTT_A3,ROUND(BASE_A3+RATE_A3*($A827-BOTT_A3),0),IF($A827&gt;BOTT_A2,ROUND(BASE_A2+RATE_A2*($A827-BOTT_A2),0),ROUND(RATE_A1*$A827,0))))</f>
        <v/>
      </c>
      <c r="E827" s="556">
        <f>IF($A827&gt;BOTT_B4,ROUND(BASE_B4+RATE_B4*($A827-BOTT_B4),0),IF($A827&gt;BOTT_B3,ROUND(BASE_B3+RATE_B3*($A827-BOTT_B3),0),IF($A827&gt;BOTT_B2,ROUND(BASE_B2+RATE_B2*($A827-BOTT_B2),0),ROUND(RATE_B1*$A827,0))))</f>
        <v/>
      </c>
      <c r="F827" s="556">
        <f>IF($A827&gt;BOTT_C4,ROUND(BASE_C4+RATE_C4*($A827-BOTT_C4),0),IF($A827&gt;BOTT_C3,ROUND(BASE_C3+RATE_C3*($A827-BOTT_C3),0),IF($A827&gt;BOTT_C2,ROUND(BASE_C2+RATE_C2*($A827-BOTT_C2),0),ROUND(RATE_C1*$A827,0))))</f>
        <v/>
      </c>
      <c r="G827" s="556">
        <f>IF($A827&gt;BOTT_D4,ROUND(BASE_D4+RATE_D4*($A827-BOTT_D4),0),IF($A827&gt;BOTT_D3,ROUND(BASE_D3+RATE_D3*($A827-BOTT_D3),0),IF($A827&gt;BOTT_D2,ROUND(BASE_D2+RATE_D2*($A827-BOTT_D2),0),ROUND(RATE_D1*$A827,0))))</f>
        <v/>
      </c>
    </row>
    <row r="828" ht="15.75" customHeight="1" s="7635">
      <c r="A828" s="625">
        <f>AVERAGE(B828,C828)</f>
        <v/>
      </c>
      <c r="B828" s="555" t="n">
        <v>38200</v>
      </c>
      <c r="C828" s="555" t="n">
        <v>38250</v>
      </c>
      <c r="D828" s="556">
        <f>IF($A828&gt;BOTT_A4,ROUND(BASE_A4+RATE_A4*($A828-BOTT_A4),0),IF($A828&gt;BOTT_A3,ROUND(BASE_A3+RATE_A3*($A828-BOTT_A3),0),IF($A828&gt;BOTT_A2,ROUND(BASE_A2+RATE_A2*($A828-BOTT_A2),0),ROUND(RATE_A1*$A828,0))))</f>
        <v/>
      </c>
      <c r="E828" s="556">
        <f>IF($A828&gt;BOTT_B4,ROUND(BASE_B4+RATE_B4*($A828-BOTT_B4),0),IF($A828&gt;BOTT_B3,ROUND(BASE_B3+RATE_B3*($A828-BOTT_B3),0),IF($A828&gt;BOTT_B2,ROUND(BASE_B2+RATE_B2*($A828-BOTT_B2),0),ROUND(RATE_B1*$A828,0))))</f>
        <v/>
      </c>
      <c r="F828" s="556">
        <f>IF($A828&gt;BOTT_C4,ROUND(BASE_C4+RATE_C4*($A828-BOTT_C4),0),IF($A828&gt;BOTT_C3,ROUND(BASE_C3+RATE_C3*($A828-BOTT_C3),0),IF($A828&gt;BOTT_C2,ROUND(BASE_C2+RATE_C2*($A828-BOTT_C2),0),ROUND(RATE_C1*$A828,0))))</f>
        <v/>
      </c>
      <c r="G828" s="556">
        <f>IF($A828&gt;BOTT_D4,ROUND(BASE_D4+RATE_D4*($A828-BOTT_D4),0),IF($A828&gt;BOTT_D3,ROUND(BASE_D3+RATE_D3*($A828-BOTT_D3),0),IF($A828&gt;BOTT_D2,ROUND(BASE_D2+RATE_D2*($A828-BOTT_D2),0),ROUND(RATE_D1*$A828,0))))</f>
        <v/>
      </c>
    </row>
    <row r="829" ht="15.75" customHeight="1" s="7635">
      <c r="A829" s="625">
        <f>AVERAGE(B829,C829)</f>
        <v/>
      </c>
      <c r="B829" s="555" t="n">
        <v>38250</v>
      </c>
      <c r="C829" s="555" t="n">
        <v>38300</v>
      </c>
      <c r="D829" s="556">
        <f>IF($A829&gt;BOTT_A4,ROUND(BASE_A4+RATE_A4*($A829-BOTT_A4),0),IF($A829&gt;BOTT_A3,ROUND(BASE_A3+RATE_A3*($A829-BOTT_A3),0),IF($A829&gt;BOTT_A2,ROUND(BASE_A2+RATE_A2*($A829-BOTT_A2),0),ROUND(RATE_A1*$A829,0))))</f>
        <v/>
      </c>
      <c r="E829" s="556">
        <f>IF($A829&gt;BOTT_B4,ROUND(BASE_B4+RATE_B4*($A829-BOTT_B4),0),IF($A829&gt;BOTT_B3,ROUND(BASE_B3+RATE_B3*($A829-BOTT_B3),0),IF($A829&gt;BOTT_B2,ROUND(BASE_B2+RATE_B2*($A829-BOTT_B2),0),ROUND(RATE_B1*$A829,0))))</f>
        <v/>
      </c>
      <c r="F829" s="556">
        <f>IF($A829&gt;BOTT_C4,ROUND(BASE_C4+RATE_C4*($A829-BOTT_C4),0),IF($A829&gt;BOTT_C3,ROUND(BASE_C3+RATE_C3*($A829-BOTT_C3),0),IF($A829&gt;BOTT_C2,ROUND(BASE_C2+RATE_C2*($A829-BOTT_C2),0),ROUND(RATE_C1*$A829,0))))</f>
        <v/>
      </c>
      <c r="G829" s="556">
        <f>IF($A829&gt;BOTT_D4,ROUND(BASE_D4+RATE_D4*($A829-BOTT_D4),0),IF($A829&gt;BOTT_D3,ROUND(BASE_D3+RATE_D3*($A829-BOTT_D3),0),IF($A829&gt;BOTT_D2,ROUND(BASE_D2+RATE_D2*($A829-BOTT_D2),0),ROUND(RATE_D1*$A829,0))))</f>
        <v/>
      </c>
    </row>
    <row r="830" ht="15.75" customHeight="1" s="7635">
      <c r="A830" s="625">
        <f>AVERAGE(B830,C830)</f>
        <v/>
      </c>
      <c r="B830" s="555" t="n">
        <v>38300</v>
      </c>
      <c r="C830" s="555" t="n">
        <v>38350</v>
      </c>
      <c r="D830" s="556">
        <f>IF($A830&gt;BOTT_A4,ROUND(BASE_A4+RATE_A4*($A830-BOTT_A4),0),IF($A830&gt;BOTT_A3,ROUND(BASE_A3+RATE_A3*($A830-BOTT_A3),0),IF($A830&gt;BOTT_A2,ROUND(BASE_A2+RATE_A2*($A830-BOTT_A2),0),ROUND(RATE_A1*$A830,0))))</f>
        <v/>
      </c>
      <c r="E830" s="556">
        <f>IF($A830&gt;BOTT_B4,ROUND(BASE_B4+RATE_B4*($A830-BOTT_B4),0),IF($A830&gt;BOTT_B3,ROUND(BASE_B3+RATE_B3*($A830-BOTT_B3),0),IF($A830&gt;BOTT_B2,ROUND(BASE_B2+RATE_B2*($A830-BOTT_B2),0),ROUND(RATE_B1*$A830,0))))</f>
        <v/>
      </c>
      <c r="F830" s="556">
        <f>IF($A830&gt;BOTT_C4,ROUND(BASE_C4+RATE_C4*($A830-BOTT_C4),0),IF($A830&gt;BOTT_C3,ROUND(BASE_C3+RATE_C3*($A830-BOTT_C3),0),IF($A830&gt;BOTT_C2,ROUND(BASE_C2+RATE_C2*($A830-BOTT_C2),0),ROUND(RATE_C1*$A830,0))))</f>
        <v/>
      </c>
      <c r="G830" s="556">
        <f>IF($A830&gt;BOTT_D4,ROUND(BASE_D4+RATE_D4*($A830-BOTT_D4),0),IF($A830&gt;BOTT_D3,ROUND(BASE_D3+RATE_D3*($A830-BOTT_D3),0),IF($A830&gt;BOTT_D2,ROUND(BASE_D2+RATE_D2*($A830-BOTT_D2),0),ROUND(RATE_D1*$A830,0))))</f>
        <v/>
      </c>
    </row>
    <row r="831" ht="15.75" customHeight="1" s="7635">
      <c r="A831" s="625">
        <f>AVERAGE(B831,C831)</f>
        <v/>
      </c>
      <c r="B831" s="555" t="n">
        <v>38350</v>
      </c>
      <c r="C831" s="555" t="n">
        <v>38400</v>
      </c>
      <c r="D831" s="556">
        <f>IF($A831&gt;BOTT_A4,ROUND(BASE_A4+RATE_A4*($A831-BOTT_A4),0),IF($A831&gt;BOTT_A3,ROUND(BASE_A3+RATE_A3*($A831-BOTT_A3),0),IF($A831&gt;BOTT_A2,ROUND(BASE_A2+RATE_A2*($A831-BOTT_A2),0),ROUND(RATE_A1*$A831,0))))</f>
        <v/>
      </c>
      <c r="E831" s="556">
        <f>IF($A831&gt;BOTT_B4,ROUND(BASE_B4+RATE_B4*($A831-BOTT_B4),0),IF($A831&gt;BOTT_B3,ROUND(BASE_B3+RATE_B3*($A831-BOTT_B3),0),IF($A831&gt;BOTT_B2,ROUND(BASE_B2+RATE_B2*($A831-BOTT_B2),0),ROUND(RATE_B1*$A831,0))))</f>
        <v/>
      </c>
      <c r="F831" s="556">
        <f>IF($A831&gt;BOTT_C4,ROUND(BASE_C4+RATE_C4*($A831-BOTT_C4),0),IF($A831&gt;BOTT_C3,ROUND(BASE_C3+RATE_C3*($A831-BOTT_C3),0),IF($A831&gt;BOTT_C2,ROUND(BASE_C2+RATE_C2*($A831-BOTT_C2),0),ROUND(RATE_C1*$A831,0))))</f>
        <v/>
      </c>
      <c r="G831" s="556">
        <f>IF($A831&gt;BOTT_D4,ROUND(BASE_D4+RATE_D4*($A831-BOTT_D4),0),IF($A831&gt;BOTT_D3,ROUND(BASE_D3+RATE_D3*($A831-BOTT_D3),0),IF($A831&gt;BOTT_D2,ROUND(BASE_D2+RATE_D2*($A831-BOTT_D2),0),ROUND(RATE_D1*$A831,0))))</f>
        <v/>
      </c>
    </row>
    <row r="832" ht="15.75" customHeight="1" s="7635">
      <c r="A832" s="625">
        <f>AVERAGE(B832,C832)</f>
        <v/>
      </c>
      <c r="B832" s="555" t="n">
        <v>38400</v>
      </c>
      <c r="C832" s="555" t="n">
        <v>38450</v>
      </c>
      <c r="D832" s="556">
        <f>IF($A832&gt;BOTT_A4,ROUND(BASE_A4+RATE_A4*($A832-BOTT_A4),0),IF($A832&gt;BOTT_A3,ROUND(BASE_A3+RATE_A3*($A832-BOTT_A3),0),IF($A832&gt;BOTT_A2,ROUND(BASE_A2+RATE_A2*($A832-BOTT_A2),0),ROUND(RATE_A1*$A832,0))))</f>
        <v/>
      </c>
      <c r="E832" s="556">
        <f>IF($A832&gt;BOTT_B4,ROUND(BASE_B4+RATE_B4*($A832-BOTT_B4),0),IF($A832&gt;BOTT_B3,ROUND(BASE_B3+RATE_B3*($A832-BOTT_B3),0),IF($A832&gt;BOTT_B2,ROUND(BASE_B2+RATE_B2*($A832-BOTT_B2),0),ROUND(RATE_B1*$A832,0))))</f>
        <v/>
      </c>
      <c r="F832" s="556">
        <f>IF($A832&gt;BOTT_C4,ROUND(BASE_C4+RATE_C4*($A832-BOTT_C4),0),IF($A832&gt;BOTT_C3,ROUND(BASE_C3+RATE_C3*($A832-BOTT_C3),0),IF($A832&gt;BOTT_C2,ROUND(BASE_C2+RATE_C2*($A832-BOTT_C2),0),ROUND(RATE_C1*$A832,0))))</f>
        <v/>
      </c>
      <c r="G832" s="556">
        <f>IF($A832&gt;BOTT_D4,ROUND(BASE_D4+RATE_D4*($A832-BOTT_D4),0),IF($A832&gt;BOTT_D3,ROUND(BASE_D3+RATE_D3*($A832-BOTT_D3),0),IF($A832&gt;BOTT_D2,ROUND(BASE_D2+RATE_D2*($A832-BOTT_D2),0),ROUND(RATE_D1*$A832,0))))</f>
        <v/>
      </c>
    </row>
    <row r="833" ht="15.75" customHeight="1" s="7635">
      <c r="A833" s="625">
        <f>AVERAGE(B833,C833)</f>
        <v/>
      </c>
      <c r="B833" s="555" t="n">
        <v>38450</v>
      </c>
      <c r="C833" s="555" t="n">
        <v>38500</v>
      </c>
      <c r="D833" s="556">
        <f>IF($A833&gt;BOTT_A4,ROUND(BASE_A4+RATE_A4*($A833-BOTT_A4),0),IF($A833&gt;BOTT_A3,ROUND(BASE_A3+RATE_A3*($A833-BOTT_A3),0),IF($A833&gt;BOTT_A2,ROUND(BASE_A2+RATE_A2*($A833-BOTT_A2),0),ROUND(RATE_A1*$A833,0))))</f>
        <v/>
      </c>
      <c r="E833" s="556">
        <f>IF($A833&gt;BOTT_B4,ROUND(BASE_B4+RATE_B4*($A833-BOTT_B4),0),IF($A833&gt;BOTT_B3,ROUND(BASE_B3+RATE_B3*($A833-BOTT_B3),0),IF($A833&gt;BOTT_B2,ROUND(BASE_B2+RATE_B2*($A833-BOTT_B2),0),ROUND(RATE_B1*$A833,0))))</f>
        <v/>
      </c>
      <c r="F833" s="556">
        <f>IF($A833&gt;BOTT_C4,ROUND(BASE_C4+RATE_C4*($A833-BOTT_C4),0),IF($A833&gt;BOTT_C3,ROUND(BASE_C3+RATE_C3*($A833-BOTT_C3),0),IF($A833&gt;BOTT_C2,ROUND(BASE_C2+RATE_C2*($A833-BOTT_C2),0),ROUND(RATE_C1*$A833,0))))</f>
        <v/>
      </c>
      <c r="G833" s="556">
        <f>IF($A833&gt;BOTT_D4,ROUND(BASE_D4+RATE_D4*($A833-BOTT_D4),0),IF($A833&gt;BOTT_D3,ROUND(BASE_D3+RATE_D3*($A833-BOTT_D3),0),IF($A833&gt;BOTT_D2,ROUND(BASE_D2+RATE_D2*($A833-BOTT_D2),0),ROUND(RATE_D1*$A833,0))))</f>
        <v/>
      </c>
    </row>
    <row r="834" ht="15.75" customHeight="1" s="7635">
      <c r="A834" s="625">
        <f>AVERAGE(B834,C834)</f>
        <v/>
      </c>
      <c r="B834" s="555" t="n">
        <v>38500</v>
      </c>
      <c r="C834" s="555" t="n">
        <v>38550</v>
      </c>
      <c r="D834" s="556">
        <f>IF($A834&gt;BOTT_A4,ROUND(BASE_A4+RATE_A4*($A834-BOTT_A4),0),IF($A834&gt;BOTT_A3,ROUND(BASE_A3+RATE_A3*($A834-BOTT_A3),0),IF($A834&gt;BOTT_A2,ROUND(BASE_A2+RATE_A2*($A834-BOTT_A2),0),ROUND(RATE_A1*$A834,0))))</f>
        <v/>
      </c>
      <c r="E834" s="556">
        <f>IF($A834&gt;BOTT_B4,ROUND(BASE_B4+RATE_B4*($A834-BOTT_B4),0),IF($A834&gt;BOTT_B3,ROUND(BASE_B3+RATE_B3*($A834-BOTT_B3),0),IF($A834&gt;BOTT_B2,ROUND(BASE_B2+RATE_B2*($A834-BOTT_B2),0),ROUND(RATE_B1*$A834,0))))</f>
        <v/>
      </c>
      <c r="F834" s="556">
        <f>IF($A834&gt;BOTT_C4,ROUND(BASE_C4+RATE_C4*($A834-BOTT_C4),0),IF($A834&gt;BOTT_C3,ROUND(BASE_C3+RATE_C3*($A834-BOTT_C3),0),IF($A834&gt;BOTT_C2,ROUND(BASE_C2+RATE_C2*($A834-BOTT_C2),0),ROUND(RATE_C1*$A834,0))))</f>
        <v/>
      </c>
      <c r="G834" s="556">
        <f>IF($A834&gt;BOTT_D4,ROUND(BASE_D4+RATE_D4*($A834-BOTT_D4),0),IF($A834&gt;BOTT_D3,ROUND(BASE_D3+RATE_D3*($A834-BOTT_D3),0),IF($A834&gt;BOTT_D2,ROUND(BASE_D2+RATE_D2*($A834-BOTT_D2),0),ROUND(RATE_D1*$A834,0))))</f>
        <v/>
      </c>
    </row>
    <row r="835" ht="15.75" customHeight="1" s="7635">
      <c r="A835" s="625">
        <f>AVERAGE(B835,C835)</f>
        <v/>
      </c>
      <c r="B835" s="555" t="n">
        <v>38550</v>
      </c>
      <c r="C835" s="555" t="n">
        <v>38600</v>
      </c>
      <c r="D835" s="556">
        <f>IF($A835&gt;BOTT_A4,ROUND(BASE_A4+RATE_A4*($A835-BOTT_A4),0),IF($A835&gt;BOTT_A3,ROUND(BASE_A3+RATE_A3*($A835-BOTT_A3),0),IF($A835&gt;BOTT_A2,ROUND(BASE_A2+RATE_A2*($A835-BOTT_A2),0),ROUND(RATE_A1*$A835,0))))</f>
        <v/>
      </c>
      <c r="E835" s="556">
        <f>IF($A835&gt;BOTT_B4,ROUND(BASE_B4+RATE_B4*($A835-BOTT_B4),0),IF($A835&gt;BOTT_B3,ROUND(BASE_B3+RATE_B3*($A835-BOTT_B3),0),IF($A835&gt;BOTT_B2,ROUND(BASE_B2+RATE_B2*($A835-BOTT_B2),0),ROUND(RATE_B1*$A835,0))))</f>
        <v/>
      </c>
      <c r="F835" s="556">
        <f>IF($A835&gt;BOTT_C4,ROUND(BASE_C4+RATE_C4*($A835-BOTT_C4),0),IF($A835&gt;BOTT_C3,ROUND(BASE_C3+RATE_C3*($A835-BOTT_C3),0),IF($A835&gt;BOTT_C2,ROUND(BASE_C2+RATE_C2*($A835-BOTT_C2),0),ROUND(RATE_C1*$A835,0))))</f>
        <v/>
      </c>
      <c r="G835" s="556">
        <f>IF($A835&gt;BOTT_D4,ROUND(BASE_D4+RATE_D4*($A835-BOTT_D4),0),IF($A835&gt;BOTT_D3,ROUND(BASE_D3+RATE_D3*($A835-BOTT_D3),0),IF($A835&gt;BOTT_D2,ROUND(BASE_D2+RATE_D2*($A835-BOTT_D2),0),ROUND(RATE_D1*$A835,0))))</f>
        <v/>
      </c>
    </row>
    <row r="836" ht="15.75" customHeight="1" s="7635">
      <c r="A836" s="625">
        <f>AVERAGE(B836,C836)</f>
        <v/>
      </c>
      <c r="B836" s="555" t="n">
        <v>38600</v>
      </c>
      <c r="C836" s="555" t="n">
        <v>38650</v>
      </c>
      <c r="D836" s="556">
        <f>IF($A836&gt;BOTT_A4,ROUND(BASE_A4+RATE_A4*($A836-BOTT_A4),0),IF($A836&gt;BOTT_A3,ROUND(BASE_A3+RATE_A3*($A836-BOTT_A3),0),IF($A836&gt;BOTT_A2,ROUND(BASE_A2+RATE_A2*($A836-BOTT_A2),0),ROUND(RATE_A1*$A836,0))))</f>
        <v/>
      </c>
      <c r="E836" s="556">
        <f>IF($A836&gt;BOTT_B4,ROUND(BASE_B4+RATE_B4*($A836-BOTT_B4),0),IF($A836&gt;BOTT_B3,ROUND(BASE_B3+RATE_B3*($A836-BOTT_B3),0),IF($A836&gt;BOTT_B2,ROUND(BASE_B2+RATE_B2*($A836-BOTT_B2),0),ROUND(RATE_B1*$A836,0))))</f>
        <v/>
      </c>
      <c r="F836" s="556">
        <f>IF($A836&gt;BOTT_C4,ROUND(BASE_C4+RATE_C4*($A836-BOTT_C4),0),IF($A836&gt;BOTT_C3,ROUND(BASE_C3+RATE_C3*($A836-BOTT_C3),0),IF($A836&gt;BOTT_C2,ROUND(BASE_C2+RATE_C2*($A836-BOTT_C2),0),ROUND(RATE_C1*$A836,0))))</f>
        <v/>
      </c>
      <c r="G836" s="556">
        <f>IF($A836&gt;BOTT_D4,ROUND(BASE_D4+RATE_D4*($A836-BOTT_D4),0),IF($A836&gt;BOTT_D3,ROUND(BASE_D3+RATE_D3*($A836-BOTT_D3),0),IF($A836&gt;BOTT_D2,ROUND(BASE_D2+RATE_D2*($A836-BOTT_D2),0),ROUND(RATE_D1*$A836,0))))</f>
        <v/>
      </c>
    </row>
    <row r="837" ht="15.75" customHeight="1" s="7635">
      <c r="A837" s="625">
        <f>AVERAGE(B837,C837)</f>
        <v/>
      </c>
      <c r="B837" s="555" t="n">
        <v>38650</v>
      </c>
      <c r="C837" s="555" t="n">
        <v>38700</v>
      </c>
      <c r="D837" s="556">
        <f>IF($A837&gt;BOTT_A4,ROUND(BASE_A4+RATE_A4*($A837-BOTT_A4),0),IF($A837&gt;BOTT_A3,ROUND(BASE_A3+RATE_A3*($A837-BOTT_A3),0),IF($A837&gt;BOTT_A2,ROUND(BASE_A2+RATE_A2*($A837-BOTT_A2),0),ROUND(RATE_A1*$A837,0))))</f>
        <v/>
      </c>
      <c r="E837" s="556">
        <f>IF($A837&gt;BOTT_B4,ROUND(BASE_B4+RATE_B4*($A837-BOTT_B4),0),IF($A837&gt;BOTT_B3,ROUND(BASE_B3+RATE_B3*($A837-BOTT_B3),0),IF($A837&gt;BOTT_B2,ROUND(BASE_B2+RATE_B2*($A837-BOTT_B2),0),ROUND(RATE_B1*$A837,0))))</f>
        <v/>
      </c>
      <c r="F837" s="556">
        <f>IF($A837&gt;BOTT_C4,ROUND(BASE_C4+RATE_C4*($A837-BOTT_C4),0),IF($A837&gt;BOTT_C3,ROUND(BASE_C3+RATE_C3*($A837-BOTT_C3),0),IF($A837&gt;BOTT_C2,ROUND(BASE_C2+RATE_C2*($A837-BOTT_C2),0),ROUND(RATE_C1*$A837,0))))</f>
        <v/>
      </c>
      <c r="G837" s="556">
        <f>IF($A837&gt;BOTT_D4,ROUND(BASE_D4+RATE_D4*($A837-BOTT_D4),0),IF($A837&gt;BOTT_D3,ROUND(BASE_D3+RATE_D3*($A837-BOTT_D3),0),IF($A837&gt;BOTT_D2,ROUND(BASE_D2+RATE_D2*($A837-BOTT_D2),0),ROUND(RATE_D1*$A837,0))))</f>
        <v/>
      </c>
    </row>
    <row r="838" ht="15.75" customHeight="1" s="7635">
      <c r="A838" s="625">
        <f>AVERAGE(B838,C838)</f>
        <v/>
      </c>
      <c r="B838" s="555" t="n">
        <v>38700</v>
      </c>
      <c r="C838" s="555" t="n">
        <v>38750</v>
      </c>
      <c r="D838" s="556">
        <f>IF($A838&gt;BOTT_A4,ROUND(BASE_A4+RATE_A4*($A838-BOTT_A4),0),IF($A838&gt;BOTT_A3,ROUND(BASE_A3+RATE_A3*($A838-BOTT_A3),0),IF($A838&gt;BOTT_A2,ROUND(BASE_A2+RATE_A2*($A838-BOTT_A2),0),ROUND(RATE_A1*$A838,0))))</f>
        <v/>
      </c>
      <c r="E838" s="556">
        <f>IF($A838&gt;BOTT_B4,ROUND(BASE_B4+RATE_B4*($A838-BOTT_B4),0),IF($A838&gt;BOTT_B3,ROUND(BASE_B3+RATE_B3*($A838-BOTT_B3),0),IF($A838&gt;BOTT_B2,ROUND(BASE_B2+RATE_B2*($A838-BOTT_B2),0),ROUND(RATE_B1*$A838,0))))</f>
        <v/>
      </c>
      <c r="F838" s="556">
        <f>IF($A838&gt;BOTT_C4,ROUND(BASE_C4+RATE_C4*($A838-BOTT_C4),0),IF($A838&gt;BOTT_C3,ROUND(BASE_C3+RATE_C3*($A838-BOTT_C3),0),IF($A838&gt;BOTT_C2,ROUND(BASE_C2+RATE_C2*($A838-BOTT_C2),0),ROUND(RATE_C1*$A838,0))))</f>
        <v/>
      </c>
      <c r="G838" s="556">
        <f>IF($A838&gt;BOTT_D4,ROUND(BASE_D4+RATE_D4*($A838-BOTT_D4),0),IF($A838&gt;BOTT_D3,ROUND(BASE_D3+RATE_D3*($A838-BOTT_D3),0),IF($A838&gt;BOTT_D2,ROUND(BASE_D2+RATE_D2*($A838-BOTT_D2),0),ROUND(RATE_D1*$A838,0))))</f>
        <v/>
      </c>
    </row>
    <row r="839" ht="15.75" customHeight="1" s="7635">
      <c r="A839" s="625">
        <f>AVERAGE(B839,C839)</f>
        <v/>
      </c>
      <c r="B839" s="555" t="n">
        <v>38750</v>
      </c>
      <c r="C839" s="555" t="n">
        <v>38800</v>
      </c>
      <c r="D839" s="556">
        <f>IF($A839&gt;BOTT_A4,ROUND(BASE_A4+RATE_A4*($A839-BOTT_A4),0),IF($A839&gt;BOTT_A3,ROUND(BASE_A3+RATE_A3*($A839-BOTT_A3),0),IF($A839&gt;BOTT_A2,ROUND(BASE_A2+RATE_A2*($A839-BOTT_A2),0),ROUND(RATE_A1*$A839,0))))</f>
        <v/>
      </c>
      <c r="E839" s="556">
        <f>IF($A839&gt;BOTT_B4,ROUND(BASE_B4+RATE_B4*($A839-BOTT_B4),0),IF($A839&gt;BOTT_B3,ROUND(BASE_B3+RATE_B3*($A839-BOTT_B3),0),IF($A839&gt;BOTT_B2,ROUND(BASE_B2+RATE_B2*($A839-BOTT_B2),0),ROUND(RATE_B1*$A839,0))))</f>
        <v/>
      </c>
      <c r="F839" s="556">
        <f>IF($A839&gt;BOTT_C4,ROUND(BASE_C4+RATE_C4*($A839-BOTT_C4),0),IF($A839&gt;BOTT_C3,ROUND(BASE_C3+RATE_C3*($A839-BOTT_C3),0),IF($A839&gt;BOTT_C2,ROUND(BASE_C2+RATE_C2*($A839-BOTT_C2),0),ROUND(RATE_C1*$A839,0))))</f>
        <v/>
      </c>
      <c r="G839" s="556">
        <f>IF($A839&gt;BOTT_D4,ROUND(BASE_D4+RATE_D4*($A839-BOTT_D4),0),IF($A839&gt;BOTT_D3,ROUND(BASE_D3+RATE_D3*($A839-BOTT_D3),0),IF($A839&gt;BOTT_D2,ROUND(BASE_D2+RATE_D2*($A839-BOTT_D2),0),ROUND(RATE_D1*$A839,0))))</f>
        <v/>
      </c>
    </row>
    <row r="840" ht="15.75" customHeight="1" s="7635">
      <c r="A840" s="625">
        <f>AVERAGE(B840,C840)</f>
        <v/>
      </c>
      <c r="B840" s="555" t="n">
        <v>38800</v>
      </c>
      <c r="C840" s="555" t="n">
        <v>38850</v>
      </c>
      <c r="D840" s="556">
        <f>IF($A840&gt;BOTT_A4,ROUND(BASE_A4+RATE_A4*($A840-BOTT_A4),0),IF($A840&gt;BOTT_A3,ROUND(BASE_A3+RATE_A3*($A840-BOTT_A3),0),IF($A840&gt;BOTT_A2,ROUND(BASE_A2+RATE_A2*($A840-BOTT_A2),0),ROUND(RATE_A1*$A840,0))))</f>
        <v/>
      </c>
      <c r="E840" s="556">
        <f>IF($A840&gt;BOTT_B4,ROUND(BASE_B4+RATE_B4*($A840-BOTT_B4),0),IF($A840&gt;BOTT_B3,ROUND(BASE_B3+RATE_B3*($A840-BOTT_B3),0),IF($A840&gt;BOTT_B2,ROUND(BASE_B2+RATE_B2*($A840-BOTT_B2),0),ROUND(RATE_B1*$A840,0))))</f>
        <v/>
      </c>
      <c r="F840" s="556">
        <f>IF($A840&gt;BOTT_C4,ROUND(BASE_C4+RATE_C4*($A840-BOTT_C4),0),IF($A840&gt;BOTT_C3,ROUND(BASE_C3+RATE_C3*($A840-BOTT_C3),0),IF($A840&gt;BOTT_C2,ROUND(BASE_C2+RATE_C2*($A840-BOTT_C2),0),ROUND(RATE_C1*$A840,0))))</f>
        <v/>
      </c>
      <c r="G840" s="556">
        <f>IF($A840&gt;BOTT_D4,ROUND(BASE_D4+RATE_D4*($A840-BOTT_D4),0),IF($A840&gt;BOTT_D3,ROUND(BASE_D3+RATE_D3*($A840-BOTT_D3),0),IF($A840&gt;BOTT_D2,ROUND(BASE_D2+RATE_D2*($A840-BOTT_D2),0),ROUND(RATE_D1*$A840,0))))</f>
        <v/>
      </c>
    </row>
    <row r="841" ht="15.75" customHeight="1" s="7635">
      <c r="A841" s="625">
        <f>AVERAGE(B841,C841)</f>
        <v/>
      </c>
      <c r="B841" s="555" t="n">
        <v>38850</v>
      </c>
      <c r="C841" s="555" t="n">
        <v>38900</v>
      </c>
      <c r="D841" s="556">
        <f>IF($A841&gt;BOTT_A4,ROUND(BASE_A4+RATE_A4*($A841-BOTT_A4),0),IF($A841&gt;BOTT_A3,ROUND(BASE_A3+RATE_A3*($A841-BOTT_A3),0),IF($A841&gt;BOTT_A2,ROUND(BASE_A2+RATE_A2*($A841-BOTT_A2),0),ROUND(RATE_A1*$A841,0))))</f>
        <v/>
      </c>
      <c r="E841" s="556">
        <f>IF($A841&gt;BOTT_B4,ROUND(BASE_B4+RATE_B4*($A841-BOTT_B4),0),IF($A841&gt;BOTT_B3,ROUND(BASE_B3+RATE_B3*($A841-BOTT_B3),0),IF($A841&gt;BOTT_B2,ROUND(BASE_B2+RATE_B2*($A841-BOTT_B2),0),ROUND(RATE_B1*$A841,0))))</f>
        <v/>
      </c>
      <c r="F841" s="556">
        <f>IF($A841&gt;BOTT_C4,ROUND(BASE_C4+RATE_C4*($A841-BOTT_C4),0),IF($A841&gt;BOTT_C3,ROUND(BASE_C3+RATE_C3*($A841-BOTT_C3),0),IF($A841&gt;BOTT_C2,ROUND(BASE_C2+RATE_C2*($A841-BOTT_C2),0),ROUND(RATE_C1*$A841,0))))</f>
        <v/>
      </c>
      <c r="G841" s="556">
        <f>IF($A841&gt;BOTT_D4,ROUND(BASE_D4+RATE_D4*($A841-BOTT_D4),0),IF($A841&gt;BOTT_D3,ROUND(BASE_D3+RATE_D3*($A841-BOTT_D3),0),IF($A841&gt;BOTT_D2,ROUND(BASE_D2+RATE_D2*($A841-BOTT_D2),0),ROUND(RATE_D1*$A841,0))))</f>
        <v/>
      </c>
    </row>
    <row r="842" ht="15.75" customHeight="1" s="7635">
      <c r="A842" s="625">
        <f>AVERAGE(B842,C842)</f>
        <v/>
      </c>
      <c r="B842" s="555" t="n">
        <v>38900</v>
      </c>
      <c r="C842" s="555" t="n">
        <v>38950</v>
      </c>
      <c r="D842" s="556">
        <f>IF($A842&gt;BOTT_A4,ROUND(BASE_A4+RATE_A4*($A842-BOTT_A4),0),IF($A842&gt;BOTT_A3,ROUND(BASE_A3+RATE_A3*($A842-BOTT_A3),0),IF($A842&gt;BOTT_A2,ROUND(BASE_A2+RATE_A2*($A842-BOTT_A2),0),ROUND(RATE_A1*$A842,0))))</f>
        <v/>
      </c>
      <c r="E842" s="556">
        <f>IF($A842&gt;BOTT_B4,ROUND(BASE_B4+RATE_B4*($A842-BOTT_B4),0),IF($A842&gt;BOTT_B3,ROUND(BASE_B3+RATE_B3*($A842-BOTT_B3),0),IF($A842&gt;BOTT_B2,ROUND(BASE_B2+RATE_B2*($A842-BOTT_B2),0),ROUND(RATE_B1*$A842,0))))</f>
        <v/>
      </c>
      <c r="F842" s="556">
        <f>IF($A842&gt;BOTT_C4,ROUND(BASE_C4+RATE_C4*($A842-BOTT_C4),0),IF($A842&gt;BOTT_C3,ROUND(BASE_C3+RATE_C3*($A842-BOTT_C3),0),IF($A842&gt;BOTT_C2,ROUND(BASE_C2+RATE_C2*($A842-BOTT_C2),0),ROUND(RATE_C1*$A842,0))))</f>
        <v/>
      </c>
      <c r="G842" s="556">
        <f>IF($A842&gt;BOTT_D4,ROUND(BASE_D4+RATE_D4*($A842-BOTT_D4),0),IF($A842&gt;BOTT_D3,ROUND(BASE_D3+RATE_D3*($A842-BOTT_D3),0),IF($A842&gt;BOTT_D2,ROUND(BASE_D2+RATE_D2*($A842-BOTT_D2),0),ROUND(RATE_D1*$A842,0))))</f>
        <v/>
      </c>
    </row>
    <row r="843" ht="15.75" customHeight="1" s="7635">
      <c r="A843" s="625">
        <f>AVERAGE(B843,C843)</f>
        <v/>
      </c>
      <c r="B843" s="555" t="n">
        <v>38950</v>
      </c>
      <c r="C843" s="555" t="n">
        <v>39000</v>
      </c>
      <c r="D843" s="556">
        <f>IF($A843&gt;BOTT_A4,ROUND(BASE_A4+RATE_A4*($A843-BOTT_A4),0),IF($A843&gt;BOTT_A3,ROUND(BASE_A3+RATE_A3*($A843-BOTT_A3),0),IF($A843&gt;BOTT_A2,ROUND(BASE_A2+RATE_A2*($A843-BOTT_A2),0),ROUND(RATE_A1*$A843,0))))</f>
        <v/>
      </c>
      <c r="E843" s="556">
        <f>IF($A843&gt;BOTT_B4,ROUND(BASE_B4+RATE_B4*($A843-BOTT_B4),0),IF($A843&gt;BOTT_B3,ROUND(BASE_B3+RATE_B3*($A843-BOTT_B3),0),IF($A843&gt;BOTT_B2,ROUND(BASE_B2+RATE_B2*($A843-BOTT_B2),0),ROUND(RATE_B1*$A843,0))))</f>
        <v/>
      </c>
      <c r="F843" s="556">
        <f>IF($A843&gt;BOTT_C4,ROUND(BASE_C4+RATE_C4*($A843-BOTT_C4),0),IF($A843&gt;BOTT_C3,ROUND(BASE_C3+RATE_C3*($A843-BOTT_C3),0),IF($A843&gt;BOTT_C2,ROUND(BASE_C2+RATE_C2*($A843-BOTT_C2),0),ROUND(RATE_C1*$A843,0))))</f>
        <v/>
      </c>
      <c r="G843" s="556">
        <f>IF($A843&gt;BOTT_D4,ROUND(BASE_D4+RATE_D4*($A843-BOTT_D4),0),IF($A843&gt;BOTT_D3,ROUND(BASE_D3+RATE_D3*($A843-BOTT_D3),0),IF($A843&gt;BOTT_D2,ROUND(BASE_D2+RATE_D2*($A843-BOTT_D2),0),ROUND(RATE_D1*$A843,0))))</f>
        <v/>
      </c>
    </row>
    <row r="844" ht="15.75" customHeight="1" s="7635">
      <c r="A844" s="625">
        <f>AVERAGE(B844,C844)</f>
        <v/>
      </c>
      <c r="B844" s="555" t="n">
        <v>39000</v>
      </c>
      <c r="C844" s="555" t="n">
        <v>39050</v>
      </c>
      <c r="D844" s="556">
        <f>IF($A844&gt;BOTT_A4,ROUND(BASE_A4+RATE_A4*($A844-BOTT_A4),0),IF($A844&gt;BOTT_A3,ROUND(BASE_A3+RATE_A3*($A844-BOTT_A3),0),IF($A844&gt;BOTT_A2,ROUND(BASE_A2+RATE_A2*($A844-BOTT_A2),0),ROUND(RATE_A1*$A844,0))))</f>
        <v/>
      </c>
      <c r="E844" s="556">
        <f>IF($A844&gt;BOTT_B4,ROUND(BASE_B4+RATE_B4*($A844-BOTT_B4),0),IF($A844&gt;BOTT_B3,ROUND(BASE_B3+RATE_B3*($A844-BOTT_B3),0),IF($A844&gt;BOTT_B2,ROUND(BASE_B2+RATE_B2*($A844-BOTT_B2),0),ROUND(RATE_B1*$A844,0))))</f>
        <v/>
      </c>
      <c r="F844" s="556">
        <f>IF($A844&gt;BOTT_C4,ROUND(BASE_C4+RATE_C4*($A844-BOTT_C4),0),IF($A844&gt;BOTT_C3,ROUND(BASE_C3+RATE_C3*($A844-BOTT_C3),0),IF($A844&gt;BOTT_C2,ROUND(BASE_C2+RATE_C2*($A844-BOTT_C2),0),ROUND(RATE_C1*$A844,0))))</f>
        <v/>
      </c>
      <c r="G844" s="556">
        <f>IF($A844&gt;BOTT_D4,ROUND(BASE_D4+RATE_D4*($A844-BOTT_D4),0),IF($A844&gt;BOTT_D3,ROUND(BASE_D3+RATE_D3*($A844-BOTT_D3),0),IF($A844&gt;BOTT_D2,ROUND(BASE_D2+RATE_D2*($A844-BOTT_D2),0),ROUND(RATE_D1*$A844,0))))</f>
        <v/>
      </c>
    </row>
    <row r="845" ht="15.75" customHeight="1" s="7635">
      <c r="A845" s="625">
        <f>AVERAGE(B845,C845)</f>
        <v/>
      </c>
      <c r="B845" s="555" t="n">
        <v>39050</v>
      </c>
      <c r="C845" s="555" t="n">
        <v>39100</v>
      </c>
      <c r="D845" s="556">
        <f>IF($A845&gt;BOTT_A4,ROUND(BASE_A4+RATE_A4*($A845-BOTT_A4),0),IF($A845&gt;BOTT_A3,ROUND(BASE_A3+RATE_A3*($A845-BOTT_A3),0),IF($A845&gt;BOTT_A2,ROUND(BASE_A2+RATE_A2*($A845-BOTT_A2),0),ROUND(RATE_A1*$A845,0))))</f>
        <v/>
      </c>
      <c r="E845" s="556">
        <f>IF($A845&gt;BOTT_B4,ROUND(BASE_B4+RATE_B4*($A845-BOTT_B4),0),IF($A845&gt;BOTT_B3,ROUND(BASE_B3+RATE_B3*($A845-BOTT_B3),0),IF($A845&gt;BOTT_B2,ROUND(BASE_B2+RATE_B2*($A845-BOTT_B2),0),ROUND(RATE_B1*$A845,0))))</f>
        <v/>
      </c>
      <c r="F845" s="556">
        <f>IF($A845&gt;BOTT_C4,ROUND(BASE_C4+RATE_C4*($A845-BOTT_C4),0),IF($A845&gt;BOTT_C3,ROUND(BASE_C3+RATE_C3*($A845-BOTT_C3),0),IF($A845&gt;BOTT_C2,ROUND(BASE_C2+RATE_C2*($A845-BOTT_C2),0),ROUND(RATE_C1*$A845,0))))</f>
        <v/>
      </c>
      <c r="G845" s="556">
        <f>IF($A845&gt;BOTT_D4,ROUND(BASE_D4+RATE_D4*($A845-BOTT_D4),0),IF($A845&gt;BOTT_D3,ROUND(BASE_D3+RATE_D3*($A845-BOTT_D3),0),IF($A845&gt;BOTT_D2,ROUND(BASE_D2+RATE_D2*($A845-BOTT_D2),0),ROUND(RATE_D1*$A845,0))))</f>
        <v/>
      </c>
    </row>
    <row r="846" ht="15.75" customHeight="1" s="7635">
      <c r="A846" s="625">
        <f>AVERAGE(B846,C846)</f>
        <v/>
      </c>
      <c r="B846" s="555" t="n">
        <v>39100</v>
      </c>
      <c r="C846" s="555" t="n">
        <v>39150</v>
      </c>
      <c r="D846" s="556">
        <f>IF($A846&gt;BOTT_A4,ROUND(BASE_A4+RATE_A4*($A846-BOTT_A4),0),IF($A846&gt;BOTT_A3,ROUND(BASE_A3+RATE_A3*($A846-BOTT_A3),0),IF($A846&gt;BOTT_A2,ROUND(BASE_A2+RATE_A2*($A846-BOTT_A2),0),ROUND(RATE_A1*$A846,0))))</f>
        <v/>
      </c>
      <c r="E846" s="556">
        <f>IF($A846&gt;BOTT_B4,ROUND(BASE_B4+RATE_B4*($A846-BOTT_B4),0),IF($A846&gt;BOTT_B3,ROUND(BASE_B3+RATE_B3*($A846-BOTT_B3),0),IF($A846&gt;BOTT_B2,ROUND(BASE_B2+RATE_B2*($A846-BOTT_B2),0),ROUND(RATE_B1*$A846,0))))</f>
        <v/>
      </c>
      <c r="F846" s="556">
        <f>IF($A846&gt;BOTT_C4,ROUND(BASE_C4+RATE_C4*($A846-BOTT_C4),0),IF($A846&gt;BOTT_C3,ROUND(BASE_C3+RATE_C3*($A846-BOTT_C3),0),IF($A846&gt;BOTT_C2,ROUND(BASE_C2+RATE_C2*($A846-BOTT_C2),0),ROUND(RATE_C1*$A846,0))))</f>
        <v/>
      </c>
      <c r="G846" s="556">
        <f>IF($A846&gt;BOTT_D4,ROUND(BASE_D4+RATE_D4*($A846-BOTT_D4),0),IF($A846&gt;BOTT_D3,ROUND(BASE_D3+RATE_D3*($A846-BOTT_D3),0),IF($A846&gt;BOTT_D2,ROUND(BASE_D2+RATE_D2*($A846-BOTT_D2),0),ROUND(RATE_D1*$A846,0))))</f>
        <v/>
      </c>
    </row>
    <row r="847" ht="15.75" customHeight="1" s="7635">
      <c r="A847" s="625">
        <f>AVERAGE(B847,C847)</f>
        <v/>
      </c>
      <c r="B847" s="555" t="n">
        <v>39150</v>
      </c>
      <c r="C847" s="555" t="n">
        <v>39200</v>
      </c>
      <c r="D847" s="556">
        <f>IF($A847&gt;BOTT_A4,ROUND(BASE_A4+RATE_A4*($A847-BOTT_A4),0),IF($A847&gt;BOTT_A3,ROUND(BASE_A3+RATE_A3*($A847-BOTT_A3),0),IF($A847&gt;BOTT_A2,ROUND(BASE_A2+RATE_A2*($A847-BOTT_A2),0),ROUND(RATE_A1*$A847,0))))</f>
        <v/>
      </c>
      <c r="E847" s="556">
        <f>IF($A847&gt;BOTT_B4,ROUND(BASE_B4+RATE_B4*($A847-BOTT_B4),0),IF($A847&gt;BOTT_B3,ROUND(BASE_B3+RATE_B3*($A847-BOTT_B3),0),IF($A847&gt;BOTT_B2,ROUND(BASE_B2+RATE_B2*($A847-BOTT_B2),0),ROUND(RATE_B1*$A847,0))))</f>
        <v/>
      </c>
      <c r="F847" s="556">
        <f>IF($A847&gt;BOTT_C4,ROUND(BASE_C4+RATE_C4*($A847-BOTT_C4),0),IF($A847&gt;BOTT_C3,ROUND(BASE_C3+RATE_C3*($A847-BOTT_C3),0),IF($A847&gt;BOTT_C2,ROUND(BASE_C2+RATE_C2*($A847-BOTT_C2),0),ROUND(RATE_C1*$A847,0))))</f>
        <v/>
      </c>
      <c r="G847" s="556">
        <f>IF($A847&gt;BOTT_D4,ROUND(BASE_D4+RATE_D4*($A847-BOTT_D4),0),IF($A847&gt;BOTT_D3,ROUND(BASE_D3+RATE_D3*($A847-BOTT_D3),0),IF($A847&gt;BOTT_D2,ROUND(BASE_D2+RATE_D2*($A847-BOTT_D2),0),ROUND(RATE_D1*$A847,0))))</f>
        <v/>
      </c>
    </row>
    <row r="848" ht="15.75" customHeight="1" s="7635">
      <c r="A848" s="625">
        <f>AVERAGE(B848,C848)</f>
        <v/>
      </c>
      <c r="B848" s="555" t="n">
        <v>39200</v>
      </c>
      <c r="C848" s="555" t="n">
        <v>39250</v>
      </c>
      <c r="D848" s="556">
        <f>IF($A848&gt;BOTT_A4,ROUND(BASE_A4+RATE_A4*($A848-BOTT_A4),0),IF($A848&gt;BOTT_A3,ROUND(BASE_A3+RATE_A3*($A848-BOTT_A3),0),IF($A848&gt;BOTT_A2,ROUND(BASE_A2+RATE_A2*($A848-BOTT_A2),0),ROUND(RATE_A1*$A848,0))))</f>
        <v/>
      </c>
      <c r="E848" s="556">
        <f>IF($A848&gt;BOTT_B4,ROUND(BASE_B4+RATE_B4*($A848-BOTT_B4),0),IF($A848&gt;BOTT_B3,ROUND(BASE_B3+RATE_B3*($A848-BOTT_B3),0),IF($A848&gt;BOTT_B2,ROUND(BASE_B2+RATE_B2*($A848-BOTT_B2),0),ROUND(RATE_B1*$A848,0))))</f>
        <v/>
      </c>
      <c r="F848" s="556">
        <f>IF($A848&gt;BOTT_C4,ROUND(BASE_C4+RATE_C4*($A848-BOTT_C4),0),IF($A848&gt;BOTT_C3,ROUND(BASE_C3+RATE_C3*($A848-BOTT_C3),0),IF($A848&gt;BOTT_C2,ROUND(BASE_C2+RATE_C2*($A848-BOTT_C2),0),ROUND(RATE_C1*$A848,0))))</f>
        <v/>
      </c>
      <c r="G848" s="556">
        <f>IF($A848&gt;BOTT_D4,ROUND(BASE_D4+RATE_D4*($A848-BOTT_D4),0),IF($A848&gt;BOTT_D3,ROUND(BASE_D3+RATE_D3*($A848-BOTT_D3),0),IF($A848&gt;BOTT_D2,ROUND(BASE_D2+RATE_D2*($A848-BOTT_D2),0),ROUND(RATE_D1*$A848,0))))</f>
        <v/>
      </c>
    </row>
    <row r="849" ht="15.75" customHeight="1" s="7635">
      <c r="A849" s="625">
        <f>AVERAGE(B849,C849)</f>
        <v/>
      </c>
      <c r="B849" s="555" t="n">
        <v>39250</v>
      </c>
      <c r="C849" s="555" t="n">
        <v>39300</v>
      </c>
      <c r="D849" s="556">
        <f>IF($A849&gt;BOTT_A4,ROUND(BASE_A4+RATE_A4*($A849-BOTT_A4),0),IF($A849&gt;BOTT_A3,ROUND(BASE_A3+RATE_A3*($A849-BOTT_A3),0),IF($A849&gt;BOTT_A2,ROUND(BASE_A2+RATE_A2*($A849-BOTT_A2),0),ROUND(RATE_A1*$A849,0))))</f>
        <v/>
      </c>
      <c r="E849" s="556">
        <f>IF($A849&gt;BOTT_B4,ROUND(BASE_B4+RATE_B4*($A849-BOTT_B4),0),IF($A849&gt;BOTT_B3,ROUND(BASE_B3+RATE_B3*($A849-BOTT_B3),0),IF($A849&gt;BOTT_B2,ROUND(BASE_B2+RATE_B2*($A849-BOTT_B2),0),ROUND(RATE_B1*$A849,0))))</f>
        <v/>
      </c>
      <c r="F849" s="556">
        <f>IF($A849&gt;BOTT_C4,ROUND(BASE_C4+RATE_C4*($A849-BOTT_C4),0),IF($A849&gt;BOTT_C3,ROUND(BASE_C3+RATE_C3*($A849-BOTT_C3),0),IF($A849&gt;BOTT_C2,ROUND(BASE_C2+RATE_C2*($A849-BOTT_C2),0),ROUND(RATE_C1*$A849,0))))</f>
        <v/>
      </c>
      <c r="G849" s="556">
        <f>IF($A849&gt;BOTT_D4,ROUND(BASE_D4+RATE_D4*($A849-BOTT_D4),0),IF($A849&gt;BOTT_D3,ROUND(BASE_D3+RATE_D3*($A849-BOTT_D3),0),IF($A849&gt;BOTT_D2,ROUND(BASE_D2+RATE_D2*($A849-BOTT_D2),0),ROUND(RATE_D1*$A849,0))))</f>
        <v/>
      </c>
    </row>
    <row r="850" ht="15.75" customHeight="1" s="7635">
      <c r="A850" s="625">
        <f>AVERAGE(B850,C850)</f>
        <v/>
      </c>
      <c r="B850" s="555" t="n">
        <v>39300</v>
      </c>
      <c r="C850" s="555" t="n">
        <v>39350</v>
      </c>
      <c r="D850" s="556">
        <f>IF($A850&gt;BOTT_A4,ROUND(BASE_A4+RATE_A4*($A850-BOTT_A4),0),IF($A850&gt;BOTT_A3,ROUND(BASE_A3+RATE_A3*($A850-BOTT_A3),0),IF($A850&gt;BOTT_A2,ROUND(BASE_A2+RATE_A2*($A850-BOTT_A2),0),ROUND(RATE_A1*$A850,0))))</f>
        <v/>
      </c>
      <c r="E850" s="556">
        <f>IF($A850&gt;BOTT_B4,ROUND(BASE_B4+RATE_B4*($A850-BOTT_B4),0),IF($A850&gt;BOTT_B3,ROUND(BASE_B3+RATE_B3*($A850-BOTT_B3),0),IF($A850&gt;BOTT_B2,ROUND(BASE_B2+RATE_B2*($A850-BOTT_B2),0),ROUND(RATE_B1*$A850,0))))</f>
        <v/>
      </c>
      <c r="F850" s="556">
        <f>IF($A850&gt;BOTT_C4,ROUND(BASE_C4+RATE_C4*($A850-BOTT_C4),0),IF($A850&gt;BOTT_C3,ROUND(BASE_C3+RATE_C3*($A850-BOTT_C3),0),IF($A850&gt;BOTT_C2,ROUND(BASE_C2+RATE_C2*($A850-BOTT_C2),0),ROUND(RATE_C1*$A850,0))))</f>
        <v/>
      </c>
      <c r="G850" s="556">
        <f>IF($A850&gt;BOTT_D4,ROUND(BASE_D4+RATE_D4*($A850-BOTT_D4),0),IF($A850&gt;BOTT_D3,ROUND(BASE_D3+RATE_D3*($A850-BOTT_D3),0),IF($A850&gt;BOTT_D2,ROUND(BASE_D2+RATE_D2*($A850-BOTT_D2),0),ROUND(RATE_D1*$A850,0))))</f>
        <v/>
      </c>
    </row>
    <row r="851" ht="15.75" customHeight="1" s="7635">
      <c r="A851" s="625">
        <f>AVERAGE(B851,C851)</f>
        <v/>
      </c>
      <c r="B851" s="555" t="n">
        <v>39350</v>
      </c>
      <c r="C851" s="555" t="n">
        <v>39400</v>
      </c>
      <c r="D851" s="556">
        <f>IF($A851&gt;BOTT_A4,ROUND(BASE_A4+RATE_A4*($A851-BOTT_A4),0),IF($A851&gt;BOTT_A3,ROUND(BASE_A3+RATE_A3*($A851-BOTT_A3),0),IF($A851&gt;BOTT_A2,ROUND(BASE_A2+RATE_A2*($A851-BOTT_A2),0),ROUND(RATE_A1*$A851,0))))</f>
        <v/>
      </c>
      <c r="E851" s="556">
        <f>IF($A851&gt;BOTT_B4,ROUND(BASE_B4+RATE_B4*($A851-BOTT_B4),0),IF($A851&gt;BOTT_B3,ROUND(BASE_B3+RATE_B3*($A851-BOTT_B3),0),IF($A851&gt;BOTT_B2,ROUND(BASE_B2+RATE_B2*($A851-BOTT_B2),0),ROUND(RATE_B1*$A851,0))))</f>
        <v/>
      </c>
      <c r="F851" s="556">
        <f>IF($A851&gt;BOTT_C4,ROUND(BASE_C4+RATE_C4*($A851-BOTT_C4),0),IF($A851&gt;BOTT_C3,ROUND(BASE_C3+RATE_C3*($A851-BOTT_C3),0),IF($A851&gt;BOTT_C2,ROUND(BASE_C2+RATE_C2*($A851-BOTT_C2),0),ROUND(RATE_C1*$A851,0))))</f>
        <v/>
      </c>
      <c r="G851" s="556">
        <f>IF($A851&gt;BOTT_D4,ROUND(BASE_D4+RATE_D4*($A851-BOTT_D4),0),IF($A851&gt;BOTT_D3,ROUND(BASE_D3+RATE_D3*($A851-BOTT_D3),0),IF($A851&gt;BOTT_D2,ROUND(BASE_D2+RATE_D2*($A851-BOTT_D2),0),ROUND(RATE_D1*$A851,0))))</f>
        <v/>
      </c>
    </row>
    <row r="852" ht="15.75" customHeight="1" s="7635">
      <c r="A852" s="625">
        <f>AVERAGE(B852,C852)</f>
        <v/>
      </c>
      <c r="B852" s="555" t="n">
        <v>39400</v>
      </c>
      <c r="C852" s="555" t="n">
        <v>39450</v>
      </c>
      <c r="D852" s="556">
        <f>IF($A852&gt;BOTT_A4,ROUND(BASE_A4+RATE_A4*($A852-BOTT_A4),0),IF($A852&gt;BOTT_A3,ROUND(BASE_A3+RATE_A3*($A852-BOTT_A3),0),IF($A852&gt;BOTT_A2,ROUND(BASE_A2+RATE_A2*($A852-BOTT_A2),0),ROUND(RATE_A1*$A852,0))))</f>
        <v/>
      </c>
      <c r="E852" s="556">
        <f>IF($A852&gt;BOTT_B4,ROUND(BASE_B4+RATE_B4*($A852-BOTT_B4),0),IF($A852&gt;BOTT_B3,ROUND(BASE_B3+RATE_B3*($A852-BOTT_B3),0),IF($A852&gt;BOTT_B2,ROUND(BASE_B2+RATE_B2*($A852-BOTT_B2),0),ROUND(RATE_B1*$A852,0))))</f>
        <v/>
      </c>
      <c r="F852" s="556">
        <f>IF($A852&gt;BOTT_C4,ROUND(BASE_C4+RATE_C4*($A852-BOTT_C4),0),IF($A852&gt;BOTT_C3,ROUND(BASE_C3+RATE_C3*($A852-BOTT_C3),0),IF($A852&gt;BOTT_C2,ROUND(BASE_C2+RATE_C2*($A852-BOTT_C2),0),ROUND(RATE_C1*$A852,0))))</f>
        <v/>
      </c>
      <c r="G852" s="556">
        <f>IF($A852&gt;BOTT_D4,ROUND(BASE_D4+RATE_D4*($A852-BOTT_D4),0),IF($A852&gt;BOTT_D3,ROUND(BASE_D3+RATE_D3*($A852-BOTT_D3),0),IF($A852&gt;BOTT_D2,ROUND(BASE_D2+RATE_D2*($A852-BOTT_D2),0),ROUND(RATE_D1*$A852,0))))</f>
        <v/>
      </c>
    </row>
    <row r="853" ht="15.75" customHeight="1" s="7635">
      <c r="A853" s="625">
        <f>AVERAGE(B853,C853)</f>
        <v/>
      </c>
      <c r="B853" s="555" t="n">
        <v>39450</v>
      </c>
      <c r="C853" s="555" t="n">
        <v>39500</v>
      </c>
      <c r="D853" s="556">
        <f>IF($A853&gt;BOTT_A4,ROUND(BASE_A4+RATE_A4*($A853-BOTT_A4),0),IF($A853&gt;BOTT_A3,ROUND(BASE_A3+RATE_A3*($A853-BOTT_A3),0),IF($A853&gt;BOTT_A2,ROUND(BASE_A2+RATE_A2*($A853-BOTT_A2),0),ROUND(RATE_A1*$A853,0))))</f>
        <v/>
      </c>
      <c r="E853" s="556">
        <f>IF($A853&gt;BOTT_B4,ROUND(BASE_B4+RATE_B4*($A853-BOTT_B4),0),IF($A853&gt;BOTT_B3,ROUND(BASE_B3+RATE_B3*($A853-BOTT_B3),0),IF($A853&gt;BOTT_B2,ROUND(BASE_B2+RATE_B2*($A853-BOTT_B2),0),ROUND(RATE_B1*$A853,0))))</f>
        <v/>
      </c>
      <c r="F853" s="556">
        <f>IF($A853&gt;BOTT_C4,ROUND(BASE_C4+RATE_C4*($A853-BOTT_C4),0),IF($A853&gt;BOTT_C3,ROUND(BASE_C3+RATE_C3*($A853-BOTT_C3),0),IF($A853&gt;BOTT_C2,ROUND(BASE_C2+RATE_C2*($A853-BOTT_C2),0),ROUND(RATE_C1*$A853,0))))</f>
        <v/>
      </c>
      <c r="G853" s="556">
        <f>IF($A853&gt;BOTT_D4,ROUND(BASE_D4+RATE_D4*($A853-BOTT_D4),0),IF($A853&gt;BOTT_D3,ROUND(BASE_D3+RATE_D3*($A853-BOTT_D3),0),IF($A853&gt;BOTT_D2,ROUND(BASE_D2+RATE_D2*($A853-BOTT_D2),0),ROUND(RATE_D1*$A853,0))))</f>
        <v/>
      </c>
    </row>
    <row r="854" ht="15.75" customHeight="1" s="7635">
      <c r="A854" s="625">
        <f>AVERAGE(B854,C854)</f>
        <v/>
      </c>
      <c r="B854" s="555" t="n">
        <v>39500</v>
      </c>
      <c r="C854" s="555" t="n">
        <v>39550</v>
      </c>
      <c r="D854" s="556">
        <f>IF($A854&gt;BOTT_A4,ROUND(BASE_A4+RATE_A4*($A854-BOTT_A4),0),IF($A854&gt;BOTT_A3,ROUND(BASE_A3+RATE_A3*($A854-BOTT_A3),0),IF($A854&gt;BOTT_A2,ROUND(BASE_A2+RATE_A2*($A854-BOTT_A2),0),ROUND(RATE_A1*$A854,0))))</f>
        <v/>
      </c>
      <c r="E854" s="556">
        <f>IF($A854&gt;BOTT_B4,ROUND(BASE_B4+RATE_B4*($A854-BOTT_B4),0),IF($A854&gt;BOTT_B3,ROUND(BASE_B3+RATE_B3*($A854-BOTT_B3),0),IF($A854&gt;BOTT_B2,ROUND(BASE_B2+RATE_B2*($A854-BOTT_B2),0),ROUND(RATE_B1*$A854,0))))</f>
        <v/>
      </c>
      <c r="F854" s="556">
        <f>IF($A854&gt;BOTT_C4,ROUND(BASE_C4+RATE_C4*($A854-BOTT_C4),0),IF($A854&gt;BOTT_C3,ROUND(BASE_C3+RATE_C3*($A854-BOTT_C3),0),IF($A854&gt;BOTT_C2,ROUND(BASE_C2+RATE_C2*($A854-BOTT_C2),0),ROUND(RATE_C1*$A854,0))))</f>
        <v/>
      </c>
      <c r="G854" s="556">
        <f>IF($A854&gt;BOTT_D4,ROUND(BASE_D4+RATE_D4*($A854-BOTT_D4),0),IF($A854&gt;BOTT_D3,ROUND(BASE_D3+RATE_D3*($A854-BOTT_D3),0),IF($A854&gt;BOTT_D2,ROUND(BASE_D2+RATE_D2*($A854-BOTT_D2),0),ROUND(RATE_D1*$A854,0))))</f>
        <v/>
      </c>
    </row>
    <row r="855" ht="15.75" customHeight="1" s="7635">
      <c r="A855" s="625">
        <f>AVERAGE(B855,C855)</f>
        <v/>
      </c>
      <c r="B855" s="555" t="n">
        <v>39550</v>
      </c>
      <c r="C855" s="555" t="n">
        <v>39600</v>
      </c>
      <c r="D855" s="556">
        <f>IF($A855&gt;BOTT_A4,ROUND(BASE_A4+RATE_A4*($A855-BOTT_A4),0),IF($A855&gt;BOTT_A3,ROUND(BASE_A3+RATE_A3*($A855-BOTT_A3),0),IF($A855&gt;BOTT_A2,ROUND(BASE_A2+RATE_A2*($A855-BOTT_A2),0),ROUND(RATE_A1*$A855,0))))</f>
        <v/>
      </c>
      <c r="E855" s="556">
        <f>IF($A855&gt;BOTT_B4,ROUND(BASE_B4+RATE_B4*($A855-BOTT_B4),0),IF($A855&gt;BOTT_B3,ROUND(BASE_B3+RATE_B3*($A855-BOTT_B3),0),IF($A855&gt;BOTT_B2,ROUND(BASE_B2+RATE_B2*($A855-BOTT_B2),0),ROUND(RATE_B1*$A855,0))))</f>
        <v/>
      </c>
      <c r="F855" s="556">
        <f>IF($A855&gt;BOTT_C4,ROUND(BASE_C4+RATE_C4*($A855-BOTT_C4),0),IF($A855&gt;BOTT_C3,ROUND(BASE_C3+RATE_C3*($A855-BOTT_C3),0),IF($A855&gt;BOTT_C2,ROUND(BASE_C2+RATE_C2*($A855-BOTT_C2),0),ROUND(RATE_C1*$A855,0))))</f>
        <v/>
      </c>
      <c r="G855" s="556">
        <f>IF($A855&gt;BOTT_D4,ROUND(BASE_D4+RATE_D4*($A855-BOTT_D4),0),IF($A855&gt;BOTT_D3,ROUND(BASE_D3+RATE_D3*($A855-BOTT_D3),0),IF($A855&gt;BOTT_D2,ROUND(BASE_D2+RATE_D2*($A855-BOTT_D2),0),ROUND(RATE_D1*$A855,0))))</f>
        <v/>
      </c>
    </row>
    <row r="856" ht="15.75" customHeight="1" s="7635">
      <c r="A856" s="625">
        <f>AVERAGE(B856,C856)</f>
        <v/>
      </c>
      <c r="B856" s="555" t="n">
        <v>39600</v>
      </c>
      <c r="C856" s="555" t="n">
        <v>39650</v>
      </c>
      <c r="D856" s="556">
        <f>IF($A856&gt;BOTT_A4,ROUND(BASE_A4+RATE_A4*($A856-BOTT_A4),0),IF($A856&gt;BOTT_A3,ROUND(BASE_A3+RATE_A3*($A856-BOTT_A3),0),IF($A856&gt;BOTT_A2,ROUND(BASE_A2+RATE_A2*($A856-BOTT_A2),0),ROUND(RATE_A1*$A856,0))))</f>
        <v/>
      </c>
      <c r="E856" s="556">
        <f>IF($A856&gt;BOTT_B4,ROUND(BASE_B4+RATE_B4*($A856-BOTT_B4),0),IF($A856&gt;BOTT_B3,ROUND(BASE_B3+RATE_B3*($A856-BOTT_B3),0),IF($A856&gt;BOTT_B2,ROUND(BASE_B2+RATE_B2*($A856-BOTT_B2),0),ROUND(RATE_B1*$A856,0))))</f>
        <v/>
      </c>
      <c r="F856" s="556">
        <f>IF($A856&gt;BOTT_C4,ROUND(BASE_C4+RATE_C4*($A856-BOTT_C4),0),IF($A856&gt;BOTT_C3,ROUND(BASE_C3+RATE_C3*($A856-BOTT_C3),0),IF($A856&gt;BOTT_C2,ROUND(BASE_C2+RATE_C2*($A856-BOTT_C2),0),ROUND(RATE_C1*$A856,0))))</f>
        <v/>
      </c>
      <c r="G856" s="556">
        <f>IF($A856&gt;BOTT_D4,ROUND(BASE_D4+RATE_D4*($A856-BOTT_D4),0),IF($A856&gt;BOTT_D3,ROUND(BASE_D3+RATE_D3*($A856-BOTT_D3),0),IF($A856&gt;BOTT_D2,ROUND(BASE_D2+RATE_D2*($A856-BOTT_D2),0),ROUND(RATE_D1*$A856,0))))</f>
        <v/>
      </c>
    </row>
    <row r="857" ht="15.75" customHeight="1" s="7635">
      <c r="A857" s="625">
        <f>AVERAGE(B857,C857)</f>
        <v/>
      </c>
      <c r="B857" s="555" t="n">
        <v>39650</v>
      </c>
      <c r="C857" s="555" t="n">
        <v>39700</v>
      </c>
      <c r="D857" s="556">
        <f>IF($A857&gt;BOTT_A4,ROUND(BASE_A4+RATE_A4*($A857-BOTT_A4),0),IF($A857&gt;BOTT_A3,ROUND(BASE_A3+RATE_A3*($A857-BOTT_A3),0),IF($A857&gt;BOTT_A2,ROUND(BASE_A2+RATE_A2*($A857-BOTT_A2),0),ROUND(RATE_A1*$A857,0))))</f>
        <v/>
      </c>
      <c r="E857" s="556">
        <f>IF($A857&gt;BOTT_B4,ROUND(BASE_B4+RATE_B4*($A857-BOTT_B4),0),IF($A857&gt;BOTT_B3,ROUND(BASE_B3+RATE_B3*($A857-BOTT_B3),0),IF($A857&gt;BOTT_B2,ROUND(BASE_B2+RATE_B2*($A857-BOTT_B2),0),ROUND(RATE_B1*$A857,0))))</f>
        <v/>
      </c>
      <c r="F857" s="556">
        <f>IF($A857&gt;BOTT_C4,ROUND(BASE_C4+RATE_C4*($A857-BOTT_C4),0),IF($A857&gt;BOTT_C3,ROUND(BASE_C3+RATE_C3*($A857-BOTT_C3),0),IF($A857&gt;BOTT_C2,ROUND(BASE_C2+RATE_C2*($A857-BOTT_C2),0),ROUND(RATE_C1*$A857,0))))</f>
        <v/>
      </c>
      <c r="G857" s="556">
        <f>IF($A857&gt;BOTT_D4,ROUND(BASE_D4+RATE_D4*($A857-BOTT_D4),0),IF($A857&gt;BOTT_D3,ROUND(BASE_D3+RATE_D3*($A857-BOTT_D3),0),IF($A857&gt;BOTT_D2,ROUND(BASE_D2+RATE_D2*($A857-BOTT_D2),0),ROUND(RATE_D1*$A857,0))))</f>
        <v/>
      </c>
    </row>
    <row r="858" ht="15.75" customHeight="1" s="7635">
      <c r="A858" s="625">
        <f>AVERAGE(B858,C858)</f>
        <v/>
      </c>
      <c r="B858" s="555" t="n">
        <v>39700</v>
      </c>
      <c r="C858" s="555" t="n">
        <v>39750</v>
      </c>
      <c r="D858" s="556">
        <f>IF($A858&gt;BOTT_A4,ROUND(BASE_A4+RATE_A4*($A858-BOTT_A4),0),IF($A858&gt;BOTT_A3,ROUND(BASE_A3+RATE_A3*($A858-BOTT_A3),0),IF($A858&gt;BOTT_A2,ROUND(BASE_A2+RATE_A2*($A858-BOTT_A2),0),ROUND(RATE_A1*$A858,0))))</f>
        <v/>
      </c>
      <c r="E858" s="556">
        <f>IF($A858&gt;BOTT_B4,ROUND(BASE_B4+RATE_B4*($A858-BOTT_B4),0),IF($A858&gt;BOTT_B3,ROUND(BASE_B3+RATE_B3*($A858-BOTT_B3),0),IF($A858&gt;BOTT_B2,ROUND(BASE_B2+RATE_B2*($A858-BOTT_B2),0),ROUND(RATE_B1*$A858,0))))</f>
        <v/>
      </c>
      <c r="F858" s="556">
        <f>IF($A858&gt;BOTT_C4,ROUND(BASE_C4+RATE_C4*($A858-BOTT_C4),0),IF($A858&gt;BOTT_C3,ROUND(BASE_C3+RATE_C3*($A858-BOTT_C3),0),IF($A858&gt;BOTT_C2,ROUND(BASE_C2+RATE_C2*($A858-BOTT_C2),0),ROUND(RATE_C1*$A858,0))))</f>
        <v/>
      </c>
      <c r="G858" s="556">
        <f>IF($A858&gt;BOTT_D4,ROUND(BASE_D4+RATE_D4*($A858-BOTT_D4),0),IF($A858&gt;BOTT_D3,ROUND(BASE_D3+RATE_D3*($A858-BOTT_D3),0),IF($A858&gt;BOTT_D2,ROUND(BASE_D2+RATE_D2*($A858-BOTT_D2),0),ROUND(RATE_D1*$A858,0))))</f>
        <v/>
      </c>
    </row>
    <row r="859" ht="15.75" customHeight="1" s="7635">
      <c r="A859" s="625">
        <f>AVERAGE(B859,C859)</f>
        <v/>
      </c>
      <c r="B859" s="555" t="n">
        <v>39750</v>
      </c>
      <c r="C859" s="555" t="n">
        <v>39800</v>
      </c>
      <c r="D859" s="556">
        <f>IF($A859&gt;BOTT_A4,ROUND(BASE_A4+RATE_A4*($A859-BOTT_A4),0),IF($A859&gt;BOTT_A3,ROUND(BASE_A3+RATE_A3*($A859-BOTT_A3),0),IF($A859&gt;BOTT_A2,ROUND(BASE_A2+RATE_A2*($A859-BOTT_A2),0),ROUND(RATE_A1*$A859,0))))</f>
        <v/>
      </c>
      <c r="E859" s="556">
        <f>IF($A859&gt;BOTT_B4,ROUND(BASE_B4+RATE_B4*($A859-BOTT_B4),0),IF($A859&gt;BOTT_B3,ROUND(BASE_B3+RATE_B3*($A859-BOTT_B3),0),IF($A859&gt;BOTT_B2,ROUND(BASE_B2+RATE_B2*($A859-BOTT_B2),0),ROUND(RATE_B1*$A859,0))))</f>
        <v/>
      </c>
      <c r="F859" s="556">
        <f>IF($A859&gt;BOTT_C4,ROUND(BASE_C4+RATE_C4*($A859-BOTT_C4),0),IF($A859&gt;BOTT_C3,ROUND(BASE_C3+RATE_C3*($A859-BOTT_C3),0),IF($A859&gt;BOTT_C2,ROUND(BASE_C2+RATE_C2*($A859-BOTT_C2),0),ROUND(RATE_C1*$A859,0))))</f>
        <v/>
      </c>
      <c r="G859" s="556">
        <f>IF($A859&gt;BOTT_D4,ROUND(BASE_D4+RATE_D4*($A859-BOTT_D4),0),IF($A859&gt;BOTT_D3,ROUND(BASE_D3+RATE_D3*($A859-BOTT_D3),0),IF($A859&gt;BOTT_D2,ROUND(BASE_D2+RATE_D2*($A859-BOTT_D2),0),ROUND(RATE_D1*$A859,0))))</f>
        <v/>
      </c>
    </row>
    <row r="860" ht="15.75" customHeight="1" s="7635">
      <c r="A860" s="625">
        <f>AVERAGE(B860,C860)</f>
        <v/>
      </c>
      <c r="B860" s="555" t="n">
        <v>39800</v>
      </c>
      <c r="C860" s="555" t="n">
        <v>39850</v>
      </c>
      <c r="D860" s="556">
        <f>IF($A860&gt;BOTT_A4,ROUND(BASE_A4+RATE_A4*($A860-BOTT_A4),0),IF($A860&gt;BOTT_A3,ROUND(BASE_A3+RATE_A3*($A860-BOTT_A3),0),IF($A860&gt;BOTT_A2,ROUND(BASE_A2+RATE_A2*($A860-BOTT_A2),0),ROUND(RATE_A1*$A860,0))))</f>
        <v/>
      </c>
      <c r="E860" s="556">
        <f>IF($A860&gt;BOTT_B4,ROUND(BASE_B4+RATE_B4*($A860-BOTT_B4),0),IF($A860&gt;BOTT_B3,ROUND(BASE_B3+RATE_B3*($A860-BOTT_B3),0),IF($A860&gt;BOTT_B2,ROUND(BASE_B2+RATE_B2*($A860-BOTT_B2),0),ROUND(RATE_B1*$A860,0))))</f>
        <v/>
      </c>
      <c r="F860" s="556">
        <f>IF($A860&gt;BOTT_C4,ROUND(BASE_C4+RATE_C4*($A860-BOTT_C4),0),IF($A860&gt;BOTT_C3,ROUND(BASE_C3+RATE_C3*($A860-BOTT_C3),0),IF($A860&gt;BOTT_C2,ROUND(BASE_C2+RATE_C2*($A860-BOTT_C2),0),ROUND(RATE_C1*$A860,0))))</f>
        <v/>
      </c>
      <c r="G860" s="556">
        <f>IF($A860&gt;BOTT_D4,ROUND(BASE_D4+RATE_D4*($A860-BOTT_D4),0),IF($A860&gt;BOTT_D3,ROUND(BASE_D3+RATE_D3*($A860-BOTT_D3),0),IF($A860&gt;BOTT_D2,ROUND(BASE_D2+RATE_D2*($A860-BOTT_D2),0),ROUND(RATE_D1*$A860,0))))</f>
        <v/>
      </c>
    </row>
    <row r="861" ht="15.75" customHeight="1" s="7635">
      <c r="A861" s="625">
        <f>AVERAGE(B861,C861)</f>
        <v/>
      </c>
      <c r="B861" s="555" t="n">
        <v>39850</v>
      </c>
      <c r="C861" s="555" t="n">
        <v>39900</v>
      </c>
      <c r="D861" s="556">
        <f>IF($A861&gt;BOTT_A4,ROUND(BASE_A4+RATE_A4*($A861-BOTT_A4),0),IF($A861&gt;BOTT_A3,ROUND(BASE_A3+RATE_A3*($A861-BOTT_A3),0),IF($A861&gt;BOTT_A2,ROUND(BASE_A2+RATE_A2*($A861-BOTT_A2),0),ROUND(RATE_A1*$A861,0))))</f>
        <v/>
      </c>
      <c r="E861" s="556">
        <f>IF($A861&gt;BOTT_B4,ROUND(BASE_B4+RATE_B4*($A861-BOTT_B4),0),IF($A861&gt;BOTT_B3,ROUND(BASE_B3+RATE_B3*($A861-BOTT_B3),0),IF($A861&gt;BOTT_B2,ROUND(BASE_B2+RATE_B2*($A861-BOTT_B2),0),ROUND(RATE_B1*$A861,0))))</f>
        <v/>
      </c>
      <c r="F861" s="556">
        <f>IF($A861&gt;BOTT_C4,ROUND(BASE_C4+RATE_C4*($A861-BOTT_C4),0),IF($A861&gt;BOTT_C3,ROUND(BASE_C3+RATE_C3*($A861-BOTT_C3),0),IF($A861&gt;BOTT_C2,ROUND(BASE_C2+RATE_C2*($A861-BOTT_C2),0),ROUND(RATE_C1*$A861,0))))</f>
        <v/>
      </c>
      <c r="G861" s="556">
        <f>IF($A861&gt;BOTT_D4,ROUND(BASE_D4+RATE_D4*($A861-BOTT_D4),0),IF($A861&gt;BOTT_D3,ROUND(BASE_D3+RATE_D3*($A861-BOTT_D3),0),IF($A861&gt;BOTT_D2,ROUND(BASE_D2+RATE_D2*($A861-BOTT_D2),0),ROUND(RATE_D1*$A861,0))))</f>
        <v/>
      </c>
    </row>
    <row r="862" ht="15.75" customHeight="1" s="7635">
      <c r="A862" s="625">
        <f>AVERAGE(B862,C862)</f>
        <v/>
      </c>
      <c r="B862" s="555" t="n">
        <v>39900</v>
      </c>
      <c r="C862" s="555" t="n">
        <v>39950</v>
      </c>
      <c r="D862" s="556">
        <f>IF($A862&gt;BOTT_A4,ROUND(BASE_A4+RATE_A4*($A862-BOTT_A4),0),IF($A862&gt;BOTT_A3,ROUND(BASE_A3+RATE_A3*($A862-BOTT_A3),0),IF($A862&gt;BOTT_A2,ROUND(BASE_A2+RATE_A2*($A862-BOTT_A2),0),ROUND(RATE_A1*$A862,0))))</f>
        <v/>
      </c>
      <c r="E862" s="556">
        <f>IF($A862&gt;BOTT_B4,ROUND(BASE_B4+RATE_B4*($A862-BOTT_B4),0),IF($A862&gt;BOTT_B3,ROUND(BASE_B3+RATE_B3*($A862-BOTT_B3),0),IF($A862&gt;BOTT_B2,ROUND(BASE_B2+RATE_B2*($A862-BOTT_B2),0),ROUND(RATE_B1*$A862,0))))</f>
        <v/>
      </c>
      <c r="F862" s="556">
        <f>IF($A862&gt;BOTT_C4,ROUND(BASE_C4+RATE_C4*($A862-BOTT_C4),0),IF($A862&gt;BOTT_C3,ROUND(BASE_C3+RATE_C3*($A862-BOTT_C3),0),IF($A862&gt;BOTT_C2,ROUND(BASE_C2+RATE_C2*($A862-BOTT_C2),0),ROUND(RATE_C1*$A862,0))))</f>
        <v/>
      </c>
      <c r="G862" s="556">
        <f>IF($A862&gt;BOTT_D4,ROUND(BASE_D4+RATE_D4*($A862-BOTT_D4),0),IF($A862&gt;BOTT_D3,ROUND(BASE_D3+RATE_D3*($A862-BOTT_D3),0),IF($A862&gt;BOTT_D2,ROUND(BASE_D2+RATE_D2*($A862-BOTT_D2),0),ROUND(RATE_D1*$A862,0))))</f>
        <v/>
      </c>
    </row>
    <row r="863" ht="15.75" customHeight="1" s="7635">
      <c r="A863" s="625">
        <f>AVERAGE(B863,C863)</f>
        <v/>
      </c>
      <c r="B863" s="555" t="n">
        <v>39950</v>
      </c>
      <c r="C863" s="555" t="n">
        <v>40000</v>
      </c>
      <c r="D863" s="556">
        <f>IF($A863&gt;BOTT_A4,ROUND(BASE_A4+RATE_A4*($A863-BOTT_A4),0),IF($A863&gt;BOTT_A3,ROUND(BASE_A3+RATE_A3*($A863-BOTT_A3),0),IF($A863&gt;BOTT_A2,ROUND(BASE_A2+RATE_A2*($A863-BOTT_A2),0),ROUND(RATE_A1*$A863,0))))</f>
        <v/>
      </c>
      <c r="E863" s="556">
        <f>IF($A863&gt;BOTT_B4,ROUND(BASE_B4+RATE_B4*($A863-BOTT_B4),0),IF($A863&gt;BOTT_B3,ROUND(BASE_B3+RATE_B3*($A863-BOTT_B3),0),IF($A863&gt;BOTT_B2,ROUND(BASE_B2+RATE_B2*($A863-BOTT_B2),0),ROUND(RATE_B1*$A863,0))))</f>
        <v/>
      </c>
      <c r="F863" s="556">
        <f>IF($A863&gt;BOTT_C4,ROUND(BASE_C4+RATE_C4*($A863-BOTT_C4),0),IF($A863&gt;BOTT_C3,ROUND(BASE_C3+RATE_C3*($A863-BOTT_C3),0),IF($A863&gt;BOTT_C2,ROUND(BASE_C2+RATE_C2*($A863-BOTT_C2),0),ROUND(RATE_C1*$A863,0))))</f>
        <v/>
      </c>
      <c r="G863" s="556">
        <f>IF($A863&gt;BOTT_D4,ROUND(BASE_D4+RATE_D4*($A863-BOTT_D4),0),IF($A863&gt;BOTT_D3,ROUND(BASE_D3+RATE_D3*($A863-BOTT_D3),0),IF($A863&gt;BOTT_D2,ROUND(BASE_D2+RATE_D2*($A863-BOTT_D2),0),ROUND(RATE_D1*$A863,0))))</f>
        <v/>
      </c>
    </row>
    <row r="864" ht="15.75" customHeight="1" s="7635">
      <c r="A864" s="625">
        <f>AVERAGE(B864,C864)</f>
        <v/>
      </c>
      <c r="B864" s="555" t="n">
        <v>40000</v>
      </c>
      <c r="C864" s="555" t="n">
        <v>40050</v>
      </c>
      <c r="D864" s="556">
        <f>IF($A864&gt;BOTT_A4,ROUND(BASE_A4+RATE_A4*($A864-BOTT_A4),0),IF($A864&gt;BOTT_A3,ROUND(BASE_A3+RATE_A3*($A864-BOTT_A3),0),IF($A864&gt;BOTT_A2,ROUND(BASE_A2+RATE_A2*($A864-BOTT_A2),0),ROUND(RATE_A1*$A864,0))))</f>
        <v/>
      </c>
      <c r="E864" s="556">
        <f>IF($A864&gt;BOTT_B4,ROUND(BASE_B4+RATE_B4*($A864-BOTT_B4),0),IF($A864&gt;BOTT_B3,ROUND(BASE_B3+RATE_B3*($A864-BOTT_B3),0),IF($A864&gt;BOTT_B2,ROUND(BASE_B2+RATE_B2*($A864-BOTT_B2),0),ROUND(RATE_B1*$A864,0))))</f>
        <v/>
      </c>
      <c r="F864" s="556">
        <f>IF($A864&gt;BOTT_C4,ROUND(BASE_C4+RATE_C4*($A864-BOTT_C4),0),IF($A864&gt;BOTT_C3,ROUND(BASE_C3+RATE_C3*($A864-BOTT_C3),0),IF($A864&gt;BOTT_C2,ROUND(BASE_C2+RATE_C2*($A864-BOTT_C2),0),ROUND(RATE_C1*$A864,0))))</f>
        <v/>
      </c>
      <c r="G864" s="556">
        <f>IF($A864&gt;BOTT_D4,ROUND(BASE_D4+RATE_D4*($A864-BOTT_D4),0),IF($A864&gt;BOTT_D3,ROUND(BASE_D3+RATE_D3*($A864-BOTT_D3),0),IF($A864&gt;BOTT_D2,ROUND(BASE_D2+RATE_D2*($A864-BOTT_D2),0),ROUND(RATE_D1*$A864,0))))</f>
        <v/>
      </c>
    </row>
    <row r="865" ht="15.75" customHeight="1" s="7635">
      <c r="A865" s="625">
        <f>AVERAGE(B865,C865)</f>
        <v/>
      </c>
      <c r="B865" s="555" t="n">
        <v>40050</v>
      </c>
      <c r="C865" s="555" t="n">
        <v>40100</v>
      </c>
      <c r="D865" s="556">
        <f>IF($A865&gt;BOTT_A4,ROUND(BASE_A4+RATE_A4*($A865-BOTT_A4),0),IF($A865&gt;BOTT_A3,ROUND(BASE_A3+RATE_A3*($A865-BOTT_A3),0),IF($A865&gt;BOTT_A2,ROUND(BASE_A2+RATE_A2*($A865-BOTT_A2),0),ROUND(RATE_A1*$A865,0))))</f>
        <v/>
      </c>
      <c r="E865" s="556">
        <f>IF($A865&gt;BOTT_B4,ROUND(BASE_B4+RATE_B4*($A865-BOTT_B4),0),IF($A865&gt;BOTT_B3,ROUND(BASE_B3+RATE_B3*($A865-BOTT_B3),0),IF($A865&gt;BOTT_B2,ROUND(BASE_B2+RATE_B2*($A865-BOTT_B2),0),ROUND(RATE_B1*$A865,0))))</f>
        <v/>
      </c>
      <c r="F865" s="556">
        <f>IF($A865&gt;BOTT_C4,ROUND(BASE_C4+RATE_C4*($A865-BOTT_C4),0),IF($A865&gt;BOTT_C3,ROUND(BASE_C3+RATE_C3*($A865-BOTT_C3),0),IF($A865&gt;BOTT_C2,ROUND(BASE_C2+RATE_C2*($A865-BOTT_C2),0),ROUND(RATE_C1*$A865,0))))</f>
        <v/>
      </c>
      <c r="G865" s="556">
        <f>IF($A865&gt;BOTT_D4,ROUND(BASE_D4+RATE_D4*($A865-BOTT_D4),0),IF($A865&gt;BOTT_D3,ROUND(BASE_D3+RATE_D3*($A865-BOTT_D3),0),IF($A865&gt;BOTT_D2,ROUND(BASE_D2+RATE_D2*($A865-BOTT_D2),0),ROUND(RATE_D1*$A865,0))))</f>
        <v/>
      </c>
    </row>
    <row r="866" ht="15.75" customHeight="1" s="7635">
      <c r="A866" s="625">
        <f>AVERAGE(B866,C866)</f>
        <v/>
      </c>
      <c r="B866" s="555" t="n">
        <v>40100</v>
      </c>
      <c r="C866" s="555" t="n">
        <v>40150</v>
      </c>
      <c r="D866" s="556">
        <f>IF($A866&gt;BOTT_A4,ROUND(BASE_A4+RATE_A4*($A866-BOTT_A4),0),IF($A866&gt;BOTT_A3,ROUND(BASE_A3+RATE_A3*($A866-BOTT_A3),0),IF($A866&gt;BOTT_A2,ROUND(BASE_A2+RATE_A2*($A866-BOTT_A2),0),ROUND(RATE_A1*$A866,0))))</f>
        <v/>
      </c>
      <c r="E866" s="556">
        <f>IF($A866&gt;BOTT_B4,ROUND(BASE_B4+RATE_B4*($A866-BOTT_B4),0),IF($A866&gt;BOTT_B3,ROUND(BASE_B3+RATE_B3*($A866-BOTT_B3),0),IF($A866&gt;BOTT_B2,ROUND(BASE_B2+RATE_B2*($A866-BOTT_B2),0),ROUND(RATE_B1*$A866,0))))</f>
        <v/>
      </c>
      <c r="F866" s="556">
        <f>IF($A866&gt;BOTT_C4,ROUND(BASE_C4+RATE_C4*($A866-BOTT_C4),0),IF($A866&gt;BOTT_C3,ROUND(BASE_C3+RATE_C3*($A866-BOTT_C3),0),IF($A866&gt;BOTT_C2,ROUND(BASE_C2+RATE_C2*($A866-BOTT_C2),0),ROUND(RATE_C1*$A866,0))))</f>
        <v/>
      </c>
      <c r="G866" s="556">
        <f>IF($A866&gt;BOTT_D4,ROUND(BASE_D4+RATE_D4*($A866-BOTT_D4),0),IF($A866&gt;BOTT_D3,ROUND(BASE_D3+RATE_D3*($A866-BOTT_D3),0),IF($A866&gt;BOTT_D2,ROUND(BASE_D2+RATE_D2*($A866-BOTT_D2),0),ROUND(RATE_D1*$A866,0))))</f>
        <v/>
      </c>
    </row>
    <row r="867" ht="15.75" customHeight="1" s="7635">
      <c r="A867" s="625">
        <f>AVERAGE(B867,C867)</f>
        <v/>
      </c>
      <c r="B867" s="555" t="n">
        <v>40150</v>
      </c>
      <c r="C867" s="555" t="n">
        <v>40200</v>
      </c>
      <c r="D867" s="556">
        <f>IF($A867&gt;BOTT_A4,ROUND(BASE_A4+RATE_A4*($A867-BOTT_A4),0),IF($A867&gt;BOTT_A3,ROUND(BASE_A3+RATE_A3*($A867-BOTT_A3),0),IF($A867&gt;BOTT_A2,ROUND(BASE_A2+RATE_A2*($A867-BOTT_A2),0),ROUND(RATE_A1*$A867,0))))</f>
        <v/>
      </c>
      <c r="E867" s="556">
        <f>IF($A867&gt;BOTT_B4,ROUND(BASE_B4+RATE_B4*($A867-BOTT_B4),0),IF($A867&gt;BOTT_B3,ROUND(BASE_B3+RATE_B3*($A867-BOTT_B3),0),IF($A867&gt;BOTT_B2,ROUND(BASE_B2+RATE_B2*($A867-BOTT_B2),0),ROUND(RATE_B1*$A867,0))))</f>
        <v/>
      </c>
      <c r="F867" s="556">
        <f>IF($A867&gt;BOTT_C4,ROUND(BASE_C4+RATE_C4*($A867-BOTT_C4),0),IF($A867&gt;BOTT_C3,ROUND(BASE_C3+RATE_C3*($A867-BOTT_C3),0),IF($A867&gt;BOTT_C2,ROUND(BASE_C2+RATE_C2*($A867-BOTT_C2),0),ROUND(RATE_C1*$A867,0))))</f>
        <v/>
      </c>
      <c r="G867" s="556">
        <f>IF($A867&gt;BOTT_D4,ROUND(BASE_D4+RATE_D4*($A867-BOTT_D4),0),IF($A867&gt;BOTT_D3,ROUND(BASE_D3+RATE_D3*($A867-BOTT_D3),0),IF($A867&gt;BOTT_D2,ROUND(BASE_D2+RATE_D2*($A867-BOTT_D2),0),ROUND(RATE_D1*$A867,0))))</f>
        <v/>
      </c>
    </row>
    <row r="868" ht="15.75" customHeight="1" s="7635">
      <c r="A868" s="625">
        <f>AVERAGE(B868,C868)</f>
        <v/>
      </c>
      <c r="B868" s="555" t="n">
        <v>40200</v>
      </c>
      <c r="C868" s="555" t="n">
        <v>40250</v>
      </c>
      <c r="D868" s="556">
        <f>IF($A868&gt;BOTT_A4,ROUND(BASE_A4+RATE_A4*($A868-BOTT_A4),0),IF($A868&gt;BOTT_A3,ROUND(BASE_A3+RATE_A3*($A868-BOTT_A3),0),IF($A868&gt;BOTT_A2,ROUND(BASE_A2+RATE_A2*($A868-BOTT_A2),0),ROUND(RATE_A1*$A868,0))))</f>
        <v/>
      </c>
      <c r="E868" s="556">
        <f>IF($A868&gt;BOTT_B4,ROUND(BASE_B4+RATE_B4*($A868-BOTT_B4),0),IF($A868&gt;BOTT_B3,ROUND(BASE_B3+RATE_B3*($A868-BOTT_B3),0),IF($A868&gt;BOTT_B2,ROUND(BASE_B2+RATE_B2*($A868-BOTT_B2),0),ROUND(RATE_B1*$A868,0))))</f>
        <v/>
      </c>
      <c r="F868" s="556">
        <f>IF($A868&gt;BOTT_C4,ROUND(BASE_C4+RATE_C4*($A868-BOTT_C4),0),IF($A868&gt;BOTT_C3,ROUND(BASE_C3+RATE_C3*($A868-BOTT_C3),0),IF($A868&gt;BOTT_C2,ROUND(BASE_C2+RATE_C2*($A868-BOTT_C2),0),ROUND(RATE_C1*$A868,0))))</f>
        <v/>
      </c>
      <c r="G868" s="556">
        <f>IF($A868&gt;BOTT_D4,ROUND(BASE_D4+RATE_D4*($A868-BOTT_D4),0),IF($A868&gt;BOTT_D3,ROUND(BASE_D3+RATE_D3*($A868-BOTT_D3),0),IF($A868&gt;BOTT_D2,ROUND(BASE_D2+RATE_D2*($A868-BOTT_D2),0),ROUND(RATE_D1*$A868,0))))</f>
        <v/>
      </c>
    </row>
    <row r="869" ht="15.75" customHeight="1" s="7635">
      <c r="A869" s="625">
        <f>AVERAGE(B869,C869)</f>
        <v/>
      </c>
      <c r="B869" s="555" t="n">
        <v>40250</v>
      </c>
      <c r="C869" s="555" t="n">
        <v>40300</v>
      </c>
      <c r="D869" s="556">
        <f>IF($A869&gt;BOTT_A4,ROUND(BASE_A4+RATE_A4*($A869-BOTT_A4),0),IF($A869&gt;BOTT_A3,ROUND(BASE_A3+RATE_A3*($A869-BOTT_A3),0),IF($A869&gt;BOTT_A2,ROUND(BASE_A2+RATE_A2*($A869-BOTT_A2),0),ROUND(RATE_A1*$A869,0))))</f>
        <v/>
      </c>
      <c r="E869" s="556">
        <f>IF($A869&gt;BOTT_B4,ROUND(BASE_B4+RATE_B4*($A869-BOTT_B4),0),IF($A869&gt;BOTT_B3,ROUND(BASE_B3+RATE_B3*($A869-BOTT_B3),0),IF($A869&gt;BOTT_B2,ROUND(BASE_B2+RATE_B2*($A869-BOTT_B2),0),ROUND(RATE_B1*$A869,0))))</f>
        <v/>
      </c>
      <c r="F869" s="556">
        <f>IF($A869&gt;BOTT_C4,ROUND(BASE_C4+RATE_C4*($A869-BOTT_C4),0),IF($A869&gt;BOTT_C3,ROUND(BASE_C3+RATE_C3*($A869-BOTT_C3),0),IF($A869&gt;BOTT_C2,ROUND(BASE_C2+RATE_C2*($A869-BOTT_C2),0),ROUND(RATE_C1*$A869,0))))</f>
        <v/>
      </c>
      <c r="G869" s="556">
        <f>IF($A869&gt;BOTT_D4,ROUND(BASE_D4+RATE_D4*($A869-BOTT_D4),0),IF($A869&gt;BOTT_D3,ROUND(BASE_D3+RATE_D3*($A869-BOTT_D3),0),IF($A869&gt;BOTT_D2,ROUND(BASE_D2+RATE_D2*($A869-BOTT_D2),0),ROUND(RATE_D1*$A869,0))))</f>
        <v/>
      </c>
    </row>
    <row r="870" ht="15.75" customHeight="1" s="7635">
      <c r="A870" s="625">
        <f>AVERAGE(B870,C870)</f>
        <v/>
      </c>
      <c r="B870" s="555" t="n">
        <v>40300</v>
      </c>
      <c r="C870" s="555" t="n">
        <v>40350</v>
      </c>
      <c r="D870" s="556">
        <f>IF($A870&gt;BOTT_A4,ROUND(BASE_A4+RATE_A4*($A870-BOTT_A4),0),IF($A870&gt;BOTT_A3,ROUND(BASE_A3+RATE_A3*($A870-BOTT_A3),0),IF($A870&gt;BOTT_A2,ROUND(BASE_A2+RATE_A2*($A870-BOTT_A2),0),ROUND(RATE_A1*$A870,0))))</f>
        <v/>
      </c>
      <c r="E870" s="556">
        <f>IF($A870&gt;BOTT_B4,ROUND(BASE_B4+RATE_B4*($A870-BOTT_B4),0),IF($A870&gt;BOTT_B3,ROUND(BASE_B3+RATE_B3*($A870-BOTT_B3),0),IF($A870&gt;BOTT_B2,ROUND(BASE_B2+RATE_B2*($A870-BOTT_B2),0),ROUND(RATE_B1*$A870,0))))</f>
        <v/>
      </c>
      <c r="F870" s="556">
        <f>IF($A870&gt;BOTT_C4,ROUND(BASE_C4+RATE_C4*($A870-BOTT_C4),0),IF($A870&gt;BOTT_C3,ROUND(BASE_C3+RATE_C3*($A870-BOTT_C3),0),IF($A870&gt;BOTT_C2,ROUND(BASE_C2+RATE_C2*($A870-BOTT_C2),0),ROUND(RATE_C1*$A870,0))))</f>
        <v/>
      </c>
      <c r="G870" s="556">
        <f>IF($A870&gt;BOTT_D4,ROUND(BASE_D4+RATE_D4*($A870-BOTT_D4),0),IF($A870&gt;BOTT_D3,ROUND(BASE_D3+RATE_D3*($A870-BOTT_D3),0),IF($A870&gt;BOTT_D2,ROUND(BASE_D2+RATE_D2*($A870-BOTT_D2),0),ROUND(RATE_D1*$A870,0))))</f>
        <v/>
      </c>
    </row>
    <row r="871" ht="15.75" customHeight="1" s="7635">
      <c r="A871" s="625">
        <f>AVERAGE(B871,C871)</f>
        <v/>
      </c>
      <c r="B871" s="555" t="n">
        <v>40350</v>
      </c>
      <c r="C871" s="555" t="n">
        <v>40400</v>
      </c>
      <c r="D871" s="556">
        <f>IF($A871&gt;BOTT_A4,ROUND(BASE_A4+RATE_A4*($A871-BOTT_A4),0),IF($A871&gt;BOTT_A3,ROUND(BASE_A3+RATE_A3*($A871-BOTT_A3),0),IF($A871&gt;BOTT_A2,ROUND(BASE_A2+RATE_A2*($A871-BOTT_A2),0),ROUND(RATE_A1*$A871,0))))</f>
        <v/>
      </c>
      <c r="E871" s="556">
        <f>IF($A871&gt;BOTT_B4,ROUND(BASE_B4+RATE_B4*($A871-BOTT_B4),0),IF($A871&gt;BOTT_B3,ROUND(BASE_B3+RATE_B3*($A871-BOTT_B3),0),IF($A871&gt;BOTT_B2,ROUND(BASE_B2+RATE_B2*($A871-BOTT_B2),0),ROUND(RATE_B1*$A871,0))))</f>
        <v/>
      </c>
      <c r="F871" s="556">
        <f>IF($A871&gt;BOTT_C4,ROUND(BASE_C4+RATE_C4*($A871-BOTT_C4),0),IF($A871&gt;BOTT_C3,ROUND(BASE_C3+RATE_C3*($A871-BOTT_C3),0),IF($A871&gt;BOTT_C2,ROUND(BASE_C2+RATE_C2*($A871-BOTT_C2),0),ROUND(RATE_C1*$A871,0))))</f>
        <v/>
      </c>
      <c r="G871" s="556">
        <f>IF($A871&gt;BOTT_D4,ROUND(BASE_D4+RATE_D4*($A871-BOTT_D4),0),IF($A871&gt;BOTT_D3,ROUND(BASE_D3+RATE_D3*($A871-BOTT_D3),0),IF($A871&gt;BOTT_D2,ROUND(BASE_D2+RATE_D2*($A871-BOTT_D2),0),ROUND(RATE_D1*$A871,0))))</f>
        <v/>
      </c>
    </row>
    <row r="872" ht="15.75" customHeight="1" s="7635">
      <c r="A872" s="625">
        <f>AVERAGE(B872,C872)</f>
        <v/>
      </c>
      <c r="B872" s="555" t="n">
        <v>40400</v>
      </c>
      <c r="C872" s="555" t="n">
        <v>40450</v>
      </c>
      <c r="D872" s="556">
        <f>IF($A872&gt;BOTT_A4,ROUND(BASE_A4+RATE_A4*($A872-BOTT_A4),0),IF($A872&gt;BOTT_A3,ROUND(BASE_A3+RATE_A3*($A872-BOTT_A3),0),IF($A872&gt;BOTT_A2,ROUND(BASE_A2+RATE_A2*($A872-BOTT_A2),0),ROUND(RATE_A1*$A872,0))))</f>
        <v/>
      </c>
      <c r="E872" s="556">
        <f>IF($A872&gt;BOTT_B4,ROUND(BASE_B4+RATE_B4*($A872-BOTT_B4),0),IF($A872&gt;BOTT_B3,ROUND(BASE_B3+RATE_B3*($A872-BOTT_B3),0),IF($A872&gt;BOTT_B2,ROUND(BASE_B2+RATE_B2*($A872-BOTT_B2),0),ROUND(RATE_B1*$A872,0))))</f>
        <v/>
      </c>
      <c r="F872" s="556">
        <f>IF($A872&gt;BOTT_C4,ROUND(BASE_C4+RATE_C4*($A872-BOTT_C4),0),IF($A872&gt;BOTT_C3,ROUND(BASE_C3+RATE_C3*($A872-BOTT_C3),0),IF($A872&gt;BOTT_C2,ROUND(BASE_C2+RATE_C2*($A872-BOTT_C2),0),ROUND(RATE_C1*$A872,0))))</f>
        <v/>
      </c>
      <c r="G872" s="556">
        <f>IF($A872&gt;BOTT_D4,ROUND(BASE_D4+RATE_D4*($A872-BOTT_D4),0),IF($A872&gt;BOTT_D3,ROUND(BASE_D3+RATE_D3*($A872-BOTT_D3),0),IF($A872&gt;BOTT_D2,ROUND(BASE_D2+RATE_D2*($A872-BOTT_D2),0),ROUND(RATE_D1*$A872,0))))</f>
        <v/>
      </c>
    </row>
    <row r="873" ht="15.75" customHeight="1" s="7635">
      <c r="A873" s="625">
        <f>AVERAGE(B873,C873)</f>
        <v/>
      </c>
      <c r="B873" s="555" t="n">
        <v>40450</v>
      </c>
      <c r="C873" s="555" t="n">
        <v>40500</v>
      </c>
      <c r="D873" s="556">
        <f>IF($A873&gt;BOTT_A4,ROUND(BASE_A4+RATE_A4*($A873-BOTT_A4),0),IF($A873&gt;BOTT_A3,ROUND(BASE_A3+RATE_A3*($A873-BOTT_A3),0),IF($A873&gt;BOTT_A2,ROUND(BASE_A2+RATE_A2*($A873-BOTT_A2),0),ROUND(RATE_A1*$A873,0))))</f>
        <v/>
      </c>
      <c r="E873" s="556">
        <f>IF($A873&gt;BOTT_B4,ROUND(BASE_B4+RATE_B4*($A873-BOTT_B4),0),IF($A873&gt;BOTT_B3,ROUND(BASE_B3+RATE_B3*($A873-BOTT_B3),0),IF($A873&gt;BOTT_B2,ROUND(BASE_B2+RATE_B2*($A873-BOTT_B2),0),ROUND(RATE_B1*$A873,0))))</f>
        <v/>
      </c>
      <c r="F873" s="556">
        <f>IF($A873&gt;BOTT_C4,ROUND(BASE_C4+RATE_C4*($A873-BOTT_C4),0),IF($A873&gt;BOTT_C3,ROUND(BASE_C3+RATE_C3*($A873-BOTT_C3),0),IF($A873&gt;BOTT_C2,ROUND(BASE_C2+RATE_C2*($A873-BOTT_C2),0),ROUND(RATE_C1*$A873,0))))</f>
        <v/>
      </c>
      <c r="G873" s="556">
        <f>IF($A873&gt;BOTT_D4,ROUND(BASE_D4+RATE_D4*($A873-BOTT_D4),0),IF($A873&gt;BOTT_D3,ROUND(BASE_D3+RATE_D3*($A873-BOTT_D3),0),IF($A873&gt;BOTT_D2,ROUND(BASE_D2+RATE_D2*($A873-BOTT_D2),0),ROUND(RATE_D1*$A873,0))))</f>
        <v/>
      </c>
    </row>
    <row r="874" ht="15.75" customHeight="1" s="7635">
      <c r="A874" s="625">
        <f>AVERAGE(B874,C874)</f>
        <v/>
      </c>
      <c r="B874" s="555" t="n">
        <v>40500</v>
      </c>
      <c r="C874" s="555" t="n">
        <v>40550</v>
      </c>
      <c r="D874" s="556">
        <f>IF($A874&gt;BOTT_A4,ROUND(BASE_A4+RATE_A4*($A874-BOTT_A4),0),IF($A874&gt;BOTT_A3,ROUND(BASE_A3+RATE_A3*($A874-BOTT_A3),0),IF($A874&gt;BOTT_A2,ROUND(BASE_A2+RATE_A2*($A874-BOTT_A2),0),ROUND(RATE_A1*$A874,0))))</f>
        <v/>
      </c>
      <c r="E874" s="556">
        <f>IF($A874&gt;BOTT_B4,ROUND(BASE_B4+RATE_B4*($A874-BOTT_B4),0),IF($A874&gt;BOTT_B3,ROUND(BASE_B3+RATE_B3*($A874-BOTT_B3),0),IF($A874&gt;BOTT_B2,ROUND(BASE_B2+RATE_B2*($A874-BOTT_B2),0),ROUND(RATE_B1*$A874,0))))</f>
        <v/>
      </c>
      <c r="F874" s="556">
        <f>IF($A874&gt;BOTT_C4,ROUND(BASE_C4+RATE_C4*($A874-BOTT_C4),0),IF($A874&gt;BOTT_C3,ROUND(BASE_C3+RATE_C3*($A874-BOTT_C3),0),IF($A874&gt;BOTT_C2,ROUND(BASE_C2+RATE_C2*($A874-BOTT_C2),0),ROUND(RATE_C1*$A874,0))))</f>
        <v/>
      </c>
      <c r="G874" s="556">
        <f>IF($A874&gt;BOTT_D4,ROUND(BASE_D4+RATE_D4*($A874-BOTT_D4),0),IF($A874&gt;BOTT_D3,ROUND(BASE_D3+RATE_D3*($A874-BOTT_D3),0),IF($A874&gt;BOTT_D2,ROUND(BASE_D2+RATE_D2*($A874-BOTT_D2),0),ROUND(RATE_D1*$A874,0))))</f>
        <v/>
      </c>
    </row>
    <row r="875" ht="15.75" customHeight="1" s="7635">
      <c r="A875" s="625">
        <f>AVERAGE(B875,C875)</f>
        <v/>
      </c>
      <c r="B875" s="555" t="n">
        <v>40550</v>
      </c>
      <c r="C875" s="555" t="n">
        <v>40600</v>
      </c>
      <c r="D875" s="556">
        <f>IF($A875&gt;BOTT_A4,ROUND(BASE_A4+RATE_A4*($A875-BOTT_A4),0),IF($A875&gt;BOTT_A3,ROUND(BASE_A3+RATE_A3*($A875-BOTT_A3),0),IF($A875&gt;BOTT_A2,ROUND(BASE_A2+RATE_A2*($A875-BOTT_A2),0),ROUND(RATE_A1*$A875,0))))</f>
        <v/>
      </c>
      <c r="E875" s="556">
        <f>IF($A875&gt;BOTT_B4,ROUND(BASE_B4+RATE_B4*($A875-BOTT_B4),0),IF($A875&gt;BOTT_B3,ROUND(BASE_B3+RATE_B3*($A875-BOTT_B3),0),IF($A875&gt;BOTT_B2,ROUND(BASE_B2+RATE_B2*($A875-BOTT_B2),0),ROUND(RATE_B1*$A875,0))))</f>
        <v/>
      </c>
      <c r="F875" s="556">
        <f>IF($A875&gt;BOTT_C4,ROUND(BASE_C4+RATE_C4*($A875-BOTT_C4),0),IF($A875&gt;BOTT_C3,ROUND(BASE_C3+RATE_C3*($A875-BOTT_C3),0),IF($A875&gt;BOTT_C2,ROUND(BASE_C2+RATE_C2*($A875-BOTT_C2),0),ROUND(RATE_C1*$A875,0))))</f>
        <v/>
      </c>
      <c r="G875" s="556">
        <f>IF($A875&gt;BOTT_D4,ROUND(BASE_D4+RATE_D4*($A875-BOTT_D4),0),IF($A875&gt;BOTT_D3,ROUND(BASE_D3+RATE_D3*($A875-BOTT_D3),0),IF($A875&gt;BOTT_D2,ROUND(BASE_D2+RATE_D2*($A875-BOTT_D2),0),ROUND(RATE_D1*$A875,0))))</f>
        <v/>
      </c>
    </row>
    <row r="876" ht="15.75" customHeight="1" s="7635">
      <c r="A876" s="625">
        <f>AVERAGE(B876,C876)</f>
        <v/>
      </c>
      <c r="B876" s="555" t="n">
        <v>40600</v>
      </c>
      <c r="C876" s="555" t="n">
        <v>40650</v>
      </c>
      <c r="D876" s="556">
        <f>IF($A876&gt;BOTT_A4,ROUND(BASE_A4+RATE_A4*($A876-BOTT_A4),0),IF($A876&gt;BOTT_A3,ROUND(BASE_A3+RATE_A3*($A876-BOTT_A3),0),IF($A876&gt;BOTT_A2,ROUND(BASE_A2+RATE_A2*($A876-BOTT_A2),0),ROUND(RATE_A1*$A876,0))))</f>
        <v/>
      </c>
      <c r="E876" s="556">
        <f>IF($A876&gt;BOTT_B4,ROUND(BASE_B4+RATE_B4*($A876-BOTT_B4),0),IF($A876&gt;BOTT_B3,ROUND(BASE_B3+RATE_B3*($A876-BOTT_B3),0),IF($A876&gt;BOTT_B2,ROUND(BASE_B2+RATE_B2*($A876-BOTT_B2),0),ROUND(RATE_B1*$A876,0))))</f>
        <v/>
      </c>
      <c r="F876" s="556">
        <f>IF($A876&gt;BOTT_C4,ROUND(BASE_C4+RATE_C4*($A876-BOTT_C4),0),IF($A876&gt;BOTT_C3,ROUND(BASE_C3+RATE_C3*($A876-BOTT_C3),0),IF($A876&gt;BOTT_C2,ROUND(BASE_C2+RATE_C2*($A876-BOTT_C2),0),ROUND(RATE_C1*$A876,0))))</f>
        <v/>
      </c>
      <c r="G876" s="556">
        <f>IF($A876&gt;BOTT_D4,ROUND(BASE_D4+RATE_D4*($A876-BOTT_D4),0),IF($A876&gt;BOTT_D3,ROUND(BASE_D3+RATE_D3*($A876-BOTT_D3),0),IF($A876&gt;BOTT_D2,ROUND(BASE_D2+RATE_D2*($A876-BOTT_D2),0),ROUND(RATE_D1*$A876,0))))</f>
        <v/>
      </c>
    </row>
    <row r="877" ht="15.75" customHeight="1" s="7635">
      <c r="A877" s="625">
        <f>AVERAGE(B877,C877)</f>
        <v/>
      </c>
      <c r="B877" s="555" t="n">
        <v>40650</v>
      </c>
      <c r="C877" s="555" t="n">
        <v>40700</v>
      </c>
      <c r="D877" s="556">
        <f>IF($A877&gt;BOTT_A4,ROUND(BASE_A4+RATE_A4*($A877-BOTT_A4),0),IF($A877&gt;BOTT_A3,ROUND(BASE_A3+RATE_A3*($A877-BOTT_A3),0),IF($A877&gt;BOTT_A2,ROUND(BASE_A2+RATE_A2*($A877-BOTT_A2),0),ROUND(RATE_A1*$A877,0))))</f>
        <v/>
      </c>
      <c r="E877" s="556">
        <f>IF($A877&gt;BOTT_B4,ROUND(BASE_B4+RATE_B4*($A877-BOTT_B4),0),IF($A877&gt;BOTT_B3,ROUND(BASE_B3+RATE_B3*($A877-BOTT_B3),0),IF($A877&gt;BOTT_B2,ROUND(BASE_B2+RATE_B2*($A877-BOTT_B2),0),ROUND(RATE_B1*$A877,0))))</f>
        <v/>
      </c>
      <c r="F877" s="556">
        <f>IF($A877&gt;BOTT_C4,ROUND(BASE_C4+RATE_C4*($A877-BOTT_C4),0),IF($A877&gt;BOTT_C3,ROUND(BASE_C3+RATE_C3*($A877-BOTT_C3),0),IF($A877&gt;BOTT_C2,ROUND(BASE_C2+RATE_C2*($A877-BOTT_C2),0),ROUND(RATE_C1*$A877,0))))</f>
        <v/>
      </c>
      <c r="G877" s="556">
        <f>IF($A877&gt;BOTT_D4,ROUND(BASE_D4+RATE_D4*($A877-BOTT_D4),0),IF($A877&gt;BOTT_D3,ROUND(BASE_D3+RATE_D3*($A877-BOTT_D3),0),IF($A877&gt;BOTT_D2,ROUND(BASE_D2+RATE_D2*($A877-BOTT_D2),0),ROUND(RATE_D1*$A877,0))))</f>
        <v/>
      </c>
    </row>
    <row r="878" ht="15.75" customHeight="1" s="7635">
      <c r="A878" s="625">
        <f>AVERAGE(B878,C878)</f>
        <v/>
      </c>
      <c r="B878" s="555" t="n">
        <v>40700</v>
      </c>
      <c r="C878" s="555" t="n">
        <v>40750</v>
      </c>
      <c r="D878" s="556">
        <f>IF($A878&gt;BOTT_A4,ROUND(BASE_A4+RATE_A4*($A878-BOTT_A4),0),IF($A878&gt;BOTT_A3,ROUND(BASE_A3+RATE_A3*($A878-BOTT_A3),0),IF($A878&gt;BOTT_A2,ROUND(BASE_A2+RATE_A2*($A878-BOTT_A2),0),ROUND(RATE_A1*$A878,0))))</f>
        <v/>
      </c>
      <c r="E878" s="556">
        <f>IF($A878&gt;BOTT_B4,ROUND(BASE_B4+RATE_B4*($A878-BOTT_B4),0),IF($A878&gt;BOTT_B3,ROUND(BASE_B3+RATE_B3*($A878-BOTT_B3),0),IF($A878&gt;BOTT_B2,ROUND(BASE_B2+RATE_B2*($A878-BOTT_B2),0),ROUND(RATE_B1*$A878,0))))</f>
        <v/>
      </c>
      <c r="F878" s="556">
        <f>IF($A878&gt;BOTT_C4,ROUND(BASE_C4+RATE_C4*($A878-BOTT_C4),0),IF($A878&gt;BOTT_C3,ROUND(BASE_C3+RATE_C3*($A878-BOTT_C3),0),IF($A878&gt;BOTT_C2,ROUND(BASE_C2+RATE_C2*($A878-BOTT_C2),0),ROUND(RATE_C1*$A878,0))))</f>
        <v/>
      </c>
      <c r="G878" s="556">
        <f>IF($A878&gt;BOTT_D4,ROUND(BASE_D4+RATE_D4*($A878-BOTT_D4),0),IF($A878&gt;BOTT_D3,ROUND(BASE_D3+RATE_D3*($A878-BOTT_D3),0),IF($A878&gt;BOTT_D2,ROUND(BASE_D2+RATE_D2*($A878-BOTT_D2),0),ROUND(RATE_D1*$A878,0))))</f>
        <v/>
      </c>
    </row>
    <row r="879" ht="15.75" customHeight="1" s="7635">
      <c r="A879" s="625">
        <f>AVERAGE(B879,C879)</f>
        <v/>
      </c>
      <c r="B879" s="555" t="n">
        <v>40750</v>
      </c>
      <c r="C879" s="555" t="n">
        <v>40800</v>
      </c>
      <c r="D879" s="556">
        <f>IF($A879&gt;BOTT_A4,ROUND(BASE_A4+RATE_A4*($A879-BOTT_A4),0),IF($A879&gt;BOTT_A3,ROUND(BASE_A3+RATE_A3*($A879-BOTT_A3),0),IF($A879&gt;BOTT_A2,ROUND(BASE_A2+RATE_A2*($A879-BOTT_A2),0),ROUND(RATE_A1*$A879,0))))</f>
        <v/>
      </c>
      <c r="E879" s="556">
        <f>IF($A879&gt;BOTT_B4,ROUND(BASE_B4+RATE_B4*($A879-BOTT_B4),0),IF($A879&gt;BOTT_B3,ROUND(BASE_B3+RATE_B3*($A879-BOTT_B3),0),IF($A879&gt;BOTT_B2,ROUND(BASE_B2+RATE_B2*($A879-BOTT_B2),0),ROUND(RATE_B1*$A879,0))))</f>
        <v/>
      </c>
      <c r="F879" s="556">
        <f>IF($A879&gt;BOTT_C4,ROUND(BASE_C4+RATE_C4*($A879-BOTT_C4),0),IF($A879&gt;BOTT_C3,ROUND(BASE_C3+RATE_C3*($A879-BOTT_C3),0),IF($A879&gt;BOTT_C2,ROUND(BASE_C2+RATE_C2*($A879-BOTT_C2),0),ROUND(RATE_C1*$A879,0))))</f>
        <v/>
      </c>
      <c r="G879" s="556">
        <f>IF($A879&gt;BOTT_D4,ROUND(BASE_D4+RATE_D4*($A879-BOTT_D4),0),IF($A879&gt;BOTT_D3,ROUND(BASE_D3+RATE_D3*($A879-BOTT_D3),0),IF($A879&gt;BOTT_D2,ROUND(BASE_D2+RATE_D2*($A879-BOTT_D2),0),ROUND(RATE_D1*$A879,0))))</f>
        <v/>
      </c>
    </row>
    <row r="880" ht="15.75" customHeight="1" s="7635">
      <c r="A880" s="625">
        <f>AVERAGE(B880,C880)</f>
        <v/>
      </c>
      <c r="B880" s="555" t="n">
        <v>40800</v>
      </c>
      <c r="C880" s="555" t="n">
        <v>40850</v>
      </c>
      <c r="D880" s="556">
        <f>IF($A880&gt;BOTT_A4,ROUND(BASE_A4+RATE_A4*($A880-BOTT_A4),0),IF($A880&gt;BOTT_A3,ROUND(BASE_A3+RATE_A3*($A880-BOTT_A3),0),IF($A880&gt;BOTT_A2,ROUND(BASE_A2+RATE_A2*($A880-BOTT_A2),0),ROUND(RATE_A1*$A880,0))))</f>
        <v/>
      </c>
      <c r="E880" s="556">
        <f>IF($A880&gt;BOTT_B4,ROUND(BASE_B4+RATE_B4*($A880-BOTT_B4),0),IF($A880&gt;BOTT_B3,ROUND(BASE_B3+RATE_B3*($A880-BOTT_B3),0),IF($A880&gt;BOTT_B2,ROUND(BASE_B2+RATE_B2*($A880-BOTT_B2),0),ROUND(RATE_B1*$A880,0))))</f>
        <v/>
      </c>
      <c r="F880" s="556">
        <f>IF($A880&gt;BOTT_C4,ROUND(BASE_C4+RATE_C4*($A880-BOTT_C4),0),IF($A880&gt;BOTT_C3,ROUND(BASE_C3+RATE_C3*($A880-BOTT_C3),0),IF($A880&gt;BOTT_C2,ROUND(BASE_C2+RATE_C2*($A880-BOTT_C2),0),ROUND(RATE_C1*$A880,0))))</f>
        <v/>
      </c>
      <c r="G880" s="556">
        <f>IF($A880&gt;BOTT_D4,ROUND(BASE_D4+RATE_D4*($A880-BOTT_D4),0),IF($A880&gt;BOTT_D3,ROUND(BASE_D3+RATE_D3*($A880-BOTT_D3),0),IF($A880&gt;BOTT_D2,ROUND(BASE_D2+RATE_D2*($A880-BOTT_D2),0),ROUND(RATE_D1*$A880,0))))</f>
        <v/>
      </c>
    </row>
    <row r="881" ht="15.75" customHeight="1" s="7635">
      <c r="A881" s="625">
        <f>AVERAGE(B881,C881)</f>
        <v/>
      </c>
      <c r="B881" s="555" t="n">
        <v>40850</v>
      </c>
      <c r="C881" s="555" t="n">
        <v>40900</v>
      </c>
      <c r="D881" s="556">
        <f>IF($A881&gt;BOTT_A4,ROUND(BASE_A4+RATE_A4*($A881-BOTT_A4),0),IF($A881&gt;BOTT_A3,ROUND(BASE_A3+RATE_A3*($A881-BOTT_A3),0),IF($A881&gt;BOTT_A2,ROUND(BASE_A2+RATE_A2*($A881-BOTT_A2),0),ROUND(RATE_A1*$A881,0))))</f>
        <v/>
      </c>
      <c r="E881" s="556">
        <f>IF($A881&gt;BOTT_B4,ROUND(BASE_B4+RATE_B4*($A881-BOTT_B4),0),IF($A881&gt;BOTT_B3,ROUND(BASE_B3+RATE_B3*($A881-BOTT_B3),0),IF($A881&gt;BOTT_B2,ROUND(BASE_B2+RATE_B2*($A881-BOTT_B2),0),ROUND(RATE_B1*$A881,0))))</f>
        <v/>
      </c>
      <c r="F881" s="556">
        <f>IF($A881&gt;BOTT_C4,ROUND(BASE_C4+RATE_C4*($A881-BOTT_C4),0),IF($A881&gt;BOTT_C3,ROUND(BASE_C3+RATE_C3*($A881-BOTT_C3),0),IF($A881&gt;BOTT_C2,ROUND(BASE_C2+RATE_C2*($A881-BOTT_C2),0),ROUND(RATE_C1*$A881,0))))</f>
        <v/>
      </c>
      <c r="G881" s="556">
        <f>IF($A881&gt;BOTT_D4,ROUND(BASE_D4+RATE_D4*($A881-BOTT_D4),0),IF($A881&gt;BOTT_D3,ROUND(BASE_D3+RATE_D3*($A881-BOTT_D3),0),IF($A881&gt;BOTT_D2,ROUND(BASE_D2+RATE_D2*($A881-BOTT_D2),0),ROUND(RATE_D1*$A881,0))))</f>
        <v/>
      </c>
    </row>
    <row r="882" ht="15.75" customHeight="1" s="7635">
      <c r="A882" s="625">
        <f>AVERAGE(B882,C882)</f>
        <v/>
      </c>
      <c r="B882" s="555" t="n">
        <v>40900</v>
      </c>
      <c r="C882" s="555" t="n">
        <v>40950</v>
      </c>
      <c r="D882" s="556">
        <f>IF($A882&gt;BOTT_A4,ROUND(BASE_A4+RATE_A4*($A882-BOTT_A4),0),IF($A882&gt;BOTT_A3,ROUND(BASE_A3+RATE_A3*($A882-BOTT_A3),0),IF($A882&gt;BOTT_A2,ROUND(BASE_A2+RATE_A2*($A882-BOTT_A2),0),ROUND(RATE_A1*$A882,0))))</f>
        <v/>
      </c>
      <c r="E882" s="556">
        <f>IF($A882&gt;BOTT_B4,ROUND(BASE_B4+RATE_B4*($A882-BOTT_B4),0),IF($A882&gt;BOTT_B3,ROUND(BASE_B3+RATE_B3*($A882-BOTT_B3),0),IF($A882&gt;BOTT_B2,ROUND(BASE_B2+RATE_B2*($A882-BOTT_B2),0),ROUND(RATE_B1*$A882,0))))</f>
        <v/>
      </c>
      <c r="F882" s="556">
        <f>IF($A882&gt;BOTT_C4,ROUND(BASE_C4+RATE_C4*($A882-BOTT_C4),0),IF($A882&gt;BOTT_C3,ROUND(BASE_C3+RATE_C3*($A882-BOTT_C3),0),IF($A882&gt;BOTT_C2,ROUND(BASE_C2+RATE_C2*($A882-BOTT_C2),0),ROUND(RATE_C1*$A882,0))))</f>
        <v/>
      </c>
      <c r="G882" s="556">
        <f>IF($A882&gt;BOTT_D4,ROUND(BASE_D4+RATE_D4*($A882-BOTT_D4),0),IF($A882&gt;BOTT_D3,ROUND(BASE_D3+RATE_D3*($A882-BOTT_D3),0),IF($A882&gt;BOTT_D2,ROUND(BASE_D2+RATE_D2*($A882-BOTT_D2),0),ROUND(RATE_D1*$A882,0))))</f>
        <v/>
      </c>
    </row>
    <row r="883" ht="15.75" customHeight="1" s="7635">
      <c r="A883" s="625">
        <f>AVERAGE(B883,C883)</f>
        <v/>
      </c>
      <c r="B883" s="555" t="n">
        <v>40950</v>
      </c>
      <c r="C883" s="555" t="n">
        <v>41000</v>
      </c>
      <c r="D883" s="556">
        <f>IF($A883&gt;BOTT_A4,ROUND(BASE_A4+RATE_A4*($A883-BOTT_A4),0),IF($A883&gt;BOTT_A3,ROUND(BASE_A3+RATE_A3*($A883-BOTT_A3),0),IF($A883&gt;BOTT_A2,ROUND(BASE_A2+RATE_A2*($A883-BOTT_A2),0),ROUND(RATE_A1*$A883,0))))</f>
        <v/>
      </c>
      <c r="E883" s="556">
        <f>IF($A883&gt;BOTT_B4,ROUND(BASE_B4+RATE_B4*($A883-BOTT_B4),0),IF($A883&gt;BOTT_B3,ROUND(BASE_B3+RATE_B3*($A883-BOTT_B3),0),IF($A883&gt;BOTT_B2,ROUND(BASE_B2+RATE_B2*($A883-BOTT_B2),0),ROUND(RATE_B1*$A883,0))))</f>
        <v/>
      </c>
      <c r="F883" s="556">
        <f>IF($A883&gt;BOTT_C4,ROUND(BASE_C4+RATE_C4*($A883-BOTT_C4),0),IF($A883&gt;BOTT_C3,ROUND(BASE_C3+RATE_C3*($A883-BOTT_C3),0),IF($A883&gt;BOTT_C2,ROUND(BASE_C2+RATE_C2*($A883-BOTT_C2),0),ROUND(RATE_C1*$A883,0))))</f>
        <v/>
      </c>
      <c r="G883" s="556">
        <f>IF($A883&gt;BOTT_D4,ROUND(BASE_D4+RATE_D4*($A883-BOTT_D4),0),IF($A883&gt;BOTT_D3,ROUND(BASE_D3+RATE_D3*($A883-BOTT_D3),0),IF($A883&gt;BOTT_D2,ROUND(BASE_D2+RATE_D2*($A883-BOTT_D2),0),ROUND(RATE_D1*$A883,0))))</f>
        <v/>
      </c>
    </row>
    <row r="884" ht="15.75" customHeight="1" s="7635">
      <c r="A884" s="625">
        <f>AVERAGE(B884,C884)</f>
        <v/>
      </c>
      <c r="B884" s="555" t="n">
        <v>41000</v>
      </c>
      <c r="C884" s="555" t="n">
        <v>41050</v>
      </c>
      <c r="D884" s="556">
        <f>IF($A884&gt;BOTT_A4,ROUND(BASE_A4+RATE_A4*($A884-BOTT_A4),0),IF($A884&gt;BOTT_A3,ROUND(BASE_A3+RATE_A3*($A884-BOTT_A3),0),IF($A884&gt;BOTT_A2,ROUND(BASE_A2+RATE_A2*($A884-BOTT_A2),0),ROUND(RATE_A1*$A884,0))))</f>
        <v/>
      </c>
      <c r="E884" s="556">
        <f>IF($A884&gt;BOTT_B4,ROUND(BASE_B4+RATE_B4*($A884-BOTT_B4),0),IF($A884&gt;BOTT_B3,ROUND(BASE_B3+RATE_B3*($A884-BOTT_B3),0),IF($A884&gt;BOTT_B2,ROUND(BASE_B2+RATE_B2*($A884-BOTT_B2),0),ROUND(RATE_B1*$A884,0))))</f>
        <v/>
      </c>
      <c r="F884" s="556">
        <f>IF($A884&gt;BOTT_C4,ROUND(BASE_C4+RATE_C4*($A884-BOTT_C4),0),IF($A884&gt;BOTT_C3,ROUND(BASE_C3+RATE_C3*($A884-BOTT_C3),0),IF($A884&gt;BOTT_C2,ROUND(BASE_C2+RATE_C2*($A884-BOTT_C2),0),ROUND(RATE_C1*$A884,0))))</f>
        <v/>
      </c>
      <c r="G884" s="556">
        <f>IF($A884&gt;BOTT_D4,ROUND(BASE_D4+RATE_D4*($A884-BOTT_D4),0),IF($A884&gt;BOTT_D3,ROUND(BASE_D3+RATE_D3*($A884-BOTT_D3),0),IF($A884&gt;BOTT_D2,ROUND(BASE_D2+RATE_D2*($A884-BOTT_D2),0),ROUND(RATE_D1*$A884,0))))</f>
        <v/>
      </c>
    </row>
    <row r="885" ht="15.75" customHeight="1" s="7635">
      <c r="A885" s="625">
        <f>AVERAGE(B885,C885)</f>
        <v/>
      </c>
      <c r="B885" s="555" t="n">
        <v>41050</v>
      </c>
      <c r="C885" s="555" t="n">
        <v>41100</v>
      </c>
      <c r="D885" s="556">
        <f>IF($A885&gt;BOTT_A4,ROUND(BASE_A4+RATE_A4*($A885-BOTT_A4),0),IF($A885&gt;BOTT_A3,ROUND(BASE_A3+RATE_A3*($A885-BOTT_A3),0),IF($A885&gt;BOTT_A2,ROUND(BASE_A2+RATE_A2*($A885-BOTT_A2),0),ROUND(RATE_A1*$A885,0))))</f>
        <v/>
      </c>
      <c r="E885" s="556">
        <f>IF($A885&gt;BOTT_B4,ROUND(BASE_B4+RATE_B4*($A885-BOTT_B4),0),IF($A885&gt;BOTT_B3,ROUND(BASE_B3+RATE_B3*($A885-BOTT_B3),0),IF($A885&gt;BOTT_B2,ROUND(BASE_B2+RATE_B2*($A885-BOTT_B2),0),ROUND(RATE_B1*$A885,0))))</f>
        <v/>
      </c>
      <c r="F885" s="556">
        <f>IF($A885&gt;BOTT_C4,ROUND(BASE_C4+RATE_C4*($A885-BOTT_C4),0),IF($A885&gt;BOTT_C3,ROUND(BASE_C3+RATE_C3*($A885-BOTT_C3),0),IF($A885&gt;BOTT_C2,ROUND(BASE_C2+RATE_C2*($A885-BOTT_C2),0),ROUND(RATE_C1*$A885,0))))</f>
        <v/>
      </c>
      <c r="G885" s="556">
        <f>IF($A885&gt;BOTT_D4,ROUND(BASE_D4+RATE_D4*($A885-BOTT_D4),0),IF($A885&gt;BOTT_D3,ROUND(BASE_D3+RATE_D3*($A885-BOTT_D3),0),IF($A885&gt;BOTT_D2,ROUND(BASE_D2+RATE_D2*($A885-BOTT_D2),0),ROUND(RATE_D1*$A885,0))))</f>
        <v/>
      </c>
    </row>
    <row r="886" ht="15.75" customHeight="1" s="7635">
      <c r="A886" s="625">
        <f>AVERAGE(B886,C886)</f>
        <v/>
      </c>
      <c r="B886" s="555" t="n">
        <v>41100</v>
      </c>
      <c r="C886" s="555" t="n">
        <v>41150</v>
      </c>
      <c r="D886" s="556">
        <f>IF($A886&gt;BOTT_A4,ROUND(BASE_A4+RATE_A4*($A886-BOTT_A4),0),IF($A886&gt;BOTT_A3,ROUND(BASE_A3+RATE_A3*($A886-BOTT_A3),0),IF($A886&gt;BOTT_A2,ROUND(BASE_A2+RATE_A2*($A886-BOTT_A2),0),ROUND(RATE_A1*$A886,0))))</f>
        <v/>
      </c>
      <c r="E886" s="556">
        <f>IF($A886&gt;BOTT_B4,ROUND(BASE_B4+RATE_B4*($A886-BOTT_B4),0),IF($A886&gt;BOTT_B3,ROUND(BASE_B3+RATE_B3*($A886-BOTT_B3),0),IF($A886&gt;BOTT_B2,ROUND(BASE_B2+RATE_B2*($A886-BOTT_B2),0),ROUND(RATE_B1*$A886,0))))</f>
        <v/>
      </c>
      <c r="F886" s="556">
        <f>IF($A886&gt;BOTT_C4,ROUND(BASE_C4+RATE_C4*($A886-BOTT_C4),0),IF($A886&gt;BOTT_C3,ROUND(BASE_C3+RATE_C3*($A886-BOTT_C3),0),IF($A886&gt;BOTT_C2,ROUND(BASE_C2+RATE_C2*($A886-BOTT_C2),0),ROUND(RATE_C1*$A886,0))))</f>
        <v/>
      </c>
      <c r="G886" s="556">
        <f>IF($A886&gt;BOTT_D4,ROUND(BASE_D4+RATE_D4*($A886-BOTT_D4),0),IF($A886&gt;BOTT_D3,ROUND(BASE_D3+RATE_D3*($A886-BOTT_D3),0),IF($A886&gt;BOTT_D2,ROUND(BASE_D2+RATE_D2*($A886-BOTT_D2),0),ROUND(RATE_D1*$A886,0))))</f>
        <v/>
      </c>
    </row>
    <row r="887" ht="15.75" customHeight="1" s="7635">
      <c r="A887" s="625">
        <f>AVERAGE(B887,C887)</f>
        <v/>
      </c>
      <c r="B887" s="555" t="n">
        <v>41150</v>
      </c>
      <c r="C887" s="555" t="n">
        <v>41200</v>
      </c>
      <c r="D887" s="556">
        <f>IF($A887&gt;BOTT_A4,ROUND(BASE_A4+RATE_A4*($A887-BOTT_A4),0),IF($A887&gt;BOTT_A3,ROUND(BASE_A3+RATE_A3*($A887-BOTT_A3),0),IF($A887&gt;BOTT_A2,ROUND(BASE_A2+RATE_A2*($A887-BOTT_A2),0),ROUND(RATE_A1*$A887,0))))</f>
        <v/>
      </c>
      <c r="E887" s="556">
        <f>IF($A887&gt;BOTT_B4,ROUND(BASE_B4+RATE_B4*($A887-BOTT_B4),0),IF($A887&gt;BOTT_B3,ROUND(BASE_B3+RATE_B3*($A887-BOTT_B3),0),IF($A887&gt;BOTT_B2,ROUND(BASE_B2+RATE_B2*($A887-BOTT_B2),0),ROUND(RATE_B1*$A887,0))))</f>
        <v/>
      </c>
      <c r="F887" s="556">
        <f>IF($A887&gt;BOTT_C4,ROUND(BASE_C4+RATE_C4*($A887-BOTT_C4),0),IF($A887&gt;BOTT_C3,ROUND(BASE_C3+RATE_C3*($A887-BOTT_C3),0),IF($A887&gt;BOTT_C2,ROUND(BASE_C2+RATE_C2*($A887-BOTT_C2),0),ROUND(RATE_C1*$A887,0))))</f>
        <v/>
      </c>
      <c r="G887" s="556">
        <f>IF($A887&gt;BOTT_D4,ROUND(BASE_D4+RATE_D4*($A887-BOTT_D4),0),IF($A887&gt;BOTT_D3,ROUND(BASE_D3+RATE_D3*($A887-BOTT_D3),0),IF($A887&gt;BOTT_D2,ROUND(BASE_D2+RATE_D2*($A887-BOTT_D2),0),ROUND(RATE_D1*$A887,0))))</f>
        <v/>
      </c>
    </row>
    <row r="888" ht="15.75" customHeight="1" s="7635">
      <c r="A888" s="625">
        <f>AVERAGE(B888,C888)</f>
        <v/>
      </c>
      <c r="B888" s="555" t="n">
        <v>41200</v>
      </c>
      <c r="C888" s="555" t="n">
        <v>41250</v>
      </c>
      <c r="D888" s="556">
        <f>IF($A888&gt;BOTT_A4,ROUND(BASE_A4+RATE_A4*($A888-BOTT_A4),0),IF($A888&gt;BOTT_A3,ROUND(BASE_A3+RATE_A3*($A888-BOTT_A3),0),IF($A888&gt;BOTT_A2,ROUND(BASE_A2+RATE_A2*($A888-BOTT_A2),0),ROUND(RATE_A1*$A888,0))))</f>
        <v/>
      </c>
      <c r="E888" s="556">
        <f>IF($A888&gt;BOTT_B4,ROUND(BASE_B4+RATE_B4*($A888-BOTT_B4),0),IF($A888&gt;BOTT_B3,ROUND(BASE_B3+RATE_B3*($A888-BOTT_B3),0),IF($A888&gt;BOTT_B2,ROUND(BASE_B2+RATE_B2*($A888-BOTT_B2),0),ROUND(RATE_B1*$A888,0))))</f>
        <v/>
      </c>
      <c r="F888" s="556">
        <f>IF($A888&gt;BOTT_C4,ROUND(BASE_C4+RATE_C4*($A888-BOTT_C4),0),IF($A888&gt;BOTT_C3,ROUND(BASE_C3+RATE_C3*($A888-BOTT_C3),0),IF($A888&gt;BOTT_C2,ROUND(BASE_C2+RATE_C2*($A888-BOTT_C2),0),ROUND(RATE_C1*$A888,0))))</f>
        <v/>
      </c>
      <c r="G888" s="556">
        <f>IF($A888&gt;BOTT_D4,ROUND(BASE_D4+RATE_D4*($A888-BOTT_D4),0),IF($A888&gt;BOTT_D3,ROUND(BASE_D3+RATE_D3*($A888-BOTT_D3),0),IF($A888&gt;BOTT_D2,ROUND(BASE_D2+RATE_D2*($A888-BOTT_D2),0),ROUND(RATE_D1*$A888,0))))</f>
        <v/>
      </c>
    </row>
    <row r="889" ht="15.75" customHeight="1" s="7635">
      <c r="A889" s="625">
        <f>AVERAGE(B889,C889)</f>
        <v/>
      </c>
      <c r="B889" s="555" t="n">
        <v>41250</v>
      </c>
      <c r="C889" s="555" t="n">
        <v>41300</v>
      </c>
      <c r="D889" s="556">
        <f>IF($A889&gt;BOTT_A4,ROUND(BASE_A4+RATE_A4*($A889-BOTT_A4),0),IF($A889&gt;BOTT_A3,ROUND(BASE_A3+RATE_A3*($A889-BOTT_A3),0),IF($A889&gt;BOTT_A2,ROUND(BASE_A2+RATE_A2*($A889-BOTT_A2),0),ROUND(RATE_A1*$A889,0))))</f>
        <v/>
      </c>
      <c r="E889" s="556">
        <f>IF($A889&gt;BOTT_B4,ROUND(BASE_B4+RATE_B4*($A889-BOTT_B4),0),IF($A889&gt;BOTT_B3,ROUND(BASE_B3+RATE_B3*($A889-BOTT_B3),0),IF($A889&gt;BOTT_B2,ROUND(BASE_B2+RATE_B2*($A889-BOTT_B2),0),ROUND(RATE_B1*$A889,0))))</f>
        <v/>
      </c>
      <c r="F889" s="556">
        <f>IF($A889&gt;BOTT_C4,ROUND(BASE_C4+RATE_C4*($A889-BOTT_C4),0),IF($A889&gt;BOTT_C3,ROUND(BASE_C3+RATE_C3*($A889-BOTT_C3),0),IF($A889&gt;BOTT_C2,ROUND(BASE_C2+RATE_C2*($A889-BOTT_C2),0),ROUND(RATE_C1*$A889,0))))</f>
        <v/>
      </c>
      <c r="G889" s="556">
        <f>IF($A889&gt;BOTT_D4,ROUND(BASE_D4+RATE_D4*($A889-BOTT_D4),0),IF($A889&gt;BOTT_D3,ROUND(BASE_D3+RATE_D3*($A889-BOTT_D3),0),IF($A889&gt;BOTT_D2,ROUND(BASE_D2+RATE_D2*($A889-BOTT_D2),0),ROUND(RATE_D1*$A889,0))))</f>
        <v/>
      </c>
    </row>
    <row r="890" ht="15.75" customHeight="1" s="7635">
      <c r="A890" s="625">
        <f>AVERAGE(B890,C890)</f>
        <v/>
      </c>
      <c r="B890" s="555" t="n">
        <v>41300</v>
      </c>
      <c r="C890" s="555" t="n">
        <v>41350</v>
      </c>
      <c r="D890" s="556">
        <f>IF($A890&gt;BOTT_A4,ROUND(BASE_A4+RATE_A4*($A890-BOTT_A4),0),IF($A890&gt;BOTT_A3,ROUND(BASE_A3+RATE_A3*($A890-BOTT_A3),0),IF($A890&gt;BOTT_A2,ROUND(BASE_A2+RATE_A2*($A890-BOTT_A2),0),ROUND(RATE_A1*$A890,0))))</f>
        <v/>
      </c>
      <c r="E890" s="556">
        <f>IF($A890&gt;BOTT_B4,ROUND(BASE_B4+RATE_B4*($A890-BOTT_B4),0),IF($A890&gt;BOTT_B3,ROUND(BASE_B3+RATE_B3*($A890-BOTT_B3),0),IF($A890&gt;BOTT_B2,ROUND(BASE_B2+RATE_B2*($A890-BOTT_B2),0),ROUND(RATE_B1*$A890,0))))</f>
        <v/>
      </c>
      <c r="F890" s="556">
        <f>IF($A890&gt;BOTT_C4,ROUND(BASE_C4+RATE_C4*($A890-BOTT_C4),0),IF($A890&gt;BOTT_C3,ROUND(BASE_C3+RATE_C3*($A890-BOTT_C3),0),IF($A890&gt;BOTT_C2,ROUND(BASE_C2+RATE_C2*($A890-BOTT_C2),0),ROUND(RATE_C1*$A890,0))))</f>
        <v/>
      </c>
      <c r="G890" s="556">
        <f>IF($A890&gt;BOTT_D4,ROUND(BASE_D4+RATE_D4*($A890-BOTT_D4),0),IF($A890&gt;BOTT_D3,ROUND(BASE_D3+RATE_D3*($A890-BOTT_D3),0),IF($A890&gt;BOTT_D2,ROUND(BASE_D2+RATE_D2*($A890-BOTT_D2),0),ROUND(RATE_D1*$A890,0))))</f>
        <v/>
      </c>
    </row>
    <row r="891" ht="15.75" customHeight="1" s="7635">
      <c r="A891" s="625">
        <f>AVERAGE(B891,C891)</f>
        <v/>
      </c>
      <c r="B891" s="555" t="n">
        <v>41350</v>
      </c>
      <c r="C891" s="555" t="n">
        <v>41400</v>
      </c>
      <c r="D891" s="556">
        <f>IF($A891&gt;BOTT_A4,ROUND(BASE_A4+RATE_A4*($A891-BOTT_A4),0),IF($A891&gt;BOTT_A3,ROUND(BASE_A3+RATE_A3*($A891-BOTT_A3),0),IF($A891&gt;BOTT_A2,ROUND(BASE_A2+RATE_A2*($A891-BOTT_A2),0),ROUND(RATE_A1*$A891,0))))</f>
        <v/>
      </c>
      <c r="E891" s="556">
        <f>IF($A891&gt;BOTT_B4,ROUND(BASE_B4+RATE_B4*($A891-BOTT_B4),0),IF($A891&gt;BOTT_B3,ROUND(BASE_B3+RATE_B3*($A891-BOTT_B3),0),IF($A891&gt;BOTT_B2,ROUND(BASE_B2+RATE_B2*($A891-BOTT_B2),0),ROUND(RATE_B1*$A891,0))))</f>
        <v/>
      </c>
      <c r="F891" s="556">
        <f>IF($A891&gt;BOTT_C4,ROUND(BASE_C4+RATE_C4*($A891-BOTT_C4),0),IF($A891&gt;BOTT_C3,ROUND(BASE_C3+RATE_C3*($A891-BOTT_C3),0),IF($A891&gt;BOTT_C2,ROUND(BASE_C2+RATE_C2*($A891-BOTT_C2),0),ROUND(RATE_C1*$A891,0))))</f>
        <v/>
      </c>
      <c r="G891" s="556">
        <f>IF($A891&gt;BOTT_D4,ROUND(BASE_D4+RATE_D4*($A891-BOTT_D4),0),IF($A891&gt;BOTT_D3,ROUND(BASE_D3+RATE_D3*($A891-BOTT_D3),0),IF($A891&gt;BOTT_D2,ROUND(BASE_D2+RATE_D2*($A891-BOTT_D2),0),ROUND(RATE_D1*$A891,0))))</f>
        <v/>
      </c>
    </row>
    <row r="892" ht="15.75" customHeight="1" s="7635">
      <c r="A892" s="625">
        <f>AVERAGE(B892,C892)</f>
        <v/>
      </c>
      <c r="B892" s="555" t="n">
        <v>41400</v>
      </c>
      <c r="C892" s="555" t="n">
        <v>41450</v>
      </c>
      <c r="D892" s="556">
        <f>IF($A892&gt;BOTT_A4,ROUND(BASE_A4+RATE_A4*($A892-BOTT_A4),0),IF($A892&gt;BOTT_A3,ROUND(BASE_A3+RATE_A3*($A892-BOTT_A3),0),IF($A892&gt;BOTT_A2,ROUND(BASE_A2+RATE_A2*($A892-BOTT_A2),0),ROUND(RATE_A1*$A892,0))))</f>
        <v/>
      </c>
      <c r="E892" s="556">
        <f>IF($A892&gt;BOTT_B4,ROUND(BASE_B4+RATE_B4*($A892-BOTT_B4),0),IF($A892&gt;BOTT_B3,ROUND(BASE_B3+RATE_B3*($A892-BOTT_B3),0),IF($A892&gt;BOTT_B2,ROUND(BASE_B2+RATE_B2*($A892-BOTT_B2),0),ROUND(RATE_B1*$A892,0))))</f>
        <v/>
      </c>
      <c r="F892" s="556">
        <f>IF($A892&gt;BOTT_C4,ROUND(BASE_C4+RATE_C4*($A892-BOTT_C4),0),IF($A892&gt;BOTT_C3,ROUND(BASE_C3+RATE_C3*($A892-BOTT_C3),0),IF($A892&gt;BOTT_C2,ROUND(BASE_C2+RATE_C2*($A892-BOTT_C2),0),ROUND(RATE_C1*$A892,0))))</f>
        <v/>
      </c>
      <c r="G892" s="556">
        <f>IF($A892&gt;BOTT_D4,ROUND(BASE_D4+RATE_D4*($A892-BOTT_D4),0),IF($A892&gt;BOTT_D3,ROUND(BASE_D3+RATE_D3*($A892-BOTT_D3),0),IF($A892&gt;BOTT_D2,ROUND(BASE_D2+RATE_D2*($A892-BOTT_D2),0),ROUND(RATE_D1*$A892,0))))</f>
        <v/>
      </c>
    </row>
    <row r="893" ht="15.75" customHeight="1" s="7635">
      <c r="A893" s="625">
        <f>AVERAGE(B893,C893)</f>
        <v/>
      </c>
      <c r="B893" s="555" t="n">
        <v>41450</v>
      </c>
      <c r="C893" s="555" t="n">
        <v>41500</v>
      </c>
      <c r="D893" s="556">
        <f>IF($A893&gt;BOTT_A4,ROUND(BASE_A4+RATE_A4*($A893-BOTT_A4),0),IF($A893&gt;BOTT_A3,ROUND(BASE_A3+RATE_A3*($A893-BOTT_A3),0),IF($A893&gt;BOTT_A2,ROUND(BASE_A2+RATE_A2*($A893-BOTT_A2),0),ROUND(RATE_A1*$A893,0))))</f>
        <v/>
      </c>
      <c r="E893" s="556">
        <f>IF($A893&gt;BOTT_B4,ROUND(BASE_B4+RATE_B4*($A893-BOTT_B4),0),IF($A893&gt;BOTT_B3,ROUND(BASE_B3+RATE_B3*($A893-BOTT_B3),0),IF($A893&gt;BOTT_B2,ROUND(BASE_B2+RATE_B2*($A893-BOTT_B2),0),ROUND(RATE_B1*$A893,0))))</f>
        <v/>
      </c>
      <c r="F893" s="556">
        <f>IF($A893&gt;BOTT_C4,ROUND(BASE_C4+RATE_C4*($A893-BOTT_C4),0),IF($A893&gt;BOTT_C3,ROUND(BASE_C3+RATE_C3*($A893-BOTT_C3),0),IF($A893&gt;BOTT_C2,ROUND(BASE_C2+RATE_C2*($A893-BOTT_C2),0),ROUND(RATE_C1*$A893,0))))</f>
        <v/>
      </c>
      <c r="G893" s="556">
        <f>IF($A893&gt;BOTT_D4,ROUND(BASE_D4+RATE_D4*($A893-BOTT_D4),0),IF($A893&gt;BOTT_D3,ROUND(BASE_D3+RATE_D3*($A893-BOTT_D3),0),IF($A893&gt;BOTT_D2,ROUND(BASE_D2+RATE_D2*($A893-BOTT_D2),0),ROUND(RATE_D1*$A893,0))))</f>
        <v/>
      </c>
    </row>
    <row r="894" ht="15.75" customHeight="1" s="7635">
      <c r="A894" s="625">
        <f>AVERAGE(B894,C894)</f>
        <v/>
      </c>
      <c r="B894" s="555" t="n">
        <v>41500</v>
      </c>
      <c r="C894" s="555" t="n">
        <v>41550</v>
      </c>
      <c r="D894" s="556">
        <f>IF($A894&gt;BOTT_A4,ROUND(BASE_A4+RATE_A4*($A894-BOTT_A4),0),IF($A894&gt;BOTT_A3,ROUND(BASE_A3+RATE_A3*($A894-BOTT_A3),0),IF($A894&gt;BOTT_A2,ROUND(BASE_A2+RATE_A2*($A894-BOTT_A2),0),ROUND(RATE_A1*$A894,0))))</f>
        <v/>
      </c>
      <c r="E894" s="556">
        <f>IF($A894&gt;BOTT_B4,ROUND(BASE_B4+RATE_B4*($A894-BOTT_B4),0),IF($A894&gt;BOTT_B3,ROUND(BASE_B3+RATE_B3*($A894-BOTT_B3),0),IF($A894&gt;BOTT_B2,ROUND(BASE_B2+RATE_B2*($A894-BOTT_B2),0),ROUND(RATE_B1*$A894,0))))</f>
        <v/>
      </c>
      <c r="F894" s="556">
        <f>IF($A894&gt;BOTT_C4,ROUND(BASE_C4+RATE_C4*($A894-BOTT_C4),0),IF($A894&gt;BOTT_C3,ROUND(BASE_C3+RATE_C3*($A894-BOTT_C3),0),IF($A894&gt;BOTT_C2,ROUND(BASE_C2+RATE_C2*($A894-BOTT_C2),0),ROUND(RATE_C1*$A894,0))))</f>
        <v/>
      </c>
      <c r="G894" s="556">
        <f>IF($A894&gt;BOTT_D4,ROUND(BASE_D4+RATE_D4*($A894-BOTT_D4),0),IF($A894&gt;BOTT_D3,ROUND(BASE_D3+RATE_D3*($A894-BOTT_D3),0),IF($A894&gt;BOTT_D2,ROUND(BASE_D2+RATE_D2*($A894-BOTT_D2),0),ROUND(RATE_D1*$A894,0))))</f>
        <v/>
      </c>
    </row>
    <row r="895" ht="15.75" customHeight="1" s="7635">
      <c r="A895" s="625">
        <f>AVERAGE(B895,C895)</f>
        <v/>
      </c>
      <c r="B895" s="555" t="n">
        <v>41550</v>
      </c>
      <c r="C895" s="555" t="n">
        <v>41600</v>
      </c>
      <c r="D895" s="556">
        <f>IF($A895&gt;BOTT_A4,ROUND(BASE_A4+RATE_A4*($A895-BOTT_A4),0),IF($A895&gt;BOTT_A3,ROUND(BASE_A3+RATE_A3*($A895-BOTT_A3),0),IF($A895&gt;BOTT_A2,ROUND(BASE_A2+RATE_A2*($A895-BOTT_A2),0),ROUND(RATE_A1*$A895,0))))</f>
        <v/>
      </c>
      <c r="E895" s="556">
        <f>IF($A895&gt;BOTT_B4,ROUND(BASE_B4+RATE_B4*($A895-BOTT_B4),0),IF($A895&gt;BOTT_B3,ROUND(BASE_B3+RATE_B3*($A895-BOTT_B3),0),IF($A895&gt;BOTT_B2,ROUND(BASE_B2+RATE_B2*($A895-BOTT_B2),0),ROUND(RATE_B1*$A895,0))))</f>
        <v/>
      </c>
      <c r="F895" s="556">
        <f>IF($A895&gt;BOTT_C4,ROUND(BASE_C4+RATE_C4*($A895-BOTT_C4),0),IF($A895&gt;BOTT_C3,ROUND(BASE_C3+RATE_C3*($A895-BOTT_C3),0),IF($A895&gt;BOTT_C2,ROUND(BASE_C2+RATE_C2*($A895-BOTT_C2),0),ROUND(RATE_C1*$A895,0))))</f>
        <v/>
      </c>
      <c r="G895" s="556">
        <f>IF($A895&gt;BOTT_D4,ROUND(BASE_D4+RATE_D4*($A895-BOTT_D4),0),IF($A895&gt;BOTT_D3,ROUND(BASE_D3+RATE_D3*($A895-BOTT_D3),0),IF($A895&gt;BOTT_D2,ROUND(BASE_D2+RATE_D2*($A895-BOTT_D2),0),ROUND(RATE_D1*$A895,0))))</f>
        <v/>
      </c>
    </row>
    <row r="896" ht="15.75" customHeight="1" s="7635">
      <c r="A896" s="625">
        <f>AVERAGE(B896,C896)</f>
        <v/>
      </c>
      <c r="B896" s="555" t="n">
        <v>41600</v>
      </c>
      <c r="C896" s="555" t="n">
        <v>41650</v>
      </c>
      <c r="D896" s="556">
        <f>IF($A896&gt;BOTT_A4,ROUND(BASE_A4+RATE_A4*($A896-BOTT_A4),0),IF($A896&gt;BOTT_A3,ROUND(BASE_A3+RATE_A3*($A896-BOTT_A3),0),IF($A896&gt;BOTT_A2,ROUND(BASE_A2+RATE_A2*($A896-BOTT_A2),0),ROUND(RATE_A1*$A896,0))))</f>
        <v/>
      </c>
      <c r="E896" s="556">
        <f>IF($A896&gt;BOTT_B4,ROUND(BASE_B4+RATE_B4*($A896-BOTT_B4),0),IF($A896&gt;BOTT_B3,ROUND(BASE_B3+RATE_B3*($A896-BOTT_B3),0),IF($A896&gt;BOTT_B2,ROUND(BASE_B2+RATE_B2*($A896-BOTT_B2),0),ROUND(RATE_B1*$A896,0))))</f>
        <v/>
      </c>
      <c r="F896" s="556">
        <f>IF($A896&gt;BOTT_C4,ROUND(BASE_C4+RATE_C4*($A896-BOTT_C4),0),IF($A896&gt;BOTT_C3,ROUND(BASE_C3+RATE_C3*($A896-BOTT_C3),0),IF($A896&gt;BOTT_C2,ROUND(BASE_C2+RATE_C2*($A896-BOTT_C2),0),ROUND(RATE_C1*$A896,0))))</f>
        <v/>
      </c>
      <c r="G896" s="556">
        <f>IF($A896&gt;BOTT_D4,ROUND(BASE_D4+RATE_D4*($A896-BOTT_D4),0),IF($A896&gt;BOTT_D3,ROUND(BASE_D3+RATE_D3*($A896-BOTT_D3),0),IF($A896&gt;BOTT_D2,ROUND(BASE_D2+RATE_D2*($A896-BOTT_D2),0),ROUND(RATE_D1*$A896,0))))</f>
        <v/>
      </c>
    </row>
    <row r="897" ht="15.75" customHeight="1" s="7635">
      <c r="A897" s="625">
        <f>AVERAGE(B897,C897)</f>
        <v/>
      </c>
      <c r="B897" s="555" t="n">
        <v>41650</v>
      </c>
      <c r="C897" s="555" t="n">
        <v>41700</v>
      </c>
      <c r="D897" s="556">
        <f>IF($A897&gt;BOTT_A4,ROUND(BASE_A4+RATE_A4*($A897-BOTT_A4),0),IF($A897&gt;BOTT_A3,ROUND(BASE_A3+RATE_A3*($A897-BOTT_A3),0),IF($A897&gt;BOTT_A2,ROUND(BASE_A2+RATE_A2*($A897-BOTT_A2),0),ROUND(RATE_A1*$A897,0))))</f>
        <v/>
      </c>
      <c r="E897" s="556">
        <f>IF($A897&gt;BOTT_B4,ROUND(BASE_B4+RATE_B4*($A897-BOTT_B4),0),IF($A897&gt;BOTT_B3,ROUND(BASE_B3+RATE_B3*($A897-BOTT_B3),0),IF($A897&gt;BOTT_B2,ROUND(BASE_B2+RATE_B2*($A897-BOTT_B2),0),ROUND(RATE_B1*$A897,0))))</f>
        <v/>
      </c>
      <c r="F897" s="556">
        <f>IF($A897&gt;BOTT_C4,ROUND(BASE_C4+RATE_C4*($A897-BOTT_C4),0),IF($A897&gt;BOTT_C3,ROUND(BASE_C3+RATE_C3*($A897-BOTT_C3),0),IF($A897&gt;BOTT_C2,ROUND(BASE_C2+RATE_C2*($A897-BOTT_C2),0),ROUND(RATE_C1*$A897,0))))</f>
        <v/>
      </c>
      <c r="G897" s="556">
        <f>IF($A897&gt;BOTT_D4,ROUND(BASE_D4+RATE_D4*($A897-BOTT_D4),0),IF($A897&gt;BOTT_D3,ROUND(BASE_D3+RATE_D3*($A897-BOTT_D3),0),IF($A897&gt;BOTT_D2,ROUND(BASE_D2+RATE_D2*($A897-BOTT_D2),0),ROUND(RATE_D1*$A897,0))))</f>
        <v/>
      </c>
    </row>
    <row r="898" ht="15.75" customHeight="1" s="7635">
      <c r="A898" s="625">
        <f>AVERAGE(B898,C898)</f>
        <v/>
      </c>
      <c r="B898" s="555" t="n">
        <v>41700</v>
      </c>
      <c r="C898" s="555" t="n">
        <v>41750</v>
      </c>
      <c r="D898" s="556">
        <f>IF($A898&gt;BOTT_A4,ROUND(BASE_A4+RATE_A4*($A898-BOTT_A4),0),IF($A898&gt;BOTT_A3,ROUND(BASE_A3+RATE_A3*($A898-BOTT_A3),0),IF($A898&gt;BOTT_A2,ROUND(BASE_A2+RATE_A2*($A898-BOTT_A2),0),ROUND(RATE_A1*$A898,0))))</f>
        <v/>
      </c>
      <c r="E898" s="556">
        <f>IF($A898&gt;BOTT_B4,ROUND(BASE_B4+RATE_B4*($A898-BOTT_B4),0),IF($A898&gt;BOTT_B3,ROUND(BASE_B3+RATE_B3*($A898-BOTT_B3),0),IF($A898&gt;BOTT_B2,ROUND(BASE_B2+RATE_B2*($A898-BOTT_B2),0),ROUND(RATE_B1*$A898,0))))</f>
        <v/>
      </c>
      <c r="F898" s="556">
        <f>IF($A898&gt;BOTT_C4,ROUND(BASE_C4+RATE_C4*($A898-BOTT_C4),0),IF($A898&gt;BOTT_C3,ROUND(BASE_C3+RATE_C3*($A898-BOTT_C3),0),IF($A898&gt;BOTT_C2,ROUND(BASE_C2+RATE_C2*($A898-BOTT_C2),0),ROUND(RATE_C1*$A898,0))))</f>
        <v/>
      </c>
      <c r="G898" s="556">
        <f>IF($A898&gt;BOTT_D4,ROUND(BASE_D4+RATE_D4*($A898-BOTT_D4),0),IF($A898&gt;BOTT_D3,ROUND(BASE_D3+RATE_D3*($A898-BOTT_D3),0),IF($A898&gt;BOTT_D2,ROUND(BASE_D2+RATE_D2*($A898-BOTT_D2),0),ROUND(RATE_D1*$A898,0))))</f>
        <v/>
      </c>
    </row>
    <row r="899" ht="15.75" customHeight="1" s="7635">
      <c r="A899" s="625">
        <f>AVERAGE(B899,C899)</f>
        <v/>
      </c>
      <c r="B899" s="555" t="n">
        <v>41750</v>
      </c>
      <c r="C899" s="555" t="n">
        <v>41800</v>
      </c>
      <c r="D899" s="556">
        <f>IF($A899&gt;BOTT_A4,ROUND(BASE_A4+RATE_A4*($A899-BOTT_A4),0),IF($A899&gt;BOTT_A3,ROUND(BASE_A3+RATE_A3*($A899-BOTT_A3),0),IF($A899&gt;BOTT_A2,ROUND(BASE_A2+RATE_A2*($A899-BOTT_A2),0),ROUND(RATE_A1*$A899,0))))</f>
        <v/>
      </c>
      <c r="E899" s="556">
        <f>IF($A899&gt;BOTT_B4,ROUND(BASE_B4+RATE_B4*($A899-BOTT_B4),0),IF($A899&gt;BOTT_B3,ROUND(BASE_B3+RATE_B3*($A899-BOTT_B3),0),IF($A899&gt;BOTT_B2,ROUND(BASE_B2+RATE_B2*($A899-BOTT_B2),0),ROUND(RATE_B1*$A899,0))))</f>
        <v/>
      </c>
      <c r="F899" s="556">
        <f>IF($A899&gt;BOTT_C4,ROUND(BASE_C4+RATE_C4*($A899-BOTT_C4),0),IF($A899&gt;BOTT_C3,ROUND(BASE_C3+RATE_C3*($A899-BOTT_C3),0),IF($A899&gt;BOTT_C2,ROUND(BASE_C2+RATE_C2*($A899-BOTT_C2),0),ROUND(RATE_C1*$A899,0))))</f>
        <v/>
      </c>
      <c r="G899" s="556">
        <f>IF($A899&gt;BOTT_D4,ROUND(BASE_D4+RATE_D4*($A899-BOTT_D4),0),IF($A899&gt;BOTT_D3,ROUND(BASE_D3+RATE_D3*($A899-BOTT_D3),0),IF($A899&gt;BOTT_D2,ROUND(BASE_D2+RATE_D2*($A899-BOTT_D2),0),ROUND(RATE_D1*$A899,0))))</f>
        <v/>
      </c>
    </row>
    <row r="900" ht="15.75" customHeight="1" s="7635">
      <c r="A900" s="625">
        <f>AVERAGE(B900,C900)</f>
        <v/>
      </c>
      <c r="B900" s="555" t="n">
        <v>41800</v>
      </c>
      <c r="C900" s="555" t="n">
        <v>41850</v>
      </c>
      <c r="D900" s="556">
        <f>IF($A900&gt;BOTT_A4,ROUND(BASE_A4+RATE_A4*($A900-BOTT_A4),0),IF($A900&gt;BOTT_A3,ROUND(BASE_A3+RATE_A3*($A900-BOTT_A3),0),IF($A900&gt;BOTT_A2,ROUND(BASE_A2+RATE_A2*($A900-BOTT_A2),0),ROUND(RATE_A1*$A900,0))))</f>
        <v/>
      </c>
      <c r="E900" s="556">
        <f>IF($A900&gt;BOTT_B4,ROUND(BASE_B4+RATE_B4*($A900-BOTT_B4),0),IF($A900&gt;BOTT_B3,ROUND(BASE_B3+RATE_B3*($A900-BOTT_B3),0),IF($A900&gt;BOTT_B2,ROUND(BASE_B2+RATE_B2*($A900-BOTT_B2),0),ROUND(RATE_B1*$A900,0))))</f>
        <v/>
      </c>
      <c r="F900" s="556">
        <f>IF($A900&gt;BOTT_C4,ROUND(BASE_C4+RATE_C4*($A900-BOTT_C4),0),IF($A900&gt;BOTT_C3,ROUND(BASE_C3+RATE_C3*($A900-BOTT_C3),0),IF($A900&gt;BOTT_C2,ROUND(BASE_C2+RATE_C2*($A900-BOTT_C2),0),ROUND(RATE_C1*$A900,0))))</f>
        <v/>
      </c>
      <c r="G900" s="556">
        <f>IF($A900&gt;BOTT_D4,ROUND(BASE_D4+RATE_D4*($A900-BOTT_D4),0),IF($A900&gt;BOTT_D3,ROUND(BASE_D3+RATE_D3*($A900-BOTT_D3),0),IF($A900&gt;BOTT_D2,ROUND(BASE_D2+RATE_D2*($A900-BOTT_D2),0),ROUND(RATE_D1*$A900,0))))</f>
        <v/>
      </c>
    </row>
    <row r="901" ht="15.75" customHeight="1" s="7635">
      <c r="A901" s="625">
        <f>AVERAGE(B901,C901)</f>
        <v/>
      </c>
      <c r="B901" s="555" t="n">
        <v>41850</v>
      </c>
      <c r="C901" s="555" t="n">
        <v>41900</v>
      </c>
      <c r="D901" s="556">
        <f>IF($A901&gt;BOTT_A4,ROUND(BASE_A4+RATE_A4*($A901-BOTT_A4),0),IF($A901&gt;BOTT_A3,ROUND(BASE_A3+RATE_A3*($A901-BOTT_A3),0),IF($A901&gt;BOTT_A2,ROUND(BASE_A2+RATE_A2*($A901-BOTT_A2),0),ROUND(RATE_A1*$A901,0))))</f>
        <v/>
      </c>
      <c r="E901" s="556">
        <f>IF($A901&gt;BOTT_B4,ROUND(BASE_B4+RATE_B4*($A901-BOTT_B4),0),IF($A901&gt;BOTT_B3,ROUND(BASE_B3+RATE_B3*($A901-BOTT_B3),0),IF($A901&gt;BOTT_B2,ROUND(BASE_B2+RATE_B2*($A901-BOTT_B2),0),ROUND(RATE_B1*$A901,0))))</f>
        <v/>
      </c>
      <c r="F901" s="556">
        <f>IF($A901&gt;BOTT_C4,ROUND(BASE_C4+RATE_C4*($A901-BOTT_C4),0),IF($A901&gt;BOTT_C3,ROUND(BASE_C3+RATE_C3*($A901-BOTT_C3),0),IF($A901&gt;BOTT_C2,ROUND(BASE_C2+RATE_C2*($A901-BOTT_C2),0),ROUND(RATE_C1*$A901,0))))</f>
        <v/>
      </c>
      <c r="G901" s="556">
        <f>IF($A901&gt;BOTT_D4,ROUND(BASE_D4+RATE_D4*($A901-BOTT_D4),0),IF($A901&gt;BOTT_D3,ROUND(BASE_D3+RATE_D3*($A901-BOTT_D3),0),IF($A901&gt;BOTT_D2,ROUND(BASE_D2+RATE_D2*($A901-BOTT_D2),0),ROUND(RATE_D1*$A901,0))))</f>
        <v/>
      </c>
    </row>
    <row r="902" ht="15.75" customHeight="1" s="7635">
      <c r="A902" s="625">
        <f>AVERAGE(B902,C902)</f>
        <v/>
      </c>
      <c r="B902" s="555" t="n">
        <v>41900</v>
      </c>
      <c r="C902" s="555" t="n">
        <v>41950</v>
      </c>
      <c r="D902" s="556">
        <f>IF($A902&gt;BOTT_A4,ROUND(BASE_A4+RATE_A4*($A902-BOTT_A4),0),IF($A902&gt;BOTT_A3,ROUND(BASE_A3+RATE_A3*($A902-BOTT_A3),0),IF($A902&gt;BOTT_A2,ROUND(BASE_A2+RATE_A2*($A902-BOTT_A2),0),ROUND(RATE_A1*$A902,0))))</f>
        <v/>
      </c>
      <c r="E902" s="556">
        <f>IF($A902&gt;BOTT_B4,ROUND(BASE_B4+RATE_B4*($A902-BOTT_B4),0),IF($A902&gt;BOTT_B3,ROUND(BASE_B3+RATE_B3*($A902-BOTT_B3),0),IF($A902&gt;BOTT_B2,ROUND(BASE_B2+RATE_B2*($A902-BOTT_B2),0),ROUND(RATE_B1*$A902,0))))</f>
        <v/>
      </c>
      <c r="F902" s="556">
        <f>IF($A902&gt;BOTT_C4,ROUND(BASE_C4+RATE_C4*($A902-BOTT_C4),0),IF($A902&gt;BOTT_C3,ROUND(BASE_C3+RATE_C3*($A902-BOTT_C3),0),IF($A902&gt;BOTT_C2,ROUND(BASE_C2+RATE_C2*($A902-BOTT_C2),0),ROUND(RATE_C1*$A902,0))))</f>
        <v/>
      </c>
      <c r="G902" s="556">
        <f>IF($A902&gt;BOTT_D4,ROUND(BASE_D4+RATE_D4*($A902-BOTT_D4),0),IF($A902&gt;BOTT_D3,ROUND(BASE_D3+RATE_D3*($A902-BOTT_D3),0),IF($A902&gt;BOTT_D2,ROUND(BASE_D2+RATE_D2*($A902-BOTT_D2),0),ROUND(RATE_D1*$A902,0))))</f>
        <v/>
      </c>
    </row>
    <row r="903" ht="15.75" customHeight="1" s="7635">
      <c r="A903" s="625">
        <f>AVERAGE(B903,C903)</f>
        <v/>
      </c>
      <c r="B903" s="555" t="n">
        <v>41950</v>
      </c>
      <c r="C903" s="555" t="n">
        <v>42000</v>
      </c>
      <c r="D903" s="556">
        <f>IF($A903&gt;BOTT_A4,ROUND(BASE_A4+RATE_A4*($A903-BOTT_A4),0),IF($A903&gt;BOTT_A3,ROUND(BASE_A3+RATE_A3*($A903-BOTT_A3),0),IF($A903&gt;BOTT_A2,ROUND(BASE_A2+RATE_A2*($A903-BOTT_A2),0),ROUND(RATE_A1*$A903,0))))</f>
        <v/>
      </c>
      <c r="E903" s="556">
        <f>IF($A903&gt;BOTT_B4,ROUND(BASE_B4+RATE_B4*($A903-BOTT_B4),0),IF($A903&gt;BOTT_B3,ROUND(BASE_B3+RATE_B3*($A903-BOTT_B3),0),IF($A903&gt;BOTT_B2,ROUND(BASE_B2+RATE_B2*($A903-BOTT_B2),0),ROUND(RATE_B1*$A903,0))))</f>
        <v/>
      </c>
      <c r="F903" s="556">
        <f>IF($A903&gt;BOTT_C4,ROUND(BASE_C4+RATE_C4*($A903-BOTT_C4),0),IF($A903&gt;BOTT_C3,ROUND(BASE_C3+RATE_C3*($A903-BOTT_C3),0),IF($A903&gt;BOTT_C2,ROUND(BASE_C2+RATE_C2*($A903-BOTT_C2),0),ROUND(RATE_C1*$A903,0))))</f>
        <v/>
      </c>
      <c r="G903" s="556">
        <f>IF($A903&gt;BOTT_D4,ROUND(BASE_D4+RATE_D4*($A903-BOTT_D4),0),IF($A903&gt;BOTT_D3,ROUND(BASE_D3+RATE_D3*($A903-BOTT_D3),0),IF($A903&gt;BOTT_D2,ROUND(BASE_D2+RATE_D2*($A903-BOTT_D2),0),ROUND(RATE_D1*$A903,0))))</f>
        <v/>
      </c>
    </row>
    <row r="904" ht="15.75" customHeight="1" s="7635">
      <c r="A904" s="625">
        <f>AVERAGE(B904,C904)</f>
        <v/>
      </c>
      <c r="B904" s="555" t="n">
        <v>42000</v>
      </c>
      <c r="C904" s="555" t="n">
        <v>42050</v>
      </c>
      <c r="D904" s="556">
        <f>IF($A904&gt;BOTT_A4,ROUND(BASE_A4+RATE_A4*($A904-BOTT_A4),0),IF($A904&gt;BOTT_A3,ROUND(BASE_A3+RATE_A3*($A904-BOTT_A3),0),IF($A904&gt;BOTT_A2,ROUND(BASE_A2+RATE_A2*($A904-BOTT_A2),0),ROUND(RATE_A1*$A904,0))))</f>
        <v/>
      </c>
      <c r="E904" s="556">
        <f>IF($A904&gt;BOTT_B4,ROUND(BASE_B4+RATE_B4*($A904-BOTT_B4),0),IF($A904&gt;BOTT_B3,ROUND(BASE_B3+RATE_B3*($A904-BOTT_B3),0),IF($A904&gt;BOTT_B2,ROUND(BASE_B2+RATE_B2*($A904-BOTT_B2),0),ROUND(RATE_B1*$A904,0))))</f>
        <v/>
      </c>
      <c r="F904" s="556">
        <f>IF($A904&gt;BOTT_C4,ROUND(BASE_C4+RATE_C4*($A904-BOTT_C4),0),IF($A904&gt;BOTT_C3,ROUND(BASE_C3+RATE_C3*($A904-BOTT_C3),0),IF($A904&gt;BOTT_C2,ROUND(BASE_C2+RATE_C2*($A904-BOTT_C2),0),ROUND(RATE_C1*$A904,0))))</f>
        <v/>
      </c>
      <c r="G904" s="556">
        <f>IF($A904&gt;BOTT_D4,ROUND(BASE_D4+RATE_D4*($A904-BOTT_D4),0),IF($A904&gt;BOTT_D3,ROUND(BASE_D3+RATE_D3*($A904-BOTT_D3),0),IF($A904&gt;BOTT_D2,ROUND(BASE_D2+RATE_D2*($A904-BOTT_D2),0),ROUND(RATE_D1*$A904,0))))</f>
        <v/>
      </c>
    </row>
    <row r="905" ht="15.75" customHeight="1" s="7635">
      <c r="A905" s="625">
        <f>AVERAGE(B905,C905)</f>
        <v/>
      </c>
      <c r="B905" s="555" t="n">
        <v>42050</v>
      </c>
      <c r="C905" s="555" t="n">
        <v>42100</v>
      </c>
      <c r="D905" s="556">
        <f>IF($A905&gt;BOTT_A4,ROUND(BASE_A4+RATE_A4*($A905-BOTT_A4),0),IF($A905&gt;BOTT_A3,ROUND(BASE_A3+RATE_A3*($A905-BOTT_A3),0),IF($A905&gt;BOTT_A2,ROUND(BASE_A2+RATE_A2*($A905-BOTT_A2),0),ROUND(RATE_A1*$A905,0))))</f>
        <v/>
      </c>
      <c r="E905" s="556">
        <f>IF($A905&gt;BOTT_B4,ROUND(BASE_B4+RATE_B4*($A905-BOTT_B4),0),IF($A905&gt;BOTT_B3,ROUND(BASE_B3+RATE_B3*($A905-BOTT_B3),0),IF($A905&gt;BOTT_B2,ROUND(BASE_B2+RATE_B2*($A905-BOTT_B2),0),ROUND(RATE_B1*$A905,0))))</f>
        <v/>
      </c>
      <c r="F905" s="556">
        <f>IF($A905&gt;BOTT_C4,ROUND(BASE_C4+RATE_C4*($A905-BOTT_C4),0),IF($A905&gt;BOTT_C3,ROUND(BASE_C3+RATE_C3*($A905-BOTT_C3),0),IF($A905&gt;BOTT_C2,ROUND(BASE_C2+RATE_C2*($A905-BOTT_C2),0),ROUND(RATE_C1*$A905,0))))</f>
        <v/>
      </c>
      <c r="G905" s="556">
        <f>IF($A905&gt;BOTT_D4,ROUND(BASE_D4+RATE_D4*($A905-BOTT_D4),0),IF($A905&gt;BOTT_D3,ROUND(BASE_D3+RATE_D3*($A905-BOTT_D3),0),IF($A905&gt;BOTT_D2,ROUND(BASE_D2+RATE_D2*($A905-BOTT_D2),0),ROUND(RATE_D1*$A905,0))))</f>
        <v/>
      </c>
    </row>
    <row r="906" ht="15.75" customHeight="1" s="7635">
      <c r="A906" s="625">
        <f>AVERAGE(B906,C906)</f>
        <v/>
      </c>
      <c r="B906" s="555" t="n">
        <v>42100</v>
      </c>
      <c r="C906" s="555" t="n">
        <v>42150</v>
      </c>
      <c r="D906" s="556">
        <f>IF($A906&gt;BOTT_A4,ROUND(BASE_A4+RATE_A4*($A906-BOTT_A4),0),IF($A906&gt;BOTT_A3,ROUND(BASE_A3+RATE_A3*($A906-BOTT_A3),0),IF($A906&gt;BOTT_A2,ROUND(BASE_A2+RATE_A2*($A906-BOTT_A2),0),ROUND(RATE_A1*$A906,0))))</f>
        <v/>
      </c>
      <c r="E906" s="556">
        <f>IF($A906&gt;BOTT_B4,ROUND(BASE_B4+RATE_B4*($A906-BOTT_B4),0),IF($A906&gt;BOTT_B3,ROUND(BASE_B3+RATE_B3*($A906-BOTT_B3),0),IF($A906&gt;BOTT_B2,ROUND(BASE_B2+RATE_B2*($A906-BOTT_B2),0),ROUND(RATE_B1*$A906,0))))</f>
        <v/>
      </c>
      <c r="F906" s="556">
        <f>IF($A906&gt;BOTT_C4,ROUND(BASE_C4+RATE_C4*($A906-BOTT_C4),0),IF($A906&gt;BOTT_C3,ROUND(BASE_C3+RATE_C3*($A906-BOTT_C3),0),IF($A906&gt;BOTT_C2,ROUND(BASE_C2+RATE_C2*($A906-BOTT_C2),0),ROUND(RATE_C1*$A906,0))))</f>
        <v/>
      </c>
      <c r="G906" s="556">
        <f>IF($A906&gt;BOTT_D4,ROUND(BASE_D4+RATE_D4*($A906-BOTT_D4),0),IF($A906&gt;BOTT_D3,ROUND(BASE_D3+RATE_D3*($A906-BOTT_D3),0),IF($A906&gt;BOTT_D2,ROUND(BASE_D2+RATE_D2*($A906-BOTT_D2),0),ROUND(RATE_D1*$A906,0))))</f>
        <v/>
      </c>
    </row>
    <row r="907" ht="15.75" customHeight="1" s="7635">
      <c r="A907" s="625">
        <f>AVERAGE(B907,C907)</f>
        <v/>
      </c>
      <c r="B907" s="555" t="n">
        <v>42150</v>
      </c>
      <c r="C907" s="555" t="n">
        <v>42200</v>
      </c>
      <c r="D907" s="556">
        <f>IF($A907&gt;BOTT_A4,ROUND(BASE_A4+RATE_A4*($A907-BOTT_A4),0),IF($A907&gt;BOTT_A3,ROUND(BASE_A3+RATE_A3*($A907-BOTT_A3),0),IF($A907&gt;BOTT_A2,ROUND(BASE_A2+RATE_A2*($A907-BOTT_A2),0),ROUND(RATE_A1*$A907,0))))</f>
        <v/>
      </c>
      <c r="E907" s="556">
        <f>IF($A907&gt;BOTT_B4,ROUND(BASE_B4+RATE_B4*($A907-BOTT_B4),0),IF($A907&gt;BOTT_B3,ROUND(BASE_B3+RATE_B3*($A907-BOTT_B3),0),IF($A907&gt;BOTT_B2,ROUND(BASE_B2+RATE_B2*($A907-BOTT_B2),0),ROUND(RATE_B1*$A907,0))))</f>
        <v/>
      </c>
      <c r="F907" s="556">
        <f>IF($A907&gt;BOTT_C4,ROUND(BASE_C4+RATE_C4*($A907-BOTT_C4),0),IF($A907&gt;BOTT_C3,ROUND(BASE_C3+RATE_C3*($A907-BOTT_C3),0),IF($A907&gt;BOTT_C2,ROUND(BASE_C2+RATE_C2*($A907-BOTT_C2),0),ROUND(RATE_C1*$A907,0))))</f>
        <v/>
      </c>
      <c r="G907" s="556">
        <f>IF($A907&gt;BOTT_D4,ROUND(BASE_D4+RATE_D4*($A907-BOTT_D4),0),IF($A907&gt;BOTT_D3,ROUND(BASE_D3+RATE_D3*($A907-BOTT_D3),0),IF($A907&gt;BOTT_D2,ROUND(BASE_D2+RATE_D2*($A907-BOTT_D2),0),ROUND(RATE_D1*$A907,0))))</f>
        <v/>
      </c>
    </row>
    <row r="908" ht="15.75" customHeight="1" s="7635">
      <c r="A908" s="625">
        <f>AVERAGE(B908,C908)</f>
        <v/>
      </c>
      <c r="B908" s="555" t="n">
        <v>42200</v>
      </c>
      <c r="C908" s="555" t="n">
        <v>42250</v>
      </c>
      <c r="D908" s="556">
        <f>IF($A908&gt;BOTT_A4,ROUND(BASE_A4+RATE_A4*($A908-BOTT_A4),0),IF($A908&gt;BOTT_A3,ROUND(BASE_A3+RATE_A3*($A908-BOTT_A3),0),IF($A908&gt;BOTT_A2,ROUND(BASE_A2+RATE_A2*($A908-BOTT_A2),0),ROUND(RATE_A1*$A908,0))))</f>
        <v/>
      </c>
      <c r="E908" s="556">
        <f>IF($A908&gt;BOTT_B4,ROUND(BASE_B4+RATE_B4*($A908-BOTT_B4),0),IF($A908&gt;BOTT_B3,ROUND(BASE_B3+RATE_B3*($A908-BOTT_B3),0),IF($A908&gt;BOTT_B2,ROUND(BASE_B2+RATE_B2*($A908-BOTT_B2),0),ROUND(RATE_B1*$A908,0))))</f>
        <v/>
      </c>
      <c r="F908" s="556">
        <f>IF($A908&gt;BOTT_C4,ROUND(BASE_C4+RATE_C4*($A908-BOTT_C4),0),IF($A908&gt;BOTT_C3,ROUND(BASE_C3+RATE_C3*($A908-BOTT_C3),0),IF($A908&gt;BOTT_C2,ROUND(BASE_C2+RATE_C2*($A908-BOTT_C2),0),ROUND(RATE_C1*$A908,0))))</f>
        <v/>
      </c>
      <c r="G908" s="556">
        <f>IF($A908&gt;BOTT_D4,ROUND(BASE_D4+RATE_D4*($A908-BOTT_D4),0),IF($A908&gt;BOTT_D3,ROUND(BASE_D3+RATE_D3*($A908-BOTT_D3),0),IF($A908&gt;BOTT_D2,ROUND(BASE_D2+RATE_D2*($A908-BOTT_D2),0),ROUND(RATE_D1*$A908,0))))</f>
        <v/>
      </c>
    </row>
    <row r="909" ht="15.75" customHeight="1" s="7635">
      <c r="A909" s="625">
        <f>AVERAGE(B909,C909)</f>
        <v/>
      </c>
      <c r="B909" s="555" t="n">
        <v>42250</v>
      </c>
      <c r="C909" s="555" t="n">
        <v>42300</v>
      </c>
      <c r="D909" s="556">
        <f>IF($A909&gt;BOTT_A4,ROUND(BASE_A4+RATE_A4*($A909-BOTT_A4),0),IF($A909&gt;BOTT_A3,ROUND(BASE_A3+RATE_A3*($A909-BOTT_A3),0),IF($A909&gt;BOTT_A2,ROUND(BASE_A2+RATE_A2*($A909-BOTT_A2),0),ROUND(RATE_A1*$A909,0))))</f>
        <v/>
      </c>
      <c r="E909" s="556">
        <f>IF($A909&gt;BOTT_B4,ROUND(BASE_B4+RATE_B4*($A909-BOTT_B4),0),IF($A909&gt;BOTT_B3,ROUND(BASE_B3+RATE_B3*($A909-BOTT_B3),0),IF($A909&gt;BOTT_B2,ROUND(BASE_B2+RATE_B2*($A909-BOTT_B2),0),ROUND(RATE_B1*$A909,0))))</f>
        <v/>
      </c>
      <c r="F909" s="556">
        <f>IF($A909&gt;BOTT_C4,ROUND(BASE_C4+RATE_C4*($A909-BOTT_C4),0),IF($A909&gt;BOTT_C3,ROUND(BASE_C3+RATE_C3*($A909-BOTT_C3),0),IF($A909&gt;BOTT_C2,ROUND(BASE_C2+RATE_C2*($A909-BOTT_C2),0),ROUND(RATE_C1*$A909,0))))</f>
        <v/>
      </c>
      <c r="G909" s="556">
        <f>IF($A909&gt;BOTT_D4,ROUND(BASE_D4+RATE_D4*($A909-BOTT_D4),0),IF($A909&gt;BOTT_D3,ROUND(BASE_D3+RATE_D3*($A909-BOTT_D3),0),IF($A909&gt;BOTT_D2,ROUND(BASE_D2+RATE_D2*($A909-BOTT_D2),0),ROUND(RATE_D1*$A909,0))))</f>
        <v/>
      </c>
    </row>
    <row r="910" ht="15.75" customHeight="1" s="7635">
      <c r="A910" s="625">
        <f>AVERAGE(B910,C910)</f>
        <v/>
      </c>
      <c r="B910" s="555" t="n">
        <v>42300</v>
      </c>
      <c r="C910" s="555" t="n">
        <v>42350</v>
      </c>
      <c r="D910" s="556">
        <f>IF($A910&gt;BOTT_A4,ROUND(BASE_A4+RATE_A4*($A910-BOTT_A4),0),IF($A910&gt;BOTT_A3,ROUND(BASE_A3+RATE_A3*($A910-BOTT_A3),0),IF($A910&gt;BOTT_A2,ROUND(BASE_A2+RATE_A2*($A910-BOTT_A2),0),ROUND(RATE_A1*$A910,0))))</f>
        <v/>
      </c>
      <c r="E910" s="556">
        <f>IF($A910&gt;BOTT_B4,ROUND(BASE_B4+RATE_B4*($A910-BOTT_B4),0),IF($A910&gt;BOTT_B3,ROUND(BASE_B3+RATE_B3*($A910-BOTT_B3),0),IF($A910&gt;BOTT_B2,ROUND(BASE_B2+RATE_B2*($A910-BOTT_B2),0),ROUND(RATE_B1*$A910,0))))</f>
        <v/>
      </c>
      <c r="F910" s="556">
        <f>IF($A910&gt;BOTT_C4,ROUND(BASE_C4+RATE_C4*($A910-BOTT_C4),0),IF($A910&gt;BOTT_C3,ROUND(BASE_C3+RATE_C3*($A910-BOTT_C3),0),IF($A910&gt;BOTT_C2,ROUND(BASE_C2+RATE_C2*($A910-BOTT_C2),0),ROUND(RATE_C1*$A910,0))))</f>
        <v/>
      </c>
      <c r="G910" s="556">
        <f>IF($A910&gt;BOTT_D4,ROUND(BASE_D4+RATE_D4*($A910-BOTT_D4),0),IF($A910&gt;BOTT_D3,ROUND(BASE_D3+RATE_D3*($A910-BOTT_D3),0),IF($A910&gt;BOTT_D2,ROUND(BASE_D2+RATE_D2*($A910-BOTT_D2),0),ROUND(RATE_D1*$A910,0))))</f>
        <v/>
      </c>
    </row>
    <row r="911" ht="15.75" customHeight="1" s="7635">
      <c r="A911" s="625">
        <f>AVERAGE(B911,C911)</f>
        <v/>
      </c>
      <c r="B911" s="555" t="n">
        <v>42350</v>
      </c>
      <c r="C911" s="555" t="n">
        <v>42400</v>
      </c>
      <c r="D911" s="556">
        <f>IF($A911&gt;BOTT_A4,ROUND(BASE_A4+RATE_A4*($A911-BOTT_A4),0),IF($A911&gt;BOTT_A3,ROUND(BASE_A3+RATE_A3*($A911-BOTT_A3),0),IF($A911&gt;BOTT_A2,ROUND(BASE_A2+RATE_A2*($A911-BOTT_A2),0),ROUND(RATE_A1*$A911,0))))</f>
        <v/>
      </c>
      <c r="E911" s="556">
        <f>IF($A911&gt;BOTT_B4,ROUND(BASE_B4+RATE_B4*($A911-BOTT_B4),0),IF($A911&gt;BOTT_B3,ROUND(BASE_B3+RATE_B3*($A911-BOTT_B3),0),IF($A911&gt;BOTT_B2,ROUND(BASE_B2+RATE_B2*($A911-BOTT_B2),0),ROUND(RATE_B1*$A911,0))))</f>
        <v/>
      </c>
      <c r="F911" s="556">
        <f>IF($A911&gt;BOTT_C4,ROUND(BASE_C4+RATE_C4*($A911-BOTT_C4),0),IF($A911&gt;BOTT_C3,ROUND(BASE_C3+RATE_C3*($A911-BOTT_C3),0),IF($A911&gt;BOTT_C2,ROUND(BASE_C2+RATE_C2*($A911-BOTT_C2),0),ROUND(RATE_C1*$A911,0))))</f>
        <v/>
      </c>
      <c r="G911" s="556">
        <f>IF($A911&gt;BOTT_D4,ROUND(BASE_D4+RATE_D4*($A911-BOTT_D4),0),IF($A911&gt;BOTT_D3,ROUND(BASE_D3+RATE_D3*($A911-BOTT_D3),0),IF($A911&gt;BOTT_D2,ROUND(BASE_D2+RATE_D2*($A911-BOTT_D2),0),ROUND(RATE_D1*$A911,0))))</f>
        <v/>
      </c>
    </row>
    <row r="912" ht="15.75" customHeight="1" s="7635">
      <c r="A912" s="625">
        <f>AVERAGE(B912,C912)</f>
        <v/>
      </c>
      <c r="B912" s="555" t="n">
        <v>42400</v>
      </c>
      <c r="C912" s="555" t="n">
        <v>42450</v>
      </c>
      <c r="D912" s="556">
        <f>IF($A912&gt;BOTT_A4,ROUND(BASE_A4+RATE_A4*($A912-BOTT_A4),0),IF($A912&gt;BOTT_A3,ROUND(BASE_A3+RATE_A3*($A912-BOTT_A3),0),IF($A912&gt;BOTT_A2,ROUND(BASE_A2+RATE_A2*($A912-BOTT_A2),0),ROUND(RATE_A1*$A912,0))))</f>
        <v/>
      </c>
      <c r="E912" s="556">
        <f>IF($A912&gt;BOTT_B4,ROUND(BASE_B4+RATE_B4*($A912-BOTT_B4),0),IF($A912&gt;BOTT_B3,ROUND(BASE_B3+RATE_B3*($A912-BOTT_B3),0),IF($A912&gt;BOTT_B2,ROUND(BASE_B2+RATE_B2*($A912-BOTT_B2),0),ROUND(RATE_B1*$A912,0))))</f>
        <v/>
      </c>
      <c r="F912" s="556">
        <f>IF($A912&gt;BOTT_C4,ROUND(BASE_C4+RATE_C4*($A912-BOTT_C4),0),IF($A912&gt;BOTT_C3,ROUND(BASE_C3+RATE_C3*($A912-BOTT_C3),0),IF($A912&gt;BOTT_C2,ROUND(BASE_C2+RATE_C2*($A912-BOTT_C2),0),ROUND(RATE_C1*$A912,0))))</f>
        <v/>
      </c>
      <c r="G912" s="556">
        <f>IF($A912&gt;BOTT_D4,ROUND(BASE_D4+RATE_D4*($A912-BOTT_D4),0),IF($A912&gt;BOTT_D3,ROUND(BASE_D3+RATE_D3*($A912-BOTT_D3),0),IF($A912&gt;BOTT_D2,ROUND(BASE_D2+RATE_D2*($A912-BOTT_D2),0),ROUND(RATE_D1*$A912,0))))</f>
        <v/>
      </c>
    </row>
    <row r="913" ht="15.75" customHeight="1" s="7635">
      <c r="A913" s="625">
        <f>AVERAGE(B913,C913)</f>
        <v/>
      </c>
      <c r="B913" s="555" t="n">
        <v>42450</v>
      </c>
      <c r="C913" s="555" t="n">
        <v>42500</v>
      </c>
      <c r="D913" s="556">
        <f>IF($A913&gt;BOTT_A4,ROUND(BASE_A4+RATE_A4*($A913-BOTT_A4),0),IF($A913&gt;BOTT_A3,ROUND(BASE_A3+RATE_A3*($A913-BOTT_A3),0),IF($A913&gt;BOTT_A2,ROUND(BASE_A2+RATE_A2*($A913-BOTT_A2),0),ROUND(RATE_A1*$A913,0))))</f>
        <v/>
      </c>
      <c r="E913" s="556">
        <f>IF($A913&gt;BOTT_B4,ROUND(BASE_B4+RATE_B4*($A913-BOTT_B4),0),IF($A913&gt;BOTT_B3,ROUND(BASE_B3+RATE_B3*($A913-BOTT_B3),0),IF($A913&gt;BOTT_B2,ROUND(BASE_B2+RATE_B2*($A913-BOTT_B2),0),ROUND(RATE_B1*$A913,0))))</f>
        <v/>
      </c>
      <c r="F913" s="556">
        <f>IF($A913&gt;BOTT_C4,ROUND(BASE_C4+RATE_C4*($A913-BOTT_C4),0),IF($A913&gt;BOTT_C3,ROUND(BASE_C3+RATE_C3*($A913-BOTT_C3),0),IF($A913&gt;BOTT_C2,ROUND(BASE_C2+RATE_C2*($A913-BOTT_C2),0),ROUND(RATE_C1*$A913,0))))</f>
        <v/>
      </c>
      <c r="G913" s="556">
        <f>IF($A913&gt;BOTT_D4,ROUND(BASE_D4+RATE_D4*($A913-BOTT_D4),0),IF($A913&gt;BOTT_D3,ROUND(BASE_D3+RATE_D3*($A913-BOTT_D3),0),IF($A913&gt;BOTT_D2,ROUND(BASE_D2+RATE_D2*($A913-BOTT_D2),0),ROUND(RATE_D1*$A913,0))))</f>
        <v/>
      </c>
    </row>
    <row r="914" ht="15.75" customHeight="1" s="7635">
      <c r="A914" s="625">
        <f>AVERAGE(B914,C914)</f>
        <v/>
      </c>
      <c r="B914" s="555" t="n">
        <v>42500</v>
      </c>
      <c r="C914" s="555" t="n">
        <v>42550</v>
      </c>
      <c r="D914" s="556">
        <f>IF($A914&gt;BOTT_A4,ROUND(BASE_A4+RATE_A4*($A914-BOTT_A4),0),IF($A914&gt;BOTT_A3,ROUND(BASE_A3+RATE_A3*($A914-BOTT_A3),0),IF($A914&gt;BOTT_A2,ROUND(BASE_A2+RATE_A2*($A914-BOTT_A2),0),ROUND(RATE_A1*$A914,0))))</f>
        <v/>
      </c>
      <c r="E914" s="556">
        <f>IF($A914&gt;BOTT_B4,ROUND(BASE_B4+RATE_B4*($A914-BOTT_B4),0),IF($A914&gt;BOTT_B3,ROUND(BASE_B3+RATE_B3*($A914-BOTT_B3),0),IF($A914&gt;BOTT_B2,ROUND(BASE_B2+RATE_B2*($A914-BOTT_B2),0),ROUND(RATE_B1*$A914,0))))</f>
        <v/>
      </c>
      <c r="F914" s="556">
        <f>IF($A914&gt;BOTT_C4,ROUND(BASE_C4+RATE_C4*($A914-BOTT_C4),0),IF($A914&gt;BOTT_C3,ROUND(BASE_C3+RATE_C3*($A914-BOTT_C3),0),IF($A914&gt;BOTT_C2,ROUND(BASE_C2+RATE_C2*($A914-BOTT_C2),0),ROUND(RATE_C1*$A914,0))))</f>
        <v/>
      </c>
      <c r="G914" s="556">
        <f>IF($A914&gt;BOTT_D4,ROUND(BASE_D4+RATE_D4*($A914-BOTT_D4),0),IF($A914&gt;BOTT_D3,ROUND(BASE_D3+RATE_D3*($A914-BOTT_D3),0),IF($A914&gt;BOTT_D2,ROUND(BASE_D2+RATE_D2*($A914-BOTT_D2),0),ROUND(RATE_D1*$A914,0))))</f>
        <v/>
      </c>
    </row>
    <row r="915" ht="15.75" customHeight="1" s="7635">
      <c r="A915" s="625">
        <f>AVERAGE(B915,C915)</f>
        <v/>
      </c>
      <c r="B915" s="555" t="n">
        <v>42550</v>
      </c>
      <c r="C915" s="555" t="n">
        <v>42600</v>
      </c>
      <c r="D915" s="556">
        <f>IF($A915&gt;BOTT_A4,ROUND(BASE_A4+RATE_A4*($A915-BOTT_A4),0),IF($A915&gt;BOTT_A3,ROUND(BASE_A3+RATE_A3*($A915-BOTT_A3),0),IF($A915&gt;BOTT_A2,ROUND(BASE_A2+RATE_A2*($A915-BOTT_A2),0),ROUND(RATE_A1*$A915,0))))</f>
        <v/>
      </c>
      <c r="E915" s="556">
        <f>IF($A915&gt;BOTT_B4,ROUND(BASE_B4+RATE_B4*($A915-BOTT_B4),0),IF($A915&gt;BOTT_B3,ROUND(BASE_B3+RATE_B3*($A915-BOTT_B3),0),IF($A915&gt;BOTT_B2,ROUND(BASE_B2+RATE_B2*($A915-BOTT_B2),0),ROUND(RATE_B1*$A915,0))))</f>
        <v/>
      </c>
      <c r="F915" s="556">
        <f>IF($A915&gt;BOTT_C4,ROUND(BASE_C4+RATE_C4*($A915-BOTT_C4),0),IF($A915&gt;BOTT_C3,ROUND(BASE_C3+RATE_C3*($A915-BOTT_C3),0),IF($A915&gt;BOTT_C2,ROUND(BASE_C2+RATE_C2*($A915-BOTT_C2),0),ROUND(RATE_C1*$A915,0))))</f>
        <v/>
      </c>
      <c r="G915" s="556">
        <f>IF($A915&gt;BOTT_D4,ROUND(BASE_D4+RATE_D4*($A915-BOTT_D4),0),IF($A915&gt;BOTT_D3,ROUND(BASE_D3+RATE_D3*($A915-BOTT_D3),0),IF($A915&gt;BOTT_D2,ROUND(BASE_D2+RATE_D2*($A915-BOTT_D2),0),ROUND(RATE_D1*$A915,0))))</f>
        <v/>
      </c>
    </row>
    <row r="916" ht="15.75" customHeight="1" s="7635">
      <c r="A916" s="625">
        <f>AVERAGE(B916,C916)</f>
        <v/>
      </c>
      <c r="B916" s="555" t="n">
        <v>42600</v>
      </c>
      <c r="C916" s="555" t="n">
        <v>42650</v>
      </c>
      <c r="D916" s="556">
        <f>IF($A916&gt;BOTT_A4,ROUND(BASE_A4+RATE_A4*($A916-BOTT_A4),0),IF($A916&gt;BOTT_A3,ROUND(BASE_A3+RATE_A3*($A916-BOTT_A3),0),IF($A916&gt;BOTT_A2,ROUND(BASE_A2+RATE_A2*($A916-BOTT_A2),0),ROUND(RATE_A1*$A916,0))))</f>
        <v/>
      </c>
      <c r="E916" s="556">
        <f>IF($A916&gt;BOTT_B4,ROUND(BASE_B4+RATE_B4*($A916-BOTT_B4),0),IF($A916&gt;BOTT_B3,ROUND(BASE_B3+RATE_B3*($A916-BOTT_B3),0),IF($A916&gt;BOTT_B2,ROUND(BASE_B2+RATE_B2*($A916-BOTT_B2),0),ROUND(RATE_B1*$A916,0))))</f>
        <v/>
      </c>
      <c r="F916" s="556">
        <f>IF($A916&gt;BOTT_C4,ROUND(BASE_C4+RATE_C4*($A916-BOTT_C4),0),IF($A916&gt;BOTT_C3,ROUND(BASE_C3+RATE_C3*($A916-BOTT_C3),0),IF($A916&gt;BOTT_C2,ROUND(BASE_C2+RATE_C2*($A916-BOTT_C2),0),ROUND(RATE_C1*$A916,0))))</f>
        <v/>
      </c>
      <c r="G916" s="556">
        <f>IF($A916&gt;BOTT_D4,ROUND(BASE_D4+RATE_D4*($A916-BOTT_D4),0),IF($A916&gt;BOTT_D3,ROUND(BASE_D3+RATE_D3*($A916-BOTT_D3),0),IF($A916&gt;BOTT_D2,ROUND(BASE_D2+RATE_D2*($A916-BOTT_D2),0),ROUND(RATE_D1*$A916,0))))</f>
        <v/>
      </c>
    </row>
    <row r="917" ht="15.75" customHeight="1" s="7635">
      <c r="A917" s="625">
        <f>AVERAGE(B917,C917)</f>
        <v/>
      </c>
      <c r="B917" s="555" t="n">
        <v>42650</v>
      </c>
      <c r="C917" s="555" t="n">
        <v>42700</v>
      </c>
      <c r="D917" s="556">
        <f>IF($A917&gt;BOTT_A4,ROUND(BASE_A4+RATE_A4*($A917-BOTT_A4),0),IF($A917&gt;BOTT_A3,ROUND(BASE_A3+RATE_A3*($A917-BOTT_A3),0),IF($A917&gt;BOTT_A2,ROUND(BASE_A2+RATE_A2*($A917-BOTT_A2),0),ROUND(RATE_A1*$A917,0))))</f>
        <v/>
      </c>
      <c r="E917" s="556">
        <f>IF($A917&gt;BOTT_B4,ROUND(BASE_B4+RATE_B4*($A917-BOTT_B4),0),IF($A917&gt;BOTT_B3,ROUND(BASE_B3+RATE_B3*($A917-BOTT_B3),0),IF($A917&gt;BOTT_B2,ROUND(BASE_B2+RATE_B2*($A917-BOTT_B2),0),ROUND(RATE_B1*$A917,0))))</f>
        <v/>
      </c>
      <c r="F917" s="556">
        <f>IF($A917&gt;BOTT_C4,ROUND(BASE_C4+RATE_C4*($A917-BOTT_C4),0),IF($A917&gt;BOTT_C3,ROUND(BASE_C3+RATE_C3*($A917-BOTT_C3),0),IF($A917&gt;BOTT_C2,ROUND(BASE_C2+RATE_C2*($A917-BOTT_C2),0),ROUND(RATE_C1*$A917,0))))</f>
        <v/>
      </c>
      <c r="G917" s="556">
        <f>IF($A917&gt;BOTT_D4,ROUND(BASE_D4+RATE_D4*($A917-BOTT_D4),0),IF($A917&gt;BOTT_D3,ROUND(BASE_D3+RATE_D3*($A917-BOTT_D3),0),IF($A917&gt;BOTT_D2,ROUND(BASE_D2+RATE_D2*($A917-BOTT_D2),0),ROUND(RATE_D1*$A917,0))))</f>
        <v/>
      </c>
    </row>
    <row r="918" ht="15.75" customHeight="1" s="7635">
      <c r="A918" s="625">
        <f>AVERAGE(B918,C918)</f>
        <v/>
      </c>
      <c r="B918" s="555" t="n">
        <v>42700</v>
      </c>
      <c r="C918" s="555" t="n">
        <v>42750</v>
      </c>
      <c r="D918" s="556">
        <f>IF($A918&gt;BOTT_A4,ROUND(BASE_A4+RATE_A4*($A918-BOTT_A4),0),IF($A918&gt;BOTT_A3,ROUND(BASE_A3+RATE_A3*($A918-BOTT_A3),0),IF($A918&gt;BOTT_A2,ROUND(BASE_A2+RATE_A2*($A918-BOTT_A2),0),ROUND(RATE_A1*$A918,0))))</f>
        <v/>
      </c>
      <c r="E918" s="556">
        <f>IF($A918&gt;BOTT_B4,ROUND(BASE_B4+RATE_B4*($A918-BOTT_B4),0),IF($A918&gt;BOTT_B3,ROUND(BASE_B3+RATE_B3*($A918-BOTT_B3),0),IF($A918&gt;BOTT_B2,ROUND(BASE_B2+RATE_B2*($A918-BOTT_B2),0),ROUND(RATE_B1*$A918,0))))</f>
        <v/>
      </c>
      <c r="F918" s="556">
        <f>IF($A918&gt;BOTT_C4,ROUND(BASE_C4+RATE_C4*($A918-BOTT_C4),0),IF($A918&gt;BOTT_C3,ROUND(BASE_C3+RATE_C3*($A918-BOTT_C3),0),IF($A918&gt;BOTT_C2,ROUND(BASE_C2+RATE_C2*($A918-BOTT_C2),0),ROUND(RATE_C1*$A918,0))))</f>
        <v/>
      </c>
      <c r="G918" s="556">
        <f>IF($A918&gt;BOTT_D4,ROUND(BASE_D4+RATE_D4*($A918-BOTT_D4),0),IF($A918&gt;BOTT_D3,ROUND(BASE_D3+RATE_D3*($A918-BOTT_D3),0),IF($A918&gt;BOTT_D2,ROUND(BASE_D2+RATE_D2*($A918-BOTT_D2),0),ROUND(RATE_D1*$A918,0))))</f>
        <v/>
      </c>
    </row>
    <row r="919" ht="15.75" customHeight="1" s="7635">
      <c r="A919" s="625">
        <f>AVERAGE(B919,C919)</f>
        <v/>
      </c>
      <c r="B919" s="555" t="n">
        <v>42750</v>
      </c>
      <c r="C919" s="555" t="n">
        <v>42800</v>
      </c>
      <c r="D919" s="556">
        <f>IF($A919&gt;BOTT_A4,ROUND(BASE_A4+RATE_A4*($A919-BOTT_A4),0),IF($A919&gt;BOTT_A3,ROUND(BASE_A3+RATE_A3*($A919-BOTT_A3),0),IF($A919&gt;BOTT_A2,ROUND(BASE_A2+RATE_A2*($A919-BOTT_A2),0),ROUND(RATE_A1*$A919,0))))</f>
        <v/>
      </c>
      <c r="E919" s="556">
        <f>IF($A919&gt;BOTT_B4,ROUND(BASE_B4+RATE_B4*($A919-BOTT_B4),0),IF($A919&gt;BOTT_B3,ROUND(BASE_B3+RATE_B3*($A919-BOTT_B3),0),IF($A919&gt;BOTT_B2,ROUND(BASE_B2+RATE_B2*($A919-BOTT_B2),0),ROUND(RATE_B1*$A919,0))))</f>
        <v/>
      </c>
      <c r="F919" s="556">
        <f>IF($A919&gt;BOTT_C4,ROUND(BASE_C4+RATE_C4*($A919-BOTT_C4),0),IF($A919&gt;BOTT_C3,ROUND(BASE_C3+RATE_C3*($A919-BOTT_C3),0),IF($A919&gt;BOTT_C2,ROUND(BASE_C2+RATE_C2*($A919-BOTT_C2),0),ROUND(RATE_C1*$A919,0))))</f>
        <v/>
      </c>
      <c r="G919" s="556">
        <f>IF($A919&gt;BOTT_D4,ROUND(BASE_D4+RATE_D4*($A919-BOTT_D4),0),IF($A919&gt;BOTT_D3,ROUND(BASE_D3+RATE_D3*($A919-BOTT_D3),0),IF($A919&gt;BOTT_D2,ROUND(BASE_D2+RATE_D2*($A919-BOTT_D2),0),ROUND(RATE_D1*$A919,0))))</f>
        <v/>
      </c>
    </row>
    <row r="920" ht="15.75" customHeight="1" s="7635">
      <c r="A920" s="625">
        <f>AVERAGE(B920,C920)</f>
        <v/>
      </c>
      <c r="B920" s="555" t="n">
        <v>42800</v>
      </c>
      <c r="C920" s="555" t="n">
        <v>42850</v>
      </c>
      <c r="D920" s="556">
        <f>IF($A920&gt;BOTT_A4,ROUND(BASE_A4+RATE_A4*($A920-BOTT_A4),0),IF($A920&gt;BOTT_A3,ROUND(BASE_A3+RATE_A3*($A920-BOTT_A3),0),IF($A920&gt;BOTT_A2,ROUND(BASE_A2+RATE_A2*($A920-BOTT_A2),0),ROUND(RATE_A1*$A920,0))))</f>
        <v/>
      </c>
      <c r="E920" s="556">
        <f>IF($A920&gt;BOTT_B4,ROUND(BASE_B4+RATE_B4*($A920-BOTT_B4),0),IF($A920&gt;BOTT_B3,ROUND(BASE_B3+RATE_B3*($A920-BOTT_B3),0),IF($A920&gt;BOTT_B2,ROUND(BASE_B2+RATE_B2*($A920-BOTT_B2),0),ROUND(RATE_B1*$A920,0))))</f>
        <v/>
      </c>
      <c r="F920" s="556">
        <f>IF($A920&gt;BOTT_C4,ROUND(BASE_C4+RATE_C4*($A920-BOTT_C4),0),IF($A920&gt;BOTT_C3,ROUND(BASE_C3+RATE_C3*($A920-BOTT_C3),0),IF($A920&gt;BOTT_C2,ROUND(BASE_C2+RATE_C2*($A920-BOTT_C2),0),ROUND(RATE_C1*$A920,0))))</f>
        <v/>
      </c>
      <c r="G920" s="556">
        <f>IF($A920&gt;BOTT_D4,ROUND(BASE_D4+RATE_D4*($A920-BOTT_D4),0),IF($A920&gt;BOTT_D3,ROUND(BASE_D3+RATE_D3*($A920-BOTT_D3),0),IF($A920&gt;BOTT_D2,ROUND(BASE_D2+RATE_D2*($A920-BOTT_D2),0),ROUND(RATE_D1*$A920,0))))</f>
        <v/>
      </c>
    </row>
    <row r="921" ht="15.75" customHeight="1" s="7635">
      <c r="A921" s="625">
        <f>AVERAGE(B921,C921)</f>
        <v/>
      </c>
      <c r="B921" s="555" t="n">
        <v>42850</v>
      </c>
      <c r="C921" s="555" t="n">
        <v>42900</v>
      </c>
      <c r="D921" s="556">
        <f>IF($A921&gt;BOTT_A4,ROUND(BASE_A4+RATE_A4*($A921-BOTT_A4),0),IF($A921&gt;BOTT_A3,ROUND(BASE_A3+RATE_A3*($A921-BOTT_A3),0),IF($A921&gt;BOTT_A2,ROUND(BASE_A2+RATE_A2*($A921-BOTT_A2),0),ROUND(RATE_A1*$A921,0))))</f>
        <v/>
      </c>
      <c r="E921" s="556">
        <f>IF($A921&gt;BOTT_B4,ROUND(BASE_B4+RATE_B4*($A921-BOTT_B4),0),IF($A921&gt;BOTT_B3,ROUND(BASE_B3+RATE_B3*($A921-BOTT_B3),0),IF($A921&gt;BOTT_B2,ROUND(BASE_B2+RATE_B2*($A921-BOTT_B2),0),ROUND(RATE_B1*$A921,0))))</f>
        <v/>
      </c>
      <c r="F921" s="556">
        <f>IF($A921&gt;BOTT_C4,ROUND(BASE_C4+RATE_C4*($A921-BOTT_C4),0),IF($A921&gt;BOTT_C3,ROUND(BASE_C3+RATE_C3*($A921-BOTT_C3),0),IF($A921&gt;BOTT_C2,ROUND(BASE_C2+RATE_C2*($A921-BOTT_C2),0),ROUND(RATE_C1*$A921,0))))</f>
        <v/>
      </c>
      <c r="G921" s="556">
        <f>IF($A921&gt;BOTT_D4,ROUND(BASE_D4+RATE_D4*($A921-BOTT_D4),0),IF($A921&gt;BOTT_D3,ROUND(BASE_D3+RATE_D3*($A921-BOTT_D3),0),IF($A921&gt;BOTT_D2,ROUND(BASE_D2+RATE_D2*($A921-BOTT_D2),0),ROUND(RATE_D1*$A921,0))))</f>
        <v/>
      </c>
    </row>
    <row r="922" ht="15.75" customHeight="1" s="7635">
      <c r="A922" s="625">
        <f>AVERAGE(B922,C922)</f>
        <v/>
      </c>
      <c r="B922" s="555" t="n">
        <v>42900</v>
      </c>
      <c r="C922" s="555" t="n">
        <v>42950</v>
      </c>
      <c r="D922" s="556">
        <f>IF($A922&gt;BOTT_A4,ROUND(BASE_A4+RATE_A4*($A922-BOTT_A4),0),IF($A922&gt;BOTT_A3,ROUND(BASE_A3+RATE_A3*($A922-BOTT_A3),0),IF($A922&gt;BOTT_A2,ROUND(BASE_A2+RATE_A2*($A922-BOTT_A2),0),ROUND(RATE_A1*$A922,0))))</f>
        <v/>
      </c>
      <c r="E922" s="556">
        <f>IF($A922&gt;BOTT_B4,ROUND(BASE_B4+RATE_B4*($A922-BOTT_B4),0),IF($A922&gt;BOTT_B3,ROUND(BASE_B3+RATE_B3*($A922-BOTT_B3),0),IF($A922&gt;BOTT_B2,ROUND(BASE_B2+RATE_B2*($A922-BOTT_B2),0),ROUND(RATE_B1*$A922,0))))</f>
        <v/>
      </c>
      <c r="F922" s="556">
        <f>IF($A922&gt;BOTT_C4,ROUND(BASE_C4+RATE_C4*($A922-BOTT_C4),0),IF($A922&gt;BOTT_C3,ROUND(BASE_C3+RATE_C3*($A922-BOTT_C3),0),IF($A922&gt;BOTT_C2,ROUND(BASE_C2+RATE_C2*($A922-BOTT_C2),0),ROUND(RATE_C1*$A922,0))))</f>
        <v/>
      </c>
      <c r="G922" s="556">
        <f>IF($A922&gt;BOTT_D4,ROUND(BASE_D4+RATE_D4*($A922-BOTT_D4),0),IF($A922&gt;BOTT_D3,ROUND(BASE_D3+RATE_D3*($A922-BOTT_D3),0),IF($A922&gt;BOTT_D2,ROUND(BASE_D2+RATE_D2*($A922-BOTT_D2),0),ROUND(RATE_D1*$A922,0))))</f>
        <v/>
      </c>
    </row>
    <row r="923" ht="15.75" customHeight="1" s="7635">
      <c r="A923" s="625">
        <f>AVERAGE(B923,C923)</f>
        <v/>
      </c>
      <c r="B923" s="555" t="n">
        <v>42950</v>
      </c>
      <c r="C923" s="555" t="n">
        <v>43000</v>
      </c>
      <c r="D923" s="556">
        <f>IF($A923&gt;BOTT_A4,ROUND(BASE_A4+RATE_A4*($A923-BOTT_A4),0),IF($A923&gt;BOTT_A3,ROUND(BASE_A3+RATE_A3*($A923-BOTT_A3),0),IF($A923&gt;BOTT_A2,ROUND(BASE_A2+RATE_A2*($A923-BOTT_A2),0),ROUND(RATE_A1*$A923,0))))</f>
        <v/>
      </c>
      <c r="E923" s="556">
        <f>IF($A923&gt;BOTT_B4,ROUND(BASE_B4+RATE_B4*($A923-BOTT_B4),0),IF($A923&gt;BOTT_B3,ROUND(BASE_B3+RATE_B3*($A923-BOTT_B3),0),IF($A923&gt;BOTT_B2,ROUND(BASE_B2+RATE_B2*($A923-BOTT_B2),0),ROUND(RATE_B1*$A923,0))))</f>
        <v/>
      </c>
      <c r="F923" s="556">
        <f>IF($A923&gt;BOTT_C4,ROUND(BASE_C4+RATE_C4*($A923-BOTT_C4),0),IF($A923&gt;BOTT_C3,ROUND(BASE_C3+RATE_C3*($A923-BOTT_C3),0),IF($A923&gt;BOTT_C2,ROUND(BASE_C2+RATE_C2*($A923-BOTT_C2),0),ROUND(RATE_C1*$A923,0))))</f>
        <v/>
      </c>
      <c r="G923" s="556">
        <f>IF($A923&gt;BOTT_D4,ROUND(BASE_D4+RATE_D4*($A923-BOTT_D4),0),IF($A923&gt;BOTT_D3,ROUND(BASE_D3+RATE_D3*($A923-BOTT_D3),0),IF($A923&gt;BOTT_D2,ROUND(BASE_D2+RATE_D2*($A923-BOTT_D2),0),ROUND(RATE_D1*$A923,0))))</f>
        <v/>
      </c>
    </row>
    <row r="924" ht="15.75" customHeight="1" s="7635">
      <c r="A924" s="625">
        <f>AVERAGE(B924,C924)</f>
        <v/>
      </c>
      <c r="B924" s="555" t="n">
        <v>43000</v>
      </c>
      <c r="C924" s="555" t="n">
        <v>43050</v>
      </c>
      <c r="D924" s="556">
        <f>IF($A924&gt;BOTT_A4,ROUND(BASE_A4+RATE_A4*($A924-BOTT_A4),0),IF($A924&gt;BOTT_A3,ROUND(BASE_A3+RATE_A3*($A924-BOTT_A3),0),IF($A924&gt;BOTT_A2,ROUND(BASE_A2+RATE_A2*($A924-BOTT_A2),0),ROUND(RATE_A1*$A924,0))))</f>
        <v/>
      </c>
      <c r="E924" s="556">
        <f>IF($A924&gt;BOTT_B4,ROUND(BASE_B4+RATE_B4*($A924-BOTT_B4),0),IF($A924&gt;BOTT_B3,ROUND(BASE_B3+RATE_B3*($A924-BOTT_B3),0),IF($A924&gt;BOTT_B2,ROUND(BASE_B2+RATE_B2*($A924-BOTT_B2),0),ROUND(RATE_B1*$A924,0))))</f>
        <v/>
      </c>
      <c r="F924" s="556">
        <f>IF($A924&gt;BOTT_C4,ROUND(BASE_C4+RATE_C4*($A924-BOTT_C4),0),IF($A924&gt;BOTT_C3,ROUND(BASE_C3+RATE_C3*($A924-BOTT_C3),0),IF($A924&gt;BOTT_C2,ROUND(BASE_C2+RATE_C2*($A924-BOTT_C2),0),ROUND(RATE_C1*$A924,0))))</f>
        <v/>
      </c>
      <c r="G924" s="556">
        <f>IF($A924&gt;BOTT_D4,ROUND(BASE_D4+RATE_D4*($A924-BOTT_D4),0),IF($A924&gt;BOTT_D3,ROUND(BASE_D3+RATE_D3*($A924-BOTT_D3),0),IF($A924&gt;BOTT_D2,ROUND(BASE_D2+RATE_D2*($A924-BOTT_D2),0),ROUND(RATE_D1*$A924,0))))</f>
        <v/>
      </c>
    </row>
    <row r="925" ht="15.75" customHeight="1" s="7635">
      <c r="A925" s="625">
        <f>AVERAGE(B925,C925)</f>
        <v/>
      </c>
      <c r="B925" s="555" t="n">
        <v>43050</v>
      </c>
      <c r="C925" s="555" t="n">
        <v>43100</v>
      </c>
      <c r="D925" s="556">
        <f>IF($A925&gt;BOTT_A4,ROUND(BASE_A4+RATE_A4*($A925-BOTT_A4),0),IF($A925&gt;BOTT_A3,ROUND(BASE_A3+RATE_A3*($A925-BOTT_A3),0),IF($A925&gt;BOTT_A2,ROUND(BASE_A2+RATE_A2*($A925-BOTT_A2),0),ROUND(RATE_A1*$A925,0))))</f>
        <v/>
      </c>
      <c r="E925" s="556">
        <f>IF($A925&gt;BOTT_B4,ROUND(BASE_B4+RATE_B4*($A925-BOTT_B4),0),IF($A925&gt;BOTT_B3,ROUND(BASE_B3+RATE_B3*($A925-BOTT_B3),0),IF($A925&gt;BOTT_B2,ROUND(BASE_B2+RATE_B2*($A925-BOTT_B2),0),ROUND(RATE_B1*$A925,0))))</f>
        <v/>
      </c>
      <c r="F925" s="556">
        <f>IF($A925&gt;BOTT_C4,ROUND(BASE_C4+RATE_C4*($A925-BOTT_C4),0),IF($A925&gt;BOTT_C3,ROUND(BASE_C3+RATE_C3*($A925-BOTT_C3),0),IF($A925&gt;BOTT_C2,ROUND(BASE_C2+RATE_C2*($A925-BOTT_C2),0),ROUND(RATE_C1*$A925,0))))</f>
        <v/>
      </c>
      <c r="G925" s="556">
        <f>IF($A925&gt;BOTT_D4,ROUND(BASE_D4+RATE_D4*($A925-BOTT_D4),0),IF($A925&gt;BOTT_D3,ROUND(BASE_D3+RATE_D3*($A925-BOTT_D3),0),IF($A925&gt;BOTT_D2,ROUND(BASE_D2+RATE_D2*($A925-BOTT_D2),0),ROUND(RATE_D1*$A925,0))))</f>
        <v/>
      </c>
    </row>
    <row r="926" ht="15.75" customHeight="1" s="7635">
      <c r="A926" s="625">
        <f>AVERAGE(B926,C926)</f>
        <v/>
      </c>
      <c r="B926" s="555" t="n">
        <v>43100</v>
      </c>
      <c r="C926" s="555" t="n">
        <v>43150</v>
      </c>
      <c r="D926" s="556">
        <f>IF($A926&gt;BOTT_A4,ROUND(BASE_A4+RATE_A4*($A926-BOTT_A4),0),IF($A926&gt;BOTT_A3,ROUND(BASE_A3+RATE_A3*($A926-BOTT_A3),0),IF($A926&gt;BOTT_A2,ROUND(BASE_A2+RATE_A2*($A926-BOTT_A2),0),ROUND(RATE_A1*$A926,0))))</f>
        <v/>
      </c>
      <c r="E926" s="556">
        <f>IF($A926&gt;BOTT_B4,ROUND(BASE_B4+RATE_B4*($A926-BOTT_B4),0),IF($A926&gt;BOTT_B3,ROUND(BASE_B3+RATE_B3*($A926-BOTT_B3),0),IF($A926&gt;BOTT_B2,ROUND(BASE_B2+RATE_B2*($A926-BOTT_B2),0),ROUND(RATE_B1*$A926,0))))</f>
        <v/>
      </c>
      <c r="F926" s="556">
        <f>IF($A926&gt;BOTT_C4,ROUND(BASE_C4+RATE_C4*($A926-BOTT_C4),0),IF($A926&gt;BOTT_C3,ROUND(BASE_C3+RATE_C3*($A926-BOTT_C3),0),IF($A926&gt;BOTT_C2,ROUND(BASE_C2+RATE_C2*($A926-BOTT_C2),0),ROUND(RATE_C1*$A926,0))))</f>
        <v/>
      </c>
      <c r="G926" s="556">
        <f>IF($A926&gt;BOTT_D4,ROUND(BASE_D4+RATE_D4*($A926-BOTT_D4),0),IF($A926&gt;BOTT_D3,ROUND(BASE_D3+RATE_D3*($A926-BOTT_D3),0),IF($A926&gt;BOTT_D2,ROUND(BASE_D2+RATE_D2*($A926-BOTT_D2),0),ROUND(RATE_D1*$A926,0))))</f>
        <v/>
      </c>
    </row>
    <row r="927" ht="15.75" customHeight="1" s="7635">
      <c r="A927" s="625">
        <f>AVERAGE(B927,C927)</f>
        <v/>
      </c>
      <c r="B927" s="555" t="n">
        <v>43150</v>
      </c>
      <c r="C927" s="555" t="n">
        <v>43200</v>
      </c>
      <c r="D927" s="556">
        <f>IF($A927&gt;BOTT_A4,ROUND(BASE_A4+RATE_A4*($A927-BOTT_A4),0),IF($A927&gt;BOTT_A3,ROUND(BASE_A3+RATE_A3*($A927-BOTT_A3),0),IF($A927&gt;BOTT_A2,ROUND(BASE_A2+RATE_A2*($A927-BOTT_A2),0),ROUND(RATE_A1*$A927,0))))</f>
        <v/>
      </c>
      <c r="E927" s="556">
        <f>IF($A927&gt;BOTT_B4,ROUND(BASE_B4+RATE_B4*($A927-BOTT_B4),0),IF($A927&gt;BOTT_B3,ROUND(BASE_B3+RATE_B3*($A927-BOTT_B3),0),IF($A927&gt;BOTT_B2,ROUND(BASE_B2+RATE_B2*($A927-BOTT_B2),0),ROUND(RATE_B1*$A927,0))))</f>
        <v/>
      </c>
      <c r="F927" s="556">
        <f>IF($A927&gt;BOTT_C4,ROUND(BASE_C4+RATE_C4*($A927-BOTT_C4),0),IF($A927&gt;BOTT_C3,ROUND(BASE_C3+RATE_C3*($A927-BOTT_C3),0),IF($A927&gt;BOTT_C2,ROUND(BASE_C2+RATE_C2*($A927-BOTT_C2),0),ROUND(RATE_C1*$A927,0))))</f>
        <v/>
      </c>
      <c r="G927" s="556">
        <f>IF($A927&gt;BOTT_D4,ROUND(BASE_D4+RATE_D4*($A927-BOTT_D4),0),IF($A927&gt;BOTT_D3,ROUND(BASE_D3+RATE_D3*($A927-BOTT_D3),0),IF($A927&gt;BOTT_D2,ROUND(BASE_D2+RATE_D2*($A927-BOTT_D2),0),ROUND(RATE_D1*$A927,0))))</f>
        <v/>
      </c>
    </row>
    <row r="928" ht="15.75" customHeight="1" s="7635">
      <c r="A928" s="625">
        <f>AVERAGE(B928,C928)</f>
        <v/>
      </c>
      <c r="B928" s="555" t="n">
        <v>43200</v>
      </c>
      <c r="C928" s="555" t="n">
        <v>43250</v>
      </c>
      <c r="D928" s="556">
        <f>IF($A928&gt;BOTT_A4,ROUND(BASE_A4+RATE_A4*($A928-BOTT_A4),0),IF($A928&gt;BOTT_A3,ROUND(BASE_A3+RATE_A3*($A928-BOTT_A3),0),IF($A928&gt;BOTT_A2,ROUND(BASE_A2+RATE_A2*($A928-BOTT_A2),0),ROUND(RATE_A1*$A928,0))))</f>
        <v/>
      </c>
      <c r="E928" s="556">
        <f>IF($A928&gt;BOTT_B4,ROUND(BASE_B4+RATE_B4*($A928-BOTT_B4),0),IF($A928&gt;BOTT_B3,ROUND(BASE_B3+RATE_B3*($A928-BOTT_B3),0),IF($A928&gt;BOTT_B2,ROUND(BASE_B2+RATE_B2*($A928-BOTT_B2),0),ROUND(RATE_B1*$A928,0))))</f>
        <v/>
      </c>
      <c r="F928" s="556">
        <f>IF($A928&gt;BOTT_C4,ROUND(BASE_C4+RATE_C4*($A928-BOTT_C4),0),IF($A928&gt;BOTT_C3,ROUND(BASE_C3+RATE_C3*($A928-BOTT_C3),0),IF($A928&gt;BOTT_C2,ROUND(BASE_C2+RATE_C2*($A928-BOTT_C2),0),ROUND(RATE_C1*$A928,0))))</f>
        <v/>
      </c>
      <c r="G928" s="556">
        <f>IF($A928&gt;BOTT_D4,ROUND(BASE_D4+RATE_D4*($A928-BOTT_D4),0),IF($A928&gt;BOTT_D3,ROUND(BASE_D3+RATE_D3*($A928-BOTT_D3),0),IF($A928&gt;BOTT_D2,ROUND(BASE_D2+RATE_D2*($A928-BOTT_D2),0),ROUND(RATE_D1*$A928,0))))</f>
        <v/>
      </c>
    </row>
    <row r="929" ht="15.75" customHeight="1" s="7635">
      <c r="A929" s="625">
        <f>AVERAGE(B929,C929)</f>
        <v/>
      </c>
      <c r="B929" s="555" t="n">
        <v>43250</v>
      </c>
      <c r="C929" s="555" t="n">
        <v>43300</v>
      </c>
      <c r="D929" s="556">
        <f>IF($A929&gt;BOTT_A4,ROUND(BASE_A4+RATE_A4*($A929-BOTT_A4),0),IF($A929&gt;BOTT_A3,ROUND(BASE_A3+RATE_A3*($A929-BOTT_A3),0),IF($A929&gt;BOTT_A2,ROUND(BASE_A2+RATE_A2*($A929-BOTT_A2),0),ROUND(RATE_A1*$A929,0))))</f>
        <v/>
      </c>
      <c r="E929" s="556">
        <f>IF($A929&gt;BOTT_B4,ROUND(BASE_B4+RATE_B4*($A929-BOTT_B4),0),IF($A929&gt;BOTT_B3,ROUND(BASE_B3+RATE_B3*($A929-BOTT_B3),0),IF($A929&gt;BOTT_B2,ROUND(BASE_B2+RATE_B2*($A929-BOTT_B2),0),ROUND(RATE_B1*$A929,0))))</f>
        <v/>
      </c>
      <c r="F929" s="556">
        <f>IF($A929&gt;BOTT_C4,ROUND(BASE_C4+RATE_C4*($A929-BOTT_C4),0),IF($A929&gt;BOTT_C3,ROUND(BASE_C3+RATE_C3*($A929-BOTT_C3),0),IF($A929&gt;BOTT_C2,ROUND(BASE_C2+RATE_C2*($A929-BOTT_C2),0),ROUND(RATE_C1*$A929,0))))</f>
        <v/>
      </c>
      <c r="G929" s="556">
        <f>IF($A929&gt;BOTT_D4,ROUND(BASE_D4+RATE_D4*($A929-BOTT_D4),0),IF($A929&gt;BOTT_D3,ROUND(BASE_D3+RATE_D3*($A929-BOTT_D3),0),IF($A929&gt;BOTT_D2,ROUND(BASE_D2+RATE_D2*($A929-BOTT_D2),0),ROUND(RATE_D1*$A929,0))))</f>
        <v/>
      </c>
    </row>
    <row r="930" ht="15.75" customHeight="1" s="7635">
      <c r="A930" s="625">
        <f>AVERAGE(B930,C930)</f>
        <v/>
      </c>
      <c r="B930" s="555" t="n">
        <v>43300</v>
      </c>
      <c r="C930" s="555" t="n">
        <v>43350</v>
      </c>
      <c r="D930" s="556">
        <f>IF($A930&gt;BOTT_A4,ROUND(BASE_A4+RATE_A4*($A930-BOTT_A4),0),IF($A930&gt;BOTT_A3,ROUND(BASE_A3+RATE_A3*($A930-BOTT_A3),0),IF($A930&gt;BOTT_A2,ROUND(BASE_A2+RATE_A2*($A930-BOTT_A2),0),ROUND(RATE_A1*$A930,0))))</f>
        <v/>
      </c>
      <c r="E930" s="556">
        <f>IF($A930&gt;BOTT_B4,ROUND(BASE_B4+RATE_B4*($A930-BOTT_B4),0),IF($A930&gt;BOTT_B3,ROUND(BASE_B3+RATE_B3*($A930-BOTT_B3),0),IF($A930&gt;BOTT_B2,ROUND(BASE_B2+RATE_B2*($A930-BOTT_B2),0),ROUND(RATE_B1*$A930,0))))</f>
        <v/>
      </c>
      <c r="F930" s="556">
        <f>IF($A930&gt;BOTT_C4,ROUND(BASE_C4+RATE_C4*($A930-BOTT_C4),0),IF($A930&gt;BOTT_C3,ROUND(BASE_C3+RATE_C3*($A930-BOTT_C3),0),IF($A930&gt;BOTT_C2,ROUND(BASE_C2+RATE_C2*($A930-BOTT_C2),0),ROUND(RATE_C1*$A930,0))))</f>
        <v/>
      </c>
      <c r="G930" s="556">
        <f>IF($A930&gt;BOTT_D4,ROUND(BASE_D4+RATE_D4*($A930-BOTT_D4),0),IF($A930&gt;BOTT_D3,ROUND(BASE_D3+RATE_D3*($A930-BOTT_D3),0),IF($A930&gt;BOTT_D2,ROUND(BASE_D2+RATE_D2*($A930-BOTT_D2),0),ROUND(RATE_D1*$A930,0))))</f>
        <v/>
      </c>
    </row>
    <row r="931" ht="15.75" customHeight="1" s="7635">
      <c r="A931" s="625">
        <f>AVERAGE(B931,C931)</f>
        <v/>
      </c>
      <c r="B931" s="555" t="n">
        <v>43350</v>
      </c>
      <c r="C931" s="555" t="n">
        <v>43400</v>
      </c>
      <c r="D931" s="556">
        <f>IF($A931&gt;BOTT_A4,ROUND(BASE_A4+RATE_A4*($A931-BOTT_A4),0),IF($A931&gt;BOTT_A3,ROUND(BASE_A3+RATE_A3*($A931-BOTT_A3),0),IF($A931&gt;BOTT_A2,ROUND(BASE_A2+RATE_A2*($A931-BOTT_A2),0),ROUND(RATE_A1*$A931,0))))</f>
        <v/>
      </c>
      <c r="E931" s="556">
        <f>IF($A931&gt;BOTT_B4,ROUND(BASE_B4+RATE_B4*($A931-BOTT_B4),0),IF($A931&gt;BOTT_B3,ROUND(BASE_B3+RATE_B3*($A931-BOTT_B3),0),IF($A931&gt;BOTT_B2,ROUND(BASE_B2+RATE_B2*($A931-BOTT_B2),0),ROUND(RATE_B1*$A931,0))))</f>
        <v/>
      </c>
      <c r="F931" s="556">
        <f>IF($A931&gt;BOTT_C4,ROUND(BASE_C4+RATE_C4*($A931-BOTT_C4),0),IF($A931&gt;BOTT_C3,ROUND(BASE_C3+RATE_C3*($A931-BOTT_C3),0),IF($A931&gt;BOTT_C2,ROUND(BASE_C2+RATE_C2*($A931-BOTT_C2),0),ROUND(RATE_C1*$A931,0))))</f>
        <v/>
      </c>
      <c r="G931" s="556">
        <f>IF($A931&gt;BOTT_D4,ROUND(BASE_D4+RATE_D4*($A931-BOTT_D4),0),IF($A931&gt;BOTT_D3,ROUND(BASE_D3+RATE_D3*($A931-BOTT_D3),0),IF($A931&gt;BOTT_D2,ROUND(BASE_D2+RATE_D2*($A931-BOTT_D2),0),ROUND(RATE_D1*$A931,0))))</f>
        <v/>
      </c>
    </row>
    <row r="932" ht="15.75" customHeight="1" s="7635">
      <c r="A932" s="625">
        <f>AVERAGE(B932,C932)</f>
        <v/>
      </c>
      <c r="B932" s="555" t="n">
        <v>43400</v>
      </c>
      <c r="C932" s="555" t="n">
        <v>43450</v>
      </c>
      <c r="D932" s="556">
        <f>IF($A932&gt;BOTT_A4,ROUND(BASE_A4+RATE_A4*($A932-BOTT_A4),0),IF($A932&gt;BOTT_A3,ROUND(BASE_A3+RATE_A3*($A932-BOTT_A3),0),IF($A932&gt;BOTT_A2,ROUND(BASE_A2+RATE_A2*($A932-BOTT_A2),0),ROUND(RATE_A1*$A932,0))))</f>
        <v/>
      </c>
      <c r="E932" s="556">
        <f>IF($A932&gt;BOTT_B4,ROUND(BASE_B4+RATE_B4*($A932-BOTT_B4),0),IF($A932&gt;BOTT_B3,ROUND(BASE_B3+RATE_B3*($A932-BOTT_B3),0),IF($A932&gt;BOTT_B2,ROUND(BASE_B2+RATE_B2*($A932-BOTT_B2),0),ROUND(RATE_B1*$A932,0))))</f>
        <v/>
      </c>
      <c r="F932" s="556">
        <f>IF($A932&gt;BOTT_C4,ROUND(BASE_C4+RATE_C4*($A932-BOTT_C4),0),IF($A932&gt;BOTT_C3,ROUND(BASE_C3+RATE_C3*($A932-BOTT_C3),0),IF($A932&gt;BOTT_C2,ROUND(BASE_C2+RATE_C2*($A932-BOTT_C2),0),ROUND(RATE_C1*$A932,0))))</f>
        <v/>
      </c>
      <c r="G932" s="556">
        <f>IF($A932&gt;BOTT_D4,ROUND(BASE_D4+RATE_D4*($A932-BOTT_D4),0),IF($A932&gt;BOTT_D3,ROUND(BASE_D3+RATE_D3*($A932-BOTT_D3),0),IF($A932&gt;BOTT_D2,ROUND(BASE_D2+RATE_D2*($A932-BOTT_D2),0),ROUND(RATE_D1*$A932,0))))</f>
        <v/>
      </c>
    </row>
    <row r="933" ht="15.75" customHeight="1" s="7635">
      <c r="A933" s="625">
        <f>AVERAGE(B933,C933)</f>
        <v/>
      </c>
      <c r="B933" s="555" t="n">
        <v>43450</v>
      </c>
      <c r="C933" s="555" t="n">
        <v>43500</v>
      </c>
      <c r="D933" s="556">
        <f>IF($A933&gt;BOTT_A4,ROUND(BASE_A4+RATE_A4*($A933-BOTT_A4),0),IF($A933&gt;BOTT_A3,ROUND(BASE_A3+RATE_A3*($A933-BOTT_A3),0),IF($A933&gt;BOTT_A2,ROUND(BASE_A2+RATE_A2*($A933-BOTT_A2),0),ROUND(RATE_A1*$A933,0))))</f>
        <v/>
      </c>
      <c r="E933" s="556">
        <f>IF($A933&gt;BOTT_B4,ROUND(BASE_B4+RATE_B4*($A933-BOTT_B4),0),IF($A933&gt;BOTT_B3,ROUND(BASE_B3+RATE_B3*($A933-BOTT_B3),0),IF($A933&gt;BOTT_B2,ROUND(BASE_B2+RATE_B2*($A933-BOTT_B2),0),ROUND(RATE_B1*$A933,0))))</f>
        <v/>
      </c>
      <c r="F933" s="556">
        <f>IF($A933&gt;BOTT_C4,ROUND(BASE_C4+RATE_C4*($A933-BOTT_C4),0),IF($A933&gt;BOTT_C3,ROUND(BASE_C3+RATE_C3*($A933-BOTT_C3),0),IF($A933&gt;BOTT_C2,ROUND(BASE_C2+RATE_C2*($A933-BOTT_C2),0),ROUND(RATE_C1*$A933,0))))</f>
        <v/>
      </c>
      <c r="G933" s="556">
        <f>IF($A933&gt;BOTT_D4,ROUND(BASE_D4+RATE_D4*($A933-BOTT_D4),0),IF($A933&gt;BOTT_D3,ROUND(BASE_D3+RATE_D3*($A933-BOTT_D3),0),IF($A933&gt;BOTT_D2,ROUND(BASE_D2+RATE_D2*($A933-BOTT_D2),0),ROUND(RATE_D1*$A933,0))))</f>
        <v/>
      </c>
    </row>
    <row r="934" ht="15.75" customHeight="1" s="7635">
      <c r="A934" s="625">
        <f>AVERAGE(B934,C934)</f>
        <v/>
      </c>
      <c r="B934" s="555" t="n">
        <v>43500</v>
      </c>
      <c r="C934" s="555" t="n">
        <v>43550</v>
      </c>
      <c r="D934" s="556">
        <f>IF($A934&gt;BOTT_A4,ROUND(BASE_A4+RATE_A4*($A934-BOTT_A4),0),IF($A934&gt;BOTT_A3,ROUND(BASE_A3+RATE_A3*($A934-BOTT_A3),0),IF($A934&gt;BOTT_A2,ROUND(BASE_A2+RATE_A2*($A934-BOTT_A2),0),ROUND(RATE_A1*$A934,0))))</f>
        <v/>
      </c>
      <c r="E934" s="556">
        <f>IF($A934&gt;BOTT_B4,ROUND(BASE_B4+RATE_B4*($A934-BOTT_B4),0),IF($A934&gt;BOTT_B3,ROUND(BASE_B3+RATE_B3*($A934-BOTT_B3),0),IF($A934&gt;BOTT_B2,ROUND(BASE_B2+RATE_B2*($A934-BOTT_B2),0),ROUND(RATE_B1*$A934,0))))</f>
        <v/>
      </c>
      <c r="F934" s="556">
        <f>IF($A934&gt;BOTT_C4,ROUND(BASE_C4+RATE_C4*($A934-BOTT_C4),0),IF($A934&gt;BOTT_C3,ROUND(BASE_C3+RATE_C3*($A934-BOTT_C3),0),IF($A934&gt;BOTT_C2,ROUND(BASE_C2+RATE_C2*($A934-BOTT_C2),0),ROUND(RATE_C1*$A934,0))))</f>
        <v/>
      </c>
      <c r="G934" s="556">
        <f>IF($A934&gt;BOTT_D4,ROUND(BASE_D4+RATE_D4*($A934-BOTT_D4),0),IF($A934&gt;BOTT_D3,ROUND(BASE_D3+RATE_D3*($A934-BOTT_D3),0),IF($A934&gt;BOTT_D2,ROUND(BASE_D2+RATE_D2*($A934-BOTT_D2),0),ROUND(RATE_D1*$A934,0))))</f>
        <v/>
      </c>
    </row>
    <row r="935" ht="15.75" customHeight="1" s="7635">
      <c r="A935" s="625">
        <f>AVERAGE(B935,C935)</f>
        <v/>
      </c>
      <c r="B935" s="555" t="n">
        <v>43550</v>
      </c>
      <c r="C935" s="555" t="n">
        <v>43600</v>
      </c>
      <c r="D935" s="556">
        <f>IF($A935&gt;BOTT_A4,ROUND(BASE_A4+RATE_A4*($A935-BOTT_A4),0),IF($A935&gt;BOTT_A3,ROUND(BASE_A3+RATE_A3*($A935-BOTT_A3),0),IF($A935&gt;BOTT_A2,ROUND(BASE_A2+RATE_A2*($A935-BOTT_A2),0),ROUND(RATE_A1*$A935,0))))</f>
        <v/>
      </c>
      <c r="E935" s="556">
        <f>IF($A935&gt;BOTT_B4,ROUND(BASE_B4+RATE_B4*($A935-BOTT_B4),0),IF($A935&gt;BOTT_B3,ROUND(BASE_B3+RATE_B3*($A935-BOTT_B3),0),IF($A935&gt;BOTT_B2,ROUND(BASE_B2+RATE_B2*($A935-BOTT_B2),0),ROUND(RATE_B1*$A935,0))))</f>
        <v/>
      </c>
      <c r="F935" s="556">
        <f>IF($A935&gt;BOTT_C4,ROUND(BASE_C4+RATE_C4*($A935-BOTT_C4),0),IF($A935&gt;BOTT_C3,ROUND(BASE_C3+RATE_C3*($A935-BOTT_C3),0),IF($A935&gt;BOTT_C2,ROUND(BASE_C2+RATE_C2*($A935-BOTT_C2),0),ROUND(RATE_C1*$A935,0))))</f>
        <v/>
      </c>
      <c r="G935" s="556">
        <f>IF($A935&gt;BOTT_D4,ROUND(BASE_D4+RATE_D4*($A935-BOTT_D4),0),IF($A935&gt;BOTT_D3,ROUND(BASE_D3+RATE_D3*($A935-BOTT_D3),0),IF($A935&gt;BOTT_D2,ROUND(BASE_D2+RATE_D2*($A935-BOTT_D2),0),ROUND(RATE_D1*$A935,0))))</f>
        <v/>
      </c>
    </row>
    <row r="936" ht="15.75" customHeight="1" s="7635">
      <c r="A936" s="625">
        <f>AVERAGE(B936,C936)</f>
        <v/>
      </c>
      <c r="B936" s="555" t="n">
        <v>43600</v>
      </c>
      <c r="C936" s="555" t="n">
        <v>43650</v>
      </c>
      <c r="D936" s="556">
        <f>IF($A936&gt;BOTT_A4,ROUND(BASE_A4+RATE_A4*($A936-BOTT_A4),0),IF($A936&gt;BOTT_A3,ROUND(BASE_A3+RATE_A3*($A936-BOTT_A3),0),IF($A936&gt;BOTT_A2,ROUND(BASE_A2+RATE_A2*($A936-BOTT_A2),0),ROUND(RATE_A1*$A936,0))))</f>
        <v/>
      </c>
      <c r="E936" s="556">
        <f>IF($A936&gt;BOTT_B4,ROUND(BASE_B4+RATE_B4*($A936-BOTT_B4),0),IF($A936&gt;BOTT_B3,ROUND(BASE_B3+RATE_B3*($A936-BOTT_B3),0),IF($A936&gt;BOTT_B2,ROUND(BASE_B2+RATE_B2*($A936-BOTT_B2),0),ROUND(RATE_B1*$A936,0))))</f>
        <v/>
      </c>
      <c r="F936" s="556">
        <f>IF($A936&gt;BOTT_C4,ROUND(BASE_C4+RATE_C4*($A936-BOTT_C4),0),IF($A936&gt;BOTT_C3,ROUND(BASE_C3+RATE_C3*($A936-BOTT_C3),0),IF($A936&gt;BOTT_C2,ROUND(BASE_C2+RATE_C2*($A936-BOTT_C2),0),ROUND(RATE_C1*$A936,0))))</f>
        <v/>
      </c>
      <c r="G936" s="556">
        <f>IF($A936&gt;BOTT_D4,ROUND(BASE_D4+RATE_D4*($A936-BOTT_D4),0),IF($A936&gt;BOTT_D3,ROUND(BASE_D3+RATE_D3*($A936-BOTT_D3),0),IF($A936&gt;BOTT_D2,ROUND(BASE_D2+RATE_D2*($A936-BOTT_D2),0),ROUND(RATE_D1*$A936,0))))</f>
        <v/>
      </c>
    </row>
    <row r="937" ht="15.75" customHeight="1" s="7635">
      <c r="A937" s="625">
        <f>AVERAGE(B937,C937)</f>
        <v/>
      </c>
      <c r="B937" s="555" t="n">
        <v>43650</v>
      </c>
      <c r="C937" s="555" t="n">
        <v>43700</v>
      </c>
      <c r="D937" s="556">
        <f>IF($A937&gt;BOTT_A4,ROUND(BASE_A4+RATE_A4*($A937-BOTT_A4),0),IF($A937&gt;BOTT_A3,ROUND(BASE_A3+RATE_A3*($A937-BOTT_A3),0),IF($A937&gt;BOTT_A2,ROUND(BASE_A2+RATE_A2*($A937-BOTT_A2),0),ROUND(RATE_A1*$A937,0))))</f>
        <v/>
      </c>
      <c r="E937" s="556">
        <f>IF($A937&gt;BOTT_B4,ROUND(BASE_B4+RATE_B4*($A937-BOTT_B4),0),IF($A937&gt;BOTT_B3,ROUND(BASE_B3+RATE_B3*($A937-BOTT_B3),0),IF($A937&gt;BOTT_B2,ROUND(BASE_B2+RATE_B2*($A937-BOTT_B2),0),ROUND(RATE_B1*$A937,0))))</f>
        <v/>
      </c>
      <c r="F937" s="556">
        <f>IF($A937&gt;BOTT_C4,ROUND(BASE_C4+RATE_C4*($A937-BOTT_C4),0),IF($A937&gt;BOTT_C3,ROUND(BASE_C3+RATE_C3*($A937-BOTT_C3),0),IF($A937&gt;BOTT_C2,ROUND(BASE_C2+RATE_C2*($A937-BOTT_C2),0),ROUND(RATE_C1*$A937,0))))</f>
        <v/>
      </c>
      <c r="G937" s="556">
        <f>IF($A937&gt;BOTT_D4,ROUND(BASE_D4+RATE_D4*($A937-BOTT_D4),0),IF($A937&gt;BOTT_D3,ROUND(BASE_D3+RATE_D3*($A937-BOTT_D3),0),IF($A937&gt;BOTT_D2,ROUND(BASE_D2+RATE_D2*($A937-BOTT_D2),0),ROUND(RATE_D1*$A937,0))))</f>
        <v/>
      </c>
    </row>
    <row r="938" ht="15.75" customHeight="1" s="7635">
      <c r="A938" s="625">
        <f>AVERAGE(B938,C938)</f>
        <v/>
      </c>
      <c r="B938" s="555" t="n">
        <v>43700</v>
      </c>
      <c r="C938" s="555" t="n">
        <v>43750</v>
      </c>
      <c r="D938" s="556">
        <f>IF($A938&gt;BOTT_A4,ROUND(BASE_A4+RATE_A4*($A938-BOTT_A4),0),IF($A938&gt;BOTT_A3,ROUND(BASE_A3+RATE_A3*($A938-BOTT_A3),0),IF($A938&gt;BOTT_A2,ROUND(BASE_A2+RATE_A2*($A938-BOTT_A2),0),ROUND(RATE_A1*$A938,0))))</f>
        <v/>
      </c>
      <c r="E938" s="556">
        <f>IF($A938&gt;BOTT_B4,ROUND(BASE_B4+RATE_B4*($A938-BOTT_B4),0),IF($A938&gt;BOTT_B3,ROUND(BASE_B3+RATE_B3*($A938-BOTT_B3),0),IF($A938&gt;BOTT_B2,ROUND(BASE_B2+RATE_B2*($A938-BOTT_B2),0),ROUND(RATE_B1*$A938,0))))</f>
        <v/>
      </c>
      <c r="F938" s="556">
        <f>IF($A938&gt;BOTT_C4,ROUND(BASE_C4+RATE_C4*($A938-BOTT_C4),0),IF($A938&gt;BOTT_C3,ROUND(BASE_C3+RATE_C3*($A938-BOTT_C3),0),IF($A938&gt;BOTT_C2,ROUND(BASE_C2+RATE_C2*($A938-BOTT_C2),0),ROUND(RATE_C1*$A938,0))))</f>
        <v/>
      </c>
      <c r="G938" s="556">
        <f>IF($A938&gt;BOTT_D4,ROUND(BASE_D4+RATE_D4*($A938-BOTT_D4),0),IF($A938&gt;BOTT_D3,ROUND(BASE_D3+RATE_D3*($A938-BOTT_D3),0),IF($A938&gt;BOTT_D2,ROUND(BASE_D2+RATE_D2*($A938-BOTT_D2),0),ROUND(RATE_D1*$A938,0))))</f>
        <v/>
      </c>
    </row>
    <row r="939" ht="15.75" customHeight="1" s="7635">
      <c r="A939" s="625">
        <f>AVERAGE(B939,C939)</f>
        <v/>
      </c>
      <c r="B939" s="555" t="n">
        <v>43750</v>
      </c>
      <c r="C939" s="555" t="n">
        <v>43800</v>
      </c>
      <c r="D939" s="556">
        <f>IF($A939&gt;BOTT_A4,ROUND(BASE_A4+RATE_A4*($A939-BOTT_A4),0),IF($A939&gt;BOTT_A3,ROUND(BASE_A3+RATE_A3*($A939-BOTT_A3),0),IF($A939&gt;BOTT_A2,ROUND(BASE_A2+RATE_A2*($A939-BOTT_A2),0),ROUND(RATE_A1*$A939,0))))</f>
        <v/>
      </c>
      <c r="E939" s="556">
        <f>IF($A939&gt;BOTT_B4,ROUND(BASE_B4+RATE_B4*($A939-BOTT_B4),0),IF($A939&gt;BOTT_B3,ROUND(BASE_B3+RATE_B3*($A939-BOTT_B3),0),IF($A939&gt;BOTT_B2,ROUND(BASE_B2+RATE_B2*($A939-BOTT_B2),0),ROUND(RATE_B1*$A939,0))))</f>
        <v/>
      </c>
      <c r="F939" s="556">
        <f>IF($A939&gt;BOTT_C4,ROUND(BASE_C4+RATE_C4*($A939-BOTT_C4),0),IF($A939&gt;BOTT_C3,ROUND(BASE_C3+RATE_C3*($A939-BOTT_C3),0),IF($A939&gt;BOTT_C2,ROUND(BASE_C2+RATE_C2*($A939-BOTT_C2),0),ROUND(RATE_C1*$A939,0))))</f>
        <v/>
      </c>
      <c r="G939" s="556">
        <f>IF($A939&gt;BOTT_D4,ROUND(BASE_D4+RATE_D4*($A939-BOTT_D4),0),IF($A939&gt;BOTT_D3,ROUND(BASE_D3+RATE_D3*($A939-BOTT_D3),0),IF($A939&gt;BOTT_D2,ROUND(BASE_D2+RATE_D2*($A939-BOTT_D2),0),ROUND(RATE_D1*$A939,0))))</f>
        <v/>
      </c>
    </row>
    <row r="940" ht="15.75" customHeight="1" s="7635">
      <c r="A940" s="625">
        <f>AVERAGE(B940,C940)</f>
        <v/>
      </c>
      <c r="B940" s="555" t="n">
        <v>43800</v>
      </c>
      <c r="C940" s="555" t="n">
        <v>43850</v>
      </c>
      <c r="D940" s="556">
        <f>IF($A940&gt;BOTT_A4,ROUND(BASE_A4+RATE_A4*($A940-BOTT_A4),0),IF($A940&gt;BOTT_A3,ROUND(BASE_A3+RATE_A3*($A940-BOTT_A3),0),IF($A940&gt;BOTT_A2,ROUND(BASE_A2+RATE_A2*($A940-BOTT_A2),0),ROUND(RATE_A1*$A940,0))))</f>
        <v/>
      </c>
      <c r="E940" s="556">
        <f>IF($A940&gt;BOTT_B4,ROUND(BASE_B4+RATE_B4*($A940-BOTT_B4),0),IF($A940&gt;BOTT_B3,ROUND(BASE_B3+RATE_B3*($A940-BOTT_B3),0),IF($A940&gt;BOTT_B2,ROUND(BASE_B2+RATE_B2*($A940-BOTT_B2),0),ROUND(RATE_B1*$A940,0))))</f>
        <v/>
      </c>
      <c r="F940" s="556">
        <f>IF($A940&gt;BOTT_C4,ROUND(BASE_C4+RATE_C4*($A940-BOTT_C4),0),IF($A940&gt;BOTT_C3,ROUND(BASE_C3+RATE_C3*($A940-BOTT_C3),0),IF($A940&gt;BOTT_C2,ROUND(BASE_C2+RATE_C2*($A940-BOTT_C2),0),ROUND(RATE_C1*$A940,0))))</f>
        <v/>
      </c>
      <c r="G940" s="556">
        <f>IF($A940&gt;BOTT_D4,ROUND(BASE_D4+RATE_D4*($A940-BOTT_D4),0),IF($A940&gt;BOTT_D3,ROUND(BASE_D3+RATE_D3*($A940-BOTT_D3),0),IF($A940&gt;BOTT_D2,ROUND(BASE_D2+RATE_D2*($A940-BOTT_D2),0),ROUND(RATE_D1*$A940,0))))</f>
        <v/>
      </c>
    </row>
    <row r="941" ht="15.75" customHeight="1" s="7635">
      <c r="A941" s="625">
        <f>AVERAGE(B941,C941)</f>
        <v/>
      </c>
      <c r="B941" s="555" t="n">
        <v>43850</v>
      </c>
      <c r="C941" s="555" t="n">
        <v>43900</v>
      </c>
      <c r="D941" s="556">
        <f>IF($A941&gt;BOTT_A4,ROUND(BASE_A4+RATE_A4*($A941-BOTT_A4),0),IF($A941&gt;BOTT_A3,ROUND(BASE_A3+RATE_A3*($A941-BOTT_A3),0),IF($A941&gt;BOTT_A2,ROUND(BASE_A2+RATE_A2*($A941-BOTT_A2),0),ROUND(RATE_A1*$A941,0))))</f>
        <v/>
      </c>
      <c r="E941" s="556">
        <f>IF($A941&gt;BOTT_B4,ROUND(BASE_B4+RATE_B4*($A941-BOTT_B4),0),IF($A941&gt;BOTT_B3,ROUND(BASE_B3+RATE_B3*($A941-BOTT_B3),0),IF($A941&gt;BOTT_B2,ROUND(BASE_B2+RATE_B2*($A941-BOTT_B2),0),ROUND(RATE_B1*$A941,0))))</f>
        <v/>
      </c>
      <c r="F941" s="556">
        <f>IF($A941&gt;BOTT_C4,ROUND(BASE_C4+RATE_C4*($A941-BOTT_C4),0),IF($A941&gt;BOTT_C3,ROUND(BASE_C3+RATE_C3*($A941-BOTT_C3),0),IF($A941&gt;BOTT_C2,ROUND(BASE_C2+RATE_C2*($A941-BOTT_C2),0),ROUND(RATE_C1*$A941,0))))</f>
        <v/>
      </c>
      <c r="G941" s="556">
        <f>IF($A941&gt;BOTT_D4,ROUND(BASE_D4+RATE_D4*($A941-BOTT_D4),0),IF($A941&gt;BOTT_D3,ROUND(BASE_D3+RATE_D3*($A941-BOTT_D3),0),IF($A941&gt;BOTT_D2,ROUND(BASE_D2+RATE_D2*($A941-BOTT_D2),0),ROUND(RATE_D1*$A941,0))))</f>
        <v/>
      </c>
    </row>
    <row r="942" ht="15.75" customHeight="1" s="7635">
      <c r="A942" s="625">
        <f>AVERAGE(B942,C942)</f>
        <v/>
      </c>
      <c r="B942" s="555" t="n">
        <v>43900</v>
      </c>
      <c r="C942" s="555" t="n">
        <v>43950</v>
      </c>
      <c r="D942" s="556">
        <f>IF($A942&gt;BOTT_A4,ROUND(BASE_A4+RATE_A4*($A942-BOTT_A4),0),IF($A942&gt;BOTT_A3,ROUND(BASE_A3+RATE_A3*($A942-BOTT_A3),0),IF($A942&gt;BOTT_A2,ROUND(BASE_A2+RATE_A2*($A942-BOTT_A2),0),ROUND(RATE_A1*$A942,0))))</f>
        <v/>
      </c>
      <c r="E942" s="556">
        <f>IF($A942&gt;BOTT_B4,ROUND(BASE_B4+RATE_B4*($A942-BOTT_B4),0),IF($A942&gt;BOTT_B3,ROUND(BASE_B3+RATE_B3*($A942-BOTT_B3),0),IF($A942&gt;BOTT_B2,ROUND(BASE_B2+RATE_B2*($A942-BOTT_B2),0),ROUND(RATE_B1*$A942,0))))</f>
        <v/>
      </c>
      <c r="F942" s="556">
        <f>IF($A942&gt;BOTT_C4,ROUND(BASE_C4+RATE_C4*($A942-BOTT_C4),0),IF($A942&gt;BOTT_C3,ROUND(BASE_C3+RATE_C3*($A942-BOTT_C3),0),IF($A942&gt;BOTT_C2,ROUND(BASE_C2+RATE_C2*($A942-BOTT_C2),0),ROUND(RATE_C1*$A942,0))))</f>
        <v/>
      </c>
      <c r="G942" s="556">
        <f>IF($A942&gt;BOTT_D4,ROUND(BASE_D4+RATE_D4*($A942-BOTT_D4),0),IF($A942&gt;BOTT_D3,ROUND(BASE_D3+RATE_D3*($A942-BOTT_D3),0),IF($A942&gt;BOTT_D2,ROUND(BASE_D2+RATE_D2*($A942-BOTT_D2),0),ROUND(RATE_D1*$A942,0))))</f>
        <v/>
      </c>
    </row>
    <row r="943" ht="15.75" customHeight="1" s="7635">
      <c r="A943" s="625">
        <f>AVERAGE(B943,C943)</f>
        <v/>
      </c>
      <c r="B943" s="555" t="n">
        <v>43950</v>
      </c>
      <c r="C943" s="555" t="n">
        <v>44000</v>
      </c>
      <c r="D943" s="556">
        <f>IF($A943&gt;BOTT_A4,ROUND(BASE_A4+RATE_A4*($A943-BOTT_A4),0),IF($A943&gt;BOTT_A3,ROUND(BASE_A3+RATE_A3*($A943-BOTT_A3),0),IF($A943&gt;BOTT_A2,ROUND(BASE_A2+RATE_A2*($A943-BOTT_A2),0),ROUND(RATE_A1*$A943,0))))</f>
        <v/>
      </c>
      <c r="E943" s="556">
        <f>IF($A943&gt;BOTT_B4,ROUND(BASE_B4+RATE_B4*($A943-BOTT_B4),0),IF($A943&gt;BOTT_B3,ROUND(BASE_B3+RATE_B3*($A943-BOTT_B3),0),IF($A943&gt;BOTT_B2,ROUND(BASE_B2+RATE_B2*($A943-BOTT_B2),0),ROUND(RATE_B1*$A943,0))))</f>
        <v/>
      </c>
      <c r="F943" s="556">
        <f>IF($A943&gt;BOTT_C4,ROUND(BASE_C4+RATE_C4*($A943-BOTT_C4),0),IF($A943&gt;BOTT_C3,ROUND(BASE_C3+RATE_C3*($A943-BOTT_C3),0),IF($A943&gt;BOTT_C2,ROUND(BASE_C2+RATE_C2*($A943-BOTT_C2),0),ROUND(RATE_C1*$A943,0))))</f>
        <v/>
      </c>
      <c r="G943" s="556">
        <f>IF($A943&gt;BOTT_D4,ROUND(BASE_D4+RATE_D4*($A943-BOTT_D4),0),IF($A943&gt;BOTT_D3,ROUND(BASE_D3+RATE_D3*($A943-BOTT_D3),0),IF($A943&gt;BOTT_D2,ROUND(BASE_D2+RATE_D2*($A943-BOTT_D2),0),ROUND(RATE_D1*$A943,0))))</f>
        <v/>
      </c>
    </row>
    <row r="944" ht="15.75" customHeight="1" s="7635">
      <c r="A944" s="625">
        <f>AVERAGE(B944,C944)</f>
        <v/>
      </c>
      <c r="B944" s="555" t="n">
        <v>44000</v>
      </c>
      <c r="C944" s="555" t="n">
        <v>44050</v>
      </c>
      <c r="D944" s="556">
        <f>IF($A944&gt;BOTT_A4,ROUND(BASE_A4+RATE_A4*($A944-BOTT_A4),0),IF($A944&gt;BOTT_A3,ROUND(BASE_A3+RATE_A3*($A944-BOTT_A3),0),IF($A944&gt;BOTT_A2,ROUND(BASE_A2+RATE_A2*($A944-BOTT_A2),0),ROUND(RATE_A1*$A944,0))))</f>
        <v/>
      </c>
      <c r="E944" s="556">
        <f>IF($A944&gt;BOTT_B4,ROUND(BASE_B4+RATE_B4*($A944-BOTT_B4),0),IF($A944&gt;BOTT_B3,ROUND(BASE_B3+RATE_B3*($A944-BOTT_B3),0),IF($A944&gt;BOTT_B2,ROUND(BASE_B2+RATE_B2*($A944-BOTT_B2),0),ROUND(RATE_B1*$A944,0))))</f>
        <v/>
      </c>
      <c r="F944" s="556">
        <f>IF($A944&gt;BOTT_C4,ROUND(BASE_C4+RATE_C4*($A944-BOTT_C4),0),IF($A944&gt;BOTT_C3,ROUND(BASE_C3+RATE_C3*($A944-BOTT_C3),0),IF($A944&gt;BOTT_C2,ROUND(BASE_C2+RATE_C2*($A944-BOTT_C2),0),ROUND(RATE_C1*$A944,0))))</f>
        <v/>
      </c>
      <c r="G944" s="556">
        <f>IF($A944&gt;BOTT_D4,ROUND(BASE_D4+RATE_D4*($A944-BOTT_D4),0),IF($A944&gt;BOTT_D3,ROUND(BASE_D3+RATE_D3*($A944-BOTT_D3),0),IF($A944&gt;BOTT_D2,ROUND(BASE_D2+RATE_D2*($A944-BOTT_D2),0),ROUND(RATE_D1*$A944,0))))</f>
        <v/>
      </c>
    </row>
    <row r="945" ht="15.75" customHeight="1" s="7635">
      <c r="A945" s="625">
        <f>AVERAGE(B945,C945)</f>
        <v/>
      </c>
      <c r="B945" s="555" t="n">
        <v>44050</v>
      </c>
      <c r="C945" s="555" t="n">
        <v>44100</v>
      </c>
      <c r="D945" s="556">
        <f>IF($A945&gt;BOTT_A4,ROUND(BASE_A4+RATE_A4*($A945-BOTT_A4),0),IF($A945&gt;BOTT_A3,ROUND(BASE_A3+RATE_A3*($A945-BOTT_A3),0),IF($A945&gt;BOTT_A2,ROUND(BASE_A2+RATE_A2*($A945-BOTT_A2),0),ROUND(RATE_A1*$A945,0))))</f>
        <v/>
      </c>
      <c r="E945" s="556">
        <f>IF($A945&gt;BOTT_B4,ROUND(BASE_B4+RATE_B4*($A945-BOTT_B4),0),IF($A945&gt;BOTT_B3,ROUND(BASE_B3+RATE_B3*($A945-BOTT_B3),0),IF($A945&gt;BOTT_B2,ROUND(BASE_B2+RATE_B2*($A945-BOTT_B2),0),ROUND(RATE_B1*$A945,0))))</f>
        <v/>
      </c>
      <c r="F945" s="556">
        <f>IF($A945&gt;BOTT_C4,ROUND(BASE_C4+RATE_C4*($A945-BOTT_C4),0),IF($A945&gt;BOTT_C3,ROUND(BASE_C3+RATE_C3*($A945-BOTT_C3),0),IF($A945&gt;BOTT_C2,ROUND(BASE_C2+RATE_C2*($A945-BOTT_C2),0),ROUND(RATE_C1*$A945,0))))</f>
        <v/>
      </c>
      <c r="G945" s="556">
        <f>IF($A945&gt;BOTT_D4,ROUND(BASE_D4+RATE_D4*($A945-BOTT_D4),0),IF($A945&gt;BOTT_D3,ROUND(BASE_D3+RATE_D3*($A945-BOTT_D3),0),IF($A945&gt;BOTT_D2,ROUND(BASE_D2+RATE_D2*($A945-BOTT_D2),0),ROUND(RATE_D1*$A945,0))))</f>
        <v/>
      </c>
    </row>
    <row r="946" ht="15.75" customHeight="1" s="7635">
      <c r="A946" s="625">
        <f>AVERAGE(B946,C946)</f>
        <v/>
      </c>
      <c r="B946" s="555" t="n">
        <v>44100</v>
      </c>
      <c r="C946" s="555" t="n">
        <v>44150</v>
      </c>
      <c r="D946" s="556">
        <f>IF($A946&gt;BOTT_A4,ROUND(BASE_A4+RATE_A4*($A946-BOTT_A4),0),IF($A946&gt;BOTT_A3,ROUND(BASE_A3+RATE_A3*($A946-BOTT_A3),0),IF($A946&gt;BOTT_A2,ROUND(BASE_A2+RATE_A2*($A946-BOTT_A2),0),ROUND(RATE_A1*$A946,0))))</f>
        <v/>
      </c>
      <c r="E946" s="556">
        <f>IF($A946&gt;BOTT_B4,ROUND(BASE_B4+RATE_B4*($A946-BOTT_B4),0),IF($A946&gt;BOTT_B3,ROUND(BASE_B3+RATE_B3*($A946-BOTT_B3),0),IF($A946&gt;BOTT_B2,ROUND(BASE_B2+RATE_B2*($A946-BOTT_B2),0),ROUND(RATE_B1*$A946,0))))</f>
        <v/>
      </c>
      <c r="F946" s="556">
        <f>IF($A946&gt;BOTT_C4,ROUND(BASE_C4+RATE_C4*($A946-BOTT_C4),0),IF($A946&gt;BOTT_C3,ROUND(BASE_C3+RATE_C3*($A946-BOTT_C3),0),IF($A946&gt;BOTT_C2,ROUND(BASE_C2+RATE_C2*($A946-BOTT_C2),0),ROUND(RATE_C1*$A946,0))))</f>
        <v/>
      </c>
      <c r="G946" s="556">
        <f>IF($A946&gt;BOTT_D4,ROUND(BASE_D4+RATE_D4*($A946-BOTT_D4),0),IF($A946&gt;BOTT_D3,ROUND(BASE_D3+RATE_D3*($A946-BOTT_D3),0),IF($A946&gt;BOTT_D2,ROUND(BASE_D2+RATE_D2*($A946-BOTT_D2),0),ROUND(RATE_D1*$A946,0))))</f>
        <v/>
      </c>
    </row>
    <row r="947" ht="15.75" customHeight="1" s="7635">
      <c r="A947" s="625">
        <f>AVERAGE(B947,C947)</f>
        <v/>
      </c>
      <c r="B947" s="555" t="n">
        <v>44150</v>
      </c>
      <c r="C947" s="555" t="n">
        <v>44200</v>
      </c>
      <c r="D947" s="556">
        <f>IF($A947&gt;BOTT_A4,ROUND(BASE_A4+RATE_A4*($A947-BOTT_A4),0),IF($A947&gt;BOTT_A3,ROUND(BASE_A3+RATE_A3*($A947-BOTT_A3),0),IF($A947&gt;BOTT_A2,ROUND(BASE_A2+RATE_A2*($A947-BOTT_A2),0),ROUND(RATE_A1*$A947,0))))</f>
        <v/>
      </c>
      <c r="E947" s="556">
        <f>IF($A947&gt;BOTT_B4,ROUND(BASE_B4+RATE_B4*($A947-BOTT_B4),0),IF($A947&gt;BOTT_B3,ROUND(BASE_B3+RATE_B3*($A947-BOTT_B3),0),IF($A947&gt;BOTT_B2,ROUND(BASE_B2+RATE_B2*($A947-BOTT_B2),0),ROUND(RATE_B1*$A947,0))))</f>
        <v/>
      </c>
      <c r="F947" s="556">
        <f>IF($A947&gt;BOTT_C4,ROUND(BASE_C4+RATE_C4*($A947-BOTT_C4),0),IF($A947&gt;BOTT_C3,ROUND(BASE_C3+RATE_C3*($A947-BOTT_C3),0),IF($A947&gt;BOTT_C2,ROUND(BASE_C2+RATE_C2*($A947-BOTT_C2),0),ROUND(RATE_C1*$A947,0))))</f>
        <v/>
      </c>
      <c r="G947" s="556">
        <f>IF($A947&gt;BOTT_D4,ROUND(BASE_D4+RATE_D4*($A947-BOTT_D4),0),IF($A947&gt;BOTT_D3,ROUND(BASE_D3+RATE_D3*($A947-BOTT_D3),0),IF($A947&gt;BOTT_D2,ROUND(BASE_D2+RATE_D2*($A947-BOTT_D2),0),ROUND(RATE_D1*$A947,0))))</f>
        <v/>
      </c>
    </row>
    <row r="948" ht="15.75" customHeight="1" s="7635">
      <c r="A948" s="625">
        <f>AVERAGE(B948,C948)</f>
        <v/>
      </c>
      <c r="B948" s="555" t="n">
        <v>44200</v>
      </c>
      <c r="C948" s="555" t="n">
        <v>44250</v>
      </c>
      <c r="D948" s="556">
        <f>IF($A948&gt;BOTT_A4,ROUND(BASE_A4+RATE_A4*($A948-BOTT_A4),0),IF($A948&gt;BOTT_A3,ROUND(BASE_A3+RATE_A3*($A948-BOTT_A3),0),IF($A948&gt;BOTT_A2,ROUND(BASE_A2+RATE_A2*($A948-BOTT_A2),0),ROUND(RATE_A1*$A948,0))))</f>
        <v/>
      </c>
      <c r="E948" s="556">
        <f>IF($A948&gt;BOTT_B4,ROUND(BASE_B4+RATE_B4*($A948-BOTT_B4),0),IF($A948&gt;BOTT_B3,ROUND(BASE_B3+RATE_B3*($A948-BOTT_B3),0),IF($A948&gt;BOTT_B2,ROUND(BASE_B2+RATE_B2*($A948-BOTT_B2),0),ROUND(RATE_B1*$A948,0))))</f>
        <v/>
      </c>
      <c r="F948" s="556">
        <f>IF($A948&gt;BOTT_C4,ROUND(BASE_C4+RATE_C4*($A948-BOTT_C4),0),IF($A948&gt;BOTT_C3,ROUND(BASE_C3+RATE_C3*($A948-BOTT_C3),0),IF($A948&gt;BOTT_C2,ROUND(BASE_C2+RATE_C2*($A948-BOTT_C2),0),ROUND(RATE_C1*$A948,0))))</f>
        <v/>
      </c>
      <c r="G948" s="556">
        <f>IF($A948&gt;BOTT_D4,ROUND(BASE_D4+RATE_D4*($A948-BOTT_D4),0),IF($A948&gt;BOTT_D3,ROUND(BASE_D3+RATE_D3*($A948-BOTT_D3),0),IF($A948&gt;BOTT_D2,ROUND(BASE_D2+RATE_D2*($A948-BOTT_D2),0),ROUND(RATE_D1*$A948,0))))</f>
        <v/>
      </c>
    </row>
    <row r="949" ht="15.75" customHeight="1" s="7635">
      <c r="A949" s="625">
        <f>AVERAGE(B949,C949)</f>
        <v/>
      </c>
      <c r="B949" s="555" t="n">
        <v>44250</v>
      </c>
      <c r="C949" s="555" t="n">
        <v>44300</v>
      </c>
      <c r="D949" s="556">
        <f>IF($A949&gt;BOTT_A4,ROUND(BASE_A4+RATE_A4*($A949-BOTT_A4),0),IF($A949&gt;BOTT_A3,ROUND(BASE_A3+RATE_A3*($A949-BOTT_A3),0),IF($A949&gt;BOTT_A2,ROUND(BASE_A2+RATE_A2*($A949-BOTT_A2),0),ROUND(RATE_A1*$A949,0))))</f>
        <v/>
      </c>
      <c r="E949" s="556">
        <f>IF($A949&gt;BOTT_B4,ROUND(BASE_B4+RATE_B4*($A949-BOTT_B4),0),IF($A949&gt;BOTT_B3,ROUND(BASE_B3+RATE_B3*($A949-BOTT_B3),0),IF($A949&gt;BOTT_B2,ROUND(BASE_B2+RATE_B2*($A949-BOTT_B2),0),ROUND(RATE_B1*$A949,0))))</f>
        <v/>
      </c>
      <c r="F949" s="556">
        <f>IF($A949&gt;BOTT_C4,ROUND(BASE_C4+RATE_C4*($A949-BOTT_C4),0),IF($A949&gt;BOTT_C3,ROUND(BASE_C3+RATE_C3*($A949-BOTT_C3),0),IF($A949&gt;BOTT_C2,ROUND(BASE_C2+RATE_C2*($A949-BOTT_C2),0),ROUND(RATE_C1*$A949,0))))</f>
        <v/>
      </c>
      <c r="G949" s="556">
        <f>IF($A949&gt;BOTT_D4,ROUND(BASE_D4+RATE_D4*($A949-BOTT_D4),0),IF($A949&gt;BOTT_D3,ROUND(BASE_D3+RATE_D3*($A949-BOTT_D3),0),IF($A949&gt;BOTT_D2,ROUND(BASE_D2+RATE_D2*($A949-BOTT_D2),0),ROUND(RATE_D1*$A949,0))))</f>
        <v/>
      </c>
    </row>
    <row r="950" ht="15.75" customHeight="1" s="7635">
      <c r="A950" s="625">
        <f>AVERAGE(B950,C950)</f>
        <v/>
      </c>
      <c r="B950" s="555" t="n">
        <v>44300</v>
      </c>
      <c r="C950" s="555" t="n">
        <v>44350</v>
      </c>
      <c r="D950" s="556">
        <f>IF($A950&gt;BOTT_A4,ROUND(BASE_A4+RATE_A4*($A950-BOTT_A4),0),IF($A950&gt;BOTT_A3,ROUND(BASE_A3+RATE_A3*($A950-BOTT_A3),0),IF($A950&gt;BOTT_A2,ROUND(BASE_A2+RATE_A2*($A950-BOTT_A2),0),ROUND(RATE_A1*$A950,0))))</f>
        <v/>
      </c>
      <c r="E950" s="556">
        <f>IF($A950&gt;BOTT_B4,ROUND(BASE_B4+RATE_B4*($A950-BOTT_B4),0),IF($A950&gt;BOTT_B3,ROUND(BASE_B3+RATE_B3*($A950-BOTT_B3),0),IF($A950&gt;BOTT_B2,ROUND(BASE_B2+RATE_B2*($A950-BOTT_B2),0),ROUND(RATE_B1*$A950,0))))</f>
        <v/>
      </c>
      <c r="F950" s="556">
        <f>IF($A950&gt;BOTT_C4,ROUND(BASE_C4+RATE_C4*($A950-BOTT_C4),0),IF($A950&gt;BOTT_C3,ROUND(BASE_C3+RATE_C3*($A950-BOTT_C3),0),IF($A950&gt;BOTT_C2,ROUND(BASE_C2+RATE_C2*($A950-BOTT_C2),0),ROUND(RATE_C1*$A950,0))))</f>
        <v/>
      </c>
      <c r="G950" s="556">
        <f>IF($A950&gt;BOTT_D4,ROUND(BASE_D4+RATE_D4*($A950-BOTT_D4),0),IF($A950&gt;BOTT_D3,ROUND(BASE_D3+RATE_D3*($A950-BOTT_D3),0),IF($A950&gt;BOTT_D2,ROUND(BASE_D2+RATE_D2*($A950-BOTT_D2),0),ROUND(RATE_D1*$A950,0))))</f>
        <v/>
      </c>
    </row>
    <row r="951" ht="15.75" customHeight="1" s="7635">
      <c r="A951" s="625">
        <f>AVERAGE(B951,C951)</f>
        <v/>
      </c>
      <c r="B951" s="555" t="n">
        <v>44350</v>
      </c>
      <c r="C951" s="555" t="n">
        <v>44400</v>
      </c>
      <c r="D951" s="556">
        <f>IF($A951&gt;BOTT_A4,ROUND(BASE_A4+RATE_A4*($A951-BOTT_A4),0),IF($A951&gt;BOTT_A3,ROUND(BASE_A3+RATE_A3*($A951-BOTT_A3),0),IF($A951&gt;BOTT_A2,ROUND(BASE_A2+RATE_A2*($A951-BOTT_A2),0),ROUND(RATE_A1*$A951,0))))</f>
        <v/>
      </c>
      <c r="E951" s="556">
        <f>IF($A951&gt;BOTT_B4,ROUND(BASE_B4+RATE_B4*($A951-BOTT_B4),0),IF($A951&gt;BOTT_B3,ROUND(BASE_B3+RATE_B3*($A951-BOTT_B3),0),IF($A951&gt;BOTT_B2,ROUND(BASE_B2+RATE_B2*($A951-BOTT_B2),0),ROUND(RATE_B1*$A951,0))))</f>
        <v/>
      </c>
      <c r="F951" s="556">
        <f>IF($A951&gt;BOTT_C4,ROUND(BASE_C4+RATE_C4*($A951-BOTT_C4),0),IF($A951&gt;BOTT_C3,ROUND(BASE_C3+RATE_C3*($A951-BOTT_C3),0),IF($A951&gt;BOTT_C2,ROUND(BASE_C2+RATE_C2*($A951-BOTT_C2),0),ROUND(RATE_C1*$A951,0))))</f>
        <v/>
      </c>
      <c r="G951" s="556">
        <f>IF($A951&gt;BOTT_D4,ROUND(BASE_D4+RATE_D4*($A951-BOTT_D4),0),IF($A951&gt;BOTT_D3,ROUND(BASE_D3+RATE_D3*($A951-BOTT_D3),0),IF($A951&gt;BOTT_D2,ROUND(BASE_D2+RATE_D2*($A951-BOTT_D2),0),ROUND(RATE_D1*$A951,0))))</f>
        <v/>
      </c>
    </row>
    <row r="952" ht="15.75" customHeight="1" s="7635">
      <c r="A952" s="625">
        <f>AVERAGE(B952,C952)</f>
        <v/>
      </c>
      <c r="B952" s="555" t="n">
        <v>44400</v>
      </c>
      <c r="C952" s="555" t="n">
        <v>44450</v>
      </c>
      <c r="D952" s="556">
        <f>IF($A952&gt;BOTT_A4,ROUND(BASE_A4+RATE_A4*($A952-BOTT_A4),0),IF($A952&gt;BOTT_A3,ROUND(BASE_A3+RATE_A3*($A952-BOTT_A3),0),IF($A952&gt;BOTT_A2,ROUND(BASE_A2+RATE_A2*($A952-BOTT_A2),0),ROUND(RATE_A1*$A952,0))))</f>
        <v/>
      </c>
      <c r="E952" s="556">
        <f>IF($A952&gt;BOTT_B4,ROUND(BASE_B4+RATE_B4*($A952-BOTT_B4),0),IF($A952&gt;BOTT_B3,ROUND(BASE_B3+RATE_B3*($A952-BOTT_B3),0),IF($A952&gt;BOTT_B2,ROUND(BASE_B2+RATE_B2*($A952-BOTT_B2),0),ROUND(RATE_B1*$A952,0))))</f>
        <v/>
      </c>
      <c r="F952" s="556">
        <f>IF($A952&gt;BOTT_C4,ROUND(BASE_C4+RATE_C4*($A952-BOTT_C4),0),IF($A952&gt;BOTT_C3,ROUND(BASE_C3+RATE_C3*($A952-BOTT_C3),0),IF($A952&gt;BOTT_C2,ROUND(BASE_C2+RATE_C2*($A952-BOTT_C2),0),ROUND(RATE_C1*$A952,0))))</f>
        <v/>
      </c>
      <c r="G952" s="556">
        <f>IF($A952&gt;BOTT_D4,ROUND(BASE_D4+RATE_D4*($A952-BOTT_D4),0),IF($A952&gt;BOTT_D3,ROUND(BASE_D3+RATE_D3*($A952-BOTT_D3),0),IF($A952&gt;BOTT_D2,ROUND(BASE_D2+RATE_D2*($A952-BOTT_D2),0),ROUND(RATE_D1*$A952,0))))</f>
        <v/>
      </c>
    </row>
    <row r="953" ht="15.75" customHeight="1" s="7635">
      <c r="A953" s="625">
        <f>AVERAGE(B953,C953)</f>
        <v/>
      </c>
      <c r="B953" s="555" t="n">
        <v>44450</v>
      </c>
      <c r="C953" s="555" t="n">
        <v>44500</v>
      </c>
      <c r="D953" s="556">
        <f>IF($A953&gt;BOTT_A4,ROUND(BASE_A4+RATE_A4*($A953-BOTT_A4),0),IF($A953&gt;BOTT_A3,ROUND(BASE_A3+RATE_A3*($A953-BOTT_A3),0),IF($A953&gt;BOTT_A2,ROUND(BASE_A2+RATE_A2*($A953-BOTT_A2),0),ROUND(RATE_A1*$A953,0))))</f>
        <v/>
      </c>
      <c r="E953" s="556">
        <f>IF($A953&gt;BOTT_B4,ROUND(BASE_B4+RATE_B4*($A953-BOTT_B4),0),IF($A953&gt;BOTT_B3,ROUND(BASE_B3+RATE_B3*($A953-BOTT_B3),0),IF($A953&gt;BOTT_B2,ROUND(BASE_B2+RATE_B2*($A953-BOTT_B2),0),ROUND(RATE_B1*$A953,0))))</f>
        <v/>
      </c>
      <c r="F953" s="556">
        <f>IF($A953&gt;BOTT_C4,ROUND(BASE_C4+RATE_C4*($A953-BOTT_C4),0),IF($A953&gt;BOTT_C3,ROUND(BASE_C3+RATE_C3*($A953-BOTT_C3),0),IF($A953&gt;BOTT_C2,ROUND(BASE_C2+RATE_C2*($A953-BOTT_C2),0),ROUND(RATE_C1*$A953,0))))</f>
        <v/>
      </c>
      <c r="G953" s="556">
        <f>IF($A953&gt;BOTT_D4,ROUND(BASE_D4+RATE_D4*($A953-BOTT_D4),0),IF($A953&gt;BOTT_D3,ROUND(BASE_D3+RATE_D3*($A953-BOTT_D3),0),IF($A953&gt;BOTT_D2,ROUND(BASE_D2+RATE_D2*($A953-BOTT_D2),0),ROUND(RATE_D1*$A953,0))))</f>
        <v/>
      </c>
    </row>
    <row r="954" ht="15.75" customHeight="1" s="7635">
      <c r="A954" s="625">
        <f>AVERAGE(B954,C954)</f>
        <v/>
      </c>
      <c r="B954" s="555" t="n">
        <v>44500</v>
      </c>
      <c r="C954" s="555" t="n">
        <v>44550</v>
      </c>
      <c r="D954" s="556">
        <f>IF($A954&gt;BOTT_A4,ROUND(BASE_A4+RATE_A4*($A954-BOTT_A4),0),IF($A954&gt;BOTT_A3,ROUND(BASE_A3+RATE_A3*($A954-BOTT_A3),0),IF($A954&gt;BOTT_A2,ROUND(BASE_A2+RATE_A2*($A954-BOTT_A2),0),ROUND(RATE_A1*$A954,0))))</f>
        <v/>
      </c>
      <c r="E954" s="556">
        <f>IF($A954&gt;BOTT_B4,ROUND(BASE_B4+RATE_B4*($A954-BOTT_B4),0),IF($A954&gt;BOTT_B3,ROUND(BASE_B3+RATE_B3*($A954-BOTT_B3),0),IF($A954&gt;BOTT_B2,ROUND(BASE_B2+RATE_B2*($A954-BOTT_B2),0),ROUND(RATE_B1*$A954,0))))</f>
        <v/>
      </c>
      <c r="F954" s="556">
        <f>IF($A954&gt;BOTT_C4,ROUND(BASE_C4+RATE_C4*($A954-BOTT_C4),0),IF($A954&gt;BOTT_C3,ROUND(BASE_C3+RATE_C3*($A954-BOTT_C3),0),IF($A954&gt;BOTT_C2,ROUND(BASE_C2+RATE_C2*($A954-BOTT_C2),0),ROUND(RATE_C1*$A954,0))))</f>
        <v/>
      </c>
      <c r="G954" s="556">
        <f>IF($A954&gt;BOTT_D4,ROUND(BASE_D4+RATE_D4*($A954-BOTT_D4),0),IF($A954&gt;BOTT_D3,ROUND(BASE_D3+RATE_D3*($A954-BOTT_D3),0),IF($A954&gt;BOTT_D2,ROUND(BASE_D2+RATE_D2*($A954-BOTT_D2),0),ROUND(RATE_D1*$A954,0))))</f>
        <v/>
      </c>
    </row>
    <row r="955" ht="15.75" customHeight="1" s="7635">
      <c r="A955" s="625">
        <f>AVERAGE(B955,C955)</f>
        <v/>
      </c>
      <c r="B955" s="555" t="n">
        <v>44550</v>
      </c>
      <c r="C955" s="555" t="n">
        <v>44600</v>
      </c>
      <c r="D955" s="556">
        <f>IF($A955&gt;BOTT_A4,ROUND(BASE_A4+RATE_A4*($A955-BOTT_A4),0),IF($A955&gt;BOTT_A3,ROUND(BASE_A3+RATE_A3*($A955-BOTT_A3),0),IF($A955&gt;BOTT_A2,ROUND(BASE_A2+RATE_A2*($A955-BOTT_A2),0),ROUND(RATE_A1*$A955,0))))</f>
        <v/>
      </c>
      <c r="E955" s="556">
        <f>IF($A955&gt;BOTT_B4,ROUND(BASE_B4+RATE_B4*($A955-BOTT_B4),0),IF($A955&gt;BOTT_B3,ROUND(BASE_B3+RATE_B3*($A955-BOTT_B3),0),IF($A955&gt;BOTT_B2,ROUND(BASE_B2+RATE_B2*($A955-BOTT_B2),0),ROUND(RATE_B1*$A955,0))))</f>
        <v/>
      </c>
      <c r="F955" s="556">
        <f>IF($A955&gt;BOTT_C4,ROUND(BASE_C4+RATE_C4*($A955-BOTT_C4),0),IF($A955&gt;BOTT_C3,ROUND(BASE_C3+RATE_C3*($A955-BOTT_C3),0),IF($A955&gt;BOTT_C2,ROUND(BASE_C2+RATE_C2*($A955-BOTT_C2),0),ROUND(RATE_C1*$A955,0))))</f>
        <v/>
      </c>
      <c r="G955" s="556">
        <f>IF($A955&gt;BOTT_D4,ROUND(BASE_D4+RATE_D4*($A955-BOTT_D4),0),IF($A955&gt;BOTT_D3,ROUND(BASE_D3+RATE_D3*($A955-BOTT_D3),0),IF($A955&gt;BOTT_D2,ROUND(BASE_D2+RATE_D2*($A955-BOTT_D2),0),ROUND(RATE_D1*$A955,0))))</f>
        <v/>
      </c>
    </row>
    <row r="956" ht="15.75" customHeight="1" s="7635">
      <c r="A956" s="625">
        <f>AVERAGE(B956,C956)</f>
        <v/>
      </c>
      <c r="B956" s="555" t="n">
        <v>44600</v>
      </c>
      <c r="C956" s="555" t="n">
        <v>44650</v>
      </c>
      <c r="D956" s="556">
        <f>IF($A956&gt;BOTT_A4,ROUND(BASE_A4+RATE_A4*($A956-BOTT_A4),0),IF($A956&gt;BOTT_A3,ROUND(BASE_A3+RATE_A3*($A956-BOTT_A3),0),IF($A956&gt;BOTT_A2,ROUND(BASE_A2+RATE_A2*($A956-BOTT_A2),0),ROUND(RATE_A1*$A956,0))))</f>
        <v/>
      </c>
      <c r="E956" s="556">
        <f>IF($A956&gt;BOTT_B4,ROUND(BASE_B4+RATE_B4*($A956-BOTT_B4),0),IF($A956&gt;BOTT_B3,ROUND(BASE_B3+RATE_B3*($A956-BOTT_B3),0),IF($A956&gt;BOTT_B2,ROUND(BASE_B2+RATE_B2*($A956-BOTT_B2),0),ROUND(RATE_B1*$A956,0))))</f>
        <v/>
      </c>
      <c r="F956" s="556">
        <f>IF($A956&gt;BOTT_C4,ROUND(BASE_C4+RATE_C4*($A956-BOTT_C4),0),IF($A956&gt;BOTT_C3,ROUND(BASE_C3+RATE_C3*($A956-BOTT_C3),0),IF($A956&gt;BOTT_C2,ROUND(BASE_C2+RATE_C2*($A956-BOTT_C2),0),ROUND(RATE_C1*$A956,0))))</f>
        <v/>
      </c>
      <c r="G956" s="556">
        <f>IF($A956&gt;BOTT_D4,ROUND(BASE_D4+RATE_D4*($A956-BOTT_D4),0),IF($A956&gt;BOTT_D3,ROUND(BASE_D3+RATE_D3*($A956-BOTT_D3),0),IF($A956&gt;BOTT_D2,ROUND(BASE_D2+RATE_D2*($A956-BOTT_D2),0),ROUND(RATE_D1*$A956,0))))</f>
        <v/>
      </c>
    </row>
    <row r="957" ht="15.75" customHeight="1" s="7635">
      <c r="A957" s="625">
        <f>AVERAGE(B957,C957)</f>
        <v/>
      </c>
      <c r="B957" s="555" t="n">
        <v>44650</v>
      </c>
      <c r="C957" s="555" t="n">
        <v>44700</v>
      </c>
      <c r="D957" s="556">
        <f>IF($A957&gt;BOTT_A4,ROUND(BASE_A4+RATE_A4*($A957-BOTT_A4),0),IF($A957&gt;BOTT_A3,ROUND(BASE_A3+RATE_A3*($A957-BOTT_A3),0),IF($A957&gt;BOTT_A2,ROUND(BASE_A2+RATE_A2*($A957-BOTT_A2),0),ROUND(RATE_A1*$A957,0))))</f>
        <v/>
      </c>
      <c r="E957" s="556">
        <f>IF($A957&gt;BOTT_B4,ROUND(BASE_B4+RATE_B4*($A957-BOTT_B4),0),IF($A957&gt;BOTT_B3,ROUND(BASE_B3+RATE_B3*($A957-BOTT_B3),0),IF($A957&gt;BOTT_B2,ROUND(BASE_B2+RATE_B2*($A957-BOTT_B2),0),ROUND(RATE_B1*$A957,0))))</f>
        <v/>
      </c>
      <c r="F957" s="556">
        <f>IF($A957&gt;BOTT_C4,ROUND(BASE_C4+RATE_C4*($A957-BOTT_C4),0),IF($A957&gt;BOTT_C3,ROUND(BASE_C3+RATE_C3*($A957-BOTT_C3),0),IF($A957&gt;BOTT_C2,ROUND(BASE_C2+RATE_C2*($A957-BOTT_C2),0),ROUND(RATE_C1*$A957,0))))</f>
        <v/>
      </c>
      <c r="G957" s="556">
        <f>IF($A957&gt;BOTT_D4,ROUND(BASE_D4+RATE_D4*($A957-BOTT_D4),0),IF($A957&gt;BOTT_D3,ROUND(BASE_D3+RATE_D3*($A957-BOTT_D3),0),IF($A957&gt;BOTT_D2,ROUND(BASE_D2+RATE_D2*($A957-BOTT_D2),0),ROUND(RATE_D1*$A957,0))))</f>
        <v/>
      </c>
    </row>
    <row r="958" ht="15.75" customHeight="1" s="7635">
      <c r="A958" s="625">
        <f>AVERAGE(B958,C958)</f>
        <v/>
      </c>
      <c r="B958" s="555" t="n">
        <v>44700</v>
      </c>
      <c r="C958" s="555" t="n">
        <v>44750</v>
      </c>
      <c r="D958" s="556">
        <f>IF($A958&gt;BOTT_A4,ROUND(BASE_A4+RATE_A4*($A958-BOTT_A4),0),IF($A958&gt;BOTT_A3,ROUND(BASE_A3+RATE_A3*($A958-BOTT_A3),0),IF($A958&gt;BOTT_A2,ROUND(BASE_A2+RATE_A2*($A958-BOTT_A2),0),ROUND(RATE_A1*$A958,0))))</f>
        <v/>
      </c>
      <c r="E958" s="556">
        <f>IF($A958&gt;BOTT_B4,ROUND(BASE_B4+RATE_B4*($A958-BOTT_B4),0),IF($A958&gt;BOTT_B3,ROUND(BASE_B3+RATE_B3*($A958-BOTT_B3),0),IF($A958&gt;BOTT_B2,ROUND(BASE_B2+RATE_B2*($A958-BOTT_B2),0),ROUND(RATE_B1*$A958,0))))</f>
        <v/>
      </c>
      <c r="F958" s="556">
        <f>IF($A958&gt;BOTT_C4,ROUND(BASE_C4+RATE_C4*($A958-BOTT_C4),0),IF($A958&gt;BOTT_C3,ROUND(BASE_C3+RATE_C3*($A958-BOTT_C3),0),IF($A958&gt;BOTT_C2,ROUND(BASE_C2+RATE_C2*($A958-BOTT_C2),0),ROUND(RATE_C1*$A958,0))))</f>
        <v/>
      </c>
      <c r="G958" s="556">
        <f>IF($A958&gt;BOTT_D4,ROUND(BASE_D4+RATE_D4*($A958-BOTT_D4),0),IF($A958&gt;BOTT_D3,ROUND(BASE_D3+RATE_D3*($A958-BOTT_D3),0),IF($A958&gt;BOTT_D2,ROUND(BASE_D2+RATE_D2*($A958-BOTT_D2),0),ROUND(RATE_D1*$A958,0))))</f>
        <v/>
      </c>
    </row>
    <row r="959" ht="15.75" customHeight="1" s="7635">
      <c r="A959" s="625">
        <f>AVERAGE(B959,C959)</f>
        <v/>
      </c>
      <c r="B959" s="555" t="n">
        <v>44750</v>
      </c>
      <c r="C959" s="555" t="n">
        <v>44800</v>
      </c>
      <c r="D959" s="556">
        <f>IF($A959&gt;BOTT_A4,ROUND(BASE_A4+RATE_A4*($A959-BOTT_A4),0),IF($A959&gt;BOTT_A3,ROUND(BASE_A3+RATE_A3*($A959-BOTT_A3),0),IF($A959&gt;BOTT_A2,ROUND(BASE_A2+RATE_A2*($A959-BOTT_A2),0),ROUND(RATE_A1*$A959,0))))</f>
        <v/>
      </c>
      <c r="E959" s="556">
        <f>IF($A959&gt;BOTT_B4,ROUND(BASE_B4+RATE_B4*($A959-BOTT_B4),0),IF($A959&gt;BOTT_B3,ROUND(BASE_B3+RATE_B3*($A959-BOTT_B3),0),IF($A959&gt;BOTT_B2,ROUND(BASE_B2+RATE_B2*($A959-BOTT_B2),0),ROUND(RATE_B1*$A959,0))))</f>
        <v/>
      </c>
      <c r="F959" s="556">
        <f>IF($A959&gt;BOTT_C4,ROUND(BASE_C4+RATE_C4*($A959-BOTT_C4),0),IF($A959&gt;BOTT_C3,ROUND(BASE_C3+RATE_C3*($A959-BOTT_C3),0),IF($A959&gt;BOTT_C2,ROUND(BASE_C2+RATE_C2*($A959-BOTT_C2),0),ROUND(RATE_C1*$A959,0))))</f>
        <v/>
      </c>
      <c r="G959" s="556">
        <f>IF($A959&gt;BOTT_D4,ROUND(BASE_D4+RATE_D4*($A959-BOTT_D4),0),IF($A959&gt;BOTT_D3,ROUND(BASE_D3+RATE_D3*($A959-BOTT_D3),0),IF($A959&gt;BOTT_D2,ROUND(BASE_D2+RATE_D2*($A959-BOTT_D2),0),ROUND(RATE_D1*$A959,0))))</f>
        <v/>
      </c>
    </row>
    <row r="960" ht="15.75" customHeight="1" s="7635">
      <c r="A960" s="625">
        <f>AVERAGE(B960,C960)</f>
        <v/>
      </c>
      <c r="B960" s="555" t="n">
        <v>44800</v>
      </c>
      <c r="C960" s="555" t="n">
        <v>44850</v>
      </c>
      <c r="D960" s="556">
        <f>IF($A960&gt;BOTT_A4,ROUND(BASE_A4+RATE_A4*($A960-BOTT_A4),0),IF($A960&gt;BOTT_A3,ROUND(BASE_A3+RATE_A3*($A960-BOTT_A3),0),IF($A960&gt;BOTT_A2,ROUND(BASE_A2+RATE_A2*($A960-BOTT_A2),0),ROUND(RATE_A1*$A960,0))))</f>
        <v/>
      </c>
      <c r="E960" s="556">
        <f>IF($A960&gt;BOTT_B4,ROUND(BASE_B4+RATE_B4*($A960-BOTT_B4),0),IF($A960&gt;BOTT_B3,ROUND(BASE_B3+RATE_B3*($A960-BOTT_B3),0),IF($A960&gt;BOTT_B2,ROUND(BASE_B2+RATE_B2*($A960-BOTT_B2),0),ROUND(RATE_B1*$A960,0))))</f>
        <v/>
      </c>
      <c r="F960" s="556">
        <f>IF($A960&gt;BOTT_C4,ROUND(BASE_C4+RATE_C4*($A960-BOTT_C4),0),IF($A960&gt;BOTT_C3,ROUND(BASE_C3+RATE_C3*($A960-BOTT_C3),0),IF($A960&gt;BOTT_C2,ROUND(BASE_C2+RATE_C2*($A960-BOTT_C2),0),ROUND(RATE_C1*$A960,0))))</f>
        <v/>
      </c>
      <c r="G960" s="556">
        <f>IF($A960&gt;BOTT_D4,ROUND(BASE_D4+RATE_D4*($A960-BOTT_D4),0),IF($A960&gt;BOTT_D3,ROUND(BASE_D3+RATE_D3*($A960-BOTT_D3),0),IF($A960&gt;BOTT_D2,ROUND(BASE_D2+RATE_D2*($A960-BOTT_D2),0),ROUND(RATE_D1*$A960,0))))</f>
        <v/>
      </c>
    </row>
    <row r="961" ht="15.75" customHeight="1" s="7635">
      <c r="A961" s="625">
        <f>AVERAGE(B961,C961)</f>
        <v/>
      </c>
      <c r="B961" s="555" t="n">
        <v>44850</v>
      </c>
      <c r="C961" s="555" t="n">
        <v>44900</v>
      </c>
      <c r="D961" s="556">
        <f>IF($A961&gt;BOTT_A4,ROUND(BASE_A4+RATE_A4*($A961-BOTT_A4),0),IF($A961&gt;BOTT_A3,ROUND(BASE_A3+RATE_A3*($A961-BOTT_A3),0),IF($A961&gt;BOTT_A2,ROUND(BASE_A2+RATE_A2*($A961-BOTT_A2),0),ROUND(RATE_A1*$A961,0))))</f>
        <v/>
      </c>
      <c r="E961" s="556">
        <f>IF($A961&gt;BOTT_B4,ROUND(BASE_B4+RATE_B4*($A961-BOTT_B4),0),IF($A961&gt;BOTT_B3,ROUND(BASE_B3+RATE_B3*($A961-BOTT_B3),0),IF($A961&gt;BOTT_B2,ROUND(BASE_B2+RATE_B2*($A961-BOTT_B2),0),ROUND(RATE_B1*$A961,0))))</f>
        <v/>
      </c>
      <c r="F961" s="556">
        <f>IF($A961&gt;BOTT_C4,ROUND(BASE_C4+RATE_C4*($A961-BOTT_C4),0),IF($A961&gt;BOTT_C3,ROUND(BASE_C3+RATE_C3*($A961-BOTT_C3),0),IF($A961&gt;BOTT_C2,ROUND(BASE_C2+RATE_C2*($A961-BOTT_C2),0),ROUND(RATE_C1*$A961,0))))</f>
        <v/>
      </c>
      <c r="G961" s="556">
        <f>IF($A961&gt;BOTT_D4,ROUND(BASE_D4+RATE_D4*($A961-BOTT_D4),0),IF($A961&gt;BOTT_D3,ROUND(BASE_D3+RATE_D3*($A961-BOTT_D3),0),IF($A961&gt;BOTT_D2,ROUND(BASE_D2+RATE_D2*($A961-BOTT_D2),0),ROUND(RATE_D1*$A961,0))))</f>
        <v/>
      </c>
    </row>
    <row r="962" ht="15.75" customHeight="1" s="7635">
      <c r="A962" s="625">
        <f>AVERAGE(B962,C962)</f>
        <v/>
      </c>
      <c r="B962" s="555" t="n">
        <v>44900</v>
      </c>
      <c r="C962" s="555" t="n">
        <v>44950</v>
      </c>
      <c r="D962" s="556">
        <f>IF($A962&gt;BOTT_A4,ROUND(BASE_A4+RATE_A4*($A962-BOTT_A4),0),IF($A962&gt;BOTT_A3,ROUND(BASE_A3+RATE_A3*($A962-BOTT_A3),0),IF($A962&gt;BOTT_A2,ROUND(BASE_A2+RATE_A2*($A962-BOTT_A2),0),ROUND(RATE_A1*$A962,0))))</f>
        <v/>
      </c>
      <c r="E962" s="556">
        <f>IF($A962&gt;BOTT_B4,ROUND(BASE_B4+RATE_B4*($A962-BOTT_B4),0),IF($A962&gt;BOTT_B3,ROUND(BASE_B3+RATE_B3*($A962-BOTT_B3),0),IF($A962&gt;BOTT_B2,ROUND(BASE_B2+RATE_B2*($A962-BOTT_B2),0),ROUND(RATE_B1*$A962,0))))</f>
        <v/>
      </c>
      <c r="F962" s="556">
        <f>IF($A962&gt;BOTT_C4,ROUND(BASE_C4+RATE_C4*($A962-BOTT_C4),0),IF($A962&gt;BOTT_C3,ROUND(BASE_C3+RATE_C3*($A962-BOTT_C3),0),IF($A962&gt;BOTT_C2,ROUND(BASE_C2+RATE_C2*($A962-BOTT_C2),0),ROUND(RATE_C1*$A962,0))))</f>
        <v/>
      </c>
      <c r="G962" s="556">
        <f>IF($A962&gt;BOTT_D4,ROUND(BASE_D4+RATE_D4*($A962-BOTT_D4),0),IF($A962&gt;BOTT_D3,ROUND(BASE_D3+RATE_D3*($A962-BOTT_D3),0),IF($A962&gt;BOTT_D2,ROUND(BASE_D2+RATE_D2*($A962-BOTT_D2),0),ROUND(RATE_D1*$A962,0))))</f>
        <v/>
      </c>
    </row>
    <row r="963" ht="15.75" customHeight="1" s="7635">
      <c r="A963" s="625">
        <f>AVERAGE(B963,C963)</f>
        <v/>
      </c>
      <c r="B963" s="555" t="n">
        <v>44950</v>
      </c>
      <c r="C963" s="555" t="n">
        <v>45000</v>
      </c>
      <c r="D963" s="556">
        <f>IF($A963&gt;BOTT_A4,ROUND(BASE_A4+RATE_A4*($A963-BOTT_A4),0),IF($A963&gt;BOTT_A3,ROUND(BASE_A3+RATE_A3*($A963-BOTT_A3),0),IF($A963&gt;BOTT_A2,ROUND(BASE_A2+RATE_A2*($A963-BOTT_A2),0),ROUND(RATE_A1*$A963,0))))</f>
        <v/>
      </c>
      <c r="E963" s="556">
        <f>IF($A963&gt;BOTT_B4,ROUND(BASE_B4+RATE_B4*($A963-BOTT_B4),0),IF($A963&gt;BOTT_B3,ROUND(BASE_B3+RATE_B3*($A963-BOTT_B3),0),IF($A963&gt;BOTT_B2,ROUND(BASE_B2+RATE_B2*($A963-BOTT_B2),0),ROUND(RATE_B1*$A963,0))))</f>
        <v/>
      </c>
      <c r="F963" s="556">
        <f>IF($A963&gt;BOTT_C4,ROUND(BASE_C4+RATE_C4*($A963-BOTT_C4),0),IF($A963&gt;BOTT_C3,ROUND(BASE_C3+RATE_C3*($A963-BOTT_C3),0),IF($A963&gt;BOTT_C2,ROUND(BASE_C2+RATE_C2*($A963-BOTT_C2),0),ROUND(RATE_C1*$A963,0))))</f>
        <v/>
      </c>
      <c r="G963" s="556">
        <f>IF($A963&gt;BOTT_D4,ROUND(BASE_D4+RATE_D4*($A963-BOTT_D4),0),IF($A963&gt;BOTT_D3,ROUND(BASE_D3+RATE_D3*($A963-BOTT_D3),0),IF($A963&gt;BOTT_D2,ROUND(BASE_D2+RATE_D2*($A963-BOTT_D2),0),ROUND(RATE_D1*$A963,0))))</f>
        <v/>
      </c>
    </row>
    <row r="964" ht="15.75" customHeight="1" s="7635">
      <c r="A964" s="625">
        <f>AVERAGE(B964,C964)</f>
        <v/>
      </c>
      <c r="B964" s="555" t="n">
        <v>45000</v>
      </c>
      <c r="C964" s="555" t="n">
        <v>45050</v>
      </c>
      <c r="D964" s="556">
        <f>IF($A964&gt;BOTT_A4,ROUND(BASE_A4+RATE_A4*($A964-BOTT_A4),0),IF($A964&gt;BOTT_A3,ROUND(BASE_A3+RATE_A3*($A964-BOTT_A3),0),IF($A964&gt;BOTT_A2,ROUND(BASE_A2+RATE_A2*($A964-BOTT_A2),0),ROUND(RATE_A1*$A964,0))))</f>
        <v/>
      </c>
      <c r="E964" s="556">
        <f>IF($A964&gt;BOTT_B4,ROUND(BASE_B4+RATE_B4*($A964-BOTT_B4),0),IF($A964&gt;BOTT_B3,ROUND(BASE_B3+RATE_B3*($A964-BOTT_B3),0),IF($A964&gt;BOTT_B2,ROUND(BASE_B2+RATE_B2*($A964-BOTT_B2),0),ROUND(RATE_B1*$A964,0))))</f>
        <v/>
      </c>
      <c r="F964" s="556">
        <f>IF($A964&gt;BOTT_C4,ROUND(BASE_C4+RATE_C4*($A964-BOTT_C4),0),IF($A964&gt;BOTT_C3,ROUND(BASE_C3+RATE_C3*($A964-BOTT_C3),0),IF($A964&gt;BOTT_C2,ROUND(BASE_C2+RATE_C2*($A964-BOTT_C2),0),ROUND(RATE_C1*$A964,0))))</f>
        <v/>
      </c>
      <c r="G964" s="556">
        <f>IF($A964&gt;BOTT_D4,ROUND(BASE_D4+RATE_D4*($A964-BOTT_D4),0),IF($A964&gt;BOTT_D3,ROUND(BASE_D3+RATE_D3*($A964-BOTT_D3),0),IF($A964&gt;BOTT_D2,ROUND(BASE_D2+RATE_D2*($A964-BOTT_D2),0),ROUND(RATE_D1*$A964,0))))</f>
        <v/>
      </c>
    </row>
    <row r="965" ht="15.75" customHeight="1" s="7635">
      <c r="A965" s="625">
        <f>AVERAGE(B965,C965)</f>
        <v/>
      </c>
      <c r="B965" s="555" t="n">
        <v>45050</v>
      </c>
      <c r="C965" s="555" t="n">
        <v>45100</v>
      </c>
      <c r="D965" s="556">
        <f>IF($A965&gt;BOTT_A4,ROUND(BASE_A4+RATE_A4*($A965-BOTT_A4),0),IF($A965&gt;BOTT_A3,ROUND(BASE_A3+RATE_A3*($A965-BOTT_A3),0),IF($A965&gt;BOTT_A2,ROUND(BASE_A2+RATE_A2*($A965-BOTT_A2),0),ROUND(RATE_A1*$A965,0))))</f>
        <v/>
      </c>
      <c r="E965" s="556">
        <f>IF($A965&gt;BOTT_B4,ROUND(BASE_B4+RATE_B4*($A965-BOTT_B4),0),IF($A965&gt;BOTT_B3,ROUND(BASE_B3+RATE_B3*($A965-BOTT_B3),0),IF($A965&gt;BOTT_B2,ROUND(BASE_B2+RATE_B2*($A965-BOTT_B2),0),ROUND(RATE_B1*$A965,0))))</f>
        <v/>
      </c>
      <c r="F965" s="556">
        <f>IF($A965&gt;BOTT_C4,ROUND(BASE_C4+RATE_C4*($A965-BOTT_C4),0),IF($A965&gt;BOTT_C3,ROUND(BASE_C3+RATE_C3*($A965-BOTT_C3),0),IF($A965&gt;BOTT_C2,ROUND(BASE_C2+RATE_C2*($A965-BOTT_C2),0),ROUND(RATE_C1*$A965,0))))</f>
        <v/>
      </c>
      <c r="G965" s="556">
        <f>IF($A965&gt;BOTT_D4,ROUND(BASE_D4+RATE_D4*($A965-BOTT_D4),0),IF($A965&gt;BOTT_D3,ROUND(BASE_D3+RATE_D3*($A965-BOTT_D3),0),IF($A965&gt;BOTT_D2,ROUND(BASE_D2+RATE_D2*($A965-BOTT_D2),0),ROUND(RATE_D1*$A965,0))))</f>
        <v/>
      </c>
    </row>
    <row r="966" ht="15.75" customHeight="1" s="7635">
      <c r="A966" s="625">
        <f>AVERAGE(B966,C966)</f>
        <v/>
      </c>
      <c r="B966" s="555" t="n">
        <v>45100</v>
      </c>
      <c r="C966" s="555" t="n">
        <v>45150</v>
      </c>
      <c r="D966" s="556">
        <f>IF($A966&gt;BOTT_A4,ROUND(BASE_A4+RATE_A4*($A966-BOTT_A4),0),IF($A966&gt;BOTT_A3,ROUND(BASE_A3+RATE_A3*($A966-BOTT_A3),0),IF($A966&gt;BOTT_A2,ROUND(BASE_A2+RATE_A2*($A966-BOTT_A2),0),ROUND(RATE_A1*$A966,0))))</f>
        <v/>
      </c>
      <c r="E966" s="556">
        <f>IF($A966&gt;BOTT_B4,ROUND(BASE_B4+RATE_B4*($A966-BOTT_B4),0),IF($A966&gt;BOTT_B3,ROUND(BASE_B3+RATE_B3*($A966-BOTT_B3),0),IF($A966&gt;BOTT_B2,ROUND(BASE_B2+RATE_B2*($A966-BOTT_B2),0),ROUND(RATE_B1*$A966,0))))</f>
        <v/>
      </c>
      <c r="F966" s="556">
        <f>IF($A966&gt;BOTT_C4,ROUND(BASE_C4+RATE_C4*($A966-BOTT_C4),0),IF($A966&gt;BOTT_C3,ROUND(BASE_C3+RATE_C3*($A966-BOTT_C3),0),IF($A966&gt;BOTT_C2,ROUND(BASE_C2+RATE_C2*($A966-BOTT_C2),0),ROUND(RATE_C1*$A966,0))))</f>
        <v/>
      </c>
      <c r="G966" s="556">
        <f>IF($A966&gt;BOTT_D4,ROUND(BASE_D4+RATE_D4*($A966-BOTT_D4),0),IF($A966&gt;BOTT_D3,ROUND(BASE_D3+RATE_D3*($A966-BOTT_D3),0),IF($A966&gt;BOTT_D2,ROUND(BASE_D2+RATE_D2*($A966-BOTT_D2),0),ROUND(RATE_D1*$A966,0))))</f>
        <v/>
      </c>
    </row>
    <row r="967" ht="15.75" customHeight="1" s="7635">
      <c r="A967" s="625">
        <f>AVERAGE(B967,C967)</f>
        <v/>
      </c>
      <c r="B967" s="555" t="n">
        <v>45150</v>
      </c>
      <c r="C967" s="555" t="n">
        <v>45200</v>
      </c>
      <c r="D967" s="556">
        <f>IF($A967&gt;BOTT_A4,ROUND(BASE_A4+RATE_A4*($A967-BOTT_A4),0),IF($A967&gt;BOTT_A3,ROUND(BASE_A3+RATE_A3*($A967-BOTT_A3),0),IF($A967&gt;BOTT_A2,ROUND(BASE_A2+RATE_A2*($A967-BOTT_A2),0),ROUND(RATE_A1*$A967,0))))</f>
        <v/>
      </c>
      <c r="E967" s="556">
        <f>IF($A967&gt;BOTT_B4,ROUND(BASE_B4+RATE_B4*($A967-BOTT_B4),0),IF($A967&gt;BOTT_B3,ROUND(BASE_B3+RATE_B3*($A967-BOTT_B3),0),IF($A967&gt;BOTT_B2,ROUND(BASE_B2+RATE_B2*($A967-BOTT_B2),0),ROUND(RATE_B1*$A967,0))))</f>
        <v/>
      </c>
      <c r="F967" s="556">
        <f>IF($A967&gt;BOTT_C4,ROUND(BASE_C4+RATE_C4*($A967-BOTT_C4),0),IF($A967&gt;BOTT_C3,ROUND(BASE_C3+RATE_C3*($A967-BOTT_C3),0),IF($A967&gt;BOTT_C2,ROUND(BASE_C2+RATE_C2*($A967-BOTT_C2),0),ROUND(RATE_C1*$A967,0))))</f>
        <v/>
      </c>
      <c r="G967" s="556">
        <f>IF($A967&gt;BOTT_D4,ROUND(BASE_D4+RATE_D4*($A967-BOTT_D4),0),IF($A967&gt;BOTT_D3,ROUND(BASE_D3+RATE_D3*($A967-BOTT_D3),0),IF($A967&gt;BOTT_D2,ROUND(BASE_D2+RATE_D2*($A967-BOTT_D2),0),ROUND(RATE_D1*$A967,0))))</f>
        <v/>
      </c>
    </row>
    <row r="968" ht="15.75" customHeight="1" s="7635">
      <c r="A968" s="625">
        <f>AVERAGE(B968,C968)</f>
        <v/>
      </c>
      <c r="B968" s="555" t="n">
        <v>45200</v>
      </c>
      <c r="C968" s="555" t="n">
        <v>45250</v>
      </c>
      <c r="D968" s="556">
        <f>IF($A968&gt;BOTT_A4,ROUND(BASE_A4+RATE_A4*($A968-BOTT_A4),0),IF($A968&gt;BOTT_A3,ROUND(BASE_A3+RATE_A3*($A968-BOTT_A3),0),IF($A968&gt;BOTT_A2,ROUND(BASE_A2+RATE_A2*($A968-BOTT_A2),0),ROUND(RATE_A1*$A968,0))))</f>
        <v/>
      </c>
      <c r="E968" s="556">
        <f>IF($A968&gt;BOTT_B4,ROUND(BASE_B4+RATE_B4*($A968-BOTT_B4),0),IF($A968&gt;BOTT_B3,ROUND(BASE_B3+RATE_B3*($A968-BOTT_B3),0),IF($A968&gt;BOTT_B2,ROUND(BASE_B2+RATE_B2*($A968-BOTT_B2),0),ROUND(RATE_B1*$A968,0))))</f>
        <v/>
      </c>
      <c r="F968" s="556">
        <f>IF($A968&gt;BOTT_C4,ROUND(BASE_C4+RATE_C4*($A968-BOTT_C4),0),IF($A968&gt;BOTT_C3,ROUND(BASE_C3+RATE_C3*($A968-BOTT_C3),0),IF($A968&gt;BOTT_C2,ROUND(BASE_C2+RATE_C2*($A968-BOTT_C2),0),ROUND(RATE_C1*$A968,0))))</f>
        <v/>
      </c>
      <c r="G968" s="556">
        <f>IF($A968&gt;BOTT_D4,ROUND(BASE_D4+RATE_D4*($A968-BOTT_D4),0),IF($A968&gt;BOTT_D3,ROUND(BASE_D3+RATE_D3*($A968-BOTT_D3),0),IF($A968&gt;BOTT_D2,ROUND(BASE_D2+RATE_D2*($A968-BOTT_D2),0),ROUND(RATE_D1*$A968,0))))</f>
        <v/>
      </c>
    </row>
    <row r="969" ht="15.75" customHeight="1" s="7635">
      <c r="A969" s="625">
        <f>AVERAGE(B969,C969)</f>
        <v/>
      </c>
      <c r="B969" s="555" t="n">
        <v>45250</v>
      </c>
      <c r="C969" s="555" t="n">
        <v>45300</v>
      </c>
      <c r="D969" s="556">
        <f>IF($A969&gt;BOTT_A4,ROUND(BASE_A4+RATE_A4*($A969-BOTT_A4),0),IF($A969&gt;BOTT_A3,ROUND(BASE_A3+RATE_A3*($A969-BOTT_A3),0),IF($A969&gt;BOTT_A2,ROUND(BASE_A2+RATE_A2*($A969-BOTT_A2),0),ROUND(RATE_A1*$A969,0))))</f>
        <v/>
      </c>
      <c r="E969" s="556">
        <f>IF($A969&gt;BOTT_B4,ROUND(BASE_B4+RATE_B4*($A969-BOTT_B4),0),IF($A969&gt;BOTT_B3,ROUND(BASE_B3+RATE_B3*($A969-BOTT_B3),0),IF($A969&gt;BOTT_B2,ROUND(BASE_B2+RATE_B2*($A969-BOTT_B2),0),ROUND(RATE_B1*$A969,0))))</f>
        <v/>
      </c>
      <c r="F969" s="556">
        <f>IF($A969&gt;BOTT_C4,ROUND(BASE_C4+RATE_C4*($A969-BOTT_C4),0),IF($A969&gt;BOTT_C3,ROUND(BASE_C3+RATE_C3*($A969-BOTT_C3),0),IF($A969&gt;BOTT_C2,ROUND(BASE_C2+RATE_C2*($A969-BOTT_C2),0),ROUND(RATE_C1*$A969,0))))</f>
        <v/>
      </c>
      <c r="G969" s="556">
        <f>IF($A969&gt;BOTT_D4,ROUND(BASE_D4+RATE_D4*($A969-BOTT_D4),0),IF($A969&gt;BOTT_D3,ROUND(BASE_D3+RATE_D3*($A969-BOTT_D3),0),IF($A969&gt;BOTT_D2,ROUND(BASE_D2+RATE_D2*($A969-BOTT_D2),0),ROUND(RATE_D1*$A969,0))))</f>
        <v/>
      </c>
    </row>
    <row r="970" ht="15.75" customHeight="1" s="7635">
      <c r="A970" s="625">
        <f>AVERAGE(B970,C970)</f>
        <v/>
      </c>
      <c r="B970" s="555" t="n">
        <v>45300</v>
      </c>
      <c r="C970" s="555" t="n">
        <v>45350</v>
      </c>
      <c r="D970" s="556">
        <f>IF($A970&gt;BOTT_A4,ROUND(BASE_A4+RATE_A4*($A970-BOTT_A4),0),IF($A970&gt;BOTT_A3,ROUND(BASE_A3+RATE_A3*($A970-BOTT_A3),0),IF($A970&gt;BOTT_A2,ROUND(BASE_A2+RATE_A2*($A970-BOTT_A2),0),ROUND(RATE_A1*$A970,0))))</f>
        <v/>
      </c>
      <c r="E970" s="556">
        <f>IF($A970&gt;BOTT_B4,ROUND(BASE_B4+RATE_B4*($A970-BOTT_B4),0),IF($A970&gt;BOTT_B3,ROUND(BASE_B3+RATE_B3*($A970-BOTT_B3),0),IF($A970&gt;BOTT_B2,ROUND(BASE_B2+RATE_B2*($A970-BOTT_B2),0),ROUND(RATE_B1*$A970,0))))</f>
        <v/>
      </c>
      <c r="F970" s="556">
        <f>IF($A970&gt;BOTT_C4,ROUND(BASE_C4+RATE_C4*($A970-BOTT_C4),0),IF($A970&gt;BOTT_C3,ROUND(BASE_C3+RATE_C3*($A970-BOTT_C3),0),IF($A970&gt;BOTT_C2,ROUND(BASE_C2+RATE_C2*($A970-BOTT_C2),0),ROUND(RATE_C1*$A970,0))))</f>
        <v/>
      </c>
      <c r="G970" s="556">
        <f>IF($A970&gt;BOTT_D4,ROUND(BASE_D4+RATE_D4*($A970-BOTT_D4),0),IF($A970&gt;BOTT_D3,ROUND(BASE_D3+RATE_D3*($A970-BOTT_D3),0),IF($A970&gt;BOTT_D2,ROUND(BASE_D2+RATE_D2*($A970-BOTT_D2),0),ROUND(RATE_D1*$A970,0))))</f>
        <v/>
      </c>
    </row>
    <row r="971" ht="15.75" customHeight="1" s="7635">
      <c r="A971" s="625">
        <f>AVERAGE(B971,C971)</f>
        <v/>
      </c>
      <c r="B971" s="555" t="n">
        <v>45350</v>
      </c>
      <c r="C971" s="555" t="n">
        <v>45400</v>
      </c>
      <c r="D971" s="556">
        <f>IF($A971&gt;BOTT_A4,ROUND(BASE_A4+RATE_A4*($A971-BOTT_A4),0),IF($A971&gt;BOTT_A3,ROUND(BASE_A3+RATE_A3*($A971-BOTT_A3),0),IF($A971&gt;BOTT_A2,ROUND(BASE_A2+RATE_A2*($A971-BOTT_A2),0),ROUND(RATE_A1*$A971,0))))</f>
        <v/>
      </c>
      <c r="E971" s="556">
        <f>IF($A971&gt;BOTT_B4,ROUND(BASE_B4+RATE_B4*($A971-BOTT_B4),0),IF($A971&gt;BOTT_B3,ROUND(BASE_B3+RATE_B3*($A971-BOTT_B3),0),IF($A971&gt;BOTT_B2,ROUND(BASE_B2+RATE_B2*($A971-BOTT_B2),0),ROUND(RATE_B1*$A971,0))))</f>
        <v/>
      </c>
      <c r="F971" s="556">
        <f>IF($A971&gt;BOTT_C4,ROUND(BASE_C4+RATE_C4*($A971-BOTT_C4),0),IF($A971&gt;BOTT_C3,ROUND(BASE_C3+RATE_C3*($A971-BOTT_C3),0),IF($A971&gt;BOTT_C2,ROUND(BASE_C2+RATE_C2*($A971-BOTT_C2),0),ROUND(RATE_C1*$A971,0))))</f>
        <v/>
      </c>
      <c r="G971" s="556">
        <f>IF($A971&gt;BOTT_D4,ROUND(BASE_D4+RATE_D4*($A971-BOTT_D4),0),IF($A971&gt;BOTT_D3,ROUND(BASE_D3+RATE_D3*($A971-BOTT_D3),0),IF($A971&gt;BOTT_D2,ROUND(BASE_D2+RATE_D2*($A971-BOTT_D2),0),ROUND(RATE_D1*$A971,0))))</f>
        <v/>
      </c>
    </row>
    <row r="972" ht="15.75" customHeight="1" s="7635">
      <c r="A972" s="625">
        <f>AVERAGE(B972,C972)</f>
        <v/>
      </c>
      <c r="B972" s="555" t="n">
        <v>45400</v>
      </c>
      <c r="C972" s="555" t="n">
        <v>45450</v>
      </c>
      <c r="D972" s="556">
        <f>IF($A972&gt;BOTT_A4,ROUND(BASE_A4+RATE_A4*($A972-BOTT_A4),0),IF($A972&gt;BOTT_A3,ROUND(BASE_A3+RATE_A3*($A972-BOTT_A3),0),IF($A972&gt;BOTT_A2,ROUND(BASE_A2+RATE_A2*($A972-BOTT_A2),0),ROUND(RATE_A1*$A972,0))))</f>
        <v/>
      </c>
      <c r="E972" s="556">
        <f>IF($A972&gt;BOTT_B4,ROUND(BASE_B4+RATE_B4*($A972-BOTT_B4),0),IF($A972&gt;BOTT_B3,ROUND(BASE_B3+RATE_B3*($A972-BOTT_B3),0),IF($A972&gt;BOTT_B2,ROUND(BASE_B2+RATE_B2*($A972-BOTT_B2),0),ROUND(RATE_B1*$A972,0))))</f>
        <v/>
      </c>
      <c r="F972" s="556">
        <f>IF($A972&gt;BOTT_C4,ROUND(BASE_C4+RATE_C4*($A972-BOTT_C4),0),IF($A972&gt;BOTT_C3,ROUND(BASE_C3+RATE_C3*($A972-BOTT_C3),0),IF($A972&gt;BOTT_C2,ROUND(BASE_C2+RATE_C2*($A972-BOTT_C2),0),ROUND(RATE_C1*$A972,0))))</f>
        <v/>
      </c>
      <c r="G972" s="556">
        <f>IF($A972&gt;BOTT_D4,ROUND(BASE_D4+RATE_D4*($A972-BOTT_D4),0),IF($A972&gt;BOTT_D3,ROUND(BASE_D3+RATE_D3*($A972-BOTT_D3),0),IF($A972&gt;BOTT_D2,ROUND(BASE_D2+RATE_D2*($A972-BOTT_D2),0),ROUND(RATE_D1*$A972,0))))</f>
        <v/>
      </c>
    </row>
    <row r="973" ht="15.75" customHeight="1" s="7635">
      <c r="A973" s="625">
        <f>AVERAGE(B973,C973)</f>
        <v/>
      </c>
      <c r="B973" s="555" t="n">
        <v>45450</v>
      </c>
      <c r="C973" s="555" t="n">
        <v>45500</v>
      </c>
      <c r="D973" s="556">
        <f>IF($A973&gt;BOTT_A4,ROUND(BASE_A4+RATE_A4*($A973-BOTT_A4),0),IF($A973&gt;BOTT_A3,ROUND(BASE_A3+RATE_A3*($A973-BOTT_A3),0),IF($A973&gt;BOTT_A2,ROUND(BASE_A2+RATE_A2*($A973-BOTT_A2),0),ROUND(RATE_A1*$A973,0))))</f>
        <v/>
      </c>
      <c r="E973" s="556">
        <f>IF($A973&gt;BOTT_B4,ROUND(BASE_B4+RATE_B4*($A973-BOTT_B4),0),IF($A973&gt;BOTT_B3,ROUND(BASE_B3+RATE_B3*($A973-BOTT_B3),0),IF($A973&gt;BOTT_B2,ROUND(BASE_B2+RATE_B2*($A973-BOTT_B2),0),ROUND(RATE_B1*$A973,0))))</f>
        <v/>
      </c>
      <c r="F973" s="556">
        <f>IF($A973&gt;BOTT_C4,ROUND(BASE_C4+RATE_C4*($A973-BOTT_C4),0),IF($A973&gt;BOTT_C3,ROUND(BASE_C3+RATE_C3*($A973-BOTT_C3),0),IF($A973&gt;BOTT_C2,ROUND(BASE_C2+RATE_C2*($A973-BOTT_C2),0),ROUND(RATE_C1*$A973,0))))</f>
        <v/>
      </c>
      <c r="G973" s="556">
        <f>IF($A973&gt;BOTT_D4,ROUND(BASE_D4+RATE_D4*($A973-BOTT_D4),0),IF($A973&gt;BOTT_D3,ROUND(BASE_D3+RATE_D3*($A973-BOTT_D3),0),IF($A973&gt;BOTT_D2,ROUND(BASE_D2+RATE_D2*($A973-BOTT_D2),0),ROUND(RATE_D1*$A973,0))))</f>
        <v/>
      </c>
    </row>
    <row r="974" ht="15.75" customHeight="1" s="7635">
      <c r="A974" s="625">
        <f>AVERAGE(B974,C974)</f>
        <v/>
      </c>
      <c r="B974" s="555" t="n">
        <v>45500</v>
      </c>
      <c r="C974" s="555" t="n">
        <v>45550</v>
      </c>
      <c r="D974" s="556">
        <f>IF($A974&gt;BOTT_A4,ROUND(BASE_A4+RATE_A4*($A974-BOTT_A4),0),IF($A974&gt;BOTT_A3,ROUND(BASE_A3+RATE_A3*($A974-BOTT_A3),0),IF($A974&gt;BOTT_A2,ROUND(BASE_A2+RATE_A2*($A974-BOTT_A2),0),ROUND(RATE_A1*$A974,0))))</f>
        <v/>
      </c>
      <c r="E974" s="556">
        <f>IF($A974&gt;BOTT_B4,ROUND(BASE_B4+RATE_B4*($A974-BOTT_B4),0),IF($A974&gt;BOTT_B3,ROUND(BASE_B3+RATE_B3*($A974-BOTT_B3),0),IF($A974&gt;BOTT_B2,ROUND(BASE_B2+RATE_B2*($A974-BOTT_B2),0),ROUND(RATE_B1*$A974,0))))</f>
        <v/>
      </c>
      <c r="F974" s="556">
        <f>IF($A974&gt;BOTT_C4,ROUND(BASE_C4+RATE_C4*($A974-BOTT_C4),0),IF($A974&gt;BOTT_C3,ROUND(BASE_C3+RATE_C3*($A974-BOTT_C3),0),IF($A974&gt;BOTT_C2,ROUND(BASE_C2+RATE_C2*($A974-BOTT_C2),0),ROUND(RATE_C1*$A974,0))))</f>
        <v/>
      </c>
      <c r="G974" s="556">
        <f>IF($A974&gt;BOTT_D4,ROUND(BASE_D4+RATE_D4*($A974-BOTT_D4),0),IF($A974&gt;BOTT_D3,ROUND(BASE_D3+RATE_D3*($A974-BOTT_D3),0),IF($A974&gt;BOTT_D2,ROUND(BASE_D2+RATE_D2*($A974-BOTT_D2),0),ROUND(RATE_D1*$A974,0))))</f>
        <v/>
      </c>
    </row>
    <row r="975" ht="15.75" customHeight="1" s="7635">
      <c r="A975" s="625">
        <f>AVERAGE(B975,C975)</f>
        <v/>
      </c>
      <c r="B975" s="555" t="n">
        <v>45550</v>
      </c>
      <c r="C975" s="555" t="n">
        <v>45600</v>
      </c>
      <c r="D975" s="556">
        <f>IF($A975&gt;BOTT_A4,ROUND(BASE_A4+RATE_A4*($A975-BOTT_A4),0),IF($A975&gt;BOTT_A3,ROUND(BASE_A3+RATE_A3*($A975-BOTT_A3),0),IF($A975&gt;BOTT_A2,ROUND(BASE_A2+RATE_A2*($A975-BOTT_A2),0),ROUND(RATE_A1*$A975,0))))</f>
        <v/>
      </c>
      <c r="E975" s="556">
        <f>IF($A975&gt;BOTT_B4,ROUND(BASE_B4+RATE_B4*($A975-BOTT_B4),0),IF($A975&gt;BOTT_B3,ROUND(BASE_B3+RATE_B3*($A975-BOTT_B3),0),IF($A975&gt;BOTT_B2,ROUND(BASE_B2+RATE_B2*($A975-BOTT_B2),0),ROUND(RATE_B1*$A975,0))))</f>
        <v/>
      </c>
      <c r="F975" s="556">
        <f>IF($A975&gt;BOTT_C4,ROUND(BASE_C4+RATE_C4*($A975-BOTT_C4),0),IF($A975&gt;BOTT_C3,ROUND(BASE_C3+RATE_C3*($A975-BOTT_C3),0),IF($A975&gt;BOTT_C2,ROUND(BASE_C2+RATE_C2*($A975-BOTT_C2),0),ROUND(RATE_C1*$A975,0))))</f>
        <v/>
      </c>
      <c r="G975" s="556">
        <f>IF($A975&gt;BOTT_D4,ROUND(BASE_D4+RATE_D4*($A975-BOTT_D4),0),IF($A975&gt;BOTT_D3,ROUND(BASE_D3+RATE_D3*($A975-BOTT_D3),0),IF($A975&gt;BOTT_D2,ROUND(BASE_D2+RATE_D2*($A975-BOTT_D2),0),ROUND(RATE_D1*$A975,0))))</f>
        <v/>
      </c>
    </row>
    <row r="976" ht="15.75" customHeight="1" s="7635">
      <c r="A976" s="625">
        <f>AVERAGE(B976,C976)</f>
        <v/>
      </c>
      <c r="B976" s="555" t="n">
        <v>45600</v>
      </c>
      <c r="C976" s="555" t="n">
        <v>45650</v>
      </c>
      <c r="D976" s="556">
        <f>IF($A976&gt;BOTT_A4,ROUND(BASE_A4+RATE_A4*($A976-BOTT_A4),0),IF($A976&gt;BOTT_A3,ROUND(BASE_A3+RATE_A3*($A976-BOTT_A3),0),IF($A976&gt;BOTT_A2,ROUND(BASE_A2+RATE_A2*($A976-BOTT_A2),0),ROUND(RATE_A1*$A976,0))))</f>
        <v/>
      </c>
      <c r="E976" s="556">
        <f>IF($A976&gt;BOTT_B4,ROUND(BASE_B4+RATE_B4*($A976-BOTT_B4),0),IF($A976&gt;BOTT_B3,ROUND(BASE_B3+RATE_B3*($A976-BOTT_B3),0),IF($A976&gt;BOTT_B2,ROUND(BASE_B2+RATE_B2*($A976-BOTT_B2),0),ROUND(RATE_B1*$A976,0))))</f>
        <v/>
      </c>
      <c r="F976" s="556">
        <f>IF($A976&gt;BOTT_C4,ROUND(BASE_C4+RATE_C4*($A976-BOTT_C4),0),IF($A976&gt;BOTT_C3,ROUND(BASE_C3+RATE_C3*($A976-BOTT_C3),0),IF($A976&gt;BOTT_C2,ROUND(BASE_C2+RATE_C2*($A976-BOTT_C2),0),ROUND(RATE_C1*$A976,0))))</f>
        <v/>
      </c>
      <c r="G976" s="556">
        <f>IF($A976&gt;BOTT_D4,ROUND(BASE_D4+RATE_D4*($A976-BOTT_D4),0),IF($A976&gt;BOTT_D3,ROUND(BASE_D3+RATE_D3*($A976-BOTT_D3),0),IF($A976&gt;BOTT_D2,ROUND(BASE_D2+RATE_D2*($A976-BOTT_D2),0),ROUND(RATE_D1*$A976,0))))</f>
        <v/>
      </c>
    </row>
    <row r="977" ht="15.75" customHeight="1" s="7635">
      <c r="A977" s="625">
        <f>AVERAGE(B977,C977)</f>
        <v/>
      </c>
      <c r="B977" s="555" t="n">
        <v>45650</v>
      </c>
      <c r="C977" s="555" t="n">
        <v>45700</v>
      </c>
      <c r="D977" s="556">
        <f>IF($A977&gt;BOTT_A4,ROUND(BASE_A4+RATE_A4*($A977-BOTT_A4),0),IF($A977&gt;BOTT_A3,ROUND(BASE_A3+RATE_A3*($A977-BOTT_A3),0),IF($A977&gt;BOTT_A2,ROUND(BASE_A2+RATE_A2*($A977-BOTT_A2),0),ROUND(RATE_A1*$A977,0))))</f>
        <v/>
      </c>
      <c r="E977" s="556">
        <f>IF($A977&gt;BOTT_B4,ROUND(BASE_B4+RATE_B4*($A977-BOTT_B4),0),IF($A977&gt;BOTT_B3,ROUND(BASE_B3+RATE_B3*($A977-BOTT_B3),0),IF($A977&gt;BOTT_B2,ROUND(BASE_B2+RATE_B2*($A977-BOTT_B2),0),ROUND(RATE_B1*$A977,0))))</f>
        <v/>
      </c>
      <c r="F977" s="556">
        <f>IF($A977&gt;BOTT_C4,ROUND(BASE_C4+RATE_C4*($A977-BOTT_C4),0),IF($A977&gt;BOTT_C3,ROUND(BASE_C3+RATE_C3*($A977-BOTT_C3),0),IF($A977&gt;BOTT_C2,ROUND(BASE_C2+RATE_C2*($A977-BOTT_C2),0),ROUND(RATE_C1*$A977,0))))</f>
        <v/>
      </c>
      <c r="G977" s="556">
        <f>IF($A977&gt;BOTT_D4,ROUND(BASE_D4+RATE_D4*($A977-BOTT_D4),0),IF($A977&gt;BOTT_D3,ROUND(BASE_D3+RATE_D3*($A977-BOTT_D3),0),IF($A977&gt;BOTT_D2,ROUND(BASE_D2+RATE_D2*($A977-BOTT_D2),0),ROUND(RATE_D1*$A977,0))))</f>
        <v/>
      </c>
    </row>
    <row r="978" ht="15.75" customHeight="1" s="7635">
      <c r="A978" s="625">
        <f>AVERAGE(B978,C978)</f>
        <v/>
      </c>
      <c r="B978" s="555" t="n">
        <v>45700</v>
      </c>
      <c r="C978" s="555" t="n">
        <v>45750</v>
      </c>
      <c r="D978" s="556">
        <f>IF($A978&gt;BOTT_A4,ROUND(BASE_A4+RATE_A4*($A978-BOTT_A4),0),IF($A978&gt;BOTT_A3,ROUND(BASE_A3+RATE_A3*($A978-BOTT_A3),0),IF($A978&gt;BOTT_A2,ROUND(BASE_A2+RATE_A2*($A978-BOTT_A2),0),ROUND(RATE_A1*$A978,0))))</f>
        <v/>
      </c>
      <c r="E978" s="556">
        <f>IF($A978&gt;BOTT_B4,ROUND(BASE_B4+RATE_B4*($A978-BOTT_B4),0),IF($A978&gt;BOTT_B3,ROUND(BASE_B3+RATE_B3*($A978-BOTT_B3),0),IF($A978&gt;BOTT_B2,ROUND(BASE_B2+RATE_B2*($A978-BOTT_B2),0),ROUND(RATE_B1*$A978,0))))</f>
        <v/>
      </c>
      <c r="F978" s="556">
        <f>IF($A978&gt;BOTT_C4,ROUND(BASE_C4+RATE_C4*($A978-BOTT_C4),0),IF($A978&gt;BOTT_C3,ROUND(BASE_C3+RATE_C3*($A978-BOTT_C3),0),IF($A978&gt;BOTT_C2,ROUND(BASE_C2+RATE_C2*($A978-BOTT_C2),0),ROUND(RATE_C1*$A978,0))))</f>
        <v/>
      </c>
      <c r="G978" s="556">
        <f>IF($A978&gt;BOTT_D4,ROUND(BASE_D4+RATE_D4*($A978-BOTT_D4),0),IF($A978&gt;BOTT_D3,ROUND(BASE_D3+RATE_D3*($A978-BOTT_D3),0),IF($A978&gt;BOTT_D2,ROUND(BASE_D2+RATE_D2*($A978-BOTT_D2),0),ROUND(RATE_D1*$A978,0))))</f>
        <v/>
      </c>
    </row>
    <row r="979" ht="15.75" customHeight="1" s="7635">
      <c r="A979" s="625">
        <f>AVERAGE(B979,C979)</f>
        <v/>
      </c>
      <c r="B979" s="555" t="n">
        <v>45750</v>
      </c>
      <c r="C979" s="555" t="n">
        <v>45800</v>
      </c>
      <c r="D979" s="556">
        <f>IF($A979&gt;BOTT_A4,ROUND(BASE_A4+RATE_A4*($A979-BOTT_A4),0),IF($A979&gt;BOTT_A3,ROUND(BASE_A3+RATE_A3*($A979-BOTT_A3),0),IF($A979&gt;BOTT_A2,ROUND(BASE_A2+RATE_A2*($A979-BOTT_A2),0),ROUND(RATE_A1*$A979,0))))</f>
        <v/>
      </c>
      <c r="E979" s="556">
        <f>IF($A979&gt;BOTT_B4,ROUND(BASE_B4+RATE_B4*($A979-BOTT_B4),0),IF($A979&gt;BOTT_B3,ROUND(BASE_B3+RATE_B3*($A979-BOTT_B3),0),IF($A979&gt;BOTT_B2,ROUND(BASE_B2+RATE_B2*($A979-BOTT_B2),0),ROUND(RATE_B1*$A979,0))))</f>
        <v/>
      </c>
      <c r="F979" s="556">
        <f>IF($A979&gt;BOTT_C4,ROUND(BASE_C4+RATE_C4*($A979-BOTT_C4),0),IF($A979&gt;BOTT_C3,ROUND(BASE_C3+RATE_C3*($A979-BOTT_C3),0),IF($A979&gt;BOTT_C2,ROUND(BASE_C2+RATE_C2*($A979-BOTT_C2),0),ROUND(RATE_C1*$A979,0))))</f>
        <v/>
      </c>
      <c r="G979" s="556">
        <f>IF($A979&gt;BOTT_D4,ROUND(BASE_D4+RATE_D4*($A979-BOTT_D4),0),IF($A979&gt;BOTT_D3,ROUND(BASE_D3+RATE_D3*($A979-BOTT_D3),0),IF($A979&gt;BOTT_D2,ROUND(BASE_D2+RATE_D2*($A979-BOTT_D2),0),ROUND(RATE_D1*$A979,0))))</f>
        <v/>
      </c>
    </row>
    <row r="980" ht="15.75" customHeight="1" s="7635">
      <c r="A980" s="625">
        <f>AVERAGE(B980,C980)</f>
        <v/>
      </c>
      <c r="B980" s="555" t="n">
        <v>45800</v>
      </c>
      <c r="C980" s="555" t="n">
        <v>45850</v>
      </c>
      <c r="D980" s="556">
        <f>IF($A980&gt;BOTT_A4,ROUND(BASE_A4+RATE_A4*($A980-BOTT_A4),0),IF($A980&gt;BOTT_A3,ROUND(BASE_A3+RATE_A3*($A980-BOTT_A3),0),IF($A980&gt;BOTT_A2,ROUND(BASE_A2+RATE_A2*($A980-BOTT_A2),0),ROUND(RATE_A1*$A980,0))))</f>
        <v/>
      </c>
      <c r="E980" s="556">
        <f>IF($A980&gt;BOTT_B4,ROUND(BASE_B4+RATE_B4*($A980-BOTT_B4),0),IF($A980&gt;BOTT_B3,ROUND(BASE_B3+RATE_B3*($A980-BOTT_B3),0),IF($A980&gt;BOTT_B2,ROUND(BASE_B2+RATE_B2*($A980-BOTT_B2),0),ROUND(RATE_B1*$A980,0))))</f>
        <v/>
      </c>
      <c r="F980" s="556">
        <f>IF($A980&gt;BOTT_C4,ROUND(BASE_C4+RATE_C4*($A980-BOTT_C4),0),IF($A980&gt;BOTT_C3,ROUND(BASE_C3+RATE_C3*($A980-BOTT_C3),0),IF($A980&gt;BOTT_C2,ROUND(BASE_C2+RATE_C2*($A980-BOTT_C2),0),ROUND(RATE_C1*$A980,0))))</f>
        <v/>
      </c>
      <c r="G980" s="556">
        <f>IF($A980&gt;BOTT_D4,ROUND(BASE_D4+RATE_D4*($A980-BOTT_D4),0),IF($A980&gt;BOTT_D3,ROUND(BASE_D3+RATE_D3*($A980-BOTT_D3),0),IF($A980&gt;BOTT_D2,ROUND(BASE_D2+RATE_D2*($A980-BOTT_D2),0),ROUND(RATE_D1*$A980,0))))</f>
        <v/>
      </c>
    </row>
    <row r="981" ht="15.75" customHeight="1" s="7635">
      <c r="A981" s="625">
        <f>AVERAGE(B981,C981)</f>
        <v/>
      </c>
      <c r="B981" s="555" t="n">
        <v>45850</v>
      </c>
      <c r="C981" s="555" t="n">
        <v>45900</v>
      </c>
      <c r="D981" s="556">
        <f>IF($A981&gt;BOTT_A4,ROUND(BASE_A4+RATE_A4*($A981-BOTT_A4),0),IF($A981&gt;BOTT_A3,ROUND(BASE_A3+RATE_A3*($A981-BOTT_A3),0),IF($A981&gt;BOTT_A2,ROUND(BASE_A2+RATE_A2*($A981-BOTT_A2),0),ROUND(RATE_A1*$A981,0))))</f>
        <v/>
      </c>
      <c r="E981" s="556">
        <f>IF($A981&gt;BOTT_B4,ROUND(BASE_B4+RATE_B4*($A981-BOTT_B4),0),IF($A981&gt;BOTT_B3,ROUND(BASE_B3+RATE_B3*($A981-BOTT_B3),0),IF($A981&gt;BOTT_B2,ROUND(BASE_B2+RATE_B2*($A981-BOTT_B2),0),ROUND(RATE_B1*$A981,0))))</f>
        <v/>
      </c>
      <c r="F981" s="556">
        <f>IF($A981&gt;BOTT_C4,ROUND(BASE_C4+RATE_C4*($A981-BOTT_C4),0),IF($A981&gt;BOTT_C3,ROUND(BASE_C3+RATE_C3*($A981-BOTT_C3),0),IF($A981&gt;BOTT_C2,ROUND(BASE_C2+RATE_C2*($A981-BOTT_C2),0),ROUND(RATE_C1*$A981,0))))</f>
        <v/>
      </c>
      <c r="G981" s="556">
        <f>IF($A981&gt;BOTT_D4,ROUND(BASE_D4+RATE_D4*($A981-BOTT_D4),0),IF($A981&gt;BOTT_D3,ROUND(BASE_D3+RATE_D3*($A981-BOTT_D3),0),IF($A981&gt;BOTT_D2,ROUND(BASE_D2+RATE_D2*($A981-BOTT_D2),0),ROUND(RATE_D1*$A981,0))))</f>
        <v/>
      </c>
    </row>
    <row r="982" ht="15.75" customHeight="1" s="7635">
      <c r="A982" s="625">
        <f>AVERAGE(B982,C982)</f>
        <v/>
      </c>
      <c r="B982" s="555" t="n">
        <v>45900</v>
      </c>
      <c r="C982" s="555" t="n">
        <v>45950</v>
      </c>
      <c r="D982" s="556">
        <f>IF($A982&gt;BOTT_A4,ROUND(BASE_A4+RATE_A4*($A982-BOTT_A4),0),IF($A982&gt;BOTT_A3,ROUND(BASE_A3+RATE_A3*($A982-BOTT_A3),0),IF($A982&gt;BOTT_A2,ROUND(BASE_A2+RATE_A2*($A982-BOTT_A2),0),ROUND(RATE_A1*$A982,0))))</f>
        <v/>
      </c>
      <c r="E982" s="556">
        <f>IF($A982&gt;BOTT_B4,ROUND(BASE_B4+RATE_B4*($A982-BOTT_B4),0),IF($A982&gt;BOTT_B3,ROUND(BASE_B3+RATE_B3*($A982-BOTT_B3),0),IF($A982&gt;BOTT_B2,ROUND(BASE_B2+RATE_B2*($A982-BOTT_B2),0),ROUND(RATE_B1*$A982,0))))</f>
        <v/>
      </c>
      <c r="F982" s="556">
        <f>IF($A982&gt;BOTT_C4,ROUND(BASE_C4+RATE_C4*($A982-BOTT_C4),0),IF($A982&gt;BOTT_C3,ROUND(BASE_C3+RATE_C3*($A982-BOTT_C3),0),IF($A982&gt;BOTT_C2,ROUND(BASE_C2+RATE_C2*($A982-BOTT_C2),0),ROUND(RATE_C1*$A982,0))))</f>
        <v/>
      </c>
      <c r="G982" s="556">
        <f>IF($A982&gt;BOTT_D4,ROUND(BASE_D4+RATE_D4*($A982-BOTT_D4),0),IF($A982&gt;BOTT_D3,ROUND(BASE_D3+RATE_D3*($A982-BOTT_D3),0),IF($A982&gt;BOTT_D2,ROUND(BASE_D2+RATE_D2*($A982-BOTT_D2),0),ROUND(RATE_D1*$A982,0))))</f>
        <v/>
      </c>
    </row>
    <row r="983" ht="15.75" customHeight="1" s="7635">
      <c r="A983" s="625">
        <f>AVERAGE(B983,C983)</f>
        <v/>
      </c>
      <c r="B983" s="555" t="n">
        <v>45950</v>
      </c>
      <c r="C983" s="555" t="n">
        <v>46000</v>
      </c>
      <c r="D983" s="556">
        <f>IF($A983&gt;BOTT_A4,ROUND(BASE_A4+RATE_A4*($A983-BOTT_A4),0),IF($A983&gt;BOTT_A3,ROUND(BASE_A3+RATE_A3*($A983-BOTT_A3),0),IF($A983&gt;BOTT_A2,ROUND(BASE_A2+RATE_A2*($A983-BOTT_A2),0),ROUND(RATE_A1*$A983,0))))</f>
        <v/>
      </c>
      <c r="E983" s="556">
        <f>IF($A983&gt;BOTT_B4,ROUND(BASE_B4+RATE_B4*($A983-BOTT_B4),0),IF($A983&gt;BOTT_B3,ROUND(BASE_B3+RATE_B3*($A983-BOTT_B3),0),IF($A983&gt;BOTT_B2,ROUND(BASE_B2+RATE_B2*($A983-BOTT_B2),0),ROUND(RATE_B1*$A983,0))))</f>
        <v/>
      </c>
      <c r="F983" s="556">
        <f>IF($A983&gt;BOTT_C4,ROUND(BASE_C4+RATE_C4*($A983-BOTT_C4),0),IF($A983&gt;BOTT_C3,ROUND(BASE_C3+RATE_C3*($A983-BOTT_C3),0),IF($A983&gt;BOTT_C2,ROUND(BASE_C2+RATE_C2*($A983-BOTT_C2),0),ROUND(RATE_C1*$A983,0))))</f>
        <v/>
      </c>
      <c r="G983" s="556">
        <f>IF($A983&gt;BOTT_D4,ROUND(BASE_D4+RATE_D4*($A983-BOTT_D4),0),IF($A983&gt;BOTT_D3,ROUND(BASE_D3+RATE_D3*($A983-BOTT_D3),0),IF($A983&gt;BOTT_D2,ROUND(BASE_D2+RATE_D2*($A983-BOTT_D2),0),ROUND(RATE_D1*$A983,0))))</f>
        <v/>
      </c>
    </row>
    <row r="984" ht="15.75" customHeight="1" s="7635">
      <c r="A984" s="625">
        <f>AVERAGE(B984,C984)</f>
        <v/>
      </c>
      <c r="B984" s="555" t="n">
        <v>46000</v>
      </c>
      <c r="C984" s="555" t="n">
        <v>46050</v>
      </c>
      <c r="D984" s="556">
        <f>IF($A984&gt;BOTT_A4,ROUND(BASE_A4+RATE_A4*($A984-BOTT_A4),0),IF($A984&gt;BOTT_A3,ROUND(BASE_A3+RATE_A3*($A984-BOTT_A3),0),IF($A984&gt;BOTT_A2,ROUND(BASE_A2+RATE_A2*($A984-BOTT_A2),0),ROUND(RATE_A1*$A984,0))))</f>
        <v/>
      </c>
      <c r="E984" s="556">
        <f>IF($A984&gt;BOTT_B4,ROUND(BASE_B4+RATE_B4*($A984-BOTT_B4),0),IF($A984&gt;BOTT_B3,ROUND(BASE_B3+RATE_B3*($A984-BOTT_B3),0),IF($A984&gt;BOTT_B2,ROUND(BASE_B2+RATE_B2*($A984-BOTT_B2),0),ROUND(RATE_B1*$A984,0))))</f>
        <v/>
      </c>
      <c r="F984" s="556">
        <f>IF($A984&gt;BOTT_C4,ROUND(BASE_C4+RATE_C4*($A984-BOTT_C4),0),IF($A984&gt;BOTT_C3,ROUND(BASE_C3+RATE_C3*($A984-BOTT_C3),0),IF($A984&gt;BOTT_C2,ROUND(BASE_C2+RATE_C2*($A984-BOTT_C2),0),ROUND(RATE_C1*$A984,0))))</f>
        <v/>
      </c>
      <c r="G984" s="556">
        <f>IF($A984&gt;BOTT_D4,ROUND(BASE_D4+RATE_D4*($A984-BOTT_D4),0),IF($A984&gt;BOTT_D3,ROUND(BASE_D3+RATE_D3*($A984-BOTT_D3),0),IF($A984&gt;BOTT_D2,ROUND(BASE_D2+RATE_D2*($A984-BOTT_D2),0),ROUND(RATE_D1*$A984,0))))</f>
        <v/>
      </c>
    </row>
    <row r="985" ht="15.75" customHeight="1" s="7635">
      <c r="A985" s="625">
        <f>AVERAGE(B985,C985)</f>
        <v/>
      </c>
      <c r="B985" s="555" t="n">
        <v>46050</v>
      </c>
      <c r="C985" s="555" t="n">
        <v>46100</v>
      </c>
      <c r="D985" s="556">
        <f>IF($A985&gt;BOTT_A4,ROUND(BASE_A4+RATE_A4*($A985-BOTT_A4),0),IF($A985&gt;BOTT_A3,ROUND(BASE_A3+RATE_A3*($A985-BOTT_A3),0),IF($A985&gt;BOTT_A2,ROUND(BASE_A2+RATE_A2*($A985-BOTT_A2),0),ROUND(RATE_A1*$A985,0))))</f>
        <v/>
      </c>
      <c r="E985" s="556">
        <f>IF($A985&gt;BOTT_B4,ROUND(BASE_B4+RATE_B4*($A985-BOTT_B4),0),IF($A985&gt;BOTT_B3,ROUND(BASE_B3+RATE_B3*($A985-BOTT_B3),0),IF($A985&gt;BOTT_B2,ROUND(BASE_B2+RATE_B2*($A985-BOTT_B2),0),ROUND(RATE_B1*$A985,0))))</f>
        <v/>
      </c>
      <c r="F985" s="556">
        <f>IF($A985&gt;BOTT_C4,ROUND(BASE_C4+RATE_C4*($A985-BOTT_C4),0),IF($A985&gt;BOTT_C3,ROUND(BASE_C3+RATE_C3*($A985-BOTT_C3),0),IF($A985&gt;BOTT_C2,ROUND(BASE_C2+RATE_C2*($A985-BOTT_C2),0),ROUND(RATE_C1*$A985,0))))</f>
        <v/>
      </c>
      <c r="G985" s="556">
        <f>IF($A985&gt;BOTT_D4,ROUND(BASE_D4+RATE_D4*($A985-BOTT_D4),0),IF($A985&gt;BOTT_D3,ROUND(BASE_D3+RATE_D3*($A985-BOTT_D3),0),IF($A985&gt;BOTT_D2,ROUND(BASE_D2+RATE_D2*($A985-BOTT_D2),0),ROUND(RATE_D1*$A985,0))))</f>
        <v/>
      </c>
    </row>
    <row r="986" ht="15.75" customHeight="1" s="7635">
      <c r="A986" s="625">
        <f>AVERAGE(B986,C986)</f>
        <v/>
      </c>
      <c r="B986" s="555" t="n">
        <v>46100</v>
      </c>
      <c r="C986" s="555" t="n">
        <v>46150</v>
      </c>
      <c r="D986" s="556">
        <f>IF($A986&gt;BOTT_A4,ROUND(BASE_A4+RATE_A4*($A986-BOTT_A4),0),IF($A986&gt;BOTT_A3,ROUND(BASE_A3+RATE_A3*($A986-BOTT_A3),0),IF($A986&gt;BOTT_A2,ROUND(BASE_A2+RATE_A2*($A986-BOTT_A2),0),ROUND(RATE_A1*$A986,0))))</f>
        <v/>
      </c>
      <c r="E986" s="556">
        <f>IF($A986&gt;BOTT_B4,ROUND(BASE_B4+RATE_B4*($A986-BOTT_B4),0),IF($A986&gt;BOTT_B3,ROUND(BASE_B3+RATE_B3*($A986-BOTT_B3),0),IF($A986&gt;BOTT_B2,ROUND(BASE_B2+RATE_B2*($A986-BOTT_B2),0),ROUND(RATE_B1*$A986,0))))</f>
        <v/>
      </c>
      <c r="F986" s="556">
        <f>IF($A986&gt;BOTT_C4,ROUND(BASE_C4+RATE_C4*($A986-BOTT_C4),0),IF($A986&gt;BOTT_C3,ROUND(BASE_C3+RATE_C3*($A986-BOTT_C3),0),IF($A986&gt;BOTT_C2,ROUND(BASE_C2+RATE_C2*($A986-BOTT_C2),0),ROUND(RATE_C1*$A986,0))))</f>
        <v/>
      </c>
      <c r="G986" s="556">
        <f>IF($A986&gt;BOTT_D4,ROUND(BASE_D4+RATE_D4*($A986-BOTT_D4),0),IF($A986&gt;BOTT_D3,ROUND(BASE_D3+RATE_D3*($A986-BOTT_D3),0),IF($A986&gt;BOTT_D2,ROUND(BASE_D2+RATE_D2*($A986-BOTT_D2),0),ROUND(RATE_D1*$A986,0))))</f>
        <v/>
      </c>
    </row>
    <row r="987" ht="15.75" customHeight="1" s="7635">
      <c r="A987" s="625">
        <f>AVERAGE(B987,C987)</f>
        <v/>
      </c>
      <c r="B987" s="555" t="n">
        <v>46150</v>
      </c>
      <c r="C987" s="555" t="n">
        <v>46200</v>
      </c>
      <c r="D987" s="556">
        <f>IF($A987&gt;BOTT_A4,ROUND(BASE_A4+RATE_A4*($A987-BOTT_A4),0),IF($A987&gt;BOTT_A3,ROUND(BASE_A3+RATE_A3*($A987-BOTT_A3),0),IF($A987&gt;BOTT_A2,ROUND(BASE_A2+RATE_A2*($A987-BOTT_A2),0),ROUND(RATE_A1*$A987,0))))</f>
        <v/>
      </c>
      <c r="E987" s="556">
        <f>IF($A987&gt;BOTT_B4,ROUND(BASE_B4+RATE_B4*($A987-BOTT_B4),0),IF($A987&gt;BOTT_B3,ROUND(BASE_B3+RATE_B3*($A987-BOTT_B3),0),IF($A987&gt;BOTT_B2,ROUND(BASE_B2+RATE_B2*($A987-BOTT_B2),0),ROUND(RATE_B1*$A987,0))))</f>
        <v/>
      </c>
      <c r="F987" s="556">
        <f>IF($A987&gt;BOTT_C4,ROUND(BASE_C4+RATE_C4*($A987-BOTT_C4),0),IF($A987&gt;BOTT_C3,ROUND(BASE_C3+RATE_C3*($A987-BOTT_C3),0),IF($A987&gt;BOTT_C2,ROUND(BASE_C2+RATE_C2*($A987-BOTT_C2),0),ROUND(RATE_C1*$A987,0))))</f>
        <v/>
      </c>
      <c r="G987" s="556">
        <f>IF($A987&gt;BOTT_D4,ROUND(BASE_D4+RATE_D4*($A987-BOTT_D4),0),IF($A987&gt;BOTT_D3,ROUND(BASE_D3+RATE_D3*($A987-BOTT_D3),0),IF($A987&gt;BOTT_D2,ROUND(BASE_D2+RATE_D2*($A987-BOTT_D2),0),ROUND(RATE_D1*$A987,0))))</f>
        <v/>
      </c>
    </row>
    <row r="988" ht="15.75" customHeight="1" s="7635">
      <c r="A988" s="625">
        <f>AVERAGE(B988,C988)</f>
        <v/>
      </c>
      <c r="B988" s="555" t="n">
        <v>46200</v>
      </c>
      <c r="C988" s="555" t="n">
        <v>46250</v>
      </c>
      <c r="D988" s="556">
        <f>IF($A988&gt;BOTT_A4,ROUND(BASE_A4+RATE_A4*($A988-BOTT_A4),0),IF($A988&gt;BOTT_A3,ROUND(BASE_A3+RATE_A3*($A988-BOTT_A3),0),IF($A988&gt;BOTT_A2,ROUND(BASE_A2+RATE_A2*($A988-BOTT_A2),0),ROUND(RATE_A1*$A988,0))))</f>
        <v/>
      </c>
      <c r="E988" s="556">
        <f>IF($A988&gt;BOTT_B4,ROUND(BASE_B4+RATE_B4*($A988-BOTT_B4),0),IF($A988&gt;BOTT_B3,ROUND(BASE_B3+RATE_B3*($A988-BOTT_B3),0),IF($A988&gt;BOTT_B2,ROUND(BASE_B2+RATE_B2*($A988-BOTT_B2),0),ROUND(RATE_B1*$A988,0))))</f>
        <v/>
      </c>
      <c r="F988" s="556">
        <f>IF($A988&gt;BOTT_C4,ROUND(BASE_C4+RATE_C4*($A988-BOTT_C4),0),IF($A988&gt;BOTT_C3,ROUND(BASE_C3+RATE_C3*($A988-BOTT_C3),0),IF($A988&gt;BOTT_C2,ROUND(BASE_C2+RATE_C2*($A988-BOTT_C2),0),ROUND(RATE_C1*$A988,0))))</f>
        <v/>
      </c>
      <c r="G988" s="556">
        <f>IF($A988&gt;BOTT_D4,ROUND(BASE_D4+RATE_D4*($A988-BOTT_D4),0),IF($A988&gt;BOTT_D3,ROUND(BASE_D3+RATE_D3*($A988-BOTT_D3),0),IF($A988&gt;BOTT_D2,ROUND(BASE_D2+RATE_D2*($A988-BOTT_D2),0),ROUND(RATE_D1*$A988,0))))</f>
        <v/>
      </c>
    </row>
    <row r="989" ht="15.75" customHeight="1" s="7635">
      <c r="A989" s="625">
        <f>AVERAGE(B989,C989)</f>
        <v/>
      </c>
      <c r="B989" s="555" t="n">
        <v>46250</v>
      </c>
      <c r="C989" s="555" t="n">
        <v>46300</v>
      </c>
      <c r="D989" s="556">
        <f>IF($A989&gt;BOTT_A4,ROUND(BASE_A4+RATE_A4*($A989-BOTT_A4),0),IF($A989&gt;BOTT_A3,ROUND(BASE_A3+RATE_A3*($A989-BOTT_A3),0),IF($A989&gt;BOTT_A2,ROUND(BASE_A2+RATE_A2*($A989-BOTT_A2),0),ROUND(RATE_A1*$A989,0))))</f>
        <v/>
      </c>
      <c r="E989" s="556">
        <f>IF($A989&gt;BOTT_B4,ROUND(BASE_B4+RATE_B4*($A989-BOTT_B4),0),IF($A989&gt;BOTT_B3,ROUND(BASE_B3+RATE_B3*($A989-BOTT_B3),0),IF($A989&gt;BOTT_B2,ROUND(BASE_B2+RATE_B2*($A989-BOTT_B2),0),ROUND(RATE_B1*$A989,0))))</f>
        <v/>
      </c>
      <c r="F989" s="556">
        <f>IF($A989&gt;BOTT_C4,ROUND(BASE_C4+RATE_C4*($A989-BOTT_C4),0),IF($A989&gt;BOTT_C3,ROUND(BASE_C3+RATE_C3*($A989-BOTT_C3),0),IF($A989&gt;BOTT_C2,ROUND(BASE_C2+RATE_C2*($A989-BOTT_C2),0),ROUND(RATE_C1*$A989,0))))</f>
        <v/>
      </c>
      <c r="G989" s="556">
        <f>IF($A989&gt;BOTT_D4,ROUND(BASE_D4+RATE_D4*($A989-BOTT_D4),0),IF($A989&gt;BOTT_D3,ROUND(BASE_D3+RATE_D3*($A989-BOTT_D3),0),IF($A989&gt;BOTT_D2,ROUND(BASE_D2+RATE_D2*($A989-BOTT_D2),0),ROUND(RATE_D1*$A989,0))))</f>
        <v/>
      </c>
    </row>
    <row r="990" ht="15.75" customHeight="1" s="7635">
      <c r="A990" s="625">
        <f>AVERAGE(B990,C990)</f>
        <v/>
      </c>
      <c r="B990" s="555" t="n">
        <v>46300</v>
      </c>
      <c r="C990" s="555" t="n">
        <v>46350</v>
      </c>
      <c r="D990" s="556">
        <f>IF($A990&gt;BOTT_A4,ROUND(BASE_A4+RATE_A4*($A990-BOTT_A4),0),IF($A990&gt;BOTT_A3,ROUND(BASE_A3+RATE_A3*($A990-BOTT_A3),0),IF($A990&gt;BOTT_A2,ROUND(BASE_A2+RATE_A2*($A990-BOTT_A2),0),ROUND(RATE_A1*$A990,0))))</f>
        <v/>
      </c>
      <c r="E990" s="556">
        <f>IF($A990&gt;BOTT_B4,ROUND(BASE_B4+RATE_B4*($A990-BOTT_B4),0),IF($A990&gt;BOTT_B3,ROUND(BASE_B3+RATE_B3*($A990-BOTT_B3),0),IF($A990&gt;BOTT_B2,ROUND(BASE_B2+RATE_B2*($A990-BOTT_B2),0),ROUND(RATE_B1*$A990,0))))</f>
        <v/>
      </c>
      <c r="F990" s="556">
        <f>IF($A990&gt;BOTT_C4,ROUND(BASE_C4+RATE_C4*($A990-BOTT_C4),0),IF($A990&gt;BOTT_C3,ROUND(BASE_C3+RATE_C3*($A990-BOTT_C3),0),IF($A990&gt;BOTT_C2,ROUND(BASE_C2+RATE_C2*($A990-BOTT_C2),0),ROUND(RATE_C1*$A990,0))))</f>
        <v/>
      </c>
      <c r="G990" s="556">
        <f>IF($A990&gt;BOTT_D4,ROUND(BASE_D4+RATE_D4*($A990-BOTT_D4),0),IF($A990&gt;BOTT_D3,ROUND(BASE_D3+RATE_D3*($A990-BOTT_D3),0),IF($A990&gt;BOTT_D2,ROUND(BASE_D2+RATE_D2*($A990-BOTT_D2),0),ROUND(RATE_D1*$A990,0))))</f>
        <v/>
      </c>
    </row>
    <row r="991" ht="15.75" customHeight="1" s="7635">
      <c r="A991" s="625">
        <f>AVERAGE(B991,C991)</f>
        <v/>
      </c>
      <c r="B991" s="555" t="n">
        <v>46350</v>
      </c>
      <c r="C991" s="555" t="n">
        <v>46400</v>
      </c>
      <c r="D991" s="556">
        <f>IF($A991&gt;BOTT_A4,ROUND(BASE_A4+RATE_A4*($A991-BOTT_A4),0),IF($A991&gt;BOTT_A3,ROUND(BASE_A3+RATE_A3*($A991-BOTT_A3),0),IF($A991&gt;BOTT_A2,ROUND(BASE_A2+RATE_A2*($A991-BOTT_A2),0),ROUND(RATE_A1*$A991,0))))</f>
        <v/>
      </c>
      <c r="E991" s="556">
        <f>IF($A991&gt;BOTT_B4,ROUND(BASE_B4+RATE_B4*($A991-BOTT_B4),0),IF($A991&gt;BOTT_B3,ROUND(BASE_B3+RATE_B3*($A991-BOTT_B3),0),IF($A991&gt;BOTT_B2,ROUND(BASE_B2+RATE_B2*($A991-BOTT_B2),0),ROUND(RATE_B1*$A991,0))))</f>
        <v/>
      </c>
      <c r="F991" s="556">
        <f>IF($A991&gt;BOTT_C4,ROUND(BASE_C4+RATE_C4*($A991-BOTT_C4),0),IF($A991&gt;BOTT_C3,ROUND(BASE_C3+RATE_C3*($A991-BOTT_C3),0),IF($A991&gt;BOTT_C2,ROUND(BASE_C2+RATE_C2*($A991-BOTT_C2),0),ROUND(RATE_C1*$A991,0))))</f>
        <v/>
      </c>
      <c r="G991" s="556">
        <f>IF($A991&gt;BOTT_D4,ROUND(BASE_D4+RATE_D4*($A991-BOTT_D4),0),IF($A991&gt;BOTT_D3,ROUND(BASE_D3+RATE_D3*($A991-BOTT_D3),0),IF($A991&gt;BOTT_D2,ROUND(BASE_D2+RATE_D2*($A991-BOTT_D2),0),ROUND(RATE_D1*$A991,0))))</f>
        <v/>
      </c>
    </row>
    <row r="992" ht="15.75" customHeight="1" s="7635">
      <c r="A992" s="625">
        <f>AVERAGE(B992,C992)</f>
        <v/>
      </c>
      <c r="B992" s="555" t="n">
        <v>46400</v>
      </c>
      <c r="C992" s="555" t="n">
        <v>46450</v>
      </c>
      <c r="D992" s="556">
        <f>IF($A992&gt;BOTT_A4,ROUND(BASE_A4+RATE_A4*($A992-BOTT_A4),0),IF($A992&gt;BOTT_A3,ROUND(BASE_A3+RATE_A3*($A992-BOTT_A3),0),IF($A992&gt;BOTT_A2,ROUND(BASE_A2+RATE_A2*($A992-BOTT_A2),0),ROUND(RATE_A1*$A992,0))))</f>
        <v/>
      </c>
      <c r="E992" s="556">
        <f>IF($A992&gt;BOTT_B4,ROUND(BASE_B4+RATE_B4*($A992-BOTT_B4),0),IF($A992&gt;BOTT_B3,ROUND(BASE_B3+RATE_B3*($A992-BOTT_B3),0),IF($A992&gt;BOTT_B2,ROUND(BASE_B2+RATE_B2*($A992-BOTT_B2),0),ROUND(RATE_B1*$A992,0))))</f>
        <v/>
      </c>
      <c r="F992" s="556">
        <f>IF($A992&gt;BOTT_C4,ROUND(BASE_C4+RATE_C4*($A992-BOTT_C4),0),IF($A992&gt;BOTT_C3,ROUND(BASE_C3+RATE_C3*($A992-BOTT_C3),0),IF($A992&gt;BOTT_C2,ROUND(BASE_C2+RATE_C2*($A992-BOTT_C2),0),ROUND(RATE_C1*$A992,0))))</f>
        <v/>
      </c>
      <c r="G992" s="556">
        <f>IF($A992&gt;BOTT_D4,ROUND(BASE_D4+RATE_D4*($A992-BOTT_D4),0),IF($A992&gt;BOTT_D3,ROUND(BASE_D3+RATE_D3*($A992-BOTT_D3),0),IF($A992&gt;BOTT_D2,ROUND(BASE_D2+RATE_D2*($A992-BOTT_D2),0),ROUND(RATE_D1*$A992,0))))</f>
        <v/>
      </c>
    </row>
    <row r="993" ht="15.75" customHeight="1" s="7635">
      <c r="A993" s="625">
        <f>AVERAGE(B993,C993)</f>
        <v/>
      </c>
      <c r="B993" s="555" t="n">
        <v>46450</v>
      </c>
      <c r="C993" s="555" t="n">
        <v>46500</v>
      </c>
      <c r="D993" s="556">
        <f>IF($A993&gt;BOTT_A4,ROUND(BASE_A4+RATE_A4*($A993-BOTT_A4),0),IF($A993&gt;BOTT_A3,ROUND(BASE_A3+RATE_A3*($A993-BOTT_A3),0),IF($A993&gt;BOTT_A2,ROUND(BASE_A2+RATE_A2*($A993-BOTT_A2),0),ROUND(RATE_A1*$A993,0))))</f>
        <v/>
      </c>
      <c r="E993" s="556">
        <f>IF($A993&gt;BOTT_B4,ROUND(BASE_B4+RATE_B4*($A993-BOTT_B4),0),IF($A993&gt;BOTT_B3,ROUND(BASE_B3+RATE_B3*($A993-BOTT_B3),0),IF($A993&gt;BOTT_B2,ROUND(BASE_B2+RATE_B2*($A993-BOTT_B2),0),ROUND(RATE_B1*$A993,0))))</f>
        <v/>
      </c>
      <c r="F993" s="556">
        <f>IF($A993&gt;BOTT_C4,ROUND(BASE_C4+RATE_C4*($A993-BOTT_C4),0),IF($A993&gt;BOTT_C3,ROUND(BASE_C3+RATE_C3*($A993-BOTT_C3),0),IF($A993&gt;BOTT_C2,ROUND(BASE_C2+RATE_C2*($A993-BOTT_C2),0),ROUND(RATE_C1*$A993,0))))</f>
        <v/>
      </c>
      <c r="G993" s="556">
        <f>IF($A993&gt;BOTT_D4,ROUND(BASE_D4+RATE_D4*($A993-BOTT_D4),0),IF($A993&gt;BOTT_D3,ROUND(BASE_D3+RATE_D3*($A993-BOTT_D3),0),IF($A993&gt;BOTT_D2,ROUND(BASE_D2+RATE_D2*($A993-BOTT_D2),0),ROUND(RATE_D1*$A993,0))))</f>
        <v/>
      </c>
    </row>
    <row r="994" ht="15.75" customHeight="1" s="7635">
      <c r="A994" s="625">
        <f>AVERAGE(B994,C994)</f>
        <v/>
      </c>
      <c r="B994" s="555" t="n">
        <v>46500</v>
      </c>
      <c r="C994" s="555" t="n">
        <v>46550</v>
      </c>
      <c r="D994" s="556">
        <f>IF($A994&gt;BOTT_A4,ROUND(BASE_A4+RATE_A4*($A994-BOTT_A4),0),IF($A994&gt;BOTT_A3,ROUND(BASE_A3+RATE_A3*($A994-BOTT_A3),0),IF($A994&gt;BOTT_A2,ROUND(BASE_A2+RATE_A2*($A994-BOTT_A2),0),ROUND(RATE_A1*$A994,0))))</f>
        <v/>
      </c>
      <c r="E994" s="556">
        <f>IF($A994&gt;BOTT_B4,ROUND(BASE_B4+RATE_B4*($A994-BOTT_B4),0),IF($A994&gt;BOTT_B3,ROUND(BASE_B3+RATE_B3*($A994-BOTT_B3),0),IF($A994&gt;BOTT_B2,ROUND(BASE_B2+RATE_B2*($A994-BOTT_B2),0),ROUND(RATE_B1*$A994,0))))</f>
        <v/>
      </c>
      <c r="F994" s="556">
        <f>IF($A994&gt;BOTT_C4,ROUND(BASE_C4+RATE_C4*($A994-BOTT_C4),0),IF($A994&gt;BOTT_C3,ROUND(BASE_C3+RATE_C3*($A994-BOTT_C3),0),IF($A994&gt;BOTT_C2,ROUND(BASE_C2+RATE_C2*($A994-BOTT_C2),0),ROUND(RATE_C1*$A994,0))))</f>
        <v/>
      </c>
      <c r="G994" s="556">
        <f>IF($A994&gt;BOTT_D4,ROUND(BASE_D4+RATE_D4*($A994-BOTT_D4),0),IF($A994&gt;BOTT_D3,ROUND(BASE_D3+RATE_D3*($A994-BOTT_D3),0),IF($A994&gt;BOTT_D2,ROUND(BASE_D2+RATE_D2*($A994-BOTT_D2),0),ROUND(RATE_D1*$A994,0))))</f>
        <v/>
      </c>
    </row>
    <row r="995" ht="15.75" customHeight="1" s="7635">
      <c r="A995" s="625">
        <f>AVERAGE(B995,C995)</f>
        <v/>
      </c>
      <c r="B995" s="555" t="n">
        <v>46550</v>
      </c>
      <c r="C995" s="555" t="n">
        <v>46600</v>
      </c>
      <c r="D995" s="556">
        <f>IF($A995&gt;BOTT_A4,ROUND(BASE_A4+RATE_A4*($A995-BOTT_A4),0),IF($A995&gt;BOTT_A3,ROUND(BASE_A3+RATE_A3*($A995-BOTT_A3),0),IF($A995&gt;BOTT_A2,ROUND(BASE_A2+RATE_A2*($A995-BOTT_A2),0),ROUND(RATE_A1*$A995,0))))</f>
        <v/>
      </c>
      <c r="E995" s="556">
        <f>IF($A995&gt;BOTT_B4,ROUND(BASE_B4+RATE_B4*($A995-BOTT_B4),0),IF($A995&gt;BOTT_B3,ROUND(BASE_B3+RATE_B3*($A995-BOTT_B3),0),IF($A995&gt;BOTT_B2,ROUND(BASE_B2+RATE_B2*($A995-BOTT_B2),0),ROUND(RATE_B1*$A995,0))))</f>
        <v/>
      </c>
      <c r="F995" s="556">
        <f>IF($A995&gt;BOTT_C4,ROUND(BASE_C4+RATE_C4*($A995-BOTT_C4),0),IF($A995&gt;BOTT_C3,ROUND(BASE_C3+RATE_C3*($A995-BOTT_C3),0),IF($A995&gt;BOTT_C2,ROUND(BASE_C2+RATE_C2*($A995-BOTT_C2),0),ROUND(RATE_C1*$A995,0))))</f>
        <v/>
      </c>
      <c r="G995" s="556">
        <f>IF($A995&gt;BOTT_D4,ROUND(BASE_D4+RATE_D4*($A995-BOTT_D4),0),IF($A995&gt;BOTT_D3,ROUND(BASE_D3+RATE_D3*($A995-BOTT_D3),0),IF($A995&gt;BOTT_D2,ROUND(BASE_D2+RATE_D2*($A995-BOTT_D2),0),ROUND(RATE_D1*$A995,0))))</f>
        <v/>
      </c>
    </row>
    <row r="996" ht="15.75" customHeight="1" s="7635">
      <c r="A996" s="625">
        <f>AVERAGE(B996,C996)</f>
        <v/>
      </c>
      <c r="B996" s="555" t="n">
        <v>46600</v>
      </c>
      <c r="C996" s="555" t="n">
        <v>46650</v>
      </c>
      <c r="D996" s="556">
        <f>IF($A996&gt;BOTT_A4,ROUND(BASE_A4+RATE_A4*($A996-BOTT_A4),0),IF($A996&gt;BOTT_A3,ROUND(BASE_A3+RATE_A3*($A996-BOTT_A3),0),IF($A996&gt;BOTT_A2,ROUND(BASE_A2+RATE_A2*($A996-BOTT_A2),0),ROUND(RATE_A1*$A996,0))))</f>
        <v/>
      </c>
      <c r="E996" s="556">
        <f>IF($A996&gt;BOTT_B4,ROUND(BASE_B4+RATE_B4*($A996-BOTT_B4),0),IF($A996&gt;BOTT_B3,ROUND(BASE_B3+RATE_B3*($A996-BOTT_B3),0),IF($A996&gt;BOTT_B2,ROUND(BASE_B2+RATE_B2*($A996-BOTT_B2),0),ROUND(RATE_B1*$A996,0))))</f>
        <v/>
      </c>
      <c r="F996" s="556">
        <f>IF($A996&gt;BOTT_C4,ROUND(BASE_C4+RATE_C4*($A996-BOTT_C4),0),IF($A996&gt;BOTT_C3,ROUND(BASE_C3+RATE_C3*($A996-BOTT_C3),0),IF($A996&gt;BOTT_C2,ROUND(BASE_C2+RATE_C2*($A996-BOTT_C2),0),ROUND(RATE_C1*$A996,0))))</f>
        <v/>
      </c>
      <c r="G996" s="556">
        <f>IF($A996&gt;BOTT_D4,ROUND(BASE_D4+RATE_D4*($A996-BOTT_D4),0),IF($A996&gt;BOTT_D3,ROUND(BASE_D3+RATE_D3*($A996-BOTT_D3),0),IF($A996&gt;BOTT_D2,ROUND(BASE_D2+RATE_D2*($A996-BOTT_D2),0),ROUND(RATE_D1*$A996,0))))</f>
        <v/>
      </c>
    </row>
    <row r="997" ht="15.75" customHeight="1" s="7635">
      <c r="A997" s="625">
        <f>AVERAGE(B997,C997)</f>
        <v/>
      </c>
      <c r="B997" s="555" t="n">
        <v>46650</v>
      </c>
      <c r="C997" s="555" t="n">
        <v>46700</v>
      </c>
      <c r="D997" s="556">
        <f>IF($A997&gt;BOTT_A4,ROUND(BASE_A4+RATE_A4*($A997-BOTT_A4),0),IF($A997&gt;BOTT_A3,ROUND(BASE_A3+RATE_A3*($A997-BOTT_A3),0),IF($A997&gt;BOTT_A2,ROUND(BASE_A2+RATE_A2*($A997-BOTT_A2),0),ROUND(RATE_A1*$A997,0))))</f>
        <v/>
      </c>
      <c r="E997" s="556">
        <f>IF($A997&gt;BOTT_B4,ROUND(BASE_B4+RATE_B4*($A997-BOTT_B4),0),IF($A997&gt;BOTT_B3,ROUND(BASE_B3+RATE_B3*($A997-BOTT_B3),0),IF($A997&gt;BOTT_B2,ROUND(BASE_B2+RATE_B2*($A997-BOTT_B2),0),ROUND(RATE_B1*$A997,0))))</f>
        <v/>
      </c>
      <c r="F997" s="556">
        <f>IF($A997&gt;BOTT_C4,ROUND(BASE_C4+RATE_C4*($A997-BOTT_C4),0),IF($A997&gt;BOTT_C3,ROUND(BASE_C3+RATE_C3*($A997-BOTT_C3),0),IF($A997&gt;BOTT_C2,ROUND(BASE_C2+RATE_C2*($A997-BOTT_C2),0),ROUND(RATE_C1*$A997,0))))</f>
        <v/>
      </c>
      <c r="G997" s="556">
        <f>IF($A997&gt;BOTT_D4,ROUND(BASE_D4+RATE_D4*($A997-BOTT_D4),0),IF($A997&gt;BOTT_D3,ROUND(BASE_D3+RATE_D3*($A997-BOTT_D3),0),IF($A997&gt;BOTT_D2,ROUND(BASE_D2+RATE_D2*($A997-BOTT_D2),0),ROUND(RATE_D1*$A997,0))))</f>
        <v/>
      </c>
    </row>
    <row r="998" ht="15.75" customHeight="1" s="7635">
      <c r="A998" s="625">
        <f>AVERAGE(B998,C998)</f>
        <v/>
      </c>
      <c r="B998" s="555" t="n">
        <v>46700</v>
      </c>
      <c r="C998" s="555" t="n">
        <v>46750</v>
      </c>
      <c r="D998" s="556">
        <f>IF($A998&gt;BOTT_A4,ROUND(BASE_A4+RATE_A4*($A998-BOTT_A4),0),IF($A998&gt;BOTT_A3,ROUND(BASE_A3+RATE_A3*($A998-BOTT_A3),0),IF($A998&gt;BOTT_A2,ROUND(BASE_A2+RATE_A2*($A998-BOTT_A2),0),ROUND(RATE_A1*$A998,0))))</f>
        <v/>
      </c>
      <c r="E998" s="556">
        <f>IF($A998&gt;BOTT_B4,ROUND(BASE_B4+RATE_B4*($A998-BOTT_B4),0),IF($A998&gt;BOTT_B3,ROUND(BASE_B3+RATE_B3*($A998-BOTT_B3),0),IF($A998&gt;BOTT_B2,ROUND(BASE_B2+RATE_B2*($A998-BOTT_B2),0),ROUND(RATE_B1*$A998,0))))</f>
        <v/>
      </c>
      <c r="F998" s="556">
        <f>IF($A998&gt;BOTT_C4,ROUND(BASE_C4+RATE_C4*($A998-BOTT_C4),0),IF($A998&gt;BOTT_C3,ROUND(BASE_C3+RATE_C3*($A998-BOTT_C3),0),IF($A998&gt;BOTT_C2,ROUND(BASE_C2+RATE_C2*($A998-BOTT_C2),0),ROUND(RATE_C1*$A998,0))))</f>
        <v/>
      </c>
      <c r="G998" s="556">
        <f>IF($A998&gt;BOTT_D4,ROUND(BASE_D4+RATE_D4*($A998-BOTT_D4),0),IF($A998&gt;BOTT_D3,ROUND(BASE_D3+RATE_D3*($A998-BOTT_D3),0),IF($A998&gt;BOTT_D2,ROUND(BASE_D2+RATE_D2*($A998-BOTT_D2),0),ROUND(RATE_D1*$A998,0))))</f>
        <v/>
      </c>
    </row>
    <row r="999" ht="15.75" customHeight="1" s="7635">
      <c r="A999" s="625">
        <f>AVERAGE(B999,C999)</f>
        <v/>
      </c>
      <c r="B999" s="555" t="n">
        <v>46750</v>
      </c>
      <c r="C999" s="555" t="n">
        <v>46800</v>
      </c>
      <c r="D999" s="556">
        <f>IF($A999&gt;BOTT_A4,ROUND(BASE_A4+RATE_A4*($A999-BOTT_A4),0),IF($A999&gt;BOTT_A3,ROUND(BASE_A3+RATE_A3*($A999-BOTT_A3),0),IF($A999&gt;BOTT_A2,ROUND(BASE_A2+RATE_A2*($A999-BOTT_A2),0),ROUND(RATE_A1*$A999,0))))</f>
        <v/>
      </c>
      <c r="E999" s="556">
        <f>IF($A999&gt;BOTT_B4,ROUND(BASE_B4+RATE_B4*($A999-BOTT_B4),0),IF($A999&gt;BOTT_B3,ROUND(BASE_B3+RATE_B3*($A999-BOTT_B3),0),IF($A999&gt;BOTT_B2,ROUND(BASE_B2+RATE_B2*($A999-BOTT_B2),0),ROUND(RATE_B1*$A999,0))))</f>
        <v/>
      </c>
      <c r="F999" s="556">
        <f>IF($A999&gt;BOTT_C4,ROUND(BASE_C4+RATE_C4*($A999-BOTT_C4),0),IF($A999&gt;BOTT_C3,ROUND(BASE_C3+RATE_C3*($A999-BOTT_C3),0),IF($A999&gt;BOTT_C2,ROUND(BASE_C2+RATE_C2*($A999-BOTT_C2),0),ROUND(RATE_C1*$A999,0))))</f>
        <v/>
      </c>
      <c r="G999" s="556">
        <f>IF($A999&gt;BOTT_D4,ROUND(BASE_D4+RATE_D4*($A999-BOTT_D4),0),IF($A999&gt;BOTT_D3,ROUND(BASE_D3+RATE_D3*($A999-BOTT_D3),0),IF($A999&gt;BOTT_D2,ROUND(BASE_D2+RATE_D2*($A999-BOTT_D2),0),ROUND(RATE_D1*$A999,0))))</f>
        <v/>
      </c>
    </row>
    <row r="1000" ht="15.75" customHeight="1" s="7635">
      <c r="A1000" s="625">
        <f>AVERAGE(B1000,C1000)</f>
        <v/>
      </c>
      <c r="B1000" s="555" t="n">
        <v>46800</v>
      </c>
      <c r="C1000" s="555" t="n">
        <v>46850</v>
      </c>
      <c r="D1000" s="556">
        <f>IF($A1000&gt;BOTT_A4,ROUND(BASE_A4+RATE_A4*($A1000-BOTT_A4),0),IF($A1000&gt;BOTT_A3,ROUND(BASE_A3+RATE_A3*($A1000-BOTT_A3),0),IF($A1000&gt;BOTT_A2,ROUND(BASE_A2+RATE_A2*($A1000-BOTT_A2),0),ROUND(RATE_A1*$A1000,0))))</f>
        <v/>
      </c>
      <c r="E1000" s="556">
        <f>IF($A1000&gt;BOTT_B4,ROUND(BASE_B4+RATE_B4*($A1000-BOTT_B4),0),IF($A1000&gt;BOTT_B3,ROUND(BASE_B3+RATE_B3*($A1000-BOTT_B3),0),IF($A1000&gt;BOTT_B2,ROUND(BASE_B2+RATE_B2*($A1000-BOTT_B2),0),ROUND(RATE_B1*$A1000,0))))</f>
        <v/>
      </c>
      <c r="F1000" s="556">
        <f>IF($A1000&gt;BOTT_C4,ROUND(BASE_C4+RATE_C4*($A1000-BOTT_C4),0),IF($A1000&gt;BOTT_C3,ROUND(BASE_C3+RATE_C3*($A1000-BOTT_C3),0),IF($A1000&gt;BOTT_C2,ROUND(BASE_C2+RATE_C2*($A1000-BOTT_C2),0),ROUND(RATE_C1*$A1000,0))))</f>
        <v/>
      </c>
      <c r="G1000" s="556">
        <f>IF($A1000&gt;BOTT_D4,ROUND(BASE_D4+RATE_D4*($A1000-BOTT_D4),0),IF($A1000&gt;BOTT_D3,ROUND(BASE_D3+RATE_D3*($A1000-BOTT_D3),0),IF($A1000&gt;BOTT_D2,ROUND(BASE_D2+RATE_D2*($A1000-BOTT_D2),0),ROUND(RATE_D1*$A1000,0))))</f>
        <v/>
      </c>
    </row>
    <row r="1001" ht="15.75" customHeight="1" s="7635">
      <c r="A1001" s="625">
        <f>AVERAGE(B1001,C1001)</f>
        <v/>
      </c>
      <c r="B1001" s="555" t="n">
        <v>46850</v>
      </c>
      <c r="C1001" s="555" t="n">
        <v>46900</v>
      </c>
      <c r="D1001" s="556">
        <f>IF($A1001&gt;BOTT_A4,ROUND(BASE_A4+RATE_A4*($A1001-BOTT_A4),0),IF($A1001&gt;BOTT_A3,ROUND(BASE_A3+RATE_A3*($A1001-BOTT_A3),0),IF($A1001&gt;BOTT_A2,ROUND(BASE_A2+RATE_A2*($A1001-BOTT_A2),0),ROUND(RATE_A1*$A1001,0))))</f>
        <v/>
      </c>
      <c r="E1001" s="556">
        <f>IF($A1001&gt;BOTT_B4,ROUND(BASE_B4+RATE_B4*($A1001-BOTT_B4),0),IF($A1001&gt;BOTT_B3,ROUND(BASE_B3+RATE_B3*($A1001-BOTT_B3),0),IF($A1001&gt;BOTT_B2,ROUND(BASE_B2+RATE_B2*($A1001-BOTT_B2),0),ROUND(RATE_B1*$A1001,0))))</f>
        <v/>
      </c>
      <c r="F1001" s="556">
        <f>IF($A1001&gt;BOTT_C4,ROUND(BASE_C4+RATE_C4*($A1001-BOTT_C4),0),IF($A1001&gt;BOTT_C3,ROUND(BASE_C3+RATE_C3*($A1001-BOTT_C3),0),IF($A1001&gt;BOTT_C2,ROUND(BASE_C2+RATE_C2*($A1001-BOTT_C2),0),ROUND(RATE_C1*$A1001,0))))</f>
        <v/>
      </c>
      <c r="G1001" s="556">
        <f>IF($A1001&gt;BOTT_D4,ROUND(BASE_D4+RATE_D4*($A1001-BOTT_D4),0),IF($A1001&gt;BOTT_D3,ROUND(BASE_D3+RATE_D3*($A1001-BOTT_D3),0),IF($A1001&gt;BOTT_D2,ROUND(BASE_D2+RATE_D2*($A1001-BOTT_D2),0),ROUND(RATE_D1*$A1001,0))))</f>
        <v/>
      </c>
    </row>
    <row r="1002" ht="15.75" customHeight="1" s="7635">
      <c r="A1002" s="625">
        <f>AVERAGE(B1002,C1002)</f>
        <v/>
      </c>
      <c r="B1002" s="555" t="n">
        <v>46900</v>
      </c>
      <c r="C1002" s="555" t="n">
        <v>46950</v>
      </c>
      <c r="D1002" s="556">
        <f>IF($A1002&gt;BOTT_A4,ROUND(BASE_A4+RATE_A4*($A1002-BOTT_A4),0),IF($A1002&gt;BOTT_A3,ROUND(BASE_A3+RATE_A3*($A1002-BOTT_A3),0),IF($A1002&gt;BOTT_A2,ROUND(BASE_A2+RATE_A2*($A1002-BOTT_A2),0),ROUND(RATE_A1*$A1002,0))))</f>
        <v/>
      </c>
      <c r="E1002" s="556">
        <f>IF($A1002&gt;BOTT_B4,ROUND(BASE_B4+RATE_B4*($A1002-BOTT_B4),0),IF($A1002&gt;BOTT_B3,ROUND(BASE_B3+RATE_B3*($A1002-BOTT_B3),0),IF($A1002&gt;BOTT_B2,ROUND(BASE_B2+RATE_B2*($A1002-BOTT_B2),0),ROUND(RATE_B1*$A1002,0))))</f>
        <v/>
      </c>
      <c r="F1002" s="556">
        <f>IF($A1002&gt;BOTT_C4,ROUND(BASE_C4+RATE_C4*($A1002-BOTT_C4),0),IF($A1002&gt;BOTT_C3,ROUND(BASE_C3+RATE_C3*($A1002-BOTT_C3),0),IF($A1002&gt;BOTT_C2,ROUND(BASE_C2+RATE_C2*($A1002-BOTT_C2),0),ROUND(RATE_C1*$A1002,0))))</f>
        <v/>
      </c>
      <c r="G1002" s="556">
        <f>IF($A1002&gt;BOTT_D4,ROUND(BASE_D4+RATE_D4*($A1002-BOTT_D4),0),IF($A1002&gt;BOTT_D3,ROUND(BASE_D3+RATE_D3*($A1002-BOTT_D3),0),IF($A1002&gt;BOTT_D2,ROUND(BASE_D2+RATE_D2*($A1002-BOTT_D2),0),ROUND(RATE_D1*$A1002,0))))</f>
        <v/>
      </c>
    </row>
    <row r="1003" ht="15.75" customHeight="1" s="7635">
      <c r="A1003" s="625">
        <f>AVERAGE(B1003,C1003)</f>
        <v/>
      </c>
      <c r="B1003" s="555" t="n">
        <v>46950</v>
      </c>
      <c r="C1003" s="555" t="n">
        <v>47000</v>
      </c>
      <c r="D1003" s="556">
        <f>IF($A1003&gt;BOTT_A4,ROUND(BASE_A4+RATE_A4*($A1003-BOTT_A4),0),IF($A1003&gt;BOTT_A3,ROUND(BASE_A3+RATE_A3*($A1003-BOTT_A3),0),IF($A1003&gt;BOTT_A2,ROUND(BASE_A2+RATE_A2*($A1003-BOTT_A2),0),ROUND(RATE_A1*$A1003,0))))</f>
        <v/>
      </c>
      <c r="E1003" s="556">
        <f>IF($A1003&gt;BOTT_B4,ROUND(BASE_B4+RATE_B4*($A1003-BOTT_B4),0),IF($A1003&gt;BOTT_B3,ROUND(BASE_B3+RATE_B3*($A1003-BOTT_B3),0),IF($A1003&gt;BOTT_B2,ROUND(BASE_B2+RATE_B2*($A1003-BOTT_B2),0),ROUND(RATE_B1*$A1003,0))))</f>
        <v/>
      </c>
      <c r="F1003" s="556">
        <f>IF($A1003&gt;BOTT_C4,ROUND(BASE_C4+RATE_C4*($A1003-BOTT_C4),0),IF($A1003&gt;BOTT_C3,ROUND(BASE_C3+RATE_C3*($A1003-BOTT_C3),0),IF($A1003&gt;BOTT_C2,ROUND(BASE_C2+RATE_C2*($A1003-BOTT_C2),0),ROUND(RATE_C1*$A1003,0))))</f>
        <v/>
      </c>
      <c r="G1003" s="556">
        <f>IF($A1003&gt;BOTT_D4,ROUND(BASE_D4+RATE_D4*($A1003-BOTT_D4),0),IF($A1003&gt;BOTT_D3,ROUND(BASE_D3+RATE_D3*($A1003-BOTT_D3),0),IF($A1003&gt;BOTT_D2,ROUND(BASE_D2+RATE_D2*($A1003-BOTT_D2),0),ROUND(RATE_D1*$A1003,0))))</f>
        <v/>
      </c>
    </row>
    <row r="1004" ht="15.75" customHeight="1" s="7635">
      <c r="A1004" s="625">
        <f>AVERAGE(B1004,C1004)</f>
        <v/>
      </c>
      <c r="B1004" s="555" t="n">
        <v>47000</v>
      </c>
      <c r="C1004" s="555" t="n">
        <v>47050</v>
      </c>
      <c r="D1004" s="556">
        <f>IF($A1004&gt;BOTT_A4,ROUND(BASE_A4+RATE_A4*($A1004-BOTT_A4),0),IF($A1004&gt;BOTT_A3,ROUND(BASE_A3+RATE_A3*($A1004-BOTT_A3),0),IF($A1004&gt;BOTT_A2,ROUND(BASE_A2+RATE_A2*($A1004-BOTT_A2),0),ROUND(RATE_A1*$A1004,0))))</f>
        <v/>
      </c>
      <c r="E1004" s="556">
        <f>IF($A1004&gt;BOTT_B4,ROUND(BASE_B4+RATE_B4*($A1004-BOTT_B4),0),IF($A1004&gt;BOTT_B3,ROUND(BASE_B3+RATE_B3*($A1004-BOTT_B3),0),IF($A1004&gt;BOTT_B2,ROUND(BASE_B2+RATE_B2*($A1004-BOTT_B2),0),ROUND(RATE_B1*$A1004,0))))</f>
        <v/>
      </c>
      <c r="F1004" s="556">
        <f>IF($A1004&gt;BOTT_C4,ROUND(BASE_C4+RATE_C4*($A1004-BOTT_C4),0),IF($A1004&gt;BOTT_C3,ROUND(BASE_C3+RATE_C3*($A1004-BOTT_C3),0),IF($A1004&gt;BOTT_C2,ROUND(BASE_C2+RATE_C2*($A1004-BOTT_C2),0),ROUND(RATE_C1*$A1004,0))))</f>
        <v/>
      </c>
      <c r="G1004" s="556">
        <f>IF($A1004&gt;BOTT_D4,ROUND(BASE_D4+RATE_D4*($A1004-BOTT_D4),0),IF($A1004&gt;BOTT_D3,ROUND(BASE_D3+RATE_D3*($A1004-BOTT_D3),0),IF($A1004&gt;BOTT_D2,ROUND(BASE_D2+RATE_D2*($A1004-BOTT_D2),0),ROUND(RATE_D1*$A1004,0))))</f>
        <v/>
      </c>
    </row>
    <row r="1005" ht="15.75" customHeight="1" s="7635">
      <c r="A1005" s="625">
        <f>AVERAGE(B1005,C1005)</f>
        <v/>
      </c>
      <c r="B1005" s="555" t="n">
        <v>47050</v>
      </c>
      <c r="C1005" s="555" t="n">
        <v>47100</v>
      </c>
      <c r="D1005" s="556">
        <f>IF($A1005&gt;BOTT_A4,ROUND(BASE_A4+RATE_A4*($A1005-BOTT_A4),0),IF($A1005&gt;BOTT_A3,ROUND(BASE_A3+RATE_A3*($A1005-BOTT_A3),0),IF($A1005&gt;BOTT_A2,ROUND(BASE_A2+RATE_A2*($A1005-BOTT_A2),0),ROUND(RATE_A1*$A1005,0))))</f>
        <v/>
      </c>
      <c r="E1005" s="556">
        <f>IF($A1005&gt;BOTT_B4,ROUND(BASE_B4+RATE_B4*($A1005-BOTT_B4),0),IF($A1005&gt;BOTT_B3,ROUND(BASE_B3+RATE_B3*($A1005-BOTT_B3),0),IF($A1005&gt;BOTT_B2,ROUND(BASE_B2+RATE_B2*($A1005-BOTT_B2),0),ROUND(RATE_B1*$A1005,0))))</f>
        <v/>
      </c>
      <c r="F1005" s="556">
        <f>IF($A1005&gt;BOTT_C4,ROUND(BASE_C4+RATE_C4*($A1005-BOTT_C4),0),IF($A1005&gt;BOTT_C3,ROUND(BASE_C3+RATE_C3*($A1005-BOTT_C3),0),IF($A1005&gt;BOTT_C2,ROUND(BASE_C2+RATE_C2*($A1005-BOTT_C2),0),ROUND(RATE_C1*$A1005,0))))</f>
        <v/>
      </c>
      <c r="G1005" s="556">
        <f>IF($A1005&gt;BOTT_D4,ROUND(BASE_D4+RATE_D4*($A1005-BOTT_D4),0),IF($A1005&gt;BOTT_D3,ROUND(BASE_D3+RATE_D3*($A1005-BOTT_D3),0),IF($A1005&gt;BOTT_D2,ROUND(BASE_D2+RATE_D2*($A1005-BOTT_D2),0),ROUND(RATE_D1*$A1005,0))))</f>
        <v/>
      </c>
    </row>
    <row r="1006" ht="15.75" customHeight="1" s="7635">
      <c r="A1006" s="625">
        <f>AVERAGE(B1006,C1006)</f>
        <v/>
      </c>
      <c r="B1006" s="555" t="n">
        <v>47100</v>
      </c>
      <c r="C1006" s="555" t="n">
        <v>47150</v>
      </c>
      <c r="D1006" s="556">
        <f>IF($A1006&gt;BOTT_A4,ROUND(BASE_A4+RATE_A4*($A1006-BOTT_A4),0),IF($A1006&gt;BOTT_A3,ROUND(BASE_A3+RATE_A3*($A1006-BOTT_A3),0),IF($A1006&gt;BOTT_A2,ROUND(BASE_A2+RATE_A2*($A1006-BOTT_A2),0),ROUND(RATE_A1*$A1006,0))))</f>
        <v/>
      </c>
      <c r="E1006" s="556">
        <f>IF($A1006&gt;BOTT_B4,ROUND(BASE_B4+RATE_B4*($A1006-BOTT_B4),0),IF($A1006&gt;BOTT_B3,ROUND(BASE_B3+RATE_B3*($A1006-BOTT_B3),0),IF($A1006&gt;BOTT_B2,ROUND(BASE_B2+RATE_B2*($A1006-BOTT_B2),0),ROUND(RATE_B1*$A1006,0))))</f>
        <v/>
      </c>
      <c r="F1006" s="556">
        <f>IF($A1006&gt;BOTT_C4,ROUND(BASE_C4+RATE_C4*($A1006-BOTT_C4),0),IF($A1006&gt;BOTT_C3,ROUND(BASE_C3+RATE_C3*($A1006-BOTT_C3),0),IF($A1006&gt;BOTT_C2,ROUND(BASE_C2+RATE_C2*($A1006-BOTT_C2),0),ROUND(RATE_C1*$A1006,0))))</f>
        <v/>
      </c>
      <c r="G1006" s="556">
        <f>IF($A1006&gt;BOTT_D4,ROUND(BASE_D4+RATE_D4*($A1006-BOTT_D4),0),IF($A1006&gt;BOTT_D3,ROUND(BASE_D3+RATE_D3*($A1006-BOTT_D3),0),IF($A1006&gt;BOTT_D2,ROUND(BASE_D2+RATE_D2*($A1006-BOTT_D2),0),ROUND(RATE_D1*$A1006,0))))</f>
        <v/>
      </c>
    </row>
    <row r="1007" ht="15.75" customHeight="1" s="7635">
      <c r="A1007" s="625">
        <f>AVERAGE(B1007,C1007)</f>
        <v/>
      </c>
      <c r="B1007" s="555" t="n">
        <v>47150</v>
      </c>
      <c r="C1007" s="555" t="n">
        <v>47200</v>
      </c>
      <c r="D1007" s="556">
        <f>IF($A1007&gt;BOTT_A4,ROUND(BASE_A4+RATE_A4*($A1007-BOTT_A4),0),IF($A1007&gt;BOTT_A3,ROUND(BASE_A3+RATE_A3*($A1007-BOTT_A3),0),IF($A1007&gt;BOTT_A2,ROUND(BASE_A2+RATE_A2*($A1007-BOTT_A2),0),ROUND(RATE_A1*$A1007,0))))</f>
        <v/>
      </c>
      <c r="E1007" s="556">
        <f>IF($A1007&gt;BOTT_B4,ROUND(BASE_B4+RATE_B4*($A1007-BOTT_B4),0),IF($A1007&gt;BOTT_B3,ROUND(BASE_B3+RATE_B3*($A1007-BOTT_B3),0),IF($A1007&gt;BOTT_B2,ROUND(BASE_B2+RATE_B2*($A1007-BOTT_B2),0),ROUND(RATE_B1*$A1007,0))))</f>
        <v/>
      </c>
      <c r="F1007" s="556">
        <f>IF($A1007&gt;BOTT_C4,ROUND(BASE_C4+RATE_C4*($A1007-BOTT_C4),0),IF($A1007&gt;BOTT_C3,ROUND(BASE_C3+RATE_C3*($A1007-BOTT_C3),0),IF($A1007&gt;BOTT_C2,ROUND(BASE_C2+RATE_C2*($A1007-BOTT_C2),0),ROUND(RATE_C1*$A1007,0))))</f>
        <v/>
      </c>
      <c r="G1007" s="556">
        <f>IF($A1007&gt;BOTT_D4,ROUND(BASE_D4+RATE_D4*($A1007-BOTT_D4),0),IF($A1007&gt;BOTT_D3,ROUND(BASE_D3+RATE_D3*($A1007-BOTT_D3),0),IF($A1007&gt;BOTT_D2,ROUND(BASE_D2+RATE_D2*($A1007-BOTT_D2),0),ROUND(RATE_D1*$A1007,0))))</f>
        <v/>
      </c>
    </row>
    <row r="1008" ht="15.75" customHeight="1" s="7635">
      <c r="A1008" s="625">
        <f>AVERAGE(B1008,C1008)</f>
        <v/>
      </c>
      <c r="B1008" s="555" t="n">
        <v>47200</v>
      </c>
      <c r="C1008" s="555" t="n">
        <v>47250</v>
      </c>
      <c r="D1008" s="556">
        <f>IF($A1008&gt;BOTT_A4,ROUND(BASE_A4+RATE_A4*($A1008-BOTT_A4),0),IF($A1008&gt;BOTT_A3,ROUND(BASE_A3+RATE_A3*($A1008-BOTT_A3),0),IF($A1008&gt;BOTT_A2,ROUND(BASE_A2+RATE_A2*($A1008-BOTT_A2),0),ROUND(RATE_A1*$A1008,0))))</f>
        <v/>
      </c>
      <c r="E1008" s="556">
        <f>IF($A1008&gt;BOTT_B4,ROUND(BASE_B4+RATE_B4*($A1008-BOTT_B4),0),IF($A1008&gt;BOTT_B3,ROUND(BASE_B3+RATE_B3*($A1008-BOTT_B3),0),IF($A1008&gt;BOTT_B2,ROUND(BASE_B2+RATE_B2*($A1008-BOTT_B2),0),ROUND(RATE_B1*$A1008,0))))</f>
        <v/>
      </c>
      <c r="F1008" s="556">
        <f>IF($A1008&gt;BOTT_C4,ROUND(BASE_C4+RATE_C4*($A1008-BOTT_C4),0),IF($A1008&gt;BOTT_C3,ROUND(BASE_C3+RATE_C3*($A1008-BOTT_C3),0),IF($A1008&gt;BOTT_C2,ROUND(BASE_C2+RATE_C2*($A1008-BOTT_C2),0),ROUND(RATE_C1*$A1008,0))))</f>
        <v/>
      </c>
      <c r="G1008" s="556">
        <f>IF($A1008&gt;BOTT_D4,ROUND(BASE_D4+RATE_D4*($A1008-BOTT_D4),0),IF($A1008&gt;BOTT_D3,ROUND(BASE_D3+RATE_D3*($A1008-BOTT_D3),0),IF($A1008&gt;BOTT_D2,ROUND(BASE_D2+RATE_D2*($A1008-BOTT_D2),0),ROUND(RATE_D1*$A1008,0))))</f>
        <v/>
      </c>
    </row>
    <row r="1009" ht="15.75" customHeight="1" s="7635">
      <c r="A1009" s="625">
        <f>AVERAGE(B1009,C1009)</f>
        <v/>
      </c>
      <c r="B1009" s="555" t="n">
        <v>47250</v>
      </c>
      <c r="C1009" s="555" t="n">
        <v>47300</v>
      </c>
      <c r="D1009" s="556">
        <f>IF($A1009&gt;BOTT_A4,ROUND(BASE_A4+RATE_A4*($A1009-BOTT_A4),0),IF($A1009&gt;BOTT_A3,ROUND(BASE_A3+RATE_A3*($A1009-BOTT_A3),0),IF($A1009&gt;BOTT_A2,ROUND(BASE_A2+RATE_A2*($A1009-BOTT_A2),0),ROUND(RATE_A1*$A1009,0))))</f>
        <v/>
      </c>
      <c r="E1009" s="556">
        <f>IF($A1009&gt;BOTT_B4,ROUND(BASE_B4+RATE_B4*($A1009-BOTT_B4),0),IF($A1009&gt;BOTT_B3,ROUND(BASE_B3+RATE_B3*($A1009-BOTT_B3),0),IF($A1009&gt;BOTT_B2,ROUND(BASE_B2+RATE_B2*($A1009-BOTT_B2),0),ROUND(RATE_B1*$A1009,0))))</f>
        <v/>
      </c>
      <c r="F1009" s="556">
        <f>IF($A1009&gt;BOTT_C4,ROUND(BASE_C4+RATE_C4*($A1009-BOTT_C4),0),IF($A1009&gt;BOTT_C3,ROUND(BASE_C3+RATE_C3*($A1009-BOTT_C3),0),IF($A1009&gt;BOTT_C2,ROUND(BASE_C2+RATE_C2*($A1009-BOTT_C2),0),ROUND(RATE_C1*$A1009,0))))</f>
        <v/>
      </c>
      <c r="G1009" s="556">
        <f>IF($A1009&gt;BOTT_D4,ROUND(BASE_D4+RATE_D4*($A1009-BOTT_D4),0),IF($A1009&gt;BOTT_D3,ROUND(BASE_D3+RATE_D3*($A1009-BOTT_D3),0),IF($A1009&gt;BOTT_D2,ROUND(BASE_D2+RATE_D2*($A1009-BOTT_D2),0),ROUND(RATE_D1*$A1009,0))))</f>
        <v/>
      </c>
    </row>
    <row r="1010" ht="15.75" customHeight="1" s="7635">
      <c r="A1010" s="625">
        <f>AVERAGE(B1010,C1010)</f>
        <v/>
      </c>
      <c r="B1010" s="555" t="n">
        <v>47300</v>
      </c>
      <c r="C1010" s="555" t="n">
        <v>47350</v>
      </c>
      <c r="D1010" s="556">
        <f>IF($A1010&gt;BOTT_A4,ROUND(BASE_A4+RATE_A4*($A1010-BOTT_A4),0),IF($A1010&gt;BOTT_A3,ROUND(BASE_A3+RATE_A3*($A1010-BOTT_A3),0),IF($A1010&gt;BOTT_A2,ROUND(BASE_A2+RATE_A2*($A1010-BOTT_A2),0),ROUND(RATE_A1*$A1010,0))))</f>
        <v/>
      </c>
      <c r="E1010" s="556">
        <f>IF($A1010&gt;BOTT_B4,ROUND(BASE_B4+RATE_B4*($A1010-BOTT_B4),0),IF($A1010&gt;BOTT_B3,ROUND(BASE_B3+RATE_B3*($A1010-BOTT_B3),0),IF($A1010&gt;BOTT_B2,ROUND(BASE_B2+RATE_B2*($A1010-BOTT_B2),0),ROUND(RATE_B1*$A1010,0))))</f>
        <v/>
      </c>
      <c r="F1010" s="556">
        <f>IF($A1010&gt;BOTT_C4,ROUND(BASE_C4+RATE_C4*($A1010-BOTT_C4),0),IF($A1010&gt;BOTT_C3,ROUND(BASE_C3+RATE_C3*($A1010-BOTT_C3),0),IF($A1010&gt;BOTT_C2,ROUND(BASE_C2+RATE_C2*($A1010-BOTT_C2),0),ROUND(RATE_C1*$A1010,0))))</f>
        <v/>
      </c>
      <c r="G1010" s="556">
        <f>IF($A1010&gt;BOTT_D4,ROUND(BASE_D4+RATE_D4*($A1010-BOTT_D4),0),IF($A1010&gt;BOTT_D3,ROUND(BASE_D3+RATE_D3*($A1010-BOTT_D3),0),IF($A1010&gt;BOTT_D2,ROUND(BASE_D2+RATE_D2*($A1010-BOTT_D2),0),ROUND(RATE_D1*$A1010,0))))</f>
        <v/>
      </c>
    </row>
    <row r="1011" ht="15.75" customHeight="1" s="7635">
      <c r="A1011" s="625">
        <f>AVERAGE(B1011,C1011)</f>
        <v/>
      </c>
      <c r="B1011" s="555" t="n">
        <v>47350</v>
      </c>
      <c r="C1011" s="555" t="n">
        <v>47400</v>
      </c>
      <c r="D1011" s="556">
        <f>IF($A1011&gt;BOTT_A4,ROUND(BASE_A4+RATE_A4*($A1011-BOTT_A4),0),IF($A1011&gt;BOTT_A3,ROUND(BASE_A3+RATE_A3*($A1011-BOTT_A3),0),IF($A1011&gt;BOTT_A2,ROUND(BASE_A2+RATE_A2*($A1011-BOTT_A2),0),ROUND(RATE_A1*$A1011,0))))</f>
        <v/>
      </c>
      <c r="E1011" s="556">
        <f>IF($A1011&gt;BOTT_B4,ROUND(BASE_B4+RATE_B4*($A1011-BOTT_B4),0),IF($A1011&gt;BOTT_B3,ROUND(BASE_B3+RATE_B3*($A1011-BOTT_B3),0),IF($A1011&gt;BOTT_B2,ROUND(BASE_B2+RATE_B2*($A1011-BOTT_B2),0),ROUND(RATE_B1*$A1011,0))))</f>
        <v/>
      </c>
      <c r="F1011" s="556">
        <f>IF($A1011&gt;BOTT_C4,ROUND(BASE_C4+RATE_C4*($A1011-BOTT_C4),0),IF($A1011&gt;BOTT_C3,ROUND(BASE_C3+RATE_C3*($A1011-BOTT_C3),0),IF($A1011&gt;BOTT_C2,ROUND(BASE_C2+RATE_C2*($A1011-BOTT_C2),0),ROUND(RATE_C1*$A1011,0))))</f>
        <v/>
      </c>
      <c r="G1011" s="556">
        <f>IF($A1011&gt;BOTT_D4,ROUND(BASE_D4+RATE_D4*($A1011-BOTT_D4),0),IF($A1011&gt;BOTT_D3,ROUND(BASE_D3+RATE_D3*($A1011-BOTT_D3),0),IF($A1011&gt;BOTT_D2,ROUND(BASE_D2+RATE_D2*($A1011-BOTT_D2),0),ROUND(RATE_D1*$A1011,0))))</f>
        <v/>
      </c>
    </row>
    <row r="1012" ht="15.75" customHeight="1" s="7635">
      <c r="A1012" s="625">
        <f>AVERAGE(B1012,C1012)</f>
        <v/>
      </c>
      <c r="B1012" s="555" t="n">
        <v>47400</v>
      </c>
      <c r="C1012" s="555" t="n">
        <v>47450</v>
      </c>
      <c r="D1012" s="556">
        <f>IF($A1012&gt;BOTT_A4,ROUND(BASE_A4+RATE_A4*($A1012-BOTT_A4),0),IF($A1012&gt;BOTT_A3,ROUND(BASE_A3+RATE_A3*($A1012-BOTT_A3),0),IF($A1012&gt;BOTT_A2,ROUND(BASE_A2+RATE_A2*($A1012-BOTT_A2),0),ROUND(RATE_A1*$A1012,0))))</f>
        <v/>
      </c>
      <c r="E1012" s="556">
        <f>IF($A1012&gt;BOTT_B4,ROUND(BASE_B4+RATE_B4*($A1012-BOTT_B4),0),IF($A1012&gt;BOTT_B3,ROUND(BASE_B3+RATE_B3*($A1012-BOTT_B3),0),IF($A1012&gt;BOTT_B2,ROUND(BASE_B2+RATE_B2*($A1012-BOTT_B2),0),ROUND(RATE_B1*$A1012,0))))</f>
        <v/>
      </c>
      <c r="F1012" s="556">
        <f>IF($A1012&gt;BOTT_C4,ROUND(BASE_C4+RATE_C4*($A1012-BOTT_C4),0),IF($A1012&gt;BOTT_C3,ROUND(BASE_C3+RATE_C3*($A1012-BOTT_C3),0),IF($A1012&gt;BOTT_C2,ROUND(BASE_C2+RATE_C2*($A1012-BOTT_C2),0),ROUND(RATE_C1*$A1012,0))))</f>
        <v/>
      </c>
      <c r="G1012" s="556">
        <f>IF($A1012&gt;BOTT_D4,ROUND(BASE_D4+RATE_D4*($A1012-BOTT_D4),0),IF($A1012&gt;BOTT_D3,ROUND(BASE_D3+RATE_D3*($A1012-BOTT_D3),0),IF($A1012&gt;BOTT_D2,ROUND(BASE_D2+RATE_D2*($A1012-BOTT_D2),0),ROUND(RATE_D1*$A1012,0))))</f>
        <v/>
      </c>
    </row>
    <row r="1013" ht="15.75" customHeight="1" s="7635">
      <c r="A1013" s="625">
        <f>AVERAGE(B1013,C1013)</f>
        <v/>
      </c>
      <c r="B1013" s="555" t="n">
        <v>47450</v>
      </c>
      <c r="C1013" s="555" t="n">
        <v>47500</v>
      </c>
      <c r="D1013" s="556">
        <f>IF($A1013&gt;BOTT_A4,ROUND(BASE_A4+RATE_A4*($A1013-BOTT_A4),0),IF($A1013&gt;BOTT_A3,ROUND(BASE_A3+RATE_A3*($A1013-BOTT_A3),0),IF($A1013&gt;BOTT_A2,ROUND(BASE_A2+RATE_A2*($A1013-BOTT_A2),0),ROUND(RATE_A1*$A1013,0))))</f>
        <v/>
      </c>
      <c r="E1013" s="556">
        <f>IF($A1013&gt;BOTT_B4,ROUND(BASE_B4+RATE_B4*($A1013-BOTT_B4),0),IF($A1013&gt;BOTT_B3,ROUND(BASE_B3+RATE_B3*($A1013-BOTT_B3),0),IF($A1013&gt;BOTT_B2,ROUND(BASE_B2+RATE_B2*($A1013-BOTT_B2),0),ROUND(RATE_B1*$A1013,0))))</f>
        <v/>
      </c>
      <c r="F1013" s="556">
        <f>IF($A1013&gt;BOTT_C4,ROUND(BASE_C4+RATE_C4*($A1013-BOTT_C4),0),IF($A1013&gt;BOTT_C3,ROUND(BASE_C3+RATE_C3*($A1013-BOTT_C3),0),IF($A1013&gt;BOTT_C2,ROUND(BASE_C2+RATE_C2*($A1013-BOTT_C2),0),ROUND(RATE_C1*$A1013,0))))</f>
        <v/>
      </c>
      <c r="G1013" s="556">
        <f>IF($A1013&gt;BOTT_D4,ROUND(BASE_D4+RATE_D4*($A1013-BOTT_D4),0),IF($A1013&gt;BOTT_D3,ROUND(BASE_D3+RATE_D3*($A1013-BOTT_D3),0),IF($A1013&gt;BOTT_D2,ROUND(BASE_D2+RATE_D2*($A1013-BOTT_D2),0),ROUND(RATE_D1*$A1013,0))))</f>
        <v/>
      </c>
    </row>
    <row r="1014" ht="15.75" customHeight="1" s="7635">
      <c r="A1014" s="625">
        <f>AVERAGE(B1014,C1014)</f>
        <v/>
      </c>
      <c r="B1014" s="555" t="n">
        <v>47500</v>
      </c>
      <c r="C1014" s="555" t="n">
        <v>47550</v>
      </c>
      <c r="D1014" s="556">
        <f>IF($A1014&gt;BOTT_A4,ROUND(BASE_A4+RATE_A4*($A1014-BOTT_A4),0),IF($A1014&gt;BOTT_A3,ROUND(BASE_A3+RATE_A3*($A1014-BOTT_A3),0),IF($A1014&gt;BOTT_A2,ROUND(BASE_A2+RATE_A2*($A1014-BOTT_A2),0),ROUND(RATE_A1*$A1014,0))))</f>
        <v/>
      </c>
      <c r="E1014" s="556">
        <f>IF($A1014&gt;BOTT_B4,ROUND(BASE_B4+RATE_B4*($A1014-BOTT_B4),0),IF($A1014&gt;BOTT_B3,ROUND(BASE_B3+RATE_B3*($A1014-BOTT_B3),0),IF($A1014&gt;BOTT_B2,ROUND(BASE_B2+RATE_B2*($A1014-BOTT_B2),0),ROUND(RATE_B1*$A1014,0))))</f>
        <v/>
      </c>
      <c r="F1014" s="556">
        <f>IF($A1014&gt;BOTT_C4,ROUND(BASE_C4+RATE_C4*($A1014-BOTT_C4),0),IF($A1014&gt;BOTT_C3,ROUND(BASE_C3+RATE_C3*($A1014-BOTT_C3),0),IF($A1014&gt;BOTT_C2,ROUND(BASE_C2+RATE_C2*($A1014-BOTT_C2),0),ROUND(RATE_C1*$A1014,0))))</f>
        <v/>
      </c>
      <c r="G1014" s="556">
        <f>IF($A1014&gt;BOTT_D4,ROUND(BASE_D4+RATE_D4*($A1014-BOTT_D4),0),IF($A1014&gt;BOTT_D3,ROUND(BASE_D3+RATE_D3*($A1014-BOTT_D3),0),IF($A1014&gt;BOTT_D2,ROUND(BASE_D2+RATE_D2*($A1014-BOTT_D2),0),ROUND(RATE_D1*$A1014,0))))</f>
        <v/>
      </c>
    </row>
    <row r="1015" ht="15.75" customHeight="1" s="7635">
      <c r="A1015" s="625">
        <f>AVERAGE(B1015,C1015)</f>
        <v/>
      </c>
      <c r="B1015" s="555" t="n">
        <v>47550</v>
      </c>
      <c r="C1015" s="555" t="n">
        <v>47600</v>
      </c>
      <c r="D1015" s="556">
        <f>IF($A1015&gt;BOTT_A4,ROUND(BASE_A4+RATE_A4*($A1015-BOTT_A4),0),IF($A1015&gt;BOTT_A3,ROUND(BASE_A3+RATE_A3*($A1015-BOTT_A3),0),IF($A1015&gt;BOTT_A2,ROUND(BASE_A2+RATE_A2*($A1015-BOTT_A2),0),ROUND(RATE_A1*$A1015,0))))</f>
        <v/>
      </c>
      <c r="E1015" s="556">
        <f>IF($A1015&gt;BOTT_B4,ROUND(BASE_B4+RATE_B4*($A1015-BOTT_B4),0),IF($A1015&gt;BOTT_B3,ROUND(BASE_B3+RATE_B3*($A1015-BOTT_B3),0),IF($A1015&gt;BOTT_B2,ROUND(BASE_B2+RATE_B2*($A1015-BOTT_B2),0),ROUND(RATE_B1*$A1015,0))))</f>
        <v/>
      </c>
      <c r="F1015" s="556">
        <f>IF($A1015&gt;BOTT_C4,ROUND(BASE_C4+RATE_C4*($A1015-BOTT_C4),0),IF($A1015&gt;BOTT_C3,ROUND(BASE_C3+RATE_C3*($A1015-BOTT_C3),0),IF($A1015&gt;BOTT_C2,ROUND(BASE_C2+RATE_C2*($A1015-BOTT_C2),0),ROUND(RATE_C1*$A1015,0))))</f>
        <v/>
      </c>
      <c r="G1015" s="556">
        <f>IF($A1015&gt;BOTT_D4,ROUND(BASE_D4+RATE_D4*($A1015-BOTT_D4),0),IF($A1015&gt;BOTT_D3,ROUND(BASE_D3+RATE_D3*($A1015-BOTT_D3),0),IF($A1015&gt;BOTT_D2,ROUND(BASE_D2+RATE_D2*($A1015-BOTT_D2),0),ROUND(RATE_D1*$A1015,0))))</f>
        <v/>
      </c>
    </row>
    <row r="1016" ht="15.75" customHeight="1" s="7635">
      <c r="A1016" s="625">
        <f>AVERAGE(B1016,C1016)</f>
        <v/>
      </c>
      <c r="B1016" s="555" t="n">
        <v>47600</v>
      </c>
      <c r="C1016" s="555" t="n">
        <v>47650</v>
      </c>
      <c r="D1016" s="556">
        <f>IF($A1016&gt;BOTT_A4,ROUND(BASE_A4+RATE_A4*($A1016-BOTT_A4),0),IF($A1016&gt;BOTT_A3,ROUND(BASE_A3+RATE_A3*($A1016-BOTT_A3),0),IF($A1016&gt;BOTT_A2,ROUND(BASE_A2+RATE_A2*($A1016-BOTT_A2),0),ROUND(RATE_A1*$A1016,0))))</f>
        <v/>
      </c>
      <c r="E1016" s="556">
        <f>IF($A1016&gt;BOTT_B4,ROUND(BASE_B4+RATE_B4*($A1016-BOTT_B4),0),IF($A1016&gt;BOTT_B3,ROUND(BASE_B3+RATE_B3*($A1016-BOTT_B3),0),IF($A1016&gt;BOTT_B2,ROUND(BASE_B2+RATE_B2*($A1016-BOTT_B2),0),ROUND(RATE_B1*$A1016,0))))</f>
        <v/>
      </c>
      <c r="F1016" s="556">
        <f>IF($A1016&gt;BOTT_C4,ROUND(BASE_C4+RATE_C4*($A1016-BOTT_C4),0),IF($A1016&gt;BOTT_C3,ROUND(BASE_C3+RATE_C3*($A1016-BOTT_C3),0),IF($A1016&gt;BOTT_C2,ROUND(BASE_C2+RATE_C2*($A1016-BOTT_C2),0),ROUND(RATE_C1*$A1016,0))))</f>
        <v/>
      </c>
      <c r="G1016" s="556">
        <f>IF($A1016&gt;BOTT_D4,ROUND(BASE_D4+RATE_D4*($A1016-BOTT_D4),0),IF($A1016&gt;BOTT_D3,ROUND(BASE_D3+RATE_D3*($A1016-BOTT_D3),0),IF($A1016&gt;BOTT_D2,ROUND(BASE_D2+RATE_D2*($A1016-BOTT_D2),0),ROUND(RATE_D1*$A1016,0))))</f>
        <v/>
      </c>
    </row>
    <row r="1017" ht="15.75" customHeight="1" s="7635">
      <c r="A1017" s="625">
        <f>AVERAGE(B1017,C1017)</f>
        <v/>
      </c>
      <c r="B1017" s="555" t="n">
        <v>47650</v>
      </c>
      <c r="C1017" s="555" t="n">
        <v>47700</v>
      </c>
      <c r="D1017" s="556">
        <f>IF($A1017&gt;BOTT_A4,ROUND(BASE_A4+RATE_A4*($A1017-BOTT_A4),0),IF($A1017&gt;BOTT_A3,ROUND(BASE_A3+RATE_A3*($A1017-BOTT_A3),0),IF($A1017&gt;BOTT_A2,ROUND(BASE_A2+RATE_A2*($A1017-BOTT_A2),0),ROUND(RATE_A1*$A1017,0))))</f>
        <v/>
      </c>
      <c r="E1017" s="556">
        <f>IF($A1017&gt;BOTT_B4,ROUND(BASE_B4+RATE_B4*($A1017-BOTT_B4),0),IF($A1017&gt;BOTT_B3,ROUND(BASE_B3+RATE_B3*($A1017-BOTT_B3),0),IF($A1017&gt;BOTT_B2,ROUND(BASE_B2+RATE_B2*($A1017-BOTT_B2),0),ROUND(RATE_B1*$A1017,0))))</f>
        <v/>
      </c>
      <c r="F1017" s="556">
        <f>IF($A1017&gt;BOTT_C4,ROUND(BASE_C4+RATE_C4*($A1017-BOTT_C4),0),IF($A1017&gt;BOTT_C3,ROUND(BASE_C3+RATE_C3*($A1017-BOTT_C3),0),IF($A1017&gt;BOTT_C2,ROUND(BASE_C2+RATE_C2*($A1017-BOTT_C2),0),ROUND(RATE_C1*$A1017,0))))</f>
        <v/>
      </c>
      <c r="G1017" s="556">
        <f>IF($A1017&gt;BOTT_D4,ROUND(BASE_D4+RATE_D4*($A1017-BOTT_D4),0),IF($A1017&gt;BOTT_D3,ROUND(BASE_D3+RATE_D3*($A1017-BOTT_D3),0),IF($A1017&gt;BOTT_D2,ROUND(BASE_D2+RATE_D2*($A1017-BOTT_D2),0),ROUND(RATE_D1*$A1017,0))))</f>
        <v/>
      </c>
    </row>
    <row r="1018" ht="15.75" customHeight="1" s="7635">
      <c r="A1018" s="625">
        <f>AVERAGE(B1018,C1018)</f>
        <v/>
      </c>
      <c r="B1018" s="555" t="n">
        <v>47700</v>
      </c>
      <c r="C1018" s="555" t="n">
        <v>47750</v>
      </c>
      <c r="D1018" s="556">
        <f>IF($A1018&gt;BOTT_A4,ROUND(BASE_A4+RATE_A4*($A1018-BOTT_A4),0),IF($A1018&gt;BOTT_A3,ROUND(BASE_A3+RATE_A3*($A1018-BOTT_A3),0),IF($A1018&gt;BOTT_A2,ROUND(BASE_A2+RATE_A2*($A1018-BOTT_A2),0),ROUND(RATE_A1*$A1018,0))))</f>
        <v/>
      </c>
      <c r="E1018" s="556">
        <f>IF($A1018&gt;BOTT_B4,ROUND(BASE_B4+RATE_B4*($A1018-BOTT_B4),0),IF($A1018&gt;BOTT_B3,ROUND(BASE_B3+RATE_B3*($A1018-BOTT_B3),0),IF($A1018&gt;BOTT_B2,ROUND(BASE_B2+RATE_B2*($A1018-BOTT_B2),0),ROUND(RATE_B1*$A1018,0))))</f>
        <v/>
      </c>
      <c r="F1018" s="556">
        <f>IF($A1018&gt;BOTT_C4,ROUND(BASE_C4+RATE_C4*($A1018-BOTT_C4),0),IF($A1018&gt;BOTT_C3,ROUND(BASE_C3+RATE_C3*($A1018-BOTT_C3),0),IF($A1018&gt;BOTT_C2,ROUND(BASE_C2+RATE_C2*($A1018-BOTT_C2),0),ROUND(RATE_C1*$A1018,0))))</f>
        <v/>
      </c>
      <c r="G1018" s="556">
        <f>IF($A1018&gt;BOTT_D4,ROUND(BASE_D4+RATE_D4*($A1018-BOTT_D4),0),IF($A1018&gt;BOTT_D3,ROUND(BASE_D3+RATE_D3*($A1018-BOTT_D3),0),IF($A1018&gt;BOTT_D2,ROUND(BASE_D2+RATE_D2*($A1018-BOTT_D2),0),ROUND(RATE_D1*$A1018,0))))</f>
        <v/>
      </c>
    </row>
    <row r="1019" ht="15.75" customHeight="1" s="7635">
      <c r="A1019" s="625">
        <f>AVERAGE(B1019,C1019)</f>
        <v/>
      </c>
      <c r="B1019" s="555" t="n">
        <v>47750</v>
      </c>
      <c r="C1019" s="555" t="n">
        <v>47800</v>
      </c>
      <c r="D1019" s="556">
        <f>IF($A1019&gt;BOTT_A4,ROUND(BASE_A4+RATE_A4*($A1019-BOTT_A4),0),IF($A1019&gt;BOTT_A3,ROUND(BASE_A3+RATE_A3*($A1019-BOTT_A3),0),IF($A1019&gt;BOTT_A2,ROUND(BASE_A2+RATE_A2*($A1019-BOTT_A2),0),ROUND(RATE_A1*$A1019,0))))</f>
        <v/>
      </c>
      <c r="E1019" s="556">
        <f>IF($A1019&gt;BOTT_B4,ROUND(BASE_B4+RATE_B4*($A1019-BOTT_B4),0),IF($A1019&gt;BOTT_B3,ROUND(BASE_B3+RATE_B3*($A1019-BOTT_B3),0),IF($A1019&gt;BOTT_B2,ROUND(BASE_B2+RATE_B2*($A1019-BOTT_B2),0),ROUND(RATE_B1*$A1019,0))))</f>
        <v/>
      </c>
      <c r="F1019" s="556">
        <f>IF($A1019&gt;BOTT_C4,ROUND(BASE_C4+RATE_C4*($A1019-BOTT_C4),0),IF($A1019&gt;BOTT_C3,ROUND(BASE_C3+RATE_C3*($A1019-BOTT_C3),0),IF($A1019&gt;BOTT_C2,ROUND(BASE_C2+RATE_C2*($A1019-BOTT_C2),0),ROUND(RATE_C1*$A1019,0))))</f>
        <v/>
      </c>
      <c r="G1019" s="556">
        <f>IF($A1019&gt;BOTT_D4,ROUND(BASE_D4+RATE_D4*($A1019-BOTT_D4),0),IF($A1019&gt;BOTT_D3,ROUND(BASE_D3+RATE_D3*($A1019-BOTT_D3),0),IF($A1019&gt;BOTT_D2,ROUND(BASE_D2+RATE_D2*($A1019-BOTT_D2),0),ROUND(RATE_D1*$A1019,0))))</f>
        <v/>
      </c>
    </row>
    <row r="1020" ht="15.75" customHeight="1" s="7635">
      <c r="A1020" s="625">
        <f>AVERAGE(B1020,C1020)</f>
        <v/>
      </c>
      <c r="B1020" s="555" t="n">
        <v>47800</v>
      </c>
      <c r="C1020" s="555" t="n">
        <v>47850</v>
      </c>
      <c r="D1020" s="556">
        <f>IF($A1020&gt;BOTT_A4,ROUND(BASE_A4+RATE_A4*($A1020-BOTT_A4),0),IF($A1020&gt;BOTT_A3,ROUND(BASE_A3+RATE_A3*($A1020-BOTT_A3),0),IF($A1020&gt;BOTT_A2,ROUND(BASE_A2+RATE_A2*($A1020-BOTT_A2),0),ROUND(RATE_A1*$A1020,0))))</f>
        <v/>
      </c>
      <c r="E1020" s="556">
        <f>IF($A1020&gt;BOTT_B4,ROUND(BASE_B4+RATE_B4*($A1020-BOTT_B4),0),IF($A1020&gt;BOTT_B3,ROUND(BASE_B3+RATE_B3*($A1020-BOTT_B3),0),IF($A1020&gt;BOTT_B2,ROUND(BASE_B2+RATE_B2*($A1020-BOTT_B2),0),ROUND(RATE_B1*$A1020,0))))</f>
        <v/>
      </c>
      <c r="F1020" s="556">
        <f>IF($A1020&gt;BOTT_C4,ROUND(BASE_C4+RATE_C4*($A1020-BOTT_C4),0),IF($A1020&gt;BOTT_C3,ROUND(BASE_C3+RATE_C3*($A1020-BOTT_C3),0),IF($A1020&gt;BOTT_C2,ROUND(BASE_C2+RATE_C2*($A1020-BOTT_C2),0),ROUND(RATE_C1*$A1020,0))))</f>
        <v/>
      </c>
      <c r="G1020" s="556">
        <f>IF($A1020&gt;BOTT_D4,ROUND(BASE_D4+RATE_D4*($A1020-BOTT_D4),0),IF($A1020&gt;BOTT_D3,ROUND(BASE_D3+RATE_D3*($A1020-BOTT_D3),0),IF($A1020&gt;BOTT_D2,ROUND(BASE_D2+RATE_D2*($A1020-BOTT_D2),0),ROUND(RATE_D1*$A1020,0))))</f>
        <v/>
      </c>
    </row>
    <row r="1021" ht="15.75" customHeight="1" s="7635">
      <c r="A1021" s="625">
        <f>AVERAGE(B1021,C1021)</f>
        <v/>
      </c>
      <c r="B1021" s="555" t="n">
        <v>47850</v>
      </c>
      <c r="C1021" s="555" t="n">
        <v>47900</v>
      </c>
      <c r="D1021" s="556">
        <f>IF($A1021&gt;BOTT_A4,ROUND(BASE_A4+RATE_A4*($A1021-BOTT_A4),0),IF($A1021&gt;BOTT_A3,ROUND(BASE_A3+RATE_A3*($A1021-BOTT_A3),0),IF($A1021&gt;BOTT_A2,ROUND(BASE_A2+RATE_A2*($A1021-BOTT_A2),0),ROUND(RATE_A1*$A1021,0))))</f>
        <v/>
      </c>
      <c r="E1021" s="556">
        <f>IF($A1021&gt;BOTT_B4,ROUND(BASE_B4+RATE_B4*($A1021-BOTT_B4),0),IF($A1021&gt;BOTT_B3,ROUND(BASE_B3+RATE_B3*($A1021-BOTT_B3),0),IF($A1021&gt;BOTT_B2,ROUND(BASE_B2+RATE_B2*($A1021-BOTT_B2),0),ROUND(RATE_B1*$A1021,0))))</f>
        <v/>
      </c>
      <c r="F1021" s="556">
        <f>IF($A1021&gt;BOTT_C4,ROUND(BASE_C4+RATE_C4*($A1021-BOTT_C4),0),IF($A1021&gt;BOTT_C3,ROUND(BASE_C3+RATE_C3*($A1021-BOTT_C3),0),IF($A1021&gt;BOTT_C2,ROUND(BASE_C2+RATE_C2*($A1021-BOTT_C2),0),ROUND(RATE_C1*$A1021,0))))</f>
        <v/>
      </c>
      <c r="G1021" s="556">
        <f>IF($A1021&gt;BOTT_D4,ROUND(BASE_D4+RATE_D4*($A1021-BOTT_D4),0),IF($A1021&gt;BOTT_D3,ROUND(BASE_D3+RATE_D3*($A1021-BOTT_D3),0),IF($A1021&gt;BOTT_D2,ROUND(BASE_D2+RATE_D2*($A1021-BOTT_D2),0),ROUND(RATE_D1*$A1021,0))))</f>
        <v/>
      </c>
    </row>
    <row r="1022" ht="15.75" customHeight="1" s="7635">
      <c r="A1022" s="625">
        <f>AVERAGE(B1022,C1022)</f>
        <v/>
      </c>
      <c r="B1022" s="555" t="n">
        <v>47900</v>
      </c>
      <c r="C1022" s="555" t="n">
        <v>47950</v>
      </c>
      <c r="D1022" s="556">
        <f>IF($A1022&gt;BOTT_A4,ROUND(BASE_A4+RATE_A4*($A1022-BOTT_A4),0),IF($A1022&gt;BOTT_A3,ROUND(BASE_A3+RATE_A3*($A1022-BOTT_A3),0),IF($A1022&gt;BOTT_A2,ROUND(BASE_A2+RATE_A2*($A1022-BOTT_A2),0),ROUND(RATE_A1*$A1022,0))))</f>
        <v/>
      </c>
      <c r="E1022" s="556">
        <f>IF($A1022&gt;BOTT_B4,ROUND(BASE_B4+RATE_B4*($A1022-BOTT_B4),0),IF($A1022&gt;BOTT_B3,ROUND(BASE_B3+RATE_B3*($A1022-BOTT_B3),0),IF($A1022&gt;BOTT_B2,ROUND(BASE_B2+RATE_B2*($A1022-BOTT_B2),0),ROUND(RATE_B1*$A1022,0))))</f>
        <v/>
      </c>
      <c r="F1022" s="556">
        <f>IF($A1022&gt;BOTT_C4,ROUND(BASE_C4+RATE_C4*($A1022-BOTT_C4),0),IF($A1022&gt;BOTT_C3,ROUND(BASE_C3+RATE_C3*($A1022-BOTT_C3),0),IF($A1022&gt;BOTT_C2,ROUND(BASE_C2+RATE_C2*($A1022-BOTT_C2),0),ROUND(RATE_C1*$A1022,0))))</f>
        <v/>
      </c>
      <c r="G1022" s="556">
        <f>IF($A1022&gt;BOTT_D4,ROUND(BASE_D4+RATE_D4*($A1022-BOTT_D4),0),IF($A1022&gt;BOTT_D3,ROUND(BASE_D3+RATE_D3*($A1022-BOTT_D3),0),IF($A1022&gt;BOTT_D2,ROUND(BASE_D2+RATE_D2*($A1022-BOTT_D2),0),ROUND(RATE_D1*$A1022,0))))</f>
        <v/>
      </c>
    </row>
    <row r="1023" ht="15.75" customHeight="1" s="7635">
      <c r="A1023" s="625">
        <f>AVERAGE(B1023,C1023)</f>
        <v/>
      </c>
      <c r="B1023" s="555" t="n">
        <v>47950</v>
      </c>
      <c r="C1023" s="555" t="n">
        <v>48000</v>
      </c>
      <c r="D1023" s="556">
        <f>IF($A1023&gt;BOTT_A4,ROUND(BASE_A4+RATE_A4*($A1023-BOTT_A4),0),IF($A1023&gt;BOTT_A3,ROUND(BASE_A3+RATE_A3*($A1023-BOTT_A3),0),IF($A1023&gt;BOTT_A2,ROUND(BASE_A2+RATE_A2*($A1023-BOTT_A2),0),ROUND(RATE_A1*$A1023,0))))</f>
        <v/>
      </c>
      <c r="E1023" s="556">
        <f>IF($A1023&gt;BOTT_B4,ROUND(BASE_B4+RATE_B4*($A1023-BOTT_B4),0),IF($A1023&gt;BOTT_B3,ROUND(BASE_B3+RATE_B3*($A1023-BOTT_B3),0),IF($A1023&gt;BOTT_B2,ROUND(BASE_B2+RATE_B2*($A1023-BOTT_B2),0),ROUND(RATE_B1*$A1023,0))))</f>
        <v/>
      </c>
      <c r="F1023" s="556">
        <f>IF($A1023&gt;BOTT_C4,ROUND(BASE_C4+RATE_C4*($A1023-BOTT_C4),0),IF($A1023&gt;BOTT_C3,ROUND(BASE_C3+RATE_C3*($A1023-BOTT_C3),0),IF($A1023&gt;BOTT_C2,ROUND(BASE_C2+RATE_C2*($A1023-BOTT_C2),0),ROUND(RATE_C1*$A1023,0))))</f>
        <v/>
      </c>
      <c r="G1023" s="556">
        <f>IF($A1023&gt;BOTT_D4,ROUND(BASE_D4+RATE_D4*($A1023-BOTT_D4),0),IF($A1023&gt;BOTT_D3,ROUND(BASE_D3+RATE_D3*($A1023-BOTT_D3),0),IF($A1023&gt;BOTT_D2,ROUND(BASE_D2+RATE_D2*($A1023-BOTT_D2),0),ROUND(RATE_D1*$A1023,0))))</f>
        <v/>
      </c>
    </row>
    <row r="1024" ht="15.75" customHeight="1" s="7635">
      <c r="A1024" s="625">
        <f>AVERAGE(B1024,C1024)</f>
        <v/>
      </c>
      <c r="B1024" s="555" t="n">
        <v>48000</v>
      </c>
      <c r="C1024" s="555" t="n">
        <v>48050</v>
      </c>
      <c r="D1024" s="556">
        <f>IF($A1024&gt;BOTT_A4,ROUND(BASE_A4+RATE_A4*($A1024-BOTT_A4),0),IF($A1024&gt;BOTT_A3,ROUND(BASE_A3+RATE_A3*($A1024-BOTT_A3),0),IF($A1024&gt;BOTT_A2,ROUND(BASE_A2+RATE_A2*($A1024-BOTT_A2),0),ROUND(RATE_A1*$A1024,0))))</f>
        <v/>
      </c>
      <c r="E1024" s="556">
        <f>IF($A1024&gt;BOTT_B4,ROUND(BASE_B4+RATE_B4*($A1024-BOTT_B4),0),IF($A1024&gt;BOTT_B3,ROUND(BASE_B3+RATE_B3*($A1024-BOTT_B3),0),IF($A1024&gt;BOTT_B2,ROUND(BASE_B2+RATE_B2*($A1024-BOTT_B2),0),ROUND(RATE_B1*$A1024,0))))</f>
        <v/>
      </c>
      <c r="F1024" s="556">
        <f>IF($A1024&gt;BOTT_C4,ROUND(BASE_C4+RATE_C4*($A1024-BOTT_C4),0),IF($A1024&gt;BOTT_C3,ROUND(BASE_C3+RATE_C3*($A1024-BOTT_C3),0),IF($A1024&gt;BOTT_C2,ROUND(BASE_C2+RATE_C2*($A1024-BOTT_C2),0),ROUND(RATE_C1*$A1024,0))))</f>
        <v/>
      </c>
      <c r="G1024" s="556">
        <f>IF($A1024&gt;BOTT_D4,ROUND(BASE_D4+RATE_D4*($A1024-BOTT_D4),0),IF($A1024&gt;BOTT_D3,ROUND(BASE_D3+RATE_D3*($A1024-BOTT_D3),0),IF($A1024&gt;BOTT_D2,ROUND(BASE_D2+RATE_D2*($A1024-BOTT_D2),0),ROUND(RATE_D1*$A1024,0))))</f>
        <v/>
      </c>
    </row>
    <row r="1025" ht="15.75" customHeight="1" s="7635">
      <c r="A1025" s="625">
        <f>AVERAGE(B1025,C1025)</f>
        <v/>
      </c>
      <c r="B1025" s="555" t="n">
        <v>48050</v>
      </c>
      <c r="C1025" s="555" t="n">
        <v>48100</v>
      </c>
      <c r="D1025" s="556">
        <f>IF($A1025&gt;BOTT_A4,ROUND(BASE_A4+RATE_A4*($A1025-BOTT_A4),0),IF($A1025&gt;BOTT_A3,ROUND(BASE_A3+RATE_A3*($A1025-BOTT_A3),0),IF($A1025&gt;BOTT_A2,ROUND(BASE_A2+RATE_A2*($A1025-BOTT_A2),0),ROUND(RATE_A1*$A1025,0))))</f>
        <v/>
      </c>
      <c r="E1025" s="556">
        <f>IF($A1025&gt;BOTT_B4,ROUND(BASE_B4+RATE_B4*($A1025-BOTT_B4),0),IF($A1025&gt;BOTT_B3,ROUND(BASE_B3+RATE_B3*($A1025-BOTT_B3),0),IF($A1025&gt;BOTT_B2,ROUND(BASE_B2+RATE_B2*($A1025-BOTT_B2),0),ROUND(RATE_B1*$A1025,0))))</f>
        <v/>
      </c>
      <c r="F1025" s="556">
        <f>IF($A1025&gt;BOTT_C4,ROUND(BASE_C4+RATE_C4*($A1025-BOTT_C4),0),IF($A1025&gt;BOTT_C3,ROUND(BASE_C3+RATE_C3*($A1025-BOTT_C3),0),IF($A1025&gt;BOTT_C2,ROUND(BASE_C2+RATE_C2*($A1025-BOTT_C2),0),ROUND(RATE_C1*$A1025,0))))</f>
        <v/>
      </c>
      <c r="G1025" s="556">
        <f>IF($A1025&gt;BOTT_D4,ROUND(BASE_D4+RATE_D4*($A1025-BOTT_D4),0),IF($A1025&gt;BOTT_D3,ROUND(BASE_D3+RATE_D3*($A1025-BOTT_D3),0),IF($A1025&gt;BOTT_D2,ROUND(BASE_D2+RATE_D2*($A1025-BOTT_D2),0),ROUND(RATE_D1*$A1025,0))))</f>
        <v/>
      </c>
    </row>
    <row r="1026" ht="15.75" customHeight="1" s="7635">
      <c r="A1026" s="625">
        <f>AVERAGE(B1026,C1026)</f>
        <v/>
      </c>
      <c r="B1026" s="555" t="n">
        <v>48100</v>
      </c>
      <c r="C1026" s="555" t="n">
        <v>48150</v>
      </c>
      <c r="D1026" s="556">
        <f>IF($A1026&gt;BOTT_A4,ROUND(BASE_A4+RATE_A4*($A1026-BOTT_A4),0),IF($A1026&gt;BOTT_A3,ROUND(BASE_A3+RATE_A3*($A1026-BOTT_A3),0),IF($A1026&gt;BOTT_A2,ROUND(BASE_A2+RATE_A2*($A1026-BOTT_A2),0),ROUND(RATE_A1*$A1026,0))))</f>
        <v/>
      </c>
      <c r="E1026" s="556">
        <f>IF($A1026&gt;BOTT_B4,ROUND(BASE_B4+RATE_B4*($A1026-BOTT_B4),0),IF($A1026&gt;BOTT_B3,ROUND(BASE_B3+RATE_B3*($A1026-BOTT_B3),0),IF($A1026&gt;BOTT_B2,ROUND(BASE_B2+RATE_B2*($A1026-BOTT_B2),0),ROUND(RATE_B1*$A1026,0))))</f>
        <v/>
      </c>
      <c r="F1026" s="556">
        <f>IF($A1026&gt;BOTT_C4,ROUND(BASE_C4+RATE_C4*($A1026-BOTT_C4),0),IF($A1026&gt;BOTT_C3,ROUND(BASE_C3+RATE_C3*($A1026-BOTT_C3),0),IF($A1026&gt;BOTT_C2,ROUND(BASE_C2+RATE_C2*($A1026-BOTT_C2),0),ROUND(RATE_C1*$A1026,0))))</f>
        <v/>
      </c>
      <c r="G1026" s="556">
        <f>IF($A1026&gt;BOTT_D4,ROUND(BASE_D4+RATE_D4*($A1026-BOTT_D4),0),IF($A1026&gt;BOTT_D3,ROUND(BASE_D3+RATE_D3*($A1026-BOTT_D3),0),IF($A1026&gt;BOTT_D2,ROUND(BASE_D2+RATE_D2*($A1026-BOTT_D2),0),ROUND(RATE_D1*$A1026,0))))</f>
        <v/>
      </c>
    </row>
    <row r="1027" ht="15.75" customHeight="1" s="7635">
      <c r="A1027" s="625">
        <f>AVERAGE(B1027,C1027)</f>
        <v/>
      </c>
      <c r="B1027" s="555" t="n">
        <v>48150</v>
      </c>
      <c r="C1027" s="555" t="n">
        <v>48200</v>
      </c>
      <c r="D1027" s="556">
        <f>IF($A1027&gt;BOTT_A4,ROUND(BASE_A4+RATE_A4*($A1027-BOTT_A4),0),IF($A1027&gt;BOTT_A3,ROUND(BASE_A3+RATE_A3*($A1027-BOTT_A3),0),IF($A1027&gt;BOTT_A2,ROUND(BASE_A2+RATE_A2*($A1027-BOTT_A2),0),ROUND(RATE_A1*$A1027,0))))</f>
        <v/>
      </c>
      <c r="E1027" s="556">
        <f>IF($A1027&gt;BOTT_B4,ROUND(BASE_B4+RATE_B4*($A1027-BOTT_B4),0),IF($A1027&gt;BOTT_B3,ROUND(BASE_B3+RATE_B3*($A1027-BOTT_B3),0),IF($A1027&gt;BOTT_B2,ROUND(BASE_B2+RATE_B2*($A1027-BOTT_B2),0),ROUND(RATE_B1*$A1027,0))))</f>
        <v/>
      </c>
      <c r="F1027" s="556">
        <f>IF($A1027&gt;BOTT_C4,ROUND(BASE_C4+RATE_C4*($A1027-BOTT_C4),0),IF($A1027&gt;BOTT_C3,ROUND(BASE_C3+RATE_C3*($A1027-BOTT_C3),0),IF($A1027&gt;BOTT_C2,ROUND(BASE_C2+RATE_C2*($A1027-BOTT_C2),0),ROUND(RATE_C1*$A1027,0))))</f>
        <v/>
      </c>
      <c r="G1027" s="556">
        <f>IF($A1027&gt;BOTT_D4,ROUND(BASE_D4+RATE_D4*($A1027-BOTT_D4),0),IF($A1027&gt;BOTT_D3,ROUND(BASE_D3+RATE_D3*($A1027-BOTT_D3),0),IF($A1027&gt;BOTT_D2,ROUND(BASE_D2+RATE_D2*($A1027-BOTT_D2),0),ROUND(RATE_D1*$A1027,0))))</f>
        <v/>
      </c>
    </row>
    <row r="1028" ht="15.75" customHeight="1" s="7635">
      <c r="A1028" s="625">
        <f>AVERAGE(B1028,C1028)</f>
        <v/>
      </c>
      <c r="B1028" s="555" t="n">
        <v>48200</v>
      </c>
      <c r="C1028" s="555" t="n">
        <v>48250</v>
      </c>
      <c r="D1028" s="556">
        <f>IF($A1028&gt;BOTT_A4,ROUND(BASE_A4+RATE_A4*($A1028-BOTT_A4),0),IF($A1028&gt;BOTT_A3,ROUND(BASE_A3+RATE_A3*($A1028-BOTT_A3),0),IF($A1028&gt;BOTT_A2,ROUND(BASE_A2+RATE_A2*($A1028-BOTT_A2),0),ROUND(RATE_A1*$A1028,0))))</f>
        <v/>
      </c>
      <c r="E1028" s="556">
        <f>IF($A1028&gt;BOTT_B4,ROUND(BASE_B4+RATE_B4*($A1028-BOTT_B4),0),IF($A1028&gt;BOTT_B3,ROUND(BASE_B3+RATE_B3*($A1028-BOTT_B3),0),IF($A1028&gt;BOTT_B2,ROUND(BASE_B2+RATE_B2*($A1028-BOTT_B2),0),ROUND(RATE_B1*$A1028,0))))</f>
        <v/>
      </c>
      <c r="F1028" s="556">
        <f>IF($A1028&gt;BOTT_C4,ROUND(BASE_C4+RATE_C4*($A1028-BOTT_C4),0),IF($A1028&gt;BOTT_C3,ROUND(BASE_C3+RATE_C3*($A1028-BOTT_C3),0),IF($A1028&gt;BOTT_C2,ROUND(BASE_C2+RATE_C2*($A1028-BOTT_C2),0),ROUND(RATE_C1*$A1028,0))))</f>
        <v/>
      </c>
      <c r="G1028" s="556">
        <f>IF($A1028&gt;BOTT_D4,ROUND(BASE_D4+RATE_D4*($A1028-BOTT_D4),0),IF($A1028&gt;BOTT_D3,ROUND(BASE_D3+RATE_D3*($A1028-BOTT_D3),0),IF($A1028&gt;BOTT_D2,ROUND(BASE_D2+RATE_D2*($A1028-BOTT_D2),0),ROUND(RATE_D1*$A1028,0))))</f>
        <v/>
      </c>
    </row>
    <row r="1029" ht="15.75" customHeight="1" s="7635">
      <c r="A1029" s="625">
        <f>AVERAGE(B1029,C1029)</f>
        <v/>
      </c>
      <c r="B1029" s="555" t="n">
        <v>48250</v>
      </c>
      <c r="C1029" s="555" t="n">
        <v>48300</v>
      </c>
      <c r="D1029" s="556">
        <f>IF($A1029&gt;BOTT_A4,ROUND(BASE_A4+RATE_A4*($A1029-BOTT_A4),0),IF($A1029&gt;BOTT_A3,ROUND(BASE_A3+RATE_A3*($A1029-BOTT_A3),0),IF($A1029&gt;BOTT_A2,ROUND(BASE_A2+RATE_A2*($A1029-BOTT_A2),0),ROUND(RATE_A1*$A1029,0))))</f>
        <v/>
      </c>
      <c r="E1029" s="556">
        <f>IF($A1029&gt;BOTT_B4,ROUND(BASE_B4+RATE_B4*($A1029-BOTT_B4),0),IF($A1029&gt;BOTT_B3,ROUND(BASE_B3+RATE_B3*($A1029-BOTT_B3),0),IF($A1029&gt;BOTT_B2,ROUND(BASE_B2+RATE_B2*($A1029-BOTT_B2),0),ROUND(RATE_B1*$A1029,0))))</f>
        <v/>
      </c>
      <c r="F1029" s="556">
        <f>IF($A1029&gt;BOTT_C4,ROUND(BASE_C4+RATE_C4*($A1029-BOTT_C4),0),IF($A1029&gt;BOTT_C3,ROUND(BASE_C3+RATE_C3*($A1029-BOTT_C3),0),IF($A1029&gt;BOTT_C2,ROUND(BASE_C2+RATE_C2*($A1029-BOTT_C2),0),ROUND(RATE_C1*$A1029,0))))</f>
        <v/>
      </c>
      <c r="G1029" s="556">
        <f>IF($A1029&gt;BOTT_D4,ROUND(BASE_D4+RATE_D4*($A1029-BOTT_D4),0),IF($A1029&gt;BOTT_D3,ROUND(BASE_D3+RATE_D3*($A1029-BOTT_D3),0),IF($A1029&gt;BOTT_D2,ROUND(BASE_D2+RATE_D2*($A1029-BOTT_D2),0),ROUND(RATE_D1*$A1029,0))))</f>
        <v/>
      </c>
    </row>
    <row r="1030" ht="15.75" customHeight="1" s="7635">
      <c r="A1030" s="625">
        <f>AVERAGE(B1030,C1030)</f>
        <v/>
      </c>
      <c r="B1030" s="555" t="n">
        <v>48300</v>
      </c>
      <c r="C1030" s="555" t="n">
        <v>48350</v>
      </c>
      <c r="D1030" s="556">
        <f>IF($A1030&gt;BOTT_A4,ROUND(BASE_A4+RATE_A4*($A1030-BOTT_A4),0),IF($A1030&gt;BOTT_A3,ROUND(BASE_A3+RATE_A3*($A1030-BOTT_A3),0),IF($A1030&gt;BOTT_A2,ROUND(BASE_A2+RATE_A2*($A1030-BOTT_A2),0),ROUND(RATE_A1*$A1030,0))))</f>
        <v/>
      </c>
      <c r="E1030" s="556">
        <f>IF($A1030&gt;BOTT_B4,ROUND(BASE_B4+RATE_B4*($A1030-BOTT_B4),0),IF($A1030&gt;BOTT_B3,ROUND(BASE_B3+RATE_B3*($A1030-BOTT_B3),0),IF($A1030&gt;BOTT_B2,ROUND(BASE_B2+RATE_B2*($A1030-BOTT_B2),0),ROUND(RATE_B1*$A1030,0))))</f>
        <v/>
      </c>
      <c r="F1030" s="556">
        <f>IF($A1030&gt;BOTT_C4,ROUND(BASE_C4+RATE_C4*($A1030-BOTT_C4),0),IF($A1030&gt;BOTT_C3,ROUND(BASE_C3+RATE_C3*($A1030-BOTT_C3),0),IF($A1030&gt;BOTT_C2,ROUND(BASE_C2+RATE_C2*($A1030-BOTT_C2),0),ROUND(RATE_C1*$A1030,0))))</f>
        <v/>
      </c>
      <c r="G1030" s="556">
        <f>IF($A1030&gt;BOTT_D4,ROUND(BASE_D4+RATE_D4*($A1030-BOTT_D4),0),IF($A1030&gt;BOTT_D3,ROUND(BASE_D3+RATE_D3*($A1030-BOTT_D3),0),IF($A1030&gt;BOTT_D2,ROUND(BASE_D2+RATE_D2*($A1030-BOTT_D2),0),ROUND(RATE_D1*$A1030,0))))</f>
        <v/>
      </c>
    </row>
    <row r="1031" ht="15.75" customHeight="1" s="7635">
      <c r="A1031" s="625">
        <f>AVERAGE(B1031,C1031)</f>
        <v/>
      </c>
      <c r="B1031" s="555" t="n">
        <v>48350</v>
      </c>
      <c r="C1031" s="555" t="n">
        <v>48400</v>
      </c>
      <c r="D1031" s="556">
        <f>IF($A1031&gt;BOTT_A4,ROUND(BASE_A4+RATE_A4*($A1031-BOTT_A4),0),IF($A1031&gt;BOTT_A3,ROUND(BASE_A3+RATE_A3*($A1031-BOTT_A3),0),IF($A1031&gt;BOTT_A2,ROUND(BASE_A2+RATE_A2*($A1031-BOTT_A2),0),ROUND(RATE_A1*$A1031,0))))</f>
        <v/>
      </c>
      <c r="E1031" s="556">
        <f>IF($A1031&gt;BOTT_B4,ROUND(BASE_B4+RATE_B4*($A1031-BOTT_B4),0),IF($A1031&gt;BOTT_B3,ROUND(BASE_B3+RATE_B3*($A1031-BOTT_B3),0),IF($A1031&gt;BOTT_B2,ROUND(BASE_B2+RATE_B2*($A1031-BOTT_B2),0),ROUND(RATE_B1*$A1031,0))))</f>
        <v/>
      </c>
      <c r="F1031" s="556">
        <f>IF($A1031&gt;BOTT_C4,ROUND(BASE_C4+RATE_C4*($A1031-BOTT_C4),0),IF($A1031&gt;BOTT_C3,ROUND(BASE_C3+RATE_C3*($A1031-BOTT_C3),0),IF($A1031&gt;BOTT_C2,ROUND(BASE_C2+RATE_C2*($A1031-BOTT_C2),0),ROUND(RATE_C1*$A1031,0))))</f>
        <v/>
      </c>
      <c r="G1031" s="556">
        <f>IF($A1031&gt;BOTT_D4,ROUND(BASE_D4+RATE_D4*($A1031-BOTT_D4),0),IF($A1031&gt;BOTT_D3,ROUND(BASE_D3+RATE_D3*($A1031-BOTT_D3),0),IF($A1031&gt;BOTT_D2,ROUND(BASE_D2+RATE_D2*($A1031-BOTT_D2),0),ROUND(RATE_D1*$A1031,0))))</f>
        <v/>
      </c>
    </row>
    <row r="1032" ht="15.75" customHeight="1" s="7635">
      <c r="A1032" s="625">
        <f>AVERAGE(B1032,C1032)</f>
        <v/>
      </c>
      <c r="B1032" s="555" t="n">
        <v>48400</v>
      </c>
      <c r="C1032" s="555" t="n">
        <v>48450</v>
      </c>
      <c r="D1032" s="556">
        <f>IF($A1032&gt;BOTT_A4,ROUND(BASE_A4+RATE_A4*($A1032-BOTT_A4),0),IF($A1032&gt;BOTT_A3,ROUND(BASE_A3+RATE_A3*($A1032-BOTT_A3),0),IF($A1032&gt;BOTT_A2,ROUND(BASE_A2+RATE_A2*($A1032-BOTT_A2),0),ROUND(RATE_A1*$A1032,0))))</f>
        <v/>
      </c>
      <c r="E1032" s="556">
        <f>IF($A1032&gt;BOTT_B4,ROUND(BASE_B4+RATE_B4*($A1032-BOTT_B4),0),IF($A1032&gt;BOTT_B3,ROUND(BASE_B3+RATE_B3*($A1032-BOTT_B3),0),IF($A1032&gt;BOTT_B2,ROUND(BASE_B2+RATE_B2*($A1032-BOTT_B2),0),ROUND(RATE_B1*$A1032,0))))</f>
        <v/>
      </c>
      <c r="F1032" s="556">
        <f>IF($A1032&gt;BOTT_C4,ROUND(BASE_C4+RATE_C4*($A1032-BOTT_C4),0),IF($A1032&gt;BOTT_C3,ROUND(BASE_C3+RATE_C3*($A1032-BOTT_C3),0),IF($A1032&gt;BOTT_C2,ROUND(BASE_C2+RATE_C2*($A1032-BOTT_C2),0),ROUND(RATE_C1*$A1032,0))))</f>
        <v/>
      </c>
      <c r="G1032" s="556">
        <f>IF($A1032&gt;BOTT_D4,ROUND(BASE_D4+RATE_D4*($A1032-BOTT_D4),0),IF($A1032&gt;BOTT_D3,ROUND(BASE_D3+RATE_D3*($A1032-BOTT_D3),0),IF($A1032&gt;BOTT_D2,ROUND(BASE_D2+RATE_D2*($A1032-BOTT_D2),0),ROUND(RATE_D1*$A1032,0))))</f>
        <v/>
      </c>
    </row>
    <row r="1033" ht="15.75" customHeight="1" s="7635">
      <c r="A1033" s="625">
        <f>AVERAGE(B1033,C1033)</f>
        <v/>
      </c>
      <c r="B1033" s="555" t="n">
        <v>48450</v>
      </c>
      <c r="C1033" s="555" t="n">
        <v>48500</v>
      </c>
      <c r="D1033" s="556">
        <f>IF($A1033&gt;BOTT_A4,ROUND(BASE_A4+RATE_A4*($A1033-BOTT_A4),0),IF($A1033&gt;BOTT_A3,ROUND(BASE_A3+RATE_A3*($A1033-BOTT_A3),0),IF($A1033&gt;BOTT_A2,ROUND(BASE_A2+RATE_A2*($A1033-BOTT_A2),0),ROUND(RATE_A1*$A1033,0))))</f>
        <v/>
      </c>
      <c r="E1033" s="556">
        <f>IF($A1033&gt;BOTT_B4,ROUND(BASE_B4+RATE_B4*($A1033-BOTT_B4),0),IF($A1033&gt;BOTT_B3,ROUND(BASE_B3+RATE_B3*($A1033-BOTT_B3),0),IF($A1033&gt;BOTT_B2,ROUND(BASE_B2+RATE_B2*($A1033-BOTT_B2),0),ROUND(RATE_B1*$A1033,0))))</f>
        <v/>
      </c>
      <c r="F1033" s="556">
        <f>IF($A1033&gt;BOTT_C4,ROUND(BASE_C4+RATE_C4*($A1033-BOTT_C4),0),IF($A1033&gt;BOTT_C3,ROUND(BASE_C3+RATE_C3*($A1033-BOTT_C3),0),IF($A1033&gt;BOTT_C2,ROUND(BASE_C2+RATE_C2*($A1033-BOTT_C2),0),ROUND(RATE_C1*$A1033,0))))</f>
        <v/>
      </c>
      <c r="G1033" s="556">
        <f>IF($A1033&gt;BOTT_D4,ROUND(BASE_D4+RATE_D4*($A1033-BOTT_D4),0),IF($A1033&gt;BOTT_D3,ROUND(BASE_D3+RATE_D3*($A1033-BOTT_D3),0),IF($A1033&gt;BOTT_D2,ROUND(BASE_D2+RATE_D2*($A1033-BOTT_D2),0),ROUND(RATE_D1*$A1033,0))))</f>
        <v/>
      </c>
    </row>
    <row r="1034" ht="15.75" customHeight="1" s="7635">
      <c r="A1034" s="625">
        <f>AVERAGE(B1034,C1034)</f>
        <v/>
      </c>
      <c r="B1034" s="555" t="n">
        <v>48500</v>
      </c>
      <c r="C1034" s="555" t="n">
        <v>48550</v>
      </c>
      <c r="D1034" s="556">
        <f>IF($A1034&gt;BOTT_A4,ROUND(BASE_A4+RATE_A4*($A1034-BOTT_A4),0),IF($A1034&gt;BOTT_A3,ROUND(BASE_A3+RATE_A3*($A1034-BOTT_A3),0),IF($A1034&gt;BOTT_A2,ROUND(BASE_A2+RATE_A2*($A1034-BOTT_A2),0),ROUND(RATE_A1*$A1034,0))))</f>
        <v/>
      </c>
      <c r="E1034" s="556">
        <f>IF($A1034&gt;BOTT_B4,ROUND(BASE_B4+RATE_B4*($A1034-BOTT_B4),0),IF($A1034&gt;BOTT_B3,ROUND(BASE_B3+RATE_B3*($A1034-BOTT_B3),0),IF($A1034&gt;BOTT_B2,ROUND(BASE_B2+RATE_B2*($A1034-BOTT_B2),0),ROUND(RATE_B1*$A1034,0))))</f>
        <v/>
      </c>
      <c r="F1034" s="556">
        <f>IF($A1034&gt;BOTT_C4,ROUND(BASE_C4+RATE_C4*($A1034-BOTT_C4),0),IF($A1034&gt;BOTT_C3,ROUND(BASE_C3+RATE_C3*($A1034-BOTT_C3),0),IF($A1034&gt;BOTT_C2,ROUND(BASE_C2+RATE_C2*($A1034-BOTT_C2),0),ROUND(RATE_C1*$A1034,0))))</f>
        <v/>
      </c>
      <c r="G1034" s="556">
        <f>IF($A1034&gt;BOTT_D4,ROUND(BASE_D4+RATE_D4*($A1034-BOTT_D4),0),IF($A1034&gt;BOTT_D3,ROUND(BASE_D3+RATE_D3*($A1034-BOTT_D3),0),IF($A1034&gt;BOTT_D2,ROUND(BASE_D2+RATE_D2*($A1034-BOTT_D2),0),ROUND(RATE_D1*$A1034,0))))</f>
        <v/>
      </c>
    </row>
    <row r="1035" ht="15.75" customHeight="1" s="7635">
      <c r="A1035" s="625">
        <f>AVERAGE(B1035,C1035)</f>
        <v/>
      </c>
      <c r="B1035" s="555" t="n">
        <v>48550</v>
      </c>
      <c r="C1035" s="555" t="n">
        <v>48600</v>
      </c>
      <c r="D1035" s="556">
        <f>IF($A1035&gt;BOTT_A4,ROUND(BASE_A4+RATE_A4*($A1035-BOTT_A4),0),IF($A1035&gt;BOTT_A3,ROUND(BASE_A3+RATE_A3*($A1035-BOTT_A3),0),IF($A1035&gt;BOTT_A2,ROUND(BASE_A2+RATE_A2*($A1035-BOTT_A2),0),ROUND(RATE_A1*$A1035,0))))</f>
        <v/>
      </c>
      <c r="E1035" s="556">
        <f>IF($A1035&gt;BOTT_B4,ROUND(BASE_B4+RATE_B4*($A1035-BOTT_B4),0),IF($A1035&gt;BOTT_B3,ROUND(BASE_B3+RATE_B3*($A1035-BOTT_B3),0),IF($A1035&gt;BOTT_B2,ROUND(BASE_B2+RATE_B2*($A1035-BOTT_B2),0),ROUND(RATE_B1*$A1035,0))))</f>
        <v/>
      </c>
      <c r="F1035" s="556">
        <f>IF($A1035&gt;BOTT_C4,ROUND(BASE_C4+RATE_C4*($A1035-BOTT_C4),0),IF($A1035&gt;BOTT_C3,ROUND(BASE_C3+RATE_C3*($A1035-BOTT_C3),0),IF($A1035&gt;BOTT_C2,ROUND(BASE_C2+RATE_C2*($A1035-BOTT_C2),0),ROUND(RATE_C1*$A1035,0))))</f>
        <v/>
      </c>
      <c r="G1035" s="556">
        <f>IF($A1035&gt;BOTT_D4,ROUND(BASE_D4+RATE_D4*($A1035-BOTT_D4),0),IF($A1035&gt;BOTT_D3,ROUND(BASE_D3+RATE_D3*($A1035-BOTT_D3),0),IF($A1035&gt;BOTT_D2,ROUND(BASE_D2+RATE_D2*($A1035-BOTT_D2),0),ROUND(RATE_D1*$A1035,0))))</f>
        <v/>
      </c>
    </row>
    <row r="1036" ht="15.75" customHeight="1" s="7635">
      <c r="A1036" s="625">
        <f>AVERAGE(B1036,C1036)</f>
        <v/>
      </c>
      <c r="B1036" s="555" t="n">
        <v>48600</v>
      </c>
      <c r="C1036" s="555" t="n">
        <v>48650</v>
      </c>
      <c r="D1036" s="556">
        <f>IF($A1036&gt;BOTT_A4,ROUND(BASE_A4+RATE_A4*($A1036-BOTT_A4),0),IF($A1036&gt;BOTT_A3,ROUND(BASE_A3+RATE_A3*($A1036-BOTT_A3),0),IF($A1036&gt;BOTT_A2,ROUND(BASE_A2+RATE_A2*($A1036-BOTT_A2),0),ROUND(RATE_A1*$A1036,0))))</f>
        <v/>
      </c>
      <c r="E1036" s="556">
        <f>IF($A1036&gt;BOTT_B4,ROUND(BASE_B4+RATE_B4*($A1036-BOTT_B4),0),IF($A1036&gt;BOTT_B3,ROUND(BASE_B3+RATE_B3*($A1036-BOTT_B3),0),IF($A1036&gt;BOTT_B2,ROUND(BASE_B2+RATE_B2*($A1036-BOTT_B2),0),ROUND(RATE_B1*$A1036,0))))</f>
        <v/>
      </c>
      <c r="F1036" s="556">
        <f>IF($A1036&gt;BOTT_C4,ROUND(BASE_C4+RATE_C4*($A1036-BOTT_C4),0),IF($A1036&gt;BOTT_C3,ROUND(BASE_C3+RATE_C3*($A1036-BOTT_C3),0),IF($A1036&gt;BOTT_C2,ROUND(BASE_C2+RATE_C2*($A1036-BOTT_C2),0),ROUND(RATE_C1*$A1036,0))))</f>
        <v/>
      </c>
      <c r="G1036" s="556">
        <f>IF($A1036&gt;BOTT_D4,ROUND(BASE_D4+RATE_D4*($A1036-BOTT_D4),0),IF($A1036&gt;BOTT_D3,ROUND(BASE_D3+RATE_D3*($A1036-BOTT_D3),0),IF($A1036&gt;BOTT_D2,ROUND(BASE_D2+RATE_D2*($A1036-BOTT_D2),0),ROUND(RATE_D1*$A1036,0))))</f>
        <v/>
      </c>
    </row>
    <row r="1037" ht="15.75" customHeight="1" s="7635">
      <c r="A1037" s="625">
        <f>AVERAGE(B1037,C1037)</f>
        <v/>
      </c>
      <c r="B1037" s="555" t="n">
        <v>48650</v>
      </c>
      <c r="C1037" s="555" t="n">
        <v>48700</v>
      </c>
      <c r="D1037" s="556">
        <f>IF($A1037&gt;BOTT_A4,ROUND(BASE_A4+RATE_A4*($A1037-BOTT_A4),0),IF($A1037&gt;BOTT_A3,ROUND(BASE_A3+RATE_A3*($A1037-BOTT_A3),0),IF($A1037&gt;BOTT_A2,ROUND(BASE_A2+RATE_A2*($A1037-BOTT_A2),0),ROUND(RATE_A1*$A1037,0))))</f>
        <v/>
      </c>
      <c r="E1037" s="556">
        <f>IF($A1037&gt;BOTT_B4,ROUND(BASE_B4+RATE_B4*($A1037-BOTT_B4),0),IF($A1037&gt;BOTT_B3,ROUND(BASE_B3+RATE_B3*($A1037-BOTT_B3),0),IF($A1037&gt;BOTT_B2,ROUND(BASE_B2+RATE_B2*($A1037-BOTT_B2),0),ROUND(RATE_B1*$A1037,0))))</f>
        <v/>
      </c>
      <c r="F1037" s="556">
        <f>IF($A1037&gt;BOTT_C4,ROUND(BASE_C4+RATE_C4*($A1037-BOTT_C4),0),IF($A1037&gt;BOTT_C3,ROUND(BASE_C3+RATE_C3*($A1037-BOTT_C3),0),IF($A1037&gt;BOTT_C2,ROUND(BASE_C2+RATE_C2*($A1037-BOTT_C2),0),ROUND(RATE_C1*$A1037,0))))</f>
        <v/>
      </c>
      <c r="G1037" s="556">
        <f>IF($A1037&gt;BOTT_D4,ROUND(BASE_D4+RATE_D4*($A1037-BOTT_D4),0),IF($A1037&gt;BOTT_D3,ROUND(BASE_D3+RATE_D3*($A1037-BOTT_D3),0),IF($A1037&gt;BOTT_D2,ROUND(BASE_D2+RATE_D2*($A1037-BOTT_D2),0),ROUND(RATE_D1*$A1037,0))))</f>
        <v/>
      </c>
    </row>
    <row r="1038" ht="15.75" customHeight="1" s="7635">
      <c r="A1038" s="625">
        <f>AVERAGE(B1038,C1038)</f>
        <v/>
      </c>
      <c r="B1038" s="555" t="n">
        <v>48700</v>
      </c>
      <c r="C1038" s="555" t="n">
        <v>48750</v>
      </c>
      <c r="D1038" s="556">
        <f>IF($A1038&gt;BOTT_A4,ROUND(BASE_A4+RATE_A4*($A1038-BOTT_A4),0),IF($A1038&gt;BOTT_A3,ROUND(BASE_A3+RATE_A3*($A1038-BOTT_A3),0),IF($A1038&gt;BOTT_A2,ROUND(BASE_A2+RATE_A2*($A1038-BOTT_A2),0),ROUND(RATE_A1*$A1038,0))))</f>
        <v/>
      </c>
      <c r="E1038" s="556">
        <f>IF($A1038&gt;BOTT_B4,ROUND(BASE_B4+RATE_B4*($A1038-BOTT_B4),0),IF($A1038&gt;BOTT_B3,ROUND(BASE_B3+RATE_B3*($A1038-BOTT_B3),0),IF($A1038&gt;BOTT_B2,ROUND(BASE_B2+RATE_B2*($A1038-BOTT_B2),0),ROUND(RATE_B1*$A1038,0))))</f>
        <v/>
      </c>
      <c r="F1038" s="556">
        <f>IF($A1038&gt;BOTT_C4,ROUND(BASE_C4+RATE_C4*($A1038-BOTT_C4),0),IF($A1038&gt;BOTT_C3,ROUND(BASE_C3+RATE_C3*($A1038-BOTT_C3),0),IF($A1038&gt;BOTT_C2,ROUND(BASE_C2+RATE_C2*($A1038-BOTT_C2),0),ROUND(RATE_C1*$A1038,0))))</f>
        <v/>
      </c>
      <c r="G1038" s="556">
        <f>IF($A1038&gt;BOTT_D4,ROUND(BASE_D4+RATE_D4*($A1038-BOTT_D4),0),IF($A1038&gt;BOTT_D3,ROUND(BASE_D3+RATE_D3*($A1038-BOTT_D3),0),IF($A1038&gt;BOTT_D2,ROUND(BASE_D2+RATE_D2*($A1038-BOTT_D2),0),ROUND(RATE_D1*$A1038,0))))</f>
        <v/>
      </c>
    </row>
    <row r="1039" ht="15.75" customHeight="1" s="7635">
      <c r="A1039" s="625">
        <f>AVERAGE(B1039,C1039)</f>
        <v/>
      </c>
      <c r="B1039" s="555" t="n">
        <v>48750</v>
      </c>
      <c r="C1039" s="555" t="n">
        <v>48800</v>
      </c>
      <c r="D1039" s="556">
        <f>IF($A1039&gt;BOTT_A4,ROUND(BASE_A4+RATE_A4*($A1039-BOTT_A4),0),IF($A1039&gt;BOTT_A3,ROUND(BASE_A3+RATE_A3*($A1039-BOTT_A3),0),IF($A1039&gt;BOTT_A2,ROUND(BASE_A2+RATE_A2*($A1039-BOTT_A2),0),ROUND(RATE_A1*$A1039,0))))</f>
        <v/>
      </c>
      <c r="E1039" s="556">
        <f>IF($A1039&gt;BOTT_B4,ROUND(BASE_B4+RATE_B4*($A1039-BOTT_B4),0),IF($A1039&gt;BOTT_B3,ROUND(BASE_B3+RATE_B3*($A1039-BOTT_B3),0),IF($A1039&gt;BOTT_B2,ROUND(BASE_B2+RATE_B2*($A1039-BOTT_B2),0),ROUND(RATE_B1*$A1039,0))))</f>
        <v/>
      </c>
      <c r="F1039" s="556">
        <f>IF($A1039&gt;BOTT_C4,ROUND(BASE_C4+RATE_C4*($A1039-BOTT_C4),0),IF($A1039&gt;BOTT_C3,ROUND(BASE_C3+RATE_C3*($A1039-BOTT_C3),0),IF($A1039&gt;BOTT_C2,ROUND(BASE_C2+RATE_C2*($A1039-BOTT_C2),0),ROUND(RATE_C1*$A1039,0))))</f>
        <v/>
      </c>
      <c r="G1039" s="556">
        <f>IF($A1039&gt;BOTT_D4,ROUND(BASE_D4+RATE_D4*($A1039-BOTT_D4),0),IF($A1039&gt;BOTT_D3,ROUND(BASE_D3+RATE_D3*($A1039-BOTT_D3),0),IF($A1039&gt;BOTT_D2,ROUND(BASE_D2+RATE_D2*($A1039-BOTT_D2),0),ROUND(RATE_D1*$A1039,0))))</f>
        <v/>
      </c>
    </row>
    <row r="1040" ht="15.75" customHeight="1" s="7635">
      <c r="A1040" s="625">
        <f>AVERAGE(B1040,C1040)</f>
        <v/>
      </c>
      <c r="B1040" s="555" t="n">
        <v>48800</v>
      </c>
      <c r="C1040" s="555" t="n">
        <v>48850</v>
      </c>
      <c r="D1040" s="556">
        <f>IF($A1040&gt;BOTT_A4,ROUND(BASE_A4+RATE_A4*($A1040-BOTT_A4),0),IF($A1040&gt;BOTT_A3,ROUND(BASE_A3+RATE_A3*($A1040-BOTT_A3),0),IF($A1040&gt;BOTT_A2,ROUND(BASE_A2+RATE_A2*($A1040-BOTT_A2),0),ROUND(RATE_A1*$A1040,0))))</f>
        <v/>
      </c>
      <c r="E1040" s="556">
        <f>IF($A1040&gt;BOTT_B4,ROUND(BASE_B4+RATE_B4*($A1040-BOTT_B4),0),IF($A1040&gt;BOTT_B3,ROUND(BASE_B3+RATE_B3*($A1040-BOTT_B3),0),IF($A1040&gt;BOTT_B2,ROUND(BASE_B2+RATE_B2*($A1040-BOTT_B2),0),ROUND(RATE_B1*$A1040,0))))</f>
        <v/>
      </c>
      <c r="F1040" s="556">
        <f>IF($A1040&gt;BOTT_C4,ROUND(BASE_C4+RATE_C4*($A1040-BOTT_C4),0),IF($A1040&gt;BOTT_C3,ROUND(BASE_C3+RATE_C3*($A1040-BOTT_C3),0),IF($A1040&gt;BOTT_C2,ROUND(BASE_C2+RATE_C2*($A1040-BOTT_C2),0),ROUND(RATE_C1*$A1040,0))))</f>
        <v/>
      </c>
      <c r="G1040" s="556">
        <f>IF($A1040&gt;BOTT_D4,ROUND(BASE_D4+RATE_D4*($A1040-BOTT_D4),0),IF($A1040&gt;BOTT_D3,ROUND(BASE_D3+RATE_D3*($A1040-BOTT_D3),0),IF($A1040&gt;BOTT_D2,ROUND(BASE_D2+RATE_D2*($A1040-BOTT_D2),0),ROUND(RATE_D1*$A1040,0))))</f>
        <v/>
      </c>
    </row>
    <row r="1041" ht="15.75" customHeight="1" s="7635">
      <c r="A1041" s="625">
        <f>AVERAGE(B1041,C1041)</f>
        <v/>
      </c>
      <c r="B1041" s="555" t="n">
        <v>48850</v>
      </c>
      <c r="C1041" s="555" t="n">
        <v>48900</v>
      </c>
      <c r="D1041" s="556">
        <f>IF($A1041&gt;BOTT_A4,ROUND(BASE_A4+RATE_A4*($A1041-BOTT_A4),0),IF($A1041&gt;BOTT_A3,ROUND(BASE_A3+RATE_A3*($A1041-BOTT_A3),0),IF($A1041&gt;BOTT_A2,ROUND(BASE_A2+RATE_A2*($A1041-BOTT_A2),0),ROUND(RATE_A1*$A1041,0))))</f>
        <v/>
      </c>
      <c r="E1041" s="556">
        <f>IF($A1041&gt;BOTT_B4,ROUND(BASE_B4+RATE_B4*($A1041-BOTT_B4),0),IF($A1041&gt;BOTT_B3,ROUND(BASE_B3+RATE_B3*($A1041-BOTT_B3),0),IF($A1041&gt;BOTT_B2,ROUND(BASE_B2+RATE_B2*($A1041-BOTT_B2),0),ROUND(RATE_B1*$A1041,0))))</f>
        <v/>
      </c>
      <c r="F1041" s="556">
        <f>IF($A1041&gt;BOTT_C4,ROUND(BASE_C4+RATE_C4*($A1041-BOTT_C4),0),IF($A1041&gt;BOTT_C3,ROUND(BASE_C3+RATE_C3*($A1041-BOTT_C3),0),IF($A1041&gt;BOTT_C2,ROUND(BASE_C2+RATE_C2*($A1041-BOTT_C2),0),ROUND(RATE_C1*$A1041,0))))</f>
        <v/>
      </c>
      <c r="G1041" s="556">
        <f>IF($A1041&gt;BOTT_D4,ROUND(BASE_D4+RATE_D4*($A1041-BOTT_D4),0),IF($A1041&gt;BOTT_D3,ROUND(BASE_D3+RATE_D3*($A1041-BOTT_D3),0),IF($A1041&gt;BOTT_D2,ROUND(BASE_D2+RATE_D2*($A1041-BOTT_D2),0),ROUND(RATE_D1*$A1041,0))))</f>
        <v/>
      </c>
    </row>
    <row r="1042" ht="15.75" customHeight="1" s="7635">
      <c r="A1042" s="625">
        <f>AVERAGE(B1042,C1042)</f>
        <v/>
      </c>
      <c r="B1042" s="555" t="n">
        <v>48900</v>
      </c>
      <c r="C1042" s="555" t="n">
        <v>48950</v>
      </c>
      <c r="D1042" s="556">
        <f>IF($A1042&gt;BOTT_A4,ROUND(BASE_A4+RATE_A4*($A1042-BOTT_A4),0),IF($A1042&gt;BOTT_A3,ROUND(BASE_A3+RATE_A3*($A1042-BOTT_A3),0),IF($A1042&gt;BOTT_A2,ROUND(BASE_A2+RATE_A2*($A1042-BOTT_A2),0),ROUND(RATE_A1*$A1042,0))))</f>
        <v/>
      </c>
      <c r="E1042" s="556">
        <f>IF($A1042&gt;BOTT_B4,ROUND(BASE_B4+RATE_B4*($A1042-BOTT_B4),0),IF($A1042&gt;BOTT_B3,ROUND(BASE_B3+RATE_B3*($A1042-BOTT_B3),0),IF($A1042&gt;BOTT_B2,ROUND(BASE_B2+RATE_B2*($A1042-BOTT_B2),0),ROUND(RATE_B1*$A1042,0))))</f>
        <v/>
      </c>
      <c r="F1042" s="556">
        <f>IF($A1042&gt;BOTT_C4,ROUND(BASE_C4+RATE_C4*($A1042-BOTT_C4),0),IF($A1042&gt;BOTT_C3,ROUND(BASE_C3+RATE_C3*($A1042-BOTT_C3),0),IF($A1042&gt;BOTT_C2,ROUND(BASE_C2+RATE_C2*($A1042-BOTT_C2),0),ROUND(RATE_C1*$A1042,0))))</f>
        <v/>
      </c>
      <c r="G1042" s="556">
        <f>IF($A1042&gt;BOTT_D4,ROUND(BASE_D4+RATE_D4*($A1042-BOTT_D4),0),IF($A1042&gt;BOTT_D3,ROUND(BASE_D3+RATE_D3*($A1042-BOTT_D3),0),IF($A1042&gt;BOTT_D2,ROUND(BASE_D2+RATE_D2*($A1042-BOTT_D2),0),ROUND(RATE_D1*$A1042,0))))</f>
        <v/>
      </c>
    </row>
    <row r="1043" ht="15.75" customHeight="1" s="7635">
      <c r="A1043" s="625">
        <f>AVERAGE(B1043,C1043)</f>
        <v/>
      </c>
      <c r="B1043" s="555" t="n">
        <v>48950</v>
      </c>
      <c r="C1043" s="555" t="n">
        <v>49000</v>
      </c>
      <c r="D1043" s="556">
        <f>IF($A1043&gt;BOTT_A4,ROUND(BASE_A4+RATE_A4*($A1043-BOTT_A4),0),IF($A1043&gt;BOTT_A3,ROUND(BASE_A3+RATE_A3*($A1043-BOTT_A3),0),IF($A1043&gt;BOTT_A2,ROUND(BASE_A2+RATE_A2*($A1043-BOTT_A2),0),ROUND(RATE_A1*$A1043,0))))</f>
        <v/>
      </c>
      <c r="E1043" s="556">
        <f>IF($A1043&gt;BOTT_B4,ROUND(BASE_B4+RATE_B4*($A1043-BOTT_B4),0),IF($A1043&gt;BOTT_B3,ROUND(BASE_B3+RATE_B3*($A1043-BOTT_B3),0),IF($A1043&gt;BOTT_B2,ROUND(BASE_B2+RATE_B2*($A1043-BOTT_B2),0),ROUND(RATE_B1*$A1043,0))))</f>
        <v/>
      </c>
      <c r="F1043" s="556">
        <f>IF($A1043&gt;BOTT_C4,ROUND(BASE_C4+RATE_C4*($A1043-BOTT_C4),0),IF($A1043&gt;BOTT_C3,ROUND(BASE_C3+RATE_C3*($A1043-BOTT_C3),0),IF($A1043&gt;BOTT_C2,ROUND(BASE_C2+RATE_C2*($A1043-BOTT_C2),0),ROUND(RATE_C1*$A1043,0))))</f>
        <v/>
      </c>
      <c r="G1043" s="556">
        <f>IF($A1043&gt;BOTT_D4,ROUND(BASE_D4+RATE_D4*($A1043-BOTT_D4),0),IF($A1043&gt;BOTT_D3,ROUND(BASE_D3+RATE_D3*($A1043-BOTT_D3),0),IF($A1043&gt;BOTT_D2,ROUND(BASE_D2+RATE_D2*($A1043-BOTT_D2),0),ROUND(RATE_D1*$A1043,0))))</f>
        <v/>
      </c>
    </row>
    <row r="1044" ht="15.75" customHeight="1" s="7635">
      <c r="A1044" s="625">
        <f>AVERAGE(B1044,C1044)</f>
        <v/>
      </c>
      <c r="B1044" s="555" t="n">
        <v>49000</v>
      </c>
      <c r="C1044" s="555" t="n">
        <v>49050</v>
      </c>
      <c r="D1044" s="556">
        <f>IF($A1044&gt;BOTT_A4,ROUND(BASE_A4+RATE_A4*($A1044-BOTT_A4),0),IF($A1044&gt;BOTT_A3,ROUND(BASE_A3+RATE_A3*($A1044-BOTT_A3),0),IF($A1044&gt;BOTT_A2,ROUND(BASE_A2+RATE_A2*($A1044-BOTT_A2),0),ROUND(RATE_A1*$A1044,0))))</f>
        <v/>
      </c>
      <c r="E1044" s="556">
        <f>IF($A1044&gt;BOTT_B4,ROUND(BASE_B4+RATE_B4*($A1044-BOTT_B4),0),IF($A1044&gt;BOTT_B3,ROUND(BASE_B3+RATE_B3*($A1044-BOTT_B3),0),IF($A1044&gt;BOTT_B2,ROUND(BASE_B2+RATE_B2*($A1044-BOTT_B2),0),ROUND(RATE_B1*$A1044,0))))</f>
        <v/>
      </c>
      <c r="F1044" s="556">
        <f>IF($A1044&gt;BOTT_C4,ROUND(BASE_C4+RATE_C4*($A1044-BOTT_C4),0),IF($A1044&gt;BOTT_C3,ROUND(BASE_C3+RATE_C3*($A1044-BOTT_C3),0),IF($A1044&gt;BOTT_C2,ROUND(BASE_C2+RATE_C2*($A1044-BOTT_C2),0),ROUND(RATE_C1*$A1044,0))))</f>
        <v/>
      </c>
      <c r="G1044" s="556">
        <f>IF($A1044&gt;BOTT_D4,ROUND(BASE_D4+RATE_D4*($A1044-BOTT_D4),0),IF($A1044&gt;BOTT_D3,ROUND(BASE_D3+RATE_D3*($A1044-BOTT_D3),0),IF($A1044&gt;BOTT_D2,ROUND(BASE_D2+RATE_D2*($A1044-BOTT_D2),0),ROUND(RATE_D1*$A1044,0))))</f>
        <v/>
      </c>
    </row>
    <row r="1045" ht="15.75" customHeight="1" s="7635">
      <c r="A1045" s="625">
        <f>AVERAGE(B1045,C1045)</f>
        <v/>
      </c>
      <c r="B1045" s="555" t="n">
        <v>49050</v>
      </c>
      <c r="C1045" s="555" t="n">
        <v>49100</v>
      </c>
      <c r="D1045" s="556">
        <f>IF($A1045&gt;BOTT_A4,ROUND(BASE_A4+RATE_A4*($A1045-BOTT_A4),0),IF($A1045&gt;BOTT_A3,ROUND(BASE_A3+RATE_A3*($A1045-BOTT_A3),0),IF($A1045&gt;BOTT_A2,ROUND(BASE_A2+RATE_A2*($A1045-BOTT_A2),0),ROUND(RATE_A1*$A1045,0))))</f>
        <v/>
      </c>
      <c r="E1045" s="556">
        <f>IF($A1045&gt;BOTT_B4,ROUND(BASE_B4+RATE_B4*($A1045-BOTT_B4),0),IF($A1045&gt;BOTT_B3,ROUND(BASE_B3+RATE_B3*($A1045-BOTT_B3),0),IF($A1045&gt;BOTT_B2,ROUND(BASE_B2+RATE_B2*($A1045-BOTT_B2),0),ROUND(RATE_B1*$A1045,0))))</f>
        <v/>
      </c>
      <c r="F1045" s="556">
        <f>IF($A1045&gt;BOTT_C4,ROUND(BASE_C4+RATE_C4*($A1045-BOTT_C4),0),IF($A1045&gt;BOTT_C3,ROUND(BASE_C3+RATE_C3*($A1045-BOTT_C3),0),IF($A1045&gt;BOTT_C2,ROUND(BASE_C2+RATE_C2*($A1045-BOTT_C2),0),ROUND(RATE_C1*$A1045,0))))</f>
        <v/>
      </c>
      <c r="G1045" s="556">
        <f>IF($A1045&gt;BOTT_D4,ROUND(BASE_D4+RATE_D4*($A1045-BOTT_D4),0),IF($A1045&gt;BOTT_D3,ROUND(BASE_D3+RATE_D3*($A1045-BOTT_D3),0),IF($A1045&gt;BOTT_D2,ROUND(BASE_D2+RATE_D2*($A1045-BOTT_D2),0),ROUND(RATE_D1*$A1045,0))))</f>
        <v/>
      </c>
    </row>
    <row r="1046" ht="15.75" customHeight="1" s="7635">
      <c r="A1046" s="625">
        <f>AVERAGE(B1046,C1046)</f>
        <v/>
      </c>
      <c r="B1046" s="555" t="n">
        <v>49100</v>
      </c>
      <c r="C1046" s="555" t="n">
        <v>49150</v>
      </c>
      <c r="D1046" s="556">
        <f>IF($A1046&gt;BOTT_A4,ROUND(BASE_A4+RATE_A4*($A1046-BOTT_A4),0),IF($A1046&gt;BOTT_A3,ROUND(BASE_A3+RATE_A3*($A1046-BOTT_A3),0),IF($A1046&gt;BOTT_A2,ROUND(BASE_A2+RATE_A2*($A1046-BOTT_A2),0),ROUND(RATE_A1*$A1046,0))))</f>
        <v/>
      </c>
      <c r="E1046" s="556">
        <f>IF($A1046&gt;BOTT_B4,ROUND(BASE_B4+RATE_B4*($A1046-BOTT_B4),0),IF($A1046&gt;BOTT_B3,ROUND(BASE_B3+RATE_B3*($A1046-BOTT_B3),0),IF($A1046&gt;BOTT_B2,ROUND(BASE_B2+RATE_B2*($A1046-BOTT_B2),0),ROUND(RATE_B1*$A1046,0))))</f>
        <v/>
      </c>
      <c r="F1046" s="556">
        <f>IF($A1046&gt;BOTT_C4,ROUND(BASE_C4+RATE_C4*($A1046-BOTT_C4),0),IF($A1046&gt;BOTT_C3,ROUND(BASE_C3+RATE_C3*($A1046-BOTT_C3),0),IF($A1046&gt;BOTT_C2,ROUND(BASE_C2+RATE_C2*($A1046-BOTT_C2),0),ROUND(RATE_C1*$A1046,0))))</f>
        <v/>
      </c>
      <c r="G1046" s="556">
        <f>IF($A1046&gt;BOTT_D4,ROUND(BASE_D4+RATE_D4*($A1046-BOTT_D4),0),IF($A1046&gt;BOTT_D3,ROUND(BASE_D3+RATE_D3*($A1046-BOTT_D3),0),IF($A1046&gt;BOTT_D2,ROUND(BASE_D2+RATE_D2*($A1046-BOTT_D2),0),ROUND(RATE_D1*$A1046,0))))</f>
        <v/>
      </c>
    </row>
    <row r="1047" ht="15.75" customHeight="1" s="7635">
      <c r="A1047" s="625">
        <f>AVERAGE(B1047,C1047)</f>
        <v/>
      </c>
      <c r="B1047" s="555" t="n">
        <v>49150</v>
      </c>
      <c r="C1047" s="555" t="n">
        <v>49200</v>
      </c>
      <c r="D1047" s="556">
        <f>IF($A1047&gt;BOTT_A4,ROUND(BASE_A4+RATE_A4*($A1047-BOTT_A4),0),IF($A1047&gt;BOTT_A3,ROUND(BASE_A3+RATE_A3*($A1047-BOTT_A3),0),IF($A1047&gt;BOTT_A2,ROUND(BASE_A2+RATE_A2*($A1047-BOTT_A2),0),ROUND(RATE_A1*$A1047,0))))</f>
        <v/>
      </c>
      <c r="E1047" s="556">
        <f>IF($A1047&gt;BOTT_B4,ROUND(BASE_B4+RATE_B4*($A1047-BOTT_B4),0),IF($A1047&gt;BOTT_B3,ROUND(BASE_B3+RATE_B3*($A1047-BOTT_B3),0),IF($A1047&gt;BOTT_B2,ROUND(BASE_B2+RATE_B2*($A1047-BOTT_B2),0),ROUND(RATE_B1*$A1047,0))))</f>
        <v/>
      </c>
      <c r="F1047" s="556">
        <f>IF($A1047&gt;BOTT_C4,ROUND(BASE_C4+RATE_C4*($A1047-BOTT_C4),0),IF($A1047&gt;BOTT_C3,ROUND(BASE_C3+RATE_C3*($A1047-BOTT_C3),0),IF($A1047&gt;BOTT_C2,ROUND(BASE_C2+RATE_C2*($A1047-BOTT_C2),0),ROUND(RATE_C1*$A1047,0))))</f>
        <v/>
      </c>
      <c r="G1047" s="556">
        <f>IF($A1047&gt;BOTT_D4,ROUND(BASE_D4+RATE_D4*($A1047-BOTT_D4),0),IF($A1047&gt;BOTT_D3,ROUND(BASE_D3+RATE_D3*($A1047-BOTT_D3),0),IF($A1047&gt;BOTT_D2,ROUND(BASE_D2+RATE_D2*($A1047-BOTT_D2),0),ROUND(RATE_D1*$A1047,0))))</f>
        <v/>
      </c>
    </row>
    <row r="1048" ht="15.75" customHeight="1" s="7635">
      <c r="A1048" s="625">
        <f>AVERAGE(B1048,C1048)</f>
        <v/>
      </c>
      <c r="B1048" s="555" t="n">
        <v>49200</v>
      </c>
      <c r="C1048" s="555" t="n">
        <v>49250</v>
      </c>
      <c r="D1048" s="556">
        <f>IF($A1048&gt;BOTT_A4,ROUND(BASE_A4+RATE_A4*($A1048-BOTT_A4),0),IF($A1048&gt;BOTT_A3,ROUND(BASE_A3+RATE_A3*($A1048-BOTT_A3),0),IF($A1048&gt;BOTT_A2,ROUND(BASE_A2+RATE_A2*($A1048-BOTT_A2),0),ROUND(RATE_A1*$A1048,0))))</f>
        <v/>
      </c>
      <c r="E1048" s="556">
        <f>IF($A1048&gt;BOTT_B4,ROUND(BASE_B4+RATE_B4*($A1048-BOTT_B4),0),IF($A1048&gt;BOTT_B3,ROUND(BASE_B3+RATE_B3*($A1048-BOTT_B3),0),IF($A1048&gt;BOTT_B2,ROUND(BASE_B2+RATE_B2*($A1048-BOTT_B2),0),ROUND(RATE_B1*$A1048,0))))</f>
        <v/>
      </c>
      <c r="F1048" s="556">
        <f>IF($A1048&gt;BOTT_C4,ROUND(BASE_C4+RATE_C4*($A1048-BOTT_C4),0),IF($A1048&gt;BOTT_C3,ROUND(BASE_C3+RATE_C3*($A1048-BOTT_C3),0),IF($A1048&gt;BOTT_C2,ROUND(BASE_C2+RATE_C2*($A1048-BOTT_C2),0),ROUND(RATE_C1*$A1048,0))))</f>
        <v/>
      </c>
      <c r="G1048" s="556">
        <f>IF($A1048&gt;BOTT_D4,ROUND(BASE_D4+RATE_D4*($A1048-BOTT_D4),0),IF($A1048&gt;BOTT_D3,ROUND(BASE_D3+RATE_D3*($A1048-BOTT_D3),0),IF($A1048&gt;BOTT_D2,ROUND(BASE_D2+RATE_D2*($A1048-BOTT_D2),0),ROUND(RATE_D1*$A1048,0))))</f>
        <v/>
      </c>
    </row>
    <row r="1049" ht="15.75" customHeight="1" s="7635">
      <c r="A1049" s="625">
        <f>AVERAGE(B1049,C1049)</f>
        <v/>
      </c>
      <c r="B1049" s="555" t="n">
        <v>49250</v>
      </c>
      <c r="C1049" s="555" t="n">
        <v>49300</v>
      </c>
      <c r="D1049" s="556">
        <f>IF($A1049&gt;BOTT_A4,ROUND(BASE_A4+RATE_A4*($A1049-BOTT_A4),0),IF($A1049&gt;BOTT_A3,ROUND(BASE_A3+RATE_A3*($A1049-BOTT_A3),0),IF($A1049&gt;BOTT_A2,ROUND(BASE_A2+RATE_A2*($A1049-BOTT_A2),0),ROUND(RATE_A1*$A1049,0))))</f>
        <v/>
      </c>
      <c r="E1049" s="556">
        <f>IF($A1049&gt;BOTT_B4,ROUND(BASE_B4+RATE_B4*($A1049-BOTT_B4),0),IF($A1049&gt;BOTT_B3,ROUND(BASE_B3+RATE_B3*($A1049-BOTT_B3),0),IF($A1049&gt;BOTT_B2,ROUND(BASE_B2+RATE_B2*($A1049-BOTT_B2),0),ROUND(RATE_B1*$A1049,0))))</f>
        <v/>
      </c>
      <c r="F1049" s="556">
        <f>IF($A1049&gt;BOTT_C4,ROUND(BASE_C4+RATE_C4*($A1049-BOTT_C4),0),IF($A1049&gt;BOTT_C3,ROUND(BASE_C3+RATE_C3*($A1049-BOTT_C3),0),IF($A1049&gt;BOTT_C2,ROUND(BASE_C2+RATE_C2*($A1049-BOTT_C2),0),ROUND(RATE_C1*$A1049,0))))</f>
        <v/>
      </c>
      <c r="G1049" s="556">
        <f>IF($A1049&gt;BOTT_D4,ROUND(BASE_D4+RATE_D4*($A1049-BOTT_D4),0),IF($A1049&gt;BOTT_D3,ROUND(BASE_D3+RATE_D3*($A1049-BOTT_D3),0),IF($A1049&gt;BOTT_D2,ROUND(BASE_D2+RATE_D2*($A1049-BOTT_D2),0),ROUND(RATE_D1*$A1049,0))))</f>
        <v/>
      </c>
    </row>
    <row r="1050" ht="15.75" customHeight="1" s="7635">
      <c r="A1050" s="625">
        <f>AVERAGE(B1050,C1050)</f>
        <v/>
      </c>
      <c r="B1050" s="555" t="n">
        <v>49300</v>
      </c>
      <c r="C1050" s="555" t="n">
        <v>49350</v>
      </c>
      <c r="D1050" s="556">
        <f>IF($A1050&gt;BOTT_A4,ROUND(BASE_A4+RATE_A4*($A1050-BOTT_A4),0),IF($A1050&gt;BOTT_A3,ROUND(BASE_A3+RATE_A3*($A1050-BOTT_A3),0),IF($A1050&gt;BOTT_A2,ROUND(BASE_A2+RATE_A2*($A1050-BOTT_A2),0),ROUND(RATE_A1*$A1050,0))))</f>
        <v/>
      </c>
      <c r="E1050" s="556">
        <f>IF($A1050&gt;BOTT_B4,ROUND(BASE_B4+RATE_B4*($A1050-BOTT_B4),0),IF($A1050&gt;BOTT_B3,ROUND(BASE_B3+RATE_B3*($A1050-BOTT_B3),0),IF($A1050&gt;BOTT_B2,ROUND(BASE_B2+RATE_B2*($A1050-BOTT_B2),0),ROUND(RATE_B1*$A1050,0))))</f>
        <v/>
      </c>
      <c r="F1050" s="556">
        <f>IF($A1050&gt;BOTT_C4,ROUND(BASE_C4+RATE_C4*($A1050-BOTT_C4),0),IF($A1050&gt;BOTT_C3,ROUND(BASE_C3+RATE_C3*($A1050-BOTT_C3),0),IF($A1050&gt;BOTT_C2,ROUND(BASE_C2+RATE_C2*($A1050-BOTT_C2),0),ROUND(RATE_C1*$A1050,0))))</f>
        <v/>
      </c>
      <c r="G1050" s="556">
        <f>IF($A1050&gt;BOTT_D4,ROUND(BASE_D4+RATE_D4*($A1050-BOTT_D4),0),IF($A1050&gt;BOTT_D3,ROUND(BASE_D3+RATE_D3*($A1050-BOTT_D3),0),IF($A1050&gt;BOTT_D2,ROUND(BASE_D2+RATE_D2*($A1050-BOTT_D2),0),ROUND(RATE_D1*$A1050,0))))</f>
        <v/>
      </c>
    </row>
    <row r="1051" ht="15.75" customHeight="1" s="7635">
      <c r="A1051" s="625">
        <f>AVERAGE(B1051,C1051)</f>
        <v/>
      </c>
      <c r="B1051" s="555" t="n">
        <v>49350</v>
      </c>
      <c r="C1051" s="555" t="n">
        <v>49400</v>
      </c>
      <c r="D1051" s="556">
        <f>IF($A1051&gt;BOTT_A4,ROUND(BASE_A4+RATE_A4*($A1051-BOTT_A4),0),IF($A1051&gt;BOTT_A3,ROUND(BASE_A3+RATE_A3*($A1051-BOTT_A3),0),IF($A1051&gt;BOTT_A2,ROUND(BASE_A2+RATE_A2*($A1051-BOTT_A2),0),ROUND(RATE_A1*$A1051,0))))</f>
        <v/>
      </c>
      <c r="E1051" s="556">
        <f>IF($A1051&gt;BOTT_B4,ROUND(BASE_B4+RATE_B4*($A1051-BOTT_B4),0),IF($A1051&gt;BOTT_B3,ROUND(BASE_B3+RATE_B3*($A1051-BOTT_B3),0),IF($A1051&gt;BOTT_B2,ROUND(BASE_B2+RATE_B2*($A1051-BOTT_B2),0),ROUND(RATE_B1*$A1051,0))))</f>
        <v/>
      </c>
      <c r="F1051" s="556">
        <f>IF($A1051&gt;BOTT_C4,ROUND(BASE_C4+RATE_C4*($A1051-BOTT_C4),0),IF($A1051&gt;BOTT_C3,ROUND(BASE_C3+RATE_C3*($A1051-BOTT_C3),0),IF($A1051&gt;BOTT_C2,ROUND(BASE_C2+RATE_C2*($A1051-BOTT_C2),0),ROUND(RATE_C1*$A1051,0))))</f>
        <v/>
      </c>
      <c r="G1051" s="556">
        <f>IF($A1051&gt;BOTT_D4,ROUND(BASE_D4+RATE_D4*($A1051-BOTT_D4),0),IF($A1051&gt;BOTT_D3,ROUND(BASE_D3+RATE_D3*($A1051-BOTT_D3),0),IF($A1051&gt;BOTT_D2,ROUND(BASE_D2+RATE_D2*($A1051-BOTT_D2),0),ROUND(RATE_D1*$A1051,0))))</f>
        <v/>
      </c>
    </row>
    <row r="1052" ht="15.75" customHeight="1" s="7635">
      <c r="A1052" s="625">
        <f>AVERAGE(B1052,C1052)</f>
        <v/>
      </c>
      <c r="B1052" s="555" t="n">
        <v>49400</v>
      </c>
      <c r="C1052" s="555" t="n">
        <v>49450</v>
      </c>
      <c r="D1052" s="556">
        <f>IF($A1052&gt;BOTT_A4,ROUND(BASE_A4+RATE_A4*($A1052-BOTT_A4),0),IF($A1052&gt;BOTT_A3,ROUND(BASE_A3+RATE_A3*($A1052-BOTT_A3),0),IF($A1052&gt;BOTT_A2,ROUND(BASE_A2+RATE_A2*($A1052-BOTT_A2),0),ROUND(RATE_A1*$A1052,0))))</f>
        <v/>
      </c>
      <c r="E1052" s="556">
        <f>IF($A1052&gt;BOTT_B4,ROUND(BASE_B4+RATE_B4*($A1052-BOTT_B4),0),IF($A1052&gt;BOTT_B3,ROUND(BASE_B3+RATE_B3*($A1052-BOTT_B3),0),IF($A1052&gt;BOTT_B2,ROUND(BASE_B2+RATE_B2*($A1052-BOTT_B2),0),ROUND(RATE_B1*$A1052,0))))</f>
        <v/>
      </c>
      <c r="F1052" s="556">
        <f>IF($A1052&gt;BOTT_C4,ROUND(BASE_C4+RATE_C4*($A1052-BOTT_C4),0),IF($A1052&gt;BOTT_C3,ROUND(BASE_C3+RATE_C3*($A1052-BOTT_C3),0),IF($A1052&gt;BOTT_C2,ROUND(BASE_C2+RATE_C2*($A1052-BOTT_C2),0),ROUND(RATE_C1*$A1052,0))))</f>
        <v/>
      </c>
      <c r="G1052" s="556">
        <f>IF($A1052&gt;BOTT_D4,ROUND(BASE_D4+RATE_D4*($A1052-BOTT_D4),0),IF($A1052&gt;BOTT_D3,ROUND(BASE_D3+RATE_D3*($A1052-BOTT_D3),0),IF($A1052&gt;BOTT_D2,ROUND(BASE_D2+RATE_D2*($A1052-BOTT_D2),0),ROUND(RATE_D1*$A1052,0))))</f>
        <v/>
      </c>
    </row>
    <row r="1053" ht="15.75" customHeight="1" s="7635">
      <c r="A1053" s="625">
        <f>AVERAGE(B1053,C1053)</f>
        <v/>
      </c>
      <c r="B1053" s="555" t="n">
        <v>49450</v>
      </c>
      <c r="C1053" s="555" t="n">
        <v>49500</v>
      </c>
      <c r="D1053" s="556">
        <f>IF($A1053&gt;BOTT_A4,ROUND(BASE_A4+RATE_A4*($A1053-BOTT_A4),0),IF($A1053&gt;BOTT_A3,ROUND(BASE_A3+RATE_A3*($A1053-BOTT_A3),0),IF($A1053&gt;BOTT_A2,ROUND(BASE_A2+RATE_A2*($A1053-BOTT_A2),0),ROUND(RATE_A1*$A1053,0))))</f>
        <v/>
      </c>
      <c r="E1053" s="556">
        <f>IF($A1053&gt;BOTT_B4,ROUND(BASE_B4+RATE_B4*($A1053-BOTT_B4),0),IF($A1053&gt;BOTT_B3,ROUND(BASE_B3+RATE_B3*($A1053-BOTT_B3),0),IF($A1053&gt;BOTT_B2,ROUND(BASE_B2+RATE_B2*($A1053-BOTT_B2),0),ROUND(RATE_B1*$A1053,0))))</f>
        <v/>
      </c>
      <c r="F1053" s="556">
        <f>IF($A1053&gt;BOTT_C4,ROUND(BASE_C4+RATE_C4*($A1053-BOTT_C4),0),IF($A1053&gt;BOTT_C3,ROUND(BASE_C3+RATE_C3*($A1053-BOTT_C3),0),IF($A1053&gt;BOTT_C2,ROUND(BASE_C2+RATE_C2*($A1053-BOTT_C2),0),ROUND(RATE_C1*$A1053,0))))</f>
        <v/>
      </c>
      <c r="G1053" s="556">
        <f>IF($A1053&gt;BOTT_D4,ROUND(BASE_D4+RATE_D4*($A1053-BOTT_D4),0),IF($A1053&gt;BOTT_D3,ROUND(BASE_D3+RATE_D3*($A1053-BOTT_D3),0),IF($A1053&gt;BOTT_D2,ROUND(BASE_D2+RATE_D2*($A1053-BOTT_D2),0),ROUND(RATE_D1*$A1053,0))))</f>
        <v/>
      </c>
    </row>
    <row r="1054" ht="15.75" customHeight="1" s="7635">
      <c r="A1054" s="625">
        <f>AVERAGE(B1054,C1054)</f>
        <v/>
      </c>
      <c r="B1054" s="555" t="n">
        <v>49500</v>
      </c>
      <c r="C1054" s="555" t="n">
        <v>49550</v>
      </c>
      <c r="D1054" s="556">
        <f>IF($A1054&gt;BOTT_A4,ROUND(BASE_A4+RATE_A4*($A1054-BOTT_A4),0),IF($A1054&gt;BOTT_A3,ROUND(BASE_A3+RATE_A3*($A1054-BOTT_A3),0),IF($A1054&gt;BOTT_A2,ROUND(BASE_A2+RATE_A2*($A1054-BOTT_A2),0),ROUND(RATE_A1*$A1054,0))))</f>
        <v/>
      </c>
      <c r="E1054" s="556">
        <f>IF($A1054&gt;BOTT_B4,ROUND(BASE_B4+RATE_B4*($A1054-BOTT_B4),0),IF($A1054&gt;BOTT_B3,ROUND(BASE_B3+RATE_B3*($A1054-BOTT_B3),0),IF($A1054&gt;BOTT_B2,ROUND(BASE_B2+RATE_B2*($A1054-BOTT_B2),0),ROUND(RATE_B1*$A1054,0))))</f>
        <v/>
      </c>
      <c r="F1054" s="556">
        <f>IF($A1054&gt;BOTT_C4,ROUND(BASE_C4+RATE_C4*($A1054-BOTT_C4),0),IF($A1054&gt;BOTT_C3,ROUND(BASE_C3+RATE_C3*($A1054-BOTT_C3),0),IF($A1054&gt;BOTT_C2,ROUND(BASE_C2+RATE_C2*($A1054-BOTT_C2),0),ROUND(RATE_C1*$A1054,0))))</f>
        <v/>
      </c>
      <c r="G1054" s="556">
        <f>IF($A1054&gt;BOTT_D4,ROUND(BASE_D4+RATE_D4*($A1054-BOTT_D4),0),IF($A1054&gt;BOTT_D3,ROUND(BASE_D3+RATE_D3*($A1054-BOTT_D3),0),IF($A1054&gt;BOTT_D2,ROUND(BASE_D2+RATE_D2*($A1054-BOTT_D2),0),ROUND(RATE_D1*$A1054,0))))</f>
        <v/>
      </c>
    </row>
    <row r="1055" ht="15.75" customHeight="1" s="7635">
      <c r="A1055" s="625">
        <f>AVERAGE(B1055,C1055)</f>
        <v/>
      </c>
      <c r="B1055" s="555" t="n">
        <v>49550</v>
      </c>
      <c r="C1055" s="555" t="n">
        <v>49600</v>
      </c>
      <c r="D1055" s="556">
        <f>IF($A1055&gt;BOTT_A4,ROUND(BASE_A4+RATE_A4*($A1055-BOTT_A4),0),IF($A1055&gt;BOTT_A3,ROUND(BASE_A3+RATE_A3*($A1055-BOTT_A3),0),IF($A1055&gt;BOTT_A2,ROUND(BASE_A2+RATE_A2*($A1055-BOTT_A2),0),ROUND(RATE_A1*$A1055,0))))</f>
        <v/>
      </c>
      <c r="E1055" s="556">
        <f>IF($A1055&gt;BOTT_B4,ROUND(BASE_B4+RATE_B4*($A1055-BOTT_B4),0),IF($A1055&gt;BOTT_B3,ROUND(BASE_B3+RATE_B3*($A1055-BOTT_B3),0),IF($A1055&gt;BOTT_B2,ROUND(BASE_B2+RATE_B2*($A1055-BOTT_B2),0),ROUND(RATE_B1*$A1055,0))))</f>
        <v/>
      </c>
      <c r="F1055" s="556">
        <f>IF($A1055&gt;BOTT_C4,ROUND(BASE_C4+RATE_C4*($A1055-BOTT_C4),0),IF($A1055&gt;BOTT_C3,ROUND(BASE_C3+RATE_C3*($A1055-BOTT_C3),0),IF($A1055&gt;BOTT_C2,ROUND(BASE_C2+RATE_C2*($A1055-BOTT_C2),0),ROUND(RATE_C1*$A1055,0))))</f>
        <v/>
      </c>
      <c r="G1055" s="556">
        <f>IF($A1055&gt;BOTT_D4,ROUND(BASE_D4+RATE_D4*($A1055-BOTT_D4),0),IF($A1055&gt;BOTT_D3,ROUND(BASE_D3+RATE_D3*($A1055-BOTT_D3),0),IF($A1055&gt;BOTT_D2,ROUND(BASE_D2+RATE_D2*($A1055-BOTT_D2),0),ROUND(RATE_D1*$A1055,0))))</f>
        <v/>
      </c>
    </row>
    <row r="1056" ht="15.75" customHeight="1" s="7635">
      <c r="A1056" s="625">
        <f>AVERAGE(B1056,C1056)</f>
        <v/>
      </c>
      <c r="B1056" s="555" t="n">
        <v>49600</v>
      </c>
      <c r="C1056" s="555" t="n">
        <v>49650</v>
      </c>
      <c r="D1056" s="556">
        <f>IF($A1056&gt;BOTT_A4,ROUND(BASE_A4+RATE_A4*($A1056-BOTT_A4),0),IF($A1056&gt;BOTT_A3,ROUND(BASE_A3+RATE_A3*($A1056-BOTT_A3),0),IF($A1056&gt;BOTT_A2,ROUND(BASE_A2+RATE_A2*($A1056-BOTT_A2),0),ROUND(RATE_A1*$A1056,0))))</f>
        <v/>
      </c>
      <c r="E1056" s="556">
        <f>IF($A1056&gt;BOTT_B4,ROUND(BASE_B4+RATE_B4*($A1056-BOTT_B4),0),IF($A1056&gt;BOTT_B3,ROUND(BASE_B3+RATE_B3*($A1056-BOTT_B3),0),IF($A1056&gt;BOTT_B2,ROUND(BASE_B2+RATE_B2*($A1056-BOTT_B2),0),ROUND(RATE_B1*$A1056,0))))</f>
        <v/>
      </c>
      <c r="F1056" s="556">
        <f>IF($A1056&gt;BOTT_C4,ROUND(BASE_C4+RATE_C4*($A1056-BOTT_C4),0),IF($A1056&gt;BOTT_C3,ROUND(BASE_C3+RATE_C3*($A1056-BOTT_C3),0),IF($A1056&gt;BOTT_C2,ROUND(BASE_C2+RATE_C2*($A1056-BOTT_C2),0),ROUND(RATE_C1*$A1056,0))))</f>
        <v/>
      </c>
      <c r="G1056" s="556">
        <f>IF($A1056&gt;BOTT_D4,ROUND(BASE_D4+RATE_D4*($A1056-BOTT_D4),0),IF($A1056&gt;BOTT_D3,ROUND(BASE_D3+RATE_D3*($A1056-BOTT_D3),0),IF($A1056&gt;BOTT_D2,ROUND(BASE_D2+RATE_D2*($A1056-BOTT_D2),0),ROUND(RATE_D1*$A1056,0))))</f>
        <v/>
      </c>
    </row>
    <row r="1057" ht="15.75" customHeight="1" s="7635">
      <c r="A1057" s="625">
        <f>AVERAGE(B1057,C1057)</f>
        <v/>
      </c>
      <c r="B1057" s="555" t="n">
        <v>49650</v>
      </c>
      <c r="C1057" s="555" t="n">
        <v>49700</v>
      </c>
      <c r="D1057" s="556">
        <f>IF($A1057&gt;BOTT_A4,ROUND(BASE_A4+RATE_A4*($A1057-BOTT_A4),0),IF($A1057&gt;BOTT_A3,ROUND(BASE_A3+RATE_A3*($A1057-BOTT_A3),0),IF($A1057&gt;BOTT_A2,ROUND(BASE_A2+RATE_A2*($A1057-BOTT_A2),0),ROUND(RATE_A1*$A1057,0))))</f>
        <v/>
      </c>
      <c r="E1057" s="556">
        <f>IF($A1057&gt;BOTT_B4,ROUND(BASE_B4+RATE_B4*($A1057-BOTT_B4),0),IF($A1057&gt;BOTT_B3,ROUND(BASE_B3+RATE_B3*($A1057-BOTT_B3),0),IF($A1057&gt;BOTT_B2,ROUND(BASE_B2+RATE_B2*($A1057-BOTT_B2),0),ROUND(RATE_B1*$A1057,0))))</f>
        <v/>
      </c>
      <c r="F1057" s="556">
        <f>IF($A1057&gt;BOTT_C4,ROUND(BASE_C4+RATE_C4*($A1057-BOTT_C4),0),IF($A1057&gt;BOTT_C3,ROUND(BASE_C3+RATE_C3*($A1057-BOTT_C3),0),IF($A1057&gt;BOTT_C2,ROUND(BASE_C2+RATE_C2*($A1057-BOTT_C2),0),ROUND(RATE_C1*$A1057,0))))</f>
        <v/>
      </c>
      <c r="G1057" s="556">
        <f>IF($A1057&gt;BOTT_D4,ROUND(BASE_D4+RATE_D4*($A1057-BOTT_D4),0),IF($A1057&gt;BOTT_D3,ROUND(BASE_D3+RATE_D3*($A1057-BOTT_D3),0),IF($A1057&gt;BOTT_D2,ROUND(BASE_D2+RATE_D2*($A1057-BOTT_D2),0),ROUND(RATE_D1*$A1057,0))))</f>
        <v/>
      </c>
    </row>
    <row r="1058" ht="15.75" customHeight="1" s="7635">
      <c r="A1058" s="625">
        <f>AVERAGE(B1058,C1058)</f>
        <v/>
      </c>
      <c r="B1058" s="555" t="n">
        <v>49700</v>
      </c>
      <c r="C1058" s="555" t="n">
        <v>49750</v>
      </c>
      <c r="D1058" s="556">
        <f>IF($A1058&gt;BOTT_A4,ROUND(BASE_A4+RATE_A4*($A1058-BOTT_A4),0),IF($A1058&gt;BOTT_A3,ROUND(BASE_A3+RATE_A3*($A1058-BOTT_A3),0),IF($A1058&gt;BOTT_A2,ROUND(BASE_A2+RATE_A2*($A1058-BOTT_A2),0),ROUND(RATE_A1*$A1058,0))))</f>
        <v/>
      </c>
      <c r="E1058" s="556">
        <f>IF($A1058&gt;BOTT_B4,ROUND(BASE_B4+RATE_B4*($A1058-BOTT_B4),0),IF($A1058&gt;BOTT_B3,ROUND(BASE_B3+RATE_B3*($A1058-BOTT_B3),0),IF($A1058&gt;BOTT_B2,ROUND(BASE_B2+RATE_B2*($A1058-BOTT_B2),0),ROUND(RATE_B1*$A1058,0))))</f>
        <v/>
      </c>
      <c r="F1058" s="556">
        <f>IF($A1058&gt;BOTT_C4,ROUND(BASE_C4+RATE_C4*($A1058-BOTT_C4),0),IF($A1058&gt;BOTT_C3,ROUND(BASE_C3+RATE_C3*($A1058-BOTT_C3),0),IF($A1058&gt;BOTT_C2,ROUND(BASE_C2+RATE_C2*($A1058-BOTT_C2),0),ROUND(RATE_C1*$A1058,0))))</f>
        <v/>
      </c>
      <c r="G1058" s="556">
        <f>IF($A1058&gt;BOTT_D4,ROUND(BASE_D4+RATE_D4*($A1058-BOTT_D4),0),IF($A1058&gt;BOTT_D3,ROUND(BASE_D3+RATE_D3*($A1058-BOTT_D3),0),IF($A1058&gt;BOTT_D2,ROUND(BASE_D2+RATE_D2*($A1058-BOTT_D2),0),ROUND(RATE_D1*$A1058,0))))</f>
        <v/>
      </c>
    </row>
    <row r="1059" ht="15.75" customHeight="1" s="7635">
      <c r="A1059" s="625">
        <f>AVERAGE(B1059,C1059)</f>
        <v/>
      </c>
      <c r="B1059" s="555" t="n">
        <v>49750</v>
      </c>
      <c r="C1059" s="555" t="n">
        <v>49800</v>
      </c>
      <c r="D1059" s="556">
        <f>IF($A1059&gt;BOTT_A4,ROUND(BASE_A4+RATE_A4*($A1059-BOTT_A4),0),IF($A1059&gt;BOTT_A3,ROUND(BASE_A3+RATE_A3*($A1059-BOTT_A3),0),IF($A1059&gt;BOTT_A2,ROUND(BASE_A2+RATE_A2*($A1059-BOTT_A2),0),ROUND(RATE_A1*$A1059,0))))</f>
        <v/>
      </c>
      <c r="E1059" s="556">
        <f>IF($A1059&gt;BOTT_B4,ROUND(BASE_B4+RATE_B4*($A1059-BOTT_B4),0),IF($A1059&gt;BOTT_B3,ROUND(BASE_B3+RATE_B3*($A1059-BOTT_B3),0),IF($A1059&gt;BOTT_B2,ROUND(BASE_B2+RATE_B2*($A1059-BOTT_B2),0),ROUND(RATE_B1*$A1059,0))))</f>
        <v/>
      </c>
      <c r="F1059" s="556">
        <f>IF($A1059&gt;BOTT_C4,ROUND(BASE_C4+RATE_C4*($A1059-BOTT_C4),0),IF($A1059&gt;BOTT_C3,ROUND(BASE_C3+RATE_C3*($A1059-BOTT_C3),0),IF($A1059&gt;BOTT_C2,ROUND(BASE_C2+RATE_C2*($A1059-BOTT_C2),0),ROUND(RATE_C1*$A1059,0))))</f>
        <v/>
      </c>
      <c r="G1059" s="556">
        <f>IF($A1059&gt;BOTT_D4,ROUND(BASE_D4+RATE_D4*($A1059-BOTT_D4),0),IF($A1059&gt;BOTT_D3,ROUND(BASE_D3+RATE_D3*($A1059-BOTT_D3),0),IF($A1059&gt;BOTT_D2,ROUND(BASE_D2+RATE_D2*($A1059-BOTT_D2),0),ROUND(RATE_D1*$A1059,0))))</f>
        <v/>
      </c>
    </row>
    <row r="1060" ht="15.75" customHeight="1" s="7635">
      <c r="A1060" s="625">
        <f>AVERAGE(B1060,C1060)</f>
        <v/>
      </c>
      <c r="B1060" s="555" t="n">
        <v>49800</v>
      </c>
      <c r="C1060" s="555" t="n">
        <v>49850</v>
      </c>
      <c r="D1060" s="556">
        <f>IF($A1060&gt;BOTT_A4,ROUND(BASE_A4+RATE_A4*($A1060-BOTT_A4),0),IF($A1060&gt;BOTT_A3,ROUND(BASE_A3+RATE_A3*($A1060-BOTT_A3),0),IF($A1060&gt;BOTT_A2,ROUND(BASE_A2+RATE_A2*($A1060-BOTT_A2),0),ROUND(RATE_A1*$A1060,0))))</f>
        <v/>
      </c>
      <c r="E1060" s="556">
        <f>IF($A1060&gt;BOTT_B4,ROUND(BASE_B4+RATE_B4*($A1060-BOTT_B4),0),IF($A1060&gt;BOTT_B3,ROUND(BASE_B3+RATE_B3*($A1060-BOTT_B3),0),IF($A1060&gt;BOTT_B2,ROUND(BASE_B2+RATE_B2*($A1060-BOTT_B2),0),ROUND(RATE_B1*$A1060,0))))</f>
        <v/>
      </c>
      <c r="F1060" s="556">
        <f>IF($A1060&gt;BOTT_C4,ROUND(BASE_C4+RATE_C4*($A1060-BOTT_C4),0),IF($A1060&gt;BOTT_C3,ROUND(BASE_C3+RATE_C3*($A1060-BOTT_C3),0),IF($A1060&gt;BOTT_C2,ROUND(BASE_C2+RATE_C2*($A1060-BOTT_C2),0),ROUND(RATE_C1*$A1060,0))))</f>
        <v/>
      </c>
      <c r="G1060" s="556">
        <f>IF($A1060&gt;BOTT_D4,ROUND(BASE_D4+RATE_D4*($A1060-BOTT_D4),0),IF($A1060&gt;BOTT_D3,ROUND(BASE_D3+RATE_D3*($A1060-BOTT_D3),0),IF($A1060&gt;BOTT_D2,ROUND(BASE_D2+RATE_D2*($A1060-BOTT_D2),0),ROUND(RATE_D1*$A1060,0))))</f>
        <v/>
      </c>
    </row>
    <row r="1061" ht="15.75" customHeight="1" s="7635">
      <c r="A1061" s="625">
        <f>AVERAGE(B1061,C1061)</f>
        <v/>
      </c>
      <c r="B1061" s="555" t="n">
        <v>49850</v>
      </c>
      <c r="C1061" s="555" t="n">
        <v>49900</v>
      </c>
      <c r="D1061" s="556">
        <f>IF($A1061&gt;BOTT_A4,ROUND(BASE_A4+RATE_A4*($A1061-BOTT_A4),0),IF($A1061&gt;BOTT_A3,ROUND(BASE_A3+RATE_A3*($A1061-BOTT_A3),0),IF($A1061&gt;BOTT_A2,ROUND(BASE_A2+RATE_A2*($A1061-BOTT_A2),0),ROUND(RATE_A1*$A1061,0))))</f>
        <v/>
      </c>
      <c r="E1061" s="556">
        <f>IF($A1061&gt;BOTT_B4,ROUND(BASE_B4+RATE_B4*($A1061-BOTT_B4),0),IF($A1061&gt;BOTT_B3,ROUND(BASE_B3+RATE_B3*($A1061-BOTT_B3),0),IF($A1061&gt;BOTT_B2,ROUND(BASE_B2+RATE_B2*($A1061-BOTT_B2),0),ROUND(RATE_B1*$A1061,0))))</f>
        <v/>
      </c>
      <c r="F1061" s="556">
        <f>IF($A1061&gt;BOTT_C4,ROUND(BASE_C4+RATE_C4*($A1061-BOTT_C4),0),IF($A1061&gt;BOTT_C3,ROUND(BASE_C3+RATE_C3*($A1061-BOTT_C3),0),IF($A1061&gt;BOTT_C2,ROUND(BASE_C2+RATE_C2*($A1061-BOTT_C2),0),ROUND(RATE_C1*$A1061,0))))</f>
        <v/>
      </c>
      <c r="G1061" s="556">
        <f>IF($A1061&gt;BOTT_D4,ROUND(BASE_D4+RATE_D4*($A1061-BOTT_D4),0),IF($A1061&gt;BOTT_D3,ROUND(BASE_D3+RATE_D3*($A1061-BOTT_D3),0),IF($A1061&gt;BOTT_D2,ROUND(BASE_D2+RATE_D2*($A1061-BOTT_D2),0),ROUND(RATE_D1*$A1061,0))))</f>
        <v/>
      </c>
    </row>
    <row r="1062" ht="15.75" customHeight="1" s="7635">
      <c r="A1062" s="625">
        <f>AVERAGE(B1062,C1062)</f>
        <v/>
      </c>
      <c r="B1062" s="555" t="n">
        <v>49900</v>
      </c>
      <c r="C1062" s="555" t="n">
        <v>49950</v>
      </c>
      <c r="D1062" s="556">
        <f>IF($A1062&gt;BOTT_A4,ROUND(BASE_A4+RATE_A4*($A1062-BOTT_A4),0),IF($A1062&gt;BOTT_A3,ROUND(BASE_A3+RATE_A3*($A1062-BOTT_A3),0),IF($A1062&gt;BOTT_A2,ROUND(BASE_A2+RATE_A2*($A1062-BOTT_A2),0),ROUND(RATE_A1*$A1062,0))))</f>
        <v/>
      </c>
      <c r="E1062" s="556">
        <f>IF($A1062&gt;BOTT_B4,ROUND(BASE_B4+RATE_B4*($A1062-BOTT_B4),0),IF($A1062&gt;BOTT_B3,ROUND(BASE_B3+RATE_B3*($A1062-BOTT_B3),0),IF($A1062&gt;BOTT_B2,ROUND(BASE_B2+RATE_B2*($A1062-BOTT_B2),0),ROUND(RATE_B1*$A1062,0))))</f>
        <v/>
      </c>
      <c r="F1062" s="556">
        <f>IF($A1062&gt;BOTT_C4,ROUND(BASE_C4+RATE_C4*($A1062-BOTT_C4),0),IF($A1062&gt;BOTT_C3,ROUND(BASE_C3+RATE_C3*($A1062-BOTT_C3),0),IF($A1062&gt;BOTT_C2,ROUND(BASE_C2+RATE_C2*($A1062-BOTT_C2),0),ROUND(RATE_C1*$A1062,0))))</f>
        <v/>
      </c>
      <c r="G1062" s="556">
        <f>IF($A1062&gt;BOTT_D4,ROUND(BASE_D4+RATE_D4*($A1062-BOTT_D4),0),IF($A1062&gt;BOTT_D3,ROUND(BASE_D3+RATE_D3*($A1062-BOTT_D3),0),IF($A1062&gt;BOTT_D2,ROUND(BASE_D2+RATE_D2*($A1062-BOTT_D2),0),ROUND(RATE_D1*$A1062,0))))</f>
        <v/>
      </c>
    </row>
    <row r="1063" ht="15.75" customHeight="1" s="7635">
      <c r="A1063" s="625">
        <f>AVERAGE(B1063,C1063)</f>
        <v/>
      </c>
      <c r="B1063" s="555" t="n">
        <v>49950</v>
      </c>
      <c r="C1063" s="555" t="n">
        <v>50000</v>
      </c>
      <c r="D1063" s="556">
        <f>IF($A1063&gt;BOTT_A4,ROUND(BASE_A4+RATE_A4*($A1063-BOTT_A4),0),IF($A1063&gt;BOTT_A3,ROUND(BASE_A3+RATE_A3*($A1063-BOTT_A3),0),IF($A1063&gt;BOTT_A2,ROUND(BASE_A2+RATE_A2*($A1063-BOTT_A2),0),ROUND(RATE_A1*$A1063,0))))</f>
        <v/>
      </c>
      <c r="E1063" s="556">
        <f>IF($A1063&gt;BOTT_B4,ROUND(BASE_B4+RATE_B4*($A1063-BOTT_B4),0),IF($A1063&gt;BOTT_B3,ROUND(BASE_B3+RATE_B3*($A1063-BOTT_B3),0),IF($A1063&gt;BOTT_B2,ROUND(BASE_B2+RATE_B2*($A1063-BOTT_B2),0),ROUND(RATE_B1*$A1063,0))))</f>
        <v/>
      </c>
      <c r="F1063" s="556">
        <f>IF($A1063&gt;BOTT_C4,ROUND(BASE_C4+RATE_C4*($A1063-BOTT_C4),0),IF($A1063&gt;BOTT_C3,ROUND(BASE_C3+RATE_C3*($A1063-BOTT_C3),0),IF($A1063&gt;BOTT_C2,ROUND(BASE_C2+RATE_C2*($A1063-BOTT_C2),0),ROUND(RATE_C1*$A1063,0))))</f>
        <v/>
      </c>
      <c r="G1063" s="556">
        <f>IF($A1063&gt;BOTT_D4,ROUND(BASE_D4+RATE_D4*($A1063-BOTT_D4),0),IF($A1063&gt;BOTT_D3,ROUND(BASE_D3+RATE_D3*($A1063-BOTT_D3),0),IF($A1063&gt;BOTT_D2,ROUND(BASE_D2+RATE_D2*($A1063-BOTT_D2),0),ROUND(RATE_D1*$A1063,0))))</f>
        <v/>
      </c>
    </row>
    <row r="1064" ht="15.75" customHeight="1" s="7635">
      <c r="A1064" s="625">
        <f>AVERAGE(B1064,C1064)</f>
        <v/>
      </c>
      <c r="B1064" s="555" t="n">
        <v>50000</v>
      </c>
      <c r="C1064" s="555" t="n">
        <v>50050</v>
      </c>
      <c r="D1064" s="556">
        <f>IF($A1064&gt;BOTT_A4,ROUND(BASE_A4+RATE_A4*($A1064-BOTT_A4),0),IF($A1064&gt;BOTT_A3,ROUND(BASE_A3+RATE_A3*($A1064-BOTT_A3),0),IF($A1064&gt;BOTT_A2,ROUND(BASE_A2+RATE_A2*($A1064-BOTT_A2),0),ROUND(RATE_A1*$A1064,0))))</f>
        <v/>
      </c>
      <c r="E1064" s="556">
        <f>IF($A1064&gt;BOTT_B4,ROUND(BASE_B4+RATE_B4*($A1064-BOTT_B4),0),IF($A1064&gt;BOTT_B3,ROUND(BASE_B3+RATE_B3*($A1064-BOTT_B3),0),IF($A1064&gt;BOTT_B2,ROUND(BASE_B2+RATE_B2*($A1064-BOTT_B2),0),ROUND(RATE_B1*$A1064,0))))</f>
        <v/>
      </c>
      <c r="F1064" s="556">
        <f>IF($A1064&gt;BOTT_C4,ROUND(BASE_C4+RATE_C4*($A1064-BOTT_C4),0),IF($A1064&gt;BOTT_C3,ROUND(BASE_C3+RATE_C3*($A1064-BOTT_C3),0),IF($A1064&gt;BOTT_C2,ROUND(BASE_C2+RATE_C2*($A1064-BOTT_C2),0),ROUND(RATE_C1*$A1064,0))))</f>
        <v/>
      </c>
      <c r="G1064" s="556">
        <f>IF($A1064&gt;BOTT_D4,ROUND(BASE_D4+RATE_D4*($A1064-BOTT_D4),0),IF($A1064&gt;BOTT_D3,ROUND(BASE_D3+RATE_D3*($A1064-BOTT_D3),0),IF($A1064&gt;BOTT_D2,ROUND(BASE_D2+RATE_D2*($A1064-BOTT_D2),0),ROUND(RATE_D1*$A1064,0))))</f>
        <v/>
      </c>
    </row>
    <row r="1065" ht="15.75" customHeight="1" s="7635">
      <c r="A1065" s="625">
        <f>AVERAGE(B1065,C1065)</f>
        <v/>
      </c>
      <c r="B1065" s="555" t="n">
        <v>50050</v>
      </c>
      <c r="C1065" s="555" t="n">
        <v>50100</v>
      </c>
      <c r="D1065" s="556">
        <f>IF($A1065&gt;BOTT_A4,ROUND(BASE_A4+RATE_A4*($A1065-BOTT_A4),0),IF($A1065&gt;BOTT_A3,ROUND(BASE_A3+RATE_A3*($A1065-BOTT_A3),0),IF($A1065&gt;BOTT_A2,ROUND(BASE_A2+RATE_A2*($A1065-BOTT_A2),0),ROUND(RATE_A1*$A1065,0))))</f>
        <v/>
      </c>
      <c r="E1065" s="556">
        <f>IF($A1065&gt;BOTT_B4,ROUND(BASE_B4+RATE_B4*($A1065-BOTT_B4),0),IF($A1065&gt;BOTT_B3,ROUND(BASE_B3+RATE_B3*($A1065-BOTT_B3),0),IF($A1065&gt;BOTT_B2,ROUND(BASE_B2+RATE_B2*($A1065-BOTT_B2),0),ROUND(RATE_B1*$A1065,0))))</f>
        <v/>
      </c>
      <c r="F1065" s="556">
        <f>IF($A1065&gt;BOTT_C4,ROUND(BASE_C4+RATE_C4*($A1065-BOTT_C4),0),IF($A1065&gt;BOTT_C3,ROUND(BASE_C3+RATE_C3*($A1065-BOTT_C3),0),IF($A1065&gt;BOTT_C2,ROUND(BASE_C2+RATE_C2*($A1065-BOTT_C2),0),ROUND(RATE_C1*$A1065,0))))</f>
        <v/>
      </c>
      <c r="G1065" s="556">
        <f>IF($A1065&gt;BOTT_D4,ROUND(BASE_D4+RATE_D4*($A1065-BOTT_D4),0),IF($A1065&gt;BOTT_D3,ROUND(BASE_D3+RATE_D3*($A1065-BOTT_D3),0),IF($A1065&gt;BOTT_D2,ROUND(BASE_D2+RATE_D2*($A1065-BOTT_D2),0),ROUND(RATE_D1*$A1065,0))))</f>
        <v/>
      </c>
    </row>
    <row r="1066" ht="15.75" customHeight="1" s="7635">
      <c r="A1066" s="625">
        <f>AVERAGE(B1066,C1066)</f>
        <v/>
      </c>
      <c r="B1066" s="555" t="n">
        <v>50100</v>
      </c>
      <c r="C1066" s="555" t="n">
        <v>50150</v>
      </c>
      <c r="D1066" s="556">
        <f>IF($A1066&gt;BOTT_A4,ROUND(BASE_A4+RATE_A4*($A1066-BOTT_A4),0),IF($A1066&gt;BOTT_A3,ROUND(BASE_A3+RATE_A3*($A1066-BOTT_A3),0),IF($A1066&gt;BOTT_A2,ROUND(BASE_A2+RATE_A2*($A1066-BOTT_A2),0),ROUND(RATE_A1*$A1066,0))))</f>
        <v/>
      </c>
      <c r="E1066" s="556">
        <f>IF($A1066&gt;BOTT_B4,ROUND(BASE_B4+RATE_B4*($A1066-BOTT_B4),0),IF($A1066&gt;BOTT_B3,ROUND(BASE_B3+RATE_B3*($A1066-BOTT_B3),0),IF($A1066&gt;BOTT_B2,ROUND(BASE_B2+RATE_B2*($A1066-BOTT_B2),0),ROUND(RATE_B1*$A1066,0))))</f>
        <v/>
      </c>
      <c r="F1066" s="556">
        <f>IF($A1066&gt;BOTT_C4,ROUND(BASE_C4+RATE_C4*($A1066-BOTT_C4),0),IF($A1066&gt;BOTT_C3,ROUND(BASE_C3+RATE_C3*($A1066-BOTT_C3),0),IF($A1066&gt;BOTT_C2,ROUND(BASE_C2+RATE_C2*($A1066-BOTT_C2),0),ROUND(RATE_C1*$A1066,0))))</f>
        <v/>
      </c>
      <c r="G1066" s="556">
        <f>IF($A1066&gt;BOTT_D4,ROUND(BASE_D4+RATE_D4*($A1066-BOTT_D4),0),IF($A1066&gt;BOTT_D3,ROUND(BASE_D3+RATE_D3*($A1066-BOTT_D3),0),IF($A1066&gt;BOTT_D2,ROUND(BASE_D2+RATE_D2*($A1066-BOTT_D2),0),ROUND(RATE_D1*$A1066,0))))</f>
        <v/>
      </c>
    </row>
    <row r="1067" ht="15.75" customHeight="1" s="7635">
      <c r="A1067" s="625">
        <f>AVERAGE(B1067,C1067)</f>
        <v/>
      </c>
      <c r="B1067" s="555" t="n">
        <v>50150</v>
      </c>
      <c r="C1067" s="555" t="n">
        <v>50200</v>
      </c>
      <c r="D1067" s="556">
        <f>IF($A1067&gt;BOTT_A4,ROUND(BASE_A4+RATE_A4*($A1067-BOTT_A4),0),IF($A1067&gt;BOTT_A3,ROUND(BASE_A3+RATE_A3*($A1067-BOTT_A3),0),IF($A1067&gt;BOTT_A2,ROUND(BASE_A2+RATE_A2*($A1067-BOTT_A2),0),ROUND(RATE_A1*$A1067,0))))</f>
        <v/>
      </c>
      <c r="E1067" s="556">
        <f>IF($A1067&gt;BOTT_B4,ROUND(BASE_B4+RATE_B4*($A1067-BOTT_B4),0),IF($A1067&gt;BOTT_B3,ROUND(BASE_B3+RATE_B3*($A1067-BOTT_B3),0),IF($A1067&gt;BOTT_B2,ROUND(BASE_B2+RATE_B2*($A1067-BOTT_B2),0),ROUND(RATE_B1*$A1067,0))))</f>
        <v/>
      </c>
      <c r="F1067" s="556">
        <f>IF($A1067&gt;BOTT_C4,ROUND(BASE_C4+RATE_C4*($A1067-BOTT_C4),0),IF($A1067&gt;BOTT_C3,ROUND(BASE_C3+RATE_C3*($A1067-BOTT_C3),0),IF($A1067&gt;BOTT_C2,ROUND(BASE_C2+RATE_C2*($A1067-BOTT_C2),0),ROUND(RATE_C1*$A1067,0))))</f>
        <v/>
      </c>
      <c r="G1067" s="556">
        <f>IF($A1067&gt;BOTT_D4,ROUND(BASE_D4+RATE_D4*($A1067-BOTT_D4),0),IF($A1067&gt;BOTT_D3,ROUND(BASE_D3+RATE_D3*($A1067-BOTT_D3),0),IF($A1067&gt;BOTT_D2,ROUND(BASE_D2+RATE_D2*($A1067-BOTT_D2),0),ROUND(RATE_D1*$A1067,0))))</f>
        <v/>
      </c>
    </row>
    <row r="1068" ht="15.75" customHeight="1" s="7635">
      <c r="A1068" s="625">
        <f>AVERAGE(B1068,C1068)</f>
        <v/>
      </c>
      <c r="B1068" s="555" t="n">
        <v>50200</v>
      </c>
      <c r="C1068" s="555" t="n">
        <v>50250</v>
      </c>
      <c r="D1068" s="556">
        <f>IF($A1068&gt;BOTT_A4,ROUND(BASE_A4+RATE_A4*($A1068-BOTT_A4),0),IF($A1068&gt;BOTT_A3,ROUND(BASE_A3+RATE_A3*($A1068-BOTT_A3),0),IF($A1068&gt;BOTT_A2,ROUND(BASE_A2+RATE_A2*($A1068-BOTT_A2),0),ROUND(RATE_A1*$A1068,0))))</f>
        <v/>
      </c>
      <c r="E1068" s="556">
        <f>IF($A1068&gt;BOTT_B4,ROUND(BASE_B4+RATE_B4*($A1068-BOTT_B4),0),IF($A1068&gt;BOTT_B3,ROUND(BASE_B3+RATE_B3*($A1068-BOTT_B3),0),IF($A1068&gt;BOTT_B2,ROUND(BASE_B2+RATE_B2*($A1068-BOTT_B2),0),ROUND(RATE_B1*$A1068,0))))</f>
        <v/>
      </c>
      <c r="F1068" s="556">
        <f>IF($A1068&gt;BOTT_C4,ROUND(BASE_C4+RATE_C4*($A1068-BOTT_C4),0),IF($A1068&gt;BOTT_C3,ROUND(BASE_C3+RATE_C3*($A1068-BOTT_C3),0),IF($A1068&gt;BOTT_C2,ROUND(BASE_C2+RATE_C2*($A1068-BOTT_C2),0),ROUND(RATE_C1*$A1068,0))))</f>
        <v/>
      </c>
      <c r="G1068" s="556">
        <f>IF($A1068&gt;BOTT_D4,ROUND(BASE_D4+RATE_D4*($A1068-BOTT_D4),0),IF($A1068&gt;BOTT_D3,ROUND(BASE_D3+RATE_D3*($A1068-BOTT_D3),0),IF($A1068&gt;BOTT_D2,ROUND(BASE_D2+RATE_D2*($A1068-BOTT_D2),0),ROUND(RATE_D1*$A1068,0))))</f>
        <v/>
      </c>
    </row>
    <row r="1069" ht="15.75" customHeight="1" s="7635">
      <c r="A1069" s="625">
        <f>AVERAGE(B1069,C1069)</f>
        <v/>
      </c>
      <c r="B1069" s="555" t="n">
        <v>50250</v>
      </c>
      <c r="C1069" s="555" t="n">
        <v>50300</v>
      </c>
      <c r="D1069" s="556">
        <f>IF($A1069&gt;BOTT_A4,ROUND(BASE_A4+RATE_A4*($A1069-BOTT_A4),0),IF($A1069&gt;BOTT_A3,ROUND(BASE_A3+RATE_A3*($A1069-BOTT_A3),0),IF($A1069&gt;BOTT_A2,ROUND(BASE_A2+RATE_A2*($A1069-BOTT_A2),0),ROUND(RATE_A1*$A1069,0))))</f>
        <v/>
      </c>
      <c r="E1069" s="556">
        <f>IF($A1069&gt;BOTT_B4,ROUND(BASE_B4+RATE_B4*($A1069-BOTT_B4),0),IF($A1069&gt;BOTT_B3,ROUND(BASE_B3+RATE_B3*($A1069-BOTT_B3),0),IF($A1069&gt;BOTT_B2,ROUND(BASE_B2+RATE_B2*($A1069-BOTT_B2),0),ROUND(RATE_B1*$A1069,0))))</f>
        <v/>
      </c>
      <c r="F1069" s="556">
        <f>IF($A1069&gt;BOTT_C4,ROUND(BASE_C4+RATE_C4*($A1069-BOTT_C4),0),IF($A1069&gt;BOTT_C3,ROUND(BASE_C3+RATE_C3*($A1069-BOTT_C3),0),IF($A1069&gt;BOTT_C2,ROUND(BASE_C2+RATE_C2*($A1069-BOTT_C2),0),ROUND(RATE_C1*$A1069,0))))</f>
        <v/>
      </c>
      <c r="G1069" s="556">
        <f>IF($A1069&gt;BOTT_D4,ROUND(BASE_D4+RATE_D4*($A1069-BOTT_D4),0),IF($A1069&gt;BOTT_D3,ROUND(BASE_D3+RATE_D3*($A1069-BOTT_D3),0),IF($A1069&gt;BOTT_D2,ROUND(BASE_D2+RATE_D2*($A1069-BOTT_D2),0),ROUND(RATE_D1*$A1069,0))))</f>
        <v/>
      </c>
    </row>
    <row r="1070" ht="15.75" customHeight="1" s="7635">
      <c r="A1070" s="625">
        <f>AVERAGE(B1070,C1070)</f>
        <v/>
      </c>
      <c r="B1070" s="555" t="n">
        <v>50300</v>
      </c>
      <c r="C1070" s="555" t="n">
        <v>50350</v>
      </c>
      <c r="D1070" s="556">
        <f>IF($A1070&gt;BOTT_A4,ROUND(BASE_A4+RATE_A4*($A1070-BOTT_A4),0),IF($A1070&gt;BOTT_A3,ROUND(BASE_A3+RATE_A3*($A1070-BOTT_A3),0),IF($A1070&gt;BOTT_A2,ROUND(BASE_A2+RATE_A2*($A1070-BOTT_A2),0),ROUND(RATE_A1*$A1070,0))))</f>
        <v/>
      </c>
      <c r="E1070" s="556">
        <f>IF($A1070&gt;BOTT_B4,ROUND(BASE_B4+RATE_B4*($A1070-BOTT_B4),0),IF($A1070&gt;BOTT_B3,ROUND(BASE_B3+RATE_B3*($A1070-BOTT_B3),0),IF($A1070&gt;BOTT_B2,ROUND(BASE_B2+RATE_B2*($A1070-BOTT_B2),0),ROUND(RATE_B1*$A1070,0))))</f>
        <v/>
      </c>
      <c r="F1070" s="556">
        <f>IF($A1070&gt;BOTT_C4,ROUND(BASE_C4+RATE_C4*($A1070-BOTT_C4),0),IF($A1070&gt;BOTT_C3,ROUND(BASE_C3+RATE_C3*($A1070-BOTT_C3),0),IF($A1070&gt;BOTT_C2,ROUND(BASE_C2+RATE_C2*($A1070-BOTT_C2),0),ROUND(RATE_C1*$A1070,0))))</f>
        <v/>
      </c>
      <c r="G1070" s="556">
        <f>IF($A1070&gt;BOTT_D4,ROUND(BASE_D4+RATE_D4*($A1070-BOTT_D4),0),IF($A1070&gt;BOTT_D3,ROUND(BASE_D3+RATE_D3*($A1070-BOTT_D3),0),IF($A1070&gt;BOTT_D2,ROUND(BASE_D2+RATE_D2*($A1070-BOTT_D2),0),ROUND(RATE_D1*$A1070,0))))</f>
        <v/>
      </c>
    </row>
    <row r="1071" ht="15.75" customHeight="1" s="7635">
      <c r="A1071" s="625">
        <f>AVERAGE(B1071,C1071)</f>
        <v/>
      </c>
      <c r="B1071" s="555" t="n">
        <v>50350</v>
      </c>
      <c r="C1071" s="555" t="n">
        <v>50400</v>
      </c>
      <c r="D1071" s="556">
        <f>IF($A1071&gt;BOTT_A4,ROUND(BASE_A4+RATE_A4*($A1071-BOTT_A4),0),IF($A1071&gt;BOTT_A3,ROUND(BASE_A3+RATE_A3*($A1071-BOTT_A3),0),IF($A1071&gt;BOTT_A2,ROUND(BASE_A2+RATE_A2*($A1071-BOTT_A2),0),ROUND(RATE_A1*$A1071,0))))</f>
        <v/>
      </c>
      <c r="E1071" s="556">
        <f>IF($A1071&gt;BOTT_B4,ROUND(BASE_B4+RATE_B4*($A1071-BOTT_B4),0),IF($A1071&gt;BOTT_B3,ROUND(BASE_B3+RATE_B3*($A1071-BOTT_B3),0),IF($A1071&gt;BOTT_B2,ROUND(BASE_B2+RATE_B2*($A1071-BOTT_B2),0),ROUND(RATE_B1*$A1071,0))))</f>
        <v/>
      </c>
      <c r="F1071" s="556">
        <f>IF($A1071&gt;BOTT_C4,ROUND(BASE_C4+RATE_C4*($A1071-BOTT_C4),0),IF($A1071&gt;BOTT_C3,ROUND(BASE_C3+RATE_C3*($A1071-BOTT_C3),0),IF($A1071&gt;BOTT_C2,ROUND(BASE_C2+RATE_C2*($A1071-BOTT_C2),0),ROUND(RATE_C1*$A1071,0))))</f>
        <v/>
      </c>
      <c r="G1071" s="556">
        <f>IF($A1071&gt;BOTT_D4,ROUND(BASE_D4+RATE_D4*($A1071-BOTT_D4),0),IF($A1071&gt;BOTT_D3,ROUND(BASE_D3+RATE_D3*($A1071-BOTT_D3),0),IF($A1071&gt;BOTT_D2,ROUND(BASE_D2+RATE_D2*($A1071-BOTT_D2),0),ROUND(RATE_D1*$A1071,0))))</f>
        <v/>
      </c>
    </row>
    <row r="1072" ht="15.75" customHeight="1" s="7635">
      <c r="A1072" s="625">
        <f>AVERAGE(B1072,C1072)</f>
        <v/>
      </c>
      <c r="B1072" s="555" t="n">
        <v>50400</v>
      </c>
      <c r="C1072" s="555" t="n">
        <v>50450</v>
      </c>
      <c r="D1072" s="556">
        <f>IF($A1072&gt;BOTT_A4,ROUND(BASE_A4+RATE_A4*($A1072-BOTT_A4),0),IF($A1072&gt;BOTT_A3,ROUND(BASE_A3+RATE_A3*($A1072-BOTT_A3),0),IF($A1072&gt;BOTT_A2,ROUND(BASE_A2+RATE_A2*($A1072-BOTT_A2),0),ROUND(RATE_A1*$A1072,0))))</f>
        <v/>
      </c>
      <c r="E1072" s="556">
        <f>IF($A1072&gt;BOTT_B4,ROUND(BASE_B4+RATE_B4*($A1072-BOTT_B4),0),IF($A1072&gt;BOTT_B3,ROUND(BASE_B3+RATE_B3*($A1072-BOTT_B3),0),IF($A1072&gt;BOTT_B2,ROUND(BASE_B2+RATE_B2*($A1072-BOTT_B2),0),ROUND(RATE_B1*$A1072,0))))</f>
        <v/>
      </c>
      <c r="F1072" s="556">
        <f>IF($A1072&gt;BOTT_C4,ROUND(BASE_C4+RATE_C4*($A1072-BOTT_C4),0),IF($A1072&gt;BOTT_C3,ROUND(BASE_C3+RATE_C3*($A1072-BOTT_C3),0),IF($A1072&gt;BOTT_C2,ROUND(BASE_C2+RATE_C2*($A1072-BOTT_C2),0),ROUND(RATE_C1*$A1072,0))))</f>
        <v/>
      </c>
      <c r="G1072" s="556">
        <f>IF($A1072&gt;BOTT_D4,ROUND(BASE_D4+RATE_D4*($A1072-BOTT_D4),0),IF($A1072&gt;BOTT_D3,ROUND(BASE_D3+RATE_D3*($A1072-BOTT_D3),0),IF($A1072&gt;BOTT_D2,ROUND(BASE_D2+RATE_D2*($A1072-BOTT_D2),0),ROUND(RATE_D1*$A1072,0))))</f>
        <v/>
      </c>
    </row>
    <row r="1073" ht="15.75" customHeight="1" s="7635">
      <c r="A1073" s="625">
        <f>AVERAGE(B1073,C1073)</f>
        <v/>
      </c>
      <c r="B1073" s="555" t="n">
        <v>50450</v>
      </c>
      <c r="C1073" s="555" t="n">
        <v>50500</v>
      </c>
      <c r="D1073" s="556">
        <f>IF($A1073&gt;BOTT_A4,ROUND(BASE_A4+RATE_A4*($A1073-BOTT_A4),0),IF($A1073&gt;BOTT_A3,ROUND(BASE_A3+RATE_A3*($A1073-BOTT_A3),0),IF($A1073&gt;BOTT_A2,ROUND(BASE_A2+RATE_A2*($A1073-BOTT_A2),0),ROUND(RATE_A1*$A1073,0))))</f>
        <v/>
      </c>
      <c r="E1073" s="556">
        <f>IF($A1073&gt;BOTT_B4,ROUND(BASE_B4+RATE_B4*($A1073-BOTT_B4),0),IF($A1073&gt;BOTT_B3,ROUND(BASE_B3+RATE_B3*($A1073-BOTT_B3),0),IF($A1073&gt;BOTT_B2,ROUND(BASE_B2+RATE_B2*($A1073-BOTT_B2),0),ROUND(RATE_B1*$A1073,0))))</f>
        <v/>
      </c>
      <c r="F1073" s="556">
        <f>IF($A1073&gt;BOTT_C4,ROUND(BASE_C4+RATE_C4*($A1073-BOTT_C4),0),IF($A1073&gt;BOTT_C3,ROUND(BASE_C3+RATE_C3*($A1073-BOTT_C3),0),IF($A1073&gt;BOTT_C2,ROUND(BASE_C2+RATE_C2*($A1073-BOTT_C2),0),ROUND(RATE_C1*$A1073,0))))</f>
        <v/>
      </c>
      <c r="G1073" s="556">
        <f>IF($A1073&gt;BOTT_D4,ROUND(BASE_D4+RATE_D4*($A1073-BOTT_D4),0),IF($A1073&gt;BOTT_D3,ROUND(BASE_D3+RATE_D3*($A1073-BOTT_D3),0),IF($A1073&gt;BOTT_D2,ROUND(BASE_D2+RATE_D2*($A1073-BOTT_D2),0),ROUND(RATE_D1*$A1073,0))))</f>
        <v/>
      </c>
    </row>
    <row r="1074" ht="15.75" customHeight="1" s="7635">
      <c r="A1074" s="625">
        <f>AVERAGE(B1074,C1074)</f>
        <v/>
      </c>
      <c r="B1074" s="555" t="n">
        <v>50500</v>
      </c>
      <c r="C1074" s="555" t="n">
        <v>50550</v>
      </c>
      <c r="D1074" s="556">
        <f>IF($A1074&gt;BOTT_A4,ROUND(BASE_A4+RATE_A4*($A1074-BOTT_A4),0),IF($A1074&gt;BOTT_A3,ROUND(BASE_A3+RATE_A3*($A1074-BOTT_A3),0),IF($A1074&gt;BOTT_A2,ROUND(BASE_A2+RATE_A2*($A1074-BOTT_A2),0),ROUND(RATE_A1*$A1074,0))))</f>
        <v/>
      </c>
      <c r="E1074" s="556">
        <f>IF($A1074&gt;BOTT_B4,ROUND(BASE_B4+RATE_B4*($A1074-BOTT_B4),0),IF($A1074&gt;BOTT_B3,ROUND(BASE_B3+RATE_B3*($A1074-BOTT_B3),0),IF($A1074&gt;BOTT_B2,ROUND(BASE_B2+RATE_B2*($A1074-BOTT_B2),0),ROUND(RATE_B1*$A1074,0))))</f>
        <v/>
      </c>
      <c r="F1074" s="556">
        <f>IF($A1074&gt;BOTT_C4,ROUND(BASE_C4+RATE_C4*($A1074-BOTT_C4),0),IF($A1074&gt;BOTT_C3,ROUND(BASE_C3+RATE_C3*($A1074-BOTT_C3),0),IF($A1074&gt;BOTT_C2,ROUND(BASE_C2+RATE_C2*($A1074-BOTT_C2),0),ROUND(RATE_C1*$A1074,0))))</f>
        <v/>
      </c>
      <c r="G1074" s="556">
        <f>IF($A1074&gt;BOTT_D4,ROUND(BASE_D4+RATE_D4*($A1074-BOTT_D4),0),IF($A1074&gt;BOTT_D3,ROUND(BASE_D3+RATE_D3*($A1074-BOTT_D3),0),IF($A1074&gt;BOTT_D2,ROUND(BASE_D2+RATE_D2*($A1074-BOTT_D2),0),ROUND(RATE_D1*$A1074,0))))</f>
        <v/>
      </c>
    </row>
    <row r="1075" ht="15.75" customHeight="1" s="7635">
      <c r="A1075" s="625">
        <f>AVERAGE(B1075,C1075)</f>
        <v/>
      </c>
      <c r="B1075" s="555" t="n">
        <v>50550</v>
      </c>
      <c r="C1075" s="555" t="n">
        <v>50600</v>
      </c>
      <c r="D1075" s="556">
        <f>IF($A1075&gt;BOTT_A4,ROUND(BASE_A4+RATE_A4*($A1075-BOTT_A4),0),IF($A1075&gt;BOTT_A3,ROUND(BASE_A3+RATE_A3*($A1075-BOTT_A3),0),IF($A1075&gt;BOTT_A2,ROUND(BASE_A2+RATE_A2*($A1075-BOTT_A2),0),ROUND(RATE_A1*$A1075,0))))</f>
        <v/>
      </c>
      <c r="E1075" s="556">
        <f>IF($A1075&gt;BOTT_B4,ROUND(BASE_B4+RATE_B4*($A1075-BOTT_B4),0),IF($A1075&gt;BOTT_B3,ROUND(BASE_B3+RATE_B3*($A1075-BOTT_B3),0),IF($A1075&gt;BOTT_B2,ROUND(BASE_B2+RATE_B2*($A1075-BOTT_B2),0),ROUND(RATE_B1*$A1075,0))))</f>
        <v/>
      </c>
      <c r="F1075" s="556">
        <f>IF($A1075&gt;BOTT_C4,ROUND(BASE_C4+RATE_C4*($A1075-BOTT_C4),0),IF($A1075&gt;BOTT_C3,ROUND(BASE_C3+RATE_C3*($A1075-BOTT_C3),0),IF($A1075&gt;BOTT_C2,ROUND(BASE_C2+RATE_C2*($A1075-BOTT_C2),0),ROUND(RATE_C1*$A1075,0))))</f>
        <v/>
      </c>
      <c r="G1075" s="556">
        <f>IF($A1075&gt;BOTT_D4,ROUND(BASE_D4+RATE_D4*($A1075-BOTT_D4),0),IF($A1075&gt;BOTT_D3,ROUND(BASE_D3+RATE_D3*($A1075-BOTT_D3),0),IF($A1075&gt;BOTT_D2,ROUND(BASE_D2+RATE_D2*($A1075-BOTT_D2),0),ROUND(RATE_D1*$A1075,0))))</f>
        <v/>
      </c>
    </row>
    <row r="1076" ht="15.75" customHeight="1" s="7635">
      <c r="A1076" s="625">
        <f>AVERAGE(B1076,C1076)</f>
        <v/>
      </c>
      <c r="B1076" s="555" t="n">
        <v>50600</v>
      </c>
      <c r="C1076" s="555" t="n">
        <v>50650</v>
      </c>
      <c r="D1076" s="556">
        <f>IF($A1076&gt;BOTT_A4,ROUND(BASE_A4+RATE_A4*($A1076-BOTT_A4),0),IF($A1076&gt;BOTT_A3,ROUND(BASE_A3+RATE_A3*($A1076-BOTT_A3),0),IF($A1076&gt;BOTT_A2,ROUND(BASE_A2+RATE_A2*($A1076-BOTT_A2),0),ROUND(RATE_A1*$A1076,0))))</f>
        <v/>
      </c>
      <c r="E1076" s="556">
        <f>IF($A1076&gt;BOTT_B4,ROUND(BASE_B4+RATE_B4*($A1076-BOTT_B4),0),IF($A1076&gt;BOTT_B3,ROUND(BASE_B3+RATE_B3*($A1076-BOTT_B3),0),IF($A1076&gt;BOTT_B2,ROUND(BASE_B2+RATE_B2*($A1076-BOTT_B2),0),ROUND(RATE_B1*$A1076,0))))</f>
        <v/>
      </c>
      <c r="F1076" s="556">
        <f>IF($A1076&gt;BOTT_C4,ROUND(BASE_C4+RATE_C4*($A1076-BOTT_C4),0),IF($A1076&gt;BOTT_C3,ROUND(BASE_C3+RATE_C3*($A1076-BOTT_C3),0),IF($A1076&gt;BOTT_C2,ROUND(BASE_C2+RATE_C2*($A1076-BOTT_C2),0),ROUND(RATE_C1*$A1076,0))))</f>
        <v/>
      </c>
      <c r="G1076" s="556">
        <f>IF($A1076&gt;BOTT_D4,ROUND(BASE_D4+RATE_D4*($A1076-BOTT_D4),0),IF($A1076&gt;BOTT_D3,ROUND(BASE_D3+RATE_D3*($A1076-BOTT_D3),0),IF($A1076&gt;BOTT_D2,ROUND(BASE_D2+RATE_D2*($A1076-BOTT_D2),0),ROUND(RATE_D1*$A1076,0))))</f>
        <v/>
      </c>
    </row>
    <row r="1077" ht="15.75" customHeight="1" s="7635">
      <c r="A1077" s="625">
        <f>AVERAGE(B1077,C1077)</f>
        <v/>
      </c>
      <c r="B1077" s="555" t="n">
        <v>50650</v>
      </c>
      <c r="C1077" s="555" t="n">
        <v>50700</v>
      </c>
      <c r="D1077" s="556">
        <f>IF($A1077&gt;BOTT_A4,ROUND(BASE_A4+RATE_A4*($A1077-BOTT_A4),0),IF($A1077&gt;BOTT_A3,ROUND(BASE_A3+RATE_A3*($A1077-BOTT_A3),0),IF($A1077&gt;BOTT_A2,ROUND(BASE_A2+RATE_A2*($A1077-BOTT_A2),0),ROUND(RATE_A1*$A1077,0))))</f>
        <v/>
      </c>
      <c r="E1077" s="556">
        <f>IF($A1077&gt;BOTT_B4,ROUND(BASE_B4+RATE_B4*($A1077-BOTT_B4),0),IF($A1077&gt;BOTT_B3,ROUND(BASE_B3+RATE_B3*($A1077-BOTT_B3),0),IF($A1077&gt;BOTT_B2,ROUND(BASE_B2+RATE_B2*($A1077-BOTT_B2),0),ROUND(RATE_B1*$A1077,0))))</f>
        <v/>
      </c>
      <c r="F1077" s="556">
        <f>IF($A1077&gt;BOTT_C4,ROUND(BASE_C4+RATE_C4*($A1077-BOTT_C4),0),IF($A1077&gt;BOTT_C3,ROUND(BASE_C3+RATE_C3*($A1077-BOTT_C3),0),IF($A1077&gt;BOTT_C2,ROUND(BASE_C2+RATE_C2*($A1077-BOTT_C2),0),ROUND(RATE_C1*$A1077,0))))</f>
        <v/>
      </c>
      <c r="G1077" s="556">
        <f>IF($A1077&gt;BOTT_D4,ROUND(BASE_D4+RATE_D4*($A1077-BOTT_D4),0),IF($A1077&gt;BOTT_D3,ROUND(BASE_D3+RATE_D3*($A1077-BOTT_D3),0),IF($A1077&gt;BOTT_D2,ROUND(BASE_D2+RATE_D2*($A1077-BOTT_D2),0),ROUND(RATE_D1*$A1077,0))))</f>
        <v/>
      </c>
    </row>
    <row r="1078" ht="15.75" customHeight="1" s="7635">
      <c r="A1078" s="625">
        <f>AVERAGE(B1078,C1078)</f>
        <v/>
      </c>
      <c r="B1078" s="555" t="n">
        <v>50700</v>
      </c>
      <c r="C1078" s="555" t="n">
        <v>50750</v>
      </c>
      <c r="D1078" s="556">
        <f>IF($A1078&gt;BOTT_A4,ROUND(BASE_A4+RATE_A4*($A1078-BOTT_A4),0),IF($A1078&gt;BOTT_A3,ROUND(BASE_A3+RATE_A3*($A1078-BOTT_A3),0),IF($A1078&gt;BOTT_A2,ROUND(BASE_A2+RATE_A2*($A1078-BOTT_A2),0),ROUND(RATE_A1*$A1078,0))))</f>
        <v/>
      </c>
      <c r="E1078" s="556">
        <f>IF($A1078&gt;BOTT_B4,ROUND(BASE_B4+RATE_B4*($A1078-BOTT_B4),0),IF($A1078&gt;BOTT_B3,ROUND(BASE_B3+RATE_B3*($A1078-BOTT_B3),0),IF($A1078&gt;BOTT_B2,ROUND(BASE_B2+RATE_B2*($A1078-BOTT_B2),0),ROUND(RATE_B1*$A1078,0))))</f>
        <v/>
      </c>
      <c r="F1078" s="556">
        <f>IF($A1078&gt;BOTT_C4,ROUND(BASE_C4+RATE_C4*($A1078-BOTT_C4),0),IF($A1078&gt;BOTT_C3,ROUND(BASE_C3+RATE_C3*($A1078-BOTT_C3),0),IF($A1078&gt;BOTT_C2,ROUND(BASE_C2+RATE_C2*($A1078-BOTT_C2),0),ROUND(RATE_C1*$A1078,0))))</f>
        <v/>
      </c>
      <c r="G1078" s="556">
        <f>IF($A1078&gt;BOTT_D4,ROUND(BASE_D4+RATE_D4*($A1078-BOTT_D4),0),IF($A1078&gt;BOTT_D3,ROUND(BASE_D3+RATE_D3*($A1078-BOTT_D3),0),IF($A1078&gt;BOTT_D2,ROUND(BASE_D2+RATE_D2*($A1078-BOTT_D2),0),ROUND(RATE_D1*$A1078,0))))</f>
        <v/>
      </c>
    </row>
    <row r="1079" ht="15.75" customHeight="1" s="7635">
      <c r="A1079" s="625">
        <f>AVERAGE(B1079,C1079)</f>
        <v/>
      </c>
      <c r="B1079" s="555" t="n">
        <v>50750</v>
      </c>
      <c r="C1079" s="555" t="n">
        <v>50800</v>
      </c>
      <c r="D1079" s="556">
        <f>IF($A1079&gt;BOTT_A4,ROUND(BASE_A4+RATE_A4*($A1079-BOTT_A4),0),IF($A1079&gt;BOTT_A3,ROUND(BASE_A3+RATE_A3*($A1079-BOTT_A3),0),IF($A1079&gt;BOTT_A2,ROUND(BASE_A2+RATE_A2*($A1079-BOTT_A2),0),ROUND(RATE_A1*$A1079,0))))</f>
        <v/>
      </c>
      <c r="E1079" s="556">
        <f>IF($A1079&gt;BOTT_B4,ROUND(BASE_B4+RATE_B4*($A1079-BOTT_B4),0),IF($A1079&gt;BOTT_B3,ROUND(BASE_B3+RATE_B3*($A1079-BOTT_B3),0),IF($A1079&gt;BOTT_B2,ROUND(BASE_B2+RATE_B2*($A1079-BOTT_B2),0),ROUND(RATE_B1*$A1079,0))))</f>
        <v/>
      </c>
      <c r="F1079" s="556">
        <f>IF($A1079&gt;BOTT_C4,ROUND(BASE_C4+RATE_C4*($A1079-BOTT_C4),0),IF($A1079&gt;BOTT_C3,ROUND(BASE_C3+RATE_C3*($A1079-BOTT_C3),0),IF($A1079&gt;BOTT_C2,ROUND(BASE_C2+RATE_C2*($A1079-BOTT_C2),0),ROUND(RATE_C1*$A1079,0))))</f>
        <v/>
      </c>
      <c r="G1079" s="556">
        <f>IF($A1079&gt;BOTT_D4,ROUND(BASE_D4+RATE_D4*($A1079-BOTT_D4),0),IF($A1079&gt;BOTT_D3,ROUND(BASE_D3+RATE_D3*($A1079-BOTT_D3),0),IF($A1079&gt;BOTT_D2,ROUND(BASE_D2+RATE_D2*($A1079-BOTT_D2),0),ROUND(RATE_D1*$A1079,0))))</f>
        <v/>
      </c>
    </row>
    <row r="1080" ht="15.75" customHeight="1" s="7635">
      <c r="A1080" s="625">
        <f>AVERAGE(B1080,C1080)</f>
        <v/>
      </c>
      <c r="B1080" s="555" t="n">
        <v>50800</v>
      </c>
      <c r="C1080" s="555" t="n">
        <v>50850</v>
      </c>
      <c r="D1080" s="556">
        <f>IF($A1080&gt;BOTT_A4,ROUND(BASE_A4+RATE_A4*($A1080-BOTT_A4),0),IF($A1080&gt;BOTT_A3,ROUND(BASE_A3+RATE_A3*($A1080-BOTT_A3),0),IF($A1080&gt;BOTT_A2,ROUND(BASE_A2+RATE_A2*($A1080-BOTT_A2),0),ROUND(RATE_A1*$A1080,0))))</f>
        <v/>
      </c>
      <c r="E1080" s="556">
        <f>IF($A1080&gt;BOTT_B4,ROUND(BASE_B4+RATE_B4*($A1080-BOTT_B4),0),IF($A1080&gt;BOTT_B3,ROUND(BASE_B3+RATE_B3*($A1080-BOTT_B3),0),IF($A1080&gt;BOTT_B2,ROUND(BASE_B2+RATE_B2*($A1080-BOTT_B2),0),ROUND(RATE_B1*$A1080,0))))</f>
        <v/>
      </c>
      <c r="F1080" s="556">
        <f>IF($A1080&gt;BOTT_C4,ROUND(BASE_C4+RATE_C4*($A1080-BOTT_C4),0),IF($A1080&gt;BOTT_C3,ROUND(BASE_C3+RATE_C3*($A1080-BOTT_C3),0),IF($A1080&gt;BOTT_C2,ROUND(BASE_C2+RATE_C2*($A1080-BOTT_C2),0),ROUND(RATE_C1*$A1080,0))))</f>
        <v/>
      </c>
      <c r="G1080" s="556">
        <f>IF($A1080&gt;BOTT_D4,ROUND(BASE_D4+RATE_D4*($A1080-BOTT_D4),0),IF($A1080&gt;BOTT_D3,ROUND(BASE_D3+RATE_D3*($A1080-BOTT_D3),0),IF($A1080&gt;BOTT_D2,ROUND(BASE_D2+RATE_D2*($A1080-BOTT_D2),0),ROUND(RATE_D1*$A1080,0))))</f>
        <v/>
      </c>
    </row>
    <row r="1081" ht="15.75" customHeight="1" s="7635">
      <c r="A1081" s="625">
        <f>AVERAGE(B1081,C1081)</f>
        <v/>
      </c>
      <c r="B1081" s="555" t="n">
        <v>50850</v>
      </c>
      <c r="C1081" s="555" t="n">
        <v>50900</v>
      </c>
      <c r="D1081" s="556">
        <f>IF($A1081&gt;BOTT_A4,ROUND(BASE_A4+RATE_A4*($A1081-BOTT_A4),0),IF($A1081&gt;BOTT_A3,ROUND(BASE_A3+RATE_A3*($A1081-BOTT_A3),0),IF($A1081&gt;BOTT_A2,ROUND(BASE_A2+RATE_A2*($A1081-BOTT_A2),0),ROUND(RATE_A1*$A1081,0))))</f>
        <v/>
      </c>
      <c r="E1081" s="556">
        <f>IF($A1081&gt;BOTT_B4,ROUND(BASE_B4+RATE_B4*($A1081-BOTT_B4),0),IF($A1081&gt;BOTT_B3,ROUND(BASE_B3+RATE_B3*($A1081-BOTT_B3),0),IF($A1081&gt;BOTT_B2,ROUND(BASE_B2+RATE_B2*($A1081-BOTT_B2),0),ROUND(RATE_B1*$A1081,0))))</f>
        <v/>
      </c>
      <c r="F1081" s="556">
        <f>IF($A1081&gt;BOTT_C4,ROUND(BASE_C4+RATE_C4*($A1081-BOTT_C4),0),IF($A1081&gt;BOTT_C3,ROUND(BASE_C3+RATE_C3*($A1081-BOTT_C3),0),IF($A1081&gt;BOTT_C2,ROUND(BASE_C2+RATE_C2*($A1081-BOTT_C2),0),ROUND(RATE_C1*$A1081,0))))</f>
        <v/>
      </c>
      <c r="G1081" s="556">
        <f>IF($A1081&gt;BOTT_D4,ROUND(BASE_D4+RATE_D4*($A1081-BOTT_D4),0),IF($A1081&gt;BOTT_D3,ROUND(BASE_D3+RATE_D3*($A1081-BOTT_D3),0),IF($A1081&gt;BOTT_D2,ROUND(BASE_D2+RATE_D2*($A1081-BOTT_D2),0),ROUND(RATE_D1*$A1081,0))))</f>
        <v/>
      </c>
    </row>
    <row r="1082" ht="15.75" customHeight="1" s="7635">
      <c r="A1082" s="625">
        <f>AVERAGE(B1082,C1082)</f>
        <v/>
      </c>
      <c r="B1082" s="555" t="n">
        <v>50900</v>
      </c>
      <c r="C1082" s="555" t="n">
        <v>50950</v>
      </c>
      <c r="D1082" s="556">
        <f>IF($A1082&gt;BOTT_A4,ROUND(BASE_A4+RATE_A4*($A1082-BOTT_A4),0),IF($A1082&gt;BOTT_A3,ROUND(BASE_A3+RATE_A3*($A1082-BOTT_A3),0),IF($A1082&gt;BOTT_A2,ROUND(BASE_A2+RATE_A2*($A1082-BOTT_A2),0),ROUND(RATE_A1*$A1082,0))))</f>
        <v/>
      </c>
      <c r="E1082" s="556">
        <f>IF($A1082&gt;BOTT_B4,ROUND(BASE_B4+RATE_B4*($A1082-BOTT_B4),0),IF($A1082&gt;BOTT_B3,ROUND(BASE_B3+RATE_B3*($A1082-BOTT_B3),0),IF($A1082&gt;BOTT_B2,ROUND(BASE_B2+RATE_B2*($A1082-BOTT_B2),0),ROUND(RATE_B1*$A1082,0))))</f>
        <v/>
      </c>
      <c r="F1082" s="556">
        <f>IF($A1082&gt;BOTT_C4,ROUND(BASE_C4+RATE_C4*($A1082-BOTT_C4),0),IF($A1082&gt;BOTT_C3,ROUND(BASE_C3+RATE_C3*($A1082-BOTT_C3),0),IF($A1082&gt;BOTT_C2,ROUND(BASE_C2+RATE_C2*($A1082-BOTT_C2),0),ROUND(RATE_C1*$A1082,0))))</f>
        <v/>
      </c>
      <c r="G1082" s="556">
        <f>IF($A1082&gt;BOTT_D4,ROUND(BASE_D4+RATE_D4*($A1082-BOTT_D4),0),IF($A1082&gt;BOTT_D3,ROUND(BASE_D3+RATE_D3*($A1082-BOTT_D3),0),IF($A1082&gt;BOTT_D2,ROUND(BASE_D2+RATE_D2*($A1082-BOTT_D2),0),ROUND(RATE_D1*$A1082,0))))</f>
        <v/>
      </c>
    </row>
    <row r="1083" ht="15.75" customHeight="1" s="7635">
      <c r="A1083" s="625">
        <f>AVERAGE(B1083,C1083)</f>
        <v/>
      </c>
      <c r="B1083" s="555" t="n">
        <v>50950</v>
      </c>
      <c r="C1083" s="555" t="n">
        <v>51000</v>
      </c>
      <c r="D1083" s="556">
        <f>IF($A1083&gt;BOTT_A4,ROUND(BASE_A4+RATE_A4*($A1083-BOTT_A4),0),IF($A1083&gt;BOTT_A3,ROUND(BASE_A3+RATE_A3*($A1083-BOTT_A3),0),IF($A1083&gt;BOTT_A2,ROUND(BASE_A2+RATE_A2*($A1083-BOTT_A2),0),ROUND(RATE_A1*$A1083,0))))</f>
        <v/>
      </c>
      <c r="E1083" s="556">
        <f>IF($A1083&gt;BOTT_B4,ROUND(BASE_B4+RATE_B4*($A1083-BOTT_B4),0),IF($A1083&gt;BOTT_B3,ROUND(BASE_B3+RATE_B3*($A1083-BOTT_B3),0),IF($A1083&gt;BOTT_B2,ROUND(BASE_B2+RATE_B2*($A1083-BOTT_B2),0),ROUND(RATE_B1*$A1083,0))))</f>
        <v/>
      </c>
      <c r="F1083" s="556">
        <f>IF($A1083&gt;BOTT_C4,ROUND(BASE_C4+RATE_C4*($A1083-BOTT_C4),0),IF($A1083&gt;BOTT_C3,ROUND(BASE_C3+RATE_C3*($A1083-BOTT_C3),0),IF($A1083&gt;BOTT_C2,ROUND(BASE_C2+RATE_C2*($A1083-BOTT_C2),0),ROUND(RATE_C1*$A1083,0))))</f>
        <v/>
      </c>
      <c r="G1083" s="556">
        <f>IF($A1083&gt;BOTT_D4,ROUND(BASE_D4+RATE_D4*($A1083-BOTT_D4),0),IF($A1083&gt;BOTT_D3,ROUND(BASE_D3+RATE_D3*($A1083-BOTT_D3),0),IF($A1083&gt;BOTT_D2,ROUND(BASE_D2+RATE_D2*($A1083-BOTT_D2),0),ROUND(RATE_D1*$A1083,0))))</f>
        <v/>
      </c>
    </row>
    <row r="1084" ht="15.75" customHeight="1" s="7635">
      <c r="A1084" s="625">
        <f>AVERAGE(B1084,C1084)</f>
        <v/>
      </c>
      <c r="B1084" s="555" t="n">
        <v>51000</v>
      </c>
      <c r="C1084" s="555" t="n">
        <v>51050</v>
      </c>
      <c r="D1084" s="556">
        <f>IF($A1084&gt;BOTT_A4,ROUND(BASE_A4+RATE_A4*($A1084-BOTT_A4),0),IF($A1084&gt;BOTT_A3,ROUND(BASE_A3+RATE_A3*($A1084-BOTT_A3),0),IF($A1084&gt;BOTT_A2,ROUND(BASE_A2+RATE_A2*($A1084-BOTT_A2),0),ROUND(RATE_A1*$A1084,0))))</f>
        <v/>
      </c>
      <c r="E1084" s="556">
        <f>IF($A1084&gt;BOTT_B4,ROUND(BASE_B4+RATE_B4*($A1084-BOTT_B4),0),IF($A1084&gt;BOTT_B3,ROUND(BASE_B3+RATE_B3*($A1084-BOTT_B3),0),IF($A1084&gt;BOTT_B2,ROUND(BASE_B2+RATE_B2*($A1084-BOTT_B2),0),ROUND(RATE_B1*$A1084,0))))</f>
        <v/>
      </c>
      <c r="F1084" s="556">
        <f>IF($A1084&gt;BOTT_C4,ROUND(BASE_C4+RATE_C4*($A1084-BOTT_C4),0),IF($A1084&gt;BOTT_C3,ROUND(BASE_C3+RATE_C3*($A1084-BOTT_C3),0),IF($A1084&gt;BOTT_C2,ROUND(BASE_C2+RATE_C2*($A1084-BOTT_C2),0),ROUND(RATE_C1*$A1084,0))))</f>
        <v/>
      </c>
      <c r="G1084" s="556">
        <f>IF($A1084&gt;BOTT_D4,ROUND(BASE_D4+RATE_D4*($A1084-BOTT_D4),0),IF($A1084&gt;BOTT_D3,ROUND(BASE_D3+RATE_D3*($A1084-BOTT_D3),0),IF($A1084&gt;BOTT_D2,ROUND(BASE_D2+RATE_D2*($A1084-BOTT_D2),0),ROUND(RATE_D1*$A1084,0))))</f>
        <v/>
      </c>
    </row>
    <row r="1085" ht="15.75" customHeight="1" s="7635">
      <c r="A1085" s="625">
        <f>AVERAGE(B1085,C1085)</f>
        <v/>
      </c>
      <c r="B1085" s="555" t="n">
        <v>51050</v>
      </c>
      <c r="C1085" s="555" t="n">
        <v>51100</v>
      </c>
      <c r="D1085" s="556">
        <f>IF($A1085&gt;BOTT_A4,ROUND(BASE_A4+RATE_A4*($A1085-BOTT_A4),0),IF($A1085&gt;BOTT_A3,ROUND(BASE_A3+RATE_A3*($A1085-BOTT_A3),0),IF($A1085&gt;BOTT_A2,ROUND(BASE_A2+RATE_A2*($A1085-BOTT_A2),0),ROUND(RATE_A1*$A1085,0))))</f>
        <v/>
      </c>
      <c r="E1085" s="556">
        <f>IF($A1085&gt;BOTT_B4,ROUND(BASE_B4+RATE_B4*($A1085-BOTT_B4),0),IF($A1085&gt;BOTT_B3,ROUND(BASE_B3+RATE_B3*($A1085-BOTT_B3),0),IF($A1085&gt;BOTT_B2,ROUND(BASE_B2+RATE_B2*($A1085-BOTT_B2),0),ROUND(RATE_B1*$A1085,0))))</f>
        <v/>
      </c>
      <c r="F1085" s="556">
        <f>IF($A1085&gt;BOTT_C4,ROUND(BASE_C4+RATE_C4*($A1085-BOTT_C4),0),IF($A1085&gt;BOTT_C3,ROUND(BASE_C3+RATE_C3*($A1085-BOTT_C3),0),IF($A1085&gt;BOTT_C2,ROUND(BASE_C2+RATE_C2*($A1085-BOTT_C2),0),ROUND(RATE_C1*$A1085,0))))</f>
        <v/>
      </c>
      <c r="G1085" s="556">
        <f>IF($A1085&gt;BOTT_D4,ROUND(BASE_D4+RATE_D4*($A1085-BOTT_D4),0),IF($A1085&gt;BOTT_D3,ROUND(BASE_D3+RATE_D3*($A1085-BOTT_D3),0),IF($A1085&gt;BOTT_D2,ROUND(BASE_D2+RATE_D2*($A1085-BOTT_D2),0),ROUND(RATE_D1*$A1085,0))))</f>
        <v/>
      </c>
    </row>
    <row r="1086" ht="15.75" customHeight="1" s="7635">
      <c r="A1086" s="625">
        <f>AVERAGE(B1086,C1086)</f>
        <v/>
      </c>
      <c r="B1086" s="555" t="n">
        <v>51100</v>
      </c>
      <c r="C1086" s="555" t="n">
        <v>51150</v>
      </c>
      <c r="D1086" s="556">
        <f>IF($A1086&gt;BOTT_A4,ROUND(BASE_A4+RATE_A4*($A1086-BOTT_A4),0),IF($A1086&gt;BOTT_A3,ROUND(BASE_A3+RATE_A3*($A1086-BOTT_A3),0),IF($A1086&gt;BOTT_A2,ROUND(BASE_A2+RATE_A2*($A1086-BOTT_A2),0),ROUND(RATE_A1*$A1086,0))))</f>
        <v/>
      </c>
      <c r="E1086" s="556">
        <f>IF($A1086&gt;BOTT_B4,ROUND(BASE_B4+RATE_B4*($A1086-BOTT_B4),0),IF($A1086&gt;BOTT_B3,ROUND(BASE_B3+RATE_B3*($A1086-BOTT_B3),0),IF($A1086&gt;BOTT_B2,ROUND(BASE_B2+RATE_B2*($A1086-BOTT_B2),0),ROUND(RATE_B1*$A1086,0))))</f>
        <v/>
      </c>
      <c r="F1086" s="556">
        <f>IF($A1086&gt;BOTT_C4,ROUND(BASE_C4+RATE_C4*($A1086-BOTT_C4),0),IF($A1086&gt;BOTT_C3,ROUND(BASE_C3+RATE_C3*($A1086-BOTT_C3),0),IF($A1086&gt;BOTT_C2,ROUND(BASE_C2+RATE_C2*($A1086-BOTT_C2),0),ROUND(RATE_C1*$A1086,0))))</f>
        <v/>
      </c>
      <c r="G1086" s="556">
        <f>IF($A1086&gt;BOTT_D4,ROUND(BASE_D4+RATE_D4*($A1086-BOTT_D4),0),IF($A1086&gt;BOTT_D3,ROUND(BASE_D3+RATE_D3*($A1086-BOTT_D3),0),IF($A1086&gt;BOTT_D2,ROUND(BASE_D2+RATE_D2*($A1086-BOTT_D2),0),ROUND(RATE_D1*$A1086,0))))</f>
        <v/>
      </c>
    </row>
    <row r="1087" ht="15.75" customHeight="1" s="7635">
      <c r="A1087" s="625">
        <f>AVERAGE(B1087,C1087)</f>
        <v/>
      </c>
      <c r="B1087" s="555" t="n">
        <v>51150</v>
      </c>
      <c r="C1087" s="555" t="n">
        <v>51200</v>
      </c>
      <c r="D1087" s="556">
        <f>IF($A1087&gt;BOTT_A4,ROUND(BASE_A4+RATE_A4*($A1087-BOTT_A4),0),IF($A1087&gt;BOTT_A3,ROUND(BASE_A3+RATE_A3*($A1087-BOTT_A3),0),IF($A1087&gt;BOTT_A2,ROUND(BASE_A2+RATE_A2*($A1087-BOTT_A2),0),ROUND(RATE_A1*$A1087,0))))</f>
        <v/>
      </c>
      <c r="E1087" s="556">
        <f>IF($A1087&gt;BOTT_B4,ROUND(BASE_B4+RATE_B4*($A1087-BOTT_B4),0),IF($A1087&gt;BOTT_B3,ROUND(BASE_B3+RATE_B3*($A1087-BOTT_B3),0),IF($A1087&gt;BOTT_B2,ROUND(BASE_B2+RATE_B2*($A1087-BOTT_B2),0),ROUND(RATE_B1*$A1087,0))))</f>
        <v/>
      </c>
      <c r="F1087" s="556">
        <f>IF($A1087&gt;BOTT_C4,ROUND(BASE_C4+RATE_C4*($A1087-BOTT_C4),0),IF($A1087&gt;BOTT_C3,ROUND(BASE_C3+RATE_C3*($A1087-BOTT_C3),0),IF($A1087&gt;BOTT_C2,ROUND(BASE_C2+RATE_C2*($A1087-BOTT_C2),0),ROUND(RATE_C1*$A1087,0))))</f>
        <v/>
      </c>
      <c r="G1087" s="556">
        <f>IF($A1087&gt;BOTT_D4,ROUND(BASE_D4+RATE_D4*($A1087-BOTT_D4),0),IF($A1087&gt;BOTT_D3,ROUND(BASE_D3+RATE_D3*($A1087-BOTT_D3),0),IF($A1087&gt;BOTT_D2,ROUND(BASE_D2+RATE_D2*($A1087-BOTT_D2),0),ROUND(RATE_D1*$A1087,0))))</f>
        <v/>
      </c>
    </row>
    <row r="1088" ht="15.75" customHeight="1" s="7635">
      <c r="A1088" s="625">
        <f>AVERAGE(B1088,C1088)</f>
        <v/>
      </c>
      <c r="B1088" s="555" t="n">
        <v>51200</v>
      </c>
      <c r="C1088" s="555" t="n">
        <v>51250</v>
      </c>
      <c r="D1088" s="556">
        <f>IF($A1088&gt;BOTT_A4,ROUND(BASE_A4+RATE_A4*($A1088-BOTT_A4),0),IF($A1088&gt;BOTT_A3,ROUND(BASE_A3+RATE_A3*($A1088-BOTT_A3),0),IF($A1088&gt;BOTT_A2,ROUND(BASE_A2+RATE_A2*($A1088-BOTT_A2),0),ROUND(RATE_A1*$A1088,0))))</f>
        <v/>
      </c>
      <c r="E1088" s="556">
        <f>IF($A1088&gt;BOTT_B4,ROUND(BASE_B4+RATE_B4*($A1088-BOTT_B4),0),IF($A1088&gt;BOTT_B3,ROUND(BASE_B3+RATE_B3*($A1088-BOTT_B3),0),IF($A1088&gt;BOTT_B2,ROUND(BASE_B2+RATE_B2*($A1088-BOTT_B2),0),ROUND(RATE_B1*$A1088,0))))</f>
        <v/>
      </c>
      <c r="F1088" s="556">
        <f>IF($A1088&gt;BOTT_C4,ROUND(BASE_C4+RATE_C4*($A1088-BOTT_C4),0),IF($A1088&gt;BOTT_C3,ROUND(BASE_C3+RATE_C3*($A1088-BOTT_C3),0),IF($A1088&gt;BOTT_C2,ROUND(BASE_C2+RATE_C2*($A1088-BOTT_C2),0),ROUND(RATE_C1*$A1088,0))))</f>
        <v/>
      </c>
      <c r="G1088" s="556">
        <f>IF($A1088&gt;BOTT_D4,ROUND(BASE_D4+RATE_D4*($A1088-BOTT_D4),0),IF($A1088&gt;BOTT_D3,ROUND(BASE_D3+RATE_D3*($A1088-BOTT_D3),0),IF($A1088&gt;BOTT_D2,ROUND(BASE_D2+RATE_D2*($A1088-BOTT_D2),0),ROUND(RATE_D1*$A1088,0))))</f>
        <v/>
      </c>
    </row>
    <row r="1089" ht="15.75" customHeight="1" s="7635">
      <c r="A1089" s="625">
        <f>AVERAGE(B1089,C1089)</f>
        <v/>
      </c>
      <c r="B1089" s="555" t="n">
        <v>51250</v>
      </c>
      <c r="C1089" s="555" t="n">
        <v>51300</v>
      </c>
      <c r="D1089" s="556">
        <f>IF($A1089&gt;BOTT_A4,ROUND(BASE_A4+RATE_A4*($A1089-BOTT_A4),0),IF($A1089&gt;BOTT_A3,ROUND(BASE_A3+RATE_A3*($A1089-BOTT_A3),0),IF($A1089&gt;BOTT_A2,ROUND(BASE_A2+RATE_A2*($A1089-BOTT_A2),0),ROUND(RATE_A1*$A1089,0))))</f>
        <v/>
      </c>
      <c r="E1089" s="556">
        <f>IF($A1089&gt;BOTT_B4,ROUND(BASE_B4+RATE_B4*($A1089-BOTT_B4),0),IF($A1089&gt;BOTT_B3,ROUND(BASE_B3+RATE_B3*($A1089-BOTT_B3),0),IF($A1089&gt;BOTT_B2,ROUND(BASE_B2+RATE_B2*($A1089-BOTT_B2),0),ROUND(RATE_B1*$A1089,0))))</f>
        <v/>
      </c>
      <c r="F1089" s="556">
        <f>IF($A1089&gt;BOTT_C4,ROUND(BASE_C4+RATE_C4*($A1089-BOTT_C4),0),IF($A1089&gt;BOTT_C3,ROUND(BASE_C3+RATE_C3*($A1089-BOTT_C3),0),IF($A1089&gt;BOTT_C2,ROUND(BASE_C2+RATE_C2*($A1089-BOTT_C2),0),ROUND(RATE_C1*$A1089,0))))</f>
        <v/>
      </c>
      <c r="G1089" s="556">
        <f>IF($A1089&gt;BOTT_D4,ROUND(BASE_D4+RATE_D4*($A1089-BOTT_D4),0),IF($A1089&gt;BOTT_D3,ROUND(BASE_D3+RATE_D3*($A1089-BOTT_D3),0),IF($A1089&gt;BOTT_D2,ROUND(BASE_D2+RATE_D2*($A1089-BOTT_D2),0),ROUND(RATE_D1*$A1089,0))))</f>
        <v/>
      </c>
    </row>
    <row r="1090" ht="15.75" customHeight="1" s="7635">
      <c r="A1090" s="625">
        <f>AVERAGE(B1090,C1090)</f>
        <v/>
      </c>
      <c r="B1090" s="555" t="n">
        <v>51300</v>
      </c>
      <c r="C1090" s="555" t="n">
        <v>51350</v>
      </c>
      <c r="D1090" s="556">
        <f>IF($A1090&gt;BOTT_A4,ROUND(BASE_A4+RATE_A4*($A1090-BOTT_A4),0),IF($A1090&gt;BOTT_A3,ROUND(BASE_A3+RATE_A3*($A1090-BOTT_A3),0),IF($A1090&gt;BOTT_A2,ROUND(BASE_A2+RATE_A2*($A1090-BOTT_A2),0),ROUND(RATE_A1*$A1090,0))))</f>
        <v/>
      </c>
      <c r="E1090" s="556">
        <f>IF($A1090&gt;BOTT_B4,ROUND(BASE_B4+RATE_B4*($A1090-BOTT_B4),0),IF($A1090&gt;BOTT_B3,ROUND(BASE_B3+RATE_B3*($A1090-BOTT_B3),0),IF($A1090&gt;BOTT_B2,ROUND(BASE_B2+RATE_B2*($A1090-BOTT_B2),0),ROUND(RATE_B1*$A1090,0))))</f>
        <v/>
      </c>
      <c r="F1090" s="556">
        <f>IF($A1090&gt;BOTT_C4,ROUND(BASE_C4+RATE_C4*($A1090-BOTT_C4),0),IF($A1090&gt;BOTT_C3,ROUND(BASE_C3+RATE_C3*($A1090-BOTT_C3),0),IF($A1090&gt;BOTT_C2,ROUND(BASE_C2+RATE_C2*($A1090-BOTT_C2),0),ROUND(RATE_C1*$A1090,0))))</f>
        <v/>
      </c>
      <c r="G1090" s="556">
        <f>IF($A1090&gt;BOTT_D4,ROUND(BASE_D4+RATE_D4*($A1090-BOTT_D4),0),IF($A1090&gt;BOTT_D3,ROUND(BASE_D3+RATE_D3*($A1090-BOTT_D3),0),IF($A1090&gt;BOTT_D2,ROUND(BASE_D2+RATE_D2*($A1090-BOTT_D2),0),ROUND(RATE_D1*$A1090,0))))</f>
        <v/>
      </c>
    </row>
    <row r="1091" ht="15.75" customHeight="1" s="7635">
      <c r="A1091" s="625">
        <f>AVERAGE(B1091,C1091)</f>
        <v/>
      </c>
      <c r="B1091" s="555" t="n">
        <v>51350</v>
      </c>
      <c r="C1091" s="555" t="n">
        <v>51400</v>
      </c>
      <c r="D1091" s="556">
        <f>IF($A1091&gt;BOTT_A4,ROUND(BASE_A4+RATE_A4*($A1091-BOTT_A4),0),IF($A1091&gt;BOTT_A3,ROUND(BASE_A3+RATE_A3*($A1091-BOTT_A3),0),IF($A1091&gt;BOTT_A2,ROUND(BASE_A2+RATE_A2*($A1091-BOTT_A2),0),ROUND(RATE_A1*$A1091,0))))</f>
        <v/>
      </c>
      <c r="E1091" s="556">
        <f>IF($A1091&gt;BOTT_B4,ROUND(BASE_B4+RATE_B4*($A1091-BOTT_B4),0),IF($A1091&gt;BOTT_B3,ROUND(BASE_B3+RATE_B3*($A1091-BOTT_B3),0),IF($A1091&gt;BOTT_B2,ROUND(BASE_B2+RATE_B2*($A1091-BOTT_B2),0),ROUND(RATE_B1*$A1091,0))))</f>
        <v/>
      </c>
      <c r="F1091" s="556">
        <f>IF($A1091&gt;BOTT_C4,ROUND(BASE_C4+RATE_C4*($A1091-BOTT_C4),0),IF($A1091&gt;BOTT_C3,ROUND(BASE_C3+RATE_C3*($A1091-BOTT_C3),0),IF($A1091&gt;BOTT_C2,ROUND(BASE_C2+RATE_C2*($A1091-BOTT_C2),0),ROUND(RATE_C1*$A1091,0))))</f>
        <v/>
      </c>
      <c r="G1091" s="556">
        <f>IF($A1091&gt;BOTT_D4,ROUND(BASE_D4+RATE_D4*($A1091-BOTT_D4),0),IF($A1091&gt;BOTT_D3,ROUND(BASE_D3+RATE_D3*($A1091-BOTT_D3),0),IF($A1091&gt;BOTT_D2,ROUND(BASE_D2+RATE_D2*($A1091-BOTT_D2),0),ROUND(RATE_D1*$A1091,0))))</f>
        <v/>
      </c>
    </row>
    <row r="1092" ht="15.75" customHeight="1" s="7635">
      <c r="A1092" s="625">
        <f>AVERAGE(B1092,C1092)</f>
        <v/>
      </c>
      <c r="B1092" s="555" t="n">
        <v>51400</v>
      </c>
      <c r="C1092" s="555" t="n">
        <v>51450</v>
      </c>
      <c r="D1092" s="556">
        <f>IF($A1092&gt;BOTT_A4,ROUND(BASE_A4+RATE_A4*($A1092-BOTT_A4),0),IF($A1092&gt;BOTT_A3,ROUND(BASE_A3+RATE_A3*($A1092-BOTT_A3),0),IF($A1092&gt;BOTT_A2,ROUND(BASE_A2+RATE_A2*($A1092-BOTT_A2),0),ROUND(RATE_A1*$A1092,0))))</f>
        <v/>
      </c>
      <c r="E1092" s="556">
        <f>IF($A1092&gt;BOTT_B4,ROUND(BASE_B4+RATE_B4*($A1092-BOTT_B4),0),IF($A1092&gt;BOTT_B3,ROUND(BASE_B3+RATE_B3*($A1092-BOTT_B3),0),IF($A1092&gt;BOTT_B2,ROUND(BASE_B2+RATE_B2*($A1092-BOTT_B2),0),ROUND(RATE_B1*$A1092,0))))</f>
        <v/>
      </c>
      <c r="F1092" s="556">
        <f>IF($A1092&gt;BOTT_C4,ROUND(BASE_C4+RATE_C4*($A1092-BOTT_C4),0),IF($A1092&gt;BOTT_C3,ROUND(BASE_C3+RATE_C3*($A1092-BOTT_C3),0),IF($A1092&gt;BOTT_C2,ROUND(BASE_C2+RATE_C2*($A1092-BOTT_C2),0),ROUND(RATE_C1*$A1092,0))))</f>
        <v/>
      </c>
      <c r="G1092" s="556">
        <f>IF($A1092&gt;BOTT_D4,ROUND(BASE_D4+RATE_D4*($A1092-BOTT_D4),0),IF($A1092&gt;BOTT_D3,ROUND(BASE_D3+RATE_D3*($A1092-BOTT_D3),0),IF($A1092&gt;BOTT_D2,ROUND(BASE_D2+RATE_D2*($A1092-BOTT_D2),0),ROUND(RATE_D1*$A1092,0))))</f>
        <v/>
      </c>
    </row>
    <row r="1093" ht="15.75" customHeight="1" s="7635">
      <c r="A1093" s="625">
        <f>AVERAGE(B1093,C1093)</f>
        <v/>
      </c>
      <c r="B1093" s="555" t="n">
        <v>51450</v>
      </c>
      <c r="C1093" s="555" t="n">
        <v>51500</v>
      </c>
      <c r="D1093" s="556">
        <f>IF($A1093&gt;BOTT_A4,ROUND(BASE_A4+RATE_A4*($A1093-BOTT_A4),0),IF($A1093&gt;BOTT_A3,ROUND(BASE_A3+RATE_A3*($A1093-BOTT_A3),0),IF($A1093&gt;BOTT_A2,ROUND(BASE_A2+RATE_A2*($A1093-BOTT_A2),0),ROUND(RATE_A1*$A1093,0))))</f>
        <v/>
      </c>
      <c r="E1093" s="556">
        <f>IF($A1093&gt;BOTT_B4,ROUND(BASE_B4+RATE_B4*($A1093-BOTT_B4),0),IF($A1093&gt;BOTT_B3,ROUND(BASE_B3+RATE_B3*($A1093-BOTT_B3),0),IF($A1093&gt;BOTT_B2,ROUND(BASE_B2+RATE_B2*($A1093-BOTT_B2),0),ROUND(RATE_B1*$A1093,0))))</f>
        <v/>
      </c>
      <c r="F1093" s="556">
        <f>IF($A1093&gt;BOTT_C4,ROUND(BASE_C4+RATE_C4*($A1093-BOTT_C4),0),IF($A1093&gt;BOTT_C3,ROUND(BASE_C3+RATE_C3*($A1093-BOTT_C3),0),IF($A1093&gt;BOTT_C2,ROUND(BASE_C2+RATE_C2*($A1093-BOTT_C2),0),ROUND(RATE_C1*$A1093,0))))</f>
        <v/>
      </c>
      <c r="G1093" s="556">
        <f>IF($A1093&gt;BOTT_D4,ROUND(BASE_D4+RATE_D4*($A1093-BOTT_D4),0),IF($A1093&gt;BOTT_D3,ROUND(BASE_D3+RATE_D3*($A1093-BOTT_D3),0),IF($A1093&gt;BOTT_D2,ROUND(BASE_D2+RATE_D2*($A1093-BOTT_D2),0),ROUND(RATE_D1*$A1093,0))))</f>
        <v/>
      </c>
    </row>
    <row r="1094" ht="15.75" customHeight="1" s="7635">
      <c r="A1094" s="625">
        <f>AVERAGE(B1094,C1094)</f>
        <v/>
      </c>
      <c r="B1094" s="555" t="n">
        <v>51500</v>
      </c>
      <c r="C1094" s="555" t="n">
        <v>51550</v>
      </c>
      <c r="D1094" s="556">
        <f>IF($A1094&gt;BOTT_A4,ROUND(BASE_A4+RATE_A4*($A1094-BOTT_A4),0),IF($A1094&gt;BOTT_A3,ROUND(BASE_A3+RATE_A3*($A1094-BOTT_A3),0),IF($A1094&gt;BOTT_A2,ROUND(BASE_A2+RATE_A2*($A1094-BOTT_A2),0),ROUND(RATE_A1*$A1094,0))))</f>
        <v/>
      </c>
      <c r="E1094" s="556">
        <f>IF($A1094&gt;BOTT_B4,ROUND(BASE_B4+RATE_B4*($A1094-BOTT_B4),0),IF($A1094&gt;BOTT_B3,ROUND(BASE_B3+RATE_B3*($A1094-BOTT_B3),0),IF($A1094&gt;BOTT_B2,ROUND(BASE_B2+RATE_B2*($A1094-BOTT_B2),0),ROUND(RATE_B1*$A1094,0))))</f>
        <v/>
      </c>
      <c r="F1094" s="556">
        <f>IF($A1094&gt;BOTT_C4,ROUND(BASE_C4+RATE_C4*($A1094-BOTT_C4),0),IF($A1094&gt;BOTT_C3,ROUND(BASE_C3+RATE_C3*($A1094-BOTT_C3),0),IF($A1094&gt;BOTT_C2,ROUND(BASE_C2+RATE_C2*($A1094-BOTT_C2),0),ROUND(RATE_C1*$A1094,0))))</f>
        <v/>
      </c>
      <c r="G1094" s="556">
        <f>IF($A1094&gt;BOTT_D4,ROUND(BASE_D4+RATE_D4*($A1094-BOTT_D4),0),IF($A1094&gt;BOTT_D3,ROUND(BASE_D3+RATE_D3*($A1094-BOTT_D3),0),IF($A1094&gt;BOTT_D2,ROUND(BASE_D2+RATE_D2*($A1094-BOTT_D2),0),ROUND(RATE_D1*$A1094,0))))</f>
        <v/>
      </c>
    </row>
    <row r="1095" ht="15.75" customHeight="1" s="7635">
      <c r="A1095" s="625">
        <f>AVERAGE(B1095,C1095)</f>
        <v/>
      </c>
      <c r="B1095" s="555" t="n">
        <v>51550</v>
      </c>
      <c r="C1095" s="555" t="n">
        <v>51600</v>
      </c>
      <c r="D1095" s="556">
        <f>IF($A1095&gt;BOTT_A4,ROUND(BASE_A4+RATE_A4*($A1095-BOTT_A4),0),IF($A1095&gt;BOTT_A3,ROUND(BASE_A3+RATE_A3*($A1095-BOTT_A3),0),IF($A1095&gt;BOTT_A2,ROUND(BASE_A2+RATE_A2*($A1095-BOTT_A2),0),ROUND(RATE_A1*$A1095,0))))</f>
        <v/>
      </c>
      <c r="E1095" s="556">
        <f>IF($A1095&gt;BOTT_B4,ROUND(BASE_B4+RATE_B4*($A1095-BOTT_B4),0),IF($A1095&gt;BOTT_B3,ROUND(BASE_B3+RATE_B3*($A1095-BOTT_B3),0),IF($A1095&gt;BOTT_B2,ROUND(BASE_B2+RATE_B2*($A1095-BOTT_B2),0),ROUND(RATE_B1*$A1095,0))))</f>
        <v/>
      </c>
      <c r="F1095" s="556">
        <f>IF($A1095&gt;BOTT_C4,ROUND(BASE_C4+RATE_C4*($A1095-BOTT_C4),0),IF($A1095&gt;BOTT_C3,ROUND(BASE_C3+RATE_C3*($A1095-BOTT_C3),0),IF($A1095&gt;BOTT_C2,ROUND(BASE_C2+RATE_C2*($A1095-BOTT_C2),0),ROUND(RATE_C1*$A1095,0))))</f>
        <v/>
      </c>
      <c r="G1095" s="556">
        <f>IF($A1095&gt;BOTT_D4,ROUND(BASE_D4+RATE_D4*($A1095-BOTT_D4),0),IF($A1095&gt;BOTT_D3,ROUND(BASE_D3+RATE_D3*($A1095-BOTT_D3),0),IF($A1095&gt;BOTT_D2,ROUND(BASE_D2+RATE_D2*($A1095-BOTT_D2),0),ROUND(RATE_D1*$A1095,0))))</f>
        <v/>
      </c>
    </row>
    <row r="1096" ht="15.75" customHeight="1" s="7635">
      <c r="A1096" s="625">
        <f>AVERAGE(B1096,C1096)</f>
        <v/>
      </c>
      <c r="B1096" s="555" t="n">
        <v>51600</v>
      </c>
      <c r="C1096" s="555" t="n">
        <v>51650</v>
      </c>
      <c r="D1096" s="556">
        <f>IF($A1096&gt;BOTT_A4,ROUND(BASE_A4+RATE_A4*($A1096-BOTT_A4),0),IF($A1096&gt;BOTT_A3,ROUND(BASE_A3+RATE_A3*($A1096-BOTT_A3),0),IF($A1096&gt;BOTT_A2,ROUND(BASE_A2+RATE_A2*($A1096-BOTT_A2),0),ROUND(RATE_A1*$A1096,0))))</f>
        <v/>
      </c>
      <c r="E1096" s="556">
        <f>IF($A1096&gt;BOTT_B4,ROUND(BASE_B4+RATE_B4*($A1096-BOTT_B4),0),IF($A1096&gt;BOTT_B3,ROUND(BASE_B3+RATE_B3*($A1096-BOTT_B3),0),IF($A1096&gt;BOTT_B2,ROUND(BASE_B2+RATE_B2*($A1096-BOTT_B2),0),ROUND(RATE_B1*$A1096,0))))</f>
        <v/>
      </c>
      <c r="F1096" s="556">
        <f>IF($A1096&gt;BOTT_C4,ROUND(BASE_C4+RATE_C4*($A1096-BOTT_C4),0),IF($A1096&gt;BOTT_C3,ROUND(BASE_C3+RATE_C3*($A1096-BOTT_C3),0),IF($A1096&gt;BOTT_C2,ROUND(BASE_C2+RATE_C2*($A1096-BOTT_C2),0),ROUND(RATE_C1*$A1096,0))))</f>
        <v/>
      </c>
      <c r="G1096" s="556">
        <f>IF($A1096&gt;BOTT_D4,ROUND(BASE_D4+RATE_D4*($A1096-BOTT_D4),0),IF($A1096&gt;BOTT_D3,ROUND(BASE_D3+RATE_D3*($A1096-BOTT_D3),0),IF($A1096&gt;BOTT_D2,ROUND(BASE_D2+RATE_D2*($A1096-BOTT_D2),0),ROUND(RATE_D1*$A1096,0))))</f>
        <v/>
      </c>
    </row>
    <row r="1097" ht="15.75" customHeight="1" s="7635">
      <c r="A1097" s="625">
        <f>AVERAGE(B1097,C1097)</f>
        <v/>
      </c>
      <c r="B1097" s="555" t="n">
        <v>51650</v>
      </c>
      <c r="C1097" s="555" t="n">
        <v>51700</v>
      </c>
      <c r="D1097" s="556">
        <f>IF($A1097&gt;BOTT_A4,ROUND(BASE_A4+RATE_A4*($A1097-BOTT_A4),0),IF($A1097&gt;BOTT_A3,ROUND(BASE_A3+RATE_A3*($A1097-BOTT_A3),0),IF($A1097&gt;BOTT_A2,ROUND(BASE_A2+RATE_A2*($A1097-BOTT_A2),0),ROUND(RATE_A1*$A1097,0))))</f>
        <v/>
      </c>
      <c r="E1097" s="556">
        <f>IF($A1097&gt;BOTT_B4,ROUND(BASE_B4+RATE_B4*($A1097-BOTT_B4),0),IF($A1097&gt;BOTT_B3,ROUND(BASE_B3+RATE_B3*($A1097-BOTT_B3),0),IF($A1097&gt;BOTT_B2,ROUND(BASE_B2+RATE_B2*($A1097-BOTT_B2),0),ROUND(RATE_B1*$A1097,0))))</f>
        <v/>
      </c>
      <c r="F1097" s="556">
        <f>IF($A1097&gt;BOTT_C4,ROUND(BASE_C4+RATE_C4*($A1097-BOTT_C4),0),IF($A1097&gt;BOTT_C3,ROUND(BASE_C3+RATE_C3*($A1097-BOTT_C3),0),IF($A1097&gt;BOTT_C2,ROUND(BASE_C2+RATE_C2*($A1097-BOTT_C2),0),ROUND(RATE_C1*$A1097,0))))</f>
        <v/>
      </c>
      <c r="G1097" s="556">
        <f>IF($A1097&gt;BOTT_D4,ROUND(BASE_D4+RATE_D4*($A1097-BOTT_D4),0),IF($A1097&gt;BOTT_D3,ROUND(BASE_D3+RATE_D3*($A1097-BOTT_D3),0),IF($A1097&gt;BOTT_D2,ROUND(BASE_D2+RATE_D2*($A1097-BOTT_D2),0),ROUND(RATE_D1*$A1097,0))))</f>
        <v/>
      </c>
    </row>
    <row r="1098" ht="15.75" customHeight="1" s="7635">
      <c r="A1098" s="625">
        <f>AVERAGE(B1098,C1098)</f>
        <v/>
      </c>
      <c r="B1098" s="555" t="n">
        <v>51700</v>
      </c>
      <c r="C1098" s="555" t="n">
        <v>51750</v>
      </c>
      <c r="D1098" s="556">
        <f>IF($A1098&gt;BOTT_A4,ROUND(BASE_A4+RATE_A4*($A1098-BOTT_A4),0),IF($A1098&gt;BOTT_A3,ROUND(BASE_A3+RATE_A3*($A1098-BOTT_A3),0),IF($A1098&gt;BOTT_A2,ROUND(BASE_A2+RATE_A2*($A1098-BOTT_A2),0),ROUND(RATE_A1*$A1098,0))))</f>
        <v/>
      </c>
      <c r="E1098" s="556">
        <f>IF($A1098&gt;BOTT_B4,ROUND(BASE_B4+RATE_B4*($A1098-BOTT_B4),0),IF($A1098&gt;BOTT_B3,ROUND(BASE_B3+RATE_B3*($A1098-BOTT_B3),0),IF($A1098&gt;BOTT_B2,ROUND(BASE_B2+RATE_B2*($A1098-BOTT_B2),0),ROUND(RATE_B1*$A1098,0))))</f>
        <v/>
      </c>
      <c r="F1098" s="556">
        <f>IF($A1098&gt;BOTT_C4,ROUND(BASE_C4+RATE_C4*($A1098-BOTT_C4),0),IF($A1098&gt;BOTT_C3,ROUND(BASE_C3+RATE_C3*($A1098-BOTT_C3),0),IF($A1098&gt;BOTT_C2,ROUND(BASE_C2+RATE_C2*($A1098-BOTT_C2),0),ROUND(RATE_C1*$A1098,0))))</f>
        <v/>
      </c>
      <c r="G1098" s="556">
        <f>IF($A1098&gt;BOTT_D4,ROUND(BASE_D4+RATE_D4*($A1098-BOTT_D4),0),IF($A1098&gt;BOTT_D3,ROUND(BASE_D3+RATE_D3*($A1098-BOTT_D3),0),IF($A1098&gt;BOTT_D2,ROUND(BASE_D2+RATE_D2*($A1098-BOTT_D2),0),ROUND(RATE_D1*$A1098,0))))</f>
        <v/>
      </c>
    </row>
    <row r="1099" ht="15.75" customHeight="1" s="7635">
      <c r="A1099" s="625">
        <f>AVERAGE(B1099,C1099)</f>
        <v/>
      </c>
      <c r="B1099" s="555" t="n">
        <v>51750</v>
      </c>
      <c r="C1099" s="555" t="n">
        <v>51800</v>
      </c>
      <c r="D1099" s="556">
        <f>IF($A1099&gt;BOTT_A4,ROUND(BASE_A4+RATE_A4*($A1099-BOTT_A4),0),IF($A1099&gt;BOTT_A3,ROUND(BASE_A3+RATE_A3*($A1099-BOTT_A3),0),IF($A1099&gt;BOTT_A2,ROUND(BASE_A2+RATE_A2*($A1099-BOTT_A2),0),ROUND(RATE_A1*$A1099,0))))</f>
        <v/>
      </c>
      <c r="E1099" s="556">
        <f>IF($A1099&gt;BOTT_B4,ROUND(BASE_B4+RATE_B4*($A1099-BOTT_B4),0),IF($A1099&gt;BOTT_B3,ROUND(BASE_B3+RATE_B3*($A1099-BOTT_B3),0),IF($A1099&gt;BOTT_B2,ROUND(BASE_B2+RATE_B2*($A1099-BOTT_B2),0),ROUND(RATE_B1*$A1099,0))))</f>
        <v/>
      </c>
      <c r="F1099" s="556">
        <f>IF($A1099&gt;BOTT_C4,ROUND(BASE_C4+RATE_C4*($A1099-BOTT_C4),0),IF($A1099&gt;BOTT_C3,ROUND(BASE_C3+RATE_C3*($A1099-BOTT_C3),0),IF($A1099&gt;BOTT_C2,ROUND(BASE_C2+RATE_C2*($A1099-BOTT_C2),0),ROUND(RATE_C1*$A1099,0))))</f>
        <v/>
      </c>
      <c r="G1099" s="556">
        <f>IF($A1099&gt;BOTT_D4,ROUND(BASE_D4+RATE_D4*($A1099-BOTT_D4),0),IF($A1099&gt;BOTT_D3,ROUND(BASE_D3+RATE_D3*($A1099-BOTT_D3),0),IF($A1099&gt;BOTT_D2,ROUND(BASE_D2+RATE_D2*($A1099-BOTT_D2),0),ROUND(RATE_D1*$A1099,0))))</f>
        <v/>
      </c>
    </row>
    <row r="1100" ht="15.75" customHeight="1" s="7635">
      <c r="A1100" s="625">
        <f>AVERAGE(B1100,C1100)</f>
        <v/>
      </c>
      <c r="B1100" s="555" t="n">
        <v>51800</v>
      </c>
      <c r="C1100" s="555" t="n">
        <v>51850</v>
      </c>
      <c r="D1100" s="556">
        <f>IF($A1100&gt;BOTT_A4,ROUND(BASE_A4+RATE_A4*($A1100-BOTT_A4),0),IF($A1100&gt;BOTT_A3,ROUND(BASE_A3+RATE_A3*($A1100-BOTT_A3),0),IF($A1100&gt;BOTT_A2,ROUND(BASE_A2+RATE_A2*($A1100-BOTT_A2),0),ROUND(RATE_A1*$A1100,0))))</f>
        <v/>
      </c>
      <c r="E1100" s="556">
        <f>IF($A1100&gt;BOTT_B4,ROUND(BASE_B4+RATE_B4*($A1100-BOTT_B4),0),IF($A1100&gt;BOTT_B3,ROUND(BASE_B3+RATE_B3*($A1100-BOTT_B3),0),IF($A1100&gt;BOTT_B2,ROUND(BASE_B2+RATE_B2*($A1100-BOTT_B2),0),ROUND(RATE_B1*$A1100,0))))</f>
        <v/>
      </c>
      <c r="F1100" s="556">
        <f>IF($A1100&gt;BOTT_C4,ROUND(BASE_C4+RATE_C4*($A1100-BOTT_C4),0),IF($A1100&gt;BOTT_C3,ROUND(BASE_C3+RATE_C3*($A1100-BOTT_C3),0),IF($A1100&gt;BOTT_C2,ROUND(BASE_C2+RATE_C2*($A1100-BOTT_C2),0),ROUND(RATE_C1*$A1100,0))))</f>
        <v/>
      </c>
      <c r="G1100" s="556">
        <f>IF($A1100&gt;BOTT_D4,ROUND(BASE_D4+RATE_D4*($A1100-BOTT_D4),0),IF($A1100&gt;BOTT_D3,ROUND(BASE_D3+RATE_D3*($A1100-BOTT_D3),0),IF($A1100&gt;BOTT_D2,ROUND(BASE_D2+RATE_D2*($A1100-BOTT_D2),0),ROUND(RATE_D1*$A1100,0))))</f>
        <v/>
      </c>
    </row>
    <row r="1101" ht="15.75" customHeight="1" s="7635">
      <c r="A1101" s="625">
        <f>AVERAGE(B1101,C1101)</f>
        <v/>
      </c>
      <c r="B1101" s="555" t="n">
        <v>51850</v>
      </c>
      <c r="C1101" s="555" t="n">
        <v>51900</v>
      </c>
      <c r="D1101" s="556">
        <f>IF($A1101&gt;BOTT_A4,ROUND(BASE_A4+RATE_A4*($A1101-BOTT_A4),0),IF($A1101&gt;BOTT_A3,ROUND(BASE_A3+RATE_A3*($A1101-BOTT_A3),0),IF($A1101&gt;BOTT_A2,ROUND(BASE_A2+RATE_A2*($A1101-BOTT_A2),0),ROUND(RATE_A1*$A1101,0))))</f>
        <v/>
      </c>
      <c r="E1101" s="556">
        <f>IF($A1101&gt;BOTT_B4,ROUND(BASE_B4+RATE_B4*($A1101-BOTT_B4),0),IF($A1101&gt;BOTT_B3,ROUND(BASE_B3+RATE_B3*($A1101-BOTT_B3),0),IF($A1101&gt;BOTT_B2,ROUND(BASE_B2+RATE_B2*($A1101-BOTT_B2),0),ROUND(RATE_B1*$A1101,0))))</f>
        <v/>
      </c>
      <c r="F1101" s="556">
        <f>IF($A1101&gt;BOTT_C4,ROUND(BASE_C4+RATE_C4*($A1101-BOTT_C4),0),IF($A1101&gt;BOTT_C3,ROUND(BASE_C3+RATE_C3*($A1101-BOTT_C3),0),IF($A1101&gt;BOTT_C2,ROUND(BASE_C2+RATE_C2*($A1101-BOTT_C2),0),ROUND(RATE_C1*$A1101,0))))</f>
        <v/>
      </c>
      <c r="G1101" s="556">
        <f>IF($A1101&gt;BOTT_D4,ROUND(BASE_D4+RATE_D4*($A1101-BOTT_D4),0),IF($A1101&gt;BOTT_D3,ROUND(BASE_D3+RATE_D3*($A1101-BOTT_D3),0),IF($A1101&gt;BOTT_D2,ROUND(BASE_D2+RATE_D2*($A1101-BOTT_D2),0),ROUND(RATE_D1*$A1101,0))))</f>
        <v/>
      </c>
    </row>
    <row r="1102" ht="15.75" customHeight="1" s="7635">
      <c r="A1102" s="625">
        <f>AVERAGE(B1102,C1102)</f>
        <v/>
      </c>
      <c r="B1102" s="555" t="n">
        <v>51900</v>
      </c>
      <c r="C1102" s="555" t="n">
        <v>51950</v>
      </c>
      <c r="D1102" s="556">
        <f>IF($A1102&gt;BOTT_A4,ROUND(BASE_A4+RATE_A4*($A1102-BOTT_A4),0),IF($A1102&gt;BOTT_A3,ROUND(BASE_A3+RATE_A3*($A1102-BOTT_A3),0),IF($A1102&gt;BOTT_A2,ROUND(BASE_A2+RATE_A2*($A1102-BOTT_A2),0),ROUND(RATE_A1*$A1102,0))))</f>
        <v/>
      </c>
      <c r="E1102" s="556">
        <f>IF($A1102&gt;BOTT_B4,ROUND(BASE_B4+RATE_B4*($A1102-BOTT_B4),0),IF($A1102&gt;BOTT_B3,ROUND(BASE_B3+RATE_B3*($A1102-BOTT_B3),0),IF($A1102&gt;BOTT_B2,ROUND(BASE_B2+RATE_B2*($A1102-BOTT_B2),0),ROUND(RATE_B1*$A1102,0))))</f>
        <v/>
      </c>
      <c r="F1102" s="556">
        <f>IF($A1102&gt;BOTT_C4,ROUND(BASE_C4+RATE_C4*($A1102-BOTT_C4),0),IF($A1102&gt;BOTT_C3,ROUND(BASE_C3+RATE_C3*($A1102-BOTT_C3),0),IF($A1102&gt;BOTT_C2,ROUND(BASE_C2+RATE_C2*($A1102-BOTT_C2),0),ROUND(RATE_C1*$A1102,0))))</f>
        <v/>
      </c>
      <c r="G1102" s="556">
        <f>IF($A1102&gt;BOTT_D4,ROUND(BASE_D4+RATE_D4*($A1102-BOTT_D4),0),IF($A1102&gt;BOTT_D3,ROUND(BASE_D3+RATE_D3*($A1102-BOTT_D3),0),IF($A1102&gt;BOTT_D2,ROUND(BASE_D2+RATE_D2*($A1102-BOTT_D2),0),ROUND(RATE_D1*$A1102,0))))</f>
        <v/>
      </c>
    </row>
    <row r="1103" ht="15.75" customHeight="1" s="7635">
      <c r="A1103" s="625">
        <f>AVERAGE(B1103,C1103)</f>
        <v/>
      </c>
      <c r="B1103" s="555" t="n">
        <v>51950</v>
      </c>
      <c r="C1103" s="555" t="n">
        <v>52000</v>
      </c>
      <c r="D1103" s="556">
        <f>IF($A1103&gt;BOTT_A4,ROUND(BASE_A4+RATE_A4*($A1103-BOTT_A4),0),IF($A1103&gt;BOTT_A3,ROUND(BASE_A3+RATE_A3*($A1103-BOTT_A3),0),IF($A1103&gt;BOTT_A2,ROUND(BASE_A2+RATE_A2*($A1103-BOTT_A2),0),ROUND(RATE_A1*$A1103,0))))</f>
        <v/>
      </c>
      <c r="E1103" s="556">
        <f>IF($A1103&gt;BOTT_B4,ROUND(BASE_B4+RATE_B4*($A1103-BOTT_B4),0),IF($A1103&gt;BOTT_B3,ROUND(BASE_B3+RATE_B3*($A1103-BOTT_B3),0),IF($A1103&gt;BOTT_B2,ROUND(BASE_B2+RATE_B2*($A1103-BOTT_B2),0),ROUND(RATE_B1*$A1103,0))))</f>
        <v/>
      </c>
      <c r="F1103" s="556">
        <f>IF($A1103&gt;BOTT_C4,ROUND(BASE_C4+RATE_C4*($A1103-BOTT_C4),0),IF($A1103&gt;BOTT_C3,ROUND(BASE_C3+RATE_C3*($A1103-BOTT_C3),0),IF($A1103&gt;BOTT_C2,ROUND(BASE_C2+RATE_C2*($A1103-BOTT_C2),0),ROUND(RATE_C1*$A1103,0))))</f>
        <v/>
      </c>
      <c r="G1103" s="556">
        <f>IF($A1103&gt;BOTT_D4,ROUND(BASE_D4+RATE_D4*($A1103-BOTT_D4),0),IF($A1103&gt;BOTT_D3,ROUND(BASE_D3+RATE_D3*($A1103-BOTT_D3),0),IF($A1103&gt;BOTT_D2,ROUND(BASE_D2+RATE_D2*($A1103-BOTT_D2),0),ROUND(RATE_D1*$A1103,0))))</f>
        <v/>
      </c>
    </row>
    <row r="1104" ht="15.75" customHeight="1" s="7635">
      <c r="A1104" s="625">
        <f>AVERAGE(B1104,C1104)</f>
        <v/>
      </c>
      <c r="B1104" s="555" t="n">
        <v>52000</v>
      </c>
      <c r="C1104" s="555" t="n">
        <v>52050</v>
      </c>
      <c r="D1104" s="556">
        <f>IF($A1104&gt;BOTT_A4,ROUND(BASE_A4+RATE_A4*($A1104-BOTT_A4),0),IF($A1104&gt;BOTT_A3,ROUND(BASE_A3+RATE_A3*($A1104-BOTT_A3),0),IF($A1104&gt;BOTT_A2,ROUND(BASE_A2+RATE_A2*($A1104-BOTT_A2),0),ROUND(RATE_A1*$A1104,0))))</f>
        <v/>
      </c>
      <c r="E1104" s="556">
        <f>IF($A1104&gt;BOTT_B4,ROUND(BASE_B4+RATE_B4*($A1104-BOTT_B4),0),IF($A1104&gt;BOTT_B3,ROUND(BASE_B3+RATE_B3*($A1104-BOTT_B3),0),IF($A1104&gt;BOTT_B2,ROUND(BASE_B2+RATE_B2*($A1104-BOTT_B2),0),ROUND(RATE_B1*$A1104,0))))</f>
        <v/>
      </c>
      <c r="F1104" s="556">
        <f>IF($A1104&gt;BOTT_C4,ROUND(BASE_C4+RATE_C4*($A1104-BOTT_C4),0),IF($A1104&gt;BOTT_C3,ROUND(BASE_C3+RATE_C3*($A1104-BOTT_C3),0),IF($A1104&gt;BOTT_C2,ROUND(BASE_C2+RATE_C2*($A1104-BOTT_C2),0),ROUND(RATE_C1*$A1104,0))))</f>
        <v/>
      </c>
      <c r="G1104" s="556">
        <f>IF($A1104&gt;BOTT_D4,ROUND(BASE_D4+RATE_D4*($A1104-BOTT_D4),0),IF($A1104&gt;BOTT_D3,ROUND(BASE_D3+RATE_D3*($A1104-BOTT_D3),0),IF($A1104&gt;BOTT_D2,ROUND(BASE_D2+RATE_D2*($A1104-BOTT_D2),0),ROUND(RATE_D1*$A1104,0))))</f>
        <v/>
      </c>
    </row>
    <row r="1105" ht="15.75" customHeight="1" s="7635">
      <c r="A1105" s="625">
        <f>AVERAGE(B1105,C1105)</f>
        <v/>
      </c>
      <c r="B1105" s="555" t="n">
        <v>52050</v>
      </c>
      <c r="C1105" s="555" t="n">
        <v>52100</v>
      </c>
      <c r="D1105" s="556">
        <f>IF($A1105&gt;BOTT_A4,ROUND(BASE_A4+RATE_A4*($A1105-BOTT_A4),0),IF($A1105&gt;BOTT_A3,ROUND(BASE_A3+RATE_A3*($A1105-BOTT_A3),0),IF($A1105&gt;BOTT_A2,ROUND(BASE_A2+RATE_A2*($A1105-BOTT_A2),0),ROUND(RATE_A1*$A1105,0))))</f>
        <v/>
      </c>
      <c r="E1105" s="556">
        <f>IF($A1105&gt;BOTT_B4,ROUND(BASE_B4+RATE_B4*($A1105-BOTT_B4),0),IF($A1105&gt;BOTT_B3,ROUND(BASE_B3+RATE_B3*($A1105-BOTT_B3),0),IF($A1105&gt;BOTT_B2,ROUND(BASE_B2+RATE_B2*($A1105-BOTT_B2),0),ROUND(RATE_B1*$A1105,0))))</f>
        <v/>
      </c>
      <c r="F1105" s="556">
        <f>IF($A1105&gt;BOTT_C4,ROUND(BASE_C4+RATE_C4*($A1105-BOTT_C4),0),IF($A1105&gt;BOTT_C3,ROUND(BASE_C3+RATE_C3*($A1105-BOTT_C3),0),IF($A1105&gt;BOTT_C2,ROUND(BASE_C2+RATE_C2*($A1105-BOTT_C2),0),ROUND(RATE_C1*$A1105,0))))</f>
        <v/>
      </c>
      <c r="G1105" s="556">
        <f>IF($A1105&gt;BOTT_D4,ROUND(BASE_D4+RATE_D4*($A1105-BOTT_D4),0),IF($A1105&gt;BOTT_D3,ROUND(BASE_D3+RATE_D3*($A1105-BOTT_D3),0),IF($A1105&gt;BOTT_D2,ROUND(BASE_D2+RATE_D2*($A1105-BOTT_D2),0),ROUND(RATE_D1*$A1105,0))))</f>
        <v/>
      </c>
    </row>
    <row r="1106" ht="15.75" customHeight="1" s="7635">
      <c r="A1106" s="625">
        <f>AVERAGE(B1106,C1106)</f>
        <v/>
      </c>
      <c r="B1106" s="555" t="n">
        <v>52100</v>
      </c>
      <c r="C1106" s="555" t="n">
        <v>52150</v>
      </c>
      <c r="D1106" s="556">
        <f>IF($A1106&gt;BOTT_A4,ROUND(BASE_A4+RATE_A4*($A1106-BOTT_A4),0),IF($A1106&gt;BOTT_A3,ROUND(BASE_A3+RATE_A3*($A1106-BOTT_A3),0),IF($A1106&gt;BOTT_A2,ROUND(BASE_A2+RATE_A2*($A1106-BOTT_A2),0),ROUND(RATE_A1*$A1106,0))))</f>
        <v/>
      </c>
      <c r="E1106" s="556">
        <f>IF($A1106&gt;BOTT_B4,ROUND(BASE_B4+RATE_B4*($A1106-BOTT_B4),0),IF($A1106&gt;BOTT_B3,ROUND(BASE_B3+RATE_B3*($A1106-BOTT_B3),0),IF($A1106&gt;BOTT_B2,ROUND(BASE_B2+RATE_B2*($A1106-BOTT_B2),0),ROUND(RATE_B1*$A1106,0))))</f>
        <v/>
      </c>
      <c r="F1106" s="556">
        <f>IF($A1106&gt;BOTT_C4,ROUND(BASE_C4+RATE_C4*($A1106-BOTT_C4),0),IF($A1106&gt;BOTT_C3,ROUND(BASE_C3+RATE_C3*($A1106-BOTT_C3),0),IF($A1106&gt;BOTT_C2,ROUND(BASE_C2+RATE_C2*($A1106-BOTT_C2),0),ROUND(RATE_C1*$A1106,0))))</f>
        <v/>
      </c>
      <c r="G1106" s="556">
        <f>IF($A1106&gt;BOTT_D4,ROUND(BASE_D4+RATE_D4*($A1106-BOTT_D4),0),IF($A1106&gt;BOTT_D3,ROUND(BASE_D3+RATE_D3*($A1106-BOTT_D3),0),IF($A1106&gt;BOTT_D2,ROUND(BASE_D2+RATE_D2*($A1106-BOTT_D2),0),ROUND(RATE_D1*$A1106,0))))</f>
        <v/>
      </c>
    </row>
    <row r="1107" ht="15.75" customHeight="1" s="7635">
      <c r="A1107" s="625">
        <f>AVERAGE(B1107,C1107)</f>
        <v/>
      </c>
      <c r="B1107" s="555" t="n">
        <v>52150</v>
      </c>
      <c r="C1107" s="555" t="n">
        <v>52200</v>
      </c>
      <c r="D1107" s="556">
        <f>IF($A1107&gt;BOTT_A4,ROUND(BASE_A4+RATE_A4*($A1107-BOTT_A4),0),IF($A1107&gt;BOTT_A3,ROUND(BASE_A3+RATE_A3*($A1107-BOTT_A3),0),IF($A1107&gt;BOTT_A2,ROUND(BASE_A2+RATE_A2*($A1107-BOTT_A2),0),ROUND(RATE_A1*$A1107,0))))</f>
        <v/>
      </c>
      <c r="E1107" s="556">
        <f>IF($A1107&gt;BOTT_B4,ROUND(BASE_B4+RATE_B4*($A1107-BOTT_B4),0),IF($A1107&gt;BOTT_B3,ROUND(BASE_B3+RATE_B3*($A1107-BOTT_B3),0),IF($A1107&gt;BOTT_B2,ROUND(BASE_B2+RATE_B2*($A1107-BOTT_B2),0),ROUND(RATE_B1*$A1107,0))))</f>
        <v/>
      </c>
      <c r="F1107" s="556">
        <f>IF($A1107&gt;BOTT_C4,ROUND(BASE_C4+RATE_C4*($A1107-BOTT_C4),0),IF($A1107&gt;BOTT_C3,ROUND(BASE_C3+RATE_C3*($A1107-BOTT_C3),0),IF($A1107&gt;BOTT_C2,ROUND(BASE_C2+RATE_C2*($A1107-BOTT_C2),0),ROUND(RATE_C1*$A1107,0))))</f>
        <v/>
      </c>
      <c r="G1107" s="556">
        <f>IF($A1107&gt;BOTT_D4,ROUND(BASE_D4+RATE_D4*($A1107-BOTT_D4),0),IF($A1107&gt;BOTT_D3,ROUND(BASE_D3+RATE_D3*($A1107-BOTT_D3),0),IF($A1107&gt;BOTT_D2,ROUND(BASE_D2+RATE_D2*($A1107-BOTT_D2),0),ROUND(RATE_D1*$A1107,0))))</f>
        <v/>
      </c>
    </row>
    <row r="1108" ht="15.75" customHeight="1" s="7635">
      <c r="A1108" s="625">
        <f>AVERAGE(B1108,C1108)</f>
        <v/>
      </c>
      <c r="B1108" s="555" t="n">
        <v>52200</v>
      </c>
      <c r="C1108" s="555" t="n">
        <v>52250</v>
      </c>
      <c r="D1108" s="556">
        <f>IF($A1108&gt;BOTT_A4,ROUND(BASE_A4+RATE_A4*($A1108-BOTT_A4),0),IF($A1108&gt;BOTT_A3,ROUND(BASE_A3+RATE_A3*($A1108-BOTT_A3),0),IF($A1108&gt;BOTT_A2,ROUND(BASE_A2+RATE_A2*($A1108-BOTT_A2),0),ROUND(RATE_A1*$A1108,0))))</f>
        <v/>
      </c>
      <c r="E1108" s="556">
        <f>IF($A1108&gt;BOTT_B4,ROUND(BASE_B4+RATE_B4*($A1108-BOTT_B4),0),IF($A1108&gt;BOTT_B3,ROUND(BASE_B3+RATE_B3*($A1108-BOTT_B3),0),IF($A1108&gt;BOTT_B2,ROUND(BASE_B2+RATE_B2*($A1108-BOTT_B2),0),ROUND(RATE_B1*$A1108,0))))</f>
        <v/>
      </c>
      <c r="F1108" s="556">
        <f>IF($A1108&gt;BOTT_C4,ROUND(BASE_C4+RATE_C4*($A1108-BOTT_C4),0),IF($A1108&gt;BOTT_C3,ROUND(BASE_C3+RATE_C3*($A1108-BOTT_C3),0),IF($A1108&gt;BOTT_C2,ROUND(BASE_C2+RATE_C2*($A1108-BOTT_C2),0),ROUND(RATE_C1*$A1108,0))))</f>
        <v/>
      </c>
      <c r="G1108" s="556">
        <f>IF($A1108&gt;BOTT_D4,ROUND(BASE_D4+RATE_D4*($A1108-BOTT_D4),0),IF($A1108&gt;BOTT_D3,ROUND(BASE_D3+RATE_D3*($A1108-BOTT_D3),0),IF($A1108&gt;BOTT_D2,ROUND(BASE_D2+RATE_D2*($A1108-BOTT_D2),0),ROUND(RATE_D1*$A1108,0))))</f>
        <v/>
      </c>
    </row>
    <row r="1109" ht="15.75" customHeight="1" s="7635">
      <c r="A1109" s="625">
        <f>AVERAGE(B1109,C1109)</f>
        <v/>
      </c>
      <c r="B1109" s="555" t="n">
        <v>52250</v>
      </c>
      <c r="C1109" s="555" t="n">
        <v>52300</v>
      </c>
      <c r="D1109" s="556">
        <f>IF($A1109&gt;BOTT_A4,ROUND(BASE_A4+RATE_A4*($A1109-BOTT_A4),0),IF($A1109&gt;BOTT_A3,ROUND(BASE_A3+RATE_A3*($A1109-BOTT_A3),0),IF($A1109&gt;BOTT_A2,ROUND(BASE_A2+RATE_A2*($A1109-BOTT_A2),0),ROUND(RATE_A1*$A1109,0))))</f>
        <v/>
      </c>
      <c r="E1109" s="556">
        <f>IF($A1109&gt;BOTT_B4,ROUND(BASE_B4+RATE_B4*($A1109-BOTT_B4),0),IF($A1109&gt;BOTT_B3,ROUND(BASE_B3+RATE_B3*($A1109-BOTT_B3),0),IF($A1109&gt;BOTT_B2,ROUND(BASE_B2+RATE_B2*($A1109-BOTT_B2),0),ROUND(RATE_B1*$A1109,0))))</f>
        <v/>
      </c>
      <c r="F1109" s="556">
        <f>IF($A1109&gt;BOTT_C4,ROUND(BASE_C4+RATE_C4*($A1109-BOTT_C4),0),IF($A1109&gt;BOTT_C3,ROUND(BASE_C3+RATE_C3*($A1109-BOTT_C3),0),IF($A1109&gt;BOTT_C2,ROUND(BASE_C2+RATE_C2*($A1109-BOTT_C2),0),ROUND(RATE_C1*$A1109,0))))</f>
        <v/>
      </c>
      <c r="G1109" s="556">
        <f>IF($A1109&gt;BOTT_D4,ROUND(BASE_D4+RATE_D4*($A1109-BOTT_D4),0),IF($A1109&gt;BOTT_D3,ROUND(BASE_D3+RATE_D3*($A1109-BOTT_D3),0),IF($A1109&gt;BOTT_D2,ROUND(BASE_D2+RATE_D2*($A1109-BOTT_D2),0),ROUND(RATE_D1*$A1109,0))))</f>
        <v/>
      </c>
    </row>
    <row r="1110" ht="15.75" customHeight="1" s="7635">
      <c r="A1110" s="625">
        <f>AVERAGE(B1110,C1110)</f>
        <v/>
      </c>
      <c r="B1110" s="555" t="n">
        <v>52300</v>
      </c>
      <c r="C1110" s="555" t="n">
        <v>52350</v>
      </c>
      <c r="D1110" s="556">
        <f>IF($A1110&gt;BOTT_A4,ROUND(BASE_A4+RATE_A4*($A1110-BOTT_A4),0),IF($A1110&gt;BOTT_A3,ROUND(BASE_A3+RATE_A3*($A1110-BOTT_A3),0),IF($A1110&gt;BOTT_A2,ROUND(BASE_A2+RATE_A2*($A1110-BOTT_A2),0),ROUND(RATE_A1*$A1110,0))))</f>
        <v/>
      </c>
      <c r="E1110" s="556">
        <f>IF($A1110&gt;BOTT_B4,ROUND(BASE_B4+RATE_B4*($A1110-BOTT_B4),0),IF($A1110&gt;BOTT_B3,ROUND(BASE_B3+RATE_B3*($A1110-BOTT_B3),0),IF($A1110&gt;BOTT_B2,ROUND(BASE_B2+RATE_B2*($A1110-BOTT_B2),0),ROUND(RATE_B1*$A1110,0))))</f>
        <v/>
      </c>
      <c r="F1110" s="556">
        <f>IF($A1110&gt;BOTT_C4,ROUND(BASE_C4+RATE_C4*($A1110-BOTT_C4),0),IF($A1110&gt;BOTT_C3,ROUND(BASE_C3+RATE_C3*($A1110-BOTT_C3),0),IF($A1110&gt;BOTT_C2,ROUND(BASE_C2+RATE_C2*($A1110-BOTT_C2),0),ROUND(RATE_C1*$A1110,0))))</f>
        <v/>
      </c>
      <c r="G1110" s="556">
        <f>IF($A1110&gt;BOTT_D4,ROUND(BASE_D4+RATE_D4*($A1110-BOTT_D4),0),IF($A1110&gt;BOTT_D3,ROUND(BASE_D3+RATE_D3*($A1110-BOTT_D3),0),IF($A1110&gt;BOTT_D2,ROUND(BASE_D2+RATE_D2*($A1110-BOTT_D2),0),ROUND(RATE_D1*$A1110,0))))</f>
        <v/>
      </c>
    </row>
    <row r="1111" ht="15.75" customHeight="1" s="7635">
      <c r="A1111" s="625">
        <f>AVERAGE(B1111,C1111)</f>
        <v/>
      </c>
      <c r="B1111" s="555" t="n">
        <v>52350</v>
      </c>
      <c r="C1111" s="555" t="n">
        <v>52400</v>
      </c>
      <c r="D1111" s="556">
        <f>IF($A1111&gt;BOTT_A4,ROUND(BASE_A4+RATE_A4*($A1111-BOTT_A4),0),IF($A1111&gt;BOTT_A3,ROUND(BASE_A3+RATE_A3*($A1111-BOTT_A3),0),IF($A1111&gt;BOTT_A2,ROUND(BASE_A2+RATE_A2*($A1111-BOTT_A2),0),ROUND(RATE_A1*$A1111,0))))</f>
        <v/>
      </c>
      <c r="E1111" s="556">
        <f>IF($A1111&gt;BOTT_B4,ROUND(BASE_B4+RATE_B4*($A1111-BOTT_B4),0),IF($A1111&gt;BOTT_B3,ROUND(BASE_B3+RATE_B3*($A1111-BOTT_B3),0),IF($A1111&gt;BOTT_B2,ROUND(BASE_B2+RATE_B2*($A1111-BOTT_B2),0),ROUND(RATE_B1*$A1111,0))))</f>
        <v/>
      </c>
      <c r="F1111" s="556">
        <f>IF($A1111&gt;BOTT_C4,ROUND(BASE_C4+RATE_C4*($A1111-BOTT_C4),0),IF($A1111&gt;BOTT_C3,ROUND(BASE_C3+RATE_C3*($A1111-BOTT_C3),0),IF($A1111&gt;BOTT_C2,ROUND(BASE_C2+RATE_C2*($A1111-BOTT_C2),0),ROUND(RATE_C1*$A1111,0))))</f>
        <v/>
      </c>
      <c r="G1111" s="556">
        <f>IF($A1111&gt;BOTT_D4,ROUND(BASE_D4+RATE_D4*($A1111-BOTT_D4),0),IF($A1111&gt;BOTT_D3,ROUND(BASE_D3+RATE_D3*($A1111-BOTT_D3),0),IF($A1111&gt;BOTT_D2,ROUND(BASE_D2+RATE_D2*($A1111-BOTT_D2),0),ROUND(RATE_D1*$A1111,0))))</f>
        <v/>
      </c>
    </row>
    <row r="1112" ht="15.75" customHeight="1" s="7635">
      <c r="A1112" s="625">
        <f>AVERAGE(B1112,C1112)</f>
        <v/>
      </c>
      <c r="B1112" s="555" t="n">
        <v>52400</v>
      </c>
      <c r="C1112" s="555" t="n">
        <v>52450</v>
      </c>
      <c r="D1112" s="556">
        <f>IF($A1112&gt;BOTT_A4,ROUND(BASE_A4+RATE_A4*($A1112-BOTT_A4),0),IF($A1112&gt;BOTT_A3,ROUND(BASE_A3+RATE_A3*($A1112-BOTT_A3),0),IF($A1112&gt;BOTT_A2,ROUND(BASE_A2+RATE_A2*($A1112-BOTT_A2),0),ROUND(RATE_A1*$A1112,0))))</f>
        <v/>
      </c>
      <c r="E1112" s="556">
        <f>IF($A1112&gt;BOTT_B4,ROUND(BASE_B4+RATE_B4*($A1112-BOTT_B4),0),IF($A1112&gt;BOTT_B3,ROUND(BASE_B3+RATE_B3*($A1112-BOTT_B3),0),IF($A1112&gt;BOTT_B2,ROUND(BASE_B2+RATE_B2*($A1112-BOTT_B2),0),ROUND(RATE_B1*$A1112,0))))</f>
        <v/>
      </c>
      <c r="F1112" s="556">
        <f>IF($A1112&gt;BOTT_C4,ROUND(BASE_C4+RATE_C4*($A1112-BOTT_C4),0),IF($A1112&gt;BOTT_C3,ROUND(BASE_C3+RATE_C3*($A1112-BOTT_C3),0),IF($A1112&gt;BOTT_C2,ROUND(BASE_C2+RATE_C2*($A1112-BOTT_C2),0),ROUND(RATE_C1*$A1112,0))))</f>
        <v/>
      </c>
      <c r="G1112" s="556">
        <f>IF($A1112&gt;BOTT_D4,ROUND(BASE_D4+RATE_D4*($A1112-BOTT_D4),0),IF($A1112&gt;BOTT_D3,ROUND(BASE_D3+RATE_D3*($A1112-BOTT_D3),0),IF($A1112&gt;BOTT_D2,ROUND(BASE_D2+RATE_D2*($A1112-BOTT_D2),0),ROUND(RATE_D1*$A1112,0))))</f>
        <v/>
      </c>
    </row>
    <row r="1113" ht="15.75" customHeight="1" s="7635">
      <c r="A1113" s="625">
        <f>AVERAGE(B1113,C1113)</f>
        <v/>
      </c>
      <c r="B1113" s="555" t="n">
        <v>52450</v>
      </c>
      <c r="C1113" s="555" t="n">
        <v>52500</v>
      </c>
      <c r="D1113" s="556">
        <f>IF($A1113&gt;BOTT_A4,ROUND(BASE_A4+RATE_A4*($A1113-BOTT_A4),0),IF($A1113&gt;BOTT_A3,ROUND(BASE_A3+RATE_A3*($A1113-BOTT_A3),0),IF($A1113&gt;BOTT_A2,ROUND(BASE_A2+RATE_A2*($A1113-BOTT_A2),0),ROUND(RATE_A1*$A1113,0))))</f>
        <v/>
      </c>
      <c r="E1113" s="556">
        <f>IF($A1113&gt;BOTT_B4,ROUND(BASE_B4+RATE_B4*($A1113-BOTT_B4),0),IF($A1113&gt;BOTT_B3,ROUND(BASE_B3+RATE_B3*($A1113-BOTT_B3),0),IF($A1113&gt;BOTT_B2,ROUND(BASE_B2+RATE_B2*($A1113-BOTT_B2),0),ROUND(RATE_B1*$A1113,0))))</f>
        <v/>
      </c>
      <c r="F1113" s="556">
        <f>IF($A1113&gt;BOTT_C4,ROUND(BASE_C4+RATE_C4*($A1113-BOTT_C4),0),IF($A1113&gt;BOTT_C3,ROUND(BASE_C3+RATE_C3*($A1113-BOTT_C3),0),IF($A1113&gt;BOTT_C2,ROUND(BASE_C2+RATE_C2*($A1113-BOTT_C2),0),ROUND(RATE_C1*$A1113,0))))</f>
        <v/>
      </c>
      <c r="G1113" s="556">
        <f>IF($A1113&gt;BOTT_D4,ROUND(BASE_D4+RATE_D4*($A1113-BOTT_D4),0),IF($A1113&gt;BOTT_D3,ROUND(BASE_D3+RATE_D3*($A1113-BOTT_D3),0),IF($A1113&gt;BOTT_D2,ROUND(BASE_D2+RATE_D2*($A1113-BOTT_D2),0),ROUND(RATE_D1*$A1113,0))))</f>
        <v/>
      </c>
    </row>
    <row r="1114" ht="15.75" customHeight="1" s="7635">
      <c r="A1114" s="625">
        <f>AVERAGE(B1114,C1114)</f>
        <v/>
      </c>
      <c r="B1114" s="555" t="n">
        <v>52500</v>
      </c>
      <c r="C1114" s="555" t="n">
        <v>52550</v>
      </c>
      <c r="D1114" s="556">
        <f>IF($A1114&gt;BOTT_A4,ROUND(BASE_A4+RATE_A4*($A1114-BOTT_A4),0),IF($A1114&gt;BOTT_A3,ROUND(BASE_A3+RATE_A3*($A1114-BOTT_A3),0),IF($A1114&gt;BOTT_A2,ROUND(BASE_A2+RATE_A2*($A1114-BOTT_A2),0),ROUND(RATE_A1*$A1114,0))))</f>
        <v/>
      </c>
      <c r="E1114" s="556">
        <f>IF($A1114&gt;BOTT_B4,ROUND(BASE_B4+RATE_B4*($A1114-BOTT_B4),0),IF($A1114&gt;BOTT_B3,ROUND(BASE_B3+RATE_B3*($A1114-BOTT_B3),0),IF($A1114&gt;BOTT_B2,ROUND(BASE_B2+RATE_B2*($A1114-BOTT_B2),0),ROUND(RATE_B1*$A1114,0))))</f>
        <v/>
      </c>
      <c r="F1114" s="556">
        <f>IF($A1114&gt;BOTT_C4,ROUND(BASE_C4+RATE_C4*($A1114-BOTT_C4),0),IF($A1114&gt;BOTT_C3,ROUND(BASE_C3+RATE_C3*($A1114-BOTT_C3),0),IF($A1114&gt;BOTT_C2,ROUND(BASE_C2+RATE_C2*($A1114-BOTT_C2),0),ROUND(RATE_C1*$A1114,0))))</f>
        <v/>
      </c>
      <c r="G1114" s="556">
        <f>IF($A1114&gt;BOTT_D4,ROUND(BASE_D4+RATE_D4*($A1114-BOTT_D4),0),IF($A1114&gt;BOTT_D3,ROUND(BASE_D3+RATE_D3*($A1114-BOTT_D3),0),IF($A1114&gt;BOTT_D2,ROUND(BASE_D2+RATE_D2*($A1114-BOTT_D2),0),ROUND(RATE_D1*$A1114,0))))</f>
        <v/>
      </c>
    </row>
    <row r="1115" ht="15.75" customHeight="1" s="7635">
      <c r="A1115" s="625">
        <f>AVERAGE(B1115,C1115)</f>
        <v/>
      </c>
      <c r="B1115" s="555" t="n">
        <v>52550</v>
      </c>
      <c r="C1115" s="555" t="n">
        <v>52600</v>
      </c>
      <c r="D1115" s="556">
        <f>IF($A1115&gt;BOTT_A4,ROUND(BASE_A4+RATE_A4*($A1115-BOTT_A4),0),IF($A1115&gt;BOTT_A3,ROUND(BASE_A3+RATE_A3*($A1115-BOTT_A3),0),IF($A1115&gt;BOTT_A2,ROUND(BASE_A2+RATE_A2*($A1115-BOTT_A2),0),ROUND(RATE_A1*$A1115,0))))</f>
        <v/>
      </c>
      <c r="E1115" s="556">
        <f>IF($A1115&gt;BOTT_B4,ROUND(BASE_B4+RATE_B4*($A1115-BOTT_B4),0),IF($A1115&gt;BOTT_B3,ROUND(BASE_B3+RATE_B3*($A1115-BOTT_B3),0),IF($A1115&gt;BOTT_B2,ROUND(BASE_B2+RATE_B2*($A1115-BOTT_B2),0),ROUND(RATE_B1*$A1115,0))))</f>
        <v/>
      </c>
      <c r="F1115" s="556">
        <f>IF($A1115&gt;BOTT_C4,ROUND(BASE_C4+RATE_C4*($A1115-BOTT_C4),0),IF($A1115&gt;BOTT_C3,ROUND(BASE_C3+RATE_C3*($A1115-BOTT_C3),0),IF($A1115&gt;BOTT_C2,ROUND(BASE_C2+RATE_C2*($A1115-BOTT_C2),0),ROUND(RATE_C1*$A1115,0))))</f>
        <v/>
      </c>
      <c r="G1115" s="556">
        <f>IF($A1115&gt;BOTT_D4,ROUND(BASE_D4+RATE_D4*($A1115-BOTT_D4),0),IF($A1115&gt;BOTT_D3,ROUND(BASE_D3+RATE_D3*($A1115-BOTT_D3),0),IF($A1115&gt;BOTT_D2,ROUND(BASE_D2+RATE_D2*($A1115-BOTT_D2),0),ROUND(RATE_D1*$A1115,0))))</f>
        <v/>
      </c>
    </row>
    <row r="1116" ht="15.75" customHeight="1" s="7635">
      <c r="A1116" s="625">
        <f>AVERAGE(B1116,C1116)</f>
        <v/>
      </c>
      <c r="B1116" s="555" t="n">
        <v>52600</v>
      </c>
      <c r="C1116" s="555" t="n">
        <v>52650</v>
      </c>
      <c r="D1116" s="556">
        <f>IF($A1116&gt;BOTT_A4,ROUND(BASE_A4+RATE_A4*($A1116-BOTT_A4),0),IF($A1116&gt;BOTT_A3,ROUND(BASE_A3+RATE_A3*($A1116-BOTT_A3),0),IF($A1116&gt;BOTT_A2,ROUND(BASE_A2+RATE_A2*($A1116-BOTT_A2),0),ROUND(RATE_A1*$A1116,0))))</f>
        <v/>
      </c>
      <c r="E1116" s="556">
        <f>IF($A1116&gt;BOTT_B4,ROUND(BASE_B4+RATE_B4*($A1116-BOTT_B4),0),IF($A1116&gt;BOTT_B3,ROUND(BASE_B3+RATE_B3*($A1116-BOTT_B3),0),IF($A1116&gt;BOTT_B2,ROUND(BASE_B2+RATE_B2*($A1116-BOTT_B2),0),ROUND(RATE_B1*$A1116,0))))</f>
        <v/>
      </c>
      <c r="F1116" s="556">
        <f>IF($A1116&gt;BOTT_C4,ROUND(BASE_C4+RATE_C4*($A1116-BOTT_C4),0),IF($A1116&gt;BOTT_C3,ROUND(BASE_C3+RATE_C3*($A1116-BOTT_C3),0),IF($A1116&gt;BOTT_C2,ROUND(BASE_C2+RATE_C2*($A1116-BOTT_C2),0),ROUND(RATE_C1*$A1116,0))))</f>
        <v/>
      </c>
      <c r="G1116" s="556">
        <f>IF($A1116&gt;BOTT_D4,ROUND(BASE_D4+RATE_D4*($A1116-BOTT_D4),0),IF($A1116&gt;BOTT_D3,ROUND(BASE_D3+RATE_D3*($A1116-BOTT_D3),0),IF($A1116&gt;BOTT_D2,ROUND(BASE_D2+RATE_D2*($A1116-BOTT_D2),0),ROUND(RATE_D1*$A1116,0))))</f>
        <v/>
      </c>
    </row>
    <row r="1117" ht="15.75" customHeight="1" s="7635">
      <c r="A1117" s="625">
        <f>AVERAGE(B1117,C1117)</f>
        <v/>
      </c>
      <c r="B1117" s="555" t="n">
        <v>52650</v>
      </c>
      <c r="C1117" s="555" t="n">
        <v>52700</v>
      </c>
      <c r="D1117" s="556">
        <f>IF($A1117&gt;BOTT_A4,ROUND(BASE_A4+RATE_A4*($A1117-BOTT_A4),0),IF($A1117&gt;BOTT_A3,ROUND(BASE_A3+RATE_A3*($A1117-BOTT_A3),0),IF($A1117&gt;BOTT_A2,ROUND(BASE_A2+RATE_A2*($A1117-BOTT_A2),0),ROUND(RATE_A1*$A1117,0))))</f>
        <v/>
      </c>
      <c r="E1117" s="556">
        <f>IF($A1117&gt;BOTT_B4,ROUND(BASE_B4+RATE_B4*($A1117-BOTT_B4),0),IF($A1117&gt;BOTT_B3,ROUND(BASE_B3+RATE_B3*($A1117-BOTT_B3),0),IF($A1117&gt;BOTT_B2,ROUND(BASE_B2+RATE_B2*($A1117-BOTT_B2),0),ROUND(RATE_B1*$A1117,0))))</f>
        <v/>
      </c>
      <c r="F1117" s="556">
        <f>IF($A1117&gt;BOTT_C4,ROUND(BASE_C4+RATE_C4*($A1117-BOTT_C4),0),IF($A1117&gt;BOTT_C3,ROUND(BASE_C3+RATE_C3*($A1117-BOTT_C3),0),IF($A1117&gt;BOTT_C2,ROUND(BASE_C2+RATE_C2*($A1117-BOTT_C2),0),ROUND(RATE_C1*$A1117,0))))</f>
        <v/>
      </c>
      <c r="G1117" s="556">
        <f>IF($A1117&gt;BOTT_D4,ROUND(BASE_D4+RATE_D4*($A1117-BOTT_D4),0),IF($A1117&gt;BOTT_D3,ROUND(BASE_D3+RATE_D3*($A1117-BOTT_D3),0),IF($A1117&gt;BOTT_D2,ROUND(BASE_D2+RATE_D2*($A1117-BOTT_D2),0),ROUND(RATE_D1*$A1117,0))))</f>
        <v/>
      </c>
    </row>
    <row r="1118" ht="15.75" customHeight="1" s="7635">
      <c r="A1118" s="625">
        <f>AVERAGE(B1118,C1118)</f>
        <v/>
      </c>
      <c r="B1118" s="555" t="n">
        <v>52700</v>
      </c>
      <c r="C1118" s="555" t="n">
        <v>52750</v>
      </c>
      <c r="D1118" s="556">
        <f>IF($A1118&gt;BOTT_A4,ROUND(BASE_A4+RATE_A4*($A1118-BOTT_A4),0),IF($A1118&gt;BOTT_A3,ROUND(BASE_A3+RATE_A3*($A1118-BOTT_A3),0),IF($A1118&gt;BOTT_A2,ROUND(BASE_A2+RATE_A2*($A1118-BOTT_A2),0),ROUND(RATE_A1*$A1118,0))))</f>
        <v/>
      </c>
      <c r="E1118" s="556">
        <f>IF($A1118&gt;BOTT_B4,ROUND(BASE_B4+RATE_B4*($A1118-BOTT_B4),0),IF($A1118&gt;BOTT_B3,ROUND(BASE_B3+RATE_B3*($A1118-BOTT_B3),0),IF($A1118&gt;BOTT_B2,ROUND(BASE_B2+RATE_B2*($A1118-BOTT_B2),0),ROUND(RATE_B1*$A1118,0))))</f>
        <v/>
      </c>
      <c r="F1118" s="556">
        <f>IF($A1118&gt;BOTT_C4,ROUND(BASE_C4+RATE_C4*($A1118-BOTT_C4),0),IF($A1118&gt;BOTT_C3,ROUND(BASE_C3+RATE_C3*($A1118-BOTT_C3),0),IF($A1118&gt;BOTT_C2,ROUND(BASE_C2+RATE_C2*($A1118-BOTT_C2),0),ROUND(RATE_C1*$A1118,0))))</f>
        <v/>
      </c>
      <c r="G1118" s="556">
        <f>IF($A1118&gt;BOTT_D4,ROUND(BASE_D4+RATE_D4*($A1118-BOTT_D4),0),IF($A1118&gt;BOTT_D3,ROUND(BASE_D3+RATE_D3*($A1118-BOTT_D3),0),IF($A1118&gt;BOTT_D2,ROUND(BASE_D2+RATE_D2*($A1118-BOTT_D2),0),ROUND(RATE_D1*$A1118,0))))</f>
        <v/>
      </c>
    </row>
    <row r="1119" ht="15.75" customHeight="1" s="7635">
      <c r="A1119" s="625">
        <f>AVERAGE(B1119,C1119)</f>
        <v/>
      </c>
      <c r="B1119" s="555" t="n">
        <v>52750</v>
      </c>
      <c r="C1119" s="555" t="n">
        <v>52800</v>
      </c>
      <c r="D1119" s="556">
        <f>IF($A1119&gt;BOTT_A4,ROUND(BASE_A4+RATE_A4*($A1119-BOTT_A4),0),IF($A1119&gt;BOTT_A3,ROUND(BASE_A3+RATE_A3*($A1119-BOTT_A3),0),IF($A1119&gt;BOTT_A2,ROUND(BASE_A2+RATE_A2*($A1119-BOTT_A2),0),ROUND(RATE_A1*$A1119,0))))</f>
        <v/>
      </c>
      <c r="E1119" s="556">
        <f>IF($A1119&gt;BOTT_B4,ROUND(BASE_B4+RATE_B4*($A1119-BOTT_B4),0),IF($A1119&gt;BOTT_B3,ROUND(BASE_B3+RATE_B3*($A1119-BOTT_B3),0),IF($A1119&gt;BOTT_B2,ROUND(BASE_B2+RATE_B2*($A1119-BOTT_B2),0),ROUND(RATE_B1*$A1119,0))))</f>
        <v/>
      </c>
      <c r="F1119" s="556">
        <f>IF($A1119&gt;BOTT_C4,ROUND(BASE_C4+RATE_C4*($A1119-BOTT_C4),0),IF($A1119&gt;BOTT_C3,ROUND(BASE_C3+RATE_C3*($A1119-BOTT_C3),0),IF($A1119&gt;BOTT_C2,ROUND(BASE_C2+RATE_C2*($A1119-BOTT_C2),0),ROUND(RATE_C1*$A1119,0))))</f>
        <v/>
      </c>
      <c r="G1119" s="556">
        <f>IF($A1119&gt;BOTT_D4,ROUND(BASE_D4+RATE_D4*($A1119-BOTT_D4),0),IF($A1119&gt;BOTT_D3,ROUND(BASE_D3+RATE_D3*($A1119-BOTT_D3),0),IF($A1119&gt;BOTT_D2,ROUND(BASE_D2+RATE_D2*($A1119-BOTT_D2),0),ROUND(RATE_D1*$A1119,0))))</f>
        <v/>
      </c>
    </row>
    <row r="1120" ht="15.75" customHeight="1" s="7635">
      <c r="A1120" s="625">
        <f>AVERAGE(B1120,C1120)</f>
        <v/>
      </c>
      <c r="B1120" s="555" t="n">
        <v>52800</v>
      </c>
      <c r="C1120" s="555" t="n">
        <v>52850</v>
      </c>
      <c r="D1120" s="556">
        <f>IF($A1120&gt;BOTT_A4,ROUND(BASE_A4+RATE_A4*($A1120-BOTT_A4),0),IF($A1120&gt;BOTT_A3,ROUND(BASE_A3+RATE_A3*($A1120-BOTT_A3),0),IF($A1120&gt;BOTT_A2,ROUND(BASE_A2+RATE_A2*($A1120-BOTT_A2),0),ROUND(RATE_A1*$A1120,0))))</f>
        <v/>
      </c>
      <c r="E1120" s="556">
        <f>IF($A1120&gt;BOTT_B4,ROUND(BASE_B4+RATE_B4*($A1120-BOTT_B4),0),IF($A1120&gt;BOTT_B3,ROUND(BASE_B3+RATE_B3*($A1120-BOTT_B3),0),IF($A1120&gt;BOTT_B2,ROUND(BASE_B2+RATE_B2*($A1120-BOTT_B2),0),ROUND(RATE_B1*$A1120,0))))</f>
        <v/>
      </c>
      <c r="F1120" s="556">
        <f>IF($A1120&gt;BOTT_C4,ROUND(BASE_C4+RATE_C4*($A1120-BOTT_C4),0),IF($A1120&gt;BOTT_C3,ROUND(BASE_C3+RATE_C3*($A1120-BOTT_C3),0),IF($A1120&gt;BOTT_C2,ROUND(BASE_C2+RATE_C2*($A1120-BOTT_C2),0),ROUND(RATE_C1*$A1120,0))))</f>
        <v/>
      </c>
      <c r="G1120" s="556">
        <f>IF($A1120&gt;BOTT_D4,ROUND(BASE_D4+RATE_D4*($A1120-BOTT_D4),0),IF($A1120&gt;BOTT_D3,ROUND(BASE_D3+RATE_D3*($A1120-BOTT_D3),0),IF($A1120&gt;BOTT_D2,ROUND(BASE_D2+RATE_D2*($A1120-BOTT_D2),0),ROUND(RATE_D1*$A1120,0))))</f>
        <v/>
      </c>
    </row>
    <row r="1121" ht="15.75" customHeight="1" s="7635">
      <c r="A1121" s="625">
        <f>AVERAGE(B1121,C1121)</f>
        <v/>
      </c>
      <c r="B1121" s="555" t="n">
        <v>52850</v>
      </c>
      <c r="C1121" s="555" t="n">
        <v>52900</v>
      </c>
      <c r="D1121" s="556">
        <f>IF($A1121&gt;BOTT_A4,ROUND(BASE_A4+RATE_A4*($A1121-BOTT_A4),0),IF($A1121&gt;BOTT_A3,ROUND(BASE_A3+RATE_A3*($A1121-BOTT_A3),0),IF($A1121&gt;BOTT_A2,ROUND(BASE_A2+RATE_A2*($A1121-BOTT_A2),0),ROUND(RATE_A1*$A1121,0))))</f>
        <v/>
      </c>
      <c r="E1121" s="556">
        <f>IF($A1121&gt;BOTT_B4,ROUND(BASE_B4+RATE_B4*($A1121-BOTT_B4),0),IF($A1121&gt;BOTT_B3,ROUND(BASE_B3+RATE_B3*($A1121-BOTT_B3),0),IF($A1121&gt;BOTT_B2,ROUND(BASE_B2+RATE_B2*($A1121-BOTT_B2),0),ROUND(RATE_B1*$A1121,0))))</f>
        <v/>
      </c>
      <c r="F1121" s="556">
        <f>IF($A1121&gt;BOTT_C4,ROUND(BASE_C4+RATE_C4*($A1121-BOTT_C4),0),IF($A1121&gt;BOTT_C3,ROUND(BASE_C3+RATE_C3*($A1121-BOTT_C3),0),IF($A1121&gt;BOTT_C2,ROUND(BASE_C2+RATE_C2*($A1121-BOTT_C2),0),ROUND(RATE_C1*$A1121,0))))</f>
        <v/>
      </c>
      <c r="G1121" s="556">
        <f>IF($A1121&gt;BOTT_D4,ROUND(BASE_D4+RATE_D4*($A1121-BOTT_D4),0),IF($A1121&gt;BOTT_D3,ROUND(BASE_D3+RATE_D3*($A1121-BOTT_D3),0),IF($A1121&gt;BOTT_D2,ROUND(BASE_D2+RATE_D2*($A1121-BOTT_D2),0),ROUND(RATE_D1*$A1121,0))))</f>
        <v/>
      </c>
    </row>
    <row r="1122" ht="15.75" customHeight="1" s="7635">
      <c r="A1122" s="625">
        <f>AVERAGE(B1122,C1122)</f>
        <v/>
      </c>
      <c r="B1122" s="555" t="n">
        <v>52900</v>
      </c>
      <c r="C1122" s="555" t="n">
        <v>52950</v>
      </c>
      <c r="D1122" s="556">
        <f>IF($A1122&gt;BOTT_A4,ROUND(BASE_A4+RATE_A4*($A1122-BOTT_A4),0),IF($A1122&gt;BOTT_A3,ROUND(BASE_A3+RATE_A3*($A1122-BOTT_A3),0),IF($A1122&gt;BOTT_A2,ROUND(BASE_A2+RATE_A2*($A1122-BOTT_A2),0),ROUND(RATE_A1*$A1122,0))))</f>
        <v/>
      </c>
      <c r="E1122" s="556">
        <f>IF($A1122&gt;BOTT_B4,ROUND(BASE_B4+RATE_B4*($A1122-BOTT_B4),0),IF($A1122&gt;BOTT_B3,ROUND(BASE_B3+RATE_B3*($A1122-BOTT_B3),0),IF($A1122&gt;BOTT_B2,ROUND(BASE_B2+RATE_B2*($A1122-BOTT_B2),0),ROUND(RATE_B1*$A1122,0))))</f>
        <v/>
      </c>
      <c r="F1122" s="556">
        <f>IF($A1122&gt;BOTT_C4,ROUND(BASE_C4+RATE_C4*($A1122-BOTT_C4),0),IF($A1122&gt;BOTT_C3,ROUND(BASE_C3+RATE_C3*($A1122-BOTT_C3),0),IF($A1122&gt;BOTT_C2,ROUND(BASE_C2+RATE_C2*($A1122-BOTT_C2),0),ROUND(RATE_C1*$A1122,0))))</f>
        <v/>
      </c>
      <c r="G1122" s="556">
        <f>IF($A1122&gt;BOTT_D4,ROUND(BASE_D4+RATE_D4*($A1122-BOTT_D4),0),IF($A1122&gt;BOTT_D3,ROUND(BASE_D3+RATE_D3*($A1122-BOTT_D3),0),IF($A1122&gt;BOTT_D2,ROUND(BASE_D2+RATE_D2*($A1122-BOTT_D2),0),ROUND(RATE_D1*$A1122,0))))</f>
        <v/>
      </c>
    </row>
    <row r="1123" ht="15.75" customHeight="1" s="7635">
      <c r="A1123" s="625">
        <f>AVERAGE(B1123,C1123)</f>
        <v/>
      </c>
      <c r="B1123" s="555" t="n">
        <v>52950</v>
      </c>
      <c r="C1123" s="555" t="n">
        <v>53000</v>
      </c>
      <c r="D1123" s="556">
        <f>IF($A1123&gt;BOTT_A4,ROUND(BASE_A4+RATE_A4*($A1123-BOTT_A4),0),IF($A1123&gt;BOTT_A3,ROUND(BASE_A3+RATE_A3*($A1123-BOTT_A3),0),IF($A1123&gt;BOTT_A2,ROUND(BASE_A2+RATE_A2*($A1123-BOTT_A2),0),ROUND(RATE_A1*$A1123,0))))</f>
        <v/>
      </c>
      <c r="E1123" s="556">
        <f>IF($A1123&gt;BOTT_B4,ROUND(BASE_B4+RATE_B4*($A1123-BOTT_B4),0),IF($A1123&gt;BOTT_B3,ROUND(BASE_B3+RATE_B3*($A1123-BOTT_B3),0),IF($A1123&gt;BOTT_B2,ROUND(BASE_B2+RATE_B2*($A1123-BOTT_B2),0),ROUND(RATE_B1*$A1123,0))))</f>
        <v/>
      </c>
      <c r="F1123" s="556">
        <f>IF($A1123&gt;BOTT_C4,ROUND(BASE_C4+RATE_C4*($A1123-BOTT_C4),0),IF($A1123&gt;BOTT_C3,ROUND(BASE_C3+RATE_C3*($A1123-BOTT_C3),0),IF($A1123&gt;BOTT_C2,ROUND(BASE_C2+RATE_C2*($A1123-BOTT_C2),0),ROUND(RATE_C1*$A1123,0))))</f>
        <v/>
      </c>
      <c r="G1123" s="556">
        <f>IF($A1123&gt;BOTT_D4,ROUND(BASE_D4+RATE_D4*($A1123-BOTT_D4),0),IF($A1123&gt;BOTT_D3,ROUND(BASE_D3+RATE_D3*($A1123-BOTT_D3),0),IF($A1123&gt;BOTT_D2,ROUND(BASE_D2+RATE_D2*($A1123-BOTT_D2),0),ROUND(RATE_D1*$A1123,0))))</f>
        <v/>
      </c>
    </row>
    <row r="1124" ht="15.75" customHeight="1" s="7635">
      <c r="A1124" s="625">
        <f>AVERAGE(B1124,C1124)</f>
        <v/>
      </c>
      <c r="B1124" s="555" t="n">
        <v>53000</v>
      </c>
      <c r="C1124" s="555" t="n">
        <v>53050</v>
      </c>
      <c r="D1124" s="556">
        <f>IF($A1124&gt;BOTT_A4,ROUND(BASE_A4+RATE_A4*($A1124-BOTT_A4),0),IF($A1124&gt;BOTT_A3,ROUND(BASE_A3+RATE_A3*($A1124-BOTT_A3),0),IF($A1124&gt;BOTT_A2,ROUND(BASE_A2+RATE_A2*($A1124-BOTT_A2),0),ROUND(RATE_A1*$A1124,0))))</f>
        <v/>
      </c>
      <c r="E1124" s="556">
        <f>IF($A1124&gt;BOTT_B4,ROUND(BASE_B4+RATE_B4*($A1124-BOTT_B4),0),IF($A1124&gt;BOTT_B3,ROUND(BASE_B3+RATE_B3*($A1124-BOTT_B3),0),IF($A1124&gt;BOTT_B2,ROUND(BASE_B2+RATE_B2*($A1124-BOTT_B2),0),ROUND(RATE_B1*$A1124,0))))</f>
        <v/>
      </c>
      <c r="F1124" s="556">
        <f>IF($A1124&gt;BOTT_C4,ROUND(BASE_C4+RATE_C4*($A1124-BOTT_C4),0),IF($A1124&gt;BOTT_C3,ROUND(BASE_C3+RATE_C3*($A1124-BOTT_C3),0),IF($A1124&gt;BOTT_C2,ROUND(BASE_C2+RATE_C2*($A1124-BOTT_C2),0),ROUND(RATE_C1*$A1124,0))))</f>
        <v/>
      </c>
      <c r="G1124" s="556">
        <f>IF($A1124&gt;BOTT_D4,ROUND(BASE_D4+RATE_D4*($A1124-BOTT_D4),0),IF($A1124&gt;BOTT_D3,ROUND(BASE_D3+RATE_D3*($A1124-BOTT_D3),0),IF($A1124&gt;BOTT_D2,ROUND(BASE_D2+RATE_D2*($A1124-BOTT_D2),0),ROUND(RATE_D1*$A1124,0))))</f>
        <v/>
      </c>
    </row>
    <row r="1125" ht="15.75" customHeight="1" s="7635">
      <c r="A1125" s="625">
        <f>AVERAGE(B1125,C1125)</f>
        <v/>
      </c>
      <c r="B1125" s="555" t="n">
        <v>53050</v>
      </c>
      <c r="C1125" s="555" t="n">
        <v>53100</v>
      </c>
      <c r="D1125" s="556">
        <f>IF($A1125&gt;BOTT_A4,ROUND(BASE_A4+RATE_A4*($A1125-BOTT_A4),0),IF($A1125&gt;BOTT_A3,ROUND(BASE_A3+RATE_A3*($A1125-BOTT_A3),0),IF($A1125&gt;BOTT_A2,ROUND(BASE_A2+RATE_A2*($A1125-BOTT_A2),0),ROUND(RATE_A1*$A1125,0))))</f>
        <v/>
      </c>
      <c r="E1125" s="556">
        <f>IF($A1125&gt;BOTT_B4,ROUND(BASE_B4+RATE_B4*($A1125-BOTT_B4),0),IF($A1125&gt;BOTT_B3,ROUND(BASE_B3+RATE_B3*($A1125-BOTT_B3),0),IF($A1125&gt;BOTT_B2,ROUND(BASE_B2+RATE_B2*($A1125-BOTT_B2),0),ROUND(RATE_B1*$A1125,0))))</f>
        <v/>
      </c>
      <c r="F1125" s="556">
        <f>IF($A1125&gt;BOTT_C4,ROUND(BASE_C4+RATE_C4*($A1125-BOTT_C4),0),IF($A1125&gt;BOTT_C3,ROUND(BASE_C3+RATE_C3*($A1125-BOTT_C3),0),IF($A1125&gt;BOTT_C2,ROUND(BASE_C2+RATE_C2*($A1125-BOTT_C2),0),ROUND(RATE_C1*$A1125,0))))</f>
        <v/>
      </c>
      <c r="G1125" s="556">
        <f>IF($A1125&gt;BOTT_D4,ROUND(BASE_D4+RATE_D4*($A1125-BOTT_D4),0),IF($A1125&gt;BOTT_D3,ROUND(BASE_D3+RATE_D3*($A1125-BOTT_D3),0),IF($A1125&gt;BOTT_D2,ROUND(BASE_D2+RATE_D2*($A1125-BOTT_D2),0),ROUND(RATE_D1*$A1125,0))))</f>
        <v/>
      </c>
    </row>
    <row r="1126" ht="15.75" customHeight="1" s="7635">
      <c r="A1126" s="625">
        <f>AVERAGE(B1126,C1126)</f>
        <v/>
      </c>
      <c r="B1126" s="555" t="n">
        <v>53100</v>
      </c>
      <c r="C1126" s="555" t="n">
        <v>53150</v>
      </c>
      <c r="D1126" s="556">
        <f>IF($A1126&gt;BOTT_A4,ROUND(BASE_A4+RATE_A4*($A1126-BOTT_A4),0),IF($A1126&gt;BOTT_A3,ROUND(BASE_A3+RATE_A3*($A1126-BOTT_A3),0),IF($A1126&gt;BOTT_A2,ROUND(BASE_A2+RATE_A2*($A1126-BOTT_A2),0),ROUND(RATE_A1*$A1126,0))))</f>
        <v/>
      </c>
      <c r="E1126" s="556">
        <f>IF($A1126&gt;BOTT_B4,ROUND(BASE_B4+RATE_B4*($A1126-BOTT_B4),0),IF($A1126&gt;BOTT_B3,ROUND(BASE_B3+RATE_B3*($A1126-BOTT_B3),0),IF($A1126&gt;BOTT_B2,ROUND(BASE_B2+RATE_B2*($A1126-BOTT_B2),0),ROUND(RATE_B1*$A1126,0))))</f>
        <v/>
      </c>
      <c r="F1126" s="556">
        <f>IF($A1126&gt;BOTT_C4,ROUND(BASE_C4+RATE_C4*($A1126-BOTT_C4),0),IF($A1126&gt;BOTT_C3,ROUND(BASE_C3+RATE_C3*($A1126-BOTT_C3),0),IF($A1126&gt;BOTT_C2,ROUND(BASE_C2+RATE_C2*($A1126-BOTT_C2),0),ROUND(RATE_C1*$A1126,0))))</f>
        <v/>
      </c>
      <c r="G1126" s="556">
        <f>IF($A1126&gt;BOTT_D4,ROUND(BASE_D4+RATE_D4*($A1126-BOTT_D4),0),IF($A1126&gt;BOTT_D3,ROUND(BASE_D3+RATE_D3*($A1126-BOTT_D3),0),IF($A1126&gt;BOTT_D2,ROUND(BASE_D2+RATE_D2*($A1126-BOTT_D2),0),ROUND(RATE_D1*$A1126,0))))</f>
        <v/>
      </c>
    </row>
    <row r="1127" ht="15.75" customHeight="1" s="7635">
      <c r="A1127" s="625">
        <f>AVERAGE(B1127,C1127)</f>
        <v/>
      </c>
      <c r="B1127" s="555" t="n">
        <v>53150</v>
      </c>
      <c r="C1127" s="555" t="n">
        <v>53200</v>
      </c>
      <c r="D1127" s="556">
        <f>IF($A1127&gt;BOTT_A4,ROUND(BASE_A4+RATE_A4*($A1127-BOTT_A4),0),IF($A1127&gt;BOTT_A3,ROUND(BASE_A3+RATE_A3*($A1127-BOTT_A3),0),IF($A1127&gt;BOTT_A2,ROUND(BASE_A2+RATE_A2*($A1127-BOTT_A2),0),ROUND(RATE_A1*$A1127,0))))</f>
        <v/>
      </c>
      <c r="E1127" s="556">
        <f>IF($A1127&gt;BOTT_B4,ROUND(BASE_B4+RATE_B4*($A1127-BOTT_B4),0),IF($A1127&gt;BOTT_B3,ROUND(BASE_B3+RATE_B3*($A1127-BOTT_B3),0),IF($A1127&gt;BOTT_B2,ROUND(BASE_B2+RATE_B2*($A1127-BOTT_B2),0),ROUND(RATE_B1*$A1127,0))))</f>
        <v/>
      </c>
      <c r="F1127" s="556">
        <f>IF($A1127&gt;BOTT_C4,ROUND(BASE_C4+RATE_C4*($A1127-BOTT_C4),0),IF($A1127&gt;BOTT_C3,ROUND(BASE_C3+RATE_C3*($A1127-BOTT_C3),0),IF($A1127&gt;BOTT_C2,ROUND(BASE_C2+RATE_C2*($A1127-BOTT_C2),0),ROUND(RATE_C1*$A1127,0))))</f>
        <v/>
      </c>
      <c r="G1127" s="556">
        <f>IF($A1127&gt;BOTT_D4,ROUND(BASE_D4+RATE_D4*($A1127-BOTT_D4),0),IF($A1127&gt;BOTT_D3,ROUND(BASE_D3+RATE_D3*($A1127-BOTT_D3),0),IF($A1127&gt;BOTT_D2,ROUND(BASE_D2+RATE_D2*($A1127-BOTT_D2),0),ROUND(RATE_D1*$A1127,0))))</f>
        <v/>
      </c>
    </row>
    <row r="1128" ht="15.75" customHeight="1" s="7635">
      <c r="A1128" s="625">
        <f>AVERAGE(B1128,C1128)</f>
        <v/>
      </c>
      <c r="B1128" s="555" t="n">
        <v>53200</v>
      </c>
      <c r="C1128" s="555" t="n">
        <v>53250</v>
      </c>
      <c r="D1128" s="556">
        <f>IF($A1128&gt;BOTT_A4,ROUND(BASE_A4+RATE_A4*($A1128-BOTT_A4),0),IF($A1128&gt;BOTT_A3,ROUND(BASE_A3+RATE_A3*($A1128-BOTT_A3),0),IF($A1128&gt;BOTT_A2,ROUND(BASE_A2+RATE_A2*($A1128-BOTT_A2),0),ROUND(RATE_A1*$A1128,0))))</f>
        <v/>
      </c>
      <c r="E1128" s="556">
        <f>IF($A1128&gt;BOTT_B4,ROUND(BASE_B4+RATE_B4*($A1128-BOTT_B4),0),IF($A1128&gt;BOTT_B3,ROUND(BASE_B3+RATE_B3*($A1128-BOTT_B3),0),IF($A1128&gt;BOTT_B2,ROUND(BASE_B2+RATE_B2*($A1128-BOTT_B2),0),ROUND(RATE_B1*$A1128,0))))</f>
        <v/>
      </c>
      <c r="F1128" s="556">
        <f>IF($A1128&gt;BOTT_C4,ROUND(BASE_C4+RATE_C4*($A1128-BOTT_C4),0),IF($A1128&gt;BOTT_C3,ROUND(BASE_C3+RATE_C3*($A1128-BOTT_C3),0),IF($A1128&gt;BOTT_C2,ROUND(BASE_C2+RATE_C2*($A1128-BOTT_C2),0),ROUND(RATE_C1*$A1128,0))))</f>
        <v/>
      </c>
      <c r="G1128" s="556">
        <f>IF($A1128&gt;BOTT_D4,ROUND(BASE_D4+RATE_D4*($A1128-BOTT_D4),0),IF($A1128&gt;BOTT_D3,ROUND(BASE_D3+RATE_D3*($A1128-BOTT_D3),0),IF($A1128&gt;BOTT_D2,ROUND(BASE_D2+RATE_D2*($A1128-BOTT_D2),0),ROUND(RATE_D1*$A1128,0))))</f>
        <v/>
      </c>
    </row>
    <row r="1129" ht="15.75" customHeight="1" s="7635">
      <c r="A1129" s="625">
        <f>AVERAGE(B1129,C1129)</f>
        <v/>
      </c>
      <c r="B1129" s="555" t="n">
        <v>53250</v>
      </c>
      <c r="C1129" s="555" t="n">
        <v>53300</v>
      </c>
      <c r="D1129" s="556">
        <f>IF($A1129&gt;BOTT_A4,ROUND(BASE_A4+RATE_A4*($A1129-BOTT_A4),0),IF($A1129&gt;BOTT_A3,ROUND(BASE_A3+RATE_A3*($A1129-BOTT_A3),0),IF($A1129&gt;BOTT_A2,ROUND(BASE_A2+RATE_A2*($A1129-BOTT_A2),0),ROUND(RATE_A1*$A1129,0))))</f>
        <v/>
      </c>
      <c r="E1129" s="556">
        <f>IF($A1129&gt;BOTT_B4,ROUND(BASE_B4+RATE_B4*($A1129-BOTT_B4),0),IF($A1129&gt;BOTT_B3,ROUND(BASE_B3+RATE_B3*($A1129-BOTT_B3),0),IF($A1129&gt;BOTT_B2,ROUND(BASE_B2+RATE_B2*($A1129-BOTT_B2),0),ROUND(RATE_B1*$A1129,0))))</f>
        <v/>
      </c>
      <c r="F1129" s="556">
        <f>IF($A1129&gt;BOTT_C4,ROUND(BASE_C4+RATE_C4*($A1129-BOTT_C4),0),IF($A1129&gt;BOTT_C3,ROUND(BASE_C3+RATE_C3*($A1129-BOTT_C3),0),IF($A1129&gt;BOTT_C2,ROUND(BASE_C2+RATE_C2*($A1129-BOTT_C2),0),ROUND(RATE_C1*$A1129,0))))</f>
        <v/>
      </c>
      <c r="G1129" s="556">
        <f>IF($A1129&gt;BOTT_D4,ROUND(BASE_D4+RATE_D4*($A1129-BOTT_D4),0),IF($A1129&gt;BOTT_D3,ROUND(BASE_D3+RATE_D3*($A1129-BOTT_D3),0),IF($A1129&gt;BOTT_D2,ROUND(BASE_D2+RATE_D2*($A1129-BOTT_D2),0),ROUND(RATE_D1*$A1129,0))))</f>
        <v/>
      </c>
    </row>
    <row r="1130" ht="15.75" customHeight="1" s="7635">
      <c r="A1130" s="625">
        <f>AVERAGE(B1130,C1130)</f>
        <v/>
      </c>
      <c r="B1130" s="555" t="n">
        <v>53300</v>
      </c>
      <c r="C1130" s="555" t="n">
        <v>53350</v>
      </c>
      <c r="D1130" s="556">
        <f>IF($A1130&gt;BOTT_A4,ROUND(BASE_A4+RATE_A4*($A1130-BOTT_A4),0),IF($A1130&gt;BOTT_A3,ROUND(BASE_A3+RATE_A3*($A1130-BOTT_A3),0),IF($A1130&gt;BOTT_A2,ROUND(BASE_A2+RATE_A2*($A1130-BOTT_A2),0),ROUND(RATE_A1*$A1130,0))))</f>
        <v/>
      </c>
      <c r="E1130" s="556">
        <f>IF($A1130&gt;BOTT_B4,ROUND(BASE_B4+RATE_B4*($A1130-BOTT_B4),0),IF($A1130&gt;BOTT_B3,ROUND(BASE_B3+RATE_B3*($A1130-BOTT_B3),0),IF($A1130&gt;BOTT_B2,ROUND(BASE_B2+RATE_B2*($A1130-BOTT_B2),0),ROUND(RATE_B1*$A1130,0))))</f>
        <v/>
      </c>
      <c r="F1130" s="556">
        <f>IF($A1130&gt;BOTT_C4,ROUND(BASE_C4+RATE_C4*($A1130-BOTT_C4),0),IF($A1130&gt;BOTT_C3,ROUND(BASE_C3+RATE_C3*($A1130-BOTT_C3),0),IF($A1130&gt;BOTT_C2,ROUND(BASE_C2+RATE_C2*($A1130-BOTT_C2),0),ROUND(RATE_C1*$A1130,0))))</f>
        <v/>
      </c>
      <c r="G1130" s="556">
        <f>IF($A1130&gt;BOTT_D4,ROUND(BASE_D4+RATE_D4*($A1130-BOTT_D4),0),IF($A1130&gt;BOTT_D3,ROUND(BASE_D3+RATE_D3*($A1130-BOTT_D3),0),IF($A1130&gt;BOTT_D2,ROUND(BASE_D2+RATE_D2*($A1130-BOTT_D2),0),ROUND(RATE_D1*$A1130,0))))</f>
        <v/>
      </c>
    </row>
    <row r="1131" ht="15.75" customHeight="1" s="7635">
      <c r="A1131" s="625">
        <f>AVERAGE(B1131,C1131)</f>
        <v/>
      </c>
      <c r="B1131" s="555" t="n">
        <v>53350</v>
      </c>
      <c r="C1131" s="555" t="n">
        <v>53400</v>
      </c>
      <c r="D1131" s="556">
        <f>IF($A1131&gt;BOTT_A4,ROUND(BASE_A4+RATE_A4*($A1131-BOTT_A4),0),IF($A1131&gt;BOTT_A3,ROUND(BASE_A3+RATE_A3*($A1131-BOTT_A3),0),IF($A1131&gt;BOTT_A2,ROUND(BASE_A2+RATE_A2*($A1131-BOTT_A2),0),ROUND(RATE_A1*$A1131,0))))</f>
        <v/>
      </c>
      <c r="E1131" s="556">
        <f>IF($A1131&gt;BOTT_B4,ROUND(BASE_B4+RATE_B4*($A1131-BOTT_B4),0),IF($A1131&gt;BOTT_B3,ROUND(BASE_B3+RATE_B3*($A1131-BOTT_B3),0),IF($A1131&gt;BOTT_B2,ROUND(BASE_B2+RATE_B2*($A1131-BOTT_B2),0),ROUND(RATE_B1*$A1131,0))))</f>
        <v/>
      </c>
      <c r="F1131" s="556">
        <f>IF($A1131&gt;BOTT_C4,ROUND(BASE_C4+RATE_C4*($A1131-BOTT_C4),0),IF($A1131&gt;BOTT_C3,ROUND(BASE_C3+RATE_C3*($A1131-BOTT_C3),0),IF($A1131&gt;BOTT_C2,ROUND(BASE_C2+RATE_C2*($A1131-BOTT_C2),0),ROUND(RATE_C1*$A1131,0))))</f>
        <v/>
      </c>
      <c r="G1131" s="556">
        <f>IF($A1131&gt;BOTT_D4,ROUND(BASE_D4+RATE_D4*($A1131-BOTT_D4),0),IF($A1131&gt;BOTT_D3,ROUND(BASE_D3+RATE_D3*($A1131-BOTT_D3),0),IF($A1131&gt;BOTT_D2,ROUND(BASE_D2+RATE_D2*($A1131-BOTT_D2),0),ROUND(RATE_D1*$A1131,0))))</f>
        <v/>
      </c>
    </row>
    <row r="1132" ht="15.75" customHeight="1" s="7635">
      <c r="A1132" s="625">
        <f>AVERAGE(B1132,C1132)</f>
        <v/>
      </c>
      <c r="B1132" s="555" t="n">
        <v>53400</v>
      </c>
      <c r="C1132" s="555" t="n">
        <v>53450</v>
      </c>
      <c r="D1132" s="556">
        <f>IF($A1132&gt;BOTT_A4,ROUND(BASE_A4+RATE_A4*($A1132-BOTT_A4),0),IF($A1132&gt;BOTT_A3,ROUND(BASE_A3+RATE_A3*($A1132-BOTT_A3),0),IF($A1132&gt;BOTT_A2,ROUND(BASE_A2+RATE_A2*($A1132-BOTT_A2),0),ROUND(RATE_A1*$A1132,0))))</f>
        <v/>
      </c>
      <c r="E1132" s="556">
        <f>IF($A1132&gt;BOTT_B4,ROUND(BASE_B4+RATE_B4*($A1132-BOTT_B4),0),IF($A1132&gt;BOTT_B3,ROUND(BASE_B3+RATE_B3*($A1132-BOTT_B3),0),IF($A1132&gt;BOTT_B2,ROUND(BASE_B2+RATE_B2*($A1132-BOTT_B2),0),ROUND(RATE_B1*$A1132,0))))</f>
        <v/>
      </c>
      <c r="F1132" s="556">
        <f>IF($A1132&gt;BOTT_C4,ROUND(BASE_C4+RATE_C4*($A1132-BOTT_C4),0),IF($A1132&gt;BOTT_C3,ROUND(BASE_C3+RATE_C3*($A1132-BOTT_C3),0),IF($A1132&gt;BOTT_C2,ROUND(BASE_C2+RATE_C2*($A1132-BOTT_C2),0),ROUND(RATE_C1*$A1132,0))))</f>
        <v/>
      </c>
      <c r="G1132" s="556">
        <f>IF($A1132&gt;BOTT_D4,ROUND(BASE_D4+RATE_D4*($A1132-BOTT_D4),0),IF($A1132&gt;BOTT_D3,ROUND(BASE_D3+RATE_D3*($A1132-BOTT_D3),0),IF($A1132&gt;BOTT_D2,ROUND(BASE_D2+RATE_D2*($A1132-BOTT_D2),0),ROUND(RATE_D1*$A1132,0))))</f>
        <v/>
      </c>
    </row>
    <row r="1133" ht="15.75" customHeight="1" s="7635">
      <c r="A1133" s="625">
        <f>AVERAGE(B1133,C1133)</f>
        <v/>
      </c>
      <c r="B1133" s="555" t="n">
        <v>53450</v>
      </c>
      <c r="C1133" s="555" t="n">
        <v>53500</v>
      </c>
      <c r="D1133" s="556">
        <f>IF($A1133&gt;BOTT_A4,ROUND(BASE_A4+RATE_A4*($A1133-BOTT_A4),0),IF($A1133&gt;BOTT_A3,ROUND(BASE_A3+RATE_A3*($A1133-BOTT_A3),0),IF($A1133&gt;BOTT_A2,ROUND(BASE_A2+RATE_A2*($A1133-BOTT_A2),0),ROUND(RATE_A1*$A1133,0))))</f>
        <v/>
      </c>
      <c r="E1133" s="556">
        <f>IF($A1133&gt;BOTT_B4,ROUND(BASE_B4+RATE_B4*($A1133-BOTT_B4),0),IF($A1133&gt;BOTT_B3,ROUND(BASE_B3+RATE_B3*($A1133-BOTT_B3),0),IF($A1133&gt;BOTT_B2,ROUND(BASE_B2+RATE_B2*($A1133-BOTT_B2),0),ROUND(RATE_B1*$A1133,0))))</f>
        <v/>
      </c>
      <c r="F1133" s="556">
        <f>IF($A1133&gt;BOTT_C4,ROUND(BASE_C4+RATE_C4*($A1133-BOTT_C4),0),IF($A1133&gt;BOTT_C3,ROUND(BASE_C3+RATE_C3*($A1133-BOTT_C3),0),IF($A1133&gt;BOTT_C2,ROUND(BASE_C2+RATE_C2*($A1133-BOTT_C2),0),ROUND(RATE_C1*$A1133,0))))</f>
        <v/>
      </c>
      <c r="G1133" s="556">
        <f>IF($A1133&gt;BOTT_D4,ROUND(BASE_D4+RATE_D4*($A1133-BOTT_D4),0),IF($A1133&gt;BOTT_D3,ROUND(BASE_D3+RATE_D3*($A1133-BOTT_D3),0),IF($A1133&gt;BOTT_D2,ROUND(BASE_D2+RATE_D2*($A1133-BOTT_D2),0),ROUND(RATE_D1*$A1133,0))))</f>
        <v/>
      </c>
    </row>
    <row r="1134" ht="15.75" customHeight="1" s="7635">
      <c r="A1134" s="625">
        <f>AVERAGE(B1134,C1134)</f>
        <v/>
      </c>
      <c r="B1134" s="555" t="n">
        <v>53500</v>
      </c>
      <c r="C1134" s="555" t="n">
        <v>53550</v>
      </c>
      <c r="D1134" s="556">
        <f>IF($A1134&gt;BOTT_A4,ROUND(BASE_A4+RATE_A4*($A1134-BOTT_A4),0),IF($A1134&gt;BOTT_A3,ROUND(BASE_A3+RATE_A3*($A1134-BOTT_A3),0),IF($A1134&gt;BOTT_A2,ROUND(BASE_A2+RATE_A2*($A1134-BOTT_A2),0),ROUND(RATE_A1*$A1134,0))))</f>
        <v/>
      </c>
      <c r="E1134" s="556">
        <f>IF($A1134&gt;BOTT_B4,ROUND(BASE_B4+RATE_B4*($A1134-BOTT_B4),0),IF($A1134&gt;BOTT_B3,ROUND(BASE_B3+RATE_B3*($A1134-BOTT_B3),0),IF($A1134&gt;BOTT_B2,ROUND(BASE_B2+RATE_B2*($A1134-BOTT_B2),0),ROUND(RATE_B1*$A1134,0))))</f>
        <v/>
      </c>
      <c r="F1134" s="556">
        <f>IF($A1134&gt;BOTT_C4,ROUND(BASE_C4+RATE_C4*($A1134-BOTT_C4),0),IF($A1134&gt;BOTT_C3,ROUND(BASE_C3+RATE_C3*($A1134-BOTT_C3),0),IF($A1134&gt;BOTT_C2,ROUND(BASE_C2+RATE_C2*($A1134-BOTT_C2),0),ROUND(RATE_C1*$A1134,0))))</f>
        <v/>
      </c>
      <c r="G1134" s="556">
        <f>IF($A1134&gt;BOTT_D4,ROUND(BASE_D4+RATE_D4*($A1134-BOTT_D4),0),IF($A1134&gt;BOTT_D3,ROUND(BASE_D3+RATE_D3*($A1134-BOTT_D3),0),IF($A1134&gt;BOTT_D2,ROUND(BASE_D2+RATE_D2*($A1134-BOTT_D2),0),ROUND(RATE_D1*$A1134,0))))</f>
        <v/>
      </c>
    </row>
    <row r="1135" ht="15.75" customHeight="1" s="7635">
      <c r="A1135" s="625">
        <f>AVERAGE(B1135,C1135)</f>
        <v/>
      </c>
      <c r="B1135" s="555" t="n">
        <v>53550</v>
      </c>
      <c r="C1135" s="555" t="n">
        <v>53600</v>
      </c>
      <c r="D1135" s="556">
        <f>IF($A1135&gt;BOTT_A4,ROUND(BASE_A4+RATE_A4*($A1135-BOTT_A4),0),IF($A1135&gt;BOTT_A3,ROUND(BASE_A3+RATE_A3*($A1135-BOTT_A3),0),IF($A1135&gt;BOTT_A2,ROUND(BASE_A2+RATE_A2*($A1135-BOTT_A2),0),ROUND(RATE_A1*$A1135,0))))</f>
        <v/>
      </c>
      <c r="E1135" s="556">
        <f>IF($A1135&gt;BOTT_B4,ROUND(BASE_B4+RATE_B4*($A1135-BOTT_B4),0),IF($A1135&gt;BOTT_B3,ROUND(BASE_B3+RATE_B3*($A1135-BOTT_B3),0),IF($A1135&gt;BOTT_B2,ROUND(BASE_B2+RATE_B2*($A1135-BOTT_B2),0),ROUND(RATE_B1*$A1135,0))))</f>
        <v/>
      </c>
      <c r="F1135" s="556">
        <f>IF($A1135&gt;BOTT_C4,ROUND(BASE_C4+RATE_C4*($A1135-BOTT_C4),0),IF($A1135&gt;BOTT_C3,ROUND(BASE_C3+RATE_C3*($A1135-BOTT_C3),0),IF($A1135&gt;BOTT_C2,ROUND(BASE_C2+RATE_C2*($A1135-BOTT_C2),0),ROUND(RATE_C1*$A1135,0))))</f>
        <v/>
      </c>
      <c r="G1135" s="556">
        <f>IF($A1135&gt;BOTT_D4,ROUND(BASE_D4+RATE_D4*($A1135-BOTT_D4),0),IF($A1135&gt;BOTT_D3,ROUND(BASE_D3+RATE_D3*($A1135-BOTT_D3),0),IF($A1135&gt;BOTT_D2,ROUND(BASE_D2+RATE_D2*($A1135-BOTT_D2),0),ROUND(RATE_D1*$A1135,0))))</f>
        <v/>
      </c>
    </row>
    <row r="1136" ht="15.75" customHeight="1" s="7635">
      <c r="A1136" s="625">
        <f>AVERAGE(B1136,C1136)</f>
        <v/>
      </c>
      <c r="B1136" s="555" t="n">
        <v>53600</v>
      </c>
      <c r="C1136" s="555" t="n">
        <v>53650</v>
      </c>
      <c r="D1136" s="556">
        <f>IF($A1136&gt;BOTT_A4,ROUND(BASE_A4+RATE_A4*($A1136-BOTT_A4),0),IF($A1136&gt;BOTT_A3,ROUND(BASE_A3+RATE_A3*($A1136-BOTT_A3),0),IF($A1136&gt;BOTT_A2,ROUND(BASE_A2+RATE_A2*($A1136-BOTT_A2),0),ROUND(RATE_A1*$A1136,0))))</f>
        <v/>
      </c>
      <c r="E1136" s="556">
        <f>IF($A1136&gt;BOTT_B4,ROUND(BASE_B4+RATE_B4*($A1136-BOTT_B4),0),IF($A1136&gt;BOTT_B3,ROUND(BASE_B3+RATE_B3*($A1136-BOTT_B3),0),IF($A1136&gt;BOTT_B2,ROUND(BASE_B2+RATE_B2*($A1136-BOTT_B2),0),ROUND(RATE_B1*$A1136,0))))</f>
        <v/>
      </c>
      <c r="F1136" s="556">
        <f>IF($A1136&gt;BOTT_C4,ROUND(BASE_C4+RATE_C4*($A1136-BOTT_C4),0),IF($A1136&gt;BOTT_C3,ROUND(BASE_C3+RATE_C3*($A1136-BOTT_C3),0),IF($A1136&gt;BOTT_C2,ROUND(BASE_C2+RATE_C2*($A1136-BOTT_C2),0),ROUND(RATE_C1*$A1136,0))))</f>
        <v/>
      </c>
      <c r="G1136" s="556">
        <f>IF($A1136&gt;BOTT_D4,ROUND(BASE_D4+RATE_D4*($A1136-BOTT_D4),0),IF($A1136&gt;BOTT_D3,ROUND(BASE_D3+RATE_D3*($A1136-BOTT_D3),0),IF($A1136&gt;BOTT_D2,ROUND(BASE_D2+RATE_D2*($A1136-BOTT_D2),0),ROUND(RATE_D1*$A1136,0))))</f>
        <v/>
      </c>
    </row>
    <row r="1137" ht="15.75" customHeight="1" s="7635">
      <c r="A1137" s="625">
        <f>AVERAGE(B1137,C1137)</f>
        <v/>
      </c>
      <c r="B1137" s="555" t="n">
        <v>53650</v>
      </c>
      <c r="C1137" s="555" t="n">
        <v>53700</v>
      </c>
      <c r="D1137" s="556">
        <f>IF($A1137&gt;BOTT_A4,ROUND(BASE_A4+RATE_A4*($A1137-BOTT_A4),0),IF($A1137&gt;BOTT_A3,ROUND(BASE_A3+RATE_A3*($A1137-BOTT_A3),0),IF($A1137&gt;BOTT_A2,ROUND(BASE_A2+RATE_A2*($A1137-BOTT_A2),0),ROUND(RATE_A1*$A1137,0))))</f>
        <v/>
      </c>
      <c r="E1137" s="556">
        <f>IF($A1137&gt;BOTT_B4,ROUND(BASE_B4+RATE_B4*($A1137-BOTT_B4),0),IF($A1137&gt;BOTT_B3,ROUND(BASE_B3+RATE_B3*($A1137-BOTT_B3),0),IF($A1137&gt;BOTT_B2,ROUND(BASE_B2+RATE_B2*($A1137-BOTT_B2),0),ROUND(RATE_B1*$A1137,0))))</f>
        <v/>
      </c>
      <c r="F1137" s="556">
        <f>IF($A1137&gt;BOTT_C4,ROUND(BASE_C4+RATE_C4*($A1137-BOTT_C4),0),IF($A1137&gt;BOTT_C3,ROUND(BASE_C3+RATE_C3*($A1137-BOTT_C3),0),IF($A1137&gt;BOTT_C2,ROUND(BASE_C2+RATE_C2*($A1137-BOTT_C2),0),ROUND(RATE_C1*$A1137,0))))</f>
        <v/>
      </c>
      <c r="G1137" s="556">
        <f>IF($A1137&gt;BOTT_D4,ROUND(BASE_D4+RATE_D4*($A1137-BOTT_D4),0),IF($A1137&gt;BOTT_D3,ROUND(BASE_D3+RATE_D3*($A1137-BOTT_D3),0),IF($A1137&gt;BOTT_D2,ROUND(BASE_D2+RATE_D2*($A1137-BOTT_D2),0),ROUND(RATE_D1*$A1137,0))))</f>
        <v/>
      </c>
    </row>
    <row r="1138" ht="15.75" customHeight="1" s="7635">
      <c r="A1138" s="625">
        <f>AVERAGE(B1138,C1138)</f>
        <v/>
      </c>
      <c r="B1138" s="555" t="n">
        <v>53700</v>
      </c>
      <c r="C1138" s="555" t="n">
        <v>53750</v>
      </c>
      <c r="D1138" s="556">
        <f>IF($A1138&gt;BOTT_A4,ROUND(BASE_A4+RATE_A4*($A1138-BOTT_A4),0),IF($A1138&gt;BOTT_A3,ROUND(BASE_A3+RATE_A3*($A1138-BOTT_A3),0),IF($A1138&gt;BOTT_A2,ROUND(BASE_A2+RATE_A2*($A1138-BOTT_A2),0),ROUND(RATE_A1*$A1138,0))))</f>
        <v/>
      </c>
      <c r="E1138" s="556">
        <f>IF($A1138&gt;BOTT_B4,ROUND(BASE_B4+RATE_B4*($A1138-BOTT_B4),0),IF($A1138&gt;BOTT_B3,ROUND(BASE_B3+RATE_B3*($A1138-BOTT_B3),0),IF($A1138&gt;BOTT_B2,ROUND(BASE_B2+RATE_B2*($A1138-BOTT_B2),0),ROUND(RATE_B1*$A1138,0))))</f>
        <v/>
      </c>
      <c r="F1138" s="556">
        <f>IF($A1138&gt;BOTT_C4,ROUND(BASE_C4+RATE_C4*($A1138-BOTT_C4),0),IF($A1138&gt;BOTT_C3,ROUND(BASE_C3+RATE_C3*($A1138-BOTT_C3),0),IF($A1138&gt;BOTT_C2,ROUND(BASE_C2+RATE_C2*($A1138-BOTT_C2),0),ROUND(RATE_C1*$A1138,0))))</f>
        <v/>
      </c>
      <c r="G1138" s="556">
        <f>IF($A1138&gt;BOTT_D4,ROUND(BASE_D4+RATE_D4*($A1138-BOTT_D4),0),IF($A1138&gt;BOTT_D3,ROUND(BASE_D3+RATE_D3*($A1138-BOTT_D3),0),IF($A1138&gt;BOTT_D2,ROUND(BASE_D2+RATE_D2*($A1138-BOTT_D2),0),ROUND(RATE_D1*$A1138,0))))</f>
        <v/>
      </c>
    </row>
    <row r="1139" ht="15.75" customHeight="1" s="7635">
      <c r="A1139" s="625">
        <f>AVERAGE(B1139,C1139)</f>
        <v/>
      </c>
      <c r="B1139" s="555" t="n">
        <v>53750</v>
      </c>
      <c r="C1139" s="555" t="n">
        <v>53800</v>
      </c>
      <c r="D1139" s="556">
        <f>IF($A1139&gt;BOTT_A4,ROUND(BASE_A4+RATE_A4*($A1139-BOTT_A4),0),IF($A1139&gt;BOTT_A3,ROUND(BASE_A3+RATE_A3*($A1139-BOTT_A3),0),IF($A1139&gt;BOTT_A2,ROUND(BASE_A2+RATE_A2*($A1139-BOTT_A2),0),ROUND(RATE_A1*$A1139,0))))</f>
        <v/>
      </c>
      <c r="E1139" s="556">
        <f>IF($A1139&gt;BOTT_B4,ROUND(BASE_B4+RATE_B4*($A1139-BOTT_B4),0),IF($A1139&gt;BOTT_B3,ROUND(BASE_B3+RATE_B3*($A1139-BOTT_B3),0),IF($A1139&gt;BOTT_B2,ROUND(BASE_B2+RATE_B2*($A1139-BOTT_B2),0),ROUND(RATE_B1*$A1139,0))))</f>
        <v/>
      </c>
      <c r="F1139" s="556">
        <f>IF($A1139&gt;BOTT_C4,ROUND(BASE_C4+RATE_C4*($A1139-BOTT_C4),0),IF($A1139&gt;BOTT_C3,ROUND(BASE_C3+RATE_C3*($A1139-BOTT_C3),0),IF($A1139&gt;BOTT_C2,ROUND(BASE_C2+RATE_C2*($A1139-BOTT_C2),0),ROUND(RATE_C1*$A1139,0))))</f>
        <v/>
      </c>
      <c r="G1139" s="556">
        <f>IF($A1139&gt;BOTT_D4,ROUND(BASE_D4+RATE_D4*($A1139-BOTT_D4),0),IF($A1139&gt;BOTT_D3,ROUND(BASE_D3+RATE_D3*($A1139-BOTT_D3),0),IF($A1139&gt;BOTT_D2,ROUND(BASE_D2+RATE_D2*($A1139-BOTT_D2),0),ROUND(RATE_D1*$A1139,0))))</f>
        <v/>
      </c>
    </row>
    <row r="1140" ht="15.75" customHeight="1" s="7635">
      <c r="A1140" s="625">
        <f>AVERAGE(B1140,C1140)</f>
        <v/>
      </c>
      <c r="B1140" s="555" t="n">
        <v>53800</v>
      </c>
      <c r="C1140" s="555" t="n">
        <v>53850</v>
      </c>
      <c r="D1140" s="556">
        <f>IF($A1140&gt;BOTT_A4,ROUND(BASE_A4+RATE_A4*($A1140-BOTT_A4),0),IF($A1140&gt;BOTT_A3,ROUND(BASE_A3+RATE_A3*($A1140-BOTT_A3),0),IF($A1140&gt;BOTT_A2,ROUND(BASE_A2+RATE_A2*($A1140-BOTT_A2),0),ROUND(RATE_A1*$A1140,0))))</f>
        <v/>
      </c>
      <c r="E1140" s="556">
        <f>IF($A1140&gt;BOTT_B4,ROUND(BASE_B4+RATE_B4*($A1140-BOTT_B4),0),IF($A1140&gt;BOTT_B3,ROUND(BASE_B3+RATE_B3*($A1140-BOTT_B3),0),IF($A1140&gt;BOTT_B2,ROUND(BASE_B2+RATE_B2*($A1140-BOTT_B2),0),ROUND(RATE_B1*$A1140,0))))</f>
        <v/>
      </c>
      <c r="F1140" s="556">
        <f>IF($A1140&gt;BOTT_C4,ROUND(BASE_C4+RATE_C4*($A1140-BOTT_C4),0),IF($A1140&gt;BOTT_C3,ROUND(BASE_C3+RATE_C3*($A1140-BOTT_C3),0),IF($A1140&gt;BOTT_C2,ROUND(BASE_C2+RATE_C2*($A1140-BOTT_C2),0),ROUND(RATE_C1*$A1140,0))))</f>
        <v/>
      </c>
      <c r="G1140" s="556">
        <f>IF($A1140&gt;BOTT_D4,ROUND(BASE_D4+RATE_D4*($A1140-BOTT_D4),0),IF($A1140&gt;BOTT_D3,ROUND(BASE_D3+RATE_D3*($A1140-BOTT_D3),0),IF($A1140&gt;BOTT_D2,ROUND(BASE_D2+RATE_D2*($A1140-BOTT_D2),0),ROUND(RATE_D1*$A1140,0))))</f>
        <v/>
      </c>
    </row>
    <row r="1141" ht="15.75" customHeight="1" s="7635">
      <c r="A1141" s="625">
        <f>AVERAGE(B1141,C1141)</f>
        <v/>
      </c>
      <c r="B1141" s="555" t="n">
        <v>53850</v>
      </c>
      <c r="C1141" s="555" t="n">
        <v>53900</v>
      </c>
      <c r="D1141" s="556">
        <f>IF($A1141&gt;BOTT_A4,ROUND(BASE_A4+RATE_A4*($A1141-BOTT_A4),0),IF($A1141&gt;BOTT_A3,ROUND(BASE_A3+RATE_A3*($A1141-BOTT_A3),0),IF($A1141&gt;BOTT_A2,ROUND(BASE_A2+RATE_A2*($A1141-BOTT_A2),0),ROUND(RATE_A1*$A1141,0))))</f>
        <v/>
      </c>
      <c r="E1141" s="556">
        <f>IF($A1141&gt;BOTT_B4,ROUND(BASE_B4+RATE_B4*($A1141-BOTT_B4),0),IF($A1141&gt;BOTT_B3,ROUND(BASE_B3+RATE_B3*($A1141-BOTT_B3),0),IF($A1141&gt;BOTT_B2,ROUND(BASE_B2+RATE_B2*($A1141-BOTT_B2),0),ROUND(RATE_B1*$A1141,0))))</f>
        <v/>
      </c>
      <c r="F1141" s="556">
        <f>IF($A1141&gt;BOTT_C4,ROUND(BASE_C4+RATE_C4*($A1141-BOTT_C4),0),IF($A1141&gt;BOTT_C3,ROUND(BASE_C3+RATE_C3*($A1141-BOTT_C3),0),IF($A1141&gt;BOTT_C2,ROUND(BASE_C2+RATE_C2*($A1141-BOTT_C2),0),ROUND(RATE_C1*$A1141,0))))</f>
        <v/>
      </c>
      <c r="G1141" s="556">
        <f>IF($A1141&gt;BOTT_D4,ROUND(BASE_D4+RATE_D4*($A1141-BOTT_D4),0),IF($A1141&gt;BOTT_D3,ROUND(BASE_D3+RATE_D3*($A1141-BOTT_D3),0),IF($A1141&gt;BOTT_D2,ROUND(BASE_D2+RATE_D2*($A1141-BOTT_D2),0),ROUND(RATE_D1*$A1141,0))))</f>
        <v/>
      </c>
    </row>
    <row r="1142" ht="15.75" customHeight="1" s="7635">
      <c r="A1142" s="625">
        <f>AVERAGE(B1142,C1142)</f>
        <v/>
      </c>
      <c r="B1142" s="555" t="n">
        <v>53900</v>
      </c>
      <c r="C1142" s="555" t="n">
        <v>53950</v>
      </c>
      <c r="D1142" s="556">
        <f>IF($A1142&gt;BOTT_A4,ROUND(BASE_A4+RATE_A4*($A1142-BOTT_A4),0),IF($A1142&gt;BOTT_A3,ROUND(BASE_A3+RATE_A3*($A1142-BOTT_A3),0),IF($A1142&gt;BOTT_A2,ROUND(BASE_A2+RATE_A2*($A1142-BOTT_A2),0),ROUND(RATE_A1*$A1142,0))))</f>
        <v/>
      </c>
      <c r="E1142" s="556">
        <f>IF($A1142&gt;BOTT_B4,ROUND(BASE_B4+RATE_B4*($A1142-BOTT_B4),0),IF($A1142&gt;BOTT_B3,ROUND(BASE_B3+RATE_B3*($A1142-BOTT_B3),0),IF($A1142&gt;BOTT_B2,ROUND(BASE_B2+RATE_B2*($A1142-BOTT_B2),0),ROUND(RATE_B1*$A1142,0))))</f>
        <v/>
      </c>
      <c r="F1142" s="556">
        <f>IF($A1142&gt;BOTT_C4,ROUND(BASE_C4+RATE_C4*($A1142-BOTT_C4),0),IF($A1142&gt;BOTT_C3,ROUND(BASE_C3+RATE_C3*($A1142-BOTT_C3),0),IF($A1142&gt;BOTT_C2,ROUND(BASE_C2+RATE_C2*($A1142-BOTT_C2),0),ROUND(RATE_C1*$A1142,0))))</f>
        <v/>
      </c>
      <c r="G1142" s="556">
        <f>IF($A1142&gt;BOTT_D4,ROUND(BASE_D4+RATE_D4*($A1142-BOTT_D4),0),IF($A1142&gt;BOTT_D3,ROUND(BASE_D3+RATE_D3*($A1142-BOTT_D3),0),IF($A1142&gt;BOTT_D2,ROUND(BASE_D2+RATE_D2*($A1142-BOTT_D2),0),ROUND(RATE_D1*$A1142,0))))</f>
        <v/>
      </c>
    </row>
    <row r="1143" ht="15.75" customHeight="1" s="7635">
      <c r="A1143" s="625">
        <f>AVERAGE(B1143,C1143)</f>
        <v/>
      </c>
      <c r="B1143" s="555" t="n">
        <v>53950</v>
      </c>
      <c r="C1143" s="555" t="n">
        <v>54000</v>
      </c>
      <c r="D1143" s="556">
        <f>IF($A1143&gt;BOTT_A4,ROUND(BASE_A4+RATE_A4*($A1143-BOTT_A4),0),IF($A1143&gt;BOTT_A3,ROUND(BASE_A3+RATE_A3*($A1143-BOTT_A3),0),IF($A1143&gt;BOTT_A2,ROUND(BASE_A2+RATE_A2*($A1143-BOTT_A2),0),ROUND(RATE_A1*$A1143,0))))</f>
        <v/>
      </c>
      <c r="E1143" s="556">
        <f>IF($A1143&gt;BOTT_B4,ROUND(BASE_B4+RATE_B4*($A1143-BOTT_B4),0),IF($A1143&gt;BOTT_B3,ROUND(BASE_B3+RATE_B3*($A1143-BOTT_B3),0),IF($A1143&gt;BOTT_B2,ROUND(BASE_B2+RATE_B2*($A1143-BOTT_B2),0),ROUND(RATE_B1*$A1143,0))))</f>
        <v/>
      </c>
      <c r="F1143" s="556">
        <f>IF($A1143&gt;BOTT_C4,ROUND(BASE_C4+RATE_C4*($A1143-BOTT_C4),0),IF($A1143&gt;BOTT_C3,ROUND(BASE_C3+RATE_C3*($A1143-BOTT_C3),0),IF($A1143&gt;BOTT_C2,ROUND(BASE_C2+RATE_C2*($A1143-BOTT_C2),0),ROUND(RATE_C1*$A1143,0))))</f>
        <v/>
      </c>
      <c r="G1143" s="556">
        <f>IF($A1143&gt;BOTT_D4,ROUND(BASE_D4+RATE_D4*($A1143-BOTT_D4),0),IF($A1143&gt;BOTT_D3,ROUND(BASE_D3+RATE_D3*($A1143-BOTT_D3),0),IF($A1143&gt;BOTT_D2,ROUND(BASE_D2+RATE_D2*($A1143-BOTT_D2),0),ROUND(RATE_D1*$A1143,0))))</f>
        <v/>
      </c>
    </row>
    <row r="1144" ht="15.75" customHeight="1" s="7635">
      <c r="A1144" s="625">
        <f>AVERAGE(B1144,C1144)</f>
        <v/>
      </c>
      <c r="B1144" s="555" t="n">
        <v>54000</v>
      </c>
      <c r="C1144" s="555" t="n">
        <v>54050</v>
      </c>
      <c r="D1144" s="556">
        <f>IF($A1144&gt;BOTT_A4,ROUND(BASE_A4+RATE_A4*($A1144-BOTT_A4),0),IF($A1144&gt;BOTT_A3,ROUND(BASE_A3+RATE_A3*($A1144-BOTT_A3),0),IF($A1144&gt;BOTT_A2,ROUND(BASE_A2+RATE_A2*($A1144-BOTT_A2),0),ROUND(RATE_A1*$A1144,0))))</f>
        <v/>
      </c>
      <c r="E1144" s="556">
        <f>IF($A1144&gt;BOTT_B4,ROUND(BASE_B4+RATE_B4*($A1144-BOTT_B4),0),IF($A1144&gt;BOTT_B3,ROUND(BASE_B3+RATE_B3*($A1144-BOTT_B3),0),IF($A1144&gt;BOTT_B2,ROUND(BASE_B2+RATE_B2*($A1144-BOTT_B2),0),ROUND(RATE_B1*$A1144,0))))</f>
        <v/>
      </c>
      <c r="F1144" s="556">
        <f>IF($A1144&gt;BOTT_C4,ROUND(BASE_C4+RATE_C4*($A1144-BOTT_C4),0),IF($A1144&gt;BOTT_C3,ROUND(BASE_C3+RATE_C3*($A1144-BOTT_C3),0),IF($A1144&gt;BOTT_C2,ROUND(BASE_C2+RATE_C2*($A1144-BOTT_C2),0),ROUND(RATE_C1*$A1144,0))))</f>
        <v/>
      </c>
      <c r="G1144" s="556">
        <f>IF($A1144&gt;BOTT_D4,ROUND(BASE_D4+RATE_D4*($A1144-BOTT_D4),0),IF($A1144&gt;BOTT_D3,ROUND(BASE_D3+RATE_D3*($A1144-BOTT_D3),0),IF($A1144&gt;BOTT_D2,ROUND(BASE_D2+RATE_D2*($A1144-BOTT_D2),0),ROUND(RATE_D1*$A1144,0))))</f>
        <v/>
      </c>
    </row>
    <row r="1145" ht="15.75" customHeight="1" s="7635">
      <c r="A1145" s="625">
        <f>AVERAGE(B1145,C1145)</f>
        <v/>
      </c>
      <c r="B1145" s="555" t="n">
        <v>54050</v>
      </c>
      <c r="C1145" s="555" t="n">
        <v>54100</v>
      </c>
      <c r="D1145" s="556">
        <f>IF($A1145&gt;BOTT_A4,ROUND(BASE_A4+RATE_A4*($A1145-BOTT_A4),0),IF($A1145&gt;BOTT_A3,ROUND(BASE_A3+RATE_A3*($A1145-BOTT_A3),0),IF($A1145&gt;BOTT_A2,ROUND(BASE_A2+RATE_A2*($A1145-BOTT_A2),0),ROUND(RATE_A1*$A1145,0))))</f>
        <v/>
      </c>
      <c r="E1145" s="556">
        <f>IF($A1145&gt;BOTT_B4,ROUND(BASE_B4+RATE_B4*($A1145-BOTT_B4),0),IF($A1145&gt;BOTT_B3,ROUND(BASE_B3+RATE_B3*($A1145-BOTT_B3),0),IF($A1145&gt;BOTT_B2,ROUND(BASE_B2+RATE_B2*($A1145-BOTT_B2),0),ROUND(RATE_B1*$A1145,0))))</f>
        <v/>
      </c>
      <c r="F1145" s="556">
        <f>IF($A1145&gt;BOTT_C4,ROUND(BASE_C4+RATE_C4*($A1145-BOTT_C4),0),IF($A1145&gt;BOTT_C3,ROUND(BASE_C3+RATE_C3*($A1145-BOTT_C3),0),IF($A1145&gt;BOTT_C2,ROUND(BASE_C2+RATE_C2*($A1145-BOTT_C2),0),ROUND(RATE_C1*$A1145,0))))</f>
        <v/>
      </c>
      <c r="G1145" s="556">
        <f>IF($A1145&gt;BOTT_D4,ROUND(BASE_D4+RATE_D4*($A1145-BOTT_D4),0),IF($A1145&gt;BOTT_D3,ROUND(BASE_D3+RATE_D3*($A1145-BOTT_D3),0),IF($A1145&gt;BOTT_D2,ROUND(BASE_D2+RATE_D2*($A1145-BOTT_D2),0),ROUND(RATE_D1*$A1145,0))))</f>
        <v/>
      </c>
    </row>
    <row r="1146" ht="15.75" customHeight="1" s="7635">
      <c r="A1146" s="625">
        <f>AVERAGE(B1146,C1146)</f>
        <v/>
      </c>
      <c r="B1146" s="555" t="n">
        <v>54100</v>
      </c>
      <c r="C1146" s="555" t="n">
        <v>54150</v>
      </c>
      <c r="D1146" s="556">
        <f>IF($A1146&gt;BOTT_A4,ROUND(BASE_A4+RATE_A4*($A1146-BOTT_A4),0),IF($A1146&gt;BOTT_A3,ROUND(BASE_A3+RATE_A3*($A1146-BOTT_A3),0),IF($A1146&gt;BOTT_A2,ROUND(BASE_A2+RATE_A2*($A1146-BOTT_A2),0),ROUND(RATE_A1*$A1146,0))))</f>
        <v/>
      </c>
      <c r="E1146" s="556">
        <f>IF($A1146&gt;BOTT_B4,ROUND(BASE_B4+RATE_B4*($A1146-BOTT_B4),0),IF($A1146&gt;BOTT_B3,ROUND(BASE_B3+RATE_B3*($A1146-BOTT_B3),0),IF($A1146&gt;BOTT_B2,ROUND(BASE_B2+RATE_B2*($A1146-BOTT_B2),0),ROUND(RATE_B1*$A1146,0))))</f>
        <v/>
      </c>
      <c r="F1146" s="556">
        <f>IF($A1146&gt;BOTT_C4,ROUND(BASE_C4+RATE_C4*($A1146-BOTT_C4),0),IF($A1146&gt;BOTT_C3,ROUND(BASE_C3+RATE_C3*($A1146-BOTT_C3),0),IF($A1146&gt;BOTT_C2,ROUND(BASE_C2+RATE_C2*($A1146-BOTT_C2),0),ROUND(RATE_C1*$A1146,0))))</f>
        <v/>
      </c>
      <c r="G1146" s="556">
        <f>IF($A1146&gt;BOTT_D4,ROUND(BASE_D4+RATE_D4*($A1146-BOTT_D4),0),IF($A1146&gt;BOTT_D3,ROUND(BASE_D3+RATE_D3*($A1146-BOTT_D3),0),IF($A1146&gt;BOTT_D2,ROUND(BASE_D2+RATE_D2*($A1146-BOTT_D2),0),ROUND(RATE_D1*$A1146,0))))</f>
        <v/>
      </c>
    </row>
    <row r="1147" ht="15.75" customHeight="1" s="7635">
      <c r="A1147" s="625">
        <f>AVERAGE(B1147,C1147)</f>
        <v/>
      </c>
      <c r="B1147" s="555" t="n">
        <v>54150</v>
      </c>
      <c r="C1147" s="555" t="n">
        <v>54200</v>
      </c>
      <c r="D1147" s="556">
        <f>IF($A1147&gt;BOTT_A4,ROUND(BASE_A4+RATE_A4*($A1147-BOTT_A4),0),IF($A1147&gt;BOTT_A3,ROUND(BASE_A3+RATE_A3*($A1147-BOTT_A3),0),IF($A1147&gt;BOTT_A2,ROUND(BASE_A2+RATE_A2*($A1147-BOTT_A2),0),ROUND(RATE_A1*$A1147,0))))</f>
        <v/>
      </c>
      <c r="E1147" s="556">
        <f>IF($A1147&gt;BOTT_B4,ROUND(BASE_B4+RATE_B4*($A1147-BOTT_B4),0),IF($A1147&gt;BOTT_B3,ROUND(BASE_B3+RATE_B3*($A1147-BOTT_B3),0),IF($A1147&gt;BOTT_B2,ROUND(BASE_B2+RATE_B2*($A1147-BOTT_B2),0),ROUND(RATE_B1*$A1147,0))))</f>
        <v/>
      </c>
      <c r="F1147" s="556">
        <f>IF($A1147&gt;BOTT_C4,ROUND(BASE_C4+RATE_C4*($A1147-BOTT_C4),0),IF($A1147&gt;BOTT_C3,ROUND(BASE_C3+RATE_C3*($A1147-BOTT_C3),0),IF($A1147&gt;BOTT_C2,ROUND(BASE_C2+RATE_C2*($A1147-BOTT_C2),0),ROUND(RATE_C1*$A1147,0))))</f>
        <v/>
      </c>
      <c r="G1147" s="556">
        <f>IF($A1147&gt;BOTT_D4,ROUND(BASE_D4+RATE_D4*($A1147-BOTT_D4),0),IF($A1147&gt;BOTT_D3,ROUND(BASE_D3+RATE_D3*($A1147-BOTT_D3),0),IF($A1147&gt;BOTT_D2,ROUND(BASE_D2+RATE_D2*($A1147-BOTT_D2),0),ROUND(RATE_D1*$A1147,0))))</f>
        <v/>
      </c>
    </row>
    <row r="1148" ht="15.75" customHeight="1" s="7635">
      <c r="A1148" s="625">
        <f>AVERAGE(B1148,C1148)</f>
        <v/>
      </c>
      <c r="B1148" s="555" t="n">
        <v>54200</v>
      </c>
      <c r="C1148" s="555" t="n">
        <v>54250</v>
      </c>
      <c r="D1148" s="556">
        <f>IF($A1148&gt;BOTT_A4,ROUND(BASE_A4+RATE_A4*($A1148-BOTT_A4),0),IF($A1148&gt;BOTT_A3,ROUND(BASE_A3+RATE_A3*($A1148-BOTT_A3),0),IF($A1148&gt;BOTT_A2,ROUND(BASE_A2+RATE_A2*($A1148-BOTT_A2),0),ROUND(RATE_A1*$A1148,0))))</f>
        <v/>
      </c>
      <c r="E1148" s="556">
        <f>IF($A1148&gt;BOTT_B4,ROUND(BASE_B4+RATE_B4*($A1148-BOTT_B4),0),IF($A1148&gt;BOTT_B3,ROUND(BASE_B3+RATE_B3*($A1148-BOTT_B3),0),IF($A1148&gt;BOTT_B2,ROUND(BASE_B2+RATE_B2*($A1148-BOTT_B2),0),ROUND(RATE_B1*$A1148,0))))</f>
        <v/>
      </c>
      <c r="F1148" s="556">
        <f>IF($A1148&gt;BOTT_C4,ROUND(BASE_C4+RATE_C4*($A1148-BOTT_C4),0),IF($A1148&gt;BOTT_C3,ROUND(BASE_C3+RATE_C3*($A1148-BOTT_C3),0),IF($A1148&gt;BOTT_C2,ROUND(BASE_C2+RATE_C2*($A1148-BOTT_C2),0),ROUND(RATE_C1*$A1148,0))))</f>
        <v/>
      </c>
      <c r="G1148" s="556">
        <f>IF($A1148&gt;BOTT_D4,ROUND(BASE_D4+RATE_D4*($A1148-BOTT_D4),0),IF($A1148&gt;BOTT_D3,ROUND(BASE_D3+RATE_D3*($A1148-BOTT_D3),0),IF($A1148&gt;BOTT_D2,ROUND(BASE_D2+RATE_D2*($A1148-BOTT_D2),0),ROUND(RATE_D1*$A1148,0))))</f>
        <v/>
      </c>
    </row>
    <row r="1149" ht="15.75" customHeight="1" s="7635">
      <c r="A1149" s="625">
        <f>AVERAGE(B1149,C1149)</f>
        <v/>
      </c>
      <c r="B1149" s="555" t="n">
        <v>54250</v>
      </c>
      <c r="C1149" s="555" t="n">
        <v>54300</v>
      </c>
      <c r="D1149" s="556">
        <f>IF($A1149&gt;BOTT_A4,ROUND(BASE_A4+RATE_A4*($A1149-BOTT_A4),0),IF($A1149&gt;BOTT_A3,ROUND(BASE_A3+RATE_A3*($A1149-BOTT_A3),0),IF($A1149&gt;BOTT_A2,ROUND(BASE_A2+RATE_A2*($A1149-BOTT_A2),0),ROUND(RATE_A1*$A1149,0))))</f>
        <v/>
      </c>
      <c r="E1149" s="556">
        <f>IF($A1149&gt;BOTT_B4,ROUND(BASE_B4+RATE_B4*($A1149-BOTT_B4),0),IF($A1149&gt;BOTT_B3,ROUND(BASE_B3+RATE_B3*($A1149-BOTT_B3),0),IF($A1149&gt;BOTT_B2,ROUND(BASE_B2+RATE_B2*($A1149-BOTT_B2),0),ROUND(RATE_B1*$A1149,0))))</f>
        <v/>
      </c>
      <c r="F1149" s="556">
        <f>IF($A1149&gt;BOTT_C4,ROUND(BASE_C4+RATE_C4*($A1149-BOTT_C4),0),IF($A1149&gt;BOTT_C3,ROUND(BASE_C3+RATE_C3*($A1149-BOTT_C3),0),IF($A1149&gt;BOTT_C2,ROUND(BASE_C2+RATE_C2*($A1149-BOTT_C2),0),ROUND(RATE_C1*$A1149,0))))</f>
        <v/>
      </c>
      <c r="G1149" s="556">
        <f>IF($A1149&gt;BOTT_D4,ROUND(BASE_D4+RATE_D4*($A1149-BOTT_D4),0),IF($A1149&gt;BOTT_D3,ROUND(BASE_D3+RATE_D3*($A1149-BOTT_D3),0),IF($A1149&gt;BOTT_D2,ROUND(BASE_D2+RATE_D2*($A1149-BOTT_D2),0),ROUND(RATE_D1*$A1149,0))))</f>
        <v/>
      </c>
    </row>
    <row r="1150" ht="15.75" customHeight="1" s="7635">
      <c r="A1150" s="625">
        <f>AVERAGE(B1150,C1150)</f>
        <v/>
      </c>
      <c r="B1150" s="555" t="n">
        <v>54300</v>
      </c>
      <c r="C1150" s="555" t="n">
        <v>54350</v>
      </c>
      <c r="D1150" s="556">
        <f>IF($A1150&gt;BOTT_A4,ROUND(BASE_A4+RATE_A4*($A1150-BOTT_A4),0),IF($A1150&gt;BOTT_A3,ROUND(BASE_A3+RATE_A3*($A1150-BOTT_A3),0),IF($A1150&gt;BOTT_A2,ROUND(BASE_A2+RATE_A2*($A1150-BOTT_A2),0),ROUND(RATE_A1*$A1150,0))))</f>
        <v/>
      </c>
      <c r="E1150" s="556">
        <f>IF($A1150&gt;BOTT_B4,ROUND(BASE_B4+RATE_B4*($A1150-BOTT_B4),0),IF($A1150&gt;BOTT_B3,ROUND(BASE_B3+RATE_B3*($A1150-BOTT_B3),0),IF($A1150&gt;BOTT_B2,ROUND(BASE_B2+RATE_B2*($A1150-BOTT_B2),0),ROUND(RATE_B1*$A1150,0))))</f>
        <v/>
      </c>
      <c r="F1150" s="556">
        <f>IF($A1150&gt;BOTT_C4,ROUND(BASE_C4+RATE_C4*($A1150-BOTT_C4),0),IF($A1150&gt;BOTT_C3,ROUND(BASE_C3+RATE_C3*($A1150-BOTT_C3),0),IF($A1150&gt;BOTT_C2,ROUND(BASE_C2+RATE_C2*($A1150-BOTT_C2),0),ROUND(RATE_C1*$A1150,0))))</f>
        <v/>
      </c>
      <c r="G1150" s="556">
        <f>IF($A1150&gt;BOTT_D4,ROUND(BASE_D4+RATE_D4*($A1150-BOTT_D4),0),IF($A1150&gt;BOTT_D3,ROUND(BASE_D3+RATE_D3*($A1150-BOTT_D3),0),IF($A1150&gt;BOTT_D2,ROUND(BASE_D2+RATE_D2*($A1150-BOTT_D2),0),ROUND(RATE_D1*$A1150,0))))</f>
        <v/>
      </c>
    </row>
    <row r="1151" ht="15.75" customHeight="1" s="7635">
      <c r="A1151" s="625">
        <f>AVERAGE(B1151,C1151)</f>
        <v/>
      </c>
      <c r="B1151" s="555" t="n">
        <v>54350</v>
      </c>
      <c r="C1151" s="555" t="n">
        <v>54400</v>
      </c>
      <c r="D1151" s="556">
        <f>IF($A1151&gt;BOTT_A4,ROUND(BASE_A4+RATE_A4*($A1151-BOTT_A4),0),IF($A1151&gt;BOTT_A3,ROUND(BASE_A3+RATE_A3*($A1151-BOTT_A3),0),IF($A1151&gt;BOTT_A2,ROUND(BASE_A2+RATE_A2*($A1151-BOTT_A2),0),ROUND(RATE_A1*$A1151,0))))</f>
        <v/>
      </c>
      <c r="E1151" s="556">
        <f>IF($A1151&gt;BOTT_B4,ROUND(BASE_B4+RATE_B4*($A1151-BOTT_B4),0),IF($A1151&gt;BOTT_B3,ROUND(BASE_B3+RATE_B3*($A1151-BOTT_B3),0),IF($A1151&gt;BOTT_B2,ROUND(BASE_B2+RATE_B2*($A1151-BOTT_B2),0),ROUND(RATE_B1*$A1151,0))))</f>
        <v/>
      </c>
      <c r="F1151" s="556">
        <f>IF($A1151&gt;BOTT_C4,ROUND(BASE_C4+RATE_C4*($A1151-BOTT_C4),0),IF($A1151&gt;BOTT_C3,ROUND(BASE_C3+RATE_C3*($A1151-BOTT_C3),0),IF($A1151&gt;BOTT_C2,ROUND(BASE_C2+RATE_C2*($A1151-BOTT_C2),0),ROUND(RATE_C1*$A1151,0))))</f>
        <v/>
      </c>
      <c r="G1151" s="556">
        <f>IF($A1151&gt;BOTT_D4,ROUND(BASE_D4+RATE_D4*($A1151-BOTT_D4),0),IF($A1151&gt;BOTT_D3,ROUND(BASE_D3+RATE_D3*($A1151-BOTT_D3),0),IF($A1151&gt;BOTT_D2,ROUND(BASE_D2+RATE_D2*($A1151-BOTT_D2),0),ROUND(RATE_D1*$A1151,0))))</f>
        <v/>
      </c>
    </row>
    <row r="1152" ht="15.75" customHeight="1" s="7635">
      <c r="A1152" s="625">
        <f>AVERAGE(B1152,C1152)</f>
        <v/>
      </c>
      <c r="B1152" s="555" t="n">
        <v>54400</v>
      </c>
      <c r="C1152" s="555" t="n">
        <v>54450</v>
      </c>
      <c r="D1152" s="556">
        <f>IF($A1152&gt;BOTT_A4,ROUND(BASE_A4+RATE_A4*($A1152-BOTT_A4),0),IF($A1152&gt;BOTT_A3,ROUND(BASE_A3+RATE_A3*($A1152-BOTT_A3),0),IF($A1152&gt;BOTT_A2,ROUND(BASE_A2+RATE_A2*($A1152-BOTT_A2),0),ROUND(RATE_A1*$A1152,0))))</f>
        <v/>
      </c>
      <c r="E1152" s="556">
        <f>IF($A1152&gt;BOTT_B4,ROUND(BASE_B4+RATE_B4*($A1152-BOTT_B4),0),IF($A1152&gt;BOTT_B3,ROUND(BASE_B3+RATE_B3*($A1152-BOTT_B3),0),IF($A1152&gt;BOTT_B2,ROUND(BASE_B2+RATE_B2*($A1152-BOTT_B2),0),ROUND(RATE_B1*$A1152,0))))</f>
        <v/>
      </c>
      <c r="F1152" s="556">
        <f>IF($A1152&gt;BOTT_C4,ROUND(BASE_C4+RATE_C4*($A1152-BOTT_C4),0),IF($A1152&gt;BOTT_C3,ROUND(BASE_C3+RATE_C3*($A1152-BOTT_C3),0),IF($A1152&gt;BOTT_C2,ROUND(BASE_C2+RATE_C2*($A1152-BOTT_C2),0),ROUND(RATE_C1*$A1152,0))))</f>
        <v/>
      </c>
      <c r="G1152" s="556">
        <f>IF($A1152&gt;BOTT_D4,ROUND(BASE_D4+RATE_D4*($A1152-BOTT_D4),0),IF($A1152&gt;BOTT_D3,ROUND(BASE_D3+RATE_D3*($A1152-BOTT_D3),0),IF($A1152&gt;BOTT_D2,ROUND(BASE_D2+RATE_D2*($A1152-BOTT_D2),0),ROUND(RATE_D1*$A1152,0))))</f>
        <v/>
      </c>
    </row>
    <row r="1153" ht="15.75" customHeight="1" s="7635">
      <c r="A1153" s="625">
        <f>AVERAGE(B1153,C1153)</f>
        <v/>
      </c>
      <c r="B1153" s="555" t="n">
        <v>54450</v>
      </c>
      <c r="C1153" s="555" t="n">
        <v>54500</v>
      </c>
      <c r="D1153" s="556">
        <f>IF($A1153&gt;BOTT_A4,ROUND(BASE_A4+RATE_A4*($A1153-BOTT_A4),0),IF($A1153&gt;BOTT_A3,ROUND(BASE_A3+RATE_A3*($A1153-BOTT_A3),0),IF($A1153&gt;BOTT_A2,ROUND(BASE_A2+RATE_A2*($A1153-BOTT_A2),0),ROUND(RATE_A1*$A1153,0))))</f>
        <v/>
      </c>
      <c r="E1153" s="556">
        <f>IF($A1153&gt;BOTT_B4,ROUND(BASE_B4+RATE_B4*($A1153-BOTT_B4),0),IF($A1153&gt;BOTT_B3,ROUND(BASE_B3+RATE_B3*($A1153-BOTT_B3),0),IF($A1153&gt;BOTT_B2,ROUND(BASE_B2+RATE_B2*($A1153-BOTT_B2),0),ROUND(RATE_B1*$A1153,0))))</f>
        <v/>
      </c>
      <c r="F1153" s="556">
        <f>IF($A1153&gt;BOTT_C4,ROUND(BASE_C4+RATE_C4*($A1153-BOTT_C4),0),IF($A1153&gt;BOTT_C3,ROUND(BASE_C3+RATE_C3*($A1153-BOTT_C3),0),IF($A1153&gt;BOTT_C2,ROUND(BASE_C2+RATE_C2*($A1153-BOTT_C2),0),ROUND(RATE_C1*$A1153,0))))</f>
        <v/>
      </c>
      <c r="G1153" s="556">
        <f>IF($A1153&gt;BOTT_D4,ROUND(BASE_D4+RATE_D4*($A1153-BOTT_D4),0),IF($A1153&gt;BOTT_D3,ROUND(BASE_D3+RATE_D3*($A1153-BOTT_D3),0),IF($A1153&gt;BOTT_D2,ROUND(BASE_D2+RATE_D2*($A1153-BOTT_D2),0),ROUND(RATE_D1*$A1153,0))))</f>
        <v/>
      </c>
    </row>
    <row r="1154" ht="15.75" customHeight="1" s="7635">
      <c r="A1154" s="625">
        <f>AVERAGE(B1154,C1154)</f>
        <v/>
      </c>
      <c r="B1154" s="555" t="n">
        <v>54500</v>
      </c>
      <c r="C1154" s="555" t="n">
        <v>54550</v>
      </c>
      <c r="D1154" s="556">
        <f>IF($A1154&gt;BOTT_A4,ROUND(BASE_A4+RATE_A4*($A1154-BOTT_A4),0),IF($A1154&gt;BOTT_A3,ROUND(BASE_A3+RATE_A3*($A1154-BOTT_A3),0),IF($A1154&gt;BOTT_A2,ROUND(BASE_A2+RATE_A2*($A1154-BOTT_A2),0),ROUND(RATE_A1*$A1154,0))))</f>
        <v/>
      </c>
      <c r="E1154" s="556">
        <f>IF($A1154&gt;BOTT_B4,ROUND(BASE_B4+RATE_B4*($A1154-BOTT_B4),0),IF($A1154&gt;BOTT_B3,ROUND(BASE_B3+RATE_B3*($A1154-BOTT_B3),0),IF($A1154&gt;BOTT_B2,ROUND(BASE_B2+RATE_B2*($A1154-BOTT_B2),0),ROUND(RATE_B1*$A1154,0))))</f>
        <v/>
      </c>
      <c r="F1154" s="556">
        <f>IF($A1154&gt;BOTT_C4,ROUND(BASE_C4+RATE_C4*($A1154-BOTT_C4),0),IF($A1154&gt;BOTT_C3,ROUND(BASE_C3+RATE_C3*($A1154-BOTT_C3),0),IF($A1154&gt;BOTT_C2,ROUND(BASE_C2+RATE_C2*($A1154-BOTT_C2),0),ROUND(RATE_C1*$A1154,0))))</f>
        <v/>
      </c>
      <c r="G1154" s="556">
        <f>IF($A1154&gt;BOTT_D4,ROUND(BASE_D4+RATE_D4*($A1154-BOTT_D4),0),IF($A1154&gt;BOTT_D3,ROUND(BASE_D3+RATE_D3*($A1154-BOTT_D3),0),IF($A1154&gt;BOTT_D2,ROUND(BASE_D2+RATE_D2*($A1154-BOTT_D2),0),ROUND(RATE_D1*$A1154,0))))</f>
        <v/>
      </c>
    </row>
    <row r="1155" ht="15.75" customHeight="1" s="7635">
      <c r="A1155" s="625">
        <f>AVERAGE(B1155,C1155)</f>
        <v/>
      </c>
      <c r="B1155" s="555" t="n">
        <v>54550</v>
      </c>
      <c r="C1155" s="555" t="n">
        <v>54600</v>
      </c>
      <c r="D1155" s="556">
        <f>IF($A1155&gt;BOTT_A4,ROUND(BASE_A4+RATE_A4*($A1155-BOTT_A4),0),IF($A1155&gt;BOTT_A3,ROUND(BASE_A3+RATE_A3*($A1155-BOTT_A3),0),IF($A1155&gt;BOTT_A2,ROUND(BASE_A2+RATE_A2*($A1155-BOTT_A2),0),ROUND(RATE_A1*$A1155,0))))</f>
        <v/>
      </c>
      <c r="E1155" s="556">
        <f>IF($A1155&gt;BOTT_B4,ROUND(BASE_B4+RATE_B4*($A1155-BOTT_B4),0),IF($A1155&gt;BOTT_B3,ROUND(BASE_B3+RATE_B3*($A1155-BOTT_B3),0),IF($A1155&gt;BOTT_B2,ROUND(BASE_B2+RATE_B2*($A1155-BOTT_B2),0),ROUND(RATE_B1*$A1155,0))))</f>
        <v/>
      </c>
      <c r="F1155" s="556">
        <f>IF($A1155&gt;BOTT_C4,ROUND(BASE_C4+RATE_C4*($A1155-BOTT_C4),0),IF($A1155&gt;BOTT_C3,ROUND(BASE_C3+RATE_C3*($A1155-BOTT_C3),0),IF($A1155&gt;BOTT_C2,ROUND(BASE_C2+RATE_C2*($A1155-BOTT_C2),0),ROUND(RATE_C1*$A1155,0))))</f>
        <v/>
      </c>
      <c r="G1155" s="556">
        <f>IF($A1155&gt;BOTT_D4,ROUND(BASE_D4+RATE_D4*($A1155-BOTT_D4),0),IF($A1155&gt;BOTT_D3,ROUND(BASE_D3+RATE_D3*($A1155-BOTT_D3),0),IF($A1155&gt;BOTT_D2,ROUND(BASE_D2+RATE_D2*($A1155-BOTT_D2),0),ROUND(RATE_D1*$A1155,0))))</f>
        <v/>
      </c>
    </row>
    <row r="1156" ht="15.75" customHeight="1" s="7635">
      <c r="A1156" s="625">
        <f>AVERAGE(B1156,C1156)</f>
        <v/>
      </c>
      <c r="B1156" s="555" t="n">
        <v>54600</v>
      </c>
      <c r="C1156" s="555" t="n">
        <v>54650</v>
      </c>
      <c r="D1156" s="556">
        <f>IF($A1156&gt;BOTT_A4,ROUND(BASE_A4+RATE_A4*($A1156-BOTT_A4),0),IF($A1156&gt;BOTT_A3,ROUND(BASE_A3+RATE_A3*($A1156-BOTT_A3),0),IF($A1156&gt;BOTT_A2,ROUND(BASE_A2+RATE_A2*($A1156-BOTT_A2),0),ROUND(RATE_A1*$A1156,0))))</f>
        <v/>
      </c>
      <c r="E1156" s="556">
        <f>IF($A1156&gt;BOTT_B4,ROUND(BASE_B4+RATE_B4*($A1156-BOTT_B4),0),IF($A1156&gt;BOTT_B3,ROUND(BASE_B3+RATE_B3*($A1156-BOTT_B3),0),IF($A1156&gt;BOTT_B2,ROUND(BASE_B2+RATE_B2*($A1156-BOTT_B2),0),ROUND(RATE_B1*$A1156,0))))</f>
        <v/>
      </c>
      <c r="F1156" s="556">
        <f>IF($A1156&gt;BOTT_C4,ROUND(BASE_C4+RATE_C4*($A1156-BOTT_C4),0),IF($A1156&gt;BOTT_C3,ROUND(BASE_C3+RATE_C3*($A1156-BOTT_C3),0),IF($A1156&gt;BOTT_C2,ROUND(BASE_C2+RATE_C2*($A1156-BOTT_C2),0),ROUND(RATE_C1*$A1156,0))))</f>
        <v/>
      </c>
      <c r="G1156" s="556">
        <f>IF($A1156&gt;BOTT_D4,ROUND(BASE_D4+RATE_D4*($A1156-BOTT_D4),0),IF($A1156&gt;BOTT_D3,ROUND(BASE_D3+RATE_D3*($A1156-BOTT_D3),0),IF($A1156&gt;BOTT_D2,ROUND(BASE_D2+RATE_D2*($A1156-BOTT_D2),0),ROUND(RATE_D1*$A1156,0))))</f>
        <v/>
      </c>
    </row>
    <row r="1157" ht="15.75" customHeight="1" s="7635">
      <c r="A1157" s="625">
        <f>AVERAGE(B1157,C1157)</f>
        <v/>
      </c>
      <c r="B1157" s="555" t="n">
        <v>54650</v>
      </c>
      <c r="C1157" s="555" t="n">
        <v>54700</v>
      </c>
      <c r="D1157" s="556">
        <f>IF($A1157&gt;BOTT_A4,ROUND(BASE_A4+RATE_A4*($A1157-BOTT_A4),0),IF($A1157&gt;BOTT_A3,ROUND(BASE_A3+RATE_A3*($A1157-BOTT_A3),0),IF($A1157&gt;BOTT_A2,ROUND(BASE_A2+RATE_A2*($A1157-BOTT_A2),0),ROUND(RATE_A1*$A1157,0))))</f>
        <v/>
      </c>
      <c r="E1157" s="556">
        <f>IF($A1157&gt;BOTT_B4,ROUND(BASE_B4+RATE_B4*($A1157-BOTT_B4),0),IF($A1157&gt;BOTT_B3,ROUND(BASE_B3+RATE_B3*($A1157-BOTT_B3),0),IF($A1157&gt;BOTT_B2,ROUND(BASE_B2+RATE_B2*($A1157-BOTT_B2),0),ROUND(RATE_B1*$A1157,0))))</f>
        <v/>
      </c>
      <c r="F1157" s="556">
        <f>IF($A1157&gt;BOTT_C4,ROUND(BASE_C4+RATE_C4*($A1157-BOTT_C4),0),IF($A1157&gt;BOTT_C3,ROUND(BASE_C3+RATE_C3*($A1157-BOTT_C3),0),IF($A1157&gt;BOTT_C2,ROUND(BASE_C2+RATE_C2*($A1157-BOTT_C2),0),ROUND(RATE_C1*$A1157,0))))</f>
        <v/>
      </c>
      <c r="G1157" s="556">
        <f>IF($A1157&gt;BOTT_D4,ROUND(BASE_D4+RATE_D4*($A1157-BOTT_D4),0),IF($A1157&gt;BOTT_D3,ROUND(BASE_D3+RATE_D3*($A1157-BOTT_D3),0),IF($A1157&gt;BOTT_D2,ROUND(BASE_D2+RATE_D2*($A1157-BOTT_D2),0),ROUND(RATE_D1*$A1157,0))))</f>
        <v/>
      </c>
    </row>
    <row r="1158" ht="15.75" customHeight="1" s="7635">
      <c r="A1158" s="625">
        <f>AVERAGE(B1158,C1158)</f>
        <v/>
      </c>
      <c r="B1158" s="555" t="n">
        <v>54700</v>
      </c>
      <c r="C1158" s="555" t="n">
        <v>54750</v>
      </c>
      <c r="D1158" s="556">
        <f>IF($A1158&gt;BOTT_A4,ROUND(BASE_A4+RATE_A4*($A1158-BOTT_A4),0),IF($A1158&gt;BOTT_A3,ROUND(BASE_A3+RATE_A3*($A1158-BOTT_A3),0),IF($A1158&gt;BOTT_A2,ROUND(BASE_A2+RATE_A2*($A1158-BOTT_A2),0),ROUND(RATE_A1*$A1158,0))))</f>
        <v/>
      </c>
      <c r="E1158" s="556">
        <f>IF($A1158&gt;BOTT_B4,ROUND(BASE_B4+RATE_B4*($A1158-BOTT_B4),0),IF($A1158&gt;BOTT_B3,ROUND(BASE_B3+RATE_B3*($A1158-BOTT_B3),0),IF($A1158&gt;BOTT_B2,ROUND(BASE_B2+RATE_B2*($A1158-BOTT_B2),0),ROUND(RATE_B1*$A1158,0))))</f>
        <v/>
      </c>
      <c r="F1158" s="556">
        <f>IF($A1158&gt;BOTT_C4,ROUND(BASE_C4+RATE_C4*($A1158-BOTT_C4),0),IF($A1158&gt;BOTT_C3,ROUND(BASE_C3+RATE_C3*($A1158-BOTT_C3),0),IF($A1158&gt;BOTT_C2,ROUND(BASE_C2+RATE_C2*($A1158-BOTT_C2),0),ROUND(RATE_C1*$A1158,0))))</f>
        <v/>
      </c>
      <c r="G1158" s="556">
        <f>IF($A1158&gt;BOTT_D4,ROUND(BASE_D4+RATE_D4*($A1158-BOTT_D4),0),IF($A1158&gt;BOTT_D3,ROUND(BASE_D3+RATE_D3*($A1158-BOTT_D3),0),IF($A1158&gt;BOTT_D2,ROUND(BASE_D2+RATE_D2*($A1158-BOTT_D2),0),ROUND(RATE_D1*$A1158,0))))</f>
        <v/>
      </c>
    </row>
    <row r="1159" ht="15.75" customHeight="1" s="7635">
      <c r="A1159" s="625">
        <f>AVERAGE(B1159,C1159)</f>
        <v/>
      </c>
      <c r="B1159" s="555" t="n">
        <v>54750</v>
      </c>
      <c r="C1159" s="555" t="n">
        <v>54800</v>
      </c>
      <c r="D1159" s="556">
        <f>IF($A1159&gt;BOTT_A4,ROUND(BASE_A4+RATE_A4*($A1159-BOTT_A4),0),IF($A1159&gt;BOTT_A3,ROUND(BASE_A3+RATE_A3*($A1159-BOTT_A3),0),IF($A1159&gt;BOTT_A2,ROUND(BASE_A2+RATE_A2*($A1159-BOTT_A2),0),ROUND(RATE_A1*$A1159,0))))</f>
        <v/>
      </c>
      <c r="E1159" s="556">
        <f>IF($A1159&gt;BOTT_B4,ROUND(BASE_B4+RATE_B4*($A1159-BOTT_B4),0),IF($A1159&gt;BOTT_B3,ROUND(BASE_B3+RATE_B3*($A1159-BOTT_B3),0),IF($A1159&gt;BOTT_B2,ROUND(BASE_B2+RATE_B2*($A1159-BOTT_B2),0),ROUND(RATE_B1*$A1159,0))))</f>
        <v/>
      </c>
      <c r="F1159" s="556">
        <f>IF($A1159&gt;BOTT_C4,ROUND(BASE_C4+RATE_C4*($A1159-BOTT_C4),0),IF($A1159&gt;BOTT_C3,ROUND(BASE_C3+RATE_C3*($A1159-BOTT_C3),0),IF($A1159&gt;BOTT_C2,ROUND(BASE_C2+RATE_C2*($A1159-BOTT_C2),0),ROUND(RATE_C1*$A1159,0))))</f>
        <v/>
      </c>
      <c r="G1159" s="556">
        <f>IF($A1159&gt;BOTT_D4,ROUND(BASE_D4+RATE_D4*($A1159-BOTT_D4),0),IF($A1159&gt;BOTT_D3,ROUND(BASE_D3+RATE_D3*($A1159-BOTT_D3),0),IF($A1159&gt;BOTT_D2,ROUND(BASE_D2+RATE_D2*($A1159-BOTT_D2),0),ROUND(RATE_D1*$A1159,0))))</f>
        <v/>
      </c>
    </row>
    <row r="1160" ht="15.75" customHeight="1" s="7635">
      <c r="A1160" s="625">
        <f>AVERAGE(B1160,C1160)</f>
        <v/>
      </c>
      <c r="B1160" s="555" t="n">
        <v>54800</v>
      </c>
      <c r="C1160" s="555" t="n">
        <v>54850</v>
      </c>
      <c r="D1160" s="556">
        <f>IF($A1160&gt;BOTT_A4,ROUND(BASE_A4+RATE_A4*($A1160-BOTT_A4),0),IF($A1160&gt;BOTT_A3,ROUND(BASE_A3+RATE_A3*($A1160-BOTT_A3),0),IF($A1160&gt;BOTT_A2,ROUND(BASE_A2+RATE_A2*($A1160-BOTT_A2),0),ROUND(RATE_A1*$A1160,0))))</f>
        <v/>
      </c>
      <c r="E1160" s="556">
        <f>IF($A1160&gt;BOTT_B4,ROUND(BASE_B4+RATE_B4*($A1160-BOTT_B4),0),IF($A1160&gt;BOTT_B3,ROUND(BASE_B3+RATE_B3*($A1160-BOTT_B3),0),IF($A1160&gt;BOTT_B2,ROUND(BASE_B2+RATE_B2*($A1160-BOTT_B2),0),ROUND(RATE_B1*$A1160,0))))</f>
        <v/>
      </c>
      <c r="F1160" s="556">
        <f>IF($A1160&gt;BOTT_C4,ROUND(BASE_C4+RATE_C4*($A1160-BOTT_C4),0),IF($A1160&gt;BOTT_C3,ROUND(BASE_C3+RATE_C3*($A1160-BOTT_C3),0),IF($A1160&gt;BOTT_C2,ROUND(BASE_C2+RATE_C2*($A1160-BOTT_C2),0),ROUND(RATE_C1*$A1160,0))))</f>
        <v/>
      </c>
      <c r="G1160" s="556">
        <f>IF($A1160&gt;BOTT_D4,ROUND(BASE_D4+RATE_D4*($A1160-BOTT_D4),0),IF($A1160&gt;BOTT_D3,ROUND(BASE_D3+RATE_D3*($A1160-BOTT_D3),0),IF($A1160&gt;BOTT_D2,ROUND(BASE_D2+RATE_D2*($A1160-BOTT_D2),0),ROUND(RATE_D1*$A1160,0))))</f>
        <v/>
      </c>
    </row>
    <row r="1161" ht="15.75" customHeight="1" s="7635">
      <c r="A1161" s="625">
        <f>AVERAGE(B1161,C1161)</f>
        <v/>
      </c>
      <c r="B1161" s="555" t="n">
        <v>54850</v>
      </c>
      <c r="C1161" s="555" t="n">
        <v>54900</v>
      </c>
      <c r="D1161" s="556">
        <f>IF($A1161&gt;BOTT_A4,ROUND(BASE_A4+RATE_A4*($A1161-BOTT_A4),0),IF($A1161&gt;BOTT_A3,ROUND(BASE_A3+RATE_A3*($A1161-BOTT_A3),0),IF($A1161&gt;BOTT_A2,ROUND(BASE_A2+RATE_A2*($A1161-BOTT_A2),0),ROUND(RATE_A1*$A1161,0))))</f>
        <v/>
      </c>
      <c r="E1161" s="556">
        <f>IF($A1161&gt;BOTT_B4,ROUND(BASE_B4+RATE_B4*($A1161-BOTT_B4),0),IF($A1161&gt;BOTT_B3,ROUND(BASE_B3+RATE_B3*($A1161-BOTT_B3),0),IF($A1161&gt;BOTT_B2,ROUND(BASE_B2+RATE_B2*($A1161-BOTT_B2),0),ROUND(RATE_B1*$A1161,0))))</f>
        <v/>
      </c>
      <c r="F1161" s="556">
        <f>IF($A1161&gt;BOTT_C4,ROUND(BASE_C4+RATE_C4*($A1161-BOTT_C4),0),IF($A1161&gt;BOTT_C3,ROUND(BASE_C3+RATE_C3*($A1161-BOTT_C3),0),IF($A1161&gt;BOTT_C2,ROUND(BASE_C2+RATE_C2*($A1161-BOTT_C2),0),ROUND(RATE_C1*$A1161,0))))</f>
        <v/>
      </c>
      <c r="G1161" s="556">
        <f>IF($A1161&gt;BOTT_D4,ROUND(BASE_D4+RATE_D4*($A1161-BOTT_D4),0),IF($A1161&gt;BOTT_D3,ROUND(BASE_D3+RATE_D3*($A1161-BOTT_D3),0),IF($A1161&gt;BOTT_D2,ROUND(BASE_D2+RATE_D2*($A1161-BOTT_D2),0),ROUND(RATE_D1*$A1161,0))))</f>
        <v/>
      </c>
    </row>
    <row r="1162" ht="15.75" customHeight="1" s="7635">
      <c r="A1162" s="625">
        <f>AVERAGE(B1162,C1162)</f>
        <v/>
      </c>
      <c r="B1162" s="555" t="n">
        <v>54900</v>
      </c>
      <c r="C1162" s="555" t="n">
        <v>54950</v>
      </c>
      <c r="D1162" s="556">
        <f>IF($A1162&gt;BOTT_A4,ROUND(BASE_A4+RATE_A4*($A1162-BOTT_A4),0),IF($A1162&gt;BOTT_A3,ROUND(BASE_A3+RATE_A3*($A1162-BOTT_A3),0),IF($A1162&gt;BOTT_A2,ROUND(BASE_A2+RATE_A2*($A1162-BOTT_A2),0),ROUND(RATE_A1*$A1162,0))))</f>
        <v/>
      </c>
      <c r="E1162" s="556">
        <f>IF($A1162&gt;BOTT_B4,ROUND(BASE_B4+RATE_B4*($A1162-BOTT_B4),0),IF($A1162&gt;BOTT_B3,ROUND(BASE_B3+RATE_B3*($A1162-BOTT_B3),0),IF($A1162&gt;BOTT_B2,ROUND(BASE_B2+RATE_B2*($A1162-BOTT_B2),0),ROUND(RATE_B1*$A1162,0))))</f>
        <v/>
      </c>
      <c r="F1162" s="556">
        <f>IF($A1162&gt;BOTT_C4,ROUND(BASE_C4+RATE_C4*($A1162-BOTT_C4),0),IF($A1162&gt;BOTT_C3,ROUND(BASE_C3+RATE_C3*($A1162-BOTT_C3),0),IF($A1162&gt;BOTT_C2,ROUND(BASE_C2+RATE_C2*($A1162-BOTT_C2),0),ROUND(RATE_C1*$A1162,0))))</f>
        <v/>
      </c>
      <c r="G1162" s="556">
        <f>IF($A1162&gt;BOTT_D4,ROUND(BASE_D4+RATE_D4*($A1162-BOTT_D4),0),IF($A1162&gt;BOTT_D3,ROUND(BASE_D3+RATE_D3*($A1162-BOTT_D3),0),IF($A1162&gt;BOTT_D2,ROUND(BASE_D2+RATE_D2*($A1162-BOTT_D2),0),ROUND(RATE_D1*$A1162,0))))</f>
        <v/>
      </c>
    </row>
    <row r="1163" ht="15.75" customHeight="1" s="7635">
      <c r="A1163" s="625">
        <f>AVERAGE(B1163,C1163)</f>
        <v/>
      </c>
      <c r="B1163" s="555" t="n">
        <v>54950</v>
      </c>
      <c r="C1163" s="555" t="n">
        <v>55000</v>
      </c>
      <c r="D1163" s="556">
        <f>IF($A1163&gt;BOTT_A4,ROUND(BASE_A4+RATE_A4*($A1163-BOTT_A4),0),IF($A1163&gt;BOTT_A3,ROUND(BASE_A3+RATE_A3*($A1163-BOTT_A3),0),IF($A1163&gt;BOTT_A2,ROUND(BASE_A2+RATE_A2*($A1163-BOTT_A2),0),ROUND(RATE_A1*$A1163,0))))</f>
        <v/>
      </c>
      <c r="E1163" s="556">
        <f>IF($A1163&gt;BOTT_B4,ROUND(BASE_B4+RATE_B4*($A1163-BOTT_B4),0),IF($A1163&gt;BOTT_B3,ROUND(BASE_B3+RATE_B3*($A1163-BOTT_B3),0),IF($A1163&gt;BOTT_B2,ROUND(BASE_B2+RATE_B2*($A1163-BOTT_B2),0),ROUND(RATE_B1*$A1163,0))))</f>
        <v/>
      </c>
      <c r="F1163" s="556">
        <f>IF($A1163&gt;BOTT_C4,ROUND(BASE_C4+RATE_C4*($A1163-BOTT_C4),0),IF($A1163&gt;BOTT_C3,ROUND(BASE_C3+RATE_C3*($A1163-BOTT_C3),0),IF($A1163&gt;BOTT_C2,ROUND(BASE_C2+RATE_C2*($A1163-BOTT_C2),0),ROUND(RATE_C1*$A1163,0))))</f>
        <v/>
      </c>
      <c r="G1163" s="556">
        <f>IF($A1163&gt;BOTT_D4,ROUND(BASE_D4+RATE_D4*($A1163-BOTT_D4),0),IF($A1163&gt;BOTT_D3,ROUND(BASE_D3+RATE_D3*($A1163-BOTT_D3),0),IF($A1163&gt;BOTT_D2,ROUND(BASE_D2+RATE_D2*($A1163-BOTT_D2),0),ROUND(RATE_D1*$A1163,0))))</f>
        <v/>
      </c>
    </row>
    <row r="1164" ht="15.75" customHeight="1" s="7635">
      <c r="A1164" s="625">
        <f>AVERAGE(B1164,C1164)</f>
        <v/>
      </c>
      <c r="B1164" s="555" t="n">
        <v>55000</v>
      </c>
      <c r="C1164" s="555" t="n">
        <v>55050</v>
      </c>
      <c r="D1164" s="556">
        <f>IF($A1164&gt;BOTT_A4,ROUND(BASE_A4+RATE_A4*($A1164-BOTT_A4),0),IF($A1164&gt;BOTT_A3,ROUND(BASE_A3+RATE_A3*($A1164-BOTT_A3),0),IF($A1164&gt;BOTT_A2,ROUND(BASE_A2+RATE_A2*($A1164-BOTT_A2),0),ROUND(RATE_A1*$A1164,0))))</f>
        <v/>
      </c>
      <c r="E1164" s="556">
        <f>IF($A1164&gt;BOTT_B4,ROUND(BASE_B4+RATE_B4*($A1164-BOTT_B4),0),IF($A1164&gt;BOTT_B3,ROUND(BASE_B3+RATE_B3*($A1164-BOTT_B3),0),IF($A1164&gt;BOTT_B2,ROUND(BASE_B2+RATE_B2*($A1164-BOTT_B2),0),ROUND(RATE_B1*$A1164,0))))</f>
        <v/>
      </c>
      <c r="F1164" s="556">
        <f>IF($A1164&gt;BOTT_C4,ROUND(BASE_C4+RATE_C4*($A1164-BOTT_C4),0),IF($A1164&gt;BOTT_C3,ROUND(BASE_C3+RATE_C3*($A1164-BOTT_C3),0),IF($A1164&gt;BOTT_C2,ROUND(BASE_C2+RATE_C2*($A1164-BOTT_C2),0),ROUND(RATE_C1*$A1164,0))))</f>
        <v/>
      </c>
      <c r="G1164" s="556">
        <f>IF($A1164&gt;BOTT_D4,ROUND(BASE_D4+RATE_D4*($A1164-BOTT_D4),0),IF($A1164&gt;BOTT_D3,ROUND(BASE_D3+RATE_D3*($A1164-BOTT_D3),0),IF($A1164&gt;BOTT_D2,ROUND(BASE_D2+RATE_D2*($A1164-BOTT_D2),0),ROUND(RATE_D1*$A1164,0))))</f>
        <v/>
      </c>
    </row>
    <row r="1165" ht="15.75" customHeight="1" s="7635">
      <c r="A1165" s="625">
        <f>AVERAGE(B1165,C1165)</f>
        <v/>
      </c>
      <c r="B1165" s="555" t="n">
        <v>55050</v>
      </c>
      <c r="C1165" s="555" t="n">
        <v>55100</v>
      </c>
      <c r="D1165" s="556">
        <f>IF($A1165&gt;BOTT_A4,ROUND(BASE_A4+RATE_A4*($A1165-BOTT_A4),0),IF($A1165&gt;BOTT_A3,ROUND(BASE_A3+RATE_A3*($A1165-BOTT_A3),0),IF($A1165&gt;BOTT_A2,ROUND(BASE_A2+RATE_A2*($A1165-BOTT_A2),0),ROUND(RATE_A1*$A1165,0))))</f>
        <v/>
      </c>
      <c r="E1165" s="556">
        <f>IF($A1165&gt;BOTT_B4,ROUND(BASE_B4+RATE_B4*($A1165-BOTT_B4),0),IF($A1165&gt;BOTT_B3,ROUND(BASE_B3+RATE_B3*($A1165-BOTT_B3),0),IF($A1165&gt;BOTT_B2,ROUND(BASE_B2+RATE_B2*($A1165-BOTT_B2),0),ROUND(RATE_B1*$A1165,0))))</f>
        <v/>
      </c>
      <c r="F1165" s="556">
        <f>IF($A1165&gt;BOTT_C4,ROUND(BASE_C4+RATE_C4*($A1165-BOTT_C4),0),IF($A1165&gt;BOTT_C3,ROUND(BASE_C3+RATE_C3*($A1165-BOTT_C3),0),IF($A1165&gt;BOTT_C2,ROUND(BASE_C2+RATE_C2*($A1165-BOTT_C2),0),ROUND(RATE_C1*$A1165,0))))</f>
        <v/>
      </c>
      <c r="G1165" s="556">
        <f>IF($A1165&gt;BOTT_D4,ROUND(BASE_D4+RATE_D4*($A1165-BOTT_D4),0),IF($A1165&gt;BOTT_D3,ROUND(BASE_D3+RATE_D3*($A1165-BOTT_D3),0),IF($A1165&gt;BOTT_D2,ROUND(BASE_D2+RATE_D2*($A1165-BOTT_D2),0),ROUND(RATE_D1*$A1165,0))))</f>
        <v/>
      </c>
    </row>
    <row r="1166" ht="15.75" customHeight="1" s="7635">
      <c r="A1166" s="625">
        <f>AVERAGE(B1166,C1166)</f>
        <v/>
      </c>
      <c r="B1166" s="555" t="n">
        <v>55100</v>
      </c>
      <c r="C1166" s="555" t="n">
        <v>55150</v>
      </c>
      <c r="D1166" s="556">
        <f>IF($A1166&gt;BOTT_A4,ROUND(BASE_A4+RATE_A4*($A1166-BOTT_A4),0),IF($A1166&gt;BOTT_A3,ROUND(BASE_A3+RATE_A3*($A1166-BOTT_A3),0),IF($A1166&gt;BOTT_A2,ROUND(BASE_A2+RATE_A2*($A1166-BOTT_A2),0),ROUND(RATE_A1*$A1166,0))))</f>
        <v/>
      </c>
      <c r="E1166" s="556">
        <f>IF($A1166&gt;BOTT_B4,ROUND(BASE_B4+RATE_B4*($A1166-BOTT_B4),0),IF($A1166&gt;BOTT_B3,ROUND(BASE_B3+RATE_B3*($A1166-BOTT_B3),0),IF($A1166&gt;BOTT_B2,ROUND(BASE_B2+RATE_B2*($A1166-BOTT_B2),0),ROUND(RATE_B1*$A1166,0))))</f>
        <v/>
      </c>
      <c r="F1166" s="556">
        <f>IF($A1166&gt;BOTT_C4,ROUND(BASE_C4+RATE_C4*($A1166-BOTT_C4),0),IF($A1166&gt;BOTT_C3,ROUND(BASE_C3+RATE_C3*($A1166-BOTT_C3),0),IF($A1166&gt;BOTT_C2,ROUND(BASE_C2+RATE_C2*($A1166-BOTT_C2),0),ROUND(RATE_C1*$A1166,0))))</f>
        <v/>
      </c>
      <c r="G1166" s="556">
        <f>IF($A1166&gt;BOTT_D4,ROUND(BASE_D4+RATE_D4*($A1166-BOTT_D4),0),IF($A1166&gt;BOTT_D3,ROUND(BASE_D3+RATE_D3*($A1166-BOTT_D3),0),IF($A1166&gt;BOTT_D2,ROUND(BASE_D2+RATE_D2*($A1166-BOTT_D2),0),ROUND(RATE_D1*$A1166,0))))</f>
        <v/>
      </c>
    </row>
    <row r="1167" ht="15.75" customHeight="1" s="7635">
      <c r="A1167" s="625">
        <f>AVERAGE(B1167,C1167)</f>
        <v/>
      </c>
      <c r="B1167" s="555" t="n">
        <v>55150</v>
      </c>
      <c r="C1167" s="555" t="n">
        <v>55200</v>
      </c>
      <c r="D1167" s="556">
        <f>IF($A1167&gt;BOTT_A4,ROUND(BASE_A4+RATE_A4*($A1167-BOTT_A4),0),IF($A1167&gt;BOTT_A3,ROUND(BASE_A3+RATE_A3*($A1167-BOTT_A3),0),IF($A1167&gt;BOTT_A2,ROUND(BASE_A2+RATE_A2*($A1167-BOTT_A2),0),ROUND(RATE_A1*$A1167,0))))</f>
        <v/>
      </c>
      <c r="E1167" s="556">
        <f>IF($A1167&gt;BOTT_B4,ROUND(BASE_B4+RATE_B4*($A1167-BOTT_B4),0),IF($A1167&gt;BOTT_B3,ROUND(BASE_B3+RATE_B3*($A1167-BOTT_B3),0),IF($A1167&gt;BOTT_B2,ROUND(BASE_B2+RATE_B2*($A1167-BOTT_B2),0),ROUND(RATE_B1*$A1167,0))))</f>
        <v/>
      </c>
      <c r="F1167" s="556">
        <f>IF($A1167&gt;BOTT_C4,ROUND(BASE_C4+RATE_C4*($A1167-BOTT_C4),0),IF($A1167&gt;BOTT_C3,ROUND(BASE_C3+RATE_C3*($A1167-BOTT_C3),0),IF($A1167&gt;BOTT_C2,ROUND(BASE_C2+RATE_C2*($A1167-BOTT_C2),0),ROUND(RATE_C1*$A1167,0))))</f>
        <v/>
      </c>
      <c r="G1167" s="556">
        <f>IF($A1167&gt;BOTT_D4,ROUND(BASE_D4+RATE_D4*($A1167-BOTT_D4),0),IF($A1167&gt;BOTT_D3,ROUND(BASE_D3+RATE_D3*($A1167-BOTT_D3),0),IF($A1167&gt;BOTT_D2,ROUND(BASE_D2+RATE_D2*($A1167-BOTT_D2),0),ROUND(RATE_D1*$A1167,0))))</f>
        <v/>
      </c>
    </row>
    <row r="1168" ht="15.75" customHeight="1" s="7635">
      <c r="A1168" s="625">
        <f>AVERAGE(B1168,C1168)</f>
        <v/>
      </c>
      <c r="B1168" s="555" t="n">
        <v>55200</v>
      </c>
      <c r="C1168" s="555" t="n">
        <v>55250</v>
      </c>
      <c r="D1168" s="556">
        <f>IF($A1168&gt;BOTT_A4,ROUND(BASE_A4+RATE_A4*($A1168-BOTT_A4),0),IF($A1168&gt;BOTT_A3,ROUND(BASE_A3+RATE_A3*($A1168-BOTT_A3),0),IF($A1168&gt;BOTT_A2,ROUND(BASE_A2+RATE_A2*($A1168-BOTT_A2),0),ROUND(RATE_A1*$A1168,0))))</f>
        <v/>
      </c>
      <c r="E1168" s="556">
        <f>IF($A1168&gt;BOTT_B4,ROUND(BASE_B4+RATE_B4*($A1168-BOTT_B4),0),IF($A1168&gt;BOTT_B3,ROUND(BASE_B3+RATE_B3*($A1168-BOTT_B3),0),IF($A1168&gt;BOTT_B2,ROUND(BASE_B2+RATE_B2*($A1168-BOTT_B2),0),ROUND(RATE_B1*$A1168,0))))</f>
        <v/>
      </c>
      <c r="F1168" s="556">
        <f>IF($A1168&gt;BOTT_C4,ROUND(BASE_C4+RATE_C4*($A1168-BOTT_C4),0),IF($A1168&gt;BOTT_C3,ROUND(BASE_C3+RATE_C3*($A1168-BOTT_C3),0),IF($A1168&gt;BOTT_C2,ROUND(BASE_C2+RATE_C2*($A1168-BOTT_C2),0),ROUND(RATE_C1*$A1168,0))))</f>
        <v/>
      </c>
      <c r="G1168" s="556">
        <f>IF($A1168&gt;BOTT_D4,ROUND(BASE_D4+RATE_D4*($A1168-BOTT_D4),0),IF($A1168&gt;BOTT_D3,ROUND(BASE_D3+RATE_D3*($A1168-BOTT_D3),0),IF($A1168&gt;BOTT_D2,ROUND(BASE_D2+RATE_D2*($A1168-BOTT_D2),0),ROUND(RATE_D1*$A1168,0))))</f>
        <v/>
      </c>
    </row>
    <row r="1169" ht="15.75" customHeight="1" s="7635">
      <c r="A1169" s="625">
        <f>AVERAGE(B1169,C1169)</f>
        <v/>
      </c>
      <c r="B1169" s="555" t="n">
        <v>55250</v>
      </c>
      <c r="C1169" s="555" t="n">
        <v>55300</v>
      </c>
      <c r="D1169" s="556">
        <f>IF($A1169&gt;BOTT_A4,ROUND(BASE_A4+RATE_A4*($A1169-BOTT_A4),0),IF($A1169&gt;BOTT_A3,ROUND(BASE_A3+RATE_A3*($A1169-BOTT_A3),0),IF($A1169&gt;BOTT_A2,ROUND(BASE_A2+RATE_A2*($A1169-BOTT_A2),0),ROUND(RATE_A1*$A1169,0))))</f>
        <v/>
      </c>
      <c r="E1169" s="556">
        <f>IF($A1169&gt;BOTT_B4,ROUND(BASE_B4+RATE_B4*($A1169-BOTT_B4),0),IF($A1169&gt;BOTT_B3,ROUND(BASE_B3+RATE_B3*($A1169-BOTT_B3),0),IF($A1169&gt;BOTT_B2,ROUND(BASE_B2+RATE_B2*($A1169-BOTT_B2),0),ROUND(RATE_B1*$A1169,0))))</f>
        <v/>
      </c>
      <c r="F1169" s="556">
        <f>IF($A1169&gt;BOTT_C4,ROUND(BASE_C4+RATE_C4*($A1169-BOTT_C4),0),IF($A1169&gt;BOTT_C3,ROUND(BASE_C3+RATE_C3*($A1169-BOTT_C3),0),IF($A1169&gt;BOTT_C2,ROUND(BASE_C2+RATE_C2*($A1169-BOTT_C2),0),ROUND(RATE_C1*$A1169,0))))</f>
        <v/>
      </c>
      <c r="G1169" s="556">
        <f>IF($A1169&gt;BOTT_D4,ROUND(BASE_D4+RATE_D4*($A1169-BOTT_D4),0),IF($A1169&gt;BOTT_D3,ROUND(BASE_D3+RATE_D3*($A1169-BOTT_D3),0),IF($A1169&gt;BOTT_D2,ROUND(BASE_D2+RATE_D2*($A1169-BOTT_D2),0),ROUND(RATE_D1*$A1169,0))))</f>
        <v/>
      </c>
    </row>
    <row r="1170" ht="15.75" customHeight="1" s="7635">
      <c r="A1170" s="625">
        <f>AVERAGE(B1170,C1170)</f>
        <v/>
      </c>
      <c r="B1170" s="555" t="n">
        <v>55300</v>
      </c>
      <c r="C1170" s="555" t="n">
        <v>55350</v>
      </c>
      <c r="D1170" s="556">
        <f>IF($A1170&gt;BOTT_A4,ROUND(BASE_A4+RATE_A4*($A1170-BOTT_A4),0),IF($A1170&gt;BOTT_A3,ROUND(BASE_A3+RATE_A3*($A1170-BOTT_A3),0),IF($A1170&gt;BOTT_A2,ROUND(BASE_A2+RATE_A2*($A1170-BOTT_A2),0),ROUND(RATE_A1*$A1170,0))))</f>
        <v/>
      </c>
      <c r="E1170" s="556">
        <f>IF($A1170&gt;BOTT_B4,ROUND(BASE_B4+RATE_B4*($A1170-BOTT_B4),0),IF($A1170&gt;BOTT_B3,ROUND(BASE_B3+RATE_B3*($A1170-BOTT_B3),0),IF($A1170&gt;BOTT_B2,ROUND(BASE_B2+RATE_B2*($A1170-BOTT_B2),0),ROUND(RATE_B1*$A1170,0))))</f>
        <v/>
      </c>
      <c r="F1170" s="556">
        <f>IF($A1170&gt;BOTT_C4,ROUND(BASE_C4+RATE_C4*($A1170-BOTT_C4),0),IF($A1170&gt;BOTT_C3,ROUND(BASE_C3+RATE_C3*($A1170-BOTT_C3),0),IF($A1170&gt;BOTT_C2,ROUND(BASE_C2+RATE_C2*($A1170-BOTT_C2),0),ROUND(RATE_C1*$A1170,0))))</f>
        <v/>
      </c>
      <c r="G1170" s="556">
        <f>IF($A1170&gt;BOTT_D4,ROUND(BASE_D4+RATE_D4*($A1170-BOTT_D4),0),IF($A1170&gt;BOTT_D3,ROUND(BASE_D3+RATE_D3*($A1170-BOTT_D3),0),IF($A1170&gt;BOTT_D2,ROUND(BASE_D2+RATE_D2*($A1170-BOTT_D2),0),ROUND(RATE_D1*$A1170,0))))</f>
        <v/>
      </c>
    </row>
    <row r="1171" ht="15.75" customHeight="1" s="7635">
      <c r="A1171" s="625">
        <f>AVERAGE(B1171,C1171)</f>
        <v/>
      </c>
      <c r="B1171" s="555" t="n">
        <v>55350</v>
      </c>
      <c r="C1171" s="555" t="n">
        <v>55400</v>
      </c>
      <c r="D1171" s="556">
        <f>IF($A1171&gt;BOTT_A4,ROUND(BASE_A4+RATE_A4*($A1171-BOTT_A4),0),IF($A1171&gt;BOTT_A3,ROUND(BASE_A3+RATE_A3*($A1171-BOTT_A3),0),IF($A1171&gt;BOTT_A2,ROUND(BASE_A2+RATE_A2*($A1171-BOTT_A2),0),ROUND(RATE_A1*$A1171,0))))</f>
        <v/>
      </c>
      <c r="E1171" s="556">
        <f>IF($A1171&gt;BOTT_B4,ROUND(BASE_B4+RATE_B4*($A1171-BOTT_B4),0),IF($A1171&gt;BOTT_B3,ROUND(BASE_B3+RATE_B3*($A1171-BOTT_B3),0),IF($A1171&gt;BOTT_B2,ROUND(BASE_B2+RATE_B2*($A1171-BOTT_B2),0),ROUND(RATE_B1*$A1171,0))))</f>
        <v/>
      </c>
      <c r="F1171" s="556">
        <f>IF($A1171&gt;BOTT_C4,ROUND(BASE_C4+RATE_C4*($A1171-BOTT_C4),0),IF($A1171&gt;BOTT_C3,ROUND(BASE_C3+RATE_C3*($A1171-BOTT_C3),0),IF($A1171&gt;BOTT_C2,ROUND(BASE_C2+RATE_C2*($A1171-BOTT_C2),0),ROUND(RATE_C1*$A1171,0))))</f>
        <v/>
      </c>
      <c r="G1171" s="556">
        <f>IF($A1171&gt;BOTT_D4,ROUND(BASE_D4+RATE_D4*($A1171-BOTT_D4),0),IF($A1171&gt;BOTT_D3,ROUND(BASE_D3+RATE_D3*($A1171-BOTT_D3),0),IF($A1171&gt;BOTT_D2,ROUND(BASE_D2+RATE_D2*($A1171-BOTT_D2),0),ROUND(RATE_D1*$A1171,0))))</f>
        <v/>
      </c>
    </row>
    <row r="1172" ht="15.75" customHeight="1" s="7635">
      <c r="A1172" s="625">
        <f>AVERAGE(B1172,C1172)</f>
        <v/>
      </c>
      <c r="B1172" s="555" t="n">
        <v>55400</v>
      </c>
      <c r="C1172" s="555" t="n">
        <v>55450</v>
      </c>
      <c r="D1172" s="556">
        <f>IF($A1172&gt;BOTT_A4,ROUND(BASE_A4+RATE_A4*($A1172-BOTT_A4),0),IF($A1172&gt;BOTT_A3,ROUND(BASE_A3+RATE_A3*($A1172-BOTT_A3),0),IF($A1172&gt;BOTT_A2,ROUND(BASE_A2+RATE_A2*($A1172-BOTT_A2),0),ROUND(RATE_A1*$A1172,0))))</f>
        <v/>
      </c>
      <c r="E1172" s="556">
        <f>IF($A1172&gt;BOTT_B4,ROUND(BASE_B4+RATE_B4*($A1172-BOTT_B4),0),IF($A1172&gt;BOTT_B3,ROUND(BASE_B3+RATE_B3*($A1172-BOTT_B3),0),IF($A1172&gt;BOTT_B2,ROUND(BASE_B2+RATE_B2*($A1172-BOTT_B2),0),ROUND(RATE_B1*$A1172,0))))</f>
        <v/>
      </c>
      <c r="F1172" s="556">
        <f>IF($A1172&gt;BOTT_C4,ROUND(BASE_C4+RATE_C4*($A1172-BOTT_C4),0),IF($A1172&gt;BOTT_C3,ROUND(BASE_C3+RATE_C3*($A1172-BOTT_C3),0),IF($A1172&gt;BOTT_C2,ROUND(BASE_C2+RATE_C2*($A1172-BOTT_C2),0),ROUND(RATE_C1*$A1172,0))))</f>
        <v/>
      </c>
      <c r="G1172" s="556">
        <f>IF($A1172&gt;BOTT_D4,ROUND(BASE_D4+RATE_D4*($A1172-BOTT_D4),0),IF($A1172&gt;BOTT_D3,ROUND(BASE_D3+RATE_D3*($A1172-BOTT_D3),0),IF($A1172&gt;BOTT_D2,ROUND(BASE_D2+RATE_D2*($A1172-BOTT_D2),0),ROUND(RATE_D1*$A1172,0))))</f>
        <v/>
      </c>
    </row>
    <row r="1173" ht="15.75" customHeight="1" s="7635">
      <c r="A1173" s="625">
        <f>AVERAGE(B1173,C1173)</f>
        <v/>
      </c>
      <c r="B1173" s="555" t="n">
        <v>55450</v>
      </c>
      <c r="C1173" s="555" t="n">
        <v>55500</v>
      </c>
      <c r="D1173" s="556">
        <f>IF($A1173&gt;BOTT_A4,ROUND(BASE_A4+RATE_A4*($A1173-BOTT_A4),0),IF($A1173&gt;BOTT_A3,ROUND(BASE_A3+RATE_A3*($A1173-BOTT_A3),0),IF($A1173&gt;BOTT_A2,ROUND(BASE_A2+RATE_A2*($A1173-BOTT_A2),0),ROUND(RATE_A1*$A1173,0))))</f>
        <v/>
      </c>
      <c r="E1173" s="556">
        <f>IF($A1173&gt;BOTT_B4,ROUND(BASE_B4+RATE_B4*($A1173-BOTT_B4),0),IF($A1173&gt;BOTT_B3,ROUND(BASE_B3+RATE_B3*($A1173-BOTT_B3),0),IF($A1173&gt;BOTT_B2,ROUND(BASE_B2+RATE_B2*($A1173-BOTT_B2),0),ROUND(RATE_B1*$A1173,0))))</f>
        <v/>
      </c>
      <c r="F1173" s="556">
        <f>IF($A1173&gt;BOTT_C4,ROUND(BASE_C4+RATE_C4*($A1173-BOTT_C4),0),IF($A1173&gt;BOTT_C3,ROUND(BASE_C3+RATE_C3*($A1173-BOTT_C3),0),IF($A1173&gt;BOTT_C2,ROUND(BASE_C2+RATE_C2*($A1173-BOTT_C2),0),ROUND(RATE_C1*$A1173,0))))</f>
        <v/>
      </c>
      <c r="G1173" s="556">
        <f>IF($A1173&gt;BOTT_D4,ROUND(BASE_D4+RATE_D4*($A1173-BOTT_D4),0),IF($A1173&gt;BOTT_D3,ROUND(BASE_D3+RATE_D3*($A1173-BOTT_D3),0),IF($A1173&gt;BOTT_D2,ROUND(BASE_D2+RATE_D2*($A1173-BOTT_D2),0),ROUND(RATE_D1*$A1173,0))))</f>
        <v/>
      </c>
    </row>
    <row r="1174" ht="15.75" customHeight="1" s="7635">
      <c r="A1174" s="625">
        <f>AVERAGE(B1174,C1174)</f>
        <v/>
      </c>
      <c r="B1174" s="555" t="n">
        <v>55500</v>
      </c>
      <c r="C1174" s="555" t="n">
        <v>55550</v>
      </c>
      <c r="D1174" s="556">
        <f>IF($A1174&gt;BOTT_A4,ROUND(BASE_A4+RATE_A4*($A1174-BOTT_A4),0),IF($A1174&gt;BOTT_A3,ROUND(BASE_A3+RATE_A3*($A1174-BOTT_A3),0),IF($A1174&gt;BOTT_A2,ROUND(BASE_A2+RATE_A2*($A1174-BOTT_A2),0),ROUND(RATE_A1*$A1174,0))))</f>
        <v/>
      </c>
      <c r="E1174" s="556">
        <f>IF($A1174&gt;BOTT_B4,ROUND(BASE_B4+RATE_B4*($A1174-BOTT_B4),0),IF($A1174&gt;BOTT_B3,ROUND(BASE_B3+RATE_B3*($A1174-BOTT_B3),0),IF($A1174&gt;BOTT_B2,ROUND(BASE_B2+RATE_B2*($A1174-BOTT_B2),0),ROUND(RATE_B1*$A1174,0))))</f>
        <v/>
      </c>
      <c r="F1174" s="556">
        <f>IF($A1174&gt;BOTT_C4,ROUND(BASE_C4+RATE_C4*($A1174-BOTT_C4),0),IF($A1174&gt;BOTT_C3,ROUND(BASE_C3+RATE_C3*($A1174-BOTT_C3),0),IF($A1174&gt;BOTT_C2,ROUND(BASE_C2+RATE_C2*($A1174-BOTT_C2),0),ROUND(RATE_C1*$A1174,0))))</f>
        <v/>
      </c>
      <c r="G1174" s="556">
        <f>IF($A1174&gt;BOTT_D4,ROUND(BASE_D4+RATE_D4*($A1174-BOTT_D4),0),IF($A1174&gt;BOTT_D3,ROUND(BASE_D3+RATE_D3*($A1174-BOTT_D3),0),IF($A1174&gt;BOTT_D2,ROUND(BASE_D2+RATE_D2*($A1174-BOTT_D2),0),ROUND(RATE_D1*$A1174,0))))</f>
        <v/>
      </c>
    </row>
    <row r="1175" ht="15.75" customHeight="1" s="7635">
      <c r="A1175" s="625">
        <f>AVERAGE(B1175,C1175)</f>
        <v/>
      </c>
      <c r="B1175" s="555" t="n">
        <v>55550</v>
      </c>
      <c r="C1175" s="555" t="n">
        <v>55600</v>
      </c>
      <c r="D1175" s="556">
        <f>IF($A1175&gt;BOTT_A4,ROUND(BASE_A4+RATE_A4*($A1175-BOTT_A4),0),IF($A1175&gt;BOTT_A3,ROUND(BASE_A3+RATE_A3*($A1175-BOTT_A3),0),IF($A1175&gt;BOTT_A2,ROUND(BASE_A2+RATE_A2*($A1175-BOTT_A2),0),ROUND(RATE_A1*$A1175,0))))</f>
        <v/>
      </c>
      <c r="E1175" s="556">
        <f>IF($A1175&gt;BOTT_B4,ROUND(BASE_B4+RATE_B4*($A1175-BOTT_B4),0),IF($A1175&gt;BOTT_B3,ROUND(BASE_B3+RATE_B3*($A1175-BOTT_B3),0),IF($A1175&gt;BOTT_B2,ROUND(BASE_B2+RATE_B2*($A1175-BOTT_B2),0),ROUND(RATE_B1*$A1175,0))))</f>
        <v/>
      </c>
      <c r="F1175" s="556">
        <f>IF($A1175&gt;BOTT_C4,ROUND(BASE_C4+RATE_C4*($A1175-BOTT_C4),0),IF($A1175&gt;BOTT_C3,ROUND(BASE_C3+RATE_C3*($A1175-BOTT_C3),0),IF($A1175&gt;BOTT_C2,ROUND(BASE_C2+RATE_C2*($A1175-BOTT_C2),0),ROUND(RATE_C1*$A1175,0))))</f>
        <v/>
      </c>
      <c r="G1175" s="556">
        <f>IF($A1175&gt;BOTT_D4,ROUND(BASE_D4+RATE_D4*($A1175-BOTT_D4),0),IF($A1175&gt;BOTT_D3,ROUND(BASE_D3+RATE_D3*($A1175-BOTT_D3),0),IF($A1175&gt;BOTT_D2,ROUND(BASE_D2+RATE_D2*($A1175-BOTT_D2),0),ROUND(RATE_D1*$A1175,0))))</f>
        <v/>
      </c>
    </row>
    <row r="1176" ht="15.75" customHeight="1" s="7635">
      <c r="A1176" s="625">
        <f>AVERAGE(B1176,C1176)</f>
        <v/>
      </c>
      <c r="B1176" s="555" t="n">
        <v>55600</v>
      </c>
      <c r="C1176" s="555" t="n">
        <v>55650</v>
      </c>
      <c r="D1176" s="556">
        <f>IF($A1176&gt;BOTT_A4,ROUND(BASE_A4+RATE_A4*($A1176-BOTT_A4),0),IF($A1176&gt;BOTT_A3,ROUND(BASE_A3+RATE_A3*($A1176-BOTT_A3),0),IF($A1176&gt;BOTT_A2,ROUND(BASE_A2+RATE_A2*($A1176-BOTT_A2),0),ROUND(RATE_A1*$A1176,0))))</f>
        <v/>
      </c>
      <c r="E1176" s="556">
        <f>IF($A1176&gt;BOTT_B4,ROUND(BASE_B4+RATE_B4*($A1176-BOTT_B4),0),IF($A1176&gt;BOTT_B3,ROUND(BASE_B3+RATE_B3*($A1176-BOTT_B3),0),IF($A1176&gt;BOTT_B2,ROUND(BASE_B2+RATE_B2*($A1176-BOTT_B2),0),ROUND(RATE_B1*$A1176,0))))</f>
        <v/>
      </c>
      <c r="F1176" s="556">
        <f>IF($A1176&gt;BOTT_C4,ROUND(BASE_C4+RATE_C4*($A1176-BOTT_C4),0),IF($A1176&gt;BOTT_C3,ROUND(BASE_C3+RATE_C3*($A1176-BOTT_C3),0),IF($A1176&gt;BOTT_C2,ROUND(BASE_C2+RATE_C2*($A1176-BOTT_C2),0),ROUND(RATE_C1*$A1176,0))))</f>
        <v/>
      </c>
      <c r="G1176" s="556">
        <f>IF($A1176&gt;BOTT_D4,ROUND(BASE_D4+RATE_D4*($A1176-BOTT_D4),0),IF($A1176&gt;BOTT_D3,ROUND(BASE_D3+RATE_D3*($A1176-BOTT_D3),0),IF($A1176&gt;BOTT_D2,ROUND(BASE_D2+RATE_D2*($A1176-BOTT_D2),0),ROUND(RATE_D1*$A1176,0))))</f>
        <v/>
      </c>
    </row>
    <row r="1177" ht="15.75" customHeight="1" s="7635">
      <c r="A1177" s="625">
        <f>AVERAGE(B1177,C1177)</f>
        <v/>
      </c>
      <c r="B1177" s="555" t="n">
        <v>55650</v>
      </c>
      <c r="C1177" s="555" t="n">
        <v>55700</v>
      </c>
      <c r="D1177" s="556">
        <f>IF($A1177&gt;BOTT_A4,ROUND(BASE_A4+RATE_A4*($A1177-BOTT_A4),0),IF($A1177&gt;BOTT_A3,ROUND(BASE_A3+RATE_A3*($A1177-BOTT_A3),0),IF($A1177&gt;BOTT_A2,ROUND(BASE_A2+RATE_A2*($A1177-BOTT_A2),0),ROUND(RATE_A1*$A1177,0))))</f>
        <v/>
      </c>
      <c r="E1177" s="556">
        <f>IF($A1177&gt;BOTT_B4,ROUND(BASE_B4+RATE_B4*($A1177-BOTT_B4),0),IF($A1177&gt;BOTT_B3,ROUND(BASE_B3+RATE_B3*($A1177-BOTT_B3),0),IF($A1177&gt;BOTT_B2,ROUND(BASE_B2+RATE_B2*($A1177-BOTT_B2),0),ROUND(RATE_B1*$A1177,0))))</f>
        <v/>
      </c>
      <c r="F1177" s="556">
        <f>IF($A1177&gt;BOTT_C4,ROUND(BASE_C4+RATE_C4*($A1177-BOTT_C4),0),IF($A1177&gt;BOTT_C3,ROUND(BASE_C3+RATE_C3*($A1177-BOTT_C3),0),IF($A1177&gt;BOTT_C2,ROUND(BASE_C2+RATE_C2*($A1177-BOTT_C2),0),ROUND(RATE_C1*$A1177,0))))</f>
        <v/>
      </c>
      <c r="G1177" s="556">
        <f>IF($A1177&gt;BOTT_D4,ROUND(BASE_D4+RATE_D4*($A1177-BOTT_D4),0),IF($A1177&gt;BOTT_D3,ROUND(BASE_D3+RATE_D3*($A1177-BOTT_D3),0),IF($A1177&gt;BOTT_D2,ROUND(BASE_D2+RATE_D2*($A1177-BOTT_D2),0),ROUND(RATE_D1*$A1177,0))))</f>
        <v/>
      </c>
    </row>
    <row r="1178" ht="15.75" customHeight="1" s="7635">
      <c r="A1178" s="625">
        <f>AVERAGE(B1178,C1178)</f>
        <v/>
      </c>
      <c r="B1178" s="555" t="n">
        <v>55700</v>
      </c>
      <c r="C1178" s="555" t="n">
        <v>55750</v>
      </c>
      <c r="D1178" s="556">
        <f>IF($A1178&gt;BOTT_A4,ROUND(BASE_A4+RATE_A4*($A1178-BOTT_A4),0),IF($A1178&gt;BOTT_A3,ROUND(BASE_A3+RATE_A3*($A1178-BOTT_A3),0),IF($A1178&gt;BOTT_A2,ROUND(BASE_A2+RATE_A2*($A1178-BOTT_A2),0),ROUND(RATE_A1*$A1178,0))))</f>
        <v/>
      </c>
      <c r="E1178" s="556">
        <f>IF($A1178&gt;BOTT_B4,ROUND(BASE_B4+RATE_B4*($A1178-BOTT_B4),0),IF($A1178&gt;BOTT_B3,ROUND(BASE_B3+RATE_B3*($A1178-BOTT_B3),0),IF($A1178&gt;BOTT_B2,ROUND(BASE_B2+RATE_B2*($A1178-BOTT_B2),0),ROUND(RATE_B1*$A1178,0))))</f>
        <v/>
      </c>
      <c r="F1178" s="556">
        <f>IF($A1178&gt;BOTT_C4,ROUND(BASE_C4+RATE_C4*($A1178-BOTT_C4),0),IF($A1178&gt;BOTT_C3,ROUND(BASE_C3+RATE_C3*($A1178-BOTT_C3),0),IF($A1178&gt;BOTT_C2,ROUND(BASE_C2+RATE_C2*($A1178-BOTT_C2),0),ROUND(RATE_C1*$A1178,0))))</f>
        <v/>
      </c>
      <c r="G1178" s="556">
        <f>IF($A1178&gt;BOTT_D4,ROUND(BASE_D4+RATE_D4*($A1178-BOTT_D4),0),IF($A1178&gt;BOTT_D3,ROUND(BASE_D3+RATE_D3*($A1178-BOTT_D3),0),IF($A1178&gt;BOTT_D2,ROUND(BASE_D2+RATE_D2*($A1178-BOTT_D2),0),ROUND(RATE_D1*$A1178,0))))</f>
        <v/>
      </c>
    </row>
    <row r="1179" ht="15.75" customHeight="1" s="7635">
      <c r="A1179" s="625">
        <f>AVERAGE(B1179,C1179)</f>
        <v/>
      </c>
      <c r="B1179" s="555" t="n">
        <v>55750</v>
      </c>
      <c r="C1179" s="555" t="n">
        <v>55800</v>
      </c>
      <c r="D1179" s="556">
        <f>IF($A1179&gt;BOTT_A4,ROUND(BASE_A4+RATE_A4*($A1179-BOTT_A4),0),IF($A1179&gt;BOTT_A3,ROUND(BASE_A3+RATE_A3*($A1179-BOTT_A3),0),IF($A1179&gt;BOTT_A2,ROUND(BASE_A2+RATE_A2*($A1179-BOTT_A2),0),ROUND(RATE_A1*$A1179,0))))</f>
        <v/>
      </c>
      <c r="E1179" s="556">
        <f>IF($A1179&gt;BOTT_B4,ROUND(BASE_B4+RATE_B4*($A1179-BOTT_B4),0),IF($A1179&gt;BOTT_B3,ROUND(BASE_B3+RATE_B3*($A1179-BOTT_B3),0),IF($A1179&gt;BOTT_B2,ROUND(BASE_B2+RATE_B2*($A1179-BOTT_B2),0),ROUND(RATE_B1*$A1179,0))))</f>
        <v/>
      </c>
      <c r="F1179" s="556">
        <f>IF($A1179&gt;BOTT_C4,ROUND(BASE_C4+RATE_C4*($A1179-BOTT_C4),0),IF($A1179&gt;BOTT_C3,ROUND(BASE_C3+RATE_C3*($A1179-BOTT_C3),0),IF($A1179&gt;BOTT_C2,ROUND(BASE_C2+RATE_C2*($A1179-BOTT_C2),0),ROUND(RATE_C1*$A1179,0))))</f>
        <v/>
      </c>
      <c r="G1179" s="556">
        <f>IF($A1179&gt;BOTT_D4,ROUND(BASE_D4+RATE_D4*($A1179-BOTT_D4),0),IF($A1179&gt;BOTT_D3,ROUND(BASE_D3+RATE_D3*($A1179-BOTT_D3),0),IF($A1179&gt;BOTT_D2,ROUND(BASE_D2+RATE_D2*($A1179-BOTT_D2),0),ROUND(RATE_D1*$A1179,0))))</f>
        <v/>
      </c>
    </row>
    <row r="1180" ht="15.75" customHeight="1" s="7635">
      <c r="A1180" s="625">
        <f>AVERAGE(B1180,C1180)</f>
        <v/>
      </c>
      <c r="B1180" s="555" t="n">
        <v>55800</v>
      </c>
      <c r="C1180" s="555" t="n">
        <v>55850</v>
      </c>
      <c r="D1180" s="556">
        <f>IF($A1180&gt;BOTT_A4,ROUND(BASE_A4+RATE_A4*($A1180-BOTT_A4),0),IF($A1180&gt;BOTT_A3,ROUND(BASE_A3+RATE_A3*($A1180-BOTT_A3),0),IF($A1180&gt;BOTT_A2,ROUND(BASE_A2+RATE_A2*($A1180-BOTT_A2),0),ROUND(RATE_A1*$A1180,0))))</f>
        <v/>
      </c>
      <c r="E1180" s="556">
        <f>IF($A1180&gt;BOTT_B4,ROUND(BASE_B4+RATE_B4*($A1180-BOTT_B4),0),IF($A1180&gt;BOTT_B3,ROUND(BASE_B3+RATE_B3*($A1180-BOTT_B3),0),IF($A1180&gt;BOTT_B2,ROUND(BASE_B2+RATE_B2*($A1180-BOTT_B2),0),ROUND(RATE_B1*$A1180,0))))</f>
        <v/>
      </c>
      <c r="F1180" s="556">
        <f>IF($A1180&gt;BOTT_C4,ROUND(BASE_C4+RATE_C4*($A1180-BOTT_C4),0),IF($A1180&gt;BOTT_C3,ROUND(BASE_C3+RATE_C3*($A1180-BOTT_C3),0),IF($A1180&gt;BOTT_C2,ROUND(BASE_C2+RATE_C2*($A1180-BOTT_C2),0),ROUND(RATE_C1*$A1180,0))))</f>
        <v/>
      </c>
      <c r="G1180" s="556">
        <f>IF($A1180&gt;BOTT_D4,ROUND(BASE_D4+RATE_D4*($A1180-BOTT_D4),0),IF($A1180&gt;BOTT_D3,ROUND(BASE_D3+RATE_D3*($A1180-BOTT_D3),0),IF($A1180&gt;BOTT_D2,ROUND(BASE_D2+RATE_D2*($A1180-BOTT_D2),0),ROUND(RATE_D1*$A1180,0))))</f>
        <v/>
      </c>
    </row>
    <row r="1181" ht="15.75" customHeight="1" s="7635">
      <c r="A1181" s="625">
        <f>AVERAGE(B1181,C1181)</f>
        <v/>
      </c>
      <c r="B1181" s="555" t="n">
        <v>55850</v>
      </c>
      <c r="C1181" s="555" t="n">
        <v>55900</v>
      </c>
      <c r="D1181" s="556">
        <f>IF($A1181&gt;BOTT_A4,ROUND(BASE_A4+RATE_A4*($A1181-BOTT_A4),0),IF($A1181&gt;BOTT_A3,ROUND(BASE_A3+RATE_A3*($A1181-BOTT_A3),0),IF($A1181&gt;BOTT_A2,ROUND(BASE_A2+RATE_A2*($A1181-BOTT_A2),0),ROUND(RATE_A1*$A1181,0))))</f>
        <v/>
      </c>
      <c r="E1181" s="556">
        <f>IF($A1181&gt;BOTT_B4,ROUND(BASE_B4+RATE_B4*($A1181-BOTT_B4),0),IF($A1181&gt;BOTT_B3,ROUND(BASE_B3+RATE_B3*($A1181-BOTT_B3),0),IF($A1181&gt;BOTT_B2,ROUND(BASE_B2+RATE_B2*($A1181-BOTT_B2),0),ROUND(RATE_B1*$A1181,0))))</f>
        <v/>
      </c>
      <c r="F1181" s="556">
        <f>IF($A1181&gt;BOTT_C4,ROUND(BASE_C4+RATE_C4*($A1181-BOTT_C4),0),IF($A1181&gt;BOTT_C3,ROUND(BASE_C3+RATE_C3*($A1181-BOTT_C3),0),IF($A1181&gt;BOTT_C2,ROUND(BASE_C2+RATE_C2*($A1181-BOTT_C2),0),ROUND(RATE_C1*$A1181,0))))</f>
        <v/>
      </c>
      <c r="G1181" s="556">
        <f>IF($A1181&gt;BOTT_D4,ROUND(BASE_D4+RATE_D4*($A1181-BOTT_D4),0),IF($A1181&gt;BOTT_D3,ROUND(BASE_D3+RATE_D3*($A1181-BOTT_D3),0),IF($A1181&gt;BOTT_D2,ROUND(BASE_D2+RATE_D2*($A1181-BOTT_D2),0),ROUND(RATE_D1*$A1181,0))))</f>
        <v/>
      </c>
    </row>
    <row r="1182" ht="15.75" customHeight="1" s="7635">
      <c r="A1182" s="625">
        <f>AVERAGE(B1182,C1182)</f>
        <v/>
      </c>
      <c r="B1182" s="555" t="n">
        <v>55900</v>
      </c>
      <c r="C1182" s="555" t="n">
        <v>55950</v>
      </c>
      <c r="D1182" s="556">
        <f>IF($A1182&gt;BOTT_A4,ROUND(BASE_A4+RATE_A4*($A1182-BOTT_A4),0),IF($A1182&gt;BOTT_A3,ROUND(BASE_A3+RATE_A3*($A1182-BOTT_A3),0),IF($A1182&gt;BOTT_A2,ROUND(BASE_A2+RATE_A2*($A1182-BOTT_A2),0),ROUND(RATE_A1*$A1182,0))))</f>
        <v/>
      </c>
      <c r="E1182" s="556">
        <f>IF($A1182&gt;BOTT_B4,ROUND(BASE_B4+RATE_B4*($A1182-BOTT_B4),0),IF($A1182&gt;BOTT_B3,ROUND(BASE_B3+RATE_B3*($A1182-BOTT_B3),0),IF($A1182&gt;BOTT_B2,ROUND(BASE_B2+RATE_B2*($A1182-BOTT_B2),0),ROUND(RATE_B1*$A1182,0))))</f>
        <v/>
      </c>
      <c r="F1182" s="556">
        <f>IF($A1182&gt;BOTT_C4,ROUND(BASE_C4+RATE_C4*($A1182-BOTT_C4),0),IF($A1182&gt;BOTT_C3,ROUND(BASE_C3+RATE_C3*($A1182-BOTT_C3),0),IF($A1182&gt;BOTT_C2,ROUND(BASE_C2+RATE_C2*($A1182-BOTT_C2),0),ROUND(RATE_C1*$A1182,0))))</f>
        <v/>
      </c>
      <c r="G1182" s="556">
        <f>IF($A1182&gt;BOTT_D4,ROUND(BASE_D4+RATE_D4*($A1182-BOTT_D4),0),IF($A1182&gt;BOTT_D3,ROUND(BASE_D3+RATE_D3*($A1182-BOTT_D3),0),IF($A1182&gt;BOTT_D2,ROUND(BASE_D2+RATE_D2*($A1182-BOTT_D2),0),ROUND(RATE_D1*$A1182,0))))</f>
        <v/>
      </c>
    </row>
    <row r="1183" ht="15.75" customHeight="1" s="7635">
      <c r="A1183" s="625">
        <f>AVERAGE(B1183,C1183)</f>
        <v/>
      </c>
      <c r="B1183" s="555" t="n">
        <v>55950</v>
      </c>
      <c r="C1183" s="555" t="n">
        <v>56000</v>
      </c>
      <c r="D1183" s="556">
        <f>IF($A1183&gt;BOTT_A4,ROUND(BASE_A4+RATE_A4*($A1183-BOTT_A4),0),IF($A1183&gt;BOTT_A3,ROUND(BASE_A3+RATE_A3*($A1183-BOTT_A3),0),IF($A1183&gt;BOTT_A2,ROUND(BASE_A2+RATE_A2*($A1183-BOTT_A2),0),ROUND(RATE_A1*$A1183,0))))</f>
        <v/>
      </c>
      <c r="E1183" s="556">
        <f>IF($A1183&gt;BOTT_B4,ROUND(BASE_B4+RATE_B4*($A1183-BOTT_B4),0),IF($A1183&gt;BOTT_B3,ROUND(BASE_B3+RATE_B3*($A1183-BOTT_B3),0),IF($A1183&gt;BOTT_B2,ROUND(BASE_B2+RATE_B2*($A1183-BOTT_B2),0),ROUND(RATE_B1*$A1183,0))))</f>
        <v/>
      </c>
      <c r="F1183" s="556">
        <f>IF($A1183&gt;BOTT_C4,ROUND(BASE_C4+RATE_C4*($A1183-BOTT_C4),0),IF($A1183&gt;BOTT_C3,ROUND(BASE_C3+RATE_C3*($A1183-BOTT_C3),0),IF($A1183&gt;BOTT_C2,ROUND(BASE_C2+RATE_C2*($A1183-BOTT_C2),0),ROUND(RATE_C1*$A1183,0))))</f>
        <v/>
      </c>
      <c r="G1183" s="556">
        <f>IF($A1183&gt;BOTT_D4,ROUND(BASE_D4+RATE_D4*($A1183-BOTT_D4),0),IF($A1183&gt;BOTT_D3,ROUND(BASE_D3+RATE_D3*($A1183-BOTT_D3),0),IF($A1183&gt;BOTT_D2,ROUND(BASE_D2+RATE_D2*($A1183-BOTT_D2),0),ROUND(RATE_D1*$A1183,0))))</f>
        <v/>
      </c>
    </row>
    <row r="1184" ht="15.75" customHeight="1" s="7635">
      <c r="A1184" s="625">
        <f>AVERAGE(B1184,C1184)</f>
        <v/>
      </c>
      <c r="B1184" s="555" t="n">
        <v>56000</v>
      </c>
      <c r="C1184" s="555" t="n">
        <v>56050</v>
      </c>
      <c r="D1184" s="556">
        <f>IF($A1184&gt;BOTT_A4,ROUND(BASE_A4+RATE_A4*($A1184-BOTT_A4),0),IF($A1184&gt;BOTT_A3,ROUND(BASE_A3+RATE_A3*($A1184-BOTT_A3),0),IF($A1184&gt;BOTT_A2,ROUND(BASE_A2+RATE_A2*($A1184-BOTT_A2),0),ROUND(RATE_A1*$A1184,0))))</f>
        <v/>
      </c>
      <c r="E1184" s="556">
        <f>IF($A1184&gt;BOTT_B4,ROUND(BASE_B4+RATE_B4*($A1184-BOTT_B4),0),IF($A1184&gt;BOTT_B3,ROUND(BASE_B3+RATE_B3*($A1184-BOTT_B3),0),IF($A1184&gt;BOTT_B2,ROUND(BASE_B2+RATE_B2*($A1184-BOTT_B2),0),ROUND(RATE_B1*$A1184,0))))</f>
        <v/>
      </c>
      <c r="F1184" s="556">
        <f>IF($A1184&gt;BOTT_C4,ROUND(BASE_C4+RATE_C4*($A1184-BOTT_C4),0),IF($A1184&gt;BOTT_C3,ROUND(BASE_C3+RATE_C3*($A1184-BOTT_C3),0),IF($A1184&gt;BOTT_C2,ROUND(BASE_C2+RATE_C2*($A1184-BOTT_C2),0),ROUND(RATE_C1*$A1184,0))))</f>
        <v/>
      </c>
      <c r="G1184" s="556">
        <f>IF($A1184&gt;BOTT_D4,ROUND(BASE_D4+RATE_D4*($A1184-BOTT_D4),0),IF($A1184&gt;BOTT_D3,ROUND(BASE_D3+RATE_D3*($A1184-BOTT_D3),0),IF($A1184&gt;BOTT_D2,ROUND(BASE_D2+RATE_D2*($A1184-BOTT_D2),0),ROUND(RATE_D1*$A1184,0))))</f>
        <v/>
      </c>
    </row>
    <row r="1185" ht="15.75" customHeight="1" s="7635">
      <c r="A1185" s="625">
        <f>AVERAGE(B1185,C1185)</f>
        <v/>
      </c>
      <c r="B1185" s="555" t="n">
        <v>56050</v>
      </c>
      <c r="C1185" s="555" t="n">
        <v>56100</v>
      </c>
      <c r="D1185" s="556">
        <f>IF($A1185&gt;BOTT_A4,ROUND(BASE_A4+RATE_A4*($A1185-BOTT_A4),0),IF($A1185&gt;BOTT_A3,ROUND(BASE_A3+RATE_A3*($A1185-BOTT_A3),0),IF($A1185&gt;BOTT_A2,ROUND(BASE_A2+RATE_A2*($A1185-BOTT_A2),0),ROUND(RATE_A1*$A1185,0))))</f>
        <v/>
      </c>
      <c r="E1185" s="556">
        <f>IF($A1185&gt;BOTT_B4,ROUND(BASE_B4+RATE_B4*($A1185-BOTT_B4),0),IF($A1185&gt;BOTT_B3,ROUND(BASE_B3+RATE_B3*($A1185-BOTT_B3),0),IF($A1185&gt;BOTT_B2,ROUND(BASE_B2+RATE_B2*($A1185-BOTT_B2),0),ROUND(RATE_B1*$A1185,0))))</f>
        <v/>
      </c>
      <c r="F1185" s="556">
        <f>IF($A1185&gt;BOTT_C4,ROUND(BASE_C4+RATE_C4*($A1185-BOTT_C4),0),IF($A1185&gt;BOTT_C3,ROUND(BASE_C3+RATE_C3*($A1185-BOTT_C3),0),IF($A1185&gt;BOTT_C2,ROUND(BASE_C2+RATE_C2*($A1185-BOTT_C2),0),ROUND(RATE_C1*$A1185,0))))</f>
        <v/>
      </c>
      <c r="G1185" s="556">
        <f>IF($A1185&gt;BOTT_D4,ROUND(BASE_D4+RATE_D4*($A1185-BOTT_D4),0),IF($A1185&gt;BOTT_D3,ROUND(BASE_D3+RATE_D3*($A1185-BOTT_D3),0),IF($A1185&gt;BOTT_D2,ROUND(BASE_D2+RATE_D2*($A1185-BOTT_D2),0),ROUND(RATE_D1*$A1185,0))))</f>
        <v/>
      </c>
    </row>
    <row r="1186" ht="15.75" customHeight="1" s="7635">
      <c r="A1186" s="625">
        <f>AVERAGE(B1186,C1186)</f>
        <v/>
      </c>
      <c r="B1186" s="555" t="n">
        <v>56100</v>
      </c>
      <c r="C1186" s="555" t="n">
        <v>56150</v>
      </c>
      <c r="D1186" s="556">
        <f>IF($A1186&gt;BOTT_A4,ROUND(BASE_A4+RATE_A4*($A1186-BOTT_A4),0),IF($A1186&gt;BOTT_A3,ROUND(BASE_A3+RATE_A3*($A1186-BOTT_A3),0),IF($A1186&gt;BOTT_A2,ROUND(BASE_A2+RATE_A2*($A1186-BOTT_A2),0),ROUND(RATE_A1*$A1186,0))))</f>
        <v/>
      </c>
      <c r="E1186" s="556">
        <f>IF($A1186&gt;BOTT_B4,ROUND(BASE_B4+RATE_B4*($A1186-BOTT_B4),0),IF($A1186&gt;BOTT_B3,ROUND(BASE_B3+RATE_B3*($A1186-BOTT_B3),0),IF($A1186&gt;BOTT_B2,ROUND(BASE_B2+RATE_B2*($A1186-BOTT_B2),0),ROUND(RATE_B1*$A1186,0))))</f>
        <v/>
      </c>
      <c r="F1186" s="556">
        <f>IF($A1186&gt;BOTT_C4,ROUND(BASE_C4+RATE_C4*($A1186-BOTT_C4),0),IF($A1186&gt;BOTT_C3,ROUND(BASE_C3+RATE_C3*($A1186-BOTT_C3),0),IF($A1186&gt;BOTT_C2,ROUND(BASE_C2+RATE_C2*($A1186-BOTT_C2),0),ROUND(RATE_C1*$A1186,0))))</f>
        <v/>
      </c>
      <c r="G1186" s="556">
        <f>IF($A1186&gt;BOTT_D4,ROUND(BASE_D4+RATE_D4*($A1186-BOTT_D4),0),IF($A1186&gt;BOTT_D3,ROUND(BASE_D3+RATE_D3*($A1186-BOTT_D3),0),IF($A1186&gt;BOTT_D2,ROUND(BASE_D2+RATE_D2*($A1186-BOTT_D2),0),ROUND(RATE_D1*$A1186,0))))</f>
        <v/>
      </c>
    </row>
    <row r="1187" ht="15.75" customHeight="1" s="7635">
      <c r="A1187" s="625">
        <f>AVERAGE(B1187,C1187)</f>
        <v/>
      </c>
      <c r="B1187" s="555" t="n">
        <v>56150</v>
      </c>
      <c r="C1187" s="555" t="n">
        <v>56200</v>
      </c>
      <c r="D1187" s="556">
        <f>IF($A1187&gt;BOTT_A4,ROUND(BASE_A4+RATE_A4*($A1187-BOTT_A4),0),IF($A1187&gt;BOTT_A3,ROUND(BASE_A3+RATE_A3*($A1187-BOTT_A3),0),IF($A1187&gt;BOTT_A2,ROUND(BASE_A2+RATE_A2*($A1187-BOTT_A2),0),ROUND(RATE_A1*$A1187,0))))</f>
        <v/>
      </c>
      <c r="E1187" s="556">
        <f>IF($A1187&gt;BOTT_B4,ROUND(BASE_B4+RATE_B4*($A1187-BOTT_B4),0),IF($A1187&gt;BOTT_B3,ROUND(BASE_B3+RATE_B3*($A1187-BOTT_B3),0),IF($A1187&gt;BOTT_B2,ROUND(BASE_B2+RATE_B2*($A1187-BOTT_B2),0),ROUND(RATE_B1*$A1187,0))))</f>
        <v/>
      </c>
      <c r="F1187" s="556">
        <f>IF($A1187&gt;BOTT_C4,ROUND(BASE_C4+RATE_C4*($A1187-BOTT_C4),0),IF($A1187&gt;BOTT_C3,ROUND(BASE_C3+RATE_C3*($A1187-BOTT_C3),0),IF($A1187&gt;BOTT_C2,ROUND(BASE_C2+RATE_C2*($A1187-BOTT_C2),0),ROUND(RATE_C1*$A1187,0))))</f>
        <v/>
      </c>
      <c r="G1187" s="556">
        <f>IF($A1187&gt;BOTT_D4,ROUND(BASE_D4+RATE_D4*($A1187-BOTT_D4),0),IF($A1187&gt;BOTT_D3,ROUND(BASE_D3+RATE_D3*($A1187-BOTT_D3),0),IF($A1187&gt;BOTT_D2,ROUND(BASE_D2+RATE_D2*($A1187-BOTT_D2),0),ROUND(RATE_D1*$A1187,0))))</f>
        <v/>
      </c>
    </row>
    <row r="1188" ht="15.75" customHeight="1" s="7635">
      <c r="A1188" s="625">
        <f>AVERAGE(B1188,C1188)</f>
        <v/>
      </c>
      <c r="B1188" s="555" t="n">
        <v>56200</v>
      </c>
      <c r="C1188" s="555" t="n">
        <v>56250</v>
      </c>
      <c r="D1188" s="556">
        <f>IF($A1188&gt;BOTT_A4,ROUND(BASE_A4+RATE_A4*($A1188-BOTT_A4),0),IF($A1188&gt;BOTT_A3,ROUND(BASE_A3+RATE_A3*($A1188-BOTT_A3),0),IF($A1188&gt;BOTT_A2,ROUND(BASE_A2+RATE_A2*($A1188-BOTT_A2),0),ROUND(RATE_A1*$A1188,0))))</f>
        <v/>
      </c>
      <c r="E1188" s="556">
        <f>IF($A1188&gt;BOTT_B4,ROUND(BASE_B4+RATE_B4*($A1188-BOTT_B4),0),IF($A1188&gt;BOTT_B3,ROUND(BASE_B3+RATE_B3*($A1188-BOTT_B3),0),IF($A1188&gt;BOTT_B2,ROUND(BASE_B2+RATE_B2*($A1188-BOTT_B2),0),ROUND(RATE_B1*$A1188,0))))</f>
        <v/>
      </c>
      <c r="F1188" s="556">
        <f>IF($A1188&gt;BOTT_C4,ROUND(BASE_C4+RATE_C4*($A1188-BOTT_C4),0),IF($A1188&gt;BOTT_C3,ROUND(BASE_C3+RATE_C3*($A1188-BOTT_C3),0),IF($A1188&gt;BOTT_C2,ROUND(BASE_C2+RATE_C2*($A1188-BOTT_C2),0),ROUND(RATE_C1*$A1188,0))))</f>
        <v/>
      </c>
      <c r="G1188" s="556">
        <f>IF($A1188&gt;BOTT_D4,ROUND(BASE_D4+RATE_D4*($A1188-BOTT_D4),0),IF($A1188&gt;BOTT_D3,ROUND(BASE_D3+RATE_D3*($A1188-BOTT_D3),0),IF($A1188&gt;BOTT_D2,ROUND(BASE_D2+RATE_D2*($A1188-BOTT_D2),0),ROUND(RATE_D1*$A1188,0))))</f>
        <v/>
      </c>
    </row>
    <row r="1189" ht="15.75" customHeight="1" s="7635">
      <c r="A1189" s="625">
        <f>AVERAGE(B1189,C1189)</f>
        <v/>
      </c>
      <c r="B1189" s="555" t="n">
        <v>56250</v>
      </c>
      <c r="C1189" s="555" t="n">
        <v>56300</v>
      </c>
      <c r="D1189" s="556">
        <f>IF($A1189&gt;BOTT_A4,ROUND(BASE_A4+RATE_A4*($A1189-BOTT_A4),0),IF($A1189&gt;BOTT_A3,ROUND(BASE_A3+RATE_A3*($A1189-BOTT_A3),0),IF($A1189&gt;BOTT_A2,ROUND(BASE_A2+RATE_A2*($A1189-BOTT_A2),0),ROUND(RATE_A1*$A1189,0))))</f>
        <v/>
      </c>
      <c r="E1189" s="556">
        <f>IF($A1189&gt;BOTT_B4,ROUND(BASE_B4+RATE_B4*($A1189-BOTT_B4),0),IF($A1189&gt;BOTT_B3,ROUND(BASE_B3+RATE_B3*($A1189-BOTT_B3),0),IF($A1189&gt;BOTT_B2,ROUND(BASE_B2+RATE_B2*($A1189-BOTT_B2),0),ROUND(RATE_B1*$A1189,0))))</f>
        <v/>
      </c>
      <c r="F1189" s="556">
        <f>IF($A1189&gt;BOTT_C4,ROUND(BASE_C4+RATE_C4*($A1189-BOTT_C4),0),IF($A1189&gt;BOTT_C3,ROUND(BASE_C3+RATE_C3*($A1189-BOTT_C3),0),IF($A1189&gt;BOTT_C2,ROUND(BASE_C2+RATE_C2*($A1189-BOTT_C2),0),ROUND(RATE_C1*$A1189,0))))</f>
        <v/>
      </c>
      <c r="G1189" s="556">
        <f>IF($A1189&gt;BOTT_D4,ROUND(BASE_D4+RATE_D4*($A1189-BOTT_D4),0),IF($A1189&gt;BOTT_D3,ROUND(BASE_D3+RATE_D3*($A1189-BOTT_D3),0),IF($A1189&gt;BOTT_D2,ROUND(BASE_D2+RATE_D2*($A1189-BOTT_D2),0),ROUND(RATE_D1*$A1189,0))))</f>
        <v/>
      </c>
    </row>
    <row r="1190" ht="15.75" customHeight="1" s="7635">
      <c r="A1190" s="625">
        <f>AVERAGE(B1190,C1190)</f>
        <v/>
      </c>
      <c r="B1190" s="555" t="n">
        <v>56300</v>
      </c>
      <c r="C1190" s="555" t="n">
        <v>56350</v>
      </c>
      <c r="D1190" s="556">
        <f>IF($A1190&gt;BOTT_A4,ROUND(BASE_A4+RATE_A4*($A1190-BOTT_A4),0),IF($A1190&gt;BOTT_A3,ROUND(BASE_A3+RATE_A3*($A1190-BOTT_A3),0),IF($A1190&gt;BOTT_A2,ROUND(BASE_A2+RATE_A2*($A1190-BOTT_A2),0),ROUND(RATE_A1*$A1190,0))))</f>
        <v/>
      </c>
      <c r="E1190" s="556">
        <f>IF($A1190&gt;BOTT_B4,ROUND(BASE_B4+RATE_B4*($A1190-BOTT_B4),0),IF($A1190&gt;BOTT_B3,ROUND(BASE_B3+RATE_B3*($A1190-BOTT_B3),0),IF($A1190&gt;BOTT_B2,ROUND(BASE_B2+RATE_B2*($A1190-BOTT_B2),0),ROUND(RATE_B1*$A1190,0))))</f>
        <v/>
      </c>
      <c r="F1190" s="556">
        <f>IF($A1190&gt;BOTT_C4,ROUND(BASE_C4+RATE_C4*($A1190-BOTT_C4),0),IF($A1190&gt;BOTT_C3,ROUND(BASE_C3+RATE_C3*($A1190-BOTT_C3),0),IF($A1190&gt;BOTT_C2,ROUND(BASE_C2+RATE_C2*($A1190-BOTT_C2),0),ROUND(RATE_C1*$A1190,0))))</f>
        <v/>
      </c>
      <c r="G1190" s="556">
        <f>IF($A1190&gt;BOTT_D4,ROUND(BASE_D4+RATE_D4*($A1190-BOTT_D4),0),IF($A1190&gt;BOTT_D3,ROUND(BASE_D3+RATE_D3*($A1190-BOTT_D3),0),IF($A1190&gt;BOTT_D2,ROUND(BASE_D2+RATE_D2*($A1190-BOTT_D2),0),ROUND(RATE_D1*$A1190,0))))</f>
        <v/>
      </c>
    </row>
    <row r="1191" ht="15.75" customHeight="1" s="7635">
      <c r="A1191" s="625">
        <f>AVERAGE(B1191,C1191)</f>
        <v/>
      </c>
      <c r="B1191" s="555" t="n">
        <v>56350</v>
      </c>
      <c r="C1191" s="555" t="n">
        <v>56400</v>
      </c>
      <c r="D1191" s="556">
        <f>IF($A1191&gt;BOTT_A4,ROUND(BASE_A4+RATE_A4*($A1191-BOTT_A4),0),IF($A1191&gt;BOTT_A3,ROUND(BASE_A3+RATE_A3*($A1191-BOTT_A3),0),IF($A1191&gt;BOTT_A2,ROUND(BASE_A2+RATE_A2*($A1191-BOTT_A2),0),ROUND(RATE_A1*$A1191,0))))</f>
        <v/>
      </c>
      <c r="E1191" s="556">
        <f>IF($A1191&gt;BOTT_B4,ROUND(BASE_B4+RATE_B4*($A1191-BOTT_B4),0),IF($A1191&gt;BOTT_B3,ROUND(BASE_B3+RATE_B3*($A1191-BOTT_B3),0),IF($A1191&gt;BOTT_B2,ROUND(BASE_B2+RATE_B2*($A1191-BOTT_B2),0),ROUND(RATE_B1*$A1191,0))))</f>
        <v/>
      </c>
      <c r="F1191" s="556">
        <f>IF($A1191&gt;BOTT_C4,ROUND(BASE_C4+RATE_C4*($A1191-BOTT_C4),0),IF($A1191&gt;BOTT_C3,ROUND(BASE_C3+RATE_C3*($A1191-BOTT_C3),0),IF($A1191&gt;BOTT_C2,ROUND(BASE_C2+RATE_C2*($A1191-BOTT_C2),0),ROUND(RATE_C1*$A1191,0))))</f>
        <v/>
      </c>
      <c r="G1191" s="556">
        <f>IF($A1191&gt;BOTT_D4,ROUND(BASE_D4+RATE_D4*($A1191-BOTT_D4),0),IF($A1191&gt;BOTT_D3,ROUND(BASE_D3+RATE_D3*($A1191-BOTT_D3),0),IF($A1191&gt;BOTT_D2,ROUND(BASE_D2+RATE_D2*($A1191-BOTT_D2),0),ROUND(RATE_D1*$A1191,0))))</f>
        <v/>
      </c>
    </row>
    <row r="1192" ht="15.75" customHeight="1" s="7635">
      <c r="A1192" s="625">
        <f>AVERAGE(B1192,C1192)</f>
        <v/>
      </c>
      <c r="B1192" s="555" t="n">
        <v>56400</v>
      </c>
      <c r="C1192" s="555" t="n">
        <v>56450</v>
      </c>
      <c r="D1192" s="556">
        <f>IF($A1192&gt;BOTT_A4,ROUND(BASE_A4+RATE_A4*($A1192-BOTT_A4),0),IF($A1192&gt;BOTT_A3,ROUND(BASE_A3+RATE_A3*($A1192-BOTT_A3),0),IF($A1192&gt;BOTT_A2,ROUND(BASE_A2+RATE_A2*($A1192-BOTT_A2),0),ROUND(RATE_A1*$A1192,0))))</f>
        <v/>
      </c>
      <c r="E1192" s="556">
        <f>IF($A1192&gt;BOTT_B4,ROUND(BASE_B4+RATE_B4*($A1192-BOTT_B4),0),IF($A1192&gt;BOTT_B3,ROUND(BASE_B3+RATE_B3*($A1192-BOTT_B3),0),IF($A1192&gt;BOTT_B2,ROUND(BASE_B2+RATE_B2*($A1192-BOTT_B2),0),ROUND(RATE_B1*$A1192,0))))</f>
        <v/>
      </c>
      <c r="F1192" s="556">
        <f>IF($A1192&gt;BOTT_C4,ROUND(BASE_C4+RATE_C4*($A1192-BOTT_C4),0),IF($A1192&gt;BOTT_C3,ROUND(BASE_C3+RATE_C3*($A1192-BOTT_C3),0),IF($A1192&gt;BOTT_C2,ROUND(BASE_C2+RATE_C2*($A1192-BOTT_C2),0),ROUND(RATE_C1*$A1192,0))))</f>
        <v/>
      </c>
      <c r="G1192" s="556">
        <f>IF($A1192&gt;BOTT_D4,ROUND(BASE_D4+RATE_D4*($A1192-BOTT_D4),0),IF($A1192&gt;BOTT_D3,ROUND(BASE_D3+RATE_D3*($A1192-BOTT_D3),0),IF($A1192&gt;BOTT_D2,ROUND(BASE_D2+RATE_D2*($A1192-BOTT_D2),0),ROUND(RATE_D1*$A1192,0))))</f>
        <v/>
      </c>
    </row>
    <row r="1193" ht="15.75" customHeight="1" s="7635">
      <c r="A1193" s="625">
        <f>AVERAGE(B1193,C1193)</f>
        <v/>
      </c>
      <c r="B1193" s="555" t="n">
        <v>56450</v>
      </c>
      <c r="C1193" s="555" t="n">
        <v>56500</v>
      </c>
      <c r="D1193" s="556">
        <f>IF($A1193&gt;BOTT_A4,ROUND(BASE_A4+RATE_A4*($A1193-BOTT_A4),0),IF($A1193&gt;BOTT_A3,ROUND(BASE_A3+RATE_A3*($A1193-BOTT_A3),0),IF($A1193&gt;BOTT_A2,ROUND(BASE_A2+RATE_A2*($A1193-BOTT_A2),0),ROUND(RATE_A1*$A1193,0))))</f>
        <v/>
      </c>
      <c r="E1193" s="556">
        <f>IF($A1193&gt;BOTT_B4,ROUND(BASE_B4+RATE_B4*($A1193-BOTT_B4),0),IF($A1193&gt;BOTT_B3,ROUND(BASE_B3+RATE_B3*($A1193-BOTT_B3),0),IF($A1193&gt;BOTT_B2,ROUND(BASE_B2+RATE_B2*($A1193-BOTT_B2),0),ROUND(RATE_B1*$A1193,0))))</f>
        <v/>
      </c>
      <c r="F1193" s="556">
        <f>IF($A1193&gt;BOTT_C4,ROUND(BASE_C4+RATE_C4*($A1193-BOTT_C4),0),IF($A1193&gt;BOTT_C3,ROUND(BASE_C3+RATE_C3*($A1193-BOTT_C3),0),IF($A1193&gt;BOTT_C2,ROUND(BASE_C2+RATE_C2*($A1193-BOTT_C2),0),ROUND(RATE_C1*$A1193,0))))</f>
        <v/>
      </c>
      <c r="G1193" s="556">
        <f>IF($A1193&gt;BOTT_D4,ROUND(BASE_D4+RATE_D4*($A1193-BOTT_D4),0),IF($A1193&gt;BOTT_D3,ROUND(BASE_D3+RATE_D3*($A1193-BOTT_D3),0),IF($A1193&gt;BOTT_D2,ROUND(BASE_D2+RATE_D2*($A1193-BOTT_D2),0),ROUND(RATE_D1*$A1193,0))))</f>
        <v/>
      </c>
    </row>
    <row r="1194" ht="15.75" customHeight="1" s="7635">
      <c r="A1194" s="625">
        <f>AVERAGE(B1194,C1194)</f>
        <v/>
      </c>
      <c r="B1194" s="555" t="n">
        <v>56500</v>
      </c>
      <c r="C1194" s="555" t="n">
        <v>56550</v>
      </c>
      <c r="D1194" s="556">
        <f>IF($A1194&gt;BOTT_A4,ROUND(BASE_A4+RATE_A4*($A1194-BOTT_A4),0),IF($A1194&gt;BOTT_A3,ROUND(BASE_A3+RATE_A3*($A1194-BOTT_A3),0),IF($A1194&gt;BOTT_A2,ROUND(BASE_A2+RATE_A2*($A1194-BOTT_A2),0),ROUND(RATE_A1*$A1194,0))))</f>
        <v/>
      </c>
      <c r="E1194" s="556">
        <f>IF($A1194&gt;BOTT_B4,ROUND(BASE_B4+RATE_B4*($A1194-BOTT_B4),0),IF($A1194&gt;BOTT_B3,ROUND(BASE_B3+RATE_B3*($A1194-BOTT_B3),0),IF($A1194&gt;BOTT_B2,ROUND(BASE_B2+RATE_B2*($A1194-BOTT_B2),0),ROUND(RATE_B1*$A1194,0))))</f>
        <v/>
      </c>
      <c r="F1194" s="556">
        <f>IF($A1194&gt;BOTT_C4,ROUND(BASE_C4+RATE_C4*($A1194-BOTT_C4),0),IF($A1194&gt;BOTT_C3,ROUND(BASE_C3+RATE_C3*($A1194-BOTT_C3),0),IF($A1194&gt;BOTT_C2,ROUND(BASE_C2+RATE_C2*($A1194-BOTT_C2),0),ROUND(RATE_C1*$A1194,0))))</f>
        <v/>
      </c>
      <c r="G1194" s="556">
        <f>IF($A1194&gt;BOTT_D4,ROUND(BASE_D4+RATE_D4*($A1194-BOTT_D4),0),IF($A1194&gt;BOTT_D3,ROUND(BASE_D3+RATE_D3*($A1194-BOTT_D3),0),IF($A1194&gt;BOTT_D2,ROUND(BASE_D2+RATE_D2*($A1194-BOTT_D2),0),ROUND(RATE_D1*$A1194,0))))</f>
        <v/>
      </c>
    </row>
    <row r="1195" ht="15.75" customHeight="1" s="7635">
      <c r="A1195" s="625">
        <f>AVERAGE(B1195,C1195)</f>
        <v/>
      </c>
      <c r="B1195" s="555" t="n">
        <v>56550</v>
      </c>
      <c r="C1195" s="555" t="n">
        <v>56600</v>
      </c>
      <c r="D1195" s="556">
        <f>IF($A1195&gt;BOTT_A4,ROUND(BASE_A4+RATE_A4*($A1195-BOTT_A4),0),IF($A1195&gt;BOTT_A3,ROUND(BASE_A3+RATE_A3*($A1195-BOTT_A3),0),IF($A1195&gt;BOTT_A2,ROUND(BASE_A2+RATE_A2*($A1195-BOTT_A2),0),ROUND(RATE_A1*$A1195,0))))</f>
        <v/>
      </c>
      <c r="E1195" s="556">
        <f>IF($A1195&gt;BOTT_B4,ROUND(BASE_B4+RATE_B4*($A1195-BOTT_B4),0),IF($A1195&gt;BOTT_B3,ROUND(BASE_B3+RATE_B3*($A1195-BOTT_B3),0),IF($A1195&gt;BOTT_B2,ROUND(BASE_B2+RATE_B2*($A1195-BOTT_B2),0),ROUND(RATE_B1*$A1195,0))))</f>
        <v/>
      </c>
      <c r="F1195" s="556">
        <f>IF($A1195&gt;BOTT_C4,ROUND(BASE_C4+RATE_C4*($A1195-BOTT_C4),0),IF($A1195&gt;BOTT_C3,ROUND(BASE_C3+RATE_C3*($A1195-BOTT_C3),0),IF($A1195&gt;BOTT_C2,ROUND(BASE_C2+RATE_C2*($A1195-BOTT_C2),0),ROUND(RATE_C1*$A1195,0))))</f>
        <v/>
      </c>
      <c r="G1195" s="556">
        <f>IF($A1195&gt;BOTT_D4,ROUND(BASE_D4+RATE_D4*($A1195-BOTT_D4),0),IF($A1195&gt;BOTT_D3,ROUND(BASE_D3+RATE_D3*($A1195-BOTT_D3),0),IF($A1195&gt;BOTT_D2,ROUND(BASE_D2+RATE_D2*($A1195-BOTT_D2),0),ROUND(RATE_D1*$A1195,0))))</f>
        <v/>
      </c>
    </row>
    <row r="1196" ht="15.75" customHeight="1" s="7635">
      <c r="A1196" s="625">
        <f>AVERAGE(B1196,C1196)</f>
        <v/>
      </c>
      <c r="B1196" s="555" t="n">
        <v>56600</v>
      </c>
      <c r="C1196" s="555" t="n">
        <v>56650</v>
      </c>
      <c r="D1196" s="556">
        <f>IF($A1196&gt;BOTT_A4,ROUND(BASE_A4+RATE_A4*($A1196-BOTT_A4),0),IF($A1196&gt;BOTT_A3,ROUND(BASE_A3+RATE_A3*($A1196-BOTT_A3),0),IF($A1196&gt;BOTT_A2,ROUND(BASE_A2+RATE_A2*($A1196-BOTT_A2),0),ROUND(RATE_A1*$A1196,0))))</f>
        <v/>
      </c>
      <c r="E1196" s="556">
        <f>IF($A1196&gt;BOTT_B4,ROUND(BASE_B4+RATE_B4*($A1196-BOTT_B4),0),IF($A1196&gt;BOTT_B3,ROUND(BASE_B3+RATE_B3*($A1196-BOTT_B3),0),IF($A1196&gt;BOTT_B2,ROUND(BASE_B2+RATE_B2*($A1196-BOTT_B2),0),ROUND(RATE_B1*$A1196,0))))</f>
        <v/>
      </c>
      <c r="F1196" s="556">
        <f>IF($A1196&gt;BOTT_C4,ROUND(BASE_C4+RATE_C4*($A1196-BOTT_C4),0),IF($A1196&gt;BOTT_C3,ROUND(BASE_C3+RATE_C3*($A1196-BOTT_C3),0),IF($A1196&gt;BOTT_C2,ROUND(BASE_C2+RATE_C2*($A1196-BOTT_C2),0),ROUND(RATE_C1*$A1196,0))))</f>
        <v/>
      </c>
      <c r="G1196" s="556">
        <f>IF($A1196&gt;BOTT_D4,ROUND(BASE_D4+RATE_D4*($A1196-BOTT_D4),0),IF($A1196&gt;BOTT_D3,ROUND(BASE_D3+RATE_D3*($A1196-BOTT_D3),0),IF($A1196&gt;BOTT_D2,ROUND(BASE_D2+RATE_D2*($A1196-BOTT_D2),0),ROUND(RATE_D1*$A1196,0))))</f>
        <v/>
      </c>
    </row>
    <row r="1197" ht="15.75" customHeight="1" s="7635">
      <c r="A1197" s="625">
        <f>AVERAGE(B1197,C1197)</f>
        <v/>
      </c>
      <c r="B1197" s="555" t="n">
        <v>56650</v>
      </c>
      <c r="C1197" s="555" t="n">
        <v>56700</v>
      </c>
      <c r="D1197" s="556">
        <f>IF($A1197&gt;BOTT_A4,ROUND(BASE_A4+RATE_A4*($A1197-BOTT_A4),0),IF($A1197&gt;BOTT_A3,ROUND(BASE_A3+RATE_A3*($A1197-BOTT_A3),0),IF($A1197&gt;BOTT_A2,ROUND(BASE_A2+RATE_A2*($A1197-BOTT_A2),0),ROUND(RATE_A1*$A1197,0))))</f>
        <v/>
      </c>
      <c r="E1197" s="556">
        <f>IF($A1197&gt;BOTT_B4,ROUND(BASE_B4+RATE_B4*($A1197-BOTT_B4),0),IF($A1197&gt;BOTT_B3,ROUND(BASE_B3+RATE_B3*($A1197-BOTT_B3),0),IF($A1197&gt;BOTT_B2,ROUND(BASE_B2+RATE_B2*($A1197-BOTT_B2),0),ROUND(RATE_B1*$A1197,0))))</f>
        <v/>
      </c>
      <c r="F1197" s="556">
        <f>IF($A1197&gt;BOTT_C4,ROUND(BASE_C4+RATE_C4*($A1197-BOTT_C4),0),IF($A1197&gt;BOTT_C3,ROUND(BASE_C3+RATE_C3*($A1197-BOTT_C3),0),IF($A1197&gt;BOTT_C2,ROUND(BASE_C2+RATE_C2*($A1197-BOTT_C2),0),ROUND(RATE_C1*$A1197,0))))</f>
        <v/>
      </c>
      <c r="G1197" s="556">
        <f>IF($A1197&gt;BOTT_D4,ROUND(BASE_D4+RATE_D4*($A1197-BOTT_D4),0),IF($A1197&gt;BOTT_D3,ROUND(BASE_D3+RATE_D3*($A1197-BOTT_D3),0),IF($A1197&gt;BOTT_D2,ROUND(BASE_D2+RATE_D2*($A1197-BOTT_D2),0),ROUND(RATE_D1*$A1197,0))))</f>
        <v/>
      </c>
    </row>
    <row r="1198" ht="15.75" customHeight="1" s="7635">
      <c r="A1198" s="625">
        <f>AVERAGE(B1198,C1198)</f>
        <v/>
      </c>
      <c r="B1198" s="555" t="n">
        <v>56700</v>
      </c>
      <c r="C1198" s="555" t="n">
        <v>56750</v>
      </c>
      <c r="D1198" s="556">
        <f>IF($A1198&gt;BOTT_A4,ROUND(BASE_A4+RATE_A4*($A1198-BOTT_A4),0),IF($A1198&gt;BOTT_A3,ROUND(BASE_A3+RATE_A3*($A1198-BOTT_A3),0),IF($A1198&gt;BOTT_A2,ROUND(BASE_A2+RATE_A2*($A1198-BOTT_A2),0),ROUND(RATE_A1*$A1198,0))))</f>
        <v/>
      </c>
      <c r="E1198" s="556">
        <f>IF($A1198&gt;BOTT_B4,ROUND(BASE_B4+RATE_B4*($A1198-BOTT_B4),0),IF($A1198&gt;BOTT_B3,ROUND(BASE_B3+RATE_B3*($A1198-BOTT_B3),0),IF($A1198&gt;BOTT_B2,ROUND(BASE_B2+RATE_B2*($A1198-BOTT_B2),0),ROUND(RATE_B1*$A1198,0))))</f>
        <v/>
      </c>
      <c r="F1198" s="556">
        <f>IF($A1198&gt;BOTT_C4,ROUND(BASE_C4+RATE_C4*($A1198-BOTT_C4),0),IF($A1198&gt;BOTT_C3,ROUND(BASE_C3+RATE_C3*($A1198-BOTT_C3),0),IF($A1198&gt;BOTT_C2,ROUND(BASE_C2+RATE_C2*($A1198-BOTT_C2),0),ROUND(RATE_C1*$A1198,0))))</f>
        <v/>
      </c>
      <c r="G1198" s="556">
        <f>IF($A1198&gt;BOTT_D4,ROUND(BASE_D4+RATE_D4*($A1198-BOTT_D4),0),IF($A1198&gt;BOTT_D3,ROUND(BASE_D3+RATE_D3*($A1198-BOTT_D3),0),IF($A1198&gt;BOTT_D2,ROUND(BASE_D2+RATE_D2*($A1198-BOTT_D2),0),ROUND(RATE_D1*$A1198,0))))</f>
        <v/>
      </c>
    </row>
    <row r="1199" ht="15.75" customHeight="1" s="7635">
      <c r="A1199" s="625">
        <f>AVERAGE(B1199,C1199)</f>
        <v/>
      </c>
      <c r="B1199" s="555" t="n">
        <v>56750</v>
      </c>
      <c r="C1199" s="555" t="n">
        <v>56800</v>
      </c>
      <c r="D1199" s="556">
        <f>IF($A1199&gt;BOTT_A4,ROUND(BASE_A4+RATE_A4*($A1199-BOTT_A4),0),IF($A1199&gt;BOTT_A3,ROUND(BASE_A3+RATE_A3*($A1199-BOTT_A3),0),IF($A1199&gt;BOTT_A2,ROUND(BASE_A2+RATE_A2*($A1199-BOTT_A2),0),ROUND(RATE_A1*$A1199,0))))</f>
        <v/>
      </c>
      <c r="E1199" s="556">
        <f>IF($A1199&gt;BOTT_B4,ROUND(BASE_B4+RATE_B4*($A1199-BOTT_B4),0),IF($A1199&gt;BOTT_B3,ROUND(BASE_B3+RATE_B3*($A1199-BOTT_B3),0),IF($A1199&gt;BOTT_B2,ROUND(BASE_B2+RATE_B2*($A1199-BOTT_B2),0),ROUND(RATE_B1*$A1199,0))))</f>
        <v/>
      </c>
      <c r="F1199" s="556">
        <f>IF($A1199&gt;BOTT_C4,ROUND(BASE_C4+RATE_C4*($A1199-BOTT_C4),0),IF($A1199&gt;BOTT_C3,ROUND(BASE_C3+RATE_C3*($A1199-BOTT_C3),0),IF($A1199&gt;BOTT_C2,ROUND(BASE_C2+RATE_C2*($A1199-BOTT_C2),0),ROUND(RATE_C1*$A1199,0))))</f>
        <v/>
      </c>
      <c r="G1199" s="556">
        <f>IF($A1199&gt;BOTT_D4,ROUND(BASE_D4+RATE_D4*($A1199-BOTT_D4),0),IF($A1199&gt;BOTT_D3,ROUND(BASE_D3+RATE_D3*($A1199-BOTT_D3),0),IF($A1199&gt;BOTT_D2,ROUND(BASE_D2+RATE_D2*($A1199-BOTT_D2),0),ROUND(RATE_D1*$A1199,0))))</f>
        <v/>
      </c>
    </row>
    <row r="1200" ht="15.75" customHeight="1" s="7635">
      <c r="A1200" s="625">
        <f>AVERAGE(B1200,C1200)</f>
        <v/>
      </c>
      <c r="B1200" s="555" t="n">
        <v>56800</v>
      </c>
      <c r="C1200" s="555" t="n">
        <v>56850</v>
      </c>
      <c r="D1200" s="556">
        <f>IF($A1200&gt;BOTT_A4,ROUND(BASE_A4+RATE_A4*($A1200-BOTT_A4),0),IF($A1200&gt;BOTT_A3,ROUND(BASE_A3+RATE_A3*($A1200-BOTT_A3),0),IF($A1200&gt;BOTT_A2,ROUND(BASE_A2+RATE_A2*($A1200-BOTT_A2),0),ROUND(RATE_A1*$A1200,0))))</f>
        <v/>
      </c>
      <c r="E1200" s="556">
        <f>IF($A1200&gt;BOTT_B4,ROUND(BASE_B4+RATE_B4*($A1200-BOTT_B4),0),IF($A1200&gt;BOTT_B3,ROUND(BASE_B3+RATE_B3*($A1200-BOTT_B3),0),IF($A1200&gt;BOTT_B2,ROUND(BASE_B2+RATE_B2*($A1200-BOTT_B2),0),ROUND(RATE_B1*$A1200,0))))</f>
        <v/>
      </c>
      <c r="F1200" s="556">
        <f>IF($A1200&gt;BOTT_C4,ROUND(BASE_C4+RATE_C4*($A1200-BOTT_C4),0),IF($A1200&gt;BOTT_C3,ROUND(BASE_C3+RATE_C3*($A1200-BOTT_C3),0),IF($A1200&gt;BOTT_C2,ROUND(BASE_C2+RATE_C2*($A1200-BOTT_C2),0),ROUND(RATE_C1*$A1200,0))))</f>
        <v/>
      </c>
      <c r="G1200" s="556">
        <f>IF($A1200&gt;BOTT_D4,ROUND(BASE_D4+RATE_D4*($A1200-BOTT_D4),0),IF($A1200&gt;BOTT_D3,ROUND(BASE_D3+RATE_D3*($A1200-BOTT_D3),0),IF($A1200&gt;BOTT_D2,ROUND(BASE_D2+RATE_D2*($A1200-BOTT_D2),0),ROUND(RATE_D1*$A1200,0))))</f>
        <v/>
      </c>
    </row>
    <row r="1201" ht="15.75" customHeight="1" s="7635">
      <c r="A1201" s="625">
        <f>AVERAGE(B1201,C1201)</f>
        <v/>
      </c>
      <c r="B1201" s="555" t="n">
        <v>56850</v>
      </c>
      <c r="C1201" s="555" t="n">
        <v>56900</v>
      </c>
      <c r="D1201" s="556">
        <f>IF($A1201&gt;BOTT_A4,ROUND(BASE_A4+RATE_A4*($A1201-BOTT_A4),0),IF($A1201&gt;BOTT_A3,ROUND(BASE_A3+RATE_A3*($A1201-BOTT_A3),0),IF($A1201&gt;BOTT_A2,ROUND(BASE_A2+RATE_A2*($A1201-BOTT_A2),0),ROUND(RATE_A1*$A1201,0))))</f>
        <v/>
      </c>
      <c r="E1201" s="556">
        <f>IF($A1201&gt;BOTT_B4,ROUND(BASE_B4+RATE_B4*($A1201-BOTT_B4),0),IF($A1201&gt;BOTT_B3,ROUND(BASE_B3+RATE_B3*($A1201-BOTT_B3),0),IF($A1201&gt;BOTT_B2,ROUND(BASE_B2+RATE_B2*($A1201-BOTT_B2),0),ROUND(RATE_B1*$A1201,0))))</f>
        <v/>
      </c>
      <c r="F1201" s="556">
        <f>IF($A1201&gt;BOTT_C4,ROUND(BASE_C4+RATE_C4*($A1201-BOTT_C4),0),IF($A1201&gt;BOTT_C3,ROUND(BASE_C3+RATE_C3*($A1201-BOTT_C3),0),IF($A1201&gt;BOTT_C2,ROUND(BASE_C2+RATE_C2*($A1201-BOTT_C2),0),ROUND(RATE_C1*$A1201,0))))</f>
        <v/>
      </c>
      <c r="G1201" s="556">
        <f>IF($A1201&gt;BOTT_D4,ROUND(BASE_D4+RATE_D4*($A1201-BOTT_D4),0),IF($A1201&gt;BOTT_D3,ROUND(BASE_D3+RATE_D3*($A1201-BOTT_D3),0),IF($A1201&gt;BOTT_D2,ROUND(BASE_D2+RATE_D2*($A1201-BOTT_D2),0),ROUND(RATE_D1*$A1201,0))))</f>
        <v/>
      </c>
    </row>
    <row r="1202" ht="15.75" customHeight="1" s="7635">
      <c r="A1202" s="625">
        <f>AVERAGE(B1202,C1202)</f>
        <v/>
      </c>
      <c r="B1202" s="555" t="n">
        <v>56900</v>
      </c>
      <c r="C1202" s="555" t="n">
        <v>56950</v>
      </c>
      <c r="D1202" s="556">
        <f>IF($A1202&gt;BOTT_A4,ROUND(BASE_A4+RATE_A4*($A1202-BOTT_A4),0),IF($A1202&gt;BOTT_A3,ROUND(BASE_A3+RATE_A3*($A1202-BOTT_A3),0),IF($A1202&gt;BOTT_A2,ROUND(BASE_A2+RATE_A2*($A1202-BOTT_A2),0),ROUND(RATE_A1*$A1202,0))))</f>
        <v/>
      </c>
      <c r="E1202" s="556">
        <f>IF($A1202&gt;BOTT_B4,ROUND(BASE_B4+RATE_B4*($A1202-BOTT_B4),0),IF($A1202&gt;BOTT_B3,ROUND(BASE_B3+RATE_B3*($A1202-BOTT_B3),0),IF($A1202&gt;BOTT_B2,ROUND(BASE_B2+RATE_B2*($A1202-BOTT_B2),0),ROUND(RATE_B1*$A1202,0))))</f>
        <v/>
      </c>
      <c r="F1202" s="556">
        <f>IF($A1202&gt;BOTT_C4,ROUND(BASE_C4+RATE_C4*($A1202-BOTT_C4),0),IF($A1202&gt;BOTT_C3,ROUND(BASE_C3+RATE_C3*($A1202-BOTT_C3),0),IF($A1202&gt;BOTT_C2,ROUND(BASE_C2+RATE_C2*($A1202-BOTT_C2),0),ROUND(RATE_C1*$A1202,0))))</f>
        <v/>
      </c>
      <c r="G1202" s="556">
        <f>IF($A1202&gt;BOTT_D4,ROUND(BASE_D4+RATE_D4*($A1202-BOTT_D4),0),IF($A1202&gt;BOTT_D3,ROUND(BASE_D3+RATE_D3*($A1202-BOTT_D3),0),IF($A1202&gt;BOTT_D2,ROUND(BASE_D2+RATE_D2*($A1202-BOTT_D2),0),ROUND(RATE_D1*$A1202,0))))</f>
        <v/>
      </c>
    </row>
    <row r="1203" ht="15.75" customHeight="1" s="7635">
      <c r="A1203" s="625">
        <f>AVERAGE(B1203,C1203)</f>
        <v/>
      </c>
      <c r="B1203" s="555" t="n">
        <v>56950</v>
      </c>
      <c r="C1203" s="555" t="n">
        <v>57000</v>
      </c>
      <c r="D1203" s="556">
        <f>IF($A1203&gt;BOTT_A4,ROUND(BASE_A4+RATE_A4*($A1203-BOTT_A4),0),IF($A1203&gt;BOTT_A3,ROUND(BASE_A3+RATE_A3*($A1203-BOTT_A3),0),IF($A1203&gt;BOTT_A2,ROUND(BASE_A2+RATE_A2*($A1203-BOTT_A2),0),ROUND(RATE_A1*$A1203,0))))</f>
        <v/>
      </c>
      <c r="E1203" s="556">
        <f>IF($A1203&gt;BOTT_B4,ROUND(BASE_B4+RATE_B4*($A1203-BOTT_B4),0),IF($A1203&gt;BOTT_B3,ROUND(BASE_B3+RATE_B3*($A1203-BOTT_B3),0),IF($A1203&gt;BOTT_B2,ROUND(BASE_B2+RATE_B2*($A1203-BOTT_B2),0),ROUND(RATE_B1*$A1203,0))))</f>
        <v/>
      </c>
      <c r="F1203" s="556">
        <f>IF($A1203&gt;BOTT_C4,ROUND(BASE_C4+RATE_C4*($A1203-BOTT_C4),0),IF($A1203&gt;BOTT_C3,ROUND(BASE_C3+RATE_C3*($A1203-BOTT_C3),0),IF($A1203&gt;BOTT_C2,ROUND(BASE_C2+RATE_C2*($A1203-BOTT_C2),0),ROUND(RATE_C1*$A1203,0))))</f>
        <v/>
      </c>
      <c r="G1203" s="556">
        <f>IF($A1203&gt;BOTT_D4,ROUND(BASE_D4+RATE_D4*($A1203-BOTT_D4),0),IF($A1203&gt;BOTT_D3,ROUND(BASE_D3+RATE_D3*($A1203-BOTT_D3),0),IF($A1203&gt;BOTT_D2,ROUND(BASE_D2+RATE_D2*($A1203-BOTT_D2),0),ROUND(RATE_D1*$A1203,0))))</f>
        <v/>
      </c>
    </row>
    <row r="1204" ht="15.75" customHeight="1" s="7635">
      <c r="A1204" s="625">
        <f>AVERAGE(B1204,C1204)</f>
        <v/>
      </c>
      <c r="B1204" s="555" t="n">
        <v>57000</v>
      </c>
      <c r="C1204" s="555" t="n">
        <v>57050</v>
      </c>
      <c r="D1204" s="556">
        <f>IF($A1204&gt;BOTT_A4,ROUND(BASE_A4+RATE_A4*($A1204-BOTT_A4),0),IF($A1204&gt;BOTT_A3,ROUND(BASE_A3+RATE_A3*($A1204-BOTT_A3),0),IF($A1204&gt;BOTT_A2,ROUND(BASE_A2+RATE_A2*($A1204-BOTT_A2),0),ROUND(RATE_A1*$A1204,0))))</f>
        <v/>
      </c>
      <c r="E1204" s="556">
        <f>IF($A1204&gt;BOTT_B4,ROUND(BASE_B4+RATE_B4*($A1204-BOTT_B4),0),IF($A1204&gt;BOTT_B3,ROUND(BASE_B3+RATE_B3*($A1204-BOTT_B3),0),IF($A1204&gt;BOTT_B2,ROUND(BASE_B2+RATE_B2*($A1204-BOTT_B2),0),ROUND(RATE_B1*$A1204,0))))</f>
        <v/>
      </c>
      <c r="F1204" s="556">
        <f>IF($A1204&gt;BOTT_C4,ROUND(BASE_C4+RATE_C4*($A1204-BOTT_C4),0),IF($A1204&gt;BOTT_C3,ROUND(BASE_C3+RATE_C3*($A1204-BOTT_C3),0),IF($A1204&gt;BOTT_C2,ROUND(BASE_C2+RATE_C2*($A1204-BOTT_C2),0),ROUND(RATE_C1*$A1204,0))))</f>
        <v/>
      </c>
      <c r="G1204" s="556">
        <f>IF($A1204&gt;BOTT_D4,ROUND(BASE_D4+RATE_D4*($A1204-BOTT_D4),0),IF($A1204&gt;BOTT_D3,ROUND(BASE_D3+RATE_D3*($A1204-BOTT_D3),0),IF($A1204&gt;BOTT_D2,ROUND(BASE_D2+RATE_D2*($A1204-BOTT_D2),0),ROUND(RATE_D1*$A1204,0))))</f>
        <v/>
      </c>
    </row>
    <row r="1205" ht="15.75" customHeight="1" s="7635">
      <c r="A1205" s="625">
        <f>AVERAGE(B1205,C1205)</f>
        <v/>
      </c>
      <c r="B1205" s="555" t="n">
        <v>57050</v>
      </c>
      <c r="C1205" s="555" t="n">
        <v>57100</v>
      </c>
      <c r="D1205" s="556">
        <f>IF($A1205&gt;BOTT_A4,ROUND(BASE_A4+RATE_A4*($A1205-BOTT_A4),0),IF($A1205&gt;BOTT_A3,ROUND(BASE_A3+RATE_A3*($A1205-BOTT_A3),0),IF($A1205&gt;BOTT_A2,ROUND(BASE_A2+RATE_A2*($A1205-BOTT_A2),0),ROUND(RATE_A1*$A1205,0))))</f>
        <v/>
      </c>
      <c r="E1205" s="556">
        <f>IF($A1205&gt;BOTT_B4,ROUND(BASE_B4+RATE_B4*($A1205-BOTT_B4),0),IF($A1205&gt;BOTT_B3,ROUND(BASE_B3+RATE_B3*($A1205-BOTT_B3),0),IF($A1205&gt;BOTT_B2,ROUND(BASE_B2+RATE_B2*($A1205-BOTT_B2),0),ROUND(RATE_B1*$A1205,0))))</f>
        <v/>
      </c>
      <c r="F1205" s="556">
        <f>IF($A1205&gt;BOTT_C4,ROUND(BASE_C4+RATE_C4*($A1205-BOTT_C4),0),IF($A1205&gt;BOTT_C3,ROUND(BASE_C3+RATE_C3*($A1205-BOTT_C3),0),IF($A1205&gt;BOTT_C2,ROUND(BASE_C2+RATE_C2*($A1205-BOTT_C2),0),ROUND(RATE_C1*$A1205,0))))</f>
        <v/>
      </c>
      <c r="G1205" s="556">
        <f>IF($A1205&gt;BOTT_D4,ROUND(BASE_D4+RATE_D4*($A1205-BOTT_D4),0),IF($A1205&gt;BOTT_D3,ROUND(BASE_D3+RATE_D3*($A1205-BOTT_D3),0),IF($A1205&gt;BOTT_D2,ROUND(BASE_D2+RATE_D2*($A1205-BOTT_D2),0),ROUND(RATE_D1*$A1205,0))))</f>
        <v/>
      </c>
    </row>
    <row r="1206" ht="15.75" customHeight="1" s="7635">
      <c r="A1206" s="625">
        <f>AVERAGE(B1206,C1206)</f>
        <v/>
      </c>
      <c r="B1206" s="555" t="n">
        <v>57100</v>
      </c>
      <c r="C1206" s="555" t="n">
        <v>57150</v>
      </c>
      <c r="D1206" s="556">
        <f>IF($A1206&gt;BOTT_A4,ROUND(BASE_A4+RATE_A4*($A1206-BOTT_A4),0),IF($A1206&gt;BOTT_A3,ROUND(BASE_A3+RATE_A3*($A1206-BOTT_A3),0),IF($A1206&gt;BOTT_A2,ROUND(BASE_A2+RATE_A2*($A1206-BOTT_A2),0),ROUND(RATE_A1*$A1206,0))))</f>
        <v/>
      </c>
      <c r="E1206" s="556">
        <f>IF($A1206&gt;BOTT_B4,ROUND(BASE_B4+RATE_B4*($A1206-BOTT_B4),0),IF($A1206&gt;BOTT_B3,ROUND(BASE_B3+RATE_B3*($A1206-BOTT_B3),0),IF($A1206&gt;BOTT_B2,ROUND(BASE_B2+RATE_B2*($A1206-BOTT_B2),0),ROUND(RATE_B1*$A1206,0))))</f>
        <v/>
      </c>
      <c r="F1206" s="556">
        <f>IF($A1206&gt;BOTT_C4,ROUND(BASE_C4+RATE_C4*($A1206-BOTT_C4),0),IF($A1206&gt;BOTT_C3,ROUND(BASE_C3+RATE_C3*($A1206-BOTT_C3),0),IF($A1206&gt;BOTT_C2,ROUND(BASE_C2+RATE_C2*($A1206-BOTT_C2),0),ROUND(RATE_C1*$A1206,0))))</f>
        <v/>
      </c>
      <c r="G1206" s="556">
        <f>IF($A1206&gt;BOTT_D4,ROUND(BASE_D4+RATE_D4*($A1206-BOTT_D4),0),IF($A1206&gt;BOTT_D3,ROUND(BASE_D3+RATE_D3*($A1206-BOTT_D3),0),IF($A1206&gt;BOTT_D2,ROUND(BASE_D2+RATE_D2*($A1206-BOTT_D2),0),ROUND(RATE_D1*$A1206,0))))</f>
        <v/>
      </c>
    </row>
    <row r="1207" ht="15.75" customHeight="1" s="7635">
      <c r="A1207" s="625">
        <f>AVERAGE(B1207,C1207)</f>
        <v/>
      </c>
      <c r="B1207" s="555" t="n">
        <v>57150</v>
      </c>
      <c r="C1207" s="555" t="n">
        <v>57200</v>
      </c>
      <c r="D1207" s="556">
        <f>IF($A1207&gt;BOTT_A4,ROUND(BASE_A4+RATE_A4*($A1207-BOTT_A4),0),IF($A1207&gt;BOTT_A3,ROUND(BASE_A3+RATE_A3*($A1207-BOTT_A3),0),IF($A1207&gt;BOTT_A2,ROUND(BASE_A2+RATE_A2*($A1207-BOTT_A2),0),ROUND(RATE_A1*$A1207,0))))</f>
        <v/>
      </c>
      <c r="E1207" s="556">
        <f>IF($A1207&gt;BOTT_B4,ROUND(BASE_B4+RATE_B4*($A1207-BOTT_B4),0),IF($A1207&gt;BOTT_B3,ROUND(BASE_B3+RATE_B3*($A1207-BOTT_B3),0),IF($A1207&gt;BOTT_B2,ROUND(BASE_B2+RATE_B2*($A1207-BOTT_B2),0),ROUND(RATE_B1*$A1207,0))))</f>
        <v/>
      </c>
      <c r="F1207" s="556">
        <f>IF($A1207&gt;BOTT_C4,ROUND(BASE_C4+RATE_C4*($A1207-BOTT_C4),0),IF($A1207&gt;BOTT_C3,ROUND(BASE_C3+RATE_C3*($A1207-BOTT_C3),0),IF($A1207&gt;BOTT_C2,ROUND(BASE_C2+RATE_C2*($A1207-BOTT_C2),0),ROUND(RATE_C1*$A1207,0))))</f>
        <v/>
      </c>
      <c r="G1207" s="556">
        <f>IF($A1207&gt;BOTT_D4,ROUND(BASE_D4+RATE_D4*($A1207-BOTT_D4),0),IF($A1207&gt;BOTT_D3,ROUND(BASE_D3+RATE_D3*($A1207-BOTT_D3),0),IF($A1207&gt;BOTT_D2,ROUND(BASE_D2+RATE_D2*($A1207-BOTT_D2),0),ROUND(RATE_D1*$A1207,0))))</f>
        <v/>
      </c>
    </row>
    <row r="1208" ht="15.75" customHeight="1" s="7635">
      <c r="A1208" s="625">
        <f>AVERAGE(B1208,C1208)</f>
        <v/>
      </c>
      <c r="B1208" s="555" t="n">
        <v>57200</v>
      </c>
      <c r="C1208" s="555" t="n">
        <v>57250</v>
      </c>
      <c r="D1208" s="556">
        <f>IF($A1208&gt;BOTT_A4,ROUND(BASE_A4+RATE_A4*($A1208-BOTT_A4),0),IF($A1208&gt;BOTT_A3,ROUND(BASE_A3+RATE_A3*($A1208-BOTT_A3),0),IF($A1208&gt;BOTT_A2,ROUND(BASE_A2+RATE_A2*($A1208-BOTT_A2),0),ROUND(RATE_A1*$A1208,0))))</f>
        <v/>
      </c>
      <c r="E1208" s="556">
        <f>IF($A1208&gt;BOTT_B4,ROUND(BASE_B4+RATE_B4*($A1208-BOTT_B4),0),IF($A1208&gt;BOTT_B3,ROUND(BASE_B3+RATE_B3*($A1208-BOTT_B3),0),IF($A1208&gt;BOTT_B2,ROUND(BASE_B2+RATE_B2*($A1208-BOTT_B2),0),ROUND(RATE_B1*$A1208,0))))</f>
        <v/>
      </c>
      <c r="F1208" s="556">
        <f>IF($A1208&gt;BOTT_C4,ROUND(BASE_C4+RATE_C4*($A1208-BOTT_C4),0),IF($A1208&gt;BOTT_C3,ROUND(BASE_C3+RATE_C3*($A1208-BOTT_C3),0),IF($A1208&gt;BOTT_C2,ROUND(BASE_C2+RATE_C2*($A1208-BOTT_C2),0),ROUND(RATE_C1*$A1208,0))))</f>
        <v/>
      </c>
      <c r="G1208" s="556">
        <f>IF($A1208&gt;BOTT_D4,ROUND(BASE_D4+RATE_D4*($A1208-BOTT_D4),0),IF($A1208&gt;BOTT_D3,ROUND(BASE_D3+RATE_D3*($A1208-BOTT_D3),0),IF($A1208&gt;BOTT_D2,ROUND(BASE_D2+RATE_D2*($A1208-BOTT_D2),0),ROUND(RATE_D1*$A1208,0))))</f>
        <v/>
      </c>
    </row>
    <row r="1209" ht="15.75" customHeight="1" s="7635">
      <c r="A1209" s="625">
        <f>AVERAGE(B1209,C1209)</f>
        <v/>
      </c>
      <c r="B1209" s="555" t="n">
        <v>57250</v>
      </c>
      <c r="C1209" s="555" t="n">
        <v>57300</v>
      </c>
      <c r="D1209" s="556">
        <f>IF($A1209&gt;BOTT_A4,ROUND(BASE_A4+RATE_A4*($A1209-BOTT_A4),0),IF($A1209&gt;BOTT_A3,ROUND(BASE_A3+RATE_A3*($A1209-BOTT_A3),0),IF($A1209&gt;BOTT_A2,ROUND(BASE_A2+RATE_A2*($A1209-BOTT_A2),0),ROUND(RATE_A1*$A1209,0))))</f>
        <v/>
      </c>
      <c r="E1209" s="556">
        <f>IF($A1209&gt;BOTT_B4,ROUND(BASE_B4+RATE_B4*($A1209-BOTT_B4),0),IF($A1209&gt;BOTT_B3,ROUND(BASE_B3+RATE_B3*($A1209-BOTT_B3),0),IF($A1209&gt;BOTT_B2,ROUND(BASE_B2+RATE_B2*($A1209-BOTT_B2),0),ROUND(RATE_B1*$A1209,0))))</f>
        <v/>
      </c>
      <c r="F1209" s="556">
        <f>IF($A1209&gt;BOTT_C4,ROUND(BASE_C4+RATE_C4*($A1209-BOTT_C4),0),IF($A1209&gt;BOTT_C3,ROUND(BASE_C3+RATE_C3*($A1209-BOTT_C3),0),IF($A1209&gt;BOTT_C2,ROUND(BASE_C2+RATE_C2*($A1209-BOTT_C2),0),ROUND(RATE_C1*$A1209,0))))</f>
        <v/>
      </c>
      <c r="G1209" s="556">
        <f>IF($A1209&gt;BOTT_D4,ROUND(BASE_D4+RATE_D4*($A1209-BOTT_D4),0),IF($A1209&gt;BOTT_D3,ROUND(BASE_D3+RATE_D3*($A1209-BOTT_D3),0),IF($A1209&gt;BOTT_D2,ROUND(BASE_D2+RATE_D2*($A1209-BOTT_D2),0),ROUND(RATE_D1*$A1209,0))))</f>
        <v/>
      </c>
    </row>
    <row r="1210" ht="15.75" customHeight="1" s="7635">
      <c r="A1210" s="625">
        <f>AVERAGE(B1210,C1210)</f>
        <v/>
      </c>
      <c r="B1210" s="555" t="n">
        <v>57300</v>
      </c>
      <c r="C1210" s="555" t="n">
        <v>57350</v>
      </c>
      <c r="D1210" s="556">
        <f>IF($A1210&gt;BOTT_A4,ROUND(BASE_A4+RATE_A4*($A1210-BOTT_A4),0),IF($A1210&gt;BOTT_A3,ROUND(BASE_A3+RATE_A3*($A1210-BOTT_A3),0),IF($A1210&gt;BOTT_A2,ROUND(BASE_A2+RATE_A2*($A1210-BOTT_A2),0),ROUND(RATE_A1*$A1210,0))))</f>
        <v/>
      </c>
      <c r="E1210" s="556">
        <f>IF($A1210&gt;BOTT_B4,ROUND(BASE_B4+RATE_B4*($A1210-BOTT_B4),0),IF($A1210&gt;BOTT_B3,ROUND(BASE_B3+RATE_B3*($A1210-BOTT_B3),0),IF($A1210&gt;BOTT_B2,ROUND(BASE_B2+RATE_B2*($A1210-BOTT_B2),0),ROUND(RATE_B1*$A1210,0))))</f>
        <v/>
      </c>
      <c r="F1210" s="556">
        <f>IF($A1210&gt;BOTT_C4,ROUND(BASE_C4+RATE_C4*($A1210-BOTT_C4),0),IF($A1210&gt;BOTT_C3,ROUND(BASE_C3+RATE_C3*($A1210-BOTT_C3),0),IF($A1210&gt;BOTT_C2,ROUND(BASE_C2+RATE_C2*($A1210-BOTT_C2),0),ROUND(RATE_C1*$A1210,0))))</f>
        <v/>
      </c>
      <c r="G1210" s="556">
        <f>IF($A1210&gt;BOTT_D4,ROUND(BASE_D4+RATE_D4*($A1210-BOTT_D4),0),IF($A1210&gt;BOTT_D3,ROUND(BASE_D3+RATE_D3*($A1210-BOTT_D3),0),IF($A1210&gt;BOTT_D2,ROUND(BASE_D2+RATE_D2*($A1210-BOTT_D2),0),ROUND(RATE_D1*$A1210,0))))</f>
        <v/>
      </c>
    </row>
    <row r="1211" ht="15.75" customHeight="1" s="7635">
      <c r="A1211" s="625">
        <f>AVERAGE(B1211,C1211)</f>
        <v/>
      </c>
      <c r="B1211" s="555" t="n">
        <v>57350</v>
      </c>
      <c r="C1211" s="555" t="n">
        <v>57400</v>
      </c>
      <c r="D1211" s="556">
        <f>IF($A1211&gt;BOTT_A4,ROUND(BASE_A4+RATE_A4*($A1211-BOTT_A4),0),IF($A1211&gt;BOTT_A3,ROUND(BASE_A3+RATE_A3*($A1211-BOTT_A3),0),IF($A1211&gt;BOTT_A2,ROUND(BASE_A2+RATE_A2*($A1211-BOTT_A2),0),ROUND(RATE_A1*$A1211,0))))</f>
        <v/>
      </c>
      <c r="E1211" s="556">
        <f>IF($A1211&gt;BOTT_B4,ROUND(BASE_B4+RATE_B4*($A1211-BOTT_B4),0),IF($A1211&gt;BOTT_B3,ROUND(BASE_B3+RATE_B3*($A1211-BOTT_B3),0),IF($A1211&gt;BOTT_B2,ROUND(BASE_B2+RATE_B2*($A1211-BOTT_B2),0),ROUND(RATE_B1*$A1211,0))))</f>
        <v/>
      </c>
      <c r="F1211" s="556">
        <f>IF($A1211&gt;BOTT_C4,ROUND(BASE_C4+RATE_C4*($A1211-BOTT_C4),0),IF($A1211&gt;BOTT_C3,ROUND(BASE_C3+RATE_C3*($A1211-BOTT_C3),0),IF($A1211&gt;BOTT_C2,ROUND(BASE_C2+RATE_C2*($A1211-BOTT_C2),0),ROUND(RATE_C1*$A1211,0))))</f>
        <v/>
      </c>
      <c r="G1211" s="556">
        <f>IF($A1211&gt;BOTT_D4,ROUND(BASE_D4+RATE_D4*($A1211-BOTT_D4),0),IF($A1211&gt;BOTT_D3,ROUND(BASE_D3+RATE_D3*($A1211-BOTT_D3),0),IF($A1211&gt;BOTT_D2,ROUND(BASE_D2+RATE_D2*($A1211-BOTT_D2),0),ROUND(RATE_D1*$A1211,0))))</f>
        <v/>
      </c>
    </row>
    <row r="1212" ht="15.75" customHeight="1" s="7635">
      <c r="A1212" s="625">
        <f>AVERAGE(B1212,C1212)</f>
        <v/>
      </c>
      <c r="B1212" s="555" t="n">
        <v>57400</v>
      </c>
      <c r="C1212" s="555" t="n">
        <v>57450</v>
      </c>
      <c r="D1212" s="556">
        <f>IF($A1212&gt;BOTT_A4,ROUND(BASE_A4+RATE_A4*($A1212-BOTT_A4),0),IF($A1212&gt;BOTT_A3,ROUND(BASE_A3+RATE_A3*($A1212-BOTT_A3),0),IF($A1212&gt;BOTT_A2,ROUND(BASE_A2+RATE_A2*($A1212-BOTT_A2),0),ROUND(RATE_A1*$A1212,0))))</f>
        <v/>
      </c>
      <c r="E1212" s="556">
        <f>IF($A1212&gt;BOTT_B4,ROUND(BASE_B4+RATE_B4*($A1212-BOTT_B4),0),IF($A1212&gt;BOTT_B3,ROUND(BASE_B3+RATE_B3*($A1212-BOTT_B3),0),IF($A1212&gt;BOTT_B2,ROUND(BASE_B2+RATE_B2*($A1212-BOTT_B2),0),ROUND(RATE_B1*$A1212,0))))</f>
        <v/>
      </c>
      <c r="F1212" s="556">
        <f>IF($A1212&gt;BOTT_C4,ROUND(BASE_C4+RATE_C4*($A1212-BOTT_C4),0),IF($A1212&gt;BOTT_C3,ROUND(BASE_C3+RATE_C3*($A1212-BOTT_C3),0),IF($A1212&gt;BOTT_C2,ROUND(BASE_C2+RATE_C2*($A1212-BOTT_C2),0),ROUND(RATE_C1*$A1212,0))))</f>
        <v/>
      </c>
      <c r="G1212" s="556">
        <f>IF($A1212&gt;BOTT_D4,ROUND(BASE_D4+RATE_D4*($A1212-BOTT_D4),0),IF($A1212&gt;BOTT_D3,ROUND(BASE_D3+RATE_D3*($A1212-BOTT_D3),0),IF($A1212&gt;BOTT_D2,ROUND(BASE_D2+RATE_D2*($A1212-BOTT_D2),0),ROUND(RATE_D1*$A1212,0))))</f>
        <v/>
      </c>
    </row>
    <row r="1213" ht="15.75" customHeight="1" s="7635">
      <c r="A1213" s="625">
        <f>AVERAGE(B1213,C1213)</f>
        <v/>
      </c>
      <c r="B1213" s="555" t="n">
        <v>57450</v>
      </c>
      <c r="C1213" s="555" t="n">
        <v>57500</v>
      </c>
      <c r="D1213" s="556">
        <f>IF($A1213&gt;BOTT_A4,ROUND(BASE_A4+RATE_A4*($A1213-BOTT_A4),0),IF($A1213&gt;BOTT_A3,ROUND(BASE_A3+RATE_A3*($A1213-BOTT_A3),0),IF($A1213&gt;BOTT_A2,ROUND(BASE_A2+RATE_A2*($A1213-BOTT_A2),0),ROUND(RATE_A1*$A1213,0))))</f>
        <v/>
      </c>
      <c r="E1213" s="556">
        <f>IF($A1213&gt;BOTT_B4,ROUND(BASE_B4+RATE_B4*($A1213-BOTT_B4),0),IF($A1213&gt;BOTT_B3,ROUND(BASE_B3+RATE_B3*($A1213-BOTT_B3),0),IF($A1213&gt;BOTT_B2,ROUND(BASE_B2+RATE_B2*($A1213-BOTT_B2),0),ROUND(RATE_B1*$A1213,0))))</f>
        <v/>
      </c>
      <c r="F1213" s="556">
        <f>IF($A1213&gt;BOTT_C4,ROUND(BASE_C4+RATE_C4*($A1213-BOTT_C4),0),IF($A1213&gt;BOTT_C3,ROUND(BASE_C3+RATE_C3*($A1213-BOTT_C3),0),IF($A1213&gt;BOTT_C2,ROUND(BASE_C2+RATE_C2*($A1213-BOTT_C2),0),ROUND(RATE_C1*$A1213,0))))</f>
        <v/>
      </c>
      <c r="G1213" s="556">
        <f>IF($A1213&gt;BOTT_D4,ROUND(BASE_D4+RATE_D4*($A1213-BOTT_D4),0),IF($A1213&gt;BOTT_D3,ROUND(BASE_D3+RATE_D3*($A1213-BOTT_D3),0),IF($A1213&gt;BOTT_D2,ROUND(BASE_D2+RATE_D2*($A1213-BOTT_D2),0),ROUND(RATE_D1*$A1213,0))))</f>
        <v/>
      </c>
    </row>
    <row r="1214" ht="15.75" customHeight="1" s="7635">
      <c r="A1214" s="625">
        <f>AVERAGE(B1214,C1214)</f>
        <v/>
      </c>
      <c r="B1214" s="555" t="n">
        <v>57500</v>
      </c>
      <c r="C1214" s="555" t="n">
        <v>57550</v>
      </c>
      <c r="D1214" s="556">
        <f>IF($A1214&gt;BOTT_A4,ROUND(BASE_A4+RATE_A4*($A1214-BOTT_A4),0),IF($A1214&gt;BOTT_A3,ROUND(BASE_A3+RATE_A3*($A1214-BOTT_A3),0),IF($A1214&gt;BOTT_A2,ROUND(BASE_A2+RATE_A2*($A1214-BOTT_A2),0),ROUND(RATE_A1*$A1214,0))))</f>
        <v/>
      </c>
      <c r="E1214" s="556">
        <f>IF($A1214&gt;BOTT_B4,ROUND(BASE_B4+RATE_B4*($A1214-BOTT_B4),0),IF($A1214&gt;BOTT_B3,ROUND(BASE_B3+RATE_B3*($A1214-BOTT_B3),0),IF($A1214&gt;BOTT_B2,ROUND(BASE_B2+RATE_B2*($A1214-BOTT_B2),0),ROUND(RATE_B1*$A1214,0))))</f>
        <v/>
      </c>
      <c r="F1214" s="556">
        <f>IF($A1214&gt;BOTT_C4,ROUND(BASE_C4+RATE_C4*($A1214-BOTT_C4),0),IF($A1214&gt;BOTT_C3,ROUND(BASE_C3+RATE_C3*($A1214-BOTT_C3),0),IF($A1214&gt;BOTT_C2,ROUND(BASE_C2+RATE_C2*($A1214-BOTT_C2),0),ROUND(RATE_C1*$A1214,0))))</f>
        <v/>
      </c>
      <c r="G1214" s="556">
        <f>IF($A1214&gt;BOTT_D4,ROUND(BASE_D4+RATE_D4*($A1214-BOTT_D4),0),IF($A1214&gt;BOTT_D3,ROUND(BASE_D3+RATE_D3*($A1214-BOTT_D3),0),IF($A1214&gt;BOTT_D2,ROUND(BASE_D2+RATE_D2*($A1214-BOTT_D2),0),ROUND(RATE_D1*$A1214,0))))</f>
        <v/>
      </c>
    </row>
    <row r="1215" ht="15.75" customHeight="1" s="7635">
      <c r="A1215" s="625">
        <f>AVERAGE(B1215,C1215)</f>
        <v/>
      </c>
      <c r="B1215" s="555" t="n">
        <v>57550</v>
      </c>
      <c r="C1215" s="555" t="n">
        <v>57600</v>
      </c>
      <c r="D1215" s="556">
        <f>IF($A1215&gt;BOTT_A4,ROUND(BASE_A4+RATE_A4*($A1215-BOTT_A4),0),IF($A1215&gt;BOTT_A3,ROUND(BASE_A3+RATE_A3*($A1215-BOTT_A3),0),IF($A1215&gt;BOTT_A2,ROUND(BASE_A2+RATE_A2*($A1215-BOTT_A2),0),ROUND(RATE_A1*$A1215,0))))</f>
        <v/>
      </c>
      <c r="E1215" s="556">
        <f>IF($A1215&gt;BOTT_B4,ROUND(BASE_B4+RATE_B4*($A1215-BOTT_B4),0),IF($A1215&gt;BOTT_B3,ROUND(BASE_B3+RATE_B3*($A1215-BOTT_B3),0),IF($A1215&gt;BOTT_B2,ROUND(BASE_B2+RATE_B2*($A1215-BOTT_B2),0),ROUND(RATE_B1*$A1215,0))))</f>
        <v/>
      </c>
      <c r="F1215" s="556">
        <f>IF($A1215&gt;BOTT_C4,ROUND(BASE_C4+RATE_C4*($A1215-BOTT_C4),0),IF($A1215&gt;BOTT_C3,ROUND(BASE_C3+RATE_C3*($A1215-BOTT_C3),0),IF($A1215&gt;BOTT_C2,ROUND(BASE_C2+RATE_C2*($A1215-BOTT_C2),0),ROUND(RATE_C1*$A1215,0))))</f>
        <v/>
      </c>
      <c r="G1215" s="556">
        <f>IF($A1215&gt;BOTT_D4,ROUND(BASE_D4+RATE_D4*($A1215-BOTT_D4),0),IF($A1215&gt;BOTT_D3,ROUND(BASE_D3+RATE_D3*($A1215-BOTT_D3),0),IF($A1215&gt;BOTT_D2,ROUND(BASE_D2+RATE_D2*($A1215-BOTT_D2),0),ROUND(RATE_D1*$A1215,0))))</f>
        <v/>
      </c>
    </row>
    <row r="1216" ht="15.75" customHeight="1" s="7635">
      <c r="A1216" s="625">
        <f>AVERAGE(B1216,C1216)</f>
        <v/>
      </c>
      <c r="B1216" s="555" t="n">
        <v>57600</v>
      </c>
      <c r="C1216" s="555" t="n">
        <v>57650</v>
      </c>
      <c r="D1216" s="556">
        <f>IF($A1216&gt;BOTT_A4,ROUND(BASE_A4+RATE_A4*($A1216-BOTT_A4),0),IF($A1216&gt;BOTT_A3,ROUND(BASE_A3+RATE_A3*($A1216-BOTT_A3),0),IF($A1216&gt;BOTT_A2,ROUND(BASE_A2+RATE_A2*($A1216-BOTT_A2),0),ROUND(RATE_A1*$A1216,0))))</f>
        <v/>
      </c>
      <c r="E1216" s="556">
        <f>IF($A1216&gt;BOTT_B4,ROUND(BASE_B4+RATE_B4*($A1216-BOTT_B4),0),IF($A1216&gt;BOTT_B3,ROUND(BASE_B3+RATE_B3*($A1216-BOTT_B3),0),IF($A1216&gt;BOTT_B2,ROUND(BASE_B2+RATE_B2*($A1216-BOTT_B2),0),ROUND(RATE_B1*$A1216,0))))</f>
        <v/>
      </c>
      <c r="F1216" s="556">
        <f>IF($A1216&gt;BOTT_C4,ROUND(BASE_C4+RATE_C4*($A1216-BOTT_C4),0),IF($A1216&gt;BOTT_C3,ROUND(BASE_C3+RATE_C3*($A1216-BOTT_C3),0),IF($A1216&gt;BOTT_C2,ROUND(BASE_C2+RATE_C2*($A1216-BOTT_C2),0),ROUND(RATE_C1*$A1216,0))))</f>
        <v/>
      </c>
      <c r="G1216" s="556">
        <f>IF($A1216&gt;BOTT_D4,ROUND(BASE_D4+RATE_D4*($A1216-BOTT_D4),0),IF($A1216&gt;BOTT_D3,ROUND(BASE_D3+RATE_D3*($A1216-BOTT_D3),0),IF($A1216&gt;BOTT_D2,ROUND(BASE_D2+RATE_D2*($A1216-BOTT_D2),0),ROUND(RATE_D1*$A1216,0))))</f>
        <v/>
      </c>
    </row>
    <row r="1217" ht="15.75" customHeight="1" s="7635">
      <c r="A1217" s="625">
        <f>AVERAGE(B1217,C1217)</f>
        <v/>
      </c>
      <c r="B1217" s="555" t="n">
        <v>57650</v>
      </c>
      <c r="C1217" s="555" t="n">
        <v>57700</v>
      </c>
      <c r="D1217" s="556">
        <f>IF($A1217&gt;BOTT_A4,ROUND(BASE_A4+RATE_A4*($A1217-BOTT_A4),0),IF($A1217&gt;BOTT_A3,ROUND(BASE_A3+RATE_A3*($A1217-BOTT_A3),0),IF($A1217&gt;BOTT_A2,ROUND(BASE_A2+RATE_A2*($A1217-BOTT_A2),0),ROUND(RATE_A1*$A1217,0))))</f>
        <v/>
      </c>
      <c r="E1217" s="556">
        <f>IF($A1217&gt;BOTT_B4,ROUND(BASE_B4+RATE_B4*($A1217-BOTT_B4),0),IF($A1217&gt;BOTT_B3,ROUND(BASE_B3+RATE_B3*($A1217-BOTT_B3),0),IF($A1217&gt;BOTT_B2,ROUND(BASE_B2+RATE_B2*($A1217-BOTT_B2),0),ROUND(RATE_B1*$A1217,0))))</f>
        <v/>
      </c>
      <c r="F1217" s="556">
        <f>IF($A1217&gt;BOTT_C4,ROUND(BASE_C4+RATE_C4*($A1217-BOTT_C4),0),IF($A1217&gt;BOTT_C3,ROUND(BASE_C3+RATE_C3*($A1217-BOTT_C3),0),IF($A1217&gt;BOTT_C2,ROUND(BASE_C2+RATE_C2*($A1217-BOTT_C2),0),ROUND(RATE_C1*$A1217,0))))</f>
        <v/>
      </c>
      <c r="G1217" s="556">
        <f>IF($A1217&gt;BOTT_D4,ROUND(BASE_D4+RATE_D4*($A1217-BOTT_D4),0),IF($A1217&gt;BOTT_D3,ROUND(BASE_D3+RATE_D3*($A1217-BOTT_D3),0),IF($A1217&gt;BOTT_D2,ROUND(BASE_D2+RATE_D2*($A1217-BOTT_D2),0),ROUND(RATE_D1*$A1217,0))))</f>
        <v/>
      </c>
    </row>
    <row r="1218" ht="15.75" customHeight="1" s="7635">
      <c r="A1218" s="625">
        <f>AVERAGE(B1218,C1218)</f>
        <v/>
      </c>
      <c r="B1218" s="555" t="n">
        <v>57700</v>
      </c>
      <c r="C1218" s="555" t="n">
        <v>57750</v>
      </c>
      <c r="D1218" s="556">
        <f>IF($A1218&gt;BOTT_A4,ROUND(BASE_A4+RATE_A4*($A1218-BOTT_A4),0),IF($A1218&gt;BOTT_A3,ROUND(BASE_A3+RATE_A3*($A1218-BOTT_A3),0),IF($A1218&gt;BOTT_A2,ROUND(BASE_A2+RATE_A2*($A1218-BOTT_A2),0),ROUND(RATE_A1*$A1218,0))))</f>
        <v/>
      </c>
      <c r="E1218" s="556">
        <f>IF($A1218&gt;BOTT_B4,ROUND(BASE_B4+RATE_B4*($A1218-BOTT_B4),0),IF($A1218&gt;BOTT_B3,ROUND(BASE_B3+RATE_B3*($A1218-BOTT_B3),0),IF($A1218&gt;BOTT_B2,ROUND(BASE_B2+RATE_B2*($A1218-BOTT_B2),0),ROUND(RATE_B1*$A1218,0))))</f>
        <v/>
      </c>
      <c r="F1218" s="556">
        <f>IF($A1218&gt;BOTT_C4,ROUND(BASE_C4+RATE_C4*($A1218-BOTT_C4),0),IF($A1218&gt;BOTT_C3,ROUND(BASE_C3+RATE_C3*($A1218-BOTT_C3),0),IF($A1218&gt;BOTT_C2,ROUND(BASE_C2+RATE_C2*($A1218-BOTT_C2),0),ROUND(RATE_C1*$A1218,0))))</f>
        <v/>
      </c>
      <c r="G1218" s="556">
        <f>IF($A1218&gt;BOTT_D4,ROUND(BASE_D4+RATE_D4*($A1218-BOTT_D4),0),IF($A1218&gt;BOTT_D3,ROUND(BASE_D3+RATE_D3*($A1218-BOTT_D3),0),IF($A1218&gt;BOTT_D2,ROUND(BASE_D2+RATE_D2*($A1218-BOTT_D2),0),ROUND(RATE_D1*$A1218,0))))</f>
        <v/>
      </c>
    </row>
    <row r="1219" ht="15.75" customHeight="1" s="7635">
      <c r="A1219" s="625">
        <f>AVERAGE(B1219,C1219)</f>
        <v/>
      </c>
      <c r="B1219" s="555" t="n">
        <v>57750</v>
      </c>
      <c r="C1219" s="555" t="n">
        <v>57800</v>
      </c>
      <c r="D1219" s="556">
        <f>IF($A1219&gt;BOTT_A4,ROUND(BASE_A4+RATE_A4*($A1219-BOTT_A4),0),IF($A1219&gt;BOTT_A3,ROUND(BASE_A3+RATE_A3*($A1219-BOTT_A3),0),IF($A1219&gt;BOTT_A2,ROUND(BASE_A2+RATE_A2*($A1219-BOTT_A2),0),ROUND(RATE_A1*$A1219,0))))</f>
        <v/>
      </c>
      <c r="E1219" s="556">
        <f>IF($A1219&gt;BOTT_B4,ROUND(BASE_B4+RATE_B4*($A1219-BOTT_B4),0),IF($A1219&gt;BOTT_B3,ROUND(BASE_B3+RATE_B3*($A1219-BOTT_B3),0),IF($A1219&gt;BOTT_B2,ROUND(BASE_B2+RATE_B2*($A1219-BOTT_B2),0),ROUND(RATE_B1*$A1219,0))))</f>
        <v/>
      </c>
      <c r="F1219" s="556">
        <f>IF($A1219&gt;BOTT_C4,ROUND(BASE_C4+RATE_C4*($A1219-BOTT_C4),0),IF($A1219&gt;BOTT_C3,ROUND(BASE_C3+RATE_C3*($A1219-BOTT_C3),0),IF($A1219&gt;BOTT_C2,ROUND(BASE_C2+RATE_C2*($A1219-BOTT_C2),0),ROUND(RATE_C1*$A1219,0))))</f>
        <v/>
      </c>
      <c r="G1219" s="556">
        <f>IF($A1219&gt;BOTT_D4,ROUND(BASE_D4+RATE_D4*($A1219-BOTT_D4),0),IF($A1219&gt;BOTT_D3,ROUND(BASE_D3+RATE_D3*($A1219-BOTT_D3),0),IF($A1219&gt;BOTT_D2,ROUND(BASE_D2+RATE_D2*($A1219-BOTT_D2),0),ROUND(RATE_D1*$A1219,0))))</f>
        <v/>
      </c>
    </row>
    <row r="1220" ht="15.75" customHeight="1" s="7635">
      <c r="A1220" s="625">
        <f>AVERAGE(B1220,C1220)</f>
        <v/>
      </c>
      <c r="B1220" s="555" t="n">
        <v>57800</v>
      </c>
      <c r="C1220" s="555" t="n">
        <v>57850</v>
      </c>
      <c r="D1220" s="556">
        <f>IF($A1220&gt;BOTT_A4,ROUND(BASE_A4+RATE_A4*($A1220-BOTT_A4),0),IF($A1220&gt;BOTT_A3,ROUND(BASE_A3+RATE_A3*($A1220-BOTT_A3),0),IF($A1220&gt;BOTT_A2,ROUND(BASE_A2+RATE_A2*($A1220-BOTT_A2),0),ROUND(RATE_A1*$A1220,0))))</f>
        <v/>
      </c>
      <c r="E1220" s="556">
        <f>IF($A1220&gt;BOTT_B4,ROUND(BASE_B4+RATE_B4*($A1220-BOTT_B4),0),IF($A1220&gt;BOTT_B3,ROUND(BASE_B3+RATE_B3*($A1220-BOTT_B3),0),IF($A1220&gt;BOTT_B2,ROUND(BASE_B2+RATE_B2*($A1220-BOTT_B2),0),ROUND(RATE_B1*$A1220,0))))</f>
        <v/>
      </c>
      <c r="F1220" s="556">
        <f>IF($A1220&gt;BOTT_C4,ROUND(BASE_C4+RATE_C4*($A1220-BOTT_C4),0),IF($A1220&gt;BOTT_C3,ROUND(BASE_C3+RATE_C3*($A1220-BOTT_C3),0),IF($A1220&gt;BOTT_C2,ROUND(BASE_C2+RATE_C2*($A1220-BOTT_C2),0),ROUND(RATE_C1*$A1220,0))))</f>
        <v/>
      </c>
      <c r="G1220" s="556">
        <f>IF($A1220&gt;BOTT_D4,ROUND(BASE_D4+RATE_D4*($A1220-BOTT_D4),0),IF($A1220&gt;BOTT_D3,ROUND(BASE_D3+RATE_D3*($A1220-BOTT_D3),0),IF($A1220&gt;BOTT_D2,ROUND(BASE_D2+RATE_D2*($A1220-BOTT_D2),0),ROUND(RATE_D1*$A1220,0))))</f>
        <v/>
      </c>
    </row>
    <row r="1221" ht="15.75" customHeight="1" s="7635">
      <c r="A1221" s="625">
        <f>AVERAGE(B1221,C1221)</f>
        <v/>
      </c>
      <c r="B1221" s="555" t="n">
        <v>57850</v>
      </c>
      <c r="C1221" s="555" t="n">
        <v>57900</v>
      </c>
      <c r="D1221" s="556">
        <f>IF($A1221&gt;BOTT_A4,ROUND(BASE_A4+RATE_A4*($A1221-BOTT_A4),0),IF($A1221&gt;BOTT_A3,ROUND(BASE_A3+RATE_A3*($A1221-BOTT_A3),0),IF($A1221&gt;BOTT_A2,ROUND(BASE_A2+RATE_A2*($A1221-BOTT_A2),0),ROUND(RATE_A1*$A1221,0))))</f>
        <v/>
      </c>
      <c r="E1221" s="556">
        <f>IF($A1221&gt;BOTT_B4,ROUND(BASE_B4+RATE_B4*($A1221-BOTT_B4),0),IF($A1221&gt;BOTT_B3,ROUND(BASE_B3+RATE_B3*($A1221-BOTT_B3),0),IF($A1221&gt;BOTT_B2,ROUND(BASE_B2+RATE_B2*($A1221-BOTT_B2),0),ROUND(RATE_B1*$A1221,0))))</f>
        <v/>
      </c>
      <c r="F1221" s="556">
        <f>IF($A1221&gt;BOTT_C4,ROUND(BASE_C4+RATE_C4*($A1221-BOTT_C4),0),IF($A1221&gt;BOTT_C3,ROUND(BASE_C3+RATE_C3*($A1221-BOTT_C3),0),IF($A1221&gt;BOTT_C2,ROUND(BASE_C2+RATE_C2*($A1221-BOTT_C2),0),ROUND(RATE_C1*$A1221,0))))</f>
        <v/>
      </c>
      <c r="G1221" s="556">
        <f>IF($A1221&gt;BOTT_D4,ROUND(BASE_D4+RATE_D4*($A1221-BOTT_D4),0),IF($A1221&gt;BOTT_D3,ROUND(BASE_D3+RATE_D3*($A1221-BOTT_D3),0),IF($A1221&gt;BOTT_D2,ROUND(BASE_D2+RATE_D2*($A1221-BOTT_D2),0),ROUND(RATE_D1*$A1221,0))))</f>
        <v/>
      </c>
    </row>
    <row r="1222" ht="15.75" customHeight="1" s="7635">
      <c r="A1222" s="625">
        <f>AVERAGE(B1222,C1222)</f>
        <v/>
      </c>
      <c r="B1222" s="555" t="n">
        <v>57900</v>
      </c>
      <c r="C1222" s="555" t="n">
        <v>57950</v>
      </c>
      <c r="D1222" s="556">
        <f>IF($A1222&gt;BOTT_A4,ROUND(BASE_A4+RATE_A4*($A1222-BOTT_A4),0),IF($A1222&gt;BOTT_A3,ROUND(BASE_A3+RATE_A3*($A1222-BOTT_A3),0),IF($A1222&gt;BOTT_A2,ROUND(BASE_A2+RATE_A2*($A1222-BOTT_A2),0),ROUND(RATE_A1*$A1222,0))))</f>
        <v/>
      </c>
      <c r="E1222" s="556">
        <f>IF($A1222&gt;BOTT_B4,ROUND(BASE_B4+RATE_B4*($A1222-BOTT_B4),0),IF($A1222&gt;BOTT_B3,ROUND(BASE_B3+RATE_B3*($A1222-BOTT_B3),0),IF($A1222&gt;BOTT_B2,ROUND(BASE_B2+RATE_B2*($A1222-BOTT_B2),0),ROUND(RATE_B1*$A1222,0))))</f>
        <v/>
      </c>
      <c r="F1222" s="556">
        <f>IF($A1222&gt;BOTT_C4,ROUND(BASE_C4+RATE_C4*($A1222-BOTT_C4),0),IF($A1222&gt;BOTT_C3,ROUND(BASE_C3+RATE_C3*($A1222-BOTT_C3),0),IF($A1222&gt;BOTT_C2,ROUND(BASE_C2+RATE_C2*($A1222-BOTT_C2),0),ROUND(RATE_C1*$A1222,0))))</f>
        <v/>
      </c>
      <c r="G1222" s="556">
        <f>IF($A1222&gt;BOTT_D4,ROUND(BASE_D4+RATE_D4*($A1222-BOTT_D4),0),IF($A1222&gt;BOTT_D3,ROUND(BASE_D3+RATE_D3*($A1222-BOTT_D3),0),IF($A1222&gt;BOTT_D2,ROUND(BASE_D2+RATE_D2*($A1222-BOTT_D2),0),ROUND(RATE_D1*$A1222,0))))</f>
        <v/>
      </c>
    </row>
    <row r="1223" ht="15.75" customHeight="1" s="7635">
      <c r="A1223" s="625">
        <f>AVERAGE(B1223,C1223)</f>
        <v/>
      </c>
      <c r="B1223" s="555" t="n">
        <v>57950</v>
      </c>
      <c r="C1223" s="555" t="n">
        <v>58000</v>
      </c>
      <c r="D1223" s="556">
        <f>IF($A1223&gt;BOTT_A4,ROUND(BASE_A4+RATE_A4*($A1223-BOTT_A4),0),IF($A1223&gt;BOTT_A3,ROUND(BASE_A3+RATE_A3*($A1223-BOTT_A3),0),IF($A1223&gt;BOTT_A2,ROUND(BASE_A2+RATE_A2*($A1223-BOTT_A2),0),ROUND(RATE_A1*$A1223,0))))</f>
        <v/>
      </c>
      <c r="E1223" s="556">
        <f>IF($A1223&gt;BOTT_B4,ROUND(BASE_B4+RATE_B4*($A1223-BOTT_B4),0),IF($A1223&gt;BOTT_B3,ROUND(BASE_B3+RATE_B3*($A1223-BOTT_B3),0),IF($A1223&gt;BOTT_B2,ROUND(BASE_B2+RATE_B2*($A1223-BOTT_B2),0),ROUND(RATE_B1*$A1223,0))))</f>
        <v/>
      </c>
      <c r="F1223" s="556">
        <f>IF($A1223&gt;BOTT_C4,ROUND(BASE_C4+RATE_C4*($A1223-BOTT_C4),0),IF($A1223&gt;BOTT_C3,ROUND(BASE_C3+RATE_C3*($A1223-BOTT_C3),0),IF($A1223&gt;BOTT_C2,ROUND(BASE_C2+RATE_C2*($A1223-BOTT_C2),0),ROUND(RATE_C1*$A1223,0))))</f>
        <v/>
      </c>
      <c r="G1223" s="556">
        <f>IF($A1223&gt;BOTT_D4,ROUND(BASE_D4+RATE_D4*($A1223-BOTT_D4),0),IF($A1223&gt;BOTT_D3,ROUND(BASE_D3+RATE_D3*($A1223-BOTT_D3),0),IF($A1223&gt;BOTT_D2,ROUND(BASE_D2+RATE_D2*($A1223-BOTT_D2),0),ROUND(RATE_D1*$A1223,0))))</f>
        <v/>
      </c>
    </row>
    <row r="1224" ht="15.75" customHeight="1" s="7635">
      <c r="A1224" s="625">
        <f>AVERAGE(B1224,C1224)</f>
        <v/>
      </c>
      <c r="B1224" s="555" t="n">
        <v>58000</v>
      </c>
      <c r="C1224" s="555" t="n">
        <v>58050</v>
      </c>
      <c r="D1224" s="556">
        <f>IF($A1224&gt;BOTT_A4,ROUND(BASE_A4+RATE_A4*($A1224-BOTT_A4),0),IF($A1224&gt;BOTT_A3,ROUND(BASE_A3+RATE_A3*($A1224-BOTT_A3),0),IF($A1224&gt;BOTT_A2,ROUND(BASE_A2+RATE_A2*($A1224-BOTT_A2),0),ROUND(RATE_A1*$A1224,0))))</f>
        <v/>
      </c>
      <c r="E1224" s="556">
        <f>IF($A1224&gt;BOTT_B4,ROUND(BASE_B4+RATE_B4*($A1224-BOTT_B4),0),IF($A1224&gt;BOTT_B3,ROUND(BASE_B3+RATE_B3*($A1224-BOTT_B3),0),IF($A1224&gt;BOTT_B2,ROUND(BASE_B2+RATE_B2*($A1224-BOTT_B2),0),ROUND(RATE_B1*$A1224,0))))</f>
        <v/>
      </c>
      <c r="F1224" s="556">
        <f>IF($A1224&gt;BOTT_C4,ROUND(BASE_C4+RATE_C4*($A1224-BOTT_C4),0),IF($A1224&gt;BOTT_C3,ROUND(BASE_C3+RATE_C3*($A1224-BOTT_C3),0),IF($A1224&gt;BOTT_C2,ROUND(BASE_C2+RATE_C2*($A1224-BOTT_C2),0),ROUND(RATE_C1*$A1224,0))))</f>
        <v/>
      </c>
      <c r="G1224" s="556">
        <f>IF($A1224&gt;BOTT_D4,ROUND(BASE_D4+RATE_D4*($A1224-BOTT_D4),0),IF($A1224&gt;BOTT_D3,ROUND(BASE_D3+RATE_D3*($A1224-BOTT_D3),0),IF($A1224&gt;BOTT_D2,ROUND(BASE_D2+RATE_D2*($A1224-BOTT_D2),0),ROUND(RATE_D1*$A1224,0))))</f>
        <v/>
      </c>
    </row>
    <row r="1225" ht="15.75" customHeight="1" s="7635">
      <c r="A1225" s="625">
        <f>AVERAGE(B1225,C1225)</f>
        <v/>
      </c>
      <c r="B1225" s="555" t="n">
        <v>58050</v>
      </c>
      <c r="C1225" s="555" t="n">
        <v>58100</v>
      </c>
      <c r="D1225" s="556">
        <f>IF($A1225&gt;BOTT_A4,ROUND(BASE_A4+RATE_A4*($A1225-BOTT_A4),0),IF($A1225&gt;BOTT_A3,ROUND(BASE_A3+RATE_A3*($A1225-BOTT_A3),0),IF($A1225&gt;BOTT_A2,ROUND(BASE_A2+RATE_A2*($A1225-BOTT_A2),0),ROUND(RATE_A1*$A1225,0))))</f>
        <v/>
      </c>
      <c r="E1225" s="556">
        <f>IF($A1225&gt;BOTT_B4,ROUND(BASE_B4+RATE_B4*($A1225-BOTT_B4),0),IF($A1225&gt;BOTT_B3,ROUND(BASE_B3+RATE_B3*($A1225-BOTT_B3),0),IF($A1225&gt;BOTT_B2,ROUND(BASE_B2+RATE_B2*($A1225-BOTT_B2),0),ROUND(RATE_B1*$A1225,0))))</f>
        <v/>
      </c>
      <c r="F1225" s="556">
        <f>IF($A1225&gt;BOTT_C4,ROUND(BASE_C4+RATE_C4*($A1225-BOTT_C4),0),IF($A1225&gt;BOTT_C3,ROUND(BASE_C3+RATE_C3*($A1225-BOTT_C3),0),IF($A1225&gt;BOTT_C2,ROUND(BASE_C2+RATE_C2*($A1225-BOTT_C2),0),ROUND(RATE_C1*$A1225,0))))</f>
        <v/>
      </c>
      <c r="G1225" s="556">
        <f>IF($A1225&gt;BOTT_D4,ROUND(BASE_D4+RATE_D4*($A1225-BOTT_D4),0),IF($A1225&gt;BOTT_D3,ROUND(BASE_D3+RATE_D3*($A1225-BOTT_D3),0),IF($A1225&gt;BOTT_D2,ROUND(BASE_D2+RATE_D2*($A1225-BOTT_D2),0),ROUND(RATE_D1*$A1225,0))))</f>
        <v/>
      </c>
    </row>
    <row r="1226" ht="15.75" customHeight="1" s="7635">
      <c r="A1226" s="625">
        <f>AVERAGE(B1226,C1226)</f>
        <v/>
      </c>
      <c r="B1226" s="555" t="n">
        <v>58100</v>
      </c>
      <c r="C1226" s="555" t="n">
        <v>58150</v>
      </c>
      <c r="D1226" s="556">
        <f>IF($A1226&gt;BOTT_A4,ROUND(BASE_A4+RATE_A4*($A1226-BOTT_A4),0),IF($A1226&gt;BOTT_A3,ROUND(BASE_A3+RATE_A3*($A1226-BOTT_A3),0),IF($A1226&gt;BOTT_A2,ROUND(BASE_A2+RATE_A2*($A1226-BOTT_A2),0),ROUND(RATE_A1*$A1226,0))))</f>
        <v/>
      </c>
      <c r="E1226" s="556">
        <f>IF($A1226&gt;BOTT_B4,ROUND(BASE_B4+RATE_B4*($A1226-BOTT_B4),0),IF($A1226&gt;BOTT_B3,ROUND(BASE_B3+RATE_B3*($A1226-BOTT_B3),0),IF($A1226&gt;BOTT_B2,ROUND(BASE_B2+RATE_B2*($A1226-BOTT_B2),0),ROUND(RATE_B1*$A1226,0))))</f>
        <v/>
      </c>
      <c r="F1226" s="556">
        <f>IF($A1226&gt;BOTT_C4,ROUND(BASE_C4+RATE_C4*($A1226-BOTT_C4),0),IF($A1226&gt;BOTT_C3,ROUND(BASE_C3+RATE_C3*($A1226-BOTT_C3),0),IF($A1226&gt;BOTT_C2,ROUND(BASE_C2+RATE_C2*($A1226-BOTT_C2),0),ROUND(RATE_C1*$A1226,0))))</f>
        <v/>
      </c>
      <c r="G1226" s="556">
        <f>IF($A1226&gt;BOTT_D4,ROUND(BASE_D4+RATE_D4*($A1226-BOTT_D4),0),IF($A1226&gt;BOTT_D3,ROUND(BASE_D3+RATE_D3*($A1226-BOTT_D3),0),IF($A1226&gt;BOTT_D2,ROUND(BASE_D2+RATE_D2*($A1226-BOTT_D2),0),ROUND(RATE_D1*$A1226,0))))</f>
        <v/>
      </c>
    </row>
    <row r="1227" ht="15.75" customHeight="1" s="7635">
      <c r="A1227" s="625">
        <f>AVERAGE(B1227,C1227)</f>
        <v/>
      </c>
      <c r="B1227" s="555" t="n">
        <v>58150</v>
      </c>
      <c r="C1227" s="555" t="n">
        <v>58200</v>
      </c>
      <c r="D1227" s="556">
        <f>IF($A1227&gt;BOTT_A4,ROUND(BASE_A4+RATE_A4*($A1227-BOTT_A4),0),IF($A1227&gt;BOTT_A3,ROUND(BASE_A3+RATE_A3*($A1227-BOTT_A3),0),IF($A1227&gt;BOTT_A2,ROUND(BASE_A2+RATE_A2*($A1227-BOTT_A2),0),ROUND(RATE_A1*$A1227,0))))</f>
        <v/>
      </c>
      <c r="E1227" s="556">
        <f>IF($A1227&gt;BOTT_B4,ROUND(BASE_B4+RATE_B4*($A1227-BOTT_B4),0),IF($A1227&gt;BOTT_B3,ROUND(BASE_B3+RATE_B3*($A1227-BOTT_B3),0),IF($A1227&gt;BOTT_B2,ROUND(BASE_B2+RATE_B2*($A1227-BOTT_B2),0),ROUND(RATE_B1*$A1227,0))))</f>
        <v/>
      </c>
      <c r="F1227" s="556">
        <f>IF($A1227&gt;BOTT_C4,ROUND(BASE_C4+RATE_C4*($A1227-BOTT_C4),0),IF($A1227&gt;BOTT_C3,ROUND(BASE_C3+RATE_C3*($A1227-BOTT_C3),0),IF($A1227&gt;BOTT_C2,ROUND(BASE_C2+RATE_C2*($A1227-BOTT_C2),0),ROUND(RATE_C1*$A1227,0))))</f>
        <v/>
      </c>
      <c r="G1227" s="556">
        <f>IF($A1227&gt;BOTT_D4,ROUND(BASE_D4+RATE_D4*($A1227-BOTT_D4),0),IF($A1227&gt;BOTT_D3,ROUND(BASE_D3+RATE_D3*($A1227-BOTT_D3),0),IF($A1227&gt;BOTT_D2,ROUND(BASE_D2+RATE_D2*($A1227-BOTT_D2),0),ROUND(RATE_D1*$A1227,0))))</f>
        <v/>
      </c>
    </row>
    <row r="1228" ht="15.75" customHeight="1" s="7635">
      <c r="A1228" s="625">
        <f>AVERAGE(B1228,C1228)</f>
        <v/>
      </c>
      <c r="B1228" s="555" t="n">
        <v>58200</v>
      </c>
      <c r="C1228" s="555" t="n">
        <v>58250</v>
      </c>
      <c r="D1228" s="556">
        <f>IF($A1228&gt;BOTT_A4,ROUND(BASE_A4+RATE_A4*($A1228-BOTT_A4),0),IF($A1228&gt;BOTT_A3,ROUND(BASE_A3+RATE_A3*($A1228-BOTT_A3),0),IF($A1228&gt;BOTT_A2,ROUND(BASE_A2+RATE_A2*($A1228-BOTT_A2),0),ROUND(RATE_A1*$A1228,0))))</f>
        <v/>
      </c>
      <c r="E1228" s="556">
        <f>IF($A1228&gt;BOTT_B4,ROUND(BASE_B4+RATE_B4*($A1228-BOTT_B4),0),IF($A1228&gt;BOTT_B3,ROUND(BASE_B3+RATE_B3*($A1228-BOTT_B3),0),IF($A1228&gt;BOTT_B2,ROUND(BASE_B2+RATE_B2*($A1228-BOTT_B2),0),ROUND(RATE_B1*$A1228,0))))</f>
        <v/>
      </c>
      <c r="F1228" s="556">
        <f>IF($A1228&gt;BOTT_C4,ROUND(BASE_C4+RATE_C4*($A1228-BOTT_C4),0),IF($A1228&gt;BOTT_C3,ROUND(BASE_C3+RATE_C3*($A1228-BOTT_C3),0),IF($A1228&gt;BOTT_C2,ROUND(BASE_C2+RATE_C2*($A1228-BOTT_C2),0),ROUND(RATE_C1*$A1228,0))))</f>
        <v/>
      </c>
      <c r="G1228" s="556">
        <f>IF($A1228&gt;BOTT_D4,ROUND(BASE_D4+RATE_D4*($A1228-BOTT_D4),0),IF($A1228&gt;BOTT_D3,ROUND(BASE_D3+RATE_D3*($A1228-BOTT_D3),0),IF($A1228&gt;BOTT_D2,ROUND(BASE_D2+RATE_D2*($A1228-BOTT_D2),0),ROUND(RATE_D1*$A1228,0))))</f>
        <v/>
      </c>
    </row>
    <row r="1229" ht="15.75" customHeight="1" s="7635">
      <c r="A1229" s="625">
        <f>AVERAGE(B1229,C1229)</f>
        <v/>
      </c>
      <c r="B1229" s="555" t="n">
        <v>58250</v>
      </c>
      <c r="C1229" s="555" t="n">
        <v>58300</v>
      </c>
      <c r="D1229" s="556">
        <f>IF($A1229&gt;BOTT_A4,ROUND(BASE_A4+RATE_A4*($A1229-BOTT_A4),0),IF($A1229&gt;BOTT_A3,ROUND(BASE_A3+RATE_A3*($A1229-BOTT_A3),0),IF($A1229&gt;BOTT_A2,ROUND(BASE_A2+RATE_A2*($A1229-BOTT_A2),0),ROUND(RATE_A1*$A1229,0))))</f>
        <v/>
      </c>
      <c r="E1229" s="556">
        <f>IF($A1229&gt;BOTT_B4,ROUND(BASE_B4+RATE_B4*($A1229-BOTT_B4),0),IF($A1229&gt;BOTT_B3,ROUND(BASE_B3+RATE_B3*($A1229-BOTT_B3),0),IF($A1229&gt;BOTT_B2,ROUND(BASE_B2+RATE_B2*($A1229-BOTT_B2),0),ROUND(RATE_B1*$A1229,0))))</f>
        <v/>
      </c>
      <c r="F1229" s="556">
        <f>IF($A1229&gt;BOTT_C4,ROUND(BASE_C4+RATE_C4*($A1229-BOTT_C4),0),IF($A1229&gt;BOTT_C3,ROUND(BASE_C3+RATE_C3*($A1229-BOTT_C3),0),IF($A1229&gt;BOTT_C2,ROUND(BASE_C2+RATE_C2*($A1229-BOTT_C2),0),ROUND(RATE_C1*$A1229,0))))</f>
        <v/>
      </c>
      <c r="G1229" s="556">
        <f>IF($A1229&gt;BOTT_D4,ROUND(BASE_D4+RATE_D4*($A1229-BOTT_D4),0),IF($A1229&gt;BOTT_D3,ROUND(BASE_D3+RATE_D3*($A1229-BOTT_D3),0),IF($A1229&gt;BOTT_D2,ROUND(BASE_D2+RATE_D2*($A1229-BOTT_D2),0),ROUND(RATE_D1*$A1229,0))))</f>
        <v/>
      </c>
    </row>
    <row r="1230" ht="15.75" customHeight="1" s="7635">
      <c r="A1230" s="625">
        <f>AVERAGE(B1230,C1230)</f>
        <v/>
      </c>
      <c r="B1230" s="555" t="n">
        <v>58300</v>
      </c>
      <c r="C1230" s="555" t="n">
        <v>58350</v>
      </c>
      <c r="D1230" s="556">
        <f>IF($A1230&gt;BOTT_A4,ROUND(BASE_A4+RATE_A4*($A1230-BOTT_A4),0),IF($A1230&gt;BOTT_A3,ROUND(BASE_A3+RATE_A3*($A1230-BOTT_A3),0),IF($A1230&gt;BOTT_A2,ROUND(BASE_A2+RATE_A2*($A1230-BOTT_A2),0),ROUND(RATE_A1*$A1230,0))))</f>
        <v/>
      </c>
      <c r="E1230" s="556">
        <f>IF($A1230&gt;BOTT_B4,ROUND(BASE_B4+RATE_B4*($A1230-BOTT_B4),0),IF($A1230&gt;BOTT_B3,ROUND(BASE_B3+RATE_B3*($A1230-BOTT_B3),0),IF($A1230&gt;BOTT_B2,ROUND(BASE_B2+RATE_B2*($A1230-BOTT_B2),0),ROUND(RATE_B1*$A1230,0))))</f>
        <v/>
      </c>
      <c r="F1230" s="556">
        <f>IF($A1230&gt;BOTT_C4,ROUND(BASE_C4+RATE_C4*($A1230-BOTT_C4),0),IF($A1230&gt;BOTT_C3,ROUND(BASE_C3+RATE_C3*($A1230-BOTT_C3),0),IF($A1230&gt;BOTT_C2,ROUND(BASE_C2+RATE_C2*($A1230-BOTT_C2),0),ROUND(RATE_C1*$A1230,0))))</f>
        <v/>
      </c>
      <c r="G1230" s="556">
        <f>IF($A1230&gt;BOTT_D4,ROUND(BASE_D4+RATE_D4*($A1230-BOTT_D4),0),IF($A1230&gt;BOTT_D3,ROUND(BASE_D3+RATE_D3*($A1230-BOTT_D3),0),IF($A1230&gt;BOTT_D2,ROUND(BASE_D2+RATE_D2*($A1230-BOTT_D2),0),ROUND(RATE_D1*$A1230,0))))</f>
        <v/>
      </c>
    </row>
    <row r="1231" ht="15.75" customHeight="1" s="7635">
      <c r="A1231" s="625">
        <f>AVERAGE(B1231,C1231)</f>
        <v/>
      </c>
      <c r="B1231" s="555" t="n">
        <v>58350</v>
      </c>
      <c r="C1231" s="555" t="n">
        <v>58400</v>
      </c>
      <c r="D1231" s="556">
        <f>IF($A1231&gt;BOTT_A4,ROUND(BASE_A4+RATE_A4*($A1231-BOTT_A4),0),IF($A1231&gt;BOTT_A3,ROUND(BASE_A3+RATE_A3*($A1231-BOTT_A3),0),IF($A1231&gt;BOTT_A2,ROUND(BASE_A2+RATE_A2*($A1231-BOTT_A2),0),ROUND(RATE_A1*$A1231,0))))</f>
        <v/>
      </c>
      <c r="E1231" s="556">
        <f>IF($A1231&gt;BOTT_B4,ROUND(BASE_B4+RATE_B4*($A1231-BOTT_B4),0),IF($A1231&gt;BOTT_B3,ROUND(BASE_B3+RATE_B3*($A1231-BOTT_B3),0),IF($A1231&gt;BOTT_B2,ROUND(BASE_B2+RATE_B2*($A1231-BOTT_B2),0),ROUND(RATE_B1*$A1231,0))))</f>
        <v/>
      </c>
      <c r="F1231" s="556">
        <f>IF($A1231&gt;BOTT_C4,ROUND(BASE_C4+RATE_C4*($A1231-BOTT_C4),0),IF($A1231&gt;BOTT_C3,ROUND(BASE_C3+RATE_C3*($A1231-BOTT_C3),0),IF($A1231&gt;BOTT_C2,ROUND(BASE_C2+RATE_C2*($A1231-BOTT_C2),0),ROUND(RATE_C1*$A1231,0))))</f>
        <v/>
      </c>
      <c r="G1231" s="556">
        <f>IF($A1231&gt;BOTT_D4,ROUND(BASE_D4+RATE_D4*($A1231-BOTT_D4),0),IF($A1231&gt;BOTT_D3,ROUND(BASE_D3+RATE_D3*($A1231-BOTT_D3),0),IF($A1231&gt;BOTT_D2,ROUND(BASE_D2+RATE_D2*($A1231-BOTT_D2),0),ROUND(RATE_D1*$A1231,0))))</f>
        <v/>
      </c>
    </row>
    <row r="1232" ht="15.75" customHeight="1" s="7635">
      <c r="A1232" s="625">
        <f>AVERAGE(B1232,C1232)</f>
        <v/>
      </c>
      <c r="B1232" s="555" t="n">
        <v>58400</v>
      </c>
      <c r="C1232" s="555" t="n">
        <v>58450</v>
      </c>
      <c r="D1232" s="556">
        <f>IF($A1232&gt;BOTT_A4,ROUND(BASE_A4+RATE_A4*($A1232-BOTT_A4),0),IF($A1232&gt;BOTT_A3,ROUND(BASE_A3+RATE_A3*($A1232-BOTT_A3),0),IF($A1232&gt;BOTT_A2,ROUND(BASE_A2+RATE_A2*($A1232-BOTT_A2),0),ROUND(RATE_A1*$A1232,0))))</f>
        <v/>
      </c>
      <c r="E1232" s="556">
        <f>IF($A1232&gt;BOTT_B4,ROUND(BASE_B4+RATE_B4*($A1232-BOTT_B4),0),IF($A1232&gt;BOTT_B3,ROUND(BASE_B3+RATE_B3*($A1232-BOTT_B3),0),IF($A1232&gt;BOTT_B2,ROUND(BASE_B2+RATE_B2*($A1232-BOTT_B2),0),ROUND(RATE_B1*$A1232,0))))</f>
        <v/>
      </c>
      <c r="F1232" s="556">
        <f>IF($A1232&gt;BOTT_C4,ROUND(BASE_C4+RATE_C4*($A1232-BOTT_C4),0),IF($A1232&gt;BOTT_C3,ROUND(BASE_C3+RATE_C3*($A1232-BOTT_C3),0),IF($A1232&gt;BOTT_C2,ROUND(BASE_C2+RATE_C2*($A1232-BOTT_C2),0),ROUND(RATE_C1*$A1232,0))))</f>
        <v/>
      </c>
      <c r="G1232" s="556">
        <f>IF($A1232&gt;BOTT_D4,ROUND(BASE_D4+RATE_D4*($A1232-BOTT_D4),0),IF($A1232&gt;BOTT_D3,ROUND(BASE_D3+RATE_D3*($A1232-BOTT_D3),0),IF($A1232&gt;BOTT_D2,ROUND(BASE_D2+RATE_D2*($A1232-BOTT_D2),0),ROUND(RATE_D1*$A1232,0))))</f>
        <v/>
      </c>
    </row>
    <row r="1233" ht="15.75" customHeight="1" s="7635">
      <c r="A1233" s="625">
        <f>AVERAGE(B1233,C1233)</f>
        <v/>
      </c>
      <c r="B1233" s="555" t="n">
        <v>58450</v>
      </c>
      <c r="C1233" s="555" t="n">
        <v>58500</v>
      </c>
      <c r="D1233" s="556">
        <f>IF($A1233&gt;BOTT_A4,ROUND(BASE_A4+RATE_A4*($A1233-BOTT_A4),0),IF($A1233&gt;BOTT_A3,ROUND(BASE_A3+RATE_A3*($A1233-BOTT_A3),0),IF($A1233&gt;BOTT_A2,ROUND(BASE_A2+RATE_A2*($A1233-BOTT_A2),0),ROUND(RATE_A1*$A1233,0))))</f>
        <v/>
      </c>
      <c r="E1233" s="556">
        <f>IF($A1233&gt;BOTT_B4,ROUND(BASE_B4+RATE_B4*($A1233-BOTT_B4),0),IF($A1233&gt;BOTT_B3,ROUND(BASE_B3+RATE_B3*($A1233-BOTT_B3),0),IF($A1233&gt;BOTT_B2,ROUND(BASE_B2+RATE_B2*($A1233-BOTT_B2),0),ROUND(RATE_B1*$A1233,0))))</f>
        <v/>
      </c>
      <c r="F1233" s="556">
        <f>IF($A1233&gt;BOTT_C4,ROUND(BASE_C4+RATE_C4*($A1233-BOTT_C4),0),IF($A1233&gt;BOTT_C3,ROUND(BASE_C3+RATE_C3*($A1233-BOTT_C3),0),IF($A1233&gt;BOTT_C2,ROUND(BASE_C2+RATE_C2*($A1233-BOTT_C2),0),ROUND(RATE_C1*$A1233,0))))</f>
        <v/>
      </c>
      <c r="G1233" s="556">
        <f>IF($A1233&gt;BOTT_D4,ROUND(BASE_D4+RATE_D4*($A1233-BOTT_D4),0),IF($A1233&gt;BOTT_D3,ROUND(BASE_D3+RATE_D3*($A1233-BOTT_D3),0),IF($A1233&gt;BOTT_D2,ROUND(BASE_D2+RATE_D2*($A1233-BOTT_D2),0),ROUND(RATE_D1*$A1233,0))))</f>
        <v/>
      </c>
    </row>
    <row r="1234" ht="15.75" customHeight="1" s="7635">
      <c r="A1234" s="625">
        <f>AVERAGE(B1234,C1234)</f>
        <v/>
      </c>
      <c r="B1234" s="555" t="n">
        <v>58500</v>
      </c>
      <c r="C1234" s="555" t="n">
        <v>58550</v>
      </c>
      <c r="D1234" s="556">
        <f>IF($A1234&gt;BOTT_A4,ROUND(BASE_A4+RATE_A4*($A1234-BOTT_A4),0),IF($A1234&gt;BOTT_A3,ROUND(BASE_A3+RATE_A3*($A1234-BOTT_A3),0),IF($A1234&gt;BOTT_A2,ROUND(BASE_A2+RATE_A2*($A1234-BOTT_A2),0),ROUND(RATE_A1*$A1234,0))))</f>
        <v/>
      </c>
      <c r="E1234" s="556">
        <f>IF($A1234&gt;BOTT_B4,ROUND(BASE_B4+RATE_B4*($A1234-BOTT_B4),0),IF($A1234&gt;BOTT_B3,ROUND(BASE_B3+RATE_B3*($A1234-BOTT_B3),0),IF($A1234&gt;BOTT_B2,ROUND(BASE_B2+RATE_B2*($A1234-BOTT_B2),0),ROUND(RATE_B1*$A1234,0))))</f>
        <v/>
      </c>
      <c r="F1234" s="556">
        <f>IF($A1234&gt;BOTT_C4,ROUND(BASE_C4+RATE_C4*($A1234-BOTT_C4),0),IF($A1234&gt;BOTT_C3,ROUND(BASE_C3+RATE_C3*($A1234-BOTT_C3),0),IF($A1234&gt;BOTT_C2,ROUND(BASE_C2+RATE_C2*($A1234-BOTT_C2),0),ROUND(RATE_C1*$A1234,0))))</f>
        <v/>
      </c>
      <c r="G1234" s="556">
        <f>IF($A1234&gt;BOTT_D4,ROUND(BASE_D4+RATE_D4*($A1234-BOTT_D4),0),IF($A1234&gt;BOTT_D3,ROUND(BASE_D3+RATE_D3*($A1234-BOTT_D3),0),IF($A1234&gt;BOTT_D2,ROUND(BASE_D2+RATE_D2*($A1234-BOTT_D2),0),ROUND(RATE_D1*$A1234,0))))</f>
        <v/>
      </c>
    </row>
    <row r="1235" ht="15.75" customHeight="1" s="7635">
      <c r="A1235" s="625">
        <f>AVERAGE(B1235,C1235)</f>
        <v/>
      </c>
      <c r="B1235" s="555" t="n">
        <v>58550</v>
      </c>
      <c r="C1235" s="555" t="n">
        <v>58600</v>
      </c>
      <c r="D1235" s="556">
        <f>IF($A1235&gt;BOTT_A4,ROUND(BASE_A4+RATE_A4*($A1235-BOTT_A4),0),IF($A1235&gt;BOTT_A3,ROUND(BASE_A3+RATE_A3*($A1235-BOTT_A3),0),IF($A1235&gt;BOTT_A2,ROUND(BASE_A2+RATE_A2*($A1235-BOTT_A2),0),ROUND(RATE_A1*$A1235,0))))</f>
        <v/>
      </c>
      <c r="E1235" s="556">
        <f>IF($A1235&gt;BOTT_B4,ROUND(BASE_B4+RATE_B4*($A1235-BOTT_B4),0),IF($A1235&gt;BOTT_B3,ROUND(BASE_B3+RATE_B3*($A1235-BOTT_B3),0),IF($A1235&gt;BOTT_B2,ROUND(BASE_B2+RATE_B2*($A1235-BOTT_B2),0),ROUND(RATE_B1*$A1235,0))))</f>
        <v/>
      </c>
      <c r="F1235" s="556">
        <f>IF($A1235&gt;BOTT_C4,ROUND(BASE_C4+RATE_C4*($A1235-BOTT_C4),0),IF($A1235&gt;BOTT_C3,ROUND(BASE_C3+RATE_C3*($A1235-BOTT_C3),0),IF($A1235&gt;BOTT_C2,ROUND(BASE_C2+RATE_C2*($A1235-BOTT_C2),0),ROUND(RATE_C1*$A1235,0))))</f>
        <v/>
      </c>
      <c r="G1235" s="556">
        <f>IF($A1235&gt;BOTT_D4,ROUND(BASE_D4+RATE_D4*($A1235-BOTT_D4),0),IF($A1235&gt;BOTT_D3,ROUND(BASE_D3+RATE_D3*($A1235-BOTT_D3),0),IF($A1235&gt;BOTT_D2,ROUND(BASE_D2+RATE_D2*($A1235-BOTT_D2),0),ROUND(RATE_D1*$A1235,0))))</f>
        <v/>
      </c>
    </row>
    <row r="1236" ht="15.75" customHeight="1" s="7635">
      <c r="A1236" s="625">
        <f>AVERAGE(B1236,C1236)</f>
        <v/>
      </c>
      <c r="B1236" s="555" t="n">
        <v>58600</v>
      </c>
      <c r="C1236" s="555" t="n">
        <v>58650</v>
      </c>
      <c r="D1236" s="556">
        <f>IF($A1236&gt;BOTT_A4,ROUND(BASE_A4+RATE_A4*($A1236-BOTT_A4),0),IF($A1236&gt;BOTT_A3,ROUND(BASE_A3+RATE_A3*($A1236-BOTT_A3),0),IF($A1236&gt;BOTT_A2,ROUND(BASE_A2+RATE_A2*($A1236-BOTT_A2),0),ROUND(RATE_A1*$A1236,0))))</f>
        <v/>
      </c>
      <c r="E1236" s="556">
        <f>IF($A1236&gt;BOTT_B4,ROUND(BASE_B4+RATE_B4*($A1236-BOTT_B4),0),IF($A1236&gt;BOTT_B3,ROUND(BASE_B3+RATE_B3*($A1236-BOTT_B3),0),IF($A1236&gt;BOTT_B2,ROUND(BASE_B2+RATE_B2*($A1236-BOTT_B2),0),ROUND(RATE_B1*$A1236,0))))</f>
        <v/>
      </c>
      <c r="F1236" s="556">
        <f>IF($A1236&gt;BOTT_C4,ROUND(BASE_C4+RATE_C4*($A1236-BOTT_C4),0),IF($A1236&gt;BOTT_C3,ROUND(BASE_C3+RATE_C3*($A1236-BOTT_C3),0),IF($A1236&gt;BOTT_C2,ROUND(BASE_C2+RATE_C2*($A1236-BOTT_C2),0),ROUND(RATE_C1*$A1236,0))))</f>
        <v/>
      </c>
      <c r="G1236" s="556">
        <f>IF($A1236&gt;BOTT_D4,ROUND(BASE_D4+RATE_D4*($A1236-BOTT_D4),0),IF($A1236&gt;BOTT_D3,ROUND(BASE_D3+RATE_D3*($A1236-BOTT_D3),0),IF($A1236&gt;BOTT_D2,ROUND(BASE_D2+RATE_D2*($A1236-BOTT_D2),0),ROUND(RATE_D1*$A1236,0))))</f>
        <v/>
      </c>
    </row>
    <row r="1237" ht="15.75" customHeight="1" s="7635">
      <c r="A1237" s="625">
        <f>AVERAGE(B1237,C1237)</f>
        <v/>
      </c>
      <c r="B1237" s="555" t="n">
        <v>58650</v>
      </c>
      <c r="C1237" s="555" t="n">
        <v>58700</v>
      </c>
      <c r="D1237" s="556">
        <f>IF($A1237&gt;BOTT_A4,ROUND(BASE_A4+RATE_A4*($A1237-BOTT_A4),0),IF($A1237&gt;BOTT_A3,ROUND(BASE_A3+RATE_A3*($A1237-BOTT_A3),0),IF($A1237&gt;BOTT_A2,ROUND(BASE_A2+RATE_A2*($A1237-BOTT_A2),0),ROUND(RATE_A1*$A1237,0))))</f>
        <v/>
      </c>
      <c r="E1237" s="556">
        <f>IF($A1237&gt;BOTT_B4,ROUND(BASE_B4+RATE_B4*($A1237-BOTT_B4),0),IF($A1237&gt;BOTT_B3,ROUND(BASE_B3+RATE_B3*($A1237-BOTT_B3),0),IF($A1237&gt;BOTT_B2,ROUND(BASE_B2+RATE_B2*($A1237-BOTT_B2),0),ROUND(RATE_B1*$A1237,0))))</f>
        <v/>
      </c>
      <c r="F1237" s="556">
        <f>IF($A1237&gt;BOTT_C4,ROUND(BASE_C4+RATE_C4*($A1237-BOTT_C4),0),IF($A1237&gt;BOTT_C3,ROUND(BASE_C3+RATE_C3*($A1237-BOTT_C3),0),IF($A1237&gt;BOTT_C2,ROUND(BASE_C2+RATE_C2*($A1237-BOTT_C2),0),ROUND(RATE_C1*$A1237,0))))</f>
        <v/>
      </c>
      <c r="G1237" s="556">
        <f>IF($A1237&gt;BOTT_D4,ROUND(BASE_D4+RATE_D4*($A1237-BOTT_D4),0),IF($A1237&gt;BOTT_D3,ROUND(BASE_D3+RATE_D3*($A1237-BOTT_D3),0),IF($A1237&gt;BOTT_D2,ROUND(BASE_D2+RATE_D2*($A1237-BOTT_D2),0),ROUND(RATE_D1*$A1237,0))))</f>
        <v/>
      </c>
    </row>
    <row r="1238" ht="15.75" customHeight="1" s="7635">
      <c r="A1238" s="625">
        <f>AVERAGE(B1238,C1238)</f>
        <v/>
      </c>
      <c r="B1238" s="555" t="n">
        <v>58700</v>
      </c>
      <c r="C1238" s="555" t="n">
        <v>58750</v>
      </c>
      <c r="D1238" s="556">
        <f>IF($A1238&gt;BOTT_A4,ROUND(BASE_A4+RATE_A4*($A1238-BOTT_A4),0),IF($A1238&gt;BOTT_A3,ROUND(BASE_A3+RATE_A3*($A1238-BOTT_A3),0),IF($A1238&gt;BOTT_A2,ROUND(BASE_A2+RATE_A2*($A1238-BOTT_A2),0),ROUND(RATE_A1*$A1238,0))))</f>
        <v/>
      </c>
      <c r="E1238" s="556">
        <f>IF($A1238&gt;BOTT_B4,ROUND(BASE_B4+RATE_B4*($A1238-BOTT_B4),0),IF($A1238&gt;BOTT_B3,ROUND(BASE_B3+RATE_B3*($A1238-BOTT_B3),0),IF($A1238&gt;BOTT_B2,ROUND(BASE_B2+RATE_B2*($A1238-BOTT_B2),0),ROUND(RATE_B1*$A1238,0))))</f>
        <v/>
      </c>
      <c r="F1238" s="556">
        <f>IF($A1238&gt;BOTT_C4,ROUND(BASE_C4+RATE_C4*($A1238-BOTT_C4),0),IF($A1238&gt;BOTT_C3,ROUND(BASE_C3+RATE_C3*($A1238-BOTT_C3),0),IF($A1238&gt;BOTT_C2,ROUND(BASE_C2+RATE_C2*($A1238-BOTT_C2),0),ROUND(RATE_C1*$A1238,0))))</f>
        <v/>
      </c>
      <c r="G1238" s="556">
        <f>IF($A1238&gt;BOTT_D4,ROUND(BASE_D4+RATE_D4*($A1238-BOTT_D4),0),IF($A1238&gt;BOTT_D3,ROUND(BASE_D3+RATE_D3*($A1238-BOTT_D3),0),IF($A1238&gt;BOTT_D2,ROUND(BASE_D2+RATE_D2*($A1238-BOTT_D2),0),ROUND(RATE_D1*$A1238,0))))</f>
        <v/>
      </c>
    </row>
    <row r="1239" ht="15.75" customHeight="1" s="7635">
      <c r="A1239" s="625">
        <f>AVERAGE(B1239,C1239)</f>
        <v/>
      </c>
      <c r="B1239" s="555" t="n">
        <v>58750</v>
      </c>
      <c r="C1239" s="555" t="n">
        <v>58800</v>
      </c>
      <c r="D1239" s="556">
        <f>IF($A1239&gt;BOTT_A4,ROUND(BASE_A4+RATE_A4*($A1239-BOTT_A4),0),IF($A1239&gt;BOTT_A3,ROUND(BASE_A3+RATE_A3*($A1239-BOTT_A3),0),IF($A1239&gt;BOTT_A2,ROUND(BASE_A2+RATE_A2*($A1239-BOTT_A2),0),ROUND(RATE_A1*$A1239,0))))</f>
        <v/>
      </c>
      <c r="E1239" s="556">
        <f>IF($A1239&gt;BOTT_B4,ROUND(BASE_B4+RATE_B4*($A1239-BOTT_B4),0),IF($A1239&gt;BOTT_B3,ROUND(BASE_B3+RATE_B3*($A1239-BOTT_B3),0),IF($A1239&gt;BOTT_B2,ROUND(BASE_B2+RATE_B2*($A1239-BOTT_B2),0),ROUND(RATE_B1*$A1239,0))))</f>
        <v/>
      </c>
      <c r="F1239" s="556">
        <f>IF($A1239&gt;BOTT_C4,ROUND(BASE_C4+RATE_C4*($A1239-BOTT_C4),0),IF($A1239&gt;BOTT_C3,ROUND(BASE_C3+RATE_C3*($A1239-BOTT_C3),0),IF($A1239&gt;BOTT_C2,ROUND(BASE_C2+RATE_C2*($A1239-BOTT_C2),0),ROUND(RATE_C1*$A1239,0))))</f>
        <v/>
      </c>
      <c r="G1239" s="556">
        <f>IF($A1239&gt;BOTT_D4,ROUND(BASE_D4+RATE_D4*($A1239-BOTT_D4),0),IF($A1239&gt;BOTT_D3,ROUND(BASE_D3+RATE_D3*($A1239-BOTT_D3),0),IF($A1239&gt;BOTT_D2,ROUND(BASE_D2+RATE_D2*($A1239-BOTT_D2),0),ROUND(RATE_D1*$A1239,0))))</f>
        <v/>
      </c>
    </row>
    <row r="1240" ht="15.75" customHeight="1" s="7635">
      <c r="A1240" s="625">
        <f>AVERAGE(B1240,C1240)</f>
        <v/>
      </c>
      <c r="B1240" s="555" t="n">
        <v>58800</v>
      </c>
      <c r="C1240" s="555" t="n">
        <v>58850</v>
      </c>
      <c r="D1240" s="556">
        <f>IF($A1240&gt;BOTT_A4,ROUND(BASE_A4+RATE_A4*($A1240-BOTT_A4),0),IF($A1240&gt;BOTT_A3,ROUND(BASE_A3+RATE_A3*($A1240-BOTT_A3),0),IF($A1240&gt;BOTT_A2,ROUND(BASE_A2+RATE_A2*($A1240-BOTT_A2),0),ROUND(RATE_A1*$A1240,0))))</f>
        <v/>
      </c>
      <c r="E1240" s="556">
        <f>IF($A1240&gt;BOTT_B4,ROUND(BASE_B4+RATE_B4*($A1240-BOTT_B4),0),IF($A1240&gt;BOTT_B3,ROUND(BASE_B3+RATE_B3*($A1240-BOTT_B3),0),IF($A1240&gt;BOTT_B2,ROUND(BASE_B2+RATE_B2*($A1240-BOTT_B2),0),ROUND(RATE_B1*$A1240,0))))</f>
        <v/>
      </c>
      <c r="F1240" s="556">
        <f>IF($A1240&gt;BOTT_C4,ROUND(BASE_C4+RATE_C4*($A1240-BOTT_C4),0),IF($A1240&gt;BOTT_C3,ROUND(BASE_C3+RATE_C3*($A1240-BOTT_C3),0),IF($A1240&gt;BOTT_C2,ROUND(BASE_C2+RATE_C2*($A1240-BOTT_C2),0),ROUND(RATE_C1*$A1240,0))))</f>
        <v/>
      </c>
      <c r="G1240" s="556">
        <f>IF($A1240&gt;BOTT_D4,ROUND(BASE_D4+RATE_D4*($A1240-BOTT_D4),0),IF($A1240&gt;BOTT_D3,ROUND(BASE_D3+RATE_D3*($A1240-BOTT_D3),0),IF($A1240&gt;BOTT_D2,ROUND(BASE_D2+RATE_D2*($A1240-BOTT_D2),0),ROUND(RATE_D1*$A1240,0))))</f>
        <v/>
      </c>
    </row>
    <row r="1241" ht="15.75" customHeight="1" s="7635">
      <c r="A1241" s="625">
        <f>AVERAGE(B1241,C1241)</f>
        <v/>
      </c>
      <c r="B1241" s="555" t="n">
        <v>58850</v>
      </c>
      <c r="C1241" s="555" t="n">
        <v>58900</v>
      </c>
      <c r="D1241" s="556">
        <f>IF($A1241&gt;BOTT_A4,ROUND(BASE_A4+RATE_A4*($A1241-BOTT_A4),0),IF($A1241&gt;BOTT_A3,ROUND(BASE_A3+RATE_A3*($A1241-BOTT_A3),0),IF($A1241&gt;BOTT_A2,ROUND(BASE_A2+RATE_A2*($A1241-BOTT_A2),0),ROUND(RATE_A1*$A1241,0))))</f>
        <v/>
      </c>
      <c r="E1241" s="556">
        <f>IF($A1241&gt;BOTT_B4,ROUND(BASE_B4+RATE_B4*($A1241-BOTT_B4),0),IF($A1241&gt;BOTT_B3,ROUND(BASE_B3+RATE_B3*($A1241-BOTT_B3),0),IF($A1241&gt;BOTT_B2,ROUND(BASE_B2+RATE_B2*($A1241-BOTT_B2),0),ROUND(RATE_B1*$A1241,0))))</f>
        <v/>
      </c>
      <c r="F1241" s="556">
        <f>IF($A1241&gt;BOTT_C4,ROUND(BASE_C4+RATE_C4*($A1241-BOTT_C4),0),IF($A1241&gt;BOTT_C3,ROUND(BASE_C3+RATE_C3*($A1241-BOTT_C3),0),IF($A1241&gt;BOTT_C2,ROUND(BASE_C2+RATE_C2*($A1241-BOTT_C2),0),ROUND(RATE_C1*$A1241,0))))</f>
        <v/>
      </c>
      <c r="G1241" s="556">
        <f>IF($A1241&gt;BOTT_D4,ROUND(BASE_D4+RATE_D4*($A1241-BOTT_D4),0),IF($A1241&gt;BOTT_D3,ROUND(BASE_D3+RATE_D3*($A1241-BOTT_D3),0),IF($A1241&gt;BOTT_D2,ROUND(BASE_D2+RATE_D2*($A1241-BOTT_D2),0),ROUND(RATE_D1*$A1241,0))))</f>
        <v/>
      </c>
    </row>
    <row r="1242" ht="15.75" customHeight="1" s="7635">
      <c r="A1242" s="625">
        <f>AVERAGE(B1242,C1242)</f>
        <v/>
      </c>
      <c r="B1242" s="555" t="n">
        <v>58900</v>
      </c>
      <c r="C1242" s="555" t="n">
        <v>58950</v>
      </c>
      <c r="D1242" s="556">
        <f>IF($A1242&gt;BOTT_A4,ROUND(BASE_A4+RATE_A4*($A1242-BOTT_A4),0),IF($A1242&gt;BOTT_A3,ROUND(BASE_A3+RATE_A3*($A1242-BOTT_A3),0),IF($A1242&gt;BOTT_A2,ROUND(BASE_A2+RATE_A2*($A1242-BOTT_A2),0),ROUND(RATE_A1*$A1242,0))))</f>
        <v/>
      </c>
      <c r="E1242" s="556">
        <f>IF($A1242&gt;BOTT_B4,ROUND(BASE_B4+RATE_B4*($A1242-BOTT_B4),0),IF($A1242&gt;BOTT_B3,ROUND(BASE_B3+RATE_B3*($A1242-BOTT_B3),0),IF($A1242&gt;BOTT_B2,ROUND(BASE_B2+RATE_B2*($A1242-BOTT_B2),0),ROUND(RATE_B1*$A1242,0))))</f>
        <v/>
      </c>
      <c r="F1242" s="556">
        <f>IF($A1242&gt;BOTT_C4,ROUND(BASE_C4+RATE_C4*($A1242-BOTT_C4),0),IF($A1242&gt;BOTT_C3,ROUND(BASE_C3+RATE_C3*($A1242-BOTT_C3),0),IF($A1242&gt;BOTT_C2,ROUND(BASE_C2+RATE_C2*($A1242-BOTT_C2),0),ROUND(RATE_C1*$A1242,0))))</f>
        <v/>
      </c>
      <c r="G1242" s="556">
        <f>IF($A1242&gt;BOTT_D4,ROUND(BASE_D4+RATE_D4*($A1242-BOTT_D4),0),IF($A1242&gt;BOTT_D3,ROUND(BASE_D3+RATE_D3*($A1242-BOTT_D3),0),IF($A1242&gt;BOTT_D2,ROUND(BASE_D2+RATE_D2*($A1242-BOTT_D2),0),ROUND(RATE_D1*$A1242,0))))</f>
        <v/>
      </c>
    </row>
    <row r="1243" ht="15.75" customHeight="1" s="7635">
      <c r="A1243" s="625">
        <f>AVERAGE(B1243,C1243)</f>
        <v/>
      </c>
      <c r="B1243" s="555" t="n">
        <v>58950</v>
      </c>
      <c r="C1243" s="555" t="n">
        <v>59000</v>
      </c>
      <c r="D1243" s="556">
        <f>IF($A1243&gt;BOTT_A4,ROUND(BASE_A4+RATE_A4*($A1243-BOTT_A4),0),IF($A1243&gt;BOTT_A3,ROUND(BASE_A3+RATE_A3*($A1243-BOTT_A3),0),IF($A1243&gt;BOTT_A2,ROUND(BASE_A2+RATE_A2*($A1243-BOTT_A2),0),ROUND(RATE_A1*$A1243,0))))</f>
        <v/>
      </c>
      <c r="E1243" s="556">
        <f>IF($A1243&gt;BOTT_B4,ROUND(BASE_B4+RATE_B4*($A1243-BOTT_B4),0),IF($A1243&gt;BOTT_B3,ROUND(BASE_B3+RATE_B3*($A1243-BOTT_B3),0),IF($A1243&gt;BOTT_B2,ROUND(BASE_B2+RATE_B2*($A1243-BOTT_B2),0),ROUND(RATE_B1*$A1243,0))))</f>
        <v/>
      </c>
      <c r="F1243" s="556">
        <f>IF($A1243&gt;BOTT_C4,ROUND(BASE_C4+RATE_C4*($A1243-BOTT_C4),0),IF($A1243&gt;BOTT_C3,ROUND(BASE_C3+RATE_C3*($A1243-BOTT_C3),0),IF($A1243&gt;BOTT_C2,ROUND(BASE_C2+RATE_C2*($A1243-BOTT_C2),0),ROUND(RATE_C1*$A1243,0))))</f>
        <v/>
      </c>
      <c r="G1243" s="556">
        <f>IF($A1243&gt;BOTT_D4,ROUND(BASE_D4+RATE_D4*($A1243-BOTT_D4),0),IF($A1243&gt;BOTT_D3,ROUND(BASE_D3+RATE_D3*($A1243-BOTT_D3),0),IF($A1243&gt;BOTT_D2,ROUND(BASE_D2+RATE_D2*($A1243-BOTT_D2),0),ROUND(RATE_D1*$A1243,0))))</f>
        <v/>
      </c>
    </row>
    <row r="1244" ht="15.75" customHeight="1" s="7635">
      <c r="A1244" s="625">
        <f>AVERAGE(B1244,C1244)</f>
        <v/>
      </c>
      <c r="B1244" s="555" t="n">
        <v>59000</v>
      </c>
      <c r="C1244" s="555" t="n">
        <v>59050</v>
      </c>
      <c r="D1244" s="556">
        <f>IF($A1244&gt;BOTT_A4,ROUND(BASE_A4+RATE_A4*($A1244-BOTT_A4),0),IF($A1244&gt;BOTT_A3,ROUND(BASE_A3+RATE_A3*($A1244-BOTT_A3),0),IF($A1244&gt;BOTT_A2,ROUND(BASE_A2+RATE_A2*($A1244-BOTT_A2),0),ROUND(RATE_A1*$A1244,0))))</f>
        <v/>
      </c>
      <c r="E1244" s="556">
        <f>IF($A1244&gt;BOTT_B4,ROUND(BASE_B4+RATE_B4*($A1244-BOTT_B4),0),IF($A1244&gt;BOTT_B3,ROUND(BASE_B3+RATE_B3*($A1244-BOTT_B3),0),IF($A1244&gt;BOTT_B2,ROUND(BASE_B2+RATE_B2*($A1244-BOTT_B2),0),ROUND(RATE_B1*$A1244,0))))</f>
        <v/>
      </c>
      <c r="F1244" s="556">
        <f>IF($A1244&gt;BOTT_C4,ROUND(BASE_C4+RATE_C4*($A1244-BOTT_C4),0),IF($A1244&gt;BOTT_C3,ROUND(BASE_C3+RATE_C3*($A1244-BOTT_C3),0),IF($A1244&gt;BOTT_C2,ROUND(BASE_C2+RATE_C2*($A1244-BOTT_C2),0),ROUND(RATE_C1*$A1244,0))))</f>
        <v/>
      </c>
      <c r="G1244" s="556">
        <f>IF($A1244&gt;BOTT_D4,ROUND(BASE_D4+RATE_D4*($A1244-BOTT_D4),0),IF($A1244&gt;BOTT_D3,ROUND(BASE_D3+RATE_D3*($A1244-BOTT_D3),0),IF($A1244&gt;BOTT_D2,ROUND(BASE_D2+RATE_D2*($A1244-BOTT_D2),0),ROUND(RATE_D1*$A1244,0))))</f>
        <v/>
      </c>
    </row>
    <row r="1245" ht="15.75" customHeight="1" s="7635">
      <c r="A1245" s="625">
        <f>AVERAGE(B1245,C1245)</f>
        <v/>
      </c>
      <c r="B1245" s="555" t="n">
        <v>59050</v>
      </c>
      <c r="C1245" s="555" t="n">
        <v>59100</v>
      </c>
      <c r="D1245" s="556">
        <f>IF($A1245&gt;BOTT_A4,ROUND(BASE_A4+RATE_A4*($A1245-BOTT_A4),0),IF($A1245&gt;BOTT_A3,ROUND(BASE_A3+RATE_A3*($A1245-BOTT_A3),0),IF($A1245&gt;BOTT_A2,ROUND(BASE_A2+RATE_A2*($A1245-BOTT_A2),0),ROUND(RATE_A1*$A1245,0))))</f>
        <v/>
      </c>
      <c r="E1245" s="556">
        <f>IF($A1245&gt;BOTT_B4,ROUND(BASE_B4+RATE_B4*($A1245-BOTT_B4),0),IF($A1245&gt;BOTT_B3,ROUND(BASE_B3+RATE_B3*($A1245-BOTT_B3),0),IF($A1245&gt;BOTT_B2,ROUND(BASE_B2+RATE_B2*($A1245-BOTT_B2),0),ROUND(RATE_B1*$A1245,0))))</f>
        <v/>
      </c>
      <c r="F1245" s="556">
        <f>IF($A1245&gt;BOTT_C4,ROUND(BASE_C4+RATE_C4*($A1245-BOTT_C4),0),IF($A1245&gt;BOTT_C3,ROUND(BASE_C3+RATE_C3*($A1245-BOTT_C3),0),IF($A1245&gt;BOTT_C2,ROUND(BASE_C2+RATE_C2*($A1245-BOTT_C2),0),ROUND(RATE_C1*$A1245,0))))</f>
        <v/>
      </c>
      <c r="G1245" s="556">
        <f>IF($A1245&gt;BOTT_D4,ROUND(BASE_D4+RATE_D4*($A1245-BOTT_D4),0),IF($A1245&gt;BOTT_D3,ROUND(BASE_D3+RATE_D3*($A1245-BOTT_D3),0),IF($A1245&gt;BOTT_D2,ROUND(BASE_D2+RATE_D2*($A1245-BOTT_D2),0),ROUND(RATE_D1*$A1245,0))))</f>
        <v/>
      </c>
    </row>
    <row r="1246" ht="15.75" customHeight="1" s="7635">
      <c r="A1246" s="625">
        <f>AVERAGE(B1246,C1246)</f>
        <v/>
      </c>
      <c r="B1246" s="555" t="n">
        <v>59100</v>
      </c>
      <c r="C1246" s="555" t="n">
        <v>59150</v>
      </c>
      <c r="D1246" s="556">
        <f>IF($A1246&gt;BOTT_A4,ROUND(BASE_A4+RATE_A4*($A1246-BOTT_A4),0),IF($A1246&gt;BOTT_A3,ROUND(BASE_A3+RATE_A3*($A1246-BOTT_A3),0),IF($A1246&gt;BOTT_A2,ROUND(BASE_A2+RATE_A2*($A1246-BOTT_A2),0),ROUND(RATE_A1*$A1246,0))))</f>
        <v/>
      </c>
      <c r="E1246" s="556">
        <f>IF($A1246&gt;BOTT_B4,ROUND(BASE_B4+RATE_B4*($A1246-BOTT_B4),0),IF($A1246&gt;BOTT_B3,ROUND(BASE_B3+RATE_B3*($A1246-BOTT_B3),0),IF($A1246&gt;BOTT_B2,ROUND(BASE_B2+RATE_B2*($A1246-BOTT_B2),0),ROUND(RATE_B1*$A1246,0))))</f>
        <v/>
      </c>
      <c r="F1246" s="556">
        <f>IF($A1246&gt;BOTT_C4,ROUND(BASE_C4+RATE_C4*($A1246-BOTT_C4),0),IF($A1246&gt;BOTT_C3,ROUND(BASE_C3+RATE_C3*($A1246-BOTT_C3),0),IF($A1246&gt;BOTT_C2,ROUND(BASE_C2+RATE_C2*($A1246-BOTT_C2),0),ROUND(RATE_C1*$A1246,0))))</f>
        <v/>
      </c>
      <c r="G1246" s="556">
        <f>IF($A1246&gt;BOTT_D4,ROUND(BASE_D4+RATE_D4*($A1246-BOTT_D4),0),IF($A1246&gt;BOTT_D3,ROUND(BASE_D3+RATE_D3*($A1246-BOTT_D3),0),IF($A1246&gt;BOTT_D2,ROUND(BASE_D2+RATE_D2*($A1246-BOTT_D2),0),ROUND(RATE_D1*$A1246,0))))</f>
        <v/>
      </c>
    </row>
    <row r="1247" ht="15.75" customHeight="1" s="7635">
      <c r="A1247" s="625">
        <f>AVERAGE(B1247,C1247)</f>
        <v/>
      </c>
      <c r="B1247" s="555" t="n">
        <v>59150</v>
      </c>
      <c r="C1247" s="555" t="n">
        <v>59200</v>
      </c>
      <c r="D1247" s="556">
        <f>IF($A1247&gt;BOTT_A4,ROUND(BASE_A4+RATE_A4*($A1247-BOTT_A4),0),IF($A1247&gt;BOTT_A3,ROUND(BASE_A3+RATE_A3*($A1247-BOTT_A3),0),IF($A1247&gt;BOTT_A2,ROUND(BASE_A2+RATE_A2*($A1247-BOTT_A2),0),ROUND(RATE_A1*$A1247,0))))</f>
        <v/>
      </c>
      <c r="E1247" s="556">
        <f>IF($A1247&gt;BOTT_B4,ROUND(BASE_B4+RATE_B4*($A1247-BOTT_B4),0),IF($A1247&gt;BOTT_B3,ROUND(BASE_B3+RATE_B3*($A1247-BOTT_B3),0),IF($A1247&gt;BOTT_B2,ROUND(BASE_B2+RATE_B2*($A1247-BOTT_B2),0),ROUND(RATE_B1*$A1247,0))))</f>
        <v/>
      </c>
      <c r="F1247" s="556">
        <f>IF($A1247&gt;BOTT_C4,ROUND(BASE_C4+RATE_C4*($A1247-BOTT_C4),0),IF($A1247&gt;BOTT_C3,ROUND(BASE_C3+RATE_C3*($A1247-BOTT_C3),0),IF($A1247&gt;BOTT_C2,ROUND(BASE_C2+RATE_C2*($A1247-BOTT_C2),0),ROUND(RATE_C1*$A1247,0))))</f>
        <v/>
      </c>
      <c r="G1247" s="556">
        <f>IF($A1247&gt;BOTT_D4,ROUND(BASE_D4+RATE_D4*($A1247-BOTT_D4),0),IF($A1247&gt;BOTT_D3,ROUND(BASE_D3+RATE_D3*($A1247-BOTT_D3),0),IF($A1247&gt;BOTT_D2,ROUND(BASE_D2+RATE_D2*($A1247-BOTT_D2),0),ROUND(RATE_D1*$A1247,0))))</f>
        <v/>
      </c>
    </row>
    <row r="1248" ht="15.75" customHeight="1" s="7635">
      <c r="A1248" s="625">
        <f>AVERAGE(B1248,C1248)</f>
        <v/>
      </c>
      <c r="B1248" s="555" t="n">
        <v>59200</v>
      </c>
      <c r="C1248" s="555" t="n">
        <v>59250</v>
      </c>
      <c r="D1248" s="556">
        <f>IF($A1248&gt;BOTT_A4,ROUND(BASE_A4+RATE_A4*($A1248-BOTT_A4),0),IF($A1248&gt;BOTT_A3,ROUND(BASE_A3+RATE_A3*($A1248-BOTT_A3),0),IF($A1248&gt;BOTT_A2,ROUND(BASE_A2+RATE_A2*($A1248-BOTT_A2),0),ROUND(RATE_A1*$A1248,0))))</f>
        <v/>
      </c>
      <c r="E1248" s="556">
        <f>IF($A1248&gt;BOTT_B4,ROUND(BASE_B4+RATE_B4*($A1248-BOTT_B4),0),IF($A1248&gt;BOTT_B3,ROUND(BASE_B3+RATE_B3*($A1248-BOTT_B3),0),IF($A1248&gt;BOTT_B2,ROUND(BASE_B2+RATE_B2*($A1248-BOTT_B2),0),ROUND(RATE_B1*$A1248,0))))</f>
        <v/>
      </c>
      <c r="F1248" s="556">
        <f>IF($A1248&gt;BOTT_C4,ROUND(BASE_C4+RATE_C4*($A1248-BOTT_C4),0),IF($A1248&gt;BOTT_C3,ROUND(BASE_C3+RATE_C3*($A1248-BOTT_C3),0),IF($A1248&gt;BOTT_C2,ROUND(BASE_C2+RATE_C2*($A1248-BOTT_C2),0),ROUND(RATE_C1*$A1248,0))))</f>
        <v/>
      </c>
      <c r="G1248" s="556">
        <f>IF($A1248&gt;BOTT_D4,ROUND(BASE_D4+RATE_D4*($A1248-BOTT_D4),0),IF($A1248&gt;BOTT_D3,ROUND(BASE_D3+RATE_D3*($A1248-BOTT_D3),0),IF($A1248&gt;BOTT_D2,ROUND(BASE_D2+RATE_D2*($A1248-BOTT_D2),0),ROUND(RATE_D1*$A1248,0))))</f>
        <v/>
      </c>
    </row>
    <row r="1249" ht="15.75" customHeight="1" s="7635">
      <c r="A1249" s="625">
        <f>AVERAGE(B1249,C1249)</f>
        <v/>
      </c>
      <c r="B1249" s="555" t="n">
        <v>59250</v>
      </c>
      <c r="C1249" s="555" t="n">
        <v>59300</v>
      </c>
      <c r="D1249" s="556">
        <f>IF($A1249&gt;BOTT_A4,ROUND(BASE_A4+RATE_A4*($A1249-BOTT_A4),0),IF($A1249&gt;BOTT_A3,ROUND(BASE_A3+RATE_A3*($A1249-BOTT_A3),0),IF($A1249&gt;BOTT_A2,ROUND(BASE_A2+RATE_A2*($A1249-BOTT_A2),0),ROUND(RATE_A1*$A1249,0))))</f>
        <v/>
      </c>
      <c r="E1249" s="556">
        <f>IF($A1249&gt;BOTT_B4,ROUND(BASE_B4+RATE_B4*($A1249-BOTT_B4),0),IF($A1249&gt;BOTT_B3,ROUND(BASE_B3+RATE_B3*($A1249-BOTT_B3),0),IF($A1249&gt;BOTT_B2,ROUND(BASE_B2+RATE_B2*($A1249-BOTT_B2),0),ROUND(RATE_B1*$A1249,0))))</f>
        <v/>
      </c>
      <c r="F1249" s="556">
        <f>IF($A1249&gt;BOTT_C4,ROUND(BASE_C4+RATE_C4*($A1249-BOTT_C4),0),IF($A1249&gt;BOTT_C3,ROUND(BASE_C3+RATE_C3*($A1249-BOTT_C3),0),IF($A1249&gt;BOTT_C2,ROUND(BASE_C2+RATE_C2*($A1249-BOTT_C2),0),ROUND(RATE_C1*$A1249,0))))</f>
        <v/>
      </c>
      <c r="G1249" s="556">
        <f>IF($A1249&gt;BOTT_D4,ROUND(BASE_D4+RATE_D4*($A1249-BOTT_D4),0),IF($A1249&gt;BOTT_D3,ROUND(BASE_D3+RATE_D3*($A1249-BOTT_D3),0),IF($A1249&gt;BOTT_D2,ROUND(BASE_D2+RATE_D2*($A1249-BOTT_D2),0),ROUND(RATE_D1*$A1249,0))))</f>
        <v/>
      </c>
    </row>
    <row r="1250" ht="15.75" customHeight="1" s="7635">
      <c r="A1250" s="625">
        <f>AVERAGE(B1250,C1250)</f>
        <v/>
      </c>
      <c r="B1250" s="555" t="n">
        <v>59300</v>
      </c>
      <c r="C1250" s="555" t="n">
        <v>59350</v>
      </c>
      <c r="D1250" s="556">
        <f>IF($A1250&gt;BOTT_A4,ROUND(BASE_A4+RATE_A4*($A1250-BOTT_A4),0),IF($A1250&gt;BOTT_A3,ROUND(BASE_A3+RATE_A3*($A1250-BOTT_A3),0),IF($A1250&gt;BOTT_A2,ROUND(BASE_A2+RATE_A2*($A1250-BOTT_A2),0),ROUND(RATE_A1*$A1250,0))))</f>
        <v/>
      </c>
      <c r="E1250" s="556">
        <f>IF($A1250&gt;BOTT_B4,ROUND(BASE_B4+RATE_B4*($A1250-BOTT_B4),0),IF($A1250&gt;BOTT_B3,ROUND(BASE_B3+RATE_B3*($A1250-BOTT_B3),0),IF($A1250&gt;BOTT_B2,ROUND(BASE_B2+RATE_B2*($A1250-BOTT_B2),0),ROUND(RATE_B1*$A1250,0))))</f>
        <v/>
      </c>
      <c r="F1250" s="556">
        <f>IF($A1250&gt;BOTT_C4,ROUND(BASE_C4+RATE_C4*($A1250-BOTT_C4),0),IF($A1250&gt;BOTT_C3,ROUND(BASE_C3+RATE_C3*($A1250-BOTT_C3),0),IF($A1250&gt;BOTT_C2,ROUND(BASE_C2+RATE_C2*($A1250-BOTT_C2),0),ROUND(RATE_C1*$A1250,0))))</f>
        <v/>
      </c>
      <c r="G1250" s="556">
        <f>IF($A1250&gt;BOTT_D4,ROUND(BASE_D4+RATE_D4*($A1250-BOTT_D4),0),IF($A1250&gt;BOTT_D3,ROUND(BASE_D3+RATE_D3*($A1250-BOTT_D3),0),IF($A1250&gt;BOTT_D2,ROUND(BASE_D2+RATE_D2*($A1250-BOTT_D2),0),ROUND(RATE_D1*$A1250,0))))</f>
        <v/>
      </c>
    </row>
    <row r="1251" ht="15.75" customHeight="1" s="7635">
      <c r="A1251" s="625">
        <f>AVERAGE(B1251,C1251)</f>
        <v/>
      </c>
      <c r="B1251" s="555" t="n">
        <v>59350</v>
      </c>
      <c r="C1251" s="555" t="n">
        <v>59400</v>
      </c>
      <c r="D1251" s="556">
        <f>IF($A1251&gt;BOTT_A4,ROUND(BASE_A4+RATE_A4*($A1251-BOTT_A4),0),IF($A1251&gt;BOTT_A3,ROUND(BASE_A3+RATE_A3*($A1251-BOTT_A3),0),IF($A1251&gt;BOTT_A2,ROUND(BASE_A2+RATE_A2*($A1251-BOTT_A2),0),ROUND(RATE_A1*$A1251,0))))</f>
        <v/>
      </c>
      <c r="E1251" s="556">
        <f>IF($A1251&gt;BOTT_B4,ROUND(BASE_B4+RATE_B4*($A1251-BOTT_B4),0),IF($A1251&gt;BOTT_B3,ROUND(BASE_B3+RATE_B3*($A1251-BOTT_B3),0),IF($A1251&gt;BOTT_B2,ROUND(BASE_B2+RATE_B2*($A1251-BOTT_B2),0),ROUND(RATE_B1*$A1251,0))))</f>
        <v/>
      </c>
      <c r="F1251" s="556">
        <f>IF($A1251&gt;BOTT_C4,ROUND(BASE_C4+RATE_C4*($A1251-BOTT_C4),0),IF($A1251&gt;BOTT_C3,ROUND(BASE_C3+RATE_C3*($A1251-BOTT_C3),0),IF($A1251&gt;BOTT_C2,ROUND(BASE_C2+RATE_C2*($A1251-BOTT_C2),0),ROUND(RATE_C1*$A1251,0))))</f>
        <v/>
      </c>
      <c r="G1251" s="556">
        <f>IF($A1251&gt;BOTT_D4,ROUND(BASE_D4+RATE_D4*($A1251-BOTT_D4),0),IF($A1251&gt;BOTT_D3,ROUND(BASE_D3+RATE_D3*($A1251-BOTT_D3),0),IF($A1251&gt;BOTT_D2,ROUND(BASE_D2+RATE_D2*($A1251-BOTT_D2),0),ROUND(RATE_D1*$A1251,0))))</f>
        <v/>
      </c>
    </row>
    <row r="1252" ht="15.75" customHeight="1" s="7635">
      <c r="A1252" s="625">
        <f>AVERAGE(B1252,C1252)</f>
        <v/>
      </c>
      <c r="B1252" s="555" t="n">
        <v>59400</v>
      </c>
      <c r="C1252" s="555" t="n">
        <v>59450</v>
      </c>
      <c r="D1252" s="556">
        <f>IF($A1252&gt;BOTT_A4,ROUND(BASE_A4+RATE_A4*($A1252-BOTT_A4),0),IF($A1252&gt;BOTT_A3,ROUND(BASE_A3+RATE_A3*($A1252-BOTT_A3),0),IF($A1252&gt;BOTT_A2,ROUND(BASE_A2+RATE_A2*($A1252-BOTT_A2),0),ROUND(RATE_A1*$A1252,0))))</f>
        <v/>
      </c>
      <c r="E1252" s="556">
        <f>IF($A1252&gt;BOTT_B4,ROUND(BASE_B4+RATE_B4*($A1252-BOTT_B4),0),IF($A1252&gt;BOTT_B3,ROUND(BASE_B3+RATE_B3*($A1252-BOTT_B3),0),IF($A1252&gt;BOTT_B2,ROUND(BASE_B2+RATE_B2*($A1252-BOTT_B2),0),ROUND(RATE_B1*$A1252,0))))</f>
        <v/>
      </c>
      <c r="F1252" s="556">
        <f>IF($A1252&gt;BOTT_C4,ROUND(BASE_C4+RATE_C4*($A1252-BOTT_C4),0),IF($A1252&gt;BOTT_C3,ROUND(BASE_C3+RATE_C3*($A1252-BOTT_C3),0),IF($A1252&gt;BOTT_C2,ROUND(BASE_C2+RATE_C2*($A1252-BOTT_C2),0),ROUND(RATE_C1*$A1252,0))))</f>
        <v/>
      </c>
      <c r="G1252" s="556">
        <f>IF($A1252&gt;BOTT_D4,ROUND(BASE_D4+RATE_D4*($A1252-BOTT_D4),0),IF($A1252&gt;BOTT_D3,ROUND(BASE_D3+RATE_D3*($A1252-BOTT_D3),0),IF($A1252&gt;BOTT_D2,ROUND(BASE_D2+RATE_D2*($A1252-BOTT_D2),0),ROUND(RATE_D1*$A1252,0))))</f>
        <v/>
      </c>
    </row>
    <row r="1253" ht="15.75" customHeight="1" s="7635">
      <c r="A1253" s="625">
        <f>AVERAGE(B1253,C1253)</f>
        <v/>
      </c>
      <c r="B1253" s="555" t="n">
        <v>59450</v>
      </c>
      <c r="C1253" s="555" t="n">
        <v>59500</v>
      </c>
      <c r="D1253" s="556">
        <f>IF($A1253&gt;BOTT_A4,ROUND(BASE_A4+RATE_A4*($A1253-BOTT_A4),0),IF($A1253&gt;BOTT_A3,ROUND(BASE_A3+RATE_A3*($A1253-BOTT_A3),0),IF($A1253&gt;BOTT_A2,ROUND(BASE_A2+RATE_A2*($A1253-BOTT_A2),0),ROUND(RATE_A1*$A1253,0))))</f>
        <v/>
      </c>
      <c r="E1253" s="556">
        <f>IF($A1253&gt;BOTT_B4,ROUND(BASE_B4+RATE_B4*($A1253-BOTT_B4),0),IF($A1253&gt;BOTT_B3,ROUND(BASE_B3+RATE_B3*($A1253-BOTT_B3),0),IF($A1253&gt;BOTT_B2,ROUND(BASE_B2+RATE_B2*($A1253-BOTT_B2),0),ROUND(RATE_B1*$A1253,0))))</f>
        <v/>
      </c>
      <c r="F1253" s="556">
        <f>IF($A1253&gt;BOTT_C4,ROUND(BASE_C4+RATE_C4*($A1253-BOTT_C4),0),IF($A1253&gt;BOTT_C3,ROUND(BASE_C3+RATE_C3*($A1253-BOTT_C3),0),IF($A1253&gt;BOTT_C2,ROUND(BASE_C2+RATE_C2*($A1253-BOTT_C2),0),ROUND(RATE_C1*$A1253,0))))</f>
        <v/>
      </c>
      <c r="G1253" s="556">
        <f>IF($A1253&gt;BOTT_D4,ROUND(BASE_D4+RATE_D4*($A1253-BOTT_D4),0),IF($A1253&gt;BOTT_D3,ROUND(BASE_D3+RATE_D3*($A1253-BOTT_D3),0),IF($A1253&gt;BOTT_D2,ROUND(BASE_D2+RATE_D2*($A1253-BOTT_D2),0),ROUND(RATE_D1*$A1253,0))))</f>
        <v/>
      </c>
    </row>
    <row r="1254" ht="15.75" customHeight="1" s="7635">
      <c r="A1254" s="625">
        <f>AVERAGE(B1254,C1254)</f>
        <v/>
      </c>
      <c r="B1254" s="555" t="n">
        <v>59500</v>
      </c>
      <c r="C1254" s="555" t="n">
        <v>59550</v>
      </c>
      <c r="D1254" s="556">
        <f>IF($A1254&gt;BOTT_A4,ROUND(BASE_A4+RATE_A4*($A1254-BOTT_A4),0),IF($A1254&gt;BOTT_A3,ROUND(BASE_A3+RATE_A3*($A1254-BOTT_A3),0),IF($A1254&gt;BOTT_A2,ROUND(BASE_A2+RATE_A2*($A1254-BOTT_A2),0),ROUND(RATE_A1*$A1254,0))))</f>
        <v/>
      </c>
      <c r="E1254" s="556">
        <f>IF($A1254&gt;BOTT_B4,ROUND(BASE_B4+RATE_B4*($A1254-BOTT_B4),0),IF($A1254&gt;BOTT_B3,ROUND(BASE_B3+RATE_B3*($A1254-BOTT_B3),0),IF($A1254&gt;BOTT_B2,ROUND(BASE_B2+RATE_B2*($A1254-BOTT_B2),0),ROUND(RATE_B1*$A1254,0))))</f>
        <v/>
      </c>
      <c r="F1254" s="556">
        <f>IF($A1254&gt;BOTT_C4,ROUND(BASE_C4+RATE_C4*($A1254-BOTT_C4),0),IF($A1254&gt;BOTT_C3,ROUND(BASE_C3+RATE_C3*($A1254-BOTT_C3),0),IF($A1254&gt;BOTT_C2,ROUND(BASE_C2+RATE_C2*($A1254-BOTT_C2),0),ROUND(RATE_C1*$A1254,0))))</f>
        <v/>
      </c>
      <c r="G1254" s="556">
        <f>IF($A1254&gt;BOTT_D4,ROUND(BASE_D4+RATE_D4*($A1254-BOTT_D4),0),IF($A1254&gt;BOTT_D3,ROUND(BASE_D3+RATE_D3*($A1254-BOTT_D3),0),IF($A1254&gt;BOTT_D2,ROUND(BASE_D2+RATE_D2*($A1254-BOTT_D2),0),ROUND(RATE_D1*$A1254,0))))</f>
        <v/>
      </c>
    </row>
    <row r="1255" ht="15.75" customHeight="1" s="7635">
      <c r="A1255" s="625">
        <f>AVERAGE(B1255,C1255)</f>
        <v/>
      </c>
      <c r="B1255" s="555" t="n">
        <v>59550</v>
      </c>
      <c r="C1255" s="555" t="n">
        <v>59600</v>
      </c>
      <c r="D1255" s="556">
        <f>IF($A1255&gt;BOTT_A4,ROUND(BASE_A4+RATE_A4*($A1255-BOTT_A4),0),IF($A1255&gt;BOTT_A3,ROUND(BASE_A3+RATE_A3*($A1255-BOTT_A3),0),IF($A1255&gt;BOTT_A2,ROUND(BASE_A2+RATE_A2*($A1255-BOTT_A2),0),ROUND(RATE_A1*$A1255,0))))</f>
        <v/>
      </c>
      <c r="E1255" s="556">
        <f>IF($A1255&gt;BOTT_B4,ROUND(BASE_B4+RATE_B4*($A1255-BOTT_B4),0),IF($A1255&gt;BOTT_B3,ROUND(BASE_B3+RATE_B3*($A1255-BOTT_B3),0),IF($A1255&gt;BOTT_B2,ROUND(BASE_B2+RATE_B2*($A1255-BOTT_B2),0),ROUND(RATE_B1*$A1255,0))))</f>
        <v/>
      </c>
      <c r="F1255" s="556">
        <f>IF($A1255&gt;BOTT_C4,ROUND(BASE_C4+RATE_C4*($A1255-BOTT_C4),0),IF($A1255&gt;BOTT_C3,ROUND(BASE_C3+RATE_C3*($A1255-BOTT_C3),0),IF($A1255&gt;BOTT_C2,ROUND(BASE_C2+RATE_C2*($A1255-BOTT_C2),0),ROUND(RATE_C1*$A1255,0))))</f>
        <v/>
      </c>
      <c r="G1255" s="556">
        <f>IF($A1255&gt;BOTT_D4,ROUND(BASE_D4+RATE_D4*($A1255-BOTT_D4),0),IF($A1255&gt;BOTT_D3,ROUND(BASE_D3+RATE_D3*($A1255-BOTT_D3),0),IF($A1255&gt;BOTT_D2,ROUND(BASE_D2+RATE_D2*($A1255-BOTT_D2),0),ROUND(RATE_D1*$A1255,0))))</f>
        <v/>
      </c>
    </row>
    <row r="1256" ht="15.75" customHeight="1" s="7635">
      <c r="A1256" s="625">
        <f>AVERAGE(B1256,C1256)</f>
        <v/>
      </c>
      <c r="B1256" s="555" t="n">
        <v>59600</v>
      </c>
      <c r="C1256" s="555" t="n">
        <v>59650</v>
      </c>
      <c r="D1256" s="556">
        <f>IF($A1256&gt;BOTT_A4,ROUND(BASE_A4+RATE_A4*($A1256-BOTT_A4),0),IF($A1256&gt;BOTT_A3,ROUND(BASE_A3+RATE_A3*($A1256-BOTT_A3),0),IF($A1256&gt;BOTT_A2,ROUND(BASE_A2+RATE_A2*($A1256-BOTT_A2),0),ROUND(RATE_A1*$A1256,0))))</f>
        <v/>
      </c>
      <c r="E1256" s="556">
        <f>IF($A1256&gt;BOTT_B4,ROUND(BASE_B4+RATE_B4*($A1256-BOTT_B4),0),IF($A1256&gt;BOTT_B3,ROUND(BASE_B3+RATE_B3*($A1256-BOTT_B3),0),IF($A1256&gt;BOTT_B2,ROUND(BASE_B2+RATE_B2*($A1256-BOTT_B2),0),ROUND(RATE_B1*$A1256,0))))</f>
        <v/>
      </c>
      <c r="F1256" s="556">
        <f>IF($A1256&gt;BOTT_C4,ROUND(BASE_C4+RATE_C4*($A1256-BOTT_C4),0),IF($A1256&gt;BOTT_C3,ROUND(BASE_C3+RATE_C3*($A1256-BOTT_C3),0),IF($A1256&gt;BOTT_C2,ROUND(BASE_C2+RATE_C2*($A1256-BOTT_C2),0),ROUND(RATE_C1*$A1256,0))))</f>
        <v/>
      </c>
      <c r="G1256" s="556">
        <f>IF($A1256&gt;BOTT_D4,ROUND(BASE_D4+RATE_D4*($A1256-BOTT_D4),0),IF($A1256&gt;BOTT_D3,ROUND(BASE_D3+RATE_D3*($A1256-BOTT_D3),0),IF($A1256&gt;BOTT_D2,ROUND(BASE_D2+RATE_D2*($A1256-BOTT_D2),0),ROUND(RATE_D1*$A1256,0))))</f>
        <v/>
      </c>
    </row>
    <row r="1257" ht="15.75" customHeight="1" s="7635">
      <c r="A1257" s="625">
        <f>AVERAGE(B1257,C1257)</f>
        <v/>
      </c>
      <c r="B1257" s="555" t="n">
        <v>59650</v>
      </c>
      <c r="C1257" s="555" t="n">
        <v>59700</v>
      </c>
      <c r="D1257" s="556">
        <f>IF($A1257&gt;BOTT_A4,ROUND(BASE_A4+RATE_A4*($A1257-BOTT_A4),0),IF($A1257&gt;BOTT_A3,ROUND(BASE_A3+RATE_A3*($A1257-BOTT_A3),0),IF($A1257&gt;BOTT_A2,ROUND(BASE_A2+RATE_A2*($A1257-BOTT_A2),0),ROUND(RATE_A1*$A1257,0))))</f>
        <v/>
      </c>
      <c r="E1257" s="556">
        <f>IF($A1257&gt;BOTT_B4,ROUND(BASE_B4+RATE_B4*($A1257-BOTT_B4),0),IF($A1257&gt;BOTT_B3,ROUND(BASE_B3+RATE_B3*($A1257-BOTT_B3),0),IF($A1257&gt;BOTT_B2,ROUND(BASE_B2+RATE_B2*($A1257-BOTT_B2),0),ROUND(RATE_B1*$A1257,0))))</f>
        <v/>
      </c>
      <c r="F1257" s="556">
        <f>IF($A1257&gt;BOTT_C4,ROUND(BASE_C4+RATE_C4*($A1257-BOTT_C4),0),IF($A1257&gt;BOTT_C3,ROUND(BASE_C3+RATE_C3*($A1257-BOTT_C3),0),IF($A1257&gt;BOTT_C2,ROUND(BASE_C2+RATE_C2*($A1257-BOTT_C2),0),ROUND(RATE_C1*$A1257,0))))</f>
        <v/>
      </c>
      <c r="G1257" s="556">
        <f>IF($A1257&gt;BOTT_D4,ROUND(BASE_D4+RATE_D4*($A1257-BOTT_D4),0),IF($A1257&gt;BOTT_D3,ROUND(BASE_D3+RATE_D3*($A1257-BOTT_D3),0),IF($A1257&gt;BOTT_D2,ROUND(BASE_D2+RATE_D2*($A1257-BOTT_D2),0),ROUND(RATE_D1*$A1257,0))))</f>
        <v/>
      </c>
    </row>
    <row r="1258" ht="15.75" customHeight="1" s="7635">
      <c r="A1258" s="625">
        <f>AVERAGE(B1258,C1258)</f>
        <v/>
      </c>
      <c r="B1258" s="555" t="n">
        <v>59700</v>
      </c>
      <c r="C1258" s="555" t="n">
        <v>59750</v>
      </c>
      <c r="D1258" s="556">
        <f>IF($A1258&gt;BOTT_A4,ROUND(BASE_A4+RATE_A4*($A1258-BOTT_A4),0),IF($A1258&gt;BOTT_A3,ROUND(BASE_A3+RATE_A3*($A1258-BOTT_A3),0),IF($A1258&gt;BOTT_A2,ROUND(BASE_A2+RATE_A2*($A1258-BOTT_A2),0),ROUND(RATE_A1*$A1258,0))))</f>
        <v/>
      </c>
      <c r="E1258" s="556">
        <f>IF($A1258&gt;BOTT_B4,ROUND(BASE_B4+RATE_B4*($A1258-BOTT_B4),0),IF($A1258&gt;BOTT_B3,ROUND(BASE_B3+RATE_B3*($A1258-BOTT_B3),0),IF($A1258&gt;BOTT_B2,ROUND(BASE_B2+RATE_B2*($A1258-BOTT_B2),0),ROUND(RATE_B1*$A1258,0))))</f>
        <v/>
      </c>
      <c r="F1258" s="556">
        <f>IF($A1258&gt;BOTT_C4,ROUND(BASE_C4+RATE_C4*($A1258-BOTT_C4),0),IF($A1258&gt;BOTT_C3,ROUND(BASE_C3+RATE_C3*($A1258-BOTT_C3),0),IF($A1258&gt;BOTT_C2,ROUND(BASE_C2+RATE_C2*($A1258-BOTT_C2),0),ROUND(RATE_C1*$A1258,0))))</f>
        <v/>
      </c>
      <c r="G1258" s="556">
        <f>IF($A1258&gt;BOTT_D4,ROUND(BASE_D4+RATE_D4*($A1258-BOTT_D4),0),IF($A1258&gt;BOTT_D3,ROUND(BASE_D3+RATE_D3*($A1258-BOTT_D3),0),IF($A1258&gt;BOTT_D2,ROUND(BASE_D2+RATE_D2*($A1258-BOTT_D2),0),ROUND(RATE_D1*$A1258,0))))</f>
        <v/>
      </c>
    </row>
    <row r="1259" ht="15.75" customHeight="1" s="7635">
      <c r="A1259" s="625">
        <f>AVERAGE(B1259,C1259)</f>
        <v/>
      </c>
      <c r="B1259" s="555" t="n">
        <v>59750</v>
      </c>
      <c r="C1259" s="555" t="n">
        <v>59800</v>
      </c>
      <c r="D1259" s="556">
        <f>IF($A1259&gt;BOTT_A4,ROUND(BASE_A4+RATE_A4*($A1259-BOTT_A4),0),IF($A1259&gt;BOTT_A3,ROUND(BASE_A3+RATE_A3*($A1259-BOTT_A3),0),IF($A1259&gt;BOTT_A2,ROUND(BASE_A2+RATE_A2*($A1259-BOTT_A2),0),ROUND(RATE_A1*$A1259,0))))</f>
        <v/>
      </c>
      <c r="E1259" s="556">
        <f>IF($A1259&gt;BOTT_B4,ROUND(BASE_B4+RATE_B4*($A1259-BOTT_B4),0),IF($A1259&gt;BOTT_B3,ROUND(BASE_B3+RATE_B3*($A1259-BOTT_B3),0),IF($A1259&gt;BOTT_B2,ROUND(BASE_B2+RATE_B2*($A1259-BOTT_B2),0),ROUND(RATE_B1*$A1259,0))))</f>
        <v/>
      </c>
      <c r="F1259" s="556">
        <f>IF($A1259&gt;BOTT_C4,ROUND(BASE_C4+RATE_C4*($A1259-BOTT_C4),0),IF($A1259&gt;BOTT_C3,ROUND(BASE_C3+RATE_C3*($A1259-BOTT_C3),0),IF($A1259&gt;BOTT_C2,ROUND(BASE_C2+RATE_C2*($A1259-BOTT_C2),0),ROUND(RATE_C1*$A1259,0))))</f>
        <v/>
      </c>
      <c r="G1259" s="556">
        <f>IF($A1259&gt;BOTT_D4,ROUND(BASE_D4+RATE_D4*($A1259-BOTT_D4),0),IF($A1259&gt;BOTT_D3,ROUND(BASE_D3+RATE_D3*($A1259-BOTT_D3),0),IF($A1259&gt;BOTT_D2,ROUND(BASE_D2+RATE_D2*($A1259-BOTT_D2),0),ROUND(RATE_D1*$A1259,0))))</f>
        <v/>
      </c>
    </row>
    <row r="1260" ht="15.75" customHeight="1" s="7635">
      <c r="A1260" s="625">
        <f>AVERAGE(B1260,C1260)</f>
        <v/>
      </c>
      <c r="B1260" s="555" t="n">
        <v>59800</v>
      </c>
      <c r="C1260" s="555" t="n">
        <v>59850</v>
      </c>
      <c r="D1260" s="556">
        <f>IF($A1260&gt;BOTT_A4,ROUND(BASE_A4+RATE_A4*($A1260-BOTT_A4),0),IF($A1260&gt;BOTT_A3,ROUND(BASE_A3+RATE_A3*($A1260-BOTT_A3),0),IF($A1260&gt;BOTT_A2,ROUND(BASE_A2+RATE_A2*($A1260-BOTT_A2),0),ROUND(RATE_A1*$A1260,0))))</f>
        <v/>
      </c>
      <c r="E1260" s="556">
        <f>IF($A1260&gt;BOTT_B4,ROUND(BASE_B4+RATE_B4*($A1260-BOTT_B4),0),IF($A1260&gt;BOTT_B3,ROUND(BASE_B3+RATE_B3*($A1260-BOTT_B3),0),IF($A1260&gt;BOTT_B2,ROUND(BASE_B2+RATE_B2*($A1260-BOTT_B2),0),ROUND(RATE_B1*$A1260,0))))</f>
        <v/>
      </c>
      <c r="F1260" s="556">
        <f>IF($A1260&gt;BOTT_C4,ROUND(BASE_C4+RATE_C4*($A1260-BOTT_C4),0),IF($A1260&gt;BOTT_C3,ROUND(BASE_C3+RATE_C3*($A1260-BOTT_C3),0),IF($A1260&gt;BOTT_C2,ROUND(BASE_C2+RATE_C2*($A1260-BOTT_C2),0),ROUND(RATE_C1*$A1260,0))))</f>
        <v/>
      </c>
      <c r="G1260" s="556">
        <f>IF($A1260&gt;BOTT_D4,ROUND(BASE_D4+RATE_D4*($A1260-BOTT_D4),0),IF($A1260&gt;BOTT_D3,ROUND(BASE_D3+RATE_D3*($A1260-BOTT_D3),0),IF($A1260&gt;BOTT_D2,ROUND(BASE_D2+RATE_D2*($A1260-BOTT_D2),0),ROUND(RATE_D1*$A1260,0))))</f>
        <v/>
      </c>
    </row>
    <row r="1261" ht="15.75" customHeight="1" s="7635">
      <c r="A1261" s="625">
        <f>AVERAGE(B1261,C1261)</f>
        <v/>
      </c>
      <c r="B1261" s="555" t="n">
        <v>59850</v>
      </c>
      <c r="C1261" s="555" t="n">
        <v>59900</v>
      </c>
      <c r="D1261" s="556">
        <f>IF($A1261&gt;BOTT_A4,ROUND(BASE_A4+RATE_A4*($A1261-BOTT_A4),0),IF($A1261&gt;BOTT_A3,ROUND(BASE_A3+RATE_A3*($A1261-BOTT_A3),0),IF($A1261&gt;BOTT_A2,ROUND(BASE_A2+RATE_A2*($A1261-BOTT_A2),0),ROUND(RATE_A1*$A1261,0))))</f>
        <v/>
      </c>
      <c r="E1261" s="556">
        <f>IF($A1261&gt;BOTT_B4,ROUND(BASE_B4+RATE_B4*($A1261-BOTT_B4),0),IF($A1261&gt;BOTT_B3,ROUND(BASE_B3+RATE_B3*($A1261-BOTT_B3),0),IF($A1261&gt;BOTT_B2,ROUND(BASE_B2+RATE_B2*($A1261-BOTT_B2),0),ROUND(RATE_B1*$A1261,0))))</f>
        <v/>
      </c>
      <c r="F1261" s="556">
        <f>IF($A1261&gt;BOTT_C4,ROUND(BASE_C4+RATE_C4*($A1261-BOTT_C4),0),IF($A1261&gt;BOTT_C3,ROUND(BASE_C3+RATE_C3*($A1261-BOTT_C3),0),IF($A1261&gt;BOTT_C2,ROUND(BASE_C2+RATE_C2*($A1261-BOTT_C2),0),ROUND(RATE_C1*$A1261,0))))</f>
        <v/>
      </c>
      <c r="G1261" s="556">
        <f>IF($A1261&gt;BOTT_D4,ROUND(BASE_D4+RATE_D4*($A1261-BOTT_D4),0),IF($A1261&gt;BOTT_D3,ROUND(BASE_D3+RATE_D3*($A1261-BOTT_D3),0),IF($A1261&gt;BOTT_D2,ROUND(BASE_D2+RATE_D2*($A1261-BOTT_D2),0),ROUND(RATE_D1*$A1261,0))))</f>
        <v/>
      </c>
    </row>
    <row r="1262" ht="15.75" customHeight="1" s="7635">
      <c r="A1262" s="625">
        <f>AVERAGE(B1262,C1262)</f>
        <v/>
      </c>
      <c r="B1262" s="555" t="n">
        <v>59900</v>
      </c>
      <c r="C1262" s="555" t="n">
        <v>59950</v>
      </c>
      <c r="D1262" s="556">
        <f>IF($A1262&gt;BOTT_A4,ROUND(BASE_A4+RATE_A4*($A1262-BOTT_A4),0),IF($A1262&gt;BOTT_A3,ROUND(BASE_A3+RATE_A3*($A1262-BOTT_A3),0),IF($A1262&gt;BOTT_A2,ROUND(BASE_A2+RATE_A2*($A1262-BOTT_A2),0),ROUND(RATE_A1*$A1262,0))))</f>
        <v/>
      </c>
      <c r="E1262" s="556">
        <f>IF($A1262&gt;BOTT_B4,ROUND(BASE_B4+RATE_B4*($A1262-BOTT_B4),0),IF($A1262&gt;BOTT_B3,ROUND(BASE_B3+RATE_B3*($A1262-BOTT_B3),0),IF($A1262&gt;BOTT_B2,ROUND(BASE_B2+RATE_B2*($A1262-BOTT_B2),0),ROUND(RATE_B1*$A1262,0))))</f>
        <v/>
      </c>
      <c r="F1262" s="556">
        <f>IF($A1262&gt;BOTT_C4,ROUND(BASE_C4+RATE_C4*($A1262-BOTT_C4),0),IF($A1262&gt;BOTT_C3,ROUND(BASE_C3+RATE_C3*($A1262-BOTT_C3),0),IF($A1262&gt;BOTT_C2,ROUND(BASE_C2+RATE_C2*($A1262-BOTT_C2),0),ROUND(RATE_C1*$A1262,0))))</f>
        <v/>
      </c>
      <c r="G1262" s="556">
        <f>IF($A1262&gt;BOTT_D4,ROUND(BASE_D4+RATE_D4*($A1262-BOTT_D4),0),IF($A1262&gt;BOTT_D3,ROUND(BASE_D3+RATE_D3*($A1262-BOTT_D3),0),IF($A1262&gt;BOTT_D2,ROUND(BASE_D2+RATE_D2*($A1262-BOTT_D2),0),ROUND(RATE_D1*$A1262,0))))</f>
        <v/>
      </c>
    </row>
    <row r="1263" ht="15.75" customHeight="1" s="7635">
      <c r="A1263" s="625">
        <f>AVERAGE(B1263,C1263)</f>
        <v/>
      </c>
      <c r="B1263" s="555" t="n">
        <v>59950</v>
      </c>
      <c r="C1263" s="555" t="n">
        <v>60000</v>
      </c>
      <c r="D1263" s="556">
        <f>IF($A1263&gt;BOTT_A4,ROUND(BASE_A4+RATE_A4*($A1263-BOTT_A4),0),IF($A1263&gt;BOTT_A3,ROUND(BASE_A3+RATE_A3*($A1263-BOTT_A3),0),IF($A1263&gt;BOTT_A2,ROUND(BASE_A2+RATE_A2*($A1263-BOTT_A2),0),ROUND(RATE_A1*$A1263,0))))</f>
        <v/>
      </c>
      <c r="E1263" s="556">
        <f>IF($A1263&gt;BOTT_B4,ROUND(BASE_B4+RATE_B4*($A1263-BOTT_B4),0),IF($A1263&gt;BOTT_B3,ROUND(BASE_B3+RATE_B3*($A1263-BOTT_B3),0),IF($A1263&gt;BOTT_B2,ROUND(BASE_B2+RATE_B2*($A1263-BOTT_B2),0),ROUND(RATE_B1*$A1263,0))))</f>
        <v/>
      </c>
      <c r="F1263" s="556">
        <f>IF($A1263&gt;BOTT_C4,ROUND(BASE_C4+RATE_C4*($A1263-BOTT_C4),0),IF($A1263&gt;BOTT_C3,ROUND(BASE_C3+RATE_C3*($A1263-BOTT_C3),0),IF($A1263&gt;BOTT_C2,ROUND(BASE_C2+RATE_C2*($A1263-BOTT_C2),0),ROUND(RATE_C1*$A1263,0))))</f>
        <v/>
      </c>
      <c r="G1263" s="556">
        <f>IF($A1263&gt;BOTT_D4,ROUND(BASE_D4+RATE_D4*($A1263-BOTT_D4),0),IF($A1263&gt;BOTT_D3,ROUND(BASE_D3+RATE_D3*($A1263-BOTT_D3),0),IF($A1263&gt;BOTT_D2,ROUND(BASE_D2+RATE_D2*($A1263-BOTT_D2),0),ROUND(RATE_D1*$A1263,0))))</f>
        <v/>
      </c>
    </row>
    <row r="1264" ht="15.75" customHeight="1" s="7635">
      <c r="A1264" s="625">
        <f>AVERAGE(B1264,C1264)</f>
        <v/>
      </c>
      <c r="B1264" s="555" t="n">
        <v>60000</v>
      </c>
      <c r="C1264" s="555" t="n">
        <v>60050</v>
      </c>
      <c r="D1264" s="556">
        <f>IF($A1264&gt;BOTT_A4,ROUND(BASE_A4+RATE_A4*($A1264-BOTT_A4),0),IF($A1264&gt;BOTT_A3,ROUND(BASE_A3+RATE_A3*($A1264-BOTT_A3),0),IF($A1264&gt;BOTT_A2,ROUND(BASE_A2+RATE_A2*($A1264-BOTT_A2),0),ROUND(RATE_A1*$A1264,0))))</f>
        <v/>
      </c>
      <c r="E1264" s="556">
        <f>IF($A1264&gt;BOTT_B4,ROUND(BASE_B4+RATE_B4*($A1264-BOTT_B4),0),IF($A1264&gt;BOTT_B3,ROUND(BASE_B3+RATE_B3*($A1264-BOTT_B3),0),IF($A1264&gt;BOTT_B2,ROUND(BASE_B2+RATE_B2*($A1264-BOTT_B2),0),ROUND(RATE_B1*$A1264,0))))</f>
        <v/>
      </c>
      <c r="F1264" s="556">
        <f>IF($A1264&gt;BOTT_C4,ROUND(BASE_C4+RATE_C4*($A1264-BOTT_C4),0),IF($A1264&gt;BOTT_C3,ROUND(BASE_C3+RATE_C3*($A1264-BOTT_C3),0),IF($A1264&gt;BOTT_C2,ROUND(BASE_C2+RATE_C2*($A1264-BOTT_C2),0),ROUND(RATE_C1*$A1264,0))))</f>
        <v/>
      </c>
      <c r="G1264" s="556">
        <f>IF($A1264&gt;BOTT_D4,ROUND(BASE_D4+RATE_D4*($A1264-BOTT_D4),0),IF($A1264&gt;BOTT_D3,ROUND(BASE_D3+RATE_D3*($A1264-BOTT_D3),0),IF($A1264&gt;BOTT_D2,ROUND(BASE_D2+RATE_D2*($A1264-BOTT_D2),0),ROUND(RATE_D1*$A1264,0))))</f>
        <v/>
      </c>
    </row>
    <row r="1265" ht="15.75" customHeight="1" s="7635">
      <c r="A1265" s="625">
        <f>AVERAGE(B1265,C1265)</f>
        <v/>
      </c>
      <c r="B1265" s="555" t="n">
        <v>60050</v>
      </c>
      <c r="C1265" s="555" t="n">
        <v>60100</v>
      </c>
      <c r="D1265" s="556">
        <f>IF($A1265&gt;BOTT_A4,ROUND(BASE_A4+RATE_A4*($A1265-BOTT_A4),0),IF($A1265&gt;BOTT_A3,ROUND(BASE_A3+RATE_A3*($A1265-BOTT_A3),0),IF($A1265&gt;BOTT_A2,ROUND(BASE_A2+RATE_A2*($A1265-BOTT_A2),0),ROUND(RATE_A1*$A1265,0))))</f>
        <v/>
      </c>
      <c r="E1265" s="556">
        <f>IF($A1265&gt;BOTT_B4,ROUND(BASE_B4+RATE_B4*($A1265-BOTT_B4),0),IF($A1265&gt;BOTT_B3,ROUND(BASE_B3+RATE_B3*($A1265-BOTT_B3),0),IF($A1265&gt;BOTT_B2,ROUND(BASE_B2+RATE_B2*($A1265-BOTT_B2),0),ROUND(RATE_B1*$A1265,0))))</f>
        <v/>
      </c>
      <c r="F1265" s="556">
        <f>IF($A1265&gt;BOTT_C4,ROUND(BASE_C4+RATE_C4*($A1265-BOTT_C4),0),IF($A1265&gt;BOTT_C3,ROUND(BASE_C3+RATE_C3*($A1265-BOTT_C3),0),IF($A1265&gt;BOTT_C2,ROUND(BASE_C2+RATE_C2*($A1265-BOTT_C2),0),ROUND(RATE_C1*$A1265,0))))</f>
        <v/>
      </c>
      <c r="G1265" s="556">
        <f>IF($A1265&gt;BOTT_D4,ROUND(BASE_D4+RATE_D4*($A1265-BOTT_D4),0),IF($A1265&gt;BOTT_D3,ROUND(BASE_D3+RATE_D3*($A1265-BOTT_D3),0),IF($A1265&gt;BOTT_D2,ROUND(BASE_D2+RATE_D2*($A1265-BOTT_D2),0),ROUND(RATE_D1*$A1265,0))))</f>
        <v/>
      </c>
    </row>
    <row r="1266" ht="15.75" customHeight="1" s="7635">
      <c r="A1266" s="625">
        <f>AVERAGE(B1266,C1266)</f>
        <v/>
      </c>
      <c r="B1266" s="555" t="n">
        <v>60100</v>
      </c>
      <c r="C1266" s="555" t="n">
        <v>60150</v>
      </c>
      <c r="D1266" s="556">
        <f>IF($A1266&gt;BOTT_A4,ROUND(BASE_A4+RATE_A4*($A1266-BOTT_A4),0),IF($A1266&gt;BOTT_A3,ROUND(BASE_A3+RATE_A3*($A1266-BOTT_A3),0),IF($A1266&gt;BOTT_A2,ROUND(BASE_A2+RATE_A2*($A1266-BOTT_A2),0),ROUND(RATE_A1*$A1266,0))))</f>
        <v/>
      </c>
      <c r="E1266" s="556">
        <f>IF($A1266&gt;BOTT_B4,ROUND(BASE_B4+RATE_B4*($A1266-BOTT_B4),0),IF($A1266&gt;BOTT_B3,ROUND(BASE_B3+RATE_B3*($A1266-BOTT_B3),0),IF($A1266&gt;BOTT_B2,ROUND(BASE_B2+RATE_B2*($A1266-BOTT_B2),0),ROUND(RATE_B1*$A1266,0))))</f>
        <v/>
      </c>
      <c r="F1266" s="556">
        <f>IF($A1266&gt;BOTT_C4,ROUND(BASE_C4+RATE_C4*($A1266-BOTT_C4),0),IF($A1266&gt;BOTT_C3,ROUND(BASE_C3+RATE_C3*($A1266-BOTT_C3),0),IF($A1266&gt;BOTT_C2,ROUND(BASE_C2+RATE_C2*($A1266-BOTT_C2),0),ROUND(RATE_C1*$A1266,0))))</f>
        <v/>
      </c>
      <c r="G1266" s="556">
        <f>IF($A1266&gt;BOTT_D4,ROUND(BASE_D4+RATE_D4*($A1266-BOTT_D4),0),IF($A1266&gt;BOTT_D3,ROUND(BASE_D3+RATE_D3*($A1266-BOTT_D3),0),IF($A1266&gt;BOTT_D2,ROUND(BASE_D2+RATE_D2*($A1266-BOTT_D2),0),ROUND(RATE_D1*$A1266,0))))</f>
        <v/>
      </c>
    </row>
    <row r="1267" ht="15.75" customHeight="1" s="7635">
      <c r="A1267" s="625">
        <f>AVERAGE(B1267,C1267)</f>
        <v/>
      </c>
      <c r="B1267" s="555" t="n">
        <v>60150</v>
      </c>
      <c r="C1267" s="555" t="n">
        <v>60200</v>
      </c>
      <c r="D1267" s="556">
        <f>IF($A1267&gt;BOTT_A4,ROUND(BASE_A4+RATE_A4*($A1267-BOTT_A4),0),IF($A1267&gt;BOTT_A3,ROUND(BASE_A3+RATE_A3*($A1267-BOTT_A3),0),IF($A1267&gt;BOTT_A2,ROUND(BASE_A2+RATE_A2*($A1267-BOTT_A2),0),ROUND(RATE_A1*$A1267,0))))</f>
        <v/>
      </c>
      <c r="E1267" s="556">
        <f>IF($A1267&gt;BOTT_B4,ROUND(BASE_B4+RATE_B4*($A1267-BOTT_B4),0),IF($A1267&gt;BOTT_B3,ROUND(BASE_B3+RATE_B3*($A1267-BOTT_B3),0),IF($A1267&gt;BOTT_B2,ROUND(BASE_B2+RATE_B2*($A1267-BOTT_B2),0),ROUND(RATE_B1*$A1267,0))))</f>
        <v/>
      </c>
      <c r="F1267" s="556">
        <f>IF($A1267&gt;BOTT_C4,ROUND(BASE_C4+RATE_C4*($A1267-BOTT_C4),0),IF($A1267&gt;BOTT_C3,ROUND(BASE_C3+RATE_C3*($A1267-BOTT_C3),0),IF($A1267&gt;BOTT_C2,ROUND(BASE_C2+RATE_C2*($A1267-BOTT_C2),0),ROUND(RATE_C1*$A1267,0))))</f>
        <v/>
      </c>
      <c r="G1267" s="556">
        <f>IF($A1267&gt;BOTT_D4,ROUND(BASE_D4+RATE_D4*($A1267-BOTT_D4),0),IF($A1267&gt;BOTT_D3,ROUND(BASE_D3+RATE_D3*($A1267-BOTT_D3),0),IF($A1267&gt;BOTT_D2,ROUND(BASE_D2+RATE_D2*($A1267-BOTT_D2),0),ROUND(RATE_D1*$A1267,0))))</f>
        <v/>
      </c>
    </row>
    <row r="1268" ht="15.75" customHeight="1" s="7635">
      <c r="A1268" s="625">
        <f>AVERAGE(B1268,C1268)</f>
        <v/>
      </c>
      <c r="B1268" s="555" t="n">
        <v>60200</v>
      </c>
      <c r="C1268" s="555" t="n">
        <v>60250</v>
      </c>
      <c r="D1268" s="556">
        <f>IF($A1268&gt;BOTT_A4,ROUND(BASE_A4+RATE_A4*($A1268-BOTT_A4),0),IF($A1268&gt;BOTT_A3,ROUND(BASE_A3+RATE_A3*($A1268-BOTT_A3),0),IF($A1268&gt;BOTT_A2,ROUND(BASE_A2+RATE_A2*($A1268-BOTT_A2),0),ROUND(RATE_A1*$A1268,0))))</f>
        <v/>
      </c>
      <c r="E1268" s="556">
        <f>IF($A1268&gt;BOTT_B4,ROUND(BASE_B4+RATE_B4*($A1268-BOTT_B4),0),IF($A1268&gt;BOTT_B3,ROUND(BASE_B3+RATE_B3*($A1268-BOTT_B3),0),IF($A1268&gt;BOTT_B2,ROUND(BASE_B2+RATE_B2*($A1268-BOTT_B2),0),ROUND(RATE_B1*$A1268,0))))</f>
        <v/>
      </c>
      <c r="F1268" s="556">
        <f>IF($A1268&gt;BOTT_C4,ROUND(BASE_C4+RATE_C4*($A1268-BOTT_C4),0),IF($A1268&gt;BOTT_C3,ROUND(BASE_C3+RATE_C3*($A1268-BOTT_C3),0),IF($A1268&gt;BOTT_C2,ROUND(BASE_C2+RATE_C2*($A1268-BOTT_C2),0),ROUND(RATE_C1*$A1268,0))))</f>
        <v/>
      </c>
      <c r="G1268" s="556">
        <f>IF($A1268&gt;BOTT_D4,ROUND(BASE_D4+RATE_D4*($A1268-BOTT_D4),0),IF($A1268&gt;BOTT_D3,ROUND(BASE_D3+RATE_D3*($A1268-BOTT_D3),0),IF($A1268&gt;BOTT_D2,ROUND(BASE_D2+RATE_D2*($A1268-BOTT_D2),0),ROUND(RATE_D1*$A1268,0))))</f>
        <v/>
      </c>
    </row>
    <row r="1269" ht="15.75" customHeight="1" s="7635">
      <c r="A1269" s="625">
        <f>AVERAGE(B1269,C1269)</f>
        <v/>
      </c>
      <c r="B1269" s="555" t="n">
        <v>60250</v>
      </c>
      <c r="C1269" s="555" t="n">
        <v>60300</v>
      </c>
      <c r="D1269" s="556">
        <f>IF($A1269&gt;BOTT_A4,ROUND(BASE_A4+RATE_A4*($A1269-BOTT_A4),0),IF($A1269&gt;BOTT_A3,ROUND(BASE_A3+RATE_A3*($A1269-BOTT_A3),0),IF($A1269&gt;BOTT_A2,ROUND(BASE_A2+RATE_A2*($A1269-BOTT_A2),0),ROUND(RATE_A1*$A1269,0))))</f>
        <v/>
      </c>
      <c r="E1269" s="556">
        <f>IF($A1269&gt;BOTT_B4,ROUND(BASE_B4+RATE_B4*($A1269-BOTT_B4),0),IF($A1269&gt;BOTT_B3,ROUND(BASE_B3+RATE_B3*($A1269-BOTT_B3),0),IF($A1269&gt;BOTT_B2,ROUND(BASE_B2+RATE_B2*($A1269-BOTT_B2),0),ROUND(RATE_B1*$A1269,0))))</f>
        <v/>
      </c>
      <c r="F1269" s="556">
        <f>IF($A1269&gt;BOTT_C4,ROUND(BASE_C4+RATE_C4*($A1269-BOTT_C4),0),IF($A1269&gt;BOTT_C3,ROUND(BASE_C3+RATE_C3*($A1269-BOTT_C3),0),IF($A1269&gt;BOTT_C2,ROUND(BASE_C2+RATE_C2*($A1269-BOTT_C2),0),ROUND(RATE_C1*$A1269,0))))</f>
        <v/>
      </c>
      <c r="G1269" s="556">
        <f>IF($A1269&gt;BOTT_D4,ROUND(BASE_D4+RATE_D4*($A1269-BOTT_D4),0),IF($A1269&gt;BOTT_D3,ROUND(BASE_D3+RATE_D3*($A1269-BOTT_D3),0),IF($A1269&gt;BOTT_D2,ROUND(BASE_D2+RATE_D2*($A1269-BOTT_D2),0),ROUND(RATE_D1*$A1269,0))))</f>
        <v/>
      </c>
    </row>
    <row r="1270" ht="15.75" customHeight="1" s="7635">
      <c r="A1270" s="625">
        <f>AVERAGE(B1270,C1270)</f>
        <v/>
      </c>
      <c r="B1270" s="555" t="n">
        <v>60300</v>
      </c>
      <c r="C1270" s="555" t="n">
        <v>60350</v>
      </c>
      <c r="D1270" s="556">
        <f>IF($A1270&gt;BOTT_A4,ROUND(BASE_A4+RATE_A4*($A1270-BOTT_A4),0),IF($A1270&gt;BOTT_A3,ROUND(BASE_A3+RATE_A3*($A1270-BOTT_A3),0),IF($A1270&gt;BOTT_A2,ROUND(BASE_A2+RATE_A2*($A1270-BOTT_A2),0),ROUND(RATE_A1*$A1270,0))))</f>
        <v/>
      </c>
      <c r="E1270" s="556">
        <f>IF($A1270&gt;BOTT_B4,ROUND(BASE_B4+RATE_B4*($A1270-BOTT_B4),0),IF($A1270&gt;BOTT_B3,ROUND(BASE_B3+RATE_B3*($A1270-BOTT_B3),0),IF($A1270&gt;BOTT_B2,ROUND(BASE_B2+RATE_B2*($A1270-BOTT_B2),0),ROUND(RATE_B1*$A1270,0))))</f>
        <v/>
      </c>
      <c r="F1270" s="556">
        <f>IF($A1270&gt;BOTT_C4,ROUND(BASE_C4+RATE_C4*($A1270-BOTT_C4),0),IF($A1270&gt;BOTT_C3,ROUND(BASE_C3+RATE_C3*($A1270-BOTT_C3),0),IF($A1270&gt;BOTT_C2,ROUND(BASE_C2+RATE_C2*($A1270-BOTT_C2),0),ROUND(RATE_C1*$A1270,0))))</f>
        <v/>
      </c>
      <c r="G1270" s="556">
        <f>IF($A1270&gt;BOTT_D4,ROUND(BASE_D4+RATE_D4*($A1270-BOTT_D4),0),IF($A1270&gt;BOTT_D3,ROUND(BASE_D3+RATE_D3*($A1270-BOTT_D3),0),IF($A1270&gt;BOTT_D2,ROUND(BASE_D2+RATE_D2*($A1270-BOTT_D2),0),ROUND(RATE_D1*$A1270,0))))</f>
        <v/>
      </c>
    </row>
    <row r="1271" ht="15.75" customHeight="1" s="7635">
      <c r="A1271" s="625">
        <f>AVERAGE(B1271,C1271)</f>
        <v/>
      </c>
      <c r="B1271" s="555" t="n">
        <v>60350</v>
      </c>
      <c r="C1271" s="555" t="n">
        <v>60400</v>
      </c>
      <c r="D1271" s="556">
        <f>IF($A1271&gt;BOTT_A4,ROUND(BASE_A4+RATE_A4*($A1271-BOTT_A4),0),IF($A1271&gt;BOTT_A3,ROUND(BASE_A3+RATE_A3*($A1271-BOTT_A3),0),IF($A1271&gt;BOTT_A2,ROUND(BASE_A2+RATE_A2*($A1271-BOTT_A2),0),ROUND(RATE_A1*$A1271,0))))</f>
        <v/>
      </c>
      <c r="E1271" s="556">
        <f>IF($A1271&gt;BOTT_B4,ROUND(BASE_B4+RATE_B4*($A1271-BOTT_B4),0),IF($A1271&gt;BOTT_B3,ROUND(BASE_B3+RATE_B3*($A1271-BOTT_B3),0),IF($A1271&gt;BOTT_B2,ROUND(BASE_B2+RATE_B2*($A1271-BOTT_B2),0),ROUND(RATE_B1*$A1271,0))))</f>
        <v/>
      </c>
      <c r="F1271" s="556">
        <f>IF($A1271&gt;BOTT_C4,ROUND(BASE_C4+RATE_C4*($A1271-BOTT_C4),0),IF($A1271&gt;BOTT_C3,ROUND(BASE_C3+RATE_C3*($A1271-BOTT_C3),0),IF($A1271&gt;BOTT_C2,ROUND(BASE_C2+RATE_C2*($A1271-BOTT_C2),0),ROUND(RATE_C1*$A1271,0))))</f>
        <v/>
      </c>
      <c r="G1271" s="556">
        <f>IF($A1271&gt;BOTT_D4,ROUND(BASE_D4+RATE_D4*($A1271-BOTT_D4),0),IF($A1271&gt;BOTT_D3,ROUND(BASE_D3+RATE_D3*($A1271-BOTT_D3),0),IF($A1271&gt;BOTT_D2,ROUND(BASE_D2+RATE_D2*($A1271-BOTT_D2),0),ROUND(RATE_D1*$A1271,0))))</f>
        <v/>
      </c>
    </row>
    <row r="1272" ht="15.75" customHeight="1" s="7635">
      <c r="A1272" s="625">
        <f>AVERAGE(B1272,C1272)</f>
        <v/>
      </c>
      <c r="B1272" s="555" t="n">
        <v>60400</v>
      </c>
      <c r="C1272" s="555" t="n">
        <v>60450</v>
      </c>
      <c r="D1272" s="556">
        <f>IF($A1272&gt;BOTT_A4,ROUND(BASE_A4+RATE_A4*($A1272-BOTT_A4),0),IF($A1272&gt;BOTT_A3,ROUND(BASE_A3+RATE_A3*($A1272-BOTT_A3),0),IF($A1272&gt;BOTT_A2,ROUND(BASE_A2+RATE_A2*($A1272-BOTT_A2),0),ROUND(RATE_A1*$A1272,0))))</f>
        <v/>
      </c>
      <c r="E1272" s="556">
        <f>IF($A1272&gt;BOTT_B4,ROUND(BASE_B4+RATE_B4*($A1272-BOTT_B4),0),IF($A1272&gt;BOTT_B3,ROUND(BASE_B3+RATE_B3*($A1272-BOTT_B3),0),IF($A1272&gt;BOTT_B2,ROUND(BASE_B2+RATE_B2*($A1272-BOTT_B2),0),ROUND(RATE_B1*$A1272,0))))</f>
        <v/>
      </c>
      <c r="F1272" s="556">
        <f>IF($A1272&gt;BOTT_C4,ROUND(BASE_C4+RATE_C4*($A1272-BOTT_C4),0),IF($A1272&gt;BOTT_C3,ROUND(BASE_C3+RATE_C3*($A1272-BOTT_C3),0),IF($A1272&gt;BOTT_C2,ROUND(BASE_C2+RATE_C2*($A1272-BOTT_C2),0),ROUND(RATE_C1*$A1272,0))))</f>
        <v/>
      </c>
      <c r="G1272" s="556">
        <f>IF($A1272&gt;BOTT_D4,ROUND(BASE_D4+RATE_D4*($A1272-BOTT_D4),0),IF($A1272&gt;BOTT_D3,ROUND(BASE_D3+RATE_D3*($A1272-BOTT_D3),0),IF($A1272&gt;BOTT_D2,ROUND(BASE_D2+RATE_D2*($A1272-BOTT_D2),0),ROUND(RATE_D1*$A1272,0))))</f>
        <v/>
      </c>
    </row>
    <row r="1273" ht="15.75" customHeight="1" s="7635">
      <c r="A1273" s="625">
        <f>AVERAGE(B1273,C1273)</f>
        <v/>
      </c>
      <c r="B1273" s="555" t="n">
        <v>60450</v>
      </c>
      <c r="C1273" s="555" t="n">
        <v>60500</v>
      </c>
      <c r="D1273" s="556">
        <f>IF($A1273&gt;BOTT_A4,ROUND(BASE_A4+RATE_A4*($A1273-BOTT_A4),0),IF($A1273&gt;BOTT_A3,ROUND(BASE_A3+RATE_A3*($A1273-BOTT_A3),0),IF($A1273&gt;BOTT_A2,ROUND(BASE_A2+RATE_A2*($A1273-BOTT_A2),0),ROUND(RATE_A1*$A1273,0))))</f>
        <v/>
      </c>
      <c r="E1273" s="556">
        <f>IF($A1273&gt;BOTT_B4,ROUND(BASE_B4+RATE_B4*($A1273-BOTT_B4),0),IF($A1273&gt;BOTT_B3,ROUND(BASE_B3+RATE_B3*($A1273-BOTT_B3),0),IF($A1273&gt;BOTT_B2,ROUND(BASE_B2+RATE_B2*($A1273-BOTT_B2),0),ROUND(RATE_B1*$A1273,0))))</f>
        <v/>
      </c>
      <c r="F1273" s="556">
        <f>IF($A1273&gt;BOTT_C4,ROUND(BASE_C4+RATE_C4*($A1273-BOTT_C4),0),IF($A1273&gt;BOTT_C3,ROUND(BASE_C3+RATE_C3*($A1273-BOTT_C3),0),IF($A1273&gt;BOTT_C2,ROUND(BASE_C2+RATE_C2*($A1273-BOTT_C2),0),ROUND(RATE_C1*$A1273,0))))</f>
        <v/>
      </c>
      <c r="G1273" s="556">
        <f>IF($A1273&gt;BOTT_D4,ROUND(BASE_D4+RATE_D4*($A1273-BOTT_D4),0),IF($A1273&gt;BOTT_D3,ROUND(BASE_D3+RATE_D3*($A1273-BOTT_D3),0),IF($A1273&gt;BOTT_D2,ROUND(BASE_D2+RATE_D2*($A1273-BOTT_D2),0),ROUND(RATE_D1*$A1273,0))))</f>
        <v/>
      </c>
    </row>
    <row r="1274" ht="15.75" customHeight="1" s="7635">
      <c r="A1274" s="625">
        <f>AVERAGE(B1274,C1274)</f>
        <v/>
      </c>
      <c r="B1274" s="555" t="n">
        <v>60500</v>
      </c>
      <c r="C1274" s="555" t="n">
        <v>60550</v>
      </c>
      <c r="D1274" s="556">
        <f>IF($A1274&gt;BOTT_A4,ROUND(BASE_A4+RATE_A4*($A1274-BOTT_A4),0),IF($A1274&gt;BOTT_A3,ROUND(BASE_A3+RATE_A3*($A1274-BOTT_A3),0),IF($A1274&gt;BOTT_A2,ROUND(BASE_A2+RATE_A2*($A1274-BOTT_A2),0),ROUND(RATE_A1*$A1274,0))))</f>
        <v/>
      </c>
      <c r="E1274" s="556">
        <f>IF($A1274&gt;BOTT_B4,ROUND(BASE_B4+RATE_B4*($A1274-BOTT_B4),0),IF($A1274&gt;BOTT_B3,ROUND(BASE_B3+RATE_B3*($A1274-BOTT_B3),0),IF($A1274&gt;BOTT_B2,ROUND(BASE_B2+RATE_B2*($A1274-BOTT_B2),0),ROUND(RATE_B1*$A1274,0))))</f>
        <v/>
      </c>
      <c r="F1274" s="556">
        <f>IF($A1274&gt;BOTT_C4,ROUND(BASE_C4+RATE_C4*($A1274-BOTT_C4),0),IF($A1274&gt;BOTT_C3,ROUND(BASE_C3+RATE_C3*($A1274-BOTT_C3),0),IF($A1274&gt;BOTT_C2,ROUND(BASE_C2+RATE_C2*($A1274-BOTT_C2),0),ROUND(RATE_C1*$A1274,0))))</f>
        <v/>
      </c>
      <c r="G1274" s="556">
        <f>IF($A1274&gt;BOTT_D4,ROUND(BASE_D4+RATE_D4*($A1274-BOTT_D4),0),IF($A1274&gt;BOTT_D3,ROUND(BASE_D3+RATE_D3*($A1274-BOTT_D3),0),IF($A1274&gt;BOTT_D2,ROUND(BASE_D2+RATE_D2*($A1274-BOTT_D2),0),ROUND(RATE_D1*$A1274,0))))</f>
        <v/>
      </c>
    </row>
    <row r="1275" ht="15.75" customHeight="1" s="7635">
      <c r="A1275" s="625">
        <f>AVERAGE(B1275,C1275)</f>
        <v/>
      </c>
      <c r="B1275" s="555" t="n">
        <v>60550</v>
      </c>
      <c r="C1275" s="555" t="n">
        <v>60600</v>
      </c>
      <c r="D1275" s="556">
        <f>IF($A1275&gt;BOTT_A4,ROUND(BASE_A4+RATE_A4*($A1275-BOTT_A4),0),IF($A1275&gt;BOTT_A3,ROUND(BASE_A3+RATE_A3*($A1275-BOTT_A3),0),IF($A1275&gt;BOTT_A2,ROUND(BASE_A2+RATE_A2*($A1275-BOTT_A2),0),ROUND(RATE_A1*$A1275,0))))</f>
        <v/>
      </c>
      <c r="E1275" s="556">
        <f>IF($A1275&gt;BOTT_B4,ROUND(BASE_B4+RATE_B4*($A1275-BOTT_B4),0),IF($A1275&gt;BOTT_B3,ROUND(BASE_B3+RATE_B3*($A1275-BOTT_B3),0),IF($A1275&gt;BOTT_B2,ROUND(BASE_B2+RATE_B2*($A1275-BOTT_B2),0),ROUND(RATE_B1*$A1275,0))))</f>
        <v/>
      </c>
      <c r="F1275" s="556">
        <f>IF($A1275&gt;BOTT_C4,ROUND(BASE_C4+RATE_C4*($A1275-BOTT_C4),0),IF($A1275&gt;BOTT_C3,ROUND(BASE_C3+RATE_C3*($A1275-BOTT_C3),0),IF($A1275&gt;BOTT_C2,ROUND(BASE_C2+RATE_C2*($A1275-BOTT_C2),0),ROUND(RATE_C1*$A1275,0))))</f>
        <v/>
      </c>
      <c r="G1275" s="556">
        <f>IF($A1275&gt;BOTT_D4,ROUND(BASE_D4+RATE_D4*($A1275-BOTT_D4),0),IF($A1275&gt;BOTT_D3,ROUND(BASE_D3+RATE_D3*($A1275-BOTT_D3),0),IF($A1275&gt;BOTT_D2,ROUND(BASE_D2+RATE_D2*($A1275-BOTT_D2),0),ROUND(RATE_D1*$A1275,0))))</f>
        <v/>
      </c>
    </row>
    <row r="1276" ht="15.75" customHeight="1" s="7635">
      <c r="A1276" s="625">
        <f>AVERAGE(B1276,C1276)</f>
        <v/>
      </c>
      <c r="B1276" s="555" t="n">
        <v>60600</v>
      </c>
      <c r="C1276" s="555" t="n">
        <v>60650</v>
      </c>
      <c r="D1276" s="556">
        <f>IF($A1276&gt;BOTT_A4,ROUND(BASE_A4+RATE_A4*($A1276-BOTT_A4),0),IF($A1276&gt;BOTT_A3,ROUND(BASE_A3+RATE_A3*($A1276-BOTT_A3),0),IF($A1276&gt;BOTT_A2,ROUND(BASE_A2+RATE_A2*($A1276-BOTT_A2),0),ROUND(RATE_A1*$A1276,0))))</f>
        <v/>
      </c>
      <c r="E1276" s="556">
        <f>IF($A1276&gt;BOTT_B4,ROUND(BASE_B4+RATE_B4*($A1276-BOTT_B4),0),IF($A1276&gt;BOTT_B3,ROUND(BASE_B3+RATE_B3*($A1276-BOTT_B3),0),IF($A1276&gt;BOTT_B2,ROUND(BASE_B2+RATE_B2*($A1276-BOTT_B2),0),ROUND(RATE_B1*$A1276,0))))</f>
        <v/>
      </c>
      <c r="F1276" s="556">
        <f>IF($A1276&gt;BOTT_C4,ROUND(BASE_C4+RATE_C4*($A1276-BOTT_C4),0),IF($A1276&gt;BOTT_C3,ROUND(BASE_C3+RATE_C3*($A1276-BOTT_C3),0),IF($A1276&gt;BOTT_C2,ROUND(BASE_C2+RATE_C2*($A1276-BOTT_C2),0),ROUND(RATE_C1*$A1276,0))))</f>
        <v/>
      </c>
      <c r="G1276" s="556">
        <f>IF($A1276&gt;BOTT_D4,ROUND(BASE_D4+RATE_D4*($A1276-BOTT_D4),0),IF($A1276&gt;BOTT_D3,ROUND(BASE_D3+RATE_D3*($A1276-BOTT_D3),0),IF($A1276&gt;BOTT_D2,ROUND(BASE_D2+RATE_D2*($A1276-BOTT_D2),0),ROUND(RATE_D1*$A1276,0))))</f>
        <v/>
      </c>
    </row>
    <row r="1277" ht="15.75" customHeight="1" s="7635">
      <c r="A1277" s="625">
        <f>AVERAGE(B1277,C1277)</f>
        <v/>
      </c>
      <c r="B1277" s="555" t="n">
        <v>60650</v>
      </c>
      <c r="C1277" s="555" t="n">
        <v>60700</v>
      </c>
      <c r="D1277" s="556">
        <f>IF($A1277&gt;BOTT_A4,ROUND(BASE_A4+RATE_A4*($A1277-BOTT_A4),0),IF($A1277&gt;BOTT_A3,ROUND(BASE_A3+RATE_A3*($A1277-BOTT_A3),0),IF($A1277&gt;BOTT_A2,ROUND(BASE_A2+RATE_A2*($A1277-BOTT_A2),0),ROUND(RATE_A1*$A1277,0))))</f>
        <v/>
      </c>
      <c r="E1277" s="556">
        <f>IF($A1277&gt;BOTT_B4,ROUND(BASE_B4+RATE_B4*($A1277-BOTT_B4),0),IF($A1277&gt;BOTT_B3,ROUND(BASE_B3+RATE_B3*($A1277-BOTT_B3),0),IF($A1277&gt;BOTT_B2,ROUND(BASE_B2+RATE_B2*($A1277-BOTT_B2),0),ROUND(RATE_B1*$A1277,0))))</f>
        <v/>
      </c>
      <c r="F1277" s="556">
        <f>IF($A1277&gt;BOTT_C4,ROUND(BASE_C4+RATE_C4*($A1277-BOTT_C4),0),IF($A1277&gt;BOTT_C3,ROUND(BASE_C3+RATE_C3*($A1277-BOTT_C3),0),IF($A1277&gt;BOTT_C2,ROUND(BASE_C2+RATE_C2*($A1277-BOTT_C2),0),ROUND(RATE_C1*$A1277,0))))</f>
        <v/>
      </c>
      <c r="G1277" s="556">
        <f>IF($A1277&gt;BOTT_D4,ROUND(BASE_D4+RATE_D4*($A1277-BOTT_D4),0),IF($A1277&gt;BOTT_D3,ROUND(BASE_D3+RATE_D3*($A1277-BOTT_D3),0),IF($A1277&gt;BOTT_D2,ROUND(BASE_D2+RATE_D2*($A1277-BOTT_D2),0),ROUND(RATE_D1*$A1277,0))))</f>
        <v/>
      </c>
    </row>
    <row r="1278" ht="15.75" customHeight="1" s="7635">
      <c r="A1278" s="625">
        <f>AVERAGE(B1278,C1278)</f>
        <v/>
      </c>
      <c r="B1278" s="555" t="n">
        <v>60700</v>
      </c>
      <c r="C1278" s="555" t="n">
        <v>60750</v>
      </c>
      <c r="D1278" s="556">
        <f>IF($A1278&gt;BOTT_A4,ROUND(BASE_A4+RATE_A4*($A1278-BOTT_A4),0),IF($A1278&gt;BOTT_A3,ROUND(BASE_A3+RATE_A3*($A1278-BOTT_A3),0),IF($A1278&gt;BOTT_A2,ROUND(BASE_A2+RATE_A2*($A1278-BOTT_A2),0),ROUND(RATE_A1*$A1278,0))))</f>
        <v/>
      </c>
      <c r="E1278" s="556">
        <f>IF($A1278&gt;BOTT_B4,ROUND(BASE_B4+RATE_B4*($A1278-BOTT_B4),0),IF($A1278&gt;BOTT_B3,ROUND(BASE_B3+RATE_B3*($A1278-BOTT_B3),0),IF($A1278&gt;BOTT_B2,ROUND(BASE_B2+RATE_B2*($A1278-BOTT_B2),0),ROUND(RATE_B1*$A1278,0))))</f>
        <v/>
      </c>
      <c r="F1278" s="556">
        <f>IF($A1278&gt;BOTT_C4,ROUND(BASE_C4+RATE_C4*($A1278-BOTT_C4),0),IF($A1278&gt;BOTT_C3,ROUND(BASE_C3+RATE_C3*($A1278-BOTT_C3),0),IF($A1278&gt;BOTT_C2,ROUND(BASE_C2+RATE_C2*($A1278-BOTT_C2),0),ROUND(RATE_C1*$A1278,0))))</f>
        <v/>
      </c>
      <c r="G1278" s="556">
        <f>IF($A1278&gt;BOTT_D4,ROUND(BASE_D4+RATE_D4*($A1278-BOTT_D4),0),IF($A1278&gt;BOTT_D3,ROUND(BASE_D3+RATE_D3*($A1278-BOTT_D3),0),IF($A1278&gt;BOTT_D2,ROUND(BASE_D2+RATE_D2*($A1278-BOTT_D2),0),ROUND(RATE_D1*$A1278,0))))</f>
        <v/>
      </c>
    </row>
    <row r="1279" ht="15.75" customHeight="1" s="7635">
      <c r="A1279" s="625">
        <f>AVERAGE(B1279,C1279)</f>
        <v/>
      </c>
      <c r="B1279" s="555" t="n">
        <v>60750</v>
      </c>
      <c r="C1279" s="555" t="n">
        <v>60800</v>
      </c>
      <c r="D1279" s="556">
        <f>IF($A1279&gt;BOTT_A4,ROUND(BASE_A4+RATE_A4*($A1279-BOTT_A4),0),IF($A1279&gt;BOTT_A3,ROUND(BASE_A3+RATE_A3*($A1279-BOTT_A3),0),IF($A1279&gt;BOTT_A2,ROUND(BASE_A2+RATE_A2*($A1279-BOTT_A2),0),ROUND(RATE_A1*$A1279,0))))</f>
        <v/>
      </c>
      <c r="E1279" s="556">
        <f>IF($A1279&gt;BOTT_B4,ROUND(BASE_B4+RATE_B4*($A1279-BOTT_B4),0),IF($A1279&gt;BOTT_B3,ROUND(BASE_B3+RATE_B3*($A1279-BOTT_B3),0),IF($A1279&gt;BOTT_B2,ROUND(BASE_B2+RATE_B2*($A1279-BOTT_B2),0),ROUND(RATE_B1*$A1279,0))))</f>
        <v/>
      </c>
      <c r="F1279" s="556">
        <f>IF($A1279&gt;BOTT_C4,ROUND(BASE_C4+RATE_C4*($A1279-BOTT_C4),0),IF($A1279&gt;BOTT_C3,ROUND(BASE_C3+RATE_C3*($A1279-BOTT_C3),0),IF($A1279&gt;BOTT_C2,ROUND(BASE_C2+RATE_C2*($A1279-BOTT_C2),0),ROUND(RATE_C1*$A1279,0))))</f>
        <v/>
      </c>
      <c r="G1279" s="556">
        <f>IF($A1279&gt;BOTT_D4,ROUND(BASE_D4+RATE_D4*($A1279-BOTT_D4),0),IF($A1279&gt;BOTT_D3,ROUND(BASE_D3+RATE_D3*($A1279-BOTT_D3),0),IF($A1279&gt;BOTT_D2,ROUND(BASE_D2+RATE_D2*($A1279-BOTT_D2),0),ROUND(RATE_D1*$A1279,0))))</f>
        <v/>
      </c>
    </row>
    <row r="1280" ht="15.75" customHeight="1" s="7635">
      <c r="A1280" s="625">
        <f>AVERAGE(B1280,C1280)</f>
        <v/>
      </c>
      <c r="B1280" s="555" t="n">
        <v>60800</v>
      </c>
      <c r="C1280" s="555" t="n">
        <v>60850</v>
      </c>
      <c r="D1280" s="556">
        <f>IF($A1280&gt;BOTT_A4,ROUND(BASE_A4+RATE_A4*($A1280-BOTT_A4),0),IF($A1280&gt;BOTT_A3,ROUND(BASE_A3+RATE_A3*($A1280-BOTT_A3),0),IF($A1280&gt;BOTT_A2,ROUND(BASE_A2+RATE_A2*($A1280-BOTT_A2),0),ROUND(RATE_A1*$A1280,0))))</f>
        <v/>
      </c>
      <c r="E1280" s="556">
        <f>IF($A1280&gt;BOTT_B4,ROUND(BASE_B4+RATE_B4*($A1280-BOTT_B4),0),IF($A1280&gt;BOTT_B3,ROUND(BASE_B3+RATE_B3*($A1280-BOTT_B3),0),IF($A1280&gt;BOTT_B2,ROUND(BASE_B2+RATE_B2*($A1280-BOTT_B2),0),ROUND(RATE_B1*$A1280,0))))</f>
        <v/>
      </c>
      <c r="F1280" s="556">
        <f>IF($A1280&gt;BOTT_C4,ROUND(BASE_C4+RATE_C4*($A1280-BOTT_C4),0),IF($A1280&gt;BOTT_C3,ROUND(BASE_C3+RATE_C3*($A1280-BOTT_C3),0),IF($A1280&gt;BOTT_C2,ROUND(BASE_C2+RATE_C2*($A1280-BOTT_C2),0),ROUND(RATE_C1*$A1280,0))))</f>
        <v/>
      </c>
      <c r="G1280" s="556">
        <f>IF($A1280&gt;BOTT_D4,ROUND(BASE_D4+RATE_D4*($A1280-BOTT_D4),0),IF($A1280&gt;BOTT_D3,ROUND(BASE_D3+RATE_D3*($A1280-BOTT_D3),0),IF($A1280&gt;BOTT_D2,ROUND(BASE_D2+RATE_D2*($A1280-BOTT_D2),0),ROUND(RATE_D1*$A1280,0))))</f>
        <v/>
      </c>
    </row>
    <row r="1281" ht="15.75" customHeight="1" s="7635">
      <c r="A1281" s="625">
        <f>AVERAGE(B1281,C1281)</f>
        <v/>
      </c>
      <c r="B1281" s="555" t="n">
        <v>60850</v>
      </c>
      <c r="C1281" s="555" t="n">
        <v>60900</v>
      </c>
      <c r="D1281" s="556">
        <f>IF($A1281&gt;BOTT_A4,ROUND(BASE_A4+RATE_A4*($A1281-BOTT_A4),0),IF($A1281&gt;BOTT_A3,ROUND(BASE_A3+RATE_A3*($A1281-BOTT_A3),0),IF($A1281&gt;BOTT_A2,ROUND(BASE_A2+RATE_A2*($A1281-BOTT_A2),0),ROUND(RATE_A1*$A1281,0))))</f>
        <v/>
      </c>
      <c r="E1281" s="556">
        <f>IF($A1281&gt;BOTT_B4,ROUND(BASE_B4+RATE_B4*($A1281-BOTT_B4),0),IF($A1281&gt;BOTT_B3,ROUND(BASE_B3+RATE_B3*($A1281-BOTT_B3),0),IF($A1281&gt;BOTT_B2,ROUND(BASE_B2+RATE_B2*($A1281-BOTT_B2),0),ROUND(RATE_B1*$A1281,0))))</f>
        <v/>
      </c>
      <c r="F1281" s="556">
        <f>IF($A1281&gt;BOTT_C4,ROUND(BASE_C4+RATE_C4*($A1281-BOTT_C4),0),IF($A1281&gt;BOTT_C3,ROUND(BASE_C3+RATE_C3*($A1281-BOTT_C3),0),IF($A1281&gt;BOTT_C2,ROUND(BASE_C2+RATE_C2*($A1281-BOTT_C2),0),ROUND(RATE_C1*$A1281,0))))</f>
        <v/>
      </c>
      <c r="G1281" s="556">
        <f>IF($A1281&gt;BOTT_D4,ROUND(BASE_D4+RATE_D4*($A1281-BOTT_D4),0),IF($A1281&gt;BOTT_D3,ROUND(BASE_D3+RATE_D3*($A1281-BOTT_D3),0),IF($A1281&gt;BOTT_D2,ROUND(BASE_D2+RATE_D2*($A1281-BOTT_D2),0),ROUND(RATE_D1*$A1281,0))))</f>
        <v/>
      </c>
    </row>
    <row r="1282" ht="15.75" customHeight="1" s="7635">
      <c r="A1282" s="625">
        <f>AVERAGE(B1282,C1282)</f>
        <v/>
      </c>
      <c r="B1282" s="555" t="n">
        <v>60900</v>
      </c>
      <c r="C1282" s="555" t="n">
        <v>60950</v>
      </c>
      <c r="D1282" s="556">
        <f>IF($A1282&gt;BOTT_A4,ROUND(BASE_A4+RATE_A4*($A1282-BOTT_A4),0),IF($A1282&gt;BOTT_A3,ROUND(BASE_A3+RATE_A3*($A1282-BOTT_A3),0),IF($A1282&gt;BOTT_A2,ROUND(BASE_A2+RATE_A2*($A1282-BOTT_A2),0),ROUND(RATE_A1*$A1282,0))))</f>
        <v/>
      </c>
      <c r="E1282" s="556">
        <f>IF($A1282&gt;BOTT_B4,ROUND(BASE_B4+RATE_B4*($A1282-BOTT_B4),0),IF($A1282&gt;BOTT_B3,ROUND(BASE_B3+RATE_B3*($A1282-BOTT_B3),0),IF($A1282&gt;BOTT_B2,ROUND(BASE_B2+RATE_B2*($A1282-BOTT_B2),0),ROUND(RATE_B1*$A1282,0))))</f>
        <v/>
      </c>
      <c r="F1282" s="556">
        <f>IF($A1282&gt;BOTT_C4,ROUND(BASE_C4+RATE_C4*($A1282-BOTT_C4),0),IF($A1282&gt;BOTT_C3,ROUND(BASE_C3+RATE_C3*($A1282-BOTT_C3),0),IF($A1282&gt;BOTT_C2,ROUND(BASE_C2+RATE_C2*($A1282-BOTT_C2),0),ROUND(RATE_C1*$A1282,0))))</f>
        <v/>
      </c>
      <c r="G1282" s="556">
        <f>IF($A1282&gt;BOTT_D4,ROUND(BASE_D4+RATE_D4*($A1282-BOTT_D4),0),IF($A1282&gt;BOTT_D3,ROUND(BASE_D3+RATE_D3*($A1282-BOTT_D3),0),IF($A1282&gt;BOTT_D2,ROUND(BASE_D2+RATE_D2*($A1282-BOTT_D2),0),ROUND(RATE_D1*$A1282,0))))</f>
        <v/>
      </c>
    </row>
    <row r="1283" ht="15.75" customHeight="1" s="7635">
      <c r="A1283" s="625">
        <f>AVERAGE(B1283,C1283)</f>
        <v/>
      </c>
      <c r="B1283" s="555" t="n">
        <v>60950</v>
      </c>
      <c r="C1283" s="555" t="n">
        <v>61000</v>
      </c>
      <c r="D1283" s="556">
        <f>IF($A1283&gt;BOTT_A4,ROUND(BASE_A4+RATE_A4*($A1283-BOTT_A4),0),IF($A1283&gt;BOTT_A3,ROUND(BASE_A3+RATE_A3*($A1283-BOTT_A3),0),IF($A1283&gt;BOTT_A2,ROUND(BASE_A2+RATE_A2*($A1283-BOTT_A2),0),ROUND(RATE_A1*$A1283,0))))</f>
        <v/>
      </c>
      <c r="E1283" s="556">
        <f>IF($A1283&gt;BOTT_B4,ROUND(BASE_B4+RATE_B4*($A1283-BOTT_B4),0),IF($A1283&gt;BOTT_B3,ROUND(BASE_B3+RATE_B3*($A1283-BOTT_B3),0),IF($A1283&gt;BOTT_B2,ROUND(BASE_B2+RATE_B2*($A1283-BOTT_B2),0),ROUND(RATE_B1*$A1283,0))))</f>
        <v/>
      </c>
      <c r="F1283" s="556">
        <f>IF($A1283&gt;BOTT_C4,ROUND(BASE_C4+RATE_C4*($A1283-BOTT_C4),0),IF($A1283&gt;BOTT_C3,ROUND(BASE_C3+RATE_C3*($A1283-BOTT_C3),0),IF($A1283&gt;BOTT_C2,ROUND(BASE_C2+RATE_C2*($A1283-BOTT_C2),0),ROUND(RATE_C1*$A1283,0))))</f>
        <v/>
      </c>
      <c r="G1283" s="556">
        <f>IF($A1283&gt;BOTT_D4,ROUND(BASE_D4+RATE_D4*($A1283-BOTT_D4),0),IF($A1283&gt;BOTT_D3,ROUND(BASE_D3+RATE_D3*($A1283-BOTT_D3),0),IF($A1283&gt;BOTT_D2,ROUND(BASE_D2+RATE_D2*($A1283-BOTT_D2),0),ROUND(RATE_D1*$A1283,0))))</f>
        <v/>
      </c>
    </row>
    <row r="1284" ht="15.75" customHeight="1" s="7635">
      <c r="A1284" s="625">
        <f>AVERAGE(B1284,C1284)</f>
        <v/>
      </c>
      <c r="B1284" s="555" t="n">
        <v>61000</v>
      </c>
      <c r="C1284" s="555" t="n">
        <v>61050</v>
      </c>
      <c r="D1284" s="556">
        <f>IF($A1284&gt;BOTT_A4,ROUND(BASE_A4+RATE_A4*($A1284-BOTT_A4),0),IF($A1284&gt;BOTT_A3,ROUND(BASE_A3+RATE_A3*($A1284-BOTT_A3),0),IF($A1284&gt;BOTT_A2,ROUND(BASE_A2+RATE_A2*($A1284-BOTT_A2),0),ROUND(RATE_A1*$A1284,0))))</f>
        <v/>
      </c>
      <c r="E1284" s="556">
        <f>IF($A1284&gt;BOTT_B4,ROUND(BASE_B4+RATE_B4*($A1284-BOTT_B4),0),IF($A1284&gt;BOTT_B3,ROUND(BASE_B3+RATE_B3*($A1284-BOTT_B3),0),IF($A1284&gt;BOTT_B2,ROUND(BASE_B2+RATE_B2*($A1284-BOTT_B2),0),ROUND(RATE_B1*$A1284,0))))</f>
        <v/>
      </c>
      <c r="F1284" s="556">
        <f>IF($A1284&gt;BOTT_C4,ROUND(BASE_C4+RATE_C4*($A1284-BOTT_C4),0),IF($A1284&gt;BOTT_C3,ROUND(BASE_C3+RATE_C3*($A1284-BOTT_C3),0),IF($A1284&gt;BOTT_C2,ROUND(BASE_C2+RATE_C2*($A1284-BOTT_C2),0),ROUND(RATE_C1*$A1284,0))))</f>
        <v/>
      </c>
      <c r="G1284" s="556">
        <f>IF($A1284&gt;BOTT_D4,ROUND(BASE_D4+RATE_D4*($A1284-BOTT_D4),0),IF($A1284&gt;BOTT_D3,ROUND(BASE_D3+RATE_D3*($A1284-BOTT_D3),0),IF($A1284&gt;BOTT_D2,ROUND(BASE_D2+RATE_D2*($A1284-BOTT_D2),0),ROUND(RATE_D1*$A1284,0))))</f>
        <v/>
      </c>
    </row>
    <row r="1285" ht="15.75" customHeight="1" s="7635">
      <c r="A1285" s="625">
        <f>AVERAGE(B1285,C1285)</f>
        <v/>
      </c>
      <c r="B1285" s="555" t="n">
        <v>61050</v>
      </c>
      <c r="C1285" s="555" t="n">
        <v>61100</v>
      </c>
      <c r="D1285" s="556">
        <f>IF($A1285&gt;BOTT_A4,ROUND(BASE_A4+RATE_A4*($A1285-BOTT_A4),0),IF($A1285&gt;BOTT_A3,ROUND(BASE_A3+RATE_A3*($A1285-BOTT_A3),0),IF($A1285&gt;BOTT_A2,ROUND(BASE_A2+RATE_A2*($A1285-BOTT_A2),0),ROUND(RATE_A1*$A1285,0))))</f>
        <v/>
      </c>
      <c r="E1285" s="556">
        <f>IF($A1285&gt;BOTT_B4,ROUND(BASE_B4+RATE_B4*($A1285-BOTT_B4),0),IF($A1285&gt;BOTT_B3,ROUND(BASE_B3+RATE_B3*($A1285-BOTT_B3),0),IF($A1285&gt;BOTT_B2,ROUND(BASE_B2+RATE_B2*($A1285-BOTT_B2),0),ROUND(RATE_B1*$A1285,0))))</f>
        <v/>
      </c>
      <c r="F1285" s="556">
        <f>IF($A1285&gt;BOTT_C4,ROUND(BASE_C4+RATE_C4*($A1285-BOTT_C4),0),IF($A1285&gt;BOTT_C3,ROUND(BASE_C3+RATE_C3*($A1285-BOTT_C3),0),IF($A1285&gt;BOTT_C2,ROUND(BASE_C2+RATE_C2*($A1285-BOTT_C2),0),ROUND(RATE_C1*$A1285,0))))</f>
        <v/>
      </c>
      <c r="G1285" s="556">
        <f>IF($A1285&gt;BOTT_D4,ROUND(BASE_D4+RATE_D4*($A1285-BOTT_D4),0),IF($A1285&gt;BOTT_D3,ROUND(BASE_D3+RATE_D3*($A1285-BOTT_D3),0),IF($A1285&gt;BOTT_D2,ROUND(BASE_D2+RATE_D2*($A1285-BOTT_D2),0),ROUND(RATE_D1*$A1285,0))))</f>
        <v/>
      </c>
    </row>
    <row r="1286" ht="15.75" customHeight="1" s="7635">
      <c r="A1286" s="625">
        <f>AVERAGE(B1286,C1286)</f>
        <v/>
      </c>
      <c r="B1286" s="555" t="n">
        <v>61100</v>
      </c>
      <c r="C1286" s="555" t="n">
        <v>61150</v>
      </c>
      <c r="D1286" s="556">
        <f>IF($A1286&gt;BOTT_A4,ROUND(BASE_A4+RATE_A4*($A1286-BOTT_A4),0),IF($A1286&gt;BOTT_A3,ROUND(BASE_A3+RATE_A3*($A1286-BOTT_A3),0),IF($A1286&gt;BOTT_A2,ROUND(BASE_A2+RATE_A2*($A1286-BOTT_A2),0),ROUND(RATE_A1*$A1286,0))))</f>
        <v/>
      </c>
      <c r="E1286" s="556">
        <f>IF($A1286&gt;BOTT_B4,ROUND(BASE_B4+RATE_B4*($A1286-BOTT_B4),0),IF($A1286&gt;BOTT_B3,ROUND(BASE_B3+RATE_B3*($A1286-BOTT_B3),0),IF($A1286&gt;BOTT_B2,ROUND(BASE_B2+RATE_B2*($A1286-BOTT_B2),0),ROUND(RATE_B1*$A1286,0))))</f>
        <v/>
      </c>
      <c r="F1286" s="556">
        <f>IF($A1286&gt;BOTT_C4,ROUND(BASE_C4+RATE_C4*($A1286-BOTT_C4),0),IF($A1286&gt;BOTT_C3,ROUND(BASE_C3+RATE_C3*($A1286-BOTT_C3),0),IF($A1286&gt;BOTT_C2,ROUND(BASE_C2+RATE_C2*($A1286-BOTT_C2),0),ROUND(RATE_C1*$A1286,0))))</f>
        <v/>
      </c>
      <c r="G1286" s="556">
        <f>IF($A1286&gt;BOTT_D4,ROUND(BASE_D4+RATE_D4*($A1286-BOTT_D4),0),IF($A1286&gt;BOTT_D3,ROUND(BASE_D3+RATE_D3*($A1286-BOTT_D3),0),IF($A1286&gt;BOTT_D2,ROUND(BASE_D2+RATE_D2*($A1286-BOTT_D2),0),ROUND(RATE_D1*$A1286,0))))</f>
        <v/>
      </c>
    </row>
    <row r="1287" ht="15.75" customHeight="1" s="7635">
      <c r="A1287" s="625">
        <f>AVERAGE(B1287,C1287)</f>
        <v/>
      </c>
      <c r="B1287" s="555" t="n">
        <v>61150</v>
      </c>
      <c r="C1287" s="555" t="n">
        <v>61200</v>
      </c>
      <c r="D1287" s="556">
        <f>IF($A1287&gt;BOTT_A4,ROUND(BASE_A4+RATE_A4*($A1287-BOTT_A4),0),IF($A1287&gt;BOTT_A3,ROUND(BASE_A3+RATE_A3*($A1287-BOTT_A3),0),IF($A1287&gt;BOTT_A2,ROUND(BASE_A2+RATE_A2*($A1287-BOTT_A2),0),ROUND(RATE_A1*$A1287,0))))</f>
        <v/>
      </c>
      <c r="E1287" s="556">
        <f>IF($A1287&gt;BOTT_B4,ROUND(BASE_B4+RATE_B4*($A1287-BOTT_B4),0),IF($A1287&gt;BOTT_B3,ROUND(BASE_B3+RATE_B3*($A1287-BOTT_B3),0),IF($A1287&gt;BOTT_B2,ROUND(BASE_B2+RATE_B2*($A1287-BOTT_B2),0),ROUND(RATE_B1*$A1287,0))))</f>
        <v/>
      </c>
      <c r="F1287" s="556">
        <f>IF($A1287&gt;BOTT_C4,ROUND(BASE_C4+RATE_C4*($A1287-BOTT_C4),0),IF($A1287&gt;BOTT_C3,ROUND(BASE_C3+RATE_C3*($A1287-BOTT_C3),0),IF($A1287&gt;BOTT_C2,ROUND(BASE_C2+RATE_C2*($A1287-BOTT_C2),0),ROUND(RATE_C1*$A1287,0))))</f>
        <v/>
      </c>
      <c r="G1287" s="556">
        <f>IF($A1287&gt;BOTT_D4,ROUND(BASE_D4+RATE_D4*($A1287-BOTT_D4),0),IF($A1287&gt;BOTT_D3,ROUND(BASE_D3+RATE_D3*($A1287-BOTT_D3),0),IF($A1287&gt;BOTT_D2,ROUND(BASE_D2+RATE_D2*($A1287-BOTT_D2),0),ROUND(RATE_D1*$A1287,0))))</f>
        <v/>
      </c>
    </row>
    <row r="1288" ht="15.75" customHeight="1" s="7635">
      <c r="A1288" s="625">
        <f>AVERAGE(B1288,C1288)</f>
        <v/>
      </c>
      <c r="B1288" s="555" t="n">
        <v>61200</v>
      </c>
      <c r="C1288" s="555" t="n">
        <v>61250</v>
      </c>
      <c r="D1288" s="556">
        <f>IF($A1288&gt;BOTT_A4,ROUND(BASE_A4+RATE_A4*($A1288-BOTT_A4),0),IF($A1288&gt;BOTT_A3,ROUND(BASE_A3+RATE_A3*($A1288-BOTT_A3),0),IF($A1288&gt;BOTT_A2,ROUND(BASE_A2+RATE_A2*($A1288-BOTT_A2),0),ROUND(RATE_A1*$A1288,0))))</f>
        <v/>
      </c>
      <c r="E1288" s="556">
        <f>IF($A1288&gt;BOTT_B4,ROUND(BASE_B4+RATE_B4*($A1288-BOTT_B4),0),IF($A1288&gt;BOTT_B3,ROUND(BASE_B3+RATE_B3*($A1288-BOTT_B3),0),IF($A1288&gt;BOTT_B2,ROUND(BASE_B2+RATE_B2*($A1288-BOTT_B2),0),ROUND(RATE_B1*$A1288,0))))</f>
        <v/>
      </c>
      <c r="F1288" s="556">
        <f>IF($A1288&gt;BOTT_C4,ROUND(BASE_C4+RATE_C4*($A1288-BOTT_C4),0),IF($A1288&gt;BOTT_C3,ROUND(BASE_C3+RATE_C3*($A1288-BOTT_C3),0),IF($A1288&gt;BOTT_C2,ROUND(BASE_C2+RATE_C2*($A1288-BOTT_C2),0),ROUND(RATE_C1*$A1288,0))))</f>
        <v/>
      </c>
      <c r="G1288" s="556">
        <f>IF($A1288&gt;BOTT_D4,ROUND(BASE_D4+RATE_D4*($A1288-BOTT_D4),0),IF($A1288&gt;BOTT_D3,ROUND(BASE_D3+RATE_D3*($A1288-BOTT_D3),0),IF($A1288&gt;BOTT_D2,ROUND(BASE_D2+RATE_D2*($A1288-BOTT_D2),0),ROUND(RATE_D1*$A1288,0))))</f>
        <v/>
      </c>
    </row>
    <row r="1289" ht="15.75" customHeight="1" s="7635">
      <c r="A1289" s="625">
        <f>AVERAGE(B1289,C1289)</f>
        <v/>
      </c>
      <c r="B1289" s="555" t="n">
        <v>61250</v>
      </c>
      <c r="C1289" s="555" t="n">
        <v>61300</v>
      </c>
      <c r="D1289" s="556">
        <f>IF($A1289&gt;BOTT_A4,ROUND(BASE_A4+RATE_A4*($A1289-BOTT_A4),0),IF($A1289&gt;BOTT_A3,ROUND(BASE_A3+RATE_A3*($A1289-BOTT_A3),0),IF($A1289&gt;BOTT_A2,ROUND(BASE_A2+RATE_A2*($A1289-BOTT_A2),0),ROUND(RATE_A1*$A1289,0))))</f>
        <v/>
      </c>
      <c r="E1289" s="556">
        <f>IF($A1289&gt;BOTT_B4,ROUND(BASE_B4+RATE_B4*($A1289-BOTT_B4),0),IF($A1289&gt;BOTT_B3,ROUND(BASE_B3+RATE_B3*($A1289-BOTT_B3),0),IF($A1289&gt;BOTT_B2,ROUND(BASE_B2+RATE_B2*($A1289-BOTT_B2),0),ROUND(RATE_B1*$A1289,0))))</f>
        <v/>
      </c>
      <c r="F1289" s="556">
        <f>IF($A1289&gt;BOTT_C4,ROUND(BASE_C4+RATE_C4*($A1289-BOTT_C4),0),IF($A1289&gt;BOTT_C3,ROUND(BASE_C3+RATE_C3*($A1289-BOTT_C3),0),IF($A1289&gt;BOTT_C2,ROUND(BASE_C2+RATE_C2*($A1289-BOTT_C2),0),ROUND(RATE_C1*$A1289,0))))</f>
        <v/>
      </c>
      <c r="G1289" s="556">
        <f>IF($A1289&gt;BOTT_D4,ROUND(BASE_D4+RATE_D4*($A1289-BOTT_D4),0),IF($A1289&gt;BOTT_D3,ROUND(BASE_D3+RATE_D3*($A1289-BOTT_D3),0),IF($A1289&gt;BOTT_D2,ROUND(BASE_D2+RATE_D2*($A1289-BOTT_D2),0),ROUND(RATE_D1*$A1289,0))))</f>
        <v/>
      </c>
    </row>
    <row r="1290" ht="15.75" customHeight="1" s="7635">
      <c r="A1290" s="625">
        <f>AVERAGE(B1290,C1290)</f>
        <v/>
      </c>
      <c r="B1290" s="555" t="n">
        <v>61300</v>
      </c>
      <c r="C1290" s="555" t="n">
        <v>61350</v>
      </c>
      <c r="D1290" s="556">
        <f>IF($A1290&gt;BOTT_A4,ROUND(BASE_A4+RATE_A4*($A1290-BOTT_A4),0),IF($A1290&gt;BOTT_A3,ROUND(BASE_A3+RATE_A3*($A1290-BOTT_A3),0),IF($A1290&gt;BOTT_A2,ROUND(BASE_A2+RATE_A2*($A1290-BOTT_A2),0),ROUND(RATE_A1*$A1290,0))))</f>
        <v/>
      </c>
      <c r="E1290" s="556">
        <f>IF($A1290&gt;BOTT_B4,ROUND(BASE_B4+RATE_B4*($A1290-BOTT_B4),0),IF($A1290&gt;BOTT_B3,ROUND(BASE_B3+RATE_B3*($A1290-BOTT_B3),0),IF($A1290&gt;BOTT_B2,ROUND(BASE_B2+RATE_B2*($A1290-BOTT_B2),0),ROUND(RATE_B1*$A1290,0))))</f>
        <v/>
      </c>
      <c r="F1290" s="556">
        <f>IF($A1290&gt;BOTT_C4,ROUND(BASE_C4+RATE_C4*($A1290-BOTT_C4),0),IF($A1290&gt;BOTT_C3,ROUND(BASE_C3+RATE_C3*($A1290-BOTT_C3),0),IF($A1290&gt;BOTT_C2,ROUND(BASE_C2+RATE_C2*($A1290-BOTT_C2),0),ROUND(RATE_C1*$A1290,0))))</f>
        <v/>
      </c>
      <c r="G1290" s="556">
        <f>IF($A1290&gt;BOTT_D4,ROUND(BASE_D4+RATE_D4*($A1290-BOTT_D4),0),IF($A1290&gt;BOTT_D3,ROUND(BASE_D3+RATE_D3*($A1290-BOTT_D3),0),IF($A1290&gt;BOTT_D2,ROUND(BASE_D2+RATE_D2*($A1290-BOTT_D2),0),ROUND(RATE_D1*$A1290,0))))</f>
        <v/>
      </c>
    </row>
    <row r="1291" ht="15.75" customHeight="1" s="7635">
      <c r="A1291" s="625">
        <f>AVERAGE(B1291,C1291)</f>
        <v/>
      </c>
      <c r="B1291" s="555" t="n">
        <v>61350</v>
      </c>
      <c r="C1291" s="555" t="n">
        <v>61400</v>
      </c>
      <c r="D1291" s="556">
        <f>IF($A1291&gt;BOTT_A4,ROUND(BASE_A4+RATE_A4*($A1291-BOTT_A4),0),IF($A1291&gt;BOTT_A3,ROUND(BASE_A3+RATE_A3*($A1291-BOTT_A3),0),IF($A1291&gt;BOTT_A2,ROUND(BASE_A2+RATE_A2*($A1291-BOTT_A2),0),ROUND(RATE_A1*$A1291,0))))</f>
        <v/>
      </c>
      <c r="E1291" s="556">
        <f>IF($A1291&gt;BOTT_B4,ROUND(BASE_B4+RATE_B4*($A1291-BOTT_B4),0),IF($A1291&gt;BOTT_B3,ROUND(BASE_B3+RATE_B3*($A1291-BOTT_B3),0),IF($A1291&gt;BOTT_B2,ROUND(BASE_B2+RATE_B2*($A1291-BOTT_B2),0),ROUND(RATE_B1*$A1291,0))))</f>
        <v/>
      </c>
      <c r="F1291" s="556">
        <f>IF($A1291&gt;BOTT_C4,ROUND(BASE_C4+RATE_C4*($A1291-BOTT_C4),0),IF($A1291&gt;BOTT_C3,ROUND(BASE_C3+RATE_C3*($A1291-BOTT_C3),0),IF($A1291&gt;BOTT_C2,ROUND(BASE_C2+RATE_C2*($A1291-BOTT_C2),0),ROUND(RATE_C1*$A1291,0))))</f>
        <v/>
      </c>
      <c r="G1291" s="556">
        <f>IF($A1291&gt;BOTT_D4,ROUND(BASE_D4+RATE_D4*($A1291-BOTT_D4),0),IF($A1291&gt;BOTT_D3,ROUND(BASE_D3+RATE_D3*($A1291-BOTT_D3),0),IF($A1291&gt;BOTT_D2,ROUND(BASE_D2+RATE_D2*($A1291-BOTT_D2),0),ROUND(RATE_D1*$A1291,0))))</f>
        <v/>
      </c>
    </row>
    <row r="1292" ht="15.75" customHeight="1" s="7635">
      <c r="A1292" s="625">
        <f>AVERAGE(B1292,C1292)</f>
        <v/>
      </c>
      <c r="B1292" s="555" t="n">
        <v>61400</v>
      </c>
      <c r="C1292" s="555" t="n">
        <v>61450</v>
      </c>
      <c r="D1292" s="556">
        <f>IF($A1292&gt;BOTT_A4,ROUND(BASE_A4+RATE_A4*($A1292-BOTT_A4),0),IF($A1292&gt;BOTT_A3,ROUND(BASE_A3+RATE_A3*($A1292-BOTT_A3),0),IF($A1292&gt;BOTT_A2,ROUND(BASE_A2+RATE_A2*($A1292-BOTT_A2),0),ROUND(RATE_A1*$A1292,0))))</f>
        <v/>
      </c>
      <c r="E1292" s="556">
        <f>IF($A1292&gt;BOTT_B4,ROUND(BASE_B4+RATE_B4*($A1292-BOTT_B4),0),IF($A1292&gt;BOTT_B3,ROUND(BASE_B3+RATE_B3*($A1292-BOTT_B3),0),IF($A1292&gt;BOTT_B2,ROUND(BASE_B2+RATE_B2*($A1292-BOTT_B2),0),ROUND(RATE_B1*$A1292,0))))</f>
        <v/>
      </c>
      <c r="F1292" s="556">
        <f>IF($A1292&gt;BOTT_C4,ROUND(BASE_C4+RATE_C4*($A1292-BOTT_C4),0),IF($A1292&gt;BOTT_C3,ROUND(BASE_C3+RATE_C3*($A1292-BOTT_C3),0),IF($A1292&gt;BOTT_C2,ROUND(BASE_C2+RATE_C2*($A1292-BOTT_C2),0),ROUND(RATE_C1*$A1292,0))))</f>
        <v/>
      </c>
      <c r="G1292" s="556">
        <f>IF($A1292&gt;BOTT_D4,ROUND(BASE_D4+RATE_D4*($A1292-BOTT_D4),0),IF($A1292&gt;BOTT_D3,ROUND(BASE_D3+RATE_D3*($A1292-BOTT_D3),0),IF($A1292&gt;BOTT_D2,ROUND(BASE_D2+RATE_D2*($A1292-BOTT_D2),0),ROUND(RATE_D1*$A1292,0))))</f>
        <v/>
      </c>
    </row>
    <row r="1293" ht="15.75" customHeight="1" s="7635">
      <c r="A1293" s="625">
        <f>AVERAGE(B1293,C1293)</f>
        <v/>
      </c>
      <c r="B1293" s="555" t="n">
        <v>61450</v>
      </c>
      <c r="C1293" s="555" t="n">
        <v>61500</v>
      </c>
      <c r="D1293" s="556">
        <f>IF($A1293&gt;BOTT_A4,ROUND(BASE_A4+RATE_A4*($A1293-BOTT_A4),0),IF($A1293&gt;BOTT_A3,ROUND(BASE_A3+RATE_A3*($A1293-BOTT_A3),0),IF($A1293&gt;BOTT_A2,ROUND(BASE_A2+RATE_A2*($A1293-BOTT_A2),0),ROUND(RATE_A1*$A1293,0))))</f>
        <v/>
      </c>
      <c r="E1293" s="556">
        <f>IF($A1293&gt;BOTT_B4,ROUND(BASE_B4+RATE_B4*($A1293-BOTT_B4),0),IF($A1293&gt;BOTT_B3,ROUND(BASE_B3+RATE_B3*($A1293-BOTT_B3),0),IF($A1293&gt;BOTT_B2,ROUND(BASE_B2+RATE_B2*($A1293-BOTT_B2),0),ROUND(RATE_B1*$A1293,0))))</f>
        <v/>
      </c>
      <c r="F1293" s="556">
        <f>IF($A1293&gt;BOTT_C4,ROUND(BASE_C4+RATE_C4*($A1293-BOTT_C4),0),IF($A1293&gt;BOTT_C3,ROUND(BASE_C3+RATE_C3*($A1293-BOTT_C3),0),IF($A1293&gt;BOTT_C2,ROUND(BASE_C2+RATE_C2*($A1293-BOTT_C2),0),ROUND(RATE_C1*$A1293,0))))</f>
        <v/>
      </c>
      <c r="G1293" s="556">
        <f>IF($A1293&gt;BOTT_D4,ROUND(BASE_D4+RATE_D4*($A1293-BOTT_D4),0),IF($A1293&gt;BOTT_D3,ROUND(BASE_D3+RATE_D3*($A1293-BOTT_D3),0),IF($A1293&gt;BOTT_D2,ROUND(BASE_D2+RATE_D2*($A1293-BOTT_D2),0),ROUND(RATE_D1*$A1293,0))))</f>
        <v/>
      </c>
    </row>
    <row r="1294" ht="15.75" customHeight="1" s="7635">
      <c r="A1294" s="625">
        <f>AVERAGE(B1294,C1294)</f>
        <v/>
      </c>
      <c r="B1294" s="555" t="n">
        <v>61500</v>
      </c>
      <c r="C1294" s="555" t="n">
        <v>61550</v>
      </c>
      <c r="D1294" s="556">
        <f>IF($A1294&gt;BOTT_A4,ROUND(BASE_A4+RATE_A4*($A1294-BOTT_A4),0),IF($A1294&gt;BOTT_A3,ROUND(BASE_A3+RATE_A3*($A1294-BOTT_A3),0),IF($A1294&gt;BOTT_A2,ROUND(BASE_A2+RATE_A2*($A1294-BOTT_A2),0),ROUND(RATE_A1*$A1294,0))))</f>
        <v/>
      </c>
      <c r="E1294" s="556">
        <f>IF($A1294&gt;BOTT_B4,ROUND(BASE_B4+RATE_B4*($A1294-BOTT_B4),0),IF($A1294&gt;BOTT_B3,ROUND(BASE_B3+RATE_B3*($A1294-BOTT_B3),0),IF($A1294&gt;BOTT_B2,ROUND(BASE_B2+RATE_B2*($A1294-BOTT_B2),0),ROUND(RATE_B1*$A1294,0))))</f>
        <v/>
      </c>
      <c r="F1294" s="556">
        <f>IF($A1294&gt;BOTT_C4,ROUND(BASE_C4+RATE_C4*($A1294-BOTT_C4),0),IF($A1294&gt;BOTT_C3,ROUND(BASE_C3+RATE_C3*($A1294-BOTT_C3),0),IF($A1294&gt;BOTT_C2,ROUND(BASE_C2+RATE_C2*($A1294-BOTT_C2),0),ROUND(RATE_C1*$A1294,0))))</f>
        <v/>
      </c>
      <c r="G1294" s="556">
        <f>IF($A1294&gt;BOTT_D4,ROUND(BASE_D4+RATE_D4*($A1294-BOTT_D4),0),IF($A1294&gt;BOTT_D3,ROUND(BASE_D3+RATE_D3*($A1294-BOTT_D3),0),IF($A1294&gt;BOTT_D2,ROUND(BASE_D2+RATE_D2*($A1294-BOTT_D2),0),ROUND(RATE_D1*$A1294,0))))</f>
        <v/>
      </c>
    </row>
    <row r="1295" ht="15.75" customHeight="1" s="7635">
      <c r="A1295" s="625">
        <f>AVERAGE(B1295,C1295)</f>
        <v/>
      </c>
      <c r="B1295" s="555" t="n">
        <v>61550</v>
      </c>
      <c r="C1295" s="555" t="n">
        <v>61600</v>
      </c>
      <c r="D1295" s="556">
        <f>IF($A1295&gt;BOTT_A4,ROUND(BASE_A4+RATE_A4*($A1295-BOTT_A4),0),IF($A1295&gt;BOTT_A3,ROUND(BASE_A3+RATE_A3*($A1295-BOTT_A3),0),IF($A1295&gt;BOTT_A2,ROUND(BASE_A2+RATE_A2*($A1295-BOTT_A2),0),ROUND(RATE_A1*$A1295,0))))</f>
        <v/>
      </c>
      <c r="E1295" s="556">
        <f>IF($A1295&gt;BOTT_B4,ROUND(BASE_B4+RATE_B4*($A1295-BOTT_B4),0),IF($A1295&gt;BOTT_B3,ROUND(BASE_B3+RATE_B3*($A1295-BOTT_B3),0),IF($A1295&gt;BOTT_B2,ROUND(BASE_B2+RATE_B2*($A1295-BOTT_B2),0),ROUND(RATE_B1*$A1295,0))))</f>
        <v/>
      </c>
      <c r="F1295" s="556">
        <f>IF($A1295&gt;BOTT_C4,ROUND(BASE_C4+RATE_C4*($A1295-BOTT_C4),0),IF($A1295&gt;BOTT_C3,ROUND(BASE_C3+RATE_C3*($A1295-BOTT_C3),0),IF($A1295&gt;BOTT_C2,ROUND(BASE_C2+RATE_C2*($A1295-BOTT_C2),0),ROUND(RATE_C1*$A1295,0))))</f>
        <v/>
      </c>
      <c r="G1295" s="556">
        <f>IF($A1295&gt;BOTT_D4,ROUND(BASE_D4+RATE_D4*($A1295-BOTT_D4),0),IF($A1295&gt;BOTT_D3,ROUND(BASE_D3+RATE_D3*($A1295-BOTT_D3),0),IF($A1295&gt;BOTT_D2,ROUND(BASE_D2+RATE_D2*($A1295-BOTT_D2),0),ROUND(RATE_D1*$A1295,0))))</f>
        <v/>
      </c>
    </row>
    <row r="1296" ht="15.75" customHeight="1" s="7635">
      <c r="A1296" s="625">
        <f>AVERAGE(B1296,C1296)</f>
        <v/>
      </c>
      <c r="B1296" s="555" t="n">
        <v>61600</v>
      </c>
      <c r="C1296" s="555" t="n">
        <v>61650</v>
      </c>
      <c r="D1296" s="556">
        <f>IF($A1296&gt;BOTT_A4,ROUND(BASE_A4+RATE_A4*($A1296-BOTT_A4),0),IF($A1296&gt;BOTT_A3,ROUND(BASE_A3+RATE_A3*($A1296-BOTT_A3),0),IF($A1296&gt;BOTT_A2,ROUND(BASE_A2+RATE_A2*($A1296-BOTT_A2),0),ROUND(RATE_A1*$A1296,0))))</f>
        <v/>
      </c>
      <c r="E1296" s="556">
        <f>IF($A1296&gt;BOTT_B4,ROUND(BASE_B4+RATE_B4*($A1296-BOTT_B4),0),IF($A1296&gt;BOTT_B3,ROUND(BASE_B3+RATE_B3*($A1296-BOTT_B3),0),IF($A1296&gt;BOTT_B2,ROUND(BASE_B2+RATE_B2*($A1296-BOTT_B2),0),ROUND(RATE_B1*$A1296,0))))</f>
        <v/>
      </c>
      <c r="F1296" s="556">
        <f>IF($A1296&gt;BOTT_C4,ROUND(BASE_C4+RATE_C4*($A1296-BOTT_C4),0),IF($A1296&gt;BOTT_C3,ROUND(BASE_C3+RATE_C3*($A1296-BOTT_C3),0),IF($A1296&gt;BOTT_C2,ROUND(BASE_C2+RATE_C2*($A1296-BOTT_C2),0),ROUND(RATE_C1*$A1296,0))))</f>
        <v/>
      </c>
      <c r="G1296" s="556">
        <f>IF($A1296&gt;BOTT_D4,ROUND(BASE_D4+RATE_D4*($A1296-BOTT_D4),0),IF($A1296&gt;BOTT_D3,ROUND(BASE_D3+RATE_D3*($A1296-BOTT_D3),0),IF($A1296&gt;BOTT_D2,ROUND(BASE_D2+RATE_D2*($A1296-BOTT_D2),0),ROUND(RATE_D1*$A1296,0))))</f>
        <v/>
      </c>
    </row>
    <row r="1297" ht="15.75" customHeight="1" s="7635">
      <c r="A1297" s="625">
        <f>AVERAGE(B1297,C1297)</f>
        <v/>
      </c>
      <c r="B1297" s="555" t="n">
        <v>61650</v>
      </c>
      <c r="C1297" s="555" t="n">
        <v>61700</v>
      </c>
      <c r="D1297" s="556">
        <f>IF($A1297&gt;BOTT_A4,ROUND(BASE_A4+RATE_A4*($A1297-BOTT_A4),0),IF($A1297&gt;BOTT_A3,ROUND(BASE_A3+RATE_A3*($A1297-BOTT_A3),0),IF($A1297&gt;BOTT_A2,ROUND(BASE_A2+RATE_A2*($A1297-BOTT_A2),0),ROUND(RATE_A1*$A1297,0))))</f>
        <v/>
      </c>
      <c r="E1297" s="556">
        <f>IF($A1297&gt;BOTT_B4,ROUND(BASE_B4+RATE_B4*($A1297-BOTT_B4),0),IF($A1297&gt;BOTT_B3,ROUND(BASE_B3+RATE_B3*($A1297-BOTT_B3),0),IF($A1297&gt;BOTT_B2,ROUND(BASE_B2+RATE_B2*($A1297-BOTT_B2),0),ROUND(RATE_B1*$A1297,0))))</f>
        <v/>
      </c>
      <c r="F1297" s="556">
        <f>IF($A1297&gt;BOTT_C4,ROUND(BASE_C4+RATE_C4*($A1297-BOTT_C4),0),IF($A1297&gt;BOTT_C3,ROUND(BASE_C3+RATE_C3*($A1297-BOTT_C3),0),IF($A1297&gt;BOTT_C2,ROUND(BASE_C2+RATE_C2*($A1297-BOTT_C2),0),ROUND(RATE_C1*$A1297,0))))</f>
        <v/>
      </c>
      <c r="G1297" s="556">
        <f>IF($A1297&gt;BOTT_D4,ROUND(BASE_D4+RATE_D4*($A1297-BOTT_D4),0),IF($A1297&gt;BOTT_D3,ROUND(BASE_D3+RATE_D3*($A1297-BOTT_D3),0),IF($A1297&gt;BOTT_D2,ROUND(BASE_D2+RATE_D2*($A1297-BOTT_D2),0),ROUND(RATE_D1*$A1297,0))))</f>
        <v/>
      </c>
    </row>
    <row r="1298" ht="15.75" customHeight="1" s="7635">
      <c r="A1298" s="625">
        <f>AVERAGE(B1298,C1298)</f>
        <v/>
      </c>
      <c r="B1298" s="555" t="n">
        <v>61700</v>
      </c>
      <c r="C1298" s="555" t="n">
        <v>61750</v>
      </c>
      <c r="D1298" s="556">
        <f>IF($A1298&gt;BOTT_A4,ROUND(BASE_A4+RATE_A4*($A1298-BOTT_A4),0),IF($A1298&gt;BOTT_A3,ROUND(BASE_A3+RATE_A3*($A1298-BOTT_A3),0),IF($A1298&gt;BOTT_A2,ROUND(BASE_A2+RATE_A2*($A1298-BOTT_A2),0),ROUND(RATE_A1*$A1298,0))))</f>
        <v/>
      </c>
      <c r="E1298" s="556">
        <f>IF($A1298&gt;BOTT_B4,ROUND(BASE_B4+RATE_B4*($A1298-BOTT_B4),0),IF($A1298&gt;BOTT_B3,ROUND(BASE_B3+RATE_B3*($A1298-BOTT_B3),0),IF($A1298&gt;BOTT_B2,ROUND(BASE_B2+RATE_B2*($A1298-BOTT_B2),0),ROUND(RATE_B1*$A1298,0))))</f>
        <v/>
      </c>
      <c r="F1298" s="556">
        <f>IF($A1298&gt;BOTT_C4,ROUND(BASE_C4+RATE_C4*($A1298-BOTT_C4),0),IF($A1298&gt;BOTT_C3,ROUND(BASE_C3+RATE_C3*($A1298-BOTT_C3),0),IF($A1298&gt;BOTT_C2,ROUND(BASE_C2+RATE_C2*($A1298-BOTT_C2),0),ROUND(RATE_C1*$A1298,0))))</f>
        <v/>
      </c>
      <c r="G1298" s="556">
        <f>IF($A1298&gt;BOTT_D4,ROUND(BASE_D4+RATE_D4*($A1298-BOTT_D4),0),IF($A1298&gt;BOTT_D3,ROUND(BASE_D3+RATE_D3*($A1298-BOTT_D3),0),IF($A1298&gt;BOTT_D2,ROUND(BASE_D2+RATE_D2*($A1298-BOTT_D2),0),ROUND(RATE_D1*$A1298,0))))</f>
        <v/>
      </c>
    </row>
    <row r="1299" ht="15.75" customHeight="1" s="7635">
      <c r="A1299" s="625">
        <f>AVERAGE(B1299,C1299)</f>
        <v/>
      </c>
      <c r="B1299" s="555" t="n">
        <v>61750</v>
      </c>
      <c r="C1299" s="555" t="n">
        <v>61800</v>
      </c>
      <c r="D1299" s="556">
        <f>IF($A1299&gt;BOTT_A4,ROUND(BASE_A4+RATE_A4*($A1299-BOTT_A4),0),IF($A1299&gt;BOTT_A3,ROUND(BASE_A3+RATE_A3*($A1299-BOTT_A3),0),IF($A1299&gt;BOTT_A2,ROUND(BASE_A2+RATE_A2*($A1299-BOTT_A2),0),ROUND(RATE_A1*$A1299,0))))</f>
        <v/>
      </c>
      <c r="E1299" s="556">
        <f>IF($A1299&gt;BOTT_B4,ROUND(BASE_B4+RATE_B4*($A1299-BOTT_B4),0),IF($A1299&gt;BOTT_B3,ROUND(BASE_B3+RATE_B3*($A1299-BOTT_B3),0),IF($A1299&gt;BOTT_B2,ROUND(BASE_B2+RATE_B2*($A1299-BOTT_B2),0),ROUND(RATE_B1*$A1299,0))))</f>
        <v/>
      </c>
      <c r="F1299" s="556">
        <f>IF($A1299&gt;BOTT_C4,ROUND(BASE_C4+RATE_C4*($A1299-BOTT_C4),0),IF($A1299&gt;BOTT_C3,ROUND(BASE_C3+RATE_C3*($A1299-BOTT_C3),0),IF($A1299&gt;BOTT_C2,ROUND(BASE_C2+RATE_C2*($A1299-BOTT_C2),0),ROUND(RATE_C1*$A1299,0))))</f>
        <v/>
      </c>
      <c r="G1299" s="556">
        <f>IF($A1299&gt;BOTT_D4,ROUND(BASE_D4+RATE_D4*($A1299-BOTT_D4),0),IF($A1299&gt;BOTT_D3,ROUND(BASE_D3+RATE_D3*($A1299-BOTT_D3),0),IF($A1299&gt;BOTT_D2,ROUND(BASE_D2+RATE_D2*($A1299-BOTT_D2),0),ROUND(RATE_D1*$A1299,0))))</f>
        <v/>
      </c>
    </row>
    <row r="1300" ht="15.75" customHeight="1" s="7635">
      <c r="A1300" s="625">
        <f>AVERAGE(B1300,C1300)</f>
        <v/>
      </c>
      <c r="B1300" s="555" t="n">
        <v>61800</v>
      </c>
      <c r="C1300" s="555" t="n">
        <v>61850</v>
      </c>
      <c r="D1300" s="556">
        <f>IF($A1300&gt;BOTT_A4,ROUND(BASE_A4+RATE_A4*($A1300-BOTT_A4),0),IF($A1300&gt;BOTT_A3,ROUND(BASE_A3+RATE_A3*($A1300-BOTT_A3),0),IF($A1300&gt;BOTT_A2,ROUND(BASE_A2+RATE_A2*($A1300-BOTT_A2),0),ROUND(RATE_A1*$A1300,0))))</f>
        <v/>
      </c>
      <c r="E1300" s="556">
        <f>IF($A1300&gt;BOTT_B4,ROUND(BASE_B4+RATE_B4*($A1300-BOTT_B4),0),IF($A1300&gt;BOTT_B3,ROUND(BASE_B3+RATE_B3*($A1300-BOTT_B3),0),IF($A1300&gt;BOTT_B2,ROUND(BASE_B2+RATE_B2*($A1300-BOTT_B2),0),ROUND(RATE_B1*$A1300,0))))</f>
        <v/>
      </c>
      <c r="F1300" s="556">
        <f>IF($A1300&gt;BOTT_C4,ROUND(BASE_C4+RATE_C4*($A1300-BOTT_C4),0),IF($A1300&gt;BOTT_C3,ROUND(BASE_C3+RATE_C3*($A1300-BOTT_C3),0),IF($A1300&gt;BOTT_C2,ROUND(BASE_C2+RATE_C2*($A1300-BOTT_C2),0),ROUND(RATE_C1*$A1300,0))))</f>
        <v/>
      </c>
      <c r="G1300" s="556">
        <f>IF($A1300&gt;BOTT_D4,ROUND(BASE_D4+RATE_D4*($A1300-BOTT_D4),0),IF($A1300&gt;BOTT_D3,ROUND(BASE_D3+RATE_D3*($A1300-BOTT_D3),0),IF($A1300&gt;BOTT_D2,ROUND(BASE_D2+RATE_D2*($A1300-BOTT_D2),0),ROUND(RATE_D1*$A1300,0))))</f>
        <v/>
      </c>
    </row>
    <row r="1301" ht="15.75" customHeight="1" s="7635">
      <c r="A1301" s="625">
        <f>AVERAGE(B1301,C1301)</f>
        <v/>
      </c>
      <c r="B1301" s="555" t="n">
        <v>61850</v>
      </c>
      <c r="C1301" s="555" t="n">
        <v>61900</v>
      </c>
      <c r="D1301" s="556">
        <f>IF($A1301&gt;BOTT_A4,ROUND(BASE_A4+RATE_A4*($A1301-BOTT_A4),0),IF($A1301&gt;BOTT_A3,ROUND(BASE_A3+RATE_A3*($A1301-BOTT_A3),0),IF($A1301&gt;BOTT_A2,ROUND(BASE_A2+RATE_A2*($A1301-BOTT_A2),0),ROUND(RATE_A1*$A1301,0))))</f>
        <v/>
      </c>
      <c r="E1301" s="556">
        <f>IF($A1301&gt;BOTT_B4,ROUND(BASE_B4+RATE_B4*($A1301-BOTT_B4),0),IF($A1301&gt;BOTT_B3,ROUND(BASE_B3+RATE_B3*($A1301-BOTT_B3),0),IF($A1301&gt;BOTT_B2,ROUND(BASE_B2+RATE_B2*($A1301-BOTT_B2),0),ROUND(RATE_B1*$A1301,0))))</f>
        <v/>
      </c>
      <c r="F1301" s="556">
        <f>IF($A1301&gt;BOTT_C4,ROUND(BASE_C4+RATE_C4*($A1301-BOTT_C4),0),IF($A1301&gt;BOTT_C3,ROUND(BASE_C3+RATE_C3*($A1301-BOTT_C3),0),IF($A1301&gt;BOTT_C2,ROUND(BASE_C2+RATE_C2*($A1301-BOTT_C2),0),ROUND(RATE_C1*$A1301,0))))</f>
        <v/>
      </c>
      <c r="G1301" s="556">
        <f>IF($A1301&gt;BOTT_D4,ROUND(BASE_D4+RATE_D4*($A1301-BOTT_D4),0),IF($A1301&gt;BOTT_D3,ROUND(BASE_D3+RATE_D3*($A1301-BOTT_D3),0),IF($A1301&gt;BOTT_D2,ROUND(BASE_D2+RATE_D2*($A1301-BOTT_D2),0),ROUND(RATE_D1*$A1301,0))))</f>
        <v/>
      </c>
    </row>
    <row r="1302" ht="15.75" customHeight="1" s="7635">
      <c r="A1302" s="625">
        <f>AVERAGE(B1302,C1302)</f>
        <v/>
      </c>
      <c r="B1302" s="555" t="n">
        <v>61900</v>
      </c>
      <c r="C1302" s="555" t="n">
        <v>61950</v>
      </c>
      <c r="D1302" s="556">
        <f>IF($A1302&gt;BOTT_A4,ROUND(BASE_A4+RATE_A4*($A1302-BOTT_A4),0),IF($A1302&gt;BOTT_A3,ROUND(BASE_A3+RATE_A3*($A1302-BOTT_A3),0),IF($A1302&gt;BOTT_A2,ROUND(BASE_A2+RATE_A2*($A1302-BOTT_A2),0),ROUND(RATE_A1*$A1302,0))))</f>
        <v/>
      </c>
      <c r="E1302" s="556">
        <f>IF($A1302&gt;BOTT_B4,ROUND(BASE_B4+RATE_B4*($A1302-BOTT_B4),0),IF($A1302&gt;BOTT_B3,ROUND(BASE_B3+RATE_B3*($A1302-BOTT_B3),0),IF($A1302&gt;BOTT_B2,ROUND(BASE_B2+RATE_B2*($A1302-BOTT_B2),0),ROUND(RATE_B1*$A1302,0))))</f>
        <v/>
      </c>
      <c r="F1302" s="556">
        <f>IF($A1302&gt;BOTT_C4,ROUND(BASE_C4+RATE_C4*($A1302-BOTT_C4),0),IF($A1302&gt;BOTT_C3,ROUND(BASE_C3+RATE_C3*($A1302-BOTT_C3),0),IF($A1302&gt;BOTT_C2,ROUND(BASE_C2+RATE_C2*($A1302-BOTT_C2),0),ROUND(RATE_C1*$A1302,0))))</f>
        <v/>
      </c>
      <c r="G1302" s="556">
        <f>IF($A1302&gt;BOTT_D4,ROUND(BASE_D4+RATE_D4*($A1302-BOTT_D4),0),IF($A1302&gt;BOTT_D3,ROUND(BASE_D3+RATE_D3*($A1302-BOTT_D3),0),IF($A1302&gt;BOTT_D2,ROUND(BASE_D2+RATE_D2*($A1302-BOTT_D2),0),ROUND(RATE_D1*$A1302,0))))</f>
        <v/>
      </c>
    </row>
    <row r="1303" ht="15.75" customHeight="1" s="7635">
      <c r="A1303" s="625">
        <f>AVERAGE(B1303,C1303)</f>
        <v/>
      </c>
      <c r="B1303" s="555" t="n">
        <v>61950</v>
      </c>
      <c r="C1303" s="555" t="n">
        <v>62000</v>
      </c>
      <c r="D1303" s="556">
        <f>IF($A1303&gt;BOTT_A4,ROUND(BASE_A4+RATE_A4*($A1303-BOTT_A4),0),IF($A1303&gt;BOTT_A3,ROUND(BASE_A3+RATE_A3*($A1303-BOTT_A3),0),IF($A1303&gt;BOTT_A2,ROUND(BASE_A2+RATE_A2*($A1303-BOTT_A2),0),ROUND(RATE_A1*$A1303,0))))</f>
        <v/>
      </c>
      <c r="E1303" s="556">
        <f>IF($A1303&gt;BOTT_B4,ROUND(BASE_B4+RATE_B4*($A1303-BOTT_B4),0),IF($A1303&gt;BOTT_B3,ROUND(BASE_B3+RATE_B3*($A1303-BOTT_B3),0),IF($A1303&gt;BOTT_B2,ROUND(BASE_B2+RATE_B2*($A1303-BOTT_B2),0),ROUND(RATE_B1*$A1303,0))))</f>
        <v/>
      </c>
      <c r="F1303" s="556">
        <f>IF($A1303&gt;BOTT_C4,ROUND(BASE_C4+RATE_C4*($A1303-BOTT_C4),0),IF($A1303&gt;BOTT_C3,ROUND(BASE_C3+RATE_C3*($A1303-BOTT_C3),0),IF($A1303&gt;BOTT_C2,ROUND(BASE_C2+RATE_C2*($A1303-BOTT_C2),0),ROUND(RATE_C1*$A1303,0))))</f>
        <v/>
      </c>
      <c r="G1303" s="556">
        <f>IF($A1303&gt;BOTT_D4,ROUND(BASE_D4+RATE_D4*($A1303-BOTT_D4),0),IF($A1303&gt;BOTT_D3,ROUND(BASE_D3+RATE_D3*($A1303-BOTT_D3),0),IF($A1303&gt;BOTT_D2,ROUND(BASE_D2+RATE_D2*($A1303-BOTT_D2),0),ROUND(RATE_D1*$A1303,0))))</f>
        <v/>
      </c>
    </row>
    <row r="1304" ht="15.75" customHeight="1" s="7635">
      <c r="A1304" s="625">
        <f>AVERAGE(B1304,C1304)</f>
        <v/>
      </c>
      <c r="B1304" s="555" t="n">
        <v>62000</v>
      </c>
      <c r="C1304" s="555" t="n">
        <v>62050</v>
      </c>
      <c r="D1304" s="556">
        <f>IF($A1304&gt;BOTT_A4,ROUND(BASE_A4+RATE_A4*($A1304-BOTT_A4),0),IF($A1304&gt;BOTT_A3,ROUND(BASE_A3+RATE_A3*($A1304-BOTT_A3),0),IF($A1304&gt;BOTT_A2,ROUND(BASE_A2+RATE_A2*($A1304-BOTT_A2),0),ROUND(RATE_A1*$A1304,0))))</f>
        <v/>
      </c>
      <c r="E1304" s="556">
        <f>IF($A1304&gt;BOTT_B4,ROUND(BASE_B4+RATE_B4*($A1304-BOTT_B4),0),IF($A1304&gt;BOTT_B3,ROUND(BASE_B3+RATE_B3*($A1304-BOTT_B3),0),IF($A1304&gt;BOTT_B2,ROUND(BASE_B2+RATE_B2*($A1304-BOTT_B2),0),ROUND(RATE_B1*$A1304,0))))</f>
        <v/>
      </c>
      <c r="F1304" s="556">
        <f>IF($A1304&gt;BOTT_C4,ROUND(BASE_C4+RATE_C4*($A1304-BOTT_C4),0),IF($A1304&gt;BOTT_C3,ROUND(BASE_C3+RATE_C3*($A1304-BOTT_C3),0),IF($A1304&gt;BOTT_C2,ROUND(BASE_C2+RATE_C2*($A1304-BOTT_C2),0),ROUND(RATE_C1*$A1304,0))))</f>
        <v/>
      </c>
      <c r="G1304" s="556">
        <f>IF($A1304&gt;BOTT_D4,ROUND(BASE_D4+RATE_D4*($A1304-BOTT_D4),0),IF($A1304&gt;BOTT_D3,ROUND(BASE_D3+RATE_D3*($A1304-BOTT_D3),0),IF($A1304&gt;BOTT_D2,ROUND(BASE_D2+RATE_D2*($A1304-BOTT_D2),0),ROUND(RATE_D1*$A1304,0))))</f>
        <v/>
      </c>
    </row>
    <row r="1305" ht="15.75" customHeight="1" s="7635">
      <c r="A1305" s="625">
        <f>AVERAGE(B1305,C1305)</f>
        <v/>
      </c>
      <c r="B1305" s="555" t="n">
        <v>62050</v>
      </c>
      <c r="C1305" s="555" t="n">
        <v>62100</v>
      </c>
      <c r="D1305" s="556">
        <f>IF($A1305&gt;BOTT_A4,ROUND(BASE_A4+RATE_A4*($A1305-BOTT_A4),0),IF($A1305&gt;BOTT_A3,ROUND(BASE_A3+RATE_A3*($A1305-BOTT_A3),0),IF($A1305&gt;BOTT_A2,ROUND(BASE_A2+RATE_A2*($A1305-BOTT_A2),0),ROUND(RATE_A1*$A1305,0))))</f>
        <v/>
      </c>
      <c r="E1305" s="556">
        <f>IF($A1305&gt;BOTT_B4,ROUND(BASE_B4+RATE_B4*($A1305-BOTT_B4),0),IF($A1305&gt;BOTT_B3,ROUND(BASE_B3+RATE_B3*($A1305-BOTT_B3),0),IF($A1305&gt;BOTT_B2,ROUND(BASE_B2+RATE_B2*($A1305-BOTT_B2),0),ROUND(RATE_B1*$A1305,0))))</f>
        <v/>
      </c>
      <c r="F1305" s="556">
        <f>IF($A1305&gt;BOTT_C4,ROUND(BASE_C4+RATE_C4*($A1305-BOTT_C4),0),IF($A1305&gt;BOTT_C3,ROUND(BASE_C3+RATE_C3*($A1305-BOTT_C3),0),IF($A1305&gt;BOTT_C2,ROUND(BASE_C2+RATE_C2*($A1305-BOTT_C2),0),ROUND(RATE_C1*$A1305,0))))</f>
        <v/>
      </c>
      <c r="G1305" s="556">
        <f>IF($A1305&gt;BOTT_D4,ROUND(BASE_D4+RATE_D4*($A1305-BOTT_D4),0),IF($A1305&gt;BOTT_D3,ROUND(BASE_D3+RATE_D3*($A1305-BOTT_D3),0),IF($A1305&gt;BOTT_D2,ROUND(BASE_D2+RATE_D2*($A1305-BOTT_D2),0),ROUND(RATE_D1*$A1305,0))))</f>
        <v/>
      </c>
    </row>
    <row r="1306" ht="15.75" customHeight="1" s="7635">
      <c r="A1306" s="625">
        <f>AVERAGE(B1306,C1306)</f>
        <v/>
      </c>
      <c r="B1306" s="555" t="n">
        <v>62100</v>
      </c>
      <c r="C1306" s="555" t="n">
        <v>62150</v>
      </c>
      <c r="D1306" s="556">
        <f>IF($A1306&gt;BOTT_A4,ROUND(BASE_A4+RATE_A4*($A1306-BOTT_A4),0),IF($A1306&gt;BOTT_A3,ROUND(BASE_A3+RATE_A3*($A1306-BOTT_A3),0),IF($A1306&gt;BOTT_A2,ROUND(BASE_A2+RATE_A2*($A1306-BOTT_A2),0),ROUND(RATE_A1*$A1306,0))))</f>
        <v/>
      </c>
      <c r="E1306" s="556">
        <f>IF($A1306&gt;BOTT_B4,ROUND(BASE_B4+RATE_B4*($A1306-BOTT_B4),0),IF($A1306&gt;BOTT_B3,ROUND(BASE_B3+RATE_B3*($A1306-BOTT_B3),0),IF($A1306&gt;BOTT_B2,ROUND(BASE_B2+RATE_B2*($A1306-BOTT_B2),0),ROUND(RATE_B1*$A1306,0))))</f>
        <v/>
      </c>
      <c r="F1306" s="556">
        <f>IF($A1306&gt;BOTT_C4,ROUND(BASE_C4+RATE_C4*($A1306-BOTT_C4),0),IF($A1306&gt;BOTT_C3,ROUND(BASE_C3+RATE_C3*($A1306-BOTT_C3),0),IF($A1306&gt;BOTT_C2,ROUND(BASE_C2+RATE_C2*($A1306-BOTT_C2),0),ROUND(RATE_C1*$A1306,0))))</f>
        <v/>
      </c>
      <c r="G1306" s="556">
        <f>IF($A1306&gt;BOTT_D4,ROUND(BASE_D4+RATE_D4*($A1306-BOTT_D4),0),IF($A1306&gt;BOTT_D3,ROUND(BASE_D3+RATE_D3*($A1306-BOTT_D3),0),IF($A1306&gt;BOTT_D2,ROUND(BASE_D2+RATE_D2*($A1306-BOTT_D2),0),ROUND(RATE_D1*$A1306,0))))</f>
        <v/>
      </c>
    </row>
    <row r="1307" ht="15.75" customHeight="1" s="7635">
      <c r="A1307" s="625">
        <f>AVERAGE(B1307,C1307)</f>
        <v/>
      </c>
      <c r="B1307" s="555" t="n">
        <v>62150</v>
      </c>
      <c r="C1307" s="555" t="n">
        <v>62200</v>
      </c>
      <c r="D1307" s="556">
        <f>IF($A1307&gt;BOTT_A4,ROUND(BASE_A4+RATE_A4*($A1307-BOTT_A4),0),IF($A1307&gt;BOTT_A3,ROUND(BASE_A3+RATE_A3*($A1307-BOTT_A3),0),IF($A1307&gt;BOTT_A2,ROUND(BASE_A2+RATE_A2*($A1307-BOTT_A2),0),ROUND(RATE_A1*$A1307,0))))</f>
        <v/>
      </c>
      <c r="E1307" s="556">
        <f>IF($A1307&gt;BOTT_B4,ROUND(BASE_B4+RATE_B4*($A1307-BOTT_B4),0),IF($A1307&gt;BOTT_B3,ROUND(BASE_B3+RATE_B3*($A1307-BOTT_B3),0),IF($A1307&gt;BOTT_B2,ROUND(BASE_B2+RATE_B2*($A1307-BOTT_B2),0),ROUND(RATE_B1*$A1307,0))))</f>
        <v/>
      </c>
      <c r="F1307" s="556">
        <f>IF($A1307&gt;BOTT_C4,ROUND(BASE_C4+RATE_C4*($A1307-BOTT_C4),0),IF($A1307&gt;BOTT_C3,ROUND(BASE_C3+RATE_C3*($A1307-BOTT_C3),0),IF($A1307&gt;BOTT_C2,ROUND(BASE_C2+RATE_C2*($A1307-BOTT_C2),0),ROUND(RATE_C1*$A1307,0))))</f>
        <v/>
      </c>
      <c r="G1307" s="556">
        <f>IF($A1307&gt;BOTT_D4,ROUND(BASE_D4+RATE_D4*($A1307-BOTT_D4),0),IF($A1307&gt;BOTT_D3,ROUND(BASE_D3+RATE_D3*($A1307-BOTT_D3),0),IF($A1307&gt;BOTT_D2,ROUND(BASE_D2+RATE_D2*($A1307-BOTT_D2),0),ROUND(RATE_D1*$A1307,0))))</f>
        <v/>
      </c>
    </row>
    <row r="1308" ht="15.75" customHeight="1" s="7635">
      <c r="A1308" s="625">
        <f>AVERAGE(B1308,C1308)</f>
        <v/>
      </c>
      <c r="B1308" s="555" t="n">
        <v>62200</v>
      </c>
      <c r="C1308" s="555" t="n">
        <v>62250</v>
      </c>
      <c r="D1308" s="556">
        <f>IF($A1308&gt;BOTT_A4,ROUND(BASE_A4+RATE_A4*($A1308-BOTT_A4),0),IF($A1308&gt;BOTT_A3,ROUND(BASE_A3+RATE_A3*($A1308-BOTT_A3),0),IF($A1308&gt;BOTT_A2,ROUND(BASE_A2+RATE_A2*($A1308-BOTT_A2),0),ROUND(RATE_A1*$A1308,0))))</f>
        <v/>
      </c>
      <c r="E1308" s="556">
        <f>IF($A1308&gt;BOTT_B4,ROUND(BASE_B4+RATE_B4*($A1308-BOTT_B4),0),IF($A1308&gt;BOTT_B3,ROUND(BASE_B3+RATE_B3*($A1308-BOTT_B3),0),IF($A1308&gt;BOTT_B2,ROUND(BASE_B2+RATE_B2*($A1308-BOTT_B2),0),ROUND(RATE_B1*$A1308,0))))</f>
        <v/>
      </c>
      <c r="F1308" s="556">
        <f>IF($A1308&gt;BOTT_C4,ROUND(BASE_C4+RATE_C4*($A1308-BOTT_C4),0),IF($A1308&gt;BOTT_C3,ROUND(BASE_C3+RATE_C3*($A1308-BOTT_C3),0),IF($A1308&gt;BOTT_C2,ROUND(BASE_C2+RATE_C2*($A1308-BOTT_C2),0),ROUND(RATE_C1*$A1308,0))))</f>
        <v/>
      </c>
      <c r="G1308" s="556">
        <f>IF($A1308&gt;BOTT_D4,ROUND(BASE_D4+RATE_D4*($A1308-BOTT_D4),0),IF($A1308&gt;BOTT_D3,ROUND(BASE_D3+RATE_D3*($A1308-BOTT_D3),0),IF($A1308&gt;BOTT_D2,ROUND(BASE_D2+RATE_D2*($A1308-BOTT_D2),0),ROUND(RATE_D1*$A1308,0))))</f>
        <v/>
      </c>
    </row>
    <row r="1309" ht="15.75" customHeight="1" s="7635">
      <c r="A1309" s="625">
        <f>AVERAGE(B1309,C1309)</f>
        <v/>
      </c>
      <c r="B1309" s="555" t="n">
        <v>62250</v>
      </c>
      <c r="C1309" s="555" t="n">
        <v>62300</v>
      </c>
      <c r="D1309" s="556">
        <f>IF($A1309&gt;BOTT_A4,ROUND(BASE_A4+RATE_A4*($A1309-BOTT_A4),0),IF($A1309&gt;BOTT_A3,ROUND(BASE_A3+RATE_A3*($A1309-BOTT_A3),0),IF($A1309&gt;BOTT_A2,ROUND(BASE_A2+RATE_A2*($A1309-BOTT_A2),0),ROUND(RATE_A1*$A1309,0))))</f>
        <v/>
      </c>
      <c r="E1309" s="556">
        <f>IF($A1309&gt;BOTT_B4,ROUND(BASE_B4+RATE_B4*($A1309-BOTT_B4),0),IF($A1309&gt;BOTT_B3,ROUND(BASE_B3+RATE_B3*($A1309-BOTT_B3),0),IF($A1309&gt;BOTT_B2,ROUND(BASE_B2+RATE_B2*($A1309-BOTT_B2),0),ROUND(RATE_B1*$A1309,0))))</f>
        <v/>
      </c>
      <c r="F1309" s="556">
        <f>IF($A1309&gt;BOTT_C4,ROUND(BASE_C4+RATE_C4*($A1309-BOTT_C4),0),IF($A1309&gt;BOTT_C3,ROUND(BASE_C3+RATE_C3*($A1309-BOTT_C3),0),IF($A1309&gt;BOTT_C2,ROUND(BASE_C2+RATE_C2*($A1309-BOTT_C2),0),ROUND(RATE_C1*$A1309,0))))</f>
        <v/>
      </c>
      <c r="G1309" s="556">
        <f>IF($A1309&gt;BOTT_D4,ROUND(BASE_D4+RATE_D4*($A1309-BOTT_D4),0),IF($A1309&gt;BOTT_D3,ROUND(BASE_D3+RATE_D3*($A1309-BOTT_D3),0),IF($A1309&gt;BOTT_D2,ROUND(BASE_D2+RATE_D2*($A1309-BOTT_D2),0),ROUND(RATE_D1*$A1309,0))))</f>
        <v/>
      </c>
    </row>
    <row r="1310" ht="15.75" customHeight="1" s="7635">
      <c r="A1310" s="625">
        <f>AVERAGE(B1310,C1310)</f>
        <v/>
      </c>
      <c r="B1310" s="555" t="n">
        <v>62300</v>
      </c>
      <c r="C1310" s="555" t="n">
        <v>62350</v>
      </c>
      <c r="D1310" s="556">
        <f>IF($A1310&gt;BOTT_A4,ROUND(BASE_A4+RATE_A4*($A1310-BOTT_A4),0),IF($A1310&gt;BOTT_A3,ROUND(BASE_A3+RATE_A3*($A1310-BOTT_A3),0),IF($A1310&gt;BOTT_A2,ROUND(BASE_A2+RATE_A2*($A1310-BOTT_A2),0),ROUND(RATE_A1*$A1310,0))))</f>
        <v/>
      </c>
      <c r="E1310" s="556">
        <f>IF($A1310&gt;BOTT_B4,ROUND(BASE_B4+RATE_B4*($A1310-BOTT_B4),0),IF($A1310&gt;BOTT_B3,ROUND(BASE_B3+RATE_B3*($A1310-BOTT_B3),0),IF($A1310&gt;BOTT_B2,ROUND(BASE_B2+RATE_B2*($A1310-BOTT_B2),0),ROUND(RATE_B1*$A1310,0))))</f>
        <v/>
      </c>
      <c r="F1310" s="556">
        <f>IF($A1310&gt;BOTT_C4,ROUND(BASE_C4+RATE_C4*($A1310-BOTT_C4),0),IF($A1310&gt;BOTT_C3,ROUND(BASE_C3+RATE_C3*($A1310-BOTT_C3),0),IF($A1310&gt;BOTT_C2,ROUND(BASE_C2+RATE_C2*($A1310-BOTT_C2),0),ROUND(RATE_C1*$A1310,0))))</f>
        <v/>
      </c>
      <c r="G1310" s="556">
        <f>IF($A1310&gt;BOTT_D4,ROUND(BASE_D4+RATE_D4*($A1310-BOTT_D4),0),IF($A1310&gt;BOTT_D3,ROUND(BASE_D3+RATE_D3*($A1310-BOTT_D3),0),IF($A1310&gt;BOTT_D2,ROUND(BASE_D2+RATE_D2*($A1310-BOTT_D2),0),ROUND(RATE_D1*$A1310,0))))</f>
        <v/>
      </c>
    </row>
    <row r="1311" ht="15.75" customHeight="1" s="7635">
      <c r="A1311" s="625">
        <f>AVERAGE(B1311,C1311)</f>
        <v/>
      </c>
      <c r="B1311" s="555" t="n">
        <v>62350</v>
      </c>
      <c r="C1311" s="555" t="n">
        <v>62400</v>
      </c>
      <c r="D1311" s="556">
        <f>IF($A1311&gt;BOTT_A4,ROUND(BASE_A4+RATE_A4*($A1311-BOTT_A4),0),IF($A1311&gt;BOTT_A3,ROUND(BASE_A3+RATE_A3*($A1311-BOTT_A3),0),IF($A1311&gt;BOTT_A2,ROUND(BASE_A2+RATE_A2*($A1311-BOTT_A2),0),ROUND(RATE_A1*$A1311,0))))</f>
        <v/>
      </c>
      <c r="E1311" s="556">
        <f>IF($A1311&gt;BOTT_B4,ROUND(BASE_B4+RATE_B4*($A1311-BOTT_B4),0),IF($A1311&gt;BOTT_B3,ROUND(BASE_B3+RATE_B3*($A1311-BOTT_B3),0),IF($A1311&gt;BOTT_B2,ROUND(BASE_B2+RATE_B2*($A1311-BOTT_B2),0),ROUND(RATE_B1*$A1311,0))))</f>
        <v/>
      </c>
      <c r="F1311" s="556">
        <f>IF($A1311&gt;BOTT_C4,ROUND(BASE_C4+RATE_C4*($A1311-BOTT_C4),0),IF($A1311&gt;BOTT_C3,ROUND(BASE_C3+RATE_C3*($A1311-BOTT_C3),0),IF($A1311&gt;BOTT_C2,ROUND(BASE_C2+RATE_C2*($A1311-BOTT_C2),0),ROUND(RATE_C1*$A1311,0))))</f>
        <v/>
      </c>
      <c r="G1311" s="556">
        <f>IF($A1311&gt;BOTT_D4,ROUND(BASE_D4+RATE_D4*($A1311-BOTT_D4),0),IF($A1311&gt;BOTT_D3,ROUND(BASE_D3+RATE_D3*($A1311-BOTT_D3),0),IF($A1311&gt;BOTT_D2,ROUND(BASE_D2+RATE_D2*($A1311-BOTT_D2),0),ROUND(RATE_D1*$A1311,0))))</f>
        <v/>
      </c>
    </row>
    <row r="1312" ht="15.75" customHeight="1" s="7635">
      <c r="A1312" s="625">
        <f>AVERAGE(B1312,C1312)</f>
        <v/>
      </c>
      <c r="B1312" s="555" t="n">
        <v>62400</v>
      </c>
      <c r="C1312" s="555" t="n">
        <v>62450</v>
      </c>
      <c r="D1312" s="556">
        <f>IF($A1312&gt;BOTT_A4,ROUND(BASE_A4+RATE_A4*($A1312-BOTT_A4),0),IF($A1312&gt;BOTT_A3,ROUND(BASE_A3+RATE_A3*($A1312-BOTT_A3),0),IF($A1312&gt;BOTT_A2,ROUND(BASE_A2+RATE_A2*($A1312-BOTT_A2),0),ROUND(RATE_A1*$A1312,0))))</f>
        <v/>
      </c>
      <c r="E1312" s="556">
        <f>IF($A1312&gt;BOTT_B4,ROUND(BASE_B4+RATE_B4*($A1312-BOTT_B4),0),IF($A1312&gt;BOTT_B3,ROUND(BASE_B3+RATE_B3*($A1312-BOTT_B3),0),IF($A1312&gt;BOTT_B2,ROUND(BASE_B2+RATE_B2*($A1312-BOTT_B2),0),ROUND(RATE_B1*$A1312,0))))</f>
        <v/>
      </c>
      <c r="F1312" s="556">
        <f>IF($A1312&gt;BOTT_C4,ROUND(BASE_C4+RATE_C4*($A1312-BOTT_C4),0),IF($A1312&gt;BOTT_C3,ROUND(BASE_C3+RATE_C3*($A1312-BOTT_C3),0),IF($A1312&gt;BOTT_C2,ROUND(BASE_C2+RATE_C2*($A1312-BOTT_C2),0),ROUND(RATE_C1*$A1312,0))))</f>
        <v/>
      </c>
      <c r="G1312" s="556">
        <f>IF($A1312&gt;BOTT_D4,ROUND(BASE_D4+RATE_D4*($A1312-BOTT_D4),0),IF($A1312&gt;BOTT_D3,ROUND(BASE_D3+RATE_D3*($A1312-BOTT_D3),0),IF($A1312&gt;BOTT_D2,ROUND(BASE_D2+RATE_D2*($A1312-BOTT_D2),0),ROUND(RATE_D1*$A1312,0))))</f>
        <v/>
      </c>
    </row>
    <row r="1313" ht="15.75" customHeight="1" s="7635">
      <c r="A1313" s="625">
        <f>AVERAGE(B1313,C1313)</f>
        <v/>
      </c>
      <c r="B1313" s="555" t="n">
        <v>62450</v>
      </c>
      <c r="C1313" s="555" t="n">
        <v>62500</v>
      </c>
      <c r="D1313" s="556">
        <f>IF($A1313&gt;BOTT_A4,ROUND(BASE_A4+RATE_A4*($A1313-BOTT_A4),0),IF($A1313&gt;BOTT_A3,ROUND(BASE_A3+RATE_A3*($A1313-BOTT_A3),0),IF($A1313&gt;BOTT_A2,ROUND(BASE_A2+RATE_A2*($A1313-BOTT_A2),0),ROUND(RATE_A1*$A1313,0))))</f>
        <v/>
      </c>
      <c r="E1313" s="556">
        <f>IF($A1313&gt;BOTT_B4,ROUND(BASE_B4+RATE_B4*($A1313-BOTT_B4),0),IF($A1313&gt;BOTT_B3,ROUND(BASE_B3+RATE_B3*($A1313-BOTT_B3),0),IF($A1313&gt;BOTT_B2,ROUND(BASE_B2+RATE_B2*($A1313-BOTT_B2),0),ROUND(RATE_B1*$A1313,0))))</f>
        <v/>
      </c>
      <c r="F1313" s="556">
        <f>IF($A1313&gt;BOTT_C4,ROUND(BASE_C4+RATE_C4*($A1313-BOTT_C4),0),IF($A1313&gt;BOTT_C3,ROUND(BASE_C3+RATE_C3*($A1313-BOTT_C3),0),IF($A1313&gt;BOTT_C2,ROUND(BASE_C2+RATE_C2*($A1313-BOTT_C2),0),ROUND(RATE_C1*$A1313,0))))</f>
        <v/>
      </c>
      <c r="G1313" s="556">
        <f>IF($A1313&gt;BOTT_D4,ROUND(BASE_D4+RATE_D4*($A1313-BOTT_D4),0),IF($A1313&gt;BOTT_D3,ROUND(BASE_D3+RATE_D3*($A1313-BOTT_D3),0),IF($A1313&gt;BOTT_D2,ROUND(BASE_D2+RATE_D2*($A1313-BOTT_D2),0),ROUND(RATE_D1*$A1313,0))))</f>
        <v/>
      </c>
    </row>
    <row r="1314" ht="15.75" customHeight="1" s="7635">
      <c r="A1314" s="625">
        <f>AVERAGE(B1314,C1314)</f>
        <v/>
      </c>
      <c r="B1314" s="555" t="n">
        <v>62500</v>
      </c>
      <c r="C1314" s="555" t="n">
        <v>62550</v>
      </c>
      <c r="D1314" s="556">
        <f>IF($A1314&gt;BOTT_A4,ROUND(BASE_A4+RATE_A4*($A1314-BOTT_A4),0),IF($A1314&gt;BOTT_A3,ROUND(BASE_A3+RATE_A3*($A1314-BOTT_A3),0),IF($A1314&gt;BOTT_A2,ROUND(BASE_A2+RATE_A2*($A1314-BOTT_A2),0),ROUND(RATE_A1*$A1314,0))))</f>
        <v/>
      </c>
      <c r="E1314" s="556">
        <f>IF($A1314&gt;BOTT_B4,ROUND(BASE_B4+RATE_B4*($A1314-BOTT_B4),0),IF($A1314&gt;BOTT_B3,ROUND(BASE_B3+RATE_B3*($A1314-BOTT_B3),0),IF($A1314&gt;BOTT_B2,ROUND(BASE_B2+RATE_B2*($A1314-BOTT_B2),0),ROUND(RATE_B1*$A1314,0))))</f>
        <v/>
      </c>
      <c r="F1314" s="556">
        <f>IF($A1314&gt;BOTT_C4,ROUND(BASE_C4+RATE_C4*($A1314-BOTT_C4),0),IF($A1314&gt;BOTT_C3,ROUND(BASE_C3+RATE_C3*($A1314-BOTT_C3),0),IF($A1314&gt;BOTT_C2,ROUND(BASE_C2+RATE_C2*($A1314-BOTT_C2),0),ROUND(RATE_C1*$A1314,0))))</f>
        <v/>
      </c>
      <c r="G1314" s="556">
        <f>IF($A1314&gt;BOTT_D4,ROUND(BASE_D4+RATE_D4*($A1314-BOTT_D4),0),IF($A1314&gt;BOTT_D3,ROUND(BASE_D3+RATE_D3*($A1314-BOTT_D3),0),IF($A1314&gt;BOTT_D2,ROUND(BASE_D2+RATE_D2*($A1314-BOTT_D2),0),ROUND(RATE_D1*$A1314,0))))</f>
        <v/>
      </c>
    </row>
    <row r="1315" ht="15.75" customHeight="1" s="7635">
      <c r="A1315" s="625">
        <f>AVERAGE(B1315,C1315)</f>
        <v/>
      </c>
      <c r="B1315" s="555" t="n">
        <v>62550</v>
      </c>
      <c r="C1315" s="555" t="n">
        <v>62600</v>
      </c>
      <c r="D1315" s="556">
        <f>IF($A1315&gt;BOTT_A4,ROUND(BASE_A4+RATE_A4*($A1315-BOTT_A4),0),IF($A1315&gt;BOTT_A3,ROUND(BASE_A3+RATE_A3*($A1315-BOTT_A3),0),IF($A1315&gt;BOTT_A2,ROUND(BASE_A2+RATE_A2*($A1315-BOTT_A2),0),ROUND(RATE_A1*$A1315,0))))</f>
        <v/>
      </c>
      <c r="E1315" s="556">
        <f>IF($A1315&gt;BOTT_B4,ROUND(BASE_B4+RATE_B4*($A1315-BOTT_B4),0),IF($A1315&gt;BOTT_B3,ROUND(BASE_B3+RATE_B3*($A1315-BOTT_B3),0),IF($A1315&gt;BOTT_B2,ROUND(BASE_B2+RATE_B2*($A1315-BOTT_B2),0),ROUND(RATE_B1*$A1315,0))))</f>
        <v/>
      </c>
      <c r="F1315" s="556">
        <f>IF($A1315&gt;BOTT_C4,ROUND(BASE_C4+RATE_C4*($A1315-BOTT_C4),0),IF($A1315&gt;BOTT_C3,ROUND(BASE_C3+RATE_C3*($A1315-BOTT_C3),0),IF($A1315&gt;BOTT_C2,ROUND(BASE_C2+RATE_C2*($A1315-BOTT_C2),0),ROUND(RATE_C1*$A1315,0))))</f>
        <v/>
      </c>
      <c r="G1315" s="556">
        <f>IF($A1315&gt;BOTT_D4,ROUND(BASE_D4+RATE_D4*($A1315-BOTT_D4),0),IF($A1315&gt;BOTT_D3,ROUND(BASE_D3+RATE_D3*($A1315-BOTT_D3),0),IF($A1315&gt;BOTT_D2,ROUND(BASE_D2+RATE_D2*($A1315-BOTT_D2),0),ROUND(RATE_D1*$A1315,0))))</f>
        <v/>
      </c>
    </row>
    <row r="1316" ht="15.75" customHeight="1" s="7635">
      <c r="A1316" s="625">
        <f>AVERAGE(B1316,C1316)</f>
        <v/>
      </c>
      <c r="B1316" s="555" t="n">
        <v>62600</v>
      </c>
      <c r="C1316" s="555" t="n">
        <v>62650</v>
      </c>
      <c r="D1316" s="556">
        <f>IF($A1316&gt;BOTT_A4,ROUND(BASE_A4+RATE_A4*($A1316-BOTT_A4),0),IF($A1316&gt;BOTT_A3,ROUND(BASE_A3+RATE_A3*($A1316-BOTT_A3),0),IF($A1316&gt;BOTT_A2,ROUND(BASE_A2+RATE_A2*($A1316-BOTT_A2),0),ROUND(RATE_A1*$A1316,0))))</f>
        <v/>
      </c>
      <c r="E1316" s="556">
        <f>IF($A1316&gt;BOTT_B4,ROUND(BASE_B4+RATE_B4*($A1316-BOTT_B4),0),IF($A1316&gt;BOTT_B3,ROUND(BASE_B3+RATE_B3*($A1316-BOTT_B3),0),IF($A1316&gt;BOTT_B2,ROUND(BASE_B2+RATE_B2*($A1316-BOTT_B2),0),ROUND(RATE_B1*$A1316,0))))</f>
        <v/>
      </c>
      <c r="F1316" s="556">
        <f>IF($A1316&gt;BOTT_C4,ROUND(BASE_C4+RATE_C4*($A1316-BOTT_C4),0),IF($A1316&gt;BOTT_C3,ROUND(BASE_C3+RATE_C3*($A1316-BOTT_C3),0),IF($A1316&gt;BOTT_C2,ROUND(BASE_C2+RATE_C2*($A1316-BOTT_C2),0),ROUND(RATE_C1*$A1316,0))))</f>
        <v/>
      </c>
      <c r="G1316" s="556">
        <f>IF($A1316&gt;BOTT_D4,ROUND(BASE_D4+RATE_D4*($A1316-BOTT_D4),0),IF($A1316&gt;BOTT_D3,ROUND(BASE_D3+RATE_D3*($A1316-BOTT_D3),0),IF($A1316&gt;BOTT_D2,ROUND(BASE_D2+RATE_D2*($A1316-BOTT_D2),0),ROUND(RATE_D1*$A1316,0))))</f>
        <v/>
      </c>
    </row>
    <row r="1317" ht="15.75" customHeight="1" s="7635">
      <c r="A1317" s="625">
        <f>AVERAGE(B1317,C1317)</f>
        <v/>
      </c>
      <c r="B1317" s="555" t="n">
        <v>62650</v>
      </c>
      <c r="C1317" s="555" t="n">
        <v>62700</v>
      </c>
      <c r="D1317" s="556">
        <f>IF($A1317&gt;BOTT_A4,ROUND(BASE_A4+RATE_A4*($A1317-BOTT_A4),0),IF($A1317&gt;BOTT_A3,ROUND(BASE_A3+RATE_A3*($A1317-BOTT_A3),0),IF($A1317&gt;BOTT_A2,ROUND(BASE_A2+RATE_A2*($A1317-BOTT_A2),0),ROUND(RATE_A1*$A1317,0))))</f>
        <v/>
      </c>
      <c r="E1317" s="556">
        <f>IF($A1317&gt;BOTT_B4,ROUND(BASE_B4+RATE_B4*($A1317-BOTT_B4),0),IF($A1317&gt;BOTT_B3,ROUND(BASE_B3+RATE_B3*($A1317-BOTT_B3),0),IF($A1317&gt;BOTT_B2,ROUND(BASE_B2+RATE_B2*($A1317-BOTT_B2),0),ROUND(RATE_B1*$A1317,0))))</f>
        <v/>
      </c>
      <c r="F1317" s="556">
        <f>IF($A1317&gt;BOTT_C4,ROUND(BASE_C4+RATE_C4*($A1317-BOTT_C4),0),IF($A1317&gt;BOTT_C3,ROUND(BASE_C3+RATE_C3*($A1317-BOTT_C3),0),IF($A1317&gt;BOTT_C2,ROUND(BASE_C2+RATE_C2*($A1317-BOTT_C2),0),ROUND(RATE_C1*$A1317,0))))</f>
        <v/>
      </c>
      <c r="G1317" s="556">
        <f>IF($A1317&gt;BOTT_D4,ROUND(BASE_D4+RATE_D4*($A1317-BOTT_D4),0),IF($A1317&gt;BOTT_D3,ROUND(BASE_D3+RATE_D3*($A1317-BOTT_D3),0),IF($A1317&gt;BOTT_D2,ROUND(BASE_D2+RATE_D2*($A1317-BOTT_D2),0),ROUND(RATE_D1*$A1317,0))))</f>
        <v/>
      </c>
    </row>
    <row r="1318" ht="15.75" customHeight="1" s="7635">
      <c r="A1318" s="625">
        <f>AVERAGE(B1318,C1318)</f>
        <v/>
      </c>
      <c r="B1318" s="555" t="n">
        <v>62700</v>
      </c>
      <c r="C1318" s="555" t="n">
        <v>62750</v>
      </c>
      <c r="D1318" s="556">
        <f>IF($A1318&gt;BOTT_A4,ROUND(BASE_A4+RATE_A4*($A1318-BOTT_A4),0),IF($A1318&gt;BOTT_A3,ROUND(BASE_A3+RATE_A3*($A1318-BOTT_A3),0),IF($A1318&gt;BOTT_A2,ROUND(BASE_A2+RATE_A2*($A1318-BOTT_A2),0),ROUND(RATE_A1*$A1318,0))))</f>
        <v/>
      </c>
      <c r="E1318" s="556">
        <f>IF($A1318&gt;BOTT_B4,ROUND(BASE_B4+RATE_B4*($A1318-BOTT_B4),0),IF($A1318&gt;BOTT_B3,ROUND(BASE_B3+RATE_B3*($A1318-BOTT_B3),0),IF($A1318&gt;BOTT_B2,ROUND(BASE_B2+RATE_B2*($A1318-BOTT_B2),0),ROUND(RATE_B1*$A1318,0))))</f>
        <v/>
      </c>
      <c r="F1318" s="556">
        <f>IF($A1318&gt;BOTT_C4,ROUND(BASE_C4+RATE_C4*($A1318-BOTT_C4),0),IF($A1318&gt;BOTT_C3,ROUND(BASE_C3+RATE_C3*($A1318-BOTT_C3),0),IF($A1318&gt;BOTT_C2,ROUND(BASE_C2+RATE_C2*($A1318-BOTT_C2),0),ROUND(RATE_C1*$A1318,0))))</f>
        <v/>
      </c>
      <c r="G1318" s="556">
        <f>IF($A1318&gt;BOTT_D4,ROUND(BASE_D4+RATE_D4*($A1318-BOTT_D4),0),IF($A1318&gt;BOTT_D3,ROUND(BASE_D3+RATE_D3*($A1318-BOTT_D3),0),IF($A1318&gt;BOTT_D2,ROUND(BASE_D2+RATE_D2*($A1318-BOTT_D2),0),ROUND(RATE_D1*$A1318,0))))</f>
        <v/>
      </c>
    </row>
    <row r="1319" ht="15.75" customHeight="1" s="7635">
      <c r="A1319" s="625">
        <f>AVERAGE(B1319,C1319)</f>
        <v/>
      </c>
      <c r="B1319" s="555" t="n">
        <v>62750</v>
      </c>
      <c r="C1319" s="555" t="n">
        <v>62800</v>
      </c>
      <c r="D1319" s="556">
        <f>IF($A1319&gt;BOTT_A4,ROUND(BASE_A4+RATE_A4*($A1319-BOTT_A4),0),IF($A1319&gt;BOTT_A3,ROUND(BASE_A3+RATE_A3*($A1319-BOTT_A3),0),IF($A1319&gt;BOTT_A2,ROUND(BASE_A2+RATE_A2*($A1319-BOTT_A2),0),ROUND(RATE_A1*$A1319,0))))</f>
        <v/>
      </c>
      <c r="E1319" s="556">
        <f>IF($A1319&gt;BOTT_B4,ROUND(BASE_B4+RATE_B4*($A1319-BOTT_B4),0),IF($A1319&gt;BOTT_B3,ROUND(BASE_B3+RATE_B3*($A1319-BOTT_B3),0),IF($A1319&gt;BOTT_B2,ROUND(BASE_B2+RATE_B2*($A1319-BOTT_B2),0),ROUND(RATE_B1*$A1319,0))))</f>
        <v/>
      </c>
      <c r="F1319" s="556">
        <f>IF($A1319&gt;BOTT_C4,ROUND(BASE_C4+RATE_C4*($A1319-BOTT_C4),0),IF($A1319&gt;BOTT_C3,ROUND(BASE_C3+RATE_C3*($A1319-BOTT_C3),0),IF($A1319&gt;BOTT_C2,ROUND(BASE_C2+RATE_C2*($A1319-BOTT_C2),0),ROUND(RATE_C1*$A1319,0))))</f>
        <v/>
      </c>
      <c r="G1319" s="556">
        <f>IF($A1319&gt;BOTT_D4,ROUND(BASE_D4+RATE_D4*($A1319-BOTT_D4),0),IF($A1319&gt;BOTT_D3,ROUND(BASE_D3+RATE_D3*($A1319-BOTT_D3),0),IF($A1319&gt;BOTT_D2,ROUND(BASE_D2+RATE_D2*($A1319-BOTT_D2),0),ROUND(RATE_D1*$A1319,0))))</f>
        <v/>
      </c>
    </row>
    <row r="1320" ht="15.75" customHeight="1" s="7635">
      <c r="A1320" s="625">
        <f>AVERAGE(B1320,C1320)</f>
        <v/>
      </c>
      <c r="B1320" s="555" t="n">
        <v>62800</v>
      </c>
      <c r="C1320" s="555" t="n">
        <v>62850</v>
      </c>
      <c r="D1320" s="556">
        <f>IF($A1320&gt;BOTT_A4,ROUND(BASE_A4+RATE_A4*($A1320-BOTT_A4),0),IF($A1320&gt;BOTT_A3,ROUND(BASE_A3+RATE_A3*($A1320-BOTT_A3),0),IF($A1320&gt;BOTT_A2,ROUND(BASE_A2+RATE_A2*($A1320-BOTT_A2),0),ROUND(RATE_A1*$A1320,0))))</f>
        <v/>
      </c>
      <c r="E1320" s="556">
        <f>IF($A1320&gt;BOTT_B4,ROUND(BASE_B4+RATE_B4*($A1320-BOTT_B4),0),IF($A1320&gt;BOTT_B3,ROUND(BASE_B3+RATE_B3*($A1320-BOTT_B3),0),IF($A1320&gt;BOTT_B2,ROUND(BASE_B2+RATE_B2*($A1320-BOTT_B2),0),ROUND(RATE_B1*$A1320,0))))</f>
        <v/>
      </c>
      <c r="F1320" s="556">
        <f>IF($A1320&gt;BOTT_C4,ROUND(BASE_C4+RATE_C4*($A1320-BOTT_C4),0),IF($A1320&gt;BOTT_C3,ROUND(BASE_C3+RATE_C3*($A1320-BOTT_C3),0),IF($A1320&gt;BOTT_C2,ROUND(BASE_C2+RATE_C2*($A1320-BOTT_C2),0),ROUND(RATE_C1*$A1320,0))))</f>
        <v/>
      </c>
      <c r="G1320" s="556">
        <f>IF($A1320&gt;BOTT_D4,ROUND(BASE_D4+RATE_D4*($A1320-BOTT_D4),0),IF($A1320&gt;BOTT_D3,ROUND(BASE_D3+RATE_D3*($A1320-BOTT_D3),0),IF($A1320&gt;BOTT_D2,ROUND(BASE_D2+RATE_D2*($A1320-BOTT_D2),0),ROUND(RATE_D1*$A1320,0))))</f>
        <v/>
      </c>
    </row>
    <row r="1321" ht="15.75" customHeight="1" s="7635">
      <c r="A1321" s="625">
        <f>AVERAGE(B1321,C1321)</f>
        <v/>
      </c>
      <c r="B1321" s="555" t="n">
        <v>62850</v>
      </c>
      <c r="C1321" s="555" t="n">
        <v>62900</v>
      </c>
      <c r="D1321" s="556">
        <f>IF($A1321&gt;BOTT_A4,ROUND(BASE_A4+RATE_A4*($A1321-BOTT_A4),0),IF($A1321&gt;BOTT_A3,ROUND(BASE_A3+RATE_A3*($A1321-BOTT_A3),0),IF($A1321&gt;BOTT_A2,ROUND(BASE_A2+RATE_A2*($A1321-BOTT_A2),0),ROUND(RATE_A1*$A1321,0))))</f>
        <v/>
      </c>
      <c r="E1321" s="556">
        <f>IF($A1321&gt;BOTT_B4,ROUND(BASE_B4+RATE_B4*($A1321-BOTT_B4),0),IF($A1321&gt;BOTT_B3,ROUND(BASE_B3+RATE_B3*($A1321-BOTT_B3),0),IF($A1321&gt;BOTT_B2,ROUND(BASE_B2+RATE_B2*($A1321-BOTT_B2),0),ROUND(RATE_B1*$A1321,0))))</f>
        <v/>
      </c>
      <c r="F1321" s="556">
        <f>IF($A1321&gt;BOTT_C4,ROUND(BASE_C4+RATE_C4*($A1321-BOTT_C4),0),IF($A1321&gt;BOTT_C3,ROUND(BASE_C3+RATE_C3*($A1321-BOTT_C3),0),IF($A1321&gt;BOTT_C2,ROUND(BASE_C2+RATE_C2*($A1321-BOTT_C2),0),ROUND(RATE_C1*$A1321,0))))</f>
        <v/>
      </c>
      <c r="G1321" s="556">
        <f>IF($A1321&gt;BOTT_D4,ROUND(BASE_D4+RATE_D4*($A1321-BOTT_D4),0),IF($A1321&gt;BOTT_D3,ROUND(BASE_D3+RATE_D3*($A1321-BOTT_D3),0),IF($A1321&gt;BOTT_D2,ROUND(BASE_D2+RATE_D2*($A1321-BOTT_D2),0),ROUND(RATE_D1*$A1321,0))))</f>
        <v/>
      </c>
    </row>
    <row r="1322" ht="15.75" customHeight="1" s="7635">
      <c r="A1322" s="625">
        <f>AVERAGE(B1322,C1322)</f>
        <v/>
      </c>
      <c r="B1322" s="555" t="n">
        <v>62900</v>
      </c>
      <c r="C1322" s="555" t="n">
        <v>62950</v>
      </c>
      <c r="D1322" s="556">
        <f>IF($A1322&gt;BOTT_A4,ROUND(BASE_A4+RATE_A4*($A1322-BOTT_A4),0),IF($A1322&gt;BOTT_A3,ROUND(BASE_A3+RATE_A3*($A1322-BOTT_A3),0),IF($A1322&gt;BOTT_A2,ROUND(BASE_A2+RATE_A2*($A1322-BOTT_A2),0),ROUND(RATE_A1*$A1322,0))))</f>
        <v/>
      </c>
      <c r="E1322" s="556">
        <f>IF($A1322&gt;BOTT_B4,ROUND(BASE_B4+RATE_B4*($A1322-BOTT_B4),0),IF($A1322&gt;BOTT_B3,ROUND(BASE_B3+RATE_B3*($A1322-BOTT_B3),0),IF($A1322&gt;BOTT_B2,ROUND(BASE_B2+RATE_B2*($A1322-BOTT_B2),0),ROUND(RATE_B1*$A1322,0))))</f>
        <v/>
      </c>
      <c r="F1322" s="556">
        <f>IF($A1322&gt;BOTT_C4,ROUND(BASE_C4+RATE_C4*($A1322-BOTT_C4),0),IF($A1322&gt;BOTT_C3,ROUND(BASE_C3+RATE_C3*($A1322-BOTT_C3),0),IF($A1322&gt;BOTT_C2,ROUND(BASE_C2+RATE_C2*($A1322-BOTT_C2),0),ROUND(RATE_C1*$A1322,0))))</f>
        <v/>
      </c>
      <c r="G1322" s="556">
        <f>IF($A1322&gt;BOTT_D4,ROUND(BASE_D4+RATE_D4*($A1322-BOTT_D4),0),IF($A1322&gt;BOTT_D3,ROUND(BASE_D3+RATE_D3*($A1322-BOTT_D3),0),IF($A1322&gt;BOTT_D2,ROUND(BASE_D2+RATE_D2*($A1322-BOTT_D2),0),ROUND(RATE_D1*$A1322,0))))</f>
        <v/>
      </c>
    </row>
    <row r="1323" ht="15.75" customHeight="1" s="7635">
      <c r="A1323" s="625">
        <f>AVERAGE(B1323,C1323)</f>
        <v/>
      </c>
      <c r="B1323" s="555" t="n">
        <v>62950</v>
      </c>
      <c r="C1323" s="555" t="n">
        <v>63000</v>
      </c>
      <c r="D1323" s="556">
        <f>IF($A1323&gt;BOTT_A4,ROUND(BASE_A4+RATE_A4*($A1323-BOTT_A4),0),IF($A1323&gt;BOTT_A3,ROUND(BASE_A3+RATE_A3*($A1323-BOTT_A3),0),IF($A1323&gt;BOTT_A2,ROUND(BASE_A2+RATE_A2*($A1323-BOTT_A2),0),ROUND(RATE_A1*$A1323,0))))</f>
        <v/>
      </c>
      <c r="E1323" s="556">
        <f>IF($A1323&gt;BOTT_B4,ROUND(BASE_B4+RATE_B4*($A1323-BOTT_B4),0),IF($A1323&gt;BOTT_B3,ROUND(BASE_B3+RATE_B3*($A1323-BOTT_B3),0),IF($A1323&gt;BOTT_B2,ROUND(BASE_B2+RATE_B2*($A1323-BOTT_B2),0),ROUND(RATE_B1*$A1323,0))))</f>
        <v/>
      </c>
      <c r="F1323" s="556">
        <f>IF($A1323&gt;BOTT_C4,ROUND(BASE_C4+RATE_C4*($A1323-BOTT_C4),0),IF($A1323&gt;BOTT_C3,ROUND(BASE_C3+RATE_C3*($A1323-BOTT_C3),0),IF($A1323&gt;BOTT_C2,ROUND(BASE_C2+RATE_C2*($A1323-BOTT_C2),0),ROUND(RATE_C1*$A1323,0))))</f>
        <v/>
      </c>
      <c r="G1323" s="556">
        <f>IF($A1323&gt;BOTT_D4,ROUND(BASE_D4+RATE_D4*($A1323-BOTT_D4),0),IF($A1323&gt;BOTT_D3,ROUND(BASE_D3+RATE_D3*($A1323-BOTT_D3),0),IF($A1323&gt;BOTT_D2,ROUND(BASE_D2+RATE_D2*($A1323-BOTT_D2),0),ROUND(RATE_D1*$A1323,0))))</f>
        <v/>
      </c>
    </row>
    <row r="1324" ht="15.75" customHeight="1" s="7635">
      <c r="A1324" s="625">
        <f>AVERAGE(B1324,C1324)</f>
        <v/>
      </c>
      <c r="B1324" s="555" t="n">
        <v>63000</v>
      </c>
      <c r="C1324" s="555" t="n">
        <v>63050</v>
      </c>
      <c r="D1324" s="556">
        <f>IF($A1324&gt;BOTT_A4,ROUND(BASE_A4+RATE_A4*($A1324-BOTT_A4),0),IF($A1324&gt;BOTT_A3,ROUND(BASE_A3+RATE_A3*($A1324-BOTT_A3),0),IF($A1324&gt;BOTT_A2,ROUND(BASE_A2+RATE_A2*($A1324-BOTT_A2),0),ROUND(RATE_A1*$A1324,0))))</f>
        <v/>
      </c>
      <c r="E1324" s="556">
        <f>IF($A1324&gt;BOTT_B4,ROUND(BASE_B4+RATE_B4*($A1324-BOTT_B4),0),IF($A1324&gt;BOTT_B3,ROUND(BASE_B3+RATE_B3*($A1324-BOTT_B3),0),IF($A1324&gt;BOTT_B2,ROUND(BASE_B2+RATE_B2*($A1324-BOTT_B2),0),ROUND(RATE_B1*$A1324,0))))</f>
        <v/>
      </c>
      <c r="F1324" s="556">
        <f>IF($A1324&gt;BOTT_C4,ROUND(BASE_C4+RATE_C4*($A1324-BOTT_C4),0),IF($A1324&gt;BOTT_C3,ROUND(BASE_C3+RATE_C3*($A1324-BOTT_C3),0),IF($A1324&gt;BOTT_C2,ROUND(BASE_C2+RATE_C2*($A1324-BOTT_C2),0),ROUND(RATE_C1*$A1324,0))))</f>
        <v/>
      </c>
      <c r="G1324" s="556">
        <f>IF($A1324&gt;BOTT_D4,ROUND(BASE_D4+RATE_D4*($A1324-BOTT_D4),0),IF($A1324&gt;BOTT_D3,ROUND(BASE_D3+RATE_D3*($A1324-BOTT_D3),0),IF($A1324&gt;BOTT_D2,ROUND(BASE_D2+RATE_D2*($A1324-BOTT_D2),0),ROUND(RATE_D1*$A1324,0))))</f>
        <v/>
      </c>
    </row>
    <row r="1325" ht="15.75" customHeight="1" s="7635">
      <c r="A1325" s="625">
        <f>AVERAGE(B1325,C1325)</f>
        <v/>
      </c>
      <c r="B1325" s="555" t="n">
        <v>63050</v>
      </c>
      <c r="C1325" s="555" t="n">
        <v>63100</v>
      </c>
      <c r="D1325" s="556">
        <f>IF($A1325&gt;BOTT_A4,ROUND(BASE_A4+RATE_A4*($A1325-BOTT_A4),0),IF($A1325&gt;BOTT_A3,ROUND(BASE_A3+RATE_A3*($A1325-BOTT_A3),0),IF($A1325&gt;BOTT_A2,ROUND(BASE_A2+RATE_A2*($A1325-BOTT_A2),0),ROUND(RATE_A1*$A1325,0))))</f>
        <v/>
      </c>
      <c r="E1325" s="556">
        <f>IF($A1325&gt;BOTT_B4,ROUND(BASE_B4+RATE_B4*($A1325-BOTT_B4),0),IF($A1325&gt;BOTT_B3,ROUND(BASE_B3+RATE_B3*($A1325-BOTT_B3),0),IF($A1325&gt;BOTT_B2,ROUND(BASE_B2+RATE_B2*($A1325-BOTT_B2),0),ROUND(RATE_B1*$A1325,0))))</f>
        <v/>
      </c>
      <c r="F1325" s="556">
        <f>IF($A1325&gt;BOTT_C4,ROUND(BASE_C4+RATE_C4*($A1325-BOTT_C4),0),IF($A1325&gt;BOTT_C3,ROUND(BASE_C3+RATE_C3*($A1325-BOTT_C3),0),IF($A1325&gt;BOTT_C2,ROUND(BASE_C2+RATE_C2*($A1325-BOTT_C2),0),ROUND(RATE_C1*$A1325,0))))</f>
        <v/>
      </c>
      <c r="G1325" s="556">
        <f>IF($A1325&gt;BOTT_D4,ROUND(BASE_D4+RATE_D4*($A1325-BOTT_D4),0),IF($A1325&gt;BOTT_D3,ROUND(BASE_D3+RATE_D3*($A1325-BOTT_D3),0),IF($A1325&gt;BOTT_D2,ROUND(BASE_D2+RATE_D2*($A1325-BOTT_D2),0),ROUND(RATE_D1*$A1325,0))))</f>
        <v/>
      </c>
    </row>
    <row r="1326" ht="15.75" customHeight="1" s="7635">
      <c r="A1326" s="625">
        <f>AVERAGE(B1326,C1326)</f>
        <v/>
      </c>
      <c r="B1326" s="555" t="n">
        <v>63100</v>
      </c>
      <c r="C1326" s="555" t="n">
        <v>63150</v>
      </c>
      <c r="D1326" s="556">
        <f>IF($A1326&gt;BOTT_A4,ROUND(BASE_A4+RATE_A4*($A1326-BOTT_A4),0),IF($A1326&gt;BOTT_A3,ROUND(BASE_A3+RATE_A3*($A1326-BOTT_A3),0),IF($A1326&gt;BOTT_A2,ROUND(BASE_A2+RATE_A2*($A1326-BOTT_A2),0),ROUND(RATE_A1*$A1326,0))))</f>
        <v/>
      </c>
      <c r="E1326" s="556">
        <f>IF($A1326&gt;BOTT_B4,ROUND(BASE_B4+RATE_B4*($A1326-BOTT_B4),0),IF($A1326&gt;BOTT_B3,ROUND(BASE_B3+RATE_B3*($A1326-BOTT_B3),0),IF($A1326&gt;BOTT_B2,ROUND(BASE_B2+RATE_B2*($A1326-BOTT_B2),0),ROUND(RATE_B1*$A1326,0))))</f>
        <v/>
      </c>
      <c r="F1326" s="556">
        <f>IF($A1326&gt;BOTT_C4,ROUND(BASE_C4+RATE_C4*($A1326-BOTT_C4),0),IF($A1326&gt;BOTT_C3,ROUND(BASE_C3+RATE_C3*($A1326-BOTT_C3),0),IF($A1326&gt;BOTT_C2,ROUND(BASE_C2+RATE_C2*($A1326-BOTT_C2),0),ROUND(RATE_C1*$A1326,0))))</f>
        <v/>
      </c>
      <c r="G1326" s="556">
        <f>IF($A1326&gt;BOTT_D4,ROUND(BASE_D4+RATE_D4*($A1326-BOTT_D4),0),IF($A1326&gt;BOTT_D3,ROUND(BASE_D3+RATE_D3*($A1326-BOTT_D3),0),IF($A1326&gt;BOTT_D2,ROUND(BASE_D2+RATE_D2*($A1326-BOTT_D2),0),ROUND(RATE_D1*$A1326,0))))</f>
        <v/>
      </c>
    </row>
    <row r="1327" ht="15.75" customHeight="1" s="7635">
      <c r="A1327" s="625">
        <f>AVERAGE(B1327,C1327)</f>
        <v/>
      </c>
      <c r="B1327" s="555" t="n">
        <v>63150</v>
      </c>
      <c r="C1327" s="555" t="n">
        <v>63200</v>
      </c>
      <c r="D1327" s="556">
        <f>IF($A1327&gt;BOTT_A4,ROUND(BASE_A4+RATE_A4*($A1327-BOTT_A4),0),IF($A1327&gt;BOTT_A3,ROUND(BASE_A3+RATE_A3*($A1327-BOTT_A3),0),IF($A1327&gt;BOTT_A2,ROUND(BASE_A2+RATE_A2*($A1327-BOTT_A2),0),ROUND(RATE_A1*$A1327,0))))</f>
        <v/>
      </c>
      <c r="E1327" s="556">
        <f>IF($A1327&gt;BOTT_B4,ROUND(BASE_B4+RATE_B4*($A1327-BOTT_B4),0),IF($A1327&gt;BOTT_B3,ROUND(BASE_B3+RATE_B3*($A1327-BOTT_B3),0),IF($A1327&gt;BOTT_B2,ROUND(BASE_B2+RATE_B2*($A1327-BOTT_B2),0),ROUND(RATE_B1*$A1327,0))))</f>
        <v/>
      </c>
      <c r="F1327" s="556">
        <f>IF($A1327&gt;BOTT_C4,ROUND(BASE_C4+RATE_C4*($A1327-BOTT_C4),0),IF($A1327&gt;BOTT_C3,ROUND(BASE_C3+RATE_C3*($A1327-BOTT_C3),0),IF($A1327&gt;BOTT_C2,ROUND(BASE_C2+RATE_C2*($A1327-BOTT_C2),0),ROUND(RATE_C1*$A1327,0))))</f>
        <v/>
      </c>
      <c r="G1327" s="556">
        <f>IF($A1327&gt;BOTT_D4,ROUND(BASE_D4+RATE_D4*($A1327-BOTT_D4),0),IF($A1327&gt;BOTT_D3,ROUND(BASE_D3+RATE_D3*($A1327-BOTT_D3),0),IF($A1327&gt;BOTT_D2,ROUND(BASE_D2+RATE_D2*($A1327-BOTT_D2),0),ROUND(RATE_D1*$A1327,0))))</f>
        <v/>
      </c>
    </row>
    <row r="1328" ht="15.75" customHeight="1" s="7635">
      <c r="A1328" s="625">
        <f>AVERAGE(B1328,C1328)</f>
        <v/>
      </c>
      <c r="B1328" s="555" t="n">
        <v>63200</v>
      </c>
      <c r="C1328" s="555" t="n">
        <v>63250</v>
      </c>
      <c r="D1328" s="556">
        <f>IF($A1328&gt;BOTT_A4,ROUND(BASE_A4+RATE_A4*($A1328-BOTT_A4),0),IF($A1328&gt;BOTT_A3,ROUND(BASE_A3+RATE_A3*($A1328-BOTT_A3),0),IF($A1328&gt;BOTT_A2,ROUND(BASE_A2+RATE_A2*($A1328-BOTT_A2),0),ROUND(RATE_A1*$A1328,0))))</f>
        <v/>
      </c>
      <c r="E1328" s="556">
        <f>IF($A1328&gt;BOTT_B4,ROUND(BASE_B4+RATE_B4*($A1328-BOTT_B4),0),IF($A1328&gt;BOTT_B3,ROUND(BASE_B3+RATE_B3*($A1328-BOTT_B3),0),IF($A1328&gt;BOTT_B2,ROUND(BASE_B2+RATE_B2*($A1328-BOTT_B2),0),ROUND(RATE_B1*$A1328,0))))</f>
        <v/>
      </c>
      <c r="F1328" s="556">
        <f>IF($A1328&gt;BOTT_C4,ROUND(BASE_C4+RATE_C4*($A1328-BOTT_C4),0),IF($A1328&gt;BOTT_C3,ROUND(BASE_C3+RATE_C3*($A1328-BOTT_C3),0),IF($A1328&gt;BOTT_C2,ROUND(BASE_C2+RATE_C2*($A1328-BOTT_C2),0),ROUND(RATE_C1*$A1328,0))))</f>
        <v/>
      </c>
      <c r="G1328" s="556">
        <f>IF($A1328&gt;BOTT_D4,ROUND(BASE_D4+RATE_D4*($A1328-BOTT_D4),0),IF($A1328&gt;BOTT_D3,ROUND(BASE_D3+RATE_D3*($A1328-BOTT_D3),0),IF($A1328&gt;BOTT_D2,ROUND(BASE_D2+RATE_D2*($A1328-BOTT_D2),0),ROUND(RATE_D1*$A1328,0))))</f>
        <v/>
      </c>
    </row>
    <row r="1329" ht="15.75" customHeight="1" s="7635">
      <c r="A1329" s="625">
        <f>AVERAGE(B1329,C1329)</f>
        <v/>
      </c>
      <c r="B1329" s="555" t="n">
        <v>63250</v>
      </c>
      <c r="C1329" s="555" t="n">
        <v>63300</v>
      </c>
      <c r="D1329" s="556">
        <f>IF($A1329&gt;BOTT_A4,ROUND(BASE_A4+RATE_A4*($A1329-BOTT_A4),0),IF($A1329&gt;BOTT_A3,ROUND(BASE_A3+RATE_A3*($A1329-BOTT_A3),0),IF($A1329&gt;BOTT_A2,ROUND(BASE_A2+RATE_A2*($A1329-BOTT_A2),0),ROUND(RATE_A1*$A1329,0))))</f>
        <v/>
      </c>
      <c r="E1329" s="556">
        <f>IF($A1329&gt;BOTT_B4,ROUND(BASE_B4+RATE_B4*($A1329-BOTT_B4),0),IF($A1329&gt;BOTT_B3,ROUND(BASE_B3+RATE_B3*($A1329-BOTT_B3),0),IF($A1329&gt;BOTT_B2,ROUND(BASE_B2+RATE_B2*($A1329-BOTT_B2),0),ROUND(RATE_B1*$A1329,0))))</f>
        <v/>
      </c>
      <c r="F1329" s="556">
        <f>IF($A1329&gt;BOTT_C4,ROUND(BASE_C4+RATE_C4*($A1329-BOTT_C4),0),IF($A1329&gt;BOTT_C3,ROUND(BASE_C3+RATE_C3*($A1329-BOTT_C3),0),IF($A1329&gt;BOTT_C2,ROUND(BASE_C2+RATE_C2*($A1329-BOTT_C2),0),ROUND(RATE_C1*$A1329,0))))</f>
        <v/>
      </c>
      <c r="G1329" s="556">
        <f>IF($A1329&gt;BOTT_D4,ROUND(BASE_D4+RATE_D4*($A1329-BOTT_D4),0),IF($A1329&gt;BOTT_D3,ROUND(BASE_D3+RATE_D3*($A1329-BOTT_D3),0),IF($A1329&gt;BOTT_D2,ROUND(BASE_D2+RATE_D2*($A1329-BOTT_D2),0),ROUND(RATE_D1*$A1329,0))))</f>
        <v/>
      </c>
    </row>
    <row r="1330" ht="15.75" customHeight="1" s="7635">
      <c r="A1330" s="625">
        <f>AVERAGE(B1330,C1330)</f>
        <v/>
      </c>
      <c r="B1330" s="555" t="n">
        <v>63300</v>
      </c>
      <c r="C1330" s="555" t="n">
        <v>63350</v>
      </c>
      <c r="D1330" s="556">
        <f>IF($A1330&gt;BOTT_A4,ROUND(BASE_A4+RATE_A4*($A1330-BOTT_A4),0),IF($A1330&gt;BOTT_A3,ROUND(BASE_A3+RATE_A3*($A1330-BOTT_A3),0),IF($A1330&gt;BOTT_A2,ROUND(BASE_A2+RATE_A2*($A1330-BOTT_A2),0),ROUND(RATE_A1*$A1330,0))))</f>
        <v/>
      </c>
      <c r="E1330" s="556">
        <f>IF($A1330&gt;BOTT_B4,ROUND(BASE_B4+RATE_B4*($A1330-BOTT_B4),0),IF($A1330&gt;BOTT_B3,ROUND(BASE_B3+RATE_B3*($A1330-BOTT_B3),0),IF($A1330&gt;BOTT_B2,ROUND(BASE_B2+RATE_B2*($A1330-BOTT_B2),0),ROUND(RATE_B1*$A1330,0))))</f>
        <v/>
      </c>
      <c r="F1330" s="556">
        <f>IF($A1330&gt;BOTT_C4,ROUND(BASE_C4+RATE_C4*($A1330-BOTT_C4),0),IF($A1330&gt;BOTT_C3,ROUND(BASE_C3+RATE_C3*($A1330-BOTT_C3),0),IF($A1330&gt;BOTT_C2,ROUND(BASE_C2+RATE_C2*($A1330-BOTT_C2),0),ROUND(RATE_C1*$A1330,0))))</f>
        <v/>
      </c>
      <c r="G1330" s="556">
        <f>IF($A1330&gt;BOTT_D4,ROUND(BASE_D4+RATE_D4*($A1330-BOTT_D4),0),IF($A1330&gt;BOTT_D3,ROUND(BASE_D3+RATE_D3*($A1330-BOTT_D3),0),IF($A1330&gt;BOTT_D2,ROUND(BASE_D2+RATE_D2*($A1330-BOTT_D2),0),ROUND(RATE_D1*$A1330,0))))</f>
        <v/>
      </c>
    </row>
    <row r="1331" ht="15.75" customHeight="1" s="7635">
      <c r="A1331" s="625">
        <f>AVERAGE(B1331,C1331)</f>
        <v/>
      </c>
      <c r="B1331" s="555" t="n">
        <v>63350</v>
      </c>
      <c r="C1331" s="555" t="n">
        <v>63400</v>
      </c>
      <c r="D1331" s="556">
        <f>IF($A1331&gt;BOTT_A4,ROUND(BASE_A4+RATE_A4*($A1331-BOTT_A4),0),IF($A1331&gt;BOTT_A3,ROUND(BASE_A3+RATE_A3*($A1331-BOTT_A3),0),IF($A1331&gt;BOTT_A2,ROUND(BASE_A2+RATE_A2*($A1331-BOTT_A2),0),ROUND(RATE_A1*$A1331,0))))</f>
        <v/>
      </c>
      <c r="E1331" s="556">
        <f>IF($A1331&gt;BOTT_B4,ROUND(BASE_B4+RATE_B4*($A1331-BOTT_B4),0),IF($A1331&gt;BOTT_B3,ROUND(BASE_B3+RATE_B3*($A1331-BOTT_B3),0),IF($A1331&gt;BOTT_B2,ROUND(BASE_B2+RATE_B2*($A1331-BOTT_B2),0),ROUND(RATE_B1*$A1331,0))))</f>
        <v/>
      </c>
      <c r="F1331" s="556">
        <f>IF($A1331&gt;BOTT_C4,ROUND(BASE_C4+RATE_C4*($A1331-BOTT_C4),0),IF($A1331&gt;BOTT_C3,ROUND(BASE_C3+RATE_C3*($A1331-BOTT_C3),0),IF($A1331&gt;BOTT_C2,ROUND(BASE_C2+RATE_C2*($A1331-BOTT_C2),0),ROUND(RATE_C1*$A1331,0))))</f>
        <v/>
      </c>
      <c r="G1331" s="556">
        <f>IF($A1331&gt;BOTT_D4,ROUND(BASE_D4+RATE_D4*($A1331-BOTT_D4),0),IF($A1331&gt;BOTT_D3,ROUND(BASE_D3+RATE_D3*($A1331-BOTT_D3),0),IF($A1331&gt;BOTT_D2,ROUND(BASE_D2+RATE_D2*($A1331-BOTT_D2),0),ROUND(RATE_D1*$A1331,0))))</f>
        <v/>
      </c>
    </row>
    <row r="1332" ht="15.75" customHeight="1" s="7635">
      <c r="A1332" s="625">
        <f>AVERAGE(B1332,C1332)</f>
        <v/>
      </c>
      <c r="B1332" s="555" t="n">
        <v>63400</v>
      </c>
      <c r="C1332" s="555" t="n">
        <v>63450</v>
      </c>
      <c r="D1332" s="556">
        <f>IF($A1332&gt;BOTT_A4,ROUND(BASE_A4+RATE_A4*($A1332-BOTT_A4),0),IF($A1332&gt;BOTT_A3,ROUND(BASE_A3+RATE_A3*($A1332-BOTT_A3),0),IF($A1332&gt;BOTT_A2,ROUND(BASE_A2+RATE_A2*($A1332-BOTT_A2),0),ROUND(RATE_A1*$A1332,0))))</f>
        <v/>
      </c>
      <c r="E1332" s="556">
        <f>IF($A1332&gt;BOTT_B4,ROUND(BASE_B4+RATE_B4*($A1332-BOTT_B4),0),IF($A1332&gt;BOTT_B3,ROUND(BASE_B3+RATE_B3*($A1332-BOTT_B3),0),IF($A1332&gt;BOTT_B2,ROUND(BASE_B2+RATE_B2*($A1332-BOTT_B2),0),ROUND(RATE_B1*$A1332,0))))</f>
        <v/>
      </c>
      <c r="F1332" s="556">
        <f>IF($A1332&gt;BOTT_C4,ROUND(BASE_C4+RATE_C4*($A1332-BOTT_C4),0),IF($A1332&gt;BOTT_C3,ROUND(BASE_C3+RATE_C3*($A1332-BOTT_C3),0),IF($A1332&gt;BOTT_C2,ROUND(BASE_C2+RATE_C2*($A1332-BOTT_C2),0),ROUND(RATE_C1*$A1332,0))))</f>
        <v/>
      </c>
      <c r="G1332" s="556">
        <f>IF($A1332&gt;BOTT_D4,ROUND(BASE_D4+RATE_D4*($A1332-BOTT_D4),0),IF($A1332&gt;BOTT_D3,ROUND(BASE_D3+RATE_D3*($A1332-BOTT_D3),0),IF($A1332&gt;BOTT_D2,ROUND(BASE_D2+RATE_D2*($A1332-BOTT_D2),0),ROUND(RATE_D1*$A1332,0))))</f>
        <v/>
      </c>
    </row>
    <row r="1333" ht="15.75" customHeight="1" s="7635">
      <c r="A1333" s="625">
        <f>AVERAGE(B1333,C1333)</f>
        <v/>
      </c>
      <c r="B1333" s="555" t="n">
        <v>63450</v>
      </c>
      <c r="C1333" s="555" t="n">
        <v>63500</v>
      </c>
      <c r="D1333" s="556">
        <f>IF($A1333&gt;BOTT_A4,ROUND(BASE_A4+RATE_A4*($A1333-BOTT_A4),0),IF($A1333&gt;BOTT_A3,ROUND(BASE_A3+RATE_A3*($A1333-BOTT_A3),0),IF($A1333&gt;BOTT_A2,ROUND(BASE_A2+RATE_A2*($A1333-BOTT_A2),0),ROUND(RATE_A1*$A1333,0))))</f>
        <v/>
      </c>
      <c r="E1333" s="556">
        <f>IF($A1333&gt;BOTT_B4,ROUND(BASE_B4+RATE_B4*($A1333-BOTT_B4),0),IF($A1333&gt;BOTT_B3,ROUND(BASE_B3+RATE_B3*($A1333-BOTT_B3),0),IF($A1333&gt;BOTT_B2,ROUND(BASE_B2+RATE_B2*($A1333-BOTT_B2),0),ROUND(RATE_B1*$A1333,0))))</f>
        <v/>
      </c>
      <c r="F1333" s="556">
        <f>IF($A1333&gt;BOTT_C4,ROUND(BASE_C4+RATE_C4*($A1333-BOTT_C4),0),IF($A1333&gt;BOTT_C3,ROUND(BASE_C3+RATE_C3*($A1333-BOTT_C3),0),IF($A1333&gt;BOTT_C2,ROUND(BASE_C2+RATE_C2*($A1333-BOTT_C2),0),ROUND(RATE_C1*$A1333,0))))</f>
        <v/>
      </c>
      <c r="G1333" s="556">
        <f>IF($A1333&gt;BOTT_D4,ROUND(BASE_D4+RATE_D4*($A1333-BOTT_D4),0),IF($A1333&gt;BOTT_D3,ROUND(BASE_D3+RATE_D3*($A1333-BOTT_D3),0),IF($A1333&gt;BOTT_D2,ROUND(BASE_D2+RATE_D2*($A1333-BOTT_D2),0),ROUND(RATE_D1*$A1333,0))))</f>
        <v/>
      </c>
    </row>
    <row r="1334" ht="15.75" customHeight="1" s="7635">
      <c r="A1334" s="625">
        <f>AVERAGE(B1334,C1334)</f>
        <v/>
      </c>
      <c r="B1334" s="555" t="n">
        <v>63500</v>
      </c>
      <c r="C1334" s="555" t="n">
        <v>63550</v>
      </c>
      <c r="D1334" s="556">
        <f>IF($A1334&gt;BOTT_A4,ROUND(BASE_A4+RATE_A4*($A1334-BOTT_A4),0),IF($A1334&gt;BOTT_A3,ROUND(BASE_A3+RATE_A3*($A1334-BOTT_A3),0),IF($A1334&gt;BOTT_A2,ROUND(BASE_A2+RATE_A2*($A1334-BOTT_A2),0),ROUND(RATE_A1*$A1334,0))))</f>
        <v/>
      </c>
      <c r="E1334" s="556">
        <f>IF($A1334&gt;BOTT_B4,ROUND(BASE_B4+RATE_B4*($A1334-BOTT_B4),0),IF($A1334&gt;BOTT_B3,ROUND(BASE_B3+RATE_B3*($A1334-BOTT_B3),0),IF($A1334&gt;BOTT_B2,ROUND(BASE_B2+RATE_B2*($A1334-BOTT_B2),0),ROUND(RATE_B1*$A1334,0))))</f>
        <v/>
      </c>
      <c r="F1334" s="556">
        <f>IF($A1334&gt;BOTT_C4,ROUND(BASE_C4+RATE_C4*($A1334-BOTT_C4),0),IF($A1334&gt;BOTT_C3,ROUND(BASE_C3+RATE_C3*($A1334-BOTT_C3),0),IF($A1334&gt;BOTT_C2,ROUND(BASE_C2+RATE_C2*($A1334-BOTT_C2),0),ROUND(RATE_C1*$A1334,0))))</f>
        <v/>
      </c>
      <c r="G1334" s="556">
        <f>IF($A1334&gt;BOTT_D4,ROUND(BASE_D4+RATE_D4*($A1334-BOTT_D4),0),IF($A1334&gt;BOTT_D3,ROUND(BASE_D3+RATE_D3*($A1334-BOTT_D3),0),IF($A1334&gt;BOTT_D2,ROUND(BASE_D2+RATE_D2*($A1334-BOTT_D2),0),ROUND(RATE_D1*$A1334,0))))</f>
        <v/>
      </c>
    </row>
    <row r="1335" ht="15.75" customHeight="1" s="7635">
      <c r="A1335" s="625">
        <f>AVERAGE(B1335,C1335)</f>
        <v/>
      </c>
      <c r="B1335" s="555" t="n">
        <v>63550</v>
      </c>
      <c r="C1335" s="555" t="n">
        <v>63600</v>
      </c>
      <c r="D1335" s="556">
        <f>IF($A1335&gt;BOTT_A4,ROUND(BASE_A4+RATE_A4*($A1335-BOTT_A4),0),IF($A1335&gt;BOTT_A3,ROUND(BASE_A3+RATE_A3*($A1335-BOTT_A3),0),IF($A1335&gt;BOTT_A2,ROUND(BASE_A2+RATE_A2*($A1335-BOTT_A2),0),ROUND(RATE_A1*$A1335,0))))</f>
        <v/>
      </c>
      <c r="E1335" s="556">
        <f>IF($A1335&gt;BOTT_B4,ROUND(BASE_B4+RATE_B4*($A1335-BOTT_B4),0),IF($A1335&gt;BOTT_B3,ROUND(BASE_B3+RATE_B3*($A1335-BOTT_B3),0),IF($A1335&gt;BOTT_B2,ROUND(BASE_B2+RATE_B2*($A1335-BOTT_B2),0),ROUND(RATE_B1*$A1335,0))))</f>
        <v/>
      </c>
      <c r="F1335" s="556">
        <f>IF($A1335&gt;BOTT_C4,ROUND(BASE_C4+RATE_C4*($A1335-BOTT_C4),0),IF($A1335&gt;BOTT_C3,ROUND(BASE_C3+RATE_C3*($A1335-BOTT_C3),0),IF($A1335&gt;BOTT_C2,ROUND(BASE_C2+RATE_C2*($A1335-BOTT_C2),0),ROUND(RATE_C1*$A1335,0))))</f>
        <v/>
      </c>
      <c r="G1335" s="556">
        <f>IF($A1335&gt;BOTT_D4,ROUND(BASE_D4+RATE_D4*($A1335-BOTT_D4),0),IF($A1335&gt;BOTT_D3,ROUND(BASE_D3+RATE_D3*($A1335-BOTT_D3),0),IF($A1335&gt;BOTT_D2,ROUND(BASE_D2+RATE_D2*($A1335-BOTT_D2),0),ROUND(RATE_D1*$A1335,0))))</f>
        <v/>
      </c>
    </row>
    <row r="1336" ht="15.75" customHeight="1" s="7635">
      <c r="A1336" s="625">
        <f>AVERAGE(B1336,C1336)</f>
        <v/>
      </c>
      <c r="B1336" s="555" t="n">
        <v>63600</v>
      </c>
      <c r="C1336" s="555" t="n">
        <v>63650</v>
      </c>
      <c r="D1336" s="556">
        <f>IF($A1336&gt;BOTT_A4,ROUND(BASE_A4+RATE_A4*($A1336-BOTT_A4),0),IF($A1336&gt;BOTT_A3,ROUND(BASE_A3+RATE_A3*($A1336-BOTT_A3),0),IF($A1336&gt;BOTT_A2,ROUND(BASE_A2+RATE_A2*($A1336-BOTT_A2),0),ROUND(RATE_A1*$A1336,0))))</f>
        <v/>
      </c>
      <c r="E1336" s="556">
        <f>IF($A1336&gt;BOTT_B4,ROUND(BASE_B4+RATE_B4*($A1336-BOTT_B4),0),IF($A1336&gt;BOTT_B3,ROUND(BASE_B3+RATE_B3*($A1336-BOTT_B3),0),IF($A1336&gt;BOTT_B2,ROUND(BASE_B2+RATE_B2*($A1336-BOTT_B2),0),ROUND(RATE_B1*$A1336,0))))</f>
        <v/>
      </c>
      <c r="F1336" s="556">
        <f>IF($A1336&gt;BOTT_C4,ROUND(BASE_C4+RATE_C4*($A1336-BOTT_C4),0),IF($A1336&gt;BOTT_C3,ROUND(BASE_C3+RATE_C3*($A1336-BOTT_C3),0),IF($A1336&gt;BOTT_C2,ROUND(BASE_C2+RATE_C2*($A1336-BOTT_C2),0),ROUND(RATE_C1*$A1336,0))))</f>
        <v/>
      </c>
      <c r="G1336" s="556">
        <f>IF($A1336&gt;BOTT_D4,ROUND(BASE_D4+RATE_D4*($A1336-BOTT_D4),0),IF($A1336&gt;BOTT_D3,ROUND(BASE_D3+RATE_D3*($A1336-BOTT_D3),0),IF($A1336&gt;BOTT_D2,ROUND(BASE_D2+RATE_D2*($A1336-BOTT_D2),0),ROUND(RATE_D1*$A1336,0))))</f>
        <v/>
      </c>
    </row>
    <row r="1337" ht="15.75" customHeight="1" s="7635">
      <c r="A1337" s="625">
        <f>AVERAGE(B1337,C1337)</f>
        <v/>
      </c>
      <c r="B1337" s="555" t="n">
        <v>63650</v>
      </c>
      <c r="C1337" s="555" t="n">
        <v>63700</v>
      </c>
      <c r="D1337" s="556">
        <f>IF($A1337&gt;BOTT_A4,ROUND(BASE_A4+RATE_A4*($A1337-BOTT_A4),0),IF($A1337&gt;BOTT_A3,ROUND(BASE_A3+RATE_A3*($A1337-BOTT_A3),0),IF($A1337&gt;BOTT_A2,ROUND(BASE_A2+RATE_A2*($A1337-BOTT_A2),0),ROUND(RATE_A1*$A1337,0))))</f>
        <v/>
      </c>
      <c r="E1337" s="556">
        <f>IF($A1337&gt;BOTT_B4,ROUND(BASE_B4+RATE_B4*($A1337-BOTT_B4),0),IF($A1337&gt;BOTT_B3,ROUND(BASE_B3+RATE_B3*($A1337-BOTT_B3),0),IF($A1337&gt;BOTT_B2,ROUND(BASE_B2+RATE_B2*($A1337-BOTT_B2),0),ROUND(RATE_B1*$A1337,0))))</f>
        <v/>
      </c>
      <c r="F1337" s="556">
        <f>IF($A1337&gt;BOTT_C4,ROUND(BASE_C4+RATE_C4*($A1337-BOTT_C4),0),IF($A1337&gt;BOTT_C3,ROUND(BASE_C3+RATE_C3*($A1337-BOTT_C3),0),IF($A1337&gt;BOTT_C2,ROUND(BASE_C2+RATE_C2*($A1337-BOTT_C2),0),ROUND(RATE_C1*$A1337,0))))</f>
        <v/>
      </c>
      <c r="G1337" s="556">
        <f>IF($A1337&gt;BOTT_D4,ROUND(BASE_D4+RATE_D4*($A1337-BOTT_D4),0),IF($A1337&gt;BOTT_D3,ROUND(BASE_D3+RATE_D3*($A1337-BOTT_D3),0),IF($A1337&gt;BOTT_D2,ROUND(BASE_D2+RATE_D2*($A1337-BOTT_D2),0),ROUND(RATE_D1*$A1337,0))))</f>
        <v/>
      </c>
    </row>
    <row r="1338" ht="15.75" customHeight="1" s="7635">
      <c r="A1338" s="625">
        <f>AVERAGE(B1338,C1338)</f>
        <v/>
      </c>
      <c r="B1338" s="555" t="n">
        <v>63700</v>
      </c>
      <c r="C1338" s="555" t="n">
        <v>63750</v>
      </c>
      <c r="D1338" s="556">
        <f>IF($A1338&gt;BOTT_A4,ROUND(BASE_A4+RATE_A4*($A1338-BOTT_A4),0),IF($A1338&gt;BOTT_A3,ROUND(BASE_A3+RATE_A3*($A1338-BOTT_A3),0),IF($A1338&gt;BOTT_A2,ROUND(BASE_A2+RATE_A2*($A1338-BOTT_A2),0),ROUND(RATE_A1*$A1338,0))))</f>
        <v/>
      </c>
      <c r="E1338" s="556">
        <f>IF($A1338&gt;BOTT_B4,ROUND(BASE_B4+RATE_B4*($A1338-BOTT_B4),0),IF($A1338&gt;BOTT_B3,ROUND(BASE_B3+RATE_B3*($A1338-BOTT_B3),0),IF($A1338&gt;BOTT_B2,ROUND(BASE_B2+RATE_B2*($A1338-BOTT_B2),0),ROUND(RATE_B1*$A1338,0))))</f>
        <v/>
      </c>
      <c r="F1338" s="556">
        <f>IF($A1338&gt;BOTT_C4,ROUND(BASE_C4+RATE_C4*($A1338-BOTT_C4),0),IF($A1338&gt;BOTT_C3,ROUND(BASE_C3+RATE_C3*($A1338-BOTT_C3),0),IF($A1338&gt;BOTT_C2,ROUND(BASE_C2+RATE_C2*($A1338-BOTT_C2),0),ROUND(RATE_C1*$A1338,0))))</f>
        <v/>
      </c>
      <c r="G1338" s="556">
        <f>IF($A1338&gt;BOTT_D4,ROUND(BASE_D4+RATE_D4*($A1338-BOTT_D4),0),IF($A1338&gt;BOTT_D3,ROUND(BASE_D3+RATE_D3*($A1338-BOTT_D3),0),IF($A1338&gt;BOTT_D2,ROUND(BASE_D2+RATE_D2*($A1338-BOTT_D2),0),ROUND(RATE_D1*$A1338,0))))</f>
        <v/>
      </c>
    </row>
    <row r="1339" ht="15.75" customHeight="1" s="7635">
      <c r="A1339" s="625">
        <f>AVERAGE(B1339,C1339)</f>
        <v/>
      </c>
      <c r="B1339" s="555" t="n">
        <v>63750</v>
      </c>
      <c r="C1339" s="555" t="n">
        <v>63800</v>
      </c>
      <c r="D1339" s="556">
        <f>IF($A1339&gt;BOTT_A4,ROUND(BASE_A4+RATE_A4*($A1339-BOTT_A4),0),IF($A1339&gt;BOTT_A3,ROUND(BASE_A3+RATE_A3*($A1339-BOTT_A3),0),IF($A1339&gt;BOTT_A2,ROUND(BASE_A2+RATE_A2*($A1339-BOTT_A2),0),ROUND(RATE_A1*$A1339,0))))</f>
        <v/>
      </c>
      <c r="E1339" s="556">
        <f>IF($A1339&gt;BOTT_B4,ROUND(BASE_B4+RATE_B4*($A1339-BOTT_B4),0),IF($A1339&gt;BOTT_B3,ROUND(BASE_B3+RATE_B3*($A1339-BOTT_B3),0),IF($A1339&gt;BOTT_B2,ROUND(BASE_B2+RATE_B2*($A1339-BOTT_B2),0),ROUND(RATE_B1*$A1339,0))))</f>
        <v/>
      </c>
      <c r="F1339" s="556">
        <f>IF($A1339&gt;BOTT_C4,ROUND(BASE_C4+RATE_C4*($A1339-BOTT_C4),0),IF($A1339&gt;BOTT_C3,ROUND(BASE_C3+RATE_C3*($A1339-BOTT_C3),0),IF($A1339&gt;BOTT_C2,ROUND(BASE_C2+RATE_C2*($A1339-BOTT_C2),0),ROUND(RATE_C1*$A1339,0))))</f>
        <v/>
      </c>
      <c r="G1339" s="556">
        <f>IF($A1339&gt;BOTT_D4,ROUND(BASE_D4+RATE_D4*($A1339-BOTT_D4),0),IF($A1339&gt;BOTT_D3,ROUND(BASE_D3+RATE_D3*($A1339-BOTT_D3),0),IF($A1339&gt;BOTT_D2,ROUND(BASE_D2+RATE_D2*($A1339-BOTT_D2),0),ROUND(RATE_D1*$A1339,0))))</f>
        <v/>
      </c>
    </row>
    <row r="1340" ht="15.75" customHeight="1" s="7635">
      <c r="A1340" s="625">
        <f>AVERAGE(B1340,C1340)</f>
        <v/>
      </c>
      <c r="B1340" s="555" t="n">
        <v>63800</v>
      </c>
      <c r="C1340" s="555" t="n">
        <v>63850</v>
      </c>
      <c r="D1340" s="556">
        <f>IF($A1340&gt;BOTT_A4,ROUND(BASE_A4+RATE_A4*($A1340-BOTT_A4),0),IF($A1340&gt;BOTT_A3,ROUND(BASE_A3+RATE_A3*($A1340-BOTT_A3),0),IF($A1340&gt;BOTT_A2,ROUND(BASE_A2+RATE_A2*($A1340-BOTT_A2),0),ROUND(RATE_A1*$A1340,0))))</f>
        <v/>
      </c>
      <c r="E1340" s="556">
        <f>IF($A1340&gt;BOTT_B4,ROUND(BASE_B4+RATE_B4*($A1340-BOTT_B4),0),IF($A1340&gt;BOTT_B3,ROUND(BASE_B3+RATE_B3*($A1340-BOTT_B3),0),IF($A1340&gt;BOTT_B2,ROUND(BASE_B2+RATE_B2*($A1340-BOTT_B2),0),ROUND(RATE_B1*$A1340,0))))</f>
        <v/>
      </c>
      <c r="F1340" s="556">
        <f>IF($A1340&gt;BOTT_C4,ROUND(BASE_C4+RATE_C4*($A1340-BOTT_C4),0),IF($A1340&gt;BOTT_C3,ROUND(BASE_C3+RATE_C3*($A1340-BOTT_C3),0),IF($A1340&gt;BOTT_C2,ROUND(BASE_C2+RATE_C2*($A1340-BOTT_C2),0),ROUND(RATE_C1*$A1340,0))))</f>
        <v/>
      </c>
      <c r="G1340" s="556">
        <f>IF($A1340&gt;BOTT_D4,ROUND(BASE_D4+RATE_D4*($A1340-BOTT_D4),0),IF($A1340&gt;BOTT_D3,ROUND(BASE_D3+RATE_D3*($A1340-BOTT_D3),0),IF($A1340&gt;BOTT_D2,ROUND(BASE_D2+RATE_D2*($A1340-BOTT_D2),0),ROUND(RATE_D1*$A1340,0))))</f>
        <v/>
      </c>
    </row>
    <row r="1341" ht="15.75" customHeight="1" s="7635">
      <c r="A1341" s="625">
        <f>AVERAGE(B1341,C1341)</f>
        <v/>
      </c>
      <c r="B1341" s="555" t="n">
        <v>63850</v>
      </c>
      <c r="C1341" s="555" t="n">
        <v>63900</v>
      </c>
      <c r="D1341" s="556">
        <f>IF($A1341&gt;BOTT_A4,ROUND(BASE_A4+RATE_A4*($A1341-BOTT_A4),0),IF($A1341&gt;BOTT_A3,ROUND(BASE_A3+RATE_A3*($A1341-BOTT_A3),0),IF($A1341&gt;BOTT_A2,ROUND(BASE_A2+RATE_A2*($A1341-BOTT_A2),0),ROUND(RATE_A1*$A1341,0))))</f>
        <v/>
      </c>
      <c r="E1341" s="556">
        <f>IF($A1341&gt;BOTT_B4,ROUND(BASE_B4+RATE_B4*($A1341-BOTT_B4),0),IF($A1341&gt;BOTT_B3,ROUND(BASE_B3+RATE_B3*($A1341-BOTT_B3),0),IF($A1341&gt;BOTT_B2,ROUND(BASE_B2+RATE_B2*($A1341-BOTT_B2),0),ROUND(RATE_B1*$A1341,0))))</f>
        <v/>
      </c>
      <c r="F1341" s="556">
        <f>IF($A1341&gt;BOTT_C4,ROUND(BASE_C4+RATE_C4*($A1341-BOTT_C4),0),IF($A1341&gt;BOTT_C3,ROUND(BASE_C3+RATE_C3*($A1341-BOTT_C3),0),IF($A1341&gt;BOTT_C2,ROUND(BASE_C2+RATE_C2*($A1341-BOTT_C2),0),ROUND(RATE_C1*$A1341,0))))</f>
        <v/>
      </c>
      <c r="G1341" s="556">
        <f>IF($A1341&gt;BOTT_D4,ROUND(BASE_D4+RATE_D4*($A1341-BOTT_D4),0),IF($A1341&gt;BOTT_D3,ROUND(BASE_D3+RATE_D3*($A1341-BOTT_D3),0),IF($A1341&gt;BOTT_D2,ROUND(BASE_D2+RATE_D2*($A1341-BOTT_D2),0),ROUND(RATE_D1*$A1341,0))))</f>
        <v/>
      </c>
    </row>
    <row r="1342" ht="15.75" customHeight="1" s="7635">
      <c r="A1342" s="625">
        <f>AVERAGE(B1342,C1342)</f>
        <v/>
      </c>
      <c r="B1342" s="555" t="n">
        <v>63900</v>
      </c>
      <c r="C1342" s="555" t="n">
        <v>63950</v>
      </c>
      <c r="D1342" s="556">
        <f>IF($A1342&gt;BOTT_A4,ROUND(BASE_A4+RATE_A4*($A1342-BOTT_A4),0),IF($A1342&gt;BOTT_A3,ROUND(BASE_A3+RATE_A3*($A1342-BOTT_A3),0),IF($A1342&gt;BOTT_A2,ROUND(BASE_A2+RATE_A2*($A1342-BOTT_A2),0),ROUND(RATE_A1*$A1342,0))))</f>
        <v/>
      </c>
      <c r="E1342" s="556">
        <f>IF($A1342&gt;BOTT_B4,ROUND(BASE_B4+RATE_B4*($A1342-BOTT_B4),0),IF($A1342&gt;BOTT_B3,ROUND(BASE_B3+RATE_B3*($A1342-BOTT_B3),0),IF($A1342&gt;BOTT_B2,ROUND(BASE_B2+RATE_B2*($A1342-BOTT_B2),0),ROUND(RATE_B1*$A1342,0))))</f>
        <v/>
      </c>
      <c r="F1342" s="556">
        <f>IF($A1342&gt;BOTT_C4,ROUND(BASE_C4+RATE_C4*($A1342-BOTT_C4),0),IF($A1342&gt;BOTT_C3,ROUND(BASE_C3+RATE_C3*($A1342-BOTT_C3),0),IF($A1342&gt;BOTT_C2,ROUND(BASE_C2+RATE_C2*($A1342-BOTT_C2),0),ROUND(RATE_C1*$A1342,0))))</f>
        <v/>
      </c>
      <c r="G1342" s="556">
        <f>IF($A1342&gt;BOTT_D4,ROUND(BASE_D4+RATE_D4*($A1342-BOTT_D4),0),IF($A1342&gt;BOTT_D3,ROUND(BASE_D3+RATE_D3*($A1342-BOTT_D3),0),IF($A1342&gt;BOTT_D2,ROUND(BASE_D2+RATE_D2*($A1342-BOTT_D2),0),ROUND(RATE_D1*$A1342,0))))</f>
        <v/>
      </c>
    </row>
    <row r="1343" ht="15.75" customHeight="1" s="7635">
      <c r="A1343" s="625">
        <f>AVERAGE(B1343,C1343)</f>
        <v/>
      </c>
      <c r="B1343" s="555" t="n">
        <v>63950</v>
      </c>
      <c r="C1343" s="555" t="n">
        <v>64000</v>
      </c>
      <c r="D1343" s="556">
        <f>IF($A1343&gt;BOTT_A4,ROUND(BASE_A4+RATE_A4*($A1343-BOTT_A4),0),IF($A1343&gt;BOTT_A3,ROUND(BASE_A3+RATE_A3*($A1343-BOTT_A3),0),IF($A1343&gt;BOTT_A2,ROUND(BASE_A2+RATE_A2*($A1343-BOTT_A2),0),ROUND(RATE_A1*$A1343,0))))</f>
        <v/>
      </c>
      <c r="E1343" s="556">
        <f>IF($A1343&gt;BOTT_B4,ROUND(BASE_B4+RATE_B4*($A1343-BOTT_B4),0),IF($A1343&gt;BOTT_B3,ROUND(BASE_B3+RATE_B3*($A1343-BOTT_B3),0),IF($A1343&gt;BOTT_B2,ROUND(BASE_B2+RATE_B2*($A1343-BOTT_B2),0),ROUND(RATE_B1*$A1343,0))))</f>
        <v/>
      </c>
      <c r="F1343" s="556">
        <f>IF($A1343&gt;BOTT_C4,ROUND(BASE_C4+RATE_C4*($A1343-BOTT_C4),0),IF($A1343&gt;BOTT_C3,ROUND(BASE_C3+RATE_C3*($A1343-BOTT_C3),0),IF($A1343&gt;BOTT_C2,ROUND(BASE_C2+RATE_C2*($A1343-BOTT_C2),0),ROUND(RATE_C1*$A1343,0))))</f>
        <v/>
      </c>
      <c r="G1343" s="556">
        <f>IF($A1343&gt;BOTT_D4,ROUND(BASE_D4+RATE_D4*($A1343-BOTT_D4),0),IF($A1343&gt;BOTT_D3,ROUND(BASE_D3+RATE_D3*($A1343-BOTT_D3),0),IF($A1343&gt;BOTT_D2,ROUND(BASE_D2+RATE_D2*($A1343-BOTT_D2),0),ROUND(RATE_D1*$A1343,0))))</f>
        <v/>
      </c>
    </row>
    <row r="1344" ht="15.75" customHeight="1" s="7635">
      <c r="A1344" s="625">
        <f>AVERAGE(B1344,C1344)</f>
        <v/>
      </c>
      <c r="B1344" s="555" t="n">
        <v>64000</v>
      </c>
      <c r="C1344" s="555" t="n">
        <v>64050</v>
      </c>
      <c r="D1344" s="556">
        <f>IF($A1344&gt;BOTT_A4,ROUND(BASE_A4+RATE_A4*($A1344-BOTT_A4),0),IF($A1344&gt;BOTT_A3,ROUND(BASE_A3+RATE_A3*($A1344-BOTT_A3),0),IF($A1344&gt;BOTT_A2,ROUND(BASE_A2+RATE_A2*($A1344-BOTT_A2),0),ROUND(RATE_A1*$A1344,0))))</f>
        <v/>
      </c>
      <c r="E1344" s="556">
        <f>IF($A1344&gt;BOTT_B4,ROUND(BASE_B4+RATE_B4*($A1344-BOTT_B4),0),IF($A1344&gt;BOTT_B3,ROUND(BASE_B3+RATE_B3*($A1344-BOTT_B3),0),IF($A1344&gt;BOTT_B2,ROUND(BASE_B2+RATE_B2*($A1344-BOTT_B2),0),ROUND(RATE_B1*$A1344,0))))</f>
        <v/>
      </c>
      <c r="F1344" s="556">
        <f>IF($A1344&gt;BOTT_C4,ROUND(BASE_C4+RATE_C4*($A1344-BOTT_C4),0),IF($A1344&gt;BOTT_C3,ROUND(BASE_C3+RATE_C3*($A1344-BOTT_C3),0),IF($A1344&gt;BOTT_C2,ROUND(BASE_C2+RATE_C2*($A1344-BOTT_C2),0),ROUND(RATE_C1*$A1344,0))))</f>
        <v/>
      </c>
      <c r="G1344" s="556">
        <f>IF($A1344&gt;BOTT_D4,ROUND(BASE_D4+RATE_D4*($A1344-BOTT_D4),0),IF($A1344&gt;BOTT_D3,ROUND(BASE_D3+RATE_D3*($A1344-BOTT_D3),0),IF($A1344&gt;BOTT_D2,ROUND(BASE_D2+RATE_D2*($A1344-BOTT_D2),0),ROUND(RATE_D1*$A1344,0))))</f>
        <v/>
      </c>
    </row>
    <row r="1345" ht="15.75" customHeight="1" s="7635">
      <c r="A1345" s="625">
        <f>AVERAGE(B1345,C1345)</f>
        <v/>
      </c>
      <c r="B1345" s="555" t="n">
        <v>64050</v>
      </c>
      <c r="C1345" s="555" t="n">
        <v>64100</v>
      </c>
      <c r="D1345" s="556">
        <f>IF($A1345&gt;BOTT_A4,ROUND(BASE_A4+RATE_A4*($A1345-BOTT_A4),0),IF($A1345&gt;BOTT_A3,ROUND(BASE_A3+RATE_A3*($A1345-BOTT_A3),0),IF($A1345&gt;BOTT_A2,ROUND(BASE_A2+RATE_A2*($A1345-BOTT_A2),0),ROUND(RATE_A1*$A1345,0))))</f>
        <v/>
      </c>
      <c r="E1345" s="556">
        <f>IF($A1345&gt;BOTT_B4,ROUND(BASE_B4+RATE_B4*($A1345-BOTT_B4),0),IF($A1345&gt;BOTT_B3,ROUND(BASE_B3+RATE_B3*($A1345-BOTT_B3),0),IF($A1345&gt;BOTT_B2,ROUND(BASE_B2+RATE_B2*($A1345-BOTT_B2),0),ROUND(RATE_B1*$A1345,0))))</f>
        <v/>
      </c>
      <c r="F1345" s="556">
        <f>IF($A1345&gt;BOTT_C4,ROUND(BASE_C4+RATE_C4*($A1345-BOTT_C4),0),IF($A1345&gt;BOTT_C3,ROUND(BASE_C3+RATE_C3*($A1345-BOTT_C3),0),IF($A1345&gt;BOTT_C2,ROUND(BASE_C2+RATE_C2*($A1345-BOTT_C2),0),ROUND(RATE_C1*$A1345,0))))</f>
        <v/>
      </c>
      <c r="G1345" s="556">
        <f>IF($A1345&gt;BOTT_D4,ROUND(BASE_D4+RATE_D4*($A1345-BOTT_D4),0),IF($A1345&gt;BOTT_D3,ROUND(BASE_D3+RATE_D3*($A1345-BOTT_D3),0),IF($A1345&gt;BOTT_D2,ROUND(BASE_D2+RATE_D2*($A1345-BOTT_D2),0),ROUND(RATE_D1*$A1345,0))))</f>
        <v/>
      </c>
    </row>
    <row r="1346" ht="15.75" customHeight="1" s="7635">
      <c r="A1346" s="625">
        <f>AVERAGE(B1346,C1346)</f>
        <v/>
      </c>
      <c r="B1346" s="555" t="n">
        <v>64100</v>
      </c>
      <c r="C1346" s="555" t="n">
        <v>64150</v>
      </c>
      <c r="D1346" s="556">
        <f>IF($A1346&gt;BOTT_A4,ROUND(BASE_A4+RATE_A4*($A1346-BOTT_A4),0),IF($A1346&gt;BOTT_A3,ROUND(BASE_A3+RATE_A3*($A1346-BOTT_A3),0),IF($A1346&gt;BOTT_A2,ROUND(BASE_A2+RATE_A2*($A1346-BOTT_A2),0),ROUND(RATE_A1*$A1346,0))))</f>
        <v/>
      </c>
      <c r="E1346" s="556">
        <f>IF($A1346&gt;BOTT_B4,ROUND(BASE_B4+RATE_B4*($A1346-BOTT_B4),0),IF($A1346&gt;BOTT_B3,ROUND(BASE_B3+RATE_B3*($A1346-BOTT_B3),0),IF($A1346&gt;BOTT_B2,ROUND(BASE_B2+RATE_B2*($A1346-BOTT_B2),0),ROUND(RATE_B1*$A1346,0))))</f>
        <v/>
      </c>
      <c r="F1346" s="556">
        <f>IF($A1346&gt;BOTT_C4,ROUND(BASE_C4+RATE_C4*($A1346-BOTT_C4),0),IF($A1346&gt;BOTT_C3,ROUND(BASE_C3+RATE_C3*($A1346-BOTT_C3),0),IF($A1346&gt;BOTT_C2,ROUND(BASE_C2+RATE_C2*($A1346-BOTT_C2),0),ROUND(RATE_C1*$A1346,0))))</f>
        <v/>
      </c>
      <c r="G1346" s="556">
        <f>IF($A1346&gt;BOTT_D4,ROUND(BASE_D4+RATE_D4*($A1346-BOTT_D4),0),IF($A1346&gt;BOTT_D3,ROUND(BASE_D3+RATE_D3*($A1346-BOTT_D3),0),IF($A1346&gt;BOTT_D2,ROUND(BASE_D2+RATE_D2*($A1346-BOTT_D2),0),ROUND(RATE_D1*$A1346,0))))</f>
        <v/>
      </c>
    </row>
    <row r="1347" ht="15.75" customHeight="1" s="7635">
      <c r="A1347" s="625">
        <f>AVERAGE(B1347,C1347)</f>
        <v/>
      </c>
      <c r="B1347" s="555" t="n">
        <v>64150</v>
      </c>
      <c r="C1347" s="555" t="n">
        <v>64200</v>
      </c>
      <c r="D1347" s="556">
        <f>IF($A1347&gt;BOTT_A4,ROUND(BASE_A4+RATE_A4*($A1347-BOTT_A4),0),IF($A1347&gt;BOTT_A3,ROUND(BASE_A3+RATE_A3*($A1347-BOTT_A3),0),IF($A1347&gt;BOTT_A2,ROUND(BASE_A2+RATE_A2*($A1347-BOTT_A2),0),ROUND(RATE_A1*$A1347,0))))</f>
        <v/>
      </c>
      <c r="E1347" s="556">
        <f>IF($A1347&gt;BOTT_B4,ROUND(BASE_B4+RATE_B4*($A1347-BOTT_B4),0),IF($A1347&gt;BOTT_B3,ROUND(BASE_B3+RATE_B3*($A1347-BOTT_B3),0),IF($A1347&gt;BOTT_B2,ROUND(BASE_B2+RATE_B2*($A1347-BOTT_B2),0),ROUND(RATE_B1*$A1347,0))))</f>
        <v/>
      </c>
      <c r="F1347" s="556">
        <f>IF($A1347&gt;BOTT_C4,ROUND(BASE_C4+RATE_C4*($A1347-BOTT_C4),0),IF($A1347&gt;BOTT_C3,ROUND(BASE_C3+RATE_C3*($A1347-BOTT_C3),0),IF($A1347&gt;BOTT_C2,ROUND(BASE_C2+RATE_C2*($A1347-BOTT_C2),0),ROUND(RATE_C1*$A1347,0))))</f>
        <v/>
      </c>
      <c r="G1347" s="556">
        <f>IF($A1347&gt;BOTT_D4,ROUND(BASE_D4+RATE_D4*($A1347-BOTT_D4),0),IF($A1347&gt;BOTT_D3,ROUND(BASE_D3+RATE_D3*($A1347-BOTT_D3),0),IF($A1347&gt;BOTT_D2,ROUND(BASE_D2+RATE_D2*($A1347-BOTT_D2),0),ROUND(RATE_D1*$A1347,0))))</f>
        <v/>
      </c>
    </row>
    <row r="1348" ht="15.75" customHeight="1" s="7635">
      <c r="A1348" s="625">
        <f>AVERAGE(B1348,C1348)</f>
        <v/>
      </c>
      <c r="B1348" s="555" t="n">
        <v>64200</v>
      </c>
      <c r="C1348" s="555" t="n">
        <v>64250</v>
      </c>
      <c r="D1348" s="556">
        <f>IF($A1348&gt;BOTT_A4,ROUND(BASE_A4+RATE_A4*($A1348-BOTT_A4),0),IF($A1348&gt;BOTT_A3,ROUND(BASE_A3+RATE_A3*($A1348-BOTT_A3),0),IF($A1348&gt;BOTT_A2,ROUND(BASE_A2+RATE_A2*($A1348-BOTT_A2),0),ROUND(RATE_A1*$A1348,0))))</f>
        <v/>
      </c>
      <c r="E1348" s="556">
        <f>IF($A1348&gt;BOTT_B4,ROUND(BASE_B4+RATE_B4*($A1348-BOTT_B4),0),IF($A1348&gt;BOTT_B3,ROUND(BASE_B3+RATE_B3*($A1348-BOTT_B3),0),IF($A1348&gt;BOTT_B2,ROUND(BASE_B2+RATE_B2*($A1348-BOTT_B2),0),ROUND(RATE_B1*$A1348,0))))</f>
        <v/>
      </c>
      <c r="F1348" s="556">
        <f>IF($A1348&gt;BOTT_C4,ROUND(BASE_C4+RATE_C4*($A1348-BOTT_C4),0),IF($A1348&gt;BOTT_C3,ROUND(BASE_C3+RATE_C3*($A1348-BOTT_C3),0),IF($A1348&gt;BOTT_C2,ROUND(BASE_C2+RATE_C2*($A1348-BOTT_C2),0),ROUND(RATE_C1*$A1348,0))))</f>
        <v/>
      </c>
      <c r="G1348" s="556">
        <f>IF($A1348&gt;BOTT_D4,ROUND(BASE_D4+RATE_D4*($A1348-BOTT_D4),0),IF($A1348&gt;BOTT_D3,ROUND(BASE_D3+RATE_D3*($A1348-BOTT_D3),0),IF($A1348&gt;BOTT_D2,ROUND(BASE_D2+RATE_D2*($A1348-BOTT_D2),0),ROUND(RATE_D1*$A1348,0))))</f>
        <v/>
      </c>
    </row>
    <row r="1349" ht="15.75" customHeight="1" s="7635">
      <c r="A1349" s="625">
        <f>AVERAGE(B1349,C1349)</f>
        <v/>
      </c>
      <c r="B1349" s="555" t="n">
        <v>64250</v>
      </c>
      <c r="C1349" s="555" t="n">
        <v>64300</v>
      </c>
      <c r="D1349" s="556">
        <f>IF($A1349&gt;BOTT_A4,ROUND(BASE_A4+RATE_A4*($A1349-BOTT_A4),0),IF($A1349&gt;BOTT_A3,ROUND(BASE_A3+RATE_A3*($A1349-BOTT_A3),0),IF($A1349&gt;BOTT_A2,ROUND(BASE_A2+RATE_A2*($A1349-BOTT_A2),0),ROUND(RATE_A1*$A1349,0))))</f>
        <v/>
      </c>
      <c r="E1349" s="556">
        <f>IF($A1349&gt;BOTT_B4,ROUND(BASE_B4+RATE_B4*($A1349-BOTT_B4),0),IF($A1349&gt;BOTT_B3,ROUND(BASE_B3+RATE_B3*($A1349-BOTT_B3),0),IF($A1349&gt;BOTT_B2,ROUND(BASE_B2+RATE_B2*($A1349-BOTT_B2),0),ROUND(RATE_B1*$A1349,0))))</f>
        <v/>
      </c>
      <c r="F1349" s="556">
        <f>IF($A1349&gt;BOTT_C4,ROUND(BASE_C4+RATE_C4*($A1349-BOTT_C4),0),IF($A1349&gt;BOTT_C3,ROUND(BASE_C3+RATE_C3*($A1349-BOTT_C3),0),IF($A1349&gt;BOTT_C2,ROUND(BASE_C2+RATE_C2*($A1349-BOTT_C2),0),ROUND(RATE_C1*$A1349,0))))</f>
        <v/>
      </c>
      <c r="G1349" s="556">
        <f>IF($A1349&gt;BOTT_D4,ROUND(BASE_D4+RATE_D4*($A1349-BOTT_D4),0),IF($A1349&gt;BOTT_D3,ROUND(BASE_D3+RATE_D3*($A1349-BOTT_D3),0),IF($A1349&gt;BOTT_D2,ROUND(BASE_D2+RATE_D2*($A1349-BOTT_D2),0),ROUND(RATE_D1*$A1349,0))))</f>
        <v/>
      </c>
    </row>
    <row r="1350" ht="15.75" customHeight="1" s="7635">
      <c r="A1350" s="625">
        <f>AVERAGE(B1350,C1350)</f>
        <v/>
      </c>
      <c r="B1350" s="555" t="n">
        <v>64300</v>
      </c>
      <c r="C1350" s="555" t="n">
        <v>64350</v>
      </c>
      <c r="D1350" s="556">
        <f>IF($A1350&gt;BOTT_A4,ROUND(BASE_A4+RATE_A4*($A1350-BOTT_A4),0),IF($A1350&gt;BOTT_A3,ROUND(BASE_A3+RATE_A3*($A1350-BOTT_A3),0),IF($A1350&gt;BOTT_A2,ROUND(BASE_A2+RATE_A2*($A1350-BOTT_A2),0),ROUND(RATE_A1*$A1350,0))))</f>
        <v/>
      </c>
      <c r="E1350" s="556">
        <f>IF($A1350&gt;BOTT_B4,ROUND(BASE_B4+RATE_B4*($A1350-BOTT_B4),0),IF($A1350&gt;BOTT_B3,ROUND(BASE_B3+RATE_B3*($A1350-BOTT_B3),0),IF($A1350&gt;BOTT_B2,ROUND(BASE_B2+RATE_B2*($A1350-BOTT_B2),0),ROUND(RATE_B1*$A1350,0))))</f>
        <v/>
      </c>
      <c r="F1350" s="556">
        <f>IF($A1350&gt;BOTT_C4,ROUND(BASE_C4+RATE_C4*($A1350-BOTT_C4),0),IF($A1350&gt;BOTT_C3,ROUND(BASE_C3+RATE_C3*($A1350-BOTT_C3),0),IF($A1350&gt;BOTT_C2,ROUND(BASE_C2+RATE_C2*($A1350-BOTT_C2),0),ROUND(RATE_C1*$A1350,0))))</f>
        <v/>
      </c>
      <c r="G1350" s="556">
        <f>IF($A1350&gt;BOTT_D4,ROUND(BASE_D4+RATE_D4*($A1350-BOTT_D4),0),IF($A1350&gt;BOTT_D3,ROUND(BASE_D3+RATE_D3*($A1350-BOTT_D3),0),IF($A1350&gt;BOTT_D2,ROUND(BASE_D2+RATE_D2*($A1350-BOTT_D2),0),ROUND(RATE_D1*$A1350,0))))</f>
        <v/>
      </c>
    </row>
    <row r="1351" ht="15.75" customHeight="1" s="7635">
      <c r="A1351" s="625">
        <f>AVERAGE(B1351,C1351)</f>
        <v/>
      </c>
      <c r="B1351" s="555" t="n">
        <v>64350</v>
      </c>
      <c r="C1351" s="555" t="n">
        <v>64400</v>
      </c>
      <c r="D1351" s="556">
        <f>IF($A1351&gt;BOTT_A4,ROUND(BASE_A4+RATE_A4*($A1351-BOTT_A4),0),IF($A1351&gt;BOTT_A3,ROUND(BASE_A3+RATE_A3*($A1351-BOTT_A3),0),IF($A1351&gt;BOTT_A2,ROUND(BASE_A2+RATE_A2*($A1351-BOTT_A2),0),ROUND(RATE_A1*$A1351,0))))</f>
        <v/>
      </c>
      <c r="E1351" s="556">
        <f>IF($A1351&gt;BOTT_B4,ROUND(BASE_B4+RATE_B4*($A1351-BOTT_B4),0),IF($A1351&gt;BOTT_B3,ROUND(BASE_B3+RATE_B3*($A1351-BOTT_B3),0),IF($A1351&gt;BOTT_B2,ROUND(BASE_B2+RATE_B2*($A1351-BOTT_B2),0),ROUND(RATE_B1*$A1351,0))))</f>
        <v/>
      </c>
      <c r="F1351" s="556">
        <f>IF($A1351&gt;BOTT_C4,ROUND(BASE_C4+RATE_C4*($A1351-BOTT_C4),0),IF($A1351&gt;BOTT_C3,ROUND(BASE_C3+RATE_C3*($A1351-BOTT_C3),0),IF($A1351&gt;BOTT_C2,ROUND(BASE_C2+RATE_C2*($A1351-BOTT_C2),0),ROUND(RATE_C1*$A1351,0))))</f>
        <v/>
      </c>
      <c r="G1351" s="556">
        <f>IF($A1351&gt;BOTT_D4,ROUND(BASE_D4+RATE_D4*($A1351-BOTT_D4),0),IF($A1351&gt;BOTT_D3,ROUND(BASE_D3+RATE_D3*($A1351-BOTT_D3),0),IF($A1351&gt;BOTT_D2,ROUND(BASE_D2+RATE_D2*($A1351-BOTT_D2),0),ROUND(RATE_D1*$A1351,0))))</f>
        <v/>
      </c>
    </row>
    <row r="1352" ht="15.75" customHeight="1" s="7635">
      <c r="A1352" s="625">
        <f>AVERAGE(B1352,C1352)</f>
        <v/>
      </c>
      <c r="B1352" s="555" t="n">
        <v>64400</v>
      </c>
      <c r="C1352" s="555" t="n">
        <v>64450</v>
      </c>
      <c r="D1352" s="556">
        <f>IF($A1352&gt;BOTT_A4,ROUND(BASE_A4+RATE_A4*($A1352-BOTT_A4),0),IF($A1352&gt;BOTT_A3,ROUND(BASE_A3+RATE_A3*($A1352-BOTT_A3),0),IF($A1352&gt;BOTT_A2,ROUND(BASE_A2+RATE_A2*($A1352-BOTT_A2),0),ROUND(RATE_A1*$A1352,0))))</f>
        <v/>
      </c>
      <c r="E1352" s="556">
        <f>IF($A1352&gt;BOTT_B4,ROUND(BASE_B4+RATE_B4*($A1352-BOTT_B4),0),IF($A1352&gt;BOTT_B3,ROUND(BASE_B3+RATE_B3*($A1352-BOTT_B3),0),IF($A1352&gt;BOTT_B2,ROUND(BASE_B2+RATE_B2*($A1352-BOTT_B2),0),ROUND(RATE_B1*$A1352,0))))</f>
        <v/>
      </c>
      <c r="F1352" s="556">
        <f>IF($A1352&gt;BOTT_C4,ROUND(BASE_C4+RATE_C4*($A1352-BOTT_C4),0),IF($A1352&gt;BOTT_C3,ROUND(BASE_C3+RATE_C3*($A1352-BOTT_C3),0),IF($A1352&gt;BOTT_C2,ROUND(BASE_C2+RATE_C2*($A1352-BOTT_C2),0),ROUND(RATE_C1*$A1352,0))))</f>
        <v/>
      </c>
      <c r="G1352" s="556">
        <f>IF($A1352&gt;BOTT_D4,ROUND(BASE_D4+RATE_D4*($A1352-BOTT_D4),0),IF($A1352&gt;BOTT_D3,ROUND(BASE_D3+RATE_D3*($A1352-BOTT_D3),0),IF($A1352&gt;BOTT_D2,ROUND(BASE_D2+RATE_D2*($A1352-BOTT_D2),0),ROUND(RATE_D1*$A1352,0))))</f>
        <v/>
      </c>
    </row>
    <row r="1353" ht="15.75" customHeight="1" s="7635">
      <c r="A1353" s="625">
        <f>AVERAGE(B1353,C1353)</f>
        <v/>
      </c>
      <c r="B1353" s="555" t="n">
        <v>64450</v>
      </c>
      <c r="C1353" s="555" t="n">
        <v>64500</v>
      </c>
      <c r="D1353" s="556">
        <f>IF($A1353&gt;BOTT_A4,ROUND(BASE_A4+RATE_A4*($A1353-BOTT_A4),0),IF($A1353&gt;BOTT_A3,ROUND(BASE_A3+RATE_A3*($A1353-BOTT_A3),0),IF($A1353&gt;BOTT_A2,ROUND(BASE_A2+RATE_A2*($A1353-BOTT_A2),0),ROUND(RATE_A1*$A1353,0))))</f>
        <v/>
      </c>
      <c r="E1353" s="556">
        <f>IF($A1353&gt;BOTT_B4,ROUND(BASE_B4+RATE_B4*($A1353-BOTT_B4),0),IF($A1353&gt;BOTT_B3,ROUND(BASE_B3+RATE_B3*($A1353-BOTT_B3),0),IF($A1353&gt;BOTT_B2,ROUND(BASE_B2+RATE_B2*($A1353-BOTT_B2),0),ROUND(RATE_B1*$A1353,0))))</f>
        <v/>
      </c>
      <c r="F1353" s="556">
        <f>IF($A1353&gt;BOTT_C4,ROUND(BASE_C4+RATE_C4*($A1353-BOTT_C4),0),IF($A1353&gt;BOTT_C3,ROUND(BASE_C3+RATE_C3*($A1353-BOTT_C3),0),IF($A1353&gt;BOTT_C2,ROUND(BASE_C2+RATE_C2*($A1353-BOTT_C2),0),ROUND(RATE_C1*$A1353,0))))</f>
        <v/>
      </c>
      <c r="G1353" s="556">
        <f>IF($A1353&gt;BOTT_D4,ROUND(BASE_D4+RATE_D4*($A1353-BOTT_D4),0),IF($A1353&gt;BOTT_D3,ROUND(BASE_D3+RATE_D3*($A1353-BOTT_D3),0),IF($A1353&gt;BOTT_D2,ROUND(BASE_D2+RATE_D2*($A1353-BOTT_D2),0),ROUND(RATE_D1*$A1353,0))))</f>
        <v/>
      </c>
    </row>
    <row r="1354" ht="15.75" customHeight="1" s="7635">
      <c r="A1354" s="625">
        <f>AVERAGE(B1354,C1354)</f>
        <v/>
      </c>
      <c r="B1354" s="555" t="n">
        <v>64500</v>
      </c>
      <c r="C1354" s="555" t="n">
        <v>64550</v>
      </c>
      <c r="D1354" s="556">
        <f>IF($A1354&gt;BOTT_A4,ROUND(BASE_A4+RATE_A4*($A1354-BOTT_A4),0),IF($A1354&gt;BOTT_A3,ROUND(BASE_A3+RATE_A3*($A1354-BOTT_A3),0),IF($A1354&gt;BOTT_A2,ROUND(BASE_A2+RATE_A2*($A1354-BOTT_A2),0),ROUND(RATE_A1*$A1354,0))))</f>
        <v/>
      </c>
      <c r="E1354" s="556">
        <f>IF($A1354&gt;BOTT_B4,ROUND(BASE_B4+RATE_B4*($A1354-BOTT_B4),0),IF($A1354&gt;BOTT_B3,ROUND(BASE_B3+RATE_B3*($A1354-BOTT_B3),0),IF($A1354&gt;BOTT_B2,ROUND(BASE_B2+RATE_B2*($A1354-BOTT_B2),0),ROUND(RATE_B1*$A1354,0))))</f>
        <v/>
      </c>
      <c r="F1354" s="556">
        <f>IF($A1354&gt;BOTT_C4,ROUND(BASE_C4+RATE_C4*($A1354-BOTT_C4),0),IF($A1354&gt;BOTT_C3,ROUND(BASE_C3+RATE_C3*($A1354-BOTT_C3),0),IF($A1354&gt;BOTT_C2,ROUND(BASE_C2+RATE_C2*($A1354-BOTT_C2),0),ROUND(RATE_C1*$A1354,0))))</f>
        <v/>
      </c>
      <c r="G1354" s="556">
        <f>IF($A1354&gt;BOTT_D4,ROUND(BASE_D4+RATE_D4*($A1354-BOTT_D4),0),IF($A1354&gt;BOTT_D3,ROUND(BASE_D3+RATE_D3*($A1354-BOTT_D3),0),IF($A1354&gt;BOTT_D2,ROUND(BASE_D2+RATE_D2*($A1354-BOTT_D2),0),ROUND(RATE_D1*$A1354,0))))</f>
        <v/>
      </c>
    </row>
    <row r="1355" ht="15.75" customHeight="1" s="7635">
      <c r="A1355" s="625">
        <f>AVERAGE(B1355,C1355)</f>
        <v/>
      </c>
      <c r="B1355" s="555" t="n">
        <v>64550</v>
      </c>
      <c r="C1355" s="555" t="n">
        <v>64600</v>
      </c>
      <c r="D1355" s="556">
        <f>IF($A1355&gt;BOTT_A4,ROUND(BASE_A4+RATE_A4*($A1355-BOTT_A4),0),IF($A1355&gt;BOTT_A3,ROUND(BASE_A3+RATE_A3*($A1355-BOTT_A3),0),IF($A1355&gt;BOTT_A2,ROUND(BASE_A2+RATE_A2*($A1355-BOTT_A2),0),ROUND(RATE_A1*$A1355,0))))</f>
        <v/>
      </c>
      <c r="E1355" s="556">
        <f>IF($A1355&gt;BOTT_B4,ROUND(BASE_B4+RATE_B4*($A1355-BOTT_B4),0),IF($A1355&gt;BOTT_B3,ROUND(BASE_B3+RATE_B3*($A1355-BOTT_B3),0),IF($A1355&gt;BOTT_B2,ROUND(BASE_B2+RATE_B2*($A1355-BOTT_B2),0),ROUND(RATE_B1*$A1355,0))))</f>
        <v/>
      </c>
      <c r="F1355" s="556">
        <f>IF($A1355&gt;BOTT_C4,ROUND(BASE_C4+RATE_C4*($A1355-BOTT_C4),0),IF($A1355&gt;BOTT_C3,ROUND(BASE_C3+RATE_C3*($A1355-BOTT_C3),0),IF($A1355&gt;BOTT_C2,ROUND(BASE_C2+RATE_C2*($A1355-BOTT_C2),0),ROUND(RATE_C1*$A1355,0))))</f>
        <v/>
      </c>
      <c r="G1355" s="556">
        <f>IF($A1355&gt;BOTT_D4,ROUND(BASE_D4+RATE_D4*($A1355-BOTT_D4),0),IF($A1355&gt;BOTT_D3,ROUND(BASE_D3+RATE_D3*($A1355-BOTT_D3),0),IF($A1355&gt;BOTT_D2,ROUND(BASE_D2+RATE_D2*($A1355-BOTT_D2),0),ROUND(RATE_D1*$A1355,0))))</f>
        <v/>
      </c>
    </row>
    <row r="1356" ht="15.75" customHeight="1" s="7635">
      <c r="A1356" s="625">
        <f>AVERAGE(B1356,C1356)</f>
        <v/>
      </c>
      <c r="B1356" s="555" t="n">
        <v>64600</v>
      </c>
      <c r="C1356" s="555" t="n">
        <v>64650</v>
      </c>
      <c r="D1356" s="556">
        <f>IF($A1356&gt;BOTT_A4,ROUND(BASE_A4+RATE_A4*($A1356-BOTT_A4),0),IF($A1356&gt;BOTT_A3,ROUND(BASE_A3+RATE_A3*($A1356-BOTT_A3),0),IF($A1356&gt;BOTT_A2,ROUND(BASE_A2+RATE_A2*($A1356-BOTT_A2),0),ROUND(RATE_A1*$A1356,0))))</f>
        <v/>
      </c>
      <c r="E1356" s="556">
        <f>IF($A1356&gt;BOTT_B4,ROUND(BASE_B4+RATE_B4*($A1356-BOTT_B4),0),IF($A1356&gt;BOTT_B3,ROUND(BASE_B3+RATE_B3*($A1356-BOTT_B3),0),IF($A1356&gt;BOTT_B2,ROUND(BASE_B2+RATE_B2*($A1356-BOTT_B2),0),ROUND(RATE_B1*$A1356,0))))</f>
        <v/>
      </c>
      <c r="F1356" s="556">
        <f>IF($A1356&gt;BOTT_C4,ROUND(BASE_C4+RATE_C4*($A1356-BOTT_C4),0),IF($A1356&gt;BOTT_C3,ROUND(BASE_C3+RATE_C3*($A1356-BOTT_C3),0),IF($A1356&gt;BOTT_C2,ROUND(BASE_C2+RATE_C2*($A1356-BOTT_C2),0),ROUND(RATE_C1*$A1356,0))))</f>
        <v/>
      </c>
      <c r="G1356" s="556">
        <f>IF($A1356&gt;BOTT_D4,ROUND(BASE_D4+RATE_D4*($A1356-BOTT_D4),0),IF($A1356&gt;BOTT_D3,ROUND(BASE_D3+RATE_D3*($A1356-BOTT_D3),0),IF($A1356&gt;BOTT_D2,ROUND(BASE_D2+RATE_D2*($A1356-BOTT_D2),0),ROUND(RATE_D1*$A1356,0))))</f>
        <v/>
      </c>
    </row>
    <row r="1357" ht="15.75" customHeight="1" s="7635">
      <c r="A1357" s="625">
        <f>AVERAGE(B1357,C1357)</f>
        <v/>
      </c>
      <c r="B1357" s="555" t="n">
        <v>64650</v>
      </c>
      <c r="C1357" s="555" t="n">
        <v>64700</v>
      </c>
      <c r="D1357" s="556">
        <f>IF($A1357&gt;BOTT_A4,ROUND(BASE_A4+RATE_A4*($A1357-BOTT_A4),0),IF($A1357&gt;BOTT_A3,ROUND(BASE_A3+RATE_A3*($A1357-BOTT_A3),0),IF($A1357&gt;BOTT_A2,ROUND(BASE_A2+RATE_A2*($A1357-BOTT_A2),0),ROUND(RATE_A1*$A1357,0))))</f>
        <v/>
      </c>
      <c r="E1357" s="556">
        <f>IF($A1357&gt;BOTT_B4,ROUND(BASE_B4+RATE_B4*($A1357-BOTT_B4),0),IF($A1357&gt;BOTT_B3,ROUND(BASE_B3+RATE_B3*($A1357-BOTT_B3),0),IF($A1357&gt;BOTT_B2,ROUND(BASE_B2+RATE_B2*($A1357-BOTT_B2),0),ROUND(RATE_B1*$A1357,0))))</f>
        <v/>
      </c>
      <c r="F1357" s="556">
        <f>IF($A1357&gt;BOTT_C4,ROUND(BASE_C4+RATE_C4*($A1357-BOTT_C4),0),IF($A1357&gt;BOTT_C3,ROUND(BASE_C3+RATE_C3*($A1357-BOTT_C3),0),IF($A1357&gt;BOTT_C2,ROUND(BASE_C2+RATE_C2*($A1357-BOTT_C2),0),ROUND(RATE_C1*$A1357,0))))</f>
        <v/>
      </c>
      <c r="G1357" s="556">
        <f>IF($A1357&gt;BOTT_D4,ROUND(BASE_D4+RATE_D4*($A1357-BOTT_D4),0),IF($A1357&gt;BOTT_D3,ROUND(BASE_D3+RATE_D3*($A1357-BOTT_D3),0),IF($A1357&gt;BOTT_D2,ROUND(BASE_D2+RATE_D2*($A1357-BOTT_D2),0),ROUND(RATE_D1*$A1357,0))))</f>
        <v/>
      </c>
    </row>
    <row r="1358" ht="15.75" customHeight="1" s="7635">
      <c r="A1358" s="625">
        <f>AVERAGE(B1358,C1358)</f>
        <v/>
      </c>
      <c r="B1358" s="555" t="n">
        <v>64700</v>
      </c>
      <c r="C1358" s="555" t="n">
        <v>64750</v>
      </c>
      <c r="D1358" s="556">
        <f>IF($A1358&gt;BOTT_A4,ROUND(BASE_A4+RATE_A4*($A1358-BOTT_A4),0),IF($A1358&gt;BOTT_A3,ROUND(BASE_A3+RATE_A3*($A1358-BOTT_A3),0),IF($A1358&gt;BOTT_A2,ROUND(BASE_A2+RATE_A2*($A1358-BOTT_A2),0),ROUND(RATE_A1*$A1358,0))))</f>
        <v/>
      </c>
      <c r="E1358" s="556">
        <f>IF($A1358&gt;BOTT_B4,ROUND(BASE_B4+RATE_B4*($A1358-BOTT_B4),0),IF($A1358&gt;BOTT_B3,ROUND(BASE_B3+RATE_B3*($A1358-BOTT_B3),0),IF($A1358&gt;BOTT_B2,ROUND(BASE_B2+RATE_B2*($A1358-BOTT_B2),0),ROUND(RATE_B1*$A1358,0))))</f>
        <v/>
      </c>
      <c r="F1358" s="556">
        <f>IF($A1358&gt;BOTT_C4,ROUND(BASE_C4+RATE_C4*($A1358-BOTT_C4),0),IF($A1358&gt;BOTT_C3,ROUND(BASE_C3+RATE_C3*($A1358-BOTT_C3),0),IF($A1358&gt;BOTT_C2,ROUND(BASE_C2+RATE_C2*($A1358-BOTT_C2),0),ROUND(RATE_C1*$A1358,0))))</f>
        <v/>
      </c>
      <c r="G1358" s="556">
        <f>IF($A1358&gt;BOTT_D4,ROUND(BASE_D4+RATE_D4*($A1358-BOTT_D4),0),IF($A1358&gt;BOTT_D3,ROUND(BASE_D3+RATE_D3*($A1358-BOTT_D3),0),IF($A1358&gt;BOTT_D2,ROUND(BASE_D2+RATE_D2*($A1358-BOTT_D2),0),ROUND(RATE_D1*$A1358,0))))</f>
        <v/>
      </c>
    </row>
    <row r="1359" ht="15.75" customHeight="1" s="7635">
      <c r="A1359" s="625">
        <f>AVERAGE(B1359,C1359)</f>
        <v/>
      </c>
      <c r="B1359" s="555" t="n">
        <v>64750</v>
      </c>
      <c r="C1359" s="555" t="n">
        <v>64800</v>
      </c>
      <c r="D1359" s="556">
        <f>IF($A1359&gt;BOTT_A4,ROUND(BASE_A4+RATE_A4*($A1359-BOTT_A4),0),IF($A1359&gt;BOTT_A3,ROUND(BASE_A3+RATE_A3*($A1359-BOTT_A3),0),IF($A1359&gt;BOTT_A2,ROUND(BASE_A2+RATE_A2*($A1359-BOTT_A2),0),ROUND(RATE_A1*$A1359,0))))</f>
        <v/>
      </c>
      <c r="E1359" s="556">
        <f>IF($A1359&gt;BOTT_B4,ROUND(BASE_B4+RATE_B4*($A1359-BOTT_B4),0),IF($A1359&gt;BOTT_B3,ROUND(BASE_B3+RATE_B3*($A1359-BOTT_B3),0),IF($A1359&gt;BOTT_B2,ROUND(BASE_B2+RATE_B2*($A1359-BOTT_B2),0),ROUND(RATE_B1*$A1359,0))))</f>
        <v/>
      </c>
      <c r="F1359" s="556">
        <f>IF($A1359&gt;BOTT_C4,ROUND(BASE_C4+RATE_C4*($A1359-BOTT_C4),0),IF($A1359&gt;BOTT_C3,ROUND(BASE_C3+RATE_C3*($A1359-BOTT_C3),0),IF($A1359&gt;BOTT_C2,ROUND(BASE_C2+RATE_C2*($A1359-BOTT_C2),0),ROUND(RATE_C1*$A1359,0))))</f>
        <v/>
      </c>
      <c r="G1359" s="556">
        <f>IF($A1359&gt;BOTT_D4,ROUND(BASE_D4+RATE_D4*($A1359-BOTT_D4),0),IF($A1359&gt;BOTT_D3,ROUND(BASE_D3+RATE_D3*($A1359-BOTT_D3),0),IF($A1359&gt;BOTT_D2,ROUND(BASE_D2+RATE_D2*($A1359-BOTT_D2),0),ROUND(RATE_D1*$A1359,0))))</f>
        <v/>
      </c>
    </row>
    <row r="1360" ht="15.75" customHeight="1" s="7635">
      <c r="A1360" s="625">
        <f>AVERAGE(B1360,C1360)</f>
        <v/>
      </c>
      <c r="B1360" s="555" t="n">
        <v>64800</v>
      </c>
      <c r="C1360" s="555" t="n">
        <v>64850</v>
      </c>
      <c r="D1360" s="556">
        <f>IF($A1360&gt;BOTT_A4,ROUND(BASE_A4+RATE_A4*($A1360-BOTT_A4),0),IF($A1360&gt;BOTT_A3,ROUND(BASE_A3+RATE_A3*($A1360-BOTT_A3),0),IF($A1360&gt;BOTT_A2,ROUND(BASE_A2+RATE_A2*($A1360-BOTT_A2),0),ROUND(RATE_A1*$A1360,0))))</f>
        <v/>
      </c>
      <c r="E1360" s="556">
        <f>IF($A1360&gt;BOTT_B4,ROUND(BASE_B4+RATE_B4*($A1360-BOTT_B4),0),IF($A1360&gt;BOTT_B3,ROUND(BASE_B3+RATE_B3*($A1360-BOTT_B3),0),IF($A1360&gt;BOTT_B2,ROUND(BASE_B2+RATE_B2*($A1360-BOTT_B2),0),ROUND(RATE_B1*$A1360,0))))</f>
        <v/>
      </c>
      <c r="F1360" s="556">
        <f>IF($A1360&gt;BOTT_C4,ROUND(BASE_C4+RATE_C4*($A1360-BOTT_C4),0),IF($A1360&gt;BOTT_C3,ROUND(BASE_C3+RATE_C3*($A1360-BOTT_C3),0),IF($A1360&gt;BOTT_C2,ROUND(BASE_C2+RATE_C2*($A1360-BOTT_C2),0),ROUND(RATE_C1*$A1360,0))))</f>
        <v/>
      </c>
      <c r="G1360" s="556">
        <f>IF($A1360&gt;BOTT_D4,ROUND(BASE_D4+RATE_D4*($A1360-BOTT_D4),0),IF($A1360&gt;BOTT_D3,ROUND(BASE_D3+RATE_D3*($A1360-BOTT_D3),0),IF($A1360&gt;BOTT_D2,ROUND(BASE_D2+RATE_D2*($A1360-BOTT_D2),0),ROUND(RATE_D1*$A1360,0))))</f>
        <v/>
      </c>
    </row>
    <row r="1361" ht="15.75" customHeight="1" s="7635">
      <c r="A1361" s="625">
        <f>AVERAGE(B1361,C1361)</f>
        <v/>
      </c>
      <c r="B1361" s="555" t="n">
        <v>64850</v>
      </c>
      <c r="C1361" s="555" t="n">
        <v>64900</v>
      </c>
      <c r="D1361" s="556">
        <f>IF($A1361&gt;BOTT_A4,ROUND(BASE_A4+RATE_A4*($A1361-BOTT_A4),0),IF($A1361&gt;BOTT_A3,ROUND(BASE_A3+RATE_A3*($A1361-BOTT_A3),0),IF($A1361&gt;BOTT_A2,ROUND(BASE_A2+RATE_A2*($A1361-BOTT_A2),0),ROUND(RATE_A1*$A1361,0))))</f>
        <v/>
      </c>
      <c r="E1361" s="556">
        <f>IF($A1361&gt;BOTT_B4,ROUND(BASE_B4+RATE_B4*($A1361-BOTT_B4),0),IF($A1361&gt;BOTT_B3,ROUND(BASE_B3+RATE_B3*($A1361-BOTT_B3),0),IF($A1361&gt;BOTT_B2,ROUND(BASE_B2+RATE_B2*($A1361-BOTT_B2),0),ROUND(RATE_B1*$A1361,0))))</f>
        <v/>
      </c>
      <c r="F1361" s="556">
        <f>IF($A1361&gt;BOTT_C4,ROUND(BASE_C4+RATE_C4*($A1361-BOTT_C4),0),IF($A1361&gt;BOTT_C3,ROUND(BASE_C3+RATE_C3*($A1361-BOTT_C3),0),IF($A1361&gt;BOTT_C2,ROUND(BASE_C2+RATE_C2*($A1361-BOTT_C2),0),ROUND(RATE_C1*$A1361,0))))</f>
        <v/>
      </c>
      <c r="G1361" s="556">
        <f>IF($A1361&gt;BOTT_D4,ROUND(BASE_D4+RATE_D4*($A1361-BOTT_D4),0),IF($A1361&gt;BOTT_D3,ROUND(BASE_D3+RATE_D3*($A1361-BOTT_D3),0),IF($A1361&gt;BOTT_D2,ROUND(BASE_D2+RATE_D2*($A1361-BOTT_D2),0),ROUND(RATE_D1*$A1361,0))))</f>
        <v/>
      </c>
    </row>
    <row r="1362" ht="15.75" customHeight="1" s="7635">
      <c r="A1362" s="625">
        <f>AVERAGE(B1362,C1362)</f>
        <v/>
      </c>
      <c r="B1362" s="555" t="n">
        <v>64900</v>
      </c>
      <c r="C1362" s="555" t="n">
        <v>64950</v>
      </c>
      <c r="D1362" s="556">
        <f>IF($A1362&gt;BOTT_A4,ROUND(BASE_A4+RATE_A4*($A1362-BOTT_A4),0),IF($A1362&gt;BOTT_A3,ROUND(BASE_A3+RATE_A3*($A1362-BOTT_A3),0),IF($A1362&gt;BOTT_A2,ROUND(BASE_A2+RATE_A2*($A1362-BOTT_A2),0),ROUND(RATE_A1*$A1362,0))))</f>
        <v/>
      </c>
      <c r="E1362" s="556">
        <f>IF($A1362&gt;BOTT_B4,ROUND(BASE_B4+RATE_B4*($A1362-BOTT_B4),0),IF($A1362&gt;BOTT_B3,ROUND(BASE_B3+RATE_B3*($A1362-BOTT_B3),0),IF($A1362&gt;BOTT_B2,ROUND(BASE_B2+RATE_B2*($A1362-BOTT_B2),0),ROUND(RATE_B1*$A1362,0))))</f>
        <v/>
      </c>
      <c r="F1362" s="556">
        <f>IF($A1362&gt;BOTT_C4,ROUND(BASE_C4+RATE_C4*($A1362-BOTT_C4),0),IF($A1362&gt;BOTT_C3,ROUND(BASE_C3+RATE_C3*($A1362-BOTT_C3),0),IF($A1362&gt;BOTT_C2,ROUND(BASE_C2+RATE_C2*($A1362-BOTT_C2),0),ROUND(RATE_C1*$A1362,0))))</f>
        <v/>
      </c>
      <c r="G1362" s="556">
        <f>IF($A1362&gt;BOTT_D4,ROUND(BASE_D4+RATE_D4*($A1362-BOTT_D4),0),IF($A1362&gt;BOTT_D3,ROUND(BASE_D3+RATE_D3*($A1362-BOTT_D3),0),IF($A1362&gt;BOTT_D2,ROUND(BASE_D2+RATE_D2*($A1362-BOTT_D2),0),ROUND(RATE_D1*$A1362,0))))</f>
        <v/>
      </c>
    </row>
    <row r="1363" ht="15.75" customHeight="1" s="7635">
      <c r="A1363" s="625">
        <f>AVERAGE(B1363,C1363)</f>
        <v/>
      </c>
      <c r="B1363" s="555" t="n">
        <v>64950</v>
      </c>
      <c r="C1363" s="555" t="n">
        <v>65000</v>
      </c>
      <c r="D1363" s="556">
        <f>IF($A1363&gt;BOTT_A4,ROUND(BASE_A4+RATE_A4*($A1363-BOTT_A4),0),IF($A1363&gt;BOTT_A3,ROUND(BASE_A3+RATE_A3*($A1363-BOTT_A3),0),IF($A1363&gt;BOTT_A2,ROUND(BASE_A2+RATE_A2*($A1363-BOTT_A2),0),ROUND(RATE_A1*$A1363,0))))</f>
        <v/>
      </c>
      <c r="E1363" s="556">
        <f>IF($A1363&gt;BOTT_B4,ROUND(BASE_B4+RATE_B4*($A1363-BOTT_B4),0),IF($A1363&gt;BOTT_B3,ROUND(BASE_B3+RATE_B3*($A1363-BOTT_B3),0),IF($A1363&gt;BOTT_B2,ROUND(BASE_B2+RATE_B2*($A1363-BOTT_B2),0),ROUND(RATE_B1*$A1363,0))))</f>
        <v/>
      </c>
      <c r="F1363" s="556">
        <f>IF($A1363&gt;BOTT_C4,ROUND(BASE_C4+RATE_C4*($A1363-BOTT_C4),0),IF($A1363&gt;BOTT_C3,ROUND(BASE_C3+RATE_C3*($A1363-BOTT_C3),0),IF($A1363&gt;BOTT_C2,ROUND(BASE_C2+RATE_C2*($A1363-BOTT_C2),0),ROUND(RATE_C1*$A1363,0))))</f>
        <v/>
      </c>
      <c r="G1363" s="556">
        <f>IF($A1363&gt;BOTT_D4,ROUND(BASE_D4+RATE_D4*($A1363-BOTT_D4),0),IF($A1363&gt;BOTT_D3,ROUND(BASE_D3+RATE_D3*($A1363-BOTT_D3),0),IF($A1363&gt;BOTT_D2,ROUND(BASE_D2+RATE_D2*($A1363-BOTT_D2),0),ROUND(RATE_D1*$A1363,0))))</f>
        <v/>
      </c>
    </row>
    <row r="1364" ht="15.75" customHeight="1" s="7635">
      <c r="A1364" s="625">
        <f>AVERAGE(B1364,C1364)</f>
        <v/>
      </c>
      <c r="B1364" s="555" t="n">
        <v>65000</v>
      </c>
      <c r="C1364" s="555" t="n">
        <v>65050</v>
      </c>
      <c r="D1364" s="556">
        <f>IF($A1364&gt;BOTT_A4,ROUND(BASE_A4+RATE_A4*($A1364-BOTT_A4),0),IF($A1364&gt;BOTT_A3,ROUND(BASE_A3+RATE_A3*($A1364-BOTT_A3),0),IF($A1364&gt;BOTT_A2,ROUND(BASE_A2+RATE_A2*($A1364-BOTT_A2),0),ROUND(RATE_A1*$A1364,0))))</f>
        <v/>
      </c>
      <c r="E1364" s="556">
        <f>IF($A1364&gt;BOTT_B4,ROUND(BASE_B4+RATE_B4*($A1364-BOTT_B4),0),IF($A1364&gt;BOTT_B3,ROUND(BASE_B3+RATE_B3*($A1364-BOTT_B3),0),IF($A1364&gt;BOTT_B2,ROUND(BASE_B2+RATE_B2*($A1364-BOTT_B2),0),ROUND(RATE_B1*$A1364,0))))</f>
        <v/>
      </c>
      <c r="F1364" s="556">
        <f>IF($A1364&gt;BOTT_C4,ROUND(BASE_C4+RATE_C4*($A1364-BOTT_C4),0),IF($A1364&gt;BOTT_C3,ROUND(BASE_C3+RATE_C3*($A1364-BOTT_C3),0),IF($A1364&gt;BOTT_C2,ROUND(BASE_C2+RATE_C2*($A1364-BOTT_C2),0),ROUND(RATE_C1*$A1364,0))))</f>
        <v/>
      </c>
      <c r="G1364" s="556">
        <f>IF($A1364&gt;BOTT_D4,ROUND(BASE_D4+RATE_D4*($A1364-BOTT_D4),0),IF($A1364&gt;BOTT_D3,ROUND(BASE_D3+RATE_D3*($A1364-BOTT_D3),0),IF($A1364&gt;BOTT_D2,ROUND(BASE_D2+RATE_D2*($A1364-BOTT_D2),0),ROUND(RATE_D1*$A1364,0))))</f>
        <v/>
      </c>
    </row>
    <row r="1365" ht="15.75" customHeight="1" s="7635">
      <c r="A1365" s="625">
        <f>AVERAGE(B1365,C1365)</f>
        <v/>
      </c>
      <c r="B1365" s="555" t="n">
        <v>65050</v>
      </c>
      <c r="C1365" s="555" t="n">
        <v>65100</v>
      </c>
      <c r="D1365" s="556">
        <f>IF($A1365&gt;BOTT_A4,ROUND(BASE_A4+RATE_A4*($A1365-BOTT_A4),0),IF($A1365&gt;BOTT_A3,ROUND(BASE_A3+RATE_A3*($A1365-BOTT_A3),0),IF($A1365&gt;BOTT_A2,ROUND(BASE_A2+RATE_A2*($A1365-BOTT_A2),0),ROUND(RATE_A1*$A1365,0))))</f>
        <v/>
      </c>
      <c r="E1365" s="556">
        <f>IF($A1365&gt;BOTT_B4,ROUND(BASE_B4+RATE_B4*($A1365-BOTT_B4),0),IF($A1365&gt;BOTT_B3,ROUND(BASE_B3+RATE_B3*($A1365-BOTT_B3),0),IF($A1365&gt;BOTT_B2,ROUND(BASE_B2+RATE_B2*($A1365-BOTT_B2),0),ROUND(RATE_B1*$A1365,0))))</f>
        <v/>
      </c>
      <c r="F1365" s="556">
        <f>IF($A1365&gt;BOTT_C4,ROUND(BASE_C4+RATE_C4*($A1365-BOTT_C4),0),IF($A1365&gt;BOTT_C3,ROUND(BASE_C3+RATE_C3*($A1365-BOTT_C3),0),IF($A1365&gt;BOTT_C2,ROUND(BASE_C2+RATE_C2*($A1365-BOTT_C2),0),ROUND(RATE_C1*$A1365,0))))</f>
        <v/>
      </c>
      <c r="G1365" s="556">
        <f>IF($A1365&gt;BOTT_D4,ROUND(BASE_D4+RATE_D4*($A1365-BOTT_D4),0),IF($A1365&gt;BOTT_D3,ROUND(BASE_D3+RATE_D3*($A1365-BOTT_D3),0),IF($A1365&gt;BOTT_D2,ROUND(BASE_D2+RATE_D2*($A1365-BOTT_D2),0),ROUND(RATE_D1*$A1365,0))))</f>
        <v/>
      </c>
    </row>
    <row r="1366" ht="15.75" customHeight="1" s="7635">
      <c r="A1366" s="625">
        <f>AVERAGE(B1366,C1366)</f>
        <v/>
      </c>
      <c r="B1366" s="555" t="n">
        <v>65100</v>
      </c>
      <c r="C1366" s="555" t="n">
        <v>65150</v>
      </c>
      <c r="D1366" s="556">
        <f>IF($A1366&gt;BOTT_A4,ROUND(BASE_A4+RATE_A4*($A1366-BOTT_A4),0),IF($A1366&gt;BOTT_A3,ROUND(BASE_A3+RATE_A3*($A1366-BOTT_A3),0),IF($A1366&gt;BOTT_A2,ROUND(BASE_A2+RATE_A2*($A1366-BOTT_A2),0),ROUND(RATE_A1*$A1366,0))))</f>
        <v/>
      </c>
      <c r="E1366" s="556">
        <f>IF($A1366&gt;BOTT_B4,ROUND(BASE_B4+RATE_B4*($A1366-BOTT_B4),0),IF($A1366&gt;BOTT_B3,ROUND(BASE_B3+RATE_B3*($A1366-BOTT_B3),0),IF($A1366&gt;BOTT_B2,ROUND(BASE_B2+RATE_B2*($A1366-BOTT_B2),0),ROUND(RATE_B1*$A1366,0))))</f>
        <v/>
      </c>
      <c r="F1366" s="556">
        <f>IF($A1366&gt;BOTT_C4,ROUND(BASE_C4+RATE_C4*($A1366-BOTT_C4),0),IF($A1366&gt;BOTT_C3,ROUND(BASE_C3+RATE_C3*($A1366-BOTT_C3),0),IF($A1366&gt;BOTT_C2,ROUND(BASE_C2+RATE_C2*($A1366-BOTT_C2),0),ROUND(RATE_C1*$A1366,0))))</f>
        <v/>
      </c>
      <c r="G1366" s="556">
        <f>IF($A1366&gt;BOTT_D4,ROUND(BASE_D4+RATE_D4*($A1366-BOTT_D4),0),IF($A1366&gt;BOTT_D3,ROUND(BASE_D3+RATE_D3*($A1366-BOTT_D3),0),IF($A1366&gt;BOTT_D2,ROUND(BASE_D2+RATE_D2*($A1366-BOTT_D2),0),ROUND(RATE_D1*$A1366,0))))</f>
        <v/>
      </c>
    </row>
    <row r="1367" ht="15.75" customHeight="1" s="7635">
      <c r="A1367" s="625">
        <f>AVERAGE(B1367,C1367)</f>
        <v/>
      </c>
      <c r="B1367" s="555" t="n">
        <v>65150</v>
      </c>
      <c r="C1367" s="555" t="n">
        <v>65200</v>
      </c>
      <c r="D1367" s="556">
        <f>IF($A1367&gt;BOTT_A4,ROUND(BASE_A4+RATE_A4*($A1367-BOTT_A4),0),IF($A1367&gt;BOTT_A3,ROUND(BASE_A3+RATE_A3*($A1367-BOTT_A3),0),IF($A1367&gt;BOTT_A2,ROUND(BASE_A2+RATE_A2*($A1367-BOTT_A2),0),ROUND(RATE_A1*$A1367,0))))</f>
        <v/>
      </c>
      <c r="E1367" s="556">
        <f>IF($A1367&gt;BOTT_B4,ROUND(BASE_B4+RATE_B4*($A1367-BOTT_B4),0),IF($A1367&gt;BOTT_B3,ROUND(BASE_B3+RATE_B3*($A1367-BOTT_B3),0),IF($A1367&gt;BOTT_B2,ROUND(BASE_B2+RATE_B2*($A1367-BOTT_B2),0),ROUND(RATE_B1*$A1367,0))))</f>
        <v/>
      </c>
      <c r="F1367" s="556">
        <f>IF($A1367&gt;BOTT_C4,ROUND(BASE_C4+RATE_C4*($A1367-BOTT_C4),0),IF($A1367&gt;BOTT_C3,ROUND(BASE_C3+RATE_C3*($A1367-BOTT_C3),0),IF($A1367&gt;BOTT_C2,ROUND(BASE_C2+RATE_C2*($A1367-BOTT_C2),0),ROUND(RATE_C1*$A1367,0))))</f>
        <v/>
      </c>
      <c r="G1367" s="556">
        <f>IF($A1367&gt;BOTT_D4,ROUND(BASE_D4+RATE_D4*($A1367-BOTT_D4),0),IF($A1367&gt;BOTT_D3,ROUND(BASE_D3+RATE_D3*($A1367-BOTT_D3),0),IF($A1367&gt;BOTT_D2,ROUND(BASE_D2+RATE_D2*($A1367-BOTT_D2),0),ROUND(RATE_D1*$A1367,0))))</f>
        <v/>
      </c>
    </row>
    <row r="1368" ht="15.75" customHeight="1" s="7635">
      <c r="A1368" s="625">
        <f>AVERAGE(B1368,C1368)</f>
        <v/>
      </c>
      <c r="B1368" s="555" t="n">
        <v>65200</v>
      </c>
      <c r="C1368" s="555" t="n">
        <v>65250</v>
      </c>
      <c r="D1368" s="556">
        <f>IF($A1368&gt;BOTT_A4,ROUND(BASE_A4+RATE_A4*($A1368-BOTT_A4),0),IF($A1368&gt;BOTT_A3,ROUND(BASE_A3+RATE_A3*($A1368-BOTT_A3),0),IF($A1368&gt;BOTT_A2,ROUND(BASE_A2+RATE_A2*($A1368-BOTT_A2),0),ROUND(RATE_A1*$A1368,0))))</f>
        <v/>
      </c>
      <c r="E1368" s="556">
        <f>IF($A1368&gt;BOTT_B4,ROUND(BASE_B4+RATE_B4*($A1368-BOTT_B4),0),IF($A1368&gt;BOTT_B3,ROUND(BASE_B3+RATE_B3*($A1368-BOTT_B3),0),IF($A1368&gt;BOTT_B2,ROUND(BASE_B2+RATE_B2*($A1368-BOTT_B2),0),ROUND(RATE_B1*$A1368,0))))</f>
        <v/>
      </c>
      <c r="F1368" s="556">
        <f>IF($A1368&gt;BOTT_C4,ROUND(BASE_C4+RATE_C4*($A1368-BOTT_C4),0),IF($A1368&gt;BOTT_C3,ROUND(BASE_C3+RATE_C3*($A1368-BOTT_C3),0),IF($A1368&gt;BOTT_C2,ROUND(BASE_C2+RATE_C2*($A1368-BOTT_C2),0),ROUND(RATE_C1*$A1368,0))))</f>
        <v/>
      </c>
      <c r="G1368" s="556">
        <f>IF($A1368&gt;BOTT_D4,ROUND(BASE_D4+RATE_D4*($A1368-BOTT_D4),0),IF($A1368&gt;BOTT_D3,ROUND(BASE_D3+RATE_D3*($A1368-BOTT_D3),0),IF($A1368&gt;BOTT_D2,ROUND(BASE_D2+RATE_D2*($A1368-BOTT_D2),0),ROUND(RATE_D1*$A1368,0))))</f>
        <v/>
      </c>
    </row>
    <row r="1369" ht="15.75" customHeight="1" s="7635">
      <c r="A1369" s="625">
        <f>AVERAGE(B1369,C1369)</f>
        <v/>
      </c>
      <c r="B1369" s="555" t="n">
        <v>65250</v>
      </c>
      <c r="C1369" s="555" t="n">
        <v>65300</v>
      </c>
      <c r="D1369" s="556">
        <f>IF($A1369&gt;BOTT_A4,ROUND(BASE_A4+RATE_A4*($A1369-BOTT_A4),0),IF($A1369&gt;BOTT_A3,ROUND(BASE_A3+RATE_A3*($A1369-BOTT_A3),0),IF($A1369&gt;BOTT_A2,ROUND(BASE_A2+RATE_A2*($A1369-BOTT_A2),0),ROUND(RATE_A1*$A1369,0))))</f>
        <v/>
      </c>
      <c r="E1369" s="556">
        <f>IF($A1369&gt;BOTT_B4,ROUND(BASE_B4+RATE_B4*($A1369-BOTT_B4),0),IF($A1369&gt;BOTT_B3,ROUND(BASE_B3+RATE_B3*($A1369-BOTT_B3),0),IF($A1369&gt;BOTT_B2,ROUND(BASE_B2+RATE_B2*($A1369-BOTT_B2),0),ROUND(RATE_B1*$A1369,0))))</f>
        <v/>
      </c>
      <c r="F1369" s="556">
        <f>IF($A1369&gt;BOTT_C4,ROUND(BASE_C4+RATE_C4*($A1369-BOTT_C4),0),IF($A1369&gt;BOTT_C3,ROUND(BASE_C3+RATE_C3*($A1369-BOTT_C3),0),IF($A1369&gt;BOTT_C2,ROUND(BASE_C2+RATE_C2*($A1369-BOTT_C2),0),ROUND(RATE_C1*$A1369,0))))</f>
        <v/>
      </c>
      <c r="G1369" s="556">
        <f>IF($A1369&gt;BOTT_D4,ROUND(BASE_D4+RATE_D4*($A1369-BOTT_D4),0),IF($A1369&gt;BOTT_D3,ROUND(BASE_D3+RATE_D3*($A1369-BOTT_D3),0),IF($A1369&gt;BOTT_D2,ROUND(BASE_D2+RATE_D2*($A1369-BOTT_D2),0),ROUND(RATE_D1*$A1369,0))))</f>
        <v/>
      </c>
    </row>
    <row r="1370" ht="15.75" customHeight="1" s="7635">
      <c r="A1370" s="625">
        <f>AVERAGE(B1370,C1370)</f>
        <v/>
      </c>
      <c r="B1370" s="555" t="n">
        <v>65300</v>
      </c>
      <c r="C1370" s="555" t="n">
        <v>65350</v>
      </c>
      <c r="D1370" s="556">
        <f>IF($A1370&gt;BOTT_A4,ROUND(BASE_A4+RATE_A4*($A1370-BOTT_A4),0),IF($A1370&gt;BOTT_A3,ROUND(BASE_A3+RATE_A3*($A1370-BOTT_A3),0),IF($A1370&gt;BOTT_A2,ROUND(BASE_A2+RATE_A2*($A1370-BOTT_A2),0),ROUND(RATE_A1*$A1370,0))))</f>
        <v/>
      </c>
      <c r="E1370" s="556">
        <f>IF($A1370&gt;BOTT_B4,ROUND(BASE_B4+RATE_B4*($A1370-BOTT_B4),0),IF($A1370&gt;BOTT_B3,ROUND(BASE_B3+RATE_B3*($A1370-BOTT_B3),0),IF($A1370&gt;BOTT_B2,ROUND(BASE_B2+RATE_B2*($A1370-BOTT_B2),0),ROUND(RATE_B1*$A1370,0))))</f>
        <v/>
      </c>
      <c r="F1370" s="556">
        <f>IF($A1370&gt;BOTT_C4,ROUND(BASE_C4+RATE_C4*($A1370-BOTT_C4),0),IF($A1370&gt;BOTT_C3,ROUND(BASE_C3+RATE_C3*($A1370-BOTT_C3),0),IF($A1370&gt;BOTT_C2,ROUND(BASE_C2+RATE_C2*($A1370-BOTT_C2),0),ROUND(RATE_C1*$A1370,0))))</f>
        <v/>
      </c>
      <c r="G1370" s="556">
        <f>IF($A1370&gt;BOTT_D4,ROUND(BASE_D4+RATE_D4*($A1370-BOTT_D4),0),IF($A1370&gt;BOTT_D3,ROUND(BASE_D3+RATE_D3*($A1370-BOTT_D3),0),IF($A1370&gt;BOTT_D2,ROUND(BASE_D2+RATE_D2*($A1370-BOTT_D2),0),ROUND(RATE_D1*$A1370,0))))</f>
        <v/>
      </c>
    </row>
    <row r="1371" ht="15.75" customHeight="1" s="7635">
      <c r="A1371" s="625">
        <f>AVERAGE(B1371,C1371)</f>
        <v/>
      </c>
      <c r="B1371" s="555" t="n">
        <v>65350</v>
      </c>
      <c r="C1371" s="555" t="n">
        <v>65400</v>
      </c>
      <c r="D1371" s="556">
        <f>IF($A1371&gt;BOTT_A4,ROUND(BASE_A4+RATE_A4*($A1371-BOTT_A4),0),IF($A1371&gt;BOTT_A3,ROUND(BASE_A3+RATE_A3*($A1371-BOTT_A3),0),IF($A1371&gt;BOTT_A2,ROUND(BASE_A2+RATE_A2*($A1371-BOTT_A2),0),ROUND(RATE_A1*$A1371,0))))</f>
        <v/>
      </c>
      <c r="E1371" s="556">
        <f>IF($A1371&gt;BOTT_B4,ROUND(BASE_B4+RATE_B4*($A1371-BOTT_B4),0),IF($A1371&gt;BOTT_B3,ROUND(BASE_B3+RATE_B3*($A1371-BOTT_B3),0),IF($A1371&gt;BOTT_B2,ROUND(BASE_B2+RATE_B2*($A1371-BOTT_B2),0),ROUND(RATE_B1*$A1371,0))))</f>
        <v/>
      </c>
      <c r="F1371" s="556">
        <f>IF($A1371&gt;BOTT_C4,ROUND(BASE_C4+RATE_C4*($A1371-BOTT_C4),0),IF($A1371&gt;BOTT_C3,ROUND(BASE_C3+RATE_C3*($A1371-BOTT_C3),0),IF($A1371&gt;BOTT_C2,ROUND(BASE_C2+RATE_C2*($A1371-BOTT_C2),0),ROUND(RATE_C1*$A1371,0))))</f>
        <v/>
      </c>
      <c r="G1371" s="556">
        <f>IF($A1371&gt;BOTT_D4,ROUND(BASE_D4+RATE_D4*($A1371-BOTT_D4),0),IF($A1371&gt;BOTT_D3,ROUND(BASE_D3+RATE_D3*($A1371-BOTT_D3),0),IF($A1371&gt;BOTT_D2,ROUND(BASE_D2+RATE_D2*($A1371-BOTT_D2),0),ROUND(RATE_D1*$A1371,0))))</f>
        <v/>
      </c>
    </row>
    <row r="1372" ht="15.75" customHeight="1" s="7635">
      <c r="A1372" s="625">
        <f>AVERAGE(B1372,C1372)</f>
        <v/>
      </c>
      <c r="B1372" s="555" t="n">
        <v>65400</v>
      </c>
      <c r="C1372" s="555" t="n">
        <v>65450</v>
      </c>
      <c r="D1372" s="556">
        <f>IF($A1372&gt;BOTT_A4,ROUND(BASE_A4+RATE_A4*($A1372-BOTT_A4),0),IF($A1372&gt;BOTT_A3,ROUND(BASE_A3+RATE_A3*($A1372-BOTT_A3),0),IF($A1372&gt;BOTT_A2,ROUND(BASE_A2+RATE_A2*($A1372-BOTT_A2),0),ROUND(RATE_A1*$A1372,0))))</f>
        <v/>
      </c>
      <c r="E1372" s="556">
        <f>IF($A1372&gt;BOTT_B4,ROUND(BASE_B4+RATE_B4*($A1372-BOTT_B4),0),IF($A1372&gt;BOTT_B3,ROUND(BASE_B3+RATE_B3*($A1372-BOTT_B3),0),IF($A1372&gt;BOTT_B2,ROUND(BASE_B2+RATE_B2*($A1372-BOTT_B2),0),ROUND(RATE_B1*$A1372,0))))</f>
        <v/>
      </c>
      <c r="F1372" s="556">
        <f>IF($A1372&gt;BOTT_C4,ROUND(BASE_C4+RATE_C4*($A1372-BOTT_C4),0),IF($A1372&gt;BOTT_C3,ROUND(BASE_C3+RATE_C3*($A1372-BOTT_C3),0),IF($A1372&gt;BOTT_C2,ROUND(BASE_C2+RATE_C2*($A1372-BOTT_C2),0),ROUND(RATE_C1*$A1372,0))))</f>
        <v/>
      </c>
      <c r="G1372" s="556">
        <f>IF($A1372&gt;BOTT_D4,ROUND(BASE_D4+RATE_D4*($A1372-BOTT_D4),0),IF($A1372&gt;BOTT_D3,ROUND(BASE_D3+RATE_D3*($A1372-BOTT_D3),0),IF($A1372&gt;BOTT_D2,ROUND(BASE_D2+RATE_D2*($A1372-BOTT_D2),0),ROUND(RATE_D1*$A1372,0))))</f>
        <v/>
      </c>
    </row>
    <row r="1373" ht="15.75" customHeight="1" s="7635">
      <c r="A1373" s="625">
        <f>AVERAGE(B1373,C1373)</f>
        <v/>
      </c>
      <c r="B1373" s="555" t="n">
        <v>65450</v>
      </c>
      <c r="C1373" s="555" t="n">
        <v>65500</v>
      </c>
      <c r="D1373" s="556">
        <f>IF($A1373&gt;BOTT_A4,ROUND(BASE_A4+RATE_A4*($A1373-BOTT_A4),0),IF($A1373&gt;BOTT_A3,ROUND(BASE_A3+RATE_A3*($A1373-BOTT_A3),0),IF($A1373&gt;BOTT_A2,ROUND(BASE_A2+RATE_A2*($A1373-BOTT_A2),0),ROUND(RATE_A1*$A1373,0))))</f>
        <v/>
      </c>
      <c r="E1373" s="556">
        <f>IF($A1373&gt;BOTT_B4,ROUND(BASE_B4+RATE_B4*($A1373-BOTT_B4),0),IF($A1373&gt;BOTT_B3,ROUND(BASE_B3+RATE_B3*($A1373-BOTT_B3),0),IF($A1373&gt;BOTT_B2,ROUND(BASE_B2+RATE_B2*($A1373-BOTT_B2),0),ROUND(RATE_B1*$A1373,0))))</f>
        <v/>
      </c>
      <c r="F1373" s="556">
        <f>IF($A1373&gt;BOTT_C4,ROUND(BASE_C4+RATE_C4*($A1373-BOTT_C4),0),IF($A1373&gt;BOTT_C3,ROUND(BASE_C3+RATE_C3*($A1373-BOTT_C3),0),IF($A1373&gt;BOTT_C2,ROUND(BASE_C2+RATE_C2*($A1373-BOTT_C2),0),ROUND(RATE_C1*$A1373,0))))</f>
        <v/>
      </c>
      <c r="G1373" s="556">
        <f>IF($A1373&gt;BOTT_D4,ROUND(BASE_D4+RATE_D4*($A1373-BOTT_D4),0),IF($A1373&gt;BOTT_D3,ROUND(BASE_D3+RATE_D3*($A1373-BOTT_D3),0),IF($A1373&gt;BOTT_D2,ROUND(BASE_D2+RATE_D2*($A1373-BOTT_D2),0),ROUND(RATE_D1*$A1373,0))))</f>
        <v/>
      </c>
    </row>
    <row r="1374" ht="15.75" customHeight="1" s="7635">
      <c r="A1374" s="625">
        <f>AVERAGE(B1374,C1374)</f>
        <v/>
      </c>
      <c r="B1374" s="555" t="n">
        <v>65500</v>
      </c>
      <c r="C1374" s="555" t="n">
        <v>65550</v>
      </c>
      <c r="D1374" s="556">
        <f>IF($A1374&gt;BOTT_A4,ROUND(BASE_A4+RATE_A4*($A1374-BOTT_A4),0),IF($A1374&gt;BOTT_A3,ROUND(BASE_A3+RATE_A3*($A1374-BOTT_A3),0),IF($A1374&gt;BOTT_A2,ROUND(BASE_A2+RATE_A2*($A1374-BOTT_A2),0),ROUND(RATE_A1*$A1374,0))))</f>
        <v/>
      </c>
      <c r="E1374" s="556">
        <f>IF($A1374&gt;BOTT_B4,ROUND(BASE_B4+RATE_B4*($A1374-BOTT_B4),0),IF($A1374&gt;BOTT_B3,ROUND(BASE_B3+RATE_B3*($A1374-BOTT_B3),0),IF($A1374&gt;BOTT_B2,ROUND(BASE_B2+RATE_B2*($A1374-BOTT_B2),0),ROUND(RATE_B1*$A1374,0))))</f>
        <v/>
      </c>
      <c r="F1374" s="556">
        <f>IF($A1374&gt;BOTT_C4,ROUND(BASE_C4+RATE_C4*($A1374-BOTT_C4),0),IF($A1374&gt;BOTT_C3,ROUND(BASE_C3+RATE_C3*($A1374-BOTT_C3),0),IF($A1374&gt;BOTT_C2,ROUND(BASE_C2+RATE_C2*($A1374-BOTT_C2),0),ROUND(RATE_C1*$A1374,0))))</f>
        <v/>
      </c>
      <c r="G1374" s="556">
        <f>IF($A1374&gt;BOTT_D4,ROUND(BASE_D4+RATE_D4*($A1374-BOTT_D4),0),IF($A1374&gt;BOTT_D3,ROUND(BASE_D3+RATE_D3*($A1374-BOTT_D3),0),IF($A1374&gt;BOTT_D2,ROUND(BASE_D2+RATE_D2*($A1374-BOTT_D2),0),ROUND(RATE_D1*$A1374,0))))</f>
        <v/>
      </c>
    </row>
    <row r="1375" ht="15.75" customHeight="1" s="7635">
      <c r="A1375" s="625">
        <f>AVERAGE(B1375,C1375)</f>
        <v/>
      </c>
      <c r="B1375" s="555" t="n">
        <v>65550</v>
      </c>
      <c r="C1375" s="555" t="n">
        <v>65600</v>
      </c>
      <c r="D1375" s="556">
        <f>IF($A1375&gt;BOTT_A4,ROUND(BASE_A4+RATE_A4*($A1375-BOTT_A4),0),IF($A1375&gt;BOTT_A3,ROUND(BASE_A3+RATE_A3*($A1375-BOTT_A3),0),IF($A1375&gt;BOTT_A2,ROUND(BASE_A2+RATE_A2*($A1375-BOTT_A2),0),ROUND(RATE_A1*$A1375,0))))</f>
        <v/>
      </c>
      <c r="E1375" s="556">
        <f>IF($A1375&gt;BOTT_B4,ROUND(BASE_B4+RATE_B4*($A1375-BOTT_B4),0),IF($A1375&gt;BOTT_B3,ROUND(BASE_B3+RATE_B3*($A1375-BOTT_B3),0),IF($A1375&gt;BOTT_B2,ROUND(BASE_B2+RATE_B2*($A1375-BOTT_B2),0),ROUND(RATE_B1*$A1375,0))))</f>
        <v/>
      </c>
      <c r="F1375" s="556">
        <f>IF($A1375&gt;BOTT_C4,ROUND(BASE_C4+RATE_C4*($A1375-BOTT_C4),0),IF($A1375&gt;BOTT_C3,ROUND(BASE_C3+RATE_C3*($A1375-BOTT_C3),0),IF($A1375&gt;BOTT_C2,ROUND(BASE_C2+RATE_C2*($A1375-BOTT_C2),0),ROUND(RATE_C1*$A1375,0))))</f>
        <v/>
      </c>
      <c r="G1375" s="556">
        <f>IF($A1375&gt;BOTT_D4,ROUND(BASE_D4+RATE_D4*($A1375-BOTT_D4),0),IF($A1375&gt;BOTT_D3,ROUND(BASE_D3+RATE_D3*($A1375-BOTT_D3),0),IF($A1375&gt;BOTT_D2,ROUND(BASE_D2+RATE_D2*($A1375-BOTT_D2),0),ROUND(RATE_D1*$A1375,0))))</f>
        <v/>
      </c>
    </row>
    <row r="1376" ht="15.75" customHeight="1" s="7635">
      <c r="A1376" s="625">
        <f>AVERAGE(B1376,C1376)</f>
        <v/>
      </c>
      <c r="B1376" s="555" t="n">
        <v>65600</v>
      </c>
      <c r="C1376" s="555" t="n">
        <v>65650</v>
      </c>
      <c r="D1376" s="556">
        <f>IF($A1376&gt;BOTT_A4,ROUND(BASE_A4+RATE_A4*($A1376-BOTT_A4),0),IF($A1376&gt;BOTT_A3,ROUND(BASE_A3+RATE_A3*($A1376-BOTT_A3),0),IF($A1376&gt;BOTT_A2,ROUND(BASE_A2+RATE_A2*($A1376-BOTT_A2),0),ROUND(RATE_A1*$A1376,0))))</f>
        <v/>
      </c>
      <c r="E1376" s="556">
        <f>IF($A1376&gt;BOTT_B4,ROUND(BASE_B4+RATE_B4*($A1376-BOTT_B4),0),IF($A1376&gt;BOTT_B3,ROUND(BASE_B3+RATE_B3*($A1376-BOTT_B3),0),IF($A1376&gt;BOTT_B2,ROUND(BASE_B2+RATE_B2*($A1376-BOTT_B2),0),ROUND(RATE_B1*$A1376,0))))</f>
        <v/>
      </c>
      <c r="F1376" s="556">
        <f>IF($A1376&gt;BOTT_C4,ROUND(BASE_C4+RATE_C4*($A1376-BOTT_C4),0),IF($A1376&gt;BOTT_C3,ROUND(BASE_C3+RATE_C3*($A1376-BOTT_C3),0),IF($A1376&gt;BOTT_C2,ROUND(BASE_C2+RATE_C2*($A1376-BOTT_C2),0),ROUND(RATE_C1*$A1376,0))))</f>
        <v/>
      </c>
      <c r="G1376" s="556">
        <f>IF($A1376&gt;BOTT_D4,ROUND(BASE_D4+RATE_D4*($A1376-BOTT_D4),0),IF($A1376&gt;BOTT_D3,ROUND(BASE_D3+RATE_D3*($A1376-BOTT_D3),0),IF($A1376&gt;BOTT_D2,ROUND(BASE_D2+RATE_D2*($A1376-BOTT_D2),0),ROUND(RATE_D1*$A1376,0))))</f>
        <v/>
      </c>
    </row>
    <row r="1377" ht="15.75" customHeight="1" s="7635">
      <c r="A1377" s="625">
        <f>AVERAGE(B1377,C1377)</f>
        <v/>
      </c>
      <c r="B1377" s="555" t="n">
        <v>65650</v>
      </c>
      <c r="C1377" s="555" t="n">
        <v>65700</v>
      </c>
      <c r="D1377" s="556">
        <f>IF($A1377&gt;BOTT_A4,ROUND(BASE_A4+RATE_A4*($A1377-BOTT_A4),0),IF($A1377&gt;BOTT_A3,ROUND(BASE_A3+RATE_A3*($A1377-BOTT_A3),0),IF($A1377&gt;BOTT_A2,ROUND(BASE_A2+RATE_A2*($A1377-BOTT_A2),0),ROUND(RATE_A1*$A1377,0))))</f>
        <v/>
      </c>
      <c r="E1377" s="556">
        <f>IF($A1377&gt;BOTT_B4,ROUND(BASE_B4+RATE_B4*($A1377-BOTT_B4),0),IF($A1377&gt;BOTT_B3,ROUND(BASE_B3+RATE_B3*($A1377-BOTT_B3),0),IF($A1377&gt;BOTT_B2,ROUND(BASE_B2+RATE_B2*($A1377-BOTT_B2),0),ROUND(RATE_B1*$A1377,0))))</f>
        <v/>
      </c>
      <c r="F1377" s="556">
        <f>IF($A1377&gt;BOTT_C4,ROUND(BASE_C4+RATE_C4*($A1377-BOTT_C4),0),IF($A1377&gt;BOTT_C3,ROUND(BASE_C3+RATE_C3*($A1377-BOTT_C3),0),IF($A1377&gt;BOTT_C2,ROUND(BASE_C2+RATE_C2*($A1377-BOTT_C2),0),ROUND(RATE_C1*$A1377,0))))</f>
        <v/>
      </c>
      <c r="G1377" s="556">
        <f>IF($A1377&gt;BOTT_D4,ROUND(BASE_D4+RATE_D4*($A1377-BOTT_D4),0),IF($A1377&gt;BOTT_D3,ROUND(BASE_D3+RATE_D3*($A1377-BOTT_D3),0),IF($A1377&gt;BOTT_D2,ROUND(BASE_D2+RATE_D2*($A1377-BOTT_D2),0),ROUND(RATE_D1*$A1377,0))))</f>
        <v/>
      </c>
    </row>
    <row r="1378" ht="15.75" customHeight="1" s="7635">
      <c r="A1378" s="625">
        <f>AVERAGE(B1378,C1378)</f>
        <v/>
      </c>
      <c r="B1378" s="555" t="n">
        <v>65700</v>
      </c>
      <c r="C1378" s="555" t="n">
        <v>65750</v>
      </c>
      <c r="D1378" s="556">
        <f>IF($A1378&gt;BOTT_A4,ROUND(BASE_A4+RATE_A4*($A1378-BOTT_A4),0),IF($A1378&gt;BOTT_A3,ROUND(BASE_A3+RATE_A3*($A1378-BOTT_A3),0),IF($A1378&gt;BOTT_A2,ROUND(BASE_A2+RATE_A2*($A1378-BOTT_A2),0),ROUND(RATE_A1*$A1378,0))))</f>
        <v/>
      </c>
      <c r="E1378" s="556">
        <f>IF($A1378&gt;BOTT_B4,ROUND(BASE_B4+RATE_B4*($A1378-BOTT_B4),0),IF($A1378&gt;BOTT_B3,ROUND(BASE_B3+RATE_B3*($A1378-BOTT_B3),0),IF($A1378&gt;BOTT_B2,ROUND(BASE_B2+RATE_B2*($A1378-BOTT_B2),0),ROUND(RATE_B1*$A1378,0))))</f>
        <v/>
      </c>
      <c r="F1378" s="556">
        <f>IF($A1378&gt;BOTT_C4,ROUND(BASE_C4+RATE_C4*($A1378-BOTT_C4),0),IF($A1378&gt;BOTT_C3,ROUND(BASE_C3+RATE_C3*($A1378-BOTT_C3),0),IF($A1378&gt;BOTT_C2,ROUND(BASE_C2+RATE_C2*($A1378-BOTT_C2),0),ROUND(RATE_C1*$A1378,0))))</f>
        <v/>
      </c>
      <c r="G1378" s="556">
        <f>IF($A1378&gt;BOTT_D4,ROUND(BASE_D4+RATE_D4*($A1378-BOTT_D4),0),IF($A1378&gt;BOTT_D3,ROUND(BASE_D3+RATE_D3*($A1378-BOTT_D3),0),IF($A1378&gt;BOTT_D2,ROUND(BASE_D2+RATE_D2*($A1378-BOTT_D2),0),ROUND(RATE_D1*$A1378,0))))</f>
        <v/>
      </c>
    </row>
    <row r="1379" ht="15.75" customHeight="1" s="7635">
      <c r="A1379" s="625">
        <f>AVERAGE(B1379,C1379)</f>
        <v/>
      </c>
      <c r="B1379" s="555" t="n">
        <v>65750</v>
      </c>
      <c r="C1379" s="555" t="n">
        <v>65800</v>
      </c>
      <c r="D1379" s="556">
        <f>IF($A1379&gt;BOTT_A4,ROUND(BASE_A4+RATE_A4*($A1379-BOTT_A4),0),IF($A1379&gt;BOTT_A3,ROUND(BASE_A3+RATE_A3*($A1379-BOTT_A3),0),IF($A1379&gt;BOTT_A2,ROUND(BASE_A2+RATE_A2*($A1379-BOTT_A2),0),ROUND(RATE_A1*$A1379,0))))</f>
        <v/>
      </c>
      <c r="E1379" s="556">
        <f>IF($A1379&gt;BOTT_B4,ROUND(BASE_B4+RATE_B4*($A1379-BOTT_B4),0),IF($A1379&gt;BOTT_B3,ROUND(BASE_B3+RATE_B3*($A1379-BOTT_B3),0),IF($A1379&gt;BOTT_B2,ROUND(BASE_B2+RATE_B2*($A1379-BOTT_B2),0),ROUND(RATE_B1*$A1379,0))))</f>
        <v/>
      </c>
      <c r="F1379" s="556">
        <f>IF($A1379&gt;BOTT_C4,ROUND(BASE_C4+RATE_C4*($A1379-BOTT_C4),0),IF($A1379&gt;BOTT_C3,ROUND(BASE_C3+RATE_C3*($A1379-BOTT_C3),0),IF($A1379&gt;BOTT_C2,ROUND(BASE_C2+RATE_C2*($A1379-BOTT_C2),0),ROUND(RATE_C1*$A1379,0))))</f>
        <v/>
      </c>
      <c r="G1379" s="556">
        <f>IF($A1379&gt;BOTT_D4,ROUND(BASE_D4+RATE_D4*($A1379-BOTT_D4),0),IF($A1379&gt;BOTT_D3,ROUND(BASE_D3+RATE_D3*($A1379-BOTT_D3),0),IF($A1379&gt;BOTT_D2,ROUND(BASE_D2+RATE_D2*($A1379-BOTT_D2),0),ROUND(RATE_D1*$A1379,0))))</f>
        <v/>
      </c>
    </row>
    <row r="1380" ht="15.75" customHeight="1" s="7635">
      <c r="A1380" s="625">
        <f>AVERAGE(B1380,C1380)</f>
        <v/>
      </c>
      <c r="B1380" s="555" t="n">
        <v>65800</v>
      </c>
      <c r="C1380" s="555" t="n">
        <v>65850</v>
      </c>
      <c r="D1380" s="556">
        <f>IF($A1380&gt;BOTT_A4,ROUND(BASE_A4+RATE_A4*($A1380-BOTT_A4),0),IF($A1380&gt;BOTT_A3,ROUND(BASE_A3+RATE_A3*($A1380-BOTT_A3),0),IF($A1380&gt;BOTT_A2,ROUND(BASE_A2+RATE_A2*($A1380-BOTT_A2),0),ROUND(RATE_A1*$A1380,0))))</f>
        <v/>
      </c>
      <c r="E1380" s="556">
        <f>IF($A1380&gt;BOTT_B4,ROUND(BASE_B4+RATE_B4*($A1380-BOTT_B4),0),IF($A1380&gt;BOTT_B3,ROUND(BASE_B3+RATE_B3*($A1380-BOTT_B3),0),IF($A1380&gt;BOTT_B2,ROUND(BASE_B2+RATE_B2*($A1380-BOTT_B2),0),ROUND(RATE_B1*$A1380,0))))</f>
        <v/>
      </c>
      <c r="F1380" s="556">
        <f>IF($A1380&gt;BOTT_C4,ROUND(BASE_C4+RATE_C4*($A1380-BOTT_C4),0),IF($A1380&gt;BOTT_C3,ROUND(BASE_C3+RATE_C3*($A1380-BOTT_C3),0),IF($A1380&gt;BOTT_C2,ROUND(BASE_C2+RATE_C2*($A1380-BOTT_C2),0),ROUND(RATE_C1*$A1380,0))))</f>
        <v/>
      </c>
      <c r="G1380" s="556">
        <f>IF($A1380&gt;BOTT_D4,ROUND(BASE_D4+RATE_D4*($A1380-BOTT_D4),0),IF($A1380&gt;BOTT_D3,ROUND(BASE_D3+RATE_D3*($A1380-BOTT_D3),0),IF($A1380&gt;BOTT_D2,ROUND(BASE_D2+RATE_D2*($A1380-BOTT_D2),0),ROUND(RATE_D1*$A1380,0))))</f>
        <v/>
      </c>
    </row>
    <row r="1381" ht="15.75" customHeight="1" s="7635">
      <c r="A1381" s="625">
        <f>AVERAGE(B1381,C1381)</f>
        <v/>
      </c>
      <c r="B1381" s="555" t="n">
        <v>65850</v>
      </c>
      <c r="C1381" s="555" t="n">
        <v>65900</v>
      </c>
      <c r="D1381" s="556">
        <f>IF($A1381&gt;BOTT_A4,ROUND(BASE_A4+RATE_A4*($A1381-BOTT_A4),0),IF($A1381&gt;BOTT_A3,ROUND(BASE_A3+RATE_A3*($A1381-BOTT_A3),0),IF($A1381&gt;BOTT_A2,ROUND(BASE_A2+RATE_A2*($A1381-BOTT_A2),0),ROUND(RATE_A1*$A1381,0))))</f>
        <v/>
      </c>
      <c r="E1381" s="556">
        <f>IF($A1381&gt;BOTT_B4,ROUND(BASE_B4+RATE_B4*($A1381-BOTT_B4),0),IF($A1381&gt;BOTT_B3,ROUND(BASE_B3+RATE_B3*($A1381-BOTT_B3),0),IF($A1381&gt;BOTT_B2,ROUND(BASE_B2+RATE_B2*($A1381-BOTT_B2),0),ROUND(RATE_B1*$A1381,0))))</f>
        <v/>
      </c>
      <c r="F1381" s="556">
        <f>IF($A1381&gt;BOTT_C4,ROUND(BASE_C4+RATE_C4*($A1381-BOTT_C4),0),IF($A1381&gt;BOTT_C3,ROUND(BASE_C3+RATE_C3*($A1381-BOTT_C3),0),IF($A1381&gt;BOTT_C2,ROUND(BASE_C2+RATE_C2*($A1381-BOTT_C2),0),ROUND(RATE_C1*$A1381,0))))</f>
        <v/>
      </c>
      <c r="G1381" s="556">
        <f>IF($A1381&gt;BOTT_D4,ROUND(BASE_D4+RATE_D4*($A1381-BOTT_D4),0),IF($A1381&gt;BOTT_D3,ROUND(BASE_D3+RATE_D3*($A1381-BOTT_D3),0),IF($A1381&gt;BOTT_D2,ROUND(BASE_D2+RATE_D2*($A1381-BOTT_D2),0),ROUND(RATE_D1*$A1381,0))))</f>
        <v/>
      </c>
    </row>
    <row r="1382" ht="15.75" customHeight="1" s="7635">
      <c r="A1382" s="625">
        <f>AVERAGE(B1382,C1382)</f>
        <v/>
      </c>
      <c r="B1382" s="555" t="n">
        <v>65900</v>
      </c>
      <c r="C1382" s="555" t="n">
        <v>65950</v>
      </c>
      <c r="D1382" s="556">
        <f>IF($A1382&gt;BOTT_A4,ROUND(BASE_A4+RATE_A4*($A1382-BOTT_A4),0),IF($A1382&gt;BOTT_A3,ROUND(BASE_A3+RATE_A3*($A1382-BOTT_A3),0),IF($A1382&gt;BOTT_A2,ROUND(BASE_A2+RATE_A2*($A1382-BOTT_A2),0),ROUND(RATE_A1*$A1382,0))))</f>
        <v/>
      </c>
      <c r="E1382" s="556">
        <f>IF($A1382&gt;BOTT_B4,ROUND(BASE_B4+RATE_B4*($A1382-BOTT_B4),0),IF($A1382&gt;BOTT_B3,ROUND(BASE_B3+RATE_B3*($A1382-BOTT_B3),0),IF($A1382&gt;BOTT_B2,ROUND(BASE_B2+RATE_B2*($A1382-BOTT_B2),0),ROUND(RATE_B1*$A1382,0))))</f>
        <v/>
      </c>
      <c r="F1382" s="556">
        <f>IF($A1382&gt;BOTT_C4,ROUND(BASE_C4+RATE_C4*($A1382-BOTT_C4),0),IF($A1382&gt;BOTT_C3,ROUND(BASE_C3+RATE_C3*($A1382-BOTT_C3),0),IF($A1382&gt;BOTT_C2,ROUND(BASE_C2+RATE_C2*($A1382-BOTT_C2),0),ROUND(RATE_C1*$A1382,0))))</f>
        <v/>
      </c>
      <c r="G1382" s="556">
        <f>IF($A1382&gt;BOTT_D4,ROUND(BASE_D4+RATE_D4*($A1382-BOTT_D4),0),IF($A1382&gt;BOTT_D3,ROUND(BASE_D3+RATE_D3*($A1382-BOTT_D3),0),IF($A1382&gt;BOTT_D2,ROUND(BASE_D2+RATE_D2*($A1382-BOTT_D2),0),ROUND(RATE_D1*$A1382,0))))</f>
        <v/>
      </c>
    </row>
    <row r="1383" ht="15.75" customHeight="1" s="7635">
      <c r="A1383" s="625">
        <f>AVERAGE(B1383,C1383)</f>
        <v/>
      </c>
      <c r="B1383" s="555" t="n">
        <v>65950</v>
      </c>
      <c r="C1383" s="555" t="n">
        <v>66000</v>
      </c>
      <c r="D1383" s="556">
        <f>IF($A1383&gt;BOTT_A4,ROUND(BASE_A4+RATE_A4*($A1383-BOTT_A4),0),IF($A1383&gt;BOTT_A3,ROUND(BASE_A3+RATE_A3*($A1383-BOTT_A3),0),IF($A1383&gt;BOTT_A2,ROUND(BASE_A2+RATE_A2*($A1383-BOTT_A2),0),ROUND(RATE_A1*$A1383,0))))</f>
        <v/>
      </c>
      <c r="E1383" s="556">
        <f>IF($A1383&gt;BOTT_B4,ROUND(BASE_B4+RATE_B4*($A1383-BOTT_B4),0),IF($A1383&gt;BOTT_B3,ROUND(BASE_B3+RATE_B3*($A1383-BOTT_B3),0),IF($A1383&gt;BOTT_B2,ROUND(BASE_B2+RATE_B2*($A1383-BOTT_B2),0),ROUND(RATE_B1*$A1383,0))))</f>
        <v/>
      </c>
      <c r="F1383" s="556">
        <f>IF($A1383&gt;BOTT_C4,ROUND(BASE_C4+RATE_C4*($A1383-BOTT_C4),0),IF($A1383&gt;BOTT_C3,ROUND(BASE_C3+RATE_C3*($A1383-BOTT_C3),0),IF($A1383&gt;BOTT_C2,ROUND(BASE_C2+RATE_C2*($A1383-BOTT_C2),0),ROUND(RATE_C1*$A1383,0))))</f>
        <v/>
      </c>
      <c r="G1383" s="556">
        <f>IF($A1383&gt;BOTT_D4,ROUND(BASE_D4+RATE_D4*($A1383-BOTT_D4),0),IF($A1383&gt;BOTT_D3,ROUND(BASE_D3+RATE_D3*($A1383-BOTT_D3),0),IF($A1383&gt;BOTT_D2,ROUND(BASE_D2+RATE_D2*($A1383-BOTT_D2),0),ROUND(RATE_D1*$A1383,0))))</f>
        <v/>
      </c>
    </row>
    <row r="1384" ht="15.75" customHeight="1" s="7635">
      <c r="A1384" s="625">
        <f>AVERAGE(B1384,C1384)</f>
        <v/>
      </c>
      <c r="B1384" s="555" t="n">
        <v>66000</v>
      </c>
      <c r="C1384" s="555" t="n">
        <v>66050</v>
      </c>
      <c r="D1384" s="556">
        <f>IF($A1384&gt;BOTT_A4,ROUND(BASE_A4+RATE_A4*($A1384-BOTT_A4),0),IF($A1384&gt;BOTT_A3,ROUND(BASE_A3+RATE_A3*($A1384-BOTT_A3),0),IF($A1384&gt;BOTT_A2,ROUND(BASE_A2+RATE_A2*($A1384-BOTT_A2),0),ROUND(RATE_A1*$A1384,0))))</f>
        <v/>
      </c>
      <c r="E1384" s="556">
        <f>IF($A1384&gt;BOTT_B4,ROUND(BASE_B4+RATE_B4*($A1384-BOTT_B4),0),IF($A1384&gt;BOTT_B3,ROUND(BASE_B3+RATE_B3*($A1384-BOTT_B3),0),IF($A1384&gt;BOTT_B2,ROUND(BASE_B2+RATE_B2*($A1384-BOTT_B2),0),ROUND(RATE_B1*$A1384,0))))</f>
        <v/>
      </c>
      <c r="F1384" s="556">
        <f>IF($A1384&gt;BOTT_C4,ROUND(BASE_C4+RATE_C4*($A1384-BOTT_C4),0),IF($A1384&gt;BOTT_C3,ROUND(BASE_C3+RATE_C3*($A1384-BOTT_C3),0),IF($A1384&gt;BOTT_C2,ROUND(BASE_C2+RATE_C2*($A1384-BOTT_C2),0),ROUND(RATE_C1*$A1384,0))))</f>
        <v/>
      </c>
      <c r="G1384" s="556">
        <f>IF($A1384&gt;BOTT_D4,ROUND(BASE_D4+RATE_D4*($A1384-BOTT_D4),0),IF($A1384&gt;BOTT_D3,ROUND(BASE_D3+RATE_D3*($A1384-BOTT_D3),0),IF($A1384&gt;BOTT_D2,ROUND(BASE_D2+RATE_D2*($A1384-BOTT_D2),0),ROUND(RATE_D1*$A1384,0))))</f>
        <v/>
      </c>
    </row>
    <row r="1385" ht="15.75" customHeight="1" s="7635">
      <c r="A1385" s="625">
        <f>AVERAGE(B1385,C1385)</f>
        <v/>
      </c>
      <c r="B1385" s="555" t="n">
        <v>66050</v>
      </c>
      <c r="C1385" s="555" t="n">
        <v>66100</v>
      </c>
      <c r="D1385" s="556">
        <f>IF($A1385&gt;BOTT_A4,ROUND(BASE_A4+RATE_A4*($A1385-BOTT_A4),0),IF($A1385&gt;BOTT_A3,ROUND(BASE_A3+RATE_A3*($A1385-BOTT_A3),0),IF($A1385&gt;BOTT_A2,ROUND(BASE_A2+RATE_A2*($A1385-BOTT_A2),0),ROUND(RATE_A1*$A1385,0))))</f>
        <v/>
      </c>
      <c r="E1385" s="556">
        <f>IF($A1385&gt;BOTT_B4,ROUND(BASE_B4+RATE_B4*($A1385-BOTT_B4),0),IF($A1385&gt;BOTT_B3,ROUND(BASE_B3+RATE_B3*($A1385-BOTT_B3),0),IF($A1385&gt;BOTT_B2,ROUND(BASE_B2+RATE_B2*($A1385-BOTT_B2),0),ROUND(RATE_B1*$A1385,0))))</f>
        <v/>
      </c>
      <c r="F1385" s="556">
        <f>IF($A1385&gt;BOTT_C4,ROUND(BASE_C4+RATE_C4*($A1385-BOTT_C4),0),IF($A1385&gt;BOTT_C3,ROUND(BASE_C3+RATE_C3*($A1385-BOTT_C3),0),IF($A1385&gt;BOTT_C2,ROUND(BASE_C2+RATE_C2*($A1385-BOTT_C2),0),ROUND(RATE_C1*$A1385,0))))</f>
        <v/>
      </c>
      <c r="G1385" s="556">
        <f>IF($A1385&gt;BOTT_D4,ROUND(BASE_D4+RATE_D4*($A1385-BOTT_D4),0),IF($A1385&gt;BOTT_D3,ROUND(BASE_D3+RATE_D3*($A1385-BOTT_D3),0),IF($A1385&gt;BOTT_D2,ROUND(BASE_D2+RATE_D2*($A1385-BOTT_D2),0),ROUND(RATE_D1*$A1385,0))))</f>
        <v/>
      </c>
    </row>
    <row r="1386" ht="15.75" customHeight="1" s="7635">
      <c r="A1386" s="625">
        <f>AVERAGE(B1386,C1386)</f>
        <v/>
      </c>
      <c r="B1386" s="555" t="n">
        <v>66100</v>
      </c>
      <c r="C1386" s="555" t="n">
        <v>66150</v>
      </c>
      <c r="D1386" s="556">
        <f>IF($A1386&gt;BOTT_A4,ROUND(BASE_A4+RATE_A4*($A1386-BOTT_A4),0),IF($A1386&gt;BOTT_A3,ROUND(BASE_A3+RATE_A3*($A1386-BOTT_A3),0),IF($A1386&gt;BOTT_A2,ROUND(BASE_A2+RATE_A2*($A1386-BOTT_A2),0),ROUND(RATE_A1*$A1386,0))))</f>
        <v/>
      </c>
      <c r="E1386" s="556">
        <f>IF($A1386&gt;BOTT_B4,ROUND(BASE_B4+RATE_B4*($A1386-BOTT_B4),0),IF($A1386&gt;BOTT_B3,ROUND(BASE_B3+RATE_B3*($A1386-BOTT_B3),0),IF($A1386&gt;BOTT_B2,ROUND(BASE_B2+RATE_B2*($A1386-BOTT_B2),0),ROUND(RATE_B1*$A1386,0))))</f>
        <v/>
      </c>
      <c r="F1386" s="556">
        <f>IF($A1386&gt;BOTT_C4,ROUND(BASE_C4+RATE_C4*($A1386-BOTT_C4),0),IF($A1386&gt;BOTT_C3,ROUND(BASE_C3+RATE_C3*($A1386-BOTT_C3),0),IF($A1386&gt;BOTT_C2,ROUND(BASE_C2+RATE_C2*($A1386-BOTT_C2),0),ROUND(RATE_C1*$A1386,0))))</f>
        <v/>
      </c>
      <c r="G1386" s="556">
        <f>IF($A1386&gt;BOTT_D4,ROUND(BASE_D4+RATE_D4*($A1386-BOTT_D4),0),IF($A1386&gt;BOTT_D3,ROUND(BASE_D3+RATE_D3*($A1386-BOTT_D3),0),IF($A1386&gt;BOTT_D2,ROUND(BASE_D2+RATE_D2*($A1386-BOTT_D2),0),ROUND(RATE_D1*$A1386,0))))</f>
        <v/>
      </c>
    </row>
    <row r="1387" ht="15.75" customHeight="1" s="7635">
      <c r="A1387" s="625">
        <f>AVERAGE(B1387,C1387)</f>
        <v/>
      </c>
      <c r="B1387" s="555" t="n">
        <v>66150</v>
      </c>
      <c r="C1387" s="555" t="n">
        <v>66200</v>
      </c>
      <c r="D1387" s="556">
        <f>IF($A1387&gt;BOTT_A4,ROUND(BASE_A4+RATE_A4*($A1387-BOTT_A4),0),IF($A1387&gt;BOTT_A3,ROUND(BASE_A3+RATE_A3*($A1387-BOTT_A3),0),IF($A1387&gt;BOTT_A2,ROUND(BASE_A2+RATE_A2*($A1387-BOTT_A2),0),ROUND(RATE_A1*$A1387,0))))</f>
        <v/>
      </c>
      <c r="E1387" s="556">
        <f>IF($A1387&gt;BOTT_B4,ROUND(BASE_B4+RATE_B4*($A1387-BOTT_B4),0),IF($A1387&gt;BOTT_B3,ROUND(BASE_B3+RATE_B3*($A1387-BOTT_B3),0),IF($A1387&gt;BOTT_B2,ROUND(BASE_B2+RATE_B2*($A1387-BOTT_B2),0),ROUND(RATE_B1*$A1387,0))))</f>
        <v/>
      </c>
      <c r="F1387" s="556">
        <f>IF($A1387&gt;BOTT_C4,ROUND(BASE_C4+RATE_C4*($A1387-BOTT_C4),0),IF($A1387&gt;BOTT_C3,ROUND(BASE_C3+RATE_C3*($A1387-BOTT_C3),0),IF($A1387&gt;BOTT_C2,ROUND(BASE_C2+RATE_C2*($A1387-BOTT_C2),0),ROUND(RATE_C1*$A1387,0))))</f>
        <v/>
      </c>
      <c r="G1387" s="556">
        <f>IF($A1387&gt;BOTT_D4,ROUND(BASE_D4+RATE_D4*($A1387-BOTT_D4),0),IF($A1387&gt;BOTT_D3,ROUND(BASE_D3+RATE_D3*($A1387-BOTT_D3),0),IF($A1387&gt;BOTT_D2,ROUND(BASE_D2+RATE_D2*($A1387-BOTT_D2),0),ROUND(RATE_D1*$A1387,0))))</f>
        <v/>
      </c>
    </row>
    <row r="1388" ht="15.75" customHeight="1" s="7635">
      <c r="A1388" s="625">
        <f>AVERAGE(B1388,C1388)</f>
        <v/>
      </c>
      <c r="B1388" s="555" t="n">
        <v>66200</v>
      </c>
      <c r="C1388" s="555" t="n">
        <v>66250</v>
      </c>
      <c r="D1388" s="556">
        <f>IF($A1388&gt;BOTT_A4,ROUND(BASE_A4+RATE_A4*($A1388-BOTT_A4),0),IF($A1388&gt;BOTT_A3,ROUND(BASE_A3+RATE_A3*($A1388-BOTT_A3),0),IF($A1388&gt;BOTT_A2,ROUND(BASE_A2+RATE_A2*($A1388-BOTT_A2),0),ROUND(RATE_A1*$A1388,0))))</f>
        <v/>
      </c>
      <c r="E1388" s="556">
        <f>IF($A1388&gt;BOTT_B4,ROUND(BASE_B4+RATE_B4*($A1388-BOTT_B4),0),IF($A1388&gt;BOTT_B3,ROUND(BASE_B3+RATE_B3*($A1388-BOTT_B3),0),IF($A1388&gt;BOTT_B2,ROUND(BASE_B2+RATE_B2*($A1388-BOTT_B2),0),ROUND(RATE_B1*$A1388,0))))</f>
        <v/>
      </c>
      <c r="F1388" s="556">
        <f>IF($A1388&gt;BOTT_C4,ROUND(BASE_C4+RATE_C4*($A1388-BOTT_C4),0),IF($A1388&gt;BOTT_C3,ROUND(BASE_C3+RATE_C3*($A1388-BOTT_C3),0),IF($A1388&gt;BOTT_C2,ROUND(BASE_C2+RATE_C2*($A1388-BOTT_C2),0),ROUND(RATE_C1*$A1388,0))))</f>
        <v/>
      </c>
      <c r="G1388" s="556">
        <f>IF($A1388&gt;BOTT_D4,ROUND(BASE_D4+RATE_D4*($A1388-BOTT_D4),0),IF($A1388&gt;BOTT_D3,ROUND(BASE_D3+RATE_D3*($A1388-BOTT_D3),0),IF($A1388&gt;BOTT_D2,ROUND(BASE_D2+RATE_D2*($A1388-BOTT_D2),0),ROUND(RATE_D1*$A1388,0))))</f>
        <v/>
      </c>
    </row>
    <row r="1389" ht="15.75" customHeight="1" s="7635">
      <c r="A1389" s="625">
        <f>AVERAGE(B1389,C1389)</f>
        <v/>
      </c>
      <c r="B1389" s="555" t="n">
        <v>66250</v>
      </c>
      <c r="C1389" s="555" t="n">
        <v>66300</v>
      </c>
      <c r="D1389" s="556">
        <f>IF($A1389&gt;BOTT_A4,ROUND(BASE_A4+RATE_A4*($A1389-BOTT_A4),0),IF($A1389&gt;BOTT_A3,ROUND(BASE_A3+RATE_A3*($A1389-BOTT_A3),0),IF($A1389&gt;BOTT_A2,ROUND(BASE_A2+RATE_A2*($A1389-BOTT_A2),0),ROUND(RATE_A1*$A1389,0))))</f>
        <v/>
      </c>
      <c r="E1389" s="556">
        <f>IF($A1389&gt;BOTT_B4,ROUND(BASE_B4+RATE_B4*($A1389-BOTT_B4),0),IF($A1389&gt;BOTT_B3,ROUND(BASE_B3+RATE_B3*($A1389-BOTT_B3),0),IF($A1389&gt;BOTT_B2,ROUND(BASE_B2+RATE_B2*($A1389-BOTT_B2),0),ROUND(RATE_B1*$A1389,0))))</f>
        <v/>
      </c>
      <c r="F1389" s="556">
        <f>IF($A1389&gt;BOTT_C4,ROUND(BASE_C4+RATE_C4*($A1389-BOTT_C4),0),IF($A1389&gt;BOTT_C3,ROUND(BASE_C3+RATE_C3*($A1389-BOTT_C3),0),IF($A1389&gt;BOTT_C2,ROUND(BASE_C2+RATE_C2*($A1389-BOTT_C2),0),ROUND(RATE_C1*$A1389,0))))</f>
        <v/>
      </c>
      <c r="G1389" s="556">
        <f>IF($A1389&gt;BOTT_D4,ROUND(BASE_D4+RATE_D4*($A1389-BOTT_D4),0),IF($A1389&gt;BOTT_D3,ROUND(BASE_D3+RATE_D3*($A1389-BOTT_D3),0),IF($A1389&gt;BOTT_D2,ROUND(BASE_D2+RATE_D2*($A1389-BOTT_D2),0),ROUND(RATE_D1*$A1389,0))))</f>
        <v/>
      </c>
    </row>
    <row r="1390" ht="15.75" customHeight="1" s="7635">
      <c r="A1390" s="625">
        <f>AVERAGE(B1390,C1390)</f>
        <v/>
      </c>
      <c r="B1390" s="555" t="n">
        <v>66300</v>
      </c>
      <c r="C1390" s="555" t="n">
        <v>66350</v>
      </c>
      <c r="D1390" s="556">
        <f>IF($A1390&gt;BOTT_A4,ROUND(BASE_A4+RATE_A4*($A1390-BOTT_A4),0),IF($A1390&gt;BOTT_A3,ROUND(BASE_A3+RATE_A3*($A1390-BOTT_A3),0),IF($A1390&gt;BOTT_A2,ROUND(BASE_A2+RATE_A2*($A1390-BOTT_A2),0),ROUND(RATE_A1*$A1390,0))))</f>
        <v/>
      </c>
      <c r="E1390" s="556">
        <f>IF($A1390&gt;BOTT_B4,ROUND(BASE_B4+RATE_B4*($A1390-BOTT_B4),0),IF($A1390&gt;BOTT_B3,ROUND(BASE_B3+RATE_B3*($A1390-BOTT_B3),0),IF($A1390&gt;BOTT_B2,ROUND(BASE_B2+RATE_B2*($A1390-BOTT_B2),0),ROUND(RATE_B1*$A1390,0))))</f>
        <v/>
      </c>
      <c r="F1390" s="556">
        <f>IF($A1390&gt;BOTT_C4,ROUND(BASE_C4+RATE_C4*($A1390-BOTT_C4),0),IF($A1390&gt;BOTT_C3,ROUND(BASE_C3+RATE_C3*($A1390-BOTT_C3),0),IF($A1390&gt;BOTT_C2,ROUND(BASE_C2+RATE_C2*($A1390-BOTT_C2),0),ROUND(RATE_C1*$A1390,0))))</f>
        <v/>
      </c>
      <c r="G1390" s="556">
        <f>IF($A1390&gt;BOTT_D4,ROUND(BASE_D4+RATE_D4*($A1390-BOTT_D4),0),IF($A1390&gt;BOTT_D3,ROUND(BASE_D3+RATE_D3*($A1390-BOTT_D3),0),IF($A1390&gt;BOTT_D2,ROUND(BASE_D2+RATE_D2*($A1390-BOTT_D2),0),ROUND(RATE_D1*$A1390,0))))</f>
        <v/>
      </c>
    </row>
    <row r="1391" ht="15.75" customHeight="1" s="7635">
      <c r="A1391" s="625">
        <f>AVERAGE(B1391,C1391)</f>
        <v/>
      </c>
      <c r="B1391" s="555" t="n">
        <v>66350</v>
      </c>
      <c r="C1391" s="555" t="n">
        <v>66400</v>
      </c>
      <c r="D1391" s="556">
        <f>IF($A1391&gt;BOTT_A4,ROUND(BASE_A4+RATE_A4*($A1391-BOTT_A4),0),IF($A1391&gt;BOTT_A3,ROUND(BASE_A3+RATE_A3*($A1391-BOTT_A3),0),IF($A1391&gt;BOTT_A2,ROUND(BASE_A2+RATE_A2*($A1391-BOTT_A2),0),ROUND(RATE_A1*$A1391,0))))</f>
        <v/>
      </c>
      <c r="E1391" s="556">
        <f>IF($A1391&gt;BOTT_B4,ROUND(BASE_B4+RATE_B4*($A1391-BOTT_B4),0),IF($A1391&gt;BOTT_B3,ROUND(BASE_B3+RATE_B3*($A1391-BOTT_B3),0),IF($A1391&gt;BOTT_B2,ROUND(BASE_B2+RATE_B2*($A1391-BOTT_B2),0),ROUND(RATE_B1*$A1391,0))))</f>
        <v/>
      </c>
      <c r="F1391" s="556">
        <f>IF($A1391&gt;BOTT_C4,ROUND(BASE_C4+RATE_C4*($A1391-BOTT_C4),0),IF($A1391&gt;BOTT_C3,ROUND(BASE_C3+RATE_C3*($A1391-BOTT_C3),0),IF($A1391&gt;BOTT_C2,ROUND(BASE_C2+RATE_C2*($A1391-BOTT_C2),0),ROUND(RATE_C1*$A1391,0))))</f>
        <v/>
      </c>
      <c r="G1391" s="556">
        <f>IF($A1391&gt;BOTT_D4,ROUND(BASE_D4+RATE_D4*($A1391-BOTT_D4),0),IF($A1391&gt;BOTT_D3,ROUND(BASE_D3+RATE_D3*($A1391-BOTT_D3),0),IF($A1391&gt;BOTT_D2,ROUND(BASE_D2+RATE_D2*($A1391-BOTT_D2),0),ROUND(RATE_D1*$A1391,0))))</f>
        <v/>
      </c>
    </row>
    <row r="1392" ht="15.75" customHeight="1" s="7635">
      <c r="A1392" s="625">
        <f>AVERAGE(B1392,C1392)</f>
        <v/>
      </c>
      <c r="B1392" s="555" t="n">
        <v>66400</v>
      </c>
      <c r="C1392" s="555" t="n">
        <v>66450</v>
      </c>
      <c r="D1392" s="556">
        <f>IF($A1392&gt;BOTT_A4,ROUND(BASE_A4+RATE_A4*($A1392-BOTT_A4),0),IF($A1392&gt;BOTT_A3,ROUND(BASE_A3+RATE_A3*($A1392-BOTT_A3),0),IF($A1392&gt;BOTT_A2,ROUND(BASE_A2+RATE_A2*($A1392-BOTT_A2),0),ROUND(RATE_A1*$A1392,0))))</f>
        <v/>
      </c>
      <c r="E1392" s="556">
        <f>IF($A1392&gt;BOTT_B4,ROUND(BASE_B4+RATE_B4*($A1392-BOTT_B4),0),IF($A1392&gt;BOTT_B3,ROUND(BASE_B3+RATE_B3*($A1392-BOTT_B3),0),IF($A1392&gt;BOTT_B2,ROUND(BASE_B2+RATE_B2*($A1392-BOTT_B2),0),ROUND(RATE_B1*$A1392,0))))</f>
        <v/>
      </c>
      <c r="F1392" s="556">
        <f>IF($A1392&gt;BOTT_C4,ROUND(BASE_C4+RATE_C4*($A1392-BOTT_C4),0),IF($A1392&gt;BOTT_C3,ROUND(BASE_C3+RATE_C3*($A1392-BOTT_C3),0),IF($A1392&gt;BOTT_C2,ROUND(BASE_C2+RATE_C2*($A1392-BOTT_C2),0),ROUND(RATE_C1*$A1392,0))))</f>
        <v/>
      </c>
      <c r="G1392" s="556">
        <f>IF($A1392&gt;BOTT_D4,ROUND(BASE_D4+RATE_D4*($A1392-BOTT_D4),0),IF($A1392&gt;BOTT_D3,ROUND(BASE_D3+RATE_D3*($A1392-BOTT_D3),0),IF($A1392&gt;BOTT_D2,ROUND(BASE_D2+RATE_D2*($A1392-BOTT_D2),0),ROUND(RATE_D1*$A1392,0))))</f>
        <v/>
      </c>
    </row>
    <row r="1393" ht="15.75" customHeight="1" s="7635">
      <c r="A1393" s="625">
        <f>AVERAGE(B1393,C1393)</f>
        <v/>
      </c>
      <c r="B1393" s="555" t="n">
        <v>66450</v>
      </c>
      <c r="C1393" s="555" t="n">
        <v>66500</v>
      </c>
      <c r="D1393" s="556">
        <f>IF($A1393&gt;BOTT_A4,ROUND(BASE_A4+RATE_A4*($A1393-BOTT_A4),0),IF($A1393&gt;BOTT_A3,ROUND(BASE_A3+RATE_A3*($A1393-BOTT_A3),0),IF($A1393&gt;BOTT_A2,ROUND(BASE_A2+RATE_A2*($A1393-BOTT_A2),0),ROUND(RATE_A1*$A1393,0))))</f>
        <v/>
      </c>
      <c r="E1393" s="556">
        <f>IF($A1393&gt;BOTT_B4,ROUND(BASE_B4+RATE_B4*($A1393-BOTT_B4),0),IF($A1393&gt;BOTT_B3,ROUND(BASE_B3+RATE_B3*($A1393-BOTT_B3),0),IF($A1393&gt;BOTT_B2,ROUND(BASE_B2+RATE_B2*($A1393-BOTT_B2),0),ROUND(RATE_B1*$A1393,0))))</f>
        <v/>
      </c>
      <c r="F1393" s="556">
        <f>IF($A1393&gt;BOTT_C4,ROUND(BASE_C4+RATE_C4*($A1393-BOTT_C4),0),IF($A1393&gt;BOTT_C3,ROUND(BASE_C3+RATE_C3*($A1393-BOTT_C3),0),IF($A1393&gt;BOTT_C2,ROUND(BASE_C2+RATE_C2*($A1393-BOTT_C2),0),ROUND(RATE_C1*$A1393,0))))</f>
        <v/>
      </c>
      <c r="G1393" s="556">
        <f>IF($A1393&gt;BOTT_D4,ROUND(BASE_D4+RATE_D4*($A1393-BOTT_D4),0),IF($A1393&gt;BOTT_D3,ROUND(BASE_D3+RATE_D3*($A1393-BOTT_D3),0),IF($A1393&gt;BOTT_D2,ROUND(BASE_D2+RATE_D2*($A1393-BOTT_D2),0),ROUND(RATE_D1*$A1393,0))))</f>
        <v/>
      </c>
    </row>
    <row r="1394" ht="15.75" customHeight="1" s="7635">
      <c r="A1394" s="625">
        <f>AVERAGE(B1394,C1394)</f>
        <v/>
      </c>
      <c r="B1394" s="555" t="n">
        <v>66500</v>
      </c>
      <c r="C1394" s="555" t="n">
        <v>66550</v>
      </c>
      <c r="D1394" s="556">
        <f>IF($A1394&gt;BOTT_A4,ROUND(BASE_A4+RATE_A4*($A1394-BOTT_A4),0),IF($A1394&gt;BOTT_A3,ROUND(BASE_A3+RATE_A3*($A1394-BOTT_A3),0),IF($A1394&gt;BOTT_A2,ROUND(BASE_A2+RATE_A2*($A1394-BOTT_A2),0),ROUND(RATE_A1*$A1394,0))))</f>
        <v/>
      </c>
      <c r="E1394" s="556">
        <f>IF($A1394&gt;BOTT_B4,ROUND(BASE_B4+RATE_B4*($A1394-BOTT_B4),0),IF($A1394&gt;BOTT_B3,ROUND(BASE_B3+RATE_B3*($A1394-BOTT_B3),0),IF($A1394&gt;BOTT_B2,ROUND(BASE_B2+RATE_B2*($A1394-BOTT_B2),0),ROUND(RATE_B1*$A1394,0))))</f>
        <v/>
      </c>
      <c r="F1394" s="556">
        <f>IF($A1394&gt;BOTT_C4,ROUND(BASE_C4+RATE_C4*($A1394-BOTT_C4),0),IF($A1394&gt;BOTT_C3,ROUND(BASE_C3+RATE_C3*($A1394-BOTT_C3),0),IF($A1394&gt;BOTT_C2,ROUND(BASE_C2+RATE_C2*($A1394-BOTT_C2),0),ROUND(RATE_C1*$A1394,0))))</f>
        <v/>
      </c>
      <c r="G1394" s="556">
        <f>IF($A1394&gt;BOTT_D4,ROUND(BASE_D4+RATE_D4*($A1394-BOTT_D4),0),IF($A1394&gt;BOTT_D3,ROUND(BASE_D3+RATE_D3*($A1394-BOTT_D3),0),IF($A1394&gt;BOTT_D2,ROUND(BASE_D2+RATE_D2*($A1394-BOTT_D2),0),ROUND(RATE_D1*$A1394,0))))</f>
        <v/>
      </c>
    </row>
    <row r="1395" ht="15.75" customHeight="1" s="7635">
      <c r="A1395" s="625">
        <f>AVERAGE(B1395,C1395)</f>
        <v/>
      </c>
      <c r="B1395" s="555" t="n">
        <v>66550</v>
      </c>
      <c r="C1395" s="555" t="n">
        <v>66600</v>
      </c>
      <c r="D1395" s="556">
        <f>IF($A1395&gt;BOTT_A4,ROUND(BASE_A4+RATE_A4*($A1395-BOTT_A4),0),IF($A1395&gt;BOTT_A3,ROUND(BASE_A3+RATE_A3*($A1395-BOTT_A3),0),IF($A1395&gt;BOTT_A2,ROUND(BASE_A2+RATE_A2*($A1395-BOTT_A2),0),ROUND(RATE_A1*$A1395,0))))</f>
        <v/>
      </c>
      <c r="E1395" s="556">
        <f>IF($A1395&gt;BOTT_B4,ROUND(BASE_B4+RATE_B4*($A1395-BOTT_B4),0),IF($A1395&gt;BOTT_B3,ROUND(BASE_B3+RATE_B3*($A1395-BOTT_B3),0),IF($A1395&gt;BOTT_B2,ROUND(BASE_B2+RATE_B2*($A1395-BOTT_B2),0),ROUND(RATE_B1*$A1395,0))))</f>
        <v/>
      </c>
      <c r="F1395" s="556">
        <f>IF($A1395&gt;BOTT_C4,ROUND(BASE_C4+RATE_C4*($A1395-BOTT_C4),0),IF($A1395&gt;BOTT_C3,ROUND(BASE_C3+RATE_C3*($A1395-BOTT_C3),0),IF($A1395&gt;BOTT_C2,ROUND(BASE_C2+RATE_C2*($A1395-BOTT_C2),0),ROUND(RATE_C1*$A1395,0))))</f>
        <v/>
      </c>
      <c r="G1395" s="556">
        <f>IF($A1395&gt;BOTT_D4,ROUND(BASE_D4+RATE_D4*($A1395-BOTT_D4),0),IF($A1395&gt;BOTT_D3,ROUND(BASE_D3+RATE_D3*($A1395-BOTT_D3),0),IF($A1395&gt;BOTT_D2,ROUND(BASE_D2+RATE_D2*($A1395-BOTT_D2),0),ROUND(RATE_D1*$A1395,0))))</f>
        <v/>
      </c>
    </row>
    <row r="1396" ht="15.75" customHeight="1" s="7635">
      <c r="A1396" s="625">
        <f>AVERAGE(B1396,C1396)</f>
        <v/>
      </c>
      <c r="B1396" s="555" t="n">
        <v>66600</v>
      </c>
      <c r="C1396" s="555" t="n">
        <v>66650</v>
      </c>
      <c r="D1396" s="556">
        <f>IF($A1396&gt;BOTT_A4,ROUND(BASE_A4+RATE_A4*($A1396-BOTT_A4),0),IF($A1396&gt;BOTT_A3,ROUND(BASE_A3+RATE_A3*($A1396-BOTT_A3),0),IF($A1396&gt;BOTT_A2,ROUND(BASE_A2+RATE_A2*($A1396-BOTT_A2),0),ROUND(RATE_A1*$A1396,0))))</f>
        <v/>
      </c>
      <c r="E1396" s="556">
        <f>IF($A1396&gt;BOTT_B4,ROUND(BASE_B4+RATE_B4*($A1396-BOTT_B4),0),IF($A1396&gt;BOTT_B3,ROUND(BASE_B3+RATE_B3*($A1396-BOTT_B3),0),IF($A1396&gt;BOTT_B2,ROUND(BASE_B2+RATE_B2*($A1396-BOTT_B2),0),ROUND(RATE_B1*$A1396,0))))</f>
        <v/>
      </c>
      <c r="F1396" s="556">
        <f>IF($A1396&gt;BOTT_C4,ROUND(BASE_C4+RATE_C4*($A1396-BOTT_C4),0),IF($A1396&gt;BOTT_C3,ROUND(BASE_C3+RATE_C3*($A1396-BOTT_C3),0),IF($A1396&gt;BOTT_C2,ROUND(BASE_C2+RATE_C2*($A1396-BOTT_C2),0),ROUND(RATE_C1*$A1396,0))))</f>
        <v/>
      </c>
      <c r="G1396" s="556">
        <f>IF($A1396&gt;BOTT_D4,ROUND(BASE_D4+RATE_D4*($A1396-BOTT_D4),0),IF($A1396&gt;BOTT_D3,ROUND(BASE_D3+RATE_D3*($A1396-BOTT_D3),0),IF($A1396&gt;BOTT_D2,ROUND(BASE_D2+RATE_D2*($A1396-BOTT_D2),0),ROUND(RATE_D1*$A1396,0))))</f>
        <v/>
      </c>
    </row>
    <row r="1397" ht="15.75" customHeight="1" s="7635">
      <c r="A1397" s="625">
        <f>AVERAGE(B1397,C1397)</f>
        <v/>
      </c>
      <c r="B1397" s="555" t="n">
        <v>66650</v>
      </c>
      <c r="C1397" s="555" t="n">
        <v>66700</v>
      </c>
      <c r="D1397" s="556">
        <f>IF($A1397&gt;BOTT_A4,ROUND(BASE_A4+RATE_A4*($A1397-BOTT_A4),0),IF($A1397&gt;BOTT_A3,ROUND(BASE_A3+RATE_A3*($A1397-BOTT_A3),0),IF($A1397&gt;BOTT_A2,ROUND(BASE_A2+RATE_A2*($A1397-BOTT_A2),0),ROUND(RATE_A1*$A1397,0))))</f>
        <v/>
      </c>
      <c r="E1397" s="556">
        <f>IF($A1397&gt;BOTT_B4,ROUND(BASE_B4+RATE_B4*($A1397-BOTT_B4),0),IF($A1397&gt;BOTT_B3,ROUND(BASE_B3+RATE_B3*($A1397-BOTT_B3),0),IF($A1397&gt;BOTT_B2,ROUND(BASE_B2+RATE_B2*($A1397-BOTT_B2),0),ROUND(RATE_B1*$A1397,0))))</f>
        <v/>
      </c>
      <c r="F1397" s="556">
        <f>IF($A1397&gt;BOTT_C4,ROUND(BASE_C4+RATE_C4*($A1397-BOTT_C4),0),IF($A1397&gt;BOTT_C3,ROUND(BASE_C3+RATE_C3*($A1397-BOTT_C3),0),IF($A1397&gt;BOTT_C2,ROUND(BASE_C2+RATE_C2*($A1397-BOTT_C2),0),ROUND(RATE_C1*$A1397,0))))</f>
        <v/>
      </c>
      <c r="G1397" s="556">
        <f>IF($A1397&gt;BOTT_D4,ROUND(BASE_D4+RATE_D4*($A1397-BOTT_D4),0),IF($A1397&gt;BOTT_D3,ROUND(BASE_D3+RATE_D3*($A1397-BOTT_D3),0),IF($A1397&gt;BOTT_D2,ROUND(BASE_D2+RATE_D2*($A1397-BOTT_D2),0),ROUND(RATE_D1*$A1397,0))))</f>
        <v/>
      </c>
    </row>
    <row r="1398" ht="15.75" customHeight="1" s="7635">
      <c r="A1398" s="625">
        <f>AVERAGE(B1398,C1398)</f>
        <v/>
      </c>
      <c r="B1398" s="555" t="n">
        <v>66700</v>
      </c>
      <c r="C1398" s="555" t="n">
        <v>66750</v>
      </c>
      <c r="D1398" s="556">
        <f>IF($A1398&gt;BOTT_A4,ROUND(BASE_A4+RATE_A4*($A1398-BOTT_A4),0),IF($A1398&gt;BOTT_A3,ROUND(BASE_A3+RATE_A3*($A1398-BOTT_A3),0),IF($A1398&gt;BOTT_A2,ROUND(BASE_A2+RATE_A2*($A1398-BOTT_A2),0),ROUND(RATE_A1*$A1398,0))))</f>
        <v/>
      </c>
      <c r="E1398" s="556">
        <f>IF($A1398&gt;BOTT_B4,ROUND(BASE_B4+RATE_B4*($A1398-BOTT_B4),0),IF($A1398&gt;BOTT_B3,ROUND(BASE_B3+RATE_B3*($A1398-BOTT_B3),0),IF($A1398&gt;BOTT_B2,ROUND(BASE_B2+RATE_B2*($A1398-BOTT_B2),0),ROUND(RATE_B1*$A1398,0))))</f>
        <v/>
      </c>
      <c r="F1398" s="556">
        <f>IF($A1398&gt;BOTT_C4,ROUND(BASE_C4+RATE_C4*($A1398-BOTT_C4),0),IF($A1398&gt;BOTT_C3,ROUND(BASE_C3+RATE_C3*($A1398-BOTT_C3),0),IF($A1398&gt;BOTT_C2,ROUND(BASE_C2+RATE_C2*($A1398-BOTT_C2),0),ROUND(RATE_C1*$A1398,0))))</f>
        <v/>
      </c>
      <c r="G1398" s="556">
        <f>IF($A1398&gt;BOTT_D4,ROUND(BASE_D4+RATE_D4*($A1398-BOTT_D4),0),IF($A1398&gt;BOTT_D3,ROUND(BASE_D3+RATE_D3*($A1398-BOTT_D3),0),IF($A1398&gt;BOTT_D2,ROUND(BASE_D2+RATE_D2*($A1398-BOTT_D2),0),ROUND(RATE_D1*$A1398,0))))</f>
        <v/>
      </c>
    </row>
    <row r="1399" ht="15.75" customHeight="1" s="7635">
      <c r="A1399" s="625">
        <f>AVERAGE(B1399,C1399)</f>
        <v/>
      </c>
      <c r="B1399" s="555" t="n">
        <v>66750</v>
      </c>
      <c r="C1399" s="555" t="n">
        <v>66800</v>
      </c>
      <c r="D1399" s="556">
        <f>IF($A1399&gt;BOTT_A4,ROUND(BASE_A4+RATE_A4*($A1399-BOTT_A4),0),IF($A1399&gt;BOTT_A3,ROUND(BASE_A3+RATE_A3*($A1399-BOTT_A3),0),IF($A1399&gt;BOTT_A2,ROUND(BASE_A2+RATE_A2*($A1399-BOTT_A2),0),ROUND(RATE_A1*$A1399,0))))</f>
        <v/>
      </c>
      <c r="E1399" s="556">
        <f>IF($A1399&gt;BOTT_B4,ROUND(BASE_B4+RATE_B4*($A1399-BOTT_B4),0),IF($A1399&gt;BOTT_B3,ROUND(BASE_B3+RATE_B3*($A1399-BOTT_B3),0),IF($A1399&gt;BOTT_B2,ROUND(BASE_B2+RATE_B2*($A1399-BOTT_B2),0),ROUND(RATE_B1*$A1399,0))))</f>
        <v/>
      </c>
      <c r="F1399" s="556">
        <f>IF($A1399&gt;BOTT_C4,ROUND(BASE_C4+RATE_C4*($A1399-BOTT_C4),0),IF($A1399&gt;BOTT_C3,ROUND(BASE_C3+RATE_C3*($A1399-BOTT_C3),0),IF($A1399&gt;BOTT_C2,ROUND(BASE_C2+RATE_C2*($A1399-BOTT_C2),0),ROUND(RATE_C1*$A1399,0))))</f>
        <v/>
      </c>
      <c r="G1399" s="556">
        <f>IF($A1399&gt;BOTT_D4,ROUND(BASE_D4+RATE_D4*($A1399-BOTT_D4),0),IF($A1399&gt;BOTT_D3,ROUND(BASE_D3+RATE_D3*($A1399-BOTT_D3),0),IF($A1399&gt;BOTT_D2,ROUND(BASE_D2+RATE_D2*($A1399-BOTT_D2),0),ROUND(RATE_D1*$A1399,0))))</f>
        <v/>
      </c>
    </row>
    <row r="1400" ht="15.75" customHeight="1" s="7635">
      <c r="A1400" s="625">
        <f>AVERAGE(B1400,C1400)</f>
        <v/>
      </c>
      <c r="B1400" s="555" t="n">
        <v>66800</v>
      </c>
      <c r="C1400" s="555" t="n">
        <v>66850</v>
      </c>
      <c r="D1400" s="556">
        <f>IF($A1400&gt;BOTT_A4,ROUND(BASE_A4+RATE_A4*($A1400-BOTT_A4),0),IF($A1400&gt;BOTT_A3,ROUND(BASE_A3+RATE_A3*($A1400-BOTT_A3),0),IF($A1400&gt;BOTT_A2,ROUND(BASE_A2+RATE_A2*($A1400-BOTT_A2),0),ROUND(RATE_A1*$A1400,0))))</f>
        <v/>
      </c>
      <c r="E1400" s="556">
        <f>IF($A1400&gt;BOTT_B4,ROUND(BASE_B4+RATE_B4*($A1400-BOTT_B4),0),IF($A1400&gt;BOTT_B3,ROUND(BASE_B3+RATE_B3*($A1400-BOTT_B3),0),IF($A1400&gt;BOTT_B2,ROUND(BASE_B2+RATE_B2*($A1400-BOTT_B2),0),ROUND(RATE_B1*$A1400,0))))</f>
        <v/>
      </c>
      <c r="F1400" s="556">
        <f>IF($A1400&gt;BOTT_C4,ROUND(BASE_C4+RATE_C4*($A1400-BOTT_C4),0),IF($A1400&gt;BOTT_C3,ROUND(BASE_C3+RATE_C3*($A1400-BOTT_C3),0),IF($A1400&gt;BOTT_C2,ROUND(BASE_C2+RATE_C2*($A1400-BOTT_C2),0),ROUND(RATE_C1*$A1400,0))))</f>
        <v/>
      </c>
      <c r="G1400" s="556">
        <f>IF($A1400&gt;BOTT_D4,ROUND(BASE_D4+RATE_D4*($A1400-BOTT_D4),0),IF($A1400&gt;BOTT_D3,ROUND(BASE_D3+RATE_D3*($A1400-BOTT_D3),0),IF($A1400&gt;BOTT_D2,ROUND(BASE_D2+RATE_D2*($A1400-BOTT_D2),0),ROUND(RATE_D1*$A1400,0))))</f>
        <v/>
      </c>
    </row>
    <row r="1401" ht="15.75" customHeight="1" s="7635">
      <c r="A1401" s="625">
        <f>AVERAGE(B1401,C1401)</f>
        <v/>
      </c>
      <c r="B1401" s="555" t="n">
        <v>66850</v>
      </c>
      <c r="C1401" s="555" t="n">
        <v>66900</v>
      </c>
      <c r="D1401" s="556">
        <f>IF($A1401&gt;BOTT_A4,ROUND(BASE_A4+RATE_A4*($A1401-BOTT_A4),0),IF($A1401&gt;BOTT_A3,ROUND(BASE_A3+RATE_A3*($A1401-BOTT_A3),0),IF($A1401&gt;BOTT_A2,ROUND(BASE_A2+RATE_A2*($A1401-BOTT_A2),0),ROUND(RATE_A1*$A1401,0))))</f>
        <v/>
      </c>
      <c r="E1401" s="556">
        <f>IF($A1401&gt;BOTT_B4,ROUND(BASE_B4+RATE_B4*($A1401-BOTT_B4),0),IF($A1401&gt;BOTT_B3,ROUND(BASE_B3+RATE_B3*($A1401-BOTT_B3),0),IF($A1401&gt;BOTT_B2,ROUND(BASE_B2+RATE_B2*($A1401-BOTT_B2),0),ROUND(RATE_B1*$A1401,0))))</f>
        <v/>
      </c>
      <c r="F1401" s="556">
        <f>IF($A1401&gt;BOTT_C4,ROUND(BASE_C4+RATE_C4*($A1401-BOTT_C4),0),IF($A1401&gt;BOTT_C3,ROUND(BASE_C3+RATE_C3*($A1401-BOTT_C3),0),IF($A1401&gt;BOTT_C2,ROUND(BASE_C2+RATE_C2*($A1401-BOTT_C2),0),ROUND(RATE_C1*$A1401,0))))</f>
        <v/>
      </c>
      <c r="G1401" s="556">
        <f>IF($A1401&gt;BOTT_D4,ROUND(BASE_D4+RATE_D4*($A1401-BOTT_D4),0),IF($A1401&gt;BOTT_D3,ROUND(BASE_D3+RATE_D3*($A1401-BOTT_D3),0),IF($A1401&gt;BOTT_D2,ROUND(BASE_D2+RATE_D2*($A1401-BOTT_D2),0),ROUND(RATE_D1*$A1401,0))))</f>
        <v/>
      </c>
    </row>
    <row r="1402" ht="15.75" customHeight="1" s="7635">
      <c r="A1402" s="625">
        <f>AVERAGE(B1402,C1402)</f>
        <v/>
      </c>
      <c r="B1402" s="555" t="n">
        <v>66900</v>
      </c>
      <c r="C1402" s="555" t="n">
        <v>66950</v>
      </c>
      <c r="D1402" s="556">
        <f>IF($A1402&gt;BOTT_A4,ROUND(BASE_A4+RATE_A4*($A1402-BOTT_A4),0),IF($A1402&gt;BOTT_A3,ROUND(BASE_A3+RATE_A3*($A1402-BOTT_A3),0),IF($A1402&gt;BOTT_A2,ROUND(BASE_A2+RATE_A2*($A1402-BOTT_A2),0),ROUND(RATE_A1*$A1402,0))))</f>
        <v/>
      </c>
      <c r="E1402" s="556">
        <f>IF($A1402&gt;BOTT_B4,ROUND(BASE_B4+RATE_B4*($A1402-BOTT_B4),0),IF($A1402&gt;BOTT_B3,ROUND(BASE_B3+RATE_B3*($A1402-BOTT_B3),0),IF($A1402&gt;BOTT_B2,ROUND(BASE_B2+RATE_B2*($A1402-BOTT_B2),0),ROUND(RATE_B1*$A1402,0))))</f>
        <v/>
      </c>
      <c r="F1402" s="556">
        <f>IF($A1402&gt;BOTT_C4,ROUND(BASE_C4+RATE_C4*($A1402-BOTT_C4),0),IF($A1402&gt;BOTT_C3,ROUND(BASE_C3+RATE_C3*($A1402-BOTT_C3),0),IF($A1402&gt;BOTT_C2,ROUND(BASE_C2+RATE_C2*($A1402-BOTT_C2),0),ROUND(RATE_C1*$A1402,0))))</f>
        <v/>
      </c>
      <c r="G1402" s="556">
        <f>IF($A1402&gt;BOTT_D4,ROUND(BASE_D4+RATE_D4*($A1402-BOTT_D4),0),IF($A1402&gt;BOTT_D3,ROUND(BASE_D3+RATE_D3*($A1402-BOTT_D3),0),IF($A1402&gt;BOTT_D2,ROUND(BASE_D2+RATE_D2*($A1402-BOTT_D2),0),ROUND(RATE_D1*$A1402,0))))</f>
        <v/>
      </c>
    </row>
    <row r="1403" ht="15.75" customHeight="1" s="7635">
      <c r="A1403" s="625">
        <f>AVERAGE(B1403,C1403)</f>
        <v/>
      </c>
      <c r="B1403" s="555" t="n">
        <v>66950</v>
      </c>
      <c r="C1403" s="555" t="n">
        <v>67000</v>
      </c>
      <c r="D1403" s="556">
        <f>IF($A1403&gt;BOTT_A4,ROUND(BASE_A4+RATE_A4*($A1403-BOTT_A4),0),IF($A1403&gt;BOTT_A3,ROUND(BASE_A3+RATE_A3*($A1403-BOTT_A3),0),IF($A1403&gt;BOTT_A2,ROUND(BASE_A2+RATE_A2*($A1403-BOTT_A2),0),ROUND(RATE_A1*$A1403,0))))</f>
        <v/>
      </c>
      <c r="E1403" s="556">
        <f>IF($A1403&gt;BOTT_B4,ROUND(BASE_B4+RATE_B4*($A1403-BOTT_B4),0),IF($A1403&gt;BOTT_B3,ROUND(BASE_B3+RATE_B3*($A1403-BOTT_B3),0),IF($A1403&gt;BOTT_B2,ROUND(BASE_B2+RATE_B2*($A1403-BOTT_B2),0),ROUND(RATE_B1*$A1403,0))))</f>
        <v/>
      </c>
      <c r="F1403" s="556">
        <f>IF($A1403&gt;BOTT_C4,ROUND(BASE_C4+RATE_C4*($A1403-BOTT_C4),0),IF($A1403&gt;BOTT_C3,ROUND(BASE_C3+RATE_C3*($A1403-BOTT_C3),0),IF($A1403&gt;BOTT_C2,ROUND(BASE_C2+RATE_C2*($A1403-BOTT_C2),0),ROUND(RATE_C1*$A1403,0))))</f>
        <v/>
      </c>
      <c r="G1403" s="556">
        <f>IF($A1403&gt;BOTT_D4,ROUND(BASE_D4+RATE_D4*($A1403-BOTT_D4),0),IF($A1403&gt;BOTT_D3,ROUND(BASE_D3+RATE_D3*($A1403-BOTT_D3),0),IF($A1403&gt;BOTT_D2,ROUND(BASE_D2+RATE_D2*($A1403-BOTT_D2),0),ROUND(RATE_D1*$A1403,0))))</f>
        <v/>
      </c>
    </row>
    <row r="1404" ht="15.75" customHeight="1" s="7635">
      <c r="A1404" s="625">
        <f>AVERAGE(B1404,C1404)</f>
        <v/>
      </c>
      <c r="B1404" s="555" t="n">
        <v>67000</v>
      </c>
      <c r="C1404" s="555" t="n">
        <v>67050</v>
      </c>
      <c r="D1404" s="556">
        <f>IF($A1404&gt;BOTT_A4,ROUND(BASE_A4+RATE_A4*($A1404-BOTT_A4),0),IF($A1404&gt;BOTT_A3,ROUND(BASE_A3+RATE_A3*($A1404-BOTT_A3),0),IF($A1404&gt;BOTT_A2,ROUND(BASE_A2+RATE_A2*($A1404-BOTT_A2),0),ROUND(RATE_A1*$A1404,0))))</f>
        <v/>
      </c>
      <c r="E1404" s="556">
        <f>IF($A1404&gt;BOTT_B4,ROUND(BASE_B4+RATE_B4*($A1404-BOTT_B4),0),IF($A1404&gt;BOTT_B3,ROUND(BASE_B3+RATE_B3*($A1404-BOTT_B3),0),IF($A1404&gt;BOTT_B2,ROUND(BASE_B2+RATE_B2*($A1404-BOTT_B2),0),ROUND(RATE_B1*$A1404,0))))</f>
        <v/>
      </c>
      <c r="F1404" s="556">
        <f>IF($A1404&gt;BOTT_C4,ROUND(BASE_C4+RATE_C4*($A1404-BOTT_C4),0),IF($A1404&gt;BOTT_C3,ROUND(BASE_C3+RATE_C3*($A1404-BOTT_C3),0),IF($A1404&gt;BOTT_C2,ROUND(BASE_C2+RATE_C2*($A1404-BOTT_C2),0),ROUND(RATE_C1*$A1404,0))))</f>
        <v/>
      </c>
      <c r="G1404" s="556">
        <f>IF($A1404&gt;BOTT_D4,ROUND(BASE_D4+RATE_D4*($A1404-BOTT_D4),0),IF($A1404&gt;BOTT_D3,ROUND(BASE_D3+RATE_D3*($A1404-BOTT_D3),0),IF($A1404&gt;BOTT_D2,ROUND(BASE_D2+RATE_D2*($A1404-BOTT_D2),0),ROUND(RATE_D1*$A1404,0))))</f>
        <v/>
      </c>
    </row>
    <row r="1405" ht="15.75" customHeight="1" s="7635">
      <c r="A1405" s="625">
        <f>AVERAGE(B1405,C1405)</f>
        <v/>
      </c>
      <c r="B1405" s="555" t="n">
        <v>67050</v>
      </c>
      <c r="C1405" s="555" t="n">
        <v>67100</v>
      </c>
      <c r="D1405" s="556">
        <f>IF($A1405&gt;BOTT_A4,ROUND(BASE_A4+RATE_A4*($A1405-BOTT_A4),0),IF($A1405&gt;BOTT_A3,ROUND(BASE_A3+RATE_A3*($A1405-BOTT_A3),0),IF($A1405&gt;BOTT_A2,ROUND(BASE_A2+RATE_A2*($A1405-BOTT_A2),0),ROUND(RATE_A1*$A1405,0))))</f>
        <v/>
      </c>
      <c r="E1405" s="556">
        <f>IF($A1405&gt;BOTT_B4,ROUND(BASE_B4+RATE_B4*($A1405-BOTT_B4),0),IF($A1405&gt;BOTT_B3,ROUND(BASE_B3+RATE_B3*($A1405-BOTT_B3),0),IF($A1405&gt;BOTT_B2,ROUND(BASE_B2+RATE_B2*($A1405-BOTT_B2),0),ROUND(RATE_B1*$A1405,0))))</f>
        <v/>
      </c>
      <c r="F1405" s="556">
        <f>IF($A1405&gt;BOTT_C4,ROUND(BASE_C4+RATE_C4*($A1405-BOTT_C4),0),IF($A1405&gt;BOTT_C3,ROUND(BASE_C3+RATE_C3*($A1405-BOTT_C3),0),IF($A1405&gt;BOTT_C2,ROUND(BASE_C2+RATE_C2*($A1405-BOTT_C2),0),ROUND(RATE_C1*$A1405,0))))</f>
        <v/>
      </c>
      <c r="G1405" s="556">
        <f>IF($A1405&gt;BOTT_D4,ROUND(BASE_D4+RATE_D4*($A1405-BOTT_D4),0),IF($A1405&gt;BOTT_D3,ROUND(BASE_D3+RATE_D3*($A1405-BOTT_D3),0),IF($A1405&gt;BOTT_D2,ROUND(BASE_D2+RATE_D2*($A1405-BOTT_D2),0),ROUND(RATE_D1*$A1405,0))))</f>
        <v/>
      </c>
    </row>
    <row r="1406" ht="15.75" customHeight="1" s="7635">
      <c r="A1406" s="625">
        <f>AVERAGE(B1406,C1406)</f>
        <v/>
      </c>
      <c r="B1406" s="555" t="n">
        <v>67100</v>
      </c>
      <c r="C1406" s="555" t="n">
        <v>67150</v>
      </c>
      <c r="D1406" s="556">
        <f>IF($A1406&gt;BOTT_A4,ROUND(BASE_A4+RATE_A4*($A1406-BOTT_A4),0),IF($A1406&gt;BOTT_A3,ROUND(BASE_A3+RATE_A3*($A1406-BOTT_A3),0),IF($A1406&gt;BOTT_A2,ROUND(BASE_A2+RATE_A2*($A1406-BOTT_A2),0),ROUND(RATE_A1*$A1406,0))))</f>
        <v/>
      </c>
      <c r="E1406" s="556">
        <f>IF($A1406&gt;BOTT_B4,ROUND(BASE_B4+RATE_B4*($A1406-BOTT_B4),0),IF($A1406&gt;BOTT_B3,ROUND(BASE_B3+RATE_B3*($A1406-BOTT_B3),0),IF($A1406&gt;BOTT_B2,ROUND(BASE_B2+RATE_B2*($A1406-BOTT_B2),0),ROUND(RATE_B1*$A1406,0))))</f>
        <v/>
      </c>
      <c r="F1406" s="556">
        <f>IF($A1406&gt;BOTT_C4,ROUND(BASE_C4+RATE_C4*($A1406-BOTT_C4),0),IF($A1406&gt;BOTT_C3,ROUND(BASE_C3+RATE_C3*($A1406-BOTT_C3),0),IF($A1406&gt;BOTT_C2,ROUND(BASE_C2+RATE_C2*($A1406-BOTT_C2),0),ROUND(RATE_C1*$A1406,0))))</f>
        <v/>
      </c>
      <c r="G1406" s="556">
        <f>IF($A1406&gt;BOTT_D4,ROUND(BASE_D4+RATE_D4*($A1406-BOTT_D4),0),IF($A1406&gt;BOTT_D3,ROUND(BASE_D3+RATE_D3*($A1406-BOTT_D3),0),IF($A1406&gt;BOTT_D2,ROUND(BASE_D2+RATE_D2*($A1406-BOTT_D2),0),ROUND(RATE_D1*$A1406,0))))</f>
        <v/>
      </c>
    </row>
    <row r="1407" ht="15.75" customHeight="1" s="7635">
      <c r="A1407" s="625">
        <f>AVERAGE(B1407,C1407)</f>
        <v/>
      </c>
      <c r="B1407" s="555" t="n">
        <v>67150</v>
      </c>
      <c r="C1407" s="555" t="n">
        <v>67200</v>
      </c>
      <c r="D1407" s="556">
        <f>IF($A1407&gt;BOTT_A4,ROUND(BASE_A4+RATE_A4*($A1407-BOTT_A4),0),IF($A1407&gt;BOTT_A3,ROUND(BASE_A3+RATE_A3*($A1407-BOTT_A3),0),IF($A1407&gt;BOTT_A2,ROUND(BASE_A2+RATE_A2*($A1407-BOTT_A2),0),ROUND(RATE_A1*$A1407,0))))</f>
        <v/>
      </c>
      <c r="E1407" s="556">
        <f>IF($A1407&gt;BOTT_B4,ROUND(BASE_B4+RATE_B4*($A1407-BOTT_B4),0),IF($A1407&gt;BOTT_B3,ROUND(BASE_B3+RATE_B3*($A1407-BOTT_B3),0),IF($A1407&gt;BOTT_B2,ROUND(BASE_B2+RATE_B2*($A1407-BOTT_B2),0),ROUND(RATE_B1*$A1407,0))))</f>
        <v/>
      </c>
      <c r="F1407" s="556">
        <f>IF($A1407&gt;BOTT_C4,ROUND(BASE_C4+RATE_C4*($A1407-BOTT_C4),0),IF($A1407&gt;BOTT_C3,ROUND(BASE_C3+RATE_C3*($A1407-BOTT_C3),0),IF($A1407&gt;BOTT_C2,ROUND(BASE_C2+RATE_C2*($A1407-BOTT_C2),0),ROUND(RATE_C1*$A1407,0))))</f>
        <v/>
      </c>
      <c r="G1407" s="556">
        <f>IF($A1407&gt;BOTT_D4,ROUND(BASE_D4+RATE_D4*($A1407-BOTT_D4),0),IF($A1407&gt;BOTT_D3,ROUND(BASE_D3+RATE_D3*($A1407-BOTT_D3),0),IF($A1407&gt;BOTT_D2,ROUND(BASE_D2+RATE_D2*($A1407-BOTT_D2),0),ROUND(RATE_D1*$A1407,0))))</f>
        <v/>
      </c>
    </row>
    <row r="1408" ht="15.75" customHeight="1" s="7635">
      <c r="A1408" s="625">
        <f>AVERAGE(B1408,C1408)</f>
        <v/>
      </c>
      <c r="B1408" s="555" t="n">
        <v>67200</v>
      </c>
      <c r="C1408" s="555" t="n">
        <v>67250</v>
      </c>
      <c r="D1408" s="556">
        <f>IF($A1408&gt;BOTT_A4,ROUND(BASE_A4+RATE_A4*($A1408-BOTT_A4),0),IF($A1408&gt;BOTT_A3,ROUND(BASE_A3+RATE_A3*($A1408-BOTT_A3),0),IF($A1408&gt;BOTT_A2,ROUND(BASE_A2+RATE_A2*($A1408-BOTT_A2),0),ROUND(RATE_A1*$A1408,0))))</f>
        <v/>
      </c>
      <c r="E1408" s="556">
        <f>IF($A1408&gt;BOTT_B4,ROUND(BASE_B4+RATE_B4*($A1408-BOTT_B4),0),IF($A1408&gt;BOTT_B3,ROUND(BASE_B3+RATE_B3*($A1408-BOTT_B3),0),IF($A1408&gt;BOTT_B2,ROUND(BASE_B2+RATE_B2*($A1408-BOTT_B2),0),ROUND(RATE_B1*$A1408,0))))</f>
        <v/>
      </c>
      <c r="F1408" s="556">
        <f>IF($A1408&gt;BOTT_C4,ROUND(BASE_C4+RATE_C4*($A1408-BOTT_C4),0),IF($A1408&gt;BOTT_C3,ROUND(BASE_C3+RATE_C3*($A1408-BOTT_C3),0),IF($A1408&gt;BOTT_C2,ROUND(BASE_C2+RATE_C2*($A1408-BOTT_C2),0),ROUND(RATE_C1*$A1408,0))))</f>
        <v/>
      </c>
      <c r="G1408" s="556">
        <f>IF($A1408&gt;BOTT_D4,ROUND(BASE_D4+RATE_D4*($A1408-BOTT_D4),0),IF($A1408&gt;BOTT_D3,ROUND(BASE_D3+RATE_D3*($A1408-BOTT_D3),0),IF($A1408&gt;BOTT_D2,ROUND(BASE_D2+RATE_D2*($A1408-BOTT_D2),0),ROUND(RATE_D1*$A1408,0))))</f>
        <v/>
      </c>
    </row>
    <row r="1409" ht="15.75" customHeight="1" s="7635">
      <c r="A1409" s="625">
        <f>AVERAGE(B1409,C1409)</f>
        <v/>
      </c>
      <c r="B1409" s="555" t="n">
        <v>67250</v>
      </c>
      <c r="C1409" s="555" t="n">
        <v>67300</v>
      </c>
      <c r="D1409" s="556">
        <f>IF($A1409&gt;BOTT_A4,ROUND(BASE_A4+RATE_A4*($A1409-BOTT_A4),0),IF($A1409&gt;BOTT_A3,ROUND(BASE_A3+RATE_A3*($A1409-BOTT_A3),0),IF($A1409&gt;BOTT_A2,ROUND(BASE_A2+RATE_A2*($A1409-BOTT_A2),0),ROUND(RATE_A1*$A1409,0))))</f>
        <v/>
      </c>
      <c r="E1409" s="556">
        <f>IF($A1409&gt;BOTT_B4,ROUND(BASE_B4+RATE_B4*($A1409-BOTT_B4),0),IF($A1409&gt;BOTT_B3,ROUND(BASE_B3+RATE_B3*($A1409-BOTT_B3),0),IF($A1409&gt;BOTT_B2,ROUND(BASE_B2+RATE_B2*($A1409-BOTT_B2),0),ROUND(RATE_B1*$A1409,0))))</f>
        <v/>
      </c>
      <c r="F1409" s="556">
        <f>IF($A1409&gt;BOTT_C4,ROUND(BASE_C4+RATE_C4*($A1409-BOTT_C4),0),IF($A1409&gt;BOTT_C3,ROUND(BASE_C3+RATE_C3*($A1409-BOTT_C3),0),IF($A1409&gt;BOTT_C2,ROUND(BASE_C2+RATE_C2*($A1409-BOTT_C2),0),ROUND(RATE_C1*$A1409,0))))</f>
        <v/>
      </c>
      <c r="G1409" s="556">
        <f>IF($A1409&gt;BOTT_D4,ROUND(BASE_D4+RATE_D4*($A1409-BOTT_D4),0),IF($A1409&gt;BOTT_D3,ROUND(BASE_D3+RATE_D3*($A1409-BOTT_D3),0),IF($A1409&gt;BOTT_D2,ROUND(BASE_D2+RATE_D2*($A1409-BOTT_D2),0),ROUND(RATE_D1*$A1409,0))))</f>
        <v/>
      </c>
    </row>
    <row r="1410" ht="15.75" customHeight="1" s="7635">
      <c r="A1410" s="625">
        <f>AVERAGE(B1410,C1410)</f>
        <v/>
      </c>
      <c r="B1410" s="555" t="n">
        <v>67300</v>
      </c>
      <c r="C1410" s="555" t="n">
        <v>67350</v>
      </c>
      <c r="D1410" s="556">
        <f>IF($A1410&gt;BOTT_A4,ROUND(BASE_A4+RATE_A4*($A1410-BOTT_A4),0),IF($A1410&gt;BOTT_A3,ROUND(BASE_A3+RATE_A3*($A1410-BOTT_A3),0),IF($A1410&gt;BOTT_A2,ROUND(BASE_A2+RATE_A2*($A1410-BOTT_A2),0),ROUND(RATE_A1*$A1410,0))))</f>
        <v/>
      </c>
      <c r="E1410" s="556">
        <f>IF($A1410&gt;BOTT_B4,ROUND(BASE_B4+RATE_B4*($A1410-BOTT_B4),0),IF($A1410&gt;BOTT_B3,ROUND(BASE_B3+RATE_B3*($A1410-BOTT_B3),0),IF($A1410&gt;BOTT_B2,ROUND(BASE_B2+RATE_B2*($A1410-BOTT_B2),0),ROUND(RATE_B1*$A1410,0))))</f>
        <v/>
      </c>
      <c r="F1410" s="556">
        <f>IF($A1410&gt;BOTT_C4,ROUND(BASE_C4+RATE_C4*($A1410-BOTT_C4),0),IF($A1410&gt;BOTT_C3,ROUND(BASE_C3+RATE_C3*($A1410-BOTT_C3),0),IF($A1410&gt;BOTT_C2,ROUND(BASE_C2+RATE_C2*($A1410-BOTT_C2),0),ROUND(RATE_C1*$A1410,0))))</f>
        <v/>
      </c>
      <c r="G1410" s="556">
        <f>IF($A1410&gt;BOTT_D4,ROUND(BASE_D4+RATE_D4*($A1410-BOTT_D4),0),IF($A1410&gt;BOTT_D3,ROUND(BASE_D3+RATE_D3*($A1410-BOTT_D3),0),IF($A1410&gt;BOTT_D2,ROUND(BASE_D2+RATE_D2*($A1410-BOTT_D2),0),ROUND(RATE_D1*$A1410,0))))</f>
        <v/>
      </c>
    </row>
    <row r="1411" ht="15.75" customHeight="1" s="7635">
      <c r="A1411" s="625">
        <f>AVERAGE(B1411,C1411)</f>
        <v/>
      </c>
      <c r="B1411" s="555" t="n">
        <v>67350</v>
      </c>
      <c r="C1411" s="555" t="n">
        <v>67400</v>
      </c>
      <c r="D1411" s="556">
        <f>IF($A1411&gt;BOTT_A4,ROUND(BASE_A4+RATE_A4*($A1411-BOTT_A4),0),IF($A1411&gt;BOTT_A3,ROUND(BASE_A3+RATE_A3*($A1411-BOTT_A3),0),IF($A1411&gt;BOTT_A2,ROUND(BASE_A2+RATE_A2*($A1411-BOTT_A2),0),ROUND(RATE_A1*$A1411,0))))</f>
        <v/>
      </c>
      <c r="E1411" s="556">
        <f>IF($A1411&gt;BOTT_B4,ROUND(BASE_B4+RATE_B4*($A1411-BOTT_B4),0),IF($A1411&gt;BOTT_B3,ROUND(BASE_B3+RATE_B3*($A1411-BOTT_B3),0),IF($A1411&gt;BOTT_B2,ROUND(BASE_B2+RATE_B2*($A1411-BOTT_B2),0),ROUND(RATE_B1*$A1411,0))))</f>
        <v/>
      </c>
      <c r="F1411" s="556">
        <f>IF($A1411&gt;BOTT_C4,ROUND(BASE_C4+RATE_C4*($A1411-BOTT_C4),0),IF($A1411&gt;BOTT_C3,ROUND(BASE_C3+RATE_C3*($A1411-BOTT_C3),0),IF($A1411&gt;BOTT_C2,ROUND(BASE_C2+RATE_C2*($A1411-BOTT_C2),0),ROUND(RATE_C1*$A1411,0))))</f>
        <v/>
      </c>
      <c r="G1411" s="556">
        <f>IF($A1411&gt;BOTT_D4,ROUND(BASE_D4+RATE_D4*($A1411-BOTT_D4),0),IF($A1411&gt;BOTT_D3,ROUND(BASE_D3+RATE_D3*($A1411-BOTT_D3),0),IF($A1411&gt;BOTT_D2,ROUND(BASE_D2+RATE_D2*($A1411-BOTT_D2),0),ROUND(RATE_D1*$A1411,0))))</f>
        <v/>
      </c>
    </row>
    <row r="1412" ht="15.75" customHeight="1" s="7635">
      <c r="A1412" s="625">
        <f>AVERAGE(B1412,C1412)</f>
        <v/>
      </c>
      <c r="B1412" s="555" t="n">
        <v>67400</v>
      </c>
      <c r="C1412" s="555" t="n">
        <v>67450</v>
      </c>
      <c r="D1412" s="556">
        <f>IF($A1412&gt;BOTT_A4,ROUND(BASE_A4+RATE_A4*($A1412-BOTT_A4),0),IF($A1412&gt;BOTT_A3,ROUND(BASE_A3+RATE_A3*($A1412-BOTT_A3),0),IF($A1412&gt;BOTT_A2,ROUND(BASE_A2+RATE_A2*($A1412-BOTT_A2),0),ROUND(RATE_A1*$A1412,0))))</f>
        <v/>
      </c>
      <c r="E1412" s="556">
        <f>IF($A1412&gt;BOTT_B4,ROUND(BASE_B4+RATE_B4*($A1412-BOTT_B4),0),IF($A1412&gt;BOTT_B3,ROUND(BASE_B3+RATE_B3*($A1412-BOTT_B3),0),IF($A1412&gt;BOTT_B2,ROUND(BASE_B2+RATE_B2*($A1412-BOTT_B2),0),ROUND(RATE_B1*$A1412,0))))</f>
        <v/>
      </c>
      <c r="F1412" s="556">
        <f>IF($A1412&gt;BOTT_C4,ROUND(BASE_C4+RATE_C4*($A1412-BOTT_C4),0),IF($A1412&gt;BOTT_C3,ROUND(BASE_C3+RATE_C3*($A1412-BOTT_C3),0),IF($A1412&gt;BOTT_C2,ROUND(BASE_C2+RATE_C2*($A1412-BOTT_C2),0),ROUND(RATE_C1*$A1412,0))))</f>
        <v/>
      </c>
      <c r="G1412" s="556">
        <f>IF($A1412&gt;BOTT_D4,ROUND(BASE_D4+RATE_D4*($A1412-BOTT_D4),0),IF($A1412&gt;BOTT_D3,ROUND(BASE_D3+RATE_D3*($A1412-BOTT_D3),0),IF($A1412&gt;BOTT_D2,ROUND(BASE_D2+RATE_D2*($A1412-BOTT_D2),0),ROUND(RATE_D1*$A1412,0))))</f>
        <v/>
      </c>
    </row>
    <row r="1413" ht="15.75" customHeight="1" s="7635">
      <c r="A1413" s="625">
        <f>AVERAGE(B1413,C1413)</f>
        <v/>
      </c>
      <c r="B1413" s="555" t="n">
        <v>67450</v>
      </c>
      <c r="C1413" s="555" t="n">
        <v>67500</v>
      </c>
      <c r="D1413" s="556">
        <f>IF($A1413&gt;BOTT_A4,ROUND(BASE_A4+RATE_A4*($A1413-BOTT_A4),0),IF($A1413&gt;BOTT_A3,ROUND(BASE_A3+RATE_A3*($A1413-BOTT_A3),0),IF($A1413&gt;BOTT_A2,ROUND(BASE_A2+RATE_A2*($A1413-BOTT_A2),0),ROUND(RATE_A1*$A1413,0))))</f>
        <v/>
      </c>
      <c r="E1413" s="556">
        <f>IF($A1413&gt;BOTT_B4,ROUND(BASE_B4+RATE_B4*($A1413-BOTT_B4),0),IF($A1413&gt;BOTT_B3,ROUND(BASE_B3+RATE_B3*($A1413-BOTT_B3),0),IF($A1413&gt;BOTT_B2,ROUND(BASE_B2+RATE_B2*($A1413-BOTT_B2),0),ROUND(RATE_B1*$A1413,0))))</f>
        <v/>
      </c>
      <c r="F1413" s="556">
        <f>IF($A1413&gt;BOTT_C4,ROUND(BASE_C4+RATE_C4*($A1413-BOTT_C4),0),IF($A1413&gt;BOTT_C3,ROUND(BASE_C3+RATE_C3*($A1413-BOTT_C3),0),IF($A1413&gt;BOTT_C2,ROUND(BASE_C2+RATE_C2*($A1413-BOTT_C2),0),ROUND(RATE_C1*$A1413,0))))</f>
        <v/>
      </c>
      <c r="G1413" s="556">
        <f>IF($A1413&gt;BOTT_D4,ROUND(BASE_D4+RATE_D4*($A1413-BOTT_D4),0),IF($A1413&gt;BOTT_D3,ROUND(BASE_D3+RATE_D3*($A1413-BOTT_D3),0),IF($A1413&gt;BOTT_D2,ROUND(BASE_D2+RATE_D2*($A1413-BOTT_D2),0),ROUND(RATE_D1*$A1413,0))))</f>
        <v/>
      </c>
    </row>
    <row r="1414" ht="15.75" customHeight="1" s="7635">
      <c r="A1414" s="625">
        <f>AVERAGE(B1414,C1414)</f>
        <v/>
      </c>
      <c r="B1414" s="555" t="n">
        <v>67500</v>
      </c>
      <c r="C1414" s="555" t="n">
        <v>67550</v>
      </c>
      <c r="D1414" s="556">
        <f>IF($A1414&gt;BOTT_A4,ROUND(BASE_A4+RATE_A4*($A1414-BOTT_A4),0),IF($A1414&gt;BOTT_A3,ROUND(BASE_A3+RATE_A3*($A1414-BOTT_A3),0),IF($A1414&gt;BOTT_A2,ROUND(BASE_A2+RATE_A2*($A1414-BOTT_A2),0),ROUND(RATE_A1*$A1414,0))))</f>
        <v/>
      </c>
      <c r="E1414" s="556">
        <f>IF($A1414&gt;BOTT_B4,ROUND(BASE_B4+RATE_B4*($A1414-BOTT_B4),0),IF($A1414&gt;BOTT_B3,ROUND(BASE_B3+RATE_B3*($A1414-BOTT_B3),0),IF($A1414&gt;BOTT_B2,ROUND(BASE_B2+RATE_B2*($A1414-BOTT_B2),0),ROUND(RATE_B1*$A1414,0))))</f>
        <v/>
      </c>
      <c r="F1414" s="556">
        <f>IF($A1414&gt;BOTT_C4,ROUND(BASE_C4+RATE_C4*($A1414-BOTT_C4),0),IF($A1414&gt;BOTT_C3,ROUND(BASE_C3+RATE_C3*($A1414-BOTT_C3),0),IF($A1414&gt;BOTT_C2,ROUND(BASE_C2+RATE_C2*($A1414-BOTT_C2),0),ROUND(RATE_C1*$A1414,0))))</f>
        <v/>
      </c>
      <c r="G1414" s="556">
        <f>IF($A1414&gt;BOTT_D4,ROUND(BASE_D4+RATE_D4*($A1414-BOTT_D4),0),IF($A1414&gt;BOTT_D3,ROUND(BASE_D3+RATE_D3*($A1414-BOTT_D3),0),IF($A1414&gt;BOTT_D2,ROUND(BASE_D2+RATE_D2*($A1414-BOTT_D2),0),ROUND(RATE_D1*$A1414,0))))</f>
        <v/>
      </c>
    </row>
    <row r="1415" ht="15.75" customHeight="1" s="7635">
      <c r="A1415" s="625">
        <f>AVERAGE(B1415,C1415)</f>
        <v/>
      </c>
      <c r="B1415" s="555" t="n">
        <v>67550</v>
      </c>
      <c r="C1415" s="555" t="n">
        <v>67600</v>
      </c>
      <c r="D1415" s="556">
        <f>IF($A1415&gt;BOTT_A4,ROUND(BASE_A4+RATE_A4*($A1415-BOTT_A4),0),IF($A1415&gt;BOTT_A3,ROUND(BASE_A3+RATE_A3*($A1415-BOTT_A3),0),IF($A1415&gt;BOTT_A2,ROUND(BASE_A2+RATE_A2*($A1415-BOTT_A2),0),ROUND(RATE_A1*$A1415,0))))</f>
        <v/>
      </c>
      <c r="E1415" s="556">
        <f>IF($A1415&gt;BOTT_B4,ROUND(BASE_B4+RATE_B4*($A1415-BOTT_B4),0),IF($A1415&gt;BOTT_B3,ROUND(BASE_B3+RATE_B3*($A1415-BOTT_B3),0),IF($A1415&gt;BOTT_B2,ROUND(BASE_B2+RATE_B2*($A1415-BOTT_B2),0),ROUND(RATE_B1*$A1415,0))))</f>
        <v/>
      </c>
      <c r="F1415" s="556">
        <f>IF($A1415&gt;BOTT_C4,ROUND(BASE_C4+RATE_C4*($A1415-BOTT_C4),0),IF($A1415&gt;BOTT_C3,ROUND(BASE_C3+RATE_C3*($A1415-BOTT_C3),0),IF($A1415&gt;BOTT_C2,ROUND(BASE_C2+RATE_C2*($A1415-BOTT_C2),0),ROUND(RATE_C1*$A1415,0))))</f>
        <v/>
      </c>
      <c r="G1415" s="556">
        <f>IF($A1415&gt;BOTT_D4,ROUND(BASE_D4+RATE_D4*($A1415-BOTT_D4),0),IF($A1415&gt;BOTT_D3,ROUND(BASE_D3+RATE_D3*($A1415-BOTT_D3),0),IF($A1415&gt;BOTT_D2,ROUND(BASE_D2+RATE_D2*($A1415-BOTT_D2),0),ROUND(RATE_D1*$A1415,0))))</f>
        <v/>
      </c>
    </row>
    <row r="1416" ht="15.75" customHeight="1" s="7635">
      <c r="A1416" s="625">
        <f>AVERAGE(B1416,C1416)</f>
        <v/>
      </c>
      <c r="B1416" s="555" t="n">
        <v>67600</v>
      </c>
      <c r="C1416" s="555" t="n">
        <v>67650</v>
      </c>
      <c r="D1416" s="556">
        <f>IF($A1416&gt;BOTT_A4,ROUND(BASE_A4+RATE_A4*($A1416-BOTT_A4),0),IF($A1416&gt;BOTT_A3,ROUND(BASE_A3+RATE_A3*($A1416-BOTT_A3),0),IF($A1416&gt;BOTT_A2,ROUND(BASE_A2+RATE_A2*($A1416-BOTT_A2),0),ROUND(RATE_A1*$A1416,0))))</f>
        <v/>
      </c>
      <c r="E1416" s="556">
        <f>IF($A1416&gt;BOTT_B4,ROUND(BASE_B4+RATE_B4*($A1416-BOTT_B4),0),IF($A1416&gt;BOTT_B3,ROUND(BASE_B3+RATE_B3*($A1416-BOTT_B3),0),IF($A1416&gt;BOTT_B2,ROUND(BASE_B2+RATE_B2*($A1416-BOTT_B2),0),ROUND(RATE_B1*$A1416,0))))</f>
        <v/>
      </c>
      <c r="F1416" s="556">
        <f>IF($A1416&gt;BOTT_C4,ROUND(BASE_C4+RATE_C4*($A1416-BOTT_C4),0),IF($A1416&gt;BOTT_C3,ROUND(BASE_C3+RATE_C3*($A1416-BOTT_C3),0),IF($A1416&gt;BOTT_C2,ROUND(BASE_C2+RATE_C2*($A1416-BOTT_C2),0),ROUND(RATE_C1*$A1416,0))))</f>
        <v/>
      </c>
      <c r="G1416" s="556">
        <f>IF($A1416&gt;BOTT_D4,ROUND(BASE_D4+RATE_D4*($A1416-BOTT_D4),0),IF($A1416&gt;BOTT_D3,ROUND(BASE_D3+RATE_D3*($A1416-BOTT_D3),0),IF($A1416&gt;BOTT_D2,ROUND(BASE_D2+RATE_D2*($A1416-BOTT_D2),0),ROUND(RATE_D1*$A1416,0))))</f>
        <v/>
      </c>
    </row>
    <row r="1417" ht="15.75" customHeight="1" s="7635">
      <c r="A1417" s="625">
        <f>AVERAGE(B1417,C1417)</f>
        <v/>
      </c>
      <c r="B1417" s="555" t="n">
        <v>67650</v>
      </c>
      <c r="C1417" s="555" t="n">
        <v>67700</v>
      </c>
      <c r="D1417" s="556">
        <f>IF($A1417&gt;BOTT_A4,ROUND(BASE_A4+RATE_A4*($A1417-BOTT_A4),0),IF($A1417&gt;BOTT_A3,ROUND(BASE_A3+RATE_A3*($A1417-BOTT_A3),0),IF($A1417&gt;BOTT_A2,ROUND(BASE_A2+RATE_A2*($A1417-BOTT_A2),0),ROUND(RATE_A1*$A1417,0))))</f>
        <v/>
      </c>
      <c r="E1417" s="556">
        <f>IF($A1417&gt;BOTT_B4,ROUND(BASE_B4+RATE_B4*($A1417-BOTT_B4),0),IF($A1417&gt;BOTT_B3,ROUND(BASE_B3+RATE_B3*($A1417-BOTT_B3),0),IF($A1417&gt;BOTT_B2,ROUND(BASE_B2+RATE_B2*($A1417-BOTT_B2),0),ROUND(RATE_B1*$A1417,0))))</f>
        <v/>
      </c>
      <c r="F1417" s="556">
        <f>IF($A1417&gt;BOTT_C4,ROUND(BASE_C4+RATE_C4*($A1417-BOTT_C4),0),IF($A1417&gt;BOTT_C3,ROUND(BASE_C3+RATE_C3*($A1417-BOTT_C3),0),IF($A1417&gt;BOTT_C2,ROUND(BASE_C2+RATE_C2*($A1417-BOTT_C2),0),ROUND(RATE_C1*$A1417,0))))</f>
        <v/>
      </c>
      <c r="G1417" s="556">
        <f>IF($A1417&gt;BOTT_D4,ROUND(BASE_D4+RATE_D4*($A1417-BOTT_D4),0),IF($A1417&gt;BOTT_D3,ROUND(BASE_D3+RATE_D3*($A1417-BOTT_D3),0),IF($A1417&gt;BOTT_D2,ROUND(BASE_D2+RATE_D2*($A1417-BOTT_D2),0),ROUND(RATE_D1*$A1417,0))))</f>
        <v/>
      </c>
    </row>
    <row r="1418" ht="15.75" customHeight="1" s="7635">
      <c r="A1418" s="625">
        <f>AVERAGE(B1418,C1418)</f>
        <v/>
      </c>
      <c r="B1418" s="555" t="n">
        <v>67700</v>
      </c>
      <c r="C1418" s="555" t="n">
        <v>67750</v>
      </c>
      <c r="D1418" s="556">
        <f>IF($A1418&gt;BOTT_A4,ROUND(BASE_A4+RATE_A4*($A1418-BOTT_A4),0),IF($A1418&gt;BOTT_A3,ROUND(BASE_A3+RATE_A3*($A1418-BOTT_A3),0),IF($A1418&gt;BOTT_A2,ROUND(BASE_A2+RATE_A2*($A1418-BOTT_A2),0),ROUND(RATE_A1*$A1418,0))))</f>
        <v/>
      </c>
      <c r="E1418" s="556">
        <f>IF($A1418&gt;BOTT_B4,ROUND(BASE_B4+RATE_B4*($A1418-BOTT_B4),0),IF($A1418&gt;BOTT_B3,ROUND(BASE_B3+RATE_B3*($A1418-BOTT_B3),0),IF($A1418&gt;BOTT_B2,ROUND(BASE_B2+RATE_B2*($A1418-BOTT_B2),0),ROUND(RATE_B1*$A1418,0))))</f>
        <v/>
      </c>
      <c r="F1418" s="556">
        <f>IF($A1418&gt;BOTT_C4,ROUND(BASE_C4+RATE_C4*($A1418-BOTT_C4),0),IF($A1418&gt;BOTT_C3,ROUND(BASE_C3+RATE_C3*($A1418-BOTT_C3),0),IF($A1418&gt;BOTT_C2,ROUND(BASE_C2+RATE_C2*($A1418-BOTT_C2),0),ROUND(RATE_C1*$A1418,0))))</f>
        <v/>
      </c>
      <c r="G1418" s="556">
        <f>IF($A1418&gt;BOTT_D4,ROUND(BASE_D4+RATE_D4*($A1418-BOTT_D4),0),IF($A1418&gt;BOTT_D3,ROUND(BASE_D3+RATE_D3*($A1418-BOTT_D3),0),IF($A1418&gt;BOTT_D2,ROUND(BASE_D2+RATE_D2*($A1418-BOTT_D2),0),ROUND(RATE_D1*$A1418,0))))</f>
        <v/>
      </c>
    </row>
    <row r="1419" ht="15.75" customHeight="1" s="7635">
      <c r="A1419" s="625">
        <f>AVERAGE(B1419,C1419)</f>
        <v/>
      </c>
      <c r="B1419" s="555" t="n">
        <v>67750</v>
      </c>
      <c r="C1419" s="555" t="n">
        <v>67800</v>
      </c>
      <c r="D1419" s="556">
        <f>IF($A1419&gt;BOTT_A4,ROUND(BASE_A4+RATE_A4*($A1419-BOTT_A4),0),IF($A1419&gt;BOTT_A3,ROUND(BASE_A3+RATE_A3*($A1419-BOTT_A3),0),IF($A1419&gt;BOTT_A2,ROUND(BASE_A2+RATE_A2*($A1419-BOTT_A2),0),ROUND(RATE_A1*$A1419,0))))</f>
        <v/>
      </c>
      <c r="E1419" s="556">
        <f>IF($A1419&gt;BOTT_B4,ROUND(BASE_B4+RATE_B4*($A1419-BOTT_B4),0),IF($A1419&gt;BOTT_B3,ROUND(BASE_B3+RATE_B3*($A1419-BOTT_B3),0),IF($A1419&gt;BOTT_B2,ROUND(BASE_B2+RATE_B2*($A1419-BOTT_B2),0),ROUND(RATE_B1*$A1419,0))))</f>
        <v/>
      </c>
      <c r="F1419" s="556">
        <f>IF($A1419&gt;BOTT_C4,ROUND(BASE_C4+RATE_C4*($A1419-BOTT_C4),0),IF($A1419&gt;BOTT_C3,ROUND(BASE_C3+RATE_C3*($A1419-BOTT_C3),0),IF($A1419&gt;BOTT_C2,ROUND(BASE_C2+RATE_C2*($A1419-BOTT_C2),0),ROUND(RATE_C1*$A1419,0))))</f>
        <v/>
      </c>
      <c r="G1419" s="556">
        <f>IF($A1419&gt;BOTT_D4,ROUND(BASE_D4+RATE_D4*($A1419-BOTT_D4),0),IF($A1419&gt;BOTT_D3,ROUND(BASE_D3+RATE_D3*($A1419-BOTT_D3),0),IF($A1419&gt;BOTT_D2,ROUND(BASE_D2+RATE_D2*($A1419-BOTT_D2),0),ROUND(RATE_D1*$A1419,0))))</f>
        <v/>
      </c>
    </row>
    <row r="1420" ht="15.75" customHeight="1" s="7635">
      <c r="A1420" s="625">
        <f>AVERAGE(B1420,C1420)</f>
        <v/>
      </c>
      <c r="B1420" s="555" t="n">
        <v>67800</v>
      </c>
      <c r="C1420" s="555" t="n">
        <v>67850</v>
      </c>
      <c r="D1420" s="556">
        <f>IF($A1420&gt;BOTT_A4,ROUND(BASE_A4+RATE_A4*($A1420-BOTT_A4),0),IF($A1420&gt;BOTT_A3,ROUND(BASE_A3+RATE_A3*($A1420-BOTT_A3),0),IF($A1420&gt;BOTT_A2,ROUND(BASE_A2+RATE_A2*($A1420-BOTT_A2),0),ROUND(RATE_A1*$A1420,0))))</f>
        <v/>
      </c>
      <c r="E1420" s="556">
        <f>IF($A1420&gt;BOTT_B4,ROUND(BASE_B4+RATE_B4*($A1420-BOTT_B4),0),IF($A1420&gt;BOTT_B3,ROUND(BASE_B3+RATE_B3*($A1420-BOTT_B3),0),IF($A1420&gt;BOTT_B2,ROUND(BASE_B2+RATE_B2*($A1420-BOTT_B2),0),ROUND(RATE_B1*$A1420,0))))</f>
        <v/>
      </c>
      <c r="F1420" s="556">
        <f>IF($A1420&gt;BOTT_C4,ROUND(BASE_C4+RATE_C4*($A1420-BOTT_C4),0),IF($A1420&gt;BOTT_C3,ROUND(BASE_C3+RATE_C3*($A1420-BOTT_C3),0),IF($A1420&gt;BOTT_C2,ROUND(BASE_C2+RATE_C2*($A1420-BOTT_C2),0),ROUND(RATE_C1*$A1420,0))))</f>
        <v/>
      </c>
      <c r="G1420" s="556">
        <f>IF($A1420&gt;BOTT_D4,ROUND(BASE_D4+RATE_D4*($A1420-BOTT_D4),0),IF($A1420&gt;BOTT_D3,ROUND(BASE_D3+RATE_D3*($A1420-BOTT_D3),0),IF($A1420&gt;BOTT_D2,ROUND(BASE_D2+RATE_D2*($A1420-BOTT_D2),0),ROUND(RATE_D1*$A1420,0))))</f>
        <v/>
      </c>
    </row>
    <row r="1421" ht="15.75" customHeight="1" s="7635">
      <c r="A1421" s="625">
        <f>AVERAGE(B1421,C1421)</f>
        <v/>
      </c>
      <c r="B1421" s="555" t="n">
        <v>67850</v>
      </c>
      <c r="C1421" s="555" t="n">
        <v>67900</v>
      </c>
      <c r="D1421" s="556">
        <f>IF($A1421&gt;BOTT_A4,ROUND(BASE_A4+RATE_A4*($A1421-BOTT_A4),0),IF($A1421&gt;BOTT_A3,ROUND(BASE_A3+RATE_A3*($A1421-BOTT_A3),0),IF($A1421&gt;BOTT_A2,ROUND(BASE_A2+RATE_A2*($A1421-BOTT_A2),0),ROUND(RATE_A1*$A1421,0))))</f>
        <v/>
      </c>
      <c r="E1421" s="556">
        <f>IF($A1421&gt;BOTT_B4,ROUND(BASE_B4+RATE_B4*($A1421-BOTT_B4),0),IF($A1421&gt;BOTT_B3,ROUND(BASE_B3+RATE_B3*($A1421-BOTT_B3),0),IF($A1421&gt;BOTT_B2,ROUND(BASE_B2+RATE_B2*($A1421-BOTT_B2),0),ROUND(RATE_B1*$A1421,0))))</f>
        <v/>
      </c>
      <c r="F1421" s="556">
        <f>IF($A1421&gt;BOTT_C4,ROUND(BASE_C4+RATE_C4*($A1421-BOTT_C4),0),IF($A1421&gt;BOTT_C3,ROUND(BASE_C3+RATE_C3*($A1421-BOTT_C3),0),IF($A1421&gt;BOTT_C2,ROUND(BASE_C2+RATE_C2*($A1421-BOTT_C2),0),ROUND(RATE_C1*$A1421,0))))</f>
        <v/>
      </c>
      <c r="G1421" s="556">
        <f>IF($A1421&gt;BOTT_D4,ROUND(BASE_D4+RATE_D4*($A1421-BOTT_D4),0),IF($A1421&gt;BOTT_D3,ROUND(BASE_D3+RATE_D3*($A1421-BOTT_D3),0),IF($A1421&gt;BOTT_D2,ROUND(BASE_D2+RATE_D2*($A1421-BOTT_D2),0),ROUND(RATE_D1*$A1421,0))))</f>
        <v/>
      </c>
    </row>
    <row r="1422" ht="15.75" customHeight="1" s="7635">
      <c r="A1422" s="625">
        <f>AVERAGE(B1422,C1422)</f>
        <v/>
      </c>
      <c r="B1422" s="555" t="n">
        <v>67900</v>
      </c>
      <c r="C1422" s="555" t="n">
        <v>67950</v>
      </c>
      <c r="D1422" s="556">
        <f>IF($A1422&gt;BOTT_A4,ROUND(BASE_A4+RATE_A4*($A1422-BOTT_A4),0),IF($A1422&gt;BOTT_A3,ROUND(BASE_A3+RATE_A3*($A1422-BOTT_A3),0),IF($A1422&gt;BOTT_A2,ROUND(BASE_A2+RATE_A2*($A1422-BOTT_A2),0),ROUND(RATE_A1*$A1422,0))))</f>
        <v/>
      </c>
      <c r="E1422" s="556">
        <f>IF($A1422&gt;BOTT_B4,ROUND(BASE_B4+RATE_B4*($A1422-BOTT_B4),0),IF($A1422&gt;BOTT_B3,ROUND(BASE_B3+RATE_B3*($A1422-BOTT_B3),0),IF($A1422&gt;BOTT_B2,ROUND(BASE_B2+RATE_B2*($A1422-BOTT_B2),0),ROUND(RATE_B1*$A1422,0))))</f>
        <v/>
      </c>
      <c r="F1422" s="556">
        <f>IF($A1422&gt;BOTT_C4,ROUND(BASE_C4+RATE_C4*($A1422-BOTT_C4),0),IF($A1422&gt;BOTT_C3,ROUND(BASE_C3+RATE_C3*($A1422-BOTT_C3),0),IF($A1422&gt;BOTT_C2,ROUND(BASE_C2+RATE_C2*($A1422-BOTT_C2),0),ROUND(RATE_C1*$A1422,0))))</f>
        <v/>
      </c>
      <c r="G1422" s="556">
        <f>IF($A1422&gt;BOTT_D4,ROUND(BASE_D4+RATE_D4*($A1422-BOTT_D4),0),IF($A1422&gt;BOTT_D3,ROUND(BASE_D3+RATE_D3*($A1422-BOTT_D3),0),IF($A1422&gt;BOTT_D2,ROUND(BASE_D2+RATE_D2*($A1422-BOTT_D2),0),ROUND(RATE_D1*$A1422,0))))</f>
        <v/>
      </c>
    </row>
    <row r="1423" ht="15.75" customHeight="1" s="7635">
      <c r="A1423" s="625">
        <f>AVERAGE(B1423,C1423)</f>
        <v/>
      </c>
      <c r="B1423" s="555" t="n">
        <v>67950</v>
      </c>
      <c r="C1423" s="555" t="n">
        <v>68000</v>
      </c>
      <c r="D1423" s="556">
        <f>IF($A1423&gt;BOTT_A4,ROUND(BASE_A4+RATE_A4*($A1423-BOTT_A4),0),IF($A1423&gt;BOTT_A3,ROUND(BASE_A3+RATE_A3*($A1423-BOTT_A3),0),IF($A1423&gt;BOTT_A2,ROUND(BASE_A2+RATE_A2*($A1423-BOTT_A2),0),ROUND(RATE_A1*$A1423,0))))</f>
        <v/>
      </c>
      <c r="E1423" s="556">
        <f>IF($A1423&gt;BOTT_B4,ROUND(BASE_B4+RATE_B4*($A1423-BOTT_B4),0),IF($A1423&gt;BOTT_B3,ROUND(BASE_B3+RATE_B3*($A1423-BOTT_B3),0),IF($A1423&gt;BOTT_B2,ROUND(BASE_B2+RATE_B2*($A1423-BOTT_B2),0),ROUND(RATE_B1*$A1423,0))))</f>
        <v/>
      </c>
      <c r="F1423" s="556">
        <f>IF($A1423&gt;BOTT_C4,ROUND(BASE_C4+RATE_C4*($A1423-BOTT_C4),0),IF($A1423&gt;BOTT_C3,ROUND(BASE_C3+RATE_C3*($A1423-BOTT_C3),0),IF($A1423&gt;BOTT_C2,ROUND(BASE_C2+RATE_C2*($A1423-BOTT_C2),0),ROUND(RATE_C1*$A1423,0))))</f>
        <v/>
      </c>
      <c r="G1423" s="556">
        <f>IF($A1423&gt;BOTT_D4,ROUND(BASE_D4+RATE_D4*($A1423-BOTT_D4),0),IF($A1423&gt;BOTT_D3,ROUND(BASE_D3+RATE_D3*($A1423-BOTT_D3),0),IF($A1423&gt;BOTT_D2,ROUND(BASE_D2+RATE_D2*($A1423-BOTT_D2),0),ROUND(RATE_D1*$A1423,0))))</f>
        <v/>
      </c>
    </row>
    <row r="1424" ht="15.75" customHeight="1" s="7635">
      <c r="A1424" s="625">
        <f>AVERAGE(B1424,C1424)</f>
        <v/>
      </c>
      <c r="B1424" s="555" t="n">
        <v>68000</v>
      </c>
      <c r="C1424" s="555" t="n">
        <v>68050</v>
      </c>
      <c r="D1424" s="556">
        <f>IF($A1424&gt;BOTT_A4,ROUND(BASE_A4+RATE_A4*($A1424-BOTT_A4),0),IF($A1424&gt;BOTT_A3,ROUND(BASE_A3+RATE_A3*($A1424-BOTT_A3),0),IF($A1424&gt;BOTT_A2,ROUND(BASE_A2+RATE_A2*($A1424-BOTT_A2),0),ROUND(RATE_A1*$A1424,0))))</f>
        <v/>
      </c>
      <c r="E1424" s="556">
        <f>IF($A1424&gt;BOTT_B4,ROUND(BASE_B4+RATE_B4*($A1424-BOTT_B4),0),IF($A1424&gt;BOTT_B3,ROUND(BASE_B3+RATE_B3*($A1424-BOTT_B3),0),IF($A1424&gt;BOTT_B2,ROUND(BASE_B2+RATE_B2*($A1424-BOTT_B2),0),ROUND(RATE_B1*$A1424,0))))</f>
        <v/>
      </c>
      <c r="F1424" s="556">
        <f>IF($A1424&gt;BOTT_C4,ROUND(BASE_C4+RATE_C4*($A1424-BOTT_C4),0),IF($A1424&gt;BOTT_C3,ROUND(BASE_C3+RATE_C3*($A1424-BOTT_C3),0),IF($A1424&gt;BOTT_C2,ROUND(BASE_C2+RATE_C2*($A1424-BOTT_C2),0),ROUND(RATE_C1*$A1424,0))))</f>
        <v/>
      </c>
      <c r="G1424" s="556">
        <f>IF($A1424&gt;BOTT_D4,ROUND(BASE_D4+RATE_D4*($A1424-BOTT_D4),0),IF($A1424&gt;BOTT_D3,ROUND(BASE_D3+RATE_D3*($A1424-BOTT_D3),0),IF($A1424&gt;BOTT_D2,ROUND(BASE_D2+RATE_D2*($A1424-BOTT_D2),0),ROUND(RATE_D1*$A1424,0))))</f>
        <v/>
      </c>
    </row>
    <row r="1425" ht="15.75" customHeight="1" s="7635">
      <c r="A1425" s="625">
        <f>AVERAGE(B1425,C1425)</f>
        <v/>
      </c>
      <c r="B1425" s="555" t="n">
        <v>68050</v>
      </c>
      <c r="C1425" s="555" t="n">
        <v>68100</v>
      </c>
      <c r="D1425" s="556">
        <f>IF($A1425&gt;BOTT_A4,ROUND(BASE_A4+RATE_A4*($A1425-BOTT_A4),0),IF($A1425&gt;BOTT_A3,ROUND(BASE_A3+RATE_A3*($A1425-BOTT_A3),0),IF($A1425&gt;BOTT_A2,ROUND(BASE_A2+RATE_A2*($A1425-BOTT_A2),0),ROUND(RATE_A1*$A1425,0))))</f>
        <v/>
      </c>
      <c r="E1425" s="556">
        <f>IF($A1425&gt;BOTT_B4,ROUND(BASE_B4+RATE_B4*($A1425-BOTT_B4),0),IF($A1425&gt;BOTT_B3,ROUND(BASE_B3+RATE_B3*($A1425-BOTT_B3),0),IF($A1425&gt;BOTT_B2,ROUND(BASE_B2+RATE_B2*($A1425-BOTT_B2),0),ROUND(RATE_B1*$A1425,0))))</f>
        <v/>
      </c>
      <c r="F1425" s="556">
        <f>IF($A1425&gt;BOTT_C4,ROUND(BASE_C4+RATE_C4*($A1425-BOTT_C4),0),IF($A1425&gt;BOTT_C3,ROUND(BASE_C3+RATE_C3*($A1425-BOTT_C3),0),IF($A1425&gt;BOTT_C2,ROUND(BASE_C2+RATE_C2*($A1425-BOTT_C2),0),ROUND(RATE_C1*$A1425,0))))</f>
        <v/>
      </c>
      <c r="G1425" s="556">
        <f>IF($A1425&gt;BOTT_D4,ROUND(BASE_D4+RATE_D4*($A1425-BOTT_D4),0),IF($A1425&gt;BOTT_D3,ROUND(BASE_D3+RATE_D3*($A1425-BOTT_D3),0),IF($A1425&gt;BOTT_D2,ROUND(BASE_D2+RATE_D2*($A1425-BOTT_D2),0),ROUND(RATE_D1*$A1425,0))))</f>
        <v/>
      </c>
    </row>
    <row r="1426" ht="15.75" customHeight="1" s="7635">
      <c r="A1426" s="625">
        <f>AVERAGE(B1426,C1426)</f>
        <v/>
      </c>
      <c r="B1426" s="555" t="n">
        <v>68100</v>
      </c>
      <c r="C1426" s="555" t="n">
        <v>68150</v>
      </c>
      <c r="D1426" s="556">
        <f>IF($A1426&gt;BOTT_A4,ROUND(BASE_A4+RATE_A4*($A1426-BOTT_A4),0),IF($A1426&gt;BOTT_A3,ROUND(BASE_A3+RATE_A3*($A1426-BOTT_A3),0),IF($A1426&gt;BOTT_A2,ROUND(BASE_A2+RATE_A2*($A1426-BOTT_A2),0),ROUND(RATE_A1*$A1426,0))))</f>
        <v/>
      </c>
      <c r="E1426" s="556">
        <f>IF($A1426&gt;BOTT_B4,ROUND(BASE_B4+RATE_B4*($A1426-BOTT_B4),0),IF($A1426&gt;BOTT_B3,ROUND(BASE_B3+RATE_B3*($A1426-BOTT_B3),0),IF($A1426&gt;BOTT_B2,ROUND(BASE_B2+RATE_B2*($A1426-BOTT_B2),0),ROUND(RATE_B1*$A1426,0))))</f>
        <v/>
      </c>
      <c r="F1426" s="556">
        <f>IF($A1426&gt;BOTT_C4,ROUND(BASE_C4+RATE_C4*($A1426-BOTT_C4),0),IF($A1426&gt;BOTT_C3,ROUND(BASE_C3+RATE_C3*($A1426-BOTT_C3),0),IF($A1426&gt;BOTT_C2,ROUND(BASE_C2+RATE_C2*($A1426-BOTT_C2),0),ROUND(RATE_C1*$A1426,0))))</f>
        <v/>
      </c>
      <c r="G1426" s="556">
        <f>IF($A1426&gt;BOTT_D4,ROUND(BASE_D4+RATE_D4*($A1426-BOTT_D4),0),IF($A1426&gt;BOTT_D3,ROUND(BASE_D3+RATE_D3*($A1426-BOTT_D3),0),IF($A1426&gt;BOTT_D2,ROUND(BASE_D2+RATE_D2*($A1426-BOTT_D2),0),ROUND(RATE_D1*$A1426,0))))</f>
        <v/>
      </c>
    </row>
    <row r="1427" ht="15.75" customHeight="1" s="7635">
      <c r="A1427" s="625">
        <f>AVERAGE(B1427,C1427)</f>
        <v/>
      </c>
      <c r="B1427" s="555" t="n">
        <v>68150</v>
      </c>
      <c r="C1427" s="555" t="n">
        <v>68200</v>
      </c>
      <c r="D1427" s="556">
        <f>IF($A1427&gt;BOTT_A4,ROUND(BASE_A4+RATE_A4*($A1427-BOTT_A4),0),IF($A1427&gt;BOTT_A3,ROUND(BASE_A3+RATE_A3*($A1427-BOTT_A3),0),IF($A1427&gt;BOTT_A2,ROUND(BASE_A2+RATE_A2*($A1427-BOTT_A2),0),ROUND(RATE_A1*$A1427,0))))</f>
        <v/>
      </c>
      <c r="E1427" s="556">
        <f>IF($A1427&gt;BOTT_B4,ROUND(BASE_B4+RATE_B4*($A1427-BOTT_B4),0),IF($A1427&gt;BOTT_B3,ROUND(BASE_B3+RATE_B3*($A1427-BOTT_B3),0),IF($A1427&gt;BOTT_B2,ROUND(BASE_B2+RATE_B2*($A1427-BOTT_B2),0),ROUND(RATE_B1*$A1427,0))))</f>
        <v/>
      </c>
      <c r="F1427" s="556">
        <f>IF($A1427&gt;BOTT_C4,ROUND(BASE_C4+RATE_C4*($A1427-BOTT_C4),0),IF($A1427&gt;BOTT_C3,ROUND(BASE_C3+RATE_C3*($A1427-BOTT_C3),0),IF($A1427&gt;BOTT_C2,ROUND(BASE_C2+RATE_C2*($A1427-BOTT_C2),0),ROUND(RATE_C1*$A1427,0))))</f>
        <v/>
      </c>
      <c r="G1427" s="556">
        <f>IF($A1427&gt;BOTT_D4,ROUND(BASE_D4+RATE_D4*($A1427-BOTT_D4),0),IF($A1427&gt;BOTT_D3,ROUND(BASE_D3+RATE_D3*($A1427-BOTT_D3),0),IF($A1427&gt;BOTT_D2,ROUND(BASE_D2+RATE_D2*($A1427-BOTT_D2),0),ROUND(RATE_D1*$A1427,0))))</f>
        <v/>
      </c>
    </row>
    <row r="1428" ht="15.75" customHeight="1" s="7635">
      <c r="A1428" s="625">
        <f>AVERAGE(B1428,C1428)</f>
        <v/>
      </c>
      <c r="B1428" s="555" t="n">
        <v>68200</v>
      </c>
      <c r="C1428" s="555" t="n">
        <v>68250</v>
      </c>
      <c r="D1428" s="556">
        <f>IF($A1428&gt;BOTT_A4,ROUND(BASE_A4+RATE_A4*($A1428-BOTT_A4),0),IF($A1428&gt;BOTT_A3,ROUND(BASE_A3+RATE_A3*($A1428-BOTT_A3),0),IF($A1428&gt;BOTT_A2,ROUND(BASE_A2+RATE_A2*($A1428-BOTT_A2),0),ROUND(RATE_A1*$A1428,0))))</f>
        <v/>
      </c>
      <c r="E1428" s="556">
        <f>IF($A1428&gt;BOTT_B4,ROUND(BASE_B4+RATE_B4*($A1428-BOTT_B4),0),IF($A1428&gt;BOTT_B3,ROUND(BASE_B3+RATE_B3*($A1428-BOTT_B3),0),IF($A1428&gt;BOTT_B2,ROUND(BASE_B2+RATE_B2*($A1428-BOTT_B2),0),ROUND(RATE_B1*$A1428,0))))</f>
        <v/>
      </c>
      <c r="F1428" s="556">
        <f>IF($A1428&gt;BOTT_C4,ROUND(BASE_C4+RATE_C4*($A1428-BOTT_C4),0),IF($A1428&gt;BOTT_C3,ROUND(BASE_C3+RATE_C3*($A1428-BOTT_C3),0),IF($A1428&gt;BOTT_C2,ROUND(BASE_C2+RATE_C2*($A1428-BOTT_C2),0),ROUND(RATE_C1*$A1428,0))))</f>
        <v/>
      </c>
      <c r="G1428" s="556">
        <f>IF($A1428&gt;BOTT_D4,ROUND(BASE_D4+RATE_D4*($A1428-BOTT_D4),0),IF($A1428&gt;BOTT_D3,ROUND(BASE_D3+RATE_D3*($A1428-BOTT_D3),0),IF($A1428&gt;BOTT_D2,ROUND(BASE_D2+RATE_D2*($A1428-BOTT_D2),0),ROUND(RATE_D1*$A1428,0))))</f>
        <v/>
      </c>
    </row>
    <row r="1429" ht="15.75" customHeight="1" s="7635">
      <c r="A1429" s="625">
        <f>AVERAGE(B1429,C1429)</f>
        <v/>
      </c>
      <c r="B1429" s="555" t="n">
        <v>68250</v>
      </c>
      <c r="C1429" s="555" t="n">
        <v>68300</v>
      </c>
      <c r="D1429" s="556">
        <f>IF($A1429&gt;BOTT_A4,ROUND(BASE_A4+RATE_A4*($A1429-BOTT_A4),0),IF($A1429&gt;BOTT_A3,ROUND(BASE_A3+RATE_A3*($A1429-BOTT_A3),0),IF($A1429&gt;BOTT_A2,ROUND(BASE_A2+RATE_A2*($A1429-BOTT_A2),0),ROUND(RATE_A1*$A1429,0))))</f>
        <v/>
      </c>
      <c r="E1429" s="556">
        <f>IF($A1429&gt;BOTT_B4,ROUND(BASE_B4+RATE_B4*($A1429-BOTT_B4),0),IF($A1429&gt;BOTT_B3,ROUND(BASE_B3+RATE_B3*($A1429-BOTT_B3),0),IF($A1429&gt;BOTT_B2,ROUND(BASE_B2+RATE_B2*($A1429-BOTT_B2),0),ROUND(RATE_B1*$A1429,0))))</f>
        <v/>
      </c>
      <c r="F1429" s="556">
        <f>IF($A1429&gt;BOTT_C4,ROUND(BASE_C4+RATE_C4*($A1429-BOTT_C4),0),IF($A1429&gt;BOTT_C3,ROUND(BASE_C3+RATE_C3*($A1429-BOTT_C3),0),IF($A1429&gt;BOTT_C2,ROUND(BASE_C2+RATE_C2*($A1429-BOTT_C2),0),ROUND(RATE_C1*$A1429,0))))</f>
        <v/>
      </c>
      <c r="G1429" s="556">
        <f>IF($A1429&gt;BOTT_D4,ROUND(BASE_D4+RATE_D4*($A1429-BOTT_D4),0),IF($A1429&gt;BOTT_D3,ROUND(BASE_D3+RATE_D3*($A1429-BOTT_D3),0),IF($A1429&gt;BOTT_D2,ROUND(BASE_D2+RATE_D2*($A1429-BOTT_D2),0),ROUND(RATE_D1*$A1429,0))))</f>
        <v/>
      </c>
    </row>
    <row r="1430" ht="15.75" customHeight="1" s="7635">
      <c r="A1430" s="625">
        <f>AVERAGE(B1430,C1430)</f>
        <v/>
      </c>
      <c r="B1430" s="555" t="n">
        <v>68300</v>
      </c>
      <c r="C1430" s="555" t="n">
        <v>68350</v>
      </c>
      <c r="D1430" s="556">
        <f>IF($A1430&gt;BOTT_A4,ROUND(BASE_A4+RATE_A4*($A1430-BOTT_A4),0),IF($A1430&gt;BOTT_A3,ROUND(BASE_A3+RATE_A3*($A1430-BOTT_A3),0),IF($A1430&gt;BOTT_A2,ROUND(BASE_A2+RATE_A2*($A1430-BOTT_A2),0),ROUND(RATE_A1*$A1430,0))))</f>
        <v/>
      </c>
      <c r="E1430" s="556">
        <f>IF($A1430&gt;BOTT_B4,ROUND(BASE_B4+RATE_B4*($A1430-BOTT_B4),0),IF($A1430&gt;BOTT_B3,ROUND(BASE_B3+RATE_B3*($A1430-BOTT_B3),0),IF($A1430&gt;BOTT_B2,ROUND(BASE_B2+RATE_B2*($A1430-BOTT_B2),0),ROUND(RATE_B1*$A1430,0))))</f>
        <v/>
      </c>
      <c r="F1430" s="556">
        <f>IF($A1430&gt;BOTT_C4,ROUND(BASE_C4+RATE_C4*($A1430-BOTT_C4),0),IF($A1430&gt;BOTT_C3,ROUND(BASE_C3+RATE_C3*($A1430-BOTT_C3),0),IF($A1430&gt;BOTT_C2,ROUND(BASE_C2+RATE_C2*($A1430-BOTT_C2),0),ROUND(RATE_C1*$A1430,0))))</f>
        <v/>
      </c>
      <c r="G1430" s="556">
        <f>IF($A1430&gt;BOTT_D4,ROUND(BASE_D4+RATE_D4*($A1430-BOTT_D4),0),IF($A1430&gt;BOTT_D3,ROUND(BASE_D3+RATE_D3*($A1430-BOTT_D3),0),IF($A1430&gt;BOTT_D2,ROUND(BASE_D2+RATE_D2*($A1430-BOTT_D2),0),ROUND(RATE_D1*$A1430,0))))</f>
        <v/>
      </c>
    </row>
    <row r="1431" ht="15.75" customHeight="1" s="7635">
      <c r="A1431" s="625">
        <f>AVERAGE(B1431,C1431)</f>
        <v/>
      </c>
      <c r="B1431" s="555" t="n">
        <v>68350</v>
      </c>
      <c r="C1431" s="555" t="n">
        <v>68400</v>
      </c>
      <c r="D1431" s="556">
        <f>IF($A1431&gt;BOTT_A4,ROUND(BASE_A4+RATE_A4*($A1431-BOTT_A4),0),IF($A1431&gt;BOTT_A3,ROUND(BASE_A3+RATE_A3*($A1431-BOTT_A3),0),IF($A1431&gt;BOTT_A2,ROUND(BASE_A2+RATE_A2*($A1431-BOTT_A2),0),ROUND(RATE_A1*$A1431,0))))</f>
        <v/>
      </c>
      <c r="E1431" s="556">
        <f>IF($A1431&gt;BOTT_B4,ROUND(BASE_B4+RATE_B4*($A1431-BOTT_B4),0),IF($A1431&gt;BOTT_B3,ROUND(BASE_B3+RATE_B3*($A1431-BOTT_B3),0),IF($A1431&gt;BOTT_B2,ROUND(BASE_B2+RATE_B2*($A1431-BOTT_B2),0),ROUND(RATE_B1*$A1431,0))))</f>
        <v/>
      </c>
      <c r="F1431" s="556">
        <f>IF($A1431&gt;BOTT_C4,ROUND(BASE_C4+RATE_C4*($A1431-BOTT_C4),0),IF($A1431&gt;BOTT_C3,ROUND(BASE_C3+RATE_C3*($A1431-BOTT_C3),0),IF($A1431&gt;BOTT_C2,ROUND(BASE_C2+RATE_C2*($A1431-BOTT_C2),0),ROUND(RATE_C1*$A1431,0))))</f>
        <v/>
      </c>
      <c r="G1431" s="556">
        <f>IF($A1431&gt;BOTT_D4,ROUND(BASE_D4+RATE_D4*($A1431-BOTT_D4),0),IF($A1431&gt;BOTT_D3,ROUND(BASE_D3+RATE_D3*($A1431-BOTT_D3),0),IF($A1431&gt;BOTT_D2,ROUND(BASE_D2+RATE_D2*($A1431-BOTT_D2),0),ROUND(RATE_D1*$A1431,0))))</f>
        <v/>
      </c>
    </row>
    <row r="1432" ht="15.75" customHeight="1" s="7635">
      <c r="A1432" s="625">
        <f>AVERAGE(B1432,C1432)</f>
        <v/>
      </c>
      <c r="B1432" s="555" t="n">
        <v>68400</v>
      </c>
      <c r="C1432" s="555" t="n">
        <v>68450</v>
      </c>
      <c r="D1432" s="556">
        <f>IF($A1432&gt;BOTT_A4,ROUND(BASE_A4+RATE_A4*($A1432-BOTT_A4),0),IF($A1432&gt;BOTT_A3,ROUND(BASE_A3+RATE_A3*($A1432-BOTT_A3),0),IF($A1432&gt;BOTT_A2,ROUND(BASE_A2+RATE_A2*($A1432-BOTT_A2),0),ROUND(RATE_A1*$A1432,0))))</f>
        <v/>
      </c>
      <c r="E1432" s="556">
        <f>IF($A1432&gt;BOTT_B4,ROUND(BASE_B4+RATE_B4*($A1432-BOTT_B4),0),IF($A1432&gt;BOTT_B3,ROUND(BASE_B3+RATE_B3*($A1432-BOTT_B3),0),IF($A1432&gt;BOTT_B2,ROUND(BASE_B2+RATE_B2*($A1432-BOTT_B2),0),ROUND(RATE_B1*$A1432,0))))</f>
        <v/>
      </c>
      <c r="F1432" s="556">
        <f>IF($A1432&gt;BOTT_C4,ROUND(BASE_C4+RATE_C4*($A1432-BOTT_C4),0),IF($A1432&gt;BOTT_C3,ROUND(BASE_C3+RATE_C3*($A1432-BOTT_C3),0),IF($A1432&gt;BOTT_C2,ROUND(BASE_C2+RATE_C2*($A1432-BOTT_C2),0),ROUND(RATE_C1*$A1432,0))))</f>
        <v/>
      </c>
      <c r="G1432" s="556">
        <f>IF($A1432&gt;BOTT_D4,ROUND(BASE_D4+RATE_D4*($A1432-BOTT_D4),0),IF($A1432&gt;BOTT_D3,ROUND(BASE_D3+RATE_D3*($A1432-BOTT_D3),0),IF($A1432&gt;BOTT_D2,ROUND(BASE_D2+RATE_D2*($A1432-BOTT_D2),0),ROUND(RATE_D1*$A1432,0))))</f>
        <v/>
      </c>
    </row>
    <row r="1433" ht="15.75" customHeight="1" s="7635">
      <c r="A1433" s="625">
        <f>AVERAGE(B1433,C1433)</f>
        <v/>
      </c>
      <c r="B1433" s="555" t="n">
        <v>68450</v>
      </c>
      <c r="C1433" s="555" t="n">
        <v>68500</v>
      </c>
      <c r="D1433" s="556">
        <f>IF($A1433&gt;BOTT_A4,ROUND(BASE_A4+RATE_A4*($A1433-BOTT_A4),0),IF($A1433&gt;BOTT_A3,ROUND(BASE_A3+RATE_A3*($A1433-BOTT_A3),0),IF($A1433&gt;BOTT_A2,ROUND(BASE_A2+RATE_A2*($A1433-BOTT_A2),0),ROUND(RATE_A1*$A1433,0))))</f>
        <v/>
      </c>
      <c r="E1433" s="556">
        <f>IF($A1433&gt;BOTT_B4,ROUND(BASE_B4+RATE_B4*($A1433-BOTT_B4),0),IF($A1433&gt;BOTT_B3,ROUND(BASE_B3+RATE_B3*($A1433-BOTT_B3),0),IF($A1433&gt;BOTT_B2,ROUND(BASE_B2+RATE_B2*($A1433-BOTT_B2),0),ROUND(RATE_B1*$A1433,0))))</f>
        <v/>
      </c>
      <c r="F1433" s="556">
        <f>IF($A1433&gt;BOTT_C4,ROUND(BASE_C4+RATE_C4*($A1433-BOTT_C4),0),IF($A1433&gt;BOTT_C3,ROUND(BASE_C3+RATE_C3*($A1433-BOTT_C3),0),IF($A1433&gt;BOTT_C2,ROUND(BASE_C2+RATE_C2*($A1433-BOTT_C2),0),ROUND(RATE_C1*$A1433,0))))</f>
        <v/>
      </c>
      <c r="G1433" s="556">
        <f>IF($A1433&gt;BOTT_D4,ROUND(BASE_D4+RATE_D4*($A1433-BOTT_D4),0),IF($A1433&gt;BOTT_D3,ROUND(BASE_D3+RATE_D3*($A1433-BOTT_D3),0),IF($A1433&gt;BOTT_D2,ROUND(BASE_D2+RATE_D2*($A1433-BOTT_D2),0),ROUND(RATE_D1*$A1433,0))))</f>
        <v/>
      </c>
    </row>
    <row r="1434" ht="15.75" customHeight="1" s="7635">
      <c r="A1434" s="625">
        <f>AVERAGE(B1434,C1434)</f>
        <v/>
      </c>
      <c r="B1434" s="555" t="n">
        <v>68500</v>
      </c>
      <c r="C1434" s="555" t="n">
        <v>68550</v>
      </c>
      <c r="D1434" s="556">
        <f>IF($A1434&gt;BOTT_A4,ROUND(BASE_A4+RATE_A4*($A1434-BOTT_A4),0),IF($A1434&gt;BOTT_A3,ROUND(BASE_A3+RATE_A3*($A1434-BOTT_A3),0),IF($A1434&gt;BOTT_A2,ROUND(BASE_A2+RATE_A2*($A1434-BOTT_A2),0),ROUND(RATE_A1*$A1434,0))))</f>
        <v/>
      </c>
      <c r="E1434" s="556">
        <f>IF($A1434&gt;BOTT_B4,ROUND(BASE_B4+RATE_B4*($A1434-BOTT_B4),0),IF($A1434&gt;BOTT_B3,ROUND(BASE_B3+RATE_B3*($A1434-BOTT_B3),0),IF($A1434&gt;BOTT_B2,ROUND(BASE_B2+RATE_B2*($A1434-BOTT_B2),0),ROUND(RATE_B1*$A1434,0))))</f>
        <v/>
      </c>
      <c r="F1434" s="556">
        <f>IF($A1434&gt;BOTT_C4,ROUND(BASE_C4+RATE_C4*($A1434-BOTT_C4),0),IF($A1434&gt;BOTT_C3,ROUND(BASE_C3+RATE_C3*($A1434-BOTT_C3),0),IF($A1434&gt;BOTT_C2,ROUND(BASE_C2+RATE_C2*($A1434-BOTT_C2),0),ROUND(RATE_C1*$A1434,0))))</f>
        <v/>
      </c>
      <c r="G1434" s="556">
        <f>IF($A1434&gt;BOTT_D4,ROUND(BASE_D4+RATE_D4*($A1434-BOTT_D4),0),IF($A1434&gt;BOTT_D3,ROUND(BASE_D3+RATE_D3*($A1434-BOTT_D3),0),IF($A1434&gt;BOTT_D2,ROUND(BASE_D2+RATE_D2*($A1434-BOTT_D2),0),ROUND(RATE_D1*$A1434,0))))</f>
        <v/>
      </c>
    </row>
    <row r="1435" ht="15.75" customHeight="1" s="7635">
      <c r="A1435" s="625">
        <f>AVERAGE(B1435,C1435)</f>
        <v/>
      </c>
      <c r="B1435" s="555" t="n">
        <v>68550</v>
      </c>
      <c r="C1435" s="555" t="n">
        <v>68600</v>
      </c>
      <c r="D1435" s="556">
        <f>IF($A1435&gt;BOTT_A4,ROUND(BASE_A4+RATE_A4*($A1435-BOTT_A4),0),IF($A1435&gt;BOTT_A3,ROUND(BASE_A3+RATE_A3*($A1435-BOTT_A3),0),IF($A1435&gt;BOTT_A2,ROUND(BASE_A2+RATE_A2*($A1435-BOTT_A2),0),ROUND(RATE_A1*$A1435,0))))</f>
        <v/>
      </c>
      <c r="E1435" s="556">
        <f>IF($A1435&gt;BOTT_B4,ROUND(BASE_B4+RATE_B4*($A1435-BOTT_B4),0),IF($A1435&gt;BOTT_B3,ROUND(BASE_B3+RATE_B3*($A1435-BOTT_B3),0),IF($A1435&gt;BOTT_B2,ROUND(BASE_B2+RATE_B2*($A1435-BOTT_B2),0),ROUND(RATE_B1*$A1435,0))))</f>
        <v/>
      </c>
      <c r="F1435" s="556">
        <f>IF($A1435&gt;BOTT_C4,ROUND(BASE_C4+RATE_C4*($A1435-BOTT_C4),0),IF($A1435&gt;BOTT_C3,ROUND(BASE_C3+RATE_C3*($A1435-BOTT_C3),0),IF($A1435&gt;BOTT_C2,ROUND(BASE_C2+RATE_C2*($A1435-BOTT_C2),0),ROUND(RATE_C1*$A1435,0))))</f>
        <v/>
      </c>
      <c r="G1435" s="556">
        <f>IF($A1435&gt;BOTT_D4,ROUND(BASE_D4+RATE_D4*($A1435-BOTT_D4),0),IF($A1435&gt;BOTT_D3,ROUND(BASE_D3+RATE_D3*($A1435-BOTT_D3),0),IF($A1435&gt;BOTT_D2,ROUND(BASE_D2+RATE_D2*($A1435-BOTT_D2),0),ROUND(RATE_D1*$A1435,0))))</f>
        <v/>
      </c>
    </row>
    <row r="1436" ht="15.75" customHeight="1" s="7635">
      <c r="A1436" s="625">
        <f>AVERAGE(B1436,C1436)</f>
        <v/>
      </c>
      <c r="B1436" s="555" t="n">
        <v>68600</v>
      </c>
      <c r="C1436" s="555" t="n">
        <v>68650</v>
      </c>
      <c r="D1436" s="556">
        <f>IF($A1436&gt;BOTT_A4,ROUND(BASE_A4+RATE_A4*($A1436-BOTT_A4),0),IF($A1436&gt;BOTT_A3,ROUND(BASE_A3+RATE_A3*($A1436-BOTT_A3),0),IF($A1436&gt;BOTT_A2,ROUND(BASE_A2+RATE_A2*($A1436-BOTT_A2),0),ROUND(RATE_A1*$A1436,0))))</f>
        <v/>
      </c>
      <c r="E1436" s="556">
        <f>IF($A1436&gt;BOTT_B4,ROUND(BASE_B4+RATE_B4*($A1436-BOTT_B4),0),IF($A1436&gt;BOTT_B3,ROUND(BASE_B3+RATE_B3*($A1436-BOTT_B3),0),IF($A1436&gt;BOTT_B2,ROUND(BASE_B2+RATE_B2*($A1436-BOTT_B2),0),ROUND(RATE_B1*$A1436,0))))</f>
        <v/>
      </c>
      <c r="F1436" s="556">
        <f>IF($A1436&gt;BOTT_C4,ROUND(BASE_C4+RATE_C4*($A1436-BOTT_C4),0),IF($A1436&gt;BOTT_C3,ROUND(BASE_C3+RATE_C3*($A1436-BOTT_C3),0),IF($A1436&gt;BOTT_C2,ROUND(BASE_C2+RATE_C2*($A1436-BOTT_C2),0),ROUND(RATE_C1*$A1436,0))))</f>
        <v/>
      </c>
      <c r="G1436" s="556">
        <f>IF($A1436&gt;BOTT_D4,ROUND(BASE_D4+RATE_D4*($A1436-BOTT_D4),0),IF($A1436&gt;BOTT_D3,ROUND(BASE_D3+RATE_D3*($A1436-BOTT_D3),0),IF($A1436&gt;BOTT_D2,ROUND(BASE_D2+RATE_D2*($A1436-BOTT_D2),0),ROUND(RATE_D1*$A1436,0))))</f>
        <v/>
      </c>
    </row>
    <row r="1437" ht="15.75" customHeight="1" s="7635">
      <c r="A1437" s="625">
        <f>AVERAGE(B1437,C1437)</f>
        <v/>
      </c>
      <c r="B1437" s="555" t="n">
        <v>68650</v>
      </c>
      <c r="C1437" s="555" t="n">
        <v>68700</v>
      </c>
      <c r="D1437" s="556">
        <f>IF($A1437&gt;BOTT_A4,ROUND(BASE_A4+RATE_A4*($A1437-BOTT_A4),0),IF($A1437&gt;BOTT_A3,ROUND(BASE_A3+RATE_A3*($A1437-BOTT_A3),0),IF($A1437&gt;BOTT_A2,ROUND(BASE_A2+RATE_A2*($A1437-BOTT_A2),0),ROUND(RATE_A1*$A1437,0))))</f>
        <v/>
      </c>
      <c r="E1437" s="556">
        <f>IF($A1437&gt;BOTT_B4,ROUND(BASE_B4+RATE_B4*($A1437-BOTT_B4),0),IF($A1437&gt;BOTT_B3,ROUND(BASE_B3+RATE_B3*($A1437-BOTT_B3),0),IF($A1437&gt;BOTT_B2,ROUND(BASE_B2+RATE_B2*($A1437-BOTT_B2),0),ROUND(RATE_B1*$A1437,0))))</f>
        <v/>
      </c>
      <c r="F1437" s="556">
        <f>IF($A1437&gt;BOTT_C4,ROUND(BASE_C4+RATE_C4*($A1437-BOTT_C4),0),IF($A1437&gt;BOTT_C3,ROUND(BASE_C3+RATE_C3*($A1437-BOTT_C3),0),IF($A1437&gt;BOTT_C2,ROUND(BASE_C2+RATE_C2*($A1437-BOTT_C2),0),ROUND(RATE_C1*$A1437,0))))</f>
        <v/>
      </c>
      <c r="G1437" s="556">
        <f>IF($A1437&gt;BOTT_D4,ROUND(BASE_D4+RATE_D4*($A1437-BOTT_D4),0),IF($A1437&gt;BOTT_D3,ROUND(BASE_D3+RATE_D3*($A1437-BOTT_D3),0),IF($A1437&gt;BOTT_D2,ROUND(BASE_D2+RATE_D2*($A1437-BOTT_D2),0),ROUND(RATE_D1*$A1437,0))))</f>
        <v/>
      </c>
    </row>
    <row r="1438" ht="15.75" customHeight="1" s="7635">
      <c r="A1438" s="625">
        <f>AVERAGE(B1438,C1438)</f>
        <v/>
      </c>
      <c r="B1438" s="555" t="n">
        <v>68700</v>
      </c>
      <c r="C1438" s="555" t="n">
        <v>68750</v>
      </c>
      <c r="D1438" s="556">
        <f>IF($A1438&gt;BOTT_A4,ROUND(BASE_A4+RATE_A4*($A1438-BOTT_A4),0),IF($A1438&gt;BOTT_A3,ROUND(BASE_A3+RATE_A3*($A1438-BOTT_A3),0),IF($A1438&gt;BOTT_A2,ROUND(BASE_A2+RATE_A2*($A1438-BOTT_A2),0),ROUND(RATE_A1*$A1438,0))))</f>
        <v/>
      </c>
      <c r="E1438" s="556">
        <f>IF($A1438&gt;BOTT_B4,ROUND(BASE_B4+RATE_B4*($A1438-BOTT_B4),0),IF($A1438&gt;BOTT_B3,ROUND(BASE_B3+RATE_B3*($A1438-BOTT_B3),0),IF($A1438&gt;BOTT_B2,ROUND(BASE_B2+RATE_B2*($A1438-BOTT_B2),0),ROUND(RATE_B1*$A1438,0))))</f>
        <v/>
      </c>
      <c r="F1438" s="556">
        <f>IF($A1438&gt;BOTT_C4,ROUND(BASE_C4+RATE_C4*($A1438-BOTT_C4),0),IF($A1438&gt;BOTT_C3,ROUND(BASE_C3+RATE_C3*($A1438-BOTT_C3),0),IF($A1438&gt;BOTT_C2,ROUND(BASE_C2+RATE_C2*($A1438-BOTT_C2),0),ROUND(RATE_C1*$A1438,0))))</f>
        <v/>
      </c>
      <c r="G1438" s="556">
        <f>IF($A1438&gt;BOTT_D4,ROUND(BASE_D4+RATE_D4*($A1438-BOTT_D4),0),IF($A1438&gt;BOTT_D3,ROUND(BASE_D3+RATE_D3*($A1438-BOTT_D3),0),IF($A1438&gt;BOTT_D2,ROUND(BASE_D2+RATE_D2*($A1438-BOTT_D2),0),ROUND(RATE_D1*$A1438,0))))</f>
        <v/>
      </c>
    </row>
    <row r="1439" ht="15.75" customHeight="1" s="7635">
      <c r="A1439" s="625">
        <f>AVERAGE(B1439,C1439)</f>
        <v/>
      </c>
      <c r="B1439" s="555" t="n">
        <v>68750</v>
      </c>
      <c r="C1439" s="555" t="n">
        <v>68800</v>
      </c>
      <c r="D1439" s="556">
        <f>IF($A1439&gt;BOTT_A4,ROUND(BASE_A4+RATE_A4*($A1439-BOTT_A4),0),IF($A1439&gt;BOTT_A3,ROUND(BASE_A3+RATE_A3*($A1439-BOTT_A3),0),IF($A1439&gt;BOTT_A2,ROUND(BASE_A2+RATE_A2*($A1439-BOTT_A2),0),ROUND(RATE_A1*$A1439,0))))</f>
        <v/>
      </c>
      <c r="E1439" s="556">
        <f>IF($A1439&gt;BOTT_B4,ROUND(BASE_B4+RATE_B4*($A1439-BOTT_B4),0),IF($A1439&gt;BOTT_B3,ROUND(BASE_B3+RATE_B3*($A1439-BOTT_B3),0),IF($A1439&gt;BOTT_B2,ROUND(BASE_B2+RATE_B2*($A1439-BOTT_B2),0),ROUND(RATE_B1*$A1439,0))))</f>
        <v/>
      </c>
      <c r="F1439" s="556">
        <f>IF($A1439&gt;BOTT_C4,ROUND(BASE_C4+RATE_C4*($A1439-BOTT_C4),0),IF($A1439&gt;BOTT_C3,ROUND(BASE_C3+RATE_C3*($A1439-BOTT_C3),0),IF($A1439&gt;BOTT_C2,ROUND(BASE_C2+RATE_C2*($A1439-BOTT_C2),0),ROUND(RATE_C1*$A1439,0))))</f>
        <v/>
      </c>
      <c r="G1439" s="556">
        <f>IF($A1439&gt;BOTT_D4,ROUND(BASE_D4+RATE_D4*($A1439-BOTT_D4),0),IF($A1439&gt;BOTT_D3,ROUND(BASE_D3+RATE_D3*($A1439-BOTT_D3),0),IF($A1439&gt;BOTT_D2,ROUND(BASE_D2+RATE_D2*($A1439-BOTT_D2),0),ROUND(RATE_D1*$A1439,0))))</f>
        <v/>
      </c>
    </row>
    <row r="1440" ht="15.75" customHeight="1" s="7635">
      <c r="A1440" s="625">
        <f>AVERAGE(B1440,C1440)</f>
        <v/>
      </c>
      <c r="B1440" s="555" t="n">
        <v>68800</v>
      </c>
      <c r="C1440" s="555" t="n">
        <v>68850</v>
      </c>
      <c r="D1440" s="556">
        <f>IF($A1440&gt;BOTT_A4,ROUND(BASE_A4+RATE_A4*($A1440-BOTT_A4),0),IF($A1440&gt;BOTT_A3,ROUND(BASE_A3+RATE_A3*($A1440-BOTT_A3),0),IF($A1440&gt;BOTT_A2,ROUND(BASE_A2+RATE_A2*($A1440-BOTT_A2),0),ROUND(RATE_A1*$A1440,0))))</f>
        <v/>
      </c>
      <c r="E1440" s="556">
        <f>IF($A1440&gt;BOTT_B4,ROUND(BASE_B4+RATE_B4*($A1440-BOTT_B4),0),IF($A1440&gt;BOTT_B3,ROUND(BASE_B3+RATE_B3*($A1440-BOTT_B3),0),IF($A1440&gt;BOTT_B2,ROUND(BASE_B2+RATE_B2*($A1440-BOTT_B2),0),ROUND(RATE_B1*$A1440,0))))</f>
        <v/>
      </c>
      <c r="F1440" s="556">
        <f>IF($A1440&gt;BOTT_C4,ROUND(BASE_C4+RATE_C4*($A1440-BOTT_C4),0),IF($A1440&gt;BOTT_C3,ROUND(BASE_C3+RATE_C3*($A1440-BOTT_C3),0),IF($A1440&gt;BOTT_C2,ROUND(BASE_C2+RATE_C2*($A1440-BOTT_C2),0),ROUND(RATE_C1*$A1440,0))))</f>
        <v/>
      </c>
      <c r="G1440" s="556">
        <f>IF($A1440&gt;BOTT_D4,ROUND(BASE_D4+RATE_D4*($A1440-BOTT_D4),0),IF($A1440&gt;BOTT_D3,ROUND(BASE_D3+RATE_D3*($A1440-BOTT_D3),0),IF($A1440&gt;BOTT_D2,ROUND(BASE_D2+RATE_D2*($A1440-BOTT_D2),0),ROUND(RATE_D1*$A1440,0))))</f>
        <v/>
      </c>
    </row>
    <row r="1441" ht="15.75" customHeight="1" s="7635">
      <c r="A1441" s="625">
        <f>AVERAGE(B1441,C1441)</f>
        <v/>
      </c>
      <c r="B1441" s="555" t="n">
        <v>68850</v>
      </c>
      <c r="C1441" s="555" t="n">
        <v>68900</v>
      </c>
      <c r="D1441" s="556">
        <f>IF($A1441&gt;BOTT_A4,ROUND(BASE_A4+RATE_A4*($A1441-BOTT_A4),0),IF($A1441&gt;BOTT_A3,ROUND(BASE_A3+RATE_A3*($A1441-BOTT_A3),0),IF($A1441&gt;BOTT_A2,ROUND(BASE_A2+RATE_A2*($A1441-BOTT_A2),0),ROUND(RATE_A1*$A1441,0))))</f>
        <v/>
      </c>
      <c r="E1441" s="556">
        <f>IF($A1441&gt;BOTT_B4,ROUND(BASE_B4+RATE_B4*($A1441-BOTT_B4),0),IF($A1441&gt;BOTT_B3,ROUND(BASE_B3+RATE_B3*($A1441-BOTT_B3),0),IF($A1441&gt;BOTT_B2,ROUND(BASE_B2+RATE_B2*($A1441-BOTT_B2),0),ROUND(RATE_B1*$A1441,0))))</f>
        <v/>
      </c>
      <c r="F1441" s="556">
        <f>IF($A1441&gt;BOTT_C4,ROUND(BASE_C4+RATE_C4*($A1441-BOTT_C4),0),IF($A1441&gt;BOTT_C3,ROUND(BASE_C3+RATE_C3*($A1441-BOTT_C3),0),IF($A1441&gt;BOTT_C2,ROUND(BASE_C2+RATE_C2*($A1441-BOTT_C2),0),ROUND(RATE_C1*$A1441,0))))</f>
        <v/>
      </c>
      <c r="G1441" s="556">
        <f>IF($A1441&gt;BOTT_D4,ROUND(BASE_D4+RATE_D4*($A1441-BOTT_D4),0),IF($A1441&gt;BOTT_D3,ROUND(BASE_D3+RATE_D3*($A1441-BOTT_D3),0),IF($A1441&gt;BOTT_D2,ROUND(BASE_D2+RATE_D2*($A1441-BOTT_D2),0),ROUND(RATE_D1*$A1441,0))))</f>
        <v/>
      </c>
    </row>
    <row r="1442" ht="15.75" customHeight="1" s="7635">
      <c r="A1442" s="625">
        <f>AVERAGE(B1442,C1442)</f>
        <v/>
      </c>
      <c r="B1442" s="555" t="n">
        <v>68900</v>
      </c>
      <c r="C1442" s="555" t="n">
        <v>68950</v>
      </c>
      <c r="D1442" s="556">
        <f>IF($A1442&gt;BOTT_A4,ROUND(BASE_A4+RATE_A4*($A1442-BOTT_A4),0),IF($A1442&gt;BOTT_A3,ROUND(BASE_A3+RATE_A3*($A1442-BOTT_A3),0),IF($A1442&gt;BOTT_A2,ROUND(BASE_A2+RATE_A2*($A1442-BOTT_A2),0),ROUND(RATE_A1*$A1442,0))))</f>
        <v/>
      </c>
      <c r="E1442" s="556">
        <f>IF($A1442&gt;BOTT_B4,ROUND(BASE_B4+RATE_B4*($A1442-BOTT_B4),0),IF($A1442&gt;BOTT_B3,ROUND(BASE_B3+RATE_B3*($A1442-BOTT_B3),0),IF($A1442&gt;BOTT_B2,ROUND(BASE_B2+RATE_B2*($A1442-BOTT_B2),0),ROUND(RATE_B1*$A1442,0))))</f>
        <v/>
      </c>
      <c r="F1442" s="556">
        <f>IF($A1442&gt;BOTT_C4,ROUND(BASE_C4+RATE_C4*($A1442-BOTT_C4),0),IF($A1442&gt;BOTT_C3,ROUND(BASE_C3+RATE_C3*($A1442-BOTT_C3),0),IF($A1442&gt;BOTT_C2,ROUND(BASE_C2+RATE_C2*($A1442-BOTT_C2),0),ROUND(RATE_C1*$A1442,0))))</f>
        <v/>
      </c>
      <c r="G1442" s="556">
        <f>IF($A1442&gt;BOTT_D4,ROUND(BASE_D4+RATE_D4*($A1442-BOTT_D4),0),IF($A1442&gt;BOTT_D3,ROUND(BASE_D3+RATE_D3*($A1442-BOTT_D3),0),IF($A1442&gt;BOTT_D2,ROUND(BASE_D2+RATE_D2*($A1442-BOTT_D2),0),ROUND(RATE_D1*$A1442,0))))</f>
        <v/>
      </c>
    </row>
    <row r="1443" ht="15.75" customHeight="1" s="7635">
      <c r="A1443" s="625">
        <f>AVERAGE(B1443,C1443)</f>
        <v/>
      </c>
      <c r="B1443" s="555" t="n">
        <v>68950</v>
      </c>
      <c r="C1443" s="555" t="n">
        <v>69000</v>
      </c>
      <c r="D1443" s="556">
        <f>IF($A1443&gt;BOTT_A4,ROUND(BASE_A4+RATE_A4*($A1443-BOTT_A4),0),IF($A1443&gt;BOTT_A3,ROUND(BASE_A3+RATE_A3*($A1443-BOTT_A3),0),IF($A1443&gt;BOTT_A2,ROUND(BASE_A2+RATE_A2*($A1443-BOTT_A2),0),ROUND(RATE_A1*$A1443,0))))</f>
        <v/>
      </c>
      <c r="E1443" s="556">
        <f>IF($A1443&gt;BOTT_B4,ROUND(BASE_B4+RATE_B4*($A1443-BOTT_B4),0),IF($A1443&gt;BOTT_B3,ROUND(BASE_B3+RATE_B3*($A1443-BOTT_B3),0),IF($A1443&gt;BOTT_B2,ROUND(BASE_B2+RATE_B2*($A1443-BOTT_B2),0),ROUND(RATE_B1*$A1443,0))))</f>
        <v/>
      </c>
      <c r="F1443" s="556">
        <f>IF($A1443&gt;BOTT_C4,ROUND(BASE_C4+RATE_C4*($A1443-BOTT_C4),0),IF($A1443&gt;BOTT_C3,ROUND(BASE_C3+RATE_C3*($A1443-BOTT_C3),0),IF($A1443&gt;BOTT_C2,ROUND(BASE_C2+RATE_C2*($A1443-BOTT_C2),0),ROUND(RATE_C1*$A1443,0))))</f>
        <v/>
      </c>
      <c r="G1443" s="556">
        <f>IF($A1443&gt;BOTT_D4,ROUND(BASE_D4+RATE_D4*($A1443-BOTT_D4),0),IF($A1443&gt;BOTT_D3,ROUND(BASE_D3+RATE_D3*($A1443-BOTT_D3),0),IF($A1443&gt;BOTT_D2,ROUND(BASE_D2+RATE_D2*($A1443-BOTT_D2),0),ROUND(RATE_D1*$A1443,0))))</f>
        <v/>
      </c>
    </row>
    <row r="1444" ht="15.75" customHeight="1" s="7635">
      <c r="A1444" s="625">
        <f>AVERAGE(B1444,C1444)</f>
        <v/>
      </c>
      <c r="B1444" s="555" t="n">
        <v>69000</v>
      </c>
      <c r="C1444" s="555" t="n">
        <v>69050</v>
      </c>
      <c r="D1444" s="556">
        <f>IF($A1444&gt;BOTT_A4,ROUND(BASE_A4+RATE_A4*($A1444-BOTT_A4),0),IF($A1444&gt;BOTT_A3,ROUND(BASE_A3+RATE_A3*($A1444-BOTT_A3),0),IF($A1444&gt;BOTT_A2,ROUND(BASE_A2+RATE_A2*($A1444-BOTT_A2),0),ROUND(RATE_A1*$A1444,0))))</f>
        <v/>
      </c>
      <c r="E1444" s="556">
        <f>IF($A1444&gt;BOTT_B4,ROUND(BASE_B4+RATE_B4*($A1444-BOTT_B4),0),IF($A1444&gt;BOTT_B3,ROUND(BASE_B3+RATE_B3*($A1444-BOTT_B3),0),IF($A1444&gt;BOTT_B2,ROUND(BASE_B2+RATE_B2*($A1444-BOTT_B2),0),ROUND(RATE_B1*$A1444,0))))</f>
        <v/>
      </c>
      <c r="F1444" s="556">
        <f>IF($A1444&gt;BOTT_C4,ROUND(BASE_C4+RATE_C4*($A1444-BOTT_C4),0),IF($A1444&gt;BOTT_C3,ROUND(BASE_C3+RATE_C3*($A1444-BOTT_C3),0),IF($A1444&gt;BOTT_C2,ROUND(BASE_C2+RATE_C2*($A1444-BOTT_C2),0),ROUND(RATE_C1*$A1444,0))))</f>
        <v/>
      </c>
      <c r="G1444" s="556">
        <f>IF($A1444&gt;BOTT_D4,ROUND(BASE_D4+RATE_D4*($A1444-BOTT_D4),0),IF($A1444&gt;BOTT_D3,ROUND(BASE_D3+RATE_D3*($A1444-BOTT_D3),0),IF($A1444&gt;BOTT_D2,ROUND(BASE_D2+RATE_D2*($A1444-BOTT_D2),0),ROUND(RATE_D1*$A1444,0))))</f>
        <v/>
      </c>
    </row>
    <row r="1445" ht="15.75" customHeight="1" s="7635">
      <c r="A1445" s="625">
        <f>AVERAGE(B1445,C1445)</f>
        <v/>
      </c>
      <c r="B1445" s="555" t="n">
        <v>69050</v>
      </c>
      <c r="C1445" s="555" t="n">
        <v>69100</v>
      </c>
      <c r="D1445" s="556">
        <f>IF($A1445&gt;BOTT_A4,ROUND(BASE_A4+RATE_A4*($A1445-BOTT_A4),0),IF($A1445&gt;BOTT_A3,ROUND(BASE_A3+RATE_A3*($A1445-BOTT_A3),0),IF($A1445&gt;BOTT_A2,ROUND(BASE_A2+RATE_A2*($A1445-BOTT_A2),0),ROUND(RATE_A1*$A1445,0))))</f>
        <v/>
      </c>
      <c r="E1445" s="556">
        <f>IF($A1445&gt;BOTT_B4,ROUND(BASE_B4+RATE_B4*($A1445-BOTT_B4),0),IF($A1445&gt;BOTT_B3,ROUND(BASE_B3+RATE_B3*($A1445-BOTT_B3),0),IF($A1445&gt;BOTT_B2,ROUND(BASE_B2+RATE_B2*($A1445-BOTT_B2),0),ROUND(RATE_B1*$A1445,0))))</f>
        <v/>
      </c>
      <c r="F1445" s="556">
        <f>IF($A1445&gt;BOTT_C4,ROUND(BASE_C4+RATE_C4*($A1445-BOTT_C4),0),IF($A1445&gt;BOTT_C3,ROUND(BASE_C3+RATE_C3*($A1445-BOTT_C3),0),IF($A1445&gt;BOTT_C2,ROUND(BASE_C2+RATE_C2*($A1445-BOTT_C2),0),ROUND(RATE_C1*$A1445,0))))</f>
        <v/>
      </c>
      <c r="G1445" s="556">
        <f>IF($A1445&gt;BOTT_D4,ROUND(BASE_D4+RATE_D4*($A1445-BOTT_D4),0),IF($A1445&gt;BOTT_D3,ROUND(BASE_D3+RATE_D3*($A1445-BOTT_D3),0),IF($A1445&gt;BOTT_D2,ROUND(BASE_D2+RATE_D2*($A1445-BOTT_D2),0),ROUND(RATE_D1*$A1445,0))))</f>
        <v/>
      </c>
    </row>
    <row r="1446" ht="15.75" customHeight="1" s="7635">
      <c r="A1446" s="625">
        <f>AVERAGE(B1446,C1446)</f>
        <v/>
      </c>
      <c r="B1446" s="555" t="n">
        <v>69100</v>
      </c>
      <c r="C1446" s="555" t="n">
        <v>69150</v>
      </c>
      <c r="D1446" s="556">
        <f>IF($A1446&gt;BOTT_A4,ROUND(BASE_A4+RATE_A4*($A1446-BOTT_A4),0),IF($A1446&gt;BOTT_A3,ROUND(BASE_A3+RATE_A3*($A1446-BOTT_A3),0),IF($A1446&gt;BOTT_A2,ROUND(BASE_A2+RATE_A2*($A1446-BOTT_A2),0),ROUND(RATE_A1*$A1446,0))))</f>
        <v/>
      </c>
      <c r="E1446" s="556">
        <f>IF($A1446&gt;BOTT_B4,ROUND(BASE_B4+RATE_B4*($A1446-BOTT_B4),0),IF($A1446&gt;BOTT_B3,ROUND(BASE_B3+RATE_B3*($A1446-BOTT_B3),0),IF($A1446&gt;BOTT_B2,ROUND(BASE_B2+RATE_B2*($A1446-BOTT_B2),0),ROUND(RATE_B1*$A1446,0))))</f>
        <v/>
      </c>
      <c r="F1446" s="556">
        <f>IF($A1446&gt;BOTT_C4,ROUND(BASE_C4+RATE_C4*($A1446-BOTT_C4),0),IF($A1446&gt;BOTT_C3,ROUND(BASE_C3+RATE_C3*($A1446-BOTT_C3),0),IF($A1446&gt;BOTT_C2,ROUND(BASE_C2+RATE_C2*($A1446-BOTT_C2),0),ROUND(RATE_C1*$A1446,0))))</f>
        <v/>
      </c>
      <c r="G1446" s="556">
        <f>IF($A1446&gt;BOTT_D4,ROUND(BASE_D4+RATE_D4*($A1446-BOTT_D4),0),IF($A1446&gt;BOTT_D3,ROUND(BASE_D3+RATE_D3*($A1446-BOTT_D3),0),IF($A1446&gt;BOTT_D2,ROUND(BASE_D2+RATE_D2*($A1446-BOTT_D2),0),ROUND(RATE_D1*$A1446,0))))</f>
        <v/>
      </c>
    </row>
    <row r="1447" ht="15.75" customHeight="1" s="7635">
      <c r="A1447" s="625">
        <f>AVERAGE(B1447,C1447)</f>
        <v/>
      </c>
      <c r="B1447" s="555" t="n">
        <v>69150</v>
      </c>
      <c r="C1447" s="555" t="n">
        <v>69200</v>
      </c>
      <c r="D1447" s="556">
        <f>IF($A1447&gt;BOTT_A4,ROUND(BASE_A4+RATE_A4*($A1447-BOTT_A4),0),IF($A1447&gt;BOTT_A3,ROUND(BASE_A3+RATE_A3*($A1447-BOTT_A3),0),IF($A1447&gt;BOTT_A2,ROUND(BASE_A2+RATE_A2*($A1447-BOTT_A2),0),ROUND(RATE_A1*$A1447,0))))</f>
        <v/>
      </c>
      <c r="E1447" s="556">
        <f>IF($A1447&gt;BOTT_B4,ROUND(BASE_B4+RATE_B4*($A1447-BOTT_B4),0),IF($A1447&gt;BOTT_B3,ROUND(BASE_B3+RATE_B3*($A1447-BOTT_B3),0),IF($A1447&gt;BOTT_B2,ROUND(BASE_B2+RATE_B2*($A1447-BOTT_B2),0),ROUND(RATE_B1*$A1447,0))))</f>
        <v/>
      </c>
      <c r="F1447" s="556">
        <f>IF($A1447&gt;BOTT_C4,ROUND(BASE_C4+RATE_C4*($A1447-BOTT_C4),0),IF($A1447&gt;BOTT_C3,ROUND(BASE_C3+RATE_C3*($A1447-BOTT_C3),0),IF($A1447&gt;BOTT_C2,ROUND(BASE_C2+RATE_C2*($A1447-BOTT_C2),0),ROUND(RATE_C1*$A1447,0))))</f>
        <v/>
      </c>
      <c r="G1447" s="556">
        <f>IF($A1447&gt;BOTT_D4,ROUND(BASE_D4+RATE_D4*($A1447-BOTT_D4),0),IF($A1447&gt;BOTT_D3,ROUND(BASE_D3+RATE_D3*($A1447-BOTT_D3),0),IF($A1447&gt;BOTT_D2,ROUND(BASE_D2+RATE_D2*($A1447-BOTT_D2),0),ROUND(RATE_D1*$A1447,0))))</f>
        <v/>
      </c>
    </row>
    <row r="1448" ht="15.75" customHeight="1" s="7635">
      <c r="A1448" s="625">
        <f>AVERAGE(B1448,C1448)</f>
        <v/>
      </c>
      <c r="B1448" s="555" t="n">
        <v>69200</v>
      </c>
      <c r="C1448" s="555" t="n">
        <v>69250</v>
      </c>
      <c r="D1448" s="556">
        <f>IF($A1448&gt;BOTT_A4,ROUND(BASE_A4+RATE_A4*($A1448-BOTT_A4),0),IF($A1448&gt;BOTT_A3,ROUND(BASE_A3+RATE_A3*($A1448-BOTT_A3),0),IF($A1448&gt;BOTT_A2,ROUND(BASE_A2+RATE_A2*($A1448-BOTT_A2),0),ROUND(RATE_A1*$A1448,0))))</f>
        <v/>
      </c>
      <c r="E1448" s="556">
        <f>IF($A1448&gt;BOTT_B4,ROUND(BASE_B4+RATE_B4*($A1448-BOTT_B4),0),IF($A1448&gt;BOTT_B3,ROUND(BASE_B3+RATE_B3*($A1448-BOTT_B3),0),IF($A1448&gt;BOTT_B2,ROUND(BASE_B2+RATE_B2*($A1448-BOTT_B2),0),ROUND(RATE_B1*$A1448,0))))</f>
        <v/>
      </c>
      <c r="F1448" s="556">
        <f>IF($A1448&gt;BOTT_C4,ROUND(BASE_C4+RATE_C4*($A1448-BOTT_C4),0),IF($A1448&gt;BOTT_C3,ROUND(BASE_C3+RATE_C3*($A1448-BOTT_C3),0),IF($A1448&gt;BOTT_C2,ROUND(BASE_C2+RATE_C2*($A1448-BOTT_C2),0),ROUND(RATE_C1*$A1448,0))))</f>
        <v/>
      </c>
      <c r="G1448" s="556">
        <f>IF($A1448&gt;BOTT_D4,ROUND(BASE_D4+RATE_D4*($A1448-BOTT_D4),0),IF($A1448&gt;BOTT_D3,ROUND(BASE_D3+RATE_D3*($A1448-BOTT_D3),0),IF($A1448&gt;BOTT_D2,ROUND(BASE_D2+RATE_D2*($A1448-BOTT_D2),0),ROUND(RATE_D1*$A1448,0))))</f>
        <v/>
      </c>
    </row>
    <row r="1449" ht="15.75" customHeight="1" s="7635">
      <c r="A1449" s="625">
        <f>AVERAGE(B1449,C1449)</f>
        <v/>
      </c>
      <c r="B1449" s="555" t="n">
        <v>69250</v>
      </c>
      <c r="C1449" s="555" t="n">
        <v>69300</v>
      </c>
      <c r="D1449" s="556">
        <f>IF($A1449&gt;BOTT_A4,ROUND(BASE_A4+RATE_A4*($A1449-BOTT_A4),0),IF($A1449&gt;BOTT_A3,ROUND(BASE_A3+RATE_A3*($A1449-BOTT_A3),0),IF($A1449&gt;BOTT_A2,ROUND(BASE_A2+RATE_A2*($A1449-BOTT_A2),0),ROUND(RATE_A1*$A1449,0))))</f>
        <v/>
      </c>
      <c r="E1449" s="556">
        <f>IF($A1449&gt;BOTT_B4,ROUND(BASE_B4+RATE_B4*($A1449-BOTT_B4),0),IF($A1449&gt;BOTT_B3,ROUND(BASE_B3+RATE_B3*($A1449-BOTT_B3),0),IF($A1449&gt;BOTT_B2,ROUND(BASE_B2+RATE_B2*($A1449-BOTT_B2),0),ROUND(RATE_B1*$A1449,0))))</f>
        <v/>
      </c>
      <c r="F1449" s="556">
        <f>IF($A1449&gt;BOTT_C4,ROUND(BASE_C4+RATE_C4*($A1449-BOTT_C4),0),IF($A1449&gt;BOTT_C3,ROUND(BASE_C3+RATE_C3*($A1449-BOTT_C3),0),IF($A1449&gt;BOTT_C2,ROUND(BASE_C2+RATE_C2*($A1449-BOTT_C2),0),ROUND(RATE_C1*$A1449,0))))</f>
        <v/>
      </c>
      <c r="G1449" s="556">
        <f>IF($A1449&gt;BOTT_D4,ROUND(BASE_D4+RATE_D4*($A1449-BOTT_D4),0),IF($A1449&gt;BOTT_D3,ROUND(BASE_D3+RATE_D3*($A1449-BOTT_D3),0),IF($A1449&gt;BOTT_D2,ROUND(BASE_D2+RATE_D2*($A1449-BOTT_D2),0),ROUND(RATE_D1*$A1449,0))))</f>
        <v/>
      </c>
    </row>
    <row r="1450" ht="15.75" customHeight="1" s="7635">
      <c r="A1450" s="625">
        <f>AVERAGE(B1450,C1450)</f>
        <v/>
      </c>
      <c r="B1450" s="555" t="n">
        <v>69300</v>
      </c>
      <c r="C1450" s="555" t="n">
        <v>69350</v>
      </c>
      <c r="D1450" s="556">
        <f>IF($A1450&gt;BOTT_A4,ROUND(BASE_A4+RATE_A4*($A1450-BOTT_A4),0),IF($A1450&gt;BOTT_A3,ROUND(BASE_A3+RATE_A3*($A1450-BOTT_A3),0),IF($A1450&gt;BOTT_A2,ROUND(BASE_A2+RATE_A2*($A1450-BOTT_A2),0),ROUND(RATE_A1*$A1450,0))))</f>
        <v/>
      </c>
      <c r="E1450" s="556">
        <f>IF($A1450&gt;BOTT_B4,ROUND(BASE_B4+RATE_B4*($A1450-BOTT_B4),0),IF($A1450&gt;BOTT_B3,ROUND(BASE_B3+RATE_B3*($A1450-BOTT_B3),0),IF($A1450&gt;BOTT_B2,ROUND(BASE_B2+RATE_B2*($A1450-BOTT_B2),0),ROUND(RATE_B1*$A1450,0))))</f>
        <v/>
      </c>
      <c r="F1450" s="556">
        <f>IF($A1450&gt;BOTT_C4,ROUND(BASE_C4+RATE_C4*($A1450-BOTT_C4),0),IF($A1450&gt;BOTT_C3,ROUND(BASE_C3+RATE_C3*($A1450-BOTT_C3),0),IF($A1450&gt;BOTT_C2,ROUND(BASE_C2+RATE_C2*($A1450-BOTT_C2),0),ROUND(RATE_C1*$A1450,0))))</f>
        <v/>
      </c>
      <c r="G1450" s="556">
        <f>IF($A1450&gt;BOTT_D4,ROUND(BASE_D4+RATE_D4*($A1450-BOTT_D4),0),IF($A1450&gt;BOTT_D3,ROUND(BASE_D3+RATE_D3*($A1450-BOTT_D3),0),IF($A1450&gt;BOTT_D2,ROUND(BASE_D2+RATE_D2*($A1450-BOTT_D2),0),ROUND(RATE_D1*$A1450,0))))</f>
        <v/>
      </c>
    </row>
    <row r="1451" ht="15.75" customHeight="1" s="7635">
      <c r="A1451" s="625">
        <f>AVERAGE(B1451,C1451)</f>
        <v/>
      </c>
      <c r="B1451" s="555" t="n">
        <v>69350</v>
      </c>
      <c r="C1451" s="555" t="n">
        <v>69400</v>
      </c>
      <c r="D1451" s="556">
        <f>IF($A1451&gt;BOTT_A4,ROUND(BASE_A4+RATE_A4*($A1451-BOTT_A4),0),IF($A1451&gt;BOTT_A3,ROUND(BASE_A3+RATE_A3*($A1451-BOTT_A3),0),IF($A1451&gt;BOTT_A2,ROUND(BASE_A2+RATE_A2*($A1451-BOTT_A2),0),ROUND(RATE_A1*$A1451,0))))</f>
        <v/>
      </c>
      <c r="E1451" s="556">
        <f>IF($A1451&gt;BOTT_B4,ROUND(BASE_B4+RATE_B4*($A1451-BOTT_B4),0),IF($A1451&gt;BOTT_B3,ROUND(BASE_B3+RATE_B3*($A1451-BOTT_B3),0),IF($A1451&gt;BOTT_B2,ROUND(BASE_B2+RATE_B2*($A1451-BOTT_B2),0),ROUND(RATE_B1*$A1451,0))))</f>
        <v/>
      </c>
      <c r="F1451" s="556">
        <f>IF($A1451&gt;BOTT_C4,ROUND(BASE_C4+RATE_C4*($A1451-BOTT_C4),0),IF($A1451&gt;BOTT_C3,ROUND(BASE_C3+RATE_C3*($A1451-BOTT_C3),0),IF($A1451&gt;BOTT_C2,ROUND(BASE_C2+RATE_C2*($A1451-BOTT_C2),0),ROUND(RATE_C1*$A1451,0))))</f>
        <v/>
      </c>
      <c r="G1451" s="556">
        <f>IF($A1451&gt;BOTT_D4,ROUND(BASE_D4+RATE_D4*($A1451-BOTT_D4),0),IF($A1451&gt;BOTT_D3,ROUND(BASE_D3+RATE_D3*($A1451-BOTT_D3),0),IF($A1451&gt;BOTT_D2,ROUND(BASE_D2+RATE_D2*($A1451-BOTT_D2),0),ROUND(RATE_D1*$A1451,0))))</f>
        <v/>
      </c>
    </row>
    <row r="1452" ht="15.75" customHeight="1" s="7635">
      <c r="A1452" s="625">
        <f>AVERAGE(B1452,C1452)</f>
        <v/>
      </c>
      <c r="B1452" s="555" t="n">
        <v>69400</v>
      </c>
      <c r="C1452" s="555" t="n">
        <v>69450</v>
      </c>
      <c r="D1452" s="556">
        <f>IF($A1452&gt;BOTT_A4,ROUND(BASE_A4+RATE_A4*($A1452-BOTT_A4),0),IF($A1452&gt;BOTT_A3,ROUND(BASE_A3+RATE_A3*($A1452-BOTT_A3),0),IF($A1452&gt;BOTT_A2,ROUND(BASE_A2+RATE_A2*($A1452-BOTT_A2),0),ROUND(RATE_A1*$A1452,0))))</f>
        <v/>
      </c>
      <c r="E1452" s="556">
        <f>IF($A1452&gt;BOTT_B4,ROUND(BASE_B4+RATE_B4*($A1452-BOTT_B4),0),IF($A1452&gt;BOTT_B3,ROUND(BASE_B3+RATE_B3*($A1452-BOTT_B3),0),IF($A1452&gt;BOTT_B2,ROUND(BASE_B2+RATE_B2*($A1452-BOTT_B2),0),ROUND(RATE_B1*$A1452,0))))</f>
        <v/>
      </c>
      <c r="F1452" s="556">
        <f>IF($A1452&gt;BOTT_C4,ROUND(BASE_C4+RATE_C4*($A1452-BOTT_C4),0),IF($A1452&gt;BOTT_C3,ROUND(BASE_C3+RATE_C3*($A1452-BOTT_C3),0),IF($A1452&gt;BOTT_C2,ROUND(BASE_C2+RATE_C2*($A1452-BOTT_C2),0),ROUND(RATE_C1*$A1452,0))))</f>
        <v/>
      </c>
      <c r="G1452" s="556">
        <f>IF($A1452&gt;BOTT_D4,ROUND(BASE_D4+RATE_D4*($A1452-BOTT_D4),0),IF($A1452&gt;BOTT_D3,ROUND(BASE_D3+RATE_D3*($A1452-BOTT_D3),0),IF($A1452&gt;BOTT_D2,ROUND(BASE_D2+RATE_D2*($A1452-BOTT_D2),0),ROUND(RATE_D1*$A1452,0))))</f>
        <v/>
      </c>
    </row>
    <row r="1453" ht="15.75" customHeight="1" s="7635">
      <c r="A1453" s="625">
        <f>AVERAGE(B1453,C1453)</f>
        <v/>
      </c>
      <c r="B1453" s="555" t="n">
        <v>69450</v>
      </c>
      <c r="C1453" s="555" t="n">
        <v>69500</v>
      </c>
      <c r="D1453" s="556">
        <f>IF($A1453&gt;BOTT_A4,ROUND(BASE_A4+RATE_A4*($A1453-BOTT_A4),0),IF($A1453&gt;BOTT_A3,ROUND(BASE_A3+RATE_A3*($A1453-BOTT_A3),0),IF($A1453&gt;BOTT_A2,ROUND(BASE_A2+RATE_A2*($A1453-BOTT_A2),0),ROUND(RATE_A1*$A1453,0))))</f>
        <v/>
      </c>
      <c r="E1453" s="556">
        <f>IF($A1453&gt;BOTT_B4,ROUND(BASE_B4+RATE_B4*($A1453-BOTT_B4),0),IF($A1453&gt;BOTT_B3,ROUND(BASE_B3+RATE_B3*($A1453-BOTT_B3),0),IF($A1453&gt;BOTT_B2,ROUND(BASE_B2+RATE_B2*($A1453-BOTT_B2),0),ROUND(RATE_B1*$A1453,0))))</f>
        <v/>
      </c>
      <c r="F1453" s="556">
        <f>IF($A1453&gt;BOTT_C4,ROUND(BASE_C4+RATE_C4*($A1453-BOTT_C4),0),IF($A1453&gt;BOTT_C3,ROUND(BASE_C3+RATE_C3*($A1453-BOTT_C3),0),IF($A1453&gt;BOTT_C2,ROUND(BASE_C2+RATE_C2*($A1453-BOTT_C2),0),ROUND(RATE_C1*$A1453,0))))</f>
        <v/>
      </c>
      <c r="G1453" s="556">
        <f>IF($A1453&gt;BOTT_D4,ROUND(BASE_D4+RATE_D4*($A1453-BOTT_D4),0),IF($A1453&gt;BOTT_D3,ROUND(BASE_D3+RATE_D3*($A1453-BOTT_D3),0),IF($A1453&gt;BOTT_D2,ROUND(BASE_D2+RATE_D2*($A1453-BOTT_D2),0),ROUND(RATE_D1*$A1453,0))))</f>
        <v/>
      </c>
    </row>
    <row r="1454" ht="15.75" customHeight="1" s="7635">
      <c r="A1454" s="625">
        <f>AVERAGE(B1454,C1454)</f>
        <v/>
      </c>
      <c r="B1454" s="555" t="n">
        <v>69500</v>
      </c>
      <c r="C1454" s="555" t="n">
        <v>69550</v>
      </c>
      <c r="D1454" s="556">
        <f>IF($A1454&gt;BOTT_A4,ROUND(BASE_A4+RATE_A4*($A1454-BOTT_A4),0),IF($A1454&gt;BOTT_A3,ROUND(BASE_A3+RATE_A3*($A1454-BOTT_A3),0),IF($A1454&gt;BOTT_A2,ROUND(BASE_A2+RATE_A2*($A1454-BOTT_A2),0),ROUND(RATE_A1*$A1454,0))))</f>
        <v/>
      </c>
      <c r="E1454" s="556">
        <f>IF($A1454&gt;BOTT_B4,ROUND(BASE_B4+RATE_B4*($A1454-BOTT_B4),0),IF($A1454&gt;BOTT_B3,ROUND(BASE_B3+RATE_B3*($A1454-BOTT_B3),0),IF($A1454&gt;BOTT_B2,ROUND(BASE_B2+RATE_B2*($A1454-BOTT_B2),0),ROUND(RATE_B1*$A1454,0))))</f>
        <v/>
      </c>
      <c r="F1454" s="556">
        <f>IF($A1454&gt;BOTT_C4,ROUND(BASE_C4+RATE_C4*($A1454-BOTT_C4),0),IF($A1454&gt;BOTT_C3,ROUND(BASE_C3+RATE_C3*($A1454-BOTT_C3),0),IF($A1454&gt;BOTT_C2,ROUND(BASE_C2+RATE_C2*($A1454-BOTT_C2),0),ROUND(RATE_C1*$A1454,0))))</f>
        <v/>
      </c>
      <c r="G1454" s="556">
        <f>IF($A1454&gt;BOTT_D4,ROUND(BASE_D4+RATE_D4*($A1454-BOTT_D4),0),IF($A1454&gt;BOTT_D3,ROUND(BASE_D3+RATE_D3*($A1454-BOTT_D3),0),IF($A1454&gt;BOTT_D2,ROUND(BASE_D2+RATE_D2*($A1454-BOTT_D2),0),ROUND(RATE_D1*$A1454,0))))</f>
        <v/>
      </c>
    </row>
    <row r="1455" ht="15.75" customHeight="1" s="7635">
      <c r="A1455" s="625">
        <f>AVERAGE(B1455,C1455)</f>
        <v/>
      </c>
      <c r="B1455" s="555" t="n">
        <v>69550</v>
      </c>
      <c r="C1455" s="555" t="n">
        <v>69600</v>
      </c>
      <c r="D1455" s="556">
        <f>IF($A1455&gt;BOTT_A4,ROUND(BASE_A4+RATE_A4*($A1455-BOTT_A4),0),IF($A1455&gt;BOTT_A3,ROUND(BASE_A3+RATE_A3*($A1455-BOTT_A3),0),IF($A1455&gt;BOTT_A2,ROUND(BASE_A2+RATE_A2*($A1455-BOTT_A2),0),ROUND(RATE_A1*$A1455,0))))</f>
        <v/>
      </c>
      <c r="E1455" s="556">
        <f>IF($A1455&gt;BOTT_B4,ROUND(BASE_B4+RATE_B4*($A1455-BOTT_B4),0),IF($A1455&gt;BOTT_B3,ROUND(BASE_B3+RATE_B3*($A1455-BOTT_B3),0),IF($A1455&gt;BOTT_B2,ROUND(BASE_B2+RATE_B2*($A1455-BOTT_B2),0),ROUND(RATE_B1*$A1455,0))))</f>
        <v/>
      </c>
      <c r="F1455" s="556">
        <f>IF($A1455&gt;BOTT_C4,ROUND(BASE_C4+RATE_C4*($A1455-BOTT_C4),0),IF($A1455&gt;BOTT_C3,ROUND(BASE_C3+RATE_C3*($A1455-BOTT_C3),0),IF($A1455&gt;BOTT_C2,ROUND(BASE_C2+RATE_C2*($A1455-BOTT_C2),0),ROUND(RATE_C1*$A1455,0))))</f>
        <v/>
      </c>
      <c r="G1455" s="556">
        <f>IF($A1455&gt;BOTT_D4,ROUND(BASE_D4+RATE_D4*($A1455-BOTT_D4),0),IF($A1455&gt;BOTT_D3,ROUND(BASE_D3+RATE_D3*($A1455-BOTT_D3),0),IF($A1455&gt;BOTT_D2,ROUND(BASE_D2+RATE_D2*($A1455-BOTT_D2),0),ROUND(RATE_D1*$A1455,0))))</f>
        <v/>
      </c>
    </row>
    <row r="1456" ht="15.75" customHeight="1" s="7635">
      <c r="A1456" s="625">
        <f>AVERAGE(B1456,C1456)</f>
        <v/>
      </c>
      <c r="B1456" s="555" t="n">
        <v>69600</v>
      </c>
      <c r="C1456" s="555" t="n">
        <v>69650</v>
      </c>
      <c r="D1456" s="556">
        <f>IF($A1456&gt;BOTT_A4,ROUND(BASE_A4+RATE_A4*($A1456-BOTT_A4),0),IF($A1456&gt;BOTT_A3,ROUND(BASE_A3+RATE_A3*($A1456-BOTT_A3),0),IF($A1456&gt;BOTT_A2,ROUND(BASE_A2+RATE_A2*($A1456-BOTT_A2),0),ROUND(RATE_A1*$A1456,0))))</f>
        <v/>
      </c>
      <c r="E1456" s="556">
        <f>IF($A1456&gt;BOTT_B4,ROUND(BASE_B4+RATE_B4*($A1456-BOTT_B4),0),IF($A1456&gt;BOTT_B3,ROUND(BASE_B3+RATE_B3*($A1456-BOTT_B3),0),IF($A1456&gt;BOTT_B2,ROUND(BASE_B2+RATE_B2*($A1456-BOTT_B2),0),ROUND(RATE_B1*$A1456,0))))</f>
        <v/>
      </c>
      <c r="F1456" s="556">
        <f>IF($A1456&gt;BOTT_C4,ROUND(BASE_C4+RATE_C4*($A1456-BOTT_C4),0),IF($A1456&gt;BOTT_C3,ROUND(BASE_C3+RATE_C3*($A1456-BOTT_C3),0),IF($A1456&gt;BOTT_C2,ROUND(BASE_C2+RATE_C2*($A1456-BOTT_C2),0),ROUND(RATE_C1*$A1456,0))))</f>
        <v/>
      </c>
      <c r="G1456" s="556">
        <f>IF($A1456&gt;BOTT_D4,ROUND(BASE_D4+RATE_D4*($A1456-BOTT_D4),0),IF($A1456&gt;BOTT_D3,ROUND(BASE_D3+RATE_D3*($A1456-BOTT_D3),0),IF($A1456&gt;BOTT_D2,ROUND(BASE_D2+RATE_D2*($A1456-BOTT_D2),0),ROUND(RATE_D1*$A1456,0))))</f>
        <v/>
      </c>
    </row>
    <row r="1457" ht="15.75" customHeight="1" s="7635">
      <c r="A1457" s="625">
        <f>AVERAGE(B1457,C1457)</f>
        <v/>
      </c>
      <c r="B1457" s="555" t="n">
        <v>69650</v>
      </c>
      <c r="C1457" s="555" t="n">
        <v>69700</v>
      </c>
      <c r="D1457" s="556">
        <f>IF($A1457&gt;BOTT_A4,ROUND(BASE_A4+RATE_A4*($A1457-BOTT_A4),0),IF($A1457&gt;BOTT_A3,ROUND(BASE_A3+RATE_A3*($A1457-BOTT_A3),0),IF($A1457&gt;BOTT_A2,ROUND(BASE_A2+RATE_A2*($A1457-BOTT_A2),0),ROUND(RATE_A1*$A1457,0))))</f>
        <v/>
      </c>
      <c r="E1457" s="556">
        <f>IF($A1457&gt;BOTT_B4,ROUND(BASE_B4+RATE_B4*($A1457-BOTT_B4),0),IF($A1457&gt;BOTT_B3,ROUND(BASE_B3+RATE_B3*($A1457-BOTT_B3),0),IF($A1457&gt;BOTT_B2,ROUND(BASE_B2+RATE_B2*($A1457-BOTT_B2),0),ROUND(RATE_B1*$A1457,0))))</f>
        <v/>
      </c>
      <c r="F1457" s="556">
        <f>IF($A1457&gt;BOTT_C4,ROUND(BASE_C4+RATE_C4*($A1457-BOTT_C4),0),IF($A1457&gt;BOTT_C3,ROUND(BASE_C3+RATE_C3*($A1457-BOTT_C3),0),IF($A1457&gt;BOTT_C2,ROUND(BASE_C2+RATE_C2*($A1457-BOTT_C2),0),ROUND(RATE_C1*$A1457,0))))</f>
        <v/>
      </c>
      <c r="G1457" s="556">
        <f>IF($A1457&gt;BOTT_D4,ROUND(BASE_D4+RATE_D4*($A1457-BOTT_D4),0),IF($A1457&gt;BOTT_D3,ROUND(BASE_D3+RATE_D3*($A1457-BOTT_D3),0),IF($A1457&gt;BOTT_D2,ROUND(BASE_D2+RATE_D2*($A1457-BOTT_D2),0),ROUND(RATE_D1*$A1457,0))))</f>
        <v/>
      </c>
    </row>
    <row r="1458" ht="15.75" customHeight="1" s="7635">
      <c r="A1458" s="625">
        <f>AVERAGE(B1458,C1458)</f>
        <v/>
      </c>
      <c r="B1458" s="555" t="n">
        <v>69700</v>
      </c>
      <c r="C1458" s="555" t="n">
        <v>69750</v>
      </c>
      <c r="D1458" s="556">
        <f>IF($A1458&gt;BOTT_A4,ROUND(BASE_A4+RATE_A4*($A1458-BOTT_A4),0),IF($A1458&gt;BOTT_A3,ROUND(BASE_A3+RATE_A3*($A1458-BOTT_A3),0),IF($A1458&gt;BOTT_A2,ROUND(BASE_A2+RATE_A2*($A1458-BOTT_A2),0),ROUND(RATE_A1*$A1458,0))))</f>
        <v/>
      </c>
      <c r="E1458" s="556">
        <f>IF($A1458&gt;BOTT_B4,ROUND(BASE_B4+RATE_B4*($A1458-BOTT_B4),0),IF($A1458&gt;BOTT_B3,ROUND(BASE_B3+RATE_B3*($A1458-BOTT_B3),0),IF($A1458&gt;BOTT_B2,ROUND(BASE_B2+RATE_B2*($A1458-BOTT_B2),0),ROUND(RATE_B1*$A1458,0))))</f>
        <v/>
      </c>
      <c r="F1458" s="556">
        <f>IF($A1458&gt;BOTT_C4,ROUND(BASE_C4+RATE_C4*($A1458-BOTT_C4),0),IF($A1458&gt;BOTT_C3,ROUND(BASE_C3+RATE_C3*($A1458-BOTT_C3),0),IF($A1458&gt;BOTT_C2,ROUND(BASE_C2+RATE_C2*($A1458-BOTT_C2),0),ROUND(RATE_C1*$A1458,0))))</f>
        <v/>
      </c>
      <c r="G1458" s="556">
        <f>IF($A1458&gt;BOTT_D4,ROUND(BASE_D4+RATE_D4*($A1458-BOTT_D4),0),IF($A1458&gt;BOTT_D3,ROUND(BASE_D3+RATE_D3*($A1458-BOTT_D3),0),IF($A1458&gt;BOTT_D2,ROUND(BASE_D2+RATE_D2*($A1458-BOTT_D2),0),ROUND(RATE_D1*$A1458,0))))</f>
        <v/>
      </c>
    </row>
    <row r="1459" ht="15.75" customHeight="1" s="7635">
      <c r="A1459" s="625">
        <f>AVERAGE(B1459,C1459)</f>
        <v/>
      </c>
      <c r="B1459" s="555" t="n">
        <v>69750</v>
      </c>
      <c r="C1459" s="555" t="n">
        <v>69800</v>
      </c>
      <c r="D1459" s="556">
        <f>IF($A1459&gt;BOTT_A4,ROUND(BASE_A4+RATE_A4*($A1459-BOTT_A4),0),IF($A1459&gt;BOTT_A3,ROUND(BASE_A3+RATE_A3*($A1459-BOTT_A3),0),IF($A1459&gt;BOTT_A2,ROUND(BASE_A2+RATE_A2*($A1459-BOTT_A2),0),ROUND(RATE_A1*$A1459,0))))</f>
        <v/>
      </c>
      <c r="E1459" s="556">
        <f>IF($A1459&gt;BOTT_B4,ROUND(BASE_B4+RATE_B4*($A1459-BOTT_B4),0),IF($A1459&gt;BOTT_B3,ROUND(BASE_B3+RATE_B3*($A1459-BOTT_B3),0),IF($A1459&gt;BOTT_B2,ROUND(BASE_B2+RATE_B2*($A1459-BOTT_B2),0),ROUND(RATE_B1*$A1459,0))))</f>
        <v/>
      </c>
      <c r="F1459" s="556">
        <f>IF($A1459&gt;BOTT_C4,ROUND(BASE_C4+RATE_C4*($A1459-BOTT_C4),0),IF($A1459&gt;BOTT_C3,ROUND(BASE_C3+RATE_C3*($A1459-BOTT_C3),0),IF($A1459&gt;BOTT_C2,ROUND(BASE_C2+RATE_C2*($A1459-BOTT_C2),0),ROUND(RATE_C1*$A1459,0))))</f>
        <v/>
      </c>
      <c r="G1459" s="556">
        <f>IF($A1459&gt;BOTT_D4,ROUND(BASE_D4+RATE_D4*($A1459-BOTT_D4),0),IF($A1459&gt;BOTT_D3,ROUND(BASE_D3+RATE_D3*($A1459-BOTT_D3),0),IF($A1459&gt;BOTT_D2,ROUND(BASE_D2+RATE_D2*($A1459-BOTT_D2),0),ROUND(RATE_D1*$A1459,0))))</f>
        <v/>
      </c>
    </row>
    <row r="1460" ht="15.75" customHeight="1" s="7635">
      <c r="A1460" s="625">
        <f>AVERAGE(B1460,C1460)</f>
        <v/>
      </c>
      <c r="B1460" s="555" t="n">
        <v>69800</v>
      </c>
      <c r="C1460" s="555" t="n">
        <v>69850</v>
      </c>
      <c r="D1460" s="556">
        <f>IF($A1460&gt;BOTT_A4,ROUND(BASE_A4+RATE_A4*($A1460-BOTT_A4),0),IF($A1460&gt;BOTT_A3,ROUND(BASE_A3+RATE_A3*($A1460-BOTT_A3),0),IF($A1460&gt;BOTT_A2,ROUND(BASE_A2+RATE_A2*($A1460-BOTT_A2),0),ROUND(RATE_A1*$A1460,0))))</f>
        <v/>
      </c>
      <c r="E1460" s="556">
        <f>IF($A1460&gt;BOTT_B4,ROUND(BASE_B4+RATE_B4*($A1460-BOTT_B4),0),IF($A1460&gt;BOTT_B3,ROUND(BASE_B3+RATE_B3*($A1460-BOTT_B3),0),IF($A1460&gt;BOTT_B2,ROUND(BASE_B2+RATE_B2*($A1460-BOTT_B2),0),ROUND(RATE_B1*$A1460,0))))</f>
        <v/>
      </c>
      <c r="F1460" s="556">
        <f>IF($A1460&gt;BOTT_C4,ROUND(BASE_C4+RATE_C4*($A1460-BOTT_C4),0),IF($A1460&gt;BOTT_C3,ROUND(BASE_C3+RATE_C3*($A1460-BOTT_C3),0),IF($A1460&gt;BOTT_C2,ROUND(BASE_C2+RATE_C2*($A1460-BOTT_C2),0),ROUND(RATE_C1*$A1460,0))))</f>
        <v/>
      </c>
      <c r="G1460" s="556">
        <f>IF($A1460&gt;BOTT_D4,ROUND(BASE_D4+RATE_D4*($A1460-BOTT_D4),0),IF($A1460&gt;BOTT_D3,ROUND(BASE_D3+RATE_D3*($A1460-BOTT_D3),0),IF($A1460&gt;BOTT_D2,ROUND(BASE_D2+RATE_D2*($A1460-BOTT_D2),0),ROUND(RATE_D1*$A1460,0))))</f>
        <v/>
      </c>
    </row>
    <row r="1461" ht="15.75" customHeight="1" s="7635">
      <c r="A1461" s="625">
        <f>AVERAGE(B1461,C1461)</f>
        <v/>
      </c>
      <c r="B1461" s="555" t="n">
        <v>69850</v>
      </c>
      <c r="C1461" s="555" t="n">
        <v>69900</v>
      </c>
      <c r="D1461" s="556">
        <f>IF($A1461&gt;BOTT_A4,ROUND(BASE_A4+RATE_A4*($A1461-BOTT_A4),0),IF($A1461&gt;BOTT_A3,ROUND(BASE_A3+RATE_A3*($A1461-BOTT_A3),0),IF($A1461&gt;BOTT_A2,ROUND(BASE_A2+RATE_A2*($A1461-BOTT_A2),0),ROUND(RATE_A1*$A1461,0))))</f>
        <v/>
      </c>
      <c r="E1461" s="556">
        <f>IF($A1461&gt;BOTT_B4,ROUND(BASE_B4+RATE_B4*($A1461-BOTT_B4),0),IF($A1461&gt;BOTT_B3,ROUND(BASE_B3+RATE_B3*($A1461-BOTT_B3),0),IF($A1461&gt;BOTT_B2,ROUND(BASE_B2+RATE_B2*($A1461-BOTT_B2),0),ROUND(RATE_B1*$A1461,0))))</f>
        <v/>
      </c>
      <c r="F1461" s="556">
        <f>IF($A1461&gt;BOTT_C4,ROUND(BASE_C4+RATE_C4*($A1461-BOTT_C4),0),IF($A1461&gt;BOTT_C3,ROUND(BASE_C3+RATE_C3*($A1461-BOTT_C3),0),IF($A1461&gt;BOTT_C2,ROUND(BASE_C2+RATE_C2*($A1461-BOTT_C2),0),ROUND(RATE_C1*$A1461,0))))</f>
        <v/>
      </c>
      <c r="G1461" s="556">
        <f>IF($A1461&gt;BOTT_D4,ROUND(BASE_D4+RATE_D4*($A1461-BOTT_D4),0),IF($A1461&gt;BOTT_D3,ROUND(BASE_D3+RATE_D3*($A1461-BOTT_D3),0),IF($A1461&gt;BOTT_D2,ROUND(BASE_D2+RATE_D2*($A1461-BOTT_D2),0),ROUND(RATE_D1*$A1461,0))))</f>
        <v/>
      </c>
    </row>
    <row r="1462" ht="15.75" customHeight="1" s="7635">
      <c r="A1462" s="625">
        <f>AVERAGE(B1462,C1462)</f>
        <v/>
      </c>
      <c r="B1462" s="555" t="n">
        <v>69900</v>
      </c>
      <c r="C1462" s="555" t="n">
        <v>69950</v>
      </c>
      <c r="D1462" s="556">
        <f>IF($A1462&gt;BOTT_A4,ROUND(BASE_A4+RATE_A4*($A1462-BOTT_A4),0),IF($A1462&gt;BOTT_A3,ROUND(BASE_A3+RATE_A3*($A1462-BOTT_A3),0),IF($A1462&gt;BOTT_A2,ROUND(BASE_A2+RATE_A2*($A1462-BOTT_A2),0),ROUND(RATE_A1*$A1462,0))))</f>
        <v/>
      </c>
      <c r="E1462" s="556">
        <f>IF($A1462&gt;BOTT_B4,ROUND(BASE_B4+RATE_B4*($A1462-BOTT_B4),0),IF($A1462&gt;BOTT_B3,ROUND(BASE_B3+RATE_B3*($A1462-BOTT_B3),0),IF($A1462&gt;BOTT_B2,ROUND(BASE_B2+RATE_B2*($A1462-BOTT_B2),0),ROUND(RATE_B1*$A1462,0))))</f>
        <v/>
      </c>
      <c r="F1462" s="556">
        <f>IF($A1462&gt;BOTT_C4,ROUND(BASE_C4+RATE_C4*($A1462-BOTT_C4),0),IF($A1462&gt;BOTT_C3,ROUND(BASE_C3+RATE_C3*($A1462-BOTT_C3),0),IF($A1462&gt;BOTT_C2,ROUND(BASE_C2+RATE_C2*($A1462-BOTT_C2),0),ROUND(RATE_C1*$A1462,0))))</f>
        <v/>
      </c>
      <c r="G1462" s="556">
        <f>IF($A1462&gt;BOTT_D4,ROUND(BASE_D4+RATE_D4*($A1462-BOTT_D4),0),IF($A1462&gt;BOTT_D3,ROUND(BASE_D3+RATE_D3*($A1462-BOTT_D3),0),IF($A1462&gt;BOTT_D2,ROUND(BASE_D2+RATE_D2*($A1462-BOTT_D2),0),ROUND(RATE_D1*$A1462,0))))</f>
        <v/>
      </c>
    </row>
    <row r="1463" ht="15.75" customHeight="1" s="7635">
      <c r="A1463" s="625">
        <f>AVERAGE(B1463,C1463)</f>
        <v/>
      </c>
      <c r="B1463" s="555" t="n">
        <v>69950</v>
      </c>
      <c r="C1463" s="555" t="n">
        <v>70000</v>
      </c>
      <c r="D1463" s="556">
        <f>IF($A1463&gt;BOTT_A4,ROUND(BASE_A4+RATE_A4*($A1463-BOTT_A4),0),IF($A1463&gt;BOTT_A3,ROUND(BASE_A3+RATE_A3*($A1463-BOTT_A3),0),IF($A1463&gt;BOTT_A2,ROUND(BASE_A2+RATE_A2*($A1463-BOTT_A2),0),ROUND(RATE_A1*$A1463,0))))</f>
        <v/>
      </c>
      <c r="E1463" s="556">
        <f>IF($A1463&gt;BOTT_B4,ROUND(BASE_B4+RATE_B4*($A1463-BOTT_B4),0),IF($A1463&gt;BOTT_B3,ROUND(BASE_B3+RATE_B3*($A1463-BOTT_B3),0),IF($A1463&gt;BOTT_B2,ROUND(BASE_B2+RATE_B2*($A1463-BOTT_B2),0),ROUND(RATE_B1*$A1463,0))))</f>
        <v/>
      </c>
      <c r="F1463" s="556">
        <f>IF($A1463&gt;BOTT_C4,ROUND(BASE_C4+RATE_C4*($A1463-BOTT_C4),0),IF($A1463&gt;BOTT_C3,ROUND(BASE_C3+RATE_C3*($A1463-BOTT_C3),0),IF($A1463&gt;BOTT_C2,ROUND(BASE_C2+RATE_C2*($A1463-BOTT_C2),0),ROUND(RATE_C1*$A1463,0))))</f>
        <v/>
      </c>
      <c r="G1463" s="556">
        <f>IF($A1463&gt;BOTT_D4,ROUND(BASE_D4+RATE_D4*($A1463-BOTT_D4),0),IF($A1463&gt;BOTT_D3,ROUND(BASE_D3+RATE_D3*($A1463-BOTT_D3),0),IF($A1463&gt;BOTT_D2,ROUND(BASE_D2+RATE_D2*($A1463-BOTT_D2),0),ROUND(RATE_D1*$A1463,0))))</f>
        <v/>
      </c>
    </row>
    <row r="1464" ht="15.75" customHeight="1" s="7635">
      <c r="A1464" s="625">
        <f>AVERAGE(B1464,C1464)</f>
        <v/>
      </c>
      <c r="B1464" s="555" t="n">
        <v>70000</v>
      </c>
      <c r="C1464" s="555" t="n">
        <v>70050</v>
      </c>
      <c r="D1464" s="556">
        <f>IF($A1464&gt;BOTT_A4,ROUND(BASE_A4+RATE_A4*($A1464-BOTT_A4),0),IF($A1464&gt;BOTT_A3,ROUND(BASE_A3+RATE_A3*($A1464-BOTT_A3),0),IF($A1464&gt;BOTT_A2,ROUND(BASE_A2+RATE_A2*($A1464-BOTT_A2),0),ROUND(RATE_A1*$A1464,0))))</f>
        <v/>
      </c>
      <c r="E1464" s="556">
        <f>IF($A1464&gt;BOTT_B4,ROUND(BASE_B4+RATE_B4*($A1464-BOTT_B4),0),IF($A1464&gt;BOTT_B3,ROUND(BASE_B3+RATE_B3*($A1464-BOTT_B3),0),IF($A1464&gt;BOTT_B2,ROUND(BASE_B2+RATE_B2*($A1464-BOTT_B2),0),ROUND(RATE_B1*$A1464,0))))</f>
        <v/>
      </c>
      <c r="F1464" s="556">
        <f>IF($A1464&gt;BOTT_C4,ROUND(BASE_C4+RATE_C4*($A1464-BOTT_C4),0),IF($A1464&gt;BOTT_C3,ROUND(BASE_C3+RATE_C3*($A1464-BOTT_C3),0),IF($A1464&gt;BOTT_C2,ROUND(BASE_C2+RATE_C2*($A1464-BOTT_C2),0),ROUND(RATE_C1*$A1464,0))))</f>
        <v/>
      </c>
      <c r="G1464" s="556">
        <f>IF($A1464&gt;BOTT_D4,ROUND(BASE_D4+RATE_D4*($A1464-BOTT_D4),0),IF($A1464&gt;BOTT_D3,ROUND(BASE_D3+RATE_D3*($A1464-BOTT_D3),0),IF($A1464&gt;BOTT_D2,ROUND(BASE_D2+RATE_D2*($A1464-BOTT_D2),0),ROUND(RATE_D1*$A1464,0))))</f>
        <v/>
      </c>
    </row>
    <row r="1465" ht="15.75" customHeight="1" s="7635">
      <c r="A1465" s="625">
        <f>AVERAGE(B1465,C1465)</f>
        <v/>
      </c>
      <c r="B1465" s="555" t="n">
        <v>70050</v>
      </c>
      <c r="C1465" s="555" t="n">
        <v>70100</v>
      </c>
      <c r="D1465" s="556">
        <f>IF($A1465&gt;BOTT_A4,ROUND(BASE_A4+RATE_A4*($A1465-BOTT_A4),0),IF($A1465&gt;BOTT_A3,ROUND(BASE_A3+RATE_A3*($A1465-BOTT_A3),0),IF($A1465&gt;BOTT_A2,ROUND(BASE_A2+RATE_A2*($A1465-BOTT_A2),0),ROUND(RATE_A1*$A1465,0))))</f>
        <v/>
      </c>
      <c r="E1465" s="556">
        <f>IF($A1465&gt;BOTT_B4,ROUND(BASE_B4+RATE_B4*($A1465-BOTT_B4),0),IF($A1465&gt;BOTT_B3,ROUND(BASE_B3+RATE_B3*($A1465-BOTT_B3),0),IF($A1465&gt;BOTT_B2,ROUND(BASE_B2+RATE_B2*($A1465-BOTT_B2),0),ROUND(RATE_B1*$A1465,0))))</f>
        <v/>
      </c>
      <c r="F1465" s="556">
        <f>IF($A1465&gt;BOTT_C4,ROUND(BASE_C4+RATE_C4*($A1465-BOTT_C4),0),IF($A1465&gt;BOTT_C3,ROUND(BASE_C3+RATE_C3*($A1465-BOTT_C3),0),IF($A1465&gt;BOTT_C2,ROUND(BASE_C2+RATE_C2*($A1465-BOTT_C2),0),ROUND(RATE_C1*$A1465,0))))</f>
        <v/>
      </c>
      <c r="G1465" s="556">
        <f>IF($A1465&gt;BOTT_D4,ROUND(BASE_D4+RATE_D4*($A1465-BOTT_D4),0),IF($A1465&gt;BOTT_D3,ROUND(BASE_D3+RATE_D3*($A1465-BOTT_D3),0),IF($A1465&gt;BOTT_D2,ROUND(BASE_D2+RATE_D2*($A1465-BOTT_D2),0),ROUND(RATE_D1*$A1465,0))))</f>
        <v/>
      </c>
    </row>
    <row r="1466" ht="15.75" customHeight="1" s="7635">
      <c r="A1466" s="625">
        <f>AVERAGE(B1466,C1466)</f>
        <v/>
      </c>
      <c r="B1466" s="555" t="n">
        <v>70100</v>
      </c>
      <c r="C1466" s="555" t="n">
        <v>70150</v>
      </c>
      <c r="D1466" s="556">
        <f>IF($A1466&gt;BOTT_A4,ROUND(BASE_A4+RATE_A4*($A1466-BOTT_A4),0),IF($A1466&gt;BOTT_A3,ROUND(BASE_A3+RATE_A3*($A1466-BOTT_A3),0),IF($A1466&gt;BOTT_A2,ROUND(BASE_A2+RATE_A2*($A1466-BOTT_A2),0),ROUND(RATE_A1*$A1466,0))))</f>
        <v/>
      </c>
      <c r="E1466" s="556">
        <f>IF($A1466&gt;BOTT_B4,ROUND(BASE_B4+RATE_B4*($A1466-BOTT_B4),0),IF($A1466&gt;BOTT_B3,ROUND(BASE_B3+RATE_B3*($A1466-BOTT_B3),0),IF($A1466&gt;BOTT_B2,ROUND(BASE_B2+RATE_B2*($A1466-BOTT_B2),0),ROUND(RATE_B1*$A1466,0))))</f>
        <v/>
      </c>
      <c r="F1466" s="556">
        <f>IF($A1466&gt;BOTT_C4,ROUND(BASE_C4+RATE_C4*($A1466-BOTT_C4),0),IF($A1466&gt;BOTT_C3,ROUND(BASE_C3+RATE_C3*($A1466-BOTT_C3),0),IF($A1466&gt;BOTT_C2,ROUND(BASE_C2+RATE_C2*($A1466-BOTT_C2),0),ROUND(RATE_C1*$A1466,0))))</f>
        <v/>
      </c>
      <c r="G1466" s="556">
        <f>IF($A1466&gt;BOTT_D4,ROUND(BASE_D4+RATE_D4*($A1466-BOTT_D4),0),IF($A1466&gt;BOTT_D3,ROUND(BASE_D3+RATE_D3*($A1466-BOTT_D3),0),IF($A1466&gt;BOTT_D2,ROUND(BASE_D2+RATE_D2*($A1466-BOTT_D2),0),ROUND(RATE_D1*$A1466,0))))</f>
        <v/>
      </c>
    </row>
    <row r="1467" ht="15.75" customHeight="1" s="7635">
      <c r="A1467" s="625">
        <f>AVERAGE(B1467,C1467)</f>
        <v/>
      </c>
      <c r="B1467" s="555" t="n">
        <v>70150</v>
      </c>
      <c r="C1467" s="555" t="n">
        <v>70200</v>
      </c>
      <c r="D1467" s="556">
        <f>IF($A1467&gt;BOTT_A4,ROUND(BASE_A4+RATE_A4*($A1467-BOTT_A4),0),IF($A1467&gt;BOTT_A3,ROUND(BASE_A3+RATE_A3*($A1467-BOTT_A3),0),IF($A1467&gt;BOTT_A2,ROUND(BASE_A2+RATE_A2*($A1467-BOTT_A2),0),ROUND(RATE_A1*$A1467,0))))</f>
        <v/>
      </c>
      <c r="E1467" s="556">
        <f>IF($A1467&gt;BOTT_B4,ROUND(BASE_B4+RATE_B4*($A1467-BOTT_B4),0),IF($A1467&gt;BOTT_B3,ROUND(BASE_B3+RATE_B3*($A1467-BOTT_B3),0),IF($A1467&gt;BOTT_B2,ROUND(BASE_B2+RATE_B2*($A1467-BOTT_B2),0),ROUND(RATE_B1*$A1467,0))))</f>
        <v/>
      </c>
      <c r="F1467" s="556">
        <f>IF($A1467&gt;BOTT_C4,ROUND(BASE_C4+RATE_C4*($A1467-BOTT_C4),0),IF($A1467&gt;BOTT_C3,ROUND(BASE_C3+RATE_C3*($A1467-BOTT_C3),0),IF($A1467&gt;BOTT_C2,ROUND(BASE_C2+RATE_C2*($A1467-BOTT_C2),0),ROUND(RATE_C1*$A1467,0))))</f>
        <v/>
      </c>
      <c r="G1467" s="556">
        <f>IF($A1467&gt;BOTT_D4,ROUND(BASE_D4+RATE_D4*($A1467-BOTT_D4),0),IF($A1467&gt;BOTT_D3,ROUND(BASE_D3+RATE_D3*($A1467-BOTT_D3),0),IF($A1467&gt;BOTT_D2,ROUND(BASE_D2+RATE_D2*($A1467-BOTT_D2),0),ROUND(RATE_D1*$A1467,0))))</f>
        <v/>
      </c>
    </row>
    <row r="1468" ht="15.75" customHeight="1" s="7635">
      <c r="A1468" s="625">
        <f>AVERAGE(B1468,C1468)</f>
        <v/>
      </c>
      <c r="B1468" s="555" t="n">
        <v>70200</v>
      </c>
      <c r="C1468" s="555" t="n">
        <v>70250</v>
      </c>
      <c r="D1468" s="556">
        <f>IF($A1468&gt;BOTT_A4,ROUND(BASE_A4+RATE_A4*($A1468-BOTT_A4),0),IF($A1468&gt;BOTT_A3,ROUND(BASE_A3+RATE_A3*($A1468-BOTT_A3),0),IF($A1468&gt;BOTT_A2,ROUND(BASE_A2+RATE_A2*($A1468-BOTT_A2),0),ROUND(RATE_A1*$A1468,0))))</f>
        <v/>
      </c>
      <c r="E1468" s="556">
        <f>IF($A1468&gt;BOTT_B4,ROUND(BASE_B4+RATE_B4*($A1468-BOTT_B4),0),IF($A1468&gt;BOTT_B3,ROUND(BASE_B3+RATE_B3*($A1468-BOTT_B3),0),IF($A1468&gt;BOTT_B2,ROUND(BASE_B2+RATE_B2*($A1468-BOTT_B2),0),ROUND(RATE_B1*$A1468,0))))</f>
        <v/>
      </c>
      <c r="F1468" s="556">
        <f>IF($A1468&gt;BOTT_C4,ROUND(BASE_C4+RATE_C4*($A1468-BOTT_C4),0),IF($A1468&gt;BOTT_C3,ROUND(BASE_C3+RATE_C3*($A1468-BOTT_C3),0),IF($A1468&gt;BOTT_C2,ROUND(BASE_C2+RATE_C2*($A1468-BOTT_C2),0),ROUND(RATE_C1*$A1468,0))))</f>
        <v/>
      </c>
      <c r="G1468" s="556">
        <f>IF($A1468&gt;BOTT_D4,ROUND(BASE_D4+RATE_D4*($A1468-BOTT_D4),0),IF($A1468&gt;BOTT_D3,ROUND(BASE_D3+RATE_D3*($A1468-BOTT_D3),0),IF($A1468&gt;BOTT_D2,ROUND(BASE_D2+RATE_D2*($A1468-BOTT_D2),0),ROUND(RATE_D1*$A1468,0))))</f>
        <v/>
      </c>
    </row>
    <row r="1469" ht="15.75" customHeight="1" s="7635">
      <c r="A1469" s="625">
        <f>AVERAGE(B1469,C1469)</f>
        <v/>
      </c>
      <c r="B1469" s="555" t="n">
        <v>70250</v>
      </c>
      <c r="C1469" s="555" t="n">
        <v>70300</v>
      </c>
      <c r="D1469" s="556">
        <f>IF($A1469&gt;BOTT_A4,ROUND(BASE_A4+RATE_A4*($A1469-BOTT_A4),0),IF($A1469&gt;BOTT_A3,ROUND(BASE_A3+RATE_A3*($A1469-BOTT_A3),0),IF($A1469&gt;BOTT_A2,ROUND(BASE_A2+RATE_A2*($A1469-BOTT_A2),0),ROUND(RATE_A1*$A1469,0))))</f>
        <v/>
      </c>
      <c r="E1469" s="556">
        <f>IF($A1469&gt;BOTT_B4,ROUND(BASE_B4+RATE_B4*($A1469-BOTT_B4),0),IF($A1469&gt;BOTT_B3,ROUND(BASE_B3+RATE_B3*($A1469-BOTT_B3),0),IF($A1469&gt;BOTT_B2,ROUND(BASE_B2+RATE_B2*($A1469-BOTT_B2),0),ROUND(RATE_B1*$A1469,0))))</f>
        <v/>
      </c>
      <c r="F1469" s="556">
        <f>IF($A1469&gt;BOTT_C4,ROUND(BASE_C4+RATE_C4*($A1469-BOTT_C4),0),IF($A1469&gt;BOTT_C3,ROUND(BASE_C3+RATE_C3*($A1469-BOTT_C3),0),IF($A1469&gt;BOTT_C2,ROUND(BASE_C2+RATE_C2*($A1469-BOTT_C2),0),ROUND(RATE_C1*$A1469,0))))</f>
        <v/>
      </c>
      <c r="G1469" s="556">
        <f>IF($A1469&gt;BOTT_D4,ROUND(BASE_D4+RATE_D4*($A1469-BOTT_D4),0),IF($A1469&gt;BOTT_D3,ROUND(BASE_D3+RATE_D3*($A1469-BOTT_D3),0),IF($A1469&gt;BOTT_D2,ROUND(BASE_D2+RATE_D2*($A1469-BOTT_D2),0),ROUND(RATE_D1*$A1469,0))))</f>
        <v/>
      </c>
    </row>
    <row r="1470" ht="15.75" customHeight="1" s="7635">
      <c r="A1470" s="625">
        <f>AVERAGE(B1470,C1470)</f>
        <v/>
      </c>
      <c r="B1470" s="555" t="n">
        <v>70300</v>
      </c>
      <c r="C1470" s="555" t="n">
        <v>70350</v>
      </c>
      <c r="D1470" s="556">
        <f>IF($A1470&gt;BOTT_A4,ROUND(BASE_A4+RATE_A4*($A1470-BOTT_A4),0),IF($A1470&gt;BOTT_A3,ROUND(BASE_A3+RATE_A3*($A1470-BOTT_A3),0),IF($A1470&gt;BOTT_A2,ROUND(BASE_A2+RATE_A2*($A1470-BOTT_A2),0),ROUND(RATE_A1*$A1470,0))))</f>
        <v/>
      </c>
      <c r="E1470" s="556">
        <f>IF($A1470&gt;BOTT_B4,ROUND(BASE_B4+RATE_B4*($A1470-BOTT_B4),0),IF($A1470&gt;BOTT_B3,ROUND(BASE_B3+RATE_B3*($A1470-BOTT_B3),0),IF($A1470&gt;BOTT_B2,ROUND(BASE_B2+RATE_B2*($A1470-BOTT_B2),0),ROUND(RATE_B1*$A1470,0))))</f>
        <v/>
      </c>
      <c r="F1470" s="556">
        <f>IF($A1470&gt;BOTT_C4,ROUND(BASE_C4+RATE_C4*($A1470-BOTT_C4),0),IF($A1470&gt;BOTT_C3,ROUND(BASE_C3+RATE_C3*($A1470-BOTT_C3),0),IF($A1470&gt;BOTT_C2,ROUND(BASE_C2+RATE_C2*($A1470-BOTT_C2),0),ROUND(RATE_C1*$A1470,0))))</f>
        <v/>
      </c>
      <c r="G1470" s="556">
        <f>IF($A1470&gt;BOTT_D4,ROUND(BASE_D4+RATE_D4*($A1470-BOTT_D4),0),IF($A1470&gt;BOTT_D3,ROUND(BASE_D3+RATE_D3*($A1470-BOTT_D3),0),IF($A1470&gt;BOTT_D2,ROUND(BASE_D2+RATE_D2*($A1470-BOTT_D2),0),ROUND(RATE_D1*$A1470,0))))</f>
        <v/>
      </c>
    </row>
    <row r="1471" ht="15.75" customHeight="1" s="7635">
      <c r="A1471" s="625">
        <f>AVERAGE(B1471,C1471)</f>
        <v/>
      </c>
      <c r="B1471" s="555" t="n">
        <v>70350</v>
      </c>
      <c r="C1471" s="555" t="n">
        <v>70400</v>
      </c>
      <c r="D1471" s="556">
        <f>IF($A1471&gt;BOTT_A4,ROUND(BASE_A4+RATE_A4*($A1471-BOTT_A4),0),IF($A1471&gt;BOTT_A3,ROUND(BASE_A3+RATE_A3*($A1471-BOTT_A3),0),IF($A1471&gt;BOTT_A2,ROUND(BASE_A2+RATE_A2*($A1471-BOTT_A2),0),ROUND(RATE_A1*$A1471,0))))</f>
        <v/>
      </c>
      <c r="E1471" s="556">
        <f>IF($A1471&gt;BOTT_B4,ROUND(BASE_B4+RATE_B4*($A1471-BOTT_B4),0),IF($A1471&gt;BOTT_B3,ROUND(BASE_B3+RATE_B3*($A1471-BOTT_B3),0),IF($A1471&gt;BOTT_B2,ROUND(BASE_B2+RATE_B2*($A1471-BOTT_B2),0),ROUND(RATE_B1*$A1471,0))))</f>
        <v/>
      </c>
      <c r="F1471" s="556">
        <f>IF($A1471&gt;BOTT_C4,ROUND(BASE_C4+RATE_C4*($A1471-BOTT_C4),0),IF($A1471&gt;BOTT_C3,ROUND(BASE_C3+RATE_C3*($A1471-BOTT_C3),0),IF($A1471&gt;BOTT_C2,ROUND(BASE_C2+RATE_C2*($A1471-BOTT_C2),0),ROUND(RATE_C1*$A1471,0))))</f>
        <v/>
      </c>
      <c r="G1471" s="556">
        <f>IF($A1471&gt;BOTT_D4,ROUND(BASE_D4+RATE_D4*($A1471-BOTT_D4),0),IF($A1471&gt;BOTT_D3,ROUND(BASE_D3+RATE_D3*($A1471-BOTT_D3),0),IF($A1471&gt;BOTT_D2,ROUND(BASE_D2+RATE_D2*($A1471-BOTT_D2),0),ROUND(RATE_D1*$A1471,0))))</f>
        <v/>
      </c>
    </row>
    <row r="1472" ht="15.75" customHeight="1" s="7635">
      <c r="A1472" s="625">
        <f>AVERAGE(B1472,C1472)</f>
        <v/>
      </c>
      <c r="B1472" s="555" t="n">
        <v>70400</v>
      </c>
      <c r="C1472" s="555" t="n">
        <v>70450</v>
      </c>
      <c r="D1472" s="556">
        <f>IF($A1472&gt;BOTT_A4,ROUND(BASE_A4+RATE_A4*($A1472-BOTT_A4),0),IF($A1472&gt;BOTT_A3,ROUND(BASE_A3+RATE_A3*($A1472-BOTT_A3),0),IF($A1472&gt;BOTT_A2,ROUND(BASE_A2+RATE_A2*($A1472-BOTT_A2),0),ROUND(RATE_A1*$A1472,0))))</f>
        <v/>
      </c>
      <c r="E1472" s="556">
        <f>IF($A1472&gt;BOTT_B4,ROUND(BASE_B4+RATE_B4*($A1472-BOTT_B4),0),IF($A1472&gt;BOTT_B3,ROUND(BASE_B3+RATE_B3*($A1472-BOTT_B3),0),IF($A1472&gt;BOTT_B2,ROUND(BASE_B2+RATE_B2*($A1472-BOTT_B2),0),ROUND(RATE_B1*$A1472,0))))</f>
        <v/>
      </c>
      <c r="F1472" s="556">
        <f>IF($A1472&gt;BOTT_C4,ROUND(BASE_C4+RATE_C4*($A1472-BOTT_C4),0),IF($A1472&gt;BOTT_C3,ROUND(BASE_C3+RATE_C3*($A1472-BOTT_C3),0),IF($A1472&gt;BOTT_C2,ROUND(BASE_C2+RATE_C2*($A1472-BOTT_C2),0),ROUND(RATE_C1*$A1472,0))))</f>
        <v/>
      </c>
      <c r="G1472" s="556">
        <f>IF($A1472&gt;BOTT_D4,ROUND(BASE_D4+RATE_D4*($A1472-BOTT_D4),0),IF($A1472&gt;BOTT_D3,ROUND(BASE_D3+RATE_D3*($A1472-BOTT_D3),0),IF($A1472&gt;BOTT_D2,ROUND(BASE_D2+RATE_D2*($A1472-BOTT_D2),0),ROUND(RATE_D1*$A1472,0))))</f>
        <v/>
      </c>
    </row>
    <row r="1473" ht="15.75" customHeight="1" s="7635">
      <c r="A1473" s="625">
        <f>AVERAGE(B1473,C1473)</f>
        <v/>
      </c>
      <c r="B1473" s="555" t="n">
        <v>70450</v>
      </c>
      <c r="C1473" s="555" t="n">
        <v>70500</v>
      </c>
      <c r="D1473" s="556">
        <f>IF($A1473&gt;BOTT_A4,ROUND(BASE_A4+RATE_A4*($A1473-BOTT_A4),0),IF($A1473&gt;BOTT_A3,ROUND(BASE_A3+RATE_A3*($A1473-BOTT_A3),0),IF($A1473&gt;BOTT_A2,ROUND(BASE_A2+RATE_A2*($A1473-BOTT_A2),0),ROUND(RATE_A1*$A1473,0))))</f>
        <v/>
      </c>
      <c r="E1473" s="556">
        <f>IF($A1473&gt;BOTT_B4,ROUND(BASE_B4+RATE_B4*($A1473-BOTT_B4),0),IF($A1473&gt;BOTT_B3,ROUND(BASE_B3+RATE_B3*($A1473-BOTT_B3),0),IF($A1473&gt;BOTT_B2,ROUND(BASE_B2+RATE_B2*($A1473-BOTT_B2),0),ROUND(RATE_B1*$A1473,0))))</f>
        <v/>
      </c>
      <c r="F1473" s="556">
        <f>IF($A1473&gt;BOTT_C4,ROUND(BASE_C4+RATE_C4*($A1473-BOTT_C4),0),IF($A1473&gt;BOTT_C3,ROUND(BASE_C3+RATE_C3*($A1473-BOTT_C3),0),IF($A1473&gt;BOTT_C2,ROUND(BASE_C2+RATE_C2*($A1473-BOTT_C2),0),ROUND(RATE_C1*$A1473,0))))</f>
        <v/>
      </c>
      <c r="G1473" s="556">
        <f>IF($A1473&gt;BOTT_D4,ROUND(BASE_D4+RATE_D4*($A1473-BOTT_D4),0),IF($A1473&gt;BOTT_D3,ROUND(BASE_D3+RATE_D3*($A1473-BOTT_D3),0),IF($A1473&gt;BOTT_D2,ROUND(BASE_D2+RATE_D2*($A1473-BOTT_D2),0),ROUND(RATE_D1*$A1473,0))))</f>
        <v/>
      </c>
    </row>
    <row r="1474" ht="15.75" customHeight="1" s="7635">
      <c r="A1474" s="625">
        <f>AVERAGE(B1474,C1474)</f>
        <v/>
      </c>
      <c r="B1474" s="555" t="n">
        <v>70500</v>
      </c>
      <c r="C1474" s="555" t="n">
        <v>70550</v>
      </c>
      <c r="D1474" s="556">
        <f>IF($A1474&gt;BOTT_A4,ROUND(BASE_A4+RATE_A4*($A1474-BOTT_A4),0),IF($A1474&gt;BOTT_A3,ROUND(BASE_A3+RATE_A3*($A1474-BOTT_A3),0),IF($A1474&gt;BOTT_A2,ROUND(BASE_A2+RATE_A2*($A1474-BOTT_A2),0),ROUND(RATE_A1*$A1474,0))))</f>
        <v/>
      </c>
      <c r="E1474" s="556">
        <f>IF($A1474&gt;BOTT_B4,ROUND(BASE_B4+RATE_B4*($A1474-BOTT_B4),0),IF($A1474&gt;BOTT_B3,ROUND(BASE_B3+RATE_B3*($A1474-BOTT_B3),0),IF($A1474&gt;BOTT_B2,ROUND(BASE_B2+RATE_B2*($A1474-BOTT_B2),0),ROUND(RATE_B1*$A1474,0))))</f>
        <v/>
      </c>
      <c r="F1474" s="556">
        <f>IF($A1474&gt;BOTT_C4,ROUND(BASE_C4+RATE_C4*($A1474-BOTT_C4),0),IF($A1474&gt;BOTT_C3,ROUND(BASE_C3+RATE_C3*($A1474-BOTT_C3),0),IF($A1474&gt;BOTT_C2,ROUND(BASE_C2+RATE_C2*($A1474-BOTT_C2),0),ROUND(RATE_C1*$A1474,0))))</f>
        <v/>
      </c>
      <c r="G1474" s="556">
        <f>IF($A1474&gt;BOTT_D4,ROUND(BASE_D4+RATE_D4*($A1474-BOTT_D4),0),IF($A1474&gt;BOTT_D3,ROUND(BASE_D3+RATE_D3*($A1474-BOTT_D3),0),IF($A1474&gt;BOTT_D2,ROUND(BASE_D2+RATE_D2*($A1474-BOTT_D2),0),ROUND(RATE_D1*$A1474,0))))</f>
        <v/>
      </c>
    </row>
    <row r="1475" ht="15.75" customHeight="1" s="7635">
      <c r="A1475" s="625">
        <f>AVERAGE(B1475,C1475)</f>
        <v/>
      </c>
      <c r="B1475" s="555" t="n">
        <v>70550</v>
      </c>
      <c r="C1475" s="555" t="n">
        <v>70600</v>
      </c>
      <c r="D1475" s="556">
        <f>IF($A1475&gt;BOTT_A4,ROUND(BASE_A4+RATE_A4*($A1475-BOTT_A4),0),IF($A1475&gt;BOTT_A3,ROUND(BASE_A3+RATE_A3*($A1475-BOTT_A3),0),IF($A1475&gt;BOTT_A2,ROUND(BASE_A2+RATE_A2*($A1475-BOTT_A2),0),ROUND(RATE_A1*$A1475,0))))</f>
        <v/>
      </c>
      <c r="E1475" s="556">
        <f>IF($A1475&gt;BOTT_B4,ROUND(BASE_B4+RATE_B4*($A1475-BOTT_B4),0),IF($A1475&gt;BOTT_B3,ROUND(BASE_B3+RATE_B3*($A1475-BOTT_B3),0),IF($A1475&gt;BOTT_B2,ROUND(BASE_B2+RATE_B2*($A1475-BOTT_B2),0),ROUND(RATE_B1*$A1475,0))))</f>
        <v/>
      </c>
      <c r="F1475" s="556">
        <f>IF($A1475&gt;BOTT_C4,ROUND(BASE_C4+RATE_C4*($A1475-BOTT_C4),0),IF($A1475&gt;BOTT_C3,ROUND(BASE_C3+RATE_C3*($A1475-BOTT_C3),0),IF($A1475&gt;BOTT_C2,ROUND(BASE_C2+RATE_C2*($A1475-BOTT_C2),0),ROUND(RATE_C1*$A1475,0))))</f>
        <v/>
      </c>
      <c r="G1475" s="556">
        <f>IF($A1475&gt;BOTT_D4,ROUND(BASE_D4+RATE_D4*($A1475-BOTT_D4),0),IF($A1475&gt;BOTT_D3,ROUND(BASE_D3+RATE_D3*($A1475-BOTT_D3),0),IF($A1475&gt;BOTT_D2,ROUND(BASE_D2+RATE_D2*($A1475-BOTT_D2),0),ROUND(RATE_D1*$A1475,0))))</f>
        <v/>
      </c>
    </row>
    <row r="1476" ht="15.75" customHeight="1" s="7635">
      <c r="A1476" s="625">
        <f>AVERAGE(B1476,C1476)</f>
        <v/>
      </c>
      <c r="B1476" s="555" t="n">
        <v>70600</v>
      </c>
      <c r="C1476" s="555" t="n">
        <v>70650</v>
      </c>
      <c r="D1476" s="556">
        <f>IF($A1476&gt;BOTT_A4,ROUND(BASE_A4+RATE_A4*($A1476-BOTT_A4),0),IF($A1476&gt;BOTT_A3,ROUND(BASE_A3+RATE_A3*($A1476-BOTT_A3),0),IF($A1476&gt;BOTT_A2,ROUND(BASE_A2+RATE_A2*($A1476-BOTT_A2),0),ROUND(RATE_A1*$A1476,0))))</f>
        <v/>
      </c>
      <c r="E1476" s="556">
        <f>IF($A1476&gt;BOTT_B4,ROUND(BASE_B4+RATE_B4*($A1476-BOTT_B4),0),IF($A1476&gt;BOTT_B3,ROUND(BASE_B3+RATE_B3*($A1476-BOTT_B3),0),IF($A1476&gt;BOTT_B2,ROUND(BASE_B2+RATE_B2*($A1476-BOTT_B2),0),ROUND(RATE_B1*$A1476,0))))</f>
        <v/>
      </c>
      <c r="F1476" s="556">
        <f>IF($A1476&gt;BOTT_C4,ROUND(BASE_C4+RATE_C4*($A1476-BOTT_C4),0),IF($A1476&gt;BOTT_C3,ROUND(BASE_C3+RATE_C3*($A1476-BOTT_C3),0),IF($A1476&gt;BOTT_C2,ROUND(BASE_C2+RATE_C2*($A1476-BOTT_C2),0),ROUND(RATE_C1*$A1476,0))))</f>
        <v/>
      </c>
      <c r="G1476" s="556">
        <f>IF($A1476&gt;BOTT_D4,ROUND(BASE_D4+RATE_D4*($A1476-BOTT_D4),0),IF($A1476&gt;BOTT_D3,ROUND(BASE_D3+RATE_D3*($A1476-BOTT_D3),0),IF($A1476&gt;BOTT_D2,ROUND(BASE_D2+RATE_D2*($A1476-BOTT_D2),0),ROUND(RATE_D1*$A1476,0))))</f>
        <v/>
      </c>
    </row>
    <row r="1477" ht="15.75" customHeight="1" s="7635">
      <c r="A1477" s="625">
        <f>AVERAGE(B1477,C1477)</f>
        <v/>
      </c>
      <c r="B1477" s="555" t="n">
        <v>70650</v>
      </c>
      <c r="C1477" s="555" t="n">
        <v>70700</v>
      </c>
      <c r="D1477" s="556">
        <f>IF($A1477&gt;BOTT_A4,ROUND(BASE_A4+RATE_A4*($A1477-BOTT_A4),0),IF($A1477&gt;BOTT_A3,ROUND(BASE_A3+RATE_A3*($A1477-BOTT_A3),0),IF($A1477&gt;BOTT_A2,ROUND(BASE_A2+RATE_A2*($A1477-BOTT_A2),0),ROUND(RATE_A1*$A1477,0))))</f>
        <v/>
      </c>
      <c r="E1477" s="556">
        <f>IF($A1477&gt;BOTT_B4,ROUND(BASE_B4+RATE_B4*($A1477-BOTT_B4),0),IF($A1477&gt;BOTT_B3,ROUND(BASE_B3+RATE_B3*($A1477-BOTT_B3),0),IF($A1477&gt;BOTT_B2,ROUND(BASE_B2+RATE_B2*($A1477-BOTT_B2),0),ROUND(RATE_B1*$A1477,0))))</f>
        <v/>
      </c>
      <c r="F1477" s="556">
        <f>IF($A1477&gt;BOTT_C4,ROUND(BASE_C4+RATE_C4*($A1477-BOTT_C4),0),IF($A1477&gt;BOTT_C3,ROUND(BASE_C3+RATE_C3*($A1477-BOTT_C3),0),IF($A1477&gt;BOTT_C2,ROUND(BASE_C2+RATE_C2*($A1477-BOTT_C2),0),ROUND(RATE_C1*$A1477,0))))</f>
        <v/>
      </c>
      <c r="G1477" s="556">
        <f>IF($A1477&gt;BOTT_D4,ROUND(BASE_D4+RATE_D4*($A1477-BOTT_D4),0),IF($A1477&gt;BOTT_D3,ROUND(BASE_D3+RATE_D3*($A1477-BOTT_D3),0),IF($A1477&gt;BOTT_D2,ROUND(BASE_D2+RATE_D2*($A1477-BOTT_D2),0),ROUND(RATE_D1*$A1477,0))))</f>
        <v/>
      </c>
    </row>
    <row r="1478" ht="15.75" customHeight="1" s="7635">
      <c r="A1478" s="625">
        <f>AVERAGE(B1478,C1478)</f>
        <v/>
      </c>
      <c r="B1478" s="555" t="n">
        <v>70700</v>
      </c>
      <c r="C1478" s="555" t="n">
        <v>70750</v>
      </c>
      <c r="D1478" s="556">
        <f>IF($A1478&gt;BOTT_A4,ROUND(BASE_A4+RATE_A4*($A1478-BOTT_A4),0),IF($A1478&gt;BOTT_A3,ROUND(BASE_A3+RATE_A3*($A1478-BOTT_A3),0),IF($A1478&gt;BOTT_A2,ROUND(BASE_A2+RATE_A2*($A1478-BOTT_A2),0),ROUND(RATE_A1*$A1478,0))))</f>
        <v/>
      </c>
      <c r="E1478" s="556">
        <f>IF($A1478&gt;BOTT_B4,ROUND(BASE_B4+RATE_B4*($A1478-BOTT_B4),0),IF($A1478&gt;BOTT_B3,ROUND(BASE_B3+RATE_B3*($A1478-BOTT_B3),0),IF($A1478&gt;BOTT_B2,ROUND(BASE_B2+RATE_B2*($A1478-BOTT_B2),0),ROUND(RATE_B1*$A1478,0))))</f>
        <v/>
      </c>
      <c r="F1478" s="556">
        <f>IF($A1478&gt;BOTT_C4,ROUND(BASE_C4+RATE_C4*($A1478-BOTT_C4),0),IF($A1478&gt;BOTT_C3,ROUND(BASE_C3+RATE_C3*($A1478-BOTT_C3),0),IF($A1478&gt;BOTT_C2,ROUND(BASE_C2+RATE_C2*($A1478-BOTT_C2),0),ROUND(RATE_C1*$A1478,0))))</f>
        <v/>
      </c>
      <c r="G1478" s="556">
        <f>IF($A1478&gt;BOTT_D4,ROUND(BASE_D4+RATE_D4*($A1478-BOTT_D4),0),IF($A1478&gt;BOTT_D3,ROUND(BASE_D3+RATE_D3*($A1478-BOTT_D3),0),IF($A1478&gt;BOTT_D2,ROUND(BASE_D2+RATE_D2*($A1478-BOTT_D2),0),ROUND(RATE_D1*$A1478,0))))</f>
        <v/>
      </c>
    </row>
    <row r="1479" ht="15.75" customHeight="1" s="7635">
      <c r="A1479" s="625">
        <f>AVERAGE(B1479,C1479)</f>
        <v/>
      </c>
      <c r="B1479" s="555" t="n">
        <v>70750</v>
      </c>
      <c r="C1479" s="555" t="n">
        <v>70800</v>
      </c>
      <c r="D1479" s="556">
        <f>IF($A1479&gt;BOTT_A4,ROUND(BASE_A4+RATE_A4*($A1479-BOTT_A4),0),IF($A1479&gt;BOTT_A3,ROUND(BASE_A3+RATE_A3*($A1479-BOTT_A3),0),IF($A1479&gt;BOTT_A2,ROUND(BASE_A2+RATE_A2*($A1479-BOTT_A2),0),ROUND(RATE_A1*$A1479,0))))</f>
        <v/>
      </c>
      <c r="E1479" s="556">
        <f>IF($A1479&gt;BOTT_B4,ROUND(BASE_B4+RATE_B4*($A1479-BOTT_B4),0),IF($A1479&gt;BOTT_B3,ROUND(BASE_B3+RATE_B3*($A1479-BOTT_B3),0),IF($A1479&gt;BOTT_B2,ROUND(BASE_B2+RATE_B2*($A1479-BOTT_B2),0),ROUND(RATE_B1*$A1479,0))))</f>
        <v/>
      </c>
      <c r="F1479" s="556">
        <f>IF($A1479&gt;BOTT_C4,ROUND(BASE_C4+RATE_C4*($A1479-BOTT_C4),0),IF($A1479&gt;BOTT_C3,ROUND(BASE_C3+RATE_C3*($A1479-BOTT_C3),0),IF($A1479&gt;BOTT_C2,ROUND(BASE_C2+RATE_C2*($A1479-BOTT_C2),0),ROUND(RATE_C1*$A1479,0))))</f>
        <v/>
      </c>
      <c r="G1479" s="556">
        <f>IF($A1479&gt;BOTT_D4,ROUND(BASE_D4+RATE_D4*($A1479-BOTT_D4),0),IF($A1479&gt;BOTT_D3,ROUND(BASE_D3+RATE_D3*($A1479-BOTT_D3),0),IF($A1479&gt;BOTT_D2,ROUND(BASE_D2+RATE_D2*($A1479-BOTT_D2),0),ROUND(RATE_D1*$A1479,0))))</f>
        <v/>
      </c>
    </row>
    <row r="1480" ht="15.75" customHeight="1" s="7635">
      <c r="A1480" s="625">
        <f>AVERAGE(B1480,C1480)</f>
        <v/>
      </c>
      <c r="B1480" s="555" t="n">
        <v>70800</v>
      </c>
      <c r="C1480" s="555" t="n">
        <v>70850</v>
      </c>
      <c r="D1480" s="556">
        <f>IF($A1480&gt;BOTT_A4,ROUND(BASE_A4+RATE_A4*($A1480-BOTT_A4),0),IF($A1480&gt;BOTT_A3,ROUND(BASE_A3+RATE_A3*($A1480-BOTT_A3),0),IF($A1480&gt;BOTT_A2,ROUND(BASE_A2+RATE_A2*($A1480-BOTT_A2),0),ROUND(RATE_A1*$A1480,0))))</f>
        <v/>
      </c>
      <c r="E1480" s="556">
        <f>IF($A1480&gt;BOTT_B4,ROUND(BASE_B4+RATE_B4*($A1480-BOTT_B4),0),IF($A1480&gt;BOTT_B3,ROUND(BASE_B3+RATE_B3*($A1480-BOTT_B3),0),IF($A1480&gt;BOTT_B2,ROUND(BASE_B2+RATE_B2*($A1480-BOTT_B2),0),ROUND(RATE_B1*$A1480,0))))</f>
        <v/>
      </c>
      <c r="F1480" s="556">
        <f>IF($A1480&gt;BOTT_C4,ROUND(BASE_C4+RATE_C4*($A1480-BOTT_C4),0),IF($A1480&gt;BOTT_C3,ROUND(BASE_C3+RATE_C3*($A1480-BOTT_C3),0),IF($A1480&gt;BOTT_C2,ROUND(BASE_C2+RATE_C2*($A1480-BOTT_C2),0),ROUND(RATE_C1*$A1480,0))))</f>
        <v/>
      </c>
      <c r="G1480" s="556">
        <f>IF($A1480&gt;BOTT_D4,ROUND(BASE_D4+RATE_D4*($A1480-BOTT_D4),0),IF($A1480&gt;BOTT_D3,ROUND(BASE_D3+RATE_D3*($A1480-BOTT_D3),0),IF($A1480&gt;BOTT_D2,ROUND(BASE_D2+RATE_D2*($A1480-BOTT_D2),0),ROUND(RATE_D1*$A1480,0))))</f>
        <v/>
      </c>
    </row>
    <row r="1481" ht="15.75" customHeight="1" s="7635">
      <c r="A1481" s="625">
        <f>AVERAGE(B1481,C1481)</f>
        <v/>
      </c>
      <c r="B1481" s="555" t="n">
        <v>70850</v>
      </c>
      <c r="C1481" s="555" t="n">
        <v>70900</v>
      </c>
      <c r="D1481" s="556">
        <f>IF($A1481&gt;BOTT_A4,ROUND(BASE_A4+RATE_A4*($A1481-BOTT_A4),0),IF($A1481&gt;BOTT_A3,ROUND(BASE_A3+RATE_A3*($A1481-BOTT_A3),0),IF($A1481&gt;BOTT_A2,ROUND(BASE_A2+RATE_A2*($A1481-BOTT_A2),0),ROUND(RATE_A1*$A1481,0))))</f>
        <v/>
      </c>
      <c r="E1481" s="556">
        <f>IF($A1481&gt;BOTT_B4,ROUND(BASE_B4+RATE_B4*($A1481-BOTT_B4),0),IF($A1481&gt;BOTT_B3,ROUND(BASE_B3+RATE_B3*($A1481-BOTT_B3),0),IF($A1481&gt;BOTT_B2,ROUND(BASE_B2+RATE_B2*($A1481-BOTT_B2),0),ROUND(RATE_B1*$A1481,0))))</f>
        <v/>
      </c>
      <c r="F1481" s="556">
        <f>IF($A1481&gt;BOTT_C4,ROUND(BASE_C4+RATE_C4*($A1481-BOTT_C4),0),IF($A1481&gt;BOTT_C3,ROUND(BASE_C3+RATE_C3*($A1481-BOTT_C3),0),IF($A1481&gt;BOTT_C2,ROUND(BASE_C2+RATE_C2*($A1481-BOTT_C2),0),ROUND(RATE_C1*$A1481,0))))</f>
        <v/>
      </c>
      <c r="G1481" s="556">
        <f>IF($A1481&gt;BOTT_D4,ROUND(BASE_D4+RATE_D4*($A1481-BOTT_D4),0),IF($A1481&gt;BOTT_D3,ROUND(BASE_D3+RATE_D3*($A1481-BOTT_D3),0),IF($A1481&gt;BOTT_D2,ROUND(BASE_D2+RATE_D2*($A1481-BOTT_D2),0),ROUND(RATE_D1*$A1481,0))))</f>
        <v/>
      </c>
    </row>
    <row r="1482" ht="15.75" customHeight="1" s="7635">
      <c r="A1482" s="625">
        <f>AVERAGE(B1482,C1482)</f>
        <v/>
      </c>
      <c r="B1482" s="555" t="n">
        <v>70900</v>
      </c>
      <c r="C1482" s="555" t="n">
        <v>70950</v>
      </c>
      <c r="D1482" s="556">
        <f>IF($A1482&gt;BOTT_A4,ROUND(BASE_A4+RATE_A4*($A1482-BOTT_A4),0),IF($A1482&gt;BOTT_A3,ROUND(BASE_A3+RATE_A3*($A1482-BOTT_A3),0),IF($A1482&gt;BOTT_A2,ROUND(BASE_A2+RATE_A2*($A1482-BOTT_A2),0),ROUND(RATE_A1*$A1482,0))))</f>
        <v/>
      </c>
      <c r="E1482" s="556">
        <f>IF($A1482&gt;BOTT_B4,ROUND(BASE_B4+RATE_B4*($A1482-BOTT_B4),0),IF($A1482&gt;BOTT_B3,ROUND(BASE_B3+RATE_B3*($A1482-BOTT_B3),0),IF($A1482&gt;BOTT_B2,ROUND(BASE_B2+RATE_B2*($A1482-BOTT_B2),0),ROUND(RATE_B1*$A1482,0))))</f>
        <v/>
      </c>
      <c r="F1482" s="556">
        <f>IF($A1482&gt;BOTT_C4,ROUND(BASE_C4+RATE_C4*($A1482-BOTT_C4),0),IF($A1482&gt;BOTT_C3,ROUND(BASE_C3+RATE_C3*($A1482-BOTT_C3),0),IF($A1482&gt;BOTT_C2,ROUND(BASE_C2+RATE_C2*($A1482-BOTT_C2),0),ROUND(RATE_C1*$A1482,0))))</f>
        <v/>
      </c>
      <c r="G1482" s="556">
        <f>IF($A1482&gt;BOTT_D4,ROUND(BASE_D4+RATE_D4*($A1482-BOTT_D4),0),IF($A1482&gt;BOTT_D3,ROUND(BASE_D3+RATE_D3*($A1482-BOTT_D3),0),IF($A1482&gt;BOTT_D2,ROUND(BASE_D2+RATE_D2*($A1482-BOTT_D2),0),ROUND(RATE_D1*$A1482,0))))</f>
        <v/>
      </c>
    </row>
    <row r="1483" ht="15.75" customHeight="1" s="7635">
      <c r="A1483" s="625">
        <f>AVERAGE(B1483,C1483)</f>
        <v/>
      </c>
      <c r="B1483" s="555" t="n">
        <v>70950</v>
      </c>
      <c r="C1483" s="555" t="n">
        <v>71000</v>
      </c>
      <c r="D1483" s="556">
        <f>IF($A1483&gt;BOTT_A4,ROUND(BASE_A4+RATE_A4*($A1483-BOTT_A4),0),IF($A1483&gt;BOTT_A3,ROUND(BASE_A3+RATE_A3*($A1483-BOTT_A3),0),IF($A1483&gt;BOTT_A2,ROUND(BASE_A2+RATE_A2*($A1483-BOTT_A2),0),ROUND(RATE_A1*$A1483,0))))</f>
        <v/>
      </c>
      <c r="E1483" s="556">
        <f>IF($A1483&gt;BOTT_B4,ROUND(BASE_B4+RATE_B4*($A1483-BOTT_B4),0),IF($A1483&gt;BOTT_B3,ROUND(BASE_B3+RATE_B3*($A1483-BOTT_B3),0),IF($A1483&gt;BOTT_B2,ROUND(BASE_B2+RATE_B2*($A1483-BOTT_B2),0),ROUND(RATE_B1*$A1483,0))))</f>
        <v/>
      </c>
      <c r="F1483" s="556">
        <f>IF($A1483&gt;BOTT_C4,ROUND(BASE_C4+RATE_C4*($A1483-BOTT_C4),0),IF($A1483&gt;BOTT_C3,ROUND(BASE_C3+RATE_C3*($A1483-BOTT_C3),0),IF($A1483&gt;BOTT_C2,ROUND(BASE_C2+RATE_C2*($A1483-BOTT_C2),0),ROUND(RATE_C1*$A1483,0))))</f>
        <v/>
      </c>
      <c r="G1483" s="556">
        <f>IF($A1483&gt;BOTT_D4,ROUND(BASE_D4+RATE_D4*($A1483-BOTT_D4),0),IF($A1483&gt;BOTT_D3,ROUND(BASE_D3+RATE_D3*($A1483-BOTT_D3),0),IF($A1483&gt;BOTT_D2,ROUND(BASE_D2+RATE_D2*($A1483-BOTT_D2),0),ROUND(RATE_D1*$A1483,0))))</f>
        <v/>
      </c>
    </row>
    <row r="1484" ht="15.75" customHeight="1" s="7635">
      <c r="A1484" s="625">
        <f>AVERAGE(B1484,C1484)</f>
        <v/>
      </c>
      <c r="B1484" s="555" t="n">
        <v>71000</v>
      </c>
      <c r="C1484" s="555" t="n">
        <v>71050</v>
      </c>
      <c r="D1484" s="556">
        <f>IF($A1484&gt;BOTT_A4,ROUND(BASE_A4+RATE_A4*($A1484-BOTT_A4),0),IF($A1484&gt;BOTT_A3,ROUND(BASE_A3+RATE_A3*($A1484-BOTT_A3),0),IF($A1484&gt;BOTT_A2,ROUND(BASE_A2+RATE_A2*($A1484-BOTT_A2),0),ROUND(RATE_A1*$A1484,0))))</f>
        <v/>
      </c>
      <c r="E1484" s="556">
        <f>IF($A1484&gt;BOTT_B4,ROUND(BASE_B4+RATE_B4*($A1484-BOTT_B4),0),IF($A1484&gt;BOTT_B3,ROUND(BASE_B3+RATE_B3*($A1484-BOTT_B3),0),IF($A1484&gt;BOTT_B2,ROUND(BASE_B2+RATE_B2*($A1484-BOTT_B2),0),ROUND(RATE_B1*$A1484,0))))</f>
        <v/>
      </c>
      <c r="F1484" s="556">
        <f>IF($A1484&gt;BOTT_C4,ROUND(BASE_C4+RATE_C4*($A1484-BOTT_C4),0),IF($A1484&gt;BOTT_C3,ROUND(BASE_C3+RATE_C3*($A1484-BOTT_C3),0),IF($A1484&gt;BOTT_C2,ROUND(BASE_C2+RATE_C2*($A1484-BOTT_C2),0),ROUND(RATE_C1*$A1484,0))))</f>
        <v/>
      </c>
      <c r="G1484" s="556">
        <f>IF($A1484&gt;BOTT_D4,ROUND(BASE_D4+RATE_D4*($A1484-BOTT_D4),0),IF($A1484&gt;BOTT_D3,ROUND(BASE_D3+RATE_D3*($A1484-BOTT_D3),0),IF($A1484&gt;BOTT_D2,ROUND(BASE_D2+RATE_D2*($A1484-BOTT_D2),0),ROUND(RATE_D1*$A1484,0))))</f>
        <v/>
      </c>
    </row>
    <row r="1485" ht="15.75" customHeight="1" s="7635">
      <c r="A1485" s="625">
        <f>AVERAGE(B1485,C1485)</f>
        <v/>
      </c>
      <c r="B1485" s="555" t="n">
        <v>71050</v>
      </c>
      <c r="C1485" s="555" t="n">
        <v>71100</v>
      </c>
      <c r="D1485" s="556">
        <f>IF($A1485&gt;BOTT_A4,ROUND(BASE_A4+RATE_A4*($A1485-BOTT_A4),0),IF($A1485&gt;BOTT_A3,ROUND(BASE_A3+RATE_A3*($A1485-BOTT_A3),0),IF($A1485&gt;BOTT_A2,ROUND(BASE_A2+RATE_A2*($A1485-BOTT_A2),0),ROUND(RATE_A1*$A1485,0))))</f>
        <v/>
      </c>
      <c r="E1485" s="556">
        <f>IF($A1485&gt;BOTT_B4,ROUND(BASE_B4+RATE_B4*($A1485-BOTT_B4),0),IF($A1485&gt;BOTT_B3,ROUND(BASE_B3+RATE_B3*($A1485-BOTT_B3),0),IF($A1485&gt;BOTT_B2,ROUND(BASE_B2+RATE_B2*($A1485-BOTT_B2),0),ROUND(RATE_B1*$A1485,0))))</f>
        <v/>
      </c>
      <c r="F1485" s="556">
        <f>IF($A1485&gt;BOTT_C4,ROUND(BASE_C4+RATE_C4*($A1485-BOTT_C4),0),IF($A1485&gt;BOTT_C3,ROUND(BASE_C3+RATE_C3*($A1485-BOTT_C3),0),IF($A1485&gt;BOTT_C2,ROUND(BASE_C2+RATE_C2*($A1485-BOTT_C2),0),ROUND(RATE_C1*$A1485,0))))</f>
        <v/>
      </c>
      <c r="G1485" s="556">
        <f>IF($A1485&gt;BOTT_D4,ROUND(BASE_D4+RATE_D4*($A1485-BOTT_D4),0),IF($A1485&gt;BOTT_D3,ROUND(BASE_D3+RATE_D3*($A1485-BOTT_D3),0),IF($A1485&gt;BOTT_D2,ROUND(BASE_D2+RATE_D2*($A1485-BOTT_D2),0),ROUND(RATE_D1*$A1485,0))))</f>
        <v/>
      </c>
    </row>
    <row r="1486" ht="15.75" customHeight="1" s="7635">
      <c r="A1486" s="625">
        <f>AVERAGE(B1486,C1486)</f>
        <v/>
      </c>
      <c r="B1486" s="555" t="n">
        <v>71100</v>
      </c>
      <c r="C1486" s="555" t="n">
        <v>71150</v>
      </c>
      <c r="D1486" s="556">
        <f>IF($A1486&gt;BOTT_A4,ROUND(BASE_A4+RATE_A4*($A1486-BOTT_A4),0),IF($A1486&gt;BOTT_A3,ROUND(BASE_A3+RATE_A3*($A1486-BOTT_A3),0),IF($A1486&gt;BOTT_A2,ROUND(BASE_A2+RATE_A2*($A1486-BOTT_A2),0),ROUND(RATE_A1*$A1486,0))))</f>
        <v/>
      </c>
      <c r="E1486" s="556">
        <f>IF($A1486&gt;BOTT_B4,ROUND(BASE_B4+RATE_B4*($A1486-BOTT_B4),0),IF($A1486&gt;BOTT_B3,ROUND(BASE_B3+RATE_B3*($A1486-BOTT_B3),0),IF($A1486&gt;BOTT_B2,ROUND(BASE_B2+RATE_B2*($A1486-BOTT_B2),0),ROUND(RATE_B1*$A1486,0))))</f>
        <v/>
      </c>
      <c r="F1486" s="556">
        <f>IF($A1486&gt;BOTT_C4,ROUND(BASE_C4+RATE_C4*($A1486-BOTT_C4),0),IF($A1486&gt;BOTT_C3,ROUND(BASE_C3+RATE_C3*($A1486-BOTT_C3),0),IF($A1486&gt;BOTT_C2,ROUND(BASE_C2+RATE_C2*($A1486-BOTT_C2),0),ROUND(RATE_C1*$A1486,0))))</f>
        <v/>
      </c>
      <c r="G1486" s="556">
        <f>IF($A1486&gt;BOTT_D4,ROUND(BASE_D4+RATE_D4*($A1486-BOTT_D4),0),IF($A1486&gt;BOTT_D3,ROUND(BASE_D3+RATE_D3*($A1486-BOTT_D3),0),IF($A1486&gt;BOTT_D2,ROUND(BASE_D2+RATE_D2*($A1486-BOTT_D2),0),ROUND(RATE_D1*$A1486,0))))</f>
        <v/>
      </c>
    </row>
    <row r="1487" ht="15.75" customHeight="1" s="7635">
      <c r="A1487" s="625">
        <f>AVERAGE(B1487,C1487)</f>
        <v/>
      </c>
      <c r="B1487" s="555" t="n">
        <v>71150</v>
      </c>
      <c r="C1487" s="555" t="n">
        <v>71200</v>
      </c>
      <c r="D1487" s="556">
        <f>IF($A1487&gt;BOTT_A4,ROUND(BASE_A4+RATE_A4*($A1487-BOTT_A4),0),IF($A1487&gt;BOTT_A3,ROUND(BASE_A3+RATE_A3*($A1487-BOTT_A3),0),IF($A1487&gt;BOTT_A2,ROUND(BASE_A2+RATE_A2*($A1487-BOTT_A2),0),ROUND(RATE_A1*$A1487,0))))</f>
        <v/>
      </c>
      <c r="E1487" s="556">
        <f>IF($A1487&gt;BOTT_B4,ROUND(BASE_B4+RATE_B4*($A1487-BOTT_B4),0),IF($A1487&gt;BOTT_B3,ROUND(BASE_B3+RATE_B3*($A1487-BOTT_B3),0),IF($A1487&gt;BOTT_B2,ROUND(BASE_B2+RATE_B2*($A1487-BOTT_B2),0),ROUND(RATE_B1*$A1487,0))))</f>
        <v/>
      </c>
      <c r="F1487" s="556">
        <f>IF($A1487&gt;BOTT_C4,ROUND(BASE_C4+RATE_C4*($A1487-BOTT_C4),0),IF($A1487&gt;BOTT_C3,ROUND(BASE_C3+RATE_C3*($A1487-BOTT_C3),0),IF($A1487&gt;BOTT_C2,ROUND(BASE_C2+RATE_C2*($A1487-BOTT_C2),0),ROUND(RATE_C1*$A1487,0))))</f>
        <v/>
      </c>
      <c r="G1487" s="556">
        <f>IF($A1487&gt;BOTT_D4,ROUND(BASE_D4+RATE_D4*($A1487-BOTT_D4),0),IF($A1487&gt;BOTT_D3,ROUND(BASE_D3+RATE_D3*($A1487-BOTT_D3),0),IF($A1487&gt;BOTT_D2,ROUND(BASE_D2+RATE_D2*($A1487-BOTT_D2),0),ROUND(RATE_D1*$A1487,0))))</f>
        <v/>
      </c>
    </row>
    <row r="1488" ht="15.75" customHeight="1" s="7635">
      <c r="A1488" s="625">
        <f>AVERAGE(B1488,C1488)</f>
        <v/>
      </c>
      <c r="B1488" s="555" t="n">
        <v>71200</v>
      </c>
      <c r="C1488" s="555" t="n">
        <v>71250</v>
      </c>
      <c r="D1488" s="556">
        <f>IF($A1488&gt;BOTT_A4,ROUND(BASE_A4+RATE_A4*($A1488-BOTT_A4),0),IF($A1488&gt;BOTT_A3,ROUND(BASE_A3+RATE_A3*($A1488-BOTT_A3),0),IF($A1488&gt;BOTT_A2,ROUND(BASE_A2+RATE_A2*($A1488-BOTT_A2),0),ROUND(RATE_A1*$A1488,0))))</f>
        <v/>
      </c>
      <c r="E1488" s="556">
        <f>IF($A1488&gt;BOTT_B4,ROUND(BASE_B4+RATE_B4*($A1488-BOTT_B4),0),IF($A1488&gt;BOTT_B3,ROUND(BASE_B3+RATE_B3*($A1488-BOTT_B3),0),IF($A1488&gt;BOTT_B2,ROUND(BASE_B2+RATE_B2*($A1488-BOTT_B2),0),ROUND(RATE_B1*$A1488,0))))</f>
        <v/>
      </c>
      <c r="F1488" s="556">
        <f>IF($A1488&gt;BOTT_C4,ROUND(BASE_C4+RATE_C4*($A1488-BOTT_C4),0),IF($A1488&gt;BOTT_C3,ROUND(BASE_C3+RATE_C3*($A1488-BOTT_C3),0),IF($A1488&gt;BOTT_C2,ROUND(BASE_C2+RATE_C2*($A1488-BOTT_C2),0),ROUND(RATE_C1*$A1488,0))))</f>
        <v/>
      </c>
      <c r="G1488" s="556">
        <f>IF($A1488&gt;BOTT_D4,ROUND(BASE_D4+RATE_D4*($A1488-BOTT_D4),0),IF($A1488&gt;BOTT_D3,ROUND(BASE_D3+RATE_D3*($A1488-BOTT_D3),0),IF($A1488&gt;BOTT_D2,ROUND(BASE_D2+RATE_D2*($A1488-BOTT_D2),0),ROUND(RATE_D1*$A1488,0))))</f>
        <v/>
      </c>
    </row>
    <row r="1489" ht="15.75" customHeight="1" s="7635">
      <c r="A1489" s="625">
        <f>AVERAGE(B1489,C1489)</f>
        <v/>
      </c>
      <c r="B1489" s="555" t="n">
        <v>71250</v>
      </c>
      <c r="C1489" s="555" t="n">
        <v>71300</v>
      </c>
      <c r="D1489" s="556">
        <f>IF($A1489&gt;BOTT_A4,ROUND(BASE_A4+RATE_A4*($A1489-BOTT_A4),0),IF($A1489&gt;BOTT_A3,ROUND(BASE_A3+RATE_A3*($A1489-BOTT_A3),0),IF($A1489&gt;BOTT_A2,ROUND(BASE_A2+RATE_A2*($A1489-BOTT_A2),0),ROUND(RATE_A1*$A1489,0))))</f>
        <v/>
      </c>
      <c r="E1489" s="556">
        <f>IF($A1489&gt;BOTT_B4,ROUND(BASE_B4+RATE_B4*($A1489-BOTT_B4),0),IF($A1489&gt;BOTT_B3,ROUND(BASE_B3+RATE_B3*($A1489-BOTT_B3),0),IF($A1489&gt;BOTT_B2,ROUND(BASE_B2+RATE_B2*($A1489-BOTT_B2),0),ROUND(RATE_B1*$A1489,0))))</f>
        <v/>
      </c>
      <c r="F1489" s="556">
        <f>IF($A1489&gt;BOTT_C4,ROUND(BASE_C4+RATE_C4*($A1489-BOTT_C4),0),IF($A1489&gt;BOTT_C3,ROUND(BASE_C3+RATE_C3*($A1489-BOTT_C3),0),IF($A1489&gt;BOTT_C2,ROUND(BASE_C2+RATE_C2*($A1489-BOTT_C2),0),ROUND(RATE_C1*$A1489,0))))</f>
        <v/>
      </c>
      <c r="G1489" s="556">
        <f>IF($A1489&gt;BOTT_D4,ROUND(BASE_D4+RATE_D4*($A1489-BOTT_D4),0),IF($A1489&gt;BOTT_D3,ROUND(BASE_D3+RATE_D3*($A1489-BOTT_D3),0),IF($A1489&gt;BOTT_D2,ROUND(BASE_D2+RATE_D2*($A1489-BOTT_D2),0),ROUND(RATE_D1*$A1489,0))))</f>
        <v/>
      </c>
    </row>
    <row r="1490" ht="15.75" customHeight="1" s="7635">
      <c r="A1490" s="625">
        <f>AVERAGE(B1490,C1490)</f>
        <v/>
      </c>
      <c r="B1490" s="555" t="n">
        <v>71300</v>
      </c>
      <c r="C1490" s="555" t="n">
        <v>71350</v>
      </c>
      <c r="D1490" s="556">
        <f>IF($A1490&gt;BOTT_A4,ROUND(BASE_A4+RATE_A4*($A1490-BOTT_A4),0),IF($A1490&gt;BOTT_A3,ROUND(BASE_A3+RATE_A3*($A1490-BOTT_A3),0),IF($A1490&gt;BOTT_A2,ROUND(BASE_A2+RATE_A2*($A1490-BOTT_A2),0),ROUND(RATE_A1*$A1490,0))))</f>
        <v/>
      </c>
      <c r="E1490" s="556">
        <f>IF($A1490&gt;BOTT_B4,ROUND(BASE_B4+RATE_B4*($A1490-BOTT_B4),0),IF($A1490&gt;BOTT_B3,ROUND(BASE_B3+RATE_B3*($A1490-BOTT_B3),0),IF($A1490&gt;BOTT_B2,ROUND(BASE_B2+RATE_B2*($A1490-BOTT_B2),0),ROUND(RATE_B1*$A1490,0))))</f>
        <v/>
      </c>
      <c r="F1490" s="556">
        <f>IF($A1490&gt;BOTT_C4,ROUND(BASE_C4+RATE_C4*($A1490-BOTT_C4),0),IF($A1490&gt;BOTT_C3,ROUND(BASE_C3+RATE_C3*($A1490-BOTT_C3),0),IF($A1490&gt;BOTT_C2,ROUND(BASE_C2+RATE_C2*($A1490-BOTT_C2),0),ROUND(RATE_C1*$A1490,0))))</f>
        <v/>
      </c>
      <c r="G1490" s="556">
        <f>IF($A1490&gt;BOTT_D4,ROUND(BASE_D4+RATE_D4*($A1490-BOTT_D4),0),IF($A1490&gt;BOTT_D3,ROUND(BASE_D3+RATE_D3*($A1490-BOTT_D3),0),IF($A1490&gt;BOTT_D2,ROUND(BASE_D2+RATE_D2*($A1490-BOTT_D2),0),ROUND(RATE_D1*$A1490,0))))</f>
        <v/>
      </c>
    </row>
    <row r="1491" ht="15.75" customHeight="1" s="7635">
      <c r="A1491" s="625">
        <f>AVERAGE(B1491,C1491)</f>
        <v/>
      </c>
      <c r="B1491" s="555" t="n">
        <v>71350</v>
      </c>
      <c r="C1491" s="555" t="n">
        <v>71400</v>
      </c>
      <c r="D1491" s="556">
        <f>IF($A1491&gt;BOTT_A4,ROUND(BASE_A4+RATE_A4*($A1491-BOTT_A4),0),IF($A1491&gt;BOTT_A3,ROUND(BASE_A3+RATE_A3*($A1491-BOTT_A3),0),IF($A1491&gt;BOTT_A2,ROUND(BASE_A2+RATE_A2*($A1491-BOTT_A2),0),ROUND(RATE_A1*$A1491,0))))</f>
        <v/>
      </c>
      <c r="E1491" s="556">
        <f>IF($A1491&gt;BOTT_B4,ROUND(BASE_B4+RATE_B4*($A1491-BOTT_B4),0),IF($A1491&gt;BOTT_B3,ROUND(BASE_B3+RATE_B3*($A1491-BOTT_B3),0),IF($A1491&gt;BOTT_B2,ROUND(BASE_B2+RATE_B2*($A1491-BOTT_B2),0),ROUND(RATE_B1*$A1491,0))))</f>
        <v/>
      </c>
      <c r="F1491" s="556">
        <f>IF($A1491&gt;BOTT_C4,ROUND(BASE_C4+RATE_C4*($A1491-BOTT_C4),0),IF($A1491&gt;BOTT_C3,ROUND(BASE_C3+RATE_C3*($A1491-BOTT_C3),0),IF($A1491&gt;BOTT_C2,ROUND(BASE_C2+RATE_C2*($A1491-BOTT_C2),0),ROUND(RATE_C1*$A1491,0))))</f>
        <v/>
      </c>
      <c r="G1491" s="556">
        <f>IF($A1491&gt;BOTT_D4,ROUND(BASE_D4+RATE_D4*($A1491-BOTT_D4),0),IF($A1491&gt;BOTT_D3,ROUND(BASE_D3+RATE_D3*($A1491-BOTT_D3),0),IF($A1491&gt;BOTT_D2,ROUND(BASE_D2+RATE_D2*($A1491-BOTT_D2),0),ROUND(RATE_D1*$A1491,0))))</f>
        <v/>
      </c>
    </row>
    <row r="1492" ht="15.75" customHeight="1" s="7635">
      <c r="A1492" s="625">
        <f>AVERAGE(B1492,C1492)</f>
        <v/>
      </c>
      <c r="B1492" s="555" t="n">
        <v>71400</v>
      </c>
      <c r="C1492" s="555" t="n">
        <v>71450</v>
      </c>
      <c r="D1492" s="556">
        <f>IF($A1492&gt;BOTT_A4,ROUND(BASE_A4+RATE_A4*($A1492-BOTT_A4),0),IF($A1492&gt;BOTT_A3,ROUND(BASE_A3+RATE_A3*($A1492-BOTT_A3),0),IF($A1492&gt;BOTT_A2,ROUND(BASE_A2+RATE_A2*($A1492-BOTT_A2),0),ROUND(RATE_A1*$A1492,0))))</f>
        <v/>
      </c>
      <c r="E1492" s="556">
        <f>IF($A1492&gt;BOTT_B4,ROUND(BASE_B4+RATE_B4*($A1492-BOTT_B4),0),IF($A1492&gt;BOTT_B3,ROUND(BASE_B3+RATE_B3*($A1492-BOTT_B3),0),IF($A1492&gt;BOTT_B2,ROUND(BASE_B2+RATE_B2*($A1492-BOTT_B2),0),ROUND(RATE_B1*$A1492,0))))</f>
        <v/>
      </c>
      <c r="F1492" s="556">
        <f>IF($A1492&gt;BOTT_C4,ROUND(BASE_C4+RATE_C4*($A1492-BOTT_C4),0),IF($A1492&gt;BOTT_C3,ROUND(BASE_C3+RATE_C3*($A1492-BOTT_C3),0),IF($A1492&gt;BOTT_C2,ROUND(BASE_C2+RATE_C2*($A1492-BOTT_C2),0),ROUND(RATE_C1*$A1492,0))))</f>
        <v/>
      </c>
      <c r="G1492" s="556">
        <f>IF($A1492&gt;BOTT_D4,ROUND(BASE_D4+RATE_D4*($A1492-BOTT_D4),0),IF($A1492&gt;BOTT_D3,ROUND(BASE_D3+RATE_D3*($A1492-BOTT_D3),0),IF($A1492&gt;BOTT_D2,ROUND(BASE_D2+RATE_D2*($A1492-BOTT_D2),0),ROUND(RATE_D1*$A1492,0))))</f>
        <v/>
      </c>
    </row>
    <row r="1493" ht="15.75" customHeight="1" s="7635">
      <c r="A1493" s="625">
        <f>AVERAGE(B1493,C1493)</f>
        <v/>
      </c>
      <c r="B1493" s="555" t="n">
        <v>71450</v>
      </c>
      <c r="C1493" s="555" t="n">
        <v>71500</v>
      </c>
      <c r="D1493" s="556">
        <f>IF($A1493&gt;BOTT_A4,ROUND(BASE_A4+RATE_A4*($A1493-BOTT_A4),0),IF($A1493&gt;BOTT_A3,ROUND(BASE_A3+RATE_A3*($A1493-BOTT_A3),0),IF($A1493&gt;BOTT_A2,ROUND(BASE_A2+RATE_A2*($A1493-BOTT_A2),0),ROUND(RATE_A1*$A1493,0))))</f>
        <v/>
      </c>
      <c r="E1493" s="556">
        <f>IF($A1493&gt;BOTT_B4,ROUND(BASE_B4+RATE_B4*($A1493-BOTT_B4),0),IF($A1493&gt;BOTT_B3,ROUND(BASE_B3+RATE_B3*($A1493-BOTT_B3),0),IF($A1493&gt;BOTT_B2,ROUND(BASE_B2+RATE_B2*($A1493-BOTT_B2),0),ROUND(RATE_B1*$A1493,0))))</f>
        <v/>
      </c>
      <c r="F1493" s="556">
        <f>IF($A1493&gt;BOTT_C4,ROUND(BASE_C4+RATE_C4*($A1493-BOTT_C4),0),IF($A1493&gt;BOTT_C3,ROUND(BASE_C3+RATE_C3*($A1493-BOTT_C3),0),IF($A1493&gt;BOTT_C2,ROUND(BASE_C2+RATE_C2*($A1493-BOTT_C2),0),ROUND(RATE_C1*$A1493,0))))</f>
        <v/>
      </c>
      <c r="G1493" s="556">
        <f>IF($A1493&gt;BOTT_D4,ROUND(BASE_D4+RATE_D4*($A1493-BOTT_D4),0),IF($A1493&gt;BOTT_D3,ROUND(BASE_D3+RATE_D3*($A1493-BOTT_D3),0),IF($A1493&gt;BOTT_D2,ROUND(BASE_D2+RATE_D2*($A1493-BOTT_D2),0),ROUND(RATE_D1*$A1493,0))))</f>
        <v/>
      </c>
    </row>
    <row r="1494" ht="15.75" customHeight="1" s="7635">
      <c r="A1494" s="625">
        <f>AVERAGE(B1494,C1494)</f>
        <v/>
      </c>
      <c r="B1494" s="555" t="n">
        <v>71500</v>
      </c>
      <c r="C1494" s="555" t="n">
        <v>71550</v>
      </c>
      <c r="D1494" s="556">
        <f>IF($A1494&gt;BOTT_A4,ROUND(BASE_A4+RATE_A4*($A1494-BOTT_A4),0),IF($A1494&gt;BOTT_A3,ROUND(BASE_A3+RATE_A3*($A1494-BOTT_A3),0),IF($A1494&gt;BOTT_A2,ROUND(BASE_A2+RATE_A2*($A1494-BOTT_A2),0),ROUND(RATE_A1*$A1494,0))))</f>
        <v/>
      </c>
      <c r="E1494" s="556">
        <f>IF($A1494&gt;BOTT_B4,ROUND(BASE_B4+RATE_B4*($A1494-BOTT_B4),0),IF($A1494&gt;BOTT_B3,ROUND(BASE_B3+RATE_B3*($A1494-BOTT_B3),0),IF($A1494&gt;BOTT_B2,ROUND(BASE_B2+RATE_B2*($A1494-BOTT_B2),0),ROUND(RATE_B1*$A1494,0))))</f>
        <v/>
      </c>
      <c r="F1494" s="556">
        <f>IF($A1494&gt;BOTT_C4,ROUND(BASE_C4+RATE_C4*($A1494-BOTT_C4),0),IF($A1494&gt;BOTT_C3,ROUND(BASE_C3+RATE_C3*($A1494-BOTT_C3),0),IF($A1494&gt;BOTT_C2,ROUND(BASE_C2+RATE_C2*($A1494-BOTT_C2),0),ROUND(RATE_C1*$A1494,0))))</f>
        <v/>
      </c>
      <c r="G1494" s="556">
        <f>IF($A1494&gt;BOTT_D4,ROUND(BASE_D4+RATE_D4*($A1494-BOTT_D4),0),IF($A1494&gt;BOTT_D3,ROUND(BASE_D3+RATE_D3*($A1494-BOTT_D3),0),IF($A1494&gt;BOTT_D2,ROUND(BASE_D2+RATE_D2*($A1494-BOTT_D2),0),ROUND(RATE_D1*$A1494,0))))</f>
        <v/>
      </c>
    </row>
    <row r="1495" ht="15.75" customHeight="1" s="7635">
      <c r="A1495" s="625">
        <f>AVERAGE(B1495,C1495)</f>
        <v/>
      </c>
      <c r="B1495" s="555" t="n">
        <v>71550</v>
      </c>
      <c r="C1495" s="555" t="n">
        <v>71600</v>
      </c>
      <c r="D1495" s="556">
        <f>IF($A1495&gt;BOTT_A4,ROUND(BASE_A4+RATE_A4*($A1495-BOTT_A4),0),IF($A1495&gt;BOTT_A3,ROUND(BASE_A3+RATE_A3*($A1495-BOTT_A3),0),IF($A1495&gt;BOTT_A2,ROUND(BASE_A2+RATE_A2*($A1495-BOTT_A2),0),ROUND(RATE_A1*$A1495,0))))</f>
        <v/>
      </c>
      <c r="E1495" s="556">
        <f>IF($A1495&gt;BOTT_B4,ROUND(BASE_B4+RATE_B4*($A1495-BOTT_B4),0),IF($A1495&gt;BOTT_B3,ROUND(BASE_B3+RATE_B3*($A1495-BOTT_B3),0),IF($A1495&gt;BOTT_B2,ROUND(BASE_B2+RATE_B2*($A1495-BOTT_B2),0),ROUND(RATE_B1*$A1495,0))))</f>
        <v/>
      </c>
      <c r="F1495" s="556">
        <f>IF($A1495&gt;BOTT_C4,ROUND(BASE_C4+RATE_C4*($A1495-BOTT_C4),0),IF($A1495&gt;BOTT_C3,ROUND(BASE_C3+RATE_C3*($A1495-BOTT_C3),0),IF($A1495&gt;BOTT_C2,ROUND(BASE_C2+RATE_C2*($A1495-BOTT_C2),0),ROUND(RATE_C1*$A1495,0))))</f>
        <v/>
      </c>
      <c r="G1495" s="556">
        <f>IF($A1495&gt;BOTT_D4,ROUND(BASE_D4+RATE_D4*($A1495-BOTT_D4),0),IF($A1495&gt;BOTT_D3,ROUND(BASE_D3+RATE_D3*($A1495-BOTT_D3),0),IF($A1495&gt;BOTT_D2,ROUND(BASE_D2+RATE_D2*($A1495-BOTT_D2),0),ROUND(RATE_D1*$A1495,0))))</f>
        <v/>
      </c>
    </row>
    <row r="1496" ht="15.75" customHeight="1" s="7635">
      <c r="A1496" s="625">
        <f>AVERAGE(B1496,C1496)</f>
        <v/>
      </c>
      <c r="B1496" s="555" t="n">
        <v>71600</v>
      </c>
      <c r="C1496" s="555" t="n">
        <v>71650</v>
      </c>
      <c r="D1496" s="556">
        <f>IF($A1496&gt;BOTT_A4,ROUND(BASE_A4+RATE_A4*($A1496-BOTT_A4),0),IF($A1496&gt;BOTT_A3,ROUND(BASE_A3+RATE_A3*($A1496-BOTT_A3),0),IF($A1496&gt;BOTT_A2,ROUND(BASE_A2+RATE_A2*($A1496-BOTT_A2),0),ROUND(RATE_A1*$A1496,0))))</f>
        <v/>
      </c>
      <c r="E1496" s="556">
        <f>IF($A1496&gt;BOTT_B4,ROUND(BASE_B4+RATE_B4*($A1496-BOTT_B4),0),IF($A1496&gt;BOTT_B3,ROUND(BASE_B3+RATE_B3*($A1496-BOTT_B3),0),IF($A1496&gt;BOTT_B2,ROUND(BASE_B2+RATE_B2*($A1496-BOTT_B2),0),ROUND(RATE_B1*$A1496,0))))</f>
        <v/>
      </c>
      <c r="F1496" s="556">
        <f>IF($A1496&gt;BOTT_C4,ROUND(BASE_C4+RATE_C4*($A1496-BOTT_C4),0),IF($A1496&gt;BOTT_C3,ROUND(BASE_C3+RATE_C3*($A1496-BOTT_C3),0),IF($A1496&gt;BOTT_C2,ROUND(BASE_C2+RATE_C2*($A1496-BOTT_C2),0),ROUND(RATE_C1*$A1496,0))))</f>
        <v/>
      </c>
      <c r="G1496" s="556">
        <f>IF($A1496&gt;BOTT_D4,ROUND(BASE_D4+RATE_D4*($A1496-BOTT_D4),0),IF($A1496&gt;BOTT_D3,ROUND(BASE_D3+RATE_D3*($A1496-BOTT_D3),0),IF($A1496&gt;BOTT_D2,ROUND(BASE_D2+RATE_D2*($A1496-BOTT_D2),0),ROUND(RATE_D1*$A1496,0))))</f>
        <v/>
      </c>
    </row>
    <row r="1497" ht="15.75" customHeight="1" s="7635">
      <c r="A1497" s="625">
        <f>AVERAGE(B1497,C1497)</f>
        <v/>
      </c>
      <c r="B1497" s="555" t="n">
        <v>71650</v>
      </c>
      <c r="C1497" s="555" t="n">
        <v>71700</v>
      </c>
      <c r="D1497" s="556">
        <f>IF($A1497&gt;BOTT_A4,ROUND(BASE_A4+RATE_A4*($A1497-BOTT_A4),0),IF($A1497&gt;BOTT_A3,ROUND(BASE_A3+RATE_A3*($A1497-BOTT_A3),0),IF($A1497&gt;BOTT_A2,ROUND(BASE_A2+RATE_A2*($A1497-BOTT_A2),0),ROUND(RATE_A1*$A1497,0))))</f>
        <v/>
      </c>
      <c r="E1497" s="556">
        <f>IF($A1497&gt;BOTT_B4,ROUND(BASE_B4+RATE_B4*($A1497-BOTT_B4),0),IF($A1497&gt;BOTT_B3,ROUND(BASE_B3+RATE_B3*($A1497-BOTT_B3),0),IF($A1497&gt;BOTT_B2,ROUND(BASE_B2+RATE_B2*($A1497-BOTT_B2),0),ROUND(RATE_B1*$A1497,0))))</f>
        <v/>
      </c>
      <c r="F1497" s="556">
        <f>IF($A1497&gt;BOTT_C4,ROUND(BASE_C4+RATE_C4*($A1497-BOTT_C4),0),IF($A1497&gt;BOTT_C3,ROUND(BASE_C3+RATE_C3*($A1497-BOTT_C3),0),IF($A1497&gt;BOTT_C2,ROUND(BASE_C2+RATE_C2*($A1497-BOTT_C2),0),ROUND(RATE_C1*$A1497,0))))</f>
        <v/>
      </c>
      <c r="G1497" s="556">
        <f>IF($A1497&gt;BOTT_D4,ROUND(BASE_D4+RATE_D4*($A1497-BOTT_D4),0),IF($A1497&gt;BOTT_D3,ROUND(BASE_D3+RATE_D3*($A1497-BOTT_D3),0),IF($A1497&gt;BOTT_D2,ROUND(BASE_D2+RATE_D2*($A1497-BOTT_D2),0),ROUND(RATE_D1*$A1497,0))))</f>
        <v/>
      </c>
    </row>
    <row r="1498" ht="15.75" customHeight="1" s="7635">
      <c r="A1498" s="625">
        <f>AVERAGE(B1498,C1498)</f>
        <v/>
      </c>
      <c r="B1498" s="555" t="n">
        <v>71700</v>
      </c>
      <c r="C1498" s="555" t="n">
        <v>71750</v>
      </c>
      <c r="D1498" s="556">
        <f>IF($A1498&gt;BOTT_A4,ROUND(BASE_A4+RATE_A4*($A1498-BOTT_A4),0),IF($A1498&gt;BOTT_A3,ROUND(BASE_A3+RATE_A3*($A1498-BOTT_A3),0),IF($A1498&gt;BOTT_A2,ROUND(BASE_A2+RATE_A2*($A1498-BOTT_A2),0),ROUND(RATE_A1*$A1498,0))))</f>
        <v/>
      </c>
      <c r="E1498" s="556">
        <f>IF($A1498&gt;BOTT_B4,ROUND(BASE_B4+RATE_B4*($A1498-BOTT_B4),0),IF($A1498&gt;BOTT_B3,ROUND(BASE_B3+RATE_B3*($A1498-BOTT_B3),0),IF($A1498&gt;BOTT_B2,ROUND(BASE_B2+RATE_B2*($A1498-BOTT_B2),0),ROUND(RATE_B1*$A1498,0))))</f>
        <v/>
      </c>
      <c r="F1498" s="556">
        <f>IF($A1498&gt;BOTT_C4,ROUND(BASE_C4+RATE_C4*($A1498-BOTT_C4),0),IF($A1498&gt;BOTT_C3,ROUND(BASE_C3+RATE_C3*($A1498-BOTT_C3),0),IF($A1498&gt;BOTT_C2,ROUND(BASE_C2+RATE_C2*($A1498-BOTT_C2),0),ROUND(RATE_C1*$A1498,0))))</f>
        <v/>
      </c>
      <c r="G1498" s="556">
        <f>IF($A1498&gt;BOTT_D4,ROUND(BASE_D4+RATE_D4*($A1498-BOTT_D4),0),IF($A1498&gt;BOTT_D3,ROUND(BASE_D3+RATE_D3*($A1498-BOTT_D3),0),IF($A1498&gt;BOTT_D2,ROUND(BASE_D2+RATE_D2*($A1498-BOTT_D2),0),ROUND(RATE_D1*$A1498,0))))</f>
        <v/>
      </c>
    </row>
    <row r="1499" ht="15.75" customHeight="1" s="7635">
      <c r="A1499" s="625">
        <f>AVERAGE(B1499,C1499)</f>
        <v/>
      </c>
      <c r="B1499" s="555" t="n">
        <v>71750</v>
      </c>
      <c r="C1499" s="555" t="n">
        <v>71800</v>
      </c>
      <c r="D1499" s="556">
        <f>IF($A1499&gt;BOTT_A4,ROUND(BASE_A4+RATE_A4*($A1499-BOTT_A4),0),IF($A1499&gt;BOTT_A3,ROUND(BASE_A3+RATE_A3*($A1499-BOTT_A3),0),IF($A1499&gt;BOTT_A2,ROUND(BASE_A2+RATE_A2*($A1499-BOTT_A2),0),ROUND(RATE_A1*$A1499,0))))</f>
        <v/>
      </c>
      <c r="E1499" s="556">
        <f>IF($A1499&gt;BOTT_B4,ROUND(BASE_B4+RATE_B4*($A1499-BOTT_B4),0),IF($A1499&gt;BOTT_B3,ROUND(BASE_B3+RATE_B3*($A1499-BOTT_B3),0),IF($A1499&gt;BOTT_B2,ROUND(BASE_B2+RATE_B2*($A1499-BOTT_B2),0),ROUND(RATE_B1*$A1499,0))))</f>
        <v/>
      </c>
      <c r="F1499" s="556">
        <f>IF($A1499&gt;BOTT_C4,ROUND(BASE_C4+RATE_C4*($A1499-BOTT_C4),0),IF($A1499&gt;BOTT_C3,ROUND(BASE_C3+RATE_C3*($A1499-BOTT_C3),0),IF($A1499&gt;BOTT_C2,ROUND(BASE_C2+RATE_C2*($A1499-BOTT_C2),0),ROUND(RATE_C1*$A1499,0))))</f>
        <v/>
      </c>
      <c r="G1499" s="556">
        <f>IF($A1499&gt;BOTT_D4,ROUND(BASE_D4+RATE_D4*($A1499-BOTT_D4),0),IF($A1499&gt;BOTT_D3,ROUND(BASE_D3+RATE_D3*($A1499-BOTT_D3),0),IF($A1499&gt;BOTT_D2,ROUND(BASE_D2+RATE_D2*($A1499-BOTT_D2),0),ROUND(RATE_D1*$A1499,0))))</f>
        <v/>
      </c>
    </row>
    <row r="1500" ht="15.75" customHeight="1" s="7635">
      <c r="A1500" s="625">
        <f>AVERAGE(B1500,C1500)</f>
        <v/>
      </c>
      <c r="B1500" s="555" t="n">
        <v>71800</v>
      </c>
      <c r="C1500" s="555" t="n">
        <v>71850</v>
      </c>
      <c r="D1500" s="556">
        <f>IF($A1500&gt;BOTT_A4,ROUND(BASE_A4+RATE_A4*($A1500-BOTT_A4),0),IF($A1500&gt;BOTT_A3,ROUND(BASE_A3+RATE_A3*($A1500-BOTT_A3),0),IF($A1500&gt;BOTT_A2,ROUND(BASE_A2+RATE_A2*($A1500-BOTT_A2),0),ROUND(RATE_A1*$A1500,0))))</f>
        <v/>
      </c>
      <c r="E1500" s="556">
        <f>IF($A1500&gt;BOTT_B4,ROUND(BASE_B4+RATE_B4*($A1500-BOTT_B4),0),IF($A1500&gt;BOTT_B3,ROUND(BASE_B3+RATE_B3*($A1500-BOTT_B3),0),IF($A1500&gt;BOTT_B2,ROUND(BASE_B2+RATE_B2*($A1500-BOTT_B2),0),ROUND(RATE_B1*$A1500,0))))</f>
        <v/>
      </c>
      <c r="F1500" s="556">
        <f>IF($A1500&gt;BOTT_C4,ROUND(BASE_C4+RATE_C4*($A1500-BOTT_C4),0),IF($A1500&gt;BOTT_C3,ROUND(BASE_C3+RATE_C3*($A1500-BOTT_C3),0),IF($A1500&gt;BOTT_C2,ROUND(BASE_C2+RATE_C2*($A1500-BOTT_C2),0),ROUND(RATE_C1*$A1500,0))))</f>
        <v/>
      </c>
      <c r="G1500" s="556">
        <f>IF($A1500&gt;BOTT_D4,ROUND(BASE_D4+RATE_D4*($A1500-BOTT_D4),0),IF($A1500&gt;BOTT_D3,ROUND(BASE_D3+RATE_D3*($A1500-BOTT_D3),0),IF($A1500&gt;BOTT_D2,ROUND(BASE_D2+RATE_D2*($A1500-BOTT_D2),0),ROUND(RATE_D1*$A1500,0))))</f>
        <v/>
      </c>
    </row>
    <row r="1501" ht="15.75" customHeight="1" s="7635">
      <c r="A1501" s="625">
        <f>AVERAGE(B1501,C1501)</f>
        <v/>
      </c>
      <c r="B1501" s="555" t="n">
        <v>71850</v>
      </c>
      <c r="C1501" s="555" t="n">
        <v>71900</v>
      </c>
      <c r="D1501" s="556">
        <f>IF($A1501&gt;BOTT_A4,ROUND(BASE_A4+RATE_A4*($A1501-BOTT_A4),0),IF($A1501&gt;BOTT_A3,ROUND(BASE_A3+RATE_A3*($A1501-BOTT_A3),0),IF($A1501&gt;BOTT_A2,ROUND(BASE_A2+RATE_A2*($A1501-BOTT_A2),0),ROUND(RATE_A1*$A1501,0))))</f>
        <v/>
      </c>
      <c r="E1501" s="556">
        <f>IF($A1501&gt;BOTT_B4,ROUND(BASE_B4+RATE_B4*($A1501-BOTT_B4),0),IF($A1501&gt;BOTT_B3,ROUND(BASE_B3+RATE_B3*($A1501-BOTT_B3),0),IF($A1501&gt;BOTT_B2,ROUND(BASE_B2+RATE_B2*($A1501-BOTT_B2),0),ROUND(RATE_B1*$A1501,0))))</f>
        <v/>
      </c>
      <c r="F1501" s="556">
        <f>IF($A1501&gt;BOTT_C4,ROUND(BASE_C4+RATE_C4*($A1501-BOTT_C4),0),IF($A1501&gt;BOTT_C3,ROUND(BASE_C3+RATE_C3*($A1501-BOTT_C3),0),IF($A1501&gt;BOTT_C2,ROUND(BASE_C2+RATE_C2*($A1501-BOTT_C2),0),ROUND(RATE_C1*$A1501,0))))</f>
        <v/>
      </c>
      <c r="G1501" s="556">
        <f>IF($A1501&gt;BOTT_D4,ROUND(BASE_D4+RATE_D4*($A1501-BOTT_D4),0),IF($A1501&gt;BOTT_D3,ROUND(BASE_D3+RATE_D3*($A1501-BOTT_D3),0),IF($A1501&gt;BOTT_D2,ROUND(BASE_D2+RATE_D2*($A1501-BOTT_D2),0),ROUND(RATE_D1*$A1501,0))))</f>
        <v/>
      </c>
    </row>
    <row r="1502" ht="15.75" customHeight="1" s="7635">
      <c r="A1502" s="625">
        <f>AVERAGE(B1502,C1502)</f>
        <v/>
      </c>
      <c r="B1502" s="555" t="n">
        <v>71900</v>
      </c>
      <c r="C1502" s="555" t="n">
        <v>71950</v>
      </c>
      <c r="D1502" s="556">
        <f>IF($A1502&gt;BOTT_A4,ROUND(BASE_A4+RATE_A4*($A1502-BOTT_A4),0),IF($A1502&gt;BOTT_A3,ROUND(BASE_A3+RATE_A3*($A1502-BOTT_A3),0),IF($A1502&gt;BOTT_A2,ROUND(BASE_A2+RATE_A2*($A1502-BOTT_A2),0),ROUND(RATE_A1*$A1502,0))))</f>
        <v/>
      </c>
      <c r="E1502" s="556">
        <f>IF($A1502&gt;BOTT_B4,ROUND(BASE_B4+RATE_B4*($A1502-BOTT_B4),0),IF($A1502&gt;BOTT_B3,ROUND(BASE_B3+RATE_B3*($A1502-BOTT_B3),0),IF($A1502&gt;BOTT_B2,ROUND(BASE_B2+RATE_B2*($A1502-BOTT_B2),0),ROUND(RATE_B1*$A1502,0))))</f>
        <v/>
      </c>
      <c r="F1502" s="556">
        <f>IF($A1502&gt;BOTT_C4,ROUND(BASE_C4+RATE_C4*($A1502-BOTT_C4),0),IF($A1502&gt;BOTT_C3,ROUND(BASE_C3+RATE_C3*($A1502-BOTT_C3),0),IF($A1502&gt;BOTT_C2,ROUND(BASE_C2+RATE_C2*($A1502-BOTT_C2),0),ROUND(RATE_C1*$A1502,0))))</f>
        <v/>
      </c>
      <c r="G1502" s="556">
        <f>IF($A1502&gt;BOTT_D4,ROUND(BASE_D4+RATE_D4*($A1502-BOTT_D4),0),IF($A1502&gt;BOTT_D3,ROUND(BASE_D3+RATE_D3*($A1502-BOTT_D3),0),IF($A1502&gt;BOTT_D2,ROUND(BASE_D2+RATE_D2*($A1502-BOTT_D2),0),ROUND(RATE_D1*$A1502,0))))</f>
        <v/>
      </c>
    </row>
    <row r="1503" ht="15.75" customHeight="1" s="7635">
      <c r="A1503" s="625">
        <f>AVERAGE(B1503,C1503)</f>
        <v/>
      </c>
      <c r="B1503" s="555" t="n">
        <v>71950</v>
      </c>
      <c r="C1503" s="555" t="n">
        <v>72000</v>
      </c>
      <c r="D1503" s="556">
        <f>IF($A1503&gt;BOTT_A4,ROUND(BASE_A4+RATE_A4*($A1503-BOTT_A4),0),IF($A1503&gt;BOTT_A3,ROUND(BASE_A3+RATE_A3*($A1503-BOTT_A3),0),IF($A1503&gt;BOTT_A2,ROUND(BASE_A2+RATE_A2*($A1503-BOTT_A2),0),ROUND(RATE_A1*$A1503,0))))</f>
        <v/>
      </c>
      <c r="E1503" s="556">
        <f>IF($A1503&gt;BOTT_B4,ROUND(BASE_B4+RATE_B4*($A1503-BOTT_B4),0),IF($A1503&gt;BOTT_B3,ROUND(BASE_B3+RATE_B3*($A1503-BOTT_B3),0),IF($A1503&gt;BOTT_B2,ROUND(BASE_B2+RATE_B2*($A1503-BOTT_B2),0),ROUND(RATE_B1*$A1503,0))))</f>
        <v/>
      </c>
      <c r="F1503" s="556">
        <f>IF($A1503&gt;BOTT_C4,ROUND(BASE_C4+RATE_C4*($A1503-BOTT_C4),0),IF($A1503&gt;BOTT_C3,ROUND(BASE_C3+RATE_C3*($A1503-BOTT_C3),0),IF($A1503&gt;BOTT_C2,ROUND(BASE_C2+RATE_C2*($A1503-BOTT_C2),0),ROUND(RATE_C1*$A1503,0))))</f>
        <v/>
      </c>
      <c r="G1503" s="556">
        <f>IF($A1503&gt;BOTT_D4,ROUND(BASE_D4+RATE_D4*($A1503-BOTT_D4),0),IF($A1503&gt;BOTT_D3,ROUND(BASE_D3+RATE_D3*($A1503-BOTT_D3),0),IF($A1503&gt;BOTT_D2,ROUND(BASE_D2+RATE_D2*($A1503-BOTT_D2),0),ROUND(RATE_D1*$A1503,0))))</f>
        <v/>
      </c>
    </row>
    <row r="1504" ht="15.75" customHeight="1" s="7635">
      <c r="A1504" s="625">
        <f>AVERAGE(B1504,C1504)</f>
        <v/>
      </c>
      <c r="B1504" s="555" t="n">
        <v>72000</v>
      </c>
      <c r="C1504" s="555" t="n">
        <v>72050</v>
      </c>
      <c r="D1504" s="556">
        <f>IF($A1504&gt;BOTT_A4,ROUND(BASE_A4+RATE_A4*($A1504-BOTT_A4),0),IF($A1504&gt;BOTT_A3,ROUND(BASE_A3+RATE_A3*($A1504-BOTT_A3),0),IF($A1504&gt;BOTT_A2,ROUND(BASE_A2+RATE_A2*($A1504-BOTT_A2),0),ROUND(RATE_A1*$A1504,0))))</f>
        <v/>
      </c>
      <c r="E1504" s="556">
        <f>IF($A1504&gt;BOTT_B4,ROUND(BASE_B4+RATE_B4*($A1504-BOTT_B4),0),IF($A1504&gt;BOTT_B3,ROUND(BASE_B3+RATE_B3*($A1504-BOTT_B3),0),IF($A1504&gt;BOTT_B2,ROUND(BASE_B2+RATE_B2*($A1504-BOTT_B2),0),ROUND(RATE_B1*$A1504,0))))</f>
        <v/>
      </c>
      <c r="F1504" s="556">
        <f>IF($A1504&gt;BOTT_C4,ROUND(BASE_C4+RATE_C4*($A1504-BOTT_C4),0),IF($A1504&gt;BOTT_C3,ROUND(BASE_C3+RATE_C3*($A1504-BOTT_C3),0),IF($A1504&gt;BOTT_C2,ROUND(BASE_C2+RATE_C2*($A1504-BOTT_C2),0),ROUND(RATE_C1*$A1504,0))))</f>
        <v/>
      </c>
      <c r="G1504" s="556">
        <f>IF($A1504&gt;BOTT_D4,ROUND(BASE_D4+RATE_D4*($A1504-BOTT_D4),0),IF($A1504&gt;BOTT_D3,ROUND(BASE_D3+RATE_D3*($A1504-BOTT_D3),0),IF($A1504&gt;BOTT_D2,ROUND(BASE_D2+RATE_D2*($A1504-BOTT_D2),0),ROUND(RATE_D1*$A1504,0))))</f>
        <v/>
      </c>
    </row>
    <row r="1505" ht="15.75" customHeight="1" s="7635">
      <c r="A1505" s="625">
        <f>AVERAGE(B1505,C1505)</f>
        <v/>
      </c>
      <c r="B1505" s="555" t="n">
        <v>72050</v>
      </c>
      <c r="C1505" s="555" t="n">
        <v>72100</v>
      </c>
      <c r="D1505" s="556">
        <f>IF($A1505&gt;BOTT_A4,ROUND(BASE_A4+RATE_A4*($A1505-BOTT_A4),0),IF($A1505&gt;BOTT_A3,ROUND(BASE_A3+RATE_A3*($A1505-BOTT_A3),0),IF($A1505&gt;BOTT_A2,ROUND(BASE_A2+RATE_A2*($A1505-BOTT_A2),0),ROUND(RATE_A1*$A1505,0))))</f>
        <v/>
      </c>
      <c r="E1505" s="556">
        <f>IF($A1505&gt;BOTT_B4,ROUND(BASE_B4+RATE_B4*($A1505-BOTT_B4),0),IF($A1505&gt;BOTT_B3,ROUND(BASE_B3+RATE_B3*($A1505-BOTT_B3),0),IF($A1505&gt;BOTT_B2,ROUND(BASE_B2+RATE_B2*($A1505-BOTT_B2),0),ROUND(RATE_B1*$A1505,0))))</f>
        <v/>
      </c>
      <c r="F1505" s="556">
        <f>IF($A1505&gt;BOTT_C4,ROUND(BASE_C4+RATE_C4*($A1505-BOTT_C4),0),IF($A1505&gt;BOTT_C3,ROUND(BASE_C3+RATE_C3*($A1505-BOTT_C3),0),IF($A1505&gt;BOTT_C2,ROUND(BASE_C2+RATE_C2*($A1505-BOTT_C2),0),ROUND(RATE_C1*$A1505,0))))</f>
        <v/>
      </c>
      <c r="G1505" s="556">
        <f>IF($A1505&gt;BOTT_D4,ROUND(BASE_D4+RATE_D4*($A1505-BOTT_D4),0),IF($A1505&gt;BOTT_D3,ROUND(BASE_D3+RATE_D3*($A1505-BOTT_D3),0),IF($A1505&gt;BOTT_D2,ROUND(BASE_D2+RATE_D2*($A1505-BOTT_D2),0),ROUND(RATE_D1*$A1505,0))))</f>
        <v/>
      </c>
    </row>
    <row r="1506" ht="15.75" customHeight="1" s="7635">
      <c r="A1506" s="625">
        <f>AVERAGE(B1506,C1506)</f>
        <v/>
      </c>
      <c r="B1506" s="555" t="n">
        <v>72100</v>
      </c>
      <c r="C1506" s="555" t="n">
        <v>72150</v>
      </c>
      <c r="D1506" s="556">
        <f>IF($A1506&gt;BOTT_A4,ROUND(BASE_A4+RATE_A4*($A1506-BOTT_A4),0),IF($A1506&gt;BOTT_A3,ROUND(BASE_A3+RATE_A3*($A1506-BOTT_A3),0),IF($A1506&gt;BOTT_A2,ROUND(BASE_A2+RATE_A2*($A1506-BOTT_A2),0),ROUND(RATE_A1*$A1506,0))))</f>
        <v/>
      </c>
      <c r="E1506" s="556">
        <f>IF($A1506&gt;BOTT_B4,ROUND(BASE_B4+RATE_B4*($A1506-BOTT_B4),0),IF($A1506&gt;BOTT_B3,ROUND(BASE_B3+RATE_B3*($A1506-BOTT_B3),0),IF($A1506&gt;BOTT_B2,ROUND(BASE_B2+RATE_B2*($A1506-BOTT_B2),0),ROUND(RATE_B1*$A1506,0))))</f>
        <v/>
      </c>
      <c r="F1506" s="556">
        <f>IF($A1506&gt;BOTT_C4,ROUND(BASE_C4+RATE_C4*($A1506-BOTT_C4),0),IF($A1506&gt;BOTT_C3,ROUND(BASE_C3+RATE_C3*($A1506-BOTT_C3),0),IF($A1506&gt;BOTT_C2,ROUND(BASE_C2+RATE_C2*($A1506-BOTT_C2),0),ROUND(RATE_C1*$A1506,0))))</f>
        <v/>
      </c>
      <c r="G1506" s="556">
        <f>IF($A1506&gt;BOTT_D4,ROUND(BASE_D4+RATE_D4*($A1506-BOTT_D4),0),IF($A1506&gt;BOTT_D3,ROUND(BASE_D3+RATE_D3*($A1506-BOTT_D3),0),IF($A1506&gt;BOTT_D2,ROUND(BASE_D2+RATE_D2*($A1506-BOTT_D2),0),ROUND(RATE_D1*$A1506,0))))</f>
        <v/>
      </c>
    </row>
    <row r="1507" ht="15.75" customHeight="1" s="7635">
      <c r="A1507" s="625">
        <f>AVERAGE(B1507,C1507)</f>
        <v/>
      </c>
      <c r="B1507" s="555" t="n">
        <v>72150</v>
      </c>
      <c r="C1507" s="555" t="n">
        <v>72200</v>
      </c>
      <c r="D1507" s="556">
        <f>IF($A1507&gt;BOTT_A4,ROUND(BASE_A4+RATE_A4*($A1507-BOTT_A4),0),IF($A1507&gt;BOTT_A3,ROUND(BASE_A3+RATE_A3*($A1507-BOTT_A3),0),IF($A1507&gt;BOTT_A2,ROUND(BASE_A2+RATE_A2*($A1507-BOTT_A2),0),ROUND(RATE_A1*$A1507,0))))</f>
        <v/>
      </c>
      <c r="E1507" s="556">
        <f>IF($A1507&gt;BOTT_B4,ROUND(BASE_B4+RATE_B4*($A1507-BOTT_B4),0),IF($A1507&gt;BOTT_B3,ROUND(BASE_B3+RATE_B3*($A1507-BOTT_B3),0),IF($A1507&gt;BOTT_B2,ROUND(BASE_B2+RATE_B2*($A1507-BOTT_B2),0),ROUND(RATE_B1*$A1507,0))))</f>
        <v/>
      </c>
      <c r="F1507" s="556">
        <f>IF($A1507&gt;BOTT_C4,ROUND(BASE_C4+RATE_C4*($A1507-BOTT_C4),0),IF($A1507&gt;BOTT_C3,ROUND(BASE_C3+RATE_C3*($A1507-BOTT_C3),0),IF($A1507&gt;BOTT_C2,ROUND(BASE_C2+RATE_C2*($A1507-BOTT_C2),0),ROUND(RATE_C1*$A1507,0))))</f>
        <v/>
      </c>
      <c r="G1507" s="556">
        <f>IF($A1507&gt;BOTT_D4,ROUND(BASE_D4+RATE_D4*($A1507-BOTT_D4),0),IF($A1507&gt;BOTT_D3,ROUND(BASE_D3+RATE_D3*($A1507-BOTT_D3),0),IF($A1507&gt;BOTT_D2,ROUND(BASE_D2+RATE_D2*($A1507-BOTT_D2),0),ROUND(RATE_D1*$A1507,0))))</f>
        <v/>
      </c>
    </row>
    <row r="1508" ht="15.75" customHeight="1" s="7635">
      <c r="A1508" s="625">
        <f>AVERAGE(B1508,C1508)</f>
        <v/>
      </c>
      <c r="B1508" s="555" t="n">
        <v>72200</v>
      </c>
      <c r="C1508" s="555" t="n">
        <v>72250</v>
      </c>
      <c r="D1508" s="556">
        <f>IF($A1508&gt;BOTT_A4,ROUND(BASE_A4+RATE_A4*($A1508-BOTT_A4),0),IF($A1508&gt;BOTT_A3,ROUND(BASE_A3+RATE_A3*($A1508-BOTT_A3),0),IF($A1508&gt;BOTT_A2,ROUND(BASE_A2+RATE_A2*($A1508-BOTT_A2),0),ROUND(RATE_A1*$A1508,0))))</f>
        <v/>
      </c>
      <c r="E1508" s="556">
        <f>IF($A1508&gt;BOTT_B4,ROUND(BASE_B4+RATE_B4*($A1508-BOTT_B4),0),IF($A1508&gt;BOTT_B3,ROUND(BASE_B3+RATE_B3*($A1508-BOTT_B3),0),IF($A1508&gt;BOTT_B2,ROUND(BASE_B2+RATE_B2*($A1508-BOTT_B2),0),ROUND(RATE_B1*$A1508,0))))</f>
        <v/>
      </c>
      <c r="F1508" s="556">
        <f>IF($A1508&gt;BOTT_C4,ROUND(BASE_C4+RATE_C4*($A1508-BOTT_C4),0),IF($A1508&gt;BOTT_C3,ROUND(BASE_C3+RATE_C3*($A1508-BOTT_C3),0),IF($A1508&gt;BOTT_C2,ROUND(BASE_C2+RATE_C2*($A1508-BOTT_C2),0),ROUND(RATE_C1*$A1508,0))))</f>
        <v/>
      </c>
      <c r="G1508" s="556">
        <f>IF($A1508&gt;BOTT_D4,ROUND(BASE_D4+RATE_D4*($A1508-BOTT_D4),0),IF($A1508&gt;BOTT_D3,ROUND(BASE_D3+RATE_D3*($A1508-BOTT_D3),0),IF($A1508&gt;BOTT_D2,ROUND(BASE_D2+RATE_D2*($A1508-BOTT_D2),0),ROUND(RATE_D1*$A1508,0))))</f>
        <v/>
      </c>
    </row>
    <row r="1509" ht="15.75" customHeight="1" s="7635">
      <c r="A1509" s="625">
        <f>AVERAGE(B1509,C1509)</f>
        <v/>
      </c>
      <c r="B1509" s="555" t="n">
        <v>72250</v>
      </c>
      <c r="C1509" s="555" t="n">
        <v>72300</v>
      </c>
      <c r="D1509" s="556">
        <f>IF($A1509&gt;BOTT_A4,ROUND(BASE_A4+RATE_A4*($A1509-BOTT_A4),0),IF($A1509&gt;BOTT_A3,ROUND(BASE_A3+RATE_A3*($A1509-BOTT_A3),0),IF($A1509&gt;BOTT_A2,ROUND(BASE_A2+RATE_A2*($A1509-BOTT_A2),0),ROUND(RATE_A1*$A1509,0))))</f>
        <v/>
      </c>
      <c r="E1509" s="556">
        <f>IF($A1509&gt;BOTT_B4,ROUND(BASE_B4+RATE_B4*($A1509-BOTT_B4),0),IF($A1509&gt;BOTT_B3,ROUND(BASE_B3+RATE_B3*($A1509-BOTT_B3),0),IF($A1509&gt;BOTT_B2,ROUND(BASE_B2+RATE_B2*($A1509-BOTT_B2),0),ROUND(RATE_B1*$A1509,0))))</f>
        <v/>
      </c>
      <c r="F1509" s="556">
        <f>IF($A1509&gt;BOTT_C4,ROUND(BASE_C4+RATE_C4*($A1509-BOTT_C4),0),IF($A1509&gt;BOTT_C3,ROUND(BASE_C3+RATE_C3*($A1509-BOTT_C3),0),IF($A1509&gt;BOTT_C2,ROUND(BASE_C2+RATE_C2*($A1509-BOTT_C2),0),ROUND(RATE_C1*$A1509,0))))</f>
        <v/>
      </c>
      <c r="G1509" s="556">
        <f>IF($A1509&gt;BOTT_D4,ROUND(BASE_D4+RATE_D4*($A1509-BOTT_D4),0),IF($A1509&gt;BOTT_D3,ROUND(BASE_D3+RATE_D3*($A1509-BOTT_D3),0),IF($A1509&gt;BOTT_D2,ROUND(BASE_D2+RATE_D2*($A1509-BOTT_D2),0),ROUND(RATE_D1*$A1509,0))))</f>
        <v/>
      </c>
    </row>
    <row r="1510" ht="15.75" customHeight="1" s="7635">
      <c r="A1510" s="625">
        <f>AVERAGE(B1510,C1510)</f>
        <v/>
      </c>
      <c r="B1510" s="555" t="n">
        <v>72300</v>
      </c>
      <c r="C1510" s="555" t="n">
        <v>72350</v>
      </c>
      <c r="D1510" s="556">
        <f>IF($A1510&gt;BOTT_A4,ROUND(BASE_A4+RATE_A4*($A1510-BOTT_A4),0),IF($A1510&gt;BOTT_A3,ROUND(BASE_A3+RATE_A3*($A1510-BOTT_A3),0),IF($A1510&gt;BOTT_A2,ROUND(BASE_A2+RATE_A2*($A1510-BOTT_A2),0),ROUND(RATE_A1*$A1510,0))))</f>
        <v/>
      </c>
      <c r="E1510" s="556">
        <f>IF($A1510&gt;BOTT_B4,ROUND(BASE_B4+RATE_B4*($A1510-BOTT_B4),0),IF($A1510&gt;BOTT_B3,ROUND(BASE_B3+RATE_B3*($A1510-BOTT_B3),0),IF($A1510&gt;BOTT_B2,ROUND(BASE_B2+RATE_B2*($A1510-BOTT_B2),0),ROUND(RATE_B1*$A1510,0))))</f>
        <v/>
      </c>
      <c r="F1510" s="556">
        <f>IF($A1510&gt;BOTT_C4,ROUND(BASE_C4+RATE_C4*($A1510-BOTT_C4),0),IF($A1510&gt;BOTT_C3,ROUND(BASE_C3+RATE_C3*($A1510-BOTT_C3),0),IF($A1510&gt;BOTT_C2,ROUND(BASE_C2+RATE_C2*($A1510-BOTT_C2),0),ROUND(RATE_C1*$A1510,0))))</f>
        <v/>
      </c>
      <c r="G1510" s="556">
        <f>IF($A1510&gt;BOTT_D4,ROUND(BASE_D4+RATE_D4*($A1510-BOTT_D4),0),IF($A1510&gt;BOTT_D3,ROUND(BASE_D3+RATE_D3*($A1510-BOTT_D3),0),IF($A1510&gt;BOTT_D2,ROUND(BASE_D2+RATE_D2*($A1510-BOTT_D2),0),ROUND(RATE_D1*$A1510,0))))</f>
        <v/>
      </c>
    </row>
    <row r="1511" ht="15.75" customHeight="1" s="7635">
      <c r="A1511" s="625">
        <f>AVERAGE(B1511,C1511)</f>
        <v/>
      </c>
      <c r="B1511" s="555" t="n">
        <v>72350</v>
      </c>
      <c r="C1511" s="555" t="n">
        <v>72400</v>
      </c>
      <c r="D1511" s="556">
        <f>IF($A1511&gt;BOTT_A4,ROUND(BASE_A4+RATE_A4*($A1511-BOTT_A4),0),IF($A1511&gt;BOTT_A3,ROUND(BASE_A3+RATE_A3*($A1511-BOTT_A3),0),IF($A1511&gt;BOTT_A2,ROUND(BASE_A2+RATE_A2*($A1511-BOTT_A2),0),ROUND(RATE_A1*$A1511,0))))</f>
        <v/>
      </c>
      <c r="E1511" s="556">
        <f>IF($A1511&gt;BOTT_B4,ROUND(BASE_B4+RATE_B4*($A1511-BOTT_B4),0),IF($A1511&gt;BOTT_B3,ROUND(BASE_B3+RATE_B3*($A1511-BOTT_B3),0),IF($A1511&gt;BOTT_B2,ROUND(BASE_B2+RATE_B2*($A1511-BOTT_B2),0),ROUND(RATE_B1*$A1511,0))))</f>
        <v/>
      </c>
      <c r="F1511" s="556">
        <f>IF($A1511&gt;BOTT_C4,ROUND(BASE_C4+RATE_C4*($A1511-BOTT_C4),0),IF($A1511&gt;BOTT_C3,ROUND(BASE_C3+RATE_C3*($A1511-BOTT_C3),0),IF($A1511&gt;BOTT_C2,ROUND(BASE_C2+RATE_C2*($A1511-BOTT_C2),0),ROUND(RATE_C1*$A1511,0))))</f>
        <v/>
      </c>
      <c r="G1511" s="556">
        <f>IF($A1511&gt;BOTT_D4,ROUND(BASE_D4+RATE_D4*($A1511-BOTT_D4),0),IF($A1511&gt;BOTT_D3,ROUND(BASE_D3+RATE_D3*($A1511-BOTT_D3),0),IF($A1511&gt;BOTT_D2,ROUND(BASE_D2+RATE_D2*($A1511-BOTT_D2),0),ROUND(RATE_D1*$A1511,0))))</f>
        <v/>
      </c>
    </row>
    <row r="1512" ht="15.75" customHeight="1" s="7635">
      <c r="A1512" s="625">
        <f>AVERAGE(B1512,C1512)</f>
        <v/>
      </c>
      <c r="B1512" s="555" t="n">
        <v>72400</v>
      </c>
      <c r="C1512" s="555" t="n">
        <v>72450</v>
      </c>
      <c r="D1512" s="556">
        <f>IF($A1512&gt;BOTT_A4,ROUND(BASE_A4+RATE_A4*($A1512-BOTT_A4),0),IF($A1512&gt;BOTT_A3,ROUND(BASE_A3+RATE_A3*($A1512-BOTT_A3),0),IF($A1512&gt;BOTT_A2,ROUND(BASE_A2+RATE_A2*($A1512-BOTT_A2),0),ROUND(RATE_A1*$A1512,0))))</f>
        <v/>
      </c>
      <c r="E1512" s="556">
        <f>IF($A1512&gt;BOTT_B4,ROUND(BASE_B4+RATE_B4*($A1512-BOTT_B4),0),IF($A1512&gt;BOTT_B3,ROUND(BASE_B3+RATE_B3*($A1512-BOTT_B3),0),IF($A1512&gt;BOTT_B2,ROUND(BASE_B2+RATE_B2*($A1512-BOTT_B2),0),ROUND(RATE_B1*$A1512,0))))</f>
        <v/>
      </c>
      <c r="F1512" s="556">
        <f>IF($A1512&gt;BOTT_C4,ROUND(BASE_C4+RATE_C4*($A1512-BOTT_C4),0),IF($A1512&gt;BOTT_C3,ROUND(BASE_C3+RATE_C3*($A1512-BOTT_C3),0),IF($A1512&gt;BOTT_C2,ROUND(BASE_C2+RATE_C2*($A1512-BOTT_C2),0),ROUND(RATE_C1*$A1512,0))))</f>
        <v/>
      </c>
      <c r="G1512" s="556">
        <f>IF($A1512&gt;BOTT_D4,ROUND(BASE_D4+RATE_D4*($A1512-BOTT_D4),0),IF($A1512&gt;BOTT_D3,ROUND(BASE_D3+RATE_D3*($A1512-BOTT_D3),0),IF($A1512&gt;BOTT_D2,ROUND(BASE_D2+RATE_D2*($A1512-BOTT_D2),0),ROUND(RATE_D1*$A1512,0))))</f>
        <v/>
      </c>
    </row>
    <row r="1513" ht="15.75" customHeight="1" s="7635">
      <c r="A1513" s="625">
        <f>AVERAGE(B1513,C1513)</f>
        <v/>
      </c>
      <c r="B1513" s="555" t="n">
        <v>72450</v>
      </c>
      <c r="C1513" s="555" t="n">
        <v>72500</v>
      </c>
      <c r="D1513" s="556">
        <f>IF($A1513&gt;BOTT_A4,ROUND(BASE_A4+RATE_A4*($A1513-BOTT_A4),0),IF($A1513&gt;BOTT_A3,ROUND(BASE_A3+RATE_A3*($A1513-BOTT_A3),0),IF($A1513&gt;BOTT_A2,ROUND(BASE_A2+RATE_A2*($A1513-BOTT_A2),0),ROUND(RATE_A1*$A1513,0))))</f>
        <v/>
      </c>
      <c r="E1513" s="556">
        <f>IF($A1513&gt;BOTT_B4,ROUND(BASE_B4+RATE_B4*($A1513-BOTT_B4),0),IF($A1513&gt;BOTT_B3,ROUND(BASE_B3+RATE_B3*($A1513-BOTT_B3),0),IF($A1513&gt;BOTT_B2,ROUND(BASE_B2+RATE_B2*($A1513-BOTT_B2),0),ROUND(RATE_B1*$A1513,0))))</f>
        <v/>
      </c>
      <c r="F1513" s="556">
        <f>IF($A1513&gt;BOTT_C4,ROUND(BASE_C4+RATE_C4*($A1513-BOTT_C4),0),IF($A1513&gt;BOTT_C3,ROUND(BASE_C3+RATE_C3*($A1513-BOTT_C3),0),IF($A1513&gt;BOTT_C2,ROUND(BASE_C2+RATE_C2*($A1513-BOTT_C2),0),ROUND(RATE_C1*$A1513,0))))</f>
        <v/>
      </c>
      <c r="G1513" s="556">
        <f>IF($A1513&gt;BOTT_D4,ROUND(BASE_D4+RATE_D4*($A1513-BOTT_D4),0),IF($A1513&gt;BOTT_D3,ROUND(BASE_D3+RATE_D3*($A1513-BOTT_D3),0),IF($A1513&gt;BOTT_D2,ROUND(BASE_D2+RATE_D2*($A1513-BOTT_D2),0),ROUND(RATE_D1*$A1513,0))))</f>
        <v/>
      </c>
    </row>
    <row r="1514" ht="15.75" customHeight="1" s="7635">
      <c r="A1514" s="625">
        <f>AVERAGE(B1514,C1514)</f>
        <v/>
      </c>
      <c r="B1514" s="555" t="n">
        <v>72500</v>
      </c>
      <c r="C1514" s="555" t="n">
        <v>72550</v>
      </c>
      <c r="D1514" s="556">
        <f>IF($A1514&gt;BOTT_A4,ROUND(BASE_A4+RATE_A4*($A1514-BOTT_A4),0),IF($A1514&gt;BOTT_A3,ROUND(BASE_A3+RATE_A3*($A1514-BOTT_A3),0),IF($A1514&gt;BOTT_A2,ROUND(BASE_A2+RATE_A2*($A1514-BOTT_A2),0),ROUND(RATE_A1*$A1514,0))))</f>
        <v/>
      </c>
      <c r="E1514" s="556">
        <f>IF($A1514&gt;BOTT_B4,ROUND(BASE_B4+RATE_B4*($A1514-BOTT_B4),0),IF($A1514&gt;BOTT_B3,ROUND(BASE_B3+RATE_B3*($A1514-BOTT_B3),0),IF($A1514&gt;BOTT_B2,ROUND(BASE_B2+RATE_B2*($A1514-BOTT_B2),0),ROUND(RATE_B1*$A1514,0))))</f>
        <v/>
      </c>
      <c r="F1514" s="556">
        <f>IF($A1514&gt;BOTT_C4,ROUND(BASE_C4+RATE_C4*($A1514-BOTT_C4),0),IF($A1514&gt;BOTT_C3,ROUND(BASE_C3+RATE_C3*($A1514-BOTT_C3),0),IF($A1514&gt;BOTT_C2,ROUND(BASE_C2+RATE_C2*($A1514-BOTT_C2),0),ROUND(RATE_C1*$A1514,0))))</f>
        <v/>
      </c>
      <c r="G1514" s="556">
        <f>IF($A1514&gt;BOTT_D4,ROUND(BASE_D4+RATE_D4*($A1514-BOTT_D4),0),IF($A1514&gt;BOTT_D3,ROUND(BASE_D3+RATE_D3*($A1514-BOTT_D3),0),IF($A1514&gt;BOTT_D2,ROUND(BASE_D2+RATE_D2*($A1514-BOTT_D2),0),ROUND(RATE_D1*$A1514,0))))</f>
        <v/>
      </c>
    </row>
    <row r="1515" ht="15.75" customHeight="1" s="7635">
      <c r="A1515" s="625">
        <f>AVERAGE(B1515,C1515)</f>
        <v/>
      </c>
      <c r="B1515" s="555" t="n">
        <v>72550</v>
      </c>
      <c r="C1515" s="555" t="n">
        <v>72600</v>
      </c>
      <c r="D1515" s="556">
        <f>IF($A1515&gt;BOTT_A4,ROUND(BASE_A4+RATE_A4*($A1515-BOTT_A4),0),IF($A1515&gt;BOTT_A3,ROUND(BASE_A3+RATE_A3*($A1515-BOTT_A3),0),IF($A1515&gt;BOTT_A2,ROUND(BASE_A2+RATE_A2*($A1515-BOTT_A2),0),ROUND(RATE_A1*$A1515,0))))</f>
        <v/>
      </c>
      <c r="E1515" s="556">
        <f>IF($A1515&gt;BOTT_B4,ROUND(BASE_B4+RATE_B4*($A1515-BOTT_B4),0),IF($A1515&gt;BOTT_B3,ROUND(BASE_B3+RATE_B3*($A1515-BOTT_B3),0),IF($A1515&gt;BOTT_B2,ROUND(BASE_B2+RATE_B2*($A1515-BOTT_B2),0),ROUND(RATE_B1*$A1515,0))))</f>
        <v/>
      </c>
      <c r="F1515" s="556">
        <f>IF($A1515&gt;BOTT_C4,ROUND(BASE_C4+RATE_C4*($A1515-BOTT_C4),0),IF($A1515&gt;BOTT_C3,ROUND(BASE_C3+RATE_C3*($A1515-BOTT_C3),0),IF($A1515&gt;BOTT_C2,ROUND(BASE_C2+RATE_C2*($A1515-BOTT_C2),0),ROUND(RATE_C1*$A1515,0))))</f>
        <v/>
      </c>
      <c r="G1515" s="556">
        <f>IF($A1515&gt;BOTT_D4,ROUND(BASE_D4+RATE_D4*($A1515-BOTT_D4),0),IF($A1515&gt;BOTT_D3,ROUND(BASE_D3+RATE_D3*($A1515-BOTT_D3),0),IF($A1515&gt;BOTT_D2,ROUND(BASE_D2+RATE_D2*($A1515-BOTT_D2),0),ROUND(RATE_D1*$A1515,0))))</f>
        <v/>
      </c>
    </row>
    <row r="1516" ht="15.75" customHeight="1" s="7635">
      <c r="A1516" s="625">
        <f>AVERAGE(B1516,C1516)</f>
        <v/>
      </c>
      <c r="B1516" s="555" t="n">
        <v>72600</v>
      </c>
      <c r="C1516" s="555" t="n">
        <v>72650</v>
      </c>
      <c r="D1516" s="556">
        <f>IF($A1516&gt;BOTT_A4,ROUND(BASE_A4+RATE_A4*($A1516-BOTT_A4),0),IF($A1516&gt;BOTT_A3,ROUND(BASE_A3+RATE_A3*($A1516-BOTT_A3),0),IF($A1516&gt;BOTT_A2,ROUND(BASE_A2+RATE_A2*($A1516-BOTT_A2),0),ROUND(RATE_A1*$A1516,0))))</f>
        <v/>
      </c>
      <c r="E1516" s="556">
        <f>IF($A1516&gt;BOTT_B4,ROUND(BASE_B4+RATE_B4*($A1516-BOTT_B4),0),IF($A1516&gt;BOTT_B3,ROUND(BASE_B3+RATE_B3*($A1516-BOTT_B3),0),IF($A1516&gt;BOTT_B2,ROUND(BASE_B2+RATE_B2*($A1516-BOTT_B2),0),ROUND(RATE_B1*$A1516,0))))</f>
        <v/>
      </c>
      <c r="F1516" s="556">
        <f>IF($A1516&gt;BOTT_C4,ROUND(BASE_C4+RATE_C4*($A1516-BOTT_C4),0),IF($A1516&gt;BOTT_C3,ROUND(BASE_C3+RATE_C3*($A1516-BOTT_C3),0),IF($A1516&gt;BOTT_C2,ROUND(BASE_C2+RATE_C2*($A1516-BOTT_C2),0),ROUND(RATE_C1*$A1516,0))))</f>
        <v/>
      </c>
      <c r="G1516" s="556">
        <f>IF($A1516&gt;BOTT_D4,ROUND(BASE_D4+RATE_D4*($A1516-BOTT_D4),0),IF($A1516&gt;BOTT_D3,ROUND(BASE_D3+RATE_D3*($A1516-BOTT_D3),0),IF($A1516&gt;BOTT_D2,ROUND(BASE_D2+RATE_D2*($A1516-BOTT_D2),0),ROUND(RATE_D1*$A1516,0))))</f>
        <v/>
      </c>
    </row>
    <row r="1517" ht="15.75" customHeight="1" s="7635">
      <c r="A1517" s="625">
        <f>AVERAGE(B1517,C1517)</f>
        <v/>
      </c>
      <c r="B1517" s="555" t="n">
        <v>72650</v>
      </c>
      <c r="C1517" s="555" t="n">
        <v>72700</v>
      </c>
      <c r="D1517" s="556">
        <f>IF($A1517&gt;BOTT_A4,ROUND(BASE_A4+RATE_A4*($A1517-BOTT_A4),0),IF($A1517&gt;BOTT_A3,ROUND(BASE_A3+RATE_A3*($A1517-BOTT_A3),0),IF($A1517&gt;BOTT_A2,ROUND(BASE_A2+RATE_A2*($A1517-BOTT_A2),0),ROUND(RATE_A1*$A1517,0))))</f>
        <v/>
      </c>
      <c r="E1517" s="556">
        <f>IF($A1517&gt;BOTT_B4,ROUND(BASE_B4+RATE_B4*($A1517-BOTT_B4),0),IF($A1517&gt;BOTT_B3,ROUND(BASE_B3+RATE_B3*($A1517-BOTT_B3),0),IF($A1517&gt;BOTT_B2,ROUND(BASE_B2+RATE_B2*($A1517-BOTT_B2),0),ROUND(RATE_B1*$A1517,0))))</f>
        <v/>
      </c>
      <c r="F1517" s="556">
        <f>IF($A1517&gt;BOTT_C4,ROUND(BASE_C4+RATE_C4*($A1517-BOTT_C4),0),IF($A1517&gt;BOTT_C3,ROUND(BASE_C3+RATE_C3*($A1517-BOTT_C3),0),IF($A1517&gt;BOTT_C2,ROUND(BASE_C2+RATE_C2*($A1517-BOTT_C2),0),ROUND(RATE_C1*$A1517,0))))</f>
        <v/>
      </c>
      <c r="G1517" s="556">
        <f>IF($A1517&gt;BOTT_D4,ROUND(BASE_D4+RATE_D4*($A1517-BOTT_D4),0),IF($A1517&gt;BOTT_D3,ROUND(BASE_D3+RATE_D3*($A1517-BOTT_D3),0),IF($A1517&gt;BOTT_D2,ROUND(BASE_D2+RATE_D2*($A1517-BOTT_D2),0),ROUND(RATE_D1*$A1517,0))))</f>
        <v/>
      </c>
    </row>
    <row r="1518" ht="15.75" customHeight="1" s="7635">
      <c r="A1518" s="625">
        <f>AVERAGE(B1518,C1518)</f>
        <v/>
      </c>
      <c r="B1518" s="555" t="n">
        <v>72700</v>
      </c>
      <c r="C1518" s="555" t="n">
        <v>72750</v>
      </c>
      <c r="D1518" s="556">
        <f>IF($A1518&gt;BOTT_A4,ROUND(BASE_A4+RATE_A4*($A1518-BOTT_A4),0),IF($A1518&gt;BOTT_A3,ROUND(BASE_A3+RATE_A3*($A1518-BOTT_A3),0),IF($A1518&gt;BOTT_A2,ROUND(BASE_A2+RATE_A2*($A1518-BOTT_A2),0),ROUND(RATE_A1*$A1518,0))))</f>
        <v/>
      </c>
      <c r="E1518" s="556">
        <f>IF($A1518&gt;BOTT_B4,ROUND(BASE_B4+RATE_B4*($A1518-BOTT_B4),0),IF($A1518&gt;BOTT_B3,ROUND(BASE_B3+RATE_B3*($A1518-BOTT_B3),0),IF($A1518&gt;BOTT_B2,ROUND(BASE_B2+RATE_B2*($A1518-BOTT_B2),0),ROUND(RATE_B1*$A1518,0))))</f>
        <v/>
      </c>
      <c r="F1518" s="556">
        <f>IF($A1518&gt;BOTT_C4,ROUND(BASE_C4+RATE_C4*($A1518-BOTT_C4),0),IF($A1518&gt;BOTT_C3,ROUND(BASE_C3+RATE_C3*($A1518-BOTT_C3),0),IF($A1518&gt;BOTT_C2,ROUND(BASE_C2+RATE_C2*($A1518-BOTT_C2),0),ROUND(RATE_C1*$A1518,0))))</f>
        <v/>
      </c>
      <c r="G1518" s="556">
        <f>IF($A1518&gt;BOTT_D4,ROUND(BASE_D4+RATE_D4*($A1518-BOTT_D4),0),IF($A1518&gt;BOTT_D3,ROUND(BASE_D3+RATE_D3*($A1518-BOTT_D3),0),IF($A1518&gt;BOTT_D2,ROUND(BASE_D2+RATE_D2*($A1518-BOTT_D2),0),ROUND(RATE_D1*$A1518,0))))</f>
        <v/>
      </c>
    </row>
    <row r="1519" ht="15.75" customHeight="1" s="7635">
      <c r="A1519" s="625">
        <f>AVERAGE(B1519,C1519)</f>
        <v/>
      </c>
      <c r="B1519" s="555" t="n">
        <v>72750</v>
      </c>
      <c r="C1519" s="555" t="n">
        <v>72800</v>
      </c>
      <c r="D1519" s="556">
        <f>IF($A1519&gt;BOTT_A4,ROUND(BASE_A4+RATE_A4*($A1519-BOTT_A4),0),IF($A1519&gt;BOTT_A3,ROUND(BASE_A3+RATE_A3*($A1519-BOTT_A3),0),IF($A1519&gt;BOTT_A2,ROUND(BASE_A2+RATE_A2*($A1519-BOTT_A2),0),ROUND(RATE_A1*$A1519,0))))</f>
        <v/>
      </c>
      <c r="E1519" s="556">
        <f>IF($A1519&gt;BOTT_B4,ROUND(BASE_B4+RATE_B4*($A1519-BOTT_B4),0),IF($A1519&gt;BOTT_B3,ROUND(BASE_B3+RATE_B3*($A1519-BOTT_B3),0),IF($A1519&gt;BOTT_B2,ROUND(BASE_B2+RATE_B2*($A1519-BOTT_B2),0),ROUND(RATE_B1*$A1519,0))))</f>
        <v/>
      </c>
      <c r="F1519" s="556">
        <f>IF($A1519&gt;BOTT_C4,ROUND(BASE_C4+RATE_C4*($A1519-BOTT_C4),0),IF($A1519&gt;BOTT_C3,ROUND(BASE_C3+RATE_C3*($A1519-BOTT_C3),0),IF($A1519&gt;BOTT_C2,ROUND(BASE_C2+RATE_C2*($A1519-BOTT_C2),0),ROUND(RATE_C1*$A1519,0))))</f>
        <v/>
      </c>
      <c r="G1519" s="556">
        <f>IF($A1519&gt;BOTT_D4,ROUND(BASE_D4+RATE_D4*($A1519-BOTT_D4),0),IF($A1519&gt;BOTT_D3,ROUND(BASE_D3+RATE_D3*($A1519-BOTT_D3),0),IF($A1519&gt;BOTT_D2,ROUND(BASE_D2+RATE_D2*($A1519-BOTT_D2),0),ROUND(RATE_D1*$A1519,0))))</f>
        <v/>
      </c>
    </row>
    <row r="1520" ht="15.75" customHeight="1" s="7635">
      <c r="A1520" s="625">
        <f>AVERAGE(B1520,C1520)</f>
        <v/>
      </c>
      <c r="B1520" s="555" t="n">
        <v>72800</v>
      </c>
      <c r="C1520" s="555" t="n">
        <v>72850</v>
      </c>
      <c r="D1520" s="556">
        <f>IF($A1520&gt;BOTT_A4,ROUND(BASE_A4+RATE_A4*($A1520-BOTT_A4),0),IF($A1520&gt;BOTT_A3,ROUND(BASE_A3+RATE_A3*($A1520-BOTT_A3),0),IF($A1520&gt;BOTT_A2,ROUND(BASE_A2+RATE_A2*($A1520-BOTT_A2),0),ROUND(RATE_A1*$A1520,0))))</f>
        <v/>
      </c>
      <c r="E1520" s="556">
        <f>IF($A1520&gt;BOTT_B4,ROUND(BASE_B4+RATE_B4*($A1520-BOTT_B4),0),IF($A1520&gt;BOTT_B3,ROUND(BASE_B3+RATE_B3*($A1520-BOTT_B3),0),IF($A1520&gt;BOTT_B2,ROUND(BASE_B2+RATE_B2*($A1520-BOTT_B2),0),ROUND(RATE_B1*$A1520,0))))</f>
        <v/>
      </c>
      <c r="F1520" s="556">
        <f>IF($A1520&gt;BOTT_C4,ROUND(BASE_C4+RATE_C4*($A1520-BOTT_C4),0),IF($A1520&gt;BOTT_C3,ROUND(BASE_C3+RATE_C3*($A1520-BOTT_C3),0),IF($A1520&gt;BOTT_C2,ROUND(BASE_C2+RATE_C2*($A1520-BOTT_C2),0),ROUND(RATE_C1*$A1520,0))))</f>
        <v/>
      </c>
      <c r="G1520" s="556">
        <f>IF($A1520&gt;BOTT_D4,ROUND(BASE_D4+RATE_D4*($A1520-BOTT_D4),0),IF($A1520&gt;BOTT_D3,ROUND(BASE_D3+RATE_D3*($A1520-BOTT_D3),0),IF($A1520&gt;BOTT_D2,ROUND(BASE_D2+RATE_D2*($A1520-BOTT_D2),0),ROUND(RATE_D1*$A1520,0))))</f>
        <v/>
      </c>
    </row>
    <row r="1521" ht="15.75" customHeight="1" s="7635">
      <c r="A1521" s="625">
        <f>AVERAGE(B1521,C1521)</f>
        <v/>
      </c>
      <c r="B1521" s="555" t="n">
        <v>72850</v>
      </c>
      <c r="C1521" s="555" t="n">
        <v>72900</v>
      </c>
      <c r="D1521" s="556">
        <f>IF($A1521&gt;BOTT_A4,ROUND(BASE_A4+RATE_A4*($A1521-BOTT_A4),0),IF($A1521&gt;BOTT_A3,ROUND(BASE_A3+RATE_A3*($A1521-BOTT_A3),0),IF($A1521&gt;BOTT_A2,ROUND(BASE_A2+RATE_A2*($A1521-BOTT_A2),0),ROUND(RATE_A1*$A1521,0))))</f>
        <v/>
      </c>
      <c r="E1521" s="556">
        <f>IF($A1521&gt;BOTT_B4,ROUND(BASE_B4+RATE_B4*($A1521-BOTT_B4),0),IF($A1521&gt;BOTT_B3,ROUND(BASE_B3+RATE_B3*($A1521-BOTT_B3),0),IF($A1521&gt;BOTT_B2,ROUND(BASE_B2+RATE_B2*($A1521-BOTT_B2),0),ROUND(RATE_B1*$A1521,0))))</f>
        <v/>
      </c>
      <c r="F1521" s="556">
        <f>IF($A1521&gt;BOTT_C4,ROUND(BASE_C4+RATE_C4*($A1521-BOTT_C4),0),IF($A1521&gt;BOTT_C3,ROUND(BASE_C3+RATE_C3*($A1521-BOTT_C3),0),IF($A1521&gt;BOTT_C2,ROUND(BASE_C2+RATE_C2*($A1521-BOTT_C2),0),ROUND(RATE_C1*$A1521,0))))</f>
        <v/>
      </c>
      <c r="G1521" s="556">
        <f>IF($A1521&gt;BOTT_D4,ROUND(BASE_D4+RATE_D4*($A1521-BOTT_D4),0),IF($A1521&gt;BOTT_D3,ROUND(BASE_D3+RATE_D3*($A1521-BOTT_D3),0),IF($A1521&gt;BOTT_D2,ROUND(BASE_D2+RATE_D2*($A1521-BOTT_D2),0),ROUND(RATE_D1*$A1521,0))))</f>
        <v/>
      </c>
    </row>
    <row r="1522" ht="15.75" customHeight="1" s="7635">
      <c r="A1522" s="625">
        <f>AVERAGE(B1522,C1522)</f>
        <v/>
      </c>
      <c r="B1522" s="555" t="n">
        <v>72900</v>
      </c>
      <c r="C1522" s="555" t="n">
        <v>72950</v>
      </c>
      <c r="D1522" s="556">
        <f>IF($A1522&gt;BOTT_A4,ROUND(BASE_A4+RATE_A4*($A1522-BOTT_A4),0),IF($A1522&gt;BOTT_A3,ROUND(BASE_A3+RATE_A3*($A1522-BOTT_A3),0),IF($A1522&gt;BOTT_A2,ROUND(BASE_A2+RATE_A2*($A1522-BOTT_A2),0),ROUND(RATE_A1*$A1522,0))))</f>
        <v/>
      </c>
      <c r="E1522" s="556">
        <f>IF($A1522&gt;BOTT_B4,ROUND(BASE_B4+RATE_B4*($A1522-BOTT_B4),0),IF($A1522&gt;BOTT_B3,ROUND(BASE_B3+RATE_B3*($A1522-BOTT_B3),0),IF($A1522&gt;BOTT_B2,ROUND(BASE_B2+RATE_B2*($A1522-BOTT_B2),0),ROUND(RATE_B1*$A1522,0))))</f>
        <v/>
      </c>
      <c r="F1522" s="556">
        <f>IF($A1522&gt;BOTT_C4,ROUND(BASE_C4+RATE_C4*($A1522-BOTT_C4),0),IF($A1522&gt;BOTT_C3,ROUND(BASE_C3+RATE_C3*($A1522-BOTT_C3),0),IF($A1522&gt;BOTT_C2,ROUND(BASE_C2+RATE_C2*($A1522-BOTT_C2),0),ROUND(RATE_C1*$A1522,0))))</f>
        <v/>
      </c>
      <c r="G1522" s="556">
        <f>IF($A1522&gt;BOTT_D4,ROUND(BASE_D4+RATE_D4*($A1522-BOTT_D4),0),IF($A1522&gt;BOTT_D3,ROUND(BASE_D3+RATE_D3*($A1522-BOTT_D3),0),IF($A1522&gt;BOTT_D2,ROUND(BASE_D2+RATE_D2*($A1522-BOTT_D2),0),ROUND(RATE_D1*$A1522,0))))</f>
        <v/>
      </c>
    </row>
    <row r="1523" ht="15.75" customHeight="1" s="7635">
      <c r="A1523" s="625">
        <f>AVERAGE(B1523,C1523)</f>
        <v/>
      </c>
      <c r="B1523" s="555" t="n">
        <v>72950</v>
      </c>
      <c r="C1523" s="555" t="n">
        <v>73000</v>
      </c>
      <c r="D1523" s="556">
        <f>IF($A1523&gt;BOTT_A4,ROUND(BASE_A4+RATE_A4*($A1523-BOTT_A4),0),IF($A1523&gt;BOTT_A3,ROUND(BASE_A3+RATE_A3*($A1523-BOTT_A3),0),IF($A1523&gt;BOTT_A2,ROUND(BASE_A2+RATE_A2*($A1523-BOTT_A2),0),ROUND(RATE_A1*$A1523,0))))</f>
        <v/>
      </c>
      <c r="E1523" s="556">
        <f>IF($A1523&gt;BOTT_B4,ROUND(BASE_B4+RATE_B4*($A1523-BOTT_B4),0),IF($A1523&gt;BOTT_B3,ROUND(BASE_B3+RATE_B3*($A1523-BOTT_B3),0),IF($A1523&gt;BOTT_B2,ROUND(BASE_B2+RATE_B2*($A1523-BOTT_B2),0),ROUND(RATE_B1*$A1523,0))))</f>
        <v/>
      </c>
      <c r="F1523" s="556">
        <f>IF($A1523&gt;BOTT_C4,ROUND(BASE_C4+RATE_C4*($A1523-BOTT_C4),0),IF($A1523&gt;BOTT_C3,ROUND(BASE_C3+RATE_C3*($A1523-BOTT_C3),0),IF($A1523&gt;BOTT_C2,ROUND(BASE_C2+RATE_C2*($A1523-BOTT_C2),0),ROUND(RATE_C1*$A1523,0))))</f>
        <v/>
      </c>
      <c r="G1523" s="556">
        <f>IF($A1523&gt;BOTT_D4,ROUND(BASE_D4+RATE_D4*($A1523-BOTT_D4),0),IF($A1523&gt;BOTT_D3,ROUND(BASE_D3+RATE_D3*($A1523-BOTT_D3),0),IF($A1523&gt;BOTT_D2,ROUND(BASE_D2+RATE_D2*($A1523-BOTT_D2),0),ROUND(RATE_D1*$A1523,0))))</f>
        <v/>
      </c>
    </row>
    <row r="1524" ht="15.75" customHeight="1" s="7635">
      <c r="A1524" s="625">
        <f>AVERAGE(B1524,C1524)</f>
        <v/>
      </c>
      <c r="B1524" s="555" t="n">
        <v>73000</v>
      </c>
      <c r="C1524" s="555" t="n">
        <v>73050</v>
      </c>
      <c r="D1524" s="556">
        <f>IF($A1524&gt;BOTT_A4,ROUND(BASE_A4+RATE_A4*($A1524-BOTT_A4),0),IF($A1524&gt;BOTT_A3,ROUND(BASE_A3+RATE_A3*($A1524-BOTT_A3),0),IF($A1524&gt;BOTT_A2,ROUND(BASE_A2+RATE_A2*($A1524-BOTT_A2),0),ROUND(RATE_A1*$A1524,0))))</f>
        <v/>
      </c>
      <c r="E1524" s="556">
        <f>IF($A1524&gt;BOTT_B4,ROUND(BASE_B4+RATE_B4*($A1524-BOTT_B4),0),IF($A1524&gt;BOTT_B3,ROUND(BASE_B3+RATE_B3*($A1524-BOTT_B3),0),IF($A1524&gt;BOTT_B2,ROUND(BASE_B2+RATE_B2*($A1524-BOTT_B2),0),ROUND(RATE_B1*$A1524,0))))</f>
        <v/>
      </c>
      <c r="F1524" s="556">
        <f>IF($A1524&gt;BOTT_C4,ROUND(BASE_C4+RATE_C4*($A1524-BOTT_C4),0),IF($A1524&gt;BOTT_C3,ROUND(BASE_C3+RATE_C3*($A1524-BOTT_C3),0),IF($A1524&gt;BOTT_C2,ROUND(BASE_C2+RATE_C2*($A1524-BOTT_C2),0),ROUND(RATE_C1*$A1524,0))))</f>
        <v/>
      </c>
      <c r="G1524" s="556">
        <f>IF($A1524&gt;BOTT_D4,ROUND(BASE_D4+RATE_D4*($A1524-BOTT_D4),0),IF($A1524&gt;BOTT_D3,ROUND(BASE_D3+RATE_D3*($A1524-BOTT_D3),0),IF($A1524&gt;BOTT_D2,ROUND(BASE_D2+RATE_D2*($A1524-BOTT_D2),0),ROUND(RATE_D1*$A1524,0))))</f>
        <v/>
      </c>
    </row>
    <row r="1525" ht="15.75" customHeight="1" s="7635">
      <c r="A1525" s="625">
        <f>AVERAGE(B1525,C1525)</f>
        <v/>
      </c>
      <c r="B1525" s="555" t="n">
        <v>73050</v>
      </c>
      <c r="C1525" s="555" t="n">
        <v>73100</v>
      </c>
      <c r="D1525" s="556">
        <f>IF($A1525&gt;BOTT_A4,ROUND(BASE_A4+RATE_A4*($A1525-BOTT_A4),0),IF($A1525&gt;BOTT_A3,ROUND(BASE_A3+RATE_A3*($A1525-BOTT_A3),0),IF($A1525&gt;BOTT_A2,ROUND(BASE_A2+RATE_A2*($A1525-BOTT_A2),0),ROUND(RATE_A1*$A1525,0))))</f>
        <v/>
      </c>
      <c r="E1525" s="556">
        <f>IF($A1525&gt;BOTT_B4,ROUND(BASE_B4+RATE_B4*($A1525-BOTT_B4),0),IF($A1525&gt;BOTT_B3,ROUND(BASE_B3+RATE_B3*($A1525-BOTT_B3),0),IF($A1525&gt;BOTT_B2,ROUND(BASE_B2+RATE_B2*($A1525-BOTT_B2),0),ROUND(RATE_B1*$A1525,0))))</f>
        <v/>
      </c>
      <c r="F1525" s="556">
        <f>IF($A1525&gt;BOTT_C4,ROUND(BASE_C4+RATE_C4*($A1525-BOTT_C4),0),IF($A1525&gt;BOTT_C3,ROUND(BASE_C3+RATE_C3*($A1525-BOTT_C3),0),IF($A1525&gt;BOTT_C2,ROUND(BASE_C2+RATE_C2*($A1525-BOTT_C2),0),ROUND(RATE_C1*$A1525,0))))</f>
        <v/>
      </c>
      <c r="G1525" s="556">
        <f>IF($A1525&gt;BOTT_D4,ROUND(BASE_D4+RATE_D4*($A1525-BOTT_D4),0),IF($A1525&gt;BOTT_D3,ROUND(BASE_D3+RATE_D3*($A1525-BOTT_D3),0),IF($A1525&gt;BOTT_D2,ROUND(BASE_D2+RATE_D2*($A1525-BOTT_D2),0),ROUND(RATE_D1*$A1525,0))))</f>
        <v/>
      </c>
    </row>
    <row r="1526" ht="15.75" customHeight="1" s="7635">
      <c r="A1526" s="625">
        <f>AVERAGE(B1526,C1526)</f>
        <v/>
      </c>
      <c r="B1526" s="555" t="n">
        <v>73100</v>
      </c>
      <c r="C1526" s="555" t="n">
        <v>73150</v>
      </c>
      <c r="D1526" s="556">
        <f>IF($A1526&gt;BOTT_A4,ROUND(BASE_A4+RATE_A4*($A1526-BOTT_A4),0),IF($A1526&gt;BOTT_A3,ROUND(BASE_A3+RATE_A3*($A1526-BOTT_A3),0),IF($A1526&gt;BOTT_A2,ROUND(BASE_A2+RATE_A2*($A1526-BOTT_A2),0),ROUND(RATE_A1*$A1526,0))))</f>
        <v/>
      </c>
      <c r="E1526" s="556">
        <f>IF($A1526&gt;BOTT_B4,ROUND(BASE_B4+RATE_B4*($A1526-BOTT_B4),0),IF($A1526&gt;BOTT_B3,ROUND(BASE_B3+RATE_B3*($A1526-BOTT_B3),0),IF($A1526&gt;BOTT_B2,ROUND(BASE_B2+RATE_B2*($A1526-BOTT_B2),0),ROUND(RATE_B1*$A1526,0))))</f>
        <v/>
      </c>
      <c r="F1526" s="556">
        <f>IF($A1526&gt;BOTT_C4,ROUND(BASE_C4+RATE_C4*($A1526-BOTT_C4),0),IF($A1526&gt;BOTT_C3,ROUND(BASE_C3+RATE_C3*($A1526-BOTT_C3),0),IF($A1526&gt;BOTT_C2,ROUND(BASE_C2+RATE_C2*($A1526-BOTT_C2),0),ROUND(RATE_C1*$A1526,0))))</f>
        <v/>
      </c>
      <c r="G1526" s="556">
        <f>IF($A1526&gt;BOTT_D4,ROUND(BASE_D4+RATE_D4*($A1526-BOTT_D4),0),IF($A1526&gt;BOTT_D3,ROUND(BASE_D3+RATE_D3*($A1526-BOTT_D3),0),IF($A1526&gt;BOTT_D2,ROUND(BASE_D2+RATE_D2*($A1526-BOTT_D2),0),ROUND(RATE_D1*$A1526,0))))</f>
        <v/>
      </c>
    </row>
    <row r="1527" ht="15.75" customHeight="1" s="7635">
      <c r="A1527" s="625">
        <f>AVERAGE(B1527,C1527)</f>
        <v/>
      </c>
      <c r="B1527" s="555" t="n">
        <v>73150</v>
      </c>
      <c r="C1527" s="555" t="n">
        <v>73200</v>
      </c>
      <c r="D1527" s="556">
        <f>IF($A1527&gt;BOTT_A4,ROUND(BASE_A4+RATE_A4*($A1527-BOTT_A4),0),IF($A1527&gt;BOTT_A3,ROUND(BASE_A3+RATE_A3*($A1527-BOTT_A3),0),IF($A1527&gt;BOTT_A2,ROUND(BASE_A2+RATE_A2*($A1527-BOTT_A2),0),ROUND(RATE_A1*$A1527,0))))</f>
        <v/>
      </c>
      <c r="E1527" s="556">
        <f>IF($A1527&gt;BOTT_B4,ROUND(BASE_B4+RATE_B4*($A1527-BOTT_B4),0),IF($A1527&gt;BOTT_B3,ROUND(BASE_B3+RATE_B3*($A1527-BOTT_B3),0),IF($A1527&gt;BOTT_B2,ROUND(BASE_B2+RATE_B2*($A1527-BOTT_B2),0),ROUND(RATE_B1*$A1527,0))))</f>
        <v/>
      </c>
      <c r="F1527" s="556">
        <f>IF($A1527&gt;BOTT_C4,ROUND(BASE_C4+RATE_C4*($A1527-BOTT_C4),0),IF($A1527&gt;BOTT_C3,ROUND(BASE_C3+RATE_C3*($A1527-BOTT_C3),0),IF($A1527&gt;BOTT_C2,ROUND(BASE_C2+RATE_C2*($A1527-BOTT_C2),0),ROUND(RATE_C1*$A1527,0))))</f>
        <v/>
      </c>
      <c r="G1527" s="556">
        <f>IF($A1527&gt;BOTT_D4,ROUND(BASE_D4+RATE_D4*($A1527-BOTT_D4),0),IF($A1527&gt;BOTT_D3,ROUND(BASE_D3+RATE_D3*($A1527-BOTT_D3),0),IF($A1527&gt;BOTT_D2,ROUND(BASE_D2+RATE_D2*($A1527-BOTT_D2),0),ROUND(RATE_D1*$A1527,0))))</f>
        <v/>
      </c>
    </row>
    <row r="1528" ht="15.75" customHeight="1" s="7635">
      <c r="A1528" s="625">
        <f>AVERAGE(B1528,C1528)</f>
        <v/>
      </c>
      <c r="B1528" s="555" t="n">
        <v>73200</v>
      </c>
      <c r="C1528" s="555" t="n">
        <v>73250</v>
      </c>
      <c r="D1528" s="556">
        <f>IF($A1528&gt;BOTT_A4,ROUND(BASE_A4+RATE_A4*($A1528-BOTT_A4),0),IF($A1528&gt;BOTT_A3,ROUND(BASE_A3+RATE_A3*($A1528-BOTT_A3),0),IF($A1528&gt;BOTT_A2,ROUND(BASE_A2+RATE_A2*($A1528-BOTT_A2),0),ROUND(RATE_A1*$A1528,0))))</f>
        <v/>
      </c>
      <c r="E1528" s="556">
        <f>IF($A1528&gt;BOTT_B4,ROUND(BASE_B4+RATE_B4*($A1528-BOTT_B4),0),IF($A1528&gt;BOTT_B3,ROUND(BASE_B3+RATE_B3*($A1528-BOTT_B3),0),IF($A1528&gt;BOTT_B2,ROUND(BASE_B2+RATE_B2*($A1528-BOTT_B2),0),ROUND(RATE_B1*$A1528,0))))</f>
        <v/>
      </c>
      <c r="F1528" s="556">
        <f>IF($A1528&gt;BOTT_C4,ROUND(BASE_C4+RATE_C4*($A1528-BOTT_C4),0),IF($A1528&gt;BOTT_C3,ROUND(BASE_C3+RATE_C3*($A1528-BOTT_C3),0),IF($A1528&gt;BOTT_C2,ROUND(BASE_C2+RATE_C2*($A1528-BOTT_C2),0),ROUND(RATE_C1*$A1528,0))))</f>
        <v/>
      </c>
      <c r="G1528" s="556">
        <f>IF($A1528&gt;BOTT_D4,ROUND(BASE_D4+RATE_D4*($A1528-BOTT_D4),0),IF($A1528&gt;BOTT_D3,ROUND(BASE_D3+RATE_D3*($A1528-BOTT_D3),0),IF($A1528&gt;BOTT_D2,ROUND(BASE_D2+RATE_D2*($A1528-BOTT_D2),0),ROUND(RATE_D1*$A1528,0))))</f>
        <v/>
      </c>
    </row>
    <row r="1529" ht="15.75" customHeight="1" s="7635">
      <c r="A1529" s="625">
        <f>AVERAGE(B1529,C1529)</f>
        <v/>
      </c>
      <c r="B1529" s="555" t="n">
        <v>73250</v>
      </c>
      <c r="C1529" s="555" t="n">
        <v>73300</v>
      </c>
      <c r="D1529" s="556">
        <f>IF($A1529&gt;BOTT_A4,ROUND(BASE_A4+RATE_A4*($A1529-BOTT_A4),0),IF($A1529&gt;BOTT_A3,ROUND(BASE_A3+RATE_A3*($A1529-BOTT_A3),0),IF($A1529&gt;BOTT_A2,ROUND(BASE_A2+RATE_A2*($A1529-BOTT_A2),0),ROUND(RATE_A1*$A1529,0))))</f>
        <v/>
      </c>
      <c r="E1529" s="556">
        <f>IF($A1529&gt;BOTT_B4,ROUND(BASE_B4+RATE_B4*($A1529-BOTT_B4),0),IF($A1529&gt;BOTT_B3,ROUND(BASE_B3+RATE_B3*($A1529-BOTT_B3),0),IF($A1529&gt;BOTT_B2,ROUND(BASE_B2+RATE_B2*($A1529-BOTT_B2),0),ROUND(RATE_B1*$A1529,0))))</f>
        <v/>
      </c>
      <c r="F1529" s="556">
        <f>IF($A1529&gt;BOTT_C4,ROUND(BASE_C4+RATE_C4*($A1529-BOTT_C4),0),IF($A1529&gt;BOTT_C3,ROUND(BASE_C3+RATE_C3*($A1529-BOTT_C3),0),IF($A1529&gt;BOTT_C2,ROUND(BASE_C2+RATE_C2*($A1529-BOTT_C2),0),ROUND(RATE_C1*$A1529,0))))</f>
        <v/>
      </c>
      <c r="G1529" s="556">
        <f>IF($A1529&gt;BOTT_D4,ROUND(BASE_D4+RATE_D4*($A1529-BOTT_D4),0),IF($A1529&gt;BOTT_D3,ROUND(BASE_D3+RATE_D3*($A1529-BOTT_D3),0),IF($A1529&gt;BOTT_D2,ROUND(BASE_D2+RATE_D2*($A1529-BOTT_D2),0),ROUND(RATE_D1*$A1529,0))))</f>
        <v/>
      </c>
    </row>
    <row r="1530" ht="15.75" customHeight="1" s="7635">
      <c r="A1530" s="625">
        <f>AVERAGE(B1530,C1530)</f>
        <v/>
      </c>
      <c r="B1530" s="555" t="n">
        <v>73300</v>
      </c>
      <c r="C1530" s="555" t="n">
        <v>73350</v>
      </c>
      <c r="D1530" s="556">
        <f>IF($A1530&gt;BOTT_A4,ROUND(BASE_A4+RATE_A4*($A1530-BOTT_A4),0),IF($A1530&gt;BOTT_A3,ROUND(BASE_A3+RATE_A3*($A1530-BOTT_A3),0),IF($A1530&gt;BOTT_A2,ROUND(BASE_A2+RATE_A2*($A1530-BOTT_A2),0),ROUND(RATE_A1*$A1530,0))))</f>
        <v/>
      </c>
      <c r="E1530" s="556">
        <f>IF($A1530&gt;BOTT_B4,ROUND(BASE_B4+RATE_B4*($A1530-BOTT_B4),0),IF($A1530&gt;BOTT_B3,ROUND(BASE_B3+RATE_B3*($A1530-BOTT_B3),0),IF($A1530&gt;BOTT_B2,ROUND(BASE_B2+RATE_B2*($A1530-BOTT_B2),0),ROUND(RATE_B1*$A1530,0))))</f>
        <v/>
      </c>
      <c r="F1530" s="556">
        <f>IF($A1530&gt;BOTT_C4,ROUND(BASE_C4+RATE_C4*($A1530-BOTT_C4),0),IF($A1530&gt;BOTT_C3,ROUND(BASE_C3+RATE_C3*($A1530-BOTT_C3),0),IF($A1530&gt;BOTT_C2,ROUND(BASE_C2+RATE_C2*($A1530-BOTT_C2),0),ROUND(RATE_C1*$A1530,0))))</f>
        <v/>
      </c>
      <c r="G1530" s="556">
        <f>IF($A1530&gt;BOTT_D4,ROUND(BASE_D4+RATE_D4*($A1530-BOTT_D4),0),IF($A1530&gt;BOTT_D3,ROUND(BASE_D3+RATE_D3*($A1530-BOTT_D3),0),IF($A1530&gt;BOTT_D2,ROUND(BASE_D2+RATE_D2*($A1530-BOTT_D2),0),ROUND(RATE_D1*$A1530,0))))</f>
        <v/>
      </c>
    </row>
    <row r="1531" ht="15.75" customHeight="1" s="7635">
      <c r="A1531" s="625">
        <f>AVERAGE(B1531,C1531)</f>
        <v/>
      </c>
      <c r="B1531" s="555" t="n">
        <v>73350</v>
      </c>
      <c r="C1531" s="555" t="n">
        <v>73400</v>
      </c>
      <c r="D1531" s="556">
        <f>IF($A1531&gt;BOTT_A4,ROUND(BASE_A4+RATE_A4*($A1531-BOTT_A4),0),IF($A1531&gt;BOTT_A3,ROUND(BASE_A3+RATE_A3*($A1531-BOTT_A3),0),IF($A1531&gt;BOTT_A2,ROUND(BASE_A2+RATE_A2*($A1531-BOTT_A2),0),ROUND(RATE_A1*$A1531,0))))</f>
        <v/>
      </c>
      <c r="E1531" s="556">
        <f>IF($A1531&gt;BOTT_B4,ROUND(BASE_B4+RATE_B4*($A1531-BOTT_B4),0),IF($A1531&gt;BOTT_B3,ROUND(BASE_B3+RATE_B3*($A1531-BOTT_B3),0),IF($A1531&gt;BOTT_B2,ROUND(BASE_B2+RATE_B2*($A1531-BOTT_B2),0),ROUND(RATE_B1*$A1531,0))))</f>
        <v/>
      </c>
      <c r="F1531" s="556">
        <f>IF($A1531&gt;BOTT_C4,ROUND(BASE_C4+RATE_C4*($A1531-BOTT_C4),0),IF($A1531&gt;BOTT_C3,ROUND(BASE_C3+RATE_C3*($A1531-BOTT_C3),0),IF($A1531&gt;BOTT_C2,ROUND(BASE_C2+RATE_C2*($A1531-BOTT_C2),0),ROUND(RATE_C1*$A1531,0))))</f>
        <v/>
      </c>
      <c r="G1531" s="556">
        <f>IF($A1531&gt;BOTT_D4,ROUND(BASE_D4+RATE_D4*($A1531-BOTT_D4),0),IF($A1531&gt;BOTT_D3,ROUND(BASE_D3+RATE_D3*($A1531-BOTT_D3),0),IF($A1531&gt;BOTT_D2,ROUND(BASE_D2+RATE_D2*($A1531-BOTT_D2),0),ROUND(RATE_D1*$A1531,0))))</f>
        <v/>
      </c>
    </row>
    <row r="1532" ht="15.75" customHeight="1" s="7635">
      <c r="A1532" s="625">
        <f>AVERAGE(B1532,C1532)</f>
        <v/>
      </c>
      <c r="B1532" s="555" t="n">
        <v>73400</v>
      </c>
      <c r="C1532" s="555" t="n">
        <v>73450</v>
      </c>
      <c r="D1532" s="556">
        <f>IF($A1532&gt;BOTT_A4,ROUND(BASE_A4+RATE_A4*($A1532-BOTT_A4),0),IF($A1532&gt;BOTT_A3,ROUND(BASE_A3+RATE_A3*($A1532-BOTT_A3),0),IF($A1532&gt;BOTT_A2,ROUND(BASE_A2+RATE_A2*($A1532-BOTT_A2),0),ROUND(RATE_A1*$A1532,0))))</f>
        <v/>
      </c>
      <c r="E1532" s="556">
        <f>IF($A1532&gt;BOTT_B4,ROUND(BASE_B4+RATE_B4*($A1532-BOTT_B4),0),IF($A1532&gt;BOTT_B3,ROUND(BASE_B3+RATE_B3*($A1532-BOTT_B3),0),IF($A1532&gt;BOTT_B2,ROUND(BASE_B2+RATE_B2*($A1532-BOTT_B2),0),ROUND(RATE_B1*$A1532,0))))</f>
        <v/>
      </c>
      <c r="F1532" s="556">
        <f>IF($A1532&gt;BOTT_C4,ROUND(BASE_C4+RATE_C4*($A1532-BOTT_C4),0),IF($A1532&gt;BOTT_C3,ROUND(BASE_C3+RATE_C3*($A1532-BOTT_C3),0),IF($A1532&gt;BOTT_C2,ROUND(BASE_C2+RATE_C2*($A1532-BOTT_C2),0),ROUND(RATE_C1*$A1532,0))))</f>
        <v/>
      </c>
      <c r="G1532" s="556">
        <f>IF($A1532&gt;BOTT_D4,ROUND(BASE_D4+RATE_D4*($A1532-BOTT_D4),0),IF($A1532&gt;BOTT_D3,ROUND(BASE_D3+RATE_D3*($A1532-BOTT_D3),0),IF($A1532&gt;BOTT_D2,ROUND(BASE_D2+RATE_D2*($A1532-BOTT_D2),0),ROUND(RATE_D1*$A1532,0))))</f>
        <v/>
      </c>
    </row>
    <row r="1533" ht="15.75" customHeight="1" s="7635">
      <c r="A1533" s="625">
        <f>AVERAGE(B1533,C1533)</f>
        <v/>
      </c>
      <c r="B1533" s="555" t="n">
        <v>73450</v>
      </c>
      <c r="C1533" s="555" t="n">
        <v>73500</v>
      </c>
      <c r="D1533" s="556">
        <f>IF($A1533&gt;BOTT_A4,ROUND(BASE_A4+RATE_A4*($A1533-BOTT_A4),0),IF($A1533&gt;BOTT_A3,ROUND(BASE_A3+RATE_A3*($A1533-BOTT_A3),0),IF($A1533&gt;BOTT_A2,ROUND(BASE_A2+RATE_A2*($A1533-BOTT_A2),0),ROUND(RATE_A1*$A1533,0))))</f>
        <v/>
      </c>
      <c r="E1533" s="556">
        <f>IF($A1533&gt;BOTT_B4,ROUND(BASE_B4+RATE_B4*($A1533-BOTT_B4),0),IF($A1533&gt;BOTT_B3,ROUND(BASE_B3+RATE_B3*($A1533-BOTT_B3),0),IF($A1533&gt;BOTT_B2,ROUND(BASE_B2+RATE_B2*($A1533-BOTT_B2),0),ROUND(RATE_B1*$A1533,0))))</f>
        <v/>
      </c>
      <c r="F1533" s="556">
        <f>IF($A1533&gt;BOTT_C4,ROUND(BASE_C4+RATE_C4*($A1533-BOTT_C4),0),IF($A1533&gt;BOTT_C3,ROUND(BASE_C3+RATE_C3*($A1533-BOTT_C3),0),IF($A1533&gt;BOTT_C2,ROUND(BASE_C2+RATE_C2*($A1533-BOTT_C2),0),ROUND(RATE_C1*$A1533,0))))</f>
        <v/>
      </c>
      <c r="G1533" s="556">
        <f>IF($A1533&gt;BOTT_D4,ROUND(BASE_D4+RATE_D4*($A1533-BOTT_D4),0),IF($A1533&gt;BOTT_D3,ROUND(BASE_D3+RATE_D3*($A1533-BOTT_D3),0),IF($A1533&gt;BOTT_D2,ROUND(BASE_D2+RATE_D2*($A1533-BOTT_D2),0),ROUND(RATE_D1*$A1533,0))))</f>
        <v/>
      </c>
    </row>
    <row r="1534" ht="15.75" customHeight="1" s="7635">
      <c r="A1534" s="625">
        <f>AVERAGE(B1534,C1534)</f>
        <v/>
      </c>
      <c r="B1534" s="555" t="n">
        <v>73500</v>
      </c>
      <c r="C1534" s="555" t="n">
        <v>73550</v>
      </c>
      <c r="D1534" s="556">
        <f>IF($A1534&gt;BOTT_A4,ROUND(BASE_A4+RATE_A4*($A1534-BOTT_A4),0),IF($A1534&gt;BOTT_A3,ROUND(BASE_A3+RATE_A3*($A1534-BOTT_A3),0),IF($A1534&gt;BOTT_A2,ROUND(BASE_A2+RATE_A2*($A1534-BOTT_A2),0),ROUND(RATE_A1*$A1534,0))))</f>
        <v/>
      </c>
      <c r="E1534" s="556">
        <f>IF($A1534&gt;BOTT_B4,ROUND(BASE_B4+RATE_B4*($A1534-BOTT_B4),0),IF($A1534&gt;BOTT_B3,ROUND(BASE_B3+RATE_B3*($A1534-BOTT_B3),0),IF($A1534&gt;BOTT_B2,ROUND(BASE_B2+RATE_B2*($A1534-BOTT_B2),0),ROUND(RATE_B1*$A1534,0))))</f>
        <v/>
      </c>
      <c r="F1534" s="556">
        <f>IF($A1534&gt;BOTT_C4,ROUND(BASE_C4+RATE_C4*($A1534-BOTT_C4),0),IF($A1534&gt;BOTT_C3,ROUND(BASE_C3+RATE_C3*($A1534-BOTT_C3),0),IF($A1534&gt;BOTT_C2,ROUND(BASE_C2+RATE_C2*($A1534-BOTT_C2),0),ROUND(RATE_C1*$A1534,0))))</f>
        <v/>
      </c>
      <c r="G1534" s="556">
        <f>IF($A1534&gt;BOTT_D4,ROUND(BASE_D4+RATE_D4*($A1534-BOTT_D4),0),IF($A1534&gt;BOTT_D3,ROUND(BASE_D3+RATE_D3*($A1534-BOTT_D3),0),IF($A1534&gt;BOTT_D2,ROUND(BASE_D2+RATE_D2*($A1534-BOTT_D2),0),ROUND(RATE_D1*$A1534,0))))</f>
        <v/>
      </c>
    </row>
    <row r="1535" ht="15.75" customHeight="1" s="7635">
      <c r="A1535" s="625">
        <f>AVERAGE(B1535,C1535)</f>
        <v/>
      </c>
      <c r="B1535" s="555" t="n">
        <v>73550</v>
      </c>
      <c r="C1535" s="555" t="n">
        <v>73600</v>
      </c>
      <c r="D1535" s="556">
        <f>IF($A1535&gt;BOTT_A4,ROUND(BASE_A4+RATE_A4*($A1535-BOTT_A4),0),IF($A1535&gt;BOTT_A3,ROUND(BASE_A3+RATE_A3*($A1535-BOTT_A3),0),IF($A1535&gt;BOTT_A2,ROUND(BASE_A2+RATE_A2*($A1535-BOTT_A2),0),ROUND(RATE_A1*$A1535,0))))</f>
        <v/>
      </c>
      <c r="E1535" s="556">
        <f>IF($A1535&gt;BOTT_B4,ROUND(BASE_B4+RATE_B4*($A1535-BOTT_B4),0),IF($A1535&gt;BOTT_B3,ROUND(BASE_B3+RATE_B3*($A1535-BOTT_B3),0),IF($A1535&gt;BOTT_B2,ROUND(BASE_B2+RATE_B2*($A1535-BOTT_B2),0),ROUND(RATE_B1*$A1535,0))))</f>
        <v/>
      </c>
      <c r="F1535" s="556">
        <f>IF($A1535&gt;BOTT_C4,ROUND(BASE_C4+RATE_C4*($A1535-BOTT_C4),0),IF($A1535&gt;BOTT_C3,ROUND(BASE_C3+RATE_C3*($A1535-BOTT_C3),0),IF($A1535&gt;BOTT_C2,ROUND(BASE_C2+RATE_C2*($A1535-BOTT_C2),0),ROUND(RATE_C1*$A1535,0))))</f>
        <v/>
      </c>
      <c r="G1535" s="556">
        <f>IF($A1535&gt;BOTT_D4,ROUND(BASE_D4+RATE_D4*($A1535-BOTT_D4),0),IF($A1535&gt;BOTT_D3,ROUND(BASE_D3+RATE_D3*($A1535-BOTT_D3),0),IF($A1535&gt;BOTT_D2,ROUND(BASE_D2+RATE_D2*($A1535-BOTT_D2),0),ROUND(RATE_D1*$A1535,0))))</f>
        <v/>
      </c>
    </row>
    <row r="1536" ht="15.75" customHeight="1" s="7635">
      <c r="A1536" s="625">
        <f>AVERAGE(B1536,C1536)</f>
        <v/>
      </c>
      <c r="B1536" s="555" t="n">
        <v>73600</v>
      </c>
      <c r="C1536" s="555" t="n">
        <v>73650</v>
      </c>
      <c r="D1536" s="556">
        <f>IF($A1536&gt;BOTT_A4,ROUND(BASE_A4+RATE_A4*($A1536-BOTT_A4),0),IF($A1536&gt;BOTT_A3,ROUND(BASE_A3+RATE_A3*($A1536-BOTT_A3),0),IF($A1536&gt;BOTT_A2,ROUND(BASE_A2+RATE_A2*($A1536-BOTT_A2),0),ROUND(RATE_A1*$A1536,0))))</f>
        <v/>
      </c>
      <c r="E1536" s="556">
        <f>IF($A1536&gt;BOTT_B4,ROUND(BASE_B4+RATE_B4*($A1536-BOTT_B4),0),IF($A1536&gt;BOTT_B3,ROUND(BASE_B3+RATE_B3*($A1536-BOTT_B3),0),IF($A1536&gt;BOTT_B2,ROUND(BASE_B2+RATE_B2*($A1536-BOTT_B2),0),ROUND(RATE_B1*$A1536,0))))</f>
        <v/>
      </c>
      <c r="F1536" s="556">
        <f>IF($A1536&gt;BOTT_C4,ROUND(BASE_C4+RATE_C4*($A1536-BOTT_C4),0),IF($A1536&gt;BOTT_C3,ROUND(BASE_C3+RATE_C3*($A1536-BOTT_C3),0),IF($A1536&gt;BOTT_C2,ROUND(BASE_C2+RATE_C2*($A1536-BOTT_C2),0),ROUND(RATE_C1*$A1536,0))))</f>
        <v/>
      </c>
      <c r="G1536" s="556">
        <f>IF($A1536&gt;BOTT_D4,ROUND(BASE_D4+RATE_D4*($A1536-BOTT_D4),0),IF($A1536&gt;BOTT_D3,ROUND(BASE_D3+RATE_D3*($A1536-BOTT_D3),0),IF($A1536&gt;BOTT_D2,ROUND(BASE_D2+RATE_D2*($A1536-BOTT_D2),0),ROUND(RATE_D1*$A1536,0))))</f>
        <v/>
      </c>
    </row>
    <row r="1537" ht="15.75" customHeight="1" s="7635">
      <c r="A1537" s="625">
        <f>AVERAGE(B1537,C1537)</f>
        <v/>
      </c>
      <c r="B1537" s="555" t="n">
        <v>73650</v>
      </c>
      <c r="C1537" s="555" t="n">
        <v>73700</v>
      </c>
      <c r="D1537" s="556">
        <f>IF($A1537&gt;BOTT_A4,ROUND(BASE_A4+RATE_A4*($A1537-BOTT_A4),0),IF($A1537&gt;BOTT_A3,ROUND(BASE_A3+RATE_A3*($A1537-BOTT_A3),0),IF($A1537&gt;BOTT_A2,ROUND(BASE_A2+RATE_A2*($A1537-BOTT_A2),0),ROUND(RATE_A1*$A1537,0))))</f>
        <v/>
      </c>
      <c r="E1537" s="556">
        <f>IF($A1537&gt;BOTT_B4,ROUND(BASE_B4+RATE_B4*($A1537-BOTT_B4),0),IF($A1537&gt;BOTT_B3,ROUND(BASE_B3+RATE_B3*($A1537-BOTT_B3),0),IF($A1537&gt;BOTT_B2,ROUND(BASE_B2+RATE_B2*($A1537-BOTT_B2),0),ROUND(RATE_B1*$A1537,0))))</f>
        <v/>
      </c>
      <c r="F1537" s="556">
        <f>IF($A1537&gt;BOTT_C4,ROUND(BASE_C4+RATE_C4*($A1537-BOTT_C4),0),IF($A1537&gt;BOTT_C3,ROUND(BASE_C3+RATE_C3*($A1537-BOTT_C3),0),IF($A1537&gt;BOTT_C2,ROUND(BASE_C2+RATE_C2*($A1537-BOTT_C2),0),ROUND(RATE_C1*$A1537,0))))</f>
        <v/>
      </c>
      <c r="G1537" s="556">
        <f>IF($A1537&gt;BOTT_D4,ROUND(BASE_D4+RATE_D4*($A1537-BOTT_D4),0),IF($A1537&gt;BOTT_D3,ROUND(BASE_D3+RATE_D3*($A1537-BOTT_D3),0),IF($A1537&gt;BOTT_D2,ROUND(BASE_D2+RATE_D2*($A1537-BOTT_D2),0),ROUND(RATE_D1*$A1537,0))))</f>
        <v/>
      </c>
    </row>
    <row r="1538" ht="15.75" customHeight="1" s="7635">
      <c r="A1538" s="625">
        <f>AVERAGE(B1538,C1538)</f>
        <v/>
      </c>
      <c r="B1538" s="555" t="n">
        <v>73700</v>
      </c>
      <c r="C1538" s="555" t="n">
        <v>73750</v>
      </c>
      <c r="D1538" s="556">
        <f>IF($A1538&gt;BOTT_A4,ROUND(BASE_A4+RATE_A4*($A1538-BOTT_A4),0),IF($A1538&gt;BOTT_A3,ROUND(BASE_A3+RATE_A3*($A1538-BOTT_A3),0),IF($A1538&gt;BOTT_A2,ROUND(BASE_A2+RATE_A2*($A1538-BOTT_A2),0),ROUND(RATE_A1*$A1538,0))))</f>
        <v/>
      </c>
      <c r="E1538" s="556">
        <f>IF($A1538&gt;BOTT_B4,ROUND(BASE_B4+RATE_B4*($A1538-BOTT_B4),0),IF($A1538&gt;BOTT_B3,ROUND(BASE_B3+RATE_B3*($A1538-BOTT_B3),0),IF($A1538&gt;BOTT_B2,ROUND(BASE_B2+RATE_B2*($A1538-BOTT_B2),0),ROUND(RATE_B1*$A1538,0))))</f>
        <v/>
      </c>
      <c r="F1538" s="556">
        <f>IF($A1538&gt;BOTT_C4,ROUND(BASE_C4+RATE_C4*($A1538-BOTT_C4),0),IF($A1538&gt;BOTT_C3,ROUND(BASE_C3+RATE_C3*($A1538-BOTT_C3),0),IF($A1538&gt;BOTT_C2,ROUND(BASE_C2+RATE_C2*($A1538-BOTT_C2),0),ROUND(RATE_C1*$A1538,0))))</f>
        <v/>
      </c>
      <c r="G1538" s="556">
        <f>IF($A1538&gt;BOTT_D4,ROUND(BASE_D4+RATE_D4*($A1538-BOTT_D4),0),IF($A1538&gt;BOTT_D3,ROUND(BASE_D3+RATE_D3*($A1538-BOTT_D3),0),IF($A1538&gt;BOTT_D2,ROUND(BASE_D2+RATE_D2*($A1538-BOTT_D2),0),ROUND(RATE_D1*$A1538,0))))</f>
        <v/>
      </c>
    </row>
    <row r="1539" ht="15.75" customHeight="1" s="7635">
      <c r="A1539" s="625">
        <f>AVERAGE(B1539,C1539)</f>
        <v/>
      </c>
      <c r="B1539" s="555" t="n">
        <v>73750</v>
      </c>
      <c r="C1539" s="555" t="n">
        <v>73800</v>
      </c>
      <c r="D1539" s="556">
        <f>IF($A1539&gt;BOTT_A4,ROUND(BASE_A4+RATE_A4*($A1539-BOTT_A4),0),IF($A1539&gt;BOTT_A3,ROUND(BASE_A3+RATE_A3*($A1539-BOTT_A3),0),IF($A1539&gt;BOTT_A2,ROUND(BASE_A2+RATE_A2*($A1539-BOTT_A2),0),ROUND(RATE_A1*$A1539,0))))</f>
        <v/>
      </c>
      <c r="E1539" s="556">
        <f>IF($A1539&gt;BOTT_B4,ROUND(BASE_B4+RATE_B4*($A1539-BOTT_B4),0),IF($A1539&gt;BOTT_B3,ROUND(BASE_B3+RATE_B3*($A1539-BOTT_B3),0),IF($A1539&gt;BOTT_B2,ROUND(BASE_B2+RATE_B2*($A1539-BOTT_B2),0),ROUND(RATE_B1*$A1539,0))))</f>
        <v/>
      </c>
      <c r="F1539" s="556">
        <f>IF($A1539&gt;BOTT_C4,ROUND(BASE_C4+RATE_C4*($A1539-BOTT_C4),0),IF($A1539&gt;BOTT_C3,ROUND(BASE_C3+RATE_C3*($A1539-BOTT_C3),0),IF($A1539&gt;BOTT_C2,ROUND(BASE_C2+RATE_C2*($A1539-BOTT_C2),0),ROUND(RATE_C1*$A1539,0))))</f>
        <v/>
      </c>
      <c r="G1539" s="556">
        <f>IF($A1539&gt;BOTT_D4,ROUND(BASE_D4+RATE_D4*($A1539-BOTT_D4),0),IF($A1539&gt;BOTT_D3,ROUND(BASE_D3+RATE_D3*($A1539-BOTT_D3),0),IF($A1539&gt;BOTT_D2,ROUND(BASE_D2+RATE_D2*($A1539-BOTT_D2),0),ROUND(RATE_D1*$A1539,0))))</f>
        <v/>
      </c>
    </row>
    <row r="1540" ht="15.75" customHeight="1" s="7635">
      <c r="A1540" s="625">
        <f>AVERAGE(B1540,C1540)</f>
        <v/>
      </c>
      <c r="B1540" s="555" t="n">
        <v>73800</v>
      </c>
      <c r="C1540" s="555" t="n">
        <v>73850</v>
      </c>
      <c r="D1540" s="556">
        <f>IF($A1540&gt;BOTT_A4,ROUND(BASE_A4+RATE_A4*($A1540-BOTT_A4),0),IF($A1540&gt;BOTT_A3,ROUND(BASE_A3+RATE_A3*($A1540-BOTT_A3),0),IF($A1540&gt;BOTT_A2,ROUND(BASE_A2+RATE_A2*($A1540-BOTT_A2),0),ROUND(RATE_A1*$A1540,0))))</f>
        <v/>
      </c>
      <c r="E1540" s="556">
        <f>IF($A1540&gt;BOTT_B4,ROUND(BASE_B4+RATE_B4*($A1540-BOTT_B4),0),IF($A1540&gt;BOTT_B3,ROUND(BASE_B3+RATE_B3*($A1540-BOTT_B3),0),IF($A1540&gt;BOTT_B2,ROUND(BASE_B2+RATE_B2*($A1540-BOTT_B2),0),ROUND(RATE_B1*$A1540,0))))</f>
        <v/>
      </c>
      <c r="F1540" s="556">
        <f>IF($A1540&gt;BOTT_C4,ROUND(BASE_C4+RATE_C4*($A1540-BOTT_C4),0),IF($A1540&gt;BOTT_C3,ROUND(BASE_C3+RATE_C3*($A1540-BOTT_C3),0),IF($A1540&gt;BOTT_C2,ROUND(BASE_C2+RATE_C2*($A1540-BOTT_C2),0),ROUND(RATE_C1*$A1540,0))))</f>
        <v/>
      </c>
      <c r="G1540" s="556">
        <f>IF($A1540&gt;BOTT_D4,ROUND(BASE_D4+RATE_D4*($A1540-BOTT_D4),0),IF($A1540&gt;BOTT_D3,ROUND(BASE_D3+RATE_D3*($A1540-BOTT_D3),0),IF($A1540&gt;BOTT_D2,ROUND(BASE_D2+RATE_D2*($A1540-BOTT_D2),0),ROUND(RATE_D1*$A1540,0))))</f>
        <v/>
      </c>
    </row>
    <row r="1541" ht="15.75" customHeight="1" s="7635">
      <c r="A1541" s="625">
        <f>AVERAGE(B1541,C1541)</f>
        <v/>
      </c>
      <c r="B1541" s="555" t="n">
        <v>73850</v>
      </c>
      <c r="C1541" s="555" t="n">
        <v>73900</v>
      </c>
      <c r="D1541" s="556">
        <f>IF($A1541&gt;BOTT_A4,ROUND(BASE_A4+RATE_A4*($A1541-BOTT_A4),0),IF($A1541&gt;BOTT_A3,ROUND(BASE_A3+RATE_A3*($A1541-BOTT_A3),0),IF($A1541&gt;BOTT_A2,ROUND(BASE_A2+RATE_A2*($A1541-BOTT_A2),0),ROUND(RATE_A1*$A1541,0))))</f>
        <v/>
      </c>
      <c r="E1541" s="556">
        <f>IF($A1541&gt;BOTT_B4,ROUND(BASE_B4+RATE_B4*($A1541-BOTT_B4),0),IF($A1541&gt;BOTT_B3,ROUND(BASE_B3+RATE_B3*($A1541-BOTT_B3),0),IF($A1541&gt;BOTT_B2,ROUND(BASE_B2+RATE_B2*($A1541-BOTT_B2),0),ROUND(RATE_B1*$A1541,0))))</f>
        <v/>
      </c>
      <c r="F1541" s="556">
        <f>IF($A1541&gt;BOTT_C4,ROUND(BASE_C4+RATE_C4*($A1541-BOTT_C4),0),IF($A1541&gt;BOTT_C3,ROUND(BASE_C3+RATE_C3*($A1541-BOTT_C3),0),IF($A1541&gt;BOTT_C2,ROUND(BASE_C2+RATE_C2*($A1541-BOTT_C2),0),ROUND(RATE_C1*$A1541,0))))</f>
        <v/>
      </c>
      <c r="G1541" s="556">
        <f>IF($A1541&gt;BOTT_D4,ROUND(BASE_D4+RATE_D4*($A1541-BOTT_D4),0),IF($A1541&gt;BOTT_D3,ROUND(BASE_D3+RATE_D3*($A1541-BOTT_D3),0),IF($A1541&gt;BOTT_D2,ROUND(BASE_D2+RATE_D2*($A1541-BOTT_D2),0),ROUND(RATE_D1*$A1541,0))))</f>
        <v/>
      </c>
    </row>
    <row r="1542" ht="15.75" customHeight="1" s="7635">
      <c r="A1542" s="625">
        <f>AVERAGE(B1542,C1542)</f>
        <v/>
      </c>
      <c r="B1542" s="555" t="n">
        <v>73900</v>
      </c>
      <c r="C1542" s="555" t="n">
        <v>73950</v>
      </c>
      <c r="D1542" s="556">
        <f>IF($A1542&gt;BOTT_A4,ROUND(BASE_A4+RATE_A4*($A1542-BOTT_A4),0),IF($A1542&gt;BOTT_A3,ROUND(BASE_A3+RATE_A3*($A1542-BOTT_A3),0),IF($A1542&gt;BOTT_A2,ROUND(BASE_A2+RATE_A2*($A1542-BOTT_A2),0),ROUND(RATE_A1*$A1542,0))))</f>
        <v/>
      </c>
      <c r="E1542" s="556">
        <f>IF($A1542&gt;BOTT_B4,ROUND(BASE_B4+RATE_B4*($A1542-BOTT_B4),0),IF($A1542&gt;BOTT_B3,ROUND(BASE_B3+RATE_B3*($A1542-BOTT_B3),0),IF($A1542&gt;BOTT_B2,ROUND(BASE_B2+RATE_B2*($A1542-BOTT_B2),0),ROUND(RATE_B1*$A1542,0))))</f>
        <v/>
      </c>
      <c r="F1542" s="556">
        <f>IF($A1542&gt;BOTT_C4,ROUND(BASE_C4+RATE_C4*($A1542-BOTT_C4),0),IF($A1542&gt;BOTT_C3,ROUND(BASE_C3+RATE_C3*($A1542-BOTT_C3),0),IF($A1542&gt;BOTT_C2,ROUND(BASE_C2+RATE_C2*($A1542-BOTT_C2),0),ROUND(RATE_C1*$A1542,0))))</f>
        <v/>
      </c>
      <c r="G1542" s="556">
        <f>IF($A1542&gt;BOTT_D4,ROUND(BASE_D4+RATE_D4*($A1542-BOTT_D4),0),IF($A1542&gt;BOTT_D3,ROUND(BASE_D3+RATE_D3*($A1542-BOTT_D3),0),IF($A1542&gt;BOTT_D2,ROUND(BASE_D2+RATE_D2*($A1542-BOTT_D2),0),ROUND(RATE_D1*$A1542,0))))</f>
        <v/>
      </c>
    </row>
    <row r="1543" ht="15.75" customHeight="1" s="7635">
      <c r="A1543" s="625">
        <f>AVERAGE(B1543,C1543)</f>
        <v/>
      </c>
      <c r="B1543" s="555" t="n">
        <v>73950</v>
      </c>
      <c r="C1543" s="555" t="n">
        <v>74000</v>
      </c>
      <c r="D1543" s="556">
        <f>IF($A1543&gt;BOTT_A4,ROUND(BASE_A4+RATE_A4*($A1543-BOTT_A4),0),IF($A1543&gt;BOTT_A3,ROUND(BASE_A3+RATE_A3*($A1543-BOTT_A3),0),IF($A1543&gt;BOTT_A2,ROUND(BASE_A2+RATE_A2*($A1543-BOTT_A2),0),ROUND(RATE_A1*$A1543,0))))</f>
        <v/>
      </c>
      <c r="E1543" s="556">
        <f>IF($A1543&gt;BOTT_B4,ROUND(BASE_B4+RATE_B4*($A1543-BOTT_B4),0),IF($A1543&gt;BOTT_B3,ROUND(BASE_B3+RATE_B3*($A1543-BOTT_B3),0),IF($A1543&gt;BOTT_B2,ROUND(BASE_B2+RATE_B2*($A1543-BOTT_B2),0),ROUND(RATE_B1*$A1543,0))))</f>
        <v/>
      </c>
      <c r="F1543" s="556">
        <f>IF($A1543&gt;BOTT_C4,ROUND(BASE_C4+RATE_C4*($A1543-BOTT_C4),0),IF($A1543&gt;BOTT_C3,ROUND(BASE_C3+RATE_C3*($A1543-BOTT_C3),0),IF($A1543&gt;BOTT_C2,ROUND(BASE_C2+RATE_C2*($A1543-BOTT_C2),0),ROUND(RATE_C1*$A1543,0))))</f>
        <v/>
      </c>
      <c r="G1543" s="556">
        <f>IF($A1543&gt;BOTT_D4,ROUND(BASE_D4+RATE_D4*($A1543-BOTT_D4),0),IF($A1543&gt;BOTT_D3,ROUND(BASE_D3+RATE_D3*($A1543-BOTT_D3),0),IF($A1543&gt;BOTT_D2,ROUND(BASE_D2+RATE_D2*($A1543-BOTT_D2),0),ROUND(RATE_D1*$A1543,0))))</f>
        <v/>
      </c>
    </row>
    <row r="1544" ht="15.75" customHeight="1" s="7635">
      <c r="A1544" s="625">
        <f>AVERAGE(B1544,C1544)</f>
        <v/>
      </c>
      <c r="B1544" s="555" t="n">
        <v>74000</v>
      </c>
      <c r="C1544" s="555" t="n">
        <v>74050</v>
      </c>
      <c r="D1544" s="556">
        <f>IF($A1544&gt;BOTT_A4,ROUND(BASE_A4+RATE_A4*($A1544-BOTT_A4),0),IF($A1544&gt;BOTT_A3,ROUND(BASE_A3+RATE_A3*($A1544-BOTT_A3),0),IF($A1544&gt;BOTT_A2,ROUND(BASE_A2+RATE_A2*($A1544-BOTT_A2),0),ROUND(RATE_A1*$A1544,0))))</f>
        <v/>
      </c>
      <c r="E1544" s="556">
        <f>IF($A1544&gt;BOTT_B4,ROUND(BASE_B4+RATE_B4*($A1544-BOTT_B4),0),IF($A1544&gt;BOTT_B3,ROUND(BASE_B3+RATE_B3*($A1544-BOTT_B3),0),IF($A1544&gt;BOTT_B2,ROUND(BASE_B2+RATE_B2*($A1544-BOTT_B2),0),ROUND(RATE_B1*$A1544,0))))</f>
        <v/>
      </c>
      <c r="F1544" s="556">
        <f>IF($A1544&gt;BOTT_C4,ROUND(BASE_C4+RATE_C4*($A1544-BOTT_C4),0),IF($A1544&gt;BOTT_C3,ROUND(BASE_C3+RATE_C3*($A1544-BOTT_C3),0),IF($A1544&gt;BOTT_C2,ROUND(BASE_C2+RATE_C2*($A1544-BOTT_C2),0),ROUND(RATE_C1*$A1544,0))))</f>
        <v/>
      </c>
      <c r="G1544" s="556">
        <f>IF($A1544&gt;BOTT_D4,ROUND(BASE_D4+RATE_D4*($A1544-BOTT_D4),0),IF($A1544&gt;BOTT_D3,ROUND(BASE_D3+RATE_D3*($A1544-BOTT_D3),0),IF($A1544&gt;BOTT_D2,ROUND(BASE_D2+RATE_D2*($A1544-BOTT_D2),0),ROUND(RATE_D1*$A1544,0))))</f>
        <v/>
      </c>
    </row>
    <row r="1545" ht="15.75" customHeight="1" s="7635">
      <c r="A1545" s="625">
        <f>AVERAGE(B1545,C1545)</f>
        <v/>
      </c>
      <c r="B1545" s="555" t="n">
        <v>74050</v>
      </c>
      <c r="C1545" s="555" t="n">
        <v>74100</v>
      </c>
      <c r="D1545" s="556">
        <f>IF($A1545&gt;BOTT_A4,ROUND(BASE_A4+RATE_A4*($A1545-BOTT_A4),0),IF($A1545&gt;BOTT_A3,ROUND(BASE_A3+RATE_A3*($A1545-BOTT_A3),0),IF($A1545&gt;BOTT_A2,ROUND(BASE_A2+RATE_A2*($A1545-BOTT_A2),0),ROUND(RATE_A1*$A1545,0))))</f>
        <v/>
      </c>
      <c r="E1545" s="556">
        <f>IF($A1545&gt;BOTT_B4,ROUND(BASE_B4+RATE_B4*($A1545-BOTT_B4),0),IF($A1545&gt;BOTT_B3,ROUND(BASE_B3+RATE_B3*($A1545-BOTT_B3),0),IF($A1545&gt;BOTT_B2,ROUND(BASE_B2+RATE_B2*($A1545-BOTT_B2),0),ROUND(RATE_B1*$A1545,0))))</f>
        <v/>
      </c>
      <c r="F1545" s="556">
        <f>IF($A1545&gt;BOTT_C4,ROUND(BASE_C4+RATE_C4*($A1545-BOTT_C4),0),IF($A1545&gt;BOTT_C3,ROUND(BASE_C3+RATE_C3*($A1545-BOTT_C3),0),IF($A1545&gt;BOTT_C2,ROUND(BASE_C2+RATE_C2*($A1545-BOTT_C2),0),ROUND(RATE_C1*$A1545,0))))</f>
        <v/>
      </c>
      <c r="G1545" s="556">
        <f>IF($A1545&gt;BOTT_D4,ROUND(BASE_D4+RATE_D4*($A1545-BOTT_D4),0),IF($A1545&gt;BOTT_D3,ROUND(BASE_D3+RATE_D3*($A1545-BOTT_D3),0),IF($A1545&gt;BOTT_D2,ROUND(BASE_D2+RATE_D2*($A1545-BOTT_D2),0),ROUND(RATE_D1*$A1545,0))))</f>
        <v/>
      </c>
    </row>
    <row r="1546" ht="15.75" customHeight="1" s="7635">
      <c r="A1546" s="625">
        <f>AVERAGE(B1546,C1546)</f>
        <v/>
      </c>
      <c r="B1546" s="555" t="n">
        <v>74100</v>
      </c>
      <c r="C1546" s="555" t="n">
        <v>74150</v>
      </c>
      <c r="D1546" s="556">
        <f>IF($A1546&gt;BOTT_A4,ROUND(BASE_A4+RATE_A4*($A1546-BOTT_A4),0),IF($A1546&gt;BOTT_A3,ROUND(BASE_A3+RATE_A3*($A1546-BOTT_A3),0),IF($A1546&gt;BOTT_A2,ROUND(BASE_A2+RATE_A2*($A1546-BOTT_A2),0),ROUND(RATE_A1*$A1546,0))))</f>
        <v/>
      </c>
      <c r="E1546" s="556">
        <f>IF($A1546&gt;BOTT_B4,ROUND(BASE_B4+RATE_B4*($A1546-BOTT_B4),0),IF($A1546&gt;BOTT_B3,ROUND(BASE_B3+RATE_B3*($A1546-BOTT_B3),0),IF($A1546&gt;BOTT_B2,ROUND(BASE_B2+RATE_B2*($A1546-BOTT_B2),0),ROUND(RATE_B1*$A1546,0))))</f>
        <v/>
      </c>
      <c r="F1546" s="556">
        <f>IF($A1546&gt;BOTT_C4,ROUND(BASE_C4+RATE_C4*($A1546-BOTT_C4),0),IF($A1546&gt;BOTT_C3,ROUND(BASE_C3+RATE_C3*($A1546-BOTT_C3),0),IF($A1546&gt;BOTT_C2,ROUND(BASE_C2+RATE_C2*($A1546-BOTT_C2),0),ROUND(RATE_C1*$A1546,0))))</f>
        <v/>
      </c>
      <c r="G1546" s="556">
        <f>IF($A1546&gt;BOTT_D4,ROUND(BASE_D4+RATE_D4*($A1546-BOTT_D4),0),IF($A1546&gt;BOTT_D3,ROUND(BASE_D3+RATE_D3*($A1546-BOTT_D3),0),IF($A1546&gt;BOTT_D2,ROUND(BASE_D2+RATE_D2*($A1546-BOTT_D2),0),ROUND(RATE_D1*$A1546,0))))</f>
        <v/>
      </c>
    </row>
    <row r="1547" ht="15.75" customHeight="1" s="7635">
      <c r="A1547" s="625">
        <f>AVERAGE(B1547,C1547)</f>
        <v/>
      </c>
      <c r="B1547" s="555" t="n">
        <v>74150</v>
      </c>
      <c r="C1547" s="555" t="n">
        <v>74200</v>
      </c>
      <c r="D1547" s="556">
        <f>IF($A1547&gt;BOTT_A4,ROUND(BASE_A4+RATE_A4*($A1547-BOTT_A4),0),IF($A1547&gt;BOTT_A3,ROUND(BASE_A3+RATE_A3*($A1547-BOTT_A3),0),IF($A1547&gt;BOTT_A2,ROUND(BASE_A2+RATE_A2*($A1547-BOTT_A2),0),ROUND(RATE_A1*$A1547,0))))</f>
        <v/>
      </c>
      <c r="E1547" s="556">
        <f>IF($A1547&gt;BOTT_B4,ROUND(BASE_B4+RATE_B4*($A1547-BOTT_B4),0),IF($A1547&gt;BOTT_B3,ROUND(BASE_B3+RATE_B3*($A1547-BOTT_B3),0),IF($A1547&gt;BOTT_B2,ROUND(BASE_B2+RATE_B2*($A1547-BOTT_B2),0),ROUND(RATE_B1*$A1547,0))))</f>
        <v/>
      </c>
      <c r="F1547" s="556">
        <f>IF($A1547&gt;BOTT_C4,ROUND(BASE_C4+RATE_C4*($A1547-BOTT_C4),0),IF($A1547&gt;BOTT_C3,ROUND(BASE_C3+RATE_C3*($A1547-BOTT_C3),0),IF($A1547&gt;BOTT_C2,ROUND(BASE_C2+RATE_C2*($A1547-BOTT_C2),0),ROUND(RATE_C1*$A1547,0))))</f>
        <v/>
      </c>
      <c r="G1547" s="556">
        <f>IF($A1547&gt;BOTT_D4,ROUND(BASE_D4+RATE_D4*($A1547-BOTT_D4),0),IF($A1547&gt;BOTT_D3,ROUND(BASE_D3+RATE_D3*($A1547-BOTT_D3),0),IF($A1547&gt;BOTT_D2,ROUND(BASE_D2+RATE_D2*($A1547-BOTT_D2),0),ROUND(RATE_D1*$A1547,0))))</f>
        <v/>
      </c>
    </row>
    <row r="1548" ht="15.75" customHeight="1" s="7635">
      <c r="A1548" s="625">
        <f>AVERAGE(B1548,C1548)</f>
        <v/>
      </c>
      <c r="B1548" s="555" t="n">
        <v>74200</v>
      </c>
      <c r="C1548" s="555" t="n">
        <v>74250</v>
      </c>
      <c r="D1548" s="556">
        <f>IF($A1548&gt;BOTT_A4,ROUND(BASE_A4+RATE_A4*($A1548-BOTT_A4),0),IF($A1548&gt;BOTT_A3,ROUND(BASE_A3+RATE_A3*($A1548-BOTT_A3),0),IF($A1548&gt;BOTT_A2,ROUND(BASE_A2+RATE_A2*($A1548-BOTT_A2),0),ROUND(RATE_A1*$A1548,0))))</f>
        <v/>
      </c>
      <c r="E1548" s="556">
        <f>IF($A1548&gt;BOTT_B4,ROUND(BASE_B4+RATE_B4*($A1548-BOTT_B4),0),IF($A1548&gt;BOTT_B3,ROUND(BASE_B3+RATE_B3*($A1548-BOTT_B3),0),IF($A1548&gt;BOTT_B2,ROUND(BASE_B2+RATE_B2*($A1548-BOTT_B2),0),ROUND(RATE_B1*$A1548,0))))</f>
        <v/>
      </c>
      <c r="F1548" s="556">
        <f>IF($A1548&gt;BOTT_C4,ROUND(BASE_C4+RATE_C4*($A1548-BOTT_C4),0),IF($A1548&gt;BOTT_C3,ROUND(BASE_C3+RATE_C3*($A1548-BOTT_C3),0),IF($A1548&gt;BOTT_C2,ROUND(BASE_C2+RATE_C2*($A1548-BOTT_C2),0),ROUND(RATE_C1*$A1548,0))))</f>
        <v/>
      </c>
      <c r="G1548" s="556">
        <f>IF($A1548&gt;BOTT_D4,ROUND(BASE_D4+RATE_D4*($A1548-BOTT_D4),0),IF($A1548&gt;BOTT_D3,ROUND(BASE_D3+RATE_D3*($A1548-BOTT_D3),0),IF($A1548&gt;BOTT_D2,ROUND(BASE_D2+RATE_D2*($A1548-BOTT_D2),0),ROUND(RATE_D1*$A1548,0))))</f>
        <v/>
      </c>
    </row>
    <row r="1549" ht="15.75" customHeight="1" s="7635">
      <c r="A1549" s="625">
        <f>AVERAGE(B1549,C1549)</f>
        <v/>
      </c>
      <c r="B1549" s="555" t="n">
        <v>74250</v>
      </c>
      <c r="C1549" s="555" t="n">
        <v>74300</v>
      </c>
      <c r="D1549" s="556">
        <f>IF($A1549&gt;BOTT_A4,ROUND(BASE_A4+RATE_A4*($A1549-BOTT_A4),0),IF($A1549&gt;BOTT_A3,ROUND(BASE_A3+RATE_A3*($A1549-BOTT_A3),0),IF($A1549&gt;BOTT_A2,ROUND(BASE_A2+RATE_A2*($A1549-BOTT_A2),0),ROUND(RATE_A1*$A1549,0))))</f>
        <v/>
      </c>
      <c r="E1549" s="556">
        <f>IF($A1549&gt;BOTT_B4,ROUND(BASE_B4+RATE_B4*($A1549-BOTT_B4),0),IF($A1549&gt;BOTT_B3,ROUND(BASE_B3+RATE_B3*($A1549-BOTT_B3),0),IF($A1549&gt;BOTT_B2,ROUND(BASE_B2+RATE_B2*($A1549-BOTT_B2),0),ROUND(RATE_B1*$A1549,0))))</f>
        <v/>
      </c>
      <c r="F1549" s="556">
        <f>IF($A1549&gt;BOTT_C4,ROUND(BASE_C4+RATE_C4*($A1549-BOTT_C4),0),IF($A1549&gt;BOTT_C3,ROUND(BASE_C3+RATE_C3*($A1549-BOTT_C3),0),IF($A1549&gt;BOTT_C2,ROUND(BASE_C2+RATE_C2*($A1549-BOTT_C2),0),ROUND(RATE_C1*$A1549,0))))</f>
        <v/>
      </c>
      <c r="G1549" s="556">
        <f>IF($A1549&gt;BOTT_D4,ROUND(BASE_D4+RATE_D4*($A1549-BOTT_D4),0),IF($A1549&gt;BOTT_D3,ROUND(BASE_D3+RATE_D3*($A1549-BOTT_D3),0),IF($A1549&gt;BOTT_D2,ROUND(BASE_D2+RATE_D2*($A1549-BOTT_D2),0),ROUND(RATE_D1*$A1549,0))))</f>
        <v/>
      </c>
    </row>
    <row r="1550" ht="15.75" customHeight="1" s="7635">
      <c r="A1550" s="625">
        <f>AVERAGE(B1550,C1550)</f>
        <v/>
      </c>
      <c r="B1550" s="555" t="n">
        <v>74300</v>
      </c>
      <c r="C1550" s="555" t="n">
        <v>74350</v>
      </c>
      <c r="D1550" s="556">
        <f>IF($A1550&gt;BOTT_A4,ROUND(BASE_A4+RATE_A4*($A1550-BOTT_A4),0),IF($A1550&gt;BOTT_A3,ROUND(BASE_A3+RATE_A3*($A1550-BOTT_A3),0),IF($A1550&gt;BOTT_A2,ROUND(BASE_A2+RATE_A2*($A1550-BOTT_A2),0),ROUND(RATE_A1*$A1550,0))))</f>
        <v/>
      </c>
      <c r="E1550" s="556">
        <f>IF($A1550&gt;BOTT_B4,ROUND(BASE_B4+RATE_B4*($A1550-BOTT_B4),0),IF($A1550&gt;BOTT_B3,ROUND(BASE_B3+RATE_B3*($A1550-BOTT_B3),0),IF($A1550&gt;BOTT_B2,ROUND(BASE_B2+RATE_B2*($A1550-BOTT_B2),0),ROUND(RATE_B1*$A1550,0))))</f>
        <v/>
      </c>
      <c r="F1550" s="556">
        <f>IF($A1550&gt;BOTT_C4,ROUND(BASE_C4+RATE_C4*($A1550-BOTT_C4),0),IF($A1550&gt;BOTT_C3,ROUND(BASE_C3+RATE_C3*($A1550-BOTT_C3),0),IF($A1550&gt;BOTT_C2,ROUND(BASE_C2+RATE_C2*($A1550-BOTT_C2),0),ROUND(RATE_C1*$A1550,0))))</f>
        <v/>
      </c>
      <c r="G1550" s="556">
        <f>IF($A1550&gt;BOTT_D4,ROUND(BASE_D4+RATE_D4*($A1550-BOTT_D4),0),IF($A1550&gt;BOTT_D3,ROUND(BASE_D3+RATE_D3*($A1550-BOTT_D3),0),IF($A1550&gt;BOTT_D2,ROUND(BASE_D2+RATE_D2*($A1550-BOTT_D2),0),ROUND(RATE_D1*$A1550,0))))</f>
        <v/>
      </c>
    </row>
    <row r="1551" ht="15.75" customHeight="1" s="7635">
      <c r="A1551" s="625">
        <f>AVERAGE(B1551,C1551)</f>
        <v/>
      </c>
      <c r="B1551" s="555" t="n">
        <v>74350</v>
      </c>
      <c r="C1551" s="555" t="n">
        <v>74400</v>
      </c>
      <c r="D1551" s="556">
        <f>IF($A1551&gt;BOTT_A4,ROUND(BASE_A4+RATE_A4*($A1551-BOTT_A4),0),IF($A1551&gt;BOTT_A3,ROUND(BASE_A3+RATE_A3*($A1551-BOTT_A3),0),IF($A1551&gt;BOTT_A2,ROUND(BASE_A2+RATE_A2*($A1551-BOTT_A2),0),ROUND(RATE_A1*$A1551,0))))</f>
        <v/>
      </c>
      <c r="E1551" s="556">
        <f>IF($A1551&gt;BOTT_B4,ROUND(BASE_B4+RATE_B4*($A1551-BOTT_B4),0),IF($A1551&gt;BOTT_B3,ROUND(BASE_B3+RATE_B3*($A1551-BOTT_B3),0),IF($A1551&gt;BOTT_B2,ROUND(BASE_B2+RATE_B2*($A1551-BOTT_B2),0),ROUND(RATE_B1*$A1551,0))))</f>
        <v/>
      </c>
      <c r="F1551" s="556">
        <f>IF($A1551&gt;BOTT_C4,ROUND(BASE_C4+RATE_C4*($A1551-BOTT_C4),0),IF($A1551&gt;BOTT_C3,ROUND(BASE_C3+RATE_C3*($A1551-BOTT_C3),0),IF($A1551&gt;BOTT_C2,ROUND(BASE_C2+RATE_C2*($A1551-BOTT_C2),0),ROUND(RATE_C1*$A1551,0))))</f>
        <v/>
      </c>
      <c r="G1551" s="556">
        <f>IF($A1551&gt;BOTT_D4,ROUND(BASE_D4+RATE_D4*($A1551-BOTT_D4),0),IF($A1551&gt;BOTT_D3,ROUND(BASE_D3+RATE_D3*($A1551-BOTT_D3),0),IF($A1551&gt;BOTT_D2,ROUND(BASE_D2+RATE_D2*($A1551-BOTT_D2),0),ROUND(RATE_D1*$A1551,0))))</f>
        <v/>
      </c>
    </row>
    <row r="1552" ht="15.75" customHeight="1" s="7635">
      <c r="A1552" s="625">
        <f>AVERAGE(B1552,C1552)</f>
        <v/>
      </c>
      <c r="B1552" s="555" t="n">
        <v>74400</v>
      </c>
      <c r="C1552" s="555" t="n">
        <v>74450</v>
      </c>
      <c r="D1552" s="556">
        <f>IF($A1552&gt;BOTT_A4,ROUND(BASE_A4+RATE_A4*($A1552-BOTT_A4),0),IF($A1552&gt;BOTT_A3,ROUND(BASE_A3+RATE_A3*($A1552-BOTT_A3),0),IF($A1552&gt;BOTT_A2,ROUND(BASE_A2+RATE_A2*($A1552-BOTT_A2),0),ROUND(RATE_A1*$A1552,0))))</f>
        <v/>
      </c>
      <c r="E1552" s="556">
        <f>IF($A1552&gt;BOTT_B4,ROUND(BASE_B4+RATE_B4*($A1552-BOTT_B4),0),IF($A1552&gt;BOTT_B3,ROUND(BASE_B3+RATE_B3*($A1552-BOTT_B3),0),IF($A1552&gt;BOTT_B2,ROUND(BASE_B2+RATE_B2*($A1552-BOTT_B2),0),ROUND(RATE_B1*$A1552,0))))</f>
        <v/>
      </c>
      <c r="F1552" s="556">
        <f>IF($A1552&gt;BOTT_C4,ROUND(BASE_C4+RATE_C4*($A1552-BOTT_C4),0),IF($A1552&gt;BOTT_C3,ROUND(BASE_C3+RATE_C3*($A1552-BOTT_C3),0),IF($A1552&gt;BOTT_C2,ROUND(BASE_C2+RATE_C2*($A1552-BOTT_C2),0),ROUND(RATE_C1*$A1552,0))))</f>
        <v/>
      </c>
      <c r="G1552" s="556">
        <f>IF($A1552&gt;BOTT_D4,ROUND(BASE_D4+RATE_D4*($A1552-BOTT_D4),0),IF($A1552&gt;BOTT_D3,ROUND(BASE_D3+RATE_D3*($A1552-BOTT_D3),0),IF($A1552&gt;BOTT_D2,ROUND(BASE_D2+RATE_D2*($A1552-BOTT_D2),0),ROUND(RATE_D1*$A1552,0))))</f>
        <v/>
      </c>
    </row>
    <row r="1553" ht="15.75" customHeight="1" s="7635">
      <c r="A1553" s="625">
        <f>AVERAGE(B1553,C1553)</f>
        <v/>
      </c>
      <c r="B1553" s="555" t="n">
        <v>74450</v>
      </c>
      <c r="C1553" s="555" t="n">
        <v>74500</v>
      </c>
      <c r="D1553" s="556">
        <f>IF($A1553&gt;BOTT_A4,ROUND(BASE_A4+RATE_A4*($A1553-BOTT_A4),0),IF($A1553&gt;BOTT_A3,ROUND(BASE_A3+RATE_A3*($A1553-BOTT_A3),0),IF($A1553&gt;BOTT_A2,ROUND(BASE_A2+RATE_A2*($A1553-BOTT_A2),0),ROUND(RATE_A1*$A1553,0))))</f>
        <v/>
      </c>
      <c r="E1553" s="556">
        <f>IF($A1553&gt;BOTT_B4,ROUND(BASE_B4+RATE_B4*($A1553-BOTT_B4),0),IF($A1553&gt;BOTT_B3,ROUND(BASE_B3+RATE_B3*($A1553-BOTT_B3),0),IF($A1553&gt;BOTT_B2,ROUND(BASE_B2+RATE_B2*($A1553-BOTT_B2),0),ROUND(RATE_B1*$A1553,0))))</f>
        <v/>
      </c>
      <c r="F1553" s="556">
        <f>IF($A1553&gt;BOTT_C4,ROUND(BASE_C4+RATE_C4*($A1553-BOTT_C4),0),IF($A1553&gt;BOTT_C3,ROUND(BASE_C3+RATE_C3*($A1553-BOTT_C3),0),IF($A1553&gt;BOTT_C2,ROUND(BASE_C2+RATE_C2*($A1553-BOTT_C2),0),ROUND(RATE_C1*$A1553,0))))</f>
        <v/>
      </c>
      <c r="G1553" s="556">
        <f>IF($A1553&gt;BOTT_D4,ROUND(BASE_D4+RATE_D4*($A1553-BOTT_D4),0),IF($A1553&gt;BOTT_D3,ROUND(BASE_D3+RATE_D3*($A1553-BOTT_D3),0),IF($A1553&gt;BOTT_D2,ROUND(BASE_D2+RATE_D2*($A1553-BOTT_D2),0),ROUND(RATE_D1*$A1553,0))))</f>
        <v/>
      </c>
    </row>
    <row r="1554" ht="15.75" customHeight="1" s="7635">
      <c r="A1554" s="625">
        <f>AVERAGE(B1554,C1554)</f>
        <v/>
      </c>
      <c r="B1554" s="555" t="n">
        <v>74500</v>
      </c>
      <c r="C1554" s="555" t="n">
        <v>74550</v>
      </c>
      <c r="D1554" s="556">
        <f>IF($A1554&gt;BOTT_A4,ROUND(BASE_A4+RATE_A4*($A1554-BOTT_A4),0),IF($A1554&gt;BOTT_A3,ROUND(BASE_A3+RATE_A3*($A1554-BOTT_A3),0),IF($A1554&gt;BOTT_A2,ROUND(BASE_A2+RATE_A2*($A1554-BOTT_A2),0),ROUND(RATE_A1*$A1554,0))))</f>
        <v/>
      </c>
      <c r="E1554" s="556">
        <f>IF($A1554&gt;BOTT_B4,ROUND(BASE_B4+RATE_B4*($A1554-BOTT_B4),0),IF($A1554&gt;BOTT_B3,ROUND(BASE_B3+RATE_B3*($A1554-BOTT_B3),0),IF($A1554&gt;BOTT_B2,ROUND(BASE_B2+RATE_B2*($A1554-BOTT_B2),0),ROUND(RATE_B1*$A1554,0))))</f>
        <v/>
      </c>
      <c r="F1554" s="556">
        <f>IF($A1554&gt;BOTT_C4,ROUND(BASE_C4+RATE_C4*($A1554-BOTT_C4),0),IF($A1554&gt;BOTT_C3,ROUND(BASE_C3+RATE_C3*($A1554-BOTT_C3),0),IF($A1554&gt;BOTT_C2,ROUND(BASE_C2+RATE_C2*($A1554-BOTT_C2),0),ROUND(RATE_C1*$A1554,0))))</f>
        <v/>
      </c>
      <c r="G1554" s="556">
        <f>IF($A1554&gt;BOTT_D4,ROUND(BASE_D4+RATE_D4*($A1554-BOTT_D4),0),IF($A1554&gt;BOTT_D3,ROUND(BASE_D3+RATE_D3*($A1554-BOTT_D3),0),IF($A1554&gt;BOTT_D2,ROUND(BASE_D2+RATE_D2*($A1554-BOTT_D2),0),ROUND(RATE_D1*$A1554,0))))</f>
        <v/>
      </c>
    </row>
    <row r="1555" ht="15.75" customHeight="1" s="7635">
      <c r="A1555" s="625">
        <f>AVERAGE(B1555,C1555)</f>
        <v/>
      </c>
      <c r="B1555" s="555" t="n">
        <v>74550</v>
      </c>
      <c r="C1555" s="555" t="n">
        <v>74600</v>
      </c>
      <c r="D1555" s="556">
        <f>IF($A1555&gt;BOTT_A4,ROUND(BASE_A4+RATE_A4*($A1555-BOTT_A4),0),IF($A1555&gt;BOTT_A3,ROUND(BASE_A3+RATE_A3*($A1555-BOTT_A3),0),IF($A1555&gt;BOTT_A2,ROUND(BASE_A2+RATE_A2*($A1555-BOTT_A2),0),ROUND(RATE_A1*$A1555,0))))</f>
        <v/>
      </c>
      <c r="E1555" s="556">
        <f>IF($A1555&gt;BOTT_B4,ROUND(BASE_B4+RATE_B4*($A1555-BOTT_B4),0),IF($A1555&gt;BOTT_B3,ROUND(BASE_B3+RATE_B3*($A1555-BOTT_B3),0),IF($A1555&gt;BOTT_B2,ROUND(BASE_B2+RATE_B2*($A1555-BOTT_B2),0),ROUND(RATE_B1*$A1555,0))))</f>
        <v/>
      </c>
      <c r="F1555" s="556">
        <f>IF($A1555&gt;BOTT_C4,ROUND(BASE_C4+RATE_C4*($A1555-BOTT_C4),0),IF($A1555&gt;BOTT_C3,ROUND(BASE_C3+RATE_C3*($A1555-BOTT_C3),0),IF($A1555&gt;BOTT_C2,ROUND(BASE_C2+RATE_C2*($A1555-BOTT_C2),0),ROUND(RATE_C1*$A1555,0))))</f>
        <v/>
      </c>
      <c r="G1555" s="556">
        <f>IF($A1555&gt;BOTT_D4,ROUND(BASE_D4+RATE_D4*($A1555-BOTT_D4),0),IF($A1555&gt;BOTT_D3,ROUND(BASE_D3+RATE_D3*($A1555-BOTT_D3),0),IF($A1555&gt;BOTT_D2,ROUND(BASE_D2+RATE_D2*($A1555-BOTT_D2),0),ROUND(RATE_D1*$A1555,0))))</f>
        <v/>
      </c>
    </row>
    <row r="1556" ht="15.75" customHeight="1" s="7635">
      <c r="A1556" s="625">
        <f>AVERAGE(B1556,C1556)</f>
        <v/>
      </c>
      <c r="B1556" s="555" t="n">
        <v>74600</v>
      </c>
      <c r="C1556" s="555" t="n">
        <v>74650</v>
      </c>
      <c r="D1556" s="556">
        <f>IF($A1556&gt;BOTT_A4,ROUND(BASE_A4+RATE_A4*($A1556-BOTT_A4),0),IF($A1556&gt;BOTT_A3,ROUND(BASE_A3+RATE_A3*($A1556-BOTT_A3),0),IF($A1556&gt;BOTT_A2,ROUND(BASE_A2+RATE_A2*($A1556-BOTT_A2),0),ROUND(RATE_A1*$A1556,0))))</f>
        <v/>
      </c>
      <c r="E1556" s="556">
        <f>IF($A1556&gt;BOTT_B4,ROUND(BASE_B4+RATE_B4*($A1556-BOTT_B4),0),IF($A1556&gt;BOTT_B3,ROUND(BASE_B3+RATE_B3*($A1556-BOTT_B3),0),IF($A1556&gt;BOTT_B2,ROUND(BASE_B2+RATE_B2*($A1556-BOTT_B2),0),ROUND(RATE_B1*$A1556,0))))</f>
        <v/>
      </c>
      <c r="F1556" s="556">
        <f>IF($A1556&gt;BOTT_C4,ROUND(BASE_C4+RATE_C4*($A1556-BOTT_C4),0),IF($A1556&gt;BOTT_C3,ROUND(BASE_C3+RATE_C3*($A1556-BOTT_C3),0),IF($A1556&gt;BOTT_C2,ROUND(BASE_C2+RATE_C2*($A1556-BOTT_C2),0),ROUND(RATE_C1*$A1556,0))))</f>
        <v/>
      </c>
      <c r="G1556" s="556">
        <f>IF($A1556&gt;BOTT_D4,ROUND(BASE_D4+RATE_D4*($A1556-BOTT_D4),0),IF($A1556&gt;BOTT_D3,ROUND(BASE_D3+RATE_D3*($A1556-BOTT_D3),0),IF($A1556&gt;BOTT_D2,ROUND(BASE_D2+RATE_D2*($A1556-BOTT_D2),0),ROUND(RATE_D1*$A1556,0))))</f>
        <v/>
      </c>
    </row>
    <row r="1557" ht="15.75" customHeight="1" s="7635">
      <c r="A1557" s="625">
        <f>AVERAGE(B1557,C1557)</f>
        <v/>
      </c>
      <c r="B1557" s="555" t="n">
        <v>74650</v>
      </c>
      <c r="C1557" s="555" t="n">
        <v>74700</v>
      </c>
      <c r="D1557" s="556">
        <f>IF($A1557&gt;BOTT_A4,ROUND(BASE_A4+RATE_A4*($A1557-BOTT_A4),0),IF($A1557&gt;BOTT_A3,ROUND(BASE_A3+RATE_A3*($A1557-BOTT_A3),0),IF($A1557&gt;BOTT_A2,ROUND(BASE_A2+RATE_A2*($A1557-BOTT_A2),0),ROUND(RATE_A1*$A1557,0))))</f>
        <v/>
      </c>
      <c r="E1557" s="556">
        <f>IF($A1557&gt;BOTT_B4,ROUND(BASE_B4+RATE_B4*($A1557-BOTT_B4),0),IF($A1557&gt;BOTT_B3,ROUND(BASE_B3+RATE_B3*($A1557-BOTT_B3),0),IF($A1557&gt;BOTT_B2,ROUND(BASE_B2+RATE_B2*($A1557-BOTT_B2),0),ROUND(RATE_B1*$A1557,0))))</f>
        <v/>
      </c>
      <c r="F1557" s="556">
        <f>IF($A1557&gt;BOTT_C4,ROUND(BASE_C4+RATE_C4*($A1557-BOTT_C4),0),IF($A1557&gt;BOTT_C3,ROUND(BASE_C3+RATE_C3*($A1557-BOTT_C3),0),IF($A1557&gt;BOTT_C2,ROUND(BASE_C2+RATE_C2*($A1557-BOTT_C2),0),ROUND(RATE_C1*$A1557,0))))</f>
        <v/>
      </c>
      <c r="G1557" s="556">
        <f>IF($A1557&gt;BOTT_D4,ROUND(BASE_D4+RATE_D4*($A1557-BOTT_D4),0),IF($A1557&gt;BOTT_D3,ROUND(BASE_D3+RATE_D3*($A1557-BOTT_D3),0),IF($A1557&gt;BOTT_D2,ROUND(BASE_D2+RATE_D2*($A1557-BOTT_D2),0),ROUND(RATE_D1*$A1557,0))))</f>
        <v/>
      </c>
    </row>
    <row r="1558" ht="15.75" customHeight="1" s="7635">
      <c r="A1558" s="625">
        <f>AVERAGE(B1558,C1558)</f>
        <v/>
      </c>
      <c r="B1558" s="555" t="n">
        <v>74700</v>
      </c>
      <c r="C1558" s="555" t="n">
        <v>74750</v>
      </c>
      <c r="D1558" s="556">
        <f>IF($A1558&gt;BOTT_A4,ROUND(BASE_A4+RATE_A4*($A1558-BOTT_A4),0),IF($A1558&gt;BOTT_A3,ROUND(BASE_A3+RATE_A3*($A1558-BOTT_A3),0),IF($A1558&gt;BOTT_A2,ROUND(BASE_A2+RATE_A2*($A1558-BOTT_A2),0),ROUND(RATE_A1*$A1558,0))))</f>
        <v/>
      </c>
      <c r="E1558" s="556">
        <f>IF($A1558&gt;BOTT_B4,ROUND(BASE_B4+RATE_B4*($A1558-BOTT_B4),0),IF($A1558&gt;BOTT_B3,ROUND(BASE_B3+RATE_B3*($A1558-BOTT_B3),0),IF($A1558&gt;BOTT_B2,ROUND(BASE_B2+RATE_B2*($A1558-BOTT_B2),0),ROUND(RATE_B1*$A1558,0))))</f>
        <v/>
      </c>
      <c r="F1558" s="556">
        <f>IF($A1558&gt;BOTT_C4,ROUND(BASE_C4+RATE_C4*($A1558-BOTT_C4),0),IF($A1558&gt;BOTT_C3,ROUND(BASE_C3+RATE_C3*($A1558-BOTT_C3),0),IF($A1558&gt;BOTT_C2,ROUND(BASE_C2+RATE_C2*($A1558-BOTT_C2),0),ROUND(RATE_C1*$A1558,0))))</f>
        <v/>
      </c>
      <c r="G1558" s="556">
        <f>IF($A1558&gt;BOTT_D4,ROUND(BASE_D4+RATE_D4*($A1558-BOTT_D4),0),IF($A1558&gt;BOTT_D3,ROUND(BASE_D3+RATE_D3*($A1558-BOTT_D3),0),IF($A1558&gt;BOTT_D2,ROUND(BASE_D2+RATE_D2*($A1558-BOTT_D2),0),ROUND(RATE_D1*$A1558,0))))</f>
        <v/>
      </c>
    </row>
    <row r="1559" ht="15.75" customHeight="1" s="7635">
      <c r="A1559" s="625">
        <f>AVERAGE(B1559,C1559)</f>
        <v/>
      </c>
      <c r="B1559" s="555" t="n">
        <v>74750</v>
      </c>
      <c r="C1559" s="555" t="n">
        <v>74800</v>
      </c>
      <c r="D1559" s="556">
        <f>IF($A1559&gt;BOTT_A4,ROUND(BASE_A4+RATE_A4*($A1559-BOTT_A4),0),IF($A1559&gt;BOTT_A3,ROUND(BASE_A3+RATE_A3*($A1559-BOTT_A3),0),IF($A1559&gt;BOTT_A2,ROUND(BASE_A2+RATE_A2*($A1559-BOTT_A2),0),ROUND(RATE_A1*$A1559,0))))</f>
        <v/>
      </c>
      <c r="E1559" s="556">
        <f>IF($A1559&gt;BOTT_B4,ROUND(BASE_B4+RATE_B4*($A1559-BOTT_B4),0),IF($A1559&gt;BOTT_B3,ROUND(BASE_B3+RATE_B3*($A1559-BOTT_B3),0),IF($A1559&gt;BOTT_B2,ROUND(BASE_B2+RATE_B2*($A1559-BOTT_B2),0),ROUND(RATE_B1*$A1559,0))))</f>
        <v/>
      </c>
      <c r="F1559" s="556">
        <f>IF($A1559&gt;BOTT_C4,ROUND(BASE_C4+RATE_C4*($A1559-BOTT_C4),0),IF($A1559&gt;BOTT_C3,ROUND(BASE_C3+RATE_C3*($A1559-BOTT_C3),0),IF($A1559&gt;BOTT_C2,ROUND(BASE_C2+RATE_C2*($A1559-BOTT_C2),0),ROUND(RATE_C1*$A1559,0))))</f>
        <v/>
      </c>
      <c r="G1559" s="556">
        <f>IF($A1559&gt;BOTT_D4,ROUND(BASE_D4+RATE_D4*($A1559-BOTT_D4),0),IF($A1559&gt;BOTT_D3,ROUND(BASE_D3+RATE_D3*($A1559-BOTT_D3),0),IF($A1559&gt;BOTT_D2,ROUND(BASE_D2+RATE_D2*($A1559-BOTT_D2),0),ROUND(RATE_D1*$A1559,0))))</f>
        <v/>
      </c>
    </row>
    <row r="1560" ht="15.75" customHeight="1" s="7635">
      <c r="A1560" s="625">
        <f>AVERAGE(B1560,C1560)</f>
        <v/>
      </c>
      <c r="B1560" s="555" t="n">
        <v>74800</v>
      </c>
      <c r="C1560" s="555" t="n">
        <v>74850</v>
      </c>
      <c r="D1560" s="556">
        <f>IF($A1560&gt;BOTT_A4,ROUND(BASE_A4+RATE_A4*($A1560-BOTT_A4),0),IF($A1560&gt;BOTT_A3,ROUND(BASE_A3+RATE_A3*($A1560-BOTT_A3),0),IF($A1560&gt;BOTT_A2,ROUND(BASE_A2+RATE_A2*($A1560-BOTT_A2),0),ROUND(RATE_A1*$A1560,0))))</f>
        <v/>
      </c>
      <c r="E1560" s="556">
        <f>IF($A1560&gt;BOTT_B4,ROUND(BASE_B4+RATE_B4*($A1560-BOTT_B4),0),IF($A1560&gt;BOTT_B3,ROUND(BASE_B3+RATE_B3*($A1560-BOTT_B3),0),IF($A1560&gt;BOTT_B2,ROUND(BASE_B2+RATE_B2*($A1560-BOTT_B2),0),ROUND(RATE_B1*$A1560,0))))</f>
        <v/>
      </c>
      <c r="F1560" s="556">
        <f>IF($A1560&gt;BOTT_C4,ROUND(BASE_C4+RATE_C4*($A1560-BOTT_C4),0),IF($A1560&gt;BOTT_C3,ROUND(BASE_C3+RATE_C3*($A1560-BOTT_C3),0),IF($A1560&gt;BOTT_C2,ROUND(BASE_C2+RATE_C2*($A1560-BOTT_C2),0),ROUND(RATE_C1*$A1560,0))))</f>
        <v/>
      </c>
      <c r="G1560" s="556">
        <f>IF($A1560&gt;BOTT_D4,ROUND(BASE_D4+RATE_D4*($A1560-BOTT_D4),0),IF($A1560&gt;BOTT_D3,ROUND(BASE_D3+RATE_D3*($A1560-BOTT_D3),0),IF($A1560&gt;BOTT_D2,ROUND(BASE_D2+RATE_D2*($A1560-BOTT_D2),0),ROUND(RATE_D1*$A1560,0))))</f>
        <v/>
      </c>
    </row>
    <row r="1561" ht="15.75" customHeight="1" s="7635">
      <c r="A1561" s="625">
        <f>AVERAGE(B1561,C1561)</f>
        <v/>
      </c>
      <c r="B1561" s="555" t="n">
        <v>74850</v>
      </c>
      <c r="C1561" s="555" t="n">
        <v>74900</v>
      </c>
      <c r="D1561" s="556">
        <f>IF($A1561&gt;BOTT_A4,ROUND(BASE_A4+RATE_A4*($A1561-BOTT_A4),0),IF($A1561&gt;BOTT_A3,ROUND(BASE_A3+RATE_A3*($A1561-BOTT_A3),0),IF($A1561&gt;BOTT_A2,ROUND(BASE_A2+RATE_A2*($A1561-BOTT_A2),0),ROUND(RATE_A1*$A1561,0))))</f>
        <v/>
      </c>
      <c r="E1561" s="556">
        <f>IF($A1561&gt;BOTT_B4,ROUND(BASE_B4+RATE_B4*($A1561-BOTT_B4),0),IF($A1561&gt;BOTT_B3,ROUND(BASE_B3+RATE_B3*($A1561-BOTT_B3),0),IF($A1561&gt;BOTT_B2,ROUND(BASE_B2+RATE_B2*($A1561-BOTT_B2),0),ROUND(RATE_B1*$A1561,0))))</f>
        <v/>
      </c>
      <c r="F1561" s="556">
        <f>IF($A1561&gt;BOTT_C4,ROUND(BASE_C4+RATE_C4*($A1561-BOTT_C4),0),IF($A1561&gt;BOTT_C3,ROUND(BASE_C3+RATE_C3*($A1561-BOTT_C3),0),IF($A1561&gt;BOTT_C2,ROUND(BASE_C2+RATE_C2*($A1561-BOTT_C2),0),ROUND(RATE_C1*$A1561,0))))</f>
        <v/>
      </c>
      <c r="G1561" s="556">
        <f>IF($A1561&gt;BOTT_D4,ROUND(BASE_D4+RATE_D4*($A1561-BOTT_D4),0),IF($A1561&gt;BOTT_D3,ROUND(BASE_D3+RATE_D3*($A1561-BOTT_D3),0),IF($A1561&gt;BOTT_D2,ROUND(BASE_D2+RATE_D2*($A1561-BOTT_D2),0),ROUND(RATE_D1*$A1561,0))))</f>
        <v/>
      </c>
    </row>
    <row r="1562" ht="15.75" customHeight="1" s="7635">
      <c r="A1562" s="625">
        <f>AVERAGE(B1562,C1562)</f>
        <v/>
      </c>
      <c r="B1562" s="555" t="n">
        <v>74900</v>
      </c>
      <c r="C1562" s="555" t="n">
        <v>74950</v>
      </c>
      <c r="D1562" s="556">
        <f>IF($A1562&gt;BOTT_A4,ROUND(BASE_A4+RATE_A4*($A1562-BOTT_A4),0),IF($A1562&gt;BOTT_A3,ROUND(BASE_A3+RATE_A3*($A1562-BOTT_A3),0),IF($A1562&gt;BOTT_A2,ROUND(BASE_A2+RATE_A2*($A1562-BOTT_A2),0),ROUND(RATE_A1*$A1562,0))))</f>
        <v/>
      </c>
      <c r="E1562" s="556">
        <f>IF($A1562&gt;BOTT_B4,ROUND(BASE_B4+RATE_B4*($A1562-BOTT_B4),0),IF($A1562&gt;BOTT_B3,ROUND(BASE_B3+RATE_B3*($A1562-BOTT_B3),0),IF($A1562&gt;BOTT_B2,ROUND(BASE_B2+RATE_B2*($A1562-BOTT_B2),0),ROUND(RATE_B1*$A1562,0))))</f>
        <v/>
      </c>
      <c r="F1562" s="556">
        <f>IF($A1562&gt;BOTT_C4,ROUND(BASE_C4+RATE_C4*($A1562-BOTT_C4),0),IF($A1562&gt;BOTT_C3,ROUND(BASE_C3+RATE_C3*($A1562-BOTT_C3),0),IF($A1562&gt;BOTT_C2,ROUND(BASE_C2+RATE_C2*($A1562-BOTT_C2),0),ROUND(RATE_C1*$A1562,0))))</f>
        <v/>
      </c>
      <c r="G1562" s="556">
        <f>IF($A1562&gt;BOTT_D4,ROUND(BASE_D4+RATE_D4*($A1562-BOTT_D4),0),IF($A1562&gt;BOTT_D3,ROUND(BASE_D3+RATE_D3*($A1562-BOTT_D3),0),IF($A1562&gt;BOTT_D2,ROUND(BASE_D2+RATE_D2*($A1562-BOTT_D2),0),ROUND(RATE_D1*$A1562,0))))</f>
        <v/>
      </c>
    </row>
    <row r="1563" ht="15.75" customHeight="1" s="7635">
      <c r="A1563" s="625">
        <f>AVERAGE(B1563,C1563)</f>
        <v/>
      </c>
      <c r="B1563" s="555" t="n">
        <v>74950</v>
      </c>
      <c r="C1563" s="555" t="n">
        <v>75000</v>
      </c>
      <c r="D1563" s="556">
        <f>IF($A1563&gt;BOTT_A4,ROUND(BASE_A4+RATE_A4*($A1563-BOTT_A4),0),IF($A1563&gt;BOTT_A3,ROUND(BASE_A3+RATE_A3*($A1563-BOTT_A3),0),IF($A1563&gt;BOTT_A2,ROUND(BASE_A2+RATE_A2*($A1563-BOTT_A2),0),ROUND(RATE_A1*$A1563,0))))</f>
        <v/>
      </c>
      <c r="E1563" s="556">
        <f>IF($A1563&gt;BOTT_B4,ROUND(BASE_B4+RATE_B4*($A1563-BOTT_B4),0),IF($A1563&gt;BOTT_B3,ROUND(BASE_B3+RATE_B3*($A1563-BOTT_B3),0),IF($A1563&gt;BOTT_B2,ROUND(BASE_B2+RATE_B2*($A1563-BOTT_B2),0),ROUND(RATE_B1*$A1563,0))))</f>
        <v/>
      </c>
      <c r="F1563" s="556">
        <f>IF($A1563&gt;BOTT_C4,ROUND(BASE_C4+RATE_C4*($A1563-BOTT_C4),0),IF($A1563&gt;BOTT_C3,ROUND(BASE_C3+RATE_C3*($A1563-BOTT_C3),0),IF($A1563&gt;BOTT_C2,ROUND(BASE_C2+RATE_C2*($A1563-BOTT_C2),0),ROUND(RATE_C1*$A1563,0))))</f>
        <v/>
      </c>
      <c r="G1563" s="556">
        <f>IF($A1563&gt;BOTT_D4,ROUND(BASE_D4+RATE_D4*($A1563-BOTT_D4),0),IF($A1563&gt;BOTT_D3,ROUND(BASE_D3+RATE_D3*($A1563-BOTT_D3),0),IF($A1563&gt;BOTT_D2,ROUND(BASE_D2+RATE_D2*($A1563-BOTT_D2),0),ROUND(RATE_D1*$A1563,0))))</f>
        <v/>
      </c>
    </row>
    <row r="1564" ht="15.75" customHeight="1" s="7635">
      <c r="A1564" s="625">
        <f>AVERAGE(B1564,C1564)</f>
        <v/>
      </c>
      <c r="B1564" s="555" t="n">
        <v>75000</v>
      </c>
      <c r="C1564" s="555" t="n">
        <v>75050</v>
      </c>
      <c r="D1564" s="556">
        <f>IF($A1564&gt;BOTT_A4,ROUND(BASE_A4+RATE_A4*($A1564-BOTT_A4),0),IF($A1564&gt;BOTT_A3,ROUND(BASE_A3+RATE_A3*($A1564-BOTT_A3),0),IF($A1564&gt;BOTT_A2,ROUND(BASE_A2+RATE_A2*($A1564-BOTT_A2),0),ROUND(RATE_A1*$A1564,0))))</f>
        <v/>
      </c>
      <c r="E1564" s="556">
        <f>IF($A1564&gt;BOTT_B4,ROUND(BASE_B4+RATE_B4*($A1564-BOTT_B4),0),IF($A1564&gt;BOTT_B3,ROUND(BASE_B3+RATE_B3*($A1564-BOTT_B3),0),IF($A1564&gt;BOTT_B2,ROUND(BASE_B2+RATE_B2*($A1564-BOTT_B2),0),ROUND(RATE_B1*$A1564,0))))</f>
        <v/>
      </c>
      <c r="F1564" s="556">
        <f>IF($A1564&gt;BOTT_C4,ROUND(BASE_C4+RATE_C4*($A1564-BOTT_C4),0),IF($A1564&gt;BOTT_C3,ROUND(BASE_C3+RATE_C3*($A1564-BOTT_C3),0),IF($A1564&gt;BOTT_C2,ROUND(BASE_C2+RATE_C2*($A1564-BOTT_C2),0),ROUND(RATE_C1*$A1564,0))))</f>
        <v/>
      </c>
      <c r="G1564" s="556">
        <f>IF($A1564&gt;BOTT_D4,ROUND(BASE_D4+RATE_D4*($A1564-BOTT_D4),0),IF($A1564&gt;BOTT_D3,ROUND(BASE_D3+RATE_D3*($A1564-BOTT_D3),0),IF($A1564&gt;BOTT_D2,ROUND(BASE_D2+RATE_D2*($A1564-BOTT_D2),0),ROUND(RATE_D1*$A1564,0))))</f>
        <v/>
      </c>
    </row>
    <row r="1565" ht="15.75" customHeight="1" s="7635">
      <c r="A1565" s="625">
        <f>AVERAGE(B1565,C1565)</f>
        <v/>
      </c>
      <c r="B1565" s="555" t="n">
        <v>75050</v>
      </c>
      <c r="C1565" s="555" t="n">
        <v>75100</v>
      </c>
      <c r="D1565" s="556">
        <f>IF($A1565&gt;BOTT_A4,ROUND(BASE_A4+RATE_A4*($A1565-BOTT_A4),0),IF($A1565&gt;BOTT_A3,ROUND(BASE_A3+RATE_A3*($A1565-BOTT_A3),0),IF($A1565&gt;BOTT_A2,ROUND(BASE_A2+RATE_A2*($A1565-BOTT_A2),0),ROUND(RATE_A1*$A1565,0))))</f>
        <v/>
      </c>
      <c r="E1565" s="556">
        <f>IF($A1565&gt;BOTT_B4,ROUND(BASE_B4+RATE_B4*($A1565-BOTT_B4),0),IF($A1565&gt;BOTT_B3,ROUND(BASE_B3+RATE_B3*($A1565-BOTT_B3),0),IF($A1565&gt;BOTT_B2,ROUND(BASE_B2+RATE_B2*($A1565-BOTT_B2),0),ROUND(RATE_B1*$A1565,0))))</f>
        <v/>
      </c>
      <c r="F1565" s="556">
        <f>IF($A1565&gt;BOTT_C4,ROUND(BASE_C4+RATE_C4*($A1565-BOTT_C4),0),IF($A1565&gt;BOTT_C3,ROUND(BASE_C3+RATE_C3*($A1565-BOTT_C3),0),IF($A1565&gt;BOTT_C2,ROUND(BASE_C2+RATE_C2*($A1565-BOTT_C2),0),ROUND(RATE_C1*$A1565,0))))</f>
        <v/>
      </c>
      <c r="G1565" s="556">
        <f>IF($A1565&gt;BOTT_D4,ROUND(BASE_D4+RATE_D4*($A1565-BOTT_D4),0),IF($A1565&gt;BOTT_D3,ROUND(BASE_D3+RATE_D3*($A1565-BOTT_D3),0),IF($A1565&gt;BOTT_D2,ROUND(BASE_D2+RATE_D2*($A1565-BOTT_D2),0),ROUND(RATE_D1*$A1565,0))))</f>
        <v/>
      </c>
    </row>
    <row r="1566" ht="15.75" customHeight="1" s="7635">
      <c r="A1566" s="625">
        <f>AVERAGE(B1566,C1566)</f>
        <v/>
      </c>
      <c r="B1566" s="555" t="n">
        <v>75100</v>
      </c>
      <c r="C1566" s="555" t="n">
        <v>75150</v>
      </c>
      <c r="D1566" s="556">
        <f>IF($A1566&gt;BOTT_A4,ROUND(BASE_A4+RATE_A4*($A1566-BOTT_A4),0),IF($A1566&gt;BOTT_A3,ROUND(BASE_A3+RATE_A3*($A1566-BOTT_A3),0),IF($A1566&gt;BOTT_A2,ROUND(BASE_A2+RATE_A2*($A1566-BOTT_A2),0),ROUND(RATE_A1*$A1566,0))))</f>
        <v/>
      </c>
      <c r="E1566" s="556">
        <f>IF($A1566&gt;BOTT_B4,ROUND(BASE_B4+RATE_B4*($A1566-BOTT_B4),0),IF($A1566&gt;BOTT_B3,ROUND(BASE_B3+RATE_B3*($A1566-BOTT_B3),0),IF($A1566&gt;BOTT_B2,ROUND(BASE_B2+RATE_B2*($A1566-BOTT_B2),0),ROUND(RATE_B1*$A1566,0))))</f>
        <v/>
      </c>
      <c r="F1566" s="556">
        <f>IF($A1566&gt;BOTT_C4,ROUND(BASE_C4+RATE_C4*($A1566-BOTT_C4),0),IF($A1566&gt;BOTT_C3,ROUND(BASE_C3+RATE_C3*($A1566-BOTT_C3),0),IF($A1566&gt;BOTT_C2,ROUND(BASE_C2+RATE_C2*($A1566-BOTT_C2),0),ROUND(RATE_C1*$A1566,0))))</f>
        <v/>
      </c>
      <c r="G1566" s="556">
        <f>IF($A1566&gt;BOTT_D4,ROUND(BASE_D4+RATE_D4*($A1566-BOTT_D4),0),IF($A1566&gt;BOTT_D3,ROUND(BASE_D3+RATE_D3*($A1566-BOTT_D3),0),IF($A1566&gt;BOTT_D2,ROUND(BASE_D2+RATE_D2*($A1566-BOTT_D2),0),ROUND(RATE_D1*$A1566,0))))</f>
        <v/>
      </c>
    </row>
    <row r="1567" ht="15.75" customHeight="1" s="7635">
      <c r="A1567" s="625">
        <f>AVERAGE(B1567,C1567)</f>
        <v/>
      </c>
      <c r="B1567" s="555" t="n">
        <v>75150</v>
      </c>
      <c r="C1567" s="555" t="n">
        <v>75200</v>
      </c>
      <c r="D1567" s="556">
        <f>IF($A1567&gt;BOTT_A4,ROUND(BASE_A4+RATE_A4*($A1567-BOTT_A4),0),IF($A1567&gt;BOTT_A3,ROUND(BASE_A3+RATE_A3*($A1567-BOTT_A3),0),IF($A1567&gt;BOTT_A2,ROUND(BASE_A2+RATE_A2*($A1567-BOTT_A2),0),ROUND(RATE_A1*$A1567,0))))</f>
        <v/>
      </c>
      <c r="E1567" s="556">
        <f>IF($A1567&gt;BOTT_B4,ROUND(BASE_B4+RATE_B4*($A1567-BOTT_B4),0),IF($A1567&gt;BOTT_B3,ROUND(BASE_B3+RATE_B3*($A1567-BOTT_B3),0),IF($A1567&gt;BOTT_B2,ROUND(BASE_B2+RATE_B2*($A1567-BOTT_B2),0),ROUND(RATE_B1*$A1567,0))))</f>
        <v/>
      </c>
      <c r="F1567" s="556">
        <f>IF($A1567&gt;BOTT_C4,ROUND(BASE_C4+RATE_C4*($A1567-BOTT_C4),0),IF($A1567&gt;BOTT_C3,ROUND(BASE_C3+RATE_C3*($A1567-BOTT_C3),0),IF($A1567&gt;BOTT_C2,ROUND(BASE_C2+RATE_C2*($A1567-BOTT_C2),0),ROUND(RATE_C1*$A1567,0))))</f>
        <v/>
      </c>
      <c r="G1567" s="556">
        <f>IF($A1567&gt;BOTT_D4,ROUND(BASE_D4+RATE_D4*($A1567-BOTT_D4),0),IF($A1567&gt;BOTT_D3,ROUND(BASE_D3+RATE_D3*($A1567-BOTT_D3),0),IF($A1567&gt;BOTT_D2,ROUND(BASE_D2+RATE_D2*($A1567-BOTT_D2),0),ROUND(RATE_D1*$A1567,0))))</f>
        <v/>
      </c>
    </row>
    <row r="1568" ht="15.75" customHeight="1" s="7635">
      <c r="A1568" s="625">
        <f>AVERAGE(B1568,C1568)</f>
        <v/>
      </c>
      <c r="B1568" s="555" t="n">
        <v>75200</v>
      </c>
      <c r="C1568" s="555" t="n">
        <v>75250</v>
      </c>
      <c r="D1568" s="556">
        <f>IF($A1568&gt;BOTT_A4,ROUND(BASE_A4+RATE_A4*($A1568-BOTT_A4),0),IF($A1568&gt;BOTT_A3,ROUND(BASE_A3+RATE_A3*($A1568-BOTT_A3),0),IF($A1568&gt;BOTT_A2,ROUND(BASE_A2+RATE_A2*($A1568-BOTT_A2),0),ROUND(RATE_A1*$A1568,0))))</f>
        <v/>
      </c>
      <c r="E1568" s="556">
        <f>IF($A1568&gt;BOTT_B4,ROUND(BASE_B4+RATE_B4*($A1568-BOTT_B4),0),IF($A1568&gt;BOTT_B3,ROUND(BASE_B3+RATE_B3*($A1568-BOTT_B3),0),IF($A1568&gt;BOTT_B2,ROUND(BASE_B2+RATE_B2*($A1568-BOTT_B2),0),ROUND(RATE_B1*$A1568,0))))</f>
        <v/>
      </c>
      <c r="F1568" s="556">
        <f>IF($A1568&gt;BOTT_C4,ROUND(BASE_C4+RATE_C4*($A1568-BOTT_C4),0),IF($A1568&gt;BOTT_C3,ROUND(BASE_C3+RATE_C3*($A1568-BOTT_C3),0),IF($A1568&gt;BOTT_C2,ROUND(BASE_C2+RATE_C2*($A1568-BOTT_C2),0),ROUND(RATE_C1*$A1568,0))))</f>
        <v/>
      </c>
      <c r="G1568" s="556">
        <f>IF($A1568&gt;BOTT_D4,ROUND(BASE_D4+RATE_D4*($A1568-BOTT_D4),0),IF($A1568&gt;BOTT_D3,ROUND(BASE_D3+RATE_D3*($A1568-BOTT_D3),0),IF($A1568&gt;BOTT_D2,ROUND(BASE_D2+RATE_D2*($A1568-BOTT_D2),0),ROUND(RATE_D1*$A1568,0))))</f>
        <v/>
      </c>
    </row>
    <row r="1569" ht="15.75" customHeight="1" s="7635">
      <c r="A1569" s="625">
        <f>AVERAGE(B1569,C1569)</f>
        <v/>
      </c>
      <c r="B1569" s="555" t="n">
        <v>75250</v>
      </c>
      <c r="C1569" s="555" t="n">
        <v>75300</v>
      </c>
      <c r="D1569" s="556">
        <f>IF($A1569&gt;BOTT_A4,ROUND(BASE_A4+RATE_A4*($A1569-BOTT_A4),0),IF($A1569&gt;BOTT_A3,ROUND(BASE_A3+RATE_A3*($A1569-BOTT_A3),0),IF($A1569&gt;BOTT_A2,ROUND(BASE_A2+RATE_A2*($A1569-BOTT_A2),0),ROUND(RATE_A1*$A1569,0))))</f>
        <v/>
      </c>
      <c r="E1569" s="556">
        <f>IF($A1569&gt;BOTT_B4,ROUND(BASE_B4+RATE_B4*($A1569-BOTT_B4),0),IF($A1569&gt;BOTT_B3,ROUND(BASE_B3+RATE_B3*($A1569-BOTT_B3),0),IF($A1569&gt;BOTT_B2,ROUND(BASE_B2+RATE_B2*($A1569-BOTT_B2),0),ROUND(RATE_B1*$A1569,0))))</f>
        <v/>
      </c>
      <c r="F1569" s="556">
        <f>IF($A1569&gt;BOTT_C4,ROUND(BASE_C4+RATE_C4*($A1569-BOTT_C4),0),IF($A1569&gt;BOTT_C3,ROUND(BASE_C3+RATE_C3*($A1569-BOTT_C3),0),IF($A1569&gt;BOTT_C2,ROUND(BASE_C2+RATE_C2*($A1569-BOTT_C2),0),ROUND(RATE_C1*$A1569,0))))</f>
        <v/>
      </c>
      <c r="G1569" s="556">
        <f>IF($A1569&gt;BOTT_D4,ROUND(BASE_D4+RATE_D4*($A1569-BOTT_D4),0),IF($A1569&gt;BOTT_D3,ROUND(BASE_D3+RATE_D3*($A1569-BOTT_D3),0),IF($A1569&gt;BOTT_D2,ROUND(BASE_D2+RATE_D2*($A1569-BOTT_D2),0),ROUND(RATE_D1*$A1569,0))))</f>
        <v/>
      </c>
    </row>
    <row r="1570" ht="15.75" customHeight="1" s="7635">
      <c r="A1570" s="625">
        <f>AVERAGE(B1570,C1570)</f>
        <v/>
      </c>
      <c r="B1570" s="555" t="n">
        <v>75300</v>
      </c>
      <c r="C1570" s="555" t="n">
        <v>75350</v>
      </c>
      <c r="D1570" s="556">
        <f>IF($A1570&gt;BOTT_A4,ROUND(BASE_A4+RATE_A4*($A1570-BOTT_A4),0),IF($A1570&gt;BOTT_A3,ROUND(BASE_A3+RATE_A3*($A1570-BOTT_A3),0),IF($A1570&gt;BOTT_A2,ROUND(BASE_A2+RATE_A2*($A1570-BOTT_A2),0),ROUND(RATE_A1*$A1570,0))))</f>
        <v/>
      </c>
      <c r="E1570" s="556">
        <f>IF($A1570&gt;BOTT_B4,ROUND(BASE_B4+RATE_B4*($A1570-BOTT_B4),0),IF($A1570&gt;BOTT_B3,ROUND(BASE_B3+RATE_B3*($A1570-BOTT_B3),0),IF($A1570&gt;BOTT_B2,ROUND(BASE_B2+RATE_B2*($A1570-BOTT_B2),0),ROUND(RATE_B1*$A1570,0))))</f>
        <v/>
      </c>
      <c r="F1570" s="556">
        <f>IF($A1570&gt;BOTT_C4,ROUND(BASE_C4+RATE_C4*($A1570-BOTT_C4),0),IF($A1570&gt;BOTT_C3,ROUND(BASE_C3+RATE_C3*($A1570-BOTT_C3),0),IF($A1570&gt;BOTT_C2,ROUND(BASE_C2+RATE_C2*($A1570-BOTT_C2),0),ROUND(RATE_C1*$A1570,0))))</f>
        <v/>
      </c>
      <c r="G1570" s="556">
        <f>IF($A1570&gt;BOTT_D4,ROUND(BASE_D4+RATE_D4*($A1570-BOTT_D4),0),IF($A1570&gt;BOTT_D3,ROUND(BASE_D3+RATE_D3*($A1570-BOTT_D3),0),IF($A1570&gt;BOTT_D2,ROUND(BASE_D2+RATE_D2*($A1570-BOTT_D2),0),ROUND(RATE_D1*$A1570,0))))</f>
        <v/>
      </c>
    </row>
    <row r="1571" ht="15.75" customHeight="1" s="7635">
      <c r="A1571" s="625">
        <f>AVERAGE(B1571,C1571)</f>
        <v/>
      </c>
      <c r="B1571" s="555" t="n">
        <v>75350</v>
      </c>
      <c r="C1571" s="555" t="n">
        <v>75400</v>
      </c>
      <c r="D1571" s="556">
        <f>IF($A1571&gt;BOTT_A4,ROUND(BASE_A4+RATE_A4*($A1571-BOTT_A4),0),IF($A1571&gt;BOTT_A3,ROUND(BASE_A3+RATE_A3*($A1571-BOTT_A3),0),IF($A1571&gt;BOTT_A2,ROUND(BASE_A2+RATE_A2*($A1571-BOTT_A2),0),ROUND(RATE_A1*$A1571,0))))</f>
        <v/>
      </c>
      <c r="E1571" s="556">
        <f>IF($A1571&gt;BOTT_B4,ROUND(BASE_B4+RATE_B4*($A1571-BOTT_B4),0),IF($A1571&gt;BOTT_B3,ROUND(BASE_B3+RATE_B3*($A1571-BOTT_B3),0),IF($A1571&gt;BOTT_B2,ROUND(BASE_B2+RATE_B2*($A1571-BOTT_B2),0),ROUND(RATE_B1*$A1571,0))))</f>
        <v/>
      </c>
      <c r="F1571" s="556">
        <f>IF($A1571&gt;BOTT_C4,ROUND(BASE_C4+RATE_C4*($A1571-BOTT_C4),0),IF($A1571&gt;BOTT_C3,ROUND(BASE_C3+RATE_C3*($A1571-BOTT_C3),0),IF($A1571&gt;BOTT_C2,ROUND(BASE_C2+RATE_C2*($A1571-BOTT_C2),0),ROUND(RATE_C1*$A1571,0))))</f>
        <v/>
      </c>
      <c r="G1571" s="556">
        <f>IF($A1571&gt;BOTT_D4,ROUND(BASE_D4+RATE_D4*($A1571-BOTT_D4),0),IF($A1571&gt;BOTT_D3,ROUND(BASE_D3+RATE_D3*($A1571-BOTT_D3),0),IF($A1571&gt;BOTT_D2,ROUND(BASE_D2+RATE_D2*($A1571-BOTT_D2),0),ROUND(RATE_D1*$A1571,0))))</f>
        <v/>
      </c>
    </row>
    <row r="1572" ht="15.75" customHeight="1" s="7635">
      <c r="A1572" s="625">
        <f>AVERAGE(B1572,C1572)</f>
        <v/>
      </c>
      <c r="B1572" s="555" t="n">
        <v>75400</v>
      </c>
      <c r="C1572" s="555" t="n">
        <v>75450</v>
      </c>
      <c r="D1572" s="556">
        <f>IF($A1572&gt;BOTT_A4,ROUND(BASE_A4+RATE_A4*($A1572-BOTT_A4),0),IF($A1572&gt;BOTT_A3,ROUND(BASE_A3+RATE_A3*($A1572-BOTT_A3),0),IF($A1572&gt;BOTT_A2,ROUND(BASE_A2+RATE_A2*($A1572-BOTT_A2),0),ROUND(RATE_A1*$A1572,0))))</f>
        <v/>
      </c>
      <c r="E1572" s="556">
        <f>IF($A1572&gt;BOTT_B4,ROUND(BASE_B4+RATE_B4*($A1572-BOTT_B4),0),IF($A1572&gt;BOTT_B3,ROUND(BASE_B3+RATE_B3*($A1572-BOTT_B3),0),IF($A1572&gt;BOTT_B2,ROUND(BASE_B2+RATE_B2*($A1572-BOTT_B2),0),ROUND(RATE_B1*$A1572,0))))</f>
        <v/>
      </c>
      <c r="F1572" s="556">
        <f>IF($A1572&gt;BOTT_C4,ROUND(BASE_C4+RATE_C4*($A1572-BOTT_C4),0),IF($A1572&gt;BOTT_C3,ROUND(BASE_C3+RATE_C3*($A1572-BOTT_C3),0),IF($A1572&gt;BOTT_C2,ROUND(BASE_C2+RATE_C2*($A1572-BOTT_C2),0),ROUND(RATE_C1*$A1572,0))))</f>
        <v/>
      </c>
      <c r="G1572" s="556">
        <f>IF($A1572&gt;BOTT_D4,ROUND(BASE_D4+RATE_D4*($A1572-BOTT_D4),0),IF($A1572&gt;BOTT_D3,ROUND(BASE_D3+RATE_D3*($A1572-BOTT_D3),0),IF($A1572&gt;BOTT_D2,ROUND(BASE_D2+RATE_D2*($A1572-BOTT_D2),0),ROUND(RATE_D1*$A1572,0))))</f>
        <v/>
      </c>
    </row>
    <row r="1573" ht="15.75" customHeight="1" s="7635">
      <c r="A1573" s="625">
        <f>AVERAGE(B1573,C1573)</f>
        <v/>
      </c>
      <c r="B1573" s="555" t="n">
        <v>75450</v>
      </c>
      <c r="C1573" s="555" t="n">
        <v>75500</v>
      </c>
      <c r="D1573" s="556">
        <f>IF($A1573&gt;BOTT_A4,ROUND(BASE_A4+RATE_A4*($A1573-BOTT_A4),0),IF($A1573&gt;BOTT_A3,ROUND(BASE_A3+RATE_A3*($A1573-BOTT_A3),0),IF($A1573&gt;BOTT_A2,ROUND(BASE_A2+RATE_A2*($A1573-BOTT_A2),0),ROUND(RATE_A1*$A1573,0))))</f>
        <v/>
      </c>
      <c r="E1573" s="556">
        <f>IF($A1573&gt;BOTT_B4,ROUND(BASE_B4+RATE_B4*($A1573-BOTT_B4),0),IF($A1573&gt;BOTT_B3,ROUND(BASE_B3+RATE_B3*($A1573-BOTT_B3),0),IF($A1573&gt;BOTT_B2,ROUND(BASE_B2+RATE_B2*($A1573-BOTT_B2),0),ROUND(RATE_B1*$A1573,0))))</f>
        <v/>
      </c>
      <c r="F1573" s="556">
        <f>IF($A1573&gt;BOTT_C4,ROUND(BASE_C4+RATE_C4*($A1573-BOTT_C4),0),IF($A1573&gt;BOTT_C3,ROUND(BASE_C3+RATE_C3*($A1573-BOTT_C3),0),IF($A1573&gt;BOTT_C2,ROUND(BASE_C2+RATE_C2*($A1573-BOTT_C2),0),ROUND(RATE_C1*$A1573,0))))</f>
        <v/>
      </c>
      <c r="G1573" s="556">
        <f>IF($A1573&gt;BOTT_D4,ROUND(BASE_D4+RATE_D4*($A1573-BOTT_D4),0),IF($A1573&gt;BOTT_D3,ROUND(BASE_D3+RATE_D3*($A1573-BOTT_D3),0),IF($A1573&gt;BOTT_D2,ROUND(BASE_D2+RATE_D2*($A1573-BOTT_D2),0),ROUND(RATE_D1*$A1573,0))))</f>
        <v/>
      </c>
    </row>
    <row r="1574" ht="15.75" customHeight="1" s="7635">
      <c r="A1574" s="625">
        <f>AVERAGE(B1574,C1574)</f>
        <v/>
      </c>
      <c r="B1574" s="555" t="n">
        <v>75500</v>
      </c>
      <c r="C1574" s="555" t="n">
        <v>75550</v>
      </c>
      <c r="D1574" s="556">
        <f>IF($A1574&gt;BOTT_A4,ROUND(BASE_A4+RATE_A4*($A1574-BOTT_A4),0),IF($A1574&gt;BOTT_A3,ROUND(BASE_A3+RATE_A3*($A1574-BOTT_A3),0),IF($A1574&gt;BOTT_A2,ROUND(BASE_A2+RATE_A2*($A1574-BOTT_A2),0),ROUND(RATE_A1*$A1574,0))))</f>
        <v/>
      </c>
      <c r="E1574" s="556">
        <f>IF($A1574&gt;BOTT_B4,ROUND(BASE_B4+RATE_B4*($A1574-BOTT_B4),0),IF($A1574&gt;BOTT_B3,ROUND(BASE_B3+RATE_B3*($A1574-BOTT_B3),0),IF($A1574&gt;BOTT_B2,ROUND(BASE_B2+RATE_B2*($A1574-BOTT_B2),0),ROUND(RATE_B1*$A1574,0))))</f>
        <v/>
      </c>
      <c r="F1574" s="556">
        <f>IF($A1574&gt;BOTT_C4,ROUND(BASE_C4+RATE_C4*($A1574-BOTT_C4),0),IF($A1574&gt;BOTT_C3,ROUND(BASE_C3+RATE_C3*($A1574-BOTT_C3),0),IF($A1574&gt;BOTT_C2,ROUND(BASE_C2+RATE_C2*($A1574-BOTT_C2),0),ROUND(RATE_C1*$A1574,0))))</f>
        <v/>
      </c>
      <c r="G1574" s="556">
        <f>IF($A1574&gt;BOTT_D4,ROUND(BASE_D4+RATE_D4*($A1574-BOTT_D4),0),IF($A1574&gt;BOTT_D3,ROUND(BASE_D3+RATE_D3*($A1574-BOTT_D3),0),IF($A1574&gt;BOTT_D2,ROUND(BASE_D2+RATE_D2*($A1574-BOTT_D2),0),ROUND(RATE_D1*$A1574,0))))</f>
        <v/>
      </c>
    </row>
    <row r="1575" ht="15.75" customHeight="1" s="7635">
      <c r="A1575" s="625">
        <f>AVERAGE(B1575,C1575)</f>
        <v/>
      </c>
      <c r="B1575" s="555" t="n">
        <v>75550</v>
      </c>
      <c r="C1575" s="555" t="n">
        <v>75600</v>
      </c>
      <c r="D1575" s="556">
        <f>IF($A1575&gt;BOTT_A4,ROUND(BASE_A4+RATE_A4*($A1575-BOTT_A4),0),IF($A1575&gt;BOTT_A3,ROUND(BASE_A3+RATE_A3*($A1575-BOTT_A3),0),IF($A1575&gt;BOTT_A2,ROUND(BASE_A2+RATE_A2*($A1575-BOTT_A2),0),ROUND(RATE_A1*$A1575,0))))</f>
        <v/>
      </c>
      <c r="E1575" s="556">
        <f>IF($A1575&gt;BOTT_B4,ROUND(BASE_B4+RATE_B4*($A1575-BOTT_B4),0),IF($A1575&gt;BOTT_B3,ROUND(BASE_B3+RATE_B3*($A1575-BOTT_B3),0),IF($A1575&gt;BOTT_B2,ROUND(BASE_B2+RATE_B2*($A1575-BOTT_B2),0),ROUND(RATE_B1*$A1575,0))))</f>
        <v/>
      </c>
      <c r="F1575" s="556">
        <f>IF($A1575&gt;BOTT_C4,ROUND(BASE_C4+RATE_C4*($A1575-BOTT_C4),0),IF($A1575&gt;BOTT_C3,ROUND(BASE_C3+RATE_C3*($A1575-BOTT_C3),0),IF($A1575&gt;BOTT_C2,ROUND(BASE_C2+RATE_C2*($A1575-BOTT_C2),0),ROUND(RATE_C1*$A1575,0))))</f>
        <v/>
      </c>
      <c r="G1575" s="556">
        <f>IF($A1575&gt;BOTT_D4,ROUND(BASE_D4+RATE_D4*($A1575-BOTT_D4),0),IF($A1575&gt;BOTT_D3,ROUND(BASE_D3+RATE_D3*($A1575-BOTT_D3),0),IF($A1575&gt;BOTT_D2,ROUND(BASE_D2+RATE_D2*($A1575-BOTT_D2),0),ROUND(RATE_D1*$A1575,0))))</f>
        <v/>
      </c>
    </row>
    <row r="1576" ht="15.75" customHeight="1" s="7635">
      <c r="A1576" s="625">
        <f>AVERAGE(B1576,C1576)</f>
        <v/>
      </c>
      <c r="B1576" s="555" t="n">
        <v>75600</v>
      </c>
      <c r="C1576" s="555" t="n">
        <v>75650</v>
      </c>
      <c r="D1576" s="556">
        <f>IF($A1576&gt;BOTT_A4,ROUND(BASE_A4+RATE_A4*($A1576-BOTT_A4),0),IF($A1576&gt;BOTT_A3,ROUND(BASE_A3+RATE_A3*($A1576-BOTT_A3),0),IF($A1576&gt;BOTT_A2,ROUND(BASE_A2+RATE_A2*($A1576-BOTT_A2),0),ROUND(RATE_A1*$A1576,0))))</f>
        <v/>
      </c>
      <c r="E1576" s="556">
        <f>IF($A1576&gt;BOTT_B4,ROUND(BASE_B4+RATE_B4*($A1576-BOTT_B4),0),IF($A1576&gt;BOTT_B3,ROUND(BASE_B3+RATE_B3*($A1576-BOTT_B3),0),IF($A1576&gt;BOTT_B2,ROUND(BASE_B2+RATE_B2*($A1576-BOTT_B2),0),ROUND(RATE_B1*$A1576,0))))</f>
        <v/>
      </c>
      <c r="F1576" s="556">
        <f>IF($A1576&gt;BOTT_C4,ROUND(BASE_C4+RATE_C4*($A1576-BOTT_C4),0),IF($A1576&gt;BOTT_C3,ROUND(BASE_C3+RATE_C3*($A1576-BOTT_C3),0),IF($A1576&gt;BOTT_C2,ROUND(BASE_C2+RATE_C2*($A1576-BOTT_C2),0),ROUND(RATE_C1*$A1576,0))))</f>
        <v/>
      </c>
      <c r="G1576" s="556">
        <f>IF($A1576&gt;BOTT_D4,ROUND(BASE_D4+RATE_D4*($A1576-BOTT_D4),0),IF($A1576&gt;BOTT_D3,ROUND(BASE_D3+RATE_D3*($A1576-BOTT_D3),0),IF($A1576&gt;BOTT_D2,ROUND(BASE_D2+RATE_D2*($A1576-BOTT_D2),0),ROUND(RATE_D1*$A1576,0))))</f>
        <v/>
      </c>
    </row>
    <row r="1577" ht="15.75" customHeight="1" s="7635">
      <c r="A1577" s="625">
        <f>AVERAGE(B1577,C1577)</f>
        <v/>
      </c>
      <c r="B1577" s="555" t="n">
        <v>75650</v>
      </c>
      <c r="C1577" s="555" t="n">
        <v>75700</v>
      </c>
      <c r="D1577" s="556">
        <f>IF($A1577&gt;BOTT_A4,ROUND(BASE_A4+RATE_A4*($A1577-BOTT_A4),0),IF($A1577&gt;BOTT_A3,ROUND(BASE_A3+RATE_A3*($A1577-BOTT_A3),0),IF($A1577&gt;BOTT_A2,ROUND(BASE_A2+RATE_A2*($A1577-BOTT_A2),0),ROUND(RATE_A1*$A1577,0))))</f>
        <v/>
      </c>
      <c r="E1577" s="556">
        <f>IF($A1577&gt;BOTT_B4,ROUND(BASE_B4+RATE_B4*($A1577-BOTT_B4),0),IF($A1577&gt;BOTT_B3,ROUND(BASE_B3+RATE_B3*($A1577-BOTT_B3),0),IF($A1577&gt;BOTT_B2,ROUND(BASE_B2+RATE_B2*($A1577-BOTT_B2),0),ROUND(RATE_B1*$A1577,0))))</f>
        <v/>
      </c>
      <c r="F1577" s="556">
        <f>IF($A1577&gt;BOTT_C4,ROUND(BASE_C4+RATE_C4*($A1577-BOTT_C4),0),IF($A1577&gt;BOTT_C3,ROUND(BASE_C3+RATE_C3*($A1577-BOTT_C3),0),IF($A1577&gt;BOTT_C2,ROUND(BASE_C2+RATE_C2*($A1577-BOTT_C2),0),ROUND(RATE_C1*$A1577,0))))</f>
        <v/>
      </c>
      <c r="G1577" s="556">
        <f>IF($A1577&gt;BOTT_D4,ROUND(BASE_D4+RATE_D4*($A1577-BOTT_D4),0),IF($A1577&gt;BOTT_D3,ROUND(BASE_D3+RATE_D3*($A1577-BOTT_D3),0),IF($A1577&gt;BOTT_D2,ROUND(BASE_D2+RATE_D2*($A1577-BOTT_D2),0),ROUND(RATE_D1*$A1577,0))))</f>
        <v/>
      </c>
    </row>
    <row r="1578" ht="15.75" customHeight="1" s="7635">
      <c r="A1578" s="625">
        <f>AVERAGE(B1578,C1578)</f>
        <v/>
      </c>
      <c r="B1578" s="555" t="n">
        <v>75700</v>
      </c>
      <c r="C1578" s="555" t="n">
        <v>75750</v>
      </c>
      <c r="D1578" s="556">
        <f>IF($A1578&gt;BOTT_A4,ROUND(BASE_A4+RATE_A4*($A1578-BOTT_A4),0),IF($A1578&gt;BOTT_A3,ROUND(BASE_A3+RATE_A3*($A1578-BOTT_A3),0),IF($A1578&gt;BOTT_A2,ROUND(BASE_A2+RATE_A2*($A1578-BOTT_A2),0),ROUND(RATE_A1*$A1578,0))))</f>
        <v/>
      </c>
      <c r="E1578" s="556">
        <f>IF($A1578&gt;BOTT_B4,ROUND(BASE_B4+RATE_B4*($A1578-BOTT_B4),0),IF($A1578&gt;BOTT_B3,ROUND(BASE_B3+RATE_B3*($A1578-BOTT_B3),0),IF($A1578&gt;BOTT_B2,ROUND(BASE_B2+RATE_B2*($A1578-BOTT_B2),0),ROUND(RATE_B1*$A1578,0))))</f>
        <v/>
      </c>
      <c r="F1578" s="556">
        <f>IF($A1578&gt;BOTT_C4,ROUND(BASE_C4+RATE_C4*($A1578-BOTT_C4),0),IF($A1578&gt;BOTT_C3,ROUND(BASE_C3+RATE_C3*($A1578-BOTT_C3),0),IF($A1578&gt;BOTT_C2,ROUND(BASE_C2+RATE_C2*($A1578-BOTT_C2),0),ROUND(RATE_C1*$A1578,0))))</f>
        <v/>
      </c>
      <c r="G1578" s="556">
        <f>IF($A1578&gt;BOTT_D4,ROUND(BASE_D4+RATE_D4*($A1578-BOTT_D4),0),IF($A1578&gt;BOTT_D3,ROUND(BASE_D3+RATE_D3*($A1578-BOTT_D3),0),IF($A1578&gt;BOTT_D2,ROUND(BASE_D2+RATE_D2*($A1578-BOTT_D2),0),ROUND(RATE_D1*$A1578,0))))</f>
        <v/>
      </c>
    </row>
    <row r="1579" ht="15.75" customHeight="1" s="7635">
      <c r="A1579" s="625">
        <f>AVERAGE(B1579,C1579)</f>
        <v/>
      </c>
      <c r="B1579" s="555" t="n">
        <v>75750</v>
      </c>
      <c r="C1579" s="555" t="n">
        <v>75800</v>
      </c>
      <c r="D1579" s="556">
        <f>IF($A1579&gt;BOTT_A4,ROUND(BASE_A4+RATE_A4*($A1579-BOTT_A4),0),IF($A1579&gt;BOTT_A3,ROUND(BASE_A3+RATE_A3*($A1579-BOTT_A3),0),IF($A1579&gt;BOTT_A2,ROUND(BASE_A2+RATE_A2*($A1579-BOTT_A2),0),ROUND(RATE_A1*$A1579,0))))</f>
        <v/>
      </c>
      <c r="E1579" s="556">
        <f>IF($A1579&gt;BOTT_B4,ROUND(BASE_B4+RATE_B4*($A1579-BOTT_B4),0),IF($A1579&gt;BOTT_B3,ROUND(BASE_B3+RATE_B3*($A1579-BOTT_B3),0),IF($A1579&gt;BOTT_B2,ROUND(BASE_B2+RATE_B2*($A1579-BOTT_B2),0),ROUND(RATE_B1*$A1579,0))))</f>
        <v/>
      </c>
      <c r="F1579" s="556">
        <f>IF($A1579&gt;BOTT_C4,ROUND(BASE_C4+RATE_C4*($A1579-BOTT_C4),0),IF($A1579&gt;BOTT_C3,ROUND(BASE_C3+RATE_C3*($A1579-BOTT_C3),0),IF($A1579&gt;BOTT_C2,ROUND(BASE_C2+RATE_C2*($A1579-BOTT_C2),0),ROUND(RATE_C1*$A1579,0))))</f>
        <v/>
      </c>
      <c r="G1579" s="556">
        <f>IF($A1579&gt;BOTT_D4,ROUND(BASE_D4+RATE_D4*($A1579-BOTT_D4),0),IF($A1579&gt;BOTT_D3,ROUND(BASE_D3+RATE_D3*($A1579-BOTT_D3),0),IF($A1579&gt;BOTT_D2,ROUND(BASE_D2+RATE_D2*($A1579-BOTT_D2),0),ROUND(RATE_D1*$A1579,0))))</f>
        <v/>
      </c>
    </row>
    <row r="1580" ht="15.75" customHeight="1" s="7635">
      <c r="A1580" s="625">
        <f>AVERAGE(B1580,C1580)</f>
        <v/>
      </c>
      <c r="B1580" s="555" t="n">
        <v>75800</v>
      </c>
      <c r="C1580" s="555" t="n">
        <v>75850</v>
      </c>
      <c r="D1580" s="556">
        <f>IF($A1580&gt;BOTT_A4,ROUND(BASE_A4+RATE_A4*($A1580-BOTT_A4),0),IF($A1580&gt;BOTT_A3,ROUND(BASE_A3+RATE_A3*($A1580-BOTT_A3),0),IF($A1580&gt;BOTT_A2,ROUND(BASE_A2+RATE_A2*($A1580-BOTT_A2),0),ROUND(RATE_A1*$A1580,0))))</f>
        <v/>
      </c>
      <c r="E1580" s="556">
        <f>IF($A1580&gt;BOTT_B4,ROUND(BASE_B4+RATE_B4*($A1580-BOTT_B4),0),IF($A1580&gt;BOTT_B3,ROUND(BASE_B3+RATE_B3*($A1580-BOTT_B3),0),IF($A1580&gt;BOTT_B2,ROUND(BASE_B2+RATE_B2*($A1580-BOTT_B2),0),ROUND(RATE_B1*$A1580,0))))</f>
        <v/>
      </c>
      <c r="F1580" s="556">
        <f>IF($A1580&gt;BOTT_C4,ROUND(BASE_C4+RATE_C4*($A1580-BOTT_C4),0),IF($A1580&gt;BOTT_C3,ROUND(BASE_C3+RATE_C3*($A1580-BOTT_C3),0),IF($A1580&gt;BOTT_C2,ROUND(BASE_C2+RATE_C2*($A1580-BOTT_C2),0),ROUND(RATE_C1*$A1580,0))))</f>
        <v/>
      </c>
      <c r="G1580" s="556">
        <f>IF($A1580&gt;BOTT_D4,ROUND(BASE_D4+RATE_D4*($A1580-BOTT_D4),0),IF($A1580&gt;BOTT_D3,ROUND(BASE_D3+RATE_D3*($A1580-BOTT_D3),0),IF($A1580&gt;BOTT_D2,ROUND(BASE_D2+RATE_D2*($A1580-BOTT_D2),0),ROUND(RATE_D1*$A1580,0))))</f>
        <v/>
      </c>
    </row>
    <row r="1581" ht="15.75" customHeight="1" s="7635">
      <c r="A1581" s="625">
        <f>AVERAGE(B1581,C1581)</f>
        <v/>
      </c>
      <c r="B1581" s="555" t="n">
        <v>75850</v>
      </c>
      <c r="C1581" s="555" t="n">
        <v>75900</v>
      </c>
      <c r="D1581" s="556">
        <f>IF($A1581&gt;BOTT_A4,ROUND(BASE_A4+RATE_A4*($A1581-BOTT_A4),0),IF($A1581&gt;BOTT_A3,ROUND(BASE_A3+RATE_A3*($A1581-BOTT_A3),0),IF($A1581&gt;BOTT_A2,ROUND(BASE_A2+RATE_A2*($A1581-BOTT_A2),0),ROUND(RATE_A1*$A1581,0))))</f>
        <v/>
      </c>
      <c r="E1581" s="556">
        <f>IF($A1581&gt;BOTT_B4,ROUND(BASE_B4+RATE_B4*($A1581-BOTT_B4),0),IF($A1581&gt;BOTT_B3,ROUND(BASE_B3+RATE_B3*($A1581-BOTT_B3),0),IF($A1581&gt;BOTT_B2,ROUND(BASE_B2+RATE_B2*($A1581-BOTT_B2),0),ROUND(RATE_B1*$A1581,0))))</f>
        <v/>
      </c>
      <c r="F1581" s="556">
        <f>IF($A1581&gt;BOTT_C4,ROUND(BASE_C4+RATE_C4*($A1581-BOTT_C4),0),IF($A1581&gt;BOTT_C3,ROUND(BASE_C3+RATE_C3*($A1581-BOTT_C3),0),IF($A1581&gt;BOTT_C2,ROUND(BASE_C2+RATE_C2*($A1581-BOTT_C2),0),ROUND(RATE_C1*$A1581,0))))</f>
        <v/>
      </c>
      <c r="G1581" s="556">
        <f>IF($A1581&gt;BOTT_D4,ROUND(BASE_D4+RATE_D4*($A1581-BOTT_D4),0),IF($A1581&gt;BOTT_D3,ROUND(BASE_D3+RATE_D3*($A1581-BOTT_D3),0),IF($A1581&gt;BOTT_D2,ROUND(BASE_D2+RATE_D2*($A1581-BOTT_D2),0),ROUND(RATE_D1*$A1581,0))))</f>
        <v/>
      </c>
    </row>
    <row r="1582" ht="15.75" customHeight="1" s="7635">
      <c r="A1582" s="625">
        <f>AVERAGE(B1582,C1582)</f>
        <v/>
      </c>
      <c r="B1582" s="555" t="n">
        <v>75900</v>
      </c>
      <c r="C1582" s="555" t="n">
        <v>75950</v>
      </c>
      <c r="D1582" s="556">
        <f>IF($A1582&gt;BOTT_A4,ROUND(BASE_A4+RATE_A4*($A1582-BOTT_A4),0),IF($A1582&gt;BOTT_A3,ROUND(BASE_A3+RATE_A3*($A1582-BOTT_A3),0),IF($A1582&gt;BOTT_A2,ROUND(BASE_A2+RATE_A2*($A1582-BOTT_A2),0),ROUND(RATE_A1*$A1582,0))))</f>
        <v/>
      </c>
      <c r="E1582" s="556">
        <f>IF($A1582&gt;BOTT_B4,ROUND(BASE_B4+RATE_B4*($A1582-BOTT_B4),0),IF($A1582&gt;BOTT_B3,ROUND(BASE_B3+RATE_B3*($A1582-BOTT_B3),0),IF($A1582&gt;BOTT_B2,ROUND(BASE_B2+RATE_B2*($A1582-BOTT_B2),0),ROUND(RATE_B1*$A1582,0))))</f>
        <v/>
      </c>
      <c r="F1582" s="556">
        <f>IF($A1582&gt;BOTT_C4,ROUND(BASE_C4+RATE_C4*($A1582-BOTT_C4),0),IF($A1582&gt;BOTT_C3,ROUND(BASE_C3+RATE_C3*($A1582-BOTT_C3),0),IF($A1582&gt;BOTT_C2,ROUND(BASE_C2+RATE_C2*($A1582-BOTT_C2),0),ROUND(RATE_C1*$A1582,0))))</f>
        <v/>
      </c>
      <c r="G1582" s="556">
        <f>IF($A1582&gt;BOTT_D4,ROUND(BASE_D4+RATE_D4*($A1582-BOTT_D4),0),IF($A1582&gt;BOTT_D3,ROUND(BASE_D3+RATE_D3*($A1582-BOTT_D3),0),IF($A1582&gt;BOTT_D2,ROUND(BASE_D2+RATE_D2*($A1582-BOTT_D2),0),ROUND(RATE_D1*$A1582,0))))</f>
        <v/>
      </c>
    </row>
    <row r="1583" ht="15.75" customHeight="1" s="7635">
      <c r="A1583" s="625">
        <f>AVERAGE(B1583,C1583)</f>
        <v/>
      </c>
      <c r="B1583" s="555" t="n">
        <v>75950</v>
      </c>
      <c r="C1583" s="555" t="n">
        <v>76000</v>
      </c>
      <c r="D1583" s="556">
        <f>IF($A1583&gt;BOTT_A4,ROUND(BASE_A4+RATE_A4*($A1583-BOTT_A4),0),IF($A1583&gt;BOTT_A3,ROUND(BASE_A3+RATE_A3*($A1583-BOTT_A3),0),IF($A1583&gt;BOTT_A2,ROUND(BASE_A2+RATE_A2*($A1583-BOTT_A2),0),ROUND(RATE_A1*$A1583,0))))</f>
        <v/>
      </c>
      <c r="E1583" s="556">
        <f>IF($A1583&gt;BOTT_B4,ROUND(BASE_B4+RATE_B4*($A1583-BOTT_B4),0),IF($A1583&gt;BOTT_B3,ROUND(BASE_B3+RATE_B3*($A1583-BOTT_B3),0),IF($A1583&gt;BOTT_B2,ROUND(BASE_B2+RATE_B2*($A1583-BOTT_B2),0),ROUND(RATE_B1*$A1583,0))))</f>
        <v/>
      </c>
      <c r="F1583" s="556">
        <f>IF($A1583&gt;BOTT_C4,ROUND(BASE_C4+RATE_C4*($A1583-BOTT_C4),0),IF($A1583&gt;BOTT_C3,ROUND(BASE_C3+RATE_C3*($A1583-BOTT_C3),0),IF($A1583&gt;BOTT_C2,ROUND(BASE_C2+RATE_C2*($A1583-BOTT_C2),0),ROUND(RATE_C1*$A1583,0))))</f>
        <v/>
      </c>
      <c r="G1583" s="556">
        <f>IF($A1583&gt;BOTT_D4,ROUND(BASE_D4+RATE_D4*($A1583-BOTT_D4),0),IF($A1583&gt;BOTT_D3,ROUND(BASE_D3+RATE_D3*($A1583-BOTT_D3),0),IF($A1583&gt;BOTT_D2,ROUND(BASE_D2+RATE_D2*($A1583-BOTT_D2),0),ROUND(RATE_D1*$A1583,0))))</f>
        <v/>
      </c>
    </row>
    <row r="1584" ht="15.75" customHeight="1" s="7635">
      <c r="A1584" s="625">
        <f>AVERAGE(B1584,C1584)</f>
        <v/>
      </c>
      <c r="B1584" s="555" t="n">
        <v>76000</v>
      </c>
      <c r="C1584" s="555" t="n">
        <v>76050</v>
      </c>
      <c r="D1584" s="556">
        <f>IF($A1584&gt;BOTT_A4,ROUND(BASE_A4+RATE_A4*($A1584-BOTT_A4),0),IF($A1584&gt;BOTT_A3,ROUND(BASE_A3+RATE_A3*($A1584-BOTT_A3),0),IF($A1584&gt;BOTT_A2,ROUND(BASE_A2+RATE_A2*($A1584-BOTT_A2),0),ROUND(RATE_A1*$A1584,0))))</f>
        <v/>
      </c>
      <c r="E1584" s="556">
        <f>IF($A1584&gt;BOTT_B4,ROUND(BASE_B4+RATE_B4*($A1584-BOTT_B4),0),IF($A1584&gt;BOTT_B3,ROUND(BASE_B3+RATE_B3*($A1584-BOTT_B3),0),IF($A1584&gt;BOTT_B2,ROUND(BASE_B2+RATE_B2*($A1584-BOTT_B2),0),ROUND(RATE_B1*$A1584,0))))</f>
        <v/>
      </c>
      <c r="F1584" s="556">
        <f>IF($A1584&gt;BOTT_C4,ROUND(BASE_C4+RATE_C4*($A1584-BOTT_C4),0),IF($A1584&gt;BOTT_C3,ROUND(BASE_C3+RATE_C3*($A1584-BOTT_C3),0),IF($A1584&gt;BOTT_C2,ROUND(BASE_C2+RATE_C2*($A1584-BOTT_C2),0),ROUND(RATE_C1*$A1584,0))))</f>
        <v/>
      </c>
      <c r="G1584" s="556">
        <f>IF($A1584&gt;BOTT_D4,ROUND(BASE_D4+RATE_D4*($A1584-BOTT_D4),0),IF($A1584&gt;BOTT_D3,ROUND(BASE_D3+RATE_D3*($A1584-BOTT_D3),0),IF($A1584&gt;BOTT_D2,ROUND(BASE_D2+RATE_D2*($A1584-BOTT_D2),0),ROUND(RATE_D1*$A1584,0))))</f>
        <v/>
      </c>
    </row>
    <row r="1585" ht="15.75" customHeight="1" s="7635">
      <c r="A1585" s="625">
        <f>AVERAGE(B1585,C1585)</f>
        <v/>
      </c>
      <c r="B1585" s="555" t="n">
        <v>76050</v>
      </c>
      <c r="C1585" s="555" t="n">
        <v>76100</v>
      </c>
      <c r="D1585" s="556">
        <f>IF($A1585&gt;BOTT_A4,ROUND(BASE_A4+RATE_A4*($A1585-BOTT_A4),0),IF($A1585&gt;BOTT_A3,ROUND(BASE_A3+RATE_A3*($A1585-BOTT_A3),0),IF($A1585&gt;BOTT_A2,ROUND(BASE_A2+RATE_A2*($A1585-BOTT_A2),0),ROUND(RATE_A1*$A1585,0))))</f>
        <v/>
      </c>
      <c r="E1585" s="556">
        <f>IF($A1585&gt;BOTT_B4,ROUND(BASE_B4+RATE_B4*($A1585-BOTT_B4),0),IF($A1585&gt;BOTT_B3,ROUND(BASE_B3+RATE_B3*($A1585-BOTT_B3),0),IF($A1585&gt;BOTT_B2,ROUND(BASE_B2+RATE_B2*($A1585-BOTT_B2),0),ROUND(RATE_B1*$A1585,0))))</f>
        <v/>
      </c>
      <c r="F1585" s="556">
        <f>IF($A1585&gt;BOTT_C4,ROUND(BASE_C4+RATE_C4*($A1585-BOTT_C4),0),IF($A1585&gt;BOTT_C3,ROUND(BASE_C3+RATE_C3*($A1585-BOTT_C3),0),IF($A1585&gt;BOTT_C2,ROUND(BASE_C2+RATE_C2*($A1585-BOTT_C2),0),ROUND(RATE_C1*$A1585,0))))</f>
        <v/>
      </c>
      <c r="G1585" s="556">
        <f>IF($A1585&gt;BOTT_D4,ROUND(BASE_D4+RATE_D4*($A1585-BOTT_D4),0),IF($A1585&gt;BOTT_D3,ROUND(BASE_D3+RATE_D3*($A1585-BOTT_D3),0),IF($A1585&gt;BOTT_D2,ROUND(BASE_D2+RATE_D2*($A1585-BOTT_D2),0),ROUND(RATE_D1*$A1585,0))))</f>
        <v/>
      </c>
    </row>
    <row r="1586" ht="15.75" customHeight="1" s="7635">
      <c r="A1586" s="625">
        <f>AVERAGE(B1586,C1586)</f>
        <v/>
      </c>
      <c r="B1586" s="555" t="n">
        <v>76100</v>
      </c>
      <c r="C1586" s="555" t="n">
        <v>76150</v>
      </c>
      <c r="D1586" s="556">
        <f>IF($A1586&gt;BOTT_A4,ROUND(BASE_A4+RATE_A4*($A1586-BOTT_A4),0),IF($A1586&gt;BOTT_A3,ROUND(BASE_A3+RATE_A3*($A1586-BOTT_A3),0),IF($A1586&gt;BOTT_A2,ROUND(BASE_A2+RATE_A2*($A1586-BOTT_A2),0),ROUND(RATE_A1*$A1586,0))))</f>
        <v/>
      </c>
      <c r="E1586" s="556">
        <f>IF($A1586&gt;BOTT_B4,ROUND(BASE_B4+RATE_B4*($A1586-BOTT_B4),0),IF($A1586&gt;BOTT_B3,ROUND(BASE_B3+RATE_B3*($A1586-BOTT_B3),0),IF($A1586&gt;BOTT_B2,ROUND(BASE_B2+RATE_B2*($A1586-BOTT_B2),0),ROUND(RATE_B1*$A1586,0))))</f>
        <v/>
      </c>
      <c r="F1586" s="556">
        <f>IF($A1586&gt;BOTT_C4,ROUND(BASE_C4+RATE_C4*($A1586-BOTT_C4),0),IF($A1586&gt;BOTT_C3,ROUND(BASE_C3+RATE_C3*($A1586-BOTT_C3),0),IF($A1586&gt;BOTT_C2,ROUND(BASE_C2+RATE_C2*($A1586-BOTT_C2),0),ROUND(RATE_C1*$A1586,0))))</f>
        <v/>
      </c>
      <c r="G1586" s="556">
        <f>IF($A1586&gt;BOTT_D4,ROUND(BASE_D4+RATE_D4*($A1586-BOTT_D4),0),IF($A1586&gt;BOTT_D3,ROUND(BASE_D3+RATE_D3*($A1586-BOTT_D3),0),IF($A1586&gt;BOTT_D2,ROUND(BASE_D2+RATE_D2*($A1586-BOTT_D2),0),ROUND(RATE_D1*$A1586,0))))</f>
        <v/>
      </c>
    </row>
    <row r="1587" ht="15.75" customHeight="1" s="7635">
      <c r="A1587" s="625">
        <f>AVERAGE(B1587,C1587)</f>
        <v/>
      </c>
      <c r="B1587" s="555" t="n">
        <v>76150</v>
      </c>
      <c r="C1587" s="555" t="n">
        <v>76200</v>
      </c>
      <c r="D1587" s="556">
        <f>IF($A1587&gt;BOTT_A4,ROUND(BASE_A4+RATE_A4*($A1587-BOTT_A4),0),IF($A1587&gt;BOTT_A3,ROUND(BASE_A3+RATE_A3*($A1587-BOTT_A3),0),IF($A1587&gt;BOTT_A2,ROUND(BASE_A2+RATE_A2*($A1587-BOTT_A2),0),ROUND(RATE_A1*$A1587,0))))</f>
        <v/>
      </c>
      <c r="E1587" s="556">
        <f>IF($A1587&gt;BOTT_B4,ROUND(BASE_B4+RATE_B4*($A1587-BOTT_B4),0),IF($A1587&gt;BOTT_B3,ROUND(BASE_B3+RATE_B3*($A1587-BOTT_B3),0),IF($A1587&gt;BOTT_B2,ROUND(BASE_B2+RATE_B2*($A1587-BOTT_B2),0),ROUND(RATE_B1*$A1587,0))))</f>
        <v/>
      </c>
      <c r="F1587" s="556">
        <f>IF($A1587&gt;BOTT_C4,ROUND(BASE_C4+RATE_C4*($A1587-BOTT_C4),0),IF($A1587&gt;BOTT_C3,ROUND(BASE_C3+RATE_C3*($A1587-BOTT_C3),0),IF($A1587&gt;BOTT_C2,ROUND(BASE_C2+RATE_C2*($A1587-BOTT_C2),0),ROUND(RATE_C1*$A1587,0))))</f>
        <v/>
      </c>
      <c r="G1587" s="556">
        <f>IF($A1587&gt;BOTT_D4,ROUND(BASE_D4+RATE_D4*($A1587-BOTT_D4),0),IF($A1587&gt;BOTT_D3,ROUND(BASE_D3+RATE_D3*($A1587-BOTT_D3),0),IF($A1587&gt;BOTT_D2,ROUND(BASE_D2+RATE_D2*($A1587-BOTT_D2),0),ROUND(RATE_D1*$A1587,0))))</f>
        <v/>
      </c>
    </row>
    <row r="1588" ht="15.75" customHeight="1" s="7635">
      <c r="A1588" s="625">
        <f>AVERAGE(B1588,C1588)</f>
        <v/>
      </c>
      <c r="B1588" s="555" t="n">
        <v>76200</v>
      </c>
      <c r="C1588" s="555" t="n">
        <v>76250</v>
      </c>
      <c r="D1588" s="556">
        <f>IF($A1588&gt;BOTT_A4,ROUND(BASE_A4+RATE_A4*($A1588-BOTT_A4),0),IF($A1588&gt;BOTT_A3,ROUND(BASE_A3+RATE_A3*($A1588-BOTT_A3),0),IF($A1588&gt;BOTT_A2,ROUND(BASE_A2+RATE_A2*($A1588-BOTT_A2),0),ROUND(RATE_A1*$A1588,0))))</f>
        <v/>
      </c>
      <c r="E1588" s="556">
        <f>IF($A1588&gt;BOTT_B4,ROUND(BASE_B4+RATE_B4*($A1588-BOTT_B4),0),IF($A1588&gt;BOTT_B3,ROUND(BASE_B3+RATE_B3*($A1588-BOTT_B3),0),IF($A1588&gt;BOTT_B2,ROUND(BASE_B2+RATE_B2*($A1588-BOTT_B2),0),ROUND(RATE_B1*$A1588,0))))</f>
        <v/>
      </c>
      <c r="F1588" s="556">
        <f>IF($A1588&gt;BOTT_C4,ROUND(BASE_C4+RATE_C4*($A1588-BOTT_C4),0),IF($A1588&gt;BOTT_C3,ROUND(BASE_C3+RATE_C3*($A1588-BOTT_C3),0),IF($A1588&gt;BOTT_C2,ROUND(BASE_C2+RATE_C2*($A1588-BOTT_C2),0),ROUND(RATE_C1*$A1588,0))))</f>
        <v/>
      </c>
      <c r="G1588" s="556">
        <f>IF($A1588&gt;BOTT_D4,ROUND(BASE_D4+RATE_D4*($A1588-BOTT_D4),0),IF($A1588&gt;BOTT_D3,ROUND(BASE_D3+RATE_D3*($A1588-BOTT_D3),0),IF($A1588&gt;BOTT_D2,ROUND(BASE_D2+RATE_D2*($A1588-BOTT_D2),0),ROUND(RATE_D1*$A1588,0))))</f>
        <v/>
      </c>
    </row>
    <row r="1589" ht="15.75" customHeight="1" s="7635">
      <c r="A1589" s="625">
        <f>AVERAGE(B1589,C1589)</f>
        <v/>
      </c>
      <c r="B1589" s="555" t="n">
        <v>76250</v>
      </c>
      <c r="C1589" s="555" t="n">
        <v>76300</v>
      </c>
      <c r="D1589" s="556">
        <f>IF($A1589&gt;BOTT_A4,ROUND(BASE_A4+RATE_A4*($A1589-BOTT_A4),0),IF($A1589&gt;BOTT_A3,ROUND(BASE_A3+RATE_A3*($A1589-BOTT_A3),0),IF($A1589&gt;BOTT_A2,ROUND(BASE_A2+RATE_A2*($A1589-BOTT_A2),0),ROUND(RATE_A1*$A1589,0))))</f>
        <v/>
      </c>
      <c r="E1589" s="556">
        <f>IF($A1589&gt;BOTT_B4,ROUND(BASE_B4+RATE_B4*($A1589-BOTT_B4),0),IF($A1589&gt;BOTT_B3,ROUND(BASE_B3+RATE_B3*($A1589-BOTT_B3),0),IF($A1589&gt;BOTT_B2,ROUND(BASE_B2+RATE_B2*($A1589-BOTT_B2),0),ROUND(RATE_B1*$A1589,0))))</f>
        <v/>
      </c>
      <c r="F1589" s="556">
        <f>IF($A1589&gt;BOTT_C4,ROUND(BASE_C4+RATE_C4*($A1589-BOTT_C4),0),IF($A1589&gt;BOTT_C3,ROUND(BASE_C3+RATE_C3*($A1589-BOTT_C3),0),IF($A1589&gt;BOTT_C2,ROUND(BASE_C2+RATE_C2*($A1589-BOTT_C2),0),ROUND(RATE_C1*$A1589,0))))</f>
        <v/>
      </c>
      <c r="G1589" s="556">
        <f>IF($A1589&gt;BOTT_D4,ROUND(BASE_D4+RATE_D4*($A1589-BOTT_D4),0),IF($A1589&gt;BOTT_D3,ROUND(BASE_D3+RATE_D3*($A1589-BOTT_D3),0),IF($A1589&gt;BOTT_D2,ROUND(BASE_D2+RATE_D2*($A1589-BOTT_D2),0),ROUND(RATE_D1*$A1589,0))))</f>
        <v/>
      </c>
    </row>
    <row r="1590" ht="15.75" customHeight="1" s="7635">
      <c r="A1590" s="625">
        <f>AVERAGE(B1590,C1590)</f>
        <v/>
      </c>
      <c r="B1590" s="555" t="n">
        <v>76300</v>
      </c>
      <c r="C1590" s="555" t="n">
        <v>76350</v>
      </c>
      <c r="D1590" s="556">
        <f>IF($A1590&gt;BOTT_A4,ROUND(BASE_A4+RATE_A4*($A1590-BOTT_A4),0),IF($A1590&gt;BOTT_A3,ROUND(BASE_A3+RATE_A3*($A1590-BOTT_A3),0),IF($A1590&gt;BOTT_A2,ROUND(BASE_A2+RATE_A2*($A1590-BOTT_A2),0),ROUND(RATE_A1*$A1590,0))))</f>
        <v/>
      </c>
      <c r="E1590" s="556">
        <f>IF($A1590&gt;BOTT_B4,ROUND(BASE_B4+RATE_B4*($A1590-BOTT_B4),0),IF($A1590&gt;BOTT_B3,ROUND(BASE_B3+RATE_B3*($A1590-BOTT_B3),0),IF($A1590&gt;BOTT_B2,ROUND(BASE_B2+RATE_B2*($A1590-BOTT_B2),0),ROUND(RATE_B1*$A1590,0))))</f>
        <v/>
      </c>
      <c r="F1590" s="556">
        <f>IF($A1590&gt;BOTT_C4,ROUND(BASE_C4+RATE_C4*($A1590-BOTT_C4),0),IF($A1590&gt;BOTT_C3,ROUND(BASE_C3+RATE_C3*($A1590-BOTT_C3),0),IF($A1590&gt;BOTT_C2,ROUND(BASE_C2+RATE_C2*($A1590-BOTT_C2),0),ROUND(RATE_C1*$A1590,0))))</f>
        <v/>
      </c>
      <c r="G1590" s="556">
        <f>IF($A1590&gt;BOTT_D4,ROUND(BASE_D4+RATE_D4*($A1590-BOTT_D4),0),IF($A1590&gt;BOTT_D3,ROUND(BASE_D3+RATE_D3*($A1590-BOTT_D3),0),IF($A1590&gt;BOTT_D2,ROUND(BASE_D2+RATE_D2*($A1590-BOTT_D2),0),ROUND(RATE_D1*$A1590,0))))</f>
        <v/>
      </c>
    </row>
    <row r="1591" ht="15.75" customHeight="1" s="7635">
      <c r="A1591" s="625">
        <f>AVERAGE(B1591,C1591)</f>
        <v/>
      </c>
      <c r="B1591" s="555" t="n">
        <v>76350</v>
      </c>
      <c r="C1591" s="555" t="n">
        <v>76400</v>
      </c>
      <c r="D1591" s="556">
        <f>IF($A1591&gt;BOTT_A4,ROUND(BASE_A4+RATE_A4*($A1591-BOTT_A4),0),IF($A1591&gt;BOTT_A3,ROUND(BASE_A3+RATE_A3*($A1591-BOTT_A3),0),IF($A1591&gt;BOTT_A2,ROUND(BASE_A2+RATE_A2*($A1591-BOTT_A2),0),ROUND(RATE_A1*$A1591,0))))</f>
        <v/>
      </c>
      <c r="E1591" s="556">
        <f>IF($A1591&gt;BOTT_B4,ROUND(BASE_B4+RATE_B4*($A1591-BOTT_B4),0),IF($A1591&gt;BOTT_B3,ROUND(BASE_B3+RATE_B3*($A1591-BOTT_B3),0),IF($A1591&gt;BOTT_B2,ROUND(BASE_B2+RATE_B2*($A1591-BOTT_B2),0),ROUND(RATE_B1*$A1591,0))))</f>
        <v/>
      </c>
      <c r="F1591" s="556">
        <f>IF($A1591&gt;BOTT_C4,ROUND(BASE_C4+RATE_C4*($A1591-BOTT_C4),0),IF($A1591&gt;BOTT_C3,ROUND(BASE_C3+RATE_C3*($A1591-BOTT_C3),0),IF($A1591&gt;BOTT_C2,ROUND(BASE_C2+RATE_C2*($A1591-BOTT_C2),0),ROUND(RATE_C1*$A1591,0))))</f>
        <v/>
      </c>
      <c r="G1591" s="556">
        <f>IF($A1591&gt;BOTT_D4,ROUND(BASE_D4+RATE_D4*($A1591-BOTT_D4),0),IF($A1591&gt;BOTT_D3,ROUND(BASE_D3+RATE_D3*($A1591-BOTT_D3),0),IF($A1591&gt;BOTT_D2,ROUND(BASE_D2+RATE_D2*($A1591-BOTT_D2),0),ROUND(RATE_D1*$A1591,0))))</f>
        <v/>
      </c>
    </row>
    <row r="1592" ht="15.75" customHeight="1" s="7635">
      <c r="A1592" s="625">
        <f>AVERAGE(B1592,C1592)</f>
        <v/>
      </c>
      <c r="B1592" s="555" t="n">
        <v>76400</v>
      </c>
      <c r="C1592" s="555" t="n">
        <v>76450</v>
      </c>
      <c r="D1592" s="556">
        <f>IF($A1592&gt;BOTT_A4,ROUND(BASE_A4+RATE_A4*($A1592-BOTT_A4),0),IF($A1592&gt;BOTT_A3,ROUND(BASE_A3+RATE_A3*($A1592-BOTT_A3),0),IF($A1592&gt;BOTT_A2,ROUND(BASE_A2+RATE_A2*($A1592-BOTT_A2),0),ROUND(RATE_A1*$A1592,0))))</f>
        <v/>
      </c>
      <c r="E1592" s="556">
        <f>IF($A1592&gt;BOTT_B4,ROUND(BASE_B4+RATE_B4*($A1592-BOTT_B4),0),IF($A1592&gt;BOTT_B3,ROUND(BASE_B3+RATE_B3*($A1592-BOTT_B3),0),IF($A1592&gt;BOTT_B2,ROUND(BASE_B2+RATE_B2*($A1592-BOTT_B2),0),ROUND(RATE_B1*$A1592,0))))</f>
        <v/>
      </c>
      <c r="F1592" s="556">
        <f>IF($A1592&gt;BOTT_C4,ROUND(BASE_C4+RATE_C4*($A1592-BOTT_C4),0),IF($A1592&gt;BOTT_C3,ROUND(BASE_C3+RATE_C3*($A1592-BOTT_C3),0),IF($A1592&gt;BOTT_C2,ROUND(BASE_C2+RATE_C2*($A1592-BOTT_C2),0),ROUND(RATE_C1*$A1592,0))))</f>
        <v/>
      </c>
      <c r="G1592" s="556">
        <f>IF($A1592&gt;BOTT_D4,ROUND(BASE_D4+RATE_D4*($A1592-BOTT_D4),0),IF($A1592&gt;BOTT_D3,ROUND(BASE_D3+RATE_D3*($A1592-BOTT_D3),0),IF($A1592&gt;BOTT_D2,ROUND(BASE_D2+RATE_D2*($A1592-BOTT_D2),0),ROUND(RATE_D1*$A1592,0))))</f>
        <v/>
      </c>
    </row>
    <row r="1593" ht="15.75" customHeight="1" s="7635">
      <c r="A1593" s="625">
        <f>AVERAGE(B1593,C1593)</f>
        <v/>
      </c>
      <c r="B1593" s="555" t="n">
        <v>76450</v>
      </c>
      <c r="C1593" s="555" t="n">
        <v>76500</v>
      </c>
      <c r="D1593" s="556">
        <f>IF($A1593&gt;BOTT_A4,ROUND(BASE_A4+RATE_A4*($A1593-BOTT_A4),0),IF($A1593&gt;BOTT_A3,ROUND(BASE_A3+RATE_A3*($A1593-BOTT_A3),0),IF($A1593&gt;BOTT_A2,ROUND(BASE_A2+RATE_A2*($A1593-BOTT_A2),0),ROUND(RATE_A1*$A1593,0))))</f>
        <v/>
      </c>
      <c r="E1593" s="556">
        <f>IF($A1593&gt;BOTT_B4,ROUND(BASE_B4+RATE_B4*($A1593-BOTT_B4),0),IF($A1593&gt;BOTT_B3,ROUND(BASE_B3+RATE_B3*($A1593-BOTT_B3),0),IF($A1593&gt;BOTT_B2,ROUND(BASE_B2+RATE_B2*($A1593-BOTT_B2),0),ROUND(RATE_B1*$A1593,0))))</f>
        <v/>
      </c>
      <c r="F1593" s="556">
        <f>IF($A1593&gt;BOTT_C4,ROUND(BASE_C4+RATE_C4*($A1593-BOTT_C4),0),IF($A1593&gt;BOTT_C3,ROUND(BASE_C3+RATE_C3*($A1593-BOTT_C3),0),IF($A1593&gt;BOTT_C2,ROUND(BASE_C2+RATE_C2*($A1593-BOTT_C2),0),ROUND(RATE_C1*$A1593,0))))</f>
        <v/>
      </c>
      <c r="G1593" s="556">
        <f>IF($A1593&gt;BOTT_D4,ROUND(BASE_D4+RATE_D4*($A1593-BOTT_D4),0),IF($A1593&gt;BOTT_D3,ROUND(BASE_D3+RATE_D3*($A1593-BOTT_D3),0),IF($A1593&gt;BOTT_D2,ROUND(BASE_D2+RATE_D2*($A1593-BOTT_D2),0),ROUND(RATE_D1*$A1593,0))))</f>
        <v/>
      </c>
    </row>
    <row r="1594" ht="15.75" customHeight="1" s="7635">
      <c r="A1594" s="625">
        <f>AVERAGE(B1594,C1594)</f>
        <v/>
      </c>
      <c r="B1594" s="555" t="n">
        <v>76500</v>
      </c>
      <c r="C1594" s="555" t="n">
        <v>76550</v>
      </c>
      <c r="D1594" s="556">
        <f>IF($A1594&gt;BOTT_A4,ROUND(BASE_A4+RATE_A4*($A1594-BOTT_A4),0),IF($A1594&gt;BOTT_A3,ROUND(BASE_A3+RATE_A3*($A1594-BOTT_A3),0),IF($A1594&gt;BOTT_A2,ROUND(BASE_A2+RATE_A2*($A1594-BOTT_A2),0),ROUND(RATE_A1*$A1594,0))))</f>
        <v/>
      </c>
      <c r="E1594" s="556">
        <f>IF($A1594&gt;BOTT_B4,ROUND(BASE_B4+RATE_B4*($A1594-BOTT_B4),0),IF($A1594&gt;BOTT_B3,ROUND(BASE_B3+RATE_B3*($A1594-BOTT_B3),0),IF($A1594&gt;BOTT_B2,ROUND(BASE_B2+RATE_B2*($A1594-BOTT_B2),0),ROUND(RATE_B1*$A1594,0))))</f>
        <v/>
      </c>
      <c r="F1594" s="556">
        <f>IF($A1594&gt;BOTT_C4,ROUND(BASE_C4+RATE_C4*($A1594-BOTT_C4),0),IF($A1594&gt;BOTT_C3,ROUND(BASE_C3+RATE_C3*($A1594-BOTT_C3),0),IF($A1594&gt;BOTT_C2,ROUND(BASE_C2+RATE_C2*($A1594-BOTT_C2),0),ROUND(RATE_C1*$A1594,0))))</f>
        <v/>
      </c>
      <c r="G1594" s="556">
        <f>IF($A1594&gt;BOTT_D4,ROUND(BASE_D4+RATE_D4*($A1594-BOTT_D4),0),IF($A1594&gt;BOTT_D3,ROUND(BASE_D3+RATE_D3*($A1594-BOTT_D3),0),IF($A1594&gt;BOTT_D2,ROUND(BASE_D2+RATE_D2*($A1594-BOTT_D2),0),ROUND(RATE_D1*$A1594,0))))</f>
        <v/>
      </c>
    </row>
    <row r="1595" ht="15.75" customHeight="1" s="7635">
      <c r="A1595" s="625">
        <f>AVERAGE(B1595,C1595)</f>
        <v/>
      </c>
      <c r="B1595" s="555" t="n">
        <v>76550</v>
      </c>
      <c r="C1595" s="555" t="n">
        <v>76600</v>
      </c>
      <c r="D1595" s="556">
        <f>IF($A1595&gt;BOTT_A4,ROUND(BASE_A4+RATE_A4*($A1595-BOTT_A4),0),IF($A1595&gt;BOTT_A3,ROUND(BASE_A3+RATE_A3*($A1595-BOTT_A3),0),IF($A1595&gt;BOTT_A2,ROUND(BASE_A2+RATE_A2*($A1595-BOTT_A2),0),ROUND(RATE_A1*$A1595,0))))</f>
        <v/>
      </c>
      <c r="E1595" s="556">
        <f>IF($A1595&gt;BOTT_B4,ROUND(BASE_B4+RATE_B4*($A1595-BOTT_B4),0),IF($A1595&gt;BOTT_B3,ROUND(BASE_B3+RATE_B3*($A1595-BOTT_B3),0),IF($A1595&gt;BOTT_B2,ROUND(BASE_B2+RATE_B2*($A1595-BOTT_B2),0),ROUND(RATE_B1*$A1595,0))))</f>
        <v/>
      </c>
      <c r="F1595" s="556">
        <f>IF($A1595&gt;BOTT_C4,ROUND(BASE_C4+RATE_C4*($A1595-BOTT_C4),0),IF($A1595&gt;BOTT_C3,ROUND(BASE_C3+RATE_C3*($A1595-BOTT_C3),0),IF($A1595&gt;BOTT_C2,ROUND(BASE_C2+RATE_C2*($A1595-BOTT_C2),0),ROUND(RATE_C1*$A1595,0))))</f>
        <v/>
      </c>
      <c r="G1595" s="556">
        <f>IF($A1595&gt;BOTT_D4,ROUND(BASE_D4+RATE_D4*($A1595-BOTT_D4),0),IF($A1595&gt;BOTT_D3,ROUND(BASE_D3+RATE_D3*($A1595-BOTT_D3),0),IF($A1595&gt;BOTT_D2,ROUND(BASE_D2+RATE_D2*($A1595-BOTT_D2),0),ROUND(RATE_D1*$A1595,0))))</f>
        <v/>
      </c>
    </row>
    <row r="1596" ht="15.75" customHeight="1" s="7635">
      <c r="A1596" s="625">
        <f>AVERAGE(B1596,C1596)</f>
        <v/>
      </c>
      <c r="B1596" s="555" t="n">
        <v>76600</v>
      </c>
      <c r="C1596" s="555" t="n">
        <v>76650</v>
      </c>
      <c r="D1596" s="556">
        <f>IF($A1596&gt;BOTT_A4,ROUND(BASE_A4+RATE_A4*($A1596-BOTT_A4),0),IF($A1596&gt;BOTT_A3,ROUND(BASE_A3+RATE_A3*($A1596-BOTT_A3),0),IF($A1596&gt;BOTT_A2,ROUND(BASE_A2+RATE_A2*($A1596-BOTT_A2),0),ROUND(RATE_A1*$A1596,0))))</f>
        <v/>
      </c>
      <c r="E1596" s="556">
        <f>IF($A1596&gt;BOTT_B4,ROUND(BASE_B4+RATE_B4*($A1596-BOTT_B4),0),IF($A1596&gt;BOTT_B3,ROUND(BASE_B3+RATE_B3*($A1596-BOTT_B3),0),IF($A1596&gt;BOTT_B2,ROUND(BASE_B2+RATE_B2*($A1596-BOTT_B2),0),ROUND(RATE_B1*$A1596,0))))</f>
        <v/>
      </c>
      <c r="F1596" s="556">
        <f>IF($A1596&gt;BOTT_C4,ROUND(BASE_C4+RATE_C4*($A1596-BOTT_C4),0),IF($A1596&gt;BOTT_C3,ROUND(BASE_C3+RATE_C3*($A1596-BOTT_C3),0),IF($A1596&gt;BOTT_C2,ROUND(BASE_C2+RATE_C2*($A1596-BOTT_C2),0),ROUND(RATE_C1*$A1596,0))))</f>
        <v/>
      </c>
      <c r="G1596" s="556">
        <f>IF($A1596&gt;BOTT_D4,ROUND(BASE_D4+RATE_D4*($A1596-BOTT_D4),0),IF($A1596&gt;BOTT_D3,ROUND(BASE_D3+RATE_D3*($A1596-BOTT_D3),0),IF($A1596&gt;BOTT_D2,ROUND(BASE_D2+RATE_D2*($A1596-BOTT_D2),0),ROUND(RATE_D1*$A1596,0))))</f>
        <v/>
      </c>
    </row>
    <row r="1597" ht="15.75" customHeight="1" s="7635">
      <c r="A1597" s="625">
        <f>AVERAGE(B1597,C1597)</f>
        <v/>
      </c>
      <c r="B1597" s="555" t="n">
        <v>76650</v>
      </c>
      <c r="C1597" s="555" t="n">
        <v>76700</v>
      </c>
      <c r="D1597" s="556">
        <f>IF($A1597&gt;BOTT_A4,ROUND(BASE_A4+RATE_A4*($A1597-BOTT_A4),0),IF($A1597&gt;BOTT_A3,ROUND(BASE_A3+RATE_A3*($A1597-BOTT_A3),0),IF($A1597&gt;BOTT_A2,ROUND(BASE_A2+RATE_A2*($A1597-BOTT_A2),0),ROUND(RATE_A1*$A1597,0))))</f>
        <v/>
      </c>
      <c r="E1597" s="556">
        <f>IF($A1597&gt;BOTT_B4,ROUND(BASE_B4+RATE_B4*($A1597-BOTT_B4),0),IF($A1597&gt;BOTT_B3,ROUND(BASE_B3+RATE_B3*($A1597-BOTT_B3),0),IF($A1597&gt;BOTT_B2,ROUND(BASE_B2+RATE_B2*($A1597-BOTT_B2),0),ROUND(RATE_B1*$A1597,0))))</f>
        <v/>
      </c>
      <c r="F1597" s="556">
        <f>IF($A1597&gt;BOTT_C4,ROUND(BASE_C4+RATE_C4*($A1597-BOTT_C4),0),IF($A1597&gt;BOTT_C3,ROUND(BASE_C3+RATE_C3*($A1597-BOTT_C3),0),IF($A1597&gt;BOTT_C2,ROUND(BASE_C2+RATE_C2*($A1597-BOTT_C2),0),ROUND(RATE_C1*$A1597,0))))</f>
        <v/>
      </c>
      <c r="G1597" s="556">
        <f>IF($A1597&gt;BOTT_D4,ROUND(BASE_D4+RATE_D4*($A1597-BOTT_D4),0),IF($A1597&gt;BOTT_D3,ROUND(BASE_D3+RATE_D3*($A1597-BOTT_D3),0),IF($A1597&gt;BOTT_D2,ROUND(BASE_D2+RATE_D2*($A1597-BOTT_D2),0),ROUND(RATE_D1*$A1597,0))))</f>
        <v/>
      </c>
    </row>
    <row r="1598" ht="15.75" customHeight="1" s="7635">
      <c r="A1598" s="625">
        <f>AVERAGE(B1598,C1598)</f>
        <v/>
      </c>
      <c r="B1598" s="555" t="n">
        <v>76700</v>
      </c>
      <c r="C1598" s="555" t="n">
        <v>76750</v>
      </c>
      <c r="D1598" s="556">
        <f>IF($A1598&gt;BOTT_A4,ROUND(BASE_A4+RATE_A4*($A1598-BOTT_A4),0),IF($A1598&gt;BOTT_A3,ROUND(BASE_A3+RATE_A3*($A1598-BOTT_A3),0),IF($A1598&gt;BOTT_A2,ROUND(BASE_A2+RATE_A2*($A1598-BOTT_A2),0),ROUND(RATE_A1*$A1598,0))))</f>
        <v/>
      </c>
      <c r="E1598" s="556">
        <f>IF($A1598&gt;BOTT_B4,ROUND(BASE_B4+RATE_B4*($A1598-BOTT_B4),0),IF($A1598&gt;BOTT_B3,ROUND(BASE_B3+RATE_B3*($A1598-BOTT_B3),0),IF($A1598&gt;BOTT_B2,ROUND(BASE_B2+RATE_B2*($A1598-BOTT_B2),0),ROUND(RATE_B1*$A1598,0))))</f>
        <v/>
      </c>
      <c r="F1598" s="556">
        <f>IF($A1598&gt;BOTT_C4,ROUND(BASE_C4+RATE_C4*($A1598-BOTT_C4),0),IF($A1598&gt;BOTT_C3,ROUND(BASE_C3+RATE_C3*($A1598-BOTT_C3),0),IF($A1598&gt;BOTT_C2,ROUND(BASE_C2+RATE_C2*($A1598-BOTT_C2),0),ROUND(RATE_C1*$A1598,0))))</f>
        <v/>
      </c>
      <c r="G1598" s="556">
        <f>IF($A1598&gt;BOTT_D4,ROUND(BASE_D4+RATE_D4*($A1598-BOTT_D4),0),IF($A1598&gt;BOTT_D3,ROUND(BASE_D3+RATE_D3*($A1598-BOTT_D3),0),IF($A1598&gt;BOTT_D2,ROUND(BASE_D2+RATE_D2*($A1598-BOTT_D2),0),ROUND(RATE_D1*$A1598,0))))</f>
        <v/>
      </c>
    </row>
    <row r="1599" ht="15.75" customHeight="1" s="7635">
      <c r="A1599" s="625">
        <f>AVERAGE(B1599,C1599)</f>
        <v/>
      </c>
      <c r="B1599" s="555" t="n">
        <v>76750</v>
      </c>
      <c r="C1599" s="555" t="n">
        <v>76800</v>
      </c>
      <c r="D1599" s="556">
        <f>IF($A1599&gt;BOTT_A4,ROUND(BASE_A4+RATE_A4*($A1599-BOTT_A4),0),IF($A1599&gt;BOTT_A3,ROUND(BASE_A3+RATE_A3*($A1599-BOTT_A3),0),IF($A1599&gt;BOTT_A2,ROUND(BASE_A2+RATE_A2*($A1599-BOTT_A2),0),ROUND(RATE_A1*$A1599,0))))</f>
        <v/>
      </c>
      <c r="E1599" s="556">
        <f>IF($A1599&gt;BOTT_B4,ROUND(BASE_B4+RATE_B4*($A1599-BOTT_B4),0),IF($A1599&gt;BOTT_B3,ROUND(BASE_B3+RATE_B3*($A1599-BOTT_B3),0),IF($A1599&gt;BOTT_B2,ROUND(BASE_B2+RATE_B2*($A1599-BOTT_B2),0),ROUND(RATE_B1*$A1599,0))))</f>
        <v/>
      </c>
      <c r="F1599" s="556">
        <f>IF($A1599&gt;BOTT_C4,ROUND(BASE_C4+RATE_C4*($A1599-BOTT_C4),0),IF($A1599&gt;BOTT_C3,ROUND(BASE_C3+RATE_C3*($A1599-BOTT_C3),0),IF($A1599&gt;BOTT_C2,ROUND(BASE_C2+RATE_C2*($A1599-BOTT_C2),0),ROUND(RATE_C1*$A1599,0))))</f>
        <v/>
      </c>
      <c r="G1599" s="556">
        <f>IF($A1599&gt;BOTT_D4,ROUND(BASE_D4+RATE_D4*($A1599-BOTT_D4),0),IF($A1599&gt;BOTT_D3,ROUND(BASE_D3+RATE_D3*($A1599-BOTT_D3),0),IF($A1599&gt;BOTT_D2,ROUND(BASE_D2+RATE_D2*($A1599-BOTT_D2),0),ROUND(RATE_D1*$A1599,0))))</f>
        <v/>
      </c>
    </row>
    <row r="1600" ht="15.75" customHeight="1" s="7635">
      <c r="A1600" s="625">
        <f>AVERAGE(B1600,C1600)</f>
        <v/>
      </c>
      <c r="B1600" s="555" t="n">
        <v>76800</v>
      </c>
      <c r="C1600" s="555" t="n">
        <v>76850</v>
      </c>
      <c r="D1600" s="556">
        <f>IF($A1600&gt;BOTT_A4,ROUND(BASE_A4+RATE_A4*($A1600-BOTT_A4),0),IF($A1600&gt;BOTT_A3,ROUND(BASE_A3+RATE_A3*($A1600-BOTT_A3),0),IF($A1600&gt;BOTT_A2,ROUND(BASE_A2+RATE_A2*($A1600-BOTT_A2),0),ROUND(RATE_A1*$A1600,0))))</f>
        <v/>
      </c>
      <c r="E1600" s="556">
        <f>IF($A1600&gt;BOTT_B4,ROUND(BASE_B4+RATE_B4*($A1600-BOTT_B4),0),IF($A1600&gt;BOTT_B3,ROUND(BASE_B3+RATE_B3*($A1600-BOTT_B3),0),IF($A1600&gt;BOTT_B2,ROUND(BASE_B2+RATE_B2*($A1600-BOTT_B2),0),ROUND(RATE_B1*$A1600,0))))</f>
        <v/>
      </c>
      <c r="F1600" s="556">
        <f>IF($A1600&gt;BOTT_C4,ROUND(BASE_C4+RATE_C4*($A1600-BOTT_C4),0),IF($A1600&gt;BOTT_C3,ROUND(BASE_C3+RATE_C3*($A1600-BOTT_C3),0),IF($A1600&gt;BOTT_C2,ROUND(BASE_C2+RATE_C2*($A1600-BOTT_C2),0),ROUND(RATE_C1*$A1600,0))))</f>
        <v/>
      </c>
      <c r="G1600" s="556">
        <f>IF($A1600&gt;BOTT_D4,ROUND(BASE_D4+RATE_D4*($A1600-BOTT_D4),0),IF($A1600&gt;BOTT_D3,ROUND(BASE_D3+RATE_D3*($A1600-BOTT_D3),0),IF($A1600&gt;BOTT_D2,ROUND(BASE_D2+RATE_D2*($A1600-BOTT_D2),0),ROUND(RATE_D1*$A1600,0))))</f>
        <v/>
      </c>
    </row>
    <row r="1601" ht="15.75" customHeight="1" s="7635">
      <c r="A1601" s="625">
        <f>AVERAGE(B1601,C1601)</f>
        <v/>
      </c>
      <c r="B1601" s="555" t="n">
        <v>76850</v>
      </c>
      <c r="C1601" s="555" t="n">
        <v>76900</v>
      </c>
      <c r="D1601" s="556">
        <f>IF($A1601&gt;BOTT_A4,ROUND(BASE_A4+RATE_A4*($A1601-BOTT_A4),0),IF($A1601&gt;BOTT_A3,ROUND(BASE_A3+RATE_A3*($A1601-BOTT_A3),0),IF($A1601&gt;BOTT_A2,ROUND(BASE_A2+RATE_A2*($A1601-BOTT_A2),0),ROUND(RATE_A1*$A1601,0))))</f>
        <v/>
      </c>
      <c r="E1601" s="556">
        <f>IF($A1601&gt;BOTT_B4,ROUND(BASE_B4+RATE_B4*($A1601-BOTT_B4),0),IF($A1601&gt;BOTT_B3,ROUND(BASE_B3+RATE_B3*($A1601-BOTT_B3),0),IF($A1601&gt;BOTT_B2,ROUND(BASE_B2+RATE_B2*($A1601-BOTT_B2),0),ROUND(RATE_B1*$A1601,0))))</f>
        <v/>
      </c>
      <c r="F1601" s="556">
        <f>IF($A1601&gt;BOTT_C4,ROUND(BASE_C4+RATE_C4*($A1601-BOTT_C4),0),IF($A1601&gt;BOTT_C3,ROUND(BASE_C3+RATE_C3*($A1601-BOTT_C3),0),IF($A1601&gt;BOTT_C2,ROUND(BASE_C2+RATE_C2*($A1601-BOTT_C2),0),ROUND(RATE_C1*$A1601,0))))</f>
        <v/>
      </c>
      <c r="G1601" s="556">
        <f>IF($A1601&gt;BOTT_D4,ROUND(BASE_D4+RATE_D4*($A1601-BOTT_D4),0),IF($A1601&gt;BOTT_D3,ROUND(BASE_D3+RATE_D3*($A1601-BOTT_D3),0),IF($A1601&gt;BOTT_D2,ROUND(BASE_D2+RATE_D2*($A1601-BOTT_D2),0),ROUND(RATE_D1*$A1601,0))))</f>
        <v/>
      </c>
    </row>
    <row r="1602" ht="15.75" customHeight="1" s="7635">
      <c r="A1602" s="625">
        <f>AVERAGE(B1602,C1602)</f>
        <v/>
      </c>
      <c r="B1602" s="555" t="n">
        <v>76900</v>
      </c>
      <c r="C1602" s="555" t="n">
        <v>76950</v>
      </c>
      <c r="D1602" s="556">
        <f>IF($A1602&gt;BOTT_A4,ROUND(BASE_A4+RATE_A4*($A1602-BOTT_A4),0),IF($A1602&gt;BOTT_A3,ROUND(BASE_A3+RATE_A3*($A1602-BOTT_A3),0),IF($A1602&gt;BOTT_A2,ROUND(BASE_A2+RATE_A2*($A1602-BOTT_A2),0),ROUND(RATE_A1*$A1602,0))))</f>
        <v/>
      </c>
      <c r="E1602" s="556">
        <f>IF($A1602&gt;BOTT_B4,ROUND(BASE_B4+RATE_B4*($A1602-BOTT_B4),0),IF($A1602&gt;BOTT_B3,ROUND(BASE_B3+RATE_B3*($A1602-BOTT_B3),0),IF($A1602&gt;BOTT_B2,ROUND(BASE_B2+RATE_B2*($A1602-BOTT_B2),0),ROUND(RATE_B1*$A1602,0))))</f>
        <v/>
      </c>
      <c r="F1602" s="556">
        <f>IF($A1602&gt;BOTT_C4,ROUND(BASE_C4+RATE_C4*($A1602-BOTT_C4),0),IF($A1602&gt;BOTT_C3,ROUND(BASE_C3+RATE_C3*($A1602-BOTT_C3),0),IF($A1602&gt;BOTT_C2,ROUND(BASE_C2+RATE_C2*($A1602-BOTT_C2),0),ROUND(RATE_C1*$A1602,0))))</f>
        <v/>
      </c>
      <c r="G1602" s="556">
        <f>IF($A1602&gt;BOTT_D4,ROUND(BASE_D4+RATE_D4*($A1602-BOTT_D4),0),IF($A1602&gt;BOTT_D3,ROUND(BASE_D3+RATE_D3*($A1602-BOTT_D3),0),IF($A1602&gt;BOTT_D2,ROUND(BASE_D2+RATE_D2*($A1602-BOTT_D2),0),ROUND(RATE_D1*$A1602,0))))</f>
        <v/>
      </c>
    </row>
    <row r="1603" ht="15.75" customHeight="1" s="7635">
      <c r="A1603" s="625">
        <f>AVERAGE(B1603,C1603)</f>
        <v/>
      </c>
      <c r="B1603" s="555" t="n">
        <v>76950</v>
      </c>
      <c r="C1603" s="555" t="n">
        <v>77000</v>
      </c>
      <c r="D1603" s="556">
        <f>IF($A1603&gt;BOTT_A4,ROUND(BASE_A4+RATE_A4*($A1603-BOTT_A4),0),IF($A1603&gt;BOTT_A3,ROUND(BASE_A3+RATE_A3*($A1603-BOTT_A3),0),IF($A1603&gt;BOTT_A2,ROUND(BASE_A2+RATE_A2*($A1603-BOTT_A2),0),ROUND(RATE_A1*$A1603,0))))</f>
        <v/>
      </c>
      <c r="E1603" s="556">
        <f>IF($A1603&gt;BOTT_B4,ROUND(BASE_B4+RATE_B4*($A1603-BOTT_B4),0),IF($A1603&gt;BOTT_B3,ROUND(BASE_B3+RATE_B3*($A1603-BOTT_B3),0),IF($A1603&gt;BOTT_B2,ROUND(BASE_B2+RATE_B2*($A1603-BOTT_B2),0),ROUND(RATE_B1*$A1603,0))))</f>
        <v/>
      </c>
      <c r="F1603" s="556">
        <f>IF($A1603&gt;BOTT_C4,ROUND(BASE_C4+RATE_C4*($A1603-BOTT_C4),0),IF($A1603&gt;BOTT_C3,ROUND(BASE_C3+RATE_C3*($A1603-BOTT_C3),0),IF($A1603&gt;BOTT_C2,ROUND(BASE_C2+RATE_C2*($A1603-BOTT_C2),0),ROUND(RATE_C1*$A1603,0))))</f>
        <v/>
      </c>
      <c r="G1603" s="556">
        <f>IF($A1603&gt;BOTT_D4,ROUND(BASE_D4+RATE_D4*($A1603-BOTT_D4),0),IF($A1603&gt;BOTT_D3,ROUND(BASE_D3+RATE_D3*($A1603-BOTT_D3),0),IF($A1603&gt;BOTT_D2,ROUND(BASE_D2+RATE_D2*($A1603-BOTT_D2),0),ROUND(RATE_D1*$A1603,0))))</f>
        <v/>
      </c>
    </row>
    <row r="1604" ht="15.75" customHeight="1" s="7635">
      <c r="A1604" s="625">
        <f>AVERAGE(B1604,C1604)</f>
        <v/>
      </c>
      <c r="B1604" s="555" t="n">
        <v>77000</v>
      </c>
      <c r="C1604" s="555" t="n">
        <v>77050</v>
      </c>
      <c r="D1604" s="556">
        <f>IF($A1604&gt;BOTT_A4,ROUND(BASE_A4+RATE_A4*($A1604-BOTT_A4),0),IF($A1604&gt;BOTT_A3,ROUND(BASE_A3+RATE_A3*($A1604-BOTT_A3),0),IF($A1604&gt;BOTT_A2,ROUND(BASE_A2+RATE_A2*($A1604-BOTT_A2),0),ROUND(RATE_A1*$A1604,0))))</f>
        <v/>
      </c>
      <c r="E1604" s="556">
        <f>IF($A1604&gt;BOTT_B4,ROUND(BASE_B4+RATE_B4*($A1604-BOTT_B4),0),IF($A1604&gt;BOTT_B3,ROUND(BASE_B3+RATE_B3*($A1604-BOTT_B3),0),IF($A1604&gt;BOTT_B2,ROUND(BASE_B2+RATE_B2*($A1604-BOTT_B2),0),ROUND(RATE_B1*$A1604,0))))</f>
        <v/>
      </c>
      <c r="F1604" s="556">
        <f>IF($A1604&gt;BOTT_C4,ROUND(BASE_C4+RATE_C4*($A1604-BOTT_C4),0),IF($A1604&gt;BOTT_C3,ROUND(BASE_C3+RATE_C3*($A1604-BOTT_C3),0),IF($A1604&gt;BOTT_C2,ROUND(BASE_C2+RATE_C2*($A1604-BOTT_C2),0),ROUND(RATE_C1*$A1604,0))))</f>
        <v/>
      </c>
      <c r="G1604" s="556">
        <f>IF($A1604&gt;BOTT_D4,ROUND(BASE_D4+RATE_D4*($A1604-BOTT_D4),0),IF($A1604&gt;BOTT_D3,ROUND(BASE_D3+RATE_D3*($A1604-BOTT_D3),0),IF($A1604&gt;BOTT_D2,ROUND(BASE_D2+RATE_D2*($A1604-BOTT_D2),0),ROUND(RATE_D1*$A1604,0))))</f>
        <v/>
      </c>
    </row>
    <row r="1605" ht="15.75" customHeight="1" s="7635">
      <c r="A1605" s="625">
        <f>AVERAGE(B1605,C1605)</f>
        <v/>
      </c>
      <c r="B1605" s="555" t="n">
        <v>77050</v>
      </c>
      <c r="C1605" s="555" t="n">
        <v>77100</v>
      </c>
      <c r="D1605" s="556">
        <f>IF($A1605&gt;BOTT_A4,ROUND(BASE_A4+RATE_A4*($A1605-BOTT_A4),0),IF($A1605&gt;BOTT_A3,ROUND(BASE_A3+RATE_A3*($A1605-BOTT_A3),0),IF($A1605&gt;BOTT_A2,ROUND(BASE_A2+RATE_A2*($A1605-BOTT_A2),0),ROUND(RATE_A1*$A1605,0))))</f>
        <v/>
      </c>
      <c r="E1605" s="556">
        <f>IF($A1605&gt;BOTT_B4,ROUND(BASE_B4+RATE_B4*($A1605-BOTT_B4),0),IF($A1605&gt;BOTT_B3,ROUND(BASE_B3+RATE_B3*($A1605-BOTT_B3),0),IF($A1605&gt;BOTT_B2,ROUND(BASE_B2+RATE_B2*($A1605-BOTT_B2),0),ROUND(RATE_B1*$A1605,0))))</f>
        <v/>
      </c>
      <c r="F1605" s="556">
        <f>IF($A1605&gt;BOTT_C4,ROUND(BASE_C4+RATE_C4*($A1605-BOTT_C4),0),IF($A1605&gt;BOTT_C3,ROUND(BASE_C3+RATE_C3*($A1605-BOTT_C3),0),IF($A1605&gt;BOTT_C2,ROUND(BASE_C2+RATE_C2*($A1605-BOTT_C2),0),ROUND(RATE_C1*$A1605,0))))</f>
        <v/>
      </c>
      <c r="G1605" s="556">
        <f>IF($A1605&gt;BOTT_D4,ROUND(BASE_D4+RATE_D4*($A1605-BOTT_D4),0),IF($A1605&gt;BOTT_D3,ROUND(BASE_D3+RATE_D3*($A1605-BOTT_D3),0),IF($A1605&gt;BOTT_D2,ROUND(BASE_D2+RATE_D2*($A1605-BOTT_D2),0),ROUND(RATE_D1*$A1605,0))))</f>
        <v/>
      </c>
    </row>
    <row r="1606" ht="15.75" customHeight="1" s="7635">
      <c r="A1606" s="625">
        <f>AVERAGE(B1606,C1606)</f>
        <v/>
      </c>
      <c r="B1606" s="555" t="n">
        <v>77100</v>
      </c>
      <c r="C1606" s="555" t="n">
        <v>77150</v>
      </c>
      <c r="D1606" s="556">
        <f>IF($A1606&gt;BOTT_A4,ROUND(BASE_A4+RATE_A4*($A1606-BOTT_A4),0),IF($A1606&gt;BOTT_A3,ROUND(BASE_A3+RATE_A3*($A1606-BOTT_A3),0),IF($A1606&gt;BOTT_A2,ROUND(BASE_A2+RATE_A2*($A1606-BOTT_A2),0),ROUND(RATE_A1*$A1606,0))))</f>
        <v/>
      </c>
      <c r="E1606" s="556">
        <f>IF($A1606&gt;BOTT_B4,ROUND(BASE_B4+RATE_B4*($A1606-BOTT_B4),0),IF($A1606&gt;BOTT_B3,ROUND(BASE_B3+RATE_B3*($A1606-BOTT_B3),0),IF($A1606&gt;BOTT_B2,ROUND(BASE_B2+RATE_B2*($A1606-BOTT_B2),0),ROUND(RATE_B1*$A1606,0))))</f>
        <v/>
      </c>
      <c r="F1606" s="556">
        <f>IF($A1606&gt;BOTT_C4,ROUND(BASE_C4+RATE_C4*($A1606-BOTT_C4),0),IF($A1606&gt;BOTT_C3,ROUND(BASE_C3+RATE_C3*($A1606-BOTT_C3),0),IF($A1606&gt;BOTT_C2,ROUND(BASE_C2+RATE_C2*($A1606-BOTT_C2),0),ROUND(RATE_C1*$A1606,0))))</f>
        <v/>
      </c>
      <c r="G1606" s="556">
        <f>IF($A1606&gt;BOTT_D4,ROUND(BASE_D4+RATE_D4*($A1606-BOTT_D4),0),IF($A1606&gt;BOTT_D3,ROUND(BASE_D3+RATE_D3*($A1606-BOTT_D3),0),IF($A1606&gt;BOTT_D2,ROUND(BASE_D2+RATE_D2*($A1606-BOTT_D2),0),ROUND(RATE_D1*$A1606,0))))</f>
        <v/>
      </c>
    </row>
    <row r="1607" ht="15.75" customHeight="1" s="7635">
      <c r="A1607" s="625">
        <f>AVERAGE(B1607,C1607)</f>
        <v/>
      </c>
      <c r="B1607" s="555" t="n">
        <v>77150</v>
      </c>
      <c r="C1607" s="555" t="n">
        <v>77200</v>
      </c>
      <c r="D1607" s="556">
        <f>IF($A1607&gt;BOTT_A4,ROUND(BASE_A4+RATE_A4*($A1607-BOTT_A4),0),IF($A1607&gt;BOTT_A3,ROUND(BASE_A3+RATE_A3*($A1607-BOTT_A3),0),IF($A1607&gt;BOTT_A2,ROUND(BASE_A2+RATE_A2*($A1607-BOTT_A2),0),ROUND(RATE_A1*$A1607,0))))</f>
        <v/>
      </c>
      <c r="E1607" s="556">
        <f>IF($A1607&gt;BOTT_B4,ROUND(BASE_B4+RATE_B4*($A1607-BOTT_B4),0),IF($A1607&gt;BOTT_B3,ROUND(BASE_B3+RATE_B3*($A1607-BOTT_B3),0),IF($A1607&gt;BOTT_B2,ROUND(BASE_B2+RATE_B2*($A1607-BOTT_B2),0),ROUND(RATE_B1*$A1607,0))))</f>
        <v/>
      </c>
      <c r="F1607" s="556">
        <f>IF($A1607&gt;BOTT_C4,ROUND(BASE_C4+RATE_C4*($A1607-BOTT_C4),0),IF($A1607&gt;BOTT_C3,ROUND(BASE_C3+RATE_C3*($A1607-BOTT_C3),0),IF($A1607&gt;BOTT_C2,ROUND(BASE_C2+RATE_C2*($A1607-BOTT_C2),0),ROUND(RATE_C1*$A1607,0))))</f>
        <v/>
      </c>
      <c r="G1607" s="556">
        <f>IF($A1607&gt;BOTT_D4,ROUND(BASE_D4+RATE_D4*($A1607-BOTT_D4),0),IF($A1607&gt;BOTT_D3,ROUND(BASE_D3+RATE_D3*($A1607-BOTT_D3),0),IF($A1607&gt;BOTT_D2,ROUND(BASE_D2+RATE_D2*($A1607-BOTT_D2),0),ROUND(RATE_D1*$A1607,0))))</f>
        <v/>
      </c>
    </row>
    <row r="1608" ht="15.75" customHeight="1" s="7635">
      <c r="A1608" s="625">
        <f>AVERAGE(B1608,C1608)</f>
        <v/>
      </c>
      <c r="B1608" s="555" t="n">
        <v>77200</v>
      </c>
      <c r="C1608" s="555" t="n">
        <v>77250</v>
      </c>
      <c r="D1608" s="556">
        <f>IF($A1608&gt;BOTT_A4,ROUND(BASE_A4+RATE_A4*($A1608-BOTT_A4),0),IF($A1608&gt;BOTT_A3,ROUND(BASE_A3+RATE_A3*($A1608-BOTT_A3),0),IF($A1608&gt;BOTT_A2,ROUND(BASE_A2+RATE_A2*($A1608-BOTT_A2),0),ROUND(RATE_A1*$A1608,0))))</f>
        <v/>
      </c>
      <c r="E1608" s="556">
        <f>IF($A1608&gt;BOTT_B4,ROUND(BASE_B4+RATE_B4*($A1608-BOTT_B4),0),IF($A1608&gt;BOTT_B3,ROUND(BASE_B3+RATE_B3*($A1608-BOTT_B3),0),IF($A1608&gt;BOTT_B2,ROUND(BASE_B2+RATE_B2*($A1608-BOTT_B2),0),ROUND(RATE_B1*$A1608,0))))</f>
        <v/>
      </c>
      <c r="F1608" s="556">
        <f>IF($A1608&gt;BOTT_C4,ROUND(BASE_C4+RATE_C4*($A1608-BOTT_C4),0),IF($A1608&gt;BOTT_C3,ROUND(BASE_C3+RATE_C3*($A1608-BOTT_C3),0),IF($A1608&gt;BOTT_C2,ROUND(BASE_C2+RATE_C2*($A1608-BOTT_C2),0),ROUND(RATE_C1*$A1608,0))))</f>
        <v/>
      </c>
      <c r="G1608" s="556">
        <f>IF($A1608&gt;BOTT_D4,ROUND(BASE_D4+RATE_D4*($A1608-BOTT_D4),0),IF($A1608&gt;BOTT_D3,ROUND(BASE_D3+RATE_D3*($A1608-BOTT_D3),0),IF($A1608&gt;BOTT_D2,ROUND(BASE_D2+RATE_D2*($A1608-BOTT_D2),0),ROUND(RATE_D1*$A1608,0))))</f>
        <v/>
      </c>
    </row>
    <row r="1609" ht="15.75" customHeight="1" s="7635">
      <c r="A1609" s="625">
        <f>AVERAGE(B1609,C1609)</f>
        <v/>
      </c>
      <c r="B1609" s="555" t="n">
        <v>77250</v>
      </c>
      <c r="C1609" s="555" t="n">
        <v>77300</v>
      </c>
      <c r="D1609" s="556">
        <f>IF($A1609&gt;BOTT_A4,ROUND(BASE_A4+RATE_A4*($A1609-BOTT_A4),0),IF($A1609&gt;BOTT_A3,ROUND(BASE_A3+RATE_A3*($A1609-BOTT_A3),0),IF($A1609&gt;BOTT_A2,ROUND(BASE_A2+RATE_A2*($A1609-BOTT_A2),0),ROUND(RATE_A1*$A1609,0))))</f>
        <v/>
      </c>
      <c r="E1609" s="556">
        <f>IF($A1609&gt;BOTT_B4,ROUND(BASE_B4+RATE_B4*($A1609-BOTT_B4),0),IF($A1609&gt;BOTT_B3,ROUND(BASE_B3+RATE_B3*($A1609-BOTT_B3),0),IF($A1609&gt;BOTT_B2,ROUND(BASE_B2+RATE_B2*($A1609-BOTT_B2),0),ROUND(RATE_B1*$A1609,0))))</f>
        <v/>
      </c>
      <c r="F1609" s="556">
        <f>IF($A1609&gt;BOTT_C4,ROUND(BASE_C4+RATE_C4*($A1609-BOTT_C4),0),IF($A1609&gt;BOTT_C3,ROUND(BASE_C3+RATE_C3*($A1609-BOTT_C3),0),IF($A1609&gt;BOTT_C2,ROUND(BASE_C2+RATE_C2*($A1609-BOTT_C2),0),ROUND(RATE_C1*$A1609,0))))</f>
        <v/>
      </c>
      <c r="G1609" s="556">
        <f>IF($A1609&gt;BOTT_D4,ROUND(BASE_D4+RATE_D4*($A1609-BOTT_D4),0),IF($A1609&gt;BOTT_D3,ROUND(BASE_D3+RATE_D3*($A1609-BOTT_D3),0),IF($A1609&gt;BOTT_D2,ROUND(BASE_D2+RATE_D2*($A1609-BOTT_D2),0),ROUND(RATE_D1*$A1609,0))))</f>
        <v/>
      </c>
    </row>
    <row r="1610" ht="15.75" customHeight="1" s="7635">
      <c r="A1610" s="625">
        <f>AVERAGE(B1610,C1610)</f>
        <v/>
      </c>
      <c r="B1610" s="555" t="n">
        <v>77300</v>
      </c>
      <c r="C1610" s="555" t="n">
        <v>77350</v>
      </c>
      <c r="D1610" s="556">
        <f>IF($A1610&gt;BOTT_A4,ROUND(BASE_A4+RATE_A4*($A1610-BOTT_A4),0),IF($A1610&gt;BOTT_A3,ROUND(BASE_A3+RATE_A3*($A1610-BOTT_A3),0),IF($A1610&gt;BOTT_A2,ROUND(BASE_A2+RATE_A2*($A1610-BOTT_A2),0),ROUND(RATE_A1*$A1610,0))))</f>
        <v/>
      </c>
      <c r="E1610" s="556">
        <f>IF($A1610&gt;BOTT_B4,ROUND(BASE_B4+RATE_B4*($A1610-BOTT_B4),0),IF($A1610&gt;BOTT_B3,ROUND(BASE_B3+RATE_B3*($A1610-BOTT_B3),0),IF($A1610&gt;BOTT_B2,ROUND(BASE_B2+RATE_B2*($A1610-BOTT_B2),0),ROUND(RATE_B1*$A1610,0))))</f>
        <v/>
      </c>
      <c r="F1610" s="556">
        <f>IF($A1610&gt;BOTT_C4,ROUND(BASE_C4+RATE_C4*($A1610-BOTT_C4),0),IF($A1610&gt;BOTT_C3,ROUND(BASE_C3+RATE_C3*($A1610-BOTT_C3),0),IF($A1610&gt;BOTT_C2,ROUND(BASE_C2+RATE_C2*($A1610-BOTT_C2),0),ROUND(RATE_C1*$A1610,0))))</f>
        <v/>
      </c>
      <c r="G1610" s="556">
        <f>IF($A1610&gt;BOTT_D4,ROUND(BASE_D4+RATE_D4*($A1610-BOTT_D4),0),IF($A1610&gt;BOTT_D3,ROUND(BASE_D3+RATE_D3*($A1610-BOTT_D3),0),IF($A1610&gt;BOTT_D2,ROUND(BASE_D2+RATE_D2*($A1610-BOTT_D2),0),ROUND(RATE_D1*$A1610,0))))</f>
        <v/>
      </c>
    </row>
    <row r="1611" ht="15.75" customHeight="1" s="7635">
      <c r="A1611" s="625">
        <f>AVERAGE(B1611,C1611)</f>
        <v/>
      </c>
      <c r="B1611" s="555" t="n">
        <v>77350</v>
      </c>
      <c r="C1611" s="555" t="n">
        <v>77400</v>
      </c>
      <c r="D1611" s="556">
        <f>IF($A1611&gt;BOTT_A4,ROUND(BASE_A4+RATE_A4*($A1611-BOTT_A4),0),IF($A1611&gt;BOTT_A3,ROUND(BASE_A3+RATE_A3*($A1611-BOTT_A3),0),IF($A1611&gt;BOTT_A2,ROUND(BASE_A2+RATE_A2*($A1611-BOTT_A2),0),ROUND(RATE_A1*$A1611,0))))</f>
        <v/>
      </c>
      <c r="E1611" s="556">
        <f>IF($A1611&gt;BOTT_B4,ROUND(BASE_B4+RATE_B4*($A1611-BOTT_B4),0),IF($A1611&gt;BOTT_B3,ROUND(BASE_B3+RATE_B3*($A1611-BOTT_B3),0),IF($A1611&gt;BOTT_B2,ROUND(BASE_B2+RATE_B2*($A1611-BOTT_B2),0),ROUND(RATE_B1*$A1611,0))))</f>
        <v/>
      </c>
      <c r="F1611" s="556">
        <f>IF($A1611&gt;BOTT_C4,ROUND(BASE_C4+RATE_C4*($A1611-BOTT_C4),0),IF($A1611&gt;BOTT_C3,ROUND(BASE_C3+RATE_C3*($A1611-BOTT_C3),0),IF($A1611&gt;BOTT_C2,ROUND(BASE_C2+RATE_C2*($A1611-BOTT_C2),0),ROUND(RATE_C1*$A1611,0))))</f>
        <v/>
      </c>
      <c r="G1611" s="556">
        <f>IF($A1611&gt;BOTT_D4,ROUND(BASE_D4+RATE_D4*($A1611-BOTT_D4),0),IF($A1611&gt;BOTT_D3,ROUND(BASE_D3+RATE_D3*($A1611-BOTT_D3),0),IF($A1611&gt;BOTT_D2,ROUND(BASE_D2+RATE_D2*($A1611-BOTT_D2),0),ROUND(RATE_D1*$A1611,0))))</f>
        <v/>
      </c>
    </row>
    <row r="1612" ht="15.75" customHeight="1" s="7635">
      <c r="A1612" s="625">
        <f>AVERAGE(B1612,C1612)</f>
        <v/>
      </c>
      <c r="B1612" s="555" t="n">
        <v>77400</v>
      </c>
      <c r="C1612" s="555" t="n">
        <v>77450</v>
      </c>
      <c r="D1612" s="556">
        <f>IF($A1612&gt;BOTT_A4,ROUND(BASE_A4+RATE_A4*($A1612-BOTT_A4),0),IF($A1612&gt;BOTT_A3,ROUND(BASE_A3+RATE_A3*($A1612-BOTT_A3),0),IF($A1612&gt;BOTT_A2,ROUND(BASE_A2+RATE_A2*($A1612-BOTT_A2),0),ROUND(RATE_A1*$A1612,0))))</f>
        <v/>
      </c>
      <c r="E1612" s="556">
        <f>IF($A1612&gt;BOTT_B4,ROUND(BASE_B4+RATE_B4*($A1612-BOTT_B4),0),IF($A1612&gt;BOTT_B3,ROUND(BASE_B3+RATE_B3*($A1612-BOTT_B3),0),IF($A1612&gt;BOTT_B2,ROUND(BASE_B2+RATE_B2*($A1612-BOTT_B2),0),ROUND(RATE_B1*$A1612,0))))</f>
        <v/>
      </c>
      <c r="F1612" s="556">
        <f>IF($A1612&gt;BOTT_C4,ROUND(BASE_C4+RATE_C4*($A1612-BOTT_C4),0),IF($A1612&gt;BOTT_C3,ROUND(BASE_C3+RATE_C3*($A1612-BOTT_C3),0),IF($A1612&gt;BOTT_C2,ROUND(BASE_C2+RATE_C2*($A1612-BOTT_C2),0),ROUND(RATE_C1*$A1612,0))))</f>
        <v/>
      </c>
      <c r="G1612" s="556">
        <f>IF($A1612&gt;BOTT_D4,ROUND(BASE_D4+RATE_D4*($A1612-BOTT_D4),0),IF($A1612&gt;BOTT_D3,ROUND(BASE_D3+RATE_D3*($A1612-BOTT_D3),0),IF($A1612&gt;BOTT_D2,ROUND(BASE_D2+RATE_D2*($A1612-BOTT_D2),0),ROUND(RATE_D1*$A1612,0))))</f>
        <v/>
      </c>
    </row>
    <row r="1613" ht="15.75" customHeight="1" s="7635">
      <c r="A1613" s="625">
        <f>AVERAGE(B1613,C1613)</f>
        <v/>
      </c>
      <c r="B1613" s="555" t="n">
        <v>77450</v>
      </c>
      <c r="C1613" s="555" t="n">
        <v>77500</v>
      </c>
      <c r="D1613" s="556">
        <f>IF($A1613&gt;BOTT_A4,ROUND(BASE_A4+RATE_A4*($A1613-BOTT_A4),0),IF($A1613&gt;BOTT_A3,ROUND(BASE_A3+RATE_A3*($A1613-BOTT_A3),0),IF($A1613&gt;BOTT_A2,ROUND(BASE_A2+RATE_A2*($A1613-BOTT_A2),0),ROUND(RATE_A1*$A1613,0))))</f>
        <v/>
      </c>
      <c r="E1613" s="556">
        <f>IF($A1613&gt;BOTT_B4,ROUND(BASE_B4+RATE_B4*($A1613-BOTT_B4),0),IF($A1613&gt;BOTT_B3,ROUND(BASE_B3+RATE_B3*($A1613-BOTT_B3),0),IF($A1613&gt;BOTT_B2,ROUND(BASE_B2+RATE_B2*($A1613-BOTT_B2),0),ROUND(RATE_B1*$A1613,0))))</f>
        <v/>
      </c>
      <c r="F1613" s="556">
        <f>IF($A1613&gt;BOTT_C4,ROUND(BASE_C4+RATE_C4*($A1613-BOTT_C4),0),IF($A1613&gt;BOTT_C3,ROUND(BASE_C3+RATE_C3*($A1613-BOTT_C3),0),IF($A1613&gt;BOTT_C2,ROUND(BASE_C2+RATE_C2*($A1613-BOTT_C2),0),ROUND(RATE_C1*$A1613,0))))</f>
        <v/>
      </c>
      <c r="G1613" s="556">
        <f>IF($A1613&gt;BOTT_D4,ROUND(BASE_D4+RATE_D4*($A1613-BOTT_D4),0),IF($A1613&gt;BOTT_D3,ROUND(BASE_D3+RATE_D3*($A1613-BOTT_D3),0),IF($A1613&gt;BOTT_D2,ROUND(BASE_D2+RATE_D2*($A1613-BOTT_D2),0),ROUND(RATE_D1*$A1613,0))))</f>
        <v/>
      </c>
    </row>
    <row r="1614" ht="15.75" customHeight="1" s="7635">
      <c r="A1614" s="625">
        <f>AVERAGE(B1614,C1614)</f>
        <v/>
      </c>
      <c r="B1614" s="555" t="n">
        <v>77500</v>
      </c>
      <c r="C1614" s="555" t="n">
        <v>77550</v>
      </c>
      <c r="D1614" s="556">
        <f>IF($A1614&gt;BOTT_A4,ROUND(BASE_A4+RATE_A4*($A1614-BOTT_A4),0),IF($A1614&gt;BOTT_A3,ROUND(BASE_A3+RATE_A3*($A1614-BOTT_A3),0),IF($A1614&gt;BOTT_A2,ROUND(BASE_A2+RATE_A2*($A1614-BOTT_A2),0),ROUND(RATE_A1*$A1614,0))))</f>
        <v/>
      </c>
      <c r="E1614" s="556">
        <f>IF($A1614&gt;BOTT_B4,ROUND(BASE_B4+RATE_B4*($A1614-BOTT_B4),0),IF($A1614&gt;BOTT_B3,ROUND(BASE_B3+RATE_B3*($A1614-BOTT_B3),0),IF($A1614&gt;BOTT_B2,ROUND(BASE_B2+RATE_B2*($A1614-BOTT_B2),0),ROUND(RATE_B1*$A1614,0))))</f>
        <v/>
      </c>
      <c r="F1614" s="556">
        <f>IF($A1614&gt;BOTT_C4,ROUND(BASE_C4+RATE_C4*($A1614-BOTT_C4),0),IF($A1614&gt;BOTT_C3,ROUND(BASE_C3+RATE_C3*($A1614-BOTT_C3),0),IF($A1614&gt;BOTT_C2,ROUND(BASE_C2+RATE_C2*($A1614-BOTT_C2),0),ROUND(RATE_C1*$A1614,0))))</f>
        <v/>
      </c>
      <c r="G1614" s="556">
        <f>IF($A1614&gt;BOTT_D4,ROUND(BASE_D4+RATE_D4*($A1614-BOTT_D4),0),IF($A1614&gt;BOTT_D3,ROUND(BASE_D3+RATE_D3*($A1614-BOTT_D3),0),IF($A1614&gt;BOTT_D2,ROUND(BASE_D2+RATE_D2*($A1614-BOTT_D2),0),ROUND(RATE_D1*$A1614,0))))</f>
        <v/>
      </c>
    </row>
    <row r="1615" ht="15.75" customHeight="1" s="7635">
      <c r="A1615" s="625">
        <f>AVERAGE(B1615,C1615)</f>
        <v/>
      </c>
      <c r="B1615" s="555" t="n">
        <v>77550</v>
      </c>
      <c r="C1615" s="555" t="n">
        <v>77600</v>
      </c>
      <c r="D1615" s="556">
        <f>IF($A1615&gt;BOTT_A4,ROUND(BASE_A4+RATE_A4*($A1615-BOTT_A4),0),IF($A1615&gt;BOTT_A3,ROUND(BASE_A3+RATE_A3*($A1615-BOTT_A3),0),IF($A1615&gt;BOTT_A2,ROUND(BASE_A2+RATE_A2*($A1615-BOTT_A2),0),ROUND(RATE_A1*$A1615,0))))</f>
        <v/>
      </c>
      <c r="E1615" s="556">
        <f>IF($A1615&gt;BOTT_B4,ROUND(BASE_B4+RATE_B4*($A1615-BOTT_B4),0),IF($A1615&gt;BOTT_B3,ROUND(BASE_B3+RATE_B3*($A1615-BOTT_B3),0),IF($A1615&gt;BOTT_B2,ROUND(BASE_B2+RATE_B2*($A1615-BOTT_B2),0),ROUND(RATE_B1*$A1615,0))))</f>
        <v/>
      </c>
      <c r="F1615" s="556">
        <f>IF($A1615&gt;BOTT_C4,ROUND(BASE_C4+RATE_C4*($A1615-BOTT_C4),0),IF($A1615&gt;BOTT_C3,ROUND(BASE_C3+RATE_C3*($A1615-BOTT_C3),0),IF($A1615&gt;BOTT_C2,ROUND(BASE_C2+RATE_C2*($A1615-BOTT_C2),0),ROUND(RATE_C1*$A1615,0))))</f>
        <v/>
      </c>
      <c r="G1615" s="556">
        <f>IF($A1615&gt;BOTT_D4,ROUND(BASE_D4+RATE_D4*($A1615-BOTT_D4),0),IF($A1615&gt;BOTT_D3,ROUND(BASE_D3+RATE_D3*($A1615-BOTT_D3),0),IF($A1615&gt;BOTT_D2,ROUND(BASE_D2+RATE_D2*($A1615-BOTT_D2),0),ROUND(RATE_D1*$A1615,0))))</f>
        <v/>
      </c>
    </row>
    <row r="1616" ht="15.75" customHeight="1" s="7635">
      <c r="A1616" s="625">
        <f>AVERAGE(B1616,C1616)</f>
        <v/>
      </c>
      <c r="B1616" s="555" t="n">
        <v>77600</v>
      </c>
      <c r="C1616" s="555" t="n">
        <v>77650</v>
      </c>
      <c r="D1616" s="556">
        <f>IF($A1616&gt;BOTT_A4,ROUND(BASE_A4+RATE_A4*($A1616-BOTT_A4),0),IF($A1616&gt;BOTT_A3,ROUND(BASE_A3+RATE_A3*($A1616-BOTT_A3),0),IF($A1616&gt;BOTT_A2,ROUND(BASE_A2+RATE_A2*($A1616-BOTT_A2),0),ROUND(RATE_A1*$A1616,0))))</f>
        <v/>
      </c>
      <c r="E1616" s="556">
        <f>IF($A1616&gt;BOTT_B4,ROUND(BASE_B4+RATE_B4*($A1616-BOTT_B4),0),IF($A1616&gt;BOTT_B3,ROUND(BASE_B3+RATE_B3*($A1616-BOTT_B3),0),IF($A1616&gt;BOTT_B2,ROUND(BASE_B2+RATE_B2*($A1616-BOTT_B2),0),ROUND(RATE_B1*$A1616,0))))</f>
        <v/>
      </c>
      <c r="F1616" s="556">
        <f>IF($A1616&gt;BOTT_C4,ROUND(BASE_C4+RATE_C4*($A1616-BOTT_C4),0),IF($A1616&gt;BOTT_C3,ROUND(BASE_C3+RATE_C3*($A1616-BOTT_C3),0),IF($A1616&gt;BOTT_C2,ROUND(BASE_C2+RATE_C2*($A1616-BOTT_C2),0),ROUND(RATE_C1*$A1616,0))))</f>
        <v/>
      </c>
      <c r="G1616" s="556">
        <f>IF($A1616&gt;BOTT_D4,ROUND(BASE_D4+RATE_D4*($A1616-BOTT_D4),0),IF($A1616&gt;BOTT_D3,ROUND(BASE_D3+RATE_D3*($A1616-BOTT_D3),0),IF($A1616&gt;BOTT_D2,ROUND(BASE_D2+RATE_D2*($A1616-BOTT_D2),0),ROUND(RATE_D1*$A1616,0))))</f>
        <v/>
      </c>
    </row>
    <row r="1617" ht="15.75" customHeight="1" s="7635">
      <c r="A1617" s="625">
        <f>AVERAGE(B1617,C1617)</f>
        <v/>
      </c>
      <c r="B1617" s="555" t="n">
        <v>77650</v>
      </c>
      <c r="C1617" s="555" t="n">
        <v>77700</v>
      </c>
      <c r="D1617" s="556">
        <f>IF($A1617&gt;BOTT_A4,ROUND(BASE_A4+RATE_A4*($A1617-BOTT_A4),0),IF($A1617&gt;BOTT_A3,ROUND(BASE_A3+RATE_A3*($A1617-BOTT_A3),0),IF($A1617&gt;BOTT_A2,ROUND(BASE_A2+RATE_A2*($A1617-BOTT_A2),0),ROUND(RATE_A1*$A1617,0))))</f>
        <v/>
      </c>
      <c r="E1617" s="556">
        <f>IF($A1617&gt;BOTT_B4,ROUND(BASE_B4+RATE_B4*($A1617-BOTT_B4),0),IF($A1617&gt;BOTT_B3,ROUND(BASE_B3+RATE_B3*($A1617-BOTT_B3),0),IF($A1617&gt;BOTT_B2,ROUND(BASE_B2+RATE_B2*($A1617-BOTT_B2),0),ROUND(RATE_B1*$A1617,0))))</f>
        <v/>
      </c>
      <c r="F1617" s="556">
        <f>IF($A1617&gt;BOTT_C4,ROUND(BASE_C4+RATE_C4*($A1617-BOTT_C4),0),IF($A1617&gt;BOTT_C3,ROUND(BASE_C3+RATE_C3*($A1617-BOTT_C3),0),IF($A1617&gt;BOTT_C2,ROUND(BASE_C2+RATE_C2*($A1617-BOTT_C2),0),ROUND(RATE_C1*$A1617,0))))</f>
        <v/>
      </c>
      <c r="G1617" s="556">
        <f>IF($A1617&gt;BOTT_D4,ROUND(BASE_D4+RATE_D4*($A1617-BOTT_D4),0),IF($A1617&gt;BOTT_D3,ROUND(BASE_D3+RATE_D3*($A1617-BOTT_D3),0),IF($A1617&gt;BOTT_D2,ROUND(BASE_D2+RATE_D2*($A1617-BOTT_D2),0),ROUND(RATE_D1*$A1617,0))))</f>
        <v/>
      </c>
    </row>
    <row r="1618" ht="15.75" customHeight="1" s="7635">
      <c r="A1618" s="625">
        <f>AVERAGE(B1618,C1618)</f>
        <v/>
      </c>
      <c r="B1618" s="555" t="n">
        <v>77700</v>
      </c>
      <c r="C1618" s="555" t="n">
        <v>77750</v>
      </c>
      <c r="D1618" s="556">
        <f>IF($A1618&gt;BOTT_A4,ROUND(BASE_A4+RATE_A4*($A1618-BOTT_A4),0),IF($A1618&gt;BOTT_A3,ROUND(BASE_A3+RATE_A3*($A1618-BOTT_A3),0),IF($A1618&gt;BOTT_A2,ROUND(BASE_A2+RATE_A2*($A1618-BOTT_A2),0),ROUND(RATE_A1*$A1618,0))))</f>
        <v/>
      </c>
      <c r="E1618" s="556">
        <f>IF($A1618&gt;BOTT_B4,ROUND(BASE_B4+RATE_B4*($A1618-BOTT_B4),0),IF($A1618&gt;BOTT_B3,ROUND(BASE_B3+RATE_B3*($A1618-BOTT_B3),0),IF($A1618&gt;BOTT_B2,ROUND(BASE_B2+RATE_B2*($A1618-BOTT_B2),0),ROUND(RATE_B1*$A1618,0))))</f>
        <v/>
      </c>
      <c r="F1618" s="556">
        <f>IF($A1618&gt;BOTT_C4,ROUND(BASE_C4+RATE_C4*($A1618-BOTT_C4),0),IF($A1618&gt;BOTT_C3,ROUND(BASE_C3+RATE_C3*($A1618-BOTT_C3),0),IF($A1618&gt;BOTT_C2,ROUND(BASE_C2+RATE_C2*($A1618-BOTT_C2),0),ROUND(RATE_C1*$A1618,0))))</f>
        <v/>
      </c>
      <c r="G1618" s="556">
        <f>IF($A1618&gt;BOTT_D4,ROUND(BASE_D4+RATE_D4*($A1618-BOTT_D4),0),IF($A1618&gt;BOTT_D3,ROUND(BASE_D3+RATE_D3*($A1618-BOTT_D3),0),IF($A1618&gt;BOTT_D2,ROUND(BASE_D2+RATE_D2*($A1618-BOTT_D2),0),ROUND(RATE_D1*$A1618,0))))</f>
        <v/>
      </c>
    </row>
    <row r="1619" ht="15.75" customHeight="1" s="7635">
      <c r="A1619" s="625">
        <f>AVERAGE(B1619,C1619)</f>
        <v/>
      </c>
      <c r="B1619" s="555" t="n">
        <v>77750</v>
      </c>
      <c r="C1619" s="555" t="n">
        <v>77800</v>
      </c>
      <c r="D1619" s="556">
        <f>IF($A1619&gt;BOTT_A4,ROUND(BASE_A4+RATE_A4*($A1619-BOTT_A4),0),IF($A1619&gt;BOTT_A3,ROUND(BASE_A3+RATE_A3*($A1619-BOTT_A3),0),IF($A1619&gt;BOTT_A2,ROUND(BASE_A2+RATE_A2*($A1619-BOTT_A2),0),ROUND(RATE_A1*$A1619,0))))</f>
        <v/>
      </c>
      <c r="E1619" s="556">
        <f>IF($A1619&gt;BOTT_B4,ROUND(BASE_B4+RATE_B4*($A1619-BOTT_B4),0),IF($A1619&gt;BOTT_B3,ROUND(BASE_B3+RATE_B3*($A1619-BOTT_B3),0),IF($A1619&gt;BOTT_B2,ROUND(BASE_B2+RATE_B2*($A1619-BOTT_B2),0),ROUND(RATE_B1*$A1619,0))))</f>
        <v/>
      </c>
      <c r="F1619" s="556">
        <f>IF($A1619&gt;BOTT_C4,ROUND(BASE_C4+RATE_C4*($A1619-BOTT_C4),0),IF($A1619&gt;BOTT_C3,ROUND(BASE_C3+RATE_C3*($A1619-BOTT_C3),0),IF($A1619&gt;BOTT_C2,ROUND(BASE_C2+RATE_C2*($A1619-BOTT_C2),0),ROUND(RATE_C1*$A1619,0))))</f>
        <v/>
      </c>
      <c r="G1619" s="556">
        <f>IF($A1619&gt;BOTT_D4,ROUND(BASE_D4+RATE_D4*($A1619-BOTT_D4),0),IF($A1619&gt;BOTT_D3,ROUND(BASE_D3+RATE_D3*($A1619-BOTT_D3),0),IF($A1619&gt;BOTT_D2,ROUND(BASE_D2+RATE_D2*($A1619-BOTT_D2),0),ROUND(RATE_D1*$A1619,0))))</f>
        <v/>
      </c>
    </row>
    <row r="1620" ht="15.75" customHeight="1" s="7635">
      <c r="A1620" s="625">
        <f>AVERAGE(B1620,C1620)</f>
        <v/>
      </c>
      <c r="B1620" s="555" t="n">
        <v>77800</v>
      </c>
      <c r="C1620" s="555" t="n">
        <v>77850</v>
      </c>
      <c r="D1620" s="556">
        <f>IF($A1620&gt;BOTT_A4,ROUND(BASE_A4+RATE_A4*($A1620-BOTT_A4),0),IF($A1620&gt;BOTT_A3,ROUND(BASE_A3+RATE_A3*($A1620-BOTT_A3),0),IF($A1620&gt;BOTT_A2,ROUND(BASE_A2+RATE_A2*($A1620-BOTT_A2),0),ROUND(RATE_A1*$A1620,0))))</f>
        <v/>
      </c>
      <c r="E1620" s="556">
        <f>IF($A1620&gt;BOTT_B4,ROUND(BASE_B4+RATE_B4*($A1620-BOTT_B4),0),IF($A1620&gt;BOTT_B3,ROUND(BASE_B3+RATE_B3*($A1620-BOTT_B3),0),IF($A1620&gt;BOTT_B2,ROUND(BASE_B2+RATE_B2*($A1620-BOTT_B2),0),ROUND(RATE_B1*$A1620,0))))</f>
        <v/>
      </c>
      <c r="F1620" s="556">
        <f>IF($A1620&gt;BOTT_C4,ROUND(BASE_C4+RATE_C4*($A1620-BOTT_C4),0),IF($A1620&gt;BOTT_C3,ROUND(BASE_C3+RATE_C3*($A1620-BOTT_C3),0),IF($A1620&gt;BOTT_C2,ROUND(BASE_C2+RATE_C2*($A1620-BOTT_C2),0),ROUND(RATE_C1*$A1620,0))))</f>
        <v/>
      </c>
      <c r="G1620" s="556">
        <f>IF($A1620&gt;BOTT_D4,ROUND(BASE_D4+RATE_D4*($A1620-BOTT_D4),0),IF($A1620&gt;BOTT_D3,ROUND(BASE_D3+RATE_D3*($A1620-BOTT_D3),0),IF($A1620&gt;BOTT_D2,ROUND(BASE_D2+RATE_D2*($A1620-BOTT_D2),0),ROUND(RATE_D1*$A1620,0))))</f>
        <v/>
      </c>
    </row>
    <row r="1621" ht="15.75" customHeight="1" s="7635">
      <c r="A1621" s="625">
        <f>AVERAGE(B1621,C1621)</f>
        <v/>
      </c>
      <c r="B1621" s="555" t="n">
        <v>77850</v>
      </c>
      <c r="C1621" s="555" t="n">
        <v>77900</v>
      </c>
      <c r="D1621" s="556">
        <f>IF($A1621&gt;BOTT_A4,ROUND(BASE_A4+RATE_A4*($A1621-BOTT_A4),0),IF($A1621&gt;BOTT_A3,ROUND(BASE_A3+RATE_A3*($A1621-BOTT_A3),0),IF($A1621&gt;BOTT_A2,ROUND(BASE_A2+RATE_A2*($A1621-BOTT_A2),0),ROUND(RATE_A1*$A1621,0))))</f>
        <v/>
      </c>
      <c r="E1621" s="556">
        <f>IF($A1621&gt;BOTT_B4,ROUND(BASE_B4+RATE_B4*($A1621-BOTT_B4),0),IF($A1621&gt;BOTT_B3,ROUND(BASE_B3+RATE_B3*($A1621-BOTT_B3),0),IF($A1621&gt;BOTT_B2,ROUND(BASE_B2+RATE_B2*($A1621-BOTT_B2),0),ROUND(RATE_B1*$A1621,0))))</f>
        <v/>
      </c>
      <c r="F1621" s="556">
        <f>IF($A1621&gt;BOTT_C4,ROUND(BASE_C4+RATE_C4*($A1621-BOTT_C4),0),IF($A1621&gt;BOTT_C3,ROUND(BASE_C3+RATE_C3*($A1621-BOTT_C3),0),IF($A1621&gt;BOTT_C2,ROUND(BASE_C2+RATE_C2*($A1621-BOTT_C2),0),ROUND(RATE_C1*$A1621,0))))</f>
        <v/>
      </c>
      <c r="G1621" s="556">
        <f>IF($A1621&gt;BOTT_D4,ROUND(BASE_D4+RATE_D4*($A1621-BOTT_D4),0),IF($A1621&gt;BOTT_D3,ROUND(BASE_D3+RATE_D3*($A1621-BOTT_D3),0),IF($A1621&gt;BOTT_D2,ROUND(BASE_D2+RATE_D2*($A1621-BOTT_D2),0),ROUND(RATE_D1*$A1621,0))))</f>
        <v/>
      </c>
    </row>
    <row r="1622" ht="15.75" customHeight="1" s="7635">
      <c r="A1622" s="625">
        <f>AVERAGE(B1622,C1622)</f>
        <v/>
      </c>
      <c r="B1622" s="555" t="n">
        <v>77900</v>
      </c>
      <c r="C1622" s="555" t="n">
        <v>77950</v>
      </c>
      <c r="D1622" s="556">
        <f>IF($A1622&gt;BOTT_A4,ROUND(BASE_A4+RATE_A4*($A1622-BOTT_A4),0),IF($A1622&gt;BOTT_A3,ROUND(BASE_A3+RATE_A3*($A1622-BOTT_A3),0),IF($A1622&gt;BOTT_A2,ROUND(BASE_A2+RATE_A2*($A1622-BOTT_A2),0),ROUND(RATE_A1*$A1622,0))))</f>
        <v/>
      </c>
      <c r="E1622" s="556">
        <f>IF($A1622&gt;BOTT_B4,ROUND(BASE_B4+RATE_B4*($A1622-BOTT_B4),0),IF($A1622&gt;BOTT_B3,ROUND(BASE_B3+RATE_B3*($A1622-BOTT_B3),0),IF($A1622&gt;BOTT_B2,ROUND(BASE_B2+RATE_B2*($A1622-BOTT_B2),0),ROUND(RATE_B1*$A1622,0))))</f>
        <v/>
      </c>
      <c r="F1622" s="556">
        <f>IF($A1622&gt;BOTT_C4,ROUND(BASE_C4+RATE_C4*($A1622-BOTT_C4),0),IF($A1622&gt;BOTT_C3,ROUND(BASE_C3+RATE_C3*($A1622-BOTT_C3),0),IF($A1622&gt;BOTT_C2,ROUND(BASE_C2+RATE_C2*($A1622-BOTT_C2),0),ROUND(RATE_C1*$A1622,0))))</f>
        <v/>
      </c>
      <c r="G1622" s="556">
        <f>IF($A1622&gt;BOTT_D4,ROUND(BASE_D4+RATE_D4*($A1622-BOTT_D4),0),IF($A1622&gt;BOTT_D3,ROUND(BASE_D3+RATE_D3*($A1622-BOTT_D3),0),IF($A1622&gt;BOTT_D2,ROUND(BASE_D2+RATE_D2*($A1622-BOTT_D2),0),ROUND(RATE_D1*$A1622,0))))</f>
        <v/>
      </c>
    </row>
    <row r="1623" ht="15.75" customHeight="1" s="7635">
      <c r="A1623" s="625">
        <f>AVERAGE(B1623,C1623)</f>
        <v/>
      </c>
      <c r="B1623" s="555" t="n">
        <v>77950</v>
      </c>
      <c r="C1623" s="555" t="n">
        <v>78000</v>
      </c>
      <c r="D1623" s="556">
        <f>IF($A1623&gt;BOTT_A4,ROUND(BASE_A4+RATE_A4*($A1623-BOTT_A4),0),IF($A1623&gt;BOTT_A3,ROUND(BASE_A3+RATE_A3*($A1623-BOTT_A3),0),IF($A1623&gt;BOTT_A2,ROUND(BASE_A2+RATE_A2*($A1623-BOTT_A2),0),ROUND(RATE_A1*$A1623,0))))</f>
        <v/>
      </c>
      <c r="E1623" s="556">
        <f>IF($A1623&gt;BOTT_B4,ROUND(BASE_B4+RATE_B4*($A1623-BOTT_B4),0),IF($A1623&gt;BOTT_B3,ROUND(BASE_B3+RATE_B3*($A1623-BOTT_B3),0),IF($A1623&gt;BOTT_B2,ROUND(BASE_B2+RATE_B2*($A1623-BOTT_B2),0),ROUND(RATE_B1*$A1623,0))))</f>
        <v/>
      </c>
      <c r="F1623" s="556">
        <f>IF($A1623&gt;BOTT_C4,ROUND(BASE_C4+RATE_C4*($A1623-BOTT_C4),0),IF($A1623&gt;BOTT_C3,ROUND(BASE_C3+RATE_C3*($A1623-BOTT_C3),0),IF($A1623&gt;BOTT_C2,ROUND(BASE_C2+RATE_C2*($A1623-BOTT_C2),0),ROUND(RATE_C1*$A1623,0))))</f>
        <v/>
      </c>
      <c r="G1623" s="556">
        <f>IF($A1623&gt;BOTT_D4,ROUND(BASE_D4+RATE_D4*($A1623-BOTT_D4),0),IF($A1623&gt;BOTT_D3,ROUND(BASE_D3+RATE_D3*($A1623-BOTT_D3),0),IF($A1623&gt;BOTT_D2,ROUND(BASE_D2+RATE_D2*($A1623-BOTT_D2),0),ROUND(RATE_D1*$A1623,0))))</f>
        <v/>
      </c>
    </row>
    <row r="1624" ht="15.75" customHeight="1" s="7635">
      <c r="A1624" s="625">
        <f>AVERAGE(B1624,C1624)</f>
        <v/>
      </c>
      <c r="B1624" s="555" t="n">
        <v>78000</v>
      </c>
      <c r="C1624" s="555" t="n">
        <v>78050</v>
      </c>
      <c r="D1624" s="556">
        <f>IF($A1624&gt;BOTT_A4,ROUND(BASE_A4+RATE_A4*($A1624-BOTT_A4),0),IF($A1624&gt;BOTT_A3,ROUND(BASE_A3+RATE_A3*($A1624-BOTT_A3),0),IF($A1624&gt;BOTT_A2,ROUND(BASE_A2+RATE_A2*($A1624-BOTT_A2),0),ROUND(RATE_A1*$A1624,0))))</f>
        <v/>
      </c>
      <c r="E1624" s="556">
        <f>IF($A1624&gt;BOTT_B4,ROUND(BASE_B4+RATE_B4*($A1624-BOTT_B4),0),IF($A1624&gt;BOTT_B3,ROUND(BASE_B3+RATE_B3*($A1624-BOTT_B3),0),IF($A1624&gt;BOTT_B2,ROUND(BASE_B2+RATE_B2*($A1624-BOTT_B2),0),ROUND(RATE_B1*$A1624,0))))</f>
        <v/>
      </c>
      <c r="F1624" s="556">
        <f>IF($A1624&gt;BOTT_C4,ROUND(BASE_C4+RATE_C4*($A1624-BOTT_C4),0),IF($A1624&gt;BOTT_C3,ROUND(BASE_C3+RATE_C3*($A1624-BOTT_C3),0),IF($A1624&gt;BOTT_C2,ROUND(BASE_C2+RATE_C2*($A1624-BOTT_C2),0),ROUND(RATE_C1*$A1624,0))))</f>
        <v/>
      </c>
      <c r="G1624" s="556">
        <f>IF($A1624&gt;BOTT_D4,ROUND(BASE_D4+RATE_D4*($A1624-BOTT_D4),0),IF($A1624&gt;BOTT_D3,ROUND(BASE_D3+RATE_D3*($A1624-BOTT_D3),0),IF($A1624&gt;BOTT_D2,ROUND(BASE_D2+RATE_D2*($A1624-BOTT_D2),0),ROUND(RATE_D1*$A1624,0))))</f>
        <v/>
      </c>
    </row>
    <row r="1625" ht="15.75" customHeight="1" s="7635">
      <c r="A1625" s="625">
        <f>AVERAGE(B1625,C1625)</f>
        <v/>
      </c>
      <c r="B1625" s="555" t="n">
        <v>78050</v>
      </c>
      <c r="C1625" s="555" t="n">
        <v>78100</v>
      </c>
      <c r="D1625" s="556">
        <f>IF($A1625&gt;BOTT_A4,ROUND(BASE_A4+RATE_A4*($A1625-BOTT_A4),0),IF($A1625&gt;BOTT_A3,ROUND(BASE_A3+RATE_A3*($A1625-BOTT_A3),0),IF($A1625&gt;BOTT_A2,ROUND(BASE_A2+RATE_A2*($A1625-BOTT_A2),0),ROUND(RATE_A1*$A1625,0))))</f>
        <v/>
      </c>
      <c r="E1625" s="556">
        <f>IF($A1625&gt;BOTT_B4,ROUND(BASE_B4+RATE_B4*($A1625-BOTT_B4),0),IF($A1625&gt;BOTT_B3,ROUND(BASE_B3+RATE_B3*($A1625-BOTT_B3),0),IF($A1625&gt;BOTT_B2,ROUND(BASE_B2+RATE_B2*($A1625-BOTT_B2),0),ROUND(RATE_B1*$A1625,0))))</f>
        <v/>
      </c>
      <c r="F1625" s="556">
        <f>IF($A1625&gt;BOTT_C4,ROUND(BASE_C4+RATE_C4*($A1625-BOTT_C4),0),IF($A1625&gt;BOTT_C3,ROUND(BASE_C3+RATE_C3*($A1625-BOTT_C3),0),IF($A1625&gt;BOTT_C2,ROUND(BASE_C2+RATE_C2*($A1625-BOTT_C2),0),ROUND(RATE_C1*$A1625,0))))</f>
        <v/>
      </c>
      <c r="G1625" s="556">
        <f>IF($A1625&gt;BOTT_D4,ROUND(BASE_D4+RATE_D4*($A1625-BOTT_D4),0),IF($A1625&gt;BOTT_D3,ROUND(BASE_D3+RATE_D3*($A1625-BOTT_D3),0),IF($A1625&gt;BOTT_D2,ROUND(BASE_D2+RATE_D2*($A1625-BOTT_D2),0),ROUND(RATE_D1*$A1625,0))))</f>
        <v/>
      </c>
    </row>
    <row r="1626" ht="15.75" customHeight="1" s="7635">
      <c r="A1626" s="625">
        <f>AVERAGE(B1626,C1626)</f>
        <v/>
      </c>
      <c r="B1626" s="555" t="n">
        <v>78100</v>
      </c>
      <c r="C1626" s="555" t="n">
        <v>78150</v>
      </c>
      <c r="D1626" s="556">
        <f>IF($A1626&gt;BOTT_A4,ROUND(BASE_A4+RATE_A4*($A1626-BOTT_A4),0),IF($A1626&gt;BOTT_A3,ROUND(BASE_A3+RATE_A3*($A1626-BOTT_A3),0),IF($A1626&gt;BOTT_A2,ROUND(BASE_A2+RATE_A2*($A1626-BOTT_A2),0),ROUND(RATE_A1*$A1626,0))))</f>
        <v/>
      </c>
      <c r="E1626" s="556">
        <f>IF($A1626&gt;BOTT_B4,ROUND(BASE_B4+RATE_B4*($A1626-BOTT_B4),0),IF($A1626&gt;BOTT_B3,ROUND(BASE_B3+RATE_B3*($A1626-BOTT_B3),0),IF($A1626&gt;BOTT_B2,ROUND(BASE_B2+RATE_B2*($A1626-BOTT_B2),0),ROUND(RATE_B1*$A1626,0))))</f>
        <v/>
      </c>
      <c r="F1626" s="556">
        <f>IF($A1626&gt;BOTT_C4,ROUND(BASE_C4+RATE_C4*($A1626-BOTT_C4),0),IF($A1626&gt;BOTT_C3,ROUND(BASE_C3+RATE_C3*($A1626-BOTT_C3),0),IF($A1626&gt;BOTT_C2,ROUND(BASE_C2+RATE_C2*($A1626-BOTT_C2),0),ROUND(RATE_C1*$A1626,0))))</f>
        <v/>
      </c>
      <c r="G1626" s="556">
        <f>IF($A1626&gt;BOTT_D4,ROUND(BASE_D4+RATE_D4*($A1626-BOTT_D4),0),IF($A1626&gt;BOTT_D3,ROUND(BASE_D3+RATE_D3*($A1626-BOTT_D3),0),IF($A1626&gt;BOTT_D2,ROUND(BASE_D2+RATE_D2*($A1626-BOTT_D2),0),ROUND(RATE_D1*$A1626,0))))</f>
        <v/>
      </c>
    </row>
    <row r="1627" ht="15.75" customHeight="1" s="7635">
      <c r="A1627" s="625">
        <f>AVERAGE(B1627,C1627)</f>
        <v/>
      </c>
      <c r="B1627" s="555" t="n">
        <v>78150</v>
      </c>
      <c r="C1627" s="555" t="n">
        <v>78200</v>
      </c>
      <c r="D1627" s="556">
        <f>IF($A1627&gt;BOTT_A4,ROUND(BASE_A4+RATE_A4*($A1627-BOTT_A4),0),IF($A1627&gt;BOTT_A3,ROUND(BASE_A3+RATE_A3*($A1627-BOTT_A3),0),IF($A1627&gt;BOTT_A2,ROUND(BASE_A2+RATE_A2*($A1627-BOTT_A2),0),ROUND(RATE_A1*$A1627,0))))</f>
        <v/>
      </c>
      <c r="E1627" s="556">
        <f>IF($A1627&gt;BOTT_B4,ROUND(BASE_B4+RATE_B4*($A1627-BOTT_B4),0),IF($A1627&gt;BOTT_B3,ROUND(BASE_B3+RATE_B3*($A1627-BOTT_B3),0),IF($A1627&gt;BOTT_B2,ROUND(BASE_B2+RATE_B2*($A1627-BOTT_B2),0),ROUND(RATE_B1*$A1627,0))))</f>
        <v/>
      </c>
      <c r="F1627" s="556">
        <f>IF($A1627&gt;BOTT_C4,ROUND(BASE_C4+RATE_C4*($A1627-BOTT_C4),0),IF($A1627&gt;BOTT_C3,ROUND(BASE_C3+RATE_C3*($A1627-BOTT_C3),0),IF($A1627&gt;BOTT_C2,ROUND(BASE_C2+RATE_C2*($A1627-BOTT_C2),0),ROUND(RATE_C1*$A1627,0))))</f>
        <v/>
      </c>
      <c r="G1627" s="556">
        <f>IF($A1627&gt;BOTT_D4,ROUND(BASE_D4+RATE_D4*($A1627-BOTT_D4),0),IF($A1627&gt;BOTT_D3,ROUND(BASE_D3+RATE_D3*($A1627-BOTT_D3),0),IF($A1627&gt;BOTT_D2,ROUND(BASE_D2+RATE_D2*($A1627-BOTT_D2),0),ROUND(RATE_D1*$A1627,0))))</f>
        <v/>
      </c>
    </row>
    <row r="1628" ht="15.75" customHeight="1" s="7635">
      <c r="A1628" s="625">
        <f>AVERAGE(B1628,C1628)</f>
        <v/>
      </c>
      <c r="B1628" s="555" t="n">
        <v>78200</v>
      </c>
      <c r="C1628" s="555" t="n">
        <v>78250</v>
      </c>
      <c r="D1628" s="556">
        <f>IF($A1628&gt;BOTT_A4,ROUND(BASE_A4+RATE_A4*($A1628-BOTT_A4),0),IF($A1628&gt;BOTT_A3,ROUND(BASE_A3+RATE_A3*($A1628-BOTT_A3),0),IF($A1628&gt;BOTT_A2,ROUND(BASE_A2+RATE_A2*($A1628-BOTT_A2),0),ROUND(RATE_A1*$A1628,0))))</f>
        <v/>
      </c>
      <c r="E1628" s="556">
        <f>IF($A1628&gt;BOTT_B4,ROUND(BASE_B4+RATE_B4*($A1628-BOTT_B4),0),IF($A1628&gt;BOTT_B3,ROUND(BASE_B3+RATE_B3*($A1628-BOTT_B3),0),IF($A1628&gt;BOTT_B2,ROUND(BASE_B2+RATE_B2*($A1628-BOTT_B2),0),ROUND(RATE_B1*$A1628,0))))</f>
        <v/>
      </c>
      <c r="F1628" s="556">
        <f>IF($A1628&gt;BOTT_C4,ROUND(BASE_C4+RATE_C4*($A1628-BOTT_C4),0),IF($A1628&gt;BOTT_C3,ROUND(BASE_C3+RATE_C3*($A1628-BOTT_C3),0),IF($A1628&gt;BOTT_C2,ROUND(BASE_C2+RATE_C2*($A1628-BOTT_C2),0),ROUND(RATE_C1*$A1628,0))))</f>
        <v/>
      </c>
      <c r="G1628" s="556">
        <f>IF($A1628&gt;BOTT_D4,ROUND(BASE_D4+RATE_D4*($A1628-BOTT_D4),0),IF($A1628&gt;BOTT_D3,ROUND(BASE_D3+RATE_D3*($A1628-BOTT_D3),0),IF($A1628&gt;BOTT_D2,ROUND(BASE_D2+RATE_D2*($A1628-BOTT_D2),0),ROUND(RATE_D1*$A1628,0))))</f>
        <v/>
      </c>
    </row>
    <row r="1629" ht="15.75" customHeight="1" s="7635">
      <c r="A1629" s="625">
        <f>AVERAGE(B1629,C1629)</f>
        <v/>
      </c>
      <c r="B1629" s="555" t="n">
        <v>78250</v>
      </c>
      <c r="C1629" s="555" t="n">
        <v>78300</v>
      </c>
      <c r="D1629" s="556">
        <f>IF($A1629&gt;BOTT_A4,ROUND(BASE_A4+RATE_A4*($A1629-BOTT_A4),0),IF($A1629&gt;BOTT_A3,ROUND(BASE_A3+RATE_A3*($A1629-BOTT_A3),0),IF($A1629&gt;BOTT_A2,ROUND(BASE_A2+RATE_A2*($A1629-BOTT_A2),0),ROUND(RATE_A1*$A1629,0))))</f>
        <v/>
      </c>
      <c r="E1629" s="556">
        <f>IF($A1629&gt;BOTT_B4,ROUND(BASE_B4+RATE_B4*($A1629-BOTT_B4),0),IF($A1629&gt;BOTT_B3,ROUND(BASE_B3+RATE_B3*($A1629-BOTT_B3),0),IF($A1629&gt;BOTT_B2,ROUND(BASE_B2+RATE_B2*($A1629-BOTT_B2),0),ROUND(RATE_B1*$A1629,0))))</f>
        <v/>
      </c>
      <c r="F1629" s="556">
        <f>IF($A1629&gt;BOTT_C4,ROUND(BASE_C4+RATE_C4*($A1629-BOTT_C4),0),IF($A1629&gt;BOTT_C3,ROUND(BASE_C3+RATE_C3*($A1629-BOTT_C3),0),IF($A1629&gt;BOTT_C2,ROUND(BASE_C2+RATE_C2*($A1629-BOTT_C2),0),ROUND(RATE_C1*$A1629,0))))</f>
        <v/>
      </c>
      <c r="G1629" s="556">
        <f>IF($A1629&gt;BOTT_D4,ROUND(BASE_D4+RATE_D4*($A1629-BOTT_D4),0),IF($A1629&gt;BOTT_D3,ROUND(BASE_D3+RATE_D3*($A1629-BOTT_D3),0),IF($A1629&gt;BOTT_D2,ROUND(BASE_D2+RATE_D2*($A1629-BOTT_D2),0),ROUND(RATE_D1*$A1629,0))))</f>
        <v/>
      </c>
    </row>
    <row r="1630" ht="15.75" customHeight="1" s="7635">
      <c r="A1630" s="625">
        <f>AVERAGE(B1630,C1630)</f>
        <v/>
      </c>
      <c r="B1630" s="555" t="n">
        <v>78300</v>
      </c>
      <c r="C1630" s="555" t="n">
        <v>78350</v>
      </c>
      <c r="D1630" s="556">
        <f>IF($A1630&gt;BOTT_A4,ROUND(BASE_A4+RATE_A4*($A1630-BOTT_A4),0),IF($A1630&gt;BOTT_A3,ROUND(BASE_A3+RATE_A3*($A1630-BOTT_A3),0),IF($A1630&gt;BOTT_A2,ROUND(BASE_A2+RATE_A2*($A1630-BOTT_A2),0),ROUND(RATE_A1*$A1630,0))))</f>
        <v/>
      </c>
      <c r="E1630" s="556">
        <f>IF($A1630&gt;BOTT_B4,ROUND(BASE_B4+RATE_B4*($A1630-BOTT_B4),0),IF($A1630&gt;BOTT_B3,ROUND(BASE_B3+RATE_B3*($A1630-BOTT_B3),0),IF($A1630&gt;BOTT_B2,ROUND(BASE_B2+RATE_B2*($A1630-BOTT_B2),0),ROUND(RATE_B1*$A1630,0))))</f>
        <v/>
      </c>
      <c r="F1630" s="556">
        <f>IF($A1630&gt;BOTT_C4,ROUND(BASE_C4+RATE_C4*($A1630-BOTT_C4),0),IF($A1630&gt;BOTT_C3,ROUND(BASE_C3+RATE_C3*($A1630-BOTT_C3),0),IF($A1630&gt;BOTT_C2,ROUND(BASE_C2+RATE_C2*($A1630-BOTT_C2),0),ROUND(RATE_C1*$A1630,0))))</f>
        <v/>
      </c>
      <c r="G1630" s="556">
        <f>IF($A1630&gt;BOTT_D4,ROUND(BASE_D4+RATE_D4*($A1630-BOTT_D4),0),IF($A1630&gt;BOTT_D3,ROUND(BASE_D3+RATE_D3*($A1630-BOTT_D3),0),IF($A1630&gt;BOTT_D2,ROUND(BASE_D2+RATE_D2*($A1630-BOTT_D2),0),ROUND(RATE_D1*$A1630,0))))</f>
        <v/>
      </c>
    </row>
    <row r="1631" ht="15.75" customHeight="1" s="7635">
      <c r="A1631" s="625">
        <f>AVERAGE(B1631,C1631)</f>
        <v/>
      </c>
      <c r="B1631" s="555" t="n">
        <v>78350</v>
      </c>
      <c r="C1631" s="555" t="n">
        <v>78400</v>
      </c>
      <c r="D1631" s="556">
        <f>IF($A1631&gt;BOTT_A4,ROUND(BASE_A4+RATE_A4*($A1631-BOTT_A4),0),IF($A1631&gt;BOTT_A3,ROUND(BASE_A3+RATE_A3*($A1631-BOTT_A3),0),IF($A1631&gt;BOTT_A2,ROUND(BASE_A2+RATE_A2*($A1631-BOTT_A2),0),ROUND(RATE_A1*$A1631,0))))</f>
        <v/>
      </c>
      <c r="E1631" s="556">
        <f>IF($A1631&gt;BOTT_B4,ROUND(BASE_B4+RATE_B4*($A1631-BOTT_B4),0),IF($A1631&gt;BOTT_B3,ROUND(BASE_B3+RATE_B3*($A1631-BOTT_B3),0),IF($A1631&gt;BOTT_B2,ROUND(BASE_B2+RATE_B2*($A1631-BOTT_B2),0),ROUND(RATE_B1*$A1631,0))))</f>
        <v/>
      </c>
      <c r="F1631" s="556">
        <f>IF($A1631&gt;BOTT_C4,ROUND(BASE_C4+RATE_C4*($A1631-BOTT_C4),0),IF($A1631&gt;BOTT_C3,ROUND(BASE_C3+RATE_C3*($A1631-BOTT_C3),0),IF($A1631&gt;BOTT_C2,ROUND(BASE_C2+RATE_C2*($A1631-BOTT_C2),0),ROUND(RATE_C1*$A1631,0))))</f>
        <v/>
      </c>
      <c r="G1631" s="556">
        <f>IF($A1631&gt;BOTT_D4,ROUND(BASE_D4+RATE_D4*($A1631-BOTT_D4),0),IF($A1631&gt;BOTT_D3,ROUND(BASE_D3+RATE_D3*($A1631-BOTT_D3),0),IF($A1631&gt;BOTT_D2,ROUND(BASE_D2+RATE_D2*($A1631-BOTT_D2),0),ROUND(RATE_D1*$A1631,0))))</f>
        <v/>
      </c>
    </row>
    <row r="1632" ht="15.75" customHeight="1" s="7635">
      <c r="A1632" s="625">
        <f>AVERAGE(B1632,C1632)</f>
        <v/>
      </c>
      <c r="B1632" s="555" t="n">
        <v>78400</v>
      </c>
      <c r="C1632" s="555" t="n">
        <v>78450</v>
      </c>
      <c r="D1632" s="556">
        <f>IF($A1632&gt;BOTT_A4,ROUND(BASE_A4+RATE_A4*($A1632-BOTT_A4),0),IF($A1632&gt;BOTT_A3,ROUND(BASE_A3+RATE_A3*($A1632-BOTT_A3),0),IF($A1632&gt;BOTT_A2,ROUND(BASE_A2+RATE_A2*($A1632-BOTT_A2),0),ROUND(RATE_A1*$A1632,0))))</f>
        <v/>
      </c>
      <c r="E1632" s="556">
        <f>IF($A1632&gt;BOTT_B4,ROUND(BASE_B4+RATE_B4*($A1632-BOTT_B4),0),IF($A1632&gt;BOTT_B3,ROUND(BASE_B3+RATE_B3*($A1632-BOTT_B3),0),IF($A1632&gt;BOTT_B2,ROUND(BASE_B2+RATE_B2*($A1632-BOTT_B2),0),ROUND(RATE_B1*$A1632,0))))</f>
        <v/>
      </c>
      <c r="F1632" s="556">
        <f>IF($A1632&gt;BOTT_C4,ROUND(BASE_C4+RATE_C4*($A1632-BOTT_C4),0),IF($A1632&gt;BOTT_C3,ROUND(BASE_C3+RATE_C3*($A1632-BOTT_C3),0),IF($A1632&gt;BOTT_C2,ROUND(BASE_C2+RATE_C2*($A1632-BOTT_C2),0),ROUND(RATE_C1*$A1632,0))))</f>
        <v/>
      </c>
      <c r="G1632" s="556">
        <f>IF($A1632&gt;BOTT_D4,ROUND(BASE_D4+RATE_D4*($A1632-BOTT_D4),0),IF($A1632&gt;BOTT_D3,ROUND(BASE_D3+RATE_D3*($A1632-BOTT_D3),0),IF($A1632&gt;BOTT_D2,ROUND(BASE_D2+RATE_D2*($A1632-BOTT_D2),0),ROUND(RATE_D1*$A1632,0))))</f>
        <v/>
      </c>
    </row>
    <row r="1633" ht="15.75" customHeight="1" s="7635">
      <c r="A1633" s="625">
        <f>AVERAGE(B1633,C1633)</f>
        <v/>
      </c>
      <c r="B1633" s="555" t="n">
        <v>78450</v>
      </c>
      <c r="C1633" s="555" t="n">
        <v>78500</v>
      </c>
      <c r="D1633" s="556">
        <f>IF($A1633&gt;BOTT_A4,ROUND(BASE_A4+RATE_A4*($A1633-BOTT_A4),0),IF($A1633&gt;BOTT_A3,ROUND(BASE_A3+RATE_A3*($A1633-BOTT_A3),0),IF($A1633&gt;BOTT_A2,ROUND(BASE_A2+RATE_A2*($A1633-BOTT_A2),0),ROUND(RATE_A1*$A1633,0))))</f>
        <v/>
      </c>
      <c r="E1633" s="556">
        <f>IF($A1633&gt;BOTT_B4,ROUND(BASE_B4+RATE_B4*($A1633-BOTT_B4),0),IF($A1633&gt;BOTT_B3,ROUND(BASE_B3+RATE_B3*($A1633-BOTT_B3),0),IF($A1633&gt;BOTT_B2,ROUND(BASE_B2+RATE_B2*($A1633-BOTT_B2),0),ROUND(RATE_B1*$A1633,0))))</f>
        <v/>
      </c>
      <c r="F1633" s="556">
        <f>IF($A1633&gt;BOTT_C4,ROUND(BASE_C4+RATE_C4*($A1633-BOTT_C4),0),IF($A1633&gt;BOTT_C3,ROUND(BASE_C3+RATE_C3*($A1633-BOTT_C3),0),IF($A1633&gt;BOTT_C2,ROUND(BASE_C2+RATE_C2*($A1633-BOTT_C2),0),ROUND(RATE_C1*$A1633,0))))</f>
        <v/>
      </c>
      <c r="G1633" s="556">
        <f>IF($A1633&gt;BOTT_D4,ROUND(BASE_D4+RATE_D4*($A1633-BOTT_D4),0),IF($A1633&gt;BOTT_D3,ROUND(BASE_D3+RATE_D3*($A1633-BOTT_D3),0),IF($A1633&gt;BOTT_D2,ROUND(BASE_D2+RATE_D2*($A1633-BOTT_D2),0),ROUND(RATE_D1*$A1633,0))))</f>
        <v/>
      </c>
    </row>
    <row r="1634" ht="15.75" customHeight="1" s="7635">
      <c r="A1634" s="625">
        <f>AVERAGE(B1634,C1634)</f>
        <v/>
      </c>
      <c r="B1634" s="555" t="n">
        <v>78500</v>
      </c>
      <c r="C1634" s="555" t="n">
        <v>78550</v>
      </c>
      <c r="D1634" s="556">
        <f>IF($A1634&gt;BOTT_A4,ROUND(BASE_A4+RATE_A4*($A1634-BOTT_A4),0),IF($A1634&gt;BOTT_A3,ROUND(BASE_A3+RATE_A3*($A1634-BOTT_A3),0),IF($A1634&gt;BOTT_A2,ROUND(BASE_A2+RATE_A2*($A1634-BOTT_A2),0),ROUND(RATE_A1*$A1634,0))))</f>
        <v/>
      </c>
      <c r="E1634" s="556">
        <f>IF($A1634&gt;BOTT_B4,ROUND(BASE_B4+RATE_B4*($A1634-BOTT_B4),0),IF($A1634&gt;BOTT_B3,ROUND(BASE_B3+RATE_B3*($A1634-BOTT_B3),0),IF($A1634&gt;BOTT_B2,ROUND(BASE_B2+RATE_B2*($A1634-BOTT_B2),0),ROUND(RATE_B1*$A1634,0))))</f>
        <v/>
      </c>
      <c r="F1634" s="556">
        <f>IF($A1634&gt;BOTT_C4,ROUND(BASE_C4+RATE_C4*($A1634-BOTT_C4),0),IF($A1634&gt;BOTT_C3,ROUND(BASE_C3+RATE_C3*($A1634-BOTT_C3),0),IF($A1634&gt;BOTT_C2,ROUND(BASE_C2+RATE_C2*($A1634-BOTT_C2),0),ROUND(RATE_C1*$A1634,0))))</f>
        <v/>
      </c>
      <c r="G1634" s="556">
        <f>IF($A1634&gt;BOTT_D4,ROUND(BASE_D4+RATE_D4*($A1634-BOTT_D4),0),IF($A1634&gt;BOTT_D3,ROUND(BASE_D3+RATE_D3*($A1634-BOTT_D3),0),IF($A1634&gt;BOTT_D2,ROUND(BASE_D2+RATE_D2*($A1634-BOTT_D2),0),ROUND(RATE_D1*$A1634,0))))</f>
        <v/>
      </c>
    </row>
    <row r="1635" ht="15.75" customHeight="1" s="7635">
      <c r="A1635" s="625">
        <f>AVERAGE(B1635,C1635)</f>
        <v/>
      </c>
      <c r="B1635" s="555" t="n">
        <v>78550</v>
      </c>
      <c r="C1635" s="555" t="n">
        <v>78600</v>
      </c>
      <c r="D1635" s="556">
        <f>IF($A1635&gt;BOTT_A4,ROUND(BASE_A4+RATE_A4*($A1635-BOTT_A4),0),IF($A1635&gt;BOTT_A3,ROUND(BASE_A3+RATE_A3*($A1635-BOTT_A3),0),IF($A1635&gt;BOTT_A2,ROUND(BASE_A2+RATE_A2*($A1635-BOTT_A2),0),ROUND(RATE_A1*$A1635,0))))</f>
        <v/>
      </c>
      <c r="E1635" s="556">
        <f>IF($A1635&gt;BOTT_B4,ROUND(BASE_B4+RATE_B4*($A1635-BOTT_B4),0),IF($A1635&gt;BOTT_B3,ROUND(BASE_B3+RATE_B3*($A1635-BOTT_B3),0),IF($A1635&gt;BOTT_B2,ROUND(BASE_B2+RATE_B2*($A1635-BOTT_B2),0),ROUND(RATE_B1*$A1635,0))))</f>
        <v/>
      </c>
      <c r="F1635" s="556">
        <f>IF($A1635&gt;BOTT_C4,ROUND(BASE_C4+RATE_C4*($A1635-BOTT_C4),0),IF($A1635&gt;BOTT_C3,ROUND(BASE_C3+RATE_C3*($A1635-BOTT_C3),0),IF($A1635&gt;BOTT_C2,ROUND(BASE_C2+RATE_C2*($A1635-BOTT_C2),0),ROUND(RATE_C1*$A1635,0))))</f>
        <v/>
      </c>
      <c r="G1635" s="556">
        <f>IF($A1635&gt;BOTT_D4,ROUND(BASE_D4+RATE_D4*($A1635-BOTT_D4),0),IF($A1635&gt;BOTT_D3,ROUND(BASE_D3+RATE_D3*($A1635-BOTT_D3),0),IF($A1635&gt;BOTT_D2,ROUND(BASE_D2+RATE_D2*($A1635-BOTT_D2),0),ROUND(RATE_D1*$A1635,0))))</f>
        <v/>
      </c>
    </row>
    <row r="1636" ht="15.75" customHeight="1" s="7635">
      <c r="A1636" s="625">
        <f>AVERAGE(B1636,C1636)</f>
        <v/>
      </c>
      <c r="B1636" s="555" t="n">
        <v>78600</v>
      </c>
      <c r="C1636" s="555" t="n">
        <v>78650</v>
      </c>
      <c r="D1636" s="556">
        <f>IF($A1636&gt;BOTT_A4,ROUND(BASE_A4+RATE_A4*($A1636-BOTT_A4),0),IF($A1636&gt;BOTT_A3,ROUND(BASE_A3+RATE_A3*($A1636-BOTT_A3),0),IF($A1636&gt;BOTT_A2,ROUND(BASE_A2+RATE_A2*($A1636-BOTT_A2),0),ROUND(RATE_A1*$A1636,0))))</f>
        <v/>
      </c>
      <c r="E1636" s="556">
        <f>IF($A1636&gt;BOTT_B4,ROUND(BASE_B4+RATE_B4*($A1636-BOTT_B4),0),IF($A1636&gt;BOTT_B3,ROUND(BASE_B3+RATE_B3*($A1636-BOTT_B3),0),IF($A1636&gt;BOTT_B2,ROUND(BASE_B2+RATE_B2*($A1636-BOTT_B2),0),ROUND(RATE_B1*$A1636,0))))</f>
        <v/>
      </c>
      <c r="F1636" s="556">
        <f>IF($A1636&gt;BOTT_C4,ROUND(BASE_C4+RATE_C4*($A1636-BOTT_C4),0),IF($A1636&gt;BOTT_C3,ROUND(BASE_C3+RATE_C3*($A1636-BOTT_C3),0),IF($A1636&gt;BOTT_C2,ROUND(BASE_C2+RATE_C2*($A1636-BOTT_C2),0),ROUND(RATE_C1*$A1636,0))))</f>
        <v/>
      </c>
      <c r="G1636" s="556">
        <f>IF($A1636&gt;BOTT_D4,ROUND(BASE_D4+RATE_D4*($A1636-BOTT_D4),0),IF($A1636&gt;BOTT_D3,ROUND(BASE_D3+RATE_D3*($A1636-BOTT_D3),0),IF($A1636&gt;BOTT_D2,ROUND(BASE_D2+RATE_D2*($A1636-BOTT_D2),0),ROUND(RATE_D1*$A1636,0))))</f>
        <v/>
      </c>
    </row>
    <row r="1637" ht="15.75" customHeight="1" s="7635">
      <c r="A1637" s="625">
        <f>AVERAGE(B1637,C1637)</f>
        <v/>
      </c>
      <c r="B1637" s="555" t="n">
        <v>78650</v>
      </c>
      <c r="C1637" s="555" t="n">
        <v>78700</v>
      </c>
      <c r="D1637" s="556">
        <f>IF($A1637&gt;BOTT_A4,ROUND(BASE_A4+RATE_A4*($A1637-BOTT_A4),0),IF($A1637&gt;BOTT_A3,ROUND(BASE_A3+RATE_A3*($A1637-BOTT_A3),0),IF($A1637&gt;BOTT_A2,ROUND(BASE_A2+RATE_A2*($A1637-BOTT_A2),0),ROUND(RATE_A1*$A1637,0))))</f>
        <v/>
      </c>
      <c r="E1637" s="556">
        <f>IF($A1637&gt;BOTT_B4,ROUND(BASE_B4+RATE_B4*($A1637-BOTT_B4),0),IF($A1637&gt;BOTT_B3,ROUND(BASE_B3+RATE_B3*($A1637-BOTT_B3),0),IF($A1637&gt;BOTT_B2,ROUND(BASE_B2+RATE_B2*($A1637-BOTT_B2),0),ROUND(RATE_B1*$A1637,0))))</f>
        <v/>
      </c>
      <c r="F1637" s="556">
        <f>IF($A1637&gt;BOTT_C4,ROUND(BASE_C4+RATE_C4*($A1637-BOTT_C4),0),IF($A1637&gt;BOTT_C3,ROUND(BASE_C3+RATE_C3*($A1637-BOTT_C3),0),IF($A1637&gt;BOTT_C2,ROUND(BASE_C2+RATE_C2*($A1637-BOTT_C2),0),ROUND(RATE_C1*$A1637,0))))</f>
        <v/>
      </c>
      <c r="G1637" s="556">
        <f>IF($A1637&gt;BOTT_D4,ROUND(BASE_D4+RATE_D4*($A1637-BOTT_D4),0),IF($A1637&gt;BOTT_D3,ROUND(BASE_D3+RATE_D3*($A1637-BOTT_D3),0),IF($A1637&gt;BOTT_D2,ROUND(BASE_D2+RATE_D2*($A1637-BOTT_D2),0),ROUND(RATE_D1*$A1637,0))))</f>
        <v/>
      </c>
    </row>
    <row r="1638" ht="15.75" customHeight="1" s="7635">
      <c r="A1638" s="625">
        <f>AVERAGE(B1638,C1638)</f>
        <v/>
      </c>
      <c r="B1638" s="555" t="n">
        <v>78700</v>
      </c>
      <c r="C1638" s="555" t="n">
        <v>78750</v>
      </c>
      <c r="D1638" s="556">
        <f>IF($A1638&gt;BOTT_A4,ROUND(BASE_A4+RATE_A4*($A1638-BOTT_A4),0),IF($A1638&gt;BOTT_A3,ROUND(BASE_A3+RATE_A3*($A1638-BOTT_A3),0),IF($A1638&gt;BOTT_A2,ROUND(BASE_A2+RATE_A2*($A1638-BOTT_A2),0),ROUND(RATE_A1*$A1638,0))))</f>
        <v/>
      </c>
      <c r="E1638" s="556">
        <f>IF($A1638&gt;BOTT_B4,ROUND(BASE_B4+RATE_B4*($A1638-BOTT_B4),0),IF($A1638&gt;BOTT_B3,ROUND(BASE_B3+RATE_B3*($A1638-BOTT_B3),0),IF($A1638&gt;BOTT_B2,ROUND(BASE_B2+RATE_B2*($A1638-BOTT_B2),0),ROUND(RATE_B1*$A1638,0))))</f>
        <v/>
      </c>
      <c r="F1638" s="556">
        <f>IF($A1638&gt;BOTT_C4,ROUND(BASE_C4+RATE_C4*($A1638-BOTT_C4),0),IF($A1638&gt;BOTT_C3,ROUND(BASE_C3+RATE_C3*($A1638-BOTT_C3),0),IF($A1638&gt;BOTT_C2,ROUND(BASE_C2+RATE_C2*($A1638-BOTT_C2),0),ROUND(RATE_C1*$A1638,0))))</f>
        <v/>
      </c>
      <c r="G1638" s="556">
        <f>IF($A1638&gt;BOTT_D4,ROUND(BASE_D4+RATE_D4*($A1638-BOTT_D4),0),IF($A1638&gt;BOTT_D3,ROUND(BASE_D3+RATE_D3*($A1638-BOTT_D3),0),IF($A1638&gt;BOTT_D2,ROUND(BASE_D2+RATE_D2*($A1638-BOTT_D2),0),ROUND(RATE_D1*$A1638,0))))</f>
        <v/>
      </c>
    </row>
    <row r="1639" ht="15.75" customHeight="1" s="7635">
      <c r="A1639" s="625">
        <f>AVERAGE(B1639,C1639)</f>
        <v/>
      </c>
      <c r="B1639" s="555" t="n">
        <v>78750</v>
      </c>
      <c r="C1639" s="555" t="n">
        <v>78800</v>
      </c>
      <c r="D1639" s="556">
        <f>IF($A1639&gt;BOTT_A4,ROUND(BASE_A4+RATE_A4*($A1639-BOTT_A4),0),IF($A1639&gt;BOTT_A3,ROUND(BASE_A3+RATE_A3*($A1639-BOTT_A3),0),IF($A1639&gt;BOTT_A2,ROUND(BASE_A2+RATE_A2*($A1639-BOTT_A2),0),ROUND(RATE_A1*$A1639,0))))</f>
        <v/>
      </c>
      <c r="E1639" s="556">
        <f>IF($A1639&gt;BOTT_B4,ROUND(BASE_B4+RATE_B4*($A1639-BOTT_B4),0),IF($A1639&gt;BOTT_B3,ROUND(BASE_B3+RATE_B3*($A1639-BOTT_B3),0),IF($A1639&gt;BOTT_B2,ROUND(BASE_B2+RATE_B2*($A1639-BOTT_B2),0),ROUND(RATE_B1*$A1639,0))))</f>
        <v/>
      </c>
      <c r="F1639" s="556">
        <f>IF($A1639&gt;BOTT_C4,ROUND(BASE_C4+RATE_C4*($A1639-BOTT_C4),0),IF($A1639&gt;BOTT_C3,ROUND(BASE_C3+RATE_C3*($A1639-BOTT_C3),0),IF($A1639&gt;BOTT_C2,ROUND(BASE_C2+RATE_C2*($A1639-BOTT_C2),0),ROUND(RATE_C1*$A1639,0))))</f>
        <v/>
      </c>
      <c r="G1639" s="556">
        <f>IF($A1639&gt;BOTT_D4,ROUND(BASE_D4+RATE_D4*($A1639-BOTT_D4),0),IF($A1639&gt;BOTT_D3,ROUND(BASE_D3+RATE_D3*($A1639-BOTT_D3),0),IF($A1639&gt;BOTT_D2,ROUND(BASE_D2+RATE_D2*($A1639-BOTT_D2),0),ROUND(RATE_D1*$A1639,0))))</f>
        <v/>
      </c>
    </row>
    <row r="1640" ht="15.75" customHeight="1" s="7635">
      <c r="A1640" s="625">
        <f>AVERAGE(B1640,C1640)</f>
        <v/>
      </c>
      <c r="B1640" s="555" t="n">
        <v>78800</v>
      </c>
      <c r="C1640" s="555" t="n">
        <v>78850</v>
      </c>
      <c r="D1640" s="556">
        <f>IF($A1640&gt;BOTT_A4,ROUND(BASE_A4+RATE_A4*($A1640-BOTT_A4),0),IF($A1640&gt;BOTT_A3,ROUND(BASE_A3+RATE_A3*($A1640-BOTT_A3),0),IF($A1640&gt;BOTT_A2,ROUND(BASE_A2+RATE_A2*($A1640-BOTT_A2),0),ROUND(RATE_A1*$A1640,0))))</f>
        <v/>
      </c>
      <c r="E1640" s="556">
        <f>IF($A1640&gt;BOTT_B4,ROUND(BASE_B4+RATE_B4*($A1640-BOTT_B4),0),IF($A1640&gt;BOTT_B3,ROUND(BASE_B3+RATE_B3*($A1640-BOTT_B3),0),IF($A1640&gt;BOTT_B2,ROUND(BASE_B2+RATE_B2*($A1640-BOTT_B2),0),ROUND(RATE_B1*$A1640,0))))</f>
        <v/>
      </c>
      <c r="F1640" s="556">
        <f>IF($A1640&gt;BOTT_C4,ROUND(BASE_C4+RATE_C4*($A1640-BOTT_C4),0),IF($A1640&gt;BOTT_C3,ROUND(BASE_C3+RATE_C3*($A1640-BOTT_C3),0),IF($A1640&gt;BOTT_C2,ROUND(BASE_C2+RATE_C2*($A1640-BOTT_C2),0),ROUND(RATE_C1*$A1640,0))))</f>
        <v/>
      </c>
      <c r="G1640" s="556">
        <f>IF($A1640&gt;BOTT_D4,ROUND(BASE_D4+RATE_D4*($A1640-BOTT_D4),0),IF($A1640&gt;BOTT_D3,ROUND(BASE_D3+RATE_D3*($A1640-BOTT_D3),0),IF($A1640&gt;BOTT_D2,ROUND(BASE_D2+RATE_D2*($A1640-BOTT_D2),0),ROUND(RATE_D1*$A1640,0))))</f>
        <v/>
      </c>
    </row>
    <row r="1641" ht="15.75" customHeight="1" s="7635">
      <c r="A1641" s="625">
        <f>AVERAGE(B1641,C1641)</f>
        <v/>
      </c>
      <c r="B1641" s="555" t="n">
        <v>78850</v>
      </c>
      <c r="C1641" s="555" t="n">
        <v>78900</v>
      </c>
      <c r="D1641" s="556">
        <f>IF($A1641&gt;BOTT_A4,ROUND(BASE_A4+RATE_A4*($A1641-BOTT_A4),0),IF($A1641&gt;BOTT_A3,ROUND(BASE_A3+RATE_A3*($A1641-BOTT_A3),0),IF($A1641&gt;BOTT_A2,ROUND(BASE_A2+RATE_A2*($A1641-BOTT_A2),0),ROUND(RATE_A1*$A1641,0))))</f>
        <v/>
      </c>
      <c r="E1641" s="556">
        <f>IF($A1641&gt;BOTT_B4,ROUND(BASE_B4+RATE_B4*($A1641-BOTT_B4),0),IF($A1641&gt;BOTT_B3,ROUND(BASE_B3+RATE_B3*($A1641-BOTT_B3),0),IF($A1641&gt;BOTT_B2,ROUND(BASE_B2+RATE_B2*($A1641-BOTT_B2),0),ROUND(RATE_B1*$A1641,0))))</f>
        <v/>
      </c>
      <c r="F1641" s="556">
        <f>IF($A1641&gt;BOTT_C4,ROUND(BASE_C4+RATE_C4*($A1641-BOTT_C4),0),IF($A1641&gt;BOTT_C3,ROUND(BASE_C3+RATE_C3*($A1641-BOTT_C3),0),IF($A1641&gt;BOTT_C2,ROUND(BASE_C2+RATE_C2*($A1641-BOTT_C2),0),ROUND(RATE_C1*$A1641,0))))</f>
        <v/>
      </c>
      <c r="G1641" s="556">
        <f>IF($A1641&gt;BOTT_D4,ROUND(BASE_D4+RATE_D4*($A1641-BOTT_D4),0),IF($A1641&gt;BOTT_D3,ROUND(BASE_D3+RATE_D3*($A1641-BOTT_D3),0),IF($A1641&gt;BOTT_D2,ROUND(BASE_D2+RATE_D2*($A1641-BOTT_D2),0),ROUND(RATE_D1*$A1641,0))))</f>
        <v/>
      </c>
    </row>
    <row r="1642" ht="15.75" customHeight="1" s="7635">
      <c r="A1642" s="625">
        <f>AVERAGE(B1642,C1642)</f>
        <v/>
      </c>
      <c r="B1642" s="555" t="n">
        <v>78900</v>
      </c>
      <c r="C1642" s="555" t="n">
        <v>78950</v>
      </c>
      <c r="D1642" s="556">
        <f>IF($A1642&gt;BOTT_A4,ROUND(BASE_A4+RATE_A4*($A1642-BOTT_A4),0),IF($A1642&gt;BOTT_A3,ROUND(BASE_A3+RATE_A3*($A1642-BOTT_A3),0),IF($A1642&gt;BOTT_A2,ROUND(BASE_A2+RATE_A2*($A1642-BOTT_A2),0),ROUND(RATE_A1*$A1642,0))))</f>
        <v/>
      </c>
      <c r="E1642" s="556">
        <f>IF($A1642&gt;BOTT_B4,ROUND(BASE_B4+RATE_B4*($A1642-BOTT_B4),0),IF($A1642&gt;BOTT_B3,ROUND(BASE_B3+RATE_B3*($A1642-BOTT_B3),0),IF($A1642&gt;BOTT_B2,ROUND(BASE_B2+RATE_B2*($A1642-BOTT_B2),0),ROUND(RATE_B1*$A1642,0))))</f>
        <v/>
      </c>
      <c r="F1642" s="556">
        <f>IF($A1642&gt;BOTT_C4,ROUND(BASE_C4+RATE_C4*($A1642-BOTT_C4),0),IF($A1642&gt;BOTT_C3,ROUND(BASE_C3+RATE_C3*($A1642-BOTT_C3),0),IF($A1642&gt;BOTT_C2,ROUND(BASE_C2+RATE_C2*($A1642-BOTT_C2),0),ROUND(RATE_C1*$A1642,0))))</f>
        <v/>
      </c>
      <c r="G1642" s="556">
        <f>IF($A1642&gt;BOTT_D4,ROUND(BASE_D4+RATE_D4*($A1642-BOTT_D4),0),IF($A1642&gt;BOTT_D3,ROUND(BASE_D3+RATE_D3*($A1642-BOTT_D3),0),IF($A1642&gt;BOTT_D2,ROUND(BASE_D2+RATE_D2*($A1642-BOTT_D2),0),ROUND(RATE_D1*$A1642,0))))</f>
        <v/>
      </c>
    </row>
    <row r="1643" ht="15.75" customHeight="1" s="7635">
      <c r="A1643" s="625">
        <f>AVERAGE(B1643,C1643)</f>
        <v/>
      </c>
      <c r="B1643" s="555" t="n">
        <v>78950</v>
      </c>
      <c r="C1643" s="555" t="n">
        <v>79000</v>
      </c>
      <c r="D1643" s="556">
        <f>IF($A1643&gt;BOTT_A4,ROUND(BASE_A4+RATE_A4*($A1643-BOTT_A4),0),IF($A1643&gt;BOTT_A3,ROUND(BASE_A3+RATE_A3*($A1643-BOTT_A3),0),IF($A1643&gt;BOTT_A2,ROUND(BASE_A2+RATE_A2*($A1643-BOTT_A2),0),ROUND(RATE_A1*$A1643,0))))</f>
        <v/>
      </c>
      <c r="E1643" s="556">
        <f>IF($A1643&gt;BOTT_B4,ROUND(BASE_B4+RATE_B4*($A1643-BOTT_B4),0),IF($A1643&gt;BOTT_B3,ROUND(BASE_B3+RATE_B3*($A1643-BOTT_B3),0),IF($A1643&gt;BOTT_B2,ROUND(BASE_B2+RATE_B2*($A1643-BOTT_B2),0),ROUND(RATE_B1*$A1643,0))))</f>
        <v/>
      </c>
      <c r="F1643" s="556">
        <f>IF($A1643&gt;BOTT_C4,ROUND(BASE_C4+RATE_C4*($A1643-BOTT_C4),0),IF($A1643&gt;BOTT_C3,ROUND(BASE_C3+RATE_C3*($A1643-BOTT_C3),0),IF($A1643&gt;BOTT_C2,ROUND(BASE_C2+RATE_C2*($A1643-BOTT_C2),0),ROUND(RATE_C1*$A1643,0))))</f>
        <v/>
      </c>
      <c r="G1643" s="556">
        <f>IF($A1643&gt;BOTT_D4,ROUND(BASE_D4+RATE_D4*($A1643-BOTT_D4),0),IF($A1643&gt;BOTT_D3,ROUND(BASE_D3+RATE_D3*($A1643-BOTT_D3),0),IF($A1643&gt;BOTT_D2,ROUND(BASE_D2+RATE_D2*($A1643-BOTT_D2),0),ROUND(RATE_D1*$A1643,0))))</f>
        <v/>
      </c>
    </row>
    <row r="1644" ht="15.75" customHeight="1" s="7635">
      <c r="A1644" s="625">
        <f>AVERAGE(B1644,C1644)</f>
        <v/>
      </c>
      <c r="B1644" s="555" t="n">
        <v>79000</v>
      </c>
      <c r="C1644" s="555" t="n">
        <v>79050</v>
      </c>
      <c r="D1644" s="556">
        <f>IF($A1644&gt;BOTT_A4,ROUND(BASE_A4+RATE_A4*($A1644-BOTT_A4),0),IF($A1644&gt;BOTT_A3,ROUND(BASE_A3+RATE_A3*($A1644-BOTT_A3),0),IF($A1644&gt;BOTT_A2,ROUND(BASE_A2+RATE_A2*($A1644-BOTT_A2),0),ROUND(RATE_A1*$A1644,0))))</f>
        <v/>
      </c>
      <c r="E1644" s="556">
        <f>IF($A1644&gt;BOTT_B4,ROUND(BASE_B4+RATE_B4*($A1644-BOTT_B4),0),IF($A1644&gt;BOTT_B3,ROUND(BASE_B3+RATE_B3*($A1644-BOTT_B3),0),IF($A1644&gt;BOTT_B2,ROUND(BASE_B2+RATE_B2*($A1644-BOTT_B2),0),ROUND(RATE_B1*$A1644,0))))</f>
        <v/>
      </c>
      <c r="F1644" s="556">
        <f>IF($A1644&gt;BOTT_C4,ROUND(BASE_C4+RATE_C4*($A1644-BOTT_C4),0),IF($A1644&gt;BOTT_C3,ROUND(BASE_C3+RATE_C3*($A1644-BOTT_C3),0),IF($A1644&gt;BOTT_C2,ROUND(BASE_C2+RATE_C2*($A1644-BOTT_C2),0),ROUND(RATE_C1*$A1644,0))))</f>
        <v/>
      </c>
      <c r="G1644" s="556">
        <f>IF($A1644&gt;BOTT_D4,ROUND(BASE_D4+RATE_D4*($A1644-BOTT_D4),0),IF($A1644&gt;BOTT_D3,ROUND(BASE_D3+RATE_D3*($A1644-BOTT_D3),0),IF($A1644&gt;BOTT_D2,ROUND(BASE_D2+RATE_D2*($A1644-BOTT_D2),0),ROUND(RATE_D1*$A1644,0))))</f>
        <v/>
      </c>
    </row>
    <row r="1645" ht="15.75" customHeight="1" s="7635">
      <c r="A1645" s="625">
        <f>AVERAGE(B1645,C1645)</f>
        <v/>
      </c>
      <c r="B1645" s="555" t="n">
        <v>79050</v>
      </c>
      <c r="C1645" s="555" t="n">
        <v>79100</v>
      </c>
      <c r="D1645" s="556">
        <f>IF($A1645&gt;BOTT_A4,ROUND(BASE_A4+RATE_A4*($A1645-BOTT_A4),0),IF($A1645&gt;BOTT_A3,ROUND(BASE_A3+RATE_A3*($A1645-BOTT_A3),0),IF($A1645&gt;BOTT_A2,ROUND(BASE_A2+RATE_A2*($A1645-BOTT_A2),0),ROUND(RATE_A1*$A1645,0))))</f>
        <v/>
      </c>
      <c r="E1645" s="556">
        <f>IF($A1645&gt;BOTT_B4,ROUND(BASE_B4+RATE_B4*($A1645-BOTT_B4),0),IF($A1645&gt;BOTT_B3,ROUND(BASE_B3+RATE_B3*($A1645-BOTT_B3),0),IF($A1645&gt;BOTT_B2,ROUND(BASE_B2+RATE_B2*($A1645-BOTT_B2),0),ROUND(RATE_B1*$A1645,0))))</f>
        <v/>
      </c>
      <c r="F1645" s="556">
        <f>IF($A1645&gt;BOTT_C4,ROUND(BASE_C4+RATE_C4*($A1645-BOTT_C4),0),IF($A1645&gt;BOTT_C3,ROUND(BASE_C3+RATE_C3*($A1645-BOTT_C3),0),IF($A1645&gt;BOTT_C2,ROUND(BASE_C2+RATE_C2*($A1645-BOTT_C2),0),ROUND(RATE_C1*$A1645,0))))</f>
        <v/>
      </c>
      <c r="G1645" s="556">
        <f>IF($A1645&gt;BOTT_D4,ROUND(BASE_D4+RATE_D4*($A1645-BOTT_D4),0),IF($A1645&gt;BOTT_D3,ROUND(BASE_D3+RATE_D3*($A1645-BOTT_D3),0),IF($A1645&gt;BOTT_D2,ROUND(BASE_D2+RATE_D2*($A1645-BOTT_D2),0),ROUND(RATE_D1*$A1645,0))))</f>
        <v/>
      </c>
    </row>
    <row r="1646" ht="15.75" customHeight="1" s="7635">
      <c r="A1646" s="625">
        <f>AVERAGE(B1646,C1646)</f>
        <v/>
      </c>
      <c r="B1646" s="555" t="n">
        <v>79100</v>
      </c>
      <c r="C1646" s="555" t="n">
        <v>79150</v>
      </c>
      <c r="D1646" s="556">
        <f>IF($A1646&gt;BOTT_A4,ROUND(BASE_A4+RATE_A4*($A1646-BOTT_A4),0),IF($A1646&gt;BOTT_A3,ROUND(BASE_A3+RATE_A3*($A1646-BOTT_A3),0),IF($A1646&gt;BOTT_A2,ROUND(BASE_A2+RATE_A2*($A1646-BOTT_A2),0),ROUND(RATE_A1*$A1646,0))))</f>
        <v/>
      </c>
      <c r="E1646" s="556">
        <f>IF($A1646&gt;BOTT_B4,ROUND(BASE_B4+RATE_B4*($A1646-BOTT_B4),0),IF($A1646&gt;BOTT_B3,ROUND(BASE_B3+RATE_B3*($A1646-BOTT_B3),0),IF($A1646&gt;BOTT_B2,ROUND(BASE_B2+RATE_B2*($A1646-BOTT_B2),0),ROUND(RATE_B1*$A1646,0))))</f>
        <v/>
      </c>
      <c r="F1646" s="556">
        <f>IF($A1646&gt;BOTT_C4,ROUND(BASE_C4+RATE_C4*($A1646-BOTT_C4),0),IF($A1646&gt;BOTT_C3,ROUND(BASE_C3+RATE_C3*($A1646-BOTT_C3),0),IF($A1646&gt;BOTT_C2,ROUND(BASE_C2+RATE_C2*($A1646-BOTT_C2),0),ROUND(RATE_C1*$A1646,0))))</f>
        <v/>
      </c>
      <c r="G1646" s="556">
        <f>IF($A1646&gt;BOTT_D4,ROUND(BASE_D4+RATE_D4*($A1646-BOTT_D4),0),IF($A1646&gt;BOTT_D3,ROUND(BASE_D3+RATE_D3*($A1646-BOTT_D3),0),IF($A1646&gt;BOTT_D2,ROUND(BASE_D2+RATE_D2*($A1646-BOTT_D2),0),ROUND(RATE_D1*$A1646,0))))</f>
        <v/>
      </c>
    </row>
    <row r="1647" ht="15.75" customHeight="1" s="7635">
      <c r="A1647" s="625">
        <f>AVERAGE(B1647,C1647)</f>
        <v/>
      </c>
      <c r="B1647" s="555" t="n">
        <v>79150</v>
      </c>
      <c r="C1647" s="555" t="n">
        <v>79200</v>
      </c>
      <c r="D1647" s="556">
        <f>IF($A1647&gt;BOTT_A4,ROUND(BASE_A4+RATE_A4*($A1647-BOTT_A4),0),IF($A1647&gt;BOTT_A3,ROUND(BASE_A3+RATE_A3*($A1647-BOTT_A3),0),IF($A1647&gt;BOTT_A2,ROUND(BASE_A2+RATE_A2*($A1647-BOTT_A2),0),ROUND(RATE_A1*$A1647,0))))</f>
        <v/>
      </c>
      <c r="E1647" s="556">
        <f>IF($A1647&gt;BOTT_B4,ROUND(BASE_B4+RATE_B4*($A1647-BOTT_B4),0),IF($A1647&gt;BOTT_B3,ROUND(BASE_B3+RATE_B3*($A1647-BOTT_B3),0),IF($A1647&gt;BOTT_B2,ROUND(BASE_B2+RATE_B2*($A1647-BOTT_B2),0),ROUND(RATE_B1*$A1647,0))))</f>
        <v/>
      </c>
      <c r="F1647" s="556">
        <f>IF($A1647&gt;BOTT_C4,ROUND(BASE_C4+RATE_C4*($A1647-BOTT_C4),0),IF($A1647&gt;BOTT_C3,ROUND(BASE_C3+RATE_C3*($A1647-BOTT_C3),0),IF($A1647&gt;BOTT_C2,ROUND(BASE_C2+RATE_C2*($A1647-BOTT_C2),0),ROUND(RATE_C1*$A1647,0))))</f>
        <v/>
      </c>
      <c r="G1647" s="556">
        <f>IF($A1647&gt;BOTT_D4,ROUND(BASE_D4+RATE_D4*($A1647-BOTT_D4),0),IF($A1647&gt;BOTT_D3,ROUND(BASE_D3+RATE_D3*($A1647-BOTT_D3),0),IF($A1647&gt;BOTT_D2,ROUND(BASE_D2+RATE_D2*($A1647-BOTT_D2),0),ROUND(RATE_D1*$A1647,0))))</f>
        <v/>
      </c>
    </row>
    <row r="1648" ht="15.75" customHeight="1" s="7635">
      <c r="A1648" s="625">
        <f>AVERAGE(B1648,C1648)</f>
        <v/>
      </c>
      <c r="B1648" s="555" t="n">
        <v>79200</v>
      </c>
      <c r="C1648" s="555" t="n">
        <v>79250</v>
      </c>
      <c r="D1648" s="556">
        <f>IF($A1648&gt;BOTT_A4,ROUND(BASE_A4+RATE_A4*($A1648-BOTT_A4),0),IF($A1648&gt;BOTT_A3,ROUND(BASE_A3+RATE_A3*($A1648-BOTT_A3),0),IF($A1648&gt;BOTT_A2,ROUND(BASE_A2+RATE_A2*($A1648-BOTT_A2),0),ROUND(RATE_A1*$A1648,0))))</f>
        <v/>
      </c>
      <c r="E1648" s="556">
        <f>IF($A1648&gt;BOTT_B4,ROUND(BASE_B4+RATE_B4*($A1648-BOTT_B4),0),IF($A1648&gt;BOTT_B3,ROUND(BASE_B3+RATE_B3*($A1648-BOTT_B3),0),IF($A1648&gt;BOTT_B2,ROUND(BASE_B2+RATE_B2*($A1648-BOTT_B2),0),ROUND(RATE_B1*$A1648,0))))</f>
        <v/>
      </c>
      <c r="F1648" s="556">
        <f>IF($A1648&gt;BOTT_C4,ROUND(BASE_C4+RATE_C4*($A1648-BOTT_C4),0),IF($A1648&gt;BOTT_C3,ROUND(BASE_C3+RATE_C3*($A1648-BOTT_C3),0),IF($A1648&gt;BOTT_C2,ROUND(BASE_C2+RATE_C2*($A1648-BOTT_C2),0),ROUND(RATE_C1*$A1648,0))))</f>
        <v/>
      </c>
      <c r="G1648" s="556">
        <f>IF($A1648&gt;BOTT_D4,ROUND(BASE_D4+RATE_D4*($A1648-BOTT_D4),0),IF($A1648&gt;BOTT_D3,ROUND(BASE_D3+RATE_D3*($A1648-BOTT_D3),0),IF($A1648&gt;BOTT_D2,ROUND(BASE_D2+RATE_D2*($A1648-BOTT_D2),0),ROUND(RATE_D1*$A1648,0))))</f>
        <v/>
      </c>
    </row>
    <row r="1649" ht="15.75" customHeight="1" s="7635">
      <c r="A1649" s="625">
        <f>AVERAGE(B1649,C1649)</f>
        <v/>
      </c>
      <c r="B1649" s="555" t="n">
        <v>79250</v>
      </c>
      <c r="C1649" s="555" t="n">
        <v>79300</v>
      </c>
      <c r="D1649" s="556">
        <f>IF($A1649&gt;BOTT_A4,ROUND(BASE_A4+RATE_A4*($A1649-BOTT_A4),0),IF($A1649&gt;BOTT_A3,ROUND(BASE_A3+RATE_A3*($A1649-BOTT_A3),0),IF($A1649&gt;BOTT_A2,ROUND(BASE_A2+RATE_A2*($A1649-BOTT_A2),0),ROUND(RATE_A1*$A1649,0))))</f>
        <v/>
      </c>
      <c r="E1649" s="556">
        <f>IF($A1649&gt;BOTT_B4,ROUND(BASE_B4+RATE_B4*($A1649-BOTT_B4),0),IF($A1649&gt;BOTT_B3,ROUND(BASE_B3+RATE_B3*($A1649-BOTT_B3),0),IF($A1649&gt;BOTT_B2,ROUND(BASE_B2+RATE_B2*($A1649-BOTT_B2),0),ROUND(RATE_B1*$A1649,0))))</f>
        <v/>
      </c>
      <c r="F1649" s="556">
        <f>IF($A1649&gt;BOTT_C4,ROUND(BASE_C4+RATE_C4*($A1649-BOTT_C4),0),IF($A1649&gt;BOTT_C3,ROUND(BASE_C3+RATE_C3*($A1649-BOTT_C3),0),IF($A1649&gt;BOTT_C2,ROUND(BASE_C2+RATE_C2*($A1649-BOTT_C2),0),ROUND(RATE_C1*$A1649,0))))</f>
        <v/>
      </c>
      <c r="G1649" s="556">
        <f>IF($A1649&gt;BOTT_D4,ROUND(BASE_D4+RATE_D4*($A1649-BOTT_D4),0),IF($A1649&gt;BOTT_D3,ROUND(BASE_D3+RATE_D3*($A1649-BOTT_D3),0),IF($A1649&gt;BOTT_D2,ROUND(BASE_D2+RATE_D2*($A1649-BOTT_D2),0),ROUND(RATE_D1*$A1649,0))))</f>
        <v/>
      </c>
    </row>
    <row r="1650" ht="15.75" customHeight="1" s="7635">
      <c r="A1650" s="625">
        <f>AVERAGE(B1650,C1650)</f>
        <v/>
      </c>
      <c r="B1650" s="555" t="n">
        <v>79300</v>
      </c>
      <c r="C1650" s="555" t="n">
        <v>79350</v>
      </c>
      <c r="D1650" s="556">
        <f>IF($A1650&gt;BOTT_A4,ROUND(BASE_A4+RATE_A4*($A1650-BOTT_A4),0),IF($A1650&gt;BOTT_A3,ROUND(BASE_A3+RATE_A3*($A1650-BOTT_A3),0),IF($A1650&gt;BOTT_A2,ROUND(BASE_A2+RATE_A2*($A1650-BOTT_A2),0),ROUND(RATE_A1*$A1650,0))))</f>
        <v/>
      </c>
      <c r="E1650" s="556">
        <f>IF($A1650&gt;BOTT_B4,ROUND(BASE_B4+RATE_B4*($A1650-BOTT_B4),0),IF($A1650&gt;BOTT_B3,ROUND(BASE_B3+RATE_B3*($A1650-BOTT_B3),0),IF($A1650&gt;BOTT_B2,ROUND(BASE_B2+RATE_B2*($A1650-BOTT_B2),0),ROUND(RATE_B1*$A1650,0))))</f>
        <v/>
      </c>
      <c r="F1650" s="556">
        <f>IF($A1650&gt;BOTT_C4,ROUND(BASE_C4+RATE_C4*($A1650-BOTT_C4),0),IF($A1650&gt;BOTT_C3,ROUND(BASE_C3+RATE_C3*($A1650-BOTT_C3),0),IF($A1650&gt;BOTT_C2,ROUND(BASE_C2+RATE_C2*($A1650-BOTT_C2),0),ROUND(RATE_C1*$A1650,0))))</f>
        <v/>
      </c>
      <c r="G1650" s="556">
        <f>IF($A1650&gt;BOTT_D4,ROUND(BASE_D4+RATE_D4*($A1650-BOTT_D4),0),IF($A1650&gt;BOTT_D3,ROUND(BASE_D3+RATE_D3*($A1650-BOTT_D3),0),IF($A1650&gt;BOTT_D2,ROUND(BASE_D2+RATE_D2*($A1650-BOTT_D2),0),ROUND(RATE_D1*$A1650,0))))</f>
        <v/>
      </c>
    </row>
    <row r="1651" ht="15.75" customHeight="1" s="7635">
      <c r="A1651" s="625">
        <f>AVERAGE(B1651,C1651)</f>
        <v/>
      </c>
      <c r="B1651" s="555" t="n">
        <v>79350</v>
      </c>
      <c r="C1651" s="555" t="n">
        <v>79400</v>
      </c>
      <c r="D1651" s="556">
        <f>IF($A1651&gt;BOTT_A4,ROUND(BASE_A4+RATE_A4*($A1651-BOTT_A4),0),IF($A1651&gt;BOTT_A3,ROUND(BASE_A3+RATE_A3*($A1651-BOTT_A3),0),IF($A1651&gt;BOTT_A2,ROUND(BASE_A2+RATE_A2*($A1651-BOTT_A2),0),ROUND(RATE_A1*$A1651,0))))</f>
        <v/>
      </c>
      <c r="E1651" s="556">
        <f>IF($A1651&gt;BOTT_B4,ROUND(BASE_B4+RATE_B4*($A1651-BOTT_B4),0),IF($A1651&gt;BOTT_B3,ROUND(BASE_B3+RATE_B3*($A1651-BOTT_B3),0),IF($A1651&gt;BOTT_B2,ROUND(BASE_B2+RATE_B2*($A1651-BOTT_B2),0),ROUND(RATE_B1*$A1651,0))))</f>
        <v/>
      </c>
      <c r="F1651" s="556">
        <f>IF($A1651&gt;BOTT_C4,ROUND(BASE_C4+RATE_C4*($A1651-BOTT_C4),0),IF($A1651&gt;BOTT_C3,ROUND(BASE_C3+RATE_C3*($A1651-BOTT_C3),0),IF($A1651&gt;BOTT_C2,ROUND(BASE_C2+RATE_C2*($A1651-BOTT_C2),0),ROUND(RATE_C1*$A1651,0))))</f>
        <v/>
      </c>
      <c r="G1651" s="556">
        <f>IF($A1651&gt;BOTT_D4,ROUND(BASE_D4+RATE_D4*($A1651-BOTT_D4),0),IF($A1651&gt;BOTT_D3,ROUND(BASE_D3+RATE_D3*($A1651-BOTT_D3),0),IF($A1651&gt;BOTT_D2,ROUND(BASE_D2+RATE_D2*($A1651-BOTT_D2),0),ROUND(RATE_D1*$A1651,0))))</f>
        <v/>
      </c>
    </row>
    <row r="1652" ht="15.75" customHeight="1" s="7635">
      <c r="A1652" s="625">
        <f>AVERAGE(B1652,C1652)</f>
        <v/>
      </c>
      <c r="B1652" s="555" t="n">
        <v>79400</v>
      </c>
      <c r="C1652" s="555" t="n">
        <v>79450</v>
      </c>
      <c r="D1652" s="556">
        <f>IF($A1652&gt;BOTT_A4,ROUND(BASE_A4+RATE_A4*($A1652-BOTT_A4),0),IF($A1652&gt;BOTT_A3,ROUND(BASE_A3+RATE_A3*($A1652-BOTT_A3),0),IF($A1652&gt;BOTT_A2,ROUND(BASE_A2+RATE_A2*($A1652-BOTT_A2),0),ROUND(RATE_A1*$A1652,0))))</f>
        <v/>
      </c>
      <c r="E1652" s="556">
        <f>IF($A1652&gt;BOTT_B4,ROUND(BASE_B4+RATE_B4*($A1652-BOTT_B4),0),IF($A1652&gt;BOTT_B3,ROUND(BASE_B3+RATE_B3*($A1652-BOTT_B3),0),IF($A1652&gt;BOTT_B2,ROUND(BASE_B2+RATE_B2*($A1652-BOTT_B2),0),ROUND(RATE_B1*$A1652,0))))</f>
        <v/>
      </c>
      <c r="F1652" s="556">
        <f>IF($A1652&gt;BOTT_C4,ROUND(BASE_C4+RATE_C4*($A1652-BOTT_C4),0),IF($A1652&gt;BOTT_C3,ROUND(BASE_C3+RATE_C3*($A1652-BOTT_C3),0),IF($A1652&gt;BOTT_C2,ROUND(BASE_C2+RATE_C2*($A1652-BOTT_C2),0),ROUND(RATE_C1*$A1652,0))))</f>
        <v/>
      </c>
      <c r="G1652" s="556">
        <f>IF($A1652&gt;BOTT_D4,ROUND(BASE_D4+RATE_D4*($A1652-BOTT_D4),0),IF($A1652&gt;BOTT_D3,ROUND(BASE_D3+RATE_D3*($A1652-BOTT_D3),0),IF($A1652&gt;BOTT_D2,ROUND(BASE_D2+RATE_D2*($A1652-BOTT_D2),0),ROUND(RATE_D1*$A1652,0))))</f>
        <v/>
      </c>
    </row>
    <row r="1653" ht="15.75" customHeight="1" s="7635">
      <c r="A1653" s="625">
        <f>AVERAGE(B1653,C1653)</f>
        <v/>
      </c>
      <c r="B1653" s="555" t="n">
        <v>79450</v>
      </c>
      <c r="C1653" s="555" t="n">
        <v>79500</v>
      </c>
      <c r="D1653" s="556">
        <f>IF($A1653&gt;BOTT_A4,ROUND(BASE_A4+RATE_A4*($A1653-BOTT_A4),0),IF($A1653&gt;BOTT_A3,ROUND(BASE_A3+RATE_A3*($A1653-BOTT_A3),0),IF($A1653&gt;BOTT_A2,ROUND(BASE_A2+RATE_A2*($A1653-BOTT_A2),0),ROUND(RATE_A1*$A1653,0))))</f>
        <v/>
      </c>
      <c r="E1653" s="556">
        <f>IF($A1653&gt;BOTT_B4,ROUND(BASE_B4+RATE_B4*($A1653-BOTT_B4),0),IF($A1653&gt;BOTT_B3,ROUND(BASE_B3+RATE_B3*($A1653-BOTT_B3),0),IF($A1653&gt;BOTT_B2,ROUND(BASE_B2+RATE_B2*($A1653-BOTT_B2),0),ROUND(RATE_B1*$A1653,0))))</f>
        <v/>
      </c>
      <c r="F1653" s="556">
        <f>IF($A1653&gt;BOTT_C4,ROUND(BASE_C4+RATE_C4*($A1653-BOTT_C4),0),IF($A1653&gt;BOTT_C3,ROUND(BASE_C3+RATE_C3*($A1653-BOTT_C3),0),IF($A1653&gt;BOTT_C2,ROUND(BASE_C2+RATE_C2*($A1653-BOTT_C2),0),ROUND(RATE_C1*$A1653,0))))</f>
        <v/>
      </c>
      <c r="G1653" s="556">
        <f>IF($A1653&gt;BOTT_D4,ROUND(BASE_D4+RATE_D4*($A1653-BOTT_D4),0),IF($A1653&gt;BOTT_D3,ROUND(BASE_D3+RATE_D3*($A1653-BOTT_D3),0),IF($A1653&gt;BOTT_D2,ROUND(BASE_D2+RATE_D2*($A1653-BOTT_D2),0),ROUND(RATE_D1*$A1653,0))))</f>
        <v/>
      </c>
    </row>
    <row r="1654" ht="15.75" customHeight="1" s="7635">
      <c r="A1654" s="625">
        <f>AVERAGE(B1654,C1654)</f>
        <v/>
      </c>
      <c r="B1654" s="555" t="n">
        <v>79500</v>
      </c>
      <c r="C1654" s="555" t="n">
        <v>79550</v>
      </c>
      <c r="D1654" s="556">
        <f>IF($A1654&gt;BOTT_A4,ROUND(BASE_A4+RATE_A4*($A1654-BOTT_A4),0),IF($A1654&gt;BOTT_A3,ROUND(BASE_A3+RATE_A3*($A1654-BOTT_A3),0),IF($A1654&gt;BOTT_A2,ROUND(BASE_A2+RATE_A2*($A1654-BOTT_A2),0),ROUND(RATE_A1*$A1654,0))))</f>
        <v/>
      </c>
      <c r="E1654" s="556">
        <f>IF($A1654&gt;BOTT_B4,ROUND(BASE_B4+RATE_B4*($A1654-BOTT_B4),0),IF($A1654&gt;BOTT_B3,ROUND(BASE_B3+RATE_B3*($A1654-BOTT_B3),0),IF($A1654&gt;BOTT_B2,ROUND(BASE_B2+RATE_B2*($A1654-BOTT_B2),0),ROUND(RATE_B1*$A1654,0))))</f>
        <v/>
      </c>
      <c r="F1654" s="556">
        <f>IF($A1654&gt;BOTT_C4,ROUND(BASE_C4+RATE_C4*($A1654-BOTT_C4),0),IF($A1654&gt;BOTT_C3,ROUND(BASE_C3+RATE_C3*($A1654-BOTT_C3),0),IF($A1654&gt;BOTT_C2,ROUND(BASE_C2+RATE_C2*($A1654-BOTT_C2),0),ROUND(RATE_C1*$A1654,0))))</f>
        <v/>
      </c>
      <c r="G1654" s="556">
        <f>IF($A1654&gt;BOTT_D4,ROUND(BASE_D4+RATE_D4*($A1654-BOTT_D4),0),IF($A1654&gt;BOTT_D3,ROUND(BASE_D3+RATE_D3*($A1654-BOTT_D3),0),IF($A1654&gt;BOTT_D2,ROUND(BASE_D2+RATE_D2*($A1654-BOTT_D2),0),ROUND(RATE_D1*$A1654,0))))</f>
        <v/>
      </c>
    </row>
    <row r="1655" ht="15.75" customHeight="1" s="7635">
      <c r="A1655" s="625">
        <f>AVERAGE(B1655,C1655)</f>
        <v/>
      </c>
      <c r="B1655" s="555" t="n">
        <v>79550</v>
      </c>
      <c r="C1655" s="555" t="n">
        <v>79600</v>
      </c>
      <c r="D1655" s="556">
        <f>IF($A1655&gt;BOTT_A4,ROUND(BASE_A4+RATE_A4*($A1655-BOTT_A4),0),IF($A1655&gt;BOTT_A3,ROUND(BASE_A3+RATE_A3*($A1655-BOTT_A3),0),IF($A1655&gt;BOTT_A2,ROUND(BASE_A2+RATE_A2*($A1655-BOTT_A2),0),ROUND(RATE_A1*$A1655,0))))</f>
        <v/>
      </c>
      <c r="E1655" s="556">
        <f>IF($A1655&gt;BOTT_B4,ROUND(BASE_B4+RATE_B4*($A1655-BOTT_B4),0),IF($A1655&gt;BOTT_B3,ROUND(BASE_B3+RATE_B3*($A1655-BOTT_B3),0),IF($A1655&gt;BOTT_B2,ROUND(BASE_B2+RATE_B2*($A1655-BOTT_B2),0),ROUND(RATE_B1*$A1655,0))))</f>
        <v/>
      </c>
      <c r="F1655" s="556">
        <f>IF($A1655&gt;BOTT_C4,ROUND(BASE_C4+RATE_C4*($A1655-BOTT_C4),0),IF($A1655&gt;BOTT_C3,ROUND(BASE_C3+RATE_C3*($A1655-BOTT_C3),0),IF($A1655&gt;BOTT_C2,ROUND(BASE_C2+RATE_C2*($A1655-BOTT_C2),0),ROUND(RATE_C1*$A1655,0))))</f>
        <v/>
      </c>
      <c r="G1655" s="556">
        <f>IF($A1655&gt;BOTT_D4,ROUND(BASE_D4+RATE_D4*($A1655-BOTT_D4),0),IF($A1655&gt;BOTT_D3,ROUND(BASE_D3+RATE_D3*($A1655-BOTT_D3),0),IF($A1655&gt;BOTT_D2,ROUND(BASE_D2+RATE_D2*($A1655-BOTT_D2),0),ROUND(RATE_D1*$A1655,0))))</f>
        <v/>
      </c>
    </row>
    <row r="1656" ht="15.75" customHeight="1" s="7635">
      <c r="A1656" s="625">
        <f>AVERAGE(B1656,C1656)</f>
        <v/>
      </c>
      <c r="B1656" s="555" t="n">
        <v>79600</v>
      </c>
      <c r="C1656" s="555" t="n">
        <v>79650</v>
      </c>
      <c r="D1656" s="556">
        <f>IF($A1656&gt;BOTT_A4,ROUND(BASE_A4+RATE_A4*($A1656-BOTT_A4),0),IF($A1656&gt;BOTT_A3,ROUND(BASE_A3+RATE_A3*($A1656-BOTT_A3),0),IF($A1656&gt;BOTT_A2,ROUND(BASE_A2+RATE_A2*($A1656-BOTT_A2),0),ROUND(RATE_A1*$A1656,0))))</f>
        <v/>
      </c>
      <c r="E1656" s="556">
        <f>IF($A1656&gt;BOTT_B4,ROUND(BASE_B4+RATE_B4*($A1656-BOTT_B4),0),IF($A1656&gt;BOTT_B3,ROUND(BASE_B3+RATE_B3*($A1656-BOTT_B3),0),IF($A1656&gt;BOTT_B2,ROUND(BASE_B2+RATE_B2*($A1656-BOTT_B2),0),ROUND(RATE_B1*$A1656,0))))</f>
        <v/>
      </c>
      <c r="F1656" s="556">
        <f>IF($A1656&gt;BOTT_C4,ROUND(BASE_C4+RATE_C4*($A1656-BOTT_C4),0),IF($A1656&gt;BOTT_C3,ROUND(BASE_C3+RATE_C3*($A1656-BOTT_C3),0),IF($A1656&gt;BOTT_C2,ROUND(BASE_C2+RATE_C2*($A1656-BOTT_C2),0),ROUND(RATE_C1*$A1656,0))))</f>
        <v/>
      </c>
      <c r="G1656" s="556">
        <f>IF($A1656&gt;BOTT_D4,ROUND(BASE_D4+RATE_D4*($A1656-BOTT_D4),0),IF($A1656&gt;BOTT_D3,ROUND(BASE_D3+RATE_D3*($A1656-BOTT_D3),0),IF($A1656&gt;BOTT_D2,ROUND(BASE_D2+RATE_D2*($A1656-BOTT_D2),0),ROUND(RATE_D1*$A1656,0))))</f>
        <v/>
      </c>
    </row>
    <row r="1657" ht="15.75" customHeight="1" s="7635">
      <c r="A1657" s="625">
        <f>AVERAGE(B1657,C1657)</f>
        <v/>
      </c>
      <c r="B1657" s="555" t="n">
        <v>79650</v>
      </c>
      <c r="C1657" s="555" t="n">
        <v>79700</v>
      </c>
      <c r="D1657" s="556">
        <f>IF($A1657&gt;BOTT_A4,ROUND(BASE_A4+RATE_A4*($A1657-BOTT_A4),0),IF($A1657&gt;BOTT_A3,ROUND(BASE_A3+RATE_A3*($A1657-BOTT_A3),0),IF($A1657&gt;BOTT_A2,ROUND(BASE_A2+RATE_A2*($A1657-BOTT_A2),0),ROUND(RATE_A1*$A1657,0))))</f>
        <v/>
      </c>
      <c r="E1657" s="556">
        <f>IF($A1657&gt;BOTT_B4,ROUND(BASE_B4+RATE_B4*($A1657-BOTT_B4),0),IF($A1657&gt;BOTT_B3,ROUND(BASE_B3+RATE_B3*($A1657-BOTT_B3),0),IF($A1657&gt;BOTT_B2,ROUND(BASE_B2+RATE_B2*($A1657-BOTT_B2),0),ROUND(RATE_B1*$A1657,0))))</f>
        <v/>
      </c>
      <c r="F1657" s="556">
        <f>IF($A1657&gt;BOTT_C4,ROUND(BASE_C4+RATE_C4*($A1657-BOTT_C4),0),IF($A1657&gt;BOTT_C3,ROUND(BASE_C3+RATE_C3*($A1657-BOTT_C3),0),IF($A1657&gt;BOTT_C2,ROUND(BASE_C2+RATE_C2*($A1657-BOTT_C2),0),ROUND(RATE_C1*$A1657,0))))</f>
        <v/>
      </c>
      <c r="G1657" s="556">
        <f>IF($A1657&gt;BOTT_D4,ROUND(BASE_D4+RATE_D4*($A1657-BOTT_D4),0),IF($A1657&gt;BOTT_D3,ROUND(BASE_D3+RATE_D3*($A1657-BOTT_D3),0),IF($A1657&gt;BOTT_D2,ROUND(BASE_D2+RATE_D2*($A1657-BOTT_D2),0),ROUND(RATE_D1*$A1657,0))))</f>
        <v/>
      </c>
    </row>
    <row r="1658" ht="15.75" customHeight="1" s="7635">
      <c r="A1658" s="625">
        <f>AVERAGE(B1658,C1658)</f>
        <v/>
      </c>
      <c r="B1658" s="555" t="n">
        <v>79700</v>
      </c>
      <c r="C1658" s="555" t="n">
        <v>79750</v>
      </c>
      <c r="D1658" s="556">
        <f>IF($A1658&gt;BOTT_A4,ROUND(BASE_A4+RATE_A4*($A1658-BOTT_A4),0),IF($A1658&gt;BOTT_A3,ROUND(BASE_A3+RATE_A3*($A1658-BOTT_A3),0),IF($A1658&gt;BOTT_A2,ROUND(BASE_A2+RATE_A2*($A1658-BOTT_A2),0),ROUND(RATE_A1*$A1658,0))))</f>
        <v/>
      </c>
      <c r="E1658" s="556">
        <f>IF($A1658&gt;BOTT_B4,ROUND(BASE_B4+RATE_B4*($A1658-BOTT_B4),0),IF($A1658&gt;BOTT_B3,ROUND(BASE_B3+RATE_B3*($A1658-BOTT_B3),0),IF($A1658&gt;BOTT_B2,ROUND(BASE_B2+RATE_B2*($A1658-BOTT_B2),0),ROUND(RATE_B1*$A1658,0))))</f>
        <v/>
      </c>
      <c r="F1658" s="556">
        <f>IF($A1658&gt;BOTT_C4,ROUND(BASE_C4+RATE_C4*($A1658-BOTT_C4),0),IF($A1658&gt;BOTT_C3,ROUND(BASE_C3+RATE_C3*($A1658-BOTT_C3),0),IF($A1658&gt;BOTT_C2,ROUND(BASE_C2+RATE_C2*($A1658-BOTT_C2),0),ROUND(RATE_C1*$A1658,0))))</f>
        <v/>
      </c>
      <c r="G1658" s="556">
        <f>IF($A1658&gt;BOTT_D4,ROUND(BASE_D4+RATE_D4*($A1658-BOTT_D4),0),IF($A1658&gt;BOTT_D3,ROUND(BASE_D3+RATE_D3*($A1658-BOTT_D3),0),IF($A1658&gt;BOTT_D2,ROUND(BASE_D2+RATE_D2*($A1658-BOTT_D2),0),ROUND(RATE_D1*$A1658,0))))</f>
        <v/>
      </c>
    </row>
    <row r="1659" ht="15.75" customHeight="1" s="7635">
      <c r="A1659" s="625">
        <f>AVERAGE(B1659,C1659)</f>
        <v/>
      </c>
      <c r="B1659" s="555" t="n">
        <v>79750</v>
      </c>
      <c r="C1659" s="555" t="n">
        <v>79800</v>
      </c>
      <c r="D1659" s="556">
        <f>IF($A1659&gt;BOTT_A4,ROUND(BASE_A4+RATE_A4*($A1659-BOTT_A4),0),IF($A1659&gt;BOTT_A3,ROUND(BASE_A3+RATE_A3*($A1659-BOTT_A3),0),IF($A1659&gt;BOTT_A2,ROUND(BASE_A2+RATE_A2*($A1659-BOTT_A2),0),ROUND(RATE_A1*$A1659,0))))</f>
        <v/>
      </c>
      <c r="E1659" s="556">
        <f>IF($A1659&gt;BOTT_B4,ROUND(BASE_B4+RATE_B4*($A1659-BOTT_B4),0),IF($A1659&gt;BOTT_B3,ROUND(BASE_B3+RATE_B3*($A1659-BOTT_B3),0),IF($A1659&gt;BOTT_B2,ROUND(BASE_B2+RATE_B2*($A1659-BOTT_B2),0),ROUND(RATE_B1*$A1659,0))))</f>
        <v/>
      </c>
      <c r="F1659" s="556">
        <f>IF($A1659&gt;BOTT_C4,ROUND(BASE_C4+RATE_C4*($A1659-BOTT_C4),0),IF($A1659&gt;BOTT_C3,ROUND(BASE_C3+RATE_C3*($A1659-BOTT_C3),0),IF($A1659&gt;BOTT_C2,ROUND(BASE_C2+RATE_C2*($A1659-BOTT_C2),0),ROUND(RATE_C1*$A1659,0))))</f>
        <v/>
      </c>
      <c r="G1659" s="556">
        <f>IF($A1659&gt;BOTT_D4,ROUND(BASE_D4+RATE_D4*($A1659-BOTT_D4),0),IF($A1659&gt;BOTT_D3,ROUND(BASE_D3+RATE_D3*($A1659-BOTT_D3),0),IF($A1659&gt;BOTT_D2,ROUND(BASE_D2+RATE_D2*($A1659-BOTT_D2),0),ROUND(RATE_D1*$A1659,0))))</f>
        <v/>
      </c>
    </row>
    <row r="1660" ht="15.75" customHeight="1" s="7635">
      <c r="A1660" s="625">
        <f>AVERAGE(B1660,C1660)</f>
        <v/>
      </c>
      <c r="B1660" s="555" t="n">
        <v>79800</v>
      </c>
      <c r="C1660" s="555" t="n">
        <v>79850</v>
      </c>
      <c r="D1660" s="556">
        <f>IF($A1660&gt;BOTT_A4,ROUND(BASE_A4+RATE_A4*($A1660-BOTT_A4),0),IF($A1660&gt;BOTT_A3,ROUND(BASE_A3+RATE_A3*($A1660-BOTT_A3),0),IF($A1660&gt;BOTT_A2,ROUND(BASE_A2+RATE_A2*($A1660-BOTT_A2),0),ROUND(RATE_A1*$A1660,0))))</f>
        <v/>
      </c>
      <c r="E1660" s="556">
        <f>IF($A1660&gt;BOTT_B4,ROUND(BASE_B4+RATE_B4*($A1660-BOTT_B4),0),IF($A1660&gt;BOTT_B3,ROUND(BASE_B3+RATE_B3*($A1660-BOTT_B3),0),IF($A1660&gt;BOTT_B2,ROUND(BASE_B2+RATE_B2*($A1660-BOTT_B2),0),ROUND(RATE_B1*$A1660,0))))</f>
        <v/>
      </c>
      <c r="F1660" s="556">
        <f>IF($A1660&gt;BOTT_C4,ROUND(BASE_C4+RATE_C4*($A1660-BOTT_C4),0),IF($A1660&gt;BOTT_C3,ROUND(BASE_C3+RATE_C3*($A1660-BOTT_C3),0),IF($A1660&gt;BOTT_C2,ROUND(BASE_C2+RATE_C2*($A1660-BOTT_C2),0),ROUND(RATE_C1*$A1660,0))))</f>
        <v/>
      </c>
      <c r="G1660" s="556">
        <f>IF($A1660&gt;BOTT_D4,ROUND(BASE_D4+RATE_D4*($A1660-BOTT_D4),0),IF($A1660&gt;BOTT_D3,ROUND(BASE_D3+RATE_D3*($A1660-BOTT_D3),0),IF($A1660&gt;BOTT_D2,ROUND(BASE_D2+RATE_D2*($A1660-BOTT_D2),0),ROUND(RATE_D1*$A1660,0))))</f>
        <v/>
      </c>
    </row>
    <row r="1661" ht="15.75" customHeight="1" s="7635">
      <c r="A1661" s="625">
        <f>AVERAGE(B1661,C1661)</f>
        <v/>
      </c>
      <c r="B1661" s="555" t="n">
        <v>79850</v>
      </c>
      <c r="C1661" s="555" t="n">
        <v>79900</v>
      </c>
      <c r="D1661" s="556">
        <f>IF($A1661&gt;BOTT_A4,ROUND(BASE_A4+RATE_A4*($A1661-BOTT_A4),0),IF($A1661&gt;BOTT_A3,ROUND(BASE_A3+RATE_A3*($A1661-BOTT_A3),0),IF($A1661&gt;BOTT_A2,ROUND(BASE_A2+RATE_A2*($A1661-BOTT_A2),0),ROUND(RATE_A1*$A1661,0))))</f>
        <v/>
      </c>
      <c r="E1661" s="556">
        <f>IF($A1661&gt;BOTT_B4,ROUND(BASE_B4+RATE_B4*($A1661-BOTT_B4),0),IF($A1661&gt;BOTT_B3,ROUND(BASE_B3+RATE_B3*($A1661-BOTT_B3),0),IF($A1661&gt;BOTT_B2,ROUND(BASE_B2+RATE_B2*($A1661-BOTT_B2),0),ROUND(RATE_B1*$A1661,0))))</f>
        <v/>
      </c>
      <c r="F1661" s="556">
        <f>IF($A1661&gt;BOTT_C4,ROUND(BASE_C4+RATE_C4*($A1661-BOTT_C4),0),IF($A1661&gt;BOTT_C3,ROUND(BASE_C3+RATE_C3*($A1661-BOTT_C3),0),IF($A1661&gt;BOTT_C2,ROUND(BASE_C2+RATE_C2*($A1661-BOTT_C2),0),ROUND(RATE_C1*$A1661,0))))</f>
        <v/>
      </c>
      <c r="G1661" s="556">
        <f>IF($A1661&gt;BOTT_D4,ROUND(BASE_D4+RATE_D4*($A1661-BOTT_D4),0),IF($A1661&gt;BOTT_D3,ROUND(BASE_D3+RATE_D3*($A1661-BOTT_D3),0),IF($A1661&gt;BOTT_D2,ROUND(BASE_D2+RATE_D2*($A1661-BOTT_D2),0),ROUND(RATE_D1*$A1661,0))))</f>
        <v/>
      </c>
    </row>
    <row r="1662" ht="15.75" customHeight="1" s="7635">
      <c r="A1662" s="625">
        <f>AVERAGE(B1662,C1662)</f>
        <v/>
      </c>
      <c r="B1662" s="555" t="n">
        <v>79900</v>
      </c>
      <c r="C1662" s="555" t="n">
        <v>79950</v>
      </c>
      <c r="D1662" s="556">
        <f>IF($A1662&gt;BOTT_A4,ROUND(BASE_A4+RATE_A4*($A1662-BOTT_A4),0),IF($A1662&gt;BOTT_A3,ROUND(BASE_A3+RATE_A3*($A1662-BOTT_A3),0),IF($A1662&gt;BOTT_A2,ROUND(BASE_A2+RATE_A2*($A1662-BOTT_A2),0),ROUND(RATE_A1*$A1662,0))))</f>
        <v/>
      </c>
      <c r="E1662" s="556">
        <f>IF($A1662&gt;BOTT_B4,ROUND(BASE_B4+RATE_B4*($A1662-BOTT_B4),0),IF($A1662&gt;BOTT_B3,ROUND(BASE_B3+RATE_B3*($A1662-BOTT_B3),0),IF($A1662&gt;BOTT_B2,ROUND(BASE_B2+RATE_B2*($A1662-BOTT_B2),0),ROUND(RATE_B1*$A1662,0))))</f>
        <v/>
      </c>
      <c r="F1662" s="556">
        <f>IF($A1662&gt;BOTT_C4,ROUND(BASE_C4+RATE_C4*($A1662-BOTT_C4),0),IF($A1662&gt;BOTT_C3,ROUND(BASE_C3+RATE_C3*($A1662-BOTT_C3),0),IF($A1662&gt;BOTT_C2,ROUND(BASE_C2+RATE_C2*($A1662-BOTT_C2),0),ROUND(RATE_C1*$A1662,0))))</f>
        <v/>
      </c>
      <c r="G1662" s="556">
        <f>IF($A1662&gt;BOTT_D4,ROUND(BASE_D4+RATE_D4*($A1662-BOTT_D4),0),IF($A1662&gt;BOTT_D3,ROUND(BASE_D3+RATE_D3*($A1662-BOTT_D3),0),IF($A1662&gt;BOTT_D2,ROUND(BASE_D2+RATE_D2*($A1662-BOTT_D2),0),ROUND(RATE_D1*$A1662,0))))</f>
        <v/>
      </c>
    </row>
    <row r="1663" ht="15.75" customHeight="1" s="7635">
      <c r="A1663" s="625">
        <f>AVERAGE(B1663,C1663)</f>
        <v/>
      </c>
      <c r="B1663" s="555" t="n">
        <v>79950</v>
      </c>
      <c r="C1663" s="555" t="n">
        <v>80000</v>
      </c>
      <c r="D1663" s="556">
        <f>IF($A1663&gt;BOTT_A4,ROUND(BASE_A4+RATE_A4*($A1663-BOTT_A4),0),IF($A1663&gt;BOTT_A3,ROUND(BASE_A3+RATE_A3*($A1663-BOTT_A3),0),IF($A1663&gt;BOTT_A2,ROUND(BASE_A2+RATE_A2*($A1663-BOTT_A2),0),ROUND(RATE_A1*$A1663,0))))</f>
        <v/>
      </c>
      <c r="E1663" s="556">
        <f>IF($A1663&gt;BOTT_B4,ROUND(BASE_B4+RATE_B4*($A1663-BOTT_B4),0),IF($A1663&gt;BOTT_B3,ROUND(BASE_B3+RATE_B3*($A1663-BOTT_B3),0),IF($A1663&gt;BOTT_B2,ROUND(BASE_B2+RATE_B2*($A1663-BOTT_B2),0),ROUND(RATE_B1*$A1663,0))))</f>
        <v/>
      </c>
      <c r="F1663" s="556">
        <f>IF($A1663&gt;BOTT_C4,ROUND(BASE_C4+RATE_C4*($A1663-BOTT_C4),0),IF($A1663&gt;BOTT_C3,ROUND(BASE_C3+RATE_C3*($A1663-BOTT_C3),0),IF($A1663&gt;BOTT_C2,ROUND(BASE_C2+RATE_C2*($A1663-BOTT_C2),0),ROUND(RATE_C1*$A1663,0))))</f>
        <v/>
      </c>
      <c r="G1663" s="556">
        <f>IF($A1663&gt;BOTT_D4,ROUND(BASE_D4+RATE_D4*($A1663-BOTT_D4),0),IF($A1663&gt;BOTT_D3,ROUND(BASE_D3+RATE_D3*($A1663-BOTT_D3),0),IF($A1663&gt;BOTT_D2,ROUND(BASE_D2+RATE_D2*($A1663-BOTT_D2),0),ROUND(RATE_D1*$A1663,0))))</f>
        <v/>
      </c>
    </row>
    <row r="1664" ht="15.75" customHeight="1" s="7635">
      <c r="A1664" s="625">
        <f>AVERAGE(B1664,C1664)</f>
        <v/>
      </c>
      <c r="B1664" s="555" t="n">
        <v>80000</v>
      </c>
      <c r="C1664" s="555" t="n">
        <v>80050</v>
      </c>
      <c r="D1664" s="556">
        <f>IF($A1664&gt;BOTT_A4,ROUND(BASE_A4+RATE_A4*($A1664-BOTT_A4),0),IF($A1664&gt;BOTT_A3,ROUND(BASE_A3+RATE_A3*($A1664-BOTT_A3),0),IF($A1664&gt;BOTT_A2,ROUND(BASE_A2+RATE_A2*($A1664-BOTT_A2),0),ROUND(RATE_A1*$A1664,0))))</f>
        <v/>
      </c>
      <c r="E1664" s="556">
        <f>IF($A1664&gt;BOTT_B4,ROUND(BASE_B4+RATE_B4*($A1664-BOTT_B4),0),IF($A1664&gt;BOTT_B3,ROUND(BASE_B3+RATE_B3*($A1664-BOTT_B3),0),IF($A1664&gt;BOTT_B2,ROUND(BASE_B2+RATE_B2*($A1664-BOTT_B2),0),ROUND(RATE_B1*$A1664,0))))</f>
        <v/>
      </c>
      <c r="F1664" s="556">
        <f>IF($A1664&gt;BOTT_C4,ROUND(BASE_C4+RATE_C4*($A1664-BOTT_C4),0),IF($A1664&gt;BOTT_C3,ROUND(BASE_C3+RATE_C3*($A1664-BOTT_C3),0),IF($A1664&gt;BOTT_C2,ROUND(BASE_C2+RATE_C2*($A1664-BOTT_C2),0),ROUND(RATE_C1*$A1664,0))))</f>
        <v/>
      </c>
      <c r="G1664" s="556">
        <f>IF($A1664&gt;BOTT_D4,ROUND(BASE_D4+RATE_D4*($A1664-BOTT_D4),0),IF($A1664&gt;BOTT_D3,ROUND(BASE_D3+RATE_D3*($A1664-BOTT_D3),0),IF($A1664&gt;BOTT_D2,ROUND(BASE_D2+RATE_D2*($A1664-BOTT_D2),0),ROUND(RATE_D1*$A1664,0))))</f>
        <v/>
      </c>
    </row>
    <row r="1665" ht="15.75" customHeight="1" s="7635">
      <c r="A1665" s="625">
        <f>AVERAGE(B1665,C1665)</f>
        <v/>
      </c>
      <c r="B1665" s="555" t="n">
        <v>80050</v>
      </c>
      <c r="C1665" s="555" t="n">
        <v>80100</v>
      </c>
      <c r="D1665" s="556">
        <f>IF($A1665&gt;BOTT_A4,ROUND(BASE_A4+RATE_A4*($A1665-BOTT_A4),0),IF($A1665&gt;BOTT_A3,ROUND(BASE_A3+RATE_A3*($A1665-BOTT_A3),0),IF($A1665&gt;BOTT_A2,ROUND(BASE_A2+RATE_A2*($A1665-BOTT_A2),0),ROUND(RATE_A1*$A1665,0))))</f>
        <v/>
      </c>
      <c r="E1665" s="556">
        <f>IF($A1665&gt;BOTT_B4,ROUND(BASE_B4+RATE_B4*($A1665-BOTT_B4),0),IF($A1665&gt;BOTT_B3,ROUND(BASE_B3+RATE_B3*($A1665-BOTT_B3),0),IF($A1665&gt;BOTT_B2,ROUND(BASE_B2+RATE_B2*($A1665-BOTT_B2),0),ROUND(RATE_B1*$A1665,0))))</f>
        <v/>
      </c>
      <c r="F1665" s="556">
        <f>IF($A1665&gt;BOTT_C4,ROUND(BASE_C4+RATE_C4*($A1665-BOTT_C4),0),IF($A1665&gt;BOTT_C3,ROUND(BASE_C3+RATE_C3*($A1665-BOTT_C3),0),IF($A1665&gt;BOTT_C2,ROUND(BASE_C2+RATE_C2*($A1665-BOTT_C2),0),ROUND(RATE_C1*$A1665,0))))</f>
        <v/>
      </c>
      <c r="G1665" s="556">
        <f>IF($A1665&gt;BOTT_D4,ROUND(BASE_D4+RATE_D4*($A1665-BOTT_D4),0),IF($A1665&gt;BOTT_D3,ROUND(BASE_D3+RATE_D3*($A1665-BOTT_D3),0),IF($A1665&gt;BOTT_D2,ROUND(BASE_D2+RATE_D2*($A1665-BOTT_D2),0),ROUND(RATE_D1*$A1665,0))))</f>
        <v/>
      </c>
    </row>
    <row r="1666" ht="15.75" customHeight="1" s="7635">
      <c r="A1666" s="625">
        <f>AVERAGE(B1666,C1666)</f>
        <v/>
      </c>
      <c r="B1666" s="555" t="n">
        <v>80100</v>
      </c>
      <c r="C1666" s="555" t="n">
        <v>80150</v>
      </c>
      <c r="D1666" s="556">
        <f>IF($A1666&gt;BOTT_A4,ROUND(BASE_A4+RATE_A4*($A1666-BOTT_A4),0),IF($A1666&gt;BOTT_A3,ROUND(BASE_A3+RATE_A3*($A1666-BOTT_A3),0),IF($A1666&gt;BOTT_A2,ROUND(BASE_A2+RATE_A2*($A1666-BOTT_A2),0),ROUND(RATE_A1*$A1666,0))))</f>
        <v/>
      </c>
      <c r="E1666" s="556">
        <f>IF($A1666&gt;BOTT_B4,ROUND(BASE_B4+RATE_B4*($A1666-BOTT_B4),0),IF($A1666&gt;BOTT_B3,ROUND(BASE_B3+RATE_B3*($A1666-BOTT_B3),0),IF($A1666&gt;BOTT_B2,ROUND(BASE_B2+RATE_B2*($A1666-BOTT_B2),0),ROUND(RATE_B1*$A1666,0))))</f>
        <v/>
      </c>
      <c r="F1666" s="556">
        <f>IF($A1666&gt;BOTT_C4,ROUND(BASE_C4+RATE_C4*($A1666-BOTT_C4),0),IF($A1666&gt;BOTT_C3,ROUND(BASE_C3+RATE_C3*($A1666-BOTT_C3),0),IF($A1666&gt;BOTT_C2,ROUND(BASE_C2+RATE_C2*($A1666-BOTT_C2),0),ROUND(RATE_C1*$A1666,0))))</f>
        <v/>
      </c>
      <c r="G1666" s="556">
        <f>IF($A1666&gt;BOTT_D4,ROUND(BASE_D4+RATE_D4*($A1666-BOTT_D4),0),IF($A1666&gt;BOTT_D3,ROUND(BASE_D3+RATE_D3*($A1666-BOTT_D3),0),IF($A1666&gt;BOTT_D2,ROUND(BASE_D2+RATE_D2*($A1666-BOTT_D2),0),ROUND(RATE_D1*$A1666,0))))</f>
        <v/>
      </c>
    </row>
    <row r="1667" ht="15.75" customHeight="1" s="7635">
      <c r="A1667" s="625">
        <f>AVERAGE(B1667,C1667)</f>
        <v/>
      </c>
      <c r="B1667" s="555" t="n">
        <v>80150</v>
      </c>
      <c r="C1667" s="555" t="n">
        <v>80200</v>
      </c>
      <c r="D1667" s="556">
        <f>IF($A1667&gt;BOTT_A4,ROUND(BASE_A4+RATE_A4*($A1667-BOTT_A4),0),IF($A1667&gt;BOTT_A3,ROUND(BASE_A3+RATE_A3*($A1667-BOTT_A3),0),IF($A1667&gt;BOTT_A2,ROUND(BASE_A2+RATE_A2*($A1667-BOTT_A2),0),ROUND(RATE_A1*$A1667,0))))</f>
        <v/>
      </c>
      <c r="E1667" s="556">
        <f>IF($A1667&gt;BOTT_B4,ROUND(BASE_B4+RATE_B4*($A1667-BOTT_B4),0),IF($A1667&gt;BOTT_B3,ROUND(BASE_B3+RATE_B3*($A1667-BOTT_B3),0),IF($A1667&gt;BOTT_B2,ROUND(BASE_B2+RATE_B2*($A1667-BOTT_B2),0),ROUND(RATE_B1*$A1667,0))))</f>
        <v/>
      </c>
      <c r="F1667" s="556">
        <f>IF($A1667&gt;BOTT_C4,ROUND(BASE_C4+RATE_C4*($A1667-BOTT_C4),0),IF($A1667&gt;BOTT_C3,ROUND(BASE_C3+RATE_C3*($A1667-BOTT_C3),0),IF($A1667&gt;BOTT_C2,ROUND(BASE_C2+RATE_C2*($A1667-BOTT_C2),0),ROUND(RATE_C1*$A1667,0))))</f>
        <v/>
      </c>
      <c r="G1667" s="556">
        <f>IF($A1667&gt;BOTT_D4,ROUND(BASE_D4+RATE_D4*($A1667-BOTT_D4),0),IF($A1667&gt;BOTT_D3,ROUND(BASE_D3+RATE_D3*($A1667-BOTT_D3),0),IF($A1667&gt;BOTT_D2,ROUND(BASE_D2+RATE_D2*($A1667-BOTT_D2),0),ROUND(RATE_D1*$A1667,0))))</f>
        <v/>
      </c>
    </row>
    <row r="1668" ht="15.75" customHeight="1" s="7635">
      <c r="A1668" s="625">
        <f>AVERAGE(B1668,C1668)</f>
        <v/>
      </c>
      <c r="B1668" s="555" t="n">
        <v>80200</v>
      </c>
      <c r="C1668" s="555" t="n">
        <v>80250</v>
      </c>
      <c r="D1668" s="556">
        <f>IF($A1668&gt;BOTT_A4,ROUND(BASE_A4+RATE_A4*($A1668-BOTT_A4),0),IF($A1668&gt;BOTT_A3,ROUND(BASE_A3+RATE_A3*($A1668-BOTT_A3),0),IF($A1668&gt;BOTT_A2,ROUND(BASE_A2+RATE_A2*($A1668-BOTT_A2),0),ROUND(RATE_A1*$A1668,0))))</f>
        <v/>
      </c>
      <c r="E1668" s="556">
        <f>IF($A1668&gt;BOTT_B4,ROUND(BASE_B4+RATE_B4*($A1668-BOTT_B4),0),IF($A1668&gt;BOTT_B3,ROUND(BASE_B3+RATE_B3*($A1668-BOTT_B3),0),IF($A1668&gt;BOTT_B2,ROUND(BASE_B2+RATE_B2*($A1668-BOTT_B2),0),ROUND(RATE_B1*$A1668,0))))</f>
        <v/>
      </c>
      <c r="F1668" s="556">
        <f>IF($A1668&gt;BOTT_C4,ROUND(BASE_C4+RATE_C4*($A1668-BOTT_C4),0),IF($A1668&gt;BOTT_C3,ROUND(BASE_C3+RATE_C3*($A1668-BOTT_C3),0),IF($A1668&gt;BOTT_C2,ROUND(BASE_C2+RATE_C2*($A1668-BOTT_C2),0),ROUND(RATE_C1*$A1668,0))))</f>
        <v/>
      </c>
      <c r="G1668" s="556">
        <f>IF($A1668&gt;BOTT_D4,ROUND(BASE_D4+RATE_D4*($A1668-BOTT_D4),0),IF($A1668&gt;BOTT_D3,ROUND(BASE_D3+RATE_D3*($A1668-BOTT_D3),0),IF($A1668&gt;BOTT_D2,ROUND(BASE_D2+RATE_D2*($A1668-BOTT_D2),0),ROUND(RATE_D1*$A1668,0))))</f>
        <v/>
      </c>
    </row>
    <row r="1669" ht="15.75" customHeight="1" s="7635">
      <c r="A1669" s="625">
        <f>AVERAGE(B1669,C1669)</f>
        <v/>
      </c>
      <c r="B1669" s="555" t="n">
        <v>80250</v>
      </c>
      <c r="C1669" s="555" t="n">
        <v>80300</v>
      </c>
      <c r="D1669" s="556">
        <f>IF($A1669&gt;BOTT_A4,ROUND(BASE_A4+RATE_A4*($A1669-BOTT_A4),0),IF($A1669&gt;BOTT_A3,ROUND(BASE_A3+RATE_A3*($A1669-BOTT_A3),0),IF($A1669&gt;BOTT_A2,ROUND(BASE_A2+RATE_A2*($A1669-BOTT_A2),0),ROUND(RATE_A1*$A1669,0))))</f>
        <v/>
      </c>
      <c r="E1669" s="556">
        <f>IF($A1669&gt;BOTT_B4,ROUND(BASE_B4+RATE_B4*($A1669-BOTT_B4),0),IF($A1669&gt;BOTT_B3,ROUND(BASE_B3+RATE_B3*($A1669-BOTT_B3),0),IF($A1669&gt;BOTT_B2,ROUND(BASE_B2+RATE_B2*($A1669-BOTT_B2),0),ROUND(RATE_B1*$A1669,0))))</f>
        <v/>
      </c>
      <c r="F1669" s="556">
        <f>IF($A1669&gt;BOTT_C4,ROUND(BASE_C4+RATE_C4*($A1669-BOTT_C4),0),IF($A1669&gt;BOTT_C3,ROUND(BASE_C3+RATE_C3*($A1669-BOTT_C3),0),IF($A1669&gt;BOTT_C2,ROUND(BASE_C2+RATE_C2*($A1669-BOTT_C2),0),ROUND(RATE_C1*$A1669,0))))</f>
        <v/>
      </c>
      <c r="G1669" s="556">
        <f>IF($A1669&gt;BOTT_D4,ROUND(BASE_D4+RATE_D4*($A1669-BOTT_D4),0),IF($A1669&gt;BOTT_D3,ROUND(BASE_D3+RATE_D3*($A1669-BOTT_D3),0),IF($A1669&gt;BOTT_D2,ROUND(BASE_D2+RATE_D2*($A1669-BOTT_D2),0),ROUND(RATE_D1*$A1669,0))))</f>
        <v/>
      </c>
    </row>
    <row r="1670" ht="15.75" customHeight="1" s="7635">
      <c r="A1670" s="625">
        <f>AVERAGE(B1670,C1670)</f>
        <v/>
      </c>
      <c r="B1670" s="555" t="n">
        <v>80300</v>
      </c>
      <c r="C1670" s="555" t="n">
        <v>80350</v>
      </c>
      <c r="D1670" s="556">
        <f>IF($A1670&gt;BOTT_A4,ROUND(BASE_A4+RATE_A4*($A1670-BOTT_A4),0),IF($A1670&gt;BOTT_A3,ROUND(BASE_A3+RATE_A3*($A1670-BOTT_A3),0),IF($A1670&gt;BOTT_A2,ROUND(BASE_A2+RATE_A2*($A1670-BOTT_A2),0),ROUND(RATE_A1*$A1670,0))))</f>
        <v/>
      </c>
      <c r="E1670" s="556">
        <f>IF($A1670&gt;BOTT_B4,ROUND(BASE_B4+RATE_B4*($A1670-BOTT_B4),0),IF($A1670&gt;BOTT_B3,ROUND(BASE_B3+RATE_B3*($A1670-BOTT_B3),0),IF($A1670&gt;BOTT_B2,ROUND(BASE_B2+RATE_B2*($A1670-BOTT_B2),0),ROUND(RATE_B1*$A1670,0))))</f>
        <v/>
      </c>
      <c r="F1670" s="556">
        <f>IF($A1670&gt;BOTT_C4,ROUND(BASE_C4+RATE_C4*($A1670-BOTT_C4),0),IF($A1670&gt;BOTT_C3,ROUND(BASE_C3+RATE_C3*($A1670-BOTT_C3),0),IF($A1670&gt;BOTT_C2,ROUND(BASE_C2+RATE_C2*($A1670-BOTT_C2),0),ROUND(RATE_C1*$A1670,0))))</f>
        <v/>
      </c>
      <c r="G1670" s="556">
        <f>IF($A1670&gt;BOTT_D4,ROUND(BASE_D4+RATE_D4*($A1670-BOTT_D4),0),IF($A1670&gt;BOTT_D3,ROUND(BASE_D3+RATE_D3*($A1670-BOTT_D3),0),IF($A1670&gt;BOTT_D2,ROUND(BASE_D2+RATE_D2*($A1670-BOTT_D2),0),ROUND(RATE_D1*$A1670,0))))</f>
        <v/>
      </c>
    </row>
    <row r="1671" ht="15.75" customHeight="1" s="7635">
      <c r="A1671" s="625">
        <f>AVERAGE(B1671,C1671)</f>
        <v/>
      </c>
      <c r="B1671" s="555" t="n">
        <v>80350</v>
      </c>
      <c r="C1671" s="555" t="n">
        <v>80400</v>
      </c>
      <c r="D1671" s="556">
        <f>IF($A1671&gt;BOTT_A4,ROUND(BASE_A4+RATE_A4*($A1671-BOTT_A4),0),IF($A1671&gt;BOTT_A3,ROUND(BASE_A3+RATE_A3*($A1671-BOTT_A3),0),IF($A1671&gt;BOTT_A2,ROUND(BASE_A2+RATE_A2*($A1671-BOTT_A2),0),ROUND(RATE_A1*$A1671,0))))</f>
        <v/>
      </c>
      <c r="E1671" s="556">
        <f>IF($A1671&gt;BOTT_B4,ROUND(BASE_B4+RATE_B4*($A1671-BOTT_B4),0),IF($A1671&gt;BOTT_B3,ROUND(BASE_B3+RATE_B3*($A1671-BOTT_B3),0),IF($A1671&gt;BOTT_B2,ROUND(BASE_B2+RATE_B2*($A1671-BOTT_B2),0),ROUND(RATE_B1*$A1671,0))))</f>
        <v/>
      </c>
      <c r="F1671" s="556">
        <f>IF($A1671&gt;BOTT_C4,ROUND(BASE_C4+RATE_C4*($A1671-BOTT_C4),0),IF($A1671&gt;BOTT_C3,ROUND(BASE_C3+RATE_C3*($A1671-BOTT_C3),0),IF($A1671&gt;BOTT_C2,ROUND(BASE_C2+RATE_C2*($A1671-BOTT_C2),0),ROUND(RATE_C1*$A1671,0))))</f>
        <v/>
      </c>
      <c r="G1671" s="556">
        <f>IF($A1671&gt;BOTT_D4,ROUND(BASE_D4+RATE_D4*($A1671-BOTT_D4),0),IF($A1671&gt;BOTT_D3,ROUND(BASE_D3+RATE_D3*($A1671-BOTT_D3),0),IF($A1671&gt;BOTT_D2,ROUND(BASE_D2+RATE_D2*($A1671-BOTT_D2),0),ROUND(RATE_D1*$A1671,0))))</f>
        <v/>
      </c>
    </row>
    <row r="1672" ht="15.75" customHeight="1" s="7635">
      <c r="A1672" s="625">
        <f>AVERAGE(B1672,C1672)</f>
        <v/>
      </c>
      <c r="B1672" s="555" t="n">
        <v>80400</v>
      </c>
      <c r="C1672" s="555" t="n">
        <v>80450</v>
      </c>
      <c r="D1672" s="556">
        <f>IF($A1672&gt;BOTT_A4,ROUND(BASE_A4+RATE_A4*($A1672-BOTT_A4),0),IF($A1672&gt;BOTT_A3,ROUND(BASE_A3+RATE_A3*($A1672-BOTT_A3),0),IF($A1672&gt;BOTT_A2,ROUND(BASE_A2+RATE_A2*($A1672-BOTT_A2),0),ROUND(RATE_A1*$A1672,0))))</f>
        <v/>
      </c>
      <c r="E1672" s="556">
        <f>IF($A1672&gt;BOTT_B4,ROUND(BASE_B4+RATE_B4*($A1672-BOTT_B4),0),IF($A1672&gt;BOTT_B3,ROUND(BASE_B3+RATE_B3*($A1672-BOTT_B3),0),IF($A1672&gt;BOTT_B2,ROUND(BASE_B2+RATE_B2*($A1672-BOTT_B2),0),ROUND(RATE_B1*$A1672,0))))</f>
        <v/>
      </c>
      <c r="F1672" s="556">
        <f>IF($A1672&gt;BOTT_C4,ROUND(BASE_C4+RATE_C4*($A1672-BOTT_C4),0),IF($A1672&gt;BOTT_C3,ROUND(BASE_C3+RATE_C3*($A1672-BOTT_C3),0),IF($A1672&gt;BOTT_C2,ROUND(BASE_C2+RATE_C2*($A1672-BOTT_C2),0),ROUND(RATE_C1*$A1672,0))))</f>
        <v/>
      </c>
      <c r="G1672" s="556">
        <f>IF($A1672&gt;BOTT_D4,ROUND(BASE_D4+RATE_D4*($A1672-BOTT_D4),0),IF($A1672&gt;BOTT_D3,ROUND(BASE_D3+RATE_D3*($A1672-BOTT_D3),0),IF($A1672&gt;BOTT_D2,ROUND(BASE_D2+RATE_D2*($A1672-BOTT_D2),0),ROUND(RATE_D1*$A1672,0))))</f>
        <v/>
      </c>
    </row>
    <row r="1673" ht="15.75" customHeight="1" s="7635">
      <c r="A1673" s="625">
        <f>AVERAGE(B1673,C1673)</f>
        <v/>
      </c>
      <c r="B1673" s="555" t="n">
        <v>80450</v>
      </c>
      <c r="C1673" s="555" t="n">
        <v>80500</v>
      </c>
      <c r="D1673" s="556">
        <f>IF($A1673&gt;BOTT_A4,ROUND(BASE_A4+RATE_A4*($A1673-BOTT_A4),0),IF($A1673&gt;BOTT_A3,ROUND(BASE_A3+RATE_A3*($A1673-BOTT_A3),0),IF($A1673&gt;BOTT_A2,ROUND(BASE_A2+RATE_A2*($A1673-BOTT_A2),0),ROUND(RATE_A1*$A1673,0))))</f>
        <v/>
      </c>
      <c r="E1673" s="556">
        <f>IF($A1673&gt;BOTT_B4,ROUND(BASE_B4+RATE_B4*($A1673-BOTT_B4),0),IF($A1673&gt;BOTT_B3,ROUND(BASE_B3+RATE_B3*($A1673-BOTT_B3),0),IF($A1673&gt;BOTT_B2,ROUND(BASE_B2+RATE_B2*($A1673-BOTT_B2),0),ROUND(RATE_B1*$A1673,0))))</f>
        <v/>
      </c>
      <c r="F1673" s="556">
        <f>IF($A1673&gt;BOTT_C4,ROUND(BASE_C4+RATE_C4*($A1673-BOTT_C4),0),IF($A1673&gt;BOTT_C3,ROUND(BASE_C3+RATE_C3*($A1673-BOTT_C3),0),IF($A1673&gt;BOTT_C2,ROUND(BASE_C2+RATE_C2*($A1673-BOTT_C2),0),ROUND(RATE_C1*$A1673,0))))</f>
        <v/>
      </c>
      <c r="G1673" s="556">
        <f>IF($A1673&gt;BOTT_D4,ROUND(BASE_D4+RATE_D4*($A1673-BOTT_D4),0),IF($A1673&gt;BOTT_D3,ROUND(BASE_D3+RATE_D3*($A1673-BOTT_D3),0),IF($A1673&gt;BOTT_D2,ROUND(BASE_D2+RATE_D2*($A1673-BOTT_D2),0),ROUND(RATE_D1*$A1673,0))))</f>
        <v/>
      </c>
    </row>
    <row r="1674" ht="15.75" customHeight="1" s="7635">
      <c r="A1674" s="625">
        <f>AVERAGE(B1674,C1674)</f>
        <v/>
      </c>
      <c r="B1674" s="555" t="n">
        <v>80500</v>
      </c>
      <c r="C1674" s="555" t="n">
        <v>80550</v>
      </c>
      <c r="D1674" s="556">
        <f>IF($A1674&gt;BOTT_A4,ROUND(BASE_A4+RATE_A4*($A1674-BOTT_A4),0),IF($A1674&gt;BOTT_A3,ROUND(BASE_A3+RATE_A3*($A1674-BOTT_A3),0),IF($A1674&gt;BOTT_A2,ROUND(BASE_A2+RATE_A2*($A1674-BOTT_A2),0),ROUND(RATE_A1*$A1674,0))))</f>
        <v/>
      </c>
      <c r="E1674" s="556">
        <f>IF($A1674&gt;BOTT_B4,ROUND(BASE_B4+RATE_B4*($A1674-BOTT_B4),0),IF($A1674&gt;BOTT_B3,ROUND(BASE_B3+RATE_B3*($A1674-BOTT_B3),0),IF($A1674&gt;BOTT_B2,ROUND(BASE_B2+RATE_B2*($A1674-BOTT_B2),0),ROUND(RATE_B1*$A1674,0))))</f>
        <v/>
      </c>
      <c r="F1674" s="556">
        <f>IF($A1674&gt;BOTT_C4,ROUND(BASE_C4+RATE_C4*($A1674-BOTT_C4),0),IF($A1674&gt;BOTT_C3,ROUND(BASE_C3+RATE_C3*($A1674-BOTT_C3),0),IF($A1674&gt;BOTT_C2,ROUND(BASE_C2+RATE_C2*($A1674-BOTT_C2),0),ROUND(RATE_C1*$A1674,0))))</f>
        <v/>
      </c>
      <c r="G1674" s="556">
        <f>IF($A1674&gt;BOTT_D4,ROUND(BASE_D4+RATE_D4*($A1674-BOTT_D4),0),IF($A1674&gt;BOTT_D3,ROUND(BASE_D3+RATE_D3*($A1674-BOTT_D3),0),IF($A1674&gt;BOTT_D2,ROUND(BASE_D2+RATE_D2*($A1674-BOTT_D2),0),ROUND(RATE_D1*$A1674,0))))</f>
        <v/>
      </c>
    </row>
    <row r="1675" ht="15.75" customHeight="1" s="7635">
      <c r="A1675" s="625">
        <f>AVERAGE(B1675,C1675)</f>
        <v/>
      </c>
      <c r="B1675" s="555" t="n">
        <v>80550</v>
      </c>
      <c r="C1675" s="555" t="n">
        <v>80600</v>
      </c>
      <c r="D1675" s="556">
        <f>IF($A1675&gt;BOTT_A4,ROUND(BASE_A4+RATE_A4*($A1675-BOTT_A4),0),IF($A1675&gt;BOTT_A3,ROUND(BASE_A3+RATE_A3*($A1675-BOTT_A3),0),IF($A1675&gt;BOTT_A2,ROUND(BASE_A2+RATE_A2*($A1675-BOTT_A2),0),ROUND(RATE_A1*$A1675,0))))</f>
        <v/>
      </c>
      <c r="E1675" s="556">
        <f>IF($A1675&gt;BOTT_B4,ROUND(BASE_B4+RATE_B4*($A1675-BOTT_B4),0),IF($A1675&gt;BOTT_B3,ROUND(BASE_B3+RATE_B3*($A1675-BOTT_B3),0),IF($A1675&gt;BOTT_B2,ROUND(BASE_B2+RATE_B2*($A1675-BOTT_B2),0),ROUND(RATE_B1*$A1675,0))))</f>
        <v/>
      </c>
      <c r="F1675" s="556">
        <f>IF($A1675&gt;BOTT_C4,ROUND(BASE_C4+RATE_C4*($A1675-BOTT_C4),0),IF($A1675&gt;BOTT_C3,ROUND(BASE_C3+RATE_C3*($A1675-BOTT_C3),0),IF($A1675&gt;BOTT_C2,ROUND(BASE_C2+RATE_C2*($A1675-BOTT_C2),0),ROUND(RATE_C1*$A1675,0))))</f>
        <v/>
      </c>
      <c r="G1675" s="556">
        <f>IF($A1675&gt;BOTT_D4,ROUND(BASE_D4+RATE_D4*($A1675-BOTT_D4),0),IF($A1675&gt;BOTT_D3,ROUND(BASE_D3+RATE_D3*($A1675-BOTT_D3),0),IF($A1675&gt;BOTT_D2,ROUND(BASE_D2+RATE_D2*($A1675-BOTT_D2),0),ROUND(RATE_D1*$A1675,0))))</f>
        <v/>
      </c>
    </row>
    <row r="1676" ht="15.75" customHeight="1" s="7635">
      <c r="A1676" s="625">
        <f>AVERAGE(B1676,C1676)</f>
        <v/>
      </c>
      <c r="B1676" s="555" t="n">
        <v>80600</v>
      </c>
      <c r="C1676" s="555" t="n">
        <v>80650</v>
      </c>
      <c r="D1676" s="556">
        <f>IF($A1676&gt;BOTT_A4,ROUND(BASE_A4+RATE_A4*($A1676-BOTT_A4),0),IF($A1676&gt;BOTT_A3,ROUND(BASE_A3+RATE_A3*($A1676-BOTT_A3),0),IF($A1676&gt;BOTT_A2,ROUND(BASE_A2+RATE_A2*($A1676-BOTT_A2),0),ROUND(RATE_A1*$A1676,0))))</f>
        <v/>
      </c>
      <c r="E1676" s="556">
        <f>IF($A1676&gt;BOTT_B4,ROUND(BASE_B4+RATE_B4*($A1676-BOTT_B4),0),IF($A1676&gt;BOTT_B3,ROUND(BASE_B3+RATE_B3*($A1676-BOTT_B3),0),IF($A1676&gt;BOTT_B2,ROUND(BASE_B2+RATE_B2*($A1676-BOTT_B2),0),ROUND(RATE_B1*$A1676,0))))</f>
        <v/>
      </c>
      <c r="F1676" s="556">
        <f>IF($A1676&gt;BOTT_C4,ROUND(BASE_C4+RATE_C4*($A1676-BOTT_C4),0),IF($A1676&gt;BOTT_C3,ROUND(BASE_C3+RATE_C3*($A1676-BOTT_C3),0),IF($A1676&gt;BOTT_C2,ROUND(BASE_C2+RATE_C2*($A1676-BOTT_C2),0),ROUND(RATE_C1*$A1676,0))))</f>
        <v/>
      </c>
      <c r="G1676" s="556">
        <f>IF($A1676&gt;BOTT_D4,ROUND(BASE_D4+RATE_D4*($A1676-BOTT_D4),0),IF($A1676&gt;BOTT_D3,ROUND(BASE_D3+RATE_D3*($A1676-BOTT_D3),0),IF($A1676&gt;BOTT_D2,ROUND(BASE_D2+RATE_D2*($A1676-BOTT_D2),0),ROUND(RATE_D1*$A1676,0))))</f>
        <v/>
      </c>
    </row>
    <row r="1677" ht="15.75" customHeight="1" s="7635">
      <c r="A1677" s="625">
        <f>AVERAGE(B1677,C1677)</f>
        <v/>
      </c>
      <c r="B1677" s="555" t="n">
        <v>80650</v>
      </c>
      <c r="C1677" s="555" t="n">
        <v>80700</v>
      </c>
      <c r="D1677" s="556">
        <f>IF($A1677&gt;BOTT_A4,ROUND(BASE_A4+RATE_A4*($A1677-BOTT_A4),0),IF($A1677&gt;BOTT_A3,ROUND(BASE_A3+RATE_A3*($A1677-BOTT_A3),0),IF($A1677&gt;BOTT_A2,ROUND(BASE_A2+RATE_A2*($A1677-BOTT_A2),0),ROUND(RATE_A1*$A1677,0))))</f>
        <v/>
      </c>
      <c r="E1677" s="556">
        <f>IF($A1677&gt;BOTT_B4,ROUND(BASE_B4+RATE_B4*($A1677-BOTT_B4),0),IF($A1677&gt;BOTT_B3,ROUND(BASE_B3+RATE_B3*($A1677-BOTT_B3),0),IF($A1677&gt;BOTT_B2,ROUND(BASE_B2+RATE_B2*($A1677-BOTT_B2),0),ROUND(RATE_B1*$A1677,0))))</f>
        <v/>
      </c>
      <c r="F1677" s="556">
        <f>IF($A1677&gt;BOTT_C4,ROUND(BASE_C4+RATE_C4*($A1677-BOTT_C4),0),IF($A1677&gt;BOTT_C3,ROUND(BASE_C3+RATE_C3*($A1677-BOTT_C3),0),IF($A1677&gt;BOTT_C2,ROUND(BASE_C2+RATE_C2*($A1677-BOTT_C2),0),ROUND(RATE_C1*$A1677,0))))</f>
        <v/>
      </c>
      <c r="G1677" s="556">
        <f>IF($A1677&gt;BOTT_D4,ROUND(BASE_D4+RATE_D4*($A1677-BOTT_D4),0),IF($A1677&gt;BOTT_D3,ROUND(BASE_D3+RATE_D3*($A1677-BOTT_D3),0),IF($A1677&gt;BOTT_D2,ROUND(BASE_D2+RATE_D2*($A1677-BOTT_D2),0),ROUND(RATE_D1*$A1677,0))))</f>
        <v/>
      </c>
    </row>
    <row r="1678" ht="15.75" customHeight="1" s="7635">
      <c r="A1678" s="625">
        <f>AVERAGE(B1678,C1678)</f>
        <v/>
      </c>
      <c r="B1678" s="555" t="n">
        <v>80700</v>
      </c>
      <c r="C1678" s="555" t="n">
        <v>80750</v>
      </c>
      <c r="D1678" s="556">
        <f>IF($A1678&gt;BOTT_A4,ROUND(BASE_A4+RATE_A4*($A1678-BOTT_A4),0),IF($A1678&gt;BOTT_A3,ROUND(BASE_A3+RATE_A3*($A1678-BOTT_A3),0),IF($A1678&gt;BOTT_A2,ROUND(BASE_A2+RATE_A2*($A1678-BOTT_A2),0),ROUND(RATE_A1*$A1678,0))))</f>
        <v/>
      </c>
      <c r="E1678" s="556">
        <f>IF($A1678&gt;BOTT_B4,ROUND(BASE_B4+RATE_B4*($A1678-BOTT_B4),0),IF($A1678&gt;BOTT_B3,ROUND(BASE_B3+RATE_B3*($A1678-BOTT_B3),0),IF($A1678&gt;BOTT_B2,ROUND(BASE_B2+RATE_B2*($A1678-BOTT_B2),0),ROUND(RATE_B1*$A1678,0))))</f>
        <v/>
      </c>
      <c r="F1678" s="556">
        <f>IF($A1678&gt;BOTT_C4,ROUND(BASE_C4+RATE_C4*($A1678-BOTT_C4),0),IF($A1678&gt;BOTT_C3,ROUND(BASE_C3+RATE_C3*($A1678-BOTT_C3),0),IF($A1678&gt;BOTT_C2,ROUND(BASE_C2+RATE_C2*($A1678-BOTT_C2),0),ROUND(RATE_C1*$A1678,0))))</f>
        <v/>
      </c>
      <c r="G1678" s="556">
        <f>IF($A1678&gt;BOTT_D4,ROUND(BASE_D4+RATE_D4*($A1678-BOTT_D4),0),IF($A1678&gt;BOTT_D3,ROUND(BASE_D3+RATE_D3*($A1678-BOTT_D3),0),IF($A1678&gt;BOTT_D2,ROUND(BASE_D2+RATE_D2*($A1678-BOTT_D2),0),ROUND(RATE_D1*$A1678,0))))</f>
        <v/>
      </c>
    </row>
    <row r="1679" ht="15.75" customHeight="1" s="7635">
      <c r="A1679" s="625">
        <f>AVERAGE(B1679,C1679)</f>
        <v/>
      </c>
      <c r="B1679" s="555" t="n">
        <v>80750</v>
      </c>
      <c r="C1679" s="555" t="n">
        <v>80800</v>
      </c>
      <c r="D1679" s="556">
        <f>IF($A1679&gt;BOTT_A4,ROUND(BASE_A4+RATE_A4*($A1679-BOTT_A4),0),IF($A1679&gt;BOTT_A3,ROUND(BASE_A3+RATE_A3*($A1679-BOTT_A3),0),IF($A1679&gt;BOTT_A2,ROUND(BASE_A2+RATE_A2*($A1679-BOTT_A2),0),ROUND(RATE_A1*$A1679,0))))</f>
        <v/>
      </c>
      <c r="E1679" s="556">
        <f>IF($A1679&gt;BOTT_B4,ROUND(BASE_B4+RATE_B4*($A1679-BOTT_B4),0),IF($A1679&gt;BOTT_B3,ROUND(BASE_B3+RATE_B3*($A1679-BOTT_B3),0),IF($A1679&gt;BOTT_B2,ROUND(BASE_B2+RATE_B2*($A1679-BOTT_B2),0),ROUND(RATE_B1*$A1679,0))))</f>
        <v/>
      </c>
      <c r="F1679" s="556">
        <f>IF($A1679&gt;BOTT_C4,ROUND(BASE_C4+RATE_C4*($A1679-BOTT_C4),0),IF($A1679&gt;BOTT_C3,ROUND(BASE_C3+RATE_C3*($A1679-BOTT_C3),0),IF($A1679&gt;BOTT_C2,ROUND(BASE_C2+RATE_C2*($A1679-BOTT_C2),0),ROUND(RATE_C1*$A1679,0))))</f>
        <v/>
      </c>
      <c r="G1679" s="556">
        <f>IF($A1679&gt;BOTT_D4,ROUND(BASE_D4+RATE_D4*($A1679-BOTT_D4),0),IF($A1679&gt;BOTT_D3,ROUND(BASE_D3+RATE_D3*($A1679-BOTT_D3),0),IF($A1679&gt;BOTT_D2,ROUND(BASE_D2+RATE_D2*($A1679-BOTT_D2),0),ROUND(RATE_D1*$A1679,0))))</f>
        <v/>
      </c>
    </row>
    <row r="1680" ht="15.75" customHeight="1" s="7635">
      <c r="A1680" s="625">
        <f>AVERAGE(B1680,C1680)</f>
        <v/>
      </c>
      <c r="B1680" s="555" t="n">
        <v>80800</v>
      </c>
      <c r="C1680" s="555" t="n">
        <v>80850</v>
      </c>
      <c r="D1680" s="556">
        <f>IF($A1680&gt;BOTT_A4,ROUND(BASE_A4+RATE_A4*($A1680-BOTT_A4),0),IF($A1680&gt;BOTT_A3,ROUND(BASE_A3+RATE_A3*($A1680-BOTT_A3),0),IF($A1680&gt;BOTT_A2,ROUND(BASE_A2+RATE_A2*($A1680-BOTT_A2),0),ROUND(RATE_A1*$A1680,0))))</f>
        <v/>
      </c>
      <c r="E1680" s="556">
        <f>IF($A1680&gt;BOTT_B4,ROUND(BASE_B4+RATE_B4*($A1680-BOTT_B4),0),IF($A1680&gt;BOTT_B3,ROUND(BASE_B3+RATE_B3*($A1680-BOTT_B3),0),IF($A1680&gt;BOTT_B2,ROUND(BASE_B2+RATE_B2*($A1680-BOTT_B2),0),ROUND(RATE_B1*$A1680,0))))</f>
        <v/>
      </c>
      <c r="F1680" s="556">
        <f>IF($A1680&gt;BOTT_C4,ROUND(BASE_C4+RATE_C4*($A1680-BOTT_C4),0),IF($A1680&gt;BOTT_C3,ROUND(BASE_C3+RATE_C3*($A1680-BOTT_C3),0),IF($A1680&gt;BOTT_C2,ROUND(BASE_C2+RATE_C2*($A1680-BOTT_C2),0),ROUND(RATE_C1*$A1680,0))))</f>
        <v/>
      </c>
      <c r="G1680" s="556">
        <f>IF($A1680&gt;BOTT_D4,ROUND(BASE_D4+RATE_D4*($A1680-BOTT_D4),0),IF($A1680&gt;BOTT_D3,ROUND(BASE_D3+RATE_D3*($A1680-BOTT_D3),0),IF($A1680&gt;BOTT_D2,ROUND(BASE_D2+RATE_D2*($A1680-BOTT_D2),0),ROUND(RATE_D1*$A1680,0))))</f>
        <v/>
      </c>
    </row>
    <row r="1681" ht="15.75" customHeight="1" s="7635">
      <c r="A1681" s="625">
        <f>AVERAGE(B1681,C1681)</f>
        <v/>
      </c>
      <c r="B1681" s="555" t="n">
        <v>80850</v>
      </c>
      <c r="C1681" s="555" t="n">
        <v>80900</v>
      </c>
      <c r="D1681" s="556">
        <f>IF($A1681&gt;BOTT_A4,ROUND(BASE_A4+RATE_A4*($A1681-BOTT_A4),0),IF($A1681&gt;BOTT_A3,ROUND(BASE_A3+RATE_A3*($A1681-BOTT_A3),0),IF($A1681&gt;BOTT_A2,ROUND(BASE_A2+RATE_A2*($A1681-BOTT_A2),0),ROUND(RATE_A1*$A1681,0))))</f>
        <v/>
      </c>
      <c r="E1681" s="556">
        <f>IF($A1681&gt;BOTT_B4,ROUND(BASE_B4+RATE_B4*($A1681-BOTT_B4),0),IF($A1681&gt;BOTT_B3,ROUND(BASE_B3+RATE_B3*($A1681-BOTT_B3),0),IF($A1681&gt;BOTT_B2,ROUND(BASE_B2+RATE_B2*($A1681-BOTT_B2),0),ROUND(RATE_B1*$A1681,0))))</f>
        <v/>
      </c>
      <c r="F1681" s="556">
        <f>IF($A1681&gt;BOTT_C4,ROUND(BASE_C4+RATE_C4*($A1681-BOTT_C4),0),IF($A1681&gt;BOTT_C3,ROUND(BASE_C3+RATE_C3*($A1681-BOTT_C3),0),IF($A1681&gt;BOTT_C2,ROUND(BASE_C2+RATE_C2*($A1681-BOTT_C2),0),ROUND(RATE_C1*$A1681,0))))</f>
        <v/>
      </c>
      <c r="G1681" s="556">
        <f>IF($A1681&gt;BOTT_D4,ROUND(BASE_D4+RATE_D4*($A1681-BOTT_D4),0),IF($A1681&gt;BOTT_D3,ROUND(BASE_D3+RATE_D3*($A1681-BOTT_D3),0),IF($A1681&gt;BOTT_D2,ROUND(BASE_D2+RATE_D2*($A1681-BOTT_D2),0),ROUND(RATE_D1*$A1681,0))))</f>
        <v/>
      </c>
    </row>
    <row r="1682" ht="15.75" customHeight="1" s="7635">
      <c r="A1682" s="625">
        <f>AVERAGE(B1682,C1682)</f>
        <v/>
      </c>
      <c r="B1682" s="555" t="n">
        <v>80900</v>
      </c>
      <c r="C1682" s="555" t="n">
        <v>80950</v>
      </c>
      <c r="D1682" s="556">
        <f>IF($A1682&gt;BOTT_A4,ROUND(BASE_A4+RATE_A4*($A1682-BOTT_A4),0),IF($A1682&gt;BOTT_A3,ROUND(BASE_A3+RATE_A3*($A1682-BOTT_A3),0),IF($A1682&gt;BOTT_A2,ROUND(BASE_A2+RATE_A2*($A1682-BOTT_A2),0),ROUND(RATE_A1*$A1682,0))))</f>
        <v/>
      </c>
      <c r="E1682" s="556">
        <f>IF($A1682&gt;BOTT_B4,ROUND(BASE_B4+RATE_B4*($A1682-BOTT_B4),0),IF($A1682&gt;BOTT_B3,ROUND(BASE_B3+RATE_B3*($A1682-BOTT_B3),0),IF($A1682&gt;BOTT_B2,ROUND(BASE_B2+RATE_B2*($A1682-BOTT_B2),0),ROUND(RATE_B1*$A1682,0))))</f>
        <v/>
      </c>
      <c r="F1682" s="556">
        <f>IF($A1682&gt;BOTT_C4,ROUND(BASE_C4+RATE_C4*($A1682-BOTT_C4),0),IF($A1682&gt;BOTT_C3,ROUND(BASE_C3+RATE_C3*($A1682-BOTT_C3),0),IF($A1682&gt;BOTT_C2,ROUND(BASE_C2+RATE_C2*($A1682-BOTT_C2),0),ROUND(RATE_C1*$A1682,0))))</f>
        <v/>
      </c>
      <c r="G1682" s="556">
        <f>IF($A1682&gt;BOTT_D4,ROUND(BASE_D4+RATE_D4*($A1682-BOTT_D4),0),IF($A1682&gt;BOTT_D3,ROUND(BASE_D3+RATE_D3*($A1682-BOTT_D3),0),IF($A1682&gt;BOTT_D2,ROUND(BASE_D2+RATE_D2*($A1682-BOTT_D2),0),ROUND(RATE_D1*$A1682,0))))</f>
        <v/>
      </c>
    </row>
    <row r="1683" ht="15.75" customHeight="1" s="7635">
      <c r="A1683" s="625">
        <f>AVERAGE(B1683,C1683)</f>
        <v/>
      </c>
      <c r="B1683" s="555" t="n">
        <v>80950</v>
      </c>
      <c r="C1683" s="555" t="n">
        <v>81000</v>
      </c>
      <c r="D1683" s="556">
        <f>IF($A1683&gt;BOTT_A4,ROUND(BASE_A4+RATE_A4*($A1683-BOTT_A4),0),IF($A1683&gt;BOTT_A3,ROUND(BASE_A3+RATE_A3*($A1683-BOTT_A3),0),IF($A1683&gt;BOTT_A2,ROUND(BASE_A2+RATE_A2*($A1683-BOTT_A2),0),ROUND(RATE_A1*$A1683,0))))</f>
        <v/>
      </c>
      <c r="E1683" s="556">
        <f>IF($A1683&gt;BOTT_B4,ROUND(BASE_B4+RATE_B4*($A1683-BOTT_B4),0),IF($A1683&gt;BOTT_B3,ROUND(BASE_B3+RATE_B3*($A1683-BOTT_B3),0),IF($A1683&gt;BOTT_B2,ROUND(BASE_B2+RATE_B2*($A1683-BOTT_B2),0),ROUND(RATE_B1*$A1683,0))))</f>
        <v/>
      </c>
      <c r="F1683" s="556">
        <f>IF($A1683&gt;BOTT_C4,ROUND(BASE_C4+RATE_C4*($A1683-BOTT_C4),0),IF($A1683&gt;BOTT_C3,ROUND(BASE_C3+RATE_C3*($A1683-BOTT_C3),0),IF($A1683&gt;BOTT_C2,ROUND(BASE_C2+RATE_C2*($A1683-BOTT_C2),0),ROUND(RATE_C1*$A1683,0))))</f>
        <v/>
      </c>
      <c r="G1683" s="556">
        <f>IF($A1683&gt;BOTT_D4,ROUND(BASE_D4+RATE_D4*($A1683-BOTT_D4),0),IF($A1683&gt;BOTT_D3,ROUND(BASE_D3+RATE_D3*($A1683-BOTT_D3),0),IF($A1683&gt;BOTT_D2,ROUND(BASE_D2+RATE_D2*($A1683-BOTT_D2),0),ROUND(RATE_D1*$A1683,0))))</f>
        <v/>
      </c>
    </row>
    <row r="1684" ht="15.75" customHeight="1" s="7635">
      <c r="A1684" s="625">
        <f>AVERAGE(B1684,C1684)</f>
        <v/>
      </c>
      <c r="B1684" s="555" t="n">
        <v>81000</v>
      </c>
      <c r="C1684" s="555" t="n">
        <v>81050</v>
      </c>
      <c r="D1684" s="556">
        <f>IF($A1684&gt;BOTT_A4,ROUND(BASE_A4+RATE_A4*($A1684-BOTT_A4),0),IF($A1684&gt;BOTT_A3,ROUND(BASE_A3+RATE_A3*($A1684-BOTT_A3),0),IF($A1684&gt;BOTT_A2,ROUND(BASE_A2+RATE_A2*($A1684-BOTT_A2),0),ROUND(RATE_A1*$A1684,0))))</f>
        <v/>
      </c>
      <c r="E1684" s="556">
        <f>IF($A1684&gt;BOTT_B4,ROUND(BASE_B4+RATE_B4*($A1684-BOTT_B4),0),IF($A1684&gt;BOTT_B3,ROUND(BASE_B3+RATE_B3*($A1684-BOTT_B3),0),IF($A1684&gt;BOTT_B2,ROUND(BASE_B2+RATE_B2*($A1684-BOTT_B2),0),ROUND(RATE_B1*$A1684,0))))</f>
        <v/>
      </c>
      <c r="F1684" s="556">
        <f>IF($A1684&gt;BOTT_C4,ROUND(BASE_C4+RATE_C4*($A1684-BOTT_C4),0),IF($A1684&gt;BOTT_C3,ROUND(BASE_C3+RATE_C3*($A1684-BOTT_C3),0),IF($A1684&gt;BOTT_C2,ROUND(BASE_C2+RATE_C2*($A1684-BOTT_C2),0),ROUND(RATE_C1*$A1684,0))))</f>
        <v/>
      </c>
      <c r="G1684" s="556">
        <f>IF($A1684&gt;BOTT_D4,ROUND(BASE_D4+RATE_D4*($A1684-BOTT_D4),0),IF($A1684&gt;BOTT_D3,ROUND(BASE_D3+RATE_D3*($A1684-BOTT_D3),0),IF($A1684&gt;BOTT_D2,ROUND(BASE_D2+RATE_D2*($A1684-BOTT_D2),0),ROUND(RATE_D1*$A1684,0))))</f>
        <v/>
      </c>
    </row>
    <row r="1685" ht="15.75" customHeight="1" s="7635">
      <c r="A1685" s="625">
        <f>AVERAGE(B1685,C1685)</f>
        <v/>
      </c>
      <c r="B1685" s="555" t="n">
        <v>81050</v>
      </c>
      <c r="C1685" s="555" t="n">
        <v>81100</v>
      </c>
      <c r="D1685" s="556">
        <f>IF($A1685&gt;BOTT_A4,ROUND(BASE_A4+RATE_A4*($A1685-BOTT_A4),0),IF($A1685&gt;BOTT_A3,ROUND(BASE_A3+RATE_A3*($A1685-BOTT_A3),0),IF($A1685&gt;BOTT_A2,ROUND(BASE_A2+RATE_A2*($A1685-BOTT_A2),0),ROUND(RATE_A1*$A1685,0))))</f>
        <v/>
      </c>
      <c r="E1685" s="556">
        <f>IF($A1685&gt;BOTT_B4,ROUND(BASE_B4+RATE_B4*($A1685-BOTT_B4),0),IF($A1685&gt;BOTT_B3,ROUND(BASE_B3+RATE_B3*($A1685-BOTT_B3),0),IF($A1685&gt;BOTT_B2,ROUND(BASE_B2+RATE_B2*($A1685-BOTT_B2),0),ROUND(RATE_B1*$A1685,0))))</f>
        <v/>
      </c>
      <c r="F1685" s="556">
        <f>IF($A1685&gt;BOTT_C4,ROUND(BASE_C4+RATE_C4*($A1685-BOTT_C4),0),IF($A1685&gt;BOTT_C3,ROUND(BASE_C3+RATE_C3*($A1685-BOTT_C3),0),IF($A1685&gt;BOTT_C2,ROUND(BASE_C2+RATE_C2*($A1685-BOTT_C2),0),ROUND(RATE_C1*$A1685,0))))</f>
        <v/>
      </c>
      <c r="G1685" s="556">
        <f>IF($A1685&gt;BOTT_D4,ROUND(BASE_D4+RATE_D4*($A1685-BOTT_D4),0),IF($A1685&gt;BOTT_D3,ROUND(BASE_D3+RATE_D3*($A1685-BOTT_D3),0),IF($A1685&gt;BOTT_D2,ROUND(BASE_D2+RATE_D2*($A1685-BOTT_D2),0),ROUND(RATE_D1*$A1685,0))))</f>
        <v/>
      </c>
    </row>
    <row r="1686" ht="15.75" customHeight="1" s="7635">
      <c r="A1686" s="625">
        <f>AVERAGE(B1686,C1686)</f>
        <v/>
      </c>
      <c r="B1686" s="555" t="n">
        <v>81100</v>
      </c>
      <c r="C1686" s="555" t="n">
        <v>81150</v>
      </c>
      <c r="D1686" s="556">
        <f>IF($A1686&gt;BOTT_A4,ROUND(BASE_A4+RATE_A4*($A1686-BOTT_A4),0),IF($A1686&gt;BOTT_A3,ROUND(BASE_A3+RATE_A3*($A1686-BOTT_A3),0),IF($A1686&gt;BOTT_A2,ROUND(BASE_A2+RATE_A2*($A1686-BOTT_A2),0),ROUND(RATE_A1*$A1686,0))))</f>
        <v/>
      </c>
      <c r="E1686" s="556">
        <f>IF($A1686&gt;BOTT_B4,ROUND(BASE_B4+RATE_B4*($A1686-BOTT_B4),0),IF($A1686&gt;BOTT_B3,ROUND(BASE_B3+RATE_B3*($A1686-BOTT_B3),0),IF($A1686&gt;BOTT_B2,ROUND(BASE_B2+RATE_B2*($A1686-BOTT_B2),0),ROUND(RATE_B1*$A1686,0))))</f>
        <v/>
      </c>
      <c r="F1686" s="556">
        <f>IF($A1686&gt;BOTT_C4,ROUND(BASE_C4+RATE_C4*($A1686-BOTT_C4),0),IF($A1686&gt;BOTT_C3,ROUND(BASE_C3+RATE_C3*($A1686-BOTT_C3),0),IF($A1686&gt;BOTT_C2,ROUND(BASE_C2+RATE_C2*($A1686-BOTT_C2),0),ROUND(RATE_C1*$A1686,0))))</f>
        <v/>
      </c>
      <c r="G1686" s="556">
        <f>IF($A1686&gt;BOTT_D4,ROUND(BASE_D4+RATE_D4*($A1686-BOTT_D4),0),IF($A1686&gt;BOTT_D3,ROUND(BASE_D3+RATE_D3*($A1686-BOTT_D3),0),IF($A1686&gt;BOTT_D2,ROUND(BASE_D2+RATE_D2*($A1686-BOTT_D2),0),ROUND(RATE_D1*$A1686,0))))</f>
        <v/>
      </c>
    </row>
    <row r="1687" ht="15.75" customHeight="1" s="7635">
      <c r="A1687" s="625">
        <f>AVERAGE(B1687,C1687)</f>
        <v/>
      </c>
      <c r="B1687" s="555" t="n">
        <v>81150</v>
      </c>
      <c r="C1687" s="555" t="n">
        <v>81200</v>
      </c>
      <c r="D1687" s="556">
        <f>IF($A1687&gt;BOTT_A4,ROUND(BASE_A4+RATE_A4*($A1687-BOTT_A4),0),IF($A1687&gt;BOTT_A3,ROUND(BASE_A3+RATE_A3*($A1687-BOTT_A3),0),IF($A1687&gt;BOTT_A2,ROUND(BASE_A2+RATE_A2*($A1687-BOTT_A2),0),ROUND(RATE_A1*$A1687,0))))</f>
        <v/>
      </c>
      <c r="E1687" s="556">
        <f>IF($A1687&gt;BOTT_B4,ROUND(BASE_B4+RATE_B4*($A1687-BOTT_B4),0),IF($A1687&gt;BOTT_B3,ROUND(BASE_B3+RATE_B3*($A1687-BOTT_B3),0),IF($A1687&gt;BOTT_B2,ROUND(BASE_B2+RATE_B2*($A1687-BOTT_B2),0),ROUND(RATE_B1*$A1687,0))))</f>
        <v/>
      </c>
      <c r="F1687" s="556">
        <f>IF($A1687&gt;BOTT_C4,ROUND(BASE_C4+RATE_C4*($A1687-BOTT_C4),0),IF($A1687&gt;BOTT_C3,ROUND(BASE_C3+RATE_C3*($A1687-BOTT_C3),0),IF($A1687&gt;BOTT_C2,ROUND(BASE_C2+RATE_C2*($A1687-BOTT_C2),0),ROUND(RATE_C1*$A1687,0))))</f>
        <v/>
      </c>
      <c r="G1687" s="556">
        <f>IF($A1687&gt;BOTT_D4,ROUND(BASE_D4+RATE_D4*($A1687-BOTT_D4),0),IF($A1687&gt;BOTT_D3,ROUND(BASE_D3+RATE_D3*($A1687-BOTT_D3),0),IF($A1687&gt;BOTT_D2,ROUND(BASE_D2+RATE_D2*($A1687-BOTT_D2),0),ROUND(RATE_D1*$A1687,0))))</f>
        <v/>
      </c>
    </row>
    <row r="1688" ht="15.75" customHeight="1" s="7635">
      <c r="A1688" s="625">
        <f>AVERAGE(B1688,C1688)</f>
        <v/>
      </c>
      <c r="B1688" s="555" t="n">
        <v>81200</v>
      </c>
      <c r="C1688" s="555" t="n">
        <v>81250</v>
      </c>
      <c r="D1688" s="556">
        <f>IF($A1688&gt;BOTT_A4,ROUND(BASE_A4+RATE_A4*($A1688-BOTT_A4),0),IF($A1688&gt;BOTT_A3,ROUND(BASE_A3+RATE_A3*($A1688-BOTT_A3),0),IF($A1688&gt;BOTT_A2,ROUND(BASE_A2+RATE_A2*($A1688-BOTT_A2),0),ROUND(RATE_A1*$A1688,0))))</f>
        <v/>
      </c>
      <c r="E1688" s="556">
        <f>IF($A1688&gt;BOTT_B4,ROUND(BASE_B4+RATE_B4*($A1688-BOTT_B4),0),IF($A1688&gt;BOTT_B3,ROUND(BASE_B3+RATE_B3*($A1688-BOTT_B3),0),IF($A1688&gt;BOTT_B2,ROUND(BASE_B2+RATE_B2*($A1688-BOTT_B2),0),ROUND(RATE_B1*$A1688,0))))</f>
        <v/>
      </c>
      <c r="F1688" s="556">
        <f>IF($A1688&gt;BOTT_C4,ROUND(BASE_C4+RATE_C4*($A1688-BOTT_C4),0),IF($A1688&gt;BOTT_C3,ROUND(BASE_C3+RATE_C3*($A1688-BOTT_C3),0),IF($A1688&gt;BOTT_C2,ROUND(BASE_C2+RATE_C2*($A1688-BOTT_C2),0),ROUND(RATE_C1*$A1688,0))))</f>
        <v/>
      </c>
      <c r="G1688" s="556">
        <f>IF($A1688&gt;BOTT_D4,ROUND(BASE_D4+RATE_D4*($A1688-BOTT_D4),0),IF($A1688&gt;BOTT_D3,ROUND(BASE_D3+RATE_D3*($A1688-BOTT_D3),0),IF($A1688&gt;BOTT_D2,ROUND(BASE_D2+RATE_D2*($A1688-BOTT_D2),0),ROUND(RATE_D1*$A1688,0))))</f>
        <v/>
      </c>
    </row>
    <row r="1689" ht="15.75" customHeight="1" s="7635">
      <c r="A1689" s="625">
        <f>AVERAGE(B1689,C1689)</f>
        <v/>
      </c>
      <c r="B1689" s="555" t="n">
        <v>81250</v>
      </c>
      <c r="C1689" s="555" t="n">
        <v>81300</v>
      </c>
      <c r="D1689" s="556">
        <f>IF($A1689&gt;BOTT_A4,ROUND(BASE_A4+RATE_A4*($A1689-BOTT_A4),0),IF($A1689&gt;BOTT_A3,ROUND(BASE_A3+RATE_A3*($A1689-BOTT_A3),0),IF($A1689&gt;BOTT_A2,ROUND(BASE_A2+RATE_A2*($A1689-BOTT_A2),0),ROUND(RATE_A1*$A1689,0))))</f>
        <v/>
      </c>
      <c r="E1689" s="556">
        <f>IF($A1689&gt;BOTT_B4,ROUND(BASE_B4+RATE_B4*($A1689-BOTT_B4),0),IF($A1689&gt;BOTT_B3,ROUND(BASE_B3+RATE_B3*($A1689-BOTT_B3),0),IF($A1689&gt;BOTT_B2,ROUND(BASE_B2+RATE_B2*($A1689-BOTT_B2),0),ROUND(RATE_B1*$A1689,0))))</f>
        <v/>
      </c>
      <c r="F1689" s="556">
        <f>IF($A1689&gt;BOTT_C4,ROUND(BASE_C4+RATE_C4*($A1689-BOTT_C4),0),IF($A1689&gt;BOTT_C3,ROUND(BASE_C3+RATE_C3*($A1689-BOTT_C3),0),IF($A1689&gt;BOTT_C2,ROUND(BASE_C2+RATE_C2*($A1689-BOTT_C2),0),ROUND(RATE_C1*$A1689,0))))</f>
        <v/>
      </c>
      <c r="G1689" s="556">
        <f>IF($A1689&gt;BOTT_D4,ROUND(BASE_D4+RATE_D4*($A1689-BOTT_D4),0),IF($A1689&gt;BOTT_D3,ROUND(BASE_D3+RATE_D3*($A1689-BOTT_D3),0),IF($A1689&gt;BOTT_D2,ROUND(BASE_D2+RATE_D2*($A1689-BOTT_D2),0),ROUND(RATE_D1*$A1689,0))))</f>
        <v/>
      </c>
    </row>
    <row r="1690" ht="15.75" customHeight="1" s="7635">
      <c r="A1690" s="625">
        <f>AVERAGE(B1690,C1690)</f>
        <v/>
      </c>
      <c r="B1690" s="555" t="n">
        <v>81300</v>
      </c>
      <c r="C1690" s="555" t="n">
        <v>81350</v>
      </c>
      <c r="D1690" s="556">
        <f>IF($A1690&gt;BOTT_A4,ROUND(BASE_A4+RATE_A4*($A1690-BOTT_A4),0),IF($A1690&gt;BOTT_A3,ROUND(BASE_A3+RATE_A3*($A1690-BOTT_A3),0),IF($A1690&gt;BOTT_A2,ROUND(BASE_A2+RATE_A2*($A1690-BOTT_A2),0),ROUND(RATE_A1*$A1690,0))))</f>
        <v/>
      </c>
      <c r="E1690" s="556">
        <f>IF($A1690&gt;BOTT_B4,ROUND(BASE_B4+RATE_B4*($A1690-BOTT_B4),0),IF($A1690&gt;BOTT_B3,ROUND(BASE_B3+RATE_B3*($A1690-BOTT_B3),0),IF($A1690&gt;BOTT_B2,ROUND(BASE_B2+RATE_B2*($A1690-BOTT_B2),0),ROUND(RATE_B1*$A1690,0))))</f>
        <v/>
      </c>
      <c r="F1690" s="556">
        <f>IF($A1690&gt;BOTT_C4,ROUND(BASE_C4+RATE_C4*($A1690-BOTT_C4),0),IF($A1690&gt;BOTT_C3,ROUND(BASE_C3+RATE_C3*($A1690-BOTT_C3),0),IF($A1690&gt;BOTT_C2,ROUND(BASE_C2+RATE_C2*($A1690-BOTT_C2),0),ROUND(RATE_C1*$A1690,0))))</f>
        <v/>
      </c>
      <c r="G1690" s="556">
        <f>IF($A1690&gt;BOTT_D4,ROUND(BASE_D4+RATE_D4*($A1690-BOTT_D4),0),IF($A1690&gt;BOTT_D3,ROUND(BASE_D3+RATE_D3*($A1690-BOTT_D3),0),IF($A1690&gt;BOTT_D2,ROUND(BASE_D2+RATE_D2*($A1690-BOTT_D2),0),ROUND(RATE_D1*$A1690,0))))</f>
        <v/>
      </c>
    </row>
    <row r="1691" ht="15.75" customHeight="1" s="7635">
      <c r="A1691" s="625">
        <f>AVERAGE(B1691,C1691)</f>
        <v/>
      </c>
      <c r="B1691" s="555" t="n">
        <v>81350</v>
      </c>
      <c r="C1691" s="555" t="n">
        <v>81400</v>
      </c>
      <c r="D1691" s="556">
        <f>IF($A1691&gt;BOTT_A4,ROUND(BASE_A4+RATE_A4*($A1691-BOTT_A4),0),IF($A1691&gt;BOTT_A3,ROUND(BASE_A3+RATE_A3*($A1691-BOTT_A3),0),IF($A1691&gt;BOTT_A2,ROUND(BASE_A2+RATE_A2*($A1691-BOTT_A2),0),ROUND(RATE_A1*$A1691,0))))</f>
        <v/>
      </c>
      <c r="E1691" s="556">
        <f>IF($A1691&gt;BOTT_B4,ROUND(BASE_B4+RATE_B4*($A1691-BOTT_B4),0),IF($A1691&gt;BOTT_B3,ROUND(BASE_B3+RATE_B3*($A1691-BOTT_B3),0),IF($A1691&gt;BOTT_B2,ROUND(BASE_B2+RATE_B2*($A1691-BOTT_B2),0),ROUND(RATE_B1*$A1691,0))))</f>
        <v/>
      </c>
      <c r="F1691" s="556">
        <f>IF($A1691&gt;BOTT_C4,ROUND(BASE_C4+RATE_C4*($A1691-BOTT_C4),0),IF($A1691&gt;BOTT_C3,ROUND(BASE_C3+RATE_C3*($A1691-BOTT_C3),0),IF($A1691&gt;BOTT_C2,ROUND(BASE_C2+RATE_C2*($A1691-BOTT_C2),0),ROUND(RATE_C1*$A1691,0))))</f>
        <v/>
      </c>
      <c r="G1691" s="556">
        <f>IF($A1691&gt;BOTT_D4,ROUND(BASE_D4+RATE_D4*($A1691-BOTT_D4),0),IF($A1691&gt;BOTT_D3,ROUND(BASE_D3+RATE_D3*($A1691-BOTT_D3),0),IF($A1691&gt;BOTT_D2,ROUND(BASE_D2+RATE_D2*($A1691-BOTT_D2),0),ROUND(RATE_D1*$A1691,0))))</f>
        <v/>
      </c>
    </row>
    <row r="1692" ht="15.75" customHeight="1" s="7635">
      <c r="A1692" s="625">
        <f>AVERAGE(B1692,C1692)</f>
        <v/>
      </c>
      <c r="B1692" s="555" t="n">
        <v>81400</v>
      </c>
      <c r="C1692" s="555" t="n">
        <v>81450</v>
      </c>
      <c r="D1692" s="556">
        <f>IF($A1692&gt;BOTT_A4,ROUND(BASE_A4+RATE_A4*($A1692-BOTT_A4),0),IF($A1692&gt;BOTT_A3,ROUND(BASE_A3+RATE_A3*($A1692-BOTT_A3),0),IF($A1692&gt;BOTT_A2,ROUND(BASE_A2+RATE_A2*($A1692-BOTT_A2),0),ROUND(RATE_A1*$A1692,0))))</f>
        <v/>
      </c>
      <c r="E1692" s="556">
        <f>IF($A1692&gt;BOTT_B4,ROUND(BASE_B4+RATE_B4*($A1692-BOTT_B4),0),IF($A1692&gt;BOTT_B3,ROUND(BASE_B3+RATE_B3*($A1692-BOTT_B3),0),IF($A1692&gt;BOTT_B2,ROUND(BASE_B2+RATE_B2*($A1692-BOTT_B2),0),ROUND(RATE_B1*$A1692,0))))</f>
        <v/>
      </c>
      <c r="F1692" s="556">
        <f>IF($A1692&gt;BOTT_C4,ROUND(BASE_C4+RATE_C4*($A1692-BOTT_C4),0),IF($A1692&gt;BOTT_C3,ROUND(BASE_C3+RATE_C3*($A1692-BOTT_C3),0),IF($A1692&gt;BOTT_C2,ROUND(BASE_C2+RATE_C2*($A1692-BOTT_C2),0),ROUND(RATE_C1*$A1692,0))))</f>
        <v/>
      </c>
      <c r="G1692" s="556">
        <f>IF($A1692&gt;BOTT_D4,ROUND(BASE_D4+RATE_D4*($A1692-BOTT_D4),0),IF($A1692&gt;BOTT_D3,ROUND(BASE_D3+RATE_D3*($A1692-BOTT_D3),0),IF($A1692&gt;BOTT_D2,ROUND(BASE_D2+RATE_D2*($A1692-BOTT_D2),0),ROUND(RATE_D1*$A1692,0))))</f>
        <v/>
      </c>
    </row>
    <row r="1693" ht="15.75" customHeight="1" s="7635">
      <c r="A1693" s="625">
        <f>AVERAGE(B1693,C1693)</f>
        <v/>
      </c>
      <c r="B1693" s="555" t="n">
        <v>81450</v>
      </c>
      <c r="C1693" s="555" t="n">
        <v>81500</v>
      </c>
      <c r="D1693" s="556">
        <f>IF($A1693&gt;BOTT_A4,ROUND(BASE_A4+RATE_A4*($A1693-BOTT_A4),0),IF($A1693&gt;BOTT_A3,ROUND(BASE_A3+RATE_A3*($A1693-BOTT_A3),0),IF($A1693&gt;BOTT_A2,ROUND(BASE_A2+RATE_A2*($A1693-BOTT_A2),0),ROUND(RATE_A1*$A1693,0))))</f>
        <v/>
      </c>
      <c r="E1693" s="556">
        <f>IF($A1693&gt;BOTT_B4,ROUND(BASE_B4+RATE_B4*($A1693-BOTT_B4),0),IF($A1693&gt;BOTT_B3,ROUND(BASE_B3+RATE_B3*($A1693-BOTT_B3),0),IF($A1693&gt;BOTT_B2,ROUND(BASE_B2+RATE_B2*($A1693-BOTT_B2),0),ROUND(RATE_B1*$A1693,0))))</f>
        <v/>
      </c>
      <c r="F1693" s="556">
        <f>IF($A1693&gt;BOTT_C4,ROUND(BASE_C4+RATE_C4*($A1693-BOTT_C4),0),IF($A1693&gt;BOTT_C3,ROUND(BASE_C3+RATE_C3*($A1693-BOTT_C3),0),IF($A1693&gt;BOTT_C2,ROUND(BASE_C2+RATE_C2*($A1693-BOTT_C2),0),ROUND(RATE_C1*$A1693,0))))</f>
        <v/>
      </c>
      <c r="G1693" s="556">
        <f>IF($A1693&gt;BOTT_D4,ROUND(BASE_D4+RATE_D4*($A1693-BOTT_D4),0),IF($A1693&gt;BOTT_D3,ROUND(BASE_D3+RATE_D3*($A1693-BOTT_D3),0),IF($A1693&gt;BOTT_D2,ROUND(BASE_D2+RATE_D2*($A1693-BOTT_D2),0),ROUND(RATE_D1*$A1693,0))))</f>
        <v/>
      </c>
    </row>
    <row r="1694" ht="15.75" customHeight="1" s="7635">
      <c r="A1694" s="625">
        <f>AVERAGE(B1694,C1694)</f>
        <v/>
      </c>
      <c r="B1694" s="555" t="n">
        <v>81500</v>
      </c>
      <c r="C1694" s="555" t="n">
        <v>81550</v>
      </c>
      <c r="D1694" s="556">
        <f>IF($A1694&gt;BOTT_A4,ROUND(BASE_A4+RATE_A4*($A1694-BOTT_A4),0),IF($A1694&gt;BOTT_A3,ROUND(BASE_A3+RATE_A3*($A1694-BOTT_A3),0),IF($A1694&gt;BOTT_A2,ROUND(BASE_A2+RATE_A2*($A1694-BOTT_A2),0),ROUND(RATE_A1*$A1694,0))))</f>
        <v/>
      </c>
      <c r="E1694" s="556">
        <f>IF($A1694&gt;BOTT_B4,ROUND(BASE_B4+RATE_B4*($A1694-BOTT_B4),0),IF($A1694&gt;BOTT_B3,ROUND(BASE_B3+RATE_B3*($A1694-BOTT_B3),0),IF($A1694&gt;BOTT_B2,ROUND(BASE_B2+RATE_B2*($A1694-BOTT_B2),0),ROUND(RATE_B1*$A1694,0))))</f>
        <v/>
      </c>
      <c r="F1694" s="556">
        <f>IF($A1694&gt;BOTT_C4,ROUND(BASE_C4+RATE_C4*($A1694-BOTT_C4),0),IF($A1694&gt;BOTT_C3,ROUND(BASE_C3+RATE_C3*($A1694-BOTT_C3),0),IF($A1694&gt;BOTT_C2,ROUND(BASE_C2+RATE_C2*($A1694-BOTT_C2),0),ROUND(RATE_C1*$A1694,0))))</f>
        <v/>
      </c>
      <c r="G1694" s="556">
        <f>IF($A1694&gt;BOTT_D4,ROUND(BASE_D4+RATE_D4*($A1694-BOTT_D4),0),IF($A1694&gt;BOTT_D3,ROUND(BASE_D3+RATE_D3*($A1694-BOTT_D3),0),IF($A1694&gt;BOTT_D2,ROUND(BASE_D2+RATE_D2*($A1694-BOTT_D2),0),ROUND(RATE_D1*$A1694,0))))</f>
        <v/>
      </c>
    </row>
    <row r="1695" ht="15.75" customHeight="1" s="7635">
      <c r="A1695" s="625">
        <f>AVERAGE(B1695,C1695)</f>
        <v/>
      </c>
      <c r="B1695" s="555" t="n">
        <v>81550</v>
      </c>
      <c r="C1695" s="555" t="n">
        <v>81600</v>
      </c>
      <c r="D1695" s="556">
        <f>IF($A1695&gt;BOTT_A4,ROUND(BASE_A4+RATE_A4*($A1695-BOTT_A4),0),IF($A1695&gt;BOTT_A3,ROUND(BASE_A3+RATE_A3*($A1695-BOTT_A3),0),IF($A1695&gt;BOTT_A2,ROUND(BASE_A2+RATE_A2*($A1695-BOTT_A2),0),ROUND(RATE_A1*$A1695,0))))</f>
        <v/>
      </c>
      <c r="E1695" s="556">
        <f>IF($A1695&gt;BOTT_B4,ROUND(BASE_B4+RATE_B4*($A1695-BOTT_B4),0),IF($A1695&gt;BOTT_B3,ROUND(BASE_B3+RATE_B3*($A1695-BOTT_B3),0),IF($A1695&gt;BOTT_B2,ROUND(BASE_B2+RATE_B2*($A1695-BOTT_B2),0),ROUND(RATE_B1*$A1695,0))))</f>
        <v/>
      </c>
      <c r="F1695" s="556">
        <f>IF($A1695&gt;BOTT_C4,ROUND(BASE_C4+RATE_C4*($A1695-BOTT_C4),0),IF($A1695&gt;BOTT_C3,ROUND(BASE_C3+RATE_C3*($A1695-BOTT_C3),0),IF($A1695&gt;BOTT_C2,ROUND(BASE_C2+RATE_C2*($A1695-BOTT_C2),0),ROUND(RATE_C1*$A1695,0))))</f>
        <v/>
      </c>
      <c r="G1695" s="556">
        <f>IF($A1695&gt;BOTT_D4,ROUND(BASE_D4+RATE_D4*($A1695-BOTT_D4),0),IF($A1695&gt;BOTT_D3,ROUND(BASE_D3+RATE_D3*($A1695-BOTT_D3),0),IF($A1695&gt;BOTT_D2,ROUND(BASE_D2+RATE_D2*($A1695-BOTT_D2),0),ROUND(RATE_D1*$A1695,0))))</f>
        <v/>
      </c>
    </row>
    <row r="1696" ht="15.75" customHeight="1" s="7635">
      <c r="A1696" s="625">
        <f>AVERAGE(B1696,C1696)</f>
        <v/>
      </c>
      <c r="B1696" s="555" t="n">
        <v>81600</v>
      </c>
      <c r="C1696" s="555" t="n">
        <v>81650</v>
      </c>
      <c r="D1696" s="556">
        <f>IF($A1696&gt;BOTT_A4,ROUND(BASE_A4+RATE_A4*($A1696-BOTT_A4),0),IF($A1696&gt;BOTT_A3,ROUND(BASE_A3+RATE_A3*($A1696-BOTT_A3),0),IF($A1696&gt;BOTT_A2,ROUND(BASE_A2+RATE_A2*($A1696-BOTT_A2),0),ROUND(RATE_A1*$A1696,0))))</f>
        <v/>
      </c>
      <c r="E1696" s="556">
        <f>IF($A1696&gt;BOTT_B4,ROUND(BASE_B4+RATE_B4*($A1696-BOTT_B4),0),IF($A1696&gt;BOTT_B3,ROUND(BASE_B3+RATE_B3*($A1696-BOTT_B3),0),IF($A1696&gt;BOTT_B2,ROUND(BASE_B2+RATE_B2*($A1696-BOTT_B2),0),ROUND(RATE_B1*$A1696,0))))</f>
        <v/>
      </c>
      <c r="F1696" s="556">
        <f>IF($A1696&gt;BOTT_C4,ROUND(BASE_C4+RATE_C4*($A1696-BOTT_C4),0),IF($A1696&gt;BOTT_C3,ROUND(BASE_C3+RATE_C3*($A1696-BOTT_C3),0),IF($A1696&gt;BOTT_C2,ROUND(BASE_C2+RATE_C2*($A1696-BOTT_C2),0),ROUND(RATE_C1*$A1696,0))))</f>
        <v/>
      </c>
      <c r="G1696" s="556">
        <f>IF($A1696&gt;BOTT_D4,ROUND(BASE_D4+RATE_D4*($A1696-BOTT_D4),0),IF($A1696&gt;BOTT_D3,ROUND(BASE_D3+RATE_D3*($A1696-BOTT_D3),0),IF($A1696&gt;BOTT_D2,ROUND(BASE_D2+RATE_D2*($A1696-BOTT_D2),0),ROUND(RATE_D1*$A1696,0))))</f>
        <v/>
      </c>
    </row>
    <row r="1697" ht="15.75" customHeight="1" s="7635">
      <c r="A1697" s="625">
        <f>AVERAGE(B1697,C1697)</f>
        <v/>
      </c>
      <c r="B1697" s="555" t="n">
        <v>81650</v>
      </c>
      <c r="C1697" s="555" t="n">
        <v>81700</v>
      </c>
      <c r="D1697" s="556">
        <f>IF($A1697&gt;BOTT_A4,ROUND(BASE_A4+RATE_A4*($A1697-BOTT_A4),0),IF($A1697&gt;BOTT_A3,ROUND(BASE_A3+RATE_A3*($A1697-BOTT_A3),0),IF($A1697&gt;BOTT_A2,ROUND(BASE_A2+RATE_A2*($A1697-BOTT_A2),0),ROUND(RATE_A1*$A1697,0))))</f>
        <v/>
      </c>
      <c r="E1697" s="556">
        <f>IF($A1697&gt;BOTT_B4,ROUND(BASE_B4+RATE_B4*($A1697-BOTT_B4),0),IF($A1697&gt;BOTT_B3,ROUND(BASE_B3+RATE_B3*($A1697-BOTT_B3),0),IF($A1697&gt;BOTT_B2,ROUND(BASE_B2+RATE_B2*($A1697-BOTT_B2),0),ROUND(RATE_B1*$A1697,0))))</f>
        <v/>
      </c>
      <c r="F1697" s="556">
        <f>IF($A1697&gt;BOTT_C4,ROUND(BASE_C4+RATE_C4*($A1697-BOTT_C4),0),IF($A1697&gt;BOTT_C3,ROUND(BASE_C3+RATE_C3*($A1697-BOTT_C3),0),IF($A1697&gt;BOTT_C2,ROUND(BASE_C2+RATE_C2*($A1697-BOTT_C2),0),ROUND(RATE_C1*$A1697,0))))</f>
        <v/>
      </c>
      <c r="G1697" s="556">
        <f>IF($A1697&gt;BOTT_D4,ROUND(BASE_D4+RATE_D4*($A1697-BOTT_D4),0),IF($A1697&gt;BOTT_D3,ROUND(BASE_D3+RATE_D3*($A1697-BOTT_D3),0),IF($A1697&gt;BOTT_D2,ROUND(BASE_D2+RATE_D2*($A1697-BOTT_D2),0),ROUND(RATE_D1*$A1697,0))))</f>
        <v/>
      </c>
    </row>
    <row r="1698" ht="15.75" customHeight="1" s="7635">
      <c r="A1698" s="625">
        <f>AVERAGE(B1698,C1698)</f>
        <v/>
      </c>
      <c r="B1698" s="555" t="n">
        <v>81700</v>
      </c>
      <c r="C1698" s="555" t="n">
        <v>81750</v>
      </c>
      <c r="D1698" s="556">
        <f>IF($A1698&gt;BOTT_A4,ROUND(BASE_A4+RATE_A4*($A1698-BOTT_A4),0),IF($A1698&gt;BOTT_A3,ROUND(BASE_A3+RATE_A3*($A1698-BOTT_A3),0),IF($A1698&gt;BOTT_A2,ROUND(BASE_A2+RATE_A2*($A1698-BOTT_A2),0),ROUND(RATE_A1*$A1698,0))))</f>
        <v/>
      </c>
      <c r="E1698" s="556">
        <f>IF($A1698&gt;BOTT_B4,ROUND(BASE_B4+RATE_B4*($A1698-BOTT_B4),0),IF($A1698&gt;BOTT_B3,ROUND(BASE_B3+RATE_B3*($A1698-BOTT_B3),0),IF($A1698&gt;BOTT_B2,ROUND(BASE_B2+RATE_B2*($A1698-BOTT_B2),0),ROUND(RATE_B1*$A1698,0))))</f>
        <v/>
      </c>
      <c r="F1698" s="556">
        <f>IF($A1698&gt;BOTT_C4,ROUND(BASE_C4+RATE_C4*($A1698-BOTT_C4),0),IF($A1698&gt;BOTT_C3,ROUND(BASE_C3+RATE_C3*($A1698-BOTT_C3),0),IF($A1698&gt;BOTT_C2,ROUND(BASE_C2+RATE_C2*($A1698-BOTT_C2),0),ROUND(RATE_C1*$A1698,0))))</f>
        <v/>
      </c>
      <c r="G1698" s="556">
        <f>IF($A1698&gt;BOTT_D4,ROUND(BASE_D4+RATE_D4*($A1698-BOTT_D4),0),IF($A1698&gt;BOTT_D3,ROUND(BASE_D3+RATE_D3*($A1698-BOTT_D3),0),IF($A1698&gt;BOTT_D2,ROUND(BASE_D2+RATE_D2*($A1698-BOTT_D2),0),ROUND(RATE_D1*$A1698,0))))</f>
        <v/>
      </c>
    </row>
    <row r="1699" ht="15.75" customHeight="1" s="7635">
      <c r="A1699" s="625">
        <f>AVERAGE(B1699,C1699)</f>
        <v/>
      </c>
      <c r="B1699" s="555" t="n">
        <v>81750</v>
      </c>
      <c r="C1699" s="555" t="n">
        <v>81800</v>
      </c>
      <c r="D1699" s="556">
        <f>IF($A1699&gt;BOTT_A4,ROUND(BASE_A4+RATE_A4*($A1699-BOTT_A4),0),IF($A1699&gt;BOTT_A3,ROUND(BASE_A3+RATE_A3*($A1699-BOTT_A3),0),IF($A1699&gt;BOTT_A2,ROUND(BASE_A2+RATE_A2*($A1699-BOTT_A2),0),ROUND(RATE_A1*$A1699,0))))</f>
        <v/>
      </c>
      <c r="E1699" s="556">
        <f>IF($A1699&gt;BOTT_B4,ROUND(BASE_B4+RATE_B4*($A1699-BOTT_B4),0),IF($A1699&gt;BOTT_B3,ROUND(BASE_B3+RATE_B3*($A1699-BOTT_B3),0),IF($A1699&gt;BOTT_B2,ROUND(BASE_B2+RATE_B2*($A1699-BOTT_B2),0),ROUND(RATE_B1*$A1699,0))))</f>
        <v/>
      </c>
      <c r="F1699" s="556">
        <f>IF($A1699&gt;BOTT_C4,ROUND(BASE_C4+RATE_C4*($A1699-BOTT_C4),0),IF($A1699&gt;BOTT_C3,ROUND(BASE_C3+RATE_C3*($A1699-BOTT_C3),0),IF($A1699&gt;BOTT_C2,ROUND(BASE_C2+RATE_C2*($A1699-BOTT_C2),0),ROUND(RATE_C1*$A1699,0))))</f>
        <v/>
      </c>
      <c r="G1699" s="556">
        <f>IF($A1699&gt;BOTT_D4,ROUND(BASE_D4+RATE_D4*($A1699-BOTT_D4),0),IF($A1699&gt;BOTT_D3,ROUND(BASE_D3+RATE_D3*($A1699-BOTT_D3),0),IF($A1699&gt;BOTT_D2,ROUND(BASE_D2+RATE_D2*($A1699-BOTT_D2),0),ROUND(RATE_D1*$A1699,0))))</f>
        <v/>
      </c>
    </row>
    <row r="1700" ht="15.75" customHeight="1" s="7635">
      <c r="A1700" s="625">
        <f>AVERAGE(B1700,C1700)</f>
        <v/>
      </c>
      <c r="B1700" s="555" t="n">
        <v>81800</v>
      </c>
      <c r="C1700" s="555" t="n">
        <v>81850</v>
      </c>
      <c r="D1700" s="556">
        <f>IF($A1700&gt;BOTT_A4,ROUND(BASE_A4+RATE_A4*($A1700-BOTT_A4),0),IF($A1700&gt;BOTT_A3,ROUND(BASE_A3+RATE_A3*($A1700-BOTT_A3),0),IF($A1700&gt;BOTT_A2,ROUND(BASE_A2+RATE_A2*($A1700-BOTT_A2),0),ROUND(RATE_A1*$A1700,0))))</f>
        <v/>
      </c>
      <c r="E1700" s="556">
        <f>IF($A1700&gt;BOTT_B4,ROUND(BASE_B4+RATE_B4*($A1700-BOTT_B4),0),IF($A1700&gt;BOTT_B3,ROUND(BASE_B3+RATE_B3*($A1700-BOTT_B3),0),IF($A1700&gt;BOTT_B2,ROUND(BASE_B2+RATE_B2*($A1700-BOTT_B2),0),ROUND(RATE_B1*$A1700,0))))</f>
        <v/>
      </c>
      <c r="F1700" s="556">
        <f>IF($A1700&gt;BOTT_C4,ROUND(BASE_C4+RATE_C4*($A1700-BOTT_C4),0),IF($A1700&gt;BOTT_C3,ROUND(BASE_C3+RATE_C3*($A1700-BOTT_C3),0),IF($A1700&gt;BOTT_C2,ROUND(BASE_C2+RATE_C2*($A1700-BOTT_C2),0),ROUND(RATE_C1*$A1700,0))))</f>
        <v/>
      </c>
      <c r="G1700" s="556">
        <f>IF($A1700&gt;BOTT_D4,ROUND(BASE_D4+RATE_D4*($A1700-BOTT_D4),0),IF($A1700&gt;BOTT_D3,ROUND(BASE_D3+RATE_D3*($A1700-BOTT_D3),0),IF($A1700&gt;BOTT_D2,ROUND(BASE_D2+RATE_D2*($A1700-BOTT_D2),0),ROUND(RATE_D1*$A1700,0))))</f>
        <v/>
      </c>
    </row>
    <row r="1701" ht="15.75" customHeight="1" s="7635">
      <c r="A1701" s="625">
        <f>AVERAGE(B1701,C1701)</f>
        <v/>
      </c>
      <c r="B1701" s="555" t="n">
        <v>81850</v>
      </c>
      <c r="C1701" s="555" t="n">
        <v>81900</v>
      </c>
      <c r="D1701" s="556">
        <f>IF($A1701&gt;BOTT_A4,ROUND(BASE_A4+RATE_A4*($A1701-BOTT_A4),0),IF($A1701&gt;BOTT_A3,ROUND(BASE_A3+RATE_A3*($A1701-BOTT_A3),0),IF($A1701&gt;BOTT_A2,ROUND(BASE_A2+RATE_A2*($A1701-BOTT_A2),0),ROUND(RATE_A1*$A1701,0))))</f>
        <v/>
      </c>
      <c r="E1701" s="556">
        <f>IF($A1701&gt;BOTT_B4,ROUND(BASE_B4+RATE_B4*($A1701-BOTT_B4),0),IF($A1701&gt;BOTT_B3,ROUND(BASE_B3+RATE_B3*($A1701-BOTT_B3),0),IF($A1701&gt;BOTT_B2,ROUND(BASE_B2+RATE_B2*($A1701-BOTT_B2),0),ROUND(RATE_B1*$A1701,0))))</f>
        <v/>
      </c>
      <c r="F1701" s="556">
        <f>IF($A1701&gt;BOTT_C4,ROUND(BASE_C4+RATE_C4*($A1701-BOTT_C4),0),IF($A1701&gt;BOTT_C3,ROUND(BASE_C3+RATE_C3*($A1701-BOTT_C3),0),IF($A1701&gt;BOTT_C2,ROUND(BASE_C2+RATE_C2*($A1701-BOTT_C2),0),ROUND(RATE_C1*$A1701,0))))</f>
        <v/>
      </c>
      <c r="G1701" s="556">
        <f>IF($A1701&gt;BOTT_D4,ROUND(BASE_D4+RATE_D4*($A1701-BOTT_D4),0),IF($A1701&gt;BOTT_D3,ROUND(BASE_D3+RATE_D3*($A1701-BOTT_D3),0),IF($A1701&gt;BOTT_D2,ROUND(BASE_D2+RATE_D2*($A1701-BOTT_D2),0),ROUND(RATE_D1*$A1701,0))))</f>
        <v/>
      </c>
    </row>
    <row r="1702" ht="15.75" customHeight="1" s="7635">
      <c r="A1702" s="625">
        <f>AVERAGE(B1702,C1702)</f>
        <v/>
      </c>
      <c r="B1702" s="555" t="n">
        <v>81900</v>
      </c>
      <c r="C1702" s="555" t="n">
        <v>81950</v>
      </c>
      <c r="D1702" s="556">
        <f>IF($A1702&gt;BOTT_A4,ROUND(BASE_A4+RATE_A4*($A1702-BOTT_A4),0),IF($A1702&gt;BOTT_A3,ROUND(BASE_A3+RATE_A3*($A1702-BOTT_A3),0),IF($A1702&gt;BOTT_A2,ROUND(BASE_A2+RATE_A2*($A1702-BOTT_A2),0),ROUND(RATE_A1*$A1702,0))))</f>
        <v/>
      </c>
      <c r="E1702" s="556">
        <f>IF($A1702&gt;BOTT_B4,ROUND(BASE_B4+RATE_B4*($A1702-BOTT_B4),0),IF($A1702&gt;BOTT_B3,ROUND(BASE_B3+RATE_B3*($A1702-BOTT_B3),0),IF($A1702&gt;BOTT_B2,ROUND(BASE_B2+RATE_B2*($A1702-BOTT_B2),0),ROUND(RATE_B1*$A1702,0))))</f>
        <v/>
      </c>
      <c r="F1702" s="556">
        <f>IF($A1702&gt;BOTT_C4,ROUND(BASE_C4+RATE_C4*($A1702-BOTT_C4),0),IF($A1702&gt;BOTT_C3,ROUND(BASE_C3+RATE_C3*($A1702-BOTT_C3),0),IF($A1702&gt;BOTT_C2,ROUND(BASE_C2+RATE_C2*($A1702-BOTT_C2),0),ROUND(RATE_C1*$A1702,0))))</f>
        <v/>
      </c>
      <c r="G1702" s="556">
        <f>IF($A1702&gt;BOTT_D4,ROUND(BASE_D4+RATE_D4*($A1702-BOTT_D4),0),IF($A1702&gt;BOTT_D3,ROUND(BASE_D3+RATE_D3*($A1702-BOTT_D3),0),IF($A1702&gt;BOTT_D2,ROUND(BASE_D2+RATE_D2*($A1702-BOTT_D2),0),ROUND(RATE_D1*$A1702,0))))</f>
        <v/>
      </c>
    </row>
    <row r="1703" ht="15.75" customHeight="1" s="7635">
      <c r="A1703" s="625">
        <f>AVERAGE(B1703,C1703)</f>
        <v/>
      </c>
      <c r="B1703" s="555" t="n">
        <v>81950</v>
      </c>
      <c r="C1703" s="555" t="n">
        <v>82000</v>
      </c>
      <c r="D1703" s="556">
        <f>IF($A1703&gt;BOTT_A4,ROUND(BASE_A4+RATE_A4*($A1703-BOTT_A4),0),IF($A1703&gt;BOTT_A3,ROUND(BASE_A3+RATE_A3*($A1703-BOTT_A3),0),IF($A1703&gt;BOTT_A2,ROUND(BASE_A2+RATE_A2*($A1703-BOTT_A2),0),ROUND(RATE_A1*$A1703,0))))</f>
        <v/>
      </c>
      <c r="E1703" s="556">
        <f>IF($A1703&gt;BOTT_B4,ROUND(BASE_B4+RATE_B4*($A1703-BOTT_B4),0),IF($A1703&gt;BOTT_B3,ROUND(BASE_B3+RATE_B3*($A1703-BOTT_B3),0),IF($A1703&gt;BOTT_B2,ROUND(BASE_B2+RATE_B2*($A1703-BOTT_B2),0),ROUND(RATE_B1*$A1703,0))))</f>
        <v/>
      </c>
      <c r="F1703" s="556">
        <f>IF($A1703&gt;BOTT_C4,ROUND(BASE_C4+RATE_C4*($A1703-BOTT_C4),0),IF($A1703&gt;BOTT_C3,ROUND(BASE_C3+RATE_C3*($A1703-BOTT_C3),0),IF($A1703&gt;BOTT_C2,ROUND(BASE_C2+RATE_C2*($A1703-BOTT_C2),0),ROUND(RATE_C1*$A1703,0))))</f>
        <v/>
      </c>
      <c r="G1703" s="556">
        <f>IF($A1703&gt;BOTT_D4,ROUND(BASE_D4+RATE_D4*($A1703-BOTT_D4),0),IF($A1703&gt;BOTT_D3,ROUND(BASE_D3+RATE_D3*($A1703-BOTT_D3),0),IF($A1703&gt;BOTT_D2,ROUND(BASE_D2+RATE_D2*($A1703-BOTT_D2),0),ROUND(RATE_D1*$A1703,0))))</f>
        <v/>
      </c>
    </row>
    <row r="1704" ht="15.75" customHeight="1" s="7635">
      <c r="A1704" s="625">
        <f>AVERAGE(B1704,C1704)</f>
        <v/>
      </c>
      <c r="B1704" s="555" t="n">
        <v>82000</v>
      </c>
      <c r="C1704" s="555" t="n">
        <v>82050</v>
      </c>
      <c r="D1704" s="556">
        <f>IF($A1704&gt;BOTT_A4,ROUND(BASE_A4+RATE_A4*($A1704-BOTT_A4),0),IF($A1704&gt;BOTT_A3,ROUND(BASE_A3+RATE_A3*($A1704-BOTT_A3),0),IF($A1704&gt;BOTT_A2,ROUND(BASE_A2+RATE_A2*($A1704-BOTT_A2),0),ROUND(RATE_A1*$A1704,0))))</f>
        <v/>
      </c>
      <c r="E1704" s="556">
        <f>IF($A1704&gt;BOTT_B4,ROUND(BASE_B4+RATE_B4*($A1704-BOTT_B4),0),IF($A1704&gt;BOTT_B3,ROUND(BASE_B3+RATE_B3*($A1704-BOTT_B3),0),IF($A1704&gt;BOTT_B2,ROUND(BASE_B2+RATE_B2*($A1704-BOTT_B2),0),ROUND(RATE_B1*$A1704,0))))</f>
        <v/>
      </c>
      <c r="F1704" s="556">
        <f>IF($A1704&gt;BOTT_C4,ROUND(BASE_C4+RATE_C4*($A1704-BOTT_C4),0),IF($A1704&gt;BOTT_C3,ROUND(BASE_C3+RATE_C3*($A1704-BOTT_C3),0),IF($A1704&gt;BOTT_C2,ROUND(BASE_C2+RATE_C2*($A1704-BOTT_C2),0),ROUND(RATE_C1*$A1704,0))))</f>
        <v/>
      </c>
      <c r="G1704" s="556">
        <f>IF($A1704&gt;BOTT_D4,ROUND(BASE_D4+RATE_D4*($A1704-BOTT_D4),0),IF($A1704&gt;BOTT_D3,ROUND(BASE_D3+RATE_D3*($A1704-BOTT_D3),0),IF($A1704&gt;BOTT_D2,ROUND(BASE_D2+RATE_D2*($A1704-BOTT_D2),0),ROUND(RATE_D1*$A1704,0))))</f>
        <v/>
      </c>
    </row>
    <row r="1705" ht="15.75" customHeight="1" s="7635">
      <c r="A1705" s="625">
        <f>AVERAGE(B1705,C1705)</f>
        <v/>
      </c>
      <c r="B1705" s="555" t="n">
        <v>82050</v>
      </c>
      <c r="C1705" s="555" t="n">
        <v>82100</v>
      </c>
      <c r="D1705" s="556">
        <f>IF($A1705&gt;BOTT_A4,ROUND(BASE_A4+RATE_A4*($A1705-BOTT_A4),0),IF($A1705&gt;BOTT_A3,ROUND(BASE_A3+RATE_A3*($A1705-BOTT_A3),0),IF($A1705&gt;BOTT_A2,ROUND(BASE_A2+RATE_A2*($A1705-BOTT_A2),0),ROUND(RATE_A1*$A1705,0))))</f>
        <v/>
      </c>
      <c r="E1705" s="556">
        <f>IF($A1705&gt;BOTT_B4,ROUND(BASE_B4+RATE_B4*($A1705-BOTT_B4),0),IF($A1705&gt;BOTT_B3,ROUND(BASE_B3+RATE_B3*($A1705-BOTT_B3),0),IF($A1705&gt;BOTT_B2,ROUND(BASE_B2+RATE_B2*($A1705-BOTT_B2),0),ROUND(RATE_B1*$A1705,0))))</f>
        <v/>
      </c>
      <c r="F1705" s="556">
        <f>IF($A1705&gt;BOTT_C4,ROUND(BASE_C4+RATE_C4*($A1705-BOTT_C4),0),IF($A1705&gt;BOTT_C3,ROUND(BASE_C3+RATE_C3*($A1705-BOTT_C3),0),IF($A1705&gt;BOTT_C2,ROUND(BASE_C2+RATE_C2*($A1705-BOTT_C2),0),ROUND(RATE_C1*$A1705,0))))</f>
        <v/>
      </c>
      <c r="G1705" s="556">
        <f>IF($A1705&gt;BOTT_D4,ROUND(BASE_D4+RATE_D4*($A1705-BOTT_D4),0),IF($A1705&gt;BOTT_D3,ROUND(BASE_D3+RATE_D3*($A1705-BOTT_D3),0),IF($A1705&gt;BOTT_D2,ROUND(BASE_D2+RATE_D2*($A1705-BOTT_D2),0),ROUND(RATE_D1*$A1705,0))))</f>
        <v/>
      </c>
    </row>
    <row r="1706" ht="15.75" customHeight="1" s="7635">
      <c r="A1706" s="625">
        <f>AVERAGE(B1706,C1706)</f>
        <v/>
      </c>
      <c r="B1706" s="555" t="n">
        <v>82100</v>
      </c>
      <c r="C1706" s="555" t="n">
        <v>82150</v>
      </c>
      <c r="D1706" s="556">
        <f>IF($A1706&gt;BOTT_A4,ROUND(BASE_A4+RATE_A4*($A1706-BOTT_A4),0),IF($A1706&gt;BOTT_A3,ROUND(BASE_A3+RATE_A3*($A1706-BOTT_A3),0),IF($A1706&gt;BOTT_A2,ROUND(BASE_A2+RATE_A2*($A1706-BOTT_A2),0),ROUND(RATE_A1*$A1706,0))))</f>
        <v/>
      </c>
      <c r="E1706" s="556">
        <f>IF($A1706&gt;BOTT_B4,ROUND(BASE_B4+RATE_B4*($A1706-BOTT_B4),0),IF($A1706&gt;BOTT_B3,ROUND(BASE_B3+RATE_B3*($A1706-BOTT_B3),0),IF($A1706&gt;BOTT_B2,ROUND(BASE_B2+RATE_B2*($A1706-BOTT_B2),0),ROUND(RATE_B1*$A1706,0))))</f>
        <v/>
      </c>
      <c r="F1706" s="556">
        <f>IF($A1706&gt;BOTT_C4,ROUND(BASE_C4+RATE_C4*($A1706-BOTT_C4),0),IF($A1706&gt;BOTT_C3,ROUND(BASE_C3+RATE_C3*($A1706-BOTT_C3),0),IF($A1706&gt;BOTT_C2,ROUND(BASE_C2+RATE_C2*($A1706-BOTT_C2),0),ROUND(RATE_C1*$A1706,0))))</f>
        <v/>
      </c>
      <c r="G1706" s="556">
        <f>IF($A1706&gt;BOTT_D4,ROUND(BASE_D4+RATE_D4*($A1706-BOTT_D4),0),IF($A1706&gt;BOTT_D3,ROUND(BASE_D3+RATE_D3*($A1706-BOTT_D3),0),IF($A1706&gt;BOTT_D2,ROUND(BASE_D2+RATE_D2*($A1706-BOTT_D2),0),ROUND(RATE_D1*$A1706,0))))</f>
        <v/>
      </c>
    </row>
    <row r="1707" ht="15.75" customHeight="1" s="7635">
      <c r="A1707" s="625">
        <f>AVERAGE(B1707,C1707)</f>
        <v/>
      </c>
      <c r="B1707" s="555" t="n">
        <v>82150</v>
      </c>
      <c r="C1707" s="555" t="n">
        <v>82200</v>
      </c>
      <c r="D1707" s="556">
        <f>IF($A1707&gt;BOTT_A4,ROUND(BASE_A4+RATE_A4*($A1707-BOTT_A4),0),IF($A1707&gt;BOTT_A3,ROUND(BASE_A3+RATE_A3*($A1707-BOTT_A3),0),IF($A1707&gt;BOTT_A2,ROUND(BASE_A2+RATE_A2*($A1707-BOTT_A2),0),ROUND(RATE_A1*$A1707,0))))</f>
        <v/>
      </c>
      <c r="E1707" s="556">
        <f>IF($A1707&gt;BOTT_B4,ROUND(BASE_B4+RATE_B4*($A1707-BOTT_B4),0),IF($A1707&gt;BOTT_B3,ROUND(BASE_B3+RATE_B3*($A1707-BOTT_B3),0),IF($A1707&gt;BOTT_B2,ROUND(BASE_B2+RATE_B2*($A1707-BOTT_B2),0),ROUND(RATE_B1*$A1707,0))))</f>
        <v/>
      </c>
      <c r="F1707" s="556">
        <f>IF($A1707&gt;BOTT_C4,ROUND(BASE_C4+RATE_C4*($A1707-BOTT_C4),0),IF($A1707&gt;BOTT_C3,ROUND(BASE_C3+RATE_C3*($A1707-BOTT_C3),0),IF($A1707&gt;BOTT_C2,ROUND(BASE_C2+RATE_C2*($A1707-BOTT_C2),0),ROUND(RATE_C1*$A1707,0))))</f>
        <v/>
      </c>
      <c r="G1707" s="556">
        <f>IF($A1707&gt;BOTT_D4,ROUND(BASE_D4+RATE_D4*($A1707-BOTT_D4),0),IF($A1707&gt;BOTT_D3,ROUND(BASE_D3+RATE_D3*($A1707-BOTT_D3),0),IF($A1707&gt;BOTT_D2,ROUND(BASE_D2+RATE_D2*($A1707-BOTT_D2),0),ROUND(RATE_D1*$A1707,0))))</f>
        <v/>
      </c>
    </row>
    <row r="1708" ht="15.75" customHeight="1" s="7635">
      <c r="A1708" s="625">
        <f>AVERAGE(B1708,C1708)</f>
        <v/>
      </c>
      <c r="B1708" s="555" t="n">
        <v>82200</v>
      </c>
      <c r="C1708" s="555" t="n">
        <v>82250</v>
      </c>
      <c r="D1708" s="556">
        <f>IF($A1708&gt;BOTT_A4,ROUND(BASE_A4+RATE_A4*($A1708-BOTT_A4),0),IF($A1708&gt;BOTT_A3,ROUND(BASE_A3+RATE_A3*($A1708-BOTT_A3),0),IF($A1708&gt;BOTT_A2,ROUND(BASE_A2+RATE_A2*($A1708-BOTT_A2),0),ROUND(RATE_A1*$A1708,0))))</f>
        <v/>
      </c>
      <c r="E1708" s="556">
        <f>IF($A1708&gt;BOTT_B4,ROUND(BASE_B4+RATE_B4*($A1708-BOTT_B4),0),IF($A1708&gt;BOTT_B3,ROUND(BASE_B3+RATE_B3*($A1708-BOTT_B3),0),IF($A1708&gt;BOTT_B2,ROUND(BASE_B2+RATE_B2*($A1708-BOTT_B2),0),ROUND(RATE_B1*$A1708,0))))</f>
        <v/>
      </c>
      <c r="F1708" s="556">
        <f>IF($A1708&gt;BOTT_C4,ROUND(BASE_C4+RATE_C4*($A1708-BOTT_C4),0),IF($A1708&gt;BOTT_C3,ROUND(BASE_C3+RATE_C3*($A1708-BOTT_C3),0),IF($A1708&gt;BOTT_C2,ROUND(BASE_C2+RATE_C2*($A1708-BOTT_C2),0),ROUND(RATE_C1*$A1708,0))))</f>
        <v/>
      </c>
      <c r="G1708" s="556">
        <f>IF($A1708&gt;BOTT_D4,ROUND(BASE_D4+RATE_D4*($A1708-BOTT_D4),0),IF($A1708&gt;BOTT_D3,ROUND(BASE_D3+RATE_D3*($A1708-BOTT_D3),0),IF($A1708&gt;BOTT_D2,ROUND(BASE_D2+RATE_D2*($A1708-BOTT_D2),0),ROUND(RATE_D1*$A1708,0))))</f>
        <v/>
      </c>
    </row>
    <row r="1709" ht="15.75" customHeight="1" s="7635">
      <c r="A1709" s="625">
        <f>AVERAGE(B1709,C1709)</f>
        <v/>
      </c>
      <c r="B1709" s="555" t="n">
        <v>82250</v>
      </c>
      <c r="C1709" s="555" t="n">
        <v>82300</v>
      </c>
      <c r="D1709" s="556">
        <f>IF($A1709&gt;BOTT_A4,ROUND(BASE_A4+RATE_A4*($A1709-BOTT_A4),0),IF($A1709&gt;BOTT_A3,ROUND(BASE_A3+RATE_A3*($A1709-BOTT_A3),0),IF($A1709&gt;BOTT_A2,ROUND(BASE_A2+RATE_A2*($A1709-BOTT_A2),0),ROUND(RATE_A1*$A1709,0))))</f>
        <v/>
      </c>
      <c r="E1709" s="556">
        <f>IF($A1709&gt;BOTT_B4,ROUND(BASE_B4+RATE_B4*($A1709-BOTT_B4),0),IF($A1709&gt;BOTT_B3,ROUND(BASE_B3+RATE_B3*($A1709-BOTT_B3),0),IF($A1709&gt;BOTT_B2,ROUND(BASE_B2+RATE_B2*($A1709-BOTT_B2),0),ROUND(RATE_B1*$A1709,0))))</f>
        <v/>
      </c>
      <c r="F1709" s="556">
        <f>IF($A1709&gt;BOTT_C4,ROUND(BASE_C4+RATE_C4*($A1709-BOTT_C4),0),IF($A1709&gt;BOTT_C3,ROUND(BASE_C3+RATE_C3*($A1709-BOTT_C3),0),IF($A1709&gt;BOTT_C2,ROUND(BASE_C2+RATE_C2*($A1709-BOTT_C2),0),ROUND(RATE_C1*$A1709,0))))</f>
        <v/>
      </c>
      <c r="G1709" s="556">
        <f>IF($A1709&gt;BOTT_D4,ROUND(BASE_D4+RATE_D4*($A1709-BOTT_D4),0),IF($A1709&gt;BOTT_D3,ROUND(BASE_D3+RATE_D3*($A1709-BOTT_D3),0),IF($A1709&gt;BOTT_D2,ROUND(BASE_D2+RATE_D2*($A1709-BOTT_D2),0),ROUND(RATE_D1*$A1709,0))))</f>
        <v/>
      </c>
    </row>
    <row r="1710" ht="15.75" customHeight="1" s="7635">
      <c r="A1710" s="625">
        <f>AVERAGE(B1710,C1710)</f>
        <v/>
      </c>
      <c r="B1710" s="555" t="n">
        <v>82300</v>
      </c>
      <c r="C1710" s="555" t="n">
        <v>82350</v>
      </c>
      <c r="D1710" s="556">
        <f>IF($A1710&gt;BOTT_A4,ROUND(BASE_A4+RATE_A4*($A1710-BOTT_A4),0),IF($A1710&gt;BOTT_A3,ROUND(BASE_A3+RATE_A3*($A1710-BOTT_A3),0),IF($A1710&gt;BOTT_A2,ROUND(BASE_A2+RATE_A2*($A1710-BOTT_A2),0),ROUND(RATE_A1*$A1710,0))))</f>
        <v/>
      </c>
      <c r="E1710" s="556">
        <f>IF($A1710&gt;BOTT_B4,ROUND(BASE_B4+RATE_B4*($A1710-BOTT_B4),0),IF($A1710&gt;BOTT_B3,ROUND(BASE_B3+RATE_B3*($A1710-BOTT_B3),0),IF($A1710&gt;BOTT_B2,ROUND(BASE_B2+RATE_B2*($A1710-BOTT_B2),0),ROUND(RATE_B1*$A1710,0))))</f>
        <v/>
      </c>
      <c r="F1710" s="556">
        <f>IF($A1710&gt;BOTT_C4,ROUND(BASE_C4+RATE_C4*($A1710-BOTT_C4),0),IF($A1710&gt;BOTT_C3,ROUND(BASE_C3+RATE_C3*($A1710-BOTT_C3),0),IF($A1710&gt;BOTT_C2,ROUND(BASE_C2+RATE_C2*($A1710-BOTT_C2),0),ROUND(RATE_C1*$A1710,0))))</f>
        <v/>
      </c>
      <c r="G1710" s="556">
        <f>IF($A1710&gt;BOTT_D4,ROUND(BASE_D4+RATE_D4*($A1710-BOTT_D4),0),IF($A1710&gt;BOTT_D3,ROUND(BASE_D3+RATE_D3*($A1710-BOTT_D3),0),IF($A1710&gt;BOTT_D2,ROUND(BASE_D2+RATE_D2*($A1710-BOTT_D2),0),ROUND(RATE_D1*$A1710,0))))</f>
        <v/>
      </c>
    </row>
    <row r="1711" ht="15.75" customHeight="1" s="7635">
      <c r="A1711" s="625">
        <f>AVERAGE(B1711,C1711)</f>
        <v/>
      </c>
      <c r="B1711" s="555" t="n">
        <v>82350</v>
      </c>
      <c r="C1711" s="555" t="n">
        <v>82400</v>
      </c>
      <c r="D1711" s="556">
        <f>IF($A1711&gt;BOTT_A4,ROUND(BASE_A4+RATE_A4*($A1711-BOTT_A4),0),IF($A1711&gt;BOTT_A3,ROUND(BASE_A3+RATE_A3*($A1711-BOTT_A3),0),IF($A1711&gt;BOTT_A2,ROUND(BASE_A2+RATE_A2*($A1711-BOTT_A2),0),ROUND(RATE_A1*$A1711,0))))</f>
        <v/>
      </c>
      <c r="E1711" s="556">
        <f>IF($A1711&gt;BOTT_B4,ROUND(BASE_B4+RATE_B4*($A1711-BOTT_B4),0),IF($A1711&gt;BOTT_B3,ROUND(BASE_B3+RATE_B3*($A1711-BOTT_B3),0),IF($A1711&gt;BOTT_B2,ROUND(BASE_B2+RATE_B2*($A1711-BOTT_B2),0),ROUND(RATE_B1*$A1711,0))))</f>
        <v/>
      </c>
      <c r="F1711" s="556">
        <f>IF($A1711&gt;BOTT_C4,ROUND(BASE_C4+RATE_C4*($A1711-BOTT_C4),0),IF($A1711&gt;BOTT_C3,ROUND(BASE_C3+RATE_C3*($A1711-BOTT_C3),0),IF($A1711&gt;BOTT_C2,ROUND(BASE_C2+RATE_C2*($A1711-BOTT_C2),0),ROUND(RATE_C1*$A1711,0))))</f>
        <v/>
      </c>
      <c r="G1711" s="556">
        <f>IF($A1711&gt;BOTT_D4,ROUND(BASE_D4+RATE_D4*($A1711-BOTT_D4),0),IF($A1711&gt;BOTT_D3,ROUND(BASE_D3+RATE_D3*($A1711-BOTT_D3),0),IF($A1711&gt;BOTT_D2,ROUND(BASE_D2+RATE_D2*($A1711-BOTT_D2),0),ROUND(RATE_D1*$A1711,0))))</f>
        <v/>
      </c>
    </row>
    <row r="1712" ht="15.75" customHeight="1" s="7635">
      <c r="A1712" s="625">
        <f>AVERAGE(B1712,C1712)</f>
        <v/>
      </c>
      <c r="B1712" s="555" t="n">
        <v>82400</v>
      </c>
      <c r="C1712" s="555" t="n">
        <v>82450</v>
      </c>
      <c r="D1712" s="556">
        <f>IF($A1712&gt;BOTT_A4,ROUND(BASE_A4+RATE_A4*($A1712-BOTT_A4),0),IF($A1712&gt;BOTT_A3,ROUND(BASE_A3+RATE_A3*($A1712-BOTT_A3),0),IF($A1712&gt;BOTT_A2,ROUND(BASE_A2+RATE_A2*($A1712-BOTT_A2),0),ROUND(RATE_A1*$A1712,0))))</f>
        <v/>
      </c>
      <c r="E1712" s="556">
        <f>IF($A1712&gt;BOTT_B4,ROUND(BASE_B4+RATE_B4*($A1712-BOTT_B4),0),IF($A1712&gt;BOTT_B3,ROUND(BASE_B3+RATE_B3*($A1712-BOTT_B3),0),IF($A1712&gt;BOTT_B2,ROUND(BASE_B2+RATE_B2*($A1712-BOTT_B2),0),ROUND(RATE_B1*$A1712,0))))</f>
        <v/>
      </c>
      <c r="F1712" s="556">
        <f>IF($A1712&gt;BOTT_C4,ROUND(BASE_C4+RATE_C4*($A1712-BOTT_C4),0),IF($A1712&gt;BOTT_C3,ROUND(BASE_C3+RATE_C3*($A1712-BOTT_C3),0),IF($A1712&gt;BOTT_C2,ROUND(BASE_C2+RATE_C2*($A1712-BOTT_C2),0),ROUND(RATE_C1*$A1712,0))))</f>
        <v/>
      </c>
      <c r="G1712" s="556">
        <f>IF($A1712&gt;BOTT_D4,ROUND(BASE_D4+RATE_D4*($A1712-BOTT_D4),0),IF($A1712&gt;BOTT_D3,ROUND(BASE_D3+RATE_D3*($A1712-BOTT_D3),0),IF($A1712&gt;BOTT_D2,ROUND(BASE_D2+RATE_D2*($A1712-BOTT_D2),0),ROUND(RATE_D1*$A1712,0))))</f>
        <v/>
      </c>
    </row>
    <row r="1713" ht="15.75" customHeight="1" s="7635">
      <c r="A1713" s="625">
        <f>AVERAGE(B1713,C1713)</f>
        <v/>
      </c>
      <c r="B1713" s="555" t="n">
        <v>82450</v>
      </c>
      <c r="C1713" s="555" t="n">
        <v>82500</v>
      </c>
      <c r="D1713" s="556">
        <f>IF($A1713&gt;BOTT_A4,ROUND(BASE_A4+RATE_A4*($A1713-BOTT_A4),0),IF($A1713&gt;BOTT_A3,ROUND(BASE_A3+RATE_A3*($A1713-BOTT_A3),0),IF($A1713&gt;BOTT_A2,ROUND(BASE_A2+RATE_A2*($A1713-BOTT_A2),0),ROUND(RATE_A1*$A1713,0))))</f>
        <v/>
      </c>
      <c r="E1713" s="556">
        <f>IF($A1713&gt;BOTT_B4,ROUND(BASE_B4+RATE_B4*($A1713-BOTT_B4),0),IF($A1713&gt;BOTT_B3,ROUND(BASE_B3+RATE_B3*($A1713-BOTT_B3),0),IF($A1713&gt;BOTT_B2,ROUND(BASE_B2+RATE_B2*($A1713-BOTT_B2),0),ROUND(RATE_B1*$A1713,0))))</f>
        <v/>
      </c>
      <c r="F1713" s="556">
        <f>IF($A1713&gt;BOTT_C4,ROUND(BASE_C4+RATE_C4*($A1713-BOTT_C4),0),IF($A1713&gt;BOTT_C3,ROUND(BASE_C3+RATE_C3*($A1713-BOTT_C3),0),IF($A1713&gt;BOTT_C2,ROUND(BASE_C2+RATE_C2*($A1713-BOTT_C2),0),ROUND(RATE_C1*$A1713,0))))</f>
        <v/>
      </c>
      <c r="G1713" s="556">
        <f>IF($A1713&gt;BOTT_D4,ROUND(BASE_D4+RATE_D4*($A1713-BOTT_D4),0),IF($A1713&gt;BOTT_D3,ROUND(BASE_D3+RATE_D3*($A1713-BOTT_D3),0),IF($A1713&gt;BOTT_D2,ROUND(BASE_D2+RATE_D2*($A1713-BOTT_D2),0),ROUND(RATE_D1*$A1713,0))))</f>
        <v/>
      </c>
    </row>
    <row r="1714" ht="15.75" customHeight="1" s="7635">
      <c r="A1714" s="625">
        <f>AVERAGE(B1714,C1714)</f>
        <v/>
      </c>
      <c r="B1714" s="555" t="n">
        <v>82500</v>
      </c>
      <c r="C1714" s="555" t="n">
        <v>82550</v>
      </c>
      <c r="D1714" s="556">
        <f>IF($A1714&gt;BOTT_A4,ROUND(BASE_A4+RATE_A4*($A1714-BOTT_A4),0),IF($A1714&gt;BOTT_A3,ROUND(BASE_A3+RATE_A3*($A1714-BOTT_A3),0),IF($A1714&gt;BOTT_A2,ROUND(BASE_A2+RATE_A2*($A1714-BOTT_A2),0),ROUND(RATE_A1*$A1714,0))))</f>
        <v/>
      </c>
      <c r="E1714" s="556">
        <f>IF($A1714&gt;BOTT_B4,ROUND(BASE_B4+RATE_B4*($A1714-BOTT_B4),0),IF($A1714&gt;BOTT_B3,ROUND(BASE_B3+RATE_B3*($A1714-BOTT_B3),0),IF($A1714&gt;BOTT_B2,ROUND(BASE_B2+RATE_B2*($A1714-BOTT_B2),0),ROUND(RATE_B1*$A1714,0))))</f>
        <v/>
      </c>
      <c r="F1714" s="556">
        <f>IF($A1714&gt;BOTT_C4,ROUND(BASE_C4+RATE_C4*($A1714-BOTT_C4),0),IF($A1714&gt;BOTT_C3,ROUND(BASE_C3+RATE_C3*($A1714-BOTT_C3),0),IF($A1714&gt;BOTT_C2,ROUND(BASE_C2+RATE_C2*($A1714-BOTT_C2),0),ROUND(RATE_C1*$A1714,0))))</f>
        <v/>
      </c>
      <c r="G1714" s="556">
        <f>IF($A1714&gt;BOTT_D4,ROUND(BASE_D4+RATE_D4*($A1714-BOTT_D4),0),IF($A1714&gt;BOTT_D3,ROUND(BASE_D3+RATE_D3*($A1714-BOTT_D3),0),IF($A1714&gt;BOTT_D2,ROUND(BASE_D2+RATE_D2*($A1714-BOTT_D2),0),ROUND(RATE_D1*$A1714,0))))</f>
        <v/>
      </c>
    </row>
    <row r="1715" ht="15.75" customHeight="1" s="7635">
      <c r="A1715" s="625">
        <f>AVERAGE(B1715,C1715)</f>
        <v/>
      </c>
      <c r="B1715" s="555" t="n">
        <v>82550</v>
      </c>
      <c r="C1715" s="555" t="n">
        <v>82600</v>
      </c>
      <c r="D1715" s="556">
        <f>IF($A1715&gt;BOTT_A4,ROUND(BASE_A4+RATE_A4*($A1715-BOTT_A4),0),IF($A1715&gt;BOTT_A3,ROUND(BASE_A3+RATE_A3*($A1715-BOTT_A3),0),IF($A1715&gt;BOTT_A2,ROUND(BASE_A2+RATE_A2*($A1715-BOTT_A2),0),ROUND(RATE_A1*$A1715,0))))</f>
        <v/>
      </c>
      <c r="E1715" s="556">
        <f>IF($A1715&gt;BOTT_B4,ROUND(BASE_B4+RATE_B4*($A1715-BOTT_B4),0),IF($A1715&gt;BOTT_B3,ROUND(BASE_B3+RATE_B3*($A1715-BOTT_B3),0),IF($A1715&gt;BOTT_B2,ROUND(BASE_B2+RATE_B2*($A1715-BOTT_B2),0),ROUND(RATE_B1*$A1715,0))))</f>
        <v/>
      </c>
      <c r="F1715" s="556">
        <f>IF($A1715&gt;BOTT_C4,ROUND(BASE_C4+RATE_C4*($A1715-BOTT_C4),0),IF($A1715&gt;BOTT_C3,ROUND(BASE_C3+RATE_C3*($A1715-BOTT_C3),0),IF($A1715&gt;BOTT_C2,ROUND(BASE_C2+RATE_C2*($A1715-BOTT_C2),0),ROUND(RATE_C1*$A1715,0))))</f>
        <v/>
      </c>
      <c r="G1715" s="556">
        <f>IF($A1715&gt;BOTT_D4,ROUND(BASE_D4+RATE_D4*($A1715-BOTT_D4),0),IF($A1715&gt;BOTT_D3,ROUND(BASE_D3+RATE_D3*($A1715-BOTT_D3),0),IF($A1715&gt;BOTT_D2,ROUND(BASE_D2+RATE_D2*($A1715-BOTT_D2),0),ROUND(RATE_D1*$A1715,0))))</f>
        <v/>
      </c>
    </row>
    <row r="1716" ht="15.75" customHeight="1" s="7635">
      <c r="A1716" s="625">
        <f>AVERAGE(B1716,C1716)</f>
        <v/>
      </c>
      <c r="B1716" s="555" t="n">
        <v>82600</v>
      </c>
      <c r="C1716" s="555" t="n">
        <v>82650</v>
      </c>
      <c r="D1716" s="556">
        <f>IF($A1716&gt;BOTT_A4,ROUND(BASE_A4+RATE_A4*($A1716-BOTT_A4),0),IF($A1716&gt;BOTT_A3,ROUND(BASE_A3+RATE_A3*($A1716-BOTT_A3),0),IF($A1716&gt;BOTT_A2,ROUND(BASE_A2+RATE_A2*($A1716-BOTT_A2),0),ROUND(RATE_A1*$A1716,0))))</f>
        <v/>
      </c>
      <c r="E1716" s="556">
        <f>IF($A1716&gt;BOTT_B4,ROUND(BASE_B4+RATE_B4*($A1716-BOTT_B4),0),IF($A1716&gt;BOTT_B3,ROUND(BASE_B3+RATE_B3*($A1716-BOTT_B3),0),IF($A1716&gt;BOTT_B2,ROUND(BASE_B2+RATE_B2*($A1716-BOTT_B2),0),ROUND(RATE_B1*$A1716,0))))</f>
        <v/>
      </c>
      <c r="F1716" s="556">
        <f>IF($A1716&gt;BOTT_C4,ROUND(BASE_C4+RATE_C4*($A1716-BOTT_C4),0),IF($A1716&gt;BOTT_C3,ROUND(BASE_C3+RATE_C3*($A1716-BOTT_C3),0),IF($A1716&gt;BOTT_C2,ROUND(BASE_C2+RATE_C2*($A1716-BOTT_C2),0),ROUND(RATE_C1*$A1716,0))))</f>
        <v/>
      </c>
      <c r="G1716" s="556">
        <f>IF($A1716&gt;BOTT_D4,ROUND(BASE_D4+RATE_D4*($A1716-BOTT_D4),0),IF($A1716&gt;BOTT_D3,ROUND(BASE_D3+RATE_D3*($A1716-BOTT_D3),0),IF($A1716&gt;BOTT_D2,ROUND(BASE_D2+RATE_D2*($A1716-BOTT_D2),0),ROUND(RATE_D1*$A1716,0))))</f>
        <v/>
      </c>
    </row>
    <row r="1717" ht="15.75" customHeight="1" s="7635">
      <c r="A1717" s="625">
        <f>AVERAGE(B1717,C1717)</f>
        <v/>
      </c>
      <c r="B1717" s="555" t="n">
        <v>82650</v>
      </c>
      <c r="C1717" s="555" t="n">
        <v>82700</v>
      </c>
      <c r="D1717" s="556">
        <f>IF($A1717&gt;BOTT_A4,ROUND(BASE_A4+RATE_A4*($A1717-BOTT_A4),0),IF($A1717&gt;BOTT_A3,ROUND(BASE_A3+RATE_A3*($A1717-BOTT_A3),0),IF($A1717&gt;BOTT_A2,ROUND(BASE_A2+RATE_A2*($A1717-BOTT_A2),0),ROUND(RATE_A1*$A1717,0))))</f>
        <v/>
      </c>
      <c r="E1717" s="556">
        <f>IF($A1717&gt;BOTT_B4,ROUND(BASE_B4+RATE_B4*($A1717-BOTT_B4),0),IF($A1717&gt;BOTT_B3,ROUND(BASE_B3+RATE_B3*($A1717-BOTT_B3),0),IF($A1717&gt;BOTT_B2,ROUND(BASE_B2+RATE_B2*($A1717-BOTT_B2),0),ROUND(RATE_B1*$A1717,0))))</f>
        <v/>
      </c>
      <c r="F1717" s="556">
        <f>IF($A1717&gt;BOTT_C4,ROUND(BASE_C4+RATE_C4*($A1717-BOTT_C4),0),IF($A1717&gt;BOTT_C3,ROUND(BASE_C3+RATE_C3*($A1717-BOTT_C3),0),IF($A1717&gt;BOTT_C2,ROUND(BASE_C2+RATE_C2*($A1717-BOTT_C2),0),ROUND(RATE_C1*$A1717,0))))</f>
        <v/>
      </c>
      <c r="G1717" s="556">
        <f>IF($A1717&gt;BOTT_D4,ROUND(BASE_D4+RATE_D4*($A1717-BOTT_D4),0),IF($A1717&gt;BOTT_D3,ROUND(BASE_D3+RATE_D3*($A1717-BOTT_D3),0),IF($A1717&gt;BOTT_D2,ROUND(BASE_D2+RATE_D2*($A1717-BOTT_D2),0),ROUND(RATE_D1*$A1717,0))))</f>
        <v/>
      </c>
    </row>
    <row r="1718" ht="15.75" customHeight="1" s="7635">
      <c r="A1718" s="625">
        <f>AVERAGE(B1718,C1718)</f>
        <v/>
      </c>
      <c r="B1718" s="555" t="n">
        <v>82700</v>
      </c>
      <c r="C1718" s="555" t="n">
        <v>82750</v>
      </c>
      <c r="D1718" s="556">
        <f>IF($A1718&gt;BOTT_A4,ROUND(BASE_A4+RATE_A4*($A1718-BOTT_A4),0),IF($A1718&gt;BOTT_A3,ROUND(BASE_A3+RATE_A3*($A1718-BOTT_A3),0),IF($A1718&gt;BOTT_A2,ROUND(BASE_A2+RATE_A2*($A1718-BOTT_A2),0),ROUND(RATE_A1*$A1718,0))))</f>
        <v/>
      </c>
      <c r="E1718" s="556">
        <f>IF($A1718&gt;BOTT_B4,ROUND(BASE_B4+RATE_B4*($A1718-BOTT_B4),0),IF($A1718&gt;BOTT_B3,ROUND(BASE_B3+RATE_B3*($A1718-BOTT_B3),0),IF($A1718&gt;BOTT_B2,ROUND(BASE_B2+RATE_B2*($A1718-BOTT_B2),0),ROUND(RATE_B1*$A1718,0))))</f>
        <v/>
      </c>
      <c r="F1718" s="556">
        <f>IF($A1718&gt;BOTT_C4,ROUND(BASE_C4+RATE_C4*($A1718-BOTT_C4),0),IF($A1718&gt;BOTT_C3,ROUND(BASE_C3+RATE_C3*($A1718-BOTT_C3),0),IF($A1718&gt;BOTT_C2,ROUND(BASE_C2+RATE_C2*($A1718-BOTT_C2),0),ROUND(RATE_C1*$A1718,0))))</f>
        <v/>
      </c>
      <c r="G1718" s="556">
        <f>IF($A1718&gt;BOTT_D4,ROUND(BASE_D4+RATE_D4*($A1718-BOTT_D4),0),IF($A1718&gt;BOTT_D3,ROUND(BASE_D3+RATE_D3*($A1718-BOTT_D3),0),IF($A1718&gt;BOTT_D2,ROUND(BASE_D2+RATE_D2*($A1718-BOTT_D2),0),ROUND(RATE_D1*$A1718,0))))</f>
        <v/>
      </c>
    </row>
    <row r="1719" ht="15.75" customHeight="1" s="7635">
      <c r="A1719" s="625">
        <f>AVERAGE(B1719,C1719)</f>
        <v/>
      </c>
      <c r="B1719" s="555" t="n">
        <v>82750</v>
      </c>
      <c r="C1719" s="555" t="n">
        <v>82800</v>
      </c>
      <c r="D1719" s="556">
        <f>IF($A1719&gt;BOTT_A4,ROUND(BASE_A4+RATE_A4*($A1719-BOTT_A4),0),IF($A1719&gt;BOTT_A3,ROUND(BASE_A3+RATE_A3*($A1719-BOTT_A3),0),IF($A1719&gt;BOTT_A2,ROUND(BASE_A2+RATE_A2*($A1719-BOTT_A2),0),ROUND(RATE_A1*$A1719,0))))</f>
        <v/>
      </c>
      <c r="E1719" s="556">
        <f>IF($A1719&gt;BOTT_B4,ROUND(BASE_B4+RATE_B4*($A1719-BOTT_B4),0),IF($A1719&gt;BOTT_B3,ROUND(BASE_B3+RATE_B3*($A1719-BOTT_B3),0),IF($A1719&gt;BOTT_B2,ROUND(BASE_B2+RATE_B2*($A1719-BOTT_B2),0),ROUND(RATE_B1*$A1719,0))))</f>
        <v/>
      </c>
      <c r="F1719" s="556">
        <f>IF($A1719&gt;BOTT_C4,ROUND(BASE_C4+RATE_C4*($A1719-BOTT_C4),0),IF($A1719&gt;BOTT_C3,ROUND(BASE_C3+RATE_C3*($A1719-BOTT_C3),0),IF($A1719&gt;BOTT_C2,ROUND(BASE_C2+RATE_C2*($A1719-BOTT_C2),0),ROUND(RATE_C1*$A1719,0))))</f>
        <v/>
      </c>
      <c r="G1719" s="556">
        <f>IF($A1719&gt;BOTT_D4,ROUND(BASE_D4+RATE_D4*($A1719-BOTT_D4),0),IF($A1719&gt;BOTT_D3,ROUND(BASE_D3+RATE_D3*($A1719-BOTT_D3),0),IF($A1719&gt;BOTT_D2,ROUND(BASE_D2+RATE_D2*($A1719-BOTT_D2),0),ROUND(RATE_D1*$A1719,0))))</f>
        <v/>
      </c>
    </row>
    <row r="1720" ht="15.75" customHeight="1" s="7635">
      <c r="A1720" s="625">
        <f>AVERAGE(B1720,C1720)</f>
        <v/>
      </c>
      <c r="B1720" s="555" t="n">
        <v>82800</v>
      </c>
      <c r="C1720" s="555" t="n">
        <v>82850</v>
      </c>
      <c r="D1720" s="556">
        <f>IF($A1720&gt;BOTT_A4,ROUND(BASE_A4+RATE_A4*($A1720-BOTT_A4),0),IF($A1720&gt;BOTT_A3,ROUND(BASE_A3+RATE_A3*($A1720-BOTT_A3),0),IF($A1720&gt;BOTT_A2,ROUND(BASE_A2+RATE_A2*($A1720-BOTT_A2),0),ROUND(RATE_A1*$A1720,0))))</f>
        <v/>
      </c>
      <c r="E1720" s="556">
        <f>IF($A1720&gt;BOTT_B4,ROUND(BASE_B4+RATE_B4*($A1720-BOTT_B4),0),IF($A1720&gt;BOTT_B3,ROUND(BASE_B3+RATE_B3*($A1720-BOTT_B3),0),IF($A1720&gt;BOTT_B2,ROUND(BASE_B2+RATE_B2*($A1720-BOTT_B2),0),ROUND(RATE_B1*$A1720,0))))</f>
        <v/>
      </c>
      <c r="F1720" s="556">
        <f>IF($A1720&gt;BOTT_C4,ROUND(BASE_C4+RATE_C4*($A1720-BOTT_C4),0),IF($A1720&gt;BOTT_C3,ROUND(BASE_C3+RATE_C3*($A1720-BOTT_C3),0),IF($A1720&gt;BOTT_C2,ROUND(BASE_C2+RATE_C2*($A1720-BOTT_C2),0),ROUND(RATE_C1*$A1720,0))))</f>
        <v/>
      </c>
      <c r="G1720" s="556">
        <f>IF($A1720&gt;BOTT_D4,ROUND(BASE_D4+RATE_D4*($A1720-BOTT_D4),0),IF($A1720&gt;BOTT_D3,ROUND(BASE_D3+RATE_D3*($A1720-BOTT_D3),0),IF($A1720&gt;BOTT_D2,ROUND(BASE_D2+RATE_D2*($A1720-BOTT_D2),0),ROUND(RATE_D1*$A1720,0))))</f>
        <v/>
      </c>
    </row>
    <row r="1721" ht="15.75" customHeight="1" s="7635">
      <c r="A1721" s="625">
        <f>AVERAGE(B1721,C1721)</f>
        <v/>
      </c>
      <c r="B1721" s="555" t="n">
        <v>82850</v>
      </c>
      <c r="C1721" s="555" t="n">
        <v>82900</v>
      </c>
      <c r="D1721" s="556">
        <f>IF($A1721&gt;BOTT_A4,ROUND(BASE_A4+RATE_A4*($A1721-BOTT_A4),0),IF($A1721&gt;BOTT_A3,ROUND(BASE_A3+RATE_A3*($A1721-BOTT_A3),0),IF($A1721&gt;BOTT_A2,ROUND(BASE_A2+RATE_A2*($A1721-BOTT_A2),0),ROUND(RATE_A1*$A1721,0))))</f>
        <v/>
      </c>
      <c r="E1721" s="556">
        <f>IF($A1721&gt;BOTT_B4,ROUND(BASE_B4+RATE_B4*($A1721-BOTT_B4),0),IF($A1721&gt;BOTT_B3,ROUND(BASE_B3+RATE_B3*($A1721-BOTT_B3),0),IF($A1721&gt;BOTT_B2,ROUND(BASE_B2+RATE_B2*($A1721-BOTT_B2),0),ROUND(RATE_B1*$A1721,0))))</f>
        <v/>
      </c>
      <c r="F1721" s="556">
        <f>IF($A1721&gt;BOTT_C4,ROUND(BASE_C4+RATE_C4*($A1721-BOTT_C4),0),IF($A1721&gt;BOTT_C3,ROUND(BASE_C3+RATE_C3*($A1721-BOTT_C3),0),IF($A1721&gt;BOTT_C2,ROUND(BASE_C2+RATE_C2*($A1721-BOTT_C2),0),ROUND(RATE_C1*$A1721,0))))</f>
        <v/>
      </c>
      <c r="G1721" s="556">
        <f>IF($A1721&gt;BOTT_D4,ROUND(BASE_D4+RATE_D4*($A1721-BOTT_D4),0),IF($A1721&gt;BOTT_D3,ROUND(BASE_D3+RATE_D3*($A1721-BOTT_D3),0),IF($A1721&gt;BOTT_D2,ROUND(BASE_D2+RATE_D2*($A1721-BOTT_D2),0),ROUND(RATE_D1*$A1721,0))))</f>
        <v/>
      </c>
    </row>
    <row r="1722" ht="15.75" customHeight="1" s="7635">
      <c r="A1722" s="625">
        <f>AVERAGE(B1722,C1722)</f>
        <v/>
      </c>
      <c r="B1722" s="555" t="n">
        <v>82900</v>
      </c>
      <c r="C1722" s="555" t="n">
        <v>82950</v>
      </c>
      <c r="D1722" s="556">
        <f>IF($A1722&gt;BOTT_A4,ROUND(BASE_A4+RATE_A4*($A1722-BOTT_A4),0),IF($A1722&gt;BOTT_A3,ROUND(BASE_A3+RATE_A3*($A1722-BOTT_A3),0),IF($A1722&gt;BOTT_A2,ROUND(BASE_A2+RATE_A2*($A1722-BOTT_A2),0),ROUND(RATE_A1*$A1722,0))))</f>
        <v/>
      </c>
      <c r="E1722" s="556">
        <f>IF($A1722&gt;BOTT_B4,ROUND(BASE_B4+RATE_B4*($A1722-BOTT_B4),0),IF($A1722&gt;BOTT_B3,ROUND(BASE_B3+RATE_B3*($A1722-BOTT_B3),0),IF($A1722&gt;BOTT_B2,ROUND(BASE_B2+RATE_B2*($A1722-BOTT_B2),0),ROUND(RATE_B1*$A1722,0))))</f>
        <v/>
      </c>
      <c r="F1722" s="556">
        <f>IF($A1722&gt;BOTT_C4,ROUND(BASE_C4+RATE_C4*($A1722-BOTT_C4),0),IF($A1722&gt;BOTT_C3,ROUND(BASE_C3+RATE_C3*($A1722-BOTT_C3),0),IF($A1722&gt;BOTT_C2,ROUND(BASE_C2+RATE_C2*($A1722-BOTT_C2),0),ROUND(RATE_C1*$A1722,0))))</f>
        <v/>
      </c>
      <c r="G1722" s="556">
        <f>IF($A1722&gt;BOTT_D4,ROUND(BASE_D4+RATE_D4*($A1722-BOTT_D4),0),IF($A1722&gt;BOTT_D3,ROUND(BASE_D3+RATE_D3*($A1722-BOTT_D3),0),IF($A1722&gt;BOTT_D2,ROUND(BASE_D2+RATE_D2*($A1722-BOTT_D2),0),ROUND(RATE_D1*$A1722,0))))</f>
        <v/>
      </c>
    </row>
    <row r="1723" ht="15.75" customHeight="1" s="7635">
      <c r="A1723" s="625">
        <f>AVERAGE(B1723,C1723)</f>
        <v/>
      </c>
      <c r="B1723" s="555" t="n">
        <v>82950</v>
      </c>
      <c r="C1723" s="555" t="n">
        <v>83000</v>
      </c>
      <c r="D1723" s="556">
        <f>IF($A1723&gt;BOTT_A4,ROUND(BASE_A4+RATE_A4*($A1723-BOTT_A4),0),IF($A1723&gt;BOTT_A3,ROUND(BASE_A3+RATE_A3*($A1723-BOTT_A3),0),IF($A1723&gt;BOTT_A2,ROUND(BASE_A2+RATE_A2*($A1723-BOTT_A2),0),ROUND(RATE_A1*$A1723,0))))</f>
        <v/>
      </c>
      <c r="E1723" s="556">
        <f>IF($A1723&gt;BOTT_B4,ROUND(BASE_B4+RATE_B4*($A1723-BOTT_B4),0),IF($A1723&gt;BOTT_B3,ROUND(BASE_B3+RATE_B3*($A1723-BOTT_B3),0),IF($A1723&gt;BOTT_B2,ROUND(BASE_B2+RATE_B2*($A1723-BOTT_B2),0),ROUND(RATE_B1*$A1723,0))))</f>
        <v/>
      </c>
      <c r="F1723" s="556">
        <f>IF($A1723&gt;BOTT_C4,ROUND(BASE_C4+RATE_C4*($A1723-BOTT_C4),0),IF($A1723&gt;BOTT_C3,ROUND(BASE_C3+RATE_C3*($A1723-BOTT_C3),0),IF($A1723&gt;BOTT_C2,ROUND(BASE_C2+RATE_C2*($A1723-BOTT_C2),0),ROUND(RATE_C1*$A1723,0))))</f>
        <v/>
      </c>
      <c r="G1723" s="556">
        <f>IF($A1723&gt;BOTT_D4,ROUND(BASE_D4+RATE_D4*($A1723-BOTT_D4),0),IF($A1723&gt;BOTT_D3,ROUND(BASE_D3+RATE_D3*($A1723-BOTT_D3),0),IF($A1723&gt;BOTT_D2,ROUND(BASE_D2+RATE_D2*($A1723-BOTT_D2),0),ROUND(RATE_D1*$A1723,0))))</f>
        <v/>
      </c>
    </row>
    <row r="1724" ht="15.75" customHeight="1" s="7635">
      <c r="A1724" s="625">
        <f>AVERAGE(B1724,C1724)</f>
        <v/>
      </c>
      <c r="B1724" s="555" t="n">
        <v>83000</v>
      </c>
      <c r="C1724" s="555" t="n">
        <v>83050</v>
      </c>
      <c r="D1724" s="556">
        <f>IF($A1724&gt;BOTT_A4,ROUND(BASE_A4+RATE_A4*($A1724-BOTT_A4),0),IF($A1724&gt;BOTT_A3,ROUND(BASE_A3+RATE_A3*($A1724-BOTT_A3),0),IF($A1724&gt;BOTT_A2,ROUND(BASE_A2+RATE_A2*($A1724-BOTT_A2),0),ROUND(RATE_A1*$A1724,0))))</f>
        <v/>
      </c>
      <c r="E1724" s="556">
        <f>IF($A1724&gt;BOTT_B4,ROUND(BASE_B4+RATE_B4*($A1724-BOTT_B4),0),IF($A1724&gt;BOTT_B3,ROUND(BASE_B3+RATE_B3*($A1724-BOTT_B3),0),IF($A1724&gt;BOTT_B2,ROUND(BASE_B2+RATE_B2*($A1724-BOTT_B2),0),ROUND(RATE_B1*$A1724,0))))</f>
        <v/>
      </c>
      <c r="F1724" s="556">
        <f>IF($A1724&gt;BOTT_C4,ROUND(BASE_C4+RATE_C4*($A1724-BOTT_C4),0),IF($A1724&gt;BOTT_C3,ROUND(BASE_C3+RATE_C3*($A1724-BOTT_C3),0),IF($A1724&gt;BOTT_C2,ROUND(BASE_C2+RATE_C2*($A1724-BOTT_C2),0),ROUND(RATE_C1*$A1724,0))))</f>
        <v/>
      </c>
      <c r="G1724" s="556">
        <f>IF($A1724&gt;BOTT_D4,ROUND(BASE_D4+RATE_D4*($A1724-BOTT_D4),0),IF($A1724&gt;BOTT_D3,ROUND(BASE_D3+RATE_D3*($A1724-BOTT_D3),0),IF($A1724&gt;BOTT_D2,ROUND(BASE_D2+RATE_D2*($A1724-BOTT_D2),0),ROUND(RATE_D1*$A1724,0))))</f>
        <v/>
      </c>
    </row>
    <row r="1725" ht="15.75" customHeight="1" s="7635">
      <c r="A1725" s="625">
        <f>AVERAGE(B1725,C1725)</f>
        <v/>
      </c>
      <c r="B1725" s="555" t="n">
        <v>83050</v>
      </c>
      <c r="C1725" s="555" t="n">
        <v>83100</v>
      </c>
      <c r="D1725" s="556">
        <f>IF($A1725&gt;BOTT_A4,ROUND(BASE_A4+RATE_A4*($A1725-BOTT_A4),0),IF($A1725&gt;BOTT_A3,ROUND(BASE_A3+RATE_A3*($A1725-BOTT_A3),0),IF($A1725&gt;BOTT_A2,ROUND(BASE_A2+RATE_A2*($A1725-BOTT_A2),0),ROUND(RATE_A1*$A1725,0))))</f>
        <v/>
      </c>
      <c r="E1725" s="556">
        <f>IF($A1725&gt;BOTT_B4,ROUND(BASE_B4+RATE_B4*($A1725-BOTT_B4),0),IF($A1725&gt;BOTT_B3,ROUND(BASE_B3+RATE_B3*($A1725-BOTT_B3),0),IF($A1725&gt;BOTT_B2,ROUND(BASE_B2+RATE_B2*($A1725-BOTT_B2),0),ROUND(RATE_B1*$A1725,0))))</f>
        <v/>
      </c>
      <c r="F1725" s="556">
        <f>IF($A1725&gt;BOTT_C4,ROUND(BASE_C4+RATE_C4*($A1725-BOTT_C4),0),IF($A1725&gt;BOTT_C3,ROUND(BASE_C3+RATE_C3*($A1725-BOTT_C3),0),IF($A1725&gt;BOTT_C2,ROUND(BASE_C2+RATE_C2*($A1725-BOTT_C2),0),ROUND(RATE_C1*$A1725,0))))</f>
        <v/>
      </c>
      <c r="G1725" s="556">
        <f>IF($A1725&gt;BOTT_D4,ROUND(BASE_D4+RATE_D4*($A1725-BOTT_D4),0),IF($A1725&gt;BOTT_D3,ROUND(BASE_D3+RATE_D3*($A1725-BOTT_D3),0),IF($A1725&gt;BOTT_D2,ROUND(BASE_D2+RATE_D2*($A1725-BOTT_D2),0),ROUND(RATE_D1*$A1725,0))))</f>
        <v/>
      </c>
    </row>
    <row r="1726" ht="15.75" customHeight="1" s="7635">
      <c r="A1726" s="625">
        <f>AVERAGE(B1726,C1726)</f>
        <v/>
      </c>
      <c r="B1726" s="555" t="n">
        <v>83100</v>
      </c>
      <c r="C1726" s="555" t="n">
        <v>83150</v>
      </c>
      <c r="D1726" s="556">
        <f>IF($A1726&gt;BOTT_A4,ROUND(BASE_A4+RATE_A4*($A1726-BOTT_A4),0),IF($A1726&gt;BOTT_A3,ROUND(BASE_A3+RATE_A3*($A1726-BOTT_A3),0),IF($A1726&gt;BOTT_A2,ROUND(BASE_A2+RATE_A2*($A1726-BOTT_A2),0),ROUND(RATE_A1*$A1726,0))))</f>
        <v/>
      </c>
      <c r="E1726" s="556">
        <f>IF($A1726&gt;BOTT_B4,ROUND(BASE_B4+RATE_B4*($A1726-BOTT_B4),0),IF($A1726&gt;BOTT_B3,ROUND(BASE_B3+RATE_B3*($A1726-BOTT_B3),0),IF($A1726&gt;BOTT_B2,ROUND(BASE_B2+RATE_B2*($A1726-BOTT_B2),0),ROUND(RATE_B1*$A1726,0))))</f>
        <v/>
      </c>
      <c r="F1726" s="556">
        <f>IF($A1726&gt;BOTT_C4,ROUND(BASE_C4+RATE_C4*($A1726-BOTT_C4),0),IF($A1726&gt;BOTT_C3,ROUND(BASE_C3+RATE_C3*($A1726-BOTT_C3),0),IF($A1726&gt;BOTT_C2,ROUND(BASE_C2+RATE_C2*($A1726-BOTT_C2),0),ROUND(RATE_C1*$A1726,0))))</f>
        <v/>
      </c>
      <c r="G1726" s="556">
        <f>IF($A1726&gt;BOTT_D4,ROUND(BASE_D4+RATE_D4*($A1726-BOTT_D4),0),IF($A1726&gt;BOTT_D3,ROUND(BASE_D3+RATE_D3*($A1726-BOTT_D3),0),IF($A1726&gt;BOTT_D2,ROUND(BASE_D2+RATE_D2*($A1726-BOTT_D2),0),ROUND(RATE_D1*$A1726,0))))</f>
        <v/>
      </c>
    </row>
    <row r="1727" ht="15.75" customHeight="1" s="7635">
      <c r="A1727" s="625">
        <f>AVERAGE(B1727,C1727)</f>
        <v/>
      </c>
      <c r="B1727" s="555" t="n">
        <v>83150</v>
      </c>
      <c r="C1727" s="555" t="n">
        <v>83200</v>
      </c>
      <c r="D1727" s="556">
        <f>IF($A1727&gt;BOTT_A4,ROUND(BASE_A4+RATE_A4*($A1727-BOTT_A4),0),IF($A1727&gt;BOTT_A3,ROUND(BASE_A3+RATE_A3*($A1727-BOTT_A3),0),IF($A1727&gt;BOTT_A2,ROUND(BASE_A2+RATE_A2*($A1727-BOTT_A2),0),ROUND(RATE_A1*$A1727,0))))</f>
        <v/>
      </c>
      <c r="E1727" s="556">
        <f>IF($A1727&gt;BOTT_B4,ROUND(BASE_B4+RATE_B4*($A1727-BOTT_B4),0),IF($A1727&gt;BOTT_B3,ROUND(BASE_B3+RATE_B3*($A1727-BOTT_B3),0),IF($A1727&gt;BOTT_B2,ROUND(BASE_B2+RATE_B2*($A1727-BOTT_B2),0),ROUND(RATE_B1*$A1727,0))))</f>
        <v/>
      </c>
      <c r="F1727" s="556">
        <f>IF($A1727&gt;BOTT_C4,ROUND(BASE_C4+RATE_C4*($A1727-BOTT_C4),0),IF($A1727&gt;BOTT_C3,ROUND(BASE_C3+RATE_C3*($A1727-BOTT_C3),0),IF($A1727&gt;BOTT_C2,ROUND(BASE_C2+RATE_C2*($A1727-BOTT_C2),0),ROUND(RATE_C1*$A1727,0))))</f>
        <v/>
      </c>
      <c r="G1727" s="556">
        <f>IF($A1727&gt;BOTT_D4,ROUND(BASE_D4+RATE_D4*($A1727-BOTT_D4),0),IF($A1727&gt;BOTT_D3,ROUND(BASE_D3+RATE_D3*($A1727-BOTT_D3),0),IF($A1727&gt;BOTT_D2,ROUND(BASE_D2+RATE_D2*($A1727-BOTT_D2),0),ROUND(RATE_D1*$A1727,0))))</f>
        <v/>
      </c>
    </row>
    <row r="1728" ht="15.75" customHeight="1" s="7635">
      <c r="A1728" s="625">
        <f>AVERAGE(B1728,C1728)</f>
        <v/>
      </c>
      <c r="B1728" s="555" t="n">
        <v>83200</v>
      </c>
      <c r="C1728" s="555" t="n">
        <v>83250</v>
      </c>
      <c r="D1728" s="556">
        <f>IF($A1728&gt;BOTT_A4,ROUND(BASE_A4+RATE_A4*($A1728-BOTT_A4),0),IF($A1728&gt;BOTT_A3,ROUND(BASE_A3+RATE_A3*($A1728-BOTT_A3),0),IF($A1728&gt;BOTT_A2,ROUND(BASE_A2+RATE_A2*($A1728-BOTT_A2),0),ROUND(RATE_A1*$A1728,0))))</f>
        <v/>
      </c>
      <c r="E1728" s="556">
        <f>IF($A1728&gt;BOTT_B4,ROUND(BASE_B4+RATE_B4*($A1728-BOTT_B4),0),IF($A1728&gt;BOTT_B3,ROUND(BASE_B3+RATE_B3*($A1728-BOTT_B3),0),IF($A1728&gt;BOTT_B2,ROUND(BASE_B2+RATE_B2*($A1728-BOTT_B2),0),ROUND(RATE_B1*$A1728,0))))</f>
        <v/>
      </c>
      <c r="F1728" s="556">
        <f>IF($A1728&gt;BOTT_C4,ROUND(BASE_C4+RATE_C4*($A1728-BOTT_C4),0),IF($A1728&gt;BOTT_C3,ROUND(BASE_C3+RATE_C3*($A1728-BOTT_C3),0),IF($A1728&gt;BOTT_C2,ROUND(BASE_C2+RATE_C2*($A1728-BOTT_C2),0),ROUND(RATE_C1*$A1728,0))))</f>
        <v/>
      </c>
      <c r="G1728" s="556">
        <f>IF($A1728&gt;BOTT_D4,ROUND(BASE_D4+RATE_D4*($A1728-BOTT_D4),0),IF($A1728&gt;BOTT_D3,ROUND(BASE_D3+RATE_D3*($A1728-BOTT_D3),0),IF($A1728&gt;BOTT_D2,ROUND(BASE_D2+RATE_D2*($A1728-BOTT_D2),0),ROUND(RATE_D1*$A1728,0))))</f>
        <v/>
      </c>
    </row>
    <row r="1729" ht="15.75" customHeight="1" s="7635">
      <c r="A1729" s="625">
        <f>AVERAGE(B1729,C1729)</f>
        <v/>
      </c>
      <c r="B1729" s="555" t="n">
        <v>83250</v>
      </c>
      <c r="C1729" s="555" t="n">
        <v>83300</v>
      </c>
      <c r="D1729" s="556">
        <f>IF($A1729&gt;BOTT_A4,ROUND(BASE_A4+RATE_A4*($A1729-BOTT_A4),0),IF($A1729&gt;BOTT_A3,ROUND(BASE_A3+RATE_A3*($A1729-BOTT_A3),0),IF($A1729&gt;BOTT_A2,ROUND(BASE_A2+RATE_A2*($A1729-BOTT_A2),0),ROUND(RATE_A1*$A1729,0))))</f>
        <v/>
      </c>
      <c r="E1729" s="556">
        <f>IF($A1729&gt;BOTT_B4,ROUND(BASE_B4+RATE_B4*($A1729-BOTT_B4),0),IF($A1729&gt;BOTT_B3,ROUND(BASE_B3+RATE_B3*($A1729-BOTT_B3),0),IF($A1729&gt;BOTT_B2,ROUND(BASE_B2+RATE_B2*($A1729-BOTT_B2),0),ROUND(RATE_B1*$A1729,0))))</f>
        <v/>
      </c>
      <c r="F1729" s="556">
        <f>IF($A1729&gt;BOTT_C4,ROUND(BASE_C4+RATE_C4*($A1729-BOTT_C4),0),IF($A1729&gt;BOTT_C3,ROUND(BASE_C3+RATE_C3*($A1729-BOTT_C3),0),IF($A1729&gt;BOTT_C2,ROUND(BASE_C2+RATE_C2*($A1729-BOTT_C2),0),ROUND(RATE_C1*$A1729,0))))</f>
        <v/>
      </c>
      <c r="G1729" s="556">
        <f>IF($A1729&gt;BOTT_D4,ROUND(BASE_D4+RATE_D4*($A1729-BOTT_D4),0),IF($A1729&gt;BOTT_D3,ROUND(BASE_D3+RATE_D3*($A1729-BOTT_D3),0),IF($A1729&gt;BOTT_D2,ROUND(BASE_D2+RATE_D2*($A1729-BOTT_D2),0),ROUND(RATE_D1*$A1729,0))))</f>
        <v/>
      </c>
    </row>
    <row r="1730" ht="15.75" customHeight="1" s="7635">
      <c r="A1730" s="625">
        <f>AVERAGE(B1730,C1730)</f>
        <v/>
      </c>
      <c r="B1730" s="555" t="n">
        <v>83300</v>
      </c>
      <c r="C1730" s="555" t="n">
        <v>83350</v>
      </c>
      <c r="D1730" s="556">
        <f>IF($A1730&gt;BOTT_A4,ROUND(BASE_A4+RATE_A4*($A1730-BOTT_A4),0),IF($A1730&gt;BOTT_A3,ROUND(BASE_A3+RATE_A3*($A1730-BOTT_A3),0),IF($A1730&gt;BOTT_A2,ROUND(BASE_A2+RATE_A2*($A1730-BOTT_A2),0),ROUND(RATE_A1*$A1730,0))))</f>
        <v/>
      </c>
      <c r="E1730" s="556">
        <f>IF($A1730&gt;BOTT_B4,ROUND(BASE_B4+RATE_B4*($A1730-BOTT_B4),0),IF($A1730&gt;BOTT_B3,ROUND(BASE_B3+RATE_B3*($A1730-BOTT_B3),0),IF($A1730&gt;BOTT_B2,ROUND(BASE_B2+RATE_B2*($A1730-BOTT_B2),0),ROUND(RATE_B1*$A1730,0))))</f>
        <v/>
      </c>
      <c r="F1730" s="556">
        <f>IF($A1730&gt;BOTT_C4,ROUND(BASE_C4+RATE_C4*($A1730-BOTT_C4),0),IF($A1730&gt;BOTT_C3,ROUND(BASE_C3+RATE_C3*($A1730-BOTT_C3),0),IF($A1730&gt;BOTT_C2,ROUND(BASE_C2+RATE_C2*($A1730-BOTT_C2),0),ROUND(RATE_C1*$A1730,0))))</f>
        <v/>
      </c>
      <c r="G1730" s="556">
        <f>IF($A1730&gt;BOTT_D4,ROUND(BASE_D4+RATE_D4*($A1730-BOTT_D4),0),IF($A1730&gt;BOTT_D3,ROUND(BASE_D3+RATE_D3*($A1730-BOTT_D3),0),IF($A1730&gt;BOTT_D2,ROUND(BASE_D2+RATE_D2*($A1730-BOTT_D2),0),ROUND(RATE_D1*$A1730,0))))</f>
        <v/>
      </c>
    </row>
    <row r="1731" ht="15.75" customHeight="1" s="7635">
      <c r="A1731" s="625">
        <f>AVERAGE(B1731,C1731)</f>
        <v/>
      </c>
      <c r="B1731" s="555" t="n">
        <v>83350</v>
      </c>
      <c r="C1731" s="555" t="n">
        <v>83400</v>
      </c>
      <c r="D1731" s="556">
        <f>IF($A1731&gt;BOTT_A4,ROUND(BASE_A4+RATE_A4*($A1731-BOTT_A4),0),IF($A1731&gt;BOTT_A3,ROUND(BASE_A3+RATE_A3*($A1731-BOTT_A3),0),IF($A1731&gt;BOTT_A2,ROUND(BASE_A2+RATE_A2*($A1731-BOTT_A2),0),ROUND(RATE_A1*$A1731,0))))</f>
        <v/>
      </c>
      <c r="E1731" s="556">
        <f>IF($A1731&gt;BOTT_B4,ROUND(BASE_B4+RATE_B4*($A1731-BOTT_B4),0),IF($A1731&gt;BOTT_B3,ROUND(BASE_B3+RATE_B3*($A1731-BOTT_B3),0),IF($A1731&gt;BOTT_B2,ROUND(BASE_B2+RATE_B2*($A1731-BOTT_B2),0),ROUND(RATE_B1*$A1731,0))))</f>
        <v/>
      </c>
      <c r="F1731" s="556">
        <f>IF($A1731&gt;BOTT_C4,ROUND(BASE_C4+RATE_C4*($A1731-BOTT_C4),0),IF($A1731&gt;BOTT_C3,ROUND(BASE_C3+RATE_C3*($A1731-BOTT_C3),0),IF($A1731&gt;BOTT_C2,ROUND(BASE_C2+RATE_C2*($A1731-BOTT_C2),0),ROUND(RATE_C1*$A1731,0))))</f>
        <v/>
      </c>
      <c r="G1731" s="556">
        <f>IF($A1731&gt;BOTT_D4,ROUND(BASE_D4+RATE_D4*($A1731-BOTT_D4),0),IF($A1731&gt;BOTT_D3,ROUND(BASE_D3+RATE_D3*($A1731-BOTT_D3),0),IF($A1731&gt;BOTT_D2,ROUND(BASE_D2+RATE_D2*($A1731-BOTT_D2),0),ROUND(RATE_D1*$A1731,0))))</f>
        <v/>
      </c>
    </row>
    <row r="1732" ht="15.75" customHeight="1" s="7635">
      <c r="A1732" s="625">
        <f>AVERAGE(B1732,C1732)</f>
        <v/>
      </c>
      <c r="B1732" s="555" t="n">
        <v>83400</v>
      </c>
      <c r="C1732" s="555" t="n">
        <v>83450</v>
      </c>
      <c r="D1732" s="556">
        <f>IF($A1732&gt;BOTT_A4,ROUND(BASE_A4+RATE_A4*($A1732-BOTT_A4),0),IF($A1732&gt;BOTT_A3,ROUND(BASE_A3+RATE_A3*($A1732-BOTT_A3),0),IF($A1732&gt;BOTT_A2,ROUND(BASE_A2+RATE_A2*($A1732-BOTT_A2),0),ROUND(RATE_A1*$A1732,0))))</f>
        <v/>
      </c>
      <c r="E1732" s="556">
        <f>IF($A1732&gt;BOTT_B4,ROUND(BASE_B4+RATE_B4*($A1732-BOTT_B4),0),IF($A1732&gt;BOTT_B3,ROUND(BASE_B3+RATE_B3*($A1732-BOTT_B3),0),IF($A1732&gt;BOTT_B2,ROUND(BASE_B2+RATE_B2*($A1732-BOTT_B2),0),ROUND(RATE_B1*$A1732,0))))</f>
        <v/>
      </c>
      <c r="F1732" s="556">
        <f>IF($A1732&gt;BOTT_C4,ROUND(BASE_C4+RATE_C4*($A1732-BOTT_C4),0),IF($A1732&gt;BOTT_C3,ROUND(BASE_C3+RATE_C3*($A1732-BOTT_C3),0),IF($A1732&gt;BOTT_C2,ROUND(BASE_C2+RATE_C2*($A1732-BOTT_C2),0),ROUND(RATE_C1*$A1732,0))))</f>
        <v/>
      </c>
      <c r="G1732" s="556">
        <f>IF($A1732&gt;BOTT_D4,ROUND(BASE_D4+RATE_D4*($A1732-BOTT_D4),0),IF($A1732&gt;BOTT_D3,ROUND(BASE_D3+RATE_D3*($A1732-BOTT_D3),0),IF($A1732&gt;BOTT_D2,ROUND(BASE_D2+RATE_D2*($A1732-BOTT_D2),0),ROUND(RATE_D1*$A1732,0))))</f>
        <v/>
      </c>
    </row>
    <row r="1733" ht="15.75" customHeight="1" s="7635">
      <c r="A1733" s="625">
        <f>AVERAGE(B1733,C1733)</f>
        <v/>
      </c>
      <c r="B1733" s="555" t="n">
        <v>83450</v>
      </c>
      <c r="C1733" s="555" t="n">
        <v>83500</v>
      </c>
      <c r="D1733" s="556">
        <f>IF($A1733&gt;BOTT_A4,ROUND(BASE_A4+RATE_A4*($A1733-BOTT_A4),0),IF($A1733&gt;BOTT_A3,ROUND(BASE_A3+RATE_A3*($A1733-BOTT_A3),0),IF($A1733&gt;BOTT_A2,ROUND(BASE_A2+RATE_A2*($A1733-BOTT_A2),0),ROUND(RATE_A1*$A1733,0))))</f>
        <v/>
      </c>
      <c r="E1733" s="556">
        <f>IF($A1733&gt;BOTT_B4,ROUND(BASE_B4+RATE_B4*($A1733-BOTT_B4),0),IF($A1733&gt;BOTT_B3,ROUND(BASE_B3+RATE_B3*($A1733-BOTT_B3),0),IF($A1733&gt;BOTT_B2,ROUND(BASE_B2+RATE_B2*($A1733-BOTT_B2),0),ROUND(RATE_B1*$A1733,0))))</f>
        <v/>
      </c>
      <c r="F1733" s="556">
        <f>IF($A1733&gt;BOTT_C4,ROUND(BASE_C4+RATE_C4*($A1733-BOTT_C4),0),IF($A1733&gt;BOTT_C3,ROUND(BASE_C3+RATE_C3*($A1733-BOTT_C3),0),IF($A1733&gt;BOTT_C2,ROUND(BASE_C2+RATE_C2*($A1733-BOTT_C2),0),ROUND(RATE_C1*$A1733,0))))</f>
        <v/>
      </c>
      <c r="G1733" s="556">
        <f>IF($A1733&gt;BOTT_D4,ROUND(BASE_D4+RATE_D4*($A1733-BOTT_D4),0),IF($A1733&gt;BOTT_D3,ROUND(BASE_D3+RATE_D3*($A1733-BOTT_D3),0),IF($A1733&gt;BOTT_D2,ROUND(BASE_D2+RATE_D2*($A1733-BOTT_D2),0),ROUND(RATE_D1*$A1733,0))))</f>
        <v/>
      </c>
    </row>
    <row r="1734" ht="15.75" customHeight="1" s="7635">
      <c r="A1734" s="625">
        <f>AVERAGE(B1734,C1734)</f>
        <v/>
      </c>
      <c r="B1734" s="555" t="n">
        <v>83500</v>
      </c>
      <c r="C1734" s="555" t="n">
        <v>83550</v>
      </c>
      <c r="D1734" s="556">
        <f>IF($A1734&gt;BOTT_A4,ROUND(BASE_A4+RATE_A4*($A1734-BOTT_A4),0),IF($A1734&gt;BOTT_A3,ROUND(BASE_A3+RATE_A3*($A1734-BOTT_A3),0),IF($A1734&gt;BOTT_A2,ROUND(BASE_A2+RATE_A2*($A1734-BOTT_A2),0),ROUND(RATE_A1*$A1734,0))))</f>
        <v/>
      </c>
      <c r="E1734" s="556">
        <f>IF($A1734&gt;BOTT_B4,ROUND(BASE_B4+RATE_B4*($A1734-BOTT_B4),0),IF($A1734&gt;BOTT_B3,ROUND(BASE_B3+RATE_B3*($A1734-BOTT_B3),0),IF($A1734&gt;BOTT_B2,ROUND(BASE_B2+RATE_B2*($A1734-BOTT_B2),0),ROUND(RATE_B1*$A1734,0))))</f>
        <v/>
      </c>
      <c r="F1734" s="556">
        <f>IF($A1734&gt;BOTT_C4,ROUND(BASE_C4+RATE_C4*($A1734-BOTT_C4),0),IF($A1734&gt;BOTT_C3,ROUND(BASE_C3+RATE_C3*($A1734-BOTT_C3),0),IF($A1734&gt;BOTT_C2,ROUND(BASE_C2+RATE_C2*($A1734-BOTT_C2),0),ROUND(RATE_C1*$A1734,0))))</f>
        <v/>
      </c>
      <c r="G1734" s="556">
        <f>IF($A1734&gt;BOTT_D4,ROUND(BASE_D4+RATE_D4*($A1734-BOTT_D4),0),IF($A1734&gt;BOTT_D3,ROUND(BASE_D3+RATE_D3*($A1734-BOTT_D3),0),IF($A1734&gt;BOTT_D2,ROUND(BASE_D2+RATE_D2*($A1734-BOTT_D2),0),ROUND(RATE_D1*$A1734,0))))</f>
        <v/>
      </c>
    </row>
    <row r="1735" ht="15.75" customHeight="1" s="7635">
      <c r="A1735" s="625">
        <f>AVERAGE(B1735,C1735)</f>
        <v/>
      </c>
      <c r="B1735" s="555" t="n">
        <v>83550</v>
      </c>
      <c r="C1735" s="555" t="n">
        <v>83600</v>
      </c>
      <c r="D1735" s="556">
        <f>IF($A1735&gt;BOTT_A4,ROUND(BASE_A4+RATE_A4*($A1735-BOTT_A4),0),IF($A1735&gt;BOTT_A3,ROUND(BASE_A3+RATE_A3*($A1735-BOTT_A3),0),IF($A1735&gt;BOTT_A2,ROUND(BASE_A2+RATE_A2*($A1735-BOTT_A2),0),ROUND(RATE_A1*$A1735,0))))</f>
        <v/>
      </c>
      <c r="E1735" s="556">
        <f>IF($A1735&gt;BOTT_B4,ROUND(BASE_B4+RATE_B4*($A1735-BOTT_B4),0),IF($A1735&gt;BOTT_B3,ROUND(BASE_B3+RATE_B3*($A1735-BOTT_B3),0),IF($A1735&gt;BOTT_B2,ROUND(BASE_B2+RATE_B2*($A1735-BOTT_B2),0),ROUND(RATE_B1*$A1735,0))))</f>
        <v/>
      </c>
      <c r="F1735" s="556">
        <f>IF($A1735&gt;BOTT_C4,ROUND(BASE_C4+RATE_C4*($A1735-BOTT_C4),0),IF($A1735&gt;BOTT_C3,ROUND(BASE_C3+RATE_C3*($A1735-BOTT_C3),0),IF($A1735&gt;BOTT_C2,ROUND(BASE_C2+RATE_C2*($A1735-BOTT_C2),0),ROUND(RATE_C1*$A1735,0))))</f>
        <v/>
      </c>
      <c r="G1735" s="556">
        <f>IF($A1735&gt;BOTT_D4,ROUND(BASE_D4+RATE_D4*($A1735-BOTT_D4),0),IF($A1735&gt;BOTT_D3,ROUND(BASE_D3+RATE_D3*($A1735-BOTT_D3),0),IF($A1735&gt;BOTT_D2,ROUND(BASE_D2+RATE_D2*($A1735-BOTT_D2),0),ROUND(RATE_D1*$A1735,0))))</f>
        <v/>
      </c>
    </row>
    <row r="1736" ht="15.75" customHeight="1" s="7635">
      <c r="A1736" s="625">
        <f>AVERAGE(B1736,C1736)</f>
        <v/>
      </c>
      <c r="B1736" s="555" t="n">
        <v>83600</v>
      </c>
      <c r="C1736" s="555" t="n">
        <v>83650</v>
      </c>
      <c r="D1736" s="556">
        <f>IF($A1736&gt;BOTT_A4,ROUND(BASE_A4+RATE_A4*($A1736-BOTT_A4),0),IF($A1736&gt;BOTT_A3,ROUND(BASE_A3+RATE_A3*($A1736-BOTT_A3),0),IF($A1736&gt;BOTT_A2,ROUND(BASE_A2+RATE_A2*($A1736-BOTT_A2),0),ROUND(RATE_A1*$A1736,0))))</f>
        <v/>
      </c>
      <c r="E1736" s="556">
        <f>IF($A1736&gt;BOTT_B4,ROUND(BASE_B4+RATE_B4*($A1736-BOTT_B4),0),IF($A1736&gt;BOTT_B3,ROUND(BASE_B3+RATE_B3*($A1736-BOTT_B3),0),IF($A1736&gt;BOTT_B2,ROUND(BASE_B2+RATE_B2*($A1736-BOTT_B2),0),ROUND(RATE_B1*$A1736,0))))</f>
        <v/>
      </c>
      <c r="F1736" s="556">
        <f>IF($A1736&gt;BOTT_C4,ROUND(BASE_C4+RATE_C4*($A1736-BOTT_C4),0),IF($A1736&gt;BOTT_C3,ROUND(BASE_C3+RATE_C3*($A1736-BOTT_C3),0),IF($A1736&gt;BOTT_C2,ROUND(BASE_C2+RATE_C2*($A1736-BOTT_C2),0),ROUND(RATE_C1*$A1736,0))))</f>
        <v/>
      </c>
      <c r="G1736" s="556">
        <f>IF($A1736&gt;BOTT_D4,ROUND(BASE_D4+RATE_D4*($A1736-BOTT_D4),0),IF($A1736&gt;BOTT_D3,ROUND(BASE_D3+RATE_D3*($A1736-BOTT_D3),0),IF($A1736&gt;BOTT_D2,ROUND(BASE_D2+RATE_D2*($A1736-BOTT_D2),0),ROUND(RATE_D1*$A1736,0))))</f>
        <v/>
      </c>
    </row>
    <row r="1737" ht="15.75" customHeight="1" s="7635">
      <c r="A1737" s="625">
        <f>AVERAGE(B1737,C1737)</f>
        <v/>
      </c>
      <c r="B1737" s="555" t="n">
        <v>83650</v>
      </c>
      <c r="C1737" s="555" t="n">
        <v>83700</v>
      </c>
      <c r="D1737" s="556">
        <f>IF($A1737&gt;BOTT_A4,ROUND(BASE_A4+RATE_A4*($A1737-BOTT_A4),0),IF($A1737&gt;BOTT_A3,ROUND(BASE_A3+RATE_A3*($A1737-BOTT_A3),0),IF($A1737&gt;BOTT_A2,ROUND(BASE_A2+RATE_A2*($A1737-BOTT_A2),0),ROUND(RATE_A1*$A1737,0))))</f>
        <v/>
      </c>
      <c r="E1737" s="556">
        <f>IF($A1737&gt;BOTT_B4,ROUND(BASE_B4+RATE_B4*($A1737-BOTT_B4),0),IF($A1737&gt;BOTT_B3,ROUND(BASE_B3+RATE_B3*($A1737-BOTT_B3),0),IF($A1737&gt;BOTT_B2,ROUND(BASE_B2+RATE_B2*($A1737-BOTT_B2),0),ROUND(RATE_B1*$A1737,0))))</f>
        <v/>
      </c>
      <c r="F1737" s="556">
        <f>IF($A1737&gt;BOTT_C4,ROUND(BASE_C4+RATE_C4*($A1737-BOTT_C4),0),IF($A1737&gt;BOTT_C3,ROUND(BASE_C3+RATE_C3*($A1737-BOTT_C3),0),IF($A1737&gt;BOTT_C2,ROUND(BASE_C2+RATE_C2*($A1737-BOTT_C2),0),ROUND(RATE_C1*$A1737,0))))</f>
        <v/>
      </c>
      <c r="G1737" s="556">
        <f>IF($A1737&gt;BOTT_D4,ROUND(BASE_D4+RATE_D4*($A1737-BOTT_D4),0),IF($A1737&gt;BOTT_D3,ROUND(BASE_D3+RATE_D3*($A1737-BOTT_D3),0),IF($A1737&gt;BOTT_D2,ROUND(BASE_D2+RATE_D2*($A1737-BOTT_D2),0),ROUND(RATE_D1*$A1737,0))))</f>
        <v/>
      </c>
    </row>
    <row r="1738" ht="15.75" customHeight="1" s="7635">
      <c r="A1738" s="625">
        <f>AVERAGE(B1738,C1738)</f>
        <v/>
      </c>
      <c r="B1738" s="555" t="n">
        <v>83700</v>
      </c>
      <c r="C1738" s="555" t="n">
        <v>83750</v>
      </c>
      <c r="D1738" s="556">
        <f>IF($A1738&gt;BOTT_A4,ROUND(BASE_A4+RATE_A4*($A1738-BOTT_A4),0),IF($A1738&gt;BOTT_A3,ROUND(BASE_A3+RATE_A3*($A1738-BOTT_A3),0),IF($A1738&gt;BOTT_A2,ROUND(BASE_A2+RATE_A2*($A1738-BOTT_A2),0),ROUND(RATE_A1*$A1738,0))))</f>
        <v/>
      </c>
      <c r="E1738" s="556">
        <f>IF($A1738&gt;BOTT_B4,ROUND(BASE_B4+RATE_B4*($A1738-BOTT_B4),0),IF($A1738&gt;BOTT_B3,ROUND(BASE_B3+RATE_B3*($A1738-BOTT_B3),0),IF($A1738&gt;BOTT_B2,ROUND(BASE_B2+RATE_B2*($A1738-BOTT_B2),0),ROUND(RATE_B1*$A1738,0))))</f>
        <v/>
      </c>
      <c r="F1738" s="556">
        <f>IF($A1738&gt;BOTT_C4,ROUND(BASE_C4+RATE_C4*($A1738-BOTT_C4),0),IF($A1738&gt;BOTT_C3,ROUND(BASE_C3+RATE_C3*($A1738-BOTT_C3),0),IF($A1738&gt;BOTT_C2,ROUND(BASE_C2+RATE_C2*($A1738-BOTT_C2),0),ROUND(RATE_C1*$A1738,0))))</f>
        <v/>
      </c>
      <c r="G1738" s="556">
        <f>IF($A1738&gt;BOTT_D4,ROUND(BASE_D4+RATE_D4*($A1738-BOTT_D4),0),IF($A1738&gt;BOTT_D3,ROUND(BASE_D3+RATE_D3*($A1738-BOTT_D3),0),IF($A1738&gt;BOTT_D2,ROUND(BASE_D2+RATE_D2*($A1738-BOTT_D2),0),ROUND(RATE_D1*$A1738,0))))</f>
        <v/>
      </c>
    </row>
    <row r="1739" ht="15.75" customHeight="1" s="7635">
      <c r="A1739" s="625">
        <f>AVERAGE(B1739,C1739)</f>
        <v/>
      </c>
      <c r="B1739" s="555" t="n">
        <v>83750</v>
      </c>
      <c r="C1739" s="555" t="n">
        <v>83800</v>
      </c>
      <c r="D1739" s="556">
        <f>IF($A1739&gt;BOTT_A4,ROUND(BASE_A4+RATE_A4*($A1739-BOTT_A4),0),IF($A1739&gt;BOTT_A3,ROUND(BASE_A3+RATE_A3*($A1739-BOTT_A3),0),IF($A1739&gt;BOTT_A2,ROUND(BASE_A2+RATE_A2*($A1739-BOTT_A2),0),ROUND(RATE_A1*$A1739,0))))</f>
        <v/>
      </c>
      <c r="E1739" s="556">
        <f>IF($A1739&gt;BOTT_B4,ROUND(BASE_B4+RATE_B4*($A1739-BOTT_B4),0),IF($A1739&gt;BOTT_B3,ROUND(BASE_B3+RATE_B3*($A1739-BOTT_B3),0),IF($A1739&gt;BOTT_B2,ROUND(BASE_B2+RATE_B2*($A1739-BOTT_B2),0),ROUND(RATE_B1*$A1739,0))))</f>
        <v/>
      </c>
      <c r="F1739" s="556">
        <f>IF($A1739&gt;BOTT_C4,ROUND(BASE_C4+RATE_C4*($A1739-BOTT_C4),0),IF($A1739&gt;BOTT_C3,ROUND(BASE_C3+RATE_C3*($A1739-BOTT_C3),0),IF($A1739&gt;BOTT_C2,ROUND(BASE_C2+RATE_C2*($A1739-BOTT_C2),0),ROUND(RATE_C1*$A1739,0))))</f>
        <v/>
      </c>
      <c r="G1739" s="556">
        <f>IF($A1739&gt;BOTT_D4,ROUND(BASE_D4+RATE_D4*($A1739-BOTT_D4),0),IF($A1739&gt;BOTT_D3,ROUND(BASE_D3+RATE_D3*($A1739-BOTT_D3),0),IF($A1739&gt;BOTT_D2,ROUND(BASE_D2+RATE_D2*($A1739-BOTT_D2),0),ROUND(RATE_D1*$A1739,0))))</f>
        <v/>
      </c>
    </row>
    <row r="1740" ht="15.75" customHeight="1" s="7635">
      <c r="A1740" s="625">
        <f>AVERAGE(B1740,C1740)</f>
        <v/>
      </c>
      <c r="B1740" s="555" t="n">
        <v>83800</v>
      </c>
      <c r="C1740" s="555" t="n">
        <v>83850</v>
      </c>
      <c r="D1740" s="556">
        <f>IF($A1740&gt;BOTT_A4,ROUND(BASE_A4+RATE_A4*($A1740-BOTT_A4),0),IF($A1740&gt;BOTT_A3,ROUND(BASE_A3+RATE_A3*($A1740-BOTT_A3),0),IF($A1740&gt;BOTT_A2,ROUND(BASE_A2+RATE_A2*($A1740-BOTT_A2),0),ROUND(RATE_A1*$A1740,0))))</f>
        <v/>
      </c>
      <c r="E1740" s="556">
        <f>IF($A1740&gt;BOTT_B4,ROUND(BASE_B4+RATE_B4*($A1740-BOTT_B4),0),IF($A1740&gt;BOTT_B3,ROUND(BASE_B3+RATE_B3*($A1740-BOTT_B3),0),IF($A1740&gt;BOTT_B2,ROUND(BASE_B2+RATE_B2*($A1740-BOTT_B2),0),ROUND(RATE_B1*$A1740,0))))</f>
        <v/>
      </c>
      <c r="F1740" s="556">
        <f>IF($A1740&gt;BOTT_C4,ROUND(BASE_C4+RATE_C4*($A1740-BOTT_C4),0),IF($A1740&gt;BOTT_C3,ROUND(BASE_C3+RATE_C3*($A1740-BOTT_C3),0),IF($A1740&gt;BOTT_C2,ROUND(BASE_C2+RATE_C2*($A1740-BOTT_C2),0),ROUND(RATE_C1*$A1740,0))))</f>
        <v/>
      </c>
      <c r="G1740" s="556">
        <f>IF($A1740&gt;BOTT_D4,ROUND(BASE_D4+RATE_D4*($A1740-BOTT_D4),0),IF($A1740&gt;BOTT_D3,ROUND(BASE_D3+RATE_D3*($A1740-BOTT_D3),0),IF($A1740&gt;BOTT_D2,ROUND(BASE_D2+RATE_D2*($A1740-BOTT_D2),0),ROUND(RATE_D1*$A1740,0))))</f>
        <v/>
      </c>
    </row>
    <row r="1741" ht="15.75" customHeight="1" s="7635">
      <c r="A1741" s="625">
        <f>AVERAGE(B1741,C1741)</f>
        <v/>
      </c>
      <c r="B1741" s="555" t="n">
        <v>83850</v>
      </c>
      <c r="C1741" s="555" t="n">
        <v>83900</v>
      </c>
      <c r="D1741" s="556">
        <f>IF($A1741&gt;BOTT_A4,ROUND(BASE_A4+RATE_A4*($A1741-BOTT_A4),0),IF($A1741&gt;BOTT_A3,ROUND(BASE_A3+RATE_A3*($A1741-BOTT_A3),0),IF($A1741&gt;BOTT_A2,ROUND(BASE_A2+RATE_A2*($A1741-BOTT_A2),0),ROUND(RATE_A1*$A1741,0))))</f>
        <v/>
      </c>
      <c r="E1741" s="556">
        <f>IF($A1741&gt;BOTT_B4,ROUND(BASE_B4+RATE_B4*($A1741-BOTT_B4),0),IF($A1741&gt;BOTT_B3,ROUND(BASE_B3+RATE_B3*($A1741-BOTT_B3),0),IF($A1741&gt;BOTT_B2,ROUND(BASE_B2+RATE_B2*($A1741-BOTT_B2),0),ROUND(RATE_B1*$A1741,0))))</f>
        <v/>
      </c>
      <c r="F1741" s="556">
        <f>IF($A1741&gt;BOTT_C4,ROUND(BASE_C4+RATE_C4*($A1741-BOTT_C4),0),IF($A1741&gt;BOTT_C3,ROUND(BASE_C3+RATE_C3*($A1741-BOTT_C3),0),IF($A1741&gt;BOTT_C2,ROUND(BASE_C2+RATE_C2*($A1741-BOTT_C2),0),ROUND(RATE_C1*$A1741,0))))</f>
        <v/>
      </c>
      <c r="G1741" s="556">
        <f>IF($A1741&gt;BOTT_D4,ROUND(BASE_D4+RATE_D4*($A1741-BOTT_D4),0),IF($A1741&gt;BOTT_D3,ROUND(BASE_D3+RATE_D3*($A1741-BOTT_D3),0),IF($A1741&gt;BOTT_D2,ROUND(BASE_D2+RATE_D2*($A1741-BOTT_D2),0),ROUND(RATE_D1*$A1741,0))))</f>
        <v/>
      </c>
    </row>
    <row r="1742" ht="15.75" customHeight="1" s="7635">
      <c r="A1742" s="625">
        <f>AVERAGE(B1742,C1742)</f>
        <v/>
      </c>
      <c r="B1742" s="555" t="n">
        <v>83900</v>
      </c>
      <c r="C1742" s="555" t="n">
        <v>83950</v>
      </c>
      <c r="D1742" s="556">
        <f>IF($A1742&gt;BOTT_A4,ROUND(BASE_A4+RATE_A4*($A1742-BOTT_A4),0),IF($A1742&gt;BOTT_A3,ROUND(BASE_A3+RATE_A3*($A1742-BOTT_A3),0),IF($A1742&gt;BOTT_A2,ROUND(BASE_A2+RATE_A2*($A1742-BOTT_A2),0),ROUND(RATE_A1*$A1742,0))))</f>
        <v/>
      </c>
      <c r="E1742" s="556">
        <f>IF($A1742&gt;BOTT_B4,ROUND(BASE_B4+RATE_B4*($A1742-BOTT_B4),0),IF($A1742&gt;BOTT_B3,ROUND(BASE_B3+RATE_B3*($A1742-BOTT_B3),0),IF($A1742&gt;BOTT_B2,ROUND(BASE_B2+RATE_B2*($A1742-BOTT_B2),0),ROUND(RATE_B1*$A1742,0))))</f>
        <v/>
      </c>
      <c r="F1742" s="556">
        <f>IF($A1742&gt;BOTT_C4,ROUND(BASE_C4+RATE_C4*($A1742-BOTT_C4),0),IF($A1742&gt;BOTT_C3,ROUND(BASE_C3+RATE_C3*($A1742-BOTT_C3),0),IF($A1742&gt;BOTT_C2,ROUND(BASE_C2+RATE_C2*($A1742-BOTT_C2),0),ROUND(RATE_C1*$A1742,0))))</f>
        <v/>
      </c>
      <c r="G1742" s="556">
        <f>IF($A1742&gt;BOTT_D4,ROUND(BASE_D4+RATE_D4*($A1742-BOTT_D4),0),IF($A1742&gt;BOTT_D3,ROUND(BASE_D3+RATE_D3*($A1742-BOTT_D3),0),IF($A1742&gt;BOTT_D2,ROUND(BASE_D2+RATE_D2*($A1742-BOTT_D2),0),ROUND(RATE_D1*$A1742,0))))</f>
        <v/>
      </c>
    </row>
    <row r="1743" ht="15.75" customHeight="1" s="7635">
      <c r="A1743" s="625">
        <f>AVERAGE(B1743,C1743)</f>
        <v/>
      </c>
      <c r="B1743" s="555" t="n">
        <v>83950</v>
      </c>
      <c r="C1743" s="555" t="n">
        <v>84000</v>
      </c>
      <c r="D1743" s="556">
        <f>IF($A1743&gt;BOTT_A4,ROUND(BASE_A4+RATE_A4*($A1743-BOTT_A4),0),IF($A1743&gt;BOTT_A3,ROUND(BASE_A3+RATE_A3*($A1743-BOTT_A3),0),IF($A1743&gt;BOTT_A2,ROUND(BASE_A2+RATE_A2*($A1743-BOTT_A2),0),ROUND(RATE_A1*$A1743,0))))</f>
        <v/>
      </c>
      <c r="E1743" s="556">
        <f>IF($A1743&gt;BOTT_B4,ROUND(BASE_B4+RATE_B4*($A1743-BOTT_B4),0),IF($A1743&gt;BOTT_B3,ROUND(BASE_B3+RATE_B3*($A1743-BOTT_B3),0),IF($A1743&gt;BOTT_B2,ROUND(BASE_B2+RATE_B2*($A1743-BOTT_B2),0),ROUND(RATE_B1*$A1743,0))))</f>
        <v/>
      </c>
      <c r="F1743" s="556">
        <f>IF($A1743&gt;BOTT_C4,ROUND(BASE_C4+RATE_C4*($A1743-BOTT_C4),0),IF($A1743&gt;BOTT_C3,ROUND(BASE_C3+RATE_C3*($A1743-BOTT_C3),0),IF($A1743&gt;BOTT_C2,ROUND(BASE_C2+RATE_C2*($A1743-BOTT_C2),0),ROUND(RATE_C1*$A1743,0))))</f>
        <v/>
      </c>
      <c r="G1743" s="556">
        <f>IF($A1743&gt;BOTT_D4,ROUND(BASE_D4+RATE_D4*($A1743-BOTT_D4),0),IF($A1743&gt;BOTT_D3,ROUND(BASE_D3+RATE_D3*($A1743-BOTT_D3),0),IF($A1743&gt;BOTT_D2,ROUND(BASE_D2+RATE_D2*($A1743-BOTT_D2),0),ROUND(RATE_D1*$A1743,0))))</f>
        <v/>
      </c>
    </row>
    <row r="1744" ht="15.75" customHeight="1" s="7635">
      <c r="A1744" s="625">
        <f>AVERAGE(B1744,C1744)</f>
        <v/>
      </c>
      <c r="B1744" s="555" t="n">
        <v>84000</v>
      </c>
      <c r="C1744" s="555" t="n">
        <v>84050</v>
      </c>
      <c r="D1744" s="556">
        <f>IF($A1744&gt;BOTT_A4,ROUND(BASE_A4+RATE_A4*($A1744-BOTT_A4),0),IF($A1744&gt;BOTT_A3,ROUND(BASE_A3+RATE_A3*($A1744-BOTT_A3),0),IF($A1744&gt;BOTT_A2,ROUND(BASE_A2+RATE_A2*($A1744-BOTT_A2),0),ROUND(RATE_A1*$A1744,0))))</f>
        <v/>
      </c>
      <c r="E1744" s="556">
        <f>IF($A1744&gt;BOTT_B4,ROUND(BASE_B4+RATE_B4*($A1744-BOTT_B4),0),IF($A1744&gt;BOTT_B3,ROUND(BASE_B3+RATE_B3*($A1744-BOTT_B3),0),IF($A1744&gt;BOTT_B2,ROUND(BASE_B2+RATE_B2*($A1744-BOTT_B2),0),ROUND(RATE_B1*$A1744,0))))</f>
        <v/>
      </c>
      <c r="F1744" s="556">
        <f>IF($A1744&gt;BOTT_C4,ROUND(BASE_C4+RATE_C4*($A1744-BOTT_C4),0),IF($A1744&gt;BOTT_C3,ROUND(BASE_C3+RATE_C3*($A1744-BOTT_C3),0),IF($A1744&gt;BOTT_C2,ROUND(BASE_C2+RATE_C2*($A1744-BOTT_C2),0),ROUND(RATE_C1*$A1744,0))))</f>
        <v/>
      </c>
      <c r="G1744" s="556">
        <f>IF($A1744&gt;BOTT_D4,ROUND(BASE_D4+RATE_D4*($A1744-BOTT_D4),0),IF($A1744&gt;BOTT_D3,ROUND(BASE_D3+RATE_D3*($A1744-BOTT_D3),0),IF($A1744&gt;BOTT_D2,ROUND(BASE_D2+RATE_D2*($A1744-BOTT_D2),0),ROUND(RATE_D1*$A1744,0))))</f>
        <v/>
      </c>
    </row>
    <row r="1745" ht="15.75" customHeight="1" s="7635">
      <c r="A1745" s="625">
        <f>AVERAGE(B1745,C1745)</f>
        <v/>
      </c>
      <c r="B1745" s="555" t="n">
        <v>84050</v>
      </c>
      <c r="C1745" s="555" t="n">
        <v>84100</v>
      </c>
      <c r="D1745" s="556">
        <f>IF($A1745&gt;BOTT_A4,ROUND(BASE_A4+RATE_A4*($A1745-BOTT_A4),0),IF($A1745&gt;BOTT_A3,ROUND(BASE_A3+RATE_A3*($A1745-BOTT_A3),0),IF($A1745&gt;BOTT_A2,ROUND(BASE_A2+RATE_A2*($A1745-BOTT_A2),0),ROUND(RATE_A1*$A1745,0))))</f>
        <v/>
      </c>
      <c r="E1745" s="556">
        <f>IF($A1745&gt;BOTT_B4,ROUND(BASE_B4+RATE_B4*($A1745-BOTT_B4),0),IF($A1745&gt;BOTT_B3,ROUND(BASE_B3+RATE_B3*($A1745-BOTT_B3),0),IF($A1745&gt;BOTT_B2,ROUND(BASE_B2+RATE_B2*($A1745-BOTT_B2),0),ROUND(RATE_B1*$A1745,0))))</f>
        <v/>
      </c>
      <c r="F1745" s="556">
        <f>IF($A1745&gt;BOTT_C4,ROUND(BASE_C4+RATE_C4*($A1745-BOTT_C4),0),IF($A1745&gt;BOTT_C3,ROUND(BASE_C3+RATE_C3*($A1745-BOTT_C3),0),IF($A1745&gt;BOTT_C2,ROUND(BASE_C2+RATE_C2*($A1745-BOTT_C2),0),ROUND(RATE_C1*$A1745,0))))</f>
        <v/>
      </c>
      <c r="G1745" s="556">
        <f>IF($A1745&gt;BOTT_D4,ROUND(BASE_D4+RATE_D4*($A1745-BOTT_D4),0),IF($A1745&gt;BOTT_D3,ROUND(BASE_D3+RATE_D3*($A1745-BOTT_D3),0),IF($A1745&gt;BOTT_D2,ROUND(BASE_D2+RATE_D2*($A1745-BOTT_D2),0),ROUND(RATE_D1*$A1745,0))))</f>
        <v/>
      </c>
    </row>
    <row r="1746" ht="15.75" customHeight="1" s="7635">
      <c r="A1746" s="625">
        <f>AVERAGE(B1746,C1746)</f>
        <v/>
      </c>
      <c r="B1746" s="555" t="n">
        <v>84100</v>
      </c>
      <c r="C1746" s="555" t="n">
        <v>84150</v>
      </c>
      <c r="D1746" s="556">
        <f>IF($A1746&gt;BOTT_A4,ROUND(BASE_A4+RATE_A4*($A1746-BOTT_A4),0),IF($A1746&gt;BOTT_A3,ROUND(BASE_A3+RATE_A3*($A1746-BOTT_A3),0),IF($A1746&gt;BOTT_A2,ROUND(BASE_A2+RATE_A2*($A1746-BOTT_A2),0),ROUND(RATE_A1*$A1746,0))))</f>
        <v/>
      </c>
      <c r="E1746" s="556">
        <f>IF($A1746&gt;BOTT_B4,ROUND(BASE_B4+RATE_B4*($A1746-BOTT_B4),0),IF($A1746&gt;BOTT_B3,ROUND(BASE_B3+RATE_B3*($A1746-BOTT_B3),0),IF($A1746&gt;BOTT_B2,ROUND(BASE_B2+RATE_B2*($A1746-BOTT_B2),0),ROUND(RATE_B1*$A1746,0))))</f>
        <v/>
      </c>
      <c r="F1746" s="556">
        <f>IF($A1746&gt;BOTT_C4,ROUND(BASE_C4+RATE_C4*($A1746-BOTT_C4),0),IF($A1746&gt;BOTT_C3,ROUND(BASE_C3+RATE_C3*($A1746-BOTT_C3),0),IF($A1746&gt;BOTT_C2,ROUND(BASE_C2+RATE_C2*($A1746-BOTT_C2),0),ROUND(RATE_C1*$A1746,0))))</f>
        <v/>
      </c>
      <c r="G1746" s="556">
        <f>IF($A1746&gt;BOTT_D4,ROUND(BASE_D4+RATE_D4*($A1746-BOTT_D4),0),IF($A1746&gt;BOTT_D3,ROUND(BASE_D3+RATE_D3*($A1746-BOTT_D3),0),IF($A1746&gt;BOTT_D2,ROUND(BASE_D2+RATE_D2*($A1746-BOTT_D2),0),ROUND(RATE_D1*$A1746,0))))</f>
        <v/>
      </c>
    </row>
    <row r="1747" ht="15.75" customHeight="1" s="7635">
      <c r="A1747" s="625">
        <f>AVERAGE(B1747,C1747)</f>
        <v/>
      </c>
      <c r="B1747" s="555" t="n">
        <v>84150</v>
      </c>
      <c r="C1747" s="555" t="n">
        <v>84200</v>
      </c>
      <c r="D1747" s="556">
        <f>IF($A1747&gt;BOTT_A4,ROUND(BASE_A4+RATE_A4*($A1747-BOTT_A4),0),IF($A1747&gt;BOTT_A3,ROUND(BASE_A3+RATE_A3*($A1747-BOTT_A3),0),IF($A1747&gt;BOTT_A2,ROUND(BASE_A2+RATE_A2*($A1747-BOTT_A2),0),ROUND(RATE_A1*$A1747,0))))</f>
        <v/>
      </c>
      <c r="E1747" s="556">
        <f>IF($A1747&gt;BOTT_B4,ROUND(BASE_B4+RATE_B4*($A1747-BOTT_B4),0),IF($A1747&gt;BOTT_B3,ROUND(BASE_B3+RATE_B3*($A1747-BOTT_B3),0),IF($A1747&gt;BOTT_B2,ROUND(BASE_B2+RATE_B2*($A1747-BOTT_B2),0),ROUND(RATE_B1*$A1747,0))))</f>
        <v/>
      </c>
      <c r="F1747" s="556">
        <f>IF($A1747&gt;BOTT_C4,ROUND(BASE_C4+RATE_C4*($A1747-BOTT_C4),0),IF($A1747&gt;BOTT_C3,ROUND(BASE_C3+RATE_C3*($A1747-BOTT_C3),0),IF($A1747&gt;BOTT_C2,ROUND(BASE_C2+RATE_C2*($A1747-BOTT_C2),0),ROUND(RATE_C1*$A1747,0))))</f>
        <v/>
      </c>
      <c r="G1747" s="556">
        <f>IF($A1747&gt;BOTT_D4,ROUND(BASE_D4+RATE_D4*($A1747-BOTT_D4),0),IF($A1747&gt;BOTT_D3,ROUND(BASE_D3+RATE_D3*($A1747-BOTT_D3),0),IF($A1747&gt;BOTT_D2,ROUND(BASE_D2+RATE_D2*($A1747-BOTT_D2),0),ROUND(RATE_D1*$A1747,0))))</f>
        <v/>
      </c>
    </row>
    <row r="1748" ht="15.75" customHeight="1" s="7635">
      <c r="A1748" s="625">
        <f>AVERAGE(B1748,C1748)</f>
        <v/>
      </c>
      <c r="B1748" s="555" t="n">
        <v>84200</v>
      </c>
      <c r="C1748" s="555" t="n">
        <v>84250</v>
      </c>
      <c r="D1748" s="556">
        <f>IF($A1748&gt;BOTT_A4,ROUND(BASE_A4+RATE_A4*($A1748-BOTT_A4),0),IF($A1748&gt;BOTT_A3,ROUND(BASE_A3+RATE_A3*($A1748-BOTT_A3),0),IF($A1748&gt;BOTT_A2,ROUND(BASE_A2+RATE_A2*($A1748-BOTT_A2),0),ROUND(RATE_A1*$A1748,0))))</f>
        <v/>
      </c>
      <c r="E1748" s="556">
        <f>IF($A1748&gt;BOTT_B4,ROUND(BASE_B4+RATE_B4*($A1748-BOTT_B4),0),IF($A1748&gt;BOTT_B3,ROUND(BASE_B3+RATE_B3*($A1748-BOTT_B3),0),IF($A1748&gt;BOTT_B2,ROUND(BASE_B2+RATE_B2*($A1748-BOTT_B2),0),ROUND(RATE_B1*$A1748,0))))</f>
        <v/>
      </c>
      <c r="F1748" s="556">
        <f>IF($A1748&gt;BOTT_C4,ROUND(BASE_C4+RATE_C4*($A1748-BOTT_C4),0),IF($A1748&gt;BOTT_C3,ROUND(BASE_C3+RATE_C3*($A1748-BOTT_C3),0),IF($A1748&gt;BOTT_C2,ROUND(BASE_C2+RATE_C2*($A1748-BOTT_C2),0),ROUND(RATE_C1*$A1748,0))))</f>
        <v/>
      </c>
      <c r="G1748" s="556">
        <f>IF($A1748&gt;BOTT_D4,ROUND(BASE_D4+RATE_D4*($A1748-BOTT_D4),0),IF($A1748&gt;BOTT_D3,ROUND(BASE_D3+RATE_D3*($A1748-BOTT_D3),0),IF($A1748&gt;BOTT_D2,ROUND(BASE_D2+RATE_D2*($A1748-BOTT_D2),0),ROUND(RATE_D1*$A1748,0))))</f>
        <v/>
      </c>
    </row>
    <row r="1749" ht="15.75" customHeight="1" s="7635">
      <c r="A1749" s="625">
        <f>AVERAGE(B1749,C1749)</f>
        <v/>
      </c>
      <c r="B1749" s="555" t="n">
        <v>84250</v>
      </c>
      <c r="C1749" s="555" t="n">
        <v>84300</v>
      </c>
      <c r="D1749" s="556">
        <f>IF($A1749&gt;BOTT_A4,ROUND(BASE_A4+RATE_A4*($A1749-BOTT_A4),0),IF($A1749&gt;BOTT_A3,ROUND(BASE_A3+RATE_A3*($A1749-BOTT_A3),0),IF($A1749&gt;BOTT_A2,ROUND(BASE_A2+RATE_A2*($A1749-BOTT_A2),0),ROUND(RATE_A1*$A1749,0))))</f>
        <v/>
      </c>
      <c r="E1749" s="556">
        <f>IF($A1749&gt;BOTT_B4,ROUND(BASE_B4+RATE_B4*($A1749-BOTT_B4),0),IF($A1749&gt;BOTT_B3,ROUND(BASE_B3+RATE_B3*($A1749-BOTT_B3),0),IF($A1749&gt;BOTT_B2,ROUND(BASE_B2+RATE_B2*($A1749-BOTT_B2),0),ROUND(RATE_B1*$A1749,0))))</f>
        <v/>
      </c>
      <c r="F1749" s="556">
        <f>IF($A1749&gt;BOTT_C4,ROUND(BASE_C4+RATE_C4*($A1749-BOTT_C4),0),IF($A1749&gt;BOTT_C3,ROUND(BASE_C3+RATE_C3*($A1749-BOTT_C3),0),IF($A1749&gt;BOTT_C2,ROUND(BASE_C2+RATE_C2*($A1749-BOTT_C2),0),ROUND(RATE_C1*$A1749,0))))</f>
        <v/>
      </c>
      <c r="G1749" s="556">
        <f>IF($A1749&gt;BOTT_D4,ROUND(BASE_D4+RATE_D4*($A1749-BOTT_D4),0),IF($A1749&gt;BOTT_D3,ROUND(BASE_D3+RATE_D3*($A1749-BOTT_D3),0),IF($A1749&gt;BOTT_D2,ROUND(BASE_D2+RATE_D2*($A1749-BOTT_D2),0),ROUND(RATE_D1*$A1749,0))))</f>
        <v/>
      </c>
    </row>
    <row r="1750" ht="15.75" customHeight="1" s="7635">
      <c r="A1750" s="625">
        <f>AVERAGE(B1750,C1750)</f>
        <v/>
      </c>
      <c r="B1750" s="555" t="n">
        <v>84300</v>
      </c>
      <c r="C1750" s="555" t="n">
        <v>84350</v>
      </c>
      <c r="D1750" s="556">
        <f>IF($A1750&gt;BOTT_A4,ROUND(BASE_A4+RATE_A4*($A1750-BOTT_A4),0),IF($A1750&gt;BOTT_A3,ROUND(BASE_A3+RATE_A3*($A1750-BOTT_A3),0),IF($A1750&gt;BOTT_A2,ROUND(BASE_A2+RATE_A2*($A1750-BOTT_A2),0),ROUND(RATE_A1*$A1750,0))))</f>
        <v/>
      </c>
      <c r="E1750" s="556">
        <f>IF($A1750&gt;BOTT_B4,ROUND(BASE_B4+RATE_B4*($A1750-BOTT_B4),0),IF($A1750&gt;BOTT_B3,ROUND(BASE_B3+RATE_B3*($A1750-BOTT_B3),0),IF($A1750&gt;BOTT_B2,ROUND(BASE_B2+RATE_B2*($A1750-BOTT_B2),0),ROUND(RATE_B1*$A1750,0))))</f>
        <v/>
      </c>
      <c r="F1750" s="556">
        <f>IF($A1750&gt;BOTT_C4,ROUND(BASE_C4+RATE_C4*($A1750-BOTT_C4),0),IF($A1750&gt;BOTT_C3,ROUND(BASE_C3+RATE_C3*($A1750-BOTT_C3),0),IF($A1750&gt;BOTT_C2,ROUND(BASE_C2+RATE_C2*($A1750-BOTT_C2),0),ROUND(RATE_C1*$A1750,0))))</f>
        <v/>
      </c>
      <c r="G1750" s="556">
        <f>IF($A1750&gt;BOTT_D4,ROUND(BASE_D4+RATE_D4*($A1750-BOTT_D4),0),IF($A1750&gt;BOTT_D3,ROUND(BASE_D3+RATE_D3*($A1750-BOTT_D3),0),IF($A1750&gt;BOTT_D2,ROUND(BASE_D2+RATE_D2*($A1750-BOTT_D2),0),ROUND(RATE_D1*$A1750,0))))</f>
        <v/>
      </c>
    </row>
    <row r="1751" ht="15.75" customHeight="1" s="7635">
      <c r="A1751" s="625">
        <f>AVERAGE(B1751,C1751)</f>
        <v/>
      </c>
      <c r="B1751" s="555" t="n">
        <v>84350</v>
      </c>
      <c r="C1751" s="555" t="n">
        <v>84400</v>
      </c>
      <c r="D1751" s="556">
        <f>IF($A1751&gt;BOTT_A4,ROUND(BASE_A4+RATE_A4*($A1751-BOTT_A4),0),IF($A1751&gt;BOTT_A3,ROUND(BASE_A3+RATE_A3*($A1751-BOTT_A3),0),IF($A1751&gt;BOTT_A2,ROUND(BASE_A2+RATE_A2*($A1751-BOTT_A2),0),ROUND(RATE_A1*$A1751,0))))</f>
        <v/>
      </c>
      <c r="E1751" s="556">
        <f>IF($A1751&gt;BOTT_B4,ROUND(BASE_B4+RATE_B4*($A1751-BOTT_B4),0),IF($A1751&gt;BOTT_B3,ROUND(BASE_B3+RATE_B3*($A1751-BOTT_B3),0),IF($A1751&gt;BOTT_B2,ROUND(BASE_B2+RATE_B2*($A1751-BOTT_B2),0),ROUND(RATE_B1*$A1751,0))))</f>
        <v/>
      </c>
      <c r="F1751" s="556">
        <f>IF($A1751&gt;BOTT_C4,ROUND(BASE_C4+RATE_C4*($A1751-BOTT_C4),0),IF($A1751&gt;BOTT_C3,ROUND(BASE_C3+RATE_C3*($A1751-BOTT_C3),0),IF($A1751&gt;BOTT_C2,ROUND(BASE_C2+RATE_C2*($A1751-BOTT_C2),0),ROUND(RATE_C1*$A1751,0))))</f>
        <v/>
      </c>
      <c r="G1751" s="556">
        <f>IF($A1751&gt;BOTT_D4,ROUND(BASE_D4+RATE_D4*($A1751-BOTT_D4),0),IF($A1751&gt;BOTT_D3,ROUND(BASE_D3+RATE_D3*($A1751-BOTT_D3),0),IF($A1751&gt;BOTT_D2,ROUND(BASE_D2+RATE_D2*($A1751-BOTT_D2),0),ROUND(RATE_D1*$A1751,0))))</f>
        <v/>
      </c>
    </row>
    <row r="1752" ht="15.75" customHeight="1" s="7635">
      <c r="A1752" s="625">
        <f>AVERAGE(B1752,C1752)</f>
        <v/>
      </c>
      <c r="B1752" s="555" t="n">
        <v>84400</v>
      </c>
      <c r="C1752" s="555" t="n">
        <v>84450</v>
      </c>
      <c r="D1752" s="556">
        <f>IF($A1752&gt;BOTT_A4,ROUND(BASE_A4+RATE_A4*($A1752-BOTT_A4),0),IF($A1752&gt;BOTT_A3,ROUND(BASE_A3+RATE_A3*($A1752-BOTT_A3),0),IF($A1752&gt;BOTT_A2,ROUND(BASE_A2+RATE_A2*($A1752-BOTT_A2),0),ROUND(RATE_A1*$A1752,0))))</f>
        <v/>
      </c>
      <c r="E1752" s="556">
        <f>IF($A1752&gt;BOTT_B4,ROUND(BASE_B4+RATE_B4*($A1752-BOTT_B4),0),IF($A1752&gt;BOTT_B3,ROUND(BASE_B3+RATE_B3*($A1752-BOTT_B3),0),IF($A1752&gt;BOTT_B2,ROUND(BASE_B2+RATE_B2*($A1752-BOTT_B2),0),ROUND(RATE_B1*$A1752,0))))</f>
        <v/>
      </c>
      <c r="F1752" s="556">
        <f>IF($A1752&gt;BOTT_C4,ROUND(BASE_C4+RATE_C4*($A1752-BOTT_C4),0),IF($A1752&gt;BOTT_C3,ROUND(BASE_C3+RATE_C3*($A1752-BOTT_C3),0),IF($A1752&gt;BOTT_C2,ROUND(BASE_C2+RATE_C2*($A1752-BOTT_C2),0),ROUND(RATE_C1*$A1752,0))))</f>
        <v/>
      </c>
      <c r="G1752" s="556">
        <f>IF($A1752&gt;BOTT_D4,ROUND(BASE_D4+RATE_D4*($A1752-BOTT_D4),0),IF($A1752&gt;BOTT_D3,ROUND(BASE_D3+RATE_D3*($A1752-BOTT_D3),0),IF($A1752&gt;BOTT_D2,ROUND(BASE_D2+RATE_D2*($A1752-BOTT_D2),0),ROUND(RATE_D1*$A1752,0))))</f>
        <v/>
      </c>
    </row>
    <row r="1753" ht="15.75" customHeight="1" s="7635">
      <c r="A1753" s="625">
        <f>AVERAGE(B1753,C1753)</f>
        <v/>
      </c>
      <c r="B1753" s="555" t="n">
        <v>84450</v>
      </c>
      <c r="C1753" s="555" t="n">
        <v>84500</v>
      </c>
      <c r="D1753" s="556">
        <f>IF($A1753&gt;BOTT_A4,ROUND(BASE_A4+RATE_A4*($A1753-BOTT_A4),0),IF($A1753&gt;BOTT_A3,ROUND(BASE_A3+RATE_A3*($A1753-BOTT_A3),0),IF($A1753&gt;BOTT_A2,ROUND(BASE_A2+RATE_A2*($A1753-BOTT_A2),0),ROUND(RATE_A1*$A1753,0))))</f>
        <v/>
      </c>
      <c r="E1753" s="556">
        <f>IF($A1753&gt;BOTT_B4,ROUND(BASE_B4+RATE_B4*($A1753-BOTT_B4),0),IF($A1753&gt;BOTT_B3,ROUND(BASE_B3+RATE_B3*($A1753-BOTT_B3),0),IF($A1753&gt;BOTT_B2,ROUND(BASE_B2+RATE_B2*($A1753-BOTT_B2),0),ROUND(RATE_B1*$A1753,0))))</f>
        <v/>
      </c>
      <c r="F1753" s="556">
        <f>IF($A1753&gt;BOTT_C4,ROUND(BASE_C4+RATE_C4*($A1753-BOTT_C4),0),IF($A1753&gt;BOTT_C3,ROUND(BASE_C3+RATE_C3*($A1753-BOTT_C3),0),IF($A1753&gt;BOTT_C2,ROUND(BASE_C2+RATE_C2*($A1753-BOTT_C2),0),ROUND(RATE_C1*$A1753,0))))</f>
        <v/>
      </c>
      <c r="G1753" s="556">
        <f>IF($A1753&gt;BOTT_D4,ROUND(BASE_D4+RATE_D4*($A1753-BOTT_D4),0),IF($A1753&gt;BOTT_D3,ROUND(BASE_D3+RATE_D3*($A1753-BOTT_D3),0),IF($A1753&gt;BOTT_D2,ROUND(BASE_D2+RATE_D2*($A1753-BOTT_D2),0),ROUND(RATE_D1*$A1753,0))))</f>
        <v/>
      </c>
    </row>
    <row r="1754" ht="15.75" customHeight="1" s="7635">
      <c r="A1754" s="625">
        <f>AVERAGE(B1754,C1754)</f>
        <v/>
      </c>
      <c r="B1754" s="555" t="n">
        <v>84500</v>
      </c>
      <c r="C1754" s="555" t="n">
        <v>84550</v>
      </c>
      <c r="D1754" s="556">
        <f>IF($A1754&gt;BOTT_A4,ROUND(BASE_A4+RATE_A4*($A1754-BOTT_A4),0),IF($A1754&gt;BOTT_A3,ROUND(BASE_A3+RATE_A3*($A1754-BOTT_A3),0),IF($A1754&gt;BOTT_A2,ROUND(BASE_A2+RATE_A2*($A1754-BOTT_A2),0),ROUND(RATE_A1*$A1754,0))))</f>
        <v/>
      </c>
      <c r="E1754" s="556">
        <f>IF($A1754&gt;BOTT_B4,ROUND(BASE_B4+RATE_B4*($A1754-BOTT_B4),0),IF($A1754&gt;BOTT_B3,ROUND(BASE_B3+RATE_B3*($A1754-BOTT_B3),0),IF($A1754&gt;BOTT_B2,ROUND(BASE_B2+RATE_B2*($A1754-BOTT_B2),0),ROUND(RATE_B1*$A1754,0))))</f>
        <v/>
      </c>
      <c r="F1754" s="556">
        <f>IF($A1754&gt;BOTT_C4,ROUND(BASE_C4+RATE_C4*($A1754-BOTT_C4),0),IF($A1754&gt;BOTT_C3,ROUND(BASE_C3+RATE_C3*($A1754-BOTT_C3),0),IF($A1754&gt;BOTT_C2,ROUND(BASE_C2+RATE_C2*($A1754-BOTT_C2),0),ROUND(RATE_C1*$A1754,0))))</f>
        <v/>
      </c>
      <c r="G1754" s="556">
        <f>IF($A1754&gt;BOTT_D4,ROUND(BASE_D4+RATE_D4*($A1754-BOTT_D4),0),IF($A1754&gt;BOTT_D3,ROUND(BASE_D3+RATE_D3*($A1754-BOTT_D3),0),IF($A1754&gt;BOTT_D2,ROUND(BASE_D2+RATE_D2*($A1754-BOTT_D2),0),ROUND(RATE_D1*$A1754,0))))</f>
        <v/>
      </c>
    </row>
    <row r="1755" ht="15.75" customHeight="1" s="7635">
      <c r="A1755" s="625">
        <f>AVERAGE(B1755,C1755)</f>
        <v/>
      </c>
      <c r="B1755" s="555" t="n">
        <v>84550</v>
      </c>
      <c r="C1755" s="555" t="n">
        <v>84600</v>
      </c>
      <c r="D1755" s="556">
        <f>IF($A1755&gt;BOTT_A4,ROUND(BASE_A4+RATE_A4*($A1755-BOTT_A4),0),IF($A1755&gt;BOTT_A3,ROUND(BASE_A3+RATE_A3*($A1755-BOTT_A3),0),IF($A1755&gt;BOTT_A2,ROUND(BASE_A2+RATE_A2*($A1755-BOTT_A2),0),ROUND(RATE_A1*$A1755,0))))</f>
        <v/>
      </c>
      <c r="E1755" s="556">
        <f>IF($A1755&gt;BOTT_B4,ROUND(BASE_B4+RATE_B4*($A1755-BOTT_B4),0),IF($A1755&gt;BOTT_B3,ROUND(BASE_B3+RATE_B3*($A1755-BOTT_B3),0),IF($A1755&gt;BOTT_B2,ROUND(BASE_B2+RATE_B2*($A1755-BOTT_B2),0),ROUND(RATE_B1*$A1755,0))))</f>
        <v/>
      </c>
      <c r="F1755" s="556">
        <f>IF($A1755&gt;BOTT_C4,ROUND(BASE_C4+RATE_C4*($A1755-BOTT_C4),0),IF($A1755&gt;BOTT_C3,ROUND(BASE_C3+RATE_C3*($A1755-BOTT_C3),0),IF($A1755&gt;BOTT_C2,ROUND(BASE_C2+RATE_C2*($A1755-BOTT_C2),0),ROUND(RATE_C1*$A1755,0))))</f>
        <v/>
      </c>
      <c r="G1755" s="556">
        <f>IF($A1755&gt;BOTT_D4,ROUND(BASE_D4+RATE_D4*($A1755-BOTT_D4),0),IF($A1755&gt;BOTT_D3,ROUND(BASE_D3+RATE_D3*($A1755-BOTT_D3),0),IF($A1755&gt;BOTT_D2,ROUND(BASE_D2+RATE_D2*($A1755-BOTT_D2),0),ROUND(RATE_D1*$A1755,0))))</f>
        <v/>
      </c>
    </row>
    <row r="1756" ht="15.75" customHeight="1" s="7635">
      <c r="A1756" s="625">
        <f>AVERAGE(B1756,C1756)</f>
        <v/>
      </c>
      <c r="B1756" s="555" t="n">
        <v>84600</v>
      </c>
      <c r="C1756" s="555" t="n">
        <v>84650</v>
      </c>
      <c r="D1756" s="556">
        <f>IF($A1756&gt;BOTT_A4,ROUND(BASE_A4+RATE_A4*($A1756-BOTT_A4),0),IF($A1756&gt;BOTT_A3,ROUND(BASE_A3+RATE_A3*($A1756-BOTT_A3),0),IF($A1756&gt;BOTT_A2,ROUND(BASE_A2+RATE_A2*($A1756-BOTT_A2),0),ROUND(RATE_A1*$A1756,0))))</f>
        <v/>
      </c>
      <c r="E1756" s="556">
        <f>IF($A1756&gt;BOTT_B4,ROUND(BASE_B4+RATE_B4*($A1756-BOTT_B4),0),IF($A1756&gt;BOTT_B3,ROUND(BASE_B3+RATE_B3*($A1756-BOTT_B3),0),IF($A1756&gt;BOTT_B2,ROUND(BASE_B2+RATE_B2*($A1756-BOTT_B2),0),ROUND(RATE_B1*$A1756,0))))</f>
        <v/>
      </c>
      <c r="F1756" s="556">
        <f>IF($A1756&gt;BOTT_C4,ROUND(BASE_C4+RATE_C4*($A1756-BOTT_C4),0),IF($A1756&gt;BOTT_C3,ROUND(BASE_C3+RATE_C3*($A1756-BOTT_C3),0),IF($A1756&gt;BOTT_C2,ROUND(BASE_C2+RATE_C2*($A1756-BOTT_C2),0),ROUND(RATE_C1*$A1756,0))))</f>
        <v/>
      </c>
      <c r="G1756" s="556">
        <f>IF($A1756&gt;BOTT_D4,ROUND(BASE_D4+RATE_D4*($A1756-BOTT_D4),0),IF($A1756&gt;BOTT_D3,ROUND(BASE_D3+RATE_D3*($A1756-BOTT_D3),0),IF($A1756&gt;BOTT_D2,ROUND(BASE_D2+RATE_D2*($A1756-BOTT_D2),0),ROUND(RATE_D1*$A1756,0))))</f>
        <v/>
      </c>
    </row>
    <row r="1757" ht="15.75" customHeight="1" s="7635">
      <c r="A1757" s="625">
        <f>AVERAGE(B1757,C1757)</f>
        <v/>
      </c>
      <c r="B1757" s="555" t="n">
        <v>84650</v>
      </c>
      <c r="C1757" s="555" t="n">
        <v>84700</v>
      </c>
      <c r="D1757" s="556">
        <f>IF($A1757&gt;BOTT_A4,ROUND(BASE_A4+RATE_A4*($A1757-BOTT_A4),0),IF($A1757&gt;BOTT_A3,ROUND(BASE_A3+RATE_A3*($A1757-BOTT_A3),0),IF($A1757&gt;BOTT_A2,ROUND(BASE_A2+RATE_A2*($A1757-BOTT_A2),0),ROUND(RATE_A1*$A1757,0))))</f>
        <v/>
      </c>
      <c r="E1757" s="556">
        <f>IF($A1757&gt;BOTT_B4,ROUND(BASE_B4+RATE_B4*($A1757-BOTT_B4),0),IF($A1757&gt;BOTT_B3,ROUND(BASE_B3+RATE_B3*($A1757-BOTT_B3),0),IF($A1757&gt;BOTT_B2,ROUND(BASE_B2+RATE_B2*($A1757-BOTT_B2),0),ROUND(RATE_B1*$A1757,0))))</f>
        <v/>
      </c>
      <c r="F1757" s="556">
        <f>IF($A1757&gt;BOTT_C4,ROUND(BASE_C4+RATE_C4*($A1757-BOTT_C4),0),IF($A1757&gt;BOTT_C3,ROUND(BASE_C3+RATE_C3*($A1757-BOTT_C3),0),IF($A1757&gt;BOTT_C2,ROUND(BASE_C2+RATE_C2*($A1757-BOTT_C2),0),ROUND(RATE_C1*$A1757,0))))</f>
        <v/>
      </c>
      <c r="G1757" s="556">
        <f>IF($A1757&gt;BOTT_D4,ROUND(BASE_D4+RATE_D4*($A1757-BOTT_D4),0),IF($A1757&gt;BOTT_D3,ROUND(BASE_D3+RATE_D3*($A1757-BOTT_D3),0),IF($A1757&gt;BOTT_D2,ROUND(BASE_D2+RATE_D2*($A1757-BOTT_D2),0),ROUND(RATE_D1*$A1757,0))))</f>
        <v/>
      </c>
    </row>
    <row r="1758" ht="15.75" customHeight="1" s="7635">
      <c r="A1758" s="625">
        <f>AVERAGE(B1758,C1758)</f>
        <v/>
      </c>
      <c r="B1758" s="555" t="n">
        <v>84700</v>
      </c>
      <c r="C1758" s="555" t="n">
        <v>84750</v>
      </c>
      <c r="D1758" s="556">
        <f>IF($A1758&gt;BOTT_A4,ROUND(BASE_A4+RATE_A4*($A1758-BOTT_A4),0),IF($A1758&gt;BOTT_A3,ROUND(BASE_A3+RATE_A3*($A1758-BOTT_A3),0),IF($A1758&gt;BOTT_A2,ROUND(BASE_A2+RATE_A2*($A1758-BOTT_A2),0),ROUND(RATE_A1*$A1758,0))))</f>
        <v/>
      </c>
      <c r="E1758" s="556">
        <f>IF($A1758&gt;BOTT_B4,ROUND(BASE_B4+RATE_B4*($A1758-BOTT_B4),0),IF($A1758&gt;BOTT_B3,ROUND(BASE_B3+RATE_B3*($A1758-BOTT_B3),0),IF($A1758&gt;BOTT_B2,ROUND(BASE_B2+RATE_B2*($A1758-BOTT_B2),0),ROUND(RATE_B1*$A1758,0))))</f>
        <v/>
      </c>
      <c r="F1758" s="556">
        <f>IF($A1758&gt;BOTT_C4,ROUND(BASE_C4+RATE_C4*($A1758-BOTT_C4),0),IF($A1758&gt;BOTT_C3,ROUND(BASE_C3+RATE_C3*($A1758-BOTT_C3),0),IF($A1758&gt;BOTT_C2,ROUND(BASE_C2+RATE_C2*($A1758-BOTT_C2),0),ROUND(RATE_C1*$A1758,0))))</f>
        <v/>
      </c>
      <c r="G1758" s="556">
        <f>IF($A1758&gt;BOTT_D4,ROUND(BASE_D4+RATE_D4*($A1758-BOTT_D4),0),IF($A1758&gt;BOTT_D3,ROUND(BASE_D3+RATE_D3*($A1758-BOTT_D3),0),IF($A1758&gt;BOTT_D2,ROUND(BASE_D2+RATE_D2*($A1758-BOTT_D2),0),ROUND(RATE_D1*$A1758,0))))</f>
        <v/>
      </c>
    </row>
    <row r="1759" ht="15.75" customHeight="1" s="7635">
      <c r="A1759" s="625">
        <f>AVERAGE(B1759,C1759)</f>
        <v/>
      </c>
      <c r="B1759" s="555" t="n">
        <v>84750</v>
      </c>
      <c r="C1759" s="555" t="n">
        <v>84800</v>
      </c>
      <c r="D1759" s="556">
        <f>IF($A1759&gt;BOTT_A4,ROUND(BASE_A4+RATE_A4*($A1759-BOTT_A4),0),IF($A1759&gt;BOTT_A3,ROUND(BASE_A3+RATE_A3*($A1759-BOTT_A3),0),IF($A1759&gt;BOTT_A2,ROUND(BASE_A2+RATE_A2*($A1759-BOTT_A2),0),ROUND(RATE_A1*$A1759,0))))</f>
        <v/>
      </c>
      <c r="E1759" s="556">
        <f>IF($A1759&gt;BOTT_B4,ROUND(BASE_B4+RATE_B4*($A1759-BOTT_B4),0),IF($A1759&gt;BOTT_B3,ROUND(BASE_B3+RATE_B3*($A1759-BOTT_B3),0),IF($A1759&gt;BOTT_B2,ROUND(BASE_B2+RATE_B2*($A1759-BOTT_B2),0),ROUND(RATE_B1*$A1759,0))))</f>
        <v/>
      </c>
      <c r="F1759" s="556">
        <f>IF($A1759&gt;BOTT_C4,ROUND(BASE_C4+RATE_C4*($A1759-BOTT_C4),0),IF($A1759&gt;BOTT_C3,ROUND(BASE_C3+RATE_C3*($A1759-BOTT_C3),0),IF($A1759&gt;BOTT_C2,ROUND(BASE_C2+RATE_C2*($A1759-BOTT_C2),0),ROUND(RATE_C1*$A1759,0))))</f>
        <v/>
      </c>
      <c r="G1759" s="556">
        <f>IF($A1759&gt;BOTT_D4,ROUND(BASE_D4+RATE_D4*($A1759-BOTT_D4),0),IF($A1759&gt;BOTT_D3,ROUND(BASE_D3+RATE_D3*($A1759-BOTT_D3),0),IF($A1759&gt;BOTT_D2,ROUND(BASE_D2+RATE_D2*($A1759-BOTT_D2),0),ROUND(RATE_D1*$A1759,0))))</f>
        <v/>
      </c>
    </row>
    <row r="1760" ht="15.75" customHeight="1" s="7635">
      <c r="A1760" s="625">
        <f>AVERAGE(B1760,C1760)</f>
        <v/>
      </c>
      <c r="B1760" s="555" t="n">
        <v>84800</v>
      </c>
      <c r="C1760" s="555" t="n">
        <v>84850</v>
      </c>
      <c r="D1760" s="556">
        <f>IF($A1760&gt;BOTT_A4,ROUND(BASE_A4+RATE_A4*($A1760-BOTT_A4),0),IF($A1760&gt;BOTT_A3,ROUND(BASE_A3+RATE_A3*($A1760-BOTT_A3),0),IF($A1760&gt;BOTT_A2,ROUND(BASE_A2+RATE_A2*($A1760-BOTT_A2),0),ROUND(RATE_A1*$A1760,0))))</f>
        <v/>
      </c>
      <c r="E1760" s="556">
        <f>IF($A1760&gt;BOTT_B4,ROUND(BASE_B4+RATE_B4*($A1760-BOTT_B4),0),IF($A1760&gt;BOTT_B3,ROUND(BASE_B3+RATE_B3*($A1760-BOTT_B3),0),IF($A1760&gt;BOTT_B2,ROUND(BASE_B2+RATE_B2*($A1760-BOTT_B2),0),ROUND(RATE_B1*$A1760,0))))</f>
        <v/>
      </c>
      <c r="F1760" s="556">
        <f>IF($A1760&gt;BOTT_C4,ROUND(BASE_C4+RATE_C4*($A1760-BOTT_C4),0),IF($A1760&gt;BOTT_C3,ROUND(BASE_C3+RATE_C3*($A1760-BOTT_C3),0),IF($A1760&gt;BOTT_C2,ROUND(BASE_C2+RATE_C2*($A1760-BOTT_C2),0),ROUND(RATE_C1*$A1760,0))))</f>
        <v/>
      </c>
      <c r="G1760" s="556">
        <f>IF($A1760&gt;BOTT_D4,ROUND(BASE_D4+RATE_D4*($A1760-BOTT_D4),0),IF($A1760&gt;BOTT_D3,ROUND(BASE_D3+RATE_D3*($A1760-BOTT_D3),0),IF($A1760&gt;BOTT_D2,ROUND(BASE_D2+RATE_D2*($A1760-BOTT_D2),0),ROUND(RATE_D1*$A1760,0))))</f>
        <v/>
      </c>
    </row>
    <row r="1761" ht="15.75" customHeight="1" s="7635">
      <c r="A1761" s="625">
        <f>AVERAGE(B1761,C1761)</f>
        <v/>
      </c>
      <c r="B1761" s="555" t="n">
        <v>84850</v>
      </c>
      <c r="C1761" s="555" t="n">
        <v>84900</v>
      </c>
      <c r="D1761" s="556">
        <f>IF($A1761&gt;BOTT_A4,ROUND(BASE_A4+RATE_A4*($A1761-BOTT_A4),0),IF($A1761&gt;BOTT_A3,ROUND(BASE_A3+RATE_A3*($A1761-BOTT_A3),0),IF($A1761&gt;BOTT_A2,ROUND(BASE_A2+RATE_A2*($A1761-BOTT_A2),0),ROUND(RATE_A1*$A1761,0))))</f>
        <v/>
      </c>
      <c r="E1761" s="556">
        <f>IF($A1761&gt;BOTT_B4,ROUND(BASE_B4+RATE_B4*($A1761-BOTT_B4),0),IF($A1761&gt;BOTT_B3,ROUND(BASE_B3+RATE_B3*($A1761-BOTT_B3),0),IF($A1761&gt;BOTT_B2,ROUND(BASE_B2+RATE_B2*($A1761-BOTT_B2),0),ROUND(RATE_B1*$A1761,0))))</f>
        <v/>
      </c>
      <c r="F1761" s="556">
        <f>IF($A1761&gt;BOTT_C4,ROUND(BASE_C4+RATE_C4*($A1761-BOTT_C4),0),IF($A1761&gt;BOTT_C3,ROUND(BASE_C3+RATE_C3*($A1761-BOTT_C3),0),IF($A1761&gt;BOTT_C2,ROUND(BASE_C2+RATE_C2*($A1761-BOTT_C2),0),ROUND(RATE_C1*$A1761,0))))</f>
        <v/>
      </c>
      <c r="G1761" s="556">
        <f>IF($A1761&gt;BOTT_D4,ROUND(BASE_D4+RATE_D4*($A1761-BOTT_D4),0),IF($A1761&gt;BOTT_D3,ROUND(BASE_D3+RATE_D3*($A1761-BOTT_D3),0),IF($A1761&gt;BOTT_D2,ROUND(BASE_D2+RATE_D2*($A1761-BOTT_D2),0),ROUND(RATE_D1*$A1761,0))))</f>
        <v/>
      </c>
    </row>
    <row r="1762" ht="15.75" customHeight="1" s="7635">
      <c r="A1762" s="625">
        <f>AVERAGE(B1762,C1762)</f>
        <v/>
      </c>
      <c r="B1762" s="555" t="n">
        <v>84900</v>
      </c>
      <c r="C1762" s="555" t="n">
        <v>84950</v>
      </c>
      <c r="D1762" s="556">
        <f>IF($A1762&gt;BOTT_A4,ROUND(BASE_A4+RATE_A4*($A1762-BOTT_A4),0),IF($A1762&gt;BOTT_A3,ROUND(BASE_A3+RATE_A3*($A1762-BOTT_A3),0),IF($A1762&gt;BOTT_A2,ROUND(BASE_A2+RATE_A2*($A1762-BOTT_A2),0),ROUND(RATE_A1*$A1762,0))))</f>
        <v/>
      </c>
      <c r="E1762" s="556">
        <f>IF($A1762&gt;BOTT_B4,ROUND(BASE_B4+RATE_B4*($A1762-BOTT_B4),0),IF($A1762&gt;BOTT_B3,ROUND(BASE_B3+RATE_B3*($A1762-BOTT_B3),0),IF($A1762&gt;BOTT_B2,ROUND(BASE_B2+RATE_B2*($A1762-BOTT_B2),0),ROUND(RATE_B1*$A1762,0))))</f>
        <v/>
      </c>
      <c r="F1762" s="556">
        <f>IF($A1762&gt;BOTT_C4,ROUND(BASE_C4+RATE_C4*($A1762-BOTT_C4),0),IF($A1762&gt;BOTT_C3,ROUND(BASE_C3+RATE_C3*($A1762-BOTT_C3),0),IF($A1762&gt;BOTT_C2,ROUND(BASE_C2+RATE_C2*($A1762-BOTT_C2),0),ROUND(RATE_C1*$A1762,0))))</f>
        <v/>
      </c>
      <c r="G1762" s="556">
        <f>IF($A1762&gt;BOTT_D4,ROUND(BASE_D4+RATE_D4*($A1762-BOTT_D4),0),IF($A1762&gt;BOTT_D3,ROUND(BASE_D3+RATE_D3*($A1762-BOTT_D3),0),IF($A1762&gt;BOTT_D2,ROUND(BASE_D2+RATE_D2*($A1762-BOTT_D2),0),ROUND(RATE_D1*$A1762,0))))</f>
        <v/>
      </c>
    </row>
    <row r="1763" ht="15.75" customHeight="1" s="7635">
      <c r="A1763" s="625">
        <f>AVERAGE(B1763,C1763)</f>
        <v/>
      </c>
      <c r="B1763" s="555" t="n">
        <v>84950</v>
      </c>
      <c r="C1763" s="555" t="n">
        <v>85000</v>
      </c>
      <c r="D1763" s="556">
        <f>IF($A1763&gt;BOTT_A4,ROUND(BASE_A4+RATE_A4*($A1763-BOTT_A4),0),IF($A1763&gt;BOTT_A3,ROUND(BASE_A3+RATE_A3*($A1763-BOTT_A3),0),IF($A1763&gt;BOTT_A2,ROUND(BASE_A2+RATE_A2*($A1763-BOTT_A2),0),ROUND(RATE_A1*$A1763,0))))</f>
        <v/>
      </c>
      <c r="E1763" s="556">
        <f>IF($A1763&gt;BOTT_B4,ROUND(BASE_B4+RATE_B4*($A1763-BOTT_B4),0),IF($A1763&gt;BOTT_B3,ROUND(BASE_B3+RATE_B3*($A1763-BOTT_B3),0),IF($A1763&gt;BOTT_B2,ROUND(BASE_B2+RATE_B2*($A1763-BOTT_B2),0),ROUND(RATE_B1*$A1763,0))))</f>
        <v/>
      </c>
      <c r="F1763" s="556">
        <f>IF($A1763&gt;BOTT_C4,ROUND(BASE_C4+RATE_C4*($A1763-BOTT_C4),0),IF($A1763&gt;BOTT_C3,ROUND(BASE_C3+RATE_C3*($A1763-BOTT_C3),0),IF($A1763&gt;BOTT_C2,ROUND(BASE_C2+RATE_C2*($A1763-BOTT_C2),0),ROUND(RATE_C1*$A1763,0))))</f>
        <v/>
      </c>
      <c r="G1763" s="556">
        <f>IF($A1763&gt;BOTT_D4,ROUND(BASE_D4+RATE_D4*($A1763-BOTT_D4),0),IF($A1763&gt;BOTT_D3,ROUND(BASE_D3+RATE_D3*($A1763-BOTT_D3),0),IF($A1763&gt;BOTT_D2,ROUND(BASE_D2+RATE_D2*($A1763-BOTT_D2),0),ROUND(RATE_D1*$A1763,0))))</f>
        <v/>
      </c>
    </row>
    <row r="1764" ht="15.75" customHeight="1" s="7635">
      <c r="A1764" s="625">
        <f>AVERAGE(B1764,C1764)</f>
        <v/>
      </c>
      <c r="B1764" s="555" t="n">
        <v>85000</v>
      </c>
      <c r="C1764" s="555" t="n">
        <v>85050</v>
      </c>
      <c r="D1764" s="556">
        <f>IF($A1764&gt;BOTT_A4,ROUND(BASE_A4+RATE_A4*($A1764-BOTT_A4),0),IF($A1764&gt;BOTT_A3,ROUND(BASE_A3+RATE_A3*($A1764-BOTT_A3),0),IF($A1764&gt;BOTT_A2,ROUND(BASE_A2+RATE_A2*($A1764-BOTT_A2),0),ROUND(RATE_A1*$A1764,0))))</f>
        <v/>
      </c>
      <c r="E1764" s="556">
        <f>IF($A1764&gt;BOTT_B4,ROUND(BASE_B4+RATE_B4*($A1764-BOTT_B4),0),IF($A1764&gt;BOTT_B3,ROUND(BASE_B3+RATE_B3*($A1764-BOTT_B3),0),IF($A1764&gt;BOTT_B2,ROUND(BASE_B2+RATE_B2*($A1764-BOTT_B2),0),ROUND(RATE_B1*$A1764,0))))</f>
        <v/>
      </c>
      <c r="F1764" s="556">
        <f>IF($A1764&gt;BOTT_C4,ROUND(BASE_C4+RATE_C4*($A1764-BOTT_C4),0),IF($A1764&gt;BOTT_C3,ROUND(BASE_C3+RATE_C3*($A1764-BOTT_C3),0),IF($A1764&gt;BOTT_C2,ROUND(BASE_C2+RATE_C2*($A1764-BOTT_C2),0),ROUND(RATE_C1*$A1764,0))))</f>
        <v/>
      </c>
      <c r="G1764" s="556">
        <f>IF($A1764&gt;BOTT_D4,ROUND(BASE_D4+RATE_D4*($A1764-BOTT_D4),0),IF($A1764&gt;BOTT_D3,ROUND(BASE_D3+RATE_D3*($A1764-BOTT_D3),0),IF($A1764&gt;BOTT_D2,ROUND(BASE_D2+RATE_D2*($A1764-BOTT_D2),0),ROUND(RATE_D1*$A1764,0))))</f>
        <v/>
      </c>
    </row>
    <row r="1765" ht="15.75" customHeight="1" s="7635">
      <c r="A1765" s="625">
        <f>AVERAGE(B1765,C1765)</f>
        <v/>
      </c>
      <c r="B1765" s="555" t="n">
        <v>85050</v>
      </c>
      <c r="C1765" s="555" t="n">
        <v>85100</v>
      </c>
      <c r="D1765" s="556">
        <f>IF($A1765&gt;BOTT_A4,ROUND(BASE_A4+RATE_A4*($A1765-BOTT_A4),0),IF($A1765&gt;BOTT_A3,ROUND(BASE_A3+RATE_A3*($A1765-BOTT_A3),0),IF($A1765&gt;BOTT_A2,ROUND(BASE_A2+RATE_A2*($A1765-BOTT_A2),0),ROUND(RATE_A1*$A1765,0))))</f>
        <v/>
      </c>
      <c r="E1765" s="556">
        <f>IF($A1765&gt;BOTT_B4,ROUND(BASE_B4+RATE_B4*($A1765-BOTT_B4),0),IF($A1765&gt;BOTT_B3,ROUND(BASE_B3+RATE_B3*($A1765-BOTT_B3),0),IF($A1765&gt;BOTT_B2,ROUND(BASE_B2+RATE_B2*($A1765-BOTT_B2),0),ROUND(RATE_B1*$A1765,0))))</f>
        <v/>
      </c>
      <c r="F1765" s="556">
        <f>IF($A1765&gt;BOTT_C4,ROUND(BASE_C4+RATE_C4*($A1765-BOTT_C4),0),IF($A1765&gt;BOTT_C3,ROUND(BASE_C3+RATE_C3*($A1765-BOTT_C3),0),IF($A1765&gt;BOTT_C2,ROUND(BASE_C2+RATE_C2*($A1765-BOTT_C2),0),ROUND(RATE_C1*$A1765,0))))</f>
        <v/>
      </c>
      <c r="G1765" s="556">
        <f>IF($A1765&gt;BOTT_D4,ROUND(BASE_D4+RATE_D4*($A1765-BOTT_D4),0),IF($A1765&gt;BOTT_D3,ROUND(BASE_D3+RATE_D3*($A1765-BOTT_D3),0),IF($A1765&gt;BOTT_D2,ROUND(BASE_D2+RATE_D2*($A1765-BOTT_D2),0),ROUND(RATE_D1*$A1765,0))))</f>
        <v/>
      </c>
    </row>
    <row r="1766" ht="15.75" customHeight="1" s="7635">
      <c r="A1766" s="625">
        <f>AVERAGE(B1766,C1766)</f>
        <v/>
      </c>
      <c r="B1766" s="555" t="n">
        <v>85100</v>
      </c>
      <c r="C1766" s="555" t="n">
        <v>85150</v>
      </c>
      <c r="D1766" s="556">
        <f>IF($A1766&gt;BOTT_A4,ROUND(BASE_A4+RATE_A4*($A1766-BOTT_A4),0),IF($A1766&gt;BOTT_A3,ROUND(BASE_A3+RATE_A3*($A1766-BOTT_A3),0),IF($A1766&gt;BOTT_A2,ROUND(BASE_A2+RATE_A2*($A1766-BOTT_A2),0),ROUND(RATE_A1*$A1766,0))))</f>
        <v/>
      </c>
      <c r="E1766" s="556">
        <f>IF($A1766&gt;BOTT_B4,ROUND(BASE_B4+RATE_B4*($A1766-BOTT_B4),0),IF($A1766&gt;BOTT_B3,ROUND(BASE_B3+RATE_B3*($A1766-BOTT_B3),0),IF($A1766&gt;BOTT_B2,ROUND(BASE_B2+RATE_B2*($A1766-BOTT_B2),0),ROUND(RATE_B1*$A1766,0))))</f>
        <v/>
      </c>
      <c r="F1766" s="556">
        <f>IF($A1766&gt;BOTT_C4,ROUND(BASE_C4+RATE_C4*($A1766-BOTT_C4),0),IF($A1766&gt;BOTT_C3,ROUND(BASE_C3+RATE_C3*($A1766-BOTT_C3),0),IF($A1766&gt;BOTT_C2,ROUND(BASE_C2+RATE_C2*($A1766-BOTT_C2),0),ROUND(RATE_C1*$A1766,0))))</f>
        <v/>
      </c>
      <c r="G1766" s="556">
        <f>IF($A1766&gt;BOTT_D4,ROUND(BASE_D4+RATE_D4*($A1766-BOTT_D4),0),IF($A1766&gt;BOTT_D3,ROUND(BASE_D3+RATE_D3*($A1766-BOTT_D3),0),IF($A1766&gt;BOTT_D2,ROUND(BASE_D2+RATE_D2*($A1766-BOTT_D2),0),ROUND(RATE_D1*$A1766,0))))</f>
        <v/>
      </c>
    </row>
    <row r="1767" ht="15.75" customHeight="1" s="7635">
      <c r="A1767" s="625">
        <f>AVERAGE(B1767,C1767)</f>
        <v/>
      </c>
      <c r="B1767" s="555" t="n">
        <v>85150</v>
      </c>
      <c r="C1767" s="555" t="n">
        <v>85200</v>
      </c>
      <c r="D1767" s="556">
        <f>IF($A1767&gt;BOTT_A4,ROUND(BASE_A4+RATE_A4*($A1767-BOTT_A4),0),IF($A1767&gt;BOTT_A3,ROUND(BASE_A3+RATE_A3*($A1767-BOTT_A3),0),IF($A1767&gt;BOTT_A2,ROUND(BASE_A2+RATE_A2*($A1767-BOTT_A2),0),ROUND(RATE_A1*$A1767,0))))</f>
        <v/>
      </c>
      <c r="E1767" s="556">
        <f>IF($A1767&gt;BOTT_B4,ROUND(BASE_B4+RATE_B4*($A1767-BOTT_B4),0),IF($A1767&gt;BOTT_B3,ROUND(BASE_B3+RATE_B3*($A1767-BOTT_B3),0),IF($A1767&gt;BOTT_B2,ROUND(BASE_B2+RATE_B2*($A1767-BOTT_B2),0),ROUND(RATE_B1*$A1767,0))))</f>
        <v/>
      </c>
      <c r="F1767" s="556">
        <f>IF($A1767&gt;BOTT_C4,ROUND(BASE_C4+RATE_C4*($A1767-BOTT_C4),0),IF($A1767&gt;BOTT_C3,ROUND(BASE_C3+RATE_C3*($A1767-BOTT_C3),0),IF($A1767&gt;BOTT_C2,ROUND(BASE_C2+RATE_C2*($A1767-BOTT_C2),0),ROUND(RATE_C1*$A1767,0))))</f>
        <v/>
      </c>
      <c r="G1767" s="556">
        <f>IF($A1767&gt;BOTT_D4,ROUND(BASE_D4+RATE_D4*($A1767-BOTT_D4),0),IF($A1767&gt;BOTT_D3,ROUND(BASE_D3+RATE_D3*($A1767-BOTT_D3),0),IF($A1767&gt;BOTT_D2,ROUND(BASE_D2+RATE_D2*($A1767-BOTT_D2),0),ROUND(RATE_D1*$A1767,0))))</f>
        <v/>
      </c>
    </row>
    <row r="1768" ht="15.75" customHeight="1" s="7635">
      <c r="A1768" s="625">
        <f>AVERAGE(B1768,C1768)</f>
        <v/>
      </c>
      <c r="B1768" s="555" t="n">
        <v>85200</v>
      </c>
      <c r="C1768" s="555" t="n">
        <v>85250</v>
      </c>
      <c r="D1768" s="556">
        <f>IF($A1768&gt;BOTT_A4,ROUND(BASE_A4+RATE_A4*($A1768-BOTT_A4),0),IF($A1768&gt;BOTT_A3,ROUND(BASE_A3+RATE_A3*($A1768-BOTT_A3),0),IF($A1768&gt;BOTT_A2,ROUND(BASE_A2+RATE_A2*($A1768-BOTT_A2),0),ROUND(RATE_A1*$A1768,0))))</f>
        <v/>
      </c>
      <c r="E1768" s="556">
        <f>IF($A1768&gt;BOTT_B4,ROUND(BASE_B4+RATE_B4*($A1768-BOTT_B4),0),IF($A1768&gt;BOTT_B3,ROUND(BASE_B3+RATE_B3*($A1768-BOTT_B3),0),IF($A1768&gt;BOTT_B2,ROUND(BASE_B2+RATE_B2*($A1768-BOTT_B2),0),ROUND(RATE_B1*$A1768,0))))</f>
        <v/>
      </c>
      <c r="F1768" s="556">
        <f>IF($A1768&gt;BOTT_C4,ROUND(BASE_C4+RATE_C4*($A1768-BOTT_C4),0),IF($A1768&gt;BOTT_C3,ROUND(BASE_C3+RATE_C3*($A1768-BOTT_C3),0),IF($A1768&gt;BOTT_C2,ROUND(BASE_C2+RATE_C2*($A1768-BOTT_C2),0),ROUND(RATE_C1*$A1768,0))))</f>
        <v/>
      </c>
      <c r="G1768" s="556">
        <f>IF($A1768&gt;BOTT_D4,ROUND(BASE_D4+RATE_D4*($A1768-BOTT_D4),0),IF($A1768&gt;BOTT_D3,ROUND(BASE_D3+RATE_D3*($A1768-BOTT_D3),0),IF($A1768&gt;BOTT_D2,ROUND(BASE_D2+RATE_D2*($A1768-BOTT_D2),0),ROUND(RATE_D1*$A1768,0))))</f>
        <v/>
      </c>
    </row>
    <row r="1769" ht="15.75" customHeight="1" s="7635">
      <c r="A1769" s="625">
        <f>AVERAGE(B1769,C1769)</f>
        <v/>
      </c>
      <c r="B1769" s="555" t="n">
        <v>85250</v>
      </c>
      <c r="C1769" s="555" t="n">
        <v>85300</v>
      </c>
      <c r="D1769" s="556">
        <f>IF($A1769&gt;BOTT_A4,ROUND(BASE_A4+RATE_A4*($A1769-BOTT_A4),0),IF($A1769&gt;BOTT_A3,ROUND(BASE_A3+RATE_A3*($A1769-BOTT_A3),0),IF($A1769&gt;BOTT_A2,ROUND(BASE_A2+RATE_A2*($A1769-BOTT_A2),0),ROUND(RATE_A1*$A1769,0))))</f>
        <v/>
      </c>
      <c r="E1769" s="556">
        <f>IF($A1769&gt;BOTT_B4,ROUND(BASE_B4+RATE_B4*($A1769-BOTT_B4),0),IF($A1769&gt;BOTT_B3,ROUND(BASE_B3+RATE_B3*($A1769-BOTT_B3),0),IF($A1769&gt;BOTT_B2,ROUND(BASE_B2+RATE_B2*($A1769-BOTT_B2),0),ROUND(RATE_B1*$A1769,0))))</f>
        <v/>
      </c>
      <c r="F1769" s="556">
        <f>IF($A1769&gt;BOTT_C4,ROUND(BASE_C4+RATE_C4*($A1769-BOTT_C4),0),IF($A1769&gt;BOTT_C3,ROUND(BASE_C3+RATE_C3*($A1769-BOTT_C3),0),IF($A1769&gt;BOTT_C2,ROUND(BASE_C2+RATE_C2*($A1769-BOTT_C2),0),ROUND(RATE_C1*$A1769,0))))</f>
        <v/>
      </c>
      <c r="G1769" s="556">
        <f>IF($A1769&gt;BOTT_D4,ROUND(BASE_D4+RATE_D4*($A1769-BOTT_D4),0),IF($A1769&gt;BOTT_D3,ROUND(BASE_D3+RATE_D3*($A1769-BOTT_D3),0),IF($A1769&gt;BOTT_D2,ROUND(BASE_D2+RATE_D2*($A1769-BOTT_D2),0),ROUND(RATE_D1*$A1769,0))))</f>
        <v/>
      </c>
    </row>
    <row r="1770" ht="15.75" customHeight="1" s="7635">
      <c r="A1770" s="625">
        <f>AVERAGE(B1770,C1770)</f>
        <v/>
      </c>
      <c r="B1770" s="555" t="n">
        <v>85300</v>
      </c>
      <c r="C1770" s="555" t="n">
        <v>85350</v>
      </c>
      <c r="D1770" s="556">
        <f>IF($A1770&gt;BOTT_A4,ROUND(BASE_A4+RATE_A4*($A1770-BOTT_A4),0),IF($A1770&gt;BOTT_A3,ROUND(BASE_A3+RATE_A3*($A1770-BOTT_A3),0),IF($A1770&gt;BOTT_A2,ROUND(BASE_A2+RATE_A2*($A1770-BOTT_A2),0),ROUND(RATE_A1*$A1770,0))))</f>
        <v/>
      </c>
      <c r="E1770" s="556">
        <f>IF($A1770&gt;BOTT_B4,ROUND(BASE_B4+RATE_B4*($A1770-BOTT_B4),0),IF($A1770&gt;BOTT_B3,ROUND(BASE_B3+RATE_B3*($A1770-BOTT_B3),0),IF($A1770&gt;BOTT_B2,ROUND(BASE_B2+RATE_B2*($A1770-BOTT_B2),0),ROUND(RATE_B1*$A1770,0))))</f>
        <v/>
      </c>
      <c r="F1770" s="556">
        <f>IF($A1770&gt;BOTT_C4,ROUND(BASE_C4+RATE_C4*($A1770-BOTT_C4),0),IF($A1770&gt;BOTT_C3,ROUND(BASE_C3+RATE_C3*($A1770-BOTT_C3),0),IF($A1770&gt;BOTT_C2,ROUND(BASE_C2+RATE_C2*($A1770-BOTT_C2),0),ROUND(RATE_C1*$A1770,0))))</f>
        <v/>
      </c>
      <c r="G1770" s="556">
        <f>IF($A1770&gt;BOTT_D4,ROUND(BASE_D4+RATE_D4*($A1770-BOTT_D4),0),IF($A1770&gt;BOTT_D3,ROUND(BASE_D3+RATE_D3*($A1770-BOTT_D3),0),IF($A1770&gt;BOTT_D2,ROUND(BASE_D2+RATE_D2*($A1770-BOTT_D2),0),ROUND(RATE_D1*$A1770,0))))</f>
        <v/>
      </c>
    </row>
    <row r="1771" ht="15.75" customHeight="1" s="7635">
      <c r="A1771" s="625">
        <f>AVERAGE(B1771,C1771)</f>
        <v/>
      </c>
      <c r="B1771" s="555" t="n">
        <v>85350</v>
      </c>
      <c r="C1771" s="555" t="n">
        <v>85400</v>
      </c>
      <c r="D1771" s="556">
        <f>IF($A1771&gt;BOTT_A4,ROUND(BASE_A4+RATE_A4*($A1771-BOTT_A4),0),IF($A1771&gt;BOTT_A3,ROUND(BASE_A3+RATE_A3*($A1771-BOTT_A3),0),IF($A1771&gt;BOTT_A2,ROUND(BASE_A2+RATE_A2*($A1771-BOTT_A2),0),ROUND(RATE_A1*$A1771,0))))</f>
        <v/>
      </c>
      <c r="E1771" s="556">
        <f>IF($A1771&gt;BOTT_B4,ROUND(BASE_B4+RATE_B4*($A1771-BOTT_B4),0),IF($A1771&gt;BOTT_B3,ROUND(BASE_B3+RATE_B3*($A1771-BOTT_B3),0),IF($A1771&gt;BOTT_B2,ROUND(BASE_B2+RATE_B2*($A1771-BOTT_B2),0),ROUND(RATE_B1*$A1771,0))))</f>
        <v/>
      </c>
      <c r="F1771" s="556">
        <f>IF($A1771&gt;BOTT_C4,ROUND(BASE_C4+RATE_C4*($A1771-BOTT_C4),0),IF($A1771&gt;BOTT_C3,ROUND(BASE_C3+RATE_C3*($A1771-BOTT_C3),0),IF($A1771&gt;BOTT_C2,ROUND(BASE_C2+RATE_C2*($A1771-BOTT_C2),0),ROUND(RATE_C1*$A1771,0))))</f>
        <v/>
      </c>
      <c r="G1771" s="556">
        <f>IF($A1771&gt;BOTT_D4,ROUND(BASE_D4+RATE_D4*($A1771-BOTT_D4),0),IF($A1771&gt;BOTT_D3,ROUND(BASE_D3+RATE_D3*($A1771-BOTT_D3),0),IF($A1771&gt;BOTT_D2,ROUND(BASE_D2+RATE_D2*($A1771-BOTT_D2),0),ROUND(RATE_D1*$A1771,0))))</f>
        <v/>
      </c>
    </row>
    <row r="1772" ht="15.75" customHeight="1" s="7635">
      <c r="A1772" s="625">
        <f>AVERAGE(B1772,C1772)</f>
        <v/>
      </c>
      <c r="B1772" s="555" t="n">
        <v>85400</v>
      </c>
      <c r="C1772" s="555" t="n">
        <v>85450</v>
      </c>
      <c r="D1772" s="556">
        <f>IF($A1772&gt;BOTT_A4,ROUND(BASE_A4+RATE_A4*($A1772-BOTT_A4),0),IF($A1772&gt;BOTT_A3,ROUND(BASE_A3+RATE_A3*($A1772-BOTT_A3),0),IF($A1772&gt;BOTT_A2,ROUND(BASE_A2+RATE_A2*($A1772-BOTT_A2),0),ROUND(RATE_A1*$A1772,0))))</f>
        <v/>
      </c>
      <c r="E1772" s="556">
        <f>IF($A1772&gt;BOTT_B4,ROUND(BASE_B4+RATE_B4*($A1772-BOTT_B4),0),IF($A1772&gt;BOTT_B3,ROUND(BASE_B3+RATE_B3*($A1772-BOTT_B3),0),IF($A1772&gt;BOTT_B2,ROUND(BASE_B2+RATE_B2*($A1772-BOTT_B2),0),ROUND(RATE_B1*$A1772,0))))</f>
        <v/>
      </c>
      <c r="F1772" s="556">
        <f>IF($A1772&gt;BOTT_C4,ROUND(BASE_C4+RATE_C4*($A1772-BOTT_C4),0),IF($A1772&gt;BOTT_C3,ROUND(BASE_C3+RATE_C3*($A1772-BOTT_C3),0),IF($A1772&gt;BOTT_C2,ROUND(BASE_C2+RATE_C2*($A1772-BOTT_C2),0),ROUND(RATE_C1*$A1772,0))))</f>
        <v/>
      </c>
      <c r="G1772" s="556">
        <f>IF($A1772&gt;BOTT_D4,ROUND(BASE_D4+RATE_D4*($A1772-BOTT_D4),0),IF($A1772&gt;BOTT_D3,ROUND(BASE_D3+RATE_D3*($A1772-BOTT_D3),0),IF($A1772&gt;BOTT_D2,ROUND(BASE_D2+RATE_D2*($A1772-BOTT_D2),0),ROUND(RATE_D1*$A1772,0))))</f>
        <v/>
      </c>
    </row>
    <row r="1773" ht="15.75" customHeight="1" s="7635">
      <c r="A1773" s="625">
        <f>AVERAGE(B1773,C1773)</f>
        <v/>
      </c>
      <c r="B1773" s="555" t="n">
        <v>85450</v>
      </c>
      <c r="C1773" s="555" t="n">
        <v>85500</v>
      </c>
      <c r="D1773" s="556">
        <f>IF($A1773&gt;BOTT_A4,ROUND(BASE_A4+RATE_A4*($A1773-BOTT_A4),0),IF($A1773&gt;BOTT_A3,ROUND(BASE_A3+RATE_A3*($A1773-BOTT_A3),0),IF($A1773&gt;BOTT_A2,ROUND(BASE_A2+RATE_A2*($A1773-BOTT_A2),0),ROUND(RATE_A1*$A1773,0))))</f>
        <v/>
      </c>
      <c r="E1773" s="556">
        <f>IF($A1773&gt;BOTT_B4,ROUND(BASE_B4+RATE_B4*($A1773-BOTT_B4),0),IF($A1773&gt;BOTT_B3,ROUND(BASE_B3+RATE_B3*($A1773-BOTT_B3),0),IF($A1773&gt;BOTT_B2,ROUND(BASE_B2+RATE_B2*($A1773-BOTT_B2),0),ROUND(RATE_B1*$A1773,0))))</f>
        <v/>
      </c>
      <c r="F1773" s="556">
        <f>IF($A1773&gt;BOTT_C4,ROUND(BASE_C4+RATE_C4*($A1773-BOTT_C4),0),IF($A1773&gt;BOTT_C3,ROUND(BASE_C3+RATE_C3*($A1773-BOTT_C3),0),IF($A1773&gt;BOTT_C2,ROUND(BASE_C2+RATE_C2*($A1773-BOTT_C2),0),ROUND(RATE_C1*$A1773,0))))</f>
        <v/>
      </c>
      <c r="G1773" s="556">
        <f>IF($A1773&gt;BOTT_D4,ROUND(BASE_D4+RATE_D4*($A1773-BOTT_D4),0),IF($A1773&gt;BOTT_D3,ROUND(BASE_D3+RATE_D3*($A1773-BOTT_D3),0),IF($A1773&gt;BOTT_D2,ROUND(BASE_D2+RATE_D2*($A1773-BOTT_D2),0),ROUND(RATE_D1*$A1773,0))))</f>
        <v/>
      </c>
    </row>
    <row r="1774" ht="15.75" customHeight="1" s="7635">
      <c r="A1774" s="625">
        <f>AVERAGE(B1774,C1774)</f>
        <v/>
      </c>
      <c r="B1774" s="555" t="n">
        <v>85500</v>
      </c>
      <c r="C1774" s="555" t="n">
        <v>85550</v>
      </c>
      <c r="D1774" s="556">
        <f>IF($A1774&gt;BOTT_A4,ROUND(BASE_A4+RATE_A4*($A1774-BOTT_A4),0),IF($A1774&gt;BOTT_A3,ROUND(BASE_A3+RATE_A3*($A1774-BOTT_A3),0),IF($A1774&gt;BOTT_A2,ROUND(BASE_A2+RATE_A2*($A1774-BOTT_A2),0),ROUND(RATE_A1*$A1774,0))))</f>
        <v/>
      </c>
      <c r="E1774" s="556">
        <f>IF($A1774&gt;BOTT_B4,ROUND(BASE_B4+RATE_B4*($A1774-BOTT_B4),0),IF($A1774&gt;BOTT_B3,ROUND(BASE_B3+RATE_B3*($A1774-BOTT_B3),0),IF($A1774&gt;BOTT_B2,ROUND(BASE_B2+RATE_B2*($A1774-BOTT_B2),0),ROUND(RATE_B1*$A1774,0))))</f>
        <v/>
      </c>
      <c r="F1774" s="556">
        <f>IF($A1774&gt;BOTT_C4,ROUND(BASE_C4+RATE_C4*($A1774-BOTT_C4),0),IF($A1774&gt;BOTT_C3,ROUND(BASE_C3+RATE_C3*($A1774-BOTT_C3),0),IF($A1774&gt;BOTT_C2,ROUND(BASE_C2+RATE_C2*($A1774-BOTT_C2),0),ROUND(RATE_C1*$A1774,0))))</f>
        <v/>
      </c>
      <c r="G1774" s="556">
        <f>IF($A1774&gt;BOTT_D4,ROUND(BASE_D4+RATE_D4*($A1774-BOTT_D4),0),IF($A1774&gt;BOTT_D3,ROUND(BASE_D3+RATE_D3*($A1774-BOTT_D3),0),IF($A1774&gt;BOTT_D2,ROUND(BASE_D2+RATE_D2*($A1774-BOTT_D2),0),ROUND(RATE_D1*$A1774,0))))</f>
        <v/>
      </c>
    </row>
    <row r="1775" ht="15.75" customHeight="1" s="7635">
      <c r="A1775" s="625">
        <f>AVERAGE(B1775,C1775)</f>
        <v/>
      </c>
      <c r="B1775" s="555" t="n">
        <v>85550</v>
      </c>
      <c r="C1775" s="555" t="n">
        <v>85600</v>
      </c>
      <c r="D1775" s="556">
        <f>IF($A1775&gt;BOTT_A4,ROUND(BASE_A4+RATE_A4*($A1775-BOTT_A4),0),IF($A1775&gt;BOTT_A3,ROUND(BASE_A3+RATE_A3*($A1775-BOTT_A3),0),IF($A1775&gt;BOTT_A2,ROUND(BASE_A2+RATE_A2*($A1775-BOTT_A2),0),ROUND(RATE_A1*$A1775,0))))</f>
        <v/>
      </c>
      <c r="E1775" s="556">
        <f>IF($A1775&gt;BOTT_B4,ROUND(BASE_B4+RATE_B4*($A1775-BOTT_B4),0),IF($A1775&gt;BOTT_B3,ROUND(BASE_B3+RATE_B3*($A1775-BOTT_B3),0),IF($A1775&gt;BOTT_B2,ROUND(BASE_B2+RATE_B2*($A1775-BOTT_B2),0),ROUND(RATE_B1*$A1775,0))))</f>
        <v/>
      </c>
      <c r="F1775" s="556">
        <f>IF($A1775&gt;BOTT_C4,ROUND(BASE_C4+RATE_C4*($A1775-BOTT_C4),0),IF($A1775&gt;BOTT_C3,ROUND(BASE_C3+RATE_C3*($A1775-BOTT_C3),0),IF($A1775&gt;BOTT_C2,ROUND(BASE_C2+RATE_C2*($A1775-BOTT_C2),0),ROUND(RATE_C1*$A1775,0))))</f>
        <v/>
      </c>
      <c r="G1775" s="556">
        <f>IF($A1775&gt;BOTT_D4,ROUND(BASE_D4+RATE_D4*($A1775-BOTT_D4),0),IF($A1775&gt;BOTT_D3,ROUND(BASE_D3+RATE_D3*($A1775-BOTT_D3),0),IF($A1775&gt;BOTT_D2,ROUND(BASE_D2+RATE_D2*($A1775-BOTT_D2),0),ROUND(RATE_D1*$A1775,0))))</f>
        <v/>
      </c>
    </row>
    <row r="1776" ht="15.75" customHeight="1" s="7635">
      <c r="A1776" s="625">
        <f>AVERAGE(B1776,C1776)</f>
        <v/>
      </c>
      <c r="B1776" s="555" t="n">
        <v>85600</v>
      </c>
      <c r="C1776" s="555" t="n">
        <v>85650</v>
      </c>
      <c r="D1776" s="556">
        <f>IF($A1776&gt;BOTT_A4,ROUND(BASE_A4+RATE_A4*($A1776-BOTT_A4),0),IF($A1776&gt;BOTT_A3,ROUND(BASE_A3+RATE_A3*($A1776-BOTT_A3),0),IF($A1776&gt;BOTT_A2,ROUND(BASE_A2+RATE_A2*($A1776-BOTT_A2),0),ROUND(RATE_A1*$A1776,0))))</f>
        <v/>
      </c>
      <c r="E1776" s="556">
        <f>IF($A1776&gt;BOTT_B4,ROUND(BASE_B4+RATE_B4*($A1776-BOTT_B4),0),IF($A1776&gt;BOTT_B3,ROUND(BASE_B3+RATE_B3*($A1776-BOTT_B3),0),IF($A1776&gt;BOTT_B2,ROUND(BASE_B2+RATE_B2*($A1776-BOTT_B2),0),ROUND(RATE_B1*$A1776,0))))</f>
        <v/>
      </c>
      <c r="F1776" s="556">
        <f>IF($A1776&gt;BOTT_C4,ROUND(BASE_C4+RATE_C4*($A1776-BOTT_C4),0),IF($A1776&gt;BOTT_C3,ROUND(BASE_C3+RATE_C3*($A1776-BOTT_C3),0),IF($A1776&gt;BOTT_C2,ROUND(BASE_C2+RATE_C2*($A1776-BOTT_C2),0),ROUND(RATE_C1*$A1776,0))))</f>
        <v/>
      </c>
      <c r="G1776" s="556">
        <f>IF($A1776&gt;BOTT_D4,ROUND(BASE_D4+RATE_D4*($A1776-BOTT_D4),0),IF($A1776&gt;BOTT_D3,ROUND(BASE_D3+RATE_D3*($A1776-BOTT_D3),0),IF($A1776&gt;BOTT_D2,ROUND(BASE_D2+RATE_D2*($A1776-BOTT_D2),0),ROUND(RATE_D1*$A1776,0))))</f>
        <v/>
      </c>
    </row>
    <row r="1777" ht="15.75" customHeight="1" s="7635">
      <c r="A1777" s="625">
        <f>AVERAGE(B1777,C1777)</f>
        <v/>
      </c>
      <c r="B1777" s="555" t="n">
        <v>85650</v>
      </c>
      <c r="C1777" s="555" t="n">
        <v>85700</v>
      </c>
      <c r="D1777" s="556">
        <f>IF($A1777&gt;BOTT_A4,ROUND(BASE_A4+RATE_A4*($A1777-BOTT_A4),0),IF($A1777&gt;BOTT_A3,ROUND(BASE_A3+RATE_A3*($A1777-BOTT_A3),0),IF($A1777&gt;BOTT_A2,ROUND(BASE_A2+RATE_A2*($A1777-BOTT_A2),0),ROUND(RATE_A1*$A1777,0))))</f>
        <v/>
      </c>
      <c r="E1777" s="556">
        <f>IF($A1777&gt;BOTT_B4,ROUND(BASE_B4+RATE_B4*($A1777-BOTT_B4),0),IF($A1777&gt;BOTT_B3,ROUND(BASE_B3+RATE_B3*($A1777-BOTT_B3),0),IF($A1777&gt;BOTT_B2,ROUND(BASE_B2+RATE_B2*($A1777-BOTT_B2),0),ROUND(RATE_B1*$A1777,0))))</f>
        <v/>
      </c>
      <c r="F1777" s="556">
        <f>IF($A1777&gt;BOTT_C4,ROUND(BASE_C4+RATE_C4*($A1777-BOTT_C4),0),IF($A1777&gt;BOTT_C3,ROUND(BASE_C3+RATE_C3*($A1777-BOTT_C3),0),IF($A1777&gt;BOTT_C2,ROUND(BASE_C2+RATE_C2*($A1777-BOTT_C2),0),ROUND(RATE_C1*$A1777,0))))</f>
        <v/>
      </c>
      <c r="G1777" s="556">
        <f>IF($A1777&gt;BOTT_D4,ROUND(BASE_D4+RATE_D4*($A1777-BOTT_D4),0),IF($A1777&gt;BOTT_D3,ROUND(BASE_D3+RATE_D3*($A1777-BOTT_D3),0),IF($A1777&gt;BOTT_D2,ROUND(BASE_D2+RATE_D2*($A1777-BOTT_D2),0),ROUND(RATE_D1*$A1777,0))))</f>
        <v/>
      </c>
    </row>
    <row r="1778" ht="15.75" customHeight="1" s="7635">
      <c r="A1778" s="625">
        <f>AVERAGE(B1778,C1778)</f>
        <v/>
      </c>
      <c r="B1778" s="555" t="n">
        <v>85700</v>
      </c>
      <c r="C1778" s="555" t="n">
        <v>85750</v>
      </c>
      <c r="D1778" s="556">
        <f>IF($A1778&gt;BOTT_A4,ROUND(BASE_A4+RATE_A4*($A1778-BOTT_A4),0),IF($A1778&gt;BOTT_A3,ROUND(BASE_A3+RATE_A3*($A1778-BOTT_A3),0),IF($A1778&gt;BOTT_A2,ROUND(BASE_A2+RATE_A2*($A1778-BOTT_A2),0),ROUND(RATE_A1*$A1778,0))))</f>
        <v/>
      </c>
      <c r="E1778" s="556">
        <f>IF($A1778&gt;BOTT_B4,ROUND(BASE_B4+RATE_B4*($A1778-BOTT_B4),0),IF($A1778&gt;BOTT_B3,ROUND(BASE_B3+RATE_B3*($A1778-BOTT_B3),0),IF($A1778&gt;BOTT_B2,ROUND(BASE_B2+RATE_B2*($A1778-BOTT_B2),0),ROUND(RATE_B1*$A1778,0))))</f>
        <v/>
      </c>
      <c r="F1778" s="556">
        <f>IF($A1778&gt;BOTT_C4,ROUND(BASE_C4+RATE_C4*($A1778-BOTT_C4),0),IF($A1778&gt;BOTT_C3,ROUND(BASE_C3+RATE_C3*($A1778-BOTT_C3),0),IF($A1778&gt;BOTT_C2,ROUND(BASE_C2+RATE_C2*($A1778-BOTT_C2),0),ROUND(RATE_C1*$A1778,0))))</f>
        <v/>
      </c>
      <c r="G1778" s="556">
        <f>IF($A1778&gt;BOTT_D4,ROUND(BASE_D4+RATE_D4*($A1778-BOTT_D4),0),IF($A1778&gt;BOTT_D3,ROUND(BASE_D3+RATE_D3*($A1778-BOTT_D3),0),IF($A1778&gt;BOTT_D2,ROUND(BASE_D2+RATE_D2*($A1778-BOTT_D2),0),ROUND(RATE_D1*$A1778,0))))</f>
        <v/>
      </c>
    </row>
    <row r="1779" ht="15.75" customHeight="1" s="7635">
      <c r="A1779" s="625">
        <f>AVERAGE(B1779,C1779)</f>
        <v/>
      </c>
      <c r="B1779" s="555" t="n">
        <v>85750</v>
      </c>
      <c r="C1779" s="555" t="n">
        <v>85800</v>
      </c>
      <c r="D1779" s="556">
        <f>IF($A1779&gt;BOTT_A4,ROUND(BASE_A4+RATE_A4*($A1779-BOTT_A4),0),IF($A1779&gt;BOTT_A3,ROUND(BASE_A3+RATE_A3*($A1779-BOTT_A3),0),IF($A1779&gt;BOTT_A2,ROUND(BASE_A2+RATE_A2*($A1779-BOTT_A2),0),ROUND(RATE_A1*$A1779,0))))</f>
        <v/>
      </c>
      <c r="E1779" s="556">
        <f>IF($A1779&gt;BOTT_B4,ROUND(BASE_B4+RATE_B4*($A1779-BOTT_B4),0),IF($A1779&gt;BOTT_B3,ROUND(BASE_B3+RATE_B3*($A1779-BOTT_B3),0),IF($A1779&gt;BOTT_B2,ROUND(BASE_B2+RATE_B2*($A1779-BOTT_B2),0),ROUND(RATE_B1*$A1779,0))))</f>
        <v/>
      </c>
      <c r="F1779" s="556">
        <f>IF($A1779&gt;BOTT_C4,ROUND(BASE_C4+RATE_C4*($A1779-BOTT_C4),0),IF($A1779&gt;BOTT_C3,ROUND(BASE_C3+RATE_C3*($A1779-BOTT_C3),0),IF($A1779&gt;BOTT_C2,ROUND(BASE_C2+RATE_C2*($A1779-BOTT_C2),0),ROUND(RATE_C1*$A1779,0))))</f>
        <v/>
      </c>
      <c r="G1779" s="556">
        <f>IF($A1779&gt;BOTT_D4,ROUND(BASE_D4+RATE_D4*($A1779-BOTT_D4),0),IF($A1779&gt;BOTT_D3,ROUND(BASE_D3+RATE_D3*($A1779-BOTT_D3),0),IF($A1779&gt;BOTT_D2,ROUND(BASE_D2+RATE_D2*($A1779-BOTT_D2),0),ROUND(RATE_D1*$A1779,0))))</f>
        <v/>
      </c>
    </row>
    <row r="1780" ht="15.75" customHeight="1" s="7635">
      <c r="A1780" s="625">
        <f>AVERAGE(B1780,C1780)</f>
        <v/>
      </c>
      <c r="B1780" s="555" t="n">
        <v>85800</v>
      </c>
      <c r="C1780" s="555" t="n">
        <v>85850</v>
      </c>
      <c r="D1780" s="556">
        <f>IF($A1780&gt;BOTT_A4,ROUND(BASE_A4+RATE_A4*($A1780-BOTT_A4),0),IF($A1780&gt;BOTT_A3,ROUND(BASE_A3+RATE_A3*($A1780-BOTT_A3),0),IF($A1780&gt;BOTT_A2,ROUND(BASE_A2+RATE_A2*($A1780-BOTT_A2),0),ROUND(RATE_A1*$A1780,0))))</f>
        <v/>
      </c>
      <c r="E1780" s="556">
        <f>IF($A1780&gt;BOTT_B4,ROUND(BASE_B4+RATE_B4*($A1780-BOTT_B4),0),IF($A1780&gt;BOTT_B3,ROUND(BASE_B3+RATE_B3*($A1780-BOTT_B3),0),IF($A1780&gt;BOTT_B2,ROUND(BASE_B2+RATE_B2*($A1780-BOTT_B2),0),ROUND(RATE_B1*$A1780,0))))</f>
        <v/>
      </c>
      <c r="F1780" s="556">
        <f>IF($A1780&gt;BOTT_C4,ROUND(BASE_C4+RATE_C4*($A1780-BOTT_C4),0),IF($A1780&gt;BOTT_C3,ROUND(BASE_C3+RATE_C3*($A1780-BOTT_C3),0),IF($A1780&gt;BOTT_C2,ROUND(BASE_C2+RATE_C2*($A1780-BOTT_C2),0),ROUND(RATE_C1*$A1780,0))))</f>
        <v/>
      </c>
      <c r="G1780" s="556">
        <f>IF($A1780&gt;BOTT_D4,ROUND(BASE_D4+RATE_D4*($A1780-BOTT_D4),0),IF($A1780&gt;BOTT_D3,ROUND(BASE_D3+RATE_D3*($A1780-BOTT_D3),0),IF($A1780&gt;BOTT_D2,ROUND(BASE_D2+RATE_D2*($A1780-BOTT_D2),0),ROUND(RATE_D1*$A1780,0))))</f>
        <v/>
      </c>
    </row>
    <row r="1781" ht="15.75" customHeight="1" s="7635">
      <c r="A1781" s="625">
        <f>AVERAGE(B1781,C1781)</f>
        <v/>
      </c>
      <c r="B1781" s="555" t="n">
        <v>85850</v>
      </c>
      <c r="C1781" s="555" t="n">
        <v>85900</v>
      </c>
      <c r="D1781" s="556">
        <f>IF($A1781&gt;BOTT_A4,ROUND(BASE_A4+RATE_A4*($A1781-BOTT_A4),0),IF($A1781&gt;BOTT_A3,ROUND(BASE_A3+RATE_A3*($A1781-BOTT_A3),0),IF($A1781&gt;BOTT_A2,ROUND(BASE_A2+RATE_A2*($A1781-BOTT_A2),0),ROUND(RATE_A1*$A1781,0))))</f>
        <v/>
      </c>
      <c r="E1781" s="556">
        <f>IF($A1781&gt;BOTT_B4,ROUND(BASE_B4+RATE_B4*($A1781-BOTT_B4),0),IF($A1781&gt;BOTT_B3,ROUND(BASE_B3+RATE_B3*($A1781-BOTT_B3),0),IF($A1781&gt;BOTT_B2,ROUND(BASE_B2+RATE_B2*($A1781-BOTT_B2),0),ROUND(RATE_B1*$A1781,0))))</f>
        <v/>
      </c>
      <c r="F1781" s="556">
        <f>IF($A1781&gt;BOTT_C4,ROUND(BASE_C4+RATE_C4*($A1781-BOTT_C4),0),IF($A1781&gt;BOTT_C3,ROUND(BASE_C3+RATE_C3*($A1781-BOTT_C3),0),IF($A1781&gt;BOTT_C2,ROUND(BASE_C2+RATE_C2*($A1781-BOTT_C2),0),ROUND(RATE_C1*$A1781,0))))</f>
        <v/>
      </c>
      <c r="G1781" s="556">
        <f>IF($A1781&gt;BOTT_D4,ROUND(BASE_D4+RATE_D4*($A1781-BOTT_D4),0),IF($A1781&gt;BOTT_D3,ROUND(BASE_D3+RATE_D3*($A1781-BOTT_D3),0),IF($A1781&gt;BOTT_D2,ROUND(BASE_D2+RATE_D2*($A1781-BOTT_D2),0),ROUND(RATE_D1*$A1781,0))))</f>
        <v/>
      </c>
    </row>
    <row r="1782" ht="15.75" customHeight="1" s="7635">
      <c r="A1782" s="625">
        <f>AVERAGE(B1782,C1782)</f>
        <v/>
      </c>
      <c r="B1782" s="555" t="n">
        <v>85900</v>
      </c>
      <c r="C1782" s="555" t="n">
        <v>85950</v>
      </c>
      <c r="D1782" s="556">
        <f>IF($A1782&gt;BOTT_A4,ROUND(BASE_A4+RATE_A4*($A1782-BOTT_A4),0),IF($A1782&gt;BOTT_A3,ROUND(BASE_A3+RATE_A3*($A1782-BOTT_A3),0),IF($A1782&gt;BOTT_A2,ROUND(BASE_A2+RATE_A2*($A1782-BOTT_A2),0),ROUND(RATE_A1*$A1782,0))))</f>
        <v/>
      </c>
      <c r="E1782" s="556">
        <f>IF($A1782&gt;BOTT_B4,ROUND(BASE_B4+RATE_B4*($A1782-BOTT_B4),0),IF($A1782&gt;BOTT_B3,ROUND(BASE_B3+RATE_B3*($A1782-BOTT_B3),0),IF($A1782&gt;BOTT_B2,ROUND(BASE_B2+RATE_B2*($A1782-BOTT_B2),0),ROUND(RATE_B1*$A1782,0))))</f>
        <v/>
      </c>
      <c r="F1782" s="556">
        <f>IF($A1782&gt;BOTT_C4,ROUND(BASE_C4+RATE_C4*($A1782-BOTT_C4),0),IF($A1782&gt;BOTT_C3,ROUND(BASE_C3+RATE_C3*($A1782-BOTT_C3),0),IF($A1782&gt;BOTT_C2,ROUND(BASE_C2+RATE_C2*($A1782-BOTT_C2),0),ROUND(RATE_C1*$A1782,0))))</f>
        <v/>
      </c>
      <c r="G1782" s="556">
        <f>IF($A1782&gt;BOTT_D4,ROUND(BASE_D4+RATE_D4*($A1782-BOTT_D4),0),IF($A1782&gt;BOTT_D3,ROUND(BASE_D3+RATE_D3*($A1782-BOTT_D3),0),IF($A1782&gt;BOTT_D2,ROUND(BASE_D2+RATE_D2*($A1782-BOTT_D2),0),ROUND(RATE_D1*$A1782,0))))</f>
        <v/>
      </c>
    </row>
    <row r="1783" ht="15.75" customHeight="1" s="7635">
      <c r="A1783" s="625">
        <f>AVERAGE(B1783,C1783)</f>
        <v/>
      </c>
      <c r="B1783" s="555" t="n">
        <v>85950</v>
      </c>
      <c r="C1783" s="555" t="n">
        <v>86000</v>
      </c>
      <c r="D1783" s="556">
        <f>IF($A1783&gt;BOTT_A4,ROUND(BASE_A4+RATE_A4*($A1783-BOTT_A4),0),IF($A1783&gt;BOTT_A3,ROUND(BASE_A3+RATE_A3*($A1783-BOTT_A3),0),IF($A1783&gt;BOTT_A2,ROUND(BASE_A2+RATE_A2*($A1783-BOTT_A2),0),ROUND(RATE_A1*$A1783,0))))</f>
        <v/>
      </c>
      <c r="E1783" s="556">
        <f>IF($A1783&gt;BOTT_B4,ROUND(BASE_B4+RATE_B4*($A1783-BOTT_B4),0),IF($A1783&gt;BOTT_B3,ROUND(BASE_B3+RATE_B3*($A1783-BOTT_B3),0),IF($A1783&gt;BOTT_B2,ROUND(BASE_B2+RATE_B2*($A1783-BOTT_B2),0),ROUND(RATE_B1*$A1783,0))))</f>
        <v/>
      </c>
      <c r="F1783" s="556">
        <f>IF($A1783&gt;BOTT_C4,ROUND(BASE_C4+RATE_C4*($A1783-BOTT_C4),0),IF($A1783&gt;BOTT_C3,ROUND(BASE_C3+RATE_C3*($A1783-BOTT_C3),0),IF($A1783&gt;BOTT_C2,ROUND(BASE_C2+RATE_C2*($A1783-BOTT_C2),0),ROUND(RATE_C1*$A1783,0))))</f>
        <v/>
      </c>
      <c r="G1783" s="556">
        <f>IF($A1783&gt;BOTT_D4,ROUND(BASE_D4+RATE_D4*($A1783-BOTT_D4),0),IF($A1783&gt;BOTT_D3,ROUND(BASE_D3+RATE_D3*($A1783-BOTT_D3),0),IF($A1783&gt;BOTT_D2,ROUND(BASE_D2+RATE_D2*($A1783-BOTT_D2),0),ROUND(RATE_D1*$A1783,0))))</f>
        <v/>
      </c>
    </row>
    <row r="1784" ht="15.75" customHeight="1" s="7635">
      <c r="A1784" s="625">
        <f>AVERAGE(B1784,C1784)</f>
        <v/>
      </c>
      <c r="B1784" s="555" t="n">
        <v>86000</v>
      </c>
      <c r="C1784" s="555" t="n">
        <v>86050</v>
      </c>
      <c r="D1784" s="556">
        <f>IF($A1784&gt;BOTT_A4,ROUND(BASE_A4+RATE_A4*($A1784-BOTT_A4),0),IF($A1784&gt;BOTT_A3,ROUND(BASE_A3+RATE_A3*($A1784-BOTT_A3),0),IF($A1784&gt;BOTT_A2,ROUND(BASE_A2+RATE_A2*($A1784-BOTT_A2),0),ROUND(RATE_A1*$A1784,0))))</f>
        <v/>
      </c>
      <c r="E1784" s="556">
        <f>IF($A1784&gt;BOTT_B4,ROUND(BASE_B4+RATE_B4*($A1784-BOTT_B4),0),IF($A1784&gt;BOTT_B3,ROUND(BASE_B3+RATE_B3*($A1784-BOTT_B3),0),IF($A1784&gt;BOTT_B2,ROUND(BASE_B2+RATE_B2*($A1784-BOTT_B2),0),ROUND(RATE_B1*$A1784,0))))</f>
        <v/>
      </c>
      <c r="F1784" s="556">
        <f>IF($A1784&gt;BOTT_C4,ROUND(BASE_C4+RATE_C4*($A1784-BOTT_C4),0),IF($A1784&gt;BOTT_C3,ROUND(BASE_C3+RATE_C3*($A1784-BOTT_C3),0),IF($A1784&gt;BOTT_C2,ROUND(BASE_C2+RATE_C2*($A1784-BOTT_C2),0),ROUND(RATE_C1*$A1784,0))))</f>
        <v/>
      </c>
      <c r="G1784" s="556">
        <f>IF($A1784&gt;BOTT_D4,ROUND(BASE_D4+RATE_D4*($A1784-BOTT_D4),0),IF($A1784&gt;BOTT_D3,ROUND(BASE_D3+RATE_D3*($A1784-BOTT_D3),0),IF($A1784&gt;BOTT_D2,ROUND(BASE_D2+RATE_D2*($A1784-BOTT_D2),0),ROUND(RATE_D1*$A1784,0))))</f>
        <v/>
      </c>
    </row>
    <row r="1785" ht="15.75" customHeight="1" s="7635">
      <c r="A1785" s="625">
        <f>AVERAGE(B1785,C1785)</f>
        <v/>
      </c>
      <c r="B1785" s="555" t="n">
        <v>86050</v>
      </c>
      <c r="C1785" s="555" t="n">
        <v>86100</v>
      </c>
      <c r="D1785" s="556">
        <f>IF($A1785&gt;BOTT_A4,ROUND(BASE_A4+RATE_A4*($A1785-BOTT_A4),0),IF($A1785&gt;BOTT_A3,ROUND(BASE_A3+RATE_A3*($A1785-BOTT_A3),0),IF($A1785&gt;BOTT_A2,ROUND(BASE_A2+RATE_A2*($A1785-BOTT_A2),0),ROUND(RATE_A1*$A1785,0))))</f>
        <v/>
      </c>
      <c r="E1785" s="556">
        <f>IF($A1785&gt;BOTT_B4,ROUND(BASE_B4+RATE_B4*($A1785-BOTT_B4),0),IF($A1785&gt;BOTT_B3,ROUND(BASE_B3+RATE_B3*($A1785-BOTT_B3),0),IF($A1785&gt;BOTT_B2,ROUND(BASE_B2+RATE_B2*($A1785-BOTT_B2),0),ROUND(RATE_B1*$A1785,0))))</f>
        <v/>
      </c>
      <c r="F1785" s="556">
        <f>IF($A1785&gt;BOTT_C4,ROUND(BASE_C4+RATE_C4*($A1785-BOTT_C4),0),IF($A1785&gt;BOTT_C3,ROUND(BASE_C3+RATE_C3*($A1785-BOTT_C3),0),IF($A1785&gt;BOTT_C2,ROUND(BASE_C2+RATE_C2*($A1785-BOTT_C2),0),ROUND(RATE_C1*$A1785,0))))</f>
        <v/>
      </c>
      <c r="G1785" s="556">
        <f>IF($A1785&gt;BOTT_D4,ROUND(BASE_D4+RATE_D4*($A1785-BOTT_D4),0),IF($A1785&gt;BOTT_D3,ROUND(BASE_D3+RATE_D3*($A1785-BOTT_D3),0),IF($A1785&gt;BOTT_D2,ROUND(BASE_D2+RATE_D2*($A1785-BOTT_D2),0),ROUND(RATE_D1*$A1785,0))))</f>
        <v/>
      </c>
    </row>
    <row r="1786" ht="15.75" customHeight="1" s="7635">
      <c r="A1786" s="625">
        <f>AVERAGE(B1786,C1786)</f>
        <v/>
      </c>
      <c r="B1786" s="555" t="n">
        <v>86100</v>
      </c>
      <c r="C1786" s="555" t="n">
        <v>86150</v>
      </c>
      <c r="D1786" s="556">
        <f>IF($A1786&gt;BOTT_A4,ROUND(BASE_A4+RATE_A4*($A1786-BOTT_A4),0),IF($A1786&gt;BOTT_A3,ROUND(BASE_A3+RATE_A3*($A1786-BOTT_A3),0),IF($A1786&gt;BOTT_A2,ROUND(BASE_A2+RATE_A2*($A1786-BOTT_A2),0),ROUND(RATE_A1*$A1786,0))))</f>
        <v/>
      </c>
      <c r="E1786" s="556">
        <f>IF($A1786&gt;BOTT_B4,ROUND(BASE_B4+RATE_B4*($A1786-BOTT_B4),0),IF($A1786&gt;BOTT_B3,ROUND(BASE_B3+RATE_B3*($A1786-BOTT_B3),0),IF($A1786&gt;BOTT_B2,ROUND(BASE_B2+RATE_B2*($A1786-BOTT_B2),0),ROUND(RATE_B1*$A1786,0))))</f>
        <v/>
      </c>
      <c r="F1786" s="556">
        <f>IF($A1786&gt;BOTT_C4,ROUND(BASE_C4+RATE_C4*($A1786-BOTT_C4),0),IF($A1786&gt;BOTT_C3,ROUND(BASE_C3+RATE_C3*($A1786-BOTT_C3),0),IF($A1786&gt;BOTT_C2,ROUND(BASE_C2+RATE_C2*($A1786-BOTT_C2),0),ROUND(RATE_C1*$A1786,0))))</f>
        <v/>
      </c>
      <c r="G1786" s="556">
        <f>IF($A1786&gt;BOTT_D4,ROUND(BASE_D4+RATE_D4*($A1786-BOTT_D4),0),IF($A1786&gt;BOTT_D3,ROUND(BASE_D3+RATE_D3*($A1786-BOTT_D3),0),IF($A1786&gt;BOTT_D2,ROUND(BASE_D2+RATE_D2*($A1786-BOTT_D2),0),ROUND(RATE_D1*$A1786,0))))</f>
        <v/>
      </c>
    </row>
    <row r="1787" ht="15.75" customHeight="1" s="7635">
      <c r="A1787" s="625">
        <f>AVERAGE(B1787,C1787)</f>
        <v/>
      </c>
      <c r="B1787" s="555" t="n">
        <v>86150</v>
      </c>
      <c r="C1787" s="555" t="n">
        <v>86200</v>
      </c>
      <c r="D1787" s="556">
        <f>IF($A1787&gt;BOTT_A4,ROUND(BASE_A4+RATE_A4*($A1787-BOTT_A4),0),IF($A1787&gt;BOTT_A3,ROUND(BASE_A3+RATE_A3*($A1787-BOTT_A3),0),IF($A1787&gt;BOTT_A2,ROUND(BASE_A2+RATE_A2*($A1787-BOTT_A2),0),ROUND(RATE_A1*$A1787,0))))</f>
        <v/>
      </c>
      <c r="E1787" s="556">
        <f>IF($A1787&gt;BOTT_B4,ROUND(BASE_B4+RATE_B4*($A1787-BOTT_B4),0),IF($A1787&gt;BOTT_B3,ROUND(BASE_B3+RATE_B3*($A1787-BOTT_B3),0),IF($A1787&gt;BOTT_B2,ROUND(BASE_B2+RATE_B2*($A1787-BOTT_B2),0),ROUND(RATE_B1*$A1787,0))))</f>
        <v/>
      </c>
      <c r="F1787" s="556">
        <f>IF($A1787&gt;BOTT_C4,ROUND(BASE_C4+RATE_C4*($A1787-BOTT_C4),0),IF($A1787&gt;BOTT_C3,ROUND(BASE_C3+RATE_C3*($A1787-BOTT_C3),0),IF($A1787&gt;BOTT_C2,ROUND(BASE_C2+RATE_C2*($A1787-BOTT_C2),0),ROUND(RATE_C1*$A1787,0))))</f>
        <v/>
      </c>
      <c r="G1787" s="556">
        <f>IF($A1787&gt;BOTT_D4,ROUND(BASE_D4+RATE_D4*($A1787-BOTT_D4),0),IF($A1787&gt;BOTT_D3,ROUND(BASE_D3+RATE_D3*($A1787-BOTT_D3),0),IF($A1787&gt;BOTT_D2,ROUND(BASE_D2+RATE_D2*($A1787-BOTT_D2),0),ROUND(RATE_D1*$A1787,0))))</f>
        <v/>
      </c>
    </row>
    <row r="1788" ht="15.75" customHeight="1" s="7635">
      <c r="A1788" s="625">
        <f>AVERAGE(B1788,C1788)</f>
        <v/>
      </c>
      <c r="B1788" s="555" t="n">
        <v>86200</v>
      </c>
      <c r="C1788" s="555" t="n">
        <v>86250</v>
      </c>
      <c r="D1788" s="556">
        <f>IF($A1788&gt;BOTT_A4,ROUND(BASE_A4+RATE_A4*($A1788-BOTT_A4),0),IF($A1788&gt;BOTT_A3,ROUND(BASE_A3+RATE_A3*($A1788-BOTT_A3),0),IF($A1788&gt;BOTT_A2,ROUND(BASE_A2+RATE_A2*($A1788-BOTT_A2),0),ROUND(RATE_A1*$A1788,0))))</f>
        <v/>
      </c>
      <c r="E1788" s="556">
        <f>IF($A1788&gt;BOTT_B4,ROUND(BASE_B4+RATE_B4*($A1788-BOTT_B4),0),IF($A1788&gt;BOTT_B3,ROUND(BASE_B3+RATE_B3*($A1788-BOTT_B3),0),IF($A1788&gt;BOTT_B2,ROUND(BASE_B2+RATE_B2*($A1788-BOTT_B2),0),ROUND(RATE_B1*$A1788,0))))</f>
        <v/>
      </c>
      <c r="F1788" s="556">
        <f>IF($A1788&gt;BOTT_C4,ROUND(BASE_C4+RATE_C4*($A1788-BOTT_C4),0),IF($A1788&gt;BOTT_C3,ROUND(BASE_C3+RATE_C3*($A1788-BOTT_C3),0),IF($A1788&gt;BOTT_C2,ROUND(BASE_C2+RATE_C2*($A1788-BOTT_C2),0),ROUND(RATE_C1*$A1788,0))))</f>
        <v/>
      </c>
      <c r="G1788" s="556">
        <f>IF($A1788&gt;BOTT_D4,ROUND(BASE_D4+RATE_D4*($A1788-BOTT_D4),0),IF($A1788&gt;BOTT_D3,ROUND(BASE_D3+RATE_D3*($A1788-BOTT_D3),0),IF($A1788&gt;BOTT_D2,ROUND(BASE_D2+RATE_D2*($A1788-BOTT_D2),0),ROUND(RATE_D1*$A1788,0))))</f>
        <v/>
      </c>
    </row>
    <row r="1789" ht="15.75" customHeight="1" s="7635">
      <c r="A1789" s="625">
        <f>AVERAGE(B1789,C1789)</f>
        <v/>
      </c>
      <c r="B1789" s="555" t="n">
        <v>86250</v>
      </c>
      <c r="C1789" s="555" t="n">
        <v>86300</v>
      </c>
      <c r="D1789" s="556">
        <f>IF($A1789&gt;BOTT_A4,ROUND(BASE_A4+RATE_A4*($A1789-BOTT_A4),0),IF($A1789&gt;BOTT_A3,ROUND(BASE_A3+RATE_A3*($A1789-BOTT_A3),0),IF($A1789&gt;BOTT_A2,ROUND(BASE_A2+RATE_A2*($A1789-BOTT_A2),0),ROUND(RATE_A1*$A1789,0))))</f>
        <v/>
      </c>
      <c r="E1789" s="556">
        <f>IF($A1789&gt;BOTT_B4,ROUND(BASE_B4+RATE_B4*($A1789-BOTT_B4),0),IF($A1789&gt;BOTT_B3,ROUND(BASE_B3+RATE_B3*($A1789-BOTT_B3),0),IF($A1789&gt;BOTT_B2,ROUND(BASE_B2+RATE_B2*($A1789-BOTT_B2),0),ROUND(RATE_B1*$A1789,0))))</f>
        <v/>
      </c>
      <c r="F1789" s="556">
        <f>IF($A1789&gt;BOTT_C4,ROUND(BASE_C4+RATE_C4*($A1789-BOTT_C4),0),IF($A1789&gt;BOTT_C3,ROUND(BASE_C3+RATE_C3*($A1789-BOTT_C3),0),IF($A1789&gt;BOTT_C2,ROUND(BASE_C2+RATE_C2*($A1789-BOTT_C2),0),ROUND(RATE_C1*$A1789,0))))</f>
        <v/>
      </c>
      <c r="G1789" s="556">
        <f>IF($A1789&gt;BOTT_D4,ROUND(BASE_D4+RATE_D4*($A1789-BOTT_D4),0),IF($A1789&gt;BOTT_D3,ROUND(BASE_D3+RATE_D3*($A1789-BOTT_D3),0),IF($A1789&gt;BOTT_D2,ROUND(BASE_D2+RATE_D2*($A1789-BOTT_D2),0),ROUND(RATE_D1*$A1789,0))))</f>
        <v/>
      </c>
    </row>
    <row r="1790" ht="15.75" customHeight="1" s="7635">
      <c r="A1790" s="625">
        <f>AVERAGE(B1790,C1790)</f>
        <v/>
      </c>
      <c r="B1790" s="555" t="n">
        <v>86300</v>
      </c>
      <c r="C1790" s="555" t="n">
        <v>86350</v>
      </c>
      <c r="D1790" s="556">
        <f>IF($A1790&gt;BOTT_A4,ROUND(BASE_A4+RATE_A4*($A1790-BOTT_A4),0),IF($A1790&gt;BOTT_A3,ROUND(BASE_A3+RATE_A3*($A1790-BOTT_A3),0),IF($A1790&gt;BOTT_A2,ROUND(BASE_A2+RATE_A2*($A1790-BOTT_A2),0),ROUND(RATE_A1*$A1790,0))))</f>
        <v/>
      </c>
      <c r="E1790" s="556">
        <f>IF($A1790&gt;BOTT_B4,ROUND(BASE_B4+RATE_B4*($A1790-BOTT_B4),0),IF($A1790&gt;BOTT_B3,ROUND(BASE_B3+RATE_B3*($A1790-BOTT_B3),0),IF($A1790&gt;BOTT_B2,ROUND(BASE_B2+RATE_B2*($A1790-BOTT_B2),0),ROUND(RATE_B1*$A1790,0))))</f>
        <v/>
      </c>
      <c r="F1790" s="556">
        <f>IF($A1790&gt;BOTT_C4,ROUND(BASE_C4+RATE_C4*($A1790-BOTT_C4),0),IF($A1790&gt;BOTT_C3,ROUND(BASE_C3+RATE_C3*($A1790-BOTT_C3),0),IF($A1790&gt;BOTT_C2,ROUND(BASE_C2+RATE_C2*($A1790-BOTT_C2),0),ROUND(RATE_C1*$A1790,0))))</f>
        <v/>
      </c>
      <c r="G1790" s="556">
        <f>IF($A1790&gt;BOTT_D4,ROUND(BASE_D4+RATE_D4*($A1790-BOTT_D4),0),IF($A1790&gt;BOTT_D3,ROUND(BASE_D3+RATE_D3*($A1790-BOTT_D3),0),IF($A1790&gt;BOTT_D2,ROUND(BASE_D2+RATE_D2*($A1790-BOTT_D2),0),ROUND(RATE_D1*$A1790,0))))</f>
        <v/>
      </c>
    </row>
    <row r="1791" ht="15.75" customHeight="1" s="7635">
      <c r="A1791" s="625">
        <f>AVERAGE(B1791,C1791)</f>
        <v/>
      </c>
      <c r="B1791" s="555" t="n">
        <v>86350</v>
      </c>
      <c r="C1791" s="555" t="n">
        <v>86400</v>
      </c>
      <c r="D1791" s="556">
        <f>IF($A1791&gt;BOTT_A4,ROUND(BASE_A4+RATE_A4*($A1791-BOTT_A4),0),IF($A1791&gt;BOTT_A3,ROUND(BASE_A3+RATE_A3*($A1791-BOTT_A3),0),IF($A1791&gt;BOTT_A2,ROUND(BASE_A2+RATE_A2*($A1791-BOTT_A2),0),ROUND(RATE_A1*$A1791,0))))</f>
        <v/>
      </c>
      <c r="E1791" s="556">
        <f>IF($A1791&gt;BOTT_B4,ROUND(BASE_B4+RATE_B4*($A1791-BOTT_B4),0),IF($A1791&gt;BOTT_B3,ROUND(BASE_B3+RATE_B3*($A1791-BOTT_B3),0),IF($A1791&gt;BOTT_B2,ROUND(BASE_B2+RATE_B2*($A1791-BOTT_B2),0),ROUND(RATE_B1*$A1791,0))))</f>
        <v/>
      </c>
      <c r="F1791" s="556">
        <f>IF($A1791&gt;BOTT_C4,ROUND(BASE_C4+RATE_C4*($A1791-BOTT_C4),0),IF($A1791&gt;BOTT_C3,ROUND(BASE_C3+RATE_C3*($A1791-BOTT_C3),0),IF($A1791&gt;BOTT_C2,ROUND(BASE_C2+RATE_C2*($A1791-BOTT_C2),0),ROUND(RATE_C1*$A1791,0))))</f>
        <v/>
      </c>
      <c r="G1791" s="556">
        <f>IF($A1791&gt;BOTT_D4,ROUND(BASE_D4+RATE_D4*($A1791-BOTT_D4),0),IF($A1791&gt;BOTT_D3,ROUND(BASE_D3+RATE_D3*($A1791-BOTT_D3),0),IF($A1791&gt;BOTT_D2,ROUND(BASE_D2+RATE_D2*($A1791-BOTT_D2),0),ROUND(RATE_D1*$A1791,0))))</f>
        <v/>
      </c>
    </row>
    <row r="1792" ht="15.75" customHeight="1" s="7635">
      <c r="A1792" s="625">
        <f>AVERAGE(B1792,C1792)</f>
        <v/>
      </c>
      <c r="B1792" s="555" t="n">
        <v>86400</v>
      </c>
      <c r="C1792" s="555" t="n">
        <v>86450</v>
      </c>
      <c r="D1792" s="556">
        <f>IF($A1792&gt;BOTT_A4,ROUND(BASE_A4+RATE_A4*($A1792-BOTT_A4),0),IF($A1792&gt;BOTT_A3,ROUND(BASE_A3+RATE_A3*($A1792-BOTT_A3),0),IF($A1792&gt;BOTT_A2,ROUND(BASE_A2+RATE_A2*($A1792-BOTT_A2),0),ROUND(RATE_A1*$A1792,0))))</f>
        <v/>
      </c>
      <c r="E1792" s="556">
        <f>IF($A1792&gt;BOTT_B4,ROUND(BASE_B4+RATE_B4*($A1792-BOTT_B4),0),IF($A1792&gt;BOTT_B3,ROUND(BASE_B3+RATE_B3*($A1792-BOTT_B3),0),IF($A1792&gt;BOTT_B2,ROUND(BASE_B2+RATE_B2*($A1792-BOTT_B2),0),ROUND(RATE_B1*$A1792,0))))</f>
        <v/>
      </c>
      <c r="F1792" s="556">
        <f>IF($A1792&gt;BOTT_C4,ROUND(BASE_C4+RATE_C4*($A1792-BOTT_C4),0),IF($A1792&gt;BOTT_C3,ROUND(BASE_C3+RATE_C3*($A1792-BOTT_C3),0),IF($A1792&gt;BOTT_C2,ROUND(BASE_C2+RATE_C2*($A1792-BOTT_C2),0),ROUND(RATE_C1*$A1792,0))))</f>
        <v/>
      </c>
      <c r="G1792" s="556">
        <f>IF($A1792&gt;BOTT_D4,ROUND(BASE_D4+RATE_D4*($A1792-BOTT_D4),0),IF($A1792&gt;BOTT_D3,ROUND(BASE_D3+RATE_D3*($A1792-BOTT_D3),0),IF($A1792&gt;BOTT_D2,ROUND(BASE_D2+RATE_D2*($A1792-BOTT_D2),0),ROUND(RATE_D1*$A1792,0))))</f>
        <v/>
      </c>
    </row>
    <row r="1793" ht="15.75" customHeight="1" s="7635">
      <c r="A1793" s="625">
        <f>AVERAGE(B1793,C1793)</f>
        <v/>
      </c>
      <c r="B1793" s="555" t="n">
        <v>86450</v>
      </c>
      <c r="C1793" s="555" t="n">
        <v>86500</v>
      </c>
      <c r="D1793" s="556">
        <f>IF($A1793&gt;BOTT_A4,ROUND(BASE_A4+RATE_A4*($A1793-BOTT_A4),0),IF($A1793&gt;BOTT_A3,ROUND(BASE_A3+RATE_A3*($A1793-BOTT_A3),0),IF($A1793&gt;BOTT_A2,ROUND(BASE_A2+RATE_A2*($A1793-BOTT_A2),0),ROUND(RATE_A1*$A1793,0))))</f>
        <v/>
      </c>
      <c r="E1793" s="556">
        <f>IF($A1793&gt;BOTT_B4,ROUND(BASE_B4+RATE_B4*($A1793-BOTT_B4),0),IF($A1793&gt;BOTT_B3,ROUND(BASE_B3+RATE_B3*($A1793-BOTT_B3),0),IF($A1793&gt;BOTT_B2,ROUND(BASE_B2+RATE_B2*($A1793-BOTT_B2),0),ROUND(RATE_B1*$A1793,0))))</f>
        <v/>
      </c>
      <c r="F1793" s="556">
        <f>IF($A1793&gt;BOTT_C4,ROUND(BASE_C4+RATE_C4*($A1793-BOTT_C4),0),IF($A1793&gt;BOTT_C3,ROUND(BASE_C3+RATE_C3*($A1793-BOTT_C3),0),IF($A1793&gt;BOTT_C2,ROUND(BASE_C2+RATE_C2*($A1793-BOTT_C2),0),ROUND(RATE_C1*$A1793,0))))</f>
        <v/>
      </c>
      <c r="G1793" s="556">
        <f>IF($A1793&gt;BOTT_D4,ROUND(BASE_D4+RATE_D4*($A1793-BOTT_D4),0),IF($A1793&gt;BOTT_D3,ROUND(BASE_D3+RATE_D3*($A1793-BOTT_D3),0),IF($A1793&gt;BOTT_D2,ROUND(BASE_D2+RATE_D2*($A1793-BOTT_D2),0),ROUND(RATE_D1*$A1793,0))))</f>
        <v/>
      </c>
    </row>
    <row r="1794" ht="15.75" customHeight="1" s="7635">
      <c r="A1794" s="625">
        <f>AVERAGE(B1794,C1794)</f>
        <v/>
      </c>
      <c r="B1794" s="555" t="n">
        <v>86500</v>
      </c>
      <c r="C1794" s="555" t="n">
        <v>86550</v>
      </c>
      <c r="D1794" s="556">
        <f>IF($A1794&gt;BOTT_A4,ROUND(BASE_A4+RATE_A4*($A1794-BOTT_A4),0),IF($A1794&gt;BOTT_A3,ROUND(BASE_A3+RATE_A3*($A1794-BOTT_A3),0),IF($A1794&gt;BOTT_A2,ROUND(BASE_A2+RATE_A2*($A1794-BOTT_A2),0),ROUND(RATE_A1*$A1794,0))))</f>
        <v/>
      </c>
      <c r="E1794" s="556">
        <f>IF($A1794&gt;BOTT_B4,ROUND(BASE_B4+RATE_B4*($A1794-BOTT_B4),0),IF($A1794&gt;BOTT_B3,ROUND(BASE_B3+RATE_B3*($A1794-BOTT_B3),0),IF($A1794&gt;BOTT_B2,ROUND(BASE_B2+RATE_B2*($A1794-BOTT_B2),0),ROUND(RATE_B1*$A1794,0))))</f>
        <v/>
      </c>
      <c r="F1794" s="556">
        <f>IF($A1794&gt;BOTT_C4,ROUND(BASE_C4+RATE_C4*($A1794-BOTT_C4),0),IF($A1794&gt;BOTT_C3,ROUND(BASE_C3+RATE_C3*($A1794-BOTT_C3),0),IF($A1794&gt;BOTT_C2,ROUND(BASE_C2+RATE_C2*($A1794-BOTT_C2),0),ROUND(RATE_C1*$A1794,0))))</f>
        <v/>
      </c>
      <c r="G1794" s="556">
        <f>IF($A1794&gt;BOTT_D4,ROUND(BASE_D4+RATE_D4*($A1794-BOTT_D4),0),IF($A1794&gt;BOTT_D3,ROUND(BASE_D3+RATE_D3*($A1794-BOTT_D3),0),IF($A1794&gt;BOTT_D2,ROUND(BASE_D2+RATE_D2*($A1794-BOTT_D2),0),ROUND(RATE_D1*$A1794,0))))</f>
        <v/>
      </c>
    </row>
    <row r="1795" ht="15.75" customHeight="1" s="7635">
      <c r="A1795" s="625">
        <f>AVERAGE(B1795,C1795)</f>
        <v/>
      </c>
      <c r="B1795" s="555" t="n">
        <v>86550</v>
      </c>
      <c r="C1795" s="555" t="n">
        <v>86600</v>
      </c>
      <c r="D1795" s="556">
        <f>IF($A1795&gt;BOTT_A4,ROUND(BASE_A4+RATE_A4*($A1795-BOTT_A4),0),IF($A1795&gt;BOTT_A3,ROUND(BASE_A3+RATE_A3*($A1795-BOTT_A3),0),IF($A1795&gt;BOTT_A2,ROUND(BASE_A2+RATE_A2*($A1795-BOTT_A2),0),ROUND(RATE_A1*$A1795,0))))</f>
        <v/>
      </c>
      <c r="E1795" s="556">
        <f>IF($A1795&gt;BOTT_B4,ROUND(BASE_B4+RATE_B4*($A1795-BOTT_B4),0),IF($A1795&gt;BOTT_B3,ROUND(BASE_B3+RATE_B3*($A1795-BOTT_B3),0),IF($A1795&gt;BOTT_B2,ROUND(BASE_B2+RATE_B2*($A1795-BOTT_B2),0),ROUND(RATE_B1*$A1795,0))))</f>
        <v/>
      </c>
      <c r="F1795" s="556">
        <f>IF($A1795&gt;BOTT_C4,ROUND(BASE_C4+RATE_C4*($A1795-BOTT_C4),0),IF($A1795&gt;BOTT_C3,ROUND(BASE_C3+RATE_C3*($A1795-BOTT_C3),0),IF($A1795&gt;BOTT_C2,ROUND(BASE_C2+RATE_C2*($A1795-BOTT_C2),0),ROUND(RATE_C1*$A1795,0))))</f>
        <v/>
      </c>
      <c r="G1795" s="556">
        <f>IF($A1795&gt;BOTT_D4,ROUND(BASE_D4+RATE_D4*($A1795-BOTT_D4),0),IF($A1795&gt;BOTT_D3,ROUND(BASE_D3+RATE_D3*($A1795-BOTT_D3),0),IF($A1795&gt;BOTT_D2,ROUND(BASE_D2+RATE_D2*($A1795-BOTT_D2),0),ROUND(RATE_D1*$A1795,0))))</f>
        <v/>
      </c>
    </row>
    <row r="1796" ht="15.75" customHeight="1" s="7635">
      <c r="A1796" s="625">
        <f>AVERAGE(B1796,C1796)</f>
        <v/>
      </c>
      <c r="B1796" s="555" t="n">
        <v>86600</v>
      </c>
      <c r="C1796" s="555" t="n">
        <v>86650</v>
      </c>
      <c r="D1796" s="556">
        <f>IF($A1796&gt;BOTT_A4,ROUND(BASE_A4+RATE_A4*($A1796-BOTT_A4),0),IF($A1796&gt;BOTT_A3,ROUND(BASE_A3+RATE_A3*($A1796-BOTT_A3),0),IF($A1796&gt;BOTT_A2,ROUND(BASE_A2+RATE_A2*($A1796-BOTT_A2),0),ROUND(RATE_A1*$A1796,0))))</f>
        <v/>
      </c>
      <c r="E1796" s="556">
        <f>IF($A1796&gt;BOTT_B4,ROUND(BASE_B4+RATE_B4*($A1796-BOTT_B4),0),IF($A1796&gt;BOTT_B3,ROUND(BASE_B3+RATE_B3*($A1796-BOTT_B3),0),IF($A1796&gt;BOTT_B2,ROUND(BASE_B2+RATE_B2*($A1796-BOTT_B2),0),ROUND(RATE_B1*$A1796,0))))</f>
        <v/>
      </c>
      <c r="F1796" s="556">
        <f>IF($A1796&gt;BOTT_C4,ROUND(BASE_C4+RATE_C4*($A1796-BOTT_C4),0),IF($A1796&gt;BOTT_C3,ROUND(BASE_C3+RATE_C3*($A1796-BOTT_C3),0),IF($A1796&gt;BOTT_C2,ROUND(BASE_C2+RATE_C2*($A1796-BOTT_C2),0),ROUND(RATE_C1*$A1796,0))))</f>
        <v/>
      </c>
      <c r="G1796" s="556">
        <f>IF($A1796&gt;BOTT_D4,ROUND(BASE_D4+RATE_D4*($A1796-BOTT_D4),0),IF($A1796&gt;BOTT_D3,ROUND(BASE_D3+RATE_D3*($A1796-BOTT_D3),0),IF($A1796&gt;BOTT_D2,ROUND(BASE_D2+RATE_D2*($A1796-BOTT_D2),0),ROUND(RATE_D1*$A1796,0))))</f>
        <v/>
      </c>
    </row>
    <row r="1797" ht="15.75" customHeight="1" s="7635">
      <c r="A1797" s="625">
        <f>AVERAGE(B1797,C1797)</f>
        <v/>
      </c>
      <c r="B1797" s="555" t="n">
        <v>86650</v>
      </c>
      <c r="C1797" s="555" t="n">
        <v>86700</v>
      </c>
      <c r="D1797" s="556">
        <f>IF($A1797&gt;BOTT_A4,ROUND(BASE_A4+RATE_A4*($A1797-BOTT_A4),0),IF($A1797&gt;BOTT_A3,ROUND(BASE_A3+RATE_A3*($A1797-BOTT_A3),0),IF($A1797&gt;BOTT_A2,ROUND(BASE_A2+RATE_A2*($A1797-BOTT_A2),0),ROUND(RATE_A1*$A1797,0))))</f>
        <v/>
      </c>
      <c r="E1797" s="556">
        <f>IF($A1797&gt;BOTT_B4,ROUND(BASE_B4+RATE_B4*($A1797-BOTT_B4),0),IF($A1797&gt;BOTT_B3,ROUND(BASE_B3+RATE_B3*($A1797-BOTT_B3),0),IF($A1797&gt;BOTT_B2,ROUND(BASE_B2+RATE_B2*($A1797-BOTT_B2),0),ROUND(RATE_B1*$A1797,0))))</f>
        <v/>
      </c>
      <c r="F1797" s="556">
        <f>IF($A1797&gt;BOTT_C4,ROUND(BASE_C4+RATE_C4*($A1797-BOTT_C4),0),IF($A1797&gt;BOTT_C3,ROUND(BASE_C3+RATE_C3*($A1797-BOTT_C3),0),IF($A1797&gt;BOTT_C2,ROUND(BASE_C2+RATE_C2*($A1797-BOTT_C2),0),ROUND(RATE_C1*$A1797,0))))</f>
        <v/>
      </c>
      <c r="G1797" s="556">
        <f>IF($A1797&gt;BOTT_D4,ROUND(BASE_D4+RATE_D4*($A1797-BOTT_D4),0),IF($A1797&gt;BOTT_D3,ROUND(BASE_D3+RATE_D3*($A1797-BOTT_D3),0),IF($A1797&gt;BOTT_D2,ROUND(BASE_D2+RATE_D2*($A1797-BOTT_D2),0),ROUND(RATE_D1*$A1797,0))))</f>
        <v/>
      </c>
    </row>
    <row r="1798" ht="15.75" customHeight="1" s="7635">
      <c r="A1798" s="625">
        <f>AVERAGE(B1798,C1798)</f>
        <v/>
      </c>
      <c r="B1798" s="555" t="n">
        <v>86700</v>
      </c>
      <c r="C1798" s="555" t="n">
        <v>86750</v>
      </c>
      <c r="D1798" s="556">
        <f>IF($A1798&gt;BOTT_A4,ROUND(BASE_A4+RATE_A4*($A1798-BOTT_A4),0),IF($A1798&gt;BOTT_A3,ROUND(BASE_A3+RATE_A3*($A1798-BOTT_A3),0),IF($A1798&gt;BOTT_A2,ROUND(BASE_A2+RATE_A2*($A1798-BOTT_A2),0),ROUND(RATE_A1*$A1798,0))))</f>
        <v/>
      </c>
      <c r="E1798" s="556">
        <f>IF($A1798&gt;BOTT_B4,ROUND(BASE_B4+RATE_B4*($A1798-BOTT_B4),0),IF($A1798&gt;BOTT_B3,ROUND(BASE_B3+RATE_B3*($A1798-BOTT_B3),0),IF($A1798&gt;BOTT_B2,ROUND(BASE_B2+RATE_B2*($A1798-BOTT_B2),0),ROUND(RATE_B1*$A1798,0))))</f>
        <v/>
      </c>
      <c r="F1798" s="556">
        <f>IF($A1798&gt;BOTT_C4,ROUND(BASE_C4+RATE_C4*($A1798-BOTT_C4),0),IF($A1798&gt;BOTT_C3,ROUND(BASE_C3+RATE_C3*($A1798-BOTT_C3),0),IF($A1798&gt;BOTT_C2,ROUND(BASE_C2+RATE_C2*($A1798-BOTT_C2),0),ROUND(RATE_C1*$A1798,0))))</f>
        <v/>
      </c>
      <c r="G1798" s="556">
        <f>IF($A1798&gt;BOTT_D4,ROUND(BASE_D4+RATE_D4*($A1798-BOTT_D4),0),IF($A1798&gt;BOTT_D3,ROUND(BASE_D3+RATE_D3*($A1798-BOTT_D3),0),IF($A1798&gt;BOTT_D2,ROUND(BASE_D2+RATE_D2*($A1798-BOTT_D2),0),ROUND(RATE_D1*$A1798,0))))</f>
        <v/>
      </c>
    </row>
    <row r="1799" ht="15.75" customHeight="1" s="7635">
      <c r="A1799" s="625">
        <f>AVERAGE(B1799,C1799)</f>
        <v/>
      </c>
      <c r="B1799" s="555" t="n">
        <v>86750</v>
      </c>
      <c r="C1799" s="555" t="n">
        <v>86800</v>
      </c>
      <c r="D1799" s="556">
        <f>IF($A1799&gt;BOTT_A4,ROUND(BASE_A4+RATE_A4*($A1799-BOTT_A4),0),IF($A1799&gt;BOTT_A3,ROUND(BASE_A3+RATE_A3*($A1799-BOTT_A3),0),IF($A1799&gt;BOTT_A2,ROUND(BASE_A2+RATE_A2*($A1799-BOTT_A2),0),ROUND(RATE_A1*$A1799,0))))</f>
        <v/>
      </c>
      <c r="E1799" s="556">
        <f>IF($A1799&gt;BOTT_B4,ROUND(BASE_B4+RATE_B4*($A1799-BOTT_B4),0),IF($A1799&gt;BOTT_B3,ROUND(BASE_B3+RATE_B3*($A1799-BOTT_B3),0),IF($A1799&gt;BOTT_B2,ROUND(BASE_B2+RATE_B2*($A1799-BOTT_B2),0),ROUND(RATE_B1*$A1799,0))))</f>
        <v/>
      </c>
      <c r="F1799" s="556">
        <f>IF($A1799&gt;BOTT_C4,ROUND(BASE_C4+RATE_C4*($A1799-BOTT_C4),0),IF($A1799&gt;BOTT_C3,ROUND(BASE_C3+RATE_C3*($A1799-BOTT_C3),0),IF($A1799&gt;BOTT_C2,ROUND(BASE_C2+RATE_C2*($A1799-BOTT_C2),0),ROUND(RATE_C1*$A1799,0))))</f>
        <v/>
      </c>
      <c r="G1799" s="556">
        <f>IF($A1799&gt;BOTT_D4,ROUND(BASE_D4+RATE_D4*($A1799-BOTT_D4),0),IF($A1799&gt;BOTT_D3,ROUND(BASE_D3+RATE_D3*($A1799-BOTT_D3),0),IF($A1799&gt;BOTT_D2,ROUND(BASE_D2+RATE_D2*($A1799-BOTT_D2),0),ROUND(RATE_D1*$A1799,0))))</f>
        <v/>
      </c>
    </row>
    <row r="1800" ht="15.75" customHeight="1" s="7635">
      <c r="A1800" s="625">
        <f>AVERAGE(B1800,C1800)</f>
        <v/>
      </c>
      <c r="B1800" s="555" t="n">
        <v>86800</v>
      </c>
      <c r="C1800" s="555" t="n">
        <v>86850</v>
      </c>
      <c r="D1800" s="556">
        <f>IF($A1800&gt;BOTT_A4,ROUND(BASE_A4+RATE_A4*($A1800-BOTT_A4),0),IF($A1800&gt;BOTT_A3,ROUND(BASE_A3+RATE_A3*($A1800-BOTT_A3),0),IF($A1800&gt;BOTT_A2,ROUND(BASE_A2+RATE_A2*($A1800-BOTT_A2),0),ROUND(RATE_A1*$A1800,0))))</f>
        <v/>
      </c>
      <c r="E1800" s="556">
        <f>IF($A1800&gt;BOTT_B4,ROUND(BASE_B4+RATE_B4*($A1800-BOTT_B4),0),IF($A1800&gt;BOTT_B3,ROUND(BASE_B3+RATE_B3*($A1800-BOTT_B3),0),IF($A1800&gt;BOTT_B2,ROUND(BASE_B2+RATE_B2*($A1800-BOTT_B2),0),ROUND(RATE_B1*$A1800,0))))</f>
        <v/>
      </c>
      <c r="F1800" s="556">
        <f>IF($A1800&gt;BOTT_C4,ROUND(BASE_C4+RATE_C4*($A1800-BOTT_C4),0),IF($A1800&gt;BOTT_C3,ROUND(BASE_C3+RATE_C3*($A1800-BOTT_C3),0),IF($A1800&gt;BOTT_C2,ROUND(BASE_C2+RATE_C2*($A1800-BOTT_C2),0),ROUND(RATE_C1*$A1800,0))))</f>
        <v/>
      </c>
      <c r="G1800" s="556">
        <f>IF($A1800&gt;BOTT_D4,ROUND(BASE_D4+RATE_D4*($A1800-BOTT_D4),0),IF($A1800&gt;BOTT_D3,ROUND(BASE_D3+RATE_D3*($A1800-BOTT_D3),0),IF($A1800&gt;BOTT_D2,ROUND(BASE_D2+RATE_D2*($A1800-BOTT_D2),0),ROUND(RATE_D1*$A1800,0))))</f>
        <v/>
      </c>
    </row>
    <row r="1801" ht="15.75" customHeight="1" s="7635">
      <c r="A1801" s="625">
        <f>AVERAGE(B1801,C1801)</f>
        <v/>
      </c>
      <c r="B1801" s="555" t="n">
        <v>86850</v>
      </c>
      <c r="C1801" s="555" t="n">
        <v>86900</v>
      </c>
      <c r="D1801" s="556">
        <f>IF($A1801&gt;BOTT_A4,ROUND(BASE_A4+RATE_A4*($A1801-BOTT_A4),0),IF($A1801&gt;BOTT_A3,ROUND(BASE_A3+RATE_A3*($A1801-BOTT_A3),0),IF($A1801&gt;BOTT_A2,ROUND(BASE_A2+RATE_A2*($A1801-BOTT_A2),0),ROUND(RATE_A1*$A1801,0))))</f>
        <v/>
      </c>
      <c r="E1801" s="556">
        <f>IF($A1801&gt;BOTT_B4,ROUND(BASE_B4+RATE_B4*($A1801-BOTT_B4),0),IF($A1801&gt;BOTT_B3,ROUND(BASE_B3+RATE_B3*($A1801-BOTT_B3),0),IF($A1801&gt;BOTT_B2,ROUND(BASE_B2+RATE_B2*($A1801-BOTT_B2),0),ROUND(RATE_B1*$A1801,0))))</f>
        <v/>
      </c>
      <c r="F1801" s="556">
        <f>IF($A1801&gt;BOTT_C4,ROUND(BASE_C4+RATE_C4*($A1801-BOTT_C4),0),IF($A1801&gt;BOTT_C3,ROUND(BASE_C3+RATE_C3*($A1801-BOTT_C3),0),IF($A1801&gt;BOTT_C2,ROUND(BASE_C2+RATE_C2*($A1801-BOTT_C2),0),ROUND(RATE_C1*$A1801,0))))</f>
        <v/>
      </c>
      <c r="G1801" s="556">
        <f>IF($A1801&gt;BOTT_D4,ROUND(BASE_D4+RATE_D4*($A1801-BOTT_D4),0),IF($A1801&gt;BOTT_D3,ROUND(BASE_D3+RATE_D3*($A1801-BOTT_D3),0),IF($A1801&gt;BOTT_D2,ROUND(BASE_D2+RATE_D2*($A1801-BOTT_D2),0),ROUND(RATE_D1*$A1801,0))))</f>
        <v/>
      </c>
    </row>
    <row r="1802" ht="15.75" customHeight="1" s="7635">
      <c r="A1802" s="625">
        <f>AVERAGE(B1802,C1802)</f>
        <v/>
      </c>
      <c r="B1802" s="555" t="n">
        <v>86900</v>
      </c>
      <c r="C1802" s="555" t="n">
        <v>86950</v>
      </c>
      <c r="D1802" s="556">
        <f>IF($A1802&gt;BOTT_A4,ROUND(BASE_A4+RATE_A4*($A1802-BOTT_A4),0),IF($A1802&gt;BOTT_A3,ROUND(BASE_A3+RATE_A3*($A1802-BOTT_A3),0),IF($A1802&gt;BOTT_A2,ROUND(BASE_A2+RATE_A2*($A1802-BOTT_A2),0),ROUND(RATE_A1*$A1802,0))))</f>
        <v/>
      </c>
      <c r="E1802" s="556">
        <f>IF($A1802&gt;BOTT_B4,ROUND(BASE_B4+RATE_B4*($A1802-BOTT_B4),0),IF($A1802&gt;BOTT_B3,ROUND(BASE_B3+RATE_B3*($A1802-BOTT_B3),0),IF($A1802&gt;BOTT_B2,ROUND(BASE_B2+RATE_B2*($A1802-BOTT_B2),0),ROUND(RATE_B1*$A1802,0))))</f>
        <v/>
      </c>
      <c r="F1802" s="556">
        <f>IF($A1802&gt;BOTT_C4,ROUND(BASE_C4+RATE_C4*($A1802-BOTT_C4),0),IF($A1802&gt;BOTT_C3,ROUND(BASE_C3+RATE_C3*($A1802-BOTT_C3),0),IF($A1802&gt;BOTT_C2,ROUND(BASE_C2+RATE_C2*($A1802-BOTT_C2),0),ROUND(RATE_C1*$A1802,0))))</f>
        <v/>
      </c>
      <c r="G1802" s="556">
        <f>IF($A1802&gt;BOTT_D4,ROUND(BASE_D4+RATE_D4*($A1802-BOTT_D4),0),IF($A1802&gt;BOTT_D3,ROUND(BASE_D3+RATE_D3*($A1802-BOTT_D3),0),IF($A1802&gt;BOTT_D2,ROUND(BASE_D2+RATE_D2*($A1802-BOTT_D2),0),ROUND(RATE_D1*$A1802,0))))</f>
        <v/>
      </c>
    </row>
    <row r="1803" ht="15.75" customHeight="1" s="7635">
      <c r="A1803" s="625">
        <f>AVERAGE(B1803,C1803)</f>
        <v/>
      </c>
      <c r="B1803" s="555" t="n">
        <v>86950</v>
      </c>
      <c r="C1803" s="555" t="n">
        <v>87000</v>
      </c>
      <c r="D1803" s="556">
        <f>IF($A1803&gt;BOTT_A4,ROUND(BASE_A4+RATE_A4*($A1803-BOTT_A4),0),IF($A1803&gt;BOTT_A3,ROUND(BASE_A3+RATE_A3*($A1803-BOTT_A3),0),IF($A1803&gt;BOTT_A2,ROUND(BASE_A2+RATE_A2*($A1803-BOTT_A2),0),ROUND(RATE_A1*$A1803,0))))</f>
        <v/>
      </c>
      <c r="E1803" s="556">
        <f>IF($A1803&gt;BOTT_B4,ROUND(BASE_B4+RATE_B4*($A1803-BOTT_B4),0),IF($A1803&gt;BOTT_B3,ROUND(BASE_B3+RATE_B3*($A1803-BOTT_B3),0),IF($A1803&gt;BOTT_B2,ROUND(BASE_B2+RATE_B2*($A1803-BOTT_B2),0),ROUND(RATE_B1*$A1803,0))))</f>
        <v/>
      </c>
      <c r="F1803" s="556">
        <f>IF($A1803&gt;BOTT_C4,ROUND(BASE_C4+RATE_C4*($A1803-BOTT_C4),0),IF($A1803&gt;BOTT_C3,ROUND(BASE_C3+RATE_C3*($A1803-BOTT_C3),0),IF($A1803&gt;BOTT_C2,ROUND(BASE_C2+RATE_C2*($A1803-BOTT_C2),0),ROUND(RATE_C1*$A1803,0))))</f>
        <v/>
      </c>
      <c r="G1803" s="556">
        <f>IF($A1803&gt;BOTT_D4,ROUND(BASE_D4+RATE_D4*($A1803-BOTT_D4),0),IF($A1803&gt;BOTT_D3,ROUND(BASE_D3+RATE_D3*($A1803-BOTT_D3),0),IF($A1803&gt;BOTT_D2,ROUND(BASE_D2+RATE_D2*($A1803-BOTT_D2),0),ROUND(RATE_D1*$A1803,0))))</f>
        <v/>
      </c>
    </row>
    <row r="1804" ht="15.75" customHeight="1" s="7635">
      <c r="A1804" s="625">
        <f>AVERAGE(B1804,C1804)</f>
        <v/>
      </c>
      <c r="B1804" s="555" t="n">
        <v>87000</v>
      </c>
      <c r="C1804" s="555" t="n">
        <v>87050</v>
      </c>
      <c r="D1804" s="556">
        <f>IF($A1804&gt;BOTT_A4,ROUND(BASE_A4+RATE_A4*($A1804-BOTT_A4),0),IF($A1804&gt;BOTT_A3,ROUND(BASE_A3+RATE_A3*($A1804-BOTT_A3),0),IF($A1804&gt;BOTT_A2,ROUND(BASE_A2+RATE_A2*($A1804-BOTT_A2),0),ROUND(RATE_A1*$A1804,0))))</f>
        <v/>
      </c>
      <c r="E1804" s="556">
        <f>IF($A1804&gt;BOTT_B4,ROUND(BASE_B4+RATE_B4*($A1804-BOTT_B4),0),IF($A1804&gt;BOTT_B3,ROUND(BASE_B3+RATE_B3*($A1804-BOTT_B3),0),IF($A1804&gt;BOTT_B2,ROUND(BASE_B2+RATE_B2*($A1804-BOTT_B2),0),ROUND(RATE_B1*$A1804,0))))</f>
        <v/>
      </c>
      <c r="F1804" s="556">
        <f>IF($A1804&gt;BOTT_C4,ROUND(BASE_C4+RATE_C4*($A1804-BOTT_C4),0),IF($A1804&gt;BOTT_C3,ROUND(BASE_C3+RATE_C3*($A1804-BOTT_C3),0),IF($A1804&gt;BOTT_C2,ROUND(BASE_C2+RATE_C2*($A1804-BOTT_C2),0),ROUND(RATE_C1*$A1804,0))))</f>
        <v/>
      </c>
      <c r="G1804" s="556">
        <f>IF($A1804&gt;BOTT_D4,ROUND(BASE_D4+RATE_D4*($A1804-BOTT_D4),0),IF($A1804&gt;BOTT_D3,ROUND(BASE_D3+RATE_D3*($A1804-BOTT_D3),0),IF($A1804&gt;BOTT_D2,ROUND(BASE_D2+RATE_D2*($A1804-BOTT_D2),0),ROUND(RATE_D1*$A1804,0))))</f>
        <v/>
      </c>
    </row>
    <row r="1805" ht="15.75" customHeight="1" s="7635">
      <c r="A1805" s="625">
        <f>AVERAGE(B1805,C1805)</f>
        <v/>
      </c>
      <c r="B1805" s="555" t="n">
        <v>87050</v>
      </c>
      <c r="C1805" s="555" t="n">
        <v>87100</v>
      </c>
      <c r="D1805" s="556">
        <f>IF($A1805&gt;BOTT_A4,ROUND(BASE_A4+RATE_A4*($A1805-BOTT_A4),0),IF($A1805&gt;BOTT_A3,ROUND(BASE_A3+RATE_A3*($A1805-BOTT_A3),0),IF($A1805&gt;BOTT_A2,ROUND(BASE_A2+RATE_A2*($A1805-BOTT_A2),0),ROUND(RATE_A1*$A1805,0))))</f>
        <v/>
      </c>
      <c r="E1805" s="556">
        <f>IF($A1805&gt;BOTT_B4,ROUND(BASE_B4+RATE_B4*($A1805-BOTT_B4),0),IF($A1805&gt;BOTT_B3,ROUND(BASE_B3+RATE_B3*($A1805-BOTT_B3),0),IF($A1805&gt;BOTT_B2,ROUND(BASE_B2+RATE_B2*($A1805-BOTT_B2),0),ROUND(RATE_B1*$A1805,0))))</f>
        <v/>
      </c>
      <c r="F1805" s="556">
        <f>IF($A1805&gt;BOTT_C4,ROUND(BASE_C4+RATE_C4*($A1805-BOTT_C4),0),IF($A1805&gt;BOTT_C3,ROUND(BASE_C3+RATE_C3*($A1805-BOTT_C3),0),IF($A1805&gt;BOTT_C2,ROUND(BASE_C2+RATE_C2*($A1805-BOTT_C2),0),ROUND(RATE_C1*$A1805,0))))</f>
        <v/>
      </c>
      <c r="G1805" s="556">
        <f>IF($A1805&gt;BOTT_D4,ROUND(BASE_D4+RATE_D4*($A1805-BOTT_D4),0),IF($A1805&gt;BOTT_D3,ROUND(BASE_D3+RATE_D3*($A1805-BOTT_D3),0),IF($A1805&gt;BOTT_D2,ROUND(BASE_D2+RATE_D2*($A1805-BOTT_D2),0),ROUND(RATE_D1*$A1805,0))))</f>
        <v/>
      </c>
    </row>
    <row r="1806" ht="15.75" customHeight="1" s="7635">
      <c r="A1806" s="625">
        <f>AVERAGE(B1806,C1806)</f>
        <v/>
      </c>
      <c r="B1806" s="555" t="n">
        <v>87100</v>
      </c>
      <c r="C1806" s="555" t="n">
        <v>87150</v>
      </c>
      <c r="D1806" s="556">
        <f>IF($A1806&gt;BOTT_A4,ROUND(BASE_A4+RATE_A4*($A1806-BOTT_A4),0),IF($A1806&gt;BOTT_A3,ROUND(BASE_A3+RATE_A3*($A1806-BOTT_A3),0),IF($A1806&gt;BOTT_A2,ROUND(BASE_A2+RATE_A2*($A1806-BOTT_A2),0),ROUND(RATE_A1*$A1806,0))))</f>
        <v/>
      </c>
      <c r="E1806" s="556">
        <f>IF($A1806&gt;BOTT_B4,ROUND(BASE_B4+RATE_B4*($A1806-BOTT_B4),0),IF($A1806&gt;BOTT_B3,ROUND(BASE_B3+RATE_B3*($A1806-BOTT_B3),0),IF($A1806&gt;BOTT_B2,ROUND(BASE_B2+RATE_B2*($A1806-BOTT_B2),0),ROUND(RATE_B1*$A1806,0))))</f>
        <v/>
      </c>
      <c r="F1806" s="556">
        <f>IF($A1806&gt;BOTT_C4,ROUND(BASE_C4+RATE_C4*($A1806-BOTT_C4),0),IF($A1806&gt;BOTT_C3,ROUND(BASE_C3+RATE_C3*($A1806-BOTT_C3),0),IF($A1806&gt;BOTT_C2,ROUND(BASE_C2+RATE_C2*($A1806-BOTT_C2),0),ROUND(RATE_C1*$A1806,0))))</f>
        <v/>
      </c>
      <c r="G1806" s="556">
        <f>IF($A1806&gt;BOTT_D4,ROUND(BASE_D4+RATE_D4*($A1806-BOTT_D4),0),IF($A1806&gt;BOTT_D3,ROUND(BASE_D3+RATE_D3*($A1806-BOTT_D3),0),IF($A1806&gt;BOTT_D2,ROUND(BASE_D2+RATE_D2*($A1806-BOTT_D2),0),ROUND(RATE_D1*$A1806,0))))</f>
        <v/>
      </c>
    </row>
    <row r="1807" ht="15.75" customHeight="1" s="7635">
      <c r="A1807" s="625">
        <f>AVERAGE(B1807,C1807)</f>
        <v/>
      </c>
      <c r="B1807" s="555" t="n">
        <v>87150</v>
      </c>
      <c r="C1807" s="555" t="n">
        <v>87200</v>
      </c>
      <c r="D1807" s="556">
        <f>IF($A1807&gt;BOTT_A4,ROUND(BASE_A4+RATE_A4*($A1807-BOTT_A4),0),IF($A1807&gt;BOTT_A3,ROUND(BASE_A3+RATE_A3*($A1807-BOTT_A3),0),IF($A1807&gt;BOTT_A2,ROUND(BASE_A2+RATE_A2*($A1807-BOTT_A2),0),ROUND(RATE_A1*$A1807,0))))</f>
        <v/>
      </c>
      <c r="E1807" s="556">
        <f>IF($A1807&gt;BOTT_B4,ROUND(BASE_B4+RATE_B4*($A1807-BOTT_B4),0),IF($A1807&gt;BOTT_B3,ROUND(BASE_B3+RATE_B3*($A1807-BOTT_B3),0),IF($A1807&gt;BOTT_B2,ROUND(BASE_B2+RATE_B2*($A1807-BOTT_B2),0),ROUND(RATE_B1*$A1807,0))))</f>
        <v/>
      </c>
      <c r="F1807" s="556">
        <f>IF($A1807&gt;BOTT_C4,ROUND(BASE_C4+RATE_C4*($A1807-BOTT_C4),0),IF($A1807&gt;BOTT_C3,ROUND(BASE_C3+RATE_C3*($A1807-BOTT_C3),0),IF($A1807&gt;BOTT_C2,ROUND(BASE_C2+RATE_C2*($A1807-BOTT_C2),0),ROUND(RATE_C1*$A1807,0))))</f>
        <v/>
      </c>
      <c r="G1807" s="556">
        <f>IF($A1807&gt;BOTT_D4,ROUND(BASE_D4+RATE_D4*($A1807-BOTT_D4),0),IF($A1807&gt;BOTT_D3,ROUND(BASE_D3+RATE_D3*($A1807-BOTT_D3),0),IF($A1807&gt;BOTT_D2,ROUND(BASE_D2+RATE_D2*($A1807-BOTT_D2),0),ROUND(RATE_D1*$A1807,0))))</f>
        <v/>
      </c>
    </row>
    <row r="1808" ht="15.75" customHeight="1" s="7635">
      <c r="A1808" s="625">
        <f>AVERAGE(B1808,C1808)</f>
        <v/>
      </c>
      <c r="B1808" s="555" t="n">
        <v>87200</v>
      </c>
      <c r="C1808" s="555" t="n">
        <v>87250</v>
      </c>
      <c r="D1808" s="556">
        <f>IF($A1808&gt;BOTT_A4,ROUND(BASE_A4+RATE_A4*($A1808-BOTT_A4),0),IF($A1808&gt;BOTT_A3,ROUND(BASE_A3+RATE_A3*($A1808-BOTT_A3),0),IF($A1808&gt;BOTT_A2,ROUND(BASE_A2+RATE_A2*($A1808-BOTT_A2),0),ROUND(RATE_A1*$A1808,0))))</f>
        <v/>
      </c>
      <c r="E1808" s="556">
        <f>IF($A1808&gt;BOTT_B4,ROUND(BASE_B4+RATE_B4*($A1808-BOTT_B4),0),IF($A1808&gt;BOTT_B3,ROUND(BASE_B3+RATE_B3*($A1808-BOTT_B3),0),IF($A1808&gt;BOTT_B2,ROUND(BASE_B2+RATE_B2*($A1808-BOTT_B2),0),ROUND(RATE_B1*$A1808,0))))</f>
        <v/>
      </c>
      <c r="F1808" s="556">
        <f>IF($A1808&gt;BOTT_C4,ROUND(BASE_C4+RATE_C4*($A1808-BOTT_C4),0),IF($A1808&gt;BOTT_C3,ROUND(BASE_C3+RATE_C3*($A1808-BOTT_C3),0),IF($A1808&gt;BOTT_C2,ROUND(BASE_C2+RATE_C2*($A1808-BOTT_C2),0),ROUND(RATE_C1*$A1808,0))))</f>
        <v/>
      </c>
      <c r="G1808" s="556">
        <f>IF($A1808&gt;BOTT_D4,ROUND(BASE_D4+RATE_D4*($A1808-BOTT_D4),0),IF($A1808&gt;BOTT_D3,ROUND(BASE_D3+RATE_D3*($A1808-BOTT_D3),0),IF($A1808&gt;BOTT_D2,ROUND(BASE_D2+RATE_D2*($A1808-BOTT_D2),0),ROUND(RATE_D1*$A1808,0))))</f>
        <v/>
      </c>
    </row>
    <row r="1809" ht="15.75" customHeight="1" s="7635">
      <c r="A1809" s="625">
        <f>AVERAGE(B1809,C1809)</f>
        <v/>
      </c>
      <c r="B1809" s="555" t="n">
        <v>87250</v>
      </c>
      <c r="C1809" s="555" t="n">
        <v>87300</v>
      </c>
      <c r="D1809" s="556">
        <f>IF($A1809&gt;BOTT_A4,ROUND(BASE_A4+RATE_A4*($A1809-BOTT_A4),0),IF($A1809&gt;BOTT_A3,ROUND(BASE_A3+RATE_A3*($A1809-BOTT_A3),0),IF($A1809&gt;BOTT_A2,ROUND(BASE_A2+RATE_A2*($A1809-BOTT_A2),0),ROUND(RATE_A1*$A1809,0))))</f>
        <v/>
      </c>
      <c r="E1809" s="556">
        <f>IF($A1809&gt;BOTT_B4,ROUND(BASE_B4+RATE_B4*($A1809-BOTT_B4),0),IF($A1809&gt;BOTT_B3,ROUND(BASE_B3+RATE_B3*($A1809-BOTT_B3),0),IF($A1809&gt;BOTT_B2,ROUND(BASE_B2+RATE_B2*($A1809-BOTT_B2),0),ROUND(RATE_B1*$A1809,0))))</f>
        <v/>
      </c>
      <c r="F1809" s="556">
        <f>IF($A1809&gt;BOTT_C4,ROUND(BASE_C4+RATE_C4*($A1809-BOTT_C4),0),IF($A1809&gt;BOTT_C3,ROUND(BASE_C3+RATE_C3*($A1809-BOTT_C3),0),IF($A1809&gt;BOTT_C2,ROUND(BASE_C2+RATE_C2*($A1809-BOTT_C2),0),ROUND(RATE_C1*$A1809,0))))</f>
        <v/>
      </c>
      <c r="G1809" s="556">
        <f>IF($A1809&gt;BOTT_D4,ROUND(BASE_D4+RATE_D4*($A1809-BOTT_D4),0),IF($A1809&gt;BOTT_D3,ROUND(BASE_D3+RATE_D3*($A1809-BOTT_D3),0),IF($A1809&gt;BOTT_D2,ROUND(BASE_D2+RATE_D2*($A1809-BOTT_D2),0),ROUND(RATE_D1*$A1809,0))))</f>
        <v/>
      </c>
    </row>
    <row r="1810" ht="15.75" customHeight="1" s="7635">
      <c r="A1810" s="625">
        <f>AVERAGE(B1810,C1810)</f>
        <v/>
      </c>
      <c r="B1810" s="555" t="n">
        <v>87300</v>
      </c>
      <c r="C1810" s="555" t="n">
        <v>87350</v>
      </c>
      <c r="D1810" s="556">
        <f>IF($A1810&gt;BOTT_A4,ROUND(BASE_A4+RATE_A4*($A1810-BOTT_A4),0),IF($A1810&gt;BOTT_A3,ROUND(BASE_A3+RATE_A3*($A1810-BOTT_A3),0),IF($A1810&gt;BOTT_A2,ROUND(BASE_A2+RATE_A2*($A1810-BOTT_A2),0),ROUND(RATE_A1*$A1810,0))))</f>
        <v/>
      </c>
      <c r="E1810" s="556">
        <f>IF($A1810&gt;BOTT_B4,ROUND(BASE_B4+RATE_B4*($A1810-BOTT_B4),0),IF($A1810&gt;BOTT_B3,ROUND(BASE_B3+RATE_B3*($A1810-BOTT_B3),0),IF($A1810&gt;BOTT_B2,ROUND(BASE_B2+RATE_B2*($A1810-BOTT_B2),0),ROUND(RATE_B1*$A1810,0))))</f>
        <v/>
      </c>
      <c r="F1810" s="556">
        <f>IF($A1810&gt;BOTT_C4,ROUND(BASE_C4+RATE_C4*($A1810-BOTT_C4),0),IF($A1810&gt;BOTT_C3,ROUND(BASE_C3+RATE_C3*($A1810-BOTT_C3),0),IF($A1810&gt;BOTT_C2,ROUND(BASE_C2+RATE_C2*($A1810-BOTT_C2),0),ROUND(RATE_C1*$A1810,0))))</f>
        <v/>
      </c>
      <c r="G1810" s="556">
        <f>IF($A1810&gt;BOTT_D4,ROUND(BASE_D4+RATE_D4*($A1810-BOTT_D4),0),IF($A1810&gt;BOTT_D3,ROUND(BASE_D3+RATE_D3*($A1810-BOTT_D3),0),IF($A1810&gt;BOTT_D2,ROUND(BASE_D2+RATE_D2*($A1810-BOTT_D2),0),ROUND(RATE_D1*$A1810,0))))</f>
        <v/>
      </c>
    </row>
    <row r="1811" ht="15.75" customHeight="1" s="7635">
      <c r="A1811" s="625">
        <f>AVERAGE(B1811,C1811)</f>
        <v/>
      </c>
      <c r="B1811" s="555" t="n">
        <v>87350</v>
      </c>
      <c r="C1811" s="555" t="n">
        <v>87400</v>
      </c>
      <c r="D1811" s="556">
        <f>IF($A1811&gt;BOTT_A4,ROUND(BASE_A4+RATE_A4*($A1811-BOTT_A4),0),IF($A1811&gt;BOTT_A3,ROUND(BASE_A3+RATE_A3*($A1811-BOTT_A3),0),IF($A1811&gt;BOTT_A2,ROUND(BASE_A2+RATE_A2*($A1811-BOTT_A2),0),ROUND(RATE_A1*$A1811,0))))</f>
        <v/>
      </c>
      <c r="E1811" s="556">
        <f>IF($A1811&gt;BOTT_B4,ROUND(BASE_B4+RATE_B4*($A1811-BOTT_B4),0),IF($A1811&gt;BOTT_B3,ROUND(BASE_B3+RATE_B3*($A1811-BOTT_B3),0),IF($A1811&gt;BOTT_B2,ROUND(BASE_B2+RATE_B2*($A1811-BOTT_B2),0),ROUND(RATE_B1*$A1811,0))))</f>
        <v/>
      </c>
      <c r="F1811" s="556">
        <f>IF($A1811&gt;BOTT_C4,ROUND(BASE_C4+RATE_C4*($A1811-BOTT_C4),0),IF($A1811&gt;BOTT_C3,ROUND(BASE_C3+RATE_C3*($A1811-BOTT_C3),0),IF($A1811&gt;BOTT_C2,ROUND(BASE_C2+RATE_C2*($A1811-BOTT_C2),0),ROUND(RATE_C1*$A1811,0))))</f>
        <v/>
      </c>
      <c r="G1811" s="556">
        <f>IF($A1811&gt;BOTT_D4,ROUND(BASE_D4+RATE_D4*($A1811-BOTT_D4),0),IF($A1811&gt;BOTT_D3,ROUND(BASE_D3+RATE_D3*($A1811-BOTT_D3),0),IF($A1811&gt;BOTT_D2,ROUND(BASE_D2+RATE_D2*($A1811-BOTT_D2),0),ROUND(RATE_D1*$A1811,0))))</f>
        <v/>
      </c>
    </row>
    <row r="1812" ht="15.75" customHeight="1" s="7635">
      <c r="A1812" s="625">
        <f>AVERAGE(B1812,C1812)</f>
        <v/>
      </c>
      <c r="B1812" s="555" t="n">
        <v>87400</v>
      </c>
      <c r="C1812" s="555" t="n">
        <v>87450</v>
      </c>
      <c r="D1812" s="556">
        <f>IF($A1812&gt;BOTT_A4,ROUND(BASE_A4+RATE_A4*($A1812-BOTT_A4),0),IF($A1812&gt;BOTT_A3,ROUND(BASE_A3+RATE_A3*($A1812-BOTT_A3),0),IF($A1812&gt;BOTT_A2,ROUND(BASE_A2+RATE_A2*($A1812-BOTT_A2),0),ROUND(RATE_A1*$A1812,0))))</f>
        <v/>
      </c>
      <c r="E1812" s="556">
        <f>IF($A1812&gt;BOTT_B4,ROUND(BASE_B4+RATE_B4*($A1812-BOTT_B4),0),IF($A1812&gt;BOTT_B3,ROUND(BASE_B3+RATE_B3*($A1812-BOTT_B3),0),IF($A1812&gt;BOTT_B2,ROUND(BASE_B2+RATE_B2*($A1812-BOTT_B2),0),ROUND(RATE_B1*$A1812,0))))</f>
        <v/>
      </c>
      <c r="F1812" s="556">
        <f>IF($A1812&gt;BOTT_C4,ROUND(BASE_C4+RATE_C4*($A1812-BOTT_C4),0),IF($A1812&gt;BOTT_C3,ROUND(BASE_C3+RATE_C3*($A1812-BOTT_C3),0),IF($A1812&gt;BOTT_C2,ROUND(BASE_C2+RATE_C2*($A1812-BOTT_C2),0),ROUND(RATE_C1*$A1812,0))))</f>
        <v/>
      </c>
      <c r="G1812" s="556">
        <f>IF($A1812&gt;BOTT_D4,ROUND(BASE_D4+RATE_D4*($A1812-BOTT_D4),0),IF($A1812&gt;BOTT_D3,ROUND(BASE_D3+RATE_D3*($A1812-BOTT_D3),0),IF($A1812&gt;BOTT_D2,ROUND(BASE_D2+RATE_D2*($A1812-BOTT_D2),0),ROUND(RATE_D1*$A1812,0))))</f>
        <v/>
      </c>
    </row>
    <row r="1813" ht="15.75" customHeight="1" s="7635">
      <c r="A1813" s="625">
        <f>AVERAGE(B1813,C1813)</f>
        <v/>
      </c>
      <c r="B1813" s="555" t="n">
        <v>87450</v>
      </c>
      <c r="C1813" s="555" t="n">
        <v>87500</v>
      </c>
      <c r="D1813" s="556">
        <f>IF($A1813&gt;BOTT_A4,ROUND(BASE_A4+RATE_A4*($A1813-BOTT_A4),0),IF($A1813&gt;BOTT_A3,ROUND(BASE_A3+RATE_A3*($A1813-BOTT_A3),0),IF($A1813&gt;BOTT_A2,ROUND(BASE_A2+RATE_A2*($A1813-BOTT_A2),0),ROUND(RATE_A1*$A1813,0))))</f>
        <v/>
      </c>
      <c r="E1813" s="556">
        <f>IF($A1813&gt;BOTT_B4,ROUND(BASE_B4+RATE_B4*($A1813-BOTT_B4),0),IF($A1813&gt;BOTT_B3,ROUND(BASE_B3+RATE_B3*($A1813-BOTT_B3),0),IF($A1813&gt;BOTT_B2,ROUND(BASE_B2+RATE_B2*($A1813-BOTT_B2),0),ROUND(RATE_B1*$A1813,0))))</f>
        <v/>
      </c>
      <c r="F1813" s="556">
        <f>IF($A1813&gt;BOTT_C4,ROUND(BASE_C4+RATE_C4*($A1813-BOTT_C4),0),IF($A1813&gt;BOTT_C3,ROUND(BASE_C3+RATE_C3*($A1813-BOTT_C3),0),IF($A1813&gt;BOTT_C2,ROUND(BASE_C2+RATE_C2*($A1813-BOTT_C2),0),ROUND(RATE_C1*$A1813,0))))</f>
        <v/>
      </c>
      <c r="G1813" s="556">
        <f>IF($A1813&gt;BOTT_D4,ROUND(BASE_D4+RATE_D4*($A1813-BOTT_D4),0),IF($A1813&gt;BOTT_D3,ROUND(BASE_D3+RATE_D3*($A1813-BOTT_D3),0),IF($A1813&gt;BOTT_D2,ROUND(BASE_D2+RATE_D2*($A1813-BOTT_D2),0),ROUND(RATE_D1*$A1813,0))))</f>
        <v/>
      </c>
    </row>
    <row r="1814" ht="15.75" customHeight="1" s="7635">
      <c r="A1814" s="625">
        <f>AVERAGE(B1814,C1814)</f>
        <v/>
      </c>
      <c r="B1814" s="555" t="n">
        <v>87500</v>
      </c>
      <c r="C1814" s="555" t="n">
        <v>87550</v>
      </c>
      <c r="D1814" s="556">
        <f>IF($A1814&gt;BOTT_A4,ROUND(BASE_A4+RATE_A4*($A1814-BOTT_A4),0),IF($A1814&gt;BOTT_A3,ROUND(BASE_A3+RATE_A3*($A1814-BOTT_A3),0),IF($A1814&gt;BOTT_A2,ROUND(BASE_A2+RATE_A2*($A1814-BOTT_A2),0),ROUND(RATE_A1*$A1814,0))))</f>
        <v/>
      </c>
      <c r="E1814" s="556">
        <f>IF($A1814&gt;BOTT_B4,ROUND(BASE_B4+RATE_B4*($A1814-BOTT_B4),0),IF($A1814&gt;BOTT_B3,ROUND(BASE_B3+RATE_B3*($A1814-BOTT_B3),0),IF($A1814&gt;BOTT_B2,ROUND(BASE_B2+RATE_B2*($A1814-BOTT_B2),0),ROUND(RATE_B1*$A1814,0))))</f>
        <v/>
      </c>
      <c r="F1814" s="556">
        <f>IF($A1814&gt;BOTT_C4,ROUND(BASE_C4+RATE_C4*($A1814-BOTT_C4),0),IF($A1814&gt;BOTT_C3,ROUND(BASE_C3+RATE_C3*($A1814-BOTT_C3),0),IF($A1814&gt;BOTT_C2,ROUND(BASE_C2+RATE_C2*($A1814-BOTT_C2),0),ROUND(RATE_C1*$A1814,0))))</f>
        <v/>
      </c>
      <c r="G1814" s="556">
        <f>IF($A1814&gt;BOTT_D4,ROUND(BASE_D4+RATE_D4*($A1814-BOTT_D4),0),IF($A1814&gt;BOTT_D3,ROUND(BASE_D3+RATE_D3*($A1814-BOTT_D3),0),IF($A1814&gt;BOTT_D2,ROUND(BASE_D2+RATE_D2*($A1814-BOTT_D2),0),ROUND(RATE_D1*$A1814,0))))</f>
        <v/>
      </c>
    </row>
    <row r="1815" ht="15.75" customHeight="1" s="7635">
      <c r="A1815" s="625">
        <f>AVERAGE(B1815,C1815)</f>
        <v/>
      </c>
      <c r="B1815" s="555" t="n">
        <v>87550</v>
      </c>
      <c r="C1815" s="555" t="n">
        <v>87600</v>
      </c>
      <c r="D1815" s="556">
        <f>IF($A1815&gt;BOTT_A4,ROUND(BASE_A4+RATE_A4*($A1815-BOTT_A4),0),IF($A1815&gt;BOTT_A3,ROUND(BASE_A3+RATE_A3*($A1815-BOTT_A3),0),IF($A1815&gt;BOTT_A2,ROUND(BASE_A2+RATE_A2*($A1815-BOTT_A2),0),ROUND(RATE_A1*$A1815,0))))</f>
        <v/>
      </c>
      <c r="E1815" s="556">
        <f>IF($A1815&gt;BOTT_B4,ROUND(BASE_B4+RATE_B4*($A1815-BOTT_B4),0),IF($A1815&gt;BOTT_B3,ROUND(BASE_B3+RATE_B3*($A1815-BOTT_B3),0),IF($A1815&gt;BOTT_B2,ROUND(BASE_B2+RATE_B2*($A1815-BOTT_B2),0),ROUND(RATE_B1*$A1815,0))))</f>
        <v/>
      </c>
      <c r="F1815" s="556">
        <f>IF($A1815&gt;BOTT_C4,ROUND(BASE_C4+RATE_C4*($A1815-BOTT_C4),0),IF($A1815&gt;BOTT_C3,ROUND(BASE_C3+RATE_C3*($A1815-BOTT_C3),0),IF($A1815&gt;BOTT_C2,ROUND(BASE_C2+RATE_C2*($A1815-BOTT_C2),0),ROUND(RATE_C1*$A1815,0))))</f>
        <v/>
      </c>
      <c r="G1815" s="556">
        <f>IF($A1815&gt;BOTT_D4,ROUND(BASE_D4+RATE_D4*($A1815-BOTT_D4),0),IF($A1815&gt;BOTT_D3,ROUND(BASE_D3+RATE_D3*($A1815-BOTT_D3),0),IF($A1815&gt;BOTT_D2,ROUND(BASE_D2+RATE_D2*($A1815-BOTT_D2),0),ROUND(RATE_D1*$A1815,0))))</f>
        <v/>
      </c>
    </row>
    <row r="1816" ht="15.75" customHeight="1" s="7635">
      <c r="A1816" s="625">
        <f>AVERAGE(B1816,C1816)</f>
        <v/>
      </c>
      <c r="B1816" s="555" t="n">
        <v>87600</v>
      </c>
      <c r="C1816" s="555" t="n">
        <v>87650</v>
      </c>
      <c r="D1816" s="556">
        <f>IF($A1816&gt;BOTT_A4,ROUND(BASE_A4+RATE_A4*($A1816-BOTT_A4),0),IF($A1816&gt;BOTT_A3,ROUND(BASE_A3+RATE_A3*($A1816-BOTT_A3),0),IF($A1816&gt;BOTT_A2,ROUND(BASE_A2+RATE_A2*($A1816-BOTT_A2),0),ROUND(RATE_A1*$A1816,0))))</f>
        <v/>
      </c>
      <c r="E1816" s="556">
        <f>IF($A1816&gt;BOTT_B4,ROUND(BASE_B4+RATE_B4*($A1816-BOTT_B4),0),IF($A1816&gt;BOTT_B3,ROUND(BASE_B3+RATE_B3*($A1816-BOTT_B3),0),IF($A1816&gt;BOTT_B2,ROUND(BASE_B2+RATE_B2*($A1816-BOTT_B2),0),ROUND(RATE_B1*$A1816,0))))</f>
        <v/>
      </c>
      <c r="F1816" s="556">
        <f>IF($A1816&gt;BOTT_C4,ROUND(BASE_C4+RATE_C4*($A1816-BOTT_C4),0),IF($A1816&gt;BOTT_C3,ROUND(BASE_C3+RATE_C3*($A1816-BOTT_C3),0),IF($A1816&gt;BOTT_C2,ROUND(BASE_C2+RATE_C2*($A1816-BOTT_C2),0),ROUND(RATE_C1*$A1816,0))))</f>
        <v/>
      </c>
      <c r="G1816" s="556">
        <f>IF($A1816&gt;BOTT_D4,ROUND(BASE_D4+RATE_D4*($A1816-BOTT_D4),0),IF($A1816&gt;BOTT_D3,ROUND(BASE_D3+RATE_D3*($A1816-BOTT_D3),0),IF($A1816&gt;BOTT_D2,ROUND(BASE_D2+RATE_D2*($A1816-BOTT_D2),0),ROUND(RATE_D1*$A1816,0))))</f>
        <v/>
      </c>
    </row>
    <row r="1817" ht="15.75" customHeight="1" s="7635">
      <c r="A1817" s="625">
        <f>AVERAGE(B1817,C1817)</f>
        <v/>
      </c>
      <c r="B1817" s="555" t="n">
        <v>87650</v>
      </c>
      <c r="C1817" s="555" t="n">
        <v>87700</v>
      </c>
      <c r="D1817" s="556">
        <f>IF($A1817&gt;BOTT_A4,ROUND(BASE_A4+RATE_A4*($A1817-BOTT_A4),0),IF($A1817&gt;BOTT_A3,ROUND(BASE_A3+RATE_A3*($A1817-BOTT_A3),0),IF($A1817&gt;BOTT_A2,ROUND(BASE_A2+RATE_A2*($A1817-BOTT_A2),0),ROUND(RATE_A1*$A1817,0))))</f>
        <v/>
      </c>
      <c r="E1817" s="556">
        <f>IF($A1817&gt;BOTT_B4,ROUND(BASE_B4+RATE_B4*($A1817-BOTT_B4),0),IF($A1817&gt;BOTT_B3,ROUND(BASE_B3+RATE_B3*($A1817-BOTT_B3),0),IF($A1817&gt;BOTT_B2,ROUND(BASE_B2+RATE_B2*($A1817-BOTT_B2),0),ROUND(RATE_B1*$A1817,0))))</f>
        <v/>
      </c>
      <c r="F1817" s="556">
        <f>IF($A1817&gt;BOTT_C4,ROUND(BASE_C4+RATE_C4*($A1817-BOTT_C4),0),IF($A1817&gt;BOTT_C3,ROUND(BASE_C3+RATE_C3*($A1817-BOTT_C3),0),IF($A1817&gt;BOTT_C2,ROUND(BASE_C2+RATE_C2*($A1817-BOTT_C2),0),ROUND(RATE_C1*$A1817,0))))</f>
        <v/>
      </c>
      <c r="G1817" s="556">
        <f>IF($A1817&gt;BOTT_D4,ROUND(BASE_D4+RATE_D4*($A1817-BOTT_D4),0),IF($A1817&gt;BOTT_D3,ROUND(BASE_D3+RATE_D3*($A1817-BOTT_D3),0),IF($A1817&gt;BOTT_D2,ROUND(BASE_D2+RATE_D2*($A1817-BOTT_D2),0),ROUND(RATE_D1*$A1817,0))))</f>
        <v/>
      </c>
    </row>
    <row r="1818" ht="15.75" customHeight="1" s="7635">
      <c r="A1818" s="625">
        <f>AVERAGE(B1818,C1818)</f>
        <v/>
      </c>
      <c r="B1818" s="555" t="n">
        <v>87700</v>
      </c>
      <c r="C1818" s="555" t="n">
        <v>87750</v>
      </c>
      <c r="D1818" s="556">
        <f>IF($A1818&gt;BOTT_A4,ROUND(BASE_A4+RATE_A4*($A1818-BOTT_A4),0),IF($A1818&gt;BOTT_A3,ROUND(BASE_A3+RATE_A3*($A1818-BOTT_A3),0),IF($A1818&gt;BOTT_A2,ROUND(BASE_A2+RATE_A2*($A1818-BOTT_A2),0),ROUND(RATE_A1*$A1818,0))))</f>
        <v/>
      </c>
      <c r="E1818" s="556">
        <f>IF($A1818&gt;BOTT_B4,ROUND(BASE_B4+RATE_B4*($A1818-BOTT_B4),0),IF($A1818&gt;BOTT_B3,ROUND(BASE_B3+RATE_B3*($A1818-BOTT_B3),0),IF($A1818&gt;BOTT_B2,ROUND(BASE_B2+RATE_B2*($A1818-BOTT_B2),0),ROUND(RATE_B1*$A1818,0))))</f>
        <v/>
      </c>
      <c r="F1818" s="556">
        <f>IF($A1818&gt;BOTT_C4,ROUND(BASE_C4+RATE_C4*($A1818-BOTT_C4),0),IF($A1818&gt;BOTT_C3,ROUND(BASE_C3+RATE_C3*($A1818-BOTT_C3),0),IF($A1818&gt;BOTT_C2,ROUND(BASE_C2+RATE_C2*($A1818-BOTT_C2),0),ROUND(RATE_C1*$A1818,0))))</f>
        <v/>
      </c>
      <c r="G1818" s="556">
        <f>IF($A1818&gt;BOTT_D4,ROUND(BASE_D4+RATE_D4*($A1818-BOTT_D4),0),IF($A1818&gt;BOTT_D3,ROUND(BASE_D3+RATE_D3*($A1818-BOTT_D3),0),IF($A1818&gt;BOTT_D2,ROUND(BASE_D2+RATE_D2*($A1818-BOTT_D2),0),ROUND(RATE_D1*$A1818,0))))</f>
        <v/>
      </c>
    </row>
    <row r="1819" ht="15.75" customHeight="1" s="7635">
      <c r="A1819" s="625">
        <f>AVERAGE(B1819,C1819)</f>
        <v/>
      </c>
      <c r="B1819" s="555" t="n">
        <v>87750</v>
      </c>
      <c r="C1819" s="555" t="n">
        <v>87800</v>
      </c>
      <c r="D1819" s="556">
        <f>IF($A1819&gt;BOTT_A4,ROUND(BASE_A4+RATE_A4*($A1819-BOTT_A4),0),IF($A1819&gt;BOTT_A3,ROUND(BASE_A3+RATE_A3*($A1819-BOTT_A3),0),IF($A1819&gt;BOTT_A2,ROUND(BASE_A2+RATE_A2*($A1819-BOTT_A2),0),ROUND(RATE_A1*$A1819,0))))</f>
        <v/>
      </c>
      <c r="E1819" s="556">
        <f>IF($A1819&gt;BOTT_B4,ROUND(BASE_B4+RATE_B4*($A1819-BOTT_B4),0),IF($A1819&gt;BOTT_B3,ROUND(BASE_B3+RATE_B3*($A1819-BOTT_B3),0),IF($A1819&gt;BOTT_B2,ROUND(BASE_B2+RATE_B2*($A1819-BOTT_B2),0),ROUND(RATE_B1*$A1819,0))))</f>
        <v/>
      </c>
      <c r="F1819" s="556">
        <f>IF($A1819&gt;BOTT_C4,ROUND(BASE_C4+RATE_C4*($A1819-BOTT_C4),0),IF($A1819&gt;BOTT_C3,ROUND(BASE_C3+RATE_C3*($A1819-BOTT_C3),0),IF($A1819&gt;BOTT_C2,ROUND(BASE_C2+RATE_C2*($A1819-BOTT_C2),0),ROUND(RATE_C1*$A1819,0))))</f>
        <v/>
      </c>
      <c r="G1819" s="556">
        <f>IF($A1819&gt;BOTT_D4,ROUND(BASE_D4+RATE_D4*($A1819-BOTT_D4),0),IF($A1819&gt;BOTT_D3,ROUND(BASE_D3+RATE_D3*($A1819-BOTT_D3),0),IF($A1819&gt;BOTT_D2,ROUND(BASE_D2+RATE_D2*($A1819-BOTT_D2),0),ROUND(RATE_D1*$A1819,0))))</f>
        <v/>
      </c>
    </row>
    <row r="1820" ht="15.75" customHeight="1" s="7635">
      <c r="A1820" s="625">
        <f>AVERAGE(B1820,C1820)</f>
        <v/>
      </c>
      <c r="B1820" s="555" t="n">
        <v>87800</v>
      </c>
      <c r="C1820" s="555" t="n">
        <v>87850</v>
      </c>
      <c r="D1820" s="556">
        <f>IF($A1820&gt;BOTT_A4,ROUND(BASE_A4+RATE_A4*($A1820-BOTT_A4),0),IF($A1820&gt;BOTT_A3,ROUND(BASE_A3+RATE_A3*($A1820-BOTT_A3),0),IF($A1820&gt;BOTT_A2,ROUND(BASE_A2+RATE_A2*($A1820-BOTT_A2),0),ROUND(RATE_A1*$A1820,0))))</f>
        <v/>
      </c>
      <c r="E1820" s="556">
        <f>IF($A1820&gt;BOTT_B4,ROUND(BASE_B4+RATE_B4*($A1820-BOTT_B4),0),IF($A1820&gt;BOTT_B3,ROUND(BASE_B3+RATE_B3*($A1820-BOTT_B3),0),IF($A1820&gt;BOTT_B2,ROUND(BASE_B2+RATE_B2*($A1820-BOTT_B2),0),ROUND(RATE_B1*$A1820,0))))</f>
        <v/>
      </c>
      <c r="F1820" s="556">
        <f>IF($A1820&gt;BOTT_C4,ROUND(BASE_C4+RATE_C4*($A1820-BOTT_C4),0),IF($A1820&gt;BOTT_C3,ROUND(BASE_C3+RATE_C3*($A1820-BOTT_C3),0),IF($A1820&gt;BOTT_C2,ROUND(BASE_C2+RATE_C2*($A1820-BOTT_C2),0),ROUND(RATE_C1*$A1820,0))))</f>
        <v/>
      </c>
      <c r="G1820" s="556">
        <f>IF($A1820&gt;BOTT_D4,ROUND(BASE_D4+RATE_D4*($A1820-BOTT_D4),0),IF($A1820&gt;BOTT_D3,ROUND(BASE_D3+RATE_D3*($A1820-BOTT_D3),0),IF($A1820&gt;BOTT_D2,ROUND(BASE_D2+RATE_D2*($A1820-BOTT_D2),0),ROUND(RATE_D1*$A1820,0))))</f>
        <v/>
      </c>
    </row>
    <row r="1821" ht="15.75" customHeight="1" s="7635">
      <c r="A1821" s="625">
        <f>AVERAGE(B1821,C1821)</f>
        <v/>
      </c>
      <c r="B1821" s="555" t="n">
        <v>87850</v>
      </c>
      <c r="C1821" s="555" t="n">
        <v>87900</v>
      </c>
      <c r="D1821" s="556">
        <f>IF($A1821&gt;BOTT_A4,ROUND(BASE_A4+RATE_A4*($A1821-BOTT_A4),0),IF($A1821&gt;BOTT_A3,ROUND(BASE_A3+RATE_A3*($A1821-BOTT_A3),0),IF($A1821&gt;BOTT_A2,ROUND(BASE_A2+RATE_A2*($A1821-BOTT_A2),0),ROUND(RATE_A1*$A1821,0))))</f>
        <v/>
      </c>
      <c r="E1821" s="556">
        <f>IF($A1821&gt;BOTT_B4,ROUND(BASE_B4+RATE_B4*($A1821-BOTT_B4),0),IF($A1821&gt;BOTT_B3,ROUND(BASE_B3+RATE_B3*($A1821-BOTT_B3),0),IF($A1821&gt;BOTT_B2,ROUND(BASE_B2+RATE_B2*($A1821-BOTT_B2),0),ROUND(RATE_B1*$A1821,0))))</f>
        <v/>
      </c>
      <c r="F1821" s="556">
        <f>IF($A1821&gt;BOTT_C4,ROUND(BASE_C4+RATE_C4*($A1821-BOTT_C4),0),IF($A1821&gt;BOTT_C3,ROUND(BASE_C3+RATE_C3*($A1821-BOTT_C3),0),IF($A1821&gt;BOTT_C2,ROUND(BASE_C2+RATE_C2*($A1821-BOTT_C2),0),ROUND(RATE_C1*$A1821,0))))</f>
        <v/>
      </c>
      <c r="G1821" s="556">
        <f>IF($A1821&gt;BOTT_D4,ROUND(BASE_D4+RATE_D4*($A1821-BOTT_D4),0),IF($A1821&gt;BOTT_D3,ROUND(BASE_D3+RATE_D3*($A1821-BOTT_D3),0),IF($A1821&gt;BOTT_D2,ROUND(BASE_D2+RATE_D2*($A1821-BOTT_D2),0),ROUND(RATE_D1*$A1821,0))))</f>
        <v/>
      </c>
    </row>
    <row r="1822" ht="15.75" customHeight="1" s="7635">
      <c r="A1822" s="625">
        <f>AVERAGE(B1822,C1822)</f>
        <v/>
      </c>
      <c r="B1822" s="555" t="n">
        <v>87900</v>
      </c>
      <c r="C1822" s="555" t="n">
        <v>87950</v>
      </c>
      <c r="D1822" s="556">
        <f>IF($A1822&gt;BOTT_A4,ROUND(BASE_A4+RATE_A4*($A1822-BOTT_A4),0),IF($A1822&gt;BOTT_A3,ROUND(BASE_A3+RATE_A3*($A1822-BOTT_A3),0),IF($A1822&gt;BOTT_A2,ROUND(BASE_A2+RATE_A2*($A1822-BOTT_A2),0),ROUND(RATE_A1*$A1822,0))))</f>
        <v/>
      </c>
      <c r="E1822" s="556">
        <f>IF($A1822&gt;BOTT_B4,ROUND(BASE_B4+RATE_B4*($A1822-BOTT_B4),0),IF($A1822&gt;BOTT_B3,ROUND(BASE_B3+RATE_B3*($A1822-BOTT_B3),0),IF($A1822&gt;BOTT_B2,ROUND(BASE_B2+RATE_B2*($A1822-BOTT_B2),0),ROUND(RATE_B1*$A1822,0))))</f>
        <v/>
      </c>
      <c r="F1822" s="556">
        <f>IF($A1822&gt;BOTT_C4,ROUND(BASE_C4+RATE_C4*($A1822-BOTT_C4),0),IF($A1822&gt;BOTT_C3,ROUND(BASE_C3+RATE_C3*($A1822-BOTT_C3),0),IF($A1822&gt;BOTT_C2,ROUND(BASE_C2+RATE_C2*($A1822-BOTT_C2),0),ROUND(RATE_C1*$A1822,0))))</f>
        <v/>
      </c>
      <c r="G1822" s="556">
        <f>IF($A1822&gt;BOTT_D4,ROUND(BASE_D4+RATE_D4*($A1822-BOTT_D4),0),IF($A1822&gt;BOTT_D3,ROUND(BASE_D3+RATE_D3*($A1822-BOTT_D3),0),IF($A1822&gt;BOTT_D2,ROUND(BASE_D2+RATE_D2*($A1822-BOTT_D2),0),ROUND(RATE_D1*$A1822,0))))</f>
        <v/>
      </c>
    </row>
    <row r="1823" ht="15.75" customHeight="1" s="7635">
      <c r="A1823" s="625">
        <f>AVERAGE(B1823,C1823)</f>
        <v/>
      </c>
      <c r="B1823" s="555" t="n">
        <v>87950</v>
      </c>
      <c r="C1823" s="555" t="n">
        <v>88000</v>
      </c>
      <c r="D1823" s="556">
        <f>IF($A1823&gt;BOTT_A4,ROUND(BASE_A4+RATE_A4*($A1823-BOTT_A4),0),IF($A1823&gt;BOTT_A3,ROUND(BASE_A3+RATE_A3*($A1823-BOTT_A3),0),IF($A1823&gt;BOTT_A2,ROUND(BASE_A2+RATE_A2*($A1823-BOTT_A2),0),ROUND(RATE_A1*$A1823,0))))</f>
        <v/>
      </c>
      <c r="E1823" s="556">
        <f>IF($A1823&gt;BOTT_B4,ROUND(BASE_B4+RATE_B4*($A1823-BOTT_B4),0),IF($A1823&gt;BOTT_B3,ROUND(BASE_B3+RATE_B3*($A1823-BOTT_B3),0),IF($A1823&gt;BOTT_B2,ROUND(BASE_B2+RATE_B2*($A1823-BOTT_B2),0),ROUND(RATE_B1*$A1823,0))))</f>
        <v/>
      </c>
      <c r="F1823" s="556">
        <f>IF($A1823&gt;BOTT_C4,ROUND(BASE_C4+RATE_C4*($A1823-BOTT_C4),0),IF($A1823&gt;BOTT_C3,ROUND(BASE_C3+RATE_C3*($A1823-BOTT_C3),0),IF($A1823&gt;BOTT_C2,ROUND(BASE_C2+RATE_C2*($A1823-BOTT_C2),0),ROUND(RATE_C1*$A1823,0))))</f>
        <v/>
      </c>
      <c r="G1823" s="556">
        <f>IF($A1823&gt;BOTT_D4,ROUND(BASE_D4+RATE_D4*($A1823-BOTT_D4),0),IF($A1823&gt;BOTT_D3,ROUND(BASE_D3+RATE_D3*($A1823-BOTT_D3),0),IF($A1823&gt;BOTT_D2,ROUND(BASE_D2+RATE_D2*($A1823-BOTT_D2),0),ROUND(RATE_D1*$A1823,0))))</f>
        <v/>
      </c>
    </row>
    <row r="1824" ht="15.75" customHeight="1" s="7635">
      <c r="A1824" s="625">
        <f>AVERAGE(B1824,C1824)</f>
        <v/>
      </c>
      <c r="B1824" s="555" t="n">
        <v>88000</v>
      </c>
      <c r="C1824" s="555" t="n">
        <v>88050</v>
      </c>
      <c r="D1824" s="556">
        <f>IF($A1824&gt;BOTT_A4,ROUND(BASE_A4+RATE_A4*($A1824-BOTT_A4),0),IF($A1824&gt;BOTT_A3,ROUND(BASE_A3+RATE_A3*($A1824-BOTT_A3),0),IF($A1824&gt;BOTT_A2,ROUND(BASE_A2+RATE_A2*($A1824-BOTT_A2),0),ROUND(RATE_A1*$A1824,0))))</f>
        <v/>
      </c>
      <c r="E1824" s="556">
        <f>IF($A1824&gt;BOTT_B4,ROUND(BASE_B4+RATE_B4*($A1824-BOTT_B4),0),IF($A1824&gt;BOTT_B3,ROUND(BASE_B3+RATE_B3*($A1824-BOTT_B3),0),IF($A1824&gt;BOTT_B2,ROUND(BASE_B2+RATE_B2*($A1824-BOTT_B2),0),ROUND(RATE_B1*$A1824,0))))</f>
        <v/>
      </c>
      <c r="F1824" s="556">
        <f>IF($A1824&gt;BOTT_C4,ROUND(BASE_C4+RATE_C4*($A1824-BOTT_C4),0),IF($A1824&gt;BOTT_C3,ROUND(BASE_C3+RATE_C3*($A1824-BOTT_C3),0),IF($A1824&gt;BOTT_C2,ROUND(BASE_C2+RATE_C2*($A1824-BOTT_C2),0),ROUND(RATE_C1*$A1824,0))))</f>
        <v/>
      </c>
      <c r="G1824" s="556">
        <f>IF($A1824&gt;BOTT_D4,ROUND(BASE_D4+RATE_D4*($A1824-BOTT_D4),0),IF($A1824&gt;BOTT_D3,ROUND(BASE_D3+RATE_D3*($A1824-BOTT_D3),0),IF($A1824&gt;BOTT_D2,ROUND(BASE_D2+RATE_D2*($A1824-BOTT_D2),0),ROUND(RATE_D1*$A1824,0))))</f>
        <v/>
      </c>
    </row>
    <row r="1825" ht="15.75" customHeight="1" s="7635">
      <c r="A1825" s="625">
        <f>AVERAGE(B1825,C1825)</f>
        <v/>
      </c>
      <c r="B1825" s="555" t="n">
        <v>88050</v>
      </c>
      <c r="C1825" s="555" t="n">
        <v>88100</v>
      </c>
      <c r="D1825" s="556">
        <f>IF($A1825&gt;BOTT_A4,ROUND(BASE_A4+RATE_A4*($A1825-BOTT_A4),0),IF($A1825&gt;BOTT_A3,ROUND(BASE_A3+RATE_A3*($A1825-BOTT_A3),0),IF($A1825&gt;BOTT_A2,ROUND(BASE_A2+RATE_A2*($A1825-BOTT_A2),0),ROUND(RATE_A1*$A1825,0))))</f>
        <v/>
      </c>
      <c r="E1825" s="556">
        <f>IF($A1825&gt;BOTT_B4,ROUND(BASE_B4+RATE_B4*($A1825-BOTT_B4),0),IF($A1825&gt;BOTT_B3,ROUND(BASE_B3+RATE_B3*($A1825-BOTT_B3),0),IF($A1825&gt;BOTT_B2,ROUND(BASE_B2+RATE_B2*($A1825-BOTT_B2),0),ROUND(RATE_B1*$A1825,0))))</f>
        <v/>
      </c>
      <c r="F1825" s="556">
        <f>IF($A1825&gt;BOTT_C4,ROUND(BASE_C4+RATE_C4*($A1825-BOTT_C4),0),IF($A1825&gt;BOTT_C3,ROUND(BASE_C3+RATE_C3*($A1825-BOTT_C3),0),IF($A1825&gt;BOTT_C2,ROUND(BASE_C2+RATE_C2*($A1825-BOTT_C2),0),ROUND(RATE_C1*$A1825,0))))</f>
        <v/>
      </c>
      <c r="G1825" s="556">
        <f>IF($A1825&gt;BOTT_D4,ROUND(BASE_D4+RATE_D4*($A1825-BOTT_D4),0),IF($A1825&gt;BOTT_D3,ROUND(BASE_D3+RATE_D3*($A1825-BOTT_D3),0),IF($A1825&gt;BOTT_D2,ROUND(BASE_D2+RATE_D2*($A1825-BOTT_D2),0),ROUND(RATE_D1*$A1825,0))))</f>
        <v/>
      </c>
    </row>
    <row r="1826" ht="15.75" customHeight="1" s="7635">
      <c r="A1826" s="625">
        <f>AVERAGE(B1826,C1826)</f>
        <v/>
      </c>
      <c r="B1826" s="555" t="n">
        <v>88100</v>
      </c>
      <c r="C1826" s="555" t="n">
        <v>88150</v>
      </c>
      <c r="D1826" s="556">
        <f>IF($A1826&gt;BOTT_A4,ROUND(BASE_A4+RATE_A4*($A1826-BOTT_A4),0),IF($A1826&gt;BOTT_A3,ROUND(BASE_A3+RATE_A3*($A1826-BOTT_A3),0),IF($A1826&gt;BOTT_A2,ROUND(BASE_A2+RATE_A2*($A1826-BOTT_A2),0),ROUND(RATE_A1*$A1826,0))))</f>
        <v/>
      </c>
      <c r="E1826" s="556">
        <f>IF($A1826&gt;BOTT_B4,ROUND(BASE_B4+RATE_B4*($A1826-BOTT_B4),0),IF($A1826&gt;BOTT_B3,ROUND(BASE_B3+RATE_B3*($A1826-BOTT_B3),0),IF($A1826&gt;BOTT_B2,ROUND(BASE_B2+RATE_B2*($A1826-BOTT_B2),0),ROUND(RATE_B1*$A1826,0))))</f>
        <v/>
      </c>
      <c r="F1826" s="556">
        <f>IF($A1826&gt;BOTT_C4,ROUND(BASE_C4+RATE_C4*($A1826-BOTT_C4),0),IF($A1826&gt;BOTT_C3,ROUND(BASE_C3+RATE_C3*($A1826-BOTT_C3),0),IF($A1826&gt;BOTT_C2,ROUND(BASE_C2+RATE_C2*($A1826-BOTT_C2),0),ROUND(RATE_C1*$A1826,0))))</f>
        <v/>
      </c>
      <c r="G1826" s="556">
        <f>IF($A1826&gt;BOTT_D4,ROUND(BASE_D4+RATE_D4*($A1826-BOTT_D4),0),IF($A1826&gt;BOTT_D3,ROUND(BASE_D3+RATE_D3*($A1826-BOTT_D3),0),IF($A1826&gt;BOTT_D2,ROUND(BASE_D2+RATE_D2*($A1826-BOTT_D2),0),ROUND(RATE_D1*$A1826,0))))</f>
        <v/>
      </c>
    </row>
    <row r="1827" ht="15.75" customHeight="1" s="7635">
      <c r="A1827" s="625">
        <f>AVERAGE(B1827,C1827)</f>
        <v/>
      </c>
      <c r="B1827" s="555" t="n">
        <v>88150</v>
      </c>
      <c r="C1827" s="555" t="n">
        <v>88200</v>
      </c>
      <c r="D1827" s="556">
        <f>IF($A1827&gt;BOTT_A4,ROUND(BASE_A4+RATE_A4*($A1827-BOTT_A4),0),IF($A1827&gt;BOTT_A3,ROUND(BASE_A3+RATE_A3*($A1827-BOTT_A3),0),IF($A1827&gt;BOTT_A2,ROUND(BASE_A2+RATE_A2*($A1827-BOTT_A2),0),ROUND(RATE_A1*$A1827,0))))</f>
        <v/>
      </c>
      <c r="E1827" s="556">
        <f>IF($A1827&gt;BOTT_B4,ROUND(BASE_B4+RATE_B4*($A1827-BOTT_B4),0),IF($A1827&gt;BOTT_B3,ROUND(BASE_B3+RATE_B3*($A1827-BOTT_B3),0),IF($A1827&gt;BOTT_B2,ROUND(BASE_B2+RATE_B2*($A1827-BOTT_B2),0),ROUND(RATE_B1*$A1827,0))))</f>
        <v/>
      </c>
      <c r="F1827" s="556">
        <f>IF($A1827&gt;BOTT_C4,ROUND(BASE_C4+RATE_C4*($A1827-BOTT_C4),0),IF($A1827&gt;BOTT_C3,ROUND(BASE_C3+RATE_C3*($A1827-BOTT_C3),0),IF($A1827&gt;BOTT_C2,ROUND(BASE_C2+RATE_C2*($A1827-BOTT_C2),0),ROUND(RATE_C1*$A1827,0))))</f>
        <v/>
      </c>
      <c r="G1827" s="556">
        <f>IF($A1827&gt;BOTT_D4,ROUND(BASE_D4+RATE_D4*($A1827-BOTT_D4),0),IF($A1827&gt;BOTT_D3,ROUND(BASE_D3+RATE_D3*($A1827-BOTT_D3),0),IF($A1827&gt;BOTT_D2,ROUND(BASE_D2+RATE_D2*($A1827-BOTT_D2),0),ROUND(RATE_D1*$A1827,0))))</f>
        <v/>
      </c>
    </row>
    <row r="1828" ht="15.75" customHeight="1" s="7635">
      <c r="A1828" s="625">
        <f>AVERAGE(B1828,C1828)</f>
        <v/>
      </c>
      <c r="B1828" s="555" t="n">
        <v>88200</v>
      </c>
      <c r="C1828" s="555" t="n">
        <v>88250</v>
      </c>
      <c r="D1828" s="556">
        <f>IF($A1828&gt;BOTT_A4,ROUND(BASE_A4+RATE_A4*($A1828-BOTT_A4),0),IF($A1828&gt;BOTT_A3,ROUND(BASE_A3+RATE_A3*($A1828-BOTT_A3),0),IF($A1828&gt;BOTT_A2,ROUND(BASE_A2+RATE_A2*($A1828-BOTT_A2),0),ROUND(RATE_A1*$A1828,0))))</f>
        <v/>
      </c>
      <c r="E1828" s="556">
        <f>IF($A1828&gt;BOTT_B4,ROUND(BASE_B4+RATE_B4*($A1828-BOTT_B4),0),IF($A1828&gt;BOTT_B3,ROUND(BASE_B3+RATE_B3*($A1828-BOTT_B3),0),IF($A1828&gt;BOTT_B2,ROUND(BASE_B2+RATE_B2*($A1828-BOTT_B2),0),ROUND(RATE_B1*$A1828,0))))</f>
        <v/>
      </c>
      <c r="F1828" s="556">
        <f>IF($A1828&gt;BOTT_C4,ROUND(BASE_C4+RATE_C4*($A1828-BOTT_C4),0),IF($A1828&gt;BOTT_C3,ROUND(BASE_C3+RATE_C3*($A1828-BOTT_C3),0),IF($A1828&gt;BOTT_C2,ROUND(BASE_C2+RATE_C2*($A1828-BOTT_C2),0),ROUND(RATE_C1*$A1828,0))))</f>
        <v/>
      </c>
      <c r="G1828" s="556">
        <f>IF($A1828&gt;BOTT_D4,ROUND(BASE_D4+RATE_D4*($A1828-BOTT_D4),0),IF($A1828&gt;BOTT_D3,ROUND(BASE_D3+RATE_D3*($A1828-BOTT_D3),0),IF($A1828&gt;BOTT_D2,ROUND(BASE_D2+RATE_D2*($A1828-BOTT_D2),0),ROUND(RATE_D1*$A1828,0))))</f>
        <v/>
      </c>
    </row>
    <row r="1829" ht="15.75" customHeight="1" s="7635">
      <c r="A1829" s="625">
        <f>AVERAGE(B1829,C1829)</f>
        <v/>
      </c>
      <c r="B1829" s="555" t="n">
        <v>88250</v>
      </c>
      <c r="C1829" s="555" t="n">
        <v>88300</v>
      </c>
      <c r="D1829" s="556">
        <f>IF($A1829&gt;BOTT_A4,ROUND(BASE_A4+RATE_A4*($A1829-BOTT_A4),0),IF($A1829&gt;BOTT_A3,ROUND(BASE_A3+RATE_A3*($A1829-BOTT_A3),0),IF($A1829&gt;BOTT_A2,ROUND(BASE_A2+RATE_A2*($A1829-BOTT_A2),0),ROUND(RATE_A1*$A1829,0))))</f>
        <v/>
      </c>
      <c r="E1829" s="556">
        <f>IF($A1829&gt;BOTT_B4,ROUND(BASE_B4+RATE_B4*($A1829-BOTT_B4),0),IF($A1829&gt;BOTT_B3,ROUND(BASE_B3+RATE_B3*($A1829-BOTT_B3),0),IF($A1829&gt;BOTT_B2,ROUND(BASE_B2+RATE_B2*($A1829-BOTT_B2),0),ROUND(RATE_B1*$A1829,0))))</f>
        <v/>
      </c>
      <c r="F1829" s="556">
        <f>IF($A1829&gt;BOTT_C4,ROUND(BASE_C4+RATE_C4*($A1829-BOTT_C4),0),IF($A1829&gt;BOTT_C3,ROUND(BASE_C3+RATE_C3*($A1829-BOTT_C3),0),IF($A1829&gt;BOTT_C2,ROUND(BASE_C2+RATE_C2*($A1829-BOTT_C2),0),ROUND(RATE_C1*$A1829,0))))</f>
        <v/>
      </c>
      <c r="G1829" s="556">
        <f>IF($A1829&gt;BOTT_D4,ROUND(BASE_D4+RATE_D4*($A1829-BOTT_D4),0),IF($A1829&gt;BOTT_D3,ROUND(BASE_D3+RATE_D3*($A1829-BOTT_D3),0),IF($A1829&gt;BOTT_D2,ROUND(BASE_D2+RATE_D2*($A1829-BOTT_D2),0),ROUND(RATE_D1*$A1829,0))))</f>
        <v/>
      </c>
    </row>
    <row r="1830" ht="15.75" customHeight="1" s="7635">
      <c r="A1830" s="625">
        <f>AVERAGE(B1830,C1830)</f>
        <v/>
      </c>
      <c r="B1830" s="555" t="n">
        <v>88300</v>
      </c>
      <c r="C1830" s="555" t="n">
        <v>88350</v>
      </c>
      <c r="D1830" s="556">
        <f>IF($A1830&gt;BOTT_A4,ROUND(BASE_A4+RATE_A4*($A1830-BOTT_A4),0),IF($A1830&gt;BOTT_A3,ROUND(BASE_A3+RATE_A3*($A1830-BOTT_A3),0),IF($A1830&gt;BOTT_A2,ROUND(BASE_A2+RATE_A2*($A1830-BOTT_A2),0),ROUND(RATE_A1*$A1830,0))))</f>
        <v/>
      </c>
      <c r="E1830" s="556">
        <f>IF($A1830&gt;BOTT_B4,ROUND(BASE_B4+RATE_B4*($A1830-BOTT_B4),0),IF($A1830&gt;BOTT_B3,ROUND(BASE_B3+RATE_B3*($A1830-BOTT_B3),0),IF($A1830&gt;BOTT_B2,ROUND(BASE_B2+RATE_B2*($A1830-BOTT_B2),0),ROUND(RATE_B1*$A1830,0))))</f>
        <v/>
      </c>
      <c r="F1830" s="556">
        <f>IF($A1830&gt;BOTT_C4,ROUND(BASE_C4+RATE_C4*($A1830-BOTT_C4),0),IF($A1830&gt;BOTT_C3,ROUND(BASE_C3+RATE_C3*($A1830-BOTT_C3),0),IF($A1830&gt;BOTT_C2,ROUND(BASE_C2+RATE_C2*($A1830-BOTT_C2),0),ROUND(RATE_C1*$A1830,0))))</f>
        <v/>
      </c>
      <c r="G1830" s="556">
        <f>IF($A1830&gt;BOTT_D4,ROUND(BASE_D4+RATE_D4*($A1830-BOTT_D4),0),IF($A1830&gt;BOTT_D3,ROUND(BASE_D3+RATE_D3*($A1830-BOTT_D3),0),IF($A1830&gt;BOTT_D2,ROUND(BASE_D2+RATE_D2*($A1830-BOTT_D2),0),ROUND(RATE_D1*$A1830,0))))</f>
        <v/>
      </c>
    </row>
    <row r="1831" ht="15.75" customHeight="1" s="7635">
      <c r="A1831" s="625">
        <f>AVERAGE(B1831,C1831)</f>
        <v/>
      </c>
      <c r="B1831" s="555" t="n">
        <v>88350</v>
      </c>
      <c r="C1831" s="555" t="n">
        <v>88400</v>
      </c>
      <c r="D1831" s="556">
        <f>IF($A1831&gt;BOTT_A4,ROUND(BASE_A4+RATE_A4*($A1831-BOTT_A4),0),IF($A1831&gt;BOTT_A3,ROUND(BASE_A3+RATE_A3*($A1831-BOTT_A3),0),IF($A1831&gt;BOTT_A2,ROUND(BASE_A2+RATE_A2*($A1831-BOTT_A2),0),ROUND(RATE_A1*$A1831,0))))</f>
        <v/>
      </c>
      <c r="E1831" s="556">
        <f>IF($A1831&gt;BOTT_B4,ROUND(BASE_B4+RATE_B4*($A1831-BOTT_B4),0),IF($A1831&gt;BOTT_B3,ROUND(BASE_B3+RATE_B3*($A1831-BOTT_B3),0),IF($A1831&gt;BOTT_B2,ROUND(BASE_B2+RATE_B2*($A1831-BOTT_B2),0),ROUND(RATE_B1*$A1831,0))))</f>
        <v/>
      </c>
      <c r="F1831" s="556">
        <f>IF($A1831&gt;BOTT_C4,ROUND(BASE_C4+RATE_C4*($A1831-BOTT_C4),0),IF($A1831&gt;BOTT_C3,ROUND(BASE_C3+RATE_C3*($A1831-BOTT_C3),0),IF($A1831&gt;BOTT_C2,ROUND(BASE_C2+RATE_C2*($A1831-BOTT_C2),0),ROUND(RATE_C1*$A1831,0))))</f>
        <v/>
      </c>
      <c r="G1831" s="556">
        <f>IF($A1831&gt;BOTT_D4,ROUND(BASE_D4+RATE_D4*($A1831-BOTT_D4),0),IF($A1831&gt;BOTT_D3,ROUND(BASE_D3+RATE_D3*($A1831-BOTT_D3),0),IF($A1831&gt;BOTT_D2,ROUND(BASE_D2+RATE_D2*($A1831-BOTT_D2),0),ROUND(RATE_D1*$A1831,0))))</f>
        <v/>
      </c>
    </row>
    <row r="1832" ht="15.75" customHeight="1" s="7635">
      <c r="A1832" s="625">
        <f>AVERAGE(B1832,C1832)</f>
        <v/>
      </c>
      <c r="B1832" s="555" t="n">
        <v>88400</v>
      </c>
      <c r="C1832" s="555" t="n">
        <v>88450</v>
      </c>
      <c r="D1832" s="556">
        <f>IF($A1832&gt;BOTT_A4,ROUND(BASE_A4+RATE_A4*($A1832-BOTT_A4),0),IF($A1832&gt;BOTT_A3,ROUND(BASE_A3+RATE_A3*($A1832-BOTT_A3),0),IF($A1832&gt;BOTT_A2,ROUND(BASE_A2+RATE_A2*($A1832-BOTT_A2),0),ROUND(RATE_A1*$A1832,0))))</f>
        <v/>
      </c>
      <c r="E1832" s="556">
        <f>IF($A1832&gt;BOTT_B4,ROUND(BASE_B4+RATE_B4*($A1832-BOTT_B4),0),IF($A1832&gt;BOTT_B3,ROUND(BASE_B3+RATE_B3*($A1832-BOTT_B3),0),IF($A1832&gt;BOTT_B2,ROUND(BASE_B2+RATE_B2*($A1832-BOTT_B2),0),ROUND(RATE_B1*$A1832,0))))</f>
        <v/>
      </c>
      <c r="F1832" s="556">
        <f>IF($A1832&gt;BOTT_C4,ROUND(BASE_C4+RATE_C4*($A1832-BOTT_C4),0),IF($A1832&gt;BOTT_C3,ROUND(BASE_C3+RATE_C3*($A1832-BOTT_C3),0),IF($A1832&gt;BOTT_C2,ROUND(BASE_C2+RATE_C2*($A1832-BOTT_C2),0),ROUND(RATE_C1*$A1832,0))))</f>
        <v/>
      </c>
      <c r="G1832" s="556">
        <f>IF($A1832&gt;BOTT_D4,ROUND(BASE_D4+RATE_D4*($A1832-BOTT_D4),0),IF($A1832&gt;BOTT_D3,ROUND(BASE_D3+RATE_D3*($A1832-BOTT_D3),0),IF($A1832&gt;BOTT_D2,ROUND(BASE_D2+RATE_D2*($A1832-BOTT_D2),0),ROUND(RATE_D1*$A1832,0))))</f>
        <v/>
      </c>
    </row>
    <row r="1833" ht="15.75" customHeight="1" s="7635">
      <c r="A1833" s="625">
        <f>AVERAGE(B1833,C1833)</f>
        <v/>
      </c>
      <c r="B1833" s="555" t="n">
        <v>88450</v>
      </c>
      <c r="C1833" s="555" t="n">
        <v>88500</v>
      </c>
      <c r="D1833" s="556">
        <f>IF($A1833&gt;BOTT_A4,ROUND(BASE_A4+RATE_A4*($A1833-BOTT_A4),0),IF($A1833&gt;BOTT_A3,ROUND(BASE_A3+RATE_A3*($A1833-BOTT_A3),0),IF($A1833&gt;BOTT_A2,ROUND(BASE_A2+RATE_A2*($A1833-BOTT_A2),0),ROUND(RATE_A1*$A1833,0))))</f>
        <v/>
      </c>
      <c r="E1833" s="556">
        <f>IF($A1833&gt;BOTT_B4,ROUND(BASE_B4+RATE_B4*($A1833-BOTT_B4),0),IF($A1833&gt;BOTT_B3,ROUND(BASE_B3+RATE_B3*($A1833-BOTT_B3),0),IF($A1833&gt;BOTT_B2,ROUND(BASE_B2+RATE_B2*($A1833-BOTT_B2),0),ROUND(RATE_B1*$A1833,0))))</f>
        <v/>
      </c>
      <c r="F1833" s="556">
        <f>IF($A1833&gt;BOTT_C4,ROUND(BASE_C4+RATE_C4*($A1833-BOTT_C4),0),IF($A1833&gt;BOTT_C3,ROUND(BASE_C3+RATE_C3*($A1833-BOTT_C3),0),IF($A1833&gt;BOTT_C2,ROUND(BASE_C2+RATE_C2*($A1833-BOTT_C2),0),ROUND(RATE_C1*$A1833,0))))</f>
        <v/>
      </c>
      <c r="G1833" s="556">
        <f>IF($A1833&gt;BOTT_D4,ROUND(BASE_D4+RATE_D4*($A1833-BOTT_D4),0),IF($A1833&gt;BOTT_D3,ROUND(BASE_D3+RATE_D3*($A1833-BOTT_D3),0),IF($A1833&gt;BOTT_D2,ROUND(BASE_D2+RATE_D2*($A1833-BOTT_D2),0),ROUND(RATE_D1*$A1833,0))))</f>
        <v/>
      </c>
    </row>
    <row r="1834" ht="15.75" customHeight="1" s="7635">
      <c r="A1834" s="625">
        <f>AVERAGE(B1834,C1834)</f>
        <v/>
      </c>
      <c r="B1834" s="555" t="n">
        <v>88500</v>
      </c>
      <c r="C1834" s="555" t="n">
        <v>88550</v>
      </c>
      <c r="D1834" s="556">
        <f>IF($A1834&gt;BOTT_A4,ROUND(BASE_A4+RATE_A4*($A1834-BOTT_A4),0),IF($A1834&gt;BOTT_A3,ROUND(BASE_A3+RATE_A3*($A1834-BOTT_A3),0),IF($A1834&gt;BOTT_A2,ROUND(BASE_A2+RATE_A2*($A1834-BOTT_A2),0),ROUND(RATE_A1*$A1834,0))))</f>
        <v/>
      </c>
      <c r="E1834" s="556">
        <f>IF($A1834&gt;BOTT_B4,ROUND(BASE_B4+RATE_B4*($A1834-BOTT_B4),0),IF($A1834&gt;BOTT_B3,ROUND(BASE_B3+RATE_B3*($A1834-BOTT_B3),0),IF($A1834&gt;BOTT_B2,ROUND(BASE_B2+RATE_B2*($A1834-BOTT_B2),0),ROUND(RATE_B1*$A1834,0))))</f>
        <v/>
      </c>
      <c r="F1834" s="556">
        <f>IF($A1834&gt;BOTT_C4,ROUND(BASE_C4+RATE_C4*($A1834-BOTT_C4),0),IF($A1834&gt;BOTT_C3,ROUND(BASE_C3+RATE_C3*($A1834-BOTT_C3),0),IF($A1834&gt;BOTT_C2,ROUND(BASE_C2+RATE_C2*($A1834-BOTT_C2),0),ROUND(RATE_C1*$A1834,0))))</f>
        <v/>
      </c>
      <c r="G1834" s="556">
        <f>IF($A1834&gt;BOTT_D4,ROUND(BASE_D4+RATE_D4*($A1834-BOTT_D4),0),IF($A1834&gt;BOTT_D3,ROUND(BASE_D3+RATE_D3*($A1834-BOTT_D3),0),IF($A1834&gt;BOTT_D2,ROUND(BASE_D2+RATE_D2*($A1834-BOTT_D2),0),ROUND(RATE_D1*$A1834,0))))</f>
        <v/>
      </c>
    </row>
    <row r="1835" ht="15.75" customHeight="1" s="7635">
      <c r="A1835" s="625">
        <f>AVERAGE(B1835,C1835)</f>
        <v/>
      </c>
      <c r="B1835" s="555" t="n">
        <v>88550</v>
      </c>
      <c r="C1835" s="555" t="n">
        <v>88600</v>
      </c>
      <c r="D1835" s="556">
        <f>IF($A1835&gt;BOTT_A4,ROUND(BASE_A4+RATE_A4*($A1835-BOTT_A4),0),IF($A1835&gt;BOTT_A3,ROUND(BASE_A3+RATE_A3*($A1835-BOTT_A3),0),IF($A1835&gt;BOTT_A2,ROUND(BASE_A2+RATE_A2*($A1835-BOTT_A2),0),ROUND(RATE_A1*$A1835,0))))</f>
        <v/>
      </c>
      <c r="E1835" s="556">
        <f>IF($A1835&gt;BOTT_B4,ROUND(BASE_B4+RATE_B4*($A1835-BOTT_B4),0),IF($A1835&gt;BOTT_B3,ROUND(BASE_B3+RATE_B3*($A1835-BOTT_B3),0),IF($A1835&gt;BOTT_B2,ROUND(BASE_B2+RATE_B2*($A1835-BOTT_B2),0),ROUND(RATE_B1*$A1835,0))))</f>
        <v/>
      </c>
      <c r="F1835" s="556">
        <f>IF($A1835&gt;BOTT_C4,ROUND(BASE_C4+RATE_C4*($A1835-BOTT_C4),0),IF($A1835&gt;BOTT_C3,ROUND(BASE_C3+RATE_C3*($A1835-BOTT_C3),0),IF($A1835&gt;BOTT_C2,ROUND(BASE_C2+RATE_C2*($A1835-BOTT_C2),0),ROUND(RATE_C1*$A1835,0))))</f>
        <v/>
      </c>
      <c r="G1835" s="556">
        <f>IF($A1835&gt;BOTT_D4,ROUND(BASE_D4+RATE_D4*($A1835-BOTT_D4),0),IF($A1835&gt;BOTT_D3,ROUND(BASE_D3+RATE_D3*($A1835-BOTT_D3),0),IF($A1835&gt;BOTT_D2,ROUND(BASE_D2+RATE_D2*($A1835-BOTT_D2),0),ROUND(RATE_D1*$A1835,0))))</f>
        <v/>
      </c>
    </row>
    <row r="1836" ht="15.75" customHeight="1" s="7635">
      <c r="A1836" s="625">
        <f>AVERAGE(B1836,C1836)</f>
        <v/>
      </c>
      <c r="B1836" s="555" t="n">
        <v>88600</v>
      </c>
      <c r="C1836" s="555" t="n">
        <v>88650</v>
      </c>
      <c r="D1836" s="556">
        <f>IF($A1836&gt;BOTT_A4,ROUND(BASE_A4+RATE_A4*($A1836-BOTT_A4),0),IF($A1836&gt;BOTT_A3,ROUND(BASE_A3+RATE_A3*($A1836-BOTT_A3),0),IF($A1836&gt;BOTT_A2,ROUND(BASE_A2+RATE_A2*($A1836-BOTT_A2),0),ROUND(RATE_A1*$A1836,0))))</f>
        <v/>
      </c>
      <c r="E1836" s="556">
        <f>IF($A1836&gt;BOTT_B4,ROUND(BASE_B4+RATE_B4*($A1836-BOTT_B4),0),IF($A1836&gt;BOTT_B3,ROUND(BASE_B3+RATE_B3*($A1836-BOTT_B3),0),IF($A1836&gt;BOTT_B2,ROUND(BASE_B2+RATE_B2*($A1836-BOTT_B2),0),ROUND(RATE_B1*$A1836,0))))</f>
        <v/>
      </c>
      <c r="F1836" s="556">
        <f>IF($A1836&gt;BOTT_C4,ROUND(BASE_C4+RATE_C4*($A1836-BOTT_C4),0),IF($A1836&gt;BOTT_C3,ROUND(BASE_C3+RATE_C3*($A1836-BOTT_C3),0),IF($A1836&gt;BOTT_C2,ROUND(BASE_C2+RATE_C2*($A1836-BOTT_C2),0),ROUND(RATE_C1*$A1836,0))))</f>
        <v/>
      </c>
      <c r="G1836" s="556">
        <f>IF($A1836&gt;BOTT_D4,ROUND(BASE_D4+RATE_D4*($A1836-BOTT_D4),0),IF($A1836&gt;BOTT_D3,ROUND(BASE_D3+RATE_D3*($A1836-BOTT_D3),0),IF($A1836&gt;BOTT_D2,ROUND(BASE_D2+RATE_D2*($A1836-BOTT_D2),0),ROUND(RATE_D1*$A1836,0))))</f>
        <v/>
      </c>
    </row>
    <row r="1837" ht="15.75" customHeight="1" s="7635">
      <c r="A1837" s="625">
        <f>AVERAGE(B1837,C1837)</f>
        <v/>
      </c>
      <c r="B1837" s="555" t="n">
        <v>88650</v>
      </c>
      <c r="C1837" s="555" t="n">
        <v>88700</v>
      </c>
      <c r="D1837" s="556">
        <f>IF($A1837&gt;BOTT_A4,ROUND(BASE_A4+RATE_A4*($A1837-BOTT_A4),0),IF($A1837&gt;BOTT_A3,ROUND(BASE_A3+RATE_A3*($A1837-BOTT_A3),0),IF($A1837&gt;BOTT_A2,ROUND(BASE_A2+RATE_A2*($A1837-BOTT_A2),0),ROUND(RATE_A1*$A1837,0))))</f>
        <v/>
      </c>
      <c r="E1837" s="556">
        <f>IF($A1837&gt;BOTT_B4,ROUND(BASE_B4+RATE_B4*($A1837-BOTT_B4),0),IF($A1837&gt;BOTT_B3,ROUND(BASE_B3+RATE_B3*($A1837-BOTT_B3),0),IF($A1837&gt;BOTT_B2,ROUND(BASE_B2+RATE_B2*($A1837-BOTT_B2),0),ROUND(RATE_B1*$A1837,0))))</f>
        <v/>
      </c>
      <c r="F1837" s="556">
        <f>IF($A1837&gt;BOTT_C4,ROUND(BASE_C4+RATE_C4*($A1837-BOTT_C4),0),IF($A1837&gt;BOTT_C3,ROUND(BASE_C3+RATE_C3*($A1837-BOTT_C3),0),IF($A1837&gt;BOTT_C2,ROUND(BASE_C2+RATE_C2*($A1837-BOTT_C2),0),ROUND(RATE_C1*$A1837,0))))</f>
        <v/>
      </c>
      <c r="G1837" s="556">
        <f>IF($A1837&gt;BOTT_D4,ROUND(BASE_D4+RATE_D4*($A1837-BOTT_D4),0),IF($A1837&gt;BOTT_D3,ROUND(BASE_D3+RATE_D3*($A1837-BOTT_D3),0),IF($A1837&gt;BOTT_D2,ROUND(BASE_D2+RATE_D2*($A1837-BOTT_D2),0),ROUND(RATE_D1*$A1837,0))))</f>
        <v/>
      </c>
    </row>
    <row r="1838" ht="15.75" customHeight="1" s="7635">
      <c r="A1838" s="625">
        <f>AVERAGE(B1838,C1838)</f>
        <v/>
      </c>
      <c r="B1838" s="555" t="n">
        <v>88700</v>
      </c>
      <c r="C1838" s="555" t="n">
        <v>88750</v>
      </c>
      <c r="D1838" s="556">
        <f>IF($A1838&gt;BOTT_A4,ROUND(BASE_A4+RATE_A4*($A1838-BOTT_A4),0),IF($A1838&gt;BOTT_A3,ROUND(BASE_A3+RATE_A3*($A1838-BOTT_A3),0),IF($A1838&gt;BOTT_A2,ROUND(BASE_A2+RATE_A2*($A1838-BOTT_A2),0),ROUND(RATE_A1*$A1838,0))))</f>
        <v/>
      </c>
      <c r="E1838" s="556">
        <f>IF($A1838&gt;BOTT_B4,ROUND(BASE_B4+RATE_B4*($A1838-BOTT_B4),0),IF($A1838&gt;BOTT_B3,ROUND(BASE_B3+RATE_B3*($A1838-BOTT_B3),0),IF($A1838&gt;BOTT_B2,ROUND(BASE_B2+RATE_B2*($A1838-BOTT_B2),0),ROUND(RATE_B1*$A1838,0))))</f>
        <v/>
      </c>
      <c r="F1838" s="556">
        <f>IF($A1838&gt;BOTT_C4,ROUND(BASE_C4+RATE_C4*($A1838-BOTT_C4),0),IF($A1838&gt;BOTT_C3,ROUND(BASE_C3+RATE_C3*($A1838-BOTT_C3),0),IF($A1838&gt;BOTT_C2,ROUND(BASE_C2+RATE_C2*($A1838-BOTT_C2),0),ROUND(RATE_C1*$A1838,0))))</f>
        <v/>
      </c>
      <c r="G1838" s="556">
        <f>IF($A1838&gt;BOTT_D4,ROUND(BASE_D4+RATE_D4*($A1838-BOTT_D4),0),IF($A1838&gt;BOTT_D3,ROUND(BASE_D3+RATE_D3*($A1838-BOTT_D3),0),IF($A1838&gt;BOTT_D2,ROUND(BASE_D2+RATE_D2*($A1838-BOTT_D2),0),ROUND(RATE_D1*$A1838,0))))</f>
        <v/>
      </c>
    </row>
    <row r="1839" ht="15.75" customHeight="1" s="7635">
      <c r="A1839" s="625">
        <f>AVERAGE(B1839,C1839)</f>
        <v/>
      </c>
      <c r="B1839" s="555" t="n">
        <v>88750</v>
      </c>
      <c r="C1839" s="555" t="n">
        <v>88800</v>
      </c>
      <c r="D1839" s="556">
        <f>IF($A1839&gt;BOTT_A4,ROUND(BASE_A4+RATE_A4*($A1839-BOTT_A4),0),IF($A1839&gt;BOTT_A3,ROUND(BASE_A3+RATE_A3*($A1839-BOTT_A3),0),IF($A1839&gt;BOTT_A2,ROUND(BASE_A2+RATE_A2*($A1839-BOTT_A2),0),ROUND(RATE_A1*$A1839,0))))</f>
        <v/>
      </c>
      <c r="E1839" s="556">
        <f>IF($A1839&gt;BOTT_B4,ROUND(BASE_B4+RATE_B4*($A1839-BOTT_B4),0),IF($A1839&gt;BOTT_B3,ROUND(BASE_B3+RATE_B3*($A1839-BOTT_B3),0),IF($A1839&gt;BOTT_B2,ROUND(BASE_B2+RATE_B2*($A1839-BOTT_B2),0),ROUND(RATE_B1*$A1839,0))))</f>
        <v/>
      </c>
      <c r="F1839" s="556">
        <f>IF($A1839&gt;BOTT_C4,ROUND(BASE_C4+RATE_C4*($A1839-BOTT_C4),0),IF($A1839&gt;BOTT_C3,ROUND(BASE_C3+RATE_C3*($A1839-BOTT_C3),0),IF($A1839&gt;BOTT_C2,ROUND(BASE_C2+RATE_C2*($A1839-BOTT_C2),0),ROUND(RATE_C1*$A1839,0))))</f>
        <v/>
      </c>
      <c r="G1839" s="556">
        <f>IF($A1839&gt;BOTT_D4,ROUND(BASE_D4+RATE_D4*($A1839-BOTT_D4),0),IF($A1839&gt;BOTT_D3,ROUND(BASE_D3+RATE_D3*($A1839-BOTT_D3),0),IF($A1839&gt;BOTT_D2,ROUND(BASE_D2+RATE_D2*($A1839-BOTT_D2),0),ROUND(RATE_D1*$A1839,0))))</f>
        <v/>
      </c>
    </row>
    <row r="1840" ht="15.75" customHeight="1" s="7635">
      <c r="A1840" s="625">
        <f>AVERAGE(B1840,C1840)</f>
        <v/>
      </c>
      <c r="B1840" s="555" t="n">
        <v>88800</v>
      </c>
      <c r="C1840" s="555" t="n">
        <v>88850</v>
      </c>
      <c r="D1840" s="556">
        <f>IF($A1840&gt;BOTT_A4,ROUND(BASE_A4+RATE_A4*($A1840-BOTT_A4),0),IF($A1840&gt;BOTT_A3,ROUND(BASE_A3+RATE_A3*($A1840-BOTT_A3),0),IF($A1840&gt;BOTT_A2,ROUND(BASE_A2+RATE_A2*($A1840-BOTT_A2),0),ROUND(RATE_A1*$A1840,0))))</f>
        <v/>
      </c>
      <c r="E1840" s="556">
        <f>IF($A1840&gt;BOTT_B4,ROUND(BASE_B4+RATE_B4*($A1840-BOTT_B4),0),IF($A1840&gt;BOTT_B3,ROUND(BASE_B3+RATE_B3*($A1840-BOTT_B3),0),IF($A1840&gt;BOTT_B2,ROUND(BASE_B2+RATE_B2*($A1840-BOTT_B2),0),ROUND(RATE_B1*$A1840,0))))</f>
        <v/>
      </c>
      <c r="F1840" s="556">
        <f>IF($A1840&gt;BOTT_C4,ROUND(BASE_C4+RATE_C4*($A1840-BOTT_C4),0),IF($A1840&gt;BOTT_C3,ROUND(BASE_C3+RATE_C3*($A1840-BOTT_C3),0),IF($A1840&gt;BOTT_C2,ROUND(BASE_C2+RATE_C2*($A1840-BOTT_C2),0),ROUND(RATE_C1*$A1840,0))))</f>
        <v/>
      </c>
      <c r="G1840" s="556">
        <f>IF($A1840&gt;BOTT_D4,ROUND(BASE_D4+RATE_D4*($A1840-BOTT_D4),0),IF($A1840&gt;BOTT_D3,ROUND(BASE_D3+RATE_D3*($A1840-BOTT_D3),0),IF($A1840&gt;BOTT_D2,ROUND(BASE_D2+RATE_D2*($A1840-BOTT_D2),0),ROUND(RATE_D1*$A1840,0))))</f>
        <v/>
      </c>
    </row>
    <row r="1841" ht="15.75" customHeight="1" s="7635">
      <c r="A1841" s="625">
        <f>AVERAGE(B1841,C1841)</f>
        <v/>
      </c>
      <c r="B1841" s="555" t="n">
        <v>88850</v>
      </c>
      <c r="C1841" s="555" t="n">
        <v>88900</v>
      </c>
      <c r="D1841" s="556">
        <f>IF($A1841&gt;BOTT_A4,ROUND(BASE_A4+RATE_A4*($A1841-BOTT_A4),0),IF($A1841&gt;BOTT_A3,ROUND(BASE_A3+RATE_A3*($A1841-BOTT_A3),0),IF($A1841&gt;BOTT_A2,ROUND(BASE_A2+RATE_A2*($A1841-BOTT_A2),0),ROUND(RATE_A1*$A1841,0))))</f>
        <v/>
      </c>
      <c r="E1841" s="556">
        <f>IF($A1841&gt;BOTT_B4,ROUND(BASE_B4+RATE_B4*($A1841-BOTT_B4),0),IF($A1841&gt;BOTT_B3,ROUND(BASE_B3+RATE_B3*($A1841-BOTT_B3),0),IF($A1841&gt;BOTT_B2,ROUND(BASE_B2+RATE_B2*($A1841-BOTT_B2),0),ROUND(RATE_B1*$A1841,0))))</f>
        <v/>
      </c>
      <c r="F1841" s="556">
        <f>IF($A1841&gt;BOTT_C4,ROUND(BASE_C4+RATE_C4*($A1841-BOTT_C4),0),IF($A1841&gt;BOTT_C3,ROUND(BASE_C3+RATE_C3*($A1841-BOTT_C3),0),IF($A1841&gt;BOTT_C2,ROUND(BASE_C2+RATE_C2*($A1841-BOTT_C2),0),ROUND(RATE_C1*$A1841,0))))</f>
        <v/>
      </c>
      <c r="G1841" s="556">
        <f>IF($A1841&gt;BOTT_D4,ROUND(BASE_D4+RATE_D4*($A1841-BOTT_D4),0),IF($A1841&gt;BOTT_D3,ROUND(BASE_D3+RATE_D3*($A1841-BOTT_D3),0),IF($A1841&gt;BOTT_D2,ROUND(BASE_D2+RATE_D2*($A1841-BOTT_D2),0),ROUND(RATE_D1*$A1841,0))))</f>
        <v/>
      </c>
    </row>
    <row r="1842" ht="15.75" customHeight="1" s="7635">
      <c r="A1842" s="625">
        <f>AVERAGE(B1842,C1842)</f>
        <v/>
      </c>
      <c r="B1842" s="555" t="n">
        <v>88900</v>
      </c>
      <c r="C1842" s="555" t="n">
        <v>88950</v>
      </c>
      <c r="D1842" s="556">
        <f>IF($A1842&gt;BOTT_A4,ROUND(BASE_A4+RATE_A4*($A1842-BOTT_A4),0),IF($A1842&gt;BOTT_A3,ROUND(BASE_A3+RATE_A3*($A1842-BOTT_A3),0),IF($A1842&gt;BOTT_A2,ROUND(BASE_A2+RATE_A2*($A1842-BOTT_A2),0),ROUND(RATE_A1*$A1842,0))))</f>
        <v/>
      </c>
      <c r="E1842" s="556">
        <f>IF($A1842&gt;BOTT_B4,ROUND(BASE_B4+RATE_B4*($A1842-BOTT_B4),0),IF($A1842&gt;BOTT_B3,ROUND(BASE_B3+RATE_B3*($A1842-BOTT_B3),0),IF($A1842&gt;BOTT_B2,ROUND(BASE_B2+RATE_B2*($A1842-BOTT_B2),0),ROUND(RATE_B1*$A1842,0))))</f>
        <v/>
      </c>
      <c r="F1842" s="556">
        <f>IF($A1842&gt;BOTT_C4,ROUND(BASE_C4+RATE_C4*($A1842-BOTT_C4),0),IF($A1842&gt;BOTT_C3,ROUND(BASE_C3+RATE_C3*($A1842-BOTT_C3),0),IF($A1842&gt;BOTT_C2,ROUND(BASE_C2+RATE_C2*($A1842-BOTT_C2),0),ROUND(RATE_C1*$A1842,0))))</f>
        <v/>
      </c>
      <c r="G1842" s="556">
        <f>IF($A1842&gt;BOTT_D4,ROUND(BASE_D4+RATE_D4*($A1842-BOTT_D4),0),IF($A1842&gt;BOTT_D3,ROUND(BASE_D3+RATE_D3*($A1842-BOTT_D3),0),IF($A1842&gt;BOTT_D2,ROUND(BASE_D2+RATE_D2*($A1842-BOTT_D2),0),ROUND(RATE_D1*$A1842,0))))</f>
        <v/>
      </c>
    </row>
    <row r="1843" ht="15.75" customHeight="1" s="7635">
      <c r="A1843" s="625">
        <f>AVERAGE(B1843,C1843)</f>
        <v/>
      </c>
      <c r="B1843" s="555" t="n">
        <v>88950</v>
      </c>
      <c r="C1843" s="555" t="n">
        <v>89000</v>
      </c>
      <c r="D1843" s="556">
        <f>IF($A1843&gt;BOTT_A4,ROUND(BASE_A4+RATE_A4*($A1843-BOTT_A4),0),IF($A1843&gt;BOTT_A3,ROUND(BASE_A3+RATE_A3*($A1843-BOTT_A3),0),IF($A1843&gt;BOTT_A2,ROUND(BASE_A2+RATE_A2*($A1843-BOTT_A2),0),ROUND(RATE_A1*$A1843,0))))</f>
        <v/>
      </c>
      <c r="E1843" s="556">
        <f>IF($A1843&gt;BOTT_B4,ROUND(BASE_B4+RATE_B4*($A1843-BOTT_B4),0),IF($A1843&gt;BOTT_B3,ROUND(BASE_B3+RATE_B3*($A1843-BOTT_B3),0),IF($A1843&gt;BOTT_B2,ROUND(BASE_B2+RATE_B2*($A1843-BOTT_B2),0),ROUND(RATE_B1*$A1843,0))))</f>
        <v/>
      </c>
      <c r="F1843" s="556">
        <f>IF($A1843&gt;BOTT_C4,ROUND(BASE_C4+RATE_C4*($A1843-BOTT_C4),0),IF($A1843&gt;BOTT_C3,ROUND(BASE_C3+RATE_C3*($A1843-BOTT_C3),0),IF($A1843&gt;BOTT_C2,ROUND(BASE_C2+RATE_C2*($A1843-BOTT_C2),0),ROUND(RATE_C1*$A1843,0))))</f>
        <v/>
      </c>
      <c r="G1843" s="556">
        <f>IF($A1843&gt;BOTT_D4,ROUND(BASE_D4+RATE_D4*($A1843-BOTT_D4),0),IF($A1843&gt;BOTT_D3,ROUND(BASE_D3+RATE_D3*($A1843-BOTT_D3),0),IF($A1843&gt;BOTT_D2,ROUND(BASE_D2+RATE_D2*($A1843-BOTT_D2),0),ROUND(RATE_D1*$A1843,0))))</f>
        <v/>
      </c>
    </row>
    <row r="1844" ht="15.75" customHeight="1" s="7635">
      <c r="A1844" s="625">
        <f>AVERAGE(B1844,C1844)</f>
        <v/>
      </c>
      <c r="B1844" s="555" t="n">
        <v>89000</v>
      </c>
      <c r="C1844" s="555" t="n">
        <v>89050</v>
      </c>
      <c r="D1844" s="556">
        <f>IF($A1844&gt;BOTT_A4,ROUND(BASE_A4+RATE_A4*($A1844-BOTT_A4),0),IF($A1844&gt;BOTT_A3,ROUND(BASE_A3+RATE_A3*($A1844-BOTT_A3),0),IF($A1844&gt;BOTT_A2,ROUND(BASE_A2+RATE_A2*($A1844-BOTT_A2),0),ROUND(RATE_A1*$A1844,0))))</f>
        <v/>
      </c>
      <c r="E1844" s="556">
        <f>IF($A1844&gt;BOTT_B4,ROUND(BASE_B4+RATE_B4*($A1844-BOTT_B4),0),IF($A1844&gt;BOTT_B3,ROUND(BASE_B3+RATE_B3*($A1844-BOTT_B3),0),IF($A1844&gt;BOTT_B2,ROUND(BASE_B2+RATE_B2*($A1844-BOTT_B2),0),ROUND(RATE_B1*$A1844,0))))</f>
        <v/>
      </c>
      <c r="F1844" s="556">
        <f>IF($A1844&gt;BOTT_C4,ROUND(BASE_C4+RATE_C4*($A1844-BOTT_C4),0),IF($A1844&gt;BOTT_C3,ROUND(BASE_C3+RATE_C3*($A1844-BOTT_C3),0),IF($A1844&gt;BOTT_C2,ROUND(BASE_C2+RATE_C2*($A1844-BOTT_C2),0),ROUND(RATE_C1*$A1844,0))))</f>
        <v/>
      </c>
      <c r="G1844" s="556">
        <f>IF($A1844&gt;BOTT_D4,ROUND(BASE_D4+RATE_D4*($A1844-BOTT_D4),0),IF($A1844&gt;BOTT_D3,ROUND(BASE_D3+RATE_D3*($A1844-BOTT_D3),0),IF($A1844&gt;BOTT_D2,ROUND(BASE_D2+RATE_D2*($A1844-BOTT_D2),0),ROUND(RATE_D1*$A1844,0))))</f>
        <v/>
      </c>
    </row>
    <row r="1845" ht="15.75" customHeight="1" s="7635">
      <c r="A1845" s="625">
        <f>AVERAGE(B1845,C1845)</f>
        <v/>
      </c>
      <c r="B1845" s="555" t="n">
        <v>89050</v>
      </c>
      <c r="C1845" s="555" t="n">
        <v>89100</v>
      </c>
      <c r="D1845" s="556">
        <f>IF($A1845&gt;BOTT_A4,ROUND(BASE_A4+RATE_A4*($A1845-BOTT_A4),0),IF($A1845&gt;BOTT_A3,ROUND(BASE_A3+RATE_A3*($A1845-BOTT_A3),0),IF($A1845&gt;BOTT_A2,ROUND(BASE_A2+RATE_A2*($A1845-BOTT_A2),0),ROUND(RATE_A1*$A1845,0))))</f>
        <v/>
      </c>
      <c r="E1845" s="556">
        <f>IF($A1845&gt;BOTT_B4,ROUND(BASE_B4+RATE_B4*($A1845-BOTT_B4),0),IF($A1845&gt;BOTT_B3,ROUND(BASE_B3+RATE_B3*($A1845-BOTT_B3),0),IF($A1845&gt;BOTT_B2,ROUND(BASE_B2+RATE_B2*($A1845-BOTT_B2),0),ROUND(RATE_B1*$A1845,0))))</f>
        <v/>
      </c>
      <c r="F1845" s="556">
        <f>IF($A1845&gt;BOTT_C4,ROUND(BASE_C4+RATE_C4*($A1845-BOTT_C4),0),IF($A1845&gt;BOTT_C3,ROUND(BASE_C3+RATE_C3*($A1845-BOTT_C3),0),IF($A1845&gt;BOTT_C2,ROUND(BASE_C2+RATE_C2*($A1845-BOTT_C2),0),ROUND(RATE_C1*$A1845,0))))</f>
        <v/>
      </c>
      <c r="G1845" s="556">
        <f>IF($A1845&gt;BOTT_D4,ROUND(BASE_D4+RATE_D4*($A1845-BOTT_D4),0),IF($A1845&gt;BOTT_D3,ROUND(BASE_D3+RATE_D3*($A1845-BOTT_D3),0),IF($A1845&gt;BOTT_D2,ROUND(BASE_D2+RATE_D2*($A1845-BOTT_D2),0),ROUND(RATE_D1*$A1845,0))))</f>
        <v/>
      </c>
    </row>
    <row r="1846" ht="15.75" customHeight="1" s="7635">
      <c r="A1846" s="625">
        <f>AVERAGE(B1846,C1846)</f>
        <v/>
      </c>
      <c r="B1846" s="555" t="n">
        <v>89100</v>
      </c>
      <c r="C1846" s="555" t="n">
        <v>89150</v>
      </c>
      <c r="D1846" s="556">
        <f>IF($A1846&gt;BOTT_A4,ROUND(BASE_A4+RATE_A4*($A1846-BOTT_A4),0),IF($A1846&gt;BOTT_A3,ROUND(BASE_A3+RATE_A3*($A1846-BOTT_A3),0),IF($A1846&gt;BOTT_A2,ROUND(BASE_A2+RATE_A2*($A1846-BOTT_A2),0),ROUND(RATE_A1*$A1846,0))))</f>
        <v/>
      </c>
      <c r="E1846" s="556">
        <f>IF($A1846&gt;BOTT_B4,ROUND(BASE_B4+RATE_B4*($A1846-BOTT_B4),0),IF($A1846&gt;BOTT_B3,ROUND(BASE_B3+RATE_B3*($A1846-BOTT_B3),0),IF($A1846&gt;BOTT_B2,ROUND(BASE_B2+RATE_B2*($A1846-BOTT_B2),0),ROUND(RATE_B1*$A1846,0))))</f>
        <v/>
      </c>
      <c r="F1846" s="556">
        <f>IF($A1846&gt;BOTT_C4,ROUND(BASE_C4+RATE_C4*($A1846-BOTT_C4),0),IF($A1846&gt;BOTT_C3,ROUND(BASE_C3+RATE_C3*($A1846-BOTT_C3),0),IF($A1846&gt;BOTT_C2,ROUND(BASE_C2+RATE_C2*($A1846-BOTT_C2),0),ROUND(RATE_C1*$A1846,0))))</f>
        <v/>
      </c>
      <c r="G1846" s="556">
        <f>IF($A1846&gt;BOTT_D4,ROUND(BASE_D4+RATE_D4*($A1846-BOTT_D4),0),IF($A1846&gt;BOTT_D3,ROUND(BASE_D3+RATE_D3*($A1846-BOTT_D3),0),IF($A1846&gt;BOTT_D2,ROUND(BASE_D2+RATE_D2*($A1846-BOTT_D2),0),ROUND(RATE_D1*$A1846,0))))</f>
        <v/>
      </c>
    </row>
    <row r="1847" ht="15.75" customHeight="1" s="7635">
      <c r="A1847" s="625">
        <f>AVERAGE(B1847,C1847)</f>
        <v/>
      </c>
      <c r="B1847" s="555" t="n">
        <v>89150</v>
      </c>
      <c r="C1847" s="555" t="n">
        <v>89200</v>
      </c>
      <c r="D1847" s="556">
        <f>IF($A1847&gt;BOTT_A4,ROUND(BASE_A4+RATE_A4*($A1847-BOTT_A4),0),IF($A1847&gt;BOTT_A3,ROUND(BASE_A3+RATE_A3*($A1847-BOTT_A3),0),IF($A1847&gt;BOTT_A2,ROUND(BASE_A2+RATE_A2*($A1847-BOTT_A2),0),ROUND(RATE_A1*$A1847,0))))</f>
        <v/>
      </c>
      <c r="E1847" s="556">
        <f>IF($A1847&gt;BOTT_B4,ROUND(BASE_B4+RATE_B4*($A1847-BOTT_B4),0),IF($A1847&gt;BOTT_B3,ROUND(BASE_B3+RATE_B3*($A1847-BOTT_B3),0),IF($A1847&gt;BOTT_B2,ROUND(BASE_B2+RATE_B2*($A1847-BOTT_B2),0),ROUND(RATE_B1*$A1847,0))))</f>
        <v/>
      </c>
      <c r="F1847" s="556">
        <f>IF($A1847&gt;BOTT_C4,ROUND(BASE_C4+RATE_C4*($A1847-BOTT_C4),0),IF($A1847&gt;BOTT_C3,ROUND(BASE_C3+RATE_C3*($A1847-BOTT_C3),0),IF($A1847&gt;BOTT_C2,ROUND(BASE_C2+RATE_C2*($A1847-BOTT_C2),0),ROUND(RATE_C1*$A1847,0))))</f>
        <v/>
      </c>
      <c r="G1847" s="556">
        <f>IF($A1847&gt;BOTT_D4,ROUND(BASE_D4+RATE_D4*($A1847-BOTT_D4),0),IF($A1847&gt;BOTT_D3,ROUND(BASE_D3+RATE_D3*($A1847-BOTT_D3),0),IF($A1847&gt;BOTT_D2,ROUND(BASE_D2+RATE_D2*($A1847-BOTT_D2),0),ROUND(RATE_D1*$A1847,0))))</f>
        <v/>
      </c>
    </row>
    <row r="1848" ht="15.75" customHeight="1" s="7635">
      <c r="A1848" s="625">
        <f>AVERAGE(B1848,C1848)</f>
        <v/>
      </c>
      <c r="B1848" s="555" t="n">
        <v>89200</v>
      </c>
      <c r="C1848" s="555" t="n">
        <v>89250</v>
      </c>
      <c r="D1848" s="556">
        <f>IF($A1848&gt;BOTT_A4,ROUND(BASE_A4+RATE_A4*($A1848-BOTT_A4),0),IF($A1848&gt;BOTT_A3,ROUND(BASE_A3+RATE_A3*($A1848-BOTT_A3),0),IF($A1848&gt;BOTT_A2,ROUND(BASE_A2+RATE_A2*($A1848-BOTT_A2),0),ROUND(RATE_A1*$A1848,0))))</f>
        <v/>
      </c>
      <c r="E1848" s="556">
        <f>IF($A1848&gt;BOTT_B4,ROUND(BASE_B4+RATE_B4*($A1848-BOTT_B4),0),IF($A1848&gt;BOTT_B3,ROUND(BASE_B3+RATE_B3*($A1848-BOTT_B3),0),IF($A1848&gt;BOTT_B2,ROUND(BASE_B2+RATE_B2*($A1848-BOTT_B2),0),ROUND(RATE_B1*$A1848,0))))</f>
        <v/>
      </c>
      <c r="F1848" s="556">
        <f>IF($A1848&gt;BOTT_C4,ROUND(BASE_C4+RATE_C4*($A1848-BOTT_C4),0),IF($A1848&gt;BOTT_C3,ROUND(BASE_C3+RATE_C3*($A1848-BOTT_C3),0),IF($A1848&gt;BOTT_C2,ROUND(BASE_C2+RATE_C2*($A1848-BOTT_C2),0),ROUND(RATE_C1*$A1848,0))))</f>
        <v/>
      </c>
      <c r="G1848" s="556">
        <f>IF($A1848&gt;BOTT_D4,ROUND(BASE_D4+RATE_D4*($A1848-BOTT_D4),0),IF($A1848&gt;BOTT_D3,ROUND(BASE_D3+RATE_D3*($A1848-BOTT_D3),0),IF($A1848&gt;BOTT_D2,ROUND(BASE_D2+RATE_D2*($A1848-BOTT_D2),0),ROUND(RATE_D1*$A1848,0))))</f>
        <v/>
      </c>
    </row>
    <row r="1849" ht="15.75" customHeight="1" s="7635">
      <c r="A1849" s="625">
        <f>AVERAGE(B1849,C1849)</f>
        <v/>
      </c>
      <c r="B1849" s="555" t="n">
        <v>89250</v>
      </c>
      <c r="C1849" s="555" t="n">
        <v>89300</v>
      </c>
      <c r="D1849" s="556">
        <f>IF($A1849&gt;BOTT_A4,ROUND(BASE_A4+RATE_A4*($A1849-BOTT_A4),0),IF($A1849&gt;BOTT_A3,ROUND(BASE_A3+RATE_A3*($A1849-BOTT_A3),0),IF($A1849&gt;BOTT_A2,ROUND(BASE_A2+RATE_A2*($A1849-BOTT_A2),0),ROUND(RATE_A1*$A1849,0))))</f>
        <v/>
      </c>
      <c r="E1849" s="556">
        <f>IF($A1849&gt;BOTT_B4,ROUND(BASE_B4+RATE_B4*($A1849-BOTT_B4),0),IF($A1849&gt;BOTT_B3,ROUND(BASE_B3+RATE_B3*($A1849-BOTT_B3),0),IF($A1849&gt;BOTT_B2,ROUND(BASE_B2+RATE_B2*($A1849-BOTT_B2),0),ROUND(RATE_B1*$A1849,0))))</f>
        <v/>
      </c>
      <c r="F1849" s="556">
        <f>IF($A1849&gt;BOTT_C4,ROUND(BASE_C4+RATE_C4*($A1849-BOTT_C4),0),IF($A1849&gt;BOTT_C3,ROUND(BASE_C3+RATE_C3*($A1849-BOTT_C3),0),IF($A1849&gt;BOTT_C2,ROUND(BASE_C2+RATE_C2*($A1849-BOTT_C2),0),ROUND(RATE_C1*$A1849,0))))</f>
        <v/>
      </c>
      <c r="G1849" s="556">
        <f>IF($A1849&gt;BOTT_D4,ROUND(BASE_D4+RATE_D4*($A1849-BOTT_D4),0),IF($A1849&gt;BOTT_D3,ROUND(BASE_D3+RATE_D3*($A1849-BOTT_D3),0),IF($A1849&gt;BOTT_D2,ROUND(BASE_D2+RATE_D2*($A1849-BOTT_D2),0),ROUND(RATE_D1*$A1849,0))))</f>
        <v/>
      </c>
    </row>
    <row r="1850" ht="15.75" customHeight="1" s="7635">
      <c r="A1850" s="625">
        <f>AVERAGE(B1850,C1850)</f>
        <v/>
      </c>
      <c r="B1850" s="555" t="n">
        <v>89300</v>
      </c>
      <c r="C1850" s="555" t="n">
        <v>89350</v>
      </c>
      <c r="D1850" s="556">
        <f>IF($A1850&gt;BOTT_A4,ROUND(BASE_A4+RATE_A4*($A1850-BOTT_A4),0),IF($A1850&gt;BOTT_A3,ROUND(BASE_A3+RATE_A3*($A1850-BOTT_A3),0),IF($A1850&gt;BOTT_A2,ROUND(BASE_A2+RATE_A2*($A1850-BOTT_A2),0),ROUND(RATE_A1*$A1850,0))))</f>
        <v/>
      </c>
      <c r="E1850" s="556">
        <f>IF($A1850&gt;BOTT_B4,ROUND(BASE_B4+RATE_B4*($A1850-BOTT_B4),0),IF($A1850&gt;BOTT_B3,ROUND(BASE_B3+RATE_B3*($A1850-BOTT_B3),0),IF($A1850&gt;BOTT_B2,ROUND(BASE_B2+RATE_B2*($A1850-BOTT_B2),0),ROUND(RATE_B1*$A1850,0))))</f>
        <v/>
      </c>
      <c r="F1850" s="556">
        <f>IF($A1850&gt;BOTT_C4,ROUND(BASE_C4+RATE_C4*($A1850-BOTT_C4),0),IF($A1850&gt;BOTT_C3,ROUND(BASE_C3+RATE_C3*($A1850-BOTT_C3),0),IF($A1850&gt;BOTT_C2,ROUND(BASE_C2+RATE_C2*($A1850-BOTT_C2),0),ROUND(RATE_C1*$A1850,0))))</f>
        <v/>
      </c>
      <c r="G1850" s="556">
        <f>IF($A1850&gt;BOTT_D4,ROUND(BASE_D4+RATE_D4*($A1850-BOTT_D4),0),IF($A1850&gt;BOTT_D3,ROUND(BASE_D3+RATE_D3*($A1850-BOTT_D3),0),IF($A1850&gt;BOTT_D2,ROUND(BASE_D2+RATE_D2*($A1850-BOTT_D2),0),ROUND(RATE_D1*$A1850,0))))</f>
        <v/>
      </c>
    </row>
    <row r="1851" ht="15.75" customHeight="1" s="7635">
      <c r="A1851" s="625">
        <f>AVERAGE(B1851,C1851)</f>
        <v/>
      </c>
      <c r="B1851" s="555" t="n">
        <v>89350</v>
      </c>
      <c r="C1851" s="555" t="n">
        <v>89400</v>
      </c>
      <c r="D1851" s="556">
        <f>IF($A1851&gt;BOTT_A4,ROUND(BASE_A4+RATE_A4*($A1851-BOTT_A4),0),IF($A1851&gt;BOTT_A3,ROUND(BASE_A3+RATE_A3*($A1851-BOTT_A3),0),IF($A1851&gt;BOTT_A2,ROUND(BASE_A2+RATE_A2*($A1851-BOTT_A2),0),ROUND(RATE_A1*$A1851,0))))</f>
        <v/>
      </c>
      <c r="E1851" s="556">
        <f>IF($A1851&gt;BOTT_B4,ROUND(BASE_B4+RATE_B4*($A1851-BOTT_B4),0),IF($A1851&gt;BOTT_B3,ROUND(BASE_B3+RATE_B3*($A1851-BOTT_B3),0),IF($A1851&gt;BOTT_B2,ROUND(BASE_B2+RATE_B2*($A1851-BOTT_B2),0),ROUND(RATE_B1*$A1851,0))))</f>
        <v/>
      </c>
      <c r="F1851" s="556">
        <f>IF($A1851&gt;BOTT_C4,ROUND(BASE_C4+RATE_C4*($A1851-BOTT_C4),0),IF($A1851&gt;BOTT_C3,ROUND(BASE_C3+RATE_C3*($A1851-BOTT_C3),0),IF($A1851&gt;BOTT_C2,ROUND(BASE_C2+RATE_C2*($A1851-BOTT_C2),0),ROUND(RATE_C1*$A1851,0))))</f>
        <v/>
      </c>
      <c r="G1851" s="556">
        <f>IF($A1851&gt;BOTT_D4,ROUND(BASE_D4+RATE_D4*($A1851-BOTT_D4),0),IF($A1851&gt;BOTT_D3,ROUND(BASE_D3+RATE_D3*($A1851-BOTT_D3),0),IF($A1851&gt;BOTT_D2,ROUND(BASE_D2+RATE_D2*($A1851-BOTT_D2),0),ROUND(RATE_D1*$A1851,0))))</f>
        <v/>
      </c>
    </row>
    <row r="1852" ht="15.75" customHeight="1" s="7635">
      <c r="A1852" s="625">
        <f>AVERAGE(B1852,C1852)</f>
        <v/>
      </c>
      <c r="B1852" s="555" t="n">
        <v>89400</v>
      </c>
      <c r="C1852" s="555" t="n">
        <v>89450</v>
      </c>
      <c r="D1852" s="556">
        <f>IF($A1852&gt;BOTT_A4,ROUND(BASE_A4+RATE_A4*($A1852-BOTT_A4),0),IF($A1852&gt;BOTT_A3,ROUND(BASE_A3+RATE_A3*($A1852-BOTT_A3),0),IF($A1852&gt;BOTT_A2,ROUND(BASE_A2+RATE_A2*($A1852-BOTT_A2),0),ROUND(RATE_A1*$A1852,0))))</f>
        <v/>
      </c>
      <c r="E1852" s="556">
        <f>IF($A1852&gt;BOTT_B4,ROUND(BASE_B4+RATE_B4*($A1852-BOTT_B4),0),IF($A1852&gt;BOTT_B3,ROUND(BASE_B3+RATE_B3*($A1852-BOTT_B3),0),IF($A1852&gt;BOTT_B2,ROUND(BASE_B2+RATE_B2*($A1852-BOTT_B2),0),ROUND(RATE_B1*$A1852,0))))</f>
        <v/>
      </c>
      <c r="F1852" s="556">
        <f>IF($A1852&gt;BOTT_C4,ROUND(BASE_C4+RATE_C4*($A1852-BOTT_C4),0),IF($A1852&gt;BOTT_C3,ROUND(BASE_C3+RATE_C3*($A1852-BOTT_C3),0),IF($A1852&gt;BOTT_C2,ROUND(BASE_C2+RATE_C2*($A1852-BOTT_C2),0),ROUND(RATE_C1*$A1852,0))))</f>
        <v/>
      </c>
      <c r="G1852" s="556">
        <f>IF($A1852&gt;BOTT_D4,ROUND(BASE_D4+RATE_D4*($A1852-BOTT_D4),0),IF($A1852&gt;BOTT_D3,ROUND(BASE_D3+RATE_D3*($A1852-BOTT_D3),0),IF($A1852&gt;BOTT_D2,ROUND(BASE_D2+RATE_D2*($A1852-BOTT_D2),0),ROUND(RATE_D1*$A1852,0))))</f>
        <v/>
      </c>
    </row>
    <row r="1853" ht="15.75" customHeight="1" s="7635">
      <c r="A1853" s="625">
        <f>AVERAGE(B1853,C1853)</f>
        <v/>
      </c>
      <c r="B1853" s="555" t="n">
        <v>89450</v>
      </c>
      <c r="C1853" s="555" t="n">
        <v>89500</v>
      </c>
      <c r="D1853" s="556">
        <f>IF($A1853&gt;BOTT_A4,ROUND(BASE_A4+RATE_A4*($A1853-BOTT_A4),0),IF($A1853&gt;BOTT_A3,ROUND(BASE_A3+RATE_A3*($A1853-BOTT_A3),0),IF($A1853&gt;BOTT_A2,ROUND(BASE_A2+RATE_A2*($A1853-BOTT_A2),0),ROUND(RATE_A1*$A1853,0))))</f>
        <v/>
      </c>
      <c r="E1853" s="556">
        <f>IF($A1853&gt;BOTT_B4,ROUND(BASE_B4+RATE_B4*($A1853-BOTT_B4),0),IF($A1853&gt;BOTT_B3,ROUND(BASE_B3+RATE_B3*($A1853-BOTT_B3),0),IF($A1853&gt;BOTT_B2,ROUND(BASE_B2+RATE_B2*($A1853-BOTT_B2),0),ROUND(RATE_B1*$A1853,0))))</f>
        <v/>
      </c>
      <c r="F1853" s="556">
        <f>IF($A1853&gt;BOTT_C4,ROUND(BASE_C4+RATE_C4*($A1853-BOTT_C4),0),IF($A1853&gt;BOTT_C3,ROUND(BASE_C3+RATE_C3*($A1853-BOTT_C3),0),IF($A1853&gt;BOTT_C2,ROUND(BASE_C2+RATE_C2*($A1853-BOTT_C2),0),ROUND(RATE_C1*$A1853,0))))</f>
        <v/>
      </c>
      <c r="G1853" s="556">
        <f>IF($A1853&gt;BOTT_D4,ROUND(BASE_D4+RATE_D4*($A1853-BOTT_D4),0),IF($A1853&gt;BOTT_D3,ROUND(BASE_D3+RATE_D3*($A1853-BOTT_D3),0),IF($A1853&gt;BOTT_D2,ROUND(BASE_D2+RATE_D2*($A1853-BOTT_D2),0),ROUND(RATE_D1*$A1853,0))))</f>
        <v/>
      </c>
    </row>
    <row r="1854" ht="15.75" customHeight="1" s="7635">
      <c r="A1854" s="625">
        <f>AVERAGE(B1854,C1854)</f>
        <v/>
      </c>
      <c r="B1854" s="555" t="n">
        <v>89500</v>
      </c>
      <c r="C1854" s="555" t="n">
        <v>89550</v>
      </c>
      <c r="D1854" s="556">
        <f>IF($A1854&gt;BOTT_A4,ROUND(BASE_A4+RATE_A4*($A1854-BOTT_A4),0),IF($A1854&gt;BOTT_A3,ROUND(BASE_A3+RATE_A3*($A1854-BOTT_A3),0),IF($A1854&gt;BOTT_A2,ROUND(BASE_A2+RATE_A2*($A1854-BOTT_A2),0),ROUND(RATE_A1*$A1854,0))))</f>
        <v/>
      </c>
      <c r="E1854" s="556">
        <f>IF($A1854&gt;BOTT_B4,ROUND(BASE_B4+RATE_B4*($A1854-BOTT_B4),0),IF($A1854&gt;BOTT_B3,ROUND(BASE_B3+RATE_B3*($A1854-BOTT_B3),0),IF($A1854&gt;BOTT_B2,ROUND(BASE_B2+RATE_B2*($A1854-BOTT_B2),0),ROUND(RATE_B1*$A1854,0))))</f>
        <v/>
      </c>
      <c r="F1854" s="556">
        <f>IF($A1854&gt;BOTT_C4,ROUND(BASE_C4+RATE_C4*($A1854-BOTT_C4),0),IF($A1854&gt;BOTT_C3,ROUND(BASE_C3+RATE_C3*($A1854-BOTT_C3),0),IF($A1854&gt;BOTT_C2,ROUND(BASE_C2+RATE_C2*($A1854-BOTT_C2),0),ROUND(RATE_C1*$A1854,0))))</f>
        <v/>
      </c>
      <c r="G1854" s="556">
        <f>IF($A1854&gt;BOTT_D4,ROUND(BASE_D4+RATE_D4*($A1854-BOTT_D4),0),IF($A1854&gt;BOTT_D3,ROUND(BASE_D3+RATE_D3*($A1854-BOTT_D3),0),IF($A1854&gt;BOTT_D2,ROUND(BASE_D2+RATE_D2*($A1854-BOTT_D2),0),ROUND(RATE_D1*$A1854,0))))</f>
        <v/>
      </c>
    </row>
    <row r="1855" ht="15.75" customHeight="1" s="7635">
      <c r="A1855" s="625">
        <f>AVERAGE(B1855,C1855)</f>
        <v/>
      </c>
      <c r="B1855" s="555" t="n">
        <v>89550</v>
      </c>
      <c r="C1855" s="555" t="n">
        <v>89600</v>
      </c>
      <c r="D1855" s="556">
        <f>IF($A1855&gt;BOTT_A4,ROUND(BASE_A4+RATE_A4*($A1855-BOTT_A4),0),IF($A1855&gt;BOTT_A3,ROUND(BASE_A3+RATE_A3*($A1855-BOTT_A3),0),IF($A1855&gt;BOTT_A2,ROUND(BASE_A2+RATE_A2*($A1855-BOTT_A2),0),ROUND(RATE_A1*$A1855,0))))</f>
        <v/>
      </c>
      <c r="E1855" s="556">
        <f>IF($A1855&gt;BOTT_B4,ROUND(BASE_B4+RATE_B4*($A1855-BOTT_B4),0),IF($A1855&gt;BOTT_B3,ROUND(BASE_B3+RATE_B3*($A1855-BOTT_B3),0),IF($A1855&gt;BOTT_B2,ROUND(BASE_B2+RATE_B2*($A1855-BOTT_B2),0),ROUND(RATE_B1*$A1855,0))))</f>
        <v/>
      </c>
      <c r="F1855" s="556">
        <f>IF($A1855&gt;BOTT_C4,ROUND(BASE_C4+RATE_C4*($A1855-BOTT_C4),0),IF($A1855&gt;BOTT_C3,ROUND(BASE_C3+RATE_C3*($A1855-BOTT_C3),0),IF($A1855&gt;BOTT_C2,ROUND(BASE_C2+RATE_C2*($A1855-BOTT_C2),0),ROUND(RATE_C1*$A1855,0))))</f>
        <v/>
      </c>
      <c r="G1855" s="556">
        <f>IF($A1855&gt;BOTT_D4,ROUND(BASE_D4+RATE_D4*($A1855-BOTT_D4),0),IF($A1855&gt;BOTT_D3,ROUND(BASE_D3+RATE_D3*($A1855-BOTT_D3),0),IF($A1855&gt;BOTT_D2,ROUND(BASE_D2+RATE_D2*($A1855-BOTT_D2),0),ROUND(RATE_D1*$A1855,0))))</f>
        <v/>
      </c>
    </row>
    <row r="1856" ht="15.75" customHeight="1" s="7635">
      <c r="A1856" s="625">
        <f>AVERAGE(B1856,C1856)</f>
        <v/>
      </c>
      <c r="B1856" s="555" t="n">
        <v>89600</v>
      </c>
      <c r="C1856" s="555" t="n">
        <v>89650</v>
      </c>
      <c r="D1856" s="556">
        <f>IF($A1856&gt;BOTT_A4,ROUND(BASE_A4+RATE_A4*($A1856-BOTT_A4),0),IF($A1856&gt;BOTT_A3,ROUND(BASE_A3+RATE_A3*($A1856-BOTT_A3),0),IF($A1856&gt;BOTT_A2,ROUND(BASE_A2+RATE_A2*($A1856-BOTT_A2),0),ROUND(RATE_A1*$A1856,0))))</f>
        <v/>
      </c>
      <c r="E1856" s="556">
        <f>IF($A1856&gt;BOTT_B4,ROUND(BASE_B4+RATE_B4*($A1856-BOTT_B4),0),IF($A1856&gt;BOTT_B3,ROUND(BASE_B3+RATE_B3*($A1856-BOTT_B3),0),IF($A1856&gt;BOTT_B2,ROUND(BASE_B2+RATE_B2*($A1856-BOTT_B2),0),ROUND(RATE_B1*$A1856,0))))</f>
        <v/>
      </c>
      <c r="F1856" s="556">
        <f>IF($A1856&gt;BOTT_C4,ROUND(BASE_C4+RATE_C4*($A1856-BOTT_C4),0),IF($A1856&gt;BOTT_C3,ROUND(BASE_C3+RATE_C3*($A1856-BOTT_C3),0),IF($A1856&gt;BOTT_C2,ROUND(BASE_C2+RATE_C2*($A1856-BOTT_C2),0),ROUND(RATE_C1*$A1856,0))))</f>
        <v/>
      </c>
      <c r="G1856" s="556">
        <f>IF($A1856&gt;BOTT_D4,ROUND(BASE_D4+RATE_D4*($A1856-BOTT_D4),0),IF($A1856&gt;BOTT_D3,ROUND(BASE_D3+RATE_D3*($A1856-BOTT_D3),0),IF($A1856&gt;BOTT_D2,ROUND(BASE_D2+RATE_D2*($A1856-BOTT_D2),0),ROUND(RATE_D1*$A1856,0))))</f>
        <v/>
      </c>
    </row>
    <row r="1857" ht="15.75" customHeight="1" s="7635">
      <c r="A1857" s="625">
        <f>AVERAGE(B1857,C1857)</f>
        <v/>
      </c>
      <c r="B1857" s="555" t="n">
        <v>89650</v>
      </c>
      <c r="C1857" s="555" t="n">
        <v>89700</v>
      </c>
      <c r="D1857" s="556">
        <f>IF($A1857&gt;BOTT_A4,ROUND(BASE_A4+RATE_A4*($A1857-BOTT_A4),0),IF($A1857&gt;BOTT_A3,ROUND(BASE_A3+RATE_A3*($A1857-BOTT_A3),0),IF($A1857&gt;BOTT_A2,ROUND(BASE_A2+RATE_A2*($A1857-BOTT_A2),0),ROUND(RATE_A1*$A1857,0))))</f>
        <v/>
      </c>
      <c r="E1857" s="556">
        <f>IF($A1857&gt;BOTT_B4,ROUND(BASE_B4+RATE_B4*($A1857-BOTT_B4),0),IF($A1857&gt;BOTT_B3,ROUND(BASE_B3+RATE_B3*($A1857-BOTT_B3),0),IF($A1857&gt;BOTT_B2,ROUND(BASE_B2+RATE_B2*($A1857-BOTT_B2),0),ROUND(RATE_B1*$A1857,0))))</f>
        <v/>
      </c>
      <c r="F1857" s="556">
        <f>IF($A1857&gt;BOTT_C4,ROUND(BASE_C4+RATE_C4*($A1857-BOTT_C4),0),IF($A1857&gt;BOTT_C3,ROUND(BASE_C3+RATE_C3*($A1857-BOTT_C3),0),IF($A1857&gt;BOTT_C2,ROUND(BASE_C2+RATE_C2*($A1857-BOTT_C2),0),ROUND(RATE_C1*$A1857,0))))</f>
        <v/>
      </c>
      <c r="G1857" s="556">
        <f>IF($A1857&gt;BOTT_D4,ROUND(BASE_D4+RATE_D4*($A1857-BOTT_D4),0),IF($A1857&gt;BOTT_D3,ROUND(BASE_D3+RATE_D3*($A1857-BOTT_D3),0),IF($A1857&gt;BOTT_D2,ROUND(BASE_D2+RATE_D2*($A1857-BOTT_D2),0),ROUND(RATE_D1*$A1857,0))))</f>
        <v/>
      </c>
    </row>
    <row r="1858" ht="15.75" customHeight="1" s="7635">
      <c r="A1858" s="625">
        <f>AVERAGE(B1858,C1858)</f>
        <v/>
      </c>
      <c r="B1858" s="555" t="n">
        <v>89700</v>
      </c>
      <c r="C1858" s="555" t="n">
        <v>89750</v>
      </c>
      <c r="D1858" s="556">
        <f>IF($A1858&gt;BOTT_A4,ROUND(BASE_A4+RATE_A4*($A1858-BOTT_A4),0),IF($A1858&gt;BOTT_A3,ROUND(BASE_A3+RATE_A3*($A1858-BOTT_A3),0),IF($A1858&gt;BOTT_A2,ROUND(BASE_A2+RATE_A2*($A1858-BOTT_A2),0),ROUND(RATE_A1*$A1858,0))))</f>
        <v/>
      </c>
      <c r="E1858" s="556">
        <f>IF($A1858&gt;BOTT_B4,ROUND(BASE_B4+RATE_B4*($A1858-BOTT_B4),0),IF($A1858&gt;BOTT_B3,ROUND(BASE_B3+RATE_B3*($A1858-BOTT_B3),0),IF($A1858&gt;BOTT_B2,ROUND(BASE_B2+RATE_B2*($A1858-BOTT_B2),0),ROUND(RATE_B1*$A1858,0))))</f>
        <v/>
      </c>
      <c r="F1858" s="556">
        <f>IF($A1858&gt;BOTT_C4,ROUND(BASE_C4+RATE_C4*($A1858-BOTT_C4),0),IF($A1858&gt;BOTT_C3,ROUND(BASE_C3+RATE_C3*($A1858-BOTT_C3),0),IF($A1858&gt;BOTT_C2,ROUND(BASE_C2+RATE_C2*($A1858-BOTT_C2),0),ROUND(RATE_C1*$A1858,0))))</f>
        <v/>
      </c>
      <c r="G1858" s="556">
        <f>IF($A1858&gt;BOTT_D4,ROUND(BASE_D4+RATE_D4*($A1858-BOTT_D4),0),IF($A1858&gt;BOTT_D3,ROUND(BASE_D3+RATE_D3*($A1858-BOTT_D3),0),IF($A1858&gt;BOTT_D2,ROUND(BASE_D2+RATE_D2*($A1858-BOTT_D2),0),ROUND(RATE_D1*$A1858,0))))</f>
        <v/>
      </c>
    </row>
    <row r="1859" ht="15.75" customHeight="1" s="7635">
      <c r="A1859" s="625">
        <f>AVERAGE(B1859,C1859)</f>
        <v/>
      </c>
      <c r="B1859" s="555" t="n">
        <v>89750</v>
      </c>
      <c r="C1859" s="555" t="n">
        <v>89800</v>
      </c>
      <c r="D1859" s="556">
        <f>IF($A1859&gt;BOTT_A4,ROUND(BASE_A4+RATE_A4*($A1859-BOTT_A4),0),IF($A1859&gt;BOTT_A3,ROUND(BASE_A3+RATE_A3*($A1859-BOTT_A3),0),IF($A1859&gt;BOTT_A2,ROUND(BASE_A2+RATE_A2*($A1859-BOTT_A2),0),ROUND(RATE_A1*$A1859,0))))</f>
        <v/>
      </c>
      <c r="E1859" s="556">
        <f>IF($A1859&gt;BOTT_B4,ROUND(BASE_B4+RATE_B4*($A1859-BOTT_B4),0),IF($A1859&gt;BOTT_B3,ROUND(BASE_B3+RATE_B3*($A1859-BOTT_B3),0),IF($A1859&gt;BOTT_B2,ROUND(BASE_B2+RATE_B2*($A1859-BOTT_B2),0),ROUND(RATE_B1*$A1859,0))))</f>
        <v/>
      </c>
      <c r="F1859" s="556">
        <f>IF($A1859&gt;BOTT_C4,ROUND(BASE_C4+RATE_C4*($A1859-BOTT_C4),0),IF($A1859&gt;BOTT_C3,ROUND(BASE_C3+RATE_C3*($A1859-BOTT_C3),0),IF($A1859&gt;BOTT_C2,ROUND(BASE_C2+RATE_C2*($A1859-BOTT_C2),0),ROUND(RATE_C1*$A1859,0))))</f>
        <v/>
      </c>
      <c r="G1859" s="556">
        <f>IF($A1859&gt;BOTT_D4,ROUND(BASE_D4+RATE_D4*($A1859-BOTT_D4),0),IF($A1859&gt;BOTT_D3,ROUND(BASE_D3+RATE_D3*($A1859-BOTT_D3),0),IF($A1859&gt;BOTT_D2,ROUND(BASE_D2+RATE_D2*($A1859-BOTT_D2),0),ROUND(RATE_D1*$A1859,0))))</f>
        <v/>
      </c>
    </row>
    <row r="1860" ht="15.75" customHeight="1" s="7635">
      <c r="A1860" s="625">
        <f>AVERAGE(B1860,C1860)</f>
        <v/>
      </c>
      <c r="B1860" s="555" t="n">
        <v>89800</v>
      </c>
      <c r="C1860" s="555" t="n">
        <v>89850</v>
      </c>
      <c r="D1860" s="556">
        <f>IF($A1860&gt;BOTT_A4,ROUND(BASE_A4+RATE_A4*($A1860-BOTT_A4),0),IF($A1860&gt;BOTT_A3,ROUND(BASE_A3+RATE_A3*($A1860-BOTT_A3),0),IF($A1860&gt;BOTT_A2,ROUND(BASE_A2+RATE_A2*($A1860-BOTT_A2),0),ROUND(RATE_A1*$A1860,0))))</f>
        <v/>
      </c>
      <c r="E1860" s="556">
        <f>IF($A1860&gt;BOTT_B4,ROUND(BASE_B4+RATE_B4*($A1860-BOTT_B4),0),IF($A1860&gt;BOTT_B3,ROUND(BASE_B3+RATE_B3*($A1860-BOTT_B3),0),IF($A1860&gt;BOTT_B2,ROUND(BASE_B2+RATE_B2*($A1860-BOTT_B2),0),ROUND(RATE_B1*$A1860,0))))</f>
        <v/>
      </c>
      <c r="F1860" s="556">
        <f>IF($A1860&gt;BOTT_C4,ROUND(BASE_C4+RATE_C4*($A1860-BOTT_C4),0),IF($A1860&gt;BOTT_C3,ROUND(BASE_C3+RATE_C3*($A1860-BOTT_C3),0),IF($A1860&gt;BOTT_C2,ROUND(BASE_C2+RATE_C2*($A1860-BOTT_C2),0),ROUND(RATE_C1*$A1860,0))))</f>
        <v/>
      </c>
      <c r="G1860" s="556">
        <f>IF($A1860&gt;BOTT_D4,ROUND(BASE_D4+RATE_D4*($A1860-BOTT_D4),0),IF($A1860&gt;BOTT_D3,ROUND(BASE_D3+RATE_D3*($A1860-BOTT_D3),0),IF($A1860&gt;BOTT_D2,ROUND(BASE_D2+RATE_D2*($A1860-BOTT_D2),0),ROUND(RATE_D1*$A1860,0))))</f>
        <v/>
      </c>
    </row>
    <row r="1861" ht="15.75" customHeight="1" s="7635">
      <c r="A1861" s="625">
        <f>AVERAGE(B1861,C1861)</f>
        <v/>
      </c>
      <c r="B1861" s="555" t="n">
        <v>89850</v>
      </c>
      <c r="C1861" s="555" t="n">
        <v>89900</v>
      </c>
      <c r="D1861" s="556">
        <f>IF($A1861&gt;BOTT_A4,ROUND(BASE_A4+RATE_A4*($A1861-BOTT_A4),0),IF($A1861&gt;BOTT_A3,ROUND(BASE_A3+RATE_A3*($A1861-BOTT_A3),0),IF($A1861&gt;BOTT_A2,ROUND(BASE_A2+RATE_A2*($A1861-BOTT_A2),0),ROUND(RATE_A1*$A1861,0))))</f>
        <v/>
      </c>
      <c r="E1861" s="556">
        <f>IF($A1861&gt;BOTT_B4,ROUND(BASE_B4+RATE_B4*($A1861-BOTT_B4),0),IF($A1861&gt;BOTT_B3,ROUND(BASE_B3+RATE_B3*($A1861-BOTT_B3),0),IF($A1861&gt;BOTT_B2,ROUND(BASE_B2+RATE_B2*($A1861-BOTT_B2),0),ROUND(RATE_B1*$A1861,0))))</f>
        <v/>
      </c>
      <c r="F1861" s="556">
        <f>IF($A1861&gt;BOTT_C4,ROUND(BASE_C4+RATE_C4*($A1861-BOTT_C4),0),IF($A1861&gt;BOTT_C3,ROUND(BASE_C3+RATE_C3*($A1861-BOTT_C3),0),IF($A1861&gt;BOTT_C2,ROUND(BASE_C2+RATE_C2*($A1861-BOTT_C2),0),ROUND(RATE_C1*$A1861,0))))</f>
        <v/>
      </c>
      <c r="G1861" s="556">
        <f>IF($A1861&gt;BOTT_D4,ROUND(BASE_D4+RATE_D4*($A1861-BOTT_D4),0),IF($A1861&gt;BOTT_D3,ROUND(BASE_D3+RATE_D3*($A1861-BOTT_D3),0),IF($A1861&gt;BOTT_D2,ROUND(BASE_D2+RATE_D2*($A1861-BOTT_D2),0),ROUND(RATE_D1*$A1861,0))))</f>
        <v/>
      </c>
    </row>
    <row r="1862" ht="15.75" customHeight="1" s="7635">
      <c r="A1862" s="625">
        <f>AVERAGE(B1862,C1862)</f>
        <v/>
      </c>
      <c r="B1862" s="555" t="n">
        <v>89900</v>
      </c>
      <c r="C1862" s="555" t="n">
        <v>89950</v>
      </c>
      <c r="D1862" s="556">
        <f>IF($A1862&gt;BOTT_A4,ROUND(BASE_A4+RATE_A4*($A1862-BOTT_A4),0),IF($A1862&gt;BOTT_A3,ROUND(BASE_A3+RATE_A3*($A1862-BOTT_A3),0),IF($A1862&gt;BOTT_A2,ROUND(BASE_A2+RATE_A2*($A1862-BOTT_A2),0),ROUND(RATE_A1*$A1862,0))))</f>
        <v/>
      </c>
      <c r="E1862" s="556">
        <f>IF($A1862&gt;BOTT_B4,ROUND(BASE_B4+RATE_B4*($A1862-BOTT_B4),0),IF($A1862&gt;BOTT_B3,ROUND(BASE_B3+RATE_B3*($A1862-BOTT_B3),0),IF($A1862&gt;BOTT_B2,ROUND(BASE_B2+RATE_B2*($A1862-BOTT_B2),0),ROUND(RATE_B1*$A1862,0))))</f>
        <v/>
      </c>
      <c r="F1862" s="556">
        <f>IF($A1862&gt;BOTT_C4,ROUND(BASE_C4+RATE_C4*($A1862-BOTT_C4),0),IF($A1862&gt;BOTT_C3,ROUND(BASE_C3+RATE_C3*($A1862-BOTT_C3),0),IF($A1862&gt;BOTT_C2,ROUND(BASE_C2+RATE_C2*($A1862-BOTT_C2),0),ROUND(RATE_C1*$A1862,0))))</f>
        <v/>
      </c>
      <c r="G1862" s="556">
        <f>IF($A1862&gt;BOTT_D4,ROUND(BASE_D4+RATE_D4*($A1862-BOTT_D4),0),IF($A1862&gt;BOTT_D3,ROUND(BASE_D3+RATE_D3*($A1862-BOTT_D3),0),IF($A1862&gt;BOTT_D2,ROUND(BASE_D2+RATE_D2*($A1862-BOTT_D2),0),ROUND(RATE_D1*$A1862,0))))</f>
        <v/>
      </c>
    </row>
    <row r="1863" ht="15.75" customHeight="1" s="7635">
      <c r="A1863" s="625">
        <f>AVERAGE(B1863,C1863)</f>
        <v/>
      </c>
      <c r="B1863" s="555" t="n">
        <v>89950</v>
      </c>
      <c r="C1863" s="555" t="n">
        <v>90000</v>
      </c>
      <c r="D1863" s="556">
        <f>IF($A1863&gt;BOTT_A4,ROUND(BASE_A4+RATE_A4*($A1863-BOTT_A4),0),IF($A1863&gt;BOTT_A3,ROUND(BASE_A3+RATE_A3*($A1863-BOTT_A3),0),IF($A1863&gt;BOTT_A2,ROUND(BASE_A2+RATE_A2*($A1863-BOTT_A2),0),ROUND(RATE_A1*$A1863,0))))</f>
        <v/>
      </c>
      <c r="E1863" s="556">
        <f>IF($A1863&gt;BOTT_B4,ROUND(BASE_B4+RATE_B4*($A1863-BOTT_B4),0),IF($A1863&gt;BOTT_B3,ROUND(BASE_B3+RATE_B3*($A1863-BOTT_B3),0),IF($A1863&gt;BOTT_B2,ROUND(BASE_B2+RATE_B2*($A1863-BOTT_B2),0),ROUND(RATE_B1*$A1863,0))))</f>
        <v/>
      </c>
      <c r="F1863" s="556">
        <f>IF($A1863&gt;BOTT_C4,ROUND(BASE_C4+RATE_C4*($A1863-BOTT_C4),0),IF($A1863&gt;BOTT_C3,ROUND(BASE_C3+RATE_C3*($A1863-BOTT_C3),0),IF($A1863&gt;BOTT_C2,ROUND(BASE_C2+RATE_C2*($A1863-BOTT_C2),0),ROUND(RATE_C1*$A1863,0))))</f>
        <v/>
      </c>
      <c r="G1863" s="556">
        <f>IF($A1863&gt;BOTT_D4,ROUND(BASE_D4+RATE_D4*($A1863-BOTT_D4),0),IF($A1863&gt;BOTT_D3,ROUND(BASE_D3+RATE_D3*($A1863-BOTT_D3),0),IF($A1863&gt;BOTT_D2,ROUND(BASE_D2+RATE_D2*($A1863-BOTT_D2),0),ROUND(RATE_D1*$A1863,0))))</f>
        <v/>
      </c>
    </row>
    <row r="1864" ht="15.75" customHeight="1" s="7635">
      <c r="A1864" s="625">
        <f>AVERAGE(B1864,C1864)</f>
        <v/>
      </c>
      <c r="B1864" s="555" t="n">
        <v>90000</v>
      </c>
      <c r="C1864" s="555" t="n">
        <v>90050</v>
      </c>
      <c r="D1864" s="556">
        <f>IF($A1864&gt;BOTT_A4,ROUND(BASE_A4+RATE_A4*($A1864-BOTT_A4),0),IF($A1864&gt;BOTT_A3,ROUND(BASE_A3+RATE_A3*($A1864-BOTT_A3),0),IF($A1864&gt;BOTT_A2,ROUND(BASE_A2+RATE_A2*($A1864-BOTT_A2),0),ROUND(RATE_A1*$A1864,0))))</f>
        <v/>
      </c>
      <c r="E1864" s="556">
        <f>IF($A1864&gt;BOTT_B4,ROUND(BASE_B4+RATE_B4*($A1864-BOTT_B4),0),IF($A1864&gt;BOTT_B3,ROUND(BASE_B3+RATE_B3*($A1864-BOTT_B3),0),IF($A1864&gt;BOTT_B2,ROUND(BASE_B2+RATE_B2*($A1864-BOTT_B2),0),ROUND(RATE_B1*$A1864,0))))</f>
        <v/>
      </c>
      <c r="F1864" s="556">
        <f>IF($A1864&gt;BOTT_C4,ROUND(BASE_C4+RATE_C4*($A1864-BOTT_C4),0),IF($A1864&gt;BOTT_C3,ROUND(BASE_C3+RATE_C3*($A1864-BOTT_C3),0),IF($A1864&gt;BOTT_C2,ROUND(BASE_C2+RATE_C2*($A1864-BOTT_C2),0),ROUND(RATE_C1*$A1864,0))))</f>
        <v/>
      </c>
      <c r="G1864" s="556">
        <f>IF($A1864&gt;BOTT_D4,ROUND(BASE_D4+RATE_D4*($A1864-BOTT_D4),0),IF($A1864&gt;BOTT_D3,ROUND(BASE_D3+RATE_D3*($A1864-BOTT_D3),0),IF($A1864&gt;BOTT_D2,ROUND(BASE_D2+RATE_D2*($A1864-BOTT_D2),0),ROUND(RATE_D1*$A1864,0))))</f>
        <v/>
      </c>
    </row>
    <row r="1865" ht="15.75" customHeight="1" s="7635">
      <c r="A1865" s="625">
        <f>AVERAGE(B1865,C1865)</f>
        <v/>
      </c>
      <c r="B1865" s="555" t="n">
        <v>90050</v>
      </c>
      <c r="C1865" s="555" t="n">
        <v>90100</v>
      </c>
      <c r="D1865" s="556">
        <f>IF($A1865&gt;BOTT_A4,ROUND(BASE_A4+RATE_A4*($A1865-BOTT_A4),0),IF($A1865&gt;BOTT_A3,ROUND(BASE_A3+RATE_A3*($A1865-BOTT_A3),0),IF($A1865&gt;BOTT_A2,ROUND(BASE_A2+RATE_A2*($A1865-BOTT_A2),0),ROUND(RATE_A1*$A1865,0))))</f>
        <v/>
      </c>
      <c r="E1865" s="556">
        <f>IF($A1865&gt;BOTT_B4,ROUND(BASE_B4+RATE_B4*($A1865-BOTT_B4),0),IF($A1865&gt;BOTT_B3,ROUND(BASE_B3+RATE_B3*($A1865-BOTT_B3),0),IF($A1865&gt;BOTT_B2,ROUND(BASE_B2+RATE_B2*($A1865-BOTT_B2),0),ROUND(RATE_B1*$A1865,0))))</f>
        <v/>
      </c>
      <c r="F1865" s="556">
        <f>IF($A1865&gt;BOTT_C4,ROUND(BASE_C4+RATE_C4*($A1865-BOTT_C4),0),IF($A1865&gt;BOTT_C3,ROUND(BASE_C3+RATE_C3*($A1865-BOTT_C3),0),IF($A1865&gt;BOTT_C2,ROUND(BASE_C2+RATE_C2*($A1865-BOTT_C2),0),ROUND(RATE_C1*$A1865,0))))</f>
        <v/>
      </c>
      <c r="G1865" s="556">
        <f>IF($A1865&gt;BOTT_D4,ROUND(BASE_D4+RATE_D4*($A1865-BOTT_D4),0),IF($A1865&gt;BOTT_D3,ROUND(BASE_D3+RATE_D3*($A1865-BOTT_D3),0),IF($A1865&gt;BOTT_D2,ROUND(BASE_D2+RATE_D2*($A1865-BOTT_D2),0),ROUND(RATE_D1*$A1865,0))))</f>
        <v/>
      </c>
    </row>
    <row r="1866" ht="15.75" customHeight="1" s="7635">
      <c r="A1866" s="625">
        <f>AVERAGE(B1866,C1866)</f>
        <v/>
      </c>
      <c r="B1866" s="555" t="n">
        <v>90100</v>
      </c>
      <c r="C1866" s="555" t="n">
        <v>90150</v>
      </c>
      <c r="D1866" s="556">
        <f>IF($A1866&gt;BOTT_A4,ROUND(BASE_A4+RATE_A4*($A1866-BOTT_A4),0),IF($A1866&gt;BOTT_A3,ROUND(BASE_A3+RATE_A3*($A1866-BOTT_A3),0),IF($A1866&gt;BOTT_A2,ROUND(BASE_A2+RATE_A2*($A1866-BOTT_A2),0),ROUND(RATE_A1*$A1866,0))))</f>
        <v/>
      </c>
      <c r="E1866" s="556">
        <f>IF($A1866&gt;BOTT_B4,ROUND(BASE_B4+RATE_B4*($A1866-BOTT_B4),0),IF($A1866&gt;BOTT_B3,ROUND(BASE_B3+RATE_B3*($A1866-BOTT_B3),0),IF($A1866&gt;BOTT_B2,ROUND(BASE_B2+RATE_B2*($A1866-BOTT_B2),0),ROUND(RATE_B1*$A1866,0))))</f>
        <v/>
      </c>
      <c r="F1866" s="556">
        <f>IF($A1866&gt;BOTT_C4,ROUND(BASE_C4+RATE_C4*($A1866-BOTT_C4),0),IF($A1866&gt;BOTT_C3,ROUND(BASE_C3+RATE_C3*($A1866-BOTT_C3),0),IF($A1866&gt;BOTT_C2,ROUND(BASE_C2+RATE_C2*($A1866-BOTT_C2),0),ROUND(RATE_C1*$A1866,0))))</f>
        <v/>
      </c>
      <c r="G1866" s="556">
        <f>IF($A1866&gt;BOTT_D4,ROUND(BASE_D4+RATE_D4*($A1866-BOTT_D4),0),IF($A1866&gt;BOTT_D3,ROUND(BASE_D3+RATE_D3*($A1866-BOTT_D3),0),IF($A1866&gt;BOTT_D2,ROUND(BASE_D2+RATE_D2*($A1866-BOTT_D2),0),ROUND(RATE_D1*$A1866,0))))</f>
        <v/>
      </c>
    </row>
    <row r="1867" ht="15.75" customHeight="1" s="7635">
      <c r="A1867" s="625">
        <f>AVERAGE(B1867,C1867)</f>
        <v/>
      </c>
      <c r="B1867" s="555" t="n">
        <v>90150</v>
      </c>
      <c r="C1867" s="555" t="n">
        <v>90200</v>
      </c>
      <c r="D1867" s="556">
        <f>IF($A1867&gt;BOTT_A4,ROUND(BASE_A4+RATE_A4*($A1867-BOTT_A4),0),IF($A1867&gt;BOTT_A3,ROUND(BASE_A3+RATE_A3*($A1867-BOTT_A3),0),IF($A1867&gt;BOTT_A2,ROUND(BASE_A2+RATE_A2*($A1867-BOTT_A2),0),ROUND(RATE_A1*$A1867,0))))</f>
        <v/>
      </c>
      <c r="E1867" s="556">
        <f>IF($A1867&gt;BOTT_B4,ROUND(BASE_B4+RATE_B4*($A1867-BOTT_B4),0),IF($A1867&gt;BOTT_B3,ROUND(BASE_B3+RATE_B3*($A1867-BOTT_B3),0),IF($A1867&gt;BOTT_B2,ROUND(BASE_B2+RATE_B2*($A1867-BOTT_B2),0),ROUND(RATE_B1*$A1867,0))))</f>
        <v/>
      </c>
      <c r="F1867" s="556">
        <f>IF($A1867&gt;BOTT_C4,ROUND(BASE_C4+RATE_C4*($A1867-BOTT_C4),0),IF($A1867&gt;BOTT_C3,ROUND(BASE_C3+RATE_C3*($A1867-BOTT_C3),0),IF($A1867&gt;BOTT_C2,ROUND(BASE_C2+RATE_C2*($A1867-BOTT_C2),0),ROUND(RATE_C1*$A1867,0))))</f>
        <v/>
      </c>
      <c r="G1867" s="556">
        <f>IF($A1867&gt;BOTT_D4,ROUND(BASE_D4+RATE_D4*($A1867-BOTT_D4),0),IF($A1867&gt;BOTT_D3,ROUND(BASE_D3+RATE_D3*($A1867-BOTT_D3),0),IF($A1867&gt;BOTT_D2,ROUND(BASE_D2+RATE_D2*($A1867-BOTT_D2),0),ROUND(RATE_D1*$A1867,0))))</f>
        <v/>
      </c>
    </row>
    <row r="1868" ht="15.75" customHeight="1" s="7635">
      <c r="A1868" s="625">
        <f>AVERAGE(B1868,C1868)</f>
        <v/>
      </c>
      <c r="B1868" s="555" t="n">
        <v>90200</v>
      </c>
      <c r="C1868" s="555" t="n">
        <v>90250</v>
      </c>
      <c r="D1868" s="556">
        <f>IF($A1868&gt;BOTT_A4,ROUND(BASE_A4+RATE_A4*($A1868-BOTT_A4),0),IF($A1868&gt;BOTT_A3,ROUND(BASE_A3+RATE_A3*($A1868-BOTT_A3),0),IF($A1868&gt;BOTT_A2,ROUND(BASE_A2+RATE_A2*($A1868-BOTT_A2),0),ROUND(RATE_A1*$A1868,0))))</f>
        <v/>
      </c>
      <c r="E1868" s="556">
        <f>IF($A1868&gt;BOTT_B4,ROUND(BASE_B4+RATE_B4*($A1868-BOTT_B4),0),IF($A1868&gt;BOTT_B3,ROUND(BASE_B3+RATE_B3*($A1868-BOTT_B3),0),IF($A1868&gt;BOTT_B2,ROUND(BASE_B2+RATE_B2*($A1868-BOTT_B2),0),ROUND(RATE_B1*$A1868,0))))</f>
        <v/>
      </c>
      <c r="F1868" s="556">
        <f>IF($A1868&gt;BOTT_C4,ROUND(BASE_C4+RATE_C4*($A1868-BOTT_C4),0),IF($A1868&gt;BOTT_C3,ROUND(BASE_C3+RATE_C3*($A1868-BOTT_C3),0),IF($A1868&gt;BOTT_C2,ROUND(BASE_C2+RATE_C2*($A1868-BOTT_C2),0),ROUND(RATE_C1*$A1868,0))))</f>
        <v/>
      </c>
      <c r="G1868" s="556">
        <f>IF($A1868&gt;BOTT_D4,ROUND(BASE_D4+RATE_D4*($A1868-BOTT_D4),0),IF($A1868&gt;BOTT_D3,ROUND(BASE_D3+RATE_D3*($A1868-BOTT_D3),0),IF($A1868&gt;BOTT_D2,ROUND(BASE_D2+RATE_D2*($A1868-BOTT_D2),0),ROUND(RATE_D1*$A1868,0))))</f>
        <v/>
      </c>
    </row>
    <row r="1869" ht="15.75" customHeight="1" s="7635">
      <c r="A1869" s="625">
        <f>AVERAGE(B1869,C1869)</f>
        <v/>
      </c>
      <c r="B1869" s="555" t="n">
        <v>90250</v>
      </c>
      <c r="C1869" s="555" t="n">
        <v>90300</v>
      </c>
      <c r="D1869" s="556">
        <f>IF($A1869&gt;BOTT_A4,ROUND(BASE_A4+RATE_A4*($A1869-BOTT_A4),0),IF($A1869&gt;BOTT_A3,ROUND(BASE_A3+RATE_A3*($A1869-BOTT_A3),0),IF($A1869&gt;BOTT_A2,ROUND(BASE_A2+RATE_A2*($A1869-BOTT_A2),0),ROUND(RATE_A1*$A1869,0))))</f>
        <v/>
      </c>
      <c r="E1869" s="556">
        <f>IF($A1869&gt;BOTT_B4,ROUND(BASE_B4+RATE_B4*($A1869-BOTT_B4),0),IF($A1869&gt;BOTT_B3,ROUND(BASE_B3+RATE_B3*($A1869-BOTT_B3),0),IF($A1869&gt;BOTT_B2,ROUND(BASE_B2+RATE_B2*($A1869-BOTT_B2),0),ROUND(RATE_B1*$A1869,0))))</f>
        <v/>
      </c>
      <c r="F1869" s="556">
        <f>IF($A1869&gt;BOTT_C4,ROUND(BASE_C4+RATE_C4*($A1869-BOTT_C4),0),IF($A1869&gt;BOTT_C3,ROUND(BASE_C3+RATE_C3*($A1869-BOTT_C3),0),IF($A1869&gt;BOTT_C2,ROUND(BASE_C2+RATE_C2*($A1869-BOTT_C2),0),ROUND(RATE_C1*$A1869,0))))</f>
        <v/>
      </c>
      <c r="G1869" s="556">
        <f>IF($A1869&gt;BOTT_D4,ROUND(BASE_D4+RATE_D4*($A1869-BOTT_D4),0),IF($A1869&gt;BOTT_D3,ROUND(BASE_D3+RATE_D3*($A1869-BOTT_D3),0),IF($A1869&gt;BOTT_D2,ROUND(BASE_D2+RATE_D2*($A1869-BOTT_D2),0),ROUND(RATE_D1*$A1869,0))))</f>
        <v/>
      </c>
    </row>
    <row r="1870" ht="15.75" customHeight="1" s="7635">
      <c r="A1870" s="625">
        <f>AVERAGE(B1870,C1870)</f>
        <v/>
      </c>
      <c r="B1870" s="555" t="n">
        <v>90300</v>
      </c>
      <c r="C1870" s="555" t="n">
        <v>90350</v>
      </c>
      <c r="D1870" s="556">
        <f>IF($A1870&gt;BOTT_A4,ROUND(BASE_A4+RATE_A4*($A1870-BOTT_A4),0),IF($A1870&gt;BOTT_A3,ROUND(BASE_A3+RATE_A3*($A1870-BOTT_A3),0),IF($A1870&gt;BOTT_A2,ROUND(BASE_A2+RATE_A2*($A1870-BOTT_A2),0),ROUND(RATE_A1*$A1870,0))))</f>
        <v/>
      </c>
      <c r="E1870" s="556">
        <f>IF($A1870&gt;BOTT_B4,ROUND(BASE_B4+RATE_B4*($A1870-BOTT_B4),0),IF($A1870&gt;BOTT_B3,ROUND(BASE_B3+RATE_B3*($A1870-BOTT_B3),0),IF($A1870&gt;BOTT_B2,ROUND(BASE_B2+RATE_B2*($A1870-BOTT_B2),0),ROUND(RATE_B1*$A1870,0))))</f>
        <v/>
      </c>
      <c r="F1870" s="556">
        <f>IF($A1870&gt;BOTT_C4,ROUND(BASE_C4+RATE_C4*($A1870-BOTT_C4),0),IF($A1870&gt;BOTT_C3,ROUND(BASE_C3+RATE_C3*($A1870-BOTT_C3),0),IF($A1870&gt;BOTT_C2,ROUND(BASE_C2+RATE_C2*($A1870-BOTT_C2),0),ROUND(RATE_C1*$A1870,0))))</f>
        <v/>
      </c>
      <c r="G1870" s="556">
        <f>IF($A1870&gt;BOTT_D4,ROUND(BASE_D4+RATE_D4*($A1870-BOTT_D4),0),IF($A1870&gt;BOTT_D3,ROUND(BASE_D3+RATE_D3*($A1870-BOTT_D3),0),IF($A1870&gt;BOTT_D2,ROUND(BASE_D2+RATE_D2*($A1870-BOTT_D2),0),ROUND(RATE_D1*$A1870,0))))</f>
        <v/>
      </c>
    </row>
    <row r="1871" ht="15.75" customHeight="1" s="7635">
      <c r="A1871" s="625">
        <f>AVERAGE(B1871,C1871)</f>
        <v/>
      </c>
      <c r="B1871" s="555" t="n">
        <v>90350</v>
      </c>
      <c r="C1871" s="555" t="n">
        <v>90400</v>
      </c>
      <c r="D1871" s="556">
        <f>IF($A1871&gt;BOTT_A4,ROUND(BASE_A4+RATE_A4*($A1871-BOTT_A4),0),IF($A1871&gt;BOTT_A3,ROUND(BASE_A3+RATE_A3*($A1871-BOTT_A3),0),IF($A1871&gt;BOTT_A2,ROUND(BASE_A2+RATE_A2*($A1871-BOTT_A2),0),ROUND(RATE_A1*$A1871,0))))</f>
        <v/>
      </c>
      <c r="E1871" s="556">
        <f>IF($A1871&gt;BOTT_B4,ROUND(BASE_B4+RATE_B4*($A1871-BOTT_B4),0),IF($A1871&gt;BOTT_B3,ROUND(BASE_B3+RATE_B3*($A1871-BOTT_B3),0),IF($A1871&gt;BOTT_B2,ROUND(BASE_B2+RATE_B2*($A1871-BOTT_B2),0),ROUND(RATE_B1*$A1871,0))))</f>
        <v/>
      </c>
      <c r="F1871" s="556">
        <f>IF($A1871&gt;BOTT_C4,ROUND(BASE_C4+RATE_C4*($A1871-BOTT_C4),0),IF($A1871&gt;BOTT_C3,ROUND(BASE_C3+RATE_C3*($A1871-BOTT_C3),0),IF($A1871&gt;BOTT_C2,ROUND(BASE_C2+RATE_C2*($A1871-BOTT_C2),0),ROUND(RATE_C1*$A1871,0))))</f>
        <v/>
      </c>
      <c r="G1871" s="556">
        <f>IF($A1871&gt;BOTT_D4,ROUND(BASE_D4+RATE_D4*($A1871-BOTT_D4),0),IF($A1871&gt;BOTT_D3,ROUND(BASE_D3+RATE_D3*($A1871-BOTT_D3),0),IF($A1871&gt;BOTT_D2,ROUND(BASE_D2+RATE_D2*($A1871-BOTT_D2),0),ROUND(RATE_D1*$A1871,0))))</f>
        <v/>
      </c>
    </row>
    <row r="1872" ht="15.75" customHeight="1" s="7635">
      <c r="A1872" s="625">
        <f>AVERAGE(B1872,C1872)</f>
        <v/>
      </c>
      <c r="B1872" s="555" t="n">
        <v>90400</v>
      </c>
      <c r="C1872" s="555" t="n">
        <v>90450</v>
      </c>
      <c r="D1872" s="556">
        <f>IF($A1872&gt;BOTT_A4,ROUND(BASE_A4+RATE_A4*($A1872-BOTT_A4),0),IF($A1872&gt;BOTT_A3,ROUND(BASE_A3+RATE_A3*($A1872-BOTT_A3),0),IF($A1872&gt;BOTT_A2,ROUND(BASE_A2+RATE_A2*($A1872-BOTT_A2),0),ROUND(RATE_A1*$A1872,0))))</f>
        <v/>
      </c>
      <c r="E1872" s="556">
        <f>IF($A1872&gt;BOTT_B4,ROUND(BASE_B4+RATE_B4*($A1872-BOTT_B4),0),IF($A1872&gt;BOTT_B3,ROUND(BASE_B3+RATE_B3*($A1872-BOTT_B3),0),IF($A1872&gt;BOTT_B2,ROUND(BASE_B2+RATE_B2*($A1872-BOTT_B2),0),ROUND(RATE_B1*$A1872,0))))</f>
        <v/>
      </c>
      <c r="F1872" s="556">
        <f>IF($A1872&gt;BOTT_C4,ROUND(BASE_C4+RATE_C4*($A1872-BOTT_C4),0),IF($A1872&gt;BOTT_C3,ROUND(BASE_C3+RATE_C3*($A1872-BOTT_C3),0),IF($A1872&gt;BOTT_C2,ROUND(BASE_C2+RATE_C2*($A1872-BOTT_C2),0),ROUND(RATE_C1*$A1872,0))))</f>
        <v/>
      </c>
      <c r="G1872" s="556">
        <f>IF($A1872&gt;BOTT_D4,ROUND(BASE_D4+RATE_D4*($A1872-BOTT_D4),0),IF($A1872&gt;BOTT_D3,ROUND(BASE_D3+RATE_D3*($A1872-BOTT_D3),0),IF($A1872&gt;BOTT_D2,ROUND(BASE_D2+RATE_D2*($A1872-BOTT_D2),0),ROUND(RATE_D1*$A1872,0))))</f>
        <v/>
      </c>
    </row>
    <row r="1873" ht="15.75" customHeight="1" s="7635">
      <c r="A1873" s="625">
        <f>AVERAGE(B1873,C1873)</f>
        <v/>
      </c>
      <c r="B1873" s="555" t="n">
        <v>90450</v>
      </c>
      <c r="C1873" s="555" t="n">
        <v>90500</v>
      </c>
      <c r="D1873" s="556">
        <f>IF($A1873&gt;BOTT_A4,ROUND(BASE_A4+RATE_A4*($A1873-BOTT_A4),0),IF($A1873&gt;BOTT_A3,ROUND(BASE_A3+RATE_A3*($A1873-BOTT_A3),0),IF($A1873&gt;BOTT_A2,ROUND(BASE_A2+RATE_A2*($A1873-BOTT_A2),0),ROUND(RATE_A1*$A1873,0))))</f>
        <v/>
      </c>
      <c r="E1873" s="556">
        <f>IF($A1873&gt;BOTT_B4,ROUND(BASE_B4+RATE_B4*($A1873-BOTT_B4),0),IF($A1873&gt;BOTT_B3,ROUND(BASE_B3+RATE_B3*($A1873-BOTT_B3),0),IF($A1873&gt;BOTT_B2,ROUND(BASE_B2+RATE_B2*($A1873-BOTT_B2),0),ROUND(RATE_B1*$A1873,0))))</f>
        <v/>
      </c>
      <c r="F1873" s="556">
        <f>IF($A1873&gt;BOTT_C4,ROUND(BASE_C4+RATE_C4*($A1873-BOTT_C4),0),IF($A1873&gt;BOTT_C3,ROUND(BASE_C3+RATE_C3*($A1873-BOTT_C3),0),IF($A1873&gt;BOTT_C2,ROUND(BASE_C2+RATE_C2*($A1873-BOTT_C2),0),ROUND(RATE_C1*$A1873,0))))</f>
        <v/>
      </c>
      <c r="G1873" s="556">
        <f>IF($A1873&gt;BOTT_D4,ROUND(BASE_D4+RATE_D4*($A1873-BOTT_D4),0),IF($A1873&gt;BOTT_D3,ROUND(BASE_D3+RATE_D3*($A1873-BOTT_D3),0),IF($A1873&gt;BOTT_D2,ROUND(BASE_D2+RATE_D2*($A1873-BOTT_D2),0),ROUND(RATE_D1*$A1873,0))))</f>
        <v/>
      </c>
    </row>
    <row r="1874" ht="15.75" customHeight="1" s="7635">
      <c r="A1874" s="625">
        <f>AVERAGE(B1874,C1874)</f>
        <v/>
      </c>
      <c r="B1874" s="555" t="n">
        <v>90500</v>
      </c>
      <c r="C1874" s="555" t="n">
        <v>90550</v>
      </c>
      <c r="D1874" s="556">
        <f>IF($A1874&gt;BOTT_A4,ROUND(BASE_A4+RATE_A4*($A1874-BOTT_A4),0),IF($A1874&gt;BOTT_A3,ROUND(BASE_A3+RATE_A3*($A1874-BOTT_A3),0),IF($A1874&gt;BOTT_A2,ROUND(BASE_A2+RATE_A2*($A1874-BOTT_A2),0),ROUND(RATE_A1*$A1874,0))))</f>
        <v/>
      </c>
      <c r="E1874" s="556">
        <f>IF($A1874&gt;BOTT_B4,ROUND(BASE_B4+RATE_B4*($A1874-BOTT_B4),0),IF($A1874&gt;BOTT_B3,ROUND(BASE_B3+RATE_B3*($A1874-BOTT_B3),0),IF($A1874&gt;BOTT_B2,ROUND(BASE_B2+RATE_B2*($A1874-BOTT_B2),0),ROUND(RATE_B1*$A1874,0))))</f>
        <v/>
      </c>
      <c r="F1874" s="556">
        <f>IF($A1874&gt;BOTT_C4,ROUND(BASE_C4+RATE_C4*($A1874-BOTT_C4),0),IF($A1874&gt;BOTT_C3,ROUND(BASE_C3+RATE_C3*($A1874-BOTT_C3),0),IF($A1874&gt;BOTT_C2,ROUND(BASE_C2+RATE_C2*($A1874-BOTT_C2),0),ROUND(RATE_C1*$A1874,0))))</f>
        <v/>
      </c>
      <c r="G1874" s="556">
        <f>IF($A1874&gt;BOTT_D4,ROUND(BASE_D4+RATE_D4*($A1874-BOTT_D4),0),IF($A1874&gt;BOTT_D3,ROUND(BASE_D3+RATE_D3*($A1874-BOTT_D3),0),IF($A1874&gt;BOTT_D2,ROUND(BASE_D2+RATE_D2*($A1874-BOTT_D2),0),ROUND(RATE_D1*$A1874,0))))</f>
        <v/>
      </c>
    </row>
    <row r="1875" ht="15.75" customHeight="1" s="7635">
      <c r="A1875" s="625">
        <f>AVERAGE(B1875,C1875)</f>
        <v/>
      </c>
      <c r="B1875" s="555" t="n">
        <v>90550</v>
      </c>
      <c r="C1875" s="555" t="n">
        <v>90600</v>
      </c>
      <c r="D1875" s="556">
        <f>IF($A1875&gt;BOTT_A4,ROUND(BASE_A4+RATE_A4*($A1875-BOTT_A4),0),IF($A1875&gt;BOTT_A3,ROUND(BASE_A3+RATE_A3*($A1875-BOTT_A3),0),IF($A1875&gt;BOTT_A2,ROUND(BASE_A2+RATE_A2*($A1875-BOTT_A2),0),ROUND(RATE_A1*$A1875,0))))</f>
        <v/>
      </c>
      <c r="E1875" s="556">
        <f>IF($A1875&gt;BOTT_B4,ROUND(BASE_B4+RATE_B4*($A1875-BOTT_B4),0),IF($A1875&gt;BOTT_B3,ROUND(BASE_B3+RATE_B3*($A1875-BOTT_B3),0),IF($A1875&gt;BOTT_B2,ROUND(BASE_B2+RATE_B2*($A1875-BOTT_B2),0),ROUND(RATE_B1*$A1875,0))))</f>
        <v/>
      </c>
      <c r="F1875" s="556">
        <f>IF($A1875&gt;BOTT_C4,ROUND(BASE_C4+RATE_C4*($A1875-BOTT_C4),0),IF($A1875&gt;BOTT_C3,ROUND(BASE_C3+RATE_C3*($A1875-BOTT_C3),0),IF($A1875&gt;BOTT_C2,ROUND(BASE_C2+RATE_C2*($A1875-BOTT_C2),0),ROUND(RATE_C1*$A1875,0))))</f>
        <v/>
      </c>
      <c r="G1875" s="556">
        <f>IF($A1875&gt;BOTT_D4,ROUND(BASE_D4+RATE_D4*($A1875-BOTT_D4),0),IF($A1875&gt;BOTT_D3,ROUND(BASE_D3+RATE_D3*($A1875-BOTT_D3),0),IF($A1875&gt;BOTT_D2,ROUND(BASE_D2+RATE_D2*($A1875-BOTT_D2),0),ROUND(RATE_D1*$A1875,0))))</f>
        <v/>
      </c>
    </row>
    <row r="1876" ht="15.75" customHeight="1" s="7635">
      <c r="A1876" s="625">
        <f>AVERAGE(B1876,C1876)</f>
        <v/>
      </c>
      <c r="B1876" s="555" t="n">
        <v>90600</v>
      </c>
      <c r="C1876" s="555" t="n">
        <v>90650</v>
      </c>
      <c r="D1876" s="556">
        <f>IF($A1876&gt;BOTT_A4,ROUND(BASE_A4+RATE_A4*($A1876-BOTT_A4),0),IF($A1876&gt;BOTT_A3,ROUND(BASE_A3+RATE_A3*($A1876-BOTT_A3),0),IF($A1876&gt;BOTT_A2,ROUND(BASE_A2+RATE_A2*($A1876-BOTT_A2),0),ROUND(RATE_A1*$A1876,0))))</f>
        <v/>
      </c>
      <c r="E1876" s="556">
        <f>IF($A1876&gt;BOTT_B4,ROUND(BASE_B4+RATE_B4*($A1876-BOTT_B4),0),IF($A1876&gt;BOTT_B3,ROUND(BASE_B3+RATE_B3*($A1876-BOTT_B3),0),IF($A1876&gt;BOTT_B2,ROUND(BASE_B2+RATE_B2*($A1876-BOTT_B2),0),ROUND(RATE_B1*$A1876,0))))</f>
        <v/>
      </c>
      <c r="F1876" s="556">
        <f>IF($A1876&gt;BOTT_C4,ROUND(BASE_C4+RATE_C4*($A1876-BOTT_C4),0),IF($A1876&gt;BOTT_C3,ROUND(BASE_C3+RATE_C3*($A1876-BOTT_C3),0),IF($A1876&gt;BOTT_C2,ROUND(BASE_C2+RATE_C2*($A1876-BOTT_C2),0),ROUND(RATE_C1*$A1876,0))))</f>
        <v/>
      </c>
      <c r="G1876" s="556">
        <f>IF($A1876&gt;BOTT_D4,ROUND(BASE_D4+RATE_D4*($A1876-BOTT_D4),0),IF($A1876&gt;BOTT_D3,ROUND(BASE_D3+RATE_D3*($A1876-BOTT_D3),0),IF($A1876&gt;BOTT_D2,ROUND(BASE_D2+RATE_D2*($A1876-BOTT_D2),0),ROUND(RATE_D1*$A1876,0))))</f>
        <v/>
      </c>
    </row>
    <row r="1877" ht="15.75" customHeight="1" s="7635">
      <c r="A1877" s="625">
        <f>AVERAGE(B1877,C1877)</f>
        <v/>
      </c>
      <c r="B1877" s="555" t="n">
        <v>90650</v>
      </c>
      <c r="C1877" s="555" t="n">
        <v>90700</v>
      </c>
      <c r="D1877" s="556">
        <f>IF($A1877&gt;BOTT_A4,ROUND(BASE_A4+RATE_A4*($A1877-BOTT_A4),0),IF($A1877&gt;BOTT_A3,ROUND(BASE_A3+RATE_A3*($A1877-BOTT_A3),0),IF($A1877&gt;BOTT_A2,ROUND(BASE_A2+RATE_A2*($A1877-BOTT_A2),0),ROUND(RATE_A1*$A1877,0))))</f>
        <v/>
      </c>
      <c r="E1877" s="556">
        <f>IF($A1877&gt;BOTT_B4,ROUND(BASE_B4+RATE_B4*($A1877-BOTT_B4),0),IF($A1877&gt;BOTT_B3,ROUND(BASE_B3+RATE_B3*($A1877-BOTT_B3),0),IF($A1877&gt;BOTT_B2,ROUND(BASE_B2+RATE_B2*($A1877-BOTT_B2),0),ROUND(RATE_B1*$A1877,0))))</f>
        <v/>
      </c>
      <c r="F1877" s="556">
        <f>IF($A1877&gt;BOTT_C4,ROUND(BASE_C4+RATE_C4*($A1877-BOTT_C4),0),IF($A1877&gt;BOTT_C3,ROUND(BASE_C3+RATE_C3*($A1877-BOTT_C3),0),IF($A1877&gt;BOTT_C2,ROUND(BASE_C2+RATE_C2*($A1877-BOTT_C2),0),ROUND(RATE_C1*$A1877,0))))</f>
        <v/>
      </c>
      <c r="G1877" s="556">
        <f>IF($A1877&gt;BOTT_D4,ROUND(BASE_D4+RATE_D4*($A1877-BOTT_D4),0),IF($A1877&gt;BOTT_D3,ROUND(BASE_D3+RATE_D3*($A1877-BOTT_D3),0),IF($A1877&gt;BOTT_D2,ROUND(BASE_D2+RATE_D2*($A1877-BOTT_D2),0),ROUND(RATE_D1*$A1877,0))))</f>
        <v/>
      </c>
    </row>
    <row r="1878" ht="15.75" customHeight="1" s="7635">
      <c r="A1878" s="625">
        <f>AVERAGE(B1878,C1878)</f>
        <v/>
      </c>
      <c r="B1878" s="555" t="n">
        <v>90700</v>
      </c>
      <c r="C1878" s="555" t="n">
        <v>90750</v>
      </c>
      <c r="D1878" s="556">
        <f>IF($A1878&gt;BOTT_A4,ROUND(BASE_A4+RATE_A4*($A1878-BOTT_A4),0),IF($A1878&gt;BOTT_A3,ROUND(BASE_A3+RATE_A3*($A1878-BOTT_A3),0),IF($A1878&gt;BOTT_A2,ROUND(BASE_A2+RATE_A2*($A1878-BOTT_A2),0),ROUND(RATE_A1*$A1878,0))))</f>
        <v/>
      </c>
      <c r="E1878" s="556">
        <f>IF($A1878&gt;BOTT_B4,ROUND(BASE_B4+RATE_B4*($A1878-BOTT_B4),0),IF($A1878&gt;BOTT_B3,ROUND(BASE_B3+RATE_B3*($A1878-BOTT_B3),0),IF($A1878&gt;BOTT_B2,ROUND(BASE_B2+RATE_B2*($A1878-BOTT_B2),0),ROUND(RATE_B1*$A1878,0))))</f>
        <v/>
      </c>
      <c r="F1878" s="556">
        <f>IF($A1878&gt;BOTT_C4,ROUND(BASE_C4+RATE_C4*($A1878-BOTT_C4),0),IF($A1878&gt;BOTT_C3,ROUND(BASE_C3+RATE_C3*($A1878-BOTT_C3),0),IF($A1878&gt;BOTT_C2,ROUND(BASE_C2+RATE_C2*($A1878-BOTT_C2),0),ROUND(RATE_C1*$A1878,0))))</f>
        <v/>
      </c>
      <c r="G1878" s="556">
        <f>IF($A1878&gt;BOTT_D4,ROUND(BASE_D4+RATE_D4*($A1878-BOTT_D4),0),IF($A1878&gt;BOTT_D3,ROUND(BASE_D3+RATE_D3*($A1878-BOTT_D3),0),IF($A1878&gt;BOTT_D2,ROUND(BASE_D2+RATE_D2*($A1878-BOTT_D2),0),ROUND(RATE_D1*$A1878,0))))</f>
        <v/>
      </c>
    </row>
    <row r="1879" ht="15.75" customHeight="1" s="7635">
      <c r="A1879" s="625">
        <f>AVERAGE(B1879,C1879)</f>
        <v/>
      </c>
      <c r="B1879" s="555" t="n">
        <v>90750</v>
      </c>
      <c r="C1879" s="555" t="n">
        <v>90800</v>
      </c>
      <c r="D1879" s="556">
        <f>IF($A1879&gt;BOTT_A4,ROUND(BASE_A4+RATE_A4*($A1879-BOTT_A4),0),IF($A1879&gt;BOTT_A3,ROUND(BASE_A3+RATE_A3*($A1879-BOTT_A3),0),IF($A1879&gt;BOTT_A2,ROUND(BASE_A2+RATE_A2*($A1879-BOTT_A2),0),ROUND(RATE_A1*$A1879,0))))</f>
        <v/>
      </c>
      <c r="E1879" s="556">
        <f>IF($A1879&gt;BOTT_B4,ROUND(BASE_B4+RATE_B4*($A1879-BOTT_B4),0),IF($A1879&gt;BOTT_B3,ROUND(BASE_B3+RATE_B3*($A1879-BOTT_B3),0),IF($A1879&gt;BOTT_B2,ROUND(BASE_B2+RATE_B2*($A1879-BOTT_B2),0),ROUND(RATE_B1*$A1879,0))))</f>
        <v/>
      </c>
      <c r="F1879" s="556">
        <f>IF($A1879&gt;BOTT_C4,ROUND(BASE_C4+RATE_C4*($A1879-BOTT_C4),0),IF($A1879&gt;BOTT_C3,ROUND(BASE_C3+RATE_C3*($A1879-BOTT_C3),0),IF($A1879&gt;BOTT_C2,ROUND(BASE_C2+RATE_C2*($A1879-BOTT_C2),0),ROUND(RATE_C1*$A1879,0))))</f>
        <v/>
      </c>
      <c r="G1879" s="556">
        <f>IF($A1879&gt;BOTT_D4,ROUND(BASE_D4+RATE_D4*($A1879-BOTT_D4),0),IF($A1879&gt;BOTT_D3,ROUND(BASE_D3+RATE_D3*($A1879-BOTT_D3),0),IF($A1879&gt;BOTT_D2,ROUND(BASE_D2+RATE_D2*($A1879-BOTT_D2),0),ROUND(RATE_D1*$A1879,0))))</f>
        <v/>
      </c>
    </row>
    <row r="1880" ht="15.75" customHeight="1" s="7635">
      <c r="A1880" s="625">
        <f>AVERAGE(B1880,C1880)</f>
        <v/>
      </c>
      <c r="B1880" s="555" t="n">
        <v>90800</v>
      </c>
      <c r="C1880" s="555" t="n">
        <v>90850</v>
      </c>
      <c r="D1880" s="556">
        <f>IF($A1880&gt;BOTT_A4,ROUND(BASE_A4+RATE_A4*($A1880-BOTT_A4),0),IF($A1880&gt;BOTT_A3,ROUND(BASE_A3+RATE_A3*($A1880-BOTT_A3),0),IF($A1880&gt;BOTT_A2,ROUND(BASE_A2+RATE_A2*($A1880-BOTT_A2),0),ROUND(RATE_A1*$A1880,0))))</f>
        <v/>
      </c>
      <c r="E1880" s="556">
        <f>IF($A1880&gt;BOTT_B4,ROUND(BASE_B4+RATE_B4*($A1880-BOTT_B4),0),IF($A1880&gt;BOTT_B3,ROUND(BASE_B3+RATE_B3*($A1880-BOTT_B3),0),IF($A1880&gt;BOTT_B2,ROUND(BASE_B2+RATE_B2*($A1880-BOTT_B2),0),ROUND(RATE_B1*$A1880,0))))</f>
        <v/>
      </c>
      <c r="F1880" s="556">
        <f>IF($A1880&gt;BOTT_C4,ROUND(BASE_C4+RATE_C4*($A1880-BOTT_C4),0),IF($A1880&gt;BOTT_C3,ROUND(BASE_C3+RATE_C3*($A1880-BOTT_C3),0),IF($A1880&gt;BOTT_C2,ROUND(BASE_C2+RATE_C2*($A1880-BOTT_C2),0),ROUND(RATE_C1*$A1880,0))))</f>
        <v/>
      </c>
      <c r="G1880" s="556">
        <f>IF($A1880&gt;BOTT_D4,ROUND(BASE_D4+RATE_D4*($A1880-BOTT_D4),0),IF($A1880&gt;BOTT_D3,ROUND(BASE_D3+RATE_D3*($A1880-BOTT_D3),0),IF($A1880&gt;BOTT_D2,ROUND(BASE_D2+RATE_D2*($A1880-BOTT_D2),0),ROUND(RATE_D1*$A1880,0))))</f>
        <v/>
      </c>
    </row>
    <row r="1881" ht="15.75" customHeight="1" s="7635">
      <c r="A1881" s="625">
        <f>AVERAGE(B1881,C1881)</f>
        <v/>
      </c>
      <c r="B1881" s="555" t="n">
        <v>90850</v>
      </c>
      <c r="C1881" s="555" t="n">
        <v>90900</v>
      </c>
      <c r="D1881" s="556">
        <f>IF($A1881&gt;BOTT_A4,ROUND(BASE_A4+RATE_A4*($A1881-BOTT_A4),0),IF($A1881&gt;BOTT_A3,ROUND(BASE_A3+RATE_A3*($A1881-BOTT_A3),0),IF($A1881&gt;BOTT_A2,ROUND(BASE_A2+RATE_A2*($A1881-BOTT_A2),0),ROUND(RATE_A1*$A1881,0))))</f>
        <v/>
      </c>
      <c r="E1881" s="556">
        <f>IF($A1881&gt;BOTT_B4,ROUND(BASE_B4+RATE_B4*($A1881-BOTT_B4),0),IF($A1881&gt;BOTT_B3,ROUND(BASE_B3+RATE_B3*($A1881-BOTT_B3),0),IF($A1881&gt;BOTT_B2,ROUND(BASE_B2+RATE_B2*($A1881-BOTT_B2),0),ROUND(RATE_B1*$A1881,0))))</f>
        <v/>
      </c>
      <c r="F1881" s="556">
        <f>IF($A1881&gt;BOTT_C4,ROUND(BASE_C4+RATE_C4*($A1881-BOTT_C4),0),IF($A1881&gt;BOTT_C3,ROUND(BASE_C3+RATE_C3*($A1881-BOTT_C3),0),IF($A1881&gt;BOTT_C2,ROUND(BASE_C2+RATE_C2*($A1881-BOTT_C2),0),ROUND(RATE_C1*$A1881,0))))</f>
        <v/>
      </c>
      <c r="G1881" s="556">
        <f>IF($A1881&gt;BOTT_D4,ROUND(BASE_D4+RATE_D4*($A1881-BOTT_D4),0),IF($A1881&gt;BOTT_D3,ROUND(BASE_D3+RATE_D3*($A1881-BOTT_D3),0),IF($A1881&gt;BOTT_D2,ROUND(BASE_D2+RATE_D2*($A1881-BOTT_D2),0),ROUND(RATE_D1*$A1881,0))))</f>
        <v/>
      </c>
    </row>
    <row r="1882" ht="15.75" customHeight="1" s="7635">
      <c r="A1882" s="625">
        <f>AVERAGE(B1882,C1882)</f>
        <v/>
      </c>
      <c r="B1882" s="555" t="n">
        <v>90900</v>
      </c>
      <c r="C1882" s="555" t="n">
        <v>90950</v>
      </c>
      <c r="D1882" s="556">
        <f>IF($A1882&gt;BOTT_A4,ROUND(BASE_A4+RATE_A4*($A1882-BOTT_A4),0),IF($A1882&gt;BOTT_A3,ROUND(BASE_A3+RATE_A3*($A1882-BOTT_A3),0),IF($A1882&gt;BOTT_A2,ROUND(BASE_A2+RATE_A2*($A1882-BOTT_A2),0),ROUND(RATE_A1*$A1882,0))))</f>
        <v/>
      </c>
      <c r="E1882" s="556">
        <f>IF($A1882&gt;BOTT_B4,ROUND(BASE_B4+RATE_B4*($A1882-BOTT_B4),0),IF($A1882&gt;BOTT_B3,ROUND(BASE_B3+RATE_B3*($A1882-BOTT_B3),0),IF($A1882&gt;BOTT_B2,ROUND(BASE_B2+RATE_B2*($A1882-BOTT_B2),0),ROUND(RATE_B1*$A1882,0))))</f>
        <v/>
      </c>
      <c r="F1882" s="556">
        <f>IF($A1882&gt;BOTT_C4,ROUND(BASE_C4+RATE_C4*($A1882-BOTT_C4),0),IF($A1882&gt;BOTT_C3,ROUND(BASE_C3+RATE_C3*($A1882-BOTT_C3),0),IF($A1882&gt;BOTT_C2,ROUND(BASE_C2+RATE_C2*($A1882-BOTT_C2),0),ROUND(RATE_C1*$A1882,0))))</f>
        <v/>
      </c>
      <c r="G1882" s="556">
        <f>IF($A1882&gt;BOTT_D4,ROUND(BASE_D4+RATE_D4*($A1882-BOTT_D4),0),IF($A1882&gt;BOTT_D3,ROUND(BASE_D3+RATE_D3*($A1882-BOTT_D3),0),IF($A1882&gt;BOTT_D2,ROUND(BASE_D2+RATE_D2*($A1882-BOTT_D2),0),ROUND(RATE_D1*$A1882,0))))</f>
        <v/>
      </c>
    </row>
    <row r="1883" ht="15.75" customHeight="1" s="7635">
      <c r="A1883" s="625">
        <f>AVERAGE(B1883,C1883)</f>
        <v/>
      </c>
      <c r="B1883" s="555" t="n">
        <v>90950</v>
      </c>
      <c r="C1883" s="555" t="n">
        <v>91000</v>
      </c>
      <c r="D1883" s="556">
        <f>IF($A1883&gt;BOTT_A4,ROUND(BASE_A4+RATE_A4*($A1883-BOTT_A4),0),IF($A1883&gt;BOTT_A3,ROUND(BASE_A3+RATE_A3*($A1883-BOTT_A3),0),IF($A1883&gt;BOTT_A2,ROUND(BASE_A2+RATE_A2*($A1883-BOTT_A2),0),ROUND(RATE_A1*$A1883,0))))</f>
        <v/>
      </c>
      <c r="E1883" s="556">
        <f>IF($A1883&gt;BOTT_B4,ROUND(BASE_B4+RATE_B4*($A1883-BOTT_B4),0),IF($A1883&gt;BOTT_B3,ROUND(BASE_B3+RATE_B3*($A1883-BOTT_B3),0),IF($A1883&gt;BOTT_B2,ROUND(BASE_B2+RATE_B2*($A1883-BOTT_B2),0),ROUND(RATE_B1*$A1883,0))))</f>
        <v/>
      </c>
      <c r="F1883" s="556">
        <f>IF($A1883&gt;BOTT_C4,ROUND(BASE_C4+RATE_C4*($A1883-BOTT_C4),0),IF($A1883&gt;BOTT_C3,ROUND(BASE_C3+RATE_C3*($A1883-BOTT_C3),0),IF($A1883&gt;BOTT_C2,ROUND(BASE_C2+RATE_C2*($A1883-BOTT_C2),0),ROUND(RATE_C1*$A1883,0))))</f>
        <v/>
      </c>
      <c r="G1883" s="556">
        <f>IF($A1883&gt;BOTT_D4,ROUND(BASE_D4+RATE_D4*($A1883-BOTT_D4),0),IF($A1883&gt;BOTT_D3,ROUND(BASE_D3+RATE_D3*($A1883-BOTT_D3),0),IF($A1883&gt;BOTT_D2,ROUND(BASE_D2+RATE_D2*($A1883-BOTT_D2),0),ROUND(RATE_D1*$A1883,0))))</f>
        <v/>
      </c>
    </row>
    <row r="1884" ht="15.75" customHeight="1" s="7635">
      <c r="A1884" s="625">
        <f>AVERAGE(B1884,C1884)</f>
        <v/>
      </c>
      <c r="B1884" s="555" t="n">
        <v>91000</v>
      </c>
      <c r="C1884" s="555" t="n">
        <v>91050</v>
      </c>
      <c r="D1884" s="556">
        <f>IF($A1884&gt;BOTT_A4,ROUND(BASE_A4+RATE_A4*($A1884-BOTT_A4),0),IF($A1884&gt;BOTT_A3,ROUND(BASE_A3+RATE_A3*($A1884-BOTT_A3),0),IF($A1884&gt;BOTT_A2,ROUND(BASE_A2+RATE_A2*($A1884-BOTT_A2),0),ROUND(RATE_A1*$A1884,0))))</f>
        <v/>
      </c>
      <c r="E1884" s="556">
        <f>IF($A1884&gt;BOTT_B4,ROUND(BASE_B4+RATE_B4*($A1884-BOTT_B4),0),IF($A1884&gt;BOTT_B3,ROUND(BASE_B3+RATE_B3*($A1884-BOTT_B3),0),IF($A1884&gt;BOTT_B2,ROUND(BASE_B2+RATE_B2*($A1884-BOTT_B2),0),ROUND(RATE_B1*$A1884,0))))</f>
        <v/>
      </c>
      <c r="F1884" s="556">
        <f>IF($A1884&gt;BOTT_C4,ROUND(BASE_C4+RATE_C4*($A1884-BOTT_C4),0),IF($A1884&gt;BOTT_C3,ROUND(BASE_C3+RATE_C3*($A1884-BOTT_C3),0),IF($A1884&gt;BOTT_C2,ROUND(BASE_C2+RATE_C2*($A1884-BOTT_C2),0),ROUND(RATE_C1*$A1884,0))))</f>
        <v/>
      </c>
      <c r="G1884" s="556">
        <f>IF($A1884&gt;BOTT_D4,ROUND(BASE_D4+RATE_D4*($A1884-BOTT_D4),0),IF($A1884&gt;BOTT_D3,ROUND(BASE_D3+RATE_D3*($A1884-BOTT_D3),0),IF($A1884&gt;BOTT_D2,ROUND(BASE_D2+RATE_D2*($A1884-BOTT_D2),0),ROUND(RATE_D1*$A1884,0))))</f>
        <v/>
      </c>
    </row>
    <row r="1885" ht="15.75" customHeight="1" s="7635">
      <c r="A1885" s="625">
        <f>AVERAGE(B1885,C1885)</f>
        <v/>
      </c>
      <c r="B1885" s="555" t="n">
        <v>91050</v>
      </c>
      <c r="C1885" s="555" t="n">
        <v>91100</v>
      </c>
      <c r="D1885" s="556">
        <f>IF($A1885&gt;BOTT_A4,ROUND(BASE_A4+RATE_A4*($A1885-BOTT_A4),0),IF($A1885&gt;BOTT_A3,ROUND(BASE_A3+RATE_A3*($A1885-BOTT_A3),0),IF($A1885&gt;BOTT_A2,ROUND(BASE_A2+RATE_A2*($A1885-BOTT_A2),0),ROUND(RATE_A1*$A1885,0))))</f>
        <v/>
      </c>
      <c r="E1885" s="556">
        <f>IF($A1885&gt;BOTT_B4,ROUND(BASE_B4+RATE_B4*($A1885-BOTT_B4),0),IF($A1885&gt;BOTT_B3,ROUND(BASE_B3+RATE_B3*($A1885-BOTT_B3),0),IF($A1885&gt;BOTT_B2,ROUND(BASE_B2+RATE_B2*($A1885-BOTT_B2),0),ROUND(RATE_B1*$A1885,0))))</f>
        <v/>
      </c>
      <c r="F1885" s="556">
        <f>IF($A1885&gt;BOTT_C4,ROUND(BASE_C4+RATE_C4*($A1885-BOTT_C4),0),IF($A1885&gt;BOTT_C3,ROUND(BASE_C3+RATE_C3*($A1885-BOTT_C3),0),IF($A1885&gt;BOTT_C2,ROUND(BASE_C2+RATE_C2*($A1885-BOTT_C2),0),ROUND(RATE_C1*$A1885,0))))</f>
        <v/>
      </c>
      <c r="G1885" s="556">
        <f>IF($A1885&gt;BOTT_D4,ROUND(BASE_D4+RATE_D4*($A1885-BOTT_D4),0),IF($A1885&gt;BOTT_D3,ROUND(BASE_D3+RATE_D3*($A1885-BOTT_D3),0),IF($A1885&gt;BOTT_D2,ROUND(BASE_D2+RATE_D2*($A1885-BOTT_D2),0),ROUND(RATE_D1*$A1885,0))))</f>
        <v/>
      </c>
    </row>
    <row r="1886" ht="15.75" customHeight="1" s="7635">
      <c r="A1886" s="625">
        <f>AVERAGE(B1886,C1886)</f>
        <v/>
      </c>
      <c r="B1886" s="555" t="n">
        <v>91100</v>
      </c>
      <c r="C1886" s="555" t="n">
        <v>91150</v>
      </c>
      <c r="D1886" s="556">
        <f>IF($A1886&gt;BOTT_A4,ROUND(BASE_A4+RATE_A4*($A1886-BOTT_A4),0),IF($A1886&gt;BOTT_A3,ROUND(BASE_A3+RATE_A3*($A1886-BOTT_A3),0),IF($A1886&gt;BOTT_A2,ROUND(BASE_A2+RATE_A2*($A1886-BOTT_A2),0),ROUND(RATE_A1*$A1886,0))))</f>
        <v/>
      </c>
      <c r="E1886" s="556">
        <f>IF($A1886&gt;BOTT_B4,ROUND(BASE_B4+RATE_B4*($A1886-BOTT_B4),0),IF($A1886&gt;BOTT_B3,ROUND(BASE_B3+RATE_B3*($A1886-BOTT_B3),0),IF($A1886&gt;BOTT_B2,ROUND(BASE_B2+RATE_B2*($A1886-BOTT_B2),0),ROUND(RATE_B1*$A1886,0))))</f>
        <v/>
      </c>
      <c r="F1886" s="556">
        <f>IF($A1886&gt;BOTT_C4,ROUND(BASE_C4+RATE_C4*($A1886-BOTT_C4),0),IF($A1886&gt;BOTT_C3,ROUND(BASE_C3+RATE_C3*($A1886-BOTT_C3),0),IF($A1886&gt;BOTT_C2,ROUND(BASE_C2+RATE_C2*($A1886-BOTT_C2),0),ROUND(RATE_C1*$A1886,0))))</f>
        <v/>
      </c>
      <c r="G1886" s="556">
        <f>IF($A1886&gt;BOTT_D4,ROUND(BASE_D4+RATE_D4*($A1886-BOTT_D4),0),IF($A1886&gt;BOTT_D3,ROUND(BASE_D3+RATE_D3*($A1886-BOTT_D3),0),IF($A1886&gt;BOTT_D2,ROUND(BASE_D2+RATE_D2*($A1886-BOTT_D2),0),ROUND(RATE_D1*$A1886,0))))</f>
        <v/>
      </c>
    </row>
    <row r="1887" ht="15.75" customHeight="1" s="7635">
      <c r="A1887" s="625">
        <f>AVERAGE(B1887,C1887)</f>
        <v/>
      </c>
      <c r="B1887" s="555" t="n">
        <v>91150</v>
      </c>
      <c r="C1887" s="555" t="n">
        <v>91200</v>
      </c>
      <c r="D1887" s="556">
        <f>IF($A1887&gt;BOTT_A4,ROUND(BASE_A4+RATE_A4*($A1887-BOTT_A4),0),IF($A1887&gt;BOTT_A3,ROUND(BASE_A3+RATE_A3*($A1887-BOTT_A3),0),IF($A1887&gt;BOTT_A2,ROUND(BASE_A2+RATE_A2*($A1887-BOTT_A2),0),ROUND(RATE_A1*$A1887,0))))</f>
        <v/>
      </c>
      <c r="E1887" s="556">
        <f>IF($A1887&gt;BOTT_B4,ROUND(BASE_B4+RATE_B4*($A1887-BOTT_B4),0),IF($A1887&gt;BOTT_B3,ROUND(BASE_B3+RATE_B3*($A1887-BOTT_B3),0),IF($A1887&gt;BOTT_B2,ROUND(BASE_B2+RATE_B2*($A1887-BOTT_B2),0),ROUND(RATE_B1*$A1887,0))))</f>
        <v/>
      </c>
      <c r="F1887" s="556">
        <f>IF($A1887&gt;BOTT_C4,ROUND(BASE_C4+RATE_C4*($A1887-BOTT_C4),0),IF($A1887&gt;BOTT_C3,ROUND(BASE_C3+RATE_C3*($A1887-BOTT_C3),0),IF($A1887&gt;BOTT_C2,ROUND(BASE_C2+RATE_C2*($A1887-BOTT_C2),0),ROUND(RATE_C1*$A1887,0))))</f>
        <v/>
      </c>
      <c r="G1887" s="556">
        <f>IF($A1887&gt;BOTT_D4,ROUND(BASE_D4+RATE_D4*($A1887-BOTT_D4),0),IF($A1887&gt;BOTT_D3,ROUND(BASE_D3+RATE_D3*($A1887-BOTT_D3),0),IF($A1887&gt;BOTT_D2,ROUND(BASE_D2+RATE_D2*($A1887-BOTT_D2),0),ROUND(RATE_D1*$A1887,0))))</f>
        <v/>
      </c>
    </row>
    <row r="1888" ht="15.75" customHeight="1" s="7635">
      <c r="A1888" s="625">
        <f>AVERAGE(B1888,C1888)</f>
        <v/>
      </c>
      <c r="B1888" s="555" t="n">
        <v>91200</v>
      </c>
      <c r="C1888" s="555" t="n">
        <v>91250</v>
      </c>
      <c r="D1888" s="556">
        <f>IF($A1888&gt;BOTT_A4,ROUND(BASE_A4+RATE_A4*($A1888-BOTT_A4),0),IF($A1888&gt;BOTT_A3,ROUND(BASE_A3+RATE_A3*($A1888-BOTT_A3),0),IF($A1888&gt;BOTT_A2,ROUND(BASE_A2+RATE_A2*($A1888-BOTT_A2),0),ROUND(RATE_A1*$A1888,0))))</f>
        <v/>
      </c>
      <c r="E1888" s="556">
        <f>IF($A1888&gt;BOTT_B4,ROUND(BASE_B4+RATE_B4*($A1888-BOTT_B4),0),IF($A1888&gt;BOTT_B3,ROUND(BASE_B3+RATE_B3*($A1888-BOTT_B3),0),IF($A1888&gt;BOTT_B2,ROUND(BASE_B2+RATE_B2*($A1888-BOTT_B2),0),ROUND(RATE_B1*$A1888,0))))</f>
        <v/>
      </c>
      <c r="F1888" s="556">
        <f>IF($A1888&gt;BOTT_C4,ROUND(BASE_C4+RATE_C4*($A1888-BOTT_C4),0),IF($A1888&gt;BOTT_C3,ROUND(BASE_C3+RATE_C3*($A1888-BOTT_C3),0),IF($A1888&gt;BOTT_C2,ROUND(BASE_C2+RATE_C2*($A1888-BOTT_C2),0),ROUND(RATE_C1*$A1888,0))))</f>
        <v/>
      </c>
      <c r="G1888" s="556">
        <f>IF($A1888&gt;BOTT_D4,ROUND(BASE_D4+RATE_D4*($A1888-BOTT_D4),0),IF($A1888&gt;BOTT_D3,ROUND(BASE_D3+RATE_D3*($A1888-BOTT_D3),0),IF($A1888&gt;BOTT_D2,ROUND(BASE_D2+RATE_D2*($A1888-BOTT_D2),0),ROUND(RATE_D1*$A1888,0))))</f>
        <v/>
      </c>
    </row>
    <row r="1889" ht="15.75" customHeight="1" s="7635">
      <c r="A1889" s="625">
        <f>AVERAGE(B1889,C1889)</f>
        <v/>
      </c>
      <c r="B1889" s="555" t="n">
        <v>91250</v>
      </c>
      <c r="C1889" s="555" t="n">
        <v>91300</v>
      </c>
      <c r="D1889" s="556">
        <f>IF($A1889&gt;BOTT_A4,ROUND(BASE_A4+RATE_A4*($A1889-BOTT_A4),0),IF($A1889&gt;BOTT_A3,ROUND(BASE_A3+RATE_A3*($A1889-BOTT_A3),0),IF($A1889&gt;BOTT_A2,ROUND(BASE_A2+RATE_A2*($A1889-BOTT_A2),0),ROUND(RATE_A1*$A1889,0))))</f>
        <v/>
      </c>
      <c r="E1889" s="556">
        <f>IF($A1889&gt;BOTT_B4,ROUND(BASE_B4+RATE_B4*($A1889-BOTT_B4),0),IF($A1889&gt;BOTT_B3,ROUND(BASE_B3+RATE_B3*($A1889-BOTT_B3),0),IF($A1889&gt;BOTT_B2,ROUND(BASE_B2+RATE_B2*($A1889-BOTT_B2),0),ROUND(RATE_B1*$A1889,0))))</f>
        <v/>
      </c>
      <c r="F1889" s="556">
        <f>IF($A1889&gt;BOTT_C4,ROUND(BASE_C4+RATE_C4*($A1889-BOTT_C4),0),IF($A1889&gt;BOTT_C3,ROUND(BASE_C3+RATE_C3*($A1889-BOTT_C3),0),IF($A1889&gt;BOTT_C2,ROUND(BASE_C2+RATE_C2*($A1889-BOTT_C2),0),ROUND(RATE_C1*$A1889,0))))</f>
        <v/>
      </c>
      <c r="G1889" s="556">
        <f>IF($A1889&gt;BOTT_D4,ROUND(BASE_D4+RATE_D4*($A1889-BOTT_D4),0),IF($A1889&gt;BOTT_D3,ROUND(BASE_D3+RATE_D3*($A1889-BOTT_D3),0),IF($A1889&gt;BOTT_D2,ROUND(BASE_D2+RATE_D2*($A1889-BOTT_D2),0),ROUND(RATE_D1*$A1889,0))))</f>
        <v/>
      </c>
    </row>
    <row r="1890" ht="15.75" customHeight="1" s="7635">
      <c r="A1890" s="625">
        <f>AVERAGE(B1890,C1890)</f>
        <v/>
      </c>
      <c r="B1890" s="555" t="n">
        <v>91300</v>
      </c>
      <c r="C1890" s="555" t="n">
        <v>91350</v>
      </c>
      <c r="D1890" s="556">
        <f>IF($A1890&gt;BOTT_A4,ROUND(BASE_A4+RATE_A4*($A1890-BOTT_A4),0),IF($A1890&gt;BOTT_A3,ROUND(BASE_A3+RATE_A3*($A1890-BOTT_A3),0),IF($A1890&gt;BOTT_A2,ROUND(BASE_A2+RATE_A2*($A1890-BOTT_A2),0),ROUND(RATE_A1*$A1890,0))))</f>
        <v/>
      </c>
      <c r="E1890" s="556">
        <f>IF($A1890&gt;BOTT_B4,ROUND(BASE_B4+RATE_B4*($A1890-BOTT_B4),0),IF($A1890&gt;BOTT_B3,ROUND(BASE_B3+RATE_B3*($A1890-BOTT_B3),0),IF($A1890&gt;BOTT_B2,ROUND(BASE_B2+RATE_B2*($A1890-BOTT_B2),0),ROUND(RATE_B1*$A1890,0))))</f>
        <v/>
      </c>
      <c r="F1890" s="556">
        <f>IF($A1890&gt;BOTT_C4,ROUND(BASE_C4+RATE_C4*($A1890-BOTT_C4),0),IF($A1890&gt;BOTT_C3,ROUND(BASE_C3+RATE_C3*($A1890-BOTT_C3),0),IF($A1890&gt;BOTT_C2,ROUND(BASE_C2+RATE_C2*($A1890-BOTT_C2),0),ROUND(RATE_C1*$A1890,0))))</f>
        <v/>
      </c>
      <c r="G1890" s="556">
        <f>IF($A1890&gt;BOTT_D4,ROUND(BASE_D4+RATE_D4*($A1890-BOTT_D4),0),IF($A1890&gt;BOTT_D3,ROUND(BASE_D3+RATE_D3*($A1890-BOTT_D3),0),IF($A1890&gt;BOTT_D2,ROUND(BASE_D2+RATE_D2*($A1890-BOTT_D2),0),ROUND(RATE_D1*$A1890,0))))</f>
        <v/>
      </c>
    </row>
    <row r="1891" ht="15.75" customHeight="1" s="7635">
      <c r="A1891" s="625">
        <f>AVERAGE(B1891,C1891)</f>
        <v/>
      </c>
      <c r="B1891" s="555" t="n">
        <v>91350</v>
      </c>
      <c r="C1891" s="555" t="n">
        <v>91400</v>
      </c>
      <c r="D1891" s="556">
        <f>IF($A1891&gt;BOTT_A4,ROUND(BASE_A4+RATE_A4*($A1891-BOTT_A4),0),IF($A1891&gt;BOTT_A3,ROUND(BASE_A3+RATE_A3*($A1891-BOTT_A3),0),IF($A1891&gt;BOTT_A2,ROUND(BASE_A2+RATE_A2*($A1891-BOTT_A2),0),ROUND(RATE_A1*$A1891,0))))</f>
        <v/>
      </c>
      <c r="E1891" s="556">
        <f>IF($A1891&gt;BOTT_B4,ROUND(BASE_B4+RATE_B4*($A1891-BOTT_B4),0),IF($A1891&gt;BOTT_B3,ROUND(BASE_B3+RATE_B3*($A1891-BOTT_B3),0),IF($A1891&gt;BOTT_B2,ROUND(BASE_B2+RATE_B2*($A1891-BOTT_B2),0),ROUND(RATE_B1*$A1891,0))))</f>
        <v/>
      </c>
      <c r="F1891" s="556">
        <f>IF($A1891&gt;BOTT_C4,ROUND(BASE_C4+RATE_C4*($A1891-BOTT_C4),0),IF($A1891&gt;BOTT_C3,ROUND(BASE_C3+RATE_C3*($A1891-BOTT_C3),0),IF($A1891&gt;BOTT_C2,ROUND(BASE_C2+RATE_C2*($A1891-BOTT_C2),0),ROUND(RATE_C1*$A1891,0))))</f>
        <v/>
      </c>
      <c r="G1891" s="556">
        <f>IF($A1891&gt;BOTT_D4,ROUND(BASE_D4+RATE_D4*($A1891-BOTT_D4),0),IF($A1891&gt;BOTT_D3,ROUND(BASE_D3+RATE_D3*($A1891-BOTT_D3),0),IF($A1891&gt;BOTT_D2,ROUND(BASE_D2+RATE_D2*($A1891-BOTT_D2),0),ROUND(RATE_D1*$A1891,0))))</f>
        <v/>
      </c>
    </row>
    <row r="1892" ht="15.75" customHeight="1" s="7635">
      <c r="A1892" s="625">
        <f>AVERAGE(B1892,C1892)</f>
        <v/>
      </c>
      <c r="B1892" s="555" t="n">
        <v>91400</v>
      </c>
      <c r="C1892" s="555" t="n">
        <v>91450</v>
      </c>
      <c r="D1892" s="556">
        <f>IF($A1892&gt;BOTT_A4,ROUND(BASE_A4+RATE_A4*($A1892-BOTT_A4),0),IF($A1892&gt;BOTT_A3,ROUND(BASE_A3+RATE_A3*($A1892-BOTT_A3),0),IF($A1892&gt;BOTT_A2,ROUND(BASE_A2+RATE_A2*($A1892-BOTT_A2),0),ROUND(RATE_A1*$A1892,0))))</f>
        <v/>
      </c>
      <c r="E1892" s="556">
        <f>IF($A1892&gt;BOTT_B4,ROUND(BASE_B4+RATE_B4*($A1892-BOTT_B4),0),IF($A1892&gt;BOTT_B3,ROUND(BASE_B3+RATE_B3*($A1892-BOTT_B3),0),IF($A1892&gt;BOTT_B2,ROUND(BASE_B2+RATE_B2*($A1892-BOTT_B2),0),ROUND(RATE_B1*$A1892,0))))</f>
        <v/>
      </c>
      <c r="F1892" s="556">
        <f>IF($A1892&gt;BOTT_C4,ROUND(BASE_C4+RATE_C4*($A1892-BOTT_C4),0),IF($A1892&gt;BOTT_C3,ROUND(BASE_C3+RATE_C3*($A1892-BOTT_C3),0),IF($A1892&gt;BOTT_C2,ROUND(BASE_C2+RATE_C2*($A1892-BOTT_C2),0),ROUND(RATE_C1*$A1892,0))))</f>
        <v/>
      </c>
      <c r="G1892" s="556">
        <f>IF($A1892&gt;BOTT_D4,ROUND(BASE_D4+RATE_D4*($A1892-BOTT_D4),0),IF($A1892&gt;BOTT_D3,ROUND(BASE_D3+RATE_D3*($A1892-BOTT_D3),0),IF($A1892&gt;BOTT_D2,ROUND(BASE_D2+RATE_D2*($A1892-BOTT_D2),0),ROUND(RATE_D1*$A1892,0))))</f>
        <v/>
      </c>
    </row>
    <row r="1893" ht="15.75" customHeight="1" s="7635">
      <c r="A1893" s="625">
        <f>AVERAGE(B1893,C1893)</f>
        <v/>
      </c>
      <c r="B1893" s="555" t="n">
        <v>91450</v>
      </c>
      <c r="C1893" s="555" t="n">
        <v>91500</v>
      </c>
      <c r="D1893" s="556">
        <f>IF($A1893&gt;BOTT_A4,ROUND(BASE_A4+RATE_A4*($A1893-BOTT_A4),0),IF($A1893&gt;BOTT_A3,ROUND(BASE_A3+RATE_A3*($A1893-BOTT_A3),0),IF($A1893&gt;BOTT_A2,ROUND(BASE_A2+RATE_A2*($A1893-BOTT_A2),0),ROUND(RATE_A1*$A1893,0))))</f>
        <v/>
      </c>
      <c r="E1893" s="556">
        <f>IF($A1893&gt;BOTT_B4,ROUND(BASE_B4+RATE_B4*($A1893-BOTT_B4),0),IF($A1893&gt;BOTT_B3,ROUND(BASE_B3+RATE_B3*($A1893-BOTT_B3),0),IF($A1893&gt;BOTT_B2,ROUND(BASE_B2+RATE_B2*($A1893-BOTT_B2),0),ROUND(RATE_B1*$A1893,0))))</f>
        <v/>
      </c>
      <c r="F1893" s="556">
        <f>IF($A1893&gt;BOTT_C4,ROUND(BASE_C4+RATE_C4*($A1893-BOTT_C4),0),IF($A1893&gt;BOTT_C3,ROUND(BASE_C3+RATE_C3*($A1893-BOTT_C3),0),IF($A1893&gt;BOTT_C2,ROUND(BASE_C2+RATE_C2*($A1893-BOTT_C2),0),ROUND(RATE_C1*$A1893,0))))</f>
        <v/>
      </c>
      <c r="G1893" s="556">
        <f>IF($A1893&gt;BOTT_D4,ROUND(BASE_D4+RATE_D4*($A1893-BOTT_D4),0),IF($A1893&gt;BOTT_D3,ROUND(BASE_D3+RATE_D3*($A1893-BOTT_D3),0),IF($A1893&gt;BOTT_D2,ROUND(BASE_D2+RATE_D2*($A1893-BOTT_D2),0),ROUND(RATE_D1*$A1893,0))))</f>
        <v/>
      </c>
    </row>
    <row r="1894" ht="15.75" customHeight="1" s="7635">
      <c r="A1894" s="625">
        <f>AVERAGE(B1894,C1894)</f>
        <v/>
      </c>
      <c r="B1894" s="555" t="n">
        <v>91500</v>
      </c>
      <c r="C1894" s="555" t="n">
        <v>91550</v>
      </c>
      <c r="D1894" s="556">
        <f>IF($A1894&gt;BOTT_A4,ROUND(BASE_A4+RATE_A4*($A1894-BOTT_A4),0),IF($A1894&gt;BOTT_A3,ROUND(BASE_A3+RATE_A3*($A1894-BOTT_A3),0),IF($A1894&gt;BOTT_A2,ROUND(BASE_A2+RATE_A2*($A1894-BOTT_A2),0),ROUND(RATE_A1*$A1894,0))))</f>
        <v/>
      </c>
      <c r="E1894" s="556">
        <f>IF($A1894&gt;BOTT_B4,ROUND(BASE_B4+RATE_B4*($A1894-BOTT_B4),0),IF($A1894&gt;BOTT_B3,ROUND(BASE_B3+RATE_B3*($A1894-BOTT_B3),0),IF($A1894&gt;BOTT_B2,ROUND(BASE_B2+RATE_B2*($A1894-BOTT_B2),0),ROUND(RATE_B1*$A1894,0))))</f>
        <v/>
      </c>
      <c r="F1894" s="556">
        <f>IF($A1894&gt;BOTT_C4,ROUND(BASE_C4+RATE_C4*($A1894-BOTT_C4),0),IF($A1894&gt;BOTT_C3,ROUND(BASE_C3+RATE_C3*($A1894-BOTT_C3),0),IF($A1894&gt;BOTT_C2,ROUND(BASE_C2+RATE_C2*($A1894-BOTT_C2),0),ROUND(RATE_C1*$A1894,0))))</f>
        <v/>
      </c>
      <c r="G1894" s="556">
        <f>IF($A1894&gt;BOTT_D4,ROUND(BASE_D4+RATE_D4*($A1894-BOTT_D4),0),IF($A1894&gt;BOTT_D3,ROUND(BASE_D3+RATE_D3*($A1894-BOTT_D3),0),IF($A1894&gt;BOTT_D2,ROUND(BASE_D2+RATE_D2*($A1894-BOTT_D2),0),ROUND(RATE_D1*$A1894,0))))</f>
        <v/>
      </c>
    </row>
    <row r="1895" ht="15.75" customHeight="1" s="7635">
      <c r="A1895" s="625">
        <f>AVERAGE(B1895,C1895)</f>
        <v/>
      </c>
      <c r="B1895" s="555" t="n">
        <v>91550</v>
      </c>
      <c r="C1895" s="555" t="n">
        <v>91600</v>
      </c>
      <c r="D1895" s="556">
        <f>IF($A1895&gt;BOTT_A4,ROUND(BASE_A4+RATE_A4*($A1895-BOTT_A4),0),IF($A1895&gt;BOTT_A3,ROUND(BASE_A3+RATE_A3*($A1895-BOTT_A3),0),IF($A1895&gt;BOTT_A2,ROUND(BASE_A2+RATE_A2*($A1895-BOTT_A2),0),ROUND(RATE_A1*$A1895,0))))</f>
        <v/>
      </c>
      <c r="E1895" s="556">
        <f>IF($A1895&gt;BOTT_B4,ROUND(BASE_B4+RATE_B4*($A1895-BOTT_B4),0),IF($A1895&gt;BOTT_B3,ROUND(BASE_B3+RATE_B3*($A1895-BOTT_B3),0),IF($A1895&gt;BOTT_B2,ROUND(BASE_B2+RATE_B2*($A1895-BOTT_B2),0),ROUND(RATE_B1*$A1895,0))))</f>
        <v/>
      </c>
      <c r="F1895" s="556">
        <f>IF($A1895&gt;BOTT_C4,ROUND(BASE_C4+RATE_C4*($A1895-BOTT_C4),0),IF($A1895&gt;BOTT_C3,ROUND(BASE_C3+RATE_C3*($A1895-BOTT_C3),0),IF($A1895&gt;BOTT_C2,ROUND(BASE_C2+RATE_C2*($A1895-BOTT_C2),0),ROUND(RATE_C1*$A1895,0))))</f>
        <v/>
      </c>
      <c r="G1895" s="556">
        <f>IF($A1895&gt;BOTT_D4,ROUND(BASE_D4+RATE_D4*($A1895-BOTT_D4),0),IF($A1895&gt;BOTT_D3,ROUND(BASE_D3+RATE_D3*($A1895-BOTT_D3),0),IF($A1895&gt;BOTT_D2,ROUND(BASE_D2+RATE_D2*($A1895-BOTT_D2),0),ROUND(RATE_D1*$A1895,0))))</f>
        <v/>
      </c>
    </row>
    <row r="1896" ht="15.75" customHeight="1" s="7635">
      <c r="A1896" s="625">
        <f>AVERAGE(B1896,C1896)</f>
        <v/>
      </c>
      <c r="B1896" s="555" t="n">
        <v>91600</v>
      </c>
      <c r="C1896" s="555" t="n">
        <v>91650</v>
      </c>
      <c r="D1896" s="556">
        <f>IF($A1896&gt;BOTT_A4,ROUND(BASE_A4+RATE_A4*($A1896-BOTT_A4),0),IF($A1896&gt;BOTT_A3,ROUND(BASE_A3+RATE_A3*($A1896-BOTT_A3),0),IF($A1896&gt;BOTT_A2,ROUND(BASE_A2+RATE_A2*($A1896-BOTT_A2),0),ROUND(RATE_A1*$A1896,0))))</f>
        <v/>
      </c>
      <c r="E1896" s="556">
        <f>IF($A1896&gt;BOTT_B4,ROUND(BASE_B4+RATE_B4*($A1896-BOTT_B4),0),IF($A1896&gt;BOTT_B3,ROUND(BASE_B3+RATE_B3*($A1896-BOTT_B3),0),IF($A1896&gt;BOTT_B2,ROUND(BASE_B2+RATE_B2*($A1896-BOTT_B2),0),ROUND(RATE_B1*$A1896,0))))</f>
        <v/>
      </c>
      <c r="F1896" s="556">
        <f>IF($A1896&gt;BOTT_C4,ROUND(BASE_C4+RATE_C4*($A1896-BOTT_C4),0),IF($A1896&gt;BOTT_C3,ROUND(BASE_C3+RATE_C3*($A1896-BOTT_C3),0),IF($A1896&gt;BOTT_C2,ROUND(BASE_C2+RATE_C2*($A1896-BOTT_C2),0),ROUND(RATE_C1*$A1896,0))))</f>
        <v/>
      </c>
      <c r="G1896" s="556">
        <f>IF($A1896&gt;BOTT_D4,ROUND(BASE_D4+RATE_D4*($A1896-BOTT_D4),0),IF($A1896&gt;BOTT_D3,ROUND(BASE_D3+RATE_D3*($A1896-BOTT_D3),0),IF($A1896&gt;BOTT_D2,ROUND(BASE_D2+RATE_D2*($A1896-BOTT_D2),0),ROUND(RATE_D1*$A1896,0))))</f>
        <v/>
      </c>
    </row>
    <row r="1897" ht="15.75" customHeight="1" s="7635">
      <c r="A1897" s="625">
        <f>AVERAGE(B1897,C1897)</f>
        <v/>
      </c>
      <c r="B1897" s="555" t="n">
        <v>91650</v>
      </c>
      <c r="C1897" s="555" t="n">
        <v>91700</v>
      </c>
      <c r="D1897" s="556">
        <f>IF($A1897&gt;BOTT_A4,ROUND(BASE_A4+RATE_A4*($A1897-BOTT_A4),0),IF($A1897&gt;BOTT_A3,ROUND(BASE_A3+RATE_A3*($A1897-BOTT_A3),0),IF($A1897&gt;BOTT_A2,ROUND(BASE_A2+RATE_A2*($A1897-BOTT_A2),0),ROUND(RATE_A1*$A1897,0))))</f>
        <v/>
      </c>
      <c r="E1897" s="556">
        <f>IF($A1897&gt;BOTT_B4,ROUND(BASE_B4+RATE_B4*($A1897-BOTT_B4),0),IF($A1897&gt;BOTT_B3,ROUND(BASE_B3+RATE_B3*($A1897-BOTT_B3),0),IF($A1897&gt;BOTT_B2,ROUND(BASE_B2+RATE_B2*($A1897-BOTT_B2),0),ROUND(RATE_B1*$A1897,0))))</f>
        <v/>
      </c>
      <c r="F1897" s="556">
        <f>IF($A1897&gt;BOTT_C4,ROUND(BASE_C4+RATE_C4*($A1897-BOTT_C4),0),IF($A1897&gt;BOTT_C3,ROUND(BASE_C3+RATE_C3*($A1897-BOTT_C3),0),IF($A1897&gt;BOTT_C2,ROUND(BASE_C2+RATE_C2*($A1897-BOTT_C2),0),ROUND(RATE_C1*$A1897,0))))</f>
        <v/>
      </c>
      <c r="G1897" s="556">
        <f>IF($A1897&gt;BOTT_D4,ROUND(BASE_D4+RATE_D4*($A1897-BOTT_D4),0),IF($A1897&gt;BOTT_D3,ROUND(BASE_D3+RATE_D3*($A1897-BOTT_D3),0),IF($A1897&gt;BOTT_D2,ROUND(BASE_D2+RATE_D2*($A1897-BOTT_D2),0),ROUND(RATE_D1*$A1897,0))))</f>
        <v/>
      </c>
    </row>
    <row r="1898" ht="15.75" customHeight="1" s="7635">
      <c r="A1898" s="625">
        <f>AVERAGE(B1898,C1898)</f>
        <v/>
      </c>
      <c r="B1898" s="555" t="n">
        <v>91700</v>
      </c>
      <c r="C1898" s="555" t="n">
        <v>91750</v>
      </c>
      <c r="D1898" s="556">
        <f>IF($A1898&gt;BOTT_A4,ROUND(BASE_A4+RATE_A4*($A1898-BOTT_A4),0),IF($A1898&gt;BOTT_A3,ROUND(BASE_A3+RATE_A3*($A1898-BOTT_A3),0),IF($A1898&gt;BOTT_A2,ROUND(BASE_A2+RATE_A2*($A1898-BOTT_A2),0),ROUND(RATE_A1*$A1898,0))))</f>
        <v/>
      </c>
      <c r="E1898" s="556">
        <f>IF($A1898&gt;BOTT_B4,ROUND(BASE_B4+RATE_B4*($A1898-BOTT_B4),0),IF($A1898&gt;BOTT_B3,ROUND(BASE_B3+RATE_B3*($A1898-BOTT_B3),0),IF($A1898&gt;BOTT_B2,ROUND(BASE_B2+RATE_B2*($A1898-BOTT_B2),0),ROUND(RATE_B1*$A1898,0))))</f>
        <v/>
      </c>
      <c r="F1898" s="556">
        <f>IF($A1898&gt;BOTT_C4,ROUND(BASE_C4+RATE_C4*($A1898-BOTT_C4),0),IF($A1898&gt;BOTT_C3,ROUND(BASE_C3+RATE_C3*($A1898-BOTT_C3),0),IF($A1898&gt;BOTT_C2,ROUND(BASE_C2+RATE_C2*($A1898-BOTT_C2),0),ROUND(RATE_C1*$A1898,0))))</f>
        <v/>
      </c>
      <c r="G1898" s="556">
        <f>IF($A1898&gt;BOTT_D4,ROUND(BASE_D4+RATE_D4*($A1898-BOTT_D4),0),IF($A1898&gt;BOTT_D3,ROUND(BASE_D3+RATE_D3*($A1898-BOTT_D3),0),IF($A1898&gt;BOTT_D2,ROUND(BASE_D2+RATE_D2*($A1898-BOTT_D2),0),ROUND(RATE_D1*$A1898,0))))</f>
        <v/>
      </c>
    </row>
    <row r="1899" ht="15.75" customHeight="1" s="7635">
      <c r="A1899" s="625">
        <f>AVERAGE(B1899,C1899)</f>
        <v/>
      </c>
      <c r="B1899" s="555" t="n">
        <v>91750</v>
      </c>
      <c r="C1899" s="555" t="n">
        <v>91800</v>
      </c>
      <c r="D1899" s="556">
        <f>IF($A1899&gt;BOTT_A4,ROUND(BASE_A4+RATE_A4*($A1899-BOTT_A4),0),IF($A1899&gt;BOTT_A3,ROUND(BASE_A3+RATE_A3*($A1899-BOTT_A3),0),IF($A1899&gt;BOTT_A2,ROUND(BASE_A2+RATE_A2*($A1899-BOTT_A2),0),ROUND(RATE_A1*$A1899,0))))</f>
        <v/>
      </c>
      <c r="E1899" s="556">
        <f>IF($A1899&gt;BOTT_B4,ROUND(BASE_B4+RATE_B4*($A1899-BOTT_B4),0),IF($A1899&gt;BOTT_B3,ROUND(BASE_B3+RATE_B3*($A1899-BOTT_B3),0),IF($A1899&gt;BOTT_B2,ROUND(BASE_B2+RATE_B2*($A1899-BOTT_B2),0),ROUND(RATE_B1*$A1899,0))))</f>
        <v/>
      </c>
      <c r="F1899" s="556">
        <f>IF($A1899&gt;BOTT_C4,ROUND(BASE_C4+RATE_C4*($A1899-BOTT_C4),0),IF($A1899&gt;BOTT_C3,ROUND(BASE_C3+RATE_C3*($A1899-BOTT_C3),0),IF($A1899&gt;BOTT_C2,ROUND(BASE_C2+RATE_C2*($A1899-BOTT_C2),0),ROUND(RATE_C1*$A1899,0))))</f>
        <v/>
      </c>
      <c r="G1899" s="556">
        <f>IF($A1899&gt;BOTT_D4,ROUND(BASE_D4+RATE_D4*($A1899-BOTT_D4),0),IF($A1899&gt;BOTT_D3,ROUND(BASE_D3+RATE_D3*($A1899-BOTT_D3),0),IF($A1899&gt;BOTT_D2,ROUND(BASE_D2+RATE_D2*($A1899-BOTT_D2),0),ROUND(RATE_D1*$A1899,0))))</f>
        <v/>
      </c>
    </row>
    <row r="1900" ht="15.75" customHeight="1" s="7635">
      <c r="A1900" s="625">
        <f>AVERAGE(B1900,C1900)</f>
        <v/>
      </c>
      <c r="B1900" s="555" t="n">
        <v>91800</v>
      </c>
      <c r="C1900" s="555" t="n">
        <v>91850</v>
      </c>
      <c r="D1900" s="556">
        <f>IF($A1900&gt;BOTT_A4,ROUND(BASE_A4+RATE_A4*($A1900-BOTT_A4),0),IF($A1900&gt;BOTT_A3,ROUND(BASE_A3+RATE_A3*($A1900-BOTT_A3),0),IF($A1900&gt;BOTT_A2,ROUND(BASE_A2+RATE_A2*($A1900-BOTT_A2),0),ROUND(RATE_A1*$A1900,0))))</f>
        <v/>
      </c>
      <c r="E1900" s="556">
        <f>IF($A1900&gt;BOTT_B4,ROUND(BASE_B4+RATE_B4*($A1900-BOTT_B4),0),IF($A1900&gt;BOTT_B3,ROUND(BASE_B3+RATE_B3*($A1900-BOTT_B3),0),IF($A1900&gt;BOTT_B2,ROUND(BASE_B2+RATE_B2*($A1900-BOTT_B2),0),ROUND(RATE_B1*$A1900,0))))</f>
        <v/>
      </c>
      <c r="F1900" s="556">
        <f>IF($A1900&gt;BOTT_C4,ROUND(BASE_C4+RATE_C4*($A1900-BOTT_C4),0),IF($A1900&gt;BOTT_C3,ROUND(BASE_C3+RATE_C3*($A1900-BOTT_C3),0),IF($A1900&gt;BOTT_C2,ROUND(BASE_C2+RATE_C2*($A1900-BOTT_C2),0),ROUND(RATE_C1*$A1900,0))))</f>
        <v/>
      </c>
      <c r="G1900" s="556">
        <f>IF($A1900&gt;BOTT_D4,ROUND(BASE_D4+RATE_D4*($A1900-BOTT_D4),0),IF($A1900&gt;BOTT_D3,ROUND(BASE_D3+RATE_D3*($A1900-BOTT_D3),0),IF($A1900&gt;BOTT_D2,ROUND(BASE_D2+RATE_D2*($A1900-BOTT_D2),0),ROUND(RATE_D1*$A1900,0))))</f>
        <v/>
      </c>
    </row>
    <row r="1901" ht="15.75" customHeight="1" s="7635">
      <c r="A1901" s="625">
        <f>AVERAGE(B1901,C1901)</f>
        <v/>
      </c>
      <c r="B1901" s="555" t="n">
        <v>91850</v>
      </c>
      <c r="C1901" s="555" t="n">
        <v>91900</v>
      </c>
      <c r="D1901" s="556">
        <f>IF($A1901&gt;BOTT_A4,ROUND(BASE_A4+RATE_A4*($A1901-BOTT_A4),0),IF($A1901&gt;BOTT_A3,ROUND(BASE_A3+RATE_A3*($A1901-BOTT_A3),0),IF($A1901&gt;BOTT_A2,ROUND(BASE_A2+RATE_A2*($A1901-BOTT_A2),0),ROUND(RATE_A1*$A1901,0))))</f>
        <v/>
      </c>
      <c r="E1901" s="556">
        <f>IF($A1901&gt;BOTT_B4,ROUND(BASE_B4+RATE_B4*($A1901-BOTT_B4),0),IF($A1901&gt;BOTT_B3,ROUND(BASE_B3+RATE_B3*($A1901-BOTT_B3),0),IF($A1901&gt;BOTT_B2,ROUND(BASE_B2+RATE_B2*($A1901-BOTT_B2),0),ROUND(RATE_B1*$A1901,0))))</f>
        <v/>
      </c>
      <c r="F1901" s="556">
        <f>IF($A1901&gt;BOTT_C4,ROUND(BASE_C4+RATE_C4*($A1901-BOTT_C4),0),IF($A1901&gt;BOTT_C3,ROUND(BASE_C3+RATE_C3*($A1901-BOTT_C3),0),IF($A1901&gt;BOTT_C2,ROUND(BASE_C2+RATE_C2*($A1901-BOTT_C2),0),ROUND(RATE_C1*$A1901,0))))</f>
        <v/>
      </c>
      <c r="G1901" s="556">
        <f>IF($A1901&gt;BOTT_D4,ROUND(BASE_D4+RATE_D4*($A1901-BOTT_D4),0),IF($A1901&gt;BOTT_D3,ROUND(BASE_D3+RATE_D3*($A1901-BOTT_D3),0),IF($A1901&gt;BOTT_D2,ROUND(BASE_D2+RATE_D2*($A1901-BOTT_D2),0),ROUND(RATE_D1*$A1901,0))))</f>
        <v/>
      </c>
    </row>
    <row r="1902" ht="15.75" customHeight="1" s="7635">
      <c r="A1902" s="625">
        <f>AVERAGE(B1902,C1902)</f>
        <v/>
      </c>
      <c r="B1902" s="555" t="n">
        <v>91900</v>
      </c>
      <c r="C1902" s="555" t="n">
        <v>91950</v>
      </c>
      <c r="D1902" s="556">
        <f>IF($A1902&gt;BOTT_A4,ROUND(BASE_A4+RATE_A4*($A1902-BOTT_A4),0),IF($A1902&gt;BOTT_A3,ROUND(BASE_A3+RATE_A3*($A1902-BOTT_A3),0),IF($A1902&gt;BOTT_A2,ROUND(BASE_A2+RATE_A2*($A1902-BOTT_A2),0),ROUND(RATE_A1*$A1902,0))))</f>
        <v/>
      </c>
      <c r="E1902" s="556">
        <f>IF($A1902&gt;BOTT_B4,ROUND(BASE_B4+RATE_B4*($A1902-BOTT_B4),0),IF($A1902&gt;BOTT_B3,ROUND(BASE_B3+RATE_B3*($A1902-BOTT_B3),0),IF($A1902&gt;BOTT_B2,ROUND(BASE_B2+RATE_B2*($A1902-BOTT_B2),0),ROUND(RATE_B1*$A1902,0))))</f>
        <v/>
      </c>
      <c r="F1902" s="556">
        <f>IF($A1902&gt;BOTT_C4,ROUND(BASE_C4+RATE_C4*($A1902-BOTT_C4),0),IF($A1902&gt;BOTT_C3,ROUND(BASE_C3+RATE_C3*($A1902-BOTT_C3),0),IF($A1902&gt;BOTT_C2,ROUND(BASE_C2+RATE_C2*($A1902-BOTT_C2),0),ROUND(RATE_C1*$A1902,0))))</f>
        <v/>
      </c>
      <c r="G1902" s="556">
        <f>IF($A1902&gt;BOTT_D4,ROUND(BASE_D4+RATE_D4*($A1902-BOTT_D4),0),IF($A1902&gt;BOTT_D3,ROUND(BASE_D3+RATE_D3*($A1902-BOTT_D3),0),IF($A1902&gt;BOTT_D2,ROUND(BASE_D2+RATE_D2*($A1902-BOTT_D2),0),ROUND(RATE_D1*$A1902,0))))</f>
        <v/>
      </c>
    </row>
    <row r="1903" ht="15.75" customHeight="1" s="7635">
      <c r="A1903" s="625">
        <f>AVERAGE(B1903,C1903)</f>
        <v/>
      </c>
      <c r="B1903" s="555" t="n">
        <v>91950</v>
      </c>
      <c r="C1903" s="555" t="n">
        <v>92000</v>
      </c>
      <c r="D1903" s="556">
        <f>IF($A1903&gt;BOTT_A4,ROUND(BASE_A4+RATE_A4*($A1903-BOTT_A4),0),IF($A1903&gt;BOTT_A3,ROUND(BASE_A3+RATE_A3*($A1903-BOTT_A3),0),IF($A1903&gt;BOTT_A2,ROUND(BASE_A2+RATE_A2*($A1903-BOTT_A2),0),ROUND(RATE_A1*$A1903,0))))</f>
        <v/>
      </c>
      <c r="E1903" s="556">
        <f>IF($A1903&gt;BOTT_B4,ROUND(BASE_B4+RATE_B4*($A1903-BOTT_B4),0),IF($A1903&gt;BOTT_B3,ROUND(BASE_B3+RATE_B3*($A1903-BOTT_B3),0),IF($A1903&gt;BOTT_B2,ROUND(BASE_B2+RATE_B2*($A1903-BOTT_B2),0),ROUND(RATE_B1*$A1903,0))))</f>
        <v/>
      </c>
      <c r="F1903" s="556">
        <f>IF($A1903&gt;BOTT_C4,ROUND(BASE_C4+RATE_C4*($A1903-BOTT_C4),0),IF($A1903&gt;BOTT_C3,ROUND(BASE_C3+RATE_C3*($A1903-BOTT_C3),0),IF($A1903&gt;BOTT_C2,ROUND(BASE_C2+RATE_C2*($A1903-BOTT_C2),0),ROUND(RATE_C1*$A1903,0))))</f>
        <v/>
      </c>
      <c r="G1903" s="556">
        <f>IF($A1903&gt;BOTT_D4,ROUND(BASE_D4+RATE_D4*($A1903-BOTT_D4),0),IF($A1903&gt;BOTT_D3,ROUND(BASE_D3+RATE_D3*($A1903-BOTT_D3),0),IF($A1903&gt;BOTT_D2,ROUND(BASE_D2+RATE_D2*($A1903-BOTT_D2),0),ROUND(RATE_D1*$A1903,0))))</f>
        <v/>
      </c>
    </row>
    <row r="1904" ht="15.75" customHeight="1" s="7635">
      <c r="A1904" s="625">
        <f>AVERAGE(B1904,C1904)</f>
        <v/>
      </c>
      <c r="B1904" s="555" t="n">
        <v>92000</v>
      </c>
      <c r="C1904" s="555" t="n">
        <v>92050</v>
      </c>
      <c r="D1904" s="556">
        <f>IF($A1904&gt;BOTT_A4,ROUND(BASE_A4+RATE_A4*($A1904-BOTT_A4),0),IF($A1904&gt;BOTT_A3,ROUND(BASE_A3+RATE_A3*($A1904-BOTT_A3),0),IF($A1904&gt;BOTT_A2,ROUND(BASE_A2+RATE_A2*($A1904-BOTT_A2),0),ROUND(RATE_A1*$A1904,0))))</f>
        <v/>
      </c>
      <c r="E1904" s="556">
        <f>IF($A1904&gt;BOTT_B4,ROUND(BASE_B4+RATE_B4*($A1904-BOTT_B4),0),IF($A1904&gt;BOTT_B3,ROUND(BASE_B3+RATE_B3*($A1904-BOTT_B3),0),IF($A1904&gt;BOTT_B2,ROUND(BASE_B2+RATE_B2*($A1904-BOTT_B2),0),ROUND(RATE_B1*$A1904,0))))</f>
        <v/>
      </c>
      <c r="F1904" s="556">
        <f>IF($A1904&gt;BOTT_C4,ROUND(BASE_C4+RATE_C4*($A1904-BOTT_C4),0),IF($A1904&gt;BOTT_C3,ROUND(BASE_C3+RATE_C3*($A1904-BOTT_C3),0),IF($A1904&gt;BOTT_C2,ROUND(BASE_C2+RATE_C2*($A1904-BOTT_C2),0),ROUND(RATE_C1*$A1904,0))))</f>
        <v/>
      </c>
      <c r="G1904" s="556">
        <f>IF($A1904&gt;BOTT_D4,ROUND(BASE_D4+RATE_D4*($A1904-BOTT_D4),0),IF($A1904&gt;BOTT_D3,ROUND(BASE_D3+RATE_D3*($A1904-BOTT_D3),0),IF($A1904&gt;BOTT_D2,ROUND(BASE_D2+RATE_D2*($A1904-BOTT_D2),0),ROUND(RATE_D1*$A1904,0))))</f>
        <v/>
      </c>
    </row>
    <row r="1905" ht="15.75" customHeight="1" s="7635">
      <c r="A1905" s="625">
        <f>AVERAGE(B1905,C1905)</f>
        <v/>
      </c>
      <c r="B1905" s="555" t="n">
        <v>92050</v>
      </c>
      <c r="C1905" s="555" t="n">
        <v>92100</v>
      </c>
      <c r="D1905" s="556">
        <f>IF($A1905&gt;BOTT_A4,ROUND(BASE_A4+RATE_A4*($A1905-BOTT_A4),0),IF($A1905&gt;BOTT_A3,ROUND(BASE_A3+RATE_A3*($A1905-BOTT_A3),0),IF($A1905&gt;BOTT_A2,ROUND(BASE_A2+RATE_A2*($A1905-BOTT_A2),0),ROUND(RATE_A1*$A1905,0))))</f>
        <v/>
      </c>
      <c r="E1905" s="556">
        <f>IF($A1905&gt;BOTT_B4,ROUND(BASE_B4+RATE_B4*($A1905-BOTT_B4),0),IF($A1905&gt;BOTT_B3,ROUND(BASE_B3+RATE_B3*($A1905-BOTT_B3),0),IF($A1905&gt;BOTT_B2,ROUND(BASE_B2+RATE_B2*($A1905-BOTT_B2),0),ROUND(RATE_B1*$A1905,0))))</f>
        <v/>
      </c>
      <c r="F1905" s="556">
        <f>IF($A1905&gt;BOTT_C4,ROUND(BASE_C4+RATE_C4*($A1905-BOTT_C4),0),IF($A1905&gt;BOTT_C3,ROUND(BASE_C3+RATE_C3*($A1905-BOTT_C3),0),IF($A1905&gt;BOTT_C2,ROUND(BASE_C2+RATE_C2*($A1905-BOTT_C2),0),ROUND(RATE_C1*$A1905,0))))</f>
        <v/>
      </c>
      <c r="G1905" s="556">
        <f>IF($A1905&gt;BOTT_D4,ROUND(BASE_D4+RATE_D4*($A1905-BOTT_D4),0),IF($A1905&gt;BOTT_D3,ROUND(BASE_D3+RATE_D3*($A1905-BOTT_D3),0),IF($A1905&gt;BOTT_D2,ROUND(BASE_D2+RATE_D2*($A1905-BOTT_D2),0),ROUND(RATE_D1*$A1905,0))))</f>
        <v/>
      </c>
    </row>
    <row r="1906" ht="15.75" customHeight="1" s="7635">
      <c r="A1906" s="625">
        <f>AVERAGE(B1906,C1906)</f>
        <v/>
      </c>
      <c r="B1906" s="555" t="n">
        <v>92100</v>
      </c>
      <c r="C1906" s="555" t="n">
        <v>92150</v>
      </c>
      <c r="D1906" s="556">
        <f>IF($A1906&gt;BOTT_A4,ROUND(BASE_A4+RATE_A4*($A1906-BOTT_A4),0),IF($A1906&gt;BOTT_A3,ROUND(BASE_A3+RATE_A3*($A1906-BOTT_A3),0),IF($A1906&gt;BOTT_A2,ROUND(BASE_A2+RATE_A2*($A1906-BOTT_A2),0),ROUND(RATE_A1*$A1906,0))))</f>
        <v/>
      </c>
      <c r="E1906" s="556">
        <f>IF($A1906&gt;BOTT_B4,ROUND(BASE_B4+RATE_B4*($A1906-BOTT_B4),0),IF($A1906&gt;BOTT_B3,ROUND(BASE_B3+RATE_B3*($A1906-BOTT_B3),0),IF($A1906&gt;BOTT_B2,ROUND(BASE_B2+RATE_B2*($A1906-BOTT_B2),0),ROUND(RATE_B1*$A1906,0))))</f>
        <v/>
      </c>
      <c r="F1906" s="556">
        <f>IF($A1906&gt;BOTT_C4,ROUND(BASE_C4+RATE_C4*($A1906-BOTT_C4),0),IF($A1906&gt;BOTT_C3,ROUND(BASE_C3+RATE_C3*($A1906-BOTT_C3),0),IF($A1906&gt;BOTT_C2,ROUND(BASE_C2+RATE_C2*($A1906-BOTT_C2),0),ROUND(RATE_C1*$A1906,0))))</f>
        <v/>
      </c>
      <c r="G1906" s="556">
        <f>IF($A1906&gt;BOTT_D4,ROUND(BASE_D4+RATE_D4*($A1906-BOTT_D4),0),IF($A1906&gt;BOTT_D3,ROUND(BASE_D3+RATE_D3*($A1906-BOTT_D3),0),IF($A1906&gt;BOTT_D2,ROUND(BASE_D2+RATE_D2*($A1906-BOTT_D2),0),ROUND(RATE_D1*$A1906,0))))</f>
        <v/>
      </c>
    </row>
    <row r="1907" ht="15.75" customHeight="1" s="7635">
      <c r="A1907" s="625">
        <f>AVERAGE(B1907,C1907)</f>
        <v/>
      </c>
      <c r="B1907" s="555" t="n">
        <v>92150</v>
      </c>
      <c r="C1907" s="555" t="n">
        <v>92200</v>
      </c>
      <c r="D1907" s="556">
        <f>IF($A1907&gt;BOTT_A4,ROUND(BASE_A4+RATE_A4*($A1907-BOTT_A4),0),IF($A1907&gt;BOTT_A3,ROUND(BASE_A3+RATE_A3*($A1907-BOTT_A3),0),IF($A1907&gt;BOTT_A2,ROUND(BASE_A2+RATE_A2*($A1907-BOTT_A2),0),ROUND(RATE_A1*$A1907,0))))</f>
        <v/>
      </c>
      <c r="E1907" s="556">
        <f>IF($A1907&gt;BOTT_B4,ROUND(BASE_B4+RATE_B4*($A1907-BOTT_B4),0),IF($A1907&gt;BOTT_B3,ROUND(BASE_B3+RATE_B3*($A1907-BOTT_B3),0),IF($A1907&gt;BOTT_B2,ROUND(BASE_B2+RATE_B2*($A1907-BOTT_B2),0),ROUND(RATE_B1*$A1907,0))))</f>
        <v/>
      </c>
      <c r="F1907" s="556">
        <f>IF($A1907&gt;BOTT_C4,ROUND(BASE_C4+RATE_C4*($A1907-BOTT_C4),0),IF($A1907&gt;BOTT_C3,ROUND(BASE_C3+RATE_C3*($A1907-BOTT_C3),0),IF($A1907&gt;BOTT_C2,ROUND(BASE_C2+RATE_C2*($A1907-BOTT_C2),0),ROUND(RATE_C1*$A1907,0))))</f>
        <v/>
      </c>
      <c r="G1907" s="556">
        <f>IF($A1907&gt;BOTT_D4,ROUND(BASE_D4+RATE_D4*($A1907-BOTT_D4),0),IF($A1907&gt;BOTT_D3,ROUND(BASE_D3+RATE_D3*($A1907-BOTT_D3),0),IF($A1907&gt;BOTT_D2,ROUND(BASE_D2+RATE_D2*($A1907-BOTT_D2),0),ROUND(RATE_D1*$A1907,0))))</f>
        <v/>
      </c>
    </row>
    <row r="1908" ht="15.75" customHeight="1" s="7635">
      <c r="A1908" s="625">
        <f>AVERAGE(B1908,C1908)</f>
        <v/>
      </c>
      <c r="B1908" s="555" t="n">
        <v>92200</v>
      </c>
      <c r="C1908" s="555" t="n">
        <v>92250</v>
      </c>
      <c r="D1908" s="556">
        <f>IF($A1908&gt;BOTT_A4,ROUND(BASE_A4+RATE_A4*($A1908-BOTT_A4),0),IF($A1908&gt;BOTT_A3,ROUND(BASE_A3+RATE_A3*($A1908-BOTT_A3),0),IF($A1908&gt;BOTT_A2,ROUND(BASE_A2+RATE_A2*($A1908-BOTT_A2),0),ROUND(RATE_A1*$A1908,0))))</f>
        <v/>
      </c>
      <c r="E1908" s="556">
        <f>IF($A1908&gt;BOTT_B4,ROUND(BASE_B4+RATE_B4*($A1908-BOTT_B4),0),IF($A1908&gt;BOTT_B3,ROUND(BASE_B3+RATE_B3*($A1908-BOTT_B3),0),IF($A1908&gt;BOTT_B2,ROUND(BASE_B2+RATE_B2*($A1908-BOTT_B2),0),ROUND(RATE_B1*$A1908,0))))</f>
        <v/>
      </c>
      <c r="F1908" s="556">
        <f>IF($A1908&gt;BOTT_C4,ROUND(BASE_C4+RATE_C4*($A1908-BOTT_C4),0),IF($A1908&gt;BOTT_C3,ROUND(BASE_C3+RATE_C3*($A1908-BOTT_C3),0),IF($A1908&gt;BOTT_C2,ROUND(BASE_C2+RATE_C2*($A1908-BOTT_C2),0),ROUND(RATE_C1*$A1908,0))))</f>
        <v/>
      </c>
      <c r="G1908" s="556">
        <f>IF($A1908&gt;BOTT_D4,ROUND(BASE_D4+RATE_D4*($A1908-BOTT_D4),0),IF($A1908&gt;BOTT_D3,ROUND(BASE_D3+RATE_D3*($A1908-BOTT_D3),0),IF($A1908&gt;BOTT_D2,ROUND(BASE_D2+RATE_D2*($A1908-BOTT_D2),0),ROUND(RATE_D1*$A1908,0))))</f>
        <v/>
      </c>
    </row>
    <row r="1909" ht="15.75" customHeight="1" s="7635">
      <c r="A1909" s="625">
        <f>AVERAGE(B1909,C1909)</f>
        <v/>
      </c>
      <c r="B1909" s="555" t="n">
        <v>92250</v>
      </c>
      <c r="C1909" s="555" t="n">
        <v>92300</v>
      </c>
      <c r="D1909" s="556">
        <f>IF($A1909&gt;BOTT_A4,ROUND(BASE_A4+RATE_A4*($A1909-BOTT_A4),0),IF($A1909&gt;BOTT_A3,ROUND(BASE_A3+RATE_A3*($A1909-BOTT_A3),0),IF($A1909&gt;BOTT_A2,ROUND(BASE_A2+RATE_A2*($A1909-BOTT_A2),0),ROUND(RATE_A1*$A1909,0))))</f>
        <v/>
      </c>
      <c r="E1909" s="556">
        <f>IF($A1909&gt;BOTT_B4,ROUND(BASE_B4+RATE_B4*($A1909-BOTT_B4),0),IF($A1909&gt;BOTT_B3,ROUND(BASE_B3+RATE_B3*($A1909-BOTT_B3),0),IF($A1909&gt;BOTT_B2,ROUND(BASE_B2+RATE_B2*($A1909-BOTT_B2),0),ROUND(RATE_B1*$A1909,0))))</f>
        <v/>
      </c>
      <c r="F1909" s="556">
        <f>IF($A1909&gt;BOTT_C4,ROUND(BASE_C4+RATE_C4*($A1909-BOTT_C4),0),IF($A1909&gt;BOTT_C3,ROUND(BASE_C3+RATE_C3*($A1909-BOTT_C3),0),IF($A1909&gt;BOTT_C2,ROUND(BASE_C2+RATE_C2*($A1909-BOTT_C2),0),ROUND(RATE_C1*$A1909,0))))</f>
        <v/>
      </c>
      <c r="G1909" s="556">
        <f>IF($A1909&gt;BOTT_D4,ROUND(BASE_D4+RATE_D4*($A1909-BOTT_D4),0),IF($A1909&gt;BOTT_D3,ROUND(BASE_D3+RATE_D3*($A1909-BOTT_D3),0),IF($A1909&gt;BOTT_D2,ROUND(BASE_D2+RATE_D2*($A1909-BOTT_D2),0),ROUND(RATE_D1*$A1909,0))))</f>
        <v/>
      </c>
    </row>
    <row r="1910" ht="15.75" customHeight="1" s="7635">
      <c r="A1910" s="625">
        <f>AVERAGE(B1910,C1910)</f>
        <v/>
      </c>
      <c r="B1910" s="555" t="n">
        <v>92300</v>
      </c>
      <c r="C1910" s="555" t="n">
        <v>92350</v>
      </c>
      <c r="D1910" s="556">
        <f>IF($A1910&gt;BOTT_A4,ROUND(BASE_A4+RATE_A4*($A1910-BOTT_A4),0),IF($A1910&gt;BOTT_A3,ROUND(BASE_A3+RATE_A3*($A1910-BOTT_A3),0),IF($A1910&gt;BOTT_A2,ROUND(BASE_A2+RATE_A2*($A1910-BOTT_A2),0),ROUND(RATE_A1*$A1910,0))))</f>
        <v/>
      </c>
      <c r="E1910" s="556">
        <f>IF($A1910&gt;BOTT_B4,ROUND(BASE_B4+RATE_B4*($A1910-BOTT_B4),0),IF($A1910&gt;BOTT_B3,ROUND(BASE_B3+RATE_B3*($A1910-BOTT_B3),0),IF($A1910&gt;BOTT_B2,ROUND(BASE_B2+RATE_B2*($A1910-BOTT_B2),0),ROUND(RATE_B1*$A1910,0))))</f>
        <v/>
      </c>
      <c r="F1910" s="556">
        <f>IF($A1910&gt;BOTT_C4,ROUND(BASE_C4+RATE_C4*($A1910-BOTT_C4),0),IF($A1910&gt;BOTT_C3,ROUND(BASE_C3+RATE_C3*($A1910-BOTT_C3),0),IF($A1910&gt;BOTT_C2,ROUND(BASE_C2+RATE_C2*($A1910-BOTT_C2),0),ROUND(RATE_C1*$A1910,0))))</f>
        <v/>
      </c>
      <c r="G1910" s="556">
        <f>IF($A1910&gt;BOTT_D4,ROUND(BASE_D4+RATE_D4*($A1910-BOTT_D4),0),IF($A1910&gt;BOTT_D3,ROUND(BASE_D3+RATE_D3*($A1910-BOTT_D3),0),IF($A1910&gt;BOTT_D2,ROUND(BASE_D2+RATE_D2*($A1910-BOTT_D2),0),ROUND(RATE_D1*$A1910,0))))</f>
        <v/>
      </c>
    </row>
    <row r="1911" ht="15.75" customHeight="1" s="7635">
      <c r="A1911" s="625">
        <f>AVERAGE(B1911,C1911)</f>
        <v/>
      </c>
      <c r="B1911" s="555" t="n">
        <v>92350</v>
      </c>
      <c r="C1911" s="555" t="n">
        <v>92400</v>
      </c>
      <c r="D1911" s="556">
        <f>IF($A1911&gt;BOTT_A4,ROUND(BASE_A4+RATE_A4*($A1911-BOTT_A4),0),IF($A1911&gt;BOTT_A3,ROUND(BASE_A3+RATE_A3*($A1911-BOTT_A3),0),IF($A1911&gt;BOTT_A2,ROUND(BASE_A2+RATE_A2*($A1911-BOTT_A2),0),ROUND(RATE_A1*$A1911,0))))</f>
        <v/>
      </c>
      <c r="E1911" s="556">
        <f>IF($A1911&gt;BOTT_B4,ROUND(BASE_B4+RATE_B4*($A1911-BOTT_B4),0),IF($A1911&gt;BOTT_B3,ROUND(BASE_B3+RATE_B3*($A1911-BOTT_B3),0),IF($A1911&gt;BOTT_B2,ROUND(BASE_B2+RATE_B2*($A1911-BOTT_B2),0),ROUND(RATE_B1*$A1911,0))))</f>
        <v/>
      </c>
      <c r="F1911" s="556">
        <f>IF($A1911&gt;BOTT_C4,ROUND(BASE_C4+RATE_C4*($A1911-BOTT_C4),0),IF($A1911&gt;BOTT_C3,ROUND(BASE_C3+RATE_C3*($A1911-BOTT_C3),0),IF($A1911&gt;BOTT_C2,ROUND(BASE_C2+RATE_C2*($A1911-BOTT_C2),0),ROUND(RATE_C1*$A1911,0))))</f>
        <v/>
      </c>
      <c r="G1911" s="556">
        <f>IF($A1911&gt;BOTT_D4,ROUND(BASE_D4+RATE_D4*($A1911-BOTT_D4),0),IF($A1911&gt;BOTT_D3,ROUND(BASE_D3+RATE_D3*($A1911-BOTT_D3),0),IF($A1911&gt;BOTT_D2,ROUND(BASE_D2+RATE_D2*($A1911-BOTT_D2),0),ROUND(RATE_D1*$A1911,0))))</f>
        <v/>
      </c>
    </row>
    <row r="1912" ht="15.75" customHeight="1" s="7635">
      <c r="A1912" s="625">
        <f>AVERAGE(B1912,C1912)</f>
        <v/>
      </c>
      <c r="B1912" s="555" t="n">
        <v>92400</v>
      </c>
      <c r="C1912" s="555" t="n">
        <v>92450</v>
      </c>
      <c r="D1912" s="556">
        <f>IF($A1912&gt;BOTT_A4,ROUND(BASE_A4+RATE_A4*($A1912-BOTT_A4),0),IF($A1912&gt;BOTT_A3,ROUND(BASE_A3+RATE_A3*($A1912-BOTT_A3),0),IF($A1912&gt;BOTT_A2,ROUND(BASE_A2+RATE_A2*($A1912-BOTT_A2),0),ROUND(RATE_A1*$A1912,0))))</f>
        <v/>
      </c>
      <c r="E1912" s="556">
        <f>IF($A1912&gt;BOTT_B4,ROUND(BASE_B4+RATE_B4*($A1912-BOTT_B4),0),IF($A1912&gt;BOTT_B3,ROUND(BASE_B3+RATE_B3*($A1912-BOTT_B3),0),IF($A1912&gt;BOTT_B2,ROUND(BASE_B2+RATE_B2*($A1912-BOTT_B2),0),ROUND(RATE_B1*$A1912,0))))</f>
        <v/>
      </c>
      <c r="F1912" s="556">
        <f>IF($A1912&gt;BOTT_C4,ROUND(BASE_C4+RATE_C4*($A1912-BOTT_C4),0),IF($A1912&gt;BOTT_C3,ROUND(BASE_C3+RATE_C3*($A1912-BOTT_C3),0),IF($A1912&gt;BOTT_C2,ROUND(BASE_C2+RATE_C2*($A1912-BOTT_C2),0),ROUND(RATE_C1*$A1912,0))))</f>
        <v/>
      </c>
      <c r="G1912" s="556">
        <f>IF($A1912&gt;BOTT_D4,ROUND(BASE_D4+RATE_D4*($A1912-BOTT_D4),0),IF($A1912&gt;BOTT_D3,ROUND(BASE_D3+RATE_D3*($A1912-BOTT_D3),0),IF($A1912&gt;BOTT_D2,ROUND(BASE_D2+RATE_D2*($A1912-BOTT_D2),0),ROUND(RATE_D1*$A1912,0))))</f>
        <v/>
      </c>
    </row>
    <row r="1913" ht="15.75" customHeight="1" s="7635">
      <c r="A1913" s="625">
        <f>AVERAGE(B1913,C1913)</f>
        <v/>
      </c>
      <c r="B1913" s="555" t="n">
        <v>92450</v>
      </c>
      <c r="C1913" s="555" t="n">
        <v>92500</v>
      </c>
      <c r="D1913" s="556">
        <f>IF($A1913&gt;BOTT_A4,ROUND(BASE_A4+RATE_A4*($A1913-BOTT_A4),0),IF($A1913&gt;BOTT_A3,ROUND(BASE_A3+RATE_A3*($A1913-BOTT_A3),0),IF($A1913&gt;BOTT_A2,ROUND(BASE_A2+RATE_A2*($A1913-BOTT_A2),0),ROUND(RATE_A1*$A1913,0))))</f>
        <v/>
      </c>
      <c r="E1913" s="556">
        <f>IF($A1913&gt;BOTT_B4,ROUND(BASE_B4+RATE_B4*($A1913-BOTT_B4),0),IF($A1913&gt;BOTT_B3,ROUND(BASE_B3+RATE_B3*($A1913-BOTT_B3),0),IF($A1913&gt;BOTT_B2,ROUND(BASE_B2+RATE_B2*($A1913-BOTT_B2),0),ROUND(RATE_B1*$A1913,0))))</f>
        <v/>
      </c>
      <c r="F1913" s="556">
        <f>IF($A1913&gt;BOTT_C4,ROUND(BASE_C4+RATE_C4*($A1913-BOTT_C4),0),IF($A1913&gt;BOTT_C3,ROUND(BASE_C3+RATE_C3*($A1913-BOTT_C3),0),IF($A1913&gt;BOTT_C2,ROUND(BASE_C2+RATE_C2*($A1913-BOTT_C2),0),ROUND(RATE_C1*$A1913,0))))</f>
        <v/>
      </c>
      <c r="G1913" s="556">
        <f>IF($A1913&gt;BOTT_D4,ROUND(BASE_D4+RATE_D4*($A1913-BOTT_D4),0),IF($A1913&gt;BOTT_D3,ROUND(BASE_D3+RATE_D3*($A1913-BOTT_D3),0),IF($A1913&gt;BOTT_D2,ROUND(BASE_D2+RATE_D2*($A1913-BOTT_D2),0),ROUND(RATE_D1*$A1913,0))))</f>
        <v/>
      </c>
    </row>
    <row r="1914" ht="15.75" customHeight="1" s="7635">
      <c r="A1914" s="625">
        <f>AVERAGE(B1914,C1914)</f>
        <v/>
      </c>
      <c r="B1914" s="555" t="n">
        <v>92500</v>
      </c>
      <c r="C1914" s="555" t="n">
        <v>92550</v>
      </c>
      <c r="D1914" s="556">
        <f>IF($A1914&gt;BOTT_A4,ROUND(BASE_A4+RATE_A4*($A1914-BOTT_A4),0),IF($A1914&gt;BOTT_A3,ROUND(BASE_A3+RATE_A3*($A1914-BOTT_A3),0),IF($A1914&gt;BOTT_A2,ROUND(BASE_A2+RATE_A2*($A1914-BOTT_A2),0),ROUND(RATE_A1*$A1914,0))))</f>
        <v/>
      </c>
      <c r="E1914" s="556">
        <f>IF($A1914&gt;BOTT_B4,ROUND(BASE_B4+RATE_B4*($A1914-BOTT_B4),0),IF($A1914&gt;BOTT_B3,ROUND(BASE_B3+RATE_B3*($A1914-BOTT_B3),0),IF($A1914&gt;BOTT_B2,ROUND(BASE_B2+RATE_B2*($A1914-BOTT_B2),0),ROUND(RATE_B1*$A1914,0))))</f>
        <v/>
      </c>
      <c r="F1914" s="556">
        <f>IF($A1914&gt;BOTT_C4,ROUND(BASE_C4+RATE_C4*($A1914-BOTT_C4),0),IF($A1914&gt;BOTT_C3,ROUND(BASE_C3+RATE_C3*($A1914-BOTT_C3),0),IF($A1914&gt;BOTT_C2,ROUND(BASE_C2+RATE_C2*($A1914-BOTT_C2),0),ROUND(RATE_C1*$A1914,0))))</f>
        <v/>
      </c>
      <c r="G1914" s="556">
        <f>IF($A1914&gt;BOTT_D4,ROUND(BASE_D4+RATE_D4*($A1914-BOTT_D4),0),IF($A1914&gt;BOTT_D3,ROUND(BASE_D3+RATE_D3*($A1914-BOTT_D3),0),IF($A1914&gt;BOTT_D2,ROUND(BASE_D2+RATE_D2*($A1914-BOTT_D2),0),ROUND(RATE_D1*$A1914,0))))</f>
        <v/>
      </c>
    </row>
    <row r="1915" ht="15.75" customHeight="1" s="7635">
      <c r="A1915" s="625">
        <f>AVERAGE(B1915,C1915)</f>
        <v/>
      </c>
      <c r="B1915" s="555" t="n">
        <v>92550</v>
      </c>
      <c r="C1915" s="555" t="n">
        <v>92600</v>
      </c>
      <c r="D1915" s="556">
        <f>IF($A1915&gt;BOTT_A4,ROUND(BASE_A4+RATE_A4*($A1915-BOTT_A4),0),IF($A1915&gt;BOTT_A3,ROUND(BASE_A3+RATE_A3*($A1915-BOTT_A3),0),IF($A1915&gt;BOTT_A2,ROUND(BASE_A2+RATE_A2*($A1915-BOTT_A2),0),ROUND(RATE_A1*$A1915,0))))</f>
        <v/>
      </c>
      <c r="E1915" s="556">
        <f>IF($A1915&gt;BOTT_B4,ROUND(BASE_B4+RATE_B4*($A1915-BOTT_B4),0),IF($A1915&gt;BOTT_B3,ROUND(BASE_B3+RATE_B3*($A1915-BOTT_B3),0),IF($A1915&gt;BOTT_B2,ROUND(BASE_B2+RATE_B2*($A1915-BOTT_B2),0),ROUND(RATE_B1*$A1915,0))))</f>
        <v/>
      </c>
      <c r="F1915" s="556">
        <f>IF($A1915&gt;BOTT_C4,ROUND(BASE_C4+RATE_C4*($A1915-BOTT_C4),0),IF($A1915&gt;BOTT_C3,ROUND(BASE_C3+RATE_C3*($A1915-BOTT_C3),0),IF($A1915&gt;BOTT_C2,ROUND(BASE_C2+RATE_C2*($A1915-BOTT_C2),0),ROUND(RATE_C1*$A1915,0))))</f>
        <v/>
      </c>
      <c r="G1915" s="556">
        <f>IF($A1915&gt;BOTT_D4,ROUND(BASE_D4+RATE_D4*($A1915-BOTT_D4),0),IF($A1915&gt;BOTT_D3,ROUND(BASE_D3+RATE_D3*($A1915-BOTT_D3),0),IF($A1915&gt;BOTT_D2,ROUND(BASE_D2+RATE_D2*($A1915-BOTT_D2),0),ROUND(RATE_D1*$A1915,0))))</f>
        <v/>
      </c>
    </row>
    <row r="1916" ht="15.75" customHeight="1" s="7635">
      <c r="A1916" s="625">
        <f>AVERAGE(B1916,C1916)</f>
        <v/>
      </c>
      <c r="B1916" s="555" t="n">
        <v>92600</v>
      </c>
      <c r="C1916" s="555" t="n">
        <v>92650</v>
      </c>
      <c r="D1916" s="556">
        <f>IF($A1916&gt;BOTT_A4,ROUND(BASE_A4+RATE_A4*($A1916-BOTT_A4),0),IF($A1916&gt;BOTT_A3,ROUND(BASE_A3+RATE_A3*($A1916-BOTT_A3),0),IF($A1916&gt;BOTT_A2,ROUND(BASE_A2+RATE_A2*($A1916-BOTT_A2),0),ROUND(RATE_A1*$A1916,0))))</f>
        <v/>
      </c>
      <c r="E1916" s="556">
        <f>IF($A1916&gt;BOTT_B4,ROUND(BASE_B4+RATE_B4*($A1916-BOTT_B4),0),IF($A1916&gt;BOTT_B3,ROUND(BASE_B3+RATE_B3*($A1916-BOTT_B3),0),IF($A1916&gt;BOTT_B2,ROUND(BASE_B2+RATE_B2*($A1916-BOTT_B2),0),ROUND(RATE_B1*$A1916,0))))</f>
        <v/>
      </c>
      <c r="F1916" s="556">
        <f>IF($A1916&gt;BOTT_C4,ROUND(BASE_C4+RATE_C4*($A1916-BOTT_C4),0),IF($A1916&gt;BOTT_C3,ROUND(BASE_C3+RATE_C3*($A1916-BOTT_C3),0),IF($A1916&gt;BOTT_C2,ROUND(BASE_C2+RATE_C2*($A1916-BOTT_C2),0),ROUND(RATE_C1*$A1916,0))))</f>
        <v/>
      </c>
      <c r="G1916" s="556">
        <f>IF($A1916&gt;BOTT_D4,ROUND(BASE_D4+RATE_D4*($A1916-BOTT_D4),0),IF($A1916&gt;BOTT_D3,ROUND(BASE_D3+RATE_D3*($A1916-BOTT_D3),0),IF($A1916&gt;BOTT_D2,ROUND(BASE_D2+RATE_D2*($A1916-BOTT_D2),0),ROUND(RATE_D1*$A1916,0))))</f>
        <v/>
      </c>
    </row>
    <row r="1917" ht="15.75" customHeight="1" s="7635">
      <c r="A1917" s="625">
        <f>AVERAGE(B1917,C1917)</f>
        <v/>
      </c>
      <c r="B1917" s="555" t="n">
        <v>92650</v>
      </c>
      <c r="C1917" s="555" t="n">
        <v>92700</v>
      </c>
      <c r="D1917" s="556">
        <f>IF($A1917&gt;BOTT_A4,ROUND(BASE_A4+RATE_A4*($A1917-BOTT_A4),0),IF($A1917&gt;BOTT_A3,ROUND(BASE_A3+RATE_A3*($A1917-BOTT_A3),0),IF($A1917&gt;BOTT_A2,ROUND(BASE_A2+RATE_A2*($A1917-BOTT_A2),0),ROUND(RATE_A1*$A1917,0))))</f>
        <v/>
      </c>
      <c r="E1917" s="556">
        <f>IF($A1917&gt;BOTT_B4,ROUND(BASE_B4+RATE_B4*($A1917-BOTT_B4),0),IF($A1917&gt;BOTT_B3,ROUND(BASE_B3+RATE_B3*($A1917-BOTT_B3),0),IF($A1917&gt;BOTT_B2,ROUND(BASE_B2+RATE_B2*($A1917-BOTT_B2),0),ROUND(RATE_B1*$A1917,0))))</f>
        <v/>
      </c>
      <c r="F1917" s="556">
        <f>IF($A1917&gt;BOTT_C4,ROUND(BASE_C4+RATE_C4*($A1917-BOTT_C4),0),IF($A1917&gt;BOTT_C3,ROUND(BASE_C3+RATE_C3*($A1917-BOTT_C3),0),IF($A1917&gt;BOTT_C2,ROUND(BASE_C2+RATE_C2*($A1917-BOTT_C2),0),ROUND(RATE_C1*$A1917,0))))</f>
        <v/>
      </c>
      <c r="G1917" s="556">
        <f>IF($A1917&gt;BOTT_D4,ROUND(BASE_D4+RATE_D4*($A1917-BOTT_D4),0),IF($A1917&gt;BOTT_D3,ROUND(BASE_D3+RATE_D3*($A1917-BOTT_D3),0),IF($A1917&gt;BOTT_D2,ROUND(BASE_D2+RATE_D2*($A1917-BOTT_D2),0),ROUND(RATE_D1*$A1917,0))))</f>
        <v/>
      </c>
    </row>
    <row r="1918" ht="15.75" customHeight="1" s="7635">
      <c r="A1918" s="625">
        <f>AVERAGE(B1918,C1918)</f>
        <v/>
      </c>
      <c r="B1918" s="555" t="n">
        <v>92700</v>
      </c>
      <c r="C1918" s="555" t="n">
        <v>92750</v>
      </c>
      <c r="D1918" s="556">
        <f>IF($A1918&gt;BOTT_A4,ROUND(BASE_A4+RATE_A4*($A1918-BOTT_A4),0),IF($A1918&gt;BOTT_A3,ROUND(BASE_A3+RATE_A3*($A1918-BOTT_A3),0),IF($A1918&gt;BOTT_A2,ROUND(BASE_A2+RATE_A2*($A1918-BOTT_A2),0),ROUND(RATE_A1*$A1918,0))))</f>
        <v/>
      </c>
      <c r="E1918" s="556">
        <f>IF($A1918&gt;BOTT_B4,ROUND(BASE_B4+RATE_B4*($A1918-BOTT_B4),0),IF($A1918&gt;BOTT_B3,ROUND(BASE_B3+RATE_B3*($A1918-BOTT_B3),0),IF($A1918&gt;BOTT_B2,ROUND(BASE_B2+RATE_B2*($A1918-BOTT_B2),0),ROUND(RATE_B1*$A1918,0))))</f>
        <v/>
      </c>
      <c r="F1918" s="556">
        <f>IF($A1918&gt;BOTT_C4,ROUND(BASE_C4+RATE_C4*($A1918-BOTT_C4),0),IF($A1918&gt;BOTT_C3,ROUND(BASE_C3+RATE_C3*($A1918-BOTT_C3),0),IF($A1918&gt;BOTT_C2,ROUND(BASE_C2+RATE_C2*($A1918-BOTT_C2),0),ROUND(RATE_C1*$A1918,0))))</f>
        <v/>
      </c>
      <c r="G1918" s="556">
        <f>IF($A1918&gt;BOTT_D4,ROUND(BASE_D4+RATE_D4*($A1918-BOTT_D4),0),IF($A1918&gt;BOTT_D3,ROUND(BASE_D3+RATE_D3*($A1918-BOTT_D3),0),IF($A1918&gt;BOTT_D2,ROUND(BASE_D2+RATE_D2*($A1918-BOTT_D2),0),ROUND(RATE_D1*$A1918,0))))</f>
        <v/>
      </c>
    </row>
    <row r="1919" ht="15.75" customHeight="1" s="7635">
      <c r="A1919" s="625">
        <f>AVERAGE(B1919,C1919)</f>
        <v/>
      </c>
      <c r="B1919" s="555" t="n">
        <v>92750</v>
      </c>
      <c r="C1919" s="555" t="n">
        <v>92800</v>
      </c>
      <c r="D1919" s="556">
        <f>IF($A1919&gt;BOTT_A4,ROUND(BASE_A4+RATE_A4*($A1919-BOTT_A4),0),IF($A1919&gt;BOTT_A3,ROUND(BASE_A3+RATE_A3*($A1919-BOTT_A3),0),IF($A1919&gt;BOTT_A2,ROUND(BASE_A2+RATE_A2*($A1919-BOTT_A2),0),ROUND(RATE_A1*$A1919,0))))</f>
        <v/>
      </c>
      <c r="E1919" s="556">
        <f>IF($A1919&gt;BOTT_B4,ROUND(BASE_B4+RATE_B4*($A1919-BOTT_B4),0),IF($A1919&gt;BOTT_B3,ROUND(BASE_B3+RATE_B3*($A1919-BOTT_B3),0),IF($A1919&gt;BOTT_B2,ROUND(BASE_B2+RATE_B2*($A1919-BOTT_B2),0),ROUND(RATE_B1*$A1919,0))))</f>
        <v/>
      </c>
      <c r="F1919" s="556">
        <f>IF($A1919&gt;BOTT_C4,ROUND(BASE_C4+RATE_C4*($A1919-BOTT_C4),0),IF($A1919&gt;BOTT_C3,ROUND(BASE_C3+RATE_C3*($A1919-BOTT_C3),0),IF($A1919&gt;BOTT_C2,ROUND(BASE_C2+RATE_C2*($A1919-BOTT_C2),0),ROUND(RATE_C1*$A1919,0))))</f>
        <v/>
      </c>
      <c r="G1919" s="556">
        <f>IF($A1919&gt;BOTT_D4,ROUND(BASE_D4+RATE_D4*($A1919-BOTT_D4),0),IF($A1919&gt;BOTT_D3,ROUND(BASE_D3+RATE_D3*($A1919-BOTT_D3),0),IF($A1919&gt;BOTT_D2,ROUND(BASE_D2+RATE_D2*($A1919-BOTT_D2),0),ROUND(RATE_D1*$A1919,0))))</f>
        <v/>
      </c>
    </row>
    <row r="1920" ht="15.75" customHeight="1" s="7635">
      <c r="A1920" s="625">
        <f>AVERAGE(B1920,C1920)</f>
        <v/>
      </c>
      <c r="B1920" s="555" t="n">
        <v>92800</v>
      </c>
      <c r="C1920" s="555" t="n">
        <v>92850</v>
      </c>
      <c r="D1920" s="556">
        <f>IF($A1920&gt;BOTT_A4,ROUND(BASE_A4+RATE_A4*($A1920-BOTT_A4),0),IF($A1920&gt;BOTT_A3,ROUND(BASE_A3+RATE_A3*($A1920-BOTT_A3),0),IF($A1920&gt;BOTT_A2,ROUND(BASE_A2+RATE_A2*($A1920-BOTT_A2),0),ROUND(RATE_A1*$A1920,0))))</f>
        <v/>
      </c>
      <c r="E1920" s="556">
        <f>IF($A1920&gt;BOTT_B4,ROUND(BASE_B4+RATE_B4*($A1920-BOTT_B4),0),IF($A1920&gt;BOTT_B3,ROUND(BASE_B3+RATE_B3*($A1920-BOTT_B3),0),IF($A1920&gt;BOTT_B2,ROUND(BASE_B2+RATE_B2*($A1920-BOTT_B2),0),ROUND(RATE_B1*$A1920,0))))</f>
        <v/>
      </c>
      <c r="F1920" s="556">
        <f>IF($A1920&gt;BOTT_C4,ROUND(BASE_C4+RATE_C4*($A1920-BOTT_C4),0),IF($A1920&gt;BOTT_C3,ROUND(BASE_C3+RATE_C3*($A1920-BOTT_C3),0),IF($A1920&gt;BOTT_C2,ROUND(BASE_C2+RATE_C2*($A1920-BOTT_C2),0),ROUND(RATE_C1*$A1920,0))))</f>
        <v/>
      </c>
      <c r="G1920" s="556">
        <f>IF($A1920&gt;BOTT_D4,ROUND(BASE_D4+RATE_D4*($A1920-BOTT_D4),0),IF($A1920&gt;BOTT_D3,ROUND(BASE_D3+RATE_D3*($A1920-BOTT_D3),0),IF($A1920&gt;BOTT_D2,ROUND(BASE_D2+RATE_D2*($A1920-BOTT_D2),0),ROUND(RATE_D1*$A1920,0))))</f>
        <v/>
      </c>
    </row>
    <row r="1921" ht="15.75" customHeight="1" s="7635">
      <c r="A1921" s="625">
        <f>AVERAGE(B1921,C1921)</f>
        <v/>
      </c>
      <c r="B1921" s="555" t="n">
        <v>92850</v>
      </c>
      <c r="C1921" s="555" t="n">
        <v>92900</v>
      </c>
      <c r="D1921" s="556">
        <f>IF($A1921&gt;BOTT_A4,ROUND(BASE_A4+RATE_A4*($A1921-BOTT_A4),0),IF($A1921&gt;BOTT_A3,ROUND(BASE_A3+RATE_A3*($A1921-BOTT_A3),0),IF($A1921&gt;BOTT_A2,ROUND(BASE_A2+RATE_A2*($A1921-BOTT_A2),0),ROUND(RATE_A1*$A1921,0))))</f>
        <v/>
      </c>
      <c r="E1921" s="556">
        <f>IF($A1921&gt;BOTT_B4,ROUND(BASE_B4+RATE_B4*($A1921-BOTT_B4),0),IF($A1921&gt;BOTT_B3,ROUND(BASE_B3+RATE_B3*($A1921-BOTT_B3),0),IF($A1921&gt;BOTT_B2,ROUND(BASE_B2+RATE_B2*($A1921-BOTT_B2),0),ROUND(RATE_B1*$A1921,0))))</f>
        <v/>
      </c>
      <c r="F1921" s="556">
        <f>IF($A1921&gt;BOTT_C4,ROUND(BASE_C4+RATE_C4*($A1921-BOTT_C4),0),IF($A1921&gt;BOTT_C3,ROUND(BASE_C3+RATE_C3*($A1921-BOTT_C3),0),IF($A1921&gt;BOTT_C2,ROUND(BASE_C2+RATE_C2*($A1921-BOTT_C2),0),ROUND(RATE_C1*$A1921,0))))</f>
        <v/>
      </c>
      <c r="G1921" s="556">
        <f>IF($A1921&gt;BOTT_D4,ROUND(BASE_D4+RATE_D4*($A1921-BOTT_D4),0),IF($A1921&gt;BOTT_D3,ROUND(BASE_D3+RATE_D3*($A1921-BOTT_D3),0),IF($A1921&gt;BOTT_D2,ROUND(BASE_D2+RATE_D2*($A1921-BOTT_D2),0),ROUND(RATE_D1*$A1921,0))))</f>
        <v/>
      </c>
    </row>
    <row r="1922" ht="15.75" customHeight="1" s="7635">
      <c r="A1922" s="625">
        <f>AVERAGE(B1922,C1922)</f>
        <v/>
      </c>
      <c r="B1922" s="555" t="n">
        <v>92900</v>
      </c>
      <c r="C1922" s="555" t="n">
        <v>92950</v>
      </c>
      <c r="D1922" s="556">
        <f>IF($A1922&gt;BOTT_A4,ROUND(BASE_A4+RATE_A4*($A1922-BOTT_A4),0),IF($A1922&gt;BOTT_A3,ROUND(BASE_A3+RATE_A3*($A1922-BOTT_A3),0),IF($A1922&gt;BOTT_A2,ROUND(BASE_A2+RATE_A2*($A1922-BOTT_A2),0),ROUND(RATE_A1*$A1922,0))))</f>
        <v/>
      </c>
      <c r="E1922" s="556">
        <f>IF($A1922&gt;BOTT_B4,ROUND(BASE_B4+RATE_B4*($A1922-BOTT_B4),0),IF($A1922&gt;BOTT_B3,ROUND(BASE_B3+RATE_B3*($A1922-BOTT_B3),0),IF($A1922&gt;BOTT_B2,ROUND(BASE_B2+RATE_B2*($A1922-BOTT_B2),0),ROUND(RATE_B1*$A1922,0))))</f>
        <v/>
      </c>
      <c r="F1922" s="556">
        <f>IF($A1922&gt;BOTT_C4,ROUND(BASE_C4+RATE_C4*($A1922-BOTT_C4),0),IF($A1922&gt;BOTT_C3,ROUND(BASE_C3+RATE_C3*($A1922-BOTT_C3),0),IF($A1922&gt;BOTT_C2,ROUND(BASE_C2+RATE_C2*($A1922-BOTT_C2),0),ROUND(RATE_C1*$A1922,0))))</f>
        <v/>
      </c>
      <c r="G1922" s="556">
        <f>IF($A1922&gt;BOTT_D4,ROUND(BASE_D4+RATE_D4*($A1922-BOTT_D4),0),IF($A1922&gt;BOTT_D3,ROUND(BASE_D3+RATE_D3*($A1922-BOTT_D3),0),IF($A1922&gt;BOTT_D2,ROUND(BASE_D2+RATE_D2*($A1922-BOTT_D2),0),ROUND(RATE_D1*$A1922,0))))</f>
        <v/>
      </c>
    </row>
    <row r="1923" ht="15.75" customHeight="1" s="7635">
      <c r="A1923" s="625">
        <f>AVERAGE(B1923,C1923)</f>
        <v/>
      </c>
      <c r="B1923" s="555" t="n">
        <v>92950</v>
      </c>
      <c r="C1923" s="555" t="n">
        <v>93000</v>
      </c>
      <c r="D1923" s="556">
        <f>IF($A1923&gt;BOTT_A4,ROUND(BASE_A4+RATE_A4*($A1923-BOTT_A4),0),IF($A1923&gt;BOTT_A3,ROUND(BASE_A3+RATE_A3*($A1923-BOTT_A3),0),IF($A1923&gt;BOTT_A2,ROUND(BASE_A2+RATE_A2*($A1923-BOTT_A2),0),ROUND(RATE_A1*$A1923,0))))</f>
        <v/>
      </c>
      <c r="E1923" s="556">
        <f>IF($A1923&gt;BOTT_B4,ROUND(BASE_B4+RATE_B4*($A1923-BOTT_B4),0),IF($A1923&gt;BOTT_B3,ROUND(BASE_B3+RATE_B3*($A1923-BOTT_B3),0),IF($A1923&gt;BOTT_B2,ROUND(BASE_B2+RATE_B2*($A1923-BOTT_B2),0),ROUND(RATE_B1*$A1923,0))))</f>
        <v/>
      </c>
      <c r="F1923" s="556">
        <f>IF($A1923&gt;BOTT_C4,ROUND(BASE_C4+RATE_C4*($A1923-BOTT_C4),0),IF($A1923&gt;BOTT_C3,ROUND(BASE_C3+RATE_C3*($A1923-BOTT_C3),0),IF($A1923&gt;BOTT_C2,ROUND(BASE_C2+RATE_C2*($A1923-BOTT_C2),0),ROUND(RATE_C1*$A1923,0))))</f>
        <v/>
      </c>
      <c r="G1923" s="556">
        <f>IF($A1923&gt;BOTT_D4,ROUND(BASE_D4+RATE_D4*($A1923-BOTT_D4),0),IF($A1923&gt;BOTT_D3,ROUND(BASE_D3+RATE_D3*($A1923-BOTT_D3),0),IF($A1923&gt;BOTT_D2,ROUND(BASE_D2+RATE_D2*($A1923-BOTT_D2),0),ROUND(RATE_D1*$A1923,0))))</f>
        <v/>
      </c>
    </row>
    <row r="1924" ht="15.75" customHeight="1" s="7635">
      <c r="A1924" s="625">
        <f>AVERAGE(B1924,C1924)</f>
        <v/>
      </c>
      <c r="B1924" s="555" t="n">
        <v>93000</v>
      </c>
      <c r="C1924" s="555" t="n">
        <v>93050</v>
      </c>
      <c r="D1924" s="556">
        <f>IF($A1924&gt;BOTT_A4,ROUND(BASE_A4+RATE_A4*($A1924-BOTT_A4),0),IF($A1924&gt;BOTT_A3,ROUND(BASE_A3+RATE_A3*($A1924-BOTT_A3),0),IF($A1924&gt;BOTT_A2,ROUND(BASE_A2+RATE_A2*($A1924-BOTT_A2),0),ROUND(RATE_A1*$A1924,0))))</f>
        <v/>
      </c>
      <c r="E1924" s="556">
        <f>IF($A1924&gt;BOTT_B4,ROUND(BASE_B4+RATE_B4*($A1924-BOTT_B4),0),IF($A1924&gt;BOTT_B3,ROUND(BASE_B3+RATE_B3*($A1924-BOTT_B3),0),IF($A1924&gt;BOTT_B2,ROUND(BASE_B2+RATE_B2*($A1924-BOTT_B2),0),ROUND(RATE_B1*$A1924,0))))</f>
        <v/>
      </c>
      <c r="F1924" s="556">
        <f>IF($A1924&gt;BOTT_C4,ROUND(BASE_C4+RATE_C4*($A1924-BOTT_C4),0),IF($A1924&gt;BOTT_C3,ROUND(BASE_C3+RATE_C3*($A1924-BOTT_C3),0),IF($A1924&gt;BOTT_C2,ROUND(BASE_C2+RATE_C2*($A1924-BOTT_C2),0),ROUND(RATE_C1*$A1924,0))))</f>
        <v/>
      </c>
      <c r="G1924" s="556">
        <f>IF($A1924&gt;BOTT_D4,ROUND(BASE_D4+RATE_D4*($A1924-BOTT_D4),0),IF($A1924&gt;BOTT_D3,ROUND(BASE_D3+RATE_D3*($A1924-BOTT_D3),0),IF($A1924&gt;BOTT_D2,ROUND(BASE_D2+RATE_D2*($A1924-BOTT_D2),0),ROUND(RATE_D1*$A1924,0))))</f>
        <v/>
      </c>
    </row>
    <row r="1925" ht="15.75" customHeight="1" s="7635">
      <c r="A1925" s="625">
        <f>AVERAGE(B1925,C1925)</f>
        <v/>
      </c>
      <c r="B1925" s="555" t="n">
        <v>93050</v>
      </c>
      <c r="C1925" s="555" t="n">
        <v>93100</v>
      </c>
      <c r="D1925" s="556">
        <f>IF($A1925&gt;BOTT_A4,ROUND(BASE_A4+RATE_A4*($A1925-BOTT_A4),0),IF($A1925&gt;BOTT_A3,ROUND(BASE_A3+RATE_A3*($A1925-BOTT_A3),0),IF($A1925&gt;BOTT_A2,ROUND(BASE_A2+RATE_A2*($A1925-BOTT_A2),0),ROUND(RATE_A1*$A1925,0))))</f>
        <v/>
      </c>
      <c r="E1925" s="556">
        <f>IF($A1925&gt;BOTT_B4,ROUND(BASE_B4+RATE_B4*($A1925-BOTT_B4),0),IF($A1925&gt;BOTT_B3,ROUND(BASE_B3+RATE_B3*($A1925-BOTT_B3),0),IF($A1925&gt;BOTT_B2,ROUND(BASE_B2+RATE_B2*($A1925-BOTT_B2),0),ROUND(RATE_B1*$A1925,0))))</f>
        <v/>
      </c>
      <c r="F1925" s="556">
        <f>IF($A1925&gt;BOTT_C4,ROUND(BASE_C4+RATE_C4*($A1925-BOTT_C4),0),IF($A1925&gt;BOTT_C3,ROUND(BASE_C3+RATE_C3*($A1925-BOTT_C3),0),IF($A1925&gt;BOTT_C2,ROUND(BASE_C2+RATE_C2*($A1925-BOTT_C2),0),ROUND(RATE_C1*$A1925,0))))</f>
        <v/>
      </c>
      <c r="G1925" s="556">
        <f>IF($A1925&gt;BOTT_D4,ROUND(BASE_D4+RATE_D4*($A1925-BOTT_D4),0),IF($A1925&gt;BOTT_D3,ROUND(BASE_D3+RATE_D3*($A1925-BOTT_D3),0),IF($A1925&gt;BOTT_D2,ROUND(BASE_D2+RATE_D2*($A1925-BOTT_D2),0),ROUND(RATE_D1*$A1925,0))))</f>
        <v/>
      </c>
    </row>
    <row r="1926" ht="15.75" customHeight="1" s="7635">
      <c r="A1926" s="625">
        <f>AVERAGE(B1926,C1926)</f>
        <v/>
      </c>
      <c r="B1926" s="555" t="n">
        <v>93100</v>
      </c>
      <c r="C1926" s="555" t="n">
        <v>93150</v>
      </c>
      <c r="D1926" s="556">
        <f>IF($A1926&gt;BOTT_A4,ROUND(BASE_A4+RATE_A4*($A1926-BOTT_A4),0),IF($A1926&gt;BOTT_A3,ROUND(BASE_A3+RATE_A3*($A1926-BOTT_A3),0),IF($A1926&gt;BOTT_A2,ROUND(BASE_A2+RATE_A2*($A1926-BOTT_A2),0),ROUND(RATE_A1*$A1926,0))))</f>
        <v/>
      </c>
      <c r="E1926" s="556">
        <f>IF($A1926&gt;BOTT_B4,ROUND(BASE_B4+RATE_B4*($A1926-BOTT_B4),0),IF($A1926&gt;BOTT_B3,ROUND(BASE_B3+RATE_B3*($A1926-BOTT_B3),0),IF($A1926&gt;BOTT_B2,ROUND(BASE_B2+RATE_B2*($A1926-BOTT_B2),0),ROUND(RATE_B1*$A1926,0))))</f>
        <v/>
      </c>
      <c r="F1926" s="556">
        <f>IF($A1926&gt;BOTT_C4,ROUND(BASE_C4+RATE_C4*($A1926-BOTT_C4),0),IF($A1926&gt;BOTT_C3,ROUND(BASE_C3+RATE_C3*($A1926-BOTT_C3),0),IF($A1926&gt;BOTT_C2,ROUND(BASE_C2+RATE_C2*($A1926-BOTT_C2),0),ROUND(RATE_C1*$A1926,0))))</f>
        <v/>
      </c>
      <c r="G1926" s="556">
        <f>IF($A1926&gt;BOTT_D4,ROUND(BASE_D4+RATE_D4*($A1926-BOTT_D4),0),IF($A1926&gt;BOTT_D3,ROUND(BASE_D3+RATE_D3*($A1926-BOTT_D3),0),IF($A1926&gt;BOTT_D2,ROUND(BASE_D2+RATE_D2*($A1926-BOTT_D2),0),ROUND(RATE_D1*$A1926,0))))</f>
        <v/>
      </c>
    </row>
    <row r="1927" ht="15.75" customHeight="1" s="7635">
      <c r="A1927" s="625">
        <f>AVERAGE(B1927,C1927)</f>
        <v/>
      </c>
      <c r="B1927" s="555" t="n">
        <v>93150</v>
      </c>
      <c r="C1927" s="555" t="n">
        <v>93200</v>
      </c>
      <c r="D1927" s="556">
        <f>IF($A1927&gt;BOTT_A4,ROUND(BASE_A4+RATE_A4*($A1927-BOTT_A4),0),IF($A1927&gt;BOTT_A3,ROUND(BASE_A3+RATE_A3*($A1927-BOTT_A3),0),IF($A1927&gt;BOTT_A2,ROUND(BASE_A2+RATE_A2*($A1927-BOTT_A2),0),ROUND(RATE_A1*$A1927,0))))</f>
        <v/>
      </c>
      <c r="E1927" s="556">
        <f>IF($A1927&gt;BOTT_B4,ROUND(BASE_B4+RATE_B4*($A1927-BOTT_B4),0),IF($A1927&gt;BOTT_B3,ROUND(BASE_B3+RATE_B3*($A1927-BOTT_B3),0),IF($A1927&gt;BOTT_B2,ROUND(BASE_B2+RATE_B2*($A1927-BOTT_B2),0),ROUND(RATE_B1*$A1927,0))))</f>
        <v/>
      </c>
      <c r="F1927" s="556">
        <f>IF($A1927&gt;BOTT_C4,ROUND(BASE_C4+RATE_C4*($A1927-BOTT_C4),0),IF($A1927&gt;BOTT_C3,ROUND(BASE_C3+RATE_C3*($A1927-BOTT_C3),0),IF($A1927&gt;BOTT_C2,ROUND(BASE_C2+RATE_C2*($A1927-BOTT_C2),0),ROUND(RATE_C1*$A1927,0))))</f>
        <v/>
      </c>
      <c r="G1927" s="556">
        <f>IF($A1927&gt;BOTT_D4,ROUND(BASE_D4+RATE_D4*($A1927-BOTT_D4),0),IF($A1927&gt;BOTT_D3,ROUND(BASE_D3+RATE_D3*($A1927-BOTT_D3),0),IF($A1927&gt;BOTT_D2,ROUND(BASE_D2+RATE_D2*($A1927-BOTT_D2),0),ROUND(RATE_D1*$A1927,0))))</f>
        <v/>
      </c>
    </row>
    <row r="1928" ht="15.75" customHeight="1" s="7635">
      <c r="A1928" s="625">
        <f>AVERAGE(B1928,C1928)</f>
        <v/>
      </c>
      <c r="B1928" s="555" t="n">
        <v>93200</v>
      </c>
      <c r="C1928" s="555" t="n">
        <v>93250</v>
      </c>
      <c r="D1928" s="556">
        <f>IF($A1928&gt;BOTT_A4,ROUND(BASE_A4+RATE_A4*($A1928-BOTT_A4),0),IF($A1928&gt;BOTT_A3,ROUND(BASE_A3+RATE_A3*($A1928-BOTT_A3),0),IF($A1928&gt;BOTT_A2,ROUND(BASE_A2+RATE_A2*($A1928-BOTT_A2),0),ROUND(RATE_A1*$A1928,0))))</f>
        <v/>
      </c>
      <c r="E1928" s="556">
        <f>IF($A1928&gt;BOTT_B4,ROUND(BASE_B4+RATE_B4*($A1928-BOTT_B4),0),IF($A1928&gt;BOTT_B3,ROUND(BASE_B3+RATE_B3*($A1928-BOTT_B3),0),IF($A1928&gt;BOTT_B2,ROUND(BASE_B2+RATE_B2*($A1928-BOTT_B2),0),ROUND(RATE_B1*$A1928,0))))</f>
        <v/>
      </c>
      <c r="F1928" s="556">
        <f>IF($A1928&gt;BOTT_C4,ROUND(BASE_C4+RATE_C4*($A1928-BOTT_C4),0),IF($A1928&gt;BOTT_C3,ROUND(BASE_C3+RATE_C3*($A1928-BOTT_C3),0),IF($A1928&gt;BOTT_C2,ROUND(BASE_C2+RATE_C2*($A1928-BOTT_C2),0),ROUND(RATE_C1*$A1928,0))))</f>
        <v/>
      </c>
      <c r="G1928" s="556">
        <f>IF($A1928&gt;BOTT_D4,ROUND(BASE_D4+RATE_D4*($A1928-BOTT_D4),0),IF($A1928&gt;BOTT_D3,ROUND(BASE_D3+RATE_D3*($A1928-BOTT_D3),0),IF($A1928&gt;BOTT_D2,ROUND(BASE_D2+RATE_D2*($A1928-BOTT_D2),0),ROUND(RATE_D1*$A1928,0))))</f>
        <v/>
      </c>
    </row>
    <row r="1929" ht="15.75" customHeight="1" s="7635">
      <c r="A1929" s="625">
        <f>AVERAGE(B1929,C1929)</f>
        <v/>
      </c>
      <c r="B1929" s="555" t="n">
        <v>93250</v>
      </c>
      <c r="C1929" s="555" t="n">
        <v>93300</v>
      </c>
      <c r="D1929" s="556">
        <f>IF($A1929&gt;BOTT_A4,ROUND(BASE_A4+RATE_A4*($A1929-BOTT_A4),0),IF($A1929&gt;BOTT_A3,ROUND(BASE_A3+RATE_A3*($A1929-BOTT_A3),0),IF($A1929&gt;BOTT_A2,ROUND(BASE_A2+RATE_A2*($A1929-BOTT_A2),0),ROUND(RATE_A1*$A1929,0))))</f>
        <v/>
      </c>
      <c r="E1929" s="556">
        <f>IF($A1929&gt;BOTT_B4,ROUND(BASE_B4+RATE_B4*($A1929-BOTT_B4),0),IF($A1929&gt;BOTT_B3,ROUND(BASE_B3+RATE_B3*($A1929-BOTT_B3),0),IF($A1929&gt;BOTT_B2,ROUND(BASE_B2+RATE_B2*($A1929-BOTT_B2),0),ROUND(RATE_B1*$A1929,0))))</f>
        <v/>
      </c>
      <c r="F1929" s="556">
        <f>IF($A1929&gt;BOTT_C4,ROUND(BASE_C4+RATE_C4*($A1929-BOTT_C4),0),IF($A1929&gt;BOTT_C3,ROUND(BASE_C3+RATE_C3*($A1929-BOTT_C3),0),IF($A1929&gt;BOTT_C2,ROUND(BASE_C2+RATE_C2*($A1929-BOTT_C2),0),ROUND(RATE_C1*$A1929,0))))</f>
        <v/>
      </c>
      <c r="G1929" s="556">
        <f>IF($A1929&gt;BOTT_D4,ROUND(BASE_D4+RATE_D4*($A1929-BOTT_D4),0),IF($A1929&gt;BOTT_D3,ROUND(BASE_D3+RATE_D3*($A1929-BOTT_D3),0),IF($A1929&gt;BOTT_D2,ROUND(BASE_D2+RATE_D2*($A1929-BOTT_D2),0),ROUND(RATE_D1*$A1929,0))))</f>
        <v/>
      </c>
    </row>
    <row r="1930" ht="15.75" customHeight="1" s="7635">
      <c r="A1930" s="625">
        <f>AVERAGE(B1930,C1930)</f>
        <v/>
      </c>
      <c r="B1930" s="555" t="n">
        <v>93300</v>
      </c>
      <c r="C1930" s="555" t="n">
        <v>93350</v>
      </c>
      <c r="D1930" s="556">
        <f>IF($A1930&gt;BOTT_A4,ROUND(BASE_A4+RATE_A4*($A1930-BOTT_A4),0),IF($A1930&gt;BOTT_A3,ROUND(BASE_A3+RATE_A3*($A1930-BOTT_A3),0),IF($A1930&gt;BOTT_A2,ROUND(BASE_A2+RATE_A2*($A1930-BOTT_A2),0),ROUND(RATE_A1*$A1930,0))))</f>
        <v/>
      </c>
      <c r="E1930" s="556">
        <f>IF($A1930&gt;BOTT_B4,ROUND(BASE_B4+RATE_B4*($A1930-BOTT_B4),0),IF($A1930&gt;BOTT_B3,ROUND(BASE_B3+RATE_B3*($A1930-BOTT_B3),0),IF($A1930&gt;BOTT_B2,ROUND(BASE_B2+RATE_B2*($A1930-BOTT_B2),0),ROUND(RATE_B1*$A1930,0))))</f>
        <v/>
      </c>
      <c r="F1930" s="556">
        <f>IF($A1930&gt;BOTT_C4,ROUND(BASE_C4+RATE_C4*($A1930-BOTT_C4),0),IF($A1930&gt;BOTT_C3,ROUND(BASE_C3+RATE_C3*($A1930-BOTT_C3),0),IF($A1930&gt;BOTT_C2,ROUND(BASE_C2+RATE_C2*($A1930-BOTT_C2),0),ROUND(RATE_C1*$A1930,0))))</f>
        <v/>
      </c>
      <c r="G1930" s="556">
        <f>IF($A1930&gt;BOTT_D4,ROUND(BASE_D4+RATE_D4*($A1930-BOTT_D4),0),IF($A1930&gt;BOTT_D3,ROUND(BASE_D3+RATE_D3*($A1930-BOTT_D3),0),IF($A1930&gt;BOTT_D2,ROUND(BASE_D2+RATE_D2*($A1930-BOTT_D2),0),ROUND(RATE_D1*$A1930,0))))</f>
        <v/>
      </c>
    </row>
    <row r="1931" ht="15.75" customHeight="1" s="7635">
      <c r="A1931" s="625">
        <f>AVERAGE(B1931,C1931)</f>
        <v/>
      </c>
      <c r="B1931" s="555" t="n">
        <v>93350</v>
      </c>
      <c r="C1931" s="555" t="n">
        <v>93400</v>
      </c>
      <c r="D1931" s="556">
        <f>IF($A1931&gt;BOTT_A4,ROUND(BASE_A4+RATE_A4*($A1931-BOTT_A4),0),IF($A1931&gt;BOTT_A3,ROUND(BASE_A3+RATE_A3*($A1931-BOTT_A3),0),IF($A1931&gt;BOTT_A2,ROUND(BASE_A2+RATE_A2*($A1931-BOTT_A2),0),ROUND(RATE_A1*$A1931,0))))</f>
        <v/>
      </c>
      <c r="E1931" s="556">
        <f>IF($A1931&gt;BOTT_B4,ROUND(BASE_B4+RATE_B4*($A1931-BOTT_B4),0),IF($A1931&gt;BOTT_B3,ROUND(BASE_B3+RATE_B3*($A1931-BOTT_B3),0),IF($A1931&gt;BOTT_B2,ROUND(BASE_B2+RATE_B2*($A1931-BOTT_B2),0),ROUND(RATE_B1*$A1931,0))))</f>
        <v/>
      </c>
      <c r="F1931" s="556">
        <f>IF($A1931&gt;BOTT_C4,ROUND(BASE_C4+RATE_C4*($A1931-BOTT_C4),0),IF($A1931&gt;BOTT_C3,ROUND(BASE_C3+RATE_C3*($A1931-BOTT_C3),0),IF($A1931&gt;BOTT_C2,ROUND(BASE_C2+RATE_C2*($A1931-BOTT_C2),0),ROUND(RATE_C1*$A1931,0))))</f>
        <v/>
      </c>
      <c r="G1931" s="556">
        <f>IF($A1931&gt;BOTT_D4,ROUND(BASE_D4+RATE_D4*($A1931-BOTT_D4),0),IF($A1931&gt;BOTT_D3,ROUND(BASE_D3+RATE_D3*($A1931-BOTT_D3),0),IF($A1931&gt;BOTT_D2,ROUND(BASE_D2+RATE_D2*($A1931-BOTT_D2),0),ROUND(RATE_D1*$A1931,0))))</f>
        <v/>
      </c>
    </row>
    <row r="1932" ht="15.75" customHeight="1" s="7635">
      <c r="A1932" s="625">
        <f>AVERAGE(B1932,C1932)</f>
        <v/>
      </c>
      <c r="B1932" s="555" t="n">
        <v>93400</v>
      </c>
      <c r="C1932" s="555" t="n">
        <v>93450</v>
      </c>
      <c r="D1932" s="556">
        <f>IF($A1932&gt;BOTT_A4,ROUND(BASE_A4+RATE_A4*($A1932-BOTT_A4),0),IF($A1932&gt;BOTT_A3,ROUND(BASE_A3+RATE_A3*($A1932-BOTT_A3),0),IF($A1932&gt;BOTT_A2,ROUND(BASE_A2+RATE_A2*($A1932-BOTT_A2),0),ROUND(RATE_A1*$A1932,0))))</f>
        <v/>
      </c>
      <c r="E1932" s="556">
        <f>IF($A1932&gt;BOTT_B4,ROUND(BASE_B4+RATE_B4*($A1932-BOTT_B4),0),IF($A1932&gt;BOTT_B3,ROUND(BASE_B3+RATE_B3*($A1932-BOTT_B3),0),IF($A1932&gt;BOTT_B2,ROUND(BASE_B2+RATE_B2*($A1932-BOTT_B2),0),ROUND(RATE_B1*$A1932,0))))</f>
        <v/>
      </c>
      <c r="F1932" s="556">
        <f>IF($A1932&gt;BOTT_C4,ROUND(BASE_C4+RATE_C4*($A1932-BOTT_C4),0),IF($A1932&gt;BOTT_C3,ROUND(BASE_C3+RATE_C3*($A1932-BOTT_C3),0),IF($A1932&gt;BOTT_C2,ROUND(BASE_C2+RATE_C2*($A1932-BOTT_C2),0),ROUND(RATE_C1*$A1932,0))))</f>
        <v/>
      </c>
      <c r="G1932" s="556">
        <f>IF($A1932&gt;BOTT_D4,ROUND(BASE_D4+RATE_D4*($A1932-BOTT_D4),0),IF($A1932&gt;BOTT_D3,ROUND(BASE_D3+RATE_D3*($A1932-BOTT_D3),0),IF($A1932&gt;BOTT_D2,ROUND(BASE_D2+RATE_D2*($A1932-BOTT_D2),0),ROUND(RATE_D1*$A1932,0))))</f>
        <v/>
      </c>
    </row>
    <row r="1933" ht="15.75" customHeight="1" s="7635">
      <c r="A1933" s="625">
        <f>AVERAGE(B1933,C1933)</f>
        <v/>
      </c>
      <c r="B1933" s="555" t="n">
        <v>93450</v>
      </c>
      <c r="C1933" s="555" t="n">
        <v>93500</v>
      </c>
      <c r="D1933" s="556">
        <f>IF($A1933&gt;BOTT_A4,ROUND(BASE_A4+RATE_A4*($A1933-BOTT_A4),0),IF($A1933&gt;BOTT_A3,ROUND(BASE_A3+RATE_A3*($A1933-BOTT_A3),0),IF($A1933&gt;BOTT_A2,ROUND(BASE_A2+RATE_A2*($A1933-BOTT_A2),0),ROUND(RATE_A1*$A1933,0))))</f>
        <v/>
      </c>
      <c r="E1933" s="556">
        <f>IF($A1933&gt;BOTT_B4,ROUND(BASE_B4+RATE_B4*($A1933-BOTT_B4),0),IF($A1933&gt;BOTT_B3,ROUND(BASE_B3+RATE_B3*($A1933-BOTT_B3),0),IF($A1933&gt;BOTT_B2,ROUND(BASE_B2+RATE_B2*($A1933-BOTT_B2),0),ROUND(RATE_B1*$A1933,0))))</f>
        <v/>
      </c>
      <c r="F1933" s="556">
        <f>IF($A1933&gt;BOTT_C4,ROUND(BASE_C4+RATE_C4*($A1933-BOTT_C4),0),IF($A1933&gt;BOTT_C3,ROUND(BASE_C3+RATE_C3*($A1933-BOTT_C3),0),IF($A1933&gt;BOTT_C2,ROUND(BASE_C2+RATE_C2*($A1933-BOTT_C2),0),ROUND(RATE_C1*$A1933,0))))</f>
        <v/>
      </c>
      <c r="G1933" s="556">
        <f>IF($A1933&gt;BOTT_D4,ROUND(BASE_D4+RATE_D4*($A1933-BOTT_D4),0),IF($A1933&gt;BOTT_D3,ROUND(BASE_D3+RATE_D3*($A1933-BOTT_D3),0),IF($A1933&gt;BOTT_D2,ROUND(BASE_D2+RATE_D2*($A1933-BOTT_D2),0),ROUND(RATE_D1*$A1933,0))))</f>
        <v/>
      </c>
    </row>
    <row r="1934" ht="15.75" customHeight="1" s="7635">
      <c r="A1934" s="625">
        <f>AVERAGE(B1934,C1934)</f>
        <v/>
      </c>
      <c r="B1934" s="555" t="n">
        <v>93500</v>
      </c>
      <c r="C1934" s="555" t="n">
        <v>93550</v>
      </c>
      <c r="D1934" s="556">
        <f>IF($A1934&gt;BOTT_A4,ROUND(BASE_A4+RATE_A4*($A1934-BOTT_A4),0),IF($A1934&gt;BOTT_A3,ROUND(BASE_A3+RATE_A3*($A1934-BOTT_A3),0),IF($A1934&gt;BOTT_A2,ROUND(BASE_A2+RATE_A2*($A1934-BOTT_A2),0),ROUND(RATE_A1*$A1934,0))))</f>
        <v/>
      </c>
      <c r="E1934" s="556">
        <f>IF($A1934&gt;BOTT_B4,ROUND(BASE_B4+RATE_B4*($A1934-BOTT_B4),0),IF($A1934&gt;BOTT_B3,ROUND(BASE_B3+RATE_B3*($A1934-BOTT_B3),0),IF($A1934&gt;BOTT_B2,ROUND(BASE_B2+RATE_B2*($A1934-BOTT_B2),0),ROUND(RATE_B1*$A1934,0))))</f>
        <v/>
      </c>
      <c r="F1934" s="556">
        <f>IF($A1934&gt;BOTT_C4,ROUND(BASE_C4+RATE_C4*($A1934-BOTT_C4),0),IF($A1934&gt;BOTT_C3,ROUND(BASE_C3+RATE_C3*($A1934-BOTT_C3),0),IF($A1934&gt;BOTT_C2,ROUND(BASE_C2+RATE_C2*($A1934-BOTT_C2),0),ROUND(RATE_C1*$A1934,0))))</f>
        <v/>
      </c>
      <c r="G1934" s="556">
        <f>IF($A1934&gt;BOTT_D4,ROUND(BASE_D4+RATE_D4*($A1934-BOTT_D4),0),IF($A1934&gt;BOTT_D3,ROUND(BASE_D3+RATE_D3*($A1934-BOTT_D3),0),IF($A1934&gt;BOTT_D2,ROUND(BASE_D2+RATE_D2*($A1934-BOTT_D2),0),ROUND(RATE_D1*$A1934,0))))</f>
        <v/>
      </c>
    </row>
    <row r="1935" ht="15.75" customHeight="1" s="7635">
      <c r="A1935" s="625">
        <f>AVERAGE(B1935,C1935)</f>
        <v/>
      </c>
      <c r="B1935" s="555" t="n">
        <v>93550</v>
      </c>
      <c r="C1935" s="555" t="n">
        <v>93600</v>
      </c>
      <c r="D1935" s="556">
        <f>IF($A1935&gt;BOTT_A4,ROUND(BASE_A4+RATE_A4*($A1935-BOTT_A4),0),IF($A1935&gt;BOTT_A3,ROUND(BASE_A3+RATE_A3*($A1935-BOTT_A3),0),IF($A1935&gt;BOTT_A2,ROUND(BASE_A2+RATE_A2*($A1935-BOTT_A2),0),ROUND(RATE_A1*$A1935,0))))</f>
        <v/>
      </c>
      <c r="E1935" s="556">
        <f>IF($A1935&gt;BOTT_B4,ROUND(BASE_B4+RATE_B4*($A1935-BOTT_B4),0),IF($A1935&gt;BOTT_B3,ROUND(BASE_B3+RATE_B3*($A1935-BOTT_B3),0),IF($A1935&gt;BOTT_B2,ROUND(BASE_B2+RATE_B2*($A1935-BOTT_B2),0),ROUND(RATE_B1*$A1935,0))))</f>
        <v/>
      </c>
      <c r="F1935" s="556">
        <f>IF($A1935&gt;BOTT_C4,ROUND(BASE_C4+RATE_C4*($A1935-BOTT_C4),0),IF($A1935&gt;BOTT_C3,ROUND(BASE_C3+RATE_C3*($A1935-BOTT_C3),0),IF($A1935&gt;BOTT_C2,ROUND(BASE_C2+RATE_C2*($A1935-BOTT_C2),0),ROUND(RATE_C1*$A1935,0))))</f>
        <v/>
      </c>
      <c r="G1935" s="556">
        <f>IF($A1935&gt;BOTT_D4,ROUND(BASE_D4+RATE_D4*($A1935-BOTT_D4),0),IF($A1935&gt;BOTT_D3,ROUND(BASE_D3+RATE_D3*($A1935-BOTT_D3),0),IF($A1935&gt;BOTT_D2,ROUND(BASE_D2+RATE_D2*($A1935-BOTT_D2),0),ROUND(RATE_D1*$A1935,0))))</f>
        <v/>
      </c>
    </row>
    <row r="1936" ht="15.75" customHeight="1" s="7635">
      <c r="A1936" s="625">
        <f>AVERAGE(B1936,C1936)</f>
        <v/>
      </c>
      <c r="B1936" s="555" t="n">
        <v>93600</v>
      </c>
      <c r="C1936" s="555" t="n">
        <v>93650</v>
      </c>
      <c r="D1936" s="556">
        <f>IF($A1936&gt;BOTT_A4,ROUND(BASE_A4+RATE_A4*($A1936-BOTT_A4),0),IF($A1936&gt;BOTT_A3,ROUND(BASE_A3+RATE_A3*($A1936-BOTT_A3),0),IF($A1936&gt;BOTT_A2,ROUND(BASE_A2+RATE_A2*($A1936-BOTT_A2),0),ROUND(RATE_A1*$A1936,0))))</f>
        <v/>
      </c>
      <c r="E1936" s="556">
        <f>IF($A1936&gt;BOTT_B4,ROUND(BASE_B4+RATE_B4*($A1936-BOTT_B4),0),IF($A1936&gt;BOTT_B3,ROUND(BASE_B3+RATE_B3*($A1936-BOTT_B3),0),IF($A1936&gt;BOTT_B2,ROUND(BASE_B2+RATE_B2*($A1936-BOTT_B2),0),ROUND(RATE_B1*$A1936,0))))</f>
        <v/>
      </c>
      <c r="F1936" s="556">
        <f>IF($A1936&gt;BOTT_C4,ROUND(BASE_C4+RATE_C4*($A1936-BOTT_C4),0),IF($A1936&gt;BOTT_C3,ROUND(BASE_C3+RATE_C3*($A1936-BOTT_C3),0),IF($A1936&gt;BOTT_C2,ROUND(BASE_C2+RATE_C2*($A1936-BOTT_C2),0),ROUND(RATE_C1*$A1936,0))))</f>
        <v/>
      </c>
      <c r="G1936" s="556">
        <f>IF($A1936&gt;BOTT_D4,ROUND(BASE_D4+RATE_D4*($A1936-BOTT_D4),0),IF($A1936&gt;BOTT_D3,ROUND(BASE_D3+RATE_D3*($A1936-BOTT_D3),0),IF($A1936&gt;BOTT_D2,ROUND(BASE_D2+RATE_D2*($A1936-BOTT_D2),0),ROUND(RATE_D1*$A1936,0))))</f>
        <v/>
      </c>
    </row>
    <row r="1937" ht="15.75" customHeight="1" s="7635">
      <c r="A1937" s="625">
        <f>AVERAGE(B1937,C1937)</f>
        <v/>
      </c>
      <c r="B1937" s="555" t="n">
        <v>93650</v>
      </c>
      <c r="C1937" s="555" t="n">
        <v>93700</v>
      </c>
      <c r="D1937" s="556">
        <f>IF($A1937&gt;BOTT_A4,ROUND(BASE_A4+RATE_A4*($A1937-BOTT_A4),0),IF($A1937&gt;BOTT_A3,ROUND(BASE_A3+RATE_A3*($A1937-BOTT_A3),0),IF($A1937&gt;BOTT_A2,ROUND(BASE_A2+RATE_A2*($A1937-BOTT_A2),0),ROUND(RATE_A1*$A1937,0))))</f>
        <v/>
      </c>
      <c r="E1937" s="556">
        <f>IF($A1937&gt;BOTT_B4,ROUND(BASE_B4+RATE_B4*($A1937-BOTT_B4),0),IF($A1937&gt;BOTT_B3,ROUND(BASE_B3+RATE_B3*($A1937-BOTT_B3),0),IF($A1937&gt;BOTT_B2,ROUND(BASE_B2+RATE_B2*($A1937-BOTT_B2),0),ROUND(RATE_B1*$A1937,0))))</f>
        <v/>
      </c>
      <c r="F1937" s="556">
        <f>IF($A1937&gt;BOTT_C4,ROUND(BASE_C4+RATE_C4*($A1937-BOTT_C4),0),IF($A1937&gt;BOTT_C3,ROUND(BASE_C3+RATE_C3*($A1937-BOTT_C3),0),IF($A1937&gt;BOTT_C2,ROUND(BASE_C2+RATE_C2*($A1937-BOTT_C2),0),ROUND(RATE_C1*$A1937,0))))</f>
        <v/>
      </c>
      <c r="G1937" s="556">
        <f>IF($A1937&gt;BOTT_D4,ROUND(BASE_D4+RATE_D4*($A1937-BOTT_D4),0),IF($A1937&gt;BOTT_D3,ROUND(BASE_D3+RATE_D3*($A1937-BOTT_D3),0),IF($A1937&gt;BOTT_D2,ROUND(BASE_D2+RATE_D2*($A1937-BOTT_D2),0),ROUND(RATE_D1*$A1937,0))))</f>
        <v/>
      </c>
    </row>
    <row r="1938" ht="15.75" customHeight="1" s="7635">
      <c r="A1938" s="625">
        <f>AVERAGE(B1938,C1938)</f>
        <v/>
      </c>
      <c r="B1938" s="555" t="n">
        <v>93700</v>
      </c>
      <c r="C1938" s="555" t="n">
        <v>93750</v>
      </c>
      <c r="D1938" s="556">
        <f>IF($A1938&gt;BOTT_A4,ROUND(BASE_A4+RATE_A4*($A1938-BOTT_A4),0),IF($A1938&gt;BOTT_A3,ROUND(BASE_A3+RATE_A3*($A1938-BOTT_A3),0),IF($A1938&gt;BOTT_A2,ROUND(BASE_A2+RATE_A2*($A1938-BOTT_A2),0),ROUND(RATE_A1*$A1938,0))))</f>
        <v/>
      </c>
      <c r="E1938" s="556">
        <f>IF($A1938&gt;BOTT_B4,ROUND(BASE_B4+RATE_B4*($A1938-BOTT_B4),0),IF($A1938&gt;BOTT_B3,ROUND(BASE_B3+RATE_B3*($A1938-BOTT_B3),0),IF($A1938&gt;BOTT_B2,ROUND(BASE_B2+RATE_B2*($A1938-BOTT_B2),0),ROUND(RATE_B1*$A1938,0))))</f>
        <v/>
      </c>
      <c r="F1938" s="556">
        <f>IF($A1938&gt;BOTT_C4,ROUND(BASE_C4+RATE_C4*($A1938-BOTT_C4),0),IF($A1938&gt;BOTT_C3,ROUND(BASE_C3+RATE_C3*($A1938-BOTT_C3),0),IF($A1938&gt;BOTT_C2,ROUND(BASE_C2+RATE_C2*($A1938-BOTT_C2),0),ROUND(RATE_C1*$A1938,0))))</f>
        <v/>
      </c>
      <c r="G1938" s="556">
        <f>IF($A1938&gt;BOTT_D4,ROUND(BASE_D4+RATE_D4*($A1938-BOTT_D4),0),IF($A1938&gt;BOTT_D3,ROUND(BASE_D3+RATE_D3*($A1938-BOTT_D3),0),IF($A1938&gt;BOTT_D2,ROUND(BASE_D2+RATE_D2*($A1938-BOTT_D2),0),ROUND(RATE_D1*$A1938,0))))</f>
        <v/>
      </c>
    </row>
    <row r="1939" ht="15.75" customHeight="1" s="7635">
      <c r="A1939" s="625">
        <f>AVERAGE(B1939,C1939)</f>
        <v/>
      </c>
      <c r="B1939" s="555" t="n">
        <v>93750</v>
      </c>
      <c r="C1939" s="555" t="n">
        <v>93800</v>
      </c>
      <c r="D1939" s="556">
        <f>IF($A1939&gt;BOTT_A4,ROUND(BASE_A4+RATE_A4*($A1939-BOTT_A4),0),IF($A1939&gt;BOTT_A3,ROUND(BASE_A3+RATE_A3*($A1939-BOTT_A3),0),IF($A1939&gt;BOTT_A2,ROUND(BASE_A2+RATE_A2*($A1939-BOTT_A2),0),ROUND(RATE_A1*$A1939,0))))</f>
        <v/>
      </c>
      <c r="E1939" s="556">
        <f>IF($A1939&gt;BOTT_B4,ROUND(BASE_B4+RATE_B4*($A1939-BOTT_B4),0),IF($A1939&gt;BOTT_B3,ROUND(BASE_B3+RATE_B3*($A1939-BOTT_B3),0),IF($A1939&gt;BOTT_B2,ROUND(BASE_B2+RATE_B2*($A1939-BOTT_B2),0),ROUND(RATE_B1*$A1939,0))))</f>
        <v/>
      </c>
      <c r="F1939" s="556">
        <f>IF($A1939&gt;BOTT_C4,ROUND(BASE_C4+RATE_C4*($A1939-BOTT_C4),0),IF($A1939&gt;BOTT_C3,ROUND(BASE_C3+RATE_C3*($A1939-BOTT_C3),0),IF($A1939&gt;BOTT_C2,ROUND(BASE_C2+RATE_C2*($A1939-BOTT_C2),0),ROUND(RATE_C1*$A1939,0))))</f>
        <v/>
      </c>
      <c r="G1939" s="556">
        <f>IF($A1939&gt;BOTT_D4,ROUND(BASE_D4+RATE_D4*($A1939-BOTT_D4),0),IF($A1939&gt;BOTT_D3,ROUND(BASE_D3+RATE_D3*($A1939-BOTT_D3),0),IF($A1939&gt;BOTT_D2,ROUND(BASE_D2+RATE_D2*($A1939-BOTT_D2),0),ROUND(RATE_D1*$A1939,0))))</f>
        <v/>
      </c>
    </row>
    <row r="1940" ht="15.75" customHeight="1" s="7635">
      <c r="A1940" s="625">
        <f>AVERAGE(B1940,C1940)</f>
        <v/>
      </c>
      <c r="B1940" s="555" t="n">
        <v>93800</v>
      </c>
      <c r="C1940" s="555" t="n">
        <v>93850</v>
      </c>
      <c r="D1940" s="556">
        <f>IF($A1940&gt;BOTT_A4,ROUND(BASE_A4+RATE_A4*($A1940-BOTT_A4),0),IF($A1940&gt;BOTT_A3,ROUND(BASE_A3+RATE_A3*($A1940-BOTT_A3),0),IF($A1940&gt;BOTT_A2,ROUND(BASE_A2+RATE_A2*($A1940-BOTT_A2),0),ROUND(RATE_A1*$A1940,0))))</f>
        <v/>
      </c>
      <c r="E1940" s="556">
        <f>IF($A1940&gt;BOTT_B4,ROUND(BASE_B4+RATE_B4*($A1940-BOTT_B4),0),IF($A1940&gt;BOTT_B3,ROUND(BASE_B3+RATE_B3*($A1940-BOTT_B3),0),IF($A1940&gt;BOTT_B2,ROUND(BASE_B2+RATE_B2*($A1940-BOTT_B2),0),ROUND(RATE_B1*$A1940,0))))</f>
        <v/>
      </c>
      <c r="F1940" s="556">
        <f>IF($A1940&gt;BOTT_C4,ROUND(BASE_C4+RATE_C4*($A1940-BOTT_C4),0),IF($A1940&gt;BOTT_C3,ROUND(BASE_C3+RATE_C3*($A1940-BOTT_C3),0),IF($A1940&gt;BOTT_C2,ROUND(BASE_C2+RATE_C2*($A1940-BOTT_C2),0),ROUND(RATE_C1*$A1940,0))))</f>
        <v/>
      </c>
      <c r="G1940" s="556">
        <f>IF($A1940&gt;BOTT_D4,ROUND(BASE_D4+RATE_D4*($A1940-BOTT_D4),0),IF($A1940&gt;BOTT_D3,ROUND(BASE_D3+RATE_D3*($A1940-BOTT_D3),0),IF($A1940&gt;BOTT_D2,ROUND(BASE_D2+RATE_D2*($A1940-BOTT_D2),0),ROUND(RATE_D1*$A1940,0))))</f>
        <v/>
      </c>
    </row>
    <row r="1941" ht="15.75" customHeight="1" s="7635">
      <c r="A1941" s="625">
        <f>AVERAGE(B1941,C1941)</f>
        <v/>
      </c>
      <c r="B1941" s="555" t="n">
        <v>93850</v>
      </c>
      <c r="C1941" s="555" t="n">
        <v>93900</v>
      </c>
      <c r="D1941" s="556">
        <f>IF($A1941&gt;BOTT_A4,ROUND(BASE_A4+RATE_A4*($A1941-BOTT_A4),0),IF($A1941&gt;BOTT_A3,ROUND(BASE_A3+RATE_A3*($A1941-BOTT_A3),0),IF($A1941&gt;BOTT_A2,ROUND(BASE_A2+RATE_A2*($A1941-BOTT_A2),0),ROUND(RATE_A1*$A1941,0))))</f>
        <v/>
      </c>
      <c r="E1941" s="556">
        <f>IF($A1941&gt;BOTT_B4,ROUND(BASE_B4+RATE_B4*($A1941-BOTT_B4),0),IF($A1941&gt;BOTT_B3,ROUND(BASE_B3+RATE_B3*($A1941-BOTT_B3),0),IF($A1941&gt;BOTT_B2,ROUND(BASE_B2+RATE_B2*($A1941-BOTT_B2),0),ROUND(RATE_B1*$A1941,0))))</f>
        <v/>
      </c>
      <c r="F1941" s="556">
        <f>IF($A1941&gt;BOTT_C4,ROUND(BASE_C4+RATE_C4*($A1941-BOTT_C4),0),IF($A1941&gt;BOTT_C3,ROUND(BASE_C3+RATE_C3*($A1941-BOTT_C3),0),IF($A1941&gt;BOTT_C2,ROUND(BASE_C2+RATE_C2*($A1941-BOTT_C2),0),ROUND(RATE_C1*$A1941,0))))</f>
        <v/>
      </c>
      <c r="G1941" s="556">
        <f>IF($A1941&gt;BOTT_D4,ROUND(BASE_D4+RATE_D4*($A1941-BOTT_D4),0),IF($A1941&gt;BOTT_D3,ROUND(BASE_D3+RATE_D3*($A1941-BOTT_D3),0),IF($A1941&gt;BOTT_D2,ROUND(BASE_D2+RATE_D2*($A1941-BOTT_D2),0),ROUND(RATE_D1*$A1941,0))))</f>
        <v/>
      </c>
    </row>
    <row r="1942" ht="15.75" customHeight="1" s="7635">
      <c r="A1942" s="625">
        <f>AVERAGE(B1942,C1942)</f>
        <v/>
      </c>
      <c r="B1942" s="555" t="n">
        <v>93900</v>
      </c>
      <c r="C1942" s="555" t="n">
        <v>93950</v>
      </c>
      <c r="D1942" s="556">
        <f>IF($A1942&gt;BOTT_A4,ROUND(BASE_A4+RATE_A4*($A1942-BOTT_A4),0),IF($A1942&gt;BOTT_A3,ROUND(BASE_A3+RATE_A3*($A1942-BOTT_A3),0),IF($A1942&gt;BOTT_A2,ROUND(BASE_A2+RATE_A2*($A1942-BOTT_A2),0),ROUND(RATE_A1*$A1942,0))))</f>
        <v/>
      </c>
      <c r="E1942" s="556">
        <f>IF($A1942&gt;BOTT_B4,ROUND(BASE_B4+RATE_B4*($A1942-BOTT_B4),0),IF($A1942&gt;BOTT_B3,ROUND(BASE_B3+RATE_B3*($A1942-BOTT_B3),0),IF($A1942&gt;BOTT_B2,ROUND(BASE_B2+RATE_B2*($A1942-BOTT_B2),0),ROUND(RATE_B1*$A1942,0))))</f>
        <v/>
      </c>
      <c r="F1942" s="556">
        <f>IF($A1942&gt;BOTT_C4,ROUND(BASE_C4+RATE_C4*($A1942-BOTT_C4),0),IF($A1942&gt;BOTT_C3,ROUND(BASE_C3+RATE_C3*($A1942-BOTT_C3),0),IF($A1942&gt;BOTT_C2,ROUND(BASE_C2+RATE_C2*($A1942-BOTT_C2),0),ROUND(RATE_C1*$A1942,0))))</f>
        <v/>
      </c>
      <c r="G1942" s="556">
        <f>IF($A1942&gt;BOTT_D4,ROUND(BASE_D4+RATE_D4*($A1942-BOTT_D4),0),IF($A1942&gt;BOTT_D3,ROUND(BASE_D3+RATE_D3*($A1942-BOTT_D3),0),IF($A1942&gt;BOTT_D2,ROUND(BASE_D2+RATE_D2*($A1942-BOTT_D2),0),ROUND(RATE_D1*$A1942,0))))</f>
        <v/>
      </c>
    </row>
    <row r="1943" ht="15.75" customHeight="1" s="7635">
      <c r="A1943" s="625">
        <f>AVERAGE(B1943,C1943)</f>
        <v/>
      </c>
      <c r="B1943" s="555" t="n">
        <v>93950</v>
      </c>
      <c r="C1943" s="555" t="n">
        <v>94000</v>
      </c>
      <c r="D1943" s="556">
        <f>IF($A1943&gt;BOTT_A4,ROUND(BASE_A4+RATE_A4*($A1943-BOTT_A4),0),IF($A1943&gt;BOTT_A3,ROUND(BASE_A3+RATE_A3*($A1943-BOTT_A3),0),IF($A1943&gt;BOTT_A2,ROUND(BASE_A2+RATE_A2*($A1943-BOTT_A2),0),ROUND(RATE_A1*$A1943,0))))</f>
        <v/>
      </c>
      <c r="E1943" s="556">
        <f>IF($A1943&gt;BOTT_B4,ROUND(BASE_B4+RATE_B4*($A1943-BOTT_B4),0),IF($A1943&gt;BOTT_B3,ROUND(BASE_B3+RATE_B3*($A1943-BOTT_B3),0),IF($A1943&gt;BOTT_B2,ROUND(BASE_B2+RATE_B2*($A1943-BOTT_B2),0),ROUND(RATE_B1*$A1943,0))))</f>
        <v/>
      </c>
      <c r="F1943" s="556">
        <f>IF($A1943&gt;BOTT_C4,ROUND(BASE_C4+RATE_C4*($A1943-BOTT_C4),0),IF($A1943&gt;BOTT_C3,ROUND(BASE_C3+RATE_C3*($A1943-BOTT_C3),0),IF($A1943&gt;BOTT_C2,ROUND(BASE_C2+RATE_C2*($A1943-BOTT_C2),0),ROUND(RATE_C1*$A1943,0))))</f>
        <v/>
      </c>
      <c r="G1943" s="556">
        <f>IF($A1943&gt;BOTT_D4,ROUND(BASE_D4+RATE_D4*($A1943-BOTT_D4),0),IF($A1943&gt;BOTT_D3,ROUND(BASE_D3+RATE_D3*($A1943-BOTT_D3),0),IF($A1943&gt;BOTT_D2,ROUND(BASE_D2+RATE_D2*($A1943-BOTT_D2),0),ROUND(RATE_D1*$A1943,0))))</f>
        <v/>
      </c>
    </row>
    <row r="1944" ht="15.75" customHeight="1" s="7635">
      <c r="A1944" s="625">
        <f>AVERAGE(B1944,C1944)</f>
        <v/>
      </c>
      <c r="B1944" s="555" t="n">
        <v>94000</v>
      </c>
      <c r="C1944" s="555" t="n">
        <v>94050</v>
      </c>
      <c r="D1944" s="556">
        <f>IF($A1944&gt;BOTT_A4,ROUND(BASE_A4+RATE_A4*($A1944-BOTT_A4),0),IF($A1944&gt;BOTT_A3,ROUND(BASE_A3+RATE_A3*($A1944-BOTT_A3),0),IF($A1944&gt;BOTT_A2,ROUND(BASE_A2+RATE_A2*($A1944-BOTT_A2),0),ROUND(RATE_A1*$A1944,0))))</f>
        <v/>
      </c>
      <c r="E1944" s="556">
        <f>IF($A1944&gt;BOTT_B4,ROUND(BASE_B4+RATE_B4*($A1944-BOTT_B4),0),IF($A1944&gt;BOTT_B3,ROUND(BASE_B3+RATE_B3*($A1944-BOTT_B3),0),IF($A1944&gt;BOTT_B2,ROUND(BASE_B2+RATE_B2*($A1944-BOTT_B2),0),ROUND(RATE_B1*$A1944,0))))</f>
        <v/>
      </c>
      <c r="F1944" s="556">
        <f>IF($A1944&gt;BOTT_C4,ROUND(BASE_C4+RATE_C4*($A1944-BOTT_C4),0),IF($A1944&gt;BOTT_C3,ROUND(BASE_C3+RATE_C3*($A1944-BOTT_C3),0),IF($A1944&gt;BOTT_C2,ROUND(BASE_C2+RATE_C2*($A1944-BOTT_C2),0),ROUND(RATE_C1*$A1944,0))))</f>
        <v/>
      </c>
      <c r="G1944" s="556">
        <f>IF($A1944&gt;BOTT_D4,ROUND(BASE_D4+RATE_D4*($A1944-BOTT_D4),0),IF($A1944&gt;BOTT_D3,ROUND(BASE_D3+RATE_D3*($A1944-BOTT_D3),0),IF($A1944&gt;BOTT_D2,ROUND(BASE_D2+RATE_D2*($A1944-BOTT_D2),0),ROUND(RATE_D1*$A1944,0))))</f>
        <v/>
      </c>
    </row>
    <row r="1945" ht="15.75" customHeight="1" s="7635">
      <c r="A1945" s="625">
        <f>AVERAGE(B1945,C1945)</f>
        <v/>
      </c>
      <c r="B1945" s="555" t="n">
        <v>94050</v>
      </c>
      <c r="C1945" s="555" t="n">
        <v>94100</v>
      </c>
      <c r="D1945" s="556">
        <f>IF($A1945&gt;BOTT_A4,ROUND(BASE_A4+RATE_A4*($A1945-BOTT_A4),0),IF($A1945&gt;BOTT_A3,ROUND(BASE_A3+RATE_A3*($A1945-BOTT_A3),0),IF($A1945&gt;BOTT_A2,ROUND(BASE_A2+RATE_A2*($A1945-BOTT_A2),0),ROUND(RATE_A1*$A1945,0))))</f>
        <v/>
      </c>
      <c r="E1945" s="556">
        <f>IF($A1945&gt;BOTT_B4,ROUND(BASE_B4+RATE_B4*($A1945-BOTT_B4),0),IF($A1945&gt;BOTT_B3,ROUND(BASE_B3+RATE_B3*($A1945-BOTT_B3),0),IF($A1945&gt;BOTT_B2,ROUND(BASE_B2+RATE_B2*($A1945-BOTT_B2),0),ROUND(RATE_B1*$A1945,0))))</f>
        <v/>
      </c>
      <c r="F1945" s="556">
        <f>IF($A1945&gt;BOTT_C4,ROUND(BASE_C4+RATE_C4*($A1945-BOTT_C4),0),IF($A1945&gt;BOTT_C3,ROUND(BASE_C3+RATE_C3*($A1945-BOTT_C3),0),IF($A1945&gt;BOTT_C2,ROUND(BASE_C2+RATE_C2*($A1945-BOTT_C2),0),ROUND(RATE_C1*$A1945,0))))</f>
        <v/>
      </c>
      <c r="G1945" s="556">
        <f>IF($A1945&gt;BOTT_D4,ROUND(BASE_D4+RATE_D4*($A1945-BOTT_D4),0),IF($A1945&gt;BOTT_D3,ROUND(BASE_D3+RATE_D3*($A1945-BOTT_D3),0),IF($A1945&gt;BOTT_D2,ROUND(BASE_D2+RATE_D2*($A1945-BOTT_D2),0),ROUND(RATE_D1*$A1945,0))))</f>
        <v/>
      </c>
    </row>
    <row r="1946" ht="15.75" customHeight="1" s="7635">
      <c r="A1946" s="625">
        <f>AVERAGE(B1946,C1946)</f>
        <v/>
      </c>
      <c r="B1946" s="555" t="n">
        <v>94100</v>
      </c>
      <c r="C1946" s="555" t="n">
        <v>94150</v>
      </c>
      <c r="D1946" s="556">
        <f>IF($A1946&gt;BOTT_A4,ROUND(BASE_A4+RATE_A4*($A1946-BOTT_A4),0),IF($A1946&gt;BOTT_A3,ROUND(BASE_A3+RATE_A3*($A1946-BOTT_A3),0),IF($A1946&gt;BOTT_A2,ROUND(BASE_A2+RATE_A2*($A1946-BOTT_A2),0),ROUND(RATE_A1*$A1946,0))))</f>
        <v/>
      </c>
      <c r="E1946" s="556">
        <f>IF($A1946&gt;BOTT_B4,ROUND(BASE_B4+RATE_B4*($A1946-BOTT_B4),0),IF($A1946&gt;BOTT_B3,ROUND(BASE_B3+RATE_B3*($A1946-BOTT_B3),0),IF($A1946&gt;BOTT_B2,ROUND(BASE_B2+RATE_B2*($A1946-BOTT_B2),0),ROUND(RATE_B1*$A1946,0))))</f>
        <v/>
      </c>
      <c r="F1946" s="556">
        <f>IF($A1946&gt;BOTT_C4,ROUND(BASE_C4+RATE_C4*($A1946-BOTT_C4),0),IF($A1946&gt;BOTT_C3,ROUND(BASE_C3+RATE_C3*($A1946-BOTT_C3),0),IF($A1946&gt;BOTT_C2,ROUND(BASE_C2+RATE_C2*($A1946-BOTT_C2),0),ROUND(RATE_C1*$A1946,0))))</f>
        <v/>
      </c>
      <c r="G1946" s="556">
        <f>IF($A1946&gt;BOTT_D4,ROUND(BASE_D4+RATE_D4*($A1946-BOTT_D4),0),IF($A1946&gt;BOTT_D3,ROUND(BASE_D3+RATE_D3*($A1946-BOTT_D3),0),IF($A1946&gt;BOTT_D2,ROUND(BASE_D2+RATE_D2*($A1946-BOTT_D2),0),ROUND(RATE_D1*$A1946,0))))</f>
        <v/>
      </c>
    </row>
    <row r="1947" ht="15.75" customHeight="1" s="7635">
      <c r="A1947" s="625">
        <f>AVERAGE(B1947,C1947)</f>
        <v/>
      </c>
      <c r="B1947" s="555" t="n">
        <v>94150</v>
      </c>
      <c r="C1947" s="555" t="n">
        <v>94200</v>
      </c>
      <c r="D1947" s="556">
        <f>IF($A1947&gt;BOTT_A4,ROUND(BASE_A4+RATE_A4*($A1947-BOTT_A4),0),IF($A1947&gt;BOTT_A3,ROUND(BASE_A3+RATE_A3*($A1947-BOTT_A3),0),IF($A1947&gt;BOTT_A2,ROUND(BASE_A2+RATE_A2*($A1947-BOTT_A2),0),ROUND(RATE_A1*$A1947,0))))</f>
        <v/>
      </c>
      <c r="E1947" s="556">
        <f>IF($A1947&gt;BOTT_B4,ROUND(BASE_B4+RATE_B4*($A1947-BOTT_B4),0),IF($A1947&gt;BOTT_B3,ROUND(BASE_B3+RATE_B3*($A1947-BOTT_B3),0),IF($A1947&gt;BOTT_B2,ROUND(BASE_B2+RATE_B2*($A1947-BOTT_B2),0),ROUND(RATE_B1*$A1947,0))))</f>
        <v/>
      </c>
      <c r="F1947" s="556">
        <f>IF($A1947&gt;BOTT_C4,ROUND(BASE_C4+RATE_C4*($A1947-BOTT_C4),0),IF($A1947&gt;BOTT_C3,ROUND(BASE_C3+RATE_C3*($A1947-BOTT_C3),0),IF($A1947&gt;BOTT_C2,ROUND(BASE_C2+RATE_C2*($A1947-BOTT_C2),0),ROUND(RATE_C1*$A1947,0))))</f>
        <v/>
      </c>
      <c r="G1947" s="556">
        <f>IF($A1947&gt;BOTT_D4,ROUND(BASE_D4+RATE_D4*($A1947-BOTT_D4),0),IF($A1947&gt;BOTT_D3,ROUND(BASE_D3+RATE_D3*($A1947-BOTT_D3),0),IF($A1947&gt;BOTT_D2,ROUND(BASE_D2+RATE_D2*($A1947-BOTT_D2),0),ROUND(RATE_D1*$A1947,0))))</f>
        <v/>
      </c>
    </row>
    <row r="1948" ht="15.75" customHeight="1" s="7635">
      <c r="A1948" s="625">
        <f>AVERAGE(B1948,C1948)</f>
        <v/>
      </c>
      <c r="B1948" s="555" t="n">
        <v>94200</v>
      </c>
      <c r="C1948" s="555" t="n">
        <v>94250</v>
      </c>
      <c r="D1948" s="556">
        <f>IF($A1948&gt;BOTT_A4,ROUND(BASE_A4+RATE_A4*($A1948-BOTT_A4),0),IF($A1948&gt;BOTT_A3,ROUND(BASE_A3+RATE_A3*($A1948-BOTT_A3),0),IF($A1948&gt;BOTT_A2,ROUND(BASE_A2+RATE_A2*($A1948-BOTT_A2),0),ROUND(RATE_A1*$A1948,0))))</f>
        <v/>
      </c>
      <c r="E1948" s="556">
        <f>IF($A1948&gt;BOTT_B4,ROUND(BASE_B4+RATE_B4*($A1948-BOTT_B4),0),IF($A1948&gt;BOTT_B3,ROUND(BASE_B3+RATE_B3*($A1948-BOTT_B3),0),IF($A1948&gt;BOTT_B2,ROUND(BASE_B2+RATE_B2*($A1948-BOTT_B2),0),ROUND(RATE_B1*$A1948,0))))</f>
        <v/>
      </c>
      <c r="F1948" s="556">
        <f>IF($A1948&gt;BOTT_C4,ROUND(BASE_C4+RATE_C4*($A1948-BOTT_C4),0),IF($A1948&gt;BOTT_C3,ROUND(BASE_C3+RATE_C3*($A1948-BOTT_C3),0),IF($A1948&gt;BOTT_C2,ROUND(BASE_C2+RATE_C2*($A1948-BOTT_C2),0),ROUND(RATE_C1*$A1948,0))))</f>
        <v/>
      </c>
      <c r="G1948" s="556">
        <f>IF($A1948&gt;BOTT_D4,ROUND(BASE_D4+RATE_D4*($A1948-BOTT_D4),0),IF($A1948&gt;BOTT_D3,ROUND(BASE_D3+RATE_D3*($A1948-BOTT_D3),0),IF($A1948&gt;BOTT_D2,ROUND(BASE_D2+RATE_D2*($A1948-BOTT_D2),0),ROUND(RATE_D1*$A1948,0))))</f>
        <v/>
      </c>
    </row>
    <row r="1949" ht="15.75" customHeight="1" s="7635">
      <c r="A1949" s="625">
        <f>AVERAGE(B1949,C1949)</f>
        <v/>
      </c>
      <c r="B1949" s="555" t="n">
        <v>94250</v>
      </c>
      <c r="C1949" s="555" t="n">
        <v>94300</v>
      </c>
      <c r="D1949" s="556">
        <f>IF($A1949&gt;BOTT_A4,ROUND(BASE_A4+RATE_A4*($A1949-BOTT_A4),0),IF($A1949&gt;BOTT_A3,ROUND(BASE_A3+RATE_A3*($A1949-BOTT_A3),0),IF($A1949&gt;BOTT_A2,ROUND(BASE_A2+RATE_A2*($A1949-BOTT_A2),0),ROUND(RATE_A1*$A1949,0))))</f>
        <v/>
      </c>
      <c r="E1949" s="556">
        <f>IF($A1949&gt;BOTT_B4,ROUND(BASE_B4+RATE_B4*($A1949-BOTT_B4),0),IF($A1949&gt;BOTT_B3,ROUND(BASE_B3+RATE_B3*($A1949-BOTT_B3),0),IF($A1949&gt;BOTT_B2,ROUND(BASE_B2+RATE_B2*($A1949-BOTT_B2),0),ROUND(RATE_B1*$A1949,0))))</f>
        <v/>
      </c>
      <c r="F1949" s="556">
        <f>IF($A1949&gt;BOTT_C4,ROUND(BASE_C4+RATE_C4*($A1949-BOTT_C4),0),IF($A1949&gt;BOTT_C3,ROUND(BASE_C3+RATE_C3*($A1949-BOTT_C3),0),IF($A1949&gt;BOTT_C2,ROUND(BASE_C2+RATE_C2*($A1949-BOTT_C2),0),ROUND(RATE_C1*$A1949,0))))</f>
        <v/>
      </c>
      <c r="G1949" s="556">
        <f>IF($A1949&gt;BOTT_D4,ROUND(BASE_D4+RATE_D4*($A1949-BOTT_D4),0),IF($A1949&gt;BOTT_D3,ROUND(BASE_D3+RATE_D3*($A1949-BOTT_D3),0),IF($A1949&gt;BOTT_D2,ROUND(BASE_D2+RATE_D2*($A1949-BOTT_D2),0),ROUND(RATE_D1*$A1949,0))))</f>
        <v/>
      </c>
    </row>
    <row r="1950" ht="15.75" customHeight="1" s="7635">
      <c r="A1950" s="625">
        <f>AVERAGE(B1950,C1950)</f>
        <v/>
      </c>
      <c r="B1950" s="555" t="n">
        <v>94300</v>
      </c>
      <c r="C1950" s="555" t="n">
        <v>94350</v>
      </c>
      <c r="D1950" s="556">
        <f>IF($A1950&gt;BOTT_A4,ROUND(BASE_A4+RATE_A4*($A1950-BOTT_A4),0),IF($A1950&gt;BOTT_A3,ROUND(BASE_A3+RATE_A3*($A1950-BOTT_A3),0),IF($A1950&gt;BOTT_A2,ROUND(BASE_A2+RATE_A2*($A1950-BOTT_A2),0),ROUND(RATE_A1*$A1950,0))))</f>
        <v/>
      </c>
      <c r="E1950" s="556">
        <f>IF($A1950&gt;BOTT_B4,ROUND(BASE_B4+RATE_B4*($A1950-BOTT_B4),0),IF($A1950&gt;BOTT_B3,ROUND(BASE_B3+RATE_B3*($A1950-BOTT_B3),0),IF($A1950&gt;BOTT_B2,ROUND(BASE_B2+RATE_B2*($A1950-BOTT_B2),0),ROUND(RATE_B1*$A1950,0))))</f>
        <v/>
      </c>
      <c r="F1950" s="556">
        <f>IF($A1950&gt;BOTT_C4,ROUND(BASE_C4+RATE_C4*($A1950-BOTT_C4),0),IF($A1950&gt;BOTT_C3,ROUND(BASE_C3+RATE_C3*($A1950-BOTT_C3),0),IF($A1950&gt;BOTT_C2,ROUND(BASE_C2+RATE_C2*($A1950-BOTT_C2),0),ROUND(RATE_C1*$A1950,0))))</f>
        <v/>
      </c>
      <c r="G1950" s="556">
        <f>IF($A1950&gt;BOTT_D4,ROUND(BASE_D4+RATE_D4*($A1950-BOTT_D4),0),IF($A1950&gt;BOTT_D3,ROUND(BASE_D3+RATE_D3*($A1950-BOTT_D3),0),IF($A1950&gt;BOTT_D2,ROUND(BASE_D2+RATE_D2*($A1950-BOTT_D2),0),ROUND(RATE_D1*$A1950,0))))</f>
        <v/>
      </c>
    </row>
    <row r="1951" ht="15.75" customHeight="1" s="7635">
      <c r="A1951" s="625">
        <f>AVERAGE(B1951,C1951)</f>
        <v/>
      </c>
      <c r="B1951" s="555" t="n">
        <v>94350</v>
      </c>
      <c r="C1951" s="555" t="n">
        <v>94400</v>
      </c>
      <c r="D1951" s="556">
        <f>IF($A1951&gt;BOTT_A4,ROUND(BASE_A4+RATE_A4*($A1951-BOTT_A4),0),IF($A1951&gt;BOTT_A3,ROUND(BASE_A3+RATE_A3*($A1951-BOTT_A3),0),IF($A1951&gt;BOTT_A2,ROUND(BASE_A2+RATE_A2*($A1951-BOTT_A2),0),ROUND(RATE_A1*$A1951,0))))</f>
        <v/>
      </c>
      <c r="E1951" s="556">
        <f>IF($A1951&gt;BOTT_B4,ROUND(BASE_B4+RATE_B4*($A1951-BOTT_B4),0),IF($A1951&gt;BOTT_B3,ROUND(BASE_B3+RATE_B3*($A1951-BOTT_B3),0),IF($A1951&gt;BOTT_B2,ROUND(BASE_B2+RATE_B2*($A1951-BOTT_B2),0),ROUND(RATE_B1*$A1951,0))))</f>
        <v/>
      </c>
      <c r="F1951" s="556">
        <f>IF($A1951&gt;BOTT_C4,ROUND(BASE_C4+RATE_C4*($A1951-BOTT_C4),0),IF($A1951&gt;BOTT_C3,ROUND(BASE_C3+RATE_C3*($A1951-BOTT_C3),0),IF($A1951&gt;BOTT_C2,ROUND(BASE_C2+RATE_C2*($A1951-BOTT_C2),0),ROUND(RATE_C1*$A1951,0))))</f>
        <v/>
      </c>
      <c r="G1951" s="556">
        <f>IF($A1951&gt;BOTT_D4,ROUND(BASE_D4+RATE_D4*($A1951-BOTT_D4),0),IF($A1951&gt;BOTT_D3,ROUND(BASE_D3+RATE_D3*($A1951-BOTT_D3),0),IF($A1951&gt;BOTT_D2,ROUND(BASE_D2+RATE_D2*($A1951-BOTT_D2),0),ROUND(RATE_D1*$A1951,0))))</f>
        <v/>
      </c>
    </row>
    <row r="1952" ht="15.75" customHeight="1" s="7635">
      <c r="A1952" s="625">
        <f>AVERAGE(B1952,C1952)</f>
        <v/>
      </c>
      <c r="B1952" s="555" t="n">
        <v>94400</v>
      </c>
      <c r="C1952" s="555" t="n">
        <v>94450</v>
      </c>
      <c r="D1952" s="556">
        <f>IF($A1952&gt;BOTT_A4,ROUND(BASE_A4+RATE_A4*($A1952-BOTT_A4),0),IF($A1952&gt;BOTT_A3,ROUND(BASE_A3+RATE_A3*($A1952-BOTT_A3),0),IF($A1952&gt;BOTT_A2,ROUND(BASE_A2+RATE_A2*($A1952-BOTT_A2),0),ROUND(RATE_A1*$A1952,0))))</f>
        <v/>
      </c>
      <c r="E1952" s="556">
        <f>IF($A1952&gt;BOTT_B4,ROUND(BASE_B4+RATE_B4*($A1952-BOTT_B4),0),IF($A1952&gt;BOTT_B3,ROUND(BASE_B3+RATE_B3*($A1952-BOTT_B3),0),IF($A1952&gt;BOTT_B2,ROUND(BASE_B2+RATE_B2*($A1952-BOTT_B2),0),ROUND(RATE_B1*$A1952,0))))</f>
        <v/>
      </c>
      <c r="F1952" s="556">
        <f>IF($A1952&gt;BOTT_C4,ROUND(BASE_C4+RATE_C4*($A1952-BOTT_C4),0),IF($A1952&gt;BOTT_C3,ROUND(BASE_C3+RATE_C3*($A1952-BOTT_C3),0),IF($A1952&gt;BOTT_C2,ROUND(BASE_C2+RATE_C2*($A1952-BOTT_C2),0),ROUND(RATE_C1*$A1952,0))))</f>
        <v/>
      </c>
      <c r="G1952" s="556">
        <f>IF($A1952&gt;BOTT_D4,ROUND(BASE_D4+RATE_D4*($A1952-BOTT_D4),0),IF($A1952&gt;BOTT_D3,ROUND(BASE_D3+RATE_D3*($A1952-BOTT_D3),0),IF($A1952&gt;BOTT_D2,ROUND(BASE_D2+RATE_D2*($A1952-BOTT_D2),0),ROUND(RATE_D1*$A1952,0))))</f>
        <v/>
      </c>
    </row>
    <row r="1953" ht="15.75" customHeight="1" s="7635">
      <c r="A1953" s="625">
        <f>AVERAGE(B1953,C1953)</f>
        <v/>
      </c>
      <c r="B1953" s="555" t="n">
        <v>94450</v>
      </c>
      <c r="C1953" s="555" t="n">
        <v>94500</v>
      </c>
      <c r="D1953" s="556">
        <f>IF($A1953&gt;BOTT_A4,ROUND(BASE_A4+RATE_A4*($A1953-BOTT_A4),0),IF($A1953&gt;BOTT_A3,ROUND(BASE_A3+RATE_A3*($A1953-BOTT_A3),0),IF($A1953&gt;BOTT_A2,ROUND(BASE_A2+RATE_A2*($A1953-BOTT_A2),0),ROUND(RATE_A1*$A1953,0))))</f>
        <v/>
      </c>
      <c r="E1953" s="556">
        <f>IF($A1953&gt;BOTT_B4,ROUND(BASE_B4+RATE_B4*($A1953-BOTT_B4),0),IF($A1953&gt;BOTT_B3,ROUND(BASE_B3+RATE_B3*($A1953-BOTT_B3),0),IF($A1953&gt;BOTT_B2,ROUND(BASE_B2+RATE_B2*($A1953-BOTT_B2),0),ROUND(RATE_B1*$A1953,0))))</f>
        <v/>
      </c>
      <c r="F1953" s="556">
        <f>IF($A1953&gt;BOTT_C4,ROUND(BASE_C4+RATE_C4*($A1953-BOTT_C4),0),IF($A1953&gt;BOTT_C3,ROUND(BASE_C3+RATE_C3*($A1953-BOTT_C3),0),IF($A1953&gt;BOTT_C2,ROUND(BASE_C2+RATE_C2*($A1953-BOTT_C2),0),ROUND(RATE_C1*$A1953,0))))</f>
        <v/>
      </c>
      <c r="G1953" s="556">
        <f>IF($A1953&gt;BOTT_D4,ROUND(BASE_D4+RATE_D4*($A1953-BOTT_D4),0),IF($A1953&gt;BOTT_D3,ROUND(BASE_D3+RATE_D3*($A1953-BOTT_D3),0),IF($A1953&gt;BOTT_D2,ROUND(BASE_D2+RATE_D2*($A1953-BOTT_D2),0),ROUND(RATE_D1*$A1953,0))))</f>
        <v/>
      </c>
    </row>
    <row r="1954" ht="15.75" customHeight="1" s="7635">
      <c r="A1954" s="625">
        <f>AVERAGE(B1954,C1954)</f>
        <v/>
      </c>
      <c r="B1954" s="555" t="n">
        <v>94500</v>
      </c>
      <c r="C1954" s="555" t="n">
        <v>94550</v>
      </c>
      <c r="D1954" s="556">
        <f>IF($A1954&gt;BOTT_A4,ROUND(BASE_A4+RATE_A4*($A1954-BOTT_A4),0),IF($A1954&gt;BOTT_A3,ROUND(BASE_A3+RATE_A3*($A1954-BOTT_A3),0),IF($A1954&gt;BOTT_A2,ROUND(BASE_A2+RATE_A2*($A1954-BOTT_A2),0),ROUND(RATE_A1*$A1954,0))))</f>
        <v/>
      </c>
      <c r="E1954" s="556">
        <f>IF($A1954&gt;BOTT_B4,ROUND(BASE_B4+RATE_B4*($A1954-BOTT_B4),0),IF($A1954&gt;BOTT_B3,ROUND(BASE_B3+RATE_B3*($A1954-BOTT_B3),0),IF($A1954&gt;BOTT_B2,ROUND(BASE_B2+RATE_B2*($A1954-BOTT_B2),0),ROUND(RATE_B1*$A1954,0))))</f>
        <v/>
      </c>
      <c r="F1954" s="556">
        <f>IF($A1954&gt;BOTT_C4,ROUND(BASE_C4+RATE_C4*($A1954-BOTT_C4),0),IF($A1954&gt;BOTT_C3,ROUND(BASE_C3+RATE_C3*($A1954-BOTT_C3),0),IF($A1954&gt;BOTT_C2,ROUND(BASE_C2+RATE_C2*($A1954-BOTT_C2),0),ROUND(RATE_C1*$A1954,0))))</f>
        <v/>
      </c>
      <c r="G1954" s="556">
        <f>IF($A1954&gt;BOTT_D4,ROUND(BASE_D4+RATE_D4*($A1954-BOTT_D4),0),IF($A1954&gt;BOTT_D3,ROUND(BASE_D3+RATE_D3*($A1954-BOTT_D3),0),IF($A1954&gt;BOTT_D2,ROUND(BASE_D2+RATE_D2*($A1954-BOTT_D2),0),ROUND(RATE_D1*$A1954,0))))</f>
        <v/>
      </c>
    </row>
    <row r="1955" ht="15.75" customHeight="1" s="7635">
      <c r="A1955" s="625">
        <f>AVERAGE(B1955,C1955)</f>
        <v/>
      </c>
      <c r="B1955" s="555" t="n">
        <v>94550</v>
      </c>
      <c r="C1955" s="555" t="n">
        <v>94600</v>
      </c>
      <c r="D1955" s="556">
        <f>IF($A1955&gt;BOTT_A4,ROUND(BASE_A4+RATE_A4*($A1955-BOTT_A4),0),IF($A1955&gt;BOTT_A3,ROUND(BASE_A3+RATE_A3*($A1955-BOTT_A3),0),IF($A1955&gt;BOTT_A2,ROUND(BASE_A2+RATE_A2*($A1955-BOTT_A2),0),ROUND(RATE_A1*$A1955,0))))</f>
        <v/>
      </c>
      <c r="E1955" s="556">
        <f>IF($A1955&gt;BOTT_B4,ROUND(BASE_B4+RATE_B4*($A1955-BOTT_B4),0),IF($A1955&gt;BOTT_B3,ROUND(BASE_B3+RATE_B3*($A1955-BOTT_B3),0),IF($A1955&gt;BOTT_B2,ROUND(BASE_B2+RATE_B2*($A1955-BOTT_B2),0),ROUND(RATE_B1*$A1955,0))))</f>
        <v/>
      </c>
      <c r="F1955" s="556">
        <f>IF($A1955&gt;BOTT_C4,ROUND(BASE_C4+RATE_C4*($A1955-BOTT_C4),0),IF($A1955&gt;BOTT_C3,ROUND(BASE_C3+RATE_C3*($A1955-BOTT_C3),0),IF($A1955&gt;BOTT_C2,ROUND(BASE_C2+RATE_C2*($A1955-BOTT_C2),0),ROUND(RATE_C1*$A1955,0))))</f>
        <v/>
      </c>
      <c r="G1955" s="556">
        <f>IF($A1955&gt;BOTT_D4,ROUND(BASE_D4+RATE_D4*($A1955-BOTT_D4),0),IF($A1955&gt;BOTT_D3,ROUND(BASE_D3+RATE_D3*($A1955-BOTT_D3),0),IF($A1955&gt;BOTT_D2,ROUND(BASE_D2+RATE_D2*($A1955-BOTT_D2),0),ROUND(RATE_D1*$A1955,0))))</f>
        <v/>
      </c>
    </row>
    <row r="1956" ht="15.75" customHeight="1" s="7635">
      <c r="A1956" s="625">
        <f>AVERAGE(B1956,C1956)</f>
        <v/>
      </c>
      <c r="B1956" s="555" t="n">
        <v>94600</v>
      </c>
      <c r="C1956" s="555" t="n">
        <v>94650</v>
      </c>
      <c r="D1956" s="556">
        <f>IF($A1956&gt;BOTT_A4,ROUND(BASE_A4+RATE_A4*($A1956-BOTT_A4),0),IF($A1956&gt;BOTT_A3,ROUND(BASE_A3+RATE_A3*($A1956-BOTT_A3),0),IF($A1956&gt;BOTT_A2,ROUND(BASE_A2+RATE_A2*($A1956-BOTT_A2),0),ROUND(RATE_A1*$A1956,0))))</f>
        <v/>
      </c>
      <c r="E1956" s="556">
        <f>IF($A1956&gt;BOTT_B4,ROUND(BASE_B4+RATE_B4*($A1956-BOTT_B4),0),IF($A1956&gt;BOTT_B3,ROUND(BASE_B3+RATE_B3*($A1956-BOTT_B3),0),IF($A1956&gt;BOTT_B2,ROUND(BASE_B2+RATE_B2*($A1956-BOTT_B2),0),ROUND(RATE_B1*$A1956,0))))</f>
        <v/>
      </c>
      <c r="F1956" s="556">
        <f>IF($A1956&gt;BOTT_C4,ROUND(BASE_C4+RATE_C4*($A1956-BOTT_C4),0),IF($A1956&gt;BOTT_C3,ROUND(BASE_C3+RATE_C3*($A1956-BOTT_C3),0),IF($A1956&gt;BOTT_C2,ROUND(BASE_C2+RATE_C2*($A1956-BOTT_C2),0),ROUND(RATE_C1*$A1956,0))))</f>
        <v/>
      </c>
      <c r="G1956" s="556">
        <f>IF($A1956&gt;BOTT_D4,ROUND(BASE_D4+RATE_D4*($A1956-BOTT_D4),0),IF($A1956&gt;BOTT_D3,ROUND(BASE_D3+RATE_D3*($A1956-BOTT_D3),0),IF($A1956&gt;BOTT_D2,ROUND(BASE_D2+RATE_D2*($A1956-BOTT_D2),0),ROUND(RATE_D1*$A1956,0))))</f>
        <v/>
      </c>
    </row>
    <row r="1957" ht="15.75" customHeight="1" s="7635">
      <c r="A1957" s="625">
        <f>AVERAGE(B1957,C1957)</f>
        <v/>
      </c>
      <c r="B1957" s="555" t="n">
        <v>94650</v>
      </c>
      <c r="C1957" s="555" t="n">
        <v>94700</v>
      </c>
      <c r="D1957" s="556">
        <f>IF($A1957&gt;BOTT_A4,ROUND(BASE_A4+RATE_A4*($A1957-BOTT_A4),0),IF($A1957&gt;BOTT_A3,ROUND(BASE_A3+RATE_A3*($A1957-BOTT_A3),0),IF($A1957&gt;BOTT_A2,ROUND(BASE_A2+RATE_A2*($A1957-BOTT_A2),0),ROUND(RATE_A1*$A1957,0))))</f>
        <v/>
      </c>
      <c r="E1957" s="556">
        <f>IF($A1957&gt;BOTT_B4,ROUND(BASE_B4+RATE_B4*($A1957-BOTT_B4),0),IF($A1957&gt;BOTT_B3,ROUND(BASE_B3+RATE_B3*($A1957-BOTT_B3),0),IF($A1957&gt;BOTT_B2,ROUND(BASE_B2+RATE_B2*($A1957-BOTT_B2),0),ROUND(RATE_B1*$A1957,0))))</f>
        <v/>
      </c>
      <c r="F1957" s="556">
        <f>IF($A1957&gt;BOTT_C4,ROUND(BASE_C4+RATE_C4*($A1957-BOTT_C4),0),IF($A1957&gt;BOTT_C3,ROUND(BASE_C3+RATE_C3*($A1957-BOTT_C3),0),IF($A1957&gt;BOTT_C2,ROUND(BASE_C2+RATE_C2*($A1957-BOTT_C2),0),ROUND(RATE_C1*$A1957,0))))</f>
        <v/>
      </c>
      <c r="G1957" s="556">
        <f>IF($A1957&gt;BOTT_D4,ROUND(BASE_D4+RATE_D4*($A1957-BOTT_D4),0),IF($A1957&gt;BOTT_D3,ROUND(BASE_D3+RATE_D3*($A1957-BOTT_D3),0),IF($A1957&gt;BOTT_D2,ROUND(BASE_D2+RATE_D2*($A1957-BOTT_D2),0),ROUND(RATE_D1*$A1957,0))))</f>
        <v/>
      </c>
    </row>
    <row r="1958" ht="15.75" customHeight="1" s="7635">
      <c r="A1958" s="625">
        <f>AVERAGE(B1958,C1958)</f>
        <v/>
      </c>
      <c r="B1958" s="555" t="n">
        <v>94700</v>
      </c>
      <c r="C1958" s="555" t="n">
        <v>94750</v>
      </c>
      <c r="D1958" s="556">
        <f>IF($A1958&gt;BOTT_A4,ROUND(BASE_A4+RATE_A4*($A1958-BOTT_A4),0),IF($A1958&gt;BOTT_A3,ROUND(BASE_A3+RATE_A3*($A1958-BOTT_A3),0),IF($A1958&gt;BOTT_A2,ROUND(BASE_A2+RATE_A2*($A1958-BOTT_A2),0),ROUND(RATE_A1*$A1958,0))))</f>
        <v/>
      </c>
      <c r="E1958" s="556">
        <f>IF($A1958&gt;BOTT_B4,ROUND(BASE_B4+RATE_B4*($A1958-BOTT_B4),0),IF($A1958&gt;BOTT_B3,ROUND(BASE_B3+RATE_B3*($A1958-BOTT_B3),0),IF($A1958&gt;BOTT_B2,ROUND(BASE_B2+RATE_B2*($A1958-BOTT_B2),0),ROUND(RATE_B1*$A1958,0))))</f>
        <v/>
      </c>
      <c r="F1958" s="556">
        <f>IF($A1958&gt;BOTT_C4,ROUND(BASE_C4+RATE_C4*($A1958-BOTT_C4),0),IF($A1958&gt;BOTT_C3,ROUND(BASE_C3+RATE_C3*($A1958-BOTT_C3),0),IF($A1958&gt;BOTT_C2,ROUND(BASE_C2+RATE_C2*($A1958-BOTT_C2),0),ROUND(RATE_C1*$A1958,0))))</f>
        <v/>
      </c>
      <c r="G1958" s="556">
        <f>IF($A1958&gt;BOTT_D4,ROUND(BASE_D4+RATE_D4*($A1958-BOTT_D4),0),IF($A1958&gt;BOTT_D3,ROUND(BASE_D3+RATE_D3*($A1958-BOTT_D3),0),IF($A1958&gt;BOTT_D2,ROUND(BASE_D2+RATE_D2*($A1958-BOTT_D2),0),ROUND(RATE_D1*$A1958,0))))</f>
        <v/>
      </c>
    </row>
    <row r="1959" ht="15.75" customHeight="1" s="7635">
      <c r="A1959" s="625">
        <f>AVERAGE(B1959,C1959)</f>
        <v/>
      </c>
      <c r="B1959" s="555" t="n">
        <v>94750</v>
      </c>
      <c r="C1959" s="555" t="n">
        <v>94800</v>
      </c>
      <c r="D1959" s="556">
        <f>IF($A1959&gt;BOTT_A4,ROUND(BASE_A4+RATE_A4*($A1959-BOTT_A4),0),IF($A1959&gt;BOTT_A3,ROUND(BASE_A3+RATE_A3*($A1959-BOTT_A3),0),IF($A1959&gt;BOTT_A2,ROUND(BASE_A2+RATE_A2*($A1959-BOTT_A2),0),ROUND(RATE_A1*$A1959,0))))</f>
        <v/>
      </c>
      <c r="E1959" s="556">
        <f>IF($A1959&gt;BOTT_B4,ROUND(BASE_B4+RATE_B4*($A1959-BOTT_B4),0),IF($A1959&gt;BOTT_B3,ROUND(BASE_B3+RATE_B3*($A1959-BOTT_B3),0),IF($A1959&gt;BOTT_B2,ROUND(BASE_B2+RATE_B2*($A1959-BOTT_B2),0),ROUND(RATE_B1*$A1959,0))))</f>
        <v/>
      </c>
      <c r="F1959" s="556">
        <f>IF($A1959&gt;BOTT_C4,ROUND(BASE_C4+RATE_C4*($A1959-BOTT_C4),0),IF($A1959&gt;BOTT_C3,ROUND(BASE_C3+RATE_C3*($A1959-BOTT_C3),0),IF($A1959&gt;BOTT_C2,ROUND(BASE_C2+RATE_C2*($A1959-BOTT_C2),0),ROUND(RATE_C1*$A1959,0))))</f>
        <v/>
      </c>
      <c r="G1959" s="556">
        <f>IF($A1959&gt;BOTT_D4,ROUND(BASE_D4+RATE_D4*($A1959-BOTT_D4),0),IF($A1959&gt;BOTT_D3,ROUND(BASE_D3+RATE_D3*($A1959-BOTT_D3),0),IF($A1959&gt;BOTT_D2,ROUND(BASE_D2+RATE_D2*($A1959-BOTT_D2),0),ROUND(RATE_D1*$A1959,0))))</f>
        <v/>
      </c>
    </row>
    <row r="1960" ht="15.75" customHeight="1" s="7635">
      <c r="A1960" s="625">
        <f>AVERAGE(B1960,C1960)</f>
        <v/>
      </c>
      <c r="B1960" s="555" t="n">
        <v>94800</v>
      </c>
      <c r="C1960" s="555" t="n">
        <v>94850</v>
      </c>
      <c r="D1960" s="556">
        <f>IF($A1960&gt;BOTT_A4,ROUND(BASE_A4+RATE_A4*($A1960-BOTT_A4),0),IF($A1960&gt;BOTT_A3,ROUND(BASE_A3+RATE_A3*($A1960-BOTT_A3),0),IF($A1960&gt;BOTT_A2,ROUND(BASE_A2+RATE_A2*($A1960-BOTT_A2),0),ROUND(RATE_A1*$A1960,0))))</f>
        <v/>
      </c>
      <c r="E1960" s="556">
        <f>IF($A1960&gt;BOTT_B4,ROUND(BASE_B4+RATE_B4*($A1960-BOTT_B4),0),IF($A1960&gt;BOTT_B3,ROUND(BASE_B3+RATE_B3*($A1960-BOTT_B3),0),IF($A1960&gt;BOTT_B2,ROUND(BASE_B2+RATE_B2*($A1960-BOTT_B2),0),ROUND(RATE_B1*$A1960,0))))</f>
        <v/>
      </c>
      <c r="F1960" s="556">
        <f>IF($A1960&gt;BOTT_C4,ROUND(BASE_C4+RATE_C4*($A1960-BOTT_C4),0),IF($A1960&gt;BOTT_C3,ROUND(BASE_C3+RATE_C3*($A1960-BOTT_C3),0),IF($A1960&gt;BOTT_C2,ROUND(BASE_C2+RATE_C2*($A1960-BOTT_C2),0),ROUND(RATE_C1*$A1960,0))))</f>
        <v/>
      </c>
      <c r="G1960" s="556">
        <f>IF($A1960&gt;BOTT_D4,ROUND(BASE_D4+RATE_D4*($A1960-BOTT_D4),0),IF($A1960&gt;BOTT_D3,ROUND(BASE_D3+RATE_D3*($A1960-BOTT_D3),0),IF($A1960&gt;BOTT_D2,ROUND(BASE_D2+RATE_D2*($A1960-BOTT_D2),0),ROUND(RATE_D1*$A1960,0))))</f>
        <v/>
      </c>
    </row>
    <row r="1961" ht="15.75" customHeight="1" s="7635">
      <c r="A1961" s="625">
        <f>AVERAGE(B1961,C1961)</f>
        <v/>
      </c>
      <c r="B1961" s="555" t="n">
        <v>94850</v>
      </c>
      <c r="C1961" s="555" t="n">
        <v>94900</v>
      </c>
      <c r="D1961" s="556">
        <f>IF($A1961&gt;BOTT_A4,ROUND(BASE_A4+RATE_A4*($A1961-BOTT_A4),0),IF($A1961&gt;BOTT_A3,ROUND(BASE_A3+RATE_A3*($A1961-BOTT_A3),0),IF($A1961&gt;BOTT_A2,ROUND(BASE_A2+RATE_A2*($A1961-BOTT_A2),0),ROUND(RATE_A1*$A1961,0))))</f>
        <v/>
      </c>
      <c r="E1961" s="556">
        <f>IF($A1961&gt;BOTT_B4,ROUND(BASE_B4+RATE_B4*($A1961-BOTT_B4),0),IF($A1961&gt;BOTT_B3,ROUND(BASE_B3+RATE_B3*($A1961-BOTT_B3),0),IF($A1961&gt;BOTT_B2,ROUND(BASE_B2+RATE_B2*($A1961-BOTT_B2),0),ROUND(RATE_B1*$A1961,0))))</f>
        <v/>
      </c>
      <c r="F1961" s="556">
        <f>IF($A1961&gt;BOTT_C4,ROUND(BASE_C4+RATE_C4*($A1961-BOTT_C4),0),IF($A1961&gt;BOTT_C3,ROUND(BASE_C3+RATE_C3*($A1961-BOTT_C3),0),IF($A1961&gt;BOTT_C2,ROUND(BASE_C2+RATE_C2*($A1961-BOTT_C2),0),ROUND(RATE_C1*$A1961,0))))</f>
        <v/>
      </c>
      <c r="G1961" s="556">
        <f>IF($A1961&gt;BOTT_D4,ROUND(BASE_D4+RATE_D4*($A1961-BOTT_D4),0),IF($A1961&gt;BOTT_D3,ROUND(BASE_D3+RATE_D3*($A1961-BOTT_D3),0),IF($A1961&gt;BOTT_D2,ROUND(BASE_D2+RATE_D2*($A1961-BOTT_D2),0),ROUND(RATE_D1*$A1961,0))))</f>
        <v/>
      </c>
    </row>
    <row r="1962" ht="15.75" customHeight="1" s="7635">
      <c r="A1962" s="625">
        <f>AVERAGE(B1962,C1962)</f>
        <v/>
      </c>
      <c r="B1962" s="555" t="n">
        <v>94900</v>
      </c>
      <c r="C1962" s="555" t="n">
        <v>94950</v>
      </c>
      <c r="D1962" s="556">
        <f>IF($A1962&gt;BOTT_A4,ROUND(BASE_A4+RATE_A4*($A1962-BOTT_A4),0),IF($A1962&gt;BOTT_A3,ROUND(BASE_A3+RATE_A3*($A1962-BOTT_A3),0),IF($A1962&gt;BOTT_A2,ROUND(BASE_A2+RATE_A2*($A1962-BOTT_A2),0),ROUND(RATE_A1*$A1962,0))))</f>
        <v/>
      </c>
      <c r="E1962" s="556">
        <f>IF($A1962&gt;BOTT_B4,ROUND(BASE_B4+RATE_B4*($A1962-BOTT_B4),0),IF($A1962&gt;BOTT_B3,ROUND(BASE_B3+RATE_B3*($A1962-BOTT_B3),0),IF($A1962&gt;BOTT_B2,ROUND(BASE_B2+RATE_B2*($A1962-BOTT_B2),0),ROUND(RATE_B1*$A1962,0))))</f>
        <v/>
      </c>
      <c r="F1962" s="556">
        <f>IF($A1962&gt;BOTT_C4,ROUND(BASE_C4+RATE_C4*($A1962-BOTT_C4),0),IF($A1962&gt;BOTT_C3,ROUND(BASE_C3+RATE_C3*($A1962-BOTT_C3),0),IF($A1962&gt;BOTT_C2,ROUND(BASE_C2+RATE_C2*($A1962-BOTT_C2),0),ROUND(RATE_C1*$A1962,0))))</f>
        <v/>
      </c>
      <c r="G1962" s="556">
        <f>IF($A1962&gt;BOTT_D4,ROUND(BASE_D4+RATE_D4*($A1962-BOTT_D4),0),IF($A1962&gt;BOTT_D3,ROUND(BASE_D3+RATE_D3*($A1962-BOTT_D3),0),IF($A1962&gt;BOTT_D2,ROUND(BASE_D2+RATE_D2*($A1962-BOTT_D2),0),ROUND(RATE_D1*$A1962,0))))</f>
        <v/>
      </c>
    </row>
    <row r="1963" ht="15.75" customHeight="1" s="7635">
      <c r="A1963" s="625">
        <f>AVERAGE(B1963,C1963)</f>
        <v/>
      </c>
      <c r="B1963" s="555" t="n">
        <v>94950</v>
      </c>
      <c r="C1963" s="555" t="n">
        <v>95000</v>
      </c>
      <c r="D1963" s="556">
        <f>IF($A1963&gt;BOTT_A4,ROUND(BASE_A4+RATE_A4*($A1963-BOTT_A4),0),IF($A1963&gt;BOTT_A3,ROUND(BASE_A3+RATE_A3*($A1963-BOTT_A3),0),IF($A1963&gt;BOTT_A2,ROUND(BASE_A2+RATE_A2*($A1963-BOTT_A2),0),ROUND(RATE_A1*$A1963,0))))</f>
        <v/>
      </c>
      <c r="E1963" s="556">
        <f>IF($A1963&gt;BOTT_B4,ROUND(BASE_B4+RATE_B4*($A1963-BOTT_B4),0),IF($A1963&gt;BOTT_B3,ROUND(BASE_B3+RATE_B3*($A1963-BOTT_B3),0),IF($A1963&gt;BOTT_B2,ROUND(BASE_B2+RATE_B2*($A1963-BOTT_B2),0),ROUND(RATE_B1*$A1963,0))))</f>
        <v/>
      </c>
      <c r="F1963" s="556">
        <f>IF($A1963&gt;BOTT_C4,ROUND(BASE_C4+RATE_C4*($A1963-BOTT_C4),0),IF($A1963&gt;BOTT_C3,ROUND(BASE_C3+RATE_C3*($A1963-BOTT_C3),0),IF($A1963&gt;BOTT_C2,ROUND(BASE_C2+RATE_C2*($A1963-BOTT_C2),0),ROUND(RATE_C1*$A1963,0))))</f>
        <v/>
      </c>
      <c r="G1963" s="556">
        <f>IF($A1963&gt;BOTT_D4,ROUND(BASE_D4+RATE_D4*($A1963-BOTT_D4),0),IF($A1963&gt;BOTT_D3,ROUND(BASE_D3+RATE_D3*($A1963-BOTT_D3),0),IF($A1963&gt;BOTT_D2,ROUND(BASE_D2+RATE_D2*($A1963-BOTT_D2),0),ROUND(RATE_D1*$A1963,0))))</f>
        <v/>
      </c>
    </row>
    <row r="1964" ht="15.75" customHeight="1" s="7635">
      <c r="A1964" s="625">
        <f>AVERAGE(B1964,C1964)</f>
        <v/>
      </c>
      <c r="B1964" s="555" t="n">
        <v>95000</v>
      </c>
      <c r="C1964" s="555" t="n">
        <v>95050</v>
      </c>
      <c r="D1964" s="556">
        <f>IF($A1964&gt;BOTT_A4,ROUND(BASE_A4+RATE_A4*($A1964-BOTT_A4),0),IF($A1964&gt;BOTT_A3,ROUND(BASE_A3+RATE_A3*($A1964-BOTT_A3),0),IF($A1964&gt;BOTT_A2,ROUND(BASE_A2+RATE_A2*($A1964-BOTT_A2),0),ROUND(RATE_A1*$A1964,0))))</f>
        <v/>
      </c>
      <c r="E1964" s="556">
        <f>IF($A1964&gt;BOTT_B4,ROUND(BASE_B4+RATE_B4*($A1964-BOTT_B4),0),IF($A1964&gt;BOTT_B3,ROUND(BASE_B3+RATE_B3*($A1964-BOTT_B3),0),IF($A1964&gt;BOTT_B2,ROUND(BASE_B2+RATE_B2*($A1964-BOTT_B2),0),ROUND(RATE_B1*$A1964,0))))</f>
        <v/>
      </c>
      <c r="F1964" s="556">
        <f>IF($A1964&gt;BOTT_C4,ROUND(BASE_C4+RATE_C4*($A1964-BOTT_C4),0),IF($A1964&gt;BOTT_C3,ROUND(BASE_C3+RATE_C3*($A1964-BOTT_C3),0),IF($A1964&gt;BOTT_C2,ROUND(BASE_C2+RATE_C2*($A1964-BOTT_C2),0),ROUND(RATE_C1*$A1964,0))))</f>
        <v/>
      </c>
      <c r="G1964" s="556">
        <f>IF($A1964&gt;BOTT_D4,ROUND(BASE_D4+RATE_D4*($A1964-BOTT_D4),0),IF($A1964&gt;BOTT_D3,ROUND(BASE_D3+RATE_D3*($A1964-BOTT_D3),0),IF($A1964&gt;BOTT_D2,ROUND(BASE_D2+RATE_D2*($A1964-BOTT_D2),0),ROUND(RATE_D1*$A1964,0))))</f>
        <v/>
      </c>
    </row>
    <row r="1965" ht="15.75" customHeight="1" s="7635">
      <c r="A1965" s="625">
        <f>AVERAGE(B1965,C1965)</f>
        <v/>
      </c>
      <c r="B1965" s="555" t="n">
        <v>95050</v>
      </c>
      <c r="C1965" s="555" t="n">
        <v>95100</v>
      </c>
      <c r="D1965" s="556">
        <f>IF($A1965&gt;BOTT_A4,ROUND(BASE_A4+RATE_A4*($A1965-BOTT_A4),0),IF($A1965&gt;BOTT_A3,ROUND(BASE_A3+RATE_A3*($A1965-BOTT_A3),0),IF($A1965&gt;BOTT_A2,ROUND(BASE_A2+RATE_A2*($A1965-BOTT_A2),0),ROUND(RATE_A1*$A1965,0))))</f>
        <v/>
      </c>
      <c r="E1965" s="556">
        <f>IF($A1965&gt;BOTT_B4,ROUND(BASE_B4+RATE_B4*($A1965-BOTT_B4),0),IF($A1965&gt;BOTT_B3,ROUND(BASE_B3+RATE_B3*($A1965-BOTT_B3),0),IF($A1965&gt;BOTT_B2,ROUND(BASE_B2+RATE_B2*($A1965-BOTT_B2),0),ROUND(RATE_B1*$A1965,0))))</f>
        <v/>
      </c>
      <c r="F1965" s="556">
        <f>IF($A1965&gt;BOTT_C4,ROUND(BASE_C4+RATE_C4*($A1965-BOTT_C4),0),IF($A1965&gt;BOTT_C3,ROUND(BASE_C3+RATE_C3*($A1965-BOTT_C3),0),IF($A1965&gt;BOTT_C2,ROUND(BASE_C2+RATE_C2*($A1965-BOTT_C2),0),ROUND(RATE_C1*$A1965,0))))</f>
        <v/>
      </c>
      <c r="G1965" s="556">
        <f>IF($A1965&gt;BOTT_D4,ROUND(BASE_D4+RATE_D4*($A1965-BOTT_D4),0),IF($A1965&gt;BOTT_D3,ROUND(BASE_D3+RATE_D3*($A1965-BOTT_D3),0),IF($A1965&gt;BOTT_D2,ROUND(BASE_D2+RATE_D2*($A1965-BOTT_D2),0),ROUND(RATE_D1*$A1965,0))))</f>
        <v/>
      </c>
    </row>
    <row r="1966" ht="15.75" customHeight="1" s="7635">
      <c r="A1966" s="625">
        <f>AVERAGE(B1966,C1966)</f>
        <v/>
      </c>
      <c r="B1966" s="555" t="n">
        <v>95100</v>
      </c>
      <c r="C1966" s="555" t="n">
        <v>95150</v>
      </c>
      <c r="D1966" s="556">
        <f>IF($A1966&gt;BOTT_A4,ROUND(BASE_A4+RATE_A4*($A1966-BOTT_A4),0),IF($A1966&gt;BOTT_A3,ROUND(BASE_A3+RATE_A3*($A1966-BOTT_A3),0),IF($A1966&gt;BOTT_A2,ROUND(BASE_A2+RATE_A2*($A1966-BOTT_A2),0),ROUND(RATE_A1*$A1966,0))))</f>
        <v/>
      </c>
      <c r="E1966" s="556">
        <f>IF($A1966&gt;BOTT_B4,ROUND(BASE_B4+RATE_B4*($A1966-BOTT_B4),0),IF($A1966&gt;BOTT_B3,ROUND(BASE_B3+RATE_B3*($A1966-BOTT_B3),0),IF($A1966&gt;BOTT_B2,ROUND(BASE_B2+RATE_B2*($A1966-BOTT_B2),0),ROUND(RATE_B1*$A1966,0))))</f>
        <v/>
      </c>
      <c r="F1966" s="556">
        <f>IF($A1966&gt;BOTT_C4,ROUND(BASE_C4+RATE_C4*($A1966-BOTT_C4),0),IF($A1966&gt;BOTT_C3,ROUND(BASE_C3+RATE_C3*($A1966-BOTT_C3),0),IF($A1966&gt;BOTT_C2,ROUND(BASE_C2+RATE_C2*($A1966-BOTT_C2),0),ROUND(RATE_C1*$A1966,0))))</f>
        <v/>
      </c>
      <c r="G1966" s="556">
        <f>IF($A1966&gt;BOTT_D4,ROUND(BASE_D4+RATE_D4*($A1966-BOTT_D4),0),IF($A1966&gt;BOTT_D3,ROUND(BASE_D3+RATE_D3*($A1966-BOTT_D3),0),IF($A1966&gt;BOTT_D2,ROUND(BASE_D2+RATE_D2*($A1966-BOTT_D2),0),ROUND(RATE_D1*$A1966,0))))</f>
        <v/>
      </c>
    </row>
    <row r="1967" ht="15.75" customHeight="1" s="7635">
      <c r="A1967" s="625">
        <f>AVERAGE(B1967,C1967)</f>
        <v/>
      </c>
      <c r="B1967" s="555" t="n">
        <v>95150</v>
      </c>
      <c r="C1967" s="555" t="n">
        <v>95200</v>
      </c>
      <c r="D1967" s="556">
        <f>IF($A1967&gt;BOTT_A4,ROUND(BASE_A4+RATE_A4*($A1967-BOTT_A4),0),IF($A1967&gt;BOTT_A3,ROUND(BASE_A3+RATE_A3*($A1967-BOTT_A3),0),IF($A1967&gt;BOTT_A2,ROUND(BASE_A2+RATE_A2*($A1967-BOTT_A2),0),ROUND(RATE_A1*$A1967,0))))</f>
        <v/>
      </c>
      <c r="E1967" s="556">
        <f>IF($A1967&gt;BOTT_B4,ROUND(BASE_B4+RATE_B4*($A1967-BOTT_B4),0),IF($A1967&gt;BOTT_B3,ROUND(BASE_B3+RATE_B3*($A1967-BOTT_B3),0),IF($A1967&gt;BOTT_B2,ROUND(BASE_B2+RATE_B2*($A1967-BOTT_B2),0),ROUND(RATE_B1*$A1967,0))))</f>
        <v/>
      </c>
      <c r="F1967" s="556">
        <f>IF($A1967&gt;BOTT_C4,ROUND(BASE_C4+RATE_C4*($A1967-BOTT_C4),0),IF($A1967&gt;BOTT_C3,ROUND(BASE_C3+RATE_C3*($A1967-BOTT_C3),0),IF($A1967&gt;BOTT_C2,ROUND(BASE_C2+RATE_C2*($A1967-BOTT_C2),0),ROUND(RATE_C1*$A1967,0))))</f>
        <v/>
      </c>
      <c r="G1967" s="556">
        <f>IF($A1967&gt;BOTT_D4,ROUND(BASE_D4+RATE_D4*($A1967-BOTT_D4),0),IF($A1967&gt;BOTT_D3,ROUND(BASE_D3+RATE_D3*($A1967-BOTT_D3),0),IF($A1967&gt;BOTT_D2,ROUND(BASE_D2+RATE_D2*($A1967-BOTT_D2),0),ROUND(RATE_D1*$A1967,0))))</f>
        <v/>
      </c>
    </row>
    <row r="1968" ht="15.75" customHeight="1" s="7635">
      <c r="A1968" s="625">
        <f>AVERAGE(B1968,C1968)</f>
        <v/>
      </c>
      <c r="B1968" s="555" t="n">
        <v>95200</v>
      </c>
      <c r="C1968" s="555" t="n">
        <v>95250</v>
      </c>
      <c r="D1968" s="556">
        <f>IF($A1968&gt;BOTT_A4,ROUND(BASE_A4+RATE_A4*($A1968-BOTT_A4),0),IF($A1968&gt;BOTT_A3,ROUND(BASE_A3+RATE_A3*($A1968-BOTT_A3),0),IF($A1968&gt;BOTT_A2,ROUND(BASE_A2+RATE_A2*($A1968-BOTT_A2),0),ROUND(RATE_A1*$A1968,0))))</f>
        <v/>
      </c>
      <c r="E1968" s="556">
        <f>IF($A1968&gt;BOTT_B4,ROUND(BASE_B4+RATE_B4*($A1968-BOTT_B4),0),IF($A1968&gt;BOTT_B3,ROUND(BASE_B3+RATE_B3*($A1968-BOTT_B3),0),IF($A1968&gt;BOTT_B2,ROUND(BASE_B2+RATE_B2*($A1968-BOTT_B2),0),ROUND(RATE_B1*$A1968,0))))</f>
        <v/>
      </c>
      <c r="F1968" s="556">
        <f>IF($A1968&gt;BOTT_C4,ROUND(BASE_C4+RATE_C4*($A1968-BOTT_C4),0),IF($A1968&gt;BOTT_C3,ROUND(BASE_C3+RATE_C3*($A1968-BOTT_C3),0),IF($A1968&gt;BOTT_C2,ROUND(BASE_C2+RATE_C2*($A1968-BOTT_C2),0),ROUND(RATE_C1*$A1968,0))))</f>
        <v/>
      </c>
      <c r="G1968" s="556">
        <f>IF($A1968&gt;BOTT_D4,ROUND(BASE_D4+RATE_D4*($A1968-BOTT_D4),0),IF($A1968&gt;BOTT_D3,ROUND(BASE_D3+RATE_D3*($A1968-BOTT_D3),0),IF($A1968&gt;BOTT_D2,ROUND(BASE_D2+RATE_D2*($A1968-BOTT_D2),0),ROUND(RATE_D1*$A1968,0))))</f>
        <v/>
      </c>
    </row>
    <row r="1969" ht="15.75" customHeight="1" s="7635">
      <c r="A1969" s="625">
        <f>AVERAGE(B1969,C1969)</f>
        <v/>
      </c>
      <c r="B1969" s="555" t="n">
        <v>95250</v>
      </c>
      <c r="C1969" s="555" t="n">
        <v>95300</v>
      </c>
      <c r="D1969" s="556">
        <f>IF($A1969&gt;BOTT_A4,ROUND(BASE_A4+RATE_A4*($A1969-BOTT_A4),0),IF($A1969&gt;BOTT_A3,ROUND(BASE_A3+RATE_A3*($A1969-BOTT_A3),0),IF($A1969&gt;BOTT_A2,ROUND(BASE_A2+RATE_A2*($A1969-BOTT_A2),0),ROUND(RATE_A1*$A1969,0))))</f>
        <v/>
      </c>
      <c r="E1969" s="556">
        <f>IF($A1969&gt;BOTT_B4,ROUND(BASE_B4+RATE_B4*($A1969-BOTT_B4),0),IF($A1969&gt;BOTT_B3,ROUND(BASE_B3+RATE_B3*($A1969-BOTT_B3),0),IF($A1969&gt;BOTT_B2,ROUND(BASE_B2+RATE_B2*($A1969-BOTT_B2),0),ROUND(RATE_B1*$A1969,0))))</f>
        <v/>
      </c>
      <c r="F1969" s="556">
        <f>IF($A1969&gt;BOTT_C4,ROUND(BASE_C4+RATE_C4*($A1969-BOTT_C4),0),IF($A1969&gt;BOTT_C3,ROUND(BASE_C3+RATE_C3*($A1969-BOTT_C3),0),IF($A1969&gt;BOTT_C2,ROUND(BASE_C2+RATE_C2*($A1969-BOTT_C2),0),ROUND(RATE_C1*$A1969,0))))</f>
        <v/>
      </c>
      <c r="G1969" s="556">
        <f>IF($A1969&gt;BOTT_D4,ROUND(BASE_D4+RATE_D4*($A1969-BOTT_D4),0),IF($A1969&gt;BOTT_D3,ROUND(BASE_D3+RATE_D3*($A1969-BOTT_D3),0),IF($A1969&gt;BOTT_D2,ROUND(BASE_D2+RATE_D2*($A1969-BOTT_D2),0),ROUND(RATE_D1*$A1969,0))))</f>
        <v/>
      </c>
    </row>
    <row r="1970" ht="15.75" customHeight="1" s="7635">
      <c r="A1970" s="625">
        <f>AVERAGE(B1970,C1970)</f>
        <v/>
      </c>
      <c r="B1970" s="555" t="n">
        <v>95300</v>
      </c>
      <c r="C1970" s="555" t="n">
        <v>95350</v>
      </c>
      <c r="D1970" s="556">
        <f>IF($A1970&gt;BOTT_A4,ROUND(BASE_A4+RATE_A4*($A1970-BOTT_A4),0),IF($A1970&gt;BOTT_A3,ROUND(BASE_A3+RATE_A3*($A1970-BOTT_A3),0),IF($A1970&gt;BOTT_A2,ROUND(BASE_A2+RATE_A2*($A1970-BOTT_A2),0),ROUND(RATE_A1*$A1970,0))))</f>
        <v/>
      </c>
      <c r="E1970" s="556">
        <f>IF($A1970&gt;BOTT_B4,ROUND(BASE_B4+RATE_B4*($A1970-BOTT_B4),0),IF($A1970&gt;BOTT_B3,ROUND(BASE_B3+RATE_B3*($A1970-BOTT_B3),0),IF($A1970&gt;BOTT_B2,ROUND(BASE_B2+RATE_B2*($A1970-BOTT_B2),0),ROUND(RATE_B1*$A1970,0))))</f>
        <v/>
      </c>
      <c r="F1970" s="556">
        <f>IF($A1970&gt;BOTT_C4,ROUND(BASE_C4+RATE_C4*($A1970-BOTT_C4),0),IF($A1970&gt;BOTT_C3,ROUND(BASE_C3+RATE_C3*($A1970-BOTT_C3),0),IF($A1970&gt;BOTT_C2,ROUND(BASE_C2+RATE_C2*($A1970-BOTT_C2),0),ROUND(RATE_C1*$A1970,0))))</f>
        <v/>
      </c>
      <c r="G1970" s="556">
        <f>IF($A1970&gt;BOTT_D4,ROUND(BASE_D4+RATE_D4*($A1970-BOTT_D4),0),IF($A1970&gt;BOTT_D3,ROUND(BASE_D3+RATE_D3*($A1970-BOTT_D3),0),IF($A1970&gt;BOTT_D2,ROUND(BASE_D2+RATE_D2*($A1970-BOTT_D2),0),ROUND(RATE_D1*$A1970,0))))</f>
        <v/>
      </c>
    </row>
    <row r="1971" ht="15.75" customHeight="1" s="7635">
      <c r="A1971" s="625">
        <f>AVERAGE(B1971,C1971)</f>
        <v/>
      </c>
      <c r="B1971" s="555" t="n">
        <v>95350</v>
      </c>
      <c r="C1971" s="555" t="n">
        <v>95400</v>
      </c>
      <c r="D1971" s="556">
        <f>IF($A1971&gt;BOTT_A4,ROUND(BASE_A4+RATE_A4*($A1971-BOTT_A4),0),IF($A1971&gt;BOTT_A3,ROUND(BASE_A3+RATE_A3*($A1971-BOTT_A3),0),IF($A1971&gt;BOTT_A2,ROUND(BASE_A2+RATE_A2*($A1971-BOTT_A2),0),ROUND(RATE_A1*$A1971,0))))</f>
        <v/>
      </c>
      <c r="E1971" s="556">
        <f>IF($A1971&gt;BOTT_B4,ROUND(BASE_B4+RATE_B4*($A1971-BOTT_B4),0),IF($A1971&gt;BOTT_B3,ROUND(BASE_B3+RATE_B3*($A1971-BOTT_B3),0),IF($A1971&gt;BOTT_B2,ROUND(BASE_B2+RATE_B2*($A1971-BOTT_B2),0),ROUND(RATE_B1*$A1971,0))))</f>
        <v/>
      </c>
      <c r="F1971" s="556">
        <f>IF($A1971&gt;BOTT_C4,ROUND(BASE_C4+RATE_C4*($A1971-BOTT_C4),0),IF($A1971&gt;BOTT_C3,ROUND(BASE_C3+RATE_C3*($A1971-BOTT_C3),0),IF($A1971&gt;BOTT_C2,ROUND(BASE_C2+RATE_C2*($A1971-BOTT_C2),0),ROUND(RATE_C1*$A1971,0))))</f>
        <v/>
      </c>
      <c r="G1971" s="556">
        <f>IF($A1971&gt;BOTT_D4,ROUND(BASE_D4+RATE_D4*($A1971-BOTT_D4),0),IF($A1971&gt;BOTT_D3,ROUND(BASE_D3+RATE_D3*($A1971-BOTT_D3),0),IF($A1971&gt;BOTT_D2,ROUND(BASE_D2+RATE_D2*($A1971-BOTT_D2),0),ROUND(RATE_D1*$A1971,0))))</f>
        <v/>
      </c>
    </row>
    <row r="1972" ht="15.75" customHeight="1" s="7635">
      <c r="A1972" s="625">
        <f>AVERAGE(B1972,C1972)</f>
        <v/>
      </c>
      <c r="B1972" s="555" t="n">
        <v>95400</v>
      </c>
      <c r="C1972" s="555" t="n">
        <v>95450</v>
      </c>
      <c r="D1972" s="556">
        <f>IF($A1972&gt;BOTT_A4,ROUND(BASE_A4+RATE_A4*($A1972-BOTT_A4),0),IF($A1972&gt;BOTT_A3,ROUND(BASE_A3+RATE_A3*($A1972-BOTT_A3),0),IF($A1972&gt;BOTT_A2,ROUND(BASE_A2+RATE_A2*($A1972-BOTT_A2),0),ROUND(RATE_A1*$A1972,0))))</f>
        <v/>
      </c>
      <c r="E1972" s="556">
        <f>IF($A1972&gt;BOTT_B4,ROUND(BASE_B4+RATE_B4*($A1972-BOTT_B4),0),IF($A1972&gt;BOTT_B3,ROUND(BASE_B3+RATE_B3*($A1972-BOTT_B3),0),IF($A1972&gt;BOTT_B2,ROUND(BASE_B2+RATE_B2*($A1972-BOTT_B2),0),ROUND(RATE_B1*$A1972,0))))</f>
        <v/>
      </c>
      <c r="F1972" s="556">
        <f>IF($A1972&gt;BOTT_C4,ROUND(BASE_C4+RATE_C4*($A1972-BOTT_C4),0),IF($A1972&gt;BOTT_C3,ROUND(BASE_C3+RATE_C3*($A1972-BOTT_C3),0),IF($A1972&gt;BOTT_C2,ROUND(BASE_C2+RATE_C2*($A1972-BOTT_C2),0),ROUND(RATE_C1*$A1972,0))))</f>
        <v/>
      </c>
      <c r="G1972" s="556">
        <f>IF($A1972&gt;BOTT_D4,ROUND(BASE_D4+RATE_D4*($A1972-BOTT_D4),0),IF($A1972&gt;BOTT_D3,ROUND(BASE_D3+RATE_D3*($A1972-BOTT_D3),0),IF($A1972&gt;BOTT_D2,ROUND(BASE_D2+RATE_D2*($A1972-BOTT_D2),0),ROUND(RATE_D1*$A1972,0))))</f>
        <v/>
      </c>
    </row>
    <row r="1973" ht="15.75" customHeight="1" s="7635">
      <c r="A1973" s="625">
        <f>AVERAGE(B1973,C1973)</f>
        <v/>
      </c>
      <c r="B1973" s="555" t="n">
        <v>95450</v>
      </c>
      <c r="C1973" s="555" t="n">
        <v>95500</v>
      </c>
      <c r="D1973" s="556">
        <f>IF($A1973&gt;BOTT_A4,ROUND(BASE_A4+RATE_A4*($A1973-BOTT_A4),0),IF($A1973&gt;BOTT_A3,ROUND(BASE_A3+RATE_A3*($A1973-BOTT_A3),0),IF($A1973&gt;BOTT_A2,ROUND(BASE_A2+RATE_A2*($A1973-BOTT_A2),0),ROUND(RATE_A1*$A1973,0))))</f>
        <v/>
      </c>
      <c r="E1973" s="556">
        <f>IF($A1973&gt;BOTT_B4,ROUND(BASE_B4+RATE_B4*($A1973-BOTT_B4),0),IF($A1973&gt;BOTT_B3,ROUND(BASE_B3+RATE_B3*($A1973-BOTT_B3),0),IF($A1973&gt;BOTT_B2,ROUND(BASE_B2+RATE_B2*($A1973-BOTT_B2),0),ROUND(RATE_B1*$A1973,0))))</f>
        <v/>
      </c>
      <c r="F1973" s="556">
        <f>IF($A1973&gt;BOTT_C4,ROUND(BASE_C4+RATE_C4*($A1973-BOTT_C4),0),IF($A1973&gt;BOTT_C3,ROUND(BASE_C3+RATE_C3*($A1973-BOTT_C3),0),IF($A1973&gt;BOTT_C2,ROUND(BASE_C2+RATE_C2*($A1973-BOTT_C2),0),ROUND(RATE_C1*$A1973,0))))</f>
        <v/>
      </c>
      <c r="G1973" s="556">
        <f>IF($A1973&gt;BOTT_D4,ROUND(BASE_D4+RATE_D4*($A1973-BOTT_D4),0),IF($A1973&gt;BOTT_D3,ROUND(BASE_D3+RATE_D3*($A1973-BOTT_D3),0),IF($A1973&gt;BOTT_D2,ROUND(BASE_D2+RATE_D2*($A1973-BOTT_D2),0),ROUND(RATE_D1*$A1973,0))))</f>
        <v/>
      </c>
    </row>
    <row r="1974" ht="15.75" customHeight="1" s="7635">
      <c r="A1974" s="625">
        <f>AVERAGE(B1974,C1974)</f>
        <v/>
      </c>
      <c r="B1974" s="555" t="n">
        <v>95500</v>
      </c>
      <c r="C1974" s="555" t="n">
        <v>95550</v>
      </c>
      <c r="D1974" s="556">
        <f>IF($A1974&gt;BOTT_A4,ROUND(BASE_A4+RATE_A4*($A1974-BOTT_A4),0),IF($A1974&gt;BOTT_A3,ROUND(BASE_A3+RATE_A3*($A1974-BOTT_A3),0),IF($A1974&gt;BOTT_A2,ROUND(BASE_A2+RATE_A2*($A1974-BOTT_A2),0),ROUND(RATE_A1*$A1974,0))))</f>
        <v/>
      </c>
      <c r="E1974" s="556">
        <f>IF($A1974&gt;BOTT_B4,ROUND(BASE_B4+RATE_B4*($A1974-BOTT_B4),0),IF($A1974&gt;BOTT_B3,ROUND(BASE_B3+RATE_B3*($A1974-BOTT_B3),0),IF($A1974&gt;BOTT_B2,ROUND(BASE_B2+RATE_B2*($A1974-BOTT_B2),0),ROUND(RATE_B1*$A1974,0))))</f>
        <v/>
      </c>
      <c r="F1974" s="556">
        <f>IF($A1974&gt;BOTT_C4,ROUND(BASE_C4+RATE_C4*($A1974-BOTT_C4),0),IF($A1974&gt;BOTT_C3,ROUND(BASE_C3+RATE_C3*($A1974-BOTT_C3),0),IF($A1974&gt;BOTT_C2,ROUND(BASE_C2+RATE_C2*($A1974-BOTT_C2),0),ROUND(RATE_C1*$A1974,0))))</f>
        <v/>
      </c>
      <c r="G1974" s="556">
        <f>IF($A1974&gt;BOTT_D4,ROUND(BASE_D4+RATE_D4*($A1974-BOTT_D4),0),IF($A1974&gt;BOTT_D3,ROUND(BASE_D3+RATE_D3*($A1974-BOTT_D3),0),IF($A1974&gt;BOTT_D2,ROUND(BASE_D2+RATE_D2*($A1974-BOTT_D2),0),ROUND(RATE_D1*$A1974,0))))</f>
        <v/>
      </c>
    </row>
    <row r="1975" ht="15.75" customHeight="1" s="7635">
      <c r="A1975" s="625">
        <f>AVERAGE(B1975,C1975)</f>
        <v/>
      </c>
      <c r="B1975" s="555" t="n">
        <v>95550</v>
      </c>
      <c r="C1975" s="555" t="n">
        <v>95600</v>
      </c>
      <c r="D1975" s="556">
        <f>IF($A1975&gt;BOTT_A4,ROUND(BASE_A4+RATE_A4*($A1975-BOTT_A4),0),IF($A1975&gt;BOTT_A3,ROUND(BASE_A3+RATE_A3*($A1975-BOTT_A3),0),IF($A1975&gt;BOTT_A2,ROUND(BASE_A2+RATE_A2*($A1975-BOTT_A2),0),ROUND(RATE_A1*$A1975,0))))</f>
        <v/>
      </c>
      <c r="E1975" s="556">
        <f>IF($A1975&gt;BOTT_B4,ROUND(BASE_B4+RATE_B4*($A1975-BOTT_B4),0),IF($A1975&gt;BOTT_B3,ROUND(BASE_B3+RATE_B3*($A1975-BOTT_B3),0),IF($A1975&gt;BOTT_B2,ROUND(BASE_B2+RATE_B2*($A1975-BOTT_B2),0),ROUND(RATE_B1*$A1975,0))))</f>
        <v/>
      </c>
      <c r="F1975" s="556">
        <f>IF($A1975&gt;BOTT_C4,ROUND(BASE_C4+RATE_C4*($A1975-BOTT_C4),0),IF($A1975&gt;BOTT_C3,ROUND(BASE_C3+RATE_C3*($A1975-BOTT_C3),0),IF($A1975&gt;BOTT_C2,ROUND(BASE_C2+RATE_C2*($A1975-BOTT_C2),0),ROUND(RATE_C1*$A1975,0))))</f>
        <v/>
      </c>
      <c r="G1975" s="556">
        <f>IF($A1975&gt;BOTT_D4,ROUND(BASE_D4+RATE_D4*($A1975-BOTT_D4),0),IF($A1975&gt;BOTT_D3,ROUND(BASE_D3+RATE_D3*($A1975-BOTT_D3),0),IF($A1975&gt;BOTT_D2,ROUND(BASE_D2+RATE_D2*($A1975-BOTT_D2),0),ROUND(RATE_D1*$A1975,0))))</f>
        <v/>
      </c>
    </row>
    <row r="1976" ht="15.75" customHeight="1" s="7635">
      <c r="A1976" s="625">
        <f>AVERAGE(B1976,C1976)</f>
        <v/>
      </c>
      <c r="B1976" s="555" t="n">
        <v>95600</v>
      </c>
      <c r="C1976" s="555" t="n">
        <v>95650</v>
      </c>
      <c r="D1976" s="556">
        <f>IF($A1976&gt;BOTT_A4,ROUND(BASE_A4+RATE_A4*($A1976-BOTT_A4),0),IF($A1976&gt;BOTT_A3,ROUND(BASE_A3+RATE_A3*($A1976-BOTT_A3),0),IF($A1976&gt;BOTT_A2,ROUND(BASE_A2+RATE_A2*($A1976-BOTT_A2),0),ROUND(RATE_A1*$A1976,0))))</f>
        <v/>
      </c>
      <c r="E1976" s="556">
        <f>IF($A1976&gt;BOTT_B4,ROUND(BASE_B4+RATE_B4*($A1976-BOTT_B4),0),IF($A1976&gt;BOTT_B3,ROUND(BASE_B3+RATE_B3*($A1976-BOTT_B3),0),IF($A1976&gt;BOTT_B2,ROUND(BASE_B2+RATE_B2*($A1976-BOTT_B2),0),ROUND(RATE_B1*$A1976,0))))</f>
        <v/>
      </c>
      <c r="F1976" s="556">
        <f>IF($A1976&gt;BOTT_C4,ROUND(BASE_C4+RATE_C4*($A1976-BOTT_C4),0),IF($A1976&gt;BOTT_C3,ROUND(BASE_C3+RATE_C3*($A1976-BOTT_C3),0),IF($A1976&gt;BOTT_C2,ROUND(BASE_C2+RATE_C2*($A1976-BOTT_C2),0),ROUND(RATE_C1*$A1976,0))))</f>
        <v/>
      </c>
      <c r="G1976" s="556">
        <f>IF($A1976&gt;BOTT_D4,ROUND(BASE_D4+RATE_D4*($A1976-BOTT_D4),0),IF($A1976&gt;BOTT_D3,ROUND(BASE_D3+RATE_D3*($A1976-BOTT_D3),0),IF($A1976&gt;BOTT_D2,ROUND(BASE_D2+RATE_D2*($A1976-BOTT_D2),0),ROUND(RATE_D1*$A1976,0))))</f>
        <v/>
      </c>
    </row>
    <row r="1977" ht="15.75" customHeight="1" s="7635">
      <c r="A1977" s="625">
        <f>AVERAGE(B1977,C1977)</f>
        <v/>
      </c>
      <c r="B1977" s="555" t="n">
        <v>95650</v>
      </c>
      <c r="C1977" s="555" t="n">
        <v>95700</v>
      </c>
      <c r="D1977" s="556">
        <f>IF($A1977&gt;BOTT_A4,ROUND(BASE_A4+RATE_A4*($A1977-BOTT_A4),0),IF($A1977&gt;BOTT_A3,ROUND(BASE_A3+RATE_A3*($A1977-BOTT_A3),0),IF($A1977&gt;BOTT_A2,ROUND(BASE_A2+RATE_A2*($A1977-BOTT_A2),0),ROUND(RATE_A1*$A1977,0))))</f>
        <v/>
      </c>
      <c r="E1977" s="556">
        <f>IF($A1977&gt;BOTT_B4,ROUND(BASE_B4+RATE_B4*($A1977-BOTT_B4),0),IF($A1977&gt;BOTT_B3,ROUND(BASE_B3+RATE_B3*($A1977-BOTT_B3),0),IF($A1977&gt;BOTT_B2,ROUND(BASE_B2+RATE_B2*($A1977-BOTT_B2),0),ROUND(RATE_B1*$A1977,0))))</f>
        <v/>
      </c>
      <c r="F1977" s="556">
        <f>IF($A1977&gt;BOTT_C4,ROUND(BASE_C4+RATE_C4*($A1977-BOTT_C4),0),IF($A1977&gt;BOTT_C3,ROUND(BASE_C3+RATE_C3*($A1977-BOTT_C3),0),IF($A1977&gt;BOTT_C2,ROUND(BASE_C2+RATE_C2*($A1977-BOTT_C2),0),ROUND(RATE_C1*$A1977,0))))</f>
        <v/>
      </c>
      <c r="G1977" s="556">
        <f>IF($A1977&gt;BOTT_D4,ROUND(BASE_D4+RATE_D4*($A1977-BOTT_D4),0),IF($A1977&gt;BOTT_D3,ROUND(BASE_D3+RATE_D3*($A1977-BOTT_D3),0),IF($A1977&gt;BOTT_D2,ROUND(BASE_D2+RATE_D2*($A1977-BOTT_D2),0),ROUND(RATE_D1*$A1977,0))))</f>
        <v/>
      </c>
    </row>
    <row r="1978" ht="15.75" customHeight="1" s="7635">
      <c r="A1978" s="625">
        <f>AVERAGE(B1978,C1978)</f>
        <v/>
      </c>
      <c r="B1978" s="555" t="n">
        <v>95700</v>
      </c>
      <c r="C1978" s="555" t="n">
        <v>95750</v>
      </c>
      <c r="D1978" s="556">
        <f>IF($A1978&gt;BOTT_A4,ROUND(BASE_A4+RATE_A4*($A1978-BOTT_A4),0),IF($A1978&gt;BOTT_A3,ROUND(BASE_A3+RATE_A3*($A1978-BOTT_A3),0),IF($A1978&gt;BOTT_A2,ROUND(BASE_A2+RATE_A2*($A1978-BOTT_A2),0),ROUND(RATE_A1*$A1978,0))))</f>
        <v/>
      </c>
      <c r="E1978" s="556">
        <f>IF($A1978&gt;BOTT_B4,ROUND(BASE_B4+RATE_B4*($A1978-BOTT_B4),0),IF($A1978&gt;BOTT_B3,ROUND(BASE_B3+RATE_B3*($A1978-BOTT_B3),0),IF($A1978&gt;BOTT_B2,ROUND(BASE_B2+RATE_B2*($A1978-BOTT_B2),0),ROUND(RATE_B1*$A1978,0))))</f>
        <v/>
      </c>
      <c r="F1978" s="556">
        <f>IF($A1978&gt;BOTT_C4,ROUND(BASE_C4+RATE_C4*($A1978-BOTT_C4),0),IF($A1978&gt;BOTT_C3,ROUND(BASE_C3+RATE_C3*($A1978-BOTT_C3),0),IF($A1978&gt;BOTT_C2,ROUND(BASE_C2+RATE_C2*($A1978-BOTT_C2),0),ROUND(RATE_C1*$A1978,0))))</f>
        <v/>
      </c>
      <c r="G1978" s="556">
        <f>IF($A1978&gt;BOTT_D4,ROUND(BASE_D4+RATE_D4*($A1978-BOTT_D4),0),IF($A1978&gt;BOTT_D3,ROUND(BASE_D3+RATE_D3*($A1978-BOTT_D3),0),IF($A1978&gt;BOTT_D2,ROUND(BASE_D2+RATE_D2*($A1978-BOTT_D2),0),ROUND(RATE_D1*$A1978,0))))</f>
        <v/>
      </c>
    </row>
    <row r="1979" ht="15.75" customHeight="1" s="7635">
      <c r="A1979" s="625">
        <f>AVERAGE(B1979,C1979)</f>
        <v/>
      </c>
      <c r="B1979" s="555" t="n">
        <v>95750</v>
      </c>
      <c r="C1979" s="555" t="n">
        <v>95800</v>
      </c>
      <c r="D1979" s="556">
        <f>IF($A1979&gt;BOTT_A4,ROUND(BASE_A4+RATE_A4*($A1979-BOTT_A4),0),IF($A1979&gt;BOTT_A3,ROUND(BASE_A3+RATE_A3*($A1979-BOTT_A3),0),IF($A1979&gt;BOTT_A2,ROUND(BASE_A2+RATE_A2*($A1979-BOTT_A2),0),ROUND(RATE_A1*$A1979,0))))</f>
        <v/>
      </c>
      <c r="E1979" s="556">
        <f>IF($A1979&gt;BOTT_B4,ROUND(BASE_B4+RATE_B4*($A1979-BOTT_B4),0),IF($A1979&gt;BOTT_B3,ROUND(BASE_B3+RATE_B3*($A1979-BOTT_B3),0),IF($A1979&gt;BOTT_B2,ROUND(BASE_B2+RATE_B2*($A1979-BOTT_B2),0),ROUND(RATE_B1*$A1979,0))))</f>
        <v/>
      </c>
      <c r="F1979" s="556">
        <f>IF($A1979&gt;BOTT_C4,ROUND(BASE_C4+RATE_C4*($A1979-BOTT_C4),0),IF($A1979&gt;BOTT_C3,ROUND(BASE_C3+RATE_C3*($A1979-BOTT_C3),0),IF($A1979&gt;BOTT_C2,ROUND(BASE_C2+RATE_C2*($A1979-BOTT_C2),0),ROUND(RATE_C1*$A1979,0))))</f>
        <v/>
      </c>
      <c r="G1979" s="556">
        <f>IF($A1979&gt;BOTT_D4,ROUND(BASE_D4+RATE_D4*($A1979-BOTT_D4),0),IF($A1979&gt;BOTT_D3,ROUND(BASE_D3+RATE_D3*($A1979-BOTT_D3),0),IF($A1979&gt;BOTT_D2,ROUND(BASE_D2+RATE_D2*($A1979-BOTT_D2),0),ROUND(RATE_D1*$A1979,0))))</f>
        <v/>
      </c>
    </row>
    <row r="1980" ht="15.75" customHeight="1" s="7635">
      <c r="A1980" s="625">
        <f>AVERAGE(B1980,C1980)</f>
        <v/>
      </c>
      <c r="B1980" s="555" t="n">
        <v>95800</v>
      </c>
      <c r="C1980" s="555" t="n">
        <v>95850</v>
      </c>
      <c r="D1980" s="556">
        <f>IF($A1980&gt;BOTT_A4,ROUND(BASE_A4+RATE_A4*($A1980-BOTT_A4),0),IF($A1980&gt;BOTT_A3,ROUND(BASE_A3+RATE_A3*($A1980-BOTT_A3),0),IF($A1980&gt;BOTT_A2,ROUND(BASE_A2+RATE_A2*($A1980-BOTT_A2),0),ROUND(RATE_A1*$A1980,0))))</f>
        <v/>
      </c>
      <c r="E1980" s="556">
        <f>IF($A1980&gt;BOTT_B4,ROUND(BASE_B4+RATE_B4*($A1980-BOTT_B4),0),IF($A1980&gt;BOTT_B3,ROUND(BASE_B3+RATE_B3*($A1980-BOTT_B3),0),IF($A1980&gt;BOTT_B2,ROUND(BASE_B2+RATE_B2*($A1980-BOTT_B2),0),ROUND(RATE_B1*$A1980,0))))</f>
        <v/>
      </c>
      <c r="F1980" s="556">
        <f>IF($A1980&gt;BOTT_C4,ROUND(BASE_C4+RATE_C4*($A1980-BOTT_C4),0),IF($A1980&gt;BOTT_C3,ROUND(BASE_C3+RATE_C3*($A1980-BOTT_C3),0),IF($A1980&gt;BOTT_C2,ROUND(BASE_C2+RATE_C2*($A1980-BOTT_C2),0),ROUND(RATE_C1*$A1980,0))))</f>
        <v/>
      </c>
      <c r="G1980" s="556">
        <f>IF($A1980&gt;BOTT_D4,ROUND(BASE_D4+RATE_D4*($A1980-BOTT_D4),0),IF($A1980&gt;BOTT_D3,ROUND(BASE_D3+RATE_D3*($A1980-BOTT_D3),0),IF($A1980&gt;BOTT_D2,ROUND(BASE_D2+RATE_D2*($A1980-BOTT_D2),0),ROUND(RATE_D1*$A1980,0))))</f>
        <v/>
      </c>
    </row>
    <row r="1981" ht="15.75" customHeight="1" s="7635">
      <c r="A1981" s="625">
        <f>AVERAGE(B1981,C1981)</f>
        <v/>
      </c>
      <c r="B1981" s="555" t="n">
        <v>95850</v>
      </c>
      <c r="C1981" s="555" t="n">
        <v>95900</v>
      </c>
      <c r="D1981" s="556">
        <f>IF($A1981&gt;BOTT_A4,ROUND(BASE_A4+RATE_A4*($A1981-BOTT_A4),0),IF($A1981&gt;BOTT_A3,ROUND(BASE_A3+RATE_A3*($A1981-BOTT_A3),0),IF($A1981&gt;BOTT_A2,ROUND(BASE_A2+RATE_A2*($A1981-BOTT_A2),0),ROUND(RATE_A1*$A1981,0))))</f>
        <v/>
      </c>
      <c r="E1981" s="556">
        <f>IF($A1981&gt;BOTT_B4,ROUND(BASE_B4+RATE_B4*($A1981-BOTT_B4),0),IF($A1981&gt;BOTT_B3,ROUND(BASE_B3+RATE_B3*($A1981-BOTT_B3),0),IF($A1981&gt;BOTT_B2,ROUND(BASE_B2+RATE_B2*($A1981-BOTT_B2),0),ROUND(RATE_B1*$A1981,0))))</f>
        <v/>
      </c>
      <c r="F1981" s="556">
        <f>IF($A1981&gt;BOTT_C4,ROUND(BASE_C4+RATE_C4*($A1981-BOTT_C4),0),IF($A1981&gt;BOTT_C3,ROUND(BASE_C3+RATE_C3*($A1981-BOTT_C3),0),IF($A1981&gt;BOTT_C2,ROUND(BASE_C2+RATE_C2*($A1981-BOTT_C2),0),ROUND(RATE_C1*$A1981,0))))</f>
        <v/>
      </c>
      <c r="G1981" s="556">
        <f>IF($A1981&gt;BOTT_D4,ROUND(BASE_D4+RATE_D4*($A1981-BOTT_D4),0),IF($A1981&gt;BOTT_D3,ROUND(BASE_D3+RATE_D3*($A1981-BOTT_D3),0),IF($A1981&gt;BOTT_D2,ROUND(BASE_D2+RATE_D2*($A1981-BOTT_D2),0),ROUND(RATE_D1*$A1981,0))))</f>
        <v/>
      </c>
    </row>
    <row r="1982" ht="15.75" customHeight="1" s="7635">
      <c r="A1982" s="625">
        <f>AVERAGE(B1982,C1982)</f>
        <v/>
      </c>
      <c r="B1982" s="555" t="n">
        <v>95900</v>
      </c>
      <c r="C1982" s="555" t="n">
        <v>95950</v>
      </c>
      <c r="D1982" s="556">
        <f>IF($A1982&gt;BOTT_A4,ROUND(BASE_A4+RATE_A4*($A1982-BOTT_A4),0),IF($A1982&gt;BOTT_A3,ROUND(BASE_A3+RATE_A3*($A1982-BOTT_A3),0),IF($A1982&gt;BOTT_A2,ROUND(BASE_A2+RATE_A2*($A1982-BOTT_A2),0),ROUND(RATE_A1*$A1982,0))))</f>
        <v/>
      </c>
      <c r="E1982" s="556">
        <f>IF($A1982&gt;BOTT_B4,ROUND(BASE_B4+RATE_B4*($A1982-BOTT_B4),0),IF($A1982&gt;BOTT_B3,ROUND(BASE_B3+RATE_B3*($A1982-BOTT_B3),0),IF($A1982&gt;BOTT_B2,ROUND(BASE_B2+RATE_B2*($A1982-BOTT_B2),0),ROUND(RATE_B1*$A1982,0))))</f>
        <v/>
      </c>
      <c r="F1982" s="556">
        <f>IF($A1982&gt;BOTT_C4,ROUND(BASE_C4+RATE_C4*($A1982-BOTT_C4),0),IF($A1982&gt;BOTT_C3,ROUND(BASE_C3+RATE_C3*($A1982-BOTT_C3),0),IF($A1982&gt;BOTT_C2,ROUND(BASE_C2+RATE_C2*($A1982-BOTT_C2),0),ROUND(RATE_C1*$A1982,0))))</f>
        <v/>
      </c>
      <c r="G1982" s="556">
        <f>IF($A1982&gt;BOTT_D4,ROUND(BASE_D4+RATE_D4*($A1982-BOTT_D4),0),IF($A1982&gt;BOTT_D3,ROUND(BASE_D3+RATE_D3*($A1982-BOTT_D3),0),IF($A1982&gt;BOTT_D2,ROUND(BASE_D2+RATE_D2*($A1982-BOTT_D2),0),ROUND(RATE_D1*$A1982,0))))</f>
        <v/>
      </c>
    </row>
    <row r="1983" ht="15.75" customHeight="1" s="7635">
      <c r="A1983" s="625">
        <f>AVERAGE(B1983,C1983)</f>
        <v/>
      </c>
      <c r="B1983" s="555" t="n">
        <v>95950</v>
      </c>
      <c r="C1983" s="555" t="n">
        <v>96000</v>
      </c>
      <c r="D1983" s="556">
        <f>IF($A1983&gt;BOTT_A4,ROUND(BASE_A4+RATE_A4*($A1983-BOTT_A4),0),IF($A1983&gt;BOTT_A3,ROUND(BASE_A3+RATE_A3*($A1983-BOTT_A3),0),IF($A1983&gt;BOTT_A2,ROUND(BASE_A2+RATE_A2*($A1983-BOTT_A2),0),ROUND(RATE_A1*$A1983,0))))</f>
        <v/>
      </c>
      <c r="E1983" s="556">
        <f>IF($A1983&gt;BOTT_B4,ROUND(BASE_B4+RATE_B4*($A1983-BOTT_B4),0),IF($A1983&gt;BOTT_B3,ROUND(BASE_B3+RATE_B3*($A1983-BOTT_B3),0),IF($A1983&gt;BOTT_B2,ROUND(BASE_B2+RATE_B2*($A1983-BOTT_B2),0),ROUND(RATE_B1*$A1983,0))))</f>
        <v/>
      </c>
      <c r="F1983" s="556">
        <f>IF($A1983&gt;BOTT_C4,ROUND(BASE_C4+RATE_C4*($A1983-BOTT_C4),0),IF($A1983&gt;BOTT_C3,ROUND(BASE_C3+RATE_C3*($A1983-BOTT_C3),0),IF($A1983&gt;BOTT_C2,ROUND(BASE_C2+RATE_C2*($A1983-BOTT_C2),0),ROUND(RATE_C1*$A1983,0))))</f>
        <v/>
      </c>
      <c r="G1983" s="556">
        <f>IF($A1983&gt;BOTT_D4,ROUND(BASE_D4+RATE_D4*($A1983-BOTT_D4),0),IF($A1983&gt;BOTT_D3,ROUND(BASE_D3+RATE_D3*($A1983-BOTT_D3),0),IF($A1983&gt;BOTT_D2,ROUND(BASE_D2+RATE_D2*($A1983-BOTT_D2),0),ROUND(RATE_D1*$A1983,0))))</f>
        <v/>
      </c>
    </row>
    <row r="1984" ht="15.75" customHeight="1" s="7635">
      <c r="A1984" s="625">
        <f>AVERAGE(B1984,C1984)</f>
        <v/>
      </c>
      <c r="B1984" s="555" t="n">
        <v>96000</v>
      </c>
      <c r="C1984" s="555" t="n">
        <v>96050</v>
      </c>
      <c r="D1984" s="556">
        <f>IF($A1984&gt;BOTT_A4,ROUND(BASE_A4+RATE_A4*($A1984-BOTT_A4),0),IF($A1984&gt;BOTT_A3,ROUND(BASE_A3+RATE_A3*($A1984-BOTT_A3),0),IF($A1984&gt;BOTT_A2,ROUND(BASE_A2+RATE_A2*($A1984-BOTT_A2),0),ROUND(RATE_A1*$A1984,0))))</f>
        <v/>
      </c>
      <c r="E1984" s="556">
        <f>IF($A1984&gt;BOTT_B4,ROUND(BASE_B4+RATE_B4*($A1984-BOTT_B4),0),IF($A1984&gt;BOTT_B3,ROUND(BASE_B3+RATE_B3*($A1984-BOTT_B3),0),IF($A1984&gt;BOTT_B2,ROUND(BASE_B2+RATE_B2*($A1984-BOTT_B2),0),ROUND(RATE_B1*$A1984,0))))</f>
        <v/>
      </c>
      <c r="F1984" s="556">
        <f>IF($A1984&gt;BOTT_C4,ROUND(BASE_C4+RATE_C4*($A1984-BOTT_C4),0),IF($A1984&gt;BOTT_C3,ROUND(BASE_C3+RATE_C3*($A1984-BOTT_C3),0),IF($A1984&gt;BOTT_C2,ROUND(BASE_C2+RATE_C2*($A1984-BOTT_C2),0),ROUND(RATE_C1*$A1984,0))))</f>
        <v/>
      </c>
      <c r="G1984" s="556">
        <f>IF($A1984&gt;BOTT_D4,ROUND(BASE_D4+RATE_D4*($A1984-BOTT_D4),0),IF($A1984&gt;BOTT_D3,ROUND(BASE_D3+RATE_D3*($A1984-BOTT_D3),0),IF($A1984&gt;BOTT_D2,ROUND(BASE_D2+RATE_D2*($A1984-BOTT_D2),0),ROUND(RATE_D1*$A1984,0))))</f>
        <v/>
      </c>
    </row>
    <row r="1985" ht="15.75" customHeight="1" s="7635">
      <c r="A1985" s="625">
        <f>AVERAGE(B1985,C1985)</f>
        <v/>
      </c>
      <c r="B1985" s="555" t="n">
        <v>96050</v>
      </c>
      <c r="C1985" s="555" t="n">
        <v>96100</v>
      </c>
      <c r="D1985" s="556">
        <f>IF($A1985&gt;BOTT_A4,ROUND(BASE_A4+RATE_A4*($A1985-BOTT_A4),0),IF($A1985&gt;BOTT_A3,ROUND(BASE_A3+RATE_A3*($A1985-BOTT_A3),0),IF($A1985&gt;BOTT_A2,ROUND(BASE_A2+RATE_A2*($A1985-BOTT_A2),0),ROUND(RATE_A1*$A1985,0))))</f>
        <v/>
      </c>
      <c r="E1985" s="556">
        <f>IF($A1985&gt;BOTT_B4,ROUND(BASE_B4+RATE_B4*($A1985-BOTT_B4),0),IF($A1985&gt;BOTT_B3,ROUND(BASE_B3+RATE_B3*($A1985-BOTT_B3),0),IF($A1985&gt;BOTT_B2,ROUND(BASE_B2+RATE_B2*($A1985-BOTT_B2),0),ROUND(RATE_B1*$A1985,0))))</f>
        <v/>
      </c>
      <c r="F1985" s="556">
        <f>IF($A1985&gt;BOTT_C4,ROUND(BASE_C4+RATE_C4*($A1985-BOTT_C4),0),IF($A1985&gt;BOTT_C3,ROUND(BASE_C3+RATE_C3*($A1985-BOTT_C3),0),IF($A1985&gt;BOTT_C2,ROUND(BASE_C2+RATE_C2*($A1985-BOTT_C2),0),ROUND(RATE_C1*$A1985,0))))</f>
        <v/>
      </c>
      <c r="G1985" s="556">
        <f>IF($A1985&gt;BOTT_D4,ROUND(BASE_D4+RATE_D4*($A1985-BOTT_D4),0),IF($A1985&gt;BOTT_D3,ROUND(BASE_D3+RATE_D3*($A1985-BOTT_D3),0),IF($A1985&gt;BOTT_D2,ROUND(BASE_D2+RATE_D2*($A1985-BOTT_D2),0),ROUND(RATE_D1*$A1985,0))))</f>
        <v/>
      </c>
    </row>
    <row r="1986" ht="15.75" customHeight="1" s="7635">
      <c r="A1986" s="625">
        <f>AVERAGE(B1986,C1986)</f>
        <v/>
      </c>
      <c r="B1986" s="555" t="n">
        <v>96100</v>
      </c>
      <c r="C1986" s="555" t="n">
        <v>96150</v>
      </c>
      <c r="D1986" s="556">
        <f>IF($A1986&gt;BOTT_A4,ROUND(BASE_A4+RATE_A4*($A1986-BOTT_A4),0),IF($A1986&gt;BOTT_A3,ROUND(BASE_A3+RATE_A3*($A1986-BOTT_A3),0),IF($A1986&gt;BOTT_A2,ROUND(BASE_A2+RATE_A2*($A1986-BOTT_A2),0),ROUND(RATE_A1*$A1986,0))))</f>
        <v/>
      </c>
      <c r="E1986" s="556">
        <f>IF($A1986&gt;BOTT_B4,ROUND(BASE_B4+RATE_B4*($A1986-BOTT_B4),0),IF($A1986&gt;BOTT_B3,ROUND(BASE_B3+RATE_B3*($A1986-BOTT_B3),0),IF($A1986&gt;BOTT_B2,ROUND(BASE_B2+RATE_B2*($A1986-BOTT_B2),0),ROUND(RATE_B1*$A1986,0))))</f>
        <v/>
      </c>
      <c r="F1986" s="556">
        <f>IF($A1986&gt;BOTT_C4,ROUND(BASE_C4+RATE_C4*($A1986-BOTT_C4),0),IF($A1986&gt;BOTT_C3,ROUND(BASE_C3+RATE_C3*($A1986-BOTT_C3),0),IF($A1986&gt;BOTT_C2,ROUND(BASE_C2+RATE_C2*($A1986-BOTT_C2),0),ROUND(RATE_C1*$A1986,0))))</f>
        <v/>
      </c>
      <c r="G1986" s="556">
        <f>IF($A1986&gt;BOTT_D4,ROUND(BASE_D4+RATE_D4*($A1986-BOTT_D4),0),IF($A1986&gt;BOTT_D3,ROUND(BASE_D3+RATE_D3*($A1986-BOTT_D3),0),IF($A1986&gt;BOTT_D2,ROUND(BASE_D2+RATE_D2*($A1986-BOTT_D2),0),ROUND(RATE_D1*$A1986,0))))</f>
        <v/>
      </c>
    </row>
    <row r="1987" ht="15.75" customHeight="1" s="7635">
      <c r="A1987" s="625">
        <f>AVERAGE(B1987,C1987)</f>
        <v/>
      </c>
      <c r="B1987" s="555" t="n">
        <v>96150</v>
      </c>
      <c r="C1987" s="555" t="n">
        <v>96200</v>
      </c>
      <c r="D1987" s="556">
        <f>IF($A1987&gt;BOTT_A4,ROUND(BASE_A4+RATE_A4*($A1987-BOTT_A4),0),IF($A1987&gt;BOTT_A3,ROUND(BASE_A3+RATE_A3*($A1987-BOTT_A3),0),IF($A1987&gt;BOTT_A2,ROUND(BASE_A2+RATE_A2*($A1987-BOTT_A2),0),ROUND(RATE_A1*$A1987,0))))</f>
        <v/>
      </c>
      <c r="E1987" s="556">
        <f>IF($A1987&gt;BOTT_B4,ROUND(BASE_B4+RATE_B4*($A1987-BOTT_B4),0),IF($A1987&gt;BOTT_B3,ROUND(BASE_B3+RATE_B3*($A1987-BOTT_B3),0),IF($A1987&gt;BOTT_B2,ROUND(BASE_B2+RATE_B2*($A1987-BOTT_B2),0),ROUND(RATE_B1*$A1987,0))))</f>
        <v/>
      </c>
      <c r="F1987" s="556">
        <f>IF($A1987&gt;BOTT_C4,ROUND(BASE_C4+RATE_C4*($A1987-BOTT_C4),0),IF($A1987&gt;BOTT_C3,ROUND(BASE_C3+RATE_C3*($A1987-BOTT_C3),0),IF($A1987&gt;BOTT_C2,ROUND(BASE_C2+RATE_C2*($A1987-BOTT_C2),0),ROUND(RATE_C1*$A1987,0))))</f>
        <v/>
      </c>
      <c r="G1987" s="556">
        <f>IF($A1987&gt;BOTT_D4,ROUND(BASE_D4+RATE_D4*($A1987-BOTT_D4),0),IF($A1987&gt;BOTT_D3,ROUND(BASE_D3+RATE_D3*($A1987-BOTT_D3),0),IF($A1987&gt;BOTT_D2,ROUND(BASE_D2+RATE_D2*($A1987-BOTT_D2),0),ROUND(RATE_D1*$A1987,0))))</f>
        <v/>
      </c>
    </row>
    <row r="1988" ht="15.75" customHeight="1" s="7635">
      <c r="A1988" s="625">
        <f>AVERAGE(B1988,C1988)</f>
        <v/>
      </c>
      <c r="B1988" s="555" t="n">
        <v>96200</v>
      </c>
      <c r="C1988" s="555" t="n">
        <v>96250</v>
      </c>
      <c r="D1988" s="556">
        <f>IF($A1988&gt;BOTT_A4,ROUND(BASE_A4+RATE_A4*($A1988-BOTT_A4),0),IF($A1988&gt;BOTT_A3,ROUND(BASE_A3+RATE_A3*($A1988-BOTT_A3),0),IF($A1988&gt;BOTT_A2,ROUND(BASE_A2+RATE_A2*($A1988-BOTT_A2),0),ROUND(RATE_A1*$A1988,0))))</f>
        <v/>
      </c>
      <c r="E1988" s="556">
        <f>IF($A1988&gt;BOTT_B4,ROUND(BASE_B4+RATE_B4*($A1988-BOTT_B4),0),IF($A1988&gt;BOTT_B3,ROUND(BASE_B3+RATE_B3*($A1988-BOTT_B3),0),IF($A1988&gt;BOTT_B2,ROUND(BASE_B2+RATE_B2*($A1988-BOTT_B2),0),ROUND(RATE_B1*$A1988,0))))</f>
        <v/>
      </c>
      <c r="F1988" s="556">
        <f>IF($A1988&gt;BOTT_C4,ROUND(BASE_C4+RATE_C4*($A1988-BOTT_C4),0),IF($A1988&gt;BOTT_C3,ROUND(BASE_C3+RATE_C3*($A1988-BOTT_C3),0),IF($A1988&gt;BOTT_C2,ROUND(BASE_C2+RATE_C2*($A1988-BOTT_C2),0),ROUND(RATE_C1*$A1988,0))))</f>
        <v/>
      </c>
      <c r="G1988" s="556">
        <f>IF($A1988&gt;BOTT_D4,ROUND(BASE_D4+RATE_D4*($A1988-BOTT_D4),0),IF($A1988&gt;BOTT_D3,ROUND(BASE_D3+RATE_D3*($A1988-BOTT_D3),0),IF($A1988&gt;BOTT_D2,ROUND(BASE_D2+RATE_D2*($A1988-BOTT_D2),0),ROUND(RATE_D1*$A1988,0))))</f>
        <v/>
      </c>
    </row>
    <row r="1989" ht="15.75" customHeight="1" s="7635">
      <c r="A1989" s="625">
        <f>AVERAGE(B1989,C1989)</f>
        <v/>
      </c>
      <c r="B1989" s="555" t="n">
        <v>96250</v>
      </c>
      <c r="C1989" s="555" t="n">
        <v>96300</v>
      </c>
      <c r="D1989" s="556">
        <f>IF($A1989&gt;BOTT_A4,ROUND(BASE_A4+RATE_A4*($A1989-BOTT_A4),0),IF($A1989&gt;BOTT_A3,ROUND(BASE_A3+RATE_A3*($A1989-BOTT_A3),0),IF($A1989&gt;BOTT_A2,ROUND(BASE_A2+RATE_A2*($A1989-BOTT_A2),0),ROUND(RATE_A1*$A1989,0))))</f>
        <v/>
      </c>
      <c r="E1989" s="556">
        <f>IF($A1989&gt;BOTT_B4,ROUND(BASE_B4+RATE_B4*($A1989-BOTT_B4),0),IF($A1989&gt;BOTT_B3,ROUND(BASE_B3+RATE_B3*($A1989-BOTT_B3),0),IF($A1989&gt;BOTT_B2,ROUND(BASE_B2+RATE_B2*($A1989-BOTT_B2),0),ROUND(RATE_B1*$A1989,0))))</f>
        <v/>
      </c>
      <c r="F1989" s="556">
        <f>IF($A1989&gt;BOTT_C4,ROUND(BASE_C4+RATE_C4*($A1989-BOTT_C4),0),IF($A1989&gt;BOTT_C3,ROUND(BASE_C3+RATE_C3*($A1989-BOTT_C3),0),IF($A1989&gt;BOTT_C2,ROUND(BASE_C2+RATE_C2*($A1989-BOTT_C2),0),ROUND(RATE_C1*$A1989,0))))</f>
        <v/>
      </c>
      <c r="G1989" s="556">
        <f>IF($A1989&gt;BOTT_D4,ROUND(BASE_D4+RATE_D4*($A1989-BOTT_D4),0),IF($A1989&gt;BOTT_D3,ROUND(BASE_D3+RATE_D3*($A1989-BOTT_D3),0),IF($A1989&gt;BOTT_D2,ROUND(BASE_D2+RATE_D2*($A1989-BOTT_D2),0),ROUND(RATE_D1*$A1989,0))))</f>
        <v/>
      </c>
    </row>
    <row r="1990" ht="15.75" customHeight="1" s="7635">
      <c r="A1990" s="625">
        <f>AVERAGE(B1990,C1990)</f>
        <v/>
      </c>
      <c r="B1990" s="555" t="n">
        <v>96300</v>
      </c>
      <c r="C1990" s="555" t="n">
        <v>96350</v>
      </c>
      <c r="D1990" s="556">
        <f>IF($A1990&gt;BOTT_A4,ROUND(BASE_A4+RATE_A4*($A1990-BOTT_A4),0),IF($A1990&gt;BOTT_A3,ROUND(BASE_A3+RATE_A3*($A1990-BOTT_A3),0),IF($A1990&gt;BOTT_A2,ROUND(BASE_A2+RATE_A2*($A1990-BOTT_A2),0),ROUND(RATE_A1*$A1990,0))))</f>
        <v/>
      </c>
      <c r="E1990" s="556">
        <f>IF($A1990&gt;BOTT_B4,ROUND(BASE_B4+RATE_B4*($A1990-BOTT_B4),0),IF($A1990&gt;BOTT_B3,ROUND(BASE_B3+RATE_B3*($A1990-BOTT_B3),0),IF($A1990&gt;BOTT_B2,ROUND(BASE_B2+RATE_B2*($A1990-BOTT_B2),0),ROUND(RATE_B1*$A1990,0))))</f>
        <v/>
      </c>
      <c r="F1990" s="556">
        <f>IF($A1990&gt;BOTT_C4,ROUND(BASE_C4+RATE_C4*($A1990-BOTT_C4),0),IF($A1990&gt;BOTT_C3,ROUND(BASE_C3+RATE_C3*($A1990-BOTT_C3),0),IF($A1990&gt;BOTT_C2,ROUND(BASE_C2+RATE_C2*($A1990-BOTT_C2),0),ROUND(RATE_C1*$A1990,0))))</f>
        <v/>
      </c>
      <c r="G1990" s="556">
        <f>IF($A1990&gt;BOTT_D4,ROUND(BASE_D4+RATE_D4*($A1990-BOTT_D4),0),IF($A1990&gt;BOTT_D3,ROUND(BASE_D3+RATE_D3*($A1990-BOTT_D3),0),IF($A1990&gt;BOTT_D2,ROUND(BASE_D2+RATE_D2*($A1990-BOTT_D2),0),ROUND(RATE_D1*$A1990,0))))</f>
        <v/>
      </c>
    </row>
    <row r="1991" ht="15.75" customHeight="1" s="7635">
      <c r="A1991" s="625">
        <f>AVERAGE(B1991,C1991)</f>
        <v/>
      </c>
      <c r="B1991" s="555" t="n">
        <v>96350</v>
      </c>
      <c r="C1991" s="555" t="n">
        <v>96400</v>
      </c>
      <c r="D1991" s="556">
        <f>IF($A1991&gt;BOTT_A4,ROUND(BASE_A4+RATE_A4*($A1991-BOTT_A4),0),IF($A1991&gt;BOTT_A3,ROUND(BASE_A3+RATE_A3*($A1991-BOTT_A3),0),IF($A1991&gt;BOTT_A2,ROUND(BASE_A2+RATE_A2*($A1991-BOTT_A2),0),ROUND(RATE_A1*$A1991,0))))</f>
        <v/>
      </c>
      <c r="E1991" s="556">
        <f>IF($A1991&gt;BOTT_B4,ROUND(BASE_B4+RATE_B4*($A1991-BOTT_B4),0),IF($A1991&gt;BOTT_B3,ROUND(BASE_B3+RATE_B3*($A1991-BOTT_B3),0),IF($A1991&gt;BOTT_B2,ROUND(BASE_B2+RATE_B2*($A1991-BOTT_B2),0),ROUND(RATE_B1*$A1991,0))))</f>
        <v/>
      </c>
      <c r="F1991" s="556">
        <f>IF($A1991&gt;BOTT_C4,ROUND(BASE_C4+RATE_C4*($A1991-BOTT_C4),0),IF($A1991&gt;BOTT_C3,ROUND(BASE_C3+RATE_C3*($A1991-BOTT_C3),0),IF($A1991&gt;BOTT_C2,ROUND(BASE_C2+RATE_C2*($A1991-BOTT_C2),0),ROUND(RATE_C1*$A1991,0))))</f>
        <v/>
      </c>
      <c r="G1991" s="556">
        <f>IF($A1991&gt;BOTT_D4,ROUND(BASE_D4+RATE_D4*($A1991-BOTT_D4),0),IF($A1991&gt;BOTT_D3,ROUND(BASE_D3+RATE_D3*($A1991-BOTT_D3),0),IF($A1991&gt;BOTT_D2,ROUND(BASE_D2+RATE_D2*($A1991-BOTT_D2),0),ROUND(RATE_D1*$A1991,0))))</f>
        <v/>
      </c>
    </row>
    <row r="1992" ht="15.75" customHeight="1" s="7635">
      <c r="A1992" s="625">
        <f>AVERAGE(B1992,C1992)</f>
        <v/>
      </c>
      <c r="B1992" s="555" t="n">
        <v>96400</v>
      </c>
      <c r="C1992" s="555" t="n">
        <v>96450</v>
      </c>
      <c r="D1992" s="556">
        <f>IF($A1992&gt;BOTT_A4,ROUND(BASE_A4+RATE_A4*($A1992-BOTT_A4),0),IF($A1992&gt;BOTT_A3,ROUND(BASE_A3+RATE_A3*($A1992-BOTT_A3),0),IF($A1992&gt;BOTT_A2,ROUND(BASE_A2+RATE_A2*($A1992-BOTT_A2),0),ROUND(RATE_A1*$A1992,0))))</f>
        <v/>
      </c>
      <c r="E1992" s="556">
        <f>IF($A1992&gt;BOTT_B4,ROUND(BASE_B4+RATE_B4*($A1992-BOTT_B4),0),IF($A1992&gt;BOTT_B3,ROUND(BASE_B3+RATE_B3*($A1992-BOTT_B3),0),IF($A1992&gt;BOTT_B2,ROUND(BASE_B2+RATE_B2*($A1992-BOTT_B2),0),ROUND(RATE_B1*$A1992,0))))</f>
        <v/>
      </c>
      <c r="F1992" s="556">
        <f>IF($A1992&gt;BOTT_C4,ROUND(BASE_C4+RATE_C4*($A1992-BOTT_C4),0),IF($A1992&gt;BOTT_C3,ROUND(BASE_C3+RATE_C3*($A1992-BOTT_C3),0),IF($A1992&gt;BOTT_C2,ROUND(BASE_C2+RATE_C2*($A1992-BOTT_C2),0),ROUND(RATE_C1*$A1992,0))))</f>
        <v/>
      </c>
      <c r="G1992" s="556">
        <f>IF($A1992&gt;BOTT_D4,ROUND(BASE_D4+RATE_D4*($A1992-BOTT_D4),0),IF($A1992&gt;BOTT_D3,ROUND(BASE_D3+RATE_D3*($A1992-BOTT_D3),0),IF($A1992&gt;BOTT_D2,ROUND(BASE_D2+RATE_D2*($A1992-BOTT_D2),0),ROUND(RATE_D1*$A1992,0))))</f>
        <v/>
      </c>
    </row>
    <row r="1993" ht="15.75" customHeight="1" s="7635">
      <c r="A1993" s="625">
        <f>AVERAGE(B1993,C1993)</f>
        <v/>
      </c>
      <c r="B1993" s="555" t="n">
        <v>96450</v>
      </c>
      <c r="C1993" s="555" t="n">
        <v>96500</v>
      </c>
      <c r="D1993" s="556">
        <f>IF($A1993&gt;BOTT_A4,ROUND(BASE_A4+RATE_A4*($A1993-BOTT_A4),0),IF($A1993&gt;BOTT_A3,ROUND(BASE_A3+RATE_A3*($A1993-BOTT_A3),0),IF($A1993&gt;BOTT_A2,ROUND(BASE_A2+RATE_A2*($A1993-BOTT_A2),0),ROUND(RATE_A1*$A1993,0))))</f>
        <v/>
      </c>
      <c r="E1993" s="556">
        <f>IF($A1993&gt;BOTT_B4,ROUND(BASE_B4+RATE_B4*($A1993-BOTT_B4),0),IF($A1993&gt;BOTT_B3,ROUND(BASE_B3+RATE_B3*($A1993-BOTT_B3),0),IF($A1993&gt;BOTT_B2,ROUND(BASE_B2+RATE_B2*($A1993-BOTT_B2),0),ROUND(RATE_B1*$A1993,0))))</f>
        <v/>
      </c>
      <c r="F1993" s="556">
        <f>IF($A1993&gt;BOTT_C4,ROUND(BASE_C4+RATE_C4*($A1993-BOTT_C4),0),IF($A1993&gt;BOTT_C3,ROUND(BASE_C3+RATE_C3*($A1993-BOTT_C3),0),IF($A1993&gt;BOTT_C2,ROUND(BASE_C2+RATE_C2*($A1993-BOTT_C2),0),ROUND(RATE_C1*$A1993,0))))</f>
        <v/>
      </c>
      <c r="G1993" s="556">
        <f>IF($A1993&gt;BOTT_D4,ROUND(BASE_D4+RATE_D4*($A1993-BOTT_D4),0),IF($A1993&gt;BOTT_D3,ROUND(BASE_D3+RATE_D3*($A1993-BOTT_D3),0),IF($A1993&gt;BOTT_D2,ROUND(BASE_D2+RATE_D2*($A1993-BOTT_D2),0),ROUND(RATE_D1*$A1993,0))))</f>
        <v/>
      </c>
    </row>
    <row r="1994" ht="15.75" customHeight="1" s="7635">
      <c r="A1994" s="625">
        <f>AVERAGE(B1994,C1994)</f>
        <v/>
      </c>
      <c r="B1994" s="555" t="n">
        <v>96500</v>
      </c>
      <c r="C1994" s="555" t="n">
        <v>96550</v>
      </c>
      <c r="D1994" s="556">
        <f>IF($A1994&gt;BOTT_A4,ROUND(BASE_A4+RATE_A4*($A1994-BOTT_A4),0),IF($A1994&gt;BOTT_A3,ROUND(BASE_A3+RATE_A3*($A1994-BOTT_A3),0),IF($A1994&gt;BOTT_A2,ROUND(BASE_A2+RATE_A2*($A1994-BOTT_A2),0),ROUND(RATE_A1*$A1994,0))))</f>
        <v/>
      </c>
      <c r="E1994" s="556">
        <f>IF($A1994&gt;BOTT_B4,ROUND(BASE_B4+RATE_B4*($A1994-BOTT_B4),0),IF($A1994&gt;BOTT_B3,ROUND(BASE_B3+RATE_B3*($A1994-BOTT_B3),0),IF($A1994&gt;BOTT_B2,ROUND(BASE_B2+RATE_B2*($A1994-BOTT_B2),0),ROUND(RATE_B1*$A1994,0))))</f>
        <v/>
      </c>
      <c r="F1994" s="556">
        <f>IF($A1994&gt;BOTT_C4,ROUND(BASE_C4+RATE_C4*($A1994-BOTT_C4),0),IF($A1994&gt;BOTT_C3,ROUND(BASE_C3+RATE_C3*($A1994-BOTT_C3),0),IF($A1994&gt;BOTT_C2,ROUND(BASE_C2+RATE_C2*($A1994-BOTT_C2),0),ROUND(RATE_C1*$A1994,0))))</f>
        <v/>
      </c>
      <c r="G1994" s="556">
        <f>IF($A1994&gt;BOTT_D4,ROUND(BASE_D4+RATE_D4*($A1994-BOTT_D4),0),IF($A1994&gt;BOTT_D3,ROUND(BASE_D3+RATE_D3*($A1994-BOTT_D3),0),IF($A1994&gt;BOTT_D2,ROUND(BASE_D2+RATE_D2*($A1994-BOTT_D2),0),ROUND(RATE_D1*$A1994,0))))</f>
        <v/>
      </c>
    </row>
    <row r="1995" ht="15.75" customHeight="1" s="7635">
      <c r="A1995" s="625">
        <f>AVERAGE(B1995,C1995)</f>
        <v/>
      </c>
      <c r="B1995" s="555" t="n">
        <v>96550</v>
      </c>
      <c r="C1995" s="555" t="n">
        <v>96600</v>
      </c>
      <c r="D1995" s="556">
        <f>IF($A1995&gt;BOTT_A4,ROUND(BASE_A4+RATE_A4*($A1995-BOTT_A4),0),IF($A1995&gt;BOTT_A3,ROUND(BASE_A3+RATE_A3*($A1995-BOTT_A3),0),IF($A1995&gt;BOTT_A2,ROUND(BASE_A2+RATE_A2*($A1995-BOTT_A2),0),ROUND(RATE_A1*$A1995,0))))</f>
        <v/>
      </c>
      <c r="E1995" s="556">
        <f>IF($A1995&gt;BOTT_B4,ROUND(BASE_B4+RATE_B4*($A1995-BOTT_B4),0),IF($A1995&gt;BOTT_B3,ROUND(BASE_B3+RATE_B3*($A1995-BOTT_B3),0),IF($A1995&gt;BOTT_B2,ROUND(BASE_B2+RATE_B2*($A1995-BOTT_B2),0),ROUND(RATE_B1*$A1995,0))))</f>
        <v/>
      </c>
      <c r="F1995" s="556">
        <f>IF($A1995&gt;BOTT_C4,ROUND(BASE_C4+RATE_C4*($A1995-BOTT_C4),0),IF($A1995&gt;BOTT_C3,ROUND(BASE_C3+RATE_C3*($A1995-BOTT_C3),0),IF($A1995&gt;BOTT_C2,ROUND(BASE_C2+RATE_C2*($A1995-BOTT_C2),0),ROUND(RATE_C1*$A1995,0))))</f>
        <v/>
      </c>
      <c r="G1995" s="556">
        <f>IF($A1995&gt;BOTT_D4,ROUND(BASE_D4+RATE_D4*($A1995-BOTT_D4),0),IF($A1995&gt;BOTT_D3,ROUND(BASE_D3+RATE_D3*($A1995-BOTT_D3),0),IF($A1995&gt;BOTT_D2,ROUND(BASE_D2+RATE_D2*($A1995-BOTT_D2),0),ROUND(RATE_D1*$A1995,0))))</f>
        <v/>
      </c>
    </row>
    <row r="1996" ht="15.75" customHeight="1" s="7635">
      <c r="A1996" s="625">
        <f>AVERAGE(B1996,C1996)</f>
        <v/>
      </c>
      <c r="B1996" s="555" t="n">
        <v>96600</v>
      </c>
      <c r="C1996" s="555" t="n">
        <v>96650</v>
      </c>
      <c r="D1996" s="556">
        <f>IF($A1996&gt;BOTT_A4,ROUND(BASE_A4+RATE_A4*($A1996-BOTT_A4),0),IF($A1996&gt;BOTT_A3,ROUND(BASE_A3+RATE_A3*($A1996-BOTT_A3),0),IF($A1996&gt;BOTT_A2,ROUND(BASE_A2+RATE_A2*($A1996-BOTT_A2),0),ROUND(RATE_A1*$A1996,0))))</f>
        <v/>
      </c>
      <c r="E1996" s="556">
        <f>IF($A1996&gt;BOTT_B4,ROUND(BASE_B4+RATE_B4*($A1996-BOTT_B4),0),IF($A1996&gt;BOTT_B3,ROUND(BASE_B3+RATE_B3*($A1996-BOTT_B3),0),IF($A1996&gt;BOTT_B2,ROUND(BASE_B2+RATE_B2*($A1996-BOTT_B2),0),ROUND(RATE_B1*$A1996,0))))</f>
        <v/>
      </c>
      <c r="F1996" s="556">
        <f>IF($A1996&gt;BOTT_C4,ROUND(BASE_C4+RATE_C4*($A1996-BOTT_C4),0),IF($A1996&gt;BOTT_C3,ROUND(BASE_C3+RATE_C3*($A1996-BOTT_C3),0),IF($A1996&gt;BOTT_C2,ROUND(BASE_C2+RATE_C2*($A1996-BOTT_C2),0),ROUND(RATE_C1*$A1996,0))))</f>
        <v/>
      </c>
      <c r="G1996" s="556">
        <f>IF($A1996&gt;BOTT_D4,ROUND(BASE_D4+RATE_D4*($A1996-BOTT_D4),0),IF($A1996&gt;BOTT_D3,ROUND(BASE_D3+RATE_D3*($A1996-BOTT_D3),0),IF($A1996&gt;BOTT_D2,ROUND(BASE_D2+RATE_D2*($A1996-BOTT_D2),0),ROUND(RATE_D1*$A1996,0))))</f>
        <v/>
      </c>
    </row>
    <row r="1997" ht="15.75" customHeight="1" s="7635">
      <c r="A1997" s="625">
        <f>AVERAGE(B1997,C1997)</f>
        <v/>
      </c>
      <c r="B1997" s="555" t="n">
        <v>96650</v>
      </c>
      <c r="C1997" s="555" t="n">
        <v>96700</v>
      </c>
      <c r="D1997" s="556">
        <f>IF($A1997&gt;BOTT_A4,ROUND(BASE_A4+RATE_A4*($A1997-BOTT_A4),0),IF($A1997&gt;BOTT_A3,ROUND(BASE_A3+RATE_A3*($A1997-BOTT_A3),0),IF($A1997&gt;BOTT_A2,ROUND(BASE_A2+RATE_A2*($A1997-BOTT_A2),0),ROUND(RATE_A1*$A1997,0))))</f>
        <v/>
      </c>
      <c r="E1997" s="556">
        <f>IF($A1997&gt;BOTT_B4,ROUND(BASE_B4+RATE_B4*($A1997-BOTT_B4),0),IF($A1997&gt;BOTT_B3,ROUND(BASE_B3+RATE_B3*($A1997-BOTT_B3),0),IF($A1997&gt;BOTT_B2,ROUND(BASE_B2+RATE_B2*($A1997-BOTT_B2),0),ROUND(RATE_B1*$A1997,0))))</f>
        <v/>
      </c>
      <c r="F1997" s="556">
        <f>IF($A1997&gt;BOTT_C4,ROUND(BASE_C4+RATE_C4*($A1997-BOTT_C4),0),IF($A1997&gt;BOTT_C3,ROUND(BASE_C3+RATE_C3*($A1997-BOTT_C3),0),IF($A1997&gt;BOTT_C2,ROUND(BASE_C2+RATE_C2*($A1997-BOTT_C2),0),ROUND(RATE_C1*$A1997,0))))</f>
        <v/>
      </c>
      <c r="G1997" s="556">
        <f>IF($A1997&gt;BOTT_D4,ROUND(BASE_D4+RATE_D4*($A1997-BOTT_D4),0),IF($A1997&gt;BOTT_D3,ROUND(BASE_D3+RATE_D3*($A1997-BOTT_D3),0),IF($A1997&gt;BOTT_D2,ROUND(BASE_D2+RATE_D2*($A1997-BOTT_D2),0),ROUND(RATE_D1*$A1997,0))))</f>
        <v/>
      </c>
    </row>
    <row r="1998" ht="15.75" customHeight="1" s="7635">
      <c r="A1998" s="625">
        <f>AVERAGE(B1998,C1998)</f>
        <v/>
      </c>
      <c r="B1998" s="555" t="n">
        <v>96700</v>
      </c>
      <c r="C1998" s="555" t="n">
        <v>96750</v>
      </c>
      <c r="D1998" s="556">
        <f>IF($A1998&gt;BOTT_A4,ROUND(BASE_A4+RATE_A4*($A1998-BOTT_A4),0),IF($A1998&gt;BOTT_A3,ROUND(BASE_A3+RATE_A3*($A1998-BOTT_A3),0),IF($A1998&gt;BOTT_A2,ROUND(BASE_A2+RATE_A2*($A1998-BOTT_A2),0),ROUND(RATE_A1*$A1998,0))))</f>
        <v/>
      </c>
      <c r="E1998" s="556">
        <f>IF($A1998&gt;BOTT_B4,ROUND(BASE_B4+RATE_B4*($A1998-BOTT_B4),0),IF($A1998&gt;BOTT_B3,ROUND(BASE_B3+RATE_B3*($A1998-BOTT_B3),0),IF($A1998&gt;BOTT_B2,ROUND(BASE_B2+RATE_B2*($A1998-BOTT_B2),0),ROUND(RATE_B1*$A1998,0))))</f>
        <v/>
      </c>
      <c r="F1998" s="556">
        <f>IF($A1998&gt;BOTT_C4,ROUND(BASE_C4+RATE_C4*($A1998-BOTT_C4),0),IF($A1998&gt;BOTT_C3,ROUND(BASE_C3+RATE_C3*($A1998-BOTT_C3),0),IF($A1998&gt;BOTT_C2,ROUND(BASE_C2+RATE_C2*($A1998-BOTT_C2),0),ROUND(RATE_C1*$A1998,0))))</f>
        <v/>
      </c>
      <c r="G1998" s="556">
        <f>IF($A1998&gt;BOTT_D4,ROUND(BASE_D4+RATE_D4*($A1998-BOTT_D4),0),IF($A1998&gt;BOTT_D3,ROUND(BASE_D3+RATE_D3*($A1998-BOTT_D3),0),IF($A1998&gt;BOTT_D2,ROUND(BASE_D2+RATE_D2*($A1998-BOTT_D2),0),ROUND(RATE_D1*$A1998,0))))</f>
        <v/>
      </c>
    </row>
    <row r="1999" ht="15.75" customHeight="1" s="7635">
      <c r="A1999" s="625">
        <f>AVERAGE(B1999,C1999)</f>
        <v/>
      </c>
      <c r="B1999" s="555" t="n">
        <v>96750</v>
      </c>
      <c r="C1999" s="555" t="n">
        <v>96800</v>
      </c>
      <c r="D1999" s="556">
        <f>IF($A1999&gt;BOTT_A4,ROUND(BASE_A4+RATE_A4*($A1999-BOTT_A4),0),IF($A1999&gt;BOTT_A3,ROUND(BASE_A3+RATE_A3*($A1999-BOTT_A3),0),IF($A1999&gt;BOTT_A2,ROUND(BASE_A2+RATE_A2*($A1999-BOTT_A2),0),ROUND(RATE_A1*$A1999,0))))</f>
        <v/>
      </c>
      <c r="E1999" s="556">
        <f>IF($A1999&gt;BOTT_B4,ROUND(BASE_B4+RATE_B4*($A1999-BOTT_B4),0),IF($A1999&gt;BOTT_B3,ROUND(BASE_B3+RATE_B3*($A1999-BOTT_B3),0),IF($A1999&gt;BOTT_B2,ROUND(BASE_B2+RATE_B2*($A1999-BOTT_B2),0),ROUND(RATE_B1*$A1999,0))))</f>
        <v/>
      </c>
      <c r="F1999" s="556">
        <f>IF($A1999&gt;BOTT_C4,ROUND(BASE_C4+RATE_C4*($A1999-BOTT_C4),0),IF($A1999&gt;BOTT_C3,ROUND(BASE_C3+RATE_C3*($A1999-BOTT_C3),0),IF($A1999&gt;BOTT_C2,ROUND(BASE_C2+RATE_C2*($A1999-BOTT_C2),0),ROUND(RATE_C1*$A1999,0))))</f>
        <v/>
      </c>
      <c r="G1999" s="556">
        <f>IF($A1999&gt;BOTT_D4,ROUND(BASE_D4+RATE_D4*($A1999-BOTT_D4),0),IF($A1999&gt;BOTT_D3,ROUND(BASE_D3+RATE_D3*($A1999-BOTT_D3),0),IF($A1999&gt;BOTT_D2,ROUND(BASE_D2+RATE_D2*($A1999-BOTT_D2),0),ROUND(RATE_D1*$A1999,0))))</f>
        <v/>
      </c>
    </row>
    <row r="2000" ht="15.75" customHeight="1" s="7635">
      <c r="A2000" s="625">
        <f>AVERAGE(B2000,C2000)</f>
        <v/>
      </c>
      <c r="B2000" s="555" t="n">
        <v>96800</v>
      </c>
      <c r="C2000" s="555" t="n">
        <v>96850</v>
      </c>
      <c r="D2000" s="556">
        <f>IF($A2000&gt;BOTT_A4,ROUND(BASE_A4+RATE_A4*($A2000-BOTT_A4),0),IF($A2000&gt;BOTT_A3,ROUND(BASE_A3+RATE_A3*($A2000-BOTT_A3),0),IF($A2000&gt;BOTT_A2,ROUND(BASE_A2+RATE_A2*($A2000-BOTT_A2),0),ROUND(RATE_A1*$A2000,0))))</f>
        <v/>
      </c>
      <c r="E2000" s="556">
        <f>IF($A2000&gt;BOTT_B4,ROUND(BASE_B4+RATE_B4*($A2000-BOTT_B4),0),IF($A2000&gt;BOTT_B3,ROUND(BASE_B3+RATE_B3*($A2000-BOTT_B3),0),IF($A2000&gt;BOTT_B2,ROUND(BASE_B2+RATE_B2*($A2000-BOTT_B2),0),ROUND(RATE_B1*$A2000,0))))</f>
        <v/>
      </c>
      <c r="F2000" s="556">
        <f>IF($A2000&gt;BOTT_C4,ROUND(BASE_C4+RATE_C4*($A2000-BOTT_C4),0),IF($A2000&gt;BOTT_C3,ROUND(BASE_C3+RATE_C3*($A2000-BOTT_C3),0),IF($A2000&gt;BOTT_C2,ROUND(BASE_C2+RATE_C2*($A2000-BOTT_C2),0),ROUND(RATE_C1*$A2000,0))))</f>
        <v/>
      </c>
      <c r="G2000" s="556">
        <f>IF($A2000&gt;BOTT_D4,ROUND(BASE_D4+RATE_D4*($A2000-BOTT_D4),0),IF($A2000&gt;BOTT_D3,ROUND(BASE_D3+RATE_D3*($A2000-BOTT_D3),0),IF($A2000&gt;BOTT_D2,ROUND(BASE_D2+RATE_D2*($A2000-BOTT_D2),0),ROUND(RATE_D1*$A2000,0))))</f>
        <v/>
      </c>
    </row>
    <row r="2001" ht="15.75" customHeight="1" s="7635">
      <c r="A2001" s="625">
        <f>AVERAGE(B2001,C2001)</f>
        <v/>
      </c>
      <c r="B2001" s="555" t="n">
        <v>96850</v>
      </c>
      <c r="C2001" s="555" t="n">
        <v>96900</v>
      </c>
      <c r="D2001" s="556">
        <f>IF($A2001&gt;BOTT_A4,ROUND(BASE_A4+RATE_A4*($A2001-BOTT_A4),0),IF($A2001&gt;BOTT_A3,ROUND(BASE_A3+RATE_A3*($A2001-BOTT_A3),0),IF($A2001&gt;BOTT_A2,ROUND(BASE_A2+RATE_A2*($A2001-BOTT_A2),0),ROUND(RATE_A1*$A2001,0))))</f>
        <v/>
      </c>
      <c r="E2001" s="556">
        <f>IF($A2001&gt;BOTT_B4,ROUND(BASE_B4+RATE_B4*($A2001-BOTT_B4),0),IF($A2001&gt;BOTT_B3,ROUND(BASE_B3+RATE_B3*($A2001-BOTT_B3),0),IF($A2001&gt;BOTT_B2,ROUND(BASE_B2+RATE_B2*($A2001-BOTT_B2),0),ROUND(RATE_B1*$A2001,0))))</f>
        <v/>
      </c>
      <c r="F2001" s="556">
        <f>IF($A2001&gt;BOTT_C4,ROUND(BASE_C4+RATE_C4*($A2001-BOTT_C4),0),IF($A2001&gt;BOTT_C3,ROUND(BASE_C3+RATE_C3*($A2001-BOTT_C3),0),IF($A2001&gt;BOTT_C2,ROUND(BASE_C2+RATE_C2*($A2001-BOTT_C2),0),ROUND(RATE_C1*$A2001,0))))</f>
        <v/>
      </c>
      <c r="G2001" s="556">
        <f>IF($A2001&gt;BOTT_D4,ROUND(BASE_D4+RATE_D4*($A2001-BOTT_D4),0),IF($A2001&gt;BOTT_D3,ROUND(BASE_D3+RATE_D3*($A2001-BOTT_D3),0),IF($A2001&gt;BOTT_D2,ROUND(BASE_D2+RATE_D2*($A2001-BOTT_D2),0),ROUND(RATE_D1*$A2001,0))))</f>
        <v/>
      </c>
    </row>
    <row r="2002" ht="15.75" customHeight="1" s="7635">
      <c r="A2002" s="625">
        <f>AVERAGE(B2002,C2002)</f>
        <v/>
      </c>
      <c r="B2002" s="555" t="n">
        <v>96900</v>
      </c>
      <c r="C2002" s="555" t="n">
        <v>96950</v>
      </c>
      <c r="D2002" s="556">
        <f>IF($A2002&gt;BOTT_A4,ROUND(BASE_A4+RATE_A4*($A2002-BOTT_A4),0),IF($A2002&gt;BOTT_A3,ROUND(BASE_A3+RATE_A3*($A2002-BOTT_A3),0),IF($A2002&gt;BOTT_A2,ROUND(BASE_A2+RATE_A2*($A2002-BOTT_A2),0),ROUND(RATE_A1*$A2002,0))))</f>
        <v/>
      </c>
      <c r="E2002" s="556">
        <f>IF($A2002&gt;BOTT_B4,ROUND(BASE_B4+RATE_B4*($A2002-BOTT_B4),0),IF($A2002&gt;BOTT_B3,ROUND(BASE_B3+RATE_B3*($A2002-BOTT_B3),0),IF($A2002&gt;BOTT_B2,ROUND(BASE_B2+RATE_B2*($A2002-BOTT_B2),0),ROUND(RATE_B1*$A2002,0))))</f>
        <v/>
      </c>
      <c r="F2002" s="556">
        <f>IF($A2002&gt;BOTT_C4,ROUND(BASE_C4+RATE_C4*($A2002-BOTT_C4),0),IF($A2002&gt;BOTT_C3,ROUND(BASE_C3+RATE_C3*($A2002-BOTT_C3),0),IF($A2002&gt;BOTT_C2,ROUND(BASE_C2+RATE_C2*($A2002-BOTT_C2),0),ROUND(RATE_C1*$A2002,0))))</f>
        <v/>
      </c>
      <c r="G2002" s="556">
        <f>IF($A2002&gt;BOTT_D4,ROUND(BASE_D4+RATE_D4*($A2002-BOTT_D4),0),IF($A2002&gt;BOTT_D3,ROUND(BASE_D3+RATE_D3*($A2002-BOTT_D3),0),IF($A2002&gt;BOTT_D2,ROUND(BASE_D2+RATE_D2*($A2002-BOTT_D2),0),ROUND(RATE_D1*$A2002,0))))</f>
        <v/>
      </c>
    </row>
    <row r="2003" ht="15.75" customHeight="1" s="7635">
      <c r="A2003" s="625">
        <f>AVERAGE(B2003,C2003)</f>
        <v/>
      </c>
      <c r="B2003" s="555" t="n">
        <v>96950</v>
      </c>
      <c r="C2003" s="555" t="n">
        <v>97000</v>
      </c>
      <c r="D2003" s="556">
        <f>IF($A2003&gt;BOTT_A4,ROUND(BASE_A4+RATE_A4*($A2003-BOTT_A4),0),IF($A2003&gt;BOTT_A3,ROUND(BASE_A3+RATE_A3*($A2003-BOTT_A3),0),IF($A2003&gt;BOTT_A2,ROUND(BASE_A2+RATE_A2*($A2003-BOTT_A2),0),ROUND(RATE_A1*$A2003,0))))</f>
        <v/>
      </c>
      <c r="E2003" s="556">
        <f>IF($A2003&gt;BOTT_B4,ROUND(BASE_B4+RATE_B4*($A2003-BOTT_B4),0),IF($A2003&gt;BOTT_B3,ROUND(BASE_B3+RATE_B3*($A2003-BOTT_B3),0),IF($A2003&gt;BOTT_B2,ROUND(BASE_B2+RATE_B2*($A2003-BOTT_B2),0),ROUND(RATE_B1*$A2003,0))))</f>
        <v/>
      </c>
      <c r="F2003" s="556">
        <f>IF($A2003&gt;BOTT_C4,ROUND(BASE_C4+RATE_C4*($A2003-BOTT_C4),0),IF($A2003&gt;BOTT_C3,ROUND(BASE_C3+RATE_C3*($A2003-BOTT_C3),0),IF($A2003&gt;BOTT_C2,ROUND(BASE_C2+RATE_C2*($A2003-BOTT_C2),0),ROUND(RATE_C1*$A2003,0))))</f>
        <v/>
      </c>
      <c r="G2003" s="556">
        <f>IF($A2003&gt;BOTT_D4,ROUND(BASE_D4+RATE_D4*($A2003-BOTT_D4),0),IF($A2003&gt;BOTT_D3,ROUND(BASE_D3+RATE_D3*($A2003-BOTT_D3),0),IF($A2003&gt;BOTT_D2,ROUND(BASE_D2+RATE_D2*($A2003-BOTT_D2),0),ROUND(RATE_D1*$A2003,0))))</f>
        <v/>
      </c>
    </row>
    <row r="2004" ht="15.75" customHeight="1" s="7635">
      <c r="A2004" s="625">
        <f>AVERAGE(B2004,C2004)</f>
        <v/>
      </c>
      <c r="B2004" s="555" t="n">
        <v>97000</v>
      </c>
      <c r="C2004" s="555" t="n">
        <v>97050</v>
      </c>
      <c r="D2004" s="556">
        <f>IF($A2004&gt;BOTT_A4,ROUND(BASE_A4+RATE_A4*($A2004-BOTT_A4),0),IF($A2004&gt;BOTT_A3,ROUND(BASE_A3+RATE_A3*($A2004-BOTT_A3),0),IF($A2004&gt;BOTT_A2,ROUND(BASE_A2+RATE_A2*($A2004-BOTT_A2),0),ROUND(RATE_A1*$A2004,0))))</f>
        <v/>
      </c>
      <c r="E2004" s="556">
        <f>IF($A2004&gt;BOTT_B4,ROUND(BASE_B4+RATE_B4*($A2004-BOTT_B4),0),IF($A2004&gt;BOTT_B3,ROUND(BASE_B3+RATE_B3*($A2004-BOTT_B3),0),IF($A2004&gt;BOTT_B2,ROUND(BASE_B2+RATE_B2*($A2004-BOTT_B2),0),ROUND(RATE_B1*$A2004,0))))</f>
        <v/>
      </c>
      <c r="F2004" s="556">
        <f>IF($A2004&gt;BOTT_C4,ROUND(BASE_C4+RATE_C4*($A2004-BOTT_C4),0),IF($A2004&gt;BOTT_C3,ROUND(BASE_C3+RATE_C3*($A2004-BOTT_C3),0),IF($A2004&gt;BOTT_C2,ROUND(BASE_C2+RATE_C2*($A2004-BOTT_C2),0),ROUND(RATE_C1*$A2004,0))))</f>
        <v/>
      </c>
      <c r="G2004" s="556">
        <f>IF($A2004&gt;BOTT_D4,ROUND(BASE_D4+RATE_D4*($A2004-BOTT_D4),0),IF($A2004&gt;BOTT_D3,ROUND(BASE_D3+RATE_D3*($A2004-BOTT_D3),0),IF($A2004&gt;BOTT_D2,ROUND(BASE_D2+RATE_D2*($A2004-BOTT_D2),0),ROUND(RATE_D1*$A2004,0))))</f>
        <v/>
      </c>
    </row>
    <row r="2005" ht="15.75" customHeight="1" s="7635">
      <c r="A2005" s="625">
        <f>AVERAGE(B2005,C2005)</f>
        <v/>
      </c>
      <c r="B2005" s="555" t="n">
        <v>97050</v>
      </c>
      <c r="C2005" s="555" t="n">
        <v>97100</v>
      </c>
      <c r="D2005" s="556">
        <f>IF($A2005&gt;BOTT_A4,ROUND(BASE_A4+RATE_A4*($A2005-BOTT_A4),0),IF($A2005&gt;BOTT_A3,ROUND(BASE_A3+RATE_A3*($A2005-BOTT_A3),0),IF($A2005&gt;BOTT_A2,ROUND(BASE_A2+RATE_A2*($A2005-BOTT_A2),0),ROUND(RATE_A1*$A2005,0))))</f>
        <v/>
      </c>
      <c r="E2005" s="556">
        <f>IF($A2005&gt;BOTT_B4,ROUND(BASE_B4+RATE_B4*($A2005-BOTT_B4),0),IF($A2005&gt;BOTT_B3,ROUND(BASE_B3+RATE_B3*($A2005-BOTT_B3),0),IF($A2005&gt;BOTT_B2,ROUND(BASE_B2+RATE_B2*($A2005-BOTT_B2),0),ROUND(RATE_B1*$A2005,0))))</f>
        <v/>
      </c>
      <c r="F2005" s="556">
        <f>IF($A2005&gt;BOTT_C4,ROUND(BASE_C4+RATE_C4*($A2005-BOTT_C4),0),IF($A2005&gt;BOTT_C3,ROUND(BASE_C3+RATE_C3*($A2005-BOTT_C3),0),IF($A2005&gt;BOTT_C2,ROUND(BASE_C2+RATE_C2*($A2005-BOTT_C2),0),ROUND(RATE_C1*$A2005,0))))</f>
        <v/>
      </c>
      <c r="G2005" s="556">
        <f>IF($A2005&gt;BOTT_D4,ROUND(BASE_D4+RATE_D4*($A2005-BOTT_D4),0),IF($A2005&gt;BOTT_D3,ROUND(BASE_D3+RATE_D3*($A2005-BOTT_D3),0),IF($A2005&gt;BOTT_D2,ROUND(BASE_D2+RATE_D2*($A2005-BOTT_D2),0),ROUND(RATE_D1*$A2005,0))))</f>
        <v/>
      </c>
    </row>
    <row r="2006" ht="15.75" customHeight="1" s="7635">
      <c r="A2006" s="625">
        <f>AVERAGE(B2006,C2006)</f>
        <v/>
      </c>
      <c r="B2006" s="555" t="n">
        <v>97100</v>
      </c>
      <c r="C2006" s="555" t="n">
        <v>97150</v>
      </c>
      <c r="D2006" s="556">
        <f>IF($A2006&gt;BOTT_A4,ROUND(BASE_A4+RATE_A4*($A2006-BOTT_A4),0),IF($A2006&gt;BOTT_A3,ROUND(BASE_A3+RATE_A3*($A2006-BOTT_A3),0),IF($A2006&gt;BOTT_A2,ROUND(BASE_A2+RATE_A2*($A2006-BOTT_A2),0),ROUND(RATE_A1*$A2006,0))))</f>
        <v/>
      </c>
      <c r="E2006" s="556">
        <f>IF($A2006&gt;BOTT_B4,ROUND(BASE_B4+RATE_B4*($A2006-BOTT_B4),0),IF($A2006&gt;BOTT_B3,ROUND(BASE_B3+RATE_B3*($A2006-BOTT_B3),0),IF($A2006&gt;BOTT_B2,ROUND(BASE_B2+RATE_B2*($A2006-BOTT_B2),0),ROUND(RATE_B1*$A2006,0))))</f>
        <v/>
      </c>
      <c r="F2006" s="556">
        <f>IF($A2006&gt;BOTT_C4,ROUND(BASE_C4+RATE_C4*($A2006-BOTT_C4),0),IF($A2006&gt;BOTT_C3,ROUND(BASE_C3+RATE_C3*($A2006-BOTT_C3),0),IF($A2006&gt;BOTT_C2,ROUND(BASE_C2+RATE_C2*($A2006-BOTT_C2),0),ROUND(RATE_C1*$A2006,0))))</f>
        <v/>
      </c>
      <c r="G2006" s="556">
        <f>IF($A2006&gt;BOTT_D4,ROUND(BASE_D4+RATE_D4*($A2006-BOTT_D4),0),IF($A2006&gt;BOTT_D3,ROUND(BASE_D3+RATE_D3*($A2006-BOTT_D3),0),IF($A2006&gt;BOTT_D2,ROUND(BASE_D2+RATE_D2*($A2006-BOTT_D2),0),ROUND(RATE_D1*$A2006,0))))</f>
        <v/>
      </c>
    </row>
    <row r="2007" ht="15.75" customHeight="1" s="7635">
      <c r="A2007" s="625">
        <f>AVERAGE(B2007,C2007)</f>
        <v/>
      </c>
      <c r="B2007" s="555" t="n">
        <v>97150</v>
      </c>
      <c r="C2007" s="555" t="n">
        <v>97200</v>
      </c>
      <c r="D2007" s="556">
        <f>IF($A2007&gt;BOTT_A4,ROUND(BASE_A4+RATE_A4*($A2007-BOTT_A4),0),IF($A2007&gt;BOTT_A3,ROUND(BASE_A3+RATE_A3*($A2007-BOTT_A3),0),IF($A2007&gt;BOTT_A2,ROUND(BASE_A2+RATE_A2*($A2007-BOTT_A2),0),ROUND(RATE_A1*$A2007,0))))</f>
        <v/>
      </c>
      <c r="E2007" s="556">
        <f>IF($A2007&gt;BOTT_B4,ROUND(BASE_B4+RATE_B4*($A2007-BOTT_B4),0),IF($A2007&gt;BOTT_B3,ROUND(BASE_B3+RATE_B3*($A2007-BOTT_B3),0),IF($A2007&gt;BOTT_B2,ROUND(BASE_B2+RATE_B2*($A2007-BOTT_B2),0),ROUND(RATE_B1*$A2007,0))))</f>
        <v/>
      </c>
      <c r="F2007" s="556">
        <f>IF($A2007&gt;BOTT_C4,ROUND(BASE_C4+RATE_C4*($A2007-BOTT_C4),0),IF($A2007&gt;BOTT_C3,ROUND(BASE_C3+RATE_C3*($A2007-BOTT_C3),0),IF($A2007&gt;BOTT_C2,ROUND(BASE_C2+RATE_C2*($A2007-BOTT_C2),0),ROUND(RATE_C1*$A2007,0))))</f>
        <v/>
      </c>
      <c r="G2007" s="556">
        <f>IF($A2007&gt;BOTT_D4,ROUND(BASE_D4+RATE_D4*($A2007-BOTT_D4),0),IF($A2007&gt;BOTT_D3,ROUND(BASE_D3+RATE_D3*($A2007-BOTT_D3),0),IF($A2007&gt;BOTT_D2,ROUND(BASE_D2+RATE_D2*($A2007-BOTT_D2),0),ROUND(RATE_D1*$A2007,0))))</f>
        <v/>
      </c>
    </row>
    <row r="2008" ht="15.75" customHeight="1" s="7635">
      <c r="A2008" s="625">
        <f>AVERAGE(B2008,C2008)</f>
        <v/>
      </c>
      <c r="B2008" s="555" t="n">
        <v>97200</v>
      </c>
      <c r="C2008" s="555" t="n">
        <v>97250</v>
      </c>
      <c r="D2008" s="556">
        <f>IF($A2008&gt;BOTT_A4,ROUND(BASE_A4+RATE_A4*($A2008-BOTT_A4),0),IF($A2008&gt;BOTT_A3,ROUND(BASE_A3+RATE_A3*($A2008-BOTT_A3),0),IF($A2008&gt;BOTT_A2,ROUND(BASE_A2+RATE_A2*($A2008-BOTT_A2),0),ROUND(RATE_A1*$A2008,0))))</f>
        <v/>
      </c>
      <c r="E2008" s="556">
        <f>IF($A2008&gt;BOTT_B4,ROUND(BASE_B4+RATE_B4*($A2008-BOTT_B4),0),IF($A2008&gt;BOTT_B3,ROUND(BASE_B3+RATE_B3*($A2008-BOTT_B3),0),IF($A2008&gt;BOTT_B2,ROUND(BASE_B2+RATE_B2*($A2008-BOTT_B2),0),ROUND(RATE_B1*$A2008,0))))</f>
        <v/>
      </c>
      <c r="F2008" s="556">
        <f>IF($A2008&gt;BOTT_C4,ROUND(BASE_C4+RATE_C4*($A2008-BOTT_C4),0),IF($A2008&gt;BOTT_C3,ROUND(BASE_C3+RATE_C3*($A2008-BOTT_C3),0),IF($A2008&gt;BOTT_C2,ROUND(BASE_C2+RATE_C2*($A2008-BOTT_C2),0),ROUND(RATE_C1*$A2008,0))))</f>
        <v/>
      </c>
      <c r="G2008" s="556">
        <f>IF($A2008&gt;BOTT_D4,ROUND(BASE_D4+RATE_D4*($A2008-BOTT_D4),0),IF($A2008&gt;BOTT_D3,ROUND(BASE_D3+RATE_D3*($A2008-BOTT_D3),0),IF($A2008&gt;BOTT_D2,ROUND(BASE_D2+RATE_D2*($A2008-BOTT_D2),0),ROUND(RATE_D1*$A2008,0))))</f>
        <v/>
      </c>
    </row>
    <row r="2009" ht="15.75" customHeight="1" s="7635">
      <c r="A2009" s="625">
        <f>AVERAGE(B2009,C2009)</f>
        <v/>
      </c>
      <c r="B2009" s="555" t="n">
        <v>97250</v>
      </c>
      <c r="C2009" s="555" t="n">
        <v>97300</v>
      </c>
      <c r="D2009" s="556">
        <f>IF($A2009&gt;BOTT_A4,ROUND(BASE_A4+RATE_A4*($A2009-BOTT_A4),0),IF($A2009&gt;BOTT_A3,ROUND(BASE_A3+RATE_A3*($A2009-BOTT_A3),0),IF($A2009&gt;BOTT_A2,ROUND(BASE_A2+RATE_A2*($A2009-BOTT_A2),0),ROUND(RATE_A1*$A2009,0))))</f>
        <v/>
      </c>
      <c r="E2009" s="556">
        <f>IF($A2009&gt;BOTT_B4,ROUND(BASE_B4+RATE_B4*($A2009-BOTT_B4),0),IF($A2009&gt;BOTT_B3,ROUND(BASE_B3+RATE_B3*($A2009-BOTT_B3),0),IF($A2009&gt;BOTT_B2,ROUND(BASE_B2+RATE_B2*($A2009-BOTT_B2),0),ROUND(RATE_B1*$A2009,0))))</f>
        <v/>
      </c>
      <c r="F2009" s="556">
        <f>IF($A2009&gt;BOTT_C4,ROUND(BASE_C4+RATE_C4*($A2009-BOTT_C4),0),IF($A2009&gt;BOTT_C3,ROUND(BASE_C3+RATE_C3*($A2009-BOTT_C3),0),IF($A2009&gt;BOTT_C2,ROUND(BASE_C2+RATE_C2*($A2009-BOTT_C2),0),ROUND(RATE_C1*$A2009,0))))</f>
        <v/>
      </c>
      <c r="G2009" s="556">
        <f>IF($A2009&gt;BOTT_D4,ROUND(BASE_D4+RATE_D4*($A2009-BOTT_D4),0),IF($A2009&gt;BOTT_D3,ROUND(BASE_D3+RATE_D3*($A2009-BOTT_D3),0),IF($A2009&gt;BOTT_D2,ROUND(BASE_D2+RATE_D2*($A2009-BOTT_D2),0),ROUND(RATE_D1*$A2009,0))))</f>
        <v/>
      </c>
    </row>
    <row r="2010" ht="15.75" customHeight="1" s="7635">
      <c r="A2010" s="625">
        <f>AVERAGE(B2010,C2010)</f>
        <v/>
      </c>
      <c r="B2010" s="555" t="n">
        <v>97300</v>
      </c>
      <c r="C2010" s="555" t="n">
        <v>97350</v>
      </c>
      <c r="D2010" s="556">
        <f>IF($A2010&gt;BOTT_A4,ROUND(BASE_A4+RATE_A4*($A2010-BOTT_A4),0),IF($A2010&gt;BOTT_A3,ROUND(BASE_A3+RATE_A3*($A2010-BOTT_A3),0),IF($A2010&gt;BOTT_A2,ROUND(BASE_A2+RATE_A2*($A2010-BOTT_A2),0),ROUND(RATE_A1*$A2010,0))))</f>
        <v/>
      </c>
      <c r="E2010" s="556">
        <f>IF($A2010&gt;BOTT_B4,ROUND(BASE_B4+RATE_B4*($A2010-BOTT_B4),0),IF($A2010&gt;BOTT_B3,ROUND(BASE_B3+RATE_B3*($A2010-BOTT_B3),0),IF($A2010&gt;BOTT_B2,ROUND(BASE_B2+RATE_B2*($A2010-BOTT_B2),0),ROUND(RATE_B1*$A2010,0))))</f>
        <v/>
      </c>
      <c r="F2010" s="556">
        <f>IF($A2010&gt;BOTT_C4,ROUND(BASE_C4+RATE_C4*($A2010-BOTT_C4),0),IF($A2010&gt;BOTT_C3,ROUND(BASE_C3+RATE_C3*($A2010-BOTT_C3),0),IF($A2010&gt;BOTT_C2,ROUND(BASE_C2+RATE_C2*($A2010-BOTT_C2),0),ROUND(RATE_C1*$A2010,0))))</f>
        <v/>
      </c>
      <c r="G2010" s="556">
        <f>IF($A2010&gt;BOTT_D4,ROUND(BASE_D4+RATE_D4*($A2010-BOTT_D4),0),IF($A2010&gt;BOTT_D3,ROUND(BASE_D3+RATE_D3*($A2010-BOTT_D3),0),IF($A2010&gt;BOTT_D2,ROUND(BASE_D2+RATE_D2*($A2010-BOTT_D2),0),ROUND(RATE_D1*$A2010,0))))</f>
        <v/>
      </c>
    </row>
    <row r="2011" ht="15.75" customHeight="1" s="7635">
      <c r="A2011" s="625">
        <f>AVERAGE(B2011,C2011)</f>
        <v/>
      </c>
      <c r="B2011" s="555" t="n">
        <v>97350</v>
      </c>
      <c r="C2011" s="555" t="n">
        <v>97400</v>
      </c>
      <c r="D2011" s="556">
        <f>IF($A2011&gt;BOTT_A4,ROUND(BASE_A4+RATE_A4*($A2011-BOTT_A4),0),IF($A2011&gt;BOTT_A3,ROUND(BASE_A3+RATE_A3*($A2011-BOTT_A3),0),IF($A2011&gt;BOTT_A2,ROUND(BASE_A2+RATE_A2*($A2011-BOTT_A2),0),ROUND(RATE_A1*$A2011,0))))</f>
        <v/>
      </c>
      <c r="E2011" s="556">
        <f>IF($A2011&gt;BOTT_B4,ROUND(BASE_B4+RATE_B4*($A2011-BOTT_B4),0),IF($A2011&gt;BOTT_B3,ROUND(BASE_B3+RATE_B3*($A2011-BOTT_B3),0),IF($A2011&gt;BOTT_B2,ROUND(BASE_B2+RATE_B2*($A2011-BOTT_B2),0),ROUND(RATE_B1*$A2011,0))))</f>
        <v/>
      </c>
      <c r="F2011" s="556">
        <f>IF($A2011&gt;BOTT_C4,ROUND(BASE_C4+RATE_C4*($A2011-BOTT_C4),0),IF($A2011&gt;BOTT_C3,ROUND(BASE_C3+RATE_C3*($A2011-BOTT_C3),0),IF($A2011&gt;BOTT_C2,ROUND(BASE_C2+RATE_C2*($A2011-BOTT_C2),0),ROUND(RATE_C1*$A2011,0))))</f>
        <v/>
      </c>
      <c r="G2011" s="556">
        <f>IF($A2011&gt;BOTT_D4,ROUND(BASE_D4+RATE_D4*($A2011-BOTT_D4),0),IF($A2011&gt;BOTT_D3,ROUND(BASE_D3+RATE_D3*($A2011-BOTT_D3),0),IF($A2011&gt;BOTT_D2,ROUND(BASE_D2+RATE_D2*($A2011-BOTT_D2),0),ROUND(RATE_D1*$A2011,0))))</f>
        <v/>
      </c>
    </row>
    <row r="2012" ht="15.75" customHeight="1" s="7635">
      <c r="A2012" s="625">
        <f>AVERAGE(B2012,C2012)</f>
        <v/>
      </c>
      <c r="B2012" s="555" t="n">
        <v>97400</v>
      </c>
      <c r="C2012" s="555" t="n">
        <v>97450</v>
      </c>
      <c r="D2012" s="556">
        <f>IF($A2012&gt;BOTT_A4,ROUND(BASE_A4+RATE_A4*($A2012-BOTT_A4),0),IF($A2012&gt;BOTT_A3,ROUND(BASE_A3+RATE_A3*($A2012-BOTT_A3),0),IF($A2012&gt;BOTT_A2,ROUND(BASE_A2+RATE_A2*($A2012-BOTT_A2),0),ROUND(RATE_A1*$A2012,0))))</f>
        <v/>
      </c>
      <c r="E2012" s="556">
        <f>IF($A2012&gt;BOTT_B4,ROUND(BASE_B4+RATE_B4*($A2012-BOTT_B4),0),IF($A2012&gt;BOTT_B3,ROUND(BASE_B3+RATE_B3*($A2012-BOTT_B3),0),IF($A2012&gt;BOTT_B2,ROUND(BASE_B2+RATE_B2*($A2012-BOTT_B2),0),ROUND(RATE_B1*$A2012,0))))</f>
        <v/>
      </c>
      <c r="F2012" s="556">
        <f>IF($A2012&gt;BOTT_C4,ROUND(BASE_C4+RATE_C4*($A2012-BOTT_C4),0),IF($A2012&gt;BOTT_C3,ROUND(BASE_C3+RATE_C3*($A2012-BOTT_C3),0),IF($A2012&gt;BOTT_C2,ROUND(BASE_C2+RATE_C2*($A2012-BOTT_C2),0),ROUND(RATE_C1*$A2012,0))))</f>
        <v/>
      </c>
      <c r="G2012" s="556">
        <f>IF($A2012&gt;BOTT_D4,ROUND(BASE_D4+RATE_D4*($A2012-BOTT_D4),0),IF($A2012&gt;BOTT_D3,ROUND(BASE_D3+RATE_D3*($A2012-BOTT_D3),0),IF($A2012&gt;BOTT_D2,ROUND(BASE_D2+RATE_D2*($A2012-BOTT_D2),0),ROUND(RATE_D1*$A2012,0))))</f>
        <v/>
      </c>
    </row>
    <row r="2013" ht="15.75" customHeight="1" s="7635">
      <c r="A2013" s="625">
        <f>AVERAGE(B2013,C2013)</f>
        <v/>
      </c>
      <c r="B2013" s="555" t="n">
        <v>97450</v>
      </c>
      <c r="C2013" s="555" t="n">
        <v>97500</v>
      </c>
      <c r="D2013" s="556">
        <f>IF($A2013&gt;BOTT_A4,ROUND(BASE_A4+RATE_A4*($A2013-BOTT_A4),0),IF($A2013&gt;BOTT_A3,ROUND(BASE_A3+RATE_A3*($A2013-BOTT_A3),0),IF($A2013&gt;BOTT_A2,ROUND(BASE_A2+RATE_A2*($A2013-BOTT_A2),0),ROUND(RATE_A1*$A2013,0))))</f>
        <v/>
      </c>
      <c r="E2013" s="556">
        <f>IF($A2013&gt;BOTT_B4,ROUND(BASE_B4+RATE_B4*($A2013-BOTT_B4),0),IF($A2013&gt;BOTT_B3,ROUND(BASE_B3+RATE_B3*($A2013-BOTT_B3),0),IF($A2013&gt;BOTT_B2,ROUND(BASE_B2+RATE_B2*($A2013-BOTT_B2),0),ROUND(RATE_B1*$A2013,0))))</f>
        <v/>
      </c>
      <c r="F2013" s="556">
        <f>IF($A2013&gt;BOTT_C4,ROUND(BASE_C4+RATE_C4*($A2013-BOTT_C4),0),IF($A2013&gt;BOTT_C3,ROUND(BASE_C3+RATE_C3*($A2013-BOTT_C3),0),IF($A2013&gt;BOTT_C2,ROUND(BASE_C2+RATE_C2*($A2013-BOTT_C2),0),ROUND(RATE_C1*$A2013,0))))</f>
        <v/>
      </c>
      <c r="G2013" s="556">
        <f>IF($A2013&gt;BOTT_D4,ROUND(BASE_D4+RATE_D4*($A2013-BOTT_D4),0),IF($A2013&gt;BOTT_D3,ROUND(BASE_D3+RATE_D3*($A2013-BOTT_D3),0),IF($A2013&gt;BOTT_D2,ROUND(BASE_D2+RATE_D2*($A2013-BOTT_D2),0),ROUND(RATE_D1*$A2013,0))))</f>
        <v/>
      </c>
    </row>
    <row r="2014" ht="15.75" customHeight="1" s="7635">
      <c r="A2014" s="625">
        <f>AVERAGE(B2014,C2014)</f>
        <v/>
      </c>
      <c r="B2014" s="555" t="n">
        <v>97500</v>
      </c>
      <c r="C2014" s="555" t="n">
        <v>97550</v>
      </c>
      <c r="D2014" s="556">
        <f>IF($A2014&gt;BOTT_A4,ROUND(BASE_A4+RATE_A4*($A2014-BOTT_A4),0),IF($A2014&gt;BOTT_A3,ROUND(BASE_A3+RATE_A3*($A2014-BOTT_A3),0),IF($A2014&gt;BOTT_A2,ROUND(BASE_A2+RATE_A2*($A2014-BOTT_A2),0),ROUND(RATE_A1*$A2014,0))))</f>
        <v/>
      </c>
      <c r="E2014" s="556">
        <f>IF($A2014&gt;BOTT_B4,ROUND(BASE_B4+RATE_B4*($A2014-BOTT_B4),0),IF($A2014&gt;BOTT_B3,ROUND(BASE_B3+RATE_B3*($A2014-BOTT_B3),0),IF($A2014&gt;BOTT_B2,ROUND(BASE_B2+RATE_B2*($A2014-BOTT_B2),0),ROUND(RATE_B1*$A2014,0))))</f>
        <v/>
      </c>
      <c r="F2014" s="556">
        <f>IF($A2014&gt;BOTT_C4,ROUND(BASE_C4+RATE_C4*($A2014-BOTT_C4),0),IF($A2014&gt;BOTT_C3,ROUND(BASE_C3+RATE_C3*($A2014-BOTT_C3),0),IF($A2014&gt;BOTT_C2,ROUND(BASE_C2+RATE_C2*($A2014-BOTT_C2),0),ROUND(RATE_C1*$A2014,0))))</f>
        <v/>
      </c>
      <c r="G2014" s="556">
        <f>IF($A2014&gt;BOTT_D4,ROUND(BASE_D4+RATE_D4*($A2014-BOTT_D4),0),IF($A2014&gt;BOTT_D3,ROUND(BASE_D3+RATE_D3*($A2014-BOTT_D3),0),IF($A2014&gt;BOTT_D2,ROUND(BASE_D2+RATE_D2*($A2014-BOTT_D2),0),ROUND(RATE_D1*$A2014,0))))</f>
        <v/>
      </c>
    </row>
    <row r="2015" ht="15.75" customHeight="1" s="7635">
      <c r="A2015" s="625">
        <f>AVERAGE(B2015,C2015)</f>
        <v/>
      </c>
      <c r="B2015" s="555" t="n">
        <v>97550</v>
      </c>
      <c r="C2015" s="555" t="n">
        <v>97600</v>
      </c>
      <c r="D2015" s="556">
        <f>IF($A2015&gt;BOTT_A4,ROUND(BASE_A4+RATE_A4*($A2015-BOTT_A4),0),IF($A2015&gt;BOTT_A3,ROUND(BASE_A3+RATE_A3*($A2015-BOTT_A3),0),IF($A2015&gt;BOTT_A2,ROUND(BASE_A2+RATE_A2*($A2015-BOTT_A2),0),ROUND(RATE_A1*$A2015,0))))</f>
        <v/>
      </c>
      <c r="E2015" s="556">
        <f>IF($A2015&gt;BOTT_B4,ROUND(BASE_B4+RATE_B4*($A2015-BOTT_B4),0),IF($A2015&gt;BOTT_B3,ROUND(BASE_B3+RATE_B3*($A2015-BOTT_B3),0),IF($A2015&gt;BOTT_B2,ROUND(BASE_B2+RATE_B2*($A2015-BOTT_B2),0),ROUND(RATE_B1*$A2015,0))))</f>
        <v/>
      </c>
      <c r="F2015" s="556">
        <f>IF($A2015&gt;BOTT_C4,ROUND(BASE_C4+RATE_C4*($A2015-BOTT_C4),0),IF($A2015&gt;BOTT_C3,ROUND(BASE_C3+RATE_C3*($A2015-BOTT_C3),0),IF($A2015&gt;BOTT_C2,ROUND(BASE_C2+RATE_C2*($A2015-BOTT_C2),0),ROUND(RATE_C1*$A2015,0))))</f>
        <v/>
      </c>
      <c r="G2015" s="556">
        <f>IF($A2015&gt;BOTT_D4,ROUND(BASE_D4+RATE_D4*($A2015-BOTT_D4),0),IF($A2015&gt;BOTT_D3,ROUND(BASE_D3+RATE_D3*($A2015-BOTT_D3),0),IF($A2015&gt;BOTT_D2,ROUND(BASE_D2+RATE_D2*($A2015-BOTT_D2),0),ROUND(RATE_D1*$A2015,0))))</f>
        <v/>
      </c>
    </row>
    <row r="2016" ht="15.75" customHeight="1" s="7635">
      <c r="A2016" s="625">
        <f>AVERAGE(B2016,C2016)</f>
        <v/>
      </c>
      <c r="B2016" s="555" t="n">
        <v>97600</v>
      </c>
      <c r="C2016" s="555" t="n">
        <v>97650</v>
      </c>
      <c r="D2016" s="556">
        <f>IF($A2016&gt;BOTT_A4,ROUND(BASE_A4+RATE_A4*($A2016-BOTT_A4),0),IF($A2016&gt;BOTT_A3,ROUND(BASE_A3+RATE_A3*($A2016-BOTT_A3),0),IF($A2016&gt;BOTT_A2,ROUND(BASE_A2+RATE_A2*($A2016-BOTT_A2),0),ROUND(RATE_A1*$A2016,0))))</f>
        <v/>
      </c>
      <c r="E2016" s="556">
        <f>IF($A2016&gt;BOTT_B4,ROUND(BASE_B4+RATE_B4*($A2016-BOTT_B4),0),IF($A2016&gt;BOTT_B3,ROUND(BASE_B3+RATE_B3*($A2016-BOTT_B3),0),IF($A2016&gt;BOTT_B2,ROUND(BASE_B2+RATE_B2*($A2016-BOTT_B2),0),ROUND(RATE_B1*$A2016,0))))</f>
        <v/>
      </c>
      <c r="F2016" s="556">
        <f>IF($A2016&gt;BOTT_C4,ROUND(BASE_C4+RATE_C4*($A2016-BOTT_C4),0),IF($A2016&gt;BOTT_C3,ROUND(BASE_C3+RATE_C3*($A2016-BOTT_C3),0),IF($A2016&gt;BOTT_C2,ROUND(BASE_C2+RATE_C2*($A2016-BOTT_C2),0),ROUND(RATE_C1*$A2016,0))))</f>
        <v/>
      </c>
      <c r="G2016" s="556">
        <f>IF($A2016&gt;BOTT_D4,ROUND(BASE_D4+RATE_D4*($A2016-BOTT_D4),0),IF($A2016&gt;BOTT_D3,ROUND(BASE_D3+RATE_D3*($A2016-BOTT_D3),0),IF($A2016&gt;BOTT_D2,ROUND(BASE_D2+RATE_D2*($A2016-BOTT_D2),0),ROUND(RATE_D1*$A2016,0))))</f>
        <v/>
      </c>
    </row>
    <row r="2017" ht="15.75" customHeight="1" s="7635">
      <c r="A2017" s="625">
        <f>AVERAGE(B2017,C2017)</f>
        <v/>
      </c>
      <c r="B2017" s="555" t="n">
        <v>97650</v>
      </c>
      <c r="C2017" s="555" t="n">
        <v>97700</v>
      </c>
      <c r="D2017" s="556">
        <f>IF($A2017&gt;BOTT_A4,ROUND(BASE_A4+RATE_A4*($A2017-BOTT_A4),0),IF($A2017&gt;BOTT_A3,ROUND(BASE_A3+RATE_A3*($A2017-BOTT_A3),0),IF($A2017&gt;BOTT_A2,ROUND(BASE_A2+RATE_A2*($A2017-BOTT_A2),0),ROUND(RATE_A1*$A2017,0))))</f>
        <v/>
      </c>
      <c r="E2017" s="556">
        <f>IF($A2017&gt;BOTT_B4,ROUND(BASE_B4+RATE_B4*($A2017-BOTT_B4),0),IF($A2017&gt;BOTT_B3,ROUND(BASE_B3+RATE_B3*($A2017-BOTT_B3),0),IF($A2017&gt;BOTT_B2,ROUND(BASE_B2+RATE_B2*($A2017-BOTT_B2),0),ROUND(RATE_B1*$A2017,0))))</f>
        <v/>
      </c>
      <c r="F2017" s="556">
        <f>IF($A2017&gt;BOTT_C4,ROUND(BASE_C4+RATE_C4*($A2017-BOTT_C4),0),IF($A2017&gt;BOTT_C3,ROUND(BASE_C3+RATE_C3*($A2017-BOTT_C3),0),IF($A2017&gt;BOTT_C2,ROUND(BASE_C2+RATE_C2*($A2017-BOTT_C2),0),ROUND(RATE_C1*$A2017,0))))</f>
        <v/>
      </c>
      <c r="G2017" s="556">
        <f>IF($A2017&gt;BOTT_D4,ROUND(BASE_D4+RATE_D4*($A2017-BOTT_D4),0),IF($A2017&gt;BOTT_D3,ROUND(BASE_D3+RATE_D3*($A2017-BOTT_D3),0),IF($A2017&gt;BOTT_D2,ROUND(BASE_D2+RATE_D2*($A2017-BOTT_D2),0),ROUND(RATE_D1*$A2017,0))))</f>
        <v/>
      </c>
    </row>
    <row r="2018" ht="15.75" customHeight="1" s="7635">
      <c r="A2018" s="625">
        <f>AVERAGE(B2018,C2018)</f>
        <v/>
      </c>
      <c r="B2018" s="555" t="n">
        <v>97700</v>
      </c>
      <c r="C2018" s="555" t="n">
        <v>97750</v>
      </c>
      <c r="D2018" s="556">
        <f>IF($A2018&gt;BOTT_A4,ROUND(BASE_A4+RATE_A4*($A2018-BOTT_A4),0),IF($A2018&gt;BOTT_A3,ROUND(BASE_A3+RATE_A3*($A2018-BOTT_A3),0),IF($A2018&gt;BOTT_A2,ROUND(BASE_A2+RATE_A2*($A2018-BOTT_A2),0),ROUND(RATE_A1*$A2018,0))))</f>
        <v/>
      </c>
      <c r="E2018" s="556">
        <f>IF($A2018&gt;BOTT_B4,ROUND(BASE_B4+RATE_B4*($A2018-BOTT_B4),0),IF($A2018&gt;BOTT_B3,ROUND(BASE_B3+RATE_B3*($A2018-BOTT_B3),0),IF($A2018&gt;BOTT_B2,ROUND(BASE_B2+RATE_B2*($A2018-BOTT_B2),0),ROUND(RATE_B1*$A2018,0))))</f>
        <v/>
      </c>
      <c r="F2018" s="556">
        <f>IF($A2018&gt;BOTT_C4,ROUND(BASE_C4+RATE_C4*($A2018-BOTT_C4),0),IF($A2018&gt;BOTT_C3,ROUND(BASE_C3+RATE_C3*($A2018-BOTT_C3),0),IF($A2018&gt;BOTT_C2,ROUND(BASE_C2+RATE_C2*($A2018-BOTT_C2),0),ROUND(RATE_C1*$A2018,0))))</f>
        <v/>
      </c>
      <c r="G2018" s="556">
        <f>IF($A2018&gt;BOTT_D4,ROUND(BASE_D4+RATE_D4*($A2018-BOTT_D4),0),IF($A2018&gt;BOTT_D3,ROUND(BASE_D3+RATE_D3*($A2018-BOTT_D3),0),IF($A2018&gt;BOTT_D2,ROUND(BASE_D2+RATE_D2*($A2018-BOTT_D2),0),ROUND(RATE_D1*$A2018,0))))</f>
        <v/>
      </c>
    </row>
    <row r="2019" ht="15.75" customHeight="1" s="7635">
      <c r="A2019" s="625">
        <f>AVERAGE(B2019,C2019)</f>
        <v/>
      </c>
      <c r="B2019" s="555" t="n">
        <v>97750</v>
      </c>
      <c r="C2019" s="555" t="n">
        <v>97800</v>
      </c>
      <c r="D2019" s="556">
        <f>IF($A2019&gt;BOTT_A4,ROUND(BASE_A4+RATE_A4*($A2019-BOTT_A4),0),IF($A2019&gt;BOTT_A3,ROUND(BASE_A3+RATE_A3*($A2019-BOTT_A3),0),IF($A2019&gt;BOTT_A2,ROUND(BASE_A2+RATE_A2*($A2019-BOTT_A2),0),ROUND(RATE_A1*$A2019,0))))</f>
        <v/>
      </c>
      <c r="E2019" s="556">
        <f>IF($A2019&gt;BOTT_B4,ROUND(BASE_B4+RATE_B4*($A2019-BOTT_B4),0),IF($A2019&gt;BOTT_B3,ROUND(BASE_B3+RATE_B3*($A2019-BOTT_B3),0),IF($A2019&gt;BOTT_B2,ROUND(BASE_B2+RATE_B2*($A2019-BOTT_B2),0),ROUND(RATE_B1*$A2019,0))))</f>
        <v/>
      </c>
      <c r="F2019" s="556">
        <f>IF($A2019&gt;BOTT_C4,ROUND(BASE_C4+RATE_C4*($A2019-BOTT_C4),0),IF($A2019&gt;BOTT_C3,ROUND(BASE_C3+RATE_C3*($A2019-BOTT_C3),0),IF($A2019&gt;BOTT_C2,ROUND(BASE_C2+RATE_C2*($A2019-BOTT_C2),0),ROUND(RATE_C1*$A2019,0))))</f>
        <v/>
      </c>
      <c r="G2019" s="556">
        <f>IF($A2019&gt;BOTT_D4,ROUND(BASE_D4+RATE_D4*($A2019-BOTT_D4),0),IF($A2019&gt;BOTT_D3,ROUND(BASE_D3+RATE_D3*($A2019-BOTT_D3),0),IF($A2019&gt;BOTT_D2,ROUND(BASE_D2+RATE_D2*($A2019-BOTT_D2),0),ROUND(RATE_D1*$A2019,0))))</f>
        <v/>
      </c>
    </row>
    <row r="2020" ht="15.75" customHeight="1" s="7635">
      <c r="A2020" s="625">
        <f>AVERAGE(B2020,C2020)</f>
        <v/>
      </c>
      <c r="B2020" s="555" t="n">
        <v>97800</v>
      </c>
      <c r="C2020" s="555" t="n">
        <v>97850</v>
      </c>
      <c r="D2020" s="556">
        <f>IF($A2020&gt;BOTT_A4,ROUND(BASE_A4+RATE_A4*($A2020-BOTT_A4),0),IF($A2020&gt;BOTT_A3,ROUND(BASE_A3+RATE_A3*($A2020-BOTT_A3),0),IF($A2020&gt;BOTT_A2,ROUND(BASE_A2+RATE_A2*($A2020-BOTT_A2),0),ROUND(RATE_A1*$A2020,0))))</f>
        <v/>
      </c>
      <c r="E2020" s="556">
        <f>IF($A2020&gt;BOTT_B4,ROUND(BASE_B4+RATE_B4*($A2020-BOTT_B4),0),IF($A2020&gt;BOTT_B3,ROUND(BASE_B3+RATE_B3*($A2020-BOTT_B3),0),IF($A2020&gt;BOTT_B2,ROUND(BASE_B2+RATE_B2*($A2020-BOTT_B2),0),ROUND(RATE_B1*$A2020,0))))</f>
        <v/>
      </c>
      <c r="F2020" s="556">
        <f>IF($A2020&gt;BOTT_C4,ROUND(BASE_C4+RATE_C4*($A2020-BOTT_C4),0),IF($A2020&gt;BOTT_C3,ROUND(BASE_C3+RATE_C3*($A2020-BOTT_C3),0),IF($A2020&gt;BOTT_C2,ROUND(BASE_C2+RATE_C2*($A2020-BOTT_C2),0),ROUND(RATE_C1*$A2020,0))))</f>
        <v/>
      </c>
      <c r="G2020" s="556">
        <f>IF($A2020&gt;BOTT_D4,ROUND(BASE_D4+RATE_D4*($A2020-BOTT_D4),0),IF($A2020&gt;BOTT_D3,ROUND(BASE_D3+RATE_D3*($A2020-BOTT_D3),0),IF($A2020&gt;BOTT_D2,ROUND(BASE_D2+RATE_D2*($A2020-BOTT_D2),0),ROUND(RATE_D1*$A2020,0))))</f>
        <v/>
      </c>
    </row>
    <row r="2021" ht="15.75" customHeight="1" s="7635">
      <c r="A2021" s="625">
        <f>AVERAGE(B2021,C2021)</f>
        <v/>
      </c>
      <c r="B2021" s="555" t="n">
        <v>97850</v>
      </c>
      <c r="C2021" s="555" t="n">
        <v>97900</v>
      </c>
      <c r="D2021" s="556">
        <f>IF($A2021&gt;BOTT_A4,ROUND(BASE_A4+RATE_A4*($A2021-BOTT_A4),0),IF($A2021&gt;BOTT_A3,ROUND(BASE_A3+RATE_A3*($A2021-BOTT_A3),0),IF($A2021&gt;BOTT_A2,ROUND(BASE_A2+RATE_A2*($A2021-BOTT_A2),0),ROUND(RATE_A1*$A2021,0))))</f>
        <v/>
      </c>
      <c r="E2021" s="556">
        <f>IF($A2021&gt;BOTT_B4,ROUND(BASE_B4+RATE_B4*($A2021-BOTT_B4),0),IF($A2021&gt;BOTT_B3,ROUND(BASE_B3+RATE_B3*($A2021-BOTT_B3),0),IF($A2021&gt;BOTT_B2,ROUND(BASE_B2+RATE_B2*($A2021-BOTT_B2),0),ROUND(RATE_B1*$A2021,0))))</f>
        <v/>
      </c>
      <c r="F2021" s="556">
        <f>IF($A2021&gt;BOTT_C4,ROUND(BASE_C4+RATE_C4*($A2021-BOTT_C4),0),IF($A2021&gt;BOTT_C3,ROUND(BASE_C3+RATE_C3*($A2021-BOTT_C3),0),IF($A2021&gt;BOTT_C2,ROUND(BASE_C2+RATE_C2*($A2021-BOTT_C2),0),ROUND(RATE_C1*$A2021,0))))</f>
        <v/>
      </c>
      <c r="G2021" s="556">
        <f>IF($A2021&gt;BOTT_D4,ROUND(BASE_D4+RATE_D4*($A2021-BOTT_D4),0),IF($A2021&gt;BOTT_D3,ROUND(BASE_D3+RATE_D3*($A2021-BOTT_D3),0),IF($A2021&gt;BOTT_D2,ROUND(BASE_D2+RATE_D2*($A2021-BOTT_D2),0),ROUND(RATE_D1*$A2021,0))))</f>
        <v/>
      </c>
    </row>
    <row r="2022" ht="15.75" customHeight="1" s="7635">
      <c r="A2022" s="625">
        <f>AVERAGE(B2022,C2022)</f>
        <v/>
      </c>
      <c r="B2022" s="555" t="n">
        <v>97900</v>
      </c>
      <c r="C2022" s="555" t="n">
        <v>97950</v>
      </c>
      <c r="D2022" s="556">
        <f>IF($A2022&gt;BOTT_A4,ROUND(BASE_A4+RATE_A4*($A2022-BOTT_A4),0),IF($A2022&gt;BOTT_A3,ROUND(BASE_A3+RATE_A3*($A2022-BOTT_A3),0),IF($A2022&gt;BOTT_A2,ROUND(BASE_A2+RATE_A2*($A2022-BOTT_A2),0),ROUND(RATE_A1*$A2022,0))))</f>
        <v/>
      </c>
      <c r="E2022" s="556">
        <f>IF($A2022&gt;BOTT_B4,ROUND(BASE_B4+RATE_B4*($A2022-BOTT_B4),0),IF($A2022&gt;BOTT_B3,ROUND(BASE_B3+RATE_B3*($A2022-BOTT_B3),0),IF($A2022&gt;BOTT_B2,ROUND(BASE_B2+RATE_B2*($A2022-BOTT_B2),0),ROUND(RATE_B1*$A2022,0))))</f>
        <v/>
      </c>
      <c r="F2022" s="556">
        <f>IF($A2022&gt;BOTT_C4,ROUND(BASE_C4+RATE_C4*($A2022-BOTT_C4),0),IF($A2022&gt;BOTT_C3,ROUND(BASE_C3+RATE_C3*($A2022-BOTT_C3),0),IF($A2022&gt;BOTT_C2,ROUND(BASE_C2+RATE_C2*($A2022-BOTT_C2),0),ROUND(RATE_C1*$A2022,0))))</f>
        <v/>
      </c>
      <c r="G2022" s="556">
        <f>IF($A2022&gt;BOTT_D4,ROUND(BASE_D4+RATE_D4*($A2022-BOTT_D4),0),IF($A2022&gt;BOTT_D3,ROUND(BASE_D3+RATE_D3*($A2022-BOTT_D3),0),IF($A2022&gt;BOTT_D2,ROUND(BASE_D2+RATE_D2*($A2022-BOTT_D2),0),ROUND(RATE_D1*$A2022,0))))</f>
        <v/>
      </c>
    </row>
    <row r="2023" ht="15.75" customHeight="1" s="7635">
      <c r="A2023" s="625">
        <f>AVERAGE(B2023,C2023)</f>
        <v/>
      </c>
      <c r="B2023" s="555" t="n">
        <v>97950</v>
      </c>
      <c r="C2023" s="555" t="n">
        <v>98000</v>
      </c>
      <c r="D2023" s="556">
        <f>IF($A2023&gt;BOTT_A4,ROUND(BASE_A4+RATE_A4*($A2023-BOTT_A4),0),IF($A2023&gt;BOTT_A3,ROUND(BASE_A3+RATE_A3*($A2023-BOTT_A3),0),IF($A2023&gt;BOTT_A2,ROUND(BASE_A2+RATE_A2*($A2023-BOTT_A2),0),ROUND(RATE_A1*$A2023,0))))</f>
        <v/>
      </c>
      <c r="E2023" s="556">
        <f>IF($A2023&gt;BOTT_B4,ROUND(BASE_B4+RATE_B4*($A2023-BOTT_B4),0),IF($A2023&gt;BOTT_B3,ROUND(BASE_B3+RATE_B3*($A2023-BOTT_B3),0),IF($A2023&gt;BOTT_B2,ROUND(BASE_B2+RATE_B2*($A2023-BOTT_B2),0),ROUND(RATE_B1*$A2023,0))))</f>
        <v/>
      </c>
      <c r="F2023" s="556">
        <f>IF($A2023&gt;BOTT_C4,ROUND(BASE_C4+RATE_C4*($A2023-BOTT_C4),0),IF($A2023&gt;BOTT_C3,ROUND(BASE_C3+RATE_C3*($A2023-BOTT_C3),0),IF($A2023&gt;BOTT_C2,ROUND(BASE_C2+RATE_C2*($A2023-BOTT_C2),0),ROUND(RATE_C1*$A2023,0))))</f>
        <v/>
      </c>
      <c r="G2023" s="556">
        <f>IF($A2023&gt;BOTT_D4,ROUND(BASE_D4+RATE_D4*($A2023-BOTT_D4),0),IF($A2023&gt;BOTT_D3,ROUND(BASE_D3+RATE_D3*($A2023-BOTT_D3),0),IF($A2023&gt;BOTT_D2,ROUND(BASE_D2+RATE_D2*($A2023-BOTT_D2),0),ROUND(RATE_D1*$A2023,0))))</f>
        <v/>
      </c>
    </row>
    <row r="2024" ht="15.75" customHeight="1" s="7635">
      <c r="A2024" s="625">
        <f>AVERAGE(B2024,C2024)</f>
        <v/>
      </c>
      <c r="B2024" s="555" t="n">
        <v>98000</v>
      </c>
      <c r="C2024" s="555" t="n">
        <v>98050</v>
      </c>
      <c r="D2024" s="556">
        <f>IF($A2024&gt;BOTT_A4,ROUND(BASE_A4+RATE_A4*($A2024-BOTT_A4),0),IF($A2024&gt;BOTT_A3,ROUND(BASE_A3+RATE_A3*($A2024-BOTT_A3),0),IF($A2024&gt;BOTT_A2,ROUND(BASE_A2+RATE_A2*($A2024-BOTT_A2),0),ROUND(RATE_A1*$A2024,0))))</f>
        <v/>
      </c>
      <c r="E2024" s="556">
        <f>IF($A2024&gt;BOTT_B4,ROUND(BASE_B4+RATE_B4*($A2024-BOTT_B4),0),IF($A2024&gt;BOTT_B3,ROUND(BASE_B3+RATE_B3*($A2024-BOTT_B3),0),IF($A2024&gt;BOTT_B2,ROUND(BASE_B2+RATE_B2*($A2024-BOTT_B2),0),ROUND(RATE_B1*$A2024,0))))</f>
        <v/>
      </c>
      <c r="F2024" s="556">
        <f>IF($A2024&gt;BOTT_C4,ROUND(BASE_C4+RATE_C4*($A2024-BOTT_C4),0),IF($A2024&gt;BOTT_C3,ROUND(BASE_C3+RATE_C3*($A2024-BOTT_C3),0),IF($A2024&gt;BOTT_C2,ROUND(BASE_C2+RATE_C2*($A2024-BOTT_C2),0),ROUND(RATE_C1*$A2024,0))))</f>
        <v/>
      </c>
      <c r="G2024" s="556">
        <f>IF($A2024&gt;BOTT_D4,ROUND(BASE_D4+RATE_D4*($A2024-BOTT_D4),0),IF($A2024&gt;BOTT_D3,ROUND(BASE_D3+RATE_D3*($A2024-BOTT_D3),0),IF($A2024&gt;BOTT_D2,ROUND(BASE_D2+RATE_D2*($A2024-BOTT_D2),0),ROUND(RATE_D1*$A2024,0))))</f>
        <v/>
      </c>
    </row>
    <row r="2025" ht="15.75" customHeight="1" s="7635">
      <c r="A2025" s="625">
        <f>AVERAGE(B2025,C2025)</f>
        <v/>
      </c>
      <c r="B2025" s="555" t="n">
        <v>98050</v>
      </c>
      <c r="C2025" s="555" t="n">
        <v>98100</v>
      </c>
      <c r="D2025" s="556">
        <f>IF($A2025&gt;BOTT_A4,ROUND(BASE_A4+RATE_A4*($A2025-BOTT_A4),0),IF($A2025&gt;BOTT_A3,ROUND(BASE_A3+RATE_A3*($A2025-BOTT_A3),0),IF($A2025&gt;BOTT_A2,ROUND(BASE_A2+RATE_A2*($A2025-BOTT_A2),0),ROUND(RATE_A1*$A2025,0))))</f>
        <v/>
      </c>
      <c r="E2025" s="556">
        <f>IF($A2025&gt;BOTT_B4,ROUND(BASE_B4+RATE_B4*($A2025-BOTT_B4),0),IF($A2025&gt;BOTT_B3,ROUND(BASE_B3+RATE_B3*($A2025-BOTT_B3),0),IF($A2025&gt;BOTT_B2,ROUND(BASE_B2+RATE_B2*($A2025-BOTT_B2),0),ROUND(RATE_B1*$A2025,0))))</f>
        <v/>
      </c>
      <c r="F2025" s="556">
        <f>IF($A2025&gt;BOTT_C4,ROUND(BASE_C4+RATE_C4*($A2025-BOTT_C4),0),IF($A2025&gt;BOTT_C3,ROUND(BASE_C3+RATE_C3*($A2025-BOTT_C3),0),IF($A2025&gt;BOTT_C2,ROUND(BASE_C2+RATE_C2*($A2025-BOTT_C2),0),ROUND(RATE_C1*$A2025,0))))</f>
        <v/>
      </c>
      <c r="G2025" s="556">
        <f>IF($A2025&gt;BOTT_D4,ROUND(BASE_D4+RATE_D4*($A2025-BOTT_D4),0),IF($A2025&gt;BOTT_D3,ROUND(BASE_D3+RATE_D3*($A2025-BOTT_D3),0),IF($A2025&gt;BOTT_D2,ROUND(BASE_D2+RATE_D2*($A2025-BOTT_D2),0),ROUND(RATE_D1*$A2025,0))))</f>
        <v/>
      </c>
    </row>
    <row r="2026" ht="15.75" customHeight="1" s="7635">
      <c r="A2026" s="625">
        <f>AVERAGE(B2026,C2026)</f>
        <v/>
      </c>
      <c r="B2026" s="555" t="n">
        <v>98100</v>
      </c>
      <c r="C2026" s="555" t="n">
        <v>98150</v>
      </c>
      <c r="D2026" s="556">
        <f>IF($A2026&gt;BOTT_A4,ROUND(BASE_A4+RATE_A4*($A2026-BOTT_A4),0),IF($A2026&gt;BOTT_A3,ROUND(BASE_A3+RATE_A3*($A2026-BOTT_A3),0),IF($A2026&gt;BOTT_A2,ROUND(BASE_A2+RATE_A2*($A2026-BOTT_A2),0),ROUND(RATE_A1*$A2026,0))))</f>
        <v/>
      </c>
      <c r="E2026" s="556">
        <f>IF($A2026&gt;BOTT_B4,ROUND(BASE_B4+RATE_B4*($A2026-BOTT_B4),0),IF($A2026&gt;BOTT_B3,ROUND(BASE_B3+RATE_B3*($A2026-BOTT_B3),0),IF($A2026&gt;BOTT_B2,ROUND(BASE_B2+RATE_B2*($A2026-BOTT_B2),0),ROUND(RATE_B1*$A2026,0))))</f>
        <v/>
      </c>
      <c r="F2026" s="556">
        <f>IF($A2026&gt;BOTT_C4,ROUND(BASE_C4+RATE_C4*($A2026-BOTT_C4),0),IF($A2026&gt;BOTT_C3,ROUND(BASE_C3+RATE_C3*($A2026-BOTT_C3),0),IF($A2026&gt;BOTT_C2,ROUND(BASE_C2+RATE_C2*($A2026-BOTT_C2),0),ROUND(RATE_C1*$A2026,0))))</f>
        <v/>
      </c>
      <c r="G2026" s="556">
        <f>IF($A2026&gt;BOTT_D4,ROUND(BASE_D4+RATE_D4*($A2026-BOTT_D4),0),IF($A2026&gt;BOTT_D3,ROUND(BASE_D3+RATE_D3*($A2026-BOTT_D3),0),IF($A2026&gt;BOTT_D2,ROUND(BASE_D2+RATE_D2*($A2026-BOTT_D2),0),ROUND(RATE_D1*$A2026,0))))</f>
        <v/>
      </c>
    </row>
    <row r="2027" ht="15.75" customHeight="1" s="7635">
      <c r="A2027" s="625">
        <f>AVERAGE(B2027,C2027)</f>
        <v/>
      </c>
      <c r="B2027" s="555" t="n">
        <v>98150</v>
      </c>
      <c r="C2027" s="555" t="n">
        <v>98200</v>
      </c>
      <c r="D2027" s="556">
        <f>IF($A2027&gt;BOTT_A4,ROUND(BASE_A4+RATE_A4*($A2027-BOTT_A4),0),IF($A2027&gt;BOTT_A3,ROUND(BASE_A3+RATE_A3*($A2027-BOTT_A3),0),IF($A2027&gt;BOTT_A2,ROUND(BASE_A2+RATE_A2*($A2027-BOTT_A2),0),ROUND(RATE_A1*$A2027,0))))</f>
        <v/>
      </c>
      <c r="E2027" s="556">
        <f>IF($A2027&gt;BOTT_B4,ROUND(BASE_B4+RATE_B4*($A2027-BOTT_B4),0),IF($A2027&gt;BOTT_B3,ROUND(BASE_B3+RATE_B3*($A2027-BOTT_B3),0),IF($A2027&gt;BOTT_B2,ROUND(BASE_B2+RATE_B2*($A2027-BOTT_B2),0),ROUND(RATE_B1*$A2027,0))))</f>
        <v/>
      </c>
      <c r="F2027" s="556">
        <f>IF($A2027&gt;BOTT_C4,ROUND(BASE_C4+RATE_C4*($A2027-BOTT_C4),0),IF($A2027&gt;BOTT_C3,ROUND(BASE_C3+RATE_C3*($A2027-BOTT_C3),0),IF($A2027&gt;BOTT_C2,ROUND(BASE_C2+RATE_C2*($A2027-BOTT_C2),0),ROUND(RATE_C1*$A2027,0))))</f>
        <v/>
      </c>
      <c r="G2027" s="556">
        <f>IF($A2027&gt;BOTT_D4,ROUND(BASE_D4+RATE_D4*($A2027-BOTT_D4),0),IF($A2027&gt;BOTT_D3,ROUND(BASE_D3+RATE_D3*($A2027-BOTT_D3),0),IF($A2027&gt;BOTT_D2,ROUND(BASE_D2+RATE_D2*($A2027-BOTT_D2),0),ROUND(RATE_D1*$A2027,0))))</f>
        <v/>
      </c>
    </row>
    <row r="2028" ht="15.75" customHeight="1" s="7635">
      <c r="A2028" s="625">
        <f>AVERAGE(B2028,C2028)</f>
        <v/>
      </c>
      <c r="B2028" s="555" t="n">
        <v>98200</v>
      </c>
      <c r="C2028" s="555" t="n">
        <v>98250</v>
      </c>
      <c r="D2028" s="556">
        <f>IF($A2028&gt;BOTT_A4,ROUND(BASE_A4+RATE_A4*($A2028-BOTT_A4),0),IF($A2028&gt;BOTT_A3,ROUND(BASE_A3+RATE_A3*($A2028-BOTT_A3),0),IF($A2028&gt;BOTT_A2,ROUND(BASE_A2+RATE_A2*($A2028-BOTT_A2),0),ROUND(RATE_A1*$A2028,0))))</f>
        <v/>
      </c>
      <c r="E2028" s="556">
        <f>IF($A2028&gt;BOTT_B4,ROUND(BASE_B4+RATE_B4*($A2028-BOTT_B4),0),IF($A2028&gt;BOTT_B3,ROUND(BASE_B3+RATE_B3*($A2028-BOTT_B3),0),IF($A2028&gt;BOTT_B2,ROUND(BASE_B2+RATE_B2*($A2028-BOTT_B2),0),ROUND(RATE_B1*$A2028,0))))</f>
        <v/>
      </c>
      <c r="F2028" s="556">
        <f>IF($A2028&gt;BOTT_C4,ROUND(BASE_C4+RATE_C4*($A2028-BOTT_C4),0),IF($A2028&gt;BOTT_C3,ROUND(BASE_C3+RATE_C3*($A2028-BOTT_C3),0),IF($A2028&gt;BOTT_C2,ROUND(BASE_C2+RATE_C2*($A2028-BOTT_C2),0),ROUND(RATE_C1*$A2028,0))))</f>
        <v/>
      </c>
      <c r="G2028" s="556">
        <f>IF($A2028&gt;BOTT_D4,ROUND(BASE_D4+RATE_D4*($A2028-BOTT_D4),0),IF($A2028&gt;BOTT_D3,ROUND(BASE_D3+RATE_D3*($A2028-BOTT_D3),0),IF($A2028&gt;BOTT_D2,ROUND(BASE_D2+RATE_D2*($A2028-BOTT_D2),0),ROUND(RATE_D1*$A2028,0))))</f>
        <v/>
      </c>
    </row>
    <row r="2029" ht="15.75" customHeight="1" s="7635">
      <c r="A2029" s="625">
        <f>AVERAGE(B2029,C2029)</f>
        <v/>
      </c>
      <c r="B2029" s="555" t="n">
        <v>98250</v>
      </c>
      <c r="C2029" s="555" t="n">
        <v>98300</v>
      </c>
      <c r="D2029" s="556">
        <f>IF($A2029&gt;BOTT_A4,ROUND(BASE_A4+RATE_A4*($A2029-BOTT_A4),0),IF($A2029&gt;BOTT_A3,ROUND(BASE_A3+RATE_A3*($A2029-BOTT_A3),0),IF($A2029&gt;BOTT_A2,ROUND(BASE_A2+RATE_A2*($A2029-BOTT_A2),0),ROUND(RATE_A1*$A2029,0))))</f>
        <v/>
      </c>
      <c r="E2029" s="556">
        <f>IF($A2029&gt;BOTT_B4,ROUND(BASE_B4+RATE_B4*($A2029-BOTT_B4),0),IF($A2029&gt;BOTT_B3,ROUND(BASE_B3+RATE_B3*($A2029-BOTT_B3),0),IF($A2029&gt;BOTT_B2,ROUND(BASE_B2+RATE_B2*($A2029-BOTT_B2),0),ROUND(RATE_B1*$A2029,0))))</f>
        <v/>
      </c>
      <c r="F2029" s="556">
        <f>IF($A2029&gt;BOTT_C4,ROUND(BASE_C4+RATE_C4*($A2029-BOTT_C4),0),IF($A2029&gt;BOTT_C3,ROUND(BASE_C3+RATE_C3*($A2029-BOTT_C3),0),IF($A2029&gt;BOTT_C2,ROUND(BASE_C2+RATE_C2*($A2029-BOTT_C2),0),ROUND(RATE_C1*$A2029,0))))</f>
        <v/>
      </c>
      <c r="G2029" s="556">
        <f>IF($A2029&gt;BOTT_D4,ROUND(BASE_D4+RATE_D4*($A2029-BOTT_D4),0),IF($A2029&gt;BOTT_D3,ROUND(BASE_D3+RATE_D3*($A2029-BOTT_D3),0),IF($A2029&gt;BOTT_D2,ROUND(BASE_D2+RATE_D2*($A2029-BOTT_D2),0),ROUND(RATE_D1*$A2029,0))))</f>
        <v/>
      </c>
    </row>
    <row r="2030" ht="15.75" customHeight="1" s="7635">
      <c r="A2030" s="625">
        <f>AVERAGE(B2030,C2030)</f>
        <v/>
      </c>
      <c r="B2030" s="555" t="n">
        <v>98300</v>
      </c>
      <c r="C2030" s="555" t="n">
        <v>98350</v>
      </c>
      <c r="D2030" s="556">
        <f>IF($A2030&gt;BOTT_A4,ROUND(BASE_A4+RATE_A4*($A2030-BOTT_A4),0),IF($A2030&gt;BOTT_A3,ROUND(BASE_A3+RATE_A3*($A2030-BOTT_A3),0),IF($A2030&gt;BOTT_A2,ROUND(BASE_A2+RATE_A2*($A2030-BOTT_A2),0),ROUND(RATE_A1*$A2030,0))))</f>
        <v/>
      </c>
      <c r="E2030" s="556">
        <f>IF($A2030&gt;BOTT_B4,ROUND(BASE_B4+RATE_B4*($A2030-BOTT_B4),0),IF($A2030&gt;BOTT_B3,ROUND(BASE_B3+RATE_B3*($A2030-BOTT_B3),0),IF($A2030&gt;BOTT_B2,ROUND(BASE_B2+RATE_B2*($A2030-BOTT_B2),0),ROUND(RATE_B1*$A2030,0))))</f>
        <v/>
      </c>
      <c r="F2030" s="556">
        <f>IF($A2030&gt;BOTT_C4,ROUND(BASE_C4+RATE_C4*($A2030-BOTT_C4),0),IF($A2030&gt;BOTT_C3,ROUND(BASE_C3+RATE_C3*($A2030-BOTT_C3),0),IF($A2030&gt;BOTT_C2,ROUND(BASE_C2+RATE_C2*($A2030-BOTT_C2),0),ROUND(RATE_C1*$A2030,0))))</f>
        <v/>
      </c>
      <c r="G2030" s="556">
        <f>IF($A2030&gt;BOTT_D4,ROUND(BASE_D4+RATE_D4*($A2030-BOTT_D4),0),IF($A2030&gt;BOTT_D3,ROUND(BASE_D3+RATE_D3*($A2030-BOTT_D3),0),IF($A2030&gt;BOTT_D2,ROUND(BASE_D2+RATE_D2*($A2030-BOTT_D2),0),ROUND(RATE_D1*$A2030,0))))</f>
        <v/>
      </c>
    </row>
    <row r="2031" ht="15.75" customHeight="1" s="7635">
      <c r="A2031" s="625">
        <f>AVERAGE(B2031,C2031)</f>
        <v/>
      </c>
      <c r="B2031" s="555" t="n">
        <v>98350</v>
      </c>
      <c r="C2031" s="555" t="n">
        <v>98400</v>
      </c>
      <c r="D2031" s="556">
        <f>IF($A2031&gt;BOTT_A4,ROUND(BASE_A4+RATE_A4*($A2031-BOTT_A4),0),IF($A2031&gt;BOTT_A3,ROUND(BASE_A3+RATE_A3*($A2031-BOTT_A3),0),IF($A2031&gt;BOTT_A2,ROUND(BASE_A2+RATE_A2*($A2031-BOTT_A2),0),ROUND(RATE_A1*$A2031,0))))</f>
        <v/>
      </c>
      <c r="E2031" s="556">
        <f>IF($A2031&gt;BOTT_B4,ROUND(BASE_B4+RATE_B4*($A2031-BOTT_B4),0),IF($A2031&gt;BOTT_B3,ROUND(BASE_B3+RATE_B3*($A2031-BOTT_B3),0),IF($A2031&gt;BOTT_B2,ROUND(BASE_B2+RATE_B2*($A2031-BOTT_B2),0),ROUND(RATE_B1*$A2031,0))))</f>
        <v/>
      </c>
      <c r="F2031" s="556">
        <f>IF($A2031&gt;BOTT_C4,ROUND(BASE_C4+RATE_C4*($A2031-BOTT_C4),0),IF($A2031&gt;BOTT_C3,ROUND(BASE_C3+RATE_C3*($A2031-BOTT_C3),0),IF($A2031&gt;BOTT_C2,ROUND(BASE_C2+RATE_C2*($A2031-BOTT_C2),0),ROUND(RATE_C1*$A2031,0))))</f>
        <v/>
      </c>
      <c r="G2031" s="556">
        <f>IF($A2031&gt;BOTT_D4,ROUND(BASE_D4+RATE_D4*($A2031-BOTT_D4),0),IF($A2031&gt;BOTT_D3,ROUND(BASE_D3+RATE_D3*($A2031-BOTT_D3),0),IF($A2031&gt;BOTT_D2,ROUND(BASE_D2+RATE_D2*($A2031-BOTT_D2),0),ROUND(RATE_D1*$A2031,0))))</f>
        <v/>
      </c>
    </row>
    <row r="2032" ht="15.75" customHeight="1" s="7635">
      <c r="A2032" s="625">
        <f>AVERAGE(B2032,C2032)</f>
        <v/>
      </c>
      <c r="B2032" s="555" t="n">
        <v>98400</v>
      </c>
      <c r="C2032" s="555" t="n">
        <v>98450</v>
      </c>
      <c r="D2032" s="556">
        <f>IF($A2032&gt;BOTT_A4,ROUND(BASE_A4+RATE_A4*($A2032-BOTT_A4),0),IF($A2032&gt;BOTT_A3,ROUND(BASE_A3+RATE_A3*($A2032-BOTT_A3),0),IF($A2032&gt;BOTT_A2,ROUND(BASE_A2+RATE_A2*($A2032-BOTT_A2),0),ROUND(RATE_A1*$A2032,0))))</f>
        <v/>
      </c>
      <c r="E2032" s="556">
        <f>IF($A2032&gt;BOTT_B4,ROUND(BASE_B4+RATE_B4*($A2032-BOTT_B4),0),IF($A2032&gt;BOTT_B3,ROUND(BASE_B3+RATE_B3*($A2032-BOTT_B3),0),IF($A2032&gt;BOTT_B2,ROUND(BASE_B2+RATE_B2*($A2032-BOTT_B2),0),ROUND(RATE_B1*$A2032,0))))</f>
        <v/>
      </c>
      <c r="F2032" s="556">
        <f>IF($A2032&gt;BOTT_C4,ROUND(BASE_C4+RATE_C4*($A2032-BOTT_C4),0),IF($A2032&gt;BOTT_C3,ROUND(BASE_C3+RATE_C3*($A2032-BOTT_C3),0),IF($A2032&gt;BOTT_C2,ROUND(BASE_C2+RATE_C2*($A2032-BOTT_C2),0),ROUND(RATE_C1*$A2032,0))))</f>
        <v/>
      </c>
      <c r="G2032" s="556">
        <f>IF($A2032&gt;BOTT_D4,ROUND(BASE_D4+RATE_D4*($A2032-BOTT_D4),0),IF($A2032&gt;BOTT_D3,ROUND(BASE_D3+RATE_D3*($A2032-BOTT_D3),0),IF($A2032&gt;BOTT_D2,ROUND(BASE_D2+RATE_D2*($A2032-BOTT_D2),0),ROUND(RATE_D1*$A2032,0))))</f>
        <v/>
      </c>
    </row>
    <row r="2033" ht="15.75" customHeight="1" s="7635">
      <c r="A2033" s="625">
        <f>AVERAGE(B2033,C2033)</f>
        <v/>
      </c>
      <c r="B2033" s="555" t="n">
        <v>98450</v>
      </c>
      <c r="C2033" s="555" t="n">
        <v>98500</v>
      </c>
      <c r="D2033" s="556">
        <f>IF($A2033&gt;BOTT_A4,ROUND(BASE_A4+RATE_A4*($A2033-BOTT_A4),0),IF($A2033&gt;BOTT_A3,ROUND(BASE_A3+RATE_A3*($A2033-BOTT_A3),0),IF($A2033&gt;BOTT_A2,ROUND(BASE_A2+RATE_A2*($A2033-BOTT_A2),0),ROUND(RATE_A1*$A2033,0))))</f>
        <v/>
      </c>
      <c r="E2033" s="556">
        <f>IF($A2033&gt;BOTT_B4,ROUND(BASE_B4+RATE_B4*($A2033-BOTT_B4),0),IF($A2033&gt;BOTT_B3,ROUND(BASE_B3+RATE_B3*($A2033-BOTT_B3),0),IF($A2033&gt;BOTT_B2,ROUND(BASE_B2+RATE_B2*($A2033-BOTT_B2),0),ROUND(RATE_B1*$A2033,0))))</f>
        <v/>
      </c>
      <c r="F2033" s="556">
        <f>IF($A2033&gt;BOTT_C4,ROUND(BASE_C4+RATE_C4*($A2033-BOTT_C4),0),IF($A2033&gt;BOTT_C3,ROUND(BASE_C3+RATE_C3*($A2033-BOTT_C3),0),IF($A2033&gt;BOTT_C2,ROUND(BASE_C2+RATE_C2*($A2033-BOTT_C2),0),ROUND(RATE_C1*$A2033,0))))</f>
        <v/>
      </c>
      <c r="G2033" s="556">
        <f>IF($A2033&gt;BOTT_D4,ROUND(BASE_D4+RATE_D4*($A2033-BOTT_D4),0),IF($A2033&gt;BOTT_D3,ROUND(BASE_D3+RATE_D3*($A2033-BOTT_D3),0),IF($A2033&gt;BOTT_D2,ROUND(BASE_D2+RATE_D2*($A2033-BOTT_D2),0),ROUND(RATE_D1*$A2033,0))))</f>
        <v/>
      </c>
    </row>
    <row r="2034" ht="15.75" customHeight="1" s="7635">
      <c r="A2034" s="625">
        <f>AVERAGE(B2034,C2034)</f>
        <v/>
      </c>
      <c r="B2034" s="555" t="n">
        <v>98500</v>
      </c>
      <c r="C2034" s="555" t="n">
        <v>98550</v>
      </c>
      <c r="D2034" s="556">
        <f>IF($A2034&gt;BOTT_A4,ROUND(BASE_A4+RATE_A4*($A2034-BOTT_A4),0),IF($A2034&gt;BOTT_A3,ROUND(BASE_A3+RATE_A3*($A2034-BOTT_A3),0),IF($A2034&gt;BOTT_A2,ROUND(BASE_A2+RATE_A2*($A2034-BOTT_A2),0),ROUND(RATE_A1*$A2034,0))))</f>
        <v/>
      </c>
      <c r="E2034" s="556">
        <f>IF($A2034&gt;BOTT_B4,ROUND(BASE_B4+RATE_B4*($A2034-BOTT_B4),0),IF($A2034&gt;BOTT_B3,ROUND(BASE_B3+RATE_B3*($A2034-BOTT_B3),0),IF($A2034&gt;BOTT_B2,ROUND(BASE_B2+RATE_B2*($A2034-BOTT_B2),0),ROUND(RATE_B1*$A2034,0))))</f>
        <v/>
      </c>
      <c r="F2034" s="556">
        <f>IF($A2034&gt;BOTT_C4,ROUND(BASE_C4+RATE_C4*($A2034-BOTT_C4),0),IF($A2034&gt;BOTT_C3,ROUND(BASE_C3+RATE_C3*($A2034-BOTT_C3),0),IF($A2034&gt;BOTT_C2,ROUND(BASE_C2+RATE_C2*($A2034-BOTT_C2),0),ROUND(RATE_C1*$A2034,0))))</f>
        <v/>
      </c>
      <c r="G2034" s="556">
        <f>IF($A2034&gt;BOTT_D4,ROUND(BASE_D4+RATE_D4*($A2034-BOTT_D4),0),IF($A2034&gt;BOTT_D3,ROUND(BASE_D3+RATE_D3*($A2034-BOTT_D3),0),IF($A2034&gt;BOTT_D2,ROUND(BASE_D2+RATE_D2*($A2034-BOTT_D2),0),ROUND(RATE_D1*$A2034,0))))</f>
        <v/>
      </c>
    </row>
    <row r="2035" ht="15.75" customHeight="1" s="7635">
      <c r="A2035" s="625">
        <f>AVERAGE(B2035,C2035)</f>
        <v/>
      </c>
      <c r="B2035" s="555" t="n">
        <v>98550</v>
      </c>
      <c r="C2035" s="555" t="n">
        <v>98600</v>
      </c>
      <c r="D2035" s="556">
        <f>IF($A2035&gt;BOTT_A4,ROUND(BASE_A4+RATE_A4*($A2035-BOTT_A4),0),IF($A2035&gt;BOTT_A3,ROUND(BASE_A3+RATE_A3*($A2035-BOTT_A3),0),IF($A2035&gt;BOTT_A2,ROUND(BASE_A2+RATE_A2*($A2035-BOTT_A2),0),ROUND(RATE_A1*$A2035,0))))</f>
        <v/>
      </c>
      <c r="E2035" s="556">
        <f>IF($A2035&gt;BOTT_B4,ROUND(BASE_B4+RATE_B4*($A2035-BOTT_B4),0),IF($A2035&gt;BOTT_B3,ROUND(BASE_B3+RATE_B3*($A2035-BOTT_B3),0),IF($A2035&gt;BOTT_B2,ROUND(BASE_B2+RATE_B2*($A2035-BOTT_B2),0),ROUND(RATE_B1*$A2035,0))))</f>
        <v/>
      </c>
      <c r="F2035" s="556">
        <f>IF($A2035&gt;BOTT_C4,ROUND(BASE_C4+RATE_C4*($A2035-BOTT_C4),0),IF($A2035&gt;BOTT_C3,ROUND(BASE_C3+RATE_C3*($A2035-BOTT_C3),0),IF($A2035&gt;BOTT_C2,ROUND(BASE_C2+RATE_C2*($A2035-BOTT_C2),0),ROUND(RATE_C1*$A2035,0))))</f>
        <v/>
      </c>
      <c r="G2035" s="556">
        <f>IF($A2035&gt;BOTT_D4,ROUND(BASE_D4+RATE_D4*($A2035-BOTT_D4),0),IF($A2035&gt;BOTT_D3,ROUND(BASE_D3+RATE_D3*($A2035-BOTT_D3),0),IF($A2035&gt;BOTT_D2,ROUND(BASE_D2+RATE_D2*($A2035-BOTT_D2),0),ROUND(RATE_D1*$A2035,0))))</f>
        <v/>
      </c>
    </row>
    <row r="2036" ht="15.75" customHeight="1" s="7635">
      <c r="A2036" s="625">
        <f>AVERAGE(B2036,C2036)</f>
        <v/>
      </c>
      <c r="B2036" s="555" t="n">
        <v>98600</v>
      </c>
      <c r="C2036" s="555" t="n">
        <v>98650</v>
      </c>
      <c r="D2036" s="556">
        <f>IF($A2036&gt;BOTT_A4,ROUND(BASE_A4+RATE_A4*($A2036-BOTT_A4),0),IF($A2036&gt;BOTT_A3,ROUND(BASE_A3+RATE_A3*($A2036-BOTT_A3),0),IF($A2036&gt;BOTT_A2,ROUND(BASE_A2+RATE_A2*($A2036-BOTT_A2),0),ROUND(RATE_A1*$A2036,0))))</f>
        <v/>
      </c>
      <c r="E2036" s="556">
        <f>IF($A2036&gt;BOTT_B4,ROUND(BASE_B4+RATE_B4*($A2036-BOTT_B4),0),IF($A2036&gt;BOTT_B3,ROUND(BASE_B3+RATE_B3*($A2036-BOTT_B3),0),IF($A2036&gt;BOTT_B2,ROUND(BASE_B2+RATE_B2*($A2036-BOTT_B2),0),ROUND(RATE_B1*$A2036,0))))</f>
        <v/>
      </c>
      <c r="F2036" s="556">
        <f>IF($A2036&gt;BOTT_C4,ROUND(BASE_C4+RATE_C4*($A2036-BOTT_C4),0),IF($A2036&gt;BOTT_C3,ROUND(BASE_C3+RATE_C3*($A2036-BOTT_C3),0),IF($A2036&gt;BOTT_C2,ROUND(BASE_C2+RATE_C2*($A2036-BOTT_C2),0),ROUND(RATE_C1*$A2036,0))))</f>
        <v/>
      </c>
      <c r="G2036" s="556">
        <f>IF($A2036&gt;BOTT_D4,ROUND(BASE_D4+RATE_D4*($A2036-BOTT_D4),0),IF($A2036&gt;BOTT_D3,ROUND(BASE_D3+RATE_D3*($A2036-BOTT_D3),0),IF($A2036&gt;BOTT_D2,ROUND(BASE_D2+RATE_D2*($A2036-BOTT_D2),0),ROUND(RATE_D1*$A2036,0))))</f>
        <v/>
      </c>
    </row>
    <row r="2037" ht="15.75" customHeight="1" s="7635">
      <c r="A2037" s="625">
        <f>AVERAGE(B2037,C2037)</f>
        <v/>
      </c>
      <c r="B2037" s="555" t="n">
        <v>98650</v>
      </c>
      <c r="C2037" s="555" t="n">
        <v>98700</v>
      </c>
      <c r="D2037" s="556">
        <f>IF($A2037&gt;BOTT_A4,ROUND(BASE_A4+RATE_A4*($A2037-BOTT_A4),0),IF($A2037&gt;BOTT_A3,ROUND(BASE_A3+RATE_A3*($A2037-BOTT_A3),0),IF($A2037&gt;BOTT_A2,ROUND(BASE_A2+RATE_A2*($A2037-BOTT_A2),0),ROUND(RATE_A1*$A2037,0))))</f>
        <v/>
      </c>
      <c r="E2037" s="556">
        <f>IF($A2037&gt;BOTT_B4,ROUND(BASE_B4+RATE_B4*($A2037-BOTT_B4),0),IF($A2037&gt;BOTT_B3,ROUND(BASE_B3+RATE_B3*($A2037-BOTT_B3),0),IF($A2037&gt;BOTT_B2,ROUND(BASE_B2+RATE_B2*($A2037-BOTT_B2),0),ROUND(RATE_B1*$A2037,0))))</f>
        <v/>
      </c>
      <c r="F2037" s="556">
        <f>IF($A2037&gt;BOTT_C4,ROUND(BASE_C4+RATE_C4*($A2037-BOTT_C4),0),IF($A2037&gt;BOTT_C3,ROUND(BASE_C3+RATE_C3*($A2037-BOTT_C3),0),IF($A2037&gt;BOTT_C2,ROUND(BASE_C2+RATE_C2*($A2037-BOTT_C2),0),ROUND(RATE_C1*$A2037,0))))</f>
        <v/>
      </c>
      <c r="G2037" s="556">
        <f>IF($A2037&gt;BOTT_D4,ROUND(BASE_D4+RATE_D4*($A2037-BOTT_D4),0),IF($A2037&gt;BOTT_D3,ROUND(BASE_D3+RATE_D3*($A2037-BOTT_D3),0),IF($A2037&gt;BOTT_D2,ROUND(BASE_D2+RATE_D2*($A2037-BOTT_D2),0),ROUND(RATE_D1*$A2037,0))))</f>
        <v/>
      </c>
    </row>
    <row r="2038" ht="15.75" customHeight="1" s="7635">
      <c r="A2038" s="625">
        <f>AVERAGE(B2038,C2038)</f>
        <v/>
      </c>
      <c r="B2038" s="555" t="n">
        <v>98700</v>
      </c>
      <c r="C2038" s="555" t="n">
        <v>98750</v>
      </c>
      <c r="D2038" s="556">
        <f>IF($A2038&gt;BOTT_A4,ROUND(BASE_A4+RATE_A4*($A2038-BOTT_A4),0),IF($A2038&gt;BOTT_A3,ROUND(BASE_A3+RATE_A3*($A2038-BOTT_A3),0),IF($A2038&gt;BOTT_A2,ROUND(BASE_A2+RATE_A2*($A2038-BOTT_A2),0),ROUND(RATE_A1*$A2038,0))))</f>
        <v/>
      </c>
      <c r="E2038" s="556">
        <f>IF($A2038&gt;BOTT_B4,ROUND(BASE_B4+RATE_B4*($A2038-BOTT_B4),0),IF($A2038&gt;BOTT_B3,ROUND(BASE_B3+RATE_B3*($A2038-BOTT_B3),0),IF($A2038&gt;BOTT_B2,ROUND(BASE_B2+RATE_B2*($A2038-BOTT_B2),0),ROUND(RATE_B1*$A2038,0))))</f>
        <v/>
      </c>
      <c r="F2038" s="556">
        <f>IF($A2038&gt;BOTT_C4,ROUND(BASE_C4+RATE_C4*($A2038-BOTT_C4),0),IF($A2038&gt;BOTT_C3,ROUND(BASE_C3+RATE_C3*($A2038-BOTT_C3),0),IF($A2038&gt;BOTT_C2,ROUND(BASE_C2+RATE_C2*($A2038-BOTT_C2),0),ROUND(RATE_C1*$A2038,0))))</f>
        <v/>
      </c>
      <c r="G2038" s="556">
        <f>IF($A2038&gt;BOTT_D4,ROUND(BASE_D4+RATE_D4*($A2038-BOTT_D4),0),IF($A2038&gt;BOTT_D3,ROUND(BASE_D3+RATE_D3*($A2038-BOTT_D3),0),IF($A2038&gt;BOTT_D2,ROUND(BASE_D2+RATE_D2*($A2038-BOTT_D2),0),ROUND(RATE_D1*$A2038,0))))</f>
        <v/>
      </c>
    </row>
    <row r="2039" ht="15.75" customHeight="1" s="7635">
      <c r="A2039" s="625">
        <f>AVERAGE(B2039,C2039)</f>
        <v/>
      </c>
      <c r="B2039" s="555" t="n">
        <v>98750</v>
      </c>
      <c r="C2039" s="555" t="n">
        <v>98800</v>
      </c>
      <c r="D2039" s="556">
        <f>IF($A2039&gt;BOTT_A4,ROUND(BASE_A4+RATE_A4*($A2039-BOTT_A4),0),IF($A2039&gt;BOTT_A3,ROUND(BASE_A3+RATE_A3*($A2039-BOTT_A3),0),IF($A2039&gt;BOTT_A2,ROUND(BASE_A2+RATE_A2*($A2039-BOTT_A2),0),ROUND(RATE_A1*$A2039,0))))</f>
        <v/>
      </c>
      <c r="E2039" s="556">
        <f>IF($A2039&gt;BOTT_B4,ROUND(BASE_B4+RATE_B4*($A2039-BOTT_B4),0),IF($A2039&gt;BOTT_B3,ROUND(BASE_B3+RATE_B3*($A2039-BOTT_B3),0),IF($A2039&gt;BOTT_B2,ROUND(BASE_B2+RATE_B2*($A2039-BOTT_B2),0),ROUND(RATE_B1*$A2039,0))))</f>
        <v/>
      </c>
      <c r="F2039" s="556">
        <f>IF($A2039&gt;BOTT_C4,ROUND(BASE_C4+RATE_C4*($A2039-BOTT_C4),0),IF($A2039&gt;BOTT_C3,ROUND(BASE_C3+RATE_C3*($A2039-BOTT_C3),0),IF($A2039&gt;BOTT_C2,ROUND(BASE_C2+RATE_C2*($A2039-BOTT_C2),0),ROUND(RATE_C1*$A2039,0))))</f>
        <v/>
      </c>
      <c r="G2039" s="556">
        <f>IF($A2039&gt;BOTT_D4,ROUND(BASE_D4+RATE_D4*($A2039-BOTT_D4),0),IF($A2039&gt;BOTT_D3,ROUND(BASE_D3+RATE_D3*($A2039-BOTT_D3),0),IF($A2039&gt;BOTT_D2,ROUND(BASE_D2+RATE_D2*($A2039-BOTT_D2),0),ROUND(RATE_D1*$A2039,0))))</f>
        <v/>
      </c>
    </row>
    <row r="2040" ht="15.75" customHeight="1" s="7635">
      <c r="A2040" s="625">
        <f>AVERAGE(B2040,C2040)</f>
        <v/>
      </c>
      <c r="B2040" s="555" t="n">
        <v>98800</v>
      </c>
      <c r="C2040" s="555" t="n">
        <v>98850</v>
      </c>
      <c r="D2040" s="556">
        <f>IF($A2040&gt;BOTT_A4,ROUND(BASE_A4+RATE_A4*($A2040-BOTT_A4),0),IF($A2040&gt;BOTT_A3,ROUND(BASE_A3+RATE_A3*($A2040-BOTT_A3),0),IF($A2040&gt;BOTT_A2,ROUND(BASE_A2+RATE_A2*($A2040-BOTT_A2),0),ROUND(RATE_A1*$A2040,0))))</f>
        <v/>
      </c>
      <c r="E2040" s="556">
        <f>IF($A2040&gt;BOTT_B4,ROUND(BASE_B4+RATE_B4*($A2040-BOTT_B4),0),IF($A2040&gt;BOTT_B3,ROUND(BASE_B3+RATE_B3*($A2040-BOTT_B3),0),IF($A2040&gt;BOTT_B2,ROUND(BASE_B2+RATE_B2*($A2040-BOTT_B2),0),ROUND(RATE_B1*$A2040,0))))</f>
        <v/>
      </c>
      <c r="F2040" s="556">
        <f>IF($A2040&gt;BOTT_C4,ROUND(BASE_C4+RATE_C4*($A2040-BOTT_C4),0),IF($A2040&gt;BOTT_C3,ROUND(BASE_C3+RATE_C3*($A2040-BOTT_C3),0),IF($A2040&gt;BOTT_C2,ROUND(BASE_C2+RATE_C2*($A2040-BOTT_C2),0),ROUND(RATE_C1*$A2040,0))))</f>
        <v/>
      </c>
      <c r="G2040" s="556">
        <f>IF($A2040&gt;BOTT_D4,ROUND(BASE_D4+RATE_D4*($A2040-BOTT_D4),0),IF($A2040&gt;BOTT_D3,ROUND(BASE_D3+RATE_D3*($A2040-BOTT_D3),0),IF($A2040&gt;BOTT_D2,ROUND(BASE_D2+RATE_D2*($A2040-BOTT_D2),0),ROUND(RATE_D1*$A2040,0))))</f>
        <v/>
      </c>
    </row>
    <row r="2041" ht="15.75" customHeight="1" s="7635">
      <c r="A2041" s="625">
        <f>AVERAGE(B2041,C2041)</f>
        <v/>
      </c>
      <c r="B2041" s="555" t="n">
        <v>98850</v>
      </c>
      <c r="C2041" s="555" t="n">
        <v>98900</v>
      </c>
      <c r="D2041" s="556">
        <f>IF($A2041&gt;BOTT_A4,ROUND(BASE_A4+RATE_A4*($A2041-BOTT_A4),0),IF($A2041&gt;BOTT_A3,ROUND(BASE_A3+RATE_A3*($A2041-BOTT_A3),0),IF($A2041&gt;BOTT_A2,ROUND(BASE_A2+RATE_A2*($A2041-BOTT_A2),0),ROUND(RATE_A1*$A2041,0))))</f>
        <v/>
      </c>
      <c r="E2041" s="556">
        <f>IF($A2041&gt;BOTT_B4,ROUND(BASE_B4+RATE_B4*($A2041-BOTT_B4),0),IF($A2041&gt;BOTT_B3,ROUND(BASE_B3+RATE_B3*($A2041-BOTT_B3),0),IF($A2041&gt;BOTT_B2,ROUND(BASE_B2+RATE_B2*($A2041-BOTT_B2),0),ROUND(RATE_B1*$A2041,0))))</f>
        <v/>
      </c>
      <c r="F2041" s="556">
        <f>IF($A2041&gt;BOTT_C4,ROUND(BASE_C4+RATE_C4*($A2041-BOTT_C4),0),IF($A2041&gt;BOTT_C3,ROUND(BASE_C3+RATE_C3*($A2041-BOTT_C3),0),IF($A2041&gt;BOTT_C2,ROUND(BASE_C2+RATE_C2*($A2041-BOTT_C2),0),ROUND(RATE_C1*$A2041,0))))</f>
        <v/>
      </c>
      <c r="G2041" s="556">
        <f>IF($A2041&gt;BOTT_D4,ROUND(BASE_D4+RATE_D4*($A2041-BOTT_D4),0),IF($A2041&gt;BOTT_D3,ROUND(BASE_D3+RATE_D3*($A2041-BOTT_D3),0),IF($A2041&gt;BOTT_D2,ROUND(BASE_D2+RATE_D2*($A2041-BOTT_D2),0),ROUND(RATE_D1*$A2041,0))))</f>
        <v/>
      </c>
    </row>
    <row r="2042" ht="15.75" customHeight="1" s="7635">
      <c r="A2042" s="625">
        <f>AVERAGE(B2042,C2042)</f>
        <v/>
      </c>
      <c r="B2042" s="555" t="n">
        <v>98900</v>
      </c>
      <c r="C2042" s="555" t="n">
        <v>98950</v>
      </c>
      <c r="D2042" s="556">
        <f>IF($A2042&gt;BOTT_A4,ROUND(BASE_A4+RATE_A4*($A2042-BOTT_A4),0),IF($A2042&gt;BOTT_A3,ROUND(BASE_A3+RATE_A3*($A2042-BOTT_A3),0),IF($A2042&gt;BOTT_A2,ROUND(BASE_A2+RATE_A2*($A2042-BOTT_A2),0),ROUND(RATE_A1*$A2042,0))))</f>
        <v/>
      </c>
      <c r="E2042" s="556">
        <f>IF($A2042&gt;BOTT_B4,ROUND(BASE_B4+RATE_B4*($A2042-BOTT_B4),0),IF($A2042&gt;BOTT_B3,ROUND(BASE_B3+RATE_B3*($A2042-BOTT_B3),0),IF($A2042&gt;BOTT_B2,ROUND(BASE_B2+RATE_B2*($A2042-BOTT_B2),0),ROUND(RATE_B1*$A2042,0))))</f>
        <v/>
      </c>
      <c r="F2042" s="556">
        <f>IF($A2042&gt;BOTT_C4,ROUND(BASE_C4+RATE_C4*($A2042-BOTT_C4),0),IF($A2042&gt;BOTT_C3,ROUND(BASE_C3+RATE_C3*($A2042-BOTT_C3),0),IF($A2042&gt;BOTT_C2,ROUND(BASE_C2+RATE_C2*($A2042-BOTT_C2),0),ROUND(RATE_C1*$A2042,0))))</f>
        <v/>
      </c>
      <c r="G2042" s="556">
        <f>IF($A2042&gt;BOTT_D4,ROUND(BASE_D4+RATE_D4*($A2042-BOTT_D4),0),IF($A2042&gt;BOTT_D3,ROUND(BASE_D3+RATE_D3*($A2042-BOTT_D3),0),IF($A2042&gt;BOTT_D2,ROUND(BASE_D2+RATE_D2*($A2042-BOTT_D2),0),ROUND(RATE_D1*$A2042,0))))</f>
        <v/>
      </c>
    </row>
    <row r="2043" ht="15.75" customHeight="1" s="7635">
      <c r="A2043" s="625">
        <f>AVERAGE(B2043,C2043)</f>
        <v/>
      </c>
      <c r="B2043" s="555" t="n">
        <v>98950</v>
      </c>
      <c r="C2043" s="555" t="n">
        <v>99000</v>
      </c>
      <c r="D2043" s="556">
        <f>IF($A2043&gt;BOTT_A4,ROUND(BASE_A4+RATE_A4*($A2043-BOTT_A4),0),IF($A2043&gt;BOTT_A3,ROUND(BASE_A3+RATE_A3*($A2043-BOTT_A3),0),IF($A2043&gt;BOTT_A2,ROUND(BASE_A2+RATE_A2*($A2043-BOTT_A2),0),ROUND(RATE_A1*$A2043,0))))</f>
        <v/>
      </c>
      <c r="E2043" s="556">
        <f>IF($A2043&gt;BOTT_B4,ROUND(BASE_B4+RATE_B4*($A2043-BOTT_B4),0),IF($A2043&gt;BOTT_B3,ROUND(BASE_B3+RATE_B3*($A2043-BOTT_B3),0),IF($A2043&gt;BOTT_B2,ROUND(BASE_B2+RATE_B2*($A2043-BOTT_B2),0),ROUND(RATE_B1*$A2043,0))))</f>
        <v/>
      </c>
      <c r="F2043" s="556">
        <f>IF($A2043&gt;BOTT_C4,ROUND(BASE_C4+RATE_C4*($A2043-BOTT_C4),0),IF($A2043&gt;BOTT_C3,ROUND(BASE_C3+RATE_C3*($A2043-BOTT_C3),0),IF($A2043&gt;BOTT_C2,ROUND(BASE_C2+RATE_C2*($A2043-BOTT_C2),0),ROUND(RATE_C1*$A2043,0))))</f>
        <v/>
      </c>
      <c r="G2043" s="556">
        <f>IF($A2043&gt;BOTT_D4,ROUND(BASE_D4+RATE_D4*($A2043-BOTT_D4),0),IF($A2043&gt;BOTT_D3,ROUND(BASE_D3+RATE_D3*($A2043-BOTT_D3),0),IF($A2043&gt;BOTT_D2,ROUND(BASE_D2+RATE_D2*($A2043-BOTT_D2),0),ROUND(RATE_D1*$A2043,0))))</f>
        <v/>
      </c>
    </row>
    <row r="2044" ht="15.75" customHeight="1" s="7635">
      <c r="A2044" s="625">
        <f>AVERAGE(B2044,C2044)</f>
        <v/>
      </c>
      <c r="B2044" s="555" t="n">
        <v>99000</v>
      </c>
      <c r="C2044" s="555" t="n">
        <v>99050</v>
      </c>
      <c r="D2044" s="556">
        <f>IF($A2044&gt;BOTT_A4,ROUND(BASE_A4+RATE_A4*($A2044-BOTT_A4),0),IF($A2044&gt;BOTT_A3,ROUND(BASE_A3+RATE_A3*($A2044-BOTT_A3),0),IF($A2044&gt;BOTT_A2,ROUND(BASE_A2+RATE_A2*($A2044-BOTT_A2),0),ROUND(RATE_A1*$A2044,0))))</f>
        <v/>
      </c>
      <c r="E2044" s="556">
        <f>IF($A2044&gt;BOTT_B4,ROUND(BASE_B4+RATE_B4*($A2044-BOTT_B4),0),IF($A2044&gt;BOTT_B3,ROUND(BASE_B3+RATE_B3*($A2044-BOTT_B3),0),IF($A2044&gt;BOTT_B2,ROUND(BASE_B2+RATE_B2*($A2044-BOTT_B2),0),ROUND(RATE_B1*$A2044,0))))</f>
        <v/>
      </c>
      <c r="F2044" s="556">
        <f>IF($A2044&gt;BOTT_C4,ROUND(BASE_C4+RATE_C4*($A2044-BOTT_C4),0),IF($A2044&gt;BOTT_C3,ROUND(BASE_C3+RATE_C3*($A2044-BOTT_C3),0),IF($A2044&gt;BOTT_C2,ROUND(BASE_C2+RATE_C2*($A2044-BOTT_C2),0),ROUND(RATE_C1*$A2044,0))))</f>
        <v/>
      </c>
      <c r="G2044" s="556">
        <f>IF($A2044&gt;BOTT_D4,ROUND(BASE_D4+RATE_D4*($A2044-BOTT_D4),0),IF($A2044&gt;BOTT_D3,ROUND(BASE_D3+RATE_D3*($A2044-BOTT_D3),0),IF($A2044&gt;BOTT_D2,ROUND(BASE_D2+RATE_D2*($A2044-BOTT_D2),0),ROUND(RATE_D1*$A2044,0))))</f>
        <v/>
      </c>
    </row>
    <row r="2045" ht="15.75" customHeight="1" s="7635">
      <c r="A2045" s="625">
        <f>AVERAGE(B2045,C2045)</f>
        <v/>
      </c>
      <c r="B2045" s="555" t="n">
        <v>99050</v>
      </c>
      <c r="C2045" s="555" t="n">
        <v>99100</v>
      </c>
      <c r="D2045" s="556">
        <f>IF($A2045&gt;BOTT_A4,ROUND(BASE_A4+RATE_A4*($A2045-BOTT_A4),0),IF($A2045&gt;BOTT_A3,ROUND(BASE_A3+RATE_A3*($A2045-BOTT_A3),0),IF($A2045&gt;BOTT_A2,ROUND(BASE_A2+RATE_A2*($A2045-BOTT_A2),0),ROUND(RATE_A1*$A2045,0))))</f>
        <v/>
      </c>
      <c r="E2045" s="556">
        <f>IF($A2045&gt;BOTT_B4,ROUND(BASE_B4+RATE_B4*($A2045-BOTT_B4),0),IF($A2045&gt;BOTT_B3,ROUND(BASE_B3+RATE_B3*($A2045-BOTT_B3),0),IF($A2045&gt;BOTT_B2,ROUND(BASE_B2+RATE_B2*($A2045-BOTT_B2),0),ROUND(RATE_B1*$A2045,0))))</f>
        <v/>
      </c>
      <c r="F2045" s="556">
        <f>IF($A2045&gt;BOTT_C4,ROUND(BASE_C4+RATE_C4*($A2045-BOTT_C4),0),IF($A2045&gt;BOTT_C3,ROUND(BASE_C3+RATE_C3*($A2045-BOTT_C3),0),IF($A2045&gt;BOTT_C2,ROUND(BASE_C2+RATE_C2*($A2045-BOTT_C2),0),ROUND(RATE_C1*$A2045,0))))</f>
        <v/>
      </c>
      <c r="G2045" s="556">
        <f>IF($A2045&gt;BOTT_D4,ROUND(BASE_D4+RATE_D4*($A2045-BOTT_D4),0),IF($A2045&gt;BOTT_D3,ROUND(BASE_D3+RATE_D3*($A2045-BOTT_D3),0),IF($A2045&gt;BOTT_D2,ROUND(BASE_D2+RATE_D2*($A2045-BOTT_D2),0),ROUND(RATE_D1*$A2045,0))))</f>
        <v/>
      </c>
    </row>
    <row r="2046" ht="15.75" customHeight="1" s="7635">
      <c r="A2046" s="625">
        <f>AVERAGE(B2046,C2046)</f>
        <v/>
      </c>
      <c r="B2046" s="555" t="n">
        <v>99100</v>
      </c>
      <c r="C2046" s="555" t="n">
        <v>99150</v>
      </c>
      <c r="D2046" s="556">
        <f>IF($A2046&gt;BOTT_A4,ROUND(BASE_A4+RATE_A4*($A2046-BOTT_A4),0),IF($A2046&gt;BOTT_A3,ROUND(BASE_A3+RATE_A3*($A2046-BOTT_A3),0),IF($A2046&gt;BOTT_A2,ROUND(BASE_A2+RATE_A2*($A2046-BOTT_A2),0),ROUND(RATE_A1*$A2046,0))))</f>
        <v/>
      </c>
      <c r="E2046" s="556">
        <f>IF($A2046&gt;BOTT_B4,ROUND(BASE_B4+RATE_B4*($A2046-BOTT_B4),0),IF($A2046&gt;BOTT_B3,ROUND(BASE_B3+RATE_B3*($A2046-BOTT_B3),0),IF($A2046&gt;BOTT_B2,ROUND(BASE_B2+RATE_B2*($A2046-BOTT_B2),0),ROUND(RATE_B1*$A2046,0))))</f>
        <v/>
      </c>
      <c r="F2046" s="556">
        <f>IF($A2046&gt;BOTT_C4,ROUND(BASE_C4+RATE_C4*($A2046-BOTT_C4),0),IF($A2046&gt;BOTT_C3,ROUND(BASE_C3+RATE_C3*($A2046-BOTT_C3),0),IF($A2046&gt;BOTT_C2,ROUND(BASE_C2+RATE_C2*($A2046-BOTT_C2),0),ROUND(RATE_C1*$A2046,0))))</f>
        <v/>
      </c>
      <c r="G2046" s="556">
        <f>IF($A2046&gt;BOTT_D4,ROUND(BASE_D4+RATE_D4*($A2046-BOTT_D4),0),IF($A2046&gt;BOTT_D3,ROUND(BASE_D3+RATE_D3*($A2046-BOTT_D3),0),IF($A2046&gt;BOTT_D2,ROUND(BASE_D2+RATE_D2*($A2046-BOTT_D2),0),ROUND(RATE_D1*$A2046,0))))</f>
        <v/>
      </c>
    </row>
    <row r="2047" ht="15.75" customHeight="1" s="7635">
      <c r="A2047" s="625">
        <f>AVERAGE(B2047,C2047)</f>
        <v/>
      </c>
      <c r="B2047" s="555" t="n">
        <v>99150</v>
      </c>
      <c r="C2047" s="555" t="n">
        <v>99200</v>
      </c>
      <c r="D2047" s="556">
        <f>IF($A2047&gt;BOTT_A4,ROUND(BASE_A4+RATE_A4*($A2047-BOTT_A4),0),IF($A2047&gt;BOTT_A3,ROUND(BASE_A3+RATE_A3*($A2047-BOTT_A3),0),IF($A2047&gt;BOTT_A2,ROUND(BASE_A2+RATE_A2*($A2047-BOTT_A2),0),ROUND(RATE_A1*$A2047,0))))</f>
        <v/>
      </c>
      <c r="E2047" s="556">
        <f>IF($A2047&gt;BOTT_B4,ROUND(BASE_B4+RATE_B4*($A2047-BOTT_B4),0),IF($A2047&gt;BOTT_B3,ROUND(BASE_B3+RATE_B3*($A2047-BOTT_B3),0),IF($A2047&gt;BOTT_B2,ROUND(BASE_B2+RATE_B2*($A2047-BOTT_B2),0),ROUND(RATE_B1*$A2047,0))))</f>
        <v/>
      </c>
      <c r="F2047" s="556">
        <f>IF($A2047&gt;BOTT_C4,ROUND(BASE_C4+RATE_C4*($A2047-BOTT_C4),0),IF($A2047&gt;BOTT_C3,ROUND(BASE_C3+RATE_C3*($A2047-BOTT_C3),0),IF($A2047&gt;BOTT_C2,ROUND(BASE_C2+RATE_C2*($A2047-BOTT_C2),0),ROUND(RATE_C1*$A2047,0))))</f>
        <v/>
      </c>
      <c r="G2047" s="556">
        <f>IF($A2047&gt;BOTT_D4,ROUND(BASE_D4+RATE_D4*($A2047-BOTT_D4),0),IF($A2047&gt;BOTT_D3,ROUND(BASE_D3+RATE_D3*($A2047-BOTT_D3),0),IF($A2047&gt;BOTT_D2,ROUND(BASE_D2+RATE_D2*($A2047-BOTT_D2),0),ROUND(RATE_D1*$A2047,0))))</f>
        <v/>
      </c>
    </row>
    <row r="2048" ht="15.75" customHeight="1" s="7635">
      <c r="A2048" s="625">
        <f>AVERAGE(B2048,C2048)</f>
        <v/>
      </c>
      <c r="B2048" s="555" t="n">
        <v>99200</v>
      </c>
      <c r="C2048" s="555" t="n">
        <v>99250</v>
      </c>
      <c r="D2048" s="556">
        <f>IF($A2048&gt;BOTT_A4,ROUND(BASE_A4+RATE_A4*($A2048-BOTT_A4),0),IF($A2048&gt;BOTT_A3,ROUND(BASE_A3+RATE_A3*($A2048-BOTT_A3),0),IF($A2048&gt;BOTT_A2,ROUND(BASE_A2+RATE_A2*($A2048-BOTT_A2),0),ROUND(RATE_A1*$A2048,0))))</f>
        <v/>
      </c>
      <c r="E2048" s="556">
        <f>IF($A2048&gt;BOTT_B4,ROUND(BASE_B4+RATE_B4*($A2048-BOTT_B4),0),IF($A2048&gt;BOTT_B3,ROUND(BASE_B3+RATE_B3*($A2048-BOTT_B3),0),IF($A2048&gt;BOTT_B2,ROUND(BASE_B2+RATE_B2*($A2048-BOTT_B2),0),ROUND(RATE_B1*$A2048,0))))</f>
        <v/>
      </c>
      <c r="F2048" s="556">
        <f>IF($A2048&gt;BOTT_C4,ROUND(BASE_C4+RATE_C4*($A2048-BOTT_C4),0),IF($A2048&gt;BOTT_C3,ROUND(BASE_C3+RATE_C3*($A2048-BOTT_C3),0),IF($A2048&gt;BOTT_C2,ROUND(BASE_C2+RATE_C2*($A2048-BOTT_C2),0),ROUND(RATE_C1*$A2048,0))))</f>
        <v/>
      </c>
      <c r="G2048" s="556">
        <f>IF($A2048&gt;BOTT_D4,ROUND(BASE_D4+RATE_D4*($A2048-BOTT_D4),0),IF($A2048&gt;BOTT_D3,ROUND(BASE_D3+RATE_D3*($A2048-BOTT_D3),0),IF($A2048&gt;BOTT_D2,ROUND(BASE_D2+RATE_D2*($A2048-BOTT_D2),0),ROUND(RATE_D1*$A2048,0))))</f>
        <v/>
      </c>
    </row>
    <row r="2049" ht="15.75" customHeight="1" s="7635">
      <c r="A2049" s="625">
        <f>AVERAGE(B2049,C2049)</f>
        <v/>
      </c>
      <c r="B2049" s="555" t="n">
        <v>99250</v>
      </c>
      <c r="C2049" s="555" t="n">
        <v>99300</v>
      </c>
      <c r="D2049" s="556">
        <f>IF($A2049&gt;BOTT_A4,ROUND(BASE_A4+RATE_A4*($A2049-BOTT_A4),0),IF($A2049&gt;BOTT_A3,ROUND(BASE_A3+RATE_A3*($A2049-BOTT_A3),0),IF($A2049&gt;BOTT_A2,ROUND(BASE_A2+RATE_A2*($A2049-BOTT_A2),0),ROUND(RATE_A1*$A2049,0))))</f>
        <v/>
      </c>
      <c r="E2049" s="556">
        <f>IF($A2049&gt;BOTT_B4,ROUND(BASE_B4+RATE_B4*($A2049-BOTT_B4),0),IF($A2049&gt;BOTT_B3,ROUND(BASE_B3+RATE_B3*($A2049-BOTT_B3),0),IF($A2049&gt;BOTT_B2,ROUND(BASE_B2+RATE_B2*($A2049-BOTT_B2),0),ROUND(RATE_B1*$A2049,0))))</f>
        <v/>
      </c>
      <c r="F2049" s="556">
        <f>IF($A2049&gt;BOTT_C4,ROUND(BASE_C4+RATE_C4*($A2049-BOTT_C4),0),IF($A2049&gt;BOTT_C3,ROUND(BASE_C3+RATE_C3*($A2049-BOTT_C3),0),IF($A2049&gt;BOTT_C2,ROUND(BASE_C2+RATE_C2*($A2049-BOTT_C2),0),ROUND(RATE_C1*$A2049,0))))</f>
        <v/>
      </c>
      <c r="G2049" s="556">
        <f>IF($A2049&gt;BOTT_D4,ROUND(BASE_D4+RATE_D4*($A2049-BOTT_D4),0),IF($A2049&gt;BOTT_D3,ROUND(BASE_D3+RATE_D3*($A2049-BOTT_D3),0),IF($A2049&gt;BOTT_D2,ROUND(BASE_D2+RATE_D2*($A2049-BOTT_D2),0),ROUND(RATE_D1*$A2049,0))))</f>
        <v/>
      </c>
    </row>
    <row r="2050" ht="15.75" customHeight="1" s="7635">
      <c r="A2050" s="625">
        <f>AVERAGE(B2050,C2050)</f>
        <v/>
      </c>
      <c r="B2050" s="555" t="n">
        <v>99300</v>
      </c>
      <c r="C2050" s="555" t="n">
        <v>99350</v>
      </c>
      <c r="D2050" s="556">
        <f>IF($A2050&gt;BOTT_A4,ROUND(BASE_A4+RATE_A4*($A2050-BOTT_A4),0),IF($A2050&gt;BOTT_A3,ROUND(BASE_A3+RATE_A3*($A2050-BOTT_A3),0),IF($A2050&gt;BOTT_A2,ROUND(BASE_A2+RATE_A2*($A2050-BOTT_A2),0),ROUND(RATE_A1*$A2050,0))))</f>
        <v/>
      </c>
      <c r="E2050" s="556">
        <f>IF($A2050&gt;BOTT_B4,ROUND(BASE_B4+RATE_B4*($A2050-BOTT_B4),0),IF($A2050&gt;BOTT_B3,ROUND(BASE_B3+RATE_B3*($A2050-BOTT_B3),0),IF($A2050&gt;BOTT_B2,ROUND(BASE_B2+RATE_B2*($A2050-BOTT_B2),0),ROUND(RATE_B1*$A2050,0))))</f>
        <v/>
      </c>
      <c r="F2050" s="556">
        <f>IF($A2050&gt;BOTT_C4,ROUND(BASE_C4+RATE_C4*($A2050-BOTT_C4),0),IF($A2050&gt;BOTT_C3,ROUND(BASE_C3+RATE_C3*($A2050-BOTT_C3),0),IF($A2050&gt;BOTT_C2,ROUND(BASE_C2+RATE_C2*($A2050-BOTT_C2),0),ROUND(RATE_C1*$A2050,0))))</f>
        <v/>
      </c>
      <c r="G2050" s="556">
        <f>IF($A2050&gt;BOTT_D4,ROUND(BASE_D4+RATE_D4*($A2050-BOTT_D4),0),IF($A2050&gt;BOTT_D3,ROUND(BASE_D3+RATE_D3*($A2050-BOTT_D3),0),IF($A2050&gt;BOTT_D2,ROUND(BASE_D2+RATE_D2*($A2050-BOTT_D2),0),ROUND(RATE_D1*$A2050,0))))</f>
        <v/>
      </c>
    </row>
    <row r="2051" ht="15.75" customHeight="1" s="7635">
      <c r="A2051" s="625">
        <f>AVERAGE(B2051,C2051)</f>
        <v/>
      </c>
      <c r="B2051" s="555" t="n">
        <v>99350</v>
      </c>
      <c r="C2051" s="555" t="n">
        <v>99400</v>
      </c>
      <c r="D2051" s="556">
        <f>IF($A2051&gt;BOTT_A4,ROUND(BASE_A4+RATE_A4*($A2051-BOTT_A4),0),IF($A2051&gt;BOTT_A3,ROUND(BASE_A3+RATE_A3*($A2051-BOTT_A3),0),IF($A2051&gt;BOTT_A2,ROUND(BASE_A2+RATE_A2*($A2051-BOTT_A2),0),ROUND(RATE_A1*$A2051,0))))</f>
        <v/>
      </c>
      <c r="E2051" s="556">
        <f>IF($A2051&gt;BOTT_B4,ROUND(BASE_B4+RATE_B4*($A2051-BOTT_B4),0),IF($A2051&gt;BOTT_B3,ROUND(BASE_B3+RATE_B3*($A2051-BOTT_B3),0),IF($A2051&gt;BOTT_B2,ROUND(BASE_B2+RATE_B2*($A2051-BOTT_B2),0),ROUND(RATE_B1*$A2051,0))))</f>
        <v/>
      </c>
      <c r="F2051" s="556">
        <f>IF($A2051&gt;BOTT_C4,ROUND(BASE_C4+RATE_C4*($A2051-BOTT_C4),0),IF($A2051&gt;BOTT_C3,ROUND(BASE_C3+RATE_C3*($A2051-BOTT_C3),0),IF($A2051&gt;BOTT_C2,ROUND(BASE_C2+RATE_C2*($A2051-BOTT_C2),0),ROUND(RATE_C1*$A2051,0))))</f>
        <v/>
      </c>
      <c r="G2051" s="556">
        <f>IF($A2051&gt;BOTT_D4,ROUND(BASE_D4+RATE_D4*($A2051-BOTT_D4),0),IF($A2051&gt;BOTT_D3,ROUND(BASE_D3+RATE_D3*($A2051-BOTT_D3),0),IF($A2051&gt;BOTT_D2,ROUND(BASE_D2+RATE_D2*($A2051-BOTT_D2),0),ROUND(RATE_D1*$A2051,0))))</f>
        <v/>
      </c>
    </row>
    <row r="2052" ht="15.75" customHeight="1" s="7635">
      <c r="A2052" s="625">
        <f>AVERAGE(B2052,C2052)</f>
        <v/>
      </c>
      <c r="B2052" s="555" t="n">
        <v>99400</v>
      </c>
      <c r="C2052" s="555" t="n">
        <v>99450</v>
      </c>
      <c r="D2052" s="556">
        <f>IF($A2052&gt;BOTT_A4,ROUND(BASE_A4+RATE_A4*($A2052-BOTT_A4),0),IF($A2052&gt;BOTT_A3,ROUND(BASE_A3+RATE_A3*($A2052-BOTT_A3),0),IF($A2052&gt;BOTT_A2,ROUND(BASE_A2+RATE_A2*($A2052-BOTT_A2),0),ROUND(RATE_A1*$A2052,0))))</f>
        <v/>
      </c>
      <c r="E2052" s="556">
        <f>IF($A2052&gt;BOTT_B4,ROUND(BASE_B4+RATE_B4*($A2052-BOTT_B4),0),IF($A2052&gt;BOTT_B3,ROUND(BASE_B3+RATE_B3*($A2052-BOTT_B3),0),IF($A2052&gt;BOTT_B2,ROUND(BASE_B2+RATE_B2*($A2052-BOTT_B2),0),ROUND(RATE_B1*$A2052,0))))</f>
        <v/>
      </c>
      <c r="F2052" s="556">
        <f>IF($A2052&gt;BOTT_C4,ROUND(BASE_C4+RATE_C4*($A2052-BOTT_C4),0),IF($A2052&gt;BOTT_C3,ROUND(BASE_C3+RATE_C3*($A2052-BOTT_C3),0),IF($A2052&gt;BOTT_C2,ROUND(BASE_C2+RATE_C2*($A2052-BOTT_C2),0),ROUND(RATE_C1*$A2052,0))))</f>
        <v/>
      </c>
      <c r="G2052" s="556">
        <f>IF($A2052&gt;BOTT_D4,ROUND(BASE_D4+RATE_D4*($A2052-BOTT_D4),0),IF($A2052&gt;BOTT_D3,ROUND(BASE_D3+RATE_D3*($A2052-BOTT_D3),0),IF($A2052&gt;BOTT_D2,ROUND(BASE_D2+RATE_D2*($A2052-BOTT_D2),0),ROUND(RATE_D1*$A2052,0))))</f>
        <v/>
      </c>
    </row>
    <row r="2053" ht="15.75" customHeight="1" s="7635">
      <c r="A2053" s="625">
        <f>AVERAGE(B2053,C2053)</f>
        <v/>
      </c>
      <c r="B2053" s="555" t="n">
        <v>99450</v>
      </c>
      <c r="C2053" s="555" t="n">
        <v>99500</v>
      </c>
      <c r="D2053" s="556">
        <f>IF($A2053&gt;BOTT_A4,ROUND(BASE_A4+RATE_A4*($A2053-BOTT_A4),0),IF($A2053&gt;BOTT_A3,ROUND(BASE_A3+RATE_A3*($A2053-BOTT_A3),0),IF($A2053&gt;BOTT_A2,ROUND(BASE_A2+RATE_A2*($A2053-BOTT_A2),0),ROUND(RATE_A1*$A2053,0))))</f>
        <v/>
      </c>
      <c r="E2053" s="556">
        <f>IF($A2053&gt;BOTT_B4,ROUND(BASE_B4+RATE_B4*($A2053-BOTT_B4),0),IF($A2053&gt;BOTT_B3,ROUND(BASE_B3+RATE_B3*($A2053-BOTT_B3),0),IF($A2053&gt;BOTT_B2,ROUND(BASE_B2+RATE_B2*($A2053-BOTT_B2),0),ROUND(RATE_B1*$A2053,0))))</f>
        <v/>
      </c>
      <c r="F2053" s="556">
        <f>IF($A2053&gt;BOTT_C4,ROUND(BASE_C4+RATE_C4*($A2053-BOTT_C4),0),IF($A2053&gt;BOTT_C3,ROUND(BASE_C3+RATE_C3*($A2053-BOTT_C3),0),IF($A2053&gt;BOTT_C2,ROUND(BASE_C2+RATE_C2*($A2053-BOTT_C2),0),ROUND(RATE_C1*$A2053,0))))</f>
        <v/>
      </c>
      <c r="G2053" s="556">
        <f>IF($A2053&gt;BOTT_D4,ROUND(BASE_D4+RATE_D4*($A2053-BOTT_D4),0),IF($A2053&gt;BOTT_D3,ROUND(BASE_D3+RATE_D3*($A2053-BOTT_D3),0),IF($A2053&gt;BOTT_D2,ROUND(BASE_D2+RATE_D2*($A2053-BOTT_D2),0),ROUND(RATE_D1*$A2053,0))))</f>
        <v/>
      </c>
    </row>
    <row r="2054" ht="15.75" customHeight="1" s="7635">
      <c r="A2054" s="625">
        <f>AVERAGE(B2054,C2054)</f>
        <v/>
      </c>
      <c r="B2054" s="555" t="n">
        <v>99500</v>
      </c>
      <c r="C2054" s="555" t="n">
        <v>99550</v>
      </c>
      <c r="D2054" s="556">
        <f>IF($A2054&gt;BOTT_A4,ROUND(BASE_A4+RATE_A4*($A2054-BOTT_A4),0),IF($A2054&gt;BOTT_A3,ROUND(BASE_A3+RATE_A3*($A2054-BOTT_A3),0),IF($A2054&gt;BOTT_A2,ROUND(BASE_A2+RATE_A2*($A2054-BOTT_A2),0),ROUND(RATE_A1*$A2054,0))))</f>
        <v/>
      </c>
      <c r="E2054" s="556">
        <f>IF($A2054&gt;BOTT_B4,ROUND(BASE_B4+RATE_B4*($A2054-BOTT_B4),0),IF($A2054&gt;BOTT_B3,ROUND(BASE_B3+RATE_B3*($A2054-BOTT_B3),0),IF($A2054&gt;BOTT_B2,ROUND(BASE_B2+RATE_B2*($A2054-BOTT_B2),0),ROUND(RATE_B1*$A2054,0))))</f>
        <v/>
      </c>
      <c r="F2054" s="556">
        <f>IF($A2054&gt;BOTT_C4,ROUND(BASE_C4+RATE_C4*($A2054-BOTT_C4),0),IF($A2054&gt;BOTT_C3,ROUND(BASE_C3+RATE_C3*($A2054-BOTT_C3),0),IF($A2054&gt;BOTT_C2,ROUND(BASE_C2+RATE_C2*($A2054-BOTT_C2),0),ROUND(RATE_C1*$A2054,0))))</f>
        <v/>
      </c>
      <c r="G2054" s="556">
        <f>IF($A2054&gt;BOTT_D4,ROUND(BASE_D4+RATE_D4*($A2054-BOTT_D4),0),IF($A2054&gt;BOTT_D3,ROUND(BASE_D3+RATE_D3*($A2054-BOTT_D3),0),IF($A2054&gt;BOTT_D2,ROUND(BASE_D2+RATE_D2*($A2054-BOTT_D2),0),ROUND(RATE_D1*$A2054,0))))</f>
        <v/>
      </c>
    </row>
    <row r="2055" ht="15.75" customHeight="1" s="7635">
      <c r="A2055" s="625">
        <f>AVERAGE(B2055,C2055)</f>
        <v/>
      </c>
      <c r="B2055" s="555" t="n">
        <v>99550</v>
      </c>
      <c r="C2055" s="555" t="n">
        <v>99600</v>
      </c>
      <c r="D2055" s="556">
        <f>IF($A2055&gt;BOTT_A4,ROUND(BASE_A4+RATE_A4*($A2055-BOTT_A4),0),IF($A2055&gt;BOTT_A3,ROUND(BASE_A3+RATE_A3*($A2055-BOTT_A3),0),IF($A2055&gt;BOTT_A2,ROUND(BASE_A2+RATE_A2*($A2055-BOTT_A2),0),ROUND(RATE_A1*$A2055,0))))</f>
        <v/>
      </c>
      <c r="E2055" s="556">
        <f>IF($A2055&gt;BOTT_B4,ROUND(BASE_B4+RATE_B4*($A2055-BOTT_B4),0),IF($A2055&gt;BOTT_B3,ROUND(BASE_B3+RATE_B3*($A2055-BOTT_B3),0),IF($A2055&gt;BOTT_B2,ROUND(BASE_B2+RATE_B2*($A2055-BOTT_B2),0),ROUND(RATE_B1*$A2055,0))))</f>
        <v/>
      </c>
      <c r="F2055" s="556">
        <f>IF($A2055&gt;BOTT_C4,ROUND(BASE_C4+RATE_C4*($A2055-BOTT_C4),0),IF($A2055&gt;BOTT_C3,ROUND(BASE_C3+RATE_C3*($A2055-BOTT_C3),0),IF($A2055&gt;BOTT_C2,ROUND(BASE_C2+RATE_C2*($A2055-BOTT_C2),0),ROUND(RATE_C1*$A2055,0))))</f>
        <v/>
      </c>
      <c r="G2055" s="556">
        <f>IF($A2055&gt;BOTT_D4,ROUND(BASE_D4+RATE_D4*($A2055-BOTT_D4),0),IF($A2055&gt;BOTT_D3,ROUND(BASE_D3+RATE_D3*($A2055-BOTT_D3),0),IF($A2055&gt;BOTT_D2,ROUND(BASE_D2+RATE_D2*($A2055-BOTT_D2),0),ROUND(RATE_D1*$A2055,0))))</f>
        <v/>
      </c>
    </row>
    <row r="2056" ht="15.75" customHeight="1" s="7635">
      <c r="A2056" s="625">
        <f>AVERAGE(B2056,C2056)</f>
        <v/>
      </c>
      <c r="B2056" s="555" t="n">
        <v>99600</v>
      </c>
      <c r="C2056" s="555" t="n">
        <v>99650</v>
      </c>
      <c r="D2056" s="556">
        <f>IF($A2056&gt;BOTT_A4,ROUND(BASE_A4+RATE_A4*($A2056-BOTT_A4),0),IF($A2056&gt;BOTT_A3,ROUND(BASE_A3+RATE_A3*($A2056-BOTT_A3),0),IF($A2056&gt;BOTT_A2,ROUND(BASE_A2+RATE_A2*($A2056-BOTT_A2),0),ROUND(RATE_A1*$A2056,0))))</f>
        <v/>
      </c>
      <c r="E2056" s="556">
        <f>IF($A2056&gt;BOTT_B4,ROUND(BASE_B4+RATE_B4*($A2056-BOTT_B4),0),IF($A2056&gt;BOTT_B3,ROUND(BASE_B3+RATE_B3*($A2056-BOTT_B3),0),IF($A2056&gt;BOTT_B2,ROUND(BASE_B2+RATE_B2*($A2056-BOTT_B2),0),ROUND(RATE_B1*$A2056,0))))</f>
        <v/>
      </c>
      <c r="F2056" s="556">
        <f>IF($A2056&gt;BOTT_C4,ROUND(BASE_C4+RATE_C4*($A2056-BOTT_C4),0),IF($A2056&gt;BOTT_C3,ROUND(BASE_C3+RATE_C3*($A2056-BOTT_C3),0),IF($A2056&gt;BOTT_C2,ROUND(BASE_C2+RATE_C2*($A2056-BOTT_C2),0),ROUND(RATE_C1*$A2056,0))))</f>
        <v/>
      </c>
      <c r="G2056" s="556">
        <f>IF($A2056&gt;BOTT_D4,ROUND(BASE_D4+RATE_D4*($A2056-BOTT_D4),0),IF($A2056&gt;BOTT_D3,ROUND(BASE_D3+RATE_D3*($A2056-BOTT_D3),0),IF($A2056&gt;BOTT_D2,ROUND(BASE_D2+RATE_D2*($A2056-BOTT_D2),0),ROUND(RATE_D1*$A2056,0))))</f>
        <v/>
      </c>
    </row>
    <row r="2057" ht="15.75" customHeight="1" s="7635">
      <c r="A2057" s="625">
        <f>AVERAGE(B2057,C2057)</f>
        <v/>
      </c>
      <c r="B2057" s="555" t="n">
        <v>99650</v>
      </c>
      <c r="C2057" s="555" t="n">
        <v>99700</v>
      </c>
      <c r="D2057" s="556">
        <f>IF($A2057&gt;BOTT_A4,ROUND(BASE_A4+RATE_A4*($A2057-BOTT_A4),0),IF($A2057&gt;BOTT_A3,ROUND(BASE_A3+RATE_A3*($A2057-BOTT_A3),0),IF($A2057&gt;BOTT_A2,ROUND(BASE_A2+RATE_A2*($A2057-BOTT_A2),0),ROUND(RATE_A1*$A2057,0))))</f>
        <v/>
      </c>
      <c r="E2057" s="556">
        <f>IF($A2057&gt;BOTT_B4,ROUND(BASE_B4+RATE_B4*($A2057-BOTT_B4),0),IF($A2057&gt;BOTT_B3,ROUND(BASE_B3+RATE_B3*($A2057-BOTT_B3),0),IF($A2057&gt;BOTT_B2,ROUND(BASE_B2+RATE_B2*($A2057-BOTT_B2),0),ROUND(RATE_B1*$A2057,0))))</f>
        <v/>
      </c>
      <c r="F2057" s="556">
        <f>IF($A2057&gt;BOTT_C4,ROUND(BASE_C4+RATE_C4*($A2057-BOTT_C4),0),IF($A2057&gt;BOTT_C3,ROUND(BASE_C3+RATE_C3*($A2057-BOTT_C3),0),IF($A2057&gt;BOTT_C2,ROUND(BASE_C2+RATE_C2*($A2057-BOTT_C2),0),ROUND(RATE_C1*$A2057,0))))</f>
        <v/>
      </c>
      <c r="G2057" s="556">
        <f>IF($A2057&gt;BOTT_D4,ROUND(BASE_D4+RATE_D4*($A2057-BOTT_D4),0),IF($A2057&gt;BOTT_D3,ROUND(BASE_D3+RATE_D3*($A2057-BOTT_D3),0),IF($A2057&gt;BOTT_D2,ROUND(BASE_D2+RATE_D2*($A2057-BOTT_D2),0),ROUND(RATE_D1*$A2057,0))))</f>
        <v/>
      </c>
    </row>
    <row r="2058" ht="15.75" customHeight="1" s="7635">
      <c r="A2058" s="625">
        <f>AVERAGE(B2058,C2058)</f>
        <v/>
      </c>
      <c r="B2058" s="555" t="n">
        <v>99700</v>
      </c>
      <c r="C2058" s="555" t="n">
        <v>99750</v>
      </c>
      <c r="D2058" s="556">
        <f>IF($A2058&gt;BOTT_A4,ROUND(BASE_A4+RATE_A4*($A2058-BOTT_A4),0),IF($A2058&gt;BOTT_A3,ROUND(BASE_A3+RATE_A3*($A2058-BOTT_A3),0),IF($A2058&gt;BOTT_A2,ROUND(BASE_A2+RATE_A2*($A2058-BOTT_A2),0),ROUND(RATE_A1*$A2058,0))))</f>
        <v/>
      </c>
      <c r="E2058" s="556">
        <f>IF($A2058&gt;BOTT_B4,ROUND(BASE_B4+RATE_B4*($A2058-BOTT_B4),0),IF($A2058&gt;BOTT_B3,ROUND(BASE_B3+RATE_B3*($A2058-BOTT_B3),0),IF($A2058&gt;BOTT_B2,ROUND(BASE_B2+RATE_B2*($A2058-BOTT_B2),0),ROUND(RATE_B1*$A2058,0))))</f>
        <v/>
      </c>
      <c r="F2058" s="556">
        <f>IF($A2058&gt;BOTT_C4,ROUND(BASE_C4+RATE_C4*($A2058-BOTT_C4),0),IF($A2058&gt;BOTT_C3,ROUND(BASE_C3+RATE_C3*($A2058-BOTT_C3),0),IF($A2058&gt;BOTT_C2,ROUND(BASE_C2+RATE_C2*($A2058-BOTT_C2),0),ROUND(RATE_C1*$A2058,0))))</f>
        <v/>
      </c>
      <c r="G2058" s="556">
        <f>IF($A2058&gt;BOTT_D4,ROUND(BASE_D4+RATE_D4*($A2058-BOTT_D4),0),IF($A2058&gt;BOTT_D3,ROUND(BASE_D3+RATE_D3*($A2058-BOTT_D3),0),IF($A2058&gt;BOTT_D2,ROUND(BASE_D2+RATE_D2*($A2058-BOTT_D2),0),ROUND(RATE_D1*$A2058,0))))</f>
        <v/>
      </c>
    </row>
    <row r="2059" ht="15.75" customHeight="1" s="7635">
      <c r="A2059" s="625">
        <f>AVERAGE(B2059,C2059)</f>
        <v/>
      </c>
      <c r="B2059" s="555" t="n">
        <v>99750</v>
      </c>
      <c r="C2059" s="555" t="n">
        <v>99800</v>
      </c>
      <c r="D2059" s="556">
        <f>IF($A2059&gt;BOTT_A4,ROUND(BASE_A4+RATE_A4*($A2059-BOTT_A4),0),IF($A2059&gt;BOTT_A3,ROUND(BASE_A3+RATE_A3*($A2059-BOTT_A3),0),IF($A2059&gt;BOTT_A2,ROUND(BASE_A2+RATE_A2*($A2059-BOTT_A2),0),ROUND(RATE_A1*$A2059,0))))</f>
        <v/>
      </c>
      <c r="E2059" s="556">
        <f>IF($A2059&gt;BOTT_B4,ROUND(BASE_B4+RATE_B4*($A2059-BOTT_B4),0),IF($A2059&gt;BOTT_B3,ROUND(BASE_B3+RATE_B3*($A2059-BOTT_B3),0),IF($A2059&gt;BOTT_B2,ROUND(BASE_B2+RATE_B2*($A2059-BOTT_B2),0),ROUND(RATE_B1*$A2059,0))))</f>
        <v/>
      </c>
      <c r="F2059" s="556">
        <f>IF($A2059&gt;BOTT_C4,ROUND(BASE_C4+RATE_C4*($A2059-BOTT_C4),0),IF($A2059&gt;BOTT_C3,ROUND(BASE_C3+RATE_C3*($A2059-BOTT_C3),0),IF($A2059&gt;BOTT_C2,ROUND(BASE_C2+RATE_C2*($A2059-BOTT_C2),0),ROUND(RATE_C1*$A2059,0))))</f>
        <v/>
      </c>
      <c r="G2059" s="556">
        <f>IF($A2059&gt;BOTT_D4,ROUND(BASE_D4+RATE_D4*($A2059-BOTT_D4),0),IF($A2059&gt;BOTT_D3,ROUND(BASE_D3+RATE_D3*($A2059-BOTT_D3),0),IF($A2059&gt;BOTT_D2,ROUND(BASE_D2+RATE_D2*($A2059-BOTT_D2),0),ROUND(RATE_D1*$A2059,0))))</f>
        <v/>
      </c>
    </row>
    <row r="2060" ht="15.75" customHeight="1" s="7635">
      <c r="A2060" s="625">
        <f>AVERAGE(B2060,C2060)</f>
        <v/>
      </c>
      <c r="B2060" s="555" t="n">
        <v>99800</v>
      </c>
      <c r="C2060" s="555" t="n">
        <v>99850</v>
      </c>
      <c r="D2060" s="556">
        <f>IF($A2060&gt;BOTT_A4,ROUND(BASE_A4+RATE_A4*($A2060-BOTT_A4),0),IF($A2060&gt;BOTT_A3,ROUND(BASE_A3+RATE_A3*($A2060-BOTT_A3),0),IF($A2060&gt;BOTT_A2,ROUND(BASE_A2+RATE_A2*($A2060-BOTT_A2),0),ROUND(RATE_A1*$A2060,0))))</f>
        <v/>
      </c>
      <c r="E2060" s="556">
        <f>IF($A2060&gt;BOTT_B4,ROUND(BASE_B4+RATE_B4*($A2060-BOTT_B4),0),IF($A2060&gt;BOTT_B3,ROUND(BASE_B3+RATE_B3*($A2060-BOTT_B3),0),IF($A2060&gt;BOTT_B2,ROUND(BASE_B2+RATE_B2*($A2060-BOTT_B2),0),ROUND(RATE_B1*$A2060,0))))</f>
        <v/>
      </c>
      <c r="F2060" s="556">
        <f>IF($A2060&gt;BOTT_C4,ROUND(BASE_C4+RATE_C4*($A2060-BOTT_C4),0),IF($A2060&gt;BOTT_C3,ROUND(BASE_C3+RATE_C3*($A2060-BOTT_C3),0),IF($A2060&gt;BOTT_C2,ROUND(BASE_C2+RATE_C2*($A2060-BOTT_C2),0),ROUND(RATE_C1*$A2060,0))))</f>
        <v/>
      </c>
      <c r="G2060" s="556">
        <f>IF($A2060&gt;BOTT_D4,ROUND(BASE_D4+RATE_D4*($A2060-BOTT_D4),0),IF($A2060&gt;BOTT_D3,ROUND(BASE_D3+RATE_D3*($A2060-BOTT_D3),0),IF($A2060&gt;BOTT_D2,ROUND(BASE_D2+RATE_D2*($A2060-BOTT_D2),0),ROUND(RATE_D1*$A2060,0))))</f>
        <v/>
      </c>
    </row>
    <row r="2061" ht="15.75" customHeight="1" s="7635">
      <c r="A2061" s="625">
        <f>AVERAGE(B2061,C2061)</f>
        <v/>
      </c>
      <c r="B2061" s="555" t="n">
        <v>99850</v>
      </c>
      <c r="C2061" s="555" t="n">
        <v>99900</v>
      </c>
      <c r="D2061" s="556">
        <f>IF($A2061&gt;BOTT_A4,ROUND(BASE_A4+RATE_A4*($A2061-BOTT_A4),0),IF($A2061&gt;BOTT_A3,ROUND(BASE_A3+RATE_A3*($A2061-BOTT_A3),0),IF($A2061&gt;BOTT_A2,ROUND(BASE_A2+RATE_A2*($A2061-BOTT_A2),0),ROUND(RATE_A1*$A2061,0))))</f>
        <v/>
      </c>
      <c r="E2061" s="556">
        <f>IF($A2061&gt;BOTT_B4,ROUND(BASE_B4+RATE_B4*($A2061-BOTT_B4),0),IF($A2061&gt;BOTT_B3,ROUND(BASE_B3+RATE_B3*($A2061-BOTT_B3),0),IF($A2061&gt;BOTT_B2,ROUND(BASE_B2+RATE_B2*($A2061-BOTT_B2),0),ROUND(RATE_B1*$A2061,0))))</f>
        <v/>
      </c>
      <c r="F2061" s="556">
        <f>IF($A2061&gt;BOTT_C4,ROUND(BASE_C4+RATE_C4*($A2061-BOTT_C4),0),IF($A2061&gt;BOTT_C3,ROUND(BASE_C3+RATE_C3*($A2061-BOTT_C3),0),IF($A2061&gt;BOTT_C2,ROUND(BASE_C2+RATE_C2*($A2061-BOTT_C2),0),ROUND(RATE_C1*$A2061,0))))</f>
        <v/>
      </c>
      <c r="G2061" s="556">
        <f>IF($A2061&gt;BOTT_D4,ROUND(BASE_D4+RATE_D4*($A2061-BOTT_D4),0),IF($A2061&gt;BOTT_D3,ROUND(BASE_D3+RATE_D3*($A2061-BOTT_D3),0),IF($A2061&gt;BOTT_D2,ROUND(BASE_D2+RATE_D2*($A2061-BOTT_D2),0),ROUND(RATE_D1*$A2061,0))))</f>
        <v/>
      </c>
    </row>
    <row r="2062" ht="15.75" customHeight="1" s="7635">
      <c r="A2062" s="625">
        <f>AVERAGE(B2062,C2062)</f>
        <v/>
      </c>
      <c r="B2062" s="555" t="n">
        <v>99900</v>
      </c>
      <c r="C2062" s="555" t="n">
        <v>99950</v>
      </c>
      <c r="D2062" s="556">
        <f>IF($A2062&gt;BOTT_A4,ROUND(BASE_A4+RATE_A4*($A2062-BOTT_A4),0),IF($A2062&gt;BOTT_A3,ROUND(BASE_A3+RATE_A3*($A2062-BOTT_A3),0),IF($A2062&gt;BOTT_A2,ROUND(BASE_A2+RATE_A2*($A2062-BOTT_A2),0),ROUND(RATE_A1*$A2062,0))))</f>
        <v/>
      </c>
      <c r="E2062" s="556">
        <f>IF($A2062&gt;BOTT_B4,ROUND(BASE_B4+RATE_B4*($A2062-BOTT_B4),0),IF($A2062&gt;BOTT_B3,ROUND(BASE_B3+RATE_B3*($A2062-BOTT_B3),0),IF($A2062&gt;BOTT_B2,ROUND(BASE_B2+RATE_B2*($A2062-BOTT_B2),0),ROUND(RATE_B1*$A2062,0))))</f>
        <v/>
      </c>
      <c r="F2062" s="556">
        <f>IF($A2062&gt;BOTT_C4,ROUND(BASE_C4+RATE_C4*($A2062-BOTT_C4),0),IF($A2062&gt;BOTT_C3,ROUND(BASE_C3+RATE_C3*($A2062-BOTT_C3),0),IF($A2062&gt;BOTT_C2,ROUND(BASE_C2+RATE_C2*($A2062-BOTT_C2),0),ROUND(RATE_C1*$A2062,0))))</f>
        <v/>
      </c>
      <c r="G2062" s="556">
        <f>IF($A2062&gt;BOTT_D4,ROUND(BASE_D4+RATE_D4*($A2062-BOTT_D4),0),IF($A2062&gt;BOTT_D3,ROUND(BASE_D3+RATE_D3*($A2062-BOTT_D3),0),IF($A2062&gt;BOTT_D2,ROUND(BASE_D2+RATE_D2*($A2062-BOTT_D2),0),ROUND(RATE_D1*$A2062,0))))</f>
        <v/>
      </c>
    </row>
    <row r="2063" ht="15.75" customHeight="1" s="7635">
      <c r="A2063" s="625">
        <f>AVERAGE(B2063,C2063)</f>
        <v/>
      </c>
      <c r="B2063" s="555" t="n">
        <v>99950</v>
      </c>
      <c r="C2063" s="555" t="n">
        <v>100000</v>
      </c>
      <c r="D2063" s="556">
        <f>IF($A2063&gt;BOTT_A4,ROUND(BASE_A4+RATE_A4*($A2063-BOTT_A4),0),IF($A2063&gt;BOTT_A3,ROUND(BASE_A3+RATE_A3*($A2063-BOTT_A3),0),IF($A2063&gt;BOTT_A2,ROUND(BASE_A2+RATE_A2*($A2063-BOTT_A2),0),ROUND(RATE_A1*$A2063,0))))</f>
        <v/>
      </c>
      <c r="E2063" s="556">
        <f>IF($A2063&gt;BOTT_B4,ROUND(BASE_B4+RATE_B4*($A2063-BOTT_B4),0),IF($A2063&gt;BOTT_B3,ROUND(BASE_B3+RATE_B3*($A2063-BOTT_B3),0),IF($A2063&gt;BOTT_B2,ROUND(BASE_B2+RATE_B2*($A2063-BOTT_B2),0),ROUND(RATE_B1*$A2063,0))))</f>
        <v/>
      </c>
      <c r="F2063" s="556">
        <f>IF($A2063&gt;BOTT_C4,ROUND(BASE_C4+RATE_C4*($A2063-BOTT_C4),0),IF($A2063&gt;BOTT_C3,ROUND(BASE_C3+RATE_C3*($A2063-BOTT_C3),0),IF($A2063&gt;BOTT_C2,ROUND(BASE_C2+RATE_C2*($A2063-BOTT_C2),0),ROUND(RATE_C1*$A2063,0))))</f>
        <v/>
      </c>
      <c r="G2063" s="556">
        <f>IF($A2063&gt;BOTT_D4,ROUND(BASE_D4+RATE_D4*($A2063-BOTT_D4),0),IF($A2063&gt;BOTT_D3,ROUND(BASE_D3+RATE_D3*($A2063-BOTT_D3),0),IF($A2063&gt;BOTT_D2,ROUND(BASE_D2+RATE_D2*($A2063-BOTT_D2),0),ROUND(RATE_D1*$A2063,0))))</f>
        <v/>
      </c>
    </row>
    <row r="2064">
      <c r="B2064" s="554" t="n"/>
      <c r="C2064" s="557" t="n"/>
      <c r="E2064" s="444" t="n"/>
      <c r="F2064" s="444" t="n"/>
      <c r="G2064" s="444" t="n"/>
    </row>
  </sheetData>
  <sheetProtection selectLockedCells="0" selectUnlockedCells="0" algorithmName="SHA-512" sheet="1" objects="1" insertRows="1" insertHyperlinks="1" autoFilter="1" scenarios="1" formatColumns="1" deleteColumns="1" insertColumns="1" pivotTables="1" deleteRows="1" formatCells="1" saltValue="S8xocFOzQ7h4HP0ewzOIQw==" formatRows="1" sort="1" spinCount="100000" hashValue="NWh2xQWbfk+8eieQGuhVhn2dPYtRgwgs9vfRaF1rMhkvYDuDMOc9X6wXNH9QFSylJcTuW1GRviqKZpgiviRHeA=="/>
  <mergeCells count="1">
    <mergeCell ref="Y14:AE15"/>
  </mergeCells>
  <pageMargins left="0.75" right="0.25" top="0.36" bottom="0.29" header="0.36" footer="0.21"/>
  <pageSetup orientation="portrait" fitToHeight="0"/>
  <rowBreaks count="51" manualBreakCount="51">
    <brk id="43" min="1" max="6" man="1"/>
    <brk id="83" min="1" max="6" man="1"/>
    <brk id="123" min="1" max="6" man="1"/>
    <brk id="163" min="1" max="6" man="1"/>
    <brk id="203" min="1" max="6" man="1"/>
    <brk id="243" min="1" max="6" man="1"/>
    <brk id="283" min="1" max="6" man="1"/>
    <brk id="323" min="1" max="6" man="1"/>
    <brk id="363" min="1" max="6" man="1"/>
    <brk id="403" min="1" max="6" man="1"/>
    <brk id="443" min="1" max="6" man="1"/>
    <brk id="483" min="1" max="6" man="1"/>
    <brk id="523" min="1" max="6" man="1"/>
    <brk id="563" min="1" max="6" man="1"/>
    <brk id="603" min="1" max="6" man="1"/>
    <brk id="643" min="1" max="6" man="1"/>
    <brk id="683" min="1" max="6" man="1"/>
    <brk id="723" min="1" max="6" man="1"/>
    <brk id="763" min="1" max="6" man="1"/>
    <brk id="803" min="1" max="6" man="1"/>
    <brk id="843" min="1" max="6" man="1"/>
    <brk id="883" min="1" max="6" man="1"/>
    <brk id="923" min="1" max="6" man="1"/>
    <brk id="963" min="1" max="6" man="1"/>
    <brk id="1003" min="1" max="6" man="1"/>
    <brk id="1043" min="1" max="6" man="1"/>
    <brk id="1083" min="1" max="6" man="1"/>
    <brk id="1123" min="1" max="6" man="1"/>
    <brk id="1163" min="1" max="6" man="1"/>
    <brk id="1203" min="1" max="6" man="1"/>
    <brk id="1243" min="1" max="6" man="1"/>
    <brk id="1283" min="1" max="6" man="1"/>
    <brk id="1323" min="1" max="6" man="1"/>
    <brk id="1363" min="1" max="6" man="1"/>
    <brk id="1403" min="1" max="6" man="1"/>
    <brk id="1443" min="1" max="6" man="1"/>
    <brk id="1483" min="1" max="6" man="1"/>
    <brk id="1523" min="1" max="6" man="1"/>
    <brk id="1563" min="1" max="6" man="1"/>
    <brk id="1603" min="1" max="6" man="1"/>
    <brk id="1643" min="1" max="6" man="1"/>
    <brk id="1683" min="1" max="6" man="1"/>
    <brk id="1723" min="1" max="6" man="1"/>
    <brk id="1763" min="1" max="6" man="1"/>
    <brk id="1803" min="1" max="6" man="1"/>
    <brk id="1843" min="1" max="6" man="1"/>
    <brk id="1883" min="1" max="6" man="1"/>
    <brk id="1923" min="1" max="6" man="1"/>
    <brk id="1963" min="1" max="6" man="1"/>
    <brk id="2003" min="1" max="6" man="1"/>
    <brk id="2043" min="1" max="6" man="1"/>
  </rowBreaks>
</worksheet>
</file>

<file path=xl/worksheets/sheet66.xml><?xml version="1.0" encoding="utf-8"?>
<worksheet xmlns="http://schemas.openxmlformats.org/spreadsheetml/2006/main">
  <sheetPr>
    <outlinePr summaryBelow="1" summaryRight="1"/>
    <pageSetUpPr fitToPage="1"/>
  </sheetPr>
  <dimension ref="A1:G1048574"/>
  <sheetViews>
    <sheetView zoomScaleNormal="100" workbookViewId="0">
      <pane ySplit="1" topLeftCell="A60" activePane="bottomLeft" state="frozen"/>
      <selection activeCell="E24" sqref="E24"/>
      <selection pane="bottomLeft" activeCell="C79" sqref="C79"/>
    </sheetView>
  </sheetViews>
  <sheetFormatPr baseColWidth="8" defaultColWidth="9.140625" defaultRowHeight="12.75"/>
  <cols>
    <col width="24.28515625" customWidth="1" style="12888" min="1" max="1"/>
    <col width="24.7109375" customWidth="1" style="357" min="2" max="2"/>
    <col width="90.85546875" customWidth="1" style="8036" min="3" max="3"/>
    <col width="32.42578125" customWidth="1" style="356" min="4" max="4"/>
    <col width="9.140625" customWidth="1" style="356" min="5" max="5"/>
    <col width="21.5703125" customWidth="1" style="356" min="6" max="6"/>
    <col width="9.140625" customWidth="1" style="356" min="7" max="16384"/>
  </cols>
  <sheetData>
    <row r="1" ht="15" customFormat="1" customHeight="1" s="7980" thickBot="1">
      <c r="A1" s="12889" t="inlineStr">
        <is>
          <t>Date &amp; Time</t>
        </is>
      </c>
      <c r="B1" s="7555" t="inlineStr">
        <is>
          <t>Affected Sheet</t>
        </is>
      </c>
      <c r="C1" s="7555" t="inlineStr">
        <is>
          <t>Changes Made</t>
        </is>
      </c>
      <c r="D1" s="359" t="inlineStr">
        <is>
          <t>http://www.excel1040.com</t>
        </is>
      </c>
      <c r="F1" s="12890">
        <f>MAX(A:A)</f>
        <v/>
      </c>
      <c r="G1" s="1023" t="inlineStr">
        <is>
          <t>&lt;&lt; Current Revision Date &amp; Time</t>
        </is>
      </c>
    </row>
    <row r="2" ht="15" customFormat="1" customHeight="1" s="1008">
      <c r="A2" s="12891" t="n">
        <v>46031.58333333334</v>
      </c>
      <c r="B2" s="9338" t="inlineStr">
        <is>
          <t>ALL</t>
        </is>
      </c>
      <c r="C2" s="2871" t="inlineStr">
        <is>
          <t>Initial publication of 2025 Federal Income Tax Spreadsheet.</t>
        </is>
      </c>
      <c r="D2" s="3219" t="n"/>
      <c r="F2" s="12892" t="n"/>
      <c r="G2" s="3221" t="n"/>
    </row>
    <row r="3" ht="15" customFormat="1" customHeight="1" s="1008">
      <c r="A3" s="12891" t="n">
        <v>46031.79166666666</v>
      </c>
      <c r="B3" s="9338" t="inlineStr">
        <is>
          <t>Sch. D</t>
        </is>
      </c>
      <c r="C3" s="2871" t="inlineStr">
        <is>
          <t>Corrected reference to Form 8949C that was causing an error.  Thank you, Bryon McQ.</t>
        </is>
      </c>
      <c r="D3" s="3219" t="n"/>
      <c r="F3" s="12892" t="n"/>
      <c r="G3" s="3221" t="n"/>
    </row>
    <row r="4" ht="15" customFormat="1" customHeight="1" s="1008">
      <c r="A4" s="12891" t="n">
        <v>46031.95486111111</v>
      </c>
      <c r="B4" s="9338" t="n">
        <v>6251</v>
      </c>
      <c r="C4" s="2871" t="inlineStr">
        <is>
          <t>Corrected calculation for line 1b.  Thank you, Fausto M.</t>
        </is>
      </c>
      <c r="D4" s="3219" t="n"/>
      <c r="F4" s="12892" t="n"/>
      <c r="G4" s="3221" t="n"/>
    </row>
    <row r="5" ht="15" customFormat="1" customHeight="1" s="1008">
      <c r="A5" s="12891" t="n">
        <v>46032.52777777778</v>
      </c>
      <c r="B5" s="9338" t="n">
        <v>1040</v>
      </c>
      <c r="C5" s="2871" t="inlineStr">
        <is>
          <t>Removed override '0' from line 21. Thank you, Hang T. and Innes R.</t>
        </is>
      </c>
      <c r="D5" s="3219" t="n"/>
      <c r="F5" s="12892" t="n"/>
      <c r="G5" s="3221" t="n"/>
    </row>
    <row r="6" ht="15" customFormat="1" customHeight="1" s="1008">
      <c r="A6" s="12891" t="n">
        <v>46032.63541666666</v>
      </c>
      <c r="B6" s="9338" t="inlineStr">
        <is>
          <t>Line 16 (QDCG Tax)</t>
        </is>
      </c>
      <c r="C6" s="2871" t="inlineStr">
        <is>
          <t>Corrected logic that was not 'activating' the QDGC worksheet when it should have. Thank you, David P.</t>
        </is>
      </c>
      <c r="D6" s="3219" t="n"/>
      <c r="F6" s="12892" t="n"/>
      <c r="G6" s="3221" t="n"/>
    </row>
    <row r="7" ht="15" customFormat="1" customHeight="1" s="1008">
      <c r="A7" s="12891" t="n">
        <v>46033.56944444445</v>
      </c>
      <c r="B7" s="9338" t="n">
        <v>6251</v>
      </c>
      <c r="C7" s="2871" t="inlineStr">
        <is>
          <t>Corrected calculation for line 10. Thank you, John Mc.</t>
        </is>
      </c>
      <c r="D7" s="3219" t="n"/>
      <c r="F7" s="12892" t="n"/>
      <c r="G7" s="3221" t="n"/>
    </row>
    <row r="8" ht="25.5" customFormat="1" customHeight="1" s="1008">
      <c r="A8" s="12891" t="n">
        <v>46033.66319444445</v>
      </c>
      <c r="B8" s="9338" t="inlineStr">
        <is>
          <t>Line 16 (QDCG Tax)</t>
        </is>
      </c>
      <c r="C8" s="2871" t="inlineStr">
        <is>
          <t>Corrected logic that was not 'activating' the QDGC worksheet when it should have. Thank you for your persistence, David P.</t>
        </is>
      </c>
      <c r="D8" s="3219" t="n"/>
      <c r="F8" s="12892" t="n"/>
      <c r="G8" s="3221" t="n"/>
    </row>
    <row r="9" ht="15" customFormat="1" customHeight="1" s="1008">
      <c r="A9" s="12891" t="n">
        <v>46035.27430555555</v>
      </c>
      <c r="B9" s="9338" t="n">
        <v>8801</v>
      </c>
      <c r="C9" s="2871" t="inlineStr">
        <is>
          <t>Updated for 2025.</t>
        </is>
      </c>
      <c r="D9" s="3219" t="n"/>
      <c r="F9" s="12892" t="n"/>
      <c r="G9" s="3221" t="n"/>
    </row>
    <row r="10" ht="25.5" customFormat="1" customHeight="1" s="1008">
      <c r="A10" s="12891" t="n">
        <v>46037.50694444445</v>
      </c>
      <c r="B10" s="9338" t="n">
        <v>8582</v>
      </c>
      <c r="C10" s="2871" t="inlineStr">
        <is>
          <t xml:space="preserve">Changed limits on lines 5 and 8 to accommodate filers who file as MFS and lived apart. Other fixes to make form work at is should. </t>
        </is>
      </c>
      <c r="D10" s="3219" t="n"/>
      <c r="F10" s="12892" t="n"/>
      <c r="G10" s="3221" t="n"/>
    </row>
    <row r="11" ht="25.5" customFormat="1" customHeight="1" s="1008">
      <c r="A11" s="12891" t="n">
        <v>46037.50694444445</v>
      </c>
      <c r="B11" s="9338" t="inlineStr">
        <is>
          <t>Sch. E, Sch E (2)</t>
        </is>
      </c>
      <c r="C11" s="2871" t="inlineStr">
        <is>
          <t>Added notice to line 22 to alert user to see Form 8582 if AGI &gt; $150,000 ($75,000 if MFS &amp; lived apart) and the rental activity results in a loss. Thank you, Dave E.</t>
        </is>
      </c>
      <c r="D11" s="3219" t="n"/>
      <c r="F11" s="12892" t="n"/>
      <c r="G11" s="3221" t="n"/>
    </row>
    <row r="12" ht="15" customFormat="1" customHeight="1" s="1008">
      <c r="A12" s="12891" t="n">
        <v>46038.36111111111</v>
      </c>
      <c r="B12" s="9338" t="n">
        <v>8582</v>
      </c>
      <c r="C12" s="2871" t="inlineStr">
        <is>
          <t>Updated for 2025.</t>
        </is>
      </c>
      <c r="D12" s="3219" t="n"/>
      <c r="F12" s="12892" t="n"/>
      <c r="G12" s="3221" t="n"/>
    </row>
    <row r="13" ht="15" customFormat="1" customHeight="1" s="1008">
      <c r="A13" s="12891" t="n">
        <v>45673.39930555555</v>
      </c>
      <c r="B13" s="9338" t="n">
        <v>8995</v>
      </c>
      <c r="C13" s="2871" t="inlineStr">
        <is>
          <t>Updated for 2025.</t>
        </is>
      </c>
      <c r="D13" s="3219" t="n"/>
      <c r="F13" s="12892" t="n"/>
      <c r="G13" s="3221" t="n"/>
    </row>
    <row r="14" customFormat="1" s="1008">
      <c r="A14" s="12891" t="n">
        <v>45673.57638888889</v>
      </c>
      <c r="B14" s="9338" t="n">
        <v>8962</v>
      </c>
      <c r="C14" s="2871" t="inlineStr">
        <is>
          <t>Updated for 2025.</t>
        </is>
      </c>
      <c r="D14" s="3219" t="n"/>
      <c r="F14" s="12892" t="n"/>
      <c r="G14" s="3221" t="n"/>
    </row>
    <row r="15" customFormat="1" s="1008">
      <c r="A15" s="12891" t="n">
        <v>46038.625</v>
      </c>
      <c r="B15" s="9338" t="inlineStr">
        <is>
          <t>EIC Table</t>
        </is>
      </c>
      <c r="C15" s="2871" t="inlineStr">
        <is>
          <t>Fine tuned for conditions where the EIC credit approaches zero.</t>
        </is>
      </c>
      <c r="D15" s="3219" t="n"/>
      <c r="F15" s="12892" t="n"/>
      <c r="G15" s="3221" t="n"/>
    </row>
    <row r="16" customFormat="1" s="1008">
      <c r="A16" s="12891" t="n">
        <v>46038.70486111111</v>
      </c>
      <c r="B16" s="9338" t="inlineStr">
        <is>
          <t>Line 27a (EIC)</t>
        </is>
      </c>
      <c r="C16" s="2871" t="inlineStr">
        <is>
          <t>Updated for 2025.</t>
        </is>
      </c>
    </row>
    <row r="17" customFormat="1" s="1008">
      <c r="A17" s="12891" t="n">
        <v>46040.33333333334</v>
      </c>
      <c r="B17" s="9338" t="inlineStr">
        <is>
          <t>Sch. C</t>
        </is>
      </c>
      <c r="C17" s="2871" t="inlineStr">
        <is>
          <t>Unprotected line 27b and updated line 48 wording to refer to  27b (versus 27a). Thank you, Robert H.</t>
        </is>
      </c>
    </row>
    <row r="18" ht="25.5" customFormat="1" customHeight="1" s="1008">
      <c r="A18" s="12891" t="n">
        <v>46040.34375</v>
      </c>
      <c r="B18" s="9338" t="n">
        <v>6251</v>
      </c>
      <c r="C18" s="2871" t="inlineStr">
        <is>
          <t>Corrected calculation for line 3 of the Worksheet To See if You Should Fill in Form 6251. 
Thank you, Charles H.</t>
        </is>
      </c>
    </row>
    <row r="19" customFormat="1" s="1008">
      <c r="A19" s="12891" t="n">
        <v>46042.80208333334</v>
      </c>
      <c r="B19" s="9338" t="n">
        <v>8959</v>
      </c>
      <c r="C19" s="1008" t="inlineStr">
        <is>
          <t>Updated for 2025.</t>
        </is>
      </c>
    </row>
    <row r="20" customFormat="1" s="1008">
      <c r="A20" s="12891" t="n">
        <v>46042.875</v>
      </c>
      <c r="B20" s="9338" t="n">
        <v>1040</v>
      </c>
      <c r="C20" s="1008" t="inlineStr">
        <is>
          <t>Fixed the override boxes associated with lines 2a through 5a. Thank you, Gary R.</t>
        </is>
      </c>
    </row>
    <row r="21" ht="25.5" customFormat="1" customHeight="1" s="1008">
      <c r="A21" s="12891" t="n">
        <v>46042.88888888889</v>
      </c>
      <c r="B21" s="9338" t="inlineStr">
        <is>
          <t>Sch. 1-A</t>
        </is>
      </c>
      <c r="C21" s="1008" t="inlineStr">
        <is>
          <t>Corrected Part V, Enhanced Deduction for Seniors, to not allow if filing status is Married - Filing Separately. Thank you, Charlie R.</t>
        </is>
      </c>
    </row>
    <row r="22" customFormat="1" s="1008">
      <c r="A22" s="12891" t="n">
        <v>46042.90277777778</v>
      </c>
      <c r="B22" s="9338" t="inlineStr">
        <is>
          <t>Sch. C</t>
        </is>
      </c>
      <c r="C22" s="1008" t="inlineStr">
        <is>
          <t>Corrected calculations for lines 27a and 27b so that line 27b uses line 48. Thank you, Russell and Tony.</t>
        </is>
      </c>
    </row>
    <row r="23" customFormat="1" s="1008">
      <c r="A23" s="12891" t="n">
        <v>46044.375</v>
      </c>
      <c r="B23" s="9338" t="inlineStr">
        <is>
          <t>Sch. 1-A</t>
        </is>
      </c>
      <c r="C23" s="1008" t="inlineStr">
        <is>
          <t>Corrected override for line 31.</t>
        </is>
      </c>
    </row>
    <row r="24" customFormat="1" s="1008">
      <c r="A24" s="12891" t="n">
        <v>46044.5625</v>
      </c>
      <c r="B24" s="9338" t="n">
        <v>5695</v>
      </c>
      <c r="C24" s="1008" t="inlineStr">
        <is>
          <t>Reworked 'blanking', especially around line 29, to make the form calculate correctly. Thank you, Tony G!</t>
        </is>
      </c>
    </row>
    <row r="25" customFormat="1" s="1008">
      <c r="A25" s="12891" t="n">
        <v>46044.66666666666</v>
      </c>
      <c r="B25" s="9338" t="n">
        <v>1040</v>
      </c>
      <c r="C25" s="1008" t="inlineStr">
        <is>
          <t>At line 1a, removed link to W-2, line 7, Social Security Tips. Thank you, Milan J. and Adam G.</t>
        </is>
      </c>
    </row>
    <row r="26" customFormat="1" s="1008">
      <c r="A26" s="12891" t="n">
        <v>46046.60416666666</v>
      </c>
      <c r="B26" s="9338" t="n">
        <v>8889</v>
      </c>
      <c r="C26" s="1008" t="inlineStr">
        <is>
          <t>Corrected inputs to cells V28, T31, T32, T91, and T92. Thank you, Mark T.</t>
        </is>
      </c>
    </row>
    <row r="27" customFormat="1" s="1008">
      <c r="A27" s="12891" t="n">
        <v>46047.54166666666</v>
      </c>
      <c r="B27" s="9338" t="inlineStr">
        <is>
          <t>Sch. 1</t>
        </is>
      </c>
      <c r="C27" s="1008" t="inlineStr">
        <is>
          <t>Corrected Line 14, Moving Expenses for Armed Forces, which was causing an error with line 26.</t>
        </is>
      </c>
    </row>
    <row r="28" customFormat="1" s="1008">
      <c r="A28" s="12891" t="n">
        <v>46050.875</v>
      </c>
      <c r="B28" s="9338" t="n">
        <v>8606</v>
      </c>
      <c r="C28" s="1008" t="inlineStr">
        <is>
          <t>Corrected logic on the question before line 4 regarding taking a distribution. Thank you, Robert Y.</t>
        </is>
      </c>
    </row>
    <row r="29" ht="38.25" customFormat="1" customHeight="1" s="1008">
      <c r="A29" s="12891" t="n">
        <v>46051.27083333334</v>
      </c>
      <c r="B29" s="9338" t="n">
        <v>1116</v>
      </c>
      <c r="C29" s="1008" t="inlineStr">
        <is>
          <t>Corrected calculation on line 18 to add the amount from Sch. 1-A, line 37 (versus subtract). 
Also, changed logic as to when line 25-32 are completed per new Form 1116 instructions. Thank you, Richard F.</t>
        </is>
      </c>
    </row>
    <row r="30" ht="25.5" customFormat="1" customHeight="1" s="1008">
      <c r="A30" s="12891" t="n">
        <v>46052.36805555555</v>
      </c>
      <c r="B30" s="9338" t="n">
        <v>1116</v>
      </c>
      <c r="C30" s="1008" t="inlineStr">
        <is>
          <t>Corrected line 22 - it was not being used. Improved blanking regarding lines 25-32 such that if line 24 was the same for multiple forms, the earlier form would display lines 25-32.</t>
        </is>
      </c>
    </row>
    <row r="31" customFormat="1" s="1008">
      <c r="A31" s="12891" t="n">
        <v>46058.6875</v>
      </c>
      <c r="B31" s="9338" t="inlineStr">
        <is>
          <t>W-2</t>
        </is>
      </c>
      <c r="C31" s="1008" t="inlineStr">
        <is>
          <t>Added entry rows for Line 12, Codes A, B, H, M, N, P and Q.</t>
        </is>
      </c>
    </row>
    <row r="32" customFormat="1" s="1008">
      <c r="A32" s="12891" t="n">
        <v>46058.6875</v>
      </c>
      <c r="B32" s="9338" t="n">
        <v>4137</v>
      </c>
      <c r="C32" s="1008" t="inlineStr">
        <is>
          <t>Added new Form 4137, Social Security and  Medicare Tax on Unreported Tip Income</t>
        </is>
      </c>
    </row>
    <row r="33" customFormat="1" s="1008">
      <c r="A33" s="12891" t="n">
        <v>46058.6875</v>
      </c>
      <c r="B33" s="9338" t="n">
        <v>8919</v>
      </c>
      <c r="C33" s="1008" t="inlineStr">
        <is>
          <t>Added new Form 8919, Uncollected Social Security and Medicare Tax on Wages</t>
        </is>
      </c>
    </row>
    <row r="34" customFormat="1" s="1008">
      <c r="A34" s="12891" t="n">
        <v>46058.6875</v>
      </c>
      <c r="B34" s="9338" t="inlineStr">
        <is>
          <t>Sch. 1-A</t>
        </is>
      </c>
      <c r="C34" s="1008" t="inlineStr">
        <is>
          <t>Removed blanking for Part V, Enhanced Deduction for Seniors, when AGI is zero.</t>
        </is>
      </c>
    </row>
    <row r="35" ht="25.5" customFormat="1" customHeight="1" s="1008">
      <c r="A35" s="12891" t="n">
        <v>46060.34027777778</v>
      </c>
      <c r="B35" s="9338" t="inlineStr">
        <is>
          <t>Sch. 1</t>
        </is>
      </c>
      <c r="C35" s="1008" t="inlineStr">
        <is>
          <t>Corrected Part I, line 1, Taxable refunds … state and local income taxes to get input from 1099-G, line 2. Thank you, Julie A.</t>
        </is>
      </c>
    </row>
    <row r="36">
      <c r="A36" s="12891" t="n">
        <v>46060.79166666666</v>
      </c>
      <c r="B36" s="9338" t="inlineStr">
        <is>
          <t>1099-NEC</t>
        </is>
      </c>
      <c r="C36" s="1008" t="inlineStr">
        <is>
          <t>Added new form. Incorporated it into Form 1040, line 25b; Sch. A, line 5a; and Sch. C, line 1.</t>
        </is>
      </c>
    </row>
    <row r="37">
      <c r="A37" s="12891" t="n">
        <v>46060.79166666666</v>
      </c>
      <c r="B37" s="9338" t="n">
        <v>1040</v>
      </c>
      <c r="C37" s="2871" t="inlineStr">
        <is>
          <t>Blanked line 4b when IRA distributions are fully taxable. Thank you, Rick E.</t>
        </is>
      </c>
    </row>
    <row r="38">
      <c r="A38" s="12891" t="n">
        <v>46061.54166666666</v>
      </c>
      <c r="B38" s="9338" t="n">
        <v>8889</v>
      </c>
      <c r="C38" s="1008" t="inlineStr">
        <is>
          <t>Corrected worksheet for Line 6  (Step 1) (Married w/separate HSAs). Thank you, David F.</t>
        </is>
      </c>
    </row>
    <row r="39" ht="14.25" customHeight="1" s="7635">
      <c r="A39" s="12891" t="n">
        <v>46061.70833333334</v>
      </c>
      <c r="B39" s="9338" t="inlineStr">
        <is>
          <t>Line 16ab (SS Bene)</t>
        </is>
      </c>
      <c r="C39" s="1008" t="inlineStr">
        <is>
          <t>Corrected response of lines 16 and 17 to MFS who did NOT live apart for the entire year. Thank you, Bob J.</t>
        </is>
      </c>
    </row>
    <row r="40">
      <c r="A40" s="12891" t="n">
        <v>46062.97222222222</v>
      </c>
      <c r="B40" s="9338" t="inlineStr">
        <is>
          <t>Sch. 1</t>
        </is>
      </c>
      <c r="C40" s="1008" t="inlineStr">
        <is>
          <t>Corrected line 1 to receive input from Sch. 1 Line 1 (SALT) line 9. Thanks again, Ron W.</t>
        </is>
      </c>
    </row>
    <row r="41">
      <c r="A41" s="12891" t="n">
        <v>46064.93055555555</v>
      </c>
      <c r="B41" s="9338" t="n">
        <v>8829</v>
      </c>
      <c r="C41" s="1008" t="inlineStr">
        <is>
          <t>Reworked the entry cells associated with Line 8 to eliminate #VALUE! Error from occurring</t>
        </is>
      </c>
    </row>
    <row r="42">
      <c r="A42" s="12891" t="n">
        <v>46066.45833333334</v>
      </c>
      <c r="B42" s="9338" t="n">
        <v>8995</v>
      </c>
      <c r="C42" s="1008" t="inlineStr">
        <is>
          <t>Reworking 'blanking logic' affecting line 9 through 15. Thank you, Anthony K.</t>
        </is>
      </c>
    </row>
    <row r="43">
      <c r="A43" s="12891" t="n">
        <v>46066.65625</v>
      </c>
      <c r="B43" s="9338" t="inlineStr">
        <is>
          <t>Sch. A</t>
        </is>
      </c>
      <c r="C43" s="1008" t="inlineStr">
        <is>
          <t>Incorporated input from Form 1099-G, line 11, into Sch. A, line 5a.</t>
        </is>
      </c>
    </row>
    <row r="44">
      <c r="A44" s="12891" t="n">
        <v>46066.65625</v>
      </c>
      <c r="B44" s="9338" t="inlineStr">
        <is>
          <t>Sch. A</t>
        </is>
      </c>
      <c r="C44" s="1008" t="inlineStr">
        <is>
          <t>Restored State and Local Taxes Paid but NOT Reported on W-2s or 1099s —Line 5a Worksheet</t>
        </is>
      </c>
    </row>
    <row r="45">
      <c r="A45" s="12891" t="n">
        <v>46067.69444444445</v>
      </c>
      <c r="B45" s="9338" t="n">
        <v>1116</v>
      </c>
      <c r="C45" s="1008" t="inlineStr">
        <is>
          <t>Deleted test data (4,444) from line 10. Thank you, Gabriel R.</t>
        </is>
      </c>
    </row>
    <row r="46" ht="25.5" customHeight="1" s="7635">
      <c r="A46" s="12891" t="n">
        <v>46068.69791666666</v>
      </c>
      <c r="B46" s="9338" t="n">
        <v>8995</v>
      </c>
      <c r="C46" s="1008" t="inlineStr">
        <is>
          <t>Updated line 11 calculations to match revised IRS instructions (26-Jan-2026) for line 11. Thank you, Sandy B.</t>
        </is>
      </c>
    </row>
    <row r="47">
      <c r="A47" s="12891" t="n">
        <v>46072.97916666666</v>
      </c>
      <c r="B47" s="9338" t="n">
        <v>8829</v>
      </c>
      <c r="C47" s="1008" t="inlineStr">
        <is>
          <t>Corrected line 41 to yield 2.564% for years earlier than the current tax year. Thank you, Nike  C.</t>
        </is>
      </c>
    </row>
    <row r="48" ht="25.5" customFormat="1" customHeight="1" s="1008">
      <c r="A48" s="12888" t="n">
        <v>46073.34375</v>
      </c>
      <c r="B48" s="9338" t="inlineStr">
        <is>
          <t>W-2</t>
        </is>
      </c>
      <c r="C48" s="2871" t="inlineStr">
        <is>
          <t>In two places, corrected Code 12Q Non Taxable Combat Pay to be used in Form 2241, Part 4 of EIC worksheet for lines 4 and 5. Thank you, Brian B.</t>
        </is>
      </c>
    </row>
    <row r="49" ht="25.5" customFormat="1" customHeight="1" s="1008">
      <c r="A49" s="12891" t="n">
        <v>46073.66666666666</v>
      </c>
      <c r="B49" s="9338" t="inlineStr">
        <is>
          <t>Sch. A</t>
        </is>
      </c>
      <c r="C49" s="1008" t="inlineStr">
        <is>
          <t>Reworked State and Local General Sales Tax Deduction Worksheet—Line 5a. Corrected rounding and some logic. Thank you, Jason P.</t>
        </is>
      </c>
    </row>
    <row r="50" ht="25.5" customHeight="1" s="7635">
      <c r="A50" s="12888" t="n">
        <v>46073.97916666666</v>
      </c>
      <c r="B50" s="9338" t="inlineStr">
        <is>
          <t>Sch. D</t>
        </is>
      </c>
      <c r="C50" s="2871" t="inlineStr">
        <is>
          <t>Corrected inputs from Form 8949A, B, C, &amp; D. In Part 2, line 9, some 'Box K' items were showing up as 'Box E' items. Thank you, Joe V.</t>
        </is>
      </c>
    </row>
    <row r="51" ht="25.5" customHeight="1" s="7635">
      <c r="A51" s="12893" t="n">
        <v>46074.45833333334</v>
      </c>
      <c r="B51" s="9338" t="inlineStr">
        <is>
          <t>Line 27a (EIC)</t>
        </is>
      </c>
      <c r="C51" s="1008" t="inlineStr">
        <is>
          <t>Added 'Exception' to Step 4, line 1, Filers Without a Qualifying Child, for married taxpayers who are filing status is Head of Housefold but are considered unmarried. Thank you, Zavier K.</t>
        </is>
      </c>
    </row>
    <row r="52" ht="25.5" customHeight="1" s="7635">
      <c r="A52" s="12888" t="n">
        <v>46074.95833333334</v>
      </c>
      <c r="B52" s="9338" t="n">
        <v>8889</v>
      </c>
      <c r="C52" s="2871" t="inlineStr">
        <is>
          <t>Corrected SSN on first Form 8889 to show spouse's SSN if the spouse was the only HSA beneficiary. Thank you, Chris T.</t>
        </is>
      </c>
    </row>
    <row r="53" ht="25.5" customHeight="1" s="7635">
      <c r="A53" s="12888" t="n">
        <v>46081.57638888889</v>
      </c>
      <c r="B53" s="9338" t="inlineStr">
        <is>
          <t>Line 6ab (SS Bene)</t>
        </is>
      </c>
      <c r="C53" s="2871" t="inlineStr">
        <is>
          <t>Corrected calculation for line 16 for taxpayers filing as MFS but lived with their spouse for some of the tax years. Thank you, Sean R. NOTE: This should have been fixed on 2/8/2026.</t>
        </is>
      </c>
    </row>
    <row r="54" ht="38.25" customHeight="1" s="7635">
      <c r="A54" s="12888" t="n">
        <v>46083.45833333334</v>
      </c>
      <c r="B54" s="9338" t="inlineStr">
        <is>
          <t>Line 27a (EIC) &amp; EIC Table</t>
        </is>
      </c>
      <c r="C54" s="2871" t="inlineStr">
        <is>
          <t>Changed to cell names for the limits in Step 1, line 1, to part of the 'worksheet' scope (versus the 'EIC Table' scope). This should improve spreadsheet functionality for those using spreadsheets other than Excel. Thank you, Aaron P.</t>
        </is>
      </c>
    </row>
    <row r="55">
      <c r="A55" s="12888" t="n">
        <v>46083.93055555555</v>
      </c>
      <c r="B55" s="9338" t="n">
        <v>1040</v>
      </c>
      <c r="C55" s="1008" t="inlineStr">
        <is>
          <t>Line 16 - Unprotected cell AY96 to allow entry if boxes 1, 2, or 3 are checked. Thank you, r h</t>
        </is>
      </c>
    </row>
    <row r="56">
      <c r="A56" s="12888" t="n">
        <v>46084.85416666666</v>
      </c>
      <c r="B56" s="357" t="n">
        <v>2210</v>
      </c>
      <c r="C56" s="2871" t="inlineStr">
        <is>
          <t>Corrected line 2 to bring in the correct lines from Schedule 2. Thank you, Nancy C.</t>
        </is>
      </c>
    </row>
    <row r="57" ht="25.5" customHeight="1" s="7635">
      <c r="A57" s="12888" t="n">
        <v>46085.27083333334</v>
      </c>
      <c r="B57" s="9338" t="inlineStr">
        <is>
          <t>Sch. 1-A</t>
        </is>
      </c>
      <c r="C57" s="2871" t="inlineStr">
        <is>
          <t>Corrected line 28 to match the IRS form. The result of the division should be increased (not decreased) to the nearest higher (not lower) whole number.  Thank you, Nick M.</t>
        </is>
      </c>
    </row>
    <row r="58" ht="25.5" customHeight="1" s="7635">
      <c r="A58" s="12888" t="n">
        <v>46088.42361111111</v>
      </c>
      <c r="B58" s="9338" t="n">
        <v>8889</v>
      </c>
      <c r="C58" s="2871" t="inlineStr">
        <is>
          <t>On both forms, modified line 9 to receive input from W-2, Box 12, Code W, for Employer contributions to HSA. Thank you, Darren McB.</t>
        </is>
      </c>
      <c r="E58" s="356" t="inlineStr">
        <is>
          <t>=</t>
        </is>
      </c>
    </row>
    <row r="59">
      <c r="A59" s="12888" t="n">
        <v>46088.42361111111</v>
      </c>
      <c r="B59" s="9338" t="inlineStr">
        <is>
          <t>W-2</t>
        </is>
      </c>
      <c r="C59" s="2871" t="inlineStr">
        <is>
          <t>Added Line 2, Box 12, Code W for Employer contributions to HSA. Thank you, Darren McB.</t>
        </is>
      </c>
    </row>
    <row r="60">
      <c r="A60" s="12888" t="n">
        <v>46088.46527777778</v>
      </c>
      <c r="B60" s="9338" t="inlineStr">
        <is>
          <t>Sch. 1</t>
        </is>
      </c>
      <c r="C60" s="2871" t="inlineStr">
        <is>
          <t>Modified line 12 to not receive input from W-2, Box 12, Code H.</t>
        </is>
      </c>
    </row>
    <row r="61">
      <c r="A61" s="12888" t="n">
        <v>46088.46527777778</v>
      </c>
      <c r="B61" s="9338" t="inlineStr">
        <is>
          <t>W-2</t>
        </is>
      </c>
      <c r="C61" s="2871" t="inlineStr">
        <is>
          <t>Added Line 2, Box 12, Code S for elective deferral to SIMPLE IRA.</t>
        </is>
      </c>
    </row>
    <row r="62">
      <c r="A62" s="12888" t="n">
        <v>46088.46527777778</v>
      </c>
      <c r="B62" s="9338" t="inlineStr">
        <is>
          <t>W-2</t>
        </is>
      </c>
      <c r="C62" s="2871" t="inlineStr">
        <is>
          <t>Modified Line 2, Box 12, Code H for elective deferral to 501(c)(18)(D) plans.</t>
        </is>
      </c>
    </row>
    <row r="63" ht="25.5" customHeight="1" s="7635">
      <c r="A63" s="12888" t="n">
        <v>46088.46527777778</v>
      </c>
      <c r="B63" s="357" t="n">
        <v>8880</v>
      </c>
      <c r="C63" s="2871" t="inlineStr">
        <is>
          <t>Modified line 2 to receive input from W-2, Box 12, Code H and Code S for elective deferrals to qualified employer retirement plans.</t>
        </is>
      </c>
    </row>
    <row r="64" ht="25.5" customHeight="1" s="7635">
      <c r="A64" s="12888" t="n">
        <v>46089.58333333334</v>
      </c>
      <c r="B64" s="9338" t="inlineStr">
        <is>
          <t>8949A, B, C, D</t>
        </is>
      </c>
      <c r="C64" s="2871" t="inlineStr">
        <is>
          <t>Reworked conditional formatting that caused dates to turn red when &gt; 1 year in short-term section and &lt;= 1 year in long term section. Thank you, John McC.</t>
        </is>
      </c>
    </row>
    <row r="65">
      <c r="A65" s="12888" t="n">
        <v>46091.875</v>
      </c>
      <c r="B65" s="9338" t="n">
        <v>8889</v>
      </c>
      <c r="C65" s="2871" t="inlineStr">
        <is>
          <t>Corrected calculation in 2nd Form 8889, line 6. Thank you, George R.</t>
        </is>
      </c>
    </row>
    <row r="66">
      <c r="A66" s="12888" t="n">
        <v>46093.79166666666</v>
      </c>
      <c r="B66" s="357" t="n">
        <v>8606</v>
      </c>
      <c r="C66" s="2871" t="inlineStr">
        <is>
          <t>Updated for 2025.</t>
        </is>
      </c>
    </row>
    <row r="67">
      <c r="A67" s="12888" t="n">
        <v>46095.875</v>
      </c>
      <c r="B67" s="9338" t="n">
        <v>8606</v>
      </c>
      <c r="C67" s="2871" t="inlineStr">
        <is>
          <t>Corrected calculation for line 17. Thank you, Karen C.</t>
        </is>
      </c>
    </row>
    <row r="68" ht="25.5" customHeight="1" s="7635">
      <c r="A68" s="12893" t="n">
        <v>46096.91666666666</v>
      </c>
      <c r="B68" s="9338" t="inlineStr">
        <is>
          <t>Sch. D WS</t>
        </is>
      </c>
      <c r="C68" s="1008" t="inlineStr">
        <is>
          <t>Corrected lines 5 and 7 to use line 5 as a negative number when lines 1 though 6 are combined on line 7. Thank you, Nancy C!</t>
        </is>
      </c>
    </row>
    <row r="69">
      <c r="A69" s="12893" t="n">
        <v>46097.58333333334</v>
      </c>
      <c r="B69" s="9338" t="n">
        <v>8606</v>
      </c>
      <c r="C69" s="2871" t="inlineStr">
        <is>
          <t>Corrected calculation for line 9 of the 2nd Form 8606. Thank you Boryeu M!</t>
        </is>
      </c>
    </row>
    <row r="70">
      <c r="A70" s="12893" t="n">
        <v>46097.66666666666</v>
      </c>
      <c r="B70" s="9338" t="n">
        <v>8606</v>
      </c>
      <c r="C70" s="2871" t="inlineStr">
        <is>
          <t>Corrected calculation for lines 12 and 15a of the 2nd Form 8606. Thank you Boryeu M!</t>
        </is>
      </c>
    </row>
    <row r="71">
      <c r="A71" s="12893" t="n">
        <v>46102.38541666666</v>
      </c>
      <c r="B71" s="9338" t="n">
        <v>8960</v>
      </c>
      <c r="C71" s="1008" t="inlineStr">
        <is>
          <t>Updated instructions for the line 9b worksheet. Thank you Kevin C.</t>
        </is>
      </c>
    </row>
    <row r="72" ht="38.25" customHeight="1" s="7635">
      <c r="A72" s="12888" t="n">
        <v>46108.48958333334</v>
      </c>
      <c r="B72" s="9338" t="n">
        <v>8960</v>
      </c>
      <c r="C72" s="2871" t="inlineStr">
        <is>
          <t>Updated worksheet to use Form 1040, line 9, Total Income, instead of Form 1040, line 11a, Adjusted Gross Income, in its calculation of portion of SALT attributable to net investment income (NII). Thank you, Tim J.</t>
        </is>
      </c>
    </row>
    <row r="73">
      <c r="A73" s="12893" t="n">
        <v>46110.39583333334</v>
      </c>
      <c r="B73" s="9338" t="inlineStr">
        <is>
          <t>Sch. A</t>
        </is>
      </c>
      <c r="C73" s="1008" t="inlineStr">
        <is>
          <t>Corrected line 17 calculation which was including line 7 twice and not line 10 at all. Thank you, NPV.</t>
        </is>
      </c>
    </row>
    <row r="74" ht="25.5" customHeight="1" s="7635">
      <c r="A74" s="12888" t="n">
        <v>46111.39236111111</v>
      </c>
      <c r="B74" s="9338" t="n">
        <v>8582</v>
      </c>
      <c r="C74" s="2871" t="inlineStr">
        <is>
          <t>Improved Part VII, Allocation of Unallowed Losses, column (c), to not error if Part II, line 9, were to be blank. Thank you, Andrew J.</t>
        </is>
      </c>
    </row>
    <row r="75" ht="25.5" customHeight="1" s="7635">
      <c r="A75" s="12888" t="n">
        <v>46117.72222222222</v>
      </c>
      <c r="B75" s="357" t="n">
        <v>2210</v>
      </c>
      <c r="C75" s="2871" t="inlineStr">
        <is>
          <t>Corrected date calculations for Worksheet for Form 2210, Part III, Section B—Figure the Penalty. Thank you, Mark I.</t>
        </is>
      </c>
    </row>
    <row r="76" ht="25.5" customHeight="1" s="7635">
      <c r="A76" s="12888" t="n">
        <v>46118.66666666666</v>
      </c>
      <c r="B76" s="9338" t="n">
        <v>1040</v>
      </c>
      <c r="C76" s="2871" t="inlineStr">
        <is>
          <t>Reworked "pop-up instruction regarding the need for the sume of lines 35a, 36 and 38 to equal line 34. Thank you Dean S.</t>
        </is>
      </c>
    </row>
    <row r="77">
      <c r="A77" s="12888" t="n">
        <v>46124.5</v>
      </c>
      <c r="B77" s="9338" t="inlineStr">
        <is>
          <t>Sch. 1</t>
        </is>
      </c>
      <c r="C77" s="2871" t="inlineStr">
        <is>
          <t>Fixed line 8z entry to include the fourth line in the entry box. Thank you, Karl W.</t>
        </is>
      </c>
    </row>
    <row r="78" ht="31.5" customHeight="1" s="7635">
      <c r="A78" s="12888" t="n">
        <v>46124.52083333334</v>
      </c>
      <c r="B78" s="357" t="inlineStr">
        <is>
          <t>Sch. A</t>
        </is>
      </c>
      <c r="C78" s="2871" t="inlineStr">
        <is>
          <t>Corrected 'State and Local Tax Deduction Worksheet -- Line 5e, line 1. It should have included an limit for those filing status is married filing separately. (IRS worksheet erroneously omitted this.) Thank you, Tom W.</t>
        </is>
      </c>
    </row>
    <row r="79" ht="25.5" customHeight="1" s="7635">
      <c r="A79" s="12888" t="n">
        <v>46150.39583333334</v>
      </c>
      <c r="B79" s="9338" t="inlineStr">
        <is>
          <t>Sch. C</t>
        </is>
      </c>
      <c r="C79" s="2871" t="inlineStr">
        <is>
          <t>Reworked line 40 on both Sch. C forms to ensure formula always works for all spreadsheet programs and versions. Thank You Tommy P.</t>
        </is>
      </c>
    </row>
    <row r="80">
      <c r="C80" s="2871" t="n"/>
    </row>
    <row r="81">
      <c r="C81" s="2871" t="n"/>
    </row>
    <row r="82">
      <c r="C82" s="2871" t="n"/>
    </row>
    <row r="83">
      <c r="B83" s="9338" t="n"/>
      <c r="C83" s="2871" t="n"/>
    </row>
    <row r="84">
      <c r="B84" s="9338" t="n"/>
      <c r="C84" s="2871" t="n"/>
    </row>
    <row r="85">
      <c r="B85" s="9338" t="n"/>
      <c r="C85" s="2871" t="n"/>
    </row>
    <row r="86">
      <c r="A86" s="12893" t="n"/>
      <c r="B86" s="9338" t="n"/>
      <c r="C86" s="1008" t="n"/>
    </row>
    <row r="87">
      <c r="B87" s="9338" t="n"/>
      <c r="C87" s="2871" t="n"/>
    </row>
    <row r="88">
      <c r="B88" s="9338" t="n"/>
      <c r="C88" s="2871" t="n"/>
    </row>
    <row r="89">
      <c r="B89" s="9338" t="n"/>
      <c r="C89" s="2871" t="n"/>
    </row>
    <row r="90">
      <c r="B90" s="9338" t="n"/>
      <c r="C90" s="2871" t="n"/>
    </row>
    <row r="91">
      <c r="B91" s="9338" t="n"/>
      <c r="C91" s="2871" t="n"/>
    </row>
    <row r="92">
      <c r="B92" s="9338" t="n"/>
      <c r="C92" s="2871" t="n"/>
    </row>
    <row r="93">
      <c r="B93" s="9338" t="n"/>
      <c r="C93" s="2871" t="n"/>
    </row>
    <row r="94">
      <c r="B94" s="9338" t="n"/>
      <c r="C94" s="2871" t="n"/>
    </row>
    <row r="95">
      <c r="B95" s="9338" t="n"/>
      <c r="C95" s="2871" t="n"/>
    </row>
    <row r="96">
      <c r="B96" s="9338" t="n"/>
      <c r="C96" s="2871" t="n"/>
    </row>
    <row r="97">
      <c r="B97" s="9338" t="n"/>
      <c r="C97" s="2871" t="n"/>
    </row>
    <row r="98">
      <c r="B98" s="9338" t="n"/>
      <c r="C98" s="2871" t="n"/>
    </row>
    <row r="99">
      <c r="B99" s="9338" t="n"/>
      <c r="C99" s="2871" t="n"/>
    </row>
    <row r="100">
      <c r="B100" s="9338" t="n"/>
      <c r="C100" s="2871" t="n"/>
    </row>
    <row r="101">
      <c r="C101" s="2871" t="n"/>
    </row>
    <row r="102">
      <c r="C102" s="2871" t="n"/>
    </row>
    <row r="103">
      <c r="C103" s="2871" t="n"/>
    </row>
    <row r="104">
      <c r="C104" s="2871" t="n"/>
    </row>
    <row r="105">
      <c r="C105" s="2871" t="n"/>
    </row>
    <row r="106">
      <c r="C106" s="2871" t="n"/>
    </row>
    <row r="107">
      <c r="C107" s="2871" t="n"/>
    </row>
    <row r="108">
      <c r="B108" s="9338" t="n"/>
      <c r="C108" s="2871" t="n"/>
    </row>
    <row r="109">
      <c r="B109" s="9338" t="n"/>
      <c r="C109" s="2871" t="n"/>
    </row>
    <row r="110">
      <c r="B110" s="9338" t="n"/>
      <c r="C110" s="2871" t="n"/>
    </row>
    <row r="111">
      <c r="C111" s="2871" t="n"/>
    </row>
    <row r="112">
      <c r="C112" s="2871" t="n"/>
    </row>
    <row r="113">
      <c r="B113" s="9338" t="n"/>
      <c r="C113" s="2871" t="n"/>
    </row>
    <row r="114">
      <c r="B114" s="9338" t="n"/>
      <c r="C114" s="2871" t="n"/>
    </row>
    <row r="115">
      <c r="C115" s="2871" t="n"/>
    </row>
    <row r="116">
      <c r="C116" s="2871" t="n"/>
    </row>
    <row r="117">
      <c r="C117" s="2871" t="n"/>
    </row>
    <row r="118">
      <c r="B118" s="9338" t="n"/>
      <c r="C118" s="2871" t="n"/>
    </row>
    <row r="119">
      <c r="B119" s="9338" t="n"/>
      <c r="C119" s="2871" t="n"/>
    </row>
    <row r="120">
      <c r="C120" s="2871" t="n"/>
    </row>
    <row r="121">
      <c r="B121" s="9338" t="n"/>
      <c r="C121" s="2871" t="n"/>
    </row>
    <row r="122">
      <c r="C122" s="2871" t="n"/>
    </row>
    <row r="126">
      <c r="C126" s="2871" t="n"/>
    </row>
    <row r="127">
      <c r="B127" s="9338" t="n"/>
      <c r="C127" s="2871" t="n"/>
    </row>
    <row r="128">
      <c r="C128" s="2871" t="n"/>
    </row>
    <row r="129">
      <c r="B129" s="9338" t="n"/>
      <c r="C129" s="2871" t="n"/>
    </row>
    <row r="130">
      <c r="B130" s="9338" t="n"/>
      <c r="C130" s="2871" t="n"/>
    </row>
    <row r="131">
      <c r="B131" s="9338" t="n"/>
      <c r="C131" s="2871" t="n"/>
    </row>
    <row r="132">
      <c r="B132" s="9338" t="n"/>
      <c r="C132" s="2871" t="n"/>
    </row>
    <row r="133">
      <c r="B133" s="9338" t="n"/>
      <c r="C133" s="2871" t="n"/>
    </row>
    <row r="134">
      <c r="B134" s="9338" t="n"/>
      <c r="C134" s="2871" t="n"/>
    </row>
    <row r="135">
      <c r="C135" s="2871" t="n"/>
    </row>
    <row r="136">
      <c r="C136" s="2871" t="n"/>
    </row>
    <row r="137">
      <c r="C137" s="2871" t="n"/>
    </row>
    <row r="138">
      <c r="C138" s="2871" t="n"/>
    </row>
    <row r="139">
      <c r="C139" s="2871" t="n"/>
    </row>
    <row r="141">
      <c r="B141" s="9338" t="n"/>
      <c r="C141" s="2871" t="n"/>
    </row>
    <row r="142">
      <c r="C142" s="2871" t="n"/>
    </row>
    <row r="143">
      <c r="B143" s="9338" t="n"/>
      <c r="C143" s="2871" t="n"/>
    </row>
    <row r="144">
      <c r="B144" s="9338" t="n"/>
      <c r="C144" s="2871" t="n"/>
    </row>
    <row r="145">
      <c r="C145" s="2871" t="n"/>
    </row>
    <row r="147">
      <c r="B147" s="9338" t="n"/>
      <c r="C147" s="2871" t="n"/>
    </row>
    <row r="148">
      <c r="C148" s="2871" t="n"/>
    </row>
    <row r="149">
      <c r="B149" s="9338" t="n"/>
      <c r="C149" s="2871" t="n"/>
    </row>
    <row r="150">
      <c r="B150" s="9338" t="n"/>
      <c r="C150" s="2871" t="n"/>
    </row>
    <row r="151">
      <c r="B151" s="9338" t="n"/>
      <c r="C151" s="2871" t="n"/>
    </row>
    <row r="152">
      <c r="B152" s="9338" t="n"/>
      <c r="C152" s="2871" t="n"/>
    </row>
    <row r="153">
      <c r="B153" s="9338" t="n"/>
      <c r="C153" s="2871" t="n"/>
    </row>
    <row r="154">
      <c r="C154" s="2871" t="n"/>
    </row>
    <row r="155">
      <c r="C155" s="2871" t="n"/>
    </row>
    <row r="156">
      <c r="B156" s="9338" t="n"/>
      <c r="C156" s="2871" t="n"/>
    </row>
    <row r="157">
      <c r="C157" s="2871" t="n"/>
    </row>
    <row r="158">
      <c r="C158" s="2871" t="n"/>
    </row>
    <row r="159">
      <c r="B159" s="9338" t="n"/>
      <c r="C159" s="2871" t="n"/>
    </row>
    <row r="160">
      <c r="C160" s="2871" t="n"/>
    </row>
    <row r="161">
      <c r="B161" s="9338" t="n"/>
      <c r="C161" s="2871" t="n"/>
    </row>
    <row r="162">
      <c r="B162" s="9338" t="n"/>
      <c r="C162" s="2871" t="n"/>
    </row>
    <row r="163">
      <c r="B163" s="9338" t="n"/>
      <c r="C163" s="2871" t="n"/>
    </row>
    <row r="164">
      <c r="C164" s="2871" t="n"/>
    </row>
    <row r="165">
      <c r="B165" s="9338" t="n"/>
      <c r="C165" s="2871" t="n"/>
    </row>
    <row r="166">
      <c r="C166" s="2871" t="n"/>
    </row>
    <row r="167">
      <c r="C167" s="2871" t="n"/>
    </row>
    <row r="168">
      <c r="C168" s="2871" t="n"/>
    </row>
    <row r="169">
      <c r="C169" s="2871" t="n"/>
    </row>
    <row r="170">
      <c r="C170" s="2871" t="n"/>
    </row>
    <row r="171">
      <c r="C171" s="2871" t="n"/>
    </row>
    <row r="172">
      <c r="B172" s="9338" t="n"/>
      <c r="C172" s="2871" t="n"/>
    </row>
    <row r="173">
      <c r="B173" s="9338" t="n"/>
      <c r="C173" s="2871" t="n"/>
    </row>
    <row r="174">
      <c r="B174" s="9338" t="n"/>
      <c r="C174" s="2871" t="n"/>
    </row>
    <row r="175">
      <c r="B175" s="9338" t="n"/>
      <c r="C175" s="2871" t="n"/>
    </row>
    <row r="176">
      <c r="C176" s="2871" t="n"/>
    </row>
    <row r="177">
      <c r="C177" s="2871" t="n"/>
    </row>
    <row r="178">
      <c r="C178" s="2871" t="n"/>
    </row>
    <row r="179">
      <c r="B179" s="9338" t="n"/>
      <c r="C179" s="2871" t="n"/>
    </row>
    <row r="180">
      <c r="C180" s="2871" t="n"/>
    </row>
    <row r="1048574">
      <c r="C1048574" s="2871" t="n"/>
    </row>
  </sheetData>
  <sheetProtection selectLockedCells="0" selectUnlockedCells="0" sheet="1" objects="0" insertRows="1" insertHyperlinks="1" autoFilter="1" scenarios="0" formatColumns="0" deleteColumns="1" insertColumns="1" pivotTables="1" deleteRows="1" formatCells="0" formatRows="0" sort="1"/>
  <hyperlinks>
    <hyperlink xmlns:r="http://schemas.openxmlformats.org/officeDocument/2006/relationships" ref="D1" r:id="rId1"/>
  </hyperlinks>
  <pageMargins left="0.75" right="0.25" top="0.36" bottom="0.29" header="0.36" footer="0.21"/>
  <pageSetup orientation="portrait" scale="4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 Glenn Reeves 2026</dc:creator>
  <dc:title xmlns:dc="http://purl.org/dc/elements/1.1/">2025 Federal Income Tax Spreadsheet (www.excel1040.com)</dc:title>
  <dcterms:created xmlns:dcterms="http://purl.org/dc/terms/" xmlns:xsi="http://www.w3.org/2001/XMLSchema-instance" xsi:type="dcterms:W3CDTF">1997-11-09T08:01:41Z</dcterms:created>
  <dcterms:modified xmlns:dcterms="http://purl.org/dc/terms/" xmlns:xsi="http://www.w3.org/2001/XMLSchema-instance" xsi:type="dcterms:W3CDTF">2026-06-02T04:17:43Z</dcterms:modified>
  <cp:lastModifiedBy>Glenn Reeves</cp:lastModifiedBy>
  <cp:lastPrinted>2026-03-12T21:04:42Z</cp:lastPrinted>
</cp:coreProperties>
</file>

<file path=docProps/custom.xml><?xml version="1.0" encoding="utf-8"?>
<Properties xmlns="http://schemas.openxmlformats.org/officeDocument/2006/custom-properties">
  <property name="MSIP_Label_d275ac46-98b9-4d64-949f-e82ee8dc823c_Enabled" fmtid="{D5CDD505-2E9C-101B-9397-08002B2CF9AE}" pid="2">
    <vt:lpwstr xmlns:vt="http://schemas.openxmlformats.org/officeDocument/2006/docPropsVTypes">true</vt:lpwstr>
  </property>
  <property name="MSIP_Label_d275ac46-98b9-4d64-949f-e82ee8dc823c_SetDate" fmtid="{D5CDD505-2E9C-101B-9397-08002B2CF9AE}" pid="3">
    <vt:lpwstr xmlns:vt="http://schemas.openxmlformats.org/officeDocument/2006/docPropsVTypes">2023-11-28T03:57:03Z</vt:lpwstr>
  </property>
  <property name="MSIP_Label_d275ac46-98b9-4d64-949f-e82ee8dc823c_Method" fmtid="{D5CDD505-2E9C-101B-9397-08002B2CF9AE}" pid="4">
    <vt:lpwstr xmlns:vt="http://schemas.openxmlformats.org/officeDocument/2006/docPropsVTypes">Standard</vt:lpwstr>
  </property>
  <property name="MSIP_Label_d275ac46-98b9-4d64-949f-e82ee8dc823c_Name" fmtid="{D5CDD505-2E9C-101B-9397-08002B2CF9AE}" pid="5">
    <vt:lpwstr xmlns:vt="http://schemas.openxmlformats.org/officeDocument/2006/docPropsVTypes">d275ac46-98b9-4d64-949f-e82ee8dc823c</vt:lpwstr>
  </property>
  <property name="MSIP_Label_d275ac46-98b9-4d64-949f-e82ee8dc823c_SiteId" fmtid="{D5CDD505-2E9C-101B-9397-08002B2CF9AE}" pid="6">
    <vt:lpwstr xmlns:vt="http://schemas.openxmlformats.org/officeDocument/2006/docPropsVTypes">9ef58ab0-3510-4d99-8d3e-3c9e02ebab7f</vt:lpwstr>
  </property>
  <property name="MSIP_Label_d275ac46-98b9-4d64-949f-e82ee8dc823c_ActionId" fmtid="{D5CDD505-2E9C-101B-9397-08002B2CF9AE}" pid="7">
    <vt:lpwstr xmlns:vt="http://schemas.openxmlformats.org/officeDocument/2006/docPropsVTypes">01c7a08b-8dbe-47b0-9a25-74e497f2e39a</vt:lpwstr>
  </property>
  <property name="MSIP_Label_d275ac46-98b9-4d64-949f-e82ee8dc823c_ContentBits" fmtid="{D5CDD505-2E9C-101B-9397-08002B2CF9AE}" pid="8">
    <vt:lpwstr xmlns:vt="http://schemas.openxmlformats.org/officeDocument/2006/docPropsVTypes">3</vt:lpwstr>
  </property>
</Properties>
</file>